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使い方" sheetId="1" state="visible" r:id="rId1"/>
    <sheet xmlns:r="http://schemas.openxmlformats.org/officeDocument/2006/relationships" name="請求記録" sheetId="2" state="visible" r:id="rId2"/>
    <sheet xmlns:r="http://schemas.openxmlformats.org/officeDocument/2006/relationships" name="保留一覧" sheetId="3" state="visible" r:id="rId3"/>
    <sheet xmlns:r="http://schemas.openxmlformats.org/officeDocument/2006/relationships" name="月次集計" sheetId="4" state="visible" r:id="rId4"/>
    <sheet xmlns:r="http://schemas.openxmlformats.org/officeDocument/2006/relationships" name="職員別一覧" sheetId="5" state="visible" r:id="rId5"/>
    <sheet xmlns:r="http://schemas.openxmlformats.org/officeDocument/2006/relationships" name="職員マスタ" sheetId="6" state="visible" r:id="rId6"/>
    <sheet xmlns:r="http://schemas.openxmlformats.org/officeDocument/2006/relationships" name="人給データ" sheetId="7" state="visible" r:id="rId7"/>
    <sheet xmlns:r="http://schemas.openxmlformats.org/officeDocument/2006/relationships" name="設定" sheetId="8" state="visible" r:id="rId8"/>
  </sheets>
  <definedNames>
    <definedName name="_xlnm._FilterDatabase" localSheetId="1" hidden="1">'請求記録'!$A$5:$AQ$3005</definedName>
    <definedName name="_xlnm._FilterDatabase" localSheetId="5" hidden="1">'職員マスタ'!$A$5:$P$405</definedName>
  </definedNames>
  <calcPr calcId="124519" fullCalcOnLoad="1"/>
</workbook>
</file>

<file path=xl/styles.xml><?xml version="1.0" encoding="utf-8"?>
<styleSheet xmlns="http://schemas.openxmlformats.org/spreadsheetml/2006/main">
  <numFmts count="1">
    <numFmt numFmtId="164" formatCode="yyyy/m/d"/>
  </numFmts>
  <fonts count="14">
    <font>
      <name val="Calibri"/>
      <family val="2"/>
      <color theme="1"/>
      <sz val="11"/>
      <scheme val="minor"/>
    </font>
    <font>
      <name val="Meiryo UI"/>
      <b val="1"/>
      <sz val="15"/>
    </font>
    <font>
      <name val="Meiryo UI"/>
      <color rgb="00595959"/>
      <sz val="10"/>
    </font>
    <font>
      <name val="Meiryo UI"/>
      <color rgb="007F7F7F"/>
      <sz val="9"/>
    </font>
    <font>
      <name val="Meiryo UI"/>
      <b val="1"/>
    </font>
    <font>
      <name val="Meiryo UI"/>
      <b val="1"/>
      <color rgb="00FFFFFF"/>
      <sz val="10"/>
    </font>
    <font>
      <name val="Meiryo UI"/>
      <color rgb="00C00000"/>
      <sz val="9"/>
    </font>
    <font>
      <name val="Meiryo UI"/>
      <b val="1"/>
      <color rgb="001F4E78"/>
      <sz val="10"/>
    </font>
    <font>
      <name val="Meiryo UI"/>
      <b val="1"/>
      <sz val="11"/>
    </font>
    <font>
      <name val="Meiryo UI"/>
      <b val="1"/>
      <color rgb="00C00000"/>
      <sz val="11"/>
    </font>
    <font>
      <name val="Meiryo UI"/>
      <b val="1"/>
      <sz val="16"/>
    </font>
    <font>
      <name val="Meiryo UI"/>
      <sz val="10"/>
    </font>
    <font>
      <name val="Meiryo UI"/>
      <b val="1"/>
      <sz val="12"/>
    </font>
    <font>
      <name val="Meiryo UI"/>
      <sz val="11"/>
    </font>
  </fonts>
  <fills count="7">
    <fill>
      <patternFill/>
    </fill>
    <fill>
      <patternFill patternType="gray125"/>
    </fill>
    <fill>
      <patternFill patternType="solid">
        <fgColor rgb="00FFF9C4"/>
      </patternFill>
    </fill>
    <fill>
      <patternFill patternType="solid">
        <fgColor rgb="007F7F7F"/>
      </patternFill>
    </fill>
    <fill>
      <patternFill patternType="solid">
        <fgColor rgb="001F4E78"/>
      </patternFill>
    </fill>
    <fill>
      <patternFill patternType="solid">
        <fgColor rgb="00F2F2F2"/>
      </patternFill>
    </fill>
    <fill>
      <patternFill patternType="solid">
        <fgColor rgb="002E7D32"/>
      </patternFill>
    </fill>
  </fills>
  <borders count="2">
    <border>
      <left/>
      <right/>
      <top/>
      <bottom/>
      <diagonal/>
    </border>
    <border>
      <left style="thin">
        <color rgb="00BFBFBF"/>
      </left>
      <right style="thin">
        <color rgb="00BFBFBF"/>
      </right>
      <top style="thin">
        <color rgb="00BFBFBF"/>
      </top>
      <bottom style="thin">
        <color rgb="00BFBFBF"/>
      </bottom>
    </border>
  </borders>
  <cellStyleXfs count="1">
    <xf numFmtId="0" fontId="0" fillId="0" borderId="0"/>
  </cellStyleXfs>
  <cellXfs count="27">
    <xf numFmtId="0" fontId="0" fillId="0" borderId="0" pivotButton="0" quotePrefix="0" xfId="0"/>
    <xf numFmtId="0" fontId="10" fillId="0" borderId="0" applyAlignment="1" pivotButton="0" quotePrefix="0" xfId="0">
      <alignment vertical="top" wrapText="1"/>
    </xf>
    <xf numFmtId="0" fontId="11" fillId="0" borderId="0" applyAlignment="1" pivotButton="0" quotePrefix="0" xfId="0">
      <alignment vertical="top" wrapText="1"/>
    </xf>
    <xf numFmtId="0" fontId="12" fillId="0" borderId="0" applyAlignment="1" pivotButton="0" quotePrefix="0" xfId="0">
      <alignment vertical="top" wrapText="1"/>
    </xf>
    <xf numFmtId="0" fontId="13" fillId="0" borderId="0" applyAlignment="1" pivotButton="0" quotePrefix="0" xfId="0">
      <alignment vertical="top" wrapText="1"/>
    </xf>
    <xf numFmtId="0" fontId="1" fillId="0" borderId="0" pivotButton="0" quotePrefix="0" xfId="0"/>
    <xf numFmtId="0" fontId="2" fillId="0" borderId="0" pivotButton="0" quotePrefix="0" xfId="0"/>
    <xf numFmtId="0" fontId="7" fillId="0" borderId="0" pivotButton="0" quotePrefix="0" xfId="0"/>
    <xf numFmtId="0" fontId="5" fillId="4" borderId="1" applyAlignment="1" pivotButton="0" quotePrefix="0" xfId="0">
      <alignment horizontal="center" vertical="center" wrapText="1"/>
    </xf>
    <xf numFmtId="0" fontId="5" fillId="3" borderId="1" applyAlignment="1" pivotButton="0" quotePrefix="0" xfId="0">
      <alignment horizontal="center" vertical="center" wrapText="1"/>
    </xf>
    <xf numFmtId="0" fontId="5" fillId="6" borderId="1" applyAlignment="1" pivotButton="0" quotePrefix="0" xfId="0">
      <alignment horizontal="center" vertical="center" wrapText="1"/>
    </xf>
    <xf numFmtId="164" fontId="0" fillId="2" borderId="0" pivotButton="0" quotePrefix="0" xfId="0"/>
    <xf numFmtId="0" fontId="0" fillId="2" borderId="0" pivotButton="0" quotePrefix="0" xfId="0"/>
    <xf numFmtId="3" fontId="0" fillId="2" borderId="0" pivotButton="0" quotePrefix="0" xfId="0"/>
    <xf numFmtId="0" fontId="0" fillId="5" borderId="0" pivotButton="0" quotePrefix="0" xfId="0"/>
    <xf numFmtId="3" fontId="0" fillId="5" borderId="0" pivotButton="0" quotePrefix="0" xfId="0"/>
    <xf numFmtId="164" fontId="0" fillId="5" borderId="0" pivotButton="0" quotePrefix="0" xfId="0"/>
    <xf numFmtId="0" fontId="8" fillId="0" borderId="0" pivotButton="0" quotePrefix="0" xfId="0"/>
    <xf numFmtId="3" fontId="8" fillId="0" borderId="0" pivotButton="0" quotePrefix="0" xfId="0"/>
    <xf numFmtId="3" fontId="0" fillId="0" borderId="0" pivotButton="0" quotePrefix="0" xfId="0"/>
    <xf numFmtId="164" fontId="0" fillId="0" borderId="0" pivotButton="0" quotePrefix="0" xfId="0"/>
    <xf numFmtId="0" fontId="9" fillId="0" borderId="0" pivotButton="0" quotePrefix="0" xfId="0"/>
    <xf numFmtId="3" fontId="4" fillId="0" borderId="0" pivotButton="0" quotePrefix="0" xfId="0"/>
    <xf numFmtId="0" fontId="6" fillId="0" borderId="0" pivotButton="0" quotePrefix="0" xfId="0"/>
    <xf numFmtId="0" fontId="4" fillId="0" borderId="0" pivotButton="0" quotePrefix="0" xfId="0"/>
    <xf numFmtId="0" fontId="3" fillId="0" borderId="0" pivotButton="0" quotePrefix="0" xfId="0"/>
    <xf numFmtId="9" fontId="0" fillId="2" borderId="0" pivotButton="0" quotePrefix="0" xfId="0"/>
  </cellXfs>
  <cellStyles count="1">
    <cellStyle name="Normal" xfId="0" builtinId="0" hidden="0"/>
  </cellStyles>
  <dxfs count="7">
    <dxf>
      <fill>
        <patternFill patternType="solid">
          <fgColor rgb="00FCE4D6"/>
          <bgColor rgb="00FCE4D6"/>
        </patternFill>
      </fill>
    </dxf>
    <dxf>
      <fill>
        <patternFill patternType="solid">
          <fgColor rgb="00FFC7CE"/>
          <bgColor rgb="00FFC7CE"/>
        </patternFill>
      </fill>
    </dxf>
    <dxf>
      <font>
        <b val="1"/>
        <color rgb="00C00000"/>
      </font>
    </dxf>
    <dxf>
      <fill>
        <patternFill patternType="solid">
          <fgColor rgb="00FF9999"/>
          <bgColor rgb="00FF9999"/>
        </patternFill>
      </fill>
    </dxf>
    <dxf>
      <fill>
        <patternFill patternType="solid">
          <fgColor rgb="00FFE699"/>
          <bgColor rgb="00FFE699"/>
        </patternFill>
      </fill>
    </dxf>
    <dxf>
      <font>
        <b val="1"/>
        <color rgb="00C00000"/>
      </font>
      <fill>
        <patternFill patternType="solid">
          <fgColor rgb="00F8CBAD"/>
          <bgColor rgb="00F8CBAD"/>
        </patternFill>
      </fill>
    </dxf>
    <dxf>
      <fill>
        <patternFill patternType="solid">
          <fgColor rgb="00F8CBAD"/>
          <bgColor rgb="00F8CBA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支給月別 支給額（円）</a:t>
            </a:r>
          </a:p>
        </rich>
      </tx>
    </title>
    <plotArea>
      <barChart>
        <barDir val="col"/>
        <grouping val="clustered"/>
        <ser>
          <idx val="0"/>
          <order val="0"/>
          <tx>
            <strRef>
              <f>'月次集計'!M4</f>
            </strRef>
          </tx>
          <spPr>
            <a:ln xmlns:a="http://schemas.openxmlformats.org/drawingml/2006/main">
              <a:prstDash val="solid"/>
            </a:ln>
          </spPr>
          <cat>
            <numRef>
              <f>'月次集計'!$K$5:$K$24</f>
            </numRef>
          </cat>
          <val>
            <numRef>
              <f>'月次集計'!$M$5:$M$24</f>
            </numRef>
          </val>
        </ser>
        <gapWidth val="150"/>
        <axId val="10"/>
        <axId val="100"/>
      </bar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oneCellAnchor>
    <from>
      <col>14</col>
      <colOff>0</colOff>
      <row>3</row>
      <rowOff>0</rowOff>
    </from>
    <ext cx="6480000" cy="288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Btn_sheet2.xml><?xml version="1.0" encoding="utf-8"?>
<xdr:wsDr xmlns:xdr="http://schemas.openxmlformats.org/drawingml/2006/spreadsheetDrawing" xmlns:a="http://schemas.openxmlformats.org/drawingml/2006/main">
  <xdr:twoCellAnchor editAs="absolute">
    <xdr:from>
      <xdr:col>12</xdr:col>
      <xdr:colOff>0</xdr:colOff>
      <xdr:row>0</xdr:row>
      <xdr:rowOff>60000</xdr:rowOff>
    </xdr:from>
    <xdr:to>
      <xdr:col>15</xdr:col>
      <xdr:colOff>0</xdr:colOff>
      <xdr:row>2</xdr:row>
      <xdr:rowOff>150000</xdr:rowOff>
    </xdr:to>
    <xdr:sp macro="[0]!申請書ファイルを取り込む" textlink="">
      <xdr:nvSpPr>
        <xdr:cNvPr id="2" name="Button2"/>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申請書ファイルを取り込む</a:t>
          </a:r>
        </a:p>
      </xdr:txBody>
    </xdr:sp>
    <xdr:clientData/>
  </xdr:twoCellAnchor>
  <xdr:twoCellAnchor editAs="absolute">
    <xdr:from>
      <xdr:col>15</xdr:col>
      <xdr:colOff>60000</xdr:colOff>
      <xdr:row>0</xdr:row>
      <xdr:rowOff>60000</xdr:rowOff>
    </xdr:from>
    <xdr:to>
      <xdr:col>18</xdr:col>
      <xdr:colOff>0</xdr:colOff>
      <xdr:row>2</xdr:row>
      <xdr:rowOff>150000</xdr:rowOff>
    </xdr:to>
    <xdr:sp macro="[0]!申請書フォルダを一括取り込む" textlink="">
      <xdr:nvSpPr>
        <xdr:cNvPr id="3" name="Button3"/>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フォルダ内の申請書を一括取込</a:t>
          </a:r>
        </a:p>
      </xdr:txBody>
    </xdr:sp>
    <xdr:clientData/>
  </xdr:twoCellAnchor>
  <xdr:twoCellAnchor editAs="absolute">
    <xdr:from>
      <xdr:col>18</xdr:col>
      <xdr:colOff>60000</xdr:colOff>
      <xdr:row>0</xdr:row>
      <xdr:rowOff>60000</xdr:rowOff>
    </xdr:from>
    <xdr:to>
      <xdr:col>21</xdr:col>
      <xdr:colOff>0</xdr:colOff>
      <xdr:row>2</xdr:row>
      <xdr:rowOff>150000</xdr:rowOff>
    </xdr:to>
    <xdr:sp macro="[0]!未処理に支給月を一括入力" textlink="">
      <xdr:nvSpPr>
        <xdr:cNvPr id="4" name="Button4"/>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未処理に支給月を一括入力</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B2:B26"/>
  <sheetViews>
    <sheetView showGridLines="0" zoomScale="90" workbookViewId="0">
      <selection activeCell="A1" sqref="A1"/>
    </sheetView>
  </sheetViews>
  <sheetFormatPr baseColWidth="8" defaultRowHeight="15"/>
  <cols>
    <col width="3" customWidth="1" min="1" max="1"/>
    <col width="120" customWidth="1" min="2" max="2"/>
  </cols>
  <sheetData>
    <row r="2">
      <c r="B2" s="1" t="inlineStr">
        <is>
          <t>育児時短勤務手当金　管理台帳　使い方</t>
        </is>
      </c>
    </row>
    <row r="3">
      <c r="B3" s="2" t="inlineStr"/>
    </row>
    <row r="4">
      <c r="B4" s="3" t="inlineStr">
        <is>
          <t>■ 毎月の流れ（ファイルを開いたとき「マクロを有効にする」を押してください）</t>
        </is>
      </c>
    </row>
    <row r="5">
      <c r="B5" s="4" t="inlineStr">
        <is>
          <t>0. 開くと、保留中・未処理・要確認の件数が表示されます。</t>
        </is>
      </c>
    </row>
    <row r="6">
      <c r="B6" s="4" t="inlineStr">
        <is>
          <t>1. 申請書の取込：メールで届いた電子申請書(Excel)を1つのフォルダに保存 →「請求記録」上部の［フォルダ内の申請書を一括取込］。取り込んだファイルは「取込済」フォルダへ移動します。</t>
        </is>
      </c>
    </row>
    <row r="7">
      <c r="B7" s="4" t="inlineStr">
        <is>
          <t xml:space="preserve">　　1件ずつ選ぶときは［申請書ファイルを取り込む］（複数選択可）。入力エラーが残っている申請書・同じ職員同じ月の重複は取り込まず、理由を表示します。</t>
        </is>
      </c>
    </row>
    <row r="8">
      <c r="B8" s="4" t="inlineStr">
        <is>
          <t xml:space="preserve">　　紙の申請書は黄色い列に直接入力（最低限：職員番号・対象年・対象月・報酬額）。</t>
        </is>
      </c>
    </row>
    <row r="9">
      <c r="B9" s="4" t="inlineStr">
        <is>
          <t>2. 氏名・所属・標準報酬月額・判定（○△×）・決定額・ステータスが自動で出ます。「チェック」列に文字が出た行は、申請書と人給/マスタの食い違い等があるので確認します。</t>
        </is>
      </c>
    </row>
    <row r="10">
      <c r="B10" s="4" t="inlineStr">
        <is>
          <t>3. 基幹システムへ入力したら、［未処理に支給月を一括入力］で支給月（例：R8.10）をまとめて入れます（ステータスが「支給済」になります）。個別に入れるときは「支給月」列で選びます。</t>
        </is>
      </c>
    </row>
    <row r="11">
      <c r="B11" s="4" t="inlineStr">
        <is>
          <t>4. 支給を保留するときは「保留理由」（と保留開始日・次回確認予定日）を入れるだけ。「保留一覧」に自動で載り、経過日数が出ます。解決したら「保留解消日」または「支給月」を入れると一覧から消えます（履歴は残ります）。</t>
        </is>
      </c>
    </row>
    <row r="12">
      <c r="B12" s="4" t="inlineStr">
        <is>
          <t xml:space="preserve">　　標準報酬月額：申請書の標準報酬月額は、台帳（職員マスタ）に登録が無い場合の判定に使います。取込ボタンは、初めての職員や標準報酬月額が空の職員を職員マスタへ自動登録します。台帳の額と申請書の額が違うときは「チェック」列に表示します（判定は台帳の額を優先）。</t>
        </is>
      </c>
    </row>
    <row r="13">
      <c r="B13" s="4" t="inlineStr">
        <is>
          <t>5. 請求前に保留する場合（育休期間の変更待ち等）は「職員マスタ」の【職員単位の保留】に入れます。</t>
        </is>
      </c>
    </row>
    <row r="14">
      <c r="B14" s="2" t="inlineStr"/>
    </row>
    <row r="15">
      <c r="B15" s="3" t="inlineStr">
        <is>
          <t>■ シートの役割</t>
        </is>
      </c>
    </row>
    <row r="16">
      <c r="B16" s="4" t="inlineStr">
        <is>
          <t>請求記録：1請求1行の台帳（ここが本体。3,000行まで）／保留一覧：保留中の請求・職員と理由別件数／月次集計：対象月別・支給月別の件数と金額／職員別一覧：従来のリストと同じ見方（月×職員）</t>
        </is>
      </c>
    </row>
    <row r="17">
      <c r="B17" s="4" t="inlineStr">
        <is>
          <t>職員マスタ：職員ごとの時短期間・標準報酬月額・子の生年月日／人給データ：人給の出力を貼り付ける場所（職員マスタに自動反映）／設定：最低限度額(2,411円)・給付率・保留理由の一覧</t>
        </is>
      </c>
    </row>
    <row r="18">
      <c r="B18" s="2" t="inlineStr"/>
    </row>
    <row r="19">
      <c r="B19" s="3" t="inlineStr">
        <is>
          <t>■ 計算ルール（従来の「短時間支給リスト」と同じ）</t>
        </is>
      </c>
    </row>
    <row r="20">
      <c r="B20" s="4" t="inlineStr">
        <is>
          <t>報酬額 ≧ 標準報酬月額 →×（支給なし）／標準報酬月額の90%以上100%未満 →△（逓減）：率＝(9×標準報酬月額−9×報酬額)÷(10×報酬額)を小数4位に四捨五入し、報酬額×率の円未満切捨て</t>
        </is>
      </c>
    </row>
    <row r="21">
      <c r="B21" s="4" t="inlineStr">
        <is>
          <t>報酬額 ＜ 標準報酬月額の90% →○：報酬額×10%（円未満切捨て）／計算額が最低限度額（設定シート：2,411円）以下なら不支給</t>
        </is>
      </c>
    </row>
    <row r="22">
      <c r="B22" s="4" t="inlineStr">
        <is>
          <t>決定額を手で直したいときは「決定額（手修正）」列に入力します（旧リストの金額を引き継いだ行には備考があります）。</t>
        </is>
      </c>
    </row>
    <row r="23">
      <c r="B23" s="2" t="inlineStr"/>
    </row>
    <row r="24">
      <c r="B24" s="3" t="inlineStr">
        <is>
          <t>■ 注意</t>
        </is>
      </c>
    </row>
    <row r="25">
      <c r="B25" s="4" t="inlineStr">
        <is>
          <t>・個人情報を含むファイルです。保存場所・持ち出しにご注意ください。</t>
        </is>
      </c>
    </row>
    <row r="26">
      <c r="B26" s="4" t="inlineStr">
        <is>
          <t>・旧リストから移行した行の保留開始日は不明のため空欄です（入れると経過日数が出ます）。</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AQ3005"/>
  <sheetViews>
    <sheetView zoomScale="90" workbookViewId="0">
      <pane xSplit="2" ySplit="5" topLeftCell="C6" activePane="bottomRight" state="frozen"/>
      <selection pane="topRight"/>
      <selection pane="bottomLeft"/>
      <selection pane="bottomRight" activeCell="A1" sqref="A1"/>
    </sheetView>
  </sheetViews>
  <sheetFormatPr baseColWidth="8" defaultRowHeight="15"/>
  <cols>
    <col width="11" customWidth="1" min="1" max="1"/>
    <col width="11" customWidth="1" min="2" max="2"/>
    <col width="8" customWidth="1" min="3" max="3"/>
    <col width="6" customWidth="1" min="4" max="4"/>
    <col width="11" customWidth="1" min="5" max="5"/>
    <col width="8" customWidth="1" min="6" max="6"/>
    <col width="10" customWidth="1" min="7" max="7"/>
    <col width="14" customWidth="1" min="8" max="8"/>
    <col width="9" customWidth="1" min="9" max="9"/>
    <col width="10" customWidth="1" min="10" max="10"/>
    <col width="14" customWidth="1" min="11" max="11"/>
    <col width="11" customWidth="1" min="12" max="12"/>
    <col width="11" customWidth="1" min="13" max="13"/>
    <col width="11" customWidth="1" min="14" max="14"/>
    <col width="11" customWidth="1" min="15" max="15"/>
    <col width="14" customWidth="1" min="16" max="16"/>
    <col width="11" customWidth="1" min="17" max="17"/>
    <col width="22" customWidth="1" min="18" max="18"/>
    <col width="11" customWidth="1" min="19" max="19"/>
    <col width="9" customWidth="1" min="20" max="20"/>
    <col width="9" customWidth="1" min="21" max="21"/>
    <col width="9" customWidth="1" min="22" max="22"/>
    <col width="12" customWidth="1" min="23" max="23"/>
    <col width="14" customWidth="1" min="24" max="24"/>
    <col width="22" customWidth="1" min="25" max="25"/>
    <col width="8" customWidth="1" min="26" max="26"/>
    <col width="12" customWidth="1" min="27" max="27"/>
    <col width="6" customWidth="1" min="28" max="28"/>
    <col width="10" customWidth="1" min="29" max="29"/>
    <col width="11" customWidth="1" min="30" max="30"/>
    <col width="11" customWidth="1" min="31" max="31"/>
    <col width="10" customWidth="1" min="32" max="32"/>
    <col width="20" customWidth="1" min="33" max="33"/>
    <col width="11" customWidth="1" min="34" max="34"/>
    <col width="11" customWidth="1" min="35" max="35"/>
    <col width="11" customWidth="1" min="36" max="36"/>
    <col width="8" customWidth="1" min="37" max="37"/>
    <col width="9" customWidth="1" min="38" max="38"/>
    <col width="46" customWidth="1" min="39" max="39"/>
    <col width="36" customWidth="1" min="40" max="40"/>
    <col hidden="1" width="6" customWidth="1" min="41" max="41"/>
    <col hidden="1" width="6" customWidth="1" min="42" max="42"/>
    <col hidden="1" width="10" customWidth="1" min="43" max="43"/>
  </cols>
  <sheetData>
    <row r="1">
      <c r="A1" s="5" t="inlineStr">
        <is>
          <t>請求記録（1請求＝1行）</t>
        </is>
      </c>
    </row>
    <row r="2">
      <c r="A2" s="6" t="inlineStr">
        <is>
          <t>電子申請書の「共済組合提出データ」2行目をB列に値のみ貼り付け、または黄色い列を直接入力。灰色の列は自動計算です。</t>
        </is>
      </c>
    </row>
    <row r="4">
      <c r="A4" s="7" t="inlineStr">
        <is>
          <t>▼ 申請書の内容（貼付／入力）</t>
        </is>
      </c>
      <c r="X4" s="7" t="inlineStr">
        <is>
          <t>▼ 自動判定と管理（黄色＝入力）</t>
        </is>
      </c>
    </row>
    <row r="5" ht="34" customHeight="1">
      <c r="A5" s="8" t="inlineStr">
        <is>
          <t>受付日</t>
        </is>
      </c>
      <c r="B5" s="8" t="inlineStr">
        <is>
          <t>職員番号</t>
        </is>
      </c>
      <c r="C5" s="8" t="inlineStr">
        <is>
          <t>対象年(令和)</t>
        </is>
      </c>
      <c r="D5" s="8" t="inlineStr">
        <is>
          <t>対象月</t>
        </is>
      </c>
      <c r="E5" s="8" t="inlineStr">
        <is>
          <t>報酬額</t>
        </is>
      </c>
      <c r="F5" s="8" t="inlineStr">
        <is>
          <t>通勤手当有無</t>
        </is>
      </c>
      <c r="G5" s="8" t="inlineStr">
        <is>
          <t>通勤手当月額</t>
        </is>
      </c>
      <c r="H5" s="8" t="inlineStr">
        <is>
          <t>氏名(申請書)</t>
        </is>
      </c>
      <c r="I5" s="8" t="inlineStr">
        <is>
          <t>組合員記号</t>
        </is>
      </c>
      <c r="J5" s="8" t="inlineStr">
        <is>
          <t>組合員番号</t>
        </is>
      </c>
      <c r="K5" s="8" t="inlineStr">
        <is>
          <t>勤務区分</t>
        </is>
      </c>
      <c r="L5" s="8" t="inlineStr">
        <is>
          <t>時短開始日</t>
        </is>
      </c>
      <c r="M5" s="8" t="inlineStr">
        <is>
          <t>時短終了日</t>
        </is>
      </c>
      <c r="N5" s="8" t="inlineStr">
        <is>
          <t>請求期間開始</t>
        </is>
      </c>
      <c r="O5" s="8" t="inlineStr">
        <is>
          <t>請求期間終了</t>
        </is>
      </c>
      <c r="P5" s="8" t="inlineStr">
        <is>
          <t>子の氏名</t>
        </is>
      </c>
      <c r="Q5" s="8" t="inlineStr">
        <is>
          <t>子の生年月日</t>
        </is>
      </c>
      <c r="R5" s="8" t="inlineStr">
        <is>
          <t>所属名称</t>
        </is>
      </c>
      <c r="S5" s="8" t="inlineStr">
        <is>
          <t>請求日</t>
        </is>
      </c>
      <c r="T5" s="8" t="inlineStr">
        <is>
          <t>初回請求</t>
        </is>
      </c>
      <c r="U5" s="8" t="inlineStr">
        <is>
          <t>申請書の入力エラー件数</t>
        </is>
      </c>
      <c r="V5" s="8" t="inlineStr">
        <is>
          <t>標準報酬等級(申請書)</t>
        </is>
      </c>
      <c r="W5" s="8" t="inlineStr">
        <is>
          <t>標準報酬月額(申請書)</t>
        </is>
      </c>
      <c r="X5" s="9" t="inlineStr">
        <is>
          <t>氏名</t>
        </is>
      </c>
      <c r="Y5" s="9" t="inlineStr">
        <is>
          <t>所属</t>
        </is>
      </c>
      <c r="Z5" s="9" t="inlineStr">
        <is>
          <t>対象月</t>
        </is>
      </c>
      <c r="AA5" s="9" t="inlineStr">
        <is>
          <t>標準報酬月額</t>
        </is>
      </c>
      <c r="AB5" s="9" t="inlineStr">
        <is>
          <t>判定</t>
        </is>
      </c>
      <c r="AC5" s="9" t="inlineStr">
        <is>
          <t>計算額</t>
        </is>
      </c>
      <c r="AD5" s="10" t="inlineStr">
        <is>
          <t>決定額（手修正）</t>
        </is>
      </c>
      <c r="AE5" s="9" t="inlineStr">
        <is>
          <t>決定額</t>
        </is>
      </c>
      <c r="AF5" s="9" t="inlineStr">
        <is>
          <t>ステータス</t>
        </is>
      </c>
      <c r="AG5" s="10" t="inlineStr">
        <is>
          <t>保留理由</t>
        </is>
      </c>
      <c r="AH5" s="10" t="inlineStr">
        <is>
          <t>保留開始日</t>
        </is>
      </c>
      <c r="AI5" s="10" t="inlineStr">
        <is>
          <t>保留解消日</t>
        </is>
      </c>
      <c r="AJ5" s="10" t="inlineStr">
        <is>
          <t>次回確認予定日</t>
        </is>
      </c>
      <c r="AK5" s="9" t="inlineStr">
        <is>
          <t>保留経過日数</t>
        </is>
      </c>
      <c r="AL5" s="10" t="inlineStr">
        <is>
          <t>支給月</t>
        </is>
      </c>
      <c r="AM5" s="9" t="inlineStr">
        <is>
          <t>チェック（空欄＝問題なし）</t>
        </is>
      </c>
      <c r="AN5" s="10" t="inlineStr">
        <is>
          <t>備考</t>
        </is>
      </c>
      <c r="AO5" s="9" t="inlineStr">
        <is>
          <t>保留連番</t>
        </is>
      </c>
      <c r="AP5" s="9" t="inlineStr">
        <is>
          <t>マスタ行</t>
        </is>
      </c>
      <c r="AQ5" s="9" t="inlineStr">
        <is>
          <t>対象月初日</t>
        </is>
      </c>
    </row>
    <row r="6">
      <c r="A6" s="11" t="n"/>
      <c r="B6" s="12" t="n">
        <v>5901723</v>
      </c>
      <c r="C6" s="12" t="n">
        <v>8</v>
      </c>
      <c r="D6" s="12" t="n">
        <v>5</v>
      </c>
      <c r="E6" s="13" t="n">
        <v>438260</v>
      </c>
      <c r="F6" s="12" t="n"/>
      <c r="G6" s="13" t="n"/>
      <c r="H6" s="12" t="n"/>
      <c r="I6" s="12" t="n"/>
      <c r="J6" s="12" t="n"/>
      <c r="K6" s="12" t="n"/>
      <c r="L6" s="11" t="n"/>
      <c r="M6" s="11" t="n"/>
      <c r="N6" s="11" t="n"/>
      <c r="O6" s="11" t="n"/>
      <c r="P6" s="12" t="n"/>
      <c r="Q6" s="11" t="n"/>
      <c r="R6" s="12" t="n"/>
      <c r="S6" s="11" t="n"/>
      <c r="T6" s="12" t="n"/>
      <c r="U6" s="12" t="n"/>
      <c r="V6" s="12" t="n"/>
      <c r="W6" s="13" t="n"/>
      <c r="X6" s="14">
        <f>IF($AP6="",IF($B6="","",$H6),IF(INDEX(職員マスタ!$B$6:$B$405,$AP6)="",$H6,INDEX(職員マスタ!$B$6:$B$405,$AP6)))</f>
        <v/>
      </c>
      <c r="Y6" s="14">
        <f>IF($AP6="",IF($B6="","",$R6),IF(INDEX(職員マスタ!$C$6:$C$405,$AP6)="",$R6,INDEX(職員マスタ!$C$6:$C$405,$AP6)))</f>
        <v/>
      </c>
      <c r="Z6" s="14">
        <f>IF($AQ6="","","R"&amp;$C6&amp;"."&amp;$D6)</f>
        <v/>
      </c>
      <c r="AA6" s="15">
        <f>IF(IF($AP6="",FALSE,INDEX(職員マスタ!$K$6:$K$405,$AP6)&lt;&gt;""),INDEX(職員マスタ!$K$6:$K$405,$AP6),IF(N($W6)&gt;0,$W6,""))</f>
        <v/>
      </c>
      <c r="AB6" s="14">
        <f>IF(OR($E6="",$AA6=""),"",IF($E6&gt;=$AA6,"×",IF($E6&gt;=$AA6*設定!$C$5,"△","○")))</f>
        <v/>
      </c>
      <c r="AC6" s="15">
        <f>IF($AB6="","",IF($AB6="×",0,IF($AB6="○",ROUNDDOWN($E6*設定!$C$4,0),ROUNDDOWN($E6*ROUND((9*$AA6-9*$E6)/(10*$E6),4),0))))</f>
        <v/>
      </c>
      <c r="AD6" s="13" t="n"/>
      <c r="AE6" s="15">
        <f>IF($B6="","",IF($AD6&lt;&gt;"",$AD6,IF($AC6="","",IF($AC6&lt;=設定!$C$3,0,$AC6))))</f>
        <v/>
      </c>
      <c r="AF6" s="14">
        <f>IF($B6="","",IF(AND($AG6&lt;&gt;"",$AI6="",$AL6=""),"保留中",IF($AL6&lt;&gt;"",IF(N($AE6)&gt;0,"支給済","不支給"),IF($AE6="","要確認",IF($AE6=0,"不支給","未処理")))))</f>
        <v/>
      </c>
      <c r="AG6" s="12" t="n"/>
      <c r="AH6" s="11" t="n"/>
      <c r="AI6" s="11" t="n"/>
      <c r="AJ6" s="11" t="n"/>
      <c r="AK6" s="14">
        <f>IF(AND($AF6="保留中",$AH6&lt;&gt;""),TODAY()-$AH6,"")</f>
        <v/>
      </c>
      <c r="AL6" s="12" t="n"/>
      <c r="AM6" s="14">
        <f>IF($B6="","",IF($AQ6="","対象年月が未入力／","")&amp;IF($B6="","",IF($AP6="","職員マスタに未登録の職員番号／",IF($AA6="","標準報酬月額が未登録／","")&amp;IF(AND($AQ6&lt;&gt;"",OR(AND(INDEX(職員マスタ!$G$6:$G$405,$AP6)&lt;&gt;"",INDEX(職員マスタ!$G$6:$G$405,$AP6)&gt;EOMONTH($AQ6,0)),AND(INDEX(職員マスタ!$H$6:$H$405,$AP6)&lt;&gt;"",INDEX(職員マスタ!$H$6:$H$405,$AP6)&lt;$AQ6))),"対象月が時短期間外／","")&amp;IF(AND(INDEX(職員マスタ!$K$6:$K$405,$AP6)&lt;&gt;"",N($W6)&gt;0,INDEX(職員マスタ!$K$6:$K$405,$AP6)&lt;&gt;$W6),"標準報酬月額が申請書と相違（台帳"&amp;TEXT(INDEX(職員マスタ!$K$6:$K$405,$AP6),"#,##0")&amp;"円／申請書"&amp;TEXT($W6,"#,##0")&amp;"円）／","")&amp;IF(AND(INDEX(職員マスタ!$F$6:$F$405,$AP6)&lt;&gt;"",$AQ6&lt;&gt;"",INDEX(職員マスタ!$F$6:$F$405,$AP6)&lt;$AQ6),"対象月に子が2歳到達済／","")&amp;IF(AND($H6&lt;&gt;"",INDEX(職員マスタ!$B$6:$B$405,$AP6)&lt;&gt;"",SUBSTITUTE(SUBSTITUTE($H6," ","")," ","")&lt;&gt;SUBSTITUTE(SUBSTITUTE(INDEX(職員マスタ!$B$6:$B$405,$AP6)," ","")," ","")),"氏名がマスタと相違／","")&amp;IF(AND($Q6&lt;&gt;"",INDEX(職員マスタ!$E$6:$E$405,$AP6)&lt;&gt;"",$Q6&lt;&gt;INDEX(職員マスタ!$E$6:$E$405,$AP6)),"子の生年月日がマスタと相違／","")&amp;IF(AND($L6&lt;&gt;"",INDEX(職員マスタ!$G$6:$G$405,$AP6)&lt;&gt;"",$L6&lt;&gt;INDEX(職員マスタ!$G$6:$G$405,$AP6)),"時短開始日がマスタと相違／","")&amp;IF(AND($M6&lt;&gt;"",INDEX(職員マスタ!$H$6:$H$405,$AP6)&lt;&gt;"",$M6&lt;&gt;INDEX(職員マスタ!$H$6:$H$405,$AP6)),"時短終了日がマスタと相違／","")))&amp;IF(AND($B6&lt;&gt;"",$E6=""),"報酬額が未入力／","")&amp;IF(N($U6)&gt;0,"申請書に入力エラーが残っています／","")&amp;IF(AND($B6&lt;&gt;"",$AQ6&lt;&gt;""),IF(COUNTIFS($B$6:$B$3005,$B6,$C$6:$C$3005,$C6,$D$6:$D$3005,$D6)&gt;1,"同じ月の請求が重複しています／",""),"")&amp;IF(AND(N($E6)&gt;0,$AB6&lt;&gt;"",$AB6&lt;&gt;"×",$AE6=0,$AD6=""),"計算額が下限以下のため不支給／",""))</f>
        <v/>
      </c>
      <c r="AN6" s="12" t="n"/>
      <c r="AO6" s="14">
        <f>IF($AF6="保留中",COUNTIF($AF$6:$AF6,"保留中"),"")</f>
        <v/>
      </c>
      <c r="AP6" s="14">
        <f>IF($AQ6="","",IF(SUMPRODUCT(MAX((職員マスタ!$A$6:$A$405=$B6)*(((職員マスタ!$G$6:$G$405="")+(職員マスタ!$G$6:$G$405&lt;=EOMONTH($AQ6,0)))&gt;0)*(((職員マスタ!$H$6:$H$405="")+(職員マスタ!$H$6:$H$405&gt;=$AQ6))&gt;0)*(ROW(職員マスタ!$A$6:$A$405)-5)))&gt;0,SUMPRODUCT(MAX((職員マスタ!$A$6:$A$405=$B6)*(((職員マスタ!$G$6:$G$405="")+(職員マスタ!$G$6:$G$405&lt;=EOMONTH($AQ6,0)))&gt;0)*(((職員マスタ!$H$6:$H$405="")+(職員マスタ!$H$6:$H$405&gt;=$AQ6))&gt;0)*(ROW(職員マスタ!$A$6:$A$405)-5))),IFERROR(MATCH($B6,職員マスタ!$A$6:$A$405,0),"")))</f>
        <v/>
      </c>
      <c r="AQ6" s="16">
        <f>IF(OR($B6="",$C6="",$D6=""),"",DATE($C6+2018,$D6,1))</f>
        <v/>
      </c>
    </row>
    <row r="7">
      <c r="A7" s="11" t="n"/>
      <c r="B7" s="12" t="n">
        <v>5901723</v>
      </c>
      <c r="C7" s="12" t="n">
        <v>8</v>
      </c>
      <c r="D7" s="12" t="n">
        <v>6</v>
      </c>
      <c r="E7" s="13" t="n">
        <v>386542</v>
      </c>
      <c r="F7" s="12" t="n"/>
      <c r="G7" s="13" t="n"/>
      <c r="H7" s="12" t="n"/>
      <c r="I7" s="12" t="n"/>
      <c r="J7" s="12" t="n"/>
      <c r="K7" s="12" t="n"/>
      <c r="L7" s="11" t="n"/>
      <c r="M7" s="11" t="n"/>
      <c r="N7" s="11" t="n"/>
      <c r="O7" s="11" t="n"/>
      <c r="P7" s="12" t="n"/>
      <c r="Q7" s="11" t="n"/>
      <c r="R7" s="12" t="n"/>
      <c r="S7" s="11" t="n"/>
      <c r="T7" s="12" t="n"/>
      <c r="U7" s="12" t="n"/>
      <c r="V7" s="12" t="n"/>
      <c r="W7" s="13" t="n"/>
      <c r="X7" s="14">
        <f>IF($AP7="",IF($B7="","",$H7),IF(INDEX(職員マスタ!$B$6:$B$405,$AP7)="",$H7,INDEX(職員マスタ!$B$6:$B$405,$AP7)))</f>
        <v/>
      </c>
      <c r="Y7" s="14">
        <f>IF($AP7="",IF($B7="","",$R7),IF(INDEX(職員マスタ!$C$6:$C$405,$AP7)="",$R7,INDEX(職員マスタ!$C$6:$C$405,$AP7)))</f>
        <v/>
      </c>
      <c r="Z7" s="14">
        <f>IF($AQ7="","","R"&amp;$C7&amp;"."&amp;$D7)</f>
        <v/>
      </c>
      <c r="AA7" s="15">
        <f>IF(IF($AP7="",FALSE,INDEX(職員マスタ!$K$6:$K$405,$AP7)&lt;&gt;""),INDEX(職員マスタ!$K$6:$K$405,$AP7),IF(N($W7)&gt;0,$W7,""))</f>
        <v/>
      </c>
      <c r="AB7" s="14">
        <f>IF(OR($E7="",$AA7=""),"",IF($E7&gt;=$AA7,"×",IF($E7&gt;=$AA7*設定!$C$5,"△","○")))</f>
        <v/>
      </c>
      <c r="AC7" s="15">
        <f>IF($AB7="","",IF($AB7="×",0,IF($AB7="○",ROUNDDOWN($E7*設定!$C$4,0),ROUNDDOWN($E7*ROUND((9*$AA7-9*$E7)/(10*$E7),4),0))))</f>
        <v/>
      </c>
      <c r="AD7" s="13" t="n"/>
      <c r="AE7" s="15">
        <f>IF($B7="","",IF($AD7&lt;&gt;"",$AD7,IF($AC7="","",IF($AC7&lt;=設定!$C$3,0,$AC7))))</f>
        <v/>
      </c>
      <c r="AF7" s="14">
        <f>IF($B7="","",IF(AND($AG7&lt;&gt;"",$AI7="",$AL7=""),"保留中",IF($AL7&lt;&gt;"",IF(N($AE7)&gt;0,"支給済","不支給"),IF($AE7="","要確認",IF($AE7=0,"不支給","未処理")))))</f>
        <v/>
      </c>
      <c r="AG7" s="12" t="n"/>
      <c r="AH7" s="11" t="n"/>
      <c r="AI7" s="11" t="n"/>
      <c r="AJ7" s="11" t="n"/>
      <c r="AK7" s="14">
        <f>IF(AND($AF7="保留中",$AH7&lt;&gt;""),TODAY()-$AH7,"")</f>
        <v/>
      </c>
      <c r="AL7" s="12" t="inlineStr">
        <is>
          <t>R8.8</t>
        </is>
      </c>
      <c r="AM7" s="14">
        <f>IF($B7="","",IF($AQ7="","対象年月が未入力／","")&amp;IF($B7="","",IF($AP7="","職員マスタに未登録の職員番号／",IF($AA7="","標準報酬月額が未登録／","")&amp;IF(AND($AQ7&lt;&gt;"",OR(AND(INDEX(職員マスタ!$G$6:$G$405,$AP7)&lt;&gt;"",INDEX(職員マスタ!$G$6:$G$405,$AP7)&gt;EOMONTH($AQ7,0)),AND(INDEX(職員マスタ!$H$6:$H$405,$AP7)&lt;&gt;"",INDEX(職員マスタ!$H$6:$H$405,$AP7)&lt;$AQ7))),"対象月が時短期間外／","")&amp;IF(AND(INDEX(職員マスタ!$K$6:$K$405,$AP7)&lt;&gt;"",N($W7)&gt;0,INDEX(職員マスタ!$K$6:$K$405,$AP7)&lt;&gt;$W7),"標準報酬月額が申請書と相違（台帳"&amp;TEXT(INDEX(職員マスタ!$K$6:$K$405,$AP7),"#,##0")&amp;"円／申請書"&amp;TEXT($W7,"#,##0")&amp;"円）／","")&amp;IF(AND(INDEX(職員マスタ!$F$6:$F$405,$AP7)&lt;&gt;"",$AQ7&lt;&gt;"",INDEX(職員マスタ!$F$6:$F$405,$AP7)&lt;$AQ7),"対象月に子が2歳到達済／","")&amp;IF(AND($H7&lt;&gt;"",INDEX(職員マスタ!$B$6:$B$405,$AP7)&lt;&gt;"",SUBSTITUTE(SUBSTITUTE($H7," ","")," ","")&lt;&gt;SUBSTITUTE(SUBSTITUTE(INDEX(職員マスタ!$B$6:$B$405,$AP7)," ","")," ","")),"氏名がマスタと相違／","")&amp;IF(AND($Q7&lt;&gt;"",INDEX(職員マスタ!$E$6:$E$405,$AP7)&lt;&gt;"",$Q7&lt;&gt;INDEX(職員マスタ!$E$6:$E$405,$AP7)),"子の生年月日がマスタと相違／","")&amp;IF(AND($L7&lt;&gt;"",INDEX(職員マスタ!$G$6:$G$405,$AP7)&lt;&gt;"",$L7&lt;&gt;INDEX(職員マスタ!$G$6:$G$405,$AP7)),"時短開始日がマスタと相違／","")&amp;IF(AND($M7&lt;&gt;"",INDEX(職員マスタ!$H$6:$H$405,$AP7)&lt;&gt;"",$M7&lt;&gt;INDEX(職員マスタ!$H$6:$H$405,$AP7)),"時短終了日がマスタと相違／","")))&amp;IF(AND($B7&lt;&gt;"",$E7=""),"報酬額が未入力／","")&amp;IF(N($U7)&gt;0,"申請書に入力エラーが残っています／","")&amp;IF(AND($B7&lt;&gt;"",$AQ7&lt;&gt;""),IF(COUNTIFS($B$6:$B$3005,$B7,$C$6:$C$3005,$C7,$D$6:$D$3005,$D7)&gt;1,"同じ月の請求が重複しています／",""),"")&amp;IF(AND(N($E7)&gt;0,$AB7&lt;&gt;"",$AB7&lt;&gt;"×",$AE7=0,$AD7=""),"計算額が下限以下のため不支給／",""))</f>
        <v/>
      </c>
      <c r="AN7" s="12" t="n"/>
      <c r="AO7" s="14">
        <f>IF($AF7="保留中",COUNTIF($AF$6:$AF7,"保留中"),"")</f>
        <v/>
      </c>
      <c r="AP7" s="14">
        <f>IF($AQ7="","",IF(SUMPRODUCT(MAX((職員マスタ!$A$6:$A$405=$B7)*(((職員マスタ!$G$6:$G$405="")+(職員マスタ!$G$6:$G$405&lt;=EOMONTH($AQ7,0)))&gt;0)*(((職員マスタ!$H$6:$H$405="")+(職員マスタ!$H$6:$H$405&gt;=$AQ7))&gt;0)*(ROW(職員マスタ!$A$6:$A$405)-5)))&gt;0,SUMPRODUCT(MAX((職員マスタ!$A$6:$A$405=$B7)*(((職員マスタ!$G$6:$G$405="")+(職員マスタ!$G$6:$G$405&lt;=EOMONTH($AQ7,0)))&gt;0)*(((職員マスタ!$H$6:$H$405="")+(職員マスタ!$H$6:$H$405&gt;=$AQ7))&gt;0)*(ROW(職員マスタ!$A$6:$A$405)-5))),IFERROR(MATCH($B7,職員マスタ!$A$6:$A$405,0),"")))</f>
        <v/>
      </c>
      <c r="AQ7" s="16">
        <f>IF(OR($B7="",$C7="",$D7=""),"",DATE($C7+2018,$D7,1))</f>
        <v/>
      </c>
    </row>
    <row r="8">
      <c r="A8" s="11" t="n"/>
      <c r="B8" s="12" t="n">
        <v>5901723</v>
      </c>
      <c r="C8" s="12" t="n">
        <v>8</v>
      </c>
      <c r="D8" s="12" t="n">
        <v>7</v>
      </c>
      <c r="E8" s="13" t="n">
        <v>397430</v>
      </c>
      <c r="F8" s="12" t="n"/>
      <c r="G8" s="13" t="n"/>
      <c r="H8" s="12" t="n"/>
      <c r="I8" s="12" t="n"/>
      <c r="J8" s="12" t="n"/>
      <c r="K8" s="12" t="n"/>
      <c r="L8" s="11" t="n"/>
      <c r="M8" s="11" t="n"/>
      <c r="N8" s="11" t="n"/>
      <c r="O8" s="11" t="n"/>
      <c r="P8" s="12" t="n"/>
      <c r="Q8" s="11" t="n"/>
      <c r="R8" s="12" t="n"/>
      <c r="S8" s="11" t="n"/>
      <c r="T8" s="12" t="n"/>
      <c r="U8" s="12" t="n"/>
      <c r="V8" s="12" t="n"/>
      <c r="W8" s="13" t="n"/>
      <c r="X8" s="14">
        <f>IF($AP8="",IF($B8="","",$H8),IF(INDEX(職員マスタ!$B$6:$B$405,$AP8)="",$H8,INDEX(職員マスタ!$B$6:$B$405,$AP8)))</f>
        <v/>
      </c>
      <c r="Y8" s="14">
        <f>IF($AP8="",IF($B8="","",$R8),IF(INDEX(職員マスタ!$C$6:$C$405,$AP8)="",$R8,INDEX(職員マスタ!$C$6:$C$405,$AP8)))</f>
        <v/>
      </c>
      <c r="Z8" s="14">
        <f>IF($AQ8="","","R"&amp;$C8&amp;"."&amp;$D8)</f>
        <v/>
      </c>
      <c r="AA8" s="15">
        <f>IF(IF($AP8="",FALSE,INDEX(職員マスタ!$K$6:$K$405,$AP8)&lt;&gt;""),INDEX(職員マスタ!$K$6:$K$405,$AP8),IF(N($W8)&gt;0,$W8,""))</f>
        <v/>
      </c>
      <c r="AB8" s="14">
        <f>IF(OR($E8="",$AA8=""),"",IF($E8&gt;=$AA8,"×",IF($E8&gt;=$AA8*設定!$C$5,"△","○")))</f>
        <v/>
      </c>
      <c r="AC8" s="15">
        <f>IF($AB8="","",IF($AB8="×",0,IF($AB8="○",ROUNDDOWN($E8*設定!$C$4,0),ROUNDDOWN($E8*ROUND((9*$AA8-9*$E8)/(10*$E8),4),0))))</f>
        <v/>
      </c>
      <c r="AD8" s="13" t="n"/>
      <c r="AE8" s="15">
        <f>IF($B8="","",IF($AD8&lt;&gt;"",$AD8,IF($AC8="","",IF($AC8&lt;=設定!$C$3,0,$AC8))))</f>
        <v/>
      </c>
      <c r="AF8" s="14">
        <f>IF($B8="","",IF(AND($AG8&lt;&gt;"",$AI8="",$AL8=""),"保留中",IF($AL8&lt;&gt;"",IF(N($AE8)&gt;0,"支給済","不支給"),IF($AE8="","要確認",IF($AE8=0,"不支給","未処理")))))</f>
        <v/>
      </c>
      <c r="AG8" s="12" t="n"/>
      <c r="AH8" s="11" t="n"/>
      <c r="AI8" s="11" t="n"/>
      <c r="AJ8" s="11" t="n"/>
      <c r="AK8" s="14">
        <f>IF(AND($AF8="保留中",$AH8&lt;&gt;""),TODAY()-$AH8,"")</f>
        <v/>
      </c>
      <c r="AL8" s="12" t="inlineStr">
        <is>
          <t>R8.9</t>
        </is>
      </c>
      <c r="AM8" s="14">
        <f>IF($B8="","",IF($AQ8="","対象年月が未入力／","")&amp;IF($B8="","",IF($AP8="","職員マスタに未登録の職員番号／",IF($AA8="","標準報酬月額が未登録／","")&amp;IF(AND($AQ8&lt;&gt;"",OR(AND(INDEX(職員マスタ!$G$6:$G$405,$AP8)&lt;&gt;"",INDEX(職員マスタ!$G$6:$G$405,$AP8)&gt;EOMONTH($AQ8,0)),AND(INDEX(職員マスタ!$H$6:$H$405,$AP8)&lt;&gt;"",INDEX(職員マスタ!$H$6:$H$405,$AP8)&lt;$AQ8))),"対象月が時短期間外／","")&amp;IF(AND(INDEX(職員マスタ!$K$6:$K$405,$AP8)&lt;&gt;"",N($W8)&gt;0,INDEX(職員マスタ!$K$6:$K$405,$AP8)&lt;&gt;$W8),"標準報酬月額が申請書と相違（台帳"&amp;TEXT(INDEX(職員マスタ!$K$6:$K$405,$AP8),"#,##0")&amp;"円／申請書"&amp;TEXT($W8,"#,##0")&amp;"円）／","")&amp;IF(AND(INDEX(職員マスタ!$F$6:$F$405,$AP8)&lt;&gt;"",$AQ8&lt;&gt;"",INDEX(職員マスタ!$F$6:$F$405,$AP8)&lt;$AQ8),"対象月に子が2歳到達済／","")&amp;IF(AND($H8&lt;&gt;"",INDEX(職員マスタ!$B$6:$B$405,$AP8)&lt;&gt;"",SUBSTITUTE(SUBSTITUTE($H8," ","")," ","")&lt;&gt;SUBSTITUTE(SUBSTITUTE(INDEX(職員マスタ!$B$6:$B$405,$AP8)," ","")," ","")),"氏名がマスタと相違／","")&amp;IF(AND($Q8&lt;&gt;"",INDEX(職員マスタ!$E$6:$E$405,$AP8)&lt;&gt;"",$Q8&lt;&gt;INDEX(職員マスタ!$E$6:$E$405,$AP8)),"子の生年月日がマスタと相違／","")&amp;IF(AND($L8&lt;&gt;"",INDEX(職員マスタ!$G$6:$G$405,$AP8)&lt;&gt;"",$L8&lt;&gt;INDEX(職員マスタ!$G$6:$G$405,$AP8)),"時短開始日がマスタと相違／","")&amp;IF(AND($M8&lt;&gt;"",INDEX(職員マスタ!$H$6:$H$405,$AP8)&lt;&gt;"",$M8&lt;&gt;INDEX(職員マスタ!$H$6:$H$405,$AP8)),"時短終了日がマスタと相違／","")))&amp;IF(AND($B8&lt;&gt;"",$E8=""),"報酬額が未入力／","")&amp;IF(N($U8)&gt;0,"申請書に入力エラーが残っています／","")&amp;IF(AND($B8&lt;&gt;"",$AQ8&lt;&gt;""),IF(COUNTIFS($B$6:$B$3005,$B8,$C$6:$C$3005,$C8,$D$6:$D$3005,$D8)&gt;1,"同じ月の請求が重複しています／",""),"")&amp;IF(AND(N($E8)&gt;0,$AB8&lt;&gt;"",$AB8&lt;&gt;"×",$AE8=0,$AD8=""),"計算額が下限以下のため不支給／",""))</f>
        <v/>
      </c>
      <c r="AN8" s="12" t="n"/>
      <c r="AO8" s="14">
        <f>IF($AF8="保留中",COUNTIF($AF$6:$AF8,"保留中"),"")</f>
        <v/>
      </c>
      <c r="AP8" s="14">
        <f>IF($AQ8="","",IF(SUMPRODUCT(MAX((職員マスタ!$A$6:$A$405=$B8)*(((職員マスタ!$G$6:$G$405="")+(職員マスタ!$G$6:$G$405&lt;=EOMONTH($AQ8,0)))&gt;0)*(((職員マスタ!$H$6:$H$405="")+(職員マスタ!$H$6:$H$405&gt;=$AQ8))&gt;0)*(ROW(職員マスタ!$A$6:$A$405)-5)))&gt;0,SUMPRODUCT(MAX((職員マスタ!$A$6:$A$405=$B8)*(((職員マスタ!$G$6:$G$405="")+(職員マスタ!$G$6:$G$405&lt;=EOMONTH($AQ8,0)))&gt;0)*(((職員マスタ!$H$6:$H$405="")+(職員マスタ!$H$6:$H$405&gt;=$AQ8))&gt;0)*(ROW(職員マスタ!$A$6:$A$405)-5))),IFERROR(MATCH($B8,職員マスタ!$A$6:$A$405,0),"")))</f>
        <v/>
      </c>
      <c r="AQ8" s="16">
        <f>IF(OR($B8="",$C8="",$D8=""),"",DATE($C8+2018,$D8,1))</f>
        <v/>
      </c>
    </row>
    <row r="9">
      <c r="A9" s="11" t="n"/>
      <c r="B9" s="12" t="n">
        <v>5901723</v>
      </c>
      <c r="C9" s="12" t="n">
        <v>8</v>
      </c>
      <c r="D9" s="12" t="n">
        <v>8</v>
      </c>
      <c r="E9" s="13" t="n">
        <v>378376</v>
      </c>
      <c r="F9" s="12" t="n"/>
      <c r="G9" s="13" t="n"/>
      <c r="H9" s="12" t="n"/>
      <c r="I9" s="12" t="n"/>
      <c r="J9" s="12" t="n"/>
      <c r="K9" s="12" t="n"/>
      <c r="L9" s="11" t="n"/>
      <c r="M9" s="11" t="n"/>
      <c r="N9" s="11" t="n"/>
      <c r="O9" s="11" t="n"/>
      <c r="P9" s="12" t="n"/>
      <c r="Q9" s="11" t="n"/>
      <c r="R9" s="12" t="n"/>
      <c r="S9" s="11" t="n"/>
      <c r="T9" s="12" t="n"/>
      <c r="U9" s="12" t="n"/>
      <c r="V9" s="12" t="n"/>
      <c r="W9" s="13" t="n"/>
      <c r="X9" s="14">
        <f>IF($AP9="",IF($B9="","",$H9),IF(INDEX(職員マスタ!$B$6:$B$405,$AP9)="",$H9,INDEX(職員マスタ!$B$6:$B$405,$AP9)))</f>
        <v/>
      </c>
      <c r="Y9" s="14">
        <f>IF($AP9="",IF($B9="","",$R9),IF(INDEX(職員マスタ!$C$6:$C$405,$AP9)="",$R9,INDEX(職員マスタ!$C$6:$C$405,$AP9)))</f>
        <v/>
      </c>
      <c r="Z9" s="14">
        <f>IF($AQ9="","","R"&amp;$C9&amp;"."&amp;$D9)</f>
        <v/>
      </c>
      <c r="AA9" s="15">
        <f>IF(IF($AP9="",FALSE,INDEX(職員マスタ!$K$6:$K$405,$AP9)&lt;&gt;""),INDEX(職員マスタ!$K$6:$K$405,$AP9),IF(N($W9)&gt;0,$W9,""))</f>
        <v/>
      </c>
      <c r="AB9" s="14">
        <f>IF(OR($E9="",$AA9=""),"",IF($E9&gt;=$AA9,"×",IF($E9&gt;=$AA9*設定!$C$5,"△","○")))</f>
        <v/>
      </c>
      <c r="AC9" s="15">
        <f>IF($AB9="","",IF($AB9="×",0,IF($AB9="○",ROUNDDOWN($E9*設定!$C$4,0),ROUNDDOWN($E9*ROUND((9*$AA9-9*$E9)/(10*$E9),4),0))))</f>
        <v/>
      </c>
      <c r="AD9" s="13" t="n"/>
      <c r="AE9" s="15">
        <f>IF($B9="","",IF($AD9&lt;&gt;"",$AD9,IF($AC9="","",IF($AC9&lt;=設定!$C$3,0,$AC9))))</f>
        <v/>
      </c>
      <c r="AF9" s="14">
        <f>IF($B9="","",IF(AND($AG9&lt;&gt;"",$AI9="",$AL9=""),"保留中",IF($AL9&lt;&gt;"",IF(N($AE9)&gt;0,"支給済","不支給"),IF($AE9="","要確認",IF($AE9=0,"不支給","未処理")))))</f>
        <v/>
      </c>
      <c r="AG9" s="12" t="n"/>
      <c r="AH9" s="11" t="n"/>
      <c r="AI9" s="11" t="n"/>
      <c r="AJ9" s="11" t="n"/>
      <c r="AK9" s="14">
        <f>IF(AND($AF9="保留中",$AH9&lt;&gt;""),TODAY()-$AH9,"")</f>
        <v/>
      </c>
      <c r="AL9" s="12" t="inlineStr">
        <is>
          <t>R8.10</t>
        </is>
      </c>
      <c r="AM9" s="14">
        <f>IF($B9="","",IF($AQ9="","対象年月が未入力／","")&amp;IF($B9="","",IF($AP9="","職員マスタに未登録の職員番号／",IF($AA9="","標準報酬月額が未登録／","")&amp;IF(AND($AQ9&lt;&gt;"",OR(AND(INDEX(職員マスタ!$G$6:$G$405,$AP9)&lt;&gt;"",INDEX(職員マスタ!$G$6:$G$405,$AP9)&gt;EOMONTH($AQ9,0)),AND(INDEX(職員マスタ!$H$6:$H$405,$AP9)&lt;&gt;"",INDEX(職員マスタ!$H$6:$H$405,$AP9)&lt;$AQ9))),"対象月が時短期間外／","")&amp;IF(AND(INDEX(職員マスタ!$K$6:$K$405,$AP9)&lt;&gt;"",N($W9)&gt;0,INDEX(職員マスタ!$K$6:$K$405,$AP9)&lt;&gt;$W9),"標準報酬月額が申請書と相違（台帳"&amp;TEXT(INDEX(職員マスタ!$K$6:$K$405,$AP9),"#,##0")&amp;"円／申請書"&amp;TEXT($W9,"#,##0")&amp;"円）／","")&amp;IF(AND(INDEX(職員マスタ!$F$6:$F$405,$AP9)&lt;&gt;"",$AQ9&lt;&gt;"",INDEX(職員マスタ!$F$6:$F$405,$AP9)&lt;$AQ9),"対象月に子が2歳到達済／","")&amp;IF(AND($H9&lt;&gt;"",INDEX(職員マスタ!$B$6:$B$405,$AP9)&lt;&gt;"",SUBSTITUTE(SUBSTITUTE($H9," ","")," ","")&lt;&gt;SUBSTITUTE(SUBSTITUTE(INDEX(職員マスタ!$B$6:$B$405,$AP9)," ","")," ","")),"氏名がマスタと相違／","")&amp;IF(AND($Q9&lt;&gt;"",INDEX(職員マスタ!$E$6:$E$405,$AP9)&lt;&gt;"",$Q9&lt;&gt;INDEX(職員マスタ!$E$6:$E$405,$AP9)),"子の生年月日がマスタと相違／","")&amp;IF(AND($L9&lt;&gt;"",INDEX(職員マスタ!$G$6:$G$405,$AP9)&lt;&gt;"",$L9&lt;&gt;INDEX(職員マスタ!$G$6:$G$405,$AP9)),"時短開始日がマスタと相違／","")&amp;IF(AND($M9&lt;&gt;"",INDEX(職員マスタ!$H$6:$H$405,$AP9)&lt;&gt;"",$M9&lt;&gt;INDEX(職員マスタ!$H$6:$H$405,$AP9)),"時短終了日がマスタと相違／","")))&amp;IF(AND($B9&lt;&gt;"",$E9=""),"報酬額が未入力／","")&amp;IF(N($U9)&gt;0,"申請書に入力エラーが残っています／","")&amp;IF(AND($B9&lt;&gt;"",$AQ9&lt;&gt;""),IF(COUNTIFS($B$6:$B$3005,$B9,$C$6:$C$3005,$C9,$D$6:$D$3005,$D9)&gt;1,"同じ月の請求が重複しています／",""),"")&amp;IF(AND(N($E9)&gt;0,$AB9&lt;&gt;"",$AB9&lt;&gt;"×",$AE9=0,$AD9=""),"計算額が下限以下のため不支給／",""))</f>
        <v/>
      </c>
      <c r="AN9" s="12" t="n"/>
      <c r="AO9" s="14">
        <f>IF($AF9="保留中",COUNTIF($AF$6:$AF9,"保留中"),"")</f>
        <v/>
      </c>
      <c r="AP9" s="14">
        <f>IF($AQ9="","",IF(SUMPRODUCT(MAX((職員マスタ!$A$6:$A$405=$B9)*(((職員マスタ!$G$6:$G$405="")+(職員マスタ!$G$6:$G$405&lt;=EOMONTH($AQ9,0)))&gt;0)*(((職員マスタ!$H$6:$H$405="")+(職員マスタ!$H$6:$H$405&gt;=$AQ9))&gt;0)*(ROW(職員マスタ!$A$6:$A$405)-5)))&gt;0,SUMPRODUCT(MAX((職員マスタ!$A$6:$A$405=$B9)*(((職員マスタ!$G$6:$G$405="")+(職員マスタ!$G$6:$G$405&lt;=EOMONTH($AQ9,0)))&gt;0)*(((職員マスタ!$H$6:$H$405="")+(職員マスタ!$H$6:$H$405&gt;=$AQ9))&gt;0)*(ROW(職員マスタ!$A$6:$A$405)-5))),IFERROR(MATCH($B9,職員マスタ!$A$6:$A$405,0),"")))</f>
        <v/>
      </c>
      <c r="AQ9" s="16">
        <f>IF(OR($B9="",$C9="",$D9=""),"",DATE($C9+2018,$D9,1))</f>
        <v/>
      </c>
    </row>
    <row r="10">
      <c r="A10" s="11" t="n"/>
      <c r="B10" s="12" t="n">
        <v>6202204</v>
      </c>
      <c r="C10" s="12" t="n">
        <v>7</v>
      </c>
      <c r="D10" s="12" t="n">
        <v>4</v>
      </c>
      <c r="E10" s="13" t="n">
        <v>153009</v>
      </c>
      <c r="F10" s="12" t="n"/>
      <c r="G10" s="13" t="n"/>
      <c r="H10" s="12" t="n"/>
      <c r="I10" s="12" t="n"/>
      <c r="J10" s="12" t="n"/>
      <c r="K10" s="12" t="n"/>
      <c r="L10" s="11" t="n"/>
      <c r="M10" s="11" t="n"/>
      <c r="N10" s="11" t="n"/>
      <c r="O10" s="11" t="n"/>
      <c r="P10" s="12" t="n"/>
      <c r="Q10" s="11" t="n"/>
      <c r="R10" s="12" t="n"/>
      <c r="S10" s="11" t="n"/>
      <c r="T10" s="12" t="n"/>
      <c r="U10" s="12" t="n"/>
      <c r="V10" s="12" t="n"/>
      <c r="W10" s="13" t="n"/>
      <c r="X10" s="14">
        <f>IF($AP10="",IF($B10="","",$H10),IF(INDEX(職員マスタ!$B$6:$B$405,$AP10)="",$H10,INDEX(職員マスタ!$B$6:$B$405,$AP10)))</f>
        <v/>
      </c>
      <c r="Y10" s="14">
        <f>IF($AP10="",IF($B10="","",$R10),IF(INDEX(職員マスタ!$C$6:$C$405,$AP10)="",$R10,INDEX(職員マスタ!$C$6:$C$405,$AP10)))</f>
        <v/>
      </c>
      <c r="Z10" s="14">
        <f>IF($AQ10="","","R"&amp;$C10&amp;"."&amp;$D10)</f>
        <v/>
      </c>
      <c r="AA10" s="15">
        <f>IF(IF($AP10="",FALSE,INDEX(職員マスタ!$K$6:$K$405,$AP10)&lt;&gt;""),INDEX(職員マスタ!$K$6:$K$405,$AP10),IF(N($W10)&gt;0,$W10,""))</f>
        <v/>
      </c>
      <c r="AB10" s="14">
        <f>IF(OR($E10="",$AA10=""),"",IF($E10&gt;=$AA10,"×",IF($E10&gt;=$AA10*設定!$C$5,"△","○")))</f>
        <v/>
      </c>
      <c r="AC10" s="15">
        <f>IF($AB10="","",IF($AB10="×",0,IF($AB10="○",ROUNDDOWN($E10*設定!$C$4,0),ROUNDDOWN($E10*ROUND((9*$AA10-9*$E10)/(10*$E10),4),0))))</f>
        <v/>
      </c>
      <c r="AD10" s="13" t="n"/>
      <c r="AE10" s="15">
        <f>IF($B10="","",IF($AD10&lt;&gt;"",$AD10,IF($AC10="","",IF($AC10&lt;=設定!$C$3,0,$AC10))))</f>
        <v/>
      </c>
      <c r="AF10" s="14">
        <f>IF($B10="","",IF(AND($AG10&lt;&gt;"",$AI10="",$AL10=""),"保留中",IF($AL10&lt;&gt;"",IF(N($AE10)&gt;0,"支給済","不支給"),IF($AE10="","要確認",IF($AE10=0,"不支給","未処理")))))</f>
        <v/>
      </c>
      <c r="AG10" s="12" t="n"/>
      <c r="AH10" s="11" t="n"/>
      <c r="AI10" s="11" t="n"/>
      <c r="AJ10" s="11" t="n"/>
      <c r="AK10" s="14">
        <f>IF(AND($AF10="保留中",$AH10&lt;&gt;""),TODAY()-$AH10,"")</f>
        <v/>
      </c>
      <c r="AL10" s="12" t="inlineStr">
        <is>
          <t>R7.8</t>
        </is>
      </c>
      <c r="AM10" s="14">
        <f>IF($B10="","",IF($AQ10="","対象年月が未入力／","")&amp;IF($B10="","",IF($AP10="","職員マスタに未登録の職員番号／",IF($AA10="","標準報酬月額が未登録／","")&amp;IF(AND($AQ10&lt;&gt;"",OR(AND(INDEX(職員マスタ!$G$6:$G$405,$AP10)&lt;&gt;"",INDEX(職員マスタ!$G$6:$G$405,$AP10)&gt;EOMONTH($AQ10,0)),AND(INDEX(職員マスタ!$H$6:$H$405,$AP10)&lt;&gt;"",INDEX(職員マスタ!$H$6:$H$405,$AP10)&lt;$AQ10))),"対象月が時短期間外／","")&amp;IF(AND(INDEX(職員マスタ!$K$6:$K$405,$AP10)&lt;&gt;"",N($W10)&gt;0,INDEX(職員マスタ!$K$6:$K$405,$AP10)&lt;&gt;$W10),"標準報酬月額が申請書と相違（台帳"&amp;TEXT(INDEX(職員マスタ!$K$6:$K$405,$AP10),"#,##0")&amp;"円／申請書"&amp;TEXT($W10,"#,##0")&amp;"円）／","")&amp;IF(AND(INDEX(職員マスタ!$F$6:$F$405,$AP10)&lt;&gt;"",$AQ10&lt;&gt;"",INDEX(職員マスタ!$F$6:$F$405,$AP10)&lt;$AQ10),"対象月に子が2歳到達済／","")&amp;IF(AND($H10&lt;&gt;"",INDEX(職員マスタ!$B$6:$B$405,$AP10)&lt;&gt;"",SUBSTITUTE(SUBSTITUTE($H10," ","")," ","")&lt;&gt;SUBSTITUTE(SUBSTITUTE(INDEX(職員マスタ!$B$6:$B$405,$AP10)," ","")," ","")),"氏名がマスタと相違／","")&amp;IF(AND($Q10&lt;&gt;"",INDEX(職員マスタ!$E$6:$E$405,$AP10)&lt;&gt;"",$Q10&lt;&gt;INDEX(職員マスタ!$E$6:$E$405,$AP10)),"子の生年月日がマスタと相違／","")&amp;IF(AND($L10&lt;&gt;"",INDEX(職員マスタ!$G$6:$G$405,$AP10)&lt;&gt;"",$L10&lt;&gt;INDEX(職員マスタ!$G$6:$G$405,$AP10)),"時短開始日がマスタと相違／","")&amp;IF(AND($M10&lt;&gt;"",INDEX(職員マスタ!$H$6:$H$405,$AP10)&lt;&gt;"",$M10&lt;&gt;INDEX(職員マスタ!$H$6:$H$405,$AP10)),"時短終了日がマスタと相違／","")))&amp;IF(AND($B10&lt;&gt;"",$E10=""),"報酬額が未入力／","")&amp;IF(N($U10)&gt;0,"申請書に入力エラーが残っています／","")&amp;IF(AND($B10&lt;&gt;"",$AQ10&lt;&gt;""),IF(COUNTIFS($B$6:$B$3005,$B10,$C$6:$C$3005,$C10,$D$6:$D$3005,$D10)&gt;1,"同じ月の請求が重複しています／",""),"")&amp;IF(AND(N($E10)&gt;0,$AB10&lt;&gt;"",$AB10&lt;&gt;"×",$AE10=0,$AD10=""),"計算額が下限以下のため不支給／",""))</f>
        <v/>
      </c>
      <c r="AN10" s="12" t="n"/>
      <c r="AO10" s="14">
        <f>IF($AF10="保留中",COUNTIF($AF$6:$AF10,"保留中"),"")</f>
        <v/>
      </c>
      <c r="AP10" s="14">
        <f>IF($AQ10="","",IF(SUMPRODUCT(MAX((職員マスタ!$A$6:$A$405=$B10)*(((職員マスタ!$G$6:$G$405="")+(職員マスタ!$G$6:$G$405&lt;=EOMONTH($AQ10,0)))&gt;0)*(((職員マスタ!$H$6:$H$405="")+(職員マスタ!$H$6:$H$405&gt;=$AQ10))&gt;0)*(ROW(職員マスタ!$A$6:$A$405)-5)))&gt;0,SUMPRODUCT(MAX((職員マスタ!$A$6:$A$405=$B10)*(((職員マスタ!$G$6:$G$405="")+(職員マスタ!$G$6:$G$405&lt;=EOMONTH($AQ10,0)))&gt;0)*(((職員マスタ!$H$6:$H$405="")+(職員マスタ!$H$6:$H$405&gt;=$AQ10))&gt;0)*(ROW(職員マスタ!$A$6:$A$405)-5))),IFERROR(MATCH($B10,職員マスタ!$A$6:$A$405,0),"")))</f>
        <v/>
      </c>
      <c r="AQ10" s="16">
        <f>IF(OR($B10="",$C10="",$D10=""),"",DATE($C10+2018,$D10,1))</f>
        <v/>
      </c>
    </row>
    <row r="11">
      <c r="A11" s="11" t="n"/>
      <c r="B11" s="12" t="n">
        <v>6202204</v>
      </c>
      <c r="C11" s="12" t="n">
        <v>7</v>
      </c>
      <c r="D11" s="12" t="n">
        <v>5</v>
      </c>
      <c r="E11" s="13" t="n">
        <v>207843</v>
      </c>
      <c r="F11" s="12" t="n"/>
      <c r="G11" s="13" t="n"/>
      <c r="H11" s="12" t="n"/>
      <c r="I11" s="12" t="n"/>
      <c r="J11" s="12" t="n"/>
      <c r="K11" s="12" t="n"/>
      <c r="L11" s="11" t="n"/>
      <c r="M11" s="11" t="n"/>
      <c r="N11" s="11" t="n"/>
      <c r="O11" s="11" t="n"/>
      <c r="P11" s="12" t="n"/>
      <c r="Q11" s="11" t="n"/>
      <c r="R11" s="12" t="n"/>
      <c r="S11" s="11" t="n"/>
      <c r="T11" s="12" t="n"/>
      <c r="U11" s="12" t="n"/>
      <c r="V11" s="12" t="n"/>
      <c r="W11" s="13" t="n"/>
      <c r="X11" s="14">
        <f>IF($AP11="",IF($B11="","",$H11),IF(INDEX(職員マスタ!$B$6:$B$405,$AP11)="",$H11,INDEX(職員マスタ!$B$6:$B$405,$AP11)))</f>
        <v/>
      </c>
      <c r="Y11" s="14">
        <f>IF($AP11="",IF($B11="","",$R11),IF(INDEX(職員マスタ!$C$6:$C$405,$AP11)="",$R11,INDEX(職員マスタ!$C$6:$C$405,$AP11)))</f>
        <v/>
      </c>
      <c r="Z11" s="14">
        <f>IF($AQ11="","","R"&amp;$C11&amp;"."&amp;$D11)</f>
        <v/>
      </c>
      <c r="AA11" s="15">
        <f>IF(IF($AP11="",FALSE,INDEX(職員マスタ!$K$6:$K$405,$AP11)&lt;&gt;""),INDEX(職員マスタ!$K$6:$K$405,$AP11),IF(N($W11)&gt;0,$W11,""))</f>
        <v/>
      </c>
      <c r="AB11" s="14">
        <f>IF(OR($E11="",$AA11=""),"",IF($E11&gt;=$AA11,"×",IF($E11&gt;=$AA11*設定!$C$5,"△","○")))</f>
        <v/>
      </c>
      <c r="AC11" s="15">
        <f>IF($AB11="","",IF($AB11="×",0,IF($AB11="○",ROUNDDOWN($E11*設定!$C$4,0),ROUNDDOWN($E11*ROUND((9*$AA11-9*$E11)/(10*$E11),4),0))))</f>
        <v/>
      </c>
      <c r="AD11" s="13" t="n"/>
      <c r="AE11" s="15">
        <f>IF($B11="","",IF($AD11&lt;&gt;"",$AD11,IF($AC11="","",IF($AC11&lt;=設定!$C$3,0,$AC11))))</f>
        <v/>
      </c>
      <c r="AF11" s="14">
        <f>IF($B11="","",IF(AND($AG11&lt;&gt;"",$AI11="",$AL11=""),"保留中",IF($AL11&lt;&gt;"",IF(N($AE11)&gt;0,"支給済","不支給"),IF($AE11="","要確認",IF($AE11=0,"不支給","未処理")))))</f>
        <v/>
      </c>
      <c r="AG11" s="12" t="n"/>
      <c r="AH11" s="11" t="n"/>
      <c r="AI11" s="11" t="n"/>
      <c r="AJ11" s="11" t="n"/>
      <c r="AK11" s="14">
        <f>IF(AND($AF11="保留中",$AH11&lt;&gt;""),TODAY()-$AH11,"")</f>
        <v/>
      </c>
      <c r="AL11" s="12" t="inlineStr">
        <is>
          <t>R7.8</t>
        </is>
      </c>
      <c r="AM11" s="14">
        <f>IF($B11="","",IF($AQ11="","対象年月が未入力／","")&amp;IF($B11="","",IF($AP11="","職員マスタに未登録の職員番号／",IF($AA11="","標準報酬月額が未登録／","")&amp;IF(AND($AQ11&lt;&gt;"",OR(AND(INDEX(職員マスタ!$G$6:$G$405,$AP11)&lt;&gt;"",INDEX(職員マスタ!$G$6:$G$405,$AP11)&gt;EOMONTH($AQ11,0)),AND(INDEX(職員マスタ!$H$6:$H$405,$AP11)&lt;&gt;"",INDEX(職員マスタ!$H$6:$H$405,$AP11)&lt;$AQ11))),"対象月が時短期間外／","")&amp;IF(AND(INDEX(職員マスタ!$K$6:$K$405,$AP11)&lt;&gt;"",N($W11)&gt;0,INDEX(職員マスタ!$K$6:$K$405,$AP11)&lt;&gt;$W11),"標準報酬月額が申請書と相違（台帳"&amp;TEXT(INDEX(職員マスタ!$K$6:$K$405,$AP11),"#,##0")&amp;"円／申請書"&amp;TEXT($W11,"#,##0")&amp;"円）／","")&amp;IF(AND(INDEX(職員マスタ!$F$6:$F$405,$AP11)&lt;&gt;"",$AQ11&lt;&gt;"",INDEX(職員マスタ!$F$6:$F$405,$AP11)&lt;$AQ11),"対象月に子が2歳到達済／","")&amp;IF(AND($H11&lt;&gt;"",INDEX(職員マスタ!$B$6:$B$405,$AP11)&lt;&gt;"",SUBSTITUTE(SUBSTITUTE($H11," ","")," ","")&lt;&gt;SUBSTITUTE(SUBSTITUTE(INDEX(職員マスタ!$B$6:$B$405,$AP11)," ","")," ","")),"氏名がマスタと相違／","")&amp;IF(AND($Q11&lt;&gt;"",INDEX(職員マスタ!$E$6:$E$405,$AP11)&lt;&gt;"",$Q11&lt;&gt;INDEX(職員マスタ!$E$6:$E$405,$AP11)),"子の生年月日がマスタと相違／","")&amp;IF(AND($L11&lt;&gt;"",INDEX(職員マスタ!$G$6:$G$405,$AP11)&lt;&gt;"",$L11&lt;&gt;INDEX(職員マスタ!$G$6:$G$405,$AP11)),"時短開始日がマスタと相違／","")&amp;IF(AND($M11&lt;&gt;"",INDEX(職員マスタ!$H$6:$H$405,$AP11)&lt;&gt;"",$M11&lt;&gt;INDEX(職員マスタ!$H$6:$H$405,$AP11)),"時短終了日がマスタと相違／","")))&amp;IF(AND($B11&lt;&gt;"",$E11=""),"報酬額が未入力／","")&amp;IF(N($U11)&gt;0,"申請書に入力エラーが残っています／","")&amp;IF(AND($B11&lt;&gt;"",$AQ11&lt;&gt;""),IF(COUNTIFS($B$6:$B$3005,$B11,$C$6:$C$3005,$C11,$D$6:$D$3005,$D11)&gt;1,"同じ月の請求が重複しています／",""),"")&amp;IF(AND(N($E11)&gt;0,$AB11&lt;&gt;"",$AB11&lt;&gt;"×",$AE11=0,$AD11=""),"計算額が下限以下のため不支給／",""))</f>
        <v/>
      </c>
      <c r="AN11" s="12" t="n"/>
      <c r="AO11" s="14">
        <f>IF($AF11="保留中",COUNTIF($AF$6:$AF11,"保留中"),"")</f>
        <v/>
      </c>
      <c r="AP11" s="14">
        <f>IF($AQ11="","",IF(SUMPRODUCT(MAX((職員マスタ!$A$6:$A$405=$B11)*(((職員マスタ!$G$6:$G$405="")+(職員マスタ!$G$6:$G$405&lt;=EOMONTH($AQ11,0)))&gt;0)*(((職員マスタ!$H$6:$H$405="")+(職員マスタ!$H$6:$H$405&gt;=$AQ11))&gt;0)*(ROW(職員マスタ!$A$6:$A$405)-5)))&gt;0,SUMPRODUCT(MAX((職員マスタ!$A$6:$A$405=$B11)*(((職員マスタ!$G$6:$G$405="")+(職員マスタ!$G$6:$G$405&lt;=EOMONTH($AQ11,0)))&gt;0)*(((職員マスタ!$H$6:$H$405="")+(職員マスタ!$H$6:$H$405&gt;=$AQ11))&gt;0)*(ROW(職員マスタ!$A$6:$A$405)-5))),IFERROR(MATCH($B11,職員マスタ!$A$6:$A$405,0),"")))</f>
        <v/>
      </c>
      <c r="AQ11" s="16">
        <f>IF(OR($B11="",$C11="",$D11=""),"",DATE($C11+2018,$D11,1))</f>
        <v/>
      </c>
    </row>
    <row r="12">
      <c r="A12" s="11" t="n"/>
      <c r="B12" s="12" t="n">
        <v>6202204</v>
      </c>
      <c r="C12" s="12" t="n">
        <v>7</v>
      </c>
      <c r="D12" s="12" t="n">
        <v>6</v>
      </c>
      <c r="E12" s="13" t="n">
        <v>204190</v>
      </c>
      <c r="F12" s="12" t="n"/>
      <c r="G12" s="13" t="n"/>
      <c r="H12" s="12" t="n"/>
      <c r="I12" s="12" t="n"/>
      <c r="J12" s="12" t="n"/>
      <c r="K12" s="12" t="n"/>
      <c r="L12" s="11" t="n"/>
      <c r="M12" s="11" t="n"/>
      <c r="N12" s="11" t="n"/>
      <c r="O12" s="11" t="n"/>
      <c r="P12" s="12" t="n"/>
      <c r="Q12" s="11" t="n"/>
      <c r="R12" s="12" t="n"/>
      <c r="S12" s="11" t="n"/>
      <c r="T12" s="12" t="n"/>
      <c r="U12" s="12" t="n"/>
      <c r="V12" s="12" t="n"/>
      <c r="W12" s="13" t="n"/>
      <c r="X12" s="14">
        <f>IF($AP12="",IF($B12="","",$H12),IF(INDEX(職員マスタ!$B$6:$B$405,$AP12)="",$H12,INDEX(職員マスタ!$B$6:$B$405,$AP12)))</f>
        <v/>
      </c>
      <c r="Y12" s="14">
        <f>IF($AP12="",IF($B12="","",$R12),IF(INDEX(職員マスタ!$C$6:$C$405,$AP12)="",$R12,INDEX(職員マスタ!$C$6:$C$405,$AP12)))</f>
        <v/>
      </c>
      <c r="Z12" s="14">
        <f>IF($AQ12="","","R"&amp;$C12&amp;"."&amp;$D12)</f>
        <v/>
      </c>
      <c r="AA12" s="15">
        <f>IF(IF($AP12="",FALSE,INDEX(職員マスタ!$K$6:$K$405,$AP12)&lt;&gt;""),INDEX(職員マスタ!$K$6:$K$405,$AP12),IF(N($W12)&gt;0,$W12,""))</f>
        <v/>
      </c>
      <c r="AB12" s="14">
        <f>IF(OR($E12="",$AA12=""),"",IF($E12&gt;=$AA12,"×",IF($E12&gt;=$AA12*設定!$C$5,"△","○")))</f>
        <v/>
      </c>
      <c r="AC12" s="15">
        <f>IF($AB12="","",IF($AB12="×",0,IF($AB12="○",ROUNDDOWN($E12*設定!$C$4,0),ROUNDDOWN($E12*ROUND((9*$AA12-9*$E12)/(10*$E12),4),0))))</f>
        <v/>
      </c>
      <c r="AD12" s="13" t="n"/>
      <c r="AE12" s="15">
        <f>IF($B12="","",IF($AD12&lt;&gt;"",$AD12,IF($AC12="","",IF($AC12&lt;=設定!$C$3,0,$AC12))))</f>
        <v/>
      </c>
      <c r="AF12" s="14">
        <f>IF($B12="","",IF(AND($AG12&lt;&gt;"",$AI12="",$AL12=""),"保留中",IF($AL12&lt;&gt;"",IF(N($AE12)&gt;0,"支給済","不支給"),IF($AE12="","要確認",IF($AE12=0,"不支給","未処理")))))</f>
        <v/>
      </c>
      <c r="AG12" s="12" t="n"/>
      <c r="AH12" s="11" t="n"/>
      <c r="AI12" s="11" t="n"/>
      <c r="AJ12" s="11" t="n"/>
      <c r="AK12" s="14">
        <f>IF(AND($AF12="保留中",$AH12&lt;&gt;""),TODAY()-$AH12,"")</f>
        <v/>
      </c>
      <c r="AL12" s="12" t="inlineStr">
        <is>
          <t>R7.8</t>
        </is>
      </c>
      <c r="AM12" s="14">
        <f>IF($B12="","",IF($AQ12="","対象年月が未入力／","")&amp;IF($B12="","",IF($AP12="","職員マスタに未登録の職員番号／",IF($AA12="","標準報酬月額が未登録／","")&amp;IF(AND($AQ12&lt;&gt;"",OR(AND(INDEX(職員マスタ!$G$6:$G$405,$AP12)&lt;&gt;"",INDEX(職員マスタ!$G$6:$G$405,$AP12)&gt;EOMONTH($AQ12,0)),AND(INDEX(職員マスタ!$H$6:$H$405,$AP12)&lt;&gt;"",INDEX(職員マスタ!$H$6:$H$405,$AP12)&lt;$AQ12))),"対象月が時短期間外／","")&amp;IF(AND(INDEX(職員マスタ!$K$6:$K$405,$AP12)&lt;&gt;"",N($W12)&gt;0,INDEX(職員マスタ!$K$6:$K$405,$AP12)&lt;&gt;$W12),"標準報酬月額が申請書と相違（台帳"&amp;TEXT(INDEX(職員マスタ!$K$6:$K$405,$AP12),"#,##0")&amp;"円／申請書"&amp;TEXT($W12,"#,##0")&amp;"円）／","")&amp;IF(AND(INDEX(職員マスタ!$F$6:$F$405,$AP12)&lt;&gt;"",$AQ12&lt;&gt;"",INDEX(職員マスタ!$F$6:$F$405,$AP12)&lt;$AQ12),"対象月に子が2歳到達済／","")&amp;IF(AND($H12&lt;&gt;"",INDEX(職員マスタ!$B$6:$B$405,$AP12)&lt;&gt;"",SUBSTITUTE(SUBSTITUTE($H12," ","")," ","")&lt;&gt;SUBSTITUTE(SUBSTITUTE(INDEX(職員マスタ!$B$6:$B$405,$AP12)," ","")," ","")),"氏名がマスタと相違／","")&amp;IF(AND($Q12&lt;&gt;"",INDEX(職員マスタ!$E$6:$E$405,$AP12)&lt;&gt;"",$Q12&lt;&gt;INDEX(職員マスタ!$E$6:$E$405,$AP12)),"子の生年月日がマスタと相違／","")&amp;IF(AND($L12&lt;&gt;"",INDEX(職員マスタ!$G$6:$G$405,$AP12)&lt;&gt;"",$L12&lt;&gt;INDEX(職員マスタ!$G$6:$G$405,$AP12)),"時短開始日がマスタと相違／","")&amp;IF(AND($M12&lt;&gt;"",INDEX(職員マスタ!$H$6:$H$405,$AP12)&lt;&gt;"",$M12&lt;&gt;INDEX(職員マスタ!$H$6:$H$405,$AP12)),"時短終了日がマスタと相違／","")))&amp;IF(AND($B12&lt;&gt;"",$E12=""),"報酬額が未入力／","")&amp;IF(N($U12)&gt;0,"申請書に入力エラーが残っています／","")&amp;IF(AND($B12&lt;&gt;"",$AQ12&lt;&gt;""),IF(COUNTIFS($B$6:$B$3005,$B12,$C$6:$C$3005,$C12,$D$6:$D$3005,$D12)&gt;1,"同じ月の請求が重複しています／",""),"")&amp;IF(AND(N($E12)&gt;0,$AB12&lt;&gt;"",$AB12&lt;&gt;"×",$AE12=0,$AD12=""),"計算額が下限以下のため不支給／",""))</f>
        <v/>
      </c>
      <c r="AN12" s="12" t="n"/>
      <c r="AO12" s="14">
        <f>IF($AF12="保留中",COUNTIF($AF$6:$AF12,"保留中"),"")</f>
        <v/>
      </c>
      <c r="AP12" s="14">
        <f>IF($AQ12="","",IF(SUMPRODUCT(MAX((職員マスタ!$A$6:$A$405=$B12)*(((職員マスタ!$G$6:$G$405="")+(職員マスタ!$G$6:$G$405&lt;=EOMONTH($AQ12,0)))&gt;0)*(((職員マスタ!$H$6:$H$405="")+(職員マスタ!$H$6:$H$405&gt;=$AQ12))&gt;0)*(ROW(職員マスタ!$A$6:$A$405)-5)))&gt;0,SUMPRODUCT(MAX((職員マスタ!$A$6:$A$405=$B12)*(((職員マスタ!$G$6:$G$405="")+(職員マスタ!$G$6:$G$405&lt;=EOMONTH($AQ12,0)))&gt;0)*(((職員マスタ!$H$6:$H$405="")+(職員マスタ!$H$6:$H$405&gt;=$AQ12))&gt;0)*(ROW(職員マスタ!$A$6:$A$405)-5))),IFERROR(MATCH($B12,職員マスタ!$A$6:$A$405,0),"")))</f>
        <v/>
      </c>
      <c r="AQ12" s="16">
        <f>IF(OR($B12="",$C12="",$D12=""),"",DATE($C12+2018,$D12,1))</f>
        <v/>
      </c>
    </row>
    <row r="13">
      <c r="A13" s="11" t="n"/>
      <c r="B13" s="12" t="n">
        <v>6202204</v>
      </c>
      <c r="C13" s="12" t="n">
        <v>7</v>
      </c>
      <c r="D13" s="12" t="n">
        <v>7</v>
      </c>
      <c r="E13" s="13" t="n">
        <v>206249</v>
      </c>
      <c r="F13" s="12" t="n"/>
      <c r="G13" s="13" t="n"/>
      <c r="H13" s="12" t="n"/>
      <c r="I13" s="12" t="n"/>
      <c r="J13" s="12" t="n"/>
      <c r="K13" s="12" t="n"/>
      <c r="L13" s="11" t="n"/>
      <c r="M13" s="11" t="n"/>
      <c r="N13" s="11" t="n"/>
      <c r="O13" s="11" t="n"/>
      <c r="P13" s="12" t="n"/>
      <c r="Q13" s="11" t="n"/>
      <c r="R13" s="12" t="n"/>
      <c r="S13" s="11" t="n"/>
      <c r="T13" s="12" t="n"/>
      <c r="U13" s="12" t="n"/>
      <c r="V13" s="12" t="n"/>
      <c r="W13" s="13" t="n"/>
      <c r="X13" s="14">
        <f>IF($AP13="",IF($B13="","",$H13),IF(INDEX(職員マスタ!$B$6:$B$405,$AP13)="",$H13,INDEX(職員マスタ!$B$6:$B$405,$AP13)))</f>
        <v/>
      </c>
      <c r="Y13" s="14">
        <f>IF($AP13="",IF($B13="","",$R13),IF(INDEX(職員マスタ!$C$6:$C$405,$AP13)="",$R13,INDEX(職員マスタ!$C$6:$C$405,$AP13)))</f>
        <v/>
      </c>
      <c r="Z13" s="14">
        <f>IF($AQ13="","","R"&amp;$C13&amp;"."&amp;$D13)</f>
        <v/>
      </c>
      <c r="AA13" s="15">
        <f>IF(IF($AP13="",FALSE,INDEX(職員マスタ!$K$6:$K$405,$AP13)&lt;&gt;""),INDEX(職員マスタ!$K$6:$K$405,$AP13),IF(N($W13)&gt;0,$W13,""))</f>
        <v/>
      </c>
      <c r="AB13" s="14">
        <f>IF(OR($E13="",$AA13=""),"",IF($E13&gt;=$AA13,"×",IF($E13&gt;=$AA13*設定!$C$5,"△","○")))</f>
        <v/>
      </c>
      <c r="AC13" s="15">
        <f>IF($AB13="","",IF($AB13="×",0,IF($AB13="○",ROUNDDOWN($E13*設定!$C$4,0),ROUNDDOWN($E13*ROUND((9*$AA13-9*$E13)/(10*$E13),4),0))))</f>
        <v/>
      </c>
      <c r="AD13" s="13" t="n"/>
      <c r="AE13" s="15">
        <f>IF($B13="","",IF($AD13&lt;&gt;"",$AD13,IF($AC13="","",IF($AC13&lt;=設定!$C$3,0,$AC13))))</f>
        <v/>
      </c>
      <c r="AF13" s="14">
        <f>IF($B13="","",IF(AND($AG13&lt;&gt;"",$AI13="",$AL13=""),"保留中",IF($AL13&lt;&gt;"",IF(N($AE13)&gt;0,"支給済","不支給"),IF($AE13="","要確認",IF($AE13=0,"不支給","未処理")))))</f>
        <v/>
      </c>
      <c r="AG13" s="12" t="n"/>
      <c r="AH13" s="11" t="n"/>
      <c r="AI13" s="11" t="n"/>
      <c r="AJ13" s="11" t="n"/>
      <c r="AK13" s="14">
        <f>IF(AND($AF13="保留中",$AH13&lt;&gt;""),TODAY()-$AH13,"")</f>
        <v/>
      </c>
      <c r="AL13" s="12" t="inlineStr">
        <is>
          <t>R7.9</t>
        </is>
      </c>
      <c r="AM13" s="14">
        <f>IF($B13="","",IF($AQ13="","対象年月が未入力／","")&amp;IF($B13="","",IF($AP13="","職員マスタに未登録の職員番号／",IF($AA13="","標準報酬月額が未登録／","")&amp;IF(AND($AQ13&lt;&gt;"",OR(AND(INDEX(職員マスタ!$G$6:$G$405,$AP13)&lt;&gt;"",INDEX(職員マスタ!$G$6:$G$405,$AP13)&gt;EOMONTH($AQ13,0)),AND(INDEX(職員マスタ!$H$6:$H$405,$AP13)&lt;&gt;"",INDEX(職員マスタ!$H$6:$H$405,$AP13)&lt;$AQ13))),"対象月が時短期間外／","")&amp;IF(AND(INDEX(職員マスタ!$K$6:$K$405,$AP13)&lt;&gt;"",N($W13)&gt;0,INDEX(職員マスタ!$K$6:$K$405,$AP13)&lt;&gt;$W13),"標準報酬月額が申請書と相違（台帳"&amp;TEXT(INDEX(職員マスタ!$K$6:$K$405,$AP13),"#,##0")&amp;"円／申請書"&amp;TEXT($W13,"#,##0")&amp;"円）／","")&amp;IF(AND(INDEX(職員マスタ!$F$6:$F$405,$AP13)&lt;&gt;"",$AQ13&lt;&gt;"",INDEX(職員マスタ!$F$6:$F$405,$AP13)&lt;$AQ13),"対象月に子が2歳到達済／","")&amp;IF(AND($H13&lt;&gt;"",INDEX(職員マスタ!$B$6:$B$405,$AP13)&lt;&gt;"",SUBSTITUTE(SUBSTITUTE($H13," ","")," ","")&lt;&gt;SUBSTITUTE(SUBSTITUTE(INDEX(職員マスタ!$B$6:$B$405,$AP13)," ","")," ","")),"氏名がマスタと相違／","")&amp;IF(AND($Q13&lt;&gt;"",INDEX(職員マスタ!$E$6:$E$405,$AP13)&lt;&gt;"",$Q13&lt;&gt;INDEX(職員マスタ!$E$6:$E$405,$AP13)),"子の生年月日がマスタと相違／","")&amp;IF(AND($L13&lt;&gt;"",INDEX(職員マスタ!$G$6:$G$405,$AP13)&lt;&gt;"",$L13&lt;&gt;INDEX(職員マスタ!$G$6:$G$405,$AP13)),"時短開始日がマスタと相違／","")&amp;IF(AND($M13&lt;&gt;"",INDEX(職員マスタ!$H$6:$H$405,$AP13)&lt;&gt;"",$M13&lt;&gt;INDEX(職員マスタ!$H$6:$H$405,$AP13)),"時短終了日がマスタと相違／","")))&amp;IF(AND($B13&lt;&gt;"",$E13=""),"報酬額が未入力／","")&amp;IF(N($U13)&gt;0,"申請書に入力エラーが残っています／","")&amp;IF(AND($B13&lt;&gt;"",$AQ13&lt;&gt;""),IF(COUNTIFS($B$6:$B$3005,$B13,$C$6:$C$3005,$C13,$D$6:$D$3005,$D13)&gt;1,"同じ月の請求が重複しています／",""),"")&amp;IF(AND(N($E13)&gt;0,$AB13&lt;&gt;"",$AB13&lt;&gt;"×",$AE13=0,$AD13=""),"計算額が下限以下のため不支給／",""))</f>
        <v/>
      </c>
      <c r="AN13" s="12" t="n"/>
      <c r="AO13" s="14">
        <f>IF($AF13="保留中",COUNTIF($AF$6:$AF13,"保留中"),"")</f>
        <v/>
      </c>
      <c r="AP13" s="14">
        <f>IF($AQ13="","",IF(SUMPRODUCT(MAX((職員マスタ!$A$6:$A$405=$B13)*(((職員マスタ!$G$6:$G$405="")+(職員マスタ!$G$6:$G$405&lt;=EOMONTH($AQ13,0)))&gt;0)*(((職員マスタ!$H$6:$H$405="")+(職員マスタ!$H$6:$H$405&gt;=$AQ13))&gt;0)*(ROW(職員マスタ!$A$6:$A$405)-5)))&gt;0,SUMPRODUCT(MAX((職員マスタ!$A$6:$A$405=$B13)*(((職員マスタ!$G$6:$G$405="")+(職員マスタ!$G$6:$G$405&lt;=EOMONTH($AQ13,0)))&gt;0)*(((職員マスタ!$H$6:$H$405="")+(職員マスタ!$H$6:$H$405&gt;=$AQ13))&gt;0)*(ROW(職員マスタ!$A$6:$A$405)-5))),IFERROR(MATCH($B13,職員マスタ!$A$6:$A$405,0),"")))</f>
        <v/>
      </c>
      <c r="AQ13" s="16">
        <f>IF(OR($B13="",$C13="",$D13=""),"",DATE($C13+2018,$D13,1))</f>
        <v/>
      </c>
    </row>
    <row r="14">
      <c r="A14" s="11" t="n"/>
      <c r="B14" s="12" t="n">
        <v>6202204</v>
      </c>
      <c r="C14" s="12" t="n">
        <v>7</v>
      </c>
      <c r="D14" s="12" t="n">
        <v>8</v>
      </c>
      <c r="E14" s="13" t="n">
        <v>202131</v>
      </c>
      <c r="F14" s="12" t="n"/>
      <c r="G14" s="13" t="n"/>
      <c r="H14" s="12" t="n"/>
      <c r="I14" s="12" t="n"/>
      <c r="J14" s="12" t="n"/>
      <c r="K14" s="12" t="n"/>
      <c r="L14" s="11" t="n"/>
      <c r="M14" s="11" t="n"/>
      <c r="N14" s="11" t="n"/>
      <c r="O14" s="11" t="n"/>
      <c r="P14" s="12" t="n"/>
      <c r="Q14" s="11" t="n"/>
      <c r="R14" s="12" t="n"/>
      <c r="S14" s="11" t="n"/>
      <c r="T14" s="12" t="n"/>
      <c r="U14" s="12" t="n"/>
      <c r="V14" s="12" t="n"/>
      <c r="W14" s="13" t="n"/>
      <c r="X14" s="14">
        <f>IF($AP14="",IF($B14="","",$H14),IF(INDEX(職員マスタ!$B$6:$B$405,$AP14)="",$H14,INDEX(職員マスタ!$B$6:$B$405,$AP14)))</f>
        <v/>
      </c>
      <c r="Y14" s="14">
        <f>IF($AP14="",IF($B14="","",$R14),IF(INDEX(職員マスタ!$C$6:$C$405,$AP14)="",$R14,INDEX(職員マスタ!$C$6:$C$405,$AP14)))</f>
        <v/>
      </c>
      <c r="Z14" s="14">
        <f>IF($AQ14="","","R"&amp;$C14&amp;"."&amp;$D14)</f>
        <v/>
      </c>
      <c r="AA14" s="15">
        <f>IF(IF($AP14="",FALSE,INDEX(職員マスタ!$K$6:$K$405,$AP14)&lt;&gt;""),INDEX(職員マスタ!$K$6:$K$405,$AP14),IF(N($W14)&gt;0,$W14,""))</f>
        <v/>
      </c>
      <c r="AB14" s="14">
        <f>IF(OR($E14="",$AA14=""),"",IF($E14&gt;=$AA14,"×",IF($E14&gt;=$AA14*設定!$C$5,"△","○")))</f>
        <v/>
      </c>
      <c r="AC14" s="15">
        <f>IF($AB14="","",IF($AB14="×",0,IF($AB14="○",ROUNDDOWN($E14*設定!$C$4,0),ROUNDDOWN($E14*ROUND((9*$AA14-9*$E14)/(10*$E14),4),0))))</f>
        <v/>
      </c>
      <c r="AD14" s="13" t="n"/>
      <c r="AE14" s="15">
        <f>IF($B14="","",IF($AD14&lt;&gt;"",$AD14,IF($AC14="","",IF($AC14&lt;=設定!$C$3,0,$AC14))))</f>
        <v/>
      </c>
      <c r="AF14" s="14">
        <f>IF($B14="","",IF(AND($AG14&lt;&gt;"",$AI14="",$AL14=""),"保留中",IF($AL14&lt;&gt;"",IF(N($AE14)&gt;0,"支給済","不支給"),IF($AE14="","要確認",IF($AE14=0,"不支給","未処理")))))</f>
        <v/>
      </c>
      <c r="AG14" s="12" t="n"/>
      <c r="AH14" s="11" t="n"/>
      <c r="AI14" s="11" t="n"/>
      <c r="AJ14" s="11" t="n"/>
      <c r="AK14" s="14">
        <f>IF(AND($AF14="保留中",$AH14&lt;&gt;""),TODAY()-$AH14,"")</f>
        <v/>
      </c>
      <c r="AL14" s="12" t="inlineStr">
        <is>
          <t>R7.10</t>
        </is>
      </c>
      <c r="AM14" s="14">
        <f>IF($B14="","",IF($AQ14="","対象年月が未入力／","")&amp;IF($B14="","",IF($AP14="","職員マスタに未登録の職員番号／",IF($AA14="","標準報酬月額が未登録／","")&amp;IF(AND($AQ14&lt;&gt;"",OR(AND(INDEX(職員マスタ!$G$6:$G$405,$AP14)&lt;&gt;"",INDEX(職員マスタ!$G$6:$G$405,$AP14)&gt;EOMONTH($AQ14,0)),AND(INDEX(職員マスタ!$H$6:$H$405,$AP14)&lt;&gt;"",INDEX(職員マスタ!$H$6:$H$405,$AP14)&lt;$AQ14))),"対象月が時短期間外／","")&amp;IF(AND(INDEX(職員マスタ!$K$6:$K$405,$AP14)&lt;&gt;"",N($W14)&gt;0,INDEX(職員マスタ!$K$6:$K$405,$AP14)&lt;&gt;$W14),"標準報酬月額が申請書と相違（台帳"&amp;TEXT(INDEX(職員マスタ!$K$6:$K$405,$AP14),"#,##0")&amp;"円／申請書"&amp;TEXT($W14,"#,##0")&amp;"円）／","")&amp;IF(AND(INDEX(職員マスタ!$F$6:$F$405,$AP14)&lt;&gt;"",$AQ14&lt;&gt;"",INDEX(職員マスタ!$F$6:$F$405,$AP14)&lt;$AQ14),"対象月に子が2歳到達済／","")&amp;IF(AND($H14&lt;&gt;"",INDEX(職員マスタ!$B$6:$B$405,$AP14)&lt;&gt;"",SUBSTITUTE(SUBSTITUTE($H14," ","")," ","")&lt;&gt;SUBSTITUTE(SUBSTITUTE(INDEX(職員マスタ!$B$6:$B$405,$AP14)," ","")," ","")),"氏名がマスタと相違／","")&amp;IF(AND($Q14&lt;&gt;"",INDEX(職員マスタ!$E$6:$E$405,$AP14)&lt;&gt;"",$Q14&lt;&gt;INDEX(職員マスタ!$E$6:$E$405,$AP14)),"子の生年月日がマスタと相違／","")&amp;IF(AND($L14&lt;&gt;"",INDEX(職員マスタ!$G$6:$G$405,$AP14)&lt;&gt;"",$L14&lt;&gt;INDEX(職員マスタ!$G$6:$G$405,$AP14)),"時短開始日がマスタと相違／","")&amp;IF(AND($M14&lt;&gt;"",INDEX(職員マスタ!$H$6:$H$405,$AP14)&lt;&gt;"",$M14&lt;&gt;INDEX(職員マスタ!$H$6:$H$405,$AP14)),"時短終了日がマスタと相違／","")))&amp;IF(AND($B14&lt;&gt;"",$E14=""),"報酬額が未入力／","")&amp;IF(N($U14)&gt;0,"申請書に入力エラーが残っています／","")&amp;IF(AND($B14&lt;&gt;"",$AQ14&lt;&gt;""),IF(COUNTIFS($B$6:$B$3005,$B14,$C$6:$C$3005,$C14,$D$6:$D$3005,$D14)&gt;1,"同じ月の請求が重複しています／",""),"")&amp;IF(AND(N($E14)&gt;0,$AB14&lt;&gt;"",$AB14&lt;&gt;"×",$AE14=0,$AD14=""),"計算額が下限以下のため不支給／",""))</f>
        <v/>
      </c>
      <c r="AN14" s="12" t="n"/>
      <c r="AO14" s="14">
        <f>IF($AF14="保留中",COUNTIF($AF$6:$AF14,"保留中"),"")</f>
        <v/>
      </c>
      <c r="AP14" s="14">
        <f>IF($AQ14="","",IF(SUMPRODUCT(MAX((職員マスタ!$A$6:$A$405=$B14)*(((職員マスタ!$G$6:$G$405="")+(職員マスタ!$G$6:$G$405&lt;=EOMONTH($AQ14,0)))&gt;0)*(((職員マスタ!$H$6:$H$405="")+(職員マスタ!$H$6:$H$405&gt;=$AQ14))&gt;0)*(ROW(職員マスタ!$A$6:$A$405)-5)))&gt;0,SUMPRODUCT(MAX((職員マスタ!$A$6:$A$405=$B14)*(((職員マスタ!$G$6:$G$405="")+(職員マスタ!$G$6:$G$405&lt;=EOMONTH($AQ14,0)))&gt;0)*(((職員マスタ!$H$6:$H$405="")+(職員マスタ!$H$6:$H$405&gt;=$AQ14))&gt;0)*(ROW(職員マスタ!$A$6:$A$405)-5))),IFERROR(MATCH($B14,職員マスタ!$A$6:$A$405,0),"")))</f>
        <v/>
      </c>
      <c r="AQ14" s="16">
        <f>IF(OR($B14="",$C14="",$D14=""),"",DATE($C14+2018,$D14,1))</f>
        <v/>
      </c>
    </row>
    <row r="15">
      <c r="A15" s="11" t="n"/>
      <c r="B15" s="12" t="n">
        <v>6202204</v>
      </c>
      <c r="C15" s="12" t="n">
        <v>7</v>
      </c>
      <c r="D15" s="12" t="n">
        <v>9</v>
      </c>
      <c r="E15" s="13" t="n">
        <v>202131</v>
      </c>
      <c r="F15" s="12" t="n"/>
      <c r="G15" s="13" t="n"/>
      <c r="H15" s="12" t="n"/>
      <c r="I15" s="12" t="n"/>
      <c r="J15" s="12" t="n"/>
      <c r="K15" s="12" t="n"/>
      <c r="L15" s="11" t="n"/>
      <c r="M15" s="11" t="n"/>
      <c r="N15" s="11" t="n"/>
      <c r="O15" s="11" t="n"/>
      <c r="P15" s="12" t="n"/>
      <c r="Q15" s="11" t="n"/>
      <c r="R15" s="12" t="n"/>
      <c r="S15" s="11" t="n"/>
      <c r="T15" s="12" t="n"/>
      <c r="U15" s="12" t="n"/>
      <c r="V15" s="12" t="n"/>
      <c r="W15" s="13" t="n"/>
      <c r="X15" s="14">
        <f>IF($AP15="",IF($B15="","",$H15),IF(INDEX(職員マスタ!$B$6:$B$405,$AP15)="",$H15,INDEX(職員マスタ!$B$6:$B$405,$AP15)))</f>
        <v/>
      </c>
      <c r="Y15" s="14">
        <f>IF($AP15="",IF($B15="","",$R15),IF(INDEX(職員マスタ!$C$6:$C$405,$AP15)="",$R15,INDEX(職員マスタ!$C$6:$C$405,$AP15)))</f>
        <v/>
      </c>
      <c r="Z15" s="14">
        <f>IF($AQ15="","","R"&amp;$C15&amp;"."&amp;$D15)</f>
        <v/>
      </c>
      <c r="AA15" s="15">
        <f>IF(IF($AP15="",FALSE,INDEX(職員マスタ!$K$6:$K$405,$AP15)&lt;&gt;""),INDEX(職員マスタ!$K$6:$K$405,$AP15),IF(N($W15)&gt;0,$W15,""))</f>
        <v/>
      </c>
      <c r="AB15" s="14">
        <f>IF(OR($E15="",$AA15=""),"",IF($E15&gt;=$AA15,"×",IF($E15&gt;=$AA15*設定!$C$5,"△","○")))</f>
        <v/>
      </c>
      <c r="AC15" s="15">
        <f>IF($AB15="","",IF($AB15="×",0,IF($AB15="○",ROUNDDOWN($E15*設定!$C$4,0),ROUNDDOWN($E15*ROUND((9*$AA15-9*$E15)/(10*$E15),4),0))))</f>
        <v/>
      </c>
      <c r="AD15" s="13" t="n"/>
      <c r="AE15" s="15">
        <f>IF($B15="","",IF($AD15&lt;&gt;"",$AD15,IF($AC15="","",IF($AC15&lt;=設定!$C$3,0,$AC15))))</f>
        <v/>
      </c>
      <c r="AF15" s="14">
        <f>IF($B15="","",IF(AND($AG15&lt;&gt;"",$AI15="",$AL15=""),"保留中",IF($AL15&lt;&gt;"",IF(N($AE15)&gt;0,"支給済","不支給"),IF($AE15="","要確認",IF($AE15=0,"不支給","未処理")))))</f>
        <v/>
      </c>
      <c r="AG15" s="12" t="n"/>
      <c r="AH15" s="11" t="n"/>
      <c r="AI15" s="11" t="n"/>
      <c r="AJ15" s="11" t="n"/>
      <c r="AK15" s="14">
        <f>IF(AND($AF15="保留中",$AH15&lt;&gt;""),TODAY()-$AH15,"")</f>
        <v/>
      </c>
      <c r="AL15" s="12" t="inlineStr">
        <is>
          <t>R7.12</t>
        </is>
      </c>
      <c r="AM15" s="14">
        <f>IF($B15="","",IF($AQ15="","対象年月が未入力／","")&amp;IF($B15="","",IF($AP15="","職員マスタに未登録の職員番号／",IF($AA15="","標準報酬月額が未登録／","")&amp;IF(AND($AQ15&lt;&gt;"",OR(AND(INDEX(職員マスタ!$G$6:$G$405,$AP15)&lt;&gt;"",INDEX(職員マスタ!$G$6:$G$405,$AP15)&gt;EOMONTH($AQ15,0)),AND(INDEX(職員マスタ!$H$6:$H$405,$AP15)&lt;&gt;"",INDEX(職員マスタ!$H$6:$H$405,$AP15)&lt;$AQ15))),"対象月が時短期間外／","")&amp;IF(AND(INDEX(職員マスタ!$K$6:$K$405,$AP15)&lt;&gt;"",N($W15)&gt;0,INDEX(職員マスタ!$K$6:$K$405,$AP15)&lt;&gt;$W15),"標準報酬月額が申請書と相違（台帳"&amp;TEXT(INDEX(職員マスタ!$K$6:$K$405,$AP15),"#,##0")&amp;"円／申請書"&amp;TEXT($W15,"#,##0")&amp;"円）／","")&amp;IF(AND(INDEX(職員マスタ!$F$6:$F$405,$AP15)&lt;&gt;"",$AQ15&lt;&gt;"",INDEX(職員マスタ!$F$6:$F$405,$AP15)&lt;$AQ15),"対象月に子が2歳到達済／","")&amp;IF(AND($H15&lt;&gt;"",INDEX(職員マスタ!$B$6:$B$405,$AP15)&lt;&gt;"",SUBSTITUTE(SUBSTITUTE($H15," ","")," ","")&lt;&gt;SUBSTITUTE(SUBSTITUTE(INDEX(職員マスタ!$B$6:$B$405,$AP15)," ","")," ","")),"氏名がマスタと相違／","")&amp;IF(AND($Q15&lt;&gt;"",INDEX(職員マスタ!$E$6:$E$405,$AP15)&lt;&gt;"",$Q15&lt;&gt;INDEX(職員マスタ!$E$6:$E$405,$AP15)),"子の生年月日がマスタと相違／","")&amp;IF(AND($L15&lt;&gt;"",INDEX(職員マスタ!$G$6:$G$405,$AP15)&lt;&gt;"",$L15&lt;&gt;INDEX(職員マスタ!$G$6:$G$405,$AP15)),"時短開始日がマスタと相違／","")&amp;IF(AND($M15&lt;&gt;"",INDEX(職員マスタ!$H$6:$H$405,$AP15)&lt;&gt;"",$M15&lt;&gt;INDEX(職員マスタ!$H$6:$H$405,$AP15)),"時短終了日がマスタと相違／","")))&amp;IF(AND($B15&lt;&gt;"",$E15=""),"報酬額が未入力／","")&amp;IF(N($U15)&gt;0,"申請書に入力エラーが残っています／","")&amp;IF(AND($B15&lt;&gt;"",$AQ15&lt;&gt;""),IF(COUNTIFS($B$6:$B$3005,$B15,$C$6:$C$3005,$C15,$D$6:$D$3005,$D15)&gt;1,"同じ月の請求が重複しています／",""),"")&amp;IF(AND(N($E15)&gt;0,$AB15&lt;&gt;"",$AB15&lt;&gt;"×",$AE15=0,$AD15=""),"計算額が下限以下のため不支給／",""))</f>
        <v/>
      </c>
      <c r="AN15" s="12" t="n"/>
      <c r="AO15" s="14">
        <f>IF($AF15="保留中",COUNTIF($AF$6:$AF15,"保留中"),"")</f>
        <v/>
      </c>
      <c r="AP15" s="14">
        <f>IF($AQ15="","",IF(SUMPRODUCT(MAX((職員マスタ!$A$6:$A$405=$B15)*(((職員マスタ!$G$6:$G$405="")+(職員マスタ!$G$6:$G$405&lt;=EOMONTH($AQ15,0)))&gt;0)*(((職員マスタ!$H$6:$H$405="")+(職員マスタ!$H$6:$H$405&gt;=$AQ15))&gt;0)*(ROW(職員マスタ!$A$6:$A$405)-5)))&gt;0,SUMPRODUCT(MAX((職員マスタ!$A$6:$A$405=$B15)*(((職員マスタ!$G$6:$G$405="")+(職員マスタ!$G$6:$G$405&lt;=EOMONTH($AQ15,0)))&gt;0)*(((職員マスタ!$H$6:$H$405="")+(職員マスタ!$H$6:$H$405&gt;=$AQ15))&gt;0)*(ROW(職員マスタ!$A$6:$A$405)-5))),IFERROR(MATCH($B15,職員マスタ!$A$6:$A$405,0),"")))</f>
        <v/>
      </c>
      <c r="AQ15" s="16">
        <f>IF(OR($B15="",$C15="",$D15=""),"",DATE($C15+2018,$D15,1))</f>
        <v/>
      </c>
    </row>
    <row r="16">
      <c r="A16" s="11" t="n"/>
      <c r="B16" s="12" t="n">
        <v>6202204</v>
      </c>
      <c r="C16" s="12" t="n">
        <v>8</v>
      </c>
      <c r="D16" s="12" t="n">
        <v>4</v>
      </c>
      <c r="E16" s="13" t="n">
        <v>207321</v>
      </c>
      <c r="F16" s="12" t="n"/>
      <c r="G16" s="13" t="n"/>
      <c r="H16" s="12" t="n"/>
      <c r="I16" s="12" t="n"/>
      <c r="J16" s="12" t="n"/>
      <c r="K16" s="12" t="n"/>
      <c r="L16" s="11" t="n"/>
      <c r="M16" s="11" t="n"/>
      <c r="N16" s="11" t="n"/>
      <c r="O16" s="11" t="n"/>
      <c r="P16" s="12" t="n"/>
      <c r="Q16" s="11" t="n"/>
      <c r="R16" s="12" t="n"/>
      <c r="S16" s="11" t="n"/>
      <c r="T16" s="12" t="n"/>
      <c r="U16" s="12" t="n"/>
      <c r="V16" s="12" t="n"/>
      <c r="W16" s="13" t="n"/>
      <c r="X16" s="14">
        <f>IF($AP16="",IF($B16="","",$H16),IF(INDEX(職員マスタ!$B$6:$B$405,$AP16)="",$H16,INDEX(職員マスタ!$B$6:$B$405,$AP16)))</f>
        <v/>
      </c>
      <c r="Y16" s="14">
        <f>IF($AP16="",IF($B16="","",$R16),IF(INDEX(職員マスタ!$C$6:$C$405,$AP16)="",$R16,INDEX(職員マスタ!$C$6:$C$405,$AP16)))</f>
        <v/>
      </c>
      <c r="Z16" s="14">
        <f>IF($AQ16="","","R"&amp;$C16&amp;"."&amp;$D16)</f>
        <v/>
      </c>
      <c r="AA16" s="15">
        <f>IF(IF($AP16="",FALSE,INDEX(職員マスタ!$K$6:$K$405,$AP16)&lt;&gt;""),INDEX(職員マスタ!$K$6:$K$405,$AP16),IF(N($W16)&gt;0,$W16,""))</f>
        <v/>
      </c>
      <c r="AB16" s="14">
        <f>IF(OR($E16="",$AA16=""),"",IF($E16&gt;=$AA16,"×",IF($E16&gt;=$AA16*設定!$C$5,"△","○")))</f>
        <v/>
      </c>
      <c r="AC16" s="15">
        <f>IF($AB16="","",IF($AB16="×",0,IF($AB16="○",ROUNDDOWN($E16*設定!$C$4,0),ROUNDDOWN($E16*ROUND((9*$AA16-9*$E16)/(10*$E16),4),0))))</f>
        <v/>
      </c>
      <c r="AD16" s="13" t="n"/>
      <c r="AE16" s="15">
        <f>IF($B16="","",IF($AD16&lt;&gt;"",$AD16,IF($AC16="","",IF($AC16&lt;=設定!$C$3,0,$AC16))))</f>
        <v/>
      </c>
      <c r="AF16" s="14">
        <f>IF($B16="","",IF(AND($AG16&lt;&gt;"",$AI16="",$AL16=""),"保留中",IF($AL16&lt;&gt;"",IF(N($AE16)&gt;0,"支給済","不支給"),IF($AE16="","要確認",IF($AE16=0,"不支給","未処理")))))</f>
        <v/>
      </c>
      <c r="AG16" s="12" t="n"/>
      <c r="AH16" s="11" t="n"/>
      <c r="AI16" s="11" t="n"/>
      <c r="AJ16" s="11" t="n"/>
      <c r="AK16" s="14">
        <f>IF(AND($AF16="保留中",$AH16&lt;&gt;""),TODAY()-$AH16,"")</f>
        <v/>
      </c>
      <c r="AL16" s="12" t="inlineStr">
        <is>
          <t>R8.10</t>
        </is>
      </c>
      <c r="AM16" s="14">
        <f>IF($B16="","",IF($AQ16="","対象年月が未入力／","")&amp;IF($B16="","",IF($AP16="","職員マスタに未登録の職員番号／",IF($AA16="","標準報酬月額が未登録／","")&amp;IF(AND($AQ16&lt;&gt;"",OR(AND(INDEX(職員マスタ!$G$6:$G$405,$AP16)&lt;&gt;"",INDEX(職員マスタ!$G$6:$G$405,$AP16)&gt;EOMONTH($AQ16,0)),AND(INDEX(職員マスタ!$H$6:$H$405,$AP16)&lt;&gt;"",INDEX(職員マスタ!$H$6:$H$405,$AP16)&lt;$AQ16))),"対象月が時短期間外／","")&amp;IF(AND(INDEX(職員マスタ!$K$6:$K$405,$AP16)&lt;&gt;"",N($W16)&gt;0,INDEX(職員マスタ!$K$6:$K$405,$AP16)&lt;&gt;$W16),"標準報酬月額が申請書と相違（台帳"&amp;TEXT(INDEX(職員マスタ!$K$6:$K$405,$AP16),"#,##0")&amp;"円／申請書"&amp;TEXT($W16,"#,##0")&amp;"円）／","")&amp;IF(AND(INDEX(職員マスタ!$F$6:$F$405,$AP16)&lt;&gt;"",$AQ16&lt;&gt;"",INDEX(職員マスタ!$F$6:$F$405,$AP16)&lt;$AQ16),"対象月に子が2歳到達済／","")&amp;IF(AND($H16&lt;&gt;"",INDEX(職員マスタ!$B$6:$B$405,$AP16)&lt;&gt;"",SUBSTITUTE(SUBSTITUTE($H16," ","")," ","")&lt;&gt;SUBSTITUTE(SUBSTITUTE(INDEX(職員マスタ!$B$6:$B$405,$AP16)," ","")," ","")),"氏名がマスタと相違／","")&amp;IF(AND($Q16&lt;&gt;"",INDEX(職員マスタ!$E$6:$E$405,$AP16)&lt;&gt;"",$Q16&lt;&gt;INDEX(職員マスタ!$E$6:$E$405,$AP16)),"子の生年月日がマスタと相違／","")&amp;IF(AND($L16&lt;&gt;"",INDEX(職員マスタ!$G$6:$G$405,$AP16)&lt;&gt;"",$L16&lt;&gt;INDEX(職員マスタ!$G$6:$G$405,$AP16)),"時短開始日がマスタと相違／","")&amp;IF(AND($M16&lt;&gt;"",INDEX(職員マスタ!$H$6:$H$405,$AP16)&lt;&gt;"",$M16&lt;&gt;INDEX(職員マスタ!$H$6:$H$405,$AP16)),"時短終了日がマスタと相違／","")))&amp;IF(AND($B16&lt;&gt;"",$E16=""),"報酬額が未入力／","")&amp;IF(N($U16)&gt;0,"申請書に入力エラーが残っています／","")&amp;IF(AND($B16&lt;&gt;"",$AQ16&lt;&gt;""),IF(COUNTIFS($B$6:$B$3005,$B16,$C$6:$C$3005,$C16,$D$6:$D$3005,$D16)&gt;1,"同じ月の請求が重複しています／",""),"")&amp;IF(AND(N($E16)&gt;0,$AB16&lt;&gt;"",$AB16&lt;&gt;"×",$AE16=0,$AD16=""),"計算額が下限以下のため不支給／",""))</f>
        <v/>
      </c>
      <c r="AN16" s="12" t="n"/>
      <c r="AO16" s="14">
        <f>IF($AF16="保留中",COUNTIF($AF$6:$AF16,"保留中"),"")</f>
        <v/>
      </c>
      <c r="AP16" s="14">
        <f>IF($AQ16="","",IF(SUMPRODUCT(MAX((職員マスタ!$A$6:$A$405=$B16)*(((職員マスタ!$G$6:$G$405="")+(職員マスタ!$G$6:$G$405&lt;=EOMONTH($AQ16,0)))&gt;0)*(((職員マスタ!$H$6:$H$405="")+(職員マスタ!$H$6:$H$405&gt;=$AQ16))&gt;0)*(ROW(職員マスタ!$A$6:$A$405)-5)))&gt;0,SUMPRODUCT(MAX((職員マスタ!$A$6:$A$405=$B16)*(((職員マスタ!$G$6:$G$405="")+(職員マスタ!$G$6:$G$405&lt;=EOMONTH($AQ16,0)))&gt;0)*(((職員マスタ!$H$6:$H$405="")+(職員マスタ!$H$6:$H$405&gt;=$AQ16))&gt;0)*(ROW(職員マスタ!$A$6:$A$405)-5))),IFERROR(MATCH($B16,職員マスタ!$A$6:$A$405,0),"")))</f>
        <v/>
      </c>
      <c r="AQ16" s="16">
        <f>IF(OR($B16="",$C16="",$D16=""),"",DATE($C16+2018,$D16,1))</f>
        <v/>
      </c>
    </row>
    <row r="17">
      <c r="A17" s="11" t="n"/>
      <c r="B17" s="12" t="n">
        <v>6202204</v>
      </c>
      <c r="C17" s="12" t="n">
        <v>8</v>
      </c>
      <c r="D17" s="12" t="n">
        <v>5</v>
      </c>
      <c r="E17" s="13" t="n">
        <v>210045</v>
      </c>
      <c r="F17" s="12" t="n"/>
      <c r="G17" s="13" t="n"/>
      <c r="H17" s="12" t="n"/>
      <c r="I17" s="12" t="n"/>
      <c r="J17" s="12" t="n"/>
      <c r="K17" s="12" t="n"/>
      <c r="L17" s="11" t="n"/>
      <c r="M17" s="11" t="n"/>
      <c r="N17" s="11" t="n"/>
      <c r="O17" s="11" t="n"/>
      <c r="P17" s="12" t="n"/>
      <c r="Q17" s="11" t="n"/>
      <c r="R17" s="12" t="n"/>
      <c r="S17" s="11" t="n"/>
      <c r="T17" s="12" t="n"/>
      <c r="U17" s="12" t="n"/>
      <c r="V17" s="12" t="n"/>
      <c r="W17" s="13" t="n"/>
      <c r="X17" s="14">
        <f>IF($AP17="",IF($B17="","",$H17),IF(INDEX(職員マスタ!$B$6:$B$405,$AP17)="",$H17,INDEX(職員マスタ!$B$6:$B$405,$AP17)))</f>
        <v/>
      </c>
      <c r="Y17" s="14">
        <f>IF($AP17="",IF($B17="","",$R17),IF(INDEX(職員マスタ!$C$6:$C$405,$AP17)="",$R17,INDEX(職員マスタ!$C$6:$C$405,$AP17)))</f>
        <v/>
      </c>
      <c r="Z17" s="14">
        <f>IF($AQ17="","","R"&amp;$C17&amp;"."&amp;$D17)</f>
        <v/>
      </c>
      <c r="AA17" s="15">
        <f>IF(IF($AP17="",FALSE,INDEX(職員マスタ!$K$6:$K$405,$AP17)&lt;&gt;""),INDEX(職員マスタ!$K$6:$K$405,$AP17),IF(N($W17)&gt;0,$W17,""))</f>
        <v/>
      </c>
      <c r="AB17" s="14">
        <f>IF(OR($E17="",$AA17=""),"",IF($E17&gt;=$AA17,"×",IF($E17&gt;=$AA17*設定!$C$5,"△","○")))</f>
        <v/>
      </c>
      <c r="AC17" s="15">
        <f>IF($AB17="","",IF($AB17="×",0,IF($AB17="○",ROUNDDOWN($E17*設定!$C$4,0),ROUNDDOWN($E17*ROUND((9*$AA17-9*$E17)/(10*$E17),4),0))))</f>
        <v/>
      </c>
      <c r="AD17" s="13" t="n"/>
      <c r="AE17" s="15">
        <f>IF($B17="","",IF($AD17&lt;&gt;"",$AD17,IF($AC17="","",IF($AC17&lt;=設定!$C$3,0,$AC17))))</f>
        <v/>
      </c>
      <c r="AF17" s="14">
        <f>IF($B17="","",IF(AND($AG17&lt;&gt;"",$AI17="",$AL17=""),"保留中",IF($AL17&lt;&gt;"",IF(N($AE17)&gt;0,"支給済","不支給"),IF($AE17="","要確認",IF($AE17=0,"不支給","未処理")))))</f>
        <v/>
      </c>
      <c r="AG17" s="12" t="n"/>
      <c r="AH17" s="11" t="n"/>
      <c r="AI17" s="11" t="n"/>
      <c r="AJ17" s="11" t="n"/>
      <c r="AK17" s="14">
        <f>IF(AND($AF17="保留中",$AH17&lt;&gt;""),TODAY()-$AH17,"")</f>
        <v/>
      </c>
      <c r="AL17" s="12" t="inlineStr">
        <is>
          <t>R8.10</t>
        </is>
      </c>
      <c r="AM17" s="14">
        <f>IF($B17="","",IF($AQ17="","対象年月が未入力／","")&amp;IF($B17="","",IF($AP17="","職員マスタに未登録の職員番号／",IF($AA17="","標準報酬月額が未登録／","")&amp;IF(AND($AQ17&lt;&gt;"",OR(AND(INDEX(職員マスタ!$G$6:$G$405,$AP17)&lt;&gt;"",INDEX(職員マスタ!$G$6:$G$405,$AP17)&gt;EOMONTH($AQ17,0)),AND(INDEX(職員マスタ!$H$6:$H$405,$AP17)&lt;&gt;"",INDEX(職員マスタ!$H$6:$H$405,$AP17)&lt;$AQ17))),"対象月が時短期間外／","")&amp;IF(AND(INDEX(職員マスタ!$K$6:$K$405,$AP17)&lt;&gt;"",N($W17)&gt;0,INDEX(職員マスタ!$K$6:$K$405,$AP17)&lt;&gt;$W17),"標準報酬月額が申請書と相違（台帳"&amp;TEXT(INDEX(職員マスタ!$K$6:$K$405,$AP17),"#,##0")&amp;"円／申請書"&amp;TEXT($W17,"#,##0")&amp;"円）／","")&amp;IF(AND(INDEX(職員マスタ!$F$6:$F$405,$AP17)&lt;&gt;"",$AQ17&lt;&gt;"",INDEX(職員マスタ!$F$6:$F$405,$AP17)&lt;$AQ17),"対象月に子が2歳到達済／","")&amp;IF(AND($H17&lt;&gt;"",INDEX(職員マスタ!$B$6:$B$405,$AP17)&lt;&gt;"",SUBSTITUTE(SUBSTITUTE($H17," ","")," ","")&lt;&gt;SUBSTITUTE(SUBSTITUTE(INDEX(職員マスタ!$B$6:$B$405,$AP17)," ","")," ","")),"氏名がマスタと相違／","")&amp;IF(AND($Q17&lt;&gt;"",INDEX(職員マスタ!$E$6:$E$405,$AP17)&lt;&gt;"",$Q17&lt;&gt;INDEX(職員マスタ!$E$6:$E$405,$AP17)),"子の生年月日がマスタと相違／","")&amp;IF(AND($L17&lt;&gt;"",INDEX(職員マスタ!$G$6:$G$405,$AP17)&lt;&gt;"",$L17&lt;&gt;INDEX(職員マスタ!$G$6:$G$405,$AP17)),"時短開始日がマスタと相違／","")&amp;IF(AND($M17&lt;&gt;"",INDEX(職員マスタ!$H$6:$H$405,$AP17)&lt;&gt;"",$M17&lt;&gt;INDEX(職員マスタ!$H$6:$H$405,$AP17)),"時短終了日がマスタと相違／","")))&amp;IF(AND($B17&lt;&gt;"",$E17=""),"報酬額が未入力／","")&amp;IF(N($U17)&gt;0,"申請書に入力エラーが残っています／","")&amp;IF(AND($B17&lt;&gt;"",$AQ17&lt;&gt;""),IF(COUNTIFS($B$6:$B$3005,$B17,$C$6:$C$3005,$C17,$D$6:$D$3005,$D17)&gt;1,"同じ月の請求が重複しています／",""),"")&amp;IF(AND(N($E17)&gt;0,$AB17&lt;&gt;"",$AB17&lt;&gt;"×",$AE17=0,$AD17=""),"計算額が下限以下のため不支給／",""))</f>
        <v/>
      </c>
      <c r="AN17" s="12" t="n"/>
      <c r="AO17" s="14">
        <f>IF($AF17="保留中",COUNTIF($AF$6:$AF17,"保留中"),"")</f>
        <v/>
      </c>
      <c r="AP17" s="14">
        <f>IF($AQ17="","",IF(SUMPRODUCT(MAX((職員マスタ!$A$6:$A$405=$B17)*(((職員マスタ!$G$6:$G$405="")+(職員マスタ!$G$6:$G$405&lt;=EOMONTH($AQ17,0)))&gt;0)*(((職員マスタ!$H$6:$H$405="")+(職員マスタ!$H$6:$H$405&gt;=$AQ17))&gt;0)*(ROW(職員マスタ!$A$6:$A$405)-5)))&gt;0,SUMPRODUCT(MAX((職員マスタ!$A$6:$A$405=$B17)*(((職員マスタ!$G$6:$G$405="")+(職員マスタ!$G$6:$G$405&lt;=EOMONTH($AQ17,0)))&gt;0)*(((職員マスタ!$H$6:$H$405="")+(職員マスタ!$H$6:$H$405&gt;=$AQ17))&gt;0)*(ROW(職員マスタ!$A$6:$A$405)-5))),IFERROR(MATCH($B17,職員マスタ!$A$6:$A$405,0),"")))</f>
        <v/>
      </c>
      <c r="AQ17" s="16">
        <f>IF(OR($B17="",$C17="",$D17=""),"",DATE($C17+2018,$D17,1))</f>
        <v/>
      </c>
    </row>
    <row r="18">
      <c r="A18" s="11" t="n"/>
      <c r="B18" s="12" t="n">
        <v>6202204</v>
      </c>
      <c r="C18" s="12" t="n">
        <v>8</v>
      </c>
      <c r="D18" s="12" t="n">
        <v>6</v>
      </c>
      <c r="E18" s="13" t="n">
        <v>207321</v>
      </c>
      <c r="F18" s="12" t="n"/>
      <c r="G18" s="13" t="n"/>
      <c r="H18" s="12" t="n"/>
      <c r="I18" s="12" t="n"/>
      <c r="J18" s="12" t="n"/>
      <c r="K18" s="12" t="n"/>
      <c r="L18" s="11" t="n"/>
      <c r="M18" s="11" t="n"/>
      <c r="N18" s="11" t="n"/>
      <c r="O18" s="11" t="n"/>
      <c r="P18" s="12" t="n"/>
      <c r="Q18" s="11" t="n"/>
      <c r="R18" s="12" t="n"/>
      <c r="S18" s="11" t="n"/>
      <c r="T18" s="12" t="n"/>
      <c r="U18" s="12" t="n"/>
      <c r="V18" s="12" t="n"/>
      <c r="W18" s="13" t="n"/>
      <c r="X18" s="14">
        <f>IF($AP18="",IF($B18="","",$H18),IF(INDEX(職員マスタ!$B$6:$B$405,$AP18)="",$H18,INDEX(職員マスタ!$B$6:$B$405,$AP18)))</f>
        <v/>
      </c>
      <c r="Y18" s="14">
        <f>IF($AP18="",IF($B18="","",$R18),IF(INDEX(職員マスタ!$C$6:$C$405,$AP18)="",$R18,INDEX(職員マスタ!$C$6:$C$405,$AP18)))</f>
        <v/>
      </c>
      <c r="Z18" s="14">
        <f>IF($AQ18="","","R"&amp;$C18&amp;"."&amp;$D18)</f>
        <v/>
      </c>
      <c r="AA18" s="15">
        <f>IF(IF($AP18="",FALSE,INDEX(職員マスタ!$K$6:$K$405,$AP18)&lt;&gt;""),INDEX(職員マスタ!$K$6:$K$405,$AP18),IF(N($W18)&gt;0,$W18,""))</f>
        <v/>
      </c>
      <c r="AB18" s="14">
        <f>IF(OR($E18="",$AA18=""),"",IF($E18&gt;=$AA18,"×",IF($E18&gt;=$AA18*設定!$C$5,"△","○")))</f>
        <v/>
      </c>
      <c r="AC18" s="15">
        <f>IF($AB18="","",IF($AB18="×",0,IF($AB18="○",ROUNDDOWN($E18*設定!$C$4,0),ROUNDDOWN($E18*ROUND((9*$AA18-9*$E18)/(10*$E18),4),0))))</f>
        <v/>
      </c>
      <c r="AD18" s="13" t="n"/>
      <c r="AE18" s="15">
        <f>IF($B18="","",IF($AD18&lt;&gt;"",$AD18,IF($AC18="","",IF($AC18&lt;=設定!$C$3,0,$AC18))))</f>
        <v/>
      </c>
      <c r="AF18" s="14">
        <f>IF($B18="","",IF(AND($AG18&lt;&gt;"",$AI18="",$AL18=""),"保留中",IF($AL18&lt;&gt;"",IF(N($AE18)&gt;0,"支給済","不支給"),IF($AE18="","要確認",IF($AE18=0,"不支給","未処理")))))</f>
        <v/>
      </c>
      <c r="AG18" s="12" t="n"/>
      <c r="AH18" s="11" t="n"/>
      <c r="AI18" s="11" t="n"/>
      <c r="AJ18" s="11" t="n"/>
      <c r="AK18" s="14">
        <f>IF(AND($AF18="保留中",$AH18&lt;&gt;""),TODAY()-$AH18,"")</f>
        <v/>
      </c>
      <c r="AL18" s="12" t="inlineStr">
        <is>
          <t>R8.9</t>
        </is>
      </c>
      <c r="AM18" s="14">
        <f>IF($B18="","",IF($AQ18="","対象年月が未入力／","")&amp;IF($B18="","",IF($AP18="","職員マスタに未登録の職員番号／",IF($AA18="","標準報酬月額が未登録／","")&amp;IF(AND($AQ18&lt;&gt;"",OR(AND(INDEX(職員マスタ!$G$6:$G$405,$AP18)&lt;&gt;"",INDEX(職員マスタ!$G$6:$G$405,$AP18)&gt;EOMONTH($AQ18,0)),AND(INDEX(職員マスタ!$H$6:$H$405,$AP18)&lt;&gt;"",INDEX(職員マスタ!$H$6:$H$405,$AP18)&lt;$AQ18))),"対象月が時短期間外／","")&amp;IF(AND(INDEX(職員マスタ!$K$6:$K$405,$AP18)&lt;&gt;"",N($W18)&gt;0,INDEX(職員マスタ!$K$6:$K$405,$AP18)&lt;&gt;$W18),"標準報酬月額が申請書と相違（台帳"&amp;TEXT(INDEX(職員マスタ!$K$6:$K$405,$AP18),"#,##0")&amp;"円／申請書"&amp;TEXT($W18,"#,##0")&amp;"円）／","")&amp;IF(AND(INDEX(職員マスタ!$F$6:$F$405,$AP18)&lt;&gt;"",$AQ18&lt;&gt;"",INDEX(職員マスタ!$F$6:$F$405,$AP18)&lt;$AQ18),"対象月に子が2歳到達済／","")&amp;IF(AND($H18&lt;&gt;"",INDEX(職員マスタ!$B$6:$B$405,$AP18)&lt;&gt;"",SUBSTITUTE(SUBSTITUTE($H18," ","")," ","")&lt;&gt;SUBSTITUTE(SUBSTITUTE(INDEX(職員マスタ!$B$6:$B$405,$AP18)," ","")," ","")),"氏名がマスタと相違／","")&amp;IF(AND($Q18&lt;&gt;"",INDEX(職員マスタ!$E$6:$E$405,$AP18)&lt;&gt;"",$Q18&lt;&gt;INDEX(職員マスタ!$E$6:$E$405,$AP18)),"子の生年月日がマスタと相違／","")&amp;IF(AND($L18&lt;&gt;"",INDEX(職員マスタ!$G$6:$G$405,$AP18)&lt;&gt;"",$L18&lt;&gt;INDEX(職員マスタ!$G$6:$G$405,$AP18)),"時短開始日がマスタと相違／","")&amp;IF(AND($M18&lt;&gt;"",INDEX(職員マスタ!$H$6:$H$405,$AP18)&lt;&gt;"",$M18&lt;&gt;INDEX(職員マスタ!$H$6:$H$405,$AP18)),"時短終了日がマスタと相違／","")))&amp;IF(AND($B18&lt;&gt;"",$E18=""),"報酬額が未入力／","")&amp;IF(N($U18)&gt;0,"申請書に入力エラーが残っています／","")&amp;IF(AND($B18&lt;&gt;"",$AQ18&lt;&gt;""),IF(COUNTIFS($B$6:$B$3005,$B18,$C$6:$C$3005,$C18,$D$6:$D$3005,$D18)&gt;1,"同じ月の請求が重複しています／",""),"")&amp;IF(AND(N($E18)&gt;0,$AB18&lt;&gt;"",$AB18&lt;&gt;"×",$AE18=0,$AD18=""),"計算額が下限以下のため不支給／",""))</f>
        <v/>
      </c>
      <c r="AN18" s="12" t="n"/>
      <c r="AO18" s="14">
        <f>IF($AF18="保留中",COUNTIF($AF$6:$AF18,"保留中"),"")</f>
        <v/>
      </c>
      <c r="AP18" s="14">
        <f>IF($AQ18="","",IF(SUMPRODUCT(MAX((職員マスタ!$A$6:$A$405=$B18)*(((職員マスタ!$G$6:$G$405="")+(職員マスタ!$G$6:$G$405&lt;=EOMONTH($AQ18,0)))&gt;0)*(((職員マスタ!$H$6:$H$405="")+(職員マスタ!$H$6:$H$405&gt;=$AQ18))&gt;0)*(ROW(職員マスタ!$A$6:$A$405)-5)))&gt;0,SUMPRODUCT(MAX((職員マスタ!$A$6:$A$405=$B18)*(((職員マスタ!$G$6:$G$405="")+(職員マスタ!$G$6:$G$405&lt;=EOMONTH($AQ18,0)))&gt;0)*(((職員マスタ!$H$6:$H$405="")+(職員マスタ!$H$6:$H$405&gt;=$AQ18))&gt;0)*(ROW(職員マスタ!$A$6:$A$405)-5))),IFERROR(MATCH($B18,職員マスタ!$A$6:$A$405,0),"")))</f>
        <v/>
      </c>
      <c r="AQ18" s="16">
        <f>IF(OR($B18="",$C18="",$D18=""),"",DATE($C18+2018,$D18,1))</f>
        <v/>
      </c>
    </row>
    <row r="19">
      <c r="A19" s="11" t="n"/>
      <c r="B19" s="12" t="n">
        <v>6202204</v>
      </c>
      <c r="C19" s="12" t="n">
        <v>8</v>
      </c>
      <c r="D19" s="12" t="n">
        <v>7</v>
      </c>
      <c r="E19" s="13" t="n">
        <v>210045</v>
      </c>
      <c r="F19" s="12" t="n"/>
      <c r="G19" s="13" t="n"/>
      <c r="H19" s="12" t="n"/>
      <c r="I19" s="12" t="n"/>
      <c r="J19" s="12" t="n"/>
      <c r="K19" s="12" t="n"/>
      <c r="L19" s="11" t="n"/>
      <c r="M19" s="11" t="n"/>
      <c r="N19" s="11" t="n"/>
      <c r="O19" s="11" t="n"/>
      <c r="P19" s="12" t="n"/>
      <c r="Q19" s="11" t="n"/>
      <c r="R19" s="12" t="n"/>
      <c r="S19" s="11" t="n"/>
      <c r="T19" s="12" t="n"/>
      <c r="U19" s="12" t="n"/>
      <c r="V19" s="12" t="n"/>
      <c r="W19" s="13" t="n"/>
      <c r="X19" s="14">
        <f>IF($AP19="",IF($B19="","",$H19),IF(INDEX(職員マスタ!$B$6:$B$405,$AP19)="",$H19,INDEX(職員マスタ!$B$6:$B$405,$AP19)))</f>
        <v/>
      </c>
      <c r="Y19" s="14">
        <f>IF($AP19="",IF($B19="","",$R19),IF(INDEX(職員マスタ!$C$6:$C$405,$AP19)="",$R19,INDEX(職員マスタ!$C$6:$C$405,$AP19)))</f>
        <v/>
      </c>
      <c r="Z19" s="14">
        <f>IF($AQ19="","","R"&amp;$C19&amp;"."&amp;$D19)</f>
        <v/>
      </c>
      <c r="AA19" s="15">
        <f>IF(IF($AP19="",FALSE,INDEX(職員マスタ!$K$6:$K$405,$AP19)&lt;&gt;""),INDEX(職員マスタ!$K$6:$K$405,$AP19),IF(N($W19)&gt;0,$W19,""))</f>
        <v/>
      </c>
      <c r="AB19" s="14">
        <f>IF(OR($E19="",$AA19=""),"",IF($E19&gt;=$AA19,"×",IF($E19&gt;=$AA19*設定!$C$5,"△","○")))</f>
        <v/>
      </c>
      <c r="AC19" s="15">
        <f>IF($AB19="","",IF($AB19="×",0,IF($AB19="○",ROUNDDOWN($E19*設定!$C$4,0),ROUNDDOWN($E19*ROUND((9*$AA19-9*$E19)/(10*$E19),4),0))))</f>
        <v/>
      </c>
      <c r="AD19" s="13" t="n"/>
      <c r="AE19" s="15">
        <f>IF($B19="","",IF($AD19&lt;&gt;"",$AD19,IF($AC19="","",IF($AC19&lt;=設定!$C$3,0,$AC19))))</f>
        <v/>
      </c>
      <c r="AF19" s="14">
        <f>IF($B19="","",IF(AND($AG19&lt;&gt;"",$AI19="",$AL19=""),"保留中",IF($AL19&lt;&gt;"",IF(N($AE19)&gt;0,"支給済","不支給"),IF($AE19="","要確認",IF($AE19=0,"不支給","未処理")))))</f>
        <v/>
      </c>
      <c r="AG19" s="12" t="n"/>
      <c r="AH19" s="11" t="n"/>
      <c r="AI19" s="11" t="n"/>
      <c r="AJ19" s="11" t="n"/>
      <c r="AK19" s="14">
        <f>IF(AND($AF19="保留中",$AH19&lt;&gt;""),TODAY()-$AH19,"")</f>
        <v/>
      </c>
      <c r="AL19" s="12" t="inlineStr">
        <is>
          <t>R8.10</t>
        </is>
      </c>
      <c r="AM19" s="14">
        <f>IF($B19="","",IF($AQ19="","対象年月が未入力／","")&amp;IF($B19="","",IF($AP19="","職員マスタに未登録の職員番号／",IF($AA19="","標準報酬月額が未登録／","")&amp;IF(AND($AQ19&lt;&gt;"",OR(AND(INDEX(職員マスタ!$G$6:$G$405,$AP19)&lt;&gt;"",INDEX(職員マスタ!$G$6:$G$405,$AP19)&gt;EOMONTH($AQ19,0)),AND(INDEX(職員マスタ!$H$6:$H$405,$AP19)&lt;&gt;"",INDEX(職員マスタ!$H$6:$H$405,$AP19)&lt;$AQ19))),"対象月が時短期間外／","")&amp;IF(AND(INDEX(職員マスタ!$K$6:$K$405,$AP19)&lt;&gt;"",N($W19)&gt;0,INDEX(職員マスタ!$K$6:$K$405,$AP19)&lt;&gt;$W19),"標準報酬月額が申請書と相違（台帳"&amp;TEXT(INDEX(職員マスタ!$K$6:$K$405,$AP19),"#,##0")&amp;"円／申請書"&amp;TEXT($W19,"#,##0")&amp;"円）／","")&amp;IF(AND(INDEX(職員マスタ!$F$6:$F$405,$AP19)&lt;&gt;"",$AQ19&lt;&gt;"",INDEX(職員マスタ!$F$6:$F$405,$AP19)&lt;$AQ19),"対象月に子が2歳到達済／","")&amp;IF(AND($H19&lt;&gt;"",INDEX(職員マスタ!$B$6:$B$405,$AP19)&lt;&gt;"",SUBSTITUTE(SUBSTITUTE($H19," ","")," ","")&lt;&gt;SUBSTITUTE(SUBSTITUTE(INDEX(職員マスタ!$B$6:$B$405,$AP19)," ","")," ","")),"氏名がマスタと相違／","")&amp;IF(AND($Q19&lt;&gt;"",INDEX(職員マスタ!$E$6:$E$405,$AP19)&lt;&gt;"",$Q19&lt;&gt;INDEX(職員マスタ!$E$6:$E$405,$AP19)),"子の生年月日がマスタと相違／","")&amp;IF(AND($L19&lt;&gt;"",INDEX(職員マスタ!$G$6:$G$405,$AP19)&lt;&gt;"",$L19&lt;&gt;INDEX(職員マスタ!$G$6:$G$405,$AP19)),"時短開始日がマスタと相違／","")&amp;IF(AND($M19&lt;&gt;"",INDEX(職員マスタ!$H$6:$H$405,$AP19)&lt;&gt;"",$M19&lt;&gt;INDEX(職員マスタ!$H$6:$H$405,$AP19)),"時短終了日がマスタと相違／","")))&amp;IF(AND($B19&lt;&gt;"",$E19=""),"報酬額が未入力／","")&amp;IF(N($U19)&gt;0,"申請書に入力エラーが残っています／","")&amp;IF(AND($B19&lt;&gt;"",$AQ19&lt;&gt;""),IF(COUNTIFS($B$6:$B$3005,$B19,$C$6:$C$3005,$C19,$D$6:$D$3005,$D19)&gt;1,"同じ月の請求が重複しています／",""),"")&amp;IF(AND(N($E19)&gt;0,$AB19&lt;&gt;"",$AB19&lt;&gt;"×",$AE19=0,$AD19=""),"計算額が下限以下のため不支給／",""))</f>
        <v/>
      </c>
      <c r="AN19" s="12" t="n"/>
      <c r="AO19" s="14">
        <f>IF($AF19="保留中",COUNTIF($AF$6:$AF19,"保留中"),"")</f>
        <v/>
      </c>
      <c r="AP19" s="14">
        <f>IF($AQ19="","",IF(SUMPRODUCT(MAX((職員マスタ!$A$6:$A$405=$B19)*(((職員マスタ!$G$6:$G$405="")+(職員マスタ!$G$6:$G$405&lt;=EOMONTH($AQ19,0)))&gt;0)*(((職員マスタ!$H$6:$H$405="")+(職員マスタ!$H$6:$H$405&gt;=$AQ19))&gt;0)*(ROW(職員マスタ!$A$6:$A$405)-5)))&gt;0,SUMPRODUCT(MAX((職員マスタ!$A$6:$A$405=$B19)*(((職員マスタ!$G$6:$G$405="")+(職員マスタ!$G$6:$G$405&lt;=EOMONTH($AQ19,0)))&gt;0)*(((職員マスタ!$H$6:$H$405="")+(職員マスタ!$H$6:$H$405&gt;=$AQ19))&gt;0)*(ROW(職員マスタ!$A$6:$A$405)-5))),IFERROR(MATCH($B19,職員マスタ!$A$6:$A$405,0),"")))</f>
        <v/>
      </c>
      <c r="AQ19" s="16">
        <f>IF(OR($B19="",$C19="",$D19=""),"",DATE($C19+2018,$D19,1))</f>
        <v/>
      </c>
    </row>
    <row r="20">
      <c r="A20" s="11" t="n"/>
      <c r="B20" s="12" t="n">
        <v>6202204</v>
      </c>
      <c r="C20" s="12" t="n">
        <v>8</v>
      </c>
      <c r="D20" s="12" t="n">
        <v>8</v>
      </c>
      <c r="E20" s="13" t="n">
        <v>207321</v>
      </c>
      <c r="F20" s="12" t="n"/>
      <c r="G20" s="13" t="n"/>
      <c r="H20" s="12" t="n"/>
      <c r="I20" s="12" t="n"/>
      <c r="J20" s="12" t="n"/>
      <c r="K20" s="12" t="n"/>
      <c r="L20" s="11" t="n"/>
      <c r="M20" s="11" t="n"/>
      <c r="N20" s="11" t="n"/>
      <c r="O20" s="11" t="n"/>
      <c r="P20" s="12" t="n"/>
      <c r="Q20" s="11" t="n"/>
      <c r="R20" s="12" t="n"/>
      <c r="S20" s="11" t="n"/>
      <c r="T20" s="12" t="n"/>
      <c r="U20" s="12" t="n"/>
      <c r="V20" s="12" t="n"/>
      <c r="W20" s="13" t="n"/>
      <c r="X20" s="14">
        <f>IF($AP20="",IF($B20="","",$H20),IF(INDEX(職員マスタ!$B$6:$B$405,$AP20)="",$H20,INDEX(職員マスタ!$B$6:$B$405,$AP20)))</f>
        <v/>
      </c>
      <c r="Y20" s="14">
        <f>IF($AP20="",IF($B20="","",$R20),IF(INDEX(職員マスタ!$C$6:$C$405,$AP20)="",$R20,INDEX(職員マスタ!$C$6:$C$405,$AP20)))</f>
        <v/>
      </c>
      <c r="Z20" s="14">
        <f>IF($AQ20="","","R"&amp;$C20&amp;"."&amp;$D20)</f>
        <v/>
      </c>
      <c r="AA20" s="15">
        <f>IF(IF($AP20="",FALSE,INDEX(職員マスタ!$K$6:$K$405,$AP20)&lt;&gt;""),INDEX(職員マスタ!$K$6:$K$405,$AP20),IF(N($W20)&gt;0,$W20,""))</f>
        <v/>
      </c>
      <c r="AB20" s="14">
        <f>IF(OR($E20="",$AA20=""),"",IF($E20&gt;=$AA20,"×",IF($E20&gt;=$AA20*設定!$C$5,"△","○")))</f>
        <v/>
      </c>
      <c r="AC20" s="15">
        <f>IF($AB20="","",IF($AB20="×",0,IF($AB20="○",ROUNDDOWN($E20*設定!$C$4,0),ROUNDDOWN($E20*ROUND((9*$AA20-9*$E20)/(10*$E20),4),0))))</f>
        <v/>
      </c>
      <c r="AD20" s="13" t="n"/>
      <c r="AE20" s="15">
        <f>IF($B20="","",IF($AD20&lt;&gt;"",$AD20,IF($AC20="","",IF($AC20&lt;=設定!$C$3,0,$AC20))))</f>
        <v/>
      </c>
      <c r="AF20" s="14">
        <f>IF($B20="","",IF(AND($AG20&lt;&gt;"",$AI20="",$AL20=""),"保留中",IF($AL20&lt;&gt;"",IF(N($AE20)&gt;0,"支給済","不支給"),IF($AE20="","要確認",IF($AE20=0,"不支給","未処理")))))</f>
        <v/>
      </c>
      <c r="AG20" s="12" t="n"/>
      <c r="AH20" s="11" t="n"/>
      <c r="AI20" s="11" t="n"/>
      <c r="AJ20" s="11" t="n"/>
      <c r="AK20" s="14">
        <f>IF(AND($AF20="保留中",$AH20&lt;&gt;""),TODAY()-$AH20,"")</f>
        <v/>
      </c>
      <c r="AL20" s="12" t="inlineStr">
        <is>
          <t>R8.10</t>
        </is>
      </c>
      <c r="AM20" s="14">
        <f>IF($B20="","",IF($AQ20="","対象年月が未入力／","")&amp;IF($B20="","",IF($AP20="","職員マスタに未登録の職員番号／",IF($AA20="","標準報酬月額が未登録／","")&amp;IF(AND($AQ20&lt;&gt;"",OR(AND(INDEX(職員マスタ!$G$6:$G$405,$AP20)&lt;&gt;"",INDEX(職員マスタ!$G$6:$G$405,$AP20)&gt;EOMONTH($AQ20,0)),AND(INDEX(職員マスタ!$H$6:$H$405,$AP20)&lt;&gt;"",INDEX(職員マスタ!$H$6:$H$405,$AP20)&lt;$AQ20))),"対象月が時短期間外／","")&amp;IF(AND(INDEX(職員マスタ!$K$6:$K$405,$AP20)&lt;&gt;"",N($W20)&gt;0,INDEX(職員マスタ!$K$6:$K$405,$AP20)&lt;&gt;$W20),"標準報酬月額が申請書と相違（台帳"&amp;TEXT(INDEX(職員マスタ!$K$6:$K$405,$AP20),"#,##0")&amp;"円／申請書"&amp;TEXT($W20,"#,##0")&amp;"円）／","")&amp;IF(AND(INDEX(職員マスタ!$F$6:$F$405,$AP20)&lt;&gt;"",$AQ20&lt;&gt;"",INDEX(職員マスタ!$F$6:$F$405,$AP20)&lt;$AQ20),"対象月に子が2歳到達済／","")&amp;IF(AND($H20&lt;&gt;"",INDEX(職員マスタ!$B$6:$B$405,$AP20)&lt;&gt;"",SUBSTITUTE(SUBSTITUTE($H20," ","")," ","")&lt;&gt;SUBSTITUTE(SUBSTITUTE(INDEX(職員マスタ!$B$6:$B$405,$AP20)," ","")," ","")),"氏名がマスタと相違／","")&amp;IF(AND($Q20&lt;&gt;"",INDEX(職員マスタ!$E$6:$E$405,$AP20)&lt;&gt;"",$Q20&lt;&gt;INDEX(職員マスタ!$E$6:$E$405,$AP20)),"子の生年月日がマスタと相違／","")&amp;IF(AND($L20&lt;&gt;"",INDEX(職員マスタ!$G$6:$G$405,$AP20)&lt;&gt;"",$L20&lt;&gt;INDEX(職員マスタ!$G$6:$G$405,$AP20)),"時短開始日がマスタと相違／","")&amp;IF(AND($M20&lt;&gt;"",INDEX(職員マスタ!$H$6:$H$405,$AP20)&lt;&gt;"",$M20&lt;&gt;INDEX(職員マスタ!$H$6:$H$405,$AP20)),"時短終了日がマスタと相違／","")))&amp;IF(AND($B20&lt;&gt;"",$E20=""),"報酬額が未入力／","")&amp;IF(N($U20)&gt;0,"申請書に入力エラーが残っています／","")&amp;IF(AND($B20&lt;&gt;"",$AQ20&lt;&gt;""),IF(COUNTIFS($B$6:$B$3005,$B20,$C$6:$C$3005,$C20,$D$6:$D$3005,$D20)&gt;1,"同じ月の請求が重複しています／",""),"")&amp;IF(AND(N($E20)&gt;0,$AB20&lt;&gt;"",$AB20&lt;&gt;"×",$AE20=0,$AD20=""),"計算額が下限以下のため不支給／",""))</f>
        <v/>
      </c>
      <c r="AN20" s="12" t="n"/>
      <c r="AO20" s="14">
        <f>IF($AF20="保留中",COUNTIF($AF$6:$AF20,"保留中"),"")</f>
        <v/>
      </c>
      <c r="AP20" s="14">
        <f>IF($AQ20="","",IF(SUMPRODUCT(MAX((職員マスタ!$A$6:$A$405=$B20)*(((職員マスタ!$G$6:$G$405="")+(職員マスタ!$G$6:$G$405&lt;=EOMONTH($AQ20,0)))&gt;0)*(((職員マスタ!$H$6:$H$405="")+(職員マスタ!$H$6:$H$405&gt;=$AQ20))&gt;0)*(ROW(職員マスタ!$A$6:$A$405)-5)))&gt;0,SUMPRODUCT(MAX((職員マスタ!$A$6:$A$405=$B20)*(((職員マスタ!$G$6:$G$405="")+(職員マスタ!$G$6:$G$405&lt;=EOMONTH($AQ20,0)))&gt;0)*(((職員マスタ!$H$6:$H$405="")+(職員マスタ!$H$6:$H$405&gt;=$AQ20))&gt;0)*(ROW(職員マスタ!$A$6:$A$405)-5))),IFERROR(MATCH($B20,職員マスタ!$A$6:$A$405,0),"")))</f>
        <v/>
      </c>
      <c r="AQ20" s="16">
        <f>IF(OR($B20="",$C20="",$D20=""),"",DATE($C20+2018,$D20,1))</f>
        <v/>
      </c>
    </row>
    <row r="21">
      <c r="A21" s="11" t="n"/>
      <c r="B21" s="12" t="n">
        <v>6300941</v>
      </c>
      <c r="C21" s="12" t="n">
        <v>8</v>
      </c>
      <c r="D21" s="12" t="n">
        <v>6</v>
      </c>
      <c r="E21" s="13" t="n">
        <v>370216</v>
      </c>
      <c r="F21" s="12" t="n"/>
      <c r="G21" s="13" t="n"/>
      <c r="H21" s="12" t="n"/>
      <c r="I21" s="12" t="n"/>
      <c r="J21" s="12" t="n"/>
      <c r="K21" s="12" t="n"/>
      <c r="L21" s="11" t="n"/>
      <c r="M21" s="11" t="n"/>
      <c r="N21" s="11" t="n"/>
      <c r="O21" s="11" t="n"/>
      <c r="P21" s="12" t="n"/>
      <c r="Q21" s="11" t="n"/>
      <c r="R21" s="12" t="n"/>
      <c r="S21" s="11" t="n"/>
      <c r="T21" s="12" t="n"/>
      <c r="U21" s="12" t="n"/>
      <c r="V21" s="12" t="n"/>
      <c r="W21" s="13" t="n"/>
      <c r="X21" s="14">
        <f>IF($AP21="",IF($B21="","",$H21),IF(INDEX(職員マスタ!$B$6:$B$405,$AP21)="",$H21,INDEX(職員マスタ!$B$6:$B$405,$AP21)))</f>
        <v/>
      </c>
      <c r="Y21" s="14">
        <f>IF($AP21="",IF($B21="","",$R21),IF(INDEX(職員マスタ!$C$6:$C$405,$AP21)="",$R21,INDEX(職員マスタ!$C$6:$C$405,$AP21)))</f>
        <v/>
      </c>
      <c r="Z21" s="14">
        <f>IF($AQ21="","","R"&amp;$C21&amp;"."&amp;$D21)</f>
        <v/>
      </c>
      <c r="AA21" s="15">
        <f>IF(IF($AP21="",FALSE,INDEX(職員マスタ!$K$6:$K$405,$AP21)&lt;&gt;""),INDEX(職員マスタ!$K$6:$K$405,$AP21),IF(N($W21)&gt;0,$W21,""))</f>
        <v/>
      </c>
      <c r="AB21" s="14">
        <f>IF(OR($E21="",$AA21=""),"",IF($E21&gt;=$AA21,"×",IF($E21&gt;=$AA21*設定!$C$5,"△","○")))</f>
        <v/>
      </c>
      <c r="AC21" s="15">
        <f>IF($AB21="","",IF($AB21="×",0,IF($AB21="○",ROUNDDOWN($E21*設定!$C$4,0),ROUNDDOWN($E21*ROUND((9*$AA21-9*$E21)/(10*$E21),4),0))))</f>
        <v/>
      </c>
      <c r="AD21" s="13" t="n"/>
      <c r="AE21" s="15">
        <f>IF($B21="","",IF($AD21&lt;&gt;"",$AD21,IF($AC21="","",IF($AC21&lt;=設定!$C$3,0,$AC21))))</f>
        <v/>
      </c>
      <c r="AF21" s="14">
        <f>IF($B21="","",IF(AND($AG21&lt;&gt;"",$AI21="",$AL21=""),"保留中",IF($AL21&lt;&gt;"",IF(N($AE21)&gt;0,"支給済","不支給"),IF($AE21="","要確認",IF($AE21=0,"不支給","未処理")))))</f>
        <v/>
      </c>
      <c r="AG21" s="12" t="n"/>
      <c r="AH21" s="11" t="n"/>
      <c r="AI21" s="11" t="n"/>
      <c r="AJ21" s="11" t="n"/>
      <c r="AK21" s="14">
        <f>IF(AND($AF21="保留中",$AH21&lt;&gt;""),TODAY()-$AH21,"")</f>
        <v/>
      </c>
      <c r="AL21" s="12" t="n"/>
      <c r="AM21" s="14">
        <f>IF($B21="","",IF($AQ21="","対象年月が未入力／","")&amp;IF($B21="","",IF($AP21="","職員マスタに未登録の職員番号／",IF($AA21="","標準報酬月額が未登録／","")&amp;IF(AND($AQ21&lt;&gt;"",OR(AND(INDEX(職員マスタ!$G$6:$G$405,$AP21)&lt;&gt;"",INDEX(職員マスタ!$G$6:$G$405,$AP21)&gt;EOMONTH($AQ21,0)),AND(INDEX(職員マスタ!$H$6:$H$405,$AP21)&lt;&gt;"",INDEX(職員マスタ!$H$6:$H$405,$AP21)&lt;$AQ21))),"対象月が時短期間外／","")&amp;IF(AND(INDEX(職員マスタ!$K$6:$K$405,$AP21)&lt;&gt;"",N($W21)&gt;0,INDEX(職員マスタ!$K$6:$K$405,$AP21)&lt;&gt;$W21),"標準報酬月額が申請書と相違（台帳"&amp;TEXT(INDEX(職員マスタ!$K$6:$K$405,$AP21),"#,##0")&amp;"円／申請書"&amp;TEXT($W21,"#,##0")&amp;"円）／","")&amp;IF(AND(INDEX(職員マスタ!$F$6:$F$405,$AP21)&lt;&gt;"",$AQ21&lt;&gt;"",INDEX(職員マスタ!$F$6:$F$405,$AP21)&lt;$AQ21),"対象月に子が2歳到達済／","")&amp;IF(AND($H21&lt;&gt;"",INDEX(職員マスタ!$B$6:$B$405,$AP21)&lt;&gt;"",SUBSTITUTE(SUBSTITUTE($H21," ","")," ","")&lt;&gt;SUBSTITUTE(SUBSTITUTE(INDEX(職員マスタ!$B$6:$B$405,$AP21)," ","")," ","")),"氏名がマスタと相違／","")&amp;IF(AND($Q21&lt;&gt;"",INDEX(職員マスタ!$E$6:$E$405,$AP21)&lt;&gt;"",$Q21&lt;&gt;INDEX(職員マスタ!$E$6:$E$405,$AP21)),"子の生年月日がマスタと相違／","")&amp;IF(AND($L21&lt;&gt;"",INDEX(職員マスタ!$G$6:$G$405,$AP21)&lt;&gt;"",$L21&lt;&gt;INDEX(職員マスタ!$G$6:$G$405,$AP21)),"時短開始日がマスタと相違／","")&amp;IF(AND($M21&lt;&gt;"",INDEX(職員マスタ!$H$6:$H$405,$AP21)&lt;&gt;"",$M21&lt;&gt;INDEX(職員マスタ!$H$6:$H$405,$AP21)),"時短終了日がマスタと相違／","")))&amp;IF(AND($B21&lt;&gt;"",$E21=""),"報酬額が未入力／","")&amp;IF(N($U21)&gt;0,"申請書に入力エラーが残っています／","")&amp;IF(AND($B21&lt;&gt;"",$AQ21&lt;&gt;""),IF(COUNTIFS($B$6:$B$3005,$B21,$C$6:$C$3005,$C21,$D$6:$D$3005,$D21)&gt;1,"同じ月の請求が重複しています／",""),"")&amp;IF(AND(N($E21)&gt;0,$AB21&lt;&gt;"",$AB21&lt;&gt;"×",$AE21=0,$AD21=""),"計算額が下限以下のため不支給／",""))</f>
        <v/>
      </c>
      <c r="AN21" s="12" t="n"/>
      <c r="AO21" s="14">
        <f>IF($AF21="保留中",COUNTIF($AF$6:$AF21,"保留中"),"")</f>
        <v/>
      </c>
      <c r="AP21" s="14">
        <f>IF($AQ21="","",IF(SUMPRODUCT(MAX((職員マスタ!$A$6:$A$405=$B21)*(((職員マスタ!$G$6:$G$405="")+(職員マスタ!$G$6:$G$405&lt;=EOMONTH($AQ21,0)))&gt;0)*(((職員マスタ!$H$6:$H$405="")+(職員マスタ!$H$6:$H$405&gt;=$AQ21))&gt;0)*(ROW(職員マスタ!$A$6:$A$405)-5)))&gt;0,SUMPRODUCT(MAX((職員マスタ!$A$6:$A$405=$B21)*(((職員マスタ!$G$6:$G$405="")+(職員マスタ!$G$6:$G$405&lt;=EOMONTH($AQ21,0)))&gt;0)*(((職員マスタ!$H$6:$H$405="")+(職員マスタ!$H$6:$H$405&gt;=$AQ21))&gt;0)*(ROW(職員マスタ!$A$6:$A$405)-5))),IFERROR(MATCH($B21,職員マスタ!$A$6:$A$405,0),"")))</f>
        <v/>
      </c>
      <c r="AQ21" s="16">
        <f>IF(OR($B21="",$C21="",$D21=""),"",DATE($C21+2018,$D21,1))</f>
        <v/>
      </c>
    </row>
    <row r="22">
      <c r="A22" s="11" t="n"/>
      <c r="B22" s="12" t="n">
        <v>6300941</v>
      </c>
      <c r="C22" s="12" t="n">
        <v>8</v>
      </c>
      <c r="D22" s="12" t="n">
        <v>7</v>
      </c>
      <c r="E22" s="13" t="n">
        <v>357142</v>
      </c>
      <c r="F22" s="12" t="n"/>
      <c r="G22" s="13" t="n"/>
      <c r="H22" s="12" t="n"/>
      <c r="I22" s="12" t="n"/>
      <c r="J22" s="12" t="n"/>
      <c r="K22" s="12" t="n"/>
      <c r="L22" s="11" t="n"/>
      <c r="M22" s="11" t="n"/>
      <c r="N22" s="11" t="n"/>
      <c r="O22" s="11" t="n"/>
      <c r="P22" s="12" t="n"/>
      <c r="Q22" s="11" t="n"/>
      <c r="R22" s="12" t="n"/>
      <c r="S22" s="11" t="n"/>
      <c r="T22" s="12" t="n"/>
      <c r="U22" s="12" t="n"/>
      <c r="V22" s="12" t="n"/>
      <c r="W22" s="13" t="n"/>
      <c r="X22" s="14">
        <f>IF($AP22="",IF($B22="","",$H22),IF(INDEX(職員マスタ!$B$6:$B$405,$AP22)="",$H22,INDEX(職員マスタ!$B$6:$B$405,$AP22)))</f>
        <v/>
      </c>
      <c r="Y22" s="14">
        <f>IF($AP22="",IF($B22="","",$R22),IF(INDEX(職員マスタ!$C$6:$C$405,$AP22)="",$R22,INDEX(職員マスタ!$C$6:$C$405,$AP22)))</f>
        <v/>
      </c>
      <c r="Z22" s="14">
        <f>IF($AQ22="","","R"&amp;$C22&amp;"."&amp;$D22)</f>
        <v/>
      </c>
      <c r="AA22" s="15">
        <f>IF(IF($AP22="",FALSE,INDEX(職員マスタ!$K$6:$K$405,$AP22)&lt;&gt;""),INDEX(職員マスタ!$K$6:$K$405,$AP22),IF(N($W22)&gt;0,$W22,""))</f>
        <v/>
      </c>
      <c r="AB22" s="14">
        <f>IF(OR($E22="",$AA22=""),"",IF($E22&gt;=$AA22,"×",IF($E22&gt;=$AA22*設定!$C$5,"△","○")))</f>
        <v/>
      </c>
      <c r="AC22" s="15">
        <f>IF($AB22="","",IF($AB22="×",0,IF($AB22="○",ROUNDDOWN($E22*設定!$C$4,0),ROUNDDOWN($E22*ROUND((9*$AA22-9*$E22)/(10*$E22),4),0))))</f>
        <v/>
      </c>
      <c r="AD22" s="13" t="n"/>
      <c r="AE22" s="15">
        <f>IF($B22="","",IF($AD22&lt;&gt;"",$AD22,IF($AC22="","",IF($AC22&lt;=設定!$C$3,0,$AC22))))</f>
        <v/>
      </c>
      <c r="AF22" s="14">
        <f>IF($B22="","",IF(AND($AG22&lt;&gt;"",$AI22="",$AL22=""),"保留中",IF($AL22&lt;&gt;"",IF(N($AE22)&gt;0,"支給済","不支給"),IF($AE22="","要確認",IF($AE22=0,"不支給","未処理")))))</f>
        <v/>
      </c>
      <c r="AG22" s="12" t="n"/>
      <c r="AH22" s="11" t="n"/>
      <c r="AI22" s="11" t="n"/>
      <c r="AJ22" s="11" t="n"/>
      <c r="AK22" s="14">
        <f>IF(AND($AF22="保留中",$AH22&lt;&gt;""),TODAY()-$AH22,"")</f>
        <v/>
      </c>
      <c r="AL22" s="12" t="inlineStr">
        <is>
          <t>R8.9</t>
        </is>
      </c>
      <c r="AM22" s="14">
        <f>IF($B22="","",IF($AQ22="","対象年月が未入力／","")&amp;IF($B22="","",IF($AP22="","職員マスタに未登録の職員番号／",IF($AA22="","標準報酬月額が未登録／","")&amp;IF(AND($AQ22&lt;&gt;"",OR(AND(INDEX(職員マスタ!$G$6:$G$405,$AP22)&lt;&gt;"",INDEX(職員マスタ!$G$6:$G$405,$AP22)&gt;EOMONTH($AQ22,0)),AND(INDEX(職員マスタ!$H$6:$H$405,$AP22)&lt;&gt;"",INDEX(職員マスタ!$H$6:$H$405,$AP22)&lt;$AQ22))),"対象月が時短期間外／","")&amp;IF(AND(INDEX(職員マスタ!$K$6:$K$405,$AP22)&lt;&gt;"",N($W22)&gt;0,INDEX(職員マスタ!$K$6:$K$405,$AP22)&lt;&gt;$W22),"標準報酬月額が申請書と相違（台帳"&amp;TEXT(INDEX(職員マスタ!$K$6:$K$405,$AP22),"#,##0")&amp;"円／申請書"&amp;TEXT($W22,"#,##0")&amp;"円）／","")&amp;IF(AND(INDEX(職員マスタ!$F$6:$F$405,$AP22)&lt;&gt;"",$AQ22&lt;&gt;"",INDEX(職員マスタ!$F$6:$F$405,$AP22)&lt;$AQ22),"対象月に子が2歳到達済／","")&amp;IF(AND($H22&lt;&gt;"",INDEX(職員マスタ!$B$6:$B$405,$AP22)&lt;&gt;"",SUBSTITUTE(SUBSTITUTE($H22," ","")," ","")&lt;&gt;SUBSTITUTE(SUBSTITUTE(INDEX(職員マスタ!$B$6:$B$405,$AP22)," ","")," ","")),"氏名がマスタと相違／","")&amp;IF(AND($Q22&lt;&gt;"",INDEX(職員マスタ!$E$6:$E$405,$AP22)&lt;&gt;"",$Q22&lt;&gt;INDEX(職員マスタ!$E$6:$E$405,$AP22)),"子の生年月日がマスタと相違／","")&amp;IF(AND($L22&lt;&gt;"",INDEX(職員マスタ!$G$6:$G$405,$AP22)&lt;&gt;"",$L22&lt;&gt;INDEX(職員マスタ!$G$6:$G$405,$AP22)),"時短開始日がマスタと相違／","")&amp;IF(AND($M22&lt;&gt;"",INDEX(職員マスタ!$H$6:$H$405,$AP22)&lt;&gt;"",$M22&lt;&gt;INDEX(職員マスタ!$H$6:$H$405,$AP22)),"時短終了日がマスタと相違／","")))&amp;IF(AND($B22&lt;&gt;"",$E22=""),"報酬額が未入力／","")&amp;IF(N($U22)&gt;0,"申請書に入力エラーが残っています／","")&amp;IF(AND($B22&lt;&gt;"",$AQ22&lt;&gt;""),IF(COUNTIFS($B$6:$B$3005,$B22,$C$6:$C$3005,$C22,$D$6:$D$3005,$D22)&gt;1,"同じ月の請求が重複しています／",""),"")&amp;IF(AND(N($E22)&gt;0,$AB22&lt;&gt;"",$AB22&lt;&gt;"×",$AE22=0,$AD22=""),"計算額が下限以下のため不支給／",""))</f>
        <v/>
      </c>
      <c r="AN22" s="12" t="n"/>
      <c r="AO22" s="14">
        <f>IF($AF22="保留中",COUNTIF($AF$6:$AF22,"保留中"),"")</f>
        <v/>
      </c>
      <c r="AP22" s="14">
        <f>IF($AQ22="","",IF(SUMPRODUCT(MAX((職員マスタ!$A$6:$A$405=$B22)*(((職員マスタ!$G$6:$G$405="")+(職員マスタ!$G$6:$G$405&lt;=EOMONTH($AQ22,0)))&gt;0)*(((職員マスタ!$H$6:$H$405="")+(職員マスタ!$H$6:$H$405&gt;=$AQ22))&gt;0)*(ROW(職員マスタ!$A$6:$A$405)-5)))&gt;0,SUMPRODUCT(MAX((職員マスタ!$A$6:$A$405=$B22)*(((職員マスタ!$G$6:$G$405="")+(職員マスタ!$G$6:$G$405&lt;=EOMONTH($AQ22,0)))&gt;0)*(((職員マスタ!$H$6:$H$405="")+(職員マスタ!$H$6:$H$405&gt;=$AQ22))&gt;0)*(ROW(職員マスタ!$A$6:$A$405)-5))),IFERROR(MATCH($B22,職員マスタ!$A$6:$A$405,0),"")))</f>
        <v/>
      </c>
      <c r="AQ22" s="16">
        <f>IF(OR($B22="",$C22="",$D22=""),"",DATE($C22+2018,$D22,1))</f>
        <v/>
      </c>
    </row>
    <row r="23">
      <c r="A23" s="11" t="n"/>
      <c r="B23" s="12" t="n">
        <v>6400857</v>
      </c>
      <c r="C23" s="12" t="n">
        <v>8</v>
      </c>
      <c r="D23" s="12" t="n">
        <v>4</v>
      </c>
      <c r="E23" s="13" t="n">
        <v>239718</v>
      </c>
      <c r="F23" s="12" t="n"/>
      <c r="G23" s="13" t="n"/>
      <c r="H23" s="12" t="n"/>
      <c r="I23" s="12" t="n"/>
      <c r="J23" s="12" t="n"/>
      <c r="K23" s="12" t="n"/>
      <c r="L23" s="11" t="n"/>
      <c r="M23" s="11" t="n"/>
      <c r="N23" s="11" t="n"/>
      <c r="O23" s="11" t="n"/>
      <c r="P23" s="12" t="n"/>
      <c r="Q23" s="11" t="n"/>
      <c r="R23" s="12" t="n"/>
      <c r="S23" s="11" t="n"/>
      <c r="T23" s="12" t="n"/>
      <c r="U23" s="12" t="n"/>
      <c r="V23" s="12" t="n"/>
      <c r="W23" s="13" t="n"/>
      <c r="X23" s="14">
        <f>IF($AP23="",IF($B23="","",$H23),IF(INDEX(職員マスタ!$B$6:$B$405,$AP23)="",$H23,INDEX(職員マスタ!$B$6:$B$405,$AP23)))</f>
        <v/>
      </c>
      <c r="Y23" s="14">
        <f>IF($AP23="",IF($B23="","",$R23),IF(INDEX(職員マスタ!$C$6:$C$405,$AP23)="",$R23,INDEX(職員マスタ!$C$6:$C$405,$AP23)))</f>
        <v/>
      </c>
      <c r="Z23" s="14">
        <f>IF($AQ23="","","R"&amp;$C23&amp;"."&amp;$D23)</f>
        <v/>
      </c>
      <c r="AA23" s="15">
        <f>IF(IF($AP23="",FALSE,INDEX(職員マスタ!$K$6:$K$405,$AP23)&lt;&gt;""),INDEX(職員マスタ!$K$6:$K$405,$AP23),IF(N($W23)&gt;0,$W23,""))</f>
        <v/>
      </c>
      <c r="AB23" s="14">
        <f>IF(OR($E23="",$AA23=""),"",IF($E23&gt;=$AA23,"×",IF($E23&gt;=$AA23*設定!$C$5,"△","○")))</f>
        <v/>
      </c>
      <c r="AC23" s="15">
        <f>IF($AB23="","",IF($AB23="×",0,IF($AB23="○",ROUNDDOWN($E23*設定!$C$4,0),ROUNDDOWN($E23*ROUND((9*$AA23-9*$E23)/(10*$E23),4),0))))</f>
        <v/>
      </c>
      <c r="AD23" s="13" t="n"/>
      <c r="AE23" s="15">
        <f>IF($B23="","",IF($AD23&lt;&gt;"",$AD23,IF($AC23="","",IF($AC23&lt;=設定!$C$3,0,$AC23))))</f>
        <v/>
      </c>
      <c r="AF23" s="14">
        <f>IF($B23="","",IF(AND($AG23&lt;&gt;"",$AI23="",$AL23=""),"保留中",IF($AL23&lt;&gt;"",IF(N($AE23)&gt;0,"支給済","不支給"),IF($AE23="","要確認",IF($AE23=0,"不支給","未処理")))))</f>
        <v/>
      </c>
      <c r="AG23" s="12" t="n"/>
      <c r="AH23" s="11" t="n"/>
      <c r="AI23" s="11" t="n"/>
      <c r="AJ23" s="11" t="n"/>
      <c r="AK23" s="14">
        <f>IF(AND($AF23="保留中",$AH23&lt;&gt;""),TODAY()-$AH23,"")</f>
        <v/>
      </c>
      <c r="AL23" s="12" t="inlineStr">
        <is>
          <t>R8.6</t>
        </is>
      </c>
      <c r="AM23" s="14">
        <f>IF($B23="","",IF($AQ23="","対象年月が未入力／","")&amp;IF($B23="","",IF($AP23="","職員マスタに未登録の職員番号／",IF($AA23="","標準報酬月額が未登録／","")&amp;IF(AND($AQ23&lt;&gt;"",OR(AND(INDEX(職員マスタ!$G$6:$G$405,$AP23)&lt;&gt;"",INDEX(職員マスタ!$G$6:$G$405,$AP23)&gt;EOMONTH($AQ23,0)),AND(INDEX(職員マスタ!$H$6:$H$405,$AP23)&lt;&gt;"",INDEX(職員マスタ!$H$6:$H$405,$AP23)&lt;$AQ23))),"対象月が時短期間外／","")&amp;IF(AND(INDEX(職員マスタ!$K$6:$K$405,$AP23)&lt;&gt;"",N($W23)&gt;0,INDEX(職員マスタ!$K$6:$K$405,$AP23)&lt;&gt;$W23),"標準報酬月額が申請書と相違（台帳"&amp;TEXT(INDEX(職員マスタ!$K$6:$K$405,$AP23),"#,##0")&amp;"円／申請書"&amp;TEXT($W23,"#,##0")&amp;"円）／","")&amp;IF(AND(INDEX(職員マスタ!$F$6:$F$405,$AP23)&lt;&gt;"",$AQ23&lt;&gt;"",INDEX(職員マスタ!$F$6:$F$405,$AP23)&lt;$AQ23),"対象月に子が2歳到達済／","")&amp;IF(AND($H23&lt;&gt;"",INDEX(職員マスタ!$B$6:$B$405,$AP23)&lt;&gt;"",SUBSTITUTE(SUBSTITUTE($H23," ","")," ","")&lt;&gt;SUBSTITUTE(SUBSTITUTE(INDEX(職員マスタ!$B$6:$B$405,$AP23)," ","")," ","")),"氏名がマスタと相違／","")&amp;IF(AND($Q23&lt;&gt;"",INDEX(職員マスタ!$E$6:$E$405,$AP23)&lt;&gt;"",$Q23&lt;&gt;INDEX(職員マスタ!$E$6:$E$405,$AP23)),"子の生年月日がマスタと相違／","")&amp;IF(AND($L23&lt;&gt;"",INDEX(職員マスタ!$G$6:$G$405,$AP23)&lt;&gt;"",$L23&lt;&gt;INDEX(職員マスタ!$G$6:$G$405,$AP23)),"時短開始日がマスタと相違／","")&amp;IF(AND($M23&lt;&gt;"",INDEX(職員マスタ!$H$6:$H$405,$AP23)&lt;&gt;"",$M23&lt;&gt;INDEX(職員マスタ!$H$6:$H$405,$AP23)),"時短終了日がマスタと相違／","")))&amp;IF(AND($B23&lt;&gt;"",$E23=""),"報酬額が未入力／","")&amp;IF(N($U23)&gt;0,"申請書に入力エラーが残っています／","")&amp;IF(AND($B23&lt;&gt;"",$AQ23&lt;&gt;""),IF(COUNTIFS($B$6:$B$3005,$B23,$C$6:$C$3005,$C23,$D$6:$D$3005,$D23)&gt;1,"同じ月の請求が重複しています／",""),"")&amp;IF(AND(N($E23)&gt;0,$AB23&lt;&gt;"",$AB23&lt;&gt;"×",$AE23=0,$AD23=""),"計算額が下限以下のため不支給／",""))</f>
        <v/>
      </c>
      <c r="AN23" s="12" t="n"/>
      <c r="AO23" s="14">
        <f>IF($AF23="保留中",COUNTIF($AF$6:$AF23,"保留中"),"")</f>
        <v/>
      </c>
      <c r="AP23" s="14">
        <f>IF($AQ23="","",IF(SUMPRODUCT(MAX((職員マスタ!$A$6:$A$405=$B23)*(((職員マスタ!$G$6:$G$405="")+(職員マスタ!$G$6:$G$405&lt;=EOMONTH($AQ23,0)))&gt;0)*(((職員マスタ!$H$6:$H$405="")+(職員マスタ!$H$6:$H$405&gt;=$AQ23))&gt;0)*(ROW(職員マスタ!$A$6:$A$405)-5)))&gt;0,SUMPRODUCT(MAX((職員マスタ!$A$6:$A$405=$B23)*(((職員マスタ!$G$6:$G$405="")+(職員マスタ!$G$6:$G$405&lt;=EOMONTH($AQ23,0)))&gt;0)*(((職員マスタ!$H$6:$H$405="")+(職員マスタ!$H$6:$H$405&gt;=$AQ23))&gt;0)*(ROW(職員マスタ!$A$6:$A$405)-5))),IFERROR(MATCH($B23,職員マスタ!$A$6:$A$405,0),"")))</f>
        <v/>
      </c>
      <c r="AQ23" s="16">
        <f>IF(OR($B23="",$C23="",$D23=""),"",DATE($C23+2018,$D23,1))</f>
        <v/>
      </c>
    </row>
    <row r="24">
      <c r="A24" s="11" t="n"/>
      <c r="B24" s="12" t="n">
        <v>6400857</v>
      </c>
      <c r="C24" s="12" t="n">
        <v>8</v>
      </c>
      <c r="D24" s="12" t="n">
        <v>5</v>
      </c>
      <c r="E24" s="13" t="n">
        <v>260051</v>
      </c>
      <c r="F24" s="12" t="n"/>
      <c r="G24" s="13" t="n"/>
      <c r="H24" s="12" t="n"/>
      <c r="I24" s="12" t="n"/>
      <c r="J24" s="12" t="n"/>
      <c r="K24" s="12" t="n"/>
      <c r="L24" s="11" t="n"/>
      <c r="M24" s="11" t="n"/>
      <c r="N24" s="11" t="n"/>
      <c r="O24" s="11" t="n"/>
      <c r="P24" s="12" t="n"/>
      <c r="Q24" s="11" t="n"/>
      <c r="R24" s="12" t="n"/>
      <c r="S24" s="11" t="n"/>
      <c r="T24" s="12" t="n"/>
      <c r="U24" s="12" t="n"/>
      <c r="V24" s="12" t="n"/>
      <c r="W24" s="13" t="n"/>
      <c r="X24" s="14">
        <f>IF($AP24="",IF($B24="","",$H24),IF(INDEX(職員マスタ!$B$6:$B$405,$AP24)="",$H24,INDEX(職員マスタ!$B$6:$B$405,$AP24)))</f>
        <v/>
      </c>
      <c r="Y24" s="14">
        <f>IF($AP24="",IF($B24="","",$R24),IF(INDEX(職員マスタ!$C$6:$C$405,$AP24)="",$R24,INDEX(職員マスタ!$C$6:$C$405,$AP24)))</f>
        <v/>
      </c>
      <c r="Z24" s="14">
        <f>IF($AQ24="","","R"&amp;$C24&amp;"."&amp;$D24)</f>
        <v/>
      </c>
      <c r="AA24" s="15">
        <f>IF(IF($AP24="",FALSE,INDEX(職員マスタ!$K$6:$K$405,$AP24)&lt;&gt;""),INDEX(職員マスタ!$K$6:$K$405,$AP24),IF(N($W24)&gt;0,$W24,""))</f>
        <v/>
      </c>
      <c r="AB24" s="14">
        <f>IF(OR($E24="",$AA24=""),"",IF($E24&gt;=$AA24,"×",IF($E24&gt;=$AA24*設定!$C$5,"△","○")))</f>
        <v/>
      </c>
      <c r="AC24" s="15">
        <f>IF($AB24="","",IF($AB24="×",0,IF($AB24="○",ROUNDDOWN($E24*設定!$C$4,0),ROUNDDOWN($E24*ROUND((9*$AA24-9*$E24)/(10*$E24),4),0))))</f>
        <v/>
      </c>
      <c r="AD24" s="13" t="n"/>
      <c r="AE24" s="15">
        <f>IF($B24="","",IF($AD24&lt;&gt;"",$AD24,IF($AC24="","",IF($AC24&lt;=設定!$C$3,0,$AC24))))</f>
        <v/>
      </c>
      <c r="AF24" s="14">
        <f>IF($B24="","",IF(AND($AG24&lt;&gt;"",$AI24="",$AL24=""),"保留中",IF($AL24&lt;&gt;"",IF(N($AE24)&gt;0,"支給済","不支給"),IF($AE24="","要確認",IF($AE24=0,"不支給","未処理")))))</f>
        <v/>
      </c>
      <c r="AG24" s="12" t="n"/>
      <c r="AH24" s="11" t="n"/>
      <c r="AI24" s="11" t="n"/>
      <c r="AJ24" s="11" t="n"/>
      <c r="AK24" s="14">
        <f>IF(AND($AF24="保留中",$AH24&lt;&gt;""),TODAY()-$AH24,"")</f>
        <v/>
      </c>
      <c r="AL24" s="12" t="inlineStr">
        <is>
          <t>R8.7</t>
        </is>
      </c>
      <c r="AM24" s="14">
        <f>IF($B24="","",IF($AQ24="","対象年月が未入力／","")&amp;IF($B24="","",IF($AP24="","職員マスタに未登録の職員番号／",IF($AA24="","標準報酬月額が未登録／","")&amp;IF(AND($AQ24&lt;&gt;"",OR(AND(INDEX(職員マスタ!$G$6:$G$405,$AP24)&lt;&gt;"",INDEX(職員マスタ!$G$6:$G$405,$AP24)&gt;EOMONTH($AQ24,0)),AND(INDEX(職員マスタ!$H$6:$H$405,$AP24)&lt;&gt;"",INDEX(職員マスタ!$H$6:$H$405,$AP24)&lt;$AQ24))),"対象月が時短期間外／","")&amp;IF(AND(INDEX(職員マスタ!$K$6:$K$405,$AP24)&lt;&gt;"",N($W24)&gt;0,INDEX(職員マスタ!$K$6:$K$405,$AP24)&lt;&gt;$W24),"標準報酬月額が申請書と相違（台帳"&amp;TEXT(INDEX(職員マスタ!$K$6:$K$405,$AP24),"#,##0")&amp;"円／申請書"&amp;TEXT($W24,"#,##0")&amp;"円）／","")&amp;IF(AND(INDEX(職員マスタ!$F$6:$F$405,$AP24)&lt;&gt;"",$AQ24&lt;&gt;"",INDEX(職員マスタ!$F$6:$F$405,$AP24)&lt;$AQ24),"対象月に子が2歳到達済／","")&amp;IF(AND($H24&lt;&gt;"",INDEX(職員マスタ!$B$6:$B$405,$AP24)&lt;&gt;"",SUBSTITUTE(SUBSTITUTE($H24," ","")," ","")&lt;&gt;SUBSTITUTE(SUBSTITUTE(INDEX(職員マスタ!$B$6:$B$405,$AP24)," ","")," ","")),"氏名がマスタと相違／","")&amp;IF(AND($Q24&lt;&gt;"",INDEX(職員マスタ!$E$6:$E$405,$AP24)&lt;&gt;"",$Q24&lt;&gt;INDEX(職員マスタ!$E$6:$E$405,$AP24)),"子の生年月日がマスタと相違／","")&amp;IF(AND($L24&lt;&gt;"",INDEX(職員マスタ!$G$6:$G$405,$AP24)&lt;&gt;"",$L24&lt;&gt;INDEX(職員マスタ!$G$6:$G$405,$AP24)),"時短開始日がマスタと相違／","")&amp;IF(AND($M24&lt;&gt;"",INDEX(職員マスタ!$H$6:$H$405,$AP24)&lt;&gt;"",$M24&lt;&gt;INDEX(職員マスタ!$H$6:$H$405,$AP24)),"時短終了日がマスタと相違／","")))&amp;IF(AND($B24&lt;&gt;"",$E24=""),"報酬額が未入力／","")&amp;IF(N($U24)&gt;0,"申請書に入力エラーが残っています／","")&amp;IF(AND($B24&lt;&gt;"",$AQ24&lt;&gt;""),IF(COUNTIFS($B$6:$B$3005,$B24,$C$6:$C$3005,$C24,$D$6:$D$3005,$D24)&gt;1,"同じ月の請求が重複しています／",""),"")&amp;IF(AND(N($E24)&gt;0,$AB24&lt;&gt;"",$AB24&lt;&gt;"×",$AE24=0,$AD24=""),"計算額が下限以下のため不支給／",""))</f>
        <v/>
      </c>
      <c r="AN24" s="12" t="n"/>
      <c r="AO24" s="14">
        <f>IF($AF24="保留中",COUNTIF($AF$6:$AF24,"保留中"),"")</f>
        <v/>
      </c>
      <c r="AP24" s="14">
        <f>IF($AQ24="","",IF(SUMPRODUCT(MAX((職員マスタ!$A$6:$A$405=$B24)*(((職員マスタ!$G$6:$G$405="")+(職員マスタ!$G$6:$G$405&lt;=EOMONTH($AQ24,0)))&gt;0)*(((職員マスタ!$H$6:$H$405="")+(職員マスタ!$H$6:$H$405&gt;=$AQ24))&gt;0)*(ROW(職員マスタ!$A$6:$A$405)-5)))&gt;0,SUMPRODUCT(MAX((職員マスタ!$A$6:$A$405=$B24)*(((職員マスタ!$G$6:$G$405="")+(職員マスタ!$G$6:$G$405&lt;=EOMONTH($AQ24,0)))&gt;0)*(((職員マスタ!$H$6:$H$405="")+(職員マスタ!$H$6:$H$405&gt;=$AQ24))&gt;0)*(ROW(職員マスタ!$A$6:$A$405)-5))),IFERROR(MATCH($B24,職員マスタ!$A$6:$A$405,0),"")))</f>
        <v/>
      </c>
      <c r="AQ24" s="16">
        <f>IF(OR($B24="",$C24="",$D24=""),"",DATE($C24+2018,$D24,1))</f>
        <v/>
      </c>
    </row>
    <row r="25">
      <c r="A25" s="11" t="n"/>
      <c r="B25" s="12" t="n">
        <v>6400857</v>
      </c>
      <c r="C25" s="12" t="n">
        <v>8</v>
      </c>
      <c r="D25" s="12" t="n">
        <v>6</v>
      </c>
      <c r="E25" s="13" t="n">
        <v>254399</v>
      </c>
      <c r="F25" s="12" t="n"/>
      <c r="G25" s="13" t="n"/>
      <c r="H25" s="12" t="n"/>
      <c r="I25" s="12" t="n"/>
      <c r="J25" s="12" t="n"/>
      <c r="K25" s="12" t="n"/>
      <c r="L25" s="11" t="n"/>
      <c r="M25" s="11" t="n"/>
      <c r="N25" s="11" t="n"/>
      <c r="O25" s="11" t="n"/>
      <c r="P25" s="12" t="n"/>
      <c r="Q25" s="11" t="n"/>
      <c r="R25" s="12" t="n"/>
      <c r="S25" s="11" t="n"/>
      <c r="T25" s="12" t="n"/>
      <c r="U25" s="12" t="n"/>
      <c r="V25" s="12" t="n"/>
      <c r="W25" s="13" t="n"/>
      <c r="X25" s="14">
        <f>IF($AP25="",IF($B25="","",$H25),IF(INDEX(職員マスタ!$B$6:$B$405,$AP25)="",$H25,INDEX(職員マスタ!$B$6:$B$405,$AP25)))</f>
        <v/>
      </c>
      <c r="Y25" s="14">
        <f>IF($AP25="",IF($B25="","",$R25),IF(INDEX(職員マスタ!$C$6:$C$405,$AP25)="",$R25,INDEX(職員マスタ!$C$6:$C$405,$AP25)))</f>
        <v/>
      </c>
      <c r="Z25" s="14">
        <f>IF($AQ25="","","R"&amp;$C25&amp;"."&amp;$D25)</f>
        <v/>
      </c>
      <c r="AA25" s="15">
        <f>IF(IF($AP25="",FALSE,INDEX(職員マスタ!$K$6:$K$405,$AP25)&lt;&gt;""),INDEX(職員マスタ!$K$6:$K$405,$AP25),IF(N($W25)&gt;0,$W25,""))</f>
        <v/>
      </c>
      <c r="AB25" s="14">
        <f>IF(OR($E25="",$AA25=""),"",IF($E25&gt;=$AA25,"×",IF($E25&gt;=$AA25*設定!$C$5,"△","○")))</f>
        <v/>
      </c>
      <c r="AC25" s="15">
        <f>IF($AB25="","",IF($AB25="×",0,IF($AB25="○",ROUNDDOWN($E25*設定!$C$4,0),ROUNDDOWN($E25*ROUND((9*$AA25-9*$E25)/(10*$E25),4),0))))</f>
        <v/>
      </c>
      <c r="AD25" s="13" t="n"/>
      <c r="AE25" s="15">
        <f>IF($B25="","",IF($AD25&lt;&gt;"",$AD25,IF($AC25="","",IF($AC25&lt;=設定!$C$3,0,$AC25))))</f>
        <v/>
      </c>
      <c r="AF25" s="14">
        <f>IF($B25="","",IF(AND($AG25&lt;&gt;"",$AI25="",$AL25=""),"保留中",IF($AL25&lt;&gt;"",IF(N($AE25)&gt;0,"支給済","不支給"),IF($AE25="","要確認",IF($AE25=0,"不支給","未処理")))))</f>
        <v/>
      </c>
      <c r="AG25" s="12" t="n"/>
      <c r="AH25" s="11" t="n"/>
      <c r="AI25" s="11" t="n"/>
      <c r="AJ25" s="11" t="n"/>
      <c r="AK25" s="14">
        <f>IF(AND($AF25="保留中",$AH25&lt;&gt;""),TODAY()-$AH25,"")</f>
        <v/>
      </c>
      <c r="AL25" s="12" t="inlineStr">
        <is>
          <t>R8.8</t>
        </is>
      </c>
      <c r="AM25" s="14">
        <f>IF($B25="","",IF($AQ25="","対象年月が未入力／","")&amp;IF($B25="","",IF($AP25="","職員マスタに未登録の職員番号／",IF($AA25="","標準報酬月額が未登録／","")&amp;IF(AND($AQ25&lt;&gt;"",OR(AND(INDEX(職員マスタ!$G$6:$G$405,$AP25)&lt;&gt;"",INDEX(職員マスタ!$G$6:$G$405,$AP25)&gt;EOMONTH($AQ25,0)),AND(INDEX(職員マスタ!$H$6:$H$405,$AP25)&lt;&gt;"",INDEX(職員マスタ!$H$6:$H$405,$AP25)&lt;$AQ25))),"対象月が時短期間外／","")&amp;IF(AND(INDEX(職員マスタ!$K$6:$K$405,$AP25)&lt;&gt;"",N($W25)&gt;0,INDEX(職員マスタ!$K$6:$K$405,$AP25)&lt;&gt;$W25),"標準報酬月額が申請書と相違（台帳"&amp;TEXT(INDEX(職員マスタ!$K$6:$K$405,$AP25),"#,##0")&amp;"円／申請書"&amp;TEXT($W25,"#,##0")&amp;"円）／","")&amp;IF(AND(INDEX(職員マスタ!$F$6:$F$405,$AP25)&lt;&gt;"",$AQ25&lt;&gt;"",INDEX(職員マスタ!$F$6:$F$405,$AP25)&lt;$AQ25),"対象月に子が2歳到達済／","")&amp;IF(AND($H25&lt;&gt;"",INDEX(職員マスタ!$B$6:$B$405,$AP25)&lt;&gt;"",SUBSTITUTE(SUBSTITUTE($H25," ","")," ","")&lt;&gt;SUBSTITUTE(SUBSTITUTE(INDEX(職員マスタ!$B$6:$B$405,$AP25)," ","")," ","")),"氏名がマスタと相違／","")&amp;IF(AND($Q25&lt;&gt;"",INDEX(職員マスタ!$E$6:$E$405,$AP25)&lt;&gt;"",$Q25&lt;&gt;INDEX(職員マスタ!$E$6:$E$405,$AP25)),"子の生年月日がマスタと相違／","")&amp;IF(AND($L25&lt;&gt;"",INDEX(職員マスタ!$G$6:$G$405,$AP25)&lt;&gt;"",$L25&lt;&gt;INDEX(職員マスタ!$G$6:$G$405,$AP25)),"時短開始日がマスタと相違／","")&amp;IF(AND($M25&lt;&gt;"",INDEX(職員マスタ!$H$6:$H$405,$AP25)&lt;&gt;"",$M25&lt;&gt;INDEX(職員マスタ!$H$6:$H$405,$AP25)),"時短終了日がマスタと相違／","")))&amp;IF(AND($B25&lt;&gt;"",$E25=""),"報酬額が未入力／","")&amp;IF(N($U25)&gt;0,"申請書に入力エラーが残っています／","")&amp;IF(AND($B25&lt;&gt;"",$AQ25&lt;&gt;""),IF(COUNTIFS($B$6:$B$3005,$B25,$C$6:$C$3005,$C25,$D$6:$D$3005,$D25)&gt;1,"同じ月の請求が重複しています／",""),"")&amp;IF(AND(N($E25)&gt;0,$AB25&lt;&gt;"",$AB25&lt;&gt;"×",$AE25=0,$AD25=""),"計算額が下限以下のため不支給／",""))</f>
        <v/>
      </c>
      <c r="AN25" s="12" t="n"/>
      <c r="AO25" s="14">
        <f>IF($AF25="保留中",COUNTIF($AF$6:$AF25,"保留中"),"")</f>
        <v/>
      </c>
      <c r="AP25" s="14">
        <f>IF($AQ25="","",IF(SUMPRODUCT(MAX((職員マスタ!$A$6:$A$405=$B25)*(((職員マスタ!$G$6:$G$405="")+(職員マスタ!$G$6:$G$405&lt;=EOMONTH($AQ25,0)))&gt;0)*(((職員マスタ!$H$6:$H$405="")+(職員マスタ!$H$6:$H$405&gt;=$AQ25))&gt;0)*(ROW(職員マスタ!$A$6:$A$405)-5)))&gt;0,SUMPRODUCT(MAX((職員マスタ!$A$6:$A$405=$B25)*(((職員マスタ!$G$6:$G$405="")+(職員マスタ!$G$6:$G$405&lt;=EOMONTH($AQ25,0)))&gt;0)*(((職員マスタ!$H$6:$H$405="")+(職員マスタ!$H$6:$H$405&gt;=$AQ25))&gt;0)*(ROW(職員マスタ!$A$6:$A$405)-5))),IFERROR(MATCH($B25,職員マスタ!$A$6:$A$405,0),"")))</f>
        <v/>
      </c>
      <c r="AQ25" s="16">
        <f>IF(OR($B25="",$C25="",$D25=""),"",DATE($C25+2018,$D25,1))</f>
        <v/>
      </c>
    </row>
    <row r="26">
      <c r="A26" s="11" t="n"/>
      <c r="B26" s="12" t="n">
        <v>6400857</v>
      </c>
      <c r="C26" s="12" t="n">
        <v>8</v>
      </c>
      <c r="D26" s="12" t="n">
        <v>7</v>
      </c>
      <c r="E26" s="13" t="n">
        <v>240269</v>
      </c>
      <c r="F26" s="12" t="n"/>
      <c r="G26" s="13" t="n"/>
      <c r="H26" s="12" t="n"/>
      <c r="I26" s="12" t="n"/>
      <c r="J26" s="12" t="n"/>
      <c r="K26" s="12" t="n"/>
      <c r="L26" s="11" t="n"/>
      <c r="M26" s="11" t="n"/>
      <c r="N26" s="11" t="n"/>
      <c r="O26" s="11" t="n"/>
      <c r="P26" s="12" t="n"/>
      <c r="Q26" s="11" t="n"/>
      <c r="R26" s="12" t="n"/>
      <c r="S26" s="11" t="n"/>
      <c r="T26" s="12" t="n"/>
      <c r="U26" s="12" t="n"/>
      <c r="V26" s="12" t="n"/>
      <c r="W26" s="13" t="n"/>
      <c r="X26" s="14">
        <f>IF($AP26="",IF($B26="","",$H26),IF(INDEX(職員マスタ!$B$6:$B$405,$AP26)="",$H26,INDEX(職員マスタ!$B$6:$B$405,$AP26)))</f>
        <v/>
      </c>
      <c r="Y26" s="14">
        <f>IF($AP26="",IF($B26="","",$R26),IF(INDEX(職員マスタ!$C$6:$C$405,$AP26)="",$R26,INDEX(職員マスタ!$C$6:$C$405,$AP26)))</f>
        <v/>
      </c>
      <c r="Z26" s="14">
        <f>IF($AQ26="","","R"&amp;$C26&amp;"."&amp;$D26)</f>
        <v/>
      </c>
      <c r="AA26" s="15">
        <f>IF(IF($AP26="",FALSE,INDEX(職員マスタ!$K$6:$K$405,$AP26)&lt;&gt;""),INDEX(職員マスタ!$K$6:$K$405,$AP26),IF(N($W26)&gt;0,$W26,""))</f>
        <v/>
      </c>
      <c r="AB26" s="14">
        <f>IF(OR($E26="",$AA26=""),"",IF($E26&gt;=$AA26,"×",IF($E26&gt;=$AA26*設定!$C$5,"△","○")))</f>
        <v/>
      </c>
      <c r="AC26" s="15">
        <f>IF($AB26="","",IF($AB26="×",0,IF($AB26="○",ROUNDDOWN($E26*設定!$C$4,0),ROUNDDOWN($E26*ROUND((9*$AA26-9*$E26)/(10*$E26),4),0))))</f>
        <v/>
      </c>
      <c r="AD26" s="13" t="n"/>
      <c r="AE26" s="15">
        <f>IF($B26="","",IF($AD26&lt;&gt;"",$AD26,IF($AC26="","",IF($AC26&lt;=設定!$C$3,0,$AC26))))</f>
        <v/>
      </c>
      <c r="AF26" s="14">
        <f>IF($B26="","",IF(AND($AG26&lt;&gt;"",$AI26="",$AL26=""),"保留中",IF($AL26&lt;&gt;"",IF(N($AE26)&gt;0,"支給済","不支給"),IF($AE26="","要確認",IF($AE26=0,"不支給","未処理")))))</f>
        <v/>
      </c>
      <c r="AG26" s="12" t="n"/>
      <c r="AH26" s="11" t="n"/>
      <c r="AI26" s="11" t="n"/>
      <c r="AJ26" s="11" t="n"/>
      <c r="AK26" s="14">
        <f>IF(AND($AF26="保留中",$AH26&lt;&gt;""),TODAY()-$AH26,"")</f>
        <v/>
      </c>
      <c r="AL26" s="12" t="inlineStr">
        <is>
          <t>R8.9</t>
        </is>
      </c>
      <c r="AM26" s="14">
        <f>IF($B26="","",IF($AQ26="","対象年月が未入力／","")&amp;IF($B26="","",IF($AP26="","職員マスタに未登録の職員番号／",IF($AA26="","標準報酬月額が未登録／","")&amp;IF(AND($AQ26&lt;&gt;"",OR(AND(INDEX(職員マスタ!$G$6:$G$405,$AP26)&lt;&gt;"",INDEX(職員マスタ!$G$6:$G$405,$AP26)&gt;EOMONTH($AQ26,0)),AND(INDEX(職員マスタ!$H$6:$H$405,$AP26)&lt;&gt;"",INDEX(職員マスタ!$H$6:$H$405,$AP26)&lt;$AQ26))),"対象月が時短期間外／","")&amp;IF(AND(INDEX(職員マスタ!$K$6:$K$405,$AP26)&lt;&gt;"",N($W26)&gt;0,INDEX(職員マスタ!$K$6:$K$405,$AP26)&lt;&gt;$W26),"標準報酬月額が申請書と相違（台帳"&amp;TEXT(INDEX(職員マスタ!$K$6:$K$405,$AP26),"#,##0")&amp;"円／申請書"&amp;TEXT($W26,"#,##0")&amp;"円）／","")&amp;IF(AND(INDEX(職員マスタ!$F$6:$F$405,$AP26)&lt;&gt;"",$AQ26&lt;&gt;"",INDEX(職員マスタ!$F$6:$F$405,$AP26)&lt;$AQ26),"対象月に子が2歳到達済／","")&amp;IF(AND($H26&lt;&gt;"",INDEX(職員マスタ!$B$6:$B$405,$AP26)&lt;&gt;"",SUBSTITUTE(SUBSTITUTE($H26," ","")," ","")&lt;&gt;SUBSTITUTE(SUBSTITUTE(INDEX(職員マスタ!$B$6:$B$405,$AP26)," ","")," ","")),"氏名がマスタと相違／","")&amp;IF(AND($Q26&lt;&gt;"",INDEX(職員マスタ!$E$6:$E$405,$AP26)&lt;&gt;"",$Q26&lt;&gt;INDEX(職員マスタ!$E$6:$E$405,$AP26)),"子の生年月日がマスタと相違／","")&amp;IF(AND($L26&lt;&gt;"",INDEX(職員マスタ!$G$6:$G$405,$AP26)&lt;&gt;"",$L26&lt;&gt;INDEX(職員マスタ!$G$6:$G$405,$AP26)),"時短開始日がマスタと相違／","")&amp;IF(AND($M26&lt;&gt;"",INDEX(職員マスタ!$H$6:$H$405,$AP26)&lt;&gt;"",$M26&lt;&gt;INDEX(職員マスタ!$H$6:$H$405,$AP26)),"時短終了日がマスタと相違／","")))&amp;IF(AND($B26&lt;&gt;"",$E26=""),"報酬額が未入力／","")&amp;IF(N($U26)&gt;0,"申請書に入力エラーが残っています／","")&amp;IF(AND($B26&lt;&gt;"",$AQ26&lt;&gt;""),IF(COUNTIFS($B$6:$B$3005,$B26,$C$6:$C$3005,$C26,$D$6:$D$3005,$D26)&gt;1,"同じ月の請求が重複しています／",""),"")&amp;IF(AND(N($E26)&gt;0,$AB26&lt;&gt;"",$AB26&lt;&gt;"×",$AE26=0,$AD26=""),"計算額が下限以下のため不支給／",""))</f>
        <v/>
      </c>
      <c r="AN26" s="12" t="n"/>
      <c r="AO26" s="14">
        <f>IF($AF26="保留中",COUNTIF($AF$6:$AF26,"保留中"),"")</f>
        <v/>
      </c>
      <c r="AP26" s="14">
        <f>IF($AQ26="","",IF(SUMPRODUCT(MAX((職員マスタ!$A$6:$A$405=$B26)*(((職員マスタ!$G$6:$G$405="")+(職員マスタ!$G$6:$G$405&lt;=EOMONTH($AQ26,0)))&gt;0)*(((職員マスタ!$H$6:$H$405="")+(職員マスタ!$H$6:$H$405&gt;=$AQ26))&gt;0)*(ROW(職員マスタ!$A$6:$A$405)-5)))&gt;0,SUMPRODUCT(MAX((職員マスタ!$A$6:$A$405=$B26)*(((職員マスタ!$G$6:$G$405="")+(職員マスタ!$G$6:$G$405&lt;=EOMONTH($AQ26,0)))&gt;0)*(((職員マスタ!$H$6:$H$405="")+(職員マスタ!$H$6:$H$405&gt;=$AQ26))&gt;0)*(ROW(職員マスタ!$A$6:$A$405)-5))),IFERROR(MATCH($B26,職員マスタ!$A$6:$A$405,0),"")))</f>
        <v/>
      </c>
      <c r="AQ26" s="16">
        <f>IF(OR($B26="",$C26="",$D26=""),"",DATE($C26+2018,$D26,1))</f>
        <v/>
      </c>
    </row>
    <row r="27">
      <c r="A27" s="11" t="n"/>
      <c r="B27" s="12" t="n">
        <v>6400857</v>
      </c>
      <c r="C27" s="12" t="n">
        <v>8</v>
      </c>
      <c r="D27" s="12" t="n">
        <v>8</v>
      </c>
      <c r="E27" s="13" t="n">
        <v>240269</v>
      </c>
      <c r="F27" s="12" t="n"/>
      <c r="G27" s="13" t="n"/>
      <c r="H27" s="12" t="n"/>
      <c r="I27" s="12" t="n"/>
      <c r="J27" s="12" t="n"/>
      <c r="K27" s="12" t="n"/>
      <c r="L27" s="11" t="n"/>
      <c r="M27" s="11" t="n"/>
      <c r="N27" s="11" t="n"/>
      <c r="O27" s="11" t="n"/>
      <c r="P27" s="12" t="n"/>
      <c r="Q27" s="11" t="n"/>
      <c r="R27" s="12" t="n"/>
      <c r="S27" s="11" t="n"/>
      <c r="T27" s="12" t="n"/>
      <c r="U27" s="12" t="n"/>
      <c r="V27" s="12" t="n"/>
      <c r="W27" s="13" t="n"/>
      <c r="X27" s="14">
        <f>IF($AP27="",IF($B27="","",$H27),IF(INDEX(職員マスタ!$B$6:$B$405,$AP27)="",$H27,INDEX(職員マスタ!$B$6:$B$405,$AP27)))</f>
        <v/>
      </c>
      <c r="Y27" s="14">
        <f>IF($AP27="",IF($B27="","",$R27),IF(INDEX(職員マスタ!$C$6:$C$405,$AP27)="",$R27,INDEX(職員マスタ!$C$6:$C$405,$AP27)))</f>
        <v/>
      </c>
      <c r="Z27" s="14">
        <f>IF($AQ27="","","R"&amp;$C27&amp;"."&amp;$D27)</f>
        <v/>
      </c>
      <c r="AA27" s="15">
        <f>IF(IF($AP27="",FALSE,INDEX(職員マスタ!$K$6:$K$405,$AP27)&lt;&gt;""),INDEX(職員マスタ!$K$6:$K$405,$AP27),IF(N($W27)&gt;0,$W27,""))</f>
        <v/>
      </c>
      <c r="AB27" s="14">
        <f>IF(OR($E27="",$AA27=""),"",IF($E27&gt;=$AA27,"×",IF($E27&gt;=$AA27*設定!$C$5,"△","○")))</f>
        <v/>
      </c>
      <c r="AC27" s="15">
        <f>IF($AB27="","",IF($AB27="×",0,IF($AB27="○",ROUNDDOWN($E27*設定!$C$4,0),ROUNDDOWN($E27*ROUND((9*$AA27-9*$E27)/(10*$E27),4),0))))</f>
        <v/>
      </c>
      <c r="AD27" s="13" t="n"/>
      <c r="AE27" s="15">
        <f>IF($B27="","",IF($AD27&lt;&gt;"",$AD27,IF($AC27="","",IF($AC27&lt;=設定!$C$3,0,$AC27))))</f>
        <v/>
      </c>
      <c r="AF27" s="14">
        <f>IF($B27="","",IF(AND($AG27&lt;&gt;"",$AI27="",$AL27=""),"保留中",IF($AL27&lt;&gt;"",IF(N($AE27)&gt;0,"支給済","不支給"),IF($AE27="","要確認",IF($AE27=0,"不支給","未処理")))))</f>
        <v/>
      </c>
      <c r="AG27" s="12" t="n"/>
      <c r="AH27" s="11" t="n"/>
      <c r="AI27" s="11" t="n"/>
      <c r="AJ27" s="11" t="n"/>
      <c r="AK27" s="14">
        <f>IF(AND($AF27="保留中",$AH27&lt;&gt;""),TODAY()-$AH27,"")</f>
        <v/>
      </c>
      <c r="AL27" s="12" t="inlineStr">
        <is>
          <t>R8.10</t>
        </is>
      </c>
      <c r="AM27" s="14">
        <f>IF($B27="","",IF($AQ27="","対象年月が未入力／","")&amp;IF($B27="","",IF($AP27="","職員マスタに未登録の職員番号／",IF($AA27="","標準報酬月額が未登録／","")&amp;IF(AND($AQ27&lt;&gt;"",OR(AND(INDEX(職員マスタ!$G$6:$G$405,$AP27)&lt;&gt;"",INDEX(職員マスタ!$G$6:$G$405,$AP27)&gt;EOMONTH($AQ27,0)),AND(INDEX(職員マスタ!$H$6:$H$405,$AP27)&lt;&gt;"",INDEX(職員マスタ!$H$6:$H$405,$AP27)&lt;$AQ27))),"対象月が時短期間外／","")&amp;IF(AND(INDEX(職員マスタ!$K$6:$K$405,$AP27)&lt;&gt;"",N($W27)&gt;0,INDEX(職員マスタ!$K$6:$K$405,$AP27)&lt;&gt;$W27),"標準報酬月額が申請書と相違（台帳"&amp;TEXT(INDEX(職員マスタ!$K$6:$K$405,$AP27),"#,##0")&amp;"円／申請書"&amp;TEXT($W27,"#,##0")&amp;"円）／","")&amp;IF(AND(INDEX(職員マスタ!$F$6:$F$405,$AP27)&lt;&gt;"",$AQ27&lt;&gt;"",INDEX(職員マスタ!$F$6:$F$405,$AP27)&lt;$AQ27),"対象月に子が2歳到達済／","")&amp;IF(AND($H27&lt;&gt;"",INDEX(職員マスタ!$B$6:$B$405,$AP27)&lt;&gt;"",SUBSTITUTE(SUBSTITUTE($H27," ","")," ","")&lt;&gt;SUBSTITUTE(SUBSTITUTE(INDEX(職員マスタ!$B$6:$B$405,$AP27)," ","")," ","")),"氏名がマスタと相違／","")&amp;IF(AND($Q27&lt;&gt;"",INDEX(職員マスタ!$E$6:$E$405,$AP27)&lt;&gt;"",$Q27&lt;&gt;INDEX(職員マスタ!$E$6:$E$405,$AP27)),"子の生年月日がマスタと相違／","")&amp;IF(AND($L27&lt;&gt;"",INDEX(職員マスタ!$G$6:$G$405,$AP27)&lt;&gt;"",$L27&lt;&gt;INDEX(職員マスタ!$G$6:$G$405,$AP27)),"時短開始日がマスタと相違／","")&amp;IF(AND($M27&lt;&gt;"",INDEX(職員マスタ!$H$6:$H$405,$AP27)&lt;&gt;"",$M27&lt;&gt;INDEX(職員マスタ!$H$6:$H$405,$AP27)),"時短終了日がマスタと相違／","")))&amp;IF(AND($B27&lt;&gt;"",$E27=""),"報酬額が未入力／","")&amp;IF(N($U27)&gt;0,"申請書に入力エラーが残っています／","")&amp;IF(AND($B27&lt;&gt;"",$AQ27&lt;&gt;""),IF(COUNTIFS($B$6:$B$3005,$B27,$C$6:$C$3005,$C27,$D$6:$D$3005,$D27)&gt;1,"同じ月の請求が重複しています／",""),"")&amp;IF(AND(N($E27)&gt;0,$AB27&lt;&gt;"",$AB27&lt;&gt;"×",$AE27=0,$AD27=""),"計算額が下限以下のため不支給／",""))</f>
        <v/>
      </c>
      <c r="AN27" s="12" t="n"/>
      <c r="AO27" s="14">
        <f>IF($AF27="保留中",COUNTIF($AF$6:$AF27,"保留中"),"")</f>
        <v/>
      </c>
      <c r="AP27" s="14">
        <f>IF($AQ27="","",IF(SUMPRODUCT(MAX((職員マスタ!$A$6:$A$405=$B27)*(((職員マスタ!$G$6:$G$405="")+(職員マスタ!$G$6:$G$405&lt;=EOMONTH($AQ27,0)))&gt;0)*(((職員マスタ!$H$6:$H$405="")+(職員マスタ!$H$6:$H$405&gt;=$AQ27))&gt;0)*(ROW(職員マスタ!$A$6:$A$405)-5)))&gt;0,SUMPRODUCT(MAX((職員マスタ!$A$6:$A$405=$B27)*(((職員マスタ!$G$6:$G$405="")+(職員マスタ!$G$6:$G$405&lt;=EOMONTH($AQ27,0)))&gt;0)*(((職員マスタ!$H$6:$H$405="")+(職員マスタ!$H$6:$H$405&gt;=$AQ27))&gt;0)*(ROW(職員マスタ!$A$6:$A$405)-5))),IFERROR(MATCH($B27,職員マスタ!$A$6:$A$405,0),"")))</f>
        <v/>
      </c>
      <c r="AQ27" s="16">
        <f>IF(OR($B27="",$C27="",$D27=""),"",DATE($C27+2018,$D27,1))</f>
        <v/>
      </c>
    </row>
    <row r="28">
      <c r="A28" s="11" t="n"/>
      <c r="B28" s="12" t="n">
        <v>6403315</v>
      </c>
      <c r="C28" s="12" t="n">
        <v>8</v>
      </c>
      <c r="D28" s="12" t="n">
        <v>5</v>
      </c>
      <c r="E28" s="13" t="n">
        <v>210833</v>
      </c>
      <c r="F28" s="12" t="n"/>
      <c r="G28" s="13" t="n"/>
      <c r="H28" s="12" t="n"/>
      <c r="I28" s="12" t="n"/>
      <c r="J28" s="12" t="n"/>
      <c r="K28" s="12" t="n"/>
      <c r="L28" s="11" t="n"/>
      <c r="M28" s="11" t="n"/>
      <c r="N28" s="11" t="n"/>
      <c r="O28" s="11" t="n"/>
      <c r="P28" s="12" t="n"/>
      <c r="Q28" s="11" t="n"/>
      <c r="R28" s="12" t="n"/>
      <c r="S28" s="11" t="n"/>
      <c r="T28" s="12" t="n"/>
      <c r="U28" s="12" t="n"/>
      <c r="V28" s="12" t="n"/>
      <c r="W28" s="13" t="n"/>
      <c r="X28" s="14">
        <f>IF($AP28="",IF($B28="","",$H28),IF(INDEX(職員マスタ!$B$6:$B$405,$AP28)="",$H28,INDEX(職員マスタ!$B$6:$B$405,$AP28)))</f>
        <v/>
      </c>
      <c r="Y28" s="14">
        <f>IF($AP28="",IF($B28="","",$R28),IF(INDEX(職員マスタ!$C$6:$C$405,$AP28)="",$R28,INDEX(職員マスタ!$C$6:$C$405,$AP28)))</f>
        <v/>
      </c>
      <c r="Z28" s="14">
        <f>IF($AQ28="","","R"&amp;$C28&amp;"."&amp;$D28)</f>
        <v/>
      </c>
      <c r="AA28" s="15">
        <f>IF(IF($AP28="",FALSE,INDEX(職員マスタ!$K$6:$K$405,$AP28)&lt;&gt;""),INDEX(職員マスタ!$K$6:$K$405,$AP28),IF(N($W28)&gt;0,$W28,""))</f>
        <v/>
      </c>
      <c r="AB28" s="14">
        <f>IF(OR($E28="",$AA28=""),"",IF($E28&gt;=$AA28,"×",IF($E28&gt;=$AA28*設定!$C$5,"△","○")))</f>
        <v/>
      </c>
      <c r="AC28" s="15">
        <f>IF($AB28="","",IF($AB28="×",0,IF($AB28="○",ROUNDDOWN($E28*設定!$C$4,0),ROUNDDOWN($E28*ROUND((9*$AA28-9*$E28)/(10*$E28),4),0))))</f>
        <v/>
      </c>
      <c r="AD28" s="13" t="n"/>
      <c r="AE28" s="15">
        <f>IF($B28="","",IF($AD28&lt;&gt;"",$AD28,IF($AC28="","",IF($AC28&lt;=設定!$C$3,0,$AC28))))</f>
        <v/>
      </c>
      <c r="AF28" s="14">
        <f>IF($B28="","",IF(AND($AG28&lt;&gt;"",$AI28="",$AL28=""),"保留中",IF($AL28&lt;&gt;"",IF(N($AE28)&gt;0,"支給済","不支給"),IF($AE28="","要確認",IF($AE28=0,"不支給","未処理")))))</f>
        <v/>
      </c>
      <c r="AG28" s="12" t="n"/>
      <c r="AH28" s="11" t="n"/>
      <c r="AI28" s="11" t="n"/>
      <c r="AJ28" s="11" t="n"/>
      <c r="AK28" s="14">
        <f>IF(AND($AF28="保留中",$AH28&lt;&gt;""),TODAY()-$AH28,"")</f>
        <v/>
      </c>
      <c r="AL28" s="12" t="inlineStr">
        <is>
          <t>R8.9</t>
        </is>
      </c>
      <c r="AM28" s="14">
        <f>IF($B28="","",IF($AQ28="","対象年月が未入力／","")&amp;IF($B28="","",IF($AP28="","職員マスタに未登録の職員番号／",IF($AA28="","標準報酬月額が未登録／","")&amp;IF(AND($AQ28&lt;&gt;"",OR(AND(INDEX(職員マスタ!$G$6:$G$405,$AP28)&lt;&gt;"",INDEX(職員マスタ!$G$6:$G$405,$AP28)&gt;EOMONTH($AQ28,0)),AND(INDEX(職員マスタ!$H$6:$H$405,$AP28)&lt;&gt;"",INDEX(職員マスタ!$H$6:$H$405,$AP28)&lt;$AQ28))),"対象月が時短期間外／","")&amp;IF(AND(INDEX(職員マスタ!$K$6:$K$405,$AP28)&lt;&gt;"",N($W28)&gt;0,INDEX(職員マスタ!$K$6:$K$405,$AP28)&lt;&gt;$W28),"標準報酬月額が申請書と相違（台帳"&amp;TEXT(INDEX(職員マスタ!$K$6:$K$405,$AP28),"#,##0")&amp;"円／申請書"&amp;TEXT($W28,"#,##0")&amp;"円）／","")&amp;IF(AND(INDEX(職員マスタ!$F$6:$F$405,$AP28)&lt;&gt;"",$AQ28&lt;&gt;"",INDEX(職員マスタ!$F$6:$F$405,$AP28)&lt;$AQ28),"対象月に子が2歳到達済／","")&amp;IF(AND($H28&lt;&gt;"",INDEX(職員マスタ!$B$6:$B$405,$AP28)&lt;&gt;"",SUBSTITUTE(SUBSTITUTE($H28," ","")," ","")&lt;&gt;SUBSTITUTE(SUBSTITUTE(INDEX(職員マスタ!$B$6:$B$405,$AP28)," ","")," ","")),"氏名がマスタと相違／","")&amp;IF(AND($Q28&lt;&gt;"",INDEX(職員マスタ!$E$6:$E$405,$AP28)&lt;&gt;"",$Q28&lt;&gt;INDEX(職員マスタ!$E$6:$E$405,$AP28)),"子の生年月日がマスタと相違／","")&amp;IF(AND($L28&lt;&gt;"",INDEX(職員マスタ!$G$6:$G$405,$AP28)&lt;&gt;"",$L28&lt;&gt;INDEX(職員マスタ!$G$6:$G$405,$AP28)),"時短開始日がマスタと相違／","")&amp;IF(AND($M28&lt;&gt;"",INDEX(職員マスタ!$H$6:$H$405,$AP28)&lt;&gt;"",$M28&lt;&gt;INDEX(職員マスタ!$H$6:$H$405,$AP28)),"時短終了日がマスタと相違／","")))&amp;IF(AND($B28&lt;&gt;"",$E28=""),"報酬額が未入力／","")&amp;IF(N($U28)&gt;0,"申請書に入力エラーが残っています／","")&amp;IF(AND($B28&lt;&gt;"",$AQ28&lt;&gt;""),IF(COUNTIFS($B$6:$B$3005,$B28,$C$6:$C$3005,$C28,$D$6:$D$3005,$D28)&gt;1,"同じ月の請求が重複しています／",""),"")&amp;IF(AND(N($E28)&gt;0,$AB28&lt;&gt;"",$AB28&lt;&gt;"×",$AE28=0,$AD28=""),"計算額が下限以下のため不支給／",""))</f>
        <v/>
      </c>
      <c r="AN28" s="12" t="n"/>
      <c r="AO28" s="14">
        <f>IF($AF28="保留中",COUNTIF($AF$6:$AF28,"保留中"),"")</f>
        <v/>
      </c>
      <c r="AP28" s="14">
        <f>IF($AQ28="","",IF(SUMPRODUCT(MAX((職員マスタ!$A$6:$A$405=$B28)*(((職員マスタ!$G$6:$G$405="")+(職員マスタ!$G$6:$G$405&lt;=EOMONTH($AQ28,0)))&gt;0)*(((職員マスタ!$H$6:$H$405="")+(職員マスタ!$H$6:$H$405&gt;=$AQ28))&gt;0)*(ROW(職員マスタ!$A$6:$A$405)-5)))&gt;0,SUMPRODUCT(MAX((職員マスタ!$A$6:$A$405=$B28)*(((職員マスタ!$G$6:$G$405="")+(職員マスタ!$G$6:$G$405&lt;=EOMONTH($AQ28,0)))&gt;0)*(((職員マスタ!$H$6:$H$405="")+(職員マスタ!$H$6:$H$405&gt;=$AQ28))&gt;0)*(ROW(職員マスタ!$A$6:$A$405)-5))),IFERROR(MATCH($B28,職員マスタ!$A$6:$A$405,0),"")))</f>
        <v/>
      </c>
      <c r="AQ28" s="16">
        <f>IF(OR($B28="",$C28="",$D28=""),"",DATE($C28+2018,$D28,1))</f>
        <v/>
      </c>
    </row>
    <row r="29">
      <c r="A29" s="11" t="n"/>
      <c r="B29" s="12" t="n">
        <v>6403315</v>
      </c>
      <c r="C29" s="12" t="n">
        <v>8</v>
      </c>
      <c r="D29" s="12" t="n">
        <v>6</v>
      </c>
      <c r="E29" s="13" t="n">
        <v>223858</v>
      </c>
      <c r="F29" s="12" t="n"/>
      <c r="G29" s="13" t="n"/>
      <c r="H29" s="12" t="n"/>
      <c r="I29" s="12" t="n"/>
      <c r="J29" s="12" t="n"/>
      <c r="K29" s="12" t="n"/>
      <c r="L29" s="11" t="n"/>
      <c r="M29" s="11" t="n"/>
      <c r="N29" s="11" t="n"/>
      <c r="O29" s="11" t="n"/>
      <c r="P29" s="12" t="n"/>
      <c r="Q29" s="11" t="n"/>
      <c r="R29" s="12" t="n"/>
      <c r="S29" s="11" t="n"/>
      <c r="T29" s="12" t="n"/>
      <c r="U29" s="12" t="n"/>
      <c r="V29" s="12" t="n"/>
      <c r="W29" s="13" t="n"/>
      <c r="X29" s="14">
        <f>IF($AP29="",IF($B29="","",$H29),IF(INDEX(職員マスタ!$B$6:$B$405,$AP29)="",$H29,INDEX(職員マスタ!$B$6:$B$405,$AP29)))</f>
        <v/>
      </c>
      <c r="Y29" s="14">
        <f>IF($AP29="",IF($B29="","",$R29),IF(INDEX(職員マスタ!$C$6:$C$405,$AP29)="",$R29,INDEX(職員マスタ!$C$6:$C$405,$AP29)))</f>
        <v/>
      </c>
      <c r="Z29" s="14">
        <f>IF($AQ29="","","R"&amp;$C29&amp;"."&amp;$D29)</f>
        <v/>
      </c>
      <c r="AA29" s="15">
        <f>IF(IF($AP29="",FALSE,INDEX(職員マスタ!$K$6:$K$405,$AP29)&lt;&gt;""),INDEX(職員マスタ!$K$6:$K$405,$AP29),IF(N($W29)&gt;0,$W29,""))</f>
        <v/>
      </c>
      <c r="AB29" s="14">
        <f>IF(OR($E29="",$AA29=""),"",IF($E29&gt;=$AA29,"×",IF($E29&gt;=$AA29*設定!$C$5,"△","○")))</f>
        <v/>
      </c>
      <c r="AC29" s="15">
        <f>IF($AB29="","",IF($AB29="×",0,IF($AB29="○",ROUNDDOWN($E29*設定!$C$4,0),ROUNDDOWN($E29*ROUND((9*$AA29-9*$E29)/(10*$E29),4),0))))</f>
        <v/>
      </c>
      <c r="AD29" s="13" t="n"/>
      <c r="AE29" s="15">
        <f>IF($B29="","",IF($AD29&lt;&gt;"",$AD29,IF($AC29="","",IF($AC29&lt;=設定!$C$3,0,$AC29))))</f>
        <v/>
      </c>
      <c r="AF29" s="14">
        <f>IF($B29="","",IF(AND($AG29&lt;&gt;"",$AI29="",$AL29=""),"保留中",IF($AL29&lt;&gt;"",IF(N($AE29)&gt;0,"支給済","不支給"),IF($AE29="","要確認",IF($AE29=0,"不支給","未処理")))))</f>
        <v/>
      </c>
      <c r="AG29" s="12" t="n"/>
      <c r="AH29" s="11" t="n"/>
      <c r="AI29" s="11" t="n"/>
      <c r="AJ29" s="11" t="n"/>
      <c r="AK29" s="14">
        <f>IF(AND($AF29="保留中",$AH29&lt;&gt;""),TODAY()-$AH29,"")</f>
        <v/>
      </c>
      <c r="AL29" s="12" t="inlineStr">
        <is>
          <t>R8.9</t>
        </is>
      </c>
      <c r="AM29" s="14">
        <f>IF($B29="","",IF($AQ29="","対象年月が未入力／","")&amp;IF($B29="","",IF($AP29="","職員マスタに未登録の職員番号／",IF($AA29="","標準報酬月額が未登録／","")&amp;IF(AND($AQ29&lt;&gt;"",OR(AND(INDEX(職員マスタ!$G$6:$G$405,$AP29)&lt;&gt;"",INDEX(職員マスタ!$G$6:$G$405,$AP29)&gt;EOMONTH($AQ29,0)),AND(INDEX(職員マスタ!$H$6:$H$405,$AP29)&lt;&gt;"",INDEX(職員マスタ!$H$6:$H$405,$AP29)&lt;$AQ29))),"対象月が時短期間外／","")&amp;IF(AND(INDEX(職員マスタ!$K$6:$K$405,$AP29)&lt;&gt;"",N($W29)&gt;0,INDEX(職員マスタ!$K$6:$K$405,$AP29)&lt;&gt;$W29),"標準報酬月額が申請書と相違（台帳"&amp;TEXT(INDEX(職員マスタ!$K$6:$K$405,$AP29),"#,##0")&amp;"円／申請書"&amp;TEXT($W29,"#,##0")&amp;"円）／","")&amp;IF(AND(INDEX(職員マスタ!$F$6:$F$405,$AP29)&lt;&gt;"",$AQ29&lt;&gt;"",INDEX(職員マスタ!$F$6:$F$405,$AP29)&lt;$AQ29),"対象月に子が2歳到達済／","")&amp;IF(AND($H29&lt;&gt;"",INDEX(職員マスタ!$B$6:$B$405,$AP29)&lt;&gt;"",SUBSTITUTE(SUBSTITUTE($H29," ","")," ","")&lt;&gt;SUBSTITUTE(SUBSTITUTE(INDEX(職員マスタ!$B$6:$B$405,$AP29)," ","")," ","")),"氏名がマスタと相違／","")&amp;IF(AND($Q29&lt;&gt;"",INDEX(職員マスタ!$E$6:$E$405,$AP29)&lt;&gt;"",$Q29&lt;&gt;INDEX(職員マスタ!$E$6:$E$405,$AP29)),"子の生年月日がマスタと相違／","")&amp;IF(AND($L29&lt;&gt;"",INDEX(職員マスタ!$G$6:$G$405,$AP29)&lt;&gt;"",$L29&lt;&gt;INDEX(職員マスタ!$G$6:$G$405,$AP29)),"時短開始日がマスタと相違／","")&amp;IF(AND($M29&lt;&gt;"",INDEX(職員マスタ!$H$6:$H$405,$AP29)&lt;&gt;"",$M29&lt;&gt;INDEX(職員マスタ!$H$6:$H$405,$AP29)),"時短終了日がマスタと相違／","")))&amp;IF(AND($B29&lt;&gt;"",$E29=""),"報酬額が未入力／","")&amp;IF(N($U29)&gt;0,"申請書に入力エラーが残っています／","")&amp;IF(AND($B29&lt;&gt;"",$AQ29&lt;&gt;""),IF(COUNTIFS($B$6:$B$3005,$B29,$C$6:$C$3005,$C29,$D$6:$D$3005,$D29)&gt;1,"同じ月の請求が重複しています／",""),"")&amp;IF(AND(N($E29)&gt;0,$AB29&lt;&gt;"",$AB29&lt;&gt;"×",$AE29=0,$AD29=""),"計算額が下限以下のため不支給／",""))</f>
        <v/>
      </c>
      <c r="AN29" s="12" t="n"/>
      <c r="AO29" s="14">
        <f>IF($AF29="保留中",COUNTIF($AF$6:$AF29,"保留中"),"")</f>
        <v/>
      </c>
      <c r="AP29" s="14">
        <f>IF($AQ29="","",IF(SUMPRODUCT(MAX((職員マスタ!$A$6:$A$405=$B29)*(((職員マスタ!$G$6:$G$405="")+(職員マスタ!$G$6:$G$405&lt;=EOMONTH($AQ29,0)))&gt;0)*(((職員マスタ!$H$6:$H$405="")+(職員マスタ!$H$6:$H$405&gt;=$AQ29))&gt;0)*(ROW(職員マスタ!$A$6:$A$405)-5)))&gt;0,SUMPRODUCT(MAX((職員マスタ!$A$6:$A$405=$B29)*(((職員マスタ!$G$6:$G$405="")+(職員マスタ!$G$6:$G$405&lt;=EOMONTH($AQ29,0)))&gt;0)*(((職員マスタ!$H$6:$H$405="")+(職員マスタ!$H$6:$H$405&gt;=$AQ29))&gt;0)*(ROW(職員マスタ!$A$6:$A$405)-5))),IFERROR(MATCH($B29,職員マスタ!$A$6:$A$405,0),"")))</f>
        <v/>
      </c>
      <c r="AQ29" s="16">
        <f>IF(OR($B29="",$C29="",$D29=""),"",DATE($C29+2018,$D29,1))</f>
        <v/>
      </c>
    </row>
    <row r="30">
      <c r="A30" s="11" t="n"/>
      <c r="B30" s="12" t="n">
        <v>6403315</v>
      </c>
      <c r="C30" s="12" t="n">
        <v>8</v>
      </c>
      <c r="D30" s="12" t="n">
        <v>7</v>
      </c>
      <c r="E30" s="13" t="n">
        <v>215001</v>
      </c>
      <c r="F30" s="12" t="n"/>
      <c r="G30" s="13" t="n"/>
      <c r="H30" s="12" t="n"/>
      <c r="I30" s="12" t="n"/>
      <c r="J30" s="12" t="n"/>
      <c r="K30" s="12" t="n"/>
      <c r="L30" s="11" t="n"/>
      <c r="M30" s="11" t="n"/>
      <c r="N30" s="11" t="n"/>
      <c r="O30" s="11" t="n"/>
      <c r="P30" s="12" t="n"/>
      <c r="Q30" s="11" t="n"/>
      <c r="R30" s="12" t="n"/>
      <c r="S30" s="11" t="n"/>
      <c r="T30" s="12" t="n"/>
      <c r="U30" s="12" t="n"/>
      <c r="V30" s="12" t="n"/>
      <c r="W30" s="13" t="n"/>
      <c r="X30" s="14">
        <f>IF($AP30="",IF($B30="","",$H30),IF(INDEX(職員マスタ!$B$6:$B$405,$AP30)="",$H30,INDEX(職員マスタ!$B$6:$B$405,$AP30)))</f>
        <v/>
      </c>
      <c r="Y30" s="14">
        <f>IF($AP30="",IF($B30="","",$R30),IF(INDEX(職員マスタ!$C$6:$C$405,$AP30)="",$R30,INDEX(職員マスタ!$C$6:$C$405,$AP30)))</f>
        <v/>
      </c>
      <c r="Z30" s="14">
        <f>IF($AQ30="","","R"&amp;$C30&amp;"."&amp;$D30)</f>
        <v/>
      </c>
      <c r="AA30" s="15">
        <f>IF(IF($AP30="",FALSE,INDEX(職員マスタ!$K$6:$K$405,$AP30)&lt;&gt;""),INDEX(職員マスタ!$K$6:$K$405,$AP30),IF(N($W30)&gt;0,$W30,""))</f>
        <v/>
      </c>
      <c r="AB30" s="14">
        <f>IF(OR($E30="",$AA30=""),"",IF($E30&gt;=$AA30,"×",IF($E30&gt;=$AA30*設定!$C$5,"△","○")))</f>
        <v/>
      </c>
      <c r="AC30" s="15">
        <f>IF($AB30="","",IF($AB30="×",0,IF($AB30="○",ROUNDDOWN($E30*設定!$C$4,0),ROUNDDOWN($E30*ROUND((9*$AA30-9*$E30)/(10*$E30),4),0))))</f>
        <v/>
      </c>
      <c r="AD30" s="13" t="n"/>
      <c r="AE30" s="15">
        <f>IF($B30="","",IF($AD30&lt;&gt;"",$AD30,IF($AC30="","",IF($AC30&lt;=設定!$C$3,0,$AC30))))</f>
        <v/>
      </c>
      <c r="AF30" s="14">
        <f>IF($B30="","",IF(AND($AG30&lt;&gt;"",$AI30="",$AL30=""),"保留中",IF($AL30&lt;&gt;"",IF(N($AE30)&gt;0,"支給済","不支給"),IF($AE30="","要確認",IF($AE30=0,"不支給","未処理")))))</f>
        <v/>
      </c>
      <c r="AG30" s="12" t="n"/>
      <c r="AH30" s="11" t="n"/>
      <c r="AI30" s="11" t="n"/>
      <c r="AJ30" s="11" t="n"/>
      <c r="AK30" s="14">
        <f>IF(AND($AF30="保留中",$AH30&lt;&gt;""),TODAY()-$AH30,"")</f>
        <v/>
      </c>
      <c r="AL30" s="12" t="inlineStr">
        <is>
          <t>R8.10</t>
        </is>
      </c>
      <c r="AM30" s="14">
        <f>IF($B30="","",IF($AQ30="","対象年月が未入力／","")&amp;IF($B30="","",IF($AP30="","職員マスタに未登録の職員番号／",IF($AA30="","標準報酬月額が未登録／","")&amp;IF(AND($AQ30&lt;&gt;"",OR(AND(INDEX(職員マスタ!$G$6:$G$405,$AP30)&lt;&gt;"",INDEX(職員マスタ!$G$6:$G$405,$AP30)&gt;EOMONTH($AQ30,0)),AND(INDEX(職員マスタ!$H$6:$H$405,$AP30)&lt;&gt;"",INDEX(職員マスタ!$H$6:$H$405,$AP30)&lt;$AQ30))),"対象月が時短期間外／","")&amp;IF(AND(INDEX(職員マスタ!$K$6:$K$405,$AP30)&lt;&gt;"",N($W30)&gt;0,INDEX(職員マスタ!$K$6:$K$405,$AP30)&lt;&gt;$W30),"標準報酬月額が申請書と相違（台帳"&amp;TEXT(INDEX(職員マスタ!$K$6:$K$405,$AP30),"#,##0")&amp;"円／申請書"&amp;TEXT($W30,"#,##0")&amp;"円）／","")&amp;IF(AND(INDEX(職員マスタ!$F$6:$F$405,$AP30)&lt;&gt;"",$AQ30&lt;&gt;"",INDEX(職員マスタ!$F$6:$F$405,$AP30)&lt;$AQ30),"対象月に子が2歳到達済／","")&amp;IF(AND($H30&lt;&gt;"",INDEX(職員マスタ!$B$6:$B$405,$AP30)&lt;&gt;"",SUBSTITUTE(SUBSTITUTE($H30," ","")," ","")&lt;&gt;SUBSTITUTE(SUBSTITUTE(INDEX(職員マスタ!$B$6:$B$405,$AP30)," ","")," ","")),"氏名がマスタと相違／","")&amp;IF(AND($Q30&lt;&gt;"",INDEX(職員マスタ!$E$6:$E$405,$AP30)&lt;&gt;"",$Q30&lt;&gt;INDEX(職員マスタ!$E$6:$E$405,$AP30)),"子の生年月日がマスタと相違／","")&amp;IF(AND($L30&lt;&gt;"",INDEX(職員マスタ!$G$6:$G$405,$AP30)&lt;&gt;"",$L30&lt;&gt;INDEX(職員マスタ!$G$6:$G$405,$AP30)),"時短開始日がマスタと相違／","")&amp;IF(AND($M30&lt;&gt;"",INDEX(職員マスタ!$H$6:$H$405,$AP30)&lt;&gt;"",$M30&lt;&gt;INDEX(職員マスタ!$H$6:$H$405,$AP30)),"時短終了日がマスタと相違／","")))&amp;IF(AND($B30&lt;&gt;"",$E30=""),"報酬額が未入力／","")&amp;IF(N($U30)&gt;0,"申請書に入力エラーが残っています／","")&amp;IF(AND($B30&lt;&gt;"",$AQ30&lt;&gt;""),IF(COUNTIFS($B$6:$B$3005,$B30,$C$6:$C$3005,$C30,$D$6:$D$3005,$D30)&gt;1,"同じ月の請求が重複しています／",""),"")&amp;IF(AND(N($E30)&gt;0,$AB30&lt;&gt;"",$AB30&lt;&gt;"×",$AE30=0,$AD30=""),"計算額が下限以下のため不支給／",""))</f>
        <v/>
      </c>
      <c r="AN30" s="12" t="n"/>
      <c r="AO30" s="14">
        <f>IF($AF30="保留中",COUNTIF($AF$6:$AF30,"保留中"),"")</f>
        <v/>
      </c>
      <c r="AP30" s="14">
        <f>IF($AQ30="","",IF(SUMPRODUCT(MAX((職員マスタ!$A$6:$A$405=$B30)*(((職員マスタ!$G$6:$G$405="")+(職員マスタ!$G$6:$G$405&lt;=EOMONTH($AQ30,0)))&gt;0)*(((職員マスタ!$H$6:$H$405="")+(職員マスタ!$H$6:$H$405&gt;=$AQ30))&gt;0)*(ROW(職員マスタ!$A$6:$A$405)-5)))&gt;0,SUMPRODUCT(MAX((職員マスタ!$A$6:$A$405=$B30)*(((職員マスタ!$G$6:$G$405="")+(職員マスタ!$G$6:$G$405&lt;=EOMONTH($AQ30,0)))&gt;0)*(((職員マスタ!$H$6:$H$405="")+(職員マスタ!$H$6:$H$405&gt;=$AQ30))&gt;0)*(ROW(職員マスタ!$A$6:$A$405)-5))),IFERROR(MATCH($B30,職員マスタ!$A$6:$A$405,0),"")))</f>
        <v/>
      </c>
      <c r="AQ30" s="16">
        <f>IF(OR($B30="",$C30="",$D30=""),"",DATE($C30+2018,$D30,1))</f>
        <v/>
      </c>
    </row>
    <row r="31">
      <c r="A31" s="11" t="n"/>
      <c r="B31" s="12" t="n">
        <v>6620462</v>
      </c>
      <c r="C31" s="12" t="n">
        <v>8</v>
      </c>
      <c r="D31" s="12" t="n">
        <v>1</v>
      </c>
      <c r="E31" s="13" t="n">
        <v>269662</v>
      </c>
      <c r="F31" s="12" t="n"/>
      <c r="G31" s="13" t="n"/>
      <c r="H31" s="12" t="n"/>
      <c r="I31" s="12" t="n"/>
      <c r="J31" s="12" t="n"/>
      <c r="K31" s="12" t="n"/>
      <c r="L31" s="11" t="n"/>
      <c r="M31" s="11" t="n"/>
      <c r="N31" s="11" t="n"/>
      <c r="O31" s="11" t="n"/>
      <c r="P31" s="12" t="n"/>
      <c r="Q31" s="11" t="n"/>
      <c r="R31" s="12" t="n"/>
      <c r="S31" s="11" t="n"/>
      <c r="T31" s="12" t="n"/>
      <c r="U31" s="12" t="n"/>
      <c r="V31" s="12" t="n"/>
      <c r="W31" s="13" t="n"/>
      <c r="X31" s="14">
        <f>IF($AP31="",IF($B31="","",$H31),IF(INDEX(職員マスタ!$B$6:$B$405,$AP31)="",$H31,INDEX(職員マスタ!$B$6:$B$405,$AP31)))</f>
        <v/>
      </c>
      <c r="Y31" s="14">
        <f>IF($AP31="",IF($B31="","",$R31),IF(INDEX(職員マスタ!$C$6:$C$405,$AP31)="",$R31,INDEX(職員マスタ!$C$6:$C$405,$AP31)))</f>
        <v/>
      </c>
      <c r="Z31" s="14">
        <f>IF($AQ31="","","R"&amp;$C31&amp;"."&amp;$D31)</f>
        <v/>
      </c>
      <c r="AA31" s="15">
        <f>IF(IF($AP31="",FALSE,INDEX(職員マスタ!$K$6:$K$405,$AP31)&lt;&gt;""),INDEX(職員マスタ!$K$6:$K$405,$AP31),IF(N($W31)&gt;0,$W31,""))</f>
        <v/>
      </c>
      <c r="AB31" s="14">
        <f>IF(OR($E31="",$AA31=""),"",IF($E31&gt;=$AA31,"×",IF($E31&gt;=$AA31*設定!$C$5,"△","○")))</f>
        <v/>
      </c>
      <c r="AC31" s="15">
        <f>IF($AB31="","",IF($AB31="×",0,IF($AB31="○",ROUNDDOWN($E31*設定!$C$4,0),ROUNDDOWN($E31*ROUND((9*$AA31-9*$E31)/(10*$E31),4),0))))</f>
        <v/>
      </c>
      <c r="AD31" s="13" t="n"/>
      <c r="AE31" s="15">
        <f>IF($B31="","",IF($AD31&lt;&gt;"",$AD31,IF($AC31="","",IF($AC31&lt;=設定!$C$3,0,$AC31))))</f>
        <v/>
      </c>
      <c r="AF31" s="14">
        <f>IF($B31="","",IF(AND($AG31&lt;&gt;"",$AI31="",$AL31=""),"保留中",IF($AL31&lt;&gt;"",IF(N($AE31)&gt;0,"支給済","不支給"),IF($AE31="","要確認",IF($AE31=0,"不支給","未処理")))))</f>
        <v/>
      </c>
      <c r="AG31" s="12" t="n"/>
      <c r="AH31" s="11" t="n"/>
      <c r="AI31" s="11" t="n"/>
      <c r="AJ31" s="11" t="n"/>
      <c r="AK31" s="14">
        <f>IF(AND($AF31="保留中",$AH31&lt;&gt;""),TODAY()-$AH31,"")</f>
        <v/>
      </c>
      <c r="AL31" s="12" t="inlineStr">
        <is>
          <t>R8.8</t>
        </is>
      </c>
      <c r="AM31" s="14">
        <f>IF($B31="","",IF($AQ31="","対象年月が未入力／","")&amp;IF($B31="","",IF($AP31="","職員マスタに未登録の職員番号／",IF($AA31="","標準報酬月額が未登録／","")&amp;IF(AND($AQ31&lt;&gt;"",OR(AND(INDEX(職員マスタ!$G$6:$G$405,$AP31)&lt;&gt;"",INDEX(職員マスタ!$G$6:$G$405,$AP31)&gt;EOMONTH($AQ31,0)),AND(INDEX(職員マスタ!$H$6:$H$405,$AP31)&lt;&gt;"",INDEX(職員マスタ!$H$6:$H$405,$AP31)&lt;$AQ31))),"対象月が時短期間外／","")&amp;IF(AND(INDEX(職員マスタ!$K$6:$K$405,$AP31)&lt;&gt;"",N($W31)&gt;0,INDEX(職員マスタ!$K$6:$K$405,$AP31)&lt;&gt;$W31),"標準報酬月額が申請書と相違（台帳"&amp;TEXT(INDEX(職員マスタ!$K$6:$K$405,$AP31),"#,##0")&amp;"円／申請書"&amp;TEXT($W31,"#,##0")&amp;"円）／","")&amp;IF(AND(INDEX(職員マスタ!$F$6:$F$405,$AP31)&lt;&gt;"",$AQ31&lt;&gt;"",INDEX(職員マスタ!$F$6:$F$405,$AP31)&lt;$AQ31),"対象月に子が2歳到達済／","")&amp;IF(AND($H31&lt;&gt;"",INDEX(職員マスタ!$B$6:$B$405,$AP31)&lt;&gt;"",SUBSTITUTE(SUBSTITUTE($H31," ","")," ","")&lt;&gt;SUBSTITUTE(SUBSTITUTE(INDEX(職員マスタ!$B$6:$B$405,$AP31)," ","")," ","")),"氏名がマスタと相違／","")&amp;IF(AND($Q31&lt;&gt;"",INDEX(職員マスタ!$E$6:$E$405,$AP31)&lt;&gt;"",$Q31&lt;&gt;INDEX(職員マスタ!$E$6:$E$405,$AP31)),"子の生年月日がマスタと相違／","")&amp;IF(AND($L31&lt;&gt;"",INDEX(職員マスタ!$G$6:$G$405,$AP31)&lt;&gt;"",$L31&lt;&gt;INDEX(職員マスタ!$G$6:$G$405,$AP31)),"時短開始日がマスタと相違／","")&amp;IF(AND($M31&lt;&gt;"",INDEX(職員マスタ!$H$6:$H$405,$AP31)&lt;&gt;"",$M31&lt;&gt;INDEX(職員マスタ!$H$6:$H$405,$AP31)),"時短終了日がマスタと相違／","")))&amp;IF(AND($B31&lt;&gt;"",$E31=""),"報酬額が未入力／","")&amp;IF(N($U31)&gt;0,"申請書に入力エラーが残っています／","")&amp;IF(AND($B31&lt;&gt;"",$AQ31&lt;&gt;""),IF(COUNTIFS($B$6:$B$3005,$B31,$C$6:$C$3005,$C31,$D$6:$D$3005,$D31)&gt;1,"同じ月の請求が重複しています／",""),"")&amp;IF(AND(N($E31)&gt;0,$AB31&lt;&gt;"",$AB31&lt;&gt;"×",$AE31=0,$AD31=""),"計算額が下限以下のため不支給／",""))</f>
        <v/>
      </c>
      <c r="AN31" s="12" t="n"/>
      <c r="AO31" s="14">
        <f>IF($AF31="保留中",COUNTIF($AF$6:$AF31,"保留中"),"")</f>
        <v/>
      </c>
      <c r="AP31" s="14">
        <f>IF($AQ31="","",IF(SUMPRODUCT(MAX((職員マスタ!$A$6:$A$405=$B31)*(((職員マスタ!$G$6:$G$405="")+(職員マスタ!$G$6:$G$405&lt;=EOMONTH($AQ31,0)))&gt;0)*(((職員マスタ!$H$6:$H$405="")+(職員マスタ!$H$6:$H$405&gt;=$AQ31))&gt;0)*(ROW(職員マスタ!$A$6:$A$405)-5)))&gt;0,SUMPRODUCT(MAX((職員マスタ!$A$6:$A$405=$B31)*(((職員マスタ!$G$6:$G$405="")+(職員マスタ!$G$6:$G$405&lt;=EOMONTH($AQ31,0)))&gt;0)*(((職員マスタ!$H$6:$H$405="")+(職員マスタ!$H$6:$H$405&gt;=$AQ31))&gt;0)*(ROW(職員マスタ!$A$6:$A$405)-5))),IFERROR(MATCH($B31,職員マスタ!$A$6:$A$405,0),"")))</f>
        <v/>
      </c>
      <c r="AQ31" s="16">
        <f>IF(OR($B31="",$C31="",$D31=""),"",DATE($C31+2018,$D31,1))</f>
        <v/>
      </c>
    </row>
    <row r="32">
      <c r="A32" s="11" t="n"/>
      <c r="B32" s="12" t="n">
        <v>6620462</v>
      </c>
      <c r="C32" s="12" t="n">
        <v>8</v>
      </c>
      <c r="D32" s="12" t="n">
        <v>2</v>
      </c>
      <c r="E32" s="13" t="n">
        <v>285278</v>
      </c>
      <c r="F32" s="12" t="n"/>
      <c r="G32" s="13" t="n"/>
      <c r="H32" s="12" t="n"/>
      <c r="I32" s="12" t="n"/>
      <c r="J32" s="12" t="n"/>
      <c r="K32" s="12" t="n"/>
      <c r="L32" s="11" t="n"/>
      <c r="M32" s="11" t="n"/>
      <c r="N32" s="11" t="n"/>
      <c r="O32" s="11" t="n"/>
      <c r="P32" s="12" t="n"/>
      <c r="Q32" s="11" t="n"/>
      <c r="R32" s="12" t="n"/>
      <c r="S32" s="11" t="n"/>
      <c r="T32" s="12" t="n"/>
      <c r="U32" s="12" t="n"/>
      <c r="V32" s="12" t="n"/>
      <c r="W32" s="13" t="n"/>
      <c r="X32" s="14">
        <f>IF($AP32="",IF($B32="","",$H32),IF(INDEX(職員マスタ!$B$6:$B$405,$AP32)="",$H32,INDEX(職員マスタ!$B$6:$B$405,$AP32)))</f>
        <v/>
      </c>
      <c r="Y32" s="14">
        <f>IF($AP32="",IF($B32="","",$R32),IF(INDEX(職員マスタ!$C$6:$C$405,$AP32)="",$R32,INDEX(職員マスタ!$C$6:$C$405,$AP32)))</f>
        <v/>
      </c>
      <c r="Z32" s="14">
        <f>IF($AQ32="","","R"&amp;$C32&amp;"."&amp;$D32)</f>
        <v/>
      </c>
      <c r="AA32" s="15">
        <f>IF(IF($AP32="",FALSE,INDEX(職員マスタ!$K$6:$K$405,$AP32)&lt;&gt;""),INDEX(職員マスタ!$K$6:$K$405,$AP32),IF(N($W32)&gt;0,$W32,""))</f>
        <v/>
      </c>
      <c r="AB32" s="14">
        <f>IF(OR($E32="",$AA32=""),"",IF($E32&gt;=$AA32,"×",IF($E32&gt;=$AA32*設定!$C$5,"△","○")))</f>
        <v/>
      </c>
      <c r="AC32" s="15">
        <f>IF($AB32="","",IF($AB32="×",0,IF($AB32="○",ROUNDDOWN($E32*設定!$C$4,0),ROUNDDOWN($E32*ROUND((9*$AA32-9*$E32)/(10*$E32),4),0))))</f>
        <v/>
      </c>
      <c r="AD32" s="13" t="n"/>
      <c r="AE32" s="15">
        <f>IF($B32="","",IF($AD32&lt;&gt;"",$AD32,IF($AC32="","",IF($AC32&lt;=設定!$C$3,0,$AC32))))</f>
        <v/>
      </c>
      <c r="AF32" s="14">
        <f>IF($B32="","",IF(AND($AG32&lt;&gt;"",$AI32="",$AL32=""),"保留中",IF($AL32&lt;&gt;"",IF(N($AE32)&gt;0,"支給済","不支給"),IF($AE32="","要確認",IF($AE32=0,"不支給","未処理")))))</f>
        <v/>
      </c>
      <c r="AG32" s="12" t="n"/>
      <c r="AH32" s="11" t="n"/>
      <c r="AI32" s="11" t="n"/>
      <c r="AJ32" s="11" t="n"/>
      <c r="AK32" s="14">
        <f>IF(AND($AF32="保留中",$AH32&lt;&gt;""),TODAY()-$AH32,"")</f>
        <v/>
      </c>
      <c r="AL32" s="12" t="inlineStr">
        <is>
          <t>R8.8</t>
        </is>
      </c>
      <c r="AM32" s="14">
        <f>IF($B32="","",IF($AQ32="","対象年月が未入力／","")&amp;IF($B32="","",IF($AP32="","職員マスタに未登録の職員番号／",IF($AA32="","標準報酬月額が未登録／","")&amp;IF(AND($AQ32&lt;&gt;"",OR(AND(INDEX(職員マスタ!$G$6:$G$405,$AP32)&lt;&gt;"",INDEX(職員マスタ!$G$6:$G$405,$AP32)&gt;EOMONTH($AQ32,0)),AND(INDEX(職員マスタ!$H$6:$H$405,$AP32)&lt;&gt;"",INDEX(職員マスタ!$H$6:$H$405,$AP32)&lt;$AQ32))),"対象月が時短期間外／","")&amp;IF(AND(INDEX(職員マスタ!$K$6:$K$405,$AP32)&lt;&gt;"",N($W32)&gt;0,INDEX(職員マスタ!$K$6:$K$405,$AP32)&lt;&gt;$W32),"標準報酬月額が申請書と相違（台帳"&amp;TEXT(INDEX(職員マスタ!$K$6:$K$405,$AP32),"#,##0")&amp;"円／申請書"&amp;TEXT($W32,"#,##0")&amp;"円）／","")&amp;IF(AND(INDEX(職員マスタ!$F$6:$F$405,$AP32)&lt;&gt;"",$AQ32&lt;&gt;"",INDEX(職員マスタ!$F$6:$F$405,$AP32)&lt;$AQ32),"対象月に子が2歳到達済／","")&amp;IF(AND($H32&lt;&gt;"",INDEX(職員マスタ!$B$6:$B$405,$AP32)&lt;&gt;"",SUBSTITUTE(SUBSTITUTE($H32," ","")," ","")&lt;&gt;SUBSTITUTE(SUBSTITUTE(INDEX(職員マスタ!$B$6:$B$405,$AP32)," ","")," ","")),"氏名がマスタと相違／","")&amp;IF(AND($Q32&lt;&gt;"",INDEX(職員マスタ!$E$6:$E$405,$AP32)&lt;&gt;"",$Q32&lt;&gt;INDEX(職員マスタ!$E$6:$E$405,$AP32)),"子の生年月日がマスタと相違／","")&amp;IF(AND($L32&lt;&gt;"",INDEX(職員マスタ!$G$6:$G$405,$AP32)&lt;&gt;"",$L32&lt;&gt;INDEX(職員マスタ!$G$6:$G$405,$AP32)),"時短開始日がマスタと相違／","")&amp;IF(AND($M32&lt;&gt;"",INDEX(職員マスタ!$H$6:$H$405,$AP32)&lt;&gt;"",$M32&lt;&gt;INDEX(職員マスタ!$H$6:$H$405,$AP32)),"時短終了日がマスタと相違／","")))&amp;IF(AND($B32&lt;&gt;"",$E32=""),"報酬額が未入力／","")&amp;IF(N($U32)&gt;0,"申請書に入力エラーが残っています／","")&amp;IF(AND($B32&lt;&gt;"",$AQ32&lt;&gt;""),IF(COUNTIFS($B$6:$B$3005,$B32,$C$6:$C$3005,$C32,$D$6:$D$3005,$D32)&gt;1,"同じ月の請求が重複しています／",""),"")&amp;IF(AND(N($E32)&gt;0,$AB32&lt;&gt;"",$AB32&lt;&gt;"×",$AE32=0,$AD32=""),"計算額が下限以下のため不支給／",""))</f>
        <v/>
      </c>
      <c r="AN32" s="12" t="n"/>
      <c r="AO32" s="14">
        <f>IF($AF32="保留中",COUNTIF($AF$6:$AF32,"保留中"),"")</f>
        <v/>
      </c>
      <c r="AP32" s="14">
        <f>IF($AQ32="","",IF(SUMPRODUCT(MAX((職員マスタ!$A$6:$A$405=$B32)*(((職員マスタ!$G$6:$G$405="")+(職員マスタ!$G$6:$G$405&lt;=EOMONTH($AQ32,0)))&gt;0)*(((職員マスタ!$H$6:$H$405="")+(職員マスタ!$H$6:$H$405&gt;=$AQ32))&gt;0)*(ROW(職員マスタ!$A$6:$A$405)-5)))&gt;0,SUMPRODUCT(MAX((職員マスタ!$A$6:$A$405=$B32)*(((職員マスタ!$G$6:$G$405="")+(職員マスタ!$G$6:$G$405&lt;=EOMONTH($AQ32,0)))&gt;0)*(((職員マスタ!$H$6:$H$405="")+(職員マスタ!$H$6:$H$405&gt;=$AQ32))&gt;0)*(ROW(職員マスタ!$A$6:$A$405)-5))),IFERROR(MATCH($B32,職員マスタ!$A$6:$A$405,0),"")))</f>
        <v/>
      </c>
      <c r="AQ32" s="16">
        <f>IF(OR($B32="",$C32="",$D32=""),"",DATE($C32+2018,$D32,1))</f>
        <v/>
      </c>
    </row>
    <row r="33">
      <c r="A33" s="11" t="n"/>
      <c r="B33" s="12" t="n">
        <v>6620462</v>
      </c>
      <c r="C33" s="12" t="n">
        <v>8</v>
      </c>
      <c r="D33" s="12" t="n">
        <v>3</v>
      </c>
      <c r="E33" s="13" t="n">
        <v>286580</v>
      </c>
      <c r="F33" s="12" t="n"/>
      <c r="G33" s="13" t="n"/>
      <c r="H33" s="12" t="n"/>
      <c r="I33" s="12" t="n"/>
      <c r="J33" s="12" t="n"/>
      <c r="K33" s="12" t="n"/>
      <c r="L33" s="11" t="n"/>
      <c r="M33" s="11" t="n"/>
      <c r="N33" s="11" t="n"/>
      <c r="O33" s="11" t="n"/>
      <c r="P33" s="12" t="n"/>
      <c r="Q33" s="11" t="n"/>
      <c r="R33" s="12" t="n"/>
      <c r="S33" s="11" t="n"/>
      <c r="T33" s="12" t="n"/>
      <c r="U33" s="12" t="n"/>
      <c r="V33" s="12" t="n"/>
      <c r="W33" s="13" t="n"/>
      <c r="X33" s="14">
        <f>IF($AP33="",IF($B33="","",$H33),IF(INDEX(職員マスタ!$B$6:$B$405,$AP33)="",$H33,INDEX(職員マスタ!$B$6:$B$405,$AP33)))</f>
        <v/>
      </c>
      <c r="Y33" s="14">
        <f>IF($AP33="",IF($B33="","",$R33),IF(INDEX(職員マスタ!$C$6:$C$405,$AP33)="",$R33,INDEX(職員マスタ!$C$6:$C$405,$AP33)))</f>
        <v/>
      </c>
      <c r="Z33" s="14">
        <f>IF($AQ33="","","R"&amp;$C33&amp;"."&amp;$D33)</f>
        <v/>
      </c>
      <c r="AA33" s="15">
        <f>IF(IF($AP33="",FALSE,INDEX(職員マスタ!$K$6:$K$405,$AP33)&lt;&gt;""),INDEX(職員マスタ!$K$6:$K$405,$AP33),IF(N($W33)&gt;0,$W33,""))</f>
        <v/>
      </c>
      <c r="AB33" s="14">
        <f>IF(OR($E33="",$AA33=""),"",IF($E33&gt;=$AA33,"×",IF($E33&gt;=$AA33*設定!$C$5,"△","○")))</f>
        <v/>
      </c>
      <c r="AC33" s="15">
        <f>IF($AB33="","",IF($AB33="×",0,IF($AB33="○",ROUNDDOWN($E33*設定!$C$4,0),ROUNDDOWN($E33*ROUND((9*$AA33-9*$E33)/(10*$E33),4),0))))</f>
        <v/>
      </c>
      <c r="AD33" s="13" t="n"/>
      <c r="AE33" s="15">
        <f>IF($B33="","",IF($AD33&lt;&gt;"",$AD33,IF($AC33="","",IF($AC33&lt;=設定!$C$3,0,$AC33))))</f>
        <v/>
      </c>
      <c r="AF33" s="14">
        <f>IF($B33="","",IF(AND($AG33&lt;&gt;"",$AI33="",$AL33=""),"保留中",IF($AL33&lt;&gt;"",IF(N($AE33)&gt;0,"支給済","不支給"),IF($AE33="","要確認",IF($AE33=0,"不支給","未処理")))))</f>
        <v/>
      </c>
      <c r="AG33" s="12" t="n"/>
      <c r="AH33" s="11" t="n"/>
      <c r="AI33" s="11" t="n"/>
      <c r="AJ33" s="11" t="n"/>
      <c r="AK33" s="14">
        <f>IF(AND($AF33="保留中",$AH33&lt;&gt;""),TODAY()-$AH33,"")</f>
        <v/>
      </c>
      <c r="AL33" s="12" t="inlineStr">
        <is>
          <t>R8.9</t>
        </is>
      </c>
      <c r="AM33" s="14">
        <f>IF($B33="","",IF($AQ33="","対象年月が未入力／","")&amp;IF($B33="","",IF($AP33="","職員マスタに未登録の職員番号／",IF($AA33="","標準報酬月額が未登録／","")&amp;IF(AND($AQ33&lt;&gt;"",OR(AND(INDEX(職員マスタ!$G$6:$G$405,$AP33)&lt;&gt;"",INDEX(職員マスタ!$G$6:$G$405,$AP33)&gt;EOMONTH($AQ33,0)),AND(INDEX(職員マスタ!$H$6:$H$405,$AP33)&lt;&gt;"",INDEX(職員マスタ!$H$6:$H$405,$AP33)&lt;$AQ33))),"対象月が時短期間外／","")&amp;IF(AND(INDEX(職員マスタ!$K$6:$K$405,$AP33)&lt;&gt;"",N($W33)&gt;0,INDEX(職員マスタ!$K$6:$K$405,$AP33)&lt;&gt;$W33),"標準報酬月額が申請書と相違（台帳"&amp;TEXT(INDEX(職員マスタ!$K$6:$K$405,$AP33),"#,##0")&amp;"円／申請書"&amp;TEXT($W33,"#,##0")&amp;"円）／","")&amp;IF(AND(INDEX(職員マスタ!$F$6:$F$405,$AP33)&lt;&gt;"",$AQ33&lt;&gt;"",INDEX(職員マスタ!$F$6:$F$405,$AP33)&lt;$AQ33),"対象月に子が2歳到達済／","")&amp;IF(AND($H33&lt;&gt;"",INDEX(職員マスタ!$B$6:$B$405,$AP33)&lt;&gt;"",SUBSTITUTE(SUBSTITUTE($H33," ","")," ","")&lt;&gt;SUBSTITUTE(SUBSTITUTE(INDEX(職員マスタ!$B$6:$B$405,$AP33)," ","")," ","")),"氏名がマスタと相違／","")&amp;IF(AND($Q33&lt;&gt;"",INDEX(職員マスタ!$E$6:$E$405,$AP33)&lt;&gt;"",$Q33&lt;&gt;INDEX(職員マスタ!$E$6:$E$405,$AP33)),"子の生年月日がマスタと相違／","")&amp;IF(AND($L33&lt;&gt;"",INDEX(職員マスタ!$G$6:$G$405,$AP33)&lt;&gt;"",$L33&lt;&gt;INDEX(職員マスタ!$G$6:$G$405,$AP33)),"時短開始日がマスタと相違／","")&amp;IF(AND($M33&lt;&gt;"",INDEX(職員マスタ!$H$6:$H$405,$AP33)&lt;&gt;"",$M33&lt;&gt;INDEX(職員マスタ!$H$6:$H$405,$AP33)),"時短終了日がマスタと相違／","")))&amp;IF(AND($B33&lt;&gt;"",$E33=""),"報酬額が未入力／","")&amp;IF(N($U33)&gt;0,"申請書に入力エラーが残っています／","")&amp;IF(AND($B33&lt;&gt;"",$AQ33&lt;&gt;""),IF(COUNTIFS($B$6:$B$3005,$B33,$C$6:$C$3005,$C33,$D$6:$D$3005,$D33)&gt;1,"同じ月の請求が重複しています／",""),"")&amp;IF(AND(N($E33)&gt;0,$AB33&lt;&gt;"",$AB33&lt;&gt;"×",$AE33=0,$AD33=""),"計算額が下限以下のため不支給／",""))</f>
        <v/>
      </c>
      <c r="AN33" s="12" t="n"/>
      <c r="AO33" s="14">
        <f>IF($AF33="保留中",COUNTIF($AF$6:$AF33,"保留中"),"")</f>
        <v/>
      </c>
      <c r="AP33" s="14">
        <f>IF($AQ33="","",IF(SUMPRODUCT(MAX((職員マスタ!$A$6:$A$405=$B33)*(((職員マスタ!$G$6:$G$405="")+(職員マスタ!$G$6:$G$405&lt;=EOMONTH($AQ33,0)))&gt;0)*(((職員マスタ!$H$6:$H$405="")+(職員マスタ!$H$6:$H$405&gt;=$AQ33))&gt;0)*(ROW(職員マスタ!$A$6:$A$405)-5)))&gt;0,SUMPRODUCT(MAX((職員マスタ!$A$6:$A$405=$B33)*(((職員マスタ!$G$6:$G$405="")+(職員マスタ!$G$6:$G$405&lt;=EOMONTH($AQ33,0)))&gt;0)*(((職員マスタ!$H$6:$H$405="")+(職員マスタ!$H$6:$H$405&gt;=$AQ33))&gt;0)*(ROW(職員マスタ!$A$6:$A$405)-5))),IFERROR(MATCH($B33,職員マスタ!$A$6:$A$405,0),"")))</f>
        <v/>
      </c>
      <c r="AQ33" s="16">
        <f>IF(OR($B33="",$C33="",$D33=""),"",DATE($C33+2018,$D33,1))</f>
        <v/>
      </c>
    </row>
    <row r="34">
      <c r="A34" s="11" t="n"/>
      <c r="B34" s="12" t="n">
        <v>6620462</v>
      </c>
      <c r="C34" s="12" t="n">
        <v>8</v>
      </c>
      <c r="D34" s="12" t="n">
        <v>4</v>
      </c>
      <c r="E34" s="13" t="n">
        <v>291160</v>
      </c>
      <c r="F34" s="12" t="n"/>
      <c r="G34" s="13" t="n"/>
      <c r="H34" s="12" t="n"/>
      <c r="I34" s="12" t="n"/>
      <c r="J34" s="12" t="n"/>
      <c r="K34" s="12" t="n"/>
      <c r="L34" s="11" t="n"/>
      <c r="M34" s="11" t="n"/>
      <c r="N34" s="11" t="n"/>
      <c r="O34" s="11" t="n"/>
      <c r="P34" s="12" t="n"/>
      <c r="Q34" s="11" t="n"/>
      <c r="R34" s="12" t="n"/>
      <c r="S34" s="11" t="n"/>
      <c r="T34" s="12" t="n"/>
      <c r="U34" s="12" t="n"/>
      <c r="V34" s="12" t="n"/>
      <c r="W34" s="13" t="n"/>
      <c r="X34" s="14">
        <f>IF($AP34="",IF($B34="","",$H34),IF(INDEX(職員マスタ!$B$6:$B$405,$AP34)="",$H34,INDEX(職員マスタ!$B$6:$B$405,$AP34)))</f>
        <v/>
      </c>
      <c r="Y34" s="14">
        <f>IF($AP34="",IF($B34="","",$R34),IF(INDEX(職員マスタ!$C$6:$C$405,$AP34)="",$R34,INDEX(職員マスタ!$C$6:$C$405,$AP34)))</f>
        <v/>
      </c>
      <c r="Z34" s="14">
        <f>IF($AQ34="","","R"&amp;$C34&amp;"."&amp;$D34)</f>
        <v/>
      </c>
      <c r="AA34" s="15">
        <f>IF(IF($AP34="",FALSE,INDEX(職員マスタ!$K$6:$K$405,$AP34)&lt;&gt;""),INDEX(職員マスタ!$K$6:$K$405,$AP34),IF(N($W34)&gt;0,$W34,""))</f>
        <v/>
      </c>
      <c r="AB34" s="14">
        <f>IF(OR($E34="",$AA34=""),"",IF($E34&gt;=$AA34,"×",IF($E34&gt;=$AA34*設定!$C$5,"△","○")))</f>
        <v/>
      </c>
      <c r="AC34" s="15">
        <f>IF($AB34="","",IF($AB34="×",0,IF($AB34="○",ROUNDDOWN($E34*設定!$C$4,0),ROUNDDOWN($E34*ROUND((9*$AA34-9*$E34)/(10*$E34),4),0))))</f>
        <v/>
      </c>
      <c r="AD34" s="13" t="n"/>
      <c r="AE34" s="15">
        <f>IF($B34="","",IF($AD34&lt;&gt;"",$AD34,IF($AC34="","",IF($AC34&lt;=設定!$C$3,0,$AC34))))</f>
        <v/>
      </c>
      <c r="AF34" s="14">
        <f>IF($B34="","",IF(AND($AG34&lt;&gt;"",$AI34="",$AL34=""),"保留中",IF($AL34&lt;&gt;"",IF(N($AE34)&gt;0,"支給済","不支給"),IF($AE34="","要確認",IF($AE34=0,"不支給","未処理")))))</f>
        <v/>
      </c>
      <c r="AG34" s="12" t="n"/>
      <c r="AH34" s="11" t="n"/>
      <c r="AI34" s="11" t="n"/>
      <c r="AJ34" s="11" t="n"/>
      <c r="AK34" s="14">
        <f>IF(AND($AF34="保留中",$AH34&lt;&gt;""),TODAY()-$AH34,"")</f>
        <v/>
      </c>
      <c r="AL34" s="12" t="inlineStr">
        <is>
          <t>R8.9</t>
        </is>
      </c>
      <c r="AM34" s="14">
        <f>IF($B34="","",IF($AQ34="","対象年月が未入力／","")&amp;IF($B34="","",IF($AP34="","職員マスタに未登録の職員番号／",IF($AA34="","標準報酬月額が未登録／","")&amp;IF(AND($AQ34&lt;&gt;"",OR(AND(INDEX(職員マスタ!$G$6:$G$405,$AP34)&lt;&gt;"",INDEX(職員マスタ!$G$6:$G$405,$AP34)&gt;EOMONTH($AQ34,0)),AND(INDEX(職員マスタ!$H$6:$H$405,$AP34)&lt;&gt;"",INDEX(職員マスタ!$H$6:$H$405,$AP34)&lt;$AQ34))),"対象月が時短期間外／","")&amp;IF(AND(INDEX(職員マスタ!$K$6:$K$405,$AP34)&lt;&gt;"",N($W34)&gt;0,INDEX(職員マスタ!$K$6:$K$405,$AP34)&lt;&gt;$W34),"標準報酬月額が申請書と相違（台帳"&amp;TEXT(INDEX(職員マスタ!$K$6:$K$405,$AP34),"#,##0")&amp;"円／申請書"&amp;TEXT($W34,"#,##0")&amp;"円）／","")&amp;IF(AND(INDEX(職員マスタ!$F$6:$F$405,$AP34)&lt;&gt;"",$AQ34&lt;&gt;"",INDEX(職員マスタ!$F$6:$F$405,$AP34)&lt;$AQ34),"対象月に子が2歳到達済／","")&amp;IF(AND($H34&lt;&gt;"",INDEX(職員マスタ!$B$6:$B$405,$AP34)&lt;&gt;"",SUBSTITUTE(SUBSTITUTE($H34," ","")," ","")&lt;&gt;SUBSTITUTE(SUBSTITUTE(INDEX(職員マスタ!$B$6:$B$405,$AP34)," ","")," ","")),"氏名がマスタと相違／","")&amp;IF(AND($Q34&lt;&gt;"",INDEX(職員マスタ!$E$6:$E$405,$AP34)&lt;&gt;"",$Q34&lt;&gt;INDEX(職員マスタ!$E$6:$E$405,$AP34)),"子の生年月日がマスタと相違／","")&amp;IF(AND($L34&lt;&gt;"",INDEX(職員マスタ!$G$6:$G$405,$AP34)&lt;&gt;"",$L34&lt;&gt;INDEX(職員マスタ!$G$6:$G$405,$AP34)),"時短開始日がマスタと相違／","")&amp;IF(AND($M34&lt;&gt;"",INDEX(職員マスタ!$H$6:$H$405,$AP34)&lt;&gt;"",$M34&lt;&gt;INDEX(職員マスタ!$H$6:$H$405,$AP34)),"時短終了日がマスタと相違／","")))&amp;IF(AND($B34&lt;&gt;"",$E34=""),"報酬額が未入力／","")&amp;IF(N($U34)&gt;0,"申請書に入力エラーが残っています／","")&amp;IF(AND($B34&lt;&gt;"",$AQ34&lt;&gt;""),IF(COUNTIFS($B$6:$B$3005,$B34,$C$6:$C$3005,$C34,$D$6:$D$3005,$D34)&gt;1,"同じ月の請求が重複しています／",""),"")&amp;IF(AND(N($E34)&gt;0,$AB34&lt;&gt;"",$AB34&lt;&gt;"×",$AE34=0,$AD34=""),"計算額が下限以下のため不支給／",""))</f>
        <v/>
      </c>
      <c r="AN34" s="12" t="n"/>
      <c r="AO34" s="14">
        <f>IF($AF34="保留中",COUNTIF($AF$6:$AF34,"保留中"),"")</f>
        <v/>
      </c>
      <c r="AP34" s="14">
        <f>IF($AQ34="","",IF(SUMPRODUCT(MAX((職員マスタ!$A$6:$A$405=$B34)*(((職員マスタ!$G$6:$G$405="")+(職員マスタ!$G$6:$G$405&lt;=EOMONTH($AQ34,0)))&gt;0)*(((職員マスタ!$H$6:$H$405="")+(職員マスタ!$H$6:$H$405&gt;=$AQ34))&gt;0)*(ROW(職員マスタ!$A$6:$A$405)-5)))&gt;0,SUMPRODUCT(MAX((職員マスタ!$A$6:$A$405=$B34)*(((職員マスタ!$G$6:$G$405="")+(職員マスタ!$G$6:$G$405&lt;=EOMONTH($AQ34,0)))&gt;0)*(((職員マスタ!$H$6:$H$405="")+(職員マスタ!$H$6:$H$405&gt;=$AQ34))&gt;0)*(ROW(職員マスタ!$A$6:$A$405)-5))),IFERROR(MATCH($B34,職員マスタ!$A$6:$A$405,0),"")))</f>
        <v/>
      </c>
      <c r="AQ34" s="16">
        <f>IF(OR($B34="",$C34="",$D34=""),"",DATE($C34+2018,$D34,1))</f>
        <v/>
      </c>
    </row>
    <row r="35">
      <c r="A35" s="11" t="n"/>
      <c r="B35" s="12" t="n">
        <v>6620462</v>
      </c>
      <c r="C35" s="12" t="n">
        <v>8</v>
      </c>
      <c r="D35" s="12" t="n">
        <v>5</v>
      </c>
      <c r="E35" s="13" t="n">
        <v>290121</v>
      </c>
      <c r="F35" s="12" t="n"/>
      <c r="G35" s="13" t="n"/>
      <c r="H35" s="12" t="n"/>
      <c r="I35" s="12" t="n"/>
      <c r="J35" s="12" t="n"/>
      <c r="K35" s="12" t="n"/>
      <c r="L35" s="11" t="n"/>
      <c r="M35" s="11" t="n"/>
      <c r="N35" s="11" t="n"/>
      <c r="O35" s="11" t="n"/>
      <c r="P35" s="12" t="n"/>
      <c r="Q35" s="11" t="n"/>
      <c r="R35" s="12" t="n"/>
      <c r="S35" s="11" t="n"/>
      <c r="T35" s="12" t="n"/>
      <c r="U35" s="12" t="n"/>
      <c r="V35" s="12" t="n"/>
      <c r="W35" s="13" t="n"/>
      <c r="X35" s="14">
        <f>IF($AP35="",IF($B35="","",$H35),IF(INDEX(職員マスタ!$B$6:$B$405,$AP35)="",$H35,INDEX(職員マスタ!$B$6:$B$405,$AP35)))</f>
        <v/>
      </c>
      <c r="Y35" s="14">
        <f>IF($AP35="",IF($B35="","",$R35),IF(INDEX(職員マスタ!$C$6:$C$405,$AP35)="",$R35,INDEX(職員マスタ!$C$6:$C$405,$AP35)))</f>
        <v/>
      </c>
      <c r="Z35" s="14">
        <f>IF($AQ35="","","R"&amp;$C35&amp;"."&amp;$D35)</f>
        <v/>
      </c>
      <c r="AA35" s="15">
        <f>IF(IF($AP35="",FALSE,INDEX(職員マスタ!$K$6:$K$405,$AP35)&lt;&gt;""),INDEX(職員マスタ!$K$6:$K$405,$AP35),IF(N($W35)&gt;0,$W35,""))</f>
        <v/>
      </c>
      <c r="AB35" s="14">
        <f>IF(OR($E35="",$AA35=""),"",IF($E35&gt;=$AA35,"×",IF($E35&gt;=$AA35*設定!$C$5,"△","○")))</f>
        <v/>
      </c>
      <c r="AC35" s="15">
        <f>IF($AB35="","",IF($AB35="×",0,IF($AB35="○",ROUNDDOWN($E35*設定!$C$4,0),ROUNDDOWN($E35*ROUND((9*$AA35-9*$E35)/(10*$E35),4),0))))</f>
        <v/>
      </c>
      <c r="AD35" s="13" t="n"/>
      <c r="AE35" s="15">
        <f>IF($B35="","",IF($AD35&lt;&gt;"",$AD35,IF($AC35="","",IF($AC35&lt;=設定!$C$3,0,$AC35))))</f>
        <v/>
      </c>
      <c r="AF35" s="14">
        <f>IF($B35="","",IF(AND($AG35&lt;&gt;"",$AI35="",$AL35=""),"保留中",IF($AL35&lt;&gt;"",IF(N($AE35)&gt;0,"支給済","不支給"),IF($AE35="","要確認",IF($AE35=0,"不支給","未処理")))))</f>
        <v/>
      </c>
      <c r="AG35" s="12" t="n"/>
      <c r="AH35" s="11" t="n"/>
      <c r="AI35" s="11" t="n"/>
      <c r="AJ35" s="11" t="n"/>
      <c r="AK35" s="14">
        <f>IF(AND($AF35="保留中",$AH35&lt;&gt;""),TODAY()-$AH35,"")</f>
        <v/>
      </c>
      <c r="AL35" s="12" t="inlineStr">
        <is>
          <t>R8.9</t>
        </is>
      </c>
      <c r="AM35" s="14">
        <f>IF($B35="","",IF($AQ35="","対象年月が未入力／","")&amp;IF($B35="","",IF($AP35="","職員マスタに未登録の職員番号／",IF($AA35="","標準報酬月額が未登録／","")&amp;IF(AND($AQ35&lt;&gt;"",OR(AND(INDEX(職員マスタ!$G$6:$G$405,$AP35)&lt;&gt;"",INDEX(職員マスタ!$G$6:$G$405,$AP35)&gt;EOMONTH($AQ35,0)),AND(INDEX(職員マスタ!$H$6:$H$405,$AP35)&lt;&gt;"",INDEX(職員マスタ!$H$6:$H$405,$AP35)&lt;$AQ35))),"対象月が時短期間外／","")&amp;IF(AND(INDEX(職員マスタ!$K$6:$K$405,$AP35)&lt;&gt;"",N($W35)&gt;0,INDEX(職員マスタ!$K$6:$K$405,$AP35)&lt;&gt;$W35),"標準報酬月額が申請書と相違（台帳"&amp;TEXT(INDEX(職員マスタ!$K$6:$K$405,$AP35),"#,##0")&amp;"円／申請書"&amp;TEXT($W35,"#,##0")&amp;"円）／","")&amp;IF(AND(INDEX(職員マスタ!$F$6:$F$405,$AP35)&lt;&gt;"",$AQ35&lt;&gt;"",INDEX(職員マスタ!$F$6:$F$405,$AP35)&lt;$AQ35),"対象月に子が2歳到達済／","")&amp;IF(AND($H35&lt;&gt;"",INDEX(職員マスタ!$B$6:$B$405,$AP35)&lt;&gt;"",SUBSTITUTE(SUBSTITUTE($H35," ","")," ","")&lt;&gt;SUBSTITUTE(SUBSTITUTE(INDEX(職員マスタ!$B$6:$B$405,$AP35)," ","")," ","")),"氏名がマスタと相違／","")&amp;IF(AND($Q35&lt;&gt;"",INDEX(職員マスタ!$E$6:$E$405,$AP35)&lt;&gt;"",$Q35&lt;&gt;INDEX(職員マスタ!$E$6:$E$405,$AP35)),"子の生年月日がマスタと相違／","")&amp;IF(AND($L35&lt;&gt;"",INDEX(職員マスタ!$G$6:$G$405,$AP35)&lt;&gt;"",$L35&lt;&gt;INDEX(職員マスタ!$G$6:$G$405,$AP35)),"時短開始日がマスタと相違／","")&amp;IF(AND($M35&lt;&gt;"",INDEX(職員マスタ!$H$6:$H$405,$AP35)&lt;&gt;"",$M35&lt;&gt;INDEX(職員マスタ!$H$6:$H$405,$AP35)),"時短終了日がマスタと相違／","")))&amp;IF(AND($B35&lt;&gt;"",$E35=""),"報酬額が未入力／","")&amp;IF(N($U35)&gt;0,"申請書に入力エラーが残っています／","")&amp;IF(AND($B35&lt;&gt;"",$AQ35&lt;&gt;""),IF(COUNTIFS($B$6:$B$3005,$B35,$C$6:$C$3005,$C35,$D$6:$D$3005,$D35)&gt;1,"同じ月の請求が重複しています／",""),"")&amp;IF(AND(N($E35)&gt;0,$AB35&lt;&gt;"",$AB35&lt;&gt;"×",$AE35=0,$AD35=""),"計算額が下限以下のため不支給／",""))</f>
        <v/>
      </c>
      <c r="AN35" s="12" t="n"/>
      <c r="AO35" s="14">
        <f>IF($AF35="保留中",COUNTIF($AF$6:$AF35,"保留中"),"")</f>
        <v/>
      </c>
      <c r="AP35" s="14">
        <f>IF($AQ35="","",IF(SUMPRODUCT(MAX((職員マスタ!$A$6:$A$405=$B35)*(((職員マスタ!$G$6:$G$405="")+(職員マスタ!$G$6:$G$405&lt;=EOMONTH($AQ35,0)))&gt;0)*(((職員マスタ!$H$6:$H$405="")+(職員マスタ!$H$6:$H$405&gt;=$AQ35))&gt;0)*(ROW(職員マスタ!$A$6:$A$405)-5)))&gt;0,SUMPRODUCT(MAX((職員マスタ!$A$6:$A$405=$B35)*(((職員マスタ!$G$6:$G$405="")+(職員マスタ!$G$6:$G$405&lt;=EOMONTH($AQ35,0)))&gt;0)*(((職員マスタ!$H$6:$H$405="")+(職員マスタ!$H$6:$H$405&gt;=$AQ35))&gt;0)*(ROW(職員マスタ!$A$6:$A$405)-5))),IFERROR(MATCH($B35,職員マスタ!$A$6:$A$405,0),"")))</f>
        <v/>
      </c>
      <c r="AQ35" s="16">
        <f>IF(OR($B35="",$C35="",$D35=""),"",DATE($C35+2018,$D35,1))</f>
        <v/>
      </c>
    </row>
    <row r="36">
      <c r="A36" s="11" t="n"/>
      <c r="B36" s="12" t="n">
        <v>6620462</v>
      </c>
      <c r="C36" s="12" t="n">
        <v>8</v>
      </c>
      <c r="D36" s="12" t="n">
        <v>6</v>
      </c>
      <c r="E36" s="13" t="n">
        <v>365873</v>
      </c>
      <c r="F36" s="12" t="n"/>
      <c r="G36" s="13" t="n"/>
      <c r="H36" s="12" t="n"/>
      <c r="I36" s="12" t="n"/>
      <c r="J36" s="12" t="n"/>
      <c r="K36" s="12" t="n"/>
      <c r="L36" s="11" t="n"/>
      <c r="M36" s="11" t="n"/>
      <c r="N36" s="11" t="n"/>
      <c r="O36" s="11" t="n"/>
      <c r="P36" s="12" t="n"/>
      <c r="Q36" s="11" t="n"/>
      <c r="R36" s="12" t="n"/>
      <c r="S36" s="11" t="n"/>
      <c r="T36" s="12" t="n"/>
      <c r="U36" s="12" t="n"/>
      <c r="V36" s="12" t="n"/>
      <c r="W36" s="13" t="n"/>
      <c r="X36" s="14">
        <f>IF($AP36="",IF($B36="","",$H36),IF(INDEX(職員マスタ!$B$6:$B$405,$AP36)="",$H36,INDEX(職員マスタ!$B$6:$B$405,$AP36)))</f>
        <v/>
      </c>
      <c r="Y36" s="14">
        <f>IF($AP36="",IF($B36="","",$R36),IF(INDEX(職員マスタ!$C$6:$C$405,$AP36)="",$R36,INDEX(職員マスタ!$C$6:$C$405,$AP36)))</f>
        <v/>
      </c>
      <c r="Z36" s="14">
        <f>IF($AQ36="","","R"&amp;$C36&amp;"."&amp;$D36)</f>
        <v/>
      </c>
      <c r="AA36" s="15">
        <f>IF(IF($AP36="",FALSE,INDEX(職員マスタ!$K$6:$K$405,$AP36)&lt;&gt;""),INDEX(職員マスタ!$K$6:$K$405,$AP36),IF(N($W36)&gt;0,$W36,""))</f>
        <v/>
      </c>
      <c r="AB36" s="14">
        <f>IF(OR($E36="",$AA36=""),"",IF($E36&gt;=$AA36,"×",IF($E36&gt;=$AA36*設定!$C$5,"△","○")))</f>
        <v/>
      </c>
      <c r="AC36" s="15">
        <f>IF($AB36="","",IF($AB36="×",0,IF($AB36="○",ROUNDDOWN($E36*設定!$C$4,0),ROUNDDOWN($E36*ROUND((9*$AA36-9*$E36)/(10*$E36),4),0))))</f>
        <v/>
      </c>
      <c r="AD36" s="13" t="n"/>
      <c r="AE36" s="15">
        <f>IF($B36="","",IF($AD36&lt;&gt;"",$AD36,IF($AC36="","",IF($AC36&lt;=設定!$C$3,0,$AC36))))</f>
        <v/>
      </c>
      <c r="AF36" s="14">
        <f>IF($B36="","",IF(AND($AG36&lt;&gt;"",$AI36="",$AL36=""),"保留中",IF($AL36&lt;&gt;"",IF(N($AE36)&gt;0,"支給済","不支給"),IF($AE36="","要確認",IF($AE36=0,"不支給","未処理")))))</f>
        <v/>
      </c>
      <c r="AG36" s="12" t="n"/>
      <c r="AH36" s="11" t="n"/>
      <c r="AI36" s="11" t="n"/>
      <c r="AJ36" s="11" t="n"/>
      <c r="AK36" s="14">
        <f>IF(AND($AF36="保留中",$AH36&lt;&gt;""),TODAY()-$AH36,"")</f>
        <v/>
      </c>
      <c r="AL36" s="12" t="inlineStr">
        <is>
          <t>R8.9</t>
        </is>
      </c>
      <c r="AM36" s="14">
        <f>IF($B36="","",IF($AQ36="","対象年月が未入力／","")&amp;IF($B36="","",IF($AP36="","職員マスタに未登録の職員番号／",IF($AA36="","標準報酬月額が未登録／","")&amp;IF(AND($AQ36&lt;&gt;"",OR(AND(INDEX(職員マスタ!$G$6:$G$405,$AP36)&lt;&gt;"",INDEX(職員マスタ!$G$6:$G$405,$AP36)&gt;EOMONTH($AQ36,0)),AND(INDEX(職員マスタ!$H$6:$H$405,$AP36)&lt;&gt;"",INDEX(職員マスタ!$H$6:$H$405,$AP36)&lt;$AQ36))),"対象月が時短期間外／","")&amp;IF(AND(INDEX(職員マスタ!$K$6:$K$405,$AP36)&lt;&gt;"",N($W36)&gt;0,INDEX(職員マスタ!$K$6:$K$405,$AP36)&lt;&gt;$W36),"標準報酬月額が申請書と相違（台帳"&amp;TEXT(INDEX(職員マスタ!$K$6:$K$405,$AP36),"#,##0")&amp;"円／申請書"&amp;TEXT($W36,"#,##0")&amp;"円）／","")&amp;IF(AND(INDEX(職員マスタ!$F$6:$F$405,$AP36)&lt;&gt;"",$AQ36&lt;&gt;"",INDEX(職員マスタ!$F$6:$F$405,$AP36)&lt;$AQ36),"対象月に子が2歳到達済／","")&amp;IF(AND($H36&lt;&gt;"",INDEX(職員マスタ!$B$6:$B$405,$AP36)&lt;&gt;"",SUBSTITUTE(SUBSTITUTE($H36," ","")," ","")&lt;&gt;SUBSTITUTE(SUBSTITUTE(INDEX(職員マスタ!$B$6:$B$405,$AP36)," ","")," ","")),"氏名がマスタと相違／","")&amp;IF(AND($Q36&lt;&gt;"",INDEX(職員マスタ!$E$6:$E$405,$AP36)&lt;&gt;"",$Q36&lt;&gt;INDEX(職員マスタ!$E$6:$E$405,$AP36)),"子の生年月日がマスタと相違／","")&amp;IF(AND($L36&lt;&gt;"",INDEX(職員マスタ!$G$6:$G$405,$AP36)&lt;&gt;"",$L36&lt;&gt;INDEX(職員マスタ!$G$6:$G$405,$AP36)),"時短開始日がマスタと相違／","")&amp;IF(AND($M36&lt;&gt;"",INDEX(職員マスタ!$H$6:$H$405,$AP36)&lt;&gt;"",$M36&lt;&gt;INDEX(職員マスタ!$H$6:$H$405,$AP36)),"時短終了日がマスタと相違／","")))&amp;IF(AND($B36&lt;&gt;"",$E36=""),"報酬額が未入力／","")&amp;IF(N($U36)&gt;0,"申請書に入力エラーが残っています／","")&amp;IF(AND($B36&lt;&gt;"",$AQ36&lt;&gt;""),IF(COUNTIFS($B$6:$B$3005,$B36,$C$6:$C$3005,$C36,$D$6:$D$3005,$D36)&gt;1,"同じ月の請求が重複しています／",""),"")&amp;IF(AND(N($E36)&gt;0,$AB36&lt;&gt;"",$AB36&lt;&gt;"×",$AE36=0,$AD36=""),"計算額が下限以下のため不支給／",""))</f>
        <v/>
      </c>
      <c r="AN36" s="12" t="n"/>
      <c r="AO36" s="14">
        <f>IF($AF36="保留中",COUNTIF($AF$6:$AF36,"保留中"),"")</f>
        <v/>
      </c>
      <c r="AP36" s="14">
        <f>IF($AQ36="","",IF(SUMPRODUCT(MAX((職員マスタ!$A$6:$A$405=$B36)*(((職員マスタ!$G$6:$G$405="")+(職員マスタ!$G$6:$G$405&lt;=EOMONTH($AQ36,0)))&gt;0)*(((職員マスタ!$H$6:$H$405="")+(職員マスタ!$H$6:$H$405&gt;=$AQ36))&gt;0)*(ROW(職員マスタ!$A$6:$A$405)-5)))&gt;0,SUMPRODUCT(MAX((職員マスタ!$A$6:$A$405=$B36)*(((職員マスタ!$G$6:$G$405="")+(職員マスタ!$G$6:$G$405&lt;=EOMONTH($AQ36,0)))&gt;0)*(((職員マスタ!$H$6:$H$405="")+(職員マスタ!$H$6:$H$405&gt;=$AQ36))&gt;0)*(ROW(職員マスタ!$A$6:$A$405)-5))),IFERROR(MATCH($B36,職員マスタ!$A$6:$A$405,0),"")))</f>
        <v/>
      </c>
      <c r="AQ36" s="16">
        <f>IF(OR($B36="",$C36="",$D36=""),"",DATE($C36+2018,$D36,1))</f>
        <v/>
      </c>
    </row>
    <row r="37">
      <c r="A37" s="11" t="n"/>
      <c r="B37" s="12" t="n">
        <v>6620462</v>
      </c>
      <c r="C37" s="12" t="n">
        <v>8</v>
      </c>
      <c r="D37" s="12" t="n">
        <v>7</v>
      </c>
      <c r="E37" s="13" t="n">
        <v>288798</v>
      </c>
      <c r="F37" s="12" t="n"/>
      <c r="G37" s="13" t="n"/>
      <c r="H37" s="12" t="n"/>
      <c r="I37" s="12" t="n"/>
      <c r="J37" s="12" t="n"/>
      <c r="K37" s="12" t="n"/>
      <c r="L37" s="11" t="n"/>
      <c r="M37" s="11" t="n"/>
      <c r="N37" s="11" t="n"/>
      <c r="O37" s="11" t="n"/>
      <c r="P37" s="12" t="n"/>
      <c r="Q37" s="11" t="n"/>
      <c r="R37" s="12" t="n"/>
      <c r="S37" s="11" t="n"/>
      <c r="T37" s="12" t="n"/>
      <c r="U37" s="12" t="n"/>
      <c r="V37" s="12" t="n"/>
      <c r="W37" s="13" t="n"/>
      <c r="X37" s="14">
        <f>IF($AP37="",IF($B37="","",$H37),IF(INDEX(職員マスタ!$B$6:$B$405,$AP37)="",$H37,INDEX(職員マスタ!$B$6:$B$405,$AP37)))</f>
        <v/>
      </c>
      <c r="Y37" s="14">
        <f>IF($AP37="",IF($B37="","",$R37),IF(INDEX(職員マスタ!$C$6:$C$405,$AP37)="",$R37,INDEX(職員マスタ!$C$6:$C$405,$AP37)))</f>
        <v/>
      </c>
      <c r="Z37" s="14">
        <f>IF($AQ37="","","R"&amp;$C37&amp;"."&amp;$D37)</f>
        <v/>
      </c>
      <c r="AA37" s="15">
        <f>IF(IF($AP37="",FALSE,INDEX(職員マスタ!$K$6:$K$405,$AP37)&lt;&gt;""),INDEX(職員マスタ!$K$6:$K$405,$AP37),IF(N($W37)&gt;0,$W37,""))</f>
        <v/>
      </c>
      <c r="AB37" s="14">
        <f>IF(OR($E37="",$AA37=""),"",IF($E37&gt;=$AA37,"×",IF($E37&gt;=$AA37*設定!$C$5,"△","○")))</f>
        <v/>
      </c>
      <c r="AC37" s="15">
        <f>IF($AB37="","",IF($AB37="×",0,IF($AB37="○",ROUNDDOWN($E37*設定!$C$4,0),ROUNDDOWN($E37*ROUND((9*$AA37-9*$E37)/(10*$E37),4),0))))</f>
        <v/>
      </c>
      <c r="AD37" s="13" t="n"/>
      <c r="AE37" s="15">
        <f>IF($B37="","",IF($AD37&lt;&gt;"",$AD37,IF($AC37="","",IF($AC37&lt;=設定!$C$3,0,$AC37))))</f>
        <v/>
      </c>
      <c r="AF37" s="14">
        <f>IF($B37="","",IF(AND($AG37&lt;&gt;"",$AI37="",$AL37=""),"保留中",IF($AL37&lt;&gt;"",IF(N($AE37)&gt;0,"支給済","不支給"),IF($AE37="","要確認",IF($AE37=0,"不支給","未処理")))))</f>
        <v/>
      </c>
      <c r="AG37" s="12" t="n"/>
      <c r="AH37" s="11" t="n"/>
      <c r="AI37" s="11" t="n"/>
      <c r="AJ37" s="11" t="n"/>
      <c r="AK37" s="14">
        <f>IF(AND($AF37="保留中",$AH37&lt;&gt;""),TODAY()-$AH37,"")</f>
        <v/>
      </c>
      <c r="AL37" s="12" t="inlineStr">
        <is>
          <t>R8.9</t>
        </is>
      </c>
      <c r="AM37" s="14">
        <f>IF($B37="","",IF($AQ37="","対象年月が未入力／","")&amp;IF($B37="","",IF($AP37="","職員マスタに未登録の職員番号／",IF($AA37="","標準報酬月額が未登録／","")&amp;IF(AND($AQ37&lt;&gt;"",OR(AND(INDEX(職員マスタ!$G$6:$G$405,$AP37)&lt;&gt;"",INDEX(職員マスタ!$G$6:$G$405,$AP37)&gt;EOMONTH($AQ37,0)),AND(INDEX(職員マスタ!$H$6:$H$405,$AP37)&lt;&gt;"",INDEX(職員マスタ!$H$6:$H$405,$AP37)&lt;$AQ37))),"対象月が時短期間外／","")&amp;IF(AND(INDEX(職員マスタ!$K$6:$K$405,$AP37)&lt;&gt;"",N($W37)&gt;0,INDEX(職員マスタ!$K$6:$K$405,$AP37)&lt;&gt;$W37),"標準報酬月額が申請書と相違（台帳"&amp;TEXT(INDEX(職員マスタ!$K$6:$K$405,$AP37),"#,##0")&amp;"円／申請書"&amp;TEXT($W37,"#,##0")&amp;"円）／","")&amp;IF(AND(INDEX(職員マスタ!$F$6:$F$405,$AP37)&lt;&gt;"",$AQ37&lt;&gt;"",INDEX(職員マスタ!$F$6:$F$405,$AP37)&lt;$AQ37),"対象月に子が2歳到達済／","")&amp;IF(AND($H37&lt;&gt;"",INDEX(職員マスタ!$B$6:$B$405,$AP37)&lt;&gt;"",SUBSTITUTE(SUBSTITUTE($H37," ","")," ","")&lt;&gt;SUBSTITUTE(SUBSTITUTE(INDEX(職員マスタ!$B$6:$B$405,$AP37)," ","")," ","")),"氏名がマスタと相違／","")&amp;IF(AND($Q37&lt;&gt;"",INDEX(職員マスタ!$E$6:$E$405,$AP37)&lt;&gt;"",$Q37&lt;&gt;INDEX(職員マスタ!$E$6:$E$405,$AP37)),"子の生年月日がマスタと相違／","")&amp;IF(AND($L37&lt;&gt;"",INDEX(職員マスタ!$G$6:$G$405,$AP37)&lt;&gt;"",$L37&lt;&gt;INDEX(職員マスタ!$G$6:$G$405,$AP37)),"時短開始日がマスタと相違／","")&amp;IF(AND($M37&lt;&gt;"",INDEX(職員マスタ!$H$6:$H$405,$AP37)&lt;&gt;"",$M37&lt;&gt;INDEX(職員マスタ!$H$6:$H$405,$AP37)),"時短終了日がマスタと相違／","")))&amp;IF(AND($B37&lt;&gt;"",$E37=""),"報酬額が未入力／","")&amp;IF(N($U37)&gt;0,"申請書に入力エラーが残っています／","")&amp;IF(AND($B37&lt;&gt;"",$AQ37&lt;&gt;""),IF(COUNTIFS($B$6:$B$3005,$B37,$C$6:$C$3005,$C37,$D$6:$D$3005,$D37)&gt;1,"同じ月の請求が重複しています／",""),"")&amp;IF(AND(N($E37)&gt;0,$AB37&lt;&gt;"",$AB37&lt;&gt;"×",$AE37=0,$AD37=""),"計算額が下限以下のため不支給／",""))</f>
        <v/>
      </c>
      <c r="AN37" s="12" t="n"/>
      <c r="AO37" s="14">
        <f>IF($AF37="保留中",COUNTIF($AF$6:$AF37,"保留中"),"")</f>
        <v/>
      </c>
      <c r="AP37" s="14">
        <f>IF($AQ37="","",IF(SUMPRODUCT(MAX((職員マスタ!$A$6:$A$405=$B37)*(((職員マスタ!$G$6:$G$405="")+(職員マスタ!$G$6:$G$405&lt;=EOMONTH($AQ37,0)))&gt;0)*(((職員マスタ!$H$6:$H$405="")+(職員マスタ!$H$6:$H$405&gt;=$AQ37))&gt;0)*(ROW(職員マスタ!$A$6:$A$405)-5)))&gt;0,SUMPRODUCT(MAX((職員マスタ!$A$6:$A$405=$B37)*(((職員マスタ!$G$6:$G$405="")+(職員マスタ!$G$6:$G$405&lt;=EOMONTH($AQ37,0)))&gt;0)*(((職員マスタ!$H$6:$H$405="")+(職員マスタ!$H$6:$H$405&gt;=$AQ37))&gt;0)*(ROW(職員マスタ!$A$6:$A$405)-5))),IFERROR(MATCH($B37,職員マスタ!$A$6:$A$405,0),"")))</f>
        <v/>
      </c>
      <c r="AQ37" s="16">
        <f>IF(OR($B37="",$C37="",$D37=""),"",DATE($C37+2018,$D37,1))</f>
        <v/>
      </c>
    </row>
    <row r="38">
      <c r="A38" s="11" t="n"/>
      <c r="B38" s="12" t="n">
        <v>6802253</v>
      </c>
      <c r="C38" s="12" t="n">
        <v>8</v>
      </c>
      <c r="D38" s="12" t="n">
        <v>5</v>
      </c>
      <c r="E38" s="13" t="n">
        <v>188713</v>
      </c>
      <c r="F38" s="12" t="n"/>
      <c r="G38" s="13" t="n"/>
      <c r="H38" s="12" t="n"/>
      <c r="I38" s="12" t="n"/>
      <c r="J38" s="12" t="n"/>
      <c r="K38" s="12" t="n"/>
      <c r="L38" s="11" t="n"/>
      <c r="M38" s="11" t="n"/>
      <c r="N38" s="11" t="n"/>
      <c r="O38" s="11" t="n"/>
      <c r="P38" s="12" t="n"/>
      <c r="Q38" s="11" t="n"/>
      <c r="R38" s="12" t="n"/>
      <c r="S38" s="11" t="n"/>
      <c r="T38" s="12" t="n"/>
      <c r="U38" s="12" t="n"/>
      <c r="V38" s="12" t="n"/>
      <c r="W38" s="13" t="n"/>
      <c r="X38" s="14">
        <f>IF($AP38="",IF($B38="","",$H38),IF(INDEX(職員マスタ!$B$6:$B$405,$AP38)="",$H38,INDEX(職員マスタ!$B$6:$B$405,$AP38)))</f>
        <v/>
      </c>
      <c r="Y38" s="14">
        <f>IF($AP38="",IF($B38="","",$R38),IF(INDEX(職員マスタ!$C$6:$C$405,$AP38)="",$R38,INDEX(職員マスタ!$C$6:$C$405,$AP38)))</f>
        <v/>
      </c>
      <c r="Z38" s="14">
        <f>IF($AQ38="","","R"&amp;$C38&amp;"."&amp;$D38)</f>
        <v/>
      </c>
      <c r="AA38" s="15">
        <f>IF(IF($AP38="",FALSE,INDEX(職員マスタ!$K$6:$K$405,$AP38)&lt;&gt;""),INDEX(職員マスタ!$K$6:$K$405,$AP38),IF(N($W38)&gt;0,$W38,""))</f>
        <v/>
      </c>
      <c r="AB38" s="14">
        <f>IF(OR($E38="",$AA38=""),"",IF($E38&gt;=$AA38,"×",IF($E38&gt;=$AA38*設定!$C$5,"△","○")))</f>
        <v/>
      </c>
      <c r="AC38" s="15">
        <f>IF($AB38="","",IF($AB38="×",0,IF($AB38="○",ROUNDDOWN($E38*設定!$C$4,0),ROUNDDOWN($E38*ROUND((9*$AA38-9*$E38)/(10*$E38),4),0))))</f>
        <v/>
      </c>
      <c r="AD38" s="13" t="n"/>
      <c r="AE38" s="15">
        <f>IF($B38="","",IF($AD38&lt;&gt;"",$AD38,IF($AC38="","",IF($AC38&lt;=設定!$C$3,0,$AC38))))</f>
        <v/>
      </c>
      <c r="AF38" s="14">
        <f>IF($B38="","",IF(AND($AG38&lt;&gt;"",$AI38="",$AL38=""),"保留中",IF($AL38&lt;&gt;"",IF(N($AE38)&gt;0,"支給済","不支給"),IF($AE38="","要確認",IF($AE38=0,"不支給","未処理")))))</f>
        <v/>
      </c>
      <c r="AG38" s="12" t="n"/>
      <c r="AH38" s="11" t="n"/>
      <c r="AI38" s="11" t="n"/>
      <c r="AJ38" s="11" t="n"/>
      <c r="AK38" s="14">
        <f>IF(AND($AF38="保留中",$AH38&lt;&gt;""),TODAY()-$AH38,"")</f>
        <v/>
      </c>
      <c r="AL38" s="12" t="inlineStr">
        <is>
          <t>R8.9</t>
        </is>
      </c>
      <c r="AM38" s="14">
        <f>IF($B38="","",IF($AQ38="","対象年月が未入力／","")&amp;IF($B38="","",IF($AP38="","職員マスタに未登録の職員番号／",IF($AA38="","標準報酬月額が未登録／","")&amp;IF(AND($AQ38&lt;&gt;"",OR(AND(INDEX(職員マスタ!$G$6:$G$405,$AP38)&lt;&gt;"",INDEX(職員マスタ!$G$6:$G$405,$AP38)&gt;EOMONTH($AQ38,0)),AND(INDEX(職員マスタ!$H$6:$H$405,$AP38)&lt;&gt;"",INDEX(職員マスタ!$H$6:$H$405,$AP38)&lt;$AQ38))),"対象月が時短期間外／","")&amp;IF(AND(INDEX(職員マスタ!$K$6:$K$405,$AP38)&lt;&gt;"",N($W38)&gt;0,INDEX(職員マスタ!$K$6:$K$405,$AP38)&lt;&gt;$W38),"標準報酬月額が申請書と相違（台帳"&amp;TEXT(INDEX(職員マスタ!$K$6:$K$405,$AP38),"#,##0")&amp;"円／申請書"&amp;TEXT($W38,"#,##0")&amp;"円）／","")&amp;IF(AND(INDEX(職員マスタ!$F$6:$F$405,$AP38)&lt;&gt;"",$AQ38&lt;&gt;"",INDEX(職員マスタ!$F$6:$F$405,$AP38)&lt;$AQ38),"対象月に子が2歳到達済／","")&amp;IF(AND($H38&lt;&gt;"",INDEX(職員マスタ!$B$6:$B$405,$AP38)&lt;&gt;"",SUBSTITUTE(SUBSTITUTE($H38," ","")," ","")&lt;&gt;SUBSTITUTE(SUBSTITUTE(INDEX(職員マスタ!$B$6:$B$405,$AP38)," ","")," ","")),"氏名がマスタと相違／","")&amp;IF(AND($Q38&lt;&gt;"",INDEX(職員マスタ!$E$6:$E$405,$AP38)&lt;&gt;"",$Q38&lt;&gt;INDEX(職員マスタ!$E$6:$E$405,$AP38)),"子の生年月日がマスタと相違／","")&amp;IF(AND($L38&lt;&gt;"",INDEX(職員マスタ!$G$6:$G$405,$AP38)&lt;&gt;"",$L38&lt;&gt;INDEX(職員マスタ!$G$6:$G$405,$AP38)),"時短開始日がマスタと相違／","")&amp;IF(AND($M38&lt;&gt;"",INDEX(職員マスタ!$H$6:$H$405,$AP38)&lt;&gt;"",$M38&lt;&gt;INDEX(職員マスタ!$H$6:$H$405,$AP38)),"時短終了日がマスタと相違／","")))&amp;IF(AND($B38&lt;&gt;"",$E38=""),"報酬額が未入力／","")&amp;IF(N($U38)&gt;0,"申請書に入力エラーが残っています／","")&amp;IF(AND($B38&lt;&gt;"",$AQ38&lt;&gt;""),IF(COUNTIFS($B$6:$B$3005,$B38,$C$6:$C$3005,$C38,$D$6:$D$3005,$D38)&gt;1,"同じ月の請求が重複しています／",""),"")&amp;IF(AND(N($E38)&gt;0,$AB38&lt;&gt;"",$AB38&lt;&gt;"×",$AE38=0,$AD38=""),"計算額が下限以下のため不支給／",""))</f>
        <v/>
      </c>
      <c r="AN38" s="12" t="n"/>
      <c r="AO38" s="14">
        <f>IF($AF38="保留中",COUNTIF($AF$6:$AF38,"保留中"),"")</f>
        <v/>
      </c>
      <c r="AP38" s="14">
        <f>IF($AQ38="","",IF(SUMPRODUCT(MAX((職員マスタ!$A$6:$A$405=$B38)*(((職員マスタ!$G$6:$G$405="")+(職員マスタ!$G$6:$G$405&lt;=EOMONTH($AQ38,0)))&gt;0)*(((職員マスタ!$H$6:$H$405="")+(職員マスタ!$H$6:$H$405&gt;=$AQ38))&gt;0)*(ROW(職員マスタ!$A$6:$A$405)-5)))&gt;0,SUMPRODUCT(MAX((職員マスタ!$A$6:$A$405=$B38)*(((職員マスタ!$G$6:$G$405="")+(職員マスタ!$G$6:$G$405&lt;=EOMONTH($AQ38,0)))&gt;0)*(((職員マスタ!$H$6:$H$405="")+(職員マスタ!$H$6:$H$405&gt;=$AQ38))&gt;0)*(ROW(職員マスタ!$A$6:$A$405)-5))),IFERROR(MATCH($B38,職員マスタ!$A$6:$A$405,0),"")))</f>
        <v/>
      </c>
      <c r="AQ38" s="16">
        <f>IF(OR($B38="",$C38="",$D38=""),"",DATE($C38+2018,$D38,1))</f>
        <v/>
      </c>
    </row>
    <row r="39">
      <c r="A39" s="11" t="n"/>
      <c r="B39" s="12" t="n">
        <v>6802253</v>
      </c>
      <c r="C39" s="12" t="n">
        <v>8</v>
      </c>
      <c r="D39" s="12" t="n">
        <v>6</v>
      </c>
      <c r="E39" s="13" t="n">
        <v>188713</v>
      </c>
      <c r="F39" s="12" t="n"/>
      <c r="G39" s="13" t="n"/>
      <c r="H39" s="12" t="n"/>
      <c r="I39" s="12" t="n"/>
      <c r="J39" s="12" t="n"/>
      <c r="K39" s="12" t="n"/>
      <c r="L39" s="11" t="n"/>
      <c r="M39" s="11" t="n"/>
      <c r="N39" s="11" t="n"/>
      <c r="O39" s="11" t="n"/>
      <c r="P39" s="12" t="n"/>
      <c r="Q39" s="11" t="n"/>
      <c r="R39" s="12" t="n"/>
      <c r="S39" s="11" t="n"/>
      <c r="T39" s="12" t="n"/>
      <c r="U39" s="12" t="n"/>
      <c r="V39" s="12" t="n"/>
      <c r="W39" s="13" t="n"/>
      <c r="X39" s="14">
        <f>IF($AP39="",IF($B39="","",$H39),IF(INDEX(職員マスタ!$B$6:$B$405,$AP39)="",$H39,INDEX(職員マスタ!$B$6:$B$405,$AP39)))</f>
        <v/>
      </c>
      <c r="Y39" s="14">
        <f>IF($AP39="",IF($B39="","",$R39),IF(INDEX(職員マスタ!$C$6:$C$405,$AP39)="",$R39,INDEX(職員マスタ!$C$6:$C$405,$AP39)))</f>
        <v/>
      </c>
      <c r="Z39" s="14">
        <f>IF($AQ39="","","R"&amp;$C39&amp;"."&amp;$D39)</f>
        <v/>
      </c>
      <c r="AA39" s="15">
        <f>IF(IF($AP39="",FALSE,INDEX(職員マスタ!$K$6:$K$405,$AP39)&lt;&gt;""),INDEX(職員マスタ!$K$6:$K$405,$AP39),IF(N($W39)&gt;0,$W39,""))</f>
        <v/>
      </c>
      <c r="AB39" s="14">
        <f>IF(OR($E39="",$AA39=""),"",IF($E39&gt;=$AA39,"×",IF($E39&gt;=$AA39*設定!$C$5,"△","○")))</f>
        <v/>
      </c>
      <c r="AC39" s="15">
        <f>IF($AB39="","",IF($AB39="×",0,IF($AB39="○",ROUNDDOWN($E39*設定!$C$4,0),ROUNDDOWN($E39*ROUND((9*$AA39-9*$E39)/(10*$E39),4),0))))</f>
        <v/>
      </c>
      <c r="AD39" s="13" t="n"/>
      <c r="AE39" s="15">
        <f>IF($B39="","",IF($AD39&lt;&gt;"",$AD39,IF($AC39="","",IF($AC39&lt;=設定!$C$3,0,$AC39))))</f>
        <v/>
      </c>
      <c r="AF39" s="14">
        <f>IF($B39="","",IF(AND($AG39&lt;&gt;"",$AI39="",$AL39=""),"保留中",IF($AL39&lt;&gt;"",IF(N($AE39)&gt;0,"支給済","不支給"),IF($AE39="","要確認",IF($AE39=0,"不支給","未処理")))))</f>
        <v/>
      </c>
      <c r="AG39" s="12" t="n"/>
      <c r="AH39" s="11" t="n"/>
      <c r="AI39" s="11" t="n"/>
      <c r="AJ39" s="11" t="n"/>
      <c r="AK39" s="14">
        <f>IF(AND($AF39="保留中",$AH39&lt;&gt;""),TODAY()-$AH39,"")</f>
        <v/>
      </c>
      <c r="AL39" s="12" t="inlineStr">
        <is>
          <t>R8.9</t>
        </is>
      </c>
      <c r="AM39" s="14">
        <f>IF($B39="","",IF($AQ39="","対象年月が未入力／","")&amp;IF($B39="","",IF($AP39="","職員マスタに未登録の職員番号／",IF($AA39="","標準報酬月額が未登録／","")&amp;IF(AND($AQ39&lt;&gt;"",OR(AND(INDEX(職員マスタ!$G$6:$G$405,$AP39)&lt;&gt;"",INDEX(職員マスタ!$G$6:$G$405,$AP39)&gt;EOMONTH($AQ39,0)),AND(INDEX(職員マスタ!$H$6:$H$405,$AP39)&lt;&gt;"",INDEX(職員マスタ!$H$6:$H$405,$AP39)&lt;$AQ39))),"対象月が時短期間外／","")&amp;IF(AND(INDEX(職員マスタ!$K$6:$K$405,$AP39)&lt;&gt;"",N($W39)&gt;0,INDEX(職員マスタ!$K$6:$K$405,$AP39)&lt;&gt;$W39),"標準報酬月額が申請書と相違（台帳"&amp;TEXT(INDEX(職員マスタ!$K$6:$K$405,$AP39),"#,##0")&amp;"円／申請書"&amp;TEXT($W39,"#,##0")&amp;"円）／","")&amp;IF(AND(INDEX(職員マスタ!$F$6:$F$405,$AP39)&lt;&gt;"",$AQ39&lt;&gt;"",INDEX(職員マスタ!$F$6:$F$405,$AP39)&lt;$AQ39),"対象月に子が2歳到達済／","")&amp;IF(AND($H39&lt;&gt;"",INDEX(職員マスタ!$B$6:$B$405,$AP39)&lt;&gt;"",SUBSTITUTE(SUBSTITUTE($H39," ","")," ","")&lt;&gt;SUBSTITUTE(SUBSTITUTE(INDEX(職員マスタ!$B$6:$B$405,$AP39)," ","")," ","")),"氏名がマスタと相違／","")&amp;IF(AND($Q39&lt;&gt;"",INDEX(職員マスタ!$E$6:$E$405,$AP39)&lt;&gt;"",$Q39&lt;&gt;INDEX(職員マスタ!$E$6:$E$405,$AP39)),"子の生年月日がマスタと相違／","")&amp;IF(AND($L39&lt;&gt;"",INDEX(職員マスタ!$G$6:$G$405,$AP39)&lt;&gt;"",$L39&lt;&gt;INDEX(職員マスタ!$G$6:$G$405,$AP39)),"時短開始日がマスタと相違／","")&amp;IF(AND($M39&lt;&gt;"",INDEX(職員マスタ!$H$6:$H$405,$AP39)&lt;&gt;"",$M39&lt;&gt;INDEX(職員マスタ!$H$6:$H$405,$AP39)),"時短終了日がマスタと相違／","")))&amp;IF(AND($B39&lt;&gt;"",$E39=""),"報酬額が未入力／","")&amp;IF(N($U39)&gt;0,"申請書に入力エラーが残っています／","")&amp;IF(AND($B39&lt;&gt;"",$AQ39&lt;&gt;""),IF(COUNTIFS($B$6:$B$3005,$B39,$C$6:$C$3005,$C39,$D$6:$D$3005,$D39)&gt;1,"同じ月の請求が重複しています／",""),"")&amp;IF(AND(N($E39)&gt;0,$AB39&lt;&gt;"",$AB39&lt;&gt;"×",$AE39=0,$AD39=""),"計算額が下限以下のため不支給／",""))</f>
        <v/>
      </c>
      <c r="AN39" s="12" t="n"/>
      <c r="AO39" s="14">
        <f>IF($AF39="保留中",COUNTIF($AF$6:$AF39,"保留中"),"")</f>
        <v/>
      </c>
      <c r="AP39" s="14">
        <f>IF($AQ39="","",IF(SUMPRODUCT(MAX((職員マスタ!$A$6:$A$405=$B39)*(((職員マスタ!$G$6:$G$405="")+(職員マスタ!$G$6:$G$405&lt;=EOMONTH($AQ39,0)))&gt;0)*(((職員マスタ!$H$6:$H$405="")+(職員マスタ!$H$6:$H$405&gt;=$AQ39))&gt;0)*(ROW(職員マスタ!$A$6:$A$405)-5)))&gt;0,SUMPRODUCT(MAX((職員マスタ!$A$6:$A$405=$B39)*(((職員マスタ!$G$6:$G$405="")+(職員マスタ!$G$6:$G$405&lt;=EOMONTH($AQ39,0)))&gt;0)*(((職員マスタ!$H$6:$H$405="")+(職員マスタ!$H$6:$H$405&gt;=$AQ39))&gt;0)*(ROW(職員マスタ!$A$6:$A$405)-5))),IFERROR(MATCH($B39,職員マスタ!$A$6:$A$405,0),"")))</f>
        <v/>
      </c>
      <c r="AQ39" s="16">
        <f>IF(OR($B39="",$C39="",$D39=""),"",DATE($C39+2018,$D39,1))</f>
        <v/>
      </c>
    </row>
    <row r="40">
      <c r="A40" s="11" t="n"/>
      <c r="B40" s="12" t="n">
        <v>6802253</v>
      </c>
      <c r="C40" s="12" t="n">
        <v>8</v>
      </c>
      <c r="D40" s="12" t="n">
        <v>7</v>
      </c>
      <c r="E40" s="13" t="n">
        <v>192551</v>
      </c>
      <c r="F40" s="12" t="n"/>
      <c r="G40" s="13" t="n"/>
      <c r="H40" s="12" t="n"/>
      <c r="I40" s="12" t="n"/>
      <c r="J40" s="12" t="n"/>
      <c r="K40" s="12" t="n"/>
      <c r="L40" s="11" t="n"/>
      <c r="M40" s="11" t="n"/>
      <c r="N40" s="11" t="n"/>
      <c r="O40" s="11" t="n"/>
      <c r="P40" s="12" t="n"/>
      <c r="Q40" s="11" t="n"/>
      <c r="R40" s="12" t="n"/>
      <c r="S40" s="11" t="n"/>
      <c r="T40" s="12" t="n"/>
      <c r="U40" s="12" t="n"/>
      <c r="V40" s="12" t="n"/>
      <c r="W40" s="13" t="n"/>
      <c r="X40" s="14">
        <f>IF($AP40="",IF($B40="","",$H40),IF(INDEX(職員マスタ!$B$6:$B$405,$AP40)="",$H40,INDEX(職員マスタ!$B$6:$B$405,$AP40)))</f>
        <v/>
      </c>
      <c r="Y40" s="14">
        <f>IF($AP40="",IF($B40="","",$R40),IF(INDEX(職員マスタ!$C$6:$C$405,$AP40)="",$R40,INDEX(職員マスタ!$C$6:$C$405,$AP40)))</f>
        <v/>
      </c>
      <c r="Z40" s="14">
        <f>IF($AQ40="","","R"&amp;$C40&amp;"."&amp;$D40)</f>
        <v/>
      </c>
      <c r="AA40" s="15">
        <f>IF(IF($AP40="",FALSE,INDEX(職員マスタ!$K$6:$K$405,$AP40)&lt;&gt;""),INDEX(職員マスタ!$K$6:$K$405,$AP40),IF(N($W40)&gt;0,$W40,""))</f>
        <v/>
      </c>
      <c r="AB40" s="14">
        <f>IF(OR($E40="",$AA40=""),"",IF($E40&gt;=$AA40,"×",IF($E40&gt;=$AA40*設定!$C$5,"△","○")))</f>
        <v/>
      </c>
      <c r="AC40" s="15">
        <f>IF($AB40="","",IF($AB40="×",0,IF($AB40="○",ROUNDDOWN($E40*設定!$C$4,0),ROUNDDOWN($E40*ROUND((9*$AA40-9*$E40)/(10*$E40),4),0))))</f>
        <v/>
      </c>
      <c r="AD40" s="13" t="n"/>
      <c r="AE40" s="15">
        <f>IF($B40="","",IF($AD40&lt;&gt;"",$AD40,IF($AC40="","",IF($AC40&lt;=設定!$C$3,0,$AC40))))</f>
        <v/>
      </c>
      <c r="AF40" s="14">
        <f>IF($B40="","",IF(AND($AG40&lt;&gt;"",$AI40="",$AL40=""),"保留中",IF($AL40&lt;&gt;"",IF(N($AE40)&gt;0,"支給済","不支給"),IF($AE40="","要確認",IF($AE40=0,"不支給","未処理")))))</f>
        <v/>
      </c>
      <c r="AG40" s="12" t="n"/>
      <c r="AH40" s="11" t="n"/>
      <c r="AI40" s="11" t="n"/>
      <c r="AJ40" s="11" t="n"/>
      <c r="AK40" s="14">
        <f>IF(AND($AF40="保留中",$AH40&lt;&gt;""),TODAY()-$AH40,"")</f>
        <v/>
      </c>
      <c r="AL40" s="12" t="inlineStr">
        <is>
          <t>R8.10</t>
        </is>
      </c>
      <c r="AM40" s="14">
        <f>IF($B40="","",IF($AQ40="","対象年月が未入力／","")&amp;IF($B40="","",IF($AP40="","職員マスタに未登録の職員番号／",IF($AA40="","標準報酬月額が未登録／","")&amp;IF(AND($AQ40&lt;&gt;"",OR(AND(INDEX(職員マスタ!$G$6:$G$405,$AP40)&lt;&gt;"",INDEX(職員マスタ!$G$6:$G$405,$AP40)&gt;EOMONTH($AQ40,0)),AND(INDEX(職員マスタ!$H$6:$H$405,$AP40)&lt;&gt;"",INDEX(職員マスタ!$H$6:$H$405,$AP40)&lt;$AQ40))),"対象月が時短期間外／","")&amp;IF(AND(INDEX(職員マスタ!$K$6:$K$405,$AP40)&lt;&gt;"",N($W40)&gt;0,INDEX(職員マスタ!$K$6:$K$405,$AP40)&lt;&gt;$W40),"標準報酬月額が申請書と相違（台帳"&amp;TEXT(INDEX(職員マスタ!$K$6:$K$405,$AP40),"#,##0")&amp;"円／申請書"&amp;TEXT($W40,"#,##0")&amp;"円）／","")&amp;IF(AND(INDEX(職員マスタ!$F$6:$F$405,$AP40)&lt;&gt;"",$AQ40&lt;&gt;"",INDEX(職員マスタ!$F$6:$F$405,$AP40)&lt;$AQ40),"対象月に子が2歳到達済／","")&amp;IF(AND($H40&lt;&gt;"",INDEX(職員マスタ!$B$6:$B$405,$AP40)&lt;&gt;"",SUBSTITUTE(SUBSTITUTE($H40," ","")," ","")&lt;&gt;SUBSTITUTE(SUBSTITUTE(INDEX(職員マスタ!$B$6:$B$405,$AP40)," ","")," ","")),"氏名がマスタと相違／","")&amp;IF(AND($Q40&lt;&gt;"",INDEX(職員マスタ!$E$6:$E$405,$AP40)&lt;&gt;"",$Q40&lt;&gt;INDEX(職員マスタ!$E$6:$E$405,$AP40)),"子の生年月日がマスタと相違／","")&amp;IF(AND($L40&lt;&gt;"",INDEX(職員マスタ!$G$6:$G$405,$AP40)&lt;&gt;"",$L40&lt;&gt;INDEX(職員マスタ!$G$6:$G$405,$AP40)),"時短開始日がマスタと相違／","")&amp;IF(AND($M40&lt;&gt;"",INDEX(職員マスタ!$H$6:$H$405,$AP40)&lt;&gt;"",$M40&lt;&gt;INDEX(職員マスタ!$H$6:$H$405,$AP40)),"時短終了日がマスタと相違／","")))&amp;IF(AND($B40&lt;&gt;"",$E40=""),"報酬額が未入力／","")&amp;IF(N($U40)&gt;0,"申請書に入力エラーが残っています／","")&amp;IF(AND($B40&lt;&gt;"",$AQ40&lt;&gt;""),IF(COUNTIFS($B$6:$B$3005,$B40,$C$6:$C$3005,$C40,$D$6:$D$3005,$D40)&gt;1,"同じ月の請求が重複しています／",""),"")&amp;IF(AND(N($E40)&gt;0,$AB40&lt;&gt;"",$AB40&lt;&gt;"×",$AE40=0,$AD40=""),"計算額が下限以下のため不支給／",""))</f>
        <v/>
      </c>
      <c r="AN40" s="12" t="n"/>
      <c r="AO40" s="14">
        <f>IF($AF40="保留中",COUNTIF($AF$6:$AF40,"保留中"),"")</f>
        <v/>
      </c>
      <c r="AP40" s="14">
        <f>IF($AQ40="","",IF(SUMPRODUCT(MAX((職員マスタ!$A$6:$A$405=$B40)*(((職員マスタ!$G$6:$G$405="")+(職員マスタ!$G$6:$G$405&lt;=EOMONTH($AQ40,0)))&gt;0)*(((職員マスタ!$H$6:$H$405="")+(職員マスタ!$H$6:$H$405&gt;=$AQ40))&gt;0)*(ROW(職員マスタ!$A$6:$A$405)-5)))&gt;0,SUMPRODUCT(MAX((職員マスタ!$A$6:$A$405=$B40)*(((職員マスタ!$G$6:$G$405="")+(職員マスタ!$G$6:$G$405&lt;=EOMONTH($AQ40,0)))&gt;0)*(((職員マスタ!$H$6:$H$405="")+(職員マスタ!$H$6:$H$405&gt;=$AQ40))&gt;0)*(ROW(職員マスタ!$A$6:$A$405)-5))),IFERROR(MATCH($B40,職員マスタ!$A$6:$A$405,0),"")))</f>
        <v/>
      </c>
      <c r="AQ40" s="16">
        <f>IF(OR($B40="",$C40="",$D40=""),"",DATE($C40+2018,$D40,1))</f>
        <v/>
      </c>
    </row>
    <row r="41">
      <c r="A41" s="11" t="n"/>
      <c r="B41" s="12" t="n">
        <v>7202969</v>
      </c>
      <c r="C41" s="12" t="n">
        <v>8</v>
      </c>
      <c r="D41" s="12" t="n">
        <v>4</v>
      </c>
      <c r="E41" s="13" t="n">
        <v>271929</v>
      </c>
      <c r="F41" s="12" t="n"/>
      <c r="G41" s="13" t="n"/>
      <c r="H41" s="12" t="n"/>
      <c r="I41" s="12" t="n"/>
      <c r="J41" s="12" t="n"/>
      <c r="K41" s="12" t="n"/>
      <c r="L41" s="11" t="n"/>
      <c r="M41" s="11" t="n"/>
      <c r="N41" s="11" t="n"/>
      <c r="O41" s="11" t="n"/>
      <c r="P41" s="12" t="n"/>
      <c r="Q41" s="11" t="n"/>
      <c r="R41" s="12" t="n"/>
      <c r="S41" s="11" t="n"/>
      <c r="T41" s="12" t="n"/>
      <c r="U41" s="12" t="n"/>
      <c r="V41" s="12" t="n"/>
      <c r="W41" s="13" t="n"/>
      <c r="X41" s="14">
        <f>IF($AP41="",IF($B41="","",$H41),IF(INDEX(職員マスタ!$B$6:$B$405,$AP41)="",$H41,INDEX(職員マスタ!$B$6:$B$405,$AP41)))</f>
        <v/>
      </c>
      <c r="Y41" s="14">
        <f>IF($AP41="",IF($B41="","",$R41),IF(INDEX(職員マスタ!$C$6:$C$405,$AP41)="",$R41,INDEX(職員マスタ!$C$6:$C$405,$AP41)))</f>
        <v/>
      </c>
      <c r="Z41" s="14">
        <f>IF($AQ41="","","R"&amp;$C41&amp;"."&amp;$D41)</f>
        <v/>
      </c>
      <c r="AA41" s="15">
        <f>IF(IF($AP41="",FALSE,INDEX(職員マスタ!$K$6:$K$405,$AP41)&lt;&gt;""),INDEX(職員マスタ!$K$6:$K$405,$AP41),IF(N($W41)&gt;0,$W41,""))</f>
        <v/>
      </c>
      <c r="AB41" s="14">
        <f>IF(OR($E41="",$AA41=""),"",IF($E41&gt;=$AA41,"×",IF($E41&gt;=$AA41*設定!$C$5,"△","○")))</f>
        <v/>
      </c>
      <c r="AC41" s="15">
        <f>IF($AB41="","",IF($AB41="×",0,IF($AB41="○",ROUNDDOWN($E41*設定!$C$4,0),ROUNDDOWN($E41*ROUND((9*$AA41-9*$E41)/(10*$E41),4),0))))</f>
        <v/>
      </c>
      <c r="AD41" s="13" t="n"/>
      <c r="AE41" s="15">
        <f>IF($B41="","",IF($AD41&lt;&gt;"",$AD41,IF($AC41="","",IF($AC41&lt;=設定!$C$3,0,$AC41))))</f>
        <v/>
      </c>
      <c r="AF41" s="14">
        <f>IF($B41="","",IF(AND($AG41&lt;&gt;"",$AI41="",$AL41=""),"保留中",IF($AL41&lt;&gt;"",IF(N($AE41)&gt;0,"支給済","不支給"),IF($AE41="","要確認",IF($AE41=0,"不支給","未処理")))))</f>
        <v/>
      </c>
      <c r="AG41" s="12" t="n"/>
      <c r="AH41" s="11" t="n"/>
      <c r="AI41" s="11" t="n"/>
      <c r="AJ41" s="11" t="n"/>
      <c r="AK41" s="14">
        <f>IF(AND($AF41="保留中",$AH41&lt;&gt;""),TODAY()-$AH41,"")</f>
        <v/>
      </c>
      <c r="AL41" s="12" t="inlineStr">
        <is>
          <t>R8.6</t>
        </is>
      </c>
      <c r="AM41" s="14">
        <f>IF($B41="","",IF($AQ41="","対象年月が未入力／","")&amp;IF($B41="","",IF($AP41="","職員マスタに未登録の職員番号／",IF($AA41="","標準報酬月額が未登録／","")&amp;IF(AND($AQ41&lt;&gt;"",OR(AND(INDEX(職員マスタ!$G$6:$G$405,$AP41)&lt;&gt;"",INDEX(職員マスタ!$G$6:$G$405,$AP41)&gt;EOMONTH($AQ41,0)),AND(INDEX(職員マスタ!$H$6:$H$405,$AP41)&lt;&gt;"",INDEX(職員マスタ!$H$6:$H$405,$AP41)&lt;$AQ41))),"対象月が時短期間外／","")&amp;IF(AND(INDEX(職員マスタ!$K$6:$K$405,$AP41)&lt;&gt;"",N($W41)&gt;0,INDEX(職員マスタ!$K$6:$K$405,$AP41)&lt;&gt;$W41),"標準報酬月額が申請書と相違（台帳"&amp;TEXT(INDEX(職員マスタ!$K$6:$K$405,$AP41),"#,##0")&amp;"円／申請書"&amp;TEXT($W41,"#,##0")&amp;"円）／","")&amp;IF(AND(INDEX(職員マスタ!$F$6:$F$405,$AP41)&lt;&gt;"",$AQ41&lt;&gt;"",INDEX(職員マスタ!$F$6:$F$405,$AP41)&lt;$AQ41),"対象月に子が2歳到達済／","")&amp;IF(AND($H41&lt;&gt;"",INDEX(職員マスタ!$B$6:$B$405,$AP41)&lt;&gt;"",SUBSTITUTE(SUBSTITUTE($H41," ","")," ","")&lt;&gt;SUBSTITUTE(SUBSTITUTE(INDEX(職員マスタ!$B$6:$B$405,$AP41)," ","")," ","")),"氏名がマスタと相違／","")&amp;IF(AND($Q41&lt;&gt;"",INDEX(職員マスタ!$E$6:$E$405,$AP41)&lt;&gt;"",$Q41&lt;&gt;INDEX(職員マスタ!$E$6:$E$405,$AP41)),"子の生年月日がマスタと相違／","")&amp;IF(AND($L41&lt;&gt;"",INDEX(職員マスタ!$G$6:$G$405,$AP41)&lt;&gt;"",$L41&lt;&gt;INDEX(職員マスタ!$G$6:$G$405,$AP41)),"時短開始日がマスタと相違／","")&amp;IF(AND($M41&lt;&gt;"",INDEX(職員マスタ!$H$6:$H$405,$AP41)&lt;&gt;"",$M41&lt;&gt;INDEX(職員マスタ!$H$6:$H$405,$AP41)),"時短終了日がマスタと相違／","")))&amp;IF(AND($B41&lt;&gt;"",$E41=""),"報酬額が未入力／","")&amp;IF(N($U41)&gt;0,"申請書に入力エラーが残っています／","")&amp;IF(AND($B41&lt;&gt;"",$AQ41&lt;&gt;""),IF(COUNTIFS($B$6:$B$3005,$B41,$C$6:$C$3005,$C41,$D$6:$D$3005,$D41)&gt;1,"同じ月の請求が重複しています／",""),"")&amp;IF(AND(N($E41)&gt;0,$AB41&lt;&gt;"",$AB41&lt;&gt;"×",$AE41=0,$AD41=""),"計算額が下限以下のため不支給／",""))</f>
        <v/>
      </c>
      <c r="AN41" s="12" t="n"/>
      <c r="AO41" s="14">
        <f>IF($AF41="保留中",COUNTIF($AF$6:$AF41,"保留中"),"")</f>
        <v/>
      </c>
      <c r="AP41" s="14">
        <f>IF($AQ41="","",IF(SUMPRODUCT(MAX((職員マスタ!$A$6:$A$405=$B41)*(((職員マスタ!$G$6:$G$405="")+(職員マスタ!$G$6:$G$405&lt;=EOMONTH($AQ41,0)))&gt;0)*(((職員マスタ!$H$6:$H$405="")+(職員マスタ!$H$6:$H$405&gt;=$AQ41))&gt;0)*(ROW(職員マスタ!$A$6:$A$405)-5)))&gt;0,SUMPRODUCT(MAX((職員マスタ!$A$6:$A$405=$B41)*(((職員マスタ!$G$6:$G$405="")+(職員マスタ!$G$6:$G$405&lt;=EOMONTH($AQ41,0)))&gt;0)*(((職員マスタ!$H$6:$H$405="")+(職員マスタ!$H$6:$H$405&gt;=$AQ41))&gt;0)*(ROW(職員マスタ!$A$6:$A$405)-5))),IFERROR(MATCH($B41,職員マスタ!$A$6:$A$405,0),"")))</f>
        <v/>
      </c>
      <c r="AQ41" s="16">
        <f>IF(OR($B41="",$C41="",$D41=""),"",DATE($C41+2018,$D41,1))</f>
        <v/>
      </c>
    </row>
    <row r="42">
      <c r="A42" s="11" t="n"/>
      <c r="B42" s="12" t="n">
        <v>7202969</v>
      </c>
      <c r="C42" s="12" t="n">
        <v>8</v>
      </c>
      <c r="D42" s="12" t="n">
        <v>5</v>
      </c>
      <c r="E42" s="13" t="n">
        <v>284187</v>
      </c>
      <c r="F42" s="12" t="n"/>
      <c r="G42" s="13" t="n"/>
      <c r="H42" s="12" t="n"/>
      <c r="I42" s="12" t="n"/>
      <c r="J42" s="12" t="n"/>
      <c r="K42" s="12" t="n"/>
      <c r="L42" s="11" t="n"/>
      <c r="M42" s="11" t="n"/>
      <c r="N42" s="11" t="n"/>
      <c r="O42" s="11" t="n"/>
      <c r="P42" s="12" t="n"/>
      <c r="Q42" s="11" t="n"/>
      <c r="R42" s="12" t="n"/>
      <c r="S42" s="11" t="n"/>
      <c r="T42" s="12" t="n"/>
      <c r="U42" s="12" t="n"/>
      <c r="V42" s="12" t="n"/>
      <c r="W42" s="13" t="n"/>
      <c r="X42" s="14">
        <f>IF($AP42="",IF($B42="","",$H42),IF(INDEX(職員マスタ!$B$6:$B$405,$AP42)="",$H42,INDEX(職員マスタ!$B$6:$B$405,$AP42)))</f>
        <v/>
      </c>
      <c r="Y42" s="14">
        <f>IF($AP42="",IF($B42="","",$R42),IF(INDEX(職員マスタ!$C$6:$C$405,$AP42)="",$R42,INDEX(職員マスタ!$C$6:$C$405,$AP42)))</f>
        <v/>
      </c>
      <c r="Z42" s="14">
        <f>IF($AQ42="","","R"&amp;$C42&amp;"."&amp;$D42)</f>
        <v/>
      </c>
      <c r="AA42" s="15">
        <f>IF(IF($AP42="",FALSE,INDEX(職員マスタ!$K$6:$K$405,$AP42)&lt;&gt;""),INDEX(職員マスタ!$K$6:$K$405,$AP42),IF(N($W42)&gt;0,$W42,""))</f>
        <v/>
      </c>
      <c r="AB42" s="14">
        <f>IF(OR($E42="",$AA42=""),"",IF($E42&gt;=$AA42,"×",IF($E42&gt;=$AA42*設定!$C$5,"△","○")))</f>
        <v/>
      </c>
      <c r="AC42" s="15">
        <f>IF($AB42="","",IF($AB42="×",0,IF($AB42="○",ROUNDDOWN($E42*設定!$C$4,0),ROUNDDOWN($E42*ROUND((9*$AA42-9*$E42)/(10*$E42),4),0))))</f>
        <v/>
      </c>
      <c r="AD42" s="13" t="n"/>
      <c r="AE42" s="15">
        <f>IF($B42="","",IF($AD42&lt;&gt;"",$AD42,IF($AC42="","",IF($AC42&lt;=設定!$C$3,0,$AC42))))</f>
        <v/>
      </c>
      <c r="AF42" s="14">
        <f>IF($B42="","",IF(AND($AG42&lt;&gt;"",$AI42="",$AL42=""),"保留中",IF($AL42&lt;&gt;"",IF(N($AE42)&gt;0,"支給済","不支給"),IF($AE42="","要確認",IF($AE42=0,"不支給","未処理")))))</f>
        <v/>
      </c>
      <c r="AG42" s="12" t="n"/>
      <c r="AH42" s="11" t="n"/>
      <c r="AI42" s="11" t="n"/>
      <c r="AJ42" s="11" t="n"/>
      <c r="AK42" s="14">
        <f>IF(AND($AF42="保留中",$AH42&lt;&gt;""),TODAY()-$AH42,"")</f>
        <v/>
      </c>
      <c r="AL42" s="12" t="inlineStr">
        <is>
          <t>R8.7</t>
        </is>
      </c>
      <c r="AM42" s="14">
        <f>IF($B42="","",IF($AQ42="","対象年月が未入力／","")&amp;IF($B42="","",IF($AP42="","職員マスタに未登録の職員番号／",IF($AA42="","標準報酬月額が未登録／","")&amp;IF(AND($AQ42&lt;&gt;"",OR(AND(INDEX(職員マスタ!$G$6:$G$405,$AP42)&lt;&gt;"",INDEX(職員マスタ!$G$6:$G$405,$AP42)&gt;EOMONTH($AQ42,0)),AND(INDEX(職員マスタ!$H$6:$H$405,$AP42)&lt;&gt;"",INDEX(職員マスタ!$H$6:$H$405,$AP42)&lt;$AQ42))),"対象月が時短期間外／","")&amp;IF(AND(INDEX(職員マスタ!$K$6:$K$405,$AP42)&lt;&gt;"",N($W42)&gt;0,INDEX(職員マスタ!$K$6:$K$405,$AP42)&lt;&gt;$W42),"標準報酬月額が申請書と相違（台帳"&amp;TEXT(INDEX(職員マスタ!$K$6:$K$405,$AP42),"#,##0")&amp;"円／申請書"&amp;TEXT($W42,"#,##0")&amp;"円）／","")&amp;IF(AND(INDEX(職員マスタ!$F$6:$F$405,$AP42)&lt;&gt;"",$AQ42&lt;&gt;"",INDEX(職員マスタ!$F$6:$F$405,$AP42)&lt;$AQ42),"対象月に子が2歳到達済／","")&amp;IF(AND($H42&lt;&gt;"",INDEX(職員マスタ!$B$6:$B$405,$AP42)&lt;&gt;"",SUBSTITUTE(SUBSTITUTE($H42," ","")," ","")&lt;&gt;SUBSTITUTE(SUBSTITUTE(INDEX(職員マスタ!$B$6:$B$405,$AP42)," ","")," ","")),"氏名がマスタと相違／","")&amp;IF(AND($Q42&lt;&gt;"",INDEX(職員マスタ!$E$6:$E$405,$AP42)&lt;&gt;"",$Q42&lt;&gt;INDEX(職員マスタ!$E$6:$E$405,$AP42)),"子の生年月日がマスタと相違／","")&amp;IF(AND($L42&lt;&gt;"",INDEX(職員マスタ!$G$6:$G$405,$AP42)&lt;&gt;"",$L42&lt;&gt;INDEX(職員マスタ!$G$6:$G$405,$AP42)),"時短開始日がマスタと相違／","")&amp;IF(AND($M42&lt;&gt;"",INDEX(職員マスタ!$H$6:$H$405,$AP42)&lt;&gt;"",$M42&lt;&gt;INDEX(職員マスタ!$H$6:$H$405,$AP42)),"時短終了日がマスタと相違／","")))&amp;IF(AND($B42&lt;&gt;"",$E42=""),"報酬額が未入力／","")&amp;IF(N($U42)&gt;0,"申請書に入力エラーが残っています／","")&amp;IF(AND($B42&lt;&gt;"",$AQ42&lt;&gt;""),IF(COUNTIFS($B$6:$B$3005,$B42,$C$6:$C$3005,$C42,$D$6:$D$3005,$D42)&gt;1,"同じ月の請求が重複しています／",""),"")&amp;IF(AND(N($E42)&gt;0,$AB42&lt;&gt;"",$AB42&lt;&gt;"×",$AE42=0,$AD42=""),"計算額が下限以下のため不支給／",""))</f>
        <v/>
      </c>
      <c r="AN42" s="12" t="n"/>
      <c r="AO42" s="14">
        <f>IF($AF42="保留中",COUNTIF($AF$6:$AF42,"保留中"),"")</f>
        <v/>
      </c>
      <c r="AP42" s="14">
        <f>IF($AQ42="","",IF(SUMPRODUCT(MAX((職員マスタ!$A$6:$A$405=$B42)*(((職員マスタ!$G$6:$G$405="")+(職員マスタ!$G$6:$G$405&lt;=EOMONTH($AQ42,0)))&gt;0)*(((職員マスタ!$H$6:$H$405="")+(職員マスタ!$H$6:$H$405&gt;=$AQ42))&gt;0)*(ROW(職員マスタ!$A$6:$A$405)-5)))&gt;0,SUMPRODUCT(MAX((職員マスタ!$A$6:$A$405=$B42)*(((職員マスタ!$G$6:$G$405="")+(職員マスタ!$G$6:$G$405&lt;=EOMONTH($AQ42,0)))&gt;0)*(((職員マスタ!$H$6:$H$405="")+(職員マスタ!$H$6:$H$405&gt;=$AQ42))&gt;0)*(ROW(職員マスタ!$A$6:$A$405)-5))),IFERROR(MATCH($B42,職員マスタ!$A$6:$A$405,0),"")))</f>
        <v/>
      </c>
      <c r="AQ42" s="16">
        <f>IF(OR($B42="",$C42="",$D42=""),"",DATE($C42+2018,$D42,1))</f>
        <v/>
      </c>
    </row>
    <row r="43">
      <c r="A43" s="11" t="n"/>
      <c r="B43" s="12" t="n">
        <v>7202969</v>
      </c>
      <c r="C43" s="12" t="n">
        <v>8</v>
      </c>
      <c r="D43" s="12" t="n">
        <v>6</v>
      </c>
      <c r="E43" s="13" t="n">
        <v>284187</v>
      </c>
      <c r="F43" s="12" t="n"/>
      <c r="G43" s="13" t="n"/>
      <c r="H43" s="12" t="n"/>
      <c r="I43" s="12" t="n"/>
      <c r="J43" s="12" t="n"/>
      <c r="K43" s="12" t="n"/>
      <c r="L43" s="11" t="n"/>
      <c r="M43" s="11" t="n"/>
      <c r="N43" s="11" t="n"/>
      <c r="O43" s="11" t="n"/>
      <c r="P43" s="12" t="n"/>
      <c r="Q43" s="11" t="n"/>
      <c r="R43" s="12" t="n"/>
      <c r="S43" s="11" t="n"/>
      <c r="T43" s="12" t="n"/>
      <c r="U43" s="12" t="n"/>
      <c r="V43" s="12" t="n"/>
      <c r="W43" s="13" t="n"/>
      <c r="X43" s="14">
        <f>IF($AP43="",IF($B43="","",$H43),IF(INDEX(職員マスタ!$B$6:$B$405,$AP43)="",$H43,INDEX(職員マスタ!$B$6:$B$405,$AP43)))</f>
        <v/>
      </c>
      <c r="Y43" s="14">
        <f>IF($AP43="",IF($B43="","",$R43),IF(INDEX(職員マスタ!$C$6:$C$405,$AP43)="",$R43,INDEX(職員マスタ!$C$6:$C$405,$AP43)))</f>
        <v/>
      </c>
      <c r="Z43" s="14">
        <f>IF($AQ43="","","R"&amp;$C43&amp;"."&amp;$D43)</f>
        <v/>
      </c>
      <c r="AA43" s="15">
        <f>IF(IF($AP43="",FALSE,INDEX(職員マスタ!$K$6:$K$405,$AP43)&lt;&gt;""),INDEX(職員マスタ!$K$6:$K$405,$AP43),IF(N($W43)&gt;0,$W43,""))</f>
        <v/>
      </c>
      <c r="AB43" s="14">
        <f>IF(OR($E43="",$AA43=""),"",IF($E43&gt;=$AA43,"×",IF($E43&gt;=$AA43*設定!$C$5,"△","○")))</f>
        <v/>
      </c>
      <c r="AC43" s="15">
        <f>IF($AB43="","",IF($AB43="×",0,IF($AB43="○",ROUNDDOWN($E43*設定!$C$4,0),ROUNDDOWN($E43*ROUND((9*$AA43-9*$E43)/(10*$E43),4),0))))</f>
        <v/>
      </c>
      <c r="AD43" s="13" t="n"/>
      <c r="AE43" s="15">
        <f>IF($B43="","",IF($AD43&lt;&gt;"",$AD43,IF($AC43="","",IF($AC43&lt;=設定!$C$3,0,$AC43))))</f>
        <v/>
      </c>
      <c r="AF43" s="14">
        <f>IF($B43="","",IF(AND($AG43&lt;&gt;"",$AI43="",$AL43=""),"保留中",IF($AL43&lt;&gt;"",IF(N($AE43)&gt;0,"支給済","不支給"),IF($AE43="","要確認",IF($AE43=0,"不支給","未処理")))))</f>
        <v/>
      </c>
      <c r="AG43" s="12" t="n"/>
      <c r="AH43" s="11" t="n"/>
      <c r="AI43" s="11" t="n"/>
      <c r="AJ43" s="11" t="n"/>
      <c r="AK43" s="14">
        <f>IF(AND($AF43="保留中",$AH43&lt;&gt;""),TODAY()-$AH43,"")</f>
        <v/>
      </c>
      <c r="AL43" s="12" t="inlineStr">
        <is>
          <t>R8.8</t>
        </is>
      </c>
      <c r="AM43" s="14">
        <f>IF($B43="","",IF($AQ43="","対象年月が未入力／","")&amp;IF($B43="","",IF($AP43="","職員マスタに未登録の職員番号／",IF($AA43="","標準報酬月額が未登録／","")&amp;IF(AND($AQ43&lt;&gt;"",OR(AND(INDEX(職員マスタ!$G$6:$G$405,$AP43)&lt;&gt;"",INDEX(職員マスタ!$G$6:$G$405,$AP43)&gt;EOMONTH($AQ43,0)),AND(INDEX(職員マスタ!$H$6:$H$405,$AP43)&lt;&gt;"",INDEX(職員マスタ!$H$6:$H$405,$AP43)&lt;$AQ43))),"対象月が時短期間外／","")&amp;IF(AND(INDEX(職員マスタ!$K$6:$K$405,$AP43)&lt;&gt;"",N($W43)&gt;0,INDEX(職員マスタ!$K$6:$K$405,$AP43)&lt;&gt;$W43),"標準報酬月額が申請書と相違（台帳"&amp;TEXT(INDEX(職員マスタ!$K$6:$K$405,$AP43),"#,##0")&amp;"円／申請書"&amp;TEXT($W43,"#,##0")&amp;"円）／","")&amp;IF(AND(INDEX(職員マスタ!$F$6:$F$405,$AP43)&lt;&gt;"",$AQ43&lt;&gt;"",INDEX(職員マスタ!$F$6:$F$405,$AP43)&lt;$AQ43),"対象月に子が2歳到達済／","")&amp;IF(AND($H43&lt;&gt;"",INDEX(職員マスタ!$B$6:$B$405,$AP43)&lt;&gt;"",SUBSTITUTE(SUBSTITUTE($H43," ","")," ","")&lt;&gt;SUBSTITUTE(SUBSTITUTE(INDEX(職員マスタ!$B$6:$B$405,$AP43)," ","")," ","")),"氏名がマスタと相違／","")&amp;IF(AND($Q43&lt;&gt;"",INDEX(職員マスタ!$E$6:$E$405,$AP43)&lt;&gt;"",$Q43&lt;&gt;INDEX(職員マスタ!$E$6:$E$405,$AP43)),"子の生年月日がマスタと相違／","")&amp;IF(AND($L43&lt;&gt;"",INDEX(職員マスタ!$G$6:$G$405,$AP43)&lt;&gt;"",$L43&lt;&gt;INDEX(職員マスタ!$G$6:$G$405,$AP43)),"時短開始日がマスタと相違／","")&amp;IF(AND($M43&lt;&gt;"",INDEX(職員マスタ!$H$6:$H$405,$AP43)&lt;&gt;"",$M43&lt;&gt;INDEX(職員マスタ!$H$6:$H$405,$AP43)),"時短終了日がマスタと相違／","")))&amp;IF(AND($B43&lt;&gt;"",$E43=""),"報酬額が未入力／","")&amp;IF(N($U43)&gt;0,"申請書に入力エラーが残っています／","")&amp;IF(AND($B43&lt;&gt;"",$AQ43&lt;&gt;""),IF(COUNTIFS($B$6:$B$3005,$B43,$C$6:$C$3005,$C43,$D$6:$D$3005,$D43)&gt;1,"同じ月の請求が重複しています／",""),"")&amp;IF(AND(N($E43)&gt;0,$AB43&lt;&gt;"",$AB43&lt;&gt;"×",$AE43=0,$AD43=""),"計算額が下限以下のため不支給／",""))</f>
        <v/>
      </c>
      <c r="AN43" s="12" t="n"/>
      <c r="AO43" s="14">
        <f>IF($AF43="保留中",COUNTIF($AF$6:$AF43,"保留中"),"")</f>
        <v/>
      </c>
      <c r="AP43" s="14">
        <f>IF($AQ43="","",IF(SUMPRODUCT(MAX((職員マスタ!$A$6:$A$405=$B43)*(((職員マスタ!$G$6:$G$405="")+(職員マスタ!$G$6:$G$405&lt;=EOMONTH($AQ43,0)))&gt;0)*(((職員マスタ!$H$6:$H$405="")+(職員マスタ!$H$6:$H$405&gt;=$AQ43))&gt;0)*(ROW(職員マスタ!$A$6:$A$405)-5)))&gt;0,SUMPRODUCT(MAX((職員マスタ!$A$6:$A$405=$B43)*(((職員マスタ!$G$6:$G$405="")+(職員マスタ!$G$6:$G$405&lt;=EOMONTH($AQ43,0)))&gt;0)*(((職員マスタ!$H$6:$H$405="")+(職員マスタ!$H$6:$H$405&gt;=$AQ43))&gt;0)*(ROW(職員マスタ!$A$6:$A$405)-5))),IFERROR(MATCH($B43,職員マスタ!$A$6:$A$405,0),"")))</f>
        <v/>
      </c>
      <c r="AQ43" s="16">
        <f>IF(OR($B43="",$C43="",$D43=""),"",DATE($C43+2018,$D43,1))</f>
        <v/>
      </c>
    </row>
    <row r="44">
      <c r="A44" s="11" t="n"/>
      <c r="B44" s="12" t="n">
        <v>7202969</v>
      </c>
      <c r="C44" s="12" t="n">
        <v>8</v>
      </c>
      <c r="D44" s="12" t="n">
        <v>7</v>
      </c>
      <c r="E44" s="13" t="n">
        <v>284187</v>
      </c>
      <c r="F44" s="12" t="n"/>
      <c r="G44" s="13" t="n"/>
      <c r="H44" s="12" t="n"/>
      <c r="I44" s="12" t="n"/>
      <c r="J44" s="12" t="n"/>
      <c r="K44" s="12" t="n"/>
      <c r="L44" s="11" t="n"/>
      <c r="M44" s="11" t="n"/>
      <c r="N44" s="11" t="n"/>
      <c r="O44" s="11" t="n"/>
      <c r="P44" s="12" t="n"/>
      <c r="Q44" s="11" t="n"/>
      <c r="R44" s="12" t="n"/>
      <c r="S44" s="11" t="n"/>
      <c r="T44" s="12" t="n"/>
      <c r="U44" s="12" t="n"/>
      <c r="V44" s="12" t="n"/>
      <c r="W44" s="13" t="n"/>
      <c r="X44" s="14">
        <f>IF($AP44="",IF($B44="","",$H44),IF(INDEX(職員マスタ!$B$6:$B$405,$AP44)="",$H44,INDEX(職員マスタ!$B$6:$B$405,$AP44)))</f>
        <v/>
      </c>
      <c r="Y44" s="14">
        <f>IF($AP44="",IF($B44="","",$R44),IF(INDEX(職員マスタ!$C$6:$C$405,$AP44)="",$R44,INDEX(職員マスタ!$C$6:$C$405,$AP44)))</f>
        <v/>
      </c>
      <c r="Z44" s="14">
        <f>IF($AQ44="","","R"&amp;$C44&amp;"."&amp;$D44)</f>
        <v/>
      </c>
      <c r="AA44" s="15">
        <f>IF(IF($AP44="",FALSE,INDEX(職員マスタ!$K$6:$K$405,$AP44)&lt;&gt;""),INDEX(職員マスタ!$K$6:$K$405,$AP44),IF(N($W44)&gt;0,$W44,""))</f>
        <v/>
      </c>
      <c r="AB44" s="14">
        <f>IF(OR($E44="",$AA44=""),"",IF($E44&gt;=$AA44,"×",IF($E44&gt;=$AA44*設定!$C$5,"△","○")))</f>
        <v/>
      </c>
      <c r="AC44" s="15">
        <f>IF($AB44="","",IF($AB44="×",0,IF($AB44="○",ROUNDDOWN($E44*設定!$C$4,0),ROUNDDOWN($E44*ROUND((9*$AA44-9*$E44)/(10*$E44),4),0))))</f>
        <v/>
      </c>
      <c r="AD44" s="13" t="n"/>
      <c r="AE44" s="15">
        <f>IF($B44="","",IF($AD44&lt;&gt;"",$AD44,IF($AC44="","",IF($AC44&lt;=設定!$C$3,0,$AC44))))</f>
        <v/>
      </c>
      <c r="AF44" s="14">
        <f>IF($B44="","",IF(AND($AG44&lt;&gt;"",$AI44="",$AL44=""),"保留中",IF($AL44&lt;&gt;"",IF(N($AE44)&gt;0,"支給済","不支給"),IF($AE44="","要確認",IF($AE44=0,"不支給","未処理")))))</f>
        <v/>
      </c>
      <c r="AG44" s="12" t="n"/>
      <c r="AH44" s="11" t="n"/>
      <c r="AI44" s="11" t="n"/>
      <c r="AJ44" s="11" t="n"/>
      <c r="AK44" s="14">
        <f>IF(AND($AF44="保留中",$AH44&lt;&gt;""),TODAY()-$AH44,"")</f>
        <v/>
      </c>
      <c r="AL44" s="12" t="inlineStr">
        <is>
          <t>R8.9</t>
        </is>
      </c>
      <c r="AM44" s="14">
        <f>IF($B44="","",IF($AQ44="","対象年月が未入力／","")&amp;IF($B44="","",IF($AP44="","職員マスタに未登録の職員番号／",IF($AA44="","標準報酬月額が未登録／","")&amp;IF(AND($AQ44&lt;&gt;"",OR(AND(INDEX(職員マスタ!$G$6:$G$405,$AP44)&lt;&gt;"",INDEX(職員マスタ!$G$6:$G$405,$AP44)&gt;EOMONTH($AQ44,0)),AND(INDEX(職員マスタ!$H$6:$H$405,$AP44)&lt;&gt;"",INDEX(職員マスタ!$H$6:$H$405,$AP44)&lt;$AQ44))),"対象月が時短期間外／","")&amp;IF(AND(INDEX(職員マスタ!$K$6:$K$405,$AP44)&lt;&gt;"",N($W44)&gt;0,INDEX(職員マスタ!$K$6:$K$405,$AP44)&lt;&gt;$W44),"標準報酬月額が申請書と相違（台帳"&amp;TEXT(INDEX(職員マスタ!$K$6:$K$405,$AP44),"#,##0")&amp;"円／申請書"&amp;TEXT($W44,"#,##0")&amp;"円）／","")&amp;IF(AND(INDEX(職員マスタ!$F$6:$F$405,$AP44)&lt;&gt;"",$AQ44&lt;&gt;"",INDEX(職員マスタ!$F$6:$F$405,$AP44)&lt;$AQ44),"対象月に子が2歳到達済／","")&amp;IF(AND($H44&lt;&gt;"",INDEX(職員マスタ!$B$6:$B$405,$AP44)&lt;&gt;"",SUBSTITUTE(SUBSTITUTE($H44," ","")," ","")&lt;&gt;SUBSTITUTE(SUBSTITUTE(INDEX(職員マスタ!$B$6:$B$405,$AP44)," ","")," ","")),"氏名がマスタと相違／","")&amp;IF(AND($Q44&lt;&gt;"",INDEX(職員マスタ!$E$6:$E$405,$AP44)&lt;&gt;"",$Q44&lt;&gt;INDEX(職員マスタ!$E$6:$E$405,$AP44)),"子の生年月日がマスタと相違／","")&amp;IF(AND($L44&lt;&gt;"",INDEX(職員マスタ!$G$6:$G$405,$AP44)&lt;&gt;"",$L44&lt;&gt;INDEX(職員マスタ!$G$6:$G$405,$AP44)),"時短開始日がマスタと相違／","")&amp;IF(AND($M44&lt;&gt;"",INDEX(職員マスタ!$H$6:$H$405,$AP44)&lt;&gt;"",$M44&lt;&gt;INDEX(職員マスタ!$H$6:$H$405,$AP44)),"時短終了日がマスタと相違／","")))&amp;IF(AND($B44&lt;&gt;"",$E44=""),"報酬額が未入力／","")&amp;IF(N($U44)&gt;0,"申請書に入力エラーが残っています／","")&amp;IF(AND($B44&lt;&gt;"",$AQ44&lt;&gt;""),IF(COUNTIFS($B$6:$B$3005,$B44,$C$6:$C$3005,$C44,$D$6:$D$3005,$D44)&gt;1,"同じ月の請求が重複しています／",""),"")&amp;IF(AND(N($E44)&gt;0,$AB44&lt;&gt;"",$AB44&lt;&gt;"×",$AE44=0,$AD44=""),"計算額が下限以下のため不支給／",""))</f>
        <v/>
      </c>
      <c r="AN44" s="12" t="n"/>
      <c r="AO44" s="14">
        <f>IF($AF44="保留中",COUNTIF($AF$6:$AF44,"保留中"),"")</f>
        <v/>
      </c>
      <c r="AP44" s="14">
        <f>IF($AQ44="","",IF(SUMPRODUCT(MAX((職員マスタ!$A$6:$A$405=$B44)*(((職員マスタ!$G$6:$G$405="")+(職員マスタ!$G$6:$G$405&lt;=EOMONTH($AQ44,0)))&gt;0)*(((職員マスタ!$H$6:$H$405="")+(職員マスタ!$H$6:$H$405&gt;=$AQ44))&gt;0)*(ROW(職員マスタ!$A$6:$A$405)-5)))&gt;0,SUMPRODUCT(MAX((職員マスタ!$A$6:$A$405=$B44)*(((職員マスタ!$G$6:$G$405="")+(職員マスタ!$G$6:$G$405&lt;=EOMONTH($AQ44,0)))&gt;0)*(((職員マスタ!$H$6:$H$405="")+(職員マスタ!$H$6:$H$405&gt;=$AQ44))&gt;0)*(ROW(職員マスタ!$A$6:$A$405)-5))),IFERROR(MATCH($B44,職員マスタ!$A$6:$A$405,0),"")))</f>
        <v/>
      </c>
      <c r="AQ44" s="16">
        <f>IF(OR($B44="",$C44="",$D44=""),"",DATE($C44+2018,$D44,1))</f>
        <v/>
      </c>
    </row>
    <row r="45">
      <c r="A45" s="11" t="n"/>
      <c r="B45" s="12" t="n">
        <v>7202969</v>
      </c>
      <c r="C45" s="12" t="n">
        <v>8</v>
      </c>
      <c r="D45" s="12" t="n">
        <v>8</v>
      </c>
      <c r="E45" s="13" t="n">
        <v>284187</v>
      </c>
      <c r="F45" s="12" t="n"/>
      <c r="G45" s="13" t="n"/>
      <c r="H45" s="12" t="n"/>
      <c r="I45" s="12" t="n"/>
      <c r="J45" s="12" t="n"/>
      <c r="K45" s="12" t="n"/>
      <c r="L45" s="11" t="n"/>
      <c r="M45" s="11" t="n"/>
      <c r="N45" s="11" t="n"/>
      <c r="O45" s="11" t="n"/>
      <c r="P45" s="12" t="n"/>
      <c r="Q45" s="11" t="n"/>
      <c r="R45" s="12" t="n"/>
      <c r="S45" s="11" t="n"/>
      <c r="T45" s="12" t="n"/>
      <c r="U45" s="12" t="n"/>
      <c r="V45" s="12" t="n"/>
      <c r="W45" s="13" t="n"/>
      <c r="X45" s="14">
        <f>IF($AP45="",IF($B45="","",$H45),IF(INDEX(職員マスタ!$B$6:$B$405,$AP45)="",$H45,INDEX(職員マスタ!$B$6:$B$405,$AP45)))</f>
        <v/>
      </c>
      <c r="Y45" s="14">
        <f>IF($AP45="",IF($B45="","",$R45),IF(INDEX(職員マスタ!$C$6:$C$405,$AP45)="",$R45,INDEX(職員マスタ!$C$6:$C$405,$AP45)))</f>
        <v/>
      </c>
      <c r="Z45" s="14">
        <f>IF($AQ45="","","R"&amp;$C45&amp;"."&amp;$D45)</f>
        <v/>
      </c>
      <c r="AA45" s="15">
        <f>IF(IF($AP45="",FALSE,INDEX(職員マスタ!$K$6:$K$405,$AP45)&lt;&gt;""),INDEX(職員マスタ!$K$6:$K$405,$AP45),IF(N($W45)&gt;0,$W45,""))</f>
        <v/>
      </c>
      <c r="AB45" s="14">
        <f>IF(OR($E45="",$AA45=""),"",IF($E45&gt;=$AA45,"×",IF($E45&gt;=$AA45*設定!$C$5,"△","○")))</f>
        <v/>
      </c>
      <c r="AC45" s="15">
        <f>IF($AB45="","",IF($AB45="×",0,IF($AB45="○",ROUNDDOWN($E45*設定!$C$4,0),ROUNDDOWN($E45*ROUND((9*$AA45-9*$E45)/(10*$E45),4),0))))</f>
        <v/>
      </c>
      <c r="AD45" s="13" t="n"/>
      <c r="AE45" s="15">
        <f>IF($B45="","",IF($AD45&lt;&gt;"",$AD45,IF($AC45="","",IF($AC45&lt;=設定!$C$3,0,$AC45))))</f>
        <v/>
      </c>
      <c r="AF45" s="14">
        <f>IF($B45="","",IF(AND($AG45&lt;&gt;"",$AI45="",$AL45=""),"保留中",IF($AL45&lt;&gt;"",IF(N($AE45)&gt;0,"支給済","不支給"),IF($AE45="","要確認",IF($AE45=0,"不支給","未処理")))))</f>
        <v/>
      </c>
      <c r="AG45" s="12" t="n"/>
      <c r="AH45" s="11" t="n"/>
      <c r="AI45" s="11" t="n"/>
      <c r="AJ45" s="11" t="n"/>
      <c r="AK45" s="14">
        <f>IF(AND($AF45="保留中",$AH45&lt;&gt;""),TODAY()-$AH45,"")</f>
        <v/>
      </c>
      <c r="AL45" s="12" t="inlineStr">
        <is>
          <t>R8.10</t>
        </is>
      </c>
      <c r="AM45" s="14">
        <f>IF($B45="","",IF($AQ45="","対象年月が未入力／","")&amp;IF($B45="","",IF($AP45="","職員マスタに未登録の職員番号／",IF($AA45="","標準報酬月額が未登録／","")&amp;IF(AND($AQ45&lt;&gt;"",OR(AND(INDEX(職員マスタ!$G$6:$G$405,$AP45)&lt;&gt;"",INDEX(職員マスタ!$G$6:$G$405,$AP45)&gt;EOMONTH($AQ45,0)),AND(INDEX(職員マスタ!$H$6:$H$405,$AP45)&lt;&gt;"",INDEX(職員マスタ!$H$6:$H$405,$AP45)&lt;$AQ45))),"対象月が時短期間外／","")&amp;IF(AND(INDEX(職員マスタ!$K$6:$K$405,$AP45)&lt;&gt;"",N($W45)&gt;0,INDEX(職員マスタ!$K$6:$K$405,$AP45)&lt;&gt;$W45),"標準報酬月額が申請書と相違（台帳"&amp;TEXT(INDEX(職員マスタ!$K$6:$K$405,$AP45),"#,##0")&amp;"円／申請書"&amp;TEXT($W45,"#,##0")&amp;"円）／","")&amp;IF(AND(INDEX(職員マスタ!$F$6:$F$405,$AP45)&lt;&gt;"",$AQ45&lt;&gt;"",INDEX(職員マスタ!$F$6:$F$405,$AP45)&lt;$AQ45),"対象月に子が2歳到達済／","")&amp;IF(AND($H45&lt;&gt;"",INDEX(職員マスタ!$B$6:$B$405,$AP45)&lt;&gt;"",SUBSTITUTE(SUBSTITUTE($H45," ","")," ","")&lt;&gt;SUBSTITUTE(SUBSTITUTE(INDEX(職員マスタ!$B$6:$B$405,$AP45)," ","")," ","")),"氏名がマスタと相違／","")&amp;IF(AND($Q45&lt;&gt;"",INDEX(職員マスタ!$E$6:$E$405,$AP45)&lt;&gt;"",$Q45&lt;&gt;INDEX(職員マスタ!$E$6:$E$405,$AP45)),"子の生年月日がマスタと相違／","")&amp;IF(AND($L45&lt;&gt;"",INDEX(職員マスタ!$G$6:$G$405,$AP45)&lt;&gt;"",$L45&lt;&gt;INDEX(職員マスタ!$G$6:$G$405,$AP45)),"時短開始日がマスタと相違／","")&amp;IF(AND($M45&lt;&gt;"",INDEX(職員マスタ!$H$6:$H$405,$AP45)&lt;&gt;"",$M45&lt;&gt;INDEX(職員マスタ!$H$6:$H$405,$AP45)),"時短終了日がマスタと相違／","")))&amp;IF(AND($B45&lt;&gt;"",$E45=""),"報酬額が未入力／","")&amp;IF(N($U45)&gt;0,"申請書に入力エラーが残っています／","")&amp;IF(AND($B45&lt;&gt;"",$AQ45&lt;&gt;""),IF(COUNTIFS($B$6:$B$3005,$B45,$C$6:$C$3005,$C45,$D$6:$D$3005,$D45)&gt;1,"同じ月の請求が重複しています／",""),"")&amp;IF(AND(N($E45)&gt;0,$AB45&lt;&gt;"",$AB45&lt;&gt;"×",$AE45=0,$AD45=""),"計算額が下限以下のため不支給／",""))</f>
        <v/>
      </c>
      <c r="AN45" s="12" t="n"/>
      <c r="AO45" s="14">
        <f>IF($AF45="保留中",COUNTIF($AF$6:$AF45,"保留中"),"")</f>
        <v/>
      </c>
      <c r="AP45" s="14">
        <f>IF($AQ45="","",IF(SUMPRODUCT(MAX((職員マスタ!$A$6:$A$405=$B45)*(((職員マスタ!$G$6:$G$405="")+(職員マスタ!$G$6:$G$405&lt;=EOMONTH($AQ45,0)))&gt;0)*(((職員マスタ!$H$6:$H$405="")+(職員マスタ!$H$6:$H$405&gt;=$AQ45))&gt;0)*(ROW(職員マスタ!$A$6:$A$405)-5)))&gt;0,SUMPRODUCT(MAX((職員マスタ!$A$6:$A$405=$B45)*(((職員マスタ!$G$6:$G$405="")+(職員マスタ!$G$6:$G$405&lt;=EOMONTH($AQ45,0)))&gt;0)*(((職員マスタ!$H$6:$H$405="")+(職員マスタ!$H$6:$H$405&gt;=$AQ45))&gt;0)*(ROW(職員マスタ!$A$6:$A$405)-5))),IFERROR(MATCH($B45,職員マスタ!$A$6:$A$405,0),"")))</f>
        <v/>
      </c>
      <c r="AQ45" s="16">
        <f>IF(OR($B45="",$C45="",$D45=""),"",DATE($C45+2018,$D45,1))</f>
        <v/>
      </c>
    </row>
    <row r="46">
      <c r="A46" s="11" t="n"/>
      <c r="B46" s="12" t="n">
        <v>6704266</v>
      </c>
      <c r="C46" s="12" t="n">
        <v>8</v>
      </c>
      <c r="D46" s="12" t="n">
        <v>5</v>
      </c>
      <c r="E46" s="13" t="n">
        <v>174674</v>
      </c>
      <c r="F46" s="12" t="n"/>
      <c r="G46" s="13" t="n"/>
      <c r="H46" s="12" t="n"/>
      <c r="I46" s="12" t="n"/>
      <c r="J46" s="12" t="n"/>
      <c r="K46" s="12" t="n"/>
      <c r="L46" s="11" t="n"/>
      <c r="M46" s="11" t="n"/>
      <c r="N46" s="11" t="n"/>
      <c r="O46" s="11" t="n"/>
      <c r="P46" s="12" t="n"/>
      <c r="Q46" s="11" t="n"/>
      <c r="R46" s="12" t="n"/>
      <c r="S46" s="11" t="n"/>
      <c r="T46" s="12" t="n"/>
      <c r="U46" s="12" t="n"/>
      <c r="V46" s="12" t="n"/>
      <c r="W46" s="13" t="n"/>
      <c r="X46" s="14">
        <f>IF($AP46="",IF($B46="","",$H46),IF(INDEX(職員マスタ!$B$6:$B$405,$AP46)="",$H46,INDEX(職員マスタ!$B$6:$B$405,$AP46)))</f>
        <v/>
      </c>
      <c r="Y46" s="14">
        <f>IF($AP46="",IF($B46="","",$R46),IF(INDEX(職員マスタ!$C$6:$C$405,$AP46)="",$R46,INDEX(職員マスタ!$C$6:$C$405,$AP46)))</f>
        <v/>
      </c>
      <c r="Z46" s="14">
        <f>IF($AQ46="","","R"&amp;$C46&amp;"."&amp;$D46)</f>
        <v/>
      </c>
      <c r="AA46" s="15">
        <f>IF(IF($AP46="",FALSE,INDEX(職員マスタ!$K$6:$K$405,$AP46)&lt;&gt;""),INDEX(職員マスタ!$K$6:$K$405,$AP46),IF(N($W46)&gt;0,$W46,""))</f>
        <v/>
      </c>
      <c r="AB46" s="14">
        <f>IF(OR($E46="",$AA46=""),"",IF($E46&gt;=$AA46,"×",IF($E46&gt;=$AA46*設定!$C$5,"△","○")))</f>
        <v/>
      </c>
      <c r="AC46" s="15">
        <f>IF($AB46="","",IF($AB46="×",0,IF($AB46="○",ROUNDDOWN($E46*設定!$C$4,0),ROUNDDOWN($E46*ROUND((9*$AA46-9*$E46)/(10*$E46),4),0))))</f>
        <v/>
      </c>
      <c r="AD46" s="13" t="n"/>
      <c r="AE46" s="15">
        <f>IF($B46="","",IF($AD46&lt;&gt;"",$AD46,IF($AC46="","",IF($AC46&lt;=設定!$C$3,0,$AC46))))</f>
        <v/>
      </c>
      <c r="AF46" s="14">
        <f>IF($B46="","",IF(AND($AG46&lt;&gt;"",$AI46="",$AL46=""),"保留中",IF($AL46&lt;&gt;"",IF(N($AE46)&gt;0,"支給済","不支給"),IF($AE46="","要確認",IF($AE46=0,"不支給","未処理")))))</f>
        <v/>
      </c>
      <c r="AG46" s="12" t="n"/>
      <c r="AH46" s="11" t="n"/>
      <c r="AI46" s="11" t="n"/>
      <c r="AJ46" s="11" t="n"/>
      <c r="AK46" s="14">
        <f>IF(AND($AF46="保留中",$AH46&lt;&gt;""),TODAY()-$AH46,"")</f>
        <v/>
      </c>
      <c r="AL46" s="12" t="inlineStr">
        <is>
          <t>R8.7</t>
        </is>
      </c>
      <c r="AM46" s="14">
        <f>IF($B46="","",IF($AQ46="","対象年月が未入力／","")&amp;IF($B46="","",IF($AP46="","職員マスタに未登録の職員番号／",IF($AA46="","標準報酬月額が未登録／","")&amp;IF(AND($AQ46&lt;&gt;"",OR(AND(INDEX(職員マスタ!$G$6:$G$405,$AP46)&lt;&gt;"",INDEX(職員マスタ!$G$6:$G$405,$AP46)&gt;EOMONTH($AQ46,0)),AND(INDEX(職員マスタ!$H$6:$H$405,$AP46)&lt;&gt;"",INDEX(職員マスタ!$H$6:$H$405,$AP46)&lt;$AQ46))),"対象月が時短期間外／","")&amp;IF(AND(INDEX(職員マスタ!$K$6:$K$405,$AP46)&lt;&gt;"",N($W46)&gt;0,INDEX(職員マスタ!$K$6:$K$405,$AP46)&lt;&gt;$W46),"標準報酬月額が申請書と相違（台帳"&amp;TEXT(INDEX(職員マスタ!$K$6:$K$405,$AP46),"#,##0")&amp;"円／申請書"&amp;TEXT($W46,"#,##0")&amp;"円）／","")&amp;IF(AND(INDEX(職員マスタ!$F$6:$F$405,$AP46)&lt;&gt;"",$AQ46&lt;&gt;"",INDEX(職員マスタ!$F$6:$F$405,$AP46)&lt;$AQ46),"対象月に子が2歳到達済／","")&amp;IF(AND($H46&lt;&gt;"",INDEX(職員マスタ!$B$6:$B$405,$AP46)&lt;&gt;"",SUBSTITUTE(SUBSTITUTE($H46," ","")," ","")&lt;&gt;SUBSTITUTE(SUBSTITUTE(INDEX(職員マスタ!$B$6:$B$405,$AP46)," ","")," ","")),"氏名がマスタと相違／","")&amp;IF(AND($Q46&lt;&gt;"",INDEX(職員マスタ!$E$6:$E$405,$AP46)&lt;&gt;"",$Q46&lt;&gt;INDEX(職員マスタ!$E$6:$E$405,$AP46)),"子の生年月日がマスタと相違／","")&amp;IF(AND($L46&lt;&gt;"",INDEX(職員マスタ!$G$6:$G$405,$AP46)&lt;&gt;"",$L46&lt;&gt;INDEX(職員マスタ!$G$6:$G$405,$AP46)),"時短開始日がマスタと相違／","")&amp;IF(AND($M46&lt;&gt;"",INDEX(職員マスタ!$H$6:$H$405,$AP46)&lt;&gt;"",$M46&lt;&gt;INDEX(職員マスタ!$H$6:$H$405,$AP46)),"時短終了日がマスタと相違／","")))&amp;IF(AND($B46&lt;&gt;"",$E46=""),"報酬額が未入力／","")&amp;IF(N($U46)&gt;0,"申請書に入力エラーが残っています／","")&amp;IF(AND($B46&lt;&gt;"",$AQ46&lt;&gt;""),IF(COUNTIFS($B$6:$B$3005,$B46,$C$6:$C$3005,$C46,$D$6:$D$3005,$D46)&gt;1,"同じ月の請求が重複しています／",""),"")&amp;IF(AND(N($E46)&gt;0,$AB46&lt;&gt;"",$AB46&lt;&gt;"×",$AE46=0,$AD46=""),"計算額が下限以下のため不支給／",""))</f>
        <v/>
      </c>
      <c r="AN46" s="12" t="n"/>
      <c r="AO46" s="14">
        <f>IF($AF46="保留中",COUNTIF($AF$6:$AF46,"保留中"),"")</f>
        <v/>
      </c>
      <c r="AP46" s="14">
        <f>IF($AQ46="","",IF(SUMPRODUCT(MAX((職員マスタ!$A$6:$A$405=$B46)*(((職員マスタ!$G$6:$G$405="")+(職員マスタ!$G$6:$G$405&lt;=EOMONTH($AQ46,0)))&gt;0)*(((職員マスタ!$H$6:$H$405="")+(職員マスタ!$H$6:$H$405&gt;=$AQ46))&gt;0)*(ROW(職員マスタ!$A$6:$A$405)-5)))&gt;0,SUMPRODUCT(MAX((職員マスタ!$A$6:$A$405=$B46)*(((職員マスタ!$G$6:$G$405="")+(職員マスタ!$G$6:$G$405&lt;=EOMONTH($AQ46,0)))&gt;0)*(((職員マスタ!$H$6:$H$405="")+(職員マスタ!$H$6:$H$405&gt;=$AQ46))&gt;0)*(ROW(職員マスタ!$A$6:$A$405)-5))),IFERROR(MATCH($B46,職員マスタ!$A$6:$A$405,0),"")))</f>
        <v/>
      </c>
      <c r="AQ46" s="16">
        <f>IF(OR($B46="",$C46="",$D46=""),"",DATE($C46+2018,$D46,1))</f>
        <v/>
      </c>
    </row>
    <row r="47">
      <c r="A47" s="11" t="n"/>
      <c r="B47" s="12" t="n">
        <v>6704266</v>
      </c>
      <c r="C47" s="12" t="n">
        <v>8</v>
      </c>
      <c r="D47" s="12" t="n">
        <v>6</v>
      </c>
      <c r="E47" s="13" t="n">
        <v>177699</v>
      </c>
      <c r="F47" s="12" t="n"/>
      <c r="G47" s="13" t="n"/>
      <c r="H47" s="12" t="n"/>
      <c r="I47" s="12" t="n"/>
      <c r="J47" s="12" t="n"/>
      <c r="K47" s="12" t="n"/>
      <c r="L47" s="11" t="n"/>
      <c r="M47" s="11" t="n"/>
      <c r="N47" s="11" t="n"/>
      <c r="O47" s="11" t="n"/>
      <c r="P47" s="12" t="n"/>
      <c r="Q47" s="11" t="n"/>
      <c r="R47" s="12" t="n"/>
      <c r="S47" s="11" t="n"/>
      <c r="T47" s="12" t="n"/>
      <c r="U47" s="12" t="n"/>
      <c r="V47" s="12" t="n"/>
      <c r="W47" s="13" t="n"/>
      <c r="X47" s="14">
        <f>IF($AP47="",IF($B47="","",$H47),IF(INDEX(職員マスタ!$B$6:$B$405,$AP47)="",$H47,INDEX(職員マスタ!$B$6:$B$405,$AP47)))</f>
        <v/>
      </c>
      <c r="Y47" s="14">
        <f>IF($AP47="",IF($B47="","",$R47),IF(INDEX(職員マスタ!$C$6:$C$405,$AP47)="",$R47,INDEX(職員マスタ!$C$6:$C$405,$AP47)))</f>
        <v/>
      </c>
      <c r="Z47" s="14">
        <f>IF($AQ47="","","R"&amp;$C47&amp;"."&amp;$D47)</f>
        <v/>
      </c>
      <c r="AA47" s="15">
        <f>IF(IF($AP47="",FALSE,INDEX(職員マスタ!$K$6:$K$405,$AP47)&lt;&gt;""),INDEX(職員マスタ!$K$6:$K$405,$AP47),IF(N($W47)&gt;0,$W47,""))</f>
        <v/>
      </c>
      <c r="AB47" s="14">
        <f>IF(OR($E47="",$AA47=""),"",IF($E47&gt;=$AA47,"×",IF($E47&gt;=$AA47*設定!$C$5,"△","○")))</f>
        <v/>
      </c>
      <c r="AC47" s="15">
        <f>IF($AB47="","",IF($AB47="×",0,IF($AB47="○",ROUNDDOWN($E47*設定!$C$4,0),ROUNDDOWN($E47*ROUND((9*$AA47-9*$E47)/(10*$E47),4),0))))</f>
        <v/>
      </c>
      <c r="AD47" s="13" t="n"/>
      <c r="AE47" s="15">
        <f>IF($B47="","",IF($AD47&lt;&gt;"",$AD47,IF($AC47="","",IF($AC47&lt;=設定!$C$3,0,$AC47))))</f>
        <v/>
      </c>
      <c r="AF47" s="14">
        <f>IF($B47="","",IF(AND($AG47&lt;&gt;"",$AI47="",$AL47=""),"保留中",IF($AL47&lt;&gt;"",IF(N($AE47)&gt;0,"支給済","不支給"),IF($AE47="","要確認",IF($AE47=0,"不支給","未処理")))))</f>
        <v/>
      </c>
      <c r="AG47" s="12" t="n"/>
      <c r="AH47" s="11" t="n"/>
      <c r="AI47" s="11" t="n"/>
      <c r="AJ47" s="11" t="n"/>
      <c r="AK47" s="14">
        <f>IF(AND($AF47="保留中",$AH47&lt;&gt;""),TODAY()-$AH47,"")</f>
        <v/>
      </c>
      <c r="AL47" s="12" t="inlineStr">
        <is>
          <t>R8.8</t>
        </is>
      </c>
      <c r="AM47" s="14">
        <f>IF($B47="","",IF($AQ47="","対象年月が未入力／","")&amp;IF($B47="","",IF($AP47="","職員マスタに未登録の職員番号／",IF($AA47="","標準報酬月額が未登録／","")&amp;IF(AND($AQ47&lt;&gt;"",OR(AND(INDEX(職員マスタ!$G$6:$G$405,$AP47)&lt;&gt;"",INDEX(職員マスタ!$G$6:$G$405,$AP47)&gt;EOMONTH($AQ47,0)),AND(INDEX(職員マスタ!$H$6:$H$405,$AP47)&lt;&gt;"",INDEX(職員マスタ!$H$6:$H$405,$AP47)&lt;$AQ47))),"対象月が時短期間外／","")&amp;IF(AND(INDEX(職員マスタ!$K$6:$K$405,$AP47)&lt;&gt;"",N($W47)&gt;0,INDEX(職員マスタ!$K$6:$K$405,$AP47)&lt;&gt;$W47),"標準報酬月額が申請書と相違（台帳"&amp;TEXT(INDEX(職員マスタ!$K$6:$K$405,$AP47),"#,##0")&amp;"円／申請書"&amp;TEXT($W47,"#,##0")&amp;"円）／","")&amp;IF(AND(INDEX(職員マスタ!$F$6:$F$405,$AP47)&lt;&gt;"",$AQ47&lt;&gt;"",INDEX(職員マスタ!$F$6:$F$405,$AP47)&lt;$AQ47),"対象月に子が2歳到達済／","")&amp;IF(AND($H47&lt;&gt;"",INDEX(職員マスタ!$B$6:$B$405,$AP47)&lt;&gt;"",SUBSTITUTE(SUBSTITUTE($H47," ","")," ","")&lt;&gt;SUBSTITUTE(SUBSTITUTE(INDEX(職員マスタ!$B$6:$B$405,$AP47)," ","")," ","")),"氏名がマスタと相違／","")&amp;IF(AND($Q47&lt;&gt;"",INDEX(職員マスタ!$E$6:$E$405,$AP47)&lt;&gt;"",$Q47&lt;&gt;INDEX(職員マスタ!$E$6:$E$405,$AP47)),"子の生年月日がマスタと相違／","")&amp;IF(AND($L47&lt;&gt;"",INDEX(職員マスタ!$G$6:$G$405,$AP47)&lt;&gt;"",$L47&lt;&gt;INDEX(職員マスタ!$G$6:$G$405,$AP47)),"時短開始日がマスタと相違／","")&amp;IF(AND($M47&lt;&gt;"",INDEX(職員マスタ!$H$6:$H$405,$AP47)&lt;&gt;"",$M47&lt;&gt;INDEX(職員マスタ!$H$6:$H$405,$AP47)),"時短終了日がマスタと相違／","")))&amp;IF(AND($B47&lt;&gt;"",$E47=""),"報酬額が未入力／","")&amp;IF(N($U47)&gt;0,"申請書に入力エラーが残っています／","")&amp;IF(AND($B47&lt;&gt;"",$AQ47&lt;&gt;""),IF(COUNTIFS($B$6:$B$3005,$B47,$C$6:$C$3005,$C47,$D$6:$D$3005,$D47)&gt;1,"同じ月の請求が重複しています／",""),"")&amp;IF(AND(N($E47)&gt;0,$AB47&lt;&gt;"",$AB47&lt;&gt;"×",$AE47=0,$AD47=""),"計算額が下限以下のため不支給／",""))</f>
        <v/>
      </c>
      <c r="AN47" s="12" t="n"/>
      <c r="AO47" s="14">
        <f>IF($AF47="保留中",COUNTIF($AF$6:$AF47,"保留中"),"")</f>
        <v/>
      </c>
      <c r="AP47" s="14">
        <f>IF($AQ47="","",IF(SUMPRODUCT(MAX((職員マスタ!$A$6:$A$405=$B47)*(((職員マスタ!$G$6:$G$405="")+(職員マスタ!$G$6:$G$405&lt;=EOMONTH($AQ47,0)))&gt;0)*(((職員マスタ!$H$6:$H$405="")+(職員マスタ!$H$6:$H$405&gt;=$AQ47))&gt;0)*(ROW(職員マスタ!$A$6:$A$405)-5)))&gt;0,SUMPRODUCT(MAX((職員マスタ!$A$6:$A$405=$B47)*(((職員マスタ!$G$6:$G$405="")+(職員マスタ!$G$6:$G$405&lt;=EOMONTH($AQ47,0)))&gt;0)*(((職員マスタ!$H$6:$H$405="")+(職員マスタ!$H$6:$H$405&gt;=$AQ47))&gt;0)*(ROW(職員マスタ!$A$6:$A$405)-5))),IFERROR(MATCH($B47,職員マスタ!$A$6:$A$405,0),"")))</f>
        <v/>
      </c>
      <c r="AQ47" s="16">
        <f>IF(OR($B47="",$C47="",$D47=""),"",DATE($C47+2018,$D47,1))</f>
        <v/>
      </c>
    </row>
    <row r="48">
      <c r="A48" s="11" t="n"/>
      <c r="B48" s="12" t="n">
        <v>6903256</v>
      </c>
      <c r="C48" s="12" t="n">
        <v>8</v>
      </c>
      <c r="D48" s="12" t="n">
        <v>5</v>
      </c>
      <c r="E48" s="13" t="n">
        <v>8130</v>
      </c>
      <c r="F48" s="12" t="n"/>
      <c r="G48" s="13" t="n"/>
      <c r="H48" s="12" t="n"/>
      <c r="I48" s="12" t="n"/>
      <c r="J48" s="12" t="n"/>
      <c r="K48" s="12" t="n"/>
      <c r="L48" s="11" t="n"/>
      <c r="M48" s="11" t="n"/>
      <c r="N48" s="11" t="n"/>
      <c r="O48" s="11" t="n"/>
      <c r="P48" s="12" t="n"/>
      <c r="Q48" s="11" t="n"/>
      <c r="R48" s="12" t="n"/>
      <c r="S48" s="11" t="n"/>
      <c r="T48" s="12" t="n"/>
      <c r="U48" s="12" t="n"/>
      <c r="V48" s="12" t="n"/>
      <c r="W48" s="13" t="n"/>
      <c r="X48" s="14">
        <f>IF($AP48="",IF($B48="","",$H48),IF(INDEX(職員マスタ!$B$6:$B$405,$AP48)="",$H48,INDEX(職員マスタ!$B$6:$B$405,$AP48)))</f>
        <v/>
      </c>
      <c r="Y48" s="14">
        <f>IF($AP48="",IF($B48="","",$R48),IF(INDEX(職員マスタ!$C$6:$C$405,$AP48)="",$R48,INDEX(職員マスタ!$C$6:$C$405,$AP48)))</f>
        <v/>
      </c>
      <c r="Z48" s="14">
        <f>IF($AQ48="","","R"&amp;$C48&amp;"."&amp;$D48)</f>
        <v/>
      </c>
      <c r="AA48" s="15">
        <f>IF(IF($AP48="",FALSE,INDEX(職員マスタ!$K$6:$K$405,$AP48)&lt;&gt;""),INDEX(職員マスタ!$K$6:$K$405,$AP48),IF(N($W48)&gt;0,$W48,""))</f>
        <v/>
      </c>
      <c r="AB48" s="14">
        <f>IF(OR($E48="",$AA48=""),"",IF($E48&gt;=$AA48,"×",IF($E48&gt;=$AA48*設定!$C$5,"△","○")))</f>
        <v/>
      </c>
      <c r="AC48" s="15">
        <f>IF($AB48="","",IF($AB48="×",0,IF($AB48="○",ROUNDDOWN($E48*設定!$C$4,0),ROUNDDOWN($E48*ROUND((9*$AA48-9*$E48)/(10*$E48),4),0))))</f>
        <v/>
      </c>
      <c r="AD48" s="13" t="n"/>
      <c r="AE48" s="15">
        <f>IF($B48="","",IF($AD48&lt;&gt;"",$AD48,IF($AC48="","",IF($AC48&lt;=設定!$C$3,0,$AC48))))</f>
        <v/>
      </c>
      <c r="AF48" s="14">
        <f>IF($B48="","",IF(AND($AG48&lt;&gt;"",$AI48="",$AL48=""),"保留中",IF($AL48&lt;&gt;"",IF(N($AE48)&gt;0,"支給済","不支給"),IF($AE48="","要確認",IF($AE48=0,"不支給","未処理")))))</f>
        <v/>
      </c>
      <c r="AG48" s="12" t="n"/>
      <c r="AH48" s="11" t="n"/>
      <c r="AI48" s="11" t="n"/>
      <c r="AJ48" s="11" t="n"/>
      <c r="AK48" s="14">
        <f>IF(AND($AF48="保留中",$AH48&lt;&gt;""),TODAY()-$AH48,"")</f>
        <v/>
      </c>
      <c r="AL48" s="12" t="inlineStr">
        <is>
          <t>R8.7</t>
        </is>
      </c>
      <c r="AM48" s="14">
        <f>IF($B48="","",IF($AQ48="","対象年月が未入力／","")&amp;IF($B48="","",IF($AP48="","職員マスタに未登録の職員番号／",IF($AA48="","標準報酬月額が未登録／","")&amp;IF(AND($AQ48&lt;&gt;"",OR(AND(INDEX(職員マスタ!$G$6:$G$405,$AP48)&lt;&gt;"",INDEX(職員マスタ!$G$6:$G$405,$AP48)&gt;EOMONTH($AQ48,0)),AND(INDEX(職員マスタ!$H$6:$H$405,$AP48)&lt;&gt;"",INDEX(職員マスタ!$H$6:$H$405,$AP48)&lt;$AQ48))),"対象月が時短期間外／","")&amp;IF(AND(INDEX(職員マスタ!$K$6:$K$405,$AP48)&lt;&gt;"",N($W48)&gt;0,INDEX(職員マスタ!$K$6:$K$405,$AP48)&lt;&gt;$W48),"標準報酬月額が申請書と相違（台帳"&amp;TEXT(INDEX(職員マスタ!$K$6:$K$405,$AP48),"#,##0")&amp;"円／申請書"&amp;TEXT($W48,"#,##0")&amp;"円）／","")&amp;IF(AND(INDEX(職員マスタ!$F$6:$F$405,$AP48)&lt;&gt;"",$AQ48&lt;&gt;"",INDEX(職員マスタ!$F$6:$F$405,$AP48)&lt;$AQ48),"対象月に子が2歳到達済／","")&amp;IF(AND($H48&lt;&gt;"",INDEX(職員マスタ!$B$6:$B$405,$AP48)&lt;&gt;"",SUBSTITUTE(SUBSTITUTE($H48," ","")," ","")&lt;&gt;SUBSTITUTE(SUBSTITUTE(INDEX(職員マスタ!$B$6:$B$405,$AP48)," ","")," ","")),"氏名がマスタと相違／","")&amp;IF(AND($Q48&lt;&gt;"",INDEX(職員マスタ!$E$6:$E$405,$AP48)&lt;&gt;"",$Q48&lt;&gt;INDEX(職員マスタ!$E$6:$E$405,$AP48)),"子の生年月日がマスタと相違／","")&amp;IF(AND($L48&lt;&gt;"",INDEX(職員マスタ!$G$6:$G$405,$AP48)&lt;&gt;"",$L48&lt;&gt;INDEX(職員マスタ!$G$6:$G$405,$AP48)),"時短開始日がマスタと相違／","")&amp;IF(AND($M48&lt;&gt;"",INDEX(職員マスタ!$H$6:$H$405,$AP48)&lt;&gt;"",$M48&lt;&gt;INDEX(職員マスタ!$H$6:$H$405,$AP48)),"時短終了日がマスタと相違／","")))&amp;IF(AND($B48&lt;&gt;"",$E48=""),"報酬額が未入力／","")&amp;IF(N($U48)&gt;0,"申請書に入力エラーが残っています／","")&amp;IF(AND($B48&lt;&gt;"",$AQ48&lt;&gt;""),IF(COUNTIFS($B$6:$B$3005,$B48,$C$6:$C$3005,$C48,$D$6:$D$3005,$D48)&gt;1,"同じ月の請求が重複しています／",""),"")&amp;IF(AND(N($E48)&gt;0,$AB48&lt;&gt;"",$AB48&lt;&gt;"×",$AE48=0,$AD48=""),"計算額が下限以下のため不支給／",""))</f>
        <v/>
      </c>
      <c r="AN48" s="12" t="n"/>
      <c r="AO48" s="14">
        <f>IF($AF48="保留中",COUNTIF($AF$6:$AF48,"保留中"),"")</f>
        <v/>
      </c>
      <c r="AP48" s="14">
        <f>IF($AQ48="","",IF(SUMPRODUCT(MAX((職員マスタ!$A$6:$A$405=$B48)*(((職員マスタ!$G$6:$G$405="")+(職員マスタ!$G$6:$G$405&lt;=EOMONTH($AQ48,0)))&gt;0)*(((職員マスタ!$H$6:$H$405="")+(職員マスタ!$H$6:$H$405&gt;=$AQ48))&gt;0)*(ROW(職員マスタ!$A$6:$A$405)-5)))&gt;0,SUMPRODUCT(MAX((職員マスタ!$A$6:$A$405=$B48)*(((職員マスタ!$G$6:$G$405="")+(職員マスタ!$G$6:$G$405&lt;=EOMONTH($AQ48,0)))&gt;0)*(((職員マスタ!$H$6:$H$405="")+(職員マスタ!$H$6:$H$405&gt;=$AQ48))&gt;0)*(ROW(職員マスタ!$A$6:$A$405)-5))),IFERROR(MATCH($B48,職員マスタ!$A$6:$A$405,0),"")))</f>
        <v/>
      </c>
      <c r="AQ48" s="16">
        <f>IF(OR($B48="",$C48="",$D48=""),"",DATE($C48+2018,$D48,1))</f>
        <v/>
      </c>
    </row>
    <row r="49">
      <c r="A49" s="11" t="n"/>
      <c r="B49" s="12" t="n">
        <v>6903256</v>
      </c>
      <c r="C49" s="12" t="n">
        <v>8</v>
      </c>
      <c r="D49" s="12" t="n">
        <v>6</v>
      </c>
      <c r="E49" s="13" t="n">
        <v>170737</v>
      </c>
      <c r="F49" s="12" t="n"/>
      <c r="G49" s="13" t="n"/>
      <c r="H49" s="12" t="n"/>
      <c r="I49" s="12" t="n"/>
      <c r="J49" s="12" t="n"/>
      <c r="K49" s="12" t="n"/>
      <c r="L49" s="11" t="n"/>
      <c r="M49" s="11" t="n"/>
      <c r="N49" s="11" t="n"/>
      <c r="O49" s="11" t="n"/>
      <c r="P49" s="12" t="n"/>
      <c r="Q49" s="11" t="n"/>
      <c r="R49" s="12" t="n"/>
      <c r="S49" s="11" t="n"/>
      <c r="T49" s="12" t="n"/>
      <c r="U49" s="12" t="n"/>
      <c r="V49" s="12" t="n"/>
      <c r="W49" s="13" t="n"/>
      <c r="X49" s="14">
        <f>IF($AP49="",IF($B49="","",$H49),IF(INDEX(職員マスタ!$B$6:$B$405,$AP49)="",$H49,INDEX(職員マスタ!$B$6:$B$405,$AP49)))</f>
        <v/>
      </c>
      <c r="Y49" s="14">
        <f>IF($AP49="",IF($B49="","",$R49),IF(INDEX(職員マスタ!$C$6:$C$405,$AP49)="",$R49,INDEX(職員マスタ!$C$6:$C$405,$AP49)))</f>
        <v/>
      </c>
      <c r="Z49" s="14">
        <f>IF($AQ49="","","R"&amp;$C49&amp;"."&amp;$D49)</f>
        <v/>
      </c>
      <c r="AA49" s="15">
        <f>IF(IF($AP49="",FALSE,INDEX(職員マスタ!$K$6:$K$405,$AP49)&lt;&gt;""),INDEX(職員マスタ!$K$6:$K$405,$AP49),IF(N($W49)&gt;0,$W49,""))</f>
        <v/>
      </c>
      <c r="AB49" s="14">
        <f>IF(OR($E49="",$AA49=""),"",IF($E49&gt;=$AA49,"×",IF($E49&gt;=$AA49*設定!$C$5,"△","○")))</f>
        <v/>
      </c>
      <c r="AC49" s="15">
        <f>IF($AB49="","",IF($AB49="×",0,IF($AB49="○",ROUNDDOWN($E49*設定!$C$4,0),ROUNDDOWN($E49*ROUND((9*$AA49-9*$E49)/(10*$E49),4),0))))</f>
        <v/>
      </c>
      <c r="AD49" s="13" t="n"/>
      <c r="AE49" s="15">
        <f>IF($B49="","",IF($AD49&lt;&gt;"",$AD49,IF($AC49="","",IF($AC49&lt;=設定!$C$3,0,$AC49))))</f>
        <v/>
      </c>
      <c r="AF49" s="14">
        <f>IF($B49="","",IF(AND($AG49&lt;&gt;"",$AI49="",$AL49=""),"保留中",IF($AL49&lt;&gt;"",IF(N($AE49)&gt;0,"支給済","不支給"),IF($AE49="","要確認",IF($AE49=0,"不支給","未処理")))))</f>
        <v/>
      </c>
      <c r="AG49" s="12" t="n"/>
      <c r="AH49" s="11" t="n"/>
      <c r="AI49" s="11" t="n"/>
      <c r="AJ49" s="11" t="n"/>
      <c r="AK49" s="14">
        <f>IF(AND($AF49="保留中",$AH49&lt;&gt;""),TODAY()-$AH49,"")</f>
        <v/>
      </c>
      <c r="AL49" s="12" t="inlineStr">
        <is>
          <t>R8.8</t>
        </is>
      </c>
      <c r="AM49" s="14">
        <f>IF($B49="","",IF($AQ49="","対象年月が未入力／","")&amp;IF($B49="","",IF($AP49="","職員マスタに未登録の職員番号／",IF($AA49="","標準報酬月額が未登録／","")&amp;IF(AND($AQ49&lt;&gt;"",OR(AND(INDEX(職員マスタ!$G$6:$G$405,$AP49)&lt;&gt;"",INDEX(職員マスタ!$G$6:$G$405,$AP49)&gt;EOMONTH($AQ49,0)),AND(INDEX(職員マスタ!$H$6:$H$405,$AP49)&lt;&gt;"",INDEX(職員マスタ!$H$6:$H$405,$AP49)&lt;$AQ49))),"対象月が時短期間外／","")&amp;IF(AND(INDEX(職員マスタ!$K$6:$K$405,$AP49)&lt;&gt;"",N($W49)&gt;0,INDEX(職員マスタ!$K$6:$K$405,$AP49)&lt;&gt;$W49),"標準報酬月額が申請書と相違（台帳"&amp;TEXT(INDEX(職員マスタ!$K$6:$K$405,$AP49),"#,##0")&amp;"円／申請書"&amp;TEXT($W49,"#,##0")&amp;"円）／","")&amp;IF(AND(INDEX(職員マスタ!$F$6:$F$405,$AP49)&lt;&gt;"",$AQ49&lt;&gt;"",INDEX(職員マスタ!$F$6:$F$405,$AP49)&lt;$AQ49),"対象月に子が2歳到達済／","")&amp;IF(AND($H49&lt;&gt;"",INDEX(職員マスタ!$B$6:$B$405,$AP49)&lt;&gt;"",SUBSTITUTE(SUBSTITUTE($H49," ","")," ","")&lt;&gt;SUBSTITUTE(SUBSTITUTE(INDEX(職員マスタ!$B$6:$B$405,$AP49)," ","")," ","")),"氏名がマスタと相違／","")&amp;IF(AND($Q49&lt;&gt;"",INDEX(職員マスタ!$E$6:$E$405,$AP49)&lt;&gt;"",$Q49&lt;&gt;INDEX(職員マスタ!$E$6:$E$405,$AP49)),"子の生年月日がマスタと相違／","")&amp;IF(AND($L49&lt;&gt;"",INDEX(職員マスタ!$G$6:$G$405,$AP49)&lt;&gt;"",$L49&lt;&gt;INDEX(職員マスタ!$G$6:$G$405,$AP49)),"時短開始日がマスタと相違／","")&amp;IF(AND($M49&lt;&gt;"",INDEX(職員マスタ!$H$6:$H$405,$AP49)&lt;&gt;"",$M49&lt;&gt;INDEX(職員マスタ!$H$6:$H$405,$AP49)),"時短終了日がマスタと相違／","")))&amp;IF(AND($B49&lt;&gt;"",$E49=""),"報酬額が未入力／","")&amp;IF(N($U49)&gt;0,"申請書に入力エラーが残っています／","")&amp;IF(AND($B49&lt;&gt;"",$AQ49&lt;&gt;""),IF(COUNTIFS($B$6:$B$3005,$B49,$C$6:$C$3005,$C49,$D$6:$D$3005,$D49)&gt;1,"同じ月の請求が重複しています／",""),"")&amp;IF(AND(N($E49)&gt;0,$AB49&lt;&gt;"",$AB49&lt;&gt;"×",$AE49=0,$AD49=""),"計算額が下限以下のため不支給／",""))</f>
        <v/>
      </c>
      <c r="AN49" s="12" t="n"/>
      <c r="AO49" s="14">
        <f>IF($AF49="保留中",COUNTIF($AF$6:$AF49,"保留中"),"")</f>
        <v/>
      </c>
      <c r="AP49" s="14">
        <f>IF($AQ49="","",IF(SUMPRODUCT(MAX((職員マスタ!$A$6:$A$405=$B49)*(((職員マスタ!$G$6:$G$405="")+(職員マスタ!$G$6:$G$405&lt;=EOMONTH($AQ49,0)))&gt;0)*(((職員マスタ!$H$6:$H$405="")+(職員マスタ!$H$6:$H$405&gt;=$AQ49))&gt;0)*(ROW(職員マスタ!$A$6:$A$405)-5)))&gt;0,SUMPRODUCT(MAX((職員マスタ!$A$6:$A$405=$B49)*(((職員マスタ!$G$6:$G$405="")+(職員マスタ!$G$6:$G$405&lt;=EOMONTH($AQ49,0)))&gt;0)*(((職員マスタ!$H$6:$H$405="")+(職員マスタ!$H$6:$H$405&gt;=$AQ49))&gt;0)*(ROW(職員マスタ!$A$6:$A$405)-5))),IFERROR(MATCH($B49,職員マスタ!$A$6:$A$405,0),"")))</f>
        <v/>
      </c>
      <c r="AQ49" s="16">
        <f>IF(OR($B49="",$C49="",$D49=""),"",DATE($C49+2018,$D49,1))</f>
        <v/>
      </c>
    </row>
    <row r="50">
      <c r="A50" s="11" t="n"/>
      <c r="B50" s="12" t="n">
        <v>5700828</v>
      </c>
      <c r="C50" s="12" t="n">
        <v>7</v>
      </c>
      <c r="D50" s="12" t="n">
        <v>4</v>
      </c>
      <c r="E50" s="13" t="n">
        <v>294274</v>
      </c>
      <c r="F50" s="12" t="n"/>
      <c r="G50" s="13" t="n"/>
      <c r="H50" s="12" t="n"/>
      <c r="I50" s="12" t="n"/>
      <c r="J50" s="12" t="n"/>
      <c r="K50" s="12" t="n"/>
      <c r="L50" s="11" t="n"/>
      <c r="M50" s="11" t="n"/>
      <c r="N50" s="11" t="n"/>
      <c r="O50" s="11" t="n"/>
      <c r="P50" s="12" t="n"/>
      <c r="Q50" s="11" t="n"/>
      <c r="R50" s="12" t="n"/>
      <c r="S50" s="11" t="n"/>
      <c r="T50" s="12" t="n"/>
      <c r="U50" s="12" t="n"/>
      <c r="V50" s="12" t="n"/>
      <c r="W50" s="13" t="n"/>
      <c r="X50" s="14">
        <f>IF($AP50="",IF($B50="","",$H50),IF(INDEX(職員マスタ!$B$6:$B$405,$AP50)="",$H50,INDEX(職員マスタ!$B$6:$B$405,$AP50)))</f>
        <v/>
      </c>
      <c r="Y50" s="14">
        <f>IF($AP50="",IF($B50="","",$R50),IF(INDEX(職員マスタ!$C$6:$C$405,$AP50)="",$R50,INDEX(職員マスタ!$C$6:$C$405,$AP50)))</f>
        <v/>
      </c>
      <c r="Z50" s="14">
        <f>IF($AQ50="","","R"&amp;$C50&amp;"."&amp;$D50)</f>
        <v/>
      </c>
      <c r="AA50" s="15">
        <f>IF(IF($AP50="",FALSE,INDEX(職員マスタ!$K$6:$K$405,$AP50)&lt;&gt;""),INDEX(職員マスタ!$K$6:$K$405,$AP50),IF(N($W50)&gt;0,$W50,""))</f>
        <v/>
      </c>
      <c r="AB50" s="14">
        <f>IF(OR($E50="",$AA50=""),"",IF($E50&gt;=$AA50,"×",IF($E50&gt;=$AA50*設定!$C$5,"△","○")))</f>
        <v/>
      </c>
      <c r="AC50" s="15">
        <f>IF($AB50="","",IF($AB50="×",0,IF($AB50="○",ROUNDDOWN($E50*設定!$C$4,0),ROUNDDOWN($E50*ROUND((9*$AA50-9*$E50)/(10*$E50),4),0))))</f>
        <v/>
      </c>
      <c r="AD50" s="13" t="n"/>
      <c r="AE50" s="15">
        <f>IF($B50="","",IF($AD50&lt;&gt;"",$AD50,IF($AC50="","",IF($AC50&lt;=設定!$C$3,0,$AC50))))</f>
        <v/>
      </c>
      <c r="AF50" s="14">
        <f>IF($B50="","",IF(AND($AG50&lt;&gt;"",$AI50="",$AL50=""),"保留中",IF($AL50&lt;&gt;"",IF(N($AE50)&gt;0,"支給済","不支給"),IF($AE50="","要確認",IF($AE50=0,"不支給","未処理")))))</f>
        <v/>
      </c>
      <c r="AG50" s="12" t="inlineStr">
        <is>
          <t>住居手当の確認</t>
        </is>
      </c>
      <c r="AH50" s="11" t="n"/>
      <c r="AI50" s="11" t="n"/>
      <c r="AJ50" s="11" t="n"/>
      <c r="AK50" s="14">
        <f>IF(AND($AF50="保留中",$AH50&lt;&gt;""),TODAY()-$AH50,"")</f>
        <v/>
      </c>
      <c r="AL50" s="12" t="inlineStr">
        <is>
          <t>R7.11</t>
        </is>
      </c>
      <c r="AM50" s="14">
        <f>IF($B50="","",IF($AQ50="","対象年月が未入力／","")&amp;IF($B50="","",IF($AP50="","職員マスタに未登録の職員番号／",IF($AA50="","標準報酬月額が未登録／","")&amp;IF(AND($AQ50&lt;&gt;"",OR(AND(INDEX(職員マスタ!$G$6:$G$405,$AP50)&lt;&gt;"",INDEX(職員マスタ!$G$6:$G$405,$AP50)&gt;EOMONTH($AQ50,0)),AND(INDEX(職員マスタ!$H$6:$H$405,$AP50)&lt;&gt;"",INDEX(職員マスタ!$H$6:$H$405,$AP50)&lt;$AQ50))),"対象月が時短期間外／","")&amp;IF(AND(INDEX(職員マスタ!$K$6:$K$405,$AP50)&lt;&gt;"",N($W50)&gt;0,INDEX(職員マスタ!$K$6:$K$405,$AP50)&lt;&gt;$W50),"標準報酬月額が申請書と相違（台帳"&amp;TEXT(INDEX(職員マスタ!$K$6:$K$405,$AP50),"#,##0")&amp;"円／申請書"&amp;TEXT($W50,"#,##0")&amp;"円）／","")&amp;IF(AND(INDEX(職員マスタ!$F$6:$F$405,$AP50)&lt;&gt;"",$AQ50&lt;&gt;"",INDEX(職員マスタ!$F$6:$F$405,$AP50)&lt;$AQ50),"対象月に子が2歳到達済／","")&amp;IF(AND($H50&lt;&gt;"",INDEX(職員マスタ!$B$6:$B$405,$AP50)&lt;&gt;"",SUBSTITUTE(SUBSTITUTE($H50," ","")," ","")&lt;&gt;SUBSTITUTE(SUBSTITUTE(INDEX(職員マスタ!$B$6:$B$405,$AP50)," ","")," ","")),"氏名がマスタと相違／","")&amp;IF(AND($Q50&lt;&gt;"",INDEX(職員マスタ!$E$6:$E$405,$AP50)&lt;&gt;"",$Q50&lt;&gt;INDEX(職員マスタ!$E$6:$E$405,$AP50)),"子の生年月日がマスタと相違／","")&amp;IF(AND($L50&lt;&gt;"",INDEX(職員マスタ!$G$6:$G$405,$AP50)&lt;&gt;"",$L50&lt;&gt;INDEX(職員マスタ!$G$6:$G$405,$AP50)),"時短開始日がマスタと相違／","")&amp;IF(AND($M50&lt;&gt;"",INDEX(職員マスタ!$H$6:$H$405,$AP50)&lt;&gt;"",$M50&lt;&gt;INDEX(職員マスタ!$H$6:$H$405,$AP50)),"時短終了日がマスタと相違／","")))&amp;IF(AND($B50&lt;&gt;"",$E50=""),"報酬額が未入力／","")&amp;IF(N($U50)&gt;0,"申請書に入力エラーが残っています／","")&amp;IF(AND($B50&lt;&gt;"",$AQ50&lt;&gt;""),IF(COUNTIFS($B$6:$B$3005,$B50,$C$6:$C$3005,$C50,$D$6:$D$3005,$D50)&gt;1,"同じ月の請求が重複しています／",""),"")&amp;IF(AND(N($E50)&gt;0,$AB50&lt;&gt;"",$AB50&lt;&gt;"×",$AE50=0,$AD50=""),"計算額が下限以下のため不支給／",""))</f>
        <v/>
      </c>
      <c r="AN50" s="12" t="inlineStr">
        <is>
          <t>保留　住居⇒支給</t>
        </is>
      </c>
      <c r="AO50" s="14">
        <f>IF($AF50="保留中",COUNTIF($AF$6:$AF50,"保留中"),"")</f>
        <v/>
      </c>
      <c r="AP50" s="14">
        <f>IF($AQ50="","",IF(SUMPRODUCT(MAX((職員マスタ!$A$6:$A$405=$B50)*(((職員マスタ!$G$6:$G$405="")+(職員マスタ!$G$6:$G$405&lt;=EOMONTH($AQ50,0)))&gt;0)*(((職員マスタ!$H$6:$H$405="")+(職員マスタ!$H$6:$H$405&gt;=$AQ50))&gt;0)*(ROW(職員マスタ!$A$6:$A$405)-5)))&gt;0,SUMPRODUCT(MAX((職員マスタ!$A$6:$A$405=$B50)*(((職員マスタ!$G$6:$G$405="")+(職員マスタ!$G$6:$G$405&lt;=EOMONTH($AQ50,0)))&gt;0)*(((職員マスタ!$H$6:$H$405="")+(職員マスタ!$H$6:$H$405&gt;=$AQ50))&gt;0)*(ROW(職員マスタ!$A$6:$A$405)-5))),IFERROR(MATCH($B50,職員マスタ!$A$6:$A$405,0),"")))</f>
        <v/>
      </c>
      <c r="AQ50" s="16">
        <f>IF(OR($B50="",$C50="",$D50=""),"",DATE($C50+2018,$D50,1))</f>
        <v/>
      </c>
    </row>
    <row r="51">
      <c r="A51" s="11" t="n"/>
      <c r="B51" s="12" t="n">
        <v>5700828</v>
      </c>
      <c r="C51" s="12" t="n">
        <v>7</v>
      </c>
      <c r="D51" s="12" t="n">
        <v>5</v>
      </c>
      <c r="E51" s="13" t="n">
        <v>269722</v>
      </c>
      <c r="F51" s="12" t="n"/>
      <c r="G51" s="13" t="n"/>
      <c r="H51" s="12" t="n"/>
      <c r="I51" s="12" t="n"/>
      <c r="J51" s="12" t="n"/>
      <c r="K51" s="12" t="n"/>
      <c r="L51" s="11" t="n"/>
      <c r="M51" s="11" t="n"/>
      <c r="N51" s="11" t="n"/>
      <c r="O51" s="11" t="n"/>
      <c r="P51" s="12" t="n"/>
      <c r="Q51" s="11" t="n"/>
      <c r="R51" s="12" t="n"/>
      <c r="S51" s="11" t="n"/>
      <c r="T51" s="12" t="n"/>
      <c r="U51" s="12" t="n"/>
      <c r="V51" s="12" t="n"/>
      <c r="W51" s="13" t="n"/>
      <c r="X51" s="14">
        <f>IF($AP51="",IF($B51="","",$H51),IF(INDEX(職員マスタ!$B$6:$B$405,$AP51)="",$H51,INDEX(職員マスタ!$B$6:$B$405,$AP51)))</f>
        <v/>
      </c>
      <c r="Y51" s="14">
        <f>IF($AP51="",IF($B51="","",$R51),IF(INDEX(職員マスタ!$C$6:$C$405,$AP51)="",$R51,INDEX(職員マスタ!$C$6:$C$405,$AP51)))</f>
        <v/>
      </c>
      <c r="Z51" s="14">
        <f>IF($AQ51="","","R"&amp;$C51&amp;"."&amp;$D51)</f>
        <v/>
      </c>
      <c r="AA51" s="15">
        <f>IF(IF($AP51="",FALSE,INDEX(職員マスタ!$K$6:$K$405,$AP51)&lt;&gt;""),INDEX(職員マスタ!$K$6:$K$405,$AP51),IF(N($W51)&gt;0,$W51,""))</f>
        <v/>
      </c>
      <c r="AB51" s="14">
        <f>IF(OR($E51="",$AA51=""),"",IF($E51&gt;=$AA51,"×",IF($E51&gt;=$AA51*設定!$C$5,"△","○")))</f>
        <v/>
      </c>
      <c r="AC51" s="15">
        <f>IF($AB51="","",IF($AB51="×",0,IF($AB51="○",ROUNDDOWN($E51*設定!$C$4,0),ROUNDDOWN($E51*ROUND((9*$AA51-9*$E51)/(10*$E51),4),0))))</f>
        <v/>
      </c>
      <c r="AD51" s="13" t="n"/>
      <c r="AE51" s="15">
        <f>IF($B51="","",IF($AD51&lt;&gt;"",$AD51,IF($AC51="","",IF($AC51&lt;=設定!$C$3,0,$AC51))))</f>
        <v/>
      </c>
      <c r="AF51" s="14">
        <f>IF($B51="","",IF(AND($AG51&lt;&gt;"",$AI51="",$AL51=""),"保留中",IF($AL51&lt;&gt;"",IF(N($AE51)&gt;0,"支給済","不支給"),IF($AE51="","要確認",IF($AE51=0,"不支給","未処理")))))</f>
        <v/>
      </c>
      <c r="AG51" s="12" t="inlineStr">
        <is>
          <t>住居手当の確認</t>
        </is>
      </c>
      <c r="AH51" s="11" t="n"/>
      <c r="AI51" s="11" t="n"/>
      <c r="AJ51" s="11" t="n"/>
      <c r="AK51" s="14">
        <f>IF(AND($AF51="保留中",$AH51&lt;&gt;""),TODAY()-$AH51,"")</f>
        <v/>
      </c>
      <c r="AL51" s="12" t="inlineStr">
        <is>
          <t>R7.11</t>
        </is>
      </c>
      <c r="AM51" s="14">
        <f>IF($B51="","",IF($AQ51="","対象年月が未入力／","")&amp;IF($B51="","",IF($AP51="","職員マスタに未登録の職員番号／",IF($AA51="","標準報酬月額が未登録／","")&amp;IF(AND($AQ51&lt;&gt;"",OR(AND(INDEX(職員マスタ!$G$6:$G$405,$AP51)&lt;&gt;"",INDEX(職員マスタ!$G$6:$G$405,$AP51)&gt;EOMONTH($AQ51,0)),AND(INDEX(職員マスタ!$H$6:$H$405,$AP51)&lt;&gt;"",INDEX(職員マスタ!$H$6:$H$405,$AP51)&lt;$AQ51))),"対象月が時短期間外／","")&amp;IF(AND(INDEX(職員マスタ!$K$6:$K$405,$AP51)&lt;&gt;"",N($W51)&gt;0,INDEX(職員マスタ!$K$6:$K$405,$AP51)&lt;&gt;$W51),"標準報酬月額が申請書と相違（台帳"&amp;TEXT(INDEX(職員マスタ!$K$6:$K$405,$AP51),"#,##0")&amp;"円／申請書"&amp;TEXT($W51,"#,##0")&amp;"円）／","")&amp;IF(AND(INDEX(職員マスタ!$F$6:$F$405,$AP51)&lt;&gt;"",$AQ51&lt;&gt;"",INDEX(職員マスタ!$F$6:$F$405,$AP51)&lt;$AQ51),"対象月に子が2歳到達済／","")&amp;IF(AND($H51&lt;&gt;"",INDEX(職員マスタ!$B$6:$B$405,$AP51)&lt;&gt;"",SUBSTITUTE(SUBSTITUTE($H51," ","")," ","")&lt;&gt;SUBSTITUTE(SUBSTITUTE(INDEX(職員マスタ!$B$6:$B$405,$AP51)," ","")," ","")),"氏名がマスタと相違／","")&amp;IF(AND($Q51&lt;&gt;"",INDEX(職員マスタ!$E$6:$E$405,$AP51)&lt;&gt;"",$Q51&lt;&gt;INDEX(職員マスタ!$E$6:$E$405,$AP51)),"子の生年月日がマスタと相違／","")&amp;IF(AND($L51&lt;&gt;"",INDEX(職員マスタ!$G$6:$G$405,$AP51)&lt;&gt;"",$L51&lt;&gt;INDEX(職員マスタ!$G$6:$G$405,$AP51)),"時短開始日がマスタと相違／","")&amp;IF(AND($M51&lt;&gt;"",INDEX(職員マスタ!$H$6:$H$405,$AP51)&lt;&gt;"",$M51&lt;&gt;INDEX(職員マスタ!$H$6:$H$405,$AP51)),"時短終了日がマスタと相違／","")))&amp;IF(AND($B51&lt;&gt;"",$E51=""),"報酬額が未入力／","")&amp;IF(N($U51)&gt;0,"申請書に入力エラーが残っています／","")&amp;IF(AND($B51&lt;&gt;"",$AQ51&lt;&gt;""),IF(COUNTIFS($B$6:$B$3005,$B51,$C$6:$C$3005,$C51,$D$6:$D$3005,$D51)&gt;1,"同じ月の請求が重複しています／",""),"")&amp;IF(AND(N($E51)&gt;0,$AB51&lt;&gt;"",$AB51&lt;&gt;"×",$AE51=0,$AD51=""),"計算額が下限以下のため不支給／",""))</f>
        <v/>
      </c>
      <c r="AN51" s="12" t="inlineStr">
        <is>
          <t>保留　住居⇒支給</t>
        </is>
      </c>
      <c r="AO51" s="14">
        <f>IF($AF51="保留中",COUNTIF($AF$6:$AF51,"保留中"),"")</f>
        <v/>
      </c>
      <c r="AP51" s="14">
        <f>IF($AQ51="","",IF(SUMPRODUCT(MAX((職員マスタ!$A$6:$A$405=$B51)*(((職員マスタ!$G$6:$G$405="")+(職員マスタ!$G$6:$G$405&lt;=EOMONTH($AQ51,0)))&gt;0)*(((職員マスタ!$H$6:$H$405="")+(職員マスタ!$H$6:$H$405&gt;=$AQ51))&gt;0)*(ROW(職員マスタ!$A$6:$A$405)-5)))&gt;0,SUMPRODUCT(MAX((職員マスタ!$A$6:$A$405=$B51)*(((職員マスタ!$G$6:$G$405="")+(職員マスタ!$G$6:$G$405&lt;=EOMONTH($AQ51,0)))&gt;0)*(((職員マスタ!$H$6:$H$405="")+(職員マスタ!$H$6:$H$405&gt;=$AQ51))&gt;0)*(ROW(職員マスタ!$A$6:$A$405)-5))),IFERROR(MATCH($B51,職員マスタ!$A$6:$A$405,0),"")))</f>
        <v/>
      </c>
      <c r="AQ51" s="16">
        <f>IF(OR($B51="",$C51="",$D51=""),"",DATE($C51+2018,$D51,1))</f>
        <v/>
      </c>
    </row>
    <row r="52">
      <c r="A52" s="11" t="n"/>
      <c r="B52" s="12" t="n">
        <v>5700828</v>
      </c>
      <c r="C52" s="12" t="n">
        <v>7</v>
      </c>
      <c r="D52" s="12" t="n">
        <v>6</v>
      </c>
      <c r="E52" s="13" t="n">
        <v>269722</v>
      </c>
      <c r="F52" s="12" t="n"/>
      <c r="G52" s="13" t="n"/>
      <c r="H52" s="12" t="n"/>
      <c r="I52" s="12" t="n"/>
      <c r="J52" s="12" t="n"/>
      <c r="K52" s="12" t="n"/>
      <c r="L52" s="11" t="n"/>
      <c r="M52" s="11" t="n"/>
      <c r="N52" s="11" t="n"/>
      <c r="O52" s="11" t="n"/>
      <c r="P52" s="12" t="n"/>
      <c r="Q52" s="11" t="n"/>
      <c r="R52" s="12" t="n"/>
      <c r="S52" s="11" t="n"/>
      <c r="T52" s="12" t="n"/>
      <c r="U52" s="12" t="n"/>
      <c r="V52" s="12" t="n"/>
      <c r="W52" s="13" t="n"/>
      <c r="X52" s="14">
        <f>IF($AP52="",IF($B52="","",$H52),IF(INDEX(職員マスタ!$B$6:$B$405,$AP52)="",$H52,INDEX(職員マスタ!$B$6:$B$405,$AP52)))</f>
        <v/>
      </c>
      <c r="Y52" s="14">
        <f>IF($AP52="",IF($B52="","",$R52),IF(INDEX(職員マスタ!$C$6:$C$405,$AP52)="",$R52,INDEX(職員マスタ!$C$6:$C$405,$AP52)))</f>
        <v/>
      </c>
      <c r="Z52" s="14">
        <f>IF($AQ52="","","R"&amp;$C52&amp;"."&amp;$D52)</f>
        <v/>
      </c>
      <c r="AA52" s="15">
        <f>IF(IF($AP52="",FALSE,INDEX(職員マスタ!$K$6:$K$405,$AP52)&lt;&gt;""),INDEX(職員マスタ!$K$6:$K$405,$AP52),IF(N($W52)&gt;0,$W52,""))</f>
        <v/>
      </c>
      <c r="AB52" s="14">
        <f>IF(OR($E52="",$AA52=""),"",IF($E52&gt;=$AA52,"×",IF($E52&gt;=$AA52*設定!$C$5,"△","○")))</f>
        <v/>
      </c>
      <c r="AC52" s="15">
        <f>IF($AB52="","",IF($AB52="×",0,IF($AB52="○",ROUNDDOWN($E52*設定!$C$4,0),ROUNDDOWN($E52*ROUND((9*$AA52-9*$E52)/(10*$E52),4),0))))</f>
        <v/>
      </c>
      <c r="AD52" s="13" t="n"/>
      <c r="AE52" s="15">
        <f>IF($B52="","",IF($AD52&lt;&gt;"",$AD52,IF($AC52="","",IF($AC52&lt;=設定!$C$3,0,$AC52))))</f>
        <v/>
      </c>
      <c r="AF52" s="14">
        <f>IF($B52="","",IF(AND($AG52&lt;&gt;"",$AI52="",$AL52=""),"保留中",IF($AL52&lt;&gt;"",IF(N($AE52)&gt;0,"支給済","不支給"),IF($AE52="","要確認",IF($AE52=0,"不支給","未処理")))))</f>
        <v/>
      </c>
      <c r="AG52" s="12" t="n"/>
      <c r="AH52" s="11" t="n"/>
      <c r="AI52" s="11" t="n"/>
      <c r="AJ52" s="11" t="n"/>
      <c r="AK52" s="14">
        <f>IF(AND($AF52="保留中",$AH52&lt;&gt;""),TODAY()-$AH52,"")</f>
        <v/>
      </c>
      <c r="AL52" s="12" t="inlineStr">
        <is>
          <t>R7.9</t>
        </is>
      </c>
      <c r="AM52" s="14">
        <f>IF($B52="","",IF($AQ52="","対象年月が未入力／","")&amp;IF($B52="","",IF($AP52="","職員マスタに未登録の職員番号／",IF($AA52="","標準報酬月額が未登録／","")&amp;IF(AND($AQ52&lt;&gt;"",OR(AND(INDEX(職員マスタ!$G$6:$G$405,$AP52)&lt;&gt;"",INDEX(職員マスタ!$G$6:$G$405,$AP52)&gt;EOMONTH($AQ52,0)),AND(INDEX(職員マスタ!$H$6:$H$405,$AP52)&lt;&gt;"",INDEX(職員マスタ!$H$6:$H$405,$AP52)&lt;$AQ52))),"対象月が時短期間外／","")&amp;IF(AND(INDEX(職員マスタ!$K$6:$K$405,$AP52)&lt;&gt;"",N($W52)&gt;0,INDEX(職員マスタ!$K$6:$K$405,$AP52)&lt;&gt;$W52),"標準報酬月額が申請書と相違（台帳"&amp;TEXT(INDEX(職員マスタ!$K$6:$K$405,$AP52),"#,##0")&amp;"円／申請書"&amp;TEXT($W52,"#,##0")&amp;"円）／","")&amp;IF(AND(INDEX(職員マスタ!$F$6:$F$405,$AP52)&lt;&gt;"",$AQ52&lt;&gt;"",INDEX(職員マスタ!$F$6:$F$405,$AP52)&lt;$AQ52),"対象月に子が2歳到達済／","")&amp;IF(AND($H52&lt;&gt;"",INDEX(職員マスタ!$B$6:$B$405,$AP52)&lt;&gt;"",SUBSTITUTE(SUBSTITUTE($H52," ","")," ","")&lt;&gt;SUBSTITUTE(SUBSTITUTE(INDEX(職員マスタ!$B$6:$B$405,$AP52)," ","")," ","")),"氏名がマスタと相違／","")&amp;IF(AND($Q52&lt;&gt;"",INDEX(職員マスタ!$E$6:$E$405,$AP52)&lt;&gt;"",$Q52&lt;&gt;INDEX(職員マスタ!$E$6:$E$405,$AP52)),"子の生年月日がマスタと相違／","")&amp;IF(AND($L52&lt;&gt;"",INDEX(職員マスタ!$G$6:$G$405,$AP52)&lt;&gt;"",$L52&lt;&gt;INDEX(職員マスタ!$G$6:$G$405,$AP52)),"時短開始日がマスタと相違／","")&amp;IF(AND($M52&lt;&gt;"",INDEX(職員マスタ!$H$6:$H$405,$AP52)&lt;&gt;"",$M52&lt;&gt;INDEX(職員マスタ!$H$6:$H$405,$AP52)),"時短終了日がマスタと相違／","")))&amp;IF(AND($B52&lt;&gt;"",$E52=""),"報酬額が未入力／","")&amp;IF(N($U52)&gt;0,"申請書に入力エラーが残っています／","")&amp;IF(AND($B52&lt;&gt;"",$AQ52&lt;&gt;""),IF(COUNTIFS($B$6:$B$3005,$B52,$C$6:$C$3005,$C52,$D$6:$D$3005,$D52)&gt;1,"同じ月の請求が重複しています／",""),"")&amp;IF(AND(N($E52)&gt;0,$AB52&lt;&gt;"",$AB52&lt;&gt;"×",$AE52=0,$AD52=""),"計算額が下限以下のため不支給／",""))</f>
        <v/>
      </c>
      <c r="AN52" s="12" t="n"/>
      <c r="AO52" s="14">
        <f>IF($AF52="保留中",COUNTIF($AF$6:$AF52,"保留中"),"")</f>
        <v/>
      </c>
      <c r="AP52" s="14">
        <f>IF($AQ52="","",IF(SUMPRODUCT(MAX((職員マスタ!$A$6:$A$405=$B52)*(((職員マスタ!$G$6:$G$405="")+(職員マスタ!$G$6:$G$405&lt;=EOMONTH($AQ52,0)))&gt;0)*(((職員マスタ!$H$6:$H$405="")+(職員マスタ!$H$6:$H$405&gt;=$AQ52))&gt;0)*(ROW(職員マスタ!$A$6:$A$405)-5)))&gt;0,SUMPRODUCT(MAX((職員マスタ!$A$6:$A$405=$B52)*(((職員マスタ!$G$6:$G$405="")+(職員マスタ!$G$6:$G$405&lt;=EOMONTH($AQ52,0)))&gt;0)*(((職員マスタ!$H$6:$H$405="")+(職員マスタ!$H$6:$H$405&gt;=$AQ52))&gt;0)*(ROW(職員マスタ!$A$6:$A$405)-5))),IFERROR(MATCH($B52,職員マスタ!$A$6:$A$405,0),"")))</f>
        <v/>
      </c>
      <c r="AQ52" s="16">
        <f>IF(OR($B52="",$C52="",$D52=""),"",DATE($C52+2018,$D52,1))</f>
        <v/>
      </c>
    </row>
    <row r="53">
      <c r="A53" s="11" t="n"/>
      <c r="B53" s="12" t="n">
        <v>5700828</v>
      </c>
      <c r="C53" s="12" t="n">
        <v>7</v>
      </c>
      <c r="D53" s="12" t="n">
        <v>7</v>
      </c>
      <c r="E53" s="13" t="n">
        <v>388634</v>
      </c>
      <c r="F53" s="12" t="n"/>
      <c r="G53" s="13" t="n"/>
      <c r="H53" s="12" t="n"/>
      <c r="I53" s="12" t="n"/>
      <c r="J53" s="12" t="n"/>
      <c r="K53" s="12" t="n"/>
      <c r="L53" s="11" t="n"/>
      <c r="M53" s="11" t="n"/>
      <c r="N53" s="11" t="n"/>
      <c r="O53" s="11" t="n"/>
      <c r="P53" s="12" t="n"/>
      <c r="Q53" s="11" t="n"/>
      <c r="R53" s="12" t="n"/>
      <c r="S53" s="11" t="n"/>
      <c r="T53" s="12" t="n"/>
      <c r="U53" s="12" t="n"/>
      <c r="V53" s="12" t="n"/>
      <c r="W53" s="13" t="n"/>
      <c r="X53" s="14">
        <f>IF($AP53="",IF($B53="","",$H53),IF(INDEX(職員マスタ!$B$6:$B$405,$AP53)="",$H53,INDEX(職員マスタ!$B$6:$B$405,$AP53)))</f>
        <v/>
      </c>
      <c r="Y53" s="14">
        <f>IF($AP53="",IF($B53="","",$R53),IF(INDEX(職員マスタ!$C$6:$C$405,$AP53)="",$R53,INDEX(職員マスタ!$C$6:$C$405,$AP53)))</f>
        <v/>
      </c>
      <c r="Z53" s="14">
        <f>IF($AQ53="","","R"&amp;$C53&amp;"."&amp;$D53)</f>
        <v/>
      </c>
      <c r="AA53" s="15">
        <f>IF(IF($AP53="",FALSE,INDEX(職員マスタ!$K$6:$K$405,$AP53)&lt;&gt;""),INDEX(職員マスタ!$K$6:$K$405,$AP53),IF(N($W53)&gt;0,$W53,""))</f>
        <v/>
      </c>
      <c r="AB53" s="14">
        <f>IF(OR($E53="",$AA53=""),"",IF($E53&gt;=$AA53,"×",IF($E53&gt;=$AA53*設定!$C$5,"△","○")))</f>
        <v/>
      </c>
      <c r="AC53" s="15">
        <f>IF($AB53="","",IF($AB53="×",0,IF($AB53="○",ROUNDDOWN($E53*設定!$C$4,0),ROUNDDOWN($E53*ROUND((9*$AA53-9*$E53)/(10*$E53),4),0))))</f>
        <v/>
      </c>
      <c r="AD53" s="13" t="n"/>
      <c r="AE53" s="15">
        <f>IF($B53="","",IF($AD53&lt;&gt;"",$AD53,IF($AC53="","",IF($AC53&lt;=設定!$C$3,0,$AC53))))</f>
        <v/>
      </c>
      <c r="AF53" s="14">
        <f>IF($B53="","",IF(AND($AG53&lt;&gt;"",$AI53="",$AL53=""),"保留中",IF($AL53&lt;&gt;"",IF(N($AE53)&gt;0,"支給済","不支給"),IF($AE53="","要確認",IF($AE53=0,"不支給","未処理")))))</f>
        <v/>
      </c>
      <c r="AG53" s="12" t="n"/>
      <c r="AH53" s="11" t="n"/>
      <c r="AI53" s="11" t="n"/>
      <c r="AJ53" s="11" t="n"/>
      <c r="AK53" s="14">
        <f>IF(AND($AF53="保留中",$AH53&lt;&gt;""),TODAY()-$AH53,"")</f>
        <v/>
      </c>
      <c r="AL53" s="12" t="inlineStr">
        <is>
          <t>R7.9</t>
        </is>
      </c>
      <c r="AM53" s="14">
        <f>IF($B53="","",IF($AQ53="","対象年月が未入力／","")&amp;IF($B53="","",IF($AP53="","職員マスタに未登録の職員番号／",IF($AA53="","標準報酬月額が未登録／","")&amp;IF(AND($AQ53&lt;&gt;"",OR(AND(INDEX(職員マスタ!$G$6:$G$405,$AP53)&lt;&gt;"",INDEX(職員マスタ!$G$6:$G$405,$AP53)&gt;EOMONTH($AQ53,0)),AND(INDEX(職員マスタ!$H$6:$H$405,$AP53)&lt;&gt;"",INDEX(職員マスタ!$H$6:$H$405,$AP53)&lt;$AQ53))),"対象月が時短期間外／","")&amp;IF(AND(INDEX(職員マスタ!$K$6:$K$405,$AP53)&lt;&gt;"",N($W53)&gt;0,INDEX(職員マスタ!$K$6:$K$405,$AP53)&lt;&gt;$W53),"標準報酬月額が申請書と相違（台帳"&amp;TEXT(INDEX(職員マスタ!$K$6:$K$405,$AP53),"#,##0")&amp;"円／申請書"&amp;TEXT($W53,"#,##0")&amp;"円）／","")&amp;IF(AND(INDEX(職員マスタ!$F$6:$F$405,$AP53)&lt;&gt;"",$AQ53&lt;&gt;"",INDEX(職員マスタ!$F$6:$F$405,$AP53)&lt;$AQ53),"対象月に子が2歳到達済／","")&amp;IF(AND($H53&lt;&gt;"",INDEX(職員マスタ!$B$6:$B$405,$AP53)&lt;&gt;"",SUBSTITUTE(SUBSTITUTE($H53," ","")," ","")&lt;&gt;SUBSTITUTE(SUBSTITUTE(INDEX(職員マスタ!$B$6:$B$405,$AP53)," ","")," ","")),"氏名がマスタと相違／","")&amp;IF(AND($Q53&lt;&gt;"",INDEX(職員マスタ!$E$6:$E$405,$AP53)&lt;&gt;"",$Q53&lt;&gt;INDEX(職員マスタ!$E$6:$E$405,$AP53)),"子の生年月日がマスタと相違／","")&amp;IF(AND($L53&lt;&gt;"",INDEX(職員マスタ!$G$6:$G$405,$AP53)&lt;&gt;"",$L53&lt;&gt;INDEX(職員マスタ!$G$6:$G$405,$AP53)),"時短開始日がマスタと相違／","")&amp;IF(AND($M53&lt;&gt;"",INDEX(職員マスタ!$H$6:$H$405,$AP53)&lt;&gt;"",$M53&lt;&gt;INDEX(職員マスタ!$H$6:$H$405,$AP53)),"時短終了日がマスタと相違／","")))&amp;IF(AND($B53&lt;&gt;"",$E53=""),"報酬額が未入力／","")&amp;IF(N($U53)&gt;0,"申請書に入力エラーが残っています／","")&amp;IF(AND($B53&lt;&gt;"",$AQ53&lt;&gt;""),IF(COUNTIFS($B$6:$B$3005,$B53,$C$6:$C$3005,$C53,$D$6:$D$3005,$D53)&gt;1,"同じ月の請求が重複しています／",""),"")&amp;IF(AND(N($E53)&gt;0,$AB53&lt;&gt;"",$AB53&lt;&gt;"×",$AE53=0,$AD53=""),"計算額が下限以下のため不支給／",""))</f>
        <v/>
      </c>
      <c r="AN53" s="12" t="n"/>
      <c r="AO53" s="14">
        <f>IF($AF53="保留中",COUNTIF($AF$6:$AF53,"保留中"),"")</f>
        <v/>
      </c>
      <c r="AP53" s="14">
        <f>IF($AQ53="","",IF(SUMPRODUCT(MAX((職員マスタ!$A$6:$A$405=$B53)*(((職員マスタ!$G$6:$G$405="")+(職員マスタ!$G$6:$G$405&lt;=EOMONTH($AQ53,0)))&gt;0)*(((職員マスタ!$H$6:$H$405="")+(職員マスタ!$H$6:$H$405&gt;=$AQ53))&gt;0)*(ROW(職員マスタ!$A$6:$A$405)-5)))&gt;0,SUMPRODUCT(MAX((職員マスタ!$A$6:$A$405=$B53)*(((職員マスタ!$G$6:$G$405="")+(職員マスタ!$G$6:$G$405&lt;=EOMONTH($AQ53,0)))&gt;0)*(((職員マスタ!$H$6:$H$405="")+(職員マスタ!$H$6:$H$405&gt;=$AQ53))&gt;0)*(ROW(職員マスタ!$A$6:$A$405)-5))),IFERROR(MATCH($B53,職員マスタ!$A$6:$A$405,0),"")))</f>
        <v/>
      </c>
      <c r="AQ53" s="16">
        <f>IF(OR($B53="",$C53="",$D53=""),"",DATE($C53+2018,$D53,1))</f>
        <v/>
      </c>
    </row>
    <row r="54">
      <c r="A54" s="11" t="n"/>
      <c r="B54" s="12" t="n">
        <v>5802509</v>
      </c>
      <c r="C54" s="12" t="n">
        <v>7</v>
      </c>
      <c r="D54" s="12" t="n">
        <v>4</v>
      </c>
      <c r="E54" s="13" t="n">
        <v>192173</v>
      </c>
      <c r="F54" s="12" t="n"/>
      <c r="G54" s="13" t="n"/>
      <c r="H54" s="12" t="n"/>
      <c r="I54" s="12" t="n"/>
      <c r="J54" s="12" t="n"/>
      <c r="K54" s="12" t="n"/>
      <c r="L54" s="11" t="n"/>
      <c r="M54" s="11" t="n"/>
      <c r="N54" s="11" t="n"/>
      <c r="O54" s="11" t="n"/>
      <c r="P54" s="12" t="n"/>
      <c r="Q54" s="11" t="n"/>
      <c r="R54" s="12" t="n"/>
      <c r="S54" s="11" t="n"/>
      <c r="T54" s="12" t="n"/>
      <c r="U54" s="12" t="n"/>
      <c r="V54" s="12" t="n"/>
      <c r="W54" s="13" t="n"/>
      <c r="X54" s="14">
        <f>IF($AP54="",IF($B54="","",$H54),IF(INDEX(職員マスタ!$B$6:$B$405,$AP54)="",$H54,INDEX(職員マスタ!$B$6:$B$405,$AP54)))</f>
        <v/>
      </c>
      <c r="Y54" s="14">
        <f>IF($AP54="",IF($B54="","",$R54),IF(INDEX(職員マスタ!$C$6:$C$405,$AP54)="",$R54,INDEX(職員マスタ!$C$6:$C$405,$AP54)))</f>
        <v/>
      </c>
      <c r="Z54" s="14">
        <f>IF($AQ54="","","R"&amp;$C54&amp;"."&amp;$D54)</f>
        <v/>
      </c>
      <c r="AA54" s="15">
        <f>IF(IF($AP54="",FALSE,INDEX(職員マスタ!$K$6:$K$405,$AP54)&lt;&gt;""),INDEX(職員マスタ!$K$6:$K$405,$AP54),IF(N($W54)&gt;0,$W54,""))</f>
        <v/>
      </c>
      <c r="AB54" s="14">
        <f>IF(OR($E54="",$AA54=""),"",IF($E54&gt;=$AA54,"×",IF($E54&gt;=$AA54*設定!$C$5,"△","○")))</f>
        <v/>
      </c>
      <c r="AC54" s="15">
        <f>IF($AB54="","",IF($AB54="×",0,IF($AB54="○",ROUNDDOWN($E54*設定!$C$4,0),ROUNDDOWN($E54*ROUND((9*$AA54-9*$E54)/(10*$E54),4),0))))</f>
        <v/>
      </c>
      <c r="AD54" s="13" t="n"/>
      <c r="AE54" s="15">
        <f>IF($B54="","",IF($AD54&lt;&gt;"",$AD54,IF($AC54="","",IF($AC54&lt;=設定!$C$3,0,$AC54))))</f>
        <v/>
      </c>
      <c r="AF54" s="14">
        <f>IF($B54="","",IF(AND($AG54&lt;&gt;"",$AI54="",$AL54=""),"保留中",IF($AL54&lt;&gt;"",IF(N($AE54)&gt;0,"支給済","不支給"),IF($AE54="","要確認",IF($AE54=0,"不支給","未処理")))))</f>
        <v/>
      </c>
      <c r="AG54" s="12" t="n"/>
      <c r="AH54" s="11" t="n"/>
      <c r="AI54" s="11" t="n"/>
      <c r="AJ54" s="11" t="n"/>
      <c r="AK54" s="14">
        <f>IF(AND($AF54="保留中",$AH54&lt;&gt;""),TODAY()-$AH54,"")</f>
        <v/>
      </c>
      <c r="AL54" s="12" t="inlineStr">
        <is>
          <t>R7.8</t>
        </is>
      </c>
      <c r="AM54" s="14">
        <f>IF($B54="","",IF($AQ54="","対象年月が未入力／","")&amp;IF($B54="","",IF($AP54="","職員マスタに未登録の職員番号／",IF($AA54="","標準報酬月額が未登録／","")&amp;IF(AND($AQ54&lt;&gt;"",OR(AND(INDEX(職員マスタ!$G$6:$G$405,$AP54)&lt;&gt;"",INDEX(職員マスタ!$G$6:$G$405,$AP54)&gt;EOMONTH($AQ54,0)),AND(INDEX(職員マスタ!$H$6:$H$405,$AP54)&lt;&gt;"",INDEX(職員マスタ!$H$6:$H$405,$AP54)&lt;$AQ54))),"対象月が時短期間外／","")&amp;IF(AND(INDEX(職員マスタ!$K$6:$K$405,$AP54)&lt;&gt;"",N($W54)&gt;0,INDEX(職員マスタ!$K$6:$K$405,$AP54)&lt;&gt;$W54),"標準報酬月額が申請書と相違（台帳"&amp;TEXT(INDEX(職員マスタ!$K$6:$K$405,$AP54),"#,##0")&amp;"円／申請書"&amp;TEXT($W54,"#,##0")&amp;"円）／","")&amp;IF(AND(INDEX(職員マスタ!$F$6:$F$405,$AP54)&lt;&gt;"",$AQ54&lt;&gt;"",INDEX(職員マスタ!$F$6:$F$405,$AP54)&lt;$AQ54),"対象月に子が2歳到達済／","")&amp;IF(AND($H54&lt;&gt;"",INDEX(職員マスタ!$B$6:$B$405,$AP54)&lt;&gt;"",SUBSTITUTE(SUBSTITUTE($H54," ","")," ","")&lt;&gt;SUBSTITUTE(SUBSTITUTE(INDEX(職員マスタ!$B$6:$B$405,$AP54)," ","")," ","")),"氏名がマスタと相違／","")&amp;IF(AND($Q54&lt;&gt;"",INDEX(職員マスタ!$E$6:$E$405,$AP54)&lt;&gt;"",$Q54&lt;&gt;INDEX(職員マスタ!$E$6:$E$405,$AP54)),"子の生年月日がマスタと相違／","")&amp;IF(AND($L54&lt;&gt;"",INDEX(職員マスタ!$G$6:$G$405,$AP54)&lt;&gt;"",$L54&lt;&gt;INDEX(職員マスタ!$G$6:$G$405,$AP54)),"時短開始日がマスタと相違／","")&amp;IF(AND($M54&lt;&gt;"",INDEX(職員マスタ!$H$6:$H$405,$AP54)&lt;&gt;"",$M54&lt;&gt;INDEX(職員マスタ!$H$6:$H$405,$AP54)),"時短終了日がマスタと相違／","")))&amp;IF(AND($B54&lt;&gt;"",$E54=""),"報酬額が未入力／","")&amp;IF(N($U54)&gt;0,"申請書に入力エラーが残っています／","")&amp;IF(AND($B54&lt;&gt;"",$AQ54&lt;&gt;""),IF(COUNTIFS($B$6:$B$3005,$B54,$C$6:$C$3005,$C54,$D$6:$D$3005,$D54)&gt;1,"同じ月の請求が重複しています／",""),"")&amp;IF(AND(N($E54)&gt;0,$AB54&lt;&gt;"",$AB54&lt;&gt;"×",$AE54=0,$AD54=""),"計算額が下限以下のため不支給／",""))</f>
        <v/>
      </c>
      <c r="AN54" s="12" t="n"/>
      <c r="AO54" s="14">
        <f>IF($AF54="保留中",COUNTIF($AF$6:$AF54,"保留中"),"")</f>
        <v/>
      </c>
      <c r="AP54" s="14">
        <f>IF($AQ54="","",IF(SUMPRODUCT(MAX((職員マスタ!$A$6:$A$405=$B54)*(((職員マスタ!$G$6:$G$405="")+(職員マスタ!$G$6:$G$405&lt;=EOMONTH($AQ54,0)))&gt;0)*(((職員マスタ!$H$6:$H$405="")+(職員マスタ!$H$6:$H$405&gt;=$AQ54))&gt;0)*(ROW(職員マスタ!$A$6:$A$405)-5)))&gt;0,SUMPRODUCT(MAX((職員マスタ!$A$6:$A$405=$B54)*(((職員マスタ!$G$6:$G$405="")+(職員マスタ!$G$6:$G$405&lt;=EOMONTH($AQ54,0)))&gt;0)*(((職員マスタ!$H$6:$H$405="")+(職員マスタ!$H$6:$H$405&gt;=$AQ54))&gt;0)*(ROW(職員マスタ!$A$6:$A$405)-5))),IFERROR(MATCH($B54,職員マスタ!$A$6:$A$405,0),"")))</f>
        <v/>
      </c>
      <c r="AQ54" s="16">
        <f>IF(OR($B54="",$C54="",$D54=""),"",DATE($C54+2018,$D54,1))</f>
        <v/>
      </c>
    </row>
    <row r="55">
      <c r="A55" s="11" t="n"/>
      <c r="B55" s="12" t="n">
        <v>5802509</v>
      </c>
      <c r="C55" s="12" t="n">
        <v>7</v>
      </c>
      <c r="D55" s="12" t="n">
        <v>5</v>
      </c>
      <c r="E55" s="13" t="n">
        <v>201065</v>
      </c>
      <c r="F55" s="12" t="n"/>
      <c r="G55" s="13" t="n"/>
      <c r="H55" s="12" t="n"/>
      <c r="I55" s="12" t="n"/>
      <c r="J55" s="12" t="n"/>
      <c r="K55" s="12" t="n"/>
      <c r="L55" s="11" t="n"/>
      <c r="M55" s="11" t="n"/>
      <c r="N55" s="11" t="n"/>
      <c r="O55" s="11" t="n"/>
      <c r="P55" s="12" t="n"/>
      <c r="Q55" s="11" t="n"/>
      <c r="R55" s="12" t="n"/>
      <c r="S55" s="11" t="n"/>
      <c r="T55" s="12" t="n"/>
      <c r="U55" s="12" t="n"/>
      <c r="V55" s="12" t="n"/>
      <c r="W55" s="13" t="n"/>
      <c r="X55" s="14">
        <f>IF($AP55="",IF($B55="","",$H55),IF(INDEX(職員マスタ!$B$6:$B$405,$AP55)="",$H55,INDEX(職員マスタ!$B$6:$B$405,$AP55)))</f>
        <v/>
      </c>
      <c r="Y55" s="14">
        <f>IF($AP55="",IF($B55="","",$R55),IF(INDEX(職員マスタ!$C$6:$C$405,$AP55)="",$R55,INDEX(職員マスタ!$C$6:$C$405,$AP55)))</f>
        <v/>
      </c>
      <c r="Z55" s="14">
        <f>IF($AQ55="","","R"&amp;$C55&amp;"."&amp;$D55)</f>
        <v/>
      </c>
      <c r="AA55" s="15">
        <f>IF(IF($AP55="",FALSE,INDEX(職員マスタ!$K$6:$K$405,$AP55)&lt;&gt;""),INDEX(職員マスタ!$K$6:$K$405,$AP55),IF(N($W55)&gt;0,$W55,""))</f>
        <v/>
      </c>
      <c r="AB55" s="14">
        <f>IF(OR($E55="",$AA55=""),"",IF($E55&gt;=$AA55,"×",IF($E55&gt;=$AA55*設定!$C$5,"△","○")))</f>
        <v/>
      </c>
      <c r="AC55" s="15">
        <f>IF($AB55="","",IF($AB55="×",0,IF($AB55="○",ROUNDDOWN($E55*設定!$C$4,0),ROUNDDOWN($E55*ROUND((9*$AA55-9*$E55)/(10*$E55),4),0))))</f>
        <v/>
      </c>
      <c r="AD55" s="13" t="n"/>
      <c r="AE55" s="15">
        <f>IF($B55="","",IF($AD55&lt;&gt;"",$AD55,IF($AC55="","",IF($AC55&lt;=設定!$C$3,0,$AC55))))</f>
        <v/>
      </c>
      <c r="AF55" s="14">
        <f>IF($B55="","",IF(AND($AG55&lt;&gt;"",$AI55="",$AL55=""),"保留中",IF($AL55&lt;&gt;"",IF(N($AE55)&gt;0,"支給済","不支給"),IF($AE55="","要確認",IF($AE55=0,"不支給","未処理")))))</f>
        <v/>
      </c>
      <c r="AG55" s="12" t="n"/>
      <c r="AH55" s="11" t="n"/>
      <c r="AI55" s="11" t="n"/>
      <c r="AJ55" s="11" t="n"/>
      <c r="AK55" s="14">
        <f>IF(AND($AF55="保留中",$AH55&lt;&gt;""),TODAY()-$AH55,"")</f>
        <v/>
      </c>
      <c r="AL55" s="12" t="inlineStr">
        <is>
          <t>R7.8</t>
        </is>
      </c>
      <c r="AM55" s="14">
        <f>IF($B55="","",IF($AQ55="","対象年月が未入力／","")&amp;IF($B55="","",IF($AP55="","職員マスタに未登録の職員番号／",IF($AA55="","標準報酬月額が未登録／","")&amp;IF(AND($AQ55&lt;&gt;"",OR(AND(INDEX(職員マスタ!$G$6:$G$405,$AP55)&lt;&gt;"",INDEX(職員マスタ!$G$6:$G$405,$AP55)&gt;EOMONTH($AQ55,0)),AND(INDEX(職員マスタ!$H$6:$H$405,$AP55)&lt;&gt;"",INDEX(職員マスタ!$H$6:$H$405,$AP55)&lt;$AQ55))),"対象月が時短期間外／","")&amp;IF(AND(INDEX(職員マスタ!$K$6:$K$405,$AP55)&lt;&gt;"",N($W55)&gt;0,INDEX(職員マスタ!$K$6:$K$405,$AP55)&lt;&gt;$W55),"標準報酬月額が申請書と相違（台帳"&amp;TEXT(INDEX(職員マスタ!$K$6:$K$405,$AP55),"#,##0")&amp;"円／申請書"&amp;TEXT($W55,"#,##0")&amp;"円）／","")&amp;IF(AND(INDEX(職員マスタ!$F$6:$F$405,$AP55)&lt;&gt;"",$AQ55&lt;&gt;"",INDEX(職員マスタ!$F$6:$F$405,$AP55)&lt;$AQ55),"対象月に子が2歳到達済／","")&amp;IF(AND($H55&lt;&gt;"",INDEX(職員マスタ!$B$6:$B$405,$AP55)&lt;&gt;"",SUBSTITUTE(SUBSTITUTE($H55," ","")," ","")&lt;&gt;SUBSTITUTE(SUBSTITUTE(INDEX(職員マスタ!$B$6:$B$405,$AP55)," ","")," ","")),"氏名がマスタと相違／","")&amp;IF(AND($Q55&lt;&gt;"",INDEX(職員マスタ!$E$6:$E$405,$AP55)&lt;&gt;"",$Q55&lt;&gt;INDEX(職員マスタ!$E$6:$E$405,$AP55)),"子の生年月日がマスタと相違／","")&amp;IF(AND($L55&lt;&gt;"",INDEX(職員マスタ!$G$6:$G$405,$AP55)&lt;&gt;"",$L55&lt;&gt;INDEX(職員マスタ!$G$6:$G$405,$AP55)),"時短開始日がマスタと相違／","")&amp;IF(AND($M55&lt;&gt;"",INDEX(職員マスタ!$H$6:$H$405,$AP55)&lt;&gt;"",$M55&lt;&gt;INDEX(職員マスタ!$H$6:$H$405,$AP55)),"時短終了日がマスタと相違／","")))&amp;IF(AND($B55&lt;&gt;"",$E55=""),"報酬額が未入力／","")&amp;IF(N($U55)&gt;0,"申請書に入力エラーが残っています／","")&amp;IF(AND($B55&lt;&gt;"",$AQ55&lt;&gt;""),IF(COUNTIFS($B$6:$B$3005,$B55,$C$6:$C$3005,$C55,$D$6:$D$3005,$D55)&gt;1,"同じ月の請求が重複しています／",""),"")&amp;IF(AND(N($E55)&gt;0,$AB55&lt;&gt;"",$AB55&lt;&gt;"×",$AE55=0,$AD55=""),"計算額が下限以下のため不支給／",""))</f>
        <v/>
      </c>
      <c r="AN55" s="12" t="n"/>
      <c r="AO55" s="14">
        <f>IF($AF55="保留中",COUNTIF($AF$6:$AF55,"保留中"),"")</f>
        <v/>
      </c>
      <c r="AP55" s="14">
        <f>IF($AQ55="","",IF(SUMPRODUCT(MAX((職員マスタ!$A$6:$A$405=$B55)*(((職員マスタ!$G$6:$G$405="")+(職員マスタ!$G$6:$G$405&lt;=EOMONTH($AQ55,0)))&gt;0)*(((職員マスタ!$H$6:$H$405="")+(職員マスタ!$H$6:$H$405&gt;=$AQ55))&gt;0)*(ROW(職員マスタ!$A$6:$A$405)-5)))&gt;0,SUMPRODUCT(MAX((職員マスタ!$A$6:$A$405=$B55)*(((職員マスタ!$G$6:$G$405="")+(職員マスタ!$G$6:$G$405&lt;=EOMONTH($AQ55,0)))&gt;0)*(((職員マスタ!$H$6:$H$405="")+(職員マスタ!$H$6:$H$405&gt;=$AQ55))&gt;0)*(ROW(職員マスタ!$A$6:$A$405)-5))),IFERROR(MATCH($B55,職員マスタ!$A$6:$A$405,0),"")))</f>
        <v/>
      </c>
      <c r="AQ55" s="16">
        <f>IF(OR($B55="",$C55="",$D55=""),"",DATE($C55+2018,$D55,1))</f>
        <v/>
      </c>
    </row>
    <row r="56">
      <c r="A56" s="11" t="n"/>
      <c r="B56" s="12" t="n">
        <v>5802913</v>
      </c>
      <c r="C56" s="12" t="n">
        <v>7</v>
      </c>
      <c r="D56" s="12" t="n">
        <v>5</v>
      </c>
      <c r="E56" s="13" t="n">
        <v>184188</v>
      </c>
      <c r="F56" s="12" t="n"/>
      <c r="G56" s="13" t="n"/>
      <c r="H56" s="12" t="n"/>
      <c r="I56" s="12" t="n"/>
      <c r="J56" s="12" t="n"/>
      <c r="K56" s="12" t="n"/>
      <c r="L56" s="11" t="n"/>
      <c r="M56" s="11" t="n"/>
      <c r="N56" s="11" t="n"/>
      <c r="O56" s="11" t="n"/>
      <c r="P56" s="12" t="n"/>
      <c r="Q56" s="11" t="n"/>
      <c r="R56" s="12" t="n"/>
      <c r="S56" s="11" t="n"/>
      <c r="T56" s="12" t="n"/>
      <c r="U56" s="12" t="n"/>
      <c r="V56" s="12" t="n"/>
      <c r="W56" s="13" t="n"/>
      <c r="X56" s="14">
        <f>IF($AP56="",IF($B56="","",$H56),IF(INDEX(職員マスタ!$B$6:$B$405,$AP56)="",$H56,INDEX(職員マスタ!$B$6:$B$405,$AP56)))</f>
        <v/>
      </c>
      <c r="Y56" s="14">
        <f>IF($AP56="",IF($B56="","",$R56),IF(INDEX(職員マスタ!$C$6:$C$405,$AP56)="",$R56,INDEX(職員マスタ!$C$6:$C$405,$AP56)))</f>
        <v/>
      </c>
      <c r="Z56" s="14">
        <f>IF($AQ56="","","R"&amp;$C56&amp;"."&amp;$D56)</f>
        <v/>
      </c>
      <c r="AA56" s="15">
        <f>IF(IF($AP56="",FALSE,INDEX(職員マスタ!$K$6:$K$405,$AP56)&lt;&gt;""),INDEX(職員マスタ!$K$6:$K$405,$AP56),IF(N($W56)&gt;0,$W56,""))</f>
        <v/>
      </c>
      <c r="AB56" s="14">
        <f>IF(OR($E56="",$AA56=""),"",IF($E56&gt;=$AA56,"×",IF($E56&gt;=$AA56*設定!$C$5,"△","○")))</f>
        <v/>
      </c>
      <c r="AC56" s="15">
        <f>IF($AB56="","",IF($AB56="×",0,IF($AB56="○",ROUNDDOWN($E56*設定!$C$4,0),ROUNDDOWN($E56*ROUND((9*$AA56-9*$E56)/(10*$E56),4),0))))</f>
        <v/>
      </c>
      <c r="AD56" s="13" t="n"/>
      <c r="AE56" s="15">
        <f>IF($B56="","",IF($AD56&lt;&gt;"",$AD56,IF($AC56="","",IF($AC56&lt;=設定!$C$3,0,$AC56))))</f>
        <v/>
      </c>
      <c r="AF56" s="14">
        <f>IF($B56="","",IF(AND($AG56&lt;&gt;"",$AI56="",$AL56=""),"保留中",IF($AL56&lt;&gt;"",IF(N($AE56)&gt;0,"支給済","不支給"),IF($AE56="","要確認",IF($AE56=0,"不支給","未処理")))))</f>
        <v/>
      </c>
      <c r="AG56" s="12" t="n"/>
      <c r="AH56" s="11" t="n"/>
      <c r="AI56" s="11" t="n"/>
      <c r="AJ56" s="11" t="n"/>
      <c r="AK56" s="14">
        <f>IF(AND($AF56="保留中",$AH56&lt;&gt;""),TODAY()-$AH56,"")</f>
        <v/>
      </c>
      <c r="AL56" s="12" t="inlineStr">
        <is>
          <t>R7.8</t>
        </is>
      </c>
      <c r="AM56" s="14">
        <f>IF($B56="","",IF($AQ56="","対象年月が未入力／","")&amp;IF($B56="","",IF($AP56="","職員マスタに未登録の職員番号／",IF($AA56="","標準報酬月額が未登録／","")&amp;IF(AND($AQ56&lt;&gt;"",OR(AND(INDEX(職員マスタ!$G$6:$G$405,$AP56)&lt;&gt;"",INDEX(職員マスタ!$G$6:$G$405,$AP56)&gt;EOMONTH($AQ56,0)),AND(INDEX(職員マスタ!$H$6:$H$405,$AP56)&lt;&gt;"",INDEX(職員マスタ!$H$6:$H$405,$AP56)&lt;$AQ56))),"対象月が時短期間外／","")&amp;IF(AND(INDEX(職員マスタ!$K$6:$K$405,$AP56)&lt;&gt;"",N($W56)&gt;0,INDEX(職員マスタ!$K$6:$K$405,$AP56)&lt;&gt;$W56),"標準報酬月額が申請書と相違（台帳"&amp;TEXT(INDEX(職員マスタ!$K$6:$K$405,$AP56),"#,##0")&amp;"円／申請書"&amp;TEXT($W56,"#,##0")&amp;"円）／","")&amp;IF(AND(INDEX(職員マスタ!$F$6:$F$405,$AP56)&lt;&gt;"",$AQ56&lt;&gt;"",INDEX(職員マスタ!$F$6:$F$405,$AP56)&lt;$AQ56),"対象月に子が2歳到達済／","")&amp;IF(AND($H56&lt;&gt;"",INDEX(職員マスタ!$B$6:$B$405,$AP56)&lt;&gt;"",SUBSTITUTE(SUBSTITUTE($H56," ","")," ","")&lt;&gt;SUBSTITUTE(SUBSTITUTE(INDEX(職員マスタ!$B$6:$B$405,$AP56)," ","")," ","")),"氏名がマスタと相違／","")&amp;IF(AND($Q56&lt;&gt;"",INDEX(職員マスタ!$E$6:$E$405,$AP56)&lt;&gt;"",$Q56&lt;&gt;INDEX(職員マスタ!$E$6:$E$405,$AP56)),"子の生年月日がマスタと相違／","")&amp;IF(AND($L56&lt;&gt;"",INDEX(職員マスタ!$G$6:$G$405,$AP56)&lt;&gt;"",$L56&lt;&gt;INDEX(職員マスタ!$G$6:$G$405,$AP56)),"時短開始日がマスタと相違／","")&amp;IF(AND($M56&lt;&gt;"",INDEX(職員マスタ!$H$6:$H$405,$AP56)&lt;&gt;"",$M56&lt;&gt;INDEX(職員マスタ!$H$6:$H$405,$AP56)),"時短終了日がマスタと相違／","")))&amp;IF(AND($B56&lt;&gt;"",$E56=""),"報酬額が未入力／","")&amp;IF(N($U56)&gt;0,"申請書に入力エラーが残っています／","")&amp;IF(AND($B56&lt;&gt;"",$AQ56&lt;&gt;""),IF(COUNTIFS($B$6:$B$3005,$B56,$C$6:$C$3005,$C56,$D$6:$D$3005,$D56)&gt;1,"同じ月の請求が重複しています／",""),"")&amp;IF(AND(N($E56)&gt;0,$AB56&lt;&gt;"",$AB56&lt;&gt;"×",$AE56=0,$AD56=""),"計算額が下限以下のため不支給／",""))</f>
        <v/>
      </c>
      <c r="AN56" s="12" t="n"/>
      <c r="AO56" s="14">
        <f>IF($AF56="保留中",COUNTIF($AF$6:$AF56,"保留中"),"")</f>
        <v/>
      </c>
      <c r="AP56" s="14">
        <f>IF($AQ56="","",IF(SUMPRODUCT(MAX((職員マスタ!$A$6:$A$405=$B56)*(((職員マスタ!$G$6:$G$405="")+(職員マスタ!$G$6:$G$405&lt;=EOMONTH($AQ56,0)))&gt;0)*(((職員マスタ!$H$6:$H$405="")+(職員マスタ!$H$6:$H$405&gt;=$AQ56))&gt;0)*(ROW(職員マスタ!$A$6:$A$405)-5)))&gt;0,SUMPRODUCT(MAX((職員マスタ!$A$6:$A$405=$B56)*(((職員マスタ!$G$6:$G$405="")+(職員マスタ!$G$6:$G$405&lt;=EOMONTH($AQ56,0)))&gt;0)*(((職員マスタ!$H$6:$H$405="")+(職員マスタ!$H$6:$H$405&gt;=$AQ56))&gt;0)*(ROW(職員マスタ!$A$6:$A$405)-5))),IFERROR(MATCH($B56,職員マスタ!$A$6:$A$405,0),"")))</f>
        <v/>
      </c>
      <c r="AQ56" s="16">
        <f>IF(OR($B56="",$C56="",$D56=""),"",DATE($C56+2018,$D56,1))</f>
        <v/>
      </c>
    </row>
    <row r="57">
      <c r="A57" s="11" t="n"/>
      <c r="B57" s="12" t="n">
        <v>5802913</v>
      </c>
      <c r="C57" s="12" t="n">
        <v>7</v>
      </c>
      <c r="D57" s="12" t="n">
        <v>6</v>
      </c>
      <c r="E57" s="13" t="n">
        <v>201016</v>
      </c>
      <c r="F57" s="12" t="n"/>
      <c r="G57" s="13" t="n"/>
      <c r="H57" s="12" t="n"/>
      <c r="I57" s="12" t="n"/>
      <c r="J57" s="12" t="n"/>
      <c r="K57" s="12" t="n"/>
      <c r="L57" s="11" t="n"/>
      <c r="M57" s="11" t="n"/>
      <c r="N57" s="11" t="n"/>
      <c r="O57" s="11" t="n"/>
      <c r="P57" s="12" t="n"/>
      <c r="Q57" s="11" t="n"/>
      <c r="R57" s="12" t="n"/>
      <c r="S57" s="11" t="n"/>
      <c r="T57" s="12" t="n"/>
      <c r="U57" s="12" t="n"/>
      <c r="V57" s="12" t="n"/>
      <c r="W57" s="13" t="n"/>
      <c r="X57" s="14">
        <f>IF($AP57="",IF($B57="","",$H57),IF(INDEX(職員マスタ!$B$6:$B$405,$AP57)="",$H57,INDEX(職員マスタ!$B$6:$B$405,$AP57)))</f>
        <v/>
      </c>
      <c r="Y57" s="14">
        <f>IF($AP57="",IF($B57="","",$R57),IF(INDEX(職員マスタ!$C$6:$C$405,$AP57)="",$R57,INDEX(職員マスタ!$C$6:$C$405,$AP57)))</f>
        <v/>
      </c>
      <c r="Z57" s="14">
        <f>IF($AQ57="","","R"&amp;$C57&amp;"."&amp;$D57)</f>
        <v/>
      </c>
      <c r="AA57" s="15">
        <f>IF(IF($AP57="",FALSE,INDEX(職員マスタ!$K$6:$K$405,$AP57)&lt;&gt;""),INDEX(職員マスタ!$K$6:$K$405,$AP57),IF(N($W57)&gt;0,$W57,""))</f>
        <v/>
      </c>
      <c r="AB57" s="14">
        <f>IF(OR($E57="",$AA57=""),"",IF($E57&gt;=$AA57,"×",IF($E57&gt;=$AA57*設定!$C$5,"△","○")))</f>
        <v/>
      </c>
      <c r="AC57" s="15">
        <f>IF($AB57="","",IF($AB57="×",0,IF($AB57="○",ROUNDDOWN($E57*設定!$C$4,0),ROUNDDOWN($E57*ROUND((9*$AA57-9*$E57)/(10*$E57),4),0))))</f>
        <v/>
      </c>
      <c r="AD57" s="13" t="n"/>
      <c r="AE57" s="15">
        <f>IF($B57="","",IF($AD57&lt;&gt;"",$AD57,IF($AC57="","",IF($AC57&lt;=設定!$C$3,0,$AC57))))</f>
        <v/>
      </c>
      <c r="AF57" s="14">
        <f>IF($B57="","",IF(AND($AG57&lt;&gt;"",$AI57="",$AL57=""),"保留中",IF($AL57&lt;&gt;"",IF(N($AE57)&gt;0,"支給済","不支給"),IF($AE57="","要確認",IF($AE57=0,"不支給","未処理")))))</f>
        <v/>
      </c>
      <c r="AG57" s="12" t="n"/>
      <c r="AH57" s="11" t="n"/>
      <c r="AI57" s="11" t="n"/>
      <c r="AJ57" s="11" t="n"/>
      <c r="AK57" s="14">
        <f>IF(AND($AF57="保留中",$AH57&lt;&gt;""),TODAY()-$AH57,"")</f>
        <v/>
      </c>
      <c r="AL57" s="12" t="inlineStr">
        <is>
          <t>R7.8</t>
        </is>
      </c>
      <c r="AM57" s="14">
        <f>IF($B57="","",IF($AQ57="","対象年月が未入力／","")&amp;IF($B57="","",IF($AP57="","職員マスタに未登録の職員番号／",IF($AA57="","標準報酬月額が未登録／","")&amp;IF(AND($AQ57&lt;&gt;"",OR(AND(INDEX(職員マスタ!$G$6:$G$405,$AP57)&lt;&gt;"",INDEX(職員マスタ!$G$6:$G$405,$AP57)&gt;EOMONTH($AQ57,0)),AND(INDEX(職員マスタ!$H$6:$H$405,$AP57)&lt;&gt;"",INDEX(職員マスタ!$H$6:$H$405,$AP57)&lt;$AQ57))),"対象月が時短期間外／","")&amp;IF(AND(INDEX(職員マスタ!$K$6:$K$405,$AP57)&lt;&gt;"",N($W57)&gt;0,INDEX(職員マスタ!$K$6:$K$405,$AP57)&lt;&gt;$W57),"標準報酬月額が申請書と相違（台帳"&amp;TEXT(INDEX(職員マスタ!$K$6:$K$405,$AP57),"#,##0")&amp;"円／申請書"&amp;TEXT($W57,"#,##0")&amp;"円）／","")&amp;IF(AND(INDEX(職員マスタ!$F$6:$F$405,$AP57)&lt;&gt;"",$AQ57&lt;&gt;"",INDEX(職員マスタ!$F$6:$F$405,$AP57)&lt;$AQ57),"対象月に子が2歳到達済／","")&amp;IF(AND($H57&lt;&gt;"",INDEX(職員マスタ!$B$6:$B$405,$AP57)&lt;&gt;"",SUBSTITUTE(SUBSTITUTE($H57," ","")," ","")&lt;&gt;SUBSTITUTE(SUBSTITUTE(INDEX(職員マスタ!$B$6:$B$405,$AP57)," ","")," ","")),"氏名がマスタと相違／","")&amp;IF(AND($Q57&lt;&gt;"",INDEX(職員マスタ!$E$6:$E$405,$AP57)&lt;&gt;"",$Q57&lt;&gt;INDEX(職員マスタ!$E$6:$E$405,$AP57)),"子の生年月日がマスタと相違／","")&amp;IF(AND($L57&lt;&gt;"",INDEX(職員マスタ!$G$6:$G$405,$AP57)&lt;&gt;"",$L57&lt;&gt;INDEX(職員マスタ!$G$6:$G$405,$AP57)),"時短開始日がマスタと相違／","")&amp;IF(AND($M57&lt;&gt;"",INDEX(職員マスタ!$H$6:$H$405,$AP57)&lt;&gt;"",$M57&lt;&gt;INDEX(職員マスタ!$H$6:$H$405,$AP57)),"時短終了日がマスタと相違／","")))&amp;IF(AND($B57&lt;&gt;"",$E57=""),"報酬額が未入力／","")&amp;IF(N($U57)&gt;0,"申請書に入力エラーが残っています／","")&amp;IF(AND($B57&lt;&gt;"",$AQ57&lt;&gt;""),IF(COUNTIFS($B$6:$B$3005,$B57,$C$6:$C$3005,$C57,$D$6:$D$3005,$D57)&gt;1,"同じ月の請求が重複しています／",""),"")&amp;IF(AND(N($E57)&gt;0,$AB57&lt;&gt;"",$AB57&lt;&gt;"×",$AE57=0,$AD57=""),"計算額が下限以下のため不支給／",""))</f>
        <v/>
      </c>
      <c r="AN57" s="12" t="n"/>
      <c r="AO57" s="14">
        <f>IF($AF57="保留中",COUNTIF($AF$6:$AF57,"保留中"),"")</f>
        <v/>
      </c>
      <c r="AP57" s="14">
        <f>IF($AQ57="","",IF(SUMPRODUCT(MAX((職員マスタ!$A$6:$A$405=$B57)*(((職員マスタ!$G$6:$G$405="")+(職員マスタ!$G$6:$G$405&lt;=EOMONTH($AQ57,0)))&gt;0)*(((職員マスタ!$H$6:$H$405="")+(職員マスタ!$H$6:$H$405&gt;=$AQ57))&gt;0)*(ROW(職員マスタ!$A$6:$A$405)-5)))&gt;0,SUMPRODUCT(MAX((職員マスタ!$A$6:$A$405=$B57)*(((職員マスタ!$G$6:$G$405="")+(職員マスタ!$G$6:$G$405&lt;=EOMONTH($AQ57,0)))&gt;0)*(((職員マスタ!$H$6:$H$405="")+(職員マスタ!$H$6:$H$405&gt;=$AQ57))&gt;0)*(ROW(職員マスタ!$A$6:$A$405)-5))),IFERROR(MATCH($B57,職員マスタ!$A$6:$A$405,0),"")))</f>
        <v/>
      </c>
      <c r="AQ57" s="16">
        <f>IF(OR($B57="",$C57="",$D57=""),"",DATE($C57+2018,$D57,1))</f>
        <v/>
      </c>
    </row>
    <row r="58">
      <c r="A58" s="11" t="n"/>
      <c r="B58" s="12" t="n">
        <v>5802913</v>
      </c>
      <c r="C58" s="12" t="n">
        <v>7</v>
      </c>
      <c r="D58" s="12" t="n">
        <v>7</v>
      </c>
      <c r="E58" s="13" t="n">
        <v>188736</v>
      </c>
      <c r="F58" s="12" t="n"/>
      <c r="G58" s="13" t="n"/>
      <c r="H58" s="12" t="n"/>
      <c r="I58" s="12" t="n"/>
      <c r="J58" s="12" t="n"/>
      <c r="K58" s="12" t="n"/>
      <c r="L58" s="11" t="n"/>
      <c r="M58" s="11" t="n"/>
      <c r="N58" s="11" t="n"/>
      <c r="O58" s="11" t="n"/>
      <c r="P58" s="12" t="n"/>
      <c r="Q58" s="11" t="n"/>
      <c r="R58" s="12" t="n"/>
      <c r="S58" s="11" t="n"/>
      <c r="T58" s="12" t="n"/>
      <c r="U58" s="12" t="n"/>
      <c r="V58" s="12" t="n"/>
      <c r="W58" s="13" t="n"/>
      <c r="X58" s="14">
        <f>IF($AP58="",IF($B58="","",$H58),IF(INDEX(職員マスタ!$B$6:$B$405,$AP58)="",$H58,INDEX(職員マスタ!$B$6:$B$405,$AP58)))</f>
        <v/>
      </c>
      <c r="Y58" s="14">
        <f>IF($AP58="",IF($B58="","",$R58),IF(INDEX(職員マスタ!$C$6:$C$405,$AP58)="",$R58,INDEX(職員マスタ!$C$6:$C$405,$AP58)))</f>
        <v/>
      </c>
      <c r="Z58" s="14">
        <f>IF($AQ58="","","R"&amp;$C58&amp;"."&amp;$D58)</f>
        <v/>
      </c>
      <c r="AA58" s="15">
        <f>IF(IF($AP58="",FALSE,INDEX(職員マスタ!$K$6:$K$405,$AP58)&lt;&gt;""),INDEX(職員マスタ!$K$6:$K$405,$AP58),IF(N($W58)&gt;0,$W58,""))</f>
        <v/>
      </c>
      <c r="AB58" s="14">
        <f>IF(OR($E58="",$AA58=""),"",IF($E58&gt;=$AA58,"×",IF($E58&gt;=$AA58*設定!$C$5,"△","○")))</f>
        <v/>
      </c>
      <c r="AC58" s="15">
        <f>IF($AB58="","",IF($AB58="×",0,IF($AB58="○",ROUNDDOWN($E58*設定!$C$4,0),ROUNDDOWN($E58*ROUND((9*$AA58-9*$E58)/(10*$E58),4),0))))</f>
        <v/>
      </c>
      <c r="AD58" s="13" t="n"/>
      <c r="AE58" s="15">
        <f>IF($B58="","",IF($AD58&lt;&gt;"",$AD58,IF($AC58="","",IF($AC58&lt;=設定!$C$3,0,$AC58))))</f>
        <v/>
      </c>
      <c r="AF58" s="14">
        <f>IF($B58="","",IF(AND($AG58&lt;&gt;"",$AI58="",$AL58=""),"保留中",IF($AL58&lt;&gt;"",IF(N($AE58)&gt;0,"支給済","不支給"),IF($AE58="","要確認",IF($AE58=0,"不支給","未処理")))))</f>
        <v/>
      </c>
      <c r="AG58" s="12" t="n"/>
      <c r="AH58" s="11" t="n"/>
      <c r="AI58" s="11" t="n"/>
      <c r="AJ58" s="11" t="n"/>
      <c r="AK58" s="14">
        <f>IF(AND($AF58="保留中",$AH58&lt;&gt;""),TODAY()-$AH58,"")</f>
        <v/>
      </c>
      <c r="AL58" s="12" t="inlineStr">
        <is>
          <t>R7.9</t>
        </is>
      </c>
      <c r="AM58" s="14">
        <f>IF($B58="","",IF($AQ58="","対象年月が未入力／","")&amp;IF($B58="","",IF($AP58="","職員マスタに未登録の職員番号／",IF($AA58="","標準報酬月額が未登録／","")&amp;IF(AND($AQ58&lt;&gt;"",OR(AND(INDEX(職員マスタ!$G$6:$G$405,$AP58)&lt;&gt;"",INDEX(職員マスタ!$G$6:$G$405,$AP58)&gt;EOMONTH($AQ58,0)),AND(INDEX(職員マスタ!$H$6:$H$405,$AP58)&lt;&gt;"",INDEX(職員マスタ!$H$6:$H$405,$AP58)&lt;$AQ58))),"対象月が時短期間外／","")&amp;IF(AND(INDEX(職員マスタ!$K$6:$K$405,$AP58)&lt;&gt;"",N($W58)&gt;0,INDEX(職員マスタ!$K$6:$K$405,$AP58)&lt;&gt;$W58),"標準報酬月額が申請書と相違（台帳"&amp;TEXT(INDEX(職員マスタ!$K$6:$K$405,$AP58),"#,##0")&amp;"円／申請書"&amp;TEXT($W58,"#,##0")&amp;"円）／","")&amp;IF(AND(INDEX(職員マスタ!$F$6:$F$405,$AP58)&lt;&gt;"",$AQ58&lt;&gt;"",INDEX(職員マスタ!$F$6:$F$405,$AP58)&lt;$AQ58),"対象月に子が2歳到達済／","")&amp;IF(AND($H58&lt;&gt;"",INDEX(職員マスタ!$B$6:$B$405,$AP58)&lt;&gt;"",SUBSTITUTE(SUBSTITUTE($H58," ","")," ","")&lt;&gt;SUBSTITUTE(SUBSTITUTE(INDEX(職員マスタ!$B$6:$B$405,$AP58)," ","")," ","")),"氏名がマスタと相違／","")&amp;IF(AND($Q58&lt;&gt;"",INDEX(職員マスタ!$E$6:$E$405,$AP58)&lt;&gt;"",$Q58&lt;&gt;INDEX(職員マスタ!$E$6:$E$405,$AP58)),"子の生年月日がマスタと相違／","")&amp;IF(AND($L58&lt;&gt;"",INDEX(職員マスタ!$G$6:$G$405,$AP58)&lt;&gt;"",$L58&lt;&gt;INDEX(職員マスタ!$G$6:$G$405,$AP58)),"時短開始日がマスタと相違／","")&amp;IF(AND($M58&lt;&gt;"",INDEX(職員マスタ!$H$6:$H$405,$AP58)&lt;&gt;"",$M58&lt;&gt;INDEX(職員マスタ!$H$6:$H$405,$AP58)),"時短終了日がマスタと相違／","")))&amp;IF(AND($B58&lt;&gt;"",$E58=""),"報酬額が未入力／","")&amp;IF(N($U58)&gt;0,"申請書に入力エラーが残っています／","")&amp;IF(AND($B58&lt;&gt;"",$AQ58&lt;&gt;""),IF(COUNTIFS($B$6:$B$3005,$B58,$C$6:$C$3005,$C58,$D$6:$D$3005,$D58)&gt;1,"同じ月の請求が重複しています／",""),"")&amp;IF(AND(N($E58)&gt;0,$AB58&lt;&gt;"",$AB58&lt;&gt;"×",$AE58=0,$AD58=""),"計算額が下限以下のため不支給／",""))</f>
        <v/>
      </c>
      <c r="AN58" s="12" t="n"/>
      <c r="AO58" s="14">
        <f>IF($AF58="保留中",COUNTIF($AF$6:$AF58,"保留中"),"")</f>
        <v/>
      </c>
      <c r="AP58" s="14">
        <f>IF($AQ58="","",IF(SUMPRODUCT(MAX((職員マスタ!$A$6:$A$405=$B58)*(((職員マスタ!$G$6:$G$405="")+(職員マスタ!$G$6:$G$405&lt;=EOMONTH($AQ58,0)))&gt;0)*(((職員マスタ!$H$6:$H$405="")+(職員マスタ!$H$6:$H$405&gt;=$AQ58))&gt;0)*(ROW(職員マスタ!$A$6:$A$405)-5)))&gt;0,SUMPRODUCT(MAX((職員マスタ!$A$6:$A$405=$B58)*(((職員マスタ!$G$6:$G$405="")+(職員マスタ!$G$6:$G$405&lt;=EOMONTH($AQ58,0)))&gt;0)*(((職員マスタ!$H$6:$H$405="")+(職員マスタ!$H$6:$H$405&gt;=$AQ58))&gt;0)*(ROW(職員マスタ!$A$6:$A$405)-5))),IFERROR(MATCH($B58,職員マスタ!$A$6:$A$405,0),"")))</f>
        <v/>
      </c>
      <c r="AQ58" s="16">
        <f>IF(OR($B58="",$C58="",$D58=""),"",DATE($C58+2018,$D58,1))</f>
        <v/>
      </c>
    </row>
    <row r="59">
      <c r="A59" s="11" t="n"/>
      <c r="B59" s="12" t="n">
        <v>5802913</v>
      </c>
      <c r="C59" s="12" t="n">
        <v>7</v>
      </c>
      <c r="D59" s="12" t="n">
        <v>8</v>
      </c>
      <c r="E59" s="13" t="n">
        <v>188736</v>
      </c>
      <c r="F59" s="12" t="n"/>
      <c r="G59" s="13" t="n"/>
      <c r="H59" s="12" t="n"/>
      <c r="I59" s="12" t="n"/>
      <c r="J59" s="12" t="n"/>
      <c r="K59" s="12" t="n"/>
      <c r="L59" s="11" t="n"/>
      <c r="M59" s="11" t="n"/>
      <c r="N59" s="11" t="n"/>
      <c r="O59" s="11" t="n"/>
      <c r="P59" s="12" t="n"/>
      <c r="Q59" s="11" t="n"/>
      <c r="R59" s="12" t="n"/>
      <c r="S59" s="11" t="n"/>
      <c r="T59" s="12" t="n"/>
      <c r="U59" s="12" t="n"/>
      <c r="V59" s="12" t="n"/>
      <c r="W59" s="13" t="n"/>
      <c r="X59" s="14">
        <f>IF($AP59="",IF($B59="","",$H59),IF(INDEX(職員マスタ!$B$6:$B$405,$AP59)="",$H59,INDEX(職員マスタ!$B$6:$B$405,$AP59)))</f>
        <v/>
      </c>
      <c r="Y59" s="14">
        <f>IF($AP59="",IF($B59="","",$R59),IF(INDEX(職員マスタ!$C$6:$C$405,$AP59)="",$R59,INDEX(職員マスタ!$C$6:$C$405,$AP59)))</f>
        <v/>
      </c>
      <c r="Z59" s="14">
        <f>IF($AQ59="","","R"&amp;$C59&amp;"."&amp;$D59)</f>
        <v/>
      </c>
      <c r="AA59" s="15">
        <f>IF(IF($AP59="",FALSE,INDEX(職員マスタ!$K$6:$K$405,$AP59)&lt;&gt;""),INDEX(職員マスタ!$K$6:$K$405,$AP59),IF(N($W59)&gt;0,$W59,""))</f>
        <v/>
      </c>
      <c r="AB59" s="14">
        <f>IF(OR($E59="",$AA59=""),"",IF($E59&gt;=$AA59,"×",IF($E59&gt;=$AA59*設定!$C$5,"△","○")))</f>
        <v/>
      </c>
      <c r="AC59" s="15">
        <f>IF($AB59="","",IF($AB59="×",0,IF($AB59="○",ROUNDDOWN($E59*設定!$C$4,0),ROUNDDOWN($E59*ROUND((9*$AA59-9*$E59)/(10*$E59),4),0))))</f>
        <v/>
      </c>
      <c r="AD59" s="13" t="n"/>
      <c r="AE59" s="15">
        <f>IF($B59="","",IF($AD59&lt;&gt;"",$AD59,IF($AC59="","",IF($AC59&lt;=設定!$C$3,0,$AC59))))</f>
        <v/>
      </c>
      <c r="AF59" s="14">
        <f>IF($B59="","",IF(AND($AG59&lt;&gt;"",$AI59="",$AL59=""),"保留中",IF($AL59&lt;&gt;"",IF(N($AE59)&gt;0,"支給済","不支給"),IF($AE59="","要確認",IF($AE59=0,"不支給","未処理")))))</f>
        <v/>
      </c>
      <c r="AG59" s="12" t="n"/>
      <c r="AH59" s="11" t="n"/>
      <c r="AI59" s="11" t="n"/>
      <c r="AJ59" s="11" t="n"/>
      <c r="AK59" s="14">
        <f>IF(AND($AF59="保留中",$AH59&lt;&gt;""),TODAY()-$AH59,"")</f>
        <v/>
      </c>
      <c r="AL59" s="12" t="inlineStr">
        <is>
          <t>R7.10</t>
        </is>
      </c>
      <c r="AM59" s="14">
        <f>IF($B59="","",IF($AQ59="","対象年月が未入力／","")&amp;IF($B59="","",IF($AP59="","職員マスタに未登録の職員番号／",IF($AA59="","標準報酬月額が未登録／","")&amp;IF(AND($AQ59&lt;&gt;"",OR(AND(INDEX(職員マスタ!$G$6:$G$405,$AP59)&lt;&gt;"",INDEX(職員マスタ!$G$6:$G$405,$AP59)&gt;EOMONTH($AQ59,0)),AND(INDEX(職員マスタ!$H$6:$H$405,$AP59)&lt;&gt;"",INDEX(職員マスタ!$H$6:$H$405,$AP59)&lt;$AQ59))),"対象月が時短期間外／","")&amp;IF(AND(INDEX(職員マスタ!$K$6:$K$405,$AP59)&lt;&gt;"",N($W59)&gt;0,INDEX(職員マスタ!$K$6:$K$405,$AP59)&lt;&gt;$W59),"標準報酬月額が申請書と相違（台帳"&amp;TEXT(INDEX(職員マスタ!$K$6:$K$405,$AP59),"#,##0")&amp;"円／申請書"&amp;TEXT($W59,"#,##0")&amp;"円）／","")&amp;IF(AND(INDEX(職員マスタ!$F$6:$F$405,$AP59)&lt;&gt;"",$AQ59&lt;&gt;"",INDEX(職員マスタ!$F$6:$F$405,$AP59)&lt;$AQ59),"対象月に子が2歳到達済／","")&amp;IF(AND($H59&lt;&gt;"",INDEX(職員マスタ!$B$6:$B$405,$AP59)&lt;&gt;"",SUBSTITUTE(SUBSTITUTE($H59," ","")," ","")&lt;&gt;SUBSTITUTE(SUBSTITUTE(INDEX(職員マスタ!$B$6:$B$405,$AP59)," ","")," ","")),"氏名がマスタと相違／","")&amp;IF(AND($Q59&lt;&gt;"",INDEX(職員マスタ!$E$6:$E$405,$AP59)&lt;&gt;"",$Q59&lt;&gt;INDEX(職員マスタ!$E$6:$E$405,$AP59)),"子の生年月日がマスタと相違／","")&amp;IF(AND($L59&lt;&gt;"",INDEX(職員マスタ!$G$6:$G$405,$AP59)&lt;&gt;"",$L59&lt;&gt;INDEX(職員マスタ!$G$6:$G$405,$AP59)),"時短開始日がマスタと相違／","")&amp;IF(AND($M59&lt;&gt;"",INDEX(職員マスタ!$H$6:$H$405,$AP59)&lt;&gt;"",$M59&lt;&gt;INDEX(職員マスタ!$H$6:$H$405,$AP59)),"時短終了日がマスタと相違／","")))&amp;IF(AND($B59&lt;&gt;"",$E59=""),"報酬額が未入力／","")&amp;IF(N($U59)&gt;0,"申請書に入力エラーが残っています／","")&amp;IF(AND($B59&lt;&gt;"",$AQ59&lt;&gt;""),IF(COUNTIFS($B$6:$B$3005,$B59,$C$6:$C$3005,$C59,$D$6:$D$3005,$D59)&gt;1,"同じ月の請求が重複しています／",""),"")&amp;IF(AND(N($E59)&gt;0,$AB59&lt;&gt;"",$AB59&lt;&gt;"×",$AE59=0,$AD59=""),"計算額が下限以下のため不支給／",""))</f>
        <v/>
      </c>
      <c r="AN59" s="12" t="n"/>
      <c r="AO59" s="14">
        <f>IF($AF59="保留中",COUNTIF($AF$6:$AF59,"保留中"),"")</f>
        <v/>
      </c>
      <c r="AP59" s="14">
        <f>IF($AQ59="","",IF(SUMPRODUCT(MAX((職員マスタ!$A$6:$A$405=$B59)*(((職員マスタ!$G$6:$G$405="")+(職員マスタ!$G$6:$G$405&lt;=EOMONTH($AQ59,0)))&gt;0)*(((職員マスタ!$H$6:$H$405="")+(職員マスタ!$H$6:$H$405&gt;=$AQ59))&gt;0)*(ROW(職員マスタ!$A$6:$A$405)-5)))&gt;0,SUMPRODUCT(MAX((職員マスタ!$A$6:$A$405=$B59)*(((職員マスタ!$G$6:$G$405="")+(職員マスタ!$G$6:$G$405&lt;=EOMONTH($AQ59,0)))&gt;0)*(((職員マスタ!$H$6:$H$405="")+(職員マスタ!$H$6:$H$405&gt;=$AQ59))&gt;0)*(ROW(職員マスタ!$A$6:$A$405)-5))),IFERROR(MATCH($B59,職員マスタ!$A$6:$A$405,0),"")))</f>
        <v/>
      </c>
      <c r="AQ59" s="16">
        <f>IF(OR($B59="",$C59="",$D59=""),"",DATE($C59+2018,$D59,1))</f>
        <v/>
      </c>
    </row>
    <row r="60">
      <c r="A60" s="11" t="n"/>
      <c r="B60" s="12" t="n">
        <v>5802913</v>
      </c>
      <c r="C60" s="12" t="n">
        <v>7</v>
      </c>
      <c r="D60" s="12" t="n">
        <v>9</v>
      </c>
      <c r="E60" s="13" t="n">
        <v>186462</v>
      </c>
      <c r="F60" s="12" t="n"/>
      <c r="G60" s="13" t="n"/>
      <c r="H60" s="12" t="n"/>
      <c r="I60" s="12" t="n"/>
      <c r="J60" s="12" t="n"/>
      <c r="K60" s="12" t="n"/>
      <c r="L60" s="11" t="n"/>
      <c r="M60" s="11" t="n"/>
      <c r="N60" s="11" t="n"/>
      <c r="O60" s="11" t="n"/>
      <c r="P60" s="12" t="n"/>
      <c r="Q60" s="11" t="n"/>
      <c r="R60" s="12" t="n"/>
      <c r="S60" s="11" t="n"/>
      <c r="T60" s="12" t="n"/>
      <c r="U60" s="12" t="n"/>
      <c r="V60" s="12" t="n"/>
      <c r="W60" s="13" t="n"/>
      <c r="X60" s="14">
        <f>IF($AP60="",IF($B60="","",$H60),IF(INDEX(職員マスタ!$B$6:$B$405,$AP60)="",$H60,INDEX(職員マスタ!$B$6:$B$405,$AP60)))</f>
        <v/>
      </c>
      <c r="Y60" s="14">
        <f>IF($AP60="",IF($B60="","",$R60),IF(INDEX(職員マスタ!$C$6:$C$405,$AP60)="",$R60,INDEX(職員マスタ!$C$6:$C$405,$AP60)))</f>
        <v/>
      </c>
      <c r="Z60" s="14">
        <f>IF($AQ60="","","R"&amp;$C60&amp;"."&amp;$D60)</f>
        <v/>
      </c>
      <c r="AA60" s="15">
        <f>IF(IF($AP60="",FALSE,INDEX(職員マスタ!$K$6:$K$405,$AP60)&lt;&gt;""),INDEX(職員マスタ!$K$6:$K$405,$AP60),IF(N($W60)&gt;0,$W60,""))</f>
        <v/>
      </c>
      <c r="AB60" s="14">
        <f>IF(OR($E60="",$AA60=""),"",IF($E60&gt;=$AA60,"×",IF($E60&gt;=$AA60*設定!$C$5,"△","○")))</f>
        <v/>
      </c>
      <c r="AC60" s="15">
        <f>IF($AB60="","",IF($AB60="×",0,IF($AB60="○",ROUNDDOWN($E60*設定!$C$4,0),ROUNDDOWN($E60*ROUND((9*$AA60-9*$E60)/(10*$E60),4),0))))</f>
        <v/>
      </c>
      <c r="AD60" s="13" t="n"/>
      <c r="AE60" s="15">
        <f>IF($B60="","",IF($AD60&lt;&gt;"",$AD60,IF($AC60="","",IF($AC60&lt;=設定!$C$3,0,$AC60))))</f>
        <v/>
      </c>
      <c r="AF60" s="14">
        <f>IF($B60="","",IF(AND($AG60&lt;&gt;"",$AI60="",$AL60=""),"保留中",IF($AL60&lt;&gt;"",IF(N($AE60)&gt;0,"支給済","不支給"),IF($AE60="","要確認",IF($AE60=0,"不支給","未処理")))))</f>
        <v/>
      </c>
      <c r="AG60" s="12" t="n"/>
      <c r="AH60" s="11" t="n"/>
      <c r="AI60" s="11" t="n"/>
      <c r="AJ60" s="11" t="n"/>
      <c r="AK60" s="14">
        <f>IF(AND($AF60="保留中",$AH60&lt;&gt;""),TODAY()-$AH60,"")</f>
        <v/>
      </c>
      <c r="AL60" s="12" t="inlineStr">
        <is>
          <t>R7.11</t>
        </is>
      </c>
      <c r="AM60" s="14">
        <f>IF($B60="","",IF($AQ60="","対象年月が未入力／","")&amp;IF($B60="","",IF($AP60="","職員マスタに未登録の職員番号／",IF($AA60="","標準報酬月額が未登録／","")&amp;IF(AND($AQ60&lt;&gt;"",OR(AND(INDEX(職員マスタ!$G$6:$G$405,$AP60)&lt;&gt;"",INDEX(職員マスタ!$G$6:$G$405,$AP60)&gt;EOMONTH($AQ60,0)),AND(INDEX(職員マスタ!$H$6:$H$405,$AP60)&lt;&gt;"",INDEX(職員マスタ!$H$6:$H$405,$AP60)&lt;$AQ60))),"対象月が時短期間外／","")&amp;IF(AND(INDEX(職員マスタ!$K$6:$K$405,$AP60)&lt;&gt;"",N($W60)&gt;0,INDEX(職員マスタ!$K$6:$K$405,$AP60)&lt;&gt;$W60),"標準報酬月額が申請書と相違（台帳"&amp;TEXT(INDEX(職員マスタ!$K$6:$K$405,$AP60),"#,##0")&amp;"円／申請書"&amp;TEXT($W60,"#,##0")&amp;"円）／","")&amp;IF(AND(INDEX(職員マスタ!$F$6:$F$405,$AP60)&lt;&gt;"",$AQ60&lt;&gt;"",INDEX(職員マスタ!$F$6:$F$405,$AP60)&lt;$AQ60),"対象月に子が2歳到達済／","")&amp;IF(AND($H60&lt;&gt;"",INDEX(職員マスタ!$B$6:$B$405,$AP60)&lt;&gt;"",SUBSTITUTE(SUBSTITUTE($H60," ","")," ","")&lt;&gt;SUBSTITUTE(SUBSTITUTE(INDEX(職員マスタ!$B$6:$B$405,$AP60)," ","")," ","")),"氏名がマスタと相違／","")&amp;IF(AND($Q60&lt;&gt;"",INDEX(職員マスタ!$E$6:$E$405,$AP60)&lt;&gt;"",$Q60&lt;&gt;INDEX(職員マスタ!$E$6:$E$405,$AP60)),"子の生年月日がマスタと相違／","")&amp;IF(AND($L60&lt;&gt;"",INDEX(職員マスタ!$G$6:$G$405,$AP60)&lt;&gt;"",$L60&lt;&gt;INDEX(職員マスタ!$G$6:$G$405,$AP60)),"時短開始日がマスタと相違／","")&amp;IF(AND($M60&lt;&gt;"",INDEX(職員マスタ!$H$6:$H$405,$AP60)&lt;&gt;"",$M60&lt;&gt;INDEX(職員マスタ!$H$6:$H$405,$AP60)),"時短終了日がマスタと相違／","")))&amp;IF(AND($B60&lt;&gt;"",$E60=""),"報酬額が未入力／","")&amp;IF(N($U60)&gt;0,"申請書に入力エラーが残っています／","")&amp;IF(AND($B60&lt;&gt;"",$AQ60&lt;&gt;""),IF(COUNTIFS($B$6:$B$3005,$B60,$C$6:$C$3005,$C60,$D$6:$D$3005,$D60)&gt;1,"同じ月の請求が重複しています／",""),"")&amp;IF(AND(N($E60)&gt;0,$AB60&lt;&gt;"",$AB60&lt;&gt;"×",$AE60=0,$AD60=""),"計算額が下限以下のため不支給／",""))</f>
        <v/>
      </c>
      <c r="AN60" s="12" t="n"/>
      <c r="AO60" s="14">
        <f>IF($AF60="保留中",COUNTIF($AF$6:$AF60,"保留中"),"")</f>
        <v/>
      </c>
      <c r="AP60" s="14">
        <f>IF($AQ60="","",IF(SUMPRODUCT(MAX((職員マスタ!$A$6:$A$405=$B60)*(((職員マスタ!$G$6:$G$405="")+(職員マスタ!$G$6:$G$405&lt;=EOMONTH($AQ60,0)))&gt;0)*(((職員マスタ!$H$6:$H$405="")+(職員マスタ!$H$6:$H$405&gt;=$AQ60))&gt;0)*(ROW(職員マスタ!$A$6:$A$405)-5)))&gt;0,SUMPRODUCT(MAX((職員マスタ!$A$6:$A$405=$B60)*(((職員マスタ!$G$6:$G$405="")+(職員マスタ!$G$6:$G$405&lt;=EOMONTH($AQ60,0)))&gt;0)*(((職員マスタ!$H$6:$H$405="")+(職員マスタ!$H$6:$H$405&gt;=$AQ60))&gt;0)*(ROW(職員マスタ!$A$6:$A$405)-5))),IFERROR(MATCH($B60,職員マスタ!$A$6:$A$405,0),"")))</f>
        <v/>
      </c>
      <c r="AQ60" s="16">
        <f>IF(OR($B60="",$C60="",$D60=""),"",DATE($C60+2018,$D60,1))</f>
        <v/>
      </c>
    </row>
    <row r="61">
      <c r="A61" s="11" t="n"/>
      <c r="B61" s="12" t="n">
        <v>5802913</v>
      </c>
      <c r="C61" s="12" t="n">
        <v>7</v>
      </c>
      <c r="D61" s="12" t="n">
        <v>10</v>
      </c>
      <c r="E61" s="13" t="n">
        <v>188736</v>
      </c>
      <c r="F61" s="12" t="n"/>
      <c r="G61" s="13" t="n"/>
      <c r="H61" s="12" t="n"/>
      <c r="I61" s="12" t="n"/>
      <c r="J61" s="12" t="n"/>
      <c r="K61" s="12" t="n"/>
      <c r="L61" s="11" t="n"/>
      <c r="M61" s="11" t="n"/>
      <c r="N61" s="11" t="n"/>
      <c r="O61" s="11" t="n"/>
      <c r="P61" s="12" t="n"/>
      <c r="Q61" s="11" t="n"/>
      <c r="R61" s="12" t="n"/>
      <c r="S61" s="11" t="n"/>
      <c r="T61" s="12" t="n"/>
      <c r="U61" s="12" t="n"/>
      <c r="V61" s="12" t="n"/>
      <c r="W61" s="13" t="n"/>
      <c r="X61" s="14">
        <f>IF($AP61="",IF($B61="","",$H61),IF(INDEX(職員マスタ!$B$6:$B$405,$AP61)="",$H61,INDEX(職員マスタ!$B$6:$B$405,$AP61)))</f>
        <v/>
      </c>
      <c r="Y61" s="14">
        <f>IF($AP61="",IF($B61="","",$R61),IF(INDEX(職員マスタ!$C$6:$C$405,$AP61)="",$R61,INDEX(職員マスタ!$C$6:$C$405,$AP61)))</f>
        <v/>
      </c>
      <c r="Z61" s="14">
        <f>IF($AQ61="","","R"&amp;$C61&amp;"."&amp;$D61)</f>
        <v/>
      </c>
      <c r="AA61" s="15">
        <f>IF(IF($AP61="",FALSE,INDEX(職員マスタ!$K$6:$K$405,$AP61)&lt;&gt;""),INDEX(職員マスタ!$K$6:$K$405,$AP61),IF(N($W61)&gt;0,$W61,""))</f>
        <v/>
      </c>
      <c r="AB61" s="14">
        <f>IF(OR($E61="",$AA61=""),"",IF($E61&gt;=$AA61,"×",IF($E61&gt;=$AA61*設定!$C$5,"△","○")))</f>
        <v/>
      </c>
      <c r="AC61" s="15">
        <f>IF($AB61="","",IF($AB61="×",0,IF($AB61="○",ROUNDDOWN($E61*設定!$C$4,0),ROUNDDOWN($E61*ROUND((9*$AA61-9*$E61)/(10*$E61),4),0))))</f>
        <v/>
      </c>
      <c r="AD61" s="13" t="n"/>
      <c r="AE61" s="15">
        <f>IF($B61="","",IF($AD61&lt;&gt;"",$AD61,IF($AC61="","",IF($AC61&lt;=設定!$C$3,0,$AC61))))</f>
        <v/>
      </c>
      <c r="AF61" s="14">
        <f>IF($B61="","",IF(AND($AG61&lt;&gt;"",$AI61="",$AL61=""),"保留中",IF($AL61&lt;&gt;"",IF(N($AE61)&gt;0,"支給済","不支給"),IF($AE61="","要確認",IF($AE61=0,"不支給","未処理")))))</f>
        <v/>
      </c>
      <c r="AG61" s="12" t="n"/>
      <c r="AH61" s="11" t="n"/>
      <c r="AI61" s="11" t="n"/>
      <c r="AJ61" s="11" t="n"/>
      <c r="AK61" s="14">
        <f>IF(AND($AF61="保留中",$AH61&lt;&gt;""),TODAY()-$AH61,"")</f>
        <v/>
      </c>
      <c r="AL61" s="12" t="inlineStr">
        <is>
          <t>R7.12</t>
        </is>
      </c>
      <c r="AM61" s="14">
        <f>IF($B61="","",IF($AQ61="","対象年月が未入力／","")&amp;IF($B61="","",IF($AP61="","職員マスタに未登録の職員番号／",IF($AA61="","標準報酬月額が未登録／","")&amp;IF(AND($AQ61&lt;&gt;"",OR(AND(INDEX(職員マスタ!$G$6:$G$405,$AP61)&lt;&gt;"",INDEX(職員マスタ!$G$6:$G$405,$AP61)&gt;EOMONTH($AQ61,0)),AND(INDEX(職員マスタ!$H$6:$H$405,$AP61)&lt;&gt;"",INDEX(職員マスタ!$H$6:$H$405,$AP61)&lt;$AQ61))),"対象月が時短期間外／","")&amp;IF(AND(INDEX(職員マスタ!$K$6:$K$405,$AP61)&lt;&gt;"",N($W61)&gt;0,INDEX(職員マスタ!$K$6:$K$405,$AP61)&lt;&gt;$W61),"標準報酬月額が申請書と相違（台帳"&amp;TEXT(INDEX(職員マスタ!$K$6:$K$405,$AP61),"#,##0")&amp;"円／申請書"&amp;TEXT($W61,"#,##0")&amp;"円）／","")&amp;IF(AND(INDEX(職員マスタ!$F$6:$F$405,$AP61)&lt;&gt;"",$AQ61&lt;&gt;"",INDEX(職員マスタ!$F$6:$F$405,$AP61)&lt;$AQ61),"対象月に子が2歳到達済／","")&amp;IF(AND($H61&lt;&gt;"",INDEX(職員マスタ!$B$6:$B$405,$AP61)&lt;&gt;"",SUBSTITUTE(SUBSTITUTE($H61," ","")," ","")&lt;&gt;SUBSTITUTE(SUBSTITUTE(INDEX(職員マスタ!$B$6:$B$405,$AP61)," ","")," ","")),"氏名がマスタと相違／","")&amp;IF(AND($Q61&lt;&gt;"",INDEX(職員マスタ!$E$6:$E$405,$AP61)&lt;&gt;"",$Q61&lt;&gt;INDEX(職員マスタ!$E$6:$E$405,$AP61)),"子の生年月日がマスタと相違／","")&amp;IF(AND($L61&lt;&gt;"",INDEX(職員マスタ!$G$6:$G$405,$AP61)&lt;&gt;"",$L61&lt;&gt;INDEX(職員マスタ!$G$6:$G$405,$AP61)),"時短開始日がマスタと相違／","")&amp;IF(AND($M61&lt;&gt;"",INDEX(職員マスタ!$H$6:$H$405,$AP61)&lt;&gt;"",$M61&lt;&gt;INDEX(職員マスタ!$H$6:$H$405,$AP61)),"時短終了日がマスタと相違／","")))&amp;IF(AND($B61&lt;&gt;"",$E61=""),"報酬額が未入力／","")&amp;IF(N($U61)&gt;0,"申請書に入力エラーが残っています／","")&amp;IF(AND($B61&lt;&gt;"",$AQ61&lt;&gt;""),IF(COUNTIFS($B$6:$B$3005,$B61,$C$6:$C$3005,$C61,$D$6:$D$3005,$D61)&gt;1,"同じ月の請求が重複しています／",""),"")&amp;IF(AND(N($E61)&gt;0,$AB61&lt;&gt;"",$AB61&lt;&gt;"×",$AE61=0,$AD61=""),"計算額が下限以下のため不支給／",""))</f>
        <v/>
      </c>
      <c r="AN61" s="12" t="n"/>
      <c r="AO61" s="14">
        <f>IF($AF61="保留中",COUNTIF($AF$6:$AF61,"保留中"),"")</f>
        <v/>
      </c>
      <c r="AP61" s="14">
        <f>IF($AQ61="","",IF(SUMPRODUCT(MAX((職員マスタ!$A$6:$A$405=$B61)*(((職員マスタ!$G$6:$G$405="")+(職員マスタ!$G$6:$G$405&lt;=EOMONTH($AQ61,0)))&gt;0)*(((職員マスタ!$H$6:$H$405="")+(職員マスタ!$H$6:$H$405&gt;=$AQ61))&gt;0)*(ROW(職員マスタ!$A$6:$A$405)-5)))&gt;0,SUMPRODUCT(MAX((職員マスタ!$A$6:$A$405=$B61)*(((職員マスタ!$G$6:$G$405="")+(職員マスタ!$G$6:$G$405&lt;=EOMONTH($AQ61,0)))&gt;0)*(((職員マスタ!$H$6:$H$405="")+(職員マスタ!$H$6:$H$405&gt;=$AQ61))&gt;0)*(ROW(職員マスタ!$A$6:$A$405)-5))),IFERROR(MATCH($B61,職員マスタ!$A$6:$A$405,0),"")))</f>
        <v/>
      </c>
      <c r="AQ61" s="16">
        <f>IF(OR($B61="",$C61="",$D61=""),"",DATE($C61+2018,$D61,1))</f>
        <v/>
      </c>
    </row>
    <row r="62">
      <c r="A62" s="11" t="n"/>
      <c r="B62" s="12" t="n">
        <v>5802913</v>
      </c>
      <c r="C62" s="12" t="n">
        <v>7</v>
      </c>
      <c r="D62" s="12" t="n">
        <v>11</v>
      </c>
      <c r="E62" s="13" t="n">
        <v>188736</v>
      </c>
      <c r="F62" s="12" t="n"/>
      <c r="G62" s="13" t="n"/>
      <c r="H62" s="12" t="n"/>
      <c r="I62" s="12" t="n"/>
      <c r="J62" s="12" t="n"/>
      <c r="K62" s="12" t="n"/>
      <c r="L62" s="11" t="n"/>
      <c r="M62" s="11" t="n"/>
      <c r="N62" s="11" t="n"/>
      <c r="O62" s="11" t="n"/>
      <c r="P62" s="12" t="n"/>
      <c r="Q62" s="11" t="n"/>
      <c r="R62" s="12" t="n"/>
      <c r="S62" s="11" t="n"/>
      <c r="T62" s="12" t="n"/>
      <c r="U62" s="12" t="n"/>
      <c r="V62" s="12" t="n"/>
      <c r="W62" s="13" t="n"/>
      <c r="X62" s="14">
        <f>IF($AP62="",IF($B62="","",$H62),IF(INDEX(職員マスタ!$B$6:$B$405,$AP62)="",$H62,INDEX(職員マスタ!$B$6:$B$405,$AP62)))</f>
        <v/>
      </c>
      <c r="Y62" s="14">
        <f>IF($AP62="",IF($B62="","",$R62),IF(INDEX(職員マスタ!$C$6:$C$405,$AP62)="",$R62,INDEX(職員マスタ!$C$6:$C$405,$AP62)))</f>
        <v/>
      </c>
      <c r="Z62" s="14">
        <f>IF($AQ62="","","R"&amp;$C62&amp;"."&amp;$D62)</f>
        <v/>
      </c>
      <c r="AA62" s="15">
        <f>IF(IF($AP62="",FALSE,INDEX(職員マスタ!$K$6:$K$405,$AP62)&lt;&gt;""),INDEX(職員マスタ!$K$6:$K$405,$AP62),IF(N($W62)&gt;0,$W62,""))</f>
        <v/>
      </c>
      <c r="AB62" s="14">
        <f>IF(OR($E62="",$AA62=""),"",IF($E62&gt;=$AA62,"×",IF($E62&gt;=$AA62*設定!$C$5,"△","○")))</f>
        <v/>
      </c>
      <c r="AC62" s="15">
        <f>IF($AB62="","",IF($AB62="×",0,IF($AB62="○",ROUNDDOWN($E62*設定!$C$4,0),ROUNDDOWN($E62*ROUND((9*$AA62-9*$E62)/(10*$E62),4),0))))</f>
        <v/>
      </c>
      <c r="AD62" s="13" t="n"/>
      <c r="AE62" s="15">
        <f>IF($B62="","",IF($AD62&lt;&gt;"",$AD62,IF($AC62="","",IF($AC62&lt;=設定!$C$3,0,$AC62))))</f>
        <v/>
      </c>
      <c r="AF62" s="14">
        <f>IF($B62="","",IF(AND($AG62&lt;&gt;"",$AI62="",$AL62=""),"保留中",IF($AL62&lt;&gt;"",IF(N($AE62)&gt;0,"支給済","不支給"),IF($AE62="","要確認",IF($AE62=0,"不支給","未処理")))))</f>
        <v/>
      </c>
      <c r="AG62" s="12" t="n"/>
      <c r="AH62" s="11" t="n"/>
      <c r="AI62" s="11" t="n"/>
      <c r="AJ62" s="11" t="n"/>
      <c r="AK62" s="14">
        <f>IF(AND($AF62="保留中",$AH62&lt;&gt;""),TODAY()-$AH62,"")</f>
        <v/>
      </c>
      <c r="AL62" s="12" t="inlineStr">
        <is>
          <t>R8.1</t>
        </is>
      </c>
      <c r="AM62" s="14">
        <f>IF($B62="","",IF($AQ62="","対象年月が未入力／","")&amp;IF($B62="","",IF($AP62="","職員マスタに未登録の職員番号／",IF($AA62="","標準報酬月額が未登録／","")&amp;IF(AND($AQ62&lt;&gt;"",OR(AND(INDEX(職員マスタ!$G$6:$G$405,$AP62)&lt;&gt;"",INDEX(職員マスタ!$G$6:$G$405,$AP62)&gt;EOMONTH($AQ62,0)),AND(INDEX(職員マスタ!$H$6:$H$405,$AP62)&lt;&gt;"",INDEX(職員マスタ!$H$6:$H$405,$AP62)&lt;$AQ62))),"対象月が時短期間外／","")&amp;IF(AND(INDEX(職員マスタ!$K$6:$K$405,$AP62)&lt;&gt;"",N($W62)&gt;0,INDEX(職員マスタ!$K$6:$K$405,$AP62)&lt;&gt;$W62),"標準報酬月額が申請書と相違（台帳"&amp;TEXT(INDEX(職員マスタ!$K$6:$K$405,$AP62),"#,##0")&amp;"円／申請書"&amp;TEXT($W62,"#,##0")&amp;"円）／","")&amp;IF(AND(INDEX(職員マスタ!$F$6:$F$405,$AP62)&lt;&gt;"",$AQ62&lt;&gt;"",INDEX(職員マスタ!$F$6:$F$405,$AP62)&lt;$AQ62),"対象月に子が2歳到達済／","")&amp;IF(AND($H62&lt;&gt;"",INDEX(職員マスタ!$B$6:$B$405,$AP62)&lt;&gt;"",SUBSTITUTE(SUBSTITUTE($H62," ","")," ","")&lt;&gt;SUBSTITUTE(SUBSTITUTE(INDEX(職員マスタ!$B$6:$B$405,$AP62)," ","")," ","")),"氏名がマスタと相違／","")&amp;IF(AND($Q62&lt;&gt;"",INDEX(職員マスタ!$E$6:$E$405,$AP62)&lt;&gt;"",$Q62&lt;&gt;INDEX(職員マスタ!$E$6:$E$405,$AP62)),"子の生年月日がマスタと相違／","")&amp;IF(AND($L62&lt;&gt;"",INDEX(職員マスタ!$G$6:$G$405,$AP62)&lt;&gt;"",$L62&lt;&gt;INDEX(職員マスタ!$G$6:$G$405,$AP62)),"時短開始日がマスタと相違／","")&amp;IF(AND($M62&lt;&gt;"",INDEX(職員マスタ!$H$6:$H$405,$AP62)&lt;&gt;"",$M62&lt;&gt;INDEX(職員マスタ!$H$6:$H$405,$AP62)),"時短終了日がマスタと相違／","")))&amp;IF(AND($B62&lt;&gt;"",$E62=""),"報酬額が未入力／","")&amp;IF(N($U62)&gt;0,"申請書に入力エラーが残っています／","")&amp;IF(AND($B62&lt;&gt;"",$AQ62&lt;&gt;""),IF(COUNTIFS($B$6:$B$3005,$B62,$C$6:$C$3005,$C62,$D$6:$D$3005,$D62)&gt;1,"同じ月の請求が重複しています／",""),"")&amp;IF(AND(N($E62)&gt;0,$AB62&lt;&gt;"",$AB62&lt;&gt;"×",$AE62=0,$AD62=""),"計算額が下限以下のため不支給／",""))</f>
        <v/>
      </c>
      <c r="AN62" s="12" t="n"/>
      <c r="AO62" s="14">
        <f>IF($AF62="保留中",COUNTIF($AF$6:$AF62,"保留中"),"")</f>
        <v/>
      </c>
      <c r="AP62" s="14">
        <f>IF($AQ62="","",IF(SUMPRODUCT(MAX((職員マスタ!$A$6:$A$405=$B62)*(((職員マスタ!$G$6:$G$405="")+(職員マスタ!$G$6:$G$405&lt;=EOMONTH($AQ62,0)))&gt;0)*(((職員マスタ!$H$6:$H$405="")+(職員マスタ!$H$6:$H$405&gt;=$AQ62))&gt;0)*(ROW(職員マスタ!$A$6:$A$405)-5)))&gt;0,SUMPRODUCT(MAX((職員マスタ!$A$6:$A$405=$B62)*(((職員マスタ!$G$6:$G$405="")+(職員マスタ!$G$6:$G$405&lt;=EOMONTH($AQ62,0)))&gt;0)*(((職員マスタ!$H$6:$H$405="")+(職員マスタ!$H$6:$H$405&gt;=$AQ62))&gt;0)*(ROW(職員マスタ!$A$6:$A$405)-5))),IFERROR(MATCH($B62,職員マスタ!$A$6:$A$405,0),"")))</f>
        <v/>
      </c>
      <c r="AQ62" s="16">
        <f>IF(OR($B62="",$C62="",$D62=""),"",DATE($C62+2018,$D62,1))</f>
        <v/>
      </c>
    </row>
    <row r="63">
      <c r="A63" s="11" t="n"/>
      <c r="B63" s="12" t="n">
        <v>6002646</v>
      </c>
      <c r="C63" s="12" t="n">
        <v>7</v>
      </c>
      <c r="D63" s="12" t="n">
        <v>5</v>
      </c>
      <c r="E63" s="13" t="n">
        <v>204828</v>
      </c>
      <c r="F63" s="12" t="n"/>
      <c r="G63" s="13" t="n"/>
      <c r="H63" s="12" t="n"/>
      <c r="I63" s="12" t="n"/>
      <c r="J63" s="12" t="n"/>
      <c r="K63" s="12" t="n"/>
      <c r="L63" s="11" t="n"/>
      <c r="M63" s="11" t="n"/>
      <c r="N63" s="11" t="n"/>
      <c r="O63" s="11" t="n"/>
      <c r="P63" s="12" t="n"/>
      <c r="Q63" s="11" t="n"/>
      <c r="R63" s="12" t="n"/>
      <c r="S63" s="11" t="n"/>
      <c r="T63" s="12" t="n"/>
      <c r="U63" s="12" t="n"/>
      <c r="V63" s="12" t="n"/>
      <c r="W63" s="13" t="n"/>
      <c r="X63" s="14">
        <f>IF($AP63="",IF($B63="","",$H63),IF(INDEX(職員マスタ!$B$6:$B$405,$AP63)="",$H63,INDEX(職員マスタ!$B$6:$B$405,$AP63)))</f>
        <v/>
      </c>
      <c r="Y63" s="14">
        <f>IF($AP63="",IF($B63="","",$R63),IF(INDEX(職員マスタ!$C$6:$C$405,$AP63)="",$R63,INDEX(職員マスタ!$C$6:$C$405,$AP63)))</f>
        <v/>
      </c>
      <c r="Z63" s="14">
        <f>IF($AQ63="","","R"&amp;$C63&amp;"."&amp;$D63)</f>
        <v/>
      </c>
      <c r="AA63" s="15">
        <f>IF(IF($AP63="",FALSE,INDEX(職員マスタ!$K$6:$K$405,$AP63)&lt;&gt;""),INDEX(職員マスタ!$K$6:$K$405,$AP63),IF(N($W63)&gt;0,$W63,""))</f>
        <v/>
      </c>
      <c r="AB63" s="14">
        <f>IF(OR($E63="",$AA63=""),"",IF($E63&gt;=$AA63,"×",IF($E63&gt;=$AA63*設定!$C$5,"△","○")))</f>
        <v/>
      </c>
      <c r="AC63" s="15">
        <f>IF($AB63="","",IF($AB63="×",0,IF($AB63="○",ROUNDDOWN($E63*設定!$C$4,0),ROUNDDOWN($E63*ROUND((9*$AA63-9*$E63)/(10*$E63),4),0))))</f>
        <v/>
      </c>
      <c r="AD63" s="13" t="n"/>
      <c r="AE63" s="15">
        <f>IF($B63="","",IF($AD63&lt;&gt;"",$AD63,IF($AC63="","",IF($AC63&lt;=設定!$C$3,0,$AC63))))</f>
        <v/>
      </c>
      <c r="AF63" s="14">
        <f>IF($B63="","",IF(AND($AG63&lt;&gt;"",$AI63="",$AL63=""),"保留中",IF($AL63&lt;&gt;"",IF(N($AE63)&gt;0,"支給済","不支給"),IF($AE63="","要確認",IF($AE63=0,"不支給","未処理")))))</f>
        <v/>
      </c>
      <c r="AG63" s="12" t="n"/>
      <c r="AH63" s="11" t="n"/>
      <c r="AI63" s="11" t="n"/>
      <c r="AJ63" s="11" t="n"/>
      <c r="AK63" s="14">
        <f>IF(AND($AF63="保留中",$AH63&lt;&gt;""),TODAY()-$AH63,"")</f>
        <v/>
      </c>
      <c r="AL63" s="12" t="inlineStr">
        <is>
          <t>R7.8</t>
        </is>
      </c>
      <c r="AM63" s="14">
        <f>IF($B63="","",IF($AQ63="","対象年月が未入力／","")&amp;IF($B63="","",IF($AP63="","職員マスタに未登録の職員番号／",IF($AA63="","標準報酬月額が未登録／","")&amp;IF(AND($AQ63&lt;&gt;"",OR(AND(INDEX(職員マスタ!$G$6:$G$405,$AP63)&lt;&gt;"",INDEX(職員マスタ!$G$6:$G$405,$AP63)&gt;EOMONTH($AQ63,0)),AND(INDEX(職員マスタ!$H$6:$H$405,$AP63)&lt;&gt;"",INDEX(職員マスタ!$H$6:$H$405,$AP63)&lt;$AQ63))),"対象月が時短期間外／","")&amp;IF(AND(INDEX(職員マスタ!$K$6:$K$405,$AP63)&lt;&gt;"",N($W63)&gt;0,INDEX(職員マスタ!$K$6:$K$405,$AP63)&lt;&gt;$W63),"標準報酬月額が申請書と相違（台帳"&amp;TEXT(INDEX(職員マスタ!$K$6:$K$405,$AP63),"#,##0")&amp;"円／申請書"&amp;TEXT($W63,"#,##0")&amp;"円）／","")&amp;IF(AND(INDEX(職員マスタ!$F$6:$F$405,$AP63)&lt;&gt;"",$AQ63&lt;&gt;"",INDEX(職員マスタ!$F$6:$F$405,$AP63)&lt;$AQ63),"対象月に子が2歳到達済／","")&amp;IF(AND($H63&lt;&gt;"",INDEX(職員マスタ!$B$6:$B$405,$AP63)&lt;&gt;"",SUBSTITUTE(SUBSTITUTE($H63," ","")," ","")&lt;&gt;SUBSTITUTE(SUBSTITUTE(INDEX(職員マスタ!$B$6:$B$405,$AP63)," ","")," ","")),"氏名がマスタと相違／","")&amp;IF(AND($Q63&lt;&gt;"",INDEX(職員マスタ!$E$6:$E$405,$AP63)&lt;&gt;"",$Q63&lt;&gt;INDEX(職員マスタ!$E$6:$E$405,$AP63)),"子の生年月日がマスタと相違／","")&amp;IF(AND($L63&lt;&gt;"",INDEX(職員マスタ!$G$6:$G$405,$AP63)&lt;&gt;"",$L63&lt;&gt;INDEX(職員マスタ!$G$6:$G$405,$AP63)),"時短開始日がマスタと相違／","")&amp;IF(AND($M63&lt;&gt;"",INDEX(職員マスタ!$H$6:$H$405,$AP63)&lt;&gt;"",$M63&lt;&gt;INDEX(職員マスタ!$H$6:$H$405,$AP63)),"時短終了日がマスタと相違／","")))&amp;IF(AND($B63&lt;&gt;"",$E63=""),"報酬額が未入力／","")&amp;IF(N($U63)&gt;0,"申請書に入力エラーが残っています／","")&amp;IF(AND($B63&lt;&gt;"",$AQ63&lt;&gt;""),IF(COUNTIFS($B$6:$B$3005,$B63,$C$6:$C$3005,$C63,$D$6:$D$3005,$D63)&gt;1,"同じ月の請求が重複しています／",""),"")&amp;IF(AND(N($E63)&gt;0,$AB63&lt;&gt;"",$AB63&lt;&gt;"×",$AE63=0,$AD63=""),"計算額が下限以下のため不支給／",""))</f>
        <v/>
      </c>
      <c r="AN63" s="12" t="n"/>
      <c r="AO63" s="14">
        <f>IF($AF63="保留中",COUNTIF($AF$6:$AF63,"保留中"),"")</f>
        <v/>
      </c>
      <c r="AP63" s="14">
        <f>IF($AQ63="","",IF(SUMPRODUCT(MAX((職員マスタ!$A$6:$A$405=$B63)*(((職員マスタ!$G$6:$G$405="")+(職員マスタ!$G$6:$G$405&lt;=EOMONTH($AQ63,0)))&gt;0)*(((職員マスタ!$H$6:$H$405="")+(職員マスタ!$H$6:$H$405&gt;=$AQ63))&gt;0)*(ROW(職員マスタ!$A$6:$A$405)-5)))&gt;0,SUMPRODUCT(MAX((職員マスタ!$A$6:$A$405=$B63)*(((職員マスタ!$G$6:$G$405="")+(職員マスタ!$G$6:$G$405&lt;=EOMONTH($AQ63,0)))&gt;0)*(((職員マスタ!$H$6:$H$405="")+(職員マスタ!$H$6:$H$405&gt;=$AQ63))&gt;0)*(ROW(職員マスタ!$A$6:$A$405)-5))),IFERROR(MATCH($B63,職員マスタ!$A$6:$A$405,0),"")))</f>
        <v/>
      </c>
      <c r="AQ63" s="16">
        <f>IF(OR($B63="",$C63="",$D63=""),"",DATE($C63+2018,$D63,1))</f>
        <v/>
      </c>
    </row>
    <row r="64">
      <c r="A64" s="11" t="n"/>
      <c r="B64" s="12" t="n">
        <v>6002646</v>
      </c>
      <c r="C64" s="12" t="n">
        <v>7</v>
      </c>
      <c r="D64" s="12" t="n">
        <v>6</v>
      </c>
      <c r="E64" s="13" t="n">
        <v>217602</v>
      </c>
      <c r="F64" s="12" t="n"/>
      <c r="G64" s="13" t="n"/>
      <c r="H64" s="12" t="n"/>
      <c r="I64" s="12" t="n"/>
      <c r="J64" s="12" t="n"/>
      <c r="K64" s="12" t="n"/>
      <c r="L64" s="11" t="n"/>
      <c r="M64" s="11" t="n"/>
      <c r="N64" s="11" t="n"/>
      <c r="O64" s="11" t="n"/>
      <c r="P64" s="12" t="n"/>
      <c r="Q64" s="11" t="n"/>
      <c r="R64" s="12" t="n"/>
      <c r="S64" s="11" t="n"/>
      <c r="T64" s="12" t="n"/>
      <c r="U64" s="12" t="n"/>
      <c r="V64" s="12" t="n"/>
      <c r="W64" s="13" t="n"/>
      <c r="X64" s="14">
        <f>IF($AP64="",IF($B64="","",$H64),IF(INDEX(職員マスタ!$B$6:$B$405,$AP64)="",$H64,INDEX(職員マスタ!$B$6:$B$405,$AP64)))</f>
        <v/>
      </c>
      <c r="Y64" s="14">
        <f>IF($AP64="",IF($B64="","",$R64),IF(INDEX(職員マスタ!$C$6:$C$405,$AP64)="",$R64,INDEX(職員マスタ!$C$6:$C$405,$AP64)))</f>
        <v/>
      </c>
      <c r="Z64" s="14">
        <f>IF($AQ64="","","R"&amp;$C64&amp;"."&amp;$D64)</f>
        <v/>
      </c>
      <c r="AA64" s="15">
        <f>IF(IF($AP64="",FALSE,INDEX(職員マスタ!$K$6:$K$405,$AP64)&lt;&gt;""),INDEX(職員マスタ!$K$6:$K$405,$AP64),IF(N($W64)&gt;0,$W64,""))</f>
        <v/>
      </c>
      <c r="AB64" s="14">
        <f>IF(OR($E64="",$AA64=""),"",IF($E64&gt;=$AA64,"×",IF($E64&gt;=$AA64*設定!$C$5,"△","○")))</f>
        <v/>
      </c>
      <c r="AC64" s="15">
        <f>IF($AB64="","",IF($AB64="×",0,IF($AB64="○",ROUNDDOWN($E64*設定!$C$4,0),ROUNDDOWN($E64*ROUND((9*$AA64-9*$E64)/(10*$E64),4),0))))</f>
        <v/>
      </c>
      <c r="AD64" s="13" t="n"/>
      <c r="AE64" s="15">
        <f>IF($B64="","",IF($AD64&lt;&gt;"",$AD64,IF($AC64="","",IF($AC64&lt;=設定!$C$3,0,$AC64))))</f>
        <v/>
      </c>
      <c r="AF64" s="14">
        <f>IF($B64="","",IF(AND($AG64&lt;&gt;"",$AI64="",$AL64=""),"保留中",IF($AL64&lt;&gt;"",IF(N($AE64)&gt;0,"支給済","不支給"),IF($AE64="","要確認",IF($AE64=0,"不支給","未処理")))))</f>
        <v/>
      </c>
      <c r="AG64" s="12" t="n"/>
      <c r="AH64" s="11" t="n"/>
      <c r="AI64" s="11" t="n"/>
      <c r="AJ64" s="11" t="n"/>
      <c r="AK64" s="14">
        <f>IF(AND($AF64="保留中",$AH64&lt;&gt;""),TODAY()-$AH64,"")</f>
        <v/>
      </c>
      <c r="AL64" s="12" t="inlineStr">
        <is>
          <t>R7.8</t>
        </is>
      </c>
      <c r="AM64" s="14">
        <f>IF($B64="","",IF($AQ64="","対象年月が未入力／","")&amp;IF($B64="","",IF($AP64="","職員マスタに未登録の職員番号／",IF($AA64="","標準報酬月額が未登録／","")&amp;IF(AND($AQ64&lt;&gt;"",OR(AND(INDEX(職員マスタ!$G$6:$G$405,$AP64)&lt;&gt;"",INDEX(職員マスタ!$G$6:$G$405,$AP64)&gt;EOMONTH($AQ64,0)),AND(INDEX(職員マスタ!$H$6:$H$405,$AP64)&lt;&gt;"",INDEX(職員マスタ!$H$6:$H$405,$AP64)&lt;$AQ64))),"対象月が時短期間外／","")&amp;IF(AND(INDEX(職員マスタ!$K$6:$K$405,$AP64)&lt;&gt;"",N($W64)&gt;0,INDEX(職員マスタ!$K$6:$K$405,$AP64)&lt;&gt;$W64),"標準報酬月額が申請書と相違（台帳"&amp;TEXT(INDEX(職員マスタ!$K$6:$K$405,$AP64),"#,##0")&amp;"円／申請書"&amp;TEXT($W64,"#,##0")&amp;"円）／","")&amp;IF(AND(INDEX(職員マスタ!$F$6:$F$405,$AP64)&lt;&gt;"",$AQ64&lt;&gt;"",INDEX(職員マスタ!$F$6:$F$405,$AP64)&lt;$AQ64),"対象月に子が2歳到達済／","")&amp;IF(AND($H64&lt;&gt;"",INDEX(職員マスタ!$B$6:$B$405,$AP64)&lt;&gt;"",SUBSTITUTE(SUBSTITUTE($H64," ","")," ","")&lt;&gt;SUBSTITUTE(SUBSTITUTE(INDEX(職員マスタ!$B$6:$B$405,$AP64)," ","")," ","")),"氏名がマスタと相違／","")&amp;IF(AND($Q64&lt;&gt;"",INDEX(職員マスタ!$E$6:$E$405,$AP64)&lt;&gt;"",$Q64&lt;&gt;INDEX(職員マスタ!$E$6:$E$405,$AP64)),"子の生年月日がマスタと相違／","")&amp;IF(AND($L64&lt;&gt;"",INDEX(職員マスタ!$G$6:$G$405,$AP64)&lt;&gt;"",$L64&lt;&gt;INDEX(職員マスタ!$G$6:$G$405,$AP64)),"時短開始日がマスタと相違／","")&amp;IF(AND($M64&lt;&gt;"",INDEX(職員マスタ!$H$6:$H$405,$AP64)&lt;&gt;"",$M64&lt;&gt;INDEX(職員マスタ!$H$6:$H$405,$AP64)),"時短終了日がマスタと相違／","")))&amp;IF(AND($B64&lt;&gt;"",$E64=""),"報酬額が未入力／","")&amp;IF(N($U64)&gt;0,"申請書に入力エラーが残っています／","")&amp;IF(AND($B64&lt;&gt;"",$AQ64&lt;&gt;""),IF(COUNTIFS($B$6:$B$3005,$B64,$C$6:$C$3005,$C64,$D$6:$D$3005,$D64)&gt;1,"同じ月の請求が重複しています／",""),"")&amp;IF(AND(N($E64)&gt;0,$AB64&lt;&gt;"",$AB64&lt;&gt;"×",$AE64=0,$AD64=""),"計算額が下限以下のため不支給／",""))</f>
        <v/>
      </c>
      <c r="AN64" s="12" t="n"/>
      <c r="AO64" s="14">
        <f>IF($AF64="保留中",COUNTIF($AF$6:$AF64,"保留中"),"")</f>
        <v/>
      </c>
      <c r="AP64" s="14">
        <f>IF($AQ64="","",IF(SUMPRODUCT(MAX((職員マスタ!$A$6:$A$405=$B64)*(((職員マスタ!$G$6:$G$405="")+(職員マスタ!$G$6:$G$405&lt;=EOMONTH($AQ64,0)))&gt;0)*(((職員マスタ!$H$6:$H$405="")+(職員マスタ!$H$6:$H$405&gt;=$AQ64))&gt;0)*(ROW(職員マスタ!$A$6:$A$405)-5)))&gt;0,SUMPRODUCT(MAX((職員マスタ!$A$6:$A$405=$B64)*(((職員マスタ!$G$6:$G$405="")+(職員マスタ!$G$6:$G$405&lt;=EOMONTH($AQ64,0)))&gt;0)*(((職員マスタ!$H$6:$H$405="")+(職員マスタ!$H$6:$H$405&gt;=$AQ64))&gt;0)*(ROW(職員マスタ!$A$6:$A$405)-5))),IFERROR(MATCH($B64,職員マスタ!$A$6:$A$405,0),"")))</f>
        <v/>
      </c>
      <c r="AQ64" s="16">
        <f>IF(OR($B64="",$C64="",$D64=""),"",DATE($C64+2018,$D64,1))</f>
        <v/>
      </c>
    </row>
    <row r="65">
      <c r="A65" s="11" t="n"/>
      <c r="B65" s="12" t="n">
        <v>6002646</v>
      </c>
      <c r="C65" s="12" t="n">
        <v>7</v>
      </c>
      <c r="D65" s="12" t="n">
        <v>7</v>
      </c>
      <c r="E65" s="13" t="n">
        <v>211215</v>
      </c>
      <c r="F65" s="12" t="n"/>
      <c r="G65" s="13" t="n"/>
      <c r="H65" s="12" t="n"/>
      <c r="I65" s="12" t="n"/>
      <c r="J65" s="12" t="n"/>
      <c r="K65" s="12" t="n"/>
      <c r="L65" s="11" t="n"/>
      <c r="M65" s="11" t="n"/>
      <c r="N65" s="11" t="n"/>
      <c r="O65" s="11" t="n"/>
      <c r="P65" s="12" t="n"/>
      <c r="Q65" s="11" t="n"/>
      <c r="R65" s="12" t="n"/>
      <c r="S65" s="11" t="n"/>
      <c r="T65" s="12" t="n"/>
      <c r="U65" s="12" t="n"/>
      <c r="V65" s="12" t="n"/>
      <c r="W65" s="13" t="n"/>
      <c r="X65" s="14">
        <f>IF($AP65="",IF($B65="","",$H65),IF(INDEX(職員マスタ!$B$6:$B$405,$AP65)="",$H65,INDEX(職員マスタ!$B$6:$B$405,$AP65)))</f>
        <v/>
      </c>
      <c r="Y65" s="14">
        <f>IF($AP65="",IF($B65="","",$R65),IF(INDEX(職員マスタ!$C$6:$C$405,$AP65)="",$R65,INDEX(職員マスタ!$C$6:$C$405,$AP65)))</f>
        <v/>
      </c>
      <c r="Z65" s="14">
        <f>IF($AQ65="","","R"&amp;$C65&amp;"."&amp;$D65)</f>
        <v/>
      </c>
      <c r="AA65" s="15">
        <f>IF(IF($AP65="",FALSE,INDEX(職員マスタ!$K$6:$K$405,$AP65)&lt;&gt;""),INDEX(職員マスタ!$K$6:$K$405,$AP65),IF(N($W65)&gt;0,$W65,""))</f>
        <v/>
      </c>
      <c r="AB65" s="14">
        <f>IF(OR($E65="",$AA65=""),"",IF($E65&gt;=$AA65,"×",IF($E65&gt;=$AA65*設定!$C$5,"△","○")))</f>
        <v/>
      </c>
      <c r="AC65" s="15">
        <f>IF($AB65="","",IF($AB65="×",0,IF($AB65="○",ROUNDDOWN($E65*設定!$C$4,0),ROUNDDOWN($E65*ROUND((9*$AA65-9*$E65)/(10*$E65),4),0))))</f>
        <v/>
      </c>
      <c r="AD65" s="13" t="n"/>
      <c r="AE65" s="15">
        <f>IF($B65="","",IF($AD65&lt;&gt;"",$AD65,IF($AC65="","",IF($AC65&lt;=設定!$C$3,0,$AC65))))</f>
        <v/>
      </c>
      <c r="AF65" s="14">
        <f>IF($B65="","",IF(AND($AG65&lt;&gt;"",$AI65="",$AL65=""),"保留中",IF($AL65&lt;&gt;"",IF(N($AE65)&gt;0,"支給済","不支給"),IF($AE65="","要確認",IF($AE65=0,"不支給","未処理")))))</f>
        <v/>
      </c>
      <c r="AG65" s="12" t="n"/>
      <c r="AH65" s="11" t="n"/>
      <c r="AI65" s="11" t="n"/>
      <c r="AJ65" s="11" t="n"/>
      <c r="AK65" s="14">
        <f>IF(AND($AF65="保留中",$AH65&lt;&gt;""),TODAY()-$AH65,"")</f>
        <v/>
      </c>
      <c r="AL65" s="12" t="inlineStr">
        <is>
          <t>R7.9</t>
        </is>
      </c>
      <c r="AM65" s="14">
        <f>IF($B65="","",IF($AQ65="","対象年月が未入力／","")&amp;IF($B65="","",IF($AP65="","職員マスタに未登録の職員番号／",IF($AA65="","標準報酬月額が未登録／","")&amp;IF(AND($AQ65&lt;&gt;"",OR(AND(INDEX(職員マスタ!$G$6:$G$405,$AP65)&lt;&gt;"",INDEX(職員マスタ!$G$6:$G$405,$AP65)&gt;EOMONTH($AQ65,0)),AND(INDEX(職員マスタ!$H$6:$H$405,$AP65)&lt;&gt;"",INDEX(職員マスタ!$H$6:$H$405,$AP65)&lt;$AQ65))),"対象月が時短期間外／","")&amp;IF(AND(INDEX(職員マスタ!$K$6:$K$405,$AP65)&lt;&gt;"",N($W65)&gt;0,INDEX(職員マスタ!$K$6:$K$405,$AP65)&lt;&gt;$W65),"標準報酬月額が申請書と相違（台帳"&amp;TEXT(INDEX(職員マスタ!$K$6:$K$405,$AP65),"#,##0")&amp;"円／申請書"&amp;TEXT($W65,"#,##0")&amp;"円）／","")&amp;IF(AND(INDEX(職員マスタ!$F$6:$F$405,$AP65)&lt;&gt;"",$AQ65&lt;&gt;"",INDEX(職員マスタ!$F$6:$F$405,$AP65)&lt;$AQ65),"対象月に子が2歳到達済／","")&amp;IF(AND($H65&lt;&gt;"",INDEX(職員マスタ!$B$6:$B$405,$AP65)&lt;&gt;"",SUBSTITUTE(SUBSTITUTE($H65," ","")," ","")&lt;&gt;SUBSTITUTE(SUBSTITUTE(INDEX(職員マスタ!$B$6:$B$405,$AP65)," ","")," ","")),"氏名がマスタと相違／","")&amp;IF(AND($Q65&lt;&gt;"",INDEX(職員マスタ!$E$6:$E$405,$AP65)&lt;&gt;"",$Q65&lt;&gt;INDEX(職員マスタ!$E$6:$E$405,$AP65)),"子の生年月日がマスタと相違／","")&amp;IF(AND($L65&lt;&gt;"",INDEX(職員マスタ!$G$6:$G$405,$AP65)&lt;&gt;"",$L65&lt;&gt;INDEX(職員マスタ!$G$6:$G$405,$AP65)),"時短開始日がマスタと相違／","")&amp;IF(AND($M65&lt;&gt;"",INDEX(職員マスタ!$H$6:$H$405,$AP65)&lt;&gt;"",$M65&lt;&gt;INDEX(職員マスタ!$H$6:$H$405,$AP65)),"時短終了日がマスタと相違／","")))&amp;IF(AND($B65&lt;&gt;"",$E65=""),"報酬額が未入力／","")&amp;IF(N($U65)&gt;0,"申請書に入力エラーが残っています／","")&amp;IF(AND($B65&lt;&gt;"",$AQ65&lt;&gt;""),IF(COUNTIFS($B$6:$B$3005,$B65,$C$6:$C$3005,$C65,$D$6:$D$3005,$D65)&gt;1,"同じ月の請求が重複しています／",""),"")&amp;IF(AND(N($E65)&gt;0,$AB65&lt;&gt;"",$AB65&lt;&gt;"×",$AE65=0,$AD65=""),"計算額が下限以下のため不支給／",""))</f>
        <v/>
      </c>
      <c r="AN65" s="12" t="n"/>
      <c r="AO65" s="14">
        <f>IF($AF65="保留中",COUNTIF($AF$6:$AF65,"保留中"),"")</f>
        <v/>
      </c>
      <c r="AP65" s="14">
        <f>IF($AQ65="","",IF(SUMPRODUCT(MAX((職員マスタ!$A$6:$A$405=$B65)*(((職員マスタ!$G$6:$G$405="")+(職員マスタ!$G$6:$G$405&lt;=EOMONTH($AQ65,0)))&gt;0)*(((職員マスタ!$H$6:$H$405="")+(職員マスタ!$H$6:$H$405&gt;=$AQ65))&gt;0)*(ROW(職員マスタ!$A$6:$A$405)-5)))&gt;0,SUMPRODUCT(MAX((職員マスタ!$A$6:$A$405=$B65)*(((職員マスタ!$G$6:$G$405="")+(職員マスタ!$G$6:$G$405&lt;=EOMONTH($AQ65,0)))&gt;0)*(((職員マスタ!$H$6:$H$405="")+(職員マスタ!$H$6:$H$405&gt;=$AQ65))&gt;0)*(ROW(職員マスタ!$A$6:$A$405)-5))),IFERROR(MATCH($B65,職員マスタ!$A$6:$A$405,0),"")))</f>
        <v/>
      </c>
      <c r="AQ65" s="16">
        <f>IF(OR($B65="",$C65="",$D65=""),"",DATE($C65+2018,$D65,1))</f>
        <v/>
      </c>
    </row>
    <row r="66">
      <c r="A66" s="11" t="n"/>
      <c r="B66" s="12" t="n">
        <v>6002646</v>
      </c>
      <c r="C66" s="12" t="n">
        <v>7</v>
      </c>
      <c r="D66" s="12" t="n">
        <v>8</v>
      </c>
      <c r="E66" s="13" t="n">
        <v>206957</v>
      </c>
      <c r="F66" s="12" t="n"/>
      <c r="G66" s="13" t="n"/>
      <c r="H66" s="12" t="n"/>
      <c r="I66" s="12" t="n"/>
      <c r="J66" s="12" t="n"/>
      <c r="K66" s="12" t="n"/>
      <c r="L66" s="11" t="n"/>
      <c r="M66" s="11" t="n"/>
      <c r="N66" s="11" t="n"/>
      <c r="O66" s="11" t="n"/>
      <c r="P66" s="12" t="n"/>
      <c r="Q66" s="11" t="n"/>
      <c r="R66" s="12" t="n"/>
      <c r="S66" s="11" t="n"/>
      <c r="T66" s="12" t="n"/>
      <c r="U66" s="12" t="n"/>
      <c r="V66" s="12" t="n"/>
      <c r="W66" s="13" t="n"/>
      <c r="X66" s="14">
        <f>IF($AP66="",IF($B66="","",$H66),IF(INDEX(職員マスタ!$B$6:$B$405,$AP66)="",$H66,INDEX(職員マスタ!$B$6:$B$405,$AP66)))</f>
        <v/>
      </c>
      <c r="Y66" s="14">
        <f>IF($AP66="",IF($B66="","",$R66),IF(INDEX(職員マスタ!$C$6:$C$405,$AP66)="",$R66,INDEX(職員マスタ!$C$6:$C$405,$AP66)))</f>
        <v/>
      </c>
      <c r="Z66" s="14">
        <f>IF($AQ66="","","R"&amp;$C66&amp;"."&amp;$D66)</f>
        <v/>
      </c>
      <c r="AA66" s="15">
        <f>IF(IF($AP66="",FALSE,INDEX(職員マスタ!$K$6:$K$405,$AP66)&lt;&gt;""),INDEX(職員マスタ!$K$6:$K$405,$AP66),IF(N($W66)&gt;0,$W66,""))</f>
        <v/>
      </c>
      <c r="AB66" s="14">
        <f>IF(OR($E66="",$AA66=""),"",IF($E66&gt;=$AA66,"×",IF($E66&gt;=$AA66*設定!$C$5,"△","○")))</f>
        <v/>
      </c>
      <c r="AC66" s="15">
        <f>IF($AB66="","",IF($AB66="×",0,IF($AB66="○",ROUNDDOWN($E66*設定!$C$4,0),ROUNDDOWN($E66*ROUND((9*$AA66-9*$E66)/(10*$E66),4),0))))</f>
        <v/>
      </c>
      <c r="AD66" s="13" t="n"/>
      <c r="AE66" s="15">
        <f>IF($B66="","",IF($AD66&lt;&gt;"",$AD66,IF($AC66="","",IF($AC66&lt;=設定!$C$3,0,$AC66))))</f>
        <v/>
      </c>
      <c r="AF66" s="14">
        <f>IF($B66="","",IF(AND($AG66&lt;&gt;"",$AI66="",$AL66=""),"保留中",IF($AL66&lt;&gt;"",IF(N($AE66)&gt;0,"支給済","不支給"),IF($AE66="","要確認",IF($AE66=0,"不支給","未処理")))))</f>
        <v/>
      </c>
      <c r="AG66" s="12" t="n"/>
      <c r="AH66" s="11" t="n"/>
      <c r="AI66" s="11" t="n"/>
      <c r="AJ66" s="11" t="n"/>
      <c r="AK66" s="14">
        <f>IF(AND($AF66="保留中",$AH66&lt;&gt;""),TODAY()-$AH66,"")</f>
        <v/>
      </c>
      <c r="AL66" s="12" t="inlineStr">
        <is>
          <t>R7.10</t>
        </is>
      </c>
      <c r="AM66" s="14">
        <f>IF($B66="","",IF($AQ66="","対象年月が未入力／","")&amp;IF($B66="","",IF($AP66="","職員マスタに未登録の職員番号／",IF($AA66="","標準報酬月額が未登録／","")&amp;IF(AND($AQ66&lt;&gt;"",OR(AND(INDEX(職員マスタ!$G$6:$G$405,$AP66)&lt;&gt;"",INDEX(職員マスタ!$G$6:$G$405,$AP66)&gt;EOMONTH($AQ66,0)),AND(INDEX(職員マスタ!$H$6:$H$405,$AP66)&lt;&gt;"",INDEX(職員マスタ!$H$6:$H$405,$AP66)&lt;$AQ66))),"対象月が時短期間外／","")&amp;IF(AND(INDEX(職員マスタ!$K$6:$K$405,$AP66)&lt;&gt;"",N($W66)&gt;0,INDEX(職員マスタ!$K$6:$K$405,$AP66)&lt;&gt;$W66),"標準報酬月額が申請書と相違（台帳"&amp;TEXT(INDEX(職員マスタ!$K$6:$K$405,$AP66),"#,##0")&amp;"円／申請書"&amp;TEXT($W66,"#,##0")&amp;"円）／","")&amp;IF(AND(INDEX(職員マスタ!$F$6:$F$405,$AP66)&lt;&gt;"",$AQ66&lt;&gt;"",INDEX(職員マスタ!$F$6:$F$405,$AP66)&lt;$AQ66),"対象月に子が2歳到達済／","")&amp;IF(AND($H66&lt;&gt;"",INDEX(職員マスタ!$B$6:$B$405,$AP66)&lt;&gt;"",SUBSTITUTE(SUBSTITUTE($H66," ","")," ","")&lt;&gt;SUBSTITUTE(SUBSTITUTE(INDEX(職員マスタ!$B$6:$B$405,$AP66)," ","")," ","")),"氏名がマスタと相違／","")&amp;IF(AND($Q66&lt;&gt;"",INDEX(職員マスタ!$E$6:$E$405,$AP66)&lt;&gt;"",$Q66&lt;&gt;INDEX(職員マスタ!$E$6:$E$405,$AP66)),"子の生年月日がマスタと相違／","")&amp;IF(AND($L66&lt;&gt;"",INDEX(職員マスタ!$G$6:$G$405,$AP66)&lt;&gt;"",$L66&lt;&gt;INDEX(職員マスタ!$G$6:$G$405,$AP66)),"時短開始日がマスタと相違／","")&amp;IF(AND($M66&lt;&gt;"",INDEX(職員マスタ!$H$6:$H$405,$AP66)&lt;&gt;"",$M66&lt;&gt;INDEX(職員マスタ!$H$6:$H$405,$AP66)),"時短終了日がマスタと相違／","")))&amp;IF(AND($B66&lt;&gt;"",$E66=""),"報酬額が未入力／","")&amp;IF(N($U66)&gt;0,"申請書に入力エラーが残っています／","")&amp;IF(AND($B66&lt;&gt;"",$AQ66&lt;&gt;""),IF(COUNTIFS($B$6:$B$3005,$B66,$C$6:$C$3005,$C66,$D$6:$D$3005,$D66)&gt;1,"同じ月の請求が重複しています／",""),"")&amp;IF(AND(N($E66)&gt;0,$AB66&lt;&gt;"",$AB66&lt;&gt;"×",$AE66=0,$AD66=""),"計算額が下限以下のため不支給／",""))</f>
        <v/>
      </c>
      <c r="AN66" s="12" t="n"/>
      <c r="AO66" s="14">
        <f>IF($AF66="保留中",COUNTIF($AF$6:$AF66,"保留中"),"")</f>
        <v/>
      </c>
      <c r="AP66" s="14">
        <f>IF($AQ66="","",IF(SUMPRODUCT(MAX((職員マスタ!$A$6:$A$405=$B66)*(((職員マスタ!$G$6:$G$405="")+(職員マスタ!$G$6:$G$405&lt;=EOMONTH($AQ66,0)))&gt;0)*(((職員マスタ!$H$6:$H$405="")+(職員マスタ!$H$6:$H$405&gt;=$AQ66))&gt;0)*(ROW(職員マスタ!$A$6:$A$405)-5)))&gt;0,SUMPRODUCT(MAX((職員マスタ!$A$6:$A$405=$B66)*(((職員マスタ!$G$6:$G$405="")+(職員マスタ!$G$6:$G$405&lt;=EOMONTH($AQ66,0)))&gt;0)*(((職員マスタ!$H$6:$H$405="")+(職員マスタ!$H$6:$H$405&gt;=$AQ66))&gt;0)*(ROW(職員マスタ!$A$6:$A$405)-5))),IFERROR(MATCH($B66,職員マスタ!$A$6:$A$405,0),"")))</f>
        <v/>
      </c>
      <c r="AQ66" s="16">
        <f>IF(OR($B66="",$C66="",$D66=""),"",DATE($C66+2018,$D66,1))</f>
        <v/>
      </c>
    </row>
    <row r="67">
      <c r="A67" s="11" t="n"/>
      <c r="B67" s="12" t="n">
        <v>6002646</v>
      </c>
      <c r="C67" s="12" t="n">
        <v>7</v>
      </c>
      <c r="D67" s="12" t="n">
        <v>9</v>
      </c>
      <c r="E67" s="13" t="n">
        <v>211215</v>
      </c>
      <c r="F67" s="12" t="n"/>
      <c r="G67" s="13" t="n"/>
      <c r="H67" s="12" t="n"/>
      <c r="I67" s="12" t="n"/>
      <c r="J67" s="12" t="n"/>
      <c r="K67" s="12" t="n"/>
      <c r="L67" s="11" t="n"/>
      <c r="M67" s="11" t="n"/>
      <c r="N67" s="11" t="n"/>
      <c r="O67" s="11" t="n"/>
      <c r="P67" s="12" t="n"/>
      <c r="Q67" s="11" t="n"/>
      <c r="R67" s="12" t="n"/>
      <c r="S67" s="11" t="n"/>
      <c r="T67" s="12" t="n"/>
      <c r="U67" s="12" t="n"/>
      <c r="V67" s="12" t="n"/>
      <c r="W67" s="13" t="n"/>
      <c r="X67" s="14">
        <f>IF($AP67="",IF($B67="","",$H67),IF(INDEX(職員マスタ!$B$6:$B$405,$AP67)="",$H67,INDEX(職員マスタ!$B$6:$B$405,$AP67)))</f>
        <v/>
      </c>
      <c r="Y67" s="14">
        <f>IF($AP67="",IF($B67="","",$R67),IF(INDEX(職員マスタ!$C$6:$C$405,$AP67)="",$R67,INDEX(職員マスタ!$C$6:$C$405,$AP67)))</f>
        <v/>
      </c>
      <c r="Z67" s="14">
        <f>IF($AQ67="","","R"&amp;$C67&amp;"."&amp;$D67)</f>
        <v/>
      </c>
      <c r="AA67" s="15">
        <f>IF(IF($AP67="",FALSE,INDEX(職員マスタ!$K$6:$K$405,$AP67)&lt;&gt;""),INDEX(職員マスタ!$K$6:$K$405,$AP67),IF(N($W67)&gt;0,$W67,""))</f>
        <v/>
      </c>
      <c r="AB67" s="14">
        <f>IF(OR($E67="",$AA67=""),"",IF($E67&gt;=$AA67,"×",IF($E67&gt;=$AA67*設定!$C$5,"△","○")))</f>
        <v/>
      </c>
      <c r="AC67" s="15">
        <f>IF($AB67="","",IF($AB67="×",0,IF($AB67="○",ROUNDDOWN($E67*設定!$C$4,0),ROUNDDOWN($E67*ROUND((9*$AA67-9*$E67)/(10*$E67),4),0))))</f>
        <v/>
      </c>
      <c r="AD67" s="13" t="n"/>
      <c r="AE67" s="15">
        <f>IF($B67="","",IF($AD67&lt;&gt;"",$AD67,IF($AC67="","",IF($AC67&lt;=設定!$C$3,0,$AC67))))</f>
        <v/>
      </c>
      <c r="AF67" s="14">
        <f>IF($B67="","",IF(AND($AG67&lt;&gt;"",$AI67="",$AL67=""),"保留中",IF($AL67&lt;&gt;"",IF(N($AE67)&gt;0,"支給済","不支給"),IF($AE67="","要確認",IF($AE67=0,"不支給","未処理")))))</f>
        <v/>
      </c>
      <c r="AG67" s="12" t="n"/>
      <c r="AH67" s="11" t="n"/>
      <c r="AI67" s="11" t="n"/>
      <c r="AJ67" s="11" t="n"/>
      <c r="AK67" s="14">
        <f>IF(AND($AF67="保留中",$AH67&lt;&gt;""),TODAY()-$AH67,"")</f>
        <v/>
      </c>
      <c r="AL67" s="12" t="inlineStr">
        <is>
          <t>R7.11</t>
        </is>
      </c>
      <c r="AM67" s="14">
        <f>IF($B67="","",IF($AQ67="","対象年月が未入力／","")&amp;IF($B67="","",IF($AP67="","職員マスタに未登録の職員番号／",IF($AA67="","標準報酬月額が未登録／","")&amp;IF(AND($AQ67&lt;&gt;"",OR(AND(INDEX(職員マスタ!$G$6:$G$405,$AP67)&lt;&gt;"",INDEX(職員マスタ!$G$6:$G$405,$AP67)&gt;EOMONTH($AQ67,0)),AND(INDEX(職員マスタ!$H$6:$H$405,$AP67)&lt;&gt;"",INDEX(職員マスタ!$H$6:$H$405,$AP67)&lt;$AQ67))),"対象月が時短期間外／","")&amp;IF(AND(INDEX(職員マスタ!$K$6:$K$405,$AP67)&lt;&gt;"",N($W67)&gt;0,INDEX(職員マスタ!$K$6:$K$405,$AP67)&lt;&gt;$W67),"標準報酬月額が申請書と相違（台帳"&amp;TEXT(INDEX(職員マスタ!$K$6:$K$405,$AP67),"#,##0")&amp;"円／申請書"&amp;TEXT($W67,"#,##0")&amp;"円）／","")&amp;IF(AND(INDEX(職員マスタ!$F$6:$F$405,$AP67)&lt;&gt;"",$AQ67&lt;&gt;"",INDEX(職員マスタ!$F$6:$F$405,$AP67)&lt;$AQ67),"対象月に子が2歳到達済／","")&amp;IF(AND($H67&lt;&gt;"",INDEX(職員マスタ!$B$6:$B$405,$AP67)&lt;&gt;"",SUBSTITUTE(SUBSTITUTE($H67," ","")," ","")&lt;&gt;SUBSTITUTE(SUBSTITUTE(INDEX(職員マスタ!$B$6:$B$405,$AP67)," ","")," ","")),"氏名がマスタと相違／","")&amp;IF(AND($Q67&lt;&gt;"",INDEX(職員マスタ!$E$6:$E$405,$AP67)&lt;&gt;"",$Q67&lt;&gt;INDEX(職員マスタ!$E$6:$E$405,$AP67)),"子の生年月日がマスタと相違／","")&amp;IF(AND($L67&lt;&gt;"",INDEX(職員マスタ!$G$6:$G$405,$AP67)&lt;&gt;"",$L67&lt;&gt;INDEX(職員マスタ!$G$6:$G$405,$AP67)),"時短開始日がマスタと相違／","")&amp;IF(AND($M67&lt;&gt;"",INDEX(職員マスタ!$H$6:$H$405,$AP67)&lt;&gt;"",$M67&lt;&gt;INDEX(職員マスタ!$H$6:$H$405,$AP67)),"時短終了日がマスタと相違／","")))&amp;IF(AND($B67&lt;&gt;"",$E67=""),"報酬額が未入力／","")&amp;IF(N($U67)&gt;0,"申請書に入力エラーが残っています／","")&amp;IF(AND($B67&lt;&gt;"",$AQ67&lt;&gt;""),IF(COUNTIFS($B$6:$B$3005,$B67,$C$6:$C$3005,$C67,$D$6:$D$3005,$D67)&gt;1,"同じ月の請求が重複しています／",""),"")&amp;IF(AND(N($E67)&gt;0,$AB67&lt;&gt;"",$AB67&lt;&gt;"×",$AE67=0,$AD67=""),"計算額が下限以下のため不支給／",""))</f>
        <v/>
      </c>
      <c r="AN67" s="12" t="n"/>
      <c r="AO67" s="14">
        <f>IF($AF67="保留中",COUNTIF($AF$6:$AF67,"保留中"),"")</f>
        <v/>
      </c>
      <c r="AP67" s="14">
        <f>IF($AQ67="","",IF(SUMPRODUCT(MAX((職員マスタ!$A$6:$A$405=$B67)*(((職員マスタ!$G$6:$G$405="")+(職員マスタ!$G$6:$G$405&lt;=EOMONTH($AQ67,0)))&gt;0)*(((職員マスタ!$H$6:$H$405="")+(職員マスタ!$H$6:$H$405&gt;=$AQ67))&gt;0)*(ROW(職員マスタ!$A$6:$A$405)-5)))&gt;0,SUMPRODUCT(MAX((職員マスタ!$A$6:$A$405=$B67)*(((職員マスタ!$G$6:$G$405="")+(職員マスタ!$G$6:$G$405&lt;=EOMONTH($AQ67,0)))&gt;0)*(((職員マスタ!$H$6:$H$405="")+(職員マスタ!$H$6:$H$405&gt;=$AQ67))&gt;0)*(ROW(職員マスタ!$A$6:$A$405)-5))),IFERROR(MATCH($B67,職員マスタ!$A$6:$A$405,0),"")))</f>
        <v/>
      </c>
      <c r="AQ67" s="16">
        <f>IF(OR($B67="",$C67="",$D67=""),"",DATE($C67+2018,$D67,1))</f>
        <v/>
      </c>
    </row>
    <row r="68">
      <c r="A68" s="11" t="n"/>
      <c r="B68" s="12" t="n">
        <v>6002646</v>
      </c>
      <c r="C68" s="12" t="n">
        <v>7</v>
      </c>
      <c r="D68" s="12" t="n">
        <v>10</v>
      </c>
      <c r="E68" s="13" t="n">
        <v>209086</v>
      </c>
      <c r="F68" s="12" t="n"/>
      <c r="G68" s="13" t="n"/>
      <c r="H68" s="12" t="n"/>
      <c r="I68" s="12" t="n"/>
      <c r="J68" s="12" t="n"/>
      <c r="K68" s="12" t="n"/>
      <c r="L68" s="11" t="n"/>
      <c r="M68" s="11" t="n"/>
      <c r="N68" s="11" t="n"/>
      <c r="O68" s="11" t="n"/>
      <c r="P68" s="12" t="n"/>
      <c r="Q68" s="11" t="n"/>
      <c r="R68" s="12" t="n"/>
      <c r="S68" s="11" t="n"/>
      <c r="T68" s="12" t="n"/>
      <c r="U68" s="12" t="n"/>
      <c r="V68" s="12" t="n"/>
      <c r="W68" s="13" t="n"/>
      <c r="X68" s="14">
        <f>IF($AP68="",IF($B68="","",$H68),IF(INDEX(職員マスタ!$B$6:$B$405,$AP68)="",$H68,INDEX(職員マスタ!$B$6:$B$405,$AP68)))</f>
        <v/>
      </c>
      <c r="Y68" s="14">
        <f>IF($AP68="",IF($B68="","",$R68),IF(INDEX(職員マスタ!$C$6:$C$405,$AP68)="",$R68,INDEX(職員マスタ!$C$6:$C$405,$AP68)))</f>
        <v/>
      </c>
      <c r="Z68" s="14">
        <f>IF($AQ68="","","R"&amp;$C68&amp;"."&amp;$D68)</f>
        <v/>
      </c>
      <c r="AA68" s="15">
        <f>IF(IF($AP68="",FALSE,INDEX(職員マスタ!$K$6:$K$405,$AP68)&lt;&gt;""),INDEX(職員マスタ!$K$6:$K$405,$AP68),IF(N($W68)&gt;0,$W68,""))</f>
        <v/>
      </c>
      <c r="AB68" s="14">
        <f>IF(OR($E68="",$AA68=""),"",IF($E68&gt;=$AA68,"×",IF($E68&gt;=$AA68*設定!$C$5,"△","○")))</f>
        <v/>
      </c>
      <c r="AC68" s="15">
        <f>IF($AB68="","",IF($AB68="×",0,IF($AB68="○",ROUNDDOWN($E68*設定!$C$4,0),ROUNDDOWN($E68*ROUND((9*$AA68-9*$E68)/(10*$E68),4),0))))</f>
        <v/>
      </c>
      <c r="AD68" s="13" t="n"/>
      <c r="AE68" s="15">
        <f>IF($B68="","",IF($AD68&lt;&gt;"",$AD68,IF($AC68="","",IF($AC68&lt;=設定!$C$3,0,$AC68))))</f>
        <v/>
      </c>
      <c r="AF68" s="14">
        <f>IF($B68="","",IF(AND($AG68&lt;&gt;"",$AI68="",$AL68=""),"保留中",IF($AL68&lt;&gt;"",IF(N($AE68)&gt;0,"支給済","不支給"),IF($AE68="","要確認",IF($AE68=0,"不支給","未処理")))))</f>
        <v/>
      </c>
      <c r="AG68" s="12" t="n"/>
      <c r="AH68" s="11" t="n"/>
      <c r="AI68" s="11" t="n"/>
      <c r="AJ68" s="11" t="n"/>
      <c r="AK68" s="14">
        <f>IF(AND($AF68="保留中",$AH68&lt;&gt;""),TODAY()-$AH68,"")</f>
        <v/>
      </c>
      <c r="AL68" s="12" t="inlineStr">
        <is>
          <t>R7.12</t>
        </is>
      </c>
      <c r="AM68" s="14">
        <f>IF($B68="","",IF($AQ68="","対象年月が未入力／","")&amp;IF($B68="","",IF($AP68="","職員マスタに未登録の職員番号／",IF($AA68="","標準報酬月額が未登録／","")&amp;IF(AND($AQ68&lt;&gt;"",OR(AND(INDEX(職員マスタ!$G$6:$G$405,$AP68)&lt;&gt;"",INDEX(職員マスタ!$G$6:$G$405,$AP68)&gt;EOMONTH($AQ68,0)),AND(INDEX(職員マスタ!$H$6:$H$405,$AP68)&lt;&gt;"",INDEX(職員マスタ!$H$6:$H$405,$AP68)&lt;$AQ68))),"対象月が時短期間外／","")&amp;IF(AND(INDEX(職員マスタ!$K$6:$K$405,$AP68)&lt;&gt;"",N($W68)&gt;0,INDEX(職員マスタ!$K$6:$K$405,$AP68)&lt;&gt;$W68),"標準報酬月額が申請書と相違（台帳"&amp;TEXT(INDEX(職員マスタ!$K$6:$K$405,$AP68),"#,##0")&amp;"円／申請書"&amp;TEXT($W68,"#,##0")&amp;"円）／","")&amp;IF(AND(INDEX(職員マスタ!$F$6:$F$405,$AP68)&lt;&gt;"",$AQ68&lt;&gt;"",INDEX(職員マスタ!$F$6:$F$405,$AP68)&lt;$AQ68),"対象月に子が2歳到達済／","")&amp;IF(AND($H68&lt;&gt;"",INDEX(職員マスタ!$B$6:$B$405,$AP68)&lt;&gt;"",SUBSTITUTE(SUBSTITUTE($H68," ","")," ","")&lt;&gt;SUBSTITUTE(SUBSTITUTE(INDEX(職員マスタ!$B$6:$B$405,$AP68)," ","")," ","")),"氏名がマスタと相違／","")&amp;IF(AND($Q68&lt;&gt;"",INDEX(職員マスタ!$E$6:$E$405,$AP68)&lt;&gt;"",$Q68&lt;&gt;INDEX(職員マスタ!$E$6:$E$405,$AP68)),"子の生年月日がマスタと相違／","")&amp;IF(AND($L68&lt;&gt;"",INDEX(職員マスタ!$G$6:$G$405,$AP68)&lt;&gt;"",$L68&lt;&gt;INDEX(職員マスタ!$G$6:$G$405,$AP68)),"時短開始日がマスタと相違／","")&amp;IF(AND($M68&lt;&gt;"",INDEX(職員マスタ!$H$6:$H$405,$AP68)&lt;&gt;"",$M68&lt;&gt;INDEX(職員マスタ!$H$6:$H$405,$AP68)),"時短終了日がマスタと相違／","")))&amp;IF(AND($B68&lt;&gt;"",$E68=""),"報酬額が未入力／","")&amp;IF(N($U68)&gt;0,"申請書に入力エラーが残っています／","")&amp;IF(AND($B68&lt;&gt;"",$AQ68&lt;&gt;""),IF(COUNTIFS($B$6:$B$3005,$B68,$C$6:$C$3005,$C68,$D$6:$D$3005,$D68)&gt;1,"同じ月の請求が重複しています／",""),"")&amp;IF(AND(N($E68)&gt;0,$AB68&lt;&gt;"",$AB68&lt;&gt;"×",$AE68=0,$AD68=""),"計算額が下限以下のため不支給／",""))</f>
        <v/>
      </c>
      <c r="AN68" s="12" t="n"/>
      <c r="AO68" s="14">
        <f>IF($AF68="保留中",COUNTIF($AF$6:$AF68,"保留中"),"")</f>
        <v/>
      </c>
      <c r="AP68" s="14">
        <f>IF($AQ68="","",IF(SUMPRODUCT(MAX((職員マスタ!$A$6:$A$405=$B68)*(((職員マスタ!$G$6:$G$405="")+(職員マスタ!$G$6:$G$405&lt;=EOMONTH($AQ68,0)))&gt;0)*(((職員マスタ!$H$6:$H$405="")+(職員マスタ!$H$6:$H$405&gt;=$AQ68))&gt;0)*(ROW(職員マスタ!$A$6:$A$405)-5)))&gt;0,SUMPRODUCT(MAX((職員マスタ!$A$6:$A$405=$B68)*(((職員マスタ!$G$6:$G$405="")+(職員マスタ!$G$6:$G$405&lt;=EOMONTH($AQ68,0)))&gt;0)*(((職員マスタ!$H$6:$H$405="")+(職員マスタ!$H$6:$H$405&gt;=$AQ68))&gt;0)*(ROW(職員マスタ!$A$6:$A$405)-5))),IFERROR(MATCH($B68,職員マスタ!$A$6:$A$405,0),"")))</f>
        <v/>
      </c>
      <c r="AQ68" s="16">
        <f>IF(OR($B68="",$C68="",$D68=""),"",DATE($C68+2018,$D68,1))</f>
        <v/>
      </c>
    </row>
    <row r="69">
      <c r="A69" s="11" t="n"/>
      <c r="B69" s="12" t="n">
        <v>6002646</v>
      </c>
      <c r="C69" s="12" t="n">
        <v>7</v>
      </c>
      <c r="D69" s="12" t="n">
        <v>11</v>
      </c>
      <c r="E69" s="13" t="n">
        <v>213344</v>
      </c>
      <c r="F69" s="12" t="n"/>
      <c r="G69" s="13" t="n"/>
      <c r="H69" s="12" t="n"/>
      <c r="I69" s="12" t="n"/>
      <c r="J69" s="12" t="n"/>
      <c r="K69" s="12" t="n"/>
      <c r="L69" s="11" t="n"/>
      <c r="M69" s="11" t="n"/>
      <c r="N69" s="11" t="n"/>
      <c r="O69" s="11" t="n"/>
      <c r="P69" s="12" t="n"/>
      <c r="Q69" s="11" t="n"/>
      <c r="R69" s="12" t="n"/>
      <c r="S69" s="11" t="n"/>
      <c r="T69" s="12" t="n"/>
      <c r="U69" s="12" t="n"/>
      <c r="V69" s="12" t="n"/>
      <c r="W69" s="13" t="n"/>
      <c r="X69" s="14">
        <f>IF($AP69="",IF($B69="","",$H69),IF(INDEX(職員マスタ!$B$6:$B$405,$AP69)="",$H69,INDEX(職員マスタ!$B$6:$B$405,$AP69)))</f>
        <v/>
      </c>
      <c r="Y69" s="14">
        <f>IF($AP69="",IF($B69="","",$R69),IF(INDEX(職員マスタ!$C$6:$C$405,$AP69)="",$R69,INDEX(職員マスタ!$C$6:$C$405,$AP69)))</f>
        <v/>
      </c>
      <c r="Z69" s="14">
        <f>IF($AQ69="","","R"&amp;$C69&amp;"."&amp;$D69)</f>
        <v/>
      </c>
      <c r="AA69" s="15">
        <f>IF(IF($AP69="",FALSE,INDEX(職員マスタ!$K$6:$K$405,$AP69)&lt;&gt;""),INDEX(職員マスタ!$K$6:$K$405,$AP69),IF(N($W69)&gt;0,$W69,""))</f>
        <v/>
      </c>
      <c r="AB69" s="14">
        <f>IF(OR($E69="",$AA69=""),"",IF($E69&gt;=$AA69,"×",IF($E69&gt;=$AA69*設定!$C$5,"△","○")))</f>
        <v/>
      </c>
      <c r="AC69" s="15">
        <f>IF($AB69="","",IF($AB69="×",0,IF($AB69="○",ROUNDDOWN($E69*設定!$C$4,0),ROUNDDOWN($E69*ROUND((9*$AA69-9*$E69)/(10*$E69),4),0))))</f>
        <v/>
      </c>
      <c r="AD69" s="13" t="n"/>
      <c r="AE69" s="15">
        <f>IF($B69="","",IF($AD69&lt;&gt;"",$AD69,IF($AC69="","",IF($AC69&lt;=設定!$C$3,0,$AC69))))</f>
        <v/>
      </c>
      <c r="AF69" s="14">
        <f>IF($B69="","",IF(AND($AG69&lt;&gt;"",$AI69="",$AL69=""),"保留中",IF($AL69&lt;&gt;"",IF(N($AE69)&gt;0,"支給済","不支給"),IF($AE69="","要確認",IF($AE69=0,"不支給","未処理")))))</f>
        <v/>
      </c>
      <c r="AG69" s="12" t="n"/>
      <c r="AH69" s="11" t="n"/>
      <c r="AI69" s="11" t="n"/>
      <c r="AJ69" s="11" t="n"/>
      <c r="AK69" s="14">
        <f>IF(AND($AF69="保留中",$AH69&lt;&gt;""),TODAY()-$AH69,"")</f>
        <v/>
      </c>
      <c r="AL69" s="12" t="inlineStr">
        <is>
          <t>R8.1</t>
        </is>
      </c>
      <c r="AM69" s="14">
        <f>IF($B69="","",IF($AQ69="","対象年月が未入力／","")&amp;IF($B69="","",IF($AP69="","職員マスタに未登録の職員番号／",IF($AA69="","標準報酬月額が未登録／","")&amp;IF(AND($AQ69&lt;&gt;"",OR(AND(INDEX(職員マスタ!$G$6:$G$405,$AP69)&lt;&gt;"",INDEX(職員マスタ!$G$6:$G$405,$AP69)&gt;EOMONTH($AQ69,0)),AND(INDEX(職員マスタ!$H$6:$H$405,$AP69)&lt;&gt;"",INDEX(職員マスタ!$H$6:$H$405,$AP69)&lt;$AQ69))),"対象月が時短期間外／","")&amp;IF(AND(INDEX(職員マスタ!$K$6:$K$405,$AP69)&lt;&gt;"",N($W69)&gt;0,INDEX(職員マスタ!$K$6:$K$405,$AP69)&lt;&gt;$W69),"標準報酬月額が申請書と相違（台帳"&amp;TEXT(INDEX(職員マスタ!$K$6:$K$405,$AP69),"#,##0")&amp;"円／申請書"&amp;TEXT($W69,"#,##0")&amp;"円）／","")&amp;IF(AND(INDEX(職員マスタ!$F$6:$F$405,$AP69)&lt;&gt;"",$AQ69&lt;&gt;"",INDEX(職員マスタ!$F$6:$F$405,$AP69)&lt;$AQ69),"対象月に子が2歳到達済／","")&amp;IF(AND($H69&lt;&gt;"",INDEX(職員マスタ!$B$6:$B$405,$AP69)&lt;&gt;"",SUBSTITUTE(SUBSTITUTE($H69," ","")," ","")&lt;&gt;SUBSTITUTE(SUBSTITUTE(INDEX(職員マスタ!$B$6:$B$405,$AP69)," ","")," ","")),"氏名がマスタと相違／","")&amp;IF(AND($Q69&lt;&gt;"",INDEX(職員マスタ!$E$6:$E$405,$AP69)&lt;&gt;"",$Q69&lt;&gt;INDEX(職員マスタ!$E$6:$E$405,$AP69)),"子の生年月日がマスタと相違／","")&amp;IF(AND($L69&lt;&gt;"",INDEX(職員マスタ!$G$6:$G$405,$AP69)&lt;&gt;"",$L69&lt;&gt;INDEX(職員マスタ!$G$6:$G$405,$AP69)),"時短開始日がマスタと相違／","")&amp;IF(AND($M69&lt;&gt;"",INDEX(職員マスタ!$H$6:$H$405,$AP69)&lt;&gt;"",$M69&lt;&gt;INDEX(職員マスタ!$H$6:$H$405,$AP69)),"時短終了日がマスタと相違／","")))&amp;IF(AND($B69&lt;&gt;"",$E69=""),"報酬額が未入力／","")&amp;IF(N($U69)&gt;0,"申請書に入力エラーが残っています／","")&amp;IF(AND($B69&lt;&gt;"",$AQ69&lt;&gt;""),IF(COUNTIFS($B$6:$B$3005,$B69,$C$6:$C$3005,$C69,$D$6:$D$3005,$D69)&gt;1,"同じ月の請求が重複しています／",""),"")&amp;IF(AND(N($E69)&gt;0,$AB69&lt;&gt;"",$AB69&lt;&gt;"×",$AE69=0,$AD69=""),"計算額が下限以下のため不支給／",""))</f>
        <v/>
      </c>
      <c r="AN69" s="12" t="n"/>
      <c r="AO69" s="14">
        <f>IF($AF69="保留中",COUNTIF($AF$6:$AF69,"保留中"),"")</f>
        <v/>
      </c>
      <c r="AP69" s="14">
        <f>IF($AQ69="","",IF(SUMPRODUCT(MAX((職員マスタ!$A$6:$A$405=$B69)*(((職員マスタ!$G$6:$G$405="")+(職員マスタ!$G$6:$G$405&lt;=EOMONTH($AQ69,0)))&gt;0)*(((職員マスタ!$H$6:$H$405="")+(職員マスタ!$H$6:$H$405&gt;=$AQ69))&gt;0)*(ROW(職員マスタ!$A$6:$A$405)-5)))&gt;0,SUMPRODUCT(MAX((職員マスタ!$A$6:$A$405=$B69)*(((職員マスタ!$G$6:$G$405="")+(職員マスタ!$G$6:$G$405&lt;=EOMONTH($AQ69,0)))&gt;0)*(((職員マスタ!$H$6:$H$405="")+(職員マスタ!$H$6:$H$405&gt;=$AQ69))&gt;0)*(ROW(職員マスタ!$A$6:$A$405)-5))),IFERROR(MATCH($B69,職員マスタ!$A$6:$A$405,0),"")))</f>
        <v/>
      </c>
      <c r="AQ69" s="16">
        <f>IF(OR($B69="",$C69="",$D69=""),"",DATE($C69+2018,$D69,1))</f>
        <v/>
      </c>
    </row>
    <row r="70">
      <c r="A70" s="11" t="n"/>
      <c r="B70" s="12" t="n">
        <v>6002646</v>
      </c>
      <c r="C70" s="12" t="n">
        <v>7</v>
      </c>
      <c r="D70" s="12" t="n">
        <v>12</v>
      </c>
      <c r="E70" s="13" t="n">
        <v>225267</v>
      </c>
      <c r="F70" s="12" t="n"/>
      <c r="G70" s="13" t="n"/>
      <c r="H70" s="12" t="n"/>
      <c r="I70" s="12" t="n"/>
      <c r="J70" s="12" t="n"/>
      <c r="K70" s="12" t="n"/>
      <c r="L70" s="11" t="n"/>
      <c r="M70" s="11" t="n"/>
      <c r="N70" s="11" t="n"/>
      <c r="O70" s="11" t="n"/>
      <c r="P70" s="12" t="n"/>
      <c r="Q70" s="11" t="n"/>
      <c r="R70" s="12" t="n"/>
      <c r="S70" s="11" t="n"/>
      <c r="T70" s="12" t="n"/>
      <c r="U70" s="12" t="n"/>
      <c r="V70" s="12" t="n"/>
      <c r="W70" s="13" t="n"/>
      <c r="X70" s="14">
        <f>IF($AP70="",IF($B70="","",$H70),IF(INDEX(職員マスタ!$B$6:$B$405,$AP70)="",$H70,INDEX(職員マスタ!$B$6:$B$405,$AP70)))</f>
        <v/>
      </c>
      <c r="Y70" s="14">
        <f>IF($AP70="",IF($B70="","",$R70),IF(INDEX(職員マスタ!$C$6:$C$405,$AP70)="",$R70,INDEX(職員マスタ!$C$6:$C$405,$AP70)))</f>
        <v/>
      </c>
      <c r="Z70" s="14">
        <f>IF($AQ70="","","R"&amp;$C70&amp;"."&amp;$D70)</f>
        <v/>
      </c>
      <c r="AA70" s="15">
        <f>IF(IF($AP70="",FALSE,INDEX(職員マスタ!$K$6:$K$405,$AP70)&lt;&gt;""),INDEX(職員マスタ!$K$6:$K$405,$AP70),IF(N($W70)&gt;0,$W70,""))</f>
        <v/>
      </c>
      <c r="AB70" s="14">
        <f>IF(OR($E70="",$AA70=""),"",IF($E70&gt;=$AA70,"×",IF($E70&gt;=$AA70*設定!$C$5,"△","○")))</f>
        <v/>
      </c>
      <c r="AC70" s="15">
        <f>IF($AB70="","",IF($AB70="×",0,IF($AB70="○",ROUNDDOWN($E70*設定!$C$4,0),ROUNDDOWN($E70*ROUND((9*$AA70-9*$E70)/(10*$E70),4),0))))</f>
        <v/>
      </c>
      <c r="AD70" s="13" t="n"/>
      <c r="AE70" s="15">
        <f>IF($B70="","",IF($AD70&lt;&gt;"",$AD70,IF($AC70="","",IF($AC70&lt;=設定!$C$3,0,$AC70))))</f>
        <v/>
      </c>
      <c r="AF70" s="14">
        <f>IF($B70="","",IF(AND($AG70&lt;&gt;"",$AI70="",$AL70=""),"保留中",IF($AL70&lt;&gt;"",IF(N($AE70)&gt;0,"支給済","不支給"),IF($AE70="","要確認",IF($AE70=0,"不支給","未処理")))))</f>
        <v/>
      </c>
      <c r="AG70" s="12" t="n"/>
      <c r="AH70" s="11" t="n"/>
      <c r="AI70" s="11" t="n"/>
      <c r="AJ70" s="11" t="n"/>
      <c r="AK70" s="14">
        <f>IF(AND($AF70="保留中",$AH70&lt;&gt;""),TODAY()-$AH70,"")</f>
        <v/>
      </c>
      <c r="AL70" s="12" t="inlineStr">
        <is>
          <t>R8.2</t>
        </is>
      </c>
      <c r="AM70" s="14">
        <f>IF($B70="","",IF($AQ70="","対象年月が未入力／","")&amp;IF($B70="","",IF($AP70="","職員マスタに未登録の職員番号／",IF($AA70="","標準報酬月額が未登録／","")&amp;IF(AND($AQ70&lt;&gt;"",OR(AND(INDEX(職員マスタ!$G$6:$G$405,$AP70)&lt;&gt;"",INDEX(職員マスタ!$G$6:$G$405,$AP70)&gt;EOMONTH($AQ70,0)),AND(INDEX(職員マスタ!$H$6:$H$405,$AP70)&lt;&gt;"",INDEX(職員マスタ!$H$6:$H$405,$AP70)&lt;$AQ70))),"対象月が時短期間外／","")&amp;IF(AND(INDEX(職員マスタ!$K$6:$K$405,$AP70)&lt;&gt;"",N($W70)&gt;0,INDEX(職員マスタ!$K$6:$K$405,$AP70)&lt;&gt;$W70),"標準報酬月額が申請書と相違（台帳"&amp;TEXT(INDEX(職員マスタ!$K$6:$K$405,$AP70),"#,##0")&amp;"円／申請書"&amp;TEXT($W70,"#,##0")&amp;"円）／","")&amp;IF(AND(INDEX(職員マスタ!$F$6:$F$405,$AP70)&lt;&gt;"",$AQ70&lt;&gt;"",INDEX(職員マスタ!$F$6:$F$405,$AP70)&lt;$AQ70),"対象月に子が2歳到達済／","")&amp;IF(AND($H70&lt;&gt;"",INDEX(職員マスタ!$B$6:$B$405,$AP70)&lt;&gt;"",SUBSTITUTE(SUBSTITUTE($H70," ","")," ","")&lt;&gt;SUBSTITUTE(SUBSTITUTE(INDEX(職員マスタ!$B$6:$B$405,$AP70)," ","")," ","")),"氏名がマスタと相違／","")&amp;IF(AND($Q70&lt;&gt;"",INDEX(職員マスタ!$E$6:$E$405,$AP70)&lt;&gt;"",$Q70&lt;&gt;INDEX(職員マスタ!$E$6:$E$405,$AP70)),"子の生年月日がマスタと相違／","")&amp;IF(AND($L70&lt;&gt;"",INDEX(職員マスタ!$G$6:$G$405,$AP70)&lt;&gt;"",$L70&lt;&gt;INDEX(職員マスタ!$G$6:$G$405,$AP70)),"時短開始日がマスタと相違／","")&amp;IF(AND($M70&lt;&gt;"",INDEX(職員マスタ!$H$6:$H$405,$AP70)&lt;&gt;"",$M70&lt;&gt;INDEX(職員マスタ!$H$6:$H$405,$AP70)),"時短終了日がマスタと相違／","")))&amp;IF(AND($B70&lt;&gt;"",$E70=""),"報酬額が未入力／","")&amp;IF(N($U70)&gt;0,"申請書に入力エラーが残っています／","")&amp;IF(AND($B70&lt;&gt;"",$AQ70&lt;&gt;""),IF(COUNTIFS($B$6:$B$3005,$B70,$C$6:$C$3005,$C70,$D$6:$D$3005,$D70)&gt;1,"同じ月の請求が重複しています／",""),"")&amp;IF(AND(N($E70)&gt;0,$AB70&lt;&gt;"",$AB70&lt;&gt;"×",$AE70=0,$AD70=""),"計算額が下限以下のため不支給／",""))</f>
        <v/>
      </c>
      <c r="AN70" s="12" t="n"/>
      <c r="AO70" s="14">
        <f>IF($AF70="保留中",COUNTIF($AF$6:$AF70,"保留中"),"")</f>
        <v/>
      </c>
      <c r="AP70" s="14">
        <f>IF($AQ70="","",IF(SUMPRODUCT(MAX((職員マスタ!$A$6:$A$405=$B70)*(((職員マスタ!$G$6:$G$405="")+(職員マスタ!$G$6:$G$405&lt;=EOMONTH($AQ70,0)))&gt;0)*(((職員マスタ!$H$6:$H$405="")+(職員マスタ!$H$6:$H$405&gt;=$AQ70))&gt;0)*(ROW(職員マスタ!$A$6:$A$405)-5)))&gt;0,SUMPRODUCT(MAX((職員マスタ!$A$6:$A$405=$B70)*(((職員マスタ!$G$6:$G$405="")+(職員マスタ!$G$6:$G$405&lt;=EOMONTH($AQ70,0)))&gt;0)*(((職員マスタ!$H$6:$H$405="")+(職員マスタ!$H$6:$H$405&gt;=$AQ70))&gt;0)*(ROW(職員マスタ!$A$6:$A$405)-5))),IFERROR(MATCH($B70,職員マスタ!$A$6:$A$405,0),"")))</f>
        <v/>
      </c>
      <c r="AQ70" s="16">
        <f>IF(OR($B70="",$C70="",$D70=""),"",DATE($C70+2018,$D70,1))</f>
        <v/>
      </c>
    </row>
    <row r="71">
      <c r="A71" s="11" t="n"/>
      <c r="B71" s="12" t="n">
        <v>6002646</v>
      </c>
      <c r="C71" s="12" t="n">
        <v>8</v>
      </c>
      <c r="D71" s="12" t="n">
        <v>1</v>
      </c>
      <c r="E71" s="13" t="n">
        <v>216451</v>
      </c>
      <c r="F71" s="12" t="n"/>
      <c r="G71" s="13" t="n"/>
      <c r="H71" s="12" t="n"/>
      <c r="I71" s="12" t="n"/>
      <c r="J71" s="12" t="n"/>
      <c r="K71" s="12" t="n"/>
      <c r="L71" s="11" t="n"/>
      <c r="M71" s="11" t="n"/>
      <c r="N71" s="11" t="n"/>
      <c r="O71" s="11" t="n"/>
      <c r="P71" s="12" t="n"/>
      <c r="Q71" s="11" t="n"/>
      <c r="R71" s="12" t="n"/>
      <c r="S71" s="11" t="n"/>
      <c r="T71" s="12" t="n"/>
      <c r="U71" s="12" t="n"/>
      <c r="V71" s="12" t="n"/>
      <c r="W71" s="13" t="n"/>
      <c r="X71" s="14">
        <f>IF($AP71="",IF($B71="","",$H71),IF(INDEX(職員マスタ!$B$6:$B$405,$AP71)="",$H71,INDEX(職員マスタ!$B$6:$B$405,$AP71)))</f>
        <v/>
      </c>
      <c r="Y71" s="14">
        <f>IF($AP71="",IF($B71="","",$R71),IF(INDEX(職員マスタ!$C$6:$C$405,$AP71)="",$R71,INDEX(職員マスタ!$C$6:$C$405,$AP71)))</f>
        <v/>
      </c>
      <c r="Z71" s="14">
        <f>IF($AQ71="","","R"&amp;$C71&amp;"."&amp;$D71)</f>
        <v/>
      </c>
      <c r="AA71" s="15">
        <f>IF(IF($AP71="",FALSE,INDEX(職員マスタ!$K$6:$K$405,$AP71)&lt;&gt;""),INDEX(職員マスタ!$K$6:$K$405,$AP71),IF(N($W71)&gt;0,$W71,""))</f>
        <v/>
      </c>
      <c r="AB71" s="14">
        <f>IF(OR($E71="",$AA71=""),"",IF($E71&gt;=$AA71,"×",IF($E71&gt;=$AA71*設定!$C$5,"△","○")))</f>
        <v/>
      </c>
      <c r="AC71" s="15">
        <f>IF($AB71="","",IF($AB71="×",0,IF($AB71="○",ROUNDDOWN($E71*設定!$C$4,0),ROUNDDOWN($E71*ROUND((9*$AA71-9*$E71)/(10*$E71),4),0))))</f>
        <v/>
      </c>
      <c r="AD71" s="13" t="n"/>
      <c r="AE71" s="15">
        <f>IF($B71="","",IF($AD71&lt;&gt;"",$AD71,IF($AC71="","",IF($AC71&lt;=設定!$C$3,0,$AC71))))</f>
        <v/>
      </c>
      <c r="AF71" s="14">
        <f>IF($B71="","",IF(AND($AG71&lt;&gt;"",$AI71="",$AL71=""),"保留中",IF($AL71&lt;&gt;"",IF(N($AE71)&gt;0,"支給済","不支給"),IF($AE71="","要確認",IF($AE71=0,"不支給","未処理")))))</f>
        <v/>
      </c>
      <c r="AG71" s="12" t="n"/>
      <c r="AH71" s="11" t="n"/>
      <c r="AI71" s="11" t="n"/>
      <c r="AJ71" s="11" t="n"/>
      <c r="AK71" s="14">
        <f>IF(AND($AF71="保留中",$AH71&lt;&gt;""),TODAY()-$AH71,"")</f>
        <v/>
      </c>
      <c r="AL71" s="12" t="inlineStr">
        <is>
          <t>R8.3</t>
        </is>
      </c>
      <c r="AM71" s="14">
        <f>IF($B71="","",IF($AQ71="","対象年月が未入力／","")&amp;IF($B71="","",IF($AP71="","職員マスタに未登録の職員番号／",IF($AA71="","標準報酬月額が未登録／","")&amp;IF(AND($AQ71&lt;&gt;"",OR(AND(INDEX(職員マスタ!$G$6:$G$405,$AP71)&lt;&gt;"",INDEX(職員マスタ!$G$6:$G$405,$AP71)&gt;EOMONTH($AQ71,0)),AND(INDEX(職員マスタ!$H$6:$H$405,$AP71)&lt;&gt;"",INDEX(職員マスタ!$H$6:$H$405,$AP71)&lt;$AQ71))),"対象月が時短期間外／","")&amp;IF(AND(INDEX(職員マスタ!$K$6:$K$405,$AP71)&lt;&gt;"",N($W71)&gt;0,INDEX(職員マスタ!$K$6:$K$405,$AP71)&lt;&gt;$W71),"標準報酬月額が申請書と相違（台帳"&amp;TEXT(INDEX(職員マスタ!$K$6:$K$405,$AP71),"#,##0")&amp;"円／申請書"&amp;TEXT($W71,"#,##0")&amp;"円）／","")&amp;IF(AND(INDEX(職員マスタ!$F$6:$F$405,$AP71)&lt;&gt;"",$AQ71&lt;&gt;"",INDEX(職員マスタ!$F$6:$F$405,$AP71)&lt;$AQ71),"対象月に子が2歳到達済／","")&amp;IF(AND($H71&lt;&gt;"",INDEX(職員マスタ!$B$6:$B$405,$AP71)&lt;&gt;"",SUBSTITUTE(SUBSTITUTE($H71," ","")," ","")&lt;&gt;SUBSTITUTE(SUBSTITUTE(INDEX(職員マスタ!$B$6:$B$405,$AP71)," ","")," ","")),"氏名がマスタと相違／","")&amp;IF(AND($Q71&lt;&gt;"",INDEX(職員マスタ!$E$6:$E$405,$AP71)&lt;&gt;"",$Q71&lt;&gt;INDEX(職員マスタ!$E$6:$E$405,$AP71)),"子の生年月日がマスタと相違／","")&amp;IF(AND($L71&lt;&gt;"",INDEX(職員マスタ!$G$6:$G$405,$AP71)&lt;&gt;"",$L71&lt;&gt;INDEX(職員マスタ!$G$6:$G$405,$AP71)),"時短開始日がマスタと相違／","")&amp;IF(AND($M71&lt;&gt;"",INDEX(職員マスタ!$H$6:$H$405,$AP71)&lt;&gt;"",$M71&lt;&gt;INDEX(職員マスタ!$H$6:$H$405,$AP71)),"時短終了日がマスタと相違／","")))&amp;IF(AND($B71&lt;&gt;"",$E71=""),"報酬額が未入力／","")&amp;IF(N($U71)&gt;0,"申請書に入力エラーが残っています／","")&amp;IF(AND($B71&lt;&gt;"",$AQ71&lt;&gt;""),IF(COUNTIFS($B$6:$B$3005,$B71,$C$6:$C$3005,$C71,$D$6:$D$3005,$D71)&gt;1,"同じ月の請求が重複しています／",""),"")&amp;IF(AND(N($E71)&gt;0,$AB71&lt;&gt;"",$AB71&lt;&gt;"×",$AE71=0,$AD71=""),"計算額が下限以下のため不支給／",""))</f>
        <v/>
      </c>
      <c r="AN71" s="12" t="n"/>
      <c r="AO71" s="14">
        <f>IF($AF71="保留中",COUNTIF($AF$6:$AF71,"保留中"),"")</f>
        <v/>
      </c>
      <c r="AP71" s="14">
        <f>IF($AQ71="","",IF(SUMPRODUCT(MAX((職員マスタ!$A$6:$A$405=$B71)*(((職員マスタ!$G$6:$G$405="")+(職員マスタ!$G$6:$G$405&lt;=EOMONTH($AQ71,0)))&gt;0)*(((職員マスタ!$H$6:$H$405="")+(職員マスタ!$H$6:$H$405&gt;=$AQ71))&gt;0)*(ROW(職員マスタ!$A$6:$A$405)-5)))&gt;0,SUMPRODUCT(MAX((職員マスタ!$A$6:$A$405=$B71)*(((職員マスタ!$G$6:$G$405="")+(職員マスタ!$G$6:$G$405&lt;=EOMONTH($AQ71,0)))&gt;0)*(((職員マスタ!$H$6:$H$405="")+(職員マスタ!$H$6:$H$405&gt;=$AQ71))&gt;0)*(ROW(職員マスタ!$A$6:$A$405)-5))),IFERROR(MATCH($B71,職員マスタ!$A$6:$A$405,0),"")))</f>
        <v/>
      </c>
      <c r="AQ71" s="16">
        <f>IF(OR($B71="",$C71="",$D71=""),"",DATE($C71+2018,$D71,1))</f>
        <v/>
      </c>
    </row>
    <row r="72">
      <c r="A72" s="11" t="n"/>
      <c r="B72" s="12" t="n">
        <v>6002646</v>
      </c>
      <c r="C72" s="12" t="n">
        <v>8</v>
      </c>
      <c r="D72" s="12" t="n">
        <v>2</v>
      </c>
      <c r="E72" s="13" t="n">
        <v>216451</v>
      </c>
      <c r="F72" s="12" t="n"/>
      <c r="G72" s="13" t="n"/>
      <c r="H72" s="12" t="n"/>
      <c r="I72" s="12" t="n"/>
      <c r="J72" s="12" t="n"/>
      <c r="K72" s="12" t="n"/>
      <c r="L72" s="11" t="n"/>
      <c r="M72" s="11" t="n"/>
      <c r="N72" s="11" t="n"/>
      <c r="O72" s="11" t="n"/>
      <c r="P72" s="12" t="n"/>
      <c r="Q72" s="11" t="n"/>
      <c r="R72" s="12" t="n"/>
      <c r="S72" s="11" t="n"/>
      <c r="T72" s="12" t="n"/>
      <c r="U72" s="12" t="n"/>
      <c r="V72" s="12" t="n"/>
      <c r="W72" s="13" t="n"/>
      <c r="X72" s="14">
        <f>IF($AP72="",IF($B72="","",$H72),IF(INDEX(職員マスタ!$B$6:$B$405,$AP72)="",$H72,INDEX(職員マスタ!$B$6:$B$405,$AP72)))</f>
        <v/>
      </c>
      <c r="Y72" s="14">
        <f>IF($AP72="",IF($B72="","",$R72),IF(INDEX(職員マスタ!$C$6:$C$405,$AP72)="",$R72,INDEX(職員マスタ!$C$6:$C$405,$AP72)))</f>
        <v/>
      </c>
      <c r="Z72" s="14">
        <f>IF($AQ72="","","R"&amp;$C72&amp;"."&amp;$D72)</f>
        <v/>
      </c>
      <c r="AA72" s="15">
        <f>IF(IF($AP72="",FALSE,INDEX(職員マスタ!$K$6:$K$405,$AP72)&lt;&gt;""),INDEX(職員マスタ!$K$6:$K$405,$AP72),IF(N($W72)&gt;0,$W72,""))</f>
        <v/>
      </c>
      <c r="AB72" s="14">
        <f>IF(OR($E72="",$AA72=""),"",IF($E72&gt;=$AA72,"×",IF($E72&gt;=$AA72*設定!$C$5,"△","○")))</f>
        <v/>
      </c>
      <c r="AC72" s="15">
        <f>IF($AB72="","",IF($AB72="×",0,IF($AB72="○",ROUNDDOWN($E72*設定!$C$4,0),ROUNDDOWN($E72*ROUND((9*$AA72-9*$E72)/(10*$E72),4),0))))</f>
        <v/>
      </c>
      <c r="AD72" s="13" t="n"/>
      <c r="AE72" s="15">
        <f>IF($B72="","",IF($AD72&lt;&gt;"",$AD72,IF($AC72="","",IF($AC72&lt;=設定!$C$3,0,$AC72))))</f>
        <v/>
      </c>
      <c r="AF72" s="14">
        <f>IF($B72="","",IF(AND($AG72&lt;&gt;"",$AI72="",$AL72=""),"保留中",IF($AL72&lt;&gt;"",IF(N($AE72)&gt;0,"支給済","不支給"),IF($AE72="","要確認",IF($AE72=0,"不支給","未処理")))))</f>
        <v/>
      </c>
      <c r="AG72" s="12" t="n"/>
      <c r="AH72" s="11" t="n"/>
      <c r="AI72" s="11" t="n"/>
      <c r="AJ72" s="11" t="n"/>
      <c r="AK72" s="14">
        <f>IF(AND($AF72="保留中",$AH72&lt;&gt;""),TODAY()-$AH72,"")</f>
        <v/>
      </c>
      <c r="AL72" s="12" t="inlineStr">
        <is>
          <t>R8.4</t>
        </is>
      </c>
      <c r="AM72" s="14">
        <f>IF($B72="","",IF($AQ72="","対象年月が未入力／","")&amp;IF($B72="","",IF($AP72="","職員マスタに未登録の職員番号／",IF($AA72="","標準報酬月額が未登録／","")&amp;IF(AND($AQ72&lt;&gt;"",OR(AND(INDEX(職員マスタ!$G$6:$G$405,$AP72)&lt;&gt;"",INDEX(職員マスタ!$G$6:$G$405,$AP72)&gt;EOMONTH($AQ72,0)),AND(INDEX(職員マスタ!$H$6:$H$405,$AP72)&lt;&gt;"",INDEX(職員マスタ!$H$6:$H$405,$AP72)&lt;$AQ72))),"対象月が時短期間外／","")&amp;IF(AND(INDEX(職員マスタ!$K$6:$K$405,$AP72)&lt;&gt;"",N($W72)&gt;0,INDEX(職員マスタ!$K$6:$K$405,$AP72)&lt;&gt;$W72),"標準報酬月額が申請書と相違（台帳"&amp;TEXT(INDEX(職員マスタ!$K$6:$K$405,$AP72),"#,##0")&amp;"円／申請書"&amp;TEXT($W72,"#,##0")&amp;"円）／","")&amp;IF(AND(INDEX(職員マスタ!$F$6:$F$405,$AP72)&lt;&gt;"",$AQ72&lt;&gt;"",INDEX(職員マスタ!$F$6:$F$405,$AP72)&lt;$AQ72),"対象月に子が2歳到達済／","")&amp;IF(AND($H72&lt;&gt;"",INDEX(職員マスタ!$B$6:$B$405,$AP72)&lt;&gt;"",SUBSTITUTE(SUBSTITUTE($H72," ","")," ","")&lt;&gt;SUBSTITUTE(SUBSTITUTE(INDEX(職員マスタ!$B$6:$B$405,$AP72)," ","")," ","")),"氏名がマスタと相違／","")&amp;IF(AND($Q72&lt;&gt;"",INDEX(職員マスタ!$E$6:$E$405,$AP72)&lt;&gt;"",$Q72&lt;&gt;INDEX(職員マスタ!$E$6:$E$405,$AP72)),"子の生年月日がマスタと相違／","")&amp;IF(AND($L72&lt;&gt;"",INDEX(職員マスタ!$G$6:$G$405,$AP72)&lt;&gt;"",$L72&lt;&gt;INDEX(職員マスタ!$G$6:$G$405,$AP72)),"時短開始日がマスタと相違／","")&amp;IF(AND($M72&lt;&gt;"",INDEX(職員マスタ!$H$6:$H$405,$AP72)&lt;&gt;"",$M72&lt;&gt;INDEX(職員マスタ!$H$6:$H$405,$AP72)),"時短終了日がマスタと相違／","")))&amp;IF(AND($B72&lt;&gt;"",$E72=""),"報酬額が未入力／","")&amp;IF(N($U72)&gt;0,"申請書に入力エラーが残っています／","")&amp;IF(AND($B72&lt;&gt;"",$AQ72&lt;&gt;""),IF(COUNTIFS($B$6:$B$3005,$B72,$C$6:$C$3005,$C72,$D$6:$D$3005,$D72)&gt;1,"同じ月の請求が重複しています／",""),"")&amp;IF(AND(N($E72)&gt;0,$AB72&lt;&gt;"",$AB72&lt;&gt;"×",$AE72=0,$AD72=""),"計算額が下限以下のため不支給／",""))</f>
        <v/>
      </c>
      <c r="AN72" s="12" t="n"/>
      <c r="AO72" s="14">
        <f>IF($AF72="保留中",COUNTIF($AF$6:$AF72,"保留中"),"")</f>
        <v/>
      </c>
      <c r="AP72" s="14">
        <f>IF($AQ72="","",IF(SUMPRODUCT(MAX((職員マスタ!$A$6:$A$405=$B72)*(((職員マスタ!$G$6:$G$405="")+(職員マスタ!$G$6:$G$405&lt;=EOMONTH($AQ72,0)))&gt;0)*(((職員マスタ!$H$6:$H$405="")+(職員マスタ!$H$6:$H$405&gt;=$AQ72))&gt;0)*(ROW(職員マスタ!$A$6:$A$405)-5)))&gt;0,SUMPRODUCT(MAX((職員マスタ!$A$6:$A$405=$B72)*(((職員マスタ!$G$6:$G$405="")+(職員マスタ!$G$6:$G$405&lt;=EOMONTH($AQ72,0)))&gt;0)*(((職員マスタ!$H$6:$H$405="")+(職員マスタ!$H$6:$H$405&gt;=$AQ72))&gt;0)*(ROW(職員マスタ!$A$6:$A$405)-5))),IFERROR(MATCH($B72,職員マスタ!$A$6:$A$405,0),"")))</f>
        <v/>
      </c>
      <c r="AQ72" s="16">
        <f>IF(OR($B72="",$C72="",$D72=""),"",DATE($C72+2018,$D72,1))</f>
        <v/>
      </c>
    </row>
    <row r="73">
      <c r="A73" s="11" t="n"/>
      <c r="B73" s="12" t="n">
        <v>6002968</v>
      </c>
      <c r="C73" s="12" t="n">
        <v>7</v>
      </c>
      <c r="D73" s="12" t="n">
        <v>4</v>
      </c>
      <c r="E73" s="13" t="n">
        <v>143812</v>
      </c>
      <c r="F73" s="12" t="n"/>
      <c r="G73" s="13" t="n"/>
      <c r="H73" s="12" t="n"/>
      <c r="I73" s="12" t="n"/>
      <c r="J73" s="12" t="n"/>
      <c r="K73" s="12" t="n"/>
      <c r="L73" s="11" t="n"/>
      <c r="M73" s="11" t="n"/>
      <c r="N73" s="11" t="n"/>
      <c r="O73" s="11" t="n"/>
      <c r="P73" s="12" t="n"/>
      <c r="Q73" s="11" t="n"/>
      <c r="R73" s="12" t="n"/>
      <c r="S73" s="11" t="n"/>
      <c r="T73" s="12" t="n"/>
      <c r="U73" s="12" t="n"/>
      <c r="V73" s="12" t="n"/>
      <c r="W73" s="13" t="n"/>
      <c r="X73" s="14">
        <f>IF($AP73="",IF($B73="","",$H73),IF(INDEX(職員マスタ!$B$6:$B$405,$AP73)="",$H73,INDEX(職員マスタ!$B$6:$B$405,$AP73)))</f>
        <v/>
      </c>
      <c r="Y73" s="14">
        <f>IF($AP73="",IF($B73="","",$R73),IF(INDEX(職員マスタ!$C$6:$C$405,$AP73)="",$R73,INDEX(職員マスタ!$C$6:$C$405,$AP73)))</f>
        <v/>
      </c>
      <c r="Z73" s="14">
        <f>IF($AQ73="","","R"&amp;$C73&amp;"."&amp;$D73)</f>
        <v/>
      </c>
      <c r="AA73" s="15">
        <f>IF(IF($AP73="",FALSE,INDEX(職員マスタ!$K$6:$K$405,$AP73)&lt;&gt;""),INDEX(職員マスタ!$K$6:$K$405,$AP73),IF(N($W73)&gt;0,$W73,""))</f>
        <v/>
      </c>
      <c r="AB73" s="14">
        <f>IF(OR($E73="",$AA73=""),"",IF($E73&gt;=$AA73,"×",IF($E73&gt;=$AA73*設定!$C$5,"△","○")))</f>
        <v/>
      </c>
      <c r="AC73" s="15">
        <f>IF($AB73="","",IF($AB73="×",0,IF($AB73="○",ROUNDDOWN($E73*設定!$C$4,0),ROUNDDOWN($E73*ROUND((9*$AA73-9*$E73)/(10*$E73),4),0))))</f>
        <v/>
      </c>
      <c r="AD73" s="13" t="n"/>
      <c r="AE73" s="15">
        <f>IF($B73="","",IF($AD73&lt;&gt;"",$AD73,IF($AC73="","",IF($AC73&lt;=設定!$C$3,0,$AC73))))</f>
        <v/>
      </c>
      <c r="AF73" s="14">
        <f>IF($B73="","",IF(AND($AG73&lt;&gt;"",$AI73="",$AL73=""),"保留中",IF($AL73&lt;&gt;"",IF(N($AE73)&gt;0,"支給済","不支給"),IF($AE73="","要確認",IF($AE73=0,"不支給","未処理")))))</f>
        <v/>
      </c>
      <c r="AG73" s="12" t="n"/>
      <c r="AH73" s="11" t="n"/>
      <c r="AI73" s="11" t="n"/>
      <c r="AJ73" s="11" t="n"/>
      <c r="AK73" s="14">
        <f>IF(AND($AF73="保留中",$AH73&lt;&gt;""),TODAY()-$AH73,"")</f>
        <v/>
      </c>
      <c r="AL73" s="12" t="inlineStr">
        <is>
          <t>R7.8</t>
        </is>
      </c>
      <c r="AM73" s="14">
        <f>IF($B73="","",IF($AQ73="","対象年月が未入力／","")&amp;IF($B73="","",IF($AP73="","職員マスタに未登録の職員番号／",IF($AA73="","標準報酬月額が未登録／","")&amp;IF(AND($AQ73&lt;&gt;"",OR(AND(INDEX(職員マスタ!$G$6:$G$405,$AP73)&lt;&gt;"",INDEX(職員マスタ!$G$6:$G$405,$AP73)&gt;EOMONTH($AQ73,0)),AND(INDEX(職員マスタ!$H$6:$H$405,$AP73)&lt;&gt;"",INDEX(職員マスタ!$H$6:$H$405,$AP73)&lt;$AQ73))),"対象月が時短期間外／","")&amp;IF(AND(INDEX(職員マスタ!$K$6:$K$405,$AP73)&lt;&gt;"",N($W73)&gt;0,INDEX(職員マスタ!$K$6:$K$405,$AP73)&lt;&gt;$W73),"標準報酬月額が申請書と相違（台帳"&amp;TEXT(INDEX(職員マスタ!$K$6:$K$405,$AP73),"#,##0")&amp;"円／申請書"&amp;TEXT($W73,"#,##0")&amp;"円）／","")&amp;IF(AND(INDEX(職員マスタ!$F$6:$F$405,$AP73)&lt;&gt;"",$AQ73&lt;&gt;"",INDEX(職員マスタ!$F$6:$F$405,$AP73)&lt;$AQ73),"対象月に子が2歳到達済／","")&amp;IF(AND($H73&lt;&gt;"",INDEX(職員マスタ!$B$6:$B$405,$AP73)&lt;&gt;"",SUBSTITUTE(SUBSTITUTE($H73," ","")," ","")&lt;&gt;SUBSTITUTE(SUBSTITUTE(INDEX(職員マスタ!$B$6:$B$405,$AP73)," ","")," ","")),"氏名がマスタと相違／","")&amp;IF(AND($Q73&lt;&gt;"",INDEX(職員マスタ!$E$6:$E$405,$AP73)&lt;&gt;"",$Q73&lt;&gt;INDEX(職員マスタ!$E$6:$E$405,$AP73)),"子の生年月日がマスタと相違／","")&amp;IF(AND($L73&lt;&gt;"",INDEX(職員マスタ!$G$6:$G$405,$AP73)&lt;&gt;"",$L73&lt;&gt;INDEX(職員マスタ!$G$6:$G$405,$AP73)),"時短開始日がマスタと相違／","")&amp;IF(AND($M73&lt;&gt;"",INDEX(職員マスタ!$H$6:$H$405,$AP73)&lt;&gt;"",$M73&lt;&gt;INDEX(職員マスタ!$H$6:$H$405,$AP73)),"時短終了日がマスタと相違／","")))&amp;IF(AND($B73&lt;&gt;"",$E73=""),"報酬額が未入力／","")&amp;IF(N($U73)&gt;0,"申請書に入力エラーが残っています／","")&amp;IF(AND($B73&lt;&gt;"",$AQ73&lt;&gt;""),IF(COUNTIFS($B$6:$B$3005,$B73,$C$6:$C$3005,$C73,$D$6:$D$3005,$D73)&gt;1,"同じ月の請求が重複しています／",""),"")&amp;IF(AND(N($E73)&gt;0,$AB73&lt;&gt;"",$AB73&lt;&gt;"×",$AE73=0,$AD73=""),"計算額が下限以下のため不支給／",""))</f>
        <v/>
      </c>
      <c r="AN73" s="12" t="n"/>
      <c r="AO73" s="14">
        <f>IF($AF73="保留中",COUNTIF($AF$6:$AF73,"保留中"),"")</f>
        <v/>
      </c>
      <c r="AP73" s="14">
        <f>IF($AQ73="","",IF(SUMPRODUCT(MAX((職員マスタ!$A$6:$A$405=$B73)*(((職員マスタ!$G$6:$G$405="")+(職員マスタ!$G$6:$G$405&lt;=EOMONTH($AQ73,0)))&gt;0)*(((職員マスタ!$H$6:$H$405="")+(職員マスタ!$H$6:$H$405&gt;=$AQ73))&gt;0)*(ROW(職員マスタ!$A$6:$A$405)-5)))&gt;0,SUMPRODUCT(MAX((職員マスタ!$A$6:$A$405=$B73)*(((職員マスタ!$G$6:$G$405="")+(職員マスタ!$G$6:$G$405&lt;=EOMONTH($AQ73,0)))&gt;0)*(((職員マスタ!$H$6:$H$405="")+(職員マスタ!$H$6:$H$405&gt;=$AQ73))&gt;0)*(ROW(職員マスタ!$A$6:$A$405)-5))),IFERROR(MATCH($B73,職員マスタ!$A$6:$A$405,0),"")))</f>
        <v/>
      </c>
      <c r="AQ73" s="16">
        <f>IF(OR($B73="",$C73="",$D73=""),"",DATE($C73+2018,$D73,1))</f>
        <v/>
      </c>
    </row>
    <row r="74">
      <c r="A74" s="11" t="n"/>
      <c r="B74" s="12" t="n">
        <v>6002968</v>
      </c>
      <c r="C74" s="12" t="n">
        <v>7</v>
      </c>
      <c r="D74" s="12" t="n">
        <v>5</v>
      </c>
      <c r="E74" s="13" t="n">
        <v>246784</v>
      </c>
      <c r="F74" s="12" t="n"/>
      <c r="G74" s="13" t="n"/>
      <c r="H74" s="12" t="n"/>
      <c r="I74" s="12" t="n"/>
      <c r="J74" s="12" t="n"/>
      <c r="K74" s="12" t="n"/>
      <c r="L74" s="11" t="n"/>
      <c r="M74" s="11" t="n"/>
      <c r="N74" s="11" t="n"/>
      <c r="O74" s="11" t="n"/>
      <c r="P74" s="12" t="n"/>
      <c r="Q74" s="11" t="n"/>
      <c r="R74" s="12" t="n"/>
      <c r="S74" s="11" t="n"/>
      <c r="T74" s="12" t="n"/>
      <c r="U74" s="12" t="n"/>
      <c r="V74" s="12" t="n"/>
      <c r="W74" s="13" t="n"/>
      <c r="X74" s="14">
        <f>IF($AP74="",IF($B74="","",$H74),IF(INDEX(職員マスタ!$B$6:$B$405,$AP74)="",$H74,INDEX(職員マスタ!$B$6:$B$405,$AP74)))</f>
        <v/>
      </c>
      <c r="Y74" s="14">
        <f>IF($AP74="",IF($B74="","",$R74),IF(INDEX(職員マスタ!$C$6:$C$405,$AP74)="",$R74,INDEX(職員マスタ!$C$6:$C$405,$AP74)))</f>
        <v/>
      </c>
      <c r="Z74" s="14">
        <f>IF($AQ74="","","R"&amp;$C74&amp;"."&amp;$D74)</f>
        <v/>
      </c>
      <c r="AA74" s="15">
        <f>IF(IF($AP74="",FALSE,INDEX(職員マスタ!$K$6:$K$405,$AP74)&lt;&gt;""),INDEX(職員マスタ!$K$6:$K$405,$AP74),IF(N($W74)&gt;0,$W74,""))</f>
        <v/>
      </c>
      <c r="AB74" s="14">
        <f>IF(OR($E74="",$AA74=""),"",IF($E74&gt;=$AA74,"×",IF($E74&gt;=$AA74*設定!$C$5,"△","○")))</f>
        <v/>
      </c>
      <c r="AC74" s="15">
        <f>IF($AB74="","",IF($AB74="×",0,IF($AB74="○",ROUNDDOWN($E74*設定!$C$4,0),ROUNDDOWN($E74*ROUND((9*$AA74-9*$E74)/(10*$E74),4),0))))</f>
        <v/>
      </c>
      <c r="AD74" s="13" t="n"/>
      <c r="AE74" s="15">
        <f>IF($B74="","",IF($AD74&lt;&gt;"",$AD74,IF($AC74="","",IF($AC74&lt;=設定!$C$3,0,$AC74))))</f>
        <v/>
      </c>
      <c r="AF74" s="14">
        <f>IF($B74="","",IF(AND($AG74&lt;&gt;"",$AI74="",$AL74=""),"保留中",IF($AL74&lt;&gt;"",IF(N($AE74)&gt;0,"支給済","不支給"),IF($AE74="","要確認",IF($AE74=0,"不支給","未処理")))))</f>
        <v/>
      </c>
      <c r="AG74" s="12" t="n"/>
      <c r="AH74" s="11" t="n"/>
      <c r="AI74" s="11" t="n"/>
      <c r="AJ74" s="11" t="n"/>
      <c r="AK74" s="14">
        <f>IF(AND($AF74="保留中",$AH74&lt;&gt;""),TODAY()-$AH74,"")</f>
        <v/>
      </c>
      <c r="AL74" s="12" t="inlineStr">
        <is>
          <t>R7.8</t>
        </is>
      </c>
      <c r="AM74" s="14">
        <f>IF($B74="","",IF($AQ74="","対象年月が未入力／","")&amp;IF($B74="","",IF($AP74="","職員マスタに未登録の職員番号／",IF($AA74="","標準報酬月額が未登録／","")&amp;IF(AND($AQ74&lt;&gt;"",OR(AND(INDEX(職員マスタ!$G$6:$G$405,$AP74)&lt;&gt;"",INDEX(職員マスタ!$G$6:$G$405,$AP74)&gt;EOMONTH($AQ74,0)),AND(INDEX(職員マスタ!$H$6:$H$405,$AP74)&lt;&gt;"",INDEX(職員マスタ!$H$6:$H$405,$AP74)&lt;$AQ74))),"対象月が時短期間外／","")&amp;IF(AND(INDEX(職員マスタ!$K$6:$K$405,$AP74)&lt;&gt;"",N($W74)&gt;0,INDEX(職員マスタ!$K$6:$K$405,$AP74)&lt;&gt;$W74),"標準報酬月額が申請書と相違（台帳"&amp;TEXT(INDEX(職員マスタ!$K$6:$K$405,$AP74),"#,##0")&amp;"円／申請書"&amp;TEXT($W74,"#,##0")&amp;"円）／","")&amp;IF(AND(INDEX(職員マスタ!$F$6:$F$405,$AP74)&lt;&gt;"",$AQ74&lt;&gt;"",INDEX(職員マスタ!$F$6:$F$405,$AP74)&lt;$AQ74),"対象月に子が2歳到達済／","")&amp;IF(AND($H74&lt;&gt;"",INDEX(職員マスタ!$B$6:$B$405,$AP74)&lt;&gt;"",SUBSTITUTE(SUBSTITUTE($H74," ","")," ","")&lt;&gt;SUBSTITUTE(SUBSTITUTE(INDEX(職員マスタ!$B$6:$B$405,$AP74)," ","")," ","")),"氏名がマスタと相違／","")&amp;IF(AND($Q74&lt;&gt;"",INDEX(職員マスタ!$E$6:$E$405,$AP74)&lt;&gt;"",$Q74&lt;&gt;INDEX(職員マスタ!$E$6:$E$405,$AP74)),"子の生年月日がマスタと相違／","")&amp;IF(AND($L74&lt;&gt;"",INDEX(職員マスタ!$G$6:$G$405,$AP74)&lt;&gt;"",$L74&lt;&gt;INDEX(職員マスタ!$G$6:$G$405,$AP74)),"時短開始日がマスタと相違／","")&amp;IF(AND($M74&lt;&gt;"",INDEX(職員マスタ!$H$6:$H$405,$AP74)&lt;&gt;"",$M74&lt;&gt;INDEX(職員マスタ!$H$6:$H$405,$AP74)),"時短終了日がマスタと相違／","")))&amp;IF(AND($B74&lt;&gt;"",$E74=""),"報酬額が未入力／","")&amp;IF(N($U74)&gt;0,"申請書に入力エラーが残っています／","")&amp;IF(AND($B74&lt;&gt;"",$AQ74&lt;&gt;""),IF(COUNTIFS($B$6:$B$3005,$B74,$C$6:$C$3005,$C74,$D$6:$D$3005,$D74)&gt;1,"同じ月の請求が重複しています／",""),"")&amp;IF(AND(N($E74)&gt;0,$AB74&lt;&gt;"",$AB74&lt;&gt;"×",$AE74=0,$AD74=""),"計算額が下限以下のため不支給／",""))</f>
        <v/>
      </c>
      <c r="AN74" s="12" t="n"/>
      <c r="AO74" s="14">
        <f>IF($AF74="保留中",COUNTIF($AF$6:$AF74,"保留中"),"")</f>
        <v/>
      </c>
      <c r="AP74" s="14">
        <f>IF($AQ74="","",IF(SUMPRODUCT(MAX((職員マスタ!$A$6:$A$405=$B74)*(((職員マスタ!$G$6:$G$405="")+(職員マスタ!$G$6:$G$405&lt;=EOMONTH($AQ74,0)))&gt;0)*(((職員マスタ!$H$6:$H$405="")+(職員マスタ!$H$6:$H$405&gt;=$AQ74))&gt;0)*(ROW(職員マスタ!$A$6:$A$405)-5)))&gt;0,SUMPRODUCT(MAX((職員マスタ!$A$6:$A$405=$B74)*(((職員マスタ!$G$6:$G$405="")+(職員マスタ!$G$6:$G$405&lt;=EOMONTH($AQ74,0)))&gt;0)*(((職員マスタ!$H$6:$H$405="")+(職員マスタ!$H$6:$H$405&gt;=$AQ74))&gt;0)*(ROW(職員マスタ!$A$6:$A$405)-5))),IFERROR(MATCH($B74,職員マスタ!$A$6:$A$405,0),"")))</f>
        <v/>
      </c>
      <c r="AQ74" s="16">
        <f>IF(OR($B74="",$C74="",$D74=""),"",DATE($C74+2018,$D74,1))</f>
        <v/>
      </c>
    </row>
    <row r="75">
      <c r="A75" s="11" t="n"/>
      <c r="B75" s="12" t="n">
        <v>6002976</v>
      </c>
      <c r="C75" s="12" t="n">
        <v>7</v>
      </c>
      <c r="D75" s="12" t="n">
        <v>5</v>
      </c>
      <c r="E75" s="13" t="n">
        <v>211538</v>
      </c>
      <c r="F75" s="12" t="n"/>
      <c r="G75" s="13" t="n"/>
      <c r="H75" s="12" t="n"/>
      <c r="I75" s="12" t="n"/>
      <c r="J75" s="12" t="n"/>
      <c r="K75" s="12" t="n"/>
      <c r="L75" s="11" t="n"/>
      <c r="M75" s="11" t="n"/>
      <c r="N75" s="11" t="n"/>
      <c r="O75" s="11" t="n"/>
      <c r="P75" s="12" t="n"/>
      <c r="Q75" s="11" t="n"/>
      <c r="R75" s="12" t="n"/>
      <c r="S75" s="11" t="n"/>
      <c r="T75" s="12" t="n"/>
      <c r="U75" s="12" t="n"/>
      <c r="V75" s="12" t="n"/>
      <c r="W75" s="13" t="n"/>
      <c r="X75" s="14">
        <f>IF($AP75="",IF($B75="","",$H75),IF(INDEX(職員マスタ!$B$6:$B$405,$AP75)="",$H75,INDEX(職員マスタ!$B$6:$B$405,$AP75)))</f>
        <v/>
      </c>
      <c r="Y75" s="14">
        <f>IF($AP75="",IF($B75="","",$R75),IF(INDEX(職員マスタ!$C$6:$C$405,$AP75)="",$R75,INDEX(職員マスタ!$C$6:$C$405,$AP75)))</f>
        <v/>
      </c>
      <c r="Z75" s="14">
        <f>IF($AQ75="","","R"&amp;$C75&amp;"."&amp;$D75)</f>
        <v/>
      </c>
      <c r="AA75" s="15">
        <f>IF(IF($AP75="",FALSE,INDEX(職員マスタ!$K$6:$K$405,$AP75)&lt;&gt;""),INDEX(職員マスタ!$K$6:$K$405,$AP75),IF(N($W75)&gt;0,$W75,""))</f>
        <v/>
      </c>
      <c r="AB75" s="14">
        <f>IF(OR($E75="",$AA75=""),"",IF($E75&gt;=$AA75,"×",IF($E75&gt;=$AA75*設定!$C$5,"△","○")))</f>
        <v/>
      </c>
      <c r="AC75" s="15">
        <f>IF($AB75="","",IF($AB75="×",0,IF($AB75="○",ROUNDDOWN($E75*設定!$C$4,0),ROUNDDOWN($E75*ROUND((9*$AA75-9*$E75)/(10*$E75),4),0))))</f>
        <v/>
      </c>
      <c r="AD75" s="13" t="n"/>
      <c r="AE75" s="15">
        <f>IF($B75="","",IF($AD75&lt;&gt;"",$AD75,IF($AC75="","",IF($AC75&lt;=設定!$C$3,0,$AC75))))</f>
        <v/>
      </c>
      <c r="AF75" s="14">
        <f>IF($B75="","",IF(AND($AG75&lt;&gt;"",$AI75="",$AL75=""),"保留中",IF($AL75&lt;&gt;"",IF(N($AE75)&gt;0,"支給済","不支給"),IF($AE75="","要確認",IF($AE75=0,"不支給","未処理")))))</f>
        <v/>
      </c>
      <c r="AG75" s="12" t="inlineStr">
        <is>
          <t>通勤手当の確認</t>
        </is>
      </c>
      <c r="AH75" s="11" t="n"/>
      <c r="AI75" s="11" t="n"/>
      <c r="AJ75" s="11" t="n"/>
      <c r="AK75" s="14">
        <f>IF(AND($AF75="保留中",$AH75&lt;&gt;""),TODAY()-$AH75,"")</f>
        <v/>
      </c>
      <c r="AL75" s="12" t="inlineStr">
        <is>
          <t>R7.11</t>
        </is>
      </c>
      <c r="AM75" s="14">
        <f>IF($B75="","",IF($AQ75="","対象年月が未入力／","")&amp;IF($B75="","",IF($AP75="","職員マスタに未登録の職員番号／",IF($AA75="","標準報酬月額が未登録／","")&amp;IF(AND($AQ75&lt;&gt;"",OR(AND(INDEX(職員マスタ!$G$6:$G$405,$AP75)&lt;&gt;"",INDEX(職員マスタ!$G$6:$G$405,$AP75)&gt;EOMONTH($AQ75,0)),AND(INDEX(職員マスタ!$H$6:$H$405,$AP75)&lt;&gt;"",INDEX(職員マスタ!$H$6:$H$405,$AP75)&lt;$AQ75))),"対象月が時短期間外／","")&amp;IF(AND(INDEX(職員マスタ!$K$6:$K$405,$AP75)&lt;&gt;"",N($W75)&gt;0,INDEX(職員マスタ!$K$6:$K$405,$AP75)&lt;&gt;$W75),"標準報酬月額が申請書と相違（台帳"&amp;TEXT(INDEX(職員マスタ!$K$6:$K$405,$AP75),"#,##0")&amp;"円／申請書"&amp;TEXT($W75,"#,##0")&amp;"円）／","")&amp;IF(AND(INDEX(職員マスタ!$F$6:$F$405,$AP75)&lt;&gt;"",$AQ75&lt;&gt;"",INDEX(職員マスタ!$F$6:$F$405,$AP75)&lt;$AQ75),"対象月に子が2歳到達済／","")&amp;IF(AND($H75&lt;&gt;"",INDEX(職員マスタ!$B$6:$B$405,$AP75)&lt;&gt;"",SUBSTITUTE(SUBSTITUTE($H75," ","")," ","")&lt;&gt;SUBSTITUTE(SUBSTITUTE(INDEX(職員マスタ!$B$6:$B$405,$AP75)," ","")," ","")),"氏名がマスタと相違／","")&amp;IF(AND($Q75&lt;&gt;"",INDEX(職員マスタ!$E$6:$E$405,$AP75)&lt;&gt;"",$Q75&lt;&gt;INDEX(職員マスタ!$E$6:$E$405,$AP75)),"子の生年月日がマスタと相違／","")&amp;IF(AND($L75&lt;&gt;"",INDEX(職員マスタ!$G$6:$G$405,$AP75)&lt;&gt;"",$L75&lt;&gt;INDEX(職員マスタ!$G$6:$G$405,$AP75)),"時短開始日がマスタと相違／","")&amp;IF(AND($M75&lt;&gt;"",INDEX(職員マスタ!$H$6:$H$405,$AP75)&lt;&gt;"",$M75&lt;&gt;INDEX(職員マスタ!$H$6:$H$405,$AP75)),"時短終了日がマスタと相違／","")))&amp;IF(AND($B75&lt;&gt;"",$E75=""),"報酬額が未入力／","")&amp;IF(N($U75)&gt;0,"申請書に入力エラーが残っています／","")&amp;IF(AND($B75&lt;&gt;"",$AQ75&lt;&gt;""),IF(COUNTIFS($B$6:$B$3005,$B75,$C$6:$C$3005,$C75,$D$6:$D$3005,$D75)&gt;1,"同じ月の請求が重複しています／",""),"")&amp;IF(AND(N($E75)&gt;0,$AB75&lt;&gt;"",$AB75&lt;&gt;"×",$AE75=0,$AD75=""),"計算額が下限以下のため不支給／",""))</f>
        <v/>
      </c>
      <c r="AN75" s="12" t="inlineStr">
        <is>
          <t>保留　通勤⇒支給</t>
        </is>
      </c>
      <c r="AO75" s="14">
        <f>IF($AF75="保留中",COUNTIF($AF$6:$AF75,"保留中"),"")</f>
        <v/>
      </c>
      <c r="AP75" s="14">
        <f>IF($AQ75="","",IF(SUMPRODUCT(MAX((職員マスタ!$A$6:$A$405=$B75)*(((職員マスタ!$G$6:$G$405="")+(職員マスタ!$G$6:$G$405&lt;=EOMONTH($AQ75,0)))&gt;0)*(((職員マスタ!$H$6:$H$405="")+(職員マスタ!$H$6:$H$405&gt;=$AQ75))&gt;0)*(ROW(職員マスタ!$A$6:$A$405)-5)))&gt;0,SUMPRODUCT(MAX((職員マスタ!$A$6:$A$405=$B75)*(((職員マスタ!$G$6:$G$405="")+(職員マスタ!$G$6:$G$405&lt;=EOMONTH($AQ75,0)))&gt;0)*(((職員マスタ!$H$6:$H$405="")+(職員マスタ!$H$6:$H$405&gt;=$AQ75))&gt;0)*(ROW(職員マスタ!$A$6:$A$405)-5))),IFERROR(MATCH($B75,職員マスタ!$A$6:$A$405,0),"")))</f>
        <v/>
      </c>
      <c r="AQ75" s="16">
        <f>IF(OR($B75="",$C75="",$D75=""),"",DATE($C75+2018,$D75,1))</f>
        <v/>
      </c>
    </row>
    <row r="76">
      <c r="A76" s="11" t="n"/>
      <c r="B76" s="12" t="n">
        <v>6002976</v>
      </c>
      <c r="C76" s="12" t="n">
        <v>7</v>
      </c>
      <c r="D76" s="12" t="n">
        <v>6</v>
      </c>
      <c r="E76" s="13" t="n">
        <v>220246</v>
      </c>
      <c r="F76" s="12" t="n"/>
      <c r="G76" s="13" t="n"/>
      <c r="H76" s="12" t="n"/>
      <c r="I76" s="12" t="n"/>
      <c r="J76" s="12" t="n"/>
      <c r="K76" s="12" t="n"/>
      <c r="L76" s="11" t="n"/>
      <c r="M76" s="11" t="n"/>
      <c r="N76" s="11" t="n"/>
      <c r="O76" s="11" t="n"/>
      <c r="P76" s="12" t="n"/>
      <c r="Q76" s="11" t="n"/>
      <c r="R76" s="12" t="n"/>
      <c r="S76" s="11" t="n"/>
      <c r="T76" s="12" t="n"/>
      <c r="U76" s="12" t="n"/>
      <c r="V76" s="12" t="n"/>
      <c r="W76" s="13" t="n"/>
      <c r="X76" s="14">
        <f>IF($AP76="",IF($B76="","",$H76),IF(INDEX(職員マスタ!$B$6:$B$405,$AP76)="",$H76,INDEX(職員マスタ!$B$6:$B$405,$AP76)))</f>
        <v/>
      </c>
      <c r="Y76" s="14">
        <f>IF($AP76="",IF($B76="","",$R76),IF(INDEX(職員マスタ!$C$6:$C$405,$AP76)="",$R76,INDEX(職員マスタ!$C$6:$C$405,$AP76)))</f>
        <v/>
      </c>
      <c r="Z76" s="14">
        <f>IF($AQ76="","","R"&amp;$C76&amp;"."&amp;$D76)</f>
        <v/>
      </c>
      <c r="AA76" s="15">
        <f>IF(IF($AP76="",FALSE,INDEX(職員マスタ!$K$6:$K$405,$AP76)&lt;&gt;""),INDEX(職員マスタ!$K$6:$K$405,$AP76),IF(N($W76)&gt;0,$W76,""))</f>
        <v/>
      </c>
      <c r="AB76" s="14">
        <f>IF(OR($E76="",$AA76=""),"",IF($E76&gt;=$AA76,"×",IF($E76&gt;=$AA76*設定!$C$5,"△","○")))</f>
        <v/>
      </c>
      <c r="AC76" s="15">
        <f>IF($AB76="","",IF($AB76="×",0,IF($AB76="○",ROUNDDOWN($E76*設定!$C$4,0),ROUNDDOWN($E76*ROUND((9*$AA76-9*$E76)/(10*$E76),4),0))))</f>
        <v/>
      </c>
      <c r="AD76" s="13" t="n"/>
      <c r="AE76" s="15">
        <f>IF($B76="","",IF($AD76&lt;&gt;"",$AD76,IF($AC76="","",IF($AC76&lt;=設定!$C$3,0,$AC76))))</f>
        <v/>
      </c>
      <c r="AF76" s="14">
        <f>IF($B76="","",IF(AND($AG76&lt;&gt;"",$AI76="",$AL76=""),"保留中",IF($AL76&lt;&gt;"",IF(N($AE76)&gt;0,"支給済","不支給"),IF($AE76="","要確認",IF($AE76=0,"不支給","未処理")))))</f>
        <v/>
      </c>
      <c r="AG76" s="12" t="inlineStr">
        <is>
          <t>通勤手当の確認</t>
        </is>
      </c>
      <c r="AH76" s="11" t="n"/>
      <c r="AI76" s="11" t="n"/>
      <c r="AJ76" s="11" t="n"/>
      <c r="AK76" s="14">
        <f>IF(AND($AF76="保留中",$AH76&lt;&gt;""),TODAY()-$AH76,"")</f>
        <v/>
      </c>
      <c r="AL76" s="12" t="inlineStr">
        <is>
          <t>R7.11</t>
        </is>
      </c>
      <c r="AM76" s="14">
        <f>IF($B76="","",IF($AQ76="","対象年月が未入力／","")&amp;IF($B76="","",IF($AP76="","職員マスタに未登録の職員番号／",IF($AA76="","標準報酬月額が未登録／","")&amp;IF(AND($AQ76&lt;&gt;"",OR(AND(INDEX(職員マスタ!$G$6:$G$405,$AP76)&lt;&gt;"",INDEX(職員マスタ!$G$6:$G$405,$AP76)&gt;EOMONTH($AQ76,0)),AND(INDEX(職員マスタ!$H$6:$H$405,$AP76)&lt;&gt;"",INDEX(職員マスタ!$H$6:$H$405,$AP76)&lt;$AQ76))),"対象月が時短期間外／","")&amp;IF(AND(INDEX(職員マスタ!$K$6:$K$405,$AP76)&lt;&gt;"",N($W76)&gt;0,INDEX(職員マスタ!$K$6:$K$405,$AP76)&lt;&gt;$W76),"標準報酬月額が申請書と相違（台帳"&amp;TEXT(INDEX(職員マスタ!$K$6:$K$405,$AP76),"#,##0")&amp;"円／申請書"&amp;TEXT($W76,"#,##0")&amp;"円）／","")&amp;IF(AND(INDEX(職員マスタ!$F$6:$F$405,$AP76)&lt;&gt;"",$AQ76&lt;&gt;"",INDEX(職員マスタ!$F$6:$F$405,$AP76)&lt;$AQ76),"対象月に子が2歳到達済／","")&amp;IF(AND($H76&lt;&gt;"",INDEX(職員マスタ!$B$6:$B$405,$AP76)&lt;&gt;"",SUBSTITUTE(SUBSTITUTE($H76," ","")," ","")&lt;&gt;SUBSTITUTE(SUBSTITUTE(INDEX(職員マスタ!$B$6:$B$405,$AP76)," ","")," ","")),"氏名がマスタと相違／","")&amp;IF(AND($Q76&lt;&gt;"",INDEX(職員マスタ!$E$6:$E$405,$AP76)&lt;&gt;"",$Q76&lt;&gt;INDEX(職員マスタ!$E$6:$E$405,$AP76)),"子の生年月日がマスタと相違／","")&amp;IF(AND($L76&lt;&gt;"",INDEX(職員マスタ!$G$6:$G$405,$AP76)&lt;&gt;"",$L76&lt;&gt;INDEX(職員マスタ!$G$6:$G$405,$AP76)),"時短開始日がマスタと相違／","")&amp;IF(AND($M76&lt;&gt;"",INDEX(職員マスタ!$H$6:$H$405,$AP76)&lt;&gt;"",$M76&lt;&gt;INDEX(職員マスタ!$H$6:$H$405,$AP76)),"時短終了日がマスタと相違／","")))&amp;IF(AND($B76&lt;&gt;"",$E76=""),"報酬額が未入力／","")&amp;IF(N($U76)&gt;0,"申請書に入力エラーが残っています／","")&amp;IF(AND($B76&lt;&gt;"",$AQ76&lt;&gt;""),IF(COUNTIFS($B$6:$B$3005,$B76,$C$6:$C$3005,$C76,$D$6:$D$3005,$D76)&gt;1,"同じ月の請求が重複しています／",""),"")&amp;IF(AND(N($E76)&gt;0,$AB76&lt;&gt;"",$AB76&lt;&gt;"×",$AE76=0,$AD76=""),"計算額が下限以下のため不支給／",""))</f>
        <v/>
      </c>
      <c r="AN76" s="12" t="inlineStr">
        <is>
          <t>保留　通勤⇒支給</t>
        </is>
      </c>
      <c r="AO76" s="14">
        <f>IF($AF76="保留中",COUNTIF($AF$6:$AF76,"保留中"),"")</f>
        <v/>
      </c>
      <c r="AP76" s="14">
        <f>IF($AQ76="","",IF(SUMPRODUCT(MAX((職員マスタ!$A$6:$A$405=$B76)*(((職員マスタ!$G$6:$G$405="")+(職員マスタ!$G$6:$G$405&lt;=EOMONTH($AQ76,0)))&gt;0)*(((職員マスタ!$H$6:$H$405="")+(職員マスタ!$H$6:$H$405&gt;=$AQ76))&gt;0)*(ROW(職員マスタ!$A$6:$A$405)-5)))&gt;0,SUMPRODUCT(MAX((職員マスタ!$A$6:$A$405=$B76)*(((職員マスタ!$G$6:$G$405="")+(職員マスタ!$G$6:$G$405&lt;=EOMONTH($AQ76,0)))&gt;0)*(((職員マスタ!$H$6:$H$405="")+(職員マスタ!$H$6:$H$405&gt;=$AQ76))&gt;0)*(ROW(職員マスタ!$A$6:$A$405)-5))),IFERROR(MATCH($B76,職員マスタ!$A$6:$A$405,0),"")))</f>
        <v/>
      </c>
      <c r="AQ76" s="16">
        <f>IF(OR($B76="",$C76="",$D76=""),"",DATE($C76+2018,$D76,1))</f>
        <v/>
      </c>
    </row>
    <row r="77">
      <c r="A77" s="11" t="n"/>
      <c r="B77" s="12" t="n">
        <v>6002976</v>
      </c>
      <c r="C77" s="12" t="n">
        <v>7</v>
      </c>
      <c r="D77" s="12" t="n">
        <v>7</v>
      </c>
      <c r="E77" s="13" t="n">
        <v>215892</v>
      </c>
      <c r="F77" s="12" t="n"/>
      <c r="G77" s="13" t="n"/>
      <c r="H77" s="12" t="n"/>
      <c r="I77" s="12" t="n"/>
      <c r="J77" s="12" t="n"/>
      <c r="K77" s="12" t="n"/>
      <c r="L77" s="11" t="n"/>
      <c r="M77" s="11" t="n"/>
      <c r="N77" s="11" t="n"/>
      <c r="O77" s="11" t="n"/>
      <c r="P77" s="12" t="n"/>
      <c r="Q77" s="11" t="n"/>
      <c r="R77" s="12" t="n"/>
      <c r="S77" s="11" t="n"/>
      <c r="T77" s="12" t="n"/>
      <c r="U77" s="12" t="n"/>
      <c r="V77" s="12" t="n"/>
      <c r="W77" s="13" t="n"/>
      <c r="X77" s="14">
        <f>IF($AP77="",IF($B77="","",$H77),IF(INDEX(職員マスタ!$B$6:$B$405,$AP77)="",$H77,INDEX(職員マスタ!$B$6:$B$405,$AP77)))</f>
        <v/>
      </c>
      <c r="Y77" s="14">
        <f>IF($AP77="",IF($B77="","",$R77),IF(INDEX(職員マスタ!$C$6:$C$405,$AP77)="",$R77,INDEX(職員マスタ!$C$6:$C$405,$AP77)))</f>
        <v/>
      </c>
      <c r="Z77" s="14">
        <f>IF($AQ77="","","R"&amp;$C77&amp;"."&amp;$D77)</f>
        <v/>
      </c>
      <c r="AA77" s="15">
        <f>IF(IF($AP77="",FALSE,INDEX(職員マスタ!$K$6:$K$405,$AP77)&lt;&gt;""),INDEX(職員マスタ!$K$6:$K$405,$AP77),IF(N($W77)&gt;0,$W77,""))</f>
        <v/>
      </c>
      <c r="AB77" s="14">
        <f>IF(OR($E77="",$AA77=""),"",IF($E77&gt;=$AA77,"×",IF($E77&gt;=$AA77*設定!$C$5,"△","○")))</f>
        <v/>
      </c>
      <c r="AC77" s="15">
        <f>IF($AB77="","",IF($AB77="×",0,IF($AB77="○",ROUNDDOWN($E77*設定!$C$4,0),ROUNDDOWN($E77*ROUND((9*$AA77-9*$E77)/(10*$E77),4),0))))</f>
        <v/>
      </c>
      <c r="AD77" s="13" t="n"/>
      <c r="AE77" s="15">
        <f>IF($B77="","",IF($AD77&lt;&gt;"",$AD77,IF($AC77="","",IF($AC77&lt;=設定!$C$3,0,$AC77))))</f>
        <v/>
      </c>
      <c r="AF77" s="14">
        <f>IF($B77="","",IF(AND($AG77&lt;&gt;"",$AI77="",$AL77=""),"保留中",IF($AL77&lt;&gt;"",IF(N($AE77)&gt;0,"支給済","不支給"),IF($AE77="","要確認",IF($AE77=0,"不支給","未処理")))))</f>
        <v/>
      </c>
      <c r="AG77" s="12" t="n"/>
      <c r="AH77" s="11" t="n"/>
      <c r="AI77" s="11" t="n"/>
      <c r="AJ77" s="11" t="n"/>
      <c r="AK77" s="14">
        <f>IF(AND($AF77="保留中",$AH77&lt;&gt;""),TODAY()-$AH77,"")</f>
        <v/>
      </c>
      <c r="AL77" s="12" t="inlineStr">
        <is>
          <t>R7.9</t>
        </is>
      </c>
      <c r="AM77" s="14">
        <f>IF($B77="","",IF($AQ77="","対象年月が未入力／","")&amp;IF($B77="","",IF($AP77="","職員マスタに未登録の職員番号／",IF($AA77="","標準報酬月額が未登録／","")&amp;IF(AND($AQ77&lt;&gt;"",OR(AND(INDEX(職員マスタ!$G$6:$G$405,$AP77)&lt;&gt;"",INDEX(職員マスタ!$G$6:$G$405,$AP77)&gt;EOMONTH($AQ77,0)),AND(INDEX(職員マスタ!$H$6:$H$405,$AP77)&lt;&gt;"",INDEX(職員マスタ!$H$6:$H$405,$AP77)&lt;$AQ77))),"対象月が時短期間外／","")&amp;IF(AND(INDEX(職員マスタ!$K$6:$K$405,$AP77)&lt;&gt;"",N($W77)&gt;0,INDEX(職員マスタ!$K$6:$K$405,$AP77)&lt;&gt;$W77),"標準報酬月額が申請書と相違（台帳"&amp;TEXT(INDEX(職員マスタ!$K$6:$K$405,$AP77),"#,##0")&amp;"円／申請書"&amp;TEXT($W77,"#,##0")&amp;"円）／","")&amp;IF(AND(INDEX(職員マスタ!$F$6:$F$405,$AP77)&lt;&gt;"",$AQ77&lt;&gt;"",INDEX(職員マスタ!$F$6:$F$405,$AP77)&lt;$AQ77),"対象月に子が2歳到達済／","")&amp;IF(AND($H77&lt;&gt;"",INDEX(職員マスタ!$B$6:$B$405,$AP77)&lt;&gt;"",SUBSTITUTE(SUBSTITUTE($H77," ","")," ","")&lt;&gt;SUBSTITUTE(SUBSTITUTE(INDEX(職員マスタ!$B$6:$B$405,$AP77)," ","")," ","")),"氏名がマスタと相違／","")&amp;IF(AND($Q77&lt;&gt;"",INDEX(職員マスタ!$E$6:$E$405,$AP77)&lt;&gt;"",$Q77&lt;&gt;INDEX(職員マスタ!$E$6:$E$405,$AP77)),"子の生年月日がマスタと相違／","")&amp;IF(AND($L77&lt;&gt;"",INDEX(職員マスタ!$G$6:$G$405,$AP77)&lt;&gt;"",$L77&lt;&gt;INDEX(職員マスタ!$G$6:$G$405,$AP77)),"時短開始日がマスタと相違／","")&amp;IF(AND($M77&lt;&gt;"",INDEX(職員マスタ!$H$6:$H$405,$AP77)&lt;&gt;"",$M77&lt;&gt;INDEX(職員マスタ!$H$6:$H$405,$AP77)),"時短終了日がマスタと相違／","")))&amp;IF(AND($B77&lt;&gt;"",$E77=""),"報酬額が未入力／","")&amp;IF(N($U77)&gt;0,"申請書に入力エラーが残っています／","")&amp;IF(AND($B77&lt;&gt;"",$AQ77&lt;&gt;""),IF(COUNTIFS($B$6:$B$3005,$B77,$C$6:$C$3005,$C77,$D$6:$D$3005,$D77)&gt;1,"同じ月の請求が重複しています／",""),"")&amp;IF(AND(N($E77)&gt;0,$AB77&lt;&gt;"",$AB77&lt;&gt;"×",$AE77=0,$AD77=""),"計算額が下限以下のため不支給／",""))</f>
        <v/>
      </c>
      <c r="AN77" s="12" t="n"/>
      <c r="AO77" s="14">
        <f>IF($AF77="保留中",COUNTIF($AF$6:$AF77,"保留中"),"")</f>
        <v/>
      </c>
      <c r="AP77" s="14">
        <f>IF($AQ77="","",IF(SUMPRODUCT(MAX((職員マスタ!$A$6:$A$405=$B77)*(((職員マスタ!$G$6:$G$405="")+(職員マスタ!$G$6:$G$405&lt;=EOMONTH($AQ77,0)))&gt;0)*(((職員マスタ!$H$6:$H$405="")+(職員マスタ!$H$6:$H$405&gt;=$AQ77))&gt;0)*(ROW(職員マスタ!$A$6:$A$405)-5)))&gt;0,SUMPRODUCT(MAX((職員マスタ!$A$6:$A$405=$B77)*(((職員マスタ!$G$6:$G$405="")+(職員マスタ!$G$6:$G$405&lt;=EOMONTH($AQ77,0)))&gt;0)*(((職員マスタ!$H$6:$H$405="")+(職員マスタ!$H$6:$H$405&gt;=$AQ77))&gt;0)*(ROW(職員マスタ!$A$6:$A$405)-5))),IFERROR(MATCH($B77,職員マスタ!$A$6:$A$405,0),"")))</f>
        <v/>
      </c>
      <c r="AQ77" s="16">
        <f>IF(OR($B77="",$C77="",$D77=""),"",DATE($C77+2018,$D77,1))</f>
        <v/>
      </c>
    </row>
    <row r="78">
      <c r="A78" s="11" t="n"/>
      <c r="B78" s="12" t="n">
        <v>6002976</v>
      </c>
      <c r="C78" s="12" t="n">
        <v>7</v>
      </c>
      <c r="D78" s="12" t="n">
        <v>8</v>
      </c>
      <c r="E78" s="13" t="n">
        <v>211538</v>
      </c>
      <c r="F78" s="12" t="n"/>
      <c r="G78" s="13" t="n"/>
      <c r="H78" s="12" t="n"/>
      <c r="I78" s="12" t="n"/>
      <c r="J78" s="12" t="n"/>
      <c r="K78" s="12" t="n"/>
      <c r="L78" s="11" t="n"/>
      <c r="M78" s="11" t="n"/>
      <c r="N78" s="11" t="n"/>
      <c r="O78" s="11" t="n"/>
      <c r="P78" s="12" t="n"/>
      <c r="Q78" s="11" t="n"/>
      <c r="R78" s="12" t="n"/>
      <c r="S78" s="11" t="n"/>
      <c r="T78" s="12" t="n"/>
      <c r="U78" s="12" t="n"/>
      <c r="V78" s="12" t="n"/>
      <c r="W78" s="13" t="n"/>
      <c r="X78" s="14">
        <f>IF($AP78="",IF($B78="","",$H78),IF(INDEX(職員マスタ!$B$6:$B$405,$AP78)="",$H78,INDEX(職員マスタ!$B$6:$B$405,$AP78)))</f>
        <v/>
      </c>
      <c r="Y78" s="14">
        <f>IF($AP78="",IF($B78="","",$R78),IF(INDEX(職員マスタ!$C$6:$C$405,$AP78)="",$R78,INDEX(職員マスタ!$C$6:$C$405,$AP78)))</f>
        <v/>
      </c>
      <c r="Z78" s="14">
        <f>IF($AQ78="","","R"&amp;$C78&amp;"."&amp;$D78)</f>
        <v/>
      </c>
      <c r="AA78" s="15">
        <f>IF(IF($AP78="",FALSE,INDEX(職員マスタ!$K$6:$K$405,$AP78)&lt;&gt;""),INDEX(職員マスタ!$K$6:$K$405,$AP78),IF(N($W78)&gt;0,$W78,""))</f>
        <v/>
      </c>
      <c r="AB78" s="14">
        <f>IF(OR($E78="",$AA78=""),"",IF($E78&gt;=$AA78,"×",IF($E78&gt;=$AA78*設定!$C$5,"△","○")))</f>
        <v/>
      </c>
      <c r="AC78" s="15">
        <f>IF($AB78="","",IF($AB78="×",0,IF($AB78="○",ROUNDDOWN($E78*設定!$C$4,0),ROUNDDOWN($E78*ROUND((9*$AA78-9*$E78)/(10*$E78),4),0))))</f>
        <v/>
      </c>
      <c r="AD78" s="13" t="n"/>
      <c r="AE78" s="15">
        <f>IF($B78="","",IF($AD78&lt;&gt;"",$AD78,IF($AC78="","",IF($AC78&lt;=設定!$C$3,0,$AC78))))</f>
        <v/>
      </c>
      <c r="AF78" s="14">
        <f>IF($B78="","",IF(AND($AG78&lt;&gt;"",$AI78="",$AL78=""),"保留中",IF($AL78&lt;&gt;"",IF(N($AE78)&gt;0,"支給済","不支給"),IF($AE78="","要確認",IF($AE78=0,"不支給","未処理")))))</f>
        <v/>
      </c>
      <c r="AG78" s="12" t="n"/>
      <c r="AH78" s="11" t="n"/>
      <c r="AI78" s="11" t="n"/>
      <c r="AJ78" s="11" t="n"/>
      <c r="AK78" s="14">
        <f>IF(AND($AF78="保留中",$AH78&lt;&gt;""),TODAY()-$AH78,"")</f>
        <v/>
      </c>
      <c r="AL78" s="12" t="inlineStr">
        <is>
          <t>R7.10</t>
        </is>
      </c>
      <c r="AM78" s="14">
        <f>IF($B78="","",IF($AQ78="","対象年月が未入力／","")&amp;IF($B78="","",IF($AP78="","職員マスタに未登録の職員番号／",IF($AA78="","標準報酬月額が未登録／","")&amp;IF(AND($AQ78&lt;&gt;"",OR(AND(INDEX(職員マスタ!$G$6:$G$405,$AP78)&lt;&gt;"",INDEX(職員マスタ!$G$6:$G$405,$AP78)&gt;EOMONTH($AQ78,0)),AND(INDEX(職員マスタ!$H$6:$H$405,$AP78)&lt;&gt;"",INDEX(職員マスタ!$H$6:$H$405,$AP78)&lt;$AQ78))),"対象月が時短期間外／","")&amp;IF(AND(INDEX(職員マスタ!$K$6:$K$405,$AP78)&lt;&gt;"",N($W78)&gt;0,INDEX(職員マスタ!$K$6:$K$405,$AP78)&lt;&gt;$W78),"標準報酬月額が申請書と相違（台帳"&amp;TEXT(INDEX(職員マスタ!$K$6:$K$405,$AP78),"#,##0")&amp;"円／申請書"&amp;TEXT($W78,"#,##0")&amp;"円）／","")&amp;IF(AND(INDEX(職員マスタ!$F$6:$F$405,$AP78)&lt;&gt;"",$AQ78&lt;&gt;"",INDEX(職員マスタ!$F$6:$F$405,$AP78)&lt;$AQ78),"対象月に子が2歳到達済／","")&amp;IF(AND($H78&lt;&gt;"",INDEX(職員マスタ!$B$6:$B$405,$AP78)&lt;&gt;"",SUBSTITUTE(SUBSTITUTE($H78," ","")," ","")&lt;&gt;SUBSTITUTE(SUBSTITUTE(INDEX(職員マスタ!$B$6:$B$405,$AP78)," ","")," ","")),"氏名がマスタと相違／","")&amp;IF(AND($Q78&lt;&gt;"",INDEX(職員マスタ!$E$6:$E$405,$AP78)&lt;&gt;"",$Q78&lt;&gt;INDEX(職員マスタ!$E$6:$E$405,$AP78)),"子の生年月日がマスタと相違／","")&amp;IF(AND($L78&lt;&gt;"",INDEX(職員マスタ!$G$6:$G$405,$AP78)&lt;&gt;"",$L78&lt;&gt;INDEX(職員マスタ!$G$6:$G$405,$AP78)),"時短開始日がマスタと相違／","")&amp;IF(AND($M78&lt;&gt;"",INDEX(職員マスタ!$H$6:$H$405,$AP78)&lt;&gt;"",$M78&lt;&gt;INDEX(職員マスタ!$H$6:$H$405,$AP78)),"時短終了日がマスタと相違／","")))&amp;IF(AND($B78&lt;&gt;"",$E78=""),"報酬額が未入力／","")&amp;IF(N($U78)&gt;0,"申請書に入力エラーが残っています／","")&amp;IF(AND($B78&lt;&gt;"",$AQ78&lt;&gt;""),IF(COUNTIFS($B$6:$B$3005,$B78,$C$6:$C$3005,$C78,$D$6:$D$3005,$D78)&gt;1,"同じ月の請求が重複しています／",""),"")&amp;IF(AND(N($E78)&gt;0,$AB78&lt;&gt;"",$AB78&lt;&gt;"×",$AE78=0,$AD78=""),"計算額が下限以下のため不支給／",""))</f>
        <v/>
      </c>
      <c r="AN78" s="12" t="n"/>
      <c r="AO78" s="14">
        <f>IF($AF78="保留中",COUNTIF($AF$6:$AF78,"保留中"),"")</f>
        <v/>
      </c>
      <c r="AP78" s="14">
        <f>IF($AQ78="","",IF(SUMPRODUCT(MAX((職員マスタ!$A$6:$A$405=$B78)*(((職員マスタ!$G$6:$G$405="")+(職員マスタ!$G$6:$G$405&lt;=EOMONTH($AQ78,0)))&gt;0)*(((職員マスタ!$H$6:$H$405="")+(職員マスタ!$H$6:$H$405&gt;=$AQ78))&gt;0)*(ROW(職員マスタ!$A$6:$A$405)-5)))&gt;0,SUMPRODUCT(MAX((職員マスタ!$A$6:$A$405=$B78)*(((職員マスタ!$G$6:$G$405="")+(職員マスタ!$G$6:$G$405&lt;=EOMONTH($AQ78,0)))&gt;0)*(((職員マスタ!$H$6:$H$405="")+(職員マスタ!$H$6:$H$405&gt;=$AQ78))&gt;0)*(ROW(職員マスタ!$A$6:$A$405)-5))),IFERROR(MATCH($B78,職員マスタ!$A$6:$A$405,0),"")))</f>
        <v/>
      </c>
      <c r="AQ78" s="16">
        <f>IF(OR($B78="",$C78="",$D78=""),"",DATE($C78+2018,$D78,1))</f>
        <v/>
      </c>
    </row>
    <row r="79">
      <c r="A79" s="11" t="n"/>
      <c r="B79" s="12" t="n">
        <v>6002976</v>
      </c>
      <c r="C79" s="12" t="n">
        <v>7</v>
      </c>
      <c r="D79" s="12" t="n">
        <v>9</v>
      </c>
      <c r="E79" s="13" t="n">
        <v>215892</v>
      </c>
      <c r="F79" s="12" t="n"/>
      <c r="G79" s="13" t="n"/>
      <c r="H79" s="12" t="n"/>
      <c r="I79" s="12" t="n"/>
      <c r="J79" s="12" t="n"/>
      <c r="K79" s="12" t="n"/>
      <c r="L79" s="11" t="n"/>
      <c r="M79" s="11" t="n"/>
      <c r="N79" s="11" t="n"/>
      <c r="O79" s="11" t="n"/>
      <c r="P79" s="12" t="n"/>
      <c r="Q79" s="11" t="n"/>
      <c r="R79" s="12" t="n"/>
      <c r="S79" s="11" t="n"/>
      <c r="T79" s="12" t="n"/>
      <c r="U79" s="12" t="n"/>
      <c r="V79" s="12" t="n"/>
      <c r="W79" s="13" t="n"/>
      <c r="X79" s="14">
        <f>IF($AP79="",IF($B79="","",$H79),IF(INDEX(職員マスタ!$B$6:$B$405,$AP79)="",$H79,INDEX(職員マスタ!$B$6:$B$405,$AP79)))</f>
        <v/>
      </c>
      <c r="Y79" s="14">
        <f>IF($AP79="",IF($B79="","",$R79),IF(INDEX(職員マスタ!$C$6:$C$405,$AP79)="",$R79,INDEX(職員マスタ!$C$6:$C$405,$AP79)))</f>
        <v/>
      </c>
      <c r="Z79" s="14">
        <f>IF($AQ79="","","R"&amp;$C79&amp;"."&amp;$D79)</f>
        <v/>
      </c>
      <c r="AA79" s="15">
        <f>IF(IF($AP79="",FALSE,INDEX(職員マスタ!$K$6:$K$405,$AP79)&lt;&gt;""),INDEX(職員マスタ!$K$6:$K$405,$AP79),IF(N($W79)&gt;0,$W79,""))</f>
        <v/>
      </c>
      <c r="AB79" s="14">
        <f>IF(OR($E79="",$AA79=""),"",IF($E79&gt;=$AA79,"×",IF($E79&gt;=$AA79*設定!$C$5,"△","○")))</f>
        <v/>
      </c>
      <c r="AC79" s="15">
        <f>IF($AB79="","",IF($AB79="×",0,IF($AB79="○",ROUNDDOWN($E79*設定!$C$4,0),ROUNDDOWN($E79*ROUND((9*$AA79-9*$E79)/(10*$E79),4),0))))</f>
        <v/>
      </c>
      <c r="AD79" s="13" t="n"/>
      <c r="AE79" s="15">
        <f>IF($B79="","",IF($AD79&lt;&gt;"",$AD79,IF($AC79="","",IF($AC79&lt;=設定!$C$3,0,$AC79))))</f>
        <v/>
      </c>
      <c r="AF79" s="14">
        <f>IF($B79="","",IF(AND($AG79&lt;&gt;"",$AI79="",$AL79=""),"保留中",IF($AL79&lt;&gt;"",IF(N($AE79)&gt;0,"支給済","不支給"),IF($AE79="","要確認",IF($AE79=0,"不支給","未処理")))))</f>
        <v/>
      </c>
      <c r="AG79" s="12" t="n"/>
      <c r="AH79" s="11" t="n"/>
      <c r="AI79" s="11" t="n"/>
      <c r="AJ79" s="11" t="n"/>
      <c r="AK79" s="14">
        <f>IF(AND($AF79="保留中",$AH79&lt;&gt;""),TODAY()-$AH79,"")</f>
        <v/>
      </c>
      <c r="AL79" s="12" t="inlineStr">
        <is>
          <t>R7.11</t>
        </is>
      </c>
      <c r="AM79" s="14">
        <f>IF($B79="","",IF($AQ79="","対象年月が未入力／","")&amp;IF($B79="","",IF($AP79="","職員マスタに未登録の職員番号／",IF($AA79="","標準報酬月額が未登録／","")&amp;IF(AND($AQ79&lt;&gt;"",OR(AND(INDEX(職員マスタ!$G$6:$G$405,$AP79)&lt;&gt;"",INDEX(職員マスタ!$G$6:$G$405,$AP79)&gt;EOMONTH($AQ79,0)),AND(INDEX(職員マスタ!$H$6:$H$405,$AP79)&lt;&gt;"",INDEX(職員マスタ!$H$6:$H$405,$AP79)&lt;$AQ79))),"対象月が時短期間外／","")&amp;IF(AND(INDEX(職員マスタ!$K$6:$K$405,$AP79)&lt;&gt;"",N($W79)&gt;0,INDEX(職員マスタ!$K$6:$K$405,$AP79)&lt;&gt;$W79),"標準報酬月額が申請書と相違（台帳"&amp;TEXT(INDEX(職員マスタ!$K$6:$K$405,$AP79),"#,##0")&amp;"円／申請書"&amp;TEXT($W79,"#,##0")&amp;"円）／","")&amp;IF(AND(INDEX(職員マスタ!$F$6:$F$405,$AP79)&lt;&gt;"",$AQ79&lt;&gt;"",INDEX(職員マスタ!$F$6:$F$405,$AP79)&lt;$AQ79),"対象月に子が2歳到達済／","")&amp;IF(AND($H79&lt;&gt;"",INDEX(職員マスタ!$B$6:$B$405,$AP79)&lt;&gt;"",SUBSTITUTE(SUBSTITUTE($H79," ","")," ","")&lt;&gt;SUBSTITUTE(SUBSTITUTE(INDEX(職員マスタ!$B$6:$B$405,$AP79)," ","")," ","")),"氏名がマスタと相違／","")&amp;IF(AND($Q79&lt;&gt;"",INDEX(職員マスタ!$E$6:$E$405,$AP79)&lt;&gt;"",$Q79&lt;&gt;INDEX(職員マスタ!$E$6:$E$405,$AP79)),"子の生年月日がマスタと相違／","")&amp;IF(AND($L79&lt;&gt;"",INDEX(職員マスタ!$G$6:$G$405,$AP79)&lt;&gt;"",$L79&lt;&gt;INDEX(職員マスタ!$G$6:$G$405,$AP79)),"時短開始日がマスタと相違／","")&amp;IF(AND($M79&lt;&gt;"",INDEX(職員マスタ!$H$6:$H$405,$AP79)&lt;&gt;"",$M79&lt;&gt;INDEX(職員マスタ!$H$6:$H$405,$AP79)),"時短終了日がマスタと相違／","")))&amp;IF(AND($B79&lt;&gt;"",$E79=""),"報酬額が未入力／","")&amp;IF(N($U79)&gt;0,"申請書に入力エラーが残っています／","")&amp;IF(AND($B79&lt;&gt;"",$AQ79&lt;&gt;""),IF(COUNTIFS($B$6:$B$3005,$B79,$C$6:$C$3005,$C79,$D$6:$D$3005,$D79)&gt;1,"同じ月の請求が重複しています／",""),"")&amp;IF(AND(N($E79)&gt;0,$AB79&lt;&gt;"",$AB79&lt;&gt;"×",$AE79=0,$AD79=""),"計算額が下限以下のため不支給／",""))</f>
        <v/>
      </c>
      <c r="AN79" s="12" t="n"/>
      <c r="AO79" s="14">
        <f>IF($AF79="保留中",COUNTIF($AF$6:$AF79,"保留中"),"")</f>
        <v/>
      </c>
      <c r="AP79" s="14">
        <f>IF($AQ79="","",IF(SUMPRODUCT(MAX((職員マスタ!$A$6:$A$405=$B79)*(((職員マスタ!$G$6:$G$405="")+(職員マスタ!$G$6:$G$405&lt;=EOMONTH($AQ79,0)))&gt;0)*(((職員マスタ!$H$6:$H$405="")+(職員マスタ!$H$6:$H$405&gt;=$AQ79))&gt;0)*(ROW(職員マスタ!$A$6:$A$405)-5)))&gt;0,SUMPRODUCT(MAX((職員マスタ!$A$6:$A$405=$B79)*(((職員マスタ!$G$6:$G$405="")+(職員マスタ!$G$6:$G$405&lt;=EOMONTH($AQ79,0)))&gt;0)*(((職員マスタ!$H$6:$H$405="")+(職員マスタ!$H$6:$H$405&gt;=$AQ79))&gt;0)*(ROW(職員マスタ!$A$6:$A$405)-5))),IFERROR(MATCH($B79,職員マスタ!$A$6:$A$405,0),"")))</f>
        <v/>
      </c>
      <c r="AQ79" s="16">
        <f>IF(OR($B79="",$C79="",$D79=""),"",DATE($C79+2018,$D79,1))</f>
        <v/>
      </c>
    </row>
    <row r="80">
      <c r="A80" s="11" t="n"/>
      <c r="B80" s="12" t="n">
        <v>6002976</v>
      </c>
      <c r="C80" s="12" t="n">
        <v>7</v>
      </c>
      <c r="D80" s="12" t="n">
        <v>10</v>
      </c>
      <c r="E80" s="13" t="n">
        <v>215892</v>
      </c>
      <c r="F80" s="12" t="n"/>
      <c r="G80" s="13" t="n"/>
      <c r="H80" s="12" t="n"/>
      <c r="I80" s="12" t="n"/>
      <c r="J80" s="12" t="n"/>
      <c r="K80" s="12" t="n"/>
      <c r="L80" s="11" t="n"/>
      <c r="M80" s="11" t="n"/>
      <c r="N80" s="11" t="n"/>
      <c r="O80" s="11" t="n"/>
      <c r="P80" s="12" t="n"/>
      <c r="Q80" s="11" t="n"/>
      <c r="R80" s="12" t="n"/>
      <c r="S80" s="11" t="n"/>
      <c r="T80" s="12" t="n"/>
      <c r="U80" s="12" t="n"/>
      <c r="V80" s="12" t="n"/>
      <c r="W80" s="13" t="n"/>
      <c r="X80" s="14">
        <f>IF($AP80="",IF($B80="","",$H80),IF(INDEX(職員マスタ!$B$6:$B$405,$AP80)="",$H80,INDEX(職員マスタ!$B$6:$B$405,$AP80)))</f>
        <v/>
      </c>
      <c r="Y80" s="14">
        <f>IF($AP80="",IF($B80="","",$R80),IF(INDEX(職員マスタ!$C$6:$C$405,$AP80)="",$R80,INDEX(職員マスタ!$C$6:$C$405,$AP80)))</f>
        <v/>
      </c>
      <c r="Z80" s="14">
        <f>IF($AQ80="","","R"&amp;$C80&amp;"."&amp;$D80)</f>
        <v/>
      </c>
      <c r="AA80" s="15">
        <f>IF(IF($AP80="",FALSE,INDEX(職員マスタ!$K$6:$K$405,$AP80)&lt;&gt;""),INDEX(職員マスタ!$K$6:$K$405,$AP80),IF(N($W80)&gt;0,$W80,""))</f>
        <v/>
      </c>
      <c r="AB80" s="14">
        <f>IF(OR($E80="",$AA80=""),"",IF($E80&gt;=$AA80,"×",IF($E80&gt;=$AA80*設定!$C$5,"△","○")))</f>
        <v/>
      </c>
      <c r="AC80" s="15">
        <f>IF($AB80="","",IF($AB80="×",0,IF($AB80="○",ROUNDDOWN($E80*設定!$C$4,0),ROUNDDOWN($E80*ROUND((9*$AA80-9*$E80)/(10*$E80),4),0))))</f>
        <v/>
      </c>
      <c r="AD80" s="13" t="n"/>
      <c r="AE80" s="15">
        <f>IF($B80="","",IF($AD80&lt;&gt;"",$AD80,IF($AC80="","",IF($AC80&lt;=設定!$C$3,0,$AC80))))</f>
        <v/>
      </c>
      <c r="AF80" s="14">
        <f>IF($B80="","",IF(AND($AG80&lt;&gt;"",$AI80="",$AL80=""),"保留中",IF($AL80&lt;&gt;"",IF(N($AE80)&gt;0,"支給済","不支給"),IF($AE80="","要確認",IF($AE80=0,"不支給","未処理")))))</f>
        <v/>
      </c>
      <c r="AG80" s="12" t="n"/>
      <c r="AH80" s="11" t="n"/>
      <c r="AI80" s="11" t="n"/>
      <c r="AJ80" s="11" t="n"/>
      <c r="AK80" s="14">
        <f>IF(AND($AF80="保留中",$AH80&lt;&gt;""),TODAY()-$AH80,"")</f>
        <v/>
      </c>
      <c r="AL80" s="12" t="inlineStr">
        <is>
          <t>R7.12</t>
        </is>
      </c>
      <c r="AM80" s="14">
        <f>IF($B80="","",IF($AQ80="","対象年月が未入力／","")&amp;IF($B80="","",IF($AP80="","職員マスタに未登録の職員番号／",IF($AA80="","標準報酬月額が未登録／","")&amp;IF(AND($AQ80&lt;&gt;"",OR(AND(INDEX(職員マスタ!$G$6:$G$405,$AP80)&lt;&gt;"",INDEX(職員マスタ!$G$6:$G$405,$AP80)&gt;EOMONTH($AQ80,0)),AND(INDEX(職員マスタ!$H$6:$H$405,$AP80)&lt;&gt;"",INDEX(職員マスタ!$H$6:$H$405,$AP80)&lt;$AQ80))),"対象月が時短期間外／","")&amp;IF(AND(INDEX(職員マスタ!$K$6:$K$405,$AP80)&lt;&gt;"",N($W80)&gt;0,INDEX(職員マスタ!$K$6:$K$405,$AP80)&lt;&gt;$W80),"標準報酬月額が申請書と相違（台帳"&amp;TEXT(INDEX(職員マスタ!$K$6:$K$405,$AP80),"#,##0")&amp;"円／申請書"&amp;TEXT($W80,"#,##0")&amp;"円）／","")&amp;IF(AND(INDEX(職員マスタ!$F$6:$F$405,$AP80)&lt;&gt;"",$AQ80&lt;&gt;"",INDEX(職員マスタ!$F$6:$F$405,$AP80)&lt;$AQ80),"対象月に子が2歳到達済／","")&amp;IF(AND($H80&lt;&gt;"",INDEX(職員マスタ!$B$6:$B$405,$AP80)&lt;&gt;"",SUBSTITUTE(SUBSTITUTE($H80," ","")," ","")&lt;&gt;SUBSTITUTE(SUBSTITUTE(INDEX(職員マスタ!$B$6:$B$405,$AP80)," ","")," ","")),"氏名がマスタと相違／","")&amp;IF(AND($Q80&lt;&gt;"",INDEX(職員マスタ!$E$6:$E$405,$AP80)&lt;&gt;"",$Q80&lt;&gt;INDEX(職員マスタ!$E$6:$E$405,$AP80)),"子の生年月日がマスタと相違／","")&amp;IF(AND($L80&lt;&gt;"",INDEX(職員マスタ!$G$6:$G$405,$AP80)&lt;&gt;"",$L80&lt;&gt;INDEX(職員マスタ!$G$6:$G$405,$AP80)),"時短開始日がマスタと相違／","")&amp;IF(AND($M80&lt;&gt;"",INDEX(職員マスタ!$H$6:$H$405,$AP80)&lt;&gt;"",$M80&lt;&gt;INDEX(職員マスタ!$H$6:$H$405,$AP80)),"時短終了日がマスタと相違／","")))&amp;IF(AND($B80&lt;&gt;"",$E80=""),"報酬額が未入力／","")&amp;IF(N($U80)&gt;0,"申請書に入力エラーが残っています／","")&amp;IF(AND($B80&lt;&gt;"",$AQ80&lt;&gt;""),IF(COUNTIFS($B$6:$B$3005,$B80,$C$6:$C$3005,$C80,$D$6:$D$3005,$D80)&gt;1,"同じ月の請求が重複しています／",""),"")&amp;IF(AND(N($E80)&gt;0,$AB80&lt;&gt;"",$AB80&lt;&gt;"×",$AE80=0,$AD80=""),"計算額が下限以下のため不支給／",""))</f>
        <v/>
      </c>
      <c r="AN80" s="12" t="n"/>
      <c r="AO80" s="14">
        <f>IF($AF80="保留中",COUNTIF($AF$6:$AF80,"保留中"),"")</f>
        <v/>
      </c>
      <c r="AP80" s="14">
        <f>IF($AQ80="","",IF(SUMPRODUCT(MAX((職員マスタ!$A$6:$A$405=$B80)*(((職員マスタ!$G$6:$G$405="")+(職員マスタ!$G$6:$G$405&lt;=EOMONTH($AQ80,0)))&gt;0)*(((職員マスタ!$H$6:$H$405="")+(職員マスタ!$H$6:$H$405&gt;=$AQ80))&gt;0)*(ROW(職員マスタ!$A$6:$A$405)-5)))&gt;0,SUMPRODUCT(MAX((職員マスタ!$A$6:$A$405=$B80)*(((職員マスタ!$G$6:$G$405="")+(職員マスタ!$G$6:$G$405&lt;=EOMONTH($AQ80,0)))&gt;0)*(((職員マスタ!$H$6:$H$405="")+(職員マスタ!$H$6:$H$405&gt;=$AQ80))&gt;0)*(ROW(職員マスタ!$A$6:$A$405)-5))),IFERROR(MATCH($B80,職員マスタ!$A$6:$A$405,0),"")))</f>
        <v/>
      </c>
      <c r="AQ80" s="16">
        <f>IF(OR($B80="",$C80="",$D80=""),"",DATE($C80+2018,$D80,1))</f>
        <v/>
      </c>
    </row>
    <row r="81">
      <c r="A81" s="11" t="n"/>
      <c r="B81" s="12" t="n">
        <v>6002976</v>
      </c>
      <c r="C81" s="12" t="n">
        <v>7</v>
      </c>
      <c r="D81" s="12" t="n">
        <v>11</v>
      </c>
      <c r="E81" s="13" t="n">
        <v>215892</v>
      </c>
      <c r="F81" s="12" t="n"/>
      <c r="G81" s="13" t="n"/>
      <c r="H81" s="12" t="n"/>
      <c r="I81" s="12" t="n"/>
      <c r="J81" s="12" t="n"/>
      <c r="K81" s="12" t="n"/>
      <c r="L81" s="11" t="n"/>
      <c r="M81" s="11" t="n"/>
      <c r="N81" s="11" t="n"/>
      <c r="O81" s="11" t="n"/>
      <c r="P81" s="12" t="n"/>
      <c r="Q81" s="11" t="n"/>
      <c r="R81" s="12" t="n"/>
      <c r="S81" s="11" t="n"/>
      <c r="T81" s="12" t="n"/>
      <c r="U81" s="12" t="n"/>
      <c r="V81" s="12" t="n"/>
      <c r="W81" s="13" t="n"/>
      <c r="X81" s="14">
        <f>IF($AP81="",IF($B81="","",$H81),IF(INDEX(職員マスタ!$B$6:$B$405,$AP81)="",$H81,INDEX(職員マスタ!$B$6:$B$405,$AP81)))</f>
        <v/>
      </c>
      <c r="Y81" s="14">
        <f>IF($AP81="",IF($B81="","",$R81),IF(INDEX(職員マスタ!$C$6:$C$405,$AP81)="",$R81,INDEX(職員マスタ!$C$6:$C$405,$AP81)))</f>
        <v/>
      </c>
      <c r="Z81" s="14">
        <f>IF($AQ81="","","R"&amp;$C81&amp;"."&amp;$D81)</f>
        <v/>
      </c>
      <c r="AA81" s="15">
        <f>IF(IF($AP81="",FALSE,INDEX(職員マスタ!$K$6:$K$405,$AP81)&lt;&gt;""),INDEX(職員マスタ!$K$6:$K$405,$AP81),IF(N($W81)&gt;0,$W81,""))</f>
        <v/>
      </c>
      <c r="AB81" s="14">
        <f>IF(OR($E81="",$AA81=""),"",IF($E81&gt;=$AA81,"×",IF($E81&gt;=$AA81*設定!$C$5,"△","○")))</f>
        <v/>
      </c>
      <c r="AC81" s="15">
        <f>IF($AB81="","",IF($AB81="×",0,IF($AB81="○",ROUNDDOWN($E81*設定!$C$4,0),ROUNDDOWN($E81*ROUND((9*$AA81-9*$E81)/(10*$E81),4),0))))</f>
        <v/>
      </c>
      <c r="AD81" s="13" t="n"/>
      <c r="AE81" s="15">
        <f>IF($B81="","",IF($AD81&lt;&gt;"",$AD81,IF($AC81="","",IF($AC81&lt;=設定!$C$3,0,$AC81))))</f>
        <v/>
      </c>
      <c r="AF81" s="14">
        <f>IF($B81="","",IF(AND($AG81&lt;&gt;"",$AI81="",$AL81=""),"保留中",IF($AL81&lt;&gt;"",IF(N($AE81)&gt;0,"支給済","不支給"),IF($AE81="","要確認",IF($AE81=0,"不支給","未処理")))))</f>
        <v/>
      </c>
      <c r="AG81" s="12" t="n"/>
      <c r="AH81" s="11" t="n"/>
      <c r="AI81" s="11" t="n"/>
      <c r="AJ81" s="11" t="n"/>
      <c r="AK81" s="14">
        <f>IF(AND($AF81="保留中",$AH81&lt;&gt;""),TODAY()-$AH81,"")</f>
        <v/>
      </c>
      <c r="AL81" s="12" t="inlineStr">
        <is>
          <t>R8.1</t>
        </is>
      </c>
      <c r="AM81" s="14">
        <f>IF($B81="","",IF($AQ81="","対象年月が未入力／","")&amp;IF($B81="","",IF($AP81="","職員マスタに未登録の職員番号／",IF($AA81="","標準報酬月額が未登録／","")&amp;IF(AND($AQ81&lt;&gt;"",OR(AND(INDEX(職員マスタ!$G$6:$G$405,$AP81)&lt;&gt;"",INDEX(職員マスタ!$G$6:$G$405,$AP81)&gt;EOMONTH($AQ81,0)),AND(INDEX(職員マスタ!$H$6:$H$405,$AP81)&lt;&gt;"",INDEX(職員マスタ!$H$6:$H$405,$AP81)&lt;$AQ81))),"対象月が時短期間外／","")&amp;IF(AND(INDEX(職員マスタ!$K$6:$K$405,$AP81)&lt;&gt;"",N($W81)&gt;0,INDEX(職員マスタ!$K$6:$K$405,$AP81)&lt;&gt;$W81),"標準報酬月額が申請書と相違（台帳"&amp;TEXT(INDEX(職員マスタ!$K$6:$K$405,$AP81),"#,##0")&amp;"円／申請書"&amp;TEXT($W81,"#,##0")&amp;"円）／","")&amp;IF(AND(INDEX(職員マスタ!$F$6:$F$405,$AP81)&lt;&gt;"",$AQ81&lt;&gt;"",INDEX(職員マスタ!$F$6:$F$405,$AP81)&lt;$AQ81),"対象月に子が2歳到達済／","")&amp;IF(AND($H81&lt;&gt;"",INDEX(職員マスタ!$B$6:$B$405,$AP81)&lt;&gt;"",SUBSTITUTE(SUBSTITUTE($H81," ","")," ","")&lt;&gt;SUBSTITUTE(SUBSTITUTE(INDEX(職員マスタ!$B$6:$B$405,$AP81)," ","")," ","")),"氏名がマスタと相違／","")&amp;IF(AND($Q81&lt;&gt;"",INDEX(職員マスタ!$E$6:$E$405,$AP81)&lt;&gt;"",$Q81&lt;&gt;INDEX(職員マスタ!$E$6:$E$405,$AP81)),"子の生年月日がマスタと相違／","")&amp;IF(AND($L81&lt;&gt;"",INDEX(職員マスタ!$G$6:$G$405,$AP81)&lt;&gt;"",$L81&lt;&gt;INDEX(職員マスタ!$G$6:$G$405,$AP81)),"時短開始日がマスタと相違／","")&amp;IF(AND($M81&lt;&gt;"",INDEX(職員マスタ!$H$6:$H$405,$AP81)&lt;&gt;"",$M81&lt;&gt;INDEX(職員マスタ!$H$6:$H$405,$AP81)),"時短終了日がマスタと相違／","")))&amp;IF(AND($B81&lt;&gt;"",$E81=""),"報酬額が未入力／","")&amp;IF(N($U81)&gt;0,"申請書に入力エラーが残っています／","")&amp;IF(AND($B81&lt;&gt;"",$AQ81&lt;&gt;""),IF(COUNTIFS($B$6:$B$3005,$B81,$C$6:$C$3005,$C81,$D$6:$D$3005,$D81)&gt;1,"同じ月の請求が重複しています／",""),"")&amp;IF(AND(N($E81)&gt;0,$AB81&lt;&gt;"",$AB81&lt;&gt;"×",$AE81=0,$AD81=""),"計算額が下限以下のため不支給／",""))</f>
        <v/>
      </c>
      <c r="AN81" s="12" t="n"/>
      <c r="AO81" s="14">
        <f>IF($AF81="保留中",COUNTIF($AF$6:$AF81,"保留中"),"")</f>
        <v/>
      </c>
      <c r="AP81" s="14">
        <f>IF($AQ81="","",IF(SUMPRODUCT(MAX((職員マスタ!$A$6:$A$405=$B81)*(((職員マスタ!$G$6:$G$405="")+(職員マスタ!$G$6:$G$405&lt;=EOMONTH($AQ81,0)))&gt;0)*(((職員マスタ!$H$6:$H$405="")+(職員マスタ!$H$6:$H$405&gt;=$AQ81))&gt;0)*(ROW(職員マスタ!$A$6:$A$405)-5)))&gt;0,SUMPRODUCT(MAX((職員マスタ!$A$6:$A$405=$B81)*(((職員マスタ!$G$6:$G$405="")+(職員マスタ!$G$6:$G$405&lt;=EOMONTH($AQ81,0)))&gt;0)*(((職員マスタ!$H$6:$H$405="")+(職員マスタ!$H$6:$H$405&gt;=$AQ81))&gt;0)*(ROW(職員マスタ!$A$6:$A$405)-5))),IFERROR(MATCH($B81,職員マスタ!$A$6:$A$405,0),"")))</f>
        <v/>
      </c>
      <c r="AQ81" s="16">
        <f>IF(OR($B81="",$C81="",$D81=""),"",DATE($C81+2018,$D81,1))</f>
        <v/>
      </c>
    </row>
    <row r="82">
      <c r="A82" s="11" t="n"/>
      <c r="B82" s="12" t="n">
        <v>6002976</v>
      </c>
      <c r="C82" s="12" t="n">
        <v>7</v>
      </c>
      <c r="D82" s="12" t="n">
        <v>12</v>
      </c>
      <c r="E82" s="13" t="n">
        <v>229409</v>
      </c>
      <c r="F82" s="12" t="n"/>
      <c r="G82" s="13" t="n"/>
      <c r="H82" s="12" t="n"/>
      <c r="I82" s="12" t="n"/>
      <c r="J82" s="12" t="n"/>
      <c r="K82" s="12" t="n"/>
      <c r="L82" s="11" t="n"/>
      <c r="M82" s="11" t="n"/>
      <c r="N82" s="11" t="n"/>
      <c r="O82" s="11" t="n"/>
      <c r="P82" s="12" t="n"/>
      <c r="Q82" s="11" t="n"/>
      <c r="R82" s="12" t="n"/>
      <c r="S82" s="11" t="n"/>
      <c r="T82" s="12" t="n"/>
      <c r="U82" s="12" t="n"/>
      <c r="V82" s="12" t="n"/>
      <c r="W82" s="13" t="n"/>
      <c r="X82" s="14">
        <f>IF($AP82="",IF($B82="","",$H82),IF(INDEX(職員マスタ!$B$6:$B$405,$AP82)="",$H82,INDEX(職員マスタ!$B$6:$B$405,$AP82)))</f>
        <v/>
      </c>
      <c r="Y82" s="14">
        <f>IF($AP82="",IF($B82="","",$R82),IF(INDEX(職員マスタ!$C$6:$C$405,$AP82)="",$R82,INDEX(職員マスタ!$C$6:$C$405,$AP82)))</f>
        <v/>
      </c>
      <c r="Z82" s="14">
        <f>IF($AQ82="","","R"&amp;$C82&amp;"."&amp;$D82)</f>
        <v/>
      </c>
      <c r="AA82" s="15">
        <f>IF(IF($AP82="",FALSE,INDEX(職員マスタ!$K$6:$K$405,$AP82)&lt;&gt;""),INDEX(職員マスタ!$K$6:$K$405,$AP82),IF(N($W82)&gt;0,$W82,""))</f>
        <v/>
      </c>
      <c r="AB82" s="14">
        <f>IF(OR($E82="",$AA82=""),"",IF($E82&gt;=$AA82,"×",IF($E82&gt;=$AA82*設定!$C$5,"△","○")))</f>
        <v/>
      </c>
      <c r="AC82" s="15">
        <f>IF($AB82="","",IF($AB82="×",0,IF($AB82="○",ROUNDDOWN($E82*設定!$C$4,0),ROUNDDOWN($E82*ROUND((9*$AA82-9*$E82)/(10*$E82),4),0))))</f>
        <v/>
      </c>
      <c r="AD82" s="13" t="n"/>
      <c r="AE82" s="15">
        <f>IF($B82="","",IF($AD82&lt;&gt;"",$AD82,IF($AC82="","",IF($AC82&lt;=設定!$C$3,0,$AC82))))</f>
        <v/>
      </c>
      <c r="AF82" s="14">
        <f>IF($B82="","",IF(AND($AG82&lt;&gt;"",$AI82="",$AL82=""),"保留中",IF($AL82&lt;&gt;"",IF(N($AE82)&gt;0,"支給済","不支給"),IF($AE82="","要確認",IF($AE82=0,"不支給","未処理")))))</f>
        <v/>
      </c>
      <c r="AG82" s="12" t="n"/>
      <c r="AH82" s="11" t="n"/>
      <c r="AI82" s="11" t="n"/>
      <c r="AJ82" s="11" t="n"/>
      <c r="AK82" s="14">
        <f>IF(AND($AF82="保留中",$AH82&lt;&gt;""),TODAY()-$AH82,"")</f>
        <v/>
      </c>
      <c r="AL82" s="12" t="inlineStr">
        <is>
          <t>R8.2</t>
        </is>
      </c>
      <c r="AM82" s="14">
        <f>IF($B82="","",IF($AQ82="","対象年月が未入力／","")&amp;IF($B82="","",IF($AP82="","職員マスタに未登録の職員番号／",IF($AA82="","標準報酬月額が未登録／","")&amp;IF(AND($AQ82&lt;&gt;"",OR(AND(INDEX(職員マスタ!$G$6:$G$405,$AP82)&lt;&gt;"",INDEX(職員マスタ!$G$6:$G$405,$AP82)&gt;EOMONTH($AQ82,0)),AND(INDEX(職員マスタ!$H$6:$H$405,$AP82)&lt;&gt;"",INDEX(職員マスタ!$H$6:$H$405,$AP82)&lt;$AQ82))),"対象月が時短期間外／","")&amp;IF(AND(INDEX(職員マスタ!$K$6:$K$405,$AP82)&lt;&gt;"",N($W82)&gt;0,INDEX(職員マスタ!$K$6:$K$405,$AP82)&lt;&gt;$W82),"標準報酬月額が申請書と相違（台帳"&amp;TEXT(INDEX(職員マスタ!$K$6:$K$405,$AP82),"#,##0")&amp;"円／申請書"&amp;TEXT($W82,"#,##0")&amp;"円）／","")&amp;IF(AND(INDEX(職員マスタ!$F$6:$F$405,$AP82)&lt;&gt;"",$AQ82&lt;&gt;"",INDEX(職員マスタ!$F$6:$F$405,$AP82)&lt;$AQ82),"対象月に子が2歳到達済／","")&amp;IF(AND($H82&lt;&gt;"",INDEX(職員マスタ!$B$6:$B$405,$AP82)&lt;&gt;"",SUBSTITUTE(SUBSTITUTE($H82," ","")," ","")&lt;&gt;SUBSTITUTE(SUBSTITUTE(INDEX(職員マスタ!$B$6:$B$405,$AP82)," ","")," ","")),"氏名がマスタと相違／","")&amp;IF(AND($Q82&lt;&gt;"",INDEX(職員マスタ!$E$6:$E$405,$AP82)&lt;&gt;"",$Q82&lt;&gt;INDEX(職員マスタ!$E$6:$E$405,$AP82)),"子の生年月日がマスタと相違／","")&amp;IF(AND($L82&lt;&gt;"",INDEX(職員マスタ!$G$6:$G$405,$AP82)&lt;&gt;"",$L82&lt;&gt;INDEX(職員マスタ!$G$6:$G$405,$AP82)),"時短開始日がマスタと相違／","")&amp;IF(AND($M82&lt;&gt;"",INDEX(職員マスタ!$H$6:$H$405,$AP82)&lt;&gt;"",$M82&lt;&gt;INDEX(職員マスタ!$H$6:$H$405,$AP82)),"時短終了日がマスタと相違／","")))&amp;IF(AND($B82&lt;&gt;"",$E82=""),"報酬額が未入力／","")&amp;IF(N($U82)&gt;0,"申請書に入力エラーが残っています／","")&amp;IF(AND($B82&lt;&gt;"",$AQ82&lt;&gt;""),IF(COUNTIFS($B$6:$B$3005,$B82,$C$6:$C$3005,$C82,$D$6:$D$3005,$D82)&gt;1,"同じ月の請求が重複しています／",""),"")&amp;IF(AND(N($E82)&gt;0,$AB82&lt;&gt;"",$AB82&lt;&gt;"×",$AE82=0,$AD82=""),"計算額が下限以下のため不支給／",""))</f>
        <v/>
      </c>
      <c r="AN82" s="12" t="n"/>
      <c r="AO82" s="14">
        <f>IF($AF82="保留中",COUNTIF($AF$6:$AF82,"保留中"),"")</f>
        <v/>
      </c>
      <c r="AP82" s="14">
        <f>IF($AQ82="","",IF(SUMPRODUCT(MAX((職員マスタ!$A$6:$A$405=$B82)*(((職員マスタ!$G$6:$G$405="")+(職員マスタ!$G$6:$G$405&lt;=EOMONTH($AQ82,0)))&gt;0)*(((職員マスタ!$H$6:$H$405="")+(職員マスタ!$H$6:$H$405&gt;=$AQ82))&gt;0)*(ROW(職員マスタ!$A$6:$A$405)-5)))&gt;0,SUMPRODUCT(MAX((職員マスタ!$A$6:$A$405=$B82)*(((職員マスタ!$G$6:$G$405="")+(職員マスタ!$G$6:$G$405&lt;=EOMONTH($AQ82,0)))&gt;0)*(((職員マスタ!$H$6:$H$405="")+(職員マスタ!$H$6:$H$405&gt;=$AQ82))&gt;0)*(ROW(職員マスタ!$A$6:$A$405)-5))),IFERROR(MATCH($B82,職員マスタ!$A$6:$A$405,0),"")))</f>
        <v/>
      </c>
      <c r="AQ82" s="16">
        <f>IF(OR($B82="",$C82="",$D82=""),"",DATE($C82+2018,$D82,1))</f>
        <v/>
      </c>
    </row>
    <row r="83">
      <c r="A83" s="11" t="n"/>
      <c r="B83" s="12" t="n">
        <v>6002976</v>
      </c>
      <c r="C83" s="12" t="n">
        <v>8</v>
      </c>
      <c r="D83" s="12" t="n">
        <v>1</v>
      </c>
      <c r="E83" s="13" t="n">
        <v>218819</v>
      </c>
      <c r="F83" s="12" t="n"/>
      <c r="G83" s="13" t="n"/>
      <c r="H83" s="12" t="n"/>
      <c r="I83" s="12" t="n"/>
      <c r="J83" s="12" t="n"/>
      <c r="K83" s="12" t="n"/>
      <c r="L83" s="11" t="n"/>
      <c r="M83" s="11" t="n"/>
      <c r="N83" s="11" t="n"/>
      <c r="O83" s="11" t="n"/>
      <c r="P83" s="12" t="n"/>
      <c r="Q83" s="11" t="n"/>
      <c r="R83" s="12" t="n"/>
      <c r="S83" s="11" t="n"/>
      <c r="T83" s="12" t="n"/>
      <c r="U83" s="12" t="n"/>
      <c r="V83" s="12" t="n"/>
      <c r="W83" s="13" t="n"/>
      <c r="X83" s="14">
        <f>IF($AP83="",IF($B83="","",$H83),IF(INDEX(職員マスタ!$B$6:$B$405,$AP83)="",$H83,INDEX(職員マスタ!$B$6:$B$405,$AP83)))</f>
        <v/>
      </c>
      <c r="Y83" s="14">
        <f>IF($AP83="",IF($B83="","",$R83),IF(INDEX(職員マスタ!$C$6:$C$405,$AP83)="",$R83,INDEX(職員マスタ!$C$6:$C$405,$AP83)))</f>
        <v/>
      </c>
      <c r="Z83" s="14">
        <f>IF($AQ83="","","R"&amp;$C83&amp;"."&amp;$D83)</f>
        <v/>
      </c>
      <c r="AA83" s="15">
        <f>IF(IF($AP83="",FALSE,INDEX(職員マスタ!$K$6:$K$405,$AP83)&lt;&gt;""),INDEX(職員マスタ!$K$6:$K$405,$AP83),IF(N($W83)&gt;0,$W83,""))</f>
        <v/>
      </c>
      <c r="AB83" s="14">
        <f>IF(OR($E83="",$AA83=""),"",IF($E83&gt;=$AA83,"×",IF($E83&gt;=$AA83*設定!$C$5,"△","○")))</f>
        <v/>
      </c>
      <c r="AC83" s="15">
        <f>IF($AB83="","",IF($AB83="×",0,IF($AB83="○",ROUNDDOWN($E83*設定!$C$4,0),ROUNDDOWN($E83*ROUND((9*$AA83-9*$E83)/(10*$E83),4),0))))</f>
        <v/>
      </c>
      <c r="AD83" s="13" t="n"/>
      <c r="AE83" s="15">
        <f>IF($B83="","",IF($AD83&lt;&gt;"",$AD83,IF($AC83="","",IF($AC83&lt;=設定!$C$3,0,$AC83))))</f>
        <v/>
      </c>
      <c r="AF83" s="14">
        <f>IF($B83="","",IF(AND($AG83&lt;&gt;"",$AI83="",$AL83=""),"保留中",IF($AL83&lt;&gt;"",IF(N($AE83)&gt;0,"支給済","不支給"),IF($AE83="","要確認",IF($AE83=0,"不支給","未処理")))))</f>
        <v/>
      </c>
      <c r="AG83" s="12" t="n"/>
      <c r="AH83" s="11" t="n"/>
      <c r="AI83" s="11" t="n"/>
      <c r="AJ83" s="11" t="n"/>
      <c r="AK83" s="14">
        <f>IF(AND($AF83="保留中",$AH83&lt;&gt;""),TODAY()-$AH83,"")</f>
        <v/>
      </c>
      <c r="AL83" s="12" t="inlineStr">
        <is>
          <t>R8.3</t>
        </is>
      </c>
      <c r="AM83" s="14">
        <f>IF($B83="","",IF($AQ83="","対象年月が未入力／","")&amp;IF($B83="","",IF($AP83="","職員マスタに未登録の職員番号／",IF($AA83="","標準報酬月額が未登録／","")&amp;IF(AND($AQ83&lt;&gt;"",OR(AND(INDEX(職員マスタ!$G$6:$G$405,$AP83)&lt;&gt;"",INDEX(職員マスタ!$G$6:$G$405,$AP83)&gt;EOMONTH($AQ83,0)),AND(INDEX(職員マスタ!$H$6:$H$405,$AP83)&lt;&gt;"",INDEX(職員マスタ!$H$6:$H$405,$AP83)&lt;$AQ83))),"対象月が時短期間外／","")&amp;IF(AND(INDEX(職員マスタ!$K$6:$K$405,$AP83)&lt;&gt;"",N($W83)&gt;0,INDEX(職員マスタ!$K$6:$K$405,$AP83)&lt;&gt;$W83),"標準報酬月額が申請書と相違（台帳"&amp;TEXT(INDEX(職員マスタ!$K$6:$K$405,$AP83),"#,##0")&amp;"円／申請書"&amp;TEXT($W83,"#,##0")&amp;"円）／","")&amp;IF(AND(INDEX(職員マスタ!$F$6:$F$405,$AP83)&lt;&gt;"",$AQ83&lt;&gt;"",INDEX(職員マスタ!$F$6:$F$405,$AP83)&lt;$AQ83),"対象月に子が2歳到達済／","")&amp;IF(AND($H83&lt;&gt;"",INDEX(職員マスタ!$B$6:$B$405,$AP83)&lt;&gt;"",SUBSTITUTE(SUBSTITUTE($H83," ","")," ","")&lt;&gt;SUBSTITUTE(SUBSTITUTE(INDEX(職員マスタ!$B$6:$B$405,$AP83)," ","")," ","")),"氏名がマスタと相違／","")&amp;IF(AND($Q83&lt;&gt;"",INDEX(職員マスタ!$E$6:$E$405,$AP83)&lt;&gt;"",$Q83&lt;&gt;INDEX(職員マスタ!$E$6:$E$405,$AP83)),"子の生年月日がマスタと相違／","")&amp;IF(AND($L83&lt;&gt;"",INDEX(職員マスタ!$G$6:$G$405,$AP83)&lt;&gt;"",$L83&lt;&gt;INDEX(職員マスタ!$G$6:$G$405,$AP83)),"時短開始日がマスタと相違／","")&amp;IF(AND($M83&lt;&gt;"",INDEX(職員マスタ!$H$6:$H$405,$AP83)&lt;&gt;"",$M83&lt;&gt;INDEX(職員マスタ!$H$6:$H$405,$AP83)),"時短終了日がマスタと相違／","")))&amp;IF(AND($B83&lt;&gt;"",$E83=""),"報酬額が未入力／","")&amp;IF(N($U83)&gt;0,"申請書に入力エラーが残っています／","")&amp;IF(AND($B83&lt;&gt;"",$AQ83&lt;&gt;""),IF(COUNTIFS($B$6:$B$3005,$B83,$C$6:$C$3005,$C83,$D$6:$D$3005,$D83)&gt;1,"同じ月の請求が重複しています／",""),"")&amp;IF(AND(N($E83)&gt;0,$AB83&lt;&gt;"",$AB83&lt;&gt;"×",$AE83=0,$AD83=""),"計算額が下限以下のため不支給／",""))</f>
        <v/>
      </c>
      <c r="AN83" s="12" t="n"/>
      <c r="AO83" s="14">
        <f>IF($AF83="保留中",COUNTIF($AF$6:$AF83,"保留中"),"")</f>
        <v/>
      </c>
      <c r="AP83" s="14">
        <f>IF($AQ83="","",IF(SUMPRODUCT(MAX((職員マスタ!$A$6:$A$405=$B83)*(((職員マスタ!$G$6:$G$405="")+(職員マスタ!$G$6:$G$405&lt;=EOMONTH($AQ83,0)))&gt;0)*(((職員マスタ!$H$6:$H$405="")+(職員マスタ!$H$6:$H$405&gt;=$AQ83))&gt;0)*(ROW(職員マスタ!$A$6:$A$405)-5)))&gt;0,SUMPRODUCT(MAX((職員マスタ!$A$6:$A$405=$B83)*(((職員マスタ!$G$6:$G$405="")+(職員マスタ!$G$6:$G$405&lt;=EOMONTH($AQ83,0)))&gt;0)*(((職員マスタ!$H$6:$H$405="")+(職員マスタ!$H$6:$H$405&gt;=$AQ83))&gt;0)*(ROW(職員マスタ!$A$6:$A$405)-5))),IFERROR(MATCH($B83,職員マスタ!$A$6:$A$405,0),"")))</f>
        <v/>
      </c>
      <c r="AQ83" s="16">
        <f>IF(OR($B83="",$C83="",$D83=""),"",DATE($C83+2018,$D83,1))</f>
        <v/>
      </c>
    </row>
    <row r="84">
      <c r="A84" s="11" t="n"/>
      <c r="B84" s="12" t="n">
        <v>6002976</v>
      </c>
      <c r="C84" s="12" t="n">
        <v>8</v>
      </c>
      <c r="D84" s="12" t="n">
        <v>2</v>
      </c>
      <c r="E84" s="13" t="n">
        <v>223325</v>
      </c>
      <c r="F84" s="12" t="n"/>
      <c r="G84" s="13" t="n"/>
      <c r="H84" s="12" t="n"/>
      <c r="I84" s="12" t="n"/>
      <c r="J84" s="12" t="n"/>
      <c r="K84" s="12" t="n"/>
      <c r="L84" s="11" t="n"/>
      <c r="M84" s="11" t="n"/>
      <c r="N84" s="11" t="n"/>
      <c r="O84" s="11" t="n"/>
      <c r="P84" s="12" t="n"/>
      <c r="Q84" s="11" t="n"/>
      <c r="R84" s="12" t="n"/>
      <c r="S84" s="11" t="n"/>
      <c r="T84" s="12" t="n"/>
      <c r="U84" s="12" t="n"/>
      <c r="V84" s="12" t="n"/>
      <c r="W84" s="13" t="n"/>
      <c r="X84" s="14">
        <f>IF($AP84="",IF($B84="","",$H84),IF(INDEX(職員マスタ!$B$6:$B$405,$AP84)="",$H84,INDEX(職員マスタ!$B$6:$B$405,$AP84)))</f>
        <v/>
      </c>
      <c r="Y84" s="14">
        <f>IF($AP84="",IF($B84="","",$R84),IF(INDEX(職員マスタ!$C$6:$C$405,$AP84)="",$R84,INDEX(職員マスタ!$C$6:$C$405,$AP84)))</f>
        <v/>
      </c>
      <c r="Z84" s="14">
        <f>IF($AQ84="","","R"&amp;$C84&amp;"."&amp;$D84)</f>
        <v/>
      </c>
      <c r="AA84" s="15">
        <f>IF(IF($AP84="",FALSE,INDEX(職員マスタ!$K$6:$K$405,$AP84)&lt;&gt;""),INDEX(職員マスタ!$K$6:$K$405,$AP84),IF(N($W84)&gt;0,$W84,""))</f>
        <v/>
      </c>
      <c r="AB84" s="14">
        <f>IF(OR($E84="",$AA84=""),"",IF($E84&gt;=$AA84,"×",IF($E84&gt;=$AA84*設定!$C$5,"△","○")))</f>
        <v/>
      </c>
      <c r="AC84" s="15">
        <f>IF($AB84="","",IF($AB84="×",0,IF($AB84="○",ROUNDDOWN($E84*設定!$C$4,0),ROUNDDOWN($E84*ROUND((9*$AA84-9*$E84)/(10*$E84),4),0))))</f>
        <v/>
      </c>
      <c r="AD84" s="13" t="n"/>
      <c r="AE84" s="15">
        <f>IF($B84="","",IF($AD84&lt;&gt;"",$AD84,IF($AC84="","",IF($AC84&lt;=設定!$C$3,0,$AC84))))</f>
        <v/>
      </c>
      <c r="AF84" s="14">
        <f>IF($B84="","",IF(AND($AG84&lt;&gt;"",$AI84="",$AL84=""),"保留中",IF($AL84&lt;&gt;"",IF(N($AE84)&gt;0,"支給済","不支給"),IF($AE84="","要確認",IF($AE84=0,"不支給","未処理")))))</f>
        <v/>
      </c>
      <c r="AG84" s="12" t="n"/>
      <c r="AH84" s="11" t="n"/>
      <c r="AI84" s="11" t="n"/>
      <c r="AJ84" s="11" t="n"/>
      <c r="AK84" s="14">
        <f>IF(AND($AF84="保留中",$AH84&lt;&gt;""),TODAY()-$AH84,"")</f>
        <v/>
      </c>
      <c r="AL84" s="12" t="inlineStr">
        <is>
          <t>R8.4</t>
        </is>
      </c>
      <c r="AM84" s="14">
        <f>IF($B84="","",IF($AQ84="","対象年月が未入力／","")&amp;IF($B84="","",IF($AP84="","職員マスタに未登録の職員番号／",IF($AA84="","標準報酬月額が未登録／","")&amp;IF(AND($AQ84&lt;&gt;"",OR(AND(INDEX(職員マスタ!$G$6:$G$405,$AP84)&lt;&gt;"",INDEX(職員マスタ!$G$6:$G$405,$AP84)&gt;EOMONTH($AQ84,0)),AND(INDEX(職員マスタ!$H$6:$H$405,$AP84)&lt;&gt;"",INDEX(職員マスタ!$H$6:$H$405,$AP84)&lt;$AQ84))),"対象月が時短期間外／","")&amp;IF(AND(INDEX(職員マスタ!$K$6:$K$405,$AP84)&lt;&gt;"",N($W84)&gt;0,INDEX(職員マスタ!$K$6:$K$405,$AP84)&lt;&gt;$W84),"標準報酬月額が申請書と相違（台帳"&amp;TEXT(INDEX(職員マスタ!$K$6:$K$405,$AP84),"#,##0")&amp;"円／申請書"&amp;TEXT($W84,"#,##0")&amp;"円）／","")&amp;IF(AND(INDEX(職員マスタ!$F$6:$F$405,$AP84)&lt;&gt;"",$AQ84&lt;&gt;"",INDEX(職員マスタ!$F$6:$F$405,$AP84)&lt;$AQ84),"対象月に子が2歳到達済／","")&amp;IF(AND($H84&lt;&gt;"",INDEX(職員マスタ!$B$6:$B$405,$AP84)&lt;&gt;"",SUBSTITUTE(SUBSTITUTE($H84," ","")," ","")&lt;&gt;SUBSTITUTE(SUBSTITUTE(INDEX(職員マスタ!$B$6:$B$405,$AP84)," ","")," ","")),"氏名がマスタと相違／","")&amp;IF(AND($Q84&lt;&gt;"",INDEX(職員マスタ!$E$6:$E$405,$AP84)&lt;&gt;"",$Q84&lt;&gt;INDEX(職員マスタ!$E$6:$E$405,$AP84)),"子の生年月日がマスタと相違／","")&amp;IF(AND($L84&lt;&gt;"",INDEX(職員マスタ!$G$6:$G$405,$AP84)&lt;&gt;"",$L84&lt;&gt;INDEX(職員マスタ!$G$6:$G$405,$AP84)),"時短開始日がマスタと相違／","")&amp;IF(AND($M84&lt;&gt;"",INDEX(職員マスタ!$H$6:$H$405,$AP84)&lt;&gt;"",$M84&lt;&gt;INDEX(職員マスタ!$H$6:$H$405,$AP84)),"時短終了日がマスタと相違／","")))&amp;IF(AND($B84&lt;&gt;"",$E84=""),"報酬額が未入力／","")&amp;IF(N($U84)&gt;0,"申請書に入力エラーが残っています／","")&amp;IF(AND($B84&lt;&gt;"",$AQ84&lt;&gt;""),IF(COUNTIFS($B$6:$B$3005,$B84,$C$6:$C$3005,$C84,$D$6:$D$3005,$D84)&gt;1,"同じ月の請求が重複しています／",""),"")&amp;IF(AND(N($E84)&gt;0,$AB84&lt;&gt;"",$AB84&lt;&gt;"×",$AE84=0,$AD84=""),"計算額が下限以下のため不支給／",""))</f>
        <v/>
      </c>
      <c r="AN84" s="12" t="n"/>
      <c r="AO84" s="14">
        <f>IF($AF84="保留中",COUNTIF($AF$6:$AF84,"保留中"),"")</f>
        <v/>
      </c>
      <c r="AP84" s="14">
        <f>IF($AQ84="","",IF(SUMPRODUCT(MAX((職員マスタ!$A$6:$A$405=$B84)*(((職員マスタ!$G$6:$G$405="")+(職員マスタ!$G$6:$G$405&lt;=EOMONTH($AQ84,0)))&gt;0)*(((職員マスタ!$H$6:$H$405="")+(職員マスタ!$H$6:$H$405&gt;=$AQ84))&gt;0)*(ROW(職員マスタ!$A$6:$A$405)-5)))&gt;0,SUMPRODUCT(MAX((職員マスタ!$A$6:$A$405=$B84)*(((職員マスタ!$G$6:$G$405="")+(職員マスタ!$G$6:$G$405&lt;=EOMONTH($AQ84,0)))&gt;0)*(((職員マスタ!$H$6:$H$405="")+(職員マスタ!$H$6:$H$405&gt;=$AQ84))&gt;0)*(ROW(職員マスタ!$A$6:$A$405)-5))),IFERROR(MATCH($B84,職員マスタ!$A$6:$A$405,0),"")))</f>
        <v/>
      </c>
      <c r="AQ84" s="16">
        <f>IF(OR($B84="",$C84="",$D84=""),"",DATE($C84+2018,$D84,1))</f>
        <v/>
      </c>
    </row>
    <row r="85">
      <c r="A85" s="11" t="n"/>
      <c r="B85" s="12" t="n">
        <v>6003057</v>
      </c>
      <c r="C85" s="12" t="n">
        <v>7</v>
      </c>
      <c r="D85" s="12" t="n">
        <v>4</v>
      </c>
      <c r="E85" s="13" t="n">
        <v>115134</v>
      </c>
      <c r="F85" s="12" t="n"/>
      <c r="G85" s="13" t="n"/>
      <c r="H85" s="12" t="n"/>
      <c r="I85" s="12" t="n"/>
      <c r="J85" s="12" t="n"/>
      <c r="K85" s="12" t="n"/>
      <c r="L85" s="11" t="n"/>
      <c r="M85" s="11" t="n"/>
      <c r="N85" s="11" t="n"/>
      <c r="O85" s="11" t="n"/>
      <c r="P85" s="12" t="n"/>
      <c r="Q85" s="11" t="n"/>
      <c r="R85" s="12" t="n"/>
      <c r="S85" s="11" t="n"/>
      <c r="T85" s="12" t="n"/>
      <c r="U85" s="12" t="n"/>
      <c r="V85" s="12" t="n"/>
      <c r="W85" s="13" t="n"/>
      <c r="X85" s="14">
        <f>IF($AP85="",IF($B85="","",$H85),IF(INDEX(職員マスタ!$B$6:$B$405,$AP85)="",$H85,INDEX(職員マスタ!$B$6:$B$405,$AP85)))</f>
        <v/>
      </c>
      <c r="Y85" s="14">
        <f>IF($AP85="",IF($B85="","",$R85),IF(INDEX(職員マスタ!$C$6:$C$405,$AP85)="",$R85,INDEX(職員マスタ!$C$6:$C$405,$AP85)))</f>
        <v/>
      </c>
      <c r="Z85" s="14">
        <f>IF($AQ85="","","R"&amp;$C85&amp;"."&amp;$D85)</f>
        <v/>
      </c>
      <c r="AA85" s="15">
        <f>IF(IF($AP85="",FALSE,INDEX(職員マスタ!$K$6:$K$405,$AP85)&lt;&gt;""),INDEX(職員マスタ!$K$6:$K$405,$AP85),IF(N($W85)&gt;0,$W85,""))</f>
        <v/>
      </c>
      <c r="AB85" s="14">
        <f>IF(OR($E85="",$AA85=""),"",IF($E85&gt;=$AA85,"×",IF($E85&gt;=$AA85*設定!$C$5,"△","○")))</f>
        <v/>
      </c>
      <c r="AC85" s="15">
        <f>IF($AB85="","",IF($AB85="×",0,IF($AB85="○",ROUNDDOWN($E85*設定!$C$4,0),ROUNDDOWN($E85*ROUND((9*$AA85-9*$E85)/(10*$E85),4),0))))</f>
        <v/>
      </c>
      <c r="AD85" s="13" t="n"/>
      <c r="AE85" s="15">
        <f>IF($B85="","",IF($AD85&lt;&gt;"",$AD85,IF($AC85="","",IF($AC85&lt;=設定!$C$3,0,$AC85))))</f>
        <v/>
      </c>
      <c r="AF85" s="14">
        <f>IF($B85="","",IF(AND($AG85&lt;&gt;"",$AI85="",$AL85=""),"保留中",IF($AL85&lt;&gt;"",IF(N($AE85)&gt;0,"支給済","不支給"),IF($AE85="","要確認",IF($AE85=0,"不支給","未処理")))))</f>
        <v/>
      </c>
      <c r="AG85" s="12" t="n"/>
      <c r="AH85" s="11" t="n"/>
      <c r="AI85" s="11" t="n"/>
      <c r="AJ85" s="11" t="n"/>
      <c r="AK85" s="14">
        <f>IF(AND($AF85="保留中",$AH85&lt;&gt;""),TODAY()-$AH85,"")</f>
        <v/>
      </c>
      <c r="AL85" s="12" t="inlineStr">
        <is>
          <t>R8.1</t>
        </is>
      </c>
      <c r="AM85" s="14">
        <f>IF($B85="","",IF($AQ85="","対象年月が未入力／","")&amp;IF($B85="","",IF($AP85="","職員マスタに未登録の職員番号／",IF($AA85="","標準報酬月額が未登録／","")&amp;IF(AND($AQ85&lt;&gt;"",OR(AND(INDEX(職員マスタ!$G$6:$G$405,$AP85)&lt;&gt;"",INDEX(職員マスタ!$G$6:$G$405,$AP85)&gt;EOMONTH($AQ85,0)),AND(INDEX(職員マスタ!$H$6:$H$405,$AP85)&lt;&gt;"",INDEX(職員マスタ!$H$6:$H$405,$AP85)&lt;$AQ85))),"対象月が時短期間外／","")&amp;IF(AND(INDEX(職員マスタ!$K$6:$K$405,$AP85)&lt;&gt;"",N($W85)&gt;0,INDEX(職員マスタ!$K$6:$K$405,$AP85)&lt;&gt;$W85),"標準報酬月額が申請書と相違（台帳"&amp;TEXT(INDEX(職員マスタ!$K$6:$K$405,$AP85),"#,##0")&amp;"円／申請書"&amp;TEXT($W85,"#,##0")&amp;"円）／","")&amp;IF(AND(INDEX(職員マスタ!$F$6:$F$405,$AP85)&lt;&gt;"",$AQ85&lt;&gt;"",INDEX(職員マスタ!$F$6:$F$405,$AP85)&lt;$AQ85),"対象月に子が2歳到達済／","")&amp;IF(AND($H85&lt;&gt;"",INDEX(職員マスタ!$B$6:$B$405,$AP85)&lt;&gt;"",SUBSTITUTE(SUBSTITUTE($H85," ","")," ","")&lt;&gt;SUBSTITUTE(SUBSTITUTE(INDEX(職員マスタ!$B$6:$B$405,$AP85)," ","")," ","")),"氏名がマスタと相違／","")&amp;IF(AND($Q85&lt;&gt;"",INDEX(職員マスタ!$E$6:$E$405,$AP85)&lt;&gt;"",$Q85&lt;&gt;INDEX(職員マスタ!$E$6:$E$405,$AP85)),"子の生年月日がマスタと相違／","")&amp;IF(AND($L85&lt;&gt;"",INDEX(職員マスタ!$G$6:$G$405,$AP85)&lt;&gt;"",$L85&lt;&gt;INDEX(職員マスタ!$G$6:$G$405,$AP85)),"時短開始日がマスタと相違／","")&amp;IF(AND($M85&lt;&gt;"",INDEX(職員マスタ!$H$6:$H$405,$AP85)&lt;&gt;"",$M85&lt;&gt;INDEX(職員マスタ!$H$6:$H$405,$AP85)),"時短終了日がマスタと相違／","")))&amp;IF(AND($B85&lt;&gt;"",$E85=""),"報酬額が未入力／","")&amp;IF(N($U85)&gt;0,"申請書に入力エラーが残っています／","")&amp;IF(AND($B85&lt;&gt;"",$AQ85&lt;&gt;""),IF(COUNTIFS($B$6:$B$3005,$B85,$C$6:$C$3005,$C85,$D$6:$D$3005,$D85)&gt;1,"同じ月の請求が重複しています／",""),"")&amp;IF(AND(N($E85)&gt;0,$AB85&lt;&gt;"",$AB85&lt;&gt;"×",$AE85=0,$AD85=""),"計算額が下限以下のため不支給／",""))</f>
        <v/>
      </c>
      <c r="AN85" s="12" t="n"/>
      <c r="AO85" s="14">
        <f>IF($AF85="保留中",COUNTIF($AF$6:$AF85,"保留中"),"")</f>
        <v/>
      </c>
      <c r="AP85" s="14">
        <f>IF($AQ85="","",IF(SUMPRODUCT(MAX((職員マスタ!$A$6:$A$405=$B85)*(((職員マスタ!$G$6:$G$405="")+(職員マスタ!$G$6:$G$405&lt;=EOMONTH($AQ85,0)))&gt;0)*(((職員マスタ!$H$6:$H$405="")+(職員マスタ!$H$6:$H$405&gt;=$AQ85))&gt;0)*(ROW(職員マスタ!$A$6:$A$405)-5)))&gt;0,SUMPRODUCT(MAX((職員マスタ!$A$6:$A$405=$B85)*(((職員マスタ!$G$6:$G$405="")+(職員マスタ!$G$6:$G$405&lt;=EOMONTH($AQ85,0)))&gt;0)*(((職員マスタ!$H$6:$H$405="")+(職員マスタ!$H$6:$H$405&gt;=$AQ85))&gt;0)*(ROW(職員マスタ!$A$6:$A$405)-5))),IFERROR(MATCH($B85,職員マスタ!$A$6:$A$405,0),"")))</f>
        <v/>
      </c>
      <c r="AQ85" s="16">
        <f>IF(OR($B85="",$C85="",$D85=""),"",DATE($C85+2018,$D85,1))</f>
        <v/>
      </c>
    </row>
    <row r="86">
      <c r="A86" s="11" t="n"/>
      <c r="B86" s="12" t="n">
        <v>6003057</v>
      </c>
      <c r="C86" s="12" t="n">
        <v>7</v>
      </c>
      <c r="D86" s="12" t="n">
        <v>5</v>
      </c>
      <c r="E86" s="13" t="n">
        <v>213544</v>
      </c>
      <c r="F86" s="12" t="n"/>
      <c r="G86" s="13" t="n"/>
      <c r="H86" s="12" t="n"/>
      <c r="I86" s="12" t="n"/>
      <c r="J86" s="12" t="n"/>
      <c r="K86" s="12" t="n"/>
      <c r="L86" s="11" t="n"/>
      <c r="M86" s="11" t="n"/>
      <c r="N86" s="11" t="n"/>
      <c r="O86" s="11" t="n"/>
      <c r="P86" s="12" t="n"/>
      <c r="Q86" s="11" t="n"/>
      <c r="R86" s="12" t="n"/>
      <c r="S86" s="11" t="n"/>
      <c r="T86" s="12" t="n"/>
      <c r="U86" s="12" t="n"/>
      <c r="V86" s="12" t="n"/>
      <c r="W86" s="13" t="n"/>
      <c r="X86" s="14">
        <f>IF($AP86="",IF($B86="","",$H86),IF(INDEX(職員マスタ!$B$6:$B$405,$AP86)="",$H86,INDEX(職員マスタ!$B$6:$B$405,$AP86)))</f>
        <v/>
      </c>
      <c r="Y86" s="14">
        <f>IF($AP86="",IF($B86="","",$R86),IF(INDEX(職員マスタ!$C$6:$C$405,$AP86)="",$R86,INDEX(職員マスタ!$C$6:$C$405,$AP86)))</f>
        <v/>
      </c>
      <c r="Z86" s="14">
        <f>IF($AQ86="","","R"&amp;$C86&amp;"."&amp;$D86)</f>
        <v/>
      </c>
      <c r="AA86" s="15">
        <f>IF(IF($AP86="",FALSE,INDEX(職員マスタ!$K$6:$K$405,$AP86)&lt;&gt;""),INDEX(職員マスタ!$K$6:$K$405,$AP86),IF(N($W86)&gt;0,$W86,""))</f>
        <v/>
      </c>
      <c r="AB86" s="14">
        <f>IF(OR($E86="",$AA86=""),"",IF($E86&gt;=$AA86,"×",IF($E86&gt;=$AA86*設定!$C$5,"△","○")))</f>
        <v/>
      </c>
      <c r="AC86" s="15">
        <f>IF($AB86="","",IF($AB86="×",0,IF($AB86="○",ROUNDDOWN($E86*設定!$C$4,0),ROUNDDOWN($E86*ROUND((9*$AA86-9*$E86)/(10*$E86),4),0))))</f>
        <v/>
      </c>
      <c r="AD86" s="13" t="n"/>
      <c r="AE86" s="15">
        <f>IF($B86="","",IF($AD86&lt;&gt;"",$AD86,IF($AC86="","",IF($AC86&lt;=設定!$C$3,0,$AC86))))</f>
        <v/>
      </c>
      <c r="AF86" s="14">
        <f>IF($B86="","",IF(AND($AG86&lt;&gt;"",$AI86="",$AL86=""),"保留中",IF($AL86&lt;&gt;"",IF(N($AE86)&gt;0,"支給済","不支給"),IF($AE86="","要確認",IF($AE86=0,"不支給","未処理")))))</f>
        <v/>
      </c>
      <c r="AG86" s="12" t="n"/>
      <c r="AH86" s="11" t="n"/>
      <c r="AI86" s="11" t="n"/>
      <c r="AJ86" s="11" t="n"/>
      <c r="AK86" s="14">
        <f>IF(AND($AF86="保留中",$AH86&lt;&gt;""),TODAY()-$AH86,"")</f>
        <v/>
      </c>
      <c r="AL86" s="12" t="inlineStr">
        <is>
          <t>R8.1</t>
        </is>
      </c>
      <c r="AM86" s="14">
        <f>IF($B86="","",IF($AQ86="","対象年月が未入力／","")&amp;IF($B86="","",IF($AP86="","職員マスタに未登録の職員番号／",IF($AA86="","標準報酬月額が未登録／","")&amp;IF(AND($AQ86&lt;&gt;"",OR(AND(INDEX(職員マスタ!$G$6:$G$405,$AP86)&lt;&gt;"",INDEX(職員マスタ!$G$6:$G$405,$AP86)&gt;EOMONTH($AQ86,0)),AND(INDEX(職員マスタ!$H$6:$H$405,$AP86)&lt;&gt;"",INDEX(職員マスタ!$H$6:$H$405,$AP86)&lt;$AQ86))),"対象月が時短期間外／","")&amp;IF(AND(INDEX(職員マスタ!$K$6:$K$405,$AP86)&lt;&gt;"",N($W86)&gt;0,INDEX(職員マスタ!$K$6:$K$405,$AP86)&lt;&gt;$W86),"標準報酬月額が申請書と相違（台帳"&amp;TEXT(INDEX(職員マスタ!$K$6:$K$405,$AP86),"#,##0")&amp;"円／申請書"&amp;TEXT($W86,"#,##0")&amp;"円）／","")&amp;IF(AND(INDEX(職員マスタ!$F$6:$F$405,$AP86)&lt;&gt;"",$AQ86&lt;&gt;"",INDEX(職員マスタ!$F$6:$F$405,$AP86)&lt;$AQ86),"対象月に子が2歳到達済／","")&amp;IF(AND($H86&lt;&gt;"",INDEX(職員マスタ!$B$6:$B$405,$AP86)&lt;&gt;"",SUBSTITUTE(SUBSTITUTE($H86," ","")," ","")&lt;&gt;SUBSTITUTE(SUBSTITUTE(INDEX(職員マスタ!$B$6:$B$405,$AP86)," ","")," ","")),"氏名がマスタと相違／","")&amp;IF(AND($Q86&lt;&gt;"",INDEX(職員マスタ!$E$6:$E$405,$AP86)&lt;&gt;"",$Q86&lt;&gt;INDEX(職員マスタ!$E$6:$E$405,$AP86)),"子の生年月日がマスタと相違／","")&amp;IF(AND($L86&lt;&gt;"",INDEX(職員マスタ!$G$6:$G$405,$AP86)&lt;&gt;"",$L86&lt;&gt;INDEX(職員マスタ!$G$6:$G$405,$AP86)),"時短開始日がマスタと相違／","")&amp;IF(AND($M86&lt;&gt;"",INDEX(職員マスタ!$H$6:$H$405,$AP86)&lt;&gt;"",$M86&lt;&gt;INDEX(職員マスタ!$H$6:$H$405,$AP86)),"時短終了日がマスタと相違／","")))&amp;IF(AND($B86&lt;&gt;"",$E86=""),"報酬額が未入力／","")&amp;IF(N($U86)&gt;0,"申請書に入力エラーが残っています／","")&amp;IF(AND($B86&lt;&gt;"",$AQ86&lt;&gt;""),IF(COUNTIFS($B$6:$B$3005,$B86,$C$6:$C$3005,$C86,$D$6:$D$3005,$D86)&gt;1,"同じ月の請求が重複しています／",""),"")&amp;IF(AND(N($E86)&gt;0,$AB86&lt;&gt;"",$AB86&lt;&gt;"×",$AE86=0,$AD86=""),"計算額が下限以下のため不支給／",""))</f>
        <v/>
      </c>
      <c r="AN86" s="12" t="n"/>
      <c r="AO86" s="14">
        <f>IF($AF86="保留中",COUNTIF($AF$6:$AF86,"保留中"),"")</f>
        <v/>
      </c>
      <c r="AP86" s="14">
        <f>IF($AQ86="","",IF(SUMPRODUCT(MAX((職員マスタ!$A$6:$A$405=$B86)*(((職員マスタ!$G$6:$G$405="")+(職員マスタ!$G$6:$G$405&lt;=EOMONTH($AQ86,0)))&gt;0)*(((職員マスタ!$H$6:$H$405="")+(職員マスタ!$H$6:$H$405&gt;=$AQ86))&gt;0)*(ROW(職員マスタ!$A$6:$A$405)-5)))&gt;0,SUMPRODUCT(MAX((職員マスタ!$A$6:$A$405=$B86)*(((職員マスタ!$G$6:$G$405="")+(職員マスタ!$G$6:$G$405&lt;=EOMONTH($AQ86,0)))&gt;0)*(((職員マスタ!$H$6:$H$405="")+(職員マスタ!$H$6:$H$405&gt;=$AQ86))&gt;0)*(ROW(職員マスタ!$A$6:$A$405)-5))),IFERROR(MATCH($B86,職員マスタ!$A$6:$A$405,0),"")))</f>
        <v/>
      </c>
      <c r="AQ86" s="16">
        <f>IF(OR($B86="",$C86="",$D86=""),"",DATE($C86+2018,$D86,1))</f>
        <v/>
      </c>
    </row>
    <row r="87">
      <c r="A87" s="11" t="n"/>
      <c r="B87" s="12" t="n">
        <v>6003057</v>
      </c>
      <c r="C87" s="12" t="n">
        <v>7</v>
      </c>
      <c r="D87" s="12" t="n">
        <v>6</v>
      </c>
      <c r="E87" s="13" t="n">
        <v>209332</v>
      </c>
      <c r="F87" s="12" t="n"/>
      <c r="G87" s="13" t="n"/>
      <c r="H87" s="12" t="n"/>
      <c r="I87" s="12" t="n"/>
      <c r="J87" s="12" t="n"/>
      <c r="K87" s="12" t="n"/>
      <c r="L87" s="11" t="n"/>
      <c r="M87" s="11" t="n"/>
      <c r="N87" s="11" t="n"/>
      <c r="O87" s="11" t="n"/>
      <c r="P87" s="12" t="n"/>
      <c r="Q87" s="11" t="n"/>
      <c r="R87" s="12" t="n"/>
      <c r="S87" s="11" t="n"/>
      <c r="T87" s="12" t="n"/>
      <c r="U87" s="12" t="n"/>
      <c r="V87" s="12" t="n"/>
      <c r="W87" s="13" t="n"/>
      <c r="X87" s="14">
        <f>IF($AP87="",IF($B87="","",$H87),IF(INDEX(職員マスタ!$B$6:$B$405,$AP87)="",$H87,INDEX(職員マスタ!$B$6:$B$405,$AP87)))</f>
        <v/>
      </c>
      <c r="Y87" s="14">
        <f>IF($AP87="",IF($B87="","",$R87),IF(INDEX(職員マスタ!$C$6:$C$405,$AP87)="",$R87,INDEX(職員マスタ!$C$6:$C$405,$AP87)))</f>
        <v/>
      </c>
      <c r="Z87" s="14">
        <f>IF($AQ87="","","R"&amp;$C87&amp;"."&amp;$D87)</f>
        <v/>
      </c>
      <c r="AA87" s="15">
        <f>IF(IF($AP87="",FALSE,INDEX(職員マスタ!$K$6:$K$405,$AP87)&lt;&gt;""),INDEX(職員マスタ!$K$6:$K$405,$AP87),IF(N($W87)&gt;0,$W87,""))</f>
        <v/>
      </c>
      <c r="AB87" s="14">
        <f>IF(OR($E87="",$AA87=""),"",IF($E87&gt;=$AA87,"×",IF($E87&gt;=$AA87*設定!$C$5,"△","○")))</f>
        <v/>
      </c>
      <c r="AC87" s="15">
        <f>IF($AB87="","",IF($AB87="×",0,IF($AB87="○",ROUNDDOWN($E87*設定!$C$4,0),ROUNDDOWN($E87*ROUND((9*$AA87-9*$E87)/(10*$E87),4),0))))</f>
        <v/>
      </c>
      <c r="AD87" s="13" t="n"/>
      <c r="AE87" s="15">
        <f>IF($B87="","",IF($AD87&lt;&gt;"",$AD87,IF($AC87="","",IF($AC87&lt;=設定!$C$3,0,$AC87))))</f>
        <v/>
      </c>
      <c r="AF87" s="14">
        <f>IF($B87="","",IF(AND($AG87&lt;&gt;"",$AI87="",$AL87=""),"保留中",IF($AL87&lt;&gt;"",IF(N($AE87)&gt;0,"支給済","不支給"),IF($AE87="","要確認",IF($AE87=0,"不支給","未処理")))))</f>
        <v/>
      </c>
      <c r="AG87" s="12" t="n"/>
      <c r="AH87" s="11" t="n"/>
      <c r="AI87" s="11" t="n"/>
      <c r="AJ87" s="11" t="n"/>
      <c r="AK87" s="14">
        <f>IF(AND($AF87="保留中",$AH87&lt;&gt;""),TODAY()-$AH87,"")</f>
        <v/>
      </c>
      <c r="AL87" s="12" t="inlineStr">
        <is>
          <t>R7.9</t>
        </is>
      </c>
      <c r="AM87" s="14">
        <f>IF($B87="","",IF($AQ87="","対象年月が未入力／","")&amp;IF($B87="","",IF($AP87="","職員マスタに未登録の職員番号／",IF($AA87="","標準報酬月額が未登録／","")&amp;IF(AND($AQ87&lt;&gt;"",OR(AND(INDEX(職員マスタ!$G$6:$G$405,$AP87)&lt;&gt;"",INDEX(職員マスタ!$G$6:$G$405,$AP87)&gt;EOMONTH($AQ87,0)),AND(INDEX(職員マスタ!$H$6:$H$405,$AP87)&lt;&gt;"",INDEX(職員マスタ!$H$6:$H$405,$AP87)&lt;$AQ87))),"対象月が時短期間外／","")&amp;IF(AND(INDEX(職員マスタ!$K$6:$K$405,$AP87)&lt;&gt;"",N($W87)&gt;0,INDEX(職員マスタ!$K$6:$K$405,$AP87)&lt;&gt;$W87),"標準報酬月額が申請書と相違（台帳"&amp;TEXT(INDEX(職員マスタ!$K$6:$K$405,$AP87),"#,##0")&amp;"円／申請書"&amp;TEXT($W87,"#,##0")&amp;"円）／","")&amp;IF(AND(INDEX(職員マスタ!$F$6:$F$405,$AP87)&lt;&gt;"",$AQ87&lt;&gt;"",INDEX(職員マスタ!$F$6:$F$405,$AP87)&lt;$AQ87),"対象月に子が2歳到達済／","")&amp;IF(AND($H87&lt;&gt;"",INDEX(職員マスタ!$B$6:$B$405,$AP87)&lt;&gt;"",SUBSTITUTE(SUBSTITUTE($H87," ","")," ","")&lt;&gt;SUBSTITUTE(SUBSTITUTE(INDEX(職員マスタ!$B$6:$B$405,$AP87)," ","")," ","")),"氏名がマスタと相違／","")&amp;IF(AND($Q87&lt;&gt;"",INDEX(職員マスタ!$E$6:$E$405,$AP87)&lt;&gt;"",$Q87&lt;&gt;INDEX(職員マスタ!$E$6:$E$405,$AP87)),"子の生年月日がマスタと相違／","")&amp;IF(AND($L87&lt;&gt;"",INDEX(職員マスタ!$G$6:$G$405,$AP87)&lt;&gt;"",$L87&lt;&gt;INDEX(職員マスタ!$G$6:$G$405,$AP87)),"時短開始日がマスタと相違／","")&amp;IF(AND($M87&lt;&gt;"",INDEX(職員マスタ!$H$6:$H$405,$AP87)&lt;&gt;"",$M87&lt;&gt;INDEX(職員マスタ!$H$6:$H$405,$AP87)),"時短終了日がマスタと相違／","")))&amp;IF(AND($B87&lt;&gt;"",$E87=""),"報酬額が未入力／","")&amp;IF(N($U87)&gt;0,"申請書に入力エラーが残っています／","")&amp;IF(AND($B87&lt;&gt;"",$AQ87&lt;&gt;""),IF(COUNTIFS($B$6:$B$3005,$B87,$C$6:$C$3005,$C87,$D$6:$D$3005,$D87)&gt;1,"同じ月の請求が重複しています／",""),"")&amp;IF(AND(N($E87)&gt;0,$AB87&lt;&gt;"",$AB87&lt;&gt;"×",$AE87=0,$AD87=""),"計算額が下限以下のため不支給／",""))</f>
        <v/>
      </c>
      <c r="AN87" s="12" t="n"/>
      <c r="AO87" s="14">
        <f>IF($AF87="保留中",COUNTIF($AF$6:$AF87,"保留中"),"")</f>
        <v/>
      </c>
      <c r="AP87" s="14">
        <f>IF($AQ87="","",IF(SUMPRODUCT(MAX((職員マスタ!$A$6:$A$405=$B87)*(((職員マスタ!$G$6:$G$405="")+(職員マスタ!$G$6:$G$405&lt;=EOMONTH($AQ87,0)))&gt;0)*(((職員マスタ!$H$6:$H$405="")+(職員マスタ!$H$6:$H$405&gt;=$AQ87))&gt;0)*(ROW(職員マスタ!$A$6:$A$405)-5)))&gt;0,SUMPRODUCT(MAX((職員マスタ!$A$6:$A$405=$B87)*(((職員マスタ!$G$6:$G$405="")+(職員マスタ!$G$6:$G$405&lt;=EOMONTH($AQ87,0)))&gt;0)*(((職員マスタ!$H$6:$H$405="")+(職員マスタ!$H$6:$H$405&gt;=$AQ87))&gt;0)*(ROW(職員マスタ!$A$6:$A$405)-5))),IFERROR(MATCH($B87,職員マスタ!$A$6:$A$405,0),"")))</f>
        <v/>
      </c>
      <c r="AQ87" s="16">
        <f>IF(OR($B87="",$C87="",$D87=""),"",DATE($C87+2018,$D87,1))</f>
        <v/>
      </c>
    </row>
    <row r="88">
      <c r="A88" s="11" t="n"/>
      <c r="B88" s="12" t="n">
        <v>6003057</v>
      </c>
      <c r="C88" s="12" t="n">
        <v>7</v>
      </c>
      <c r="D88" s="12" t="n">
        <v>7</v>
      </c>
      <c r="E88" s="13" t="n">
        <v>215640</v>
      </c>
      <c r="F88" s="12" t="n"/>
      <c r="G88" s="13" t="n"/>
      <c r="H88" s="12" t="n"/>
      <c r="I88" s="12" t="n"/>
      <c r="J88" s="12" t="n"/>
      <c r="K88" s="12" t="n"/>
      <c r="L88" s="11" t="n"/>
      <c r="M88" s="11" t="n"/>
      <c r="N88" s="11" t="n"/>
      <c r="O88" s="11" t="n"/>
      <c r="P88" s="12" t="n"/>
      <c r="Q88" s="11" t="n"/>
      <c r="R88" s="12" t="n"/>
      <c r="S88" s="11" t="n"/>
      <c r="T88" s="12" t="n"/>
      <c r="U88" s="12" t="n"/>
      <c r="V88" s="12" t="n"/>
      <c r="W88" s="13" t="n"/>
      <c r="X88" s="14">
        <f>IF($AP88="",IF($B88="","",$H88),IF(INDEX(職員マスタ!$B$6:$B$405,$AP88)="",$H88,INDEX(職員マスタ!$B$6:$B$405,$AP88)))</f>
        <v/>
      </c>
      <c r="Y88" s="14">
        <f>IF($AP88="",IF($B88="","",$R88),IF(INDEX(職員マスタ!$C$6:$C$405,$AP88)="",$R88,INDEX(職員マスタ!$C$6:$C$405,$AP88)))</f>
        <v/>
      </c>
      <c r="Z88" s="14">
        <f>IF($AQ88="","","R"&amp;$C88&amp;"."&amp;$D88)</f>
        <v/>
      </c>
      <c r="AA88" s="15">
        <f>IF(IF($AP88="",FALSE,INDEX(職員マスタ!$K$6:$K$405,$AP88)&lt;&gt;""),INDEX(職員マスタ!$K$6:$K$405,$AP88),IF(N($W88)&gt;0,$W88,""))</f>
        <v/>
      </c>
      <c r="AB88" s="14">
        <f>IF(OR($E88="",$AA88=""),"",IF($E88&gt;=$AA88,"×",IF($E88&gt;=$AA88*設定!$C$5,"△","○")))</f>
        <v/>
      </c>
      <c r="AC88" s="15">
        <f>IF($AB88="","",IF($AB88="×",0,IF($AB88="○",ROUNDDOWN($E88*設定!$C$4,0),ROUNDDOWN($E88*ROUND((9*$AA88-9*$E88)/(10*$E88),4),0))))</f>
        <v/>
      </c>
      <c r="AD88" s="13" t="n"/>
      <c r="AE88" s="15">
        <f>IF($B88="","",IF($AD88&lt;&gt;"",$AD88,IF($AC88="","",IF($AC88&lt;=設定!$C$3,0,$AC88))))</f>
        <v/>
      </c>
      <c r="AF88" s="14">
        <f>IF($B88="","",IF(AND($AG88&lt;&gt;"",$AI88="",$AL88=""),"保留中",IF($AL88&lt;&gt;"",IF(N($AE88)&gt;0,"支給済","不支給"),IF($AE88="","要確認",IF($AE88=0,"不支給","未処理")))))</f>
        <v/>
      </c>
      <c r="AG88" s="12" t="n"/>
      <c r="AH88" s="11" t="n"/>
      <c r="AI88" s="11" t="n"/>
      <c r="AJ88" s="11" t="n"/>
      <c r="AK88" s="14">
        <f>IF(AND($AF88="保留中",$AH88&lt;&gt;""),TODAY()-$AH88,"")</f>
        <v/>
      </c>
      <c r="AL88" s="12" t="inlineStr">
        <is>
          <t>R7.9</t>
        </is>
      </c>
      <c r="AM88" s="14">
        <f>IF($B88="","",IF($AQ88="","対象年月が未入力／","")&amp;IF($B88="","",IF($AP88="","職員マスタに未登録の職員番号／",IF($AA88="","標準報酬月額が未登録／","")&amp;IF(AND($AQ88&lt;&gt;"",OR(AND(INDEX(職員マスタ!$G$6:$G$405,$AP88)&lt;&gt;"",INDEX(職員マスタ!$G$6:$G$405,$AP88)&gt;EOMONTH($AQ88,0)),AND(INDEX(職員マスタ!$H$6:$H$405,$AP88)&lt;&gt;"",INDEX(職員マスタ!$H$6:$H$405,$AP88)&lt;$AQ88))),"対象月が時短期間外／","")&amp;IF(AND(INDEX(職員マスタ!$K$6:$K$405,$AP88)&lt;&gt;"",N($W88)&gt;0,INDEX(職員マスタ!$K$6:$K$405,$AP88)&lt;&gt;$W88),"標準報酬月額が申請書と相違（台帳"&amp;TEXT(INDEX(職員マスタ!$K$6:$K$405,$AP88),"#,##0")&amp;"円／申請書"&amp;TEXT($W88,"#,##0")&amp;"円）／","")&amp;IF(AND(INDEX(職員マスタ!$F$6:$F$405,$AP88)&lt;&gt;"",$AQ88&lt;&gt;"",INDEX(職員マスタ!$F$6:$F$405,$AP88)&lt;$AQ88),"対象月に子が2歳到達済／","")&amp;IF(AND($H88&lt;&gt;"",INDEX(職員マスタ!$B$6:$B$405,$AP88)&lt;&gt;"",SUBSTITUTE(SUBSTITUTE($H88," ","")," ","")&lt;&gt;SUBSTITUTE(SUBSTITUTE(INDEX(職員マスタ!$B$6:$B$405,$AP88)," ","")," ","")),"氏名がマスタと相違／","")&amp;IF(AND($Q88&lt;&gt;"",INDEX(職員マスタ!$E$6:$E$405,$AP88)&lt;&gt;"",$Q88&lt;&gt;INDEX(職員マスタ!$E$6:$E$405,$AP88)),"子の生年月日がマスタと相違／","")&amp;IF(AND($L88&lt;&gt;"",INDEX(職員マスタ!$G$6:$G$405,$AP88)&lt;&gt;"",$L88&lt;&gt;INDEX(職員マスタ!$G$6:$G$405,$AP88)),"時短開始日がマスタと相違／","")&amp;IF(AND($M88&lt;&gt;"",INDEX(職員マスタ!$H$6:$H$405,$AP88)&lt;&gt;"",$M88&lt;&gt;INDEX(職員マスタ!$H$6:$H$405,$AP88)),"時短終了日がマスタと相違／","")))&amp;IF(AND($B88&lt;&gt;"",$E88=""),"報酬額が未入力／","")&amp;IF(N($U88)&gt;0,"申請書に入力エラーが残っています／","")&amp;IF(AND($B88&lt;&gt;"",$AQ88&lt;&gt;""),IF(COUNTIFS($B$6:$B$3005,$B88,$C$6:$C$3005,$C88,$D$6:$D$3005,$D88)&gt;1,"同じ月の請求が重複しています／",""),"")&amp;IF(AND(N($E88)&gt;0,$AB88&lt;&gt;"",$AB88&lt;&gt;"×",$AE88=0,$AD88=""),"計算額が下限以下のため不支給／",""))</f>
        <v/>
      </c>
      <c r="AN88" s="12" t="n"/>
      <c r="AO88" s="14">
        <f>IF($AF88="保留中",COUNTIF($AF$6:$AF88,"保留中"),"")</f>
        <v/>
      </c>
      <c r="AP88" s="14">
        <f>IF($AQ88="","",IF(SUMPRODUCT(MAX((職員マスタ!$A$6:$A$405=$B88)*(((職員マスタ!$G$6:$G$405="")+(職員マスタ!$G$6:$G$405&lt;=EOMONTH($AQ88,0)))&gt;0)*(((職員マスタ!$H$6:$H$405="")+(職員マスタ!$H$6:$H$405&gt;=$AQ88))&gt;0)*(ROW(職員マスタ!$A$6:$A$405)-5)))&gt;0,SUMPRODUCT(MAX((職員マスタ!$A$6:$A$405=$B88)*(((職員マスタ!$G$6:$G$405="")+(職員マスタ!$G$6:$G$405&lt;=EOMONTH($AQ88,0)))&gt;0)*(((職員マスタ!$H$6:$H$405="")+(職員マスタ!$H$6:$H$405&gt;=$AQ88))&gt;0)*(ROW(職員マスタ!$A$6:$A$405)-5))),IFERROR(MATCH($B88,職員マスタ!$A$6:$A$405,0),"")))</f>
        <v/>
      </c>
      <c r="AQ88" s="16">
        <f>IF(OR($B88="",$C88="",$D88=""),"",DATE($C88+2018,$D88,1))</f>
        <v/>
      </c>
    </row>
    <row r="89">
      <c r="A89" s="11" t="n"/>
      <c r="B89" s="12" t="n">
        <v>6003057</v>
      </c>
      <c r="C89" s="12" t="n">
        <v>7</v>
      </c>
      <c r="D89" s="12" t="n">
        <v>8</v>
      </c>
      <c r="E89" s="13" t="n">
        <v>215640</v>
      </c>
      <c r="F89" s="12" t="n"/>
      <c r="G89" s="13" t="n"/>
      <c r="H89" s="12" t="n"/>
      <c r="I89" s="12" t="n"/>
      <c r="J89" s="12" t="n"/>
      <c r="K89" s="12" t="n"/>
      <c r="L89" s="11" t="n"/>
      <c r="M89" s="11" t="n"/>
      <c r="N89" s="11" t="n"/>
      <c r="O89" s="11" t="n"/>
      <c r="P89" s="12" t="n"/>
      <c r="Q89" s="11" t="n"/>
      <c r="R89" s="12" t="n"/>
      <c r="S89" s="11" t="n"/>
      <c r="T89" s="12" t="n"/>
      <c r="U89" s="12" t="n"/>
      <c r="V89" s="12" t="n"/>
      <c r="W89" s="13" t="n"/>
      <c r="X89" s="14">
        <f>IF($AP89="",IF($B89="","",$H89),IF(INDEX(職員マスタ!$B$6:$B$405,$AP89)="",$H89,INDEX(職員マスタ!$B$6:$B$405,$AP89)))</f>
        <v/>
      </c>
      <c r="Y89" s="14">
        <f>IF($AP89="",IF($B89="","",$R89),IF(INDEX(職員マスタ!$C$6:$C$405,$AP89)="",$R89,INDEX(職員マスタ!$C$6:$C$405,$AP89)))</f>
        <v/>
      </c>
      <c r="Z89" s="14">
        <f>IF($AQ89="","","R"&amp;$C89&amp;"."&amp;$D89)</f>
        <v/>
      </c>
      <c r="AA89" s="15">
        <f>IF(IF($AP89="",FALSE,INDEX(職員マスタ!$K$6:$K$405,$AP89)&lt;&gt;""),INDEX(職員マスタ!$K$6:$K$405,$AP89),IF(N($W89)&gt;0,$W89,""))</f>
        <v/>
      </c>
      <c r="AB89" s="14">
        <f>IF(OR($E89="",$AA89=""),"",IF($E89&gt;=$AA89,"×",IF($E89&gt;=$AA89*設定!$C$5,"△","○")))</f>
        <v/>
      </c>
      <c r="AC89" s="15">
        <f>IF($AB89="","",IF($AB89="×",0,IF($AB89="○",ROUNDDOWN($E89*設定!$C$4,0),ROUNDDOWN($E89*ROUND((9*$AA89-9*$E89)/(10*$E89),4),0))))</f>
        <v/>
      </c>
      <c r="AD89" s="13" t="n"/>
      <c r="AE89" s="15">
        <f>IF($B89="","",IF($AD89&lt;&gt;"",$AD89,IF($AC89="","",IF($AC89&lt;=設定!$C$3,0,$AC89))))</f>
        <v/>
      </c>
      <c r="AF89" s="14">
        <f>IF($B89="","",IF(AND($AG89&lt;&gt;"",$AI89="",$AL89=""),"保留中",IF($AL89&lt;&gt;"",IF(N($AE89)&gt;0,"支給済","不支給"),IF($AE89="","要確認",IF($AE89=0,"不支給","未処理")))))</f>
        <v/>
      </c>
      <c r="AG89" s="12" t="n"/>
      <c r="AH89" s="11" t="n"/>
      <c r="AI89" s="11" t="n"/>
      <c r="AJ89" s="11" t="n"/>
      <c r="AK89" s="14">
        <f>IF(AND($AF89="保留中",$AH89&lt;&gt;""),TODAY()-$AH89,"")</f>
        <v/>
      </c>
      <c r="AL89" s="12" t="inlineStr">
        <is>
          <t>R7.10</t>
        </is>
      </c>
      <c r="AM89" s="14">
        <f>IF($B89="","",IF($AQ89="","対象年月が未入力／","")&amp;IF($B89="","",IF($AP89="","職員マスタに未登録の職員番号／",IF($AA89="","標準報酬月額が未登録／","")&amp;IF(AND($AQ89&lt;&gt;"",OR(AND(INDEX(職員マスタ!$G$6:$G$405,$AP89)&lt;&gt;"",INDEX(職員マスタ!$G$6:$G$405,$AP89)&gt;EOMONTH($AQ89,0)),AND(INDEX(職員マスタ!$H$6:$H$405,$AP89)&lt;&gt;"",INDEX(職員マスタ!$H$6:$H$405,$AP89)&lt;$AQ89))),"対象月が時短期間外／","")&amp;IF(AND(INDEX(職員マスタ!$K$6:$K$405,$AP89)&lt;&gt;"",N($W89)&gt;0,INDEX(職員マスタ!$K$6:$K$405,$AP89)&lt;&gt;$W89),"標準報酬月額が申請書と相違（台帳"&amp;TEXT(INDEX(職員マスタ!$K$6:$K$405,$AP89),"#,##0")&amp;"円／申請書"&amp;TEXT($W89,"#,##0")&amp;"円）／","")&amp;IF(AND(INDEX(職員マスタ!$F$6:$F$405,$AP89)&lt;&gt;"",$AQ89&lt;&gt;"",INDEX(職員マスタ!$F$6:$F$405,$AP89)&lt;$AQ89),"対象月に子が2歳到達済／","")&amp;IF(AND($H89&lt;&gt;"",INDEX(職員マスタ!$B$6:$B$405,$AP89)&lt;&gt;"",SUBSTITUTE(SUBSTITUTE($H89," ","")," ","")&lt;&gt;SUBSTITUTE(SUBSTITUTE(INDEX(職員マスタ!$B$6:$B$405,$AP89)," ","")," ","")),"氏名がマスタと相違／","")&amp;IF(AND($Q89&lt;&gt;"",INDEX(職員マスタ!$E$6:$E$405,$AP89)&lt;&gt;"",$Q89&lt;&gt;INDEX(職員マスタ!$E$6:$E$405,$AP89)),"子の生年月日がマスタと相違／","")&amp;IF(AND($L89&lt;&gt;"",INDEX(職員マスタ!$G$6:$G$405,$AP89)&lt;&gt;"",$L89&lt;&gt;INDEX(職員マスタ!$G$6:$G$405,$AP89)),"時短開始日がマスタと相違／","")&amp;IF(AND($M89&lt;&gt;"",INDEX(職員マスタ!$H$6:$H$405,$AP89)&lt;&gt;"",$M89&lt;&gt;INDEX(職員マスタ!$H$6:$H$405,$AP89)),"時短終了日がマスタと相違／","")))&amp;IF(AND($B89&lt;&gt;"",$E89=""),"報酬額が未入力／","")&amp;IF(N($U89)&gt;0,"申請書に入力エラーが残っています／","")&amp;IF(AND($B89&lt;&gt;"",$AQ89&lt;&gt;""),IF(COUNTIFS($B$6:$B$3005,$B89,$C$6:$C$3005,$C89,$D$6:$D$3005,$D89)&gt;1,"同じ月の請求が重複しています／",""),"")&amp;IF(AND(N($E89)&gt;0,$AB89&lt;&gt;"",$AB89&lt;&gt;"×",$AE89=0,$AD89=""),"計算額が下限以下のため不支給／",""))</f>
        <v/>
      </c>
      <c r="AN89" s="12" t="n"/>
      <c r="AO89" s="14">
        <f>IF($AF89="保留中",COUNTIF($AF$6:$AF89,"保留中"),"")</f>
        <v/>
      </c>
      <c r="AP89" s="14">
        <f>IF($AQ89="","",IF(SUMPRODUCT(MAX((職員マスタ!$A$6:$A$405=$B89)*(((職員マスタ!$G$6:$G$405="")+(職員マスタ!$G$6:$G$405&lt;=EOMONTH($AQ89,0)))&gt;0)*(((職員マスタ!$H$6:$H$405="")+(職員マスタ!$H$6:$H$405&gt;=$AQ89))&gt;0)*(ROW(職員マスタ!$A$6:$A$405)-5)))&gt;0,SUMPRODUCT(MAX((職員マスタ!$A$6:$A$405=$B89)*(((職員マスタ!$G$6:$G$405="")+(職員マスタ!$G$6:$G$405&lt;=EOMONTH($AQ89,0)))&gt;0)*(((職員マスタ!$H$6:$H$405="")+(職員マスタ!$H$6:$H$405&gt;=$AQ89))&gt;0)*(ROW(職員マスタ!$A$6:$A$405)-5))),IFERROR(MATCH($B89,職員マスタ!$A$6:$A$405,0),"")))</f>
        <v/>
      </c>
      <c r="AQ89" s="16">
        <f>IF(OR($B89="",$C89="",$D89=""),"",DATE($C89+2018,$D89,1))</f>
        <v/>
      </c>
    </row>
    <row r="90">
      <c r="A90" s="11" t="n"/>
      <c r="B90" s="12" t="n">
        <v>6003057</v>
      </c>
      <c r="C90" s="12" t="n">
        <v>7</v>
      </c>
      <c r="D90" s="12" t="n">
        <v>9</v>
      </c>
      <c r="E90" s="13" t="n">
        <v>213486</v>
      </c>
      <c r="F90" s="12" t="n"/>
      <c r="G90" s="13" t="n"/>
      <c r="H90" s="12" t="n"/>
      <c r="I90" s="12" t="n"/>
      <c r="J90" s="12" t="n"/>
      <c r="K90" s="12" t="n"/>
      <c r="L90" s="11" t="n"/>
      <c r="M90" s="11" t="n"/>
      <c r="N90" s="11" t="n"/>
      <c r="O90" s="11" t="n"/>
      <c r="P90" s="12" t="n"/>
      <c r="Q90" s="11" t="n"/>
      <c r="R90" s="12" t="n"/>
      <c r="S90" s="11" t="n"/>
      <c r="T90" s="12" t="n"/>
      <c r="U90" s="12" t="n"/>
      <c r="V90" s="12" t="n"/>
      <c r="W90" s="13" t="n"/>
      <c r="X90" s="14">
        <f>IF($AP90="",IF($B90="","",$H90),IF(INDEX(職員マスタ!$B$6:$B$405,$AP90)="",$H90,INDEX(職員マスタ!$B$6:$B$405,$AP90)))</f>
        <v/>
      </c>
      <c r="Y90" s="14">
        <f>IF($AP90="",IF($B90="","",$R90),IF(INDEX(職員マスタ!$C$6:$C$405,$AP90)="",$R90,INDEX(職員マスタ!$C$6:$C$405,$AP90)))</f>
        <v/>
      </c>
      <c r="Z90" s="14">
        <f>IF($AQ90="","","R"&amp;$C90&amp;"."&amp;$D90)</f>
        <v/>
      </c>
      <c r="AA90" s="15">
        <f>IF(IF($AP90="",FALSE,INDEX(職員マスタ!$K$6:$K$405,$AP90)&lt;&gt;""),INDEX(職員マスタ!$K$6:$K$405,$AP90),IF(N($W90)&gt;0,$W90,""))</f>
        <v/>
      </c>
      <c r="AB90" s="14">
        <f>IF(OR($E90="",$AA90=""),"",IF($E90&gt;=$AA90,"×",IF($E90&gt;=$AA90*設定!$C$5,"△","○")))</f>
        <v/>
      </c>
      <c r="AC90" s="15">
        <f>IF($AB90="","",IF($AB90="×",0,IF($AB90="○",ROUNDDOWN($E90*設定!$C$4,0),ROUNDDOWN($E90*ROUND((9*$AA90-9*$E90)/(10*$E90),4),0))))</f>
        <v/>
      </c>
      <c r="AD90" s="13" t="n"/>
      <c r="AE90" s="15">
        <f>IF($B90="","",IF($AD90&lt;&gt;"",$AD90,IF($AC90="","",IF($AC90&lt;=設定!$C$3,0,$AC90))))</f>
        <v/>
      </c>
      <c r="AF90" s="14">
        <f>IF($B90="","",IF(AND($AG90&lt;&gt;"",$AI90="",$AL90=""),"保留中",IF($AL90&lt;&gt;"",IF(N($AE90)&gt;0,"支給済","不支給"),IF($AE90="","要確認",IF($AE90=0,"不支給","未処理")))))</f>
        <v/>
      </c>
      <c r="AG90" s="12" t="n"/>
      <c r="AH90" s="11" t="n"/>
      <c r="AI90" s="11" t="n"/>
      <c r="AJ90" s="11" t="n"/>
      <c r="AK90" s="14">
        <f>IF(AND($AF90="保留中",$AH90&lt;&gt;""),TODAY()-$AH90,"")</f>
        <v/>
      </c>
      <c r="AL90" s="12" t="inlineStr">
        <is>
          <t>R8.1</t>
        </is>
      </c>
      <c r="AM90" s="14">
        <f>IF($B90="","",IF($AQ90="","対象年月が未入力／","")&amp;IF($B90="","",IF($AP90="","職員マスタに未登録の職員番号／",IF($AA90="","標準報酬月額が未登録／","")&amp;IF(AND($AQ90&lt;&gt;"",OR(AND(INDEX(職員マスタ!$G$6:$G$405,$AP90)&lt;&gt;"",INDEX(職員マスタ!$G$6:$G$405,$AP90)&gt;EOMONTH($AQ90,0)),AND(INDEX(職員マスタ!$H$6:$H$405,$AP90)&lt;&gt;"",INDEX(職員マスタ!$H$6:$H$405,$AP90)&lt;$AQ90))),"対象月が時短期間外／","")&amp;IF(AND(INDEX(職員マスタ!$K$6:$K$405,$AP90)&lt;&gt;"",N($W90)&gt;0,INDEX(職員マスタ!$K$6:$K$405,$AP90)&lt;&gt;$W90),"標準報酬月額が申請書と相違（台帳"&amp;TEXT(INDEX(職員マスタ!$K$6:$K$405,$AP90),"#,##0")&amp;"円／申請書"&amp;TEXT($W90,"#,##0")&amp;"円）／","")&amp;IF(AND(INDEX(職員マスタ!$F$6:$F$405,$AP90)&lt;&gt;"",$AQ90&lt;&gt;"",INDEX(職員マスタ!$F$6:$F$405,$AP90)&lt;$AQ90),"対象月に子が2歳到達済／","")&amp;IF(AND($H90&lt;&gt;"",INDEX(職員マスタ!$B$6:$B$405,$AP90)&lt;&gt;"",SUBSTITUTE(SUBSTITUTE($H90," ","")," ","")&lt;&gt;SUBSTITUTE(SUBSTITUTE(INDEX(職員マスタ!$B$6:$B$405,$AP90)," ","")," ","")),"氏名がマスタと相違／","")&amp;IF(AND($Q90&lt;&gt;"",INDEX(職員マスタ!$E$6:$E$405,$AP90)&lt;&gt;"",$Q90&lt;&gt;INDEX(職員マスタ!$E$6:$E$405,$AP90)),"子の生年月日がマスタと相違／","")&amp;IF(AND($L90&lt;&gt;"",INDEX(職員マスタ!$G$6:$G$405,$AP90)&lt;&gt;"",$L90&lt;&gt;INDEX(職員マスタ!$G$6:$G$405,$AP90)),"時短開始日がマスタと相違／","")&amp;IF(AND($M90&lt;&gt;"",INDEX(職員マスタ!$H$6:$H$405,$AP90)&lt;&gt;"",$M90&lt;&gt;INDEX(職員マスタ!$H$6:$H$405,$AP90)),"時短終了日がマスタと相違／","")))&amp;IF(AND($B90&lt;&gt;"",$E90=""),"報酬額が未入力／","")&amp;IF(N($U90)&gt;0,"申請書に入力エラーが残っています／","")&amp;IF(AND($B90&lt;&gt;"",$AQ90&lt;&gt;""),IF(COUNTIFS($B$6:$B$3005,$B90,$C$6:$C$3005,$C90,$D$6:$D$3005,$D90)&gt;1,"同じ月の請求が重複しています／",""),"")&amp;IF(AND(N($E90)&gt;0,$AB90&lt;&gt;"",$AB90&lt;&gt;"×",$AE90=0,$AD90=""),"計算額が下限以下のため不支給／",""))</f>
        <v/>
      </c>
      <c r="AN90" s="12" t="n"/>
      <c r="AO90" s="14">
        <f>IF($AF90="保留中",COUNTIF($AF$6:$AF90,"保留中"),"")</f>
        <v/>
      </c>
      <c r="AP90" s="14">
        <f>IF($AQ90="","",IF(SUMPRODUCT(MAX((職員マスタ!$A$6:$A$405=$B90)*(((職員マスタ!$G$6:$G$405="")+(職員マスタ!$G$6:$G$405&lt;=EOMONTH($AQ90,0)))&gt;0)*(((職員マスタ!$H$6:$H$405="")+(職員マスタ!$H$6:$H$405&gt;=$AQ90))&gt;0)*(ROW(職員マスタ!$A$6:$A$405)-5)))&gt;0,SUMPRODUCT(MAX((職員マスタ!$A$6:$A$405=$B90)*(((職員マスタ!$G$6:$G$405="")+(職員マスタ!$G$6:$G$405&lt;=EOMONTH($AQ90,0)))&gt;0)*(((職員マスタ!$H$6:$H$405="")+(職員マスタ!$H$6:$H$405&gt;=$AQ90))&gt;0)*(ROW(職員マスタ!$A$6:$A$405)-5))),IFERROR(MATCH($B90,職員マスタ!$A$6:$A$405,0),"")))</f>
        <v/>
      </c>
      <c r="AQ90" s="16">
        <f>IF(OR($B90="",$C90="",$D90=""),"",DATE($C90+2018,$D90,1))</f>
        <v/>
      </c>
    </row>
    <row r="91">
      <c r="A91" s="11" t="n"/>
      <c r="B91" s="12" t="n">
        <v>6003057</v>
      </c>
      <c r="C91" s="12" t="n">
        <v>7</v>
      </c>
      <c r="D91" s="12" t="n">
        <v>10</v>
      </c>
      <c r="E91" s="13" t="n">
        <v>219948</v>
      </c>
      <c r="F91" s="12" t="n"/>
      <c r="G91" s="13" t="n"/>
      <c r="H91" s="12" t="n"/>
      <c r="I91" s="12" t="n"/>
      <c r="J91" s="12" t="n"/>
      <c r="K91" s="12" t="n"/>
      <c r="L91" s="11" t="n"/>
      <c r="M91" s="11" t="n"/>
      <c r="N91" s="11" t="n"/>
      <c r="O91" s="11" t="n"/>
      <c r="P91" s="12" t="n"/>
      <c r="Q91" s="11" t="n"/>
      <c r="R91" s="12" t="n"/>
      <c r="S91" s="11" t="n"/>
      <c r="T91" s="12" t="n"/>
      <c r="U91" s="12" t="n"/>
      <c r="V91" s="12" t="n"/>
      <c r="W91" s="13" t="n"/>
      <c r="X91" s="14">
        <f>IF($AP91="",IF($B91="","",$H91),IF(INDEX(職員マスタ!$B$6:$B$405,$AP91)="",$H91,INDEX(職員マスタ!$B$6:$B$405,$AP91)))</f>
        <v/>
      </c>
      <c r="Y91" s="14">
        <f>IF($AP91="",IF($B91="","",$R91),IF(INDEX(職員マスタ!$C$6:$C$405,$AP91)="",$R91,INDEX(職員マスタ!$C$6:$C$405,$AP91)))</f>
        <v/>
      </c>
      <c r="Z91" s="14">
        <f>IF($AQ91="","","R"&amp;$C91&amp;"."&amp;$D91)</f>
        <v/>
      </c>
      <c r="AA91" s="15">
        <f>IF(IF($AP91="",FALSE,INDEX(職員マスタ!$K$6:$K$405,$AP91)&lt;&gt;""),INDEX(職員マスタ!$K$6:$K$405,$AP91),IF(N($W91)&gt;0,$W91,""))</f>
        <v/>
      </c>
      <c r="AB91" s="14">
        <f>IF(OR($E91="",$AA91=""),"",IF($E91&gt;=$AA91,"×",IF($E91&gt;=$AA91*設定!$C$5,"△","○")))</f>
        <v/>
      </c>
      <c r="AC91" s="15">
        <f>IF($AB91="","",IF($AB91="×",0,IF($AB91="○",ROUNDDOWN($E91*設定!$C$4,0),ROUNDDOWN($E91*ROUND((9*$AA91-9*$E91)/(10*$E91),4),0))))</f>
        <v/>
      </c>
      <c r="AD91" s="13" t="n"/>
      <c r="AE91" s="15">
        <f>IF($B91="","",IF($AD91&lt;&gt;"",$AD91,IF($AC91="","",IF($AC91&lt;=設定!$C$3,0,$AC91))))</f>
        <v/>
      </c>
      <c r="AF91" s="14">
        <f>IF($B91="","",IF(AND($AG91&lt;&gt;"",$AI91="",$AL91=""),"保留中",IF($AL91&lt;&gt;"",IF(N($AE91)&gt;0,"支給済","不支給"),IF($AE91="","要確認",IF($AE91=0,"不支給","未処理")))))</f>
        <v/>
      </c>
      <c r="AG91" s="12" t="n"/>
      <c r="AH91" s="11" t="n"/>
      <c r="AI91" s="11" t="n"/>
      <c r="AJ91" s="11" t="n"/>
      <c r="AK91" s="14">
        <f>IF(AND($AF91="保留中",$AH91&lt;&gt;""),TODAY()-$AH91,"")</f>
        <v/>
      </c>
      <c r="AL91" s="12" t="inlineStr">
        <is>
          <t>R8.1</t>
        </is>
      </c>
      <c r="AM91" s="14">
        <f>IF($B91="","",IF($AQ91="","対象年月が未入力／","")&amp;IF($B91="","",IF($AP91="","職員マスタに未登録の職員番号／",IF($AA91="","標準報酬月額が未登録／","")&amp;IF(AND($AQ91&lt;&gt;"",OR(AND(INDEX(職員マスタ!$G$6:$G$405,$AP91)&lt;&gt;"",INDEX(職員マスタ!$G$6:$G$405,$AP91)&gt;EOMONTH($AQ91,0)),AND(INDEX(職員マスタ!$H$6:$H$405,$AP91)&lt;&gt;"",INDEX(職員マスタ!$H$6:$H$405,$AP91)&lt;$AQ91))),"対象月が時短期間外／","")&amp;IF(AND(INDEX(職員マスタ!$K$6:$K$405,$AP91)&lt;&gt;"",N($W91)&gt;0,INDEX(職員マスタ!$K$6:$K$405,$AP91)&lt;&gt;$W91),"標準報酬月額が申請書と相違（台帳"&amp;TEXT(INDEX(職員マスタ!$K$6:$K$405,$AP91),"#,##0")&amp;"円／申請書"&amp;TEXT($W91,"#,##0")&amp;"円）／","")&amp;IF(AND(INDEX(職員マスタ!$F$6:$F$405,$AP91)&lt;&gt;"",$AQ91&lt;&gt;"",INDEX(職員マスタ!$F$6:$F$405,$AP91)&lt;$AQ91),"対象月に子が2歳到達済／","")&amp;IF(AND($H91&lt;&gt;"",INDEX(職員マスタ!$B$6:$B$405,$AP91)&lt;&gt;"",SUBSTITUTE(SUBSTITUTE($H91," ","")," ","")&lt;&gt;SUBSTITUTE(SUBSTITUTE(INDEX(職員マスタ!$B$6:$B$405,$AP91)," ","")," ","")),"氏名がマスタと相違／","")&amp;IF(AND($Q91&lt;&gt;"",INDEX(職員マスタ!$E$6:$E$405,$AP91)&lt;&gt;"",$Q91&lt;&gt;INDEX(職員マスタ!$E$6:$E$405,$AP91)),"子の生年月日がマスタと相違／","")&amp;IF(AND($L91&lt;&gt;"",INDEX(職員マスタ!$G$6:$G$405,$AP91)&lt;&gt;"",$L91&lt;&gt;INDEX(職員マスタ!$G$6:$G$405,$AP91)),"時短開始日がマスタと相違／","")&amp;IF(AND($M91&lt;&gt;"",INDEX(職員マスタ!$H$6:$H$405,$AP91)&lt;&gt;"",$M91&lt;&gt;INDEX(職員マスタ!$H$6:$H$405,$AP91)),"時短終了日がマスタと相違／","")))&amp;IF(AND($B91&lt;&gt;"",$E91=""),"報酬額が未入力／","")&amp;IF(N($U91)&gt;0,"申請書に入力エラーが残っています／","")&amp;IF(AND($B91&lt;&gt;"",$AQ91&lt;&gt;""),IF(COUNTIFS($B$6:$B$3005,$B91,$C$6:$C$3005,$C91,$D$6:$D$3005,$D91)&gt;1,"同じ月の請求が重複しています／",""),"")&amp;IF(AND(N($E91)&gt;0,$AB91&lt;&gt;"",$AB91&lt;&gt;"×",$AE91=0,$AD91=""),"計算額が下限以下のため不支給／",""))</f>
        <v/>
      </c>
      <c r="AN91" s="12" t="n"/>
      <c r="AO91" s="14">
        <f>IF($AF91="保留中",COUNTIF($AF$6:$AF91,"保留中"),"")</f>
        <v/>
      </c>
      <c r="AP91" s="14">
        <f>IF($AQ91="","",IF(SUMPRODUCT(MAX((職員マスタ!$A$6:$A$405=$B91)*(((職員マスタ!$G$6:$G$405="")+(職員マスタ!$G$6:$G$405&lt;=EOMONTH($AQ91,0)))&gt;0)*(((職員マスタ!$H$6:$H$405="")+(職員マスタ!$H$6:$H$405&gt;=$AQ91))&gt;0)*(ROW(職員マスタ!$A$6:$A$405)-5)))&gt;0,SUMPRODUCT(MAX((職員マスタ!$A$6:$A$405=$B91)*(((職員マスタ!$G$6:$G$405="")+(職員マスタ!$G$6:$G$405&lt;=EOMONTH($AQ91,0)))&gt;0)*(((職員マスタ!$H$6:$H$405="")+(職員マスタ!$H$6:$H$405&gt;=$AQ91))&gt;0)*(ROW(職員マスタ!$A$6:$A$405)-5))),IFERROR(MATCH($B91,職員マスタ!$A$6:$A$405,0),"")))</f>
        <v/>
      </c>
      <c r="AQ91" s="16">
        <f>IF(OR($B91="",$C91="",$D91=""),"",DATE($C91+2018,$D91,1))</f>
        <v/>
      </c>
    </row>
    <row r="92">
      <c r="A92" s="11" t="n"/>
      <c r="B92" s="12" t="n">
        <v>6003057</v>
      </c>
      <c r="C92" s="12" t="n">
        <v>7</v>
      </c>
      <c r="D92" s="12" t="n">
        <v>11</v>
      </c>
      <c r="E92" s="13" t="n">
        <v>215640</v>
      </c>
      <c r="F92" s="12" t="n"/>
      <c r="G92" s="13" t="n"/>
      <c r="H92" s="12" t="n"/>
      <c r="I92" s="12" t="n"/>
      <c r="J92" s="12" t="n"/>
      <c r="K92" s="12" t="n"/>
      <c r="L92" s="11" t="n"/>
      <c r="M92" s="11" t="n"/>
      <c r="N92" s="11" t="n"/>
      <c r="O92" s="11" t="n"/>
      <c r="P92" s="12" t="n"/>
      <c r="Q92" s="11" t="n"/>
      <c r="R92" s="12" t="n"/>
      <c r="S92" s="11" t="n"/>
      <c r="T92" s="12" t="n"/>
      <c r="U92" s="12" t="n"/>
      <c r="V92" s="12" t="n"/>
      <c r="W92" s="13" t="n"/>
      <c r="X92" s="14">
        <f>IF($AP92="",IF($B92="","",$H92),IF(INDEX(職員マスタ!$B$6:$B$405,$AP92)="",$H92,INDEX(職員マスタ!$B$6:$B$405,$AP92)))</f>
        <v/>
      </c>
      <c r="Y92" s="14">
        <f>IF($AP92="",IF($B92="","",$R92),IF(INDEX(職員マスタ!$C$6:$C$405,$AP92)="",$R92,INDEX(職員マスタ!$C$6:$C$405,$AP92)))</f>
        <v/>
      </c>
      <c r="Z92" s="14">
        <f>IF($AQ92="","","R"&amp;$C92&amp;"."&amp;$D92)</f>
        <v/>
      </c>
      <c r="AA92" s="15">
        <f>IF(IF($AP92="",FALSE,INDEX(職員マスタ!$K$6:$K$405,$AP92)&lt;&gt;""),INDEX(職員マスタ!$K$6:$K$405,$AP92),IF(N($W92)&gt;0,$W92,""))</f>
        <v/>
      </c>
      <c r="AB92" s="14">
        <f>IF(OR($E92="",$AA92=""),"",IF($E92&gt;=$AA92,"×",IF($E92&gt;=$AA92*設定!$C$5,"△","○")))</f>
        <v/>
      </c>
      <c r="AC92" s="15">
        <f>IF($AB92="","",IF($AB92="×",0,IF($AB92="○",ROUNDDOWN($E92*設定!$C$4,0),ROUNDDOWN($E92*ROUND((9*$AA92-9*$E92)/(10*$E92),4),0))))</f>
        <v/>
      </c>
      <c r="AD92" s="13" t="n"/>
      <c r="AE92" s="15">
        <f>IF($B92="","",IF($AD92&lt;&gt;"",$AD92,IF($AC92="","",IF($AC92&lt;=設定!$C$3,0,$AC92))))</f>
        <v/>
      </c>
      <c r="AF92" s="14">
        <f>IF($B92="","",IF(AND($AG92&lt;&gt;"",$AI92="",$AL92=""),"保留中",IF($AL92&lt;&gt;"",IF(N($AE92)&gt;0,"支給済","不支給"),IF($AE92="","要確認",IF($AE92=0,"不支給","未処理")))))</f>
        <v/>
      </c>
      <c r="AG92" s="12" t="n"/>
      <c r="AH92" s="11" t="n"/>
      <c r="AI92" s="11" t="n"/>
      <c r="AJ92" s="11" t="n"/>
      <c r="AK92" s="14">
        <f>IF(AND($AF92="保留中",$AH92&lt;&gt;""),TODAY()-$AH92,"")</f>
        <v/>
      </c>
      <c r="AL92" s="12" t="inlineStr">
        <is>
          <t>R8.1</t>
        </is>
      </c>
      <c r="AM92" s="14">
        <f>IF($B92="","",IF($AQ92="","対象年月が未入力／","")&amp;IF($B92="","",IF($AP92="","職員マスタに未登録の職員番号／",IF($AA92="","標準報酬月額が未登録／","")&amp;IF(AND($AQ92&lt;&gt;"",OR(AND(INDEX(職員マスタ!$G$6:$G$405,$AP92)&lt;&gt;"",INDEX(職員マスタ!$G$6:$G$405,$AP92)&gt;EOMONTH($AQ92,0)),AND(INDEX(職員マスタ!$H$6:$H$405,$AP92)&lt;&gt;"",INDEX(職員マスタ!$H$6:$H$405,$AP92)&lt;$AQ92))),"対象月が時短期間外／","")&amp;IF(AND(INDEX(職員マスタ!$K$6:$K$405,$AP92)&lt;&gt;"",N($W92)&gt;0,INDEX(職員マスタ!$K$6:$K$405,$AP92)&lt;&gt;$W92),"標準報酬月額が申請書と相違（台帳"&amp;TEXT(INDEX(職員マスタ!$K$6:$K$405,$AP92),"#,##0")&amp;"円／申請書"&amp;TEXT($W92,"#,##0")&amp;"円）／","")&amp;IF(AND(INDEX(職員マスタ!$F$6:$F$405,$AP92)&lt;&gt;"",$AQ92&lt;&gt;"",INDEX(職員マスタ!$F$6:$F$405,$AP92)&lt;$AQ92),"対象月に子が2歳到達済／","")&amp;IF(AND($H92&lt;&gt;"",INDEX(職員マスタ!$B$6:$B$405,$AP92)&lt;&gt;"",SUBSTITUTE(SUBSTITUTE($H92," ","")," ","")&lt;&gt;SUBSTITUTE(SUBSTITUTE(INDEX(職員マスタ!$B$6:$B$405,$AP92)," ","")," ","")),"氏名がマスタと相違／","")&amp;IF(AND($Q92&lt;&gt;"",INDEX(職員マスタ!$E$6:$E$405,$AP92)&lt;&gt;"",$Q92&lt;&gt;INDEX(職員マスタ!$E$6:$E$405,$AP92)),"子の生年月日がマスタと相違／","")&amp;IF(AND($L92&lt;&gt;"",INDEX(職員マスタ!$G$6:$G$405,$AP92)&lt;&gt;"",$L92&lt;&gt;INDEX(職員マスタ!$G$6:$G$405,$AP92)),"時短開始日がマスタと相違／","")&amp;IF(AND($M92&lt;&gt;"",INDEX(職員マスタ!$H$6:$H$405,$AP92)&lt;&gt;"",$M92&lt;&gt;INDEX(職員マスタ!$H$6:$H$405,$AP92)),"時短終了日がマスタと相違／","")))&amp;IF(AND($B92&lt;&gt;"",$E92=""),"報酬額が未入力／","")&amp;IF(N($U92)&gt;0,"申請書に入力エラーが残っています／","")&amp;IF(AND($B92&lt;&gt;"",$AQ92&lt;&gt;""),IF(COUNTIFS($B$6:$B$3005,$B92,$C$6:$C$3005,$C92,$D$6:$D$3005,$D92)&gt;1,"同じ月の請求が重複しています／",""),"")&amp;IF(AND(N($E92)&gt;0,$AB92&lt;&gt;"",$AB92&lt;&gt;"×",$AE92=0,$AD92=""),"計算額が下限以下のため不支給／",""))</f>
        <v/>
      </c>
      <c r="AN92" s="12" t="n"/>
      <c r="AO92" s="14">
        <f>IF($AF92="保留中",COUNTIF($AF$6:$AF92,"保留中"),"")</f>
        <v/>
      </c>
      <c r="AP92" s="14">
        <f>IF($AQ92="","",IF(SUMPRODUCT(MAX((職員マスタ!$A$6:$A$405=$B92)*(((職員マスタ!$G$6:$G$405="")+(職員マスタ!$G$6:$G$405&lt;=EOMONTH($AQ92,0)))&gt;0)*(((職員マスタ!$H$6:$H$405="")+(職員マスタ!$H$6:$H$405&gt;=$AQ92))&gt;0)*(ROW(職員マスタ!$A$6:$A$405)-5)))&gt;0,SUMPRODUCT(MAX((職員マスタ!$A$6:$A$405=$B92)*(((職員マスタ!$G$6:$G$405="")+(職員マスタ!$G$6:$G$405&lt;=EOMONTH($AQ92,0)))&gt;0)*(((職員マスタ!$H$6:$H$405="")+(職員マスタ!$H$6:$H$405&gt;=$AQ92))&gt;0)*(ROW(職員マスタ!$A$6:$A$405)-5))),IFERROR(MATCH($B92,職員マスタ!$A$6:$A$405,0),"")))</f>
        <v/>
      </c>
      <c r="AQ92" s="16">
        <f>IF(OR($B92="",$C92="",$D92=""),"",DATE($C92+2018,$D92,1))</f>
        <v/>
      </c>
    </row>
    <row r="93">
      <c r="A93" s="11" t="n"/>
      <c r="B93" s="12" t="n">
        <v>6003057</v>
      </c>
      <c r="C93" s="12" t="n">
        <v>7</v>
      </c>
      <c r="D93" s="12" t="n">
        <v>12</v>
      </c>
      <c r="E93" s="13" t="n">
        <v>227463</v>
      </c>
      <c r="F93" s="12" t="n"/>
      <c r="G93" s="13" t="n"/>
      <c r="H93" s="12" t="n"/>
      <c r="I93" s="12" t="n"/>
      <c r="J93" s="12" t="n"/>
      <c r="K93" s="12" t="n"/>
      <c r="L93" s="11" t="n"/>
      <c r="M93" s="11" t="n"/>
      <c r="N93" s="11" t="n"/>
      <c r="O93" s="11" t="n"/>
      <c r="P93" s="12" t="n"/>
      <c r="Q93" s="11" t="n"/>
      <c r="R93" s="12" t="n"/>
      <c r="S93" s="11" t="n"/>
      <c r="T93" s="12" t="n"/>
      <c r="U93" s="12" t="n"/>
      <c r="V93" s="12" t="n"/>
      <c r="W93" s="13" t="n"/>
      <c r="X93" s="14">
        <f>IF($AP93="",IF($B93="","",$H93),IF(INDEX(職員マスタ!$B$6:$B$405,$AP93)="",$H93,INDEX(職員マスタ!$B$6:$B$405,$AP93)))</f>
        <v/>
      </c>
      <c r="Y93" s="14">
        <f>IF($AP93="",IF($B93="","",$R93),IF(INDEX(職員マスタ!$C$6:$C$405,$AP93)="",$R93,INDEX(職員マスタ!$C$6:$C$405,$AP93)))</f>
        <v/>
      </c>
      <c r="Z93" s="14">
        <f>IF($AQ93="","","R"&amp;$C93&amp;"."&amp;$D93)</f>
        <v/>
      </c>
      <c r="AA93" s="15">
        <f>IF(IF($AP93="",FALSE,INDEX(職員マスタ!$K$6:$K$405,$AP93)&lt;&gt;""),INDEX(職員マスタ!$K$6:$K$405,$AP93),IF(N($W93)&gt;0,$W93,""))</f>
        <v/>
      </c>
      <c r="AB93" s="14">
        <f>IF(OR($E93="",$AA93=""),"",IF($E93&gt;=$AA93,"×",IF($E93&gt;=$AA93*設定!$C$5,"△","○")))</f>
        <v/>
      </c>
      <c r="AC93" s="15">
        <f>IF($AB93="","",IF($AB93="×",0,IF($AB93="○",ROUNDDOWN($E93*設定!$C$4,0),ROUNDDOWN($E93*ROUND((9*$AA93-9*$E93)/(10*$E93),4),0))))</f>
        <v/>
      </c>
      <c r="AD93" s="13" t="n"/>
      <c r="AE93" s="15">
        <f>IF($B93="","",IF($AD93&lt;&gt;"",$AD93,IF($AC93="","",IF($AC93&lt;=設定!$C$3,0,$AC93))))</f>
        <v/>
      </c>
      <c r="AF93" s="14">
        <f>IF($B93="","",IF(AND($AG93&lt;&gt;"",$AI93="",$AL93=""),"保留中",IF($AL93&lt;&gt;"",IF(N($AE93)&gt;0,"支給済","不支給"),IF($AE93="","要確認",IF($AE93=0,"不支給","未処理")))))</f>
        <v/>
      </c>
      <c r="AG93" s="12" t="n"/>
      <c r="AH93" s="11" t="n"/>
      <c r="AI93" s="11" t="n"/>
      <c r="AJ93" s="11" t="n"/>
      <c r="AK93" s="14">
        <f>IF(AND($AF93="保留中",$AH93&lt;&gt;""),TODAY()-$AH93,"")</f>
        <v/>
      </c>
      <c r="AL93" s="12" t="inlineStr">
        <is>
          <t>R8.2</t>
        </is>
      </c>
      <c r="AM93" s="14">
        <f>IF($B93="","",IF($AQ93="","対象年月が未入力／","")&amp;IF($B93="","",IF($AP93="","職員マスタに未登録の職員番号／",IF($AA93="","標準報酬月額が未登録／","")&amp;IF(AND($AQ93&lt;&gt;"",OR(AND(INDEX(職員マスタ!$G$6:$G$405,$AP93)&lt;&gt;"",INDEX(職員マスタ!$G$6:$G$405,$AP93)&gt;EOMONTH($AQ93,0)),AND(INDEX(職員マスタ!$H$6:$H$405,$AP93)&lt;&gt;"",INDEX(職員マスタ!$H$6:$H$405,$AP93)&lt;$AQ93))),"対象月が時短期間外／","")&amp;IF(AND(INDEX(職員マスタ!$K$6:$K$405,$AP93)&lt;&gt;"",N($W93)&gt;0,INDEX(職員マスタ!$K$6:$K$405,$AP93)&lt;&gt;$W93),"標準報酬月額が申請書と相違（台帳"&amp;TEXT(INDEX(職員マスタ!$K$6:$K$405,$AP93),"#,##0")&amp;"円／申請書"&amp;TEXT($W93,"#,##0")&amp;"円）／","")&amp;IF(AND(INDEX(職員マスタ!$F$6:$F$405,$AP93)&lt;&gt;"",$AQ93&lt;&gt;"",INDEX(職員マスタ!$F$6:$F$405,$AP93)&lt;$AQ93),"対象月に子が2歳到達済／","")&amp;IF(AND($H93&lt;&gt;"",INDEX(職員マスタ!$B$6:$B$405,$AP93)&lt;&gt;"",SUBSTITUTE(SUBSTITUTE($H93," ","")," ","")&lt;&gt;SUBSTITUTE(SUBSTITUTE(INDEX(職員マスタ!$B$6:$B$405,$AP93)," ","")," ","")),"氏名がマスタと相違／","")&amp;IF(AND($Q93&lt;&gt;"",INDEX(職員マスタ!$E$6:$E$405,$AP93)&lt;&gt;"",$Q93&lt;&gt;INDEX(職員マスタ!$E$6:$E$405,$AP93)),"子の生年月日がマスタと相違／","")&amp;IF(AND($L93&lt;&gt;"",INDEX(職員マスタ!$G$6:$G$405,$AP93)&lt;&gt;"",$L93&lt;&gt;INDEX(職員マスタ!$G$6:$G$405,$AP93)),"時短開始日がマスタと相違／","")&amp;IF(AND($M93&lt;&gt;"",INDEX(職員マスタ!$H$6:$H$405,$AP93)&lt;&gt;"",$M93&lt;&gt;INDEX(職員マスタ!$H$6:$H$405,$AP93)),"時短終了日がマスタと相違／","")))&amp;IF(AND($B93&lt;&gt;"",$E93=""),"報酬額が未入力／","")&amp;IF(N($U93)&gt;0,"申請書に入力エラーが残っています／","")&amp;IF(AND($B93&lt;&gt;"",$AQ93&lt;&gt;""),IF(COUNTIFS($B$6:$B$3005,$B93,$C$6:$C$3005,$C93,$D$6:$D$3005,$D93)&gt;1,"同じ月の請求が重複しています／",""),"")&amp;IF(AND(N($E93)&gt;0,$AB93&lt;&gt;"",$AB93&lt;&gt;"×",$AE93=0,$AD93=""),"計算額が下限以下のため不支給／",""))</f>
        <v/>
      </c>
      <c r="AN93" s="12" t="n"/>
      <c r="AO93" s="14">
        <f>IF($AF93="保留中",COUNTIF($AF$6:$AF93,"保留中"),"")</f>
        <v/>
      </c>
      <c r="AP93" s="14">
        <f>IF($AQ93="","",IF(SUMPRODUCT(MAX((職員マスタ!$A$6:$A$405=$B93)*(((職員マスタ!$G$6:$G$405="")+(職員マスタ!$G$6:$G$405&lt;=EOMONTH($AQ93,0)))&gt;0)*(((職員マスタ!$H$6:$H$405="")+(職員マスタ!$H$6:$H$405&gt;=$AQ93))&gt;0)*(ROW(職員マスタ!$A$6:$A$405)-5)))&gt;0,SUMPRODUCT(MAX((職員マスタ!$A$6:$A$405=$B93)*(((職員マスタ!$G$6:$G$405="")+(職員マスタ!$G$6:$G$405&lt;=EOMONTH($AQ93,0)))&gt;0)*(((職員マスタ!$H$6:$H$405="")+(職員マスタ!$H$6:$H$405&gt;=$AQ93))&gt;0)*(ROW(職員マスタ!$A$6:$A$405)-5))),IFERROR(MATCH($B93,職員マスタ!$A$6:$A$405,0),"")))</f>
        <v/>
      </c>
      <c r="AQ93" s="16">
        <f>IF(OR($B93="",$C93="",$D93=""),"",DATE($C93+2018,$D93,1))</f>
        <v/>
      </c>
    </row>
    <row r="94">
      <c r="A94" s="11" t="n"/>
      <c r="B94" s="12" t="n">
        <v>6003057</v>
      </c>
      <c r="C94" s="12" t="n">
        <v>8</v>
      </c>
      <c r="D94" s="12" t="n">
        <v>1</v>
      </c>
      <c r="E94" s="13" t="n">
        <v>220776</v>
      </c>
      <c r="F94" s="12" t="n"/>
      <c r="G94" s="13" t="n"/>
      <c r="H94" s="12" t="n"/>
      <c r="I94" s="12" t="n"/>
      <c r="J94" s="12" t="n"/>
      <c r="K94" s="12" t="n"/>
      <c r="L94" s="11" t="n"/>
      <c r="M94" s="11" t="n"/>
      <c r="N94" s="11" t="n"/>
      <c r="O94" s="11" t="n"/>
      <c r="P94" s="12" t="n"/>
      <c r="Q94" s="11" t="n"/>
      <c r="R94" s="12" t="n"/>
      <c r="S94" s="11" t="n"/>
      <c r="T94" s="12" t="n"/>
      <c r="U94" s="12" t="n"/>
      <c r="V94" s="12" t="n"/>
      <c r="W94" s="13" t="n"/>
      <c r="X94" s="14">
        <f>IF($AP94="",IF($B94="","",$H94),IF(INDEX(職員マスタ!$B$6:$B$405,$AP94)="",$H94,INDEX(職員マスタ!$B$6:$B$405,$AP94)))</f>
        <v/>
      </c>
      <c r="Y94" s="14">
        <f>IF($AP94="",IF($B94="","",$R94),IF(INDEX(職員マスタ!$C$6:$C$405,$AP94)="",$R94,INDEX(職員マスタ!$C$6:$C$405,$AP94)))</f>
        <v/>
      </c>
      <c r="Z94" s="14">
        <f>IF($AQ94="","","R"&amp;$C94&amp;"."&amp;$D94)</f>
        <v/>
      </c>
      <c r="AA94" s="15">
        <f>IF(IF($AP94="",FALSE,INDEX(職員マスタ!$K$6:$K$405,$AP94)&lt;&gt;""),INDEX(職員マスタ!$K$6:$K$405,$AP94),IF(N($W94)&gt;0,$W94,""))</f>
        <v/>
      </c>
      <c r="AB94" s="14">
        <f>IF(OR($E94="",$AA94=""),"",IF($E94&gt;=$AA94,"×",IF($E94&gt;=$AA94*設定!$C$5,"△","○")))</f>
        <v/>
      </c>
      <c r="AC94" s="15">
        <f>IF($AB94="","",IF($AB94="×",0,IF($AB94="○",ROUNDDOWN($E94*設定!$C$4,0),ROUNDDOWN($E94*ROUND((9*$AA94-9*$E94)/(10*$E94),4),0))))</f>
        <v/>
      </c>
      <c r="AD94" s="13" t="n"/>
      <c r="AE94" s="15">
        <f>IF($B94="","",IF($AD94&lt;&gt;"",$AD94,IF($AC94="","",IF($AC94&lt;=設定!$C$3,0,$AC94))))</f>
        <v/>
      </c>
      <c r="AF94" s="14">
        <f>IF($B94="","",IF(AND($AG94&lt;&gt;"",$AI94="",$AL94=""),"保留中",IF($AL94&lt;&gt;"",IF(N($AE94)&gt;0,"支給済","不支給"),IF($AE94="","要確認",IF($AE94=0,"不支給","未処理")))))</f>
        <v/>
      </c>
      <c r="AG94" s="12" t="n"/>
      <c r="AH94" s="11" t="n"/>
      <c r="AI94" s="11" t="n"/>
      <c r="AJ94" s="11" t="n"/>
      <c r="AK94" s="14">
        <f>IF(AND($AF94="保留中",$AH94&lt;&gt;""),TODAY()-$AH94,"")</f>
        <v/>
      </c>
      <c r="AL94" s="12" t="inlineStr">
        <is>
          <t>R8.3</t>
        </is>
      </c>
      <c r="AM94" s="14">
        <f>IF($B94="","",IF($AQ94="","対象年月が未入力／","")&amp;IF($B94="","",IF($AP94="","職員マスタに未登録の職員番号／",IF($AA94="","標準報酬月額が未登録／","")&amp;IF(AND($AQ94&lt;&gt;"",OR(AND(INDEX(職員マスタ!$G$6:$G$405,$AP94)&lt;&gt;"",INDEX(職員マスタ!$G$6:$G$405,$AP94)&gt;EOMONTH($AQ94,0)),AND(INDEX(職員マスタ!$H$6:$H$405,$AP94)&lt;&gt;"",INDEX(職員マスタ!$H$6:$H$405,$AP94)&lt;$AQ94))),"対象月が時短期間外／","")&amp;IF(AND(INDEX(職員マスタ!$K$6:$K$405,$AP94)&lt;&gt;"",N($W94)&gt;0,INDEX(職員マスタ!$K$6:$K$405,$AP94)&lt;&gt;$W94),"標準報酬月額が申請書と相違（台帳"&amp;TEXT(INDEX(職員マスタ!$K$6:$K$405,$AP94),"#,##0")&amp;"円／申請書"&amp;TEXT($W94,"#,##0")&amp;"円）／","")&amp;IF(AND(INDEX(職員マスタ!$F$6:$F$405,$AP94)&lt;&gt;"",$AQ94&lt;&gt;"",INDEX(職員マスタ!$F$6:$F$405,$AP94)&lt;$AQ94),"対象月に子が2歳到達済／","")&amp;IF(AND($H94&lt;&gt;"",INDEX(職員マスタ!$B$6:$B$405,$AP94)&lt;&gt;"",SUBSTITUTE(SUBSTITUTE($H94," ","")," ","")&lt;&gt;SUBSTITUTE(SUBSTITUTE(INDEX(職員マスタ!$B$6:$B$405,$AP94)," ","")," ","")),"氏名がマスタと相違／","")&amp;IF(AND($Q94&lt;&gt;"",INDEX(職員マスタ!$E$6:$E$405,$AP94)&lt;&gt;"",$Q94&lt;&gt;INDEX(職員マスタ!$E$6:$E$405,$AP94)),"子の生年月日がマスタと相違／","")&amp;IF(AND($L94&lt;&gt;"",INDEX(職員マスタ!$G$6:$G$405,$AP94)&lt;&gt;"",$L94&lt;&gt;INDEX(職員マスタ!$G$6:$G$405,$AP94)),"時短開始日がマスタと相違／","")&amp;IF(AND($M94&lt;&gt;"",INDEX(職員マスタ!$H$6:$H$405,$AP94)&lt;&gt;"",$M94&lt;&gt;INDEX(職員マスタ!$H$6:$H$405,$AP94)),"時短終了日がマスタと相違／","")))&amp;IF(AND($B94&lt;&gt;"",$E94=""),"報酬額が未入力／","")&amp;IF(N($U94)&gt;0,"申請書に入力エラーが残っています／","")&amp;IF(AND($B94&lt;&gt;"",$AQ94&lt;&gt;""),IF(COUNTIFS($B$6:$B$3005,$B94,$C$6:$C$3005,$C94,$D$6:$D$3005,$D94)&gt;1,"同じ月の請求が重複しています／",""),"")&amp;IF(AND(N($E94)&gt;0,$AB94&lt;&gt;"",$AB94&lt;&gt;"×",$AE94=0,$AD94=""),"計算額が下限以下のため不支給／",""))</f>
        <v/>
      </c>
      <c r="AN94" s="12" t="n"/>
      <c r="AO94" s="14">
        <f>IF($AF94="保留中",COUNTIF($AF$6:$AF94,"保留中"),"")</f>
        <v/>
      </c>
      <c r="AP94" s="14">
        <f>IF($AQ94="","",IF(SUMPRODUCT(MAX((職員マスタ!$A$6:$A$405=$B94)*(((職員マスタ!$G$6:$G$405="")+(職員マスタ!$G$6:$G$405&lt;=EOMONTH($AQ94,0)))&gt;0)*(((職員マスタ!$H$6:$H$405="")+(職員マスタ!$H$6:$H$405&gt;=$AQ94))&gt;0)*(ROW(職員マスタ!$A$6:$A$405)-5)))&gt;0,SUMPRODUCT(MAX((職員マスタ!$A$6:$A$405=$B94)*(((職員マスタ!$G$6:$G$405="")+(職員マスタ!$G$6:$G$405&lt;=EOMONTH($AQ94,0)))&gt;0)*(((職員マスタ!$H$6:$H$405="")+(職員マスタ!$H$6:$H$405&gt;=$AQ94))&gt;0)*(ROW(職員マスタ!$A$6:$A$405)-5))),IFERROR(MATCH($B94,職員マスタ!$A$6:$A$405,0),"")))</f>
        <v/>
      </c>
      <c r="AQ94" s="16">
        <f>IF(OR($B94="",$C94="",$D94=""),"",DATE($C94+2018,$D94,1))</f>
        <v/>
      </c>
    </row>
    <row r="95">
      <c r="A95" s="11" t="n"/>
      <c r="B95" s="12" t="n">
        <v>6003057</v>
      </c>
      <c r="C95" s="12" t="n">
        <v>8</v>
      </c>
      <c r="D95" s="12" t="n">
        <v>2</v>
      </c>
      <c r="E95" s="13" t="n">
        <v>224567</v>
      </c>
      <c r="F95" s="12" t="n"/>
      <c r="G95" s="13" t="n"/>
      <c r="H95" s="12" t="n"/>
      <c r="I95" s="12" t="n"/>
      <c r="J95" s="12" t="n"/>
      <c r="K95" s="12" t="n"/>
      <c r="L95" s="11" t="n"/>
      <c r="M95" s="11" t="n"/>
      <c r="N95" s="11" t="n"/>
      <c r="O95" s="11" t="n"/>
      <c r="P95" s="12" t="n"/>
      <c r="Q95" s="11" t="n"/>
      <c r="R95" s="12" t="n"/>
      <c r="S95" s="11" t="n"/>
      <c r="T95" s="12" t="n"/>
      <c r="U95" s="12" t="n"/>
      <c r="V95" s="12" t="n"/>
      <c r="W95" s="13" t="n"/>
      <c r="X95" s="14">
        <f>IF($AP95="",IF($B95="","",$H95),IF(INDEX(職員マスタ!$B$6:$B$405,$AP95)="",$H95,INDEX(職員マスタ!$B$6:$B$405,$AP95)))</f>
        <v/>
      </c>
      <c r="Y95" s="14">
        <f>IF($AP95="",IF($B95="","",$R95),IF(INDEX(職員マスタ!$C$6:$C$405,$AP95)="",$R95,INDEX(職員マスタ!$C$6:$C$405,$AP95)))</f>
        <v/>
      </c>
      <c r="Z95" s="14">
        <f>IF($AQ95="","","R"&amp;$C95&amp;"."&amp;$D95)</f>
        <v/>
      </c>
      <c r="AA95" s="15">
        <f>IF(IF($AP95="",FALSE,INDEX(職員マスタ!$K$6:$K$405,$AP95)&lt;&gt;""),INDEX(職員マスタ!$K$6:$K$405,$AP95),IF(N($W95)&gt;0,$W95,""))</f>
        <v/>
      </c>
      <c r="AB95" s="14">
        <f>IF(OR($E95="",$AA95=""),"",IF($E95&gt;=$AA95,"×",IF($E95&gt;=$AA95*設定!$C$5,"△","○")))</f>
        <v/>
      </c>
      <c r="AC95" s="15">
        <f>IF($AB95="","",IF($AB95="×",0,IF($AB95="○",ROUNDDOWN($E95*設定!$C$4,0),ROUNDDOWN($E95*ROUND((9*$AA95-9*$E95)/(10*$E95),4),0))))</f>
        <v/>
      </c>
      <c r="AD95" s="13" t="n"/>
      <c r="AE95" s="15">
        <f>IF($B95="","",IF($AD95&lt;&gt;"",$AD95,IF($AC95="","",IF($AC95&lt;=設定!$C$3,0,$AC95))))</f>
        <v/>
      </c>
      <c r="AF95" s="14">
        <f>IF($B95="","",IF(AND($AG95&lt;&gt;"",$AI95="",$AL95=""),"保留中",IF($AL95&lt;&gt;"",IF(N($AE95)&gt;0,"支給済","不支給"),IF($AE95="","要確認",IF($AE95=0,"不支給","未処理")))))</f>
        <v/>
      </c>
      <c r="AG95" s="12" t="n"/>
      <c r="AH95" s="11" t="n"/>
      <c r="AI95" s="11" t="n"/>
      <c r="AJ95" s="11" t="n"/>
      <c r="AK95" s="14">
        <f>IF(AND($AF95="保留中",$AH95&lt;&gt;""),TODAY()-$AH95,"")</f>
        <v/>
      </c>
      <c r="AL95" s="12" t="inlineStr">
        <is>
          <t>R8.4</t>
        </is>
      </c>
      <c r="AM95" s="14">
        <f>IF($B95="","",IF($AQ95="","対象年月が未入力／","")&amp;IF($B95="","",IF($AP95="","職員マスタに未登録の職員番号／",IF($AA95="","標準報酬月額が未登録／","")&amp;IF(AND($AQ95&lt;&gt;"",OR(AND(INDEX(職員マスタ!$G$6:$G$405,$AP95)&lt;&gt;"",INDEX(職員マスタ!$G$6:$G$405,$AP95)&gt;EOMONTH($AQ95,0)),AND(INDEX(職員マスタ!$H$6:$H$405,$AP95)&lt;&gt;"",INDEX(職員マスタ!$H$6:$H$405,$AP95)&lt;$AQ95))),"対象月が時短期間外／","")&amp;IF(AND(INDEX(職員マスタ!$K$6:$K$405,$AP95)&lt;&gt;"",N($W95)&gt;0,INDEX(職員マスタ!$K$6:$K$405,$AP95)&lt;&gt;$W95),"標準報酬月額が申請書と相違（台帳"&amp;TEXT(INDEX(職員マスタ!$K$6:$K$405,$AP95),"#,##0")&amp;"円／申請書"&amp;TEXT($W95,"#,##0")&amp;"円）／","")&amp;IF(AND(INDEX(職員マスタ!$F$6:$F$405,$AP95)&lt;&gt;"",$AQ95&lt;&gt;"",INDEX(職員マスタ!$F$6:$F$405,$AP95)&lt;$AQ95),"対象月に子が2歳到達済／","")&amp;IF(AND($H95&lt;&gt;"",INDEX(職員マスタ!$B$6:$B$405,$AP95)&lt;&gt;"",SUBSTITUTE(SUBSTITUTE($H95," ","")," ","")&lt;&gt;SUBSTITUTE(SUBSTITUTE(INDEX(職員マスタ!$B$6:$B$405,$AP95)," ","")," ","")),"氏名がマスタと相違／","")&amp;IF(AND($Q95&lt;&gt;"",INDEX(職員マスタ!$E$6:$E$405,$AP95)&lt;&gt;"",$Q95&lt;&gt;INDEX(職員マスタ!$E$6:$E$405,$AP95)),"子の生年月日がマスタと相違／","")&amp;IF(AND($L95&lt;&gt;"",INDEX(職員マスタ!$G$6:$G$405,$AP95)&lt;&gt;"",$L95&lt;&gt;INDEX(職員マスタ!$G$6:$G$405,$AP95)),"時短開始日がマスタと相違／","")&amp;IF(AND($M95&lt;&gt;"",INDEX(職員マスタ!$H$6:$H$405,$AP95)&lt;&gt;"",$M95&lt;&gt;INDEX(職員マスタ!$H$6:$H$405,$AP95)),"時短終了日がマスタと相違／","")))&amp;IF(AND($B95&lt;&gt;"",$E95=""),"報酬額が未入力／","")&amp;IF(N($U95)&gt;0,"申請書に入力エラーが残っています／","")&amp;IF(AND($B95&lt;&gt;"",$AQ95&lt;&gt;""),IF(COUNTIFS($B$6:$B$3005,$B95,$C$6:$C$3005,$C95,$D$6:$D$3005,$D95)&gt;1,"同じ月の請求が重複しています／",""),"")&amp;IF(AND(N($E95)&gt;0,$AB95&lt;&gt;"",$AB95&lt;&gt;"×",$AE95=0,$AD95=""),"計算額が下限以下のため不支給／",""))</f>
        <v/>
      </c>
      <c r="AN95" s="12" t="n"/>
      <c r="AO95" s="14">
        <f>IF($AF95="保留中",COUNTIF($AF$6:$AF95,"保留中"),"")</f>
        <v/>
      </c>
      <c r="AP95" s="14">
        <f>IF($AQ95="","",IF(SUMPRODUCT(MAX((職員マスタ!$A$6:$A$405=$B95)*(((職員マスタ!$G$6:$G$405="")+(職員マスタ!$G$6:$G$405&lt;=EOMONTH($AQ95,0)))&gt;0)*(((職員マスタ!$H$6:$H$405="")+(職員マスタ!$H$6:$H$405&gt;=$AQ95))&gt;0)*(ROW(職員マスタ!$A$6:$A$405)-5)))&gt;0,SUMPRODUCT(MAX((職員マスタ!$A$6:$A$405=$B95)*(((職員マスタ!$G$6:$G$405="")+(職員マスタ!$G$6:$G$405&lt;=EOMONTH($AQ95,0)))&gt;0)*(((職員マスタ!$H$6:$H$405="")+(職員マスタ!$H$6:$H$405&gt;=$AQ95))&gt;0)*(ROW(職員マスタ!$A$6:$A$405)-5))),IFERROR(MATCH($B95,職員マスタ!$A$6:$A$405,0),"")))</f>
        <v/>
      </c>
      <c r="AQ95" s="16">
        <f>IF(OR($B95="",$C95="",$D95=""),"",DATE($C95+2018,$D95,1))</f>
        <v/>
      </c>
    </row>
    <row r="96">
      <c r="A96" s="11" t="n"/>
      <c r="B96" s="12" t="n">
        <v>6003057</v>
      </c>
      <c r="C96" s="12" t="n">
        <v>8</v>
      </c>
      <c r="D96" s="12" t="n">
        <v>3</v>
      </c>
      <c r="E96" s="13" t="n">
        <v>220776</v>
      </c>
      <c r="F96" s="12" t="n"/>
      <c r="G96" s="13" t="n"/>
      <c r="H96" s="12" t="n"/>
      <c r="I96" s="12" t="n"/>
      <c r="J96" s="12" t="n"/>
      <c r="K96" s="12" t="n"/>
      <c r="L96" s="11" t="n"/>
      <c r="M96" s="11" t="n"/>
      <c r="N96" s="11" t="n"/>
      <c r="O96" s="11" t="n"/>
      <c r="P96" s="12" t="n"/>
      <c r="Q96" s="11" t="n"/>
      <c r="R96" s="12" t="n"/>
      <c r="S96" s="11" t="n"/>
      <c r="T96" s="12" t="n"/>
      <c r="U96" s="12" t="n"/>
      <c r="V96" s="12" t="n"/>
      <c r="W96" s="13" t="n"/>
      <c r="X96" s="14">
        <f>IF($AP96="",IF($B96="","",$H96),IF(INDEX(職員マスタ!$B$6:$B$405,$AP96)="",$H96,INDEX(職員マスタ!$B$6:$B$405,$AP96)))</f>
        <v/>
      </c>
      <c r="Y96" s="14">
        <f>IF($AP96="",IF($B96="","",$R96),IF(INDEX(職員マスタ!$C$6:$C$405,$AP96)="",$R96,INDEX(職員マスタ!$C$6:$C$405,$AP96)))</f>
        <v/>
      </c>
      <c r="Z96" s="14">
        <f>IF($AQ96="","","R"&amp;$C96&amp;"."&amp;$D96)</f>
        <v/>
      </c>
      <c r="AA96" s="15">
        <f>IF(IF($AP96="",FALSE,INDEX(職員マスタ!$K$6:$K$405,$AP96)&lt;&gt;""),INDEX(職員マスタ!$K$6:$K$405,$AP96),IF(N($W96)&gt;0,$W96,""))</f>
        <v/>
      </c>
      <c r="AB96" s="14">
        <f>IF(OR($E96="",$AA96=""),"",IF($E96&gt;=$AA96,"×",IF($E96&gt;=$AA96*設定!$C$5,"△","○")))</f>
        <v/>
      </c>
      <c r="AC96" s="15">
        <f>IF($AB96="","",IF($AB96="×",0,IF($AB96="○",ROUNDDOWN($E96*設定!$C$4,0),ROUNDDOWN($E96*ROUND((9*$AA96-9*$E96)/(10*$E96),4),0))))</f>
        <v/>
      </c>
      <c r="AD96" s="13" t="n"/>
      <c r="AE96" s="15">
        <f>IF($B96="","",IF($AD96&lt;&gt;"",$AD96,IF($AC96="","",IF($AC96&lt;=設定!$C$3,0,$AC96))))</f>
        <v/>
      </c>
      <c r="AF96" s="14">
        <f>IF($B96="","",IF(AND($AG96&lt;&gt;"",$AI96="",$AL96=""),"保留中",IF($AL96&lt;&gt;"",IF(N($AE96)&gt;0,"支給済","不支給"),IF($AE96="","要確認",IF($AE96=0,"不支給","未処理")))))</f>
        <v/>
      </c>
      <c r="AG96" s="12" t="n"/>
      <c r="AH96" s="11" t="n"/>
      <c r="AI96" s="11" t="n"/>
      <c r="AJ96" s="11" t="n"/>
      <c r="AK96" s="14">
        <f>IF(AND($AF96="保留中",$AH96&lt;&gt;""),TODAY()-$AH96,"")</f>
        <v/>
      </c>
      <c r="AL96" s="12" t="inlineStr">
        <is>
          <t>R8.5</t>
        </is>
      </c>
      <c r="AM96" s="14">
        <f>IF($B96="","",IF($AQ96="","対象年月が未入力／","")&amp;IF($B96="","",IF($AP96="","職員マスタに未登録の職員番号／",IF($AA96="","標準報酬月額が未登録／","")&amp;IF(AND($AQ96&lt;&gt;"",OR(AND(INDEX(職員マスタ!$G$6:$G$405,$AP96)&lt;&gt;"",INDEX(職員マスタ!$G$6:$G$405,$AP96)&gt;EOMONTH($AQ96,0)),AND(INDEX(職員マスタ!$H$6:$H$405,$AP96)&lt;&gt;"",INDEX(職員マスタ!$H$6:$H$405,$AP96)&lt;$AQ96))),"対象月が時短期間外／","")&amp;IF(AND(INDEX(職員マスタ!$K$6:$K$405,$AP96)&lt;&gt;"",N($W96)&gt;0,INDEX(職員マスタ!$K$6:$K$405,$AP96)&lt;&gt;$W96),"標準報酬月額が申請書と相違（台帳"&amp;TEXT(INDEX(職員マスタ!$K$6:$K$405,$AP96),"#,##0")&amp;"円／申請書"&amp;TEXT($W96,"#,##0")&amp;"円）／","")&amp;IF(AND(INDEX(職員マスタ!$F$6:$F$405,$AP96)&lt;&gt;"",$AQ96&lt;&gt;"",INDEX(職員マスタ!$F$6:$F$405,$AP96)&lt;$AQ96),"対象月に子が2歳到達済／","")&amp;IF(AND($H96&lt;&gt;"",INDEX(職員マスタ!$B$6:$B$405,$AP96)&lt;&gt;"",SUBSTITUTE(SUBSTITUTE($H96," ","")," ","")&lt;&gt;SUBSTITUTE(SUBSTITUTE(INDEX(職員マスタ!$B$6:$B$405,$AP96)," ","")," ","")),"氏名がマスタと相違／","")&amp;IF(AND($Q96&lt;&gt;"",INDEX(職員マスタ!$E$6:$E$405,$AP96)&lt;&gt;"",$Q96&lt;&gt;INDEX(職員マスタ!$E$6:$E$405,$AP96)),"子の生年月日がマスタと相違／","")&amp;IF(AND($L96&lt;&gt;"",INDEX(職員マスタ!$G$6:$G$405,$AP96)&lt;&gt;"",$L96&lt;&gt;INDEX(職員マスタ!$G$6:$G$405,$AP96)),"時短開始日がマスタと相違／","")&amp;IF(AND($M96&lt;&gt;"",INDEX(職員マスタ!$H$6:$H$405,$AP96)&lt;&gt;"",$M96&lt;&gt;INDEX(職員マスタ!$H$6:$H$405,$AP96)),"時短終了日がマスタと相違／","")))&amp;IF(AND($B96&lt;&gt;"",$E96=""),"報酬額が未入力／","")&amp;IF(N($U96)&gt;0,"申請書に入力エラーが残っています／","")&amp;IF(AND($B96&lt;&gt;"",$AQ96&lt;&gt;""),IF(COUNTIFS($B$6:$B$3005,$B96,$C$6:$C$3005,$C96,$D$6:$D$3005,$D96)&gt;1,"同じ月の請求が重複しています／",""),"")&amp;IF(AND(N($E96)&gt;0,$AB96&lt;&gt;"",$AB96&lt;&gt;"×",$AE96=0,$AD96=""),"計算額が下限以下のため不支給／",""))</f>
        <v/>
      </c>
      <c r="AN96" s="12" t="n"/>
      <c r="AO96" s="14">
        <f>IF($AF96="保留中",COUNTIF($AF$6:$AF96,"保留中"),"")</f>
        <v/>
      </c>
      <c r="AP96" s="14">
        <f>IF($AQ96="","",IF(SUMPRODUCT(MAX((職員マスタ!$A$6:$A$405=$B96)*(((職員マスタ!$G$6:$G$405="")+(職員マスタ!$G$6:$G$405&lt;=EOMONTH($AQ96,0)))&gt;0)*(((職員マスタ!$H$6:$H$405="")+(職員マスタ!$H$6:$H$405&gt;=$AQ96))&gt;0)*(ROW(職員マスタ!$A$6:$A$405)-5)))&gt;0,SUMPRODUCT(MAX((職員マスタ!$A$6:$A$405=$B96)*(((職員マスタ!$G$6:$G$405="")+(職員マスタ!$G$6:$G$405&lt;=EOMONTH($AQ96,0)))&gt;0)*(((職員マスタ!$H$6:$H$405="")+(職員マスタ!$H$6:$H$405&gt;=$AQ96))&gt;0)*(ROW(職員マスタ!$A$6:$A$405)-5))),IFERROR(MATCH($B96,職員マスタ!$A$6:$A$405,0),"")))</f>
        <v/>
      </c>
      <c r="AQ96" s="16">
        <f>IF(OR($B96="",$C96="",$D96=""),"",DATE($C96+2018,$D96,1))</f>
        <v/>
      </c>
    </row>
    <row r="97">
      <c r="A97" s="11" t="n"/>
      <c r="B97" s="12" t="n">
        <v>6003057</v>
      </c>
      <c r="C97" s="12" t="n">
        <v>8</v>
      </c>
      <c r="D97" s="12" t="n">
        <v>4</v>
      </c>
      <c r="E97" s="13" t="n">
        <v>184044</v>
      </c>
      <c r="F97" s="12" t="n"/>
      <c r="G97" s="13" t="n"/>
      <c r="H97" s="12" t="n"/>
      <c r="I97" s="12" t="n"/>
      <c r="J97" s="12" t="n"/>
      <c r="K97" s="12" t="n"/>
      <c r="L97" s="11" t="n"/>
      <c r="M97" s="11" t="n"/>
      <c r="N97" s="11" t="n"/>
      <c r="O97" s="11" t="n"/>
      <c r="P97" s="12" t="n"/>
      <c r="Q97" s="11" t="n"/>
      <c r="R97" s="12" t="n"/>
      <c r="S97" s="11" t="n"/>
      <c r="T97" s="12" t="n"/>
      <c r="U97" s="12" t="n"/>
      <c r="V97" s="12" t="n"/>
      <c r="W97" s="13" t="n"/>
      <c r="X97" s="14">
        <f>IF($AP97="",IF($B97="","",$H97),IF(INDEX(職員マスタ!$B$6:$B$405,$AP97)="",$H97,INDEX(職員マスタ!$B$6:$B$405,$AP97)))</f>
        <v/>
      </c>
      <c r="Y97" s="14">
        <f>IF($AP97="",IF($B97="","",$R97),IF(INDEX(職員マスタ!$C$6:$C$405,$AP97)="",$R97,INDEX(職員マスタ!$C$6:$C$405,$AP97)))</f>
        <v/>
      </c>
      <c r="Z97" s="14">
        <f>IF($AQ97="","","R"&amp;$C97&amp;"."&amp;$D97)</f>
        <v/>
      </c>
      <c r="AA97" s="15">
        <f>IF(IF($AP97="",FALSE,INDEX(職員マスタ!$K$6:$K$405,$AP97)&lt;&gt;""),INDEX(職員マスタ!$K$6:$K$405,$AP97),IF(N($W97)&gt;0,$W97,""))</f>
        <v/>
      </c>
      <c r="AB97" s="14">
        <f>IF(OR($E97="",$AA97=""),"",IF($E97&gt;=$AA97,"×",IF($E97&gt;=$AA97*設定!$C$5,"△","○")))</f>
        <v/>
      </c>
      <c r="AC97" s="15">
        <f>IF($AB97="","",IF($AB97="×",0,IF($AB97="○",ROUNDDOWN($E97*設定!$C$4,0),ROUNDDOWN($E97*ROUND((9*$AA97-9*$E97)/(10*$E97),4),0))))</f>
        <v/>
      </c>
      <c r="AD97" s="13" t="n"/>
      <c r="AE97" s="15">
        <f>IF($B97="","",IF($AD97&lt;&gt;"",$AD97,IF($AC97="","",IF($AC97&lt;=設定!$C$3,0,$AC97))))</f>
        <v/>
      </c>
      <c r="AF97" s="14">
        <f>IF($B97="","",IF(AND($AG97&lt;&gt;"",$AI97="",$AL97=""),"保留中",IF($AL97&lt;&gt;"",IF(N($AE97)&gt;0,"支給済","不支給"),IF($AE97="","要確認",IF($AE97=0,"不支給","未処理")))))</f>
        <v/>
      </c>
      <c r="AG97" s="12" t="n"/>
      <c r="AH97" s="11" t="n"/>
      <c r="AI97" s="11" t="n"/>
      <c r="AJ97" s="11" t="n"/>
      <c r="AK97" s="14">
        <f>IF(AND($AF97="保留中",$AH97&lt;&gt;""),TODAY()-$AH97,"")</f>
        <v/>
      </c>
      <c r="AL97" s="12" t="inlineStr">
        <is>
          <t>R8.10</t>
        </is>
      </c>
      <c r="AM97" s="14">
        <f>IF($B97="","",IF($AQ97="","対象年月が未入力／","")&amp;IF($B97="","",IF($AP97="","職員マスタに未登録の職員番号／",IF($AA97="","標準報酬月額が未登録／","")&amp;IF(AND($AQ97&lt;&gt;"",OR(AND(INDEX(職員マスタ!$G$6:$G$405,$AP97)&lt;&gt;"",INDEX(職員マスタ!$G$6:$G$405,$AP97)&gt;EOMONTH($AQ97,0)),AND(INDEX(職員マスタ!$H$6:$H$405,$AP97)&lt;&gt;"",INDEX(職員マスタ!$H$6:$H$405,$AP97)&lt;$AQ97))),"対象月が時短期間外／","")&amp;IF(AND(INDEX(職員マスタ!$K$6:$K$405,$AP97)&lt;&gt;"",N($W97)&gt;0,INDEX(職員マスタ!$K$6:$K$405,$AP97)&lt;&gt;$W97),"標準報酬月額が申請書と相違（台帳"&amp;TEXT(INDEX(職員マスタ!$K$6:$K$405,$AP97),"#,##0")&amp;"円／申請書"&amp;TEXT($W97,"#,##0")&amp;"円）／","")&amp;IF(AND(INDEX(職員マスタ!$F$6:$F$405,$AP97)&lt;&gt;"",$AQ97&lt;&gt;"",INDEX(職員マスタ!$F$6:$F$405,$AP97)&lt;$AQ97),"対象月に子が2歳到達済／","")&amp;IF(AND($H97&lt;&gt;"",INDEX(職員マスタ!$B$6:$B$405,$AP97)&lt;&gt;"",SUBSTITUTE(SUBSTITUTE($H97," ","")," ","")&lt;&gt;SUBSTITUTE(SUBSTITUTE(INDEX(職員マスタ!$B$6:$B$405,$AP97)," ","")," ","")),"氏名がマスタと相違／","")&amp;IF(AND($Q97&lt;&gt;"",INDEX(職員マスタ!$E$6:$E$405,$AP97)&lt;&gt;"",$Q97&lt;&gt;INDEX(職員マスタ!$E$6:$E$405,$AP97)),"子の生年月日がマスタと相違／","")&amp;IF(AND($L97&lt;&gt;"",INDEX(職員マスタ!$G$6:$G$405,$AP97)&lt;&gt;"",$L97&lt;&gt;INDEX(職員マスタ!$G$6:$G$405,$AP97)),"時短開始日がマスタと相違／","")&amp;IF(AND($M97&lt;&gt;"",INDEX(職員マスタ!$H$6:$H$405,$AP97)&lt;&gt;"",$M97&lt;&gt;INDEX(職員マスタ!$H$6:$H$405,$AP97)),"時短終了日がマスタと相違／","")))&amp;IF(AND($B97&lt;&gt;"",$E97=""),"報酬額が未入力／","")&amp;IF(N($U97)&gt;0,"申請書に入力エラーが残っています／","")&amp;IF(AND($B97&lt;&gt;"",$AQ97&lt;&gt;""),IF(COUNTIFS($B$6:$B$3005,$B97,$C$6:$C$3005,$C97,$D$6:$D$3005,$D97)&gt;1,"同じ月の請求が重複しています／",""),"")&amp;IF(AND(N($E97)&gt;0,$AB97&lt;&gt;"",$AB97&lt;&gt;"×",$AE97=0,$AD97=""),"計算額が下限以下のため不支給／",""))</f>
        <v/>
      </c>
      <c r="AN97" s="12" t="n"/>
      <c r="AO97" s="14">
        <f>IF($AF97="保留中",COUNTIF($AF$6:$AF97,"保留中"),"")</f>
        <v/>
      </c>
      <c r="AP97" s="14">
        <f>IF($AQ97="","",IF(SUMPRODUCT(MAX((職員マスタ!$A$6:$A$405=$B97)*(((職員マスタ!$G$6:$G$405="")+(職員マスタ!$G$6:$G$405&lt;=EOMONTH($AQ97,0)))&gt;0)*(((職員マスタ!$H$6:$H$405="")+(職員マスタ!$H$6:$H$405&gt;=$AQ97))&gt;0)*(ROW(職員マスタ!$A$6:$A$405)-5)))&gt;0,SUMPRODUCT(MAX((職員マスタ!$A$6:$A$405=$B97)*(((職員マスタ!$G$6:$G$405="")+(職員マスタ!$G$6:$G$405&lt;=EOMONTH($AQ97,0)))&gt;0)*(((職員マスタ!$H$6:$H$405="")+(職員マスタ!$H$6:$H$405&gt;=$AQ97))&gt;0)*(ROW(職員マスタ!$A$6:$A$405)-5))),IFERROR(MATCH($B97,職員マスタ!$A$6:$A$405,0),"")))</f>
        <v/>
      </c>
      <c r="AQ97" s="16">
        <f>IF(OR($B97="",$C97="",$D97=""),"",DATE($C97+2018,$D97,1))</f>
        <v/>
      </c>
    </row>
    <row r="98">
      <c r="A98" s="11" t="n"/>
      <c r="B98" s="12" t="n">
        <v>6100309</v>
      </c>
      <c r="C98" s="12" t="n">
        <v>7</v>
      </c>
      <c r="D98" s="12" t="n">
        <v>7</v>
      </c>
      <c r="E98" s="13" t="n">
        <v>373987</v>
      </c>
      <c r="F98" s="12" t="n"/>
      <c r="G98" s="13" t="n"/>
      <c r="H98" s="12" t="n"/>
      <c r="I98" s="12" t="n"/>
      <c r="J98" s="12" t="n"/>
      <c r="K98" s="12" t="n"/>
      <c r="L98" s="11" t="n"/>
      <c r="M98" s="11" t="n"/>
      <c r="N98" s="11" t="n"/>
      <c r="O98" s="11" t="n"/>
      <c r="P98" s="12" t="n"/>
      <c r="Q98" s="11" t="n"/>
      <c r="R98" s="12" t="n"/>
      <c r="S98" s="11" t="n"/>
      <c r="T98" s="12" t="n"/>
      <c r="U98" s="12" t="n"/>
      <c r="V98" s="12" t="n"/>
      <c r="W98" s="13" t="n"/>
      <c r="X98" s="14">
        <f>IF($AP98="",IF($B98="","",$H98),IF(INDEX(職員マスタ!$B$6:$B$405,$AP98)="",$H98,INDEX(職員マスタ!$B$6:$B$405,$AP98)))</f>
        <v/>
      </c>
      <c r="Y98" s="14">
        <f>IF($AP98="",IF($B98="","",$R98),IF(INDEX(職員マスタ!$C$6:$C$405,$AP98)="",$R98,INDEX(職員マスタ!$C$6:$C$405,$AP98)))</f>
        <v/>
      </c>
      <c r="Z98" s="14">
        <f>IF($AQ98="","","R"&amp;$C98&amp;"."&amp;$D98)</f>
        <v/>
      </c>
      <c r="AA98" s="15">
        <f>IF(IF($AP98="",FALSE,INDEX(職員マスタ!$K$6:$K$405,$AP98)&lt;&gt;""),INDEX(職員マスタ!$K$6:$K$405,$AP98),IF(N($W98)&gt;0,$W98,""))</f>
        <v/>
      </c>
      <c r="AB98" s="14">
        <f>IF(OR($E98="",$AA98=""),"",IF($E98&gt;=$AA98,"×",IF($E98&gt;=$AA98*設定!$C$5,"△","○")))</f>
        <v/>
      </c>
      <c r="AC98" s="15">
        <f>IF($AB98="","",IF($AB98="×",0,IF($AB98="○",ROUNDDOWN($E98*設定!$C$4,0),ROUNDDOWN($E98*ROUND((9*$AA98-9*$E98)/(10*$E98),4),0))))</f>
        <v/>
      </c>
      <c r="AD98" s="13" t="n"/>
      <c r="AE98" s="15">
        <f>IF($B98="","",IF($AD98&lt;&gt;"",$AD98,IF($AC98="","",IF($AC98&lt;=設定!$C$3,0,$AC98))))</f>
        <v/>
      </c>
      <c r="AF98" s="14">
        <f>IF($B98="","",IF(AND($AG98&lt;&gt;"",$AI98="",$AL98=""),"保留中",IF($AL98&lt;&gt;"",IF(N($AE98)&gt;0,"支給済","不支給"),IF($AE98="","要確認",IF($AE98=0,"不支給","未処理")))))</f>
        <v/>
      </c>
      <c r="AG98" s="12" t="n"/>
      <c r="AH98" s="11" t="n"/>
      <c r="AI98" s="11" t="n"/>
      <c r="AJ98" s="11" t="n"/>
      <c r="AK98" s="14">
        <f>IF(AND($AF98="保留中",$AH98&lt;&gt;""),TODAY()-$AH98,"")</f>
        <v/>
      </c>
      <c r="AL98" s="12" t="inlineStr">
        <is>
          <t>R7.9</t>
        </is>
      </c>
      <c r="AM98" s="14">
        <f>IF($B98="","",IF($AQ98="","対象年月が未入力／","")&amp;IF($B98="","",IF($AP98="","職員マスタに未登録の職員番号／",IF($AA98="","標準報酬月額が未登録／","")&amp;IF(AND($AQ98&lt;&gt;"",OR(AND(INDEX(職員マスタ!$G$6:$G$405,$AP98)&lt;&gt;"",INDEX(職員マスタ!$G$6:$G$405,$AP98)&gt;EOMONTH($AQ98,0)),AND(INDEX(職員マスタ!$H$6:$H$405,$AP98)&lt;&gt;"",INDEX(職員マスタ!$H$6:$H$405,$AP98)&lt;$AQ98))),"対象月が時短期間外／","")&amp;IF(AND(INDEX(職員マスタ!$K$6:$K$405,$AP98)&lt;&gt;"",N($W98)&gt;0,INDEX(職員マスタ!$K$6:$K$405,$AP98)&lt;&gt;$W98),"標準報酬月額が申請書と相違（台帳"&amp;TEXT(INDEX(職員マスタ!$K$6:$K$405,$AP98),"#,##0")&amp;"円／申請書"&amp;TEXT($W98,"#,##0")&amp;"円）／","")&amp;IF(AND(INDEX(職員マスタ!$F$6:$F$405,$AP98)&lt;&gt;"",$AQ98&lt;&gt;"",INDEX(職員マスタ!$F$6:$F$405,$AP98)&lt;$AQ98),"対象月に子が2歳到達済／","")&amp;IF(AND($H98&lt;&gt;"",INDEX(職員マスタ!$B$6:$B$405,$AP98)&lt;&gt;"",SUBSTITUTE(SUBSTITUTE($H98," ","")," ","")&lt;&gt;SUBSTITUTE(SUBSTITUTE(INDEX(職員マスタ!$B$6:$B$405,$AP98)," ","")," ","")),"氏名がマスタと相違／","")&amp;IF(AND($Q98&lt;&gt;"",INDEX(職員マスタ!$E$6:$E$405,$AP98)&lt;&gt;"",$Q98&lt;&gt;INDEX(職員マスタ!$E$6:$E$405,$AP98)),"子の生年月日がマスタと相違／","")&amp;IF(AND($L98&lt;&gt;"",INDEX(職員マスタ!$G$6:$G$405,$AP98)&lt;&gt;"",$L98&lt;&gt;INDEX(職員マスタ!$G$6:$G$405,$AP98)),"時短開始日がマスタと相違／","")&amp;IF(AND($M98&lt;&gt;"",INDEX(職員マスタ!$H$6:$H$405,$AP98)&lt;&gt;"",$M98&lt;&gt;INDEX(職員マスタ!$H$6:$H$405,$AP98)),"時短終了日がマスタと相違／","")))&amp;IF(AND($B98&lt;&gt;"",$E98=""),"報酬額が未入力／","")&amp;IF(N($U98)&gt;0,"申請書に入力エラーが残っています／","")&amp;IF(AND($B98&lt;&gt;"",$AQ98&lt;&gt;""),IF(COUNTIFS($B$6:$B$3005,$B98,$C$6:$C$3005,$C98,$D$6:$D$3005,$D98)&gt;1,"同じ月の請求が重複しています／",""),"")&amp;IF(AND(N($E98)&gt;0,$AB98&lt;&gt;"",$AB98&lt;&gt;"×",$AE98=0,$AD98=""),"計算額が下限以下のため不支給／",""))</f>
        <v/>
      </c>
      <c r="AN98" s="12" t="n"/>
      <c r="AO98" s="14">
        <f>IF($AF98="保留中",COUNTIF($AF$6:$AF98,"保留中"),"")</f>
        <v/>
      </c>
      <c r="AP98" s="14">
        <f>IF($AQ98="","",IF(SUMPRODUCT(MAX((職員マスタ!$A$6:$A$405=$B98)*(((職員マスタ!$G$6:$G$405="")+(職員マスタ!$G$6:$G$405&lt;=EOMONTH($AQ98,0)))&gt;0)*(((職員マスタ!$H$6:$H$405="")+(職員マスタ!$H$6:$H$405&gt;=$AQ98))&gt;0)*(ROW(職員マスタ!$A$6:$A$405)-5)))&gt;0,SUMPRODUCT(MAX((職員マスタ!$A$6:$A$405=$B98)*(((職員マスタ!$G$6:$G$405="")+(職員マスタ!$G$6:$G$405&lt;=EOMONTH($AQ98,0)))&gt;0)*(((職員マスタ!$H$6:$H$405="")+(職員マスタ!$H$6:$H$405&gt;=$AQ98))&gt;0)*(ROW(職員マスタ!$A$6:$A$405)-5))),IFERROR(MATCH($B98,職員マスタ!$A$6:$A$405,0),"")))</f>
        <v/>
      </c>
      <c r="AQ98" s="16">
        <f>IF(OR($B98="",$C98="",$D98=""),"",DATE($C98+2018,$D98,1))</f>
        <v/>
      </c>
    </row>
    <row r="99">
      <c r="A99" s="11" t="n"/>
      <c r="B99" s="12" t="n">
        <v>6100309</v>
      </c>
      <c r="C99" s="12" t="n">
        <v>7</v>
      </c>
      <c r="D99" s="12" t="n">
        <v>8</v>
      </c>
      <c r="E99" s="13" t="n">
        <v>367219</v>
      </c>
      <c r="F99" s="12" t="n"/>
      <c r="G99" s="13" t="n"/>
      <c r="H99" s="12" t="n"/>
      <c r="I99" s="12" t="n"/>
      <c r="J99" s="12" t="n"/>
      <c r="K99" s="12" t="n"/>
      <c r="L99" s="11" t="n"/>
      <c r="M99" s="11" t="n"/>
      <c r="N99" s="11" t="n"/>
      <c r="O99" s="11" t="n"/>
      <c r="P99" s="12" t="n"/>
      <c r="Q99" s="11" t="n"/>
      <c r="R99" s="12" t="n"/>
      <c r="S99" s="11" t="n"/>
      <c r="T99" s="12" t="n"/>
      <c r="U99" s="12" t="n"/>
      <c r="V99" s="12" t="n"/>
      <c r="W99" s="13" t="n"/>
      <c r="X99" s="14">
        <f>IF($AP99="",IF($B99="","",$H99),IF(INDEX(職員マスタ!$B$6:$B$405,$AP99)="",$H99,INDEX(職員マスタ!$B$6:$B$405,$AP99)))</f>
        <v/>
      </c>
      <c r="Y99" s="14">
        <f>IF($AP99="",IF($B99="","",$R99),IF(INDEX(職員マスタ!$C$6:$C$405,$AP99)="",$R99,INDEX(職員マスタ!$C$6:$C$405,$AP99)))</f>
        <v/>
      </c>
      <c r="Z99" s="14">
        <f>IF($AQ99="","","R"&amp;$C99&amp;"."&amp;$D99)</f>
        <v/>
      </c>
      <c r="AA99" s="15">
        <f>IF(IF($AP99="",FALSE,INDEX(職員マスタ!$K$6:$K$405,$AP99)&lt;&gt;""),INDEX(職員マスタ!$K$6:$K$405,$AP99),IF(N($W99)&gt;0,$W99,""))</f>
        <v/>
      </c>
      <c r="AB99" s="14">
        <f>IF(OR($E99="",$AA99=""),"",IF($E99&gt;=$AA99,"×",IF($E99&gt;=$AA99*設定!$C$5,"△","○")))</f>
        <v/>
      </c>
      <c r="AC99" s="15">
        <f>IF($AB99="","",IF($AB99="×",0,IF($AB99="○",ROUNDDOWN($E99*設定!$C$4,0),ROUNDDOWN($E99*ROUND((9*$AA99-9*$E99)/(10*$E99),4),0))))</f>
        <v/>
      </c>
      <c r="AD99" s="13" t="n"/>
      <c r="AE99" s="15">
        <f>IF($B99="","",IF($AD99&lt;&gt;"",$AD99,IF($AC99="","",IF($AC99&lt;=設定!$C$3,0,$AC99))))</f>
        <v/>
      </c>
      <c r="AF99" s="14">
        <f>IF($B99="","",IF(AND($AG99&lt;&gt;"",$AI99="",$AL99=""),"保留中",IF($AL99&lt;&gt;"",IF(N($AE99)&gt;0,"支給済","不支給"),IF($AE99="","要確認",IF($AE99=0,"不支給","未処理")))))</f>
        <v/>
      </c>
      <c r="AG99" s="12" t="n"/>
      <c r="AH99" s="11" t="n"/>
      <c r="AI99" s="11" t="n"/>
      <c r="AJ99" s="11" t="n"/>
      <c r="AK99" s="14">
        <f>IF(AND($AF99="保留中",$AH99&lt;&gt;""),TODAY()-$AH99,"")</f>
        <v/>
      </c>
      <c r="AL99" s="12" t="inlineStr">
        <is>
          <t>R7.12</t>
        </is>
      </c>
      <c r="AM99" s="14">
        <f>IF($B99="","",IF($AQ99="","対象年月が未入力／","")&amp;IF($B99="","",IF($AP99="","職員マスタに未登録の職員番号／",IF($AA99="","標準報酬月額が未登録／","")&amp;IF(AND($AQ99&lt;&gt;"",OR(AND(INDEX(職員マスタ!$G$6:$G$405,$AP99)&lt;&gt;"",INDEX(職員マスタ!$G$6:$G$405,$AP99)&gt;EOMONTH($AQ99,0)),AND(INDEX(職員マスタ!$H$6:$H$405,$AP99)&lt;&gt;"",INDEX(職員マスタ!$H$6:$H$405,$AP99)&lt;$AQ99))),"対象月が時短期間外／","")&amp;IF(AND(INDEX(職員マスタ!$K$6:$K$405,$AP99)&lt;&gt;"",N($W99)&gt;0,INDEX(職員マスタ!$K$6:$K$405,$AP99)&lt;&gt;$W99),"標準報酬月額が申請書と相違（台帳"&amp;TEXT(INDEX(職員マスタ!$K$6:$K$405,$AP99),"#,##0")&amp;"円／申請書"&amp;TEXT($W99,"#,##0")&amp;"円）／","")&amp;IF(AND(INDEX(職員マスタ!$F$6:$F$405,$AP99)&lt;&gt;"",$AQ99&lt;&gt;"",INDEX(職員マスタ!$F$6:$F$405,$AP99)&lt;$AQ99),"対象月に子が2歳到達済／","")&amp;IF(AND($H99&lt;&gt;"",INDEX(職員マスタ!$B$6:$B$405,$AP99)&lt;&gt;"",SUBSTITUTE(SUBSTITUTE($H99," ","")," ","")&lt;&gt;SUBSTITUTE(SUBSTITUTE(INDEX(職員マスタ!$B$6:$B$405,$AP99)," ","")," ","")),"氏名がマスタと相違／","")&amp;IF(AND($Q99&lt;&gt;"",INDEX(職員マスタ!$E$6:$E$405,$AP99)&lt;&gt;"",$Q99&lt;&gt;INDEX(職員マスタ!$E$6:$E$405,$AP99)),"子の生年月日がマスタと相違／","")&amp;IF(AND($L99&lt;&gt;"",INDEX(職員マスタ!$G$6:$G$405,$AP99)&lt;&gt;"",$L99&lt;&gt;INDEX(職員マスタ!$G$6:$G$405,$AP99)),"時短開始日がマスタと相違／","")&amp;IF(AND($M99&lt;&gt;"",INDEX(職員マスタ!$H$6:$H$405,$AP99)&lt;&gt;"",$M99&lt;&gt;INDEX(職員マスタ!$H$6:$H$405,$AP99)),"時短終了日がマスタと相違／","")))&amp;IF(AND($B99&lt;&gt;"",$E99=""),"報酬額が未入力／","")&amp;IF(N($U99)&gt;0,"申請書に入力エラーが残っています／","")&amp;IF(AND($B99&lt;&gt;"",$AQ99&lt;&gt;""),IF(COUNTIFS($B$6:$B$3005,$B99,$C$6:$C$3005,$C99,$D$6:$D$3005,$D99)&gt;1,"同じ月の請求が重複しています／",""),"")&amp;IF(AND(N($E99)&gt;0,$AB99&lt;&gt;"",$AB99&lt;&gt;"×",$AE99=0,$AD99=""),"計算額が下限以下のため不支給／",""))</f>
        <v/>
      </c>
      <c r="AN99" s="12" t="n"/>
      <c r="AO99" s="14">
        <f>IF($AF99="保留中",COUNTIF($AF$6:$AF99,"保留中"),"")</f>
        <v/>
      </c>
      <c r="AP99" s="14">
        <f>IF($AQ99="","",IF(SUMPRODUCT(MAX((職員マスタ!$A$6:$A$405=$B99)*(((職員マスタ!$G$6:$G$405="")+(職員マスタ!$G$6:$G$405&lt;=EOMONTH($AQ99,0)))&gt;0)*(((職員マスタ!$H$6:$H$405="")+(職員マスタ!$H$6:$H$405&gt;=$AQ99))&gt;0)*(ROW(職員マスタ!$A$6:$A$405)-5)))&gt;0,SUMPRODUCT(MAX((職員マスタ!$A$6:$A$405=$B99)*(((職員マスタ!$G$6:$G$405="")+(職員マスタ!$G$6:$G$405&lt;=EOMONTH($AQ99,0)))&gt;0)*(((職員マスタ!$H$6:$H$405="")+(職員マスタ!$H$6:$H$405&gt;=$AQ99))&gt;0)*(ROW(職員マスタ!$A$6:$A$405)-5))),IFERROR(MATCH($B99,職員マスタ!$A$6:$A$405,0),"")))</f>
        <v/>
      </c>
      <c r="AQ99" s="16">
        <f>IF(OR($B99="",$C99="",$D99=""),"",DATE($C99+2018,$D99,1))</f>
        <v/>
      </c>
    </row>
    <row r="100">
      <c r="A100" s="11" t="n"/>
      <c r="B100" s="12" t="n">
        <v>6100309</v>
      </c>
      <c r="C100" s="12" t="n">
        <v>7</v>
      </c>
      <c r="D100" s="12" t="n">
        <v>9</v>
      </c>
      <c r="E100" s="13" t="n">
        <v>374505</v>
      </c>
      <c r="F100" s="12" t="n"/>
      <c r="G100" s="13" t="n"/>
      <c r="H100" s="12" t="n"/>
      <c r="I100" s="12" t="n"/>
      <c r="J100" s="12" t="n"/>
      <c r="K100" s="12" t="n"/>
      <c r="L100" s="11" t="n"/>
      <c r="M100" s="11" t="n"/>
      <c r="N100" s="11" t="n"/>
      <c r="O100" s="11" t="n"/>
      <c r="P100" s="12" t="n"/>
      <c r="Q100" s="11" t="n"/>
      <c r="R100" s="12" t="n"/>
      <c r="S100" s="11" t="n"/>
      <c r="T100" s="12" t="n"/>
      <c r="U100" s="12" t="n"/>
      <c r="V100" s="12" t="n"/>
      <c r="W100" s="13" t="n"/>
      <c r="X100" s="14">
        <f>IF($AP100="",IF($B100="","",$H100),IF(INDEX(職員マスタ!$B$6:$B$405,$AP100)="",$H100,INDEX(職員マスタ!$B$6:$B$405,$AP100)))</f>
        <v/>
      </c>
      <c r="Y100" s="14">
        <f>IF($AP100="",IF($B100="","",$R100),IF(INDEX(職員マスタ!$C$6:$C$405,$AP100)="",$R100,INDEX(職員マスタ!$C$6:$C$405,$AP100)))</f>
        <v/>
      </c>
      <c r="Z100" s="14">
        <f>IF($AQ100="","","R"&amp;$C100&amp;"."&amp;$D100)</f>
        <v/>
      </c>
      <c r="AA100" s="15">
        <f>IF(IF($AP100="",FALSE,INDEX(職員マスタ!$K$6:$K$405,$AP100)&lt;&gt;""),INDEX(職員マスタ!$K$6:$K$405,$AP100),IF(N($W100)&gt;0,$W100,""))</f>
        <v/>
      </c>
      <c r="AB100" s="14">
        <f>IF(OR($E100="",$AA100=""),"",IF($E100&gt;=$AA100,"×",IF($E100&gt;=$AA100*設定!$C$5,"△","○")))</f>
        <v/>
      </c>
      <c r="AC100" s="15">
        <f>IF($AB100="","",IF($AB100="×",0,IF($AB100="○",ROUNDDOWN($E100*設定!$C$4,0),ROUNDDOWN($E100*ROUND((9*$AA100-9*$E100)/(10*$E100),4),0))))</f>
        <v/>
      </c>
      <c r="AD100" s="13" t="n"/>
      <c r="AE100" s="15">
        <f>IF($B100="","",IF($AD100&lt;&gt;"",$AD100,IF($AC100="","",IF($AC100&lt;=設定!$C$3,0,$AC100))))</f>
        <v/>
      </c>
      <c r="AF100" s="14">
        <f>IF($B100="","",IF(AND($AG100&lt;&gt;"",$AI100="",$AL100=""),"保留中",IF($AL100&lt;&gt;"",IF(N($AE100)&gt;0,"支給済","不支給"),IF($AE100="","要確認",IF($AE100=0,"不支給","未処理")))))</f>
        <v/>
      </c>
      <c r="AG100" s="12" t="n"/>
      <c r="AH100" s="11" t="n"/>
      <c r="AI100" s="11" t="n"/>
      <c r="AJ100" s="11" t="n"/>
      <c r="AK100" s="14">
        <f>IF(AND($AF100="保留中",$AH100&lt;&gt;""),TODAY()-$AH100,"")</f>
        <v/>
      </c>
      <c r="AL100" s="12" t="inlineStr">
        <is>
          <t>R7.12</t>
        </is>
      </c>
      <c r="AM100" s="14">
        <f>IF($B100="","",IF($AQ100="","対象年月が未入力／","")&amp;IF($B100="","",IF($AP100="","職員マスタに未登録の職員番号／",IF($AA100="","標準報酬月額が未登録／","")&amp;IF(AND($AQ100&lt;&gt;"",OR(AND(INDEX(職員マスタ!$G$6:$G$405,$AP100)&lt;&gt;"",INDEX(職員マスタ!$G$6:$G$405,$AP100)&gt;EOMONTH($AQ100,0)),AND(INDEX(職員マスタ!$H$6:$H$405,$AP100)&lt;&gt;"",INDEX(職員マスタ!$H$6:$H$405,$AP100)&lt;$AQ100))),"対象月が時短期間外／","")&amp;IF(AND(INDEX(職員マスタ!$K$6:$K$405,$AP100)&lt;&gt;"",N($W100)&gt;0,INDEX(職員マスタ!$K$6:$K$405,$AP100)&lt;&gt;$W100),"標準報酬月額が申請書と相違（台帳"&amp;TEXT(INDEX(職員マスタ!$K$6:$K$405,$AP100),"#,##0")&amp;"円／申請書"&amp;TEXT($W100,"#,##0")&amp;"円）／","")&amp;IF(AND(INDEX(職員マスタ!$F$6:$F$405,$AP100)&lt;&gt;"",$AQ100&lt;&gt;"",INDEX(職員マスタ!$F$6:$F$405,$AP100)&lt;$AQ100),"対象月に子が2歳到達済／","")&amp;IF(AND($H100&lt;&gt;"",INDEX(職員マスタ!$B$6:$B$405,$AP100)&lt;&gt;"",SUBSTITUTE(SUBSTITUTE($H100," ","")," ","")&lt;&gt;SUBSTITUTE(SUBSTITUTE(INDEX(職員マスタ!$B$6:$B$405,$AP100)," ","")," ","")),"氏名がマスタと相違／","")&amp;IF(AND($Q100&lt;&gt;"",INDEX(職員マスタ!$E$6:$E$405,$AP100)&lt;&gt;"",$Q100&lt;&gt;INDEX(職員マスタ!$E$6:$E$405,$AP100)),"子の生年月日がマスタと相違／","")&amp;IF(AND($L100&lt;&gt;"",INDEX(職員マスタ!$G$6:$G$405,$AP100)&lt;&gt;"",$L100&lt;&gt;INDEX(職員マスタ!$G$6:$G$405,$AP100)),"時短開始日がマスタと相違／","")&amp;IF(AND($M100&lt;&gt;"",INDEX(職員マスタ!$H$6:$H$405,$AP100)&lt;&gt;"",$M100&lt;&gt;INDEX(職員マスタ!$H$6:$H$405,$AP100)),"時短終了日がマスタと相違／","")))&amp;IF(AND($B100&lt;&gt;"",$E100=""),"報酬額が未入力／","")&amp;IF(N($U100)&gt;0,"申請書に入力エラーが残っています／","")&amp;IF(AND($B100&lt;&gt;"",$AQ100&lt;&gt;""),IF(COUNTIFS($B$6:$B$3005,$B100,$C$6:$C$3005,$C100,$D$6:$D$3005,$D100)&gt;1,"同じ月の請求が重複しています／",""),"")&amp;IF(AND(N($E100)&gt;0,$AB100&lt;&gt;"",$AB100&lt;&gt;"×",$AE100=0,$AD100=""),"計算額が下限以下のため不支給／",""))</f>
        <v/>
      </c>
      <c r="AN100" s="12" t="n"/>
      <c r="AO100" s="14">
        <f>IF($AF100="保留中",COUNTIF($AF$6:$AF100,"保留中"),"")</f>
        <v/>
      </c>
      <c r="AP100" s="14">
        <f>IF($AQ100="","",IF(SUMPRODUCT(MAX((職員マスタ!$A$6:$A$405=$B100)*(((職員マスタ!$G$6:$G$405="")+(職員マスタ!$G$6:$G$405&lt;=EOMONTH($AQ100,0)))&gt;0)*(((職員マスタ!$H$6:$H$405="")+(職員マスタ!$H$6:$H$405&gt;=$AQ100))&gt;0)*(ROW(職員マスタ!$A$6:$A$405)-5)))&gt;0,SUMPRODUCT(MAX((職員マスタ!$A$6:$A$405=$B100)*(((職員マスタ!$G$6:$G$405="")+(職員マスタ!$G$6:$G$405&lt;=EOMONTH($AQ100,0)))&gt;0)*(((職員マスタ!$H$6:$H$405="")+(職員マスタ!$H$6:$H$405&gt;=$AQ100))&gt;0)*(ROW(職員マスタ!$A$6:$A$405)-5))),IFERROR(MATCH($B100,職員マスタ!$A$6:$A$405,0),"")))</f>
        <v/>
      </c>
      <c r="AQ100" s="16">
        <f>IF(OR($B100="",$C100="",$D100=""),"",DATE($C100+2018,$D100,1))</f>
        <v/>
      </c>
    </row>
    <row r="101">
      <c r="A101" s="11" t="n"/>
      <c r="B101" s="12" t="n">
        <v>6100309</v>
      </c>
      <c r="C101" s="12" t="n">
        <v>7</v>
      </c>
      <c r="D101" s="12" t="n">
        <v>10</v>
      </c>
      <c r="E101" s="13" t="n">
        <v>366181</v>
      </c>
      <c r="F101" s="12" t="n"/>
      <c r="G101" s="13" t="n"/>
      <c r="H101" s="12" t="n"/>
      <c r="I101" s="12" t="n"/>
      <c r="J101" s="12" t="n"/>
      <c r="K101" s="12" t="n"/>
      <c r="L101" s="11" t="n"/>
      <c r="M101" s="11" t="n"/>
      <c r="N101" s="11" t="n"/>
      <c r="O101" s="11" t="n"/>
      <c r="P101" s="12" t="n"/>
      <c r="Q101" s="11" t="n"/>
      <c r="R101" s="12" t="n"/>
      <c r="S101" s="11" t="n"/>
      <c r="T101" s="12" t="n"/>
      <c r="U101" s="12" t="n"/>
      <c r="V101" s="12" t="n"/>
      <c r="W101" s="13" t="n"/>
      <c r="X101" s="14">
        <f>IF($AP101="",IF($B101="","",$H101),IF(INDEX(職員マスタ!$B$6:$B$405,$AP101)="",$H101,INDEX(職員マスタ!$B$6:$B$405,$AP101)))</f>
        <v/>
      </c>
      <c r="Y101" s="14">
        <f>IF($AP101="",IF($B101="","",$R101),IF(INDEX(職員マスタ!$C$6:$C$405,$AP101)="",$R101,INDEX(職員マスタ!$C$6:$C$405,$AP101)))</f>
        <v/>
      </c>
      <c r="Z101" s="14">
        <f>IF($AQ101="","","R"&amp;$C101&amp;"."&amp;$D101)</f>
        <v/>
      </c>
      <c r="AA101" s="15">
        <f>IF(IF($AP101="",FALSE,INDEX(職員マスタ!$K$6:$K$405,$AP101)&lt;&gt;""),INDEX(職員マスタ!$K$6:$K$405,$AP101),IF(N($W101)&gt;0,$W101,""))</f>
        <v/>
      </c>
      <c r="AB101" s="14">
        <f>IF(OR($E101="",$AA101=""),"",IF($E101&gt;=$AA101,"×",IF($E101&gt;=$AA101*設定!$C$5,"△","○")))</f>
        <v/>
      </c>
      <c r="AC101" s="15">
        <f>IF($AB101="","",IF($AB101="×",0,IF($AB101="○",ROUNDDOWN($E101*設定!$C$4,0),ROUNDDOWN($E101*ROUND((9*$AA101-9*$E101)/(10*$E101),4),0))))</f>
        <v/>
      </c>
      <c r="AD101" s="13" t="n"/>
      <c r="AE101" s="15">
        <f>IF($B101="","",IF($AD101&lt;&gt;"",$AD101,IF($AC101="","",IF($AC101&lt;=設定!$C$3,0,$AC101))))</f>
        <v/>
      </c>
      <c r="AF101" s="14">
        <f>IF($B101="","",IF(AND($AG101&lt;&gt;"",$AI101="",$AL101=""),"保留中",IF($AL101&lt;&gt;"",IF(N($AE101)&gt;0,"支給済","不支給"),IF($AE101="","要確認",IF($AE101=0,"不支給","未処理")))))</f>
        <v/>
      </c>
      <c r="AG101" s="12" t="n"/>
      <c r="AH101" s="11" t="n"/>
      <c r="AI101" s="11" t="n"/>
      <c r="AJ101" s="11" t="n"/>
      <c r="AK101" s="14">
        <f>IF(AND($AF101="保留中",$AH101&lt;&gt;""),TODAY()-$AH101,"")</f>
        <v/>
      </c>
      <c r="AL101" s="12" t="inlineStr">
        <is>
          <t>R7.12</t>
        </is>
      </c>
      <c r="AM101" s="14">
        <f>IF($B101="","",IF($AQ101="","対象年月が未入力／","")&amp;IF($B101="","",IF($AP101="","職員マスタに未登録の職員番号／",IF($AA101="","標準報酬月額が未登録／","")&amp;IF(AND($AQ101&lt;&gt;"",OR(AND(INDEX(職員マスタ!$G$6:$G$405,$AP101)&lt;&gt;"",INDEX(職員マスタ!$G$6:$G$405,$AP101)&gt;EOMONTH($AQ101,0)),AND(INDEX(職員マスタ!$H$6:$H$405,$AP101)&lt;&gt;"",INDEX(職員マスタ!$H$6:$H$405,$AP101)&lt;$AQ101))),"対象月が時短期間外／","")&amp;IF(AND(INDEX(職員マスタ!$K$6:$K$405,$AP101)&lt;&gt;"",N($W101)&gt;0,INDEX(職員マスタ!$K$6:$K$405,$AP101)&lt;&gt;$W101),"標準報酬月額が申請書と相違（台帳"&amp;TEXT(INDEX(職員マスタ!$K$6:$K$405,$AP101),"#,##0")&amp;"円／申請書"&amp;TEXT($W101,"#,##0")&amp;"円）／","")&amp;IF(AND(INDEX(職員マスタ!$F$6:$F$405,$AP101)&lt;&gt;"",$AQ101&lt;&gt;"",INDEX(職員マスタ!$F$6:$F$405,$AP101)&lt;$AQ101),"対象月に子が2歳到達済／","")&amp;IF(AND($H101&lt;&gt;"",INDEX(職員マスタ!$B$6:$B$405,$AP101)&lt;&gt;"",SUBSTITUTE(SUBSTITUTE($H101," ","")," ","")&lt;&gt;SUBSTITUTE(SUBSTITUTE(INDEX(職員マスタ!$B$6:$B$405,$AP101)," ","")," ","")),"氏名がマスタと相違／","")&amp;IF(AND($Q101&lt;&gt;"",INDEX(職員マスタ!$E$6:$E$405,$AP101)&lt;&gt;"",$Q101&lt;&gt;INDEX(職員マスタ!$E$6:$E$405,$AP101)),"子の生年月日がマスタと相違／","")&amp;IF(AND($L101&lt;&gt;"",INDEX(職員マスタ!$G$6:$G$405,$AP101)&lt;&gt;"",$L101&lt;&gt;INDEX(職員マスタ!$G$6:$G$405,$AP101)),"時短開始日がマスタと相違／","")&amp;IF(AND($M101&lt;&gt;"",INDEX(職員マスタ!$H$6:$H$405,$AP101)&lt;&gt;"",$M101&lt;&gt;INDEX(職員マスタ!$H$6:$H$405,$AP101)),"時短終了日がマスタと相違／","")))&amp;IF(AND($B101&lt;&gt;"",$E101=""),"報酬額が未入力／","")&amp;IF(N($U101)&gt;0,"申請書に入力エラーが残っています／","")&amp;IF(AND($B101&lt;&gt;"",$AQ101&lt;&gt;""),IF(COUNTIFS($B$6:$B$3005,$B101,$C$6:$C$3005,$C101,$D$6:$D$3005,$D101)&gt;1,"同じ月の請求が重複しています／",""),"")&amp;IF(AND(N($E101)&gt;0,$AB101&lt;&gt;"",$AB101&lt;&gt;"×",$AE101=0,$AD101=""),"計算額が下限以下のため不支給／",""))</f>
        <v/>
      </c>
      <c r="AN101" s="12" t="n"/>
      <c r="AO101" s="14">
        <f>IF($AF101="保留中",COUNTIF($AF$6:$AF101,"保留中"),"")</f>
        <v/>
      </c>
      <c r="AP101" s="14">
        <f>IF($AQ101="","",IF(SUMPRODUCT(MAX((職員マスタ!$A$6:$A$405=$B101)*(((職員マスタ!$G$6:$G$405="")+(職員マスタ!$G$6:$G$405&lt;=EOMONTH($AQ101,0)))&gt;0)*(((職員マスタ!$H$6:$H$405="")+(職員マスタ!$H$6:$H$405&gt;=$AQ101))&gt;0)*(ROW(職員マスタ!$A$6:$A$405)-5)))&gt;0,SUMPRODUCT(MAX((職員マスタ!$A$6:$A$405=$B101)*(((職員マスタ!$G$6:$G$405="")+(職員マスタ!$G$6:$G$405&lt;=EOMONTH($AQ101,0)))&gt;0)*(((職員マスタ!$H$6:$H$405="")+(職員マスタ!$H$6:$H$405&gt;=$AQ101))&gt;0)*(ROW(職員マスタ!$A$6:$A$405)-5))),IFERROR(MATCH($B101,職員マスタ!$A$6:$A$405,0),"")))</f>
        <v/>
      </c>
      <c r="AQ101" s="16">
        <f>IF(OR($B101="",$C101="",$D101=""),"",DATE($C101+2018,$D101,1))</f>
        <v/>
      </c>
    </row>
    <row r="102">
      <c r="A102" s="11" t="n"/>
      <c r="B102" s="12" t="n">
        <v>6100309</v>
      </c>
      <c r="C102" s="12" t="n">
        <v>7</v>
      </c>
      <c r="D102" s="12" t="n">
        <v>11</v>
      </c>
      <c r="E102" s="13" t="n">
        <v>380749</v>
      </c>
      <c r="F102" s="12" t="n"/>
      <c r="G102" s="13" t="n"/>
      <c r="H102" s="12" t="n"/>
      <c r="I102" s="12" t="n"/>
      <c r="J102" s="12" t="n"/>
      <c r="K102" s="12" t="n"/>
      <c r="L102" s="11" t="n"/>
      <c r="M102" s="11" t="n"/>
      <c r="N102" s="11" t="n"/>
      <c r="O102" s="11" t="n"/>
      <c r="P102" s="12" t="n"/>
      <c r="Q102" s="11" t="n"/>
      <c r="R102" s="12" t="n"/>
      <c r="S102" s="11" t="n"/>
      <c r="T102" s="12" t="n"/>
      <c r="U102" s="12" t="n"/>
      <c r="V102" s="12" t="n"/>
      <c r="W102" s="13" t="n"/>
      <c r="X102" s="14">
        <f>IF($AP102="",IF($B102="","",$H102),IF(INDEX(職員マスタ!$B$6:$B$405,$AP102)="",$H102,INDEX(職員マスタ!$B$6:$B$405,$AP102)))</f>
        <v/>
      </c>
      <c r="Y102" s="14">
        <f>IF($AP102="",IF($B102="","",$R102),IF(INDEX(職員マスタ!$C$6:$C$405,$AP102)="",$R102,INDEX(職員マスタ!$C$6:$C$405,$AP102)))</f>
        <v/>
      </c>
      <c r="Z102" s="14">
        <f>IF($AQ102="","","R"&amp;$C102&amp;"."&amp;$D102)</f>
        <v/>
      </c>
      <c r="AA102" s="15">
        <f>IF(IF($AP102="",FALSE,INDEX(職員マスタ!$K$6:$K$405,$AP102)&lt;&gt;""),INDEX(職員マスタ!$K$6:$K$405,$AP102),IF(N($W102)&gt;0,$W102,""))</f>
        <v/>
      </c>
      <c r="AB102" s="14">
        <f>IF(OR($E102="",$AA102=""),"",IF($E102&gt;=$AA102,"×",IF($E102&gt;=$AA102*設定!$C$5,"△","○")))</f>
        <v/>
      </c>
      <c r="AC102" s="15">
        <f>IF($AB102="","",IF($AB102="×",0,IF($AB102="○",ROUNDDOWN($E102*設定!$C$4,0),ROUNDDOWN($E102*ROUND((9*$AA102-9*$E102)/(10*$E102),4),0))))</f>
        <v/>
      </c>
      <c r="AD102" s="13" t="n"/>
      <c r="AE102" s="15">
        <f>IF($B102="","",IF($AD102&lt;&gt;"",$AD102,IF($AC102="","",IF($AC102&lt;=設定!$C$3,0,$AC102))))</f>
        <v/>
      </c>
      <c r="AF102" s="14">
        <f>IF($B102="","",IF(AND($AG102&lt;&gt;"",$AI102="",$AL102=""),"保留中",IF($AL102&lt;&gt;"",IF(N($AE102)&gt;0,"支給済","不支給"),IF($AE102="","要確認",IF($AE102=0,"不支給","未処理")))))</f>
        <v/>
      </c>
      <c r="AG102" s="12" t="n"/>
      <c r="AH102" s="11" t="n"/>
      <c r="AI102" s="11" t="n"/>
      <c r="AJ102" s="11" t="n"/>
      <c r="AK102" s="14">
        <f>IF(AND($AF102="保留中",$AH102&lt;&gt;""),TODAY()-$AH102,"")</f>
        <v/>
      </c>
      <c r="AL102" s="12" t="inlineStr">
        <is>
          <t>R8.2</t>
        </is>
      </c>
      <c r="AM102" s="14">
        <f>IF($B102="","",IF($AQ102="","対象年月が未入力／","")&amp;IF($B102="","",IF($AP102="","職員マスタに未登録の職員番号／",IF($AA102="","標準報酬月額が未登録／","")&amp;IF(AND($AQ102&lt;&gt;"",OR(AND(INDEX(職員マスタ!$G$6:$G$405,$AP102)&lt;&gt;"",INDEX(職員マスタ!$G$6:$G$405,$AP102)&gt;EOMONTH($AQ102,0)),AND(INDEX(職員マスタ!$H$6:$H$405,$AP102)&lt;&gt;"",INDEX(職員マスタ!$H$6:$H$405,$AP102)&lt;$AQ102))),"対象月が時短期間外／","")&amp;IF(AND(INDEX(職員マスタ!$K$6:$K$405,$AP102)&lt;&gt;"",N($W102)&gt;0,INDEX(職員マスタ!$K$6:$K$405,$AP102)&lt;&gt;$W102),"標準報酬月額が申請書と相違（台帳"&amp;TEXT(INDEX(職員マスタ!$K$6:$K$405,$AP102),"#,##0")&amp;"円／申請書"&amp;TEXT($W102,"#,##0")&amp;"円）／","")&amp;IF(AND(INDEX(職員マスタ!$F$6:$F$405,$AP102)&lt;&gt;"",$AQ102&lt;&gt;"",INDEX(職員マスタ!$F$6:$F$405,$AP102)&lt;$AQ102),"対象月に子が2歳到達済／","")&amp;IF(AND($H102&lt;&gt;"",INDEX(職員マスタ!$B$6:$B$405,$AP102)&lt;&gt;"",SUBSTITUTE(SUBSTITUTE($H102," ","")," ","")&lt;&gt;SUBSTITUTE(SUBSTITUTE(INDEX(職員マスタ!$B$6:$B$405,$AP102)," ","")," ","")),"氏名がマスタと相違／","")&amp;IF(AND($Q102&lt;&gt;"",INDEX(職員マスタ!$E$6:$E$405,$AP102)&lt;&gt;"",$Q102&lt;&gt;INDEX(職員マスタ!$E$6:$E$405,$AP102)),"子の生年月日がマスタと相違／","")&amp;IF(AND($L102&lt;&gt;"",INDEX(職員マスタ!$G$6:$G$405,$AP102)&lt;&gt;"",$L102&lt;&gt;INDEX(職員マスタ!$G$6:$G$405,$AP102)),"時短開始日がマスタと相違／","")&amp;IF(AND($M102&lt;&gt;"",INDEX(職員マスタ!$H$6:$H$405,$AP102)&lt;&gt;"",$M102&lt;&gt;INDEX(職員マスタ!$H$6:$H$405,$AP102)),"時短終了日がマスタと相違／","")))&amp;IF(AND($B102&lt;&gt;"",$E102=""),"報酬額が未入力／","")&amp;IF(N($U102)&gt;0,"申請書に入力エラーが残っています／","")&amp;IF(AND($B102&lt;&gt;"",$AQ102&lt;&gt;""),IF(COUNTIFS($B$6:$B$3005,$B102,$C$6:$C$3005,$C102,$D$6:$D$3005,$D102)&gt;1,"同じ月の請求が重複しています／",""),"")&amp;IF(AND(N($E102)&gt;0,$AB102&lt;&gt;"",$AB102&lt;&gt;"×",$AE102=0,$AD102=""),"計算額が下限以下のため不支給／",""))</f>
        <v/>
      </c>
      <c r="AN102" s="12" t="n"/>
      <c r="AO102" s="14">
        <f>IF($AF102="保留中",COUNTIF($AF$6:$AF102,"保留中"),"")</f>
        <v/>
      </c>
      <c r="AP102" s="14">
        <f>IF($AQ102="","",IF(SUMPRODUCT(MAX((職員マスタ!$A$6:$A$405=$B102)*(((職員マスタ!$G$6:$G$405="")+(職員マスタ!$G$6:$G$405&lt;=EOMONTH($AQ102,0)))&gt;0)*(((職員マスタ!$H$6:$H$405="")+(職員マスタ!$H$6:$H$405&gt;=$AQ102))&gt;0)*(ROW(職員マスタ!$A$6:$A$405)-5)))&gt;0,SUMPRODUCT(MAX((職員マスタ!$A$6:$A$405=$B102)*(((職員マスタ!$G$6:$G$405="")+(職員マスタ!$G$6:$G$405&lt;=EOMONTH($AQ102,0)))&gt;0)*(((職員マスタ!$H$6:$H$405="")+(職員マスタ!$H$6:$H$405&gt;=$AQ102))&gt;0)*(ROW(職員マスタ!$A$6:$A$405)-5))),IFERROR(MATCH($B102,職員マスタ!$A$6:$A$405,0),"")))</f>
        <v/>
      </c>
      <c r="AQ102" s="16">
        <f>IF(OR($B102="",$C102="",$D102=""),"",DATE($C102+2018,$D102,1))</f>
        <v/>
      </c>
    </row>
    <row r="103">
      <c r="A103" s="11" t="n"/>
      <c r="B103" s="12" t="n">
        <v>6100309</v>
      </c>
      <c r="C103" s="12" t="n">
        <v>7</v>
      </c>
      <c r="D103" s="12" t="n">
        <v>12</v>
      </c>
      <c r="E103" s="13" t="n">
        <v>387695</v>
      </c>
      <c r="F103" s="12" t="n"/>
      <c r="G103" s="13" t="n"/>
      <c r="H103" s="12" t="n"/>
      <c r="I103" s="12" t="n"/>
      <c r="J103" s="12" t="n"/>
      <c r="K103" s="12" t="n"/>
      <c r="L103" s="11" t="n"/>
      <c r="M103" s="11" t="n"/>
      <c r="N103" s="11" t="n"/>
      <c r="O103" s="11" t="n"/>
      <c r="P103" s="12" t="n"/>
      <c r="Q103" s="11" t="n"/>
      <c r="R103" s="12" t="n"/>
      <c r="S103" s="11" t="n"/>
      <c r="T103" s="12" t="n"/>
      <c r="U103" s="12" t="n"/>
      <c r="V103" s="12" t="n"/>
      <c r="W103" s="13" t="n"/>
      <c r="X103" s="14">
        <f>IF($AP103="",IF($B103="","",$H103),IF(INDEX(職員マスタ!$B$6:$B$405,$AP103)="",$H103,INDEX(職員マスタ!$B$6:$B$405,$AP103)))</f>
        <v/>
      </c>
      <c r="Y103" s="14">
        <f>IF($AP103="",IF($B103="","",$R103),IF(INDEX(職員マスタ!$C$6:$C$405,$AP103)="",$R103,INDEX(職員マスタ!$C$6:$C$405,$AP103)))</f>
        <v/>
      </c>
      <c r="Z103" s="14">
        <f>IF($AQ103="","","R"&amp;$C103&amp;"."&amp;$D103)</f>
        <v/>
      </c>
      <c r="AA103" s="15">
        <f>IF(IF($AP103="",FALSE,INDEX(職員マスタ!$K$6:$K$405,$AP103)&lt;&gt;""),INDEX(職員マスタ!$K$6:$K$405,$AP103),IF(N($W103)&gt;0,$W103,""))</f>
        <v/>
      </c>
      <c r="AB103" s="14">
        <f>IF(OR($E103="",$AA103=""),"",IF($E103&gt;=$AA103,"×",IF($E103&gt;=$AA103*設定!$C$5,"△","○")))</f>
        <v/>
      </c>
      <c r="AC103" s="15">
        <f>IF($AB103="","",IF($AB103="×",0,IF($AB103="○",ROUNDDOWN($E103*設定!$C$4,0),ROUNDDOWN($E103*ROUND((9*$AA103-9*$E103)/(10*$E103),4),0))))</f>
        <v/>
      </c>
      <c r="AD103" s="13" t="n"/>
      <c r="AE103" s="15">
        <f>IF($B103="","",IF($AD103&lt;&gt;"",$AD103,IF($AC103="","",IF($AC103&lt;=設定!$C$3,0,$AC103))))</f>
        <v/>
      </c>
      <c r="AF103" s="14">
        <f>IF($B103="","",IF(AND($AG103&lt;&gt;"",$AI103="",$AL103=""),"保留中",IF($AL103&lt;&gt;"",IF(N($AE103)&gt;0,"支給済","不支給"),IF($AE103="","要確認",IF($AE103=0,"不支給","未処理")))))</f>
        <v/>
      </c>
      <c r="AG103" s="12" t="n"/>
      <c r="AH103" s="11" t="n"/>
      <c r="AI103" s="11" t="n"/>
      <c r="AJ103" s="11" t="n"/>
      <c r="AK103" s="14">
        <f>IF(AND($AF103="保留中",$AH103&lt;&gt;""),TODAY()-$AH103,"")</f>
        <v/>
      </c>
      <c r="AL103" s="12" t="inlineStr">
        <is>
          <t>R8.2</t>
        </is>
      </c>
      <c r="AM103" s="14">
        <f>IF($B103="","",IF($AQ103="","対象年月が未入力／","")&amp;IF($B103="","",IF($AP103="","職員マスタに未登録の職員番号／",IF($AA103="","標準報酬月額が未登録／","")&amp;IF(AND($AQ103&lt;&gt;"",OR(AND(INDEX(職員マスタ!$G$6:$G$405,$AP103)&lt;&gt;"",INDEX(職員マスタ!$G$6:$G$405,$AP103)&gt;EOMONTH($AQ103,0)),AND(INDEX(職員マスタ!$H$6:$H$405,$AP103)&lt;&gt;"",INDEX(職員マスタ!$H$6:$H$405,$AP103)&lt;$AQ103))),"対象月が時短期間外／","")&amp;IF(AND(INDEX(職員マスタ!$K$6:$K$405,$AP103)&lt;&gt;"",N($W103)&gt;0,INDEX(職員マスタ!$K$6:$K$405,$AP103)&lt;&gt;$W103),"標準報酬月額が申請書と相違（台帳"&amp;TEXT(INDEX(職員マスタ!$K$6:$K$405,$AP103),"#,##0")&amp;"円／申請書"&amp;TEXT($W103,"#,##0")&amp;"円）／","")&amp;IF(AND(INDEX(職員マスタ!$F$6:$F$405,$AP103)&lt;&gt;"",$AQ103&lt;&gt;"",INDEX(職員マスタ!$F$6:$F$405,$AP103)&lt;$AQ103),"対象月に子が2歳到達済／","")&amp;IF(AND($H103&lt;&gt;"",INDEX(職員マスタ!$B$6:$B$405,$AP103)&lt;&gt;"",SUBSTITUTE(SUBSTITUTE($H103," ","")," ","")&lt;&gt;SUBSTITUTE(SUBSTITUTE(INDEX(職員マスタ!$B$6:$B$405,$AP103)," ","")," ","")),"氏名がマスタと相違／","")&amp;IF(AND($Q103&lt;&gt;"",INDEX(職員マスタ!$E$6:$E$405,$AP103)&lt;&gt;"",$Q103&lt;&gt;INDEX(職員マスタ!$E$6:$E$405,$AP103)),"子の生年月日がマスタと相違／","")&amp;IF(AND($L103&lt;&gt;"",INDEX(職員マスタ!$G$6:$G$405,$AP103)&lt;&gt;"",$L103&lt;&gt;INDEX(職員マスタ!$G$6:$G$405,$AP103)),"時短開始日がマスタと相違／","")&amp;IF(AND($M103&lt;&gt;"",INDEX(職員マスタ!$H$6:$H$405,$AP103)&lt;&gt;"",$M103&lt;&gt;INDEX(職員マスタ!$H$6:$H$405,$AP103)),"時短終了日がマスタと相違／","")))&amp;IF(AND($B103&lt;&gt;"",$E103=""),"報酬額が未入力／","")&amp;IF(N($U103)&gt;0,"申請書に入力エラーが残っています／","")&amp;IF(AND($B103&lt;&gt;"",$AQ103&lt;&gt;""),IF(COUNTIFS($B$6:$B$3005,$B103,$C$6:$C$3005,$C103,$D$6:$D$3005,$D103)&gt;1,"同じ月の請求が重複しています／",""),"")&amp;IF(AND(N($E103)&gt;0,$AB103&lt;&gt;"",$AB103&lt;&gt;"×",$AE103=0,$AD103=""),"計算額が下限以下のため不支給／",""))</f>
        <v/>
      </c>
      <c r="AN103" s="12" t="n"/>
      <c r="AO103" s="14">
        <f>IF($AF103="保留中",COUNTIF($AF$6:$AF103,"保留中"),"")</f>
        <v/>
      </c>
      <c r="AP103" s="14">
        <f>IF($AQ103="","",IF(SUMPRODUCT(MAX((職員マスタ!$A$6:$A$405=$B103)*(((職員マスタ!$G$6:$G$405="")+(職員マスタ!$G$6:$G$405&lt;=EOMONTH($AQ103,0)))&gt;0)*(((職員マスタ!$H$6:$H$405="")+(職員マスタ!$H$6:$H$405&gt;=$AQ103))&gt;0)*(ROW(職員マスタ!$A$6:$A$405)-5)))&gt;0,SUMPRODUCT(MAX((職員マスタ!$A$6:$A$405=$B103)*(((職員マスタ!$G$6:$G$405="")+(職員マスタ!$G$6:$G$405&lt;=EOMONTH($AQ103,0)))&gt;0)*(((職員マスタ!$H$6:$H$405="")+(職員マスタ!$H$6:$H$405&gt;=$AQ103))&gt;0)*(ROW(職員マスタ!$A$6:$A$405)-5))),IFERROR(MATCH($B103,職員マスタ!$A$6:$A$405,0),"")))</f>
        <v/>
      </c>
      <c r="AQ103" s="16">
        <f>IF(OR($B103="",$C103="",$D103=""),"",DATE($C103+2018,$D103,1))</f>
        <v/>
      </c>
    </row>
    <row r="104">
      <c r="A104" s="11" t="n"/>
      <c r="B104" s="12" t="n">
        <v>6100309</v>
      </c>
      <c r="C104" s="12" t="n">
        <v>8</v>
      </c>
      <c r="D104" s="12" t="n">
        <v>1</v>
      </c>
      <c r="E104" s="13" t="n">
        <v>381764</v>
      </c>
      <c r="F104" s="12" t="n"/>
      <c r="G104" s="13" t="n"/>
      <c r="H104" s="12" t="n"/>
      <c r="I104" s="12" t="n"/>
      <c r="J104" s="12" t="n"/>
      <c r="K104" s="12" t="n"/>
      <c r="L104" s="11" t="n"/>
      <c r="M104" s="11" t="n"/>
      <c r="N104" s="11" t="n"/>
      <c r="O104" s="11" t="n"/>
      <c r="P104" s="12" t="n"/>
      <c r="Q104" s="11" t="n"/>
      <c r="R104" s="12" t="n"/>
      <c r="S104" s="11" t="n"/>
      <c r="T104" s="12" t="n"/>
      <c r="U104" s="12" t="n"/>
      <c r="V104" s="12" t="n"/>
      <c r="W104" s="13" t="n"/>
      <c r="X104" s="14">
        <f>IF($AP104="",IF($B104="","",$H104),IF(INDEX(職員マスタ!$B$6:$B$405,$AP104)="",$H104,INDEX(職員マスタ!$B$6:$B$405,$AP104)))</f>
        <v/>
      </c>
      <c r="Y104" s="14">
        <f>IF($AP104="",IF($B104="","",$R104),IF(INDEX(職員マスタ!$C$6:$C$405,$AP104)="",$R104,INDEX(職員マスタ!$C$6:$C$405,$AP104)))</f>
        <v/>
      </c>
      <c r="Z104" s="14">
        <f>IF($AQ104="","","R"&amp;$C104&amp;"."&amp;$D104)</f>
        <v/>
      </c>
      <c r="AA104" s="15">
        <f>IF(IF($AP104="",FALSE,INDEX(職員マスタ!$K$6:$K$405,$AP104)&lt;&gt;""),INDEX(職員マスタ!$K$6:$K$405,$AP104),IF(N($W104)&gt;0,$W104,""))</f>
        <v/>
      </c>
      <c r="AB104" s="14">
        <f>IF(OR($E104="",$AA104=""),"",IF($E104&gt;=$AA104,"×",IF($E104&gt;=$AA104*設定!$C$5,"△","○")))</f>
        <v/>
      </c>
      <c r="AC104" s="15">
        <f>IF($AB104="","",IF($AB104="×",0,IF($AB104="○",ROUNDDOWN($E104*設定!$C$4,0),ROUNDDOWN($E104*ROUND((9*$AA104-9*$E104)/(10*$E104),4),0))))</f>
        <v/>
      </c>
      <c r="AD104" s="13" t="n"/>
      <c r="AE104" s="15">
        <f>IF($B104="","",IF($AD104&lt;&gt;"",$AD104,IF($AC104="","",IF($AC104&lt;=設定!$C$3,0,$AC104))))</f>
        <v/>
      </c>
      <c r="AF104" s="14">
        <f>IF($B104="","",IF(AND($AG104&lt;&gt;"",$AI104="",$AL104=""),"保留中",IF($AL104&lt;&gt;"",IF(N($AE104)&gt;0,"支給済","不支給"),IF($AE104="","要確認",IF($AE104=0,"不支給","未処理")))))</f>
        <v/>
      </c>
      <c r="AG104" s="12" t="n"/>
      <c r="AH104" s="11" t="n"/>
      <c r="AI104" s="11" t="n"/>
      <c r="AJ104" s="11" t="n"/>
      <c r="AK104" s="14">
        <f>IF(AND($AF104="保留中",$AH104&lt;&gt;""),TODAY()-$AH104,"")</f>
        <v/>
      </c>
      <c r="AL104" s="12" t="inlineStr">
        <is>
          <t>R8.3</t>
        </is>
      </c>
      <c r="AM104" s="14">
        <f>IF($B104="","",IF($AQ104="","対象年月が未入力／","")&amp;IF($B104="","",IF($AP104="","職員マスタに未登録の職員番号／",IF($AA104="","標準報酬月額が未登録／","")&amp;IF(AND($AQ104&lt;&gt;"",OR(AND(INDEX(職員マスタ!$G$6:$G$405,$AP104)&lt;&gt;"",INDEX(職員マスタ!$G$6:$G$405,$AP104)&gt;EOMONTH($AQ104,0)),AND(INDEX(職員マスタ!$H$6:$H$405,$AP104)&lt;&gt;"",INDEX(職員マスタ!$H$6:$H$405,$AP104)&lt;$AQ104))),"対象月が時短期間外／","")&amp;IF(AND(INDEX(職員マスタ!$K$6:$K$405,$AP104)&lt;&gt;"",N($W104)&gt;0,INDEX(職員マスタ!$K$6:$K$405,$AP104)&lt;&gt;$W104),"標準報酬月額が申請書と相違（台帳"&amp;TEXT(INDEX(職員マスタ!$K$6:$K$405,$AP104),"#,##0")&amp;"円／申請書"&amp;TEXT($W104,"#,##0")&amp;"円）／","")&amp;IF(AND(INDEX(職員マスタ!$F$6:$F$405,$AP104)&lt;&gt;"",$AQ104&lt;&gt;"",INDEX(職員マスタ!$F$6:$F$405,$AP104)&lt;$AQ104),"対象月に子が2歳到達済／","")&amp;IF(AND($H104&lt;&gt;"",INDEX(職員マスタ!$B$6:$B$405,$AP104)&lt;&gt;"",SUBSTITUTE(SUBSTITUTE($H104," ","")," ","")&lt;&gt;SUBSTITUTE(SUBSTITUTE(INDEX(職員マスタ!$B$6:$B$405,$AP104)," ","")," ","")),"氏名がマスタと相違／","")&amp;IF(AND($Q104&lt;&gt;"",INDEX(職員マスタ!$E$6:$E$405,$AP104)&lt;&gt;"",$Q104&lt;&gt;INDEX(職員マスタ!$E$6:$E$405,$AP104)),"子の生年月日がマスタと相違／","")&amp;IF(AND($L104&lt;&gt;"",INDEX(職員マスタ!$G$6:$G$405,$AP104)&lt;&gt;"",$L104&lt;&gt;INDEX(職員マスタ!$G$6:$G$405,$AP104)),"時短開始日がマスタと相違／","")&amp;IF(AND($M104&lt;&gt;"",INDEX(職員マスタ!$H$6:$H$405,$AP104)&lt;&gt;"",$M104&lt;&gt;INDEX(職員マスタ!$H$6:$H$405,$AP104)),"時短終了日がマスタと相違／","")))&amp;IF(AND($B104&lt;&gt;"",$E104=""),"報酬額が未入力／","")&amp;IF(N($U104)&gt;0,"申請書に入力エラーが残っています／","")&amp;IF(AND($B104&lt;&gt;"",$AQ104&lt;&gt;""),IF(COUNTIFS($B$6:$B$3005,$B104,$C$6:$C$3005,$C104,$D$6:$D$3005,$D104)&gt;1,"同じ月の請求が重複しています／",""),"")&amp;IF(AND(N($E104)&gt;0,$AB104&lt;&gt;"",$AB104&lt;&gt;"×",$AE104=0,$AD104=""),"計算額が下限以下のため不支給／",""))</f>
        <v/>
      </c>
      <c r="AN104" s="12" t="n"/>
      <c r="AO104" s="14">
        <f>IF($AF104="保留中",COUNTIF($AF$6:$AF104,"保留中"),"")</f>
        <v/>
      </c>
      <c r="AP104" s="14">
        <f>IF($AQ104="","",IF(SUMPRODUCT(MAX((職員マスタ!$A$6:$A$405=$B104)*(((職員マスタ!$G$6:$G$405="")+(職員マスタ!$G$6:$G$405&lt;=EOMONTH($AQ104,0)))&gt;0)*(((職員マスタ!$H$6:$H$405="")+(職員マスタ!$H$6:$H$405&gt;=$AQ104))&gt;0)*(ROW(職員マスタ!$A$6:$A$405)-5)))&gt;0,SUMPRODUCT(MAX((職員マスタ!$A$6:$A$405=$B104)*(((職員マスタ!$G$6:$G$405="")+(職員マスタ!$G$6:$G$405&lt;=EOMONTH($AQ104,0)))&gt;0)*(((職員マスタ!$H$6:$H$405="")+(職員マスタ!$H$6:$H$405&gt;=$AQ104))&gt;0)*(ROW(職員マスタ!$A$6:$A$405)-5))),IFERROR(MATCH($B104,職員マスタ!$A$6:$A$405,0),"")))</f>
        <v/>
      </c>
      <c r="AQ104" s="16">
        <f>IF(OR($B104="",$C104="",$D104=""),"",DATE($C104+2018,$D104,1))</f>
        <v/>
      </c>
    </row>
    <row r="105">
      <c r="A105" s="11" t="n"/>
      <c r="B105" s="12" t="n">
        <v>6100309</v>
      </c>
      <c r="C105" s="12" t="n">
        <v>8</v>
      </c>
      <c r="D105" s="12" t="n">
        <v>2</v>
      </c>
      <c r="E105" s="13" t="n">
        <v>377991</v>
      </c>
      <c r="F105" s="12" t="n"/>
      <c r="G105" s="13" t="n"/>
      <c r="H105" s="12" t="n"/>
      <c r="I105" s="12" t="n"/>
      <c r="J105" s="12" t="n"/>
      <c r="K105" s="12" t="n"/>
      <c r="L105" s="11" t="n"/>
      <c r="M105" s="11" t="n"/>
      <c r="N105" s="11" t="n"/>
      <c r="O105" s="11" t="n"/>
      <c r="P105" s="12" t="n"/>
      <c r="Q105" s="11" t="n"/>
      <c r="R105" s="12" t="n"/>
      <c r="S105" s="11" t="n"/>
      <c r="T105" s="12" t="n"/>
      <c r="U105" s="12" t="n"/>
      <c r="V105" s="12" t="n"/>
      <c r="W105" s="13" t="n"/>
      <c r="X105" s="14">
        <f>IF($AP105="",IF($B105="","",$H105),IF(INDEX(職員マスタ!$B$6:$B$405,$AP105)="",$H105,INDEX(職員マスタ!$B$6:$B$405,$AP105)))</f>
        <v/>
      </c>
      <c r="Y105" s="14">
        <f>IF($AP105="",IF($B105="","",$R105),IF(INDEX(職員マスタ!$C$6:$C$405,$AP105)="",$R105,INDEX(職員マスタ!$C$6:$C$405,$AP105)))</f>
        <v/>
      </c>
      <c r="Z105" s="14">
        <f>IF($AQ105="","","R"&amp;$C105&amp;"."&amp;$D105)</f>
        <v/>
      </c>
      <c r="AA105" s="15">
        <f>IF(IF($AP105="",FALSE,INDEX(職員マスタ!$K$6:$K$405,$AP105)&lt;&gt;""),INDEX(職員マスタ!$K$6:$K$405,$AP105),IF(N($W105)&gt;0,$W105,""))</f>
        <v/>
      </c>
      <c r="AB105" s="14">
        <f>IF(OR($E105="",$AA105=""),"",IF($E105&gt;=$AA105,"×",IF($E105&gt;=$AA105*設定!$C$5,"△","○")))</f>
        <v/>
      </c>
      <c r="AC105" s="15">
        <f>IF($AB105="","",IF($AB105="×",0,IF($AB105="○",ROUNDDOWN($E105*設定!$C$4,0),ROUNDDOWN($E105*ROUND((9*$AA105-9*$E105)/(10*$E105),4),0))))</f>
        <v/>
      </c>
      <c r="AD105" s="13" t="n"/>
      <c r="AE105" s="15">
        <f>IF($B105="","",IF($AD105&lt;&gt;"",$AD105,IF($AC105="","",IF($AC105&lt;=設定!$C$3,0,$AC105))))</f>
        <v/>
      </c>
      <c r="AF105" s="14">
        <f>IF($B105="","",IF(AND($AG105&lt;&gt;"",$AI105="",$AL105=""),"保留中",IF($AL105&lt;&gt;"",IF(N($AE105)&gt;0,"支給済","不支給"),IF($AE105="","要確認",IF($AE105=0,"不支給","未処理")))))</f>
        <v/>
      </c>
      <c r="AG105" s="12" t="n"/>
      <c r="AH105" s="11" t="n"/>
      <c r="AI105" s="11" t="n"/>
      <c r="AJ105" s="11" t="n"/>
      <c r="AK105" s="14">
        <f>IF(AND($AF105="保留中",$AH105&lt;&gt;""),TODAY()-$AH105,"")</f>
        <v/>
      </c>
      <c r="AL105" s="12" t="inlineStr">
        <is>
          <t>R8.4</t>
        </is>
      </c>
      <c r="AM105" s="14">
        <f>IF($B105="","",IF($AQ105="","対象年月が未入力／","")&amp;IF($B105="","",IF($AP105="","職員マスタに未登録の職員番号／",IF($AA105="","標準報酬月額が未登録／","")&amp;IF(AND($AQ105&lt;&gt;"",OR(AND(INDEX(職員マスタ!$G$6:$G$405,$AP105)&lt;&gt;"",INDEX(職員マスタ!$G$6:$G$405,$AP105)&gt;EOMONTH($AQ105,0)),AND(INDEX(職員マスタ!$H$6:$H$405,$AP105)&lt;&gt;"",INDEX(職員マスタ!$H$6:$H$405,$AP105)&lt;$AQ105))),"対象月が時短期間外／","")&amp;IF(AND(INDEX(職員マスタ!$K$6:$K$405,$AP105)&lt;&gt;"",N($W105)&gt;0,INDEX(職員マスタ!$K$6:$K$405,$AP105)&lt;&gt;$W105),"標準報酬月額が申請書と相違（台帳"&amp;TEXT(INDEX(職員マスタ!$K$6:$K$405,$AP105),"#,##0")&amp;"円／申請書"&amp;TEXT($W105,"#,##0")&amp;"円）／","")&amp;IF(AND(INDEX(職員マスタ!$F$6:$F$405,$AP105)&lt;&gt;"",$AQ105&lt;&gt;"",INDEX(職員マスタ!$F$6:$F$405,$AP105)&lt;$AQ105),"対象月に子が2歳到達済／","")&amp;IF(AND($H105&lt;&gt;"",INDEX(職員マスタ!$B$6:$B$405,$AP105)&lt;&gt;"",SUBSTITUTE(SUBSTITUTE($H105," ","")," ","")&lt;&gt;SUBSTITUTE(SUBSTITUTE(INDEX(職員マスタ!$B$6:$B$405,$AP105)," ","")," ","")),"氏名がマスタと相違／","")&amp;IF(AND($Q105&lt;&gt;"",INDEX(職員マスタ!$E$6:$E$405,$AP105)&lt;&gt;"",$Q105&lt;&gt;INDEX(職員マスタ!$E$6:$E$405,$AP105)),"子の生年月日がマスタと相違／","")&amp;IF(AND($L105&lt;&gt;"",INDEX(職員マスタ!$G$6:$G$405,$AP105)&lt;&gt;"",$L105&lt;&gt;INDEX(職員マスタ!$G$6:$G$405,$AP105)),"時短開始日がマスタと相違／","")&amp;IF(AND($M105&lt;&gt;"",INDEX(職員マスタ!$H$6:$H$405,$AP105)&lt;&gt;"",$M105&lt;&gt;INDEX(職員マスタ!$H$6:$H$405,$AP105)),"時短終了日がマスタと相違／","")))&amp;IF(AND($B105&lt;&gt;"",$E105=""),"報酬額が未入力／","")&amp;IF(N($U105)&gt;0,"申請書に入力エラーが残っています／","")&amp;IF(AND($B105&lt;&gt;"",$AQ105&lt;&gt;""),IF(COUNTIFS($B$6:$B$3005,$B105,$C$6:$C$3005,$C105,$D$6:$D$3005,$D105)&gt;1,"同じ月の請求が重複しています／",""),"")&amp;IF(AND(N($E105)&gt;0,$AB105&lt;&gt;"",$AB105&lt;&gt;"×",$AE105=0,$AD105=""),"計算額が下限以下のため不支給／",""))</f>
        <v/>
      </c>
      <c r="AN105" s="12" t="n"/>
      <c r="AO105" s="14">
        <f>IF($AF105="保留中",COUNTIF($AF$6:$AF105,"保留中"),"")</f>
        <v/>
      </c>
      <c r="AP105" s="14">
        <f>IF($AQ105="","",IF(SUMPRODUCT(MAX((職員マスタ!$A$6:$A$405=$B105)*(((職員マスタ!$G$6:$G$405="")+(職員マスタ!$G$6:$G$405&lt;=EOMONTH($AQ105,0)))&gt;0)*(((職員マスタ!$H$6:$H$405="")+(職員マスタ!$H$6:$H$405&gt;=$AQ105))&gt;0)*(ROW(職員マスタ!$A$6:$A$405)-5)))&gt;0,SUMPRODUCT(MAX((職員マスタ!$A$6:$A$405=$B105)*(((職員マスタ!$G$6:$G$405="")+(職員マスタ!$G$6:$G$405&lt;=EOMONTH($AQ105,0)))&gt;0)*(((職員マスタ!$H$6:$H$405="")+(職員マスタ!$H$6:$H$405&gt;=$AQ105))&gt;0)*(ROW(職員マスタ!$A$6:$A$405)-5))),IFERROR(MATCH($B105,職員マスタ!$A$6:$A$405,0),"")))</f>
        <v/>
      </c>
      <c r="AQ105" s="16">
        <f>IF(OR($B105="",$C105="",$D105=""),"",DATE($C105+2018,$D105,1))</f>
        <v/>
      </c>
    </row>
    <row r="106">
      <c r="A106" s="11" t="n"/>
      <c r="B106" s="12" t="n">
        <v>6101653</v>
      </c>
      <c r="C106" s="12" t="n">
        <v>7</v>
      </c>
      <c r="D106" s="12" t="n">
        <v>4</v>
      </c>
      <c r="E106" s="13" t="n">
        <v>111266</v>
      </c>
      <c r="F106" s="12" t="n"/>
      <c r="G106" s="13" t="n"/>
      <c r="H106" s="12" t="n"/>
      <c r="I106" s="12" t="n"/>
      <c r="J106" s="12" t="n"/>
      <c r="K106" s="12" t="n"/>
      <c r="L106" s="11" t="n"/>
      <c r="M106" s="11" t="n"/>
      <c r="N106" s="11" t="n"/>
      <c r="O106" s="11" t="n"/>
      <c r="P106" s="12" t="n"/>
      <c r="Q106" s="11" t="n"/>
      <c r="R106" s="12" t="n"/>
      <c r="S106" s="11" t="n"/>
      <c r="T106" s="12" t="n"/>
      <c r="U106" s="12" t="n"/>
      <c r="V106" s="12" t="n"/>
      <c r="W106" s="13" t="n"/>
      <c r="X106" s="14">
        <f>IF($AP106="",IF($B106="","",$H106),IF(INDEX(職員マスタ!$B$6:$B$405,$AP106)="",$H106,INDEX(職員マスタ!$B$6:$B$405,$AP106)))</f>
        <v/>
      </c>
      <c r="Y106" s="14">
        <f>IF($AP106="",IF($B106="","",$R106),IF(INDEX(職員マスタ!$C$6:$C$405,$AP106)="",$R106,INDEX(職員マスタ!$C$6:$C$405,$AP106)))</f>
        <v/>
      </c>
      <c r="Z106" s="14">
        <f>IF($AQ106="","","R"&amp;$C106&amp;"."&amp;$D106)</f>
        <v/>
      </c>
      <c r="AA106" s="15">
        <f>IF(IF($AP106="",FALSE,INDEX(職員マスタ!$K$6:$K$405,$AP106)&lt;&gt;""),INDEX(職員マスタ!$K$6:$K$405,$AP106),IF(N($W106)&gt;0,$W106,""))</f>
        <v/>
      </c>
      <c r="AB106" s="14">
        <f>IF(OR($E106="",$AA106=""),"",IF($E106&gt;=$AA106,"×",IF($E106&gt;=$AA106*設定!$C$5,"△","○")))</f>
        <v/>
      </c>
      <c r="AC106" s="15">
        <f>IF($AB106="","",IF($AB106="×",0,IF($AB106="○",ROUNDDOWN($E106*設定!$C$4,0),ROUNDDOWN($E106*ROUND((9*$AA106-9*$E106)/(10*$E106),4),0))))</f>
        <v/>
      </c>
      <c r="AD106" s="13" t="n"/>
      <c r="AE106" s="15">
        <f>IF($B106="","",IF($AD106&lt;&gt;"",$AD106,IF($AC106="","",IF($AC106&lt;=設定!$C$3,0,$AC106))))</f>
        <v/>
      </c>
      <c r="AF106" s="14">
        <f>IF($B106="","",IF(AND($AG106&lt;&gt;"",$AI106="",$AL106=""),"保留中",IF($AL106&lt;&gt;"",IF(N($AE106)&gt;0,"支給済","不支給"),IF($AE106="","要確認",IF($AE106=0,"不支給","未処理")))))</f>
        <v/>
      </c>
      <c r="AG106" s="12" t="n"/>
      <c r="AH106" s="11" t="n"/>
      <c r="AI106" s="11" t="n"/>
      <c r="AJ106" s="11" t="n"/>
      <c r="AK106" s="14">
        <f>IF(AND($AF106="保留中",$AH106&lt;&gt;""),TODAY()-$AH106,"")</f>
        <v/>
      </c>
      <c r="AL106" s="12" t="inlineStr">
        <is>
          <t>R7.7</t>
        </is>
      </c>
      <c r="AM106" s="14">
        <f>IF($B106="","",IF($AQ106="","対象年月が未入力／","")&amp;IF($B106="","",IF($AP106="","職員マスタに未登録の職員番号／",IF($AA106="","標準報酬月額が未登録／","")&amp;IF(AND($AQ106&lt;&gt;"",OR(AND(INDEX(職員マスタ!$G$6:$G$405,$AP106)&lt;&gt;"",INDEX(職員マスタ!$G$6:$G$405,$AP106)&gt;EOMONTH($AQ106,0)),AND(INDEX(職員マスタ!$H$6:$H$405,$AP106)&lt;&gt;"",INDEX(職員マスタ!$H$6:$H$405,$AP106)&lt;$AQ106))),"対象月が時短期間外／","")&amp;IF(AND(INDEX(職員マスタ!$K$6:$K$405,$AP106)&lt;&gt;"",N($W106)&gt;0,INDEX(職員マスタ!$K$6:$K$405,$AP106)&lt;&gt;$W106),"標準報酬月額が申請書と相違（台帳"&amp;TEXT(INDEX(職員マスタ!$K$6:$K$405,$AP106),"#,##0")&amp;"円／申請書"&amp;TEXT($W106,"#,##0")&amp;"円）／","")&amp;IF(AND(INDEX(職員マスタ!$F$6:$F$405,$AP106)&lt;&gt;"",$AQ106&lt;&gt;"",INDEX(職員マスタ!$F$6:$F$405,$AP106)&lt;$AQ106),"対象月に子が2歳到達済／","")&amp;IF(AND($H106&lt;&gt;"",INDEX(職員マスタ!$B$6:$B$405,$AP106)&lt;&gt;"",SUBSTITUTE(SUBSTITUTE($H106," ","")," ","")&lt;&gt;SUBSTITUTE(SUBSTITUTE(INDEX(職員マスタ!$B$6:$B$405,$AP106)," ","")," ","")),"氏名がマスタと相違／","")&amp;IF(AND($Q106&lt;&gt;"",INDEX(職員マスタ!$E$6:$E$405,$AP106)&lt;&gt;"",$Q106&lt;&gt;INDEX(職員マスタ!$E$6:$E$405,$AP106)),"子の生年月日がマスタと相違／","")&amp;IF(AND($L106&lt;&gt;"",INDEX(職員マスタ!$G$6:$G$405,$AP106)&lt;&gt;"",$L106&lt;&gt;INDEX(職員マスタ!$G$6:$G$405,$AP106)),"時短開始日がマスタと相違／","")&amp;IF(AND($M106&lt;&gt;"",INDEX(職員マスタ!$H$6:$H$405,$AP106)&lt;&gt;"",$M106&lt;&gt;INDEX(職員マスタ!$H$6:$H$405,$AP106)),"時短終了日がマスタと相違／","")))&amp;IF(AND($B106&lt;&gt;"",$E106=""),"報酬額が未入力／","")&amp;IF(N($U106)&gt;0,"申請書に入力エラーが残っています／","")&amp;IF(AND($B106&lt;&gt;"",$AQ106&lt;&gt;""),IF(COUNTIFS($B$6:$B$3005,$B106,$C$6:$C$3005,$C106,$D$6:$D$3005,$D106)&gt;1,"同じ月の請求が重複しています／",""),"")&amp;IF(AND(N($E106)&gt;0,$AB106&lt;&gt;"",$AB106&lt;&gt;"×",$AE106=0,$AD106=""),"計算額が下限以下のため不支給／",""))</f>
        <v/>
      </c>
      <c r="AN106" s="12" t="n"/>
      <c r="AO106" s="14">
        <f>IF($AF106="保留中",COUNTIF($AF$6:$AF106,"保留中"),"")</f>
        <v/>
      </c>
      <c r="AP106" s="14">
        <f>IF($AQ106="","",IF(SUMPRODUCT(MAX((職員マスタ!$A$6:$A$405=$B106)*(((職員マスタ!$G$6:$G$405="")+(職員マスタ!$G$6:$G$405&lt;=EOMONTH($AQ106,0)))&gt;0)*(((職員マスタ!$H$6:$H$405="")+(職員マスタ!$H$6:$H$405&gt;=$AQ106))&gt;0)*(ROW(職員マスタ!$A$6:$A$405)-5)))&gt;0,SUMPRODUCT(MAX((職員マスタ!$A$6:$A$405=$B106)*(((職員マスタ!$G$6:$G$405="")+(職員マスタ!$G$6:$G$405&lt;=EOMONTH($AQ106,0)))&gt;0)*(((職員マスタ!$H$6:$H$405="")+(職員マスタ!$H$6:$H$405&gt;=$AQ106))&gt;0)*(ROW(職員マスタ!$A$6:$A$405)-5))),IFERROR(MATCH($B106,職員マスタ!$A$6:$A$405,0),"")))</f>
        <v/>
      </c>
      <c r="AQ106" s="16">
        <f>IF(OR($B106="",$C106="",$D106=""),"",DATE($C106+2018,$D106,1))</f>
        <v/>
      </c>
    </row>
    <row r="107">
      <c r="A107" s="11" t="n"/>
      <c r="B107" s="12" t="n">
        <v>6101653</v>
      </c>
      <c r="C107" s="12" t="n">
        <v>7</v>
      </c>
      <c r="D107" s="12" t="n">
        <v>5</v>
      </c>
      <c r="E107" s="13" t="n">
        <v>198843</v>
      </c>
      <c r="F107" s="12" t="n"/>
      <c r="G107" s="13" t="n"/>
      <c r="H107" s="12" t="n"/>
      <c r="I107" s="12" t="n"/>
      <c r="J107" s="12" t="n"/>
      <c r="K107" s="12" t="n"/>
      <c r="L107" s="11" t="n"/>
      <c r="M107" s="11" t="n"/>
      <c r="N107" s="11" t="n"/>
      <c r="O107" s="11" t="n"/>
      <c r="P107" s="12" t="n"/>
      <c r="Q107" s="11" t="n"/>
      <c r="R107" s="12" t="n"/>
      <c r="S107" s="11" t="n"/>
      <c r="T107" s="12" t="n"/>
      <c r="U107" s="12" t="n"/>
      <c r="V107" s="12" t="n"/>
      <c r="W107" s="13" t="n"/>
      <c r="X107" s="14">
        <f>IF($AP107="",IF($B107="","",$H107),IF(INDEX(職員マスタ!$B$6:$B$405,$AP107)="",$H107,INDEX(職員マスタ!$B$6:$B$405,$AP107)))</f>
        <v/>
      </c>
      <c r="Y107" s="14">
        <f>IF($AP107="",IF($B107="","",$R107),IF(INDEX(職員マスタ!$C$6:$C$405,$AP107)="",$R107,INDEX(職員マスタ!$C$6:$C$405,$AP107)))</f>
        <v/>
      </c>
      <c r="Z107" s="14">
        <f>IF($AQ107="","","R"&amp;$C107&amp;"."&amp;$D107)</f>
        <v/>
      </c>
      <c r="AA107" s="15">
        <f>IF(IF($AP107="",FALSE,INDEX(職員マスタ!$K$6:$K$405,$AP107)&lt;&gt;""),INDEX(職員マスタ!$K$6:$K$405,$AP107),IF(N($W107)&gt;0,$W107,""))</f>
        <v/>
      </c>
      <c r="AB107" s="14">
        <f>IF(OR($E107="",$AA107=""),"",IF($E107&gt;=$AA107,"×",IF($E107&gt;=$AA107*設定!$C$5,"△","○")))</f>
        <v/>
      </c>
      <c r="AC107" s="15">
        <f>IF($AB107="","",IF($AB107="×",0,IF($AB107="○",ROUNDDOWN($E107*設定!$C$4,0),ROUNDDOWN($E107*ROUND((9*$AA107-9*$E107)/(10*$E107),4),0))))</f>
        <v/>
      </c>
      <c r="AD107" s="13" t="n"/>
      <c r="AE107" s="15">
        <f>IF($B107="","",IF($AD107&lt;&gt;"",$AD107,IF($AC107="","",IF($AC107&lt;=設定!$C$3,0,$AC107))))</f>
        <v/>
      </c>
      <c r="AF107" s="14">
        <f>IF($B107="","",IF(AND($AG107&lt;&gt;"",$AI107="",$AL107=""),"保留中",IF($AL107&lt;&gt;"",IF(N($AE107)&gt;0,"支給済","不支給"),IF($AE107="","要確認",IF($AE107=0,"不支給","未処理")))))</f>
        <v/>
      </c>
      <c r="AG107" s="12" t="n"/>
      <c r="AH107" s="11" t="n"/>
      <c r="AI107" s="11" t="n"/>
      <c r="AJ107" s="11" t="n"/>
      <c r="AK107" s="14">
        <f>IF(AND($AF107="保留中",$AH107&lt;&gt;""),TODAY()-$AH107,"")</f>
        <v/>
      </c>
      <c r="AL107" s="12" t="inlineStr">
        <is>
          <t>R7.7</t>
        </is>
      </c>
      <c r="AM107" s="14">
        <f>IF($B107="","",IF($AQ107="","対象年月が未入力／","")&amp;IF($B107="","",IF($AP107="","職員マスタに未登録の職員番号／",IF($AA107="","標準報酬月額が未登録／","")&amp;IF(AND($AQ107&lt;&gt;"",OR(AND(INDEX(職員マスタ!$G$6:$G$405,$AP107)&lt;&gt;"",INDEX(職員マスタ!$G$6:$G$405,$AP107)&gt;EOMONTH($AQ107,0)),AND(INDEX(職員マスタ!$H$6:$H$405,$AP107)&lt;&gt;"",INDEX(職員マスタ!$H$6:$H$405,$AP107)&lt;$AQ107))),"対象月が時短期間外／","")&amp;IF(AND(INDEX(職員マスタ!$K$6:$K$405,$AP107)&lt;&gt;"",N($W107)&gt;0,INDEX(職員マスタ!$K$6:$K$405,$AP107)&lt;&gt;$W107),"標準報酬月額が申請書と相違（台帳"&amp;TEXT(INDEX(職員マスタ!$K$6:$K$405,$AP107),"#,##0")&amp;"円／申請書"&amp;TEXT($W107,"#,##0")&amp;"円）／","")&amp;IF(AND(INDEX(職員マスタ!$F$6:$F$405,$AP107)&lt;&gt;"",$AQ107&lt;&gt;"",INDEX(職員マスタ!$F$6:$F$405,$AP107)&lt;$AQ107),"対象月に子が2歳到達済／","")&amp;IF(AND($H107&lt;&gt;"",INDEX(職員マスタ!$B$6:$B$405,$AP107)&lt;&gt;"",SUBSTITUTE(SUBSTITUTE($H107," ","")," ","")&lt;&gt;SUBSTITUTE(SUBSTITUTE(INDEX(職員マスタ!$B$6:$B$405,$AP107)," ","")," ","")),"氏名がマスタと相違／","")&amp;IF(AND($Q107&lt;&gt;"",INDEX(職員マスタ!$E$6:$E$405,$AP107)&lt;&gt;"",$Q107&lt;&gt;INDEX(職員マスタ!$E$6:$E$405,$AP107)),"子の生年月日がマスタと相違／","")&amp;IF(AND($L107&lt;&gt;"",INDEX(職員マスタ!$G$6:$G$405,$AP107)&lt;&gt;"",$L107&lt;&gt;INDEX(職員マスタ!$G$6:$G$405,$AP107)),"時短開始日がマスタと相違／","")&amp;IF(AND($M107&lt;&gt;"",INDEX(職員マスタ!$H$6:$H$405,$AP107)&lt;&gt;"",$M107&lt;&gt;INDEX(職員マスタ!$H$6:$H$405,$AP107)),"時短終了日がマスタと相違／","")))&amp;IF(AND($B107&lt;&gt;"",$E107=""),"報酬額が未入力／","")&amp;IF(N($U107)&gt;0,"申請書に入力エラーが残っています／","")&amp;IF(AND($B107&lt;&gt;"",$AQ107&lt;&gt;""),IF(COUNTIFS($B$6:$B$3005,$B107,$C$6:$C$3005,$C107,$D$6:$D$3005,$D107)&gt;1,"同じ月の請求が重複しています／",""),"")&amp;IF(AND(N($E107)&gt;0,$AB107&lt;&gt;"",$AB107&lt;&gt;"×",$AE107=0,$AD107=""),"計算額が下限以下のため不支給／",""))</f>
        <v/>
      </c>
      <c r="AN107" s="12" t="n"/>
      <c r="AO107" s="14">
        <f>IF($AF107="保留中",COUNTIF($AF$6:$AF107,"保留中"),"")</f>
        <v/>
      </c>
      <c r="AP107" s="14">
        <f>IF($AQ107="","",IF(SUMPRODUCT(MAX((職員マスタ!$A$6:$A$405=$B107)*(((職員マスタ!$G$6:$G$405="")+(職員マスタ!$G$6:$G$405&lt;=EOMONTH($AQ107,0)))&gt;0)*(((職員マスタ!$H$6:$H$405="")+(職員マスタ!$H$6:$H$405&gt;=$AQ107))&gt;0)*(ROW(職員マスタ!$A$6:$A$405)-5)))&gt;0,SUMPRODUCT(MAX((職員マスタ!$A$6:$A$405=$B107)*(((職員マスタ!$G$6:$G$405="")+(職員マスタ!$G$6:$G$405&lt;=EOMONTH($AQ107,0)))&gt;0)*(((職員マスタ!$H$6:$H$405="")+(職員マスタ!$H$6:$H$405&gt;=$AQ107))&gt;0)*(ROW(職員マスタ!$A$6:$A$405)-5))),IFERROR(MATCH($B107,職員マスタ!$A$6:$A$405,0),"")))</f>
        <v/>
      </c>
      <c r="AQ107" s="16">
        <f>IF(OR($B107="",$C107="",$D107=""),"",DATE($C107+2018,$D107,1))</f>
        <v/>
      </c>
    </row>
    <row r="108">
      <c r="A108" s="11" t="n"/>
      <c r="B108" s="12" t="n">
        <v>6101653</v>
      </c>
      <c r="C108" s="12" t="n">
        <v>7</v>
      </c>
      <c r="D108" s="12" t="n">
        <v>6</v>
      </c>
      <c r="E108" s="13" t="n">
        <v>198843</v>
      </c>
      <c r="F108" s="12" t="n"/>
      <c r="G108" s="13" t="n"/>
      <c r="H108" s="12" t="n"/>
      <c r="I108" s="12" t="n"/>
      <c r="J108" s="12" t="n"/>
      <c r="K108" s="12" t="n"/>
      <c r="L108" s="11" t="n"/>
      <c r="M108" s="11" t="n"/>
      <c r="N108" s="11" t="n"/>
      <c r="O108" s="11" t="n"/>
      <c r="P108" s="12" t="n"/>
      <c r="Q108" s="11" t="n"/>
      <c r="R108" s="12" t="n"/>
      <c r="S108" s="11" t="n"/>
      <c r="T108" s="12" t="n"/>
      <c r="U108" s="12" t="n"/>
      <c r="V108" s="12" t="n"/>
      <c r="W108" s="13" t="n"/>
      <c r="X108" s="14">
        <f>IF($AP108="",IF($B108="","",$H108),IF(INDEX(職員マスタ!$B$6:$B$405,$AP108)="",$H108,INDEX(職員マスタ!$B$6:$B$405,$AP108)))</f>
        <v/>
      </c>
      <c r="Y108" s="14">
        <f>IF($AP108="",IF($B108="","",$R108),IF(INDEX(職員マスタ!$C$6:$C$405,$AP108)="",$R108,INDEX(職員マスタ!$C$6:$C$405,$AP108)))</f>
        <v/>
      </c>
      <c r="Z108" s="14">
        <f>IF($AQ108="","","R"&amp;$C108&amp;"."&amp;$D108)</f>
        <v/>
      </c>
      <c r="AA108" s="15">
        <f>IF(IF($AP108="",FALSE,INDEX(職員マスタ!$K$6:$K$405,$AP108)&lt;&gt;""),INDEX(職員マスタ!$K$6:$K$405,$AP108),IF(N($W108)&gt;0,$W108,""))</f>
        <v/>
      </c>
      <c r="AB108" s="14">
        <f>IF(OR($E108="",$AA108=""),"",IF($E108&gt;=$AA108,"×",IF($E108&gt;=$AA108*設定!$C$5,"△","○")))</f>
        <v/>
      </c>
      <c r="AC108" s="15">
        <f>IF($AB108="","",IF($AB108="×",0,IF($AB108="○",ROUNDDOWN($E108*設定!$C$4,0),ROUNDDOWN($E108*ROUND((9*$AA108-9*$E108)/(10*$E108),4),0))))</f>
        <v/>
      </c>
      <c r="AD108" s="13" t="n"/>
      <c r="AE108" s="15">
        <f>IF($B108="","",IF($AD108&lt;&gt;"",$AD108,IF($AC108="","",IF($AC108&lt;=設定!$C$3,0,$AC108))))</f>
        <v/>
      </c>
      <c r="AF108" s="14">
        <f>IF($B108="","",IF(AND($AG108&lt;&gt;"",$AI108="",$AL108=""),"保留中",IF($AL108&lt;&gt;"",IF(N($AE108)&gt;0,"支給済","不支給"),IF($AE108="","要確認",IF($AE108=0,"不支給","未処理")))))</f>
        <v/>
      </c>
      <c r="AG108" s="12" t="n"/>
      <c r="AH108" s="11" t="n"/>
      <c r="AI108" s="11" t="n"/>
      <c r="AJ108" s="11" t="n"/>
      <c r="AK108" s="14">
        <f>IF(AND($AF108="保留中",$AH108&lt;&gt;""),TODAY()-$AH108,"")</f>
        <v/>
      </c>
      <c r="AL108" s="12" t="inlineStr">
        <is>
          <t>R7.10</t>
        </is>
      </c>
      <c r="AM108" s="14">
        <f>IF($B108="","",IF($AQ108="","対象年月が未入力／","")&amp;IF($B108="","",IF($AP108="","職員マスタに未登録の職員番号／",IF($AA108="","標準報酬月額が未登録／","")&amp;IF(AND($AQ108&lt;&gt;"",OR(AND(INDEX(職員マスタ!$G$6:$G$405,$AP108)&lt;&gt;"",INDEX(職員マスタ!$G$6:$G$405,$AP108)&gt;EOMONTH($AQ108,0)),AND(INDEX(職員マスタ!$H$6:$H$405,$AP108)&lt;&gt;"",INDEX(職員マスタ!$H$6:$H$405,$AP108)&lt;$AQ108))),"対象月が時短期間外／","")&amp;IF(AND(INDEX(職員マスタ!$K$6:$K$405,$AP108)&lt;&gt;"",N($W108)&gt;0,INDEX(職員マスタ!$K$6:$K$405,$AP108)&lt;&gt;$W108),"標準報酬月額が申請書と相違（台帳"&amp;TEXT(INDEX(職員マスタ!$K$6:$K$405,$AP108),"#,##0")&amp;"円／申請書"&amp;TEXT($W108,"#,##0")&amp;"円）／","")&amp;IF(AND(INDEX(職員マスタ!$F$6:$F$405,$AP108)&lt;&gt;"",$AQ108&lt;&gt;"",INDEX(職員マスタ!$F$6:$F$405,$AP108)&lt;$AQ108),"対象月に子が2歳到達済／","")&amp;IF(AND($H108&lt;&gt;"",INDEX(職員マスタ!$B$6:$B$405,$AP108)&lt;&gt;"",SUBSTITUTE(SUBSTITUTE($H108," ","")," ","")&lt;&gt;SUBSTITUTE(SUBSTITUTE(INDEX(職員マスタ!$B$6:$B$405,$AP108)," ","")," ","")),"氏名がマスタと相違／","")&amp;IF(AND($Q108&lt;&gt;"",INDEX(職員マスタ!$E$6:$E$405,$AP108)&lt;&gt;"",$Q108&lt;&gt;INDEX(職員マスタ!$E$6:$E$405,$AP108)),"子の生年月日がマスタと相違／","")&amp;IF(AND($L108&lt;&gt;"",INDEX(職員マスタ!$G$6:$G$405,$AP108)&lt;&gt;"",$L108&lt;&gt;INDEX(職員マスタ!$G$6:$G$405,$AP108)),"時短開始日がマスタと相違／","")&amp;IF(AND($M108&lt;&gt;"",INDEX(職員マスタ!$H$6:$H$405,$AP108)&lt;&gt;"",$M108&lt;&gt;INDEX(職員マスタ!$H$6:$H$405,$AP108)),"時短終了日がマスタと相違／","")))&amp;IF(AND($B108&lt;&gt;"",$E108=""),"報酬額が未入力／","")&amp;IF(N($U108)&gt;0,"申請書に入力エラーが残っています／","")&amp;IF(AND($B108&lt;&gt;"",$AQ108&lt;&gt;""),IF(COUNTIFS($B$6:$B$3005,$B108,$C$6:$C$3005,$C108,$D$6:$D$3005,$D108)&gt;1,"同じ月の請求が重複しています／",""),"")&amp;IF(AND(N($E108)&gt;0,$AB108&lt;&gt;"",$AB108&lt;&gt;"×",$AE108=0,$AD108=""),"計算額が下限以下のため不支給／",""))</f>
        <v/>
      </c>
      <c r="AN108" s="12" t="n"/>
      <c r="AO108" s="14">
        <f>IF($AF108="保留中",COUNTIF($AF$6:$AF108,"保留中"),"")</f>
        <v/>
      </c>
      <c r="AP108" s="14">
        <f>IF($AQ108="","",IF(SUMPRODUCT(MAX((職員マスタ!$A$6:$A$405=$B108)*(((職員マスタ!$G$6:$G$405="")+(職員マスタ!$G$6:$G$405&lt;=EOMONTH($AQ108,0)))&gt;0)*(((職員マスタ!$H$6:$H$405="")+(職員マスタ!$H$6:$H$405&gt;=$AQ108))&gt;0)*(ROW(職員マスタ!$A$6:$A$405)-5)))&gt;0,SUMPRODUCT(MAX((職員マスタ!$A$6:$A$405=$B108)*(((職員マスタ!$G$6:$G$405="")+(職員マスタ!$G$6:$G$405&lt;=EOMONTH($AQ108,0)))&gt;0)*(((職員マスタ!$H$6:$H$405="")+(職員マスタ!$H$6:$H$405&gt;=$AQ108))&gt;0)*(ROW(職員マスタ!$A$6:$A$405)-5))),IFERROR(MATCH($B108,職員マスタ!$A$6:$A$405,0),"")))</f>
        <v/>
      </c>
      <c r="AQ108" s="16">
        <f>IF(OR($B108="",$C108="",$D108=""),"",DATE($C108+2018,$D108,1))</f>
        <v/>
      </c>
    </row>
    <row r="109">
      <c r="A109" s="11" t="n"/>
      <c r="B109" s="12" t="n">
        <v>6101653</v>
      </c>
      <c r="C109" s="12" t="n">
        <v>7</v>
      </c>
      <c r="D109" s="12" t="n">
        <v>7</v>
      </c>
      <c r="E109" s="13" t="n">
        <v>198843</v>
      </c>
      <c r="F109" s="12" t="n"/>
      <c r="G109" s="13" t="n"/>
      <c r="H109" s="12" t="n"/>
      <c r="I109" s="12" t="n"/>
      <c r="J109" s="12" t="n"/>
      <c r="K109" s="12" t="n"/>
      <c r="L109" s="11" t="n"/>
      <c r="M109" s="11" t="n"/>
      <c r="N109" s="11" t="n"/>
      <c r="O109" s="11" t="n"/>
      <c r="P109" s="12" t="n"/>
      <c r="Q109" s="11" t="n"/>
      <c r="R109" s="12" t="n"/>
      <c r="S109" s="11" t="n"/>
      <c r="T109" s="12" t="n"/>
      <c r="U109" s="12" t="n"/>
      <c r="V109" s="12" t="n"/>
      <c r="W109" s="13" t="n"/>
      <c r="X109" s="14">
        <f>IF($AP109="",IF($B109="","",$H109),IF(INDEX(職員マスタ!$B$6:$B$405,$AP109)="",$H109,INDEX(職員マスタ!$B$6:$B$405,$AP109)))</f>
        <v/>
      </c>
      <c r="Y109" s="14">
        <f>IF($AP109="",IF($B109="","",$R109),IF(INDEX(職員マスタ!$C$6:$C$405,$AP109)="",$R109,INDEX(職員マスタ!$C$6:$C$405,$AP109)))</f>
        <v/>
      </c>
      <c r="Z109" s="14">
        <f>IF($AQ109="","","R"&amp;$C109&amp;"."&amp;$D109)</f>
        <v/>
      </c>
      <c r="AA109" s="15">
        <f>IF(IF($AP109="",FALSE,INDEX(職員マスタ!$K$6:$K$405,$AP109)&lt;&gt;""),INDEX(職員マスタ!$K$6:$K$405,$AP109),IF(N($W109)&gt;0,$W109,""))</f>
        <v/>
      </c>
      <c r="AB109" s="14">
        <f>IF(OR($E109="",$AA109=""),"",IF($E109&gt;=$AA109,"×",IF($E109&gt;=$AA109*設定!$C$5,"△","○")))</f>
        <v/>
      </c>
      <c r="AC109" s="15">
        <f>IF($AB109="","",IF($AB109="×",0,IF($AB109="○",ROUNDDOWN($E109*設定!$C$4,0),ROUNDDOWN($E109*ROUND((9*$AA109-9*$E109)/(10*$E109),4),0))))</f>
        <v/>
      </c>
      <c r="AD109" s="13" t="n"/>
      <c r="AE109" s="15">
        <f>IF($B109="","",IF($AD109&lt;&gt;"",$AD109,IF($AC109="","",IF($AC109&lt;=設定!$C$3,0,$AC109))))</f>
        <v/>
      </c>
      <c r="AF109" s="14">
        <f>IF($B109="","",IF(AND($AG109&lt;&gt;"",$AI109="",$AL109=""),"保留中",IF($AL109&lt;&gt;"",IF(N($AE109)&gt;0,"支給済","不支給"),IF($AE109="","要確認",IF($AE109=0,"不支給","未処理")))))</f>
        <v/>
      </c>
      <c r="AG109" s="12" t="n"/>
      <c r="AH109" s="11" t="n"/>
      <c r="AI109" s="11" t="n"/>
      <c r="AJ109" s="11" t="n"/>
      <c r="AK109" s="14">
        <f>IF(AND($AF109="保留中",$AH109&lt;&gt;""),TODAY()-$AH109,"")</f>
        <v/>
      </c>
      <c r="AL109" s="12" t="inlineStr">
        <is>
          <t>R7.10</t>
        </is>
      </c>
      <c r="AM109" s="14">
        <f>IF($B109="","",IF($AQ109="","対象年月が未入力／","")&amp;IF($B109="","",IF($AP109="","職員マスタに未登録の職員番号／",IF($AA109="","標準報酬月額が未登録／","")&amp;IF(AND($AQ109&lt;&gt;"",OR(AND(INDEX(職員マスタ!$G$6:$G$405,$AP109)&lt;&gt;"",INDEX(職員マスタ!$G$6:$G$405,$AP109)&gt;EOMONTH($AQ109,0)),AND(INDEX(職員マスタ!$H$6:$H$405,$AP109)&lt;&gt;"",INDEX(職員マスタ!$H$6:$H$405,$AP109)&lt;$AQ109))),"対象月が時短期間外／","")&amp;IF(AND(INDEX(職員マスタ!$K$6:$K$405,$AP109)&lt;&gt;"",N($W109)&gt;0,INDEX(職員マスタ!$K$6:$K$405,$AP109)&lt;&gt;$W109),"標準報酬月額が申請書と相違（台帳"&amp;TEXT(INDEX(職員マスタ!$K$6:$K$405,$AP109),"#,##0")&amp;"円／申請書"&amp;TEXT($W109,"#,##0")&amp;"円）／","")&amp;IF(AND(INDEX(職員マスタ!$F$6:$F$405,$AP109)&lt;&gt;"",$AQ109&lt;&gt;"",INDEX(職員マスタ!$F$6:$F$405,$AP109)&lt;$AQ109),"対象月に子が2歳到達済／","")&amp;IF(AND($H109&lt;&gt;"",INDEX(職員マスタ!$B$6:$B$405,$AP109)&lt;&gt;"",SUBSTITUTE(SUBSTITUTE($H109," ","")," ","")&lt;&gt;SUBSTITUTE(SUBSTITUTE(INDEX(職員マスタ!$B$6:$B$405,$AP109)," ","")," ","")),"氏名がマスタと相違／","")&amp;IF(AND($Q109&lt;&gt;"",INDEX(職員マスタ!$E$6:$E$405,$AP109)&lt;&gt;"",$Q109&lt;&gt;INDEX(職員マスタ!$E$6:$E$405,$AP109)),"子の生年月日がマスタと相違／","")&amp;IF(AND($L109&lt;&gt;"",INDEX(職員マスタ!$G$6:$G$405,$AP109)&lt;&gt;"",$L109&lt;&gt;INDEX(職員マスタ!$G$6:$G$405,$AP109)),"時短開始日がマスタと相違／","")&amp;IF(AND($M109&lt;&gt;"",INDEX(職員マスタ!$H$6:$H$405,$AP109)&lt;&gt;"",$M109&lt;&gt;INDEX(職員マスタ!$H$6:$H$405,$AP109)),"時短終了日がマスタと相違／","")))&amp;IF(AND($B109&lt;&gt;"",$E109=""),"報酬額が未入力／","")&amp;IF(N($U109)&gt;0,"申請書に入力エラーが残っています／","")&amp;IF(AND($B109&lt;&gt;"",$AQ109&lt;&gt;""),IF(COUNTIFS($B$6:$B$3005,$B109,$C$6:$C$3005,$C109,$D$6:$D$3005,$D109)&gt;1,"同じ月の請求が重複しています／",""),"")&amp;IF(AND(N($E109)&gt;0,$AB109&lt;&gt;"",$AB109&lt;&gt;"×",$AE109=0,$AD109=""),"計算額が下限以下のため不支給／",""))</f>
        <v/>
      </c>
      <c r="AN109" s="12" t="n"/>
      <c r="AO109" s="14">
        <f>IF($AF109="保留中",COUNTIF($AF$6:$AF109,"保留中"),"")</f>
        <v/>
      </c>
      <c r="AP109" s="14">
        <f>IF($AQ109="","",IF(SUMPRODUCT(MAX((職員マスタ!$A$6:$A$405=$B109)*(((職員マスタ!$G$6:$G$405="")+(職員マスタ!$G$6:$G$405&lt;=EOMONTH($AQ109,0)))&gt;0)*(((職員マスタ!$H$6:$H$405="")+(職員マスタ!$H$6:$H$405&gt;=$AQ109))&gt;0)*(ROW(職員マスタ!$A$6:$A$405)-5)))&gt;0,SUMPRODUCT(MAX((職員マスタ!$A$6:$A$405=$B109)*(((職員マスタ!$G$6:$G$405="")+(職員マスタ!$G$6:$G$405&lt;=EOMONTH($AQ109,0)))&gt;0)*(((職員マスタ!$H$6:$H$405="")+(職員マスタ!$H$6:$H$405&gt;=$AQ109))&gt;0)*(ROW(職員マスタ!$A$6:$A$405)-5))),IFERROR(MATCH($B109,職員マスタ!$A$6:$A$405,0),"")))</f>
        <v/>
      </c>
      <c r="AQ109" s="16">
        <f>IF(OR($B109="",$C109="",$D109=""),"",DATE($C109+2018,$D109,1))</f>
        <v/>
      </c>
    </row>
    <row r="110">
      <c r="A110" s="11" t="n"/>
      <c r="B110" s="12" t="n">
        <v>6101653</v>
      </c>
      <c r="C110" s="12" t="n">
        <v>7</v>
      </c>
      <c r="D110" s="12" t="n">
        <v>8</v>
      </c>
      <c r="E110" s="13" t="n">
        <v>198843</v>
      </c>
      <c r="F110" s="12" t="n"/>
      <c r="G110" s="13" t="n"/>
      <c r="H110" s="12" t="n"/>
      <c r="I110" s="12" t="n"/>
      <c r="J110" s="12" t="n"/>
      <c r="K110" s="12" t="n"/>
      <c r="L110" s="11" t="n"/>
      <c r="M110" s="11" t="n"/>
      <c r="N110" s="11" t="n"/>
      <c r="O110" s="11" t="n"/>
      <c r="P110" s="12" t="n"/>
      <c r="Q110" s="11" t="n"/>
      <c r="R110" s="12" t="n"/>
      <c r="S110" s="11" t="n"/>
      <c r="T110" s="12" t="n"/>
      <c r="U110" s="12" t="n"/>
      <c r="V110" s="12" t="n"/>
      <c r="W110" s="13" t="n"/>
      <c r="X110" s="14">
        <f>IF($AP110="",IF($B110="","",$H110),IF(INDEX(職員マスタ!$B$6:$B$405,$AP110)="",$H110,INDEX(職員マスタ!$B$6:$B$405,$AP110)))</f>
        <v/>
      </c>
      <c r="Y110" s="14">
        <f>IF($AP110="",IF($B110="","",$R110),IF(INDEX(職員マスタ!$C$6:$C$405,$AP110)="",$R110,INDEX(職員マスタ!$C$6:$C$405,$AP110)))</f>
        <v/>
      </c>
      <c r="Z110" s="14">
        <f>IF($AQ110="","","R"&amp;$C110&amp;"."&amp;$D110)</f>
        <v/>
      </c>
      <c r="AA110" s="15">
        <f>IF(IF($AP110="",FALSE,INDEX(職員マスタ!$K$6:$K$405,$AP110)&lt;&gt;""),INDEX(職員マスタ!$K$6:$K$405,$AP110),IF(N($W110)&gt;0,$W110,""))</f>
        <v/>
      </c>
      <c r="AB110" s="14">
        <f>IF(OR($E110="",$AA110=""),"",IF($E110&gt;=$AA110,"×",IF($E110&gt;=$AA110*設定!$C$5,"△","○")))</f>
        <v/>
      </c>
      <c r="AC110" s="15">
        <f>IF($AB110="","",IF($AB110="×",0,IF($AB110="○",ROUNDDOWN($E110*設定!$C$4,0),ROUNDDOWN($E110*ROUND((9*$AA110-9*$E110)/(10*$E110),4),0))))</f>
        <v/>
      </c>
      <c r="AD110" s="13" t="n"/>
      <c r="AE110" s="15">
        <f>IF($B110="","",IF($AD110&lt;&gt;"",$AD110,IF($AC110="","",IF($AC110&lt;=設定!$C$3,0,$AC110))))</f>
        <v/>
      </c>
      <c r="AF110" s="14">
        <f>IF($B110="","",IF(AND($AG110&lt;&gt;"",$AI110="",$AL110=""),"保留中",IF($AL110&lt;&gt;"",IF(N($AE110)&gt;0,"支給済","不支給"),IF($AE110="","要確認",IF($AE110=0,"不支給","未処理")))))</f>
        <v/>
      </c>
      <c r="AG110" s="12" t="n"/>
      <c r="AH110" s="11" t="n"/>
      <c r="AI110" s="11" t="n"/>
      <c r="AJ110" s="11" t="n"/>
      <c r="AK110" s="14">
        <f>IF(AND($AF110="保留中",$AH110&lt;&gt;""),TODAY()-$AH110,"")</f>
        <v/>
      </c>
      <c r="AL110" s="12" t="inlineStr">
        <is>
          <t>R7.10</t>
        </is>
      </c>
      <c r="AM110" s="14">
        <f>IF($B110="","",IF($AQ110="","対象年月が未入力／","")&amp;IF($B110="","",IF($AP110="","職員マスタに未登録の職員番号／",IF($AA110="","標準報酬月額が未登録／","")&amp;IF(AND($AQ110&lt;&gt;"",OR(AND(INDEX(職員マスタ!$G$6:$G$405,$AP110)&lt;&gt;"",INDEX(職員マスタ!$G$6:$G$405,$AP110)&gt;EOMONTH($AQ110,0)),AND(INDEX(職員マスタ!$H$6:$H$405,$AP110)&lt;&gt;"",INDEX(職員マスタ!$H$6:$H$405,$AP110)&lt;$AQ110))),"対象月が時短期間外／","")&amp;IF(AND(INDEX(職員マスタ!$K$6:$K$405,$AP110)&lt;&gt;"",N($W110)&gt;0,INDEX(職員マスタ!$K$6:$K$405,$AP110)&lt;&gt;$W110),"標準報酬月額が申請書と相違（台帳"&amp;TEXT(INDEX(職員マスタ!$K$6:$K$405,$AP110),"#,##0")&amp;"円／申請書"&amp;TEXT($W110,"#,##0")&amp;"円）／","")&amp;IF(AND(INDEX(職員マスタ!$F$6:$F$405,$AP110)&lt;&gt;"",$AQ110&lt;&gt;"",INDEX(職員マスタ!$F$6:$F$405,$AP110)&lt;$AQ110),"対象月に子が2歳到達済／","")&amp;IF(AND($H110&lt;&gt;"",INDEX(職員マスタ!$B$6:$B$405,$AP110)&lt;&gt;"",SUBSTITUTE(SUBSTITUTE($H110," ","")," ","")&lt;&gt;SUBSTITUTE(SUBSTITUTE(INDEX(職員マスタ!$B$6:$B$405,$AP110)," ","")," ","")),"氏名がマスタと相違／","")&amp;IF(AND($Q110&lt;&gt;"",INDEX(職員マスタ!$E$6:$E$405,$AP110)&lt;&gt;"",$Q110&lt;&gt;INDEX(職員マスタ!$E$6:$E$405,$AP110)),"子の生年月日がマスタと相違／","")&amp;IF(AND($L110&lt;&gt;"",INDEX(職員マスタ!$G$6:$G$405,$AP110)&lt;&gt;"",$L110&lt;&gt;INDEX(職員マスタ!$G$6:$G$405,$AP110)),"時短開始日がマスタと相違／","")&amp;IF(AND($M110&lt;&gt;"",INDEX(職員マスタ!$H$6:$H$405,$AP110)&lt;&gt;"",$M110&lt;&gt;INDEX(職員マスタ!$H$6:$H$405,$AP110)),"時短終了日がマスタと相違／","")))&amp;IF(AND($B110&lt;&gt;"",$E110=""),"報酬額が未入力／","")&amp;IF(N($U110)&gt;0,"申請書に入力エラーが残っています／","")&amp;IF(AND($B110&lt;&gt;"",$AQ110&lt;&gt;""),IF(COUNTIFS($B$6:$B$3005,$B110,$C$6:$C$3005,$C110,$D$6:$D$3005,$D110)&gt;1,"同じ月の請求が重複しています／",""),"")&amp;IF(AND(N($E110)&gt;0,$AB110&lt;&gt;"",$AB110&lt;&gt;"×",$AE110=0,$AD110=""),"計算額が下限以下のため不支給／",""))</f>
        <v/>
      </c>
      <c r="AN110" s="12" t="n"/>
      <c r="AO110" s="14">
        <f>IF($AF110="保留中",COUNTIF($AF$6:$AF110,"保留中"),"")</f>
        <v/>
      </c>
      <c r="AP110" s="14">
        <f>IF($AQ110="","",IF(SUMPRODUCT(MAX((職員マスタ!$A$6:$A$405=$B110)*(((職員マスタ!$G$6:$G$405="")+(職員マスタ!$G$6:$G$405&lt;=EOMONTH($AQ110,0)))&gt;0)*(((職員マスタ!$H$6:$H$405="")+(職員マスタ!$H$6:$H$405&gt;=$AQ110))&gt;0)*(ROW(職員マスタ!$A$6:$A$405)-5)))&gt;0,SUMPRODUCT(MAX((職員マスタ!$A$6:$A$405=$B110)*(((職員マスタ!$G$6:$G$405="")+(職員マスタ!$G$6:$G$405&lt;=EOMONTH($AQ110,0)))&gt;0)*(((職員マスタ!$H$6:$H$405="")+(職員マスタ!$H$6:$H$405&gt;=$AQ110))&gt;0)*(ROW(職員マスタ!$A$6:$A$405)-5))),IFERROR(MATCH($B110,職員マスタ!$A$6:$A$405,0),"")))</f>
        <v/>
      </c>
      <c r="AQ110" s="16">
        <f>IF(OR($B110="",$C110="",$D110=""),"",DATE($C110+2018,$D110,1))</f>
        <v/>
      </c>
    </row>
    <row r="111">
      <c r="A111" s="11" t="n"/>
      <c r="B111" s="12" t="n">
        <v>6101828</v>
      </c>
      <c r="C111" s="12" t="n">
        <v>7</v>
      </c>
      <c r="D111" s="12" t="n">
        <v>11</v>
      </c>
      <c r="E111" s="13" t="n">
        <v>50639</v>
      </c>
      <c r="F111" s="12" t="n"/>
      <c r="G111" s="13" t="n"/>
      <c r="H111" s="12" t="n"/>
      <c r="I111" s="12" t="n"/>
      <c r="J111" s="12" t="n"/>
      <c r="K111" s="12" t="n"/>
      <c r="L111" s="11" t="n"/>
      <c r="M111" s="11" t="n"/>
      <c r="N111" s="11" t="n"/>
      <c r="O111" s="11" t="n"/>
      <c r="P111" s="12" t="n"/>
      <c r="Q111" s="11" t="n"/>
      <c r="R111" s="12" t="n"/>
      <c r="S111" s="11" t="n"/>
      <c r="T111" s="12" t="n"/>
      <c r="U111" s="12" t="n"/>
      <c r="V111" s="12" t="n"/>
      <c r="W111" s="13" t="n"/>
      <c r="X111" s="14">
        <f>IF($AP111="",IF($B111="","",$H111),IF(INDEX(職員マスタ!$B$6:$B$405,$AP111)="",$H111,INDEX(職員マスタ!$B$6:$B$405,$AP111)))</f>
        <v/>
      </c>
      <c r="Y111" s="14">
        <f>IF($AP111="",IF($B111="","",$R111),IF(INDEX(職員マスタ!$C$6:$C$405,$AP111)="",$R111,INDEX(職員マスタ!$C$6:$C$405,$AP111)))</f>
        <v/>
      </c>
      <c r="Z111" s="14">
        <f>IF($AQ111="","","R"&amp;$C111&amp;"."&amp;$D111)</f>
        <v/>
      </c>
      <c r="AA111" s="15">
        <f>IF(IF($AP111="",FALSE,INDEX(職員マスタ!$K$6:$K$405,$AP111)&lt;&gt;""),INDEX(職員マスタ!$K$6:$K$405,$AP111),IF(N($W111)&gt;0,$W111,""))</f>
        <v/>
      </c>
      <c r="AB111" s="14">
        <f>IF(OR($E111="",$AA111=""),"",IF($E111&gt;=$AA111,"×",IF($E111&gt;=$AA111*設定!$C$5,"△","○")))</f>
        <v/>
      </c>
      <c r="AC111" s="15">
        <f>IF($AB111="","",IF($AB111="×",0,IF($AB111="○",ROUNDDOWN($E111*設定!$C$4,0),ROUNDDOWN($E111*ROUND((9*$AA111-9*$E111)/(10*$E111),4),0))))</f>
        <v/>
      </c>
      <c r="AD111" s="13" t="n"/>
      <c r="AE111" s="15">
        <f>IF($B111="","",IF($AD111&lt;&gt;"",$AD111,IF($AC111="","",IF($AC111&lt;=設定!$C$3,0,$AC111))))</f>
        <v/>
      </c>
      <c r="AF111" s="14">
        <f>IF($B111="","",IF(AND($AG111&lt;&gt;"",$AI111="",$AL111=""),"保留中",IF($AL111&lt;&gt;"",IF(N($AE111)&gt;0,"支給済","不支給"),IF($AE111="","要確認",IF($AE111=0,"不支給","未処理")))))</f>
        <v/>
      </c>
      <c r="AG111" s="12" t="n"/>
      <c r="AH111" s="11" t="n"/>
      <c r="AI111" s="11" t="n"/>
      <c r="AJ111" s="11" t="n"/>
      <c r="AK111" s="14">
        <f>IF(AND($AF111="保留中",$AH111&lt;&gt;""),TODAY()-$AH111,"")</f>
        <v/>
      </c>
      <c r="AL111" s="12" t="inlineStr">
        <is>
          <t>R8.1</t>
        </is>
      </c>
      <c r="AM111" s="14">
        <f>IF($B111="","",IF($AQ111="","対象年月が未入力／","")&amp;IF($B111="","",IF($AP111="","職員マスタに未登録の職員番号／",IF($AA111="","標準報酬月額が未登録／","")&amp;IF(AND($AQ111&lt;&gt;"",OR(AND(INDEX(職員マスタ!$G$6:$G$405,$AP111)&lt;&gt;"",INDEX(職員マスタ!$G$6:$G$405,$AP111)&gt;EOMONTH($AQ111,0)),AND(INDEX(職員マスタ!$H$6:$H$405,$AP111)&lt;&gt;"",INDEX(職員マスタ!$H$6:$H$405,$AP111)&lt;$AQ111))),"対象月が時短期間外／","")&amp;IF(AND(INDEX(職員マスタ!$K$6:$K$405,$AP111)&lt;&gt;"",N($W111)&gt;0,INDEX(職員マスタ!$K$6:$K$405,$AP111)&lt;&gt;$W111),"標準報酬月額が申請書と相違（台帳"&amp;TEXT(INDEX(職員マスタ!$K$6:$K$405,$AP111),"#,##0")&amp;"円／申請書"&amp;TEXT($W111,"#,##0")&amp;"円）／","")&amp;IF(AND(INDEX(職員マスタ!$F$6:$F$405,$AP111)&lt;&gt;"",$AQ111&lt;&gt;"",INDEX(職員マスタ!$F$6:$F$405,$AP111)&lt;$AQ111),"対象月に子が2歳到達済／","")&amp;IF(AND($H111&lt;&gt;"",INDEX(職員マスタ!$B$6:$B$405,$AP111)&lt;&gt;"",SUBSTITUTE(SUBSTITUTE($H111," ","")," ","")&lt;&gt;SUBSTITUTE(SUBSTITUTE(INDEX(職員マスタ!$B$6:$B$405,$AP111)," ","")," ","")),"氏名がマスタと相違／","")&amp;IF(AND($Q111&lt;&gt;"",INDEX(職員マスタ!$E$6:$E$405,$AP111)&lt;&gt;"",$Q111&lt;&gt;INDEX(職員マスタ!$E$6:$E$405,$AP111)),"子の生年月日がマスタと相違／","")&amp;IF(AND($L111&lt;&gt;"",INDEX(職員マスタ!$G$6:$G$405,$AP111)&lt;&gt;"",$L111&lt;&gt;INDEX(職員マスタ!$G$6:$G$405,$AP111)),"時短開始日がマスタと相違／","")&amp;IF(AND($M111&lt;&gt;"",INDEX(職員マスタ!$H$6:$H$405,$AP111)&lt;&gt;"",$M111&lt;&gt;INDEX(職員マスタ!$H$6:$H$405,$AP111)),"時短終了日がマスタと相違／","")))&amp;IF(AND($B111&lt;&gt;"",$E111=""),"報酬額が未入力／","")&amp;IF(N($U111)&gt;0,"申請書に入力エラーが残っています／","")&amp;IF(AND($B111&lt;&gt;"",$AQ111&lt;&gt;""),IF(COUNTIFS($B$6:$B$3005,$B111,$C$6:$C$3005,$C111,$D$6:$D$3005,$D111)&gt;1,"同じ月の請求が重複しています／",""),"")&amp;IF(AND(N($E111)&gt;0,$AB111&lt;&gt;"",$AB111&lt;&gt;"×",$AE111=0,$AD111=""),"計算額が下限以下のため不支給／",""))</f>
        <v/>
      </c>
      <c r="AN111" s="12" t="n"/>
      <c r="AO111" s="14">
        <f>IF($AF111="保留中",COUNTIF($AF$6:$AF111,"保留中"),"")</f>
        <v/>
      </c>
      <c r="AP111" s="14">
        <f>IF($AQ111="","",IF(SUMPRODUCT(MAX((職員マスタ!$A$6:$A$405=$B111)*(((職員マスタ!$G$6:$G$405="")+(職員マスタ!$G$6:$G$405&lt;=EOMONTH($AQ111,0)))&gt;0)*(((職員マスタ!$H$6:$H$405="")+(職員マスタ!$H$6:$H$405&gt;=$AQ111))&gt;0)*(ROW(職員マスタ!$A$6:$A$405)-5)))&gt;0,SUMPRODUCT(MAX((職員マスタ!$A$6:$A$405=$B111)*(((職員マスタ!$G$6:$G$405="")+(職員マスタ!$G$6:$G$405&lt;=EOMONTH($AQ111,0)))&gt;0)*(((職員マスタ!$H$6:$H$405="")+(職員マスタ!$H$6:$H$405&gt;=$AQ111))&gt;0)*(ROW(職員マスタ!$A$6:$A$405)-5))),IFERROR(MATCH($B111,職員マスタ!$A$6:$A$405,0),"")))</f>
        <v/>
      </c>
      <c r="AQ111" s="16">
        <f>IF(OR($B111="",$C111="",$D111=""),"",DATE($C111+2018,$D111,1))</f>
        <v/>
      </c>
    </row>
    <row r="112">
      <c r="A112" s="11" t="n"/>
      <c r="B112" s="12" t="n">
        <v>6101828</v>
      </c>
      <c r="C112" s="12" t="n">
        <v>7</v>
      </c>
      <c r="D112" s="12" t="n">
        <v>12</v>
      </c>
      <c r="E112" s="13" t="n">
        <v>217271</v>
      </c>
      <c r="F112" s="12" t="n"/>
      <c r="G112" s="13" t="n"/>
      <c r="H112" s="12" t="n"/>
      <c r="I112" s="12" t="n"/>
      <c r="J112" s="12" t="n"/>
      <c r="K112" s="12" t="n"/>
      <c r="L112" s="11" t="n"/>
      <c r="M112" s="11" t="n"/>
      <c r="N112" s="11" t="n"/>
      <c r="O112" s="11" t="n"/>
      <c r="P112" s="12" t="n"/>
      <c r="Q112" s="11" t="n"/>
      <c r="R112" s="12" t="n"/>
      <c r="S112" s="11" t="n"/>
      <c r="T112" s="12" t="n"/>
      <c r="U112" s="12" t="n"/>
      <c r="V112" s="12" t="n"/>
      <c r="W112" s="13" t="n"/>
      <c r="X112" s="14">
        <f>IF($AP112="",IF($B112="","",$H112),IF(INDEX(職員マスタ!$B$6:$B$405,$AP112)="",$H112,INDEX(職員マスタ!$B$6:$B$405,$AP112)))</f>
        <v/>
      </c>
      <c r="Y112" s="14">
        <f>IF($AP112="",IF($B112="","",$R112),IF(INDEX(職員マスタ!$C$6:$C$405,$AP112)="",$R112,INDEX(職員マスタ!$C$6:$C$405,$AP112)))</f>
        <v/>
      </c>
      <c r="Z112" s="14">
        <f>IF($AQ112="","","R"&amp;$C112&amp;"."&amp;$D112)</f>
        <v/>
      </c>
      <c r="AA112" s="15">
        <f>IF(IF($AP112="",FALSE,INDEX(職員マスタ!$K$6:$K$405,$AP112)&lt;&gt;""),INDEX(職員マスタ!$K$6:$K$405,$AP112),IF(N($W112)&gt;0,$W112,""))</f>
        <v/>
      </c>
      <c r="AB112" s="14">
        <f>IF(OR($E112="",$AA112=""),"",IF($E112&gt;=$AA112,"×",IF($E112&gt;=$AA112*設定!$C$5,"△","○")))</f>
        <v/>
      </c>
      <c r="AC112" s="15">
        <f>IF($AB112="","",IF($AB112="×",0,IF($AB112="○",ROUNDDOWN($E112*設定!$C$4,0),ROUNDDOWN($E112*ROUND((9*$AA112-9*$E112)/(10*$E112),4),0))))</f>
        <v/>
      </c>
      <c r="AD112" s="13" t="n"/>
      <c r="AE112" s="15">
        <f>IF($B112="","",IF($AD112&lt;&gt;"",$AD112,IF($AC112="","",IF($AC112&lt;=設定!$C$3,0,$AC112))))</f>
        <v/>
      </c>
      <c r="AF112" s="14">
        <f>IF($B112="","",IF(AND($AG112&lt;&gt;"",$AI112="",$AL112=""),"保留中",IF($AL112&lt;&gt;"",IF(N($AE112)&gt;0,"支給済","不支給"),IF($AE112="","要確認",IF($AE112=0,"不支給","未処理")))))</f>
        <v/>
      </c>
      <c r="AG112" s="12" t="n"/>
      <c r="AH112" s="11" t="n"/>
      <c r="AI112" s="11" t="n"/>
      <c r="AJ112" s="11" t="n"/>
      <c r="AK112" s="14">
        <f>IF(AND($AF112="保留中",$AH112&lt;&gt;""),TODAY()-$AH112,"")</f>
        <v/>
      </c>
      <c r="AL112" s="12" t="inlineStr">
        <is>
          <t>R8.2</t>
        </is>
      </c>
      <c r="AM112" s="14">
        <f>IF($B112="","",IF($AQ112="","対象年月が未入力／","")&amp;IF($B112="","",IF($AP112="","職員マスタに未登録の職員番号／",IF($AA112="","標準報酬月額が未登録／","")&amp;IF(AND($AQ112&lt;&gt;"",OR(AND(INDEX(職員マスタ!$G$6:$G$405,$AP112)&lt;&gt;"",INDEX(職員マスタ!$G$6:$G$405,$AP112)&gt;EOMONTH($AQ112,0)),AND(INDEX(職員マスタ!$H$6:$H$405,$AP112)&lt;&gt;"",INDEX(職員マスタ!$H$6:$H$405,$AP112)&lt;$AQ112))),"対象月が時短期間外／","")&amp;IF(AND(INDEX(職員マスタ!$K$6:$K$405,$AP112)&lt;&gt;"",N($W112)&gt;0,INDEX(職員マスタ!$K$6:$K$405,$AP112)&lt;&gt;$W112),"標準報酬月額が申請書と相違（台帳"&amp;TEXT(INDEX(職員マスタ!$K$6:$K$405,$AP112),"#,##0")&amp;"円／申請書"&amp;TEXT($W112,"#,##0")&amp;"円）／","")&amp;IF(AND(INDEX(職員マスタ!$F$6:$F$405,$AP112)&lt;&gt;"",$AQ112&lt;&gt;"",INDEX(職員マスタ!$F$6:$F$405,$AP112)&lt;$AQ112),"対象月に子が2歳到達済／","")&amp;IF(AND($H112&lt;&gt;"",INDEX(職員マスタ!$B$6:$B$405,$AP112)&lt;&gt;"",SUBSTITUTE(SUBSTITUTE($H112," ","")," ","")&lt;&gt;SUBSTITUTE(SUBSTITUTE(INDEX(職員マスタ!$B$6:$B$405,$AP112)," ","")," ","")),"氏名がマスタと相違／","")&amp;IF(AND($Q112&lt;&gt;"",INDEX(職員マスタ!$E$6:$E$405,$AP112)&lt;&gt;"",$Q112&lt;&gt;INDEX(職員マスタ!$E$6:$E$405,$AP112)),"子の生年月日がマスタと相違／","")&amp;IF(AND($L112&lt;&gt;"",INDEX(職員マスタ!$G$6:$G$405,$AP112)&lt;&gt;"",$L112&lt;&gt;INDEX(職員マスタ!$G$6:$G$405,$AP112)),"時短開始日がマスタと相違／","")&amp;IF(AND($M112&lt;&gt;"",INDEX(職員マスタ!$H$6:$H$405,$AP112)&lt;&gt;"",$M112&lt;&gt;INDEX(職員マスタ!$H$6:$H$405,$AP112)),"時短終了日がマスタと相違／","")))&amp;IF(AND($B112&lt;&gt;"",$E112=""),"報酬額が未入力／","")&amp;IF(N($U112)&gt;0,"申請書に入力エラーが残っています／","")&amp;IF(AND($B112&lt;&gt;"",$AQ112&lt;&gt;""),IF(COUNTIFS($B$6:$B$3005,$B112,$C$6:$C$3005,$C112,$D$6:$D$3005,$D112)&gt;1,"同じ月の請求が重複しています／",""),"")&amp;IF(AND(N($E112)&gt;0,$AB112&lt;&gt;"",$AB112&lt;&gt;"×",$AE112=0,$AD112=""),"計算額が下限以下のため不支給／",""))</f>
        <v/>
      </c>
      <c r="AN112" s="12" t="n"/>
      <c r="AO112" s="14">
        <f>IF($AF112="保留中",COUNTIF($AF$6:$AF112,"保留中"),"")</f>
        <v/>
      </c>
      <c r="AP112" s="14">
        <f>IF($AQ112="","",IF(SUMPRODUCT(MAX((職員マスタ!$A$6:$A$405=$B112)*(((職員マスタ!$G$6:$G$405="")+(職員マスタ!$G$6:$G$405&lt;=EOMONTH($AQ112,0)))&gt;0)*(((職員マスタ!$H$6:$H$405="")+(職員マスタ!$H$6:$H$405&gt;=$AQ112))&gt;0)*(ROW(職員マスタ!$A$6:$A$405)-5)))&gt;0,SUMPRODUCT(MAX((職員マスタ!$A$6:$A$405=$B112)*(((職員マスタ!$G$6:$G$405="")+(職員マスタ!$G$6:$G$405&lt;=EOMONTH($AQ112,0)))&gt;0)*(((職員マスタ!$H$6:$H$405="")+(職員マスタ!$H$6:$H$405&gt;=$AQ112))&gt;0)*(ROW(職員マスタ!$A$6:$A$405)-5))),IFERROR(MATCH($B112,職員マスタ!$A$6:$A$405,0),"")))</f>
        <v/>
      </c>
      <c r="AQ112" s="16">
        <f>IF(OR($B112="",$C112="",$D112=""),"",DATE($C112+2018,$D112,1))</f>
        <v/>
      </c>
    </row>
    <row r="113">
      <c r="A113" s="11" t="n"/>
      <c r="B113" s="12" t="n">
        <v>6101828</v>
      </c>
      <c r="C113" s="12" t="n">
        <v>8</v>
      </c>
      <c r="D113" s="12" t="n">
        <v>1</v>
      </c>
      <c r="E113" s="13" t="n">
        <v>221633</v>
      </c>
      <c r="F113" s="12" t="n"/>
      <c r="G113" s="13" t="n"/>
      <c r="H113" s="12" t="n"/>
      <c r="I113" s="12" t="n"/>
      <c r="J113" s="12" t="n"/>
      <c r="K113" s="12" t="n"/>
      <c r="L113" s="11" t="n"/>
      <c r="M113" s="11" t="n"/>
      <c r="N113" s="11" t="n"/>
      <c r="O113" s="11" t="n"/>
      <c r="P113" s="12" t="n"/>
      <c r="Q113" s="11" t="n"/>
      <c r="R113" s="12" t="n"/>
      <c r="S113" s="11" t="n"/>
      <c r="T113" s="12" t="n"/>
      <c r="U113" s="12" t="n"/>
      <c r="V113" s="12" t="n"/>
      <c r="W113" s="13" t="n"/>
      <c r="X113" s="14">
        <f>IF($AP113="",IF($B113="","",$H113),IF(INDEX(職員マスタ!$B$6:$B$405,$AP113)="",$H113,INDEX(職員マスタ!$B$6:$B$405,$AP113)))</f>
        <v/>
      </c>
      <c r="Y113" s="14">
        <f>IF($AP113="",IF($B113="","",$R113),IF(INDEX(職員マスタ!$C$6:$C$405,$AP113)="",$R113,INDEX(職員マスタ!$C$6:$C$405,$AP113)))</f>
        <v/>
      </c>
      <c r="Z113" s="14">
        <f>IF($AQ113="","","R"&amp;$C113&amp;"."&amp;$D113)</f>
        <v/>
      </c>
      <c r="AA113" s="15">
        <f>IF(IF($AP113="",FALSE,INDEX(職員マスタ!$K$6:$K$405,$AP113)&lt;&gt;""),INDEX(職員マスタ!$K$6:$K$405,$AP113),IF(N($W113)&gt;0,$W113,""))</f>
        <v/>
      </c>
      <c r="AB113" s="14">
        <f>IF(OR($E113="",$AA113=""),"",IF($E113&gt;=$AA113,"×",IF($E113&gt;=$AA113*設定!$C$5,"△","○")))</f>
        <v/>
      </c>
      <c r="AC113" s="15">
        <f>IF($AB113="","",IF($AB113="×",0,IF($AB113="○",ROUNDDOWN($E113*設定!$C$4,0),ROUNDDOWN($E113*ROUND((9*$AA113-9*$E113)/(10*$E113),4),0))))</f>
        <v/>
      </c>
      <c r="AD113" s="13" t="n"/>
      <c r="AE113" s="15">
        <f>IF($B113="","",IF($AD113&lt;&gt;"",$AD113,IF($AC113="","",IF($AC113&lt;=設定!$C$3,0,$AC113))))</f>
        <v/>
      </c>
      <c r="AF113" s="14">
        <f>IF($B113="","",IF(AND($AG113&lt;&gt;"",$AI113="",$AL113=""),"保留中",IF($AL113&lt;&gt;"",IF(N($AE113)&gt;0,"支給済","不支給"),IF($AE113="","要確認",IF($AE113=0,"不支給","未処理")))))</f>
        <v/>
      </c>
      <c r="AG113" s="12" t="n"/>
      <c r="AH113" s="11" t="n"/>
      <c r="AI113" s="11" t="n"/>
      <c r="AJ113" s="11" t="n"/>
      <c r="AK113" s="14">
        <f>IF(AND($AF113="保留中",$AH113&lt;&gt;""),TODAY()-$AH113,"")</f>
        <v/>
      </c>
      <c r="AL113" s="12" t="inlineStr">
        <is>
          <t>R8.3</t>
        </is>
      </c>
      <c r="AM113" s="14">
        <f>IF($B113="","",IF($AQ113="","対象年月が未入力／","")&amp;IF($B113="","",IF($AP113="","職員マスタに未登録の職員番号／",IF($AA113="","標準報酬月額が未登録／","")&amp;IF(AND($AQ113&lt;&gt;"",OR(AND(INDEX(職員マスタ!$G$6:$G$405,$AP113)&lt;&gt;"",INDEX(職員マスタ!$G$6:$G$405,$AP113)&gt;EOMONTH($AQ113,0)),AND(INDEX(職員マスタ!$H$6:$H$405,$AP113)&lt;&gt;"",INDEX(職員マスタ!$H$6:$H$405,$AP113)&lt;$AQ113))),"対象月が時短期間外／","")&amp;IF(AND(INDEX(職員マスタ!$K$6:$K$405,$AP113)&lt;&gt;"",N($W113)&gt;0,INDEX(職員マスタ!$K$6:$K$405,$AP113)&lt;&gt;$W113),"標準報酬月額が申請書と相違（台帳"&amp;TEXT(INDEX(職員マスタ!$K$6:$K$405,$AP113),"#,##0")&amp;"円／申請書"&amp;TEXT($W113,"#,##0")&amp;"円）／","")&amp;IF(AND(INDEX(職員マスタ!$F$6:$F$405,$AP113)&lt;&gt;"",$AQ113&lt;&gt;"",INDEX(職員マスタ!$F$6:$F$405,$AP113)&lt;$AQ113),"対象月に子が2歳到達済／","")&amp;IF(AND($H113&lt;&gt;"",INDEX(職員マスタ!$B$6:$B$405,$AP113)&lt;&gt;"",SUBSTITUTE(SUBSTITUTE($H113," ","")," ","")&lt;&gt;SUBSTITUTE(SUBSTITUTE(INDEX(職員マスタ!$B$6:$B$405,$AP113)," ","")," ","")),"氏名がマスタと相違／","")&amp;IF(AND($Q113&lt;&gt;"",INDEX(職員マスタ!$E$6:$E$405,$AP113)&lt;&gt;"",$Q113&lt;&gt;INDEX(職員マスタ!$E$6:$E$405,$AP113)),"子の生年月日がマスタと相違／","")&amp;IF(AND($L113&lt;&gt;"",INDEX(職員マスタ!$G$6:$G$405,$AP113)&lt;&gt;"",$L113&lt;&gt;INDEX(職員マスタ!$G$6:$G$405,$AP113)),"時短開始日がマスタと相違／","")&amp;IF(AND($M113&lt;&gt;"",INDEX(職員マスタ!$H$6:$H$405,$AP113)&lt;&gt;"",$M113&lt;&gt;INDEX(職員マスタ!$H$6:$H$405,$AP113)),"時短終了日がマスタと相違／","")))&amp;IF(AND($B113&lt;&gt;"",$E113=""),"報酬額が未入力／","")&amp;IF(N($U113)&gt;0,"申請書に入力エラーが残っています／","")&amp;IF(AND($B113&lt;&gt;"",$AQ113&lt;&gt;""),IF(COUNTIFS($B$6:$B$3005,$B113,$C$6:$C$3005,$C113,$D$6:$D$3005,$D113)&gt;1,"同じ月の請求が重複しています／",""),"")&amp;IF(AND(N($E113)&gt;0,$AB113&lt;&gt;"",$AB113&lt;&gt;"×",$AE113=0,$AD113=""),"計算額が下限以下のため不支給／",""))</f>
        <v/>
      </c>
      <c r="AN113" s="12" t="n"/>
      <c r="AO113" s="14">
        <f>IF($AF113="保留中",COUNTIF($AF$6:$AF113,"保留中"),"")</f>
        <v/>
      </c>
      <c r="AP113" s="14">
        <f>IF($AQ113="","",IF(SUMPRODUCT(MAX((職員マスタ!$A$6:$A$405=$B113)*(((職員マスタ!$G$6:$G$405="")+(職員マスタ!$G$6:$G$405&lt;=EOMONTH($AQ113,0)))&gt;0)*(((職員マスタ!$H$6:$H$405="")+(職員マスタ!$H$6:$H$405&gt;=$AQ113))&gt;0)*(ROW(職員マスタ!$A$6:$A$405)-5)))&gt;0,SUMPRODUCT(MAX((職員マスタ!$A$6:$A$405=$B113)*(((職員マスタ!$G$6:$G$405="")+(職員マスタ!$G$6:$G$405&lt;=EOMONTH($AQ113,0)))&gt;0)*(((職員マスタ!$H$6:$H$405="")+(職員マスタ!$H$6:$H$405&gt;=$AQ113))&gt;0)*(ROW(職員マスタ!$A$6:$A$405)-5))),IFERROR(MATCH($B113,職員マスタ!$A$6:$A$405,0),"")))</f>
        <v/>
      </c>
      <c r="AQ113" s="16">
        <f>IF(OR($B113="",$C113="",$D113=""),"",DATE($C113+2018,$D113,1))</f>
        <v/>
      </c>
    </row>
    <row r="114">
      <c r="A114" s="11" t="n"/>
      <c r="B114" s="12" t="n">
        <v>6101828</v>
      </c>
      <c r="C114" s="12" t="n">
        <v>8</v>
      </c>
      <c r="D114" s="12" t="n">
        <v>2</v>
      </c>
      <c r="E114" s="13" t="n">
        <v>221633</v>
      </c>
      <c r="F114" s="12" t="n"/>
      <c r="G114" s="13" t="n"/>
      <c r="H114" s="12" t="n"/>
      <c r="I114" s="12" t="n"/>
      <c r="J114" s="12" t="n"/>
      <c r="K114" s="12" t="n"/>
      <c r="L114" s="11" t="n"/>
      <c r="M114" s="11" t="n"/>
      <c r="N114" s="11" t="n"/>
      <c r="O114" s="11" t="n"/>
      <c r="P114" s="12" t="n"/>
      <c r="Q114" s="11" t="n"/>
      <c r="R114" s="12" t="n"/>
      <c r="S114" s="11" t="n"/>
      <c r="T114" s="12" t="n"/>
      <c r="U114" s="12" t="n"/>
      <c r="V114" s="12" t="n"/>
      <c r="W114" s="13" t="n"/>
      <c r="X114" s="14">
        <f>IF($AP114="",IF($B114="","",$H114),IF(INDEX(職員マスタ!$B$6:$B$405,$AP114)="",$H114,INDEX(職員マスタ!$B$6:$B$405,$AP114)))</f>
        <v/>
      </c>
      <c r="Y114" s="14">
        <f>IF($AP114="",IF($B114="","",$R114),IF(INDEX(職員マスタ!$C$6:$C$405,$AP114)="",$R114,INDEX(職員マスタ!$C$6:$C$405,$AP114)))</f>
        <v/>
      </c>
      <c r="Z114" s="14">
        <f>IF($AQ114="","","R"&amp;$C114&amp;"."&amp;$D114)</f>
        <v/>
      </c>
      <c r="AA114" s="15">
        <f>IF(IF($AP114="",FALSE,INDEX(職員マスタ!$K$6:$K$405,$AP114)&lt;&gt;""),INDEX(職員マスタ!$K$6:$K$405,$AP114),IF(N($W114)&gt;0,$W114,""))</f>
        <v/>
      </c>
      <c r="AB114" s="14">
        <f>IF(OR($E114="",$AA114=""),"",IF($E114&gt;=$AA114,"×",IF($E114&gt;=$AA114*設定!$C$5,"△","○")))</f>
        <v/>
      </c>
      <c r="AC114" s="15">
        <f>IF($AB114="","",IF($AB114="×",0,IF($AB114="○",ROUNDDOWN($E114*設定!$C$4,0),ROUNDDOWN($E114*ROUND((9*$AA114-9*$E114)/(10*$E114),4),0))))</f>
        <v/>
      </c>
      <c r="AD114" s="13" t="n"/>
      <c r="AE114" s="15">
        <f>IF($B114="","",IF($AD114&lt;&gt;"",$AD114,IF($AC114="","",IF($AC114&lt;=設定!$C$3,0,$AC114))))</f>
        <v/>
      </c>
      <c r="AF114" s="14">
        <f>IF($B114="","",IF(AND($AG114&lt;&gt;"",$AI114="",$AL114=""),"保留中",IF($AL114&lt;&gt;"",IF(N($AE114)&gt;0,"支給済","不支給"),IF($AE114="","要確認",IF($AE114=0,"不支給","未処理")))))</f>
        <v/>
      </c>
      <c r="AG114" s="12" t="n"/>
      <c r="AH114" s="11" t="n"/>
      <c r="AI114" s="11" t="n"/>
      <c r="AJ114" s="11" t="n"/>
      <c r="AK114" s="14">
        <f>IF(AND($AF114="保留中",$AH114&lt;&gt;""),TODAY()-$AH114,"")</f>
        <v/>
      </c>
      <c r="AL114" s="12" t="inlineStr">
        <is>
          <t>R8.4</t>
        </is>
      </c>
      <c r="AM114" s="14">
        <f>IF($B114="","",IF($AQ114="","対象年月が未入力／","")&amp;IF($B114="","",IF($AP114="","職員マスタに未登録の職員番号／",IF($AA114="","標準報酬月額が未登録／","")&amp;IF(AND($AQ114&lt;&gt;"",OR(AND(INDEX(職員マスタ!$G$6:$G$405,$AP114)&lt;&gt;"",INDEX(職員マスタ!$G$6:$G$405,$AP114)&gt;EOMONTH($AQ114,0)),AND(INDEX(職員マスタ!$H$6:$H$405,$AP114)&lt;&gt;"",INDEX(職員マスタ!$H$6:$H$405,$AP114)&lt;$AQ114))),"対象月が時短期間外／","")&amp;IF(AND(INDEX(職員マスタ!$K$6:$K$405,$AP114)&lt;&gt;"",N($W114)&gt;0,INDEX(職員マスタ!$K$6:$K$405,$AP114)&lt;&gt;$W114),"標準報酬月額が申請書と相違（台帳"&amp;TEXT(INDEX(職員マスタ!$K$6:$K$405,$AP114),"#,##0")&amp;"円／申請書"&amp;TEXT($W114,"#,##0")&amp;"円）／","")&amp;IF(AND(INDEX(職員マスタ!$F$6:$F$405,$AP114)&lt;&gt;"",$AQ114&lt;&gt;"",INDEX(職員マスタ!$F$6:$F$405,$AP114)&lt;$AQ114),"対象月に子が2歳到達済／","")&amp;IF(AND($H114&lt;&gt;"",INDEX(職員マスタ!$B$6:$B$405,$AP114)&lt;&gt;"",SUBSTITUTE(SUBSTITUTE($H114," ","")," ","")&lt;&gt;SUBSTITUTE(SUBSTITUTE(INDEX(職員マスタ!$B$6:$B$405,$AP114)," ","")," ","")),"氏名がマスタと相違／","")&amp;IF(AND($Q114&lt;&gt;"",INDEX(職員マスタ!$E$6:$E$405,$AP114)&lt;&gt;"",$Q114&lt;&gt;INDEX(職員マスタ!$E$6:$E$405,$AP114)),"子の生年月日がマスタと相違／","")&amp;IF(AND($L114&lt;&gt;"",INDEX(職員マスタ!$G$6:$G$405,$AP114)&lt;&gt;"",$L114&lt;&gt;INDEX(職員マスタ!$G$6:$G$405,$AP114)),"時短開始日がマスタと相違／","")&amp;IF(AND($M114&lt;&gt;"",INDEX(職員マスタ!$H$6:$H$405,$AP114)&lt;&gt;"",$M114&lt;&gt;INDEX(職員マスタ!$H$6:$H$405,$AP114)),"時短終了日がマスタと相違／","")))&amp;IF(AND($B114&lt;&gt;"",$E114=""),"報酬額が未入力／","")&amp;IF(N($U114)&gt;0,"申請書に入力エラーが残っています／","")&amp;IF(AND($B114&lt;&gt;"",$AQ114&lt;&gt;""),IF(COUNTIFS($B$6:$B$3005,$B114,$C$6:$C$3005,$C114,$D$6:$D$3005,$D114)&gt;1,"同じ月の請求が重複しています／",""),"")&amp;IF(AND(N($E114)&gt;0,$AB114&lt;&gt;"",$AB114&lt;&gt;"×",$AE114=0,$AD114=""),"計算額が下限以下のため不支給／",""))</f>
        <v/>
      </c>
      <c r="AN114" s="12" t="n"/>
      <c r="AO114" s="14">
        <f>IF($AF114="保留中",COUNTIF($AF$6:$AF114,"保留中"),"")</f>
        <v/>
      </c>
      <c r="AP114" s="14">
        <f>IF($AQ114="","",IF(SUMPRODUCT(MAX((職員マスタ!$A$6:$A$405=$B114)*(((職員マスタ!$G$6:$G$405="")+(職員マスタ!$G$6:$G$405&lt;=EOMONTH($AQ114,0)))&gt;0)*(((職員マスタ!$H$6:$H$405="")+(職員マスタ!$H$6:$H$405&gt;=$AQ114))&gt;0)*(ROW(職員マスタ!$A$6:$A$405)-5)))&gt;0,SUMPRODUCT(MAX((職員マスタ!$A$6:$A$405=$B114)*(((職員マスタ!$G$6:$G$405="")+(職員マスタ!$G$6:$G$405&lt;=EOMONTH($AQ114,0)))&gt;0)*(((職員マスタ!$H$6:$H$405="")+(職員マスタ!$H$6:$H$405&gt;=$AQ114))&gt;0)*(ROW(職員マスタ!$A$6:$A$405)-5))),IFERROR(MATCH($B114,職員マスタ!$A$6:$A$405,0),"")))</f>
        <v/>
      </c>
      <c r="AQ114" s="16">
        <f>IF(OR($B114="",$C114="",$D114=""),"",DATE($C114+2018,$D114,1))</f>
        <v/>
      </c>
    </row>
    <row r="115">
      <c r="A115" s="11" t="n"/>
      <c r="B115" s="12" t="n">
        <v>6101828</v>
      </c>
      <c r="C115" s="12" t="n">
        <v>8</v>
      </c>
      <c r="D115" s="12" t="n">
        <v>3</v>
      </c>
      <c r="E115" s="13" t="n">
        <v>217271</v>
      </c>
      <c r="F115" s="12" t="n"/>
      <c r="G115" s="13" t="n"/>
      <c r="H115" s="12" t="n"/>
      <c r="I115" s="12" t="n"/>
      <c r="J115" s="12" t="n"/>
      <c r="K115" s="12" t="n"/>
      <c r="L115" s="11" t="n"/>
      <c r="M115" s="11" t="n"/>
      <c r="N115" s="11" t="n"/>
      <c r="O115" s="11" t="n"/>
      <c r="P115" s="12" t="n"/>
      <c r="Q115" s="11" t="n"/>
      <c r="R115" s="12" t="n"/>
      <c r="S115" s="11" t="n"/>
      <c r="T115" s="12" t="n"/>
      <c r="U115" s="12" t="n"/>
      <c r="V115" s="12" t="n"/>
      <c r="W115" s="13" t="n"/>
      <c r="X115" s="14">
        <f>IF($AP115="",IF($B115="","",$H115),IF(INDEX(職員マスタ!$B$6:$B$405,$AP115)="",$H115,INDEX(職員マスタ!$B$6:$B$405,$AP115)))</f>
        <v/>
      </c>
      <c r="Y115" s="14">
        <f>IF($AP115="",IF($B115="","",$R115),IF(INDEX(職員マスタ!$C$6:$C$405,$AP115)="",$R115,INDEX(職員マスタ!$C$6:$C$405,$AP115)))</f>
        <v/>
      </c>
      <c r="Z115" s="14">
        <f>IF($AQ115="","","R"&amp;$C115&amp;"."&amp;$D115)</f>
        <v/>
      </c>
      <c r="AA115" s="15">
        <f>IF(IF($AP115="",FALSE,INDEX(職員マスタ!$K$6:$K$405,$AP115)&lt;&gt;""),INDEX(職員マスタ!$K$6:$K$405,$AP115),IF(N($W115)&gt;0,$W115,""))</f>
        <v/>
      </c>
      <c r="AB115" s="14">
        <f>IF(OR($E115="",$AA115=""),"",IF($E115&gt;=$AA115,"×",IF($E115&gt;=$AA115*設定!$C$5,"△","○")))</f>
        <v/>
      </c>
      <c r="AC115" s="15">
        <f>IF($AB115="","",IF($AB115="×",0,IF($AB115="○",ROUNDDOWN($E115*設定!$C$4,0),ROUNDDOWN($E115*ROUND((9*$AA115-9*$E115)/(10*$E115),4),0))))</f>
        <v/>
      </c>
      <c r="AD115" s="13" t="n"/>
      <c r="AE115" s="15">
        <f>IF($B115="","",IF($AD115&lt;&gt;"",$AD115,IF($AC115="","",IF($AC115&lt;=設定!$C$3,0,$AC115))))</f>
        <v/>
      </c>
      <c r="AF115" s="14">
        <f>IF($B115="","",IF(AND($AG115&lt;&gt;"",$AI115="",$AL115=""),"保留中",IF($AL115&lt;&gt;"",IF(N($AE115)&gt;0,"支給済","不支給"),IF($AE115="","要確認",IF($AE115=0,"不支給","未処理")))))</f>
        <v/>
      </c>
      <c r="AG115" s="12" t="n"/>
      <c r="AH115" s="11" t="n"/>
      <c r="AI115" s="11" t="n"/>
      <c r="AJ115" s="11" t="n"/>
      <c r="AK115" s="14">
        <f>IF(AND($AF115="保留中",$AH115&lt;&gt;""),TODAY()-$AH115,"")</f>
        <v/>
      </c>
      <c r="AL115" s="12" t="inlineStr">
        <is>
          <t>R8.5</t>
        </is>
      </c>
      <c r="AM115" s="14">
        <f>IF($B115="","",IF($AQ115="","対象年月が未入力／","")&amp;IF($B115="","",IF($AP115="","職員マスタに未登録の職員番号／",IF($AA115="","標準報酬月額が未登録／","")&amp;IF(AND($AQ115&lt;&gt;"",OR(AND(INDEX(職員マスタ!$G$6:$G$405,$AP115)&lt;&gt;"",INDEX(職員マスタ!$G$6:$G$405,$AP115)&gt;EOMONTH($AQ115,0)),AND(INDEX(職員マスタ!$H$6:$H$405,$AP115)&lt;&gt;"",INDEX(職員マスタ!$H$6:$H$405,$AP115)&lt;$AQ115))),"対象月が時短期間外／","")&amp;IF(AND(INDEX(職員マスタ!$K$6:$K$405,$AP115)&lt;&gt;"",N($W115)&gt;0,INDEX(職員マスタ!$K$6:$K$405,$AP115)&lt;&gt;$W115),"標準報酬月額が申請書と相違（台帳"&amp;TEXT(INDEX(職員マスタ!$K$6:$K$405,$AP115),"#,##0")&amp;"円／申請書"&amp;TEXT($W115,"#,##0")&amp;"円）／","")&amp;IF(AND(INDEX(職員マスタ!$F$6:$F$405,$AP115)&lt;&gt;"",$AQ115&lt;&gt;"",INDEX(職員マスタ!$F$6:$F$405,$AP115)&lt;$AQ115),"対象月に子が2歳到達済／","")&amp;IF(AND($H115&lt;&gt;"",INDEX(職員マスタ!$B$6:$B$405,$AP115)&lt;&gt;"",SUBSTITUTE(SUBSTITUTE($H115," ","")," ","")&lt;&gt;SUBSTITUTE(SUBSTITUTE(INDEX(職員マスタ!$B$6:$B$405,$AP115)," ","")," ","")),"氏名がマスタと相違／","")&amp;IF(AND($Q115&lt;&gt;"",INDEX(職員マスタ!$E$6:$E$405,$AP115)&lt;&gt;"",$Q115&lt;&gt;INDEX(職員マスタ!$E$6:$E$405,$AP115)),"子の生年月日がマスタと相違／","")&amp;IF(AND($L115&lt;&gt;"",INDEX(職員マスタ!$G$6:$G$405,$AP115)&lt;&gt;"",$L115&lt;&gt;INDEX(職員マスタ!$G$6:$G$405,$AP115)),"時短開始日がマスタと相違／","")&amp;IF(AND($M115&lt;&gt;"",INDEX(職員マスタ!$H$6:$H$405,$AP115)&lt;&gt;"",$M115&lt;&gt;INDEX(職員マスタ!$H$6:$H$405,$AP115)),"時短終了日がマスタと相違／","")))&amp;IF(AND($B115&lt;&gt;"",$E115=""),"報酬額が未入力／","")&amp;IF(N($U115)&gt;0,"申請書に入力エラーが残っています／","")&amp;IF(AND($B115&lt;&gt;"",$AQ115&lt;&gt;""),IF(COUNTIFS($B$6:$B$3005,$B115,$C$6:$C$3005,$C115,$D$6:$D$3005,$D115)&gt;1,"同じ月の請求が重複しています／",""),"")&amp;IF(AND(N($E115)&gt;0,$AB115&lt;&gt;"",$AB115&lt;&gt;"×",$AE115=0,$AD115=""),"計算額が下限以下のため不支給／",""))</f>
        <v/>
      </c>
      <c r="AN115" s="12" t="n"/>
      <c r="AO115" s="14">
        <f>IF($AF115="保留中",COUNTIF($AF$6:$AF115,"保留中"),"")</f>
        <v/>
      </c>
      <c r="AP115" s="14">
        <f>IF($AQ115="","",IF(SUMPRODUCT(MAX((職員マスタ!$A$6:$A$405=$B115)*(((職員マスタ!$G$6:$G$405="")+(職員マスタ!$G$6:$G$405&lt;=EOMONTH($AQ115,0)))&gt;0)*(((職員マスタ!$H$6:$H$405="")+(職員マスタ!$H$6:$H$405&gt;=$AQ115))&gt;0)*(ROW(職員マスタ!$A$6:$A$405)-5)))&gt;0,SUMPRODUCT(MAX((職員マスタ!$A$6:$A$405=$B115)*(((職員マスタ!$G$6:$G$405="")+(職員マスタ!$G$6:$G$405&lt;=EOMONTH($AQ115,0)))&gt;0)*(((職員マスタ!$H$6:$H$405="")+(職員マスタ!$H$6:$H$405&gt;=$AQ115))&gt;0)*(ROW(職員マスタ!$A$6:$A$405)-5))),IFERROR(MATCH($B115,職員マスタ!$A$6:$A$405,0),"")))</f>
        <v/>
      </c>
      <c r="AQ115" s="16">
        <f>IF(OR($B115="",$C115="",$D115=""),"",DATE($C115+2018,$D115,1))</f>
        <v/>
      </c>
    </row>
    <row r="116">
      <c r="A116" s="11" t="n"/>
      <c r="B116" s="12" t="n">
        <v>6101828</v>
      </c>
      <c r="C116" s="12" t="n">
        <v>8</v>
      </c>
      <c r="D116" s="12" t="n">
        <v>4</v>
      </c>
      <c r="E116" s="13" t="n">
        <v>229129</v>
      </c>
      <c r="F116" s="12" t="n"/>
      <c r="G116" s="13" t="n"/>
      <c r="H116" s="12" t="n"/>
      <c r="I116" s="12" t="n"/>
      <c r="J116" s="12" t="n"/>
      <c r="K116" s="12" t="n"/>
      <c r="L116" s="11" t="n"/>
      <c r="M116" s="11" t="n"/>
      <c r="N116" s="11" t="n"/>
      <c r="O116" s="11" t="n"/>
      <c r="P116" s="12" t="n"/>
      <c r="Q116" s="11" t="n"/>
      <c r="R116" s="12" t="n"/>
      <c r="S116" s="11" t="n"/>
      <c r="T116" s="12" t="n"/>
      <c r="U116" s="12" t="n"/>
      <c r="V116" s="12" t="n"/>
      <c r="W116" s="13" t="n"/>
      <c r="X116" s="14">
        <f>IF($AP116="",IF($B116="","",$H116),IF(INDEX(職員マスタ!$B$6:$B$405,$AP116)="",$H116,INDEX(職員マスタ!$B$6:$B$405,$AP116)))</f>
        <v/>
      </c>
      <c r="Y116" s="14">
        <f>IF($AP116="",IF($B116="","",$R116),IF(INDEX(職員マスタ!$C$6:$C$405,$AP116)="",$R116,INDEX(職員マスタ!$C$6:$C$405,$AP116)))</f>
        <v/>
      </c>
      <c r="Z116" s="14">
        <f>IF($AQ116="","","R"&amp;$C116&amp;"."&amp;$D116)</f>
        <v/>
      </c>
      <c r="AA116" s="15">
        <f>IF(IF($AP116="",FALSE,INDEX(職員マスタ!$K$6:$K$405,$AP116)&lt;&gt;""),INDEX(職員マスタ!$K$6:$K$405,$AP116),IF(N($W116)&gt;0,$W116,""))</f>
        <v/>
      </c>
      <c r="AB116" s="14">
        <f>IF(OR($E116="",$AA116=""),"",IF($E116&gt;=$AA116,"×",IF($E116&gt;=$AA116*設定!$C$5,"△","○")))</f>
        <v/>
      </c>
      <c r="AC116" s="15">
        <f>IF($AB116="","",IF($AB116="×",0,IF($AB116="○",ROUNDDOWN($E116*設定!$C$4,0),ROUNDDOWN($E116*ROUND((9*$AA116-9*$E116)/(10*$E116),4),0))))</f>
        <v/>
      </c>
      <c r="AD116" s="13" t="n"/>
      <c r="AE116" s="15">
        <f>IF($B116="","",IF($AD116&lt;&gt;"",$AD116,IF($AC116="","",IF($AC116&lt;=設定!$C$3,0,$AC116))))</f>
        <v/>
      </c>
      <c r="AF116" s="14">
        <f>IF($B116="","",IF(AND($AG116&lt;&gt;"",$AI116="",$AL116=""),"保留中",IF($AL116&lt;&gt;"",IF(N($AE116)&gt;0,"支給済","不支給"),IF($AE116="","要確認",IF($AE116=0,"不支給","未処理")))))</f>
        <v/>
      </c>
      <c r="AG116" s="12" t="inlineStr">
        <is>
          <t>育休期間の変更待ち</t>
        </is>
      </c>
      <c r="AH116" s="11" t="n"/>
      <c r="AI116" s="11" t="n"/>
      <c r="AJ116" s="11" t="n"/>
      <c r="AK116" s="14">
        <f>IF(AND($AF116="保留中",$AH116&lt;&gt;""),TODAY()-$AH116,"")</f>
        <v/>
      </c>
      <c r="AL116" s="12" t="n"/>
      <c r="AM116" s="14">
        <f>IF($B116="","",IF($AQ116="","対象年月が未入力／","")&amp;IF($B116="","",IF($AP116="","職員マスタに未登録の職員番号／",IF($AA116="","標準報酬月額が未登録／","")&amp;IF(AND($AQ116&lt;&gt;"",OR(AND(INDEX(職員マスタ!$G$6:$G$405,$AP116)&lt;&gt;"",INDEX(職員マスタ!$G$6:$G$405,$AP116)&gt;EOMONTH($AQ116,0)),AND(INDEX(職員マスタ!$H$6:$H$405,$AP116)&lt;&gt;"",INDEX(職員マスタ!$H$6:$H$405,$AP116)&lt;$AQ116))),"対象月が時短期間外／","")&amp;IF(AND(INDEX(職員マスタ!$K$6:$K$405,$AP116)&lt;&gt;"",N($W116)&gt;0,INDEX(職員マスタ!$K$6:$K$405,$AP116)&lt;&gt;$W116),"標準報酬月額が申請書と相違（台帳"&amp;TEXT(INDEX(職員マスタ!$K$6:$K$405,$AP116),"#,##0")&amp;"円／申請書"&amp;TEXT($W116,"#,##0")&amp;"円）／","")&amp;IF(AND(INDEX(職員マスタ!$F$6:$F$405,$AP116)&lt;&gt;"",$AQ116&lt;&gt;"",INDEX(職員マスタ!$F$6:$F$405,$AP116)&lt;$AQ116),"対象月に子が2歳到達済／","")&amp;IF(AND($H116&lt;&gt;"",INDEX(職員マスタ!$B$6:$B$405,$AP116)&lt;&gt;"",SUBSTITUTE(SUBSTITUTE($H116," ","")," ","")&lt;&gt;SUBSTITUTE(SUBSTITUTE(INDEX(職員マスタ!$B$6:$B$405,$AP116)," ","")," ","")),"氏名がマスタと相違／","")&amp;IF(AND($Q116&lt;&gt;"",INDEX(職員マスタ!$E$6:$E$405,$AP116)&lt;&gt;"",$Q116&lt;&gt;INDEX(職員マスタ!$E$6:$E$405,$AP116)),"子の生年月日がマスタと相違／","")&amp;IF(AND($L116&lt;&gt;"",INDEX(職員マスタ!$G$6:$G$405,$AP116)&lt;&gt;"",$L116&lt;&gt;INDEX(職員マスタ!$G$6:$G$405,$AP116)),"時短開始日がマスタと相違／","")&amp;IF(AND($M116&lt;&gt;"",INDEX(職員マスタ!$H$6:$H$405,$AP116)&lt;&gt;"",$M116&lt;&gt;INDEX(職員マスタ!$H$6:$H$405,$AP116)),"時短終了日がマスタと相違／","")))&amp;IF(AND($B116&lt;&gt;"",$E116=""),"報酬額が未入力／","")&amp;IF(N($U116)&gt;0,"申請書に入力エラーが残っています／","")&amp;IF(AND($B116&lt;&gt;"",$AQ116&lt;&gt;""),IF(COUNTIFS($B$6:$B$3005,$B116,$C$6:$C$3005,$C116,$D$6:$D$3005,$D116)&gt;1,"同じ月の請求が重複しています／",""),"")&amp;IF(AND(N($E116)&gt;0,$AB116&lt;&gt;"",$AB116&lt;&gt;"×",$AE116=0,$AD116=""),"計算額が下限以下のため不支給／",""))</f>
        <v/>
      </c>
      <c r="AN116" s="12" t="n"/>
      <c r="AO116" s="14">
        <f>IF($AF116="保留中",COUNTIF($AF$6:$AF116,"保留中"),"")</f>
        <v/>
      </c>
      <c r="AP116" s="14">
        <f>IF($AQ116="","",IF(SUMPRODUCT(MAX((職員マスタ!$A$6:$A$405=$B116)*(((職員マスタ!$G$6:$G$405="")+(職員マスタ!$G$6:$G$405&lt;=EOMONTH($AQ116,0)))&gt;0)*(((職員マスタ!$H$6:$H$405="")+(職員マスタ!$H$6:$H$405&gt;=$AQ116))&gt;0)*(ROW(職員マスタ!$A$6:$A$405)-5)))&gt;0,SUMPRODUCT(MAX((職員マスタ!$A$6:$A$405=$B116)*(((職員マスタ!$G$6:$G$405="")+(職員マスタ!$G$6:$G$405&lt;=EOMONTH($AQ116,0)))&gt;0)*(((職員マスタ!$H$6:$H$405="")+(職員マスタ!$H$6:$H$405&gt;=$AQ116))&gt;0)*(ROW(職員マスタ!$A$6:$A$405)-5))),IFERROR(MATCH($B116,職員マスタ!$A$6:$A$405,0),"")))</f>
        <v/>
      </c>
      <c r="AQ116" s="16">
        <f>IF(OR($B116="",$C116="",$D116=""),"",DATE($C116+2018,$D116,1))</f>
        <v/>
      </c>
    </row>
    <row r="117">
      <c r="A117" s="11" t="n"/>
      <c r="B117" s="12" t="n">
        <v>6101828</v>
      </c>
      <c r="C117" s="12" t="n">
        <v>8</v>
      </c>
      <c r="D117" s="12" t="n">
        <v>5</v>
      </c>
      <c r="E117" s="13" t="n">
        <v>233679</v>
      </c>
      <c r="F117" s="12" t="n"/>
      <c r="G117" s="13" t="n"/>
      <c r="H117" s="12" t="n"/>
      <c r="I117" s="12" t="n"/>
      <c r="J117" s="12" t="n"/>
      <c r="K117" s="12" t="n"/>
      <c r="L117" s="11" t="n"/>
      <c r="M117" s="11" t="n"/>
      <c r="N117" s="11" t="n"/>
      <c r="O117" s="11" t="n"/>
      <c r="P117" s="12" t="n"/>
      <c r="Q117" s="11" t="n"/>
      <c r="R117" s="12" t="n"/>
      <c r="S117" s="11" t="n"/>
      <c r="T117" s="12" t="n"/>
      <c r="U117" s="12" t="n"/>
      <c r="V117" s="12" t="n"/>
      <c r="W117" s="13" t="n"/>
      <c r="X117" s="14">
        <f>IF($AP117="",IF($B117="","",$H117),IF(INDEX(職員マスタ!$B$6:$B$405,$AP117)="",$H117,INDEX(職員マスタ!$B$6:$B$405,$AP117)))</f>
        <v/>
      </c>
      <c r="Y117" s="14">
        <f>IF($AP117="",IF($B117="","",$R117),IF(INDEX(職員マスタ!$C$6:$C$405,$AP117)="",$R117,INDEX(職員マスタ!$C$6:$C$405,$AP117)))</f>
        <v/>
      </c>
      <c r="Z117" s="14">
        <f>IF($AQ117="","","R"&amp;$C117&amp;"."&amp;$D117)</f>
        <v/>
      </c>
      <c r="AA117" s="15">
        <f>IF(IF($AP117="",FALSE,INDEX(職員マスタ!$K$6:$K$405,$AP117)&lt;&gt;""),INDEX(職員マスタ!$K$6:$K$405,$AP117),IF(N($W117)&gt;0,$W117,""))</f>
        <v/>
      </c>
      <c r="AB117" s="14">
        <f>IF(OR($E117="",$AA117=""),"",IF($E117&gt;=$AA117,"×",IF($E117&gt;=$AA117*設定!$C$5,"△","○")))</f>
        <v/>
      </c>
      <c r="AC117" s="15">
        <f>IF($AB117="","",IF($AB117="×",0,IF($AB117="○",ROUNDDOWN($E117*設定!$C$4,0),ROUNDDOWN($E117*ROUND((9*$AA117-9*$E117)/(10*$E117),4),0))))</f>
        <v/>
      </c>
      <c r="AD117" s="13" t="n"/>
      <c r="AE117" s="15">
        <f>IF($B117="","",IF($AD117&lt;&gt;"",$AD117,IF($AC117="","",IF($AC117&lt;=設定!$C$3,0,$AC117))))</f>
        <v/>
      </c>
      <c r="AF117" s="14">
        <f>IF($B117="","",IF(AND($AG117&lt;&gt;"",$AI117="",$AL117=""),"保留中",IF($AL117&lt;&gt;"",IF(N($AE117)&gt;0,"支給済","不支給"),IF($AE117="","要確認",IF($AE117=0,"不支給","未処理")))))</f>
        <v/>
      </c>
      <c r="AG117" s="12" t="inlineStr">
        <is>
          <t>育休期間の変更待ち</t>
        </is>
      </c>
      <c r="AH117" s="11" t="n"/>
      <c r="AI117" s="11" t="n"/>
      <c r="AJ117" s="11" t="n"/>
      <c r="AK117" s="14">
        <f>IF(AND($AF117="保留中",$AH117&lt;&gt;""),TODAY()-$AH117,"")</f>
        <v/>
      </c>
      <c r="AL117" s="12" t="n"/>
      <c r="AM117" s="14">
        <f>IF($B117="","",IF($AQ117="","対象年月が未入力／","")&amp;IF($B117="","",IF($AP117="","職員マスタに未登録の職員番号／",IF($AA117="","標準報酬月額が未登録／","")&amp;IF(AND($AQ117&lt;&gt;"",OR(AND(INDEX(職員マスタ!$G$6:$G$405,$AP117)&lt;&gt;"",INDEX(職員マスタ!$G$6:$G$405,$AP117)&gt;EOMONTH($AQ117,0)),AND(INDEX(職員マスタ!$H$6:$H$405,$AP117)&lt;&gt;"",INDEX(職員マスタ!$H$6:$H$405,$AP117)&lt;$AQ117))),"対象月が時短期間外／","")&amp;IF(AND(INDEX(職員マスタ!$K$6:$K$405,$AP117)&lt;&gt;"",N($W117)&gt;0,INDEX(職員マスタ!$K$6:$K$405,$AP117)&lt;&gt;$W117),"標準報酬月額が申請書と相違（台帳"&amp;TEXT(INDEX(職員マスタ!$K$6:$K$405,$AP117),"#,##0")&amp;"円／申請書"&amp;TEXT($W117,"#,##0")&amp;"円）／","")&amp;IF(AND(INDEX(職員マスタ!$F$6:$F$405,$AP117)&lt;&gt;"",$AQ117&lt;&gt;"",INDEX(職員マスタ!$F$6:$F$405,$AP117)&lt;$AQ117),"対象月に子が2歳到達済／","")&amp;IF(AND($H117&lt;&gt;"",INDEX(職員マスタ!$B$6:$B$405,$AP117)&lt;&gt;"",SUBSTITUTE(SUBSTITUTE($H117," ","")," ","")&lt;&gt;SUBSTITUTE(SUBSTITUTE(INDEX(職員マスタ!$B$6:$B$405,$AP117)," ","")," ","")),"氏名がマスタと相違／","")&amp;IF(AND($Q117&lt;&gt;"",INDEX(職員マスタ!$E$6:$E$405,$AP117)&lt;&gt;"",$Q117&lt;&gt;INDEX(職員マスタ!$E$6:$E$405,$AP117)),"子の生年月日がマスタと相違／","")&amp;IF(AND($L117&lt;&gt;"",INDEX(職員マスタ!$G$6:$G$405,$AP117)&lt;&gt;"",$L117&lt;&gt;INDEX(職員マスタ!$G$6:$G$405,$AP117)),"時短開始日がマスタと相違／","")&amp;IF(AND($M117&lt;&gt;"",INDEX(職員マスタ!$H$6:$H$405,$AP117)&lt;&gt;"",$M117&lt;&gt;INDEX(職員マスタ!$H$6:$H$405,$AP117)),"時短終了日がマスタと相違／","")))&amp;IF(AND($B117&lt;&gt;"",$E117=""),"報酬額が未入力／","")&amp;IF(N($U117)&gt;0,"申請書に入力エラーが残っています／","")&amp;IF(AND($B117&lt;&gt;"",$AQ117&lt;&gt;""),IF(COUNTIFS($B$6:$B$3005,$B117,$C$6:$C$3005,$C117,$D$6:$D$3005,$D117)&gt;1,"同じ月の請求が重複しています／",""),"")&amp;IF(AND(N($E117)&gt;0,$AB117&lt;&gt;"",$AB117&lt;&gt;"×",$AE117=0,$AD117=""),"計算額が下限以下のため不支給／",""))</f>
        <v/>
      </c>
      <c r="AN117" s="12" t="n"/>
      <c r="AO117" s="14">
        <f>IF($AF117="保留中",COUNTIF($AF$6:$AF117,"保留中"),"")</f>
        <v/>
      </c>
      <c r="AP117" s="14">
        <f>IF($AQ117="","",IF(SUMPRODUCT(MAX((職員マスタ!$A$6:$A$405=$B117)*(((職員マスタ!$G$6:$G$405="")+(職員マスタ!$G$6:$G$405&lt;=EOMONTH($AQ117,0)))&gt;0)*(((職員マスタ!$H$6:$H$405="")+(職員マスタ!$H$6:$H$405&gt;=$AQ117))&gt;0)*(ROW(職員マスタ!$A$6:$A$405)-5)))&gt;0,SUMPRODUCT(MAX((職員マスタ!$A$6:$A$405=$B117)*(((職員マスタ!$G$6:$G$405="")+(職員マスタ!$G$6:$G$405&lt;=EOMONTH($AQ117,0)))&gt;0)*(((職員マスタ!$H$6:$H$405="")+(職員マスタ!$H$6:$H$405&gt;=$AQ117))&gt;0)*(ROW(職員マスタ!$A$6:$A$405)-5))),IFERROR(MATCH($B117,職員マスタ!$A$6:$A$405,0),"")))</f>
        <v/>
      </c>
      <c r="AQ117" s="16">
        <f>IF(OR($B117="",$C117="",$D117=""),"",DATE($C117+2018,$D117,1))</f>
        <v/>
      </c>
    </row>
    <row r="118">
      <c r="A118" s="11" t="n"/>
      <c r="B118" s="12" t="n">
        <v>6101828</v>
      </c>
      <c r="C118" s="12" t="n">
        <v>8</v>
      </c>
      <c r="D118" s="12" t="n">
        <v>6</v>
      </c>
      <c r="E118" s="13" t="n">
        <v>233679</v>
      </c>
      <c r="F118" s="12" t="n"/>
      <c r="G118" s="13" t="n"/>
      <c r="H118" s="12" t="n"/>
      <c r="I118" s="12" t="n"/>
      <c r="J118" s="12" t="n"/>
      <c r="K118" s="12" t="n"/>
      <c r="L118" s="11" t="n"/>
      <c r="M118" s="11" t="n"/>
      <c r="N118" s="11" t="n"/>
      <c r="O118" s="11" t="n"/>
      <c r="P118" s="12" t="n"/>
      <c r="Q118" s="11" t="n"/>
      <c r="R118" s="12" t="n"/>
      <c r="S118" s="11" t="n"/>
      <c r="T118" s="12" t="n"/>
      <c r="U118" s="12" t="n"/>
      <c r="V118" s="12" t="n"/>
      <c r="W118" s="13" t="n"/>
      <c r="X118" s="14">
        <f>IF($AP118="",IF($B118="","",$H118),IF(INDEX(職員マスタ!$B$6:$B$405,$AP118)="",$H118,INDEX(職員マスタ!$B$6:$B$405,$AP118)))</f>
        <v/>
      </c>
      <c r="Y118" s="14">
        <f>IF($AP118="",IF($B118="","",$R118),IF(INDEX(職員マスタ!$C$6:$C$405,$AP118)="",$R118,INDEX(職員マスタ!$C$6:$C$405,$AP118)))</f>
        <v/>
      </c>
      <c r="Z118" s="14">
        <f>IF($AQ118="","","R"&amp;$C118&amp;"."&amp;$D118)</f>
        <v/>
      </c>
      <c r="AA118" s="15">
        <f>IF(IF($AP118="",FALSE,INDEX(職員マスタ!$K$6:$K$405,$AP118)&lt;&gt;""),INDEX(職員マスタ!$K$6:$K$405,$AP118),IF(N($W118)&gt;0,$W118,""))</f>
        <v/>
      </c>
      <c r="AB118" s="14">
        <f>IF(OR($E118="",$AA118=""),"",IF($E118&gt;=$AA118,"×",IF($E118&gt;=$AA118*設定!$C$5,"△","○")))</f>
        <v/>
      </c>
      <c r="AC118" s="15">
        <f>IF($AB118="","",IF($AB118="×",0,IF($AB118="○",ROUNDDOWN($E118*設定!$C$4,0),ROUNDDOWN($E118*ROUND((9*$AA118-9*$E118)/(10*$E118),4),0))))</f>
        <v/>
      </c>
      <c r="AD118" s="13" t="n"/>
      <c r="AE118" s="15">
        <f>IF($B118="","",IF($AD118&lt;&gt;"",$AD118,IF($AC118="","",IF($AC118&lt;=設定!$C$3,0,$AC118))))</f>
        <v/>
      </c>
      <c r="AF118" s="14">
        <f>IF($B118="","",IF(AND($AG118&lt;&gt;"",$AI118="",$AL118=""),"保留中",IF($AL118&lt;&gt;"",IF(N($AE118)&gt;0,"支給済","不支給"),IF($AE118="","要確認",IF($AE118=0,"不支給","未処理")))))</f>
        <v/>
      </c>
      <c r="AG118" s="12" t="inlineStr">
        <is>
          <t>育休期間の変更待ち</t>
        </is>
      </c>
      <c r="AH118" s="11" t="n"/>
      <c r="AI118" s="11" t="n"/>
      <c r="AJ118" s="11" t="n"/>
      <c r="AK118" s="14">
        <f>IF(AND($AF118="保留中",$AH118&lt;&gt;""),TODAY()-$AH118,"")</f>
        <v/>
      </c>
      <c r="AL118" s="12" t="n"/>
      <c r="AM118" s="14">
        <f>IF($B118="","",IF($AQ118="","対象年月が未入力／","")&amp;IF($B118="","",IF($AP118="","職員マスタに未登録の職員番号／",IF($AA118="","標準報酬月額が未登録／","")&amp;IF(AND($AQ118&lt;&gt;"",OR(AND(INDEX(職員マスタ!$G$6:$G$405,$AP118)&lt;&gt;"",INDEX(職員マスタ!$G$6:$G$405,$AP118)&gt;EOMONTH($AQ118,0)),AND(INDEX(職員マスタ!$H$6:$H$405,$AP118)&lt;&gt;"",INDEX(職員マスタ!$H$6:$H$405,$AP118)&lt;$AQ118))),"対象月が時短期間外／","")&amp;IF(AND(INDEX(職員マスタ!$K$6:$K$405,$AP118)&lt;&gt;"",N($W118)&gt;0,INDEX(職員マスタ!$K$6:$K$405,$AP118)&lt;&gt;$W118),"標準報酬月額が申請書と相違（台帳"&amp;TEXT(INDEX(職員マスタ!$K$6:$K$405,$AP118),"#,##0")&amp;"円／申請書"&amp;TEXT($W118,"#,##0")&amp;"円）／","")&amp;IF(AND(INDEX(職員マスタ!$F$6:$F$405,$AP118)&lt;&gt;"",$AQ118&lt;&gt;"",INDEX(職員マスタ!$F$6:$F$405,$AP118)&lt;$AQ118),"対象月に子が2歳到達済／","")&amp;IF(AND($H118&lt;&gt;"",INDEX(職員マスタ!$B$6:$B$405,$AP118)&lt;&gt;"",SUBSTITUTE(SUBSTITUTE($H118," ","")," ","")&lt;&gt;SUBSTITUTE(SUBSTITUTE(INDEX(職員マスタ!$B$6:$B$405,$AP118)," ","")," ","")),"氏名がマスタと相違／","")&amp;IF(AND($Q118&lt;&gt;"",INDEX(職員マスタ!$E$6:$E$405,$AP118)&lt;&gt;"",$Q118&lt;&gt;INDEX(職員マスタ!$E$6:$E$405,$AP118)),"子の生年月日がマスタと相違／","")&amp;IF(AND($L118&lt;&gt;"",INDEX(職員マスタ!$G$6:$G$405,$AP118)&lt;&gt;"",$L118&lt;&gt;INDEX(職員マスタ!$G$6:$G$405,$AP118)),"時短開始日がマスタと相違／","")&amp;IF(AND($M118&lt;&gt;"",INDEX(職員マスタ!$H$6:$H$405,$AP118)&lt;&gt;"",$M118&lt;&gt;INDEX(職員マスタ!$H$6:$H$405,$AP118)),"時短終了日がマスタと相違／","")))&amp;IF(AND($B118&lt;&gt;"",$E118=""),"報酬額が未入力／","")&amp;IF(N($U118)&gt;0,"申請書に入力エラーが残っています／","")&amp;IF(AND($B118&lt;&gt;"",$AQ118&lt;&gt;""),IF(COUNTIFS($B$6:$B$3005,$B118,$C$6:$C$3005,$C118,$D$6:$D$3005,$D118)&gt;1,"同じ月の請求が重複しています／",""),"")&amp;IF(AND(N($E118)&gt;0,$AB118&lt;&gt;"",$AB118&lt;&gt;"×",$AE118=0,$AD118=""),"計算額が下限以下のため不支給／",""))</f>
        <v/>
      </c>
      <c r="AN118" s="12" t="n"/>
      <c r="AO118" s="14">
        <f>IF($AF118="保留中",COUNTIF($AF$6:$AF118,"保留中"),"")</f>
        <v/>
      </c>
      <c r="AP118" s="14">
        <f>IF($AQ118="","",IF(SUMPRODUCT(MAX((職員マスタ!$A$6:$A$405=$B118)*(((職員マスタ!$G$6:$G$405="")+(職員マスタ!$G$6:$G$405&lt;=EOMONTH($AQ118,0)))&gt;0)*(((職員マスタ!$H$6:$H$405="")+(職員マスタ!$H$6:$H$405&gt;=$AQ118))&gt;0)*(ROW(職員マスタ!$A$6:$A$405)-5)))&gt;0,SUMPRODUCT(MAX((職員マスタ!$A$6:$A$405=$B118)*(((職員マスタ!$G$6:$G$405="")+(職員マスタ!$G$6:$G$405&lt;=EOMONTH($AQ118,0)))&gt;0)*(((職員マスタ!$H$6:$H$405="")+(職員マスタ!$H$6:$H$405&gt;=$AQ118))&gt;0)*(ROW(職員マスタ!$A$6:$A$405)-5))),IFERROR(MATCH($B118,職員マスタ!$A$6:$A$405,0),"")))</f>
        <v/>
      </c>
      <c r="AQ118" s="16">
        <f>IF(OR($B118="",$C118="",$D118=""),"",DATE($C118+2018,$D118,1))</f>
        <v/>
      </c>
    </row>
    <row r="119">
      <c r="A119" s="11" t="n"/>
      <c r="B119" s="12" t="n">
        <v>6101828</v>
      </c>
      <c r="C119" s="12" t="n">
        <v>8</v>
      </c>
      <c r="D119" s="12" t="n">
        <v>7</v>
      </c>
      <c r="E119" s="13" t="n">
        <v>229223</v>
      </c>
      <c r="F119" s="12" t="n"/>
      <c r="G119" s="13" t="n"/>
      <c r="H119" s="12" t="n"/>
      <c r="I119" s="12" t="n"/>
      <c r="J119" s="12" t="n"/>
      <c r="K119" s="12" t="n"/>
      <c r="L119" s="11" t="n"/>
      <c r="M119" s="11" t="n"/>
      <c r="N119" s="11" t="n"/>
      <c r="O119" s="11" t="n"/>
      <c r="P119" s="12" t="n"/>
      <c r="Q119" s="11" t="n"/>
      <c r="R119" s="12" t="n"/>
      <c r="S119" s="11" t="n"/>
      <c r="T119" s="12" t="n"/>
      <c r="U119" s="12" t="n"/>
      <c r="V119" s="12" t="n"/>
      <c r="W119" s="13" t="n"/>
      <c r="X119" s="14">
        <f>IF($AP119="",IF($B119="","",$H119),IF(INDEX(職員マスタ!$B$6:$B$405,$AP119)="",$H119,INDEX(職員マスタ!$B$6:$B$405,$AP119)))</f>
        <v/>
      </c>
      <c r="Y119" s="14">
        <f>IF($AP119="",IF($B119="","",$R119),IF(INDEX(職員マスタ!$C$6:$C$405,$AP119)="",$R119,INDEX(職員マスタ!$C$6:$C$405,$AP119)))</f>
        <v/>
      </c>
      <c r="Z119" s="14">
        <f>IF($AQ119="","","R"&amp;$C119&amp;"."&amp;$D119)</f>
        <v/>
      </c>
      <c r="AA119" s="15">
        <f>IF(IF($AP119="",FALSE,INDEX(職員マスタ!$K$6:$K$405,$AP119)&lt;&gt;""),INDEX(職員マスタ!$K$6:$K$405,$AP119),IF(N($W119)&gt;0,$W119,""))</f>
        <v/>
      </c>
      <c r="AB119" s="14">
        <f>IF(OR($E119="",$AA119=""),"",IF($E119&gt;=$AA119,"×",IF($E119&gt;=$AA119*設定!$C$5,"△","○")))</f>
        <v/>
      </c>
      <c r="AC119" s="15">
        <f>IF($AB119="","",IF($AB119="×",0,IF($AB119="○",ROUNDDOWN($E119*設定!$C$4,0),ROUNDDOWN($E119*ROUND((9*$AA119-9*$E119)/(10*$E119),4),0))))</f>
        <v/>
      </c>
      <c r="AD119" s="13" t="n"/>
      <c r="AE119" s="15">
        <f>IF($B119="","",IF($AD119&lt;&gt;"",$AD119,IF($AC119="","",IF($AC119&lt;=設定!$C$3,0,$AC119))))</f>
        <v/>
      </c>
      <c r="AF119" s="14">
        <f>IF($B119="","",IF(AND($AG119&lt;&gt;"",$AI119="",$AL119=""),"保留中",IF($AL119&lt;&gt;"",IF(N($AE119)&gt;0,"支給済","不支給"),IF($AE119="","要確認",IF($AE119=0,"不支給","未処理")))))</f>
        <v/>
      </c>
      <c r="AG119" s="12" t="n"/>
      <c r="AH119" s="11" t="n"/>
      <c r="AI119" s="11" t="n"/>
      <c r="AJ119" s="11" t="n"/>
      <c r="AK119" s="14">
        <f>IF(AND($AF119="保留中",$AH119&lt;&gt;""),TODAY()-$AH119,"")</f>
        <v/>
      </c>
      <c r="AL119" s="12" t="inlineStr">
        <is>
          <t>R8.10</t>
        </is>
      </c>
      <c r="AM119" s="14">
        <f>IF($B119="","",IF($AQ119="","対象年月が未入力／","")&amp;IF($B119="","",IF($AP119="","職員マスタに未登録の職員番号／",IF($AA119="","標準報酬月額が未登録／","")&amp;IF(AND($AQ119&lt;&gt;"",OR(AND(INDEX(職員マスタ!$G$6:$G$405,$AP119)&lt;&gt;"",INDEX(職員マスタ!$G$6:$G$405,$AP119)&gt;EOMONTH($AQ119,0)),AND(INDEX(職員マスタ!$H$6:$H$405,$AP119)&lt;&gt;"",INDEX(職員マスタ!$H$6:$H$405,$AP119)&lt;$AQ119))),"対象月が時短期間外／","")&amp;IF(AND(INDEX(職員マスタ!$K$6:$K$405,$AP119)&lt;&gt;"",N($W119)&gt;0,INDEX(職員マスタ!$K$6:$K$405,$AP119)&lt;&gt;$W119),"標準報酬月額が申請書と相違（台帳"&amp;TEXT(INDEX(職員マスタ!$K$6:$K$405,$AP119),"#,##0")&amp;"円／申請書"&amp;TEXT($W119,"#,##0")&amp;"円）／","")&amp;IF(AND(INDEX(職員マスタ!$F$6:$F$405,$AP119)&lt;&gt;"",$AQ119&lt;&gt;"",INDEX(職員マスタ!$F$6:$F$405,$AP119)&lt;$AQ119),"対象月に子が2歳到達済／","")&amp;IF(AND($H119&lt;&gt;"",INDEX(職員マスタ!$B$6:$B$405,$AP119)&lt;&gt;"",SUBSTITUTE(SUBSTITUTE($H119," ","")," ","")&lt;&gt;SUBSTITUTE(SUBSTITUTE(INDEX(職員マスタ!$B$6:$B$405,$AP119)," ","")," ","")),"氏名がマスタと相違／","")&amp;IF(AND($Q119&lt;&gt;"",INDEX(職員マスタ!$E$6:$E$405,$AP119)&lt;&gt;"",$Q119&lt;&gt;INDEX(職員マスタ!$E$6:$E$405,$AP119)),"子の生年月日がマスタと相違／","")&amp;IF(AND($L119&lt;&gt;"",INDEX(職員マスタ!$G$6:$G$405,$AP119)&lt;&gt;"",$L119&lt;&gt;INDEX(職員マスタ!$G$6:$G$405,$AP119)),"時短開始日がマスタと相違／","")&amp;IF(AND($M119&lt;&gt;"",INDEX(職員マスタ!$H$6:$H$405,$AP119)&lt;&gt;"",$M119&lt;&gt;INDEX(職員マスタ!$H$6:$H$405,$AP119)),"時短終了日がマスタと相違／","")))&amp;IF(AND($B119&lt;&gt;"",$E119=""),"報酬額が未入力／","")&amp;IF(N($U119)&gt;0,"申請書に入力エラーが残っています／","")&amp;IF(AND($B119&lt;&gt;"",$AQ119&lt;&gt;""),IF(COUNTIFS($B$6:$B$3005,$B119,$C$6:$C$3005,$C119,$D$6:$D$3005,$D119)&gt;1,"同じ月の請求が重複しています／",""),"")&amp;IF(AND(N($E119)&gt;0,$AB119&lt;&gt;"",$AB119&lt;&gt;"×",$AE119=0,$AD119=""),"計算額が下限以下のため不支給／",""))</f>
        <v/>
      </c>
      <c r="AN119" s="12" t="n"/>
      <c r="AO119" s="14">
        <f>IF($AF119="保留中",COUNTIF($AF$6:$AF119,"保留中"),"")</f>
        <v/>
      </c>
      <c r="AP119" s="14">
        <f>IF($AQ119="","",IF(SUMPRODUCT(MAX((職員マスタ!$A$6:$A$405=$B119)*(((職員マスタ!$G$6:$G$405="")+(職員マスタ!$G$6:$G$405&lt;=EOMONTH($AQ119,0)))&gt;0)*(((職員マスタ!$H$6:$H$405="")+(職員マスタ!$H$6:$H$405&gt;=$AQ119))&gt;0)*(ROW(職員マスタ!$A$6:$A$405)-5)))&gt;0,SUMPRODUCT(MAX((職員マスタ!$A$6:$A$405=$B119)*(((職員マスタ!$G$6:$G$405="")+(職員マスタ!$G$6:$G$405&lt;=EOMONTH($AQ119,0)))&gt;0)*(((職員マスタ!$H$6:$H$405="")+(職員マスタ!$H$6:$H$405&gt;=$AQ119))&gt;0)*(ROW(職員マスタ!$A$6:$A$405)-5))),IFERROR(MATCH($B119,職員マスタ!$A$6:$A$405,0),"")))</f>
        <v/>
      </c>
      <c r="AQ119" s="16">
        <f>IF(OR($B119="",$C119="",$D119=""),"",DATE($C119+2018,$D119,1))</f>
        <v/>
      </c>
    </row>
    <row r="120">
      <c r="A120" s="11" t="n"/>
      <c r="B120" s="12" t="n">
        <v>6101828</v>
      </c>
      <c r="C120" s="12" t="n">
        <v>8</v>
      </c>
      <c r="D120" s="12" t="n">
        <v>8</v>
      </c>
      <c r="E120" s="13" t="n">
        <v>231451</v>
      </c>
      <c r="F120" s="12" t="n"/>
      <c r="G120" s="13" t="n"/>
      <c r="H120" s="12" t="n"/>
      <c r="I120" s="12" t="n"/>
      <c r="J120" s="12" t="n"/>
      <c r="K120" s="12" t="n"/>
      <c r="L120" s="11" t="n"/>
      <c r="M120" s="11" t="n"/>
      <c r="N120" s="11" t="n"/>
      <c r="O120" s="11" t="n"/>
      <c r="P120" s="12" t="n"/>
      <c r="Q120" s="11" t="n"/>
      <c r="R120" s="12" t="n"/>
      <c r="S120" s="11" t="n"/>
      <c r="T120" s="12" t="n"/>
      <c r="U120" s="12" t="n"/>
      <c r="V120" s="12" t="n"/>
      <c r="W120" s="13" t="n"/>
      <c r="X120" s="14">
        <f>IF($AP120="",IF($B120="","",$H120),IF(INDEX(職員マスタ!$B$6:$B$405,$AP120)="",$H120,INDEX(職員マスタ!$B$6:$B$405,$AP120)))</f>
        <v/>
      </c>
      <c r="Y120" s="14">
        <f>IF($AP120="",IF($B120="","",$R120),IF(INDEX(職員マスタ!$C$6:$C$405,$AP120)="",$R120,INDEX(職員マスタ!$C$6:$C$405,$AP120)))</f>
        <v/>
      </c>
      <c r="Z120" s="14">
        <f>IF($AQ120="","","R"&amp;$C120&amp;"."&amp;$D120)</f>
        <v/>
      </c>
      <c r="AA120" s="15">
        <f>IF(IF($AP120="",FALSE,INDEX(職員マスタ!$K$6:$K$405,$AP120)&lt;&gt;""),INDEX(職員マスタ!$K$6:$K$405,$AP120),IF(N($W120)&gt;0,$W120,""))</f>
        <v/>
      </c>
      <c r="AB120" s="14">
        <f>IF(OR($E120="",$AA120=""),"",IF($E120&gt;=$AA120,"×",IF($E120&gt;=$AA120*設定!$C$5,"△","○")))</f>
        <v/>
      </c>
      <c r="AC120" s="15">
        <f>IF($AB120="","",IF($AB120="×",0,IF($AB120="○",ROUNDDOWN($E120*設定!$C$4,0),ROUNDDOWN($E120*ROUND((9*$AA120-9*$E120)/(10*$E120),4),0))))</f>
        <v/>
      </c>
      <c r="AD120" s="13" t="n"/>
      <c r="AE120" s="15">
        <f>IF($B120="","",IF($AD120&lt;&gt;"",$AD120,IF($AC120="","",IF($AC120&lt;=設定!$C$3,0,$AC120))))</f>
        <v/>
      </c>
      <c r="AF120" s="14">
        <f>IF($B120="","",IF(AND($AG120&lt;&gt;"",$AI120="",$AL120=""),"保留中",IF($AL120&lt;&gt;"",IF(N($AE120)&gt;0,"支給済","不支給"),IF($AE120="","要確認",IF($AE120=0,"不支給","未処理")))))</f>
        <v/>
      </c>
      <c r="AG120" s="12" t="n"/>
      <c r="AH120" s="11" t="n"/>
      <c r="AI120" s="11" t="n"/>
      <c r="AJ120" s="11" t="n"/>
      <c r="AK120" s="14">
        <f>IF(AND($AF120="保留中",$AH120&lt;&gt;""),TODAY()-$AH120,"")</f>
        <v/>
      </c>
      <c r="AL120" s="12" t="inlineStr">
        <is>
          <t>R8.10</t>
        </is>
      </c>
      <c r="AM120" s="14">
        <f>IF($B120="","",IF($AQ120="","対象年月が未入力／","")&amp;IF($B120="","",IF($AP120="","職員マスタに未登録の職員番号／",IF($AA120="","標準報酬月額が未登録／","")&amp;IF(AND($AQ120&lt;&gt;"",OR(AND(INDEX(職員マスタ!$G$6:$G$405,$AP120)&lt;&gt;"",INDEX(職員マスタ!$G$6:$G$405,$AP120)&gt;EOMONTH($AQ120,0)),AND(INDEX(職員マスタ!$H$6:$H$405,$AP120)&lt;&gt;"",INDEX(職員マスタ!$H$6:$H$405,$AP120)&lt;$AQ120))),"対象月が時短期間外／","")&amp;IF(AND(INDEX(職員マスタ!$K$6:$K$405,$AP120)&lt;&gt;"",N($W120)&gt;0,INDEX(職員マスタ!$K$6:$K$405,$AP120)&lt;&gt;$W120),"標準報酬月額が申請書と相違（台帳"&amp;TEXT(INDEX(職員マスタ!$K$6:$K$405,$AP120),"#,##0")&amp;"円／申請書"&amp;TEXT($W120,"#,##0")&amp;"円）／","")&amp;IF(AND(INDEX(職員マスタ!$F$6:$F$405,$AP120)&lt;&gt;"",$AQ120&lt;&gt;"",INDEX(職員マスタ!$F$6:$F$405,$AP120)&lt;$AQ120),"対象月に子が2歳到達済／","")&amp;IF(AND($H120&lt;&gt;"",INDEX(職員マスタ!$B$6:$B$405,$AP120)&lt;&gt;"",SUBSTITUTE(SUBSTITUTE($H120," ","")," ","")&lt;&gt;SUBSTITUTE(SUBSTITUTE(INDEX(職員マスタ!$B$6:$B$405,$AP120)," ","")," ","")),"氏名がマスタと相違／","")&amp;IF(AND($Q120&lt;&gt;"",INDEX(職員マスタ!$E$6:$E$405,$AP120)&lt;&gt;"",$Q120&lt;&gt;INDEX(職員マスタ!$E$6:$E$405,$AP120)),"子の生年月日がマスタと相違／","")&amp;IF(AND($L120&lt;&gt;"",INDEX(職員マスタ!$G$6:$G$405,$AP120)&lt;&gt;"",$L120&lt;&gt;INDEX(職員マスタ!$G$6:$G$405,$AP120)),"時短開始日がマスタと相違／","")&amp;IF(AND($M120&lt;&gt;"",INDEX(職員マスタ!$H$6:$H$405,$AP120)&lt;&gt;"",$M120&lt;&gt;INDEX(職員マスタ!$H$6:$H$405,$AP120)),"時短終了日がマスタと相違／","")))&amp;IF(AND($B120&lt;&gt;"",$E120=""),"報酬額が未入力／","")&amp;IF(N($U120)&gt;0,"申請書に入力エラーが残っています／","")&amp;IF(AND($B120&lt;&gt;"",$AQ120&lt;&gt;""),IF(COUNTIFS($B$6:$B$3005,$B120,$C$6:$C$3005,$C120,$D$6:$D$3005,$D120)&gt;1,"同じ月の請求が重複しています／",""),"")&amp;IF(AND(N($E120)&gt;0,$AB120&lt;&gt;"",$AB120&lt;&gt;"×",$AE120=0,$AD120=""),"計算額が下限以下のため不支給／",""))</f>
        <v/>
      </c>
      <c r="AN120" s="12" t="n"/>
      <c r="AO120" s="14">
        <f>IF($AF120="保留中",COUNTIF($AF$6:$AF120,"保留中"),"")</f>
        <v/>
      </c>
      <c r="AP120" s="14">
        <f>IF($AQ120="","",IF(SUMPRODUCT(MAX((職員マスタ!$A$6:$A$405=$B120)*(((職員マスタ!$G$6:$G$405="")+(職員マスタ!$G$6:$G$405&lt;=EOMONTH($AQ120,0)))&gt;0)*(((職員マスタ!$H$6:$H$405="")+(職員マスタ!$H$6:$H$405&gt;=$AQ120))&gt;0)*(ROW(職員マスタ!$A$6:$A$405)-5)))&gt;0,SUMPRODUCT(MAX((職員マスタ!$A$6:$A$405=$B120)*(((職員マスタ!$G$6:$G$405="")+(職員マスタ!$G$6:$G$405&lt;=EOMONTH($AQ120,0)))&gt;0)*(((職員マスタ!$H$6:$H$405="")+(職員マスタ!$H$6:$H$405&gt;=$AQ120))&gt;0)*(ROW(職員マスタ!$A$6:$A$405)-5))),IFERROR(MATCH($B120,職員マスタ!$A$6:$A$405,0),"")))</f>
        <v/>
      </c>
      <c r="AQ120" s="16">
        <f>IF(OR($B120="",$C120="",$D120=""),"",DATE($C120+2018,$D120,1))</f>
        <v/>
      </c>
    </row>
    <row r="121">
      <c r="A121" s="11" t="n"/>
      <c r="B121" s="12" t="n">
        <v>6101950</v>
      </c>
      <c r="C121" s="12" t="n">
        <v>7</v>
      </c>
      <c r="D121" s="12" t="n">
        <v>5</v>
      </c>
      <c r="E121" s="13" t="n">
        <v>182570</v>
      </c>
      <c r="F121" s="12" t="n"/>
      <c r="G121" s="13" t="n"/>
      <c r="H121" s="12" t="n"/>
      <c r="I121" s="12" t="n"/>
      <c r="J121" s="12" t="n"/>
      <c r="K121" s="12" t="n"/>
      <c r="L121" s="11" t="n"/>
      <c r="M121" s="11" t="n"/>
      <c r="N121" s="11" t="n"/>
      <c r="O121" s="11" t="n"/>
      <c r="P121" s="12" t="n"/>
      <c r="Q121" s="11" t="n"/>
      <c r="R121" s="12" t="n"/>
      <c r="S121" s="11" t="n"/>
      <c r="T121" s="12" t="n"/>
      <c r="U121" s="12" t="n"/>
      <c r="V121" s="12" t="n"/>
      <c r="W121" s="13" t="n"/>
      <c r="X121" s="14">
        <f>IF($AP121="",IF($B121="","",$H121),IF(INDEX(職員マスタ!$B$6:$B$405,$AP121)="",$H121,INDEX(職員マスタ!$B$6:$B$405,$AP121)))</f>
        <v/>
      </c>
      <c r="Y121" s="14">
        <f>IF($AP121="",IF($B121="","",$R121),IF(INDEX(職員マスタ!$C$6:$C$405,$AP121)="",$R121,INDEX(職員マスタ!$C$6:$C$405,$AP121)))</f>
        <v/>
      </c>
      <c r="Z121" s="14">
        <f>IF($AQ121="","","R"&amp;$C121&amp;"."&amp;$D121)</f>
        <v/>
      </c>
      <c r="AA121" s="15">
        <f>IF(IF($AP121="",FALSE,INDEX(職員マスタ!$K$6:$K$405,$AP121)&lt;&gt;""),INDEX(職員マスタ!$K$6:$K$405,$AP121),IF(N($W121)&gt;0,$W121,""))</f>
        <v/>
      </c>
      <c r="AB121" s="14">
        <f>IF(OR($E121="",$AA121=""),"",IF($E121&gt;=$AA121,"×",IF($E121&gt;=$AA121*設定!$C$5,"△","○")))</f>
        <v/>
      </c>
      <c r="AC121" s="15">
        <f>IF($AB121="","",IF($AB121="×",0,IF($AB121="○",ROUNDDOWN($E121*設定!$C$4,0),ROUNDDOWN($E121*ROUND((9*$AA121-9*$E121)/(10*$E121),4),0))))</f>
        <v/>
      </c>
      <c r="AD121" s="13" t="n"/>
      <c r="AE121" s="15">
        <f>IF($B121="","",IF($AD121&lt;&gt;"",$AD121,IF($AC121="","",IF($AC121&lt;=設定!$C$3,0,$AC121))))</f>
        <v/>
      </c>
      <c r="AF121" s="14">
        <f>IF($B121="","",IF(AND($AG121&lt;&gt;"",$AI121="",$AL121=""),"保留中",IF($AL121&lt;&gt;"",IF(N($AE121)&gt;0,"支給済","不支給"),IF($AE121="","要確認",IF($AE121=0,"不支給","未処理")))))</f>
        <v/>
      </c>
      <c r="AG121" s="12" t="inlineStr">
        <is>
          <t>その他</t>
        </is>
      </c>
      <c r="AH121" s="11" t="n"/>
      <c r="AI121" s="11" t="n"/>
      <c r="AJ121" s="11" t="n"/>
      <c r="AK121" s="14">
        <f>IF(AND($AF121="保留中",$AH121&lt;&gt;""),TODAY()-$AH121,"")</f>
        <v/>
      </c>
      <c r="AL121" s="12" t="inlineStr">
        <is>
          <t>R7.11</t>
        </is>
      </c>
      <c r="AM121" s="14">
        <f>IF($B121="","",IF($AQ121="","対象年月が未入力／","")&amp;IF($B121="","",IF($AP121="","職員マスタに未登録の職員番号／",IF($AA121="","標準報酬月額が未登録／","")&amp;IF(AND($AQ121&lt;&gt;"",OR(AND(INDEX(職員マスタ!$G$6:$G$405,$AP121)&lt;&gt;"",INDEX(職員マスタ!$G$6:$G$405,$AP121)&gt;EOMONTH($AQ121,0)),AND(INDEX(職員マスタ!$H$6:$H$405,$AP121)&lt;&gt;"",INDEX(職員マスタ!$H$6:$H$405,$AP121)&lt;$AQ121))),"対象月が時短期間外／","")&amp;IF(AND(INDEX(職員マスタ!$K$6:$K$405,$AP121)&lt;&gt;"",N($W121)&gt;0,INDEX(職員マスタ!$K$6:$K$405,$AP121)&lt;&gt;$W121),"標準報酬月額が申請書と相違（台帳"&amp;TEXT(INDEX(職員マスタ!$K$6:$K$405,$AP121),"#,##0")&amp;"円／申請書"&amp;TEXT($W121,"#,##0")&amp;"円）／","")&amp;IF(AND(INDEX(職員マスタ!$F$6:$F$405,$AP121)&lt;&gt;"",$AQ121&lt;&gt;"",INDEX(職員マスタ!$F$6:$F$405,$AP121)&lt;$AQ121),"対象月に子が2歳到達済／","")&amp;IF(AND($H121&lt;&gt;"",INDEX(職員マスタ!$B$6:$B$405,$AP121)&lt;&gt;"",SUBSTITUTE(SUBSTITUTE($H121," ","")," ","")&lt;&gt;SUBSTITUTE(SUBSTITUTE(INDEX(職員マスタ!$B$6:$B$405,$AP121)," ","")," ","")),"氏名がマスタと相違／","")&amp;IF(AND($Q121&lt;&gt;"",INDEX(職員マスタ!$E$6:$E$405,$AP121)&lt;&gt;"",$Q121&lt;&gt;INDEX(職員マスタ!$E$6:$E$405,$AP121)),"子の生年月日がマスタと相違／","")&amp;IF(AND($L121&lt;&gt;"",INDEX(職員マスタ!$G$6:$G$405,$AP121)&lt;&gt;"",$L121&lt;&gt;INDEX(職員マスタ!$G$6:$G$405,$AP121)),"時短開始日がマスタと相違／","")&amp;IF(AND($M121&lt;&gt;"",INDEX(職員マスタ!$H$6:$H$405,$AP121)&lt;&gt;"",$M121&lt;&gt;INDEX(職員マスタ!$H$6:$H$405,$AP121)),"時短終了日がマスタと相違／","")))&amp;IF(AND($B121&lt;&gt;"",$E121=""),"報酬額が未入力／","")&amp;IF(N($U121)&gt;0,"申請書に入力エラーが残っています／","")&amp;IF(AND($B121&lt;&gt;"",$AQ121&lt;&gt;""),IF(COUNTIFS($B$6:$B$3005,$B121,$C$6:$C$3005,$C121,$D$6:$D$3005,$D121)&gt;1,"同じ月の請求が重複しています／",""),"")&amp;IF(AND(N($E121)&gt;0,$AB121&lt;&gt;"",$AB121&lt;&gt;"×",$AE121=0,$AD121=""),"計算額が下限以下のため不支給／",""))</f>
        <v/>
      </c>
      <c r="AN121" s="12" t="inlineStr">
        <is>
          <t>保留⇒支給</t>
        </is>
      </c>
      <c r="AO121" s="14">
        <f>IF($AF121="保留中",COUNTIF($AF$6:$AF121,"保留中"),"")</f>
        <v/>
      </c>
      <c r="AP121" s="14">
        <f>IF($AQ121="","",IF(SUMPRODUCT(MAX((職員マスタ!$A$6:$A$405=$B121)*(((職員マスタ!$G$6:$G$405="")+(職員マスタ!$G$6:$G$405&lt;=EOMONTH($AQ121,0)))&gt;0)*(((職員マスタ!$H$6:$H$405="")+(職員マスタ!$H$6:$H$405&gt;=$AQ121))&gt;0)*(ROW(職員マスタ!$A$6:$A$405)-5)))&gt;0,SUMPRODUCT(MAX((職員マスタ!$A$6:$A$405=$B121)*(((職員マスタ!$G$6:$G$405="")+(職員マスタ!$G$6:$G$405&lt;=EOMONTH($AQ121,0)))&gt;0)*(((職員マスタ!$H$6:$H$405="")+(職員マスタ!$H$6:$H$405&gt;=$AQ121))&gt;0)*(ROW(職員マスタ!$A$6:$A$405)-5))),IFERROR(MATCH($B121,職員マスタ!$A$6:$A$405,0),"")))</f>
        <v/>
      </c>
      <c r="AQ121" s="16">
        <f>IF(OR($B121="",$C121="",$D121=""),"",DATE($C121+2018,$D121,1))</f>
        <v/>
      </c>
    </row>
    <row r="122">
      <c r="A122" s="11" t="n"/>
      <c r="B122" s="12" t="n">
        <v>6101950</v>
      </c>
      <c r="C122" s="12" t="n">
        <v>7</v>
      </c>
      <c r="D122" s="12" t="n">
        <v>6</v>
      </c>
      <c r="E122" s="13" t="n">
        <v>182570</v>
      </c>
      <c r="F122" s="12" t="n"/>
      <c r="G122" s="13" t="n"/>
      <c r="H122" s="12" t="n"/>
      <c r="I122" s="12" t="n"/>
      <c r="J122" s="12" t="n"/>
      <c r="K122" s="12" t="n"/>
      <c r="L122" s="11" t="n"/>
      <c r="M122" s="11" t="n"/>
      <c r="N122" s="11" t="n"/>
      <c r="O122" s="11" t="n"/>
      <c r="P122" s="12" t="n"/>
      <c r="Q122" s="11" t="n"/>
      <c r="R122" s="12" t="n"/>
      <c r="S122" s="11" t="n"/>
      <c r="T122" s="12" t="n"/>
      <c r="U122" s="12" t="n"/>
      <c r="V122" s="12" t="n"/>
      <c r="W122" s="13" t="n"/>
      <c r="X122" s="14">
        <f>IF($AP122="",IF($B122="","",$H122),IF(INDEX(職員マスタ!$B$6:$B$405,$AP122)="",$H122,INDEX(職員マスタ!$B$6:$B$405,$AP122)))</f>
        <v/>
      </c>
      <c r="Y122" s="14">
        <f>IF($AP122="",IF($B122="","",$R122),IF(INDEX(職員マスタ!$C$6:$C$405,$AP122)="",$R122,INDEX(職員マスタ!$C$6:$C$405,$AP122)))</f>
        <v/>
      </c>
      <c r="Z122" s="14">
        <f>IF($AQ122="","","R"&amp;$C122&amp;"."&amp;$D122)</f>
        <v/>
      </c>
      <c r="AA122" s="15">
        <f>IF(IF($AP122="",FALSE,INDEX(職員マスタ!$K$6:$K$405,$AP122)&lt;&gt;""),INDEX(職員マスタ!$K$6:$K$405,$AP122),IF(N($W122)&gt;0,$W122,""))</f>
        <v/>
      </c>
      <c r="AB122" s="14">
        <f>IF(OR($E122="",$AA122=""),"",IF($E122&gt;=$AA122,"×",IF($E122&gt;=$AA122*設定!$C$5,"△","○")))</f>
        <v/>
      </c>
      <c r="AC122" s="15">
        <f>IF($AB122="","",IF($AB122="×",0,IF($AB122="○",ROUNDDOWN($E122*設定!$C$4,0),ROUNDDOWN($E122*ROUND((9*$AA122-9*$E122)/(10*$E122),4),0))))</f>
        <v/>
      </c>
      <c r="AD122" s="13" t="n"/>
      <c r="AE122" s="15">
        <f>IF($B122="","",IF($AD122&lt;&gt;"",$AD122,IF($AC122="","",IF($AC122&lt;=設定!$C$3,0,$AC122))))</f>
        <v/>
      </c>
      <c r="AF122" s="14">
        <f>IF($B122="","",IF(AND($AG122&lt;&gt;"",$AI122="",$AL122=""),"保留中",IF($AL122&lt;&gt;"",IF(N($AE122)&gt;0,"支給済","不支給"),IF($AE122="","要確認",IF($AE122=0,"不支給","未処理")))))</f>
        <v/>
      </c>
      <c r="AG122" s="12" t="inlineStr">
        <is>
          <t>その他</t>
        </is>
      </c>
      <c r="AH122" s="11" t="n"/>
      <c r="AI122" s="11" t="n"/>
      <c r="AJ122" s="11" t="n"/>
      <c r="AK122" s="14">
        <f>IF(AND($AF122="保留中",$AH122&lt;&gt;""),TODAY()-$AH122,"")</f>
        <v/>
      </c>
      <c r="AL122" s="12" t="inlineStr">
        <is>
          <t>R7.11</t>
        </is>
      </c>
      <c r="AM122" s="14">
        <f>IF($B122="","",IF($AQ122="","対象年月が未入力／","")&amp;IF($B122="","",IF($AP122="","職員マスタに未登録の職員番号／",IF($AA122="","標準報酬月額が未登録／","")&amp;IF(AND($AQ122&lt;&gt;"",OR(AND(INDEX(職員マスタ!$G$6:$G$405,$AP122)&lt;&gt;"",INDEX(職員マスタ!$G$6:$G$405,$AP122)&gt;EOMONTH($AQ122,0)),AND(INDEX(職員マスタ!$H$6:$H$405,$AP122)&lt;&gt;"",INDEX(職員マスタ!$H$6:$H$405,$AP122)&lt;$AQ122))),"対象月が時短期間外／","")&amp;IF(AND(INDEX(職員マスタ!$K$6:$K$405,$AP122)&lt;&gt;"",N($W122)&gt;0,INDEX(職員マスタ!$K$6:$K$405,$AP122)&lt;&gt;$W122),"標準報酬月額が申請書と相違（台帳"&amp;TEXT(INDEX(職員マスタ!$K$6:$K$405,$AP122),"#,##0")&amp;"円／申請書"&amp;TEXT($W122,"#,##0")&amp;"円）／","")&amp;IF(AND(INDEX(職員マスタ!$F$6:$F$405,$AP122)&lt;&gt;"",$AQ122&lt;&gt;"",INDEX(職員マスタ!$F$6:$F$405,$AP122)&lt;$AQ122),"対象月に子が2歳到達済／","")&amp;IF(AND($H122&lt;&gt;"",INDEX(職員マスタ!$B$6:$B$405,$AP122)&lt;&gt;"",SUBSTITUTE(SUBSTITUTE($H122," ","")," ","")&lt;&gt;SUBSTITUTE(SUBSTITUTE(INDEX(職員マスタ!$B$6:$B$405,$AP122)," ","")," ","")),"氏名がマスタと相違／","")&amp;IF(AND($Q122&lt;&gt;"",INDEX(職員マスタ!$E$6:$E$405,$AP122)&lt;&gt;"",$Q122&lt;&gt;INDEX(職員マスタ!$E$6:$E$405,$AP122)),"子の生年月日がマスタと相違／","")&amp;IF(AND($L122&lt;&gt;"",INDEX(職員マスタ!$G$6:$G$405,$AP122)&lt;&gt;"",$L122&lt;&gt;INDEX(職員マスタ!$G$6:$G$405,$AP122)),"時短開始日がマスタと相違／","")&amp;IF(AND($M122&lt;&gt;"",INDEX(職員マスタ!$H$6:$H$405,$AP122)&lt;&gt;"",$M122&lt;&gt;INDEX(職員マスタ!$H$6:$H$405,$AP122)),"時短終了日がマスタと相違／","")))&amp;IF(AND($B122&lt;&gt;"",$E122=""),"報酬額が未入力／","")&amp;IF(N($U122)&gt;0,"申請書に入力エラーが残っています／","")&amp;IF(AND($B122&lt;&gt;"",$AQ122&lt;&gt;""),IF(COUNTIFS($B$6:$B$3005,$B122,$C$6:$C$3005,$C122,$D$6:$D$3005,$D122)&gt;1,"同じ月の請求が重複しています／",""),"")&amp;IF(AND(N($E122)&gt;0,$AB122&lt;&gt;"",$AB122&lt;&gt;"×",$AE122=0,$AD122=""),"計算額が下限以下のため不支給／",""))</f>
        <v/>
      </c>
      <c r="AN122" s="12" t="inlineStr">
        <is>
          <t>保留⇒支給</t>
        </is>
      </c>
      <c r="AO122" s="14">
        <f>IF($AF122="保留中",COUNTIF($AF$6:$AF122,"保留中"),"")</f>
        <v/>
      </c>
      <c r="AP122" s="14">
        <f>IF($AQ122="","",IF(SUMPRODUCT(MAX((職員マスタ!$A$6:$A$405=$B122)*(((職員マスタ!$G$6:$G$405="")+(職員マスタ!$G$6:$G$405&lt;=EOMONTH($AQ122,0)))&gt;0)*(((職員マスタ!$H$6:$H$405="")+(職員マスタ!$H$6:$H$405&gt;=$AQ122))&gt;0)*(ROW(職員マスタ!$A$6:$A$405)-5)))&gt;0,SUMPRODUCT(MAX((職員マスタ!$A$6:$A$405=$B122)*(((職員マスタ!$G$6:$G$405="")+(職員マスタ!$G$6:$G$405&lt;=EOMONTH($AQ122,0)))&gt;0)*(((職員マスタ!$H$6:$H$405="")+(職員マスタ!$H$6:$H$405&gt;=$AQ122))&gt;0)*(ROW(職員マスタ!$A$6:$A$405)-5))),IFERROR(MATCH($B122,職員マスタ!$A$6:$A$405,0),"")))</f>
        <v/>
      </c>
      <c r="AQ122" s="16">
        <f>IF(OR($B122="",$C122="",$D122=""),"",DATE($C122+2018,$D122,1))</f>
        <v/>
      </c>
    </row>
    <row r="123">
      <c r="A123" s="11" t="n"/>
      <c r="B123" s="12" t="n">
        <v>6101950</v>
      </c>
      <c r="C123" s="12" t="n">
        <v>7</v>
      </c>
      <c r="D123" s="12" t="n">
        <v>7</v>
      </c>
      <c r="E123" s="13" t="n">
        <v>182570</v>
      </c>
      <c r="F123" s="12" t="n"/>
      <c r="G123" s="13" t="n"/>
      <c r="H123" s="12" t="n"/>
      <c r="I123" s="12" t="n"/>
      <c r="J123" s="12" t="n"/>
      <c r="K123" s="12" t="n"/>
      <c r="L123" s="11" t="n"/>
      <c r="M123" s="11" t="n"/>
      <c r="N123" s="11" t="n"/>
      <c r="O123" s="11" t="n"/>
      <c r="P123" s="12" t="n"/>
      <c r="Q123" s="11" t="n"/>
      <c r="R123" s="12" t="n"/>
      <c r="S123" s="11" t="n"/>
      <c r="T123" s="12" t="n"/>
      <c r="U123" s="12" t="n"/>
      <c r="V123" s="12" t="n"/>
      <c r="W123" s="13" t="n"/>
      <c r="X123" s="14">
        <f>IF($AP123="",IF($B123="","",$H123),IF(INDEX(職員マスタ!$B$6:$B$405,$AP123)="",$H123,INDEX(職員マスタ!$B$6:$B$405,$AP123)))</f>
        <v/>
      </c>
      <c r="Y123" s="14">
        <f>IF($AP123="",IF($B123="","",$R123),IF(INDEX(職員マスタ!$C$6:$C$405,$AP123)="",$R123,INDEX(職員マスタ!$C$6:$C$405,$AP123)))</f>
        <v/>
      </c>
      <c r="Z123" s="14">
        <f>IF($AQ123="","","R"&amp;$C123&amp;"."&amp;$D123)</f>
        <v/>
      </c>
      <c r="AA123" s="15">
        <f>IF(IF($AP123="",FALSE,INDEX(職員マスタ!$K$6:$K$405,$AP123)&lt;&gt;""),INDEX(職員マスタ!$K$6:$K$405,$AP123),IF(N($W123)&gt;0,$W123,""))</f>
        <v/>
      </c>
      <c r="AB123" s="14">
        <f>IF(OR($E123="",$AA123=""),"",IF($E123&gt;=$AA123,"×",IF($E123&gt;=$AA123*設定!$C$5,"△","○")))</f>
        <v/>
      </c>
      <c r="AC123" s="15">
        <f>IF($AB123="","",IF($AB123="×",0,IF($AB123="○",ROUNDDOWN($E123*設定!$C$4,0),ROUNDDOWN($E123*ROUND((9*$AA123-9*$E123)/(10*$E123),4),0))))</f>
        <v/>
      </c>
      <c r="AD123" s="13" t="n"/>
      <c r="AE123" s="15">
        <f>IF($B123="","",IF($AD123&lt;&gt;"",$AD123,IF($AC123="","",IF($AC123&lt;=設定!$C$3,0,$AC123))))</f>
        <v/>
      </c>
      <c r="AF123" s="14">
        <f>IF($B123="","",IF(AND($AG123&lt;&gt;"",$AI123="",$AL123=""),"保留中",IF($AL123&lt;&gt;"",IF(N($AE123)&gt;0,"支給済","不支給"),IF($AE123="","要確認",IF($AE123=0,"不支給","未処理")))))</f>
        <v/>
      </c>
      <c r="AG123" s="12" t="n"/>
      <c r="AH123" s="11" t="n"/>
      <c r="AI123" s="11" t="n"/>
      <c r="AJ123" s="11" t="n"/>
      <c r="AK123" s="14">
        <f>IF(AND($AF123="保留中",$AH123&lt;&gt;""),TODAY()-$AH123,"")</f>
        <v/>
      </c>
      <c r="AL123" s="12" t="inlineStr">
        <is>
          <t>R7.9</t>
        </is>
      </c>
      <c r="AM123" s="14">
        <f>IF($B123="","",IF($AQ123="","対象年月が未入力／","")&amp;IF($B123="","",IF($AP123="","職員マスタに未登録の職員番号／",IF($AA123="","標準報酬月額が未登録／","")&amp;IF(AND($AQ123&lt;&gt;"",OR(AND(INDEX(職員マスタ!$G$6:$G$405,$AP123)&lt;&gt;"",INDEX(職員マスタ!$G$6:$G$405,$AP123)&gt;EOMONTH($AQ123,0)),AND(INDEX(職員マスタ!$H$6:$H$405,$AP123)&lt;&gt;"",INDEX(職員マスタ!$H$6:$H$405,$AP123)&lt;$AQ123))),"対象月が時短期間外／","")&amp;IF(AND(INDEX(職員マスタ!$K$6:$K$405,$AP123)&lt;&gt;"",N($W123)&gt;0,INDEX(職員マスタ!$K$6:$K$405,$AP123)&lt;&gt;$W123),"標準報酬月額が申請書と相違（台帳"&amp;TEXT(INDEX(職員マスタ!$K$6:$K$405,$AP123),"#,##0")&amp;"円／申請書"&amp;TEXT($W123,"#,##0")&amp;"円）／","")&amp;IF(AND(INDEX(職員マスタ!$F$6:$F$405,$AP123)&lt;&gt;"",$AQ123&lt;&gt;"",INDEX(職員マスタ!$F$6:$F$405,$AP123)&lt;$AQ123),"対象月に子が2歳到達済／","")&amp;IF(AND($H123&lt;&gt;"",INDEX(職員マスタ!$B$6:$B$405,$AP123)&lt;&gt;"",SUBSTITUTE(SUBSTITUTE($H123," ","")," ","")&lt;&gt;SUBSTITUTE(SUBSTITUTE(INDEX(職員マスタ!$B$6:$B$405,$AP123)," ","")," ","")),"氏名がマスタと相違／","")&amp;IF(AND($Q123&lt;&gt;"",INDEX(職員マスタ!$E$6:$E$405,$AP123)&lt;&gt;"",$Q123&lt;&gt;INDEX(職員マスタ!$E$6:$E$405,$AP123)),"子の生年月日がマスタと相違／","")&amp;IF(AND($L123&lt;&gt;"",INDEX(職員マスタ!$G$6:$G$405,$AP123)&lt;&gt;"",$L123&lt;&gt;INDEX(職員マスタ!$G$6:$G$405,$AP123)),"時短開始日がマスタと相違／","")&amp;IF(AND($M123&lt;&gt;"",INDEX(職員マスタ!$H$6:$H$405,$AP123)&lt;&gt;"",$M123&lt;&gt;INDEX(職員マスタ!$H$6:$H$405,$AP123)),"時短終了日がマスタと相違／","")))&amp;IF(AND($B123&lt;&gt;"",$E123=""),"報酬額が未入力／","")&amp;IF(N($U123)&gt;0,"申請書に入力エラーが残っています／","")&amp;IF(AND($B123&lt;&gt;"",$AQ123&lt;&gt;""),IF(COUNTIFS($B$6:$B$3005,$B123,$C$6:$C$3005,$C123,$D$6:$D$3005,$D123)&gt;1,"同じ月の請求が重複しています／",""),"")&amp;IF(AND(N($E123)&gt;0,$AB123&lt;&gt;"",$AB123&lt;&gt;"×",$AE123=0,$AD123=""),"計算額が下限以下のため不支給／",""))</f>
        <v/>
      </c>
      <c r="AN123" s="12" t="n"/>
      <c r="AO123" s="14">
        <f>IF($AF123="保留中",COUNTIF($AF$6:$AF123,"保留中"),"")</f>
        <v/>
      </c>
      <c r="AP123" s="14">
        <f>IF($AQ123="","",IF(SUMPRODUCT(MAX((職員マスタ!$A$6:$A$405=$B123)*(((職員マスタ!$G$6:$G$405="")+(職員マスタ!$G$6:$G$405&lt;=EOMONTH($AQ123,0)))&gt;0)*(((職員マスタ!$H$6:$H$405="")+(職員マスタ!$H$6:$H$405&gt;=$AQ123))&gt;0)*(ROW(職員マスタ!$A$6:$A$405)-5)))&gt;0,SUMPRODUCT(MAX((職員マスタ!$A$6:$A$405=$B123)*(((職員マスタ!$G$6:$G$405="")+(職員マスタ!$G$6:$G$405&lt;=EOMONTH($AQ123,0)))&gt;0)*(((職員マスタ!$H$6:$H$405="")+(職員マスタ!$H$6:$H$405&gt;=$AQ123))&gt;0)*(ROW(職員マスタ!$A$6:$A$405)-5))),IFERROR(MATCH($B123,職員マスタ!$A$6:$A$405,0),"")))</f>
        <v/>
      </c>
      <c r="AQ123" s="16">
        <f>IF(OR($B123="",$C123="",$D123=""),"",DATE($C123+2018,$D123,1))</f>
        <v/>
      </c>
    </row>
    <row r="124">
      <c r="A124" s="11" t="n"/>
      <c r="B124" s="12" t="n">
        <v>6101950</v>
      </c>
      <c r="C124" s="12" t="n">
        <v>7</v>
      </c>
      <c r="D124" s="12" t="n">
        <v>8</v>
      </c>
      <c r="E124" s="13" t="n">
        <v>182570</v>
      </c>
      <c r="F124" s="12" t="n"/>
      <c r="G124" s="13" t="n"/>
      <c r="H124" s="12" t="n"/>
      <c r="I124" s="12" t="n"/>
      <c r="J124" s="12" t="n"/>
      <c r="K124" s="12" t="n"/>
      <c r="L124" s="11" t="n"/>
      <c r="M124" s="11" t="n"/>
      <c r="N124" s="11" t="n"/>
      <c r="O124" s="11" t="n"/>
      <c r="P124" s="12" t="n"/>
      <c r="Q124" s="11" t="n"/>
      <c r="R124" s="12" t="n"/>
      <c r="S124" s="11" t="n"/>
      <c r="T124" s="12" t="n"/>
      <c r="U124" s="12" t="n"/>
      <c r="V124" s="12" t="n"/>
      <c r="W124" s="13" t="n"/>
      <c r="X124" s="14">
        <f>IF($AP124="",IF($B124="","",$H124),IF(INDEX(職員マスタ!$B$6:$B$405,$AP124)="",$H124,INDEX(職員マスタ!$B$6:$B$405,$AP124)))</f>
        <v/>
      </c>
      <c r="Y124" s="14">
        <f>IF($AP124="",IF($B124="","",$R124),IF(INDEX(職員マスタ!$C$6:$C$405,$AP124)="",$R124,INDEX(職員マスタ!$C$6:$C$405,$AP124)))</f>
        <v/>
      </c>
      <c r="Z124" s="14">
        <f>IF($AQ124="","","R"&amp;$C124&amp;"."&amp;$D124)</f>
        <v/>
      </c>
      <c r="AA124" s="15">
        <f>IF(IF($AP124="",FALSE,INDEX(職員マスタ!$K$6:$K$405,$AP124)&lt;&gt;""),INDEX(職員マスタ!$K$6:$K$405,$AP124),IF(N($W124)&gt;0,$W124,""))</f>
        <v/>
      </c>
      <c r="AB124" s="14">
        <f>IF(OR($E124="",$AA124=""),"",IF($E124&gt;=$AA124,"×",IF($E124&gt;=$AA124*設定!$C$5,"△","○")))</f>
        <v/>
      </c>
      <c r="AC124" s="15">
        <f>IF($AB124="","",IF($AB124="×",0,IF($AB124="○",ROUNDDOWN($E124*設定!$C$4,0),ROUNDDOWN($E124*ROUND((9*$AA124-9*$E124)/(10*$E124),4),0))))</f>
        <v/>
      </c>
      <c r="AD124" s="13" t="n"/>
      <c r="AE124" s="15">
        <f>IF($B124="","",IF($AD124&lt;&gt;"",$AD124,IF($AC124="","",IF($AC124&lt;=設定!$C$3,0,$AC124))))</f>
        <v/>
      </c>
      <c r="AF124" s="14">
        <f>IF($B124="","",IF(AND($AG124&lt;&gt;"",$AI124="",$AL124=""),"保留中",IF($AL124&lt;&gt;"",IF(N($AE124)&gt;0,"支給済","不支給"),IF($AE124="","要確認",IF($AE124=0,"不支給","未処理")))))</f>
        <v/>
      </c>
      <c r="AG124" s="12" t="n"/>
      <c r="AH124" s="11" t="n"/>
      <c r="AI124" s="11" t="n"/>
      <c r="AJ124" s="11" t="n"/>
      <c r="AK124" s="14">
        <f>IF(AND($AF124="保留中",$AH124&lt;&gt;""),TODAY()-$AH124,"")</f>
        <v/>
      </c>
      <c r="AL124" s="12" t="inlineStr">
        <is>
          <t>R7.10</t>
        </is>
      </c>
      <c r="AM124" s="14">
        <f>IF($B124="","",IF($AQ124="","対象年月が未入力／","")&amp;IF($B124="","",IF($AP124="","職員マスタに未登録の職員番号／",IF($AA124="","標準報酬月額が未登録／","")&amp;IF(AND($AQ124&lt;&gt;"",OR(AND(INDEX(職員マスタ!$G$6:$G$405,$AP124)&lt;&gt;"",INDEX(職員マスタ!$G$6:$G$405,$AP124)&gt;EOMONTH($AQ124,0)),AND(INDEX(職員マスタ!$H$6:$H$405,$AP124)&lt;&gt;"",INDEX(職員マスタ!$H$6:$H$405,$AP124)&lt;$AQ124))),"対象月が時短期間外／","")&amp;IF(AND(INDEX(職員マスタ!$K$6:$K$405,$AP124)&lt;&gt;"",N($W124)&gt;0,INDEX(職員マスタ!$K$6:$K$405,$AP124)&lt;&gt;$W124),"標準報酬月額が申請書と相違（台帳"&amp;TEXT(INDEX(職員マスタ!$K$6:$K$405,$AP124),"#,##0")&amp;"円／申請書"&amp;TEXT($W124,"#,##0")&amp;"円）／","")&amp;IF(AND(INDEX(職員マスタ!$F$6:$F$405,$AP124)&lt;&gt;"",$AQ124&lt;&gt;"",INDEX(職員マスタ!$F$6:$F$405,$AP124)&lt;$AQ124),"対象月に子が2歳到達済／","")&amp;IF(AND($H124&lt;&gt;"",INDEX(職員マスタ!$B$6:$B$405,$AP124)&lt;&gt;"",SUBSTITUTE(SUBSTITUTE($H124," ","")," ","")&lt;&gt;SUBSTITUTE(SUBSTITUTE(INDEX(職員マスタ!$B$6:$B$405,$AP124)," ","")," ","")),"氏名がマスタと相違／","")&amp;IF(AND($Q124&lt;&gt;"",INDEX(職員マスタ!$E$6:$E$405,$AP124)&lt;&gt;"",$Q124&lt;&gt;INDEX(職員マスタ!$E$6:$E$405,$AP124)),"子の生年月日がマスタと相違／","")&amp;IF(AND($L124&lt;&gt;"",INDEX(職員マスタ!$G$6:$G$405,$AP124)&lt;&gt;"",$L124&lt;&gt;INDEX(職員マスタ!$G$6:$G$405,$AP124)),"時短開始日がマスタと相違／","")&amp;IF(AND($M124&lt;&gt;"",INDEX(職員マスタ!$H$6:$H$405,$AP124)&lt;&gt;"",$M124&lt;&gt;INDEX(職員マスタ!$H$6:$H$405,$AP124)),"時短終了日がマスタと相違／","")))&amp;IF(AND($B124&lt;&gt;"",$E124=""),"報酬額が未入力／","")&amp;IF(N($U124)&gt;0,"申請書に入力エラーが残っています／","")&amp;IF(AND($B124&lt;&gt;"",$AQ124&lt;&gt;""),IF(COUNTIFS($B$6:$B$3005,$B124,$C$6:$C$3005,$C124,$D$6:$D$3005,$D124)&gt;1,"同じ月の請求が重複しています／",""),"")&amp;IF(AND(N($E124)&gt;0,$AB124&lt;&gt;"",$AB124&lt;&gt;"×",$AE124=0,$AD124=""),"計算額が下限以下のため不支給／",""))</f>
        <v/>
      </c>
      <c r="AN124" s="12" t="n"/>
      <c r="AO124" s="14">
        <f>IF($AF124="保留中",COUNTIF($AF$6:$AF124,"保留中"),"")</f>
        <v/>
      </c>
      <c r="AP124" s="14">
        <f>IF($AQ124="","",IF(SUMPRODUCT(MAX((職員マスタ!$A$6:$A$405=$B124)*(((職員マスタ!$G$6:$G$405="")+(職員マスタ!$G$6:$G$405&lt;=EOMONTH($AQ124,0)))&gt;0)*(((職員マスタ!$H$6:$H$405="")+(職員マスタ!$H$6:$H$405&gt;=$AQ124))&gt;0)*(ROW(職員マスタ!$A$6:$A$405)-5)))&gt;0,SUMPRODUCT(MAX((職員マスタ!$A$6:$A$405=$B124)*(((職員マスタ!$G$6:$G$405="")+(職員マスタ!$G$6:$G$405&lt;=EOMONTH($AQ124,0)))&gt;0)*(((職員マスタ!$H$6:$H$405="")+(職員マスタ!$H$6:$H$405&gt;=$AQ124))&gt;0)*(ROW(職員マスタ!$A$6:$A$405)-5))),IFERROR(MATCH($B124,職員マスタ!$A$6:$A$405,0),"")))</f>
        <v/>
      </c>
      <c r="AQ124" s="16">
        <f>IF(OR($B124="",$C124="",$D124=""),"",DATE($C124+2018,$D124,1))</f>
        <v/>
      </c>
    </row>
    <row r="125">
      <c r="A125" s="11" t="n"/>
      <c r="B125" s="12" t="n">
        <v>6101950</v>
      </c>
      <c r="C125" s="12" t="n">
        <v>7</v>
      </c>
      <c r="D125" s="12" t="n">
        <v>9</v>
      </c>
      <c r="E125" s="13" t="n">
        <v>182570</v>
      </c>
      <c r="F125" s="12" t="n"/>
      <c r="G125" s="13" t="n"/>
      <c r="H125" s="12" t="n"/>
      <c r="I125" s="12" t="n"/>
      <c r="J125" s="12" t="n"/>
      <c r="K125" s="12" t="n"/>
      <c r="L125" s="11" t="n"/>
      <c r="M125" s="11" t="n"/>
      <c r="N125" s="11" t="n"/>
      <c r="O125" s="11" t="n"/>
      <c r="P125" s="12" t="n"/>
      <c r="Q125" s="11" t="n"/>
      <c r="R125" s="12" t="n"/>
      <c r="S125" s="11" t="n"/>
      <c r="T125" s="12" t="n"/>
      <c r="U125" s="12" t="n"/>
      <c r="V125" s="12" t="n"/>
      <c r="W125" s="13" t="n"/>
      <c r="X125" s="14">
        <f>IF($AP125="",IF($B125="","",$H125),IF(INDEX(職員マスタ!$B$6:$B$405,$AP125)="",$H125,INDEX(職員マスタ!$B$6:$B$405,$AP125)))</f>
        <v/>
      </c>
      <c r="Y125" s="14">
        <f>IF($AP125="",IF($B125="","",$R125),IF(INDEX(職員マスタ!$C$6:$C$405,$AP125)="",$R125,INDEX(職員マスタ!$C$6:$C$405,$AP125)))</f>
        <v/>
      </c>
      <c r="Z125" s="14">
        <f>IF($AQ125="","","R"&amp;$C125&amp;"."&amp;$D125)</f>
        <v/>
      </c>
      <c r="AA125" s="15">
        <f>IF(IF($AP125="",FALSE,INDEX(職員マスタ!$K$6:$K$405,$AP125)&lt;&gt;""),INDEX(職員マスタ!$K$6:$K$405,$AP125),IF(N($W125)&gt;0,$W125,""))</f>
        <v/>
      </c>
      <c r="AB125" s="14">
        <f>IF(OR($E125="",$AA125=""),"",IF($E125&gt;=$AA125,"×",IF($E125&gt;=$AA125*設定!$C$5,"△","○")))</f>
        <v/>
      </c>
      <c r="AC125" s="15">
        <f>IF($AB125="","",IF($AB125="×",0,IF($AB125="○",ROUNDDOWN($E125*設定!$C$4,0),ROUNDDOWN($E125*ROUND((9*$AA125-9*$E125)/(10*$E125),4),0))))</f>
        <v/>
      </c>
      <c r="AD125" s="13" t="n"/>
      <c r="AE125" s="15">
        <f>IF($B125="","",IF($AD125&lt;&gt;"",$AD125,IF($AC125="","",IF($AC125&lt;=設定!$C$3,0,$AC125))))</f>
        <v/>
      </c>
      <c r="AF125" s="14">
        <f>IF($B125="","",IF(AND($AG125&lt;&gt;"",$AI125="",$AL125=""),"保留中",IF($AL125&lt;&gt;"",IF(N($AE125)&gt;0,"支給済","不支給"),IF($AE125="","要確認",IF($AE125=0,"不支給","未処理")))))</f>
        <v/>
      </c>
      <c r="AG125" s="12" t="n"/>
      <c r="AH125" s="11" t="n"/>
      <c r="AI125" s="11" t="n"/>
      <c r="AJ125" s="11" t="n"/>
      <c r="AK125" s="14">
        <f>IF(AND($AF125="保留中",$AH125&lt;&gt;""),TODAY()-$AH125,"")</f>
        <v/>
      </c>
      <c r="AL125" s="12" t="inlineStr">
        <is>
          <t>R7.11</t>
        </is>
      </c>
      <c r="AM125" s="14">
        <f>IF($B125="","",IF($AQ125="","対象年月が未入力／","")&amp;IF($B125="","",IF($AP125="","職員マスタに未登録の職員番号／",IF($AA125="","標準報酬月額が未登録／","")&amp;IF(AND($AQ125&lt;&gt;"",OR(AND(INDEX(職員マスタ!$G$6:$G$405,$AP125)&lt;&gt;"",INDEX(職員マスタ!$G$6:$G$405,$AP125)&gt;EOMONTH($AQ125,0)),AND(INDEX(職員マスタ!$H$6:$H$405,$AP125)&lt;&gt;"",INDEX(職員マスタ!$H$6:$H$405,$AP125)&lt;$AQ125))),"対象月が時短期間外／","")&amp;IF(AND(INDEX(職員マスタ!$K$6:$K$405,$AP125)&lt;&gt;"",N($W125)&gt;0,INDEX(職員マスタ!$K$6:$K$405,$AP125)&lt;&gt;$W125),"標準報酬月額が申請書と相違（台帳"&amp;TEXT(INDEX(職員マスタ!$K$6:$K$405,$AP125),"#,##0")&amp;"円／申請書"&amp;TEXT($W125,"#,##0")&amp;"円）／","")&amp;IF(AND(INDEX(職員マスタ!$F$6:$F$405,$AP125)&lt;&gt;"",$AQ125&lt;&gt;"",INDEX(職員マスタ!$F$6:$F$405,$AP125)&lt;$AQ125),"対象月に子が2歳到達済／","")&amp;IF(AND($H125&lt;&gt;"",INDEX(職員マスタ!$B$6:$B$405,$AP125)&lt;&gt;"",SUBSTITUTE(SUBSTITUTE($H125," ","")," ","")&lt;&gt;SUBSTITUTE(SUBSTITUTE(INDEX(職員マスタ!$B$6:$B$405,$AP125)," ","")," ","")),"氏名がマスタと相違／","")&amp;IF(AND($Q125&lt;&gt;"",INDEX(職員マスタ!$E$6:$E$405,$AP125)&lt;&gt;"",$Q125&lt;&gt;INDEX(職員マスタ!$E$6:$E$405,$AP125)),"子の生年月日がマスタと相違／","")&amp;IF(AND($L125&lt;&gt;"",INDEX(職員マスタ!$G$6:$G$405,$AP125)&lt;&gt;"",$L125&lt;&gt;INDEX(職員マスタ!$G$6:$G$405,$AP125)),"時短開始日がマスタと相違／","")&amp;IF(AND($M125&lt;&gt;"",INDEX(職員マスタ!$H$6:$H$405,$AP125)&lt;&gt;"",$M125&lt;&gt;INDEX(職員マスタ!$H$6:$H$405,$AP125)),"時短終了日がマスタと相違／","")))&amp;IF(AND($B125&lt;&gt;"",$E125=""),"報酬額が未入力／","")&amp;IF(N($U125)&gt;0,"申請書に入力エラーが残っています／","")&amp;IF(AND($B125&lt;&gt;"",$AQ125&lt;&gt;""),IF(COUNTIFS($B$6:$B$3005,$B125,$C$6:$C$3005,$C125,$D$6:$D$3005,$D125)&gt;1,"同じ月の請求が重複しています／",""),"")&amp;IF(AND(N($E125)&gt;0,$AB125&lt;&gt;"",$AB125&lt;&gt;"×",$AE125=0,$AD125=""),"計算額が下限以下のため不支給／",""))</f>
        <v/>
      </c>
      <c r="AN125" s="12" t="n"/>
      <c r="AO125" s="14">
        <f>IF($AF125="保留中",COUNTIF($AF$6:$AF125,"保留中"),"")</f>
        <v/>
      </c>
      <c r="AP125" s="14">
        <f>IF($AQ125="","",IF(SUMPRODUCT(MAX((職員マスタ!$A$6:$A$405=$B125)*(((職員マスタ!$G$6:$G$405="")+(職員マスタ!$G$6:$G$405&lt;=EOMONTH($AQ125,0)))&gt;0)*(((職員マスタ!$H$6:$H$405="")+(職員マスタ!$H$6:$H$405&gt;=$AQ125))&gt;0)*(ROW(職員マスタ!$A$6:$A$405)-5)))&gt;0,SUMPRODUCT(MAX((職員マスタ!$A$6:$A$405=$B125)*(((職員マスタ!$G$6:$G$405="")+(職員マスタ!$G$6:$G$405&lt;=EOMONTH($AQ125,0)))&gt;0)*(((職員マスタ!$H$6:$H$405="")+(職員マスタ!$H$6:$H$405&gt;=$AQ125))&gt;0)*(ROW(職員マスタ!$A$6:$A$405)-5))),IFERROR(MATCH($B125,職員マスタ!$A$6:$A$405,0),"")))</f>
        <v/>
      </c>
      <c r="AQ125" s="16">
        <f>IF(OR($B125="",$C125="",$D125=""),"",DATE($C125+2018,$D125,1))</f>
        <v/>
      </c>
    </row>
    <row r="126">
      <c r="A126" s="11" t="n"/>
      <c r="B126" s="12" t="n">
        <v>6101950</v>
      </c>
      <c r="C126" s="12" t="n">
        <v>7</v>
      </c>
      <c r="D126" s="12" t="n">
        <v>10</v>
      </c>
      <c r="E126" s="13" t="n">
        <v>182574</v>
      </c>
      <c r="F126" s="12" t="n"/>
      <c r="G126" s="13" t="n"/>
      <c r="H126" s="12" t="n"/>
      <c r="I126" s="12" t="n"/>
      <c r="J126" s="12" t="n"/>
      <c r="K126" s="12" t="n"/>
      <c r="L126" s="11" t="n"/>
      <c r="M126" s="11" t="n"/>
      <c r="N126" s="11" t="n"/>
      <c r="O126" s="11" t="n"/>
      <c r="P126" s="12" t="n"/>
      <c r="Q126" s="11" t="n"/>
      <c r="R126" s="12" t="n"/>
      <c r="S126" s="11" t="n"/>
      <c r="T126" s="12" t="n"/>
      <c r="U126" s="12" t="n"/>
      <c r="V126" s="12" t="n"/>
      <c r="W126" s="13" t="n"/>
      <c r="X126" s="14">
        <f>IF($AP126="",IF($B126="","",$H126),IF(INDEX(職員マスタ!$B$6:$B$405,$AP126)="",$H126,INDEX(職員マスタ!$B$6:$B$405,$AP126)))</f>
        <v/>
      </c>
      <c r="Y126" s="14">
        <f>IF($AP126="",IF($B126="","",$R126),IF(INDEX(職員マスタ!$C$6:$C$405,$AP126)="",$R126,INDEX(職員マスタ!$C$6:$C$405,$AP126)))</f>
        <v/>
      </c>
      <c r="Z126" s="14">
        <f>IF($AQ126="","","R"&amp;$C126&amp;"."&amp;$D126)</f>
        <v/>
      </c>
      <c r="AA126" s="15">
        <f>IF(IF($AP126="",FALSE,INDEX(職員マスタ!$K$6:$K$405,$AP126)&lt;&gt;""),INDEX(職員マスタ!$K$6:$K$405,$AP126),IF(N($W126)&gt;0,$W126,""))</f>
        <v/>
      </c>
      <c r="AB126" s="14">
        <f>IF(OR($E126="",$AA126=""),"",IF($E126&gt;=$AA126,"×",IF($E126&gt;=$AA126*設定!$C$5,"△","○")))</f>
        <v/>
      </c>
      <c r="AC126" s="15">
        <f>IF($AB126="","",IF($AB126="×",0,IF($AB126="○",ROUNDDOWN($E126*設定!$C$4,0),ROUNDDOWN($E126*ROUND((9*$AA126-9*$E126)/(10*$E126),4),0))))</f>
        <v/>
      </c>
      <c r="AD126" s="13" t="n"/>
      <c r="AE126" s="15">
        <f>IF($B126="","",IF($AD126&lt;&gt;"",$AD126,IF($AC126="","",IF($AC126&lt;=設定!$C$3,0,$AC126))))</f>
        <v/>
      </c>
      <c r="AF126" s="14">
        <f>IF($B126="","",IF(AND($AG126&lt;&gt;"",$AI126="",$AL126=""),"保留中",IF($AL126&lt;&gt;"",IF(N($AE126)&gt;0,"支給済","不支給"),IF($AE126="","要確認",IF($AE126=0,"不支給","未処理")))))</f>
        <v/>
      </c>
      <c r="AG126" s="12" t="n"/>
      <c r="AH126" s="11" t="n"/>
      <c r="AI126" s="11" t="n"/>
      <c r="AJ126" s="11" t="n"/>
      <c r="AK126" s="14">
        <f>IF(AND($AF126="保留中",$AH126&lt;&gt;""),TODAY()-$AH126,"")</f>
        <v/>
      </c>
      <c r="AL126" s="12" t="inlineStr">
        <is>
          <t>R7.12</t>
        </is>
      </c>
      <c r="AM126" s="14">
        <f>IF($B126="","",IF($AQ126="","対象年月が未入力／","")&amp;IF($B126="","",IF($AP126="","職員マスタに未登録の職員番号／",IF($AA126="","標準報酬月額が未登録／","")&amp;IF(AND($AQ126&lt;&gt;"",OR(AND(INDEX(職員マスタ!$G$6:$G$405,$AP126)&lt;&gt;"",INDEX(職員マスタ!$G$6:$G$405,$AP126)&gt;EOMONTH($AQ126,0)),AND(INDEX(職員マスタ!$H$6:$H$405,$AP126)&lt;&gt;"",INDEX(職員マスタ!$H$6:$H$405,$AP126)&lt;$AQ126))),"対象月が時短期間外／","")&amp;IF(AND(INDEX(職員マスタ!$K$6:$K$405,$AP126)&lt;&gt;"",N($W126)&gt;0,INDEX(職員マスタ!$K$6:$K$405,$AP126)&lt;&gt;$W126),"標準報酬月額が申請書と相違（台帳"&amp;TEXT(INDEX(職員マスタ!$K$6:$K$405,$AP126),"#,##0")&amp;"円／申請書"&amp;TEXT($W126,"#,##0")&amp;"円）／","")&amp;IF(AND(INDEX(職員マスタ!$F$6:$F$405,$AP126)&lt;&gt;"",$AQ126&lt;&gt;"",INDEX(職員マスタ!$F$6:$F$405,$AP126)&lt;$AQ126),"対象月に子が2歳到達済／","")&amp;IF(AND($H126&lt;&gt;"",INDEX(職員マスタ!$B$6:$B$405,$AP126)&lt;&gt;"",SUBSTITUTE(SUBSTITUTE($H126," ","")," ","")&lt;&gt;SUBSTITUTE(SUBSTITUTE(INDEX(職員マスタ!$B$6:$B$405,$AP126)," ","")," ","")),"氏名がマスタと相違／","")&amp;IF(AND($Q126&lt;&gt;"",INDEX(職員マスタ!$E$6:$E$405,$AP126)&lt;&gt;"",$Q126&lt;&gt;INDEX(職員マスタ!$E$6:$E$405,$AP126)),"子の生年月日がマスタと相違／","")&amp;IF(AND($L126&lt;&gt;"",INDEX(職員マスタ!$G$6:$G$405,$AP126)&lt;&gt;"",$L126&lt;&gt;INDEX(職員マスタ!$G$6:$G$405,$AP126)),"時短開始日がマスタと相違／","")&amp;IF(AND($M126&lt;&gt;"",INDEX(職員マスタ!$H$6:$H$405,$AP126)&lt;&gt;"",$M126&lt;&gt;INDEX(職員マスタ!$H$6:$H$405,$AP126)),"時短終了日がマスタと相違／","")))&amp;IF(AND($B126&lt;&gt;"",$E126=""),"報酬額が未入力／","")&amp;IF(N($U126)&gt;0,"申請書に入力エラーが残っています／","")&amp;IF(AND($B126&lt;&gt;"",$AQ126&lt;&gt;""),IF(COUNTIFS($B$6:$B$3005,$B126,$C$6:$C$3005,$C126,$D$6:$D$3005,$D126)&gt;1,"同じ月の請求が重複しています／",""),"")&amp;IF(AND(N($E126)&gt;0,$AB126&lt;&gt;"",$AB126&lt;&gt;"×",$AE126=0,$AD126=""),"計算額が下限以下のため不支給／",""))</f>
        <v/>
      </c>
      <c r="AN126" s="12" t="n"/>
      <c r="AO126" s="14">
        <f>IF($AF126="保留中",COUNTIF($AF$6:$AF126,"保留中"),"")</f>
        <v/>
      </c>
      <c r="AP126" s="14">
        <f>IF($AQ126="","",IF(SUMPRODUCT(MAX((職員マスタ!$A$6:$A$405=$B126)*(((職員マスタ!$G$6:$G$405="")+(職員マスタ!$G$6:$G$405&lt;=EOMONTH($AQ126,0)))&gt;0)*(((職員マスタ!$H$6:$H$405="")+(職員マスタ!$H$6:$H$405&gt;=$AQ126))&gt;0)*(ROW(職員マスタ!$A$6:$A$405)-5)))&gt;0,SUMPRODUCT(MAX((職員マスタ!$A$6:$A$405=$B126)*(((職員マスタ!$G$6:$G$405="")+(職員マスタ!$G$6:$G$405&lt;=EOMONTH($AQ126,0)))&gt;0)*(((職員マスタ!$H$6:$H$405="")+(職員マスタ!$H$6:$H$405&gt;=$AQ126))&gt;0)*(ROW(職員マスタ!$A$6:$A$405)-5))),IFERROR(MATCH($B126,職員マスタ!$A$6:$A$405,0),"")))</f>
        <v/>
      </c>
      <c r="AQ126" s="16">
        <f>IF(OR($B126="",$C126="",$D126=""),"",DATE($C126+2018,$D126,1))</f>
        <v/>
      </c>
    </row>
    <row r="127">
      <c r="A127" s="11" t="n"/>
      <c r="B127" s="12" t="n">
        <v>6101950</v>
      </c>
      <c r="C127" s="12" t="n">
        <v>7</v>
      </c>
      <c r="D127" s="12" t="n">
        <v>11</v>
      </c>
      <c r="E127" s="13" t="n">
        <v>182570</v>
      </c>
      <c r="F127" s="12" t="n"/>
      <c r="G127" s="13" t="n"/>
      <c r="H127" s="12" t="n"/>
      <c r="I127" s="12" t="n"/>
      <c r="J127" s="12" t="n"/>
      <c r="K127" s="12" t="n"/>
      <c r="L127" s="11" t="n"/>
      <c r="M127" s="11" t="n"/>
      <c r="N127" s="11" t="n"/>
      <c r="O127" s="11" t="n"/>
      <c r="P127" s="12" t="n"/>
      <c r="Q127" s="11" t="n"/>
      <c r="R127" s="12" t="n"/>
      <c r="S127" s="11" t="n"/>
      <c r="T127" s="12" t="n"/>
      <c r="U127" s="12" t="n"/>
      <c r="V127" s="12" t="n"/>
      <c r="W127" s="13" t="n"/>
      <c r="X127" s="14">
        <f>IF($AP127="",IF($B127="","",$H127),IF(INDEX(職員マスタ!$B$6:$B$405,$AP127)="",$H127,INDEX(職員マスタ!$B$6:$B$405,$AP127)))</f>
        <v/>
      </c>
      <c r="Y127" s="14">
        <f>IF($AP127="",IF($B127="","",$R127),IF(INDEX(職員マスタ!$C$6:$C$405,$AP127)="",$R127,INDEX(職員マスタ!$C$6:$C$405,$AP127)))</f>
        <v/>
      </c>
      <c r="Z127" s="14">
        <f>IF($AQ127="","","R"&amp;$C127&amp;"."&amp;$D127)</f>
        <v/>
      </c>
      <c r="AA127" s="15">
        <f>IF(IF($AP127="",FALSE,INDEX(職員マスタ!$K$6:$K$405,$AP127)&lt;&gt;""),INDEX(職員マスタ!$K$6:$K$405,$AP127),IF(N($W127)&gt;0,$W127,""))</f>
        <v/>
      </c>
      <c r="AB127" s="14">
        <f>IF(OR($E127="",$AA127=""),"",IF($E127&gt;=$AA127,"×",IF($E127&gt;=$AA127*設定!$C$5,"△","○")))</f>
        <v/>
      </c>
      <c r="AC127" s="15">
        <f>IF($AB127="","",IF($AB127="×",0,IF($AB127="○",ROUNDDOWN($E127*設定!$C$4,0),ROUNDDOWN($E127*ROUND((9*$AA127-9*$E127)/(10*$E127),4),0))))</f>
        <v/>
      </c>
      <c r="AD127" s="13" t="n"/>
      <c r="AE127" s="15">
        <f>IF($B127="","",IF($AD127&lt;&gt;"",$AD127,IF($AC127="","",IF($AC127&lt;=設定!$C$3,0,$AC127))))</f>
        <v/>
      </c>
      <c r="AF127" s="14">
        <f>IF($B127="","",IF(AND($AG127&lt;&gt;"",$AI127="",$AL127=""),"保留中",IF($AL127&lt;&gt;"",IF(N($AE127)&gt;0,"支給済","不支給"),IF($AE127="","要確認",IF($AE127=0,"不支給","未処理")))))</f>
        <v/>
      </c>
      <c r="AG127" s="12" t="n"/>
      <c r="AH127" s="11" t="n"/>
      <c r="AI127" s="11" t="n"/>
      <c r="AJ127" s="11" t="n"/>
      <c r="AK127" s="14">
        <f>IF(AND($AF127="保留中",$AH127&lt;&gt;""),TODAY()-$AH127,"")</f>
        <v/>
      </c>
      <c r="AL127" s="12" t="inlineStr">
        <is>
          <t>R8.1</t>
        </is>
      </c>
      <c r="AM127" s="14">
        <f>IF($B127="","",IF($AQ127="","対象年月が未入力／","")&amp;IF($B127="","",IF($AP127="","職員マスタに未登録の職員番号／",IF($AA127="","標準報酬月額が未登録／","")&amp;IF(AND($AQ127&lt;&gt;"",OR(AND(INDEX(職員マスタ!$G$6:$G$405,$AP127)&lt;&gt;"",INDEX(職員マスタ!$G$6:$G$405,$AP127)&gt;EOMONTH($AQ127,0)),AND(INDEX(職員マスタ!$H$6:$H$405,$AP127)&lt;&gt;"",INDEX(職員マスタ!$H$6:$H$405,$AP127)&lt;$AQ127))),"対象月が時短期間外／","")&amp;IF(AND(INDEX(職員マスタ!$K$6:$K$405,$AP127)&lt;&gt;"",N($W127)&gt;0,INDEX(職員マスタ!$K$6:$K$405,$AP127)&lt;&gt;$W127),"標準報酬月額が申請書と相違（台帳"&amp;TEXT(INDEX(職員マスタ!$K$6:$K$405,$AP127),"#,##0")&amp;"円／申請書"&amp;TEXT($W127,"#,##0")&amp;"円）／","")&amp;IF(AND(INDEX(職員マスタ!$F$6:$F$405,$AP127)&lt;&gt;"",$AQ127&lt;&gt;"",INDEX(職員マスタ!$F$6:$F$405,$AP127)&lt;$AQ127),"対象月に子が2歳到達済／","")&amp;IF(AND($H127&lt;&gt;"",INDEX(職員マスタ!$B$6:$B$405,$AP127)&lt;&gt;"",SUBSTITUTE(SUBSTITUTE($H127," ","")," ","")&lt;&gt;SUBSTITUTE(SUBSTITUTE(INDEX(職員マスタ!$B$6:$B$405,$AP127)," ","")," ","")),"氏名がマスタと相違／","")&amp;IF(AND($Q127&lt;&gt;"",INDEX(職員マスタ!$E$6:$E$405,$AP127)&lt;&gt;"",$Q127&lt;&gt;INDEX(職員マスタ!$E$6:$E$405,$AP127)),"子の生年月日がマスタと相違／","")&amp;IF(AND($L127&lt;&gt;"",INDEX(職員マスタ!$G$6:$G$405,$AP127)&lt;&gt;"",$L127&lt;&gt;INDEX(職員マスタ!$G$6:$G$405,$AP127)),"時短開始日がマスタと相違／","")&amp;IF(AND($M127&lt;&gt;"",INDEX(職員マスタ!$H$6:$H$405,$AP127)&lt;&gt;"",$M127&lt;&gt;INDEX(職員マスタ!$H$6:$H$405,$AP127)),"時短終了日がマスタと相違／","")))&amp;IF(AND($B127&lt;&gt;"",$E127=""),"報酬額が未入力／","")&amp;IF(N($U127)&gt;0,"申請書に入力エラーが残っています／","")&amp;IF(AND($B127&lt;&gt;"",$AQ127&lt;&gt;""),IF(COUNTIFS($B$6:$B$3005,$B127,$C$6:$C$3005,$C127,$D$6:$D$3005,$D127)&gt;1,"同じ月の請求が重複しています／",""),"")&amp;IF(AND(N($E127)&gt;0,$AB127&lt;&gt;"",$AB127&lt;&gt;"×",$AE127=0,$AD127=""),"計算額が下限以下のため不支給／",""))</f>
        <v/>
      </c>
      <c r="AN127" s="12" t="n"/>
      <c r="AO127" s="14">
        <f>IF($AF127="保留中",COUNTIF($AF$6:$AF127,"保留中"),"")</f>
        <v/>
      </c>
      <c r="AP127" s="14">
        <f>IF($AQ127="","",IF(SUMPRODUCT(MAX((職員マスタ!$A$6:$A$405=$B127)*(((職員マスタ!$G$6:$G$405="")+(職員マスタ!$G$6:$G$405&lt;=EOMONTH($AQ127,0)))&gt;0)*(((職員マスタ!$H$6:$H$405="")+(職員マスタ!$H$6:$H$405&gt;=$AQ127))&gt;0)*(ROW(職員マスタ!$A$6:$A$405)-5)))&gt;0,SUMPRODUCT(MAX((職員マスタ!$A$6:$A$405=$B127)*(((職員マスタ!$G$6:$G$405="")+(職員マスタ!$G$6:$G$405&lt;=EOMONTH($AQ127,0)))&gt;0)*(((職員マスタ!$H$6:$H$405="")+(職員マスタ!$H$6:$H$405&gt;=$AQ127))&gt;0)*(ROW(職員マスタ!$A$6:$A$405)-5))),IFERROR(MATCH($B127,職員マスタ!$A$6:$A$405,0),"")))</f>
        <v/>
      </c>
      <c r="AQ127" s="16">
        <f>IF(OR($B127="",$C127="",$D127=""),"",DATE($C127+2018,$D127,1))</f>
        <v/>
      </c>
    </row>
    <row r="128">
      <c r="A128" s="11" t="n"/>
      <c r="B128" s="12" t="n">
        <v>6101950</v>
      </c>
      <c r="C128" s="12" t="n">
        <v>7</v>
      </c>
      <c r="D128" s="12" t="n">
        <v>12</v>
      </c>
      <c r="E128" s="13" t="n">
        <v>184591</v>
      </c>
      <c r="F128" s="12" t="n"/>
      <c r="G128" s="13" t="n"/>
      <c r="H128" s="12" t="n"/>
      <c r="I128" s="12" t="n"/>
      <c r="J128" s="12" t="n"/>
      <c r="K128" s="12" t="n"/>
      <c r="L128" s="11" t="n"/>
      <c r="M128" s="11" t="n"/>
      <c r="N128" s="11" t="n"/>
      <c r="O128" s="11" t="n"/>
      <c r="P128" s="12" t="n"/>
      <c r="Q128" s="11" t="n"/>
      <c r="R128" s="12" t="n"/>
      <c r="S128" s="11" t="n"/>
      <c r="T128" s="12" t="n"/>
      <c r="U128" s="12" t="n"/>
      <c r="V128" s="12" t="n"/>
      <c r="W128" s="13" t="n"/>
      <c r="X128" s="14">
        <f>IF($AP128="",IF($B128="","",$H128),IF(INDEX(職員マスタ!$B$6:$B$405,$AP128)="",$H128,INDEX(職員マスタ!$B$6:$B$405,$AP128)))</f>
        <v/>
      </c>
      <c r="Y128" s="14">
        <f>IF($AP128="",IF($B128="","",$R128),IF(INDEX(職員マスタ!$C$6:$C$405,$AP128)="",$R128,INDEX(職員マスタ!$C$6:$C$405,$AP128)))</f>
        <v/>
      </c>
      <c r="Z128" s="14">
        <f>IF($AQ128="","","R"&amp;$C128&amp;"."&amp;$D128)</f>
        <v/>
      </c>
      <c r="AA128" s="15">
        <f>IF(IF($AP128="",FALSE,INDEX(職員マスタ!$K$6:$K$405,$AP128)&lt;&gt;""),INDEX(職員マスタ!$K$6:$K$405,$AP128),IF(N($W128)&gt;0,$W128,""))</f>
        <v/>
      </c>
      <c r="AB128" s="14">
        <f>IF(OR($E128="",$AA128=""),"",IF($E128&gt;=$AA128,"×",IF($E128&gt;=$AA128*設定!$C$5,"△","○")))</f>
        <v/>
      </c>
      <c r="AC128" s="15">
        <f>IF($AB128="","",IF($AB128="×",0,IF($AB128="○",ROUNDDOWN($E128*設定!$C$4,0),ROUNDDOWN($E128*ROUND((9*$AA128-9*$E128)/(10*$E128),4),0))))</f>
        <v/>
      </c>
      <c r="AD128" s="13" t="n"/>
      <c r="AE128" s="15">
        <f>IF($B128="","",IF($AD128&lt;&gt;"",$AD128,IF($AC128="","",IF($AC128&lt;=設定!$C$3,0,$AC128))))</f>
        <v/>
      </c>
      <c r="AF128" s="14">
        <f>IF($B128="","",IF(AND($AG128&lt;&gt;"",$AI128="",$AL128=""),"保留中",IF($AL128&lt;&gt;"",IF(N($AE128)&gt;0,"支給済","不支給"),IF($AE128="","要確認",IF($AE128=0,"不支給","未処理")))))</f>
        <v/>
      </c>
      <c r="AG128" s="12" t="n"/>
      <c r="AH128" s="11" t="n"/>
      <c r="AI128" s="11" t="n"/>
      <c r="AJ128" s="11" t="n"/>
      <c r="AK128" s="14">
        <f>IF(AND($AF128="保留中",$AH128&lt;&gt;""),TODAY()-$AH128,"")</f>
        <v/>
      </c>
      <c r="AL128" s="12" t="inlineStr">
        <is>
          <t>R8.2</t>
        </is>
      </c>
      <c r="AM128" s="14">
        <f>IF($B128="","",IF($AQ128="","対象年月が未入力／","")&amp;IF($B128="","",IF($AP128="","職員マスタに未登録の職員番号／",IF($AA128="","標準報酬月額が未登録／","")&amp;IF(AND($AQ128&lt;&gt;"",OR(AND(INDEX(職員マスタ!$G$6:$G$405,$AP128)&lt;&gt;"",INDEX(職員マスタ!$G$6:$G$405,$AP128)&gt;EOMONTH($AQ128,0)),AND(INDEX(職員マスタ!$H$6:$H$405,$AP128)&lt;&gt;"",INDEX(職員マスタ!$H$6:$H$405,$AP128)&lt;$AQ128))),"対象月が時短期間外／","")&amp;IF(AND(INDEX(職員マスタ!$K$6:$K$405,$AP128)&lt;&gt;"",N($W128)&gt;0,INDEX(職員マスタ!$K$6:$K$405,$AP128)&lt;&gt;$W128),"標準報酬月額が申請書と相違（台帳"&amp;TEXT(INDEX(職員マスタ!$K$6:$K$405,$AP128),"#,##0")&amp;"円／申請書"&amp;TEXT($W128,"#,##0")&amp;"円）／","")&amp;IF(AND(INDEX(職員マスタ!$F$6:$F$405,$AP128)&lt;&gt;"",$AQ128&lt;&gt;"",INDEX(職員マスタ!$F$6:$F$405,$AP128)&lt;$AQ128),"対象月に子が2歳到達済／","")&amp;IF(AND($H128&lt;&gt;"",INDEX(職員マスタ!$B$6:$B$405,$AP128)&lt;&gt;"",SUBSTITUTE(SUBSTITUTE($H128," ","")," ","")&lt;&gt;SUBSTITUTE(SUBSTITUTE(INDEX(職員マスタ!$B$6:$B$405,$AP128)," ","")," ","")),"氏名がマスタと相違／","")&amp;IF(AND($Q128&lt;&gt;"",INDEX(職員マスタ!$E$6:$E$405,$AP128)&lt;&gt;"",$Q128&lt;&gt;INDEX(職員マスタ!$E$6:$E$405,$AP128)),"子の生年月日がマスタと相違／","")&amp;IF(AND($L128&lt;&gt;"",INDEX(職員マスタ!$G$6:$G$405,$AP128)&lt;&gt;"",$L128&lt;&gt;INDEX(職員マスタ!$G$6:$G$405,$AP128)),"時短開始日がマスタと相違／","")&amp;IF(AND($M128&lt;&gt;"",INDEX(職員マスタ!$H$6:$H$405,$AP128)&lt;&gt;"",$M128&lt;&gt;INDEX(職員マスタ!$H$6:$H$405,$AP128)),"時短終了日がマスタと相違／","")))&amp;IF(AND($B128&lt;&gt;"",$E128=""),"報酬額が未入力／","")&amp;IF(N($U128)&gt;0,"申請書に入力エラーが残っています／","")&amp;IF(AND($B128&lt;&gt;"",$AQ128&lt;&gt;""),IF(COUNTIFS($B$6:$B$3005,$B128,$C$6:$C$3005,$C128,$D$6:$D$3005,$D128)&gt;1,"同じ月の請求が重複しています／",""),"")&amp;IF(AND(N($E128)&gt;0,$AB128&lt;&gt;"",$AB128&lt;&gt;"×",$AE128=0,$AD128=""),"計算額が下限以下のため不支給／",""))</f>
        <v/>
      </c>
      <c r="AN128" s="12" t="n"/>
      <c r="AO128" s="14">
        <f>IF($AF128="保留中",COUNTIF($AF$6:$AF128,"保留中"),"")</f>
        <v/>
      </c>
      <c r="AP128" s="14">
        <f>IF($AQ128="","",IF(SUMPRODUCT(MAX((職員マスタ!$A$6:$A$405=$B128)*(((職員マスタ!$G$6:$G$405="")+(職員マスタ!$G$6:$G$405&lt;=EOMONTH($AQ128,0)))&gt;0)*(((職員マスタ!$H$6:$H$405="")+(職員マスタ!$H$6:$H$405&gt;=$AQ128))&gt;0)*(ROW(職員マスタ!$A$6:$A$405)-5)))&gt;0,SUMPRODUCT(MAX((職員マスタ!$A$6:$A$405=$B128)*(((職員マスタ!$G$6:$G$405="")+(職員マスタ!$G$6:$G$405&lt;=EOMONTH($AQ128,0)))&gt;0)*(((職員マスタ!$H$6:$H$405="")+(職員マスタ!$H$6:$H$405&gt;=$AQ128))&gt;0)*(ROW(職員マスタ!$A$6:$A$405)-5))),IFERROR(MATCH($B128,職員マスタ!$A$6:$A$405,0),"")))</f>
        <v/>
      </c>
      <c r="AQ128" s="16">
        <f>IF(OR($B128="",$C128="",$D128=""),"",DATE($C128+2018,$D128,1))</f>
        <v/>
      </c>
    </row>
    <row r="129">
      <c r="A129" s="11" t="n"/>
      <c r="B129" s="12" t="n">
        <v>6102230</v>
      </c>
      <c r="C129" s="12" t="n">
        <v>7</v>
      </c>
      <c r="D129" s="12" t="n">
        <v>4</v>
      </c>
      <c r="E129" s="13" t="n">
        <v>116553</v>
      </c>
      <c r="F129" s="12" t="n"/>
      <c r="G129" s="13" t="n"/>
      <c r="H129" s="12" t="n"/>
      <c r="I129" s="12" t="n"/>
      <c r="J129" s="12" t="n"/>
      <c r="K129" s="12" t="n"/>
      <c r="L129" s="11" t="n"/>
      <c r="M129" s="11" t="n"/>
      <c r="N129" s="11" t="n"/>
      <c r="O129" s="11" t="n"/>
      <c r="P129" s="12" t="n"/>
      <c r="Q129" s="11" t="n"/>
      <c r="R129" s="12" t="n"/>
      <c r="S129" s="11" t="n"/>
      <c r="T129" s="12" t="n"/>
      <c r="U129" s="12" t="n"/>
      <c r="V129" s="12" t="n"/>
      <c r="W129" s="13" t="n"/>
      <c r="X129" s="14">
        <f>IF($AP129="",IF($B129="","",$H129),IF(INDEX(職員マスタ!$B$6:$B$405,$AP129)="",$H129,INDEX(職員マスタ!$B$6:$B$405,$AP129)))</f>
        <v/>
      </c>
      <c r="Y129" s="14">
        <f>IF($AP129="",IF($B129="","",$R129),IF(INDEX(職員マスタ!$C$6:$C$405,$AP129)="",$R129,INDEX(職員マスタ!$C$6:$C$405,$AP129)))</f>
        <v/>
      </c>
      <c r="Z129" s="14">
        <f>IF($AQ129="","","R"&amp;$C129&amp;"."&amp;$D129)</f>
        <v/>
      </c>
      <c r="AA129" s="15">
        <f>IF(IF($AP129="",FALSE,INDEX(職員マスタ!$K$6:$K$405,$AP129)&lt;&gt;""),INDEX(職員マスタ!$K$6:$K$405,$AP129),IF(N($W129)&gt;0,$W129,""))</f>
        <v/>
      </c>
      <c r="AB129" s="14">
        <f>IF(OR($E129="",$AA129=""),"",IF($E129&gt;=$AA129,"×",IF($E129&gt;=$AA129*設定!$C$5,"△","○")))</f>
        <v/>
      </c>
      <c r="AC129" s="15">
        <f>IF($AB129="","",IF($AB129="×",0,IF($AB129="○",ROUNDDOWN($E129*設定!$C$4,0),ROUNDDOWN($E129*ROUND((9*$AA129-9*$E129)/(10*$E129),4),0))))</f>
        <v/>
      </c>
      <c r="AD129" s="13" t="n"/>
      <c r="AE129" s="15">
        <f>IF($B129="","",IF($AD129&lt;&gt;"",$AD129,IF($AC129="","",IF($AC129&lt;=設定!$C$3,0,$AC129))))</f>
        <v/>
      </c>
      <c r="AF129" s="14">
        <f>IF($B129="","",IF(AND($AG129&lt;&gt;"",$AI129="",$AL129=""),"保留中",IF($AL129&lt;&gt;"",IF(N($AE129)&gt;0,"支給済","不支給"),IF($AE129="","要確認",IF($AE129=0,"不支給","未処理")))))</f>
        <v/>
      </c>
      <c r="AG129" s="12" t="n"/>
      <c r="AH129" s="11" t="n"/>
      <c r="AI129" s="11" t="n"/>
      <c r="AJ129" s="11" t="n"/>
      <c r="AK129" s="14">
        <f>IF(AND($AF129="保留中",$AH129&lt;&gt;""),TODAY()-$AH129,"")</f>
        <v/>
      </c>
      <c r="AL129" s="12" t="inlineStr">
        <is>
          <t>R7.8</t>
        </is>
      </c>
      <c r="AM129" s="14">
        <f>IF($B129="","",IF($AQ129="","対象年月が未入力／","")&amp;IF($B129="","",IF($AP129="","職員マスタに未登録の職員番号／",IF($AA129="","標準報酬月額が未登録／","")&amp;IF(AND($AQ129&lt;&gt;"",OR(AND(INDEX(職員マスタ!$G$6:$G$405,$AP129)&lt;&gt;"",INDEX(職員マスタ!$G$6:$G$405,$AP129)&gt;EOMONTH($AQ129,0)),AND(INDEX(職員マスタ!$H$6:$H$405,$AP129)&lt;&gt;"",INDEX(職員マスタ!$H$6:$H$405,$AP129)&lt;$AQ129))),"対象月が時短期間外／","")&amp;IF(AND(INDEX(職員マスタ!$K$6:$K$405,$AP129)&lt;&gt;"",N($W129)&gt;0,INDEX(職員マスタ!$K$6:$K$405,$AP129)&lt;&gt;$W129),"標準報酬月額が申請書と相違（台帳"&amp;TEXT(INDEX(職員マスタ!$K$6:$K$405,$AP129),"#,##0")&amp;"円／申請書"&amp;TEXT($W129,"#,##0")&amp;"円）／","")&amp;IF(AND(INDEX(職員マスタ!$F$6:$F$405,$AP129)&lt;&gt;"",$AQ129&lt;&gt;"",INDEX(職員マスタ!$F$6:$F$405,$AP129)&lt;$AQ129),"対象月に子が2歳到達済／","")&amp;IF(AND($H129&lt;&gt;"",INDEX(職員マスタ!$B$6:$B$405,$AP129)&lt;&gt;"",SUBSTITUTE(SUBSTITUTE($H129," ","")," ","")&lt;&gt;SUBSTITUTE(SUBSTITUTE(INDEX(職員マスタ!$B$6:$B$405,$AP129)," ","")," ","")),"氏名がマスタと相違／","")&amp;IF(AND($Q129&lt;&gt;"",INDEX(職員マスタ!$E$6:$E$405,$AP129)&lt;&gt;"",$Q129&lt;&gt;INDEX(職員マスタ!$E$6:$E$405,$AP129)),"子の生年月日がマスタと相違／","")&amp;IF(AND($L129&lt;&gt;"",INDEX(職員マスタ!$G$6:$G$405,$AP129)&lt;&gt;"",$L129&lt;&gt;INDEX(職員マスタ!$G$6:$G$405,$AP129)),"時短開始日がマスタと相違／","")&amp;IF(AND($M129&lt;&gt;"",INDEX(職員マスタ!$H$6:$H$405,$AP129)&lt;&gt;"",$M129&lt;&gt;INDEX(職員マスタ!$H$6:$H$405,$AP129)),"時短終了日がマスタと相違／","")))&amp;IF(AND($B129&lt;&gt;"",$E129=""),"報酬額が未入力／","")&amp;IF(N($U129)&gt;0,"申請書に入力エラーが残っています／","")&amp;IF(AND($B129&lt;&gt;"",$AQ129&lt;&gt;""),IF(COUNTIFS($B$6:$B$3005,$B129,$C$6:$C$3005,$C129,$D$6:$D$3005,$D129)&gt;1,"同じ月の請求が重複しています／",""),"")&amp;IF(AND(N($E129)&gt;0,$AB129&lt;&gt;"",$AB129&lt;&gt;"×",$AE129=0,$AD129=""),"計算額が下限以下のため不支給／",""))</f>
        <v/>
      </c>
      <c r="AN129" s="12" t="n"/>
      <c r="AO129" s="14">
        <f>IF($AF129="保留中",COUNTIF($AF$6:$AF129,"保留中"),"")</f>
        <v/>
      </c>
      <c r="AP129" s="14">
        <f>IF($AQ129="","",IF(SUMPRODUCT(MAX((職員マスタ!$A$6:$A$405=$B129)*(((職員マスタ!$G$6:$G$405="")+(職員マスタ!$G$6:$G$405&lt;=EOMONTH($AQ129,0)))&gt;0)*(((職員マスタ!$H$6:$H$405="")+(職員マスタ!$H$6:$H$405&gt;=$AQ129))&gt;0)*(ROW(職員マスタ!$A$6:$A$405)-5)))&gt;0,SUMPRODUCT(MAX((職員マスタ!$A$6:$A$405=$B129)*(((職員マスタ!$G$6:$G$405="")+(職員マスタ!$G$6:$G$405&lt;=EOMONTH($AQ129,0)))&gt;0)*(((職員マスタ!$H$6:$H$405="")+(職員マスタ!$H$6:$H$405&gt;=$AQ129))&gt;0)*(ROW(職員マスタ!$A$6:$A$405)-5))),IFERROR(MATCH($B129,職員マスタ!$A$6:$A$405,0),"")))</f>
        <v/>
      </c>
      <c r="AQ129" s="16">
        <f>IF(OR($B129="",$C129="",$D129=""),"",DATE($C129+2018,$D129,1))</f>
        <v/>
      </c>
    </row>
    <row r="130">
      <c r="A130" s="11" t="n"/>
      <c r="B130" s="12" t="n">
        <v>6102230</v>
      </c>
      <c r="C130" s="12" t="n">
        <v>7</v>
      </c>
      <c r="D130" s="12" t="n">
        <v>5</v>
      </c>
      <c r="E130" s="13" t="n">
        <v>215507</v>
      </c>
      <c r="F130" s="12" t="n"/>
      <c r="G130" s="13" t="n"/>
      <c r="H130" s="12" t="n"/>
      <c r="I130" s="12" t="n"/>
      <c r="J130" s="12" t="n"/>
      <c r="K130" s="12" t="n"/>
      <c r="L130" s="11" t="n"/>
      <c r="M130" s="11" t="n"/>
      <c r="N130" s="11" t="n"/>
      <c r="O130" s="11" t="n"/>
      <c r="P130" s="12" t="n"/>
      <c r="Q130" s="11" t="n"/>
      <c r="R130" s="12" t="n"/>
      <c r="S130" s="11" t="n"/>
      <c r="T130" s="12" t="n"/>
      <c r="U130" s="12" t="n"/>
      <c r="V130" s="12" t="n"/>
      <c r="W130" s="13" t="n"/>
      <c r="X130" s="14">
        <f>IF($AP130="",IF($B130="","",$H130),IF(INDEX(職員マスタ!$B$6:$B$405,$AP130)="",$H130,INDEX(職員マスタ!$B$6:$B$405,$AP130)))</f>
        <v/>
      </c>
      <c r="Y130" s="14">
        <f>IF($AP130="",IF($B130="","",$R130),IF(INDEX(職員マスタ!$C$6:$C$405,$AP130)="",$R130,INDEX(職員マスタ!$C$6:$C$405,$AP130)))</f>
        <v/>
      </c>
      <c r="Z130" s="14">
        <f>IF($AQ130="","","R"&amp;$C130&amp;"."&amp;$D130)</f>
        <v/>
      </c>
      <c r="AA130" s="15">
        <f>IF(IF($AP130="",FALSE,INDEX(職員マスタ!$K$6:$K$405,$AP130)&lt;&gt;""),INDEX(職員マスタ!$K$6:$K$405,$AP130),IF(N($W130)&gt;0,$W130,""))</f>
        <v/>
      </c>
      <c r="AB130" s="14">
        <f>IF(OR($E130="",$AA130=""),"",IF($E130&gt;=$AA130,"×",IF($E130&gt;=$AA130*設定!$C$5,"△","○")))</f>
        <v/>
      </c>
      <c r="AC130" s="15">
        <f>IF($AB130="","",IF($AB130="×",0,IF($AB130="○",ROUNDDOWN($E130*設定!$C$4,0),ROUNDDOWN($E130*ROUND((9*$AA130-9*$E130)/(10*$E130),4),0))))</f>
        <v/>
      </c>
      <c r="AD130" s="13" t="n"/>
      <c r="AE130" s="15">
        <f>IF($B130="","",IF($AD130&lt;&gt;"",$AD130,IF($AC130="","",IF($AC130&lt;=設定!$C$3,0,$AC130))))</f>
        <v/>
      </c>
      <c r="AF130" s="14">
        <f>IF($B130="","",IF(AND($AG130&lt;&gt;"",$AI130="",$AL130=""),"保留中",IF($AL130&lt;&gt;"",IF(N($AE130)&gt;0,"支給済","不支給"),IF($AE130="","要確認",IF($AE130=0,"不支給","未処理")))))</f>
        <v/>
      </c>
      <c r="AG130" s="12" t="n"/>
      <c r="AH130" s="11" t="n"/>
      <c r="AI130" s="11" t="n"/>
      <c r="AJ130" s="11" t="n"/>
      <c r="AK130" s="14">
        <f>IF(AND($AF130="保留中",$AH130&lt;&gt;""),TODAY()-$AH130,"")</f>
        <v/>
      </c>
      <c r="AL130" s="12" t="inlineStr">
        <is>
          <t>R7.8</t>
        </is>
      </c>
      <c r="AM130" s="14">
        <f>IF($B130="","",IF($AQ130="","対象年月が未入力／","")&amp;IF($B130="","",IF($AP130="","職員マスタに未登録の職員番号／",IF($AA130="","標準報酬月額が未登録／","")&amp;IF(AND($AQ130&lt;&gt;"",OR(AND(INDEX(職員マスタ!$G$6:$G$405,$AP130)&lt;&gt;"",INDEX(職員マスタ!$G$6:$G$405,$AP130)&gt;EOMONTH($AQ130,0)),AND(INDEX(職員マスタ!$H$6:$H$405,$AP130)&lt;&gt;"",INDEX(職員マスタ!$H$6:$H$405,$AP130)&lt;$AQ130))),"対象月が時短期間外／","")&amp;IF(AND(INDEX(職員マスタ!$K$6:$K$405,$AP130)&lt;&gt;"",N($W130)&gt;0,INDEX(職員マスタ!$K$6:$K$405,$AP130)&lt;&gt;$W130),"標準報酬月額が申請書と相違（台帳"&amp;TEXT(INDEX(職員マスタ!$K$6:$K$405,$AP130),"#,##0")&amp;"円／申請書"&amp;TEXT($W130,"#,##0")&amp;"円）／","")&amp;IF(AND(INDEX(職員マスタ!$F$6:$F$405,$AP130)&lt;&gt;"",$AQ130&lt;&gt;"",INDEX(職員マスタ!$F$6:$F$405,$AP130)&lt;$AQ130),"対象月に子が2歳到達済／","")&amp;IF(AND($H130&lt;&gt;"",INDEX(職員マスタ!$B$6:$B$405,$AP130)&lt;&gt;"",SUBSTITUTE(SUBSTITUTE($H130," ","")," ","")&lt;&gt;SUBSTITUTE(SUBSTITUTE(INDEX(職員マスタ!$B$6:$B$405,$AP130)," ","")," ","")),"氏名がマスタと相違／","")&amp;IF(AND($Q130&lt;&gt;"",INDEX(職員マスタ!$E$6:$E$405,$AP130)&lt;&gt;"",$Q130&lt;&gt;INDEX(職員マスタ!$E$6:$E$405,$AP130)),"子の生年月日がマスタと相違／","")&amp;IF(AND($L130&lt;&gt;"",INDEX(職員マスタ!$G$6:$G$405,$AP130)&lt;&gt;"",$L130&lt;&gt;INDEX(職員マスタ!$G$6:$G$405,$AP130)),"時短開始日がマスタと相違／","")&amp;IF(AND($M130&lt;&gt;"",INDEX(職員マスタ!$H$6:$H$405,$AP130)&lt;&gt;"",$M130&lt;&gt;INDEX(職員マスタ!$H$6:$H$405,$AP130)),"時短終了日がマスタと相違／","")))&amp;IF(AND($B130&lt;&gt;"",$E130=""),"報酬額が未入力／","")&amp;IF(N($U130)&gt;0,"申請書に入力エラーが残っています／","")&amp;IF(AND($B130&lt;&gt;"",$AQ130&lt;&gt;""),IF(COUNTIFS($B$6:$B$3005,$B130,$C$6:$C$3005,$C130,$D$6:$D$3005,$D130)&gt;1,"同じ月の請求が重複しています／",""),"")&amp;IF(AND(N($E130)&gt;0,$AB130&lt;&gt;"",$AB130&lt;&gt;"×",$AE130=0,$AD130=""),"計算額が下限以下のため不支給／",""))</f>
        <v/>
      </c>
      <c r="AN130" s="12" t="n"/>
      <c r="AO130" s="14">
        <f>IF($AF130="保留中",COUNTIF($AF$6:$AF130,"保留中"),"")</f>
        <v/>
      </c>
      <c r="AP130" s="14">
        <f>IF($AQ130="","",IF(SUMPRODUCT(MAX((職員マスタ!$A$6:$A$405=$B130)*(((職員マスタ!$G$6:$G$405="")+(職員マスタ!$G$6:$G$405&lt;=EOMONTH($AQ130,0)))&gt;0)*(((職員マスタ!$H$6:$H$405="")+(職員マスタ!$H$6:$H$405&gt;=$AQ130))&gt;0)*(ROW(職員マスタ!$A$6:$A$405)-5)))&gt;0,SUMPRODUCT(MAX((職員マスタ!$A$6:$A$405=$B130)*(((職員マスタ!$G$6:$G$405="")+(職員マスタ!$G$6:$G$405&lt;=EOMONTH($AQ130,0)))&gt;0)*(((職員マスタ!$H$6:$H$405="")+(職員マスタ!$H$6:$H$405&gt;=$AQ130))&gt;0)*(ROW(職員マスタ!$A$6:$A$405)-5))),IFERROR(MATCH($B130,職員マスタ!$A$6:$A$405,0),"")))</f>
        <v/>
      </c>
      <c r="AQ130" s="16">
        <f>IF(OR($B130="",$C130="",$D130=""),"",DATE($C130+2018,$D130,1))</f>
        <v/>
      </c>
    </row>
    <row r="131">
      <c r="A131" s="11" t="n"/>
      <c r="B131" s="12" t="n">
        <v>6102230</v>
      </c>
      <c r="C131" s="12" t="n">
        <v>7</v>
      </c>
      <c r="D131" s="12" t="n">
        <v>6</v>
      </c>
      <c r="E131" s="13" t="n">
        <v>211727</v>
      </c>
      <c r="F131" s="12" t="n"/>
      <c r="G131" s="13" t="n"/>
      <c r="H131" s="12" t="n"/>
      <c r="I131" s="12" t="n"/>
      <c r="J131" s="12" t="n"/>
      <c r="K131" s="12" t="n"/>
      <c r="L131" s="11" t="n"/>
      <c r="M131" s="11" t="n"/>
      <c r="N131" s="11" t="n"/>
      <c r="O131" s="11" t="n"/>
      <c r="P131" s="12" t="n"/>
      <c r="Q131" s="11" t="n"/>
      <c r="R131" s="12" t="n"/>
      <c r="S131" s="11" t="n"/>
      <c r="T131" s="12" t="n"/>
      <c r="U131" s="12" t="n"/>
      <c r="V131" s="12" t="n"/>
      <c r="W131" s="13" t="n"/>
      <c r="X131" s="14">
        <f>IF($AP131="",IF($B131="","",$H131),IF(INDEX(職員マスタ!$B$6:$B$405,$AP131)="",$H131,INDEX(職員マスタ!$B$6:$B$405,$AP131)))</f>
        <v/>
      </c>
      <c r="Y131" s="14">
        <f>IF($AP131="",IF($B131="","",$R131),IF(INDEX(職員マスタ!$C$6:$C$405,$AP131)="",$R131,INDEX(職員マスタ!$C$6:$C$405,$AP131)))</f>
        <v/>
      </c>
      <c r="Z131" s="14">
        <f>IF($AQ131="","","R"&amp;$C131&amp;"."&amp;$D131)</f>
        <v/>
      </c>
      <c r="AA131" s="15">
        <f>IF(IF($AP131="",FALSE,INDEX(職員マスタ!$K$6:$K$405,$AP131)&lt;&gt;""),INDEX(職員マスタ!$K$6:$K$405,$AP131),IF(N($W131)&gt;0,$W131,""))</f>
        <v/>
      </c>
      <c r="AB131" s="14">
        <f>IF(OR($E131="",$AA131=""),"",IF($E131&gt;=$AA131,"×",IF($E131&gt;=$AA131*設定!$C$5,"△","○")))</f>
        <v/>
      </c>
      <c r="AC131" s="15">
        <f>IF($AB131="","",IF($AB131="×",0,IF($AB131="○",ROUNDDOWN($E131*設定!$C$4,0),ROUNDDOWN($E131*ROUND((9*$AA131-9*$E131)/(10*$E131),4),0))))</f>
        <v/>
      </c>
      <c r="AD131" s="13" t="n"/>
      <c r="AE131" s="15">
        <f>IF($B131="","",IF($AD131&lt;&gt;"",$AD131,IF($AC131="","",IF($AC131&lt;=設定!$C$3,0,$AC131))))</f>
        <v/>
      </c>
      <c r="AF131" s="14">
        <f>IF($B131="","",IF(AND($AG131&lt;&gt;"",$AI131="",$AL131=""),"保留中",IF($AL131&lt;&gt;"",IF(N($AE131)&gt;0,"支給済","不支給"),IF($AE131="","要確認",IF($AE131=0,"不支給","未処理")))))</f>
        <v/>
      </c>
      <c r="AG131" s="12" t="n"/>
      <c r="AH131" s="11" t="n"/>
      <c r="AI131" s="11" t="n"/>
      <c r="AJ131" s="11" t="n"/>
      <c r="AK131" s="14">
        <f>IF(AND($AF131="保留中",$AH131&lt;&gt;""),TODAY()-$AH131,"")</f>
        <v/>
      </c>
      <c r="AL131" s="12" t="inlineStr">
        <is>
          <t>R7.8</t>
        </is>
      </c>
      <c r="AM131" s="14">
        <f>IF($B131="","",IF($AQ131="","対象年月が未入力／","")&amp;IF($B131="","",IF($AP131="","職員マスタに未登録の職員番号／",IF($AA131="","標準報酬月額が未登録／","")&amp;IF(AND($AQ131&lt;&gt;"",OR(AND(INDEX(職員マスタ!$G$6:$G$405,$AP131)&lt;&gt;"",INDEX(職員マスタ!$G$6:$G$405,$AP131)&gt;EOMONTH($AQ131,0)),AND(INDEX(職員マスタ!$H$6:$H$405,$AP131)&lt;&gt;"",INDEX(職員マスタ!$H$6:$H$405,$AP131)&lt;$AQ131))),"対象月が時短期間外／","")&amp;IF(AND(INDEX(職員マスタ!$K$6:$K$405,$AP131)&lt;&gt;"",N($W131)&gt;0,INDEX(職員マスタ!$K$6:$K$405,$AP131)&lt;&gt;$W131),"標準報酬月額が申請書と相違（台帳"&amp;TEXT(INDEX(職員マスタ!$K$6:$K$405,$AP131),"#,##0")&amp;"円／申請書"&amp;TEXT($W131,"#,##0")&amp;"円）／","")&amp;IF(AND(INDEX(職員マスタ!$F$6:$F$405,$AP131)&lt;&gt;"",$AQ131&lt;&gt;"",INDEX(職員マスタ!$F$6:$F$405,$AP131)&lt;$AQ131),"対象月に子が2歳到達済／","")&amp;IF(AND($H131&lt;&gt;"",INDEX(職員マスタ!$B$6:$B$405,$AP131)&lt;&gt;"",SUBSTITUTE(SUBSTITUTE($H131," ","")," ","")&lt;&gt;SUBSTITUTE(SUBSTITUTE(INDEX(職員マスタ!$B$6:$B$405,$AP131)," ","")," ","")),"氏名がマスタと相違／","")&amp;IF(AND($Q131&lt;&gt;"",INDEX(職員マスタ!$E$6:$E$405,$AP131)&lt;&gt;"",$Q131&lt;&gt;INDEX(職員マスタ!$E$6:$E$405,$AP131)),"子の生年月日がマスタと相違／","")&amp;IF(AND($L131&lt;&gt;"",INDEX(職員マスタ!$G$6:$G$405,$AP131)&lt;&gt;"",$L131&lt;&gt;INDEX(職員マスタ!$G$6:$G$405,$AP131)),"時短開始日がマスタと相違／","")&amp;IF(AND($M131&lt;&gt;"",INDEX(職員マスタ!$H$6:$H$405,$AP131)&lt;&gt;"",$M131&lt;&gt;INDEX(職員マスタ!$H$6:$H$405,$AP131)),"時短終了日がマスタと相違／","")))&amp;IF(AND($B131&lt;&gt;"",$E131=""),"報酬額が未入力／","")&amp;IF(N($U131)&gt;0,"申請書に入力エラーが残っています／","")&amp;IF(AND($B131&lt;&gt;"",$AQ131&lt;&gt;""),IF(COUNTIFS($B$6:$B$3005,$B131,$C$6:$C$3005,$C131,$D$6:$D$3005,$D131)&gt;1,"同じ月の請求が重複しています／",""),"")&amp;IF(AND(N($E131)&gt;0,$AB131&lt;&gt;"",$AB131&lt;&gt;"×",$AE131=0,$AD131=""),"計算額が下限以下のため不支給／",""))</f>
        <v/>
      </c>
      <c r="AN131" s="12" t="n"/>
      <c r="AO131" s="14">
        <f>IF($AF131="保留中",COUNTIF($AF$6:$AF131,"保留中"),"")</f>
        <v/>
      </c>
      <c r="AP131" s="14">
        <f>IF($AQ131="","",IF(SUMPRODUCT(MAX((職員マスタ!$A$6:$A$405=$B131)*(((職員マスタ!$G$6:$G$405="")+(職員マスタ!$G$6:$G$405&lt;=EOMONTH($AQ131,0)))&gt;0)*(((職員マスタ!$H$6:$H$405="")+(職員マスタ!$H$6:$H$405&gt;=$AQ131))&gt;0)*(ROW(職員マスタ!$A$6:$A$405)-5)))&gt;0,SUMPRODUCT(MAX((職員マスタ!$A$6:$A$405=$B131)*(((職員マスタ!$G$6:$G$405="")+(職員マスタ!$G$6:$G$405&lt;=EOMONTH($AQ131,0)))&gt;0)*(((職員マスタ!$H$6:$H$405="")+(職員マスタ!$H$6:$H$405&gt;=$AQ131))&gt;0)*(ROW(職員マスタ!$A$6:$A$405)-5))),IFERROR(MATCH($B131,職員マスタ!$A$6:$A$405,0),"")))</f>
        <v/>
      </c>
      <c r="AQ131" s="16">
        <f>IF(OR($B131="",$C131="",$D131=""),"",DATE($C131+2018,$D131,1))</f>
        <v/>
      </c>
    </row>
    <row r="132">
      <c r="A132" s="11" t="n"/>
      <c r="B132" s="12" t="n">
        <v>6200224</v>
      </c>
      <c r="C132" s="12" t="n">
        <v>8</v>
      </c>
      <c r="D132" s="12" t="n">
        <v>5</v>
      </c>
      <c r="E132" s="13" t="n">
        <v>366816</v>
      </c>
      <c r="F132" s="12" t="n"/>
      <c r="G132" s="13" t="n"/>
      <c r="H132" s="12" t="n"/>
      <c r="I132" s="12" t="n"/>
      <c r="J132" s="12" t="n"/>
      <c r="K132" s="12" t="n"/>
      <c r="L132" s="11" t="n"/>
      <c r="M132" s="11" t="n"/>
      <c r="N132" s="11" t="n"/>
      <c r="O132" s="11" t="n"/>
      <c r="P132" s="12" t="n"/>
      <c r="Q132" s="11" t="n"/>
      <c r="R132" s="12" t="n"/>
      <c r="S132" s="11" t="n"/>
      <c r="T132" s="12" t="n"/>
      <c r="U132" s="12" t="n"/>
      <c r="V132" s="12" t="n"/>
      <c r="W132" s="13" t="n"/>
      <c r="X132" s="14">
        <f>IF($AP132="",IF($B132="","",$H132),IF(INDEX(職員マスタ!$B$6:$B$405,$AP132)="",$H132,INDEX(職員マスタ!$B$6:$B$405,$AP132)))</f>
        <v/>
      </c>
      <c r="Y132" s="14">
        <f>IF($AP132="",IF($B132="","",$R132),IF(INDEX(職員マスタ!$C$6:$C$405,$AP132)="",$R132,INDEX(職員マスタ!$C$6:$C$405,$AP132)))</f>
        <v/>
      </c>
      <c r="Z132" s="14">
        <f>IF($AQ132="","","R"&amp;$C132&amp;"."&amp;$D132)</f>
        <v/>
      </c>
      <c r="AA132" s="15">
        <f>IF(IF($AP132="",FALSE,INDEX(職員マスタ!$K$6:$K$405,$AP132)&lt;&gt;""),INDEX(職員マスタ!$K$6:$K$405,$AP132),IF(N($W132)&gt;0,$W132,""))</f>
        <v/>
      </c>
      <c r="AB132" s="14">
        <f>IF(OR($E132="",$AA132=""),"",IF($E132&gt;=$AA132,"×",IF($E132&gt;=$AA132*設定!$C$5,"△","○")))</f>
        <v/>
      </c>
      <c r="AC132" s="15">
        <f>IF($AB132="","",IF($AB132="×",0,IF($AB132="○",ROUNDDOWN($E132*設定!$C$4,0),ROUNDDOWN($E132*ROUND((9*$AA132-9*$E132)/(10*$E132),4),0))))</f>
        <v/>
      </c>
      <c r="AD132" s="13" t="n"/>
      <c r="AE132" s="15">
        <f>IF($B132="","",IF($AD132&lt;&gt;"",$AD132,IF($AC132="","",IF($AC132&lt;=設定!$C$3,0,$AC132))))</f>
        <v/>
      </c>
      <c r="AF132" s="14">
        <f>IF($B132="","",IF(AND($AG132&lt;&gt;"",$AI132="",$AL132=""),"保留中",IF($AL132&lt;&gt;"",IF(N($AE132)&gt;0,"支給済","不支給"),IF($AE132="","要確認",IF($AE132=0,"不支給","未処理")))))</f>
        <v/>
      </c>
      <c r="AG132" s="12" t="n"/>
      <c r="AH132" s="11" t="n"/>
      <c r="AI132" s="11" t="n"/>
      <c r="AJ132" s="11" t="n"/>
      <c r="AK132" s="14">
        <f>IF(AND($AF132="保留中",$AH132&lt;&gt;""),TODAY()-$AH132,"")</f>
        <v/>
      </c>
      <c r="AL132" s="12" t="inlineStr">
        <is>
          <t>R8.10</t>
        </is>
      </c>
      <c r="AM132" s="14">
        <f>IF($B132="","",IF($AQ132="","対象年月が未入力／","")&amp;IF($B132="","",IF($AP132="","職員マスタに未登録の職員番号／",IF($AA132="","標準報酬月額が未登録／","")&amp;IF(AND($AQ132&lt;&gt;"",OR(AND(INDEX(職員マスタ!$G$6:$G$405,$AP132)&lt;&gt;"",INDEX(職員マスタ!$G$6:$G$405,$AP132)&gt;EOMONTH($AQ132,0)),AND(INDEX(職員マスタ!$H$6:$H$405,$AP132)&lt;&gt;"",INDEX(職員マスタ!$H$6:$H$405,$AP132)&lt;$AQ132))),"対象月が時短期間外／","")&amp;IF(AND(INDEX(職員マスタ!$K$6:$K$405,$AP132)&lt;&gt;"",N($W132)&gt;0,INDEX(職員マスタ!$K$6:$K$405,$AP132)&lt;&gt;$W132),"標準報酬月額が申請書と相違（台帳"&amp;TEXT(INDEX(職員マスタ!$K$6:$K$405,$AP132),"#,##0")&amp;"円／申請書"&amp;TEXT($W132,"#,##0")&amp;"円）／","")&amp;IF(AND(INDEX(職員マスタ!$F$6:$F$405,$AP132)&lt;&gt;"",$AQ132&lt;&gt;"",INDEX(職員マスタ!$F$6:$F$405,$AP132)&lt;$AQ132),"対象月に子が2歳到達済／","")&amp;IF(AND($H132&lt;&gt;"",INDEX(職員マスタ!$B$6:$B$405,$AP132)&lt;&gt;"",SUBSTITUTE(SUBSTITUTE($H132," ","")," ","")&lt;&gt;SUBSTITUTE(SUBSTITUTE(INDEX(職員マスタ!$B$6:$B$405,$AP132)," ","")," ","")),"氏名がマスタと相違／","")&amp;IF(AND($Q132&lt;&gt;"",INDEX(職員マスタ!$E$6:$E$405,$AP132)&lt;&gt;"",$Q132&lt;&gt;INDEX(職員マスタ!$E$6:$E$405,$AP132)),"子の生年月日がマスタと相違／","")&amp;IF(AND($L132&lt;&gt;"",INDEX(職員マスタ!$G$6:$G$405,$AP132)&lt;&gt;"",$L132&lt;&gt;INDEX(職員マスタ!$G$6:$G$405,$AP132)),"時短開始日がマスタと相違／","")&amp;IF(AND($M132&lt;&gt;"",INDEX(職員マスタ!$H$6:$H$405,$AP132)&lt;&gt;"",$M132&lt;&gt;INDEX(職員マスタ!$H$6:$H$405,$AP132)),"時短終了日がマスタと相違／","")))&amp;IF(AND($B132&lt;&gt;"",$E132=""),"報酬額が未入力／","")&amp;IF(N($U132)&gt;0,"申請書に入力エラーが残っています／","")&amp;IF(AND($B132&lt;&gt;"",$AQ132&lt;&gt;""),IF(COUNTIFS($B$6:$B$3005,$B132,$C$6:$C$3005,$C132,$D$6:$D$3005,$D132)&gt;1,"同じ月の請求が重複しています／",""),"")&amp;IF(AND(N($E132)&gt;0,$AB132&lt;&gt;"",$AB132&lt;&gt;"×",$AE132=0,$AD132=""),"計算額が下限以下のため不支給／",""))</f>
        <v/>
      </c>
      <c r="AN132" s="12" t="n"/>
      <c r="AO132" s="14">
        <f>IF($AF132="保留中",COUNTIF($AF$6:$AF132,"保留中"),"")</f>
        <v/>
      </c>
      <c r="AP132" s="14">
        <f>IF($AQ132="","",IF(SUMPRODUCT(MAX((職員マスタ!$A$6:$A$405=$B132)*(((職員マスタ!$G$6:$G$405="")+(職員マスタ!$G$6:$G$405&lt;=EOMONTH($AQ132,0)))&gt;0)*(((職員マスタ!$H$6:$H$405="")+(職員マスタ!$H$6:$H$405&gt;=$AQ132))&gt;0)*(ROW(職員マスタ!$A$6:$A$405)-5)))&gt;0,SUMPRODUCT(MAX((職員マスタ!$A$6:$A$405=$B132)*(((職員マスタ!$G$6:$G$405="")+(職員マスタ!$G$6:$G$405&lt;=EOMONTH($AQ132,0)))&gt;0)*(((職員マスタ!$H$6:$H$405="")+(職員マスタ!$H$6:$H$405&gt;=$AQ132))&gt;0)*(ROW(職員マスタ!$A$6:$A$405)-5))),IFERROR(MATCH($B132,職員マスタ!$A$6:$A$405,0),"")))</f>
        <v/>
      </c>
      <c r="AQ132" s="16">
        <f>IF(OR($B132="",$C132="",$D132=""),"",DATE($C132+2018,$D132,1))</f>
        <v/>
      </c>
    </row>
    <row r="133">
      <c r="A133" s="11" t="n"/>
      <c r="B133" s="12" t="n">
        <v>6200224</v>
      </c>
      <c r="C133" s="12" t="n">
        <v>8</v>
      </c>
      <c r="D133" s="12" t="n">
        <v>6</v>
      </c>
      <c r="E133" s="13" t="n">
        <v>344036</v>
      </c>
      <c r="F133" s="12" t="n"/>
      <c r="G133" s="13" t="n"/>
      <c r="H133" s="12" t="n"/>
      <c r="I133" s="12" t="n"/>
      <c r="J133" s="12" t="n"/>
      <c r="K133" s="12" t="n"/>
      <c r="L133" s="11" t="n"/>
      <c r="M133" s="11" t="n"/>
      <c r="N133" s="11" t="n"/>
      <c r="O133" s="11" t="n"/>
      <c r="P133" s="12" t="n"/>
      <c r="Q133" s="11" t="n"/>
      <c r="R133" s="12" t="n"/>
      <c r="S133" s="11" t="n"/>
      <c r="T133" s="12" t="n"/>
      <c r="U133" s="12" t="n"/>
      <c r="V133" s="12" t="n"/>
      <c r="W133" s="13" t="n"/>
      <c r="X133" s="14">
        <f>IF($AP133="",IF($B133="","",$H133),IF(INDEX(職員マスタ!$B$6:$B$405,$AP133)="",$H133,INDEX(職員マスタ!$B$6:$B$405,$AP133)))</f>
        <v/>
      </c>
      <c r="Y133" s="14">
        <f>IF($AP133="",IF($B133="","",$R133),IF(INDEX(職員マスタ!$C$6:$C$405,$AP133)="",$R133,INDEX(職員マスタ!$C$6:$C$405,$AP133)))</f>
        <v/>
      </c>
      <c r="Z133" s="14">
        <f>IF($AQ133="","","R"&amp;$C133&amp;"."&amp;$D133)</f>
        <v/>
      </c>
      <c r="AA133" s="15">
        <f>IF(IF($AP133="",FALSE,INDEX(職員マスタ!$K$6:$K$405,$AP133)&lt;&gt;""),INDEX(職員マスタ!$K$6:$K$405,$AP133),IF(N($W133)&gt;0,$W133,""))</f>
        <v/>
      </c>
      <c r="AB133" s="14">
        <f>IF(OR($E133="",$AA133=""),"",IF($E133&gt;=$AA133,"×",IF($E133&gt;=$AA133*設定!$C$5,"△","○")))</f>
        <v/>
      </c>
      <c r="AC133" s="15">
        <f>IF($AB133="","",IF($AB133="×",0,IF($AB133="○",ROUNDDOWN($E133*設定!$C$4,0),ROUNDDOWN($E133*ROUND((9*$AA133-9*$E133)/(10*$E133),4),0))))</f>
        <v/>
      </c>
      <c r="AD133" s="13" t="n"/>
      <c r="AE133" s="15">
        <f>IF($B133="","",IF($AD133&lt;&gt;"",$AD133,IF($AC133="","",IF($AC133&lt;=設定!$C$3,0,$AC133))))</f>
        <v/>
      </c>
      <c r="AF133" s="14">
        <f>IF($B133="","",IF(AND($AG133&lt;&gt;"",$AI133="",$AL133=""),"保留中",IF($AL133&lt;&gt;"",IF(N($AE133)&gt;0,"支給済","不支給"),IF($AE133="","要確認",IF($AE133=0,"不支給","未処理")))))</f>
        <v/>
      </c>
      <c r="AG133" s="12" t="n"/>
      <c r="AH133" s="11" t="n"/>
      <c r="AI133" s="11" t="n"/>
      <c r="AJ133" s="11" t="n"/>
      <c r="AK133" s="14">
        <f>IF(AND($AF133="保留中",$AH133&lt;&gt;""),TODAY()-$AH133,"")</f>
        <v/>
      </c>
      <c r="AL133" s="12" t="inlineStr">
        <is>
          <t>R8.8</t>
        </is>
      </c>
      <c r="AM133" s="14">
        <f>IF($B133="","",IF($AQ133="","対象年月が未入力／","")&amp;IF($B133="","",IF($AP133="","職員マスタに未登録の職員番号／",IF($AA133="","標準報酬月額が未登録／","")&amp;IF(AND($AQ133&lt;&gt;"",OR(AND(INDEX(職員マスタ!$G$6:$G$405,$AP133)&lt;&gt;"",INDEX(職員マスタ!$G$6:$G$405,$AP133)&gt;EOMONTH($AQ133,0)),AND(INDEX(職員マスタ!$H$6:$H$405,$AP133)&lt;&gt;"",INDEX(職員マスタ!$H$6:$H$405,$AP133)&lt;$AQ133))),"対象月が時短期間外／","")&amp;IF(AND(INDEX(職員マスタ!$K$6:$K$405,$AP133)&lt;&gt;"",N($W133)&gt;0,INDEX(職員マスタ!$K$6:$K$405,$AP133)&lt;&gt;$W133),"標準報酬月額が申請書と相違（台帳"&amp;TEXT(INDEX(職員マスタ!$K$6:$K$405,$AP133),"#,##0")&amp;"円／申請書"&amp;TEXT($W133,"#,##0")&amp;"円）／","")&amp;IF(AND(INDEX(職員マスタ!$F$6:$F$405,$AP133)&lt;&gt;"",$AQ133&lt;&gt;"",INDEX(職員マスタ!$F$6:$F$405,$AP133)&lt;$AQ133),"対象月に子が2歳到達済／","")&amp;IF(AND($H133&lt;&gt;"",INDEX(職員マスタ!$B$6:$B$405,$AP133)&lt;&gt;"",SUBSTITUTE(SUBSTITUTE($H133," ","")," ","")&lt;&gt;SUBSTITUTE(SUBSTITUTE(INDEX(職員マスタ!$B$6:$B$405,$AP133)," ","")," ","")),"氏名がマスタと相違／","")&amp;IF(AND($Q133&lt;&gt;"",INDEX(職員マスタ!$E$6:$E$405,$AP133)&lt;&gt;"",$Q133&lt;&gt;INDEX(職員マスタ!$E$6:$E$405,$AP133)),"子の生年月日がマスタと相違／","")&amp;IF(AND($L133&lt;&gt;"",INDEX(職員マスタ!$G$6:$G$405,$AP133)&lt;&gt;"",$L133&lt;&gt;INDEX(職員マスタ!$G$6:$G$405,$AP133)),"時短開始日がマスタと相違／","")&amp;IF(AND($M133&lt;&gt;"",INDEX(職員マスタ!$H$6:$H$405,$AP133)&lt;&gt;"",$M133&lt;&gt;INDEX(職員マスタ!$H$6:$H$405,$AP133)),"時短終了日がマスタと相違／","")))&amp;IF(AND($B133&lt;&gt;"",$E133=""),"報酬額が未入力／","")&amp;IF(N($U133)&gt;0,"申請書に入力エラーが残っています／","")&amp;IF(AND($B133&lt;&gt;"",$AQ133&lt;&gt;""),IF(COUNTIFS($B$6:$B$3005,$B133,$C$6:$C$3005,$C133,$D$6:$D$3005,$D133)&gt;1,"同じ月の請求が重複しています／",""),"")&amp;IF(AND(N($E133)&gt;0,$AB133&lt;&gt;"",$AB133&lt;&gt;"×",$AE133=0,$AD133=""),"計算額が下限以下のため不支給／",""))</f>
        <v/>
      </c>
      <c r="AN133" s="12" t="n"/>
      <c r="AO133" s="14">
        <f>IF($AF133="保留中",COUNTIF($AF$6:$AF133,"保留中"),"")</f>
        <v/>
      </c>
      <c r="AP133" s="14">
        <f>IF($AQ133="","",IF(SUMPRODUCT(MAX((職員マスタ!$A$6:$A$405=$B133)*(((職員マスタ!$G$6:$G$405="")+(職員マスタ!$G$6:$G$405&lt;=EOMONTH($AQ133,0)))&gt;0)*(((職員マスタ!$H$6:$H$405="")+(職員マスタ!$H$6:$H$405&gt;=$AQ133))&gt;0)*(ROW(職員マスタ!$A$6:$A$405)-5)))&gt;0,SUMPRODUCT(MAX((職員マスタ!$A$6:$A$405=$B133)*(((職員マスタ!$G$6:$G$405="")+(職員マスタ!$G$6:$G$405&lt;=EOMONTH($AQ133,0)))&gt;0)*(((職員マスタ!$H$6:$H$405="")+(職員マスタ!$H$6:$H$405&gt;=$AQ133))&gt;0)*(ROW(職員マスタ!$A$6:$A$405)-5))),IFERROR(MATCH($B133,職員マスタ!$A$6:$A$405,0),"")))</f>
        <v/>
      </c>
      <c r="AQ133" s="16">
        <f>IF(OR($B133="",$C133="",$D133=""),"",DATE($C133+2018,$D133,1))</f>
        <v/>
      </c>
    </row>
    <row r="134">
      <c r="A134" s="11" t="n"/>
      <c r="B134" s="12" t="n">
        <v>6200224</v>
      </c>
      <c r="C134" s="12" t="n">
        <v>8</v>
      </c>
      <c r="D134" s="12" t="n">
        <v>7</v>
      </c>
      <c r="E134" s="13" t="n">
        <v>299650</v>
      </c>
      <c r="F134" s="12" t="n"/>
      <c r="G134" s="13" t="n"/>
      <c r="H134" s="12" t="n"/>
      <c r="I134" s="12" t="n"/>
      <c r="J134" s="12" t="n"/>
      <c r="K134" s="12" t="n"/>
      <c r="L134" s="11" t="n"/>
      <c r="M134" s="11" t="n"/>
      <c r="N134" s="11" t="n"/>
      <c r="O134" s="11" t="n"/>
      <c r="P134" s="12" t="n"/>
      <c r="Q134" s="11" t="n"/>
      <c r="R134" s="12" t="n"/>
      <c r="S134" s="11" t="n"/>
      <c r="T134" s="12" t="n"/>
      <c r="U134" s="12" t="n"/>
      <c r="V134" s="12" t="n"/>
      <c r="W134" s="13" t="n"/>
      <c r="X134" s="14">
        <f>IF($AP134="",IF($B134="","",$H134),IF(INDEX(職員マスタ!$B$6:$B$405,$AP134)="",$H134,INDEX(職員マスタ!$B$6:$B$405,$AP134)))</f>
        <v/>
      </c>
      <c r="Y134" s="14">
        <f>IF($AP134="",IF($B134="","",$R134),IF(INDEX(職員マスタ!$C$6:$C$405,$AP134)="",$R134,INDEX(職員マスタ!$C$6:$C$405,$AP134)))</f>
        <v/>
      </c>
      <c r="Z134" s="14">
        <f>IF($AQ134="","","R"&amp;$C134&amp;"."&amp;$D134)</f>
        <v/>
      </c>
      <c r="AA134" s="15">
        <f>IF(IF($AP134="",FALSE,INDEX(職員マスタ!$K$6:$K$405,$AP134)&lt;&gt;""),INDEX(職員マスタ!$K$6:$K$405,$AP134),IF(N($W134)&gt;0,$W134,""))</f>
        <v/>
      </c>
      <c r="AB134" s="14">
        <f>IF(OR($E134="",$AA134=""),"",IF($E134&gt;=$AA134,"×",IF($E134&gt;=$AA134*設定!$C$5,"△","○")))</f>
        <v/>
      </c>
      <c r="AC134" s="15">
        <f>IF($AB134="","",IF($AB134="×",0,IF($AB134="○",ROUNDDOWN($E134*設定!$C$4,0),ROUNDDOWN($E134*ROUND((9*$AA134-9*$E134)/(10*$E134),4),0))))</f>
        <v/>
      </c>
      <c r="AD134" s="13" t="n"/>
      <c r="AE134" s="15">
        <f>IF($B134="","",IF($AD134&lt;&gt;"",$AD134,IF($AC134="","",IF($AC134&lt;=設定!$C$3,0,$AC134))))</f>
        <v/>
      </c>
      <c r="AF134" s="14">
        <f>IF($B134="","",IF(AND($AG134&lt;&gt;"",$AI134="",$AL134=""),"保留中",IF($AL134&lt;&gt;"",IF(N($AE134)&gt;0,"支給済","不支給"),IF($AE134="","要確認",IF($AE134=0,"不支給","未処理")))))</f>
        <v/>
      </c>
      <c r="AG134" s="12" t="n"/>
      <c r="AH134" s="11" t="n"/>
      <c r="AI134" s="11" t="n"/>
      <c r="AJ134" s="11" t="n"/>
      <c r="AK134" s="14">
        <f>IF(AND($AF134="保留中",$AH134&lt;&gt;""),TODAY()-$AH134,"")</f>
        <v/>
      </c>
      <c r="AL134" s="12" t="inlineStr">
        <is>
          <t>R8.10</t>
        </is>
      </c>
      <c r="AM134" s="14">
        <f>IF($B134="","",IF($AQ134="","対象年月が未入力／","")&amp;IF($B134="","",IF($AP134="","職員マスタに未登録の職員番号／",IF($AA134="","標準報酬月額が未登録／","")&amp;IF(AND($AQ134&lt;&gt;"",OR(AND(INDEX(職員マスタ!$G$6:$G$405,$AP134)&lt;&gt;"",INDEX(職員マスタ!$G$6:$G$405,$AP134)&gt;EOMONTH($AQ134,0)),AND(INDEX(職員マスタ!$H$6:$H$405,$AP134)&lt;&gt;"",INDEX(職員マスタ!$H$6:$H$405,$AP134)&lt;$AQ134))),"対象月が時短期間外／","")&amp;IF(AND(INDEX(職員マスタ!$K$6:$K$405,$AP134)&lt;&gt;"",N($W134)&gt;0,INDEX(職員マスタ!$K$6:$K$405,$AP134)&lt;&gt;$W134),"標準報酬月額が申請書と相違（台帳"&amp;TEXT(INDEX(職員マスタ!$K$6:$K$405,$AP134),"#,##0")&amp;"円／申請書"&amp;TEXT($W134,"#,##0")&amp;"円）／","")&amp;IF(AND(INDEX(職員マスタ!$F$6:$F$405,$AP134)&lt;&gt;"",$AQ134&lt;&gt;"",INDEX(職員マスタ!$F$6:$F$405,$AP134)&lt;$AQ134),"対象月に子が2歳到達済／","")&amp;IF(AND($H134&lt;&gt;"",INDEX(職員マスタ!$B$6:$B$405,$AP134)&lt;&gt;"",SUBSTITUTE(SUBSTITUTE($H134," ","")," ","")&lt;&gt;SUBSTITUTE(SUBSTITUTE(INDEX(職員マスタ!$B$6:$B$405,$AP134)," ","")," ","")),"氏名がマスタと相違／","")&amp;IF(AND($Q134&lt;&gt;"",INDEX(職員マスタ!$E$6:$E$405,$AP134)&lt;&gt;"",$Q134&lt;&gt;INDEX(職員マスタ!$E$6:$E$405,$AP134)),"子の生年月日がマスタと相違／","")&amp;IF(AND($L134&lt;&gt;"",INDEX(職員マスタ!$G$6:$G$405,$AP134)&lt;&gt;"",$L134&lt;&gt;INDEX(職員マスタ!$G$6:$G$405,$AP134)),"時短開始日がマスタと相違／","")&amp;IF(AND($M134&lt;&gt;"",INDEX(職員マスタ!$H$6:$H$405,$AP134)&lt;&gt;"",$M134&lt;&gt;INDEX(職員マスタ!$H$6:$H$405,$AP134)),"時短終了日がマスタと相違／","")))&amp;IF(AND($B134&lt;&gt;"",$E134=""),"報酬額が未入力／","")&amp;IF(N($U134)&gt;0,"申請書に入力エラーが残っています／","")&amp;IF(AND($B134&lt;&gt;"",$AQ134&lt;&gt;""),IF(COUNTIFS($B$6:$B$3005,$B134,$C$6:$C$3005,$C134,$D$6:$D$3005,$D134)&gt;1,"同じ月の請求が重複しています／",""),"")&amp;IF(AND(N($E134)&gt;0,$AB134&lt;&gt;"",$AB134&lt;&gt;"×",$AE134=0,$AD134=""),"計算額が下限以下のため不支給／",""))</f>
        <v/>
      </c>
      <c r="AN134" s="12" t="n"/>
      <c r="AO134" s="14">
        <f>IF($AF134="保留中",COUNTIF($AF$6:$AF134,"保留中"),"")</f>
        <v/>
      </c>
      <c r="AP134" s="14">
        <f>IF($AQ134="","",IF(SUMPRODUCT(MAX((職員マスタ!$A$6:$A$405=$B134)*(((職員マスタ!$G$6:$G$405="")+(職員マスタ!$G$6:$G$405&lt;=EOMONTH($AQ134,0)))&gt;0)*(((職員マスタ!$H$6:$H$405="")+(職員マスタ!$H$6:$H$405&gt;=$AQ134))&gt;0)*(ROW(職員マスタ!$A$6:$A$405)-5)))&gt;0,SUMPRODUCT(MAX((職員マスタ!$A$6:$A$405=$B134)*(((職員マスタ!$G$6:$G$405="")+(職員マスタ!$G$6:$G$405&lt;=EOMONTH($AQ134,0)))&gt;0)*(((職員マスタ!$H$6:$H$405="")+(職員マスタ!$H$6:$H$405&gt;=$AQ134))&gt;0)*(ROW(職員マスタ!$A$6:$A$405)-5))),IFERROR(MATCH($B134,職員マスタ!$A$6:$A$405,0),"")))</f>
        <v/>
      </c>
      <c r="AQ134" s="16">
        <f>IF(OR($B134="",$C134="",$D134=""),"",DATE($C134+2018,$D134,1))</f>
        <v/>
      </c>
    </row>
    <row r="135">
      <c r="A135" s="11" t="n"/>
      <c r="B135" s="12" t="n">
        <v>6201735</v>
      </c>
      <c r="C135" s="12" t="n">
        <v>7</v>
      </c>
      <c r="D135" s="12" t="n">
        <v>4</v>
      </c>
      <c r="E135" s="13" t="n">
        <v>117686</v>
      </c>
      <c r="F135" s="12" t="n"/>
      <c r="G135" s="13" t="n"/>
      <c r="H135" s="12" t="n"/>
      <c r="I135" s="12" t="n"/>
      <c r="J135" s="12" t="n"/>
      <c r="K135" s="12" t="n"/>
      <c r="L135" s="11" t="n"/>
      <c r="M135" s="11" t="n"/>
      <c r="N135" s="11" t="n"/>
      <c r="O135" s="11" t="n"/>
      <c r="P135" s="12" t="n"/>
      <c r="Q135" s="11" t="n"/>
      <c r="R135" s="12" t="n"/>
      <c r="S135" s="11" t="n"/>
      <c r="T135" s="12" t="n"/>
      <c r="U135" s="12" t="n"/>
      <c r="V135" s="12" t="n"/>
      <c r="W135" s="13" t="n"/>
      <c r="X135" s="14">
        <f>IF($AP135="",IF($B135="","",$H135),IF(INDEX(職員マスタ!$B$6:$B$405,$AP135)="",$H135,INDEX(職員マスタ!$B$6:$B$405,$AP135)))</f>
        <v/>
      </c>
      <c r="Y135" s="14">
        <f>IF($AP135="",IF($B135="","",$R135),IF(INDEX(職員マスタ!$C$6:$C$405,$AP135)="",$R135,INDEX(職員マスタ!$C$6:$C$405,$AP135)))</f>
        <v/>
      </c>
      <c r="Z135" s="14">
        <f>IF($AQ135="","","R"&amp;$C135&amp;"."&amp;$D135)</f>
        <v/>
      </c>
      <c r="AA135" s="15">
        <f>IF(IF($AP135="",FALSE,INDEX(職員マスタ!$K$6:$K$405,$AP135)&lt;&gt;""),INDEX(職員マスタ!$K$6:$K$405,$AP135),IF(N($W135)&gt;0,$W135,""))</f>
        <v/>
      </c>
      <c r="AB135" s="14">
        <f>IF(OR($E135="",$AA135=""),"",IF($E135&gt;=$AA135,"×",IF($E135&gt;=$AA135*設定!$C$5,"△","○")))</f>
        <v/>
      </c>
      <c r="AC135" s="15">
        <f>IF($AB135="","",IF($AB135="×",0,IF($AB135="○",ROUNDDOWN($E135*設定!$C$4,0),ROUNDDOWN($E135*ROUND((9*$AA135-9*$E135)/(10*$E135),4),0))))</f>
        <v/>
      </c>
      <c r="AD135" s="13" t="n"/>
      <c r="AE135" s="15">
        <f>IF($B135="","",IF($AD135&lt;&gt;"",$AD135,IF($AC135="","",IF($AC135&lt;=設定!$C$3,0,$AC135))))</f>
        <v/>
      </c>
      <c r="AF135" s="14">
        <f>IF($B135="","",IF(AND($AG135&lt;&gt;"",$AI135="",$AL135=""),"保留中",IF($AL135&lt;&gt;"",IF(N($AE135)&gt;0,"支給済","不支給"),IF($AE135="","要確認",IF($AE135=0,"不支給","未処理")))))</f>
        <v/>
      </c>
      <c r="AG135" s="12" t="n"/>
      <c r="AH135" s="11" t="n"/>
      <c r="AI135" s="11" t="n"/>
      <c r="AJ135" s="11" t="n"/>
      <c r="AK135" s="14">
        <f>IF(AND($AF135="保留中",$AH135&lt;&gt;""),TODAY()-$AH135,"")</f>
        <v/>
      </c>
      <c r="AL135" s="12" t="inlineStr">
        <is>
          <t>R7.8</t>
        </is>
      </c>
      <c r="AM135" s="14">
        <f>IF($B135="","",IF($AQ135="","対象年月が未入力／","")&amp;IF($B135="","",IF($AP135="","職員マスタに未登録の職員番号／",IF($AA135="","標準報酬月額が未登録／","")&amp;IF(AND($AQ135&lt;&gt;"",OR(AND(INDEX(職員マスタ!$G$6:$G$405,$AP135)&lt;&gt;"",INDEX(職員マスタ!$G$6:$G$405,$AP135)&gt;EOMONTH($AQ135,0)),AND(INDEX(職員マスタ!$H$6:$H$405,$AP135)&lt;&gt;"",INDEX(職員マスタ!$H$6:$H$405,$AP135)&lt;$AQ135))),"対象月が時短期間外／","")&amp;IF(AND(INDEX(職員マスタ!$K$6:$K$405,$AP135)&lt;&gt;"",N($W135)&gt;0,INDEX(職員マスタ!$K$6:$K$405,$AP135)&lt;&gt;$W135),"標準報酬月額が申請書と相違（台帳"&amp;TEXT(INDEX(職員マスタ!$K$6:$K$405,$AP135),"#,##0")&amp;"円／申請書"&amp;TEXT($W135,"#,##0")&amp;"円）／","")&amp;IF(AND(INDEX(職員マスタ!$F$6:$F$405,$AP135)&lt;&gt;"",$AQ135&lt;&gt;"",INDEX(職員マスタ!$F$6:$F$405,$AP135)&lt;$AQ135),"対象月に子が2歳到達済／","")&amp;IF(AND($H135&lt;&gt;"",INDEX(職員マスタ!$B$6:$B$405,$AP135)&lt;&gt;"",SUBSTITUTE(SUBSTITUTE($H135," ","")," ","")&lt;&gt;SUBSTITUTE(SUBSTITUTE(INDEX(職員マスタ!$B$6:$B$405,$AP135)," ","")," ","")),"氏名がマスタと相違／","")&amp;IF(AND($Q135&lt;&gt;"",INDEX(職員マスタ!$E$6:$E$405,$AP135)&lt;&gt;"",$Q135&lt;&gt;INDEX(職員マスタ!$E$6:$E$405,$AP135)),"子の生年月日がマスタと相違／","")&amp;IF(AND($L135&lt;&gt;"",INDEX(職員マスタ!$G$6:$G$405,$AP135)&lt;&gt;"",$L135&lt;&gt;INDEX(職員マスタ!$G$6:$G$405,$AP135)),"時短開始日がマスタと相違／","")&amp;IF(AND($M135&lt;&gt;"",INDEX(職員マスタ!$H$6:$H$405,$AP135)&lt;&gt;"",$M135&lt;&gt;INDEX(職員マスタ!$H$6:$H$405,$AP135)),"時短終了日がマスタと相違／","")))&amp;IF(AND($B135&lt;&gt;"",$E135=""),"報酬額が未入力／","")&amp;IF(N($U135)&gt;0,"申請書に入力エラーが残っています／","")&amp;IF(AND($B135&lt;&gt;"",$AQ135&lt;&gt;""),IF(COUNTIFS($B$6:$B$3005,$B135,$C$6:$C$3005,$C135,$D$6:$D$3005,$D135)&gt;1,"同じ月の請求が重複しています／",""),"")&amp;IF(AND(N($E135)&gt;0,$AB135&lt;&gt;"",$AB135&lt;&gt;"×",$AE135=0,$AD135=""),"計算額が下限以下のため不支給／",""))</f>
        <v/>
      </c>
      <c r="AN135" s="12" t="n"/>
      <c r="AO135" s="14">
        <f>IF($AF135="保留中",COUNTIF($AF$6:$AF135,"保留中"),"")</f>
        <v/>
      </c>
      <c r="AP135" s="14">
        <f>IF($AQ135="","",IF(SUMPRODUCT(MAX((職員マスタ!$A$6:$A$405=$B135)*(((職員マスタ!$G$6:$G$405="")+(職員マスタ!$G$6:$G$405&lt;=EOMONTH($AQ135,0)))&gt;0)*(((職員マスタ!$H$6:$H$405="")+(職員マスタ!$H$6:$H$405&gt;=$AQ135))&gt;0)*(ROW(職員マスタ!$A$6:$A$405)-5)))&gt;0,SUMPRODUCT(MAX((職員マスタ!$A$6:$A$405=$B135)*(((職員マスタ!$G$6:$G$405="")+(職員マスタ!$G$6:$G$405&lt;=EOMONTH($AQ135,0)))&gt;0)*(((職員マスタ!$H$6:$H$405="")+(職員マスタ!$H$6:$H$405&gt;=$AQ135))&gt;0)*(ROW(職員マスタ!$A$6:$A$405)-5))),IFERROR(MATCH($B135,職員マスタ!$A$6:$A$405,0),"")))</f>
        <v/>
      </c>
      <c r="AQ135" s="16">
        <f>IF(OR($B135="",$C135="",$D135=""),"",DATE($C135+2018,$D135,1))</f>
        <v/>
      </c>
    </row>
    <row r="136">
      <c r="A136" s="11" t="n"/>
      <c r="B136" s="12" t="n">
        <v>6201735</v>
      </c>
      <c r="C136" s="12" t="n">
        <v>7</v>
      </c>
      <c r="D136" s="12" t="n">
        <v>5</v>
      </c>
      <c r="E136" s="13" t="n">
        <v>197709</v>
      </c>
      <c r="F136" s="12" t="n"/>
      <c r="G136" s="13" t="n"/>
      <c r="H136" s="12" t="n"/>
      <c r="I136" s="12" t="n"/>
      <c r="J136" s="12" t="n"/>
      <c r="K136" s="12" t="n"/>
      <c r="L136" s="11" t="n"/>
      <c r="M136" s="11" t="n"/>
      <c r="N136" s="11" t="n"/>
      <c r="O136" s="11" t="n"/>
      <c r="P136" s="12" t="n"/>
      <c r="Q136" s="11" t="n"/>
      <c r="R136" s="12" t="n"/>
      <c r="S136" s="11" t="n"/>
      <c r="T136" s="12" t="n"/>
      <c r="U136" s="12" t="n"/>
      <c r="V136" s="12" t="n"/>
      <c r="W136" s="13" t="n"/>
      <c r="X136" s="14">
        <f>IF($AP136="",IF($B136="","",$H136),IF(INDEX(職員マスタ!$B$6:$B$405,$AP136)="",$H136,INDEX(職員マスタ!$B$6:$B$405,$AP136)))</f>
        <v/>
      </c>
      <c r="Y136" s="14">
        <f>IF($AP136="",IF($B136="","",$R136),IF(INDEX(職員マスタ!$C$6:$C$405,$AP136)="",$R136,INDEX(職員マスタ!$C$6:$C$405,$AP136)))</f>
        <v/>
      </c>
      <c r="Z136" s="14">
        <f>IF($AQ136="","","R"&amp;$C136&amp;"."&amp;$D136)</f>
        <v/>
      </c>
      <c r="AA136" s="15">
        <f>IF(IF($AP136="",FALSE,INDEX(職員マスタ!$K$6:$K$405,$AP136)&lt;&gt;""),INDEX(職員マスタ!$K$6:$K$405,$AP136),IF(N($W136)&gt;0,$W136,""))</f>
        <v/>
      </c>
      <c r="AB136" s="14">
        <f>IF(OR($E136="",$AA136=""),"",IF($E136&gt;=$AA136,"×",IF($E136&gt;=$AA136*設定!$C$5,"△","○")))</f>
        <v/>
      </c>
      <c r="AC136" s="15">
        <f>IF($AB136="","",IF($AB136="×",0,IF($AB136="○",ROUNDDOWN($E136*設定!$C$4,0),ROUNDDOWN($E136*ROUND((9*$AA136-9*$E136)/(10*$E136),4),0))))</f>
        <v/>
      </c>
      <c r="AD136" s="13" t="n"/>
      <c r="AE136" s="15">
        <f>IF($B136="","",IF($AD136&lt;&gt;"",$AD136,IF($AC136="","",IF($AC136&lt;=設定!$C$3,0,$AC136))))</f>
        <v/>
      </c>
      <c r="AF136" s="14">
        <f>IF($B136="","",IF(AND($AG136&lt;&gt;"",$AI136="",$AL136=""),"保留中",IF($AL136&lt;&gt;"",IF(N($AE136)&gt;0,"支給済","不支給"),IF($AE136="","要確認",IF($AE136=0,"不支給","未処理")))))</f>
        <v/>
      </c>
      <c r="AG136" s="12" t="n"/>
      <c r="AH136" s="11" t="n"/>
      <c r="AI136" s="11" t="n"/>
      <c r="AJ136" s="11" t="n"/>
      <c r="AK136" s="14">
        <f>IF(AND($AF136="保留中",$AH136&lt;&gt;""),TODAY()-$AH136,"")</f>
        <v/>
      </c>
      <c r="AL136" s="12" t="inlineStr">
        <is>
          <t>R7.8</t>
        </is>
      </c>
      <c r="AM136" s="14">
        <f>IF($B136="","",IF($AQ136="","対象年月が未入力／","")&amp;IF($B136="","",IF($AP136="","職員マスタに未登録の職員番号／",IF($AA136="","標準報酬月額が未登録／","")&amp;IF(AND($AQ136&lt;&gt;"",OR(AND(INDEX(職員マスタ!$G$6:$G$405,$AP136)&lt;&gt;"",INDEX(職員マスタ!$G$6:$G$405,$AP136)&gt;EOMONTH($AQ136,0)),AND(INDEX(職員マスタ!$H$6:$H$405,$AP136)&lt;&gt;"",INDEX(職員マスタ!$H$6:$H$405,$AP136)&lt;$AQ136))),"対象月が時短期間外／","")&amp;IF(AND(INDEX(職員マスタ!$K$6:$K$405,$AP136)&lt;&gt;"",N($W136)&gt;0,INDEX(職員マスタ!$K$6:$K$405,$AP136)&lt;&gt;$W136),"標準報酬月額が申請書と相違（台帳"&amp;TEXT(INDEX(職員マスタ!$K$6:$K$405,$AP136),"#,##0")&amp;"円／申請書"&amp;TEXT($W136,"#,##0")&amp;"円）／","")&amp;IF(AND(INDEX(職員マスタ!$F$6:$F$405,$AP136)&lt;&gt;"",$AQ136&lt;&gt;"",INDEX(職員マスタ!$F$6:$F$405,$AP136)&lt;$AQ136),"対象月に子が2歳到達済／","")&amp;IF(AND($H136&lt;&gt;"",INDEX(職員マスタ!$B$6:$B$405,$AP136)&lt;&gt;"",SUBSTITUTE(SUBSTITUTE($H136," ","")," ","")&lt;&gt;SUBSTITUTE(SUBSTITUTE(INDEX(職員マスタ!$B$6:$B$405,$AP136)," ","")," ","")),"氏名がマスタと相違／","")&amp;IF(AND($Q136&lt;&gt;"",INDEX(職員マスタ!$E$6:$E$405,$AP136)&lt;&gt;"",$Q136&lt;&gt;INDEX(職員マスタ!$E$6:$E$405,$AP136)),"子の生年月日がマスタと相違／","")&amp;IF(AND($L136&lt;&gt;"",INDEX(職員マスタ!$G$6:$G$405,$AP136)&lt;&gt;"",$L136&lt;&gt;INDEX(職員マスタ!$G$6:$G$405,$AP136)),"時短開始日がマスタと相違／","")&amp;IF(AND($M136&lt;&gt;"",INDEX(職員マスタ!$H$6:$H$405,$AP136)&lt;&gt;"",$M136&lt;&gt;INDEX(職員マスタ!$H$6:$H$405,$AP136)),"時短終了日がマスタと相違／","")))&amp;IF(AND($B136&lt;&gt;"",$E136=""),"報酬額が未入力／","")&amp;IF(N($U136)&gt;0,"申請書に入力エラーが残っています／","")&amp;IF(AND($B136&lt;&gt;"",$AQ136&lt;&gt;""),IF(COUNTIFS($B$6:$B$3005,$B136,$C$6:$C$3005,$C136,$D$6:$D$3005,$D136)&gt;1,"同じ月の請求が重複しています／",""),"")&amp;IF(AND(N($E136)&gt;0,$AB136&lt;&gt;"",$AB136&lt;&gt;"×",$AE136=0,$AD136=""),"計算額が下限以下のため不支給／",""))</f>
        <v/>
      </c>
      <c r="AN136" s="12" t="n"/>
      <c r="AO136" s="14">
        <f>IF($AF136="保留中",COUNTIF($AF$6:$AF136,"保留中"),"")</f>
        <v/>
      </c>
      <c r="AP136" s="14">
        <f>IF($AQ136="","",IF(SUMPRODUCT(MAX((職員マスタ!$A$6:$A$405=$B136)*(((職員マスタ!$G$6:$G$405="")+(職員マスタ!$G$6:$G$405&lt;=EOMONTH($AQ136,0)))&gt;0)*(((職員マスタ!$H$6:$H$405="")+(職員マスタ!$H$6:$H$405&gt;=$AQ136))&gt;0)*(ROW(職員マスタ!$A$6:$A$405)-5)))&gt;0,SUMPRODUCT(MAX((職員マスタ!$A$6:$A$405=$B136)*(((職員マスタ!$G$6:$G$405="")+(職員マスタ!$G$6:$G$405&lt;=EOMONTH($AQ136,0)))&gt;0)*(((職員マスタ!$H$6:$H$405="")+(職員マスタ!$H$6:$H$405&gt;=$AQ136))&gt;0)*(ROW(職員マスタ!$A$6:$A$405)-5))),IFERROR(MATCH($B136,職員マスタ!$A$6:$A$405,0),"")))</f>
        <v/>
      </c>
      <c r="AQ136" s="16">
        <f>IF(OR($B136="",$C136="",$D136=""),"",DATE($C136+2018,$D136,1))</f>
        <v/>
      </c>
    </row>
    <row r="137">
      <c r="A137" s="11" t="n"/>
      <c r="B137" s="12" t="n">
        <v>6201735</v>
      </c>
      <c r="C137" s="12" t="n">
        <v>7</v>
      </c>
      <c r="D137" s="12" t="n">
        <v>6</v>
      </c>
      <c r="E137" s="13" t="n">
        <v>197709</v>
      </c>
      <c r="F137" s="12" t="n"/>
      <c r="G137" s="13" t="n"/>
      <c r="H137" s="12" t="n"/>
      <c r="I137" s="12" t="n"/>
      <c r="J137" s="12" t="n"/>
      <c r="K137" s="12" t="n"/>
      <c r="L137" s="11" t="n"/>
      <c r="M137" s="11" t="n"/>
      <c r="N137" s="11" t="n"/>
      <c r="O137" s="11" t="n"/>
      <c r="P137" s="12" t="n"/>
      <c r="Q137" s="11" t="n"/>
      <c r="R137" s="12" t="n"/>
      <c r="S137" s="11" t="n"/>
      <c r="T137" s="12" t="n"/>
      <c r="U137" s="12" t="n"/>
      <c r="V137" s="12" t="n"/>
      <c r="W137" s="13" t="n"/>
      <c r="X137" s="14">
        <f>IF($AP137="",IF($B137="","",$H137),IF(INDEX(職員マスタ!$B$6:$B$405,$AP137)="",$H137,INDEX(職員マスタ!$B$6:$B$405,$AP137)))</f>
        <v/>
      </c>
      <c r="Y137" s="14">
        <f>IF($AP137="",IF($B137="","",$R137),IF(INDEX(職員マスタ!$C$6:$C$405,$AP137)="",$R137,INDEX(職員マスタ!$C$6:$C$405,$AP137)))</f>
        <v/>
      </c>
      <c r="Z137" s="14">
        <f>IF($AQ137="","","R"&amp;$C137&amp;"."&amp;$D137)</f>
        <v/>
      </c>
      <c r="AA137" s="15">
        <f>IF(IF($AP137="",FALSE,INDEX(職員マスタ!$K$6:$K$405,$AP137)&lt;&gt;""),INDEX(職員マスタ!$K$6:$K$405,$AP137),IF(N($W137)&gt;0,$W137,""))</f>
        <v/>
      </c>
      <c r="AB137" s="14">
        <f>IF(OR($E137="",$AA137=""),"",IF($E137&gt;=$AA137,"×",IF($E137&gt;=$AA137*設定!$C$5,"△","○")))</f>
        <v/>
      </c>
      <c r="AC137" s="15">
        <f>IF($AB137="","",IF($AB137="×",0,IF($AB137="○",ROUNDDOWN($E137*設定!$C$4,0),ROUNDDOWN($E137*ROUND((9*$AA137-9*$E137)/(10*$E137),4),0))))</f>
        <v/>
      </c>
      <c r="AD137" s="13" t="n"/>
      <c r="AE137" s="15">
        <f>IF($B137="","",IF($AD137&lt;&gt;"",$AD137,IF($AC137="","",IF($AC137&lt;=設定!$C$3,0,$AC137))))</f>
        <v/>
      </c>
      <c r="AF137" s="14">
        <f>IF($B137="","",IF(AND($AG137&lt;&gt;"",$AI137="",$AL137=""),"保留中",IF($AL137&lt;&gt;"",IF(N($AE137)&gt;0,"支給済","不支給"),IF($AE137="","要確認",IF($AE137=0,"不支給","未処理")))))</f>
        <v/>
      </c>
      <c r="AG137" s="12" t="n"/>
      <c r="AH137" s="11" t="n"/>
      <c r="AI137" s="11" t="n"/>
      <c r="AJ137" s="11" t="n"/>
      <c r="AK137" s="14">
        <f>IF(AND($AF137="保留中",$AH137&lt;&gt;""),TODAY()-$AH137,"")</f>
        <v/>
      </c>
      <c r="AL137" s="12" t="inlineStr">
        <is>
          <t>R7.8</t>
        </is>
      </c>
      <c r="AM137" s="14">
        <f>IF($B137="","",IF($AQ137="","対象年月が未入力／","")&amp;IF($B137="","",IF($AP137="","職員マスタに未登録の職員番号／",IF($AA137="","標準報酬月額が未登録／","")&amp;IF(AND($AQ137&lt;&gt;"",OR(AND(INDEX(職員マスタ!$G$6:$G$405,$AP137)&lt;&gt;"",INDEX(職員マスタ!$G$6:$G$405,$AP137)&gt;EOMONTH($AQ137,0)),AND(INDEX(職員マスタ!$H$6:$H$405,$AP137)&lt;&gt;"",INDEX(職員マスタ!$H$6:$H$405,$AP137)&lt;$AQ137))),"対象月が時短期間外／","")&amp;IF(AND(INDEX(職員マスタ!$K$6:$K$405,$AP137)&lt;&gt;"",N($W137)&gt;0,INDEX(職員マスタ!$K$6:$K$405,$AP137)&lt;&gt;$W137),"標準報酬月額が申請書と相違（台帳"&amp;TEXT(INDEX(職員マスタ!$K$6:$K$405,$AP137),"#,##0")&amp;"円／申請書"&amp;TEXT($W137,"#,##0")&amp;"円）／","")&amp;IF(AND(INDEX(職員マスタ!$F$6:$F$405,$AP137)&lt;&gt;"",$AQ137&lt;&gt;"",INDEX(職員マスタ!$F$6:$F$405,$AP137)&lt;$AQ137),"対象月に子が2歳到達済／","")&amp;IF(AND($H137&lt;&gt;"",INDEX(職員マスタ!$B$6:$B$405,$AP137)&lt;&gt;"",SUBSTITUTE(SUBSTITUTE($H137," ","")," ","")&lt;&gt;SUBSTITUTE(SUBSTITUTE(INDEX(職員マスタ!$B$6:$B$405,$AP137)," ","")," ","")),"氏名がマスタと相違／","")&amp;IF(AND($Q137&lt;&gt;"",INDEX(職員マスタ!$E$6:$E$405,$AP137)&lt;&gt;"",$Q137&lt;&gt;INDEX(職員マスタ!$E$6:$E$405,$AP137)),"子の生年月日がマスタと相違／","")&amp;IF(AND($L137&lt;&gt;"",INDEX(職員マスタ!$G$6:$G$405,$AP137)&lt;&gt;"",$L137&lt;&gt;INDEX(職員マスタ!$G$6:$G$405,$AP137)),"時短開始日がマスタと相違／","")&amp;IF(AND($M137&lt;&gt;"",INDEX(職員マスタ!$H$6:$H$405,$AP137)&lt;&gt;"",$M137&lt;&gt;INDEX(職員マスタ!$H$6:$H$405,$AP137)),"時短終了日がマスタと相違／","")))&amp;IF(AND($B137&lt;&gt;"",$E137=""),"報酬額が未入力／","")&amp;IF(N($U137)&gt;0,"申請書に入力エラーが残っています／","")&amp;IF(AND($B137&lt;&gt;"",$AQ137&lt;&gt;""),IF(COUNTIFS($B$6:$B$3005,$B137,$C$6:$C$3005,$C137,$D$6:$D$3005,$D137)&gt;1,"同じ月の請求が重複しています／",""),"")&amp;IF(AND(N($E137)&gt;0,$AB137&lt;&gt;"",$AB137&lt;&gt;"×",$AE137=0,$AD137=""),"計算額が下限以下のため不支給／",""))</f>
        <v/>
      </c>
      <c r="AN137" s="12" t="n"/>
      <c r="AO137" s="14">
        <f>IF($AF137="保留中",COUNTIF($AF$6:$AF137,"保留中"),"")</f>
        <v/>
      </c>
      <c r="AP137" s="14">
        <f>IF($AQ137="","",IF(SUMPRODUCT(MAX((職員マスタ!$A$6:$A$405=$B137)*(((職員マスタ!$G$6:$G$405="")+(職員マスタ!$G$6:$G$405&lt;=EOMONTH($AQ137,0)))&gt;0)*(((職員マスタ!$H$6:$H$405="")+(職員マスタ!$H$6:$H$405&gt;=$AQ137))&gt;0)*(ROW(職員マスタ!$A$6:$A$405)-5)))&gt;0,SUMPRODUCT(MAX((職員マスタ!$A$6:$A$405=$B137)*(((職員マスタ!$G$6:$G$405="")+(職員マスタ!$G$6:$G$405&lt;=EOMONTH($AQ137,0)))&gt;0)*(((職員マスタ!$H$6:$H$405="")+(職員マスタ!$H$6:$H$405&gt;=$AQ137))&gt;0)*(ROW(職員マスタ!$A$6:$A$405)-5))),IFERROR(MATCH($B137,職員マスタ!$A$6:$A$405,0),"")))</f>
        <v/>
      </c>
      <c r="AQ137" s="16">
        <f>IF(OR($B137="",$C137="",$D137=""),"",DATE($C137+2018,$D137,1))</f>
        <v/>
      </c>
    </row>
    <row r="138">
      <c r="A138" s="11" t="n"/>
      <c r="B138" s="12" t="n">
        <v>6201735</v>
      </c>
      <c r="C138" s="12" t="n">
        <v>7</v>
      </c>
      <c r="D138" s="12" t="n">
        <v>7</v>
      </c>
      <c r="E138" s="13" t="n">
        <v>197709</v>
      </c>
      <c r="F138" s="12" t="n"/>
      <c r="G138" s="13" t="n"/>
      <c r="H138" s="12" t="n"/>
      <c r="I138" s="12" t="n"/>
      <c r="J138" s="12" t="n"/>
      <c r="K138" s="12" t="n"/>
      <c r="L138" s="11" t="n"/>
      <c r="M138" s="11" t="n"/>
      <c r="N138" s="11" t="n"/>
      <c r="O138" s="11" t="n"/>
      <c r="P138" s="12" t="n"/>
      <c r="Q138" s="11" t="n"/>
      <c r="R138" s="12" t="n"/>
      <c r="S138" s="11" t="n"/>
      <c r="T138" s="12" t="n"/>
      <c r="U138" s="12" t="n"/>
      <c r="V138" s="12" t="n"/>
      <c r="W138" s="13" t="n"/>
      <c r="X138" s="14">
        <f>IF($AP138="",IF($B138="","",$H138),IF(INDEX(職員マスタ!$B$6:$B$405,$AP138)="",$H138,INDEX(職員マスタ!$B$6:$B$405,$AP138)))</f>
        <v/>
      </c>
      <c r="Y138" s="14">
        <f>IF($AP138="",IF($B138="","",$R138),IF(INDEX(職員マスタ!$C$6:$C$405,$AP138)="",$R138,INDEX(職員マスタ!$C$6:$C$405,$AP138)))</f>
        <v/>
      </c>
      <c r="Z138" s="14">
        <f>IF($AQ138="","","R"&amp;$C138&amp;"."&amp;$D138)</f>
        <v/>
      </c>
      <c r="AA138" s="15">
        <f>IF(IF($AP138="",FALSE,INDEX(職員マスタ!$K$6:$K$405,$AP138)&lt;&gt;""),INDEX(職員マスタ!$K$6:$K$405,$AP138),IF(N($W138)&gt;0,$W138,""))</f>
        <v/>
      </c>
      <c r="AB138" s="14">
        <f>IF(OR($E138="",$AA138=""),"",IF($E138&gt;=$AA138,"×",IF($E138&gt;=$AA138*設定!$C$5,"△","○")))</f>
        <v/>
      </c>
      <c r="AC138" s="15">
        <f>IF($AB138="","",IF($AB138="×",0,IF($AB138="○",ROUNDDOWN($E138*設定!$C$4,0),ROUNDDOWN($E138*ROUND((9*$AA138-9*$E138)/(10*$E138),4),0))))</f>
        <v/>
      </c>
      <c r="AD138" s="13" t="n"/>
      <c r="AE138" s="15">
        <f>IF($B138="","",IF($AD138&lt;&gt;"",$AD138,IF($AC138="","",IF($AC138&lt;=設定!$C$3,0,$AC138))))</f>
        <v/>
      </c>
      <c r="AF138" s="14">
        <f>IF($B138="","",IF(AND($AG138&lt;&gt;"",$AI138="",$AL138=""),"保留中",IF($AL138&lt;&gt;"",IF(N($AE138)&gt;0,"支給済","不支給"),IF($AE138="","要確認",IF($AE138=0,"不支給","未処理")))))</f>
        <v/>
      </c>
      <c r="AG138" s="12" t="n"/>
      <c r="AH138" s="11" t="n"/>
      <c r="AI138" s="11" t="n"/>
      <c r="AJ138" s="11" t="n"/>
      <c r="AK138" s="14">
        <f>IF(AND($AF138="保留中",$AH138&lt;&gt;""),TODAY()-$AH138,"")</f>
        <v/>
      </c>
      <c r="AL138" s="12" t="inlineStr">
        <is>
          <t>R7.9</t>
        </is>
      </c>
      <c r="AM138" s="14">
        <f>IF($B138="","",IF($AQ138="","対象年月が未入力／","")&amp;IF($B138="","",IF($AP138="","職員マスタに未登録の職員番号／",IF($AA138="","標準報酬月額が未登録／","")&amp;IF(AND($AQ138&lt;&gt;"",OR(AND(INDEX(職員マスタ!$G$6:$G$405,$AP138)&lt;&gt;"",INDEX(職員マスタ!$G$6:$G$405,$AP138)&gt;EOMONTH($AQ138,0)),AND(INDEX(職員マスタ!$H$6:$H$405,$AP138)&lt;&gt;"",INDEX(職員マスタ!$H$6:$H$405,$AP138)&lt;$AQ138))),"対象月が時短期間外／","")&amp;IF(AND(INDEX(職員マスタ!$K$6:$K$405,$AP138)&lt;&gt;"",N($W138)&gt;0,INDEX(職員マスタ!$K$6:$K$405,$AP138)&lt;&gt;$W138),"標準報酬月額が申請書と相違（台帳"&amp;TEXT(INDEX(職員マスタ!$K$6:$K$405,$AP138),"#,##0")&amp;"円／申請書"&amp;TEXT($W138,"#,##0")&amp;"円）／","")&amp;IF(AND(INDEX(職員マスタ!$F$6:$F$405,$AP138)&lt;&gt;"",$AQ138&lt;&gt;"",INDEX(職員マスタ!$F$6:$F$405,$AP138)&lt;$AQ138),"対象月に子が2歳到達済／","")&amp;IF(AND($H138&lt;&gt;"",INDEX(職員マスタ!$B$6:$B$405,$AP138)&lt;&gt;"",SUBSTITUTE(SUBSTITUTE($H138," ","")," ","")&lt;&gt;SUBSTITUTE(SUBSTITUTE(INDEX(職員マスタ!$B$6:$B$405,$AP138)," ","")," ","")),"氏名がマスタと相違／","")&amp;IF(AND($Q138&lt;&gt;"",INDEX(職員マスタ!$E$6:$E$405,$AP138)&lt;&gt;"",$Q138&lt;&gt;INDEX(職員マスタ!$E$6:$E$405,$AP138)),"子の生年月日がマスタと相違／","")&amp;IF(AND($L138&lt;&gt;"",INDEX(職員マスタ!$G$6:$G$405,$AP138)&lt;&gt;"",$L138&lt;&gt;INDEX(職員マスタ!$G$6:$G$405,$AP138)),"時短開始日がマスタと相違／","")&amp;IF(AND($M138&lt;&gt;"",INDEX(職員マスタ!$H$6:$H$405,$AP138)&lt;&gt;"",$M138&lt;&gt;INDEX(職員マスタ!$H$6:$H$405,$AP138)),"時短終了日がマスタと相違／","")))&amp;IF(AND($B138&lt;&gt;"",$E138=""),"報酬額が未入力／","")&amp;IF(N($U138)&gt;0,"申請書に入力エラーが残っています／","")&amp;IF(AND($B138&lt;&gt;"",$AQ138&lt;&gt;""),IF(COUNTIFS($B$6:$B$3005,$B138,$C$6:$C$3005,$C138,$D$6:$D$3005,$D138)&gt;1,"同じ月の請求が重複しています／",""),"")&amp;IF(AND(N($E138)&gt;0,$AB138&lt;&gt;"",$AB138&lt;&gt;"×",$AE138=0,$AD138=""),"計算額が下限以下のため不支給／",""))</f>
        <v/>
      </c>
      <c r="AN138" s="12" t="n"/>
      <c r="AO138" s="14">
        <f>IF($AF138="保留中",COUNTIF($AF$6:$AF138,"保留中"),"")</f>
        <v/>
      </c>
      <c r="AP138" s="14">
        <f>IF($AQ138="","",IF(SUMPRODUCT(MAX((職員マスタ!$A$6:$A$405=$B138)*(((職員マスタ!$G$6:$G$405="")+(職員マスタ!$G$6:$G$405&lt;=EOMONTH($AQ138,0)))&gt;0)*(((職員マスタ!$H$6:$H$405="")+(職員マスタ!$H$6:$H$405&gt;=$AQ138))&gt;0)*(ROW(職員マスタ!$A$6:$A$405)-5)))&gt;0,SUMPRODUCT(MAX((職員マスタ!$A$6:$A$405=$B138)*(((職員マスタ!$G$6:$G$405="")+(職員マスタ!$G$6:$G$405&lt;=EOMONTH($AQ138,0)))&gt;0)*(((職員マスタ!$H$6:$H$405="")+(職員マスタ!$H$6:$H$405&gt;=$AQ138))&gt;0)*(ROW(職員マスタ!$A$6:$A$405)-5))),IFERROR(MATCH($B138,職員マスタ!$A$6:$A$405,0),"")))</f>
        <v/>
      </c>
      <c r="AQ138" s="16">
        <f>IF(OR($B138="",$C138="",$D138=""),"",DATE($C138+2018,$D138,1))</f>
        <v/>
      </c>
    </row>
    <row r="139">
      <c r="A139" s="11" t="n"/>
      <c r="B139" s="12" t="n">
        <v>6201776</v>
      </c>
      <c r="C139" s="12" t="n">
        <v>7</v>
      </c>
      <c r="D139" s="12" t="n">
        <v>4</v>
      </c>
      <c r="E139" s="13" t="n">
        <v>153009</v>
      </c>
      <c r="F139" s="12" t="n"/>
      <c r="G139" s="13" t="n"/>
      <c r="H139" s="12" t="n"/>
      <c r="I139" s="12" t="n"/>
      <c r="J139" s="12" t="n"/>
      <c r="K139" s="12" t="n"/>
      <c r="L139" s="11" t="n"/>
      <c r="M139" s="11" t="n"/>
      <c r="N139" s="11" t="n"/>
      <c r="O139" s="11" t="n"/>
      <c r="P139" s="12" t="n"/>
      <c r="Q139" s="11" t="n"/>
      <c r="R139" s="12" t="n"/>
      <c r="S139" s="11" t="n"/>
      <c r="T139" s="12" t="n"/>
      <c r="U139" s="12" t="n"/>
      <c r="V139" s="12" t="n"/>
      <c r="W139" s="13" t="n"/>
      <c r="X139" s="14">
        <f>IF($AP139="",IF($B139="","",$H139),IF(INDEX(職員マスタ!$B$6:$B$405,$AP139)="",$H139,INDEX(職員マスタ!$B$6:$B$405,$AP139)))</f>
        <v/>
      </c>
      <c r="Y139" s="14">
        <f>IF($AP139="",IF($B139="","",$R139),IF(INDEX(職員マスタ!$C$6:$C$405,$AP139)="",$R139,INDEX(職員マスタ!$C$6:$C$405,$AP139)))</f>
        <v/>
      </c>
      <c r="Z139" s="14">
        <f>IF($AQ139="","","R"&amp;$C139&amp;"."&amp;$D139)</f>
        <v/>
      </c>
      <c r="AA139" s="15">
        <f>IF(IF($AP139="",FALSE,INDEX(職員マスタ!$K$6:$K$405,$AP139)&lt;&gt;""),INDEX(職員マスタ!$K$6:$K$405,$AP139),IF(N($W139)&gt;0,$W139,""))</f>
        <v/>
      </c>
      <c r="AB139" s="14">
        <f>IF(OR($E139="",$AA139=""),"",IF($E139&gt;=$AA139,"×",IF($E139&gt;=$AA139*設定!$C$5,"△","○")))</f>
        <v/>
      </c>
      <c r="AC139" s="15">
        <f>IF($AB139="","",IF($AB139="×",0,IF($AB139="○",ROUNDDOWN($E139*設定!$C$4,0),ROUNDDOWN($E139*ROUND((9*$AA139-9*$E139)/(10*$E139),4),0))))</f>
        <v/>
      </c>
      <c r="AD139" s="13" t="n"/>
      <c r="AE139" s="15">
        <f>IF($B139="","",IF($AD139&lt;&gt;"",$AD139,IF($AC139="","",IF($AC139&lt;=設定!$C$3,0,$AC139))))</f>
        <v/>
      </c>
      <c r="AF139" s="14">
        <f>IF($B139="","",IF(AND($AG139&lt;&gt;"",$AI139="",$AL139=""),"保留中",IF($AL139&lt;&gt;"",IF(N($AE139)&gt;0,"支給済","不支給"),IF($AE139="","要確認",IF($AE139=0,"不支給","未処理")))))</f>
        <v/>
      </c>
      <c r="AG139" s="12" t="n"/>
      <c r="AH139" s="11" t="n"/>
      <c r="AI139" s="11" t="n"/>
      <c r="AJ139" s="11" t="n"/>
      <c r="AK139" s="14">
        <f>IF(AND($AF139="保留中",$AH139&lt;&gt;""),TODAY()-$AH139,"")</f>
        <v/>
      </c>
      <c r="AL139" s="12" t="inlineStr">
        <is>
          <t>R7.8</t>
        </is>
      </c>
      <c r="AM139" s="14">
        <f>IF($B139="","",IF($AQ139="","対象年月が未入力／","")&amp;IF($B139="","",IF($AP139="","職員マスタに未登録の職員番号／",IF($AA139="","標準報酬月額が未登録／","")&amp;IF(AND($AQ139&lt;&gt;"",OR(AND(INDEX(職員マスタ!$G$6:$G$405,$AP139)&lt;&gt;"",INDEX(職員マスタ!$G$6:$G$405,$AP139)&gt;EOMONTH($AQ139,0)),AND(INDEX(職員マスタ!$H$6:$H$405,$AP139)&lt;&gt;"",INDEX(職員マスタ!$H$6:$H$405,$AP139)&lt;$AQ139))),"対象月が時短期間外／","")&amp;IF(AND(INDEX(職員マスタ!$K$6:$K$405,$AP139)&lt;&gt;"",N($W139)&gt;0,INDEX(職員マスタ!$K$6:$K$405,$AP139)&lt;&gt;$W139),"標準報酬月額が申請書と相違（台帳"&amp;TEXT(INDEX(職員マスタ!$K$6:$K$405,$AP139),"#,##0")&amp;"円／申請書"&amp;TEXT($W139,"#,##0")&amp;"円）／","")&amp;IF(AND(INDEX(職員マスタ!$F$6:$F$405,$AP139)&lt;&gt;"",$AQ139&lt;&gt;"",INDEX(職員マスタ!$F$6:$F$405,$AP139)&lt;$AQ139),"対象月に子が2歳到達済／","")&amp;IF(AND($H139&lt;&gt;"",INDEX(職員マスタ!$B$6:$B$405,$AP139)&lt;&gt;"",SUBSTITUTE(SUBSTITUTE($H139," ","")," ","")&lt;&gt;SUBSTITUTE(SUBSTITUTE(INDEX(職員マスタ!$B$6:$B$405,$AP139)," ","")," ","")),"氏名がマスタと相違／","")&amp;IF(AND($Q139&lt;&gt;"",INDEX(職員マスタ!$E$6:$E$405,$AP139)&lt;&gt;"",$Q139&lt;&gt;INDEX(職員マスタ!$E$6:$E$405,$AP139)),"子の生年月日がマスタと相違／","")&amp;IF(AND($L139&lt;&gt;"",INDEX(職員マスタ!$G$6:$G$405,$AP139)&lt;&gt;"",$L139&lt;&gt;INDEX(職員マスタ!$G$6:$G$405,$AP139)),"時短開始日がマスタと相違／","")&amp;IF(AND($M139&lt;&gt;"",INDEX(職員マスタ!$H$6:$H$405,$AP139)&lt;&gt;"",$M139&lt;&gt;INDEX(職員マスタ!$H$6:$H$405,$AP139)),"時短終了日がマスタと相違／","")))&amp;IF(AND($B139&lt;&gt;"",$E139=""),"報酬額が未入力／","")&amp;IF(N($U139)&gt;0,"申請書に入力エラーが残っています／","")&amp;IF(AND($B139&lt;&gt;"",$AQ139&lt;&gt;""),IF(COUNTIFS($B$6:$B$3005,$B139,$C$6:$C$3005,$C139,$D$6:$D$3005,$D139)&gt;1,"同じ月の請求が重複しています／",""),"")&amp;IF(AND(N($E139)&gt;0,$AB139&lt;&gt;"",$AB139&lt;&gt;"×",$AE139=0,$AD139=""),"計算額が下限以下のため不支給／",""))</f>
        <v/>
      </c>
      <c r="AN139" s="12" t="n"/>
      <c r="AO139" s="14">
        <f>IF($AF139="保留中",COUNTIF($AF$6:$AF139,"保留中"),"")</f>
        <v/>
      </c>
      <c r="AP139" s="14">
        <f>IF($AQ139="","",IF(SUMPRODUCT(MAX((職員マスタ!$A$6:$A$405=$B139)*(((職員マスタ!$G$6:$G$405="")+(職員マスタ!$G$6:$G$405&lt;=EOMONTH($AQ139,0)))&gt;0)*(((職員マスタ!$H$6:$H$405="")+(職員マスタ!$H$6:$H$405&gt;=$AQ139))&gt;0)*(ROW(職員マスタ!$A$6:$A$405)-5)))&gt;0,SUMPRODUCT(MAX((職員マスタ!$A$6:$A$405=$B139)*(((職員マスタ!$G$6:$G$405="")+(職員マスタ!$G$6:$G$405&lt;=EOMONTH($AQ139,0)))&gt;0)*(((職員マスタ!$H$6:$H$405="")+(職員マスタ!$H$6:$H$405&gt;=$AQ139))&gt;0)*(ROW(職員マスタ!$A$6:$A$405)-5))),IFERROR(MATCH($B139,職員マスタ!$A$6:$A$405,0),"")))</f>
        <v/>
      </c>
      <c r="AQ139" s="16">
        <f>IF(OR($B139="",$C139="",$D139=""),"",DATE($C139+2018,$D139,1))</f>
        <v/>
      </c>
    </row>
    <row r="140">
      <c r="A140" s="11" t="n"/>
      <c r="B140" s="12" t="n">
        <v>6201776</v>
      </c>
      <c r="C140" s="12" t="n">
        <v>7</v>
      </c>
      <c r="D140" s="12" t="n">
        <v>5</v>
      </c>
      <c r="E140" s="13" t="n">
        <v>207843</v>
      </c>
      <c r="F140" s="12" t="n"/>
      <c r="G140" s="13" t="n"/>
      <c r="H140" s="12" t="n"/>
      <c r="I140" s="12" t="n"/>
      <c r="J140" s="12" t="n"/>
      <c r="K140" s="12" t="n"/>
      <c r="L140" s="11" t="n"/>
      <c r="M140" s="11" t="n"/>
      <c r="N140" s="11" t="n"/>
      <c r="O140" s="11" t="n"/>
      <c r="P140" s="12" t="n"/>
      <c r="Q140" s="11" t="n"/>
      <c r="R140" s="12" t="n"/>
      <c r="S140" s="11" t="n"/>
      <c r="T140" s="12" t="n"/>
      <c r="U140" s="12" t="n"/>
      <c r="V140" s="12" t="n"/>
      <c r="W140" s="13" t="n"/>
      <c r="X140" s="14">
        <f>IF($AP140="",IF($B140="","",$H140),IF(INDEX(職員マスタ!$B$6:$B$405,$AP140)="",$H140,INDEX(職員マスタ!$B$6:$B$405,$AP140)))</f>
        <v/>
      </c>
      <c r="Y140" s="14">
        <f>IF($AP140="",IF($B140="","",$R140),IF(INDEX(職員マスタ!$C$6:$C$405,$AP140)="",$R140,INDEX(職員マスタ!$C$6:$C$405,$AP140)))</f>
        <v/>
      </c>
      <c r="Z140" s="14">
        <f>IF($AQ140="","","R"&amp;$C140&amp;"."&amp;$D140)</f>
        <v/>
      </c>
      <c r="AA140" s="15">
        <f>IF(IF($AP140="",FALSE,INDEX(職員マスタ!$K$6:$K$405,$AP140)&lt;&gt;""),INDEX(職員マスタ!$K$6:$K$405,$AP140),IF(N($W140)&gt;0,$W140,""))</f>
        <v/>
      </c>
      <c r="AB140" s="14">
        <f>IF(OR($E140="",$AA140=""),"",IF($E140&gt;=$AA140,"×",IF($E140&gt;=$AA140*設定!$C$5,"△","○")))</f>
        <v/>
      </c>
      <c r="AC140" s="15">
        <f>IF($AB140="","",IF($AB140="×",0,IF($AB140="○",ROUNDDOWN($E140*設定!$C$4,0),ROUNDDOWN($E140*ROUND((9*$AA140-9*$E140)/(10*$E140),4),0))))</f>
        <v/>
      </c>
      <c r="AD140" s="13" t="n"/>
      <c r="AE140" s="15">
        <f>IF($B140="","",IF($AD140&lt;&gt;"",$AD140,IF($AC140="","",IF($AC140&lt;=設定!$C$3,0,$AC140))))</f>
        <v/>
      </c>
      <c r="AF140" s="14">
        <f>IF($B140="","",IF(AND($AG140&lt;&gt;"",$AI140="",$AL140=""),"保留中",IF($AL140&lt;&gt;"",IF(N($AE140)&gt;0,"支給済","不支給"),IF($AE140="","要確認",IF($AE140=0,"不支給","未処理")))))</f>
        <v/>
      </c>
      <c r="AG140" s="12" t="n"/>
      <c r="AH140" s="11" t="n"/>
      <c r="AI140" s="11" t="n"/>
      <c r="AJ140" s="11" t="n"/>
      <c r="AK140" s="14">
        <f>IF(AND($AF140="保留中",$AH140&lt;&gt;""),TODAY()-$AH140,"")</f>
        <v/>
      </c>
      <c r="AL140" s="12" t="inlineStr">
        <is>
          <t>R7.8</t>
        </is>
      </c>
      <c r="AM140" s="14">
        <f>IF($B140="","",IF($AQ140="","対象年月が未入力／","")&amp;IF($B140="","",IF($AP140="","職員マスタに未登録の職員番号／",IF($AA140="","標準報酬月額が未登録／","")&amp;IF(AND($AQ140&lt;&gt;"",OR(AND(INDEX(職員マスタ!$G$6:$G$405,$AP140)&lt;&gt;"",INDEX(職員マスタ!$G$6:$G$405,$AP140)&gt;EOMONTH($AQ140,0)),AND(INDEX(職員マスタ!$H$6:$H$405,$AP140)&lt;&gt;"",INDEX(職員マスタ!$H$6:$H$405,$AP140)&lt;$AQ140))),"対象月が時短期間外／","")&amp;IF(AND(INDEX(職員マスタ!$K$6:$K$405,$AP140)&lt;&gt;"",N($W140)&gt;0,INDEX(職員マスタ!$K$6:$K$405,$AP140)&lt;&gt;$W140),"標準報酬月額が申請書と相違（台帳"&amp;TEXT(INDEX(職員マスタ!$K$6:$K$405,$AP140),"#,##0")&amp;"円／申請書"&amp;TEXT($W140,"#,##0")&amp;"円）／","")&amp;IF(AND(INDEX(職員マスタ!$F$6:$F$405,$AP140)&lt;&gt;"",$AQ140&lt;&gt;"",INDEX(職員マスタ!$F$6:$F$405,$AP140)&lt;$AQ140),"対象月に子が2歳到達済／","")&amp;IF(AND($H140&lt;&gt;"",INDEX(職員マスタ!$B$6:$B$405,$AP140)&lt;&gt;"",SUBSTITUTE(SUBSTITUTE($H140," ","")," ","")&lt;&gt;SUBSTITUTE(SUBSTITUTE(INDEX(職員マスタ!$B$6:$B$405,$AP140)," ","")," ","")),"氏名がマスタと相違／","")&amp;IF(AND($Q140&lt;&gt;"",INDEX(職員マスタ!$E$6:$E$405,$AP140)&lt;&gt;"",$Q140&lt;&gt;INDEX(職員マスタ!$E$6:$E$405,$AP140)),"子の生年月日がマスタと相違／","")&amp;IF(AND($L140&lt;&gt;"",INDEX(職員マスタ!$G$6:$G$405,$AP140)&lt;&gt;"",$L140&lt;&gt;INDEX(職員マスタ!$G$6:$G$405,$AP140)),"時短開始日がマスタと相違／","")&amp;IF(AND($M140&lt;&gt;"",INDEX(職員マスタ!$H$6:$H$405,$AP140)&lt;&gt;"",$M140&lt;&gt;INDEX(職員マスタ!$H$6:$H$405,$AP140)),"時短終了日がマスタと相違／","")))&amp;IF(AND($B140&lt;&gt;"",$E140=""),"報酬額が未入力／","")&amp;IF(N($U140)&gt;0,"申請書に入力エラーが残っています／","")&amp;IF(AND($B140&lt;&gt;"",$AQ140&lt;&gt;""),IF(COUNTIFS($B$6:$B$3005,$B140,$C$6:$C$3005,$C140,$D$6:$D$3005,$D140)&gt;1,"同じ月の請求が重複しています／",""),"")&amp;IF(AND(N($E140)&gt;0,$AB140&lt;&gt;"",$AB140&lt;&gt;"×",$AE140=0,$AD140=""),"計算額が下限以下のため不支給／",""))</f>
        <v/>
      </c>
      <c r="AN140" s="12" t="n"/>
      <c r="AO140" s="14">
        <f>IF($AF140="保留中",COUNTIF($AF$6:$AF140,"保留中"),"")</f>
        <v/>
      </c>
      <c r="AP140" s="14">
        <f>IF($AQ140="","",IF(SUMPRODUCT(MAX((職員マスタ!$A$6:$A$405=$B140)*(((職員マスタ!$G$6:$G$405="")+(職員マスタ!$G$6:$G$405&lt;=EOMONTH($AQ140,0)))&gt;0)*(((職員マスタ!$H$6:$H$405="")+(職員マスタ!$H$6:$H$405&gt;=$AQ140))&gt;0)*(ROW(職員マスタ!$A$6:$A$405)-5)))&gt;0,SUMPRODUCT(MAX((職員マスタ!$A$6:$A$405=$B140)*(((職員マスタ!$G$6:$G$405="")+(職員マスタ!$G$6:$G$405&lt;=EOMONTH($AQ140,0)))&gt;0)*(((職員マスタ!$H$6:$H$405="")+(職員マスタ!$H$6:$H$405&gt;=$AQ140))&gt;0)*(ROW(職員マスタ!$A$6:$A$405)-5))),IFERROR(MATCH($B140,職員マスタ!$A$6:$A$405,0),"")))</f>
        <v/>
      </c>
      <c r="AQ140" s="16">
        <f>IF(OR($B140="",$C140="",$D140=""),"",DATE($C140+2018,$D140,1))</f>
        <v/>
      </c>
    </row>
    <row r="141">
      <c r="A141" s="11" t="n"/>
      <c r="B141" s="12" t="n">
        <v>6201776</v>
      </c>
      <c r="C141" s="12" t="n">
        <v>7</v>
      </c>
      <c r="D141" s="12" t="n">
        <v>6</v>
      </c>
      <c r="E141" s="13" t="n">
        <v>204190</v>
      </c>
      <c r="F141" s="12" t="n"/>
      <c r="G141" s="13" t="n"/>
      <c r="H141" s="12" t="n"/>
      <c r="I141" s="12" t="n"/>
      <c r="J141" s="12" t="n"/>
      <c r="K141" s="12" t="n"/>
      <c r="L141" s="11" t="n"/>
      <c r="M141" s="11" t="n"/>
      <c r="N141" s="11" t="n"/>
      <c r="O141" s="11" t="n"/>
      <c r="P141" s="12" t="n"/>
      <c r="Q141" s="11" t="n"/>
      <c r="R141" s="12" t="n"/>
      <c r="S141" s="11" t="n"/>
      <c r="T141" s="12" t="n"/>
      <c r="U141" s="12" t="n"/>
      <c r="V141" s="12" t="n"/>
      <c r="W141" s="13" t="n"/>
      <c r="X141" s="14">
        <f>IF($AP141="",IF($B141="","",$H141),IF(INDEX(職員マスタ!$B$6:$B$405,$AP141)="",$H141,INDEX(職員マスタ!$B$6:$B$405,$AP141)))</f>
        <v/>
      </c>
      <c r="Y141" s="14">
        <f>IF($AP141="",IF($B141="","",$R141),IF(INDEX(職員マスタ!$C$6:$C$405,$AP141)="",$R141,INDEX(職員マスタ!$C$6:$C$405,$AP141)))</f>
        <v/>
      </c>
      <c r="Z141" s="14">
        <f>IF($AQ141="","","R"&amp;$C141&amp;"."&amp;$D141)</f>
        <v/>
      </c>
      <c r="AA141" s="15">
        <f>IF(IF($AP141="",FALSE,INDEX(職員マスタ!$K$6:$K$405,$AP141)&lt;&gt;""),INDEX(職員マスタ!$K$6:$K$405,$AP141),IF(N($W141)&gt;0,$W141,""))</f>
        <v/>
      </c>
      <c r="AB141" s="14">
        <f>IF(OR($E141="",$AA141=""),"",IF($E141&gt;=$AA141,"×",IF($E141&gt;=$AA141*設定!$C$5,"△","○")))</f>
        <v/>
      </c>
      <c r="AC141" s="15">
        <f>IF($AB141="","",IF($AB141="×",0,IF($AB141="○",ROUNDDOWN($E141*設定!$C$4,0),ROUNDDOWN($E141*ROUND((9*$AA141-9*$E141)/(10*$E141),4),0))))</f>
        <v/>
      </c>
      <c r="AD141" s="13" t="n"/>
      <c r="AE141" s="15">
        <f>IF($B141="","",IF($AD141&lt;&gt;"",$AD141,IF($AC141="","",IF($AC141&lt;=設定!$C$3,0,$AC141))))</f>
        <v/>
      </c>
      <c r="AF141" s="14">
        <f>IF($B141="","",IF(AND($AG141&lt;&gt;"",$AI141="",$AL141=""),"保留中",IF($AL141&lt;&gt;"",IF(N($AE141)&gt;0,"支給済","不支給"),IF($AE141="","要確認",IF($AE141=0,"不支給","未処理")))))</f>
        <v/>
      </c>
      <c r="AG141" s="12" t="n"/>
      <c r="AH141" s="11" t="n"/>
      <c r="AI141" s="11" t="n"/>
      <c r="AJ141" s="11" t="n"/>
      <c r="AK141" s="14">
        <f>IF(AND($AF141="保留中",$AH141&lt;&gt;""),TODAY()-$AH141,"")</f>
        <v/>
      </c>
      <c r="AL141" s="12" t="inlineStr">
        <is>
          <t>R7.8</t>
        </is>
      </c>
      <c r="AM141" s="14">
        <f>IF($B141="","",IF($AQ141="","対象年月が未入力／","")&amp;IF($B141="","",IF($AP141="","職員マスタに未登録の職員番号／",IF($AA141="","標準報酬月額が未登録／","")&amp;IF(AND($AQ141&lt;&gt;"",OR(AND(INDEX(職員マスタ!$G$6:$G$405,$AP141)&lt;&gt;"",INDEX(職員マスタ!$G$6:$G$405,$AP141)&gt;EOMONTH($AQ141,0)),AND(INDEX(職員マスタ!$H$6:$H$405,$AP141)&lt;&gt;"",INDEX(職員マスタ!$H$6:$H$405,$AP141)&lt;$AQ141))),"対象月が時短期間外／","")&amp;IF(AND(INDEX(職員マスタ!$K$6:$K$405,$AP141)&lt;&gt;"",N($W141)&gt;0,INDEX(職員マスタ!$K$6:$K$405,$AP141)&lt;&gt;$W141),"標準報酬月額が申請書と相違（台帳"&amp;TEXT(INDEX(職員マスタ!$K$6:$K$405,$AP141),"#,##0")&amp;"円／申請書"&amp;TEXT($W141,"#,##0")&amp;"円）／","")&amp;IF(AND(INDEX(職員マスタ!$F$6:$F$405,$AP141)&lt;&gt;"",$AQ141&lt;&gt;"",INDEX(職員マスタ!$F$6:$F$405,$AP141)&lt;$AQ141),"対象月に子が2歳到達済／","")&amp;IF(AND($H141&lt;&gt;"",INDEX(職員マスタ!$B$6:$B$405,$AP141)&lt;&gt;"",SUBSTITUTE(SUBSTITUTE($H141," ","")," ","")&lt;&gt;SUBSTITUTE(SUBSTITUTE(INDEX(職員マスタ!$B$6:$B$405,$AP141)," ","")," ","")),"氏名がマスタと相違／","")&amp;IF(AND($Q141&lt;&gt;"",INDEX(職員マスタ!$E$6:$E$405,$AP141)&lt;&gt;"",$Q141&lt;&gt;INDEX(職員マスタ!$E$6:$E$405,$AP141)),"子の生年月日がマスタと相違／","")&amp;IF(AND($L141&lt;&gt;"",INDEX(職員マスタ!$G$6:$G$405,$AP141)&lt;&gt;"",$L141&lt;&gt;INDEX(職員マスタ!$G$6:$G$405,$AP141)),"時短開始日がマスタと相違／","")&amp;IF(AND($M141&lt;&gt;"",INDEX(職員マスタ!$H$6:$H$405,$AP141)&lt;&gt;"",$M141&lt;&gt;INDEX(職員マスタ!$H$6:$H$405,$AP141)),"時短終了日がマスタと相違／","")))&amp;IF(AND($B141&lt;&gt;"",$E141=""),"報酬額が未入力／","")&amp;IF(N($U141)&gt;0,"申請書に入力エラーが残っています／","")&amp;IF(AND($B141&lt;&gt;"",$AQ141&lt;&gt;""),IF(COUNTIFS($B$6:$B$3005,$B141,$C$6:$C$3005,$C141,$D$6:$D$3005,$D141)&gt;1,"同じ月の請求が重複しています／",""),"")&amp;IF(AND(N($E141)&gt;0,$AB141&lt;&gt;"",$AB141&lt;&gt;"×",$AE141=0,$AD141=""),"計算額が下限以下のため不支給／",""))</f>
        <v/>
      </c>
      <c r="AN141" s="12" t="n"/>
      <c r="AO141" s="14">
        <f>IF($AF141="保留中",COUNTIF($AF$6:$AF141,"保留中"),"")</f>
        <v/>
      </c>
      <c r="AP141" s="14">
        <f>IF($AQ141="","",IF(SUMPRODUCT(MAX((職員マスタ!$A$6:$A$405=$B141)*(((職員マスタ!$G$6:$G$405="")+(職員マスタ!$G$6:$G$405&lt;=EOMONTH($AQ141,0)))&gt;0)*(((職員マスタ!$H$6:$H$405="")+(職員マスタ!$H$6:$H$405&gt;=$AQ141))&gt;0)*(ROW(職員マスタ!$A$6:$A$405)-5)))&gt;0,SUMPRODUCT(MAX((職員マスタ!$A$6:$A$405=$B141)*(((職員マスタ!$G$6:$G$405="")+(職員マスタ!$G$6:$G$405&lt;=EOMONTH($AQ141,0)))&gt;0)*(((職員マスタ!$H$6:$H$405="")+(職員マスタ!$H$6:$H$405&gt;=$AQ141))&gt;0)*(ROW(職員マスタ!$A$6:$A$405)-5))),IFERROR(MATCH($B141,職員マスタ!$A$6:$A$405,0),"")))</f>
        <v/>
      </c>
      <c r="AQ141" s="16">
        <f>IF(OR($B141="",$C141="",$D141=""),"",DATE($C141+2018,$D141,1))</f>
        <v/>
      </c>
    </row>
    <row r="142">
      <c r="A142" s="11" t="n"/>
      <c r="B142" s="12" t="n">
        <v>6201776</v>
      </c>
      <c r="C142" s="12" t="n">
        <v>7</v>
      </c>
      <c r="D142" s="12" t="n">
        <v>7</v>
      </c>
      <c r="E142" s="13" t="n">
        <v>206249</v>
      </c>
      <c r="F142" s="12" t="n"/>
      <c r="G142" s="13" t="n"/>
      <c r="H142" s="12" t="n"/>
      <c r="I142" s="12" t="n"/>
      <c r="J142" s="12" t="n"/>
      <c r="K142" s="12" t="n"/>
      <c r="L142" s="11" t="n"/>
      <c r="M142" s="11" t="n"/>
      <c r="N142" s="11" t="n"/>
      <c r="O142" s="11" t="n"/>
      <c r="P142" s="12" t="n"/>
      <c r="Q142" s="11" t="n"/>
      <c r="R142" s="12" t="n"/>
      <c r="S142" s="11" t="n"/>
      <c r="T142" s="12" t="n"/>
      <c r="U142" s="12" t="n"/>
      <c r="V142" s="12" t="n"/>
      <c r="W142" s="13" t="n"/>
      <c r="X142" s="14">
        <f>IF($AP142="",IF($B142="","",$H142),IF(INDEX(職員マスタ!$B$6:$B$405,$AP142)="",$H142,INDEX(職員マスタ!$B$6:$B$405,$AP142)))</f>
        <v/>
      </c>
      <c r="Y142" s="14">
        <f>IF($AP142="",IF($B142="","",$R142),IF(INDEX(職員マスタ!$C$6:$C$405,$AP142)="",$R142,INDEX(職員マスタ!$C$6:$C$405,$AP142)))</f>
        <v/>
      </c>
      <c r="Z142" s="14">
        <f>IF($AQ142="","","R"&amp;$C142&amp;"."&amp;$D142)</f>
        <v/>
      </c>
      <c r="AA142" s="15">
        <f>IF(IF($AP142="",FALSE,INDEX(職員マスタ!$K$6:$K$405,$AP142)&lt;&gt;""),INDEX(職員マスタ!$K$6:$K$405,$AP142),IF(N($W142)&gt;0,$W142,""))</f>
        <v/>
      </c>
      <c r="AB142" s="14">
        <f>IF(OR($E142="",$AA142=""),"",IF($E142&gt;=$AA142,"×",IF($E142&gt;=$AA142*設定!$C$5,"△","○")))</f>
        <v/>
      </c>
      <c r="AC142" s="15">
        <f>IF($AB142="","",IF($AB142="×",0,IF($AB142="○",ROUNDDOWN($E142*設定!$C$4,0),ROUNDDOWN($E142*ROUND((9*$AA142-9*$E142)/(10*$E142),4),0))))</f>
        <v/>
      </c>
      <c r="AD142" s="13" t="n"/>
      <c r="AE142" s="15">
        <f>IF($B142="","",IF($AD142&lt;&gt;"",$AD142,IF($AC142="","",IF($AC142&lt;=設定!$C$3,0,$AC142))))</f>
        <v/>
      </c>
      <c r="AF142" s="14">
        <f>IF($B142="","",IF(AND($AG142&lt;&gt;"",$AI142="",$AL142=""),"保留中",IF($AL142&lt;&gt;"",IF(N($AE142)&gt;0,"支給済","不支給"),IF($AE142="","要確認",IF($AE142=0,"不支給","未処理")))))</f>
        <v/>
      </c>
      <c r="AG142" s="12" t="n"/>
      <c r="AH142" s="11" t="n"/>
      <c r="AI142" s="11" t="n"/>
      <c r="AJ142" s="11" t="n"/>
      <c r="AK142" s="14">
        <f>IF(AND($AF142="保留中",$AH142&lt;&gt;""),TODAY()-$AH142,"")</f>
        <v/>
      </c>
      <c r="AL142" s="12" t="inlineStr">
        <is>
          <t>R7.9</t>
        </is>
      </c>
      <c r="AM142" s="14">
        <f>IF($B142="","",IF($AQ142="","対象年月が未入力／","")&amp;IF($B142="","",IF($AP142="","職員マスタに未登録の職員番号／",IF($AA142="","標準報酬月額が未登録／","")&amp;IF(AND($AQ142&lt;&gt;"",OR(AND(INDEX(職員マスタ!$G$6:$G$405,$AP142)&lt;&gt;"",INDEX(職員マスタ!$G$6:$G$405,$AP142)&gt;EOMONTH($AQ142,0)),AND(INDEX(職員マスタ!$H$6:$H$405,$AP142)&lt;&gt;"",INDEX(職員マスタ!$H$6:$H$405,$AP142)&lt;$AQ142))),"対象月が時短期間外／","")&amp;IF(AND(INDEX(職員マスタ!$K$6:$K$405,$AP142)&lt;&gt;"",N($W142)&gt;0,INDEX(職員マスタ!$K$6:$K$405,$AP142)&lt;&gt;$W142),"標準報酬月額が申請書と相違（台帳"&amp;TEXT(INDEX(職員マスタ!$K$6:$K$405,$AP142),"#,##0")&amp;"円／申請書"&amp;TEXT($W142,"#,##0")&amp;"円）／","")&amp;IF(AND(INDEX(職員マスタ!$F$6:$F$405,$AP142)&lt;&gt;"",$AQ142&lt;&gt;"",INDEX(職員マスタ!$F$6:$F$405,$AP142)&lt;$AQ142),"対象月に子が2歳到達済／","")&amp;IF(AND($H142&lt;&gt;"",INDEX(職員マスタ!$B$6:$B$405,$AP142)&lt;&gt;"",SUBSTITUTE(SUBSTITUTE($H142," ","")," ","")&lt;&gt;SUBSTITUTE(SUBSTITUTE(INDEX(職員マスタ!$B$6:$B$405,$AP142)," ","")," ","")),"氏名がマスタと相違／","")&amp;IF(AND($Q142&lt;&gt;"",INDEX(職員マスタ!$E$6:$E$405,$AP142)&lt;&gt;"",$Q142&lt;&gt;INDEX(職員マスタ!$E$6:$E$405,$AP142)),"子の生年月日がマスタと相違／","")&amp;IF(AND($L142&lt;&gt;"",INDEX(職員マスタ!$G$6:$G$405,$AP142)&lt;&gt;"",$L142&lt;&gt;INDEX(職員マスタ!$G$6:$G$405,$AP142)),"時短開始日がマスタと相違／","")&amp;IF(AND($M142&lt;&gt;"",INDEX(職員マスタ!$H$6:$H$405,$AP142)&lt;&gt;"",$M142&lt;&gt;INDEX(職員マスタ!$H$6:$H$405,$AP142)),"時短終了日がマスタと相違／","")))&amp;IF(AND($B142&lt;&gt;"",$E142=""),"報酬額が未入力／","")&amp;IF(N($U142)&gt;0,"申請書に入力エラーが残っています／","")&amp;IF(AND($B142&lt;&gt;"",$AQ142&lt;&gt;""),IF(COUNTIFS($B$6:$B$3005,$B142,$C$6:$C$3005,$C142,$D$6:$D$3005,$D142)&gt;1,"同じ月の請求が重複しています／",""),"")&amp;IF(AND(N($E142)&gt;0,$AB142&lt;&gt;"",$AB142&lt;&gt;"×",$AE142=0,$AD142=""),"計算額が下限以下のため不支給／",""))</f>
        <v/>
      </c>
      <c r="AN142" s="12" t="n"/>
      <c r="AO142" s="14">
        <f>IF($AF142="保留中",COUNTIF($AF$6:$AF142,"保留中"),"")</f>
        <v/>
      </c>
      <c r="AP142" s="14">
        <f>IF($AQ142="","",IF(SUMPRODUCT(MAX((職員マスタ!$A$6:$A$405=$B142)*(((職員マスタ!$G$6:$G$405="")+(職員マスタ!$G$6:$G$405&lt;=EOMONTH($AQ142,0)))&gt;0)*(((職員マスタ!$H$6:$H$405="")+(職員マスタ!$H$6:$H$405&gt;=$AQ142))&gt;0)*(ROW(職員マスタ!$A$6:$A$405)-5)))&gt;0,SUMPRODUCT(MAX((職員マスタ!$A$6:$A$405=$B142)*(((職員マスタ!$G$6:$G$405="")+(職員マスタ!$G$6:$G$405&lt;=EOMONTH($AQ142,0)))&gt;0)*(((職員マスタ!$H$6:$H$405="")+(職員マスタ!$H$6:$H$405&gt;=$AQ142))&gt;0)*(ROW(職員マスタ!$A$6:$A$405)-5))),IFERROR(MATCH($B142,職員マスタ!$A$6:$A$405,0),"")))</f>
        <v/>
      </c>
      <c r="AQ142" s="16">
        <f>IF(OR($B142="",$C142="",$D142=""),"",DATE($C142+2018,$D142,1))</f>
        <v/>
      </c>
    </row>
    <row r="143">
      <c r="A143" s="11" t="n"/>
      <c r="B143" s="12" t="n">
        <v>6201776</v>
      </c>
      <c r="C143" s="12" t="n">
        <v>7</v>
      </c>
      <c r="D143" s="12" t="n">
        <v>8</v>
      </c>
      <c r="E143" s="13" t="n">
        <v>202131</v>
      </c>
      <c r="F143" s="12" t="n"/>
      <c r="G143" s="13" t="n"/>
      <c r="H143" s="12" t="n"/>
      <c r="I143" s="12" t="n"/>
      <c r="J143" s="12" t="n"/>
      <c r="K143" s="12" t="n"/>
      <c r="L143" s="11" t="n"/>
      <c r="M143" s="11" t="n"/>
      <c r="N143" s="11" t="n"/>
      <c r="O143" s="11" t="n"/>
      <c r="P143" s="12" t="n"/>
      <c r="Q143" s="11" t="n"/>
      <c r="R143" s="12" t="n"/>
      <c r="S143" s="11" t="n"/>
      <c r="T143" s="12" t="n"/>
      <c r="U143" s="12" t="n"/>
      <c r="V143" s="12" t="n"/>
      <c r="W143" s="13" t="n"/>
      <c r="X143" s="14">
        <f>IF($AP143="",IF($B143="","",$H143),IF(INDEX(職員マスタ!$B$6:$B$405,$AP143)="",$H143,INDEX(職員マスタ!$B$6:$B$405,$AP143)))</f>
        <v/>
      </c>
      <c r="Y143" s="14">
        <f>IF($AP143="",IF($B143="","",$R143),IF(INDEX(職員マスタ!$C$6:$C$405,$AP143)="",$R143,INDEX(職員マスタ!$C$6:$C$405,$AP143)))</f>
        <v/>
      </c>
      <c r="Z143" s="14">
        <f>IF($AQ143="","","R"&amp;$C143&amp;"."&amp;$D143)</f>
        <v/>
      </c>
      <c r="AA143" s="15">
        <f>IF(IF($AP143="",FALSE,INDEX(職員マスタ!$K$6:$K$405,$AP143)&lt;&gt;""),INDEX(職員マスタ!$K$6:$K$405,$AP143),IF(N($W143)&gt;0,$W143,""))</f>
        <v/>
      </c>
      <c r="AB143" s="14">
        <f>IF(OR($E143="",$AA143=""),"",IF($E143&gt;=$AA143,"×",IF($E143&gt;=$AA143*設定!$C$5,"△","○")))</f>
        <v/>
      </c>
      <c r="AC143" s="15">
        <f>IF($AB143="","",IF($AB143="×",0,IF($AB143="○",ROUNDDOWN($E143*設定!$C$4,0),ROUNDDOWN($E143*ROUND((9*$AA143-9*$E143)/(10*$E143),4),0))))</f>
        <v/>
      </c>
      <c r="AD143" s="13" t="n"/>
      <c r="AE143" s="15">
        <f>IF($B143="","",IF($AD143&lt;&gt;"",$AD143,IF($AC143="","",IF($AC143&lt;=設定!$C$3,0,$AC143))))</f>
        <v/>
      </c>
      <c r="AF143" s="14">
        <f>IF($B143="","",IF(AND($AG143&lt;&gt;"",$AI143="",$AL143=""),"保留中",IF($AL143&lt;&gt;"",IF(N($AE143)&gt;0,"支給済","不支給"),IF($AE143="","要確認",IF($AE143=0,"不支給","未処理")))))</f>
        <v/>
      </c>
      <c r="AG143" s="12" t="n"/>
      <c r="AH143" s="11" t="n"/>
      <c r="AI143" s="11" t="n"/>
      <c r="AJ143" s="11" t="n"/>
      <c r="AK143" s="14">
        <f>IF(AND($AF143="保留中",$AH143&lt;&gt;""),TODAY()-$AH143,"")</f>
        <v/>
      </c>
      <c r="AL143" s="12" t="inlineStr">
        <is>
          <t>R7.10</t>
        </is>
      </c>
      <c r="AM143" s="14">
        <f>IF($B143="","",IF($AQ143="","対象年月が未入力／","")&amp;IF($B143="","",IF($AP143="","職員マスタに未登録の職員番号／",IF($AA143="","標準報酬月額が未登録／","")&amp;IF(AND($AQ143&lt;&gt;"",OR(AND(INDEX(職員マスタ!$G$6:$G$405,$AP143)&lt;&gt;"",INDEX(職員マスタ!$G$6:$G$405,$AP143)&gt;EOMONTH($AQ143,0)),AND(INDEX(職員マスタ!$H$6:$H$405,$AP143)&lt;&gt;"",INDEX(職員マスタ!$H$6:$H$405,$AP143)&lt;$AQ143))),"対象月が時短期間外／","")&amp;IF(AND(INDEX(職員マスタ!$K$6:$K$405,$AP143)&lt;&gt;"",N($W143)&gt;0,INDEX(職員マスタ!$K$6:$K$405,$AP143)&lt;&gt;$W143),"標準報酬月額が申請書と相違（台帳"&amp;TEXT(INDEX(職員マスタ!$K$6:$K$405,$AP143),"#,##0")&amp;"円／申請書"&amp;TEXT($W143,"#,##0")&amp;"円）／","")&amp;IF(AND(INDEX(職員マスタ!$F$6:$F$405,$AP143)&lt;&gt;"",$AQ143&lt;&gt;"",INDEX(職員マスタ!$F$6:$F$405,$AP143)&lt;$AQ143),"対象月に子が2歳到達済／","")&amp;IF(AND($H143&lt;&gt;"",INDEX(職員マスタ!$B$6:$B$405,$AP143)&lt;&gt;"",SUBSTITUTE(SUBSTITUTE($H143," ","")," ","")&lt;&gt;SUBSTITUTE(SUBSTITUTE(INDEX(職員マスタ!$B$6:$B$405,$AP143)," ","")," ","")),"氏名がマスタと相違／","")&amp;IF(AND($Q143&lt;&gt;"",INDEX(職員マスタ!$E$6:$E$405,$AP143)&lt;&gt;"",$Q143&lt;&gt;INDEX(職員マスタ!$E$6:$E$405,$AP143)),"子の生年月日がマスタと相違／","")&amp;IF(AND($L143&lt;&gt;"",INDEX(職員マスタ!$G$6:$G$405,$AP143)&lt;&gt;"",$L143&lt;&gt;INDEX(職員マスタ!$G$6:$G$405,$AP143)),"時短開始日がマスタと相違／","")&amp;IF(AND($M143&lt;&gt;"",INDEX(職員マスタ!$H$6:$H$405,$AP143)&lt;&gt;"",$M143&lt;&gt;INDEX(職員マスタ!$H$6:$H$405,$AP143)),"時短終了日がマスタと相違／","")))&amp;IF(AND($B143&lt;&gt;"",$E143=""),"報酬額が未入力／","")&amp;IF(N($U143)&gt;0,"申請書に入力エラーが残っています／","")&amp;IF(AND($B143&lt;&gt;"",$AQ143&lt;&gt;""),IF(COUNTIFS($B$6:$B$3005,$B143,$C$6:$C$3005,$C143,$D$6:$D$3005,$D143)&gt;1,"同じ月の請求が重複しています／",""),"")&amp;IF(AND(N($E143)&gt;0,$AB143&lt;&gt;"",$AB143&lt;&gt;"×",$AE143=0,$AD143=""),"計算額が下限以下のため不支給／",""))</f>
        <v/>
      </c>
      <c r="AN143" s="12" t="n"/>
      <c r="AO143" s="14">
        <f>IF($AF143="保留中",COUNTIF($AF$6:$AF143,"保留中"),"")</f>
        <v/>
      </c>
      <c r="AP143" s="14">
        <f>IF($AQ143="","",IF(SUMPRODUCT(MAX((職員マスタ!$A$6:$A$405=$B143)*(((職員マスタ!$G$6:$G$405="")+(職員マスタ!$G$6:$G$405&lt;=EOMONTH($AQ143,0)))&gt;0)*(((職員マスタ!$H$6:$H$405="")+(職員マスタ!$H$6:$H$405&gt;=$AQ143))&gt;0)*(ROW(職員マスタ!$A$6:$A$405)-5)))&gt;0,SUMPRODUCT(MAX((職員マスタ!$A$6:$A$405=$B143)*(((職員マスタ!$G$6:$G$405="")+(職員マスタ!$G$6:$G$405&lt;=EOMONTH($AQ143,0)))&gt;0)*(((職員マスタ!$H$6:$H$405="")+(職員マスタ!$H$6:$H$405&gt;=$AQ143))&gt;0)*(ROW(職員マスタ!$A$6:$A$405)-5))),IFERROR(MATCH($B143,職員マスタ!$A$6:$A$405,0),"")))</f>
        <v/>
      </c>
      <c r="AQ143" s="16">
        <f>IF(OR($B143="",$C143="",$D143=""),"",DATE($C143+2018,$D143,1))</f>
        <v/>
      </c>
    </row>
    <row r="144">
      <c r="A144" s="11" t="n"/>
      <c r="B144" s="12" t="n">
        <v>6201776</v>
      </c>
      <c r="C144" s="12" t="n">
        <v>7</v>
      </c>
      <c r="D144" s="12" t="n">
        <v>9</v>
      </c>
      <c r="E144" s="13" t="n">
        <v>202131</v>
      </c>
      <c r="F144" s="12" t="n"/>
      <c r="G144" s="13" t="n"/>
      <c r="H144" s="12" t="n"/>
      <c r="I144" s="12" t="n"/>
      <c r="J144" s="12" t="n"/>
      <c r="K144" s="12" t="n"/>
      <c r="L144" s="11" t="n"/>
      <c r="M144" s="11" t="n"/>
      <c r="N144" s="11" t="n"/>
      <c r="O144" s="11" t="n"/>
      <c r="P144" s="12" t="n"/>
      <c r="Q144" s="11" t="n"/>
      <c r="R144" s="12" t="n"/>
      <c r="S144" s="11" t="n"/>
      <c r="T144" s="12" t="n"/>
      <c r="U144" s="12" t="n"/>
      <c r="V144" s="12" t="n"/>
      <c r="W144" s="13" t="n"/>
      <c r="X144" s="14">
        <f>IF($AP144="",IF($B144="","",$H144),IF(INDEX(職員マスタ!$B$6:$B$405,$AP144)="",$H144,INDEX(職員マスタ!$B$6:$B$405,$AP144)))</f>
        <v/>
      </c>
      <c r="Y144" s="14">
        <f>IF($AP144="",IF($B144="","",$R144),IF(INDEX(職員マスタ!$C$6:$C$405,$AP144)="",$R144,INDEX(職員マスタ!$C$6:$C$405,$AP144)))</f>
        <v/>
      </c>
      <c r="Z144" s="14">
        <f>IF($AQ144="","","R"&amp;$C144&amp;"."&amp;$D144)</f>
        <v/>
      </c>
      <c r="AA144" s="15">
        <f>IF(IF($AP144="",FALSE,INDEX(職員マスタ!$K$6:$K$405,$AP144)&lt;&gt;""),INDEX(職員マスタ!$K$6:$K$405,$AP144),IF(N($W144)&gt;0,$W144,""))</f>
        <v/>
      </c>
      <c r="AB144" s="14">
        <f>IF(OR($E144="",$AA144=""),"",IF($E144&gt;=$AA144,"×",IF($E144&gt;=$AA144*設定!$C$5,"△","○")))</f>
        <v/>
      </c>
      <c r="AC144" s="15">
        <f>IF($AB144="","",IF($AB144="×",0,IF($AB144="○",ROUNDDOWN($E144*設定!$C$4,0),ROUNDDOWN($E144*ROUND((9*$AA144-9*$E144)/(10*$E144),4),0))))</f>
        <v/>
      </c>
      <c r="AD144" s="13" t="n"/>
      <c r="AE144" s="15">
        <f>IF($B144="","",IF($AD144&lt;&gt;"",$AD144,IF($AC144="","",IF($AC144&lt;=設定!$C$3,0,$AC144))))</f>
        <v/>
      </c>
      <c r="AF144" s="14">
        <f>IF($B144="","",IF(AND($AG144&lt;&gt;"",$AI144="",$AL144=""),"保留中",IF($AL144&lt;&gt;"",IF(N($AE144)&gt;0,"支給済","不支給"),IF($AE144="","要確認",IF($AE144=0,"不支給","未処理")))))</f>
        <v/>
      </c>
      <c r="AG144" s="12" t="n"/>
      <c r="AH144" s="11" t="n"/>
      <c r="AI144" s="11" t="n"/>
      <c r="AJ144" s="11" t="n"/>
      <c r="AK144" s="14">
        <f>IF(AND($AF144="保留中",$AH144&lt;&gt;""),TODAY()-$AH144,"")</f>
        <v/>
      </c>
      <c r="AL144" s="12" t="inlineStr">
        <is>
          <t>R7.12</t>
        </is>
      </c>
      <c r="AM144" s="14">
        <f>IF($B144="","",IF($AQ144="","対象年月が未入力／","")&amp;IF($B144="","",IF($AP144="","職員マスタに未登録の職員番号／",IF($AA144="","標準報酬月額が未登録／","")&amp;IF(AND($AQ144&lt;&gt;"",OR(AND(INDEX(職員マスタ!$G$6:$G$405,$AP144)&lt;&gt;"",INDEX(職員マスタ!$G$6:$G$405,$AP144)&gt;EOMONTH($AQ144,0)),AND(INDEX(職員マスタ!$H$6:$H$405,$AP144)&lt;&gt;"",INDEX(職員マスタ!$H$6:$H$405,$AP144)&lt;$AQ144))),"対象月が時短期間外／","")&amp;IF(AND(INDEX(職員マスタ!$K$6:$K$405,$AP144)&lt;&gt;"",N($W144)&gt;0,INDEX(職員マスタ!$K$6:$K$405,$AP144)&lt;&gt;$W144),"標準報酬月額が申請書と相違（台帳"&amp;TEXT(INDEX(職員マスタ!$K$6:$K$405,$AP144),"#,##0")&amp;"円／申請書"&amp;TEXT($W144,"#,##0")&amp;"円）／","")&amp;IF(AND(INDEX(職員マスタ!$F$6:$F$405,$AP144)&lt;&gt;"",$AQ144&lt;&gt;"",INDEX(職員マスタ!$F$6:$F$405,$AP144)&lt;$AQ144),"対象月に子が2歳到達済／","")&amp;IF(AND($H144&lt;&gt;"",INDEX(職員マスタ!$B$6:$B$405,$AP144)&lt;&gt;"",SUBSTITUTE(SUBSTITUTE($H144," ","")," ","")&lt;&gt;SUBSTITUTE(SUBSTITUTE(INDEX(職員マスタ!$B$6:$B$405,$AP144)," ","")," ","")),"氏名がマスタと相違／","")&amp;IF(AND($Q144&lt;&gt;"",INDEX(職員マスタ!$E$6:$E$405,$AP144)&lt;&gt;"",$Q144&lt;&gt;INDEX(職員マスタ!$E$6:$E$405,$AP144)),"子の生年月日がマスタと相違／","")&amp;IF(AND($L144&lt;&gt;"",INDEX(職員マスタ!$G$6:$G$405,$AP144)&lt;&gt;"",$L144&lt;&gt;INDEX(職員マスタ!$G$6:$G$405,$AP144)),"時短開始日がマスタと相違／","")&amp;IF(AND($M144&lt;&gt;"",INDEX(職員マスタ!$H$6:$H$405,$AP144)&lt;&gt;"",$M144&lt;&gt;INDEX(職員マスタ!$H$6:$H$405,$AP144)),"時短終了日がマスタと相違／","")))&amp;IF(AND($B144&lt;&gt;"",$E144=""),"報酬額が未入力／","")&amp;IF(N($U144)&gt;0,"申請書に入力エラーが残っています／","")&amp;IF(AND($B144&lt;&gt;"",$AQ144&lt;&gt;""),IF(COUNTIFS($B$6:$B$3005,$B144,$C$6:$C$3005,$C144,$D$6:$D$3005,$D144)&gt;1,"同じ月の請求が重複しています／",""),"")&amp;IF(AND(N($E144)&gt;0,$AB144&lt;&gt;"",$AB144&lt;&gt;"×",$AE144=0,$AD144=""),"計算額が下限以下のため不支給／",""))</f>
        <v/>
      </c>
      <c r="AN144" s="12" t="n"/>
      <c r="AO144" s="14">
        <f>IF($AF144="保留中",COUNTIF($AF$6:$AF144,"保留中"),"")</f>
        <v/>
      </c>
      <c r="AP144" s="14">
        <f>IF($AQ144="","",IF(SUMPRODUCT(MAX((職員マスタ!$A$6:$A$405=$B144)*(((職員マスタ!$G$6:$G$405="")+(職員マスタ!$G$6:$G$405&lt;=EOMONTH($AQ144,0)))&gt;0)*(((職員マスタ!$H$6:$H$405="")+(職員マスタ!$H$6:$H$405&gt;=$AQ144))&gt;0)*(ROW(職員マスタ!$A$6:$A$405)-5)))&gt;0,SUMPRODUCT(MAX((職員マスタ!$A$6:$A$405=$B144)*(((職員マスタ!$G$6:$G$405="")+(職員マスタ!$G$6:$G$405&lt;=EOMONTH($AQ144,0)))&gt;0)*(((職員マスタ!$H$6:$H$405="")+(職員マスタ!$H$6:$H$405&gt;=$AQ144))&gt;0)*(ROW(職員マスタ!$A$6:$A$405)-5))),IFERROR(MATCH($B144,職員マスタ!$A$6:$A$405,0),"")))</f>
        <v/>
      </c>
      <c r="AQ144" s="16">
        <f>IF(OR($B144="",$C144="",$D144=""),"",DATE($C144+2018,$D144,1))</f>
        <v/>
      </c>
    </row>
    <row r="145">
      <c r="A145" s="11" t="n"/>
      <c r="B145" s="12" t="n">
        <v>6301386</v>
      </c>
      <c r="C145" s="12" t="n">
        <v>7</v>
      </c>
      <c r="D145" s="12" t="n">
        <v>4</v>
      </c>
      <c r="E145" s="13" t="n">
        <v>115219</v>
      </c>
      <c r="F145" s="12" t="n"/>
      <c r="G145" s="13" t="n"/>
      <c r="H145" s="12" t="n"/>
      <c r="I145" s="12" t="n"/>
      <c r="J145" s="12" t="n"/>
      <c r="K145" s="12" t="n"/>
      <c r="L145" s="11" t="n"/>
      <c r="M145" s="11" t="n"/>
      <c r="N145" s="11" t="n"/>
      <c r="O145" s="11" t="n"/>
      <c r="P145" s="12" t="n"/>
      <c r="Q145" s="11" t="n"/>
      <c r="R145" s="12" t="n"/>
      <c r="S145" s="11" t="n"/>
      <c r="T145" s="12" t="n"/>
      <c r="U145" s="12" t="n"/>
      <c r="V145" s="12" t="n"/>
      <c r="W145" s="13" t="n"/>
      <c r="X145" s="14">
        <f>IF($AP145="",IF($B145="","",$H145),IF(INDEX(職員マスタ!$B$6:$B$405,$AP145)="",$H145,INDEX(職員マスタ!$B$6:$B$405,$AP145)))</f>
        <v/>
      </c>
      <c r="Y145" s="14">
        <f>IF($AP145="",IF($B145="","",$R145),IF(INDEX(職員マスタ!$C$6:$C$405,$AP145)="",$R145,INDEX(職員マスタ!$C$6:$C$405,$AP145)))</f>
        <v/>
      </c>
      <c r="Z145" s="14">
        <f>IF($AQ145="","","R"&amp;$C145&amp;"."&amp;$D145)</f>
        <v/>
      </c>
      <c r="AA145" s="15">
        <f>IF(IF($AP145="",FALSE,INDEX(職員マスタ!$K$6:$K$405,$AP145)&lt;&gt;""),INDEX(職員マスタ!$K$6:$K$405,$AP145),IF(N($W145)&gt;0,$W145,""))</f>
        <v/>
      </c>
      <c r="AB145" s="14">
        <f>IF(OR($E145="",$AA145=""),"",IF($E145&gt;=$AA145,"×",IF($E145&gt;=$AA145*設定!$C$5,"△","○")))</f>
        <v/>
      </c>
      <c r="AC145" s="15">
        <f>IF($AB145="","",IF($AB145="×",0,IF($AB145="○",ROUNDDOWN($E145*設定!$C$4,0),ROUNDDOWN($E145*ROUND((9*$AA145-9*$E145)/(10*$E145),4),0))))</f>
        <v/>
      </c>
      <c r="AD145" s="13" t="n"/>
      <c r="AE145" s="15">
        <f>IF($B145="","",IF($AD145&lt;&gt;"",$AD145,IF($AC145="","",IF($AC145&lt;=設定!$C$3,0,$AC145))))</f>
        <v/>
      </c>
      <c r="AF145" s="14">
        <f>IF($B145="","",IF(AND($AG145&lt;&gt;"",$AI145="",$AL145=""),"保留中",IF($AL145&lt;&gt;"",IF(N($AE145)&gt;0,"支給済","不支給"),IF($AE145="","要確認",IF($AE145=0,"不支給","未処理")))))</f>
        <v/>
      </c>
      <c r="AG145" s="12" t="n"/>
      <c r="AH145" s="11" t="n"/>
      <c r="AI145" s="11" t="n"/>
      <c r="AJ145" s="11" t="n"/>
      <c r="AK145" s="14">
        <f>IF(AND($AF145="保留中",$AH145&lt;&gt;""),TODAY()-$AH145,"")</f>
        <v/>
      </c>
      <c r="AL145" s="12" t="inlineStr">
        <is>
          <t>R7.9</t>
        </is>
      </c>
      <c r="AM145" s="14">
        <f>IF($B145="","",IF($AQ145="","対象年月が未入力／","")&amp;IF($B145="","",IF($AP145="","職員マスタに未登録の職員番号／",IF($AA145="","標準報酬月額が未登録／","")&amp;IF(AND($AQ145&lt;&gt;"",OR(AND(INDEX(職員マスタ!$G$6:$G$405,$AP145)&lt;&gt;"",INDEX(職員マスタ!$G$6:$G$405,$AP145)&gt;EOMONTH($AQ145,0)),AND(INDEX(職員マスタ!$H$6:$H$405,$AP145)&lt;&gt;"",INDEX(職員マスタ!$H$6:$H$405,$AP145)&lt;$AQ145))),"対象月が時短期間外／","")&amp;IF(AND(INDEX(職員マスタ!$K$6:$K$405,$AP145)&lt;&gt;"",N($W145)&gt;0,INDEX(職員マスタ!$K$6:$K$405,$AP145)&lt;&gt;$W145),"標準報酬月額が申請書と相違（台帳"&amp;TEXT(INDEX(職員マスタ!$K$6:$K$405,$AP145),"#,##0")&amp;"円／申請書"&amp;TEXT($W145,"#,##0")&amp;"円）／","")&amp;IF(AND(INDEX(職員マスタ!$F$6:$F$405,$AP145)&lt;&gt;"",$AQ145&lt;&gt;"",INDEX(職員マスタ!$F$6:$F$405,$AP145)&lt;$AQ145),"対象月に子が2歳到達済／","")&amp;IF(AND($H145&lt;&gt;"",INDEX(職員マスタ!$B$6:$B$405,$AP145)&lt;&gt;"",SUBSTITUTE(SUBSTITUTE($H145," ","")," ","")&lt;&gt;SUBSTITUTE(SUBSTITUTE(INDEX(職員マスタ!$B$6:$B$405,$AP145)," ","")," ","")),"氏名がマスタと相違／","")&amp;IF(AND($Q145&lt;&gt;"",INDEX(職員マスタ!$E$6:$E$405,$AP145)&lt;&gt;"",$Q145&lt;&gt;INDEX(職員マスタ!$E$6:$E$405,$AP145)),"子の生年月日がマスタと相違／","")&amp;IF(AND($L145&lt;&gt;"",INDEX(職員マスタ!$G$6:$G$405,$AP145)&lt;&gt;"",$L145&lt;&gt;INDEX(職員マスタ!$G$6:$G$405,$AP145)),"時短開始日がマスタと相違／","")&amp;IF(AND($M145&lt;&gt;"",INDEX(職員マスタ!$H$6:$H$405,$AP145)&lt;&gt;"",$M145&lt;&gt;INDEX(職員マスタ!$H$6:$H$405,$AP145)),"時短終了日がマスタと相違／","")))&amp;IF(AND($B145&lt;&gt;"",$E145=""),"報酬額が未入力／","")&amp;IF(N($U145)&gt;0,"申請書に入力エラーが残っています／","")&amp;IF(AND($B145&lt;&gt;"",$AQ145&lt;&gt;""),IF(COUNTIFS($B$6:$B$3005,$B145,$C$6:$C$3005,$C145,$D$6:$D$3005,$D145)&gt;1,"同じ月の請求が重複しています／",""),"")&amp;IF(AND(N($E145)&gt;0,$AB145&lt;&gt;"",$AB145&lt;&gt;"×",$AE145=0,$AD145=""),"計算額が下限以下のため不支給／",""))</f>
        <v/>
      </c>
      <c r="AN145" s="12" t="n"/>
      <c r="AO145" s="14">
        <f>IF($AF145="保留中",COUNTIF($AF$6:$AF145,"保留中"),"")</f>
        <v/>
      </c>
      <c r="AP145" s="14">
        <f>IF($AQ145="","",IF(SUMPRODUCT(MAX((職員マスタ!$A$6:$A$405=$B145)*(((職員マスタ!$G$6:$G$405="")+(職員マスタ!$G$6:$G$405&lt;=EOMONTH($AQ145,0)))&gt;0)*(((職員マスタ!$H$6:$H$405="")+(職員マスタ!$H$6:$H$405&gt;=$AQ145))&gt;0)*(ROW(職員マスタ!$A$6:$A$405)-5)))&gt;0,SUMPRODUCT(MAX((職員マスタ!$A$6:$A$405=$B145)*(((職員マスタ!$G$6:$G$405="")+(職員マスタ!$G$6:$G$405&lt;=EOMONTH($AQ145,0)))&gt;0)*(((職員マスタ!$H$6:$H$405="")+(職員マスタ!$H$6:$H$405&gt;=$AQ145))&gt;0)*(ROW(職員マスタ!$A$6:$A$405)-5))),IFERROR(MATCH($B145,職員マスタ!$A$6:$A$405,0),"")))</f>
        <v/>
      </c>
      <c r="AQ145" s="16">
        <f>IF(OR($B145="",$C145="",$D145=""),"",DATE($C145+2018,$D145,1))</f>
        <v/>
      </c>
    </row>
    <row r="146">
      <c r="A146" s="11" t="n"/>
      <c r="B146" s="12" t="n">
        <v>6301386</v>
      </c>
      <c r="C146" s="12" t="n">
        <v>7</v>
      </c>
      <c r="D146" s="12" t="n">
        <v>5</v>
      </c>
      <c r="E146" s="13" t="n">
        <v>203070</v>
      </c>
      <c r="F146" s="12" t="n"/>
      <c r="G146" s="13" t="n"/>
      <c r="H146" s="12" t="n"/>
      <c r="I146" s="12" t="n"/>
      <c r="J146" s="12" t="n"/>
      <c r="K146" s="12" t="n"/>
      <c r="L146" s="11" t="n"/>
      <c r="M146" s="11" t="n"/>
      <c r="N146" s="11" t="n"/>
      <c r="O146" s="11" t="n"/>
      <c r="P146" s="12" t="n"/>
      <c r="Q146" s="11" t="n"/>
      <c r="R146" s="12" t="n"/>
      <c r="S146" s="11" t="n"/>
      <c r="T146" s="12" t="n"/>
      <c r="U146" s="12" t="n"/>
      <c r="V146" s="12" t="n"/>
      <c r="W146" s="13" t="n"/>
      <c r="X146" s="14">
        <f>IF($AP146="",IF($B146="","",$H146),IF(INDEX(職員マスタ!$B$6:$B$405,$AP146)="",$H146,INDEX(職員マスタ!$B$6:$B$405,$AP146)))</f>
        <v/>
      </c>
      <c r="Y146" s="14">
        <f>IF($AP146="",IF($B146="","",$R146),IF(INDEX(職員マスタ!$C$6:$C$405,$AP146)="",$R146,INDEX(職員マスタ!$C$6:$C$405,$AP146)))</f>
        <v/>
      </c>
      <c r="Z146" s="14">
        <f>IF($AQ146="","","R"&amp;$C146&amp;"."&amp;$D146)</f>
        <v/>
      </c>
      <c r="AA146" s="15">
        <f>IF(IF($AP146="",FALSE,INDEX(職員マスタ!$K$6:$K$405,$AP146)&lt;&gt;""),INDEX(職員マスタ!$K$6:$K$405,$AP146),IF(N($W146)&gt;0,$W146,""))</f>
        <v/>
      </c>
      <c r="AB146" s="14">
        <f>IF(OR($E146="",$AA146=""),"",IF($E146&gt;=$AA146,"×",IF($E146&gt;=$AA146*設定!$C$5,"△","○")))</f>
        <v/>
      </c>
      <c r="AC146" s="15">
        <f>IF($AB146="","",IF($AB146="×",0,IF($AB146="○",ROUNDDOWN($E146*設定!$C$4,0),ROUNDDOWN($E146*ROUND((9*$AA146-9*$E146)/(10*$E146),4),0))))</f>
        <v/>
      </c>
      <c r="AD146" s="13" t="n"/>
      <c r="AE146" s="15">
        <f>IF($B146="","",IF($AD146&lt;&gt;"",$AD146,IF($AC146="","",IF($AC146&lt;=設定!$C$3,0,$AC146))))</f>
        <v/>
      </c>
      <c r="AF146" s="14">
        <f>IF($B146="","",IF(AND($AG146&lt;&gt;"",$AI146="",$AL146=""),"保留中",IF($AL146&lt;&gt;"",IF(N($AE146)&gt;0,"支給済","不支給"),IF($AE146="","要確認",IF($AE146=0,"不支給","未処理")))))</f>
        <v/>
      </c>
      <c r="AG146" s="12" t="n"/>
      <c r="AH146" s="11" t="n"/>
      <c r="AI146" s="11" t="n"/>
      <c r="AJ146" s="11" t="n"/>
      <c r="AK146" s="14">
        <f>IF(AND($AF146="保留中",$AH146&lt;&gt;""),TODAY()-$AH146,"")</f>
        <v/>
      </c>
      <c r="AL146" s="12" t="inlineStr">
        <is>
          <t>R7.9</t>
        </is>
      </c>
      <c r="AM146" s="14">
        <f>IF($B146="","",IF($AQ146="","対象年月が未入力／","")&amp;IF($B146="","",IF($AP146="","職員マスタに未登録の職員番号／",IF($AA146="","標準報酬月額が未登録／","")&amp;IF(AND($AQ146&lt;&gt;"",OR(AND(INDEX(職員マスタ!$G$6:$G$405,$AP146)&lt;&gt;"",INDEX(職員マスタ!$G$6:$G$405,$AP146)&gt;EOMONTH($AQ146,0)),AND(INDEX(職員マスタ!$H$6:$H$405,$AP146)&lt;&gt;"",INDEX(職員マスタ!$H$6:$H$405,$AP146)&lt;$AQ146))),"対象月が時短期間外／","")&amp;IF(AND(INDEX(職員マスタ!$K$6:$K$405,$AP146)&lt;&gt;"",N($W146)&gt;0,INDEX(職員マスタ!$K$6:$K$405,$AP146)&lt;&gt;$W146),"標準報酬月額が申請書と相違（台帳"&amp;TEXT(INDEX(職員マスタ!$K$6:$K$405,$AP146),"#,##0")&amp;"円／申請書"&amp;TEXT($W146,"#,##0")&amp;"円）／","")&amp;IF(AND(INDEX(職員マスタ!$F$6:$F$405,$AP146)&lt;&gt;"",$AQ146&lt;&gt;"",INDEX(職員マスタ!$F$6:$F$405,$AP146)&lt;$AQ146),"対象月に子が2歳到達済／","")&amp;IF(AND($H146&lt;&gt;"",INDEX(職員マスタ!$B$6:$B$405,$AP146)&lt;&gt;"",SUBSTITUTE(SUBSTITUTE($H146," ","")," ","")&lt;&gt;SUBSTITUTE(SUBSTITUTE(INDEX(職員マスタ!$B$6:$B$405,$AP146)," ","")," ","")),"氏名がマスタと相違／","")&amp;IF(AND($Q146&lt;&gt;"",INDEX(職員マスタ!$E$6:$E$405,$AP146)&lt;&gt;"",$Q146&lt;&gt;INDEX(職員マスタ!$E$6:$E$405,$AP146)),"子の生年月日がマスタと相違／","")&amp;IF(AND($L146&lt;&gt;"",INDEX(職員マスタ!$G$6:$G$405,$AP146)&lt;&gt;"",$L146&lt;&gt;INDEX(職員マスタ!$G$6:$G$405,$AP146)),"時短開始日がマスタと相違／","")&amp;IF(AND($M146&lt;&gt;"",INDEX(職員マスタ!$H$6:$H$405,$AP146)&lt;&gt;"",$M146&lt;&gt;INDEX(職員マスタ!$H$6:$H$405,$AP146)),"時短終了日がマスタと相違／","")))&amp;IF(AND($B146&lt;&gt;"",$E146=""),"報酬額が未入力／","")&amp;IF(N($U146)&gt;0,"申請書に入力エラーが残っています／","")&amp;IF(AND($B146&lt;&gt;"",$AQ146&lt;&gt;""),IF(COUNTIFS($B$6:$B$3005,$B146,$C$6:$C$3005,$C146,$D$6:$D$3005,$D146)&gt;1,"同じ月の請求が重複しています／",""),"")&amp;IF(AND(N($E146)&gt;0,$AB146&lt;&gt;"",$AB146&lt;&gt;"×",$AE146=0,$AD146=""),"計算額が下限以下のため不支給／",""))</f>
        <v/>
      </c>
      <c r="AN146" s="12" t="n"/>
      <c r="AO146" s="14">
        <f>IF($AF146="保留中",COUNTIF($AF$6:$AF146,"保留中"),"")</f>
        <v/>
      </c>
      <c r="AP146" s="14">
        <f>IF($AQ146="","",IF(SUMPRODUCT(MAX((職員マスタ!$A$6:$A$405=$B146)*(((職員マスタ!$G$6:$G$405="")+(職員マスタ!$G$6:$G$405&lt;=EOMONTH($AQ146,0)))&gt;0)*(((職員マスタ!$H$6:$H$405="")+(職員マスタ!$H$6:$H$405&gt;=$AQ146))&gt;0)*(ROW(職員マスタ!$A$6:$A$405)-5)))&gt;0,SUMPRODUCT(MAX((職員マスタ!$A$6:$A$405=$B146)*(((職員マスタ!$G$6:$G$405="")+(職員マスタ!$G$6:$G$405&lt;=EOMONTH($AQ146,0)))&gt;0)*(((職員マスタ!$H$6:$H$405="")+(職員マスタ!$H$6:$H$405&gt;=$AQ146))&gt;0)*(ROW(職員マスタ!$A$6:$A$405)-5))),IFERROR(MATCH($B146,職員マスタ!$A$6:$A$405,0),"")))</f>
        <v/>
      </c>
      <c r="AQ146" s="16">
        <f>IF(OR($B146="",$C146="",$D146=""),"",DATE($C146+2018,$D146,1))</f>
        <v/>
      </c>
    </row>
    <row r="147">
      <c r="A147" s="11" t="n"/>
      <c r="B147" s="12" t="n">
        <v>6301386</v>
      </c>
      <c r="C147" s="12" t="n">
        <v>7</v>
      </c>
      <c r="D147" s="12" t="n">
        <v>6</v>
      </c>
      <c r="E147" s="13" t="n">
        <v>203070</v>
      </c>
      <c r="F147" s="12" t="n"/>
      <c r="G147" s="13" t="n"/>
      <c r="H147" s="12" t="n"/>
      <c r="I147" s="12" t="n"/>
      <c r="J147" s="12" t="n"/>
      <c r="K147" s="12" t="n"/>
      <c r="L147" s="11" t="n"/>
      <c r="M147" s="11" t="n"/>
      <c r="N147" s="11" t="n"/>
      <c r="O147" s="11" t="n"/>
      <c r="P147" s="12" t="n"/>
      <c r="Q147" s="11" t="n"/>
      <c r="R147" s="12" t="n"/>
      <c r="S147" s="11" t="n"/>
      <c r="T147" s="12" t="n"/>
      <c r="U147" s="12" t="n"/>
      <c r="V147" s="12" t="n"/>
      <c r="W147" s="13" t="n"/>
      <c r="X147" s="14">
        <f>IF($AP147="",IF($B147="","",$H147),IF(INDEX(職員マスタ!$B$6:$B$405,$AP147)="",$H147,INDEX(職員マスタ!$B$6:$B$405,$AP147)))</f>
        <v/>
      </c>
      <c r="Y147" s="14">
        <f>IF($AP147="",IF($B147="","",$R147),IF(INDEX(職員マスタ!$C$6:$C$405,$AP147)="",$R147,INDEX(職員マスタ!$C$6:$C$405,$AP147)))</f>
        <v/>
      </c>
      <c r="Z147" s="14">
        <f>IF($AQ147="","","R"&amp;$C147&amp;"."&amp;$D147)</f>
        <v/>
      </c>
      <c r="AA147" s="15">
        <f>IF(IF($AP147="",FALSE,INDEX(職員マスタ!$K$6:$K$405,$AP147)&lt;&gt;""),INDEX(職員マスタ!$K$6:$K$405,$AP147),IF(N($W147)&gt;0,$W147,""))</f>
        <v/>
      </c>
      <c r="AB147" s="14">
        <f>IF(OR($E147="",$AA147=""),"",IF($E147&gt;=$AA147,"×",IF($E147&gt;=$AA147*設定!$C$5,"△","○")))</f>
        <v/>
      </c>
      <c r="AC147" s="15">
        <f>IF($AB147="","",IF($AB147="×",0,IF($AB147="○",ROUNDDOWN($E147*設定!$C$4,0),ROUNDDOWN($E147*ROUND((9*$AA147-9*$E147)/(10*$E147),4),0))))</f>
        <v/>
      </c>
      <c r="AD147" s="13" t="n"/>
      <c r="AE147" s="15">
        <f>IF($B147="","",IF($AD147&lt;&gt;"",$AD147,IF($AC147="","",IF($AC147&lt;=設定!$C$3,0,$AC147))))</f>
        <v/>
      </c>
      <c r="AF147" s="14">
        <f>IF($B147="","",IF(AND($AG147&lt;&gt;"",$AI147="",$AL147=""),"保留中",IF($AL147&lt;&gt;"",IF(N($AE147)&gt;0,"支給済","不支給"),IF($AE147="","要確認",IF($AE147=0,"不支給","未処理")))))</f>
        <v/>
      </c>
      <c r="AG147" s="12" t="n"/>
      <c r="AH147" s="11" t="n"/>
      <c r="AI147" s="11" t="n"/>
      <c r="AJ147" s="11" t="n"/>
      <c r="AK147" s="14">
        <f>IF(AND($AF147="保留中",$AH147&lt;&gt;""),TODAY()-$AH147,"")</f>
        <v/>
      </c>
      <c r="AL147" s="12" t="inlineStr">
        <is>
          <t>R7.9</t>
        </is>
      </c>
      <c r="AM147" s="14">
        <f>IF($B147="","",IF($AQ147="","対象年月が未入力／","")&amp;IF($B147="","",IF($AP147="","職員マスタに未登録の職員番号／",IF($AA147="","標準報酬月額が未登録／","")&amp;IF(AND($AQ147&lt;&gt;"",OR(AND(INDEX(職員マスタ!$G$6:$G$405,$AP147)&lt;&gt;"",INDEX(職員マスタ!$G$6:$G$405,$AP147)&gt;EOMONTH($AQ147,0)),AND(INDEX(職員マスタ!$H$6:$H$405,$AP147)&lt;&gt;"",INDEX(職員マスタ!$H$6:$H$405,$AP147)&lt;$AQ147))),"対象月が時短期間外／","")&amp;IF(AND(INDEX(職員マスタ!$K$6:$K$405,$AP147)&lt;&gt;"",N($W147)&gt;0,INDEX(職員マスタ!$K$6:$K$405,$AP147)&lt;&gt;$W147),"標準報酬月額が申請書と相違（台帳"&amp;TEXT(INDEX(職員マスタ!$K$6:$K$405,$AP147),"#,##0")&amp;"円／申請書"&amp;TEXT($W147,"#,##0")&amp;"円）／","")&amp;IF(AND(INDEX(職員マスタ!$F$6:$F$405,$AP147)&lt;&gt;"",$AQ147&lt;&gt;"",INDEX(職員マスタ!$F$6:$F$405,$AP147)&lt;$AQ147),"対象月に子が2歳到達済／","")&amp;IF(AND($H147&lt;&gt;"",INDEX(職員マスタ!$B$6:$B$405,$AP147)&lt;&gt;"",SUBSTITUTE(SUBSTITUTE($H147," ","")," ","")&lt;&gt;SUBSTITUTE(SUBSTITUTE(INDEX(職員マスタ!$B$6:$B$405,$AP147)," ","")," ","")),"氏名がマスタと相違／","")&amp;IF(AND($Q147&lt;&gt;"",INDEX(職員マスタ!$E$6:$E$405,$AP147)&lt;&gt;"",$Q147&lt;&gt;INDEX(職員マスタ!$E$6:$E$405,$AP147)),"子の生年月日がマスタと相違／","")&amp;IF(AND($L147&lt;&gt;"",INDEX(職員マスタ!$G$6:$G$405,$AP147)&lt;&gt;"",$L147&lt;&gt;INDEX(職員マスタ!$G$6:$G$405,$AP147)),"時短開始日がマスタと相違／","")&amp;IF(AND($M147&lt;&gt;"",INDEX(職員マスタ!$H$6:$H$405,$AP147)&lt;&gt;"",$M147&lt;&gt;INDEX(職員マスタ!$H$6:$H$405,$AP147)),"時短終了日がマスタと相違／","")))&amp;IF(AND($B147&lt;&gt;"",$E147=""),"報酬額が未入力／","")&amp;IF(N($U147)&gt;0,"申請書に入力エラーが残っています／","")&amp;IF(AND($B147&lt;&gt;"",$AQ147&lt;&gt;""),IF(COUNTIFS($B$6:$B$3005,$B147,$C$6:$C$3005,$C147,$D$6:$D$3005,$D147)&gt;1,"同じ月の請求が重複しています／",""),"")&amp;IF(AND(N($E147)&gt;0,$AB147&lt;&gt;"",$AB147&lt;&gt;"×",$AE147=0,$AD147=""),"計算額が下限以下のため不支給／",""))</f>
        <v/>
      </c>
      <c r="AN147" s="12" t="n"/>
      <c r="AO147" s="14">
        <f>IF($AF147="保留中",COUNTIF($AF$6:$AF147,"保留中"),"")</f>
        <v/>
      </c>
      <c r="AP147" s="14">
        <f>IF($AQ147="","",IF(SUMPRODUCT(MAX((職員マスタ!$A$6:$A$405=$B147)*(((職員マスタ!$G$6:$G$405="")+(職員マスタ!$G$6:$G$405&lt;=EOMONTH($AQ147,0)))&gt;0)*(((職員マスタ!$H$6:$H$405="")+(職員マスタ!$H$6:$H$405&gt;=$AQ147))&gt;0)*(ROW(職員マスタ!$A$6:$A$405)-5)))&gt;0,SUMPRODUCT(MAX((職員マスタ!$A$6:$A$405=$B147)*(((職員マスタ!$G$6:$G$405="")+(職員マスタ!$G$6:$G$405&lt;=EOMONTH($AQ147,0)))&gt;0)*(((職員マスタ!$H$6:$H$405="")+(職員マスタ!$H$6:$H$405&gt;=$AQ147))&gt;0)*(ROW(職員マスタ!$A$6:$A$405)-5))),IFERROR(MATCH($B147,職員マスタ!$A$6:$A$405,0),"")))</f>
        <v/>
      </c>
      <c r="AQ147" s="16">
        <f>IF(OR($B147="",$C147="",$D147=""),"",DATE($C147+2018,$D147,1))</f>
        <v/>
      </c>
    </row>
    <row r="148">
      <c r="A148" s="11" t="n"/>
      <c r="B148" s="12" t="n">
        <v>6301386</v>
      </c>
      <c r="C148" s="12" t="n">
        <v>7</v>
      </c>
      <c r="D148" s="12" t="n">
        <v>7</v>
      </c>
      <c r="E148" s="13" t="n">
        <v>205079</v>
      </c>
      <c r="F148" s="12" t="n"/>
      <c r="G148" s="13" t="n"/>
      <c r="H148" s="12" t="n"/>
      <c r="I148" s="12" t="n"/>
      <c r="J148" s="12" t="n"/>
      <c r="K148" s="12" t="n"/>
      <c r="L148" s="11" t="n"/>
      <c r="M148" s="11" t="n"/>
      <c r="N148" s="11" t="n"/>
      <c r="O148" s="11" t="n"/>
      <c r="P148" s="12" t="n"/>
      <c r="Q148" s="11" t="n"/>
      <c r="R148" s="12" t="n"/>
      <c r="S148" s="11" t="n"/>
      <c r="T148" s="12" t="n"/>
      <c r="U148" s="12" t="n"/>
      <c r="V148" s="12" t="n"/>
      <c r="W148" s="13" t="n"/>
      <c r="X148" s="14">
        <f>IF($AP148="",IF($B148="","",$H148),IF(INDEX(職員マスタ!$B$6:$B$405,$AP148)="",$H148,INDEX(職員マスタ!$B$6:$B$405,$AP148)))</f>
        <v/>
      </c>
      <c r="Y148" s="14">
        <f>IF($AP148="",IF($B148="","",$R148),IF(INDEX(職員マスタ!$C$6:$C$405,$AP148)="",$R148,INDEX(職員マスタ!$C$6:$C$405,$AP148)))</f>
        <v/>
      </c>
      <c r="Z148" s="14">
        <f>IF($AQ148="","","R"&amp;$C148&amp;"."&amp;$D148)</f>
        <v/>
      </c>
      <c r="AA148" s="15">
        <f>IF(IF($AP148="",FALSE,INDEX(職員マスタ!$K$6:$K$405,$AP148)&lt;&gt;""),INDEX(職員マスタ!$K$6:$K$405,$AP148),IF(N($W148)&gt;0,$W148,""))</f>
        <v/>
      </c>
      <c r="AB148" s="14">
        <f>IF(OR($E148="",$AA148=""),"",IF($E148&gt;=$AA148,"×",IF($E148&gt;=$AA148*設定!$C$5,"△","○")))</f>
        <v/>
      </c>
      <c r="AC148" s="15">
        <f>IF($AB148="","",IF($AB148="×",0,IF($AB148="○",ROUNDDOWN($E148*設定!$C$4,0),ROUNDDOWN($E148*ROUND((9*$AA148-9*$E148)/(10*$E148),4),0))))</f>
        <v/>
      </c>
      <c r="AD148" s="13" t="n"/>
      <c r="AE148" s="15">
        <f>IF($B148="","",IF($AD148&lt;&gt;"",$AD148,IF($AC148="","",IF($AC148&lt;=設定!$C$3,0,$AC148))))</f>
        <v/>
      </c>
      <c r="AF148" s="14">
        <f>IF($B148="","",IF(AND($AG148&lt;&gt;"",$AI148="",$AL148=""),"保留中",IF($AL148&lt;&gt;"",IF(N($AE148)&gt;0,"支給済","不支給"),IF($AE148="","要確認",IF($AE148=0,"不支給","未処理")))))</f>
        <v/>
      </c>
      <c r="AG148" s="12" t="n"/>
      <c r="AH148" s="11" t="n"/>
      <c r="AI148" s="11" t="n"/>
      <c r="AJ148" s="11" t="n"/>
      <c r="AK148" s="14">
        <f>IF(AND($AF148="保留中",$AH148&lt;&gt;""),TODAY()-$AH148,"")</f>
        <v/>
      </c>
      <c r="AL148" s="12" t="inlineStr">
        <is>
          <t>R7.9</t>
        </is>
      </c>
      <c r="AM148" s="14">
        <f>IF($B148="","",IF($AQ148="","対象年月が未入力／","")&amp;IF($B148="","",IF($AP148="","職員マスタに未登録の職員番号／",IF($AA148="","標準報酬月額が未登録／","")&amp;IF(AND($AQ148&lt;&gt;"",OR(AND(INDEX(職員マスタ!$G$6:$G$405,$AP148)&lt;&gt;"",INDEX(職員マスタ!$G$6:$G$405,$AP148)&gt;EOMONTH($AQ148,0)),AND(INDEX(職員マスタ!$H$6:$H$405,$AP148)&lt;&gt;"",INDEX(職員マスタ!$H$6:$H$405,$AP148)&lt;$AQ148))),"対象月が時短期間外／","")&amp;IF(AND(INDEX(職員マスタ!$K$6:$K$405,$AP148)&lt;&gt;"",N($W148)&gt;0,INDEX(職員マスタ!$K$6:$K$405,$AP148)&lt;&gt;$W148),"標準報酬月額が申請書と相違（台帳"&amp;TEXT(INDEX(職員マスタ!$K$6:$K$405,$AP148),"#,##0")&amp;"円／申請書"&amp;TEXT($W148,"#,##0")&amp;"円）／","")&amp;IF(AND(INDEX(職員マスタ!$F$6:$F$405,$AP148)&lt;&gt;"",$AQ148&lt;&gt;"",INDEX(職員マスタ!$F$6:$F$405,$AP148)&lt;$AQ148),"対象月に子が2歳到達済／","")&amp;IF(AND($H148&lt;&gt;"",INDEX(職員マスタ!$B$6:$B$405,$AP148)&lt;&gt;"",SUBSTITUTE(SUBSTITUTE($H148," ","")," ","")&lt;&gt;SUBSTITUTE(SUBSTITUTE(INDEX(職員マスタ!$B$6:$B$405,$AP148)," ","")," ","")),"氏名がマスタと相違／","")&amp;IF(AND($Q148&lt;&gt;"",INDEX(職員マスタ!$E$6:$E$405,$AP148)&lt;&gt;"",$Q148&lt;&gt;INDEX(職員マスタ!$E$6:$E$405,$AP148)),"子の生年月日がマスタと相違／","")&amp;IF(AND($L148&lt;&gt;"",INDEX(職員マスタ!$G$6:$G$405,$AP148)&lt;&gt;"",$L148&lt;&gt;INDEX(職員マスタ!$G$6:$G$405,$AP148)),"時短開始日がマスタと相違／","")&amp;IF(AND($M148&lt;&gt;"",INDEX(職員マスタ!$H$6:$H$405,$AP148)&lt;&gt;"",$M148&lt;&gt;INDEX(職員マスタ!$H$6:$H$405,$AP148)),"時短終了日がマスタと相違／","")))&amp;IF(AND($B148&lt;&gt;"",$E148=""),"報酬額が未入力／","")&amp;IF(N($U148)&gt;0,"申請書に入力エラーが残っています／","")&amp;IF(AND($B148&lt;&gt;"",$AQ148&lt;&gt;""),IF(COUNTIFS($B$6:$B$3005,$B148,$C$6:$C$3005,$C148,$D$6:$D$3005,$D148)&gt;1,"同じ月の請求が重複しています／",""),"")&amp;IF(AND(N($E148)&gt;0,$AB148&lt;&gt;"",$AB148&lt;&gt;"×",$AE148=0,$AD148=""),"計算額が下限以下のため不支給／",""))</f>
        <v/>
      </c>
      <c r="AN148" s="12" t="n"/>
      <c r="AO148" s="14">
        <f>IF($AF148="保留中",COUNTIF($AF$6:$AF148,"保留中"),"")</f>
        <v/>
      </c>
      <c r="AP148" s="14">
        <f>IF($AQ148="","",IF(SUMPRODUCT(MAX((職員マスタ!$A$6:$A$405=$B148)*(((職員マスタ!$G$6:$G$405="")+(職員マスタ!$G$6:$G$405&lt;=EOMONTH($AQ148,0)))&gt;0)*(((職員マスタ!$H$6:$H$405="")+(職員マスタ!$H$6:$H$405&gt;=$AQ148))&gt;0)*(ROW(職員マスタ!$A$6:$A$405)-5)))&gt;0,SUMPRODUCT(MAX((職員マスタ!$A$6:$A$405=$B148)*(((職員マスタ!$G$6:$G$405="")+(職員マスタ!$G$6:$G$405&lt;=EOMONTH($AQ148,0)))&gt;0)*(((職員マスタ!$H$6:$H$405="")+(職員マスタ!$H$6:$H$405&gt;=$AQ148))&gt;0)*(ROW(職員マスタ!$A$6:$A$405)-5))),IFERROR(MATCH($B148,職員マスタ!$A$6:$A$405,0),"")))</f>
        <v/>
      </c>
      <c r="AQ148" s="16">
        <f>IF(OR($B148="",$C148="",$D148=""),"",DATE($C148+2018,$D148,1))</f>
        <v/>
      </c>
    </row>
    <row r="149">
      <c r="A149" s="11" t="n"/>
      <c r="B149" s="12" t="n">
        <v>6301386</v>
      </c>
      <c r="C149" s="12" t="n">
        <v>7</v>
      </c>
      <c r="D149" s="12" t="n">
        <v>8</v>
      </c>
      <c r="E149" s="13" t="n">
        <v>208496</v>
      </c>
      <c r="F149" s="12" t="n"/>
      <c r="G149" s="13" t="n"/>
      <c r="H149" s="12" t="n"/>
      <c r="I149" s="12" t="n"/>
      <c r="J149" s="12" t="n"/>
      <c r="K149" s="12" t="n"/>
      <c r="L149" s="11" t="n"/>
      <c r="M149" s="11" t="n"/>
      <c r="N149" s="11" t="n"/>
      <c r="O149" s="11" t="n"/>
      <c r="P149" s="12" t="n"/>
      <c r="Q149" s="11" t="n"/>
      <c r="R149" s="12" t="n"/>
      <c r="S149" s="11" t="n"/>
      <c r="T149" s="12" t="n"/>
      <c r="U149" s="12" t="n"/>
      <c r="V149" s="12" t="n"/>
      <c r="W149" s="13" t="n"/>
      <c r="X149" s="14">
        <f>IF($AP149="",IF($B149="","",$H149),IF(INDEX(職員マスタ!$B$6:$B$405,$AP149)="",$H149,INDEX(職員マスタ!$B$6:$B$405,$AP149)))</f>
        <v/>
      </c>
      <c r="Y149" s="14">
        <f>IF($AP149="",IF($B149="","",$R149),IF(INDEX(職員マスタ!$C$6:$C$405,$AP149)="",$R149,INDEX(職員マスタ!$C$6:$C$405,$AP149)))</f>
        <v/>
      </c>
      <c r="Z149" s="14">
        <f>IF($AQ149="","","R"&amp;$C149&amp;"."&amp;$D149)</f>
        <v/>
      </c>
      <c r="AA149" s="15">
        <f>IF(IF($AP149="",FALSE,INDEX(職員マスタ!$K$6:$K$405,$AP149)&lt;&gt;""),INDEX(職員マスタ!$K$6:$K$405,$AP149),IF(N($W149)&gt;0,$W149,""))</f>
        <v/>
      </c>
      <c r="AB149" s="14">
        <f>IF(OR($E149="",$AA149=""),"",IF($E149&gt;=$AA149,"×",IF($E149&gt;=$AA149*設定!$C$5,"△","○")))</f>
        <v/>
      </c>
      <c r="AC149" s="15">
        <f>IF($AB149="","",IF($AB149="×",0,IF($AB149="○",ROUNDDOWN($E149*設定!$C$4,0),ROUNDDOWN($E149*ROUND((9*$AA149-9*$E149)/(10*$E149),4),0))))</f>
        <v/>
      </c>
      <c r="AD149" s="13" t="n"/>
      <c r="AE149" s="15">
        <f>IF($B149="","",IF($AD149&lt;&gt;"",$AD149,IF($AC149="","",IF($AC149&lt;=設定!$C$3,0,$AC149))))</f>
        <v/>
      </c>
      <c r="AF149" s="14">
        <f>IF($B149="","",IF(AND($AG149&lt;&gt;"",$AI149="",$AL149=""),"保留中",IF($AL149&lt;&gt;"",IF(N($AE149)&gt;0,"支給済","不支給"),IF($AE149="","要確認",IF($AE149=0,"不支給","未処理")))))</f>
        <v/>
      </c>
      <c r="AG149" s="12" t="n"/>
      <c r="AH149" s="11" t="n"/>
      <c r="AI149" s="11" t="n"/>
      <c r="AJ149" s="11" t="n"/>
      <c r="AK149" s="14">
        <f>IF(AND($AF149="保留中",$AH149&lt;&gt;""),TODAY()-$AH149,"")</f>
        <v/>
      </c>
      <c r="AL149" s="12" t="inlineStr">
        <is>
          <t>R7.10</t>
        </is>
      </c>
      <c r="AM149" s="14">
        <f>IF($B149="","",IF($AQ149="","対象年月が未入力／","")&amp;IF($B149="","",IF($AP149="","職員マスタに未登録の職員番号／",IF($AA149="","標準報酬月額が未登録／","")&amp;IF(AND($AQ149&lt;&gt;"",OR(AND(INDEX(職員マスタ!$G$6:$G$405,$AP149)&lt;&gt;"",INDEX(職員マスタ!$G$6:$G$405,$AP149)&gt;EOMONTH($AQ149,0)),AND(INDEX(職員マスタ!$H$6:$H$405,$AP149)&lt;&gt;"",INDEX(職員マスタ!$H$6:$H$405,$AP149)&lt;$AQ149))),"対象月が時短期間外／","")&amp;IF(AND(INDEX(職員マスタ!$K$6:$K$405,$AP149)&lt;&gt;"",N($W149)&gt;0,INDEX(職員マスタ!$K$6:$K$405,$AP149)&lt;&gt;$W149),"標準報酬月額が申請書と相違（台帳"&amp;TEXT(INDEX(職員マスタ!$K$6:$K$405,$AP149),"#,##0")&amp;"円／申請書"&amp;TEXT($W149,"#,##0")&amp;"円）／","")&amp;IF(AND(INDEX(職員マスタ!$F$6:$F$405,$AP149)&lt;&gt;"",$AQ149&lt;&gt;"",INDEX(職員マスタ!$F$6:$F$405,$AP149)&lt;$AQ149),"対象月に子が2歳到達済／","")&amp;IF(AND($H149&lt;&gt;"",INDEX(職員マスタ!$B$6:$B$405,$AP149)&lt;&gt;"",SUBSTITUTE(SUBSTITUTE($H149," ","")," ","")&lt;&gt;SUBSTITUTE(SUBSTITUTE(INDEX(職員マスタ!$B$6:$B$405,$AP149)," ","")," ","")),"氏名がマスタと相違／","")&amp;IF(AND($Q149&lt;&gt;"",INDEX(職員マスタ!$E$6:$E$405,$AP149)&lt;&gt;"",$Q149&lt;&gt;INDEX(職員マスタ!$E$6:$E$405,$AP149)),"子の生年月日がマスタと相違／","")&amp;IF(AND($L149&lt;&gt;"",INDEX(職員マスタ!$G$6:$G$405,$AP149)&lt;&gt;"",$L149&lt;&gt;INDEX(職員マスタ!$G$6:$G$405,$AP149)),"時短開始日がマスタと相違／","")&amp;IF(AND($M149&lt;&gt;"",INDEX(職員マスタ!$H$6:$H$405,$AP149)&lt;&gt;"",$M149&lt;&gt;INDEX(職員マスタ!$H$6:$H$405,$AP149)),"時短終了日がマスタと相違／","")))&amp;IF(AND($B149&lt;&gt;"",$E149=""),"報酬額が未入力／","")&amp;IF(N($U149)&gt;0,"申請書に入力エラーが残っています／","")&amp;IF(AND($B149&lt;&gt;"",$AQ149&lt;&gt;""),IF(COUNTIFS($B$6:$B$3005,$B149,$C$6:$C$3005,$C149,$D$6:$D$3005,$D149)&gt;1,"同じ月の請求が重複しています／",""),"")&amp;IF(AND(N($E149)&gt;0,$AB149&lt;&gt;"",$AB149&lt;&gt;"×",$AE149=0,$AD149=""),"計算額が下限以下のため不支給／",""))</f>
        <v/>
      </c>
      <c r="AN149" s="12" t="n"/>
      <c r="AO149" s="14">
        <f>IF($AF149="保留中",COUNTIF($AF$6:$AF149,"保留中"),"")</f>
        <v/>
      </c>
      <c r="AP149" s="14">
        <f>IF($AQ149="","",IF(SUMPRODUCT(MAX((職員マスタ!$A$6:$A$405=$B149)*(((職員マスタ!$G$6:$G$405="")+(職員マスタ!$G$6:$G$405&lt;=EOMONTH($AQ149,0)))&gt;0)*(((職員マスタ!$H$6:$H$405="")+(職員マスタ!$H$6:$H$405&gt;=$AQ149))&gt;0)*(ROW(職員マスタ!$A$6:$A$405)-5)))&gt;0,SUMPRODUCT(MAX((職員マスタ!$A$6:$A$405=$B149)*(((職員マスタ!$G$6:$G$405="")+(職員マスタ!$G$6:$G$405&lt;=EOMONTH($AQ149,0)))&gt;0)*(((職員マスタ!$H$6:$H$405="")+(職員マスタ!$H$6:$H$405&gt;=$AQ149))&gt;0)*(ROW(職員マスタ!$A$6:$A$405)-5))),IFERROR(MATCH($B149,職員マスタ!$A$6:$A$405,0),"")))</f>
        <v/>
      </c>
      <c r="AQ149" s="16">
        <f>IF(OR($B149="",$C149="",$D149=""),"",DATE($C149+2018,$D149,1))</f>
        <v/>
      </c>
    </row>
    <row r="150">
      <c r="A150" s="11" t="n"/>
      <c r="B150" s="12" t="n">
        <v>6301386</v>
      </c>
      <c r="C150" s="12" t="n">
        <v>7</v>
      </c>
      <c r="D150" s="12" t="n">
        <v>9</v>
      </c>
      <c r="E150" s="13" t="n">
        <v>203070</v>
      </c>
      <c r="F150" s="12" t="n"/>
      <c r="G150" s="13" t="n"/>
      <c r="H150" s="12" t="n"/>
      <c r="I150" s="12" t="n"/>
      <c r="J150" s="12" t="n"/>
      <c r="K150" s="12" t="n"/>
      <c r="L150" s="11" t="n"/>
      <c r="M150" s="11" t="n"/>
      <c r="N150" s="11" t="n"/>
      <c r="O150" s="11" t="n"/>
      <c r="P150" s="12" t="n"/>
      <c r="Q150" s="11" t="n"/>
      <c r="R150" s="12" t="n"/>
      <c r="S150" s="11" t="n"/>
      <c r="T150" s="12" t="n"/>
      <c r="U150" s="12" t="n"/>
      <c r="V150" s="12" t="n"/>
      <c r="W150" s="13" t="n"/>
      <c r="X150" s="14">
        <f>IF($AP150="",IF($B150="","",$H150),IF(INDEX(職員マスタ!$B$6:$B$405,$AP150)="",$H150,INDEX(職員マスタ!$B$6:$B$405,$AP150)))</f>
        <v/>
      </c>
      <c r="Y150" s="14">
        <f>IF($AP150="",IF($B150="","",$R150),IF(INDEX(職員マスタ!$C$6:$C$405,$AP150)="",$R150,INDEX(職員マスタ!$C$6:$C$405,$AP150)))</f>
        <v/>
      </c>
      <c r="Z150" s="14">
        <f>IF($AQ150="","","R"&amp;$C150&amp;"."&amp;$D150)</f>
        <v/>
      </c>
      <c r="AA150" s="15">
        <f>IF(IF($AP150="",FALSE,INDEX(職員マスタ!$K$6:$K$405,$AP150)&lt;&gt;""),INDEX(職員マスタ!$K$6:$K$405,$AP150),IF(N($W150)&gt;0,$W150,""))</f>
        <v/>
      </c>
      <c r="AB150" s="14">
        <f>IF(OR($E150="",$AA150=""),"",IF($E150&gt;=$AA150,"×",IF($E150&gt;=$AA150*設定!$C$5,"△","○")))</f>
        <v/>
      </c>
      <c r="AC150" s="15">
        <f>IF($AB150="","",IF($AB150="×",0,IF($AB150="○",ROUNDDOWN($E150*設定!$C$4,0),ROUNDDOWN($E150*ROUND((9*$AA150-9*$E150)/(10*$E150),4),0))))</f>
        <v/>
      </c>
      <c r="AD150" s="13" t="n"/>
      <c r="AE150" s="15">
        <f>IF($B150="","",IF($AD150&lt;&gt;"",$AD150,IF($AC150="","",IF($AC150&lt;=設定!$C$3,0,$AC150))))</f>
        <v/>
      </c>
      <c r="AF150" s="14">
        <f>IF($B150="","",IF(AND($AG150&lt;&gt;"",$AI150="",$AL150=""),"保留中",IF($AL150&lt;&gt;"",IF(N($AE150)&gt;0,"支給済","不支給"),IF($AE150="","要確認",IF($AE150=0,"不支給","未処理")))))</f>
        <v/>
      </c>
      <c r="AG150" s="12" t="n"/>
      <c r="AH150" s="11" t="n"/>
      <c r="AI150" s="11" t="n"/>
      <c r="AJ150" s="11" t="n"/>
      <c r="AK150" s="14">
        <f>IF(AND($AF150="保留中",$AH150&lt;&gt;""),TODAY()-$AH150,"")</f>
        <v/>
      </c>
      <c r="AL150" s="12" t="inlineStr">
        <is>
          <t>R7.11</t>
        </is>
      </c>
      <c r="AM150" s="14">
        <f>IF($B150="","",IF($AQ150="","対象年月が未入力／","")&amp;IF($B150="","",IF($AP150="","職員マスタに未登録の職員番号／",IF($AA150="","標準報酬月額が未登録／","")&amp;IF(AND($AQ150&lt;&gt;"",OR(AND(INDEX(職員マスタ!$G$6:$G$405,$AP150)&lt;&gt;"",INDEX(職員マスタ!$G$6:$G$405,$AP150)&gt;EOMONTH($AQ150,0)),AND(INDEX(職員マスタ!$H$6:$H$405,$AP150)&lt;&gt;"",INDEX(職員マスタ!$H$6:$H$405,$AP150)&lt;$AQ150))),"対象月が時短期間外／","")&amp;IF(AND(INDEX(職員マスタ!$K$6:$K$405,$AP150)&lt;&gt;"",N($W150)&gt;0,INDEX(職員マスタ!$K$6:$K$405,$AP150)&lt;&gt;$W150),"標準報酬月額が申請書と相違（台帳"&amp;TEXT(INDEX(職員マスタ!$K$6:$K$405,$AP150),"#,##0")&amp;"円／申請書"&amp;TEXT($W150,"#,##0")&amp;"円）／","")&amp;IF(AND(INDEX(職員マスタ!$F$6:$F$405,$AP150)&lt;&gt;"",$AQ150&lt;&gt;"",INDEX(職員マスタ!$F$6:$F$405,$AP150)&lt;$AQ150),"対象月に子が2歳到達済／","")&amp;IF(AND($H150&lt;&gt;"",INDEX(職員マスタ!$B$6:$B$405,$AP150)&lt;&gt;"",SUBSTITUTE(SUBSTITUTE($H150," ","")," ","")&lt;&gt;SUBSTITUTE(SUBSTITUTE(INDEX(職員マスタ!$B$6:$B$405,$AP150)," ","")," ","")),"氏名がマスタと相違／","")&amp;IF(AND($Q150&lt;&gt;"",INDEX(職員マスタ!$E$6:$E$405,$AP150)&lt;&gt;"",$Q150&lt;&gt;INDEX(職員マスタ!$E$6:$E$405,$AP150)),"子の生年月日がマスタと相違／","")&amp;IF(AND($L150&lt;&gt;"",INDEX(職員マスタ!$G$6:$G$405,$AP150)&lt;&gt;"",$L150&lt;&gt;INDEX(職員マスタ!$G$6:$G$405,$AP150)),"時短開始日がマスタと相違／","")&amp;IF(AND($M150&lt;&gt;"",INDEX(職員マスタ!$H$6:$H$405,$AP150)&lt;&gt;"",$M150&lt;&gt;INDEX(職員マスタ!$H$6:$H$405,$AP150)),"時短終了日がマスタと相違／","")))&amp;IF(AND($B150&lt;&gt;"",$E150=""),"報酬額が未入力／","")&amp;IF(N($U150)&gt;0,"申請書に入力エラーが残っています／","")&amp;IF(AND($B150&lt;&gt;"",$AQ150&lt;&gt;""),IF(COUNTIFS($B$6:$B$3005,$B150,$C$6:$C$3005,$C150,$D$6:$D$3005,$D150)&gt;1,"同じ月の請求が重複しています／",""),"")&amp;IF(AND(N($E150)&gt;0,$AB150&lt;&gt;"",$AB150&lt;&gt;"×",$AE150=0,$AD150=""),"計算額が下限以下のため不支給／",""))</f>
        <v/>
      </c>
      <c r="AN150" s="12" t="n"/>
      <c r="AO150" s="14">
        <f>IF($AF150="保留中",COUNTIF($AF$6:$AF150,"保留中"),"")</f>
        <v/>
      </c>
      <c r="AP150" s="14">
        <f>IF($AQ150="","",IF(SUMPRODUCT(MAX((職員マスタ!$A$6:$A$405=$B150)*(((職員マスタ!$G$6:$G$405="")+(職員マスタ!$G$6:$G$405&lt;=EOMONTH($AQ150,0)))&gt;0)*(((職員マスタ!$H$6:$H$405="")+(職員マスタ!$H$6:$H$405&gt;=$AQ150))&gt;0)*(ROW(職員マスタ!$A$6:$A$405)-5)))&gt;0,SUMPRODUCT(MAX((職員マスタ!$A$6:$A$405=$B150)*(((職員マスタ!$G$6:$G$405="")+(職員マスタ!$G$6:$G$405&lt;=EOMONTH($AQ150,0)))&gt;0)*(((職員マスタ!$H$6:$H$405="")+(職員マスタ!$H$6:$H$405&gt;=$AQ150))&gt;0)*(ROW(職員マスタ!$A$6:$A$405)-5))),IFERROR(MATCH($B150,職員マスタ!$A$6:$A$405,0),"")))</f>
        <v/>
      </c>
      <c r="AQ150" s="16">
        <f>IF(OR($B150="",$C150="",$D150=""),"",DATE($C150+2018,$D150,1))</f>
        <v/>
      </c>
    </row>
    <row r="151">
      <c r="A151" s="11" t="n"/>
      <c r="B151" s="12" t="n">
        <v>6301576</v>
      </c>
      <c r="C151" s="12" t="n">
        <v>7</v>
      </c>
      <c r="D151" s="12" t="n">
        <v>11</v>
      </c>
      <c r="E151" s="13" t="n">
        <v>287060</v>
      </c>
      <c r="F151" s="12" t="n"/>
      <c r="G151" s="13" t="n"/>
      <c r="H151" s="12" t="n"/>
      <c r="I151" s="12" t="n"/>
      <c r="J151" s="12" t="n"/>
      <c r="K151" s="12" t="n"/>
      <c r="L151" s="11" t="n"/>
      <c r="M151" s="11" t="n"/>
      <c r="N151" s="11" t="n"/>
      <c r="O151" s="11" t="n"/>
      <c r="P151" s="12" t="n"/>
      <c r="Q151" s="11" t="n"/>
      <c r="R151" s="12" t="n"/>
      <c r="S151" s="11" t="n"/>
      <c r="T151" s="12" t="n"/>
      <c r="U151" s="12" t="n"/>
      <c r="V151" s="12" t="n"/>
      <c r="W151" s="13" t="n"/>
      <c r="X151" s="14">
        <f>IF($AP151="",IF($B151="","",$H151),IF(INDEX(職員マスタ!$B$6:$B$405,$AP151)="",$H151,INDEX(職員マスタ!$B$6:$B$405,$AP151)))</f>
        <v/>
      </c>
      <c r="Y151" s="14">
        <f>IF($AP151="",IF($B151="","",$R151),IF(INDEX(職員マスタ!$C$6:$C$405,$AP151)="",$R151,INDEX(職員マスタ!$C$6:$C$405,$AP151)))</f>
        <v/>
      </c>
      <c r="Z151" s="14">
        <f>IF($AQ151="","","R"&amp;$C151&amp;"."&amp;$D151)</f>
        <v/>
      </c>
      <c r="AA151" s="15">
        <f>IF(IF($AP151="",FALSE,INDEX(職員マスタ!$K$6:$K$405,$AP151)&lt;&gt;""),INDEX(職員マスタ!$K$6:$K$405,$AP151),IF(N($W151)&gt;0,$W151,""))</f>
        <v/>
      </c>
      <c r="AB151" s="14">
        <f>IF(OR($E151="",$AA151=""),"",IF($E151&gt;=$AA151,"×",IF($E151&gt;=$AA151*設定!$C$5,"△","○")))</f>
        <v/>
      </c>
      <c r="AC151" s="15">
        <f>IF($AB151="","",IF($AB151="×",0,IF($AB151="○",ROUNDDOWN($E151*設定!$C$4,0),ROUNDDOWN($E151*ROUND((9*$AA151-9*$E151)/(10*$E151),4),0))))</f>
        <v/>
      </c>
      <c r="AD151" s="13" t="n"/>
      <c r="AE151" s="15">
        <f>IF($B151="","",IF($AD151&lt;&gt;"",$AD151,IF($AC151="","",IF($AC151&lt;=設定!$C$3,0,$AC151))))</f>
        <v/>
      </c>
      <c r="AF151" s="14">
        <f>IF($B151="","",IF(AND($AG151&lt;&gt;"",$AI151="",$AL151=""),"保留中",IF($AL151&lt;&gt;"",IF(N($AE151)&gt;0,"支給済","不支給"),IF($AE151="","要確認",IF($AE151=0,"不支給","未処理")))))</f>
        <v/>
      </c>
      <c r="AG151" s="12" t="n"/>
      <c r="AH151" s="11" t="n"/>
      <c r="AI151" s="11" t="n"/>
      <c r="AJ151" s="11" t="n"/>
      <c r="AK151" s="14">
        <f>IF(AND($AF151="保留中",$AH151&lt;&gt;""),TODAY()-$AH151,"")</f>
        <v/>
      </c>
      <c r="AL151" s="12" t="inlineStr">
        <is>
          <t>R8.1</t>
        </is>
      </c>
      <c r="AM151" s="14">
        <f>IF($B151="","",IF($AQ151="","対象年月が未入力／","")&amp;IF($B151="","",IF($AP151="","職員マスタに未登録の職員番号／",IF($AA151="","標準報酬月額が未登録／","")&amp;IF(AND($AQ151&lt;&gt;"",OR(AND(INDEX(職員マスタ!$G$6:$G$405,$AP151)&lt;&gt;"",INDEX(職員マスタ!$G$6:$G$405,$AP151)&gt;EOMONTH($AQ151,0)),AND(INDEX(職員マスタ!$H$6:$H$405,$AP151)&lt;&gt;"",INDEX(職員マスタ!$H$6:$H$405,$AP151)&lt;$AQ151))),"対象月が時短期間外／","")&amp;IF(AND(INDEX(職員マスタ!$K$6:$K$405,$AP151)&lt;&gt;"",N($W151)&gt;0,INDEX(職員マスタ!$K$6:$K$405,$AP151)&lt;&gt;$W151),"標準報酬月額が申請書と相違（台帳"&amp;TEXT(INDEX(職員マスタ!$K$6:$K$405,$AP151),"#,##0")&amp;"円／申請書"&amp;TEXT($W151,"#,##0")&amp;"円）／","")&amp;IF(AND(INDEX(職員マスタ!$F$6:$F$405,$AP151)&lt;&gt;"",$AQ151&lt;&gt;"",INDEX(職員マスタ!$F$6:$F$405,$AP151)&lt;$AQ151),"対象月に子が2歳到達済／","")&amp;IF(AND($H151&lt;&gt;"",INDEX(職員マスタ!$B$6:$B$405,$AP151)&lt;&gt;"",SUBSTITUTE(SUBSTITUTE($H151," ","")," ","")&lt;&gt;SUBSTITUTE(SUBSTITUTE(INDEX(職員マスタ!$B$6:$B$405,$AP151)," ","")," ","")),"氏名がマスタと相違／","")&amp;IF(AND($Q151&lt;&gt;"",INDEX(職員マスタ!$E$6:$E$405,$AP151)&lt;&gt;"",$Q151&lt;&gt;INDEX(職員マスタ!$E$6:$E$405,$AP151)),"子の生年月日がマスタと相違／","")&amp;IF(AND($L151&lt;&gt;"",INDEX(職員マスタ!$G$6:$G$405,$AP151)&lt;&gt;"",$L151&lt;&gt;INDEX(職員マスタ!$G$6:$G$405,$AP151)),"時短開始日がマスタと相違／","")&amp;IF(AND($M151&lt;&gt;"",INDEX(職員マスタ!$H$6:$H$405,$AP151)&lt;&gt;"",$M151&lt;&gt;INDEX(職員マスタ!$H$6:$H$405,$AP151)),"時短終了日がマスタと相違／","")))&amp;IF(AND($B151&lt;&gt;"",$E151=""),"報酬額が未入力／","")&amp;IF(N($U151)&gt;0,"申請書に入力エラーが残っています／","")&amp;IF(AND($B151&lt;&gt;"",$AQ151&lt;&gt;""),IF(COUNTIFS($B$6:$B$3005,$B151,$C$6:$C$3005,$C151,$D$6:$D$3005,$D151)&gt;1,"同じ月の請求が重複しています／",""),"")&amp;IF(AND(N($E151)&gt;0,$AB151&lt;&gt;"",$AB151&lt;&gt;"×",$AE151=0,$AD151=""),"計算額が下限以下のため不支給／",""))</f>
        <v/>
      </c>
      <c r="AN151" s="12" t="n"/>
      <c r="AO151" s="14">
        <f>IF($AF151="保留中",COUNTIF($AF$6:$AF151,"保留中"),"")</f>
        <v/>
      </c>
      <c r="AP151" s="14">
        <f>IF($AQ151="","",IF(SUMPRODUCT(MAX((職員マスタ!$A$6:$A$405=$B151)*(((職員マスタ!$G$6:$G$405="")+(職員マスタ!$G$6:$G$405&lt;=EOMONTH($AQ151,0)))&gt;0)*(((職員マスタ!$H$6:$H$405="")+(職員マスタ!$H$6:$H$405&gt;=$AQ151))&gt;0)*(ROW(職員マスタ!$A$6:$A$405)-5)))&gt;0,SUMPRODUCT(MAX((職員マスタ!$A$6:$A$405=$B151)*(((職員マスタ!$G$6:$G$405="")+(職員マスタ!$G$6:$G$405&lt;=EOMONTH($AQ151,0)))&gt;0)*(((職員マスタ!$H$6:$H$405="")+(職員マスタ!$H$6:$H$405&gt;=$AQ151))&gt;0)*(ROW(職員マスタ!$A$6:$A$405)-5))),IFERROR(MATCH($B151,職員マスタ!$A$6:$A$405,0),"")))</f>
        <v/>
      </c>
      <c r="AQ151" s="16">
        <f>IF(OR($B151="",$C151="",$D151=""),"",DATE($C151+2018,$D151,1))</f>
        <v/>
      </c>
    </row>
    <row r="152">
      <c r="A152" s="11" t="n"/>
      <c r="B152" s="12" t="n">
        <v>6301576</v>
      </c>
      <c r="C152" s="12" t="n">
        <v>7</v>
      </c>
      <c r="D152" s="12" t="n">
        <v>12</v>
      </c>
      <c r="E152" s="13" t="n">
        <v>303191</v>
      </c>
      <c r="F152" s="12" t="n"/>
      <c r="G152" s="13" t="n"/>
      <c r="H152" s="12" t="n"/>
      <c r="I152" s="12" t="n"/>
      <c r="J152" s="12" t="n"/>
      <c r="K152" s="12" t="n"/>
      <c r="L152" s="11" t="n"/>
      <c r="M152" s="11" t="n"/>
      <c r="N152" s="11" t="n"/>
      <c r="O152" s="11" t="n"/>
      <c r="P152" s="12" t="n"/>
      <c r="Q152" s="11" t="n"/>
      <c r="R152" s="12" t="n"/>
      <c r="S152" s="11" t="n"/>
      <c r="T152" s="12" t="n"/>
      <c r="U152" s="12" t="n"/>
      <c r="V152" s="12" t="n"/>
      <c r="W152" s="13" t="n"/>
      <c r="X152" s="14">
        <f>IF($AP152="",IF($B152="","",$H152),IF(INDEX(職員マスタ!$B$6:$B$405,$AP152)="",$H152,INDEX(職員マスタ!$B$6:$B$405,$AP152)))</f>
        <v/>
      </c>
      <c r="Y152" s="14">
        <f>IF($AP152="",IF($B152="","",$R152),IF(INDEX(職員マスタ!$C$6:$C$405,$AP152)="",$R152,INDEX(職員マスタ!$C$6:$C$405,$AP152)))</f>
        <v/>
      </c>
      <c r="Z152" s="14">
        <f>IF($AQ152="","","R"&amp;$C152&amp;"."&amp;$D152)</f>
        <v/>
      </c>
      <c r="AA152" s="15">
        <f>IF(IF($AP152="",FALSE,INDEX(職員マスタ!$K$6:$K$405,$AP152)&lt;&gt;""),INDEX(職員マスタ!$K$6:$K$405,$AP152),IF(N($W152)&gt;0,$W152,""))</f>
        <v/>
      </c>
      <c r="AB152" s="14">
        <f>IF(OR($E152="",$AA152=""),"",IF($E152&gt;=$AA152,"×",IF($E152&gt;=$AA152*設定!$C$5,"△","○")))</f>
        <v/>
      </c>
      <c r="AC152" s="15">
        <f>IF($AB152="","",IF($AB152="×",0,IF($AB152="○",ROUNDDOWN($E152*設定!$C$4,0),ROUNDDOWN($E152*ROUND((9*$AA152-9*$E152)/(10*$E152),4),0))))</f>
        <v/>
      </c>
      <c r="AD152" s="13" t="n"/>
      <c r="AE152" s="15">
        <f>IF($B152="","",IF($AD152&lt;&gt;"",$AD152,IF($AC152="","",IF($AC152&lt;=設定!$C$3,0,$AC152))))</f>
        <v/>
      </c>
      <c r="AF152" s="14">
        <f>IF($B152="","",IF(AND($AG152&lt;&gt;"",$AI152="",$AL152=""),"保留中",IF($AL152&lt;&gt;"",IF(N($AE152)&gt;0,"支給済","不支給"),IF($AE152="","要確認",IF($AE152=0,"不支給","未処理")))))</f>
        <v/>
      </c>
      <c r="AG152" s="12" t="n"/>
      <c r="AH152" s="11" t="n"/>
      <c r="AI152" s="11" t="n"/>
      <c r="AJ152" s="11" t="n"/>
      <c r="AK152" s="14">
        <f>IF(AND($AF152="保留中",$AH152&lt;&gt;""),TODAY()-$AH152,"")</f>
        <v/>
      </c>
      <c r="AL152" s="12" t="inlineStr">
        <is>
          <t>R8.2</t>
        </is>
      </c>
      <c r="AM152" s="14">
        <f>IF($B152="","",IF($AQ152="","対象年月が未入力／","")&amp;IF($B152="","",IF($AP152="","職員マスタに未登録の職員番号／",IF($AA152="","標準報酬月額が未登録／","")&amp;IF(AND($AQ152&lt;&gt;"",OR(AND(INDEX(職員マスタ!$G$6:$G$405,$AP152)&lt;&gt;"",INDEX(職員マスタ!$G$6:$G$405,$AP152)&gt;EOMONTH($AQ152,0)),AND(INDEX(職員マスタ!$H$6:$H$405,$AP152)&lt;&gt;"",INDEX(職員マスタ!$H$6:$H$405,$AP152)&lt;$AQ152))),"対象月が時短期間外／","")&amp;IF(AND(INDEX(職員マスタ!$K$6:$K$405,$AP152)&lt;&gt;"",N($W152)&gt;0,INDEX(職員マスタ!$K$6:$K$405,$AP152)&lt;&gt;$W152),"標準報酬月額が申請書と相違（台帳"&amp;TEXT(INDEX(職員マスタ!$K$6:$K$405,$AP152),"#,##0")&amp;"円／申請書"&amp;TEXT($W152,"#,##0")&amp;"円）／","")&amp;IF(AND(INDEX(職員マスタ!$F$6:$F$405,$AP152)&lt;&gt;"",$AQ152&lt;&gt;"",INDEX(職員マスタ!$F$6:$F$405,$AP152)&lt;$AQ152),"対象月に子が2歳到達済／","")&amp;IF(AND($H152&lt;&gt;"",INDEX(職員マスタ!$B$6:$B$405,$AP152)&lt;&gt;"",SUBSTITUTE(SUBSTITUTE($H152," ","")," ","")&lt;&gt;SUBSTITUTE(SUBSTITUTE(INDEX(職員マスタ!$B$6:$B$405,$AP152)," ","")," ","")),"氏名がマスタと相違／","")&amp;IF(AND($Q152&lt;&gt;"",INDEX(職員マスタ!$E$6:$E$405,$AP152)&lt;&gt;"",$Q152&lt;&gt;INDEX(職員マスタ!$E$6:$E$405,$AP152)),"子の生年月日がマスタと相違／","")&amp;IF(AND($L152&lt;&gt;"",INDEX(職員マスタ!$G$6:$G$405,$AP152)&lt;&gt;"",$L152&lt;&gt;INDEX(職員マスタ!$G$6:$G$405,$AP152)),"時短開始日がマスタと相違／","")&amp;IF(AND($M152&lt;&gt;"",INDEX(職員マスタ!$H$6:$H$405,$AP152)&lt;&gt;"",$M152&lt;&gt;INDEX(職員マスタ!$H$6:$H$405,$AP152)),"時短終了日がマスタと相違／","")))&amp;IF(AND($B152&lt;&gt;"",$E152=""),"報酬額が未入力／","")&amp;IF(N($U152)&gt;0,"申請書に入力エラーが残っています／","")&amp;IF(AND($B152&lt;&gt;"",$AQ152&lt;&gt;""),IF(COUNTIFS($B$6:$B$3005,$B152,$C$6:$C$3005,$C152,$D$6:$D$3005,$D152)&gt;1,"同じ月の請求が重複しています／",""),"")&amp;IF(AND(N($E152)&gt;0,$AB152&lt;&gt;"",$AB152&lt;&gt;"×",$AE152=0,$AD152=""),"計算額が下限以下のため不支給／",""))</f>
        <v/>
      </c>
      <c r="AN152" s="12" t="n"/>
      <c r="AO152" s="14">
        <f>IF($AF152="保留中",COUNTIF($AF$6:$AF152,"保留中"),"")</f>
        <v/>
      </c>
      <c r="AP152" s="14">
        <f>IF($AQ152="","",IF(SUMPRODUCT(MAX((職員マスタ!$A$6:$A$405=$B152)*(((職員マスタ!$G$6:$G$405="")+(職員マスタ!$G$6:$G$405&lt;=EOMONTH($AQ152,0)))&gt;0)*(((職員マスタ!$H$6:$H$405="")+(職員マスタ!$H$6:$H$405&gt;=$AQ152))&gt;0)*(ROW(職員マスタ!$A$6:$A$405)-5)))&gt;0,SUMPRODUCT(MAX((職員マスタ!$A$6:$A$405=$B152)*(((職員マスタ!$G$6:$G$405="")+(職員マスタ!$G$6:$G$405&lt;=EOMONTH($AQ152,0)))&gt;0)*(((職員マスタ!$H$6:$H$405="")+(職員マスタ!$H$6:$H$405&gt;=$AQ152))&gt;0)*(ROW(職員マスタ!$A$6:$A$405)-5))),IFERROR(MATCH($B152,職員マスタ!$A$6:$A$405,0),"")))</f>
        <v/>
      </c>
      <c r="AQ152" s="16">
        <f>IF(OR($B152="",$C152="",$D152=""),"",DATE($C152+2018,$D152,1))</f>
        <v/>
      </c>
    </row>
    <row r="153">
      <c r="A153" s="11" t="n"/>
      <c r="B153" s="12" t="n">
        <v>6301576</v>
      </c>
      <c r="C153" s="12" t="n">
        <v>8</v>
      </c>
      <c r="D153" s="12" t="n">
        <v>1</v>
      </c>
      <c r="E153" s="13" t="n">
        <v>294275</v>
      </c>
      <c r="F153" s="12" t="n"/>
      <c r="G153" s="13" t="n"/>
      <c r="H153" s="12" t="n"/>
      <c r="I153" s="12" t="n"/>
      <c r="J153" s="12" t="n"/>
      <c r="K153" s="12" t="n"/>
      <c r="L153" s="11" t="n"/>
      <c r="M153" s="11" t="n"/>
      <c r="N153" s="11" t="n"/>
      <c r="O153" s="11" t="n"/>
      <c r="P153" s="12" t="n"/>
      <c r="Q153" s="11" t="n"/>
      <c r="R153" s="12" t="n"/>
      <c r="S153" s="11" t="n"/>
      <c r="T153" s="12" t="n"/>
      <c r="U153" s="12" t="n"/>
      <c r="V153" s="12" t="n"/>
      <c r="W153" s="13" t="n"/>
      <c r="X153" s="14">
        <f>IF($AP153="",IF($B153="","",$H153),IF(INDEX(職員マスタ!$B$6:$B$405,$AP153)="",$H153,INDEX(職員マスタ!$B$6:$B$405,$AP153)))</f>
        <v/>
      </c>
      <c r="Y153" s="14">
        <f>IF($AP153="",IF($B153="","",$R153),IF(INDEX(職員マスタ!$C$6:$C$405,$AP153)="",$R153,INDEX(職員マスタ!$C$6:$C$405,$AP153)))</f>
        <v/>
      </c>
      <c r="Z153" s="14">
        <f>IF($AQ153="","","R"&amp;$C153&amp;"."&amp;$D153)</f>
        <v/>
      </c>
      <c r="AA153" s="15">
        <f>IF(IF($AP153="",FALSE,INDEX(職員マスタ!$K$6:$K$405,$AP153)&lt;&gt;""),INDEX(職員マスタ!$K$6:$K$405,$AP153),IF(N($W153)&gt;0,$W153,""))</f>
        <v/>
      </c>
      <c r="AB153" s="14">
        <f>IF(OR($E153="",$AA153=""),"",IF($E153&gt;=$AA153,"×",IF($E153&gt;=$AA153*設定!$C$5,"△","○")))</f>
        <v/>
      </c>
      <c r="AC153" s="15">
        <f>IF($AB153="","",IF($AB153="×",0,IF($AB153="○",ROUNDDOWN($E153*設定!$C$4,0),ROUNDDOWN($E153*ROUND((9*$AA153-9*$E153)/(10*$E153),4),0))))</f>
        <v/>
      </c>
      <c r="AD153" s="13" t="n"/>
      <c r="AE153" s="15">
        <f>IF($B153="","",IF($AD153&lt;&gt;"",$AD153,IF($AC153="","",IF($AC153&lt;=設定!$C$3,0,$AC153))))</f>
        <v/>
      </c>
      <c r="AF153" s="14">
        <f>IF($B153="","",IF(AND($AG153&lt;&gt;"",$AI153="",$AL153=""),"保留中",IF($AL153&lt;&gt;"",IF(N($AE153)&gt;0,"支給済","不支給"),IF($AE153="","要確認",IF($AE153=0,"不支給","未処理")))))</f>
        <v/>
      </c>
      <c r="AG153" s="12" t="n"/>
      <c r="AH153" s="11" t="n"/>
      <c r="AI153" s="11" t="n"/>
      <c r="AJ153" s="11" t="n"/>
      <c r="AK153" s="14">
        <f>IF(AND($AF153="保留中",$AH153&lt;&gt;""),TODAY()-$AH153,"")</f>
        <v/>
      </c>
      <c r="AL153" s="12" t="inlineStr">
        <is>
          <t>R8.3</t>
        </is>
      </c>
      <c r="AM153" s="14">
        <f>IF($B153="","",IF($AQ153="","対象年月が未入力／","")&amp;IF($B153="","",IF($AP153="","職員マスタに未登録の職員番号／",IF($AA153="","標準報酬月額が未登録／","")&amp;IF(AND($AQ153&lt;&gt;"",OR(AND(INDEX(職員マスタ!$G$6:$G$405,$AP153)&lt;&gt;"",INDEX(職員マスタ!$G$6:$G$405,$AP153)&gt;EOMONTH($AQ153,0)),AND(INDEX(職員マスタ!$H$6:$H$405,$AP153)&lt;&gt;"",INDEX(職員マスタ!$H$6:$H$405,$AP153)&lt;$AQ153))),"対象月が時短期間外／","")&amp;IF(AND(INDEX(職員マスタ!$K$6:$K$405,$AP153)&lt;&gt;"",N($W153)&gt;0,INDEX(職員マスタ!$K$6:$K$405,$AP153)&lt;&gt;$W153),"標準報酬月額が申請書と相違（台帳"&amp;TEXT(INDEX(職員マスタ!$K$6:$K$405,$AP153),"#,##0")&amp;"円／申請書"&amp;TEXT($W153,"#,##0")&amp;"円）／","")&amp;IF(AND(INDEX(職員マスタ!$F$6:$F$405,$AP153)&lt;&gt;"",$AQ153&lt;&gt;"",INDEX(職員マスタ!$F$6:$F$405,$AP153)&lt;$AQ153),"対象月に子が2歳到達済／","")&amp;IF(AND($H153&lt;&gt;"",INDEX(職員マスタ!$B$6:$B$405,$AP153)&lt;&gt;"",SUBSTITUTE(SUBSTITUTE($H153," ","")," ","")&lt;&gt;SUBSTITUTE(SUBSTITUTE(INDEX(職員マスタ!$B$6:$B$405,$AP153)," ","")," ","")),"氏名がマスタと相違／","")&amp;IF(AND($Q153&lt;&gt;"",INDEX(職員マスタ!$E$6:$E$405,$AP153)&lt;&gt;"",$Q153&lt;&gt;INDEX(職員マスタ!$E$6:$E$405,$AP153)),"子の生年月日がマスタと相違／","")&amp;IF(AND($L153&lt;&gt;"",INDEX(職員マスタ!$G$6:$G$405,$AP153)&lt;&gt;"",$L153&lt;&gt;INDEX(職員マスタ!$G$6:$G$405,$AP153)),"時短開始日がマスタと相違／","")&amp;IF(AND($M153&lt;&gt;"",INDEX(職員マスタ!$H$6:$H$405,$AP153)&lt;&gt;"",$M153&lt;&gt;INDEX(職員マスタ!$H$6:$H$405,$AP153)),"時短終了日がマスタと相違／","")))&amp;IF(AND($B153&lt;&gt;"",$E153=""),"報酬額が未入力／","")&amp;IF(N($U153)&gt;0,"申請書に入力エラーが残っています／","")&amp;IF(AND($B153&lt;&gt;"",$AQ153&lt;&gt;""),IF(COUNTIFS($B$6:$B$3005,$B153,$C$6:$C$3005,$C153,$D$6:$D$3005,$D153)&gt;1,"同じ月の請求が重複しています／",""),"")&amp;IF(AND(N($E153)&gt;0,$AB153&lt;&gt;"",$AB153&lt;&gt;"×",$AE153=0,$AD153=""),"計算額が下限以下のため不支給／",""))</f>
        <v/>
      </c>
      <c r="AN153" s="12" t="n"/>
      <c r="AO153" s="14">
        <f>IF($AF153="保留中",COUNTIF($AF$6:$AF153,"保留中"),"")</f>
        <v/>
      </c>
      <c r="AP153" s="14">
        <f>IF($AQ153="","",IF(SUMPRODUCT(MAX((職員マスタ!$A$6:$A$405=$B153)*(((職員マスタ!$G$6:$G$405="")+(職員マスタ!$G$6:$G$405&lt;=EOMONTH($AQ153,0)))&gt;0)*(((職員マスタ!$H$6:$H$405="")+(職員マスタ!$H$6:$H$405&gt;=$AQ153))&gt;0)*(ROW(職員マスタ!$A$6:$A$405)-5)))&gt;0,SUMPRODUCT(MAX((職員マスタ!$A$6:$A$405=$B153)*(((職員マスタ!$G$6:$G$405="")+(職員マスタ!$G$6:$G$405&lt;=EOMONTH($AQ153,0)))&gt;0)*(((職員マスタ!$H$6:$H$405="")+(職員マスタ!$H$6:$H$405&gt;=$AQ153))&gt;0)*(ROW(職員マスタ!$A$6:$A$405)-5))),IFERROR(MATCH($B153,職員マスタ!$A$6:$A$405,0),"")))</f>
        <v/>
      </c>
      <c r="AQ153" s="16">
        <f>IF(OR($B153="",$C153="",$D153=""),"",DATE($C153+2018,$D153,1))</f>
        <v/>
      </c>
    </row>
    <row r="154">
      <c r="A154" s="11" t="n"/>
      <c r="B154" s="12" t="n">
        <v>6301576</v>
      </c>
      <c r="C154" s="12" t="n">
        <v>8</v>
      </c>
      <c r="D154" s="12" t="n">
        <v>2</v>
      </c>
      <c r="E154" s="13" t="n">
        <v>294275</v>
      </c>
      <c r="F154" s="12" t="n"/>
      <c r="G154" s="13" t="n"/>
      <c r="H154" s="12" t="n"/>
      <c r="I154" s="12" t="n"/>
      <c r="J154" s="12" t="n"/>
      <c r="K154" s="12" t="n"/>
      <c r="L154" s="11" t="n"/>
      <c r="M154" s="11" t="n"/>
      <c r="N154" s="11" t="n"/>
      <c r="O154" s="11" t="n"/>
      <c r="P154" s="12" t="n"/>
      <c r="Q154" s="11" t="n"/>
      <c r="R154" s="12" t="n"/>
      <c r="S154" s="11" t="n"/>
      <c r="T154" s="12" t="n"/>
      <c r="U154" s="12" t="n"/>
      <c r="V154" s="12" t="n"/>
      <c r="W154" s="13" t="n"/>
      <c r="X154" s="14">
        <f>IF($AP154="",IF($B154="","",$H154),IF(INDEX(職員マスタ!$B$6:$B$405,$AP154)="",$H154,INDEX(職員マスタ!$B$6:$B$405,$AP154)))</f>
        <v/>
      </c>
      <c r="Y154" s="14">
        <f>IF($AP154="",IF($B154="","",$R154),IF(INDEX(職員マスタ!$C$6:$C$405,$AP154)="",$R154,INDEX(職員マスタ!$C$6:$C$405,$AP154)))</f>
        <v/>
      </c>
      <c r="Z154" s="14">
        <f>IF($AQ154="","","R"&amp;$C154&amp;"."&amp;$D154)</f>
        <v/>
      </c>
      <c r="AA154" s="15">
        <f>IF(IF($AP154="",FALSE,INDEX(職員マスタ!$K$6:$K$405,$AP154)&lt;&gt;""),INDEX(職員マスタ!$K$6:$K$405,$AP154),IF(N($W154)&gt;0,$W154,""))</f>
        <v/>
      </c>
      <c r="AB154" s="14">
        <f>IF(OR($E154="",$AA154=""),"",IF($E154&gt;=$AA154,"×",IF($E154&gt;=$AA154*設定!$C$5,"△","○")))</f>
        <v/>
      </c>
      <c r="AC154" s="15">
        <f>IF($AB154="","",IF($AB154="×",0,IF($AB154="○",ROUNDDOWN($E154*設定!$C$4,0),ROUNDDOWN($E154*ROUND((9*$AA154-9*$E154)/(10*$E154),4),0))))</f>
        <v/>
      </c>
      <c r="AD154" s="13" t="n"/>
      <c r="AE154" s="15">
        <f>IF($B154="","",IF($AD154&lt;&gt;"",$AD154,IF($AC154="","",IF($AC154&lt;=設定!$C$3,0,$AC154))))</f>
        <v/>
      </c>
      <c r="AF154" s="14">
        <f>IF($B154="","",IF(AND($AG154&lt;&gt;"",$AI154="",$AL154=""),"保留中",IF($AL154&lt;&gt;"",IF(N($AE154)&gt;0,"支給済","不支給"),IF($AE154="","要確認",IF($AE154=0,"不支給","未処理")))))</f>
        <v/>
      </c>
      <c r="AG154" s="12" t="n"/>
      <c r="AH154" s="11" t="n"/>
      <c r="AI154" s="11" t="n"/>
      <c r="AJ154" s="11" t="n"/>
      <c r="AK154" s="14">
        <f>IF(AND($AF154="保留中",$AH154&lt;&gt;""),TODAY()-$AH154,"")</f>
        <v/>
      </c>
      <c r="AL154" s="12" t="inlineStr">
        <is>
          <t>R8.4</t>
        </is>
      </c>
      <c r="AM154" s="14">
        <f>IF($B154="","",IF($AQ154="","対象年月が未入力／","")&amp;IF($B154="","",IF($AP154="","職員マスタに未登録の職員番号／",IF($AA154="","標準報酬月額が未登録／","")&amp;IF(AND($AQ154&lt;&gt;"",OR(AND(INDEX(職員マスタ!$G$6:$G$405,$AP154)&lt;&gt;"",INDEX(職員マスタ!$G$6:$G$405,$AP154)&gt;EOMONTH($AQ154,0)),AND(INDEX(職員マスタ!$H$6:$H$405,$AP154)&lt;&gt;"",INDEX(職員マスタ!$H$6:$H$405,$AP154)&lt;$AQ154))),"対象月が時短期間外／","")&amp;IF(AND(INDEX(職員マスタ!$K$6:$K$405,$AP154)&lt;&gt;"",N($W154)&gt;0,INDEX(職員マスタ!$K$6:$K$405,$AP154)&lt;&gt;$W154),"標準報酬月額が申請書と相違（台帳"&amp;TEXT(INDEX(職員マスタ!$K$6:$K$405,$AP154),"#,##0")&amp;"円／申請書"&amp;TEXT($W154,"#,##0")&amp;"円）／","")&amp;IF(AND(INDEX(職員マスタ!$F$6:$F$405,$AP154)&lt;&gt;"",$AQ154&lt;&gt;"",INDEX(職員マスタ!$F$6:$F$405,$AP154)&lt;$AQ154),"対象月に子が2歳到達済／","")&amp;IF(AND($H154&lt;&gt;"",INDEX(職員マスタ!$B$6:$B$405,$AP154)&lt;&gt;"",SUBSTITUTE(SUBSTITUTE($H154," ","")," ","")&lt;&gt;SUBSTITUTE(SUBSTITUTE(INDEX(職員マスタ!$B$6:$B$405,$AP154)," ","")," ","")),"氏名がマスタと相違／","")&amp;IF(AND($Q154&lt;&gt;"",INDEX(職員マスタ!$E$6:$E$405,$AP154)&lt;&gt;"",$Q154&lt;&gt;INDEX(職員マスタ!$E$6:$E$405,$AP154)),"子の生年月日がマスタと相違／","")&amp;IF(AND($L154&lt;&gt;"",INDEX(職員マスタ!$G$6:$G$405,$AP154)&lt;&gt;"",$L154&lt;&gt;INDEX(職員マスタ!$G$6:$G$405,$AP154)),"時短開始日がマスタと相違／","")&amp;IF(AND($M154&lt;&gt;"",INDEX(職員マスタ!$H$6:$H$405,$AP154)&lt;&gt;"",$M154&lt;&gt;INDEX(職員マスタ!$H$6:$H$405,$AP154)),"時短終了日がマスタと相違／","")))&amp;IF(AND($B154&lt;&gt;"",$E154=""),"報酬額が未入力／","")&amp;IF(N($U154)&gt;0,"申請書に入力エラーが残っています／","")&amp;IF(AND($B154&lt;&gt;"",$AQ154&lt;&gt;""),IF(COUNTIFS($B$6:$B$3005,$B154,$C$6:$C$3005,$C154,$D$6:$D$3005,$D154)&gt;1,"同じ月の請求が重複しています／",""),"")&amp;IF(AND(N($E154)&gt;0,$AB154&lt;&gt;"",$AB154&lt;&gt;"×",$AE154=0,$AD154=""),"計算額が下限以下のため不支給／",""))</f>
        <v/>
      </c>
      <c r="AN154" s="12" t="n"/>
      <c r="AO154" s="14">
        <f>IF($AF154="保留中",COUNTIF($AF$6:$AF154,"保留中"),"")</f>
        <v/>
      </c>
      <c r="AP154" s="14">
        <f>IF($AQ154="","",IF(SUMPRODUCT(MAX((職員マスタ!$A$6:$A$405=$B154)*(((職員マスタ!$G$6:$G$405="")+(職員マスタ!$G$6:$G$405&lt;=EOMONTH($AQ154,0)))&gt;0)*(((職員マスタ!$H$6:$H$405="")+(職員マスタ!$H$6:$H$405&gt;=$AQ154))&gt;0)*(ROW(職員マスタ!$A$6:$A$405)-5)))&gt;0,SUMPRODUCT(MAX((職員マスタ!$A$6:$A$405=$B154)*(((職員マスタ!$G$6:$G$405="")+(職員マスタ!$G$6:$G$405&lt;=EOMONTH($AQ154,0)))&gt;0)*(((職員マスタ!$H$6:$H$405="")+(職員マスタ!$H$6:$H$405&gt;=$AQ154))&gt;0)*(ROW(職員マスタ!$A$6:$A$405)-5))),IFERROR(MATCH($B154,職員マスタ!$A$6:$A$405,0),"")))</f>
        <v/>
      </c>
      <c r="AQ154" s="16">
        <f>IF(OR($B154="",$C154="",$D154=""),"",DATE($C154+2018,$D154,1))</f>
        <v/>
      </c>
    </row>
    <row r="155">
      <c r="A155" s="11" t="n"/>
      <c r="B155" s="12" t="n">
        <v>6301576</v>
      </c>
      <c r="C155" s="12" t="n">
        <v>8</v>
      </c>
      <c r="D155" s="12" t="n">
        <v>3</v>
      </c>
      <c r="E155" s="13" t="n">
        <v>294275</v>
      </c>
      <c r="F155" s="12" t="n"/>
      <c r="G155" s="13" t="n"/>
      <c r="H155" s="12" t="n"/>
      <c r="I155" s="12" t="n"/>
      <c r="J155" s="12" t="n"/>
      <c r="K155" s="12" t="n"/>
      <c r="L155" s="11" t="n"/>
      <c r="M155" s="11" t="n"/>
      <c r="N155" s="11" t="n"/>
      <c r="O155" s="11" t="n"/>
      <c r="P155" s="12" t="n"/>
      <c r="Q155" s="11" t="n"/>
      <c r="R155" s="12" t="n"/>
      <c r="S155" s="11" t="n"/>
      <c r="T155" s="12" t="n"/>
      <c r="U155" s="12" t="n"/>
      <c r="V155" s="12" t="n"/>
      <c r="W155" s="13" t="n"/>
      <c r="X155" s="14">
        <f>IF($AP155="",IF($B155="","",$H155),IF(INDEX(職員マスタ!$B$6:$B$405,$AP155)="",$H155,INDEX(職員マスタ!$B$6:$B$405,$AP155)))</f>
        <v/>
      </c>
      <c r="Y155" s="14">
        <f>IF($AP155="",IF($B155="","",$R155),IF(INDEX(職員マスタ!$C$6:$C$405,$AP155)="",$R155,INDEX(職員マスタ!$C$6:$C$405,$AP155)))</f>
        <v/>
      </c>
      <c r="Z155" s="14">
        <f>IF($AQ155="","","R"&amp;$C155&amp;"."&amp;$D155)</f>
        <v/>
      </c>
      <c r="AA155" s="15">
        <f>IF(IF($AP155="",FALSE,INDEX(職員マスタ!$K$6:$K$405,$AP155)&lt;&gt;""),INDEX(職員マスタ!$K$6:$K$405,$AP155),IF(N($W155)&gt;0,$W155,""))</f>
        <v/>
      </c>
      <c r="AB155" s="14">
        <f>IF(OR($E155="",$AA155=""),"",IF($E155&gt;=$AA155,"×",IF($E155&gt;=$AA155*設定!$C$5,"△","○")))</f>
        <v/>
      </c>
      <c r="AC155" s="15">
        <f>IF($AB155="","",IF($AB155="×",0,IF($AB155="○",ROUNDDOWN($E155*設定!$C$4,0),ROUNDDOWN($E155*ROUND((9*$AA155-9*$E155)/(10*$E155),4),0))))</f>
        <v/>
      </c>
      <c r="AD155" s="13" t="n"/>
      <c r="AE155" s="15">
        <f>IF($B155="","",IF($AD155&lt;&gt;"",$AD155,IF($AC155="","",IF($AC155&lt;=設定!$C$3,0,$AC155))))</f>
        <v/>
      </c>
      <c r="AF155" s="14">
        <f>IF($B155="","",IF(AND($AG155&lt;&gt;"",$AI155="",$AL155=""),"保留中",IF($AL155&lt;&gt;"",IF(N($AE155)&gt;0,"支給済","不支給"),IF($AE155="","要確認",IF($AE155=0,"不支給","未処理")))))</f>
        <v/>
      </c>
      <c r="AG155" s="12" t="n"/>
      <c r="AH155" s="11" t="n"/>
      <c r="AI155" s="11" t="n"/>
      <c r="AJ155" s="11" t="n"/>
      <c r="AK155" s="14">
        <f>IF(AND($AF155="保留中",$AH155&lt;&gt;""),TODAY()-$AH155,"")</f>
        <v/>
      </c>
      <c r="AL155" s="12" t="inlineStr">
        <is>
          <t>R8.5</t>
        </is>
      </c>
      <c r="AM155" s="14">
        <f>IF($B155="","",IF($AQ155="","対象年月が未入力／","")&amp;IF($B155="","",IF($AP155="","職員マスタに未登録の職員番号／",IF($AA155="","標準報酬月額が未登録／","")&amp;IF(AND($AQ155&lt;&gt;"",OR(AND(INDEX(職員マスタ!$G$6:$G$405,$AP155)&lt;&gt;"",INDEX(職員マスタ!$G$6:$G$405,$AP155)&gt;EOMONTH($AQ155,0)),AND(INDEX(職員マスタ!$H$6:$H$405,$AP155)&lt;&gt;"",INDEX(職員マスタ!$H$6:$H$405,$AP155)&lt;$AQ155))),"対象月が時短期間外／","")&amp;IF(AND(INDEX(職員マスタ!$K$6:$K$405,$AP155)&lt;&gt;"",N($W155)&gt;0,INDEX(職員マスタ!$K$6:$K$405,$AP155)&lt;&gt;$W155),"標準報酬月額が申請書と相違（台帳"&amp;TEXT(INDEX(職員マスタ!$K$6:$K$405,$AP155),"#,##0")&amp;"円／申請書"&amp;TEXT($W155,"#,##0")&amp;"円）／","")&amp;IF(AND(INDEX(職員マスタ!$F$6:$F$405,$AP155)&lt;&gt;"",$AQ155&lt;&gt;"",INDEX(職員マスタ!$F$6:$F$405,$AP155)&lt;$AQ155),"対象月に子が2歳到達済／","")&amp;IF(AND($H155&lt;&gt;"",INDEX(職員マスタ!$B$6:$B$405,$AP155)&lt;&gt;"",SUBSTITUTE(SUBSTITUTE($H155," ","")," ","")&lt;&gt;SUBSTITUTE(SUBSTITUTE(INDEX(職員マスタ!$B$6:$B$405,$AP155)," ","")," ","")),"氏名がマスタと相違／","")&amp;IF(AND($Q155&lt;&gt;"",INDEX(職員マスタ!$E$6:$E$405,$AP155)&lt;&gt;"",$Q155&lt;&gt;INDEX(職員マスタ!$E$6:$E$405,$AP155)),"子の生年月日がマスタと相違／","")&amp;IF(AND($L155&lt;&gt;"",INDEX(職員マスタ!$G$6:$G$405,$AP155)&lt;&gt;"",$L155&lt;&gt;INDEX(職員マスタ!$G$6:$G$405,$AP155)),"時短開始日がマスタと相違／","")&amp;IF(AND($M155&lt;&gt;"",INDEX(職員マスタ!$H$6:$H$405,$AP155)&lt;&gt;"",$M155&lt;&gt;INDEX(職員マスタ!$H$6:$H$405,$AP155)),"時短終了日がマスタと相違／","")))&amp;IF(AND($B155&lt;&gt;"",$E155=""),"報酬額が未入力／","")&amp;IF(N($U155)&gt;0,"申請書に入力エラーが残っています／","")&amp;IF(AND($B155&lt;&gt;"",$AQ155&lt;&gt;""),IF(COUNTIFS($B$6:$B$3005,$B155,$C$6:$C$3005,$C155,$D$6:$D$3005,$D155)&gt;1,"同じ月の請求が重複しています／",""),"")&amp;IF(AND(N($E155)&gt;0,$AB155&lt;&gt;"",$AB155&lt;&gt;"×",$AE155=0,$AD155=""),"計算額が下限以下のため不支給／",""))</f>
        <v/>
      </c>
      <c r="AN155" s="12" t="n"/>
      <c r="AO155" s="14">
        <f>IF($AF155="保留中",COUNTIF($AF$6:$AF155,"保留中"),"")</f>
        <v/>
      </c>
      <c r="AP155" s="14">
        <f>IF($AQ155="","",IF(SUMPRODUCT(MAX((職員マスタ!$A$6:$A$405=$B155)*(((職員マスタ!$G$6:$G$405="")+(職員マスタ!$G$6:$G$405&lt;=EOMONTH($AQ155,0)))&gt;0)*(((職員マスタ!$H$6:$H$405="")+(職員マスタ!$H$6:$H$405&gt;=$AQ155))&gt;0)*(ROW(職員マスタ!$A$6:$A$405)-5)))&gt;0,SUMPRODUCT(MAX((職員マスタ!$A$6:$A$405=$B155)*(((職員マスタ!$G$6:$G$405="")+(職員マスタ!$G$6:$G$405&lt;=EOMONTH($AQ155,0)))&gt;0)*(((職員マスタ!$H$6:$H$405="")+(職員マスタ!$H$6:$H$405&gt;=$AQ155))&gt;0)*(ROW(職員マスタ!$A$6:$A$405)-5))),IFERROR(MATCH($B155,職員マスタ!$A$6:$A$405,0),"")))</f>
        <v/>
      </c>
      <c r="AQ155" s="16">
        <f>IF(OR($B155="",$C155="",$D155=""),"",DATE($C155+2018,$D155,1))</f>
        <v/>
      </c>
    </row>
    <row r="156">
      <c r="A156" s="11" t="n"/>
      <c r="B156" s="12" t="n">
        <v>6402739</v>
      </c>
      <c r="C156" s="12" t="n">
        <v>8</v>
      </c>
      <c r="D156" s="12" t="n">
        <v>4</v>
      </c>
      <c r="E156" s="13" t="n">
        <v>202533</v>
      </c>
      <c r="F156" s="12" t="n"/>
      <c r="G156" s="13" t="n"/>
      <c r="H156" s="12" t="n"/>
      <c r="I156" s="12" t="n"/>
      <c r="J156" s="12" t="n"/>
      <c r="K156" s="12" t="n"/>
      <c r="L156" s="11" t="n"/>
      <c r="M156" s="11" t="n"/>
      <c r="N156" s="11" t="n"/>
      <c r="O156" s="11" t="n"/>
      <c r="P156" s="12" t="n"/>
      <c r="Q156" s="11" t="n"/>
      <c r="R156" s="12" t="n"/>
      <c r="S156" s="11" t="n"/>
      <c r="T156" s="12" t="n"/>
      <c r="U156" s="12" t="n"/>
      <c r="V156" s="12" t="n"/>
      <c r="W156" s="13" t="n"/>
      <c r="X156" s="14">
        <f>IF($AP156="",IF($B156="","",$H156),IF(INDEX(職員マスタ!$B$6:$B$405,$AP156)="",$H156,INDEX(職員マスタ!$B$6:$B$405,$AP156)))</f>
        <v/>
      </c>
      <c r="Y156" s="14">
        <f>IF($AP156="",IF($B156="","",$R156),IF(INDEX(職員マスタ!$C$6:$C$405,$AP156)="",$R156,INDEX(職員マスタ!$C$6:$C$405,$AP156)))</f>
        <v/>
      </c>
      <c r="Z156" s="14">
        <f>IF($AQ156="","","R"&amp;$C156&amp;"."&amp;$D156)</f>
        <v/>
      </c>
      <c r="AA156" s="15">
        <f>IF(IF($AP156="",FALSE,INDEX(職員マスタ!$K$6:$K$405,$AP156)&lt;&gt;""),INDEX(職員マスタ!$K$6:$K$405,$AP156),IF(N($W156)&gt;0,$W156,""))</f>
        <v/>
      </c>
      <c r="AB156" s="14">
        <f>IF(OR($E156="",$AA156=""),"",IF($E156&gt;=$AA156,"×",IF($E156&gt;=$AA156*設定!$C$5,"△","○")))</f>
        <v/>
      </c>
      <c r="AC156" s="15">
        <f>IF($AB156="","",IF($AB156="×",0,IF($AB156="○",ROUNDDOWN($E156*設定!$C$4,0),ROUNDDOWN($E156*ROUND((9*$AA156-9*$E156)/(10*$E156),4),0))))</f>
        <v/>
      </c>
      <c r="AD156" s="13" t="n"/>
      <c r="AE156" s="15">
        <f>IF($B156="","",IF($AD156&lt;&gt;"",$AD156,IF($AC156="","",IF($AC156&lt;=設定!$C$3,0,$AC156))))</f>
        <v/>
      </c>
      <c r="AF156" s="14">
        <f>IF($B156="","",IF(AND($AG156&lt;&gt;"",$AI156="",$AL156=""),"保留中",IF($AL156&lt;&gt;"",IF(N($AE156)&gt;0,"支給済","不支給"),IF($AE156="","要確認",IF($AE156=0,"不支給","未処理")))))</f>
        <v/>
      </c>
      <c r="AG156" s="12" t="n"/>
      <c r="AH156" s="11" t="n"/>
      <c r="AI156" s="11" t="n"/>
      <c r="AJ156" s="11" t="n"/>
      <c r="AK156" s="14">
        <f>IF(AND($AF156="保留中",$AH156&lt;&gt;""),TODAY()-$AH156,"")</f>
        <v/>
      </c>
      <c r="AL156" s="12" t="inlineStr">
        <is>
          <t>R8.10</t>
        </is>
      </c>
      <c r="AM156" s="14">
        <f>IF($B156="","",IF($AQ156="","対象年月が未入力／","")&amp;IF($B156="","",IF($AP156="","職員マスタに未登録の職員番号／",IF($AA156="","標準報酬月額が未登録／","")&amp;IF(AND($AQ156&lt;&gt;"",OR(AND(INDEX(職員マスタ!$G$6:$G$405,$AP156)&lt;&gt;"",INDEX(職員マスタ!$G$6:$G$405,$AP156)&gt;EOMONTH($AQ156,0)),AND(INDEX(職員マスタ!$H$6:$H$405,$AP156)&lt;&gt;"",INDEX(職員マスタ!$H$6:$H$405,$AP156)&lt;$AQ156))),"対象月が時短期間外／","")&amp;IF(AND(INDEX(職員マスタ!$K$6:$K$405,$AP156)&lt;&gt;"",N($W156)&gt;0,INDEX(職員マスタ!$K$6:$K$405,$AP156)&lt;&gt;$W156),"標準報酬月額が申請書と相違（台帳"&amp;TEXT(INDEX(職員マスタ!$K$6:$K$405,$AP156),"#,##0")&amp;"円／申請書"&amp;TEXT($W156,"#,##0")&amp;"円）／","")&amp;IF(AND(INDEX(職員マスタ!$F$6:$F$405,$AP156)&lt;&gt;"",$AQ156&lt;&gt;"",INDEX(職員マスタ!$F$6:$F$405,$AP156)&lt;$AQ156),"対象月に子が2歳到達済／","")&amp;IF(AND($H156&lt;&gt;"",INDEX(職員マスタ!$B$6:$B$405,$AP156)&lt;&gt;"",SUBSTITUTE(SUBSTITUTE($H156," ","")," ","")&lt;&gt;SUBSTITUTE(SUBSTITUTE(INDEX(職員マスタ!$B$6:$B$405,$AP156)," ","")," ","")),"氏名がマスタと相違／","")&amp;IF(AND($Q156&lt;&gt;"",INDEX(職員マスタ!$E$6:$E$405,$AP156)&lt;&gt;"",$Q156&lt;&gt;INDEX(職員マスタ!$E$6:$E$405,$AP156)),"子の生年月日がマスタと相違／","")&amp;IF(AND($L156&lt;&gt;"",INDEX(職員マスタ!$G$6:$G$405,$AP156)&lt;&gt;"",$L156&lt;&gt;INDEX(職員マスタ!$G$6:$G$405,$AP156)),"時短開始日がマスタと相違／","")&amp;IF(AND($M156&lt;&gt;"",INDEX(職員マスタ!$H$6:$H$405,$AP156)&lt;&gt;"",$M156&lt;&gt;INDEX(職員マスタ!$H$6:$H$405,$AP156)),"時短終了日がマスタと相違／","")))&amp;IF(AND($B156&lt;&gt;"",$E156=""),"報酬額が未入力／","")&amp;IF(N($U156)&gt;0,"申請書に入力エラーが残っています／","")&amp;IF(AND($B156&lt;&gt;"",$AQ156&lt;&gt;""),IF(COUNTIFS($B$6:$B$3005,$B156,$C$6:$C$3005,$C156,$D$6:$D$3005,$D156)&gt;1,"同じ月の請求が重複しています／",""),"")&amp;IF(AND(N($E156)&gt;0,$AB156&lt;&gt;"",$AB156&lt;&gt;"×",$AE156=0,$AD156=""),"計算額が下限以下のため不支給／",""))</f>
        <v/>
      </c>
      <c r="AN156" s="12" t="n"/>
      <c r="AO156" s="14">
        <f>IF($AF156="保留中",COUNTIF($AF$6:$AF156,"保留中"),"")</f>
        <v/>
      </c>
      <c r="AP156" s="14">
        <f>IF($AQ156="","",IF(SUMPRODUCT(MAX((職員マスタ!$A$6:$A$405=$B156)*(((職員マスタ!$G$6:$G$405="")+(職員マスタ!$G$6:$G$405&lt;=EOMONTH($AQ156,0)))&gt;0)*(((職員マスタ!$H$6:$H$405="")+(職員マスタ!$H$6:$H$405&gt;=$AQ156))&gt;0)*(ROW(職員マスタ!$A$6:$A$405)-5)))&gt;0,SUMPRODUCT(MAX((職員マスタ!$A$6:$A$405=$B156)*(((職員マスタ!$G$6:$G$405="")+(職員マスタ!$G$6:$G$405&lt;=EOMONTH($AQ156,0)))&gt;0)*(((職員マスタ!$H$6:$H$405="")+(職員マスタ!$H$6:$H$405&gt;=$AQ156))&gt;0)*(ROW(職員マスタ!$A$6:$A$405)-5))),IFERROR(MATCH($B156,職員マスタ!$A$6:$A$405,0),"")))</f>
        <v/>
      </c>
      <c r="AQ156" s="16">
        <f>IF(OR($B156="",$C156="",$D156=""),"",DATE($C156+2018,$D156,1))</f>
        <v/>
      </c>
    </row>
    <row r="157">
      <c r="A157" s="11" t="n"/>
      <c r="B157" s="12" t="n">
        <v>6402739</v>
      </c>
      <c r="C157" s="12" t="n">
        <v>8</v>
      </c>
      <c r="D157" s="12" t="n">
        <v>5</v>
      </c>
      <c r="E157" s="13" t="n">
        <v>210869</v>
      </c>
      <c r="F157" s="12" t="n"/>
      <c r="G157" s="13" t="n"/>
      <c r="H157" s="12" t="n"/>
      <c r="I157" s="12" t="n"/>
      <c r="J157" s="12" t="n"/>
      <c r="K157" s="12" t="n"/>
      <c r="L157" s="11" t="n"/>
      <c r="M157" s="11" t="n"/>
      <c r="N157" s="11" t="n"/>
      <c r="O157" s="11" t="n"/>
      <c r="P157" s="12" t="n"/>
      <c r="Q157" s="11" t="n"/>
      <c r="R157" s="12" t="n"/>
      <c r="S157" s="11" t="n"/>
      <c r="T157" s="12" t="n"/>
      <c r="U157" s="12" t="n"/>
      <c r="V157" s="12" t="n"/>
      <c r="W157" s="13" t="n"/>
      <c r="X157" s="14">
        <f>IF($AP157="",IF($B157="","",$H157),IF(INDEX(職員マスタ!$B$6:$B$405,$AP157)="",$H157,INDEX(職員マスタ!$B$6:$B$405,$AP157)))</f>
        <v/>
      </c>
      <c r="Y157" s="14">
        <f>IF($AP157="",IF($B157="","",$R157),IF(INDEX(職員マスタ!$C$6:$C$405,$AP157)="",$R157,INDEX(職員マスタ!$C$6:$C$405,$AP157)))</f>
        <v/>
      </c>
      <c r="Z157" s="14">
        <f>IF($AQ157="","","R"&amp;$C157&amp;"."&amp;$D157)</f>
        <v/>
      </c>
      <c r="AA157" s="15">
        <f>IF(IF($AP157="",FALSE,INDEX(職員マスタ!$K$6:$K$405,$AP157)&lt;&gt;""),INDEX(職員マスタ!$K$6:$K$405,$AP157),IF(N($W157)&gt;0,$W157,""))</f>
        <v/>
      </c>
      <c r="AB157" s="14">
        <f>IF(OR($E157="",$AA157=""),"",IF($E157&gt;=$AA157,"×",IF($E157&gt;=$AA157*設定!$C$5,"△","○")))</f>
        <v/>
      </c>
      <c r="AC157" s="15">
        <f>IF($AB157="","",IF($AB157="×",0,IF($AB157="○",ROUNDDOWN($E157*設定!$C$4,0),ROUNDDOWN($E157*ROUND((9*$AA157-9*$E157)/(10*$E157),4),0))))</f>
        <v/>
      </c>
      <c r="AD157" s="13" t="n"/>
      <c r="AE157" s="15">
        <f>IF($B157="","",IF($AD157&lt;&gt;"",$AD157,IF($AC157="","",IF($AC157&lt;=設定!$C$3,0,$AC157))))</f>
        <v/>
      </c>
      <c r="AF157" s="14">
        <f>IF($B157="","",IF(AND($AG157&lt;&gt;"",$AI157="",$AL157=""),"保留中",IF($AL157&lt;&gt;"",IF(N($AE157)&gt;0,"支給済","不支給"),IF($AE157="","要確認",IF($AE157=0,"不支給","未処理")))))</f>
        <v/>
      </c>
      <c r="AG157" s="12" t="n"/>
      <c r="AH157" s="11" t="n"/>
      <c r="AI157" s="11" t="n"/>
      <c r="AJ157" s="11" t="n"/>
      <c r="AK157" s="14">
        <f>IF(AND($AF157="保留中",$AH157&lt;&gt;""),TODAY()-$AH157,"")</f>
        <v/>
      </c>
      <c r="AL157" s="12" t="inlineStr">
        <is>
          <t>R8.10</t>
        </is>
      </c>
      <c r="AM157" s="14">
        <f>IF($B157="","",IF($AQ157="","対象年月が未入力／","")&amp;IF($B157="","",IF($AP157="","職員マスタに未登録の職員番号／",IF($AA157="","標準報酬月額が未登録／","")&amp;IF(AND($AQ157&lt;&gt;"",OR(AND(INDEX(職員マスタ!$G$6:$G$405,$AP157)&lt;&gt;"",INDEX(職員マスタ!$G$6:$G$405,$AP157)&gt;EOMONTH($AQ157,0)),AND(INDEX(職員マスタ!$H$6:$H$405,$AP157)&lt;&gt;"",INDEX(職員マスタ!$H$6:$H$405,$AP157)&lt;$AQ157))),"対象月が時短期間外／","")&amp;IF(AND(INDEX(職員マスタ!$K$6:$K$405,$AP157)&lt;&gt;"",N($W157)&gt;0,INDEX(職員マスタ!$K$6:$K$405,$AP157)&lt;&gt;$W157),"標準報酬月額が申請書と相違（台帳"&amp;TEXT(INDEX(職員マスタ!$K$6:$K$405,$AP157),"#,##0")&amp;"円／申請書"&amp;TEXT($W157,"#,##0")&amp;"円）／","")&amp;IF(AND(INDEX(職員マスタ!$F$6:$F$405,$AP157)&lt;&gt;"",$AQ157&lt;&gt;"",INDEX(職員マスタ!$F$6:$F$405,$AP157)&lt;$AQ157),"対象月に子が2歳到達済／","")&amp;IF(AND($H157&lt;&gt;"",INDEX(職員マスタ!$B$6:$B$405,$AP157)&lt;&gt;"",SUBSTITUTE(SUBSTITUTE($H157," ","")," ","")&lt;&gt;SUBSTITUTE(SUBSTITUTE(INDEX(職員マスタ!$B$6:$B$405,$AP157)," ","")," ","")),"氏名がマスタと相違／","")&amp;IF(AND($Q157&lt;&gt;"",INDEX(職員マスタ!$E$6:$E$405,$AP157)&lt;&gt;"",$Q157&lt;&gt;INDEX(職員マスタ!$E$6:$E$405,$AP157)),"子の生年月日がマスタと相違／","")&amp;IF(AND($L157&lt;&gt;"",INDEX(職員マスタ!$G$6:$G$405,$AP157)&lt;&gt;"",$L157&lt;&gt;INDEX(職員マスタ!$G$6:$G$405,$AP157)),"時短開始日がマスタと相違／","")&amp;IF(AND($M157&lt;&gt;"",INDEX(職員マスタ!$H$6:$H$405,$AP157)&lt;&gt;"",$M157&lt;&gt;INDEX(職員マスタ!$H$6:$H$405,$AP157)),"時短終了日がマスタと相違／","")))&amp;IF(AND($B157&lt;&gt;"",$E157=""),"報酬額が未入力／","")&amp;IF(N($U157)&gt;0,"申請書に入力エラーが残っています／","")&amp;IF(AND($B157&lt;&gt;"",$AQ157&lt;&gt;""),IF(COUNTIFS($B$6:$B$3005,$B157,$C$6:$C$3005,$C157,$D$6:$D$3005,$D157)&gt;1,"同じ月の請求が重複しています／",""),"")&amp;IF(AND(N($E157)&gt;0,$AB157&lt;&gt;"",$AB157&lt;&gt;"×",$AE157=0,$AD157=""),"計算額が下限以下のため不支給／",""))</f>
        <v/>
      </c>
      <c r="AN157" s="12" t="n"/>
      <c r="AO157" s="14">
        <f>IF($AF157="保留中",COUNTIF($AF$6:$AF157,"保留中"),"")</f>
        <v/>
      </c>
      <c r="AP157" s="14">
        <f>IF($AQ157="","",IF(SUMPRODUCT(MAX((職員マスタ!$A$6:$A$405=$B157)*(((職員マスタ!$G$6:$G$405="")+(職員マスタ!$G$6:$G$405&lt;=EOMONTH($AQ157,0)))&gt;0)*(((職員マスタ!$H$6:$H$405="")+(職員マスタ!$H$6:$H$405&gt;=$AQ157))&gt;0)*(ROW(職員マスタ!$A$6:$A$405)-5)))&gt;0,SUMPRODUCT(MAX((職員マスタ!$A$6:$A$405=$B157)*(((職員マスタ!$G$6:$G$405="")+(職員マスタ!$G$6:$G$405&lt;=EOMONTH($AQ157,0)))&gt;0)*(((職員マスタ!$H$6:$H$405="")+(職員マスタ!$H$6:$H$405&gt;=$AQ157))&gt;0)*(ROW(職員マスタ!$A$6:$A$405)-5))),IFERROR(MATCH($B157,職員マスタ!$A$6:$A$405,0),"")))</f>
        <v/>
      </c>
      <c r="AQ157" s="16">
        <f>IF(OR($B157="",$C157="",$D157=""),"",DATE($C157+2018,$D157,1))</f>
        <v/>
      </c>
    </row>
    <row r="158">
      <c r="A158" s="11" t="n"/>
      <c r="B158" s="12" t="n">
        <v>6402739</v>
      </c>
      <c r="C158" s="12" t="n">
        <v>8</v>
      </c>
      <c r="D158" s="12" t="n">
        <v>6</v>
      </c>
      <c r="E158" s="13" t="n">
        <v>208785</v>
      </c>
      <c r="F158" s="12" t="n"/>
      <c r="G158" s="13" t="n"/>
      <c r="H158" s="12" t="n"/>
      <c r="I158" s="12" t="n"/>
      <c r="J158" s="12" t="n"/>
      <c r="K158" s="12" t="n"/>
      <c r="L158" s="11" t="n"/>
      <c r="M158" s="11" t="n"/>
      <c r="N158" s="11" t="n"/>
      <c r="O158" s="11" t="n"/>
      <c r="P158" s="12" t="n"/>
      <c r="Q158" s="11" t="n"/>
      <c r="R158" s="12" t="n"/>
      <c r="S158" s="11" t="n"/>
      <c r="T158" s="12" t="n"/>
      <c r="U158" s="12" t="n"/>
      <c r="V158" s="12" t="n"/>
      <c r="W158" s="13" t="n"/>
      <c r="X158" s="14">
        <f>IF($AP158="",IF($B158="","",$H158),IF(INDEX(職員マスタ!$B$6:$B$405,$AP158)="",$H158,INDEX(職員マスタ!$B$6:$B$405,$AP158)))</f>
        <v/>
      </c>
      <c r="Y158" s="14">
        <f>IF($AP158="",IF($B158="","",$R158),IF(INDEX(職員マスタ!$C$6:$C$405,$AP158)="",$R158,INDEX(職員マスタ!$C$6:$C$405,$AP158)))</f>
        <v/>
      </c>
      <c r="Z158" s="14">
        <f>IF($AQ158="","","R"&amp;$C158&amp;"."&amp;$D158)</f>
        <v/>
      </c>
      <c r="AA158" s="15">
        <f>IF(IF($AP158="",FALSE,INDEX(職員マスタ!$K$6:$K$405,$AP158)&lt;&gt;""),INDEX(職員マスタ!$K$6:$K$405,$AP158),IF(N($W158)&gt;0,$W158,""))</f>
        <v/>
      </c>
      <c r="AB158" s="14">
        <f>IF(OR($E158="",$AA158=""),"",IF($E158&gt;=$AA158,"×",IF($E158&gt;=$AA158*設定!$C$5,"△","○")))</f>
        <v/>
      </c>
      <c r="AC158" s="15">
        <f>IF($AB158="","",IF($AB158="×",0,IF($AB158="○",ROUNDDOWN($E158*設定!$C$4,0),ROUNDDOWN($E158*ROUND((9*$AA158-9*$E158)/(10*$E158),4),0))))</f>
        <v/>
      </c>
      <c r="AD158" s="13" t="n"/>
      <c r="AE158" s="15">
        <f>IF($B158="","",IF($AD158&lt;&gt;"",$AD158,IF($AC158="","",IF($AC158&lt;=設定!$C$3,0,$AC158))))</f>
        <v/>
      </c>
      <c r="AF158" s="14">
        <f>IF($B158="","",IF(AND($AG158&lt;&gt;"",$AI158="",$AL158=""),"保留中",IF($AL158&lt;&gt;"",IF(N($AE158)&gt;0,"支給済","不支給"),IF($AE158="","要確認",IF($AE158=0,"不支給","未処理")))))</f>
        <v/>
      </c>
      <c r="AG158" s="12" t="n"/>
      <c r="AH158" s="11" t="n"/>
      <c r="AI158" s="11" t="n"/>
      <c r="AJ158" s="11" t="n"/>
      <c r="AK158" s="14">
        <f>IF(AND($AF158="保留中",$AH158&lt;&gt;""),TODAY()-$AH158,"")</f>
        <v/>
      </c>
      <c r="AL158" s="12" t="inlineStr">
        <is>
          <t>R8.10</t>
        </is>
      </c>
      <c r="AM158" s="14">
        <f>IF($B158="","",IF($AQ158="","対象年月が未入力／","")&amp;IF($B158="","",IF($AP158="","職員マスタに未登録の職員番号／",IF($AA158="","標準報酬月額が未登録／","")&amp;IF(AND($AQ158&lt;&gt;"",OR(AND(INDEX(職員マスタ!$G$6:$G$405,$AP158)&lt;&gt;"",INDEX(職員マスタ!$G$6:$G$405,$AP158)&gt;EOMONTH($AQ158,0)),AND(INDEX(職員マスタ!$H$6:$H$405,$AP158)&lt;&gt;"",INDEX(職員マスタ!$H$6:$H$405,$AP158)&lt;$AQ158))),"対象月が時短期間外／","")&amp;IF(AND(INDEX(職員マスタ!$K$6:$K$405,$AP158)&lt;&gt;"",N($W158)&gt;0,INDEX(職員マスタ!$K$6:$K$405,$AP158)&lt;&gt;$W158),"標準報酬月額が申請書と相違（台帳"&amp;TEXT(INDEX(職員マスタ!$K$6:$K$405,$AP158),"#,##0")&amp;"円／申請書"&amp;TEXT($W158,"#,##0")&amp;"円）／","")&amp;IF(AND(INDEX(職員マスタ!$F$6:$F$405,$AP158)&lt;&gt;"",$AQ158&lt;&gt;"",INDEX(職員マスタ!$F$6:$F$405,$AP158)&lt;$AQ158),"対象月に子が2歳到達済／","")&amp;IF(AND($H158&lt;&gt;"",INDEX(職員マスタ!$B$6:$B$405,$AP158)&lt;&gt;"",SUBSTITUTE(SUBSTITUTE($H158," ","")," ","")&lt;&gt;SUBSTITUTE(SUBSTITUTE(INDEX(職員マスタ!$B$6:$B$405,$AP158)," ","")," ","")),"氏名がマスタと相違／","")&amp;IF(AND($Q158&lt;&gt;"",INDEX(職員マスタ!$E$6:$E$405,$AP158)&lt;&gt;"",$Q158&lt;&gt;INDEX(職員マスタ!$E$6:$E$405,$AP158)),"子の生年月日がマスタと相違／","")&amp;IF(AND($L158&lt;&gt;"",INDEX(職員マスタ!$G$6:$G$405,$AP158)&lt;&gt;"",$L158&lt;&gt;INDEX(職員マスタ!$G$6:$G$405,$AP158)),"時短開始日がマスタと相違／","")&amp;IF(AND($M158&lt;&gt;"",INDEX(職員マスタ!$H$6:$H$405,$AP158)&lt;&gt;"",$M158&lt;&gt;INDEX(職員マスタ!$H$6:$H$405,$AP158)),"時短終了日がマスタと相違／","")))&amp;IF(AND($B158&lt;&gt;"",$E158=""),"報酬額が未入力／","")&amp;IF(N($U158)&gt;0,"申請書に入力エラーが残っています／","")&amp;IF(AND($B158&lt;&gt;"",$AQ158&lt;&gt;""),IF(COUNTIFS($B$6:$B$3005,$B158,$C$6:$C$3005,$C158,$D$6:$D$3005,$D158)&gt;1,"同じ月の請求が重複しています／",""),"")&amp;IF(AND(N($E158)&gt;0,$AB158&lt;&gt;"",$AB158&lt;&gt;"×",$AE158=0,$AD158=""),"計算額が下限以下のため不支給／",""))</f>
        <v/>
      </c>
      <c r="AN158" s="12" t="n"/>
      <c r="AO158" s="14">
        <f>IF($AF158="保留中",COUNTIF($AF$6:$AF158,"保留中"),"")</f>
        <v/>
      </c>
      <c r="AP158" s="14">
        <f>IF($AQ158="","",IF(SUMPRODUCT(MAX((職員マスタ!$A$6:$A$405=$B158)*(((職員マスタ!$G$6:$G$405="")+(職員マスタ!$G$6:$G$405&lt;=EOMONTH($AQ158,0)))&gt;0)*(((職員マスタ!$H$6:$H$405="")+(職員マスタ!$H$6:$H$405&gt;=$AQ158))&gt;0)*(ROW(職員マスタ!$A$6:$A$405)-5)))&gt;0,SUMPRODUCT(MAX((職員マスタ!$A$6:$A$405=$B158)*(((職員マスタ!$G$6:$G$405="")+(職員マスタ!$G$6:$G$405&lt;=EOMONTH($AQ158,0)))&gt;0)*(((職員マスタ!$H$6:$H$405="")+(職員マスタ!$H$6:$H$405&gt;=$AQ158))&gt;0)*(ROW(職員マスタ!$A$6:$A$405)-5))),IFERROR(MATCH($B158,職員マスタ!$A$6:$A$405,0),"")))</f>
        <v/>
      </c>
      <c r="AQ158" s="16">
        <f>IF(OR($B158="",$C158="",$D158=""),"",DATE($C158+2018,$D158,1))</f>
        <v/>
      </c>
    </row>
    <row r="159">
      <c r="A159" s="11" t="n"/>
      <c r="B159" s="12" t="n">
        <v>6402739</v>
      </c>
      <c r="C159" s="12" t="n">
        <v>8</v>
      </c>
      <c r="D159" s="12" t="n">
        <v>7</v>
      </c>
      <c r="E159" s="13" t="n">
        <v>202533</v>
      </c>
      <c r="F159" s="12" t="n"/>
      <c r="G159" s="13" t="n"/>
      <c r="H159" s="12" t="n"/>
      <c r="I159" s="12" t="n"/>
      <c r="J159" s="12" t="n"/>
      <c r="K159" s="12" t="n"/>
      <c r="L159" s="11" t="n"/>
      <c r="M159" s="11" t="n"/>
      <c r="N159" s="11" t="n"/>
      <c r="O159" s="11" t="n"/>
      <c r="P159" s="12" t="n"/>
      <c r="Q159" s="11" t="n"/>
      <c r="R159" s="12" t="n"/>
      <c r="S159" s="11" t="n"/>
      <c r="T159" s="12" t="n"/>
      <c r="U159" s="12" t="n"/>
      <c r="V159" s="12" t="n"/>
      <c r="W159" s="13" t="n"/>
      <c r="X159" s="14">
        <f>IF($AP159="",IF($B159="","",$H159),IF(INDEX(職員マスタ!$B$6:$B$405,$AP159)="",$H159,INDEX(職員マスタ!$B$6:$B$405,$AP159)))</f>
        <v/>
      </c>
      <c r="Y159" s="14">
        <f>IF($AP159="",IF($B159="","",$R159),IF(INDEX(職員マスタ!$C$6:$C$405,$AP159)="",$R159,INDEX(職員マスタ!$C$6:$C$405,$AP159)))</f>
        <v/>
      </c>
      <c r="Z159" s="14">
        <f>IF($AQ159="","","R"&amp;$C159&amp;"."&amp;$D159)</f>
        <v/>
      </c>
      <c r="AA159" s="15">
        <f>IF(IF($AP159="",FALSE,INDEX(職員マスタ!$K$6:$K$405,$AP159)&lt;&gt;""),INDEX(職員マスタ!$K$6:$K$405,$AP159),IF(N($W159)&gt;0,$W159,""))</f>
        <v/>
      </c>
      <c r="AB159" s="14">
        <f>IF(OR($E159="",$AA159=""),"",IF($E159&gt;=$AA159,"×",IF($E159&gt;=$AA159*設定!$C$5,"△","○")))</f>
        <v/>
      </c>
      <c r="AC159" s="15">
        <f>IF($AB159="","",IF($AB159="×",0,IF($AB159="○",ROUNDDOWN($E159*設定!$C$4,0),ROUNDDOWN($E159*ROUND((9*$AA159-9*$E159)/(10*$E159),4),0))))</f>
        <v/>
      </c>
      <c r="AD159" s="13" t="n"/>
      <c r="AE159" s="15">
        <f>IF($B159="","",IF($AD159&lt;&gt;"",$AD159,IF($AC159="","",IF($AC159&lt;=設定!$C$3,0,$AC159))))</f>
        <v/>
      </c>
      <c r="AF159" s="14">
        <f>IF($B159="","",IF(AND($AG159&lt;&gt;"",$AI159="",$AL159=""),"保留中",IF($AL159&lt;&gt;"",IF(N($AE159)&gt;0,"支給済","不支給"),IF($AE159="","要確認",IF($AE159=0,"不支給","未処理")))))</f>
        <v/>
      </c>
      <c r="AG159" s="12" t="n"/>
      <c r="AH159" s="11" t="n"/>
      <c r="AI159" s="11" t="n"/>
      <c r="AJ159" s="11" t="n"/>
      <c r="AK159" s="14">
        <f>IF(AND($AF159="保留中",$AH159&lt;&gt;""),TODAY()-$AH159,"")</f>
        <v/>
      </c>
      <c r="AL159" s="12" t="inlineStr">
        <is>
          <t>R8.10</t>
        </is>
      </c>
      <c r="AM159" s="14">
        <f>IF($B159="","",IF($AQ159="","対象年月が未入力／","")&amp;IF($B159="","",IF($AP159="","職員マスタに未登録の職員番号／",IF($AA159="","標準報酬月額が未登録／","")&amp;IF(AND($AQ159&lt;&gt;"",OR(AND(INDEX(職員マスタ!$G$6:$G$405,$AP159)&lt;&gt;"",INDEX(職員マスタ!$G$6:$G$405,$AP159)&gt;EOMONTH($AQ159,0)),AND(INDEX(職員マスタ!$H$6:$H$405,$AP159)&lt;&gt;"",INDEX(職員マスタ!$H$6:$H$405,$AP159)&lt;$AQ159))),"対象月が時短期間外／","")&amp;IF(AND(INDEX(職員マスタ!$K$6:$K$405,$AP159)&lt;&gt;"",N($W159)&gt;0,INDEX(職員マスタ!$K$6:$K$405,$AP159)&lt;&gt;$W159),"標準報酬月額が申請書と相違（台帳"&amp;TEXT(INDEX(職員マスタ!$K$6:$K$405,$AP159),"#,##0")&amp;"円／申請書"&amp;TEXT($W159,"#,##0")&amp;"円）／","")&amp;IF(AND(INDEX(職員マスタ!$F$6:$F$405,$AP159)&lt;&gt;"",$AQ159&lt;&gt;"",INDEX(職員マスタ!$F$6:$F$405,$AP159)&lt;$AQ159),"対象月に子が2歳到達済／","")&amp;IF(AND($H159&lt;&gt;"",INDEX(職員マスタ!$B$6:$B$405,$AP159)&lt;&gt;"",SUBSTITUTE(SUBSTITUTE($H159," ","")," ","")&lt;&gt;SUBSTITUTE(SUBSTITUTE(INDEX(職員マスタ!$B$6:$B$405,$AP159)," ","")," ","")),"氏名がマスタと相違／","")&amp;IF(AND($Q159&lt;&gt;"",INDEX(職員マスタ!$E$6:$E$405,$AP159)&lt;&gt;"",$Q159&lt;&gt;INDEX(職員マスタ!$E$6:$E$405,$AP159)),"子の生年月日がマスタと相違／","")&amp;IF(AND($L159&lt;&gt;"",INDEX(職員マスタ!$G$6:$G$405,$AP159)&lt;&gt;"",$L159&lt;&gt;INDEX(職員マスタ!$G$6:$G$405,$AP159)),"時短開始日がマスタと相違／","")&amp;IF(AND($M159&lt;&gt;"",INDEX(職員マスタ!$H$6:$H$405,$AP159)&lt;&gt;"",$M159&lt;&gt;INDEX(職員マスタ!$H$6:$H$405,$AP159)),"時短終了日がマスタと相違／","")))&amp;IF(AND($B159&lt;&gt;"",$E159=""),"報酬額が未入力／","")&amp;IF(N($U159)&gt;0,"申請書に入力エラーが残っています／","")&amp;IF(AND($B159&lt;&gt;"",$AQ159&lt;&gt;""),IF(COUNTIFS($B$6:$B$3005,$B159,$C$6:$C$3005,$C159,$D$6:$D$3005,$D159)&gt;1,"同じ月の請求が重複しています／",""),"")&amp;IF(AND(N($E159)&gt;0,$AB159&lt;&gt;"",$AB159&lt;&gt;"×",$AE159=0,$AD159=""),"計算額が下限以下のため不支給／",""))</f>
        <v/>
      </c>
      <c r="AN159" s="12" t="n"/>
      <c r="AO159" s="14">
        <f>IF($AF159="保留中",COUNTIF($AF$6:$AF159,"保留中"),"")</f>
        <v/>
      </c>
      <c r="AP159" s="14">
        <f>IF($AQ159="","",IF(SUMPRODUCT(MAX((職員マスタ!$A$6:$A$405=$B159)*(((職員マスタ!$G$6:$G$405="")+(職員マスタ!$G$6:$G$405&lt;=EOMONTH($AQ159,0)))&gt;0)*(((職員マスタ!$H$6:$H$405="")+(職員マスタ!$H$6:$H$405&gt;=$AQ159))&gt;0)*(ROW(職員マスタ!$A$6:$A$405)-5)))&gt;0,SUMPRODUCT(MAX((職員マスタ!$A$6:$A$405=$B159)*(((職員マスタ!$G$6:$G$405="")+(職員マスタ!$G$6:$G$405&lt;=EOMONTH($AQ159,0)))&gt;0)*(((職員マスタ!$H$6:$H$405="")+(職員マスタ!$H$6:$H$405&gt;=$AQ159))&gt;0)*(ROW(職員マスタ!$A$6:$A$405)-5))),IFERROR(MATCH($B159,職員マスタ!$A$6:$A$405,0),"")))</f>
        <v/>
      </c>
      <c r="AQ159" s="16">
        <f>IF(OR($B159="",$C159="",$D159=""),"",DATE($C159+2018,$D159,1))</f>
        <v/>
      </c>
    </row>
    <row r="160">
      <c r="A160" s="11" t="n"/>
      <c r="B160" s="12" t="n">
        <v>6402739</v>
      </c>
      <c r="C160" s="12" t="n">
        <v>8</v>
      </c>
      <c r="D160" s="12" t="n">
        <v>8</v>
      </c>
      <c r="E160" s="13" t="n">
        <v>206701</v>
      </c>
      <c r="F160" s="12" t="n"/>
      <c r="G160" s="13" t="n"/>
      <c r="H160" s="12" t="n"/>
      <c r="I160" s="12" t="n"/>
      <c r="J160" s="12" t="n"/>
      <c r="K160" s="12" t="n"/>
      <c r="L160" s="11" t="n"/>
      <c r="M160" s="11" t="n"/>
      <c r="N160" s="11" t="n"/>
      <c r="O160" s="11" t="n"/>
      <c r="P160" s="12" t="n"/>
      <c r="Q160" s="11" t="n"/>
      <c r="R160" s="12" t="n"/>
      <c r="S160" s="11" t="n"/>
      <c r="T160" s="12" t="n"/>
      <c r="U160" s="12" t="n"/>
      <c r="V160" s="12" t="n"/>
      <c r="W160" s="13" t="n"/>
      <c r="X160" s="14">
        <f>IF($AP160="",IF($B160="","",$H160),IF(INDEX(職員マスタ!$B$6:$B$405,$AP160)="",$H160,INDEX(職員マスタ!$B$6:$B$405,$AP160)))</f>
        <v/>
      </c>
      <c r="Y160" s="14">
        <f>IF($AP160="",IF($B160="","",$R160),IF(INDEX(職員マスタ!$C$6:$C$405,$AP160)="",$R160,INDEX(職員マスタ!$C$6:$C$405,$AP160)))</f>
        <v/>
      </c>
      <c r="Z160" s="14">
        <f>IF($AQ160="","","R"&amp;$C160&amp;"."&amp;$D160)</f>
        <v/>
      </c>
      <c r="AA160" s="15">
        <f>IF(IF($AP160="",FALSE,INDEX(職員マスタ!$K$6:$K$405,$AP160)&lt;&gt;""),INDEX(職員マスタ!$K$6:$K$405,$AP160),IF(N($W160)&gt;0,$W160,""))</f>
        <v/>
      </c>
      <c r="AB160" s="14">
        <f>IF(OR($E160="",$AA160=""),"",IF($E160&gt;=$AA160,"×",IF($E160&gt;=$AA160*設定!$C$5,"△","○")))</f>
        <v/>
      </c>
      <c r="AC160" s="15">
        <f>IF($AB160="","",IF($AB160="×",0,IF($AB160="○",ROUNDDOWN($E160*設定!$C$4,0),ROUNDDOWN($E160*ROUND((9*$AA160-9*$E160)/(10*$E160),4),0))))</f>
        <v/>
      </c>
      <c r="AD160" s="13" t="n"/>
      <c r="AE160" s="15">
        <f>IF($B160="","",IF($AD160&lt;&gt;"",$AD160,IF($AC160="","",IF($AC160&lt;=設定!$C$3,0,$AC160))))</f>
        <v/>
      </c>
      <c r="AF160" s="14">
        <f>IF($B160="","",IF(AND($AG160&lt;&gt;"",$AI160="",$AL160=""),"保留中",IF($AL160&lt;&gt;"",IF(N($AE160)&gt;0,"支給済","不支給"),IF($AE160="","要確認",IF($AE160=0,"不支給","未処理")))))</f>
        <v/>
      </c>
      <c r="AG160" s="12" t="n"/>
      <c r="AH160" s="11" t="n"/>
      <c r="AI160" s="11" t="n"/>
      <c r="AJ160" s="11" t="n"/>
      <c r="AK160" s="14">
        <f>IF(AND($AF160="保留中",$AH160&lt;&gt;""),TODAY()-$AH160,"")</f>
        <v/>
      </c>
      <c r="AL160" s="12" t="inlineStr">
        <is>
          <t>R8.10</t>
        </is>
      </c>
      <c r="AM160" s="14">
        <f>IF($B160="","",IF($AQ160="","対象年月が未入力／","")&amp;IF($B160="","",IF($AP160="","職員マスタに未登録の職員番号／",IF($AA160="","標準報酬月額が未登録／","")&amp;IF(AND($AQ160&lt;&gt;"",OR(AND(INDEX(職員マスタ!$G$6:$G$405,$AP160)&lt;&gt;"",INDEX(職員マスタ!$G$6:$G$405,$AP160)&gt;EOMONTH($AQ160,0)),AND(INDEX(職員マスタ!$H$6:$H$405,$AP160)&lt;&gt;"",INDEX(職員マスタ!$H$6:$H$405,$AP160)&lt;$AQ160))),"対象月が時短期間外／","")&amp;IF(AND(INDEX(職員マスタ!$K$6:$K$405,$AP160)&lt;&gt;"",N($W160)&gt;0,INDEX(職員マスタ!$K$6:$K$405,$AP160)&lt;&gt;$W160),"標準報酬月額が申請書と相違（台帳"&amp;TEXT(INDEX(職員マスタ!$K$6:$K$405,$AP160),"#,##0")&amp;"円／申請書"&amp;TEXT($W160,"#,##0")&amp;"円）／","")&amp;IF(AND(INDEX(職員マスタ!$F$6:$F$405,$AP160)&lt;&gt;"",$AQ160&lt;&gt;"",INDEX(職員マスタ!$F$6:$F$405,$AP160)&lt;$AQ160),"対象月に子が2歳到達済／","")&amp;IF(AND($H160&lt;&gt;"",INDEX(職員マスタ!$B$6:$B$405,$AP160)&lt;&gt;"",SUBSTITUTE(SUBSTITUTE($H160," ","")," ","")&lt;&gt;SUBSTITUTE(SUBSTITUTE(INDEX(職員マスタ!$B$6:$B$405,$AP160)," ","")," ","")),"氏名がマスタと相違／","")&amp;IF(AND($Q160&lt;&gt;"",INDEX(職員マスタ!$E$6:$E$405,$AP160)&lt;&gt;"",$Q160&lt;&gt;INDEX(職員マスタ!$E$6:$E$405,$AP160)),"子の生年月日がマスタと相違／","")&amp;IF(AND($L160&lt;&gt;"",INDEX(職員マスタ!$G$6:$G$405,$AP160)&lt;&gt;"",$L160&lt;&gt;INDEX(職員マスタ!$G$6:$G$405,$AP160)),"時短開始日がマスタと相違／","")&amp;IF(AND($M160&lt;&gt;"",INDEX(職員マスタ!$H$6:$H$405,$AP160)&lt;&gt;"",$M160&lt;&gt;INDEX(職員マスタ!$H$6:$H$405,$AP160)),"時短終了日がマスタと相違／","")))&amp;IF(AND($B160&lt;&gt;"",$E160=""),"報酬額が未入力／","")&amp;IF(N($U160)&gt;0,"申請書に入力エラーが残っています／","")&amp;IF(AND($B160&lt;&gt;"",$AQ160&lt;&gt;""),IF(COUNTIFS($B$6:$B$3005,$B160,$C$6:$C$3005,$C160,$D$6:$D$3005,$D160)&gt;1,"同じ月の請求が重複しています／",""),"")&amp;IF(AND(N($E160)&gt;0,$AB160&lt;&gt;"",$AB160&lt;&gt;"×",$AE160=0,$AD160=""),"計算額が下限以下のため不支給／",""))</f>
        <v/>
      </c>
      <c r="AN160" s="12" t="n"/>
      <c r="AO160" s="14">
        <f>IF($AF160="保留中",COUNTIF($AF$6:$AF160,"保留中"),"")</f>
        <v/>
      </c>
      <c r="AP160" s="14">
        <f>IF($AQ160="","",IF(SUMPRODUCT(MAX((職員マスタ!$A$6:$A$405=$B160)*(((職員マスタ!$G$6:$G$405="")+(職員マスタ!$G$6:$G$405&lt;=EOMONTH($AQ160,0)))&gt;0)*(((職員マスタ!$H$6:$H$405="")+(職員マスタ!$H$6:$H$405&gt;=$AQ160))&gt;0)*(ROW(職員マスタ!$A$6:$A$405)-5)))&gt;0,SUMPRODUCT(MAX((職員マスタ!$A$6:$A$405=$B160)*(((職員マスタ!$G$6:$G$405="")+(職員マスタ!$G$6:$G$405&lt;=EOMONTH($AQ160,0)))&gt;0)*(((職員マスタ!$H$6:$H$405="")+(職員マスタ!$H$6:$H$405&gt;=$AQ160))&gt;0)*(ROW(職員マスタ!$A$6:$A$405)-5))),IFERROR(MATCH($B160,職員マスタ!$A$6:$A$405,0),"")))</f>
        <v/>
      </c>
      <c r="AQ160" s="16">
        <f>IF(OR($B160="",$C160="",$D160=""),"",DATE($C160+2018,$D160,1))</f>
        <v/>
      </c>
    </row>
    <row r="161">
      <c r="A161" s="11" t="n"/>
      <c r="B161" s="12" t="n">
        <v>6402829</v>
      </c>
      <c r="C161" s="12" t="n">
        <v>7</v>
      </c>
      <c r="D161" s="12" t="n">
        <v>4</v>
      </c>
      <c r="E161" s="13" t="n">
        <v>115817</v>
      </c>
      <c r="F161" s="12" t="n"/>
      <c r="G161" s="13" t="n"/>
      <c r="H161" s="12" t="n"/>
      <c r="I161" s="12" t="n"/>
      <c r="J161" s="12" t="n"/>
      <c r="K161" s="12" t="n"/>
      <c r="L161" s="11" t="n"/>
      <c r="M161" s="11" t="n"/>
      <c r="N161" s="11" t="n"/>
      <c r="O161" s="11" t="n"/>
      <c r="P161" s="12" t="n"/>
      <c r="Q161" s="11" t="n"/>
      <c r="R161" s="12" t="n"/>
      <c r="S161" s="11" t="n"/>
      <c r="T161" s="12" t="n"/>
      <c r="U161" s="12" t="n"/>
      <c r="V161" s="12" t="n"/>
      <c r="W161" s="13" t="n"/>
      <c r="X161" s="14">
        <f>IF($AP161="",IF($B161="","",$H161),IF(INDEX(職員マスタ!$B$6:$B$405,$AP161)="",$H161,INDEX(職員マスタ!$B$6:$B$405,$AP161)))</f>
        <v/>
      </c>
      <c r="Y161" s="14">
        <f>IF($AP161="",IF($B161="","",$R161),IF(INDEX(職員マスタ!$C$6:$C$405,$AP161)="",$R161,INDEX(職員マスタ!$C$6:$C$405,$AP161)))</f>
        <v/>
      </c>
      <c r="Z161" s="14">
        <f>IF($AQ161="","","R"&amp;$C161&amp;"."&amp;$D161)</f>
        <v/>
      </c>
      <c r="AA161" s="15">
        <f>IF(IF($AP161="",FALSE,INDEX(職員マスタ!$K$6:$K$405,$AP161)&lt;&gt;""),INDEX(職員マスタ!$K$6:$K$405,$AP161),IF(N($W161)&gt;0,$W161,""))</f>
        <v/>
      </c>
      <c r="AB161" s="14">
        <f>IF(OR($E161="",$AA161=""),"",IF($E161&gt;=$AA161,"×",IF($E161&gt;=$AA161*設定!$C$5,"△","○")))</f>
        <v/>
      </c>
      <c r="AC161" s="15">
        <f>IF($AB161="","",IF($AB161="×",0,IF($AB161="○",ROUNDDOWN($E161*設定!$C$4,0),ROUNDDOWN($E161*ROUND((9*$AA161-9*$E161)/(10*$E161),4),0))))</f>
        <v/>
      </c>
      <c r="AD161" s="13" t="n"/>
      <c r="AE161" s="15">
        <f>IF($B161="","",IF($AD161&lt;&gt;"",$AD161,IF($AC161="","",IF($AC161&lt;=設定!$C$3,0,$AC161))))</f>
        <v/>
      </c>
      <c r="AF161" s="14">
        <f>IF($B161="","",IF(AND($AG161&lt;&gt;"",$AI161="",$AL161=""),"保留中",IF($AL161&lt;&gt;"",IF(N($AE161)&gt;0,"支給済","不支給"),IF($AE161="","要確認",IF($AE161=0,"不支給","未処理")))))</f>
        <v/>
      </c>
      <c r="AG161" s="12" t="n"/>
      <c r="AH161" s="11" t="n"/>
      <c r="AI161" s="11" t="n"/>
      <c r="AJ161" s="11" t="n"/>
      <c r="AK161" s="14">
        <f>IF(AND($AF161="保留中",$AH161&lt;&gt;""),TODAY()-$AH161,"")</f>
        <v/>
      </c>
      <c r="AL161" s="12" t="inlineStr">
        <is>
          <t>R7.8</t>
        </is>
      </c>
      <c r="AM161" s="14">
        <f>IF($B161="","",IF($AQ161="","対象年月が未入力／","")&amp;IF($B161="","",IF($AP161="","職員マスタに未登録の職員番号／",IF($AA161="","標準報酬月額が未登録／","")&amp;IF(AND($AQ161&lt;&gt;"",OR(AND(INDEX(職員マスタ!$G$6:$G$405,$AP161)&lt;&gt;"",INDEX(職員マスタ!$G$6:$G$405,$AP161)&gt;EOMONTH($AQ161,0)),AND(INDEX(職員マスタ!$H$6:$H$405,$AP161)&lt;&gt;"",INDEX(職員マスタ!$H$6:$H$405,$AP161)&lt;$AQ161))),"対象月が時短期間外／","")&amp;IF(AND(INDEX(職員マスタ!$K$6:$K$405,$AP161)&lt;&gt;"",N($W161)&gt;0,INDEX(職員マスタ!$K$6:$K$405,$AP161)&lt;&gt;$W161),"標準報酬月額が申請書と相違（台帳"&amp;TEXT(INDEX(職員マスタ!$K$6:$K$405,$AP161),"#,##0")&amp;"円／申請書"&amp;TEXT($W161,"#,##0")&amp;"円）／","")&amp;IF(AND(INDEX(職員マスタ!$F$6:$F$405,$AP161)&lt;&gt;"",$AQ161&lt;&gt;"",INDEX(職員マスタ!$F$6:$F$405,$AP161)&lt;$AQ161),"対象月に子が2歳到達済／","")&amp;IF(AND($H161&lt;&gt;"",INDEX(職員マスタ!$B$6:$B$405,$AP161)&lt;&gt;"",SUBSTITUTE(SUBSTITUTE($H161," ","")," ","")&lt;&gt;SUBSTITUTE(SUBSTITUTE(INDEX(職員マスタ!$B$6:$B$405,$AP161)," ","")," ","")),"氏名がマスタと相違／","")&amp;IF(AND($Q161&lt;&gt;"",INDEX(職員マスタ!$E$6:$E$405,$AP161)&lt;&gt;"",$Q161&lt;&gt;INDEX(職員マスタ!$E$6:$E$405,$AP161)),"子の生年月日がマスタと相違／","")&amp;IF(AND($L161&lt;&gt;"",INDEX(職員マスタ!$G$6:$G$405,$AP161)&lt;&gt;"",$L161&lt;&gt;INDEX(職員マスタ!$G$6:$G$405,$AP161)),"時短開始日がマスタと相違／","")&amp;IF(AND($M161&lt;&gt;"",INDEX(職員マスタ!$H$6:$H$405,$AP161)&lt;&gt;"",$M161&lt;&gt;INDEX(職員マスタ!$H$6:$H$405,$AP161)),"時短終了日がマスタと相違／","")))&amp;IF(AND($B161&lt;&gt;"",$E161=""),"報酬額が未入力／","")&amp;IF(N($U161)&gt;0,"申請書に入力エラーが残っています／","")&amp;IF(AND($B161&lt;&gt;"",$AQ161&lt;&gt;""),IF(COUNTIFS($B$6:$B$3005,$B161,$C$6:$C$3005,$C161,$D$6:$D$3005,$D161)&gt;1,"同じ月の請求が重複しています／",""),"")&amp;IF(AND(N($E161)&gt;0,$AB161&lt;&gt;"",$AB161&lt;&gt;"×",$AE161=0,$AD161=""),"計算額が下限以下のため不支給／",""))</f>
        <v/>
      </c>
      <c r="AN161" s="12" t="n"/>
      <c r="AO161" s="14">
        <f>IF($AF161="保留中",COUNTIF($AF$6:$AF161,"保留中"),"")</f>
        <v/>
      </c>
      <c r="AP161" s="14">
        <f>IF($AQ161="","",IF(SUMPRODUCT(MAX((職員マスタ!$A$6:$A$405=$B161)*(((職員マスタ!$G$6:$G$405="")+(職員マスタ!$G$6:$G$405&lt;=EOMONTH($AQ161,0)))&gt;0)*(((職員マスタ!$H$6:$H$405="")+(職員マスタ!$H$6:$H$405&gt;=$AQ161))&gt;0)*(ROW(職員マスタ!$A$6:$A$405)-5)))&gt;0,SUMPRODUCT(MAX((職員マスタ!$A$6:$A$405=$B161)*(((職員マスタ!$G$6:$G$405="")+(職員マスタ!$G$6:$G$405&lt;=EOMONTH($AQ161,0)))&gt;0)*(((職員マスタ!$H$6:$H$405="")+(職員マスタ!$H$6:$H$405&gt;=$AQ161))&gt;0)*(ROW(職員マスタ!$A$6:$A$405)-5))),IFERROR(MATCH($B161,職員マスタ!$A$6:$A$405,0),"")))</f>
        <v/>
      </c>
      <c r="AQ161" s="16">
        <f>IF(OR($B161="",$C161="",$D161=""),"",DATE($C161+2018,$D161,1))</f>
        <v/>
      </c>
    </row>
    <row r="162">
      <c r="A162" s="11" t="n"/>
      <c r="B162" s="12" t="n">
        <v>6402829</v>
      </c>
      <c r="C162" s="12" t="n">
        <v>7</v>
      </c>
      <c r="D162" s="12" t="n">
        <v>5</v>
      </c>
      <c r="E162" s="13" t="n">
        <v>198927</v>
      </c>
      <c r="F162" s="12" t="n"/>
      <c r="G162" s="13" t="n"/>
      <c r="H162" s="12" t="n"/>
      <c r="I162" s="12" t="n"/>
      <c r="J162" s="12" t="n"/>
      <c r="K162" s="12" t="n"/>
      <c r="L162" s="11" t="n"/>
      <c r="M162" s="11" t="n"/>
      <c r="N162" s="11" t="n"/>
      <c r="O162" s="11" t="n"/>
      <c r="P162" s="12" t="n"/>
      <c r="Q162" s="11" t="n"/>
      <c r="R162" s="12" t="n"/>
      <c r="S162" s="11" t="n"/>
      <c r="T162" s="12" t="n"/>
      <c r="U162" s="12" t="n"/>
      <c r="V162" s="12" t="n"/>
      <c r="W162" s="13" t="n"/>
      <c r="X162" s="14">
        <f>IF($AP162="",IF($B162="","",$H162),IF(INDEX(職員マスタ!$B$6:$B$405,$AP162)="",$H162,INDEX(職員マスタ!$B$6:$B$405,$AP162)))</f>
        <v/>
      </c>
      <c r="Y162" s="14">
        <f>IF($AP162="",IF($B162="","",$R162),IF(INDEX(職員マスタ!$C$6:$C$405,$AP162)="",$R162,INDEX(職員マスタ!$C$6:$C$405,$AP162)))</f>
        <v/>
      </c>
      <c r="Z162" s="14">
        <f>IF($AQ162="","","R"&amp;$C162&amp;"."&amp;$D162)</f>
        <v/>
      </c>
      <c r="AA162" s="15">
        <f>IF(IF($AP162="",FALSE,INDEX(職員マスタ!$K$6:$K$405,$AP162)&lt;&gt;""),INDEX(職員マスタ!$K$6:$K$405,$AP162),IF(N($W162)&gt;0,$W162,""))</f>
        <v/>
      </c>
      <c r="AB162" s="14">
        <f>IF(OR($E162="",$AA162=""),"",IF($E162&gt;=$AA162,"×",IF($E162&gt;=$AA162*設定!$C$5,"△","○")))</f>
        <v/>
      </c>
      <c r="AC162" s="15">
        <f>IF($AB162="","",IF($AB162="×",0,IF($AB162="○",ROUNDDOWN($E162*設定!$C$4,0),ROUNDDOWN($E162*ROUND((9*$AA162-9*$E162)/(10*$E162),4),0))))</f>
        <v/>
      </c>
      <c r="AD162" s="13" t="n"/>
      <c r="AE162" s="15">
        <f>IF($B162="","",IF($AD162&lt;&gt;"",$AD162,IF($AC162="","",IF($AC162&lt;=設定!$C$3,0,$AC162))))</f>
        <v/>
      </c>
      <c r="AF162" s="14">
        <f>IF($B162="","",IF(AND($AG162&lt;&gt;"",$AI162="",$AL162=""),"保留中",IF($AL162&lt;&gt;"",IF(N($AE162)&gt;0,"支給済","不支給"),IF($AE162="","要確認",IF($AE162=0,"不支給","未処理")))))</f>
        <v/>
      </c>
      <c r="AG162" s="12" t="n"/>
      <c r="AH162" s="11" t="n"/>
      <c r="AI162" s="11" t="n"/>
      <c r="AJ162" s="11" t="n"/>
      <c r="AK162" s="14">
        <f>IF(AND($AF162="保留中",$AH162&lt;&gt;""),TODAY()-$AH162,"")</f>
        <v/>
      </c>
      <c r="AL162" s="12" t="inlineStr">
        <is>
          <t>R7.8</t>
        </is>
      </c>
      <c r="AM162" s="14">
        <f>IF($B162="","",IF($AQ162="","対象年月が未入力／","")&amp;IF($B162="","",IF($AP162="","職員マスタに未登録の職員番号／",IF($AA162="","標準報酬月額が未登録／","")&amp;IF(AND($AQ162&lt;&gt;"",OR(AND(INDEX(職員マスタ!$G$6:$G$405,$AP162)&lt;&gt;"",INDEX(職員マスタ!$G$6:$G$405,$AP162)&gt;EOMONTH($AQ162,0)),AND(INDEX(職員マスタ!$H$6:$H$405,$AP162)&lt;&gt;"",INDEX(職員マスタ!$H$6:$H$405,$AP162)&lt;$AQ162))),"対象月が時短期間外／","")&amp;IF(AND(INDEX(職員マスタ!$K$6:$K$405,$AP162)&lt;&gt;"",N($W162)&gt;0,INDEX(職員マスタ!$K$6:$K$405,$AP162)&lt;&gt;$W162),"標準報酬月額が申請書と相違（台帳"&amp;TEXT(INDEX(職員マスタ!$K$6:$K$405,$AP162),"#,##0")&amp;"円／申請書"&amp;TEXT($W162,"#,##0")&amp;"円）／","")&amp;IF(AND(INDEX(職員マスタ!$F$6:$F$405,$AP162)&lt;&gt;"",$AQ162&lt;&gt;"",INDEX(職員マスタ!$F$6:$F$405,$AP162)&lt;$AQ162),"対象月に子が2歳到達済／","")&amp;IF(AND($H162&lt;&gt;"",INDEX(職員マスタ!$B$6:$B$405,$AP162)&lt;&gt;"",SUBSTITUTE(SUBSTITUTE($H162," ","")," ","")&lt;&gt;SUBSTITUTE(SUBSTITUTE(INDEX(職員マスタ!$B$6:$B$405,$AP162)," ","")," ","")),"氏名がマスタと相違／","")&amp;IF(AND($Q162&lt;&gt;"",INDEX(職員マスタ!$E$6:$E$405,$AP162)&lt;&gt;"",$Q162&lt;&gt;INDEX(職員マスタ!$E$6:$E$405,$AP162)),"子の生年月日がマスタと相違／","")&amp;IF(AND($L162&lt;&gt;"",INDEX(職員マスタ!$G$6:$G$405,$AP162)&lt;&gt;"",$L162&lt;&gt;INDEX(職員マスタ!$G$6:$G$405,$AP162)),"時短開始日がマスタと相違／","")&amp;IF(AND($M162&lt;&gt;"",INDEX(職員マスタ!$H$6:$H$405,$AP162)&lt;&gt;"",$M162&lt;&gt;INDEX(職員マスタ!$H$6:$H$405,$AP162)),"時短終了日がマスタと相違／","")))&amp;IF(AND($B162&lt;&gt;"",$E162=""),"報酬額が未入力／","")&amp;IF(N($U162)&gt;0,"申請書に入力エラーが残っています／","")&amp;IF(AND($B162&lt;&gt;"",$AQ162&lt;&gt;""),IF(COUNTIFS($B$6:$B$3005,$B162,$C$6:$C$3005,$C162,$D$6:$D$3005,$D162)&gt;1,"同じ月の請求が重複しています／",""),"")&amp;IF(AND(N($E162)&gt;0,$AB162&lt;&gt;"",$AB162&lt;&gt;"×",$AE162=0,$AD162=""),"計算額が下限以下のため不支給／",""))</f>
        <v/>
      </c>
      <c r="AN162" s="12" t="n"/>
      <c r="AO162" s="14">
        <f>IF($AF162="保留中",COUNTIF($AF$6:$AF162,"保留中"),"")</f>
        <v/>
      </c>
      <c r="AP162" s="14">
        <f>IF($AQ162="","",IF(SUMPRODUCT(MAX((職員マスタ!$A$6:$A$405=$B162)*(((職員マスタ!$G$6:$G$405="")+(職員マスタ!$G$6:$G$405&lt;=EOMONTH($AQ162,0)))&gt;0)*(((職員マスタ!$H$6:$H$405="")+(職員マスタ!$H$6:$H$405&gt;=$AQ162))&gt;0)*(ROW(職員マスタ!$A$6:$A$405)-5)))&gt;0,SUMPRODUCT(MAX((職員マスタ!$A$6:$A$405=$B162)*(((職員マスタ!$G$6:$G$405="")+(職員マスタ!$G$6:$G$405&lt;=EOMONTH($AQ162,0)))&gt;0)*(((職員マスタ!$H$6:$H$405="")+(職員マスタ!$H$6:$H$405&gt;=$AQ162))&gt;0)*(ROW(職員マスタ!$A$6:$A$405)-5))),IFERROR(MATCH($B162,職員マスタ!$A$6:$A$405,0),"")))</f>
        <v/>
      </c>
      <c r="AQ162" s="16">
        <f>IF(OR($B162="",$C162="",$D162=""),"",DATE($C162+2018,$D162,1))</f>
        <v/>
      </c>
    </row>
    <row r="163">
      <c r="A163" s="11" t="n"/>
      <c r="B163" s="12" t="n">
        <v>6402829</v>
      </c>
      <c r="C163" s="12" t="n">
        <v>7</v>
      </c>
      <c r="D163" s="12" t="n">
        <v>6</v>
      </c>
      <c r="E163" s="13" t="n">
        <v>203025</v>
      </c>
      <c r="F163" s="12" t="n"/>
      <c r="G163" s="13" t="n"/>
      <c r="H163" s="12" t="n"/>
      <c r="I163" s="12" t="n"/>
      <c r="J163" s="12" t="n"/>
      <c r="K163" s="12" t="n"/>
      <c r="L163" s="11" t="n"/>
      <c r="M163" s="11" t="n"/>
      <c r="N163" s="11" t="n"/>
      <c r="O163" s="11" t="n"/>
      <c r="P163" s="12" t="n"/>
      <c r="Q163" s="11" t="n"/>
      <c r="R163" s="12" t="n"/>
      <c r="S163" s="11" t="n"/>
      <c r="T163" s="12" t="n"/>
      <c r="U163" s="12" t="n"/>
      <c r="V163" s="12" t="n"/>
      <c r="W163" s="13" t="n"/>
      <c r="X163" s="14">
        <f>IF($AP163="",IF($B163="","",$H163),IF(INDEX(職員マスタ!$B$6:$B$405,$AP163)="",$H163,INDEX(職員マスタ!$B$6:$B$405,$AP163)))</f>
        <v/>
      </c>
      <c r="Y163" s="14">
        <f>IF($AP163="",IF($B163="","",$R163),IF(INDEX(職員マスタ!$C$6:$C$405,$AP163)="",$R163,INDEX(職員マスタ!$C$6:$C$405,$AP163)))</f>
        <v/>
      </c>
      <c r="Z163" s="14">
        <f>IF($AQ163="","","R"&amp;$C163&amp;"."&amp;$D163)</f>
        <v/>
      </c>
      <c r="AA163" s="15">
        <f>IF(IF($AP163="",FALSE,INDEX(職員マスタ!$K$6:$K$405,$AP163)&lt;&gt;""),INDEX(職員マスタ!$K$6:$K$405,$AP163),IF(N($W163)&gt;0,$W163,""))</f>
        <v/>
      </c>
      <c r="AB163" s="14">
        <f>IF(OR($E163="",$AA163=""),"",IF($E163&gt;=$AA163,"×",IF($E163&gt;=$AA163*設定!$C$5,"△","○")))</f>
        <v/>
      </c>
      <c r="AC163" s="15">
        <f>IF($AB163="","",IF($AB163="×",0,IF($AB163="○",ROUNDDOWN($E163*設定!$C$4,0),ROUNDDOWN($E163*ROUND((9*$AA163-9*$E163)/(10*$E163),4),0))))</f>
        <v/>
      </c>
      <c r="AD163" s="13" t="n"/>
      <c r="AE163" s="15">
        <f>IF($B163="","",IF($AD163&lt;&gt;"",$AD163,IF($AC163="","",IF($AC163&lt;=設定!$C$3,0,$AC163))))</f>
        <v/>
      </c>
      <c r="AF163" s="14">
        <f>IF($B163="","",IF(AND($AG163&lt;&gt;"",$AI163="",$AL163=""),"保留中",IF($AL163&lt;&gt;"",IF(N($AE163)&gt;0,"支給済","不支給"),IF($AE163="","要確認",IF($AE163=0,"不支給","未処理")))))</f>
        <v/>
      </c>
      <c r="AG163" s="12" t="n"/>
      <c r="AH163" s="11" t="n"/>
      <c r="AI163" s="11" t="n"/>
      <c r="AJ163" s="11" t="n"/>
      <c r="AK163" s="14">
        <f>IF(AND($AF163="保留中",$AH163&lt;&gt;""),TODAY()-$AH163,"")</f>
        <v/>
      </c>
      <c r="AL163" s="12" t="inlineStr">
        <is>
          <t>R7.8</t>
        </is>
      </c>
      <c r="AM163" s="14">
        <f>IF($B163="","",IF($AQ163="","対象年月が未入力／","")&amp;IF($B163="","",IF($AP163="","職員マスタに未登録の職員番号／",IF($AA163="","標準報酬月額が未登録／","")&amp;IF(AND($AQ163&lt;&gt;"",OR(AND(INDEX(職員マスタ!$G$6:$G$405,$AP163)&lt;&gt;"",INDEX(職員マスタ!$G$6:$G$405,$AP163)&gt;EOMONTH($AQ163,0)),AND(INDEX(職員マスタ!$H$6:$H$405,$AP163)&lt;&gt;"",INDEX(職員マスタ!$H$6:$H$405,$AP163)&lt;$AQ163))),"対象月が時短期間外／","")&amp;IF(AND(INDEX(職員マスタ!$K$6:$K$405,$AP163)&lt;&gt;"",N($W163)&gt;0,INDEX(職員マスタ!$K$6:$K$405,$AP163)&lt;&gt;$W163),"標準報酬月額が申請書と相違（台帳"&amp;TEXT(INDEX(職員マスタ!$K$6:$K$405,$AP163),"#,##0")&amp;"円／申請書"&amp;TEXT($W163,"#,##0")&amp;"円）／","")&amp;IF(AND(INDEX(職員マスタ!$F$6:$F$405,$AP163)&lt;&gt;"",$AQ163&lt;&gt;"",INDEX(職員マスタ!$F$6:$F$405,$AP163)&lt;$AQ163),"対象月に子が2歳到達済／","")&amp;IF(AND($H163&lt;&gt;"",INDEX(職員マスタ!$B$6:$B$405,$AP163)&lt;&gt;"",SUBSTITUTE(SUBSTITUTE($H163," ","")," ","")&lt;&gt;SUBSTITUTE(SUBSTITUTE(INDEX(職員マスタ!$B$6:$B$405,$AP163)," ","")," ","")),"氏名がマスタと相違／","")&amp;IF(AND($Q163&lt;&gt;"",INDEX(職員マスタ!$E$6:$E$405,$AP163)&lt;&gt;"",$Q163&lt;&gt;INDEX(職員マスタ!$E$6:$E$405,$AP163)),"子の生年月日がマスタと相違／","")&amp;IF(AND($L163&lt;&gt;"",INDEX(職員マスタ!$G$6:$G$405,$AP163)&lt;&gt;"",$L163&lt;&gt;INDEX(職員マスタ!$G$6:$G$405,$AP163)),"時短開始日がマスタと相違／","")&amp;IF(AND($M163&lt;&gt;"",INDEX(職員マスタ!$H$6:$H$405,$AP163)&lt;&gt;"",$M163&lt;&gt;INDEX(職員マスタ!$H$6:$H$405,$AP163)),"時短終了日がマスタと相違／","")))&amp;IF(AND($B163&lt;&gt;"",$E163=""),"報酬額が未入力／","")&amp;IF(N($U163)&gt;0,"申請書に入力エラーが残っています／","")&amp;IF(AND($B163&lt;&gt;"",$AQ163&lt;&gt;""),IF(COUNTIFS($B$6:$B$3005,$B163,$C$6:$C$3005,$C163,$D$6:$D$3005,$D163)&gt;1,"同じ月の請求が重複しています／",""),"")&amp;IF(AND(N($E163)&gt;0,$AB163&lt;&gt;"",$AB163&lt;&gt;"×",$AE163=0,$AD163=""),"計算額が下限以下のため不支給／",""))</f>
        <v/>
      </c>
      <c r="AN163" s="12" t="n"/>
      <c r="AO163" s="14">
        <f>IF($AF163="保留中",COUNTIF($AF$6:$AF163,"保留中"),"")</f>
        <v/>
      </c>
      <c r="AP163" s="14">
        <f>IF($AQ163="","",IF(SUMPRODUCT(MAX((職員マスタ!$A$6:$A$405=$B163)*(((職員マスタ!$G$6:$G$405="")+(職員マスタ!$G$6:$G$405&lt;=EOMONTH($AQ163,0)))&gt;0)*(((職員マスタ!$H$6:$H$405="")+(職員マスタ!$H$6:$H$405&gt;=$AQ163))&gt;0)*(ROW(職員マスタ!$A$6:$A$405)-5)))&gt;0,SUMPRODUCT(MAX((職員マスタ!$A$6:$A$405=$B163)*(((職員マスタ!$G$6:$G$405="")+(職員マスタ!$G$6:$G$405&lt;=EOMONTH($AQ163,0)))&gt;0)*(((職員マスタ!$H$6:$H$405="")+(職員マスタ!$H$6:$H$405&gt;=$AQ163))&gt;0)*(ROW(職員マスタ!$A$6:$A$405)-5))),IFERROR(MATCH($B163,職員マスタ!$A$6:$A$405,0),"")))</f>
        <v/>
      </c>
      <c r="AQ163" s="16">
        <f>IF(OR($B163="",$C163="",$D163=""),"",DATE($C163+2018,$D163,1))</f>
        <v/>
      </c>
    </row>
    <row r="164">
      <c r="A164" s="11" t="n"/>
      <c r="B164" s="12" t="n">
        <v>6402829</v>
      </c>
      <c r="C164" s="12" t="n">
        <v>7</v>
      </c>
      <c r="D164" s="12" t="n">
        <v>7</v>
      </c>
      <c r="E164" s="13" t="n">
        <v>201059</v>
      </c>
      <c r="F164" s="12" t="n"/>
      <c r="G164" s="13" t="n"/>
      <c r="H164" s="12" t="n"/>
      <c r="I164" s="12" t="n"/>
      <c r="J164" s="12" t="n"/>
      <c r="K164" s="12" t="n"/>
      <c r="L164" s="11" t="n"/>
      <c r="M164" s="11" t="n"/>
      <c r="N164" s="11" t="n"/>
      <c r="O164" s="11" t="n"/>
      <c r="P164" s="12" t="n"/>
      <c r="Q164" s="11" t="n"/>
      <c r="R164" s="12" t="n"/>
      <c r="S164" s="11" t="n"/>
      <c r="T164" s="12" t="n"/>
      <c r="U164" s="12" t="n"/>
      <c r="V164" s="12" t="n"/>
      <c r="W164" s="13" t="n"/>
      <c r="X164" s="14">
        <f>IF($AP164="",IF($B164="","",$H164),IF(INDEX(職員マスタ!$B$6:$B$405,$AP164)="",$H164,INDEX(職員マスタ!$B$6:$B$405,$AP164)))</f>
        <v/>
      </c>
      <c r="Y164" s="14">
        <f>IF($AP164="",IF($B164="","",$R164),IF(INDEX(職員マスタ!$C$6:$C$405,$AP164)="",$R164,INDEX(職員マスタ!$C$6:$C$405,$AP164)))</f>
        <v/>
      </c>
      <c r="Z164" s="14">
        <f>IF($AQ164="","","R"&amp;$C164&amp;"."&amp;$D164)</f>
        <v/>
      </c>
      <c r="AA164" s="15">
        <f>IF(IF($AP164="",FALSE,INDEX(職員マスタ!$K$6:$K$405,$AP164)&lt;&gt;""),INDEX(職員マスタ!$K$6:$K$405,$AP164),IF(N($W164)&gt;0,$W164,""))</f>
        <v/>
      </c>
      <c r="AB164" s="14">
        <f>IF(OR($E164="",$AA164=""),"",IF($E164&gt;=$AA164,"×",IF($E164&gt;=$AA164*設定!$C$5,"△","○")))</f>
        <v/>
      </c>
      <c r="AC164" s="15">
        <f>IF($AB164="","",IF($AB164="×",0,IF($AB164="○",ROUNDDOWN($E164*設定!$C$4,0),ROUNDDOWN($E164*ROUND((9*$AA164-9*$E164)/(10*$E164),4),0))))</f>
        <v/>
      </c>
      <c r="AD164" s="13" t="n"/>
      <c r="AE164" s="15">
        <f>IF($B164="","",IF($AD164&lt;&gt;"",$AD164,IF($AC164="","",IF($AC164&lt;=設定!$C$3,0,$AC164))))</f>
        <v/>
      </c>
      <c r="AF164" s="14">
        <f>IF($B164="","",IF(AND($AG164&lt;&gt;"",$AI164="",$AL164=""),"保留中",IF($AL164&lt;&gt;"",IF(N($AE164)&gt;0,"支給済","不支給"),IF($AE164="","要確認",IF($AE164=0,"不支給","未処理")))))</f>
        <v/>
      </c>
      <c r="AG164" s="12" t="n"/>
      <c r="AH164" s="11" t="n"/>
      <c r="AI164" s="11" t="n"/>
      <c r="AJ164" s="11" t="n"/>
      <c r="AK164" s="14">
        <f>IF(AND($AF164="保留中",$AH164&lt;&gt;""),TODAY()-$AH164,"")</f>
        <v/>
      </c>
      <c r="AL164" s="12" t="inlineStr">
        <is>
          <t>R7.9</t>
        </is>
      </c>
      <c r="AM164" s="14">
        <f>IF($B164="","",IF($AQ164="","対象年月が未入力／","")&amp;IF($B164="","",IF($AP164="","職員マスタに未登録の職員番号／",IF($AA164="","標準報酬月額が未登録／","")&amp;IF(AND($AQ164&lt;&gt;"",OR(AND(INDEX(職員マスタ!$G$6:$G$405,$AP164)&lt;&gt;"",INDEX(職員マスタ!$G$6:$G$405,$AP164)&gt;EOMONTH($AQ164,0)),AND(INDEX(職員マスタ!$H$6:$H$405,$AP164)&lt;&gt;"",INDEX(職員マスタ!$H$6:$H$405,$AP164)&lt;$AQ164))),"対象月が時短期間外／","")&amp;IF(AND(INDEX(職員マスタ!$K$6:$K$405,$AP164)&lt;&gt;"",N($W164)&gt;0,INDEX(職員マスタ!$K$6:$K$405,$AP164)&lt;&gt;$W164),"標準報酬月額が申請書と相違（台帳"&amp;TEXT(INDEX(職員マスタ!$K$6:$K$405,$AP164),"#,##0")&amp;"円／申請書"&amp;TEXT($W164,"#,##0")&amp;"円）／","")&amp;IF(AND(INDEX(職員マスタ!$F$6:$F$405,$AP164)&lt;&gt;"",$AQ164&lt;&gt;"",INDEX(職員マスタ!$F$6:$F$405,$AP164)&lt;$AQ164),"対象月に子が2歳到達済／","")&amp;IF(AND($H164&lt;&gt;"",INDEX(職員マスタ!$B$6:$B$405,$AP164)&lt;&gt;"",SUBSTITUTE(SUBSTITUTE($H164," ","")," ","")&lt;&gt;SUBSTITUTE(SUBSTITUTE(INDEX(職員マスタ!$B$6:$B$405,$AP164)," ","")," ","")),"氏名がマスタと相違／","")&amp;IF(AND($Q164&lt;&gt;"",INDEX(職員マスタ!$E$6:$E$405,$AP164)&lt;&gt;"",$Q164&lt;&gt;INDEX(職員マスタ!$E$6:$E$405,$AP164)),"子の生年月日がマスタと相違／","")&amp;IF(AND($L164&lt;&gt;"",INDEX(職員マスタ!$G$6:$G$405,$AP164)&lt;&gt;"",$L164&lt;&gt;INDEX(職員マスタ!$G$6:$G$405,$AP164)),"時短開始日がマスタと相違／","")&amp;IF(AND($M164&lt;&gt;"",INDEX(職員マスタ!$H$6:$H$405,$AP164)&lt;&gt;"",$M164&lt;&gt;INDEX(職員マスタ!$H$6:$H$405,$AP164)),"時短終了日がマスタと相違／","")))&amp;IF(AND($B164&lt;&gt;"",$E164=""),"報酬額が未入力／","")&amp;IF(N($U164)&gt;0,"申請書に入力エラーが残っています／","")&amp;IF(AND($B164&lt;&gt;"",$AQ164&lt;&gt;""),IF(COUNTIFS($B$6:$B$3005,$B164,$C$6:$C$3005,$C164,$D$6:$D$3005,$D164)&gt;1,"同じ月の請求が重複しています／",""),"")&amp;IF(AND(N($E164)&gt;0,$AB164&lt;&gt;"",$AB164&lt;&gt;"×",$AE164=0,$AD164=""),"計算額が下限以下のため不支給／",""))</f>
        <v/>
      </c>
      <c r="AN164" s="12" t="n"/>
      <c r="AO164" s="14">
        <f>IF($AF164="保留中",COUNTIF($AF$6:$AF164,"保留中"),"")</f>
        <v/>
      </c>
      <c r="AP164" s="14">
        <f>IF($AQ164="","",IF(SUMPRODUCT(MAX((職員マスタ!$A$6:$A$405=$B164)*(((職員マスタ!$G$6:$G$405="")+(職員マスタ!$G$6:$G$405&lt;=EOMONTH($AQ164,0)))&gt;0)*(((職員マスタ!$H$6:$H$405="")+(職員マスタ!$H$6:$H$405&gt;=$AQ164))&gt;0)*(ROW(職員マスタ!$A$6:$A$405)-5)))&gt;0,SUMPRODUCT(MAX((職員マスタ!$A$6:$A$405=$B164)*(((職員マスタ!$G$6:$G$405="")+(職員マスタ!$G$6:$G$405&lt;=EOMONTH($AQ164,0)))&gt;0)*(((職員マスタ!$H$6:$H$405="")+(職員マスタ!$H$6:$H$405&gt;=$AQ164))&gt;0)*(ROW(職員マスタ!$A$6:$A$405)-5))),IFERROR(MATCH($B164,職員マスタ!$A$6:$A$405,0),"")))</f>
        <v/>
      </c>
      <c r="AQ164" s="16">
        <f>IF(OR($B164="",$C164="",$D164=""),"",DATE($C164+2018,$D164,1))</f>
        <v/>
      </c>
    </row>
    <row r="165">
      <c r="A165" s="11" t="n"/>
      <c r="B165" s="12" t="n">
        <v>6402829</v>
      </c>
      <c r="C165" s="12" t="n">
        <v>7</v>
      </c>
      <c r="D165" s="12" t="n">
        <v>8</v>
      </c>
      <c r="E165" s="13" t="n">
        <v>199093</v>
      </c>
      <c r="F165" s="12" t="n"/>
      <c r="G165" s="13" t="n"/>
      <c r="H165" s="12" t="n"/>
      <c r="I165" s="12" t="n"/>
      <c r="J165" s="12" t="n"/>
      <c r="K165" s="12" t="n"/>
      <c r="L165" s="11" t="n"/>
      <c r="M165" s="11" t="n"/>
      <c r="N165" s="11" t="n"/>
      <c r="O165" s="11" t="n"/>
      <c r="P165" s="12" t="n"/>
      <c r="Q165" s="11" t="n"/>
      <c r="R165" s="12" t="n"/>
      <c r="S165" s="11" t="n"/>
      <c r="T165" s="12" t="n"/>
      <c r="U165" s="12" t="n"/>
      <c r="V165" s="12" t="n"/>
      <c r="W165" s="13" t="n"/>
      <c r="X165" s="14">
        <f>IF($AP165="",IF($B165="","",$H165),IF(INDEX(職員マスタ!$B$6:$B$405,$AP165)="",$H165,INDEX(職員マスタ!$B$6:$B$405,$AP165)))</f>
        <v/>
      </c>
      <c r="Y165" s="14">
        <f>IF($AP165="",IF($B165="","",$R165),IF(INDEX(職員マスタ!$C$6:$C$405,$AP165)="",$R165,INDEX(職員マスタ!$C$6:$C$405,$AP165)))</f>
        <v/>
      </c>
      <c r="Z165" s="14">
        <f>IF($AQ165="","","R"&amp;$C165&amp;"."&amp;$D165)</f>
        <v/>
      </c>
      <c r="AA165" s="15">
        <f>IF(IF($AP165="",FALSE,INDEX(職員マスタ!$K$6:$K$405,$AP165)&lt;&gt;""),INDEX(職員マスタ!$K$6:$K$405,$AP165),IF(N($W165)&gt;0,$W165,""))</f>
        <v/>
      </c>
      <c r="AB165" s="14">
        <f>IF(OR($E165="",$AA165=""),"",IF($E165&gt;=$AA165,"×",IF($E165&gt;=$AA165*設定!$C$5,"△","○")))</f>
        <v/>
      </c>
      <c r="AC165" s="15">
        <f>IF($AB165="","",IF($AB165="×",0,IF($AB165="○",ROUNDDOWN($E165*設定!$C$4,0),ROUNDDOWN($E165*ROUND((9*$AA165-9*$E165)/(10*$E165),4),0))))</f>
        <v/>
      </c>
      <c r="AD165" s="13" t="n"/>
      <c r="AE165" s="15">
        <f>IF($B165="","",IF($AD165&lt;&gt;"",$AD165,IF($AC165="","",IF($AC165&lt;=設定!$C$3,0,$AC165))))</f>
        <v/>
      </c>
      <c r="AF165" s="14">
        <f>IF($B165="","",IF(AND($AG165&lt;&gt;"",$AI165="",$AL165=""),"保留中",IF($AL165&lt;&gt;"",IF(N($AE165)&gt;0,"支給済","不支給"),IF($AE165="","要確認",IF($AE165=0,"不支給","未処理")))))</f>
        <v/>
      </c>
      <c r="AG165" s="12" t="n"/>
      <c r="AH165" s="11" t="n"/>
      <c r="AI165" s="11" t="n"/>
      <c r="AJ165" s="11" t="n"/>
      <c r="AK165" s="14">
        <f>IF(AND($AF165="保留中",$AH165&lt;&gt;""),TODAY()-$AH165,"")</f>
        <v/>
      </c>
      <c r="AL165" s="12" t="inlineStr">
        <is>
          <t>R7.10</t>
        </is>
      </c>
      <c r="AM165" s="14">
        <f>IF($B165="","",IF($AQ165="","対象年月が未入力／","")&amp;IF($B165="","",IF($AP165="","職員マスタに未登録の職員番号／",IF($AA165="","標準報酬月額が未登録／","")&amp;IF(AND($AQ165&lt;&gt;"",OR(AND(INDEX(職員マスタ!$G$6:$G$405,$AP165)&lt;&gt;"",INDEX(職員マスタ!$G$6:$G$405,$AP165)&gt;EOMONTH($AQ165,0)),AND(INDEX(職員マスタ!$H$6:$H$405,$AP165)&lt;&gt;"",INDEX(職員マスタ!$H$6:$H$405,$AP165)&lt;$AQ165))),"対象月が時短期間外／","")&amp;IF(AND(INDEX(職員マスタ!$K$6:$K$405,$AP165)&lt;&gt;"",N($W165)&gt;0,INDEX(職員マスタ!$K$6:$K$405,$AP165)&lt;&gt;$W165),"標準報酬月額が申請書と相違（台帳"&amp;TEXT(INDEX(職員マスタ!$K$6:$K$405,$AP165),"#,##0")&amp;"円／申請書"&amp;TEXT($W165,"#,##0")&amp;"円）／","")&amp;IF(AND(INDEX(職員マスタ!$F$6:$F$405,$AP165)&lt;&gt;"",$AQ165&lt;&gt;"",INDEX(職員マスタ!$F$6:$F$405,$AP165)&lt;$AQ165),"対象月に子が2歳到達済／","")&amp;IF(AND($H165&lt;&gt;"",INDEX(職員マスタ!$B$6:$B$405,$AP165)&lt;&gt;"",SUBSTITUTE(SUBSTITUTE($H165," ","")," ","")&lt;&gt;SUBSTITUTE(SUBSTITUTE(INDEX(職員マスタ!$B$6:$B$405,$AP165)," ","")," ","")),"氏名がマスタと相違／","")&amp;IF(AND($Q165&lt;&gt;"",INDEX(職員マスタ!$E$6:$E$405,$AP165)&lt;&gt;"",$Q165&lt;&gt;INDEX(職員マスタ!$E$6:$E$405,$AP165)),"子の生年月日がマスタと相違／","")&amp;IF(AND($L165&lt;&gt;"",INDEX(職員マスタ!$G$6:$G$405,$AP165)&lt;&gt;"",$L165&lt;&gt;INDEX(職員マスタ!$G$6:$G$405,$AP165)),"時短開始日がマスタと相違／","")&amp;IF(AND($M165&lt;&gt;"",INDEX(職員マスタ!$H$6:$H$405,$AP165)&lt;&gt;"",$M165&lt;&gt;INDEX(職員マスタ!$H$6:$H$405,$AP165)),"時短終了日がマスタと相違／","")))&amp;IF(AND($B165&lt;&gt;"",$E165=""),"報酬額が未入力／","")&amp;IF(N($U165)&gt;0,"申請書に入力エラーが残っています／","")&amp;IF(AND($B165&lt;&gt;"",$AQ165&lt;&gt;""),IF(COUNTIFS($B$6:$B$3005,$B165,$C$6:$C$3005,$C165,$D$6:$D$3005,$D165)&gt;1,"同じ月の請求が重複しています／",""),"")&amp;IF(AND(N($E165)&gt;0,$AB165&lt;&gt;"",$AB165&lt;&gt;"×",$AE165=0,$AD165=""),"計算額が下限以下のため不支給／",""))</f>
        <v/>
      </c>
      <c r="AN165" s="12" t="n"/>
      <c r="AO165" s="14">
        <f>IF($AF165="保留中",COUNTIF($AF$6:$AF165,"保留中"),"")</f>
        <v/>
      </c>
      <c r="AP165" s="14">
        <f>IF($AQ165="","",IF(SUMPRODUCT(MAX((職員マスタ!$A$6:$A$405=$B165)*(((職員マスタ!$G$6:$G$405="")+(職員マスタ!$G$6:$G$405&lt;=EOMONTH($AQ165,0)))&gt;0)*(((職員マスタ!$H$6:$H$405="")+(職員マスタ!$H$6:$H$405&gt;=$AQ165))&gt;0)*(ROW(職員マスタ!$A$6:$A$405)-5)))&gt;0,SUMPRODUCT(MAX((職員マスタ!$A$6:$A$405=$B165)*(((職員マスタ!$G$6:$G$405="")+(職員マスタ!$G$6:$G$405&lt;=EOMONTH($AQ165,0)))&gt;0)*(((職員マスタ!$H$6:$H$405="")+(職員マスタ!$H$6:$H$405&gt;=$AQ165))&gt;0)*(ROW(職員マスタ!$A$6:$A$405)-5))),IFERROR(MATCH($B165,職員マスタ!$A$6:$A$405,0),"")))</f>
        <v/>
      </c>
      <c r="AQ165" s="16">
        <f>IF(OR($B165="",$C165="",$D165=""),"",DATE($C165+2018,$D165,1))</f>
        <v/>
      </c>
    </row>
    <row r="166">
      <c r="A166" s="11" t="n"/>
      <c r="B166" s="12" t="n">
        <v>6402887</v>
      </c>
      <c r="C166" s="12" t="n">
        <v>7</v>
      </c>
      <c r="D166" s="12" t="n">
        <v>4</v>
      </c>
      <c r="E166" s="13" t="n">
        <v>124492</v>
      </c>
      <c r="F166" s="12" t="n"/>
      <c r="G166" s="13" t="n"/>
      <c r="H166" s="12" t="n"/>
      <c r="I166" s="12" t="n"/>
      <c r="J166" s="12" t="n"/>
      <c r="K166" s="12" t="n"/>
      <c r="L166" s="11" t="n"/>
      <c r="M166" s="11" t="n"/>
      <c r="N166" s="11" t="n"/>
      <c r="O166" s="11" t="n"/>
      <c r="P166" s="12" t="n"/>
      <c r="Q166" s="11" t="n"/>
      <c r="R166" s="12" t="n"/>
      <c r="S166" s="11" t="n"/>
      <c r="T166" s="12" t="n"/>
      <c r="U166" s="12" t="n"/>
      <c r="V166" s="12" t="n"/>
      <c r="W166" s="13" t="n"/>
      <c r="X166" s="14">
        <f>IF($AP166="",IF($B166="","",$H166),IF(INDEX(職員マスタ!$B$6:$B$405,$AP166)="",$H166,INDEX(職員マスタ!$B$6:$B$405,$AP166)))</f>
        <v/>
      </c>
      <c r="Y166" s="14">
        <f>IF($AP166="",IF($B166="","",$R166),IF(INDEX(職員マスタ!$C$6:$C$405,$AP166)="",$R166,INDEX(職員マスタ!$C$6:$C$405,$AP166)))</f>
        <v/>
      </c>
      <c r="Z166" s="14">
        <f>IF($AQ166="","","R"&amp;$C166&amp;"."&amp;$D166)</f>
        <v/>
      </c>
      <c r="AA166" s="15">
        <f>IF(IF($AP166="",FALSE,INDEX(職員マスタ!$K$6:$K$405,$AP166)&lt;&gt;""),INDEX(職員マスタ!$K$6:$K$405,$AP166),IF(N($W166)&gt;0,$W166,""))</f>
        <v/>
      </c>
      <c r="AB166" s="14">
        <f>IF(OR($E166="",$AA166=""),"",IF($E166&gt;=$AA166,"×",IF($E166&gt;=$AA166*設定!$C$5,"△","○")))</f>
        <v/>
      </c>
      <c r="AC166" s="15">
        <f>IF($AB166="","",IF($AB166="×",0,IF($AB166="○",ROUNDDOWN($E166*設定!$C$4,0),ROUNDDOWN($E166*ROUND((9*$AA166-9*$E166)/(10*$E166),4),0))))</f>
        <v/>
      </c>
      <c r="AD166" s="13" t="n"/>
      <c r="AE166" s="15">
        <f>IF($B166="","",IF($AD166&lt;&gt;"",$AD166,IF($AC166="","",IF($AC166&lt;=設定!$C$3,0,$AC166))))</f>
        <v/>
      </c>
      <c r="AF166" s="14">
        <f>IF($B166="","",IF(AND($AG166&lt;&gt;"",$AI166="",$AL166=""),"保留中",IF($AL166&lt;&gt;"",IF(N($AE166)&gt;0,"支給済","不支給"),IF($AE166="","要確認",IF($AE166=0,"不支給","未処理")))))</f>
        <v/>
      </c>
      <c r="AG166" s="12" t="n"/>
      <c r="AH166" s="11" t="n"/>
      <c r="AI166" s="11" t="n"/>
      <c r="AJ166" s="11" t="n"/>
      <c r="AK166" s="14">
        <f>IF(AND($AF166="保留中",$AH166&lt;&gt;""),TODAY()-$AH166,"")</f>
        <v/>
      </c>
      <c r="AL166" s="12" t="inlineStr">
        <is>
          <t>R7.8</t>
        </is>
      </c>
      <c r="AM166" s="14">
        <f>IF($B166="","",IF($AQ166="","対象年月が未入力／","")&amp;IF($B166="","",IF($AP166="","職員マスタに未登録の職員番号／",IF($AA166="","標準報酬月額が未登録／","")&amp;IF(AND($AQ166&lt;&gt;"",OR(AND(INDEX(職員マスタ!$G$6:$G$405,$AP166)&lt;&gt;"",INDEX(職員マスタ!$G$6:$G$405,$AP166)&gt;EOMONTH($AQ166,0)),AND(INDEX(職員マスタ!$H$6:$H$405,$AP166)&lt;&gt;"",INDEX(職員マスタ!$H$6:$H$405,$AP166)&lt;$AQ166))),"対象月が時短期間外／","")&amp;IF(AND(INDEX(職員マスタ!$K$6:$K$405,$AP166)&lt;&gt;"",N($W166)&gt;0,INDEX(職員マスタ!$K$6:$K$405,$AP166)&lt;&gt;$W166),"標準報酬月額が申請書と相違（台帳"&amp;TEXT(INDEX(職員マスタ!$K$6:$K$405,$AP166),"#,##0")&amp;"円／申請書"&amp;TEXT($W166,"#,##0")&amp;"円）／","")&amp;IF(AND(INDEX(職員マスタ!$F$6:$F$405,$AP166)&lt;&gt;"",$AQ166&lt;&gt;"",INDEX(職員マスタ!$F$6:$F$405,$AP166)&lt;$AQ166),"対象月に子が2歳到達済／","")&amp;IF(AND($H166&lt;&gt;"",INDEX(職員マスタ!$B$6:$B$405,$AP166)&lt;&gt;"",SUBSTITUTE(SUBSTITUTE($H166," ","")," ","")&lt;&gt;SUBSTITUTE(SUBSTITUTE(INDEX(職員マスタ!$B$6:$B$405,$AP166)," ","")," ","")),"氏名がマスタと相違／","")&amp;IF(AND($Q166&lt;&gt;"",INDEX(職員マスタ!$E$6:$E$405,$AP166)&lt;&gt;"",$Q166&lt;&gt;INDEX(職員マスタ!$E$6:$E$405,$AP166)),"子の生年月日がマスタと相違／","")&amp;IF(AND($L166&lt;&gt;"",INDEX(職員マスタ!$G$6:$G$405,$AP166)&lt;&gt;"",$L166&lt;&gt;INDEX(職員マスタ!$G$6:$G$405,$AP166)),"時短開始日がマスタと相違／","")&amp;IF(AND($M166&lt;&gt;"",INDEX(職員マスタ!$H$6:$H$405,$AP166)&lt;&gt;"",$M166&lt;&gt;INDEX(職員マスタ!$H$6:$H$405,$AP166)),"時短終了日がマスタと相違／","")))&amp;IF(AND($B166&lt;&gt;"",$E166=""),"報酬額が未入力／","")&amp;IF(N($U166)&gt;0,"申請書に入力エラーが残っています／","")&amp;IF(AND($B166&lt;&gt;"",$AQ166&lt;&gt;""),IF(COUNTIFS($B$6:$B$3005,$B166,$C$6:$C$3005,$C166,$D$6:$D$3005,$D166)&gt;1,"同じ月の請求が重複しています／",""),"")&amp;IF(AND(N($E166)&gt;0,$AB166&lt;&gt;"",$AB166&lt;&gt;"×",$AE166=0,$AD166=""),"計算額が下限以下のため不支給／",""))</f>
        <v/>
      </c>
      <c r="AN166" s="12" t="n"/>
      <c r="AO166" s="14">
        <f>IF($AF166="保留中",COUNTIF($AF$6:$AF166,"保留中"),"")</f>
        <v/>
      </c>
      <c r="AP166" s="14">
        <f>IF($AQ166="","",IF(SUMPRODUCT(MAX((職員マスタ!$A$6:$A$405=$B166)*(((職員マスタ!$G$6:$G$405="")+(職員マスタ!$G$6:$G$405&lt;=EOMONTH($AQ166,0)))&gt;0)*(((職員マスタ!$H$6:$H$405="")+(職員マスタ!$H$6:$H$405&gt;=$AQ166))&gt;0)*(ROW(職員マスタ!$A$6:$A$405)-5)))&gt;0,SUMPRODUCT(MAX((職員マスタ!$A$6:$A$405=$B166)*(((職員マスタ!$G$6:$G$405="")+(職員マスタ!$G$6:$G$405&lt;=EOMONTH($AQ166,0)))&gt;0)*(((職員マスタ!$H$6:$H$405="")+(職員マスタ!$H$6:$H$405&gt;=$AQ166))&gt;0)*(ROW(職員マスタ!$A$6:$A$405)-5))),IFERROR(MATCH($B166,職員マスタ!$A$6:$A$405,0),"")))</f>
        <v/>
      </c>
      <c r="AQ166" s="16">
        <f>IF(OR($B166="",$C166="",$D166=""),"",DATE($C166+2018,$D166,1))</f>
        <v/>
      </c>
    </row>
    <row r="167">
      <c r="A167" s="11" t="n"/>
      <c r="B167" s="12" t="n">
        <v>6402887</v>
      </c>
      <c r="C167" s="12" t="n">
        <v>7</v>
      </c>
      <c r="D167" s="12" t="n">
        <v>5</v>
      </c>
      <c r="E167" s="13" t="n">
        <v>220678</v>
      </c>
      <c r="F167" s="12" t="n"/>
      <c r="G167" s="13" t="n"/>
      <c r="H167" s="12" t="n"/>
      <c r="I167" s="12" t="n"/>
      <c r="J167" s="12" t="n"/>
      <c r="K167" s="12" t="n"/>
      <c r="L167" s="11" t="n"/>
      <c r="M167" s="11" t="n"/>
      <c r="N167" s="11" t="n"/>
      <c r="O167" s="11" t="n"/>
      <c r="P167" s="12" t="n"/>
      <c r="Q167" s="11" t="n"/>
      <c r="R167" s="12" t="n"/>
      <c r="S167" s="11" t="n"/>
      <c r="T167" s="12" t="n"/>
      <c r="U167" s="12" t="n"/>
      <c r="V167" s="12" t="n"/>
      <c r="W167" s="13" t="n"/>
      <c r="X167" s="14">
        <f>IF($AP167="",IF($B167="","",$H167),IF(INDEX(職員マスタ!$B$6:$B$405,$AP167)="",$H167,INDEX(職員マスタ!$B$6:$B$405,$AP167)))</f>
        <v/>
      </c>
      <c r="Y167" s="14">
        <f>IF($AP167="",IF($B167="","",$R167),IF(INDEX(職員マスタ!$C$6:$C$405,$AP167)="",$R167,INDEX(職員マスタ!$C$6:$C$405,$AP167)))</f>
        <v/>
      </c>
      <c r="Z167" s="14">
        <f>IF($AQ167="","","R"&amp;$C167&amp;"."&amp;$D167)</f>
        <v/>
      </c>
      <c r="AA167" s="15">
        <f>IF(IF($AP167="",FALSE,INDEX(職員マスタ!$K$6:$K$405,$AP167)&lt;&gt;""),INDEX(職員マスタ!$K$6:$K$405,$AP167),IF(N($W167)&gt;0,$W167,""))</f>
        <v/>
      </c>
      <c r="AB167" s="14">
        <f>IF(OR($E167="",$AA167=""),"",IF($E167&gt;=$AA167,"×",IF($E167&gt;=$AA167*設定!$C$5,"△","○")))</f>
        <v/>
      </c>
      <c r="AC167" s="15">
        <f>IF($AB167="","",IF($AB167="×",0,IF($AB167="○",ROUNDDOWN($E167*設定!$C$4,0),ROUNDDOWN($E167*ROUND((9*$AA167-9*$E167)/(10*$E167),4),0))))</f>
        <v/>
      </c>
      <c r="AD167" s="13" t="n"/>
      <c r="AE167" s="15">
        <f>IF($B167="","",IF($AD167&lt;&gt;"",$AD167,IF($AC167="","",IF($AC167&lt;=設定!$C$3,0,$AC167))))</f>
        <v/>
      </c>
      <c r="AF167" s="14">
        <f>IF($B167="","",IF(AND($AG167&lt;&gt;"",$AI167="",$AL167=""),"保留中",IF($AL167&lt;&gt;"",IF(N($AE167)&gt;0,"支給済","不支給"),IF($AE167="","要確認",IF($AE167=0,"不支給","未処理")))))</f>
        <v/>
      </c>
      <c r="AG167" s="12" t="n"/>
      <c r="AH167" s="11" t="n"/>
      <c r="AI167" s="11" t="n"/>
      <c r="AJ167" s="11" t="n"/>
      <c r="AK167" s="14">
        <f>IF(AND($AF167="保留中",$AH167&lt;&gt;""),TODAY()-$AH167,"")</f>
        <v/>
      </c>
      <c r="AL167" s="12" t="inlineStr">
        <is>
          <t>R7.8</t>
        </is>
      </c>
      <c r="AM167" s="14">
        <f>IF($B167="","",IF($AQ167="","対象年月が未入力／","")&amp;IF($B167="","",IF($AP167="","職員マスタに未登録の職員番号／",IF($AA167="","標準報酬月額が未登録／","")&amp;IF(AND($AQ167&lt;&gt;"",OR(AND(INDEX(職員マスタ!$G$6:$G$405,$AP167)&lt;&gt;"",INDEX(職員マスタ!$G$6:$G$405,$AP167)&gt;EOMONTH($AQ167,0)),AND(INDEX(職員マスタ!$H$6:$H$405,$AP167)&lt;&gt;"",INDEX(職員マスタ!$H$6:$H$405,$AP167)&lt;$AQ167))),"対象月が時短期間外／","")&amp;IF(AND(INDEX(職員マスタ!$K$6:$K$405,$AP167)&lt;&gt;"",N($W167)&gt;0,INDEX(職員マスタ!$K$6:$K$405,$AP167)&lt;&gt;$W167),"標準報酬月額が申請書と相違（台帳"&amp;TEXT(INDEX(職員マスタ!$K$6:$K$405,$AP167),"#,##0")&amp;"円／申請書"&amp;TEXT($W167,"#,##0")&amp;"円）／","")&amp;IF(AND(INDEX(職員マスタ!$F$6:$F$405,$AP167)&lt;&gt;"",$AQ167&lt;&gt;"",INDEX(職員マスタ!$F$6:$F$405,$AP167)&lt;$AQ167),"対象月に子が2歳到達済／","")&amp;IF(AND($H167&lt;&gt;"",INDEX(職員マスタ!$B$6:$B$405,$AP167)&lt;&gt;"",SUBSTITUTE(SUBSTITUTE($H167," ","")," ","")&lt;&gt;SUBSTITUTE(SUBSTITUTE(INDEX(職員マスタ!$B$6:$B$405,$AP167)," ","")," ","")),"氏名がマスタと相違／","")&amp;IF(AND($Q167&lt;&gt;"",INDEX(職員マスタ!$E$6:$E$405,$AP167)&lt;&gt;"",$Q167&lt;&gt;INDEX(職員マスタ!$E$6:$E$405,$AP167)),"子の生年月日がマスタと相違／","")&amp;IF(AND($L167&lt;&gt;"",INDEX(職員マスタ!$G$6:$G$405,$AP167)&lt;&gt;"",$L167&lt;&gt;INDEX(職員マスタ!$G$6:$G$405,$AP167)),"時短開始日がマスタと相違／","")&amp;IF(AND($M167&lt;&gt;"",INDEX(職員マスタ!$H$6:$H$405,$AP167)&lt;&gt;"",$M167&lt;&gt;INDEX(職員マスタ!$H$6:$H$405,$AP167)),"時短終了日がマスタと相違／","")))&amp;IF(AND($B167&lt;&gt;"",$E167=""),"報酬額が未入力／","")&amp;IF(N($U167)&gt;0,"申請書に入力エラーが残っています／","")&amp;IF(AND($B167&lt;&gt;"",$AQ167&lt;&gt;""),IF(COUNTIFS($B$6:$B$3005,$B167,$C$6:$C$3005,$C167,$D$6:$D$3005,$D167)&gt;1,"同じ月の請求が重複しています／",""),"")&amp;IF(AND(N($E167)&gt;0,$AB167&lt;&gt;"",$AB167&lt;&gt;"×",$AE167=0,$AD167=""),"計算額が下限以下のため不支給／",""))</f>
        <v/>
      </c>
      <c r="AN167" s="12" t="n"/>
      <c r="AO167" s="14">
        <f>IF($AF167="保留中",COUNTIF($AF$6:$AF167,"保留中"),"")</f>
        <v/>
      </c>
      <c r="AP167" s="14">
        <f>IF($AQ167="","",IF(SUMPRODUCT(MAX((職員マスタ!$A$6:$A$405=$B167)*(((職員マスタ!$G$6:$G$405="")+(職員マスタ!$G$6:$G$405&lt;=EOMONTH($AQ167,0)))&gt;0)*(((職員マスタ!$H$6:$H$405="")+(職員マスタ!$H$6:$H$405&gt;=$AQ167))&gt;0)*(ROW(職員マスタ!$A$6:$A$405)-5)))&gt;0,SUMPRODUCT(MAX((職員マスタ!$A$6:$A$405=$B167)*(((職員マスタ!$G$6:$G$405="")+(職員マスタ!$G$6:$G$405&lt;=EOMONTH($AQ167,0)))&gt;0)*(((職員マスタ!$H$6:$H$405="")+(職員マスタ!$H$6:$H$405&gt;=$AQ167))&gt;0)*(ROW(職員マスタ!$A$6:$A$405)-5))),IFERROR(MATCH($B167,職員マスタ!$A$6:$A$405,0),"")))</f>
        <v/>
      </c>
      <c r="AQ167" s="16">
        <f>IF(OR($B167="",$C167="",$D167=""),"",DATE($C167+2018,$D167,1))</f>
        <v/>
      </c>
    </row>
    <row r="168">
      <c r="A168" s="11" t="n"/>
      <c r="B168" s="12" t="n">
        <v>6402887</v>
      </c>
      <c r="C168" s="12" t="n">
        <v>7</v>
      </c>
      <c r="D168" s="12" t="n">
        <v>6</v>
      </c>
      <c r="E168" s="13" t="n">
        <v>220678</v>
      </c>
      <c r="F168" s="12" t="n"/>
      <c r="G168" s="13" t="n"/>
      <c r="H168" s="12" t="n"/>
      <c r="I168" s="12" t="n"/>
      <c r="J168" s="12" t="n"/>
      <c r="K168" s="12" t="n"/>
      <c r="L168" s="11" t="n"/>
      <c r="M168" s="11" t="n"/>
      <c r="N168" s="11" t="n"/>
      <c r="O168" s="11" t="n"/>
      <c r="P168" s="12" t="n"/>
      <c r="Q168" s="11" t="n"/>
      <c r="R168" s="12" t="n"/>
      <c r="S168" s="11" t="n"/>
      <c r="T168" s="12" t="n"/>
      <c r="U168" s="12" t="n"/>
      <c r="V168" s="12" t="n"/>
      <c r="W168" s="13" t="n"/>
      <c r="X168" s="14">
        <f>IF($AP168="",IF($B168="","",$H168),IF(INDEX(職員マスタ!$B$6:$B$405,$AP168)="",$H168,INDEX(職員マスタ!$B$6:$B$405,$AP168)))</f>
        <v/>
      </c>
      <c r="Y168" s="14">
        <f>IF($AP168="",IF($B168="","",$R168),IF(INDEX(職員マスタ!$C$6:$C$405,$AP168)="",$R168,INDEX(職員マスタ!$C$6:$C$405,$AP168)))</f>
        <v/>
      </c>
      <c r="Z168" s="14">
        <f>IF($AQ168="","","R"&amp;$C168&amp;"."&amp;$D168)</f>
        <v/>
      </c>
      <c r="AA168" s="15">
        <f>IF(IF($AP168="",FALSE,INDEX(職員マスタ!$K$6:$K$405,$AP168)&lt;&gt;""),INDEX(職員マスタ!$K$6:$K$405,$AP168),IF(N($W168)&gt;0,$W168,""))</f>
        <v/>
      </c>
      <c r="AB168" s="14">
        <f>IF(OR($E168="",$AA168=""),"",IF($E168&gt;=$AA168,"×",IF($E168&gt;=$AA168*設定!$C$5,"△","○")))</f>
        <v/>
      </c>
      <c r="AC168" s="15">
        <f>IF($AB168="","",IF($AB168="×",0,IF($AB168="○",ROUNDDOWN($E168*設定!$C$4,0),ROUNDDOWN($E168*ROUND((9*$AA168-9*$E168)/(10*$E168),4),0))))</f>
        <v/>
      </c>
      <c r="AD168" s="13" t="n"/>
      <c r="AE168" s="15">
        <f>IF($B168="","",IF($AD168&lt;&gt;"",$AD168,IF($AC168="","",IF($AC168&lt;=設定!$C$3,0,$AC168))))</f>
        <v/>
      </c>
      <c r="AF168" s="14">
        <f>IF($B168="","",IF(AND($AG168&lt;&gt;"",$AI168="",$AL168=""),"保留中",IF($AL168&lt;&gt;"",IF(N($AE168)&gt;0,"支給済","不支給"),IF($AE168="","要確認",IF($AE168=0,"不支給","未処理")))))</f>
        <v/>
      </c>
      <c r="AG168" s="12" t="n"/>
      <c r="AH168" s="11" t="n"/>
      <c r="AI168" s="11" t="n"/>
      <c r="AJ168" s="11" t="n"/>
      <c r="AK168" s="14">
        <f>IF(AND($AF168="保留中",$AH168&lt;&gt;""),TODAY()-$AH168,"")</f>
        <v/>
      </c>
      <c r="AL168" s="12" t="inlineStr">
        <is>
          <t>R7.8</t>
        </is>
      </c>
      <c r="AM168" s="14">
        <f>IF($B168="","",IF($AQ168="","対象年月が未入力／","")&amp;IF($B168="","",IF($AP168="","職員マスタに未登録の職員番号／",IF($AA168="","標準報酬月額が未登録／","")&amp;IF(AND($AQ168&lt;&gt;"",OR(AND(INDEX(職員マスタ!$G$6:$G$405,$AP168)&lt;&gt;"",INDEX(職員マスタ!$G$6:$G$405,$AP168)&gt;EOMONTH($AQ168,0)),AND(INDEX(職員マスタ!$H$6:$H$405,$AP168)&lt;&gt;"",INDEX(職員マスタ!$H$6:$H$405,$AP168)&lt;$AQ168))),"対象月が時短期間外／","")&amp;IF(AND(INDEX(職員マスタ!$K$6:$K$405,$AP168)&lt;&gt;"",N($W168)&gt;0,INDEX(職員マスタ!$K$6:$K$405,$AP168)&lt;&gt;$W168),"標準報酬月額が申請書と相違（台帳"&amp;TEXT(INDEX(職員マスタ!$K$6:$K$405,$AP168),"#,##0")&amp;"円／申請書"&amp;TEXT($W168,"#,##0")&amp;"円）／","")&amp;IF(AND(INDEX(職員マスタ!$F$6:$F$405,$AP168)&lt;&gt;"",$AQ168&lt;&gt;"",INDEX(職員マスタ!$F$6:$F$405,$AP168)&lt;$AQ168),"対象月に子が2歳到達済／","")&amp;IF(AND($H168&lt;&gt;"",INDEX(職員マスタ!$B$6:$B$405,$AP168)&lt;&gt;"",SUBSTITUTE(SUBSTITUTE($H168," ","")," ","")&lt;&gt;SUBSTITUTE(SUBSTITUTE(INDEX(職員マスタ!$B$6:$B$405,$AP168)," ","")," ","")),"氏名がマスタと相違／","")&amp;IF(AND($Q168&lt;&gt;"",INDEX(職員マスタ!$E$6:$E$405,$AP168)&lt;&gt;"",$Q168&lt;&gt;INDEX(職員マスタ!$E$6:$E$405,$AP168)),"子の生年月日がマスタと相違／","")&amp;IF(AND($L168&lt;&gt;"",INDEX(職員マスタ!$G$6:$G$405,$AP168)&lt;&gt;"",$L168&lt;&gt;INDEX(職員マスタ!$G$6:$G$405,$AP168)),"時短開始日がマスタと相違／","")&amp;IF(AND($M168&lt;&gt;"",INDEX(職員マスタ!$H$6:$H$405,$AP168)&lt;&gt;"",$M168&lt;&gt;INDEX(職員マスタ!$H$6:$H$405,$AP168)),"時短終了日がマスタと相違／","")))&amp;IF(AND($B168&lt;&gt;"",$E168=""),"報酬額が未入力／","")&amp;IF(N($U168)&gt;0,"申請書に入力エラーが残っています／","")&amp;IF(AND($B168&lt;&gt;"",$AQ168&lt;&gt;""),IF(COUNTIFS($B$6:$B$3005,$B168,$C$6:$C$3005,$C168,$D$6:$D$3005,$D168)&gt;1,"同じ月の請求が重複しています／",""),"")&amp;IF(AND(N($E168)&gt;0,$AB168&lt;&gt;"",$AB168&lt;&gt;"×",$AE168=0,$AD168=""),"計算額が下限以下のため不支給／",""))</f>
        <v/>
      </c>
      <c r="AN168" s="12" t="n"/>
      <c r="AO168" s="14">
        <f>IF($AF168="保留中",COUNTIF($AF$6:$AF168,"保留中"),"")</f>
        <v/>
      </c>
      <c r="AP168" s="14">
        <f>IF($AQ168="","",IF(SUMPRODUCT(MAX((職員マスタ!$A$6:$A$405=$B168)*(((職員マスタ!$G$6:$G$405="")+(職員マスタ!$G$6:$G$405&lt;=EOMONTH($AQ168,0)))&gt;0)*(((職員マスタ!$H$6:$H$405="")+(職員マスタ!$H$6:$H$405&gt;=$AQ168))&gt;0)*(ROW(職員マスタ!$A$6:$A$405)-5)))&gt;0,SUMPRODUCT(MAX((職員マスタ!$A$6:$A$405=$B168)*(((職員マスタ!$G$6:$G$405="")+(職員マスタ!$G$6:$G$405&lt;=EOMONTH($AQ168,0)))&gt;0)*(((職員マスタ!$H$6:$H$405="")+(職員マスタ!$H$6:$H$405&gt;=$AQ168))&gt;0)*(ROW(職員マスタ!$A$6:$A$405)-5))),IFERROR(MATCH($B168,職員マスタ!$A$6:$A$405,0),"")))</f>
        <v/>
      </c>
      <c r="AQ168" s="16">
        <f>IF(OR($B168="",$C168="",$D168=""),"",DATE($C168+2018,$D168,1))</f>
        <v/>
      </c>
    </row>
    <row r="169">
      <c r="A169" s="11" t="n"/>
      <c r="B169" s="12" t="n">
        <v>6402903</v>
      </c>
      <c r="C169" s="12" t="n">
        <v>7</v>
      </c>
      <c r="D169" s="12" t="n">
        <v>4</v>
      </c>
      <c r="E169" s="13" t="n">
        <v>102306</v>
      </c>
      <c r="F169" s="12" t="n"/>
      <c r="G169" s="13" t="n"/>
      <c r="H169" s="12" t="n"/>
      <c r="I169" s="12" t="n"/>
      <c r="J169" s="12" t="n"/>
      <c r="K169" s="12" t="n"/>
      <c r="L169" s="11" t="n"/>
      <c r="M169" s="11" t="n"/>
      <c r="N169" s="11" t="n"/>
      <c r="O169" s="11" t="n"/>
      <c r="P169" s="12" t="n"/>
      <c r="Q169" s="11" t="n"/>
      <c r="R169" s="12" t="n"/>
      <c r="S169" s="11" t="n"/>
      <c r="T169" s="12" t="n"/>
      <c r="U169" s="12" t="n"/>
      <c r="V169" s="12" t="n"/>
      <c r="W169" s="13" t="n"/>
      <c r="X169" s="14">
        <f>IF($AP169="",IF($B169="","",$H169),IF(INDEX(職員マスタ!$B$6:$B$405,$AP169)="",$H169,INDEX(職員マスタ!$B$6:$B$405,$AP169)))</f>
        <v/>
      </c>
      <c r="Y169" s="14">
        <f>IF($AP169="",IF($B169="","",$R169),IF(INDEX(職員マスタ!$C$6:$C$405,$AP169)="",$R169,INDEX(職員マスタ!$C$6:$C$405,$AP169)))</f>
        <v/>
      </c>
      <c r="Z169" s="14">
        <f>IF($AQ169="","","R"&amp;$C169&amp;"."&amp;$D169)</f>
        <v/>
      </c>
      <c r="AA169" s="15">
        <f>IF(IF($AP169="",FALSE,INDEX(職員マスタ!$K$6:$K$405,$AP169)&lt;&gt;""),INDEX(職員マスタ!$K$6:$K$405,$AP169),IF(N($W169)&gt;0,$W169,""))</f>
        <v/>
      </c>
      <c r="AB169" s="14">
        <f>IF(OR($E169="",$AA169=""),"",IF($E169&gt;=$AA169,"×",IF($E169&gt;=$AA169*設定!$C$5,"△","○")))</f>
        <v/>
      </c>
      <c r="AC169" s="15">
        <f>IF($AB169="","",IF($AB169="×",0,IF($AB169="○",ROUNDDOWN($E169*設定!$C$4,0),ROUNDDOWN($E169*ROUND((9*$AA169-9*$E169)/(10*$E169),4),0))))</f>
        <v/>
      </c>
      <c r="AD169" s="13" t="n"/>
      <c r="AE169" s="15">
        <f>IF($B169="","",IF($AD169&lt;&gt;"",$AD169,IF($AC169="","",IF($AC169&lt;=設定!$C$3,0,$AC169))))</f>
        <v/>
      </c>
      <c r="AF169" s="14">
        <f>IF($B169="","",IF(AND($AG169&lt;&gt;"",$AI169="",$AL169=""),"保留中",IF($AL169&lt;&gt;"",IF(N($AE169)&gt;0,"支給済","不支給"),IF($AE169="","要確認",IF($AE169=0,"不支給","未処理")))))</f>
        <v/>
      </c>
      <c r="AG169" s="12" t="n"/>
      <c r="AH169" s="11" t="n"/>
      <c r="AI169" s="11" t="n"/>
      <c r="AJ169" s="11" t="n"/>
      <c r="AK169" s="14">
        <f>IF(AND($AF169="保留中",$AH169&lt;&gt;""),TODAY()-$AH169,"")</f>
        <v/>
      </c>
      <c r="AL169" s="12" t="inlineStr">
        <is>
          <t>R7.8</t>
        </is>
      </c>
      <c r="AM169" s="14">
        <f>IF($B169="","",IF($AQ169="","対象年月が未入力／","")&amp;IF($B169="","",IF($AP169="","職員マスタに未登録の職員番号／",IF($AA169="","標準報酬月額が未登録／","")&amp;IF(AND($AQ169&lt;&gt;"",OR(AND(INDEX(職員マスタ!$G$6:$G$405,$AP169)&lt;&gt;"",INDEX(職員マスタ!$G$6:$G$405,$AP169)&gt;EOMONTH($AQ169,0)),AND(INDEX(職員マスタ!$H$6:$H$405,$AP169)&lt;&gt;"",INDEX(職員マスタ!$H$6:$H$405,$AP169)&lt;$AQ169))),"対象月が時短期間外／","")&amp;IF(AND(INDEX(職員マスタ!$K$6:$K$405,$AP169)&lt;&gt;"",N($W169)&gt;0,INDEX(職員マスタ!$K$6:$K$405,$AP169)&lt;&gt;$W169),"標準報酬月額が申請書と相違（台帳"&amp;TEXT(INDEX(職員マスタ!$K$6:$K$405,$AP169),"#,##0")&amp;"円／申請書"&amp;TEXT($W169,"#,##0")&amp;"円）／","")&amp;IF(AND(INDEX(職員マスタ!$F$6:$F$405,$AP169)&lt;&gt;"",$AQ169&lt;&gt;"",INDEX(職員マスタ!$F$6:$F$405,$AP169)&lt;$AQ169),"対象月に子が2歳到達済／","")&amp;IF(AND($H169&lt;&gt;"",INDEX(職員マスタ!$B$6:$B$405,$AP169)&lt;&gt;"",SUBSTITUTE(SUBSTITUTE($H169," ","")," ","")&lt;&gt;SUBSTITUTE(SUBSTITUTE(INDEX(職員マスタ!$B$6:$B$405,$AP169)," ","")," ","")),"氏名がマスタと相違／","")&amp;IF(AND($Q169&lt;&gt;"",INDEX(職員マスタ!$E$6:$E$405,$AP169)&lt;&gt;"",$Q169&lt;&gt;INDEX(職員マスタ!$E$6:$E$405,$AP169)),"子の生年月日がマスタと相違／","")&amp;IF(AND($L169&lt;&gt;"",INDEX(職員マスタ!$G$6:$G$405,$AP169)&lt;&gt;"",$L169&lt;&gt;INDEX(職員マスタ!$G$6:$G$405,$AP169)),"時短開始日がマスタと相違／","")&amp;IF(AND($M169&lt;&gt;"",INDEX(職員マスタ!$H$6:$H$405,$AP169)&lt;&gt;"",$M169&lt;&gt;INDEX(職員マスタ!$H$6:$H$405,$AP169)),"時短終了日がマスタと相違／","")))&amp;IF(AND($B169&lt;&gt;"",$E169=""),"報酬額が未入力／","")&amp;IF(N($U169)&gt;0,"申請書に入力エラーが残っています／","")&amp;IF(AND($B169&lt;&gt;"",$AQ169&lt;&gt;""),IF(COUNTIFS($B$6:$B$3005,$B169,$C$6:$C$3005,$C169,$D$6:$D$3005,$D169)&gt;1,"同じ月の請求が重複しています／",""),"")&amp;IF(AND(N($E169)&gt;0,$AB169&lt;&gt;"",$AB169&lt;&gt;"×",$AE169=0,$AD169=""),"計算額が下限以下のため不支給／",""))</f>
        <v/>
      </c>
      <c r="AN169" s="12" t="n"/>
      <c r="AO169" s="14">
        <f>IF($AF169="保留中",COUNTIF($AF$6:$AF169,"保留中"),"")</f>
        <v/>
      </c>
      <c r="AP169" s="14">
        <f>IF($AQ169="","",IF(SUMPRODUCT(MAX((職員マスタ!$A$6:$A$405=$B169)*(((職員マスタ!$G$6:$G$405="")+(職員マスタ!$G$6:$G$405&lt;=EOMONTH($AQ169,0)))&gt;0)*(((職員マスタ!$H$6:$H$405="")+(職員マスタ!$H$6:$H$405&gt;=$AQ169))&gt;0)*(ROW(職員マスタ!$A$6:$A$405)-5)))&gt;0,SUMPRODUCT(MAX((職員マスタ!$A$6:$A$405=$B169)*(((職員マスタ!$G$6:$G$405="")+(職員マスタ!$G$6:$G$405&lt;=EOMONTH($AQ169,0)))&gt;0)*(((職員マスタ!$H$6:$H$405="")+(職員マスタ!$H$6:$H$405&gt;=$AQ169))&gt;0)*(ROW(職員マスタ!$A$6:$A$405)-5))),IFERROR(MATCH($B169,職員マスタ!$A$6:$A$405,0),"")))</f>
        <v/>
      </c>
      <c r="AQ169" s="16">
        <f>IF(OR($B169="",$C169="",$D169=""),"",DATE($C169+2018,$D169,1))</f>
        <v/>
      </c>
    </row>
    <row r="170">
      <c r="A170" s="11" t="n"/>
      <c r="B170" s="12" t="n">
        <v>6402903</v>
      </c>
      <c r="C170" s="12" t="n">
        <v>7</v>
      </c>
      <c r="D170" s="12" t="n">
        <v>5</v>
      </c>
      <c r="E170" s="13" t="n">
        <v>205431</v>
      </c>
      <c r="F170" s="12" t="n"/>
      <c r="G170" s="13" t="n"/>
      <c r="H170" s="12" t="n"/>
      <c r="I170" s="12" t="n"/>
      <c r="J170" s="12" t="n"/>
      <c r="K170" s="12" t="n"/>
      <c r="L170" s="11" t="n"/>
      <c r="M170" s="11" t="n"/>
      <c r="N170" s="11" t="n"/>
      <c r="O170" s="11" t="n"/>
      <c r="P170" s="12" t="n"/>
      <c r="Q170" s="11" t="n"/>
      <c r="R170" s="12" t="n"/>
      <c r="S170" s="11" t="n"/>
      <c r="T170" s="12" t="n"/>
      <c r="U170" s="12" t="n"/>
      <c r="V170" s="12" t="n"/>
      <c r="W170" s="13" t="n"/>
      <c r="X170" s="14">
        <f>IF($AP170="",IF($B170="","",$H170),IF(INDEX(職員マスタ!$B$6:$B$405,$AP170)="",$H170,INDEX(職員マスタ!$B$6:$B$405,$AP170)))</f>
        <v/>
      </c>
      <c r="Y170" s="14">
        <f>IF($AP170="",IF($B170="","",$R170),IF(INDEX(職員マスタ!$C$6:$C$405,$AP170)="",$R170,INDEX(職員マスタ!$C$6:$C$405,$AP170)))</f>
        <v/>
      </c>
      <c r="Z170" s="14">
        <f>IF($AQ170="","","R"&amp;$C170&amp;"."&amp;$D170)</f>
        <v/>
      </c>
      <c r="AA170" s="15">
        <f>IF(IF($AP170="",FALSE,INDEX(職員マスタ!$K$6:$K$405,$AP170)&lt;&gt;""),INDEX(職員マスタ!$K$6:$K$405,$AP170),IF(N($W170)&gt;0,$W170,""))</f>
        <v/>
      </c>
      <c r="AB170" s="14">
        <f>IF(OR($E170="",$AA170=""),"",IF($E170&gt;=$AA170,"×",IF($E170&gt;=$AA170*設定!$C$5,"△","○")))</f>
        <v/>
      </c>
      <c r="AC170" s="15">
        <f>IF($AB170="","",IF($AB170="×",0,IF($AB170="○",ROUNDDOWN($E170*設定!$C$4,0),ROUNDDOWN($E170*ROUND((9*$AA170-9*$E170)/(10*$E170),4),0))))</f>
        <v/>
      </c>
      <c r="AD170" s="13" t="n"/>
      <c r="AE170" s="15">
        <f>IF($B170="","",IF($AD170&lt;&gt;"",$AD170,IF($AC170="","",IF($AC170&lt;=設定!$C$3,0,$AC170))))</f>
        <v/>
      </c>
      <c r="AF170" s="14">
        <f>IF($B170="","",IF(AND($AG170&lt;&gt;"",$AI170="",$AL170=""),"保留中",IF($AL170&lt;&gt;"",IF(N($AE170)&gt;0,"支給済","不支給"),IF($AE170="","要確認",IF($AE170=0,"不支給","未処理")))))</f>
        <v/>
      </c>
      <c r="AG170" s="12" t="n"/>
      <c r="AH170" s="11" t="n"/>
      <c r="AI170" s="11" t="n"/>
      <c r="AJ170" s="11" t="n"/>
      <c r="AK170" s="14">
        <f>IF(AND($AF170="保留中",$AH170&lt;&gt;""),TODAY()-$AH170,"")</f>
        <v/>
      </c>
      <c r="AL170" s="12" t="inlineStr">
        <is>
          <t>R7.8</t>
        </is>
      </c>
      <c r="AM170" s="14">
        <f>IF($B170="","",IF($AQ170="","対象年月が未入力／","")&amp;IF($B170="","",IF($AP170="","職員マスタに未登録の職員番号／",IF($AA170="","標準報酬月額が未登録／","")&amp;IF(AND($AQ170&lt;&gt;"",OR(AND(INDEX(職員マスタ!$G$6:$G$405,$AP170)&lt;&gt;"",INDEX(職員マスタ!$G$6:$G$405,$AP170)&gt;EOMONTH($AQ170,0)),AND(INDEX(職員マスタ!$H$6:$H$405,$AP170)&lt;&gt;"",INDEX(職員マスタ!$H$6:$H$405,$AP170)&lt;$AQ170))),"対象月が時短期間外／","")&amp;IF(AND(INDEX(職員マスタ!$K$6:$K$405,$AP170)&lt;&gt;"",N($W170)&gt;0,INDEX(職員マスタ!$K$6:$K$405,$AP170)&lt;&gt;$W170),"標準報酬月額が申請書と相違（台帳"&amp;TEXT(INDEX(職員マスタ!$K$6:$K$405,$AP170),"#,##0")&amp;"円／申請書"&amp;TEXT($W170,"#,##0")&amp;"円）／","")&amp;IF(AND(INDEX(職員マスタ!$F$6:$F$405,$AP170)&lt;&gt;"",$AQ170&lt;&gt;"",INDEX(職員マスタ!$F$6:$F$405,$AP170)&lt;$AQ170),"対象月に子が2歳到達済／","")&amp;IF(AND($H170&lt;&gt;"",INDEX(職員マスタ!$B$6:$B$405,$AP170)&lt;&gt;"",SUBSTITUTE(SUBSTITUTE($H170," ","")," ","")&lt;&gt;SUBSTITUTE(SUBSTITUTE(INDEX(職員マスタ!$B$6:$B$405,$AP170)," ","")," ","")),"氏名がマスタと相違／","")&amp;IF(AND($Q170&lt;&gt;"",INDEX(職員マスタ!$E$6:$E$405,$AP170)&lt;&gt;"",$Q170&lt;&gt;INDEX(職員マスタ!$E$6:$E$405,$AP170)),"子の生年月日がマスタと相違／","")&amp;IF(AND($L170&lt;&gt;"",INDEX(職員マスタ!$G$6:$G$405,$AP170)&lt;&gt;"",$L170&lt;&gt;INDEX(職員マスタ!$G$6:$G$405,$AP170)),"時短開始日がマスタと相違／","")&amp;IF(AND($M170&lt;&gt;"",INDEX(職員マスタ!$H$6:$H$405,$AP170)&lt;&gt;"",$M170&lt;&gt;INDEX(職員マスタ!$H$6:$H$405,$AP170)),"時短終了日がマスタと相違／","")))&amp;IF(AND($B170&lt;&gt;"",$E170=""),"報酬額が未入力／","")&amp;IF(N($U170)&gt;0,"申請書に入力エラーが残っています／","")&amp;IF(AND($B170&lt;&gt;"",$AQ170&lt;&gt;""),IF(COUNTIFS($B$6:$B$3005,$B170,$C$6:$C$3005,$C170,$D$6:$D$3005,$D170)&gt;1,"同じ月の請求が重複しています／",""),"")&amp;IF(AND(N($E170)&gt;0,$AB170&lt;&gt;"",$AB170&lt;&gt;"×",$AE170=0,$AD170=""),"計算額が下限以下のため不支給／",""))</f>
        <v/>
      </c>
      <c r="AN170" s="12" t="n"/>
      <c r="AO170" s="14">
        <f>IF($AF170="保留中",COUNTIF($AF$6:$AF170,"保留中"),"")</f>
        <v/>
      </c>
      <c r="AP170" s="14">
        <f>IF($AQ170="","",IF(SUMPRODUCT(MAX((職員マスタ!$A$6:$A$405=$B170)*(((職員マスタ!$G$6:$G$405="")+(職員マスタ!$G$6:$G$405&lt;=EOMONTH($AQ170,0)))&gt;0)*(((職員マスタ!$H$6:$H$405="")+(職員マスタ!$H$6:$H$405&gt;=$AQ170))&gt;0)*(ROW(職員マスタ!$A$6:$A$405)-5)))&gt;0,SUMPRODUCT(MAX((職員マスタ!$A$6:$A$405=$B170)*(((職員マスタ!$G$6:$G$405="")+(職員マスタ!$G$6:$G$405&lt;=EOMONTH($AQ170,0)))&gt;0)*(((職員マスタ!$H$6:$H$405="")+(職員マスタ!$H$6:$H$405&gt;=$AQ170))&gt;0)*(ROW(職員マスタ!$A$6:$A$405)-5))),IFERROR(MATCH($B170,職員マスタ!$A$6:$A$405,0),"")))</f>
        <v/>
      </c>
      <c r="AQ170" s="16">
        <f>IF(OR($B170="",$C170="",$D170=""),"",DATE($C170+2018,$D170,1))</f>
        <v/>
      </c>
    </row>
    <row r="171">
      <c r="A171" s="11" t="n"/>
      <c r="B171" s="12" t="n">
        <v>6402903</v>
      </c>
      <c r="C171" s="12" t="n">
        <v>7</v>
      </c>
      <c r="D171" s="12" t="n">
        <v>6</v>
      </c>
      <c r="E171" s="13" t="n">
        <v>209363</v>
      </c>
      <c r="F171" s="12" t="n"/>
      <c r="G171" s="13" t="n"/>
      <c r="H171" s="12" t="n"/>
      <c r="I171" s="12" t="n"/>
      <c r="J171" s="12" t="n"/>
      <c r="K171" s="12" t="n"/>
      <c r="L171" s="11" t="n"/>
      <c r="M171" s="11" t="n"/>
      <c r="N171" s="11" t="n"/>
      <c r="O171" s="11" t="n"/>
      <c r="P171" s="12" t="n"/>
      <c r="Q171" s="11" t="n"/>
      <c r="R171" s="12" t="n"/>
      <c r="S171" s="11" t="n"/>
      <c r="T171" s="12" t="n"/>
      <c r="U171" s="12" t="n"/>
      <c r="V171" s="12" t="n"/>
      <c r="W171" s="13" t="n"/>
      <c r="X171" s="14">
        <f>IF($AP171="",IF($B171="","",$H171),IF(INDEX(職員マスタ!$B$6:$B$405,$AP171)="",$H171,INDEX(職員マスタ!$B$6:$B$405,$AP171)))</f>
        <v/>
      </c>
      <c r="Y171" s="14">
        <f>IF($AP171="",IF($B171="","",$R171),IF(INDEX(職員マスタ!$C$6:$C$405,$AP171)="",$R171,INDEX(職員マスタ!$C$6:$C$405,$AP171)))</f>
        <v/>
      </c>
      <c r="Z171" s="14">
        <f>IF($AQ171="","","R"&amp;$C171&amp;"."&amp;$D171)</f>
        <v/>
      </c>
      <c r="AA171" s="15">
        <f>IF(IF($AP171="",FALSE,INDEX(職員マスタ!$K$6:$K$405,$AP171)&lt;&gt;""),INDEX(職員マスタ!$K$6:$K$405,$AP171),IF(N($W171)&gt;0,$W171,""))</f>
        <v/>
      </c>
      <c r="AB171" s="14">
        <f>IF(OR($E171="",$AA171=""),"",IF($E171&gt;=$AA171,"×",IF($E171&gt;=$AA171*設定!$C$5,"△","○")))</f>
        <v/>
      </c>
      <c r="AC171" s="15">
        <f>IF($AB171="","",IF($AB171="×",0,IF($AB171="○",ROUNDDOWN($E171*設定!$C$4,0),ROUNDDOWN($E171*ROUND((9*$AA171-9*$E171)/(10*$E171),4),0))))</f>
        <v/>
      </c>
      <c r="AD171" s="13" t="n"/>
      <c r="AE171" s="15">
        <f>IF($B171="","",IF($AD171&lt;&gt;"",$AD171,IF($AC171="","",IF($AC171&lt;=設定!$C$3,0,$AC171))))</f>
        <v/>
      </c>
      <c r="AF171" s="14">
        <f>IF($B171="","",IF(AND($AG171&lt;&gt;"",$AI171="",$AL171=""),"保留中",IF($AL171&lt;&gt;"",IF(N($AE171)&gt;0,"支給済","不支給"),IF($AE171="","要確認",IF($AE171=0,"不支給","未処理")))))</f>
        <v/>
      </c>
      <c r="AG171" s="12" t="n"/>
      <c r="AH171" s="11" t="n"/>
      <c r="AI171" s="11" t="n"/>
      <c r="AJ171" s="11" t="n"/>
      <c r="AK171" s="14">
        <f>IF(AND($AF171="保留中",$AH171&lt;&gt;""),TODAY()-$AH171,"")</f>
        <v/>
      </c>
      <c r="AL171" s="12" t="inlineStr">
        <is>
          <t>R7.8</t>
        </is>
      </c>
      <c r="AM171" s="14">
        <f>IF($B171="","",IF($AQ171="","対象年月が未入力／","")&amp;IF($B171="","",IF($AP171="","職員マスタに未登録の職員番号／",IF($AA171="","標準報酬月額が未登録／","")&amp;IF(AND($AQ171&lt;&gt;"",OR(AND(INDEX(職員マスタ!$G$6:$G$405,$AP171)&lt;&gt;"",INDEX(職員マスタ!$G$6:$G$405,$AP171)&gt;EOMONTH($AQ171,0)),AND(INDEX(職員マスタ!$H$6:$H$405,$AP171)&lt;&gt;"",INDEX(職員マスタ!$H$6:$H$405,$AP171)&lt;$AQ171))),"対象月が時短期間外／","")&amp;IF(AND(INDEX(職員マスタ!$K$6:$K$405,$AP171)&lt;&gt;"",N($W171)&gt;0,INDEX(職員マスタ!$K$6:$K$405,$AP171)&lt;&gt;$W171),"標準報酬月額が申請書と相違（台帳"&amp;TEXT(INDEX(職員マスタ!$K$6:$K$405,$AP171),"#,##0")&amp;"円／申請書"&amp;TEXT($W171,"#,##0")&amp;"円）／","")&amp;IF(AND(INDEX(職員マスタ!$F$6:$F$405,$AP171)&lt;&gt;"",$AQ171&lt;&gt;"",INDEX(職員マスタ!$F$6:$F$405,$AP171)&lt;$AQ171),"対象月に子が2歳到達済／","")&amp;IF(AND($H171&lt;&gt;"",INDEX(職員マスタ!$B$6:$B$405,$AP171)&lt;&gt;"",SUBSTITUTE(SUBSTITUTE($H171," ","")," ","")&lt;&gt;SUBSTITUTE(SUBSTITUTE(INDEX(職員マスタ!$B$6:$B$405,$AP171)," ","")," ","")),"氏名がマスタと相違／","")&amp;IF(AND($Q171&lt;&gt;"",INDEX(職員マスタ!$E$6:$E$405,$AP171)&lt;&gt;"",$Q171&lt;&gt;INDEX(職員マスタ!$E$6:$E$405,$AP171)),"子の生年月日がマスタと相違／","")&amp;IF(AND($L171&lt;&gt;"",INDEX(職員マスタ!$G$6:$G$405,$AP171)&lt;&gt;"",$L171&lt;&gt;INDEX(職員マスタ!$G$6:$G$405,$AP171)),"時短開始日がマスタと相違／","")&amp;IF(AND($M171&lt;&gt;"",INDEX(職員マスタ!$H$6:$H$405,$AP171)&lt;&gt;"",$M171&lt;&gt;INDEX(職員マスタ!$H$6:$H$405,$AP171)),"時短終了日がマスタと相違／","")))&amp;IF(AND($B171&lt;&gt;"",$E171=""),"報酬額が未入力／","")&amp;IF(N($U171)&gt;0,"申請書に入力エラーが残っています／","")&amp;IF(AND($B171&lt;&gt;"",$AQ171&lt;&gt;""),IF(COUNTIFS($B$6:$B$3005,$B171,$C$6:$C$3005,$C171,$D$6:$D$3005,$D171)&gt;1,"同じ月の請求が重複しています／",""),"")&amp;IF(AND(N($E171)&gt;0,$AB171&lt;&gt;"",$AB171&lt;&gt;"×",$AE171=0,$AD171=""),"計算額が下限以下のため不支給／",""))</f>
        <v/>
      </c>
      <c r="AN171" s="12" t="n"/>
      <c r="AO171" s="14">
        <f>IF($AF171="保留中",COUNTIF($AF$6:$AF171,"保留中"),"")</f>
        <v/>
      </c>
      <c r="AP171" s="14">
        <f>IF($AQ171="","",IF(SUMPRODUCT(MAX((職員マスタ!$A$6:$A$405=$B171)*(((職員マスタ!$G$6:$G$405="")+(職員マスタ!$G$6:$G$405&lt;=EOMONTH($AQ171,0)))&gt;0)*(((職員マスタ!$H$6:$H$405="")+(職員マスタ!$H$6:$H$405&gt;=$AQ171))&gt;0)*(ROW(職員マスタ!$A$6:$A$405)-5)))&gt;0,SUMPRODUCT(MAX((職員マスタ!$A$6:$A$405=$B171)*(((職員マスタ!$G$6:$G$405="")+(職員マスタ!$G$6:$G$405&lt;=EOMONTH($AQ171,0)))&gt;0)*(((職員マスタ!$H$6:$H$405="")+(職員マスタ!$H$6:$H$405&gt;=$AQ171))&gt;0)*(ROW(職員マスタ!$A$6:$A$405)-5))),IFERROR(MATCH($B171,職員マスタ!$A$6:$A$405,0),"")))</f>
        <v/>
      </c>
      <c r="AQ171" s="16">
        <f>IF(OR($B171="",$C171="",$D171=""),"",DATE($C171+2018,$D171,1))</f>
        <v/>
      </c>
    </row>
    <row r="172">
      <c r="A172" s="11" t="n"/>
      <c r="B172" s="12" t="n">
        <v>6402903</v>
      </c>
      <c r="C172" s="12" t="n">
        <v>7</v>
      </c>
      <c r="D172" s="12" t="n">
        <v>7</v>
      </c>
      <c r="E172" s="13" t="n">
        <v>207397</v>
      </c>
      <c r="F172" s="12" t="n"/>
      <c r="G172" s="13" t="n"/>
      <c r="H172" s="12" t="n"/>
      <c r="I172" s="12" t="n"/>
      <c r="J172" s="12" t="n"/>
      <c r="K172" s="12" t="n"/>
      <c r="L172" s="11" t="n"/>
      <c r="M172" s="11" t="n"/>
      <c r="N172" s="11" t="n"/>
      <c r="O172" s="11" t="n"/>
      <c r="P172" s="12" t="n"/>
      <c r="Q172" s="11" t="n"/>
      <c r="R172" s="12" t="n"/>
      <c r="S172" s="11" t="n"/>
      <c r="T172" s="12" t="n"/>
      <c r="U172" s="12" t="n"/>
      <c r="V172" s="12" t="n"/>
      <c r="W172" s="13" t="n"/>
      <c r="X172" s="14">
        <f>IF($AP172="",IF($B172="","",$H172),IF(INDEX(職員マスタ!$B$6:$B$405,$AP172)="",$H172,INDEX(職員マスタ!$B$6:$B$405,$AP172)))</f>
        <v/>
      </c>
      <c r="Y172" s="14">
        <f>IF($AP172="",IF($B172="","",$R172),IF(INDEX(職員マスタ!$C$6:$C$405,$AP172)="",$R172,INDEX(職員マスタ!$C$6:$C$405,$AP172)))</f>
        <v/>
      </c>
      <c r="Z172" s="14">
        <f>IF($AQ172="","","R"&amp;$C172&amp;"."&amp;$D172)</f>
        <v/>
      </c>
      <c r="AA172" s="15">
        <f>IF(IF($AP172="",FALSE,INDEX(職員マスタ!$K$6:$K$405,$AP172)&lt;&gt;""),INDEX(職員マスタ!$K$6:$K$405,$AP172),IF(N($W172)&gt;0,$W172,""))</f>
        <v/>
      </c>
      <c r="AB172" s="14">
        <f>IF(OR($E172="",$AA172=""),"",IF($E172&gt;=$AA172,"×",IF($E172&gt;=$AA172*設定!$C$5,"△","○")))</f>
        <v/>
      </c>
      <c r="AC172" s="15">
        <f>IF($AB172="","",IF($AB172="×",0,IF($AB172="○",ROUNDDOWN($E172*設定!$C$4,0),ROUNDDOWN($E172*ROUND((9*$AA172-9*$E172)/(10*$E172),4),0))))</f>
        <v/>
      </c>
      <c r="AD172" s="13" t="n"/>
      <c r="AE172" s="15">
        <f>IF($B172="","",IF($AD172&lt;&gt;"",$AD172,IF($AC172="","",IF($AC172&lt;=設定!$C$3,0,$AC172))))</f>
        <v/>
      </c>
      <c r="AF172" s="14">
        <f>IF($B172="","",IF(AND($AG172&lt;&gt;"",$AI172="",$AL172=""),"保留中",IF($AL172&lt;&gt;"",IF(N($AE172)&gt;0,"支給済","不支給"),IF($AE172="","要確認",IF($AE172=0,"不支給","未処理")))))</f>
        <v/>
      </c>
      <c r="AG172" s="12" t="n"/>
      <c r="AH172" s="11" t="n"/>
      <c r="AI172" s="11" t="n"/>
      <c r="AJ172" s="11" t="n"/>
      <c r="AK172" s="14">
        <f>IF(AND($AF172="保留中",$AH172&lt;&gt;""),TODAY()-$AH172,"")</f>
        <v/>
      </c>
      <c r="AL172" s="12" t="inlineStr">
        <is>
          <t>R7.9</t>
        </is>
      </c>
      <c r="AM172" s="14">
        <f>IF($B172="","",IF($AQ172="","対象年月が未入力／","")&amp;IF($B172="","",IF($AP172="","職員マスタに未登録の職員番号／",IF($AA172="","標準報酬月額が未登録／","")&amp;IF(AND($AQ172&lt;&gt;"",OR(AND(INDEX(職員マスタ!$G$6:$G$405,$AP172)&lt;&gt;"",INDEX(職員マスタ!$G$6:$G$405,$AP172)&gt;EOMONTH($AQ172,0)),AND(INDEX(職員マスタ!$H$6:$H$405,$AP172)&lt;&gt;"",INDEX(職員マスタ!$H$6:$H$405,$AP172)&lt;$AQ172))),"対象月が時短期間外／","")&amp;IF(AND(INDEX(職員マスタ!$K$6:$K$405,$AP172)&lt;&gt;"",N($W172)&gt;0,INDEX(職員マスタ!$K$6:$K$405,$AP172)&lt;&gt;$W172),"標準報酬月額が申請書と相違（台帳"&amp;TEXT(INDEX(職員マスタ!$K$6:$K$405,$AP172),"#,##0")&amp;"円／申請書"&amp;TEXT($W172,"#,##0")&amp;"円）／","")&amp;IF(AND(INDEX(職員マスタ!$F$6:$F$405,$AP172)&lt;&gt;"",$AQ172&lt;&gt;"",INDEX(職員マスタ!$F$6:$F$405,$AP172)&lt;$AQ172),"対象月に子が2歳到達済／","")&amp;IF(AND($H172&lt;&gt;"",INDEX(職員マスタ!$B$6:$B$405,$AP172)&lt;&gt;"",SUBSTITUTE(SUBSTITUTE($H172," ","")," ","")&lt;&gt;SUBSTITUTE(SUBSTITUTE(INDEX(職員マスタ!$B$6:$B$405,$AP172)," ","")," ","")),"氏名がマスタと相違／","")&amp;IF(AND($Q172&lt;&gt;"",INDEX(職員マスタ!$E$6:$E$405,$AP172)&lt;&gt;"",$Q172&lt;&gt;INDEX(職員マスタ!$E$6:$E$405,$AP172)),"子の生年月日がマスタと相違／","")&amp;IF(AND($L172&lt;&gt;"",INDEX(職員マスタ!$G$6:$G$405,$AP172)&lt;&gt;"",$L172&lt;&gt;INDEX(職員マスタ!$G$6:$G$405,$AP172)),"時短開始日がマスタと相違／","")&amp;IF(AND($M172&lt;&gt;"",INDEX(職員マスタ!$H$6:$H$405,$AP172)&lt;&gt;"",$M172&lt;&gt;INDEX(職員マスタ!$H$6:$H$405,$AP172)),"時短終了日がマスタと相違／","")))&amp;IF(AND($B172&lt;&gt;"",$E172=""),"報酬額が未入力／","")&amp;IF(N($U172)&gt;0,"申請書に入力エラーが残っています／","")&amp;IF(AND($B172&lt;&gt;"",$AQ172&lt;&gt;""),IF(COUNTIFS($B$6:$B$3005,$B172,$C$6:$C$3005,$C172,$D$6:$D$3005,$D172)&gt;1,"同じ月の請求が重複しています／",""),"")&amp;IF(AND(N($E172)&gt;0,$AB172&lt;&gt;"",$AB172&lt;&gt;"×",$AE172=0,$AD172=""),"計算額が下限以下のため不支給／",""))</f>
        <v/>
      </c>
      <c r="AN172" s="12" t="n"/>
      <c r="AO172" s="14">
        <f>IF($AF172="保留中",COUNTIF($AF$6:$AF172,"保留中"),"")</f>
        <v/>
      </c>
      <c r="AP172" s="14">
        <f>IF($AQ172="","",IF(SUMPRODUCT(MAX((職員マスタ!$A$6:$A$405=$B172)*(((職員マスタ!$G$6:$G$405="")+(職員マスタ!$G$6:$G$405&lt;=EOMONTH($AQ172,0)))&gt;0)*(((職員マスタ!$H$6:$H$405="")+(職員マスタ!$H$6:$H$405&gt;=$AQ172))&gt;0)*(ROW(職員マスタ!$A$6:$A$405)-5)))&gt;0,SUMPRODUCT(MAX((職員マスタ!$A$6:$A$405=$B172)*(((職員マスタ!$G$6:$G$405="")+(職員マスタ!$G$6:$G$405&lt;=EOMONTH($AQ172,0)))&gt;0)*(((職員マスタ!$H$6:$H$405="")+(職員マスタ!$H$6:$H$405&gt;=$AQ172))&gt;0)*(ROW(職員マスタ!$A$6:$A$405)-5))),IFERROR(MATCH($B172,職員マスタ!$A$6:$A$405,0),"")))</f>
        <v/>
      </c>
      <c r="AQ172" s="16">
        <f>IF(OR($B172="",$C172="",$D172=""),"",DATE($C172+2018,$D172,1))</f>
        <v/>
      </c>
    </row>
    <row r="173">
      <c r="A173" s="11" t="n"/>
      <c r="B173" s="12" t="n">
        <v>6402903</v>
      </c>
      <c r="C173" s="12" t="n">
        <v>7</v>
      </c>
      <c r="D173" s="12" t="n">
        <v>8</v>
      </c>
      <c r="E173" s="13" t="n">
        <v>205431</v>
      </c>
      <c r="F173" s="12" t="n"/>
      <c r="G173" s="13" t="n"/>
      <c r="H173" s="12" t="n"/>
      <c r="I173" s="12" t="n"/>
      <c r="J173" s="12" t="n"/>
      <c r="K173" s="12" t="n"/>
      <c r="L173" s="11" t="n"/>
      <c r="M173" s="11" t="n"/>
      <c r="N173" s="11" t="n"/>
      <c r="O173" s="11" t="n"/>
      <c r="P173" s="12" t="n"/>
      <c r="Q173" s="11" t="n"/>
      <c r="R173" s="12" t="n"/>
      <c r="S173" s="11" t="n"/>
      <c r="T173" s="12" t="n"/>
      <c r="U173" s="12" t="n"/>
      <c r="V173" s="12" t="n"/>
      <c r="W173" s="13" t="n"/>
      <c r="X173" s="14">
        <f>IF($AP173="",IF($B173="","",$H173),IF(INDEX(職員マスタ!$B$6:$B$405,$AP173)="",$H173,INDEX(職員マスタ!$B$6:$B$405,$AP173)))</f>
        <v/>
      </c>
      <c r="Y173" s="14">
        <f>IF($AP173="",IF($B173="","",$R173),IF(INDEX(職員マスタ!$C$6:$C$405,$AP173)="",$R173,INDEX(職員マスタ!$C$6:$C$405,$AP173)))</f>
        <v/>
      </c>
      <c r="Z173" s="14">
        <f>IF($AQ173="","","R"&amp;$C173&amp;"."&amp;$D173)</f>
        <v/>
      </c>
      <c r="AA173" s="15">
        <f>IF(IF($AP173="",FALSE,INDEX(職員マスタ!$K$6:$K$405,$AP173)&lt;&gt;""),INDEX(職員マスタ!$K$6:$K$405,$AP173),IF(N($W173)&gt;0,$W173,""))</f>
        <v/>
      </c>
      <c r="AB173" s="14">
        <f>IF(OR($E173="",$AA173=""),"",IF($E173&gt;=$AA173,"×",IF($E173&gt;=$AA173*設定!$C$5,"△","○")))</f>
        <v/>
      </c>
      <c r="AC173" s="15">
        <f>IF($AB173="","",IF($AB173="×",0,IF($AB173="○",ROUNDDOWN($E173*設定!$C$4,0),ROUNDDOWN($E173*ROUND((9*$AA173-9*$E173)/(10*$E173),4),0))))</f>
        <v/>
      </c>
      <c r="AD173" s="13" t="n"/>
      <c r="AE173" s="15">
        <f>IF($B173="","",IF($AD173&lt;&gt;"",$AD173,IF($AC173="","",IF($AC173&lt;=設定!$C$3,0,$AC173))))</f>
        <v/>
      </c>
      <c r="AF173" s="14">
        <f>IF($B173="","",IF(AND($AG173&lt;&gt;"",$AI173="",$AL173=""),"保留中",IF($AL173&lt;&gt;"",IF(N($AE173)&gt;0,"支給済","不支給"),IF($AE173="","要確認",IF($AE173=0,"不支給","未処理")))))</f>
        <v/>
      </c>
      <c r="AG173" s="12" t="n"/>
      <c r="AH173" s="11" t="n"/>
      <c r="AI173" s="11" t="n"/>
      <c r="AJ173" s="11" t="n"/>
      <c r="AK173" s="14">
        <f>IF(AND($AF173="保留中",$AH173&lt;&gt;""),TODAY()-$AH173,"")</f>
        <v/>
      </c>
      <c r="AL173" s="12" t="inlineStr">
        <is>
          <t>R7.10</t>
        </is>
      </c>
      <c r="AM173" s="14">
        <f>IF($B173="","",IF($AQ173="","対象年月が未入力／","")&amp;IF($B173="","",IF($AP173="","職員マスタに未登録の職員番号／",IF($AA173="","標準報酬月額が未登録／","")&amp;IF(AND($AQ173&lt;&gt;"",OR(AND(INDEX(職員マスタ!$G$6:$G$405,$AP173)&lt;&gt;"",INDEX(職員マスタ!$G$6:$G$405,$AP173)&gt;EOMONTH($AQ173,0)),AND(INDEX(職員マスタ!$H$6:$H$405,$AP173)&lt;&gt;"",INDEX(職員マスタ!$H$6:$H$405,$AP173)&lt;$AQ173))),"対象月が時短期間外／","")&amp;IF(AND(INDEX(職員マスタ!$K$6:$K$405,$AP173)&lt;&gt;"",N($W173)&gt;0,INDEX(職員マスタ!$K$6:$K$405,$AP173)&lt;&gt;$W173),"標準報酬月額が申請書と相違（台帳"&amp;TEXT(INDEX(職員マスタ!$K$6:$K$405,$AP173),"#,##0")&amp;"円／申請書"&amp;TEXT($W173,"#,##0")&amp;"円）／","")&amp;IF(AND(INDEX(職員マスタ!$F$6:$F$405,$AP173)&lt;&gt;"",$AQ173&lt;&gt;"",INDEX(職員マスタ!$F$6:$F$405,$AP173)&lt;$AQ173),"対象月に子が2歳到達済／","")&amp;IF(AND($H173&lt;&gt;"",INDEX(職員マスタ!$B$6:$B$405,$AP173)&lt;&gt;"",SUBSTITUTE(SUBSTITUTE($H173," ","")," ","")&lt;&gt;SUBSTITUTE(SUBSTITUTE(INDEX(職員マスタ!$B$6:$B$405,$AP173)," ","")," ","")),"氏名がマスタと相違／","")&amp;IF(AND($Q173&lt;&gt;"",INDEX(職員マスタ!$E$6:$E$405,$AP173)&lt;&gt;"",$Q173&lt;&gt;INDEX(職員マスタ!$E$6:$E$405,$AP173)),"子の生年月日がマスタと相違／","")&amp;IF(AND($L173&lt;&gt;"",INDEX(職員マスタ!$G$6:$G$405,$AP173)&lt;&gt;"",$L173&lt;&gt;INDEX(職員マスタ!$G$6:$G$405,$AP173)),"時短開始日がマスタと相違／","")&amp;IF(AND($M173&lt;&gt;"",INDEX(職員マスタ!$H$6:$H$405,$AP173)&lt;&gt;"",$M173&lt;&gt;INDEX(職員マスタ!$H$6:$H$405,$AP173)),"時短終了日がマスタと相違／","")))&amp;IF(AND($B173&lt;&gt;"",$E173=""),"報酬額が未入力／","")&amp;IF(N($U173)&gt;0,"申請書に入力エラーが残っています／","")&amp;IF(AND($B173&lt;&gt;"",$AQ173&lt;&gt;""),IF(COUNTIFS($B$6:$B$3005,$B173,$C$6:$C$3005,$C173,$D$6:$D$3005,$D173)&gt;1,"同じ月の請求が重複しています／",""),"")&amp;IF(AND(N($E173)&gt;0,$AB173&lt;&gt;"",$AB173&lt;&gt;"×",$AE173=0,$AD173=""),"計算額が下限以下のため不支給／",""))</f>
        <v/>
      </c>
      <c r="AN173" s="12" t="n"/>
      <c r="AO173" s="14">
        <f>IF($AF173="保留中",COUNTIF($AF$6:$AF173,"保留中"),"")</f>
        <v/>
      </c>
      <c r="AP173" s="14">
        <f>IF($AQ173="","",IF(SUMPRODUCT(MAX((職員マスタ!$A$6:$A$405=$B173)*(((職員マスタ!$G$6:$G$405="")+(職員マスタ!$G$6:$G$405&lt;=EOMONTH($AQ173,0)))&gt;0)*(((職員マスタ!$H$6:$H$405="")+(職員マスタ!$H$6:$H$405&gt;=$AQ173))&gt;0)*(ROW(職員マスタ!$A$6:$A$405)-5)))&gt;0,SUMPRODUCT(MAX((職員マスタ!$A$6:$A$405=$B173)*(((職員マスタ!$G$6:$G$405="")+(職員マスタ!$G$6:$G$405&lt;=EOMONTH($AQ173,0)))&gt;0)*(((職員マスタ!$H$6:$H$405="")+(職員マスタ!$H$6:$H$405&gt;=$AQ173))&gt;0)*(ROW(職員マスタ!$A$6:$A$405)-5))),IFERROR(MATCH($B173,職員マスタ!$A$6:$A$405,0),"")))</f>
        <v/>
      </c>
      <c r="AQ173" s="16">
        <f>IF(OR($B173="",$C173="",$D173=""),"",DATE($C173+2018,$D173,1))</f>
        <v/>
      </c>
    </row>
    <row r="174">
      <c r="A174" s="11" t="n"/>
      <c r="B174" s="12" t="n">
        <v>6402903</v>
      </c>
      <c r="C174" s="12" t="n">
        <v>7</v>
      </c>
      <c r="D174" s="12" t="n">
        <v>9</v>
      </c>
      <c r="E174" s="13" t="n">
        <v>205431</v>
      </c>
      <c r="F174" s="12" t="n"/>
      <c r="G174" s="13" t="n"/>
      <c r="H174" s="12" t="n"/>
      <c r="I174" s="12" t="n"/>
      <c r="J174" s="12" t="n"/>
      <c r="K174" s="12" t="n"/>
      <c r="L174" s="11" t="n"/>
      <c r="M174" s="11" t="n"/>
      <c r="N174" s="11" t="n"/>
      <c r="O174" s="11" t="n"/>
      <c r="P174" s="12" t="n"/>
      <c r="Q174" s="11" t="n"/>
      <c r="R174" s="12" t="n"/>
      <c r="S174" s="11" t="n"/>
      <c r="T174" s="12" t="n"/>
      <c r="U174" s="12" t="n"/>
      <c r="V174" s="12" t="n"/>
      <c r="W174" s="13" t="n"/>
      <c r="X174" s="14">
        <f>IF($AP174="",IF($B174="","",$H174),IF(INDEX(職員マスタ!$B$6:$B$405,$AP174)="",$H174,INDEX(職員マスタ!$B$6:$B$405,$AP174)))</f>
        <v/>
      </c>
      <c r="Y174" s="14">
        <f>IF($AP174="",IF($B174="","",$R174),IF(INDEX(職員マスタ!$C$6:$C$405,$AP174)="",$R174,INDEX(職員マスタ!$C$6:$C$405,$AP174)))</f>
        <v/>
      </c>
      <c r="Z174" s="14">
        <f>IF($AQ174="","","R"&amp;$C174&amp;"."&amp;$D174)</f>
        <v/>
      </c>
      <c r="AA174" s="15">
        <f>IF(IF($AP174="",FALSE,INDEX(職員マスタ!$K$6:$K$405,$AP174)&lt;&gt;""),INDEX(職員マスタ!$K$6:$K$405,$AP174),IF(N($W174)&gt;0,$W174,""))</f>
        <v/>
      </c>
      <c r="AB174" s="14">
        <f>IF(OR($E174="",$AA174=""),"",IF($E174&gt;=$AA174,"×",IF($E174&gt;=$AA174*設定!$C$5,"△","○")))</f>
        <v/>
      </c>
      <c r="AC174" s="15">
        <f>IF($AB174="","",IF($AB174="×",0,IF($AB174="○",ROUNDDOWN($E174*設定!$C$4,0),ROUNDDOWN($E174*ROUND((9*$AA174-9*$E174)/(10*$E174),4),0))))</f>
        <v/>
      </c>
      <c r="AD174" s="13" t="n"/>
      <c r="AE174" s="15">
        <f>IF($B174="","",IF($AD174&lt;&gt;"",$AD174,IF($AC174="","",IF($AC174&lt;=設定!$C$3,0,$AC174))))</f>
        <v/>
      </c>
      <c r="AF174" s="14">
        <f>IF($B174="","",IF(AND($AG174&lt;&gt;"",$AI174="",$AL174=""),"保留中",IF($AL174&lt;&gt;"",IF(N($AE174)&gt;0,"支給済","不支給"),IF($AE174="","要確認",IF($AE174=0,"不支給","未処理")))))</f>
        <v/>
      </c>
      <c r="AG174" s="12" t="n"/>
      <c r="AH174" s="11" t="n"/>
      <c r="AI174" s="11" t="n"/>
      <c r="AJ174" s="11" t="n"/>
      <c r="AK174" s="14">
        <f>IF(AND($AF174="保留中",$AH174&lt;&gt;""),TODAY()-$AH174,"")</f>
        <v/>
      </c>
      <c r="AL174" s="12" t="inlineStr">
        <is>
          <t>R7.11</t>
        </is>
      </c>
      <c r="AM174" s="14">
        <f>IF($B174="","",IF($AQ174="","対象年月が未入力／","")&amp;IF($B174="","",IF($AP174="","職員マスタに未登録の職員番号／",IF($AA174="","標準報酬月額が未登録／","")&amp;IF(AND($AQ174&lt;&gt;"",OR(AND(INDEX(職員マスタ!$G$6:$G$405,$AP174)&lt;&gt;"",INDEX(職員マスタ!$G$6:$G$405,$AP174)&gt;EOMONTH($AQ174,0)),AND(INDEX(職員マスタ!$H$6:$H$405,$AP174)&lt;&gt;"",INDEX(職員マスタ!$H$6:$H$405,$AP174)&lt;$AQ174))),"対象月が時短期間外／","")&amp;IF(AND(INDEX(職員マスタ!$K$6:$K$405,$AP174)&lt;&gt;"",N($W174)&gt;0,INDEX(職員マスタ!$K$6:$K$405,$AP174)&lt;&gt;$W174),"標準報酬月額が申請書と相違（台帳"&amp;TEXT(INDEX(職員マスタ!$K$6:$K$405,$AP174),"#,##0")&amp;"円／申請書"&amp;TEXT($W174,"#,##0")&amp;"円）／","")&amp;IF(AND(INDEX(職員マスタ!$F$6:$F$405,$AP174)&lt;&gt;"",$AQ174&lt;&gt;"",INDEX(職員マスタ!$F$6:$F$405,$AP174)&lt;$AQ174),"対象月に子が2歳到達済／","")&amp;IF(AND($H174&lt;&gt;"",INDEX(職員マスタ!$B$6:$B$405,$AP174)&lt;&gt;"",SUBSTITUTE(SUBSTITUTE($H174," ","")," ","")&lt;&gt;SUBSTITUTE(SUBSTITUTE(INDEX(職員マスタ!$B$6:$B$405,$AP174)," ","")," ","")),"氏名がマスタと相違／","")&amp;IF(AND($Q174&lt;&gt;"",INDEX(職員マスタ!$E$6:$E$405,$AP174)&lt;&gt;"",$Q174&lt;&gt;INDEX(職員マスタ!$E$6:$E$405,$AP174)),"子の生年月日がマスタと相違／","")&amp;IF(AND($L174&lt;&gt;"",INDEX(職員マスタ!$G$6:$G$405,$AP174)&lt;&gt;"",$L174&lt;&gt;INDEX(職員マスタ!$G$6:$G$405,$AP174)),"時短開始日がマスタと相違／","")&amp;IF(AND($M174&lt;&gt;"",INDEX(職員マスタ!$H$6:$H$405,$AP174)&lt;&gt;"",$M174&lt;&gt;INDEX(職員マスタ!$H$6:$H$405,$AP174)),"時短終了日がマスタと相違／","")))&amp;IF(AND($B174&lt;&gt;"",$E174=""),"報酬額が未入力／","")&amp;IF(N($U174)&gt;0,"申請書に入力エラーが残っています／","")&amp;IF(AND($B174&lt;&gt;"",$AQ174&lt;&gt;""),IF(COUNTIFS($B$6:$B$3005,$B174,$C$6:$C$3005,$C174,$D$6:$D$3005,$D174)&gt;1,"同じ月の請求が重複しています／",""),"")&amp;IF(AND(N($E174)&gt;0,$AB174&lt;&gt;"",$AB174&lt;&gt;"×",$AE174=0,$AD174=""),"計算額が下限以下のため不支給／",""))</f>
        <v/>
      </c>
      <c r="AN174" s="12" t="n"/>
      <c r="AO174" s="14">
        <f>IF($AF174="保留中",COUNTIF($AF$6:$AF174,"保留中"),"")</f>
        <v/>
      </c>
      <c r="AP174" s="14">
        <f>IF($AQ174="","",IF(SUMPRODUCT(MAX((職員マスタ!$A$6:$A$405=$B174)*(((職員マスタ!$G$6:$G$405="")+(職員マスタ!$G$6:$G$405&lt;=EOMONTH($AQ174,0)))&gt;0)*(((職員マスタ!$H$6:$H$405="")+(職員マスタ!$H$6:$H$405&gt;=$AQ174))&gt;0)*(ROW(職員マスタ!$A$6:$A$405)-5)))&gt;0,SUMPRODUCT(MAX((職員マスタ!$A$6:$A$405=$B174)*(((職員マスタ!$G$6:$G$405="")+(職員マスタ!$G$6:$G$405&lt;=EOMONTH($AQ174,0)))&gt;0)*(((職員マスタ!$H$6:$H$405="")+(職員マスタ!$H$6:$H$405&gt;=$AQ174))&gt;0)*(ROW(職員マスタ!$A$6:$A$405)-5))),IFERROR(MATCH($B174,職員マスタ!$A$6:$A$405,0),"")))</f>
        <v/>
      </c>
      <c r="AQ174" s="16">
        <f>IF(OR($B174="",$C174="",$D174=""),"",DATE($C174+2018,$D174,1))</f>
        <v/>
      </c>
    </row>
    <row r="175">
      <c r="A175" s="11" t="n"/>
      <c r="B175" s="12" t="n">
        <v>6402903</v>
      </c>
      <c r="C175" s="12" t="n">
        <v>7</v>
      </c>
      <c r="D175" s="12" t="n">
        <v>10</v>
      </c>
      <c r="E175" s="13" t="n">
        <v>205431</v>
      </c>
      <c r="F175" s="12" t="n"/>
      <c r="G175" s="13" t="n"/>
      <c r="H175" s="12" t="n"/>
      <c r="I175" s="12" t="n"/>
      <c r="J175" s="12" t="n"/>
      <c r="K175" s="12" t="n"/>
      <c r="L175" s="11" t="n"/>
      <c r="M175" s="11" t="n"/>
      <c r="N175" s="11" t="n"/>
      <c r="O175" s="11" t="n"/>
      <c r="P175" s="12" t="n"/>
      <c r="Q175" s="11" t="n"/>
      <c r="R175" s="12" t="n"/>
      <c r="S175" s="11" t="n"/>
      <c r="T175" s="12" t="n"/>
      <c r="U175" s="12" t="n"/>
      <c r="V175" s="12" t="n"/>
      <c r="W175" s="13" t="n"/>
      <c r="X175" s="14">
        <f>IF($AP175="",IF($B175="","",$H175),IF(INDEX(職員マスタ!$B$6:$B$405,$AP175)="",$H175,INDEX(職員マスタ!$B$6:$B$405,$AP175)))</f>
        <v/>
      </c>
      <c r="Y175" s="14">
        <f>IF($AP175="",IF($B175="","",$R175),IF(INDEX(職員マスタ!$C$6:$C$405,$AP175)="",$R175,INDEX(職員マスタ!$C$6:$C$405,$AP175)))</f>
        <v/>
      </c>
      <c r="Z175" s="14">
        <f>IF($AQ175="","","R"&amp;$C175&amp;"."&amp;$D175)</f>
        <v/>
      </c>
      <c r="AA175" s="15">
        <f>IF(IF($AP175="",FALSE,INDEX(職員マスタ!$K$6:$K$405,$AP175)&lt;&gt;""),INDEX(職員マスタ!$K$6:$K$405,$AP175),IF(N($W175)&gt;0,$W175,""))</f>
        <v/>
      </c>
      <c r="AB175" s="14">
        <f>IF(OR($E175="",$AA175=""),"",IF($E175&gt;=$AA175,"×",IF($E175&gt;=$AA175*設定!$C$5,"△","○")))</f>
        <v/>
      </c>
      <c r="AC175" s="15">
        <f>IF($AB175="","",IF($AB175="×",0,IF($AB175="○",ROUNDDOWN($E175*設定!$C$4,0),ROUNDDOWN($E175*ROUND((9*$AA175-9*$E175)/(10*$E175),4),0))))</f>
        <v/>
      </c>
      <c r="AD175" s="13" t="n"/>
      <c r="AE175" s="15">
        <f>IF($B175="","",IF($AD175&lt;&gt;"",$AD175,IF($AC175="","",IF($AC175&lt;=設定!$C$3,0,$AC175))))</f>
        <v/>
      </c>
      <c r="AF175" s="14">
        <f>IF($B175="","",IF(AND($AG175&lt;&gt;"",$AI175="",$AL175=""),"保留中",IF($AL175&lt;&gt;"",IF(N($AE175)&gt;0,"支給済","不支給"),IF($AE175="","要確認",IF($AE175=0,"不支給","未処理")))))</f>
        <v/>
      </c>
      <c r="AG175" s="12" t="n"/>
      <c r="AH175" s="11" t="n"/>
      <c r="AI175" s="11" t="n"/>
      <c r="AJ175" s="11" t="n"/>
      <c r="AK175" s="14">
        <f>IF(AND($AF175="保留中",$AH175&lt;&gt;""),TODAY()-$AH175,"")</f>
        <v/>
      </c>
      <c r="AL175" s="12" t="inlineStr">
        <is>
          <t>R7.12</t>
        </is>
      </c>
      <c r="AM175" s="14">
        <f>IF($B175="","",IF($AQ175="","対象年月が未入力／","")&amp;IF($B175="","",IF($AP175="","職員マスタに未登録の職員番号／",IF($AA175="","標準報酬月額が未登録／","")&amp;IF(AND($AQ175&lt;&gt;"",OR(AND(INDEX(職員マスタ!$G$6:$G$405,$AP175)&lt;&gt;"",INDEX(職員マスタ!$G$6:$G$405,$AP175)&gt;EOMONTH($AQ175,0)),AND(INDEX(職員マスタ!$H$6:$H$405,$AP175)&lt;&gt;"",INDEX(職員マスタ!$H$6:$H$405,$AP175)&lt;$AQ175))),"対象月が時短期間外／","")&amp;IF(AND(INDEX(職員マスタ!$K$6:$K$405,$AP175)&lt;&gt;"",N($W175)&gt;0,INDEX(職員マスタ!$K$6:$K$405,$AP175)&lt;&gt;$W175),"標準報酬月額が申請書と相違（台帳"&amp;TEXT(INDEX(職員マスタ!$K$6:$K$405,$AP175),"#,##0")&amp;"円／申請書"&amp;TEXT($W175,"#,##0")&amp;"円）／","")&amp;IF(AND(INDEX(職員マスタ!$F$6:$F$405,$AP175)&lt;&gt;"",$AQ175&lt;&gt;"",INDEX(職員マスタ!$F$6:$F$405,$AP175)&lt;$AQ175),"対象月に子が2歳到達済／","")&amp;IF(AND($H175&lt;&gt;"",INDEX(職員マスタ!$B$6:$B$405,$AP175)&lt;&gt;"",SUBSTITUTE(SUBSTITUTE($H175," ","")," ","")&lt;&gt;SUBSTITUTE(SUBSTITUTE(INDEX(職員マスタ!$B$6:$B$405,$AP175)," ","")," ","")),"氏名がマスタと相違／","")&amp;IF(AND($Q175&lt;&gt;"",INDEX(職員マスタ!$E$6:$E$405,$AP175)&lt;&gt;"",$Q175&lt;&gt;INDEX(職員マスタ!$E$6:$E$405,$AP175)),"子の生年月日がマスタと相違／","")&amp;IF(AND($L175&lt;&gt;"",INDEX(職員マスタ!$G$6:$G$405,$AP175)&lt;&gt;"",$L175&lt;&gt;INDEX(職員マスタ!$G$6:$G$405,$AP175)),"時短開始日がマスタと相違／","")&amp;IF(AND($M175&lt;&gt;"",INDEX(職員マスタ!$H$6:$H$405,$AP175)&lt;&gt;"",$M175&lt;&gt;INDEX(職員マスタ!$H$6:$H$405,$AP175)),"時短終了日がマスタと相違／","")))&amp;IF(AND($B175&lt;&gt;"",$E175=""),"報酬額が未入力／","")&amp;IF(N($U175)&gt;0,"申請書に入力エラーが残っています／","")&amp;IF(AND($B175&lt;&gt;"",$AQ175&lt;&gt;""),IF(COUNTIFS($B$6:$B$3005,$B175,$C$6:$C$3005,$C175,$D$6:$D$3005,$D175)&gt;1,"同じ月の請求が重複しています／",""),"")&amp;IF(AND(N($E175)&gt;0,$AB175&lt;&gt;"",$AB175&lt;&gt;"×",$AE175=0,$AD175=""),"計算額が下限以下のため不支給／",""))</f>
        <v/>
      </c>
      <c r="AN175" s="12" t="n"/>
      <c r="AO175" s="14">
        <f>IF($AF175="保留中",COUNTIF($AF$6:$AF175,"保留中"),"")</f>
        <v/>
      </c>
      <c r="AP175" s="14">
        <f>IF($AQ175="","",IF(SUMPRODUCT(MAX((職員マスタ!$A$6:$A$405=$B175)*(((職員マスタ!$G$6:$G$405="")+(職員マスタ!$G$6:$G$405&lt;=EOMONTH($AQ175,0)))&gt;0)*(((職員マスタ!$H$6:$H$405="")+(職員マスタ!$H$6:$H$405&gt;=$AQ175))&gt;0)*(ROW(職員マスタ!$A$6:$A$405)-5)))&gt;0,SUMPRODUCT(MAX((職員マスタ!$A$6:$A$405=$B175)*(((職員マスタ!$G$6:$G$405="")+(職員マスタ!$G$6:$G$405&lt;=EOMONTH($AQ175,0)))&gt;0)*(((職員マスタ!$H$6:$H$405="")+(職員マスタ!$H$6:$H$405&gt;=$AQ175))&gt;0)*(ROW(職員マスタ!$A$6:$A$405)-5))),IFERROR(MATCH($B175,職員マスタ!$A$6:$A$405,0),"")))</f>
        <v/>
      </c>
      <c r="AQ175" s="16">
        <f>IF(OR($B175="",$C175="",$D175=""),"",DATE($C175+2018,$D175,1))</f>
        <v/>
      </c>
    </row>
    <row r="176">
      <c r="A176" s="11" t="n"/>
      <c r="B176" s="12" t="n">
        <v>6402903</v>
      </c>
      <c r="C176" s="12" t="n">
        <v>7</v>
      </c>
      <c r="D176" s="12" t="n">
        <v>11</v>
      </c>
      <c r="E176" s="13" t="n">
        <v>207397</v>
      </c>
      <c r="F176" s="12" t="n"/>
      <c r="G176" s="13" t="n"/>
      <c r="H176" s="12" t="n"/>
      <c r="I176" s="12" t="n"/>
      <c r="J176" s="12" t="n"/>
      <c r="K176" s="12" t="n"/>
      <c r="L176" s="11" t="n"/>
      <c r="M176" s="11" t="n"/>
      <c r="N176" s="11" t="n"/>
      <c r="O176" s="11" t="n"/>
      <c r="P176" s="12" t="n"/>
      <c r="Q176" s="11" t="n"/>
      <c r="R176" s="12" t="n"/>
      <c r="S176" s="11" t="n"/>
      <c r="T176" s="12" t="n"/>
      <c r="U176" s="12" t="n"/>
      <c r="V176" s="12" t="n"/>
      <c r="W176" s="13" t="n"/>
      <c r="X176" s="14">
        <f>IF($AP176="",IF($B176="","",$H176),IF(INDEX(職員マスタ!$B$6:$B$405,$AP176)="",$H176,INDEX(職員マスタ!$B$6:$B$405,$AP176)))</f>
        <v/>
      </c>
      <c r="Y176" s="14">
        <f>IF($AP176="",IF($B176="","",$R176),IF(INDEX(職員マスタ!$C$6:$C$405,$AP176)="",$R176,INDEX(職員マスタ!$C$6:$C$405,$AP176)))</f>
        <v/>
      </c>
      <c r="Z176" s="14">
        <f>IF($AQ176="","","R"&amp;$C176&amp;"."&amp;$D176)</f>
        <v/>
      </c>
      <c r="AA176" s="15">
        <f>IF(IF($AP176="",FALSE,INDEX(職員マスタ!$K$6:$K$405,$AP176)&lt;&gt;""),INDEX(職員マスタ!$K$6:$K$405,$AP176),IF(N($W176)&gt;0,$W176,""))</f>
        <v/>
      </c>
      <c r="AB176" s="14">
        <f>IF(OR($E176="",$AA176=""),"",IF($E176&gt;=$AA176,"×",IF($E176&gt;=$AA176*設定!$C$5,"△","○")))</f>
        <v/>
      </c>
      <c r="AC176" s="15">
        <f>IF($AB176="","",IF($AB176="×",0,IF($AB176="○",ROUNDDOWN($E176*設定!$C$4,0),ROUNDDOWN($E176*ROUND((9*$AA176-9*$E176)/(10*$E176),4),0))))</f>
        <v/>
      </c>
      <c r="AD176" s="13" t="n"/>
      <c r="AE176" s="15">
        <f>IF($B176="","",IF($AD176&lt;&gt;"",$AD176,IF($AC176="","",IF($AC176&lt;=設定!$C$3,0,$AC176))))</f>
        <v/>
      </c>
      <c r="AF176" s="14">
        <f>IF($B176="","",IF(AND($AG176&lt;&gt;"",$AI176="",$AL176=""),"保留中",IF($AL176&lt;&gt;"",IF(N($AE176)&gt;0,"支給済","不支給"),IF($AE176="","要確認",IF($AE176=0,"不支給","未処理")))))</f>
        <v/>
      </c>
      <c r="AG176" s="12" t="n"/>
      <c r="AH176" s="11" t="n"/>
      <c r="AI176" s="11" t="n"/>
      <c r="AJ176" s="11" t="n"/>
      <c r="AK176" s="14">
        <f>IF(AND($AF176="保留中",$AH176&lt;&gt;""),TODAY()-$AH176,"")</f>
        <v/>
      </c>
      <c r="AL176" s="12" t="inlineStr">
        <is>
          <t>R8.1</t>
        </is>
      </c>
      <c r="AM176" s="14">
        <f>IF($B176="","",IF($AQ176="","対象年月が未入力／","")&amp;IF($B176="","",IF($AP176="","職員マスタに未登録の職員番号／",IF($AA176="","標準報酬月額が未登録／","")&amp;IF(AND($AQ176&lt;&gt;"",OR(AND(INDEX(職員マスタ!$G$6:$G$405,$AP176)&lt;&gt;"",INDEX(職員マスタ!$G$6:$G$405,$AP176)&gt;EOMONTH($AQ176,0)),AND(INDEX(職員マスタ!$H$6:$H$405,$AP176)&lt;&gt;"",INDEX(職員マスタ!$H$6:$H$405,$AP176)&lt;$AQ176))),"対象月が時短期間外／","")&amp;IF(AND(INDEX(職員マスタ!$K$6:$K$405,$AP176)&lt;&gt;"",N($W176)&gt;0,INDEX(職員マスタ!$K$6:$K$405,$AP176)&lt;&gt;$W176),"標準報酬月額が申請書と相違（台帳"&amp;TEXT(INDEX(職員マスタ!$K$6:$K$405,$AP176),"#,##0")&amp;"円／申請書"&amp;TEXT($W176,"#,##0")&amp;"円）／","")&amp;IF(AND(INDEX(職員マスタ!$F$6:$F$405,$AP176)&lt;&gt;"",$AQ176&lt;&gt;"",INDEX(職員マスタ!$F$6:$F$405,$AP176)&lt;$AQ176),"対象月に子が2歳到達済／","")&amp;IF(AND($H176&lt;&gt;"",INDEX(職員マスタ!$B$6:$B$405,$AP176)&lt;&gt;"",SUBSTITUTE(SUBSTITUTE($H176," ","")," ","")&lt;&gt;SUBSTITUTE(SUBSTITUTE(INDEX(職員マスタ!$B$6:$B$405,$AP176)," ","")," ","")),"氏名がマスタと相違／","")&amp;IF(AND($Q176&lt;&gt;"",INDEX(職員マスタ!$E$6:$E$405,$AP176)&lt;&gt;"",$Q176&lt;&gt;INDEX(職員マスタ!$E$6:$E$405,$AP176)),"子の生年月日がマスタと相違／","")&amp;IF(AND($L176&lt;&gt;"",INDEX(職員マスタ!$G$6:$G$405,$AP176)&lt;&gt;"",$L176&lt;&gt;INDEX(職員マスタ!$G$6:$G$405,$AP176)),"時短開始日がマスタと相違／","")&amp;IF(AND($M176&lt;&gt;"",INDEX(職員マスタ!$H$6:$H$405,$AP176)&lt;&gt;"",$M176&lt;&gt;INDEX(職員マスタ!$H$6:$H$405,$AP176)),"時短終了日がマスタと相違／","")))&amp;IF(AND($B176&lt;&gt;"",$E176=""),"報酬額が未入力／","")&amp;IF(N($U176)&gt;0,"申請書に入力エラーが残っています／","")&amp;IF(AND($B176&lt;&gt;"",$AQ176&lt;&gt;""),IF(COUNTIFS($B$6:$B$3005,$B176,$C$6:$C$3005,$C176,$D$6:$D$3005,$D176)&gt;1,"同じ月の請求が重複しています／",""),"")&amp;IF(AND(N($E176)&gt;0,$AB176&lt;&gt;"",$AB176&lt;&gt;"×",$AE176=0,$AD176=""),"計算額が下限以下のため不支給／",""))</f>
        <v/>
      </c>
      <c r="AN176" s="12" t="n"/>
      <c r="AO176" s="14">
        <f>IF($AF176="保留中",COUNTIF($AF$6:$AF176,"保留中"),"")</f>
        <v/>
      </c>
      <c r="AP176" s="14">
        <f>IF($AQ176="","",IF(SUMPRODUCT(MAX((職員マスタ!$A$6:$A$405=$B176)*(((職員マスタ!$G$6:$G$405="")+(職員マスタ!$G$6:$G$405&lt;=EOMONTH($AQ176,0)))&gt;0)*(((職員マスタ!$H$6:$H$405="")+(職員マスタ!$H$6:$H$405&gt;=$AQ176))&gt;0)*(ROW(職員マスタ!$A$6:$A$405)-5)))&gt;0,SUMPRODUCT(MAX((職員マスタ!$A$6:$A$405=$B176)*(((職員マスタ!$G$6:$G$405="")+(職員マスタ!$G$6:$G$405&lt;=EOMONTH($AQ176,0)))&gt;0)*(((職員マスタ!$H$6:$H$405="")+(職員マスタ!$H$6:$H$405&gt;=$AQ176))&gt;0)*(ROW(職員マスタ!$A$6:$A$405)-5))),IFERROR(MATCH($B176,職員マスタ!$A$6:$A$405,0),"")))</f>
        <v/>
      </c>
      <c r="AQ176" s="16">
        <f>IF(OR($B176="",$C176="",$D176=""),"",DATE($C176+2018,$D176,1))</f>
        <v/>
      </c>
    </row>
    <row r="177">
      <c r="A177" s="11" t="n"/>
      <c r="B177" s="12" t="n">
        <v>6402903</v>
      </c>
      <c r="C177" s="12" t="n">
        <v>7</v>
      </c>
      <c r="D177" s="12" t="n">
        <v>12</v>
      </c>
      <c r="E177" s="13" t="n">
        <v>212646</v>
      </c>
      <c r="F177" s="12" t="n"/>
      <c r="G177" s="13" t="n"/>
      <c r="H177" s="12" t="n"/>
      <c r="I177" s="12" t="n"/>
      <c r="J177" s="12" t="n"/>
      <c r="K177" s="12" t="n"/>
      <c r="L177" s="11" t="n"/>
      <c r="M177" s="11" t="n"/>
      <c r="N177" s="11" t="n"/>
      <c r="O177" s="11" t="n"/>
      <c r="P177" s="12" t="n"/>
      <c r="Q177" s="11" t="n"/>
      <c r="R177" s="12" t="n"/>
      <c r="S177" s="11" t="n"/>
      <c r="T177" s="12" t="n"/>
      <c r="U177" s="12" t="n"/>
      <c r="V177" s="12" t="n"/>
      <c r="W177" s="13" t="n"/>
      <c r="X177" s="14">
        <f>IF($AP177="",IF($B177="","",$H177),IF(INDEX(職員マスタ!$B$6:$B$405,$AP177)="",$H177,INDEX(職員マスタ!$B$6:$B$405,$AP177)))</f>
        <v/>
      </c>
      <c r="Y177" s="14">
        <f>IF($AP177="",IF($B177="","",$R177),IF(INDEX(職員マスタ!$C$6:$C$405,$AP177)="",$R177,INDEX(職員マスタ!$C$6:$C$405,$AP177)))</f>
        <v/>
      </c>
      <c r="Z177" s="14">
        <f>IF($AQ177="","","R"&amp;$C177&amp;"."&amp;$D177)</f>
        <v/>
      </c>
      <c r="AA177" s="15">
        <f>IF(IF($AP177="",FALSE,INDEX(職員マスタ!$K$6:$K$405,$AP177)&lt;&gt;""),INDEX(職員マスタ!$K$6:$K$405,$AP177),IF(N($W177)&gt;0,$W177,""))</f>
        <v/>
      </c>
      <c r="AB177" s="14">
        <f>IF(OR($E177="",$AA177=""),"",IF($E177&gt;=$AA177,"×",IF($E177&gt;=$AA177*設定!$C$5,"△","○")))</f>
        <v/>
      </c>
      <c r="AC177" s="15">
        <f>IF($AB177="","",IF($AB177="×",0,IF($AB177="○",ROUNDDOWN($E177*設定!$C$4,0),ROUNDDOWN($E177*ROUND((9*$AA177-9*$E177)/(10*$E177),4),0))))</f>
        <v/>
      </c>
      <c r="AD177" s="13" t="n"/>
      <c r="AE177" s="15">
        <f>IF($B177="","",IF($AD177&lt;&gt;"",$AD177,IF($AC177="","",IF($AC177&lt;=設定!$C$3,0,$AC177))))</f>
        <v/>
      </c>
      <c r="AF177" s="14">
        <f>IF($B177="","",IF(AND($AG177&lt;&gt;"",$AI177="",$AL177=""),"保留中",IF($AL177&lt;&gt;"",IF(N($AE177)&gt;0,"支給済","不支給"),IF($AE177="","要確認",IF($AE177=0,"不支給","未処理")))))</f>
        <v/>
      </c>
      <c r="AG177" s="12" t="n"/>
      <c r="AH177" s="11" t="n"/>
      <c r="AI177" s="11" t="n"/>
      <c r="AJ177" s="11" t="n"/>
      <c r="AK177" s="14">
        <f>IF(AND($AF177="保留中",$AH177&lt;&gt;""),TODAY()-$AH177,"")</f>
        <v/>
      </c>
      <c r="AL177" s="12" t="inlineStr">
        <is>
          <t>R8.2</t>
        </is>
      </c>
      <c r="AM177" s="14">
        <f>IF($B177="","",IF($AQ177="","対象年月が未入力／","")&amp;IF($B177="","",IF($AP177="","職員マスタに未登録の職員番号／",IF($AA177="","標準報酬月額が未登録／","")&amp;IF(AND($AQ177&lt;&gt;"",OR(AND(INDEX(職員マスタ!$G$6:$G$405,$AP177)&lt;&gt;"",INDEX(職員マスタ!$G$6:$G$405,$AP177)&gt;EOMONTH($AQ177,0)),AND(INDEX(職員マスタ!$H$6:$H$405,$AP177)&lt;&gt;"",INDEX(職員マスタ!$H$6:$H$405,$AP177)&lt;$AQ177))),"対象月が時短期間外／","")&amp;IF(AND(INDEX(職員マスタ!$K$6:$K$405,$AP177)&lt;&gt;"",N($W177)&gt;0,INDEX(職員マスタ!$K$6:$K$405,$AP177)&lt;&gt;$W177),"標準報酬月額が申請書と相違（台帳"&amp;TEXT(INDEX(職員マスタ!$K$6:$K$405,$AP177),"#,##0")&amp;"円／申請書"&amp;TEXT($W177,"#,##0")&amp;"円）／","")&amp;IF(AND(INDEX(職員マスタ!$F$6:$F$405,$AP177)&lt;&gt;"",$AQ177&lt;&gt;"",INDEX(職員マスタ!$F$6:$F$405,$AP177)&lt;$AQ177),"対象月に子が2歳到達済／","")&amp;IF(AND($H177&lt;&gt;"",INDEX(職員マスタ!$B$6:$B$405,$AP177)&lt;&gt;"",SUBSTITUTE(SUBSTITUTE($H177," ","")," ","")&lt;&gt;SUBSTITUTE(SUBSTITUTE(INDEX(職員マスタ!$B$6:$B$405,$AP177)," ","")," ","")),"氏名がマスタと相違／","")&amp;IF(AND($Q177&lt;&gt;"",INDEX(職員マスタ!$E$6:$E$405,$AP177)&lt;&gt;"",$Q177&lt;&gt;INDEX(職員マスタ!$E$6:$E$405,$AP177)),"子の生年月日がマスタと相違／","")&amp;IF(AND($L177&lt;&gt;"",INDEX(職員マスタ!$G$6:$G$405,$AP177)&lt;&gt;"",$L177&lt;&gt;INDEX(職員マスタ!$G$6:$G$405,$AP177)),"時短開始日がマスタと相違／","")&amp;IF(AND($M177&lt;&gt;"",INDEX(職員マスタ!$H$6:$H$405,$AP177)&lt;&gt;"",$M177&lt;&gt;INDEX(職員マスタ!$H$6:$H$405,$AP177)),"時短終了日がマスタと相違／","")))&amp;IF(AND($B177&lt;&gt;"",$E177=""),"報酬額が未入力／","")&amp;IF(N($U177)&gt;0,"申請書に入力エラーが残っています／","")&amp;IF(AND($B177&lt;&gt;"",$AQ177&lt;&gt;""),IF(COUNTIFS($B$6:$B$3005,$B177,$C$6:$C$3005,$C177,$D$6:$D$3005,$D177)&gt;1,"同じ月の請求が重複しています／",""),"")&amp;IF(AND(N($E177)&gt;0,$AB177&lt;&gt;"",$AB177&lt;&gt;"×",$AE177=0,$AD177=""),"計算額が下限以下のため不支給／",""))</f>
        <v/>
      </c>
      <c r="AN177" s="12" t="n"/>
      <c r="AO177" s="14">
        <f>IF($AF177="保留中",COUNTIF($AF$6:$AF177,"保留中"),"")</f>
        <v/>
      </c>
      <c r="AP177" s="14">
        <f>IF($AQ177="","",IF(SUMPRODUCT(MAX((職員マスタ!$A$6:$A$405=$B177)*(((職員マスタ!$G$6:$G$405="")+(職員マスタ!$G$6:$G$405&lt;=EOMONTH($AQ177,0)))&gt;0)*(((職員マスタ!$H$6:$H$405="")+(職員マスタ!$H$6:$H$405&gt;=$AQ177))&gt;0)*(ROW(職員マスタ!$A$6:$A$405)-5)))&gt;0,SUMPRODUCT(MAX((職員マスタ!$A$6:$A$405=$B177)*(((職員マスタ!$G$6:$G$405="")+(職員マスタ!$G$6:$G$405&lt;=EOMONTH($AQ177,0)))&gt;0)*(((職員マスタ!$H$6:$H$405="")+(職員マスタ!$H$6:$H$405&gt;=$AQ177))&gt;0)*(ROW(職員マスタ!$A$6:$A$405)-5))),IFERROR(MATCH($B177,職員マスタ!$A$6:$A$405,0),"")))</f>
        <v/>
      </c>
      <c r="AQ177" s="16">
        <f>IF(OR($B177="",$C177="",$D177=""),"",DATE($C177+2018,$D177,1))</f>
        <v/>
      </c>
    </row>
    <row r="178">
      <c r="A178" s="11" t="n"/>
      <c r="B178" s="12" t="n">
        <v>6402903</v>
      </c>
      <c r="C178" s="12" t="n">
        <v>8</v>
      </c>
      <c r="D178" s="12" t="n">
        <v>1</v>
      </c>
      <c r="E178" s="13" t="n">
        <v>218769</v>
      </c>
      <c r="F178" s="12" t="n"/>
      <c r="G178" s="13" t="n"/>
      <c r="H178" s="12" t="n"/>
      <c r="I178" s="12" t="n"/>
      <c r="J178" s="12" t="n"/>
      <c r="K178" s="12" t="n"/>
      <c r="L178" s="11" t="n"/>
      <c r="M178" s="11" t="n"/>
      <c r="N178" s="11" t="n"/>
      <c r="O178" s="11" t="n"/>
      <c r="P178" s="12" t="n"/>
      <c r="Q178" s="11" t="n"/>
      <c r="R178" s="12" t="n"/>
      <c r="S178" s="11" t="n"/>
      <c r="T178" s="12" t="n"/>
      <c r="U178" s="12" t="n"/>
      <c r="V178" s="12" t="n"/>
      <c r="W178" s="13" t="n"/>
      <c r="X178" s="14">
        <f>IF($AP178="",IF($B178="","",$H178),IF(INDEX(職員マスタ!$B$6:$B$405,$AP178)="",$H178,INDEX(職員マスタ!$B$6:$B$405,$AP178)))</f>
        <v/>
      </c>
      <c r="Y178" s="14">
        <f>IF($AP178="",IF($B178="","",$R178),IF(INDEX(職員マスタ!$C$6:$C$405,$AP178)="",$R178,INDEX(職員マスタ!$C$6:$C$405,$AP178)))</f>
        <v/>
      </c>
      <c r="Z178" s="14">
        <f>IF($AQ178="","","R"&amp;$C178&amp;"."&amp;$D178)</f>
        <v/>
      </c>
      <c r="AA178" s="15">
        <f>IF(IF($AP178="",FALSE,INDEX(職員マスタ!$K$6:$K$405,$AP178)&lt;&gt;""),INDEX(職員マスタ!$K$6:$K$405,$AP178),IF(N($W178)&gt;0,$W178,""))</f>
        <v/>
      </c>
      <c r="AB178" s="14">
        <f>IF(OR($E178="",$AA178=""),"",IF($E178&gt;=$AA178,"×",IF($E178&gt;=$AA178*設定!$C$5,"△","○")))</f>
        <v/>
      </c>
      <c r="AC178" s="15">
        <f>IF($AB178="","",IF($AB178="×",0,IF($AB178="○",ROUNDDOWN($E178*設定!$C$4,0),ROUNDDOWN($E178*ROUND((9*$AA178-9*$E178)/(10*$E178),4),0))))</f>
        <v/>
      </c>
      <c r="AD178" s="13" t="n"/>
      <c r="AE178" s="15">
        <f>IF($B178="","",IF($AD178&lt;&gt;"",$AD178,IF($AC178="","",IF($AC178&lt;=設定!$C$3,0,$AC178))))</f>
        <v/>
      </c>
      <c r="AF178" s="14">
        <f>IF($B178="","",IF(AND($AG178&lt;&gt;"",$AI178="",$AL178=""),"保留中",IF($AL178&lt;&gt;"",IF(N($AE178)&gt;0,"支給済","不支給"),IF($AE178="","要確認",IF($AE178=0,"不支給","未処理")))))</f>
        <v/>
      </c>
      <c r="AG178" s="12" t="n"/>
      <c r="AH178" s="11" t="n"/>
      <c r="AI178" s="11" t="n"/>
      <c r="AJ178" s="11" t="n"/>
      <c r="AK178" s="14">
        <f>IF(AND($AF178="保留中",$AH178&lt;&gt;""),TODAY()-$AH178,"")</f>
        <v/>
      </c>
      <c r="AL178" s="12" t="inlineStr">
        <is>
          <t>R8.3</t>
        </is>
      </c>
      <c r="AM178" s="14">
        <f>IF($B178="","",IF($AQ178="","対象年月が未入力／","")&amp;IF($B178="","",IF($AP178="","職員マスタに未登録の職員番号／",IF($AA178="","標準報酬月額が未登録／","")&amp;IF(AND($AQ178&lt;&gt;"",OR(AND(INDEX(職員マスタ!$G$6:$G$405,$AP178)&lt;&gt;"",INDEX(職員マスタ!$G$6:$G$405,$AP178)&gt;EOMONTH($AQ178,0)),AND(INDEX(職員マスタ!$H$6:$H$405,$AP178)&lt;&gt;"",INDEX(職員マスタ!$H$6:$H$405,$AP178)&lt;$AQ178))),"対象月が時短期間外／","")&amp;IF(AND(INDEX(職員マスタ!$K$6:$K$405,$AP178)&lt;&gt;"",N($W178)&gt;0,INDEX(職員マスタ!$K$6:$K$405,$AP178)&lt;&gt;$W178),"標準報酬月額が申請書と相違（台帳"&amp;TEXT(INDEX(職員マスタ!$K$6:$K$405,$AP178),"#,##0")&amp;"円／申請書"&amp;TEXT($W178,"#,##0")&amp;"円）／","")&amp;IF(AND(INDEX(職員マスタ!$F$6:$F$405,$AP178)&lt;&gt;"",$AQ178&lt;&gt;"",INDEX(職員マスタ!$F$6:$F$405,$AP178)&lt;$AQ178),"対象月に子が2歳到達済／","")&amp;IF(AND($H178&lt;&gt;"",INDEX(職員マスタ!$B$6:$B$405,$AP178)&lt;&gt;"",SUBSTITUTE(SUBSTITUTE($H178," ","")," ","")&lt;&gt;SUBSTITUTE(SUBSTITUTE(INDEX(職員マスタ!$B$6:$B$405,$AP178)," ","")," ","")),"氏名がマスタと相違／","")&amp;IF(AND($Q178&lt;&gt;"",INDEX(職員マスタ!$E$6:$E$405,$AP178)&lt;&gt;"",$Q178&lt;&gt;INDEX(職員マスタ!$E$6:$E$405,$AP178)),"子の生年月日がマスタと相違／","")&amp;IF(AND($L178&lt;&gt;"",INDEX(職員マスタ!$G$6:$G$405,$AP178)&lt;&gt;"",$L178&lt;&gt;INDEX(職員マスタ!$G$6:$G$405,$AP178)),"時短開始日がマスタと相違／","")&amp;IF(AND($M178&lt;&gt;"",INDEX(職員マスタ!$H$6:$H$405,$AP178)&lt;&gt;"",$M178&lt;&gt;INDEX(職員マスタ!$H$6:$H$405,$AP178)),"時短終了日がマスタと相違／","")))&amp;IF(AND($B178&lt;&gt;"",$E178=""),"報酬額が未入力／","")&amp;IF(N($U178)&gt;0,"申請書に入力エラーが残っています／","")&amp;IF(AND($B178&lt;&gt;"",$AQ178&lt;&gt;""),IF(COUNTIFS($B$6:$B$3005,$B178,$C$6:$C$3005,$C178,$D$6:$D$3005,$D178)&gt;1,"同じ月の請求が重複しています／",""),"")&amp;IF(AND(N($E178)&gt;0,$AB178&lt;&gt;"",$AB178&lt;&gt;"×",$AE178=0,$AD178=""),"計算額が下限以下のため不支給／",""))</f>
        <v/>
      </c>
      <c r="AN178" s="12" t="n"/>
      <c r="AO178" s="14">
        <f>IF($AF178="保留中",COUNTIF($AF$6:$AF178,"保留中"),"")</f>
        <v/>
      </c>
      <c r="AP178" s="14">
        <f>IF($AQ178="","",IF(SUMPRODUCT(MAX((職員マスタ!$A$6:$A$405=$B178)*(((職員マスタ!$G$6:$G$405="")+(職員マスタ!$G$6:$G$405&lt;=EOMONTH($AQ178,0)))&gt;0)*(((職員マスタ!$H$6:$H$405="")+(職員マスタ!$H$6:$H$405&gt;=$AQ178))&gt;0)*(ROW(職員マスタ!$A$6:$A$405)-5)))&gt;0,SUMPRODUCT(MAX((職員マスタ!$A$6:$A$405=$B178)*(((職員マスタ!$G$6:$G$405="")+(職員マスタ!$G$6:$G$405&lt;=EOMONTH($AQ178,0)))&gt;0)*(((職員マスタ!$H$6:$H$405="")+(職員マスタ!$H$6:$H$405&gt;=$AQ178))&gt;0)*(ROW(職員マスタ!$A$6:$A$405)-5))),IFERROR(MATCH($B178,職員マスタ!$A$6:$A$405,0),"")))</f>
        <v/>
      </c>
      <c r="AQ178" s="16">
        <f>IF(OR($B178="",$C178="",$D178=""),"",DATE($C178+2018,$D178,1))</f>
        <v/>
      </c>
    </row>
    <row r="179">
      <c r="A179" s="11" t="n"/>
      <c r="B179" s="12" t="n">
        <v>6402911</v>
      </c>
      <c r="C179" s="12" t="n">
        <v>8</v>
      </c>
      <c r="D179" s="12" t="n">
        <v>5</v>
      </c>
      <c r="E179" s="13" t="n">
        <v>207533</v>
      </c>
      <c r="F179" s="12" t="n"/>
      <c r="G179" s="13" t="n"/>
      <c r="H179" s="12" t="n"/>
      <c r="I179" s="12" t="n"/>
      <c r="J179" s="12" t="n"/>
      <c r="K179" s="12" t="n"/>
      <c r="L179" s="11" t="n"/>
      <c r="M179" s="11" t="n"/>
      <c r="N179" s="11" t="n"/>
      <c r="O179" s="11" t="n"/>
      <c r="P179" s="12" t="n"/>
      <c r="Q179" s="11" t="n"/>
      <c r="R179" s="12" t="n"/>
      <c r="S179" s="11" t="n"/>
      <c r="T179" s="12" t="n"/>
      <c r="U179" s="12" t="n"/>
      <c r="V179" s="12" t="n"/>
      <c r="W179" s="13" t="n"/>
      <c r="X179" s="14">
        <f>IF($AP179="",IF($B179="","",$H179),IF(INDEX(職員マスタ!$B$6:$B$405,$AP179)="",$H179,INDEX(職員マスタ!$B$6:$B$405,$AP179)))</f>
        <v/>
      </c>
      <c r="Y179" s="14">
        <f>IF($AP179="",IF($B179="","",$R179),IF(INDEX(職員マスタ!$C$6:$C$405,$AP179)="",$R179,INDEX(職員マスタ!$C$6:$C$405,$AP179)))</f>
        <v/>
      </c>
      <c r="Z179" s="14">
        <f>IF($AQ179="","","R"&amp;$C179&amp;"."&amp;$D179)</f>
        <v/>
      </c>
      <c r="AA179" s="15">
        <f>IF(IF($AP179="",FALSE,INDEX(職員マスタ!$K$6:$K$405,$AP179)&lt;&gt;""),INDEX(職員マスタ!$K$6:$K$405,$AP179),IF(N($W179)&gt;0,$W179,""))</f>
        <v/>
      </c>
      <c r="AB179" s="14">
        <f>IF(OR($E179="",$AA179=""),"",IF($E179&gt;=$AA179,"×",IF($E179&gt;=$AA179*設定!$C$5,"△","○")))</f>
        <v/>
      </c>
      <c r="AC179" s="15">
        <f>IF($AB179="","",IF($AB179="×",0,IF($AB179="○",ROUNDDOWN($E179*設定!$C$4,0),ROUNDDOWN($E179*ROUND((9*$AA179-9*$E179)/(10*$E179),4),0))))</f>
        <v/>
      </c>
      <c r="AD179" s="13" t="n"/>
      <c r="AE179" s="15">
        <f>IF($B179="","",IF($AD179&lt;&gt;"",$AD179,IF($AC179="","",IF($AC179&lt;=設定!$C$3,0,$AC179))))</f>
        <v/>
      </c>
      <c r="AF179" s="14">
        <f>IF($B179="","",IF(AND($AG179&lt;&gt;"",$AI179="",$AL179=""),"保留中",IF($AL179&lt;&gt;"",IF(N($AE179)&gt;0,"支給済","不支給"),IF($AE179="","要確認",IF($AE179=0,"不支給","未処理")))))</f>
        <v/>
      </c>
      <c r="AG179" s="12" t="n"/>
      <c r="AH179" s="11" t="n"/>
      <c r="AI179" s="11" t="n"/>
      <c r="AJ179" s="11" t="n"/>
      <c r="AK179" s="14">
        <f>IF(AND($AF179="保留中",$AH179&lt;&gt;""),TODAY()-$AH179,"")</f>
        <v/>
      </c>
      <c r="AL179" s="12" t="inlineStr">
        <is>
          <t>R8.10</t>
        </is>
      </c>
      <c r="AM179" s="14">
        <f>IF($B179="","",IF($AQ179="","対象年月が未入力／","")&amp;IF($B179="","",IF($AP179="","職員マスタに未登録の職員番号／",IF($AA179="","標準報酬月額が未登録／","")&amp;IF(AND($AQ179&lt;&gt;"",OR(AND(INDEX(職員マスタ!$G$6:$G$405,$AP179)&lt;&gt;"",INDEX(職員マスタ!$G$6:$G$405,$AP179)&gt;EOMONTH($AQ179,0)),AND(INDEX(職員マスタ!$H$6:$H$405,$AP179)&lt;&gt;"",INDEX(職員マスタ!$H$6:$H$405,$AP179)&lt;$AQ179))),"対象月が時短期間外／","")&amp;IF(AND(INDEX(職員マスタ!$K$6:$K$405,$AP179)&lt;&gt;"",N($W179)&gt;0,INDEX(職員マスタ!$K$6:$K$405,$AP179)&lt;&gt;$W179),"標準報酬月額が申請書と相違（台帳"&amp;TEXT(INDEX(職員マスタ!$K$6:$K$405,$AP179),"#,##0")&amp;"円／申請書"&amp;TEXT($W179,"#,##0")&amp;"円）／","")&amp;IF(AND(INDEX(職員マスタ!$F$6:$F$405,$AP179)&lt;&gt;"",$AQ179&lt;&gt;"",INDEX(職員マスタ!$F$6:$F$405,$AP179)&lt;$AQ179),"対象月に子が2歳到達済／","")&amp;IF(AND($H179&lt;&gt;"",INDEX(職員マスタ!$B$6:$B$405,$AP179)&lt;&gt;"",SUBSTITUTE(SUBSTITUTE($H179," ","")," ","")&lt;&gt;SUBSTITUTE(SUBSTITUTE(INDEX(職員マスタ!$B$6:$B$405,$AP179)," ","")," ","")),"氏名がマスタと相違／","")&amp;IF(AND($Q179&lt;&gt;"",INDEX(職員マスタ!$E$6:$E$405,$AP179)&lt;&gt;"",$Q179&lt;&gt;INDEX(職員マスタ!$E$6:$E$405,$AP179)),"子の生年月日がマスタと相違／","")&amp;IF(AND($L179&lt;&gt;"",INDEX(職員マスタ!$G$6:$G$405,$AP179)&lt;&gt;"",$L179&lt;&gt;INDEX(職員マスタ!$G$6:$G$405,$AP179)),"時短開始日がマスタと相違／","")&amp;IF(AND($M179&lt;&gt;"",INDEX(職員マスタ!$H$6:$H$405,$AP179)&lt;&gt;"",$M179&lt;&gt;INDEX(職員マスタ!$H$6:$H$405,$AP179)),"時短終了日がマスタと相違／","")))&amp;IF(AND($B179&lt;&gt;"",$E179=""),"報酬額が未入力／","")&amp;IF(N($U179)&gt;0,"申請書に入力エラーが残っています／","")&amp;IF(AND($B179&lt;&gt;"",$AQ179&lt;&gt;""),IF(COUNTIFS($B$6:$B$3005,$B179,$C$6:$C$3005,$C179,$D$6:$D$3005,$D179)&gt;1,"同じ月の請求が重複しています／",""),"")&amp;IF(AND(N($E179)&gt;0,$AB179&lt;&gt;"",$AB179&lt;&gt;"×",$AE179=0,$AD179=""),"計算額が下限以下のため不支給／",""))</f>
        <v/>
      </c>
      <c r="AN179" s="12" t="n"/>
      <c r="AO179" s="14">
        <f>IF($AF179="保留中",COUNTIF($AF$6:$AF179,"保留中"),"")</f>
        <v/>
      </c>
      <c r="AP179" s="14">
        <f>IF($AQ179="","",IF(SUMPRODUCT(MAX((職員マスタ!$A$6:$A$405=$B179)*(((職員マスタ!$G$6:$G$405="")+(職員マスタ!$G$6:$G$405&lt;=EOMONTH($AQ179,0)))&gt;0)*(((職員マスタ!$H$6:$H$405="")+(職員マスタ!$H$6:$H$405&gt;=$AQ179))&gt;0)*(ROW(職員マスタ!$A$6:$A$405)-5)))&gt;0,SUMPRODUCT(MAX((職員マスタ!$A$6:$A$405=$B179)*(((職員マスタ!$G$6:$G$405="")+(職員マスタ!$G$6:$G$405&lt;=EOMONTH($AQ179,0)))&gt;0)*(((職員マスタ!$H$6:$H$405="")+(職員マスタ!$H$6:$H$405&gt;=$AQ179))&gt;0)*(ROW(職員マスタ!$A$6:$A$405)-5))),IFERROR(MATCH($B179,職員マスタ!$A$6:$A$405,0),"")))</f>
        <v/>
      </c>
      <c r="AQ179" s="16">
        <f>IF(OR($B179="",$C179="",$D179=""),"",DATE($C179+2018,$D179,1))</f>
        <v/>
      </c>
    </row>
    <row r="180">
      <c r="A180" s="11" t="n"/>
      <c r="B180" s="12" t="n">
        <v>6402911</v>
      </c>
      <c r="C180" s="12" t="n">
        <v>8</v>
      </c>
      <c r="D180" s="12" t="n">
        <v>6</v>
      </c>
      <c r="E180" s="13" t="n">
        <v>211701</v>
      </c>
      <c r="F180" s="12" t="n"/>
      <c r="G180" s="13" t="n"/>
      <c r="H180" s="12" t="n"/>
      <c r="I180" s="12" t="n"/>
      <c r="J180" s="12" t="n"/>
      <c r="K180" s="12" t="n"/>
      <c r="L180" s="11" t="n"/>
      <c r="M180" s="11" t="n"/>
      <c r="N180" s="11" t="n"/>
      <c r="O180" s="11" t="n"/>
      <c r="P180" s="12" t="n"/>
      <c r="Q180" s="11" t="n"/>
      <c r="R180" s="12" t="n"/>
      <c r="S180" s="11" t="n"/>
      <c r="T180" s="12" t="n"/>
      <c r="U180" s="12" t="n"/>
      <c r="V180" s="12" t="n"/>
      <c r="W180" s="13" t="n"/>
      <c r="X180" s="14">
        <f>IF($AP180="",IF($B180="","",$H180),IF(INDEX(職員マスタ!$B$6:$B$405,$AP180)="",$H180,INDEX(職員マスタ!$B$6:$B$405,$AP180)))</f>
        <v/>
      </c>
      <c r="Y180" s="14">
        <f>IF($AP180="",IF($B180="","",$R180),IF(INDEX(職員マスタ!$C$6:$C$405,$AP180)="",$R180,INDEX(職員マスタ!$C$6:$C$405,$AP180)))</f>
        <v/>
      </c>
      <c r="Z180" s="14">
        <f>IF($AQ180="","","R"&amp;$C180&amp;"."&amp;$D180)</f>
        <v/>
      </c>
      <c r="AA180" s="15">
        <f>IF(IF($AP180="",FALSE,INDEX(職員マスタ!$K$6:$K$405,$AP180)&lt;&gt;""),INDEX(職員マスタ!$K$6:$K$405,$AP180),IF(N($W180)&gt;0,$W180,""))</f>
        <v/>
      </c>
      <c r="AB180" s="14">
        <f>IF(OR($E180="",$AA180=""),"",IF($E180&gt;=$AA180,"×",IF($E180&gt;=$AA180*設定!$C$5,"△","○")))</f>
        <v/>
      </c>
      <c r="AC180" s="15">
        <f>IF($AB180="","",IF($AB180="×",0,IF($AB180="○",ROUNDDOWN($E180*設定!$C$4,0),ROUNDDOWN($E180*ROUND((9*$AA180-9*$E180)/(10*$E180),4),0))))</f>
        <v/>
      </c>
      <c r="AD180" s="13" t="n"/>
      <c r="AE180" s="15">
        <f>IF($B180="","",IF($AD180&lt;&gt;"",$AD180,IF($AC180="","",IF($AC180&lt;=設定!$C$3,0,$AC180))))</f>
        <v/>
      </c>
      <c r="AF180" s="14">
        <f>IF($B180="","",IF(AND($AG180&lt;&gt;"",$AI180="",$AL180=""),"保留中",IF($AL180&lt;&gt;"",IF(N($AE180)&gt;0,"支給済","不支給"),IF($AE180="","要確認",IF($AE180=0,"不支給","未処理")))))</f>
        <v/>
      </c>
      <c r="AG180" s="12" t="n"/>
      <c r="AH180" s="11" t="n"/>
      <c r="AI180" s="11" t="n"/>
      <c r="AJ180" s="11" t="n"/>
      <c r="AK180" s="14">
        <f>IF(AND($AF180="保留中",$AH180&lt;&gt;""),TODAY()-$AH180,"")</f>
        <v/>
      </c>
      <c r="AL180" s="12" t="inlineStr">
        <is>
          <t>R8.10</t>
        </is>
      </c>
      <c r="AM180" s="14">
        <f>IF($B180="","",IF($AQ180="","対象年月が未入力／","")&amp;IF($B180="","",IF($AP180="","職員マスタに未登録の職員番号／",IF($AA180="","標準報酬月額が未登録／","")&amp;IF(AND($AQ180&lt;&gt;"",OR(AND(INDEX(職員マスタ!$G$6:$G$405,$AP180)&lt;&gt;"",INDEX(職員マスタ!$G$6:$G$405,$AP180)&gt;EOMONTH($AQ180,0)),AND(INDEX(職員マスタ!$H$6:$H$405,$AP180)&lt;&gt;"",INDEX(職員マスタ!$H$6:$H$405,$AP180)&lt;$AQ180))),"対象月が時短期間外／","")&amp;IF(AND(INDEX(職員マスタ!$K$6:$K$405,$AP180)&lt;&gt;"",N($W180)&gt;0,INDEX(職員マスタ!$K$6:$K$405,$AP180)&lt;&gt;$W180),"標準報酬月額が申請書と相違（台帳"&amp;TEXT(INDEX(職員マスタ!$K$6:$K$405,$AP180),"#,##0")&amp;"円／申請書"&amp;TEXT($W180,"#,##0")&amp;"円）／","")&amp;IF(AND(INDEX(職員マスタ!$F$6:$F$405,$AP180)&lt;&gt;"",$AQ180&lt;&gt;"",INDEX(職員マスタ!$F$6:$F$405,$AP180)&lt;$AQ180),"対象月に子が2歳到達済／","")&amp;IF(AND($H180&lt;&gt;"",INDEX(職員マスタ!$B$6:$B$405,$AP180)&lt;&gt;"",SUBSTITUTE(SUBSTITUTE($H180," ","")," ","")&lt;&gt;SUBSTITUTE(SUBSTITUTE(INDEX(職員マスタ!$B$6:$B$405,$AP180)," ","")," ","")),"氏名がマスタと相違／","")&amp;IF(AND($Q180&lt;&gt;"",INDEX(職員マスタ!$E$6:$E$405,$AP180)&lt;&gt;"",$Q180&lt;&gt;INDEX(職員マスタ!$E$6:$E$405,$AP180)),"子の生年月日がマスタと相違／","")&amp;IF(AND($L180&lt;&gt;"",INDEX(職員マスタ!$G$6:$G$405,$AP180)&lt;&gt;"",$L180&lt;&gt;INDEX(職員マスタ!$G$6:$G$405,$AP180)),"時短開始日がマスタと相違／","")&amp;IF(AND($M180&lt;&gt;"",INDEX(職員マスタ!$H$6:$H$405,$AP180)&lt;&gt;"",$M180&lt;&gt;INDEX(職員マスタ!$H$6:$H$405,$AP180)),"時短終了日がマスタと相違／","")))&amp;IF(AND($B180&lt;&gt;"",$E180=""),"報酬額が未入力／","")&amp;IF(N($U180)&gt;0,"申請書に入力エラーが残っています／","")&amp;IF(AND($B180&lt;&gt;"",$AQ180&lt;&gt;""),IF(COUNTIFS($B$6:$B$3005,$B180,$C$6:$C$3005,$C180,$D$6:$D$3005,$D180)&gt;1,"同じ月の請求が重複しています／",""),"")&amp;IF(AND(N($E180)&gt;0,$AB180&lt;&gt;"",$AB180&lt;&gt;"×",$AE180=0,$AD180=""),"計算額が下限以下のため不支給／",""))</f>
        <v/>
      </c>
      <c r="AN180" s="12" t="n"/>
      <c r="AO180" s="14">
        <f>IF($AF180="保留中",COUNTIF($AF$6:$AF180,"保留中"),"")</f>
        <v/>
      </c>
      <c r="AP180" s="14">
        <f>IF($AQ180="","",IF(SUMPRODUCT(MAX((職員マスタ!$A$6:$A$405=$B180)*(((職員マスタ!$G$6:$G$405="")+(職員マスタ!$G$6:$G$405&lt;=EOMONTH($AQ180,0)))&gt;0)*(((職員マスタ!$H$6:$H$405="")+(職員マスタ!$H$6:$H$405&gt;=$AQ180))&gt;0)*(ROW(職員マスタ!$A$6:$A$405)-5)))&gt;0,SUMPRODUCT(MAX((職員マスタ!$A$6:$A$405=$B180)*(((職員マスタ!$G$6:$G$405="")+(職員マスタ!$G$6:$G$405&lt;=EOMONTH($AQ180,0)))&gt;0)*(((職員マスタ!$H$6:$H$405="")+(職員マスタ!$H$6:$H$405&gt;=$AQ180))&gt;0)*(ROW(職員マスタ!$A$6:$A$405)-5))),IFERROR(MATCH($B180,職員マスタ!$A$6:$A$405,0),"")))</f>
        <v/>
      </c>
      <c r="AQ180" s="16">
        <f>IF(OR($B180="",$C180="",$D180=""),"",DATE($C180+2018,$D180,1))</f>
        <v/>
      </c>
    </row>
    <row r="181">
      <c r="A181" s="11" t="n"/>
      <c r="B181" s="12" t="n">
        <v>6402911</v>
      </c>
      <c r="C181" s="12" t="n">
        <v>8</v>
      </c>
      <c r="D181" s="12" t="n">
        <v>7</v>
      </c>
      <c r="E181" s="13" t="n">
        <v>211701</v>
      </c>
      <c r="F181" s="12" t="n"/>
      <c r="G181" s="13" t="n"/>
      <c r="H181" s="12" t="n"/>
      <c r="I181" s="12" t="n"/>
      <c r="J181" s="12" t="n"/>
      <c r="K181" s="12" t="n"/>
      <c r="L181" s="11" t="n"/>
      <c r="M181" s="11" t="n"/>
      <c r="N181" s="11" t="n"/>
      <c r="O181" s="11" t="n"/>
      <c r="P181" s="12" t="n"/>
      <c r="Q181" s="11" t="n"/>
      <c r="R181" s="12" t="n"/>
      <c r="S181" s="11" t="n"/>
      <c r="T181" s="12" t="n"/>
      <c r="U181" s="12" t="n"/>
      <c r="V181" s="12" t="n"/>
      <c r="W181" s="13" t="n"/>
      <c r="X181" s="14">
        <f>IF($AP181="",IF($B181="","",$H181),IF(INDEX(職員マスタ!$B$6:$B$405,$AP181)="",$H181,INDEX(職員マスタ!$B$6:$B$405,$AP181)))</f>
        <v/>
      </c>
      <c r="Y181" s="14">
        <f>IF($AP181="",IF($B181="","",$R181),IF(INDEX(職員マスタ!$C$6:$C$405,$AP181)="",$R181,INDEX(職員マスタ!$C$6:$C$405,$AP181)))</f>
        <v/>
      </c>
      <c r="Z181" s="14">
        <f>IF($AQ181="","","R"&amp;$C181&amp;"."&amp;$D181)</f>
        <v/>
      </c>
      <c r="AA181" s="15">
        <f>IF(IF($AP181="",FALSE,INDEX(職員マスタ!$K$6:$K$405,$AP181)&lt;&gt;""),INDEX(職員マスタ!$K$6:$K$405,$AP181),IF(N($W181)&gt;0,$W181,""))</f>
        <v/>
      </c>
      <c r="AB181" s="14">
        <f>IF(OR($E181="",$AA181=""),"",IF($E181&gt;=$AA181,"×",IF($E181&gt;=$AA181*設定!$C$5,"△","○")))</f>
        <v/>
      </c>
      <c r="AC181" s="15">
        <f>IF($AB181="","",IF($AB181="×",0,IF($AB181="○",ROUNDDOWN($E181*設定!$C$4,0),ROUNDDOWN($E181*ROUND((9*$AA181-9*$E181)/(10*$E181),4),0))))</f>
        <v/>
      </c>
      <c r="AD181" s="13" t="n"/>
      <c r="AE181" s="15">
        <f>IF($B181="","",IF($AD181&lt;&gt;"",$AD181,IF($AC181="","",IF($AC181&lt;=設定!$C$3,0,$AC181))))</f>
        <v/>
      </c>
      <c r="AF181" s="14">
        <f>IF($B181="","",IF(AND($AG181&lt;&gt;"",$AI181="",$AL181=""),"保留中",IF($AL181&lt;&gt;"",IF(N($AE181)&gt;0,"支給済","不支給"),IF($AE181="","要確認",IF($AE181=0,"不支給","未処理")))))</f>
        <v/>
      </c>
      <c r="AG181" s="12" t="n"/>
      <c r="AH181" s="11" t="n"/>
      <c r="AI181" s="11" t="n"/>
      <c r="AJ181" s="11" t="n"/>
      <c r="AK181" s="14">
        <f>IF(AND($AF181="保留中",$AH181&lt;&gt;""),TODAY()-$AH181,"")</f>
        <v/>
      </c>
      <c r="AL181" s="12" t="inlineStr">
        <is>
          <t>R8.10</t>
        </is>
      </c>
      <c r="AM181" s="14">
        <f>IF($B181="","",IF($AQ181="","対象年月が未入力／","")&amp;IF($B181="","",IF($AP181="","職員マスタに未登録の職員番号／",IF($AA181="","標準報酬月額が未登録／","")&amp;IF(AND($AQ181&lt;&gt;"",OR(AND(INDEX(職員マスタ!$G$6:$G$405,$AP181)&lt;&gt;"",INDEX(職員マスタ!$G$6:$G$405,$AP181)&gt;EOMONTH($AQ181,0)),AND(INDEX(職員マスタ!$H$6:$H$405,$AP181)&lt;&gt;"",INDEX(職員マスタ!$H$6:$H$405,$AP181)&lt;$AQ181))),"対象月が時短期間外／","")&amp;IF(AND(INDEX(職員マスタ!$K$6:$K$405,$AP181)&lt;&gt;"",N($W181)&gt;0,INDEX(職員マスタ!$K$6:$K$405,$AP181)&lt;&gt;$W181),"標準報酬月額が申請書と相違（台帳"&amp;TEXT(INDEX(職員マスタ!$K$6:$K$405,$AP181),"#,##0")&amp;"円／申請書"&amp;TEXT($W181,"#,##0")&amp;"円）／","")&amp;IF(AND(INDEX(職員マスタ!$F$6:$F$405,$AP181)&lt;&gt;"",$AQ181&lt;&gt;"",INDEX(職員マスタ!$F$6:$F$405,$AP181)&lt;$AQ181),"対象月に子が2歳到達済／","")&amp;IF(AND($H181&lt;&gt;"",INDEX(職員マスタ!$B$6:$B$405,$AP181)&lt;&gt;"",SUBSTITUTE(SUBSTITUTE($H181," ","")," ","")&lt;&gt;SUBSTITUTE(SUBSTITUTE(INDEX(職員マスタ!$B$6:$B$405,$AP181)," ","")," ","")),"氏名がマスタと相違／","")&amp;IF(AND($Q181&lt;&gt;"",INDEX(職員マスタ!$E$6:$E$405,$AP181)&lt;&gt;"",$Q181&lt;&gt;INDEX(職員マスタ!$E$6:$E$405,$AP181)),"子の生年月日がマスタと相違／","")&amp;IF(AND($L181&lt;&gt;"",INDEX(職員マスタ!$G$6:$G$405,$AP181)&lt;&gt;"",$L181&lt;&gt;INDEX(職員マスタ!$G$6:$G$405,$AP181)),"時短開始日がマスタと相違／","")&amp;IF(AND($M181&lt;&gt;"",INDEX(職員マスタ!$H$6:$H$405,$AP181)&lt;&gt;"",$M181&lt;&gt;INDEX(職員マスタ!$H$6:$H$405,$AP181)),"時短終了日がマスタと相違／","")))&amp;IF(AND($B181&lt;&gt;"",$E181=""),"報酬額が未入力／","")&amp;IF(N($U181)&gt;0,"申請書に入力エラーが残っています／","")&amp;IF(AND($B181&lt;&gt;"",$AQ181&lt;&gt;""),IF(COUNTIFS($B$6:$B$3005,$B181,$C$6:$C$3005,$C181,$D$6:$D$3005,$D181)&gt;1,"同じ月の請求が重複しています／",""),"")&amp;IF(AND(N($E181)&gt;0,$AB181&lt;&gt;"",$AB181&lt;&gt;"×",$AE181=0,$AD181=""),"計算額が下限以下のため不支給／",""))</f>
        <v/>
      </c>
      <c r="AN181" s="12" t="n"/>
      <c r="AO181" s="14">
        <f>IF($AF181="保留中",COUNTIF($AF$6:$AF181,"保留中"),"")</f>
        <v/>
      </c>
      <c r="AP181" s="14">
        <f>IF($AQ181="","",IF(SUMPRODUCT(MAX((職員マスタ!$A$6:$A$405=$B181)*(((職員マスタ!$G$6:$G$405="")+(職員マスタ!$G$6:$G$405&lt;=EOMONTH($AQ181,0)))&gt;0)*(((職員マスタ!$H$6:$H$405="")+(職員マスタ!$H$6:$H$405&gt;=$AQ181))&gt;0)*(ROW(職員マスタ!$A$6:$A$405)-5)))&gt;0,SUMPRODUCT(MAX((職員マスタ!$A$6:$A$405=$B181)*(((職員マスタ!$G$6:$G$405="")+(職員マスタ!$G$6:$G$405&lt;=EOMONTH($AQ181,0)))&gt;0)*(((職員マスタ!$H$6:$H$405="")+(職員マスタ!$H$6:$H$405&gt;=$AQ181))&gt;0)*(ROW(職員マスタ!$A$6:$A$405)-5))),IFERROR(MATCH($B181,職員マスタ!$A$6:$A$405,0),"")))</f>
        <v/>
      </c>
      <c r="AQ181" s="16">
        <f>IF(OR($B181="",$C181="",$D181=""),"",DATE($C181+2018,$D181,1))</f>
        <v/>
      </c>
    </row>
    <row r="182">
      <c r="A182" s="11" t="n"/>
      <c r="B182" s="12" t="n">
        <v>6402911</v>
      </c>
      <c r="C182" s="12" t="n">
        <v>8</v>
      </c>
      <c r="D182" s="12" t="n">
        <v>8</v>
      </c>
      <c r="E182" s="13" t="n">
        <v>211701</v>
      </c>
      <c r="F182" s="12" t="n"/>
      <c r="G182" s="13" t="n"/>
      <c r="H182" s="12" t="n"/>
      <c r="I182" s="12" t="n"/>
      <c r="J182" s="12" t="n"/>
      <c r="K182" s="12" t="n"/>
      <c r="L182" s="11" t="n"/>
      <c r="M182" s="11" t="n"/>
      <c r="N182" s="11" t="n"/>
      <c r="O182" s="11" t="n"/>
      <c r="P182" s="12" t="n"/>
      <c r="Q182" s="11" t="n"/>
      <c r="R182" s="12" t="n"/>
      <c r="S182" s="11" t="n"/>
      <c r="T182" s="12" t="n"/>
      <c r="U182" s="12" t="n"/>
      <c r="V182" s="12" t="n"/>
      <c r="W182" s="13" t="n"/>
      <c r="X182" s="14">
        <f>IF($AP182="",IF($B182="","",$H182),IF(INDEX(職員マスタ!$B$6:$B$405,$AP182)="",$H182,INDEX(職員マスタ!$B$6:$B$405,$AP182)))</f>
        <v/>
      </c>
      <c r="Y182" s="14">
        <f>IF($AP182="",IF($B182="","",$R182),IF(INDEX(職員マスタ!$C$6:$C$405,$AP182)="",$R182,INDEX(職員マスタ!$C$6:$C$405,$AP182)))</f>
        <v/>
      </c>
      <c r="Z182" s="14">
        <f>IF($AQ182="","","R"&amp;$C182&amp;"."&amp;$D182)</f>
        <v/>
      </c>
      <c r="AA182" s="15">
        <f>IF(IF($AP182="",FALSE,INDEX(職員マスタ!$K$6:$K$405,$AP182)&lt;&gt;""),INDEX(職員マスタ!$K$6:$K$405,$AP182),IF(N($W182)&gt;0,$W182,""))</f>
        <v/>
      </c>
      <c r="AB182" s="14">
        <f>IF(OR($E182="",$AA182=""),"",IF($E182&gt;=$AA182,"×",IF($E182&gt;=$AA182*設定!$C$5,"△","○")))</f>
        <v/>
      </c>
      <c r="AC182" s="15">
        <f>IF($AB182="","",IF($AB182="×",0,IF($AB182="○",ROUNDDOWN($E182*設定!$C$4,0),ROUNDDOWN($E182*ROUND((9*$AA182-9*$E182)/(10*$E182),4),0))))</f>
        <v/>
      </c>
      <c r="AD182" s="13" t="n"/>
      <c r="AE182" s="15">
        <f>IF($B182="","",IF($AD182&lt;&gt;"",$AD182,IF($AC182="","",IF($AC182&lt;=設定!$C$3,0,$AC182))))</f>
        <v/>
      </c>
      <c r="AF182" s="14">
        <f>IF($B182="","",IF(AND($AG182&lt;&gt;"",$AI182="",$AL182=""),"保留中",IF($AL182&lt;&gt;"",IF(N($AE182)&gt;0,"支給済","不支給"),IF($AE182="","要確認",IF($AE182=0,"不支給","未処理")))))</f>
        <v/>
      </c>
      <c r="AG182" s="12" t="n"/>
      <c r="AH182" s="11" t="n"/>
      <c r="AI182" s="11" t="n"/>
      <c r="AJ182" s="11" t="n"/>
      <c r="AK182" s="14">
        <f>IF(AND($AF182="保留中",$AH182&lt;&gt;""),TODAY()-$AH182,"")</f>
        <v/>
      </c>
      <c r="AL182" s="12" t="inlineStr">
        <is>
          <t>R8.10</t>
        </is>
      </c>
      <c r="AM182" s="14">
        <f>IF($B182="","",IF($AQ182="","対象年月が未入力／","")&amp;IF($B182="","",IF($AP182="","職員マスタに未登録の職員番号／",IF($AA182="","標準報酬月額が未登録／","")&amp;IF(AND($AQ182&lt;&gt;"",OR(AND(INDEX(職員マスタ!$G$6:$G$405,$AP182)&lt;&gt;"",INDEX(職員マスタ!$G$6:$G$405,$AP182)&gt;EOMONTH($AQ182,0)),AND(INDEX(職員マスタ!$H$6:$H$405,$AP182)&lt;&gt;"",INDEX(職員マスタ!$H$6:$H$405,$AP182)&lt;$AQ182))),"対象月が時短期間外／","")&amp;IF(AND(INDEX(職員マスタ!$K$6:$K$405,$AP182)&lt;&gt;"",N($W182)&gt;0,INDEX(職員マスタ!$K$6:$K$405,$AP182)&lt;&gt;$W182),"標準報酬月額が申請書と相違（台帳"&amp;TEXT(INDEX(職員マスタ!$K$6:$K$405,$AP182),"#,##0")&amp;"円／申請書"&amp;TEXT($W182,"#,##0")&amp;"円）／","")&amp;IF(AND(INDEX(職員マスタ!$F$6:$F$405,$AP182)&lt;&gt;"",$AQ182&lt;&gt;"",INDEX(職員マスタ!$F$6:$F$405,$AP182)&lt;$AQ182),"対象月に子が2歳到達済／","")&amp;IF(AND($H182&lt;&gt;"",INDEX(職員マスタ!$B$6:$B$405,$AP182)&lt;&gt;"",SUBSTITUTE(SUBSTITUTE($H182," ","")," ","")&lt;&gt;SUBSTITUTE(SUBSTITUTE(INDEX(職員マスタ!$B$6:$B$405,$AP182)," ","")," ","")),"氏名がマスタと相違／","")&amp;IF(AND($Q182&lt;&gt;"",INDEX(職員マスタ!$E$6:$E$405,$AP182)&lt;&gt;"",$Q182&lt;&gt;INDEX(職員マスタ!$E$6:$E$405,$AP182)),"子の生年月日がマスタと相違／","")&amp;IF(AND($L182&lt;&gt;"",INDEX(職員マスタ!$G$6:$G$405,$AP182)&lt;&gt;"",$L182&lt;&gt;INDEX(職員マスタ!$G$6:$G$405,$AP182)),"時短開始日がマスタと相違／","")&amp;IF(AND($M182&lt;&gt;"",INDEX(職員マスタ!$H$6:$H$405,$AP182)&lt;&gt;"",$M182&lt;&gt;INDEX(職員マスタ!$H$6:$H$405,$AP182)),"時短終了日がマスタと相違／","")))&amp;IF(AND($B182&lt;&gt;"",$E182=""),"報酬額が未入力／","")&amp;IF(N($U182)&gt;0,"申請書に入力エラーが残っています／","")&amp;IF(AND($B182&lt;&gt;"",$AQ182&lt;&gt;""),IF(COUNTIFS($B$6:$B$3005,$B182,$C$6:$C$3005,$C182,$D$6:$D$3005,$D182)&gt;1,"同じ月の請求が重複しています／",""),"")&amp;IF(AND(N($E182)&gt;0,$AB182&lt;&gt;"",$AB182&lt;&gt;"×",$AE182=0,$AD182=""),"計算額が下限以下のため不支給／",""))</f>
        <v/>
      </c>
      <c r="AN182" s="12" t="n"/>
      <c r="AO182" s="14">
        <f>IF($AF182="保留中",COUNTIF($AF$6:$AF182,"保留中"),"")</f>
        <v/>
      </c>
      <c r="AP182" s="14">
        <f>IF($AQ182="","",IF(SUMPRODUCT(MAX((職員マスタ!$A$6:$A$405=$B182)*(((職員マスタ!$G$6:$G$405="")+(職員マスタ!$G$6:$G$405&lt;=EOMONTH($AQ182,0)))&gt;0)*(((職員マスタ!$H$6:$H$405="")+(職員マスタ!$H$6:$H$405&gt;=$AQ182))&gt;0)*(ROW(職員マスタ!$A$6:$A$405)-5)))&gt;0,SUMPRODUCT(MAX((職員マスタ!$A$6:$A$405=$B182)*(((職員マスタ!$G$6:$G$405="")+(職員マスタ!$G$6:$G$405&lt;=EOMONTH($AQ182,0)))&gt;0)*(((職員マスタ!$H$6:$H$405="")+(職員マスタ!$H$6:$H$405&gt;=$AQ182))&gt;0)*(ROW(職員マスタ!$A$6:$A$405)-5))),IFERROR(MATCH($B182,職員マスタ!$A$6:$A$405,0),"")))</f>
        <v/>
      </c>
      <c r="AQ182" s="16">
        <f>IF(OR($B182="",$C182="",$D182=""),"",DATE($C182+2018,$D182,1))</f>
        <v/>
      </c>
    </row>
    <row r="183">
      <c r="A183" s="11" t="n"/>
      <c r="B183" s="12" t="n">
        <v>6402952</v>
      </c>
      <c r="C183" s="12" t="n">
        <v>7</v>
      </c>
      <c r="D183" s="12" t="n">
        <v>5</v>
      </c>
      <c r="E183" s="13" t="n">
        <v>141598</v>
      </c>
      <c r="F183" s="12" t="n"/>
      <c r="G183" s="13" t="n"/>
      <c r="H183" s="12" t="n"/>
      <c r="I183" s="12" t="n"/>
      <c r="J183" s="12" t="n"/>
      <c r="K183" s="12" t="n"/>
      <c r="L183" s="11" t="n"/>
      <c r="M183" s="11" t="n"/>
      <c r="N183" s="11" t="n"/>
      <c r="O183" s="11" t="n"/>
      <c r="P183" s="12" t="n"/>
      <c r="Q183" s="11" t="n"/>
      <c r="R183" s="12" t="n"/>
      <c r="S183" s="11" t="n"/>
      <c r="T183" s="12" t="n"/>
      <c r="U183" s="12" t="n"/>
      <c r="V183" s="12" t="n"/>
      <c r="W183" s="13" t="n"/>
      <c r="X183" s="14">
        <f>IF($AP183="",IF($B183="","",$H183),IF(INDEX(職員マスタ!$B$6:$B$405,$AP183)="",$H183,INDEX(職員マスタ!$B$6:$B$405,$AP183)))</f>
        <v/>
      </c>
      <c r="Y183" s="14">
        <f>IF($AP183="",IF($B183="","",$R183),IF(INDEX(職員マスタ!$C$6:$C$405,$AP183)="",$R183,INDEX(職員マスタ!$C$6:$C$405,$AP183)))</f>
        <v/>
      </c>
      <c r="Z183" s="14">
        <f>IF($AQ183="","","R"&amp;$C183&amp;"."&amp;$D183)</f>
        <v/>
      </c>
      <c r="AA183" s="15">
        <f>IF(IF($AP183="",FALSE,INDEX(職員マスタ!$K$6:$K$405,$AP183)&lt;&gt;""),INDEX(職員マスタ!$K$6:$K$405,$AP183),IF(N($W183)&gt;0,$W183,""))</f>
        <v/>
      </c>
      <c r="AB183" s="14">
        <f>IF(OR($E183="",$AA183=""),"",IF($E183&gt;=$AA183,"×",IF($E183&gt;=$AA183*設定!$C$5,"△","○")))</f>
        <v/>
      </c>
      <c r="AC183" s="15">
        <f>IF($AB183="","",IF($AB183="×",0,IF($AB183="○",ROUNDDOWN($E183*設定!$C$4,0),ROUNDDOWN($E183*ROUND((9*$AA183-9*$E183)/(10*$E183),4),0))))</f>
        <v/>
      </c>
      <c r="AD183" s="13" t="n"/>
      <c r="AE183" s="15">
        <f>IF($B183="","",IF($AD183&lt;&gt;"",$AD183,IF($AC183="","",IF($AC183&lt;=設定!$C$3,0,$AC183))))</f>
        <v/>
      </c>
      <c r="AF183" s="14">
        <f>IF($B183="","",IF(AND($AG183&lt;&gt;"",$AI183="",$AL183=""),"保留中",IF($AL183&lt;&gt;"",IF(N($AE183)&gt;0,"支給済","不支給"),IF($AE183="","要確認",IF($AE183=0,"不支給","未処理")))))</f>
        <v/>
      </c>
      <c r="AG183" s="12" t="n"/>
      <c r="AH183" s="11" t="n"/>
      <c r="AI183" s="11" t="n"/>
      <c r="AJ183" s="11" t="n"/>
      <c r="AK183" s="14">
        <f>IF(AND($AF183="保留中",$AH183&lt;&gt;""),TODAY()-$AH183,"")</f>
        <v/>
      </c>
      <c r="AL183" s="12" t="inlineStr">
        <is>
          <t>R7.8</t>
        </is>
      </c>
      <c r="AM183" s="14">
        <f>IF($B183="","",IF($AQ183="","対象年月が未入力／","")&amp;IF($B183="","",IF($AP183="","職員マスタに未登録の職員番号／",IF($AA183="","標準報酬月額が未登録／","")&amp;IF(AND($AQ183&lt;&gt;"",OR(AND(INDEX(職員マスタ!$G$6:$G$405,$AP183)&lt;&gt;"",INDEX(職員マスタ!$G$6:$G$405,$AP183)&gt;EOMONTH($AQ183,0)),AND(INDEX(職員マスタ!$H$6:$H$405,$AP183)&lt;&gt;"",INDEX(職員マスタ!$H$6:$H$405,$AP183)&lt;$AQ183))),"対象月が時短期間外／","")&amp;IF(AND(INDEX(職員マスタ!$K$6:$K$405,$AP183)&lt;&gt;"",N($W183)&gt;0,INDEX(職員マスタ!$K$6:$K$405,$AP183)&lt;&gt;$W183),"標準報酬月額が申請書と相違（台帳"&amp;TEXT(INDEX(職員マスタ!$K$6:$K$405,$AP183),"#,##0")&amp;"円／申請書"&amp;TEXT($W183,"#,##0")&amp;"円）／","")&amp;IF(AND(INDEX(職員マスタ!$F$6:$F$405,$AP183)&lt;&gt;"",$AQ183&lt;&gt;"",INDEX(職員マスタ!$F$6:$F$405,$AP183)&lt;$AQ183),"対象月に子が2歳到達済／","")&amp;IF(AND($H183&lt;&gt;"",INDEX(職員マスタ!$B$6:$B$405,$AP183)&lt;&gt;"",SUBSTITUTE(SUBSTITUTE($H183," ","")," ","")&lt;&gt;SUBSTITUTE(SUBSTITUTE(INDEX(職員マスタ!$B$6:$B$405,$AP183)," ","")," ","")),"氏名がマスタと相違／","")&amp;IF(AND($Q183&lt;&gt;"",INDEX(職員マスタ!$E$6:$E$405,$AP183)&lt;&gt;"",$Q183&lt;&gt;INDEX(職員マスタ!$E$6:$E$405,$AP183)),"子の生年月日がマスタと相違／","")&amp;IF(AND($L183&lt;&gt;"",INDEX(職員マスタ!$G$6:$G$405,$AP183)&lt;&gt;"",$L183&lt;&gt;INDEX(職員マスタ!$G$6:$G$405,$AP183)),"時短開始日がマスタと相違／","")&amp;IF(AND($M183&lt;&gt;"",INDEX(職員マスタ!$H$6:$H$405,$AP183)&lt;&gt;"",$M183&lt;&gt;INDEX(職員マスタ!$H$6:$H$405,$AP183)),"時短終了日がマスタと相違／","")))&amp;IF(AND($B183&lt;&gt;"",$E183=""),"報酬額が未入力／","")&amp;IF(N($U183)&gt;0,"申請書に入力エラーが残っています／","")&amp;IF(AND($B183&lt;&gt;"",$AQ183&lt;&gt;""),IF(COUNTIFS($B$6:$B$3005,$B183,$C$6:$C$3005,$C183,$D$6:$D$3005,$D183)&gt;1,"同じ月の請求が重複しています／",""),"")&amp;IF(AND(N($E183)&gt;0,$AB183&lt;&gt;"",$AB183&lt;&gt;"×",$AE183=0,$AD183=""),"計算額が下限以下のため不支給／",""))</f>
        <v/>
      </c>
      <c r="AN183" s="12" t="n"/>
      <c r="AO183" s="14">
        <f>IF($AF183="保留中",COUNTIF($AF$6:$AF183,"保留中"),"")</f>
        <v/>
      </c>
      <c r="AP183" s="14">
        <f>IF($AQ183="","",IF(SUMPRODUCT(MAX((職員マスタ!$A$6:$A$405=$B183)*(((職員マスタ!$G$6:$G$405="")+(職員マスタ!$G$6:$G$405&lt;=EOMONTH($AQ183,0)))&gt;0)*(((職員マスタ!$H$6:$H$405="")+(職員マスタ!$H$6:$H$405&gt;=$AQ183))&gt;0)*(ROW(職員マスタ!$A$6:$A$405)-5)))&gt;0,SUMPRODUCT(MAX((職員マスタ!$A$6:$A$405=$B183)*(((職員マスタ!$G$6:$G$405="")+(職員マスタ!$G$6:$G$405&lt;=EOMONTH($AQ183,0)))&gt;0)*(((職員マスタ!$H$6:$H$405="")+(職員マスタ!$H$6:$H$405&gt;=$AQ183))&gt;0)*(ROW(職員マスタ!$A$6:$A$405)-5))),IFERROR(MATCH($B183,職員マスタ!$A$6:$A$405,0),"")))</f>
        <v/>
      </c>
      <c r="AQ183" s="16">
        <f>IF(OR($B183="",$C183="",$D183=""),"",DATE($C183+2018,$D183,1))</f>
        <v/>
      </c>
    </row>
    <row r="184">
      <c r="A184" s="11" t="n"/>
      <c r="B184" s="12" t="n">
        <v>6402952</v>
      </c>
      <c r="C184" s="12" t="n">
        <v>7</v>
      </c>
      <c r="D184" s="12" t="n">
        <v>6</v>
      </c>
      <c r="E184" s="13" t="n">
        <v>193161</v>
      </c>
      <c r="F184" s="12" t="n"/>
      <c r="G184" s="13" t="n"/>
      <c r="H184" s="12" t="n"/>
      <c r="I184" s="12" t="n"/>
      <c r="J184" s="12" t="n"/>
      <c r="K184" s="12" t="n"/>
      <c r="L184" s="11" t="n"/>
      <c r="M184" s="11" t="n"/>
      <c r="N184" s="11" t="n"/>
      <c r="O184" s="11" t="n"/>
      <c r="P184" s="12" t="n"/>
      <c r="Q184" s="11" t="n"/>
      <c r="R184" s="12" t="n"/>
      <c r="S184" s="11" t="n"/>
      <c r="T184" s="12" t="n"/>
      <c r="U184" s="12" t="n"/>
      <c r="V184" s="12" t="n"/>
      <c r="W184" s="13" t="n"/>
      <c r="X184" s="14">
        <f>IF($AP184="",IF($B184="","",$H184),IF(INDEX(職員マスタ!$B$6:$B$405,$AP184)="",$H184,INDEX(職員マスタ!$B$6:$B$405,$AP184)))</f>
        <v/>
      </c>
      <c r="Y184" s="14">
        <f>IF($AP184="",IF($B184="","",$R184),IF(INDEX(職員マスタ!$C$6:$C$405,$AP184)="",$R184,INDEX(職員マスタ!$C$6:$C$405,$AP184)))</f>
        <v/>
      </c>
      <c r="Z184" s="14">
        <f>IF($AQ184="","","R"&amp;$C184&amp;"."&amp;$D184)</f>
        <v/>
      </c>
      <c r="AA184" s="15">
        <f>IF(IF($AP184="",FALSE,INDEX(職員マスタ!$K$6:$K$405,$AP184)&lt;&gt;""),INDEX(職員マスタ!$K$6:$K$405,$AP184),IF(N($W184)&gt;0,$W184,""))</f>
        <v/>
      </c>
      <c r="AB184" s="14">
        <f>IF(OR($E184="",$AA184=""),"",IF($E184&gt;=$AA184,"×",IF($E184&gt;=$AA184*設定!$C$5,"△","○")))</f>
        <v/>
      </c>
      <c r="AC184" s="15">
        <f>IF($AB184="","",IF($AB184="×",0,IF($AB184="○",ROUNDDOWN($E184*設定!$C$4,0),ROUNDDOWN($E184*ROUND((9*$AA184-9*$E184)/(10*$E184),4),0))))</f>
        <v/>
      </c>
      <c r="AD184" s="13" t="n"/>
      <c r="AE184" s="15">
        <f>IF($B184="","",IF($AD184&lt;&gt;"",$AD184,IF($AC184="","",IF($AC184&lt;=設定!$C$3,0,$AC184))))</f>
        <v/>
      </c>
      <c r="AF184" s="14">
        <f>IF($B184="","",IF(AND($AG184&lt;&gt;"",$AI184="",$AL184=""),"保留中",IF($AL184&lt;&gt;"",IF(N($AE184)&gt;0,"支給済","不支給"),IF($AE184="","要確認",IF($AE184=0,"不支給","未処理")))))</f>
        <v/>
      </c>
      <c r="AG184" s="12" t="n"/>
      <c r="AH184" s="11" t="n"/>
      <c r="AI184" s="11" t="n"/>
      <c r="AJ184" s="11" t="n"/>
      <c r="AK184" s="14">
        <f>IF(AND($AF184="保留中",$AH184&lt;&gt;""),TODAY()-$AH184,"")</f>
        <v/>
      </c>
      <c r="AL184" s="12" t="inlineStr">
        <is>
          <t>R7.8</t>
        </is>
      </c>
      <c r="AM184" s="14">
        <f>IF($B184="","",IF($AQ184="","対象年月が未入力／","")&amp;IF($B184="","",IF($AP184="","職員マスタに未登録の職員番号／",IF($AA184="","標準報酬月額が未登録／","")&amp;IF(AND($AQ184&lt;&gt;"",OR(AND(INDEX(職員マスタ!$G$6:$G$405,$AP184)&lt;&gt;"",INDEX(職員マスタ!$G$6:$G$405,$AP184)&gt;EOMONTH($AQ184,0)),AND(INDEX(職員マスタ!$H$6:$H$405,$AP184)&lt;&gt;"",INDEX(職員マスタ!$H$6:$H$405,$AP184)&lt;$AQ184))),"対象月が時短期間外／","")&amp;IF(AND(INDEX(職員マスタ!$K$6:$K$405,$AP184)&lt;&gt;"",N($W184)&gt;0,INDEX(職員マスタ!$K$6:$K$405,$AP184)&lt;&gt;$W184),"標準報酬月額が申請書と相違（台帳"&amp;TEXT(INDEX(職員マスタ!$K$6:$K$405,$AP184),"#,##0")&amp;"円／申請書"&amp;TEXT($W184,"#,##0")&amp;"円）／","")&amp;IF(AND(INDEX(職員マスタ!$F$6:$F$405,$AP184)&lt;&gt;"",$AQ184&lt;&gt;"",INDEX(職員マスタ!$F$6:$F$405,$AP184)&lt;$AQ184),"対象月に子が2歳到達済／","")&amp;IF(AND($H184&lt;&gt;"",INDEX(職員マスタ!$B$6:$B$405,$AP184)&lt;&gt;"",SUBSTITUTE(SUBSTITUTE($H184," ","")," ","")&lt;&gt;SUBSTITUTE(SUBSTITUTE(INDEX(職員マスタ!$B$6:$B$405,$AP184)," ","")," ","")),"氏名がマスタと相違／","")&amp;IF(AND($Q184&lt;&gt;"",INDEX(職員マスタ!$E$6:$E$405,$AP184)&lt;&gt;"",$Q184&lt;&gt;INDEX(職員マスタ!$E$6:$E$405,$AP184)),"子の生年月日がマスタと相違／","")&amp;IF(AND($L184&lt;&gt;"",INDEX(職員マスタ!$G$6:$G$405,$AP184)&lt;&gt;"",$L184&lt;&gt;INDEX(職員マスタ!$G$6:$G$405,$AP184)),"時短開始日がマスタと相違／","")&amp;IF(AND($M184&lt;&gt;"",INDEX(職員マスタ!$H$6:$H$405,$AP184)&lt;&gt;"",$M184&lt;&gt;INDEX(職員マスタ!$H$6:$H$405,$AP184)),"時短終了日がマスタと相違／","")))&amp;IF(AND($B184&lt;&gt;"",$E184=""),"報酬額が未入力／","")&amp;IF(N($U184)&gt;0,"申請書に入力エラーが残っています／","")&amp;IF(AND($B184&lt;&gt;"",$AQ184&lt;&gt;""),IF(COUNTIFS($B$6:$B$3005,$B184,$C$6:$C$3005,$C184,$D$6:$D$3005,$D184)&gt;1,"同じ月の請求が重複しています／",""),"")&amp;IF(AND(N($E184)&gt;0,$AB184&lt;&gt;"",$AB184&lt;&gt;"×",$AE184=0,$AD184=""),"計算額が下限以下のため不支給／",""))</f>
        <v/>
      </c>
      <c r="AN184" s="12" t="n"/>
      <c r="AO184" s="14">
        <f>IF($AF184="保留中",COUNTIF($AF$6:$AF184,"保留中"),"")</f>
        <v/>
      </c>
      <c r="AP184" s="14">
        <f>IF($AQ184="","",IF(SUMPRODUCT(MAX((職員マスタ!$A$6:$A$405=$B184)*(((職員マスタ!$G$6:$G$405="")+(職員マスタ!$G$6:$G$405&lt;=EOMONTH($AQ184,0)))&gt;0)*(((職員マスタ!$H$6:$H$405="")+(職員マスタ!$H$6:$H$405&gt;=$AQ184))&gt;0)*(ROW(職員マスタ!$A$6:$A$405)-5)))&gt;0,SUMPRODUCT(MAX((職員マスタ!$A$6:$A$405=$B184)*(((職員マスタ!$G$6:$G$405="")+(職員マスタ!$G$6:$G$405&lt;=EOMONTH($AQ184,0)))&gt;0)*(((職員マスタ!$H$6:$H$405="")+(職員マスタ!$H$6:$H$405&gt;=$AQ184))&gt;0)*(ROW(職員マスタ!$A$6:$A$405)-5))),IFERROR(MATCH($B184,職員マスタ!$A$6:$A$405,0),"")))</f>
        <v/>
      </c>
      <c r="AQ184" s="16">
        <f>IF(OR($B184="",$C184="",$D184=""),"",DATE($C184+2018,$D184,1))</f>
        <v/>
      </c>
    </row>
    <row r="185">
      <c r="A185" s="11" t="n"/>
      <c r="B185" s="12" t="n">
        <v>6402952</v>
      </c>
      <c r="C185" s="12" t="n">
        <v>7</v>
      </c>
      <c r="D185" s="12" t="n">
        <v>7</v>
      </c>
      <c r="E185" s="13" t="n">
        <v>197093</v>
      </c>
      <c r="F185" s="12" t="n"/>
      <c r="G185" s="13" t="n"/>
      <c r="H185" s="12" t="n"/>
      <c r="I185" s="12" t="n"/>
      <c r="J185" s="12" t="n"/>
      <c r="K185" s="12" t="n"/>
      <c r="L185" s="11" t="n"/>
      <c r="M185" s="11" t="n"/>
      <c r="N185" s="11" t="n"/>
      <c r="O185" s="11" t="n"/>
      <c r="P185" s="12" t="n"/>
      <c r="Q185" s="11" t="n"/>
      <c r="R185" s="12" t="n"/>
      <c r="S185" s="11" t="n"/>
      <c r="T185" s="12" t="n"/>
      <c r="U185" s="12" t="n"/>
      <c r="V185" s="12" t="n"/>
      <c r="W185" s="13" t="n"/>
      <c r="X185" s="14">
        <f>IF($AP185="",IF($B185="","",$H185),IF(INDEX(職員マスタ!$B$6:$B$405,$AP185)="",$H185,INDEX(職員マスタ!$B$6:$B$405,$AP185)))</f>
        <v/>
      </c>
      <c r="Y185" s="14">
        <f>IF($AP185="",IF($B185="","",$R185),IF(INDEX(職員マスタ!$C$6:$C$405,$AP185)="",$R185,INDEX(職員マスタ!$C$6:$C$405,$AP185)))</f>
        <v/>
      </c>
      <c r="Z185" s="14">
        <f>IF($AQ185="","","R"&amp;$C185&amp;"."&amp;$D185)</f>
        <v/>
      </c>
      <c r="AA185" s="15">
        <f>IF(IF($AP185="",FALSE,INDEX(職員マスタ!$K$6:$K$405,$AP185)&lt;&gt;""),INDEX(職員マスタ!$K$6:$K$405,$AP185),IF(N($W185)&gt;0,$W185,""))</f>
        <v/>
      </c>
      <c r="AB185" s="14">
        <f>IF(OR($E185="",$AA185=""),"",IF($E185&gt;=$AA185,"×",IF($E185&gt;=$AA185*設定!$C$5,"△","○")))</f>
        <v/>
      </c>
      <c r="AC185" s="15">
        <f>IF($AB185="","",IF($AB185="×",0,IF($AB185="○",ROUNDDOWN($E185*設定!$C$4,0),ROUNDDOWN($E185*ROUND((9*$AA185-9*$E185)/(10*$E185),4),0))))</f>
        <v/>
      </c>
      <c r="AD185" s="13" t="n"/>
      <c r="AE185" s="15">
        <f>IF($B185="","",IF($AD185&lt;&gt;"",$AD185,IF($AC185="","",IF($AC185&lt;=設定!$C$3,0,$AC185))))</f>
        <v/>
      </c>
      <c r="AF185" s="14">
        <f>IF($B185="","",IF(AND($AG185&lt;&gt;"",$AI185="",$AL185=""),"保留中",IF($AL185&lt;&gt;"",IF(N($AE185)&gt;0,"支給済","不支給"),IF($AE185="","要確認",IF($AE185=0,"不支給","未処理")))))</f>
        <v/>
      </c>
      <c r="AG185" s="12" t="n"/>
      <c r="AH185" s="11" t="n"/>
      <c r="AI185" s="11" t="n"/>
      <c r="AJ185" s="11" t="n"/>
      <c r="AK185" s="14">
        <f>IF(AND($AF185="保留中",$AH185&lt;&gt;""),TODAY()-$AH185,"")</f>
        <v/>
      </c>
      <c r="AL185" s="12" t="inlineStr">
        <is>
          <t>R7.9</t>
        </is>
      </c>
      <c r="AM185" s="14">
        <f>IF($B185="","",IF($AQ185="","対象年月が未入力／","")&amp;IF($B185="","",IF($AP185="","職員マスタに未登録の職員番号／",IF($AA185="","標準報酬月額が未登録／","")&amp;IF(AND($AQ185&lt;&gt;"",OR(AND(INDEX(職員マスタ!$G$6:$G$405,$AP185)&lt;&gt;"",INDEX(職員マスタ!$G$6:$G$405,$AP185)&gt;EOMONTH($AQ185,0)),AND(INDEX(職員マスタ!$H$6:$H$405,$AP185)&lt;&gt;"",INDEX(職員マスタ!$H$6:$H$405,$AP185)&lt;$AQ185))),"対象月が時短期間外／","")&amp;IF(AND(INDEX(職員マスタ!$K$6:$K$405,$AP185)&lt;&gt;"",N($W185)&gt;0,INDEX(職員マスタ!$K$6:$K$405,$AP185)&lt;&gt;$W185),"標準報酬月額が申請書と相違（台帳"&amp;TEXT(INDEX(職員マスタ!$K$6:$K$405,$AP185),"#,##0")&amp;"円／申請書"&amp;TEXT($W185,"#,##0")&amp;"円）／","")&amp;IF(AND(INDEX(職員マスタ!$F$6:$F$405,$AP185)&lt;&gt;"",$AQ185&lt;&gt;"",INDEX(職員マスタ!$F$6:$F$405,$AP185)&lt;$AQ185),"対象月に子が2歳到達済／","")&amp;IF(AND($H185&lt;&gt;"",INDEX(職員マスタ!$B$6:$B$405,$AP185)&lt;&gt;"",SUBSTITUTE(SUBSTITUTE($H185," ","")," ","")&lt;&gt;SUBSTITUTE(SUBSTITUTE(INDEX(職員マスタ!$B$6:$B$405,$AP185)," ","")," ","")),"氏名がマスタと相違／","")&amp;IF(AND($Q185&lt;&gt;"",INDEX(職員マスタ!$E$6:$E$405,$AP185)&lt;&gt;"",$Q185&lt;&gt;INDEX(職員マスタ!$E$6:$E$405,$AP185)),"子の生年月日がマスタと相違／","")&amp;IF(AND($L185&lt;&gt;"",INDEX(職員マスタ!$G$6:$G$405,$AP185)&lt;&gt;"",$L185&lt;&gt;INDEX(職員マスタ!$G$6:$G$405,$AP185)),"時短開始日がマスタと相違／","")&amp;IF(AND($M185&lt;&gt;"",INDEX(職員マスタ!$H$6:$H$405,$AP185)&lt;&gt;"",$M185&lt;&gt;INDEX(職員マスタ!$H$6:$H$405,$AP185)),"時短終了日がマスタと相違／","")))&amp;IF(AND($B185&lt;&gt;"",$E185=""),"報酬額が未入力／","")&amp;IF(N($U185)&gt;0,"申請書に入力エラーが残っています／","")&amp;IF(AND($B185&lt;&gt;"",$AQ185&lt;&gt;""),IF(COUNTIFS($B$6:$B$3005,$B185,$C$6:$C$3005,$C185,$D$6:$D$3005,$D185)&gt;1,"同じ月の請求が重複しています／",""),"")&amp;IF(AND(N($E185)&gt;0,$AB185&lt;&gt;"",$AB185&lt;&gt;"×",$AE185=0,$AD185=""),"計算額が下限以下のため不支給／",""))</f>
        <v/>
      </c>
      <c r="AN185" s="12" t="n"/>
      <c r="AO185" s="14">
        <f>IF($AF185="保留中",COUNTIF($AF$6:$AF185,"保留中"),"")</f>
        <v/>
      </c>
      <c r="AP185" s="14">
        <f>IF($AQ185="","",IF(SUMPRODUCT(MAX((職員マスタ!$A$6:$A$405=$B185)*(((職員マスタ!$G$6:$G$405="")+(職員マスタ!$G$6:$G$405&lt;=EOMONTH($AQ185,0)))&gt;0)*(((職員マスタ!$H$6:$H$405="")+(職員マスタ!$H$6:$H$405&gt;=$AQ185))&gt;0)*(ROW(職員マスタ!$A$6:$A$405)-5)))&gt;0,SUMPRODUCT(MAX((職員マスタ!$A$6:$A$405=$B185)*(((職員マスタ!$G$6:$G$405="")+(職員マスタ!$G$6:$G$405&lt;=EOMONTH($AQ185,0)))&gt;0)*(((職員マスタ!$H$6:$H$405="")+(職員マスタ!$H$6:$H$405&gt;=$AQ185))&gt;0)*(ROW(職員マスタ!$A$6:$A$405)-5))),IFERROR(MATCH($B185,職員マスタ!$A$6:$A$405,0),"")))</f>
        <v/>
      </c>
      <c r="AQ185" s="16">
        <f>IF(OR($B185="",$C185="",$D185=""),"",DATE($C185+2018,$D185,1))</f>
        <v/>
      </c>
    </row>
    <row r="186">
      <c r="A186" s="11" t="n"/>
      <c r="B186" s="12" t="n">
        <v>6402952</v>
      </c>
      <c r="C186" s="12" t="n">
        <v>7</v>
      </c>
      <c r="D186" s="12" t="n">
        <v>8</v>
      </c>
      <c r="E186" s="13" t="n">
        <v>197093</v>
      </c>
      <c r="F186" s="12" t="n"/>
      <c r="G186" s="13" t="n"/>
      <c r="H186" s="12" t="n"/>
      <c r="I186" s="12" t="n"/>
      <c r="J186" s="12" t="n"/>
      <c r="K186" s="12" t="n"/>
      <c r="L186" s="11" t="n"/>
      <c r="M186" s="11" t="n"/>
      <c r="N186" s="11" t="n"/>
      <c r="O186" s="11" t="n"/>
      <c r="P186" s="12" t="n"/>
      <c r="Q186" s="11" t="n"/>
      <c r="R186" s="12" t="n"/>
      <c r="S186" s="11" t="n"/>
      <c r="T186" s="12" t="n"/>
      <c r="U186" s="12" t="n"/>
      <c r="V186" s="12" t="n"/>
      <c r="W186" s="13" t="n"/>
      <c r="X186" s="14">
        <f>IF($AP186="",IF($B186="","",$H186),IF(INDEX(職員マスタ!$B$6:$B$405,$AP186)="",$H186,INDEX(職員マスタ!$B$6:$B$405,$AP186)))</f>
        <v/>
      </c>
      <c r="Y186" s="14">
        <f>IF($AP186="",IF($B186="","",$R186),IF(INDEX(職員マスタ!$C$6:$C$405,$AP186)="",$R186,INDEX(職員マスタ!$C$6:$C$405,$AP186)))</f>
        <v/>
      </c>
      <c r="Z186" s="14">
        <f>IF($AQ186="","","R"&amp;$C186&amp;"."&amp;$D186)</f>
        <v/>
      </c>
      <c r="AA186" s="15">
        <f>IF(IF($AP186="",FALSE,INDEX(職員マスタ!$K$6:$K$405,$AP186)&lt;&gt;""),INDEX(職員マスタ!$K$6:$K$405,$AP186),IF(N($W186)&gt;0,$W186,""))</f>
        <v/>
      </c>
      <c r="AB186" s="14">
        <f>IF(OR($E186="",$AA186=""),"",IF($E186&gt;=$AA186,"×",IF($E186&gt;=$AA186*設定!$C$5,"△","○")))</f>
        <v/>
      </c>
      <c r="AC186" s="15">
        <f>IF($AB186="","",IF($AB186="×",0,IF($AB186="○",ROUNDDOWN($E186*設定!$C$4,0),ROUNDDOWN($E186*ROUND((9*$AA186-9*$E186)/(10*$E186),4),0))))</f>
        <v/>
      </c>
      <c r="AD186" s="13" t="n"/>
      <c r="AE186" s="15">
        <f>IF($B186="","",IF($AD186&lt;&gt;"",$AD186,IF($AC186="","",IF($AC186&lt;=設定!$C$3,0,$AC186))))</f>
        <v/>
      </c>
      <c r="AF186" s="14">
        <f>IF($B186="","",IF(AND($AG186&lt;&gt;"",$AI186="",$AL186=""),"保留中",IF($AL186&lt;&gt;"",IF(N($AE186)&gt;0,"支給済","不支給"),IF($AE186="","要確認",IF($AE186=0,"不支給","未処理")))))</f>
        <v/>
      </c>
      <c r="AG186" s="12" t="n"/>
      <c r="AH186" s="11" t="n"/>
      <c r="AI186" s="11" t="n"/>
      <c r="AJ186" s="11" t="n"/>
      <c r="AK186" s="14">
        <f>IF(AND($AF186="保留中",$AH186&lt;&gt;""),TODAY()-$AH186,"")</f>
        <v/>
      </c>
      <c r="AL186" s="12" t="inlineStr">
        <is>
          <t>R7.10</t>
        </is>
      </c>
      <c r="AM186" s="14">
        <f>IF($B186="","",IF($AQ186="","対象年月が未入力／","")&amp;IF($B186="","",IF($AP186="","職員マスタに未登録の職員番号／",IF($AA186="","標準報酬月額が未登録／","")&amp;IF(AND($AQ186&lt;&gt;"",OR(AND(INDEX(職員マスタ!$G$6:$G$405,$AP186)&lt;&gt;"",INDEX(職員マスタ!$G$6:$G$405,$AP186)&gt;EOMONTH($AQ186,0)),AND(INDEX(職員マスタ!$H$6:$H$405,$AP186)&lt;&gt;"",INDEX(職員マスタ!$H$6:$H$405,$AP186)&lt;$AQ186))),"対象月が時短期間外／","")&amp;IF(AND(INDEX(職員マスタ!$K$6:$K$405,$AP186)&lt;&gt;"",N($W186)&gt;0,INDEX(職員マスタ!$K$6:$K$405,$AP186)&lt;&gt;$W186),"標準報酬月額が申請書と相違（台帳"&amp;TEXT(INDEX(職員マスタ!$K$6:$K$405,$AP186),"#,##0")&amp;"円／申請書"&amp;TEXT($W186,"#,##0")&amp;"円）／","")&amp;IF(AND(INDEX(職員マスタ!$F$6:$F$405,$AP186)&lt;&gt;"",$AQ186&lt;&gt;"",INDEX(職員マスタ!$F$6:$F$405,$AP186)&lt;$AQ186),"対象月に子が2歳到達済／","")&amp;IF(AND($H186&lt;&gt;"",INDEX(職員マスタ!$B$6:$B$405,$AP186)&lt;&gt;"",SUBSTITUTE(SUBSTITUTE($H186," ","")," ","")&lt;&gt;SUBSTITUTE(SUBSTITUTE(INDEX(職員マスタ!$B$6:$B$405,$AP186)," ","")," ","")),"氏名がマスタと相違／","")&amp;IF(AND($Q186&lt;&gt;"",INDEX(職員マスタ!$E$6:$E$405,$AP186)&lt;&gt;"",$Q186&lt;&gt;INDEX(職員マスタ!$E$6:$E$405,$AP186)),"子の生年月日がマスタと相違／","")&amp;IF(AND($L186&lt;&gt;"",INDEX(職員マスタ!$G$6:$G$405,$AP186)&lt;&gt;"",$L186&lt;&gt;INDEX(職員マスタ!$G$6:$G$405,$AP186)),"時短開始日がマスタと相違／","")&amp;IF(AND($M186&lt;&gt;"",INDEX(職員マスタ!$H$6:$H$405,$AP186)&lt;&gt;"",$M186&lt;&gt;INDEX(職員マスタ!$H$6:$H$405,$AP186)),"時短終了日がマスタと相違／","")))&amp;IF(AND($B186&lt;&gt;"",$E186=""),"報酬額が未入力／","")&amp;IF(N($U186)&gt;0,"申請書に入力エラーが残っています／","")&amp;IF(AND($B186&lt;&gt;"",$AQ186&lt;&gt;""),IF(COUNTIFS($B$6:$B$3005,$B186,$C$6:$C$3005,$C186,$D$6:$D$3005,$D186)&gt;1,"同じ月の請求が重複しています／",""),"")&amp;IF(AND(N($E186)&gt;0,$AB186&lt;&gt;"",$AB186&lt;&gt;"×",$AE186=0,$AD186=""),"計算額が下限以下のため不支給／",""))</f>
        <v/>
      </c>
      <c r="AN186" s="12" t="n"/>
      <c r="AO186" s="14">
        <f>IF($AF186="保留中",COUNTIF($AF$6:$AF186,"保留中"),"")</f>
        <v/>
      </c>
      <c r="AP186" s="14">
        <f>IF($AQ186="","",IF(SUMPRODUCT(MAX((職員マスタ!$A$6:$A$405=$B186)*(((職員マスタ!$G$6:$G$405="")+(職員マスタ!$G$6:$G$405&lt;=EOMONTH($AQ186,0)))&gt;0)*(((職員マスタ!$H$6:$H$405="")+(職員マスタ!$H$6:$H$405&gt;=$AQ186))&gt;0)*(ROW(職員マスタ!$A$6:$A$405)-5)))&gt;0,SUMPRODUCT(MAX((職員マスタ!$A$6:$A$405=$B186)*(((職員マスタ!$G$6:$G$405="")+(職員マスタ!$G$6:$G$405&lt;=EOMONTH($AQ186,0)))&gt;0)*(((職員マスタ!$H$6:$H$405="")+(職員マスタ!$H$6:$H$405&gt;=$AQ186))&gt;0)*(ROW(職員マスタ!$A$6:$A$405)-5))),IFERROR(MATCH($B186,職員マスタ!$A$6:$A$405,0),"")))</f>
        <v/>
      </c>
      <c r="AQ186" s="16">
        <f>IF(OR($B186="",$C186="",$D186=""),"",DATE($C186+2018,$D186,1))</f>
        <v/>
      </c>
    </row>
    <row r="187">
      <c r="A187" s="11" t="n"/>
      <c r="B187" s="12" t="n">
        <v>6402952</v>
      </c>
      <c r="C187" s="12" t="n">
        <v>7</v>
      </c>
      <c r="D187" s="12" t="n">
        <v>9</v>
      </c>
      <c r="E187" s="13" t="n">
        <v>197093</v>
      </c>
      <c r="F187" s="12" t="n"/>
      <c r="G187" s="13" t="n"/>
      <c r="H187" s="12" t="n"/>
      <c r="I187" s="12" t="n"/>
      <c r="J187" s="12" t="n"/>
      <c r="K187" s="12" t="n"/>
      <c r="L187" s="11" t="n"/>
      <c r="M187" s="11" t="n"/>
      <c r="N187" s="11" t="n"/>
      <c r="O187" s="11" t="n"/>
      <c r="P187" s="12" t="n"/>
      <c r="Q187" s="11" t="n"/>
      <c r="R187" s="12" t="n"/>
      <c r="S187" s="11" t="n"/>
      <c r="T187" s="12" t="n"/>
      <c r="U187" s="12" t="n"/>
      <c r="V187" s="12" t="n"/>
      <c r="W187" s="13" t="n"/>
      <c r="X187" s="14">
        <f>IF($AP187="",IF($B187="","",$H187),IF(INDEX(職員マスタ!$B$6:$B$405,$AP187)="",$H187,INDEX(職員マスタ!$B$6:$B$405,$AP187)))</f>
        <v/>
      </c>
      <c r="Y187" s="14">
        <f>IF($AP187="",IF($B187="","",$R187),IF(INDEX(職員マスタ!$C$6:$C$405,$AP187)="",$R187,INDEX(職員マスタ!$C$6:$C$405,$AP187)))</f>
        <v/>
      </c>
      <c r="Z187" s="14">
        <f>IF($AQ187="","","R"&amp;$C187&amp;"."&amp;$D187)</f>
        <v/>
      </c>
      <c r="AA187" s="15">
        <f>IF(IF($AP187="",FALSE,INDEX(職員マスタ!$K$6:$K$405,$AP187)&lt;&gt;""),INDEX(職員マスタ!$K$6:$K$405,$AP187),IF(N($W187)&gt;0,$W187,""))</f>
        <v/>
      </c>
      <c r="AB187" s="14">
        <f>IF(OR($E187="",$AA187=""),"",IF($E187&gt;=$AA187,"×",IF($E187&gt;=$AA187*設定!$C$5,"△","○")))</f>
        <v/>
      </c>
      <c r="AC187" s="15">
        <f>IF($AB187="","",IF($AB187="×",0,IF($AB187="○",ROUNDDOWN($E187*設定!$C$4,0),ROUNDDOWN($E187*ROUND((9*$AA187-9*$E187)/(10*$E187),4),0))))</f>
        <v/>
      </c>
      <c r="AD187" s="13" t="n"/>
      <c r="AE187" s="15">
        <f>IF($B187="","",IF($AD187&lt;&gt;"",$AD187,IF($AC187="","",IF($AC187&lt;=設定!$C$3,0,$AC187))))</f>
        <v/>
      </c>
      <c r="AF187" s="14">
        <f>IF($B187="","",IF(AND($AG187&lt;&gt;"",$AI187="",$AL187=""),"保留中",IF($AL187&lt;&gt;"",IF(N($AE187)&gt;0,"支給済","不支給"),IF($AE187="","要確認",IF($AE187=0,"不支給","未処理")))))</f>
        <v/>
      </c>
      <c r="AG187" s="12" t="n"/>
      <c r="AH187" s="11" t="n"/>
      <c r="AI187" s="11" t="n"/>
      <c r="AJ187" s="11" t="n"/>
      <c r="AK187" s="14">
        <f>IF(AND($AF187="保留中",$AH187&lt;&gt;""),TODAY()-$AH187,"")</f>
        <v/>
      </c>
      <c r="AL187" s="12" t="inlineStr">
        <is>
          <t>R8.1</t>
        </is>
      </c>
      <c r="AM187" s="14">
        <f>IF($B187="","",IF($AQ187="","対象年月が未入力／","")&amp;IF($B187="","",IF($AP187="","職員マスタに未登録の職員番号／",IF($AA187="","標準報酬月額が未登録／","")&amp;IF(AND($AQ187&lt;&gt;"",OR(AND(INDEX(職員マスタ!$G$6:$G$405,$AP187)&lt;&gt;"",INDEX(職員マスタ!$G$6:$G$405,$AP187)&gt;EOMONTH($AQ187,0)),AND(INDEX(職員マスタ!$H$6:$H$405,$AP187)&lt;&gt;"",INDEX(職員マスタ!$H$6:$H$405,$AP187)&lt;$AQ187))),"対象月が時短期間外／","")&amp;IF(AND(INDEX(職員マスタ!$K$6:$K$405,$AP187)&lt;&gt;"",N($W187)&gt;0,INDEX(職員マスタ!$K$6:$K$405,$AP187)&lt;&gt;$W187),"標準報酬月額が申請書と相違（台帳"&amp;TEXT(INDEX(職員マスタ!$K$6:$K$405,$AP187),"#,##0")&amp;"円／申請書"&amp;TEXT($W187,"#,##0")&amp;"円）／","")&amp;IF(AND(INDEX(職員マスタ!$F$6:$F$405,$AP187)&lt;&gt;"",$AQ187&lt;&gt;"",INDEX(職員マスタ!$F$6:$F$405,$AP187)&lt;$AQ187),"対象月に子が2歳到達済／","")&amp;IF(AND($H187&lt;&gt;"",INDEX(職員マスタ!$B$6:$B$405,$AP187)&lt;&gt;"",SUBSTITUTE(SUBSTITUTE($H187," ","")," ","")&lt;&gt;SUBSTITUTE(SUBSTITUTE(INDEX(職員マスタ!$B$6:$B$405,$AP187)," ","")," ","")),"氏名がマスタと相違／","")&amp;IF(AND($Q187&lt;&gt;"",INDEX(職員マスタ!$E$6:$E$405,$AP187)&lt;&gt;"",$Q187&lt;&gt;INDEX(職員マスタ!$E$6:$E$405,$AP187)),"子の生年月日がマスタと相違／","")&amp;IF(AND($L187&lt;&gt;"",INDEX(職員マスタ!$G$6:$G$405,$AP187)&lt;&gt;"",$L187&lt;&gt;INDEX(職員マスタ!$G$6:$G$405,$AP187)),"時短開始日がマスタと相違／","")&amp;IF(AND($M187&lt;&gt;"",INDEX(職員マスタ!$H$6:$H$405,$AP187)&lt;&gt;"",$M187&lt;&gt;INDEX(職員マスタ!$H$6:$H$405,$AP187)),"時短終了日がマスタと相違／","")))&amp;IF(AND($B187&lt;&gt;"",$E187=""),"報酬額が未入力／","")&amp;IF(N($U187)&gt;0,"申請書に入力エラーが残っています／","")&amp;IF(AND($B187&lt;&gt;"",$AQ187&lt;&gt;""),IF(COUNTIFS($B$6:$B$3005,$B187,$C$6:$C$3005,$C187,$D$6:$D$3005,$D187)&gt;1,"同じ月の請求が重複しています／",""),"")&amp;IF(AND(N($E187)&gt;0,$AB187&lt;&gt;"",$AB187&lt;&gt;"×",$AE187=0,$AD187=""),"計算額が下限以下のため不支給／",""))</f>
        <v/>
      </c>
      <c r="AN187" s="12" t="n"/>
      <c r="AO187" s="14">
        <f>IF($AF187="保留中",COUNTIF($AF$6:$AF187,"保留中"),"")</f>
        <v/>
      </c>
      <c r="AP187" s="14">
        <f>IF($AQ187="","",IF(SUMPRODUCT(MAX((職員マスタ!$A$6:$A$405=$B187)*(((職員マスタ!$G$6:$G$405="")+(職員マスタ!$G$6:$G$405&lt;=EOMONTH($AQ187,0)))&gt;0)*(((職員マスタ!$H$6:$H$405="")+(職員マスタ!$H$6:$H$405&gt;=$AQ187))&gt;0)*(ROW(職員マスタ!$A$6:$A$405)-5)))&gt;0,SUMPRODUCT(MAX((職員マスタ!$A$6:$A$405=$B187)*(((職員マスタ!$G$6:$G$405="")+(職員マスタ!$G$6:$G$405&lt;=EOMONTH($AQ187,0)))&gt;0)*(((職員マスタ!$H$6:$H$405="")+(職員マスタ!$H$6:$H$405&gt;=$AQ187))&gt;0)*(ROW(職員マスタ!$A$6:$A$405)-5))),IFERROR(MATCH($B187,職員マスタ!$A$6:$A$405,0),"")))</f>
        <v/>
      </c>
      <c r="AQ187" s="16">
        <f>IF(OR($B187="",$C187="",$D187=""),"",DATE($C187+2018,$D187,1))</f>
        <v/>
      </c>
    </row>
    <row r="188">
      <c r="A188" s="11" t="n"/>
      <c r="B188" s="12" t="n">
        <v>6402952</v>
      </c>
      <c r="C188" s="12" t="n">
        <v>7</v>
      </c>
      <c r="D188" s="12" t="n">
        <v>10</v>
      </c>
      <c r="E188" s="13" t="n">
        <v>193161</v>
      </c>
      <c r="F188" s="12" t="n"/>
      <c r="G188" s="13" t="n"/>
      <c r="H188" s="12" t="n"/>
      <c r="I188" s="12" t="n"/>
      <c r="J188" s="12" t="n"/>
      <c r="K188" s="12" t="n"/>
      <c r="L188" s="11" t="n"/>
      <c r="M188" s="11" t="n"/>
      <c r="N188" s="11" t="n"/>
      <c r="O188" s="11" t="n"/>
      <c r="P188" s="12" t="n"/>
      <c r="Q188" s="11" t="n"/>
      <c r="R188" s="12" t="n"/>
      <c r="S188" s="11" t="n"/>
      <c r="T188" s="12" t="n"/>
      <c r="U188" s="12" t="n"/>
      <c r="V188" s="12" t="n"/>
      <c r="W188" s="13" t="n"/>
      <c r="X188" s="14">
        <f>IF($AP188="",IF($B188="","",$H188),IF(INDEX(職員マスタ!$B$6:$B$405,$AP188)="",$H188,INDEX(職員マスタ!$B$6:$B$405,$AP188)))</f>
        <v/>
      </c>
      <c r="Y188" s="14">
        <f>IF($AP188="",IF($B188="","",$R188),IF(INDEX(職員マスタ!$C$6:$C$405,$AP188)="",$R188,INDEX(職員マスタ!$C$6:$C$405,$AP188)))</f>
        <v/>
      </c>
      <c r="Z188" s="14">
        <f>IF($AQ188="","","R"&amp;$C188&amp;"."&amp;$D188)</f>
        <v/>
      </c>
      <c r="AA188" s="15">
        <f>IF(IF($AP188="",FALSE,INDEX(職員マスタ!$K$6:$K$405,$AP188)&lt;&gt;""),INDEX(職員マスタ!$K$6:$K$405,$AP188),IF(N($W188)&gt;0,$W188,""))</f>
        <v/>
      </c>
      <c r="AB188" s="14">
        <f>IF(OR($E188="",$AA188=""),"",IF($E188&gt;=$AA188,"×",IF($E188&gt;=$AA188*設定!$C$5,"△","○")))</f>
        <v/>
      </c>
      <c r="AC188" s="15">
        <f>IF($AB188="","",IF($AB188="×",0,IF($AB188="○",ROUNDDOWN($E188*設定!$C$4,0),ROUNDDOWN($E188*ROUND((9*$AA188-9*$E188)/(10*$E188),4),0))))</f>
        <v/>
      </c>
      <c r="AD188" s="13" t="n"/>
      <c r="AE188" s="15">
        <f>IF($B188="","",IF($AD188&lt;&gt;"",$AD188,IF($AC188="","",IF($AC188&lt;=設定!$C$3,0,$AC188))))</f>
        <v/>
      </c>
      <c r="AF188" s="14">
        <f>IF($B188="","",IF(AND($AG188&lt;&gt;"",$AI188="",$AL188=""),"保留中",IF($AL188&lt;&gt;"",IF(N($AE188)&gt;0,"支給済","不支給"),IF($AE188="","要確認",IF($AE188=0,"不支給","未処理")))))</f>
        <v/>
      </c>
      <c r="AG188" s="12" t="n"/>
      <c r="AH188" s="11" t="n"/>
      <c r="AI188" s="11" t="n"/>
      <c r="AJ188" s="11" t="n"/>
      <c r="AK188" s="14">
        <f>IF(AND($AF188="保留中",$AH188&lt;&gt;""),TODAY()-$AH188,"")</f>
        <v/>
      </c>
      <c r="AL188" s="12" t="inlineStr">
        <is>
          <t>R8.1</t>
        </is>
      </c>
      <c r="AM188" s="14">
        <f>IF($B188="","",IF($AQ188="","対象年月が未入力／","")&amp;IF($B188="","",IF($AP188="","職員マスタに未登録の職員番号／",IF($AA188="","標準報酬月額が未登録／","")&amp;IF(AND($AQ188&lt;&gt;"",OR(AND(INDEX(職員マスタ!$G$6:$G$405,$AP188)&lt;&gt;"",INDEX(職員マスタ!$G$6:$G$405,$AP188)&gt;EOMONTH($AQ188,0)),AND(INDEX(職員マスタ!$H$6:$H$405,$AP188)&lt;&gt;"",INDEX(職員マスタ!$H$6:$H$405,$AP188)&lt;$AQ188))),"対象月が時短期間外／","")&amp;IF(AND(INDEX(職員マスタ!$K$6:$K$405,$AP188)&lt;&gt;"",N($W188)&gt;0,INDEX(職員マスタ!$K$6:$K$405,$AP188)&lt;&gt;$W188),"標準報酬月額が申請書と相違（台帳"&amp;TEXT(INDEX(職員マスタ!$K$6:$K$405,$AP188),"#,##0")&amp;"円／申請書"&amp;TEXT($W188,"#,##0")&amp;"円）／","")&amp;IF(AND(INDEX(職員マスタ!$F$6:$F$405,$AP188)&lt;&gt;"",$AQ188&lt;&gt;"",INDEX(職員マスタ!$F$6:$F$405,$AP188)&lt;$AQ188),"対象月に子が2歳到達済／","")&amp;IF(AND($H188&lt;&gt;"",INDEX(職員マスタ!$B$6:$B$405,$AP188)&lt;&gt;"",SUBSTITUTE(SUBSTITUTE($H188," ","")," ","")&lt;&gt;SUBSTITUTE(SUBSTITUTE(INDEX(職員マスタ!$B$6:$B$405,$AP188)," ","")," ","")),"氏名がマスタと相違／","")&amp;IF(AND($Q188&lt;&gt;"",INDEX(職員マスタ!$E$6:$E$405,$AP188)&lt;&gt;"",$Q188&lt;&gt;INDEX(職員マスタ!$E$6:$E$405,$AP188)),"子の生年月日がマスタと相違／","")&amp;IF(AND($L188&lt;&gt;"",INDEX(職員マスタ!$G$6:$G$405,$AP188)&lt;&gt;"",$L188&lt;&gt;INDEX(職員マスタ!$G$6:$G$405,$AP188)),"時短開始日がマスタと相違／","")&amp;IF(AND($M188&lt;&gt;"",INDEX(職員マスタ!$H$6:$H$405,$AP188)&lt;&gt;"",$M188&lt;&gt;INDEX(職員マスタ!$H$6:$H$405,$AP188)),"時短終了日がマスタと相違／","")))&amp;IF(AND($B188&lt;&gt;"",$E188=""),"報酬額が未入力／","")&amp;IF(N($U188)&gt;0,"申請書に入力エラーが残っています／","")&amp;IF(AND($B188&lt;&gt;"",$AQ188&lt;&gt;""),IF(COUNTIFS($B$6:$B$3005,$B188,$C$6:$C$3005,$C188,$D$6:$D$3005,$D188)&gt;1,"同じ月の請求が重複しています／",""),"")&amp;IF(AND(N($E188)&gt;0,$AB188&lt;&gt;"",$AB188&lt;&gt;"×",$AE188=0,$AD188=""),"計算額が下限以下のため不支給／",""))</f>
        <v/>
      </c>
      <c r="AN188" s="12" t="n"/>
      <c r="AO188" s="14">
        <f>IF($AF188="保留中",COUNTIF($AF$6:$AF188,"保留中"),"")</f>
        <v/>
      </c>
      <c r="AP188" s="14">
        <f>IF($AQ188="","",IF(SUMPRODUCT(MAX((職員マスタ!$A$6:$A$405=$B188)*(((職員マスタ!$G$6:$G$405="")+(職員マスタ!$G$6:$G$405&lt;=EOMONTH($AQ188,0)))&gt;0)*(((職員マスタ!$H$6:$H$405="")+(職員マスタ!$H$6:$H$405&gt;=$AQ188))&gt;0)*(ROW(職員マスタ!$A$6:$A$405)-5)))&gt;0,SUMPRODUCT(MAX((職員マスタ!$A$6:$A$405=$B188)*(((職員マスタ!$G$6:$G$405="")+(職員マスタ!$G$6:$G$405&lt;=EOMONTH($AQ188,0)))&gt;0)*(((職員マスタ!$H$6:$H$405="")+(職員マスタ!$H$6:$H$405&gt;=$AQ188))&gt;0)*(ROW(職員マスタ!$A$6:$A$405)-5))),IFERROR(MATCH($B188,職員マスタ!$A$6:$A$405,0),"")))</f>
        <v/>
      </c>
      <c r="AQ188" s="16">
        <f>IF(OR($B188="",$C188="",$D188=""),"",DATE($C188+2018,$D188,1))</f>
        <v/>
      </c>
    </row>
    <row r="189">
      <c r="A189" s="11" t="n"/>
      <c r="B189" s="12" t="n">
        <v>6402952</v>
      </c>
      <c r="C189" s="12" t="n">
        <v>7</v>
      </c>
      <c r="D189" s="12" t="n">
        <v>11</v>
      </c>
      <c r="E189" s="13" t="n">
        <v>197093</v>
      </c>
      <c r="F189" s="12" t="n"/>
      <c r="G189" s="13" t="n"/>
      <c r="H189" s="12" t="n"/>
      <c r="I189" s="12" t="n"/>
      <c r="J189" s="12" t="n"/>
      <c r="K189" s="12" t="n"/>
      <c r="L189" s="11" t="n"/>
      <c r="M189" s="11" t="n"/>
      <c r="N189" s="11" t="n"/>
      <c r="O189" s="11" t="n"/>
      <c r="P189" s="12" t="n"/>
      <c r="Q189" s="11" t="n"/>
      <c r="R189" s="12" t="n"/>
      <c r="S189" s="11" t="n"/>
      <c r="T189" s="12" t="n"/>
      <c r="U189" s="12" t="n"/>
      <c r="V189" s="12" t="n"/>
      <c r="W189" s="13" t="n"/>
      <c r="X189" s="14">
        <f>IF($AP189="",IF($B189="","",$H189),IF(INDEX(職員マスタ!$B$6:$B$405,$AP189)="",$H189,INDEX(職員マスタ!$B$6:$B$405,$AP189)))</f>
        <v/>
      </c>
      <c r="Y189" s="14">
        <f>IF($AP189="",IF($B189="","",$R189),IF(INDEX(職員マスタ!$C$6:$C$405,$AP189)="",$R189,INDEX(職員マスタ!$C$6:$C$405,$AP189)))</f>
        <v/>
      </c>
      <c r="Z189" s="14">
        <f>IF($AQ189="","","R"&amp;$C189&amp;"."&amp;$D189)</f>
        <v/>
      </c>
      <c r="AA189" s="15">
        <f>IF(IF($AP189="",FALSE,INDEX(職員マスタ!$K$6:$K$405,$AP189)&lt;&gt;""),INDEX(職員マスタ!$K$6:$K$405,$AP189),IF(N($W189)&gt;0,$W189,""))</f>
        <v/>
      </c>
      <c r="AB189" s="14">
        <f>IF(OR($E189="",$AA189=""),"",IF($E189&gt;=$AA189,"×",IF($E189&gt;=$AA189*設定!$C$5,"△","○")))</f>
        <v/>
      </c>
      <c r="AC189" s="15">
        <f>IF($AB189="","",IF($AB189="×",0,IF($AB189="○",ROUNDDOWN($E189*設定!$C$4,0),ROUNDDOWN($E189*ROUND((9*$AA189-9*$E189)/(10*$E189),4),0))))</f>
        <v/>
      </c>
      <c r="AD189" s="13" t="n"/>
      <c r="AE189" s="15">
        <f>IF($B189="","",IF($AD189&lt;&gt;"",$AD189,IF($AC189="","",IF($AC189&lt;=設定!$C$3,0,$AC189))))</f>
        <v/>
      </c>
      <c r="AF189" s="14">
        <f>IF($B189="","",IF(AND($AG189&lt;&gt;"",$AI189="",$AL189=""),"保留中",IF($AL189&lt;&gt;"",IF(N($AE189)&gt;0,"支給済","不支給"),IF($AE189="","要確認",IF($AE189=0,"不支給","未処理")))))</f>
        <v/>
      </c>
      <c r="AG189" s="12" t="n"/>
      <c r="AH189" s="11" t="n"/>
      <c r="AI189" s="11" t="n"/>
      <c r="AJ189" s="11" t="n"/>
      <c r="AK189" s="14">
        <f>IF(AND($AF189="保留中",$AH189&lt;&gt;""),TODAY()-$AH189,"")</f>
        <v/>
      </c>
      <c r="AL189" s="12" t="inlineStr">
        <is>
          <t>R8.1</t>
        </is>
      </c>
      <c r="AM189" s="14">
        <f>IF($B189="","",IF($AQ189="","対象年月が未入力／","")&amp;IF($B189="","",IF($AP189="","職員マスタに未登録の職員番号／",IF($AA189="","標準報酬月額が未登録／","")&amp;IF(AND($AQ189&lt;&gt;"",OR(AND(INDEX(職員マスタ!$G$6:$G$405,$AP189)&lt;&gt;"",INDEX(職員マスタ!$G$6:$G$405,$AP189)&gt;EOMONTH($AQ189,0)),AND(INDEX(職員マスタ!$H$6:$H$405,$AP189)&lt;&gt;"",INDEX(職員マスタ!$H$6:$H$405,$AP189)&lt;$AQ189))),"対象月が時短期間外／","")&amp;IF(AND(INDEX(職員マスタ!$K$6:$K$405,$AP189)&lt;&gt;"",N($W189)&gt;0,INDEX(職員マスタ!$K$6:$K$405,$AP189)&lt;&gt;$W189),"標準報酬月額が申請書と相違（台帳"&amp;TEXT(INDEX(職員マスタ!$K$6:$K$405,$AP189),"#,##0")&amp;"円／申請書"&amp;TEXT($W189,"#,##0")&amp;"円）／","")&amp;IF(AND(INDEX(職員マスタ!$F$6:$F$405,$AP189)&lt;&gt;"",$AQ189&lt;&gt;"",INDEX(職員マスタ!$F$6:$F$405,$AP189)&lt;$AQ189),"対象月に子が2歳到達済／","")&amp;IF(AND($H189&lt;&gt;"",INDEX(職員マスタ!$B$6:$B$405,$AP189)&lt;&gt;"",SUBSTITUTE(SUBSTITUTE($H189," ","")," ","")&lt;&gt;SUBSTITUTE(SUBSTITUTE(INDEX(職員マスタ!$B$6:$B$405,$AP189)," ","")," ","")),"氏名がマスタと相違／","")&amp;IF(AND($Q189&lt;&gt;"",INDEX(職員マスタ!$E$6:$E$405,$AP189)&lt;&gt;"",$Q189&lt;&gt;INDEX(職員マスタ!$E$6:$E$405,$AP189)),"子の生年月日がマスタと相違／","")&amp;IF(AND($L189&lt;&gt;"",INDEX(職員マスタ!$G$6:$G$405,$AP189)&lt;&gt;"",$L189&lt;&gt;INDEX(職員マスタ!$G$6:$G$405,$AP189)),"時短開始日がマスタと相違／","")&amp;IF(AND($M189&lt;&gt;"",INDEX(職員マスタ!$H$6:$H$405,$AP189)&lt;&gt;"",$M189&lt;&gt;INDEX(職員マスタ!$H$6:$H$405,$AP189)),"時短終了日がマスタと相違／","")))&amp;IF(AND($B189&lt;&gt;"",$E189=""),"報酬額が未入力／","")&amp;IF(N($U189)&gt;0,"申請書に入力エラーが残っています／","")&amp;IF(AND($B189&lt;&gt;"",$AQ189&lt;&gt;""),IF(COUNTIFS($B$6:$B$3005,$B189,$C$6:$C$3005,$C189,$D$6:$D$3005,$D189)&gt;1,"同じ月の請求が重複しています／",""),"")&amp;IF(AND(N($E189)&gt;0,$AB189&lt;&gt;"",$AB189&lt;&gt;"×",$AE189=0,$AD189=""),"計算額が下限以下のため不支給／",""))</f>
        <v/>
      </c>
      <c r="AN189" s="12" t="n"/>
      <c r="AO189" s="14">
        <f>IF($AF189="保留中",COUNTIF($AF$6:$AF189,"保留中"),"")</f>
        <v/>
      </c>
      <c r="AP189" s="14">
        <f>IF($AQ189="","",IF(SUMPRODUCT(MAX((職員マスタ!$A$6:$A$405=$B189)*(((職員マスタ!$G$6:$G$405="")+(職員マスタ!$G$6:$G$405&lt;=EOMONTH($AQ189,0)))&gt;0)*(((職員マスタ!$H$6:$H$405="")+(職員マスタ!$H$6:$H$405&gt;=$AQ189))&gt;0)*(ROW(職員マスタ!$A$6:$A$405)-5)))&gt;0,SUMPRODUCT(MAX((職員マスタ!$A$6:$A$405=$B189)*(((職員マスタ!$G$6:$G$405="")+(職員マスタ!$G$6:$G$405&lt;=EOMONTH($AQ189,0)))&gt;0)*(((職員マスタ!$H$6:$H$405="")+(職員マスタ!$H$6:$H$405&gt;=$AQ189))&gt;0)*(ROW(職員マスタ!$A$6:$A$405)-5))),IFERROR(MATCH($B189,職員マスタ!$A$6:$A$405,0),"")))</f>
        <v/>
      </c>
      <c r="AQ189" s="16">
        <f>IF(OR($B189="",$C189="",$D189=""),"",DATE($C189+2018,$D189,1))</f>
        <v/>
      </c>
    </row>
    <row r="190">
      <c r="A190" s="11" t="n"/>
      <c r="B190" s="12" t="n">
        <v>6402952</v>
      </c>
      <c r="C190" s="12" t="n">
        <v>7</v>
      </c>
      <c r="D190" s="12" t="n">
        <v>12</v>
      </c>
      <c r="E190" s="13" t="n">
        <v>204458</v>
      </c>
      <c r="F190" s="12" t="n"/>
      <c r="G190" s="13" t="n"/>
      <c r="H190" s="12" t="n"/>
      <c r="I190" s="12" t="n"/>
      <c r="J190" s="12" t="n"/>
      <c r="K190" s="12" t="n"/>
      <c r="L190" s="11" t="n"/>
      <c r="M190" s="11" t="n"/>
      <c r="N190" s="11" t="n"/>
      <c r="O190" s="11" t="n"/>
      <c r="P190" s="12" t="n"/>
      <c r="Q190" s="11" t="n"/>
      <c r="R190" s="12" t="n"/>
      <c r="S190" s="11" t="n"/>
      <c r="T190" s="12" t="n"/>
      <c r="U190" s="12" t="n"/>
      <c r="V190" s="12" t="n"/>
      <c r="W190" s="13" t="n"/>
      <c r="X190" s="14">
        <f>IF($AP190="",IF($B190="","",$H190),IF(INDEX(職員マスタ!$B$6:$B$405,$AP190)="",$H190,INDEX(職員マスタ!$B$6:$B$405,$AP190)))</f>
        <v/>
      </c>
      <c r="Y190" s="14">
        <f>IF($AP190="",IF($B190="","",$R190),IF(INDEX(職員マスタ!$C$6:$C$405,$AP190)="",$R190,INDEX(職員マスタ!$C$6:$C$405,$AP190)))</f>
        <v/>
      </c>
      <c r="Z190" s="14">
        <f>IF($AQ190="","","R"&amp;$C190&amp;"."&amp;$D190)</f>
        <v/>
      </c>
      <c r="AA190" s="15">
        <f>IF(IF($AP190="",FALSE,INDEX(職員マスタ!$K$6:$K$405,$AP190)&lt;&gt;""),INDEX(職員マスタ!$K$6:$K$405,$AP190),IF(N($W190)&gt;0,$W190,""))</f>
        <v/>
      </c>
      <c r="AB190" s="14">
        <f>IF(OR($E190="",$AA190=""),"",IF($E190&gt;=$AA190,"×",IF($E190&gt;=$AA190*設定!$C$5,"△","○")))</f>
        <v/>
      </c>
      <c r="AC190" s="15">
        <f>IF($AB190="","",IF($AB190="×",0,IF($AB190="○",ROUNDDOWN($E190*設定!$C$4,0),ROUNDDOWN($E190*ROUND((9*$AA190-9*$E190)/(10*$E190),4),0))))</f>
        <v/>
      </c>
      <c r="AD190" s="13" t="n"/>
      <c r="AE190" s="15">
        <f>IF($B190="","",IF($AD190&lt;&gt;"",$AD190,IF($AC190="","",IF($AC190&lt;=設定!$C$3,0,$AC190))))</f>
        <v/>
      </c>
      <c r="AF190" s="14">
        <f>IF($B190="","",IF(AND($AG190&lt;&gt;"",$AI190="",$AL190=""),"保留中",IF($AL190&lt;&gt;"",IF(N($AE190)&gt;0,"支給済","不支給"),IF($AE190="","要確認",IF($AE190=0,"不支給","未処理")))))</f>
        <v/>
      </c>
      <c r="AG190" s="12" t="n"/>
      <c r="AH190" s="11" t="n"/>
      <c r="AI190" s="11" t="n"/>
      <c r="AJ190" s="11" t="n"/>
      <c r="AK190" s="14">
        <f>IF(AND($AF190="保留中",$AH190&lt;&gt;""),TODAY()-$AH190,"")</f>
        <v/>
      </c>
      <c r="AL190" s="12" t="inlineStr">
        <is>
          <t>R8.2</t>
        </is>
      </c>
      <c r="AM190" s="14">
        <f>IF($B190="","",IF($AQ190="","対象年月が未入力／","")&amp;IF($B190="","",IF($AP190="","職員マスタに未登録の職員番号／",IF($AA190="","標準報酬月額が未登録／","")&amp;IF(AND($AQ190&lt;&gt;"",OR(AND(INDEX(職員マスタ!$G$6:$G$405,$AP190)&lt;&gt;"",INDEX(職員マスタ!$G$6:$G$405,$AP190)&gt;EOMONTH($AQ190,0)),AND(INDEX(職員マスタ!$H$6:$H$405,$AP190)&lt;&gt;"",INDEX(職員マスタ!$H$6:$H$405,$AP190)&lt;$AQ190))),"対象月が時短期間外／","")&amp;IF(AND(INDEX(職員マスタ!$K$6:$K$405,$AP190)&lt;&gt;"",N($W190)&gt;0,INDEX(職員マスタ!$K$6:$K$405,$AP190)&lt;&gt;$W190),"標準報酬月額が申請書と相違（台帳"&amp;TEXT(INDEX(職員マスタ!$K$6:$K$405,$AP190),"#,##0")&amp;"円／申請書"&amp;TEXT($W190,"#,##0")&amp;"円）／","")&amp;IF(AND(INDEX(職員マスタ!$F$6:$F$405,$AP190)&lt;&gt;"",$AQ190&lt;&gt;"",INDEX(職員マスタ!$F$6:$F$405,$AP190)&lt;$AQ190),"対象月に子が2歳到達済／","")&amp;IF(AND($H190&lt;&gt;"",INDEX(職員マスタ!$B$6:$B$405,$AP190)&lt;&gt;"",SUBSTITUTE(SUBSTITUTE($H190," ","")," ","")&lt;&gt;SUBSTITUTE(SUBSTITUTE(INDEX(職員マスタ!$B$6:$B$405,$AP190)," ","")," ","")),"氏名がマスタと相違／","")&amp;IF(AND($Q190&lt;&gt;"",INDEX(職員マスタ!$E$6:$E$405,$AP190)&lt;&gt;"",$Q190&lt;&gt;INDEX(職員マスタ!$E$6:$E$405,$AP190)),"子の生年月日がマスタと相違／","")&amp;IF(AND($L190&lt;&gt;"",INDEX(職員マスタ!$G$6:$G$405,$AP190)&lt;&gt;"",$L190&lt;&gt;INDEX(職員マスタ!$G$6:$G$405,$AP190)),"時短開始日がマスタと相違／","")&amp;IF(AND($M190&lt;&gt;"",INDEX(職員マスタ!$H$6:$H$405,$AP190)&lt;&gt;"",$M190&lt;&gt;INDEX(職員マスタ!$H$6:$H$405,$AP190)),"時短終了日がマスタと相違／","")))&amp;IF(AND($B190&lt;&gt;"",$E190=""),"報酬額が未入力／","")&amp;IF(N($U190)&gt;0,"申請書に入力エラーが残っています／","")&amp;IF(AND($B190&lt;&gt;"",$AQ190&lt;&gt;""),IF(COUNTIFS($B$6:$B$3005,$B190,$C$6:$C$3005,$C190,$D$6:$D$3005,$D190)&gt;1,"同じ月の請求が重複しています／",""),"")&amp;IF(AND(N($E190)&gt;0,$AB190&lt;&gt;"",$AB190&lt;&gt;"×",$AE190=0,$AD190=""),"計算額が下限以下のため不支給／",""))</f>
        <v/>
      </c>
      <c r="AN190" s="12" t="n"/>
      <c r="AO190" s="14">
        <f>IF($AF190="保留中",COUNTIF($AF$6:$AF190,"保留中"),"")</f>
        <v/>
      </c>
      <c r="AP190" s="14">
        <f>IF($AQ190="","",IF(SUMPRODUCT(MAX((職員マスタ!$A$6:$A$405=$B190)*(((職員マスタ!$G$6:$G$405="")+(職員マスタ!$G$6:$G$405&lt;=EOMONTH($AQ190,0)))&gt;0)*(((職員マスタ!$H$6:$H$405="")+(職員マスタ!$H$6:$H$405&gt;=$AQ190))&gt;0)*(ROW(職員マスタ!$A$6:$A$405)-5)))&gt;0,SUMPRODUCT(MAX((職員マスタ!$A$6:$A$405=$B190)*(((職員マスタ!$G$6:$G$405="")+(職員マスタ!$G$6:$G$405&lt;=EOMONTH($AQ190,0)))&gt;0)*(((職員マスタ!$H$6:$H$405="")+(職員マスタ!$H$6:$H$405&gt;=$AQ190))&gt;0)*(ROW(職員マスタ!$A$6:$A$405)-5))),IFERROR(MATCH($B190,職員マスタ!$A$6:$A$405,0),"")))</f>
        <v/>
      </c>
      <c r="AQ190" s="16">
        <f>IF(OR($B190="",$C190="",$D190=""),"",DATE($C190+2018,$D190,1))</f>
        <v/>
      </c>
    </row>
    <row r="191">
      <c r="A191" s="11" t="n"/>
      <c r="B191" s="12" t="n">
        <v>6402952</v>
      </c>
      <c r="C191" s="12" t="n">
        <v>8</v>
      </c>
      <c r="D191" s="12" t="n">
        <v>1</v>
      </c>
      <c r="E191" s="13" t="n">
        <v>204458</v>
      </c>
      <c r="F191" s="12" t="n"/>
      <c r="G191" s="13" t="n"/>
      <c r="H191" s="12" t="n"/>
      <c r="I191" s="12" t="n"/>
      <c r="J191" s="12" t="n"/>
      <c r="K191" s="12" t="n"/>
      <c r="L191" s="11" t="n"/>
      <c r="M191" s="11" t="n"/>
      <c r="N191" s="11" t="n"/>
      <c r="O191" s="11" t="n"/>
      <c r="P191" s="12" t="n"/>
      <c r="Q191" s="11" t="n"/>
      <c r="R191" s="12" t="n"/>
      <c r="S191" s="11" t="n"/>
      <c r="T191" s="12" t="n"/>
      <c r="U191" s="12" t="n"/>
      <c r="V191" s="12" t="n"/>
      <c r="W191" s="13" t="n"/>
      <c r="X191" s="14">
        <f>IF($AP191="",IF($B191="","",$H191),IF(INDEX(職員マスタ!$B$6:$B$405,$AP191)="",$H191,INDEX(職員マスタ!$B$6:$B$405,$AP191)))</f>
        <v/>
      </c>
      <c r="Y191" s="14">
        <f>IF($AP191="",IF($B191="","",$R191),IF(INDEX(職員マスタ!$C$6:$C$405,$AP191)="",$R191,INDEX(職員マスタ!$C$6:$C$405,$AP191)))</f>
        <v/>
      </c>
      <c r="Z191" s="14">
        <f>IF($AQ191="","","R"&amp;$C191&amp;"."&amp;$D191)</f>
        <v/>
      </c>
      <c r="AA191" s="15">
        <f>IF(IF($AP191="",FALSE,INDEX(職員マスタ!$K$6:$K$405,$AP191)&lt;&gt;""),INDEX(職員マスタ!$K$6:$K$405,$AP191),IF(N($W191)&gt;0,$W191,""))</f>
        <v/>
      </c>
      <c r="AB191" s="14">
        <f>IF(OR($E191="",$AA191=""),"",IF($E191&gt;=$AA191,"×",IF($E191&gt;=$AA191*設定!$C$5,"△","○")))</f>
        <v/>
      </c>
      <c r="AC191" s="15">
        <f>IF($AB191="","",IF($AB191="×",0,IF($AB191="○",ROUNDDOWN($E191*設定!$C$4,0),ROUNDDOWN($E191*ROUND((9*$AA191-9*$E191)/(10*$E191),4),0))))</f>
        <v/>
      </c>
      <c r="AD191" s="13" t="n"/>
      <c r="AE191" s="15">
        <f>IF($B191="","",IF($AD191&lt;&gt;"",$AD191,IF($AC191="","",IF($AC191&lt;=設定!$C$3,0,$AC191))))</f>
        <v/>
      </c>
      <c r="AF191" s="14">
        <f>IF($B191="","",IF(AND($AG191&lt;&gt;"",$AI191="",$AL191=""),"保留中",IF($AL191&lt;&gt;"",IF(N($AE191)&gt;0,"支給済","不支給"),IF($AE191="","要確認",IF($AE191=0,"不支給","未処理")))))</f>
        <v/>
      </c>
      <c r="AG191" s="12" t="n"/>
      <c r="AH191" s="11" t="n"/>
      <c r="AI191" s="11" t="n"/>
      <c r="AJ191" s="11" t="n"/>
      <c r="AK191" s="14">
        <f>IF(AND($AF191="保留中",$AH191&lt;&gt;""),TODAY()-$AH191,"")</f>
        <v/>
      </c>
      <c r="AL191" s="12" t="inlineStr">
        <is>
          <t>R8.3</t>
        </is>
      </c>
      <c r="AM191" s="14">
        <f>IF($B191="","",IF($AQ191="","対象年月が未入力／","")&amp;IF($B191="","",IF($AP191="","職員マスタに未登録の職員番号／",IF($AA191="","標準報酬月額が未登録／","")&amp;IF(AND($AQ191&lt;&gt;"",OR(AND(INDEX(職員マスタ!$G$6:$G$405,$AP191)&lt;&gt;"",INDEX(職員マスタ!$G$6:$G$405,$AP191)&gt;EOMONTH($AQ191,0)),AND(INDEX(職員マスタ!$H$6:$H$405,$AP191)&lt;&gt;"",INDEX(職員マスタ!$H$6:$H$405,$AP191)&lt;$AQ191))),"対象月が時短期間外／","")&amp;IF(AND(INDEX(職員マスタ!$K$6:$K$405,$AP191)&lt;&gt;"",N($W191)&gt;0,INDEX(職員マスタ!$K$6:$K$405,$AP191)&lt;&gt;$W191),"標準報酬月額が申請書と相違（台帳"&amp;TEXT(INDEX(職員マスタ!$K$6:$K$405,$AP191),"#,##0")&amp;"円／申請書"&amp;TEXT($W191,"#,##0")&amp;"円）／","")&amp;IF(AND(INDEX(職員マスタ!$F$6:$F$405,$AP191)&lt;&gt;"",$AQ191&lt;&gt;"",INDEX(職員マスタ!$F$6:$F$405,$AP191)&lt;$AQ191),"対象月に子が2歳到達済／","")&amp;IF(AND($H191&lt;&gt;"",INDEX(職員マスタ!$B$6:$B$405,$AP191)&lt;&gt;"",SUBSTITUTE(SUBSTITUTE($H191," ","")," ","")&lt;&gt;SUBSTITUTE(SUBSTITUTE(INDEX(職員マスタ!$B$6:$B$405,$AP191)," ","")," ","")),"氏名がマスタと相違／","")&amp;IF(AND($Q191&lt;&gt;"",INDEX(職員マスタ!$E$6:$E$405,$AP191)&lt;&gt;"",$Q191&lt;&gt;INDEX(職員マスタ!$E$6:$E$405,$AP191)),"子の生年月日がマスタと相違／","")&amp;IF(AND($L191&lt;&gt;"",INDEX(職員マスタ!$G$6:$G$405,$AP191)&lt;&gt;"",$L191&lt;&gt;INDEX(職員マスタ!$G$6:$G$405,$AP191)),"時短開始日がマスタと相違／","")&amp;IF(AND($M191&lt;&gt;"",INDEX(職員マスタ!$H$6:$H$405,$AP191)&lt;&gt;"",$M191&lt;&gt;INDEX(職員マスタ!$H$6:$H$405,$AP191)),"時短終了日がマスタと相違／","")))&amp;IF(AND($B191&lt;&gt;"",$E191=""),"報酬額が未入力／","")&amp;IF(N($U191)&gt;0,"申請書に入力エラーが残っています／","")&amp;IF(AND($B191&lt;&gt;"",$AQ191&lt;&gt;""),IF(COUNTIFS($B$6:$B$3005,$B191,$C$6:$C$3005,$C191,$D$6:$D$3005,$D191)&gt;1,"同じ月の請求が重複しています／",""),"")&amp;IF(AND(N($E191)&gt;0,$AB191&lt;&gt;"",$AB191&lt;&gt;"×",$AE191=0,$AD191=""),"計算額が下限以下のため不支給／",""))</f>
        <v/>
      </c>
      <c r="AN191" s="12" t="n"/>
      <c r="AO191" s="14">
        <f>IF($AF191="保留中",COUNTIF($AF$6:$AF191,"保留中"),"")</f>
        <v/>
      </c>
      <c r="AP191" s="14">
        <f>IF($AQ191="","",IF(SUMPRODUCT(MAX((職員マスタ!$A$6:$A$405=$B191)*(((職員マスタ!$G$6:$G$405="")+(職員マスタ!$G$6:$G$405&lt;=EOMONTH($AQ191,0)))&gt;0)*(((職員マスタ!$H$6:$H$405="")+(職員マスタ!$H$6:$H$405&gt;=$AQ191))&gt;0)*(ROW(職員マスタ!$A$6:$A$405)-5)))&gt;0,SUMPRODUCT(MAX((職員マスタ!$A$6:$A$405=$B191)*(((職員マスタ!$G$6:$G$405="")+(職員マスタ!$G$6:$G$405&lt;=EOMONTH($AQ191,0)))&gt;0)*(((職員マスタ!$H$6:$H$405="")+(職員マスタ!$H$6:$H$405&gt;=$AQ191))&gt;0)*(ROW(職員マスタ!$A$6:$A$405)-5))),IFERROR(MATCH($B191,職員マスタ!$A$6:$A$405,0),"")))</f>
        <v/>
      </c>
      <c r="AQ191" s="16">
        <f>IF(OR($B191="",$C191="",$D191=""),"",DATE($C191+2018,$D191,1))</f>
        <v/>
      </c>
    </row>
    <row r="192">
      <c r="A192" s="11" t="n"/>
      <c r="B192" s="12" t="n">
        <v>6402952</v>
      </c>
      <c r="C192" s="12" t="n">
        <v>8</v>
      </c>
      <c r="D192" s="12" t="n">
        <v>2</v>
      </c>
      <c r="E192" s="13" t="n">
        <v>204458</v>
      </c>
      <c r="F192" s="12" t="n"/>
      <c r="G192" s="13" t="n"/>
      <c r="H192" s="12" t="n"/>
      <c r="I192" s="12" t="n"/>
      <c r="J192" s="12" t="n"/>
      <c r="K192" s="12" t="n"/>
      <c r="L192" s="11" t="n"/>
      <c r="M192" s="11" t="n"/>
      <c r="N192" s="11" t="n"/>
      <c r="O192" s="11" t="n"/>
      <c r="P192" s="12" t="n"/>
      <c r="Q192" s="11" t="n"/>
      <c r="R192" s="12" t="n"/>
      <c r="S192" s="11" t="n"/>
      <c r="T192" s="12" t="n"/>
      <c r="U192" s="12" t="n"/>
      <c r="V192" s="12" t="n"/>
      <c r="W192" s="13" t="n"/>
      <c r="X192" s="14">
        <f>IF($AP192="",IF($B192="","",$H192),IF(INDEX(職員マスタ!$B$6:$B$405,$AP192)="",$H192,INDEX(職員マスタ!$B$6:$B$405,$AP192)))</f>
        <v/>
      </c>
      <c r="Y192" s="14">
        <f>IF($AP192="",IF($B192="","",$R192),IF(INDEX(職員マスタ!$C$6:$C$405,$AP192)="",$R192,INDEX(職員マスタ!$C$6:$C$405,$AP192)))</f>
        <v/>
      </c>
      <c r="Z192" s="14">
        <f>IF($AQ192="","","R"&amp;$C192&amp;"."&amp;$D192)</f>
        <v/>
      </c>
      <c r="AA192" s="15">
        <f>IF(IF($AP192="",FALSE,INDEX(職員マスタ!$K$6:$K$405,$AP192)&lt;&gt;""),INDEX(職員マスタ!$K$6:$K$405,$AP192),IF(N($W192)&gt;0,$W192,""))</f>
        <v/>
      </c>
      <c r="AB192" s="14">
        <f>IF(OR($E192="",$AA192=""),"",IF($E192&gt;=$AA192,"×",IF($E192&gt;=$AA192*設定!$C$5,"△","○")))</f>
        <v/>
      </c>
      <c r="AC192" s="15">
        <f>IF($AB192="","",IF($AB192="×",0,IF($AB192="○",ROUNDDOWN($E192*設定!$C$4,0),ROUNDDOWN($E192*ROUND((9*$AA192-9*$E192)/(10*$E192),4),0))))</f>
        <v/>
      </c>
      <c r="AD192" s="13" t="n"/>
      <c r="AE192" s="15">
        <f>IF($B192="","",IF($AD192&lt;&gt;"",$AD192,IF($AC192="","",IF($AC192&lt;=設定!$C$3,0,$AC192))))</f>
        <v/>
      </c>
      <c r="AF192" s="14">
        <f>IF($B192="","",IF(AND($AG192&lt;&gt;"",$AI192="",$AL192=""),"保留中",IF($AL192&lt;&gt;"",IF(N($AE192)&gt;0,"支給済","不支給"),IF($AE192="","要確認",IF($AE192=0,"不支給","未処理")))))</f>
        <v/>
      </c>
      <c r="AG192" s="12" t="n"/>
      <c r="AH192" s="11" t="n"/>
      <c r="AI192" s="11" t="n"/>
      <c r="AJ192" s="11" t="n"/>
      <c r="AK192" s="14">
        <f>IF(AND($AF192="保留中",$AH192&lt;&gt;""),TODAY()-$AH192,"")</f>
        <v/>
      </c>
      <c r="AL192" s="12" t="inlineStr">
        <is>
          <t>R8.4</t>
        </is>
      </c>
      <c r="AM192" s="14">
        <f>IF($B192="","",IF($AQ192="","対象年月が未入力／","")&amp;IF($B192="","",IF($AP192="","職員マスタに未登録の職員番号／",IF($AA192="","標準報酬月額が未登録／","")&amp;IF(AND($AQ192&lt;&gt;"",OR(AND(INDEX(職員マスタ!$G$6:$G$405,$AP192)&lt;&gt;"",INDEX(職員マスタ!$G$6:$G$405,$AP192)&gt;EOMONTH($AQ192,0)),AND(INDEX(職員マスタ!$H$6:$H$405,$AP192)&lt;&gt;"",INDEX(職員マスタ!$H$6:$H$405,$AP192)&lt;$AQ192))),"対象月が時短期間外／","")&amp;IF(AND(INDEX(職員マスタ!$K$6:$K$405,$AP192)&lt;&gt;"",N($W192)&gt;0,INDEX(職員マスタ!$K$6:$K$405,$AP192)&lt;&gt;$W192),"標準報酬月額が申請書と相違（台帳"&amp;TEXT(INDEX(職員マスタ!$K$6:$K$405,$AP192),"#,##0")&amp;"円／申請書"&amp;TEXT($W192,"#,##0")&amp;"円）／","")&amp;IF(AND(INDEX(職員マスタ!$F$6:$F$405,$AP192)&lt;&gt;"",$AQ192&lt;&gt;"",INDEX(職員マスタ!$F$6:$F$405,$AP192)&lt;$AQ192),"対象月に子が2歳到達済／","")&amp;IF(AND($H192&lt;&gt;"",INDEX(職員マスタ!$B$6:$B$405,$AP192)&lt;&gt;"",SUBSTITUTE(SUBSTITUTE($H192," ","")," ","")&lt;&gt;SUBSTITUTE(SUBSTITUTE(INDEX(職員マスタ!$B$6:$B$405,$AP192)," ","")," ","")),"氏名がマスタと相違／","")&amp;IF(AND($Q192&lt;&gt;"",INDEX(職員マスタ!$E$6:$E$405,$AP192)&lt;&gt;"",$Q192&lt;&gt;INDEX(職員マスタ!$E$6:$E$405,$AP192)),"子の生年月日がマスタと相違／","")&amp;IF(AND($L192&lt;&gt;"",INDEX(職員マスタ!$G$6:$G$405,$AP192)&lt;&gt;"",$L192&lt;&gt;INDEX(職員マスタ!$G$6:$G$405,$AP192)),"時短開始日がマスタと相違／","")&amp;IF(AND($M192&lt;&gt;"",INDEX(職員マスタ!$H$6:$H$405,$AP192)&lt;&gt;"",$M192&lt;&gt;INDEX(職員マスタ!$H$6:$H$405,$AP192)),"時短終了日がマスタと相違／","")))&amp;IF(AND($B192&lt;&gt;"",$E192=""),"報酬額が未入力／","")&amp;IF(N($U192)&gt;0,"申請書に入力エラーが残っています／","")&amp;IF(AND($B192&lt;&gt;"",$AQ192&lt;&gt;""),IF(COUNTIFS($B$6:$B$3005,$B192,$C$6:$C$3005,$C192,$D$6:$D$3005,$D192)&gt;1,"同じ月の請求が重複しています／",""),"")&amp;IF(AND(N($E192)&gt;0,$AB192&lt;&gt;"",$AB192&lt;&gt;"×",$AE192=0,$AD192=""),"計算額が下限以下のため不支給／",""))</f>
        <v/>
      </c>
      <c r="AN192" s="12" t="n"/>
      <c r="AO192" s="14">
        <f>IF($AF192="保留中",COUNTIF($AF$6:$AF192,"保留中"),"")</f>
        <v/>
      </c>
      <c r="AP192" s="14">
        <f>IF($AQ192="","",IF(SUMPRODUCT(MAX((職員マスタ!$A$6:$A$405=$B192)*(((職員マスタ!$G$6:$G$405="")+(職員マスタ!$G$6:$G$405&lt;=EOMONTH($AQ192,0)))&gt;0)*(((職員マスタ!$H$6:$H$405="")+(職員マスタ!$H$6:$H$405&gt;=$AQ192))&gt;0)*(ROW(職員マスタ!$A$6:$A$405)-5)))&gt;0,SUMPRODUCT(MAX((職員マスタ!$A$6:$A$405=$B192)*(((職員マスタ!$G$6:$G$405="")+(職員マスタ!$G$6:$G$405&lt;=EOMONTH($AQ192,0)))&gt;0)*(((職員マスタ!$H$6:$H$405="")+(職員マスタ!$H$6:$H$405&gt;=$AQ192))&gt;0)*(ROW(職員マスタ!$A$6:$A$405)-5))),IFERROR(MATCH($B192,職員マスタ!$A$6:$A$405,0),"")))</f>
        <v/>
      </c>
      <c r="AQ192" s="16">
        <f>IF(OR($B192="",$C192="",$D192=""),"",DATE($C192+2018,$D192,1))</f>
        <v/>
      </c>
    </row>
    <row r="193">
      <c r="A193" s="11" t="n"/>
      <c r="B193" s="12" t="n">
        <v>6402952</v>
      </c>
      <c r="C193" s="12" t="n">
        <v>8</v>
      </c>
      <c r="D193" s="12" t="n">
        <v>3</v>
      </c>
      <c r="E193" s="13" t="n">
        <v>200376</v>
      </c>
      <c r="F193" s="12" t="n"/>
      <c r="G193" s="13" t="n"/>
      <c r="H193" s="12" t="n"/>
      <c r="I193" s="12" t="n"/>
      <c r="J193" s="12" t="n"/>
      <c r="K193" s="12" t="n"/>
      <c r="L193" s="11" t="n"/>
      <c r="M193" s="11" t="n"/>
      <c r="N193" s="11" t="n"/>
      <c r="O193" s="11" t="n"/>
      <c r="P193" s="12" t="n"/>
      <c r="Q193" s="11" t="n"/>
      <c r="R193" s="12" t="n"/>
      <c r="S193" s="11" t="n"/>
      <c r="T193" s="12" t="n"/>
      <c r="U193" s="12" t="n"/>
      <c r="V193" s="12" t="n"/>
      <c r="W193" s="13" t="n"/>
      <c r="X193" s="14">
        <f>IF($AP193="",IF($B193="","",$H193),IF(INDEX(職員マスタ!$B$6:$B$405,$AP193)="",$H193,INDEX(職員マスタ!$B$6:$B$405,$AP193)))</f>
        <v/>
      </c>
      <c r="Y193" s="14">
        <f>IF($AP193="",IF($B193="","",$R193),IF(INDEX(職員マスタ!$C$6:$C$405,$AP193)="",$R193,INDEX(職員マスタ!$C$6:$C$405,$AP193)))</f>
        <v/>
      </c>
      <c r="Z193" s="14">
        <f>IF($AQ193="","","R"&amp;$C193&amp;"."&amp;$D193)</f>
        <v/>
      </c>
      <c r="AA193" s="15">
        <f>IF(IF($AP193="",FALSE,INDEX(職員マスタ!$K$6:$K$405,$AP193)&lt;&gt;""),INDEX(職員マスタ!$K$6:$K$405,$AP193),IF(N($W193)&gt;0,$W193,""))</f>
        <v/>
      </c>
      <c r="AB193" s="14">
        <f>IF(OR($E193="",$AA193=""),"",IF($E193&gt;=$AA193,"×",IF($E193&gt;=$AA193*設定!$C$5,"△","○")))</f>
        <v/>
      </c>
      <c r="AC193" s="15">
        <f>IF($AB193="","",IF($AB193="×",0,IF($AB193="○",ROUNDDOWN($E193*設定!$C$4,0),ROUNDDOWN($E193*ROUND((9*$AA193-9*$E193)/(10*$E193),4),0))))</f>
        <v/>
      </c>
      <c r="AD193" s="13" t="n"/>
      <c r="AE193" s="15">
        <f>IF($B193="","",IF($AD193&lt;&gt;"",$AD193,IF($AC193="","",IF($AC193&lt;=設定!$C$3,0,$AC193))))</f>
        <v/>
      </c>
      <c r="AF193" s="14">
        <f>IF($B193="","",IF(AND($AG193&lt;&gt;"",$AI193="",$AL193=""),"保留中",IF($AL193&lt;&gt;"",IF(N($AE193)&gt;0,"支給済","不支給"),IF($AE193="","要確認",IF($AE193=0,"不支給","未処理")))))</f>
        <v/>
      </c>
      <c r="AG193" s="12" t="n"/>
      <c r="AH193" s="11" t="n"/>
      <c r="AI193" s="11" t="n"/>
      <c r="AJ193" s="11" t="n"/>
      <c r="AK193" s="14">
        <f>IF(AND($AF193="保留中",$AH193&lt;&gt;""),TODAY()-$AH193,"")</f>
        <v/>
      </c>
      <c r="AL193" s="12" t="inlineStr">
        <is>
          <t>R8.10</t>
        </is>
      </c>
      <c r="AM193" s="14">
        <f>IF($B193="","",IF($AQ193="","対象年月が未入力／","")&amp;IF($B193="","",IF($AP193="","職員マスタに未登録の職員番号／",IF($AA193="","標準報酬月額が未登録／","")&amp;IF(AND($AQ193&lt;&gt;"",OR(AND(INDEX(職員マスタ!$G$6:$G$405,$AP193)&lt;&gt;"",INDEX(職員マスタ!$G$6:$G$405,$AP193)&gt;EOMONTH($AQ193,0)),AND(INDEX(職員マスタ!$H$6:$H$405,$AP193)&lt;&gt;"",INDEX(職員マスタ!$H$6:$H$405,$AP193)&lt;$AQ193))),"対象月が時短期間外／","")&amp;IF(AND(INDEX(職員マスタ!$K$6:$K$405,$AP193)&lt;&gt;"",N($W193)&gt;0,INDEX(職員マスタ!$K$6:$K$405,$AP193)&lt;&gt;$W193),"標準報酬月額が申請書と相違（台帳"&amp;TEXT(INDEX(職員マスタ!$K$6:$K$405,$AP193),"#,##0")&amp;"円／申請書"&amp;TEXT($W193,"#,##0")&amp;"円）／","")&amp;IF(AND(INDEX(職員マスタ!$F$6:$F$405,$AP193)&lt;&gt;"",$AQ193&lt;&gt;"",INDEX(職員マスタ!$F$6:$F$405,$AP193)&lt;$AQ193),"対象月に子が2歳到達済／","")&amp;IF(AND($H193&lt;&gt;"",INDEX(職員マスタ!$B$6:$B$405,$AP193)&lt;&gt;"",SUBSTITUTE(SUBSTITUTE($H193," ","")," ","")&lt;&gt;SUBSTITUTE(SUBSTITUTE(INDEX(職員マスタ!$B$6:$B$405,$AP193)," ","")," ","")),"氏名がマスタと相違／","")&amp;IF(AND($Q193&lt;&gt;"",INDEX(職員マスタ!$E$6:$E$405,$AP193)&lt;&gt;"",$Q193&lt;&gt;INDEX(職員マスタ!$E$6:$E$405,$AP193)),"子の生年月日がマスタと相違／","")&amp;IF(AND($L193&lt;&gt;"",INDEX(職員マスタ!$G$6:$G$405,$AP193)&lt;&gt;"",$L193&lt;&gt;INDEX(職員マスタ!$G$6:$G$405,$AP193)),"時短開始日がマスタと相違／","")&amp;IF(AND($M193&lt;&gt;"",INDEX(職員マスタ!$H$6:$H$405,$AP193)&lt;&gt;"",$M193&lt;&gt;INDEX(職員マスタ!$H$6:$H$405,$AP193)),"時短終了日がマスタと相違／","")))&amp;IF(AND($B193&lt;&gt;"",$E193=""),"報酬額が未入力／","")&amp;IF(N($U193)&gt;0,"申請書に入力エラーが残っています／","")&amp;IF(AND($B193&lt;&gt;"",$AQ193&lt;&gt;""),IF(COUNTIFS($B$6:$B$3005,$B193,$C$6:$C$3005,$C193,$D$6:$D$3005,$D193)&gt;1,"同じ月の請求が重複しています／",""),"")&amp;IF(AND(N($E193)&gt;0,$AB193&lt;&gt;"",$AB193&lt;&gt;"×",$AE193=0,$AD193=""),"計算額が下限以下のため不支給／",""))</f>
        <v/>
      </c>
      <c r="AN193" s="12" t="n"/>
      <c r="AO193" s="14">
        <f>IF($AF193="保留中",COUNTIF($AF$6:$AF193,"保留中"),"")</f>
        <v/>
      </c>
      <c r="AP193" s="14">
        <f>IF($AQ193="","",IF(SUMPRODUCT(MAX((職員マスタ!$A$6:$A$405=$B193)*(((職員マスタ!$G$6:$G$405="")+(職員マスタ!$G$6:$G$405&lt;=EOMONTH($AQ193,0)))&gt;0)*(((職員マスタ!$H$6:$H$405="")+(職員マスタ!$H$6:$H$405&gt;=$AQ193))&gt;0)*(ROW(職員マスタ!$A$6:$A$405)-5)))&gt;0,SUMPRODUCT(MAX((職員マスタ!$A$6:$A$405=$B193)*(((職員マスタ!$G$6:$G$405="")+(職員マスタ!$G$6:$G$405&lt;=EOMONTH($AQ193,0)))&gt;0)*(((職員マスタ!$H$6:$H$405="")+(職員マスタ!$H$6:$H$405&gt;=$AQ193))&gt;0)*(ROW(職員マスタ!$A$6:$A$405)-5))),IFERROR(MATCH($B193,職員マスタ!$A$6:$A$405,0),"")))</f>
        <v/>
      </c>
      <c r="AQ193" s="16">
        <f>IF(OR($B193="",$C193="",$D193=""),"",DATE($C193+2018,$D193,1))</f>
        <v/>
      </c>
    </row>
    <row r="194">
      <c r="A194" s="11" t="n"/>
      <c r="B194" s="12" t="n">
        <v>6403091</v>
      </c>
      <c r="C194" s="12" t="n">
        <v>7</v>
      </c>
      <c r="D194" s="12" t="n">
        <v>4</v>
      </c>
      <c r="E194" s="13" t="n">
        <v>106816</v>
      </c>
      <c r="F194" s="12" t="n"/>
      <c r="G194" s="13" t="n"/>
      <c r="H194" s="12" t="n"/>
      <c r="I194" s="12" t="n"/>
      <c r="J194" s="12" t="n"/>
      <c r="K194" s="12" t="n"/>
      <c r="L194" s="11" t="n"/>
      <c r="M194" s="11" t="n"/>
      <c r="N194" s="11" t="n"/>
      <c r="O194" s="11" t="n"/>
      <c r="P194" s="12" t="n"/>
      <c r="Q194" s="11" t="n"/>
      <c r="R194" s="12" t="n"/>
      <c r="S194" s="11" t="n"/>
      <c r="T194" s="12" t="n"/>
      <c r="U194" s="12" t="n"/>
      <c r="V194" s="12" t="n"/>
      <c r="W194" s="13" t="n"/>
      <c r="X194" s="14">
        <f>IF($AP194="",IF($B194="","",$H194),IF(INDEX(職員マスタ!$B$6:$B$405,$AP194)="",$H194,INDEX(職員マスタ!$B$6:$B$405,$AP194)))</f>
        <v/>
      </c>
      <c r="Y194" s="14">
        <f>IF($AP194="",IF($B194="","",$R194),IF(INDEX(職員マスタ!$C$6:$C$405,$AP194)="",$R194,INDEX(職員マスタ!$C$6:$C$405,$AP194)))</f>
        <v/>
      </c>
      <c r="Z194" s="14">
        <f>IF($AQ194="","","R"&amp;$C194&amp;"."&amp;$D194)</f>
        <v/>
      </c>
      <c r="AA194" s="15">
        <f>IF(IF($AP194="",FALSE,INDEX(職員マスタ!$K$6:$K$405,$AP194)&lt;&gt;""),INDEX(職員マスタ!$K$6:$K$405,$AP194),IF(N($W194)&gt;0,$W194,""))</f>
        <v/>
      </c>
      <c r="AB194" s="14">
        <f>IF(OR($E194="",$AA194=""),"",IF($E194&gt;=$AA194,"×",IF($E194&gt;=$AA194*設定!$C$5,"△","○")))</f>
        <v/>
      </c>
      <c r="AC194" s="15">
        <f>IF($AB194="","",IF($AB194="×",0,IF($AB194="○",ROUNDDOWN($E194*設定!$C$4,0),ROUNDDOWN($E194*ROUND((9*$AA194-9*$E194)/(10*$E194),4),0))))</f>
        <v/>
      </c>
      <c r="AD194" s="13" t="n"/>
      <c r="AE194" s="15">
        <f>IF($B194="","",IF($AD194&lt;&gt;"",$AD194,IF($AC194="","",IF($AC194&lt;=設定!$C$3,0,$AC194))))</f>
        <v/>
      </c>
      <c r="AF194" s="14">
        <f>IF($B194="","",IF(AND($AG194&lt;&gt;"",$AI194="",$AL194=""),"保留中",IF($AL194&lt;&gt;"",IF(N($AE194)&gt;0,"支給済","不支給"),IF($AE194="","要確認",IF($AE194=0,"不支給","未処理")))))</f>
        <v/>
      </c>
      <c r="AG194" s="12" t="n"/>
      <c r="AH194" s="11" t="n"/>
      <c r="AI194" s="11" t="n"/>
      <c r="AJ194" s="11" t="n"/>
      <c r="AK194" s="14">
        <f>IF(AND($AF194="保留中",$AH194&lt;&gt;""),TODAY()-$AH194,"")</f>
        <v/>
      </c>
      <c r="AL194" s="12" t="inlineStr">
        <is>
          <t>R7.8</t>
        </is>
      </c>
      <c r="AM194" s="14">
        <f>IF($B194="","",IF($AQ194="","対象年月が未入力／","")&amp;IF($B194="","",IF($AP194="","職員マスタに未登録の職員番号／",IF($AA194="","標準報酬月額が未登録／","")&amp;IF(AND($AQ194&lt;&gt;"",OR(AND(INDEX(職員マスタ!$G$6:$G$405,$AP194)&lt;&gt;"",INDEX(職員マスタ!$G$6:$G$405,$AP194)&gt;EOMONTH($AQ194,0)),AND(INDEX(職員マスタ!$H$6:$H$405,$AP194)&lt;&gt;"",INDEX(職員マスタ!$H$6:$H$405,$AP194)&lt;$AQ194))),"対象月が時短期間外／","")&amp;IF(AND(INDEX(職員マスタ!$K$6:$K$405,$AP194)&lt;&gt;"",N($W194)&gt;0,INDEX(職員マスタ!$K$6:$K$405,$AP194)&lt;&gt;$W194),"標準報酬月額が申請書と相違（台帳"&amp;TEXT(INDEX(職員マスタ!$K$6:$K$405,$AP194),"#,##0")&amp;"円／申請書"&amp;TEXT($W194,"#,##0")&amp;"円）／","")&amp;IF(AND(INDEX(職員マスタ!$F$6:$F$405,$AP194)&lt;&gt;"",$AQ194&lt;&gt;"",INDEX(職員マスタ!$F$6:$F$405,$AP194)&lt;$AQ194),"対象月に子が2歳到達済／","")&amp;IF(AND($H194&lt;&gt;"",INDEX(職員マスタ!$B$6:$B$405,$AP194)&lt;&gt;"",SUBSTITUTE(SUBSTITUTE($H194," ","")," ","")&lt;&gt;SUBSTITUTE(SUBSTITUTE(INDEX(職員マスタ!$B$6:$B$405,$AP194)," ","")," ","")),"氏名がマスタと相違／","")&amp;IF(AND($Q194&lt;&gt;"",INDEX(職員マスタ!$E$6:$E$405,$AP194)&lt;&gt;"",$Q194&lt;&gt;INDEX(職員マスタ!$E$6:$E$405,$AP194)),"子の生年月日がマスタと相違／","")&amp;IF(AND($L194&lt;&gt;"",INDEX(職員マスタ!$G$6:$G$405,$AP194)&lt;&gt;"",$L194&lt;&gt;INDEX(職員マスタ!$G$6:$G$405,$AP194)),"時短開始日がマスタと相違／","")&amp;IF(AND($M194&lt;&gt;"",INDEX(職員マスタ!$H$6:$H$405,$AP194)&lt;&gt;"",$M194&lt;&gt;INDEX(職員マスタ!$H$6:$H$405,$AP194)),"時短終了日がマスタと相違／","")))&amp;IF(AND($B194&lt;&gt;"",$E194=""),"報酬額が未入力／","")&amp;IF(N($U194)&gt;0,"申請書に入力エラーが残っています／","")&amp;IF(AND($B194&lt;&gt;"",$AQ194&lt;&gt;""),IF(COUNTIFS($B$6:$B$3005,$B194,$C$6:$C$3005,$C194,$D$6:$D$3005,$D194)&gt;1,"同じ月の請求が重複しています／",""),"")&amp;IF(AND(N($E194)&gt;0,$AB194&lt;&gt;"",$AB194&lt;&gt;"×",$AE194=0,$AD194=""),"計算額が下限以下のため不支給／",""))</f>
        <v/>
      </c>
      <c r="AN194" s="12" t="n"/>
      <c r="AO194" s="14">
        <f>IF($AF194="保留中",COUNTIF($AF$6:$AF194,"保留中"),"")</f>
        <v/>
      </c>
      <c r="AP194" s="14">
        <f>IF($AQ194="","",IF(SUMPRODUCT(MAX((職員マスタ!$A$6:$A$405=$B194)*(((職員マスタ!$G$6:$G$405="")+(職員マスタ!$G$6:$G$405&lt;=EOMONTH($AQ194,0)))&gt;0)*(((職員マスタ!$H$6:$H$405="")+(職員マスタ!$H$6:$H$405&gt;=$AQ194))&gt;0)*(ROW(職員マスタ!$A$6:$A$405)-5)))&gt;0,SUMPRODUCT(MAX((職員マスタ!$A$6:$A$405=$B194)*(((職員マスタ!$G$6:$G$405="")+(職員マスタ!$G$6:$G$405&lt;=EOMONTH($AQ194,0)))&gt;0)*(((職員マスタ!$H$6:$H$405="")+(職員マスタ!$H$6:$H$405&gt;=$AQ194))&gt;0)*(ROW(職員マスタ!$A$6:$A$405)-5))),IFERROR(MATCH($B194,職員マスタ!$A$6:$A$405,0),"")))</f>
        <v/>
      </c>
      <c r="AQ194" s="16">
        <f>IF(OR($B194="",$C194="",$D194=""),"",DATE($C194+2018,$D194,1))</f>
        <v/>
      </c>
    </row>
    <row r="195">
      <c r="A195" s="11" t="n"/>
      <c r="B195" s="12" t="n">
        <v>6403091</v>
      </c>
      <c r="C195" s="12" t="n">
        <v>7</v>
      </c>
      <c r="D195" s="12" t="n">
        <v>5</v>
      </c>
      <c r="E195" s="13" t="n">
        <v>202169</v>
      </c>
      <c r="F195" s="12" t="n"/>
      <c r="G195" s="13" t="n"/>
      <c r="H195" s="12" t="n"/>
      <c r="I195" s="12" t="n"/>
      <c r="J195" s="12" t="n"/>
      <c r="K195" s="12" t="n"/>
      <c r="L195" s="11" t="n"/>
      <c r="M195" s="11" t="n"/>
      <c r="N195" s="11" t="n"/>
      <c r="O195" s="11" t="n"/>
      <c r="P195" s="12" t="n"/>
      <c r="Q195" s="11" t="n"/>
      <c r="R195" s="12" t="n"/>
      <c r="S195" s="11" t="n"/>
      <c r="T195" s="12" t="n"/>
      <c r="U195" s="12" t="n"/>
      <c r="V195" s="12" t="n"/>
      <c r="W195" s="13" t="n"/>
      <c r="X195" s="14">
        <f>IF($AP195="",IF($B195="","",$H195),IF(INDEX(職員マスタ!$B$6:$B$405,$AP195)="",$H195,INDEX(職員マスタ!$B$6:$B$405,$AP195)))</f>
        <v/>
      </c>
      <c r="Y195" s="14">
        <f>IF($AP195="",IF($B195="","",$R195),IF(INDEX(職員マスタ!$C$6:$C$405,$AP195)="",$R195,INDEX(職員マスタ!$C$6:$C$405,$AP195)))</f>
        <v/>
      </c>
      <c r="Z195" s="14">
        <f>IF($AQ195="","","R"&amp;$C195&amp;"."&amp;$D195)</f>
        <v/>
      </c>
      <c r="AA195" s="15">
        <f>IF(IF($AP195="",FALSE,INDEX(職員マスタ!$K$6:$K$405,$AP195)&lt;&gt;""),INDEX(職員マスタ!$K$6:$K$405,$AP195),IF(N($W195)&gt;0,$W195,""))</f>
        <v/>
      </c>
      <c r="AB195" s="14">
        <f>IF(OR($E195="",$AA195=""),"",IF($E195&gt;=$AA195,"×",IF($E195&gt;=$AA195*設定!$C$5,"△","○")))</f>
        <v/>
      </c>
      <c r="AC195" s="15">
        <f>IF($AB195="","",IF($AB195="×",0,IF($AB195="○",ROUNDDOWN($E195*設定!$C$4,0),ROUNDDOWN($E195*ROUND((9*$AA195-9*$E195)/(10*$E195),4),0))))</f>
        <v/>
      </c>
      <c r="AD195" s="13" t="n"/>
      <c r="AE195" s="15">
        <f>IF($B195="","",IF($AD195&lt;&gt;"",$AD195,IF($AC195="","",IF($AC195&lt;=設定!$C$3,0,$AC195))))</f>
        <v/>
      </c>
      <c r="AF195" s="14">
        <f>IF($B195="","",IF(AND($AG195&lt;&gt;"",$AI195="",$AL195=""),"保留中",IF($AL195&lt;&gt;"",IF(N($AE195)&gt;0,"支給済","不支給"),IF($AE195="","要確認",IF($AE195=0,"不支給","未処理")))))</f>
        <v/>
      </c>
      <c r="AG195" s="12" t="n"/>
      <c r="AH195" s="11" t="n"/>
      <c r="AI195" s="11" t="n"/>
      <c r="AJ195" s="11" t="n"/>
      <c r="AK195" s="14">
        <f>IF(AND($AF195="保留中",$AH195&lt;&gt;""),TODAY()-$AH195,"")</f>
        <v/>
      </c>
      <c r="AL195" s="12" t="inlineStr">
        <is>
          <t>R7.8</t>
        </is>
      </c>
      <c r="AM195" s="14">
        <f>IF($B195="","",IF($AQ195="","対象年月が未入力／","")&amp;IF($B195="","",IF($AP195="","職員マスタに未登録の職員番号／",IF($AA195="","標準報酬月額が未登録／","")&amp;IF(AND($AQ195&lt;&gt;"",OR(AND(INDEX(職員マスタ!$G$6:$G$405,$AP195)&lt;&gt;"",INDEX(職員マスタ!$G$6:$G$405,$AP195)&gt;EOMONTH($AQ195,0)),AND(INDEX(職員マスタ!$H$6:$H$405,$AP195)&lt;&gt;"",INDEX(職員マスタ!$H$6:$H$405,$AP195)&lt;$AQ195))),"対象月が時短期間外／","")&amp;IF(AND(INDEX(職員マスタ!$K$6:$K$405,$AP195)&lt;&gt;"",N($W195)&gt;0,INDEX(職員マスタ!$K$6:$K$405,$AP195)&lt;&gt;$W195),"標準報酬月額が申請書と相違（台帳"&amp;TEXT(INDEX(職員マスタ!$K$6:$K$405,$AP195),"#,##0")&amp;"円／申請書"&amp;TEXT($W195,"#,##0")&amp;"円）／","")&amp;IF(AND(INDEX(職員マスタ!$F$6:$F$405,$AP195)&lt;&gt;"",$AQ195&lt;&gt;"",INDEX(職員マスタ!$F$6:$F$405,$AP195)&lt;$AQ195),"対象月に子が2歳到達済／","")&amp;IF(AND($H195&lt;&gt;"",INDEX(職員マスタ!$B$6:$B$405,$AP195)&lt;&gt;"",SUBSTITUTE(SUBSTITUTE($H195," ","")," ","")&lt;&gt;SUBSTITUTE(SUBSTITUTE(INDEX(職員マスタ!$B$6:$B$405,$AP195)," ","")," ","")),"氏名がマスタと相違／","")&amp;IF(AND($Q195&lt;&gt;"",INDEX(職員マスタ!$E$6:$E$405,$AP195)&lt;&gt;"",$Q195&lt;&gt;INDEX(職員マスタ!$E$6:$E$405,$AP195)),"子の生年月日がマスタと相違／","")&amp;IF(AND($L195&lt;&gt;"",INDEX(職員マスタ!$G$6:$G$405,$AP195)&lt;&gt;"",$L195&lt;&gt;INDEX(職員マスタ!$G$6:$G$405,$AP195)),"時短開始日がマスタと相違／","")&amp;IF(AND($M195&lt;&gt;"",INDEX(職員マスタ!$H$6:$H$405,$AP195)&lt;&gt;"",$M195&lt;&gt;INDEX(職員マスタ!$H$6:$H$405,$AP195)),"時短終了日がマスタと相違／","")))&amp;IF(AND($B195&lt;&gt;"",$E195=""),"報酬額が未入力／","")&amp;IF(N($U195)&gt;0,"申請書に入力エラーが残っています／","")&amp;IF(AND($B195&lt;&gt;"",$AQ195&lt;&gt;""),IF(COUNTIFS($B$6:$B$3005,$B195,$C$6:$C$3005,$C195,$D$6:$D$3005,$D195)&gt;1,"同じ月の請求が重複しています／",""),"")&amp;IF(AND(N($E195)&gt;0,$AB195&lt;&gt;"",$AB195&lt;&gt;"×",$AE195=0,$AD195=""),"計算額が下限以下のため不支給／",""))</f>
        <v/>
      </c>
      <c r="AN195" s="12" t="n"/>
      <c r="AO195" s="14">
        <f>IF($AF195="保留中",COUNTIF($AF$6:$AF195,"保留中"),"")</f>
        <v/>
      </c>
      <c r="AP195" s="14">
        <f>IF($AQ195="","",IF(SUMPRODUCT(MAX((職員マスタ!$A$6:$A$405=$B195)*(((職員マスタ!$G$6:$G$405="")+(職員マスタ!$G$6:$G$405&lt;=EOMONTH($AQ195,0)))&gt;0)*(((職員マスタ!$H$6:$H$405="")+(職員マスタ!$H$6:$H$405&gt;=$AQ195))&gt;0)*(ROW(職員マスタ!$A$6:$A$405)-5)))&gt;0,SUMPRODUCT(MAX((職員マスタ!$A$6:$A$405=$B195)*(((職員マスタ!$G$6:$G$405="")+(職員マスタ!$G$6:$G$405&lt;=EOMONTH($AQ195,0)))&gt;0)*(((職員マスタ!$H$6:$H$405="")+(職員マスタ!$H$6:$H$405&gt;=$AQ195))&gt;0)*(ROW(職員マスタ!$A$6:$A$405)-5))),IFERROR(MATCH($B195,職員マスタ!$A$6:$A$405,0),"")))</f>
        <v/>
      </c>
      <c r="AQ195" s="16">
        <f>IF(OR($B195="",$C195="",$D195=""),"",DATE($C195+2018,$D195,1))</f>
        <v/>
      </c>
    </row>
    <row r="196">
      <c r="A196" s="11" t="n"/>
      <c r="B196" s="12" t="n">
        <v>6403091</v>
      </c>
      <c r="C196" s="12" t="n">
        <v>7</v>
      </c>
      <c r="D196" s="12" t="n">
        <v>6</v>
      </c>
      <c r="E196" s="13" t="n">
        <v>200618</v>
      </c>
      <c r="F196" s="12" t="n"/>
      <c r="G196" s="13" t="n"/>
      <c r="H196" s="12" t="n"/>
      <c r="I196" s="12" t="n"/>
      <c r="J196" s="12" t="n"/>
      <c r="K196" s="12" t="n"/>
      <c r="L196" s="11" t="n"/>
      <c r="M196" s="11" t="n"/>
      <c r="N196" s="11" t="n"/>
      <c r="O196" s="11" t="n"/>
      <c r="P196" s="12" t="n"/>
      <c r="Q196" s="11" t="n"/>
      <c r="R196" s="12" t="n"/>
      <c r="S196" s="11" t="n"/>
      <c r="T196" s="12" t="n"/>
      <c r="U196" s="12" t="n"/>
      <c r="V196" s="12" t="n"/>
      <c r="W196" s="13" t="n"/>
      <c r="X196" s="14">
        <f>IF($AP196="",IF($B196="","",$H196),IF(INDEX(職員マスタ!$B$6:$B$405,$AP196)="",$H196,INDEX(職員マスタ!$B$6:$B$405,$AP196)))</f>
        <v/>
      </c>
      <c r="Y196" s="14">
        <f>IF($AP196="",IF($B196="","",$R196),IF(INDEX(職員マスタ!$C$6:$C$405,$AP196)="",$R196,INDEX(職員マスタ!$C$6:$C$405,$AP196)))</f>
        <v/>
      </c>
      <c r="Z196" s="14">
        <f>IF($AQ196="","","R"&amp;$C196&amp;"."&amp;$D196)</f>
        <v/>
      </c>
      <c r="AA196" s="15">
        <f>IF(IF($AP196="",FALSE,INDEX(職員マスタ!$K$6:$K$405,$AP196)&lt;&gt;""),INDEX(職員マスタ!$K$6:$K$405,$AP196),IF(N($W196)&gt;0,$W196,""))</f>
        <v/>
      </c>
      <c r="AB196" s="14">
        <f>IF(OR($E196="",$AA196=""),"",IF($E196&gt;=$AA196,"×",IF($E196&gt;=$AA196*設定!$C$5,"△","○")))</f>
        <v/>
      </c>
      <c r="AC196" s="15">
        <f>IF($AB196="","",IF($AB196="×",0,IF($AB196="○",ROUNDDOWN($E196*設定!$C$4,0),ROUNDDOWN($E196*ROUND((9*$AA196-9*$E196)/(10*$E196),4),0))))</f>
        <v/>
      </c>
      <c r="AD196" s="13" t="n"/>
      <c r="AE196" s="15">
        <f>IF($B196="","",IF($AD196&lt;&gt;"",$AD196,IF($AC196="","",IF($AC196&lt;=設定!$C$3,0,$AC196))))</f>
        <v/>
      </c>
      <c r="AF196" s="14">
        <f>IF($B196="","",IF(AND($AG196&lt;&gt;"",$AI196="",$AL196=""),"保留中",IF($AL196&lt;&gt;"",IF(N($AE196)&gt;0,"支給済","不支給"),IF($AE196="","要確認",IF($AE196=0,"不支給","未処理")))))</f>
        <v/>
      </c>
      <c r="AG196" s="12" t="n"/>
      <c r="AH196" s="11" t="n"/>
      <c r="AI196" s="11" t="n"/>
      <c r="AJ196" s="11" t="n"/>
      <c r="AK196" s="14">
        <f>IF(AND($AF196="保留中",$AH196&lt;&gt;""),TODAY()-$AH196,"")</f>
        <v/>
      </c>
      <c r="AL196" s="12" t="inlineStr">
        <is>
          <t>R7.8</t>
        </is>
      </c>
      <c r="AM196" s="14">
        <f>IF($B196="","",IF($AQ196="","対象年月が未入力／","")&amp;IF($B196="","",IF($AP196="","職員マスタに未登録の職員番号／",IF($AA196="","標準報酬月額が未登録／","")&amp;IF(AND($AQ196&lt;&gt;"",OR(AND(INDEX(職員マスタ!$G$6:$G$405,$AP196)&lt;&gt;"",INDEX(職員マスタ!$G$6:$G$405,$AP196)&gt;EOMONTH($AQ196,0)),AND(INDEX(職員マスタ!$H$6:$H$405,$AP196)&lt;&gt;"",INDEX(職員マスタ!$H$6:$H$405,$AP196)&lt;$AQ196))),"対象月が時短期間外／","")&amp;IF(AND(INDEX(職員マスタ!$K$6:$K$405,$AP196)&lt;&gt;"",N($W196)&gt;0,INDEX(職員マスタ!$K$6:$K$405,$AP196)&lt;&gt;$W196),"標準報酬月額が申請書と相違（台帳"&amp;TEXT(INDEX(職員マスタ!$K$6:$K$405,$AP196),"#,##0")&amp;"円／申請書"&amp;TEXT($W196,"#,##0")&amp;"円）／","")&amp;IF(AND(INDEX(職員マスタ!$F$6:$F$405,$AP196)&lt;&gt;"",$AQ196&lt;&gt;"",INDEX(職員マスタ!$F$6:$F$405,$AP196)&lt;$AQ196),"対象月に子が2歳到達済／","")&amp;IF(AND($H196&lt;&gt;"",INDEX(職員マスタ!$B$6:$B$405,$AP196)&lt;&gt;"",SUBSTITUTE(SUBSTITUTE($H196," ","")," ","")&lt;&gt;SUBSTITUTE(SUBSTITUTE(INDEX(職員マスタ!$B$6:$B$405,$AP196)," ","")," ","")),"氏名がマスタと相違／","")&amp;IF(AND($Q196&lt;&gt;"",INDEX(職員マスタ!$E$6:$E$405,$AP196)&lt;&gt;"",$Q196&lt;&gt;INDEX(職員マスタ!$E$6:$E$405,$AP196)),"子の生年月日がマスタと相違／","")&amp;IF(AND($L196&lt;&gt;"",INDEX(職員マスタ!$G$6:$G$405,$AP196)&lt;&gt;"",$L196&lt;&gt;INDEX(職員マスタ!$G$6:$G$405,$AP196)),"時短開始日がマスタと相違／","")&amp;IF(AND($M196&lt;&gt;"",INDEX(職員マスタ!$H$6:$H$405,$AP196)&lt;&gt;"",$M196&lt;&gt;INDEX(職員マスタ!$H$6:$H$405,$AP196)),"時短終了日がマスタと相違／","")))&amp;IF(AND($B196&lt;&gt;"",$E196=""),"報酬額が未入力／","")&amp;IF(N($U196)&gt;0,"申請書に入力エラーが残っています／","")&amp;IF(AND($B196&lt;&gt;"",$AQ196&lt;&gt;""),IF(COUNTIFS($B$6:$B$3005,$B196,$C$6:$C$3005,$C196,$D$6:$D$3005,$D196)&gt;1,"同じ月の請求が重複しています／",""),"")&amp;IF(AND(N($E196)&gt;0,$AB196&lt;&gt;"",$AB196&lt;&gt;"×",$AE196=0,$AD196=""),"計算額が下限以下のため不支給／",""))</f>
        <v/>
      </c>
      <c r="AN196" s="12" t="n"/>
      <c r="AO196" s="14">
        <f>IF($AF196="保留中",COUNTIF($AF$6:$AF196,"保留中"),"")</f>
        <v/>
      </c>
      <c r="AP196" s="14">
        <f>IF($AQ196="","",IF(SUMPRODUCT(MAX((職員マスタ!$A$6:$A$405=$B196)*(((職員マスタ!$G$6:$G$405="")+(職員マスタ!$G$6:$G$405&lt;=EOMONTH($AQ196,0)))&gt;0)*(((職員マスタ!$H$6:$H$405="")+(職員マスタ!$H$6:$H$405&gt;=$AQ196))&gt;0)*(ROW(職員マスタ!$A$6:$A$405)-5)))&gt;0,SUMPRODUCT(MAX((職員マスタ!$A$6:$A$405=$B196)*(((職員マスタ!$G$6:$G$405="")+(職員マスタ!$G$6:$G$405&lt;=EOMONTH($AQ196,0)))&gt;0)*(((職員マスタ!$H$6:$H$405="")+(職員マスタ!$H$6:$H$405&gt;=$AQ196))&gt;0)*(ROW(職員マスタ!$A$6:$A$405)-5))),IFERROR(MATCH($B196,職員マスタ!$A$6:$A$405,0),"")))</f>
        <v/>
      </c>
      <c r="AQ196" s="16">
        <f>IF(OR($B196="",$C196="",$D196=""),"",DATE($C196+2018,$D196,1))</f>
        <v/>
      </c>
    </row>
    <row r="197">
      <c r="A197" s="11" t="n"/>
      <c r="B197" s="12" t="n">
        <v>6403091</v>
      </c>
      <c r="C197" s="12" t="n">
        <v>7</v>
      </c>
      <c r="D197" s="12" t="n">
        <v>7</v>
      </c>
      <c r="E197" s="13" t="n">
        <v>200618</v>
      </c>
      <c r="F197" s="12" t="n"/>
      <c r="G197" s="13" t="n"/>
      <c r="H197" s="12" t="n"/>
      <c r="I197" s="12" t="n"/>
      <c r="J197" s="12" t="n"/>
      <c r="K197" s="12" t="n"/>
      <c r="L197" s="11" t="n"/>
      <c r="M197" s="11" t="n"/>
      <c r="N197" s="11" t="n"/>
      <c r="O197" s="11" t="n"/>
      <c r="P197" s="12" t="n"/>
      <c r="Q197" s="11" t="n"/>
      <c r="R197" s="12" t="n"/>
      <c r="S197" s="11" t="n"/>
      <c r="T197" s="12" t="n"/>
      <c r="U197" s="12" t="n"/>
      <c r="V197" s="12" t="n"/>
      <c r="W197" s="13" t="n"/>
      <c r="X197" s="14">
        <f>IF($AP197="",IF($B197="","",$H197),IF(INDEX(職員マスタ!$B$6:$B$405,$AP197)="",$H197,INDEX(職員マスタ!$B$6:$B$405,$AP197)))</f>
        <v/>
      </c>
      <c r="Y197" s="14">
        <f>IF($AP197="",IF($B197="","",$R197),IF(INDEX(職員マスタ!$C$6:$C$405,$AP197)="",$R197,INDEX(職員マスタ!$C$6:$C$405,$AP197)))</f>
        <v/>
      </c>
      <c r="Z197" s="14">
        <f>IF($AQ197="","","R"&amp;$C197&amp;"."&amp;$D197)</f>
        <v/>
      </c>
      <c r="AA197" s="15">
        <f>IF(IF($AP197="",FALSE,INDEX(職員マスタ!$K$6:$K$405,$AP197)&lt;&gt;""),INDEX(職員マスタ!$K$6:$K$405,$AP197),IF(N($W197)&gt;0,$W197,""))</f>
        <v/>
      </c>
      <c r="AB197" s="14">
        <f>IF(OR($E197="",$AA197=""),"",IF($E197&gt;=$AA197,"×",IF($E197&gt;=$AA197*設定!$C$5,"△","○")))</f>
        <v/>
      </c>
      <c r="AC197" s="15">
        <f>IF($AB197="","",IF($AB197="×",0,IF($AB197="○",ROUNDDOWN($E197*設定!$C$4,0),ROUNDDOWN($E197*ROUND((9*$AA197-9*$E197)/(10*$E197),4),0))))</f>
        <v/>
      </c>
      <c r="AD197" s="13" t="n"/>
      <c r="AE197" s="15">
        <f>IF($B197="","",IF($AD197&lt;&gt;"",$AD197,IF($AC197="","",IF($AC197&lt;=設定!$C$3,0,$AC197))))</f>
        <v/>
      </c>
      <c r="AF197" s="14">
        <f>IF($B197="","",IF(AND($AG197&lt;&gt;"",$AI197="",$AL197=""),"保留中",IF($AL197&lt;&gt;"",IF(N($AE197)&gt;0,"支給済","不支給"),IF($AE197="","要確認",IF($AE197=0,"不支給","未処理")))))</f>
        <v/>
      </c>
      <c r="AG197" s="12" t="n"/>
      <c r="AH197" s="11" t="n"/>
      <c r="AI197" s="11" t="n"/>
      <c r="AJ197" s="11" t="n"/>
      <c r="AK197" s="14">
        <f>IF(AND($AF197="保留中",$AH197&lt;&gt;""),TODAY()-$AH197,"")</f>
        <v/>
      </c>
      <c r="AL197" s="12" t="inlineStr">
        <is>
          <t>R7.9</t>
        </is>
      </c>
      <c r="AM197" s="14">
        <f>IF($B197="","",IF($AQ197="","対象年月が未入力／","")&amp;IF($B197="","",IF($AP197="","職員マスタに未登録の職員番号／",IF($AA197="","標準報酬月額が未登録／","")&amp;IF(AND($AQ197&lt;&gt;"",OR(AND(INDEX(職員マスタ!$G$6:$G$405,$AP197)&lt;&gt;"",INDEX(職員マスタ!$G$6:$G$405,$AP197)&gt;EOMONTH($AQ197,0)),AND(INDEX(職員マスタ!$H$6:$H$405,$AP197)&lt;&gt;"",INDEX(職員マスタ!$H$6:$H$405,$AP197)&lt;$AQ197))),"対象月が時短期間外／","")&amp;IF(AND(INDEX(職員マスタ!$K$6:$K$405,$AP197)&lt;&gt;"",N($W197)&gt;0,INDEX(職員マスタ!$K$6:$K$405,$AP197)&lt;&gt;$W197),"標準報酬月額が申請書と相違（台帳"&amp;TEXT(INDEX(職員マスタ!$K$6:$K$405,$AP197),"#,##0")&amp;"円／申請書"&amp;TEXT($W197,"#,##0")&amp;"円）／","")&amp;IF(AND(INDEX(職員マスタ!$F$6:$F$405,$AP197)&lt;&gt;"",$AQ197&lt;&gt;"",INDEX(職員マスタ!$F$6:$F$405,$AP197)&lt;$AQ197),"対象月に子が2歳到達済／","")&amp;IF(AND($H197&lt;&gt;"",INDEX(職員マスタ!$B$6:$B$405,$AP197)&lt;&gt;"",SUBSTITUTE(SUBSTITUTE($H197," ","")," ","")&lt;&gt;SUBSTITUTE(SUBSTITUTE(INDEX(職員マスタ!$B$6:$B$405,$AP197)," ","")," ","")),"氏名がマスタと相違／","")&amp;IF(AND($Q197&lt;&gt;"",INDEX(職員マスタ!$E$6:$E$405,$AP197)&lt;&gt;"",$Q197&lt;&gt;INDEX(職員マスタ!$E$6:$E$405,$AP197)),"子の生年月日がマスタと相違／","")&amp;IF(AND($L197&lt;&gt;"",INDEX(職員マスタ!$G$6:$G$405,$AP197)&lt;&gt;"",$L197&lt;&gt;INDEX(職員マスタ!$G$6:$G$405,$AP197)),"時短開始日がマスタと相違／","")&amp;IF(AND($M197&lt;&gt;"",INDEX(職員マスタ!$H$6:$H$405,$AP197)&lt;&gt;"",$M197&lt;&gt;INDEX(職員マスタ!$H$6:$H$405,$AP197)),"時短終了日がマスタと相違／","")))&amp;IF(AND($B197&lt;&gt;"",$E197=""),"報酬額が未入力／","")&amp;IF(N($U197)&gt;0,"申請書に入力エラーが残っています／","")&amp;IF(AND($B197&lt;&gt;"",$AQ197&lt;&gt;""),IF(COUNTIFS($B$6:$B$3005,$B197,$C$6:$C$3005,$C197,$D$6:$D$3005,$D197)&gt;1,"同じ月の請求が重複しています／",""),"")&amp;IF(AND(N($E197)&gt;0,$AB197&lt;&gt;"",$AB197&lt;&gt;"×",$AE197=0,$AD197=""),"計算額が下限以下のため不支給／",""))</f>
        <v/>
      </c>
      <c r="AN197" s="12" t="n"/>
      <c r="AO197" s="14">
        <f>IF($AF197="保留中",COUNTIF($AF$6:$AF197,"保留中"),"")</f>
        <v/>
      </c>
      <c r="AP197" s="14">
        <f>IF($AQ197="","",IF(SUMPRODUCT(MAX((職員マスタ!$A$6:$A$405=$B197)*(((職員マスタ!$G$6:$G$405="")+(職員マスタ!$G$6:$G$405&lt;=EOMONTH($AQ197,0)))&gt;0)*(((職員マスタ!$H$6:$H$405="")+(職員マスタ!$H$6:$H$405&gt;=$AQ197))&gt;0)*(ROW(職員マスタ!$A$6:$A$405)-5)))&gt;0,SUMPRODUCT(MAX((職員マスタ!$A$6:$A$405=$B197)*(((職員マスタ!$G$6:$G$405="")+(職員マスタ!$G$6:$G$405&lt;=EOMONTH($AQ197,0)))&gt;0)*(((職員マスタ!$H$6:$H$405="")+(職員マスタ!$H$6:$H$405&gt;=$AQ197))&gt;0)*(ROW(職員マスタ!$A$6:$A$405)-5))),IFERROR(MATCH($B197,職員マスタ!$A$6:$A$405,0),"")))</f>
        <v/>
      </c>
      <c r="AQ197" s="16">
        <f>IF(OR($B197="",$C197="",$D197=""),"",DATE($C197+2018,$D197,1))</f>
        <v/>
      </c>
    </row>
    <row r="198">
      <c r="A198" s="11" t="n"/>
      <c r="B198" s="12" t="n">
        <v>6403091</v>
      </c>
      <c r="C198" s="12" t="n">
        <v>7</v>
      </c>
      <c r="D198" s="12" t="n">
        <v>8</v>
      </c>
      <c r="E198" s="13" t="n">
        <v>192754</v>
      </c>
      <c r="F198" s="12" t="n"/>
      <c r="G198" s="13" t="n"/>
      <c r="H198" s="12" t="n"/>
      <c r="I198" s="12" t="n"/>
      <c r="J198" s="12" t="n"/>
      <c r="K198" s="12" t="n"/>
      <c r="L198" s="11" t="n"/>
      <c r="M198" s="11" t="n"/>
      <c r="N198" s="11" t="n"/>
      <c r="O198" s="11" t="n"/>
      <c r="P198" s="12" t="n"/>
      <c r="Q198" s="11" t="n"/>
      <c r="R198" s="12" t="n"/>
      <c r="S198" s="11" t="n"/>
      <c r="T198" s="12" t="n"/>
      <c r="U198" s="12" t="n"/>
      <c r="V198" s="12" t="n"/>
      <c r="W198" s="13" t="n"/>
      <c r="X198" s="14">
        <f>IF($AP198="",IF($B198="","",$H198),IF(INDEX(職員マスタ!$B$6:$B$405,$AP198)="",$H198,INDEX(職員マスタ!$B$6:$B$405,$AP198)))</f>
        <v/>
      </c>
      <c r="Y198" s="14">
        <f>IF($AP198="",IF($B198="","",$R198),IF(INDEX(職員マスタ!$C$6:$C$405,$AP198)="",$R198,INDEX(職員マスタ!$C$6:$C$405,$AP198)))</f>
        <v/>
      </c>
      <c r="Z198" s="14">
        <f>IF($AQ198="","","R"&amp;$C198&amp;"."&amp;$D198)</f>
        <v/>
      </c>
      <c r="AA198" s="15">
        <f>IF(IF($AP198="",FALSE,INDEX(職員マスタ!$K$6:$K$405,$AP198)&lt;&gt;""),INDEX(職員マスタ!$K$6:$K$405,$AP198),IF(N($W198)&gt;0,$W198,""))</f>
        <v/>
      </c>
      <c r="AB198" s="14">
        <f>IF(OR($E198="",$AA198=""),"",IF($E198&gt;=$AA198,"×",IF($E198&gt;=$AA198*設定!$C$5,"△","○")))</f>
        <v/>
      </c>
      <c r="AC198" s="15">
        <f>IF($AB198="","",IF($AB198="×",0,IF($AB198="○",ROUNDDOWN($E198*設定!$C$4,0),ROUNDDOWN($E198*ROUND((9*$AA198-9*$E198)/(10*$E198),4),0))))</f>
        <v/>
      </c>
      <c r="AD198" s="13" t="n"/>
      <c r="AE198" s="15">
        <f>IF($B198="","",IF($AD198&lt;&gt;"",$AD198,IF($AC198="","",IF($AC198&lt;=設定!$C$3,0,$AC198))))</f>
        <v/>
      </c>
      <c r="AF198" s="14">
        <f>IF($B198="","",IF(AND($AG198&lt;&gt;"",$AI198="",$AL198=""),"保留中",IF($AL198&lt;&gt;"",IF(N($AE198)&gt;0,"支給済","不支給"),IF($AE198="","要確認",IF($AE198=0,"不支給","未処理")))))</f>
        <v/>
      </c>
      <c r="AG198" s="12" t="n"/>
      <c r="AH198" s="11" t="n"/>
      <c r="AI198" s="11" t="n"/>
      <c r="AJ198" s="11" t="n"/>
      <c r="AK198" s="14">
        <f>IF(AND($AF198="保留中",$AH198&lt;&gt;""),TODAY()-$AH198,"")</f>
        <v/>
      </c>
      <c r="AL198" s="12" t="inlineStr">
        <is>
          <t>R7.10</t>
        </is>
      </c>
      <c r="AM198" s="14">
        <f>IF($B198="","",IF($AQ198="","対象年月が未入力／","")&amp;IF($B198="","",IF($AP198="","職員マスタに未登録の職員番号／",IF($AA198="","標準報酬月額が未登録／","")&amp;IF(AND($AQ198&lt;&gt;"",OR(AND(INDEX(職員マスタ!$G$6:$G$405,$AP198)&lt;&gt;"",INDEX(職員マスタ!$G$6:$G$405,$AP198)&gt;EOMONTH($AQ198,0)),AND(INDEX(職員マスタ!$H$6:$H$405,$AP198)&lt;&gt;"",INDEX(職員マスタ!$H$6:$H$405,$AP198)&lt;$AQ198))),"対象月が時短期間外／","")&amp;IF(AND(INDEX(職員マスタ!$K$6:$K$405,$AP198)&lt;&gt;"",N($W198)&gt;0,INDEX(職員マスタ!$K$6:$K$405,$AP198)&lt;&gt;$W198),"標準報酬月額が申請書と相違（台帳"&amp;TEXT(INDEX(職員マスタ!$K$6:$K$405,$AP198),"#,##0")&amp;"円／申請書"&amp;TEXT($W198,"#,##0")&amp;"円）／","")&amp;IF(AND(INDEX(職員マスタ!$F$6:$F$405,$AP198)&lt;&gt;"",$AQ198&lt;&gt;"",INDEX(職員マスタ!$F$6:$F$405,$AP198)&lt;$AQ198),"対象月に子が2歳到達済／","")&amp;IF(AND($H198&lt;&gt;"",INDEX(職員マスタ!$B$6:$B$405,$AP198)&lt;&gt;"",SUBSTITUTE(SUBSTITUTE($H198," ","")," ","")&lt;&gt;SUBSTITUTE(SUBSTITUTE(INDEX(職員マスタ!$B$6:$B$405,$AP198)," ","")," ","")),"氏名がマスタと相違／","")&amp;IF(AND($Q198&lt;&gt;"",INDEX(職員マスタ!$E$6:$E$405,$AP198)&lt;&gt;"",$Q198&lt;&gt;INDEX(職員マスタ!$E$6:$E$405,$AP198)),"子の生年月日がマスタと相違／","")&amp;IF(AND($L198&lt;&gt;"",INDEX(職員マスタ!$G$6:$G$405,$AP198)&lt;&gt;"",$L198&lt;&gt;INDEX(職員マスタ!$G$6:$G$405,$AP198)),"時短開始日がマスタと相違／","")&amp;IF(AND($M198&lt;&gt;"",INDEX(職員マスタ!$H$6:$H$405,$AP198)&lt;&gt;"",$M198&lt;&gt;INDEX(職員マスタ!$H$6:$H$405,$AP198)),"時短終了日がマスタと相違／","")))&amp;IF(AND($B198&lt;&gt;"",$E198=""),"報酬額が未入力／","")&amp;IF(N($U198)&gt;0,"申請書に入力エラーが残っています／","")&amp;IF(AND($B198&lt;&gt;"",$AQ198&lt;&gt;""),IF(COUNTIFS($B$6:$B$3005,$B198,$C$6:$C$3005,$C198,$D$6:$D$3005,$D198)&gt;1,"同じ月の請求が重複しています／",""),"")&amp;IF(AND(N($E198)&gt;0,$AB198&lt;&gt;"",$AB198&lt;&gt;"×",$AE198=0,$AD198=""),"計算額が下限以下のため不支給／",""))</f>
        <v/>
      </c>
      <c r="AN198" s="12" t="n"/>
      <c r="AO198" s="14">
        <f>IF($AF198="保留中",COUNTIF($AF$6:$AF198,"保留中"),"")</f>
        <v/>
      </c>
      <c r="AP198" s="14">
        <f>IF($AQ198="","",IF(SUMPRODUCT(MAX((職員マスタ!$A$6:$A$405=$B198)*(((職員マスタ!$G$6:$G$405="")+(職員マスタ!$G$6:$G$405&lt;=EOMONTH($AQ198,0)))&gt;0)*(((職員マスタ!$H$6:$H$405="")+(職員マスタ!$H$6:$H$405&gt;=$AQ198))&gt;0)*(ROW(職員マスタ!$A$6:$A$405)-5)))&gt;0,SUMPRODUCT(MAX((職員マスタ!$A$6:$A$405=$B198)*(((職員マスタ!$G$6:$G$405="")+(職員マスタ!$G$6:$G$405&lt;=EOMONTH($AQ198,0)))&gt;0)*(((職員マスタ!$H$6:$H$405="")+(職員マスタ!$H$6:$H$405&gt;=$AQ198))&gt;0)*(ROW(職員マスタ!$A$6:$A$405)-5))),IFERROR(MATCH($B198,職員マスタ!$A$6:$A$405,0),"")))</f>
        <v/>
      </c>
      <c r="AQ198" s="16">
        <f>IF(OR($B198="",$C198="",$D198=""),"",DATE($C198+2018,$D198,1))</f>
        <v/>
      </c>
    </row>
    <row r="199">
      <c r="A199" s="11" t="n"/>
      <c r="B199" s="12" t="n">
        <v>6403091</v>
      </c>
      <c r="C199" s="12" t="n">
        <v>7</v>
      </c>
      <c r="D199" s="12" t="n">
        <v>9</v>
      </c>
      <c r="E199" s="13" t="n">
        <v>196688</v>
      </c>
      <c r="F199" s="12" t="n"/>
      <c r="G199" s="13" t="n"/>
      <c r="H199" s="12" t="n"/>
      <c r="I199" s="12" t="n"/>
      <c r="J199" s="12" t="n"/>
      <c r="K199" s="12" t="n"/>
      <c r="L199" s="11" t="n"/>
      <c r="M199" s="11" t="n"/>
      <c r="N199" s="11" t="n"/>
      <c r="O199" s="11" t="n"/>
      <c r="P199" s="12" t="n"/>
      <c r="Q199" s="11" t="n"/>
      <c r="R199" s="12" t="n"/>
      <c r="S199" s="11" t="n"/>
      <c r="T199" s="12" t="n"/>
      <c r="U199" s="12" t="n"/>
      <c r="V199" s="12" t="n"/>
      <c r="W199" s="13" t="n"/>
      <c r="X199" s="14">
        <f>IF($AP199="",IF($B199="","",$H199),IF(INDEX(職員マスタ!$B$6:$B$405,$AP199)="",$H199,INDEX(職員マスタ!$B$6:$B$405,$AP199)))</f>
        <v/>
      </c>
      <c r="Y199" s="14">
        <f>IF($AP199="",IF($B199="","",$R199),IF(INDEX(職員マスタ!$C$6:$C$405,$AP199)="",$R199,INDEX(職員マスタ!$C$6:$C$405,$AP199)))</f>
        <v/>
      </c>
      <c r="Z199" s="14">
        <f>IF($AQ199="","","R"&amp;$C199&amp;"."&amp;$D199)</f>
        <v/>
      </c>
      <c r="AA199" s="15">
        <f>IF(IF($AP199="",FALSE,INDEX(職員マスタ!$K$6:$K$405,$AP199)&lt;&gt;""),INDEX(職員マスタ!$K$6:$K$405,$AP199),IF(N($W199)&gt;0,$W199,""))</f>
        <v/>
      </c>
      <c r="AB199" s="14">
        <f>IF(OR($E199="",$AA199=""),"",IF($E199&gt;=$AA199,"×",IF($E199&gt;=$AA199*設定!$C$5,"△","○")))</f>
        <v/>
      </c>
      <c r="AC199" s="15">
        <f>IF($AB199="","",IF($AB199="×",0,IF($AB199="○",ROUNDDOWN($E199*設定!$C$4,0),ROUNDDOWN($E199*ROUND((9*$AA199-9*$E199)/(10*$E199),4),0))))</f>
        <v/>
      </c>
      <c r="AD199" s="13" t="n"/>
      <c r="AE199" s="15">
        <f>IF($B199="","",IF($AD199&lt;&gt;"",$AD199,IF($AC199="","",IF($AC199&lt;=設定!$C$3,0,$AC199))))</f>
        <v/>
      </c>
      <c r="AF199" s="14">
        <f>IF($B199="","",IF(AND($AG199&lt;&gt;"",$AI199="",$AL199=""),"保留中",IF($AL199&lt;&gt;"",IF(N($AE199)&gt;0,"支給済","不支給"),IF($AE199="","要確認",IF($AE199=0,"不支給","未処理")))))</f>
        <v/>
      </c>
      <c r="AG199" s="12" t="n"/>
      <c r="AH199" s="11" t="n"/>
      <c r="AI199" s="11" t="n"/>
      <c r="AJ199" s="11" t="n"/>
      <c r="AK199" s="14">
        <f>IF(AND($AF199="保留中",$AH199&lt;&gt;""),TODAY()-$AH199,"")</f>
        <v/>
      </c>
      <c r="AL199" s="12" t="inlineStr">
        <is>
          <t>R7.12</t>
        </is>
      </c>
      <c r="AM199" s="14">
        <f>IF($B199="","",IF($AQ199="","対象年月が未入力／","")&amp;IF($B199="","",IF($AP199="","職員マスタに未登録の職員番号／",IF($AA199="","標準報酬月額が未登録／","")&amp;IF(AND($AQ199&lt;&gt;"",OR(AND(INDEX(職員マスタ!$G$6:$G$405,$AP199)&lt;&gt;"",INDEX(職員マスタ!$G$6:$G$405,$AP199)&gt;EOMONTH($AQ199,0)),AND(INDEX(職員マスタ!$H$6:$H$405,$AP199)&lt;&gt;"",INDEX(職員マスタ!$H$6:$H$405,$AP199)&lt;$AQ199))),"対象月が時短期間外／","")&amp;IF(AND(INDEX(職員マスタ!$K$6:$K$405,$AP199)&lt;&gt;"",N($W199)&gt;0,INDEX(職員マスタ!$K$6:$K$405,$AP199)&lt;&gt;$W199),"標準報酬月額が申請書と相違（台帳"&amp;TEXT(INDEX(職員マスタ!$K$6:$K$405,$AP199),"#,##0")&amp;"円／申請書"&amp;TEXT($W199,"#,##0")&amp;"円）／","")&amp;IF(AND(INDEX(職員マスタ!$F$6:$F$405,$AP199)&lt;&gt;"",$AQ199&lt;&gt;"",INDEX(職員マスタ!$F$6:$F$405,$AP199)&lt;$AQ199),"対象月に子が2歳到達済／","")&amp;IF(AND($H199&lt;&gt;"",INDEX(職員マスタ!$B$6:$B$405,$AP199)&lt;&gt;"",SUBSTITUTE(SUBSTITUTE($H199," ","")," ","")&lt;&gt;SUBSTITUTE(SUBSTITUTE(INDEX(職員マスタ!$B$6:$B$405,$AP199)," ","")," ","")),"氏名がマスタと相違／","")&amp;IF(AND($Q199&lt;&gt;"",INDEX(職員マスタ!$E$6:$E$405,$AP199)&lt;&gt;"",$Q199&lt;&gt;INDEX(職員マスタ!$E$6:$E$405,$AP199)),"子の生年月日がマスタと相違／","")&amp;IF(AND($L199&lt;&gt;"",INDEX(職員マスタ!$G$6:$G$405,$AP199)&lt;&gt;"",$L199&lt;&gt;INDEX(職員マスタ!$G$6:$G$405,$AP199)),"時短開始日がマスタと相違／","")&amp;IF(AND($M199&lt;&gt;"",INDEX(職員マスタ!$H$6:$H$405,$AP199)&lt;&gt;"",$M199&lt;&gt;INDEX(職員マスタ!$H$6:$H$405,$AP199)),"時短終了日がマスタと相違／","")))&amp;IF(AND($B199&lt;&gt;"",$E199=""),"報酬額が未入力／","")&amp;IF(N($U199)&gt;0,"申請書に入力エラーが残っています／","")&amp;IF(AND($B199&lt;&gt;"",$AQ199&lt;&gt;""),IF(COUNTIFS($B$6:$B$3005,$B199,$C$6:$C$3005,$C199,$D$6:$D$3005,$D199)&gt;1,"同じ月の請求が重複しています／",""),"")&amp;IF(AND(N($E199)&gt;0,$AB199&lt;&gt;"",$AB199&lt;&gt;"×",$AE199=0,$AD199=""),"計算額が下限以下のため不支給／",""))</f>
        <v/>
      </c>
      <c r="AN199" s="12" t="n"/>
      <c r="AO199" s="14">
        <f>IF($AF199="保留中",COUNTIF($AF$6:$AF199,"保留中"),"")</f>
        <v/>
      </c>
      <c r="AP199" s="14">
        <f>IF($AQ199="","",IF(SUMPRODUCT(MAX((職員マスタ!$A$6:$A$405=$B199)*(((職員マスタ!$G$6:$G$405="")+(職員マスタ!$G$6:$G$405&lt;=EOMONTH($AQ199,0)))&gt;0)*(((職員マスタ!$H$6:$H$405="")+(職員マスタ!$H$6:$H$405&gt;=$AQ199))&gt;0)*(ROW(職員マスタ!$A$6:$A$405)-5)))&gt;0,SUMPRODUCT(MAX((職員マスタ!$A$6:$A$405=$B199)*(((職員マスタ!$G$6:$G$405="")+(職員マスタ!$G$6:$G$405&lt;=EOMONTH($AQ199,0)))&gt;0)*(((職員マスタ!$H$6:$H$405="")+(職員マスタ!$H$6:$H$405&gt;=$AQ199))&gt;0)*(ROW(職員マスタ!$A$6:$A$405)-5))),IFERROR(MATCH($B199,職員マスタ!$A$6:$A$405,0),"")))</f>
        <v/>
      </c>
      <c r="AQ199" s="16">
        <f>IF(OR($B199="",$C199="",$D199=""),"",DATE($C199+2018,$D199,1))</f>
        <v/>
      </c>
    </row>
    <row r="200">
      <c r="A200" s="11" t="n"/>
      <c r="B200" s="12" t="n">
        <v>6403091</v>
      </c>
      <c r="C200" s="12" t="n">
        <v>7</v>
      </c>
      <c r="D200" s="12" t="n">
        <v>10</v>
      </c>
      <c r="E200" s="13" t="n">
        <v>192754</v>
      </c>
      <c r="F200" s="12" t="n"/>
      <c r="G200" s="13" t="n"/>
      <c r="H200" s="12" t="n"/>
      <c r="I200" s="12" t="n"/>
      <c r="J200" s="12" t="n"/>
      <c r="K200" s="12" t="n"/>
      <c r="L200" s="11" t="n"/>
      <c r="M200" s="11" t="n"/>
      <c r="N200" s="11" t="n"/>
      <c r="O200" s="11" t="n"/>
      <c r="P200" s="12" t="n"/>
      <c r="Q200" s="11" t="n"/>
      <c r="R200" s="12" t="n"/>
      <c r="S200" s="11" t="n"/>
      <c r="T200" s="12" t="n"/>
      <c r="U200" s="12" t="n"/>
      <c r="V200" s="12" t="n"/>
      <c r="W200" s="13" t="n"/>
      <c r="X200" s="14">
        <f>IF($AP200="",IF($B200="","",$H200),IF(INDEX(職員マスタ!$B$6:$B$405,$AP200)="",$H200,INDEX(職員マスタ!$B$6:$B$405,$AP200)))</f>
        <v/>
      </c>
      <c r="Y200" s="14">
        <f>IF($AP200="",IF($B200="","",$R200),IF(INDEX(職員マスタ!$C$6:$C$405,$AP200)="",$R200,INDEX(職員マスタ!$C$6:$C$405,$AP200)))</f>
        <v/>
      </c>
      <c r="Z200" s="14">
        <f>IF($AQ200="","","R"&amp;$C200&amp;"."&amp;$D200)</f>
        <v/>
      </c>
      <c r="AA200" s="15">
        <f>IF(IF($AP200="",FALSE,INDEX(職員マスタ!$K$6:$K$405,$AP200)&lt;&gt;""),INDEX(職員マスタ!$K$6:$K$405,$AP200),IF(N($W200)&gt;0,$W200,""))</f>
        <v/>
      </c>
      <c r="AB200" s="14">
        <f>IF(OR($E200="",$AA200=""),"",IF($E200&gt;=$AA200,"×",IF($E200&gt;=$AA200*設定!$C$5,"△","○")))</f>
        <v/>
      </c>
      <c r="AC200" s="15">
        <f>IF($AB200="","",IF($AB200="×",0,IF($AB200="○",ROUNDDOWN($E200*設定!$C$4,0),ROUNDDOWN($E200*ROUND((9*$AA200-9*$E200)/(10*$E200),4),0))))</f>
        <v/>
      </c>
      <c r="AD200" s="13" t="n"/>
      <c r="AE200" s="15">
        <f>IF($B200="","",IF($AD200&lt;&gt;"",$AD200,IF($AC200="","",IF($AC200&lt;=設定!$C$3,0,$AC200))))</f>
        <v/>
      </c>
      <c r="AF200" s="14">
        <f>IF($B200="","",IF(AND($AG200&lt;&gt;"",$AI200="",$AL200=""),"保留中",IF($AL200&lt;&gt;"",IF(N($AE200)&gt;0,"支給済","不支給"),IF($AE200="","要確認",IF($AE200=0,"不支給","未処理")))))</f>
        <v/>
      </c>
      <c r="AG200" s="12" t="n"/>
      <c r="AH200" s="11" t="n"/>
      <c r="AI200" s="11" t="n"/>
      <c r="AJ200" s="11" t="n"/>
      <c r="AK200" s="14">
        <f>IF(AND($AF200="保留中",$AH200&lt;&gt;""),TODAY()-$AH200,"")</f>
        <v/>
      </c>
      <c r="AL200" s="12" t="inlineStr">
        <is>
          <t>R7.12</t>
        </is>
      </c>
      <c r="AM200" s="14">
        <f>IF($B200="","",IF($AQ200="","対象年月が未入力／","")&amp;IF($B200="","",IF($AP200="","職員マスタに未登録の職員番号／",IF($AA200="","標準報酬月額が未登録／","")&amp;IF(AND($AQ200&lt;&gt;"",OR(AND(INDEX(職員マスタ!$G$6:$G$405,$AP200)&lt;&gt;"",INDEX(職員マスタ!$G$6:$G$405,$AP200)&gt;EOMONTH($AQ200,0)),AND(INDEX(職員マスタ!$H$6:$H$405,$AP200)&lt;&gt;"",INDEX(職員マスタ!$H$6:$H$405,$AP200)&lt;$AQ200))),"対象月が時短期間外／","")&amp;IF(AND(INDEX(職員マスタ!$K$6:$K$405,$AP200)&lt;&gt;"",N($W200)&gt;0,INDEX(職員マスタ!$K$6:$K$405,$AP200)&lt;&gt;$W200),"標準報酬月額が申請書と相違（台帳"&amp;TEXT(INDEX(職員マスタ!$K$6:$K$405,$AP200),"#,##0")&amp;"円／申請書"&amp;TEXT($W200,"#,##0")&amp;"円）／","")&amp;IF(AND(INDEX(職員マスタ!$F$6:$F$405,$AP200)&lt;&gt;"",$AQ200&lt;&gt;"",INDEX(職員マスタ!$F$6:$F$405,$AP200)&lt;$AQ200),"対象月に子が2歳到達済／","")&amp;IF(AND($H200&lt;&gt;"",INDEX(職員マスタ!$B$6:$B$405,$AP200)&lt;&gt;"",SUBSTITUTE(SUBSTITUTE($H200," ","")," ","")&lt;&gt;SUBSTITUTE(SUBSTITUTE(INDEX(職員マスタ!$B$6:$B$405,$AP200)," ","")," ","")),"氏名がマスタと相違／","")&amp;IF(AND($Q200&lt;&gt;"",INDEX(職員マスタ!$E$6:$E$405,$AP200)&lt;&gt;"",$Q200&lt;&gt;INDEX(職員マスタ!$E$6:$E$405,$AP200)),"子の生年月日がマスタと相違／","")&amp;IF(AND($L200&lt;&gt;"",INDEX(職員マスタ!$G$6:$G$405,$AP200)&lt;&gt;"",$L200&lt;&gt;INDEX(職員マスタ!$G$6:$G$405,$AP200)),"時短開始日がマスタと相違／","")&amp;IF(AND($M200&lt;&gt;"",INDEX(職員マスタ!$H$6:$H$405,$AP200)&lt;&gt;"",$M200&lt;&gt;INDEX(職員マスタ!$H$6:$H$405,$AP200)),"時短終了日がマスタと相違／","")))&amp;IF(AND($B200&lt;&gt;"",$E200=""),"報酬額が未入力／","")&amp;IF(N($U200)&gt;0,"申請書に入力エラーが残っています／","")&amp;IF(AND($B200&lt;&gt;"",$AQ200&lt;&gt;""),IF(COUNTIFS($B$6:$B$3005,$B200,$C$6:$C$3005,$C200,$D$6:$D$3005,$D200)&gt;1,"同じ月の請求が重複しています／",""),"")&amp;IF(AND(N($E200)&gt;0,$AB200&lt;&gt;"",$AB200&lt;&gt;"×",$AE200=0,$AD200=""),"計算額が下限以下のため不支給／",""))</f>
        <v/>
      </c>
      <c r="AN200" s="12" t="n"/>
      <c r="AO200" s="14">
        <f>IF($AF200="保留中",COUNTIF($AF$6:$AF200,"保留中"),"")</f>
        <v/>
      </c>
      <c r="AP200" s="14">
        <f>IF($AQ200="","",IF(SUMPRODUCT(MAX((職員マスタ!$A$6:$A$405=$B200)*(((職員マスタ!$G$6:$G$405="")+(職員マスタ!$G$6:$G$405&lt;=EOMONTH($AQ200,0)))&gt;0)*(((職員マスタ!$H$6:$H$405="")+(職員マスタ!$H$6:$H$405&gt;=$AQ200))&gt;0)*(ROW(職員マスタ!$A$6:$A$405)-5)))&gt;0,SUMPRODUCT(MAX((職員マスタ!$A$6:$A$405=$B200)*(((職員マスタ!$G$6:$G$405="")+(職員マスタ!$G$6:$G$405&lt;=EOMONTH($AQ200,0)))&gt;0)*(((職員マスタ!$H$6:$H$405="")+(職員マスタ!$H$6:$H$405&gt;=$AQ200))&gt;0)*(ROW(職員マスタ!$A$6:$A$405)-5))),IFERROR(MATCH($B200,職員マスタ!$A$6:$A$405,0),"")))</f>
        <v/>
      </c>
      <c r="AQ200" s="16">
        <f>IF(OR($B200="",$C200="",$D200=""),"",DATE($C200+2018,$D200,1))</f>
        <v/>
      </c>
    </row>
    <row r="201">
      <c r="A201" s="11" t="n"/>
      <c r="B201" s="12" t="n">
        <v>6403091</v>
      </c>
      <c r="C201" s="12" t="n">
        <v>7</v>
      </c>
      <c r="D201" s="12" t="n">
        <v>11</v>
      </c>
      <c r="E201" s="13" t="n">
        <v>210448</v>
      </c>
      <c r="F201" s="12" t="n"/>
      <c r="G201" s="13" t="n"/>
      <c r="H201" s="12" t="n"/>
      <c r="I201" s="12" t="n"/>
      <c r="J201" s="12" t="n"/>
      <c r="K201" s="12" t="n"/>
      <c r="L201" s="11" t="n"/>
      <c r="M201" s="11" t="n"/>
      <c r="N201" s="11" t="n"/>
      <c r="O201" s="11" t="n"/>
      <c r="P201" s="12" t="n"/>
      <c r="Q201" s="11" t="n"/>
      <c r="R201" s="12" t="n"/>
      <c r="S201" s="11" t="n"/>
      <c r="T201" s="12" t="n"/>
      <c r="U201" s="12" t="n"/>
      <c r="V201" s="12" t="n"/>
      <c r="W201" s="13" t="n"/>
      <c r="X201" s="14">
        <f>IF($AP201="",IF($B201="","",$H201),IF(INDEX(職員マスタ!$B$6:$B$405,$AP201)="",$H201,INDEX(職員マスタ!$B$6:$B$405,$AP201)))</f>
        <v/>
      </c>
      <c r="Y201" s="14">
        <f>IF($AP201="",IF($B201="","",$R201),IF(INDEX(職員マスタ!$C$6:$C$405,$AP201)="",$R201,INDEX(職員マスタ!$C$6:$C$405,$AP201)))</f>
        <v/>
      </c>
      <c r="Z201" s="14">
        <f>IF($AQ201="","","R"&amp;$C201&amp;"."&amp;$D201)</f>
        <v/>
      </c>
      <c r="AA201" s="15">
        <f>IF(IF($AP201="",FALSE,INDEX(職員マスタ!$K$6:$K$405,$AP201)&lt;&gt;""),INDEX(職員マスタ!$K$6:$K$405,$AP201),IF(N($W201)&gt;0,$W201,""))</f>
        <v/>
      </c>
      <c r="AB201" s="14">
        <f>IF(OR($E201="",$AA201=""),"",IF($E201&gt;=$AA201,"×",IF($E201&gt;=$AA201*設定!$C$5,"△","○")))</f>
        <v/>
      </c>
      <c r="AC201" s="15">
        <f>IF($AB201="","",IF($AB201="×",0,IF($AB201="○",ROUNDDOWN($E201*設定!$C$4,0),ROUNDDOWN($E201*ROUND((9*$AA201-9*$E201)/(10*$E201),4),0))))</f>
        <v/>
      </c>
      <c r="AD201" s="13" t="n"/>
      <c r="AE201" s="15">
        <f>IF($B201="","",IF($AD201&lt;&gt;"",$AD201,IF($AC201="","",IF($AC201&lt;=設定!$C$3,0,$AC201))))</f>
        <v/>
      </c>
      <c r="AF201" s="14">
        <f>IF($B201="","",IF(AND($AG201&lt;&gt;"",$AI201="",$AL201=""),"保留中",IF($AL201&lt;&gt;"",IF(N($AE201)&gt;0,"支給済","不支給"),IF($AE201="","要確認",IF($AE201=0,"不支給","未処理")))))</f>
        <v/>
      </c>
      <c r="AG201" s="12" t="n"/>
      <c r="AH201" s="11" t="n"/>
      <c r="AI201" s="11" t="n"/>
      <c r="AJ201" s="11" t="n"/>
      <c r="AK201" s="14">
        <f>IF(AND($AF201="保留中",$AH201&lt;&gt;""),TODAY()-$AH201,"")</f>
        <v/>
      </c>
      <c r="AL201" s="12" t="inlineStr">
        <is>
          <t>R8.1</t>
        </is>
      </c>
      <c r="AM201" s="14">
        <f>IF($B201="","",IF($AQ201="","対象年月が未入力／","")&amp;IF($B201="","",IF($AP201="","職員マスタに未登録の職員番号／",IF($AA201="","標準報酬月額が未登録／","")&amp;IF(AND($AQ201&lt;&gt;"",OR(AND(INDEX(職員マスタ!$G$6:$G$405,$AP201)&lt;&gt;"",INDEX(職員マスタ!$G$6:$G$405,$AP201)&gt;EOMONTH($AQ201,0)),AND(INDEX(職員マスタ!$H$6:$H$405,$AP201)&lt;&gt;"",INDEX(職員マスタ!$H$6:$H$405,$AP201)&lt;$AQ201))),"対象月が時短期間外／","")&amp;IF(AND(INDEX(職員マスタ!$K$6:$K$405,$AP201)&lt;&gt;"",N($W201)&gt;0,INDEX(職員マスタ!$K$6:$K$405,$AP201)&lt;&gt;$W201),"標準報酬月額が申請書と相違（台帳"&amp;TEXT(INDEX(職員マスタ!$K$6:$K$405,$AP201),"#,##0")&amp;"円／申請書"&amp;TEXT($W201,"#,##0")&amp;"円）／","")&amp;IF(AND(INDEX(職員マスタ!$F$6:$F$405,$AP201)&lt;&gt;"",$AQ201&lt;&gt;"",INDEX(職員マスタ!$F$6:$F$405,$AP201)&lt;$AQ201),"対象月に子が2歳到達済／","")&amp;IF(AND($H201&lt;&gt;"",INDEX(職員マスタ!$B$6:$B$405,$AP201)&lt;&gt;"",SUBSTITUTE(SUBSTITUTE($H201," ","")," ","")&lt;&gt;SUBSTITUTE(SUBSTITUTE(INDEX(職員マスタ!$B$6:$B$405,$AP201)," ","")," ","")),"氏名がマスタと相違／","")&amp;IF(AND($Q201&lt;&gt;"",INDEX(職員マスタ!$E$6:$E$405,$AP201)&lt;&gt;"",$Q201&lt;&gt;INDEX(職員マスタ!$E$6:$E$405,$AP201)),"子の生年月日がマスタと相違／","")&amp;IF(AND($L201&lt;&gt;"",INDEX(職員マスタ!$G$6:$G$405,$AP201)&lt;&gt;"",$L201&lt;&gt;INDEX(職員マスタ!$G$6:$G$405,$AP201)),"時短開始日がマスタと相違／","")&amp;IF(AND($M201&lt;&gt;"",INDEX(職員マスタ!$H$6:$H$405,$AP201)&lt;&gt;"",$M201&lt;&gt;INDEX(職員マスタ!$H$6:$H$405,$AP201)),"時短終了日がマスタと相違／","")))&amp;IF(AND($B201&lt;&gt;"",$E201=""),"報酬額が未入力／","")&amp;IF(N($U201)&gt;0,"申請書に入力エラーが残っています／","")&amp;IF(AND($B201&lt;&gt;"",$AQ201&lt;&gt;""),IF(COUNTIFS($B$6:$B$3005,$B201,$C$6:$C$3005,$C201,$D$6:$D$3005,$D201)&gt;1,"同じ月の請求が重複しています／",""),"")&amp;IF(AND(N($E201)&gt;0,$AB201&lt;&gt;"",$AB201&lt;&gt;"×",$AE201=0,$AD201=""),"計算額が下限以下のため不支給／",""))</f>
        <v/>
      </c>
      <c r="AN201" s="12" t="n"/>
      <c r="AO201" s="14">
        <f>IF($AF201="保留中",COUNTIF($AF$6:$AF201,"保留中"),"")</f>
        <v/>
      </c>
      <c r="AP201" s="14">
        <f>IF($AQ201="","",IF(SUMPRODUCT(MAX((職員マスタ!$A$6:$A$405=$B201)*(((職員マスタ!$G$6:$G$405="")+(職員マスタ!$G$6:$G$405&lt;=EOMONTH($AQ201,0)))&gt;0)*(((職員マスタ!$H$6:$H$405="")+(職員マスタ!$H$6:$H$405&gt;=$AQ201))&gt;0)*(ROW(職員マスタ!$A$6:$A$405)-5)))&gt;0,SUMPRODUCT(MAX((職員マスタ!$A$6:$A$405=$B201)*(((職員マスタ!$G$6:$G$405="")+(職員マスタ!$G$6:$G$405&lt;=EOMONTH($AQ201,0)))&gt;0)*(((職員マスタ!$H$6:$H$405="")+(職員マスタ!$H$6:$H$405&gt;=$AQ201))&gt;0)*(ROW(職員マスタ!$A$6:$A$405)-5))),IFERROR(MATCH($B201,職員マスタ!$A$6:$A$405,0),"")))</f>
        <v/>
      </c>
      <c r="AQ201" s="16">
        <f>IF(OR($B201="",$C201="",$D201=""),"",DATE($C201+2018,$D201,1))</f>
        <v/>
      </c>
    </row>
    <row r="202">
      <c r="A202" s="11" t="n"/>
      <c r="B202" s="12" t="n">
        <v>6403091</v>
      </c>
      <c r="C202" s="12" t="n">
        <v>7</v>
      </c>
      <c r="D202" s="12" t="n">
        <v>12</v>
      </c>
      <c r="E202" s="13" t="n">
        <v>208133</v>
      </c>
      <c r="F202" s="12" t="n"/>
      <c r="G202" s="13" t="n"/>
      <c r="H202" s="12" t="n"/>
      <c r="I202" s="12" t="n"/>
      <c r="J202" s="12" t="n"/>
      <c r="K202" s="12" t="n"/>
      <c r="L202" s="11" t="n"/>
      <c r="M202" s="11" t="n"/>
      <c r="N202" s="11" t="n"/>
      <c r="O202" s="11" t="n"/>
      <c r="P202" s="12" t="n"/>
      <c r="Q202" s="11" t="n"/>
      <c r="R202" s="12" t="n"/>
      <c r="S202" s="11" t="n"/>
      <c r="T202" s="12" t="n"/>
      <c r="U202" s="12" t="n"/>
      <c r="V202" s="12" t="n"/>
      <c r="W202" s="13" t="n"/>
      <c r="X202" s="14">
        <f>IF($AP202="",IF($B202="","",$H202),IF(INDEX(職員マスタ!$B$6:$B$405,$AP202)="",$H202,INDEX(職員マスタ!$B$6:$B$405,$AP202)))</f>
        <v/>
      </c>
      <c r="Y202" s="14">
        <f>IF($AP202="",IF($B202="","",$R202),IF(INDEX(職員マスタ!$C$6:$C$405,$AP202)="",$R202,INDEX(職員マスタ!$C$6:$C$405,$AP202)))</f>
        <v/>
      </c>
      <c r="Z202" s="14">
        <f>IF($AQ202="","","R"&amp;$C202&amp;"."&amp;$D202)</f>
        <v/>
      </c>
      <c r="AA202" s="15">
        <f>IF(IF($AP202="",FALSE,INDEX(職員マスタ!$K$6:$K$405,$AP202)&lt;&gt;""),INDEX(職員マスタ!$K$6:$K$405,$AP202),IF(N($W202)&gt;0,$W202,""))</f>
        <v/>
      </c>
      <c r="AB202" s="14">
        <f>IF(OR($E202="",$AA202=""),"",IF($E202&gt;=$AA202,"×",IF($E202&gt;=$AA202*設定!$C$5,"△","○")))</f>
        <v/>
      </c>
      <c r="AC202" s="15">
        <f>IF($AB202="","",IF($AB202="×",0,IF($AB202="○",ROUNDDOWN($E202*設定!$C$4,0),ROUNDDOWN($E202*ROUND((9*$AA202-9*$E202)/(10*$E202),4),0))))</f>
        <v/>
      </c>
      <c r="AD202" s="13" t="n"/>
      <c r="AE202" s="15">
        <f>IF($B202="","",IF($AD202&lt;&gt;"",$AD202,IF($AC202="","",IF($AC202&lt;=設定!$C$3,0,$AC202))))</f>
        <v/>
      </c>
      <c r="AF202" s="14">
        <f>IF($B202="","",IF(AND($AG202&lt;&gt;"",$AI202="",$AL202=""),"保留中",IF($AL202&lt;&gt;"",IF(N($AE202)&gt;0,"支給済","不支給"),IF($AE202="","要確認",IF($AE202=0,"不支給","未処理")))))</f>
        <v/>
      </c>
      <c r="AG202" s="12" t="n"/>
      <c r="AH202" s="11" t="n"/>
      <c r="AI202" s="11" t="n"/>
      <c r="AJ202" s="11" t="n"/>
      <c r="AK202" s="14">
        <f>IF(AND($AF202="保留中",$AH202&lt;&gt;""),TODAY()-$AH202,"")</f>
        <v/>
      </c>
      <c r="AL202" s="12" t="inlineStr">
        <is>
          <t>R8.2</t>
        </is>
      </c>
      <c r="AM202" s="14">
        <f>IF($B202="","",IF($AQ202="","対象年月が未入力／","")&amp;IF($B202="","",IF($AP202="","職員マスタに未登録の職員番号／",IF($AA202="","標準報酬月額が未登録／","")&amp;IF(AND($AQ202&lt;&gt;"",OR(AND(INDEX(職員マスタ!$G$6:$G$405,$AP202)&lt;&gt;"",INDEX(職員マスタ!$G$6:$G$405,$AP202)&gt;EOMONTH($AQ202,0)),AND(INDEX(職員マスタ!$H$6:$H$405,$AP202)&lt;&gt;"",INDEX(職員マスタ!$H$6:$H$405,$AP202)&lt;$AQ202))),"対象月が時短期間外／","")&amp;IF(AND(INDEX(職員マスタ!$K$6:$K$405,$AP202)&lt;&gt;"",N($W202)&gt;0,INDEX(職員マスタ!$K$6:$K$405,$AP202)&lt;&gt;$W202),"標準報酬月額が申請書と相違（台帳"&amp;TEXT(INDEX(職員マスタ!$K$6:$K$405,$AP202),"#,##0")&amp;"円／申請書"&amp;TEXT($W202,"#,##0")&amp;"円）／","")&amp;IF(AND(INDEX(職員マスタ!$F$6:$F$405,$AP202)&lt;&gt;"",$AQ202&lt;&gt;"",INDEX(職員マスタ!$F$6:$F$405,$AP202)&lt;$AQ202),"対象月に子が2歳到達済／","")&amp;IF(AND($H202&lt;&gt;"",INDEX(職員マスタ!$B$6:$B$405,$AP202)&lt;&gt;"",SUBSTITUTE(SUBSTITUTE($H202," ","")," ","")&lt;&gt;SUBSTITUTE(SUBSTITUTE(INDEX(職員マスタ!$B$6:$B$405,$AP202)," ","")," ","")),"氏名がマスタと相違／","")&amp;IF(AND($Q202&lt;&gt;"",INDEX(職員マスタ!$E$6:$E$405,$AP202)&lt;&gt;"",$Q202&lt;&gt;INDEX(職員マスタ!$E$6:$E$405,$AP202)),"子の生年月日がマスタと相違／","")&amp;IF(AND($L202&lt;&gt;"",INDEX(職員マスタ!$G$6:$G$405,$AP202)&lt;&gt;"",$L202&lt;&gt;INDEX(職員マスタ!$G$6:$G$405,$AP202)),"時短開始日がマスタと相違／","")&amp;IF(AND($M202&lt;&gt;"",INDEX(職員マスタ!$H$6:$H$405,$AP202)&lt;&gt;"",$M202&lt;&gt;INDEX(職員マスタ!$H$6:$H$405,$AP202)),"時短終了日がマスタと相違／","")))&amp;IF(AND($B202&lt;&gt;"",$E202=""),"報酬額が未入力／","")&amp;IF(N($U202)&gt;0,"申請書に入力エラーが残っています／","")&amp;IF(AND($B202&lt;&gt;"",$AQ202&lt;&gt;""),IF(COUNTIFS($B$6:$B$3005,$B202,$C$6:$C$3005,$C202,$D$6:$D$3005,$D202)&gt;1,"同じ月の請求が重複しています／",""),"")&amp;IF(AND(N($E202)&gt;0,$AB202&lt;&gt;"",$AB202&lt;&gt;"×",$AE202=0,$AD202=""),"計算額が下限以下のため不支給／",""))</f>
        <v/>
      </c>
      <c r="AN202" s="12" t="n"/>
      <c r="AO202" s="14">
        <f>IF($AF202="保留中",COUNTIF($AF$6:$AF202,"保留中"),"")</f>
        <v/>
      </c>
      <c r="AP202" s="14">
        <f>IF($AQ202="","",IF(SUMPRODUCT(MAX((職員マスタ!$A$6:$A$405=$B202)*(((職員マスタ!$G$6:$G$405="")+(職員マスタ!$G$6:$G$405&lt;=EOMONTH($AQ202,0)))&gt;0)*(((職員マスタ!$H$6:$H$405="")+(職員マスタ!$H$6:$H$405&gt;=$AQ202))&gt;0)*(ROW(職員マスタ!$A$6:$A$405)-5)))&gt;0,SUMPRODUCT(MAX((職員マスタ!$A$6:$A$405=$B202)*(((職員マスタ!$G$6:$G$405="")+(職員マスタ!$G$6:$G$405&lt;=EOMONTH($AQ202,0)))&gt;0)*(((職員マスタ!$H$6:$H$405="")+(職員マスタ!$H$6:$H$405&gt;=$AQ202))&gt;0)*(ROW(職員マスタ!$A$6:$A$405)-5))),IFERROR(MATCH($B202,職員マスタ!$A$6:$A$405,0),"")))</f>
        <v/>
      </c>
      <c r="AQ202" s="16">
        <f>IF(OR($B202="",$C202="",$D202=""),"",DATE($C202+2018,$D202,1))</f>
        <v/>
      </c>
    </row>
    <row r="203">
      <c r="A203" s="11" t="n"/>
      <c r="B203" s="12" t="n">
        <v>6403091</v>
      </c>
      <c r="C203" s="12" t="n">
        <v>8</v>
      </c>
      <c r="D203" s="12" t="n">
        <v>1</v>
      </c>
      <c r="E203" s="13" t="n">
        <v>210174</v>
      </c>
      <c r="F203" s="12" t="n"/>
      <c r="G203" s="13" t="n"/>
      <c r="H203" s="12" t="n"/>
      <c r="I203" s="12" t="n"/>
      <c r="J203" s="12" t="n"/>
      <c r="K203" s="12" t="n"/>
      <c r="L203" s="11" t="n"/>
      <c r="M203" s="11" t="n"/>
      <c r="N203" s="11" t="n"/>
      <c r="O203" s="11" t="n"/>
      <c r="P203" s="12" t="n"/>
      <c r="Q203" s="11" t="n"/>
      <c r="R203" s="12" t="n"/>
      <c r="S203" s="11" t="n"/>
      <c r="T203" s="12" t="n"/>
      <c r="U203" s="12" t="n"/>
      <c r="V203" s="12" t="n"/>
      <c r="W203" s="13" t="n"/>
      <c r="X203" s="14">
        <f>IF($AP203="",IF($B203="","",$H203),IF(INDEX(職員マスタ!$B$6:$B$405,$AP203)="",$H203,INDEX(職員マスタ!$B$6:$B$405,$AP203)))</f>
        <v/>
      </c>
      <c r="Y203" s="14">
        <f>IF($AP203="",IF($B203="","",$R203),IF(INDEX(職員マスタ!$C$6:$C$405,$AP203)="",$R203,INDEX(職員マスタ!$C$6:$C$405,$AP203)))</f>
        <v/>
      </c>
      <c r="Z203" s="14">
        <f>IF($AQ203="","","R"&amp;$C203&amp;"."&amp;$D203)</f>
        <v/>
      </c>
      <c r="AA203" s="15">
        <f>IF(IF($AP203="",FALSE,INDEX(職員マスタ!$K$6:$K$405,$AP203)&lt;&gt;""),INDEX(職員マスタ!$K$6:$K$405,$AP203),IF(N($W203)&gt;0,$W203,""))</f>
        <v/>
      </c>
      <c r="AB203" s="14">
        <f>IF(OR($E203="",$AA203=""),"",IF($E203&gt;=$AA203,"×",IF($E203&gt;=$AA203*設定!$C$5,"△","○")))</f>
        <v/>
      </c>
      <c r="AC203" s="15">
        <f>IF($AB203="","",IF($AB203="×",0,IF($AB203="○",ROUNDDOWN($E203*設定!$C$4,0),ROUNDDOWN($E203*ROUND((9*$AA203-9*$E203)/(10*$E203),4),0))))</f>
        <v/>
      </c>
      <c r="AD203" s="13" t="n"/>
      <c r="AE203" s="15">
        <f>IF($B203="","",IF($AD203&lt;&gt;"",$AD203,IF($AC203="","",IF($AC203&lt;=設定!$C$3,0,$AC203))))</f>
        <v/>
      </c>
      <c r="AF203" s="14">
        <f>IF($B203="","",IF(AND($AG203&lt;&gt;"",$AI203="",$AL203=""),"保留中",IF($AL203&lt;&gt;"",IF(N($AE203)&gt;0,"支給済","不支給"),IF($AE203="","要確認",IF($AE203=0,"不支給","未処理")))))</f>
        <v/>
      </c>
      <c r="AG203" s="12" t="n"/>
      <c r="AH203" s="11" t="n"/>
      <c r="AI203" s="11" t="n"/>
      <c r="AJ203" s="11" t="n"/>
      <c r="AK203" s="14">
        <f>IF(AND($AF203="保留中",$AH203&lt;&gt;""),TODAY()-$AH203,"")</f>
        <v/>
      </c>
      <c r="AL203" s="12" t="inlineStr">
        <is>
          <t>R8.4</t>
        </is>
      </c>
      <c r="AM203" s="14">
        <f>IF($B203="","",IF($AQ203="","対象年月が未入力／","")&amp;IF($B203="","",IF($AP203="","職員マスタに未登録の職員番号／",IF($AA203="","標準報酬月額が未登録／","")&amp;IF(AND($AQ203&lt;&gt;"",OR(AND(INDEX(職員マスタ!$G$6:$G$405,$AP203)&lt;&gt;"",INDEX(職員マスタ!$G$6:$G$405,$AP203)&gt;EOMONTH($AQ203,0)),AND(INDEX(職員マスタ!$H$6:$H$405,$AP203)&lt;&gt;"",INDEX(職員マスタ!$H$6:$H$405,$AP203)&lt;$AQ203))),"対象月が時短期間外／","")&amp;IF(AND(INDEX(職員マスタ!$K$6:$K$405,$AP203)&lt;&gt;"",N($W203)&gt;0,INDEX(職員マスタ!$K$6:$K$405,$AP203)&lt;&gt;$W203),"標準報酬月額が申請書と相違（台帳"&amp;TEXT(INDEX(職員マスタ!$K$6:$K$405,$AP203),"#,##0")&amp;"円／申請書"&amp;TEXT($W203,"#,##0")&amp;"円）／","")&amp;IF(AND(INDEX(職員マスタ!$F$6:$F$405,$AP203)&lt;&gt;"",$AQ203&lt;&gt;"",INDEX(職員マスタ!$F$6:$F$405,$AP203)&lt;$AQ203),"対象月に子が2歳到達済／","")&amp;IF(AND($H203&lt;&gt;"",INDEX(職員マスタ!$B$6:$B$405,$AP203)&lt;&gt;"",SUBSTITUTE(SUBSTITUTE($H203," ","")," ","")&lt;&gt;SUBSTITUTE(SUBSTITUTE(INDEX(職員マスタ!$B$6:$B$405,$AP203)," ","")," ","")),"氏名がマスタと相違／","")&amp;IF(AND($Q203&lt;&gt;"",INDEX(職員マスタ!$E$6:$E$405,$AP203)&lt;&gt;"",$Q203&lt;&gt;INDEX(職員マスタ!$E$6:$E$405,$AP203)),"子の生年月日がマスタと相違／","")&amp;IF(AND($L203&lt;&gt;"",INDEX(職員マスタ!$G$6:$G$405,$AP203)&lt;&gt;"",$L203&lt;&gt;INDEX(職員マスタ!$G$6:$G$405,$AP203)),"時短開始日がマスタと相違／","")&amp;IF(AND($M203&lt;&gt;"",INDEX(職員マスタ!$H$6:$H$405,$AP203)&lt;&gt;"",$M203&lt;&gt;INDEX(職員マスタ!$H$6:$H$405,$AP203)),"時短終了日がマスタと相違／","")))&amp;IF(AND($B203&lt;&gt;"",$E203=""),"報酬額が未入力／","")&amp;IF(N($U203)&gt;0,"申請書に入力エラーが残っています／","")&amp;IF(AND($B203&lt;&gt;"",$AQ203&lt;&gt;""),IF(COUNTIFS($B$6:$B$3005,$B203,$C$6:$C$3005,$C203,$D$6:$D$3005,$D203)&gt;1,"同じ月の請求が重複しています／",""),"")&amp;IF(AND(N($E203)&gt;0,$AB203&lt;&gt;"",$AB203&lt;&gt;"×",$AE203=0,$AD203=""),"計算額が下限以下のため不支給／",""))</f>
        <v/>
      </c>
      <c r="AN203" s="12" t="n"/>
      <c r="AO203" s="14">
        <f>IF($AF203="保留中",COUNTIF($AF$6:$AF203,"保留中"),"")</f>
        <v/>
      </c>
      <c r="AP203" s="14">
        <f>IF($AQ203="","",IF(SUMPRODUCT(MAX((職員マスタ!$A$6:$A$405=$B203)*(((職員マスタ!$G$6:$G$405="")+(職員マスタ!$G$6:$G$405&lt;=EOMONTH($AQ203,0)))&gt;0)*(((職員マスタ!$H$6:$H$405="")+(職員マスタ!$H$6:$H$405&gt;=$AQ203))&gt;0)*(ROW(職員マスタ!$A$6:$A$405)-5)))&gt;0,SUMPRODUCT(MAX((職員マスタ!$A$6:$A$405=$B203)*(((職員マスタ!$G$6:$G$405="")+(職員マスタ!$G$6:$G$405&lt;=EOMONTH($AQ203,0)))&gt;0)*(((職員マスタ!$H$6:$H$405="")+(職員マスタ!$H$6:$H$405&gt;=$AQ203))&gt;0)*(ROW(職員マスタ!$A$6:$A$405)-5))),IFERROR(MATCH($B203,職員マスタ!$A$6:$A$405,0),"")))</f>
        <v/>
      </c>
      <c r="AQ203" s="16">
        <f>IF(OR($B203="",$C203="",$D203=""),"",DATE($C203+2018,$D203,1))</f>
        <v/>
      </c>
    </row>
    <row r="204">
      <c r="A204" s="11" t="n"/>
      <c r="B204" s="12" t="n">
        <v>6403208</v>
      </c>
      <c r="C204" s="12" t="n">
        <v>7</v>
      </c>
      <c r="D204" s="12" t="n">
        <v>4</v>
      </c>
      <c r="E204" s="13" t="n">
        <v>113950</v>
      </c>
      <c r="F204" s="12" t="n"/>
      <c r="G204" s="13" t="n"/>
      <c r="H204" s="12" t="n"/>
      <c r="I204" s="12" t="n"/>
      <c r="J204" s="12" t="n"/>
      <c r="K204" s="12" t="n"/>
      <c r="L204" s="11" t="n"/>
      <c r="M204" s="11" t="n"/>
      <c r="N204" s="11" t="n"/>
      <c r="O204" s="11" t="n"/>
      <c r="P204" s="12" t="n"/>
      <c r="Q204" s="11" t="n"/>
      <c r="R204" s="12" t="n"/>
      <c r="S204" s="11" t="n"/>
      <c r="T204" s="12" t="n"/>
      <c r="U204" s="12" t="n"/>
      <c r="V204" s="12" t="n"/>
      <c r="W204" s="13" t="n"/>
      <c r="X204" s="14">
        <f>IF($AP204="",IF($B204="","",$H204),IF(INDEX(職員マスタ!$B$6:$B$405,$AP204)="",$H204,INDEX(職員マスタ!$B$6:$B$405,$AP204)))</f>
        <v/>
      </c>
      <c r="Y204" s="14">
        <f>IF($AP204="",IF($B204="","",$R204),IF(INDEX(職員マスタ!$C$6:$C$405,$AP204)="",$R204,INDEX(職員マスタ!$C$6:$C$405,$AP204)))</f>
        <v/>
      </c>
      <c r="Z204" s="14">
        <f>IF($AQ204="","","R"&amp;$C204&amp;"."&amp;$D204)</f>
        <v/>
      </c>
      <c r="AA204" s="15">
        <f>IF(IF($AP204="",FALSE,INDEX(職員マスタ!$K$6:$K$405,$AP204)&lt;&gt;""),INDEX(職員マスタ!$K$6:$K$405,$AP204),IF(N($W204)&gt;0,$W204,""))</f>
        <v/>
      </c>
      <c r="AB204" s="14">
        <f>IF(OR($E204="",$AA204=""),"",IF($E204&gt;=$AA204,"×",IF($E204&gt;=$AA204*設定!$C$5,"△","○")))</f>
        <v/>
      </c>
      <c r="AC204" s="15">
        <f>IF($AB204="","",IF($AB204="×",0,IF($AB204="○",ROUNDDOWN($E204*設定!$C$4,0),ROUNDDOWN($E204*ROUND((9*$AA204-9*$E204)/(10*$E204),4),0))))</f>
        <v/>
      </c>
      <c r="AD204" s="13" t="n"/>
      <c r="AE204" s="15">
        <f>IF($B204="","",IF($AD204&lt;&gt;"",$AD204,IF($AC204="","",IF($AC204&lt;=設定!$C$3,0,$AC204))))</f>
        <v/>
      </c>
      <c r="AF204" s="14">
        <f>IF($B204="","",IF(AND($AG204&lt;&gt;"",$AI204="",$AL204=""),"保留中",IF($AL204&lt;&gt;"",IF(N($AE204)&gt;0,"支給済","不支給"),IF($AE204="","要確認",IF($AE204=0,"不支給","未処理")))))</f>
        <v/>
      </c>
      <c r="AG204" s="12" t="n"/>
      <c r="AH204" s="11" t="n"/>
      <c r="AI204" s="11" t="n"/>
      <c r="AJ204" s="11" t="n"/>
      <c r="AK204" s="14">
        <f>IF(AND($AF204="保留中",$AH204&lt;&gt;""),TODAY()-$AH204,"")</f>
        <v/>
      </c>
      <c r="AL204" s="12" t="inlineStr">
        <is>
          <t>R7.8</t>
        </is>
      </c>
      <c r="AM204" s="14">
        <f>IF($B204="","",IF($AQ204="","対象年月が未入力／","")&amp;IF($B204="","",IF($AP204="","職員マスタに未登録の職員番号／",IF($AA204="","標準報酬月額が未登録／","")&amp;IF(AND($AQ204&lt;&gt;"",OR(AND(INDEX(職員マスタ!$G$6:$G$405,$AP204)&lt;&gt;"",INDEX(職員マスタ!$G$6:$G$405,$AP204)&gt;EOMONTH($AQ204,0)),AND(INDEX(職員マスタ!$H$6:$H$405,$AP204)&lt;&gt;"",INDEX(職員マスタ!$H$6:$H$405,$AP204)&lt;$AQ204))),"対象月が時短期間外／","")&amp;IF(AND(INDEX(職員マスタ!$K$6:$K$405,$AP204)&lt;&gt;"",N($W204)&gt;0,INDEX(職員マスタ!$K$6:$K$405,$AP204)&lt;&gt;$W204),"標準報酬月額が申請書と相違（台帳"&amp;TEXT(INDEX(職員マスタ!$K$6:$K$405,$AP204),"#,##0")&amp;"円／申請書"&amp;TEXT($W204,"#,##0")&amp;"円）／","")&amp;IF(AND(INDEX(職員マスタ!$F$6:$F$405,$AP204)&lt;&gt;"",$AQ204&lt;&gt;"",INDEX(職員マスタ!$F$6:$F$405,$AP204)&lt;$AQ204),"対象月に子が2歳到達済／","")&amp;IF(AND($H204&lt;&gt;"",INDEX(職員マスタ!$B$6:$B$405,$AP204)&lt;&gt;"",SUBSTITUTE(SUBSTITUTE($H204," ","")," ","")&lt;&gt;SUBSTITUTE(SUBSTITUTE(INDEX(職員マスタ!$B$6:$B$405,$AP204)," ","")," ","")),"氏名がマスタと相違／","")&amp;IF(AND($Q204&lt;&gt;"",INDEX(職員マスタ!$E$6:$E$405,$AP204)&lt;&gt;"",$Q204&lt;&gt;INDEX(職員マスタ!$E$6:$E$405,$AP204)),"子の生年月日がマスタと相違／","")&amp;IF(AND($L204&lt;&gt;"",INDEX(職員マスタ!$G$6:$G$405,$AP204)&lt;&gt;"",$L204&lt;&gt;INDEX(職員マスタ!$G$6:$G$405,$AP204)),"時短開始日がマスタと相違／","")&amp;IF(AND($M204&lt;&gt;"",INDEX(職員マスタ!$H$6:$H$405,$AP204)&lt;&gt;"",$M204&lt;&gt;INDEX(職員マスタ!$H$6:$H$405,$AP204)),"時短終了日がマスタと相違／","")))&amp;IF(AND($B204&lt;&gt;"",$E204=""),"報酬額が未入力／","")&amp;IF(N($U204)&gt;0,"申請書に入力エラーが残っています／","")&amp;IF(AND($B204&lt;&gt;"",$AQ204&lt;&gt;""),IF(COUNTIFS($B$6:$B$3005,$B204,$C$6:$C$3005,$C204,$D$6:$D$3005,$D204)&gt;1,"同じ月の請求が重複しています／",""),"")&amp;IF(AND(N($E204)&gt;0,$AB204&lt;&gt;"",$AB204&lt;&gt;"×",$AE204=0,$AD204=""),"計算額が下限以下のため不支給／",""))</f>
        <v/>
      </c>
      <c r="AN204" s="12" t="n"/>
      <c r="AO204" s="14">
        <f>IF($AF204="保留中",COUNTIF($AF$6:$AF204,"保留中"),"")</f>
        <v/>
      </c>
      <c r="AP204" s="14">
        <f>IF($AQ204="","",IF(SUMPRODUCT(MAX((職員マスタ!$A$6:$A$405=$B204)*(((職員マスタ!$G$6:$G$405="")+(職員マスタ!$G$6:$G$405&lt;=EOMONTH($AQ204,0)))&gt;0)*(((職員マスタ!$H$6:$H$405="")+(職員マスタ!$H$6:$H$405&gt;=$AQ204))&gt;0)*(ROW(職員マスタ!$A$6:$A$405)-5)))&gt;0,SUMPRODUCT(MAX((職員マスタ!$A$6:$A$405=$B204)*(((職員マスタ!$G$6:$G$405="")+(職員マスタ!$G$6:$G$405&lt;=EOMONTH($AQ204,0)))&gt;0)*(((職員マスタ!$H$6:$H$405="")+(職員マスタ!$H$6:$H$405&gt;=$AQ204))&gt;0)*(ROW(職員マスタ!$A$6:$A$405)-5))),IFERROR(MATCH($B204,職員マスタ!$A$6:$A$405,0),"")))</f>
        <v/>
      </c>
      <c r="AQ204" s="16">
        <f>IF(OR($B204="",$C204="",$D204=""),"",DATE($C204+2018,$D204,1))</f>
        <v/>
      </c>
    </row>
    <row r="205">
      <c r="A205" s="11" t="n"/>
      <c r="B205" s="12" t="n">
        <v>6403208</v>
      </c>
      <c r="C205" s="12" t="n">
        <v>7</v>
      </c>
      <c r="D205" s="12" t="n">
        <v>5</v>
      </c>
      <c r="E205" s="13" t="n">
        <v>228052</v>
      </c>
      <c r="F205" s="12" t="n"/>
      <c r="G205" s="13" t="n"/>
      <c r="H205" s="12" t="n"/>
      <c r="I205" s="12" t="n"/>
      <c r="J205" s="12" t="n"/>
      <c r="K205" s="12" t="n"/>
      <c r="L205" s="11" t="n"/>
      <c r="M205" s="11" t="n"/>
      <c r="N205" s="11" t="n"/>
      <c r="O205" s="11" t="n"/>
      <c r="P205" s="12" t="n"/>
      <c r="Q205" s="11" t="n"/>
      <c r="R205" s="12" t="n"/>
      <c r="S205" s="11" t="n"/>
      <c r="T205" s="12" t="n"/>
      <c r="U205" s="12" t="n"/>
      <c r="V205" s="12" t="n"/>
      <c r="W205" s="13" t="n"/>
      <c r="X205" s="14">
        <f>IF($AP205="",IF($B205="","",$H205),IF(INDEX(職員マスタ!$B$6:$B$405,$AP205)="",$H205,INDEX(職員マスタ!$B$6:$B$405,$AP205)))</f>
        <v/>
      </c>
      <c r="Y205" s="14">
        <f>IF($AP205="",IF($B205="","",$R205),IF(INDEX(職員マスタ!$C$6:$C$405,$AP205)="",$R205,INDEX(職員マスタ!$C$6:$C$405,$AP205)))</f>
        <v/>
      </c>
      <c r="Z205" s="14">
        <f>IF($AQ205="","","R"&amp;$C205&amp;"."&amp;$D205)</f>
        <v/>
      </c>
      <c r="AA205" s="15">
        <f>IF(IF($AP205="",FALSE,INDEX(職員マスタ!$K$6:$K$405,$AP205)&lt;&gt;""),INDEX(職員マスタ!$K$6:$K$405,$AP205),IF(N($W205)&gt;0,$W205,""))</f>
        <v/>
      </c>
      <c r="AB205" s="14">
        <f>IF(OR($E205="",$AA205=""),"",IF($E205&gt;=$AA205,"×",IF($E205&gt;=$AA205*設定!$C$5,"△","○")))</f>
        <v/>
      </c>
      <c r="AC205" s="15">
        <f>IF($AB205="","",IF($AB205="×",0,IF($AB205="○",ROUNDDOWN($E205*設定!$C$4,0),ROUNDDOWN($E205*ROUND((9*$AA205-9*$E205)/(10*$E205),4),0))))</f>
        <v/>
      </c>
      <c r="AD205" s="13" t="n"/>
      <c r="AE205" s="15">
        <f>IF($B205="","",IF($AD205&lt;&gt;"",$AD205,IF($AC205="","",IF($AC205&lt;=設定!$C$3,0,$AC205))))</f>
        <v/>
      </c>
      <c r="AF205" s="14">
        <f>IF($B205="","",IF(AND($AG205&lt;&gt;"",$AI205="",$AL205=""),"保留中",IF($AL205&lt;&gt;"",IF(N($AE205)&gt;0,"支給済","不支給"),IF($AE205="","要確認",IF($AE205=0,"不支給","未処理")))))</f>
        <v/>
      </c>
      <c r="AG205" s="12" t="n"/>
      <c r="AH205" s="11" t="n"/>
      <c r="AI205" s="11" t="n"/>
      <c r="AJ205" s="11" t="n"/>
      <c r="AK205" s="14">
        <f>IF(AND($AF205="保留中",$AH205&lt;&gt;""),TODAY()-$AH205,"")</f>
        <v/>
      </c>
      <c r="AL205" s="12" t="inlineStr">
        <is>
          <t>R7.8</t>
        </is>
      </c>
      <c r="AM205" s="14">
        <f>IF($B205="","",IF($AQ205="","対象年月が未入力／","")&amp;IF($B205="","",IF($AP205="","職員マスタに未登録の職員番号／",IF($AA205="","標準報酬月額が未登録／","")&amp;IF(AND($AQ205&lt;&gt;"",OR(AND(INDEX(職員マスタ!$G$6:$G$405,$AP205)&lt;&gt;"",INDEX(職員マスタ!$G$6:$G$405,$AP205)&gt;EOMONTH($AQ205,0)),AND(INDEX(職員マスタ!$H$6:$H$405,$AP205)&lt;&gt;"",INDEX(職員マスタ!$H$6:$H$405,$AP205)&lt;$AQ205))),"対象月が時短期間外／","")&amp;IF(AND(INDEX(職員マスタ!$K$6:$K$405,$AP205)&lt;&gt;"",N($W205)&gt;0,INDEX(職員マスタ!$K$6:$K$405,$AP205)&lt;&gt;$W205),"標準報酬月額が申請書と相違（台帳"&amp;TEXT(INDEX(職員マスタ!$K$6:$K$405,$AP205),"#,##0")&amp;"円／申請書"&amp;TEXT($W205,"#,##0")&amp;"円）／","")&amp;IF(AND(INDEX(職員マスタ!$F$6:$F$405,$AP205)&lt;&gt;"",$AQ205&lt;&gt;"",INDEX(職員マスタ!$F$6:$F$405,$AP205)&lt;$AQ205),"対象月に子が2歳到達済／","")&amp;IF(AND($H205&lt;&gt;"",INDEX(職員マスタ!$B$6:$B$405,$AP205)&lt;&gt;"",SUBSTITUTE(SUBSTITUTE($H205," ","")," ","")&lt;&gt;SUBSTITUTE(SUBSTITUTE(INDEX(職員マスタ!$B$6:$B$405,$AP205)," ","")," ","")),"氏名がマスタと相違／","")&amp;IF(AND($Q205&lt;&gt;"",INDEX(職員マスタ!$E$6:$E$405,$AP205)&lt;&gt;"",$Q205&lt;&gt;INDEX(職員マスタ!$E$6:$E$405,$AP205)),"子の生年月日がマスタと相違／","")&amp;IF(AND($L205&lt;&gt;"",INDEX(職員マスタ!$G$6:$G$405,$AP205)&lt;&gt;"",$L205&lt;&gt;INDEX(職員マスタ!$G$6:$G$405,$AP205)),"時短開始日がマスタと相違／","")&amp;IF(AND($M205&lt;&gt;"",INDEX(職員マスタ!$H$6:$H$405,$AP205)&lt;&gt;"",$M205&lt;&gt;INDEX(職員マスタ!$H$6:$H$405,$AP205)),"時短終了日がマスタと相違／","")))&amp;IF(AND($B205&lt;&gt;"",$E205=""),"報酬額が未入力／","")&amp;IF(N($U205)&gt;0,"申請書に入力エラーが残っています／","")&amp;IF(AND($B205&lt;&gt;"",$AQ205&lt;&gt;""),IF(COUNTIFS($B$6:$B$3005,$B205,$C$6:$C$3005,$C205,$D$6:$D$3005,$D205)&gt;1,"同じ月の請求が重複しています／",""),"")&amp;IF(AND(N($E205)&gt;0,$AB205&lt;&gt;"",$AB205&lt;&gt;"×",$AE205=0,$AD205=""),"計算額が下限以下のため不支給／",""))</f>
        <v/>
      </c>
      <c r="AN205" s="12" t="n"/>
      <c r="AO205" s="14">
        <f>IF($AF205="保留中",COUNTIF($AF$6:$AF205,"保留中"),"")</f>
        <v/>
      </c>
      <c r="AP205" s="14">
        <f>IF($AQ205="","",IF(SUMPRODUCT(MAX((職員マスタ!$A$6:$A$405=$B205)*(((職員マスタ!$G$6:$G$405="")+(職員マスタ!$G$6:$G$405&lt;=EOMONTH($AQ205,0)))&gt;0)*(((職員マスタ!$H$6:$H$405="")+(職員マスタ!$H$6:$H$405&gt;=$AQ205))&gt;0)*(ROW(職員マスタ!$A$6:$A$405)-5)))&gt;0,SUMPRODUCT(MAX((職員マスタ!$A$6:$A$405=$B205)*(((職員マスタ!$G$6:$G$405="")+(職員マスタ!$G$6:$G$405&lt;=EOMONTH($AQ205,0)))&gt;0)*(((職員マスタ!$H$6:$H$405="")+(職員マスタ!$H$6:$H$405&gt;=$AQ205))&gt;0)*(ROW(職員マスタ!$A$6:$A$405)-5))),IFERROR(MATCH($B205,職員マスタ!$A$6:$A$405,0),"")))</f>
        <v/>
      </c>
      <c r="AQ205" s="16">
        <f>IF(OR($B205="",$C205="",$D205=""),"",DATE($C205+2018,$D205,1))</f>
        <v/>
      </c>
    </row>
    <row r="206">
      <c r="A206" s="11" t="n"/>
      <c r="B206" s="12" t="n">
        <v>6403208</v>
      </c>
      <c r="C206" s="12" t="n">
        <v>7</v>
      </c>
      <c r="D206" s="12" t="n">
        <v>6</v>
      </c>
      <c r="E206" s="13" t="n">
        <v>222434</v>
      </c>
      <c r="F206" s="12" t="n"/>
      <c r="G206" s="13" t="n"/>
      <c r="H206" s="12" t="n"/>
      <c r="I206" s="12" t="n"/>
      <c r="J206" s="12" t="n"/>
      <c r="K206" s="12" t="n"/>
      <c r="L206" s="11" t="n"/>
      <c r="M206" s="11" t="n"/>
      <c r="N206" s="11" t="n"/>
      <c r="O206" s="11" t="n"/>
      <c r="P206" s="12" t="n"/>
      <c r="Q206" s="11" t="n"/>
      <c r="R206" s="12" t="n"/>
      <c r="S206" s="11" t="n"/>
      <c r="T206" s="12" t="n"/>
      <c r="U206" s="12" t="n"/>
      <c r="V206" s="12" t="n"/>
      <c r="W206" s="13" t="n"/>
      <c r="X206" s="14">
        <f>IF($AP206="",IF($B206="","",$H206),IF(INDEX(職員マスタ!$B$6:$B$405,$AP206)="",$H206,INDEX(職員マスタ!$B$6:$B$405,$AP206)))</f>
        <v/>
      </c>
      <c r="Y206" s="14">
        <f>IF($AP206="",IF($B206="","",$R206),IF(INDEX(職員マスタ!$C$6:$C$405,$AP206)="",$R206,INDEX(職員マスタ!$C$6:$C$405,$AP206)))</f>
        <v/>
      </c>
      <c r="Z206" s="14">
        <f>IF($AQ206="","","R"&amp;$C206&amp;"."&amp;$D206)</f>
        <v/>
      </c>
      <c r="AA206" s="15">
        <f>IF(IF($AP206="",FALSE,INDEX(職員マスタ!$K$6:$K$405,$AP206)&lt;&gt;""),INDEX(職員マスタ!$K$6:$K$405,$AP206),IF(N($W206)&gt;0,$W206,""))</f>
        <v/>
      </c>
      <c r="AB206" s="14">
        <f>IF(OR($E206="",$AA206=""),"",IF($E206&gt;=$AA206,"×",IF($E206&gt;=$AA206*設定!$C$5,"△","○")))</f>
        <v/>
      </c>
      <c r="AC206" s="15">
        <f>IF($AB206="","",IF($AB206="×",0,IF($AB206="○",ROUNDDOWN($E206*設定!$C$4,0),ROUNDDOWN($E206*ROUND((9*$AA206-9*$E206)/(10*$E206),4),0))))</f>
        <v/>
      </c>
      <c r="AD206" s="13" t="n"/>
      <c r="AE206" s="15">
        <f>IF($B206="","",IF($AD206&lt;&gt;"",$AD206,IF($AC206="","",IF($AC206&lt;=設定!$C$3,0,$AC206))))</f>
        <v/>
      </c>
      <c r="AF206" s="14">
        <f>IF($B206="","",IF(AND($AG206&lt;&gt;"",$AI206="",$AL206=""),"保留中",IF($AL206&lt;&gt;"",IF(N($AE206)&gt;0,"支給済","不支給"),IF($AE206="","要確認",IF($AE206=0,"不支給","未処理")))))</f>
        <v/>
      </c>
      <c r="AG206" s="12" t="n"/>
      <c r="AH206" s="11" t="n"/>
      <c r="AI206" s="11" t="n"/>
      <c r="AJ206" s="11" t="n"/>
      <c r="AK206" s="14">
        <f>IF(AND($AF206="保留中",$AH206&lt;&gt;""),TODAY()-$AH206,"")</f>
        <v/>
      </c>
      <c r="AL206" s="12" t="inlineStr">
        <is>
          <t>R7.8</t>
        </is>
      </c>
      <c r="AM206" s="14">
        <f>IF($B206="","",IF($AQ206="","対象年月が未入力／","")&amp;IF($B206="","",IF($AP206="","職員マスタに未登録の職員番号／",IF($AA206="","標準報酬月額が未登録／","")&amp;IF(AND($AQ206&lt;&gt;"",OR(AND(INDEX(職員マスタ!$G$6:$G$405,$AP206)&lt;&gt;"",INDEX(職員マスタ!$G$6:$G$405,$AP206)&gt;EOMONTH($AQ206,0)),AND(INDEX(職員マスタ!$H$6:$H$405,$AP206)&lt;&gt;"",INDEX(職員マスタ!$H$6:$H$405,$AP206)&lt;$AQ206))),"対象月が時短期間外／","")&amp;IF(AND(INDEX(職員マスタ!$K$6:$K$405,$AP206)&lt;&gt;"",N($W206)&gt;0,INDEX(職員マスタ!$K$6:$K$405,$AP206)&lt;&gt;$W206),"標準報酬月額が申請書と相違（台帳"&amp;TEXT(INDEX(職員マスタ!$K$6:$K$405,$AP206),"#,##0")&amp;"円／申請書"&amp;TEXT($W206,"#,##0")&amp;"円）／","")&amp;IF(AND(INDEX(職員マスタ!$F$6:$F$405,$AP206)&lt;&gt;"",$AQ206&lt;&gt;"",INDEX(職員マスタ!$F$6:$F$405,$AP206)&lt;$AQ206),"対象月に子が2歳到達済／","")&amp;IF(AND($H206&lt;&gt;"",INDEX(職員マスタ!$B$6:$B$405,$AP206)&lt;&gt;"",SUBSTITUTE(SUBSTITUTE($H206," ","")," ","")&lt;&gt;SUBSTITUTE(SUBSTITUTE(INDEX(職員マスタ!$B$6:$B$405,$AP206)," ","")," ","")),"氏名がマスタと相違／","")&amp;IF(AND($Q206&lt;&gt;"",INDEX(職員マスタ!$E$6:$E$405,$AP206)&lt;&gt;"",$Q206&lt;&gt;INDEX(職員マスタ!$E$6:$E$405,$AP206)),"子の生年月日がマスタと相違／","")&amp;IF(AND($L206&lt;&gt;"",INDEX(職員マスタ!$G$6:$G$405,$AP206)&lt;&gt;"",$L206&lt;&gt;INDEX(職員マスタ!$G$6:$G$405,$AP206)),"時短開始日がマスタと相違／","")&amp;IF(AND($M206&lt;&gt;"",INDEX(職員マスタ!$H$6:$H$405,$AP206)&lt;&gt;"",$M206&lt;&gt;INDEX(職員マスタ!$H$6:$H$405,$AP206)),"時短終了日がマスタと相違／","")))&amp;IF(AND($B206&lt;&gt;"",$E206=""),"報酬額が未入力／","")&amp;IF(N($U206)&gt;0,"申請書に入力エラーが残っています／","")&amp;IF(AND($B206&lt;&gt;"",$AQ206&lt;&gt;""),IF(COUNTIFS($B$6:$B$3005,$B206,$C$6:$C$3005,$C206,$D$6:$D$3005,$D206)&gt;1,"同じ月の請求が重複しています／",""),"")&amp;IF(AND(N($E206)&gt;0,$AB206&lt;&gt;"",$AB206&lt;&gt;"×",$AE206=0,$AD206=""),"計算額が下限以下のため不支給／",""))</f>
        <v/>
      </c>
      <c r="AN206" s="12" t="n"/>
      <c r="AO206" s="14">
        <f>IF($AF206="保留中",COUNTIF($AF$6:$AF206,"保留中"),"")</f>
        <v/>
      </c>
      <c r="AP206" s="14">
        <f>IF($AQ206="","",IF(SUMPRODUCT(MAX((職員マスタ!$A$6:$A$405=$B206)*(((職員マスタ!$G$6:$G$405="")+(職員マスタ!$G$6:$G$405&lt;=EOMONTH($AQ206,0)))&gt;0)*(((職員マスタ!$H$6:$H$405="")+(職員マスタ!$H$6:$H$405&gt;=$AQ206))&gt;0)*(ROW(職員マスタ!$A$6:$A$405)-5)))&gt;0,SUMPRODUCT(MAX((職員マスタ!$A$6:$A$405=$B206)*(((職員マスタ!$G$6:$G$405="")+(職員マスタ!$G$6:$G$405&lt;=EOMONTH($AQ206,0)))&gt;0)*(((職員マスタ!$H$6:$H$405="")+(職員マスタ!$H$6:$H$405&gt;=$AQ206))&gt;0)*(ROW(職員マスタ!$A$6:$A$405)-5))),IFERROR(MATCH($B206,職員マスタ!$A$6:$A$405,0),"")))</f>
        <v/>
      </c>
      <c r="AQ206" s="16">
        <f>IF(OR($B206="",$C206="",$D206=""),"",DATE($C206+2018,$D206,1))</f>
        <v/>
      </c>
    </row>
    <row r="207">
      <c r="A207" s="11" t="n"/>
      <c r="B207" s="12" t="n">
        <v>6403208</v>
      </c>
      <c r="C207" s="12" t="n">
        <v>7</v>
      </c>
      <c r="D207" s="12" t="n">
        <v>7</v>
      </c>
      <c r="E207" s="13" t="n">
        <v>222434</v>
      </c>
      <c r="F207" s="12" t="n"/>
      <c r="G207" s="13" t="n"/>
      <c r="H207" s="12" t="n"/>
      <c r="I207" s="12" t="n"/>
      <c r="J207" s="12" t="n"/>
      <c r="K207" s="12" t="n"/>
      <c r="L207" s="11" t="n"/>
      <c r="M207" s="11" t="n"/>
      <c r="N207" s="11" t="n"/>
      <c r="O207" s="11" t="n"/>
      <c r="P207" s="12" t="n"/>
      <c r="Q207" s="11" t="n"/>
      <c r="R207" s="12" t="n"/>
      <c r="S207" s="11" t="n"/>
      <c r="T207" s="12" t="n"/>
      <c r="U207" s="12" t="n"/>
      <c r="V207" s="12" t="n"/>
      <c r="W207" s="13" t="n"/>
      <c r="X207" s="14">
        <f>IF($AP207="",IF($B207="","",$H207),IF(INDEX(職員マスタ!$B$6:$B$405,$AP207)="",$H207,INDEX(職員マスタ!$B$6:$B$405,$AP207)))</f>
        <v/>
      </c>
      <c r="Y207" s="14">
        <f>IF($AP207="",IF($B207="","",$R207),IF(INDEX(職員マスタ!$C$6:$C$405,$AP207)="",$R207,INDEX(職員マスタ!$C$6:$C$405,$AP207)))</f>
        <v/>
      </c>
      <c r="Z207" s="14">
        <f>IF($AQ207="","","R"&amp;$C207&amp;"."&amp;$D207)</f>
        <v/>
      </c>
      <c r="AA207" s="15">
        <f>IF(IF($AP207="",FALSE,INDEX(職員マスタ!$K$6:$K$405,$AP207)&lt;&gt;""),INDEX(職員マスタ!$K$6:$K$405,$AP207),IF(N($W207)&gt;0,$W207,""))</f>
        <v/>
      </c>
      <c r="AB207" s="14">
        <f>IF(OR($E207="",$AA207=""),"",IF($E207&gt;=$AA207,"×",IF($E207&gt;=$AA207*設定!$C$5,"△","○")))</f>
        <v/>
      </c>
      <c r="AC207" s="15">
        <f>IF($AB207="","",IF($AB207="×",0,IF($AB207="○",ROUNDDOWN($E207*設定!$C$4,0),ROUNDDOWN($E207*ROUND((9*$AA207-9*$E207)/(10*$E207),4),0))))</f>
        <v/>
      </c>
      <c r="AD207" s="13" t="n"/>
      <c r="AE207" s="15">
        <f>IF($B207="","",IF($AD207&lt;&gt;"",$AD207,IF($AC207="","",IF($AC207&lt;=設定!$C$3,0,$AC207))))</f>
        <v/>
      </c>
      <c r="AF207" s="14">
        <f>IF($B207="","",IF(AND($AG207&lt;&gt;"",$AI207="",$AL207=""),"保留中",IF($AL207&lt;&gt;"",IF(N($AE207)&gt;0,"支給済","不支給"),IF($AE207="","要確認",IF($AE207=0,"不支給","未処理")))))</f>
        <v/>
      </c>
      <c r="AG207" s="12" t="n"/>
      <c r="AH207" s="11" t="n"/>
      <c r="AI207" s="11" t="n"/>
      <c r="AJ207" s="11" t="n"/>
      <c r="AK207" s="14">
        <f>IF(AND($AF207="保留中",$AH207&lt;&gt;""),TODAY()-$AH207,"")</f>
        <v/>
      </c>
      <c r="AL207" s="12" t="inlineStr">
        <is>
          <t>R7.9</t>
        </is>
      </c>
      <c r="AM207" s="14">
        <f>IF($B207="","",IF($AQ207="","対象年月が未入力／","")&amp;IF($B207="","",IF($AP207="","職員マスタに未登録の職員番号／",IF($AA207="","標準報酬月額が未登録／","")&amp;IF(AND($AQ207&lt;&gt;"",OR(AND(INDEX(職員マスタ!$G$6:$G$405,$AP207)&lt;&gt;"",INDEX(職員マスタ!$G$6:$G$405,$AP207)&gt;EOMONTH($AQ207,0)),AND(INDEX(職員マスタ!$H$6:$H$405,$AP207)&lt;&gt;"",INDEX(職員マスタ!$H$6:$H$405,$AP207)&lt;$AQ207))),"対象月が時短期間外／","")&amp;IF(AND(INDEX(職員マスタ!$K$6:$K$405,$AP207)&lt;&gt;"",N($W207)&gt;0,INDEX(職員マスタ!$K$6:$K$405,$AP207)&lt;&gt;$W207),"標準報酬月額が申請書と相違（台帳"&amp;TEXT(INDEX(職員マスタ!$K$6:$K$405,$AP207),"#,##0")&amp;"円／申請書"&amp;TEXT($W207,"#,##0")&amp;"円）／","")&amp;IF(AND(INDEX(職員マスタ!$F$6:$F$405,$AP207)&lt;&gt;"",$AQ207&lt;&gt;"",INDEX(職員マスタ!$F$6:$F$405,$AP207)&lt;$AQ207),"対象月に子が2歳到達済／","")&amp;IF(AND($H207&lt;&gt;"",INDEX(職員マスタ!$B$6:$B$405,$AP207)&lt;&gt;"",SUBSTITUTE(SUBSTITUTE($H207," ","")," ","")&lt;&gt;SUBSTITUTE(SUBSTITUTE(INDEX(職員マスタ!$B$6:$B$405,$AP207)," ","")," ","")),"氏名がマスタと相違／","")&amp;IF(AND($Q207&lt;&gt;"",INDEX(職員マスタ!$E$6:$E$405,$AP207)&lt;&gt;"",$Q207&lt;&gt;INDEX(職員マスタ!$E$6:$E$405,$AP207)),"子の生年月日がマスタと相違／","")&amp;IF(AND($L207&lt;&gt;"",INDEX(職員マスタ!$G$6:$G$405,$AP207)&lt;&gt;"",$L207&lt;&gt;INDEX(職員マスタ!$G$6:$G$405,$AP207)),"時短開始日がマスタと相違／","")&amp;IF(AND($M207&lt;&gt;"",INDEX(職員マスタ!$H$6:$H$405,$AP207)&lt;&gt;"",$M207&lt;&gt;INDEX(職員マスタ!$H$6:$H$405,$AP207)),"時短終了日がマスタと相違／","")))&amp;IF(AND($B207&lt;&gt;"",$E207=""),"報酬額が未入力／","")&amp;IF(N($U207)&gt;0,"申請書に入力エラーが残っています／","")&amp;IF(AND($B207&lt;&gt;"",$AQ207&lt;&gt;""),IF(COUNTIFS($B$6:$B$3005,$B207,$C$6:$C$3005,$C207,$D$6:$D$3005,$D207)&gt;1,"同じ月の請求が重複しています／",""),"")&amp;IF(AND(N($E207)&gt;0,$AB207&lt;&gt;"",$AB207&lt;&gt;"×",$AE207=0,$AD207=""),"計算額が下限以下のため不支給／",""))</f>
        <v/>
      </c>
      <c r="AN207" s="12" t="n"/>
      <c r="AO207" s="14">
        <f>IF($AF207="保留中",COUNTIF($AF$6:$AF207,"保留中"),"")</f>
        <v/>
      </c>
      <c r="AP207" s="14">
        <f>IF($AQ207="","",IF(SUMPRODUCT(MAX((職員マスタ!$A$6:$A$405=$B207)*(((職員マスタ!$G$6:$G$405="")+(職員マスタ!$G$6:$G$405&lt;=EOMONTH($AQ207,0)))&gt;0)*(((職員マスタ!$H$6:$H$405="")+(職員マスタ!$H$6:$H$405&gt;=$AQ207))&gt;0)*(ROW(職員マスタ!$A$6:$A$405)-5)))&gt;0,SUMPRODUCT(MAX((職員マスタ!$A$6:$A$405=$B207)*(((職員マスタ!$G$6:$G$405="")+(職員マスタ!$G$6:$G$405&lt;=EOMONTH($AQ207,0)))&gt;0)*(((職員マスタ!$H$6:$H$405="")+(職員マスタ!$H$6:$H$405&gt;=$AQ207))&gt;0)*(ROW(職員マスタ!$A$6:$A$405)-5))),IFERROR(MATCH($B207,職員マスタ!$A$6:$A$405,0),"")))</f>
        <v/>
      </c>
      <c r="AQ207" s="16">
        <f>IF(OR($B207="",$C207="",$D207=""),"",DATE($C207+2018,$D207,1))</f>
        <v/>
      </c>
    </row>
    <row r="208">
      <c r="A208" s="11" t="n"/>
      <c r="B208" s="12" t="n">
        <v>6403208</v>
      </c>
      <c r="C208" s="12" t="n">
        <v>7</v>
      </c>
      <c r="D208" s="12" t="n">
        <v>8</v>
      </c>
      <c r="E208" s="13" t="n">
        <v>218102</v>
      </c>
      <c r="F208" s="12" t="n"/>
      <c r="G208" s="13" t="n"/>
      <c r="H208" s="12" t="n"/>
      <c r="I208" s="12" t="n"/>
      <c r="J208" s="12" t="n"/>
      <c r="K208" s="12" t="n"/>
      <c r="L208" s="11" t="n"/>
      <c r="M208" s="11" t="n"/>
      <c r="N208" s="11" t="n"/>
      <c r="O208" s="11" t="n"/>
      <c r="P208" s="12" t="n"/>
      <c r="Q208" s="11" t="n"/>
      <c r="R208" s="12" t="n"/>
      <c r="S208" s="11" t="n"/>
      <c r="T208" s="12" t="n"/>
      <c r="U208" s="12" t="n"/>
      <c r="V208" s="12" t="n"/>
      <c r="W208" s="13" t="n"/>
      <c r="X208" s="14">
        <f>IF($AP208="",IF($B208="","",$H208),IF(INDEX(職員マスタ!$B$6:$B$405,$AP208)="",$H208,INDEX(職員マスタ!$B$6:$B$405,$AP208)))</f>
        <v/>
      </c>
      <c r="Y208" s="14">
        <f>IF($AP208="",IF($B208="","",$R208),IF(INDEX(職員マスタ!$C$6:$C$405,$AP208)="",$R208,INDEX(職員マスタ!$C$6:$C$405,$AP208)))</f>
        <v/>
      </c>
      <c r="Z208" s="14">
        <f>IF($AQ208="","","R"&amp;$C208&amp;"."&amp;$D208)</f>
        <v/>
      </c>
      <c r="AA208" s="15">
        <f>IF(IF($AP208="",FALSE,INDEX(職員マスタ!$K$6:$K$405,$AP208)&lt;&gt;""),INDEX(職員マスタ!$K$6:$K$405,$AP208),IF(N($W208)&gt;0,$W208,""))</f>
        <v/>
      </c>
      <c r="AB208" s="14">
        <f>IF(OR($E208="",$AA208=""),"",IF($E208&gt;=$AA208,"×",IF($E208&gt;=$AA208*設定!$C$5,"△","○")))</f>
        <v/>
      </c>
      <c r="AC208" s="15">
        <f>IF($AB208="","",IF($AB208="×",0,IF($AB208="○",ROUNDDOWN($E208*設定!$C$4,0),ROUNDDOWN($E208*ROUND((9*$AA208-9*$E208)/(10*$E208),4),0))))</f>
        <v/>
      </c>
      <c r="AD208" s="13" t="n"/>
      <c r="AE208" s="15">
        <f>IF($B208="","",IF($AD208&lt;&gt;"",$AD208,IF($AC208="","",IF($AC208&lt;=設定!$C$3,0,$AC208))))</f>
        <v/>
      </c>
      <c r="AF208" s="14">
        <f>IF($B208="","",IF(AND($AG208&lt;&gt;"",$AI208="",$AL208=""),"保留中",IF($AL208&lt;&gt;"",IF(N($AE208)&gt;0,"支給済","不支給"),IF($AE208="","要確認",IF($AE208=0,"不支給","未処理")))))</f>
        <v/>
      </c>
      <c r="AG208" s="12" t="n"/>
      <c r="AH208" s="11" t="n"/>
      <c r="AI208" s="11" t="n"/>
      <c r="AJ208" s="11" t="n"/>
      <c r="AK208" s="14">
        <f>IF(AND($AF208="保留中",$AH208&lt;&gt;""),TODAY()-$AH208,"")</f>
        <v/>
      </c>
      <c r="AL208" s="12" t="inlineStr">
        <is>
          <t>R7.10</t>
        </is>
      </c>
      <c r="AM208" s="14">
        <f>IF($B208="","",IF($AQ208="","対象年月が未入力／","")&amp;IF($B208="","",IF($AP208="","職員マスタに未登録の職員番号／",IF($AA208="","標準報酬月額が未登録／","")&amp;IF(AND($AQ208&lt;&gt;"",OR(AND(INDEX(職員マスタ!$G$6:$G$405,$AP208)&lt;&gt;"",INDEX(職員マスタ!$G$6:$G$405,$AP208)&gt;EOMONTH($AQ208,0)),AND(INDEX(職員マスタ!$H$6:$H$405,$AP208)&lt;&gt;"",INDEX(職員マスタ!$H$6:$H$405,$AP208)&lt;$AQ208))),"対象月が時短期間外／","")&amp;IF(AND(INDEX(職員マスタ!$K$6:$K$405,$AP208)&lt;&gt;"",N($W208)&gt;0,INDEX(職員マスタ!$K$6:$K$405,$AP208)&lt;&gt;$W208),"標準報酬月額が申請書と相違（台帳"&amp;TEXT(INDEX(職員マスタ!$K$6:$K$405,$AP208),"#,##0")&amp;"円／申請書"&amp;TEXT($W208,"#,##0")&amp;"円）／","")&amp;IF(AND(INDEX(職員マスタ!$F$6:$F$405,$AP208)&lt;&gt;"",$AQ208&lt;&gt;"",INDEX(職員マスタ!$F$6:$F$405,$AP208)&lt;$AQ208),"対象月に子が2歳到達済／","")&amp;IF(AND($H208&lt;&gt;"",INDEX(職員マスタ!$B$6:$B$405,$AP208)&lt;&gt;"",SUBSTITUTE(SUBSTITUTE($H208," ","")," ","")&lt;&gt;SUBSTITUTE(SUBSTITUTE(INDEX(職員マスタ!$B$6:$B$405,$AP208)," ","")," ","")),"氏名がマスタと相違／","")&amp;IF(AND($Q208&lt;&gt;"",INDEX(職員マスタ!$E$6:$E$405,$AP208)&lt;&gt;"",$Q208&lt;&gt;INDEX(職員マスタ!$E$6:$E$405,$AP208)),"子の生年月日がマスタと相違／","")&amp;IF(AND($L208&lt;&gt;"",INDEX(職員マスタ!$G$6:$G$405,$AP208)&lt;&gt;"",$L208&lt;&gt;INDEX(職員マスタ!$G$6:$G$405,$AP208)),"時短開始日がマスタと相違／","")&amp;IF(AND($M208&lt;&gt;"",INDEX(職員マスタ!$H$6:$H$405,$AP208)&lt;&gt;"",$M208&lt;&gt;INDEX(職員マスタ!$H$6:$H$405,$AP208)),"時短終了日がマスタと相違／","")))&amp;IF(AND($B208&lt;&gt;"",$E208=""),"報酬額が未入力／","")&amp;IF(N($U208)&gt;0,"申請書に入力エラーが残っています／","")&amp;IF(AND($B208&lt;&gt;"",$AQ208&lt;&gt;""),IF(COUNTIFS($B$6:$B$3005,$B208,$C$6:$C$3005,$C208,$D$6:$D$3005,$D208)&gt;1,"同じ月の請求が重複しています／",""),"")&amp;IF(AND(N($E208)&gt;0,$AB208&lt;&gt;"",$AB208&lt;&gt;"×",$AE208=0,$AD208=""),"計算額が下限以下のため不支給／",""))</f>
        <v/>
      </c>
      <c r="AN208" s="12" t="n"/>
      <c r="AO208" s="14">
        <f>IF($AF208="保留中",COUNTIF($AF$6:$AF208,"保留中"),"")</f>
        <v/>
      </c>
      <c r="AP208" s="14">
        <f>IF($AQ208="","",IF(SUMPRODUCT(MAX((職員マスタ!$A$6:$A$405=$B208)*(((職員マスタ!$G$6:$G$405="")+(職員マスタ!$G$6:$G$405&lt;=EOMONTH($AQ208,0)))&gt;0)*(((職員マスタ!$H$6:$H$405="")+(職員マスタ!$H$6:$H$405&gt;=$AQ208))&gt;0)*(ROW(職員マスタ!$A$6:$A$405)-5)))&gt;0,SUMPRODUCT(MAX((職員マスタ!$A$6:$A$405=$B208)*(((職員マスタ!$G$6:$G$405="")+(職員マスタ!$G$6:$G$405&lt;=EOMONTH($AQ208,0)))&gt;0)*(((職員マスタ!$H$6:$H$405="")+(職員マスタ!$H$6:$H$405&gt;=$AQ208))&gt;0)*(ROW(職員マスタ!$A$6:$A$405)-5))),IFERROR(MATCH($B208,職員マスタ!$A$6:$A$405,0),"")))</f>
        <v/>
      </c>
      <c r="AQ208" s="16">
        <f>IF(OR($B208="",$C208="",$D208=""),"",DATE($C208+2018,$D208,1))</f>
        <v/>
      </c>
    </row>
    <row r="209">
      <c r="A209" s="11" t="n"/>
      <c r="B209" s="12" t="n">
        <v>6403208</v>
      </c>
      <c r="C209" s="12" t="n">
        <v>7</v>
      </c>
      <c r="D209" s="12" t="n">
        <v>9</v>
      </c>
      <c r="E209" s="13" t="n">
        <v>222434</v>
      </c>
      <c r="F209" s="12" t="n"/>
      <c r="G209" s="13" t="n"/>
      <c r="H209" s="12" t="n"/>
      <c r="I209" s="12" t="n"/>
      <c r="J209" s="12" t="n"/>
      <c r="K209" s="12" t="n"/>
      <c r="L209" s="11" t="n"/>
      <c r="M209" s="11" t="n"/>
      <c r="N209" s="11" t="n"/>
      <c r="O209" s="11" t="n"/>
      <c r="P209" s="12" t="n"/>
      <c r="Q209" s="11" t="n"/>
      <c r="R209" s="12" t="n"/>
      <c r="S209" s="11" t="n"/>
      <c r="T209" s="12" t="n"/>
      <c r="U209" s="12" t="n"/>
      <c r="V209" s="12" t="n"/>
      <c r="W209" s="13" t="n"/>
      <c r="X209" s="14">
        <f>IF($AP209="",IF($B209="","",$H209),IF(INDEX(職員マスタ!$B$6:$B$405,$AP209)="",$H209,INDEX(職員マスタ!$B$6:$B$405,$AP209)))</f>
        <v/>
      </c>
      <c r="Y209" s="14">
        <f>IF($AP209="",IF($B209="","",$R209),IF(INDEX(職員マスタ!$C$6:$C$405,$AP209)="",$R209,INDEX(職員マスタ!$C$6:$C$405,$AP209)))</f>
        <v/>
      </c>
      <c r="Z209" s="14">
        <f>IF($AQ209="","","R"&amp;$C209&amp;"."&amp;$D209)</f>
        <v/>
      </c>
      <c r="AA209" s="15">
        <f>IF(IF($AP209="",FALSE,INDEX(職員マスタ!$K$6:$K$405,$AP209)&lt;&gt;""),INDEX(職員マスタ!$K$6:$K$405,$AP209),IF(N($W209)&gt;0,$W209,""))</f>
        <v/>
      </c>
      <c r="AB209" s="14">
        <f>IF(OR($E209="",$AA209=""),"",IF($E209&gt;=$AA209,"×",IF($E209&gt;=$AA209*設定!$C$5,"△","○")))</f>
        <v/>
      </c>
      <c r="AC209" s="15">
        <f>IF($AB209="","",IF($AB209="×",0,IF($AB209="○",ROUNDDOWN($E209*設定!$C$4,0),ROUNDDOWN($E209*ROUND((9*$AA209-9*$E209)/(10*$E209),4),0))))</f>
        <v/>
      </c>
      <c r="AD209" s="13" t="n"/>
      <c r="AE209" s="15">
        <f>IF($B209="","",IF($AD209&lt;&gt;"",$AD209,IF($AC209="","",IF($AC209&lt;=設定!$C$3,0,$AC209))))</f>
        <v/>
      </c>
      <c r="AF209" s="14">
        <f>IF($B209="","",IF(AND($AG209&lt;&gt;"",$AI209="",$AL209=""),"保留中",IF($AL209&lt;&gt;"",IF(N($AE209)&gt;0,"支給済","不支給"),IF($AE209="","要確認",IF($AE209=0,"不支給","未処理")))))</f>
        <v/>
      </c>
      <c r="AG209" s="12" t="n"/>
      <c r="AH209" s="11" t="n"/>
      <c r="AI209" s="11" t="n"/>
      <c r="AJ209" s="11" t="n"/>
      <c r="AK209" s="14">
        <f>IF(AND($AF209="保留中",$AH209&lt;&gt;""),TODAY()-$AH209,"")</f>
        <v/>
      </c>
      <c r="AL209" s="12" t="inlineStr">
        <is>
          <t>R7.11</t>
        </is>
      </c>
      <c r="AM209" s="14">
        <f>IF($B209="","",IF($AQ209="","対象年月が未入力／","")&amp;IF($B209="","",IF($AP209="","職員マスタに未登録の職員番号／",IF($AA209="","標準報酬月額が未登録／","")&amp;IF(AND($AQ209&lt;&gt;"",OR(AND(INDEX(職員マスタ!$G$6:$G$405,$AP209)&lt;&gt;"",INDEX(職員マスタ!$G$6:$G$405,$AP209)&gt;EOMONTH($AQ209,0)),AND(INDEX(職員マスタ!$H$6:$H$405,$AP209)&lt;&gt;"",INDEX(職員マスタ!$H$6:$H$405,$AP209)&lt;$AQ209))),"対象月が時短期間外／","")&amp;IF(AND(INDEX(職員マスタ!$K$6:$K$405,$AP209)&lt;&gt;"",N($W209)&gt;0,INDEX(職員マスタ!$K$6:$K$405,$AP209)&lt;&gt;$W209),"標準報酬月額が申請書と相違（台帳"&amp;TEXT(INDEX(職員マスタ!$K$6:$K$405,$AP209),"#,##0")&amp;"円／申請書"&amp;TEXT($W209,"#,##0")&amp;"円）／","")&amp;IF(AND(INDEX(職員マスタ!$F$6:$F$405,$AP209)&lt;&gt;"",$AQ209&lt;&gt;"",INDEX(職員マスタ!$F$6:$F$405,$AP209)&lt;$AQ209),"対象月に子が2歳到達済／","")&amp;IF(AND($H209&lt;&gt;"",INDEX(職員マスタ!$B$6:$B$405,$AP209)&lt;&gt;"",SUBSTITUTE(SUBSTITUTE($H209," ","")," ","")&lt;&gt;SUBSTITUTE(SUBSTITUTE(INDEX(職員マスタ!$B$6:$B$405,$AP209)," ","")," ","")),"氏名がマスタと相違／","")&amp;IF(AND($Q209&lt;&gt;"",INDEX(職員マスタ!$E$6:$E$405,$AP209)&lt;&gt;"",$Q209&lt;&gt;INDEX(職員マスタ!$E$6:$E$405,$AP209)),"子の生年月日がマスタと相違／","")&amp;IF(AND($L209&lt;&gt;"",INDEX(職員マスタ!$G$6:$G$405,$AP209)&lt;&gt;"",$L209&lt;&gt;INDEX(職員マスタ!$G$6:$G$405,$AP209)),"時短開始日がマスタと相違／","")&amp;IF(AND($M209&lt;&gt;"",INDEX(職員マスタ!$H$6:$H$405,$AP209)&lt;&gt;"",$M209&lt;&gt;INDEX(職員マスタ!$H$6:$H$405,$AP209)),"時短終了日がマスタと相違／","")))&amp;IF(AND($B209&lt;&gt;"",$E209=""),"報酬額が未入力／","")&amp;IF(N($U209)&gt;0,"申請書に入力エラーが残っています／","")&amp;IF(AND($B209&lt;&gt;"",$AQ209&lt;&gt;""),IF(COUNTIFS($B$6:$B$3005,$B209,$C$6:$C$3005,$C209,$D$6:$D$3005,$D209)&gt;1,"同じ月の請求が重複しています／",""),"")&amp;IF(AND(N($E209)&gt;0,$AB209&lt;&gt;"",$AB209&lt;&gt;"×",$AE209=0,$AD209=""),"計算額が下限以下のため不支給／",""))</f>
        <v/>
      </c>
      <c r="AN209" s="12" t="n"/>
      <c r="AO209" s="14">
        <f>IF($AF209="保留中",COUNTIF($AF$6:$AF209,"保留中"),"")</f>
        <v/>
      </c>
      <c r="AP209" s="14">
        <f>IF($AQ209="","",IF(SUMPRODUCT(MAX((職員マスタ!$A$6:$A$405=$B209)*(((職員マスタ!$G$6:$G$405="")+(職員マスタ!$G$6:$G$405&lt;=EOMONTH($AQ209,0)))&gt;0)*(((職員マスタ!$H$6:$H$405="")+(職員マスタ!$H$6:$H$405&gt;=$AQ209))&gt;0)*(ROW(職員マスタ!$A$6:$A$405)-5)))&gt;0,SUMPRODUCT(MAX((職員マスタ!$A$6:$A$405=$B209)*(((職員マスタ!$G$6:$G$405="")+(職員マスタ!$G$6:$G$405&lt;=EOMONTH($AQ209,0)))&gt;0)*(((職員マスタ!$H$6:$H$405="")+(職員マスタ!$H$6:$H$405&gt;=$AQ209))&gt;0)*(ROW(職員マスタ!$A$6:$A$405)-5))),IFERROR(MATCH($B209,職員マスタ!$A$6:$A$405,0),"")))</f>
        <v/>
      </c>
      <c r="AQ209" s="16">
        <f>IF(OR($B209="",$C209="",$D209=""),"",DATE($C209+2018,$D209,1))</f>
        <v/>
      </c>
    </row>
    <row r="210">
      <c r="A210" s="11" t="n"/>
      <c r="B210" s="12" t="n">
        <v>6403208</v>
      </c>
      <c r="C210" s="12" t="n">
        <v>7</v>
      </c>
      <c r="D210" s="12" t="n">
        <v>10</v>
      </c>
      <c r="E210" s="13" t="n">
        <v>228932</v>
      </c>
      <c r="F210" s="12" t="n"/>
      <c r="G210" s="13" t="n"/>
      <c r="H210" s="12" t="n"/>
      <c r="I210" s="12" t="n"/>
      <c r="J210" s="12" t="n"/>
      <c r="K210" s="12" t="n"/>
      <c r="L210" s="11" t="n"/>
      <c r="M210" s="11" t="n"/>
      <c r="N210" s="11" t="n"/>
      <c r="O210" s="11" t="n"/>
      <c r="P210" s="12" t="n"/>
      <c r="Q210" s="11" t="n"/>
      <c r="R210" s="12" t="n"/>
      <c r="S210" s="11" t="n"/>
      <c r="T210" s="12" t="n"/>
      <c r="U210" s="12" t="n"/>
      <c r="V210" s="12" t="n"/>
      <c r="W210" s="13" t="n"/>
      <c r="X210" s="14">
        <f>IF($AP210="",IF($B210="","",$H210),IF(INDEX(職員マスタ!$B$6:$B$405,$AP210)="",$H210,INDEX(職員マスタ!$B$6:$B$405,$AP210)))</f>
        <v/>
      </c>
      <c r="Y210" s="14">
        <f>IF($AP210="",IF($B210="","",$R210),IF(INDEX(職員マスタ!$C$6:$C$405,$AP210)="",$R210,INDEX(職員マスタ!$C$6:$C$405,$AP210)))</f>
        <v/>
      </c>
      <c r="Z210" s="14">
        <f>IF($AQ210="","","R"&amp;$C210&amp;"."&amp;$D210)</f>
        <v/>
      </c>
      <c r="AA210" s="15">
        <f>IF(IF($AP210="",FALSE,INDEX(職員マスタ!$K$6:$K$405,$AP210)&lt;&gt;""),INDEX(職員マスタ!$K$6:$K$405,$AP210),IF(N($W210)&gt;0,$W210,""))</f>
        <v/>
      </c>
      <c r="AB210" s="14">
        <f>IF(OR($E210="",$AA210=""),"",IF($E210&gt;=$AA210,"×",IF($E210&gt;=$AA210*設定!$C$5,"△","○")))</f>
        <v/>
      </c>
      <c r="AC210" s="15">
        <f>IF($AB210="","",IF($AB210="×",0,IF($AB210="○",ROUNDDOWN($E210*設定!$C$4,0),ROUNDDOWN($E210*ROUND((9*$AA210-9*$E210)/(10*$E210),4),0))))</f>
        <v/>
      </c>
      <c r="AD210" s="13" t="n"/>
      <c r="AE210" s="15">
        <f>IF($B210="","",IF($AD210&lt;&gt;"",$AD210,IF($AC210="","",IF($AC210&lt;=設定!$C$3,0,$AC210))))</f>
        <v/>
      </c>
      <c r="AF210" s="14">
        <f>IF($B210="","",IF(AND($AG210&lt;&gt;"",$AI210="",$AL210=""),"保留中",IF($AL210&lt;&gt;"",IF(N($AE210)&gt;0,"支給済","不支給"),IF($AE210="","要確認",IF($AE210=0,"不支給","未処理")))))</f>
        <v/>
      </c>
      <c r="AG210" s="12" t="n"/>
      <c r="AH210" s="11" t="n"/>
      <c r="AI210" s="11" t="n"/>
      <c r="AJ210" s="11" t="n"/>
      <c r="AK210" s="14">
        <f>IF(AND($AF210="保留中",$AH210&lt;&gt;""),TODAY()-$AH210,"")</f>
        <v/>
      </c>
      <c r="AL210" s="12" t="inlineStr">
        <is>
          <t>R7.12</t>
        </is>
      </c>
      <c r="AM210" s="14">
        <f>IF($B210="","",IF($AQ210="","対象年月が未入力／","")&amp;IF($B210="","",IF($AP210="","職員マスタに未登録の職員番号／",IF($AA210="","標準報酬月額が未登録／","")&amp;IF(AND($AQ210&lt;&gt;"",OR(AND(INDEX(職員マスタ!$G$6:$G$405,$AP210)&lt;&gt;"",INDEX(職員マスタ!$G$6:$G$405,$AP210)&gt;EOMONTH($AQ210,0)),AND(INDEX(職員マスタ!$H$6:$H$405,$AP210)&lt;&gt;"",INDEX(職員マスタ!$H$6:$H$405,$AP210)&lt;$AQ210))),"対象月が時短期間外／","")&amp;IF(AND(INDEX(職員マスタ!$K$6:$K$405,$AP210)&lt;&gt;"",N($W210)&gt;0,INDEX(職員マスタ!$K$6:$K$405,$AP210)&lt;&gt;$W210),"標準報酬月額が申請書と相違（台帳"&amp;TEXT(INDEX(職員マスタ!$K$6:$K$405,$AP210),"#,##0")&amp;"円／申請書"&amp;TEXT($W210,"#,##0")&amp;"円）／","")&amp;IF(AND(INDEX(職員マスタ!$F$6:$F$405,$AP210)&lt;&gt;"",$AQ210&lt;&gt;"",INDEX(職員マスタ!$F$6:$F$405,$AP210)&lt;$AQ210),"対象月に子が2歳到達済／","")&amp;IF(AND($H210&lt;&gt;"",INDEX(職員マスタ!$B$6:$B$405,$AP210)&lt;&gt;"",SUBSTITUTE(SUBSTITUTE($H210," ","")," ","")&lt;&gt;SUBSTITUTE(SUBSTITUTE(INDEX(職員マスタ!$B$6:$B$405,$AP210)," ","")," ","")),"氏名がマスタと相違／","")&amp;IF(AND($Q210&lt;&gt;"",INDEX(職員マスタ!$E$6:$E$405,$AP210)&lt;&gt;"",$Q210&lt;&gt;INDEX(職員マスタ!$E$6:$E$405,$AP210)),"子の生年月日がマスタと相違／","")&amp;IF(AND($L210&lt;&gt;"",INDEX(職員マスタ!$G$6:$G$405,$AP210)&lt;&gt;"",$L210&lt;&gt;INDEX(職員マスタ!$G$6:$G$405,$AP210)),"時短開始日がマスタと相違／","")&amp;IF(AND($M210&lt;&gt;"",INDEX(職員マスタ!$H$6:$H$405,$AP210)&lt;&gt;"",$M210&lt;&gt;INDEX(職員マスタ!$H$6:$H$405,$AP210)),"時短終了日がマスタと相違／","")))&amp;IF(AND($B210&lt;&gt;"",$E210=""),"報酬額が未入力／","")&amp;IF(N($U210)&gt;0,"申請書に入力エラーが残っています／","")&amp;IF(AND($B210&lt;&gt;"",$AQ210&lt;&gt;""),IF(COUNTIFS($B$6:$B$3005,$B210,$C$6:$C$3005,$C210,$D$6:$D$3005,$D210)&gt;1,"同じ月の請求が重複しています／",""),"")&amp;IF(AND(N($E210)&gt;0,$AB210&lt;&gt;"",$AB210&lt;&gt;"×",$AE210=0,$AD210=""),"計算額が下限以下のため不支給／",""))</f>
        <v/>
      </c>
      <c r="AN210" s="12" t="n"/>
      <c r="AO210" s="14">
        <f>IF($AF210="保留中",COUNTIF($AF$6:$AF210,"保留中"),"")</f>
        <v/>
      </c>
      <c r="AP210" s="14">
        <f>IF($AQ210="","",IF(SUMPRODUCT(MAX((職員マスタ!$A$6:$A$405=$B210)*(((職員マスタ!$G$6:$G$405="")+(職員マスタ!$G$6:$G$405&lt;=EOMONTH($AQ210,0)))&gt;0)*(((職員マスタ!$H$6:$H$405="")+(職員マスタ!$H$6:$H$405&gt;=$AQ210))&gt;0)*(ROW(職員マスタ!$A$6:$A$405)-5)))&gt;0,SUMPRODUCT(MAX((職員マスタ!$A$6:$A$405=$B210)*(((職員マスタ!$G$6:$G$405="")+(職員マスタ!$G$6:$G$405&lt;=EOMONTH($AQ210,0)))&gt;0)*(((職員マスタ!$H$6:$H$405="")+(職員マスタ!$H$6:$H$405&gt;=$AQ210))&gt;0)*(ROW(職員マスタ!$A$6:$A$405)-5))),IFERROR(MATCH($B210,職員マスタ!$A$6:$A$405,0),"")))</f>
        <v/>
      </c>
      <c r="AQ210" s="16">
        <f>IF(OR($B210="",$C210="",$D210=""),"",DATE($C210+2018,$D210,1))</f>
        <v/>
      </c>
    </row>
    <row r="211">
      <c r="A211" s="11" t="n"/>
      <c r="B211" s="12" t="n">
        <v>6403208</v>
      </c>
      <c r="C211" s="12" t="n">
        <v>7</v>
      </c>
      <c r="D211" s="12" t="n">
        <v>11</v>
      </c>
      <c r="E211" s="13" t="n">
        <v>218102</v>
      </c>
      <c r="F211" s="12" t="n"/>
      <c r="G211" s="13" t="n"/>
      <c r="H211" s="12" t="n"/>
      <c r="I211" s="12" t="n"/>
      <c r="J211" s="12" t="n"/>
      <c r="K211" s="12" t="n"/>
      <c r="L211" s="11" t="n"/>
      <c r="M211" s="11" t="n"/>
      <c r="N211" s="11" t="n"/>
      <c r="O211" s="11" t="n"/>
      <c r="P211" s="12" t="n"/>
      <c r="Q211" s="11" t="n"/>
      <c r="R211" s="12" t="n"/>
      <c r="S211" s="11" t="n"/>
      <c r="T211" s="12" t="n"/>
      <c r="U211" s="12" t="n"/>
      <c r="V211" s="12" t="n"/>
      <c r="W211" s="13" t="n"/>
      <c r="X211" s="14">
        <f>IF($AP211="",IF($B211="","",$H211),IF(INDEX(職員マスタ!$B$6:$B$405,$AP211)="",$H211,INDEX(職員マスタ!$B$6:$B$405,$AP211)))</f>
        <v/>
      </c>
      <c r="Y211" s="14">
        <f>IF($AP211="",IF($B211="","",$R211),IF(INDEX(職員マスタ!$C$6:$C$405,$AP211)="",$R211,INDEX(職員マスタ!$C$6:$C$405,$AP211)))</f>
        <v/>
      </c>
      <c r="Z211" s="14">
        <f>IF($AQ211="","","R"&amp;$C211&amp;"."&amp;$D211)</f>
        <v/>
      </c>
      <c r="AA211" s="15">
        <f>IF(IF($AP211="",FALSE,INDEX(職員マスタ!$K$6:$K$405,$AP211)&lt;&gt;""),INDEX(職員マスタ!$K$6:$K$405,$AP211),IF(N($W211)&gt;0,$W211,""))</f>
        <v/>
      </c>
      <c r="AB211" s="14">
        <f>IF(OR($E211="",$AA211=""),"",IF($E211&gt;=$AA211,"×",IF($E211&gt;=$AA211*設定!$C$5,"△","○")))</f>
        <v/>
      </c>
      <c r="AC211" s="15">
        <f>IF($AB211="","",IF($AB211="×",0,IF($AB211="○",ROUNDDOWN($E211*設定!$C$4,0),ROUNDDOWN($E211*ROUND((9*$AA211-9*$E211)/(10*$E211),4),0))))</f>
        <v/>
      </c>
      <c r="AD211" s="13" t="n"/>
      <c r="AE211" s="15">
        <f>IF($B211="","",IF($AD211&lt;&gt;"",$AD211,IF($AC211="","",IF($AC211&lt;=設定!$C$3,0,$AC211))))</f>
        <v/>
      </c>
      <c r="AF211" s="14">
        <f>IF($B211="","",IF(AND($AG211&lt;&gt;"",$AI211="",$AL211=""),"保留中",IF($AL211&lt;&gt;"",IF(N($AE211)&gt;0,"支給済","不支給"),IF($AE211="","要確認",IF($AE211=0,"不支給","未処理")))))</f>
        <v/>
      </c>
      <c r="AG211" s="12" t="n"/>
      <c r="AH211" s="11" t="n"/>
      <c r="AI211" s="11" t="n"/>
      <c r="AJ211" s="11" t="n"/>
      <c r="AK211" s="14">
        <f>IF(AND($AF211="保留中",$AH211&lt;&gt;""),TODAY()-$AH211,"")</f>
        <v/>
      </c>
      <c r="AL211" s="12" t="inlineStr">
        <is>
          <t>R8.1</t>
        </is>
      </c>
      <c r="AM211" s="14">
        <f>IF($B211="","",IF($AQ211="","対象年月が未入力／","")&amp;IF($B211="","",IF($AP211="","職員マスタに未登録の職員番号／",IF($AA211="","標準報酬月額が未登録／","")&amp;IF(AND($AQ211&lt;&gt;"",OR(AND(INDEX(職員マスタ!$G$6:$G$405,$AP211)&lt;&gt;"",INDEX(職員マスタ!$G$6:$G$405,$AP211)&gt;EOMONTH($AQ211,0)),AND(INDEX(職員マスタ!$H$6:$H$405,$AP211)&lt;&gt;"",INDEX(職員マスタ!$H$6:$H$405,$AP211)&lt;$AQ211))),"対象月が時短期間外／","")&amp;IF(AND(INDEX(職員マスタ!$K$6:$K$405,$AP211)&lt;&gt;"",N($W211)&gt;0,INDEX(職員マスタ!$K$6:$K$405,$AP211)&lt;&gt;$W211),"標準報酬月額が申請書と相違（台帳"&amp;TEXT(INDEX(職員マスタ!$K$6:$K$405,$AP211),"#,##0")&amp;"円／申請書"&amp;TEXT($W211,"#,##0")&amp;"円）／","")&amp;IF(AND(INDEX(職員マスタ!$F$6:$F$405,$AP211)&lt;&gt;"",$AQ211&lt;&gt;"",INDEX(職員マスタ!$F$6:$F$405,$AP211)&lt;$AQ211),"対象月に子が2歳到達済／","")&amp;IF(AND($H211&lt;&gt;"",INDEX(職員マスタ!$B$6:$B$405,$AP211)&lt;&gt;"",SUBSTITUTE(SUBSTITUTE($H211," ","")," ","")&lt;&gt;SUBSTITUTE(SUBSTITUTE(INDEX(職員マスタ!$B$6:$B$405,$AP211)," ","")," ","")),"氏名がマスタと相違／","")&amp;IF(AND($Q211&lt;&gt;"",INDEX(職員マスタ!$E$6:$E$405,$AP211)&lt;&gt;"",$Q211&lt;&gt;INDEX(職員マスタ!$E$6:$E$405,$AP211)),"子の生年月日がマスタと相違／","")&amp;IF(AND($L211&lt;&gt;"",INDEX(職員マスタ!$G$6:$G$405,$AP211)&lt;&gt;"",$L211&lt;&gt;INDEX(職員マスタ!$G$6:$G$405,$AP211)),"時短開始日がマスタと相違／","")&amp;IF(AND($M211&lt;&gt;"",INDEX(職員マスタ!$H$6:$H$405,$AP211)&lt;&gt;"",$M211&lt;&gt;INDEX(職員マスタ!$H$6:$H$405,$AP211)),"時短終了日がマスタと相違／","")))&amp;IF(AND($B211&lt;&gt;"",$E211=""),"報酬額が未入力／","")&amp;IF(N($U211)&gt;0,"申請書に入力エラーが残っています／","")&amp;IF(AND($B211&lt;&gt;"",$AQ211&lt;&gt;""),IF(COUNTIFS($B$6:$B$3005,$B211,$C$6:$C$3005,$C211,$D$6:$D$3005,$D211)&gt;1,"同じ月の請求が重複しています／",""),"")&amp;IF(AND(N($E211)&gt;0,$AB211&lt;&gt;"",$AB211&lt;&gt;"×",$AE211=0,$AD211=""),"計算額が下限以下のため不支給／",""))</f>
        <v/>
      </c>
      <c r="AN211" s="12" t="n"/>
      <c r="AO211" s="14">
        <f>IF($AF211="保留中",COUNTIF($AF$6:$AF211,"保留中"),"")</f>
        <v/>
      </c>
      <c r="AP211" s="14">
        <f>IF($AQ211="","",IF(SUMPRODUCT(MAX((職員マスタ!$A$6:$A$405=$B211)*(((職員マスタ!$G$6:$G$405="")+(職員マスタ!$G$6:$G$405&lt;=EOMONTH($AQ211,0)))&gt;0)*(((職員マスタ!$H$6:$H$405="")+(職員マスタ!$H$6:$H$405&gt;=$AQ211))&gt;0)*(ROW(職員マスタ!$A$6:$A$405)-5)))&gt;0,SUMPRODUCT(MAX((職員マスタ!$A$6:$A$405=$B211)*(((職員マスタ!$G$6:$G$405="")+(職員マスタ!$G$6:$G$405&lt;=EOMONTH($AQ211,0)))&gt;0)*(((職員マスタ!$H$6:$H$405="")+(職員マスタ!$H$6:$H$405&gt;=$AQ211))&gt;0)*(ROW(職員マスタ!$A$6:$A$405)-5))),IFERROR(MATCH($B211,職員マスタ!$A$6:$A$405,0),"")))</f>
        <v/>
      </c>
      <c r="AQ211" s="16">
        <f>IF(OR($B211="",$C211="",$D211=""),"",DATE($C211+2018,$D211,1))</f>
        <v/>
      </c>
    </row>
    <row r="212">
      <c r="A212" s="11" t="n"/>
      <c r="B212" s="12" t="n">
        <v>6403208</v>
      </c>
      <c r="C212" s="12" t="n">
        <v>7</v>
      </c>
      <c r="D212" s="12" t="n">
        <v>12</v>
      </c>
      <c r="E212" s="13" t="n">
        <v>225383</v>
      </c>
      <c r="F212" s="12" t="n"/>
      <c r="G212" s="13" t="n"/>
      <c r="H212" s="12" t="n"/>
      <c r="I212" s="12" t="n"/>
      <c r="J212" s="12" t="n"/>
      <c r="K212" s="12" t="n"/>
      <c r="L212" s="11" t="n"/>
      <c r="M212" s="11" t="n"/>
      <c r="N212" s="11" t="n"/>
      <c r="O212" s="11" t="n"/>
      <c r="P212" s="12" t="n"/>
      <c r="Q212" s="11" t="n"/>
      <c r="R212" s="12" t="n"/>
      <c r="S212" s="11" t="n"/>
      <c r="T212" s="12" t="n"/>
      <c r="U212" s="12" t="n"/>
      <c r="V212" s="12" t="n"/>
      <c r="W212" s="13" t="n"/>
      <c r="X212" s="14">
        <f>IF($AP212="",IF($B212="","",$H212),IF(INDEX(職員マスタ!$B$6:$B$405,$AP212)="",$H212,INDEX(職員マスタ!$B$6:$B$405,$AP212)))</f>
        <v/>
      </c>
      <c r="Y212" s="14">
        <f>IF($AP212="",IF($B212="","",$R212),IF(INDEX(職員マスタ!$C$6:$C$405,$AP212)="",$R212,INDEX(職員マスタ!$C$6:$C$405,$AP212)))</f>
        <v/>
      </c>
      <c r="Z212" s="14">
        <f>IF($AQ212="","","R"&amp;$C212&amp;"."&amp;$D212)</f>
        <v/>
      </c>
      <c r="AA212" s="15">
        <f>IF(IF($AP212="",FALSE,INDEX(職員マスタ!$K$6:$K$405,$AP212)&lt;&gt;""),INDEX(職員マスタ!$K$6:$K$405,$AP212),IF(N($W212)&gt;0,$W212,""))</f>
        <v/>
      </c>
      <c r="AB212" s="14">
        <f>IF(OR($E212="",$AA212=""),"",IF($E212&gt;=$AA212,"×",IF($E212&gt;=$AA212*設定!$C$5,"△","○")))</f>
        <v/>
      </c>
      <c r="AC212" s="15">
        <f>IF($AB212="","",IF($AB212="×",0,IF($AB212="○",ROUNDDOWN($E212*設定!$C$4,0),ROUNDDOWN($E212*ROUND((9*$AA212-9*$E212)/(10*$E212),4),0))))</f>
        <v/>
      </c>
      <c r="AD212" s="13" t="n"/>
      <c r="AE212" s="15">
        <f>IF($B212="","",IF($AD212&lt;&gt;"",$AD212,IF($AC212="","",IF($AC212&lt;=設定!$C$3,0,$AC212))))</f>
        <v/>
      </c>
      <c r="AF212" s="14">
        <f>IF($B212="","",IF(AND($AG212&lt;&gt;"",$AI212="",$AL212=""),"保留中",IF($AL212&lt;&gt;"",IF(N($AE212)&gt;0,"支給済","不支給"),IF($AE212="","要確認",IF($AE212=0,"不支給","未処理")))))</f>
        <v/>
      </c>
      <c r="AG212" s="12" t="n"/>
      <c r="AH212" s="11" t="n"/>
      <c r="AI212" s="11" t="n"/>
      <c r="AJ212" s="11" t="n"/>
      <c r="AK212" s="14">
        <f>IF(AND($AF212="保留中",$AH212&lt;&gt;""),TODAY()-$AH212,"")</f>
        <v/>
      </c>
      <c r="AL212" s="12" t="inlineStr">
        <is>
          <t>R8.2</t>
        </is>
      </c>
      <c r="AM212" s="14">
        <f>IF($B212="","",IF($AQ212="","対象年月が未入力／","")&amp;IF($B212="","",IF($AP212="","職員マスタに未登録の職員番号／",IF($AA212="","標準報酬月額が未登録／","")&amp;IF(AND($AQ212&lt;&gt;"",OR(AND(INDEX(職員マスタ!$G$6:$G$405,$AP212)&lt;&gt;"",INDEX(職員マスタ!$G$6:$G$405,$AP212)&gt;EOMONTH($AQ212,0)),AND(INDEX(職員マスタ!$H$6:$H$405,$AP212)&lt;&gt;"",INDEX(職員マスタ!$H$6:$H$405,$AP212)&lt;$AQ212))),"対象月が時短期間外／","")&amp;IF(AND(INDEX(職員マスタ!$K$6:$K$405,$AP212)&lt;&gt;"",N($W212)&gt;0,INDEX(職員マスタ!$K$6:$K$405,$AP212)&lt;&gt;$W212),"標準報酬月額が申請書と相違（台帳"&amp;TEXT(INDEX(職員マスタ!$K$6:$K$405,$AP212),"#,##0")&amp;"円／申請書"&amp;TEXT($W212,"#,##0")&amp;"円）／","")&amp;IF(AND(INDEX(職員マスタ!$F$6:$F$405,$AP212)&lt;&gt;"",$AQ212&lt;&gt;"",INDEX(職員マスタ!$F$6:$F$405,$AP212)&lt;$AQ212),"対象月に子が2歳到達済／","")&amp;IF(AND($H212&lt;&gt;"",INDEX(職員マスタ!$B$6:$B$405,$AP212)&lt;&gt;"",SUBSTITUTE(SUBSTITUTE($H212," ","")," ","")&lt;&gt;SUBSTITUTE(SUBSTITUTE(INDEX(職員マスタ!$B$6:$B$405,$AP212)," ","")," ","")),"氏名がマスタと相違／","")&amp;IF(AND($Q212&lt;&gt;"",INDEX(職員マスタ!$E$6:$E$405,$AP212)&lt;&gt;"",$Q212&lt;&gt;INDEX(職員マスタ!$E$6:$E$405,$AP212)),"子の生年月日がマスタと相違／","")&amp;IF(AND($L212&lt;&gt;"",INDEX(職員マスタ!$G$6:$G$405,$AP212)&lt;&gt;"",$L212&lt;&gt;INDEX(職員マスタ!$G$6:$G$405,$AP212)),"時短開始日がマスタと相違／","")&amp;IF(AND($M212&lt;&gt;"",INDEX(職員マスタ!$H$6:$H$405,$AP212)&lt;&gt;"",$M212&lt;&gt;INDEX(職員マスタ!$H$6:$H$405,$AP212)),"時短終了日がマスタと相違／","")))&amp;IF(AND($B212&lt;&gt;"",$E212=""),"報酬額が未入力／","")&amp;IF(N($U212)&gt;0,"申請書に入力エラーが残っています／","")&amp;IF(AND($B212&lt;&gt;"",$AQ212&lt;&gt;""),IF(COUNTIFS($B$6:$B$3005,$B212,$C$6:$C$3005,$C212,$D$6:$D$3005,$D212)&gt;1,"同じ月の請求が重複しています／",""),"")&amp;IF(AND(N($E212)&gt;0,$AB212&lt;&gt;"",$AB212&lt;&gt;"×",$AE212=0,$AD212=""),"計算額が下限以下のため不支給／",""))</f>
        <v/>
      </c>
      <c r="AN212" s="12" t="n"/>
      <c r="AO212" s="14">
        <f>IF($AF212="保留中",COUNTIF($AF$6:$AF212,"保留中"),"")</f>
        <v/>
      </c>
      <c r="AP212" s="14">
        <f>IF($AQ212="","",IF(SUMPRODUCT(MAX((職員マスタ!$A$6:$A$405=$B212)*(((職員マスタ!$G$6:$G$405="")+(職員マスタ!$G$6:$G$405&lt;=EOMONTH($AQ212,0)))&gt;0)*(((職員マスタ!$H$6:$H$405="")+(職員マスタ!$H$6:$H$405&gt;=$AQ212))&gt;0)*(ROW(職員マスタ!$A$6:$A$405)-5)))&gt;0,SUMPRODUCT(MAX((職員マスタ!$A$6:$A$405=$B212)*(((職員マスタ!$G$6:$G$405="")+(職員マスタ!$G$6:$G$405&lt;=EOMONTH($AQ212,0)))&gt;0)*(((職員マスタ!$H$6:$H$405="")+(職員マスタ!$H$6:$H$405&gt;=$AQ212))&gt;0)*(ROW(職員マスタ!$A$6:$A$405)-5))),IFERROR(MATCH($B212,職員マスタ!$A$6:$A$405,0),"")))</f>
        <v/>
      </c>
      <c r="AQ212" s="16">
        <f>IF(OR($B212="",$C212="",$D212=""),"",DATE($C212+2018,$D212,1))</f>
        <v/>
      </c>
    </row>
    <row r="213">
      <c r="A213" s="11" t="n"/>
      <c r="B213" s="12" t="n">
        <v>6403208</v>
      </c>
      <c r="C213" s="12" t="n">
        <v>8</v>
      </c>
      <c r="D213" s="12" t="n">
        <v>1</v>
      </c>
      <c r="E213" s="13" t="n">
        <v>229865</v>
      </c>
      <c r="F213" s="12" t="n"/>
      <c r="G213" s="13" t="n"/>
      <c r="H213" s="12" t="n"/>
      <c r="I213" s="12" t="n"/>
      <c r="J213" s="12" t="n"/>
      <c r="K213" s="12" t="n"/>
      <c r="L213" s="11" t="n"/>
      <c r="M213" s="11" t="n"/>
      <c r="N213" s="11" t="n"/>
      <c r="O213" s="11" t="n"/>
      <c r="P213" s="12" t="n"/>
      <c r="Q213" s="11" t="n"/>
      <c r="R213" s="12" t="n"/>
      <c r="S213" s="11" t="n"/>
      <c r="T213" s="12" t="n"/>
      <c r="U213" s="12" t="n"/>
      <c r="V213" s="12" t="n"/>
      <c r="W213" s="13" t="n"/>
      <c r="X213" s="14">
        <f>IF($AP213="",IF($B213="","",$H213),IF(INDEX(職員マスタ!$B$6:$B$405,$AP213)="",$H213,INDEX(職員マスタ!$B$6:$B$405,$AP213)))</f>
        <v/>
      </c>
      <c r="Y213" s="14">
        <f>IF($AP213="",IF($B213="","",$R213),IF(INDEX(職員マスタ!$C$6:$C$405,$AP213)="",$R213,INDEX(職員マスタ!$C$6:$C$405,$AP213)))</f>
        <v/>
      </c>
      <c r="Z213" s="14">
        <f>IF($AQ213="","","R"&amp;$C213&amp;"."&amp;$D213)</f>
        <v/>
      </c>
      <c r="AA213" s="15">
        <f>IF(IF($AP213="",FALSE,INDEX(職員マスタ!$K$6:$K$405,$AP213)&lt;&gt;""),INDEX(職員マスタ!$K$6:$K$405,$AP213),IF(N($W213)&gt;0,$W213,""))</f>
        <v/>
      </c>
      <c r="AB213" s="14">
        <f>IF(OR($E213="",$AA213=""),"",IF($E213&gt;=$AA213,"×",IF($E213&gt;=$AA213*設定!$C$5,"△","○")))</f>
        <v/>
      </c>
      <c r="AC213" s="15">
        <f>IF($AB213="","",IF($AB213="×",0,IF($AB213="○",ROUNDDOWN($E213*設定!$C$4,0),ROUNDDOWN($E213*ROUND((9*$AA213-9*$E213)/(10*$E213),4),0))))</f>
        <v/>
      </c>
      <c r="AD213" s="13" t="n"/>
      <c r="AE213" s="15">
        <f>IF($B213="","",IF($AD213&lt;&gt;"",$AD213,IF($AC213="","",IF($AC213&lt;=設定!$C$3,0,$AC213))))</f>
        <v/>
      </c>
      <c r="AF213" s="14">
        <f>IF($B213="","",IF(AND($AG213&lt;&gt;"",$AI213="",$AL213=""),"保留中",IF($AL213&lt;&gt;"",IF(N($AE213)&gt;0,"支給済","不支給"),IF($AE213="","要確認",IF($AE213=0,"不支給","未処理")))))</f>
        <v/>
      </c>
      <c r="AG213" s="12" t="n"/>
      <c r="AH213" s="11" t="n"/>
      <c r="AI213" s="11" t="n"/>
      <c r="AJ213" s="11" t="n"/>
      <c r="AK213" s="14">
        <f>IF(AND($AF213="保留中",$AH213&lt;&gt;""),TODAY()-$AH213,"")</f>
        <v/>
      </c>
      <c r="AL213" s="12" t="inlineStr">
        <is>
          <t>R8.3</t>
        </is>
      </c>
      <c r="AM213" s="14">
        <f>IF($B213="","",IF($AQ213="","対象年月が未入力／","")&amp;IF($B213="","",IF($AP213="","職員マスタに未登録の職員番号／",IF($AA213="","標準報酬月額が未登録／","")&amp;IF(AND($AQ213&lt;&gt;"",OR(AND(INDEX(職員マスタ!$G$6:$G$405,$AP213)&lt;&gt;"",INDEX(職員マスタ!$G$6:$G$405,$AP213)&gt;EOMONTH($AQ213,0)),AND(INDEX(職員マスタ!$H$6:$H$405,$AP213)&lt;&gt;"",INDEX(職員マスタ!$H$6:$H$405,$AP213)&lt;$AQ213))),"対象月が時短期間外／","")&amp;IF(AND(INDEX(職員マスタ!$K$6:$K$405,$AP213)&lt;&gt;"",N($W213)&gt;0,INDEX(職員マスタ!$K$6:$K$405,$AP213)&lt;&gt;$W213),"標準報酬月額が申請書と相違（台帳"&amp;TEXT(INDEX(職員マスタ!$K$6:$K$405,$AP213),"#,##0")&amp;"円／申請書"&amp;TEXT($W213,"#,##0")&amp;"円）／","")&amp;IF(AND(INDEX(職員マスタ!$F$6:$F$405,$AP213)&lt;&gt;"",$AQ213&lt;&gt;"",INDEX(職員マスタ!$F$6:$F$405,$AP213)&lt;$AQ213),"対象月に子が2歳到達済／","")&amp;IF(AND($H213&lt;&gt;"",INDEX(職員マスタ!$B$6:$B$405,$AP213)&lt;&gt;"",SUBSTITUTE(SUBSTITUTE($H213," ","")," ","")&lt;&gt;SUBSTITUTE(SUBSTITUTE(INDEX(職員マスタ!$B$6:$B$405,$AP213)," ","")," ","")),"氏名がマスタと相違／","")&amp;IF(AND($Q213&lt;&gt;"",INDEX(職員マスタ!$E$6:$E$405,$AP213)&lt;&gt;"",$Q213&lt;&gt;INDEX(職員マスタ!$E$6:$E$405,$AP213)),"子の生年月日がマスタと相違／","")&amp;IF(AND($L213&lt;&gt;"",INDEX(職員マスタ!$G$6:$G$405,$AP213)&lt;&gt;"",$L213&lt;&gt;INDEX(職員マスタ!$G$6:$G$405,$AP213)),"時短開始日がマスタと相違／","")&amp;IF(AND($M213&lt;&gt;"",INDEX(職員マスタ!$H$6:$H$405,$AP213)&lt;&gt;"",$M213&lt;&gt;INDEX(職員マスタ!$H$6:$H$405,$AP213)),"時短終了日がマスタと相違／","")))&amp;IF(AND($B213&lt;&gt;"",$E213=""),"報酬額が未入力／","")&amp;IF(N($U213)&gt;0,"申請書に入力エラーが残っています／","")&amp;IF(AND($B213&lt;&gt;"",$AQ213&lt;&gt;""),IF(COUNTIFS($B$6:$B$3005,$B213,$C$6:$C$3005,$C213,$D$6:$D$3005,$D213)&gt;1,"同じ月の請求が重複しています／",""),"")&amp;IF(AND(N($E213)&gt;0,$AB213&lt;&gt;"",$AB213&lt;&gt;"×",$AE213=0,$AD213=""),"計算額が下限以下のため不支給／",""))</f>
        <v/>
      </c>
      <c r="AN213" s="12" t="n"/>
      <c r="AO213" s="14">
        <f>IF($AF213="保留中",COUNTIF($AF$6:$AF213,"保留中"),"")</f>
        <v/>
      </c>
      <c r="AP213" s="14">
        <f>IF($AQ213="","",IF(SUMPRODUCT(MAX((職員マスタ!$A$6:$A$405=$B213)*(((職員マスタ!$G$6:$G$405="")+(職員マスタ!$G$6:$G$405&lt;=EOMONTH($AQ213,0)))&gt;0)*(((職員マスタ!$H$6:$H$405="")+(職員マスタ!$H$6:$H$405&gt;=$AQ213))&gt;0)*(ROW(職員マスタ!$A$6:$A$405)-5)))&gt;0,SUMPRODUCT(MAX((職員マスタ!$A$6:$A$405=$B213)*(((職員マスタ!$G$6:$G$405="")+(職員マスタ!$G$6:$G$405&lt;=EOMONTH($AQ213,0)))&gt;0)*(((職員マスタ!$H$6:$H$405="")+(職員マスタ!$H$6:$H$405&gt;=$AQ213))&gt;0)*(ROW(職員マスタ!$A$6:$A$405)-5))),IFERROR(MATCH($B213,職員マスタ!$A$6:$A$405,0),"")))</f>
        <v/>
      </c>
      <c r="AQ213" s="16">
        <f>IF(OR($B213="",$C213="",$D213=""),"",DATE($C213+2018,$D213,1))</f>
        <v/>
      </c>
    </row>
    <row r="214">
      <c r="A214" s="11" t="n"/>
      <c r="B214" s="12" t="n">
        <v>6403208</v>
      </c>
      <c r="C214" s="12" t="n">
        <v>8</v>
      </c>
      <c r="D214" s="12" t="n">
        <v>2</v>
      </c>
      <c r="E214" s="13" t="n">
        <v>229865</v>
      </c>
      <c r="F214" s="12" t="n"/>
      <c r="G214" s="13" t="n"/>
      <c r="H214" s="12" t="n"/>
      <c r="I214" s="12" t="n"/>
      <c r="J214" s="12" t="n"/>
      <c r="K214" s="12" t="n"/>
      <c r="L214" s="11" t="n"/>
      <c r="M214" s="11" t="n"/>
      <c r="N214" s="11" t="n"/>
      <c r="O214" s="11" t="n"/>
      <c r="P214" s="12" t="n"/>
      <c r="Q214" s="11" t="n"/>
      <c r="R214" s="12" t="n"/>
      <c r="S214" s="11" t="n"/>
      <c r="T214" s="12" t="n"/>
      <c r="U214" s="12" t="n"/>
      <c r="V214" s="12" t="n"/>
      <c r="W214" s="13" t="n"/>
      <c r="X214" s="14">
        <f>IF($AP214="",IF($B214="","",$H214),IF(INDEX(職員マスタ!$B$6:$B$405,$AP214)="",$H214,INDEX(職員マスタ!$B$6:$B$405,$AP214)))</f>
        <v/>
      </c>
      <c r="Y214" s="14">
        <f>IF($AP214="",IF($B214="","",$R214),IF(INDEX(職員マスタ!$C$6:$C$405,$AP214)="",$R214,INDEX(職員マスタ!$C$6:$C$405,$AP214)))</f>
        <v/>
      </c>
      <c r="Z214" s="14">
        <f>IF($AQ214="","","R"&amp;$C214&amp;"."&amp;$D214)</f>
        <v/>
      </c>
      <c r="AA214" s="15">
        <f>IF(IF($AP214="",FALSE,INDEX(職員マスタ!$K$6:$K$405,$AP214)&lt;&gt;""),INDEX(職員マスタ!$K$6:$K$405,$AP214),IF(N($W214)&gt;0,$W214,""))</f>
        <v/>
      </c>
      <c r="AB214" s="14">
        <f>IF(OR($E214="",$AA214=""),"",IF($E214&gt;=$AA214,"×",IF($E214&gt;=$AA214*設定!$C$5,"△","○")))</f>
        <v/>
      </c>
      <c r="AC214" s="15">
        <f>IF($AB214="","",IF($AB214="×",0,IF($AB214="○",ROUNDDOWN($E214*設定!$C$4,0),ROUNDDOWN($E214*ROUND((9*$AA214-9*$E214)/(10*$E214),4),0))))</f>
        <v/>
      </c>
      <c r="AD214" s="13" t="n"/>
      <c r="AE214" s="15">
        <f>IF($B214="","",IF($AD214&lt;&gt;"",$AD214,IF($AC214="","",IF($AC214&lt;=設定!$C$3,0,$AC214))))</f>
        <v/>
      </c>
      <c r="AF214" s="14">
        <f>IF($B214="","",IF(AND($AG214&lt;&gt;"",$AI214="",$AL214=""),"保留中",IF($AL214&lt;&gt;"",IF(N($AE214)&gt;0,"支給済","不支給"),IF($AE214="","要確認",IF($AE214=0,"不支給","未処理")))))</f>
        <v/>
      </c>
      <c r="AG214" s="12" t="n"/>
      <c r="AH214" s="11" t="n"/>
      <c r="AI214" s="11" t="n"/>
      <c r="AJ214" s="11" t="n"/>
      <c r="AK214" s="14">
        <f>IF(AND($AF214="保留中",$AH214&lt;&gt;""),TODAY()-$AH214,"")</f>
        <v/>
      </c>
      <c r="AL214" s="12" t="inlineStr">
        <is>
          <t>R8.4</t>
        </is>
      </c>
      <c r="AM214" s="14">
        <f>IF($B214="","",IF($AQ214="","対象年月が未入力／","")&amp;IF($B214="","",IF($AP214="","職員マスタに未登録の職員番号／",IF($AA214="","標準報酬月額が未登録／","")&amp;IF(AND($AQ214&lt;&gt;"",OR(AND(INDEX(職員マスタ!$G$6:$G$405,$AP214)&lt;&gt;"",INDEX(職員マスタ!$G$6:$G$405,$AP214)&gt;EOMONTH($AQ214,0)),AND(INDEX(職員マスタ!$H$6:$H$405,$AP214)&lt;&gt;"",INDEX(職員マスタ!$H$6:$H$405,$AP214)&lt;$AQ214))),"対象月が時短期間外／","")&amp;IF(AND(INDEX(職員マスタ!$K$6:$K$405,$AP214)&lt;&gt;"",N($W214)&gt;0,INDEX(職員マスタ!$K$6:$K$405,$AP214)&lt;&gt;$W214),"標準報酬月額が申請書と相違（台帳"&amp;TEXT(INDEX(職員マスタ!$K$6:$K$405,$AP214),"#,##0")&amp;"円／申請書"&amp;TEXT($W214,"#,##0")&amp;"円）／","")&amp;IF(AND(INDEX(職員マスタ!$F$6:$F$405,$AP214)&lt;&gt;"",$AQ214&lt;&gt;"",INDEX(職員マスタ!$F$6:$F$405,$AP214)&lt;$AQ214),"対象月に子が2歳到達済／","")&amp;IF(AND($H214&lt;&gt;"",INDEX(職員マスタ!$B$6:$B$405,$AP214)&lt;&gt;"",SUBSTITUTE(SUBSTITUTE($H214," ","")," ","")&lt;&gt;SUBSTITUTE(SUBSTITUTE(INDEX(職員マスタ!$B$6:$B$405,$AP214)," ","")," ","")),"氏名がマスタと相違／","")&amp;IF(AND($Q214&lt;&gt;"",INDEX(職員マスタ!$E$6:$E$405,$AP214)&lt;&gt;"",$Q214&lt;&gt;INDEX(職員マスタ!$E$6:$E$405,$AP214)),"子の生年月日がマスタと相違／","")&amp;IF(AND($L214&lt;&gt;"",INDEX(職員マスタ!$G$6:$G$405,$AP214)&lt;&gt;"",$L214&lt;&gt;INDEX(職員マスタ!$G$6:$G$405,$AP214)),"時短開始日がマスタと相違／","")&amp;IF(AND($M214&lt;&gt;"",INDEX(職員マスタ!$H$6:$H$405,$AP214)&lt;&gt;"",$M214&lt;&gt;INDEX(職員マスタ!$H$6:$H$405,$AP214)),"時短終了日がマスタと相違／","")))&amp;IF(AND($B214&lt;&gt;"",$E214=""),"報酬額が未入力／","")&amp;IF(N($U214)&gt;0,"申請書に入力エラーが残っています／","")&amp;IF(AND($B214&lt;&gt;"",$AQ214&lt;&gt;""),IF(COUNTIFS($B$6:$B$3005,$B214,$C$6:$C$3005,$C214,$D$6:$D$3005,$D214)&gt;1,"同じ月の請求が重複しています／",""),"")&amp;IF(AND(N($E214)&gt;0,$AB214&lt;&gt;"",$AB214&lt;&gt;"×",$AE214=0,$AD214=""),"計算額が下限以下のため不支給／",""))</f>
        <v/>
      </c>
      <c r="AN214" s="12" t="n"/>
      <c r="AO214" s="14">
        <f>IF($AF214="保留中",COUNTIF($AF$6:$AF214,"保留中"),"")</f>
        <v/>
      </c>
      <c r="AP214" s="14">
        <f>IF($AQ214="","",IF(SUMPRODUCT(MAX((職員マスタ!$A$6:$A$405=$B214)*(((職員マスタ!$G$6:$G$405="")+(職員マスタ!$G$6:$G$405&lt;=EOMONTH($AQ214,0)))&gt;0)*(((職員マスタ!$H$6:$H$405="")+(職員マスタ!$H$6:$H$405&gt;=$AQ214))&gt;0)*(ROW(職員マスタ!$A$6:$A$405)-5)))&gt;0,SUMPRODUCT(MAX((職員マスタ!$A$6:$A$405=$B214)*(((職員マスタ!$G$6:$G$405="")+(職員マスタ!$G$6:$G$405&lt;=EOMONTH($AQ214,0)))&gt;0)*(((職員マスタ!$H$6:$H$405="")+(職員マスタ!$H$6:$H$405&gt;=$AQ214))&gt;0)*(ROW(職員マスタ!$A$6:$A$405)-5))),IFERROR(MATCH($B214,職員マスタ!$A$6:$A$405,0),"")))</f>
        <v/>
      </c>
      <c r="AQ214" s="16">
        <f>IF(OR($B214="",$C214="",$D214=""),"",DATE($C214+2018,$D214,1))</f>
        <v/>
      </c>
    </row>
    <row r="215">
      <c r="A215" s="11" t="n"/>
      <c r="B215" s="12" t="n">
        <v>6403281</v>
      </c>
      <c r="C215" s="12" t="n">
        <v>8</v>
      </c>
      <c r="D215" s="12" t="n">
        <v>5</v>
      </c>
      <c r="E215" s="13" t="n">
        <v>213933</v>
      </c>
      <c r="F215" s="12" t="n"/>
      <c r="G215" s="13" t="n"/>
      <c r="H215" s="12" t="n"/>
      <c r="I215" s="12" t="n"/>
      <c r="J215" s="12" t="n"/>
      <c r="K215" s="12" t="n"/>
      <c r="L215" s="11" t="n"/>
      <c r="M215" s="11" t="n"/>
      <c r="N215" s="11" t="n"/>
      <c r="O215" s="11" t="n"/>
      <c r="P215" s="12" t="n"/>
      <c r="Q215" s="11" t="n"/>
      <c r="R215" s="12" t="n"/>
      <c r="S215" s="11" t="n"/>
      <c r="T215" s="12" t="n"/>
      <c r="U215" s="12" t="n"/>
      <c r="V215" s="12" t="n"/>
      <c r="W215" s="13" t="n"/>
      <c r="X215" s="14">
        <f>IF($AP215="",IF($B215="","",$H215),IF(INDEX(職員マスタ!$B$6:$B$405,$AP215)="",$H215,INDEX(職員マスタ!$B$6:$B$405,$AP215)))</f>
        <v/>
      </c>
      <c r="Y215" s="14">
        <f>IF($AP215="",IF($B215="","",$R215),IF(INDEX(職員マスタ!$C$6:$C$405,$AP215)="",$R215,INDEX(職員マスタ!$C$6:$C$405,$AP215)))</f>
        <v/>
      </c>
      <c r="Z215" s="14">
        <f>IF($AQ215="","","R"&amp;$C215&amp;"."&amp;$D215)</f>
        <v/>
      </c>
      <c r="AA215" s="15">
        <f>IF(IF($AP215="",FALSE,INDEX(職員マスタ!$K$6:$K$405,$AP215)&lt;&gt;""),INDEX(職員マスタ!$K$6:$K$405,$AP215),IF(N($W215)&gt;0,$W215,""))</f>
        <v/>
      </c>
      <c r="AB215" s="14">
        <f>IF(OR($E215="",$AA215=""),"",IF($E215&gt;=$AA215,"×",IF($E215&gt;=$AA215*設定!$C$5,"△","○")))</f>
        <v/>
      </c>
      <c r="AC215" s="15">
        <f>IF($AB215="","",IF($AB215="×",0,IF($AB215="○",ROUNDDOWN($E215*設定!$C$4,0),ROUNDDOWN($E215*ROUND((9*$AA215-9*$E215)/(10*$E215),4),0))))</f>
        <v/>
      </c>
      <c r="AD215" s="13" t="n"/>
      <c r="AE215" s="15">
        <f>IF($B215="","",IF($AD215&lt;&gt;"",$AD215,IF($AC215="","",IF($AC215&lt;=設定!$C$3,0,$AC215))))</f>
        <v/>
      </c>
      <c r="AF215" s="14">
        <f>IF($B215="","",IF(AND($AG215&lt;&gt;"",$AI215="",$AL215=""),"保留中",IF($AL215&lt;&gt;"",IF(N($AE215)&gt;0,"支給済","不支給"),IF($AE215="","要確認",IF($AE215=0,"不支給","未処理")))))</f>
        <v/>
      </c>
      <c r="AG215" s="12" t="n"/>
      <c r="AH215" s="11" t="n"/>
      <c r="AI215" s="11" t="n"/>
      <c r="AJ215" s="11" t="n"/>
      <c r="AK215" s="14">
        <f>IF(AND($AF215="保留中",$AH215&lt;&gt;""),TODAY()-$AH215,"")</f>
        <v/>
      </c>
      <c r="AL215" s="12" t="inlineStr">
        <is>
          <t>R8.7</t>
        </is>
      </c>
      <c r="AM215" s="14">
        <f>IF($B215="","",IF($AQ215="","対象年月が未入力／","")&amp;IF($B215="","",IF($AP215="","職員マスタに未登録の職員番号／",IF($AA215="","標準報酬月額が未登録／","")&amp;IF(AND($AQ215&lt;&gt;"",OR(AND(INDEX(職員マスタ!$G$6:$G$405,$AP215)&lt;&gt;"",INDEX(職員マスタ!$G$6:$G$405,$AP215)&gt;EOMONTH($AQ215,0)),AND(INDEX(職員マスタ!$H$6:$H$405,$AP215)&lt;&gt;"",INDEX(職員マスタ!$H$6:$H$405,$AP215)&lt;$AQ215))),"対象月が時短期間外／","")&amp;IF(AND(INDEX(職員マスタ!$K$6:$K$405,$AP215)&lt;&gt;"",N($W215)&gt;0,INDEX(職員マスタ!$K$6:$K$405,$AP215)&lt;&gt;$W215),"標準報酬月額が申請書と相違（台帳"&amp;TEXT(INDEX(職員マスタ!$K$6:$K$405,$AP215),"#,##0")&amp;"円／申請書"&amp;TEXT($W215,"#,##0")&amp;"円）／","")&amp;IF(AND(INDEX(職員マスタ!$F$6:$F$405,$AP215)&lt;&gt;"",$AQ215&lt;&gt;"",INDEX(職員マスタ!$F$6:$F$405,$AP215)&lt;$AQ215),"対象月に子が2歳到達済／","")&amp;IF(AND($H215&lt;&gt;"",INDEX(職員マスタ!$B$6:$B$405,$AP215)&lt;&gt;"",SUBSTITUTE(SUBSTITUTE($H215," ","")," ","")&lt;&gt;SUBSTITUTE(SUBSTITUTE(INDEX(職員マスタ!$B$6:$B$405,$AP215)," ","")," ","")),"氏名がマスタと相違／","")&amp;IF(AND($Q215&lt;&gt;"",INDEX(職員マスタ!$E$6:$E$405,$AP215)&lt;&gt;"",$Q215&lt;&gt;INDEX(職員マスタ!$E$6:$E$405,$AP215)),"子の生年月日がマスタと相違／","")&amp;IF(AND($L215&lt;&gt;"",INDEX(職員マスタ!$G$6:$G$405,$AP215)&lt;&gt;"",$L215&lt;&gt;INDEX(職員マスタ!$G$6:$G$405,$AP215)),"時短開始日がマスタと相違／","")&amp;IF(AND($M215&lt;&gt;"",INDEX(職員マスタ!$H$6:$H$405,$AP215)&lt;&gt;"",$M215&lt;&gt;INDEX(職員マスタ!$H$6:$H$405,$AP215)),"時短終了日がマスタと相違／","")))&amp;IF(AND($B215&lt;&gt;"",$E215=""),"報酬額が未入力／","")&amp;IF(N($U215)&gt;0,"申請書に入力エラーが残っています／","")&amp;IF(AND($B215&lt;&gt;"",$AQ215&lt;&gt;""),IF(COUNTIFS($B$6:$B$3005,$B215,$C$6:$C$3005,$C215,$D$6:$D$3005,$D215)&gt;1,"同じ月の請求が重複しています／",""),"")&amp;IF(AND(N($E215)&gt;0,$AB215&lt;&gt;"",$AB215&lt;&gt;"×",$AE215=0,$AD215=""),"計算額が下限以下のため不支給／",""))</f>
        <v/>
      </c>
      <c r="AN215" s="12" t="n"/>
      <c r="AO215" s="14">
        <f>IF($AF215="保留中",COUNTIF($AF$6:$AF215,"保留中"),"")</f>
        <v/>
      </c>
      <c r="AP215" s="14">
        <f>IF($AQ215="","",IF(SUMPRODUCT(MAX((職員マスタ!$A$6:$A$405=$B215)*(((職員マスタ!$G$6:$G$405="")+(職員マスタ!$G$6:$G$405&lt;=EOMONTH($AQ215,0)))&gt;0)*(((職員マスタ!$H$6:$H$405="")+(職員マスタ!$H$6:$H$405&gt;=$AQ215))&gt;0)*(ROW(職員マスタ!$A$6:$A$405)-5)))&gt;0,SUMPRODUCT(MAX((職員マスタ!$A$6:$A$405=$B215)*(((職員マスタ!$G$6:$G$405="")+(職員マスタ!$G$6:$G$405&lt;=EOMONTH($AQ215,0)))&gt;0)*(((職員マスタ!$H$6:$H$405="")+(職員マスタ!$H$6:$H$405&gt;=$AQ215))&gt;0)*(ROW(職員マスタ!$A$6:$A$405)-5))),IFERROR(MATCH($B215,職員マスタ!$A$6:$A$405,0),"")))</f>
        <v/>
      </c>
      <c r="AQ215" s="16">
        <f>IF(OR($B215="",$C215="",$D215=""),"",DATE($C215+2018,$D215,1))</f>
        <v/>
      </c>
    </row>
    <row r="216">
      <c r="A216" s="11" t="n"/>
      <c r="B216" s="12" t="n">
        <v>6403349</v>
      </c>
      <c r="C216" s="12" t="n">
        <v>7</v>
      </c>
      <c r="D216" s="12" t="n">
        <v>4</v>
      </c>
      <c r="E216" s="13" t="n">
        <v>228710</v>
      </c>
      <c r="F216" s="12" t="n"/>
      <c r="G216" s="13" t="n"/>
      <c r="H216" s="12" t="n"/>
      <c r="I216" s="12" t="n"/>
      <c r="J216" s="12" t="n"/>
      <c r="K216" s="12" t="n"/>
      <c r="L216" s="11" t="n"/>
      <c r="M216" s="11" t="n"/>
      <c r="N216" s="11" t="n"/>
      <c r="O216" s="11" t="n"/>
      <c r="P216" s="12" t="n"/>
      <c r="Q216" s="11" t="n"/>
      <c r="R216" s="12" t="n"/>
      <c r="S216" s="11" t="n"/>
      <c r="T216" s="12" t="n"/>
      <c r="U216" s="12" t="n"/>
      <c r="V216" s="12" t="n"/>
      <c r="W216" s="13" t="n"/>
      <c r="X216" s="14">
        <f>IF($AP216="",IF($B216="","",$H216),IF(INDEX(職員マスタ!$B$6:$B$405,$AP216)="",$H216,INDEX(職員マスタ!$B$6:$B$405,$AP216)))</f>
        <v/>
      </c>
      <c r="Y216" s="14">
        <f>IF($AP216="",IF($B216="","",$R216),IF(INDEX(職員マスタ!$C$6:$C$405,$AP216)="",$R216,INDEX(職員マスタ!$C$6:$C$405,$AP216)))</f>
        <v/>
      </c>
      <c r="Z216" s="14">
        <f>IF($AQ216="","","R"&amp;$C216&amp;"."&amp;$D216)</f>
        <v/>
      </c>
      <c r="AA216" s="15">
        <f>IF(IF($AP216="",FALSE,INDEX(職員マスタ!$K$6:$K$405,$AP216)&lt;&gt;""),INDEX(職員マスタ!$K$6:$K$405,$AP216),IF(N($W216)&gt;0,$W216,""))</f>
        <v/>
      </c>
      <c r="AB216" s="14">
        <f>IF(OR($E216="",$AA216=""),"",IF($E216&gt;=$AA216,"×",IF($E216&gt;=$AA216*設定!$C$5,"△","○")))</f>
        <v/>
      </c>
      <c r="AC216" s="15">
        <f>IF($AB216="","",IF($AB216="×",0,IF($AB216="○",ROUNDDOWN($E216*設定!$C$4,0),ROUNDDOWN($E216*ROUND((9*$AA216-9*$E216)/(10*$E216),4),0))))</f>
        <v/>
      </c>
      <c r="AD216" s="13" t="n"/>
      <c r="AE216" s="15">
        <f>IF($B216="","",IF($AD216&lt;&gt;"",$AD216,IF($AC216="","",IF($AC216&lt;=設定!$C$3,0,$AC216))))</f>
        <v/>
      </c>
      <c r="AF216" s="14">
        <f>IF($B216="","",IF(AND($AG216&lt;&gt;"",$AI216="",$AL216=""),"保留中",IF($AL216&lt;&gt;"",IF(N($AE216)&gt;0,"支給済","不支給"),IF($AE216="","要確認",IF($AE216=0,"不支給","未処理")))))</f>
        <v/>
      </c>
      <c r="AG216" s="12" t="n"/>
      <c r="AH216" s="11" t="n"/>
      <c r="AI216" s="11" t="n"/>
      <c r="AJ216" s="11" t="n"/>
      <c r="AK216" s="14">
        <f>IF(AND($AF216="保留中",$AH216&lt;&gt;""),TODAY()-$AH216,"")</f>
        <v/>
      </c>
      <c r="AL216" s="12" t="inlineStr">
        <is>
          <t>R7.8</t>
        </is>
      </c>
      <c r="AM216" s="14">
        <f>IF($B216="","",IF($AQ216="","対象年月が未入力／","")&amp;IF($B216="","",IF($AP216="","職員マスタに未登録の職員番号／",IF($AA216="","標準報酬月額が未登録／","")&amp;IF(AND($AQ216&lt;&gt;"",OR(AND(INDEX(職員マスタ!$G$6:$G$405,$AP216)&lt;&gt;"",INDEX(職員マスタ!$G$6:$G$405,$AP216)&gt;EOMONTH($AQ216,0)),AND(INDEX(職員マスタ!$H$6:$H$405,$AP216)&lt;&gt;"",INDEX(職員マスタ!$H$6:$H$405,$AP216)&lt;$AQ216))),"対象月が時短期間外／","")&amp;IF(AND(INDEX(職員マスタ!$K$6:$K$405,$AP216)&lt;&gt;"",N($W216)&gt;0,INDEX(職員マスタ!$K$6:$K$405,$AP216)&lt;&gt;$W216),"標準報酬月額が申請書と相違（台帳"&amp;TEXT(INDEX(職員マスタ!$K$6:$K$405,$AP216),"#,##0")&amp;"円／申請書"&amp;TEXT($W216,"#,##0")&amp;"円）／","")&amp;IF(AND(INDEX(職員マスタ!$F$6:$F$405,$AP216)&lt;&gt;"",$AQ216&lt;&gt;"",INDEX(職員マスタ!$F$6:$F$405,$AP216)&lt;$AQ216),"対象月に子が2歳到達済／","")&amp;IF(AND($H216&lt;&gt;"",INDEX(職員マスタ!$B$6:$B$405,$AP216)&lt;&gt;"",SUBSTITUTE(SUBSTITUTE($H216," ","")," ","")&lt;&gt;SUBSTITUTE(SUBSTITUTE(INDEX(職員マスタ!$B$6:$B$405,$AP216)," ","")," ","")),"氏名がマスタと相違／","")&amp;IF(AND($Q216&lt;&gt;"",INDEX(職員マスタ!$E$6:$E$405,$AP216)&lt;&gt;"",$Q216&lt;&gt;INDEX(職員マスタ!$E$6:$E$405,$AP216)),"子の生年月日がマスタと相違／","")&amp;IF(AND($L216&lt;&gt;"",INDEX(職員マスタ!$G$6:$G$405,$AP216)&lt;&gt;"",$L216&lt;&gt;INDEX(職員マスタ!$G$6:$G$405,$AP216)),"時短開始日がマスタと相違／","")&amp;IF(AND($M216&lt;&gt;"",INDEX(職員マスタ!$H$6:$H$405,$AP216)&lt;&gt;"",$M216&lt;&gt;INDEX(職員マスタ!$H$6:$H$405,$AP216)),"時短終了日がマスタと相違／","")))&amp;IF(AND($B216&lt;&gt;"",$E216=""),"報酬額が未入力／","")&amp;IF(N($U216)&gt;0,"申請書に入力エラーが残っています／","")&amp;IF(AND($B216&lt;&gt;"",$AQ216&lt;&gt;""),IF(COUNTIFS($B$6:$B$3005,$B216,$C$6:$C$3005,$C216,$D$6:$D$3005,$D216)&gt;1,"同じ月の請求が重複しています／",""),"")&amp;IF(AND(N($E216)&gt;0,$AB216&lt;&gt;"",$AB216&lt;&gt;"×",$AE216=0,$AD216=""),"計算額が下限以下のため不支給／",""))</f>
        <v/>
      </c>
      <c r="AN216" s="12" t="n"/>
      <c r="AO216" s="14">
        <f>IF($AF216="保留中",COUNTIF($AF$6:$AF216,"保留中"),"")</f>
        <v/>
      </c>
      <c r="AP216" s="14">
        <f>IF($AQ216="","",IF(SUMPRODUCT(MAX((職員マスタ!$A$6:$A$405=$B216)*(((職員マスタ!$G$6:$G$405="")+(職員マスタ!$G$6:$G$405&lt;=EOMONTH($AQ216,0)))&gt;0)*(((職員マスタ!$H$6:$H$405="")+(職員マスタ!$H$6:$H$405&gt;=$AQ216))&gt;0)*(ROW(職員マスタ!$A$6:$A$405)-5)))&gt;0,SUMPRODUCT(MAX((職員マスタ!$A$6:$A$405=$B216)*(((職員マスタ!$G$6:$G$405="")+(職員マスタ!$G$6:$G$405&lt;=EOMONTH($AQ216,0)))&gt;0)*(((職員マスタ!$H$6:$H$405="")+(職員マスタ!$H$6:$H$405&gt;=$AQ216))&gt;0)*(ROW(職員マスタ!$A$6:$A$405)-5))),IFERROR(MATCH($B216,職員マスタ!$A$6:$A$405,0),"")))</f>
        <v/>
      </c>
      <c r="AQ216" s="16">
        <f>IF(OR($B216="",$C216="",$D216=""),"",DATE($C216+2018,$D216,1))</f>
        <v/>
      </c>
    </row>
    <row r="217">
      <c r="A217" s="11" t="n"/>
      <c r="B217" s="12" t="n">
        <v>6403349</v>
      </c>
      <c r="C217" s="12" t="n">
        <v>7</v>
      </c>
      <c r="D217" s="12" t="n">
        <v>5</v>
      </c>
      <c r="E217" s="13" t="n">
        <v>228710</v>
      </c>
      <c r="F217" s="12" t="n"/>
      <c r="G217" s="13" t="n"/>
      <c r="H217" s="12" t="n"/>
      <c r="I217" s="12" t="n"/>
      <c r="J217" s="12" t="n"/>
      <c r="K217" s="12" t="n"/>
      <c r="L217" s="11" t="n"/>
      <c r="M217" s="11" t="n"/>
      <c r="N217" s="11" t="n"/>
      <c r="O217" s="11" t="n"/>
      <c r="P217" s="12" t="n"/>
      <c r="Q217" s="11" t="n"/>
      <c r="R217" s="12" t="n"/>
      <c r="S217" s="11" t="n"/>
      <c r="T217" s="12" t="n"/>
      <c r="U217" s="12" t="n"/>
      <c r="V217" s="12" t="n"/>
      <c r="W217" s="13" t="n"/>
      <c r="X217" s="14">
        <f>IF($AP217="",IF($B217="","",$H217),IF(INDEX(職員マスタ!$B$6:$B$405,$AP217)="",$H217,INDEX(職員マスタ!$B$6:$B$405,$AP217)))</f>
        <v/>
      </c>
      <c r="Y217" s="14">
        <f>IF($AP217="",IF($B217="","",$R217),IF(INDEX(職員マスタ!$C$6:$C$405,$AP217)="",$R217,INDEX(職員マスタ!$C$6:$C$405,$AP217)))</f>
        <v/>
      </c>
      <c r="Z217" s="14">
        <f>IF($AQ217="","","R"&amp;$C217&amp;"."&amp;$D217)</f>
        <v/>
      </c>
      <c r="AA217" s="15">
        <f>IF(IF($AP217="",FALSE,INDEX(職員マスタ!$K$6:$K$405,$AP217)&lt;&gt;""),INDEX(職員マスタ!$K$6:$K$405,$AP217),IF(N($W217)&gt;0,$W217,""))</f>
        <v/>
      </c>
      <c r="AB217" s="14">
        <f>IF(OR($E217="",$AA217=""),"",IF($E217&gt;=$AA217,"×",IF($E217&gt;=$AA217*設定!$C$5,"△","○")))</f>
        <v/>
      </c>
      <c r="AC217" s="15">
        <f>IF($AB217="","",IF($AB217="×",0,IF($AB217="○",ROUNDDOWN($E217*設定!$C$4,0),ROUNDDOWN($E217*ROUND((9*$AA217-9*$E217)/(10*$E217),4),0))))</f>
        <v/>
      </c>
      <c r="AD217" s="13" t="n"/>
      <c r="AE217" s="15">
        <f>IF($B217="","",IF($AD217&lt;&gt;"",$AD217,IF($AC217="","",IF($AC217&lt;=設定!$C$3,0,$AC217))))</f>
        <v/>
      </c>
      <c r="AF217" s="14">
        <f>IF($B217="","",IF(AND($AG217&lt;&gt;"",$AI217="",$AL217=""),"保留中",IF($AL217&lt;&gt;"",IF(N($AE217)&gt;0,"支給済","不支給"),IF($AE217="","要確認",IF($AE217=0,"不支給","未処理")))))</f>
        <v/>
      </c>
      <c r="AG217" s="12" t="n"/>
      <c r="AH217" s="11" t="n"/>
      <c r="AI217" s="11" t="n"/>
      <c r="AJ217" s="11" t="n"/>
      <c r="AK217" s="14">
        <f>IF(AND($AF217="保留中",$AH217&lt;&gt;""),TODAY()-$AH217,"")</f>
        <v/>
      </c>
      <c r="AL217" s="12" t="inlineStr">
        <is>
          <t>R7.8</t>
        </is>
      </c>
      <c r="AM217" s="14">
        <f>IF($B217="","",IF($AQ217="","対象年月が未入力／","")&amp;IF($B217="","",IF($AP217="","職員マスタに未登録の職員番号／",IF($AA217="","標準報酬月額が未登録／","")&amp;IF(AND($AQ217&lt;&gt;"",OR(AND(INDEX(職員マスタ!$G$6:$G$405,$AP217)&lt;&gt;"",INDEX(職員マスタ!$G$6:$G$405,$AP217)&gt;EOMONTH($AQ217,0)),AND(INDEX(職員マスタ!$H$6:$H$405,$AP217)&lt;&gt;"",INDEX(職員マスタ!$H$6:$H$405,$AP217)&lt;$AQ217))),"対象月が時短期間外／","")&amp;IF(AND(INDEX(職員マスタ!$K$6:$K$405,$AP217)&lt;&gt;"",N($W217)&gt;0,INDEX(職員マスタ!$K$6:$K$405,$AP217)&lt;&gt;$W217),"標準報酬月額が申請書と相違（台帳"&amp;TEXT(INDEX(職員マスタ!$K$6:$K$405,$AP217),"#,##0")&amp;"円／申請書"&amp;TEXT($W217,"#,##0")&amp;"円）／","")&amp;IF(AND(INDEX(職員マスタ!$F$6:$F$405,$AP217)&lt;&gt;"",$AQ217&lt;&gt;"",INDEX(職員マスタ!$F$6:$F$405,$AP217)&lt;$AQ217),"対象月に子が2歳到達済／","")&amp;IF(AND($H217&lt;&gt;"",INDEX(職員マスタ!$B$6:$B$405,$AP217)&lt;&gt;"",SUBSTITUTE(SUBSTITUTE($H217," ","")," ","")&lt;&gt;SUBSTITUTE(SUBSTITUTE(INDEX(職員マスタ!$B$6:$B$405,$AP217)," ","")," ","")),"氏名がマスタと相違／","")&amp;IF(AND($Q217&lt;&gt;"",INDEX(職員マスタ!$E$6:$E$405,$AP217)&lt;&gt;"",$Q217&lt;&gt;INDEX(職員マスタ!$E$6:$E$405,$AP217)),"子の生年月日がマスタと相違／","")&amp;IF(AND($L217&lt;&gt;"",INDEX(職員マスタ!$G$6:$G$405,$AP217)&lt;&gt;"",$L217&lt;&gt;INDEX(職員マスタ!$G$6:$G$405,$AP217)),"時短開始日がマスタと相違／","")&amp;IF(AND($M217&lt;&gt;"",INDEX(職員マスタ!$H$6:$H$405,$AP217)&lt;&gt;"",$M217&lt;&gt;INDEX(職員マスタ!$H$6:$H$405,$AP217)),"時短終了日がマスタと相違／","")))&amp;IF(AND($B217&lt;&gt;"",$E217=""),"報酬額が未入力／","")&amp;IF(N($U217)&gt;0,"申請書に入力エラーが残っています／","")&amp;IF(AND($B217&lt;&gt;"",$AQ217&lt;&gt;""),IF(COUNTIFS($B$6:$B$3005,$B217,$C$6:$C$3005,$C217,$D$6:$D$3005,$D217)&gt;1,"同じ月の請求が重複しています／",""),"")&amp;IF(AND(N($E217)&gt;0,$AB217&lt;&gt;"",$AB217&lt;&gt;"×",$AE217=0,$AD217=""),"計算額が下限以下のため不支給／",""))</f>
        <v/>
      </c>
      <c r="AN217" s="12" t="n"/>
      <c r="AO217" s="14">
        <f>IF($AF217="保留中",COUNTIF($AF$6:$AF217,"保留中"),"")</f>
        <v/>
      </c>
      <c r="AP217" s="14">
        <f>IF($AQ217="","",IF(SUMPRODUCT(MAX((職員マスタ!$A$6:$A$405=$B217)*(((職員マスタ!$G$6:$G$405="")+(職員マスタ!$G$6:$G$405&lt;=EOMONTH($AQ217,0)))&gt;0)*(((職員マスタ!$H$6:$H$405="")+(職員マスタ!$H$6:$H$405&gt;=$AQ217))&gt;0)*(ROW(職員マスタ!$A$6:$A$405)-5)))&gt;0,SUMPRODUCT(MAX((職員マスタ!$A$6:$A$405=$B217)*(((職員マスタ!$G$6:$G$405="")+(職員マスタ!$G$6:$G$405&lt;=EOMONTH($AQ217,0)))&gt;0)*(((職員マスタ!$H$6:$H$405="")+(職員マスタ!$H$6:$H$405&gt;=$AQ217))&gt;0)*(ROW(職員マスタ!$A$6:$A$405)-5))),IFERROR(MATCH($B217,職員マスタ!$A$6:$A$405,0),"")))</f>
        <v/>
      </c>
      <c r="AQ217" s="16">
        <f>IF(OR($B217="",$C217="",$D217=""),"",DATE($C217+2018,$D217,1))</f>
        <v/>
      </c>
    </row>
    <row r="218">
      <c r="A218" s="11" t="n"/>
      <c r="B218" s="12" t="n">
        <v>6408289</v>
      </c>
      <c r="C218" s="12" t="n">
        <v>7</v>
      </c>
      <c r="D218" s="12" t="n">
        <v>4</v>
      </c>
      <c r="E218" s="13" t="n">
        <v>313634</v>
      </c>
      <c r="F218" s="12" t="n"/>
      <c r="G218" s="13" t="n"/>
      <c r="H218" s="12" t="n"/>
      <c r="I218" s="12" t="n"/>
      <c r="J218" s="12" t="n"/>
      <c r="K218" s="12" t="n"/>
      <c r="L218" s="11" t="n"/>
      <c r="M218" s="11" t="n"/>
      <c r="N218" s="11" t="n"/>
      <c r="O218" s="11" t="n"/>
      <c r="P218" s="12" t="n"/>
      <c r="Q218" s="11" t="n"/>
      <c r="R218" s="12" t="n"/>
      <c r="S218" s="11" t="n"/>
      <c r="T218" s="12" t="n"/>
      <c r="U218" s="12" t="n"/>
      <c r="V218" s="12" t="n"/>
      <c r="W218" s="13" t="n"/>
      <c r="X218" s="14">
        <f>IF($AP218="",IF($B218="","",$H218),IF(INDEX(職員マスタ!$B$6:$B$405,$AP218)="",$H218,INDEX(職員マスタ!$B$6:$B$405,$AP218)))</f>
        <v/>
      </c>
      <c r="Y218" s="14">
        <f>IF($AP218="",IF($B218="","",$R218),IF(INDEX(職員マスタ!$C$6:$C$405,$AP218)="",$R218,INDEX(職員マスタ!$C$6:$C$405,$AP218)))</f>
        <v/>
      </c>
      <c r="Z218" s="14">
        <f>IF($AQ218="","","R"&amp;$C218&amp;"."&amp;$D218)</f>
        <v/>
      </c>
      <c r="AA218" s="15">
        <f>IF(IF($AP218="",FALSE,INDEX(職員マスタ!$K$6:$K$405,$AP218)&lt;&gt;""),INDEX(職員マスタ!$K$6:$K$405,$AP218),IF(N($W218)&gt;0,$W218,""))</f>
        <v/>
      </c>
      <c r="AB218" s="14">
        <f>IF(OR($E218="",$AA218=""),"",IF($E218&gt;=$AA218,"×",IF($E218&gt;=$AA218*設定!$C$5,"△","○")))</f>
        <v/>
      </c>
      <c r="AC218" s="15">
        <f>IF($AB218="","",IF($AB218="×",0,IF($AB218="○",ROUNDDOWN($E218*設定!$C$4,0),ROUNDDOWN($E218*ROUND((9*$AA218-9*$E218)/(10*$E218),4),0))))</f>
        <v/>
      </c>
      <c r="AD218" s="13" t="n"/>
      <c r="AE218" s="15">
        <f>IF($B218="","",IF($AD218&lt;&gt;"",$AD218,IF($AC218="","",IF($AC218&lt;=設定!$C$3,0,$AC218))))</f>
        <v/>
      </c>
      <c r="AF218" s="14">
        <f>IF($B218="","",IF(AND($AG218&lt;&gt;"",$AI218="",$AL218=""),"保留中",IF($AL218&lt;&gt;"",IF(N($AE218)&gt;0,"支給済","不支給"),IF($AE218="","要確認",IF($AE218=0,"不支給","未処理")))))</f>
        <v/>
      </c>
      <c r="AG218" s="12" t="n"/>
      <c r="AH218" s="11" t="n"/>
      <c r="AI218" s="11" t="n"/>
      <c r="AJ218" s="11" t="n"/>
      <c r="AK218" s="14">
        <f>IF(AND($AF218="保留中",$AH218&lt;&gt;""),TODAY()-$AH218,"")</f>
        <v/>
      </c>
      <c r="AL218" s="12" t="inlineStr">
        <is>
          <t>R7.8</t>
        </is>
      </c>
      <c r="AM218" s="14">
        <f>IF($B218="","",IF($AQ218="","対象年月が未入力／","")&amp;IF($B218="","",IF($AP218="","職員マスタに未登録の職員番号／",IF($AA218="","標準報酬月額が未登録／","")&amp;IF(AND($AQ218&lt;&gt;"",OR(AND(INDEX(職員マスタ!$G$6:$G$405,$AP218)&lt;&gt;"",INDEX(職員マスタ!$G$6:$G$405,$AP218)&gt;EOMONTH($AQ218,0)),AND(INDEX(職員マスタ!$H$6:$H$405,$AP218)&lt;&gt;"",INDEX(職員マスタ!$H$6:$H$405,$AP218)&lt;$AQ218))),"対象月が時短期間外／","")&amp;IF(AND(INDEX(職員マスタ!$K$6:$K$405,$AP218)&lt;&gt;"",N($W218)&gt;0,INDEX(職員マスタ!$K$6:$K$405,$AP218)&lt;&gt;$W218),"標準報酬月額が申請書と相違（台帳"&amp;TEXT(INDEX(職員マスタ!$K$6:$K$405,$AP218),"#,##0")&amp;"円／申請書"&amp;TEXT($W218,"#,##0")&amp;"円）／","")&amp;IF(AND(INDEX(職員マスタ!$F$6:$F$405,$AP218)&lt;&gt;"",$AQ218&lt;&gt;"",INDEX(職員マスタ!$F$6:$F$405,$AP218)&lt;$AQ218),"対象月に子が2歳到達済／","")&amp;IF(AND($H218&lt;&gt;"",INDEX(職員マスタ!$B$6:$B$405,$AP218)&lt;&gt;"",SUBSTITUTE(SUBSTITUTE($H218," ","")," ","")&lt;&gt;SUBSTITUTE(SUBSTITUTE(INDEX(職員マスタ!$B$6:$B$405,$AP218)," ","")," ","")),"氏名がマスタと相違／","")&amp;IF(AND($Q218&lt;&gt;"",INDEX(職員マスタ!$E$6:$E$405,$AP218)&lt;&gt;"",$Q218&lt;&gt;INDEX(職員マスタ!$E$6:$E$405,$AP218)),"子の生年月日がマスタと相違／","")&amp;IF(AND($L218&lt;&gt;"",INDEX(職員マスタ!$G$6:$G$405,$AP218)&lt;&gt;"",$L218&lt;&gt;INDEX(職員マスタ!$G$6:$G$405,$AP218)),"時短開始日がマスタと相違／","")&amp;IF(AND($M218&lt;&gt;"",INDEX(職員マスタ!$H$6:$H$405,$AP218)&lt;&gt;"",$M218&lt;&gt;INDEX(職員マスタ!$H$6:$H$405,$AP218)),"時短終了日がマスタと相違／","")))&amp;IF(AND($B218&lt;&gt;"",$E218=""),"報酬額が未入力／","")&amp;IF(N($U218)&gt;0,"申請書に入力エラーが残っています／","")&amp;IF(AND($B218&lt;&gt;"",$AQ218&lt;&gt;""),IF(COUNTIFS($B$6:$B$3005,$B218,$C$6:$C$3005,$C218,$D$6:$D$3005,$D218)&gt;1,"同じ月の請求が重複しています／",""),"")&amp;IF(AND(N($E218)&gt;0,$AB218&lt;&gt;"",$AB218&lt;&gt;"×",$AE218=0,$AD218=""),"計算額が下限以下のため不支給／",""))</f>
        <v/>
      </c>
      <c r="AN218" s="12" t="n"/>
      <c r="AO218" s="14">
        <f>IF($AF218="保留中",COUNTIF($AF$6:$AF218,"保留中"),"")</f>
        <v/>
      </c>
      <c r="AP218" s="14">
        <f>IF($AQ218="","",IF(SUMPRODUCT(MAX((職員マスタ!$A$6:$A$405=$B218)*(((職員マスタ!$G$6:$G$405="")+(職員マスタ!$G$6:$G$405&lt;=EOMONTH($AQ218,0)))&gt;0)*(((職員マスタ!$H$6:$H$405="")+(職員マスタ!$H$6:$H$405&gt;=$AQ218))&gt;0)*(ROW(職員マスタ!$A$6:$A$405)-5)))&gt;0,SUMPRODUCT(MAX((職員マスタ!$A$6:$A$405=$B218)*(((職員マスタ!$G$6:$G$405="")+(職員マスタ!$G$6:$G$405&lt;=EOMONTH($AQ218,0)))&gt;0)*(((職員マスタ!$H$6:$H$405="")+(職員マスタ!$H$6:$H$405&gt;=$AQ218))&gt;0)*(ROW(職員マスタ!$A$6:$A$405)-5))),IFERROR(MATCH($B218,職員マスタ!$A$6:$A$405,0),"")))</f>
        <v/>
      </c>
      <c r="AQ218" s="16">
        <f>IF(OR($B218="",$C218="",$D218=""),"",DATE($C218+2018,$D218,1))</f>
        <v/>
      </c>
    </row>
    <row r="219">
      <c r="A219" s="11" t="n"/>
      <c r="B219" s="12" t="n">
        <v>6408289</v>
      </c>
      <c r="C219" s="12" t="n">
        <v>7</v>
      </c>
      <c r="D219" s="12" t="n">
        <v>5</v>
      </c>
      <c r="E219" s="13" t="n">
        <v>315740</v>
      </c>
      <c r="F219" s="12" t="n"/>
      <c r="G219" s="13" t="n"/>
      <c r="H219" s="12" t="n"/>
      <c r="I219" s="12" t="n"/>
      <c r="J219" s="12" t="n"/>
      <c r="K219" s="12" t="n"/>
      <c r="L219" s="11" t="n"/>
      <c r="M219" s="11" t="n"/>
      <c r="N219" s="11" t="n"/>
      <c r="O219" s="11" t="n"/>
      <c r="P219" s="12" t="n"/>
      <c r="Q219" s="11" t="n"/>
      <c r="R219" s="12" t="n"/>
      <c r="S219" s="11" t="n"/>
      <c r="T219" s="12" t="n"/>
      <c r="U219" s="12" t="n"/>
      <c r="V219" s="12" t="n"/>
      <c r="W219" s="13" t="n"/>
      <c r="X219" s="14">
        <f>IF($AP219="",IF($B219="","",$H219),IF(INDEX(職員マスタ!$B$6:$B$405,$AP219)="",$H219,INDEX(職員マスタ!$B$6:$B$405,$AP219)))</f>
        <v/>
      </c>
      <c r="Y219" s="14">
        <f>IF($AP219="",IF($B219="","",$R219),IF(INDEX(職員マスタ!$C$6:$C$405,$AP219)="",$R219,INDEX(職員マスタ!$C$6:$C$405,$AP219)))</f>
        <v/>
      </c>
      <c r="Z219" s="14">
        <f>IF($AQ219="","","R"&amp;$C219&amp;"."&amp;$D219)</f>
        <v/>
      </c>
      <c r="AA219" s="15">
        <f>IF(IF($AP219="",FALSE,INDEX(職員マスタ!$K$6:$K$405,$AP219)&lt;&gt;""),INDEX(職員マスタ!$K$6:$K$405,$AP219),IF(N($W219)&gt;0,$W219,""))</f>
        <v/>
      </c>
      <c r="AB219" s="14">
        <f>IF(OR($E219="",$AA219=""),"",IF($E219&gt;=$AA219,"×",IF($E219&gt;=$AA219*設定!$C$5,"△","○")))</f>
        <v/>
      </c>
      <c r="AC219" s="15">
        <f>IF($AB219="","",IF($AB219="×",0,IF($AB219="○",ROUNDDOWN($E219*設定!$C$4,0),ROUNDDOWN($E219*ROUND((9*$AA219-9*$E219)/(10*$E219),4),0))))</f>
        <v/>
      </c>
      <c r="AD219" s="13" t="n"/>
      <c r="AE219" s="15">
        <f>IF($B219="","",IF($AD219&lt;&gt;"",$AD219,IF($AC219="","",IF($AC219&lt;=設定!$C$3,0,$AC219))))</f>
        <v/>
      </c>
      <c r="AF219" s="14">
        <f>IF($B219="","",IF(AND($AG219&lt;&gt;"",$AI219="",$AL219=""),"保留中",IF($AL219&lt;&gt;"",IF(N($AE219)&gt;0,"支給済","不支給"),IF($AE219="","要確認",IF($AE219=0,"不支給","未処理")))))</f>
        <v/>
      </c>
      <c r="AG219" s="12" t="n"/>
      <c r="AH219" s="11" t="n"/>
      <c r="AI219" s="11" t="n"/>
      <c r="AJ219" s="11" t="n"/>
      <c r="AK219" s="14">
        <f>IF(AND($AF219="保留中",$AH219&lt;&gt;""),TODAY()-$AH219,"")</f>
        <v/>
      </c>
      <c r="AL219" s="12" t="inlineStr">
        <is>
          <t>R7.8</t>
        </is>
      </c>
      <c r="AM219" s="14">
        <f>IF($B219="","",IF($AQ219="","対象年月が未入力／","")&amp;IF($B219="","",IF($AP219="","職員マスタに未登録の職員番号／",IF($AA219="","標準報酬月額が未登録／","")&amp;IF(AND($AQ219&lt;&gt;"",OR(AND(INDEX(職員マスタ!$G$6:$G$405,$AP219)&lt;&gt;"",INDEX(職員マスタ!$G$6:$G$405,$AP219)&gt;EOMONTH($AQ219,0)),AND(INDEX(職員マスタ!$H$6:$H$405,$AP219)&lt;&gt;"",INDEX(職員マスタ!$H$6:$H$405,$AP219)&lt;$AQ219))),"対象月が時短期間外／","")&amp;IF(AND(INDEX(職員マスタ!$K$6:$K$405,$AP219)&lt;&gt;"",N($W219)&gt;0,INDEX(職員マスタ!$K$6:$K$405,$AP219)&lt;&gt;$W219),"標準報酬月額が申請書と相違（台帳"&amp;TEXT(INDEX(職員マスタ!$K$6:$K$405,$AP219),"#,##0")&amp;"円／申請書"&amp;TEXT($W219,"#,##0")&amp;"円）／","")&amp;IF(AND(INDEX(職員マスタ!$F$6:$F$405,$AP219)&lt;&gt;"",$AQ219&lt;&gt;"",INDEX(職員マスタ!$F$6:$F$405,$AP219)&lt;$AQ219),"対象月に子が2歳到達済／","")&amp;IF(AND($H219&lt;&gt;"",INDEX(職員マスタ!$B$6:$B$405,$AP219)&lt;&gt;"",SUBSTITUTE(SUBSTITUTE($H219," ","")," ","")&lt;&gt;SUBSTITUTE(SUBSTITUTE(INDEX(職員マスタ!$B$6:$B$405,$AP219)," ","")," ","")),"氏名がマスタと相違／","")&amp;IF(AND($Q219&lt;&gt;"",INDEX(職員マスタ!$E$6:$E$405,$AP219)&lt;&gt;"",$Q219&lt;&gt;INDEX(職員マスタ!$E$6:$E$405,$AP219)),"子の生年月日がマスタと相違／","")&amp;IF(AND($L219&lt;&gt;"",INDEX(職員マスタ!$G$6:$G$405,$AP219)&lt;&gt;"",$L219&lt;&gt;INDEX(職員マスタ!$G$6:$G$405,$AP219)),"時短開始日がマスタと相違／","")&amp;IF(AND($M219&lt;&gt;"",INDEX(職員マスタ!$H$6:$H$405,$AP219)&lt;&gt;"",$M219&lt;&gt;INDEX(職員マスタ!$H$6:$H$405,$AP219)),"時短終了日がマスタと相違／","")))&amp;IF(AND($B219&lt;&gt;"",$E219=""),"報酬額が未入力／","")&amp;IF(N($U219)&gt;0,"申請書に入力エラーが残っています／","")&amp;IF(AND($B219&lt;&gt;"",$AQ219&lt;&gt;""),IF(COUNTIFS($B$6:$B$3005,$B219,$C$6:$C$3005,$C219,$D$6:$D$3005,$D219)&gt;1,"同じ月の請求が重複しています／",""),"")&amp;IF(AND(N($E219)&gt;0,$AB219&lt;&gt;"",$AB219&lt;&gt;"×",$AE219=0,$AD219=""),"計算額が下限以下のため不支給／",""))</f>
        <v/>
      </c>
      <c r="AN219" s="12" t="n"/>
      <c r="AO219" s="14">
        <f>IF($AF219="保留中",COUNTIF($AF$6:$AF219,"保留中"),"")</f>
        <v/>
      </c>
      <c r="AP219" s="14">
        <f>IF($AQ219="","",IF(SUMPRODUCT(MAX((職員マスタ!$A$6:$A$405=$B219)*(((職員マスタ!$G$6:$G$405="")+(職員マスタ!$G$6:$G$405&lt;=EOMONTH($AQ219,0)))&gt;0)*(((職員マスタ!$H$6:$H$405="")+(職員マスタ!$H$6:$H$405&gt;=$AQ219))&gt;0)*(ROW(職員マスタ!$A$6:$A$405)-5)))&gt;0,SUMPRODUCT(MAX((職員マスタ!$A$6:$A$405=$B219)*(((職員マスタ!$G$6:$G$405="")+(職員マスタ!$G$6:$G$405&lt;=EOMONTH($AQ219,0)))&gt;0)*(((職員マスタ!$H$6:$H$405="")+(職員マスタ!$H$6:$H$405&gt;=$AQ219))&gt;0)*(ROW(職員マスタ!$A$6:$A$405)-5))),IFERROR(MATCH($B219,職員マスタ!$A$6:$A$405,0),"")))</f>
        <v/>
      </c>
      <c r="AQ219" s="16">
        <f>IF(OR($B219="",$C219="",$D219=""),"",DATE($C219+2018,$D219,1))</f>
        <v/>
      </c>
    </row>
    <row r="220">
      <c r="A220" s="11" t="n"/>
      <c r="B220" s="12" t="n">
        <v>6408289</v>
      </c>
      <c r="C220" s="12" t="n">
        <v>7</v>
      </c>
      <c r="D220" s="12" t="n">
        <v>6</v>
      </c>
      <c r="E220" s="13" t="n">
        <v>315740</v>
      </c>
      <c r="F220" s="12" t="n"/>
      <c r="G220" s="13" t="n"/>
      <c r="H220" s="12" t="n"/>
      <c r="I220" s="12" t="n"/>
      <c r="J220" s="12" t="n"/>
      <c r="K220" s="12" t="n"/>
      <c r="L220" s="11" t="n"/>
      <c r="M220" s="11" t="n"/>
      <c r="N220" s="11" t="n"/>
      <c r="O220" s="11" t="n"/>
      <c r="P220" s="12" t="n"/>
      <c r="Q220" s="11" t="n"/>
      <c r="R220" s="12" t="n"/>
      <c r="S220" s="11" t="n"/>
      <c r="T220" s="12" t="n"/>
      <c r="U220" s="12" t="n"/>
      <c r="V220" s="12" t="n"/>
      <c r="W220" s="13" t="n"/>
      <c r="X220" s="14">
        <f>IF($AP220="",IF($B220="","",$H220),IF(INDEX(職員マスタ!$B$6:$B$405,$AP220)="",$H220,INDEX(職員マスタ!$B$6:$B$405,$AP220)))</f>
        <v/>
      </c>
      <c r="Y220" s="14">
        <f>IF($AP220="",IF($B220="","",$R220),IF(INDEX(職員マスタ!$C$6:$C$405,$AP220)="",$R220,INDEX(職員マスタ!$C$6:$C$405,$AP220)))</f>
        <v/>
      </c>
      <c r="Z220" s="14">
        <f>IF($AQ220="","","R"&amp;$C220&amp;"."&amp;$D220)</f>
        <v/>
      </c>
      <c r="AA220" s="15">
        <f>IF(IF($AP220="",FALSE,INDEX(職員マスタ!$K$6:$K$405,$AP220)&lt;&gt;""),INDEX(職員マスタ!$K$6:$K$405,$AP220),IF(N($W220)&gt;0,$W220,""))</f>
        <v/>
      </c>
      <c r="AB220" s="14">
        <f>IF(OR($E220="",$AA220=""),"",IF($E220&gt;=$AA220,"×",IF($E220&gt;=$AA220*設定!$C$5,"△","○")))</f>
        <v/>
      </c>
      <c r="AC220" s="15">
        <f>IF($AB220="","",IF($AB220="×",0,IF($AB220="○",ROUNDDOWN($E220*設定!$C$4,0),ROUNDDOWN($E220*ROUND((9*$AA220-9*$E220)/(10*$E220),4),0))))</f>
        <v/>
      </c>
      <c r="AD220" s="13" t="n"/>
      <c r="AE220" s="15">
        <f>IF($B220="","",IF($AD220&lt;&gt;"",$AD220,IF($AC220="","",IF($AC220&lt;=設定!$C$3,0,$AC220))))</f>
        <v/>
      </c>
      <c r="AF220" s="14">
        <f>IF($B220="","",IF(AND($AG220&lt;&gt;"",$AI220="",$AL220=""),"保留中",IF($AL220&lt;&gt;"",IF(N($AE220)&gt;0,"支給済","不支給"),IF($AE220="","要確認",IF($AE220=0,"不支給","未処理")))))</f>
        <v/>
      </c>
      <c r="AG220" s="12" t="n"/>
      <c r="AH220" s="11" t="n"/>
      <c r="AI220" s="11" t="n"/>
      <c r="AJ220" s="11" t="n"/>
      <c r="AK220" s="14">
        <f>IF(AND($AF220="保留中",$AH220&lt;&gt;""),TODAY()-$AH220,"")</f>
        <v/>
      </c>
      <c r="AL220" s="12" t="inlineStr">
        <is>
          <t>R7.9</t>
        </is>
      </c>
      <c r="AM220" s="14">
        <f>IF($B220="","",IF($AQ220="","対象年月が未入力／","")&amp;IF($B220="","",IF($AP220="","職員マスタに未登録の職員番号／",IF($AA220="","標準報酬月額が未登録／","")&amp;IF(AND($AQ220&lt;&gt;"",OR(AND(INDEX(職員マスタ!$G$6:$G$405,$AP220)&lt;&gt;"",INDEX(職員マスタ!$G$6:$G$405,$AP220)&gt;EOMONTH($AQ220,0)),AND(INDEX(職員マスタ!$H$6:$H$405,$AP220)&lt;&gt;"",INDEX(職員マスタ!$H$6:$H$405,$AP220)&lt;$AQ220))),"対象月が時短期間外／","")&amp;IF(AND(INDEX(職員マスタ!$K$6:$K$405,$AP220)&lt;&gt;"",N($W220)&gt;0,INDEX(職員マスタ!$K$6:$K$405,$AP220)&lt;&gt;$W220),"標準報酬月額が申請書と相違（台帳"&amp;TEXT(INDEX(職員マスタ!$K$6:$K$405,$AP220),"#,##0")&amp;"円／申請書"&amp;TEXT($W220,"#,##0")&amp;"円）／","")&amp;IF(AND(INDEX(職員マスタ!$F$6:$F$405,$AP220)&lt;&gt;"",$AQ220&lt;&gt;"",INDEX(職員マスタ!$F$6:$F$405,$AP220)&lt;$AQ220),"対象月に子が2歳到達済／","")&amp;IF(AND($H220&lt;&gt;"",INDEX(職員マスタ!$B$6:$B$405,$AP220)&lt;&gt;"",SUBSTITUTE(SUBSTITUTE($H220," ","")," ","")&lt;&gt;SUBSTITUTE(SUBSTITUTE(INDEX(職員マスタ!$B$6:$B$405,$AP220)," ","")," ","")),"氏名がマスタと相違／","")&amp;IF(AND($Q220&lt;&gt;"",INDEX(職員マスタ!$E$6:$E$405,$AP220)&lt;&gt;"",$Q220&lt;&gt;INDEX(職員マスタ!$E$6:$E$405,$AP220)),"子の生年月日がマスタと相違／","")&amp;IF(AND($L220&lt;&gt;"",INDEX(職員マスタ!$G$6:$G$405,$AP220)&lt;&gt;"",$L220&lt;&gt;INDEX(職員マスタ!$G$6:$G$405,$AP220)),"時短開始日がマスタと相違／","")&amp;IF(AND($M220&lt;&gt;"",INDEX(職員マスタ!$H$6:$H$405,$AP220)&lt;&gt;"",$M220&lt;&gt;INDEX(職員マスタ!$H$6:$H$405,$AP220)),"時短終了日がマスタと相違／","")))&amp;IF(AND($B220&lt;&gt;"",$E220=""),"報酬額が未入力／","")&amp;IF(N($U220)&gt;0,"申請書に入力エラーが残っています／","")&amp;IF(AND($B220&lt;&gt;"",$AQ220&lt;&gt;""),IF(COUNTIFS($B$6:$B$3005,$B220,$C$6:$C$3005,$C220,$D$6:$D$3005,$D220)&gt;1,"同じ月の請求が重複しています／",""),"")&amp;IF(AND(N($E220)&gt;0,$AB220&lt;&gt;"",$AB220&lt;&gt;"×",$AE220=0,$AD220=""),"計算額が下限以下のため不支給／",""))</f>
        <v/>
      </c>
      <c r="AN220" s="12" t="n"/>
      <c r="AO220" s="14">
        <f>IF($AF220="保留中",COUNTIF($AF$6:$AF220,"保留中"),"")</f>
        <v/>
      </c>
      <c r="AP220" s="14">
        <f>IF($AQ220="","",IF(SUMPRODUCT(MAX((職員マスタ!$A$6:$A$405=$B220)*(((職員マスタ!$G$6:$G$405="")+(職員マスタ!$G$6:$G$405&lt;=EOMONTH($AQ220,0)))&gt;0)*(((職員マスタ!$H$6:$H$405="")+(職員マスタ!$H$6:$H$405&gt;=$AQ220))&gt;0)*(ROW(職員マスタ!$A$6:$A$405)-5)))&gt;0,SUMPRODUCT(MAX((職員マスタ!$A$6:$A$405=$B220)*(((職員マスタ!$G$6:$G$405="")+(職員マスタ!$G$6:$G$405&lt;=EOMONTH($AQ220,0)))&gt;0)*(((職員マスタ!$H$6:$H$405="")+(職員マスタ!$H$6:$H$405&gt;=$AQ220))&gt;0)*(ROW(職員マスタ!$A$6:$A$405)-5))),IFERROR(MATCH($B220,職員マスタ!$A$6:$A$405,0),"")))</f>
        <v/>
      </c>
      <c r="AQ220" s="16">
        <f>IF(OR($B220="",$C220="",$D220=""),"",DATE($C220+2018,$D220,1))</f>
        <v/>
      </c>
    </row>
    <row r="221">
      <c r="A221" s="11" t="n"/>
      <c r="B221" s="12" t="n">
        <v>6502529</v>
      </c>
      <c r="C221" s="12" t="n">
        <v>8</v>
      </c>
      <c r="D221" s="12" t="n">
        <v>4</v>
      </c>
      <c r="E221" s="13" t="n">
        <v>200363</v>
      </c>
      <c r="F221" s="12" t="n"/>
      <c r="G221" s="13" t="n"/>
      <c r="H221" s="12" t="n"/>
      <c r="I221" s="12" t="n"/>
      <c r="J221" s="12" t="n"/>
      <c r="K221" s="12" t="n"/>
      <c r="L221" s="11" t="n"/>
      <c r="M221" s="11" t="n"/>
      <c r="N221" s="11" t="n"/>
      <c r="O221" s="11" t="n"/>
      <c r="P221" s="12" t="n"/>
      <c r="Q221" s="11" t="n"/>
      <c r="R221" s="12" t="n"/>
      <c r="S221" s="11" t="n"/>
      <c r="T221" s="12" t="n"/>
      <c r="U221" s="12" t="n"/>
      <c r="V221" s="12" t="n"/>
      <c r="W221" s="13" t="n"/>
      <c r="X221" s="14">
        <f>IF($AP221="",IF($B221="","",$H221),IF(INDEX(職員マスタ!$B$6:$B$405,$AP221)="",$H221,INDEX(職員マスタ!$B$6:$B$405,$AP221)))</f>
        <v/>
      </c>
      <c r="Y221" s="14">
        <f>IF($AP221="",IF($B221="","",$R221),IF(INDEX(職員マスタ!$C$6:$C$405,$AP221)="",$R221,INDEX(職員マスタ!$C$6:$C$405,$AP221)))</f>
        <v/>
      </c>
      <c r="Z221" s="14">
        <f>IF($AQ221="","","R"&amp;$C221&amp;"."&amp;$D221)</f>
        <v/>
      </c>
      <c r="AA221" s="15">
        <f>IF(IF($AP221="",FALSE,INDEX(職員マスタ!$K$6:$K$405,$AP221)&lt;&gt;""),INDEX(職員マスタ!$K$6:$K$405,$AP221),IF(N($W221)&gt;0,$W221,""))</f>
        <v/>
      </c>
      <c r="AB221" s="14">
        <f>IF(OR($E221="",$AA221=""),"",IF($E221&gt;=$AA221,"×",IF($E221&gt;=$AA221*設定!$C$5,"△","○")))</f>
        <v/>
      </c>
      <c r="AC221" s="15">
        <f>IF($AB221="","",IF($AB221="×",0,IF($AB221="○",ROUNDDOWN($E221*設定!$C$4,0),ROUNDDOWN($E221*ROUND((9*$AA221-9*$E221)/(10*$E221),4),0))))</f>
        <v/>
      </c>
      <c r="AD221" s="13" t="n"/>
      <c r="AE221" s="15">
        <f>IF($B221="","",IF($AD221&lt;&gt;"",$AD221,IF($AC221="","",IF($AC221&lt;=設定!$C$3,0,$AC221))))</f>
        <v/>
      </c>
      <c r="AF221" s="14">
        <f>IF($B221="","",IF(AND($AG221&lt;&gt;"",$AI221="",$AL221=""),"保留中",IF($AL221&lt;&gt;"",IF(N($AE221)&gt;0,"支給済","不支給"),IF($AE221="","要確認",IF($AE221=0,"不支給","未処理")))))</f>
        <v/>
      </c>
      <c r="AG221" s="12" t="n"/>
      <c r="AH221" s="11" t="n"/>
      <c r="AI221" s="11" t="n"/>
      <c r="AJ221" s="11" t="n"/>
      <c r="AK221" s="14">
        <f>IF(AND($AF221="保留中",$AH221&lt;&gt;""),TODAY()-$AH221,"")</f>
        <v/>
      </c>
      <c r="AL221" s="12" t="inlineStr">
        <is>
          <t>R8.10</t>
        </is>
      </c>
      <c r="AM221" s="14">
        <f>IF($B221="","",IF($AQ221="","対象年月が未入力／","")&amp;IF($B221="","",IF($AP221="","職員マスタに未登録の職員番号／",IF($AA221="","標準報酬月額が未登録／","")&amp;IF(AND($AQ221&lt;&gt;"",OR(AND(INDEX(職員マスタ!$G$6:$G$405,$AP221)&lt;&gt;"",INDEX(職員マスタ!$G$6:$G$405,$AP221)&gt;EOMONTH($AQ221,0)),AND(INDEX(職員マスタ!$H$6:$H$405,$AP221)&lt;&gt;"",INDEX(職員マスタ!$H$6:$H$405,$AP221)&lt;$AQ221))),"対象月が時短期間外／","")&amp;IF(AND(INDEX(職員マスタ!$K$6:$K$405,$AP221)&lt;&gt;"",N($W221)&gt;0,INDEX(職員マスタ!$K$6:$K$405,$AP221)&lt;&gt;$W221),"標準報酬月額が申請書と相違（台帳"&amp;TEXT(INDEX(職員マスタ!$K$6:$K$405,$AP221),"#,##0")&amp;"円／申請書"&amp;TEXT($W221,"#,##0")&amp;"円）／","")&amp;IF(AND(INDEX(職員マスタ!$F$6:$F$405,$AP221)&lt;&gt;"",$AQ221&lt;&gt;"",INDEX(職員マスタ!$F$6:$F$405,$AP221)&lt;$AQ221),"対象月に子が2歳到達済／","")&amp;IF(AND($H221&lt;&gt;"",INDEX(職員マスタ!$B$6:$B$405,$AP221)&lt;&gt;"",SUBSTITUTE(SUBSTITUTE($H221," ","")," ","")&lt;&gt;SUBSTITUTE(SUBSTITUTE(INDEX(職員マスタ!$B$6:$B$405,$AP221)," ","")," ","")),"氏名がマスタと相違／","")&amp;IF(AND($Q221&lt;&gt;"",INDEX(職員マスタ!$E$6:$E$405,$AP221)&lt;&gt;"",$Q221&lt;&gt;INDEX(職員マスタ!$E$6:$E$405,$AP221)),"子の生年月日がマスタと相違／","")&amp;IF(AND($L221&lt;&gt;"",INDEX(職員マスタ!$G$6:$G$405,$AP221)&lt;&gt;"",$L221&lt;&gt;INDEX(職員マスタ!$G$6:$G$405,$AP221)),"時短開始日がマスタと相違／","")&amp;IF(AND($M221&lt;&gt;"",INDEX(職員マスタ!$H$6:$H$405,$AP221)&lt;&gt;"",$M221&lt;&gt;INDEX(職員マスタ!$H$6:$H$405,$AP221)),"時短終了日がマスタと相違／","")))&amp;IF(AND($B221&lt;&gt;"",$E221=""),"報酬額が未入力／","")&amp;IF(N($U221)&gt;0,"申請書に入力エラーが残っています／","")&amp;IF(AND($B221&lt;&gt;"",$AQ221&lt;&gt;""),IF(COUNTIFS($B$6:$B$3005,$B221,$C$6:$C$3005,$C221,$D$6:$D$3005,$D221)&gt;1,"同じ月の請求が重複しています／",""),"")&amp;IF(AND(N($E221)&gt;0,$AB221&lt;&gt;"",$AB221&lt;&gt;"×",$AE221=0,$AD221=""),"計算額が下限以下のため不支給／",""))</f>
        <v/>
      </c>
      <c r="AN221" s="12" t="n"/>
      <c r="AO221" s="14">
        <f>IF($AF221="保留中",COUNTIF($AF$6:$AF221,"保留中"),"")</f>
        <v/>
      </c>
      <c r="AP221" s="14">
        <f>IF($AQ221="","",IF(SUMPRODUCT(MAX((職員マスタ!$A$6:$A$405=$B221)*(((職員マスタ!$G$6:$G$405="")+(職員マスタ!$G$6:$G$405&lt;=EOMONTH($AQ221,0)))&gt;0)*(((職員マスタ!$H$6:$H$405="")+(職員マスタ!$H$6:$H$405&gt;=$AQ221))&gt;0)*(ROW(職員マスタ!$A$6:$A$405)-5)))&gt;0,SUMPRODUCT(MAX((職員マスタ!$A$6:$A$405=$B221)*(((職員マスタ!$G$6:$G$405="")+(職員マスタ!$G$6:$G$405&lt;=EOMONTH($AQ221,0)))&gt;0)*(((職員マスタ!$H$6:$H$405="")+(職員マスタ!$H$6:$H$405&gt;=$AQ221))&gt;0)*(ROW(職員マスタ!$A$6:$A$405)-5))),IFERROR(MATCH($B221,職員マスタ!$A$6:$A$405,0),"")))</f>
        <v/>
      </c>
      <c r="AQ221" s="16">
        <f>IF(OR($B221="",$C221="",$D221=""),"",DATE($C221+2018,$D221,1))</f>
        <v/>
      </c>
    </row>
    <row r="222">
      <c r="A222" s="11" t="n"/>
      <c r="B222" s="12" t="n">
        <v>6502529</v>
      </c>
      <c r="C222" s="12" t="n">
        <v>8</v>
      </c>
      <c r="D222" s="12" t="n">
        <v>5</v>
      </c>
      <c r="E222" s="13" t="n">
        <v>206483</v>
      </c>
      <c r="F222" s="12" t="n"/>
      <c r="G222" s="13" t="n"/>
      <c r="H222" s="12" t="n"/>
      <c r="I222" s="12" t="n"/>
      <c r="J222" s="12" t="n"/>
      <c r="K222" s="12" t="n"/>
      <c r="L222" s="11" t="n"/>
      <c r="M222" s="11" t="n"/>
      <c r="N222" s="11" t="n"/>
      <c r="O222" s="11" t="n"/>
      <c r="P222" s="12" t="n"/>
      <c r="Q222" s="11" t="n"/>
      <c r="R222" s="12" t="n"/>
      <c r="S222" s="11" t="n"/>
      <c r="T222" s="12" t="n"/>
      <c r="U222" s="12" t="n"/>
      <c r="V222" s="12" t="n"/>
      <c r="W222" s="13" t="n"/>
      <c r="X222" s="14">
        <f>IF($AP222="",IF($B222="","",$H222),IF(INDEX(職員マスタ!$B$6:$B$405,$AP222)="",$H222,INDEX(職員マスタ!$B$6:$B$405,$AP222)))</f>
        <v/>
      </c>
      <c r="Y222" s="14">
        <f>IF($AP222="",IF($B222="","",$R222),IF(INDEX(職員マスタ!$C$6:$C$405,$AP222)="",$R222,INDEX(職員マスタ!$C$6:$C$405,$AP222)))</f>
        <v/>
      </c>
      <c r="Z222" s="14">
        <f>IF($AQ222="","","R"&amp;$C222&amp;"."&amp;$D222)</f>
        <v/>
      </c>
      <c r="AA222" s="15">
        <f>IF(IF($AP222="",FALSE,INDEX(職員マスタ!$K$6:$K$405,$AP222)&lt;&gt;""),INDEX(職員マスタ!$K$6:$K$405,$AP222),IF(N($W222)&gt;0,$W222,""))</f>
        <v/>
      </c>
      <c r="AB222" s="14">
        <f>IF(OR($E222="",$AA222=""),"",IF($E222&gt;=$AA222,"×",IF($E222&gt;=$AA222*設定!$C$5,"△","○")))</f>
        <v/>
      </c>
      <c r="AC222" s="15">
        <f>IF($AB222="","",IF($AB222="×",0,IF($AB222="○",ROUNDDOWN($E222*設定!$C$4,0),ROUNDDOWN($E222*ROUND((9*$AA222-9*$E222)/(10*$E222),4),0))))</f>
        <v/>
      </c>
      <c r="AD222" s="13" t="n"/>
      <c r="AE222" s="15">
        <f>IF($B222="","",IF($AD222&lt;&gt;"",$AD222,IF($AC222="","",IF($AC222&lt;=設定!$C$3,0,$AC222))))</f>
        <v/>
      </c>
      <c r="AF222" s="14">
        <f>IF($B222="","",IF(AND($AG222&lt;&gt;"",$AI222="",$AL222=""),"保留中",IF($AL222&lt;&gt;"",IF(N($AE222)&gt;0,"支給済","不支給"),IF($AE222="","要確認",IF($AE222=0,"不支給","未処理")))))</f>
        <v/>
      </c>
      <c r="AG222" s="12" t="n"/>
      <c r="AH222" s="11" t="n"/>
      <c r="AI222" s="11" t="n"/>
      <c r="AJ222" s="11" t="n"/>
      <c r="AK222" s="14">
        <f>IF(AND($AF222="保留中",$AH222&lt;&gt;""),TODAY()-$AH222,"")</f>
        <v/>
      </c>
      <c r="AL222" s="12" t="inlineStr">
        <is>
          <t>R8.10</t>
        </is>
      </c>
      <c r="AM222" s="14">
        <f>IF($B222="","",IF($AQ222="","対象年月が未入力／","")&amp;IF($B222="","",IF($AP222="","職員マスタに未登録の職員番号／",IF($AA222="","標準報酬月額が未登録／","")&amp;IF(AND($AQ222&lt;&gt;"",OR(AND(INDEX(職員マスタ!$G$6:$G$405,$AP222)&lt;&gt;"",INDEX(職員マスタ!$G$6:$G$405,$AP222)&gt;EOMONTH($AQ222,0)),AND(INDEX(職員マスタ!$H$6:$H$405,$AP222)&lt;&gt;"",INDEX(職員マスタ!$H$6:$H$405,$AP222)&lt;$AQ222))),"対象月が時短期間外／","")&amp;IF(AND(INDEX(職員マスタ!$K$6:$K$405,$AP222)&lt;&gt;"",N($W222)&gt;0,INDEX(職員マスタ!$K$6:$K$405,$AP222)&lt;&gt;$W222),"標準報酬月額が申請書と相違（台帳"&amp;TEXT(INDEX(職員マスタ!$K$6:$K$405,$AP222),"#,##0")&amp;"円／申請書"&amp;TEXT($W222,"#,##0")&amp;"円）／","")&amp;IF(AND(INDEX(職員マスタ!$F$6:$F$405,$AP222)&lt;&gt;"",$AQ222&lt;&gt;"",INDEX(職員マスタ!$F$6:$F$405,$AP222)&lt;$AQ222),"対象月に子が2歳到達済／","")&amp;IF(AND($H222&lt;&gt;"",INDEX(職員マスタ!$B$6:$B$405,$AP222)&lt;&gt;"",SUBSTITUTE(SUBSTITUTE($H222," ","")," ","")&lt;&gt;SUBSTITUTE(SUBSTITUTE(INDEX(職員マスタ!$B$6:$B$405,$AP222)," ","")," ","")),"氏名がマスタと相違／","")&amp;IF(AND($Q222&lt;&gt;"",INDEX(職員マスタ!$E$6:$E$405,$AP222)&lt;&gt;"",$Q222&lt;&gt;INDEX(職員マスタ!$E$6:$E$405,$AP222)),"子の生年月日がマスタと相違／","")&amp;IF(AND($L222&lt;&gt;"",INDEX(職員マスタ!$G$6:$G$405,$AP222)&lt;&gt;"",$L222&lt;&gt;INDEX(職員マスタ!$G$6:$G$405,$AP222)),"時短開始日がマスタと相違／","")&amp;IF(AND($M222&lt;&gt;"",INDEX(職員マスタ!$H$6:$H$405,$AP222)&lt;&gt;"",$M222&lt;&gt;INDEX(職員マスタ!$H$6:$H$405,$AP222)),"時短終了日がマスタと相違／","")))&amp;IF(AND($B222&lt;&gt;"",$E222=""),"報酬額が未入力／","")&amp;IF(N($U222)&gt;0,"申請書に入力エラーが残っています／","")&amp;IF(AND($B222&lt;&gt;"",$AQ222&lt;&gt;""),IF(COUNTIFS($B$6:$B$3005,$B222,$C$6:$C$3005,$C222,$D$6:$D$3005,$D222)&gt;1,"同じ月の請求が重複しています／",""),"")&amp;IF(AND(N($E222)&gt;0,$AB222&lt;&gt;"",$AB222&lt;&gt;"×",$AE222=0,$AD222=""),"計算額が下限以下のため不支給／",""))</f>
        <v/>
      </c>
      <c r="AN222" s="12" t="n"/>
      <c r="AO222" s="14">
        <f>IF($AF222="保留中",COUNTIF($AF$6:$AF222,"保留中"),"")</f>
        <v/>
      </c>
      <c r="AP222" s="14">
        <f>IF($AQ222="","",IF(SUMPRODUCT(MAX((職員マスタ!$A$6:$A$405=$B222)*(((職員マスタ!$G$6:$G$405="")+(職員マスタ!$G$6:$G$405&lt;=EOMONTH($AQ222,0)))&gt;0)*(((職員マスタ!$H$6:$H$405="")+(職員マスタ!$H$6:$H$405&gt;=$AQ222))&gt;0)*(ROW(職員マスタ!$A$6:$A$405)-5)))&gt;0,SUMPRODUCT(MAX((職員マスタ!$A$6:$A$405=$B222)*(((職員マスタ!$G$6:$G$405="")+(職員マスタ!$G$6:$G$405&lt;=EOMONTH($AQ222,0)))&gt;0)*(((職員マスタ!$H$6:$H$405="")+(職員マスタ!$H$6:$H$405&gt;=$AQ222))&gt;0)*(ROW(職員マスタ!$A$6:$A$405)-5))),IFERROR(MATCH($B222,職員マスタ!$A$6:$A$405,0),"")))</f>
        <v/>
      </c>
      <c r="AQ222" s="16">
        <f>IF(OR($B222="",$C222="",$D222=""),"",DATE($C222+2018,$D222,1))</f>
        <v/>
      </c>
    </row>
    <row r="223">
      <c r="A223" s="11" t="n"/>
      <c r="B223" s="12" t="n">
        <v>6502529</v>
      </c>
      <c r="C223" s="12" t="n">
        <v>8</v>
      </c>
      <c r="D223" s="12" t="n">
        <v>6</v>
      </c>
      <c r="E223" s="13" t="n">
        <v>204443</v>
      </c>
      <c r="F223" s="12" t="n"/>
      <c r="G223" s="13" t="n"/>
      <c r="H223" s="12" t="n"/>
      <c r="I223" s="12" t="n"/>
      <c r="J223" s="12" t="n"/>
      <c r="K223" s="12" t="n"/>
      <c r="L223" s="11" t="n"/>
      <c r="M223" s="11" t="n"/>
      <c r="N223" s="11" t="n"/>
      <c r="O223" s="11" t="n"/>
      <c r="P223" s="12" t="n"/>
      <c r="Q223" s="11" t="n"/>
      <c r="R223" s="12" t="n"/>
      <c r="S223" s="11" t="n"/>
      <c r="T223" s="12" t="n"/>
      <c r="U223" s="12" t="n"/>
      <c r="V223" s="12" t="n"/>
      <c r="W223" s="13" t="n"/>
      <c r="X223" s="14">
        <f>IF($AP223="",IF($B223="","",$H223),IF(INDEX(職員マスタ!$B$6:$B$405,$AP223)="",$H223,INDEX(職員マスタ!$B$6:$B$405,$AP223)))</f>
        <v/>
      </c>
      <c r="Y223" s="14">
        <f>IF($AP223="",IF($B223="","",$R223),IF(INDEX(職員マスタ!$C$6:$C$405,$AP223)="",$R223,INDEX(職員マスタ!$C$6:$C$405,$AP223)))</f>
        <v/>
      </c>
      <c r="Z223" s="14">
        <f>IF($AQ223="","","R"&amp;$C223&amp;"."&amp;$D223)</f>
        <v/>
      </c>
      <c r="AA223" s="15">
        <f>IF(IF($AP223="",FALSE,INDEX(職員マスタ!$K$6:$K$405,$AP223)&lt;&gt;""),INDEX(職員マスタ!$K$6:$K$405,$AP223),IF(N($W223)&gt;0,$W223,""))</f>
        <v/>
      </c>
      <c r="AB223" s="14">
        <f>IF(OR($E223="",$AA223=""),"",IF($E223&gt;=$AA223,"×",IF($E223&gt;=$AA223*設定!$C$5,"△","○")))</f>
        <v/>
      </c>
      <c r="AC223" s="15">
        <f>IF($AB223="","",IF($AB223="×",0,IF($AB223="○",ROUNDDOWN($E223*設定!$C$4,0),ROUNDDOWN($E223*ROUND((9*$AA223-9*$E223)/(10*$E223),4),0))))</f>
        <v/>
      </c>
      <c r="AD223" s="13" t="n"/>
      <c r="AE223" s="15">
        <f>IF($B223="","",IF($AD223&lt;&gt;"",$AD223,IF($AC223="","",IF($AC223&lt;=設定!$C$3,0,$AC223))))</f>
        <v/>
      </c>
      <c r="AF223" s="14">
        <f>IF($B223="","",IF(AND($AG223&lt;&gt;"",$AI223="",$AL223=""),"保留中",IF($AL223&lt;&gt;"",IF(N($AE223)&gt;0,"支給済","不支給"),IF($AE223="","要確認",IF($AE223=0,"不支給","未処理")))))</f>
        <v/>
      </c>
      <c r="AG223" s="12" t="n"/>
      <c r="AH223" s="11" t="n"/>
      <c r="AI223" s="11" t="n"/>
      <c r="AJ223" s="11" t="n"/>
      <c r="AK223" s="14">
        <f>IF(AND($AF223="保留中",$AH223&lt;&gt;""),TODAY()-$AH223,"")</f>
        <v/>
      </c>
      <c r="AL223" s="12" t="inlineStr">
        <is>
          <t>R8.10</t>
        </is>
      </c>
      <c r="AM223" s="14">
        <f>IF($B223="","",IF($AQ223="","対象年月が未入力／","")&amp;IF($B223="","",IF($AP223="","職員マスタに未登録の職員番号／",IF($AA223="","標準報酬月額が未登録／","")&amp;IF(AND($AQ223&lt;&gt;"",OR(AND(INDEX(職員マスタ!$G$6:$G$405,$AP223)&lt;&gt;"",INDEX(職員マスタ!$G$6:$G$405,$AP223)&gt;EOMONTH($AQ223,0)),AND(INDEX(職員マスタ!$H$6:$H$405,$AP223)&lt;&gt;"",INDEX(職員マスタ!$H$6:$H$405,$AP223)&lt;$AQ223))),"対象月が時短期間外／","")&amp;IF(AND(INDEX(職員マスタ!$K$6:$K$405,$AP223)&lt;&gt;"",N($W223)&gt;0,INDEX(職員マスタ!$K$6:$K$405,$AP223)&lt;&gt;$W223),"標準報酬月額が申請書と相違（台帳"&amp;TEXT(INDEX(職員マスタ!$K$6:$K$405,$AP223),"#,##0")&amp;"円／申請書"&amp;TEXT($W223,"#,##0")&amp;"円）／","")&amp;IF(AND(INDEX(職員マスタ!$F$6:$F$405,$AP223)&lt;&gt;"",$AQ223&lt;&gt;"",INDEX(職員マスタ!$F$6:$F$405,$AP223)&lt;$AQ223),"対象月に子が2歳到達済／","")&amp;IF(AND($H223&lt;&gt;"",INDEX(職員マスタ!$B$6:$B$405,$AP223)&lt;&gt;"",SUBSTITUTE(SUBSTITUTE($H223," ","")," ","")&lt;&gt;SUBSTITUTE(SUBSTITUTE(INDEX(職員マスタ!$B$6:$B$405,$AP223)," ","")," ","")),"氏名がマスタと相違／","")&amp;IF(AND($Q223&lt;&gt;"",INDEX(職員マスタ!$E$6:$E$405,$AP223)&lt;&gt;"",$Q223&lt;&gt;INDEX(職員マスタ!$E$6:$E$405,$AP223)),"子の生年月日がマスタと相違／","")&amp;IF(AND($L223&lt;&gt;"",INDEX(職員マスタ!$G$6:$G$405,$AP223)&lt;&gt;"",$L223&lt;&gt;INDEX(職員マスタ!$G$6:$G$405,$AP223)),"時短開始日がマスタと相違／","")&amp;IF(AND($M223&lt;&gt;"",INDEX(職員マスタ!$H$6:$H$405,$AP223)&lt;&gt;"",$M223&lt;&gt;INDEX(職員マスタ!$H$6:$H$405,$AP223)),"時短終了日がマスタと相違／","")))&amp;IF(AND($B223&lt;&gt;"",$E223=""),"報酬額が未入力／","")&amp;IF(N($U223)&gt;0,"申請書に入力エラーが残っています／","")&amp;IF(AND($B223&lt;&gt;"",$AQ223&lt;&gt;""),IF(COUNTIFS($B$6:$B$3005,$B223,$C$6:$C$3005,$C223,$D$6:$D$3005,$D223)&gt;1,"同じ月の請求が重複しています／",""),"")&amp;IF(AND(N($E223)&gt;0,$AB223&lt;&gt;"",$AB223&lt;&gt;"×",$AE223=0,$AD223=""),"計算額が下限以下のため不支給／",""))</f>
        <v/>
      </c>
      <c r="AN223" s="12" t="n"/>
      <c r="AO223" s="14">
        <f>IF($AF223="保留中",COUNTIF($AF$6:$AF223,"保留中"),"")</f>
        <v/>
      </c>
      <c r="AP223" s="14">
        <f>IF($AQ223="","",IF(SUMPRODUCT(MAX((職員マスタ!$A$6:$A$405=$B223)*(((職員マスタ!$G$6:$G$405="")+(職員マスタ!$G$6:$G$405&lt;=EOMONTH($AQ223,0)))&gt;0)*(((職員マスタ!$H$6:$H$405="")+(職員マスタ!$H$6:$H$405&gt;=$AQ223))&gt;0)*(ROW(職員マスタ!$A$6:$A$405)-5)))&gt;0,SUMPRODUCT(MAX((職員マスタ!$A$6:$A$405=$B223)*(((職員マスタ!$G$6:$G$405="")+(職員マスタ!$G$6:$G$405&lt;=EOMONTH($AQ223,0)))&gt;0)*(((職員マスタ!$H$6:$H$405="")+(職員マスタ!$H$6:$H$405&gt;=$AQ223))&gt;0)*(ROW(職員マスタ!$A$6:$A$405)-5))),IFERROR(MATCH($B223,職員マスタ!$A$6:$A$405,0),"")))</f>
        <v/>
      </c>
      <c r="AQ223" s="16">
        <f>IF(OR($B223="",$C223="",$D223=""),"",DATE($C223+2018,$D223,1))</f>
        <v/>
      </c>
    </row>
    <row r="224">
      <c r="A224" s="11" t="n"/>
      <c r="B224" s="12" t="n">
        <v>6502529</v>
      </c>
      <c r="C224" s="12" t="n">
        <v>8</v>
      </c>
      <c r="D224" s="12" t="n">
        <v>7</v>
      </c>
      <c r="E224" s="13" t="n">
        <v>204443</v>
      </c>
      <c r="F224" s="12" t="n"/>
      <c r="G224" s="13" t="n"/>
      <c r="H224" s="12" t="n"/>
      <c r="I224" s="12" t="n"/>
      <c r="J224" s="12" t="n"/>
      <c r="K224" s="12" t="n"/>
      <c r="L224" s="11" t="n"/>
      <c r="M224" s="11" t="n"/>
      <c r="N224" s="11" t="n"/>
      <c r="O224" s="11" t="n"/>
      <c r="P224" s="12" t="n"/>
      <c r="Q224" s="11" t="n"/>
      <c r="R224" s="12" t="n"/>
      <c r="S224" s="11" t="n"/>
      <c r="T224" s="12" t="n"/>
      <c r="U224" s="12" t="n"/>
      <c r="V224" s="12" t="n"/>
      <c r="W224" s="13" t="n"/>
      <c r="X224" s="14">
        <f>IF($AP224="",IF($B224="","",$H224),IF(INDEX(職員マスタ!$B$6:$B$405,$AP224)="",$H224,INDEX(職員マスタ!$B$6:$B$405,$AP224)))</f>
        <v/>
      </c>
      <c r="Y224" s="14">
        <f>IF($AP224="",IF($B224="","",$R224),IF(INDEX(職員マスタ!$C$6:$C$405,$AP224)="",$R224,INDEX(職員マスタ!$C$6:$C$405,$AP224)))</f>
        <v/>
      </c>
      <c r="Z224" s="14">
        <f>IF($AQ224="","","R"&amp;$C224&amp;"."&amp;$D224)</f>
        <v/>
      </c>
      <c r="AA224" s="15">
        <f>IF(IF($AP224="",FALSE,INDEX(職員マスタ!$K$6:$K$405,$AP224)&lt;&gt;""),INDEX(職員マスタ!$K$6:$K$405,$AP224),IF(N($W224)&gt;0,$W224,""))</f>
        <v/>
      </c>
      <c r="AB224" s="14">
        <f>IF(OR($E224="",$AA224=""),"",IF($E224&gt;=$AA224,"×",IF($E224&gt;=$AA224*設定!$C$5,"△","○")))</f>
        <v/>
      </c>
      <c r="AC224" s="15">
        <f>IF($AB224="","",IF($AB224="×",0,IF($AB224="○",ROUNDDOWN($E224*設定!$C$4,0),ROUNDDOWN($E224*ROUND((9*$AA224-9*$E224)/(10*$E224),4),0))))</f>
        <v/>
      </c>
      <c r="AD224" s="13" t="n"/>
      <c r="AE224" s="15">
        <f>IF($B224="","",IF($AD224&lt;&gt;"",$AD224,IF($AC224="","",IF($AC224&lt;=設定!$C$3,0,$AC224))))</f>
        <v/>
      </c>
      <c r="AF224" s="14">
        <f>IF($B224="","",IF(AND($AG224&lt;&gt;"",$AI224="",$AL224=""),"保留中",IF($AL224&lt;&gt;"",IF(N($AE224)&gt;0,"支給済","不支給"),IF($AE224="","要確認",IF($AE224=0,"不支給","未処理")))))</f>
        <v/>
      </c>
      <c r="AG224" s="12" t="n"/>
      <c r="AH224" s="11" t="n"/>
      <c r="AI224" s="11" t="n"/>
      <c r="AJ224" s="11" t="n"/>
      <c r="AK224" s="14">
        <f>IF(AND($AF224="保留中",$AH224&lt;&gt;""),TODAY()-$AH224,"")</f>
        <v/>
      </c>
      <c r="AL224" s="12" t="inlineStr">
        <is>
          <t>R8.10</t>
        </is>
      </c>
      <c r="AM224" s="14">
        <f>IF($B224="","",IF($AQ224="","対象年月が未入力／","")&amp;IF($B224="","",IF($AP224="","職員マスタに未登録の職員番号／",IF($AA224="","標準報酬月額が未登録／","")&amp;IF(AND($AQ224&lt;&gt;"",OR(AND(INDEX(職員マスタ!$G$6:$G$405,$AP224)&lt;&gt;"",INDEX(職員マスタ!$G$6:$G$405,$AP224)&gt;EOMONTH($AQ224,0)),AND(INDEX(職員マスタ!$H$6:$H$405,$AP224)&lt;&gt;"",INDEX(職員マスタ!$H$6:$H$405,$AP224)&lt;$AQ224))),"対象月が時短期間外／","")&amp;IF(AND(INDEX(職員マスタ!$K$6:$K$405,$AP224)&lt;&gt;"",N($W224)&gt;0,INDEX(職員マスタ!$K$6:$K$405,$AP224)&lt;&gt;$W224),"標準報酬月額が申請書と相違（台帳"&amp;TEXT(INDEX(職員マスタ!$K$6:$K$405,$AP224),"#,##0")&amp;"円／申請書"&amp;TEXT($W224,"#,##0")&amp;"円）／","")&amp;IF(AND(INDEX(職員マスタ!$F$6:$F$405,$AP224)&lt;&gt;"",$AQ224&lt;&gt;"",INDEX(職員マスタ!$F$6:$F$405,$AP224)&lt;$AQ224),"対象月に子が2歳到達済／","")&amp;IF(AND($H224&lt;&gt;"",INDEX(職員マスタ!$B$6:$B$405,$AP224)&lt;&gt;"",SUBSTITUTE(SUBSTITUTE($H224," ","")," ","")&lt;&gt;SUBSTITUTE(SUBSTITUTE(INDEX(職員マスタ!$B$6:$B$405,$AP224)," ","")," ","")),"氏名がマスタと相違／","")&amp;IF(AND($Q224&lt;&gt;"",INDEX(職員マスタ!$E$6:$E$405,$AP224)&lt;&gt;"",$Q224&lt;&gt;INDEX(職員マスタ!$E$6:$E$405,$AP224)),"子の生年月日がマスタと相違／","")&amp;IF(AND($L224&lt;&gt;"",INDEX(職員マスタ!$G$6:$G$405,$AP224)&lt;&gt;"",$L224&lt;&gt;INDEX(職員マスタ!$G$6:$G$405,$AP224)),"時短開始日がマスタと相違／","")&amp;IF(AND($M224&lt;&gt;"",INDEX(職員マスタ!$H$6:$H$405,$AP224)&lt;&gt;"",$M224&lt;&gt;INDEX(職員マスタ!$H$6:$H$405,$AP224)),"時短終了日がマスタと相違／","")))&amp;IF(AND($B224&lt;&gt;"",$E224=""),"報酬額が未入力／","")&amp;IF(N($U224)&gt;0,"申請書に入力エラーが残っています／","")&amp;IF(AND($B224&lt;&gt;"",$AQ224&lt;&gt;""),IF(COUNTIFS($B$6:$B$3005,$B224,$C$6:$C$3005,$C224,$D$6:$D$3005,$D224)&gt;1,"同じ月の請求が重複しています／",""),"")&amp;IF(AND(N($E224)&gt;0,$AB224&lt;&gt;"",$AB224&lt;&gt;"×",$AE224=0,$AD224=""),"計算額が下限以下のため不支給／",""))</f>
        <v/>
      </c>
      <c r="AN224" s="12" t="n"/>
      <c r="AO224" s="14">
        <f>IF($AF224="保留中",COUNTIF($AF$6:$AF224,"保留中"),"")</f>
        <v/>
      </c>
      <c r="AP224" s="14">
        <f>IF($AQ224="","",IF(SUMPRODUCT(MAX((職員マスタ!$A$6:$A$405=$B224)*(((職員マスタ!$G$6:$G$405="")+(職員マスタ!$G$6:$G$405&lt;=EOMONTH($AQ224,0)))&gt;0)*(((職員マスタ!$H$6:$H$405="")+(職員マスタ!$H$6:$H$405&gt;=$AQ224))&gt;0)*(ROW(職員マスタ!$A$6:$A$405)-5)))&gt;0,SUMPRODUCT(MAX((職員マスタ!$A$6:$A$405=$B224)*(((職員マスタ!$G$6:$G$405="")+(職員マスタ!$G$6:$G$405&lt;=EOMONTH($AQ224,0)))&gt;0)*(((職員マスタ!$H$6:$H$405="")+(職員マスタ!$H$6:$H$405&gt;=$AQ224))&gt;0)*(ROW(職員マスタ!$A$6:$A$405)-5))),IFERROR(MATCH($B224,職員マスタ!$A$6:$A$405,0),"")))</f>
        <v/>
      </c>
      <c r="AQ224" s="16">
        <f>IF(OR($B224="",$C224="",$D224=""),"",DATE($C224+2018,$D224,1))</f>
        <v/>
      </c>
    </row>
    <row r="225">
      <c r="A225" s="11" t="n"/>
      <c r="B225" s="12" t="n">
        <v>6502529</v>
      </c>
      <c r="C225" s="12" t="n">
        <v>8</v>
      </c>
      <c r="D225" s="12" t="n">
        <v>8</v>
      </c>
      <c r="E225" s="13" t="n">
        <v>200363</v>
      </c>
      <c r="F225" s="12" t="n"/>
      <c r="G225" s="13" t="n"/>
      <c r="H225" s="12" t="n"/>
      <c r="I225" s="12" t="n"/>
      <c r="J225" s="12" t="n"/>
      <c r="K225" s="12" t="n"/>
      <c r="L225" s="11" t="n"/>
      <c r="M225" s="11" t="n"/>
      <c r="N225" s="11" t="n"/>
      <c r="O225" s="11" t="n"/>
      <c r="P225" s="12" t="n"/>
      <c r="Q225" s="11" t="n"/>
      <c r="R225" s="12" t="n"/>
      <c r="S225" s="11" t="n"/>
      <c r="T225" s="12" t="n"/>
      <c r="U225" s="12" t="n"/>
      <c r="V225" s="12" t="n"/>
      <c r="W225" s="13" t="n"/>
      <c r="X225" s="14">
        <f>IF($AP225="",IF($B225="","",$H225),IF(INDEX(職員マスタ!$B$6:$B$405,$AP225)="",$H225,INDEX(職員マスタ!$B$6:$B$405,$AP225)))</f>
        <v/>
      </c>
      <c r="Y225" s="14">
        <f>IF($AP225="",IF($B225="","",$R225),IF(INDEX(職員マスタ!$C$6:$C$405,$AP225)="",$R225,INDEX(職員マスタ!$C$6:$C$405,$AP225)))</f>
        <v/>
      </c>
      <c r="Z225" s="14">
        <f>IF($AQ225="","","R"&amp;$C225&amp;"."&amp;$D225)</f>
        <v/>
      </c>
      <c r="AA225" s="15">
        <f>IF(IF($AP225="",FALSE,INDEX(職員マスタ!$K$6:$K$405,$AP225)&lt;&gt;""),INDEX(職員マスタ!$K$6:$K$405,$AP225),IF(N($W225)&gt;0,$W225,""))</f>
        <v/>
      </c>
      <c r="AB225" s="14">
        <f>IF(OR($E225="",$AA225=""),"",IF($E225&gt;=$AA225,"×",IF($E225&gt;=$AA225*設定!$C$5,"△","○")))</f>
        <v/>
      </c>
      <c r="AC225" s="15">
        <f>IF($AB225="","",IF($AB225="×",0,IF($AB225="○",ROUNDDOWN($E225*設定!$C$4,0),ROUNDDOWN($E225*ROUND((9*$AA225-9*$E225)/(10*$E225),4),0))))</f>
        <v/>
      </c>
      <c r="AD225" s="13" t="n"/>
      <c r="AE225" s="15">
        <f>IF($B225="","",IF($AD225&lt;&gt;"",$AD225,IF($AC225="","",IF($AC225&lt;=設定!$C$3,0,$AC225))))</f>
        <v/>
      </c>
      <c r="AF225" s="14">
        <f>IF($B225="","",IF(AND($AG225&lt;&gt;"",$AI225="",$AL225=""),"保留中",IF($AL225&lt;&gt;"",IF(N($AE225)&gt;0,"支給済","不支給"),IF($AE225="","要確認",IF($AE225=0,"不支給","未処理")))))</f>
        <v/>
      </c>
      <c r="AG225" s="12" t="n"/>
      <c r="AH225" s="11" t="n"/>
      <c r="AI225" s="11" t="n"/>
      <c r="AJ225" s="11" t="n"/>
      <c r="AK225" s="14">
        <f>IF(AND($AF225="保留中",$AH225&lt;&gt;""),TODAY()-$AH225,"")</f>
        <v/>
      </c>
      <c r="AL225" s="12" t="inlineStr">
        <is>
          <t>R8.10</t>
        </is>
      </c>
      <c r="AM225" s="14">
        <f>IF($B225="","",IF($AQ225="","対象年月が未入力／","")&amp;IF($B225="","",IF($AP225="","職員マスタに未登録の職員番号／",IF($AA225="","標準報酬月額が未登録／","")&amp;IF(AND($AQ225&lt;&gt;"",OR(AND(INDEX(職員マスタ!$G$6:$G$405,$AP225)&lt;&gt;"",INDEX(職員マスタ!$G$6:$G$405,$AP225)&gt;EOMONTH($AQ225,0)),AND(INDEX(職員マスタ!$H$6:$H$405,$AP225)&lt;&gt;"",INDEX(職員マスタ!$H$6:$H$405,$AP225)&lt;$AQ225))),"対象月が時短期間外／","")&amp;IF(AND(INDEX(職員マスタ!$K$6:$K$405,$AP225)&lt;&gt;"",N($W225)&gt;0,INDEX(職員マスタ!$K$6:$K$405,$AP225)&lt;&gt;$W225),"標準報酬月額が申請書と相違（台帳"&amp;TEXT(INDEX(職員マスタ!$K$6:$K$405,$AP225),"#,##0")&amp;"円／申請書"&amp;TEXT($W225,"#,##0")&amp;"円）／","")&amp;IF(AND(INDEX(職員マスタ!$F$6:$F$405,$AP225)&lt;&gt;"",$AQ225&lt;&gt;"",INDEX(職員マスタ!$F$6:$F$405,$AP225)&lt;$AQ225),"対象月に子が2歳到達済／","")&amp;IF(AND($H225&lt;&gt;"",INDEX(職員マスタ!$B$6:$B$405,$AP225)&lt;&gt;"",SUBSTITUTE(SUBSTITUTE($H225," ","")," ","")&lt;&gt;SUBSTITUTE(SUBSTITUTE(INDEX(職員マスタ!$B$6:$B$405,$AP225)," ","")," ","")),"氏名がマスタと相違／","")&amp;IF(AND($Q225&lt;&gt;"",INDEX(職員マスタ!$E$6:$E$405,$AP225)&lt;&gt;"",$Q225&lt;&gt;INDEX(職員マスタ!$E$6:$E$405,$AP225)),"子の生年月日がマスタと相違／","")&amp;IF(AND($L225&lt;&gt;"",INDEX(職員マスタ!$G$6:$G$405,$AP225)&lt;&gt;"",$L225&lt;&gt;INDEX(職員マスタ!$G$6:$G$405,$AP225)),"時短開始日がマスタと相違／","")&amp;IF(AND($M225&lt;&gt;"",INDEX(職員マスタ!$H$6:$H$405,$AP225)&lt;&gt;"",$M225&lt;&gt;INDEX(職員マスタ!$H$6:$H$405,$AP225)),"時短終了日がマスタと相違／","")))&amp;IF(AND($B225&lt;&gt;"",$E225=""),"報酬額が未入力／","")&amp;IF(N($U225)&gt;0,"申請書に入力エラーが残っています／","")&amp;IF(AND($B225&lt;&gt;"",$AQ225&lt;&gt;""),IF(COUNTIFS($B$6:$B$3005,$B225,$C$6:$C$3005,$C225,$D$6:$D$3005,$D225)&gt;1,"同じ月の請求が重複しています／",""),"")&amp;IF(AND(N($E225)&gt;0,$AB225&lt;&gt;"",$AB225&lt;&gt;"×",$AE225=0,$AD225=""),"計算額が下限以下のため不支給／",""))</f>
        <v/>
      </c>
      <c r="AN225" s="12" t="n"/>
      <c r="AO225" s="14">
        <f>IF($AF225="保留中",COUNTIF($AF$6:$AF225,"保留中"),"")</f>
        <v/>
      </c>
      <c r="AP225" s="14">
        <f>IF($AQ225="","",IF(SUMPRODUCT(MAX((職員マスタ!$A$6:$A$405=$B225)*(((職員マスタ!$G$6:$G$405="")+(職員マスタ!$G$6:$G$405&lt;=EOMONTH($AQ225,0)))&gt;0)*(((職員マスタ!$H$6:$H$405="")+(職員マスタ!$H$6:$H$405&gt;=$AQ225))&gt;0)*(ROW(職員マスタ!$A$6:$A$405)-5)))&gt;0,SUMPRODUCT(MAX((職員マスタ!$A$6:$A$405=$B225)*(((職員マスタ!$G$6:$G$405="")+(職員マスタ!$G$6:$G$405&lt;=EOMONTH($AQ225,0)))&gt;0)*(((職員マスタ!$H$6:$H$405="")+(職員マスタ!$H$6:$H$405&gt;=$AQ225))&gt;0)*(ROW(職員マスタ!$A$6:$A$405)-5))),IFERROR(MATCH($B225,職員マスタ!$A$6:$A$405,0),"")))</f>
        <v/>
      </c>
      <c r="AQ225" s="16">
        <f>IF(OR($B225="",$C225="",$D225=""),"",DATE($C225+2018,$D225,1))</f>
        <v/>
      </c>
    </row>
    <row r="226">
      <c r="A226" s="11" t="n"/>
      <c r="B226" s="12" t="n">
        <v>6502538</v>
      </c>
      <c r="C226" s="12" t="n">
        <v>7</v>
      </c>
      <c r="D226" s="12" t="n">
        <v>5</v>
      </c>
      <c r="E226" s="13" t="n">
        <v>106364</v>
      </c>
      <c r="F226" s="12" t="n"/>
      <c r="G226" s="13" t="n"/>
      <c r="H226" s="12" t="n"/>
      <c r="I226" s="12" t="n"/>
      <c r="J226" s="12" t="n"/>
      <c r="K226" s="12" t="n"/>
      <c r="L226" s="11" t="n"/>
      <c r="M226" s="11" t="n"/>
      <c r="N226" s="11" t="n"/>
      <c r="O226" s="11" t="n"/>
      <c r="P226" s="12" t="n"/>
      <c r="Q226" s="11" t="n"/>
      <c r="R226" s="12" t="n"/>
      <c r="S226" s="11" t="n"/>
      <c r="T226" s="12" t="n"/>
      <c r="U226" s="12" t="n"/>
      <c r="V226" s="12" t="n"/>
      <c r="W226" s="13" t="n"/>
      <c r="X226" s="14">
        <f>IF($AP226="",IF($B226="","",$H226),IF(INDEX(職員マスタ!$B$6:$B$405,$AP226)="",$H226,INDEX(職員マスタ!$B$6:$B$405,$AP226)))</f>
        <v/>
      </c>
      <c r="Y226" s="14">
        <f>IF($AP226="",IF($B226="","",$R226),IF(INDEX(職員マスタ!$C$6:$C$405,$AP226)="",$R226,INDEX(職員マスタ!$C$6:$C$405,$AP226)))</f>
        <v/>
      </c>
      <c r="Z226" s="14">
        <f>IF($AQ226="","","R"&amp;$C226&amp;"."&amp;$D226)</f>
        <v/>
      </c>
      <c r="AA226" s="15">
        <f>IF(IF($AP226="",FALSE,INDEX(職員マスタ!$K$6:$K$405,$AP226)&lt;&gt;""),INDEX(職員マスタ!$K$6:$K$405,$AP226),IF(N($W226)&gt;0,$W226,""))</f>
        <v/>
      </c>
      <c r="AB226" s="14">
        <f>IF(OR($E226="",$AA226=""),"",IF($E226&gt;=$AA226,"×",IF($E226&gt;=$AA226*設定!$C$5,"△","○")))</f>
        <v/>
      </c>
      <c r="AC226" s="15">
        <f>IF($AB226="","",IF($AB226="×",0,IF($AB226="○",ROUNDDOWN($E226*設定!$C$4,0),ROUNDDOWN($E226*ROUND((9*$AA226-9*$E226)/(10*$E226),4),0))))</f>
        <v/>
      </c>
      <c r="AD226" s="13" t="n"/>
      <c r="AE226" s="15">
        <f>IF($B226="","",IF($AD226&lt;&gt;"",$AD226,IF($AC226="","",IF($AC226&lt;=設定!$C$3,0,$AC226))))</f>
        <v/>
      </c>
      <c r="AF226" s="14">
        <f>IF($B226="","",IF(AND($AG226&lt;&gt;"",$AI226="",$AL226=""),"保留中",IF($AL226&lt;&gt;"",IF(N($AE226)&gt;0,"支給済","不支給"),IF($AE226="","要確認",IF($AE226=0,"不支給","未処理")))))</f>
        <v/>
      </c>
      <c r="AG226" s="12" t="n"/>
      <c r="AH226" s="11" t="n"/>
      <c r="AI226" s="11" t="n"/>
      <c r="AJ226" s="11" t="n"/>
      <c r="AK226" s="14">
        <f>IF(AND($AF226="保留中",$AH226&lt;&gt;""),TODAY()-$AH226,"")</f>
        <v/>
      </c>
      <c r="AL226" s="12" t="inlineStr">
        <is>
          <t>R7.8</t>
        </is>
      </c>
      <c r="AM226" s="14">
        <f>IF($B226="","",IF($AQ226="","対象年月が未入力／","")&amp;IF($B226="","",IF($AP226="","職員マスタに未登録の職員番号／",IF($AA226="","標準報酬月額が未登録／","")&amp;IF(AND($AQ226&lt;&gt;"",OR(AND(INDEX(職員マスタ!$G$6:$G$405,$AP226)&lt;&gt;"",INDEX(職員マスタ!$G$6:$G$405,$AP226)&gt;EOMONTH($AQ226,0)),AND(INDEX(職員マスタ!$H$6:$H$405,$AP226)&lt;&gt;"",INDEX(職員マスタ!$H$6:$H$405,$AP226)&lt;$AQ226))),"対象月が時短期間外／","")&amp;IF(AND(INDEX(職員マスタ!$K$6:$K$405,$AP226)&lt;&gt;"",N($W226)&gt;0,INDEX(職員マスタ!$K$6:$K$405,$AP226)&lt;&gt;$W226),"標準報酬月額が申請書と相違（台帳"&amp;TEXT(INDEX(職員マスタ!$K$6:$K$405,$AP226),"#,##0")&amp;"円／申請書"&amp;TEXT($W226,"#,##0")&amp;"円）／","")&amp;IF(AND(INDEX(職員マスタ!$F$6:$F$405,$AP226)&lt;&gt;"",$AQ226&lt;&gt;"",INDEX(職員マスタ!$F$6:$F$405,$AP226)&lt;$AQ226),"対象月に子が2歳到達済／","")&amp;IF(AND($H226&lt;&gt;"",INDEX(職員マスタ!$B$6:$B$405,$AP226)&lt;&gt;"",SUBSTITUTE(SUBSTITUTE($H226," ","")," ","")&lt;&gt;SUBSTITUTE(SUBSTITUTE(INDEX(職員マスタ!$B$6:$B$405,$AP226)," ","")," ","")),"氏名がマスタと相違／","")&amp;IF(AND($Q226&lt;&gt;"",INDEX(職員マスタ!$E$6:$E$405,$AP226)&lt;&gt;"",$Q226&lt;&gt;INDEX(職員マスタ!$E$6:$E$405,$AP226)),"子の生年月日がマスタと相違／","")&amp;IF(AND($L226&lt;&gt;"",INDEX(職員マスタ!$G$6:$G$405,$AP226)&lt;&gt;"",$L226&lt;&gt;INDEX(職員マスタ!$G$6:$G$405,$AP226)),"時短開始日がマスタと相違／","")&amp;IF(AND($M226&lt;&gt;"",INDEX(職員マスタ!$H$6:$H$405,$AP226)&lt;&gt;"",$M226&lt;&gt;INDEX(職員マスタ!$H$6:$H$405,$AP226)),"時短終了日がマスタと相違／","")))&amp;IF(AND($B226&lt;&gt;"",$E226=""),"報酬額が未入力／","")&amp;IF(N($U226)&gt;0,"申請書に入力エラーが残っています／","")&amp;IF(AND($B226&lt;&gt;"",$AQ226&lt;&gt;""),IF(COUNTIFS($B$6:$B$3005,$B226,$C$6:$C$3005,$C226,$D$6:$D$3005,$D226)&gt;1,"同じ月の請求が重複しています／",""),"")&amp;IF(AND(N($E226)&gt;0,$AB226&lt;&gt;"",$AB226&lt;&gt;"×",$AE226=0,$AD226=""),"計算額が下限以下のため不支給／",""))</f>
        <v/>
      </c>
      <c r="AN226" s="12" t="n"/>
      <c r="AO226" s="14">
        <f>IF($AF226="保留中",COUNTIF($AF$6:$AF226,"保留中"),"")</f>
        <v/>
      </c>
      <c r="AP226" s="14">
        <f>IF($AQ226="","",IF(SUMPRODUCT(MAX((職員マスタ!$A$6:$A$405=$B226)*(((職員マスタ!$G$6:$G$405="")+(職員マスタ!$G$6:$G$405&lt;=EOMONTH($AQ226,0)))&gt;0)*(((職員マスタ!$H$6:$H$405="")+(職員マスタ!$H$6:$H$405&gt;=$AQ226))&gt;0)*(ROW(職員マスタ!$A$6:$A$405)-5)))&gt;0,SUMPRODUCT(MAX((職員マスタ!$A$6:$A$405=$B226)*(((職員マスタ!$G$6:$G$405="")+(職員マスタ!$G$6:$G$405&lt;=EOMONTH($AQ226,0)))&gt;0)*(((職員マスタ!$H$6:$H$405="")+(職員マスタ!$H$6:$H$405&gt;=$AQ226))&gt;0)*(ROW(職員マスタ!$A$6:$A$405)-5))),IFERROR(MATCH($B226,職員マスタ!$A$6:$A$405,0),"")))</f>
        <v/>
      </c>
      <c r="AQ226" s="16">
        <f>IF(OR($B226="",$C226="",$D226=""),"",DATE($C226+2018,$D226,1))</f>
        <v/>
      </c>
    </row>
    <row r="227">
      <c r="A227" s="11" t="n"/>
      <c r="B227" s="12" t="n">
        <v>6502538</v>
      </c>
      <c r="C227" s="12" t="n">
        <v>7</v>
      </c>
      <c r="D227" s="12" t="n">
        <v>6</v>
      </c>
      <c r="E227" s="13" t="n">
        <v>156002</v>
      </c>
      <c r="F227" s="12" t="n"/>
      <c r="G227" s="13" t="n"/>
      <c r="H227" s="12" t="n"/>
      <c r="I227" s="12" t="n"/>
      <c r="J227" s="12" t="n"/>
      <c r="K227" s="12" t="n"/>
      <c r="L227" s="11" t="n"/>
      <c r="M227" s="11" t="n"/>
      <c r="N227" s="11" t="n"/>
      <c r="O227" s="11" t="n"/>
      <c r="P227" s="12" t="n"/>
      <c r="Q227" s="11" t="n"/>
      <c r="R227" s="12" t="n"/>
      <c r="S227" s="11" t="n"/>
      <c r="T227" s="12" t="n"/>
      <c r="U227" s="12" t="n"/>
      <c r="V227" s="12" t="n"/>
      <c r="W227" s="13" t="n"/>
      <c r="X227" s="14">
        <f>IF($AP227="",IF($B227="","",$H227),IF(INDEX(職員マスタ!$B$6:$B$405,$AP227)="",$H227,INDEX(職員マスタ!$B$6:$B$405,$AP227)))</f>
        <v/>
      </c>
      <c r="Y227" s="14">
        <f>IF($AP227="",IF($B227="","",$R227),IF(INDEX(職員マスタ!$C$6:$C$405,$AP227)="",$R227,INDEX(職員マスタ!$C$6:$C$405,$AP227)))</f>
        <v/>
      </c>
      <c r="Z227" s="14">
        <f>IF($AQ227="","","R"&amp;$C227&amp;"."&amp;$D227)</f>
        <v/>
      </c>
      <c r="AA227" s="15">
        <f>IF(IF($AP227="",FALSE,INDEX(職員マスタ!$K$6:$K$405,$AP227)&lt;&gt;""),INDEX(職員マスタ!$K$6:$K$405,$AP227),IF(N($W227)&gt;0,$W227,""))</f>
        <v/>
      </c>
      <c r="AB227" s="14">
        <f>IF(OR($E227="",$AA227=""),"",IF($E227&gt;=$AA227,"×",IF($E227&gt;=$AA227*設定!$C$5,"△","○")))</f>
        <v/>
      </c>
      <c r="AC227" s="15">
        <f>IF($AB227="","",IF($AB227="×",0,IF($AB227="○",ROUNDDOWN($E227*設定!$C$4,0),ROUNDDOWN($E227*ROUND((9*$AA227-9*$E227)/(10*$E227),4),0))))</f>
        <v/>
      </c>
      <c r="AD227" s="13" t="n"/>
      <c r="AE227" s="15">
        <f>IF($B227="","",IF($AD227&lt;&gt;"",$AD227,IF($AC227="","",IF($AC227&lt;=設定!$C$3,0,$AC227))))</f>
        <v/>
      </c>
      <c r="AF227" s="14">
        <f>IF($B227="","",IF(AND($AG227&lt;&gt;"",$AI227="",$AL227=""),"保留中",IF($AL227&lt;&gt;"",IF(N($AE227)&gt;0,"支給済","不支給"),IF($AE227="","要確認",IF($AE227=0,"不支給","未処理")))))</f>
        <v/>
      </c>
      <c r="AG227" s="12" t="n"/>
      <c r="AH227" s="11" t="n"/>
      <c r="AI227" s="11" t="n"/>
      <c r="AJ227" s="11" t="n"/>
      <c r="AK227" s="14">
        <f>IF(AND($AF227="保留中",$AH227&lt;&gt;""),TODAY()-$AH227,"")</f>
        <v/>
      </c>
      <c r="AL227" s="12" t="inlineStr">
        <is>
          <t>R7.8</t>
        </is>
      </c>
      <c r="AM227" s="14">
        <f>IF($B227="","",IF($AQ227="","対象年月が未入力／","")&amp;IF($B227="","",IF($AP227="","職員マスタに未登録の職員番号／",IF($AA227="","標準報酬月額が未登録／","")&amp;IF(AND($AQ227&lt;&gt;"",OR(AND(INDEX(職員マスタ!$G$6:$G$405,$AP227)&lt;&gt;"",INDEX(職員マスタ!$G$6:$G$405,$AP227)&gt;EOMONTH($AQ227,0)),AND(INDEX(職員マスタ!$H$6:$H$405,$AP227)&lt;&gt;"",INDEX(職員マスタ!$H$6:$H$405,$AP227)&lt;$AQ227))),"対象月が時短期間外／","")&amp;IF(AND(INDEX(職員マスタ!$K$6:$K$405,$AP227)&lt;&gt;"",N($W227)&gt;0,INDEX(職員マスタ!$K$6:$K$405,$AP227)&lt;&gt;$W227),"標準報酬月額が申請書と相違（台帳"&amp;TEXT(INDEX(職員マスタ!$K$6:$K$405,$AP227),"#,##0")&amp;"円／申請書"&amp;TEXT($W227,"#,##0")&amp;"円）／","")&amp;IF(AND(INDEX(職員マスタ!$F$6:$F$405,$AP227)&lt;&gt;"",$AQ227&lt;&gt;"",INDEX(職員マスタ!$F$6:$F$405,$AP227)&lt;$AQ227),"対象月に子が2歳到達済／","")&amp;IF(AND($H227&lt;&gt;"",INDEX(職員マスタ!$B$6:$B$405,$AP227)&lt;&gt;"",SUBSTITUTE(SUBSTITUTE($H227," ","")," ","")&lt;&gt;SUBSTITUTE(SUBSTITUTE(INDEX(職員マスタ!$B$6:$B$405,$AP227)," ","")," ","")),"氏名がマスタと相違／","")&amp;IF(AND($Q227&lt;&gt;"",INDEX(職員マスタ!$E$6:$E$405,$AP227)&lt;&gt;"",$Q227&lt;&gt;INDEX(職員マスタ!$E$6:$E$405,$AP227)),"子の生年月日がマスタと相違／","")&amp;IF(AND($L227&lt;&gt;"",INDEX(職員マスタ!$G$6:$G$405,$AP227)&lt;&gt;"",$L227&lt;&gt;INDEX(職員マスタ!$G$6:$G$405,$AP227)),"時短開始日がマスタと相違／","")&amp;IF(AND($M227&lt;&gt;"",INDEX(職員マスタ!$H$6:$H$405,$AP227)&lt;&gt;"",$M227&lt;&gt;INDEX(職員マスタ!$H$6:$H$405,$AP227)),"時短終了日がマスタと相違／","")))&amp;IF(AND($B227&lt;&gt;"",$E227=""),"報酬額が未入力／","")&amp;IF(N($U227)&gt;0,"申請書に入力エラーが残っています／","")&amp;IF(AND($B227&lt;&gt;"",$AQ227&lt;&gt;""),IF(COUNTIFS($B$6:$B$3005,$B227,$C$6:$C$3005,$C227,$D$6:$D$3005,$D227)&gt;1,"同じ月の請求が重複しています／",""),"")&amp;IF(AND(N($E227)&gt;0,$AB227&lt;&gt;"",$AB227&lt;&gt;"×",$AE227=0,$AD227=""),"計算額が下限以下のため不支給／",""))</f>
        <v/>
      </c>
      <c r="AN227" s="12" t="n"/>
      <c r="AO227" s="14">
        <f>IF($AF227="保留中",COUNTIF($AF$6:$AF227,"保留中"),"")</f>
        <v/>
      </c>
      <c r="AP227" s="14">
        <f>IF($AQ227="","",IF(SUMPRODUCT(MAX((職員マスタ!$A$6:$A$405=$B227)*(((職員マスタ!$G$6:$G$405="")+(職員マスタ!$G$6:$G$405&lt;=EOMONTH($AQ227,0)))&gt;0)*(((職員マスタ!$H$6:$H$405="")+(職員マスタ!$H$6:$H$405&gt;=$AQ227))&gt;0)*(ROW(職員マスタ!$A$6:$A$405)-5)))&gt;0,SUMPRODUCT(MAX((職員マスタ!$A$6:$A$405=$B227)*(((職員マスタ!$G$6:$G$405="")+(職員マスタ!$G$6:$G$405&lt;=EOMONTH($AQ227,0)))&gt;0)*(((職員マスタ!$H$6:$H$405="")+(職員マスタ!$H$6:$H$405&gt;=$AQ227))&gt;0)*(ROW(職員マスタ!$A$6:$A$405)-5))),IFERROR(MATCH($B227,職員マスタ!$A$6:$A$405,0),"")))</f>
        <v/>
      </c>
      <c r="AQ227" s="16">
        <f>IF(OR($B227="",$C227="",$D227=""),"",DATE($C227+2018,$D227,1))</f>
        <v/>
      </c>
    </row>
    <row r="228">
      <c r="A228" s="11" t="n"/>
      <c r="B228" s="12" t="n">
        <v>6502587</v>
      </c>
      <c r="C228" s="12" t="n">
        <v>8</v>
      </c>
      <c r="D228" s="12" t="n">
        <v>4</v>
      </c>
      <c r="E228" s="13" t="n">
        <v>79530</v>
      </c>
      <c r="F228" s="12" t="n"/>
      <c r="G228" s="13" t="n"/>
      <c r="H228" s="12" t="n"/>
      <c r="I228" s="12" t="n"/>
      <c r="J228" s="12" t="n"/>
      <c r="K228" s="12" t="n"/>
      <c r="L228" s="11" t="n"/>
      <c r="M228" s="11" t="n"/>
      <c r="N228" s="11" t="n"/>
      <c r="O228" s="11" t="n"/>
      <c r="P228" s="12" t="n"/>
      <c r="Q228" s="11" t="n"/>
      <c r="R228" s="12" t="n"/>
      <c r="S228" s="11" t="n"/>
      <c r="T228" s="12" t="n"/>
      <c r="U228" s="12" t="n"/>
      <c r="V228" s="12" t="n"/>
      <c r="W228" s="13" t="n"/>
      <c r="X228" s="14">
        <f>IF($AP228="",IF($B228="","",$H228),IF(INDEX(職員マスタ!$B$6:$B$405,$AP228)="",$H228,INDEX(職員マスタ!$B$6:$B$405,$AP228)))</f>
        <v/>
      </c>
      <c r="Y228" s="14">
        <f>IF($AP228="",IF($B228="","",$R228),IF(INDEX(職員マスタ!$C$6:$C$405,$AP228)="",$R228,INDEX(職員マスタ!$C$6:$C$405,$AP228)))</f>
        <v/>
      </c>
      <c r="Z228" s="14">
        <f>IF($AQ228="","","R"&amp;$C228&amp;"."&amp;$D228)</f>
        <v/>
      </c>
      <c r="AA228" s="15">
        <f>IF(IF($AP228="",FALSE,INDEX(職員マスタ!$K$6:$K$405,$AP228)&lt;&gt;""),INDEX(職員マスタ!$K$6:$K$405,$AP228),IF(N($W228)&gt;0,$W228,""))</f>
        <v/>
      </c>
      <c r="AB228" s="14">
        <f>IF(OR($E228="",$AA228=""),"",IF($E228&gt;=$AA228,"×",IF($E228&gt;=$AA228*設定!$C$5,"△","○")))</f>
        <v/>
      </c>
      <c r="AC228" s="15">
        <f>IF($AB228="","",IF($AB228="×",0,IF($AB228="○",ROUNDDOWN($E228*設定!$C$4,0),ROUNDDOWN($E228*ROUND((9*$AA228-9*$E228)/(10*$E228),4),0))))</f>
        <v/>
      </c>
      <c r="AD228" s="13" t="n"/>
      <c r="AE228" s="15">
        <f>IF($B228="","",IF($AD228&lt;&gt;"",$AD228,IF($AC228="","",IF($AC228&lt;=設定!$C$3,0,$AC228))))</f>
        <v/>
      </c>
      <c r="AF228" s="14">
        <f>IF($B228="","",IF(AND($AG228&lt;&gt;"",$AI228="",$AL228=""),"保留中",IF($AL228&lt;&gt;"",IF(N($AE228)&gt;0,"支給済","不支給"),IF($AE228="","要確認",IF($AE228=0,"不支給","未処理")))))</f>
        <v/>
      </c>
      <c r="AG228" s="12" t="n"/>
      <c r="AH228" s="11" t="n"/>
      <c r="AI228" s="11" t="n"/>
      <c r="AJ228" s="11" t="n"/>
      <c r="AK228" s="14">
        <f>IF(AND($AF228="保留中",$AH228&lt;&gt;""),TODAY()-$AH228,"")</f>
        <v/>
      </c>
      <c r="AL228" s="12" t="inlineStr">
        <is>
          <t>R8.10</t>
        </is>
      </c>
      <c r="AM228" s="14">
        <f>IF($B228="","",IF($AQ228="","対象年月が未入力／","")&amp;IF($B228="","",IF($AP228="","職員マスタに未登録の職員番号／",IF($AA228="","標準報酬月額が未登録／","")&amp;IF(AND($AQ228&lt;&gt;"",OR(AND(INDEX(職員マスタ!$G$6:$G$405,$AP228)&lt;&gt;"",INDEX(職員マスタ!$G$6:$G$405,$AP228)&gt;EOMONTH($AQ228,0)),AND(INDEX(職員マスタ!$H$6:$H$405,$AP228)&lt;&gt;"",INDEX(職員マスタ!$H$6:$H$405,$AP228)&lt;$AQ228))),"対象月が時短期間外／","")&amp;IF(AND(INDEX(職員マスタ!$K$6:$K$405,$AP228)&lt;&gt;"",N($W228)&gt;0,INDEX(職員マスタ!$K$6:$K$405,$AP228)&lt;&gt;$W228),"標準報酬月額が申請書と相違（台帳"&amp;TEXT(INDEX(職員マスタ!$K$6:$K$405,$AP228),"#,##0")&amp;"円／申請書"&amp;TEXT($W228,"#,##0")&amp;"円）／","")&amp;IF(AND(INDEX(職員マスタ!$F$6:$F$405,$AP228)&lt;&gt;"",$AQ228&lt;&gt;"",INDEX(職員マスタ!$F$6:$F$405,$AP228)&lt;$AQ228),"対象月に子が2歳到達済／","")&amp;IF(AND($H228&lt;&gt;"",INDEX(職員マスタ!$B$6:$B$405,$AP228)&lt;&gt;"",SUBSTITUTE(SUBSTITUTE($H228," ","")," ","")&lt;&gt;SUBSTITUTE(SUBSTITUTE(INDEX(職員マスタ!$B$6:$B$405,$AP228)," ","")," ","")),"氏名がマスタと相違／","")&amp;IF(AND($Q228&lt;&gt;"",INDEX(職員マスタ!$E$6:$E$405,$AP228)&lt;&gt;"",$Q228&lt;&gt;INDEX(職員マスタ!$E$6:$E$405,$AP228)),"子の生年月日がマスタと相違／","")&amp;IF(AND($L228&lt;&gt;"",INDEX(職員マスタ!$G$6:$G$405,$AP228)&lt;&gt;"",$L228&lt;&gt;INDEX(職員マスタ!$G$6:$G$405,$AP228)),"時短開始日がマスタと相違／","")&amp;IF(AND($M228&lt;&gt;"",INDEX(職員マスタ!$H$6:$H$405,$AP228)&lt;&gt;"",$M228&lt;&gt;INDEX(職員マスタ!$H$6:$H$405,$AP228)),"時短終了日がマスタと相違／","")))&amp;IF(AND($B228&lt;&gt;"",$E228=""),"報酬額が未入力／","")&amp;IF(N($U228)&gt;0,"申請書に入力エラーが残っています／","")&amp;IF(AND($B228&lt;&gt;"",$AQ228&lt;&gt;""),IF(COUNTIFS($B$6:$B$3005,$B228,$C$6:$C$3005,$C228,$D$6:$D$3005,$D228)&gt;1,"同じ月の請求が重複しています／",""),"")&amp;IF(AND(N($E228)&gt;0,$AB228&lt;&gt;"",$AB228&lt;&gt;"×",$AE228=0,$AD228=""),"計算額が下限以下のため不支給／",""))</f>
        <v/>
      </c>
      <c r="AN228" s="12" t="n"/>
      <c r="AO228" s="14">
        <f>IF($AF228="保留中",COUNTIF($AF$6:$AF228,"保留中"),"")</f>
        <v/>
      </c>
      <c r="AP228" s="14">
        <f>IF($AQ228="","",IF(SUMPRODUCT(MAX((職員マスタ!$A$6:$A$405=$B228)*(((職員マスタ!$G$6:$G$405="")+(職員マスタ!$G$6:$G$405&lt;=EOMONTH($AQ228,0)))&gt;0)*(((職員マスタ!$H$6:$H$405="")+(職員マスタ!$H$6:$H$405&gt;=$AQ228))&gt;0)*(ROW(職員マスタ!$A$6:$A$405)-5)))&gt;0,SUMPRODUCT(MAX((職員マスタ!$A$6:$A$405=$B228)*(((職員マスタ!$G$6:$G$405="")+(職員マスタ!$G$6:$G$405&lt;=EOMONTH($AQ228,0)))&gt;0)*(((職員マスタ!$H$6:$H$405="")+(職員マスタ!$H$6:$H$405&gt;=$AQ228))&gt;0)*(ROW(職員マスタ!$A$6:$A$405)-5))),IFERROR(MATCH($B228,職員マスタ!$A$6:$A$405,0),"")))</f>
        <v/>
      </c>
      <c r="AQ228" s="16">
        <f>IF(OR($B228="",$C228="",$D228=""),"",DATE($C228+2018,$D228,1))</f>
        <v/>
      </c>
    </row>
    <row r="229">
      <c r="A229" s="11" t="n"/>
      <c r="B229" s="12" t="n">
        <v>6502587</v>
      </c>
      <c r="C229" s="12" t="n">
        <v>8</v>
      </c>
      <c r="D229" s="12" t="n">
        <v>5</v>
      </c>
      <c r="E229" s="13" t="n">
        <v>198283</v>
      </c>
      <c r="F229" s="12" t="n"/>
      <c r="G229" s="13" t="n"/>
      <c r="H229" s="12" t="n"/>
      <c r="I229" s="12" t="n"/>
      <c r="J229" s="12" t="n"/>
      <c r="K229" s="12" t="n"/>
      <c r="L229" s="11" t="n"/>
      <c r="M229" s="11" t="n"/>
      <c r="N229" s="11" t="n"/>
      <c r="O229" s="11" t="n"/>
      <c r="P229" s="12" t="n"/>
      <c r="Q229" s="11" t="n"/>
      <c r="R229" s="12" t="n"/>
      <c r="S229" s="11" t="n"/>
      <c r="T229" s="12" t="n"/>
      <c r="U229" s="12" t="n"/>
      <c r="V229" s="12" t="n"/>
      <c r="W229" s="13" t="n"/>
      <c r="X229" s="14">
        <f>IF($AP229="",IF($B229="","",$H229),IF(INDEX(職員マスタ!$B$6:$B$405,$AP229)="",$H229,INDEX(職員マスタ!$B$6:$B$405,$AP229)))</f>
        <v/>
      </c>
      <c r="Y229" s="14">
        <f>IF($AP229="",IF($B229="","",$R229),IF(INDEX(職員マスタ!$C$6:$C$405,$AP229)="",$R229,INDEX(職員マスタ!$C$6:$C$405,$AP229)))</f>
        <v/>
      </c>
      <c r="Z229" s="14">
        <f>IF($AQ229="","","R"&amp;$C229&amp;"."&amp;$D229)</f>
        <v/>
      </c>
      <c r="AA229" s="15">
        <f>IF(IF($AP229="",FALSE,INDEX(職員マスタ!$K$6:$K$405,$AP229)&lt;&gt;""),INDEX(職員マスタ!$K$6:$K$405,$AP229),IF(N($W229)&gt;0,$W229,""))</f>
        <v/>
      </c>
      <c r="AB229" s="14">
        <f>IF(OR($E229="",$AA229=""),"",IF($E229&gt;=$AA229,"×",IF($E229&gt;=$AA229*設定!$C$5,"△","○")))</f>
        <v/>
      </c>
      <c r="AC229" s="15">
        <f>IF($AB229="","",IF($AB229="×",0,IF($AB229="○",ROUNDDOWN($E229*設定!$C$4,0),ROUNDDOWN($E229*ROUND((9*$AA229-9*$E229)/(10*$E229),4),0))))</f>
        <v/>
      </c>
      <c r="AD229" s="13" t="n"/>
      <c r="AE229" s="15">
        <f>IF($B229="","",IF($AD229&lt;&gt;"",$AD229,IF($AC229="","",IF($AC229&lt;=設定!$C$3,0,$AC229))))</f>
        <v/>
      </c>
      <c r="AF229" s="14">
        <f>IF($B229="","",IF(AND($AG229&lt;&gt;"",$AI229="",$AL229=""),"保留中",IF($AL229&lt;&gt;"",IF(N($AE229)&gt;0,"支給済","不支給"),IF($AE229="","要確認",IF($AE229=0,"不支給","未処理")))))</f>
        <v/>
      </c>
      <c r="AG229" s="12" t="n"/>
      <c r="AH229" s="11" t="n"/>
      <c r="AI229" s="11" t="n"/>
      <c r="AJ229" s="11" t="n"/>
      <c r="AK229" s="14">
        <f>IF(AND($AF229="保留中",$AH229&lt;&gt;""),TODAY()-$AH229,"")</f>
        <v/>
      </c>
      <c r="AL229" s="12" t="inlineStr">
        <is>
          <t>R8.10</t>
        </is>
      </c>
      <c r="AM229" s="14">
        <f>IF($B229="","",IF($AQ229="","対象年月が未入力／","")&amp;IF($B229="","",IF($AP229="","職員マスタに未登録の職員番号／",IF($AA229="","標準報酬月額が未登録／","")&amp;IF(AND($AQ229&lt;&gt;"",OR(AND(INDEX(職員マスタ!$G$6:$G$405,$AP229)&lt;&gt;"",INDEX(職員マスタ!$G$6:$G$405,$AP229)&gt;EOMONTH($AQ229,0)),AND(INDEX(職員マスタ!$H$6:$H$405,$AP229)&lt;&gt;"",INDEX(職員マスタ!$H$6:$H$405,$AP229)&lt;$AQ229))),"対象月が時短期間外／","")&amp;IF(AND(INDEX(職員マスタ!$K$6:$K$405,$AP229)&lt;&gt;"",N($W229)&gt;0,INDEX(職員マスタ!$K$6:$K$405,$AP229)&lt;&gt;$W229),"標準報酬月額が申請書と相違（台帳"&amp;TEXT(INDEX(職員マスタ!$K$6:$K$405,$AP229),"#,##0")&amp;"円／申請書"&amp;TEXT($W229,"#,##0")&amp;"円）／","")&amp;IF(AND(INDEX(職員マスタ!$F$6:$F$405,$AP229)&lt;&gt;"",$AQ229&lt;&gt;"",INDEX(職員マスタ!$F$6:$F$405,$AP229)&lt;$AQ229),"対象月に子が2歳到達済／","")&amp;IF(AND($H229&lt;&gt;"",INDEX(職員マスタ!$B$6:$B$405,$AP229)&lt;&gt;"",SUBSTITUTE(SUBSTITUTE($H229," ","")," ","")&lt;&gt;SUBSTITUTE(SUBSTITUTE(INDEX(職員マスタ!$B$6:$B$405,$AP229)," ","")," ","")),"氏名がマスタと相違／","")&amp;IF(AND($Q229&lt;&gt;"",INDEX(職員マスタ!$E$6:$E$405,$AP229)&lt;&gt;"",$Q229&lt;&gt;INDEX(職員マスタ!$E$6:$E$405,$AP229)),"子の生年月日がマスタと相違／","")&amp;IF(AND($L229&lt;&gt;"",INDEX(職員マスタ!$G$6:$G$405,$AP229)&lt;&gt;"",$L229&lt;&gt;INDEX(職員マスタ!$G$6:$G$405,$AP229)),"時短開始日がマスタと相違／","")&amp;IF(AND($M229&lt;&gt;"",INDEX(職員マスタ!$H$6:$H$405,$AP229)&lt;&gt;"",$M229&lt;&gt;INDEX(職員マスタ!$H$6:$H$405,$AP229)),"時短終了日がマスタと相違／","")))&amp;IF(AND($B229&lt;&gt;"",$E229=""),"報酬額が未入力／","")&amp;IF(N($U229)&gt;0,"申請書に入力エラーが残っています／","")&amp;IF(AND($B229&lt;&gt;"",$AQ229&lt;&gt;""),IF(COUNTIFS($B$6:$B$3005,$B229,$C$6:$C$3005,$C229,$D$6:$D$3005,$D229)&gt;1,"同じ月の請求が重複しています／",""),"")&amp;IF(AND(N($E229)&gt;0,$AB229&lt;&gt;"",$AB229&lt;&gt;"×",$AE229=0,$AD229=""),"計算額が下限以下のため不支給／",""))</f>
        <v/>
      </c>
      <c r="AN229" s="12" t="n"/>
      <c r="AO229" s="14">
        <f>IF($AF229="保留中",COUNTIF($AF$6:$AF229,"保留中"),"")</f>
        <v/>
      </c>
      <c r="AP229" s="14">
        <f>IF($AQ229="","",IF(SUMPRODUCT(MAX((職員マスタ!$A$6:$A$405=$B229)*(((職員マスタ!$G$6:$G$405="")+(職員マスタ!$G$6:$G$405&lt;=EOMONTH($AQ229,0)))&gt;0)*(((職員マスタ!$H$6:$H$405="")+(職員マスタ!$H$6:$H$405&gt;=$AQ229))&gt;0)*(ROW(職員マスタ!$A$6:$A$405)-5)))&gt;0,SUMPRODUCT(MAX((職員マスタ!$A$6:$A$405=$B229)*(((職員マスタ!$G$6:$G$405="")+(職員マスタ!$G$6:$G$405&lt;=EOMONTH($AQ229,0)))&gt;0)*(((職員マスタ!$H$6:$H$405="")+(職員マスタ!$H$6:$H$405&gt;=$AQ229))&gt;0)*(ROW(職員マスタ!$A$6:$A$405)-5))),IFERROR(MATCH($B229,職員マスタ!$A$6:$A$405,0),"")))</f>
        <v/>
      </c>
      <c r="AQ229" s="16">
        <f>IF(OR($B229="",$C229="",$D229=""),"",DATE($C229+2018,$D229,1))</f>
        <v/>
      </c>
    </row>
    <row r="230">
      <c r="A230" s="11" t="n"/>
      <c r="B230" s="12" t="n">
        <v>6502587</v>
      </c>
      <c r="C230" s="12" t="n">
        <v>8</v>
      </c>
      <c r="D230" s="12" t="n">
        <v>6</v>
      </c>
      <c r="E230" s="13" t="n">
        <v>198451</v>
      </c>
      <c r="F230" s="12" t="n"/>
      <c r="G230" s="13" t="n"/>
      <c r="H230" s="12" t="n"/>
      <c r="I230" s="12" t="n"/>
      <c r="J230" s="12" t="n"/>
      <c r="K230" s="12" t="n"/>
      <c r="L230" s="11" t="n"/>
      <c r="M230" s="11" t="n"/>
      <c r="N230" s="11" t="n"/>
      <c r="O230" s="11" t="n"/>
      <c r="P230" s="12" t="n"/>
      <c r="Q230" s="11" t="n"/>
      <c r="R230" s="12" t="n"/>
      <c r="S230" s="11" t="n"/>
      <c r="T230" s="12" t="n"/>
      <c r="U230" s="12" t="n"/>
      <c r="V230" s="12" t="n"/>
      <c r="W230" s="13" t="n"/>
      <c r="X230" s="14">
        <f>IF($AP230="",IF($B230="","",$H230),IF(INDEX(職員マスタ!$B$6:$B$405,$AP230)="",$H230,INDEX(職員マスタ!$B$6:$B$405,$AP230)))</f>
        <v/>
      </c>
      <c r="Y230" s="14">
        <f>IF($AP230="",IF($B230="","",$R230),IF(INDEX(職員マスタ!$C$6:$C$405,$AP230)="",$R230,INDEX(職員マスタ!$C$6:$C$405,$AP230)))</f>
        <v/>
      </c>
      <c r="Z230" s="14">
        <f>IF($AQ230="","","R"&amp;$C230&amp;"."&amp;$D230)</f>
        <v/>
      </c>
      <c r="AA230" s="15">
        <f>IF(IF($AP230="",FALSE,INDEX(職員マスタ!$K$6:$K$405,$AP230)&lt;&gt;""),INDEX(職員マスタ!$K$6:$K$405,$AP230),IF(N($W230)&gt;0,$W230,""))</f>
        <v/>
      </c>
      <c r="AB230" s="14">
        <f>IF(OR($E230="",$AA230=""),"",IF($E230&gt;=$AA230,"×",IF($E230&gt;=$AA230*設定!$C$5,"△","○")))</f>
        <v/>
      </c>
      <c r="AC230" s="15">
        <f>IF($AB230="","",IF($AB230="×",0,IF($AB230="○",ROUNDDOWN($E230*設定!$C$4,0),ROUNDDOWN($E230*ROUND((9*$AA230-9*$E230)/(10*$E230),4),0))))</f>
        <v/>
      </c>
      <c r="AD230" s="13" t="n"/>
      <c r="AE230" s="15">
        <f>IF($B230="","",IF($AD230&lt;&gt;"",$AD230,IF($AC230="","",IF($AC230&lt;=設定!$C$3,0,$AC230))))</f>
        <v/>
      </c>
      <c r="AF230" s="14">
        <f>IF($B230="","",IF(AND($AG230&lt;&gt;"",$AI230="",$AL230=""),"保留中",IF($AL230&lt;&gt;"",IF(N($AE230)&gt;0,"支給済","不支給"),IF($AE230="","要確認",IF($AE230=0,"不支給","未処理")))))</f>
        <v/>
      </c>
      <c r="AG230" s="12" t="n"/>
      <c r="AH230" s="11" t="n"/>
      <c r="AI230" s="11" t="n"/>
      <c r="AJ230" s="11" t="n"/>
      <c r="AK230" s="14">
        <f>IF(AND($AF230="保留中",$AH230&lt;&gt;""),TODAY()-$AH230,"")</f>
        <v/>
      </c>
      <c r="AL230" s="12" t="inlineStr">
        <is>
          <t>R8.10</t>
        </is>
      </c>
      <c r="AM230" s="14">
        <f>IF($B230="","",IF($AQ230="","対象年月が未入力／","")&amp;IF($B230="","",IF($AP230="","職員マスタに未登録の職員番号／",IF($AA230="","標準報酬月額が未登録／","")&amp;IF(AND($AQ230&lt;&gt;"",OR(AND(INDEX(職員マスタ!$G$6:$G$405,$AP230)&lt;&gt;"",INDEX(職員マスタ!$G$6:$G$405,$AP230)&gt;EOMONTH($AQ230,0)),AND(INDEX(職員マスタ!$H$6:$H$405,$AP230)&lt;&gt;"",INDEX(職員マスタ!$H$6:$H$405,$AP230)&lt;$AQ230))),"対象月が時短期間外／","")&amp;IF(AND(INDEX(職員マスタ!$K$6:$K$405,$AP230)&lt;&gt;"",N($W230)&gt;0,INDEX(職員マスタ!$K$6:$K$405,$AP230)&lt;&gt;$W230),"標準報酬月額が申請書と相違（台帳"&amp;TEXT(INDEX(職員マスタ!$K$6:$K$405,$AP230),"#,##0")&amp;"円／申請書"&amp;TEXT($W230,"#,##0")&amp;"円）／","")&amp;IF(AND(INDEX(職員マスタ!$F$6:$F$405,$AP230)&lt;&gt;"",$AQ230&lt;&gt;"",INDEX(職員マスタ!$F$6:$F$405,$AP230)&lt;$AQ230),"対象月に子が2歳到達済／","")&amp;IF(AND($H230&lt;&gt;"",INDEX(職員マスタ!$B$6:$B$405,$AP230)&lt;&gt;"",SUBSTITUTE(SUBSTITUTE($H230," ","")," ","")&lt;&gt;SUBSTITUTE(SUBSTITUTE(INDEX(職員マスタ!$B$6:$B$405,$AP230)," ","")," ","")),"氏名がマスタと相違／","")&amp;IF(AND($Q230&lt;&gt;"",INDEX(職員マスタ!$E$6:$E$405,$AP230)&lt;&gt;"",$Q230&lt;&gt;INDEX(職員マスタ!$E$6:$E$405,$AP230)),"子の生年月日がマスタと相違／","")&amp;IF(AND($L230&lt;&gt;"",INDEX(職員マスタ!$G$6:$G$405,$AP230)&lt;&gt;"",$L230&lt;&gt;INDEX(職員マスタ!$G$6:$G$405,$AP230)),"時短開始日がマスタと相違／","")&amp;IF(AND($M230&lt;&gt;"",INDEX(職員マスタ!$H$6:$H$405,$AP230)&lt;&gt;"",$M230&lt;&gt;INDEX(職員マスタ!$H$6:$H$405,$AP230)),"時短終了日がマスタと相違／","")))&amp;IF(AND($B230&lt;&gt;"",$E230=""),"報酬額が未入力／","")&amp;IF(N($U230)&gt;0,"申請書に入力エラーが残っています／","")&amp;IF(AND($B230&lt;&gt;"",$AQ230&lt;&gt;""),IF(COUNTIFS($B$6:$B$3005,$B230,$C$6:$C$3005,$C230,$D$6:$D$3005,$D230)&gt;1,"同じ月の請求が重複しています／",""),"")&amp;IF(AND(N($E230)&gt;0,$AB230&lt;&gt;"",$AB230&lt;&gt;"×",$AE230=0,$AD230=""),"計算額が下限以下のため不支給／",""))</f>
        <v/>
      </c>
      <c r="AN230" s="12" t="n"/>
      <c r="AO230" s="14">
        <f>IF($AF230="保留中",COUNTIF($AF$6:$AF230,"保留中"),"")</f>
        <v/>
      </c>
      <c r="AP230" s="14">
        <f>IF($AQ230="","",IF(SUMPRODUCT(MAX((職員マスタ!$A$6:$A$405=$B230)*(((職員マスタ!$G$6:$G$405="")+(職員マスタ!$G$6:$G$405&lt;=EOMONTH($AQ230,0)))&gt;0)*(((職員マスタ!$H$6:$H$405="")+(職員マスタ!$H$6:$H$405&gt;=$AQ230))&gt;0)*(ROW(職員マスタ!$A$6:$A$405)-5)))&gt;0,SUMPRODUCT(MAX((職員マスタ!$A$6:$A$405=$B230)*(((職員マスタ!$G$6:$G$405="")+(職員マスタ!$G$6:$G$405&lt;=EOMONTH($AQ230,0)))&gt;0)*(((職員マスタ!$H$6:$H$405="")+(職員マスタ!$H$6:$H$405&gt;=$AQ230))&gt;0)*(ROW(職員マスタ!$A$6:$A$405)-5))),IFERROR(MATCH($B230,職員マスタ!$A$6:$A$405,0),"")))</f>
        <v/>
      </c>
      <c r="AQ230" s="16">
        <f>IF(OR($B230="",$C230="",$D230=""),"",DATE($C230+2018,$D230,1))</f>
        <v/>
      </c>
    </row>
    <row r="231">
      <c r="A231" s="11" t="n"/>
      <c r="B231" s="12" t="n">
        <v>6502587</v>
      </c>
      <c r="C231" s="12" t="n">
        <v>8</v>
      </c>
      <c r="D231" s="12" t="n">
        <v>7</v>
      </c>
      <c r="E231" s="13" t="n">
        <v>202493</v>
      </c>
      <c r="F231" s="12" t="n"/>
      <c r="G231" s="13" t="n"/>
      <c r="H231" s="12" t="n"/>
      <c r="I231" s="12" t="n"/>
      <c r="J231" s="12" t="n"/>
      <c r="K231" s="12" t="n"/>
      <c r="L231" s="11" t="n"/>
      <c r="M231" s="11" t="n"/>
      <c r="N231" s="11" t="n"/>
      <c r="O231" s="11" t="n"/>
      <c r="P231" s="12" t="n"/>
      <c r="Q231" s="11" t="n"/>
      <c r="R231" s="12" t="n"/>
      <c r="S231" s="11" t="n"/>
      <c r="T231" s="12" t="n"/>
      <c r="U231" s="12" t="n"/>
      <c r="V231" s="12" t="n"/>
      <c r="W231" s="13" t="n"/>
      <c r="X231" s="14">
        <f>IF($AP231="",IF($B231="","",$H231),IF(INDEX(職員マスタ!$B$6:$B$405,$AP231)="",$H231,INDEX(職員マスタ!$B$6:$B$405,$AP231)))</f>
        <v/>
      </c>
      <c r="Y231" s="14">
        <f>IF($AP231="",IF($B231="","",$R231),IF(INDEX(職員マスタ!$C$6:$C$405,$AP231)="",$R231,INDEX(職員マスタ!$C$6:$C$405,$AP231)))</f>
        <v/>
      </c>
      <c r="Z231" s="14">
        <f>IF($AQ231="","","R"&amp;$C231&amp;"."&amp;$D231)</f>
        <v/>
      </c>
      <c r="AA231" s="15">
        <f>IF(IF($AP231="",FALSE,INDEX(職員マスタ!$K$6:$K$405,$AP231)&lt;&gt;""),INDEX(職員マスタ!$K$6:$K$405,$AP231),IF(N($W231)&gt;0,$W231,""))</f>
        <v/>
      </c>
      <c r="AB231" s="14">
        <f>IF(OR($E231="",$AA231=""),"",IF($E231&gt;=$AA231,"×",IF($E231&gt;=$AA231*設定!$C$5,"△","○")))</f>
        <v/>
      </c>
      <c r="AC231" s="15">
        <f>IF($AB231="","",IF($AB231="×",0,IF($AB231="○",ROUNDDOWN($E231*設定!$C$4,0),ROUNDDOWN($E231*ROUND((9*$AA231-9*$E231)/(10*$E231),4),0))))</f>
        <v/>
      </c>
      <c r="AD231" s="13" t="n"/>
      <c r="AE231" s="15">
        <f>IF($B231="","",IF($AD231&lt;&gt;"",$AD231,IF($AC231="","",IF($AC231&lt;=設定!$C$3,0,$AC231))))</f>
        <v/>
      </c>
      <c r="AF231" s="14">
        <f>IF($B231="","",IF(AND($AG231&lt;&gt;"",$AI231="",$AL231=""),"保留中",IF($AL231&lt;&gt;"",IF(N($AE231)&gt;0,"支給済","不支給"),IF($AE231="","要確認",IF($AE231=0,"不支給","未処理")))))</f>
        <v/>
      </c>
      <c r="AG231" s="12" t="n"/>
      <c r="AH231" s="11" t="n"/>
      <c r="AI231" s="11" t="n"/>
      <c r="AJ231" s="11" t="n"/>
      <c r="AK231" s="14">
        <f>IF(AND($AF231="保留中",$AH231&lt;&gt;""),TODAY()-$AH231,"")</f>
        <v/>
      </c>
      <c r="AL231" s="12" t="inlineStr">
        <is>
          <t>R8.10</t>
        </is>
      </c>
      <c r="AM231" s="14">
        <f>IF($B231="","",IF($AQ231="","対象年月が未入力／","")&amp;IF($B231="","",IF($AP231="","職員マスタに未登録の職員番号／",IF($AA231="","標準報酬月額が未登録／","")&amp;IF(AND($AQ231&lt;&gt;"",OR(AND(INDEX(職員マスタ!$G$6:$G$405,$AP231)&lt;&gt;"",INDEX(職員マスタ!$G$6:$G$405,$AP231)&gt;EOMONTH($AQ231,0)),AND(INDEX(職員マスタ!$H$6:$H$405,$AP231)&lt;&gt;"",INDEX(職員マスタ!$H$6:$H$405,$AP231)&lt;$AQ231))),"対象月が時短期間外／","")&amp;IF(AND(INDEX(職員マスタ!$K$6:$K$405,$AP231)&lt;&gt;"",N($W231)&gt;0,INDEX(職員マスタ!$K$6:$K$405,$AP231)&lt;&gt;$W231),"標準報酬月額が申請書と相違（台帳"&amp;TEXT(INDEX(職員マスタ!$K$6:$K$405,$AP231),"#,##0")&amp;"円／申請書"&amp;TEXT($W231,"#,##0")&amp;"円）／","")&amp;IF(AND(INDEX(職員マスタ!$F$6:$F$405,$AP231)&lt;&gt;"",$AQ231&lt;&gt;"",INDEX(職員マスタ!$F$6:$F$405,$AP231)&lt;$AQ231),"対象月に子が2歳到達済／","")&amp;IF(AND($H231&lt;&gt;"",INDEX(職員マスタ!$B$6:$B$405,$AP231)&lt;&gt;"",SUBSTITUTE(SUBSTITUTE($H231," ","")," ","")&lt;&gt;SUBSTITUTE(SUBSTITUTE(INDEX(職員マスタ!$B$6:$B$405,$AP231)," ","")," ","")),"氏名がマスタと相違／","")&amp;IF(AND($Q231&lt;&gt;"",INDEX(職員マスタ!$E$6:$E$405,$AP231)&lt;&gt;"",$Q231&lt;&gt;INDEX(職員マスタ!$E$6:$E$405,$AP231)),"子の生年月日がマスタと相違／","")&amp;IF(AND($L231&lt;&gt;"",INDEX(職員マスタ!$G$6:$G$405,$AP231)&lt;&gt;"",$L231&lt;&gt;INDEX(職員マスタ!$G$6:$G$405,$AP231)),"時短開始日がマスタと相違／","")&amp;IF(AND($M231&lt;&gt;"",INDEX(職員マスタ!$H$6:$H$405,$AP231)&lt;&gt;"",$M231&lt;&gt;INDEX(職員マスタ!$H$6:$H$405,$AP231)),"時短終了日がマスタと相違／","")))&amp;IF(AND($B231&lt;&gt;"",$E231=""),"報酬額が未入力／","")&amp;IF(N($U231)&gt;0,"申請書に入力エラーが残っています／","")&amp;IF(AND($B231&lt;&gt;"",$AQ231&lt;&gt;""),IF(COUNTIFS($B$6:$B$3005,$B231,$C$6:$C$3005,$C231,$D$6:$D$3005,$D231)&gt;1,"同じ月の請求が重複しています／",""),"")&amp;IF(AND(N($E231)&gt;0,$AB231&lt;&gt;"",$AB231&lt;&gt;"×",$AE231=0,$AD231=""),"計算額が下限以下のため不支給／",""))</f>
        <v/>
      </c>
      <c r="AN231" s="12" t="n"/>
      <c r="AO231" s="14">
        <f>IF($AF231="保留中",COUNTIF($AF$6:$AF231,"保留中"),"")</f>
        <v/>
      </c>
      <c r="AP231" s="14">
        <f>IF($AQ231="","",IF(SUMPRODUCT(MAX((職員マスタ!$A$6:$A$405=$B231)*(((職員マスタ!$G$6:$G$405="")+(職員マスタ!$G$6:$G$405&lt;=EOMONTH($AQ231,0)))&gt;0)*(((職員マスタ!$H$6:$H$405="")+(職員マスタ!$H$6:$H$405&gt;=$AQ231))&gt;0)*(ROW(職員マスタ!$A$6:$A$405)-5)))&gt;0,SUMPRODUCT(MAX((職員マスタ!$A$6:$A$405=$B231)*(((職員マスタ!$G$6:$G$405="")+(職員マスタ!$G$6:$G$405&lt;=EOMONTH($AQ231,0)))&gt;0)*(((職員マスタ!$H$6:$H$405="")+(職員マスタ!$H$6:$H$405&gt;=$AQ231))&gt;0)*(ROW(職員マスタ!$A$6:$A$405)-5))),IFERROR(MATCH($B231,職員マスタ!$A$6:$A$405,0),"")))</f>
        <v/>
      </c>
      <c r="AQ231" s="16">
        <f>IF(OR($B231="",$C231="",$D231=""),"",DATE($C231+2018,$D231,1))</f>
        <v/>
      </c>
    </row>
    <row r="232">
      <c r="A232" s="11" t="n"/>
      <c r="B232" s="12" t="n">
        <v>6502587</v>
      </c>
      <c r="C232" s="12" t="n">
        <v>8</v>
      </c>
      <c r="D232" s="12" t="n">
        <v>8</v>
      </c>
      <c r="E232" s="13" t="n">
        <v>198451</v>
      </c>
      <c r="F232" s="12" t="n"/>
      <c r="G232" s="13" t="n"/>
      <c r="H232" s="12" t="n"/>
      <c r="I232" s="12" t="n"/>
      <c r="J232" s="12" t="n"/>
      <c r="K232" s="12" t="n"/>
      <c r="L232" s="11" t="n"/>
      <c r="M232" s="11" t="n"/>
      <c r="N232" s="11" t="n"/>
      <c r="O232" s="11" t="n"/>
      <c r="P232" s="12" t="n"/>
      <c r="Q232" s="11" t="n"/>
      <c r="R232" s="12" t="n"/>
      <c r="S232" s="11" t="n"/>
      <c r="T232" s="12" t="n"/>
      <c r="U232" s="12" t="n"/>
      <c r="V232" s="12" t="n"/>
      <c r="W232" s="13" t="n"/>
      <c r="X232" s="14">
        <f>IF($AP232="",IF($B232="","",$H232),IF(INDEX(職員マスタ!$B$6:$B$405,$AP232)="",$H232,INDEX(職員マスタ!$B$6:$B$405,$AP232)))</f>
        <v/>
      </c>
      <c r="Y232" s="14">
        <f>IF($AP232="",IF($B232="","",$R232),IF(INDEX(職員マスタ!$C$6:$C$405,$AP232)="",$R232,INDEX(職員マスタ!$C$6:$C$405,$AP232)))</f>
        <v/>
      </c>
      <c r="Z232" s="14">
        <f>IF($AQ232="","","R"&amp;$C232&amp;"."&amp;$D232)</f>
        <v/>
      </c>
      <c r="AA232" s="15">
        <f>IF(IF($AP232="",FALSE,INDEX(職員マスタ!$K$6:$K$405,$AP232)&lt;&gt;""),INDEX(職員マスタ!$K$6:$K$405,$AP232),IF(N($W232)&gt;0,$W232,""))</f>
        <v/>
      </c>
      <c r="AB232" s="14">
        <f>IF(OR($E232="",$AA232=""),"",IF($E232&gt;=$AA232,"×",IF($E232&gt;=$AA232*設定!$C$5,"△","○")))</f>
        <v/>
      </c>
      <c r="AC232" s="15">
        <f>IF($AB232="","",IF($AB232="×",0,IF($AB232="○",ROUNDDOWN($E232*設定!$C$4,0),ROUNDDOWN($E232*ROUND((9*$AA232-9*$E232)/(10*$E232),4),0))))</f>
        <v/>
      </c>
      <c r="AD232" s="13" t="n"/>
      <c r="AE232" s="15">
        <f>IF($B232="","",IF($AD232&lt;&gt;"",$AD232,IF($AC232="","",IF($AC232&lt;=設定!$C$3,0,$AC232))))</f>
        <v/>
      </c>
      <c r="AF232" s="14">
        <f>IF($B232="","",IF(AND($AG232&lt;&gt;"",$AI232="",$AL232=""),"保留中",IF($AL232&lt;&gt;"",IF(N($AE232)&gt;0,"支給済","不支給"),IF($AE232="","要確認",IF($AE232=0,"不支給","未処理")))))</f>
        <v/>
      </c>
      <c r="AG232" s="12" t="n"/>
      <c r="AH232" s="11" t="n"/>
      <c r="AI232" s="11" t="n"/>
      <c r="AJ232" s="11" t="n"/>
      <c r="AK232" s="14">
        <f>IF(AND($AF232="保留中",$AH232&lt;&gt;""),TODAY()-$AH232,"")</f>
        <v/>
      </c>
      <c r="AL232" s="12" t="inlineStr">
        <is>
          <t>R8.10</t>
        </is>
      </c>
      <c r="AM232" s="14">
        <f>IF($B232="","",IF($AQ232="","対象年月が未入力／","")&amp;IF($B232="","",IF($AP232="","職員マスタに未登録の職員番号／",IF($AA232="","標準報酬月額が未登録／","")&amp;IF(AND($AQ232&lt;&gt;"",OR(AND(INDEX(職員マスタ!$G$6:$G$405,$AP232)&lt;&gt;"",INDEX(職員マスタ!$G$6:$G$405,$AP232)&gt;EOMONTH($AQ232,0)),AND(INDEX(職員マスタ!$H$6:$H$405,$AP232)&lt;&gt;"",INDEX(職員マスタ!$H$6:$H$405,$AP232)&lt;$AQ232))),"対象月が時短期間外／","")&amp;IF(AND(INDEX(職員マスタ!$K$6:$K$405,$AP232)&lt;&gt;"",N($W232)&gt;0,INDEX(職員マスタ!$K$6:$K$405,$AP232)&lt;&gt;$W232),"標準報酬月額が申請書と相違（台帳"&amp;TEXT(INDEX(職員マスタ!$K$6:$K$405,$AP232),"#,##0")&amp;"円／申請書"&amp;TEXT($W232,"#,##0")&amp;"円）／","")&amp;IF(AND(INDEX(職員マスタ!$F$6:$F$405,$AP232)&lt;&gt;"",$AQ232&lt;&gt;"",INDEX(職員マスタ!$F$6:$F$405,$AP232)&lt;$AQ232),"対象月に子が2歳到達済／","")&amp;IF(AND($H232&lt;&gt;"",INDEX(職員マスタ!$B$6:$B$405,$AP232)&lt;&gt;"",SUBSTITUTE(SUBSTITUTE($H232," ","")," ","")&lt;&gt;SUBSTITUTE(SUBSTITUTE(INDEX(職員マスタ!$B$6:$B$405,$AP232)," ","")," ","")),"氏名がマスタと相違／","")&amp;IF(AND($Q232&lt;&gt;"",INDEX(職員マスタ!$E$6:$E$405,$AP232)&lt;&gt;"",$Q232&lt;&gt;INDEX(職員マスタ!$E$6:$E$405,$AP232)),"子の生年月日がマスタと相違／","")&amp;IF(AND($L232&lt;&gt;"",INDEX(職員マスタ!$G$6:$G$405,$AP232)&lt;&gt;"",$L232&lt;&gt;INDEX(職員マスタ!$G$6:$G$405,$AP232)),"時短開始日がマスタと相違／","")&amp;IF(AND($M232&lt;&gt;"",INDEX(職員マスタ!$H$6:$H$405,$AP232)&lt;&gt;"",$M232&lt;&gt;INDEX(職員マスタ!$H$6:$H$405,$AP232)),"時短終了日がマスタと相違／","")))&amp;IF(AND($B232&lt;&gt;"",$E232=""),"報酬額が未入力／","")&amp;IF(N($U232)&gt;0,"申請書に入力エラーが残っています／","")&amp;IF(AND($B232&lt;&gt;"",$AQ232&lt;&gt;""),IF(COUNTIFS($B$6:$B$3005,$B232,$C$6:$C$3005,$C232,$D$6:$D$3005,$D232)&gt;1,"同じ月の請求が重複しています／",""),"")&amp;IF(AND(N($E232)&gt;0,$AB232&lt;&gt;"",$AB232&lt;&gt;"×",$AE232=0,$AD232=""),"計算額が下限以下のため不支給／",""))</f>
        <v/>
      </c>
      <c r="AN232" s="12" t="n"/>
      <c r="AO232" s="14">
        <f>IF($AF232="保留中",COUNTIF($AF$6:$AF232,"保留中"),"")</f>
        <v/>
      </c>
      <c r="AP232" s="14">
        <f>IF($AQ232="","",IF(SUMPRODUCT(MAX((職員マスタ!$A$6:$A$405=$B232)*(((職員マスタ!$G$6:$G$405="")+(職員マスタ!$G$6:$G$405&lt;=EOMONTH($AQ232,0)))&gt;0)*(((職員マスタ!$H$6:$H$405="")+(職員マスタ!$H$6:$H$405&gt;=$AQ232))&gt;0)*(ROW(職員マスタ!$A$6:$A$405)-5)))&gt;0,SUMPRODUCT(MAX((職員マスタ!$A$6:$A$405=$B232)*(((職員マスタ!$G$6:$G$405="")+(職員マスタ!$G$6:$G$405&lt;=EOMONTH($AQ232,0)))&gt;0)*(((職員マスタ!$H$6:$H$405="")+(職員マスタ!$H$6:$H$405&gt;=$AQ232))&gt;0)*(ROW(職員マスタ!$A$6:$A$405)-5))),IFERROR(MATCH($B232,職員マスタ!$A$6:$A$405,0),"")))</f>
        <v/>
      </c>
      <c r="AQ232" s="16">
        <f>IF(OR($B232="",$C232="",$D232=""),"",DATE($C232+2018,$D232,1))</f>
        <v/>
      </c>
    </row>
    <row r="233">
      <c r="A233" s="11" t="n"/>
      <c r="B233" s="12" t="n">
        <v>2502728</v>
      </c>
      <c r="C233" s="12" t="n">
        <v>8</v>
      </c>
      <c r="D233" s="12" t="n">
        <v>4</v>
      </c>
      <c r="E233" s="13" t="n">
        <v>196263</v>
      </c>
      <c r="F233" s="12" t="n"/>
      <c r="G233" s="13" t="n"/>
      <c r="H233" s="12" t="n"/>
      <c r="I233" s="12" t="n"/>
      <c r="J233" s="12" t="n"/>
      <c r="K233" s="12" t="n"/>
      <c r="L233" s="11" t="n"/>
      <c r="M233" s="11" t="n"/>
      <c r="N233" s="11" t="n"/>
      <c r="O233" s="11" t="n"/>
      <c r="P233" s="12" t="n"/>
      <c r="Q233" s="11" t="n"/>
      <c r="R233" s="12" t="n"/>
      <c r="S233" s="11" t="n"/>
      <c r="T233" s="12" t="n"/>
      <c r="U233" s="12" t="n"/>
      <c r="V233" s="12" t="n"/>
      <c r="W233" s="13" t="n"/>
      <c r="X233" s="14">
        <f>IF($AP233="",IF($B233="","",$H233),IF(INDEX(職員マスタ!$B$6:$B$405,$AP233)="",$H233,INDEX(職員マスタ!$B$6:$B$405,$AP233)))</f>
        <v/>
      </c>
      <c r="Y233" s="14">
        <f>IF($AP233="",IF($B233="","",$R233),IF(INDEX(職員マスタ!$C$6:$C$405,$AP233)="",$R233,INDEX(職員マスタ!$C$6:$C$405,$AP233)))</f>
        <v/>
      </c>
      <c r="Z233" s="14">
        <f>IF($AQ233="","","R"&amp;$C233&amp;"."&amp;$D233)</f>
        <v/>
      </c>
      <c r="AA233" s="15">
        <f>IF(IF($AP233="",FALSE,INDEX(職員マスタ!$K$6:$K$405,$AP233)&lt;&gt;""),INDEX(職員マスタ!$K$6:$K$405,$AP233),IF(N($W233)&gt;0,$W233,""))</f>
        <v/>
      </c>
      <c r="AB233" s="14">
        <f>IF(OR($E233="",$AA233=""),"",IF($E233&gt;=$AA233,"×",IF($E233&gt;=$AA233*設定!$C$5,"△","○")))</f>
        <v/>
      </c>
      <c r="AC233" s="15">
        <f>IF($AB233="","",IF($AB233="×",0,IF($AB233="○",ROUNDDOWN($E233*設定!$C$4,0),ROUNDDOWN($E233*ROUND((9*$AA233-9*$E233)/(10*$E233),4),0))))</f>
        <v/>
      </c>
      <c r="AD233" s="13" t="n"/>
      <c r="AE233" s="15">
        <f>IF($B233="","",IF($AD233&lt;&gt;"",$AD233,IF($AC233="","",IF($AC233&lt;=設定!$C$3,0,$AC233))))</f>
        <v/>
      </c>
      <c r="AF233" s="14">
        <f>IF($B233="","",IF(AND($AG233&lt;&gt;"",$AI233="",$AL233=""),"保留中",IF($AL233&lt;&gt;"",IF(N($AE233)&gt;0,"支給済","不支給"),IF($AE233="","要確認",IF($AE233=0,"不支給","未処理")))))</f>
        <v/>
      </c>
      <c r="AG233" s="12" t="n"/>
      <c r="AH233" s="11" t="n"/>
      <c r="AI233" s="11" t="n"/>
      <c r="AJ233" s="11" t="n"/>
      <c r="AK233" s="14">
        <f>IF(AND($AF233="保留中",$AH233&lt;&gt;""),TODAY()-$AH233,"")</f>
        <v/>
      </c>
      <c r="AL233" s="12" t="inlineStr">
        <is>
          <t>R8.10</t>
        </is>
      </c>
      <c r="AM233" s="14">
        <f>IF($B233="","",IF($AQ233="","対象年月が未入力／","")&amp;IF($B233="","",IF($AP233="","職員マスタに未登録の職員番号／",IF($AA233="","標準報酬月額が未登録／","")&amp;IF(AND($AQ233&lt;&gt;"",OR(AND(INDEX(職員マスタ!$G$6:$G$405,$AP233)&lt;&gt;"",INDEX(職員マスタ!$G$6:$G$405,$AP233)&gt;EOMONTH($AQ233,0)),AND(INDEX(職員マスタ!$H$6:$H$405,$AP233)&lt;&gt;"",INDEX(職員マスタ!$H$6:$H$405,$AP233)&lt;$AQ233))),"対象月が時短期間外／","")&amp;IF(AND(INDEX(職員マスタ!$K$6:$K$405,$AP233)&lt;&gt;"",N($W233)&gt;0,INDEX(職員マスタ!$K$6:$K$405,$AP233)&lt;&gt;$W233),"標準報酬月額が申請書と相違（台帳"&amp;TEXT(INDEX(職員マスタ!$K$6:$K$405,$AP233),"#,##0")&amp;"円／申請書"&amp;TEXT($W233,"#,##0")&amp;"円）／","")&amp;IF(AND(INDEX(職員マスタ!$F$6:$F$405,$AP233)&lt;&gt;"",$AQ233&lt;&gt;"",INDEX(職員マスタ!$F$6:$F$405,$AP233)&lt;$AQ233),"対象月に子が2歳到達済／","")&amp;IF(AND($H233&lt;&gt;"",INDEX(職員マスタ!$B$6:$B$405,$AP233)&lt;&gt;"",SUBSTITUTE(SUBSTITUTE($H233," ","")," ","")&lt;&gt;SUBSTITUTE(SUBSTITUTE(INDEX(職員マスタ!$B$6:$B$405,$AP233)," ","")," ","")),"氏名がマスタと相違／","")&amp;IF(AND($Q233&lt;&gt;"",INDEX(職員マスタ!$E$6:$E$405,$AP233)&lt;&gt;"",$Q233&lt;&gt;INDEX(職員マスタ!$E$6:$E$405,$AP233)),"子の生年月日がマスタと相違／","")&amp;IF(AND($L233&lt;&gt;"",INDEX(職員マスタ!$G$6:$G$405,$AP233)&lt;&gt;"",$L233&lt;&gt;INDEX(職員マスタ!$G$6:$G$405,$AP233)),"時短開始日がマスタと相違／","")&amp;IF(AND($M233&lt;&gt;"",INDEX(職員マスタ!$H$6:$H$405,$AP233)&lt;&gt;"",$M233&lt;&gt;INDEX(職員マスタ!$H$6:$H$405,$AP233)),"時短終了日がマスタと相違／","")))&amp;IF(AND($B233&lt;&gt;"",$E233=""),"報酬額が未入力／","")&amp;IF(N($U233)&gt;0,"申請書に入力エラーが残っています／","")&amp;IF(AND($B233&lt;&gt;"",$AQ233&lt;&gt;""),IF(COUNTIFS($B$6:$B$3005,$B233,$C$6:$C$3005,$C233,$D$6:$D$3005,$D233)&gt;1,"同じ月の請求が重複しています／",""),"")&amp;IF(AND(N($E233)&gt;0,$AB233&lt;&gt;"",$AB233&lt;&gt;"×",$AE233=0,$AD233=""),"計算額が下限以下のため不支給／",""))</f>
        <v/>
      </c>
      <c r="AN233" s="12" t="n"/>
      <c r="AO233" s="14">
        <f>IF($AF233="保留中",COUNTIF($AF$6:$AF233,"保留中"),"")</f>
        <v/>
      </c>
      <c r="AP233" s="14">
        <f>IF($AQ233="","",IF(SUMPRODUCT(MAX((職員マスタ!$A$6:$A$405=$B233)*(((職員マスタ!$G$6:$G$405="")+(職員マスタ!$G$6:$G$405&lt;=EOMONTH($AQ233,0)))&gt;0)*(((職員マスタ!$H$6:$H$405="")+(職員マスタ!$H$6:$H$405&gt;=$AQ233))&gt;0)*(ROW(職員マスタ!$A$6:$A$405)-5)))&gt;0,SUMPRODUCT(MAX((職員マスタ!$A$6:$A$405=$B233)*(((職員マスタ!$G$6:$G$405="")+(職員マスタ!$G$6:$G$405&lt;=EOMONTH($AQ233,0)))&gt;0)*(((職員マスタ!$H$6:$H$405="")+(職員マスタ!$H$6:$H$405&gt;=$AQ233))&gt;0)*(ROW(職員マスタ!$A$6:$A$405)-5))),IFERROR(MATCH($B233,職員マスタ!$A$6:$A$405,0),"")))</f>
        <v/>
      </c>
      <c r="AQ233" s="16">
        <f>IF(OR($B233="",$C233="",$D233=""),"",DATE($C233+2018,$D233,1))</f>
        <v/>
      </c>
    </row>
    <row r="234">
      <c r="A234" s="11" t="n"/>
      <c r="B234" s="12" t="n">
        <v>2502728</v>
      </c>
      <c r="C234" s="12" t="n">
        <v>8</v>
      </c>
      <c r="D234" s="12" t="n">
        <v>5</v>
      </c>
      <c r="E234" s="13" t="n">
        <v>198303</v>
      </c>
      <c r="F234" s="12" t="n"/>
      <c r="G234" s="13" t="n"/>
      <c r="H234" s="12" t="n"/>
      <c r="I234" s="12" t="n"/>
      <c r="J234" s="12" t="n"/>
      <c r="K234" s="12" t="n"/>
      <c r="L234" s="11" t="n"/>
      <c r="M234" s="11" t="n"/>
      <c r="N234" s="11" t="n"/>
      <c r="O234" s="11" t="n"/>
      <c r="P234" s="12" t="n"/>
      <c r="Q234" s="11" t="n"/>
      <c r="R234" s="12" t="n"/>
      <c r="S234" s="11" t="n"/>
      <c r="T234" s="12" t="n"/>
      <c r="U234" s="12" t="n"/>
      <c r="V234" s="12" t="n"/>
      <c r="W234" s="13" t="n"/>
      <c r="X234" s="14">
        <f>IF($AP234="",IF($B234="","",$H234),IF(INDEX(職員マスタ!$B$6:$B$405,$AP234)="",$H234,INDEX(職員マスタ!$B$6:$B$405,$AP234)))</f>
        <v/>
      </c>
      <c r="Y234" s="14">
        <f>IF($AP234="",IF($B234="","",$R234),IF(INDEX(職員マスタ!$C$6:$C$405,$AP234)="",$R234,INDEX(職員マスタ!$C$6:$C$405,$AP234)))</f>
        <v/>
      </c>
      <c r="Z234" s="14">
        <f>IF($AQ234="","","R"&amp;$C234&amp;"."&amp;$D234)</f>
        <v/>
      </c>
      <c r="AA234" s="15">
        <f>IF(IF($AP234="",FALSE,INDEX(職員マスタ!$K$6:$K$405,$AP234)&lt;&gt;""),INDEX(職員マスタ!$K$6:$K$405,$AP234),IF(N($W234)&gt;0,$W234,""))</f>
        <v/>
      </c>
      <c r="AB234" s="14">
        <f>IF(OR($E234="",$AA234=""),"",IF($E234&gt;=$AA234,"×",IF($E234&gt;=$AA234*設定!$C$5,"△","○")))</f>
        <v/>
      </c>
      <c r="AC234" s="15">
        <f>IF($AB234="","",IF($AB234="×",0,IF($AB234="○",ROUNDDOWN($E234*設定!$C$4,0),ROUNDDOWN($E234*ROUND((9*$AA234-9*$E234)/(10*$E234),4),0))))</f>
        <v/>
      </c>
      <c r="AD234" s="13" t="n"/>
      <c r="AE234" s="15">
        <f>IF($B234="","",IF($AD234&lt;&gt;"",$AD234,IF($AC234="","",IF($AC234&lt;=設定!$C$3,0,$AC234))))</f>
        <v/>
      </c>
      <c r="AF234" s="14">
        <f>IF($B234="","",IF(AND($AG234&lt;&gt;"",$AI234="",$AL234=""),"保留中",IF($AL234&lt;&gt;"",IF(N($AE234)&gt;0,"支給済","不支給"),IF($AE234="","要確認",IF($AE234=0,"不支給","未処理")))))</f>
        <v/>
      </c>
      <c r="AG234" s="12" t="n"/>
      <c r="AH234" s="11" t="n"/>
      <c r="AI234" s="11" t="n"/>
      <c r="AJ234" s="11" t="n"/>
      <c r="AK234" s="14">
        <f>IF(AND($AF234="保留中",$AH234&lt;&gt;""),TODAY()-$AH234,"")</f>
        <v/>
      </c>
      <c r="AL234" s="12" t="inlineStr">
        <is>
          <t>R8.10</t>
        </is>
      </c>
      <c r="AM234" s="14">
        <f>IF($B234="","",IF($AQ234="","対象年月が未入力／","")&amp;IF($B234="","",IF($AP234="","職員マスタに未登録の職員番号／",IF($AA234="","標準報酬月額が未登録／","")&amp;IF(AND($AQ234&lt;&gt;"",OR(AND(INDEX(職員マスタ!$G$6:$G$405,$AP234)&lt;&gt;"",INDEX(職員マスタ!$G$6:$G$405,$AP234)&gt;EOMONTH($AQ234,0)),AND(INDEX(職員マスタ!$H$6:$H$405,$AP234)&lt;&gt;"",INDEX(職員マスタ!$H$6:$H$405,$AP234)&lt;$AQ234))),"対象月が時短期間外／","")&amp;IF(AND(INDEX(職員マスタ!$K$6:$K$405,$AP234)&lt;&gt;"",N($W234)&gt;0,INDEX(職員マスタ!$K$6:$K$405,$AP234)&lt;&gt;$W234),"標準報酬月額が申請書と相違（台帳"&amp;TEXT(INDEX(職員マスタ!$K$6:$K$405,$AP234),"#,##0")&amp;"円／申請書"&amp;TEXT($W234,"#,##0")&amp;"円）／","")&amp;IF(AND(INDEX(職員マスタ!$F$6:$F$405,$AP234)&lt;&gt;"",$AQ234&lt;&gt;"",INDEX(職員マスタ!$F$6:$F$405,$AP234)&lt;$AQ234),"対象月に子が2歳到達済／","")&amp;IF(AND($H234&lt;&gt;"",INDEX(職員マスタ!$B$6:$B$405,$AP234)&lt;&gt;"",SUBSTITUTE(SUBSTITUTE($H234," ","")," ","")&lt;&gt;SUBSTITUTE(SUBSTITUTE(INDEX(職員マスタ!$B$6:$B$405,$AP234)," ","")," ","")),"氏名がマスタと相違／","")&amp;IF(AND($Q234&lt;&gt;"",INDEX(職員マスタ!$E$6:$E$405,$AP234)&lt;&gt;"",$Q234&lt;&gt;INDEX(職員マスタ!$E$6:$E$405,$AP234)),"子の生年月日がマスタと相違／","")&amp;IF(AND($L234&lt;&gt;"",INDEX(職員マスタ!$G$6:$G$405,$AP234)&lt;&gt;"",$L234&lt;&gt;INDEX(職員マスタ!$G$6:$G$405,$AP234)),"時短開始日がマスタと相違／","")&amp;IF(AND($M234&lt;&gt;"",INDEX(職員マスタ!$H$6:$H$405,$AP234)&lt;&gt;"",$M234&lt;&gt;INDEX(職員マスタ!$H$6:$H$405,$AP234)),"時短終了日がマスタと相違／","")))&amp;IF(AND($B234&lt;&gt;"",$E234=""),"報酬額が未入力／","")&amp;IF(N($U234)&gt;0,"申請書に入力エラーが残っています／","")&amp;IF(AND($B234&lt;&gt;"",$AQ234&lt;&gt;""),IF(COUNTIFS($B$6:$B$3005,$B234,$C$6:$C$3005,$C234,$D$6:$D$3005,$D234)&gt;1,"同じ月の請求が重複しています／",""),"")&amp;IF(AND(N($E234)&gt;0,$AB234&lt;&gt;"",$AB234&lt;&gt;"×",$AE234=0,$AD234=""),"計算額が下限以下のため不支給／",""))</f>
        <v/>
      </c>
      <c r="AN234" s="12" t="n"/>
      <c r="AO234" s="14">
        <f>IF($AF234="保留中",COUNTIF($AF$6:$AF234,"保留中"),"")</f>
        <v/>
      </c>
      <c r="AP234" s="14">
        <f>IF($AQ234="","",IF(SUMPRODUCT(MAX((職員マスタ!$A$6:$A$405=$B234)*(((職員マスタ!$G$6:$G$405="")+(職員マスタ!$G$6:$G$405&lt;=EOMONTH($AQ234,0)))&gt;0)*(((職員マスタ!$H$6:$H$405="")+(職員マスタ!$H$6:$H$405&gt;=$AQ234))&gt;0)*(ROW(職員マスタ!$A$6:$A$405)-5)))&gt;0,SUMPRODUCT(MAX((職員マスタ!$A$6:$A$405=$B234)*(((職員マスタ!$G$6:$G$405="")+(職員マスタ!$G$6:$G$405&lt;=EOMONTH($AQ234,0)))&gt;0)*(((職員マスタ!$H$6:$H$405="")+(職員マスタ!$H$6:$H$405&gt;=$AQ234))&gt;0)*(ROW(職員マスタ!$A$6:$A$405)-5))),IFERROR(MATCH($B234,職員マスタ!$A$6:$A$405,0),"")))</f>
        <v/>
      </c>
      <c r="AQ234" s="16">
        <f>IF(OR($B234="",$C234="",$D234=""),"",DATE($C234+2018,$D234,1))</f>
        <v/>
      </c>
    </row>
    <row r="235">
      <c r="A235" s="11" t="n"/>
      <c r="B235" s="12" t="n">
        <v>2502728</v>
      </c>
      <c r="C235" s="12" t="n">
        <v>8</v>
      </c>
      <c r="D235" s="12" t="n">
        <v>6</v>
      </c>
      <c r="E235" s="13" t="n">
        <v>204423</v>
      </c>
      <c r="F235" s="12" t="n"/>
      <c r="G235" s="13" t="n"/>
      <c r="H235" s="12" t="n"/>
      <c r="I235" s="12" t="n"/>
      <c r="J235" s="12" t="n"/>
      <c r="K235" s="12" t="n"/>
      <c r="L235" s="11" t="n"/>
      <c r="M235" s="11" t="n"/>
      <c r="N235" s="11" t="n"/>
      <c r="O235" s="11" t="n"/>
      <c r="P235" s="12" t="n"/>
      <c r="Q235" s="11" t="n"/>
      <c r="R235" s="12" t="n"/>
      <c r="S235" s="11" t="n"/>
      <c r="T235" s="12" t="n"/>
      <c r="U235" s="12" t="n"/>
      <c r="V235" s="12" t="n"/>
      <c r="W235" s="13" t="n"/>
      <c r="X235" s="14">
        <f>IF($AP235="",IF($B235="","",$H235),IF(INDEX(職員マスタ!$B$6:$B$405,$AP235)="",$H235,INDEX(職員マスタ!$B$6:$B$405,$AP235)))</f>
        <v/>
      </c>
      <c r="Y235" s="14">
        <f>IF($AP235="",IF($B235="","",$R235),IF(INDEX(職員マスタ!$C$6:$C$405,$AP235)="",$R235,INDEX(職員マスタ!$C$6:$C$405,$AP235)))</f>
        <v/>
      </c>
      <c r="Z235" s="14">
        <f>IF($AQ235="","","R"&amp;$C235&amp;"."&amp;$D235)</f>
        <v/>
      </c>
      <c r="AA235" s="15">
        <f>IF(IF($AP235="",FALSE,INDEX(職員マスタ!$K$6:$K$405,$AP235)&lt;&gt;""),INDEX(職員マスタ!$K$6:$K$405,$AP235),IF(N($W235)&gt;0,$W235,""))</f>
        <v/>
      </c>
      <c r="AB235" s="14">
        <f>IF(OR($E235="",$AA235=""),"",IF($E235&gt;=$AA235,"×",IF($E235&gt;=$AA235*設定!$C$5,"△","○")))</f>
        <v/>
      </c>
      <c r="AC235" s="15">
        <f>IF($AB235="","",IF($AB235="×",0,IF($AB235="○",ROUNDDOWN($E235*設定!$C$4,0),ROUNDDOWN($E235*ROUND((9*$AA235-9*$E235)/(10*$E235),4),0))))</f>
        <v/>
      </c>
      <c r="AD235" s="13" t="n"/>
      <c r="AE235" s="15">
        <f>IF($B235="","",IF($AD235&lt;&gt;"",$AD235,IF($AC235="","",IF($AC235&lt;=設定!$C$3,0,$AC235))))</f>
        <v/>
      </c>
      <c r="AF235" s="14">
        <f>IF($B235="","",IF(AND($AG235&lt;&gt;"",$AI235="",$AL235=""),"保留中",IF($AL235&lt;&gt;"",IF(N($AE235)&gt;0,"支給済","不支給"),IF($AE235="","要確認",IF($AE235=0,"不支給","未処理")))))</f>
        <v/>
      </c>
      <c r="AG235" s="12" t="n"/>
      <c r="AH235" s="11" t="n"/>
      <c r="AI235" s="11" t="n"/>
      <c r="AJ235" s="11" t="n"/>
      <c r="AK235" s="14">
        <f>IF(AND($AF235="保留中",$AH235&lt;&gt;""),TODAY()-$AH235,"")</f>
        <v/>
      </c>
      <c r="AL235" s="12" t="inlineStr">
        <is>
          <t>R8.10</t>
        </is>
      </c>
      <c r="AM235" s="14">
        <f>IF($B235="","",IF($AQ235="","対象年月が未入力／","")&amp;IF($B235="","",IF($AP235="","職員マスタに未登録の職員番号／",IF($AA235="","標準報酬月額が未登録／","")&amp;IF(AND($AQ235&lt;&gt;"",OR(AND(INDEX(職員マスタ!$G$6:$G$405,$AP235)&lt;&gt;"",INDEX(職員マスタ!$G$6:$G$405,$AP235)&gt;EOMONTH($AQ235,0)),AND(INDEX(職員マスタ!$H$6:$H$405,$AP235)&lt;&gt;"",INDEX(職員マスタ!$H$6:$H$405,$AP235)&lt;$AQ235))),"対象月が時短期間外／","")&amp;IF(AND(INDEX(職員マスタ!$K$6:$K$405,$AP235)&lt;&gt;"",N($W235)&gt;0,INDEX(職員マスタ!$K$6:$K$405,$AP235)&lt;&gt;$W235),"標準報酬月額が申請書と相違（台帳"&amp;TEXT(INDEX(職員マスタ!$K$6:$K$405,$AP235),"#,##0")&amp;"円／申請書"&amp;TEXT($W235,"#,##0")&amp;"円）／","")&amp;IF(AND(INDEX(職員マスタ!$F$6:$F$405,$AP235)&lt;&gt;"",$AQ235&lt;&gt;"",INDEX(職員マスタ!$F$6:$F$405,$AP235)&lt;$AQ235),"対象月に子が2歳到達済／","")&amp;IF(AND($H235&lt;&gt;"",INDEX(職員マスタ!$B$6:$B$405,$AP235)&lt;&gt;"",SUBSTITUTE(SUBSTITUTE($H235," ","")," ","")&lt;&gt;SUBSTITUTE(SUBSTITUTE(INDEX(職員マスタ!$B$6:$B$405,$AP235)," ","")," ","")),"氏名がマスタと相違／","")&amp;IF(AND($Q235&lt;&gt;"",INDEX(職員マスタ!$E$6:$E$405,$AP235)&lt;&gt;"",$Q235&lt;&gt;INDEX(職員マスタ!$E$6:$E$405,$AP235)),"子の生年月日がマスタと相違／","")&amp;IF(AND($L235&lt;&gt;"",INDEX(職員マスタ!$G$6:$G$405,$AP235)&lt;&gt;"",$L235&lt;&gt;INDEX(職員マスタ!$G$6:$G$405,$AP235)),"時短開始日がマスタと相違／","")&amp;IF(AND($M235&lt;&gt;"",INDEX(職員マスタ!$H$6:$H$405,$AP235)&lt;&gt;"",$M235&lt;&gt;INDEX(職員マスタ!$H$6:$H$405,$AP235)),"時短終了日がマスタと相違／","")))&amp;IF(AND($B235&lt;&gt;"",$E235=""),"報酬額が未入力／","")&amp;IF(N($U235)&gt;0,"申請書に入力エラーが残っています／","")&amp;IF(AND($B235&lt;&gt;"",$AQ235&lt;&gt;""),IF(COUNTIFS($B$6:$B$3005,$B235,$C$6:$C$3005,$C235,$D$6:$D$3005,$D235)&gt;1,"同じ月の請求が重複しています／",""),"")&amp;IF(AND(N($E235)&gt;0,$AB235&lt;&gt;"",$AB235&lt;&gt;"×",$AE235=0,$AD235=""),"計算額が下限以下のため不支給／",""))</f>
        <v/>
      </c>
      <c r="AN235" s="12" t="n"/>
      <c r="AO235" s="14">
        <f>IF($AF235="保留中",COUNTIF($AF$6:$AF235,"保留中"),"")</f>
        <v/>
      </c>
      <c r="AP235" s="14">
        <f>IF($AQ235="","",IF(SUMPRODUCT(MAX((職員マスタ!$A$6:$A$405=$B235)*(((職員マスタ!$G$6:$G$405="")+(職員マスタ!$G$6:$G$405&lt;=EOMONTH($AQ235,0)))&gt;0)*(((職員マスタ!$H$6:$H$405="")+(職員マスタ!$H$6:$H$405&gt;=$AQ235))&gt;0)*(ROW(職員マスタ!$A$6:$A$405)-5)))&gt;0,SUMPRODUCT(MAX((職員マスタ!$A$6:$A$405=$B235)*(((職員マスタ!$G$6:$G$405="")+(職員マスタ!$G$6:$G$405&lt;=EOMONTH($AQ235,0)))&gt;0)*(((職員マスタ!$H$6:$H$405="")+(職員マスタ!$H$6:$H$405&gt;=$AQ235))&gt;0)*(ROW(職員マスタ!$A$6:$A$405)-5))),IFERROR(MATCH($B235,職員マスタ!$A$6:$A$405,0),"")))</f>
        <v/>
      </c>
      <c r="AQ235" s="16">
        <f>IF(OR($B235="",$C235="",$D235=""),"",DATE($C235+2018,$D235,1))</f>
        <v/>
      </c>
    </row>
    <row r="236">
      <c r="A236" s="11" t="n"/>
      <c r="B236" s="12" t="n">
        <v>2502728</v>
      </c>
      <c r="C236" s="12" t="n">
        <v>8</v>
      </c>
      <c r="D236" s="12" t="n">
        <v>7</v>
      </c>
      <c r="E236" s="13" t="n">
        <v>196263</v>
      </c>
      <c r="F236" s="12" t="n"/>
      <c r="G236" s="13" t="n"/>
      <c r="H236" s="12" t="n"/>
      <c r="I236" s="12" t="n"/>
      <c r="J236" s="12" t="n"/>
      <c r="K236" s="12" t="n"/>
      <c r="L236" s="11" t="n"/>
      <c r="M236" s="11" t="n"/>
      <c r="N236" s="11" t="n"/>
      <c r="O236" s="11" t="n"/>
      <c r="P236" s="12" t="n"/>
      <c r="Q236" s="11" t="n"/>
      <c r="R236" s="12" t="n"/>
      <c r="S236" s="11" t="n"/>
      <c r="T236" s="12" t="n"/>
      <c r="U236" s="12" t="n"/>
      <c r="V236" s="12" t="n"/>
      <c r="W236" s="13" t="n"/>
      <c r="X236" s="14">
        <f>IF($AP236="",IF($B236="","",$H236),IF(INDEX(職員マスタ!$B$6:$B$405,$AP236)="",$H236,INDEX(職員マスタ!$B$6:$B$405,$AP236)))</f>
        <v/>
      </c>
      <c r="Y236" s="14">
        <f>IF($AP236="",IF($B236="","",$R236),IF(INDEX(職員マスタ!$C$6:$C$405,$AP236)="",$R236,INDEX(職員マスタ!$C$6:$C$405,$AP236)))</f>
        <v/>
      </c>
      <c r="Z236" s="14">
        <f>IF($AQ236="","","R"&amp;$C236&amp;"."&amp;$D236)</f>
        <v/>
      </c>
      <c r="AA236" s="15">
        <f>IF(IF($AP236="",FALSE,INDEX(職員マスタ!$K$6:$K$405,$AP236)&lt;&gt;""),INDEX(職員マスタ!$K$6:$K$405,$AP236),IF(N($W236)&gt;0,$W236,""))</f>
        <v/>
      </c>
      <c r="AB236" s="14">
        <f>IF(OR($E236="",$AA236=""),"",IF($E236&gt;=$AA236,"×",IF($E236&gt;=$AA236*設定!$C$5,"△","○")))</f>
        <v/>
      </c>
      <c r="AC236" s="15">
        <f>IF($AB236="","",IF($AB236="×",0,IF($AB236="○",ROUNDDOWN($E236*設定!$C$4,0),ROUNDDOWN($E236*ROUND((9*$AA236-9*$E236)/(10*$E236),4),0))))</f>
        <v/>
      </c>
      <c r="AD236" s="13" t="n"/>
      <c r="AE236" s="15">
        <f>IF($B236="","",IF($AD236&lt;&gt;"",$AD236,IF($AC236="","",IF($AC236&lt;=設定!$C$3,0,$AC236))))</f>
        <v/>
      </c>
      <c r="AF236" s="14">
        <f>IF($B236="","",IF(AND($AG236&lt;&gt;"",$AI236="",$AL236=""),"保留中",IF($AL236&lt;&gt;"",IF(N($AE236)&gt;0,"支給済","不支給"),IF($AE236="","要確認",IF($AE236=0,"不支給","未処理")))))</f>
        <v/>
      </c>
      <c r="AG236" s="12" t="n"/>
      <c r="AH236" s="11" t="n"/>
      <c r="AI236" s="11" t="n"/>
      <c r="AJ236" s="11" t="n"/>
      <c r="AK236" s="14">
        <f>IF(AND($AF236="保留中",$AH236&lt;&gt;""),TODAY()-$AH236,"")</f>
        <v/>
      </c>
      <c r="AL236" s="12" t="inlineStr">
        <is>
          <t>R8.10</t>
        </is>
      </c>
      <c r="AM236" s="14">
        <f>IF($B236="","",IF($AQ236="","対象年月が未入力／","")&amp;IF($B236="","",IF($AP236="","職員マスタに未登録の職員番号／",IF($AA236="","標準報酬月額が未登録／","")&amp;IF(AND($AQ236&lt;&gt;"",OR(AND(INDEX(職員マスタ!$G$6:$G$405,$AP236)&lt;&gt;"",INDEX(職員マスタ!$G$6:$G$405,$AP236)&gt;EOMONTH($AQ236,0)),AND(INDEX(職員マスタ!$H$6:$H$405,$AP236)&lt;&gt;"",INDEX(職員マスタ!$H$6:$H$405,$AP236)&lt;$AQ236))),"対象月が時短期間外／","")&amp;IF(AND(INDEX(職員マスタ!$K$6:$K$405,$AP236)&lt;&gt;"",N($W236)&gt;0,INDEX(職員マスタ!$K$6:$K$405,$AP236)&lt;&gt;$W236),"標準報酬月額が申請書と相違（台帳"&amp;TEXT(INDEX(職員マスタ!$K$6:$K$405,$AP236),"#,##0")&amp;"円／申請書"&amp;TEXT($W236,"#,##0")&amp;"円）／","")&amp;IF(AND(INDEX(職員マスタ!$F$6:$F$405,$AP236)&lt;&gt;"",$AQ236&lt;&gt;"",INDEX(職員マスタ!$F$6:$F$405,$AP236)&lt;$AQ236),"対象月に子が2歳到達済／","")&amp;IF(AND($H236&lt;&gt;"",INDEX(職員マスタ!$B$6:$B$405,$AP236)&lt;&gt;"",SUBSTITUTE(SUBSTITUTE($H236," ","")," ","")&lt;&gt;SUBSTITUTE(SUBSTITUTE(INDEX(職員マスタ!$B$6:$B$405,$AP236)," ","")," ","")),"氏名がマスタと相違／","")&amp;IF(AND($Q236&lt;&gt;"",INDEX(職員マスタ!$E$6:$E$405,$AP236)&lt;&gt;"",$Q236&lt;&gt;INDEX(職員マスタ!$E$6:$E$405,$AP236)),"子の生年月日がマスタと相違／","")&amp;IF(AND($L236&lt;&gt;"",INDEX(職員マスタ!$G$6:$G$405,$AP236)&lt;&gt;"",$L236&lt;&gt;INDEX(職員マスタ!$G$6:$G$405,$AP236)),"時短開始日がマスタと相違／","")&amp;IF(AND($M236&lt;&gt;"",INDEX(職員マスタ!$H$6:$H$405,$AP236)&lt;&gt;"",$M236&lt;&gt;INDEX(職員マスタ!$H$6:$H$405,$AP236)),"時短終了日がマスタと相違／","")))&amp;IF(AND($B236&lt;&gt;"",$E236=""),"報酬額が未入力／","")&amp;IF(N($U236)&gt;0,"申請書に入力エラーが残っています／","")&amp;IF(AND($B236&lt;&gt;"",$AQ236&lt;&gt;""),IF(COUNTIFS($B$6:$B$3005,$B236,$C$6:$C$3005,$C236,$D$6:$D$3005,$D236)&gt;1,"同じ月の請求が重複しています／",""),"")&amp;IF(AND(N($E236)&gt;0,$AB236&lt;&gt;"",$AB236&lt;&gt;"×",$AE236=0,$AD236=""),"計算額が下限以下のため不支給／",""))</f>
        <v/>
      </c>
      <c r="AN236" s="12" t="n"/>
      <c r="AO236" s="14">
        <f>IF($AF236="保留中",COUNTIF($AF$6:$AF236,"保留中"),"")</f>
        <v/>
      </c>
      <c r="AP236" s="14">
        <f>IF($AQ236="","",IF(SUMPRODUCT(MAX((職員マスタ!$A$6:$A$405=$B236)*(((職員マスタ!$G$6:$G$405="")+(職員マスタ!$G$6:$G$405&lt;=EOMONTH($AQ236,0)))&gt;0)*(((職員マスタ!$H$6:$H$405="")+(職員マスタ!$H$6:$H$405&gt;=$AQ236))&gt;0)*(ROW(職員マスタ!$A$6:$A$405)-5)))&gt;0,SUMPRODUCT(MAX((職員マスタ!$A$6:$A$405=$B236)*(((職員マスタ!$G$6:$G$405="")+(職員マスタ!$G$6:$G$405&lt;=EOMONTH($AQ236,0)))&gt;0)*(((職員マスタ!$H$6:$H$405="")+(職員マスタ!$H$6:$H$405&gt;=$AQ236))&gt;0)*(ROW(職員マスタ!$A$6:$A$405)-5))),IFERROR(MATCH($B236,職員マスタ!$A$6:$A$405,0),"")))</f>
        <v/>
      </c>
      <c r="AQ236" s="16">
        <f>IF(OR($B236="",$C236="",$D236=""),"",DATE($C236+2018,$D236,1))</f>
        <v/>
      </c>
    </row>
    <row r="237">
      <c r="A237" s="11" t="n"/>
      <c r="B237" s="12" t="n">
        <v>2502728</v>
      </c>
      <c r="C237" s="12" t="n">
        <v>8</v>
      </c>
      <c r="D237" s="12" t="n">
        <v>8</v>
      </c>
      <c r="E237" s="13" t="n">
        <v>200343</v>
      </c>
      <c r="F237" s="12" t="n"/>
      <c r="G237" s="13" t="n"/>
      <c r="H237" s="12" t="n"/>
      <c r="I237" s="12" t="n"/>
      <c r="J237" s="12" t="n"/>
      <c r="K237" s="12" t="n"/>
      <c r="L237" s="11" t="n"/>
      <c r="M237" s="11" t="n"/>
      <c r="N237" s="11" t="n"/>
      <c r="O237" s="11" t="n"/>
      <c r="P237" s="12" t="n"/>
      <c r="Q237" s="11" t="n"/>
      <c r="R237" s="12" t="n"/>
      <c r="S237" s="11" t="n"/>
      <c r="T237" s="12" t="n"/>
      <c r="U237" s="12" t="n"/>
      <c r="V237" s="12" t="n"/>
      <c r="W237" s="13" t="n"/>
      <c r="X237" s="14">
        <f>IF($AP237="",IF($B237="","",$H237),IF(INDEX(職員マスタ!$B$6:$B$405,$AP237)="",$H237,INDEX(職員マスタ!$B$6:$B$405,$AP237)))</f>
        <v/>
      </c>
      <c r="Y237" s="14">
        <f>IF($AP237="",IF($B237="","",$R237),IF(INDEX(職員マスタ!$C$6:$C$405,$AP237)="",$R237,INDEX(職員マスタ!$C$6:$C$405,$AP237)))</f>
        <v/>
      </c>
      <c r="Z237" s="14">
        <f>IF($AQ237="","","R"&amp;$C237&amp;"."&amp;$D237)</f>
        <v/>
      </c>
      <c r="AA237" s="15">
        <f>IF(IF($AP237="",FALSE,INDEX(職員マスタ!$K$6:$K$405,$AP237)&lt;&gt;""),INDEX(職員マスタ!$K$6:$K$405,$AP237),IF(N($W237)&gt;0,$W237,""))</f>
        <v/>
      </c>
      <c r="AB237" s="14">
        <f>IF(OR($E237="",$AA237=""),"",IF($E237&gt;=$AA237,"×",IF($E237&gt;=$AA237*設定!$C$5,"△","○")))</f>
        <v/>
      </c>
      <c r="AC237" s="15">
        <f>IF($AB237="","",IF($AB237="×",0,IF($AB237="○",ROUNDDOWN($E237*設定!$C$4,0),ROUNDDOWN($E237*ROUND((9*$AA237-9*$E237)/(10*$E237),4),0))))</f>
        <v/>
      </c>
      <c r="AD237" s="13" t="n"/>
      <c r="AE237" s="15">
        <f>IF($B237="","",IF($AD237&lt;&gt;"",$AD237,IF($AC237="","",IF($AC237&lt;=設定!$C$3,0,$AC237))))</f>
        <v/>
      </c>
      <c r="AF237" s="14">
        <f>IF($B237="","",IF(AND($AG237&lt;&gt;"",$AI237="",$AL237=""),"保留中",IF($AL237&lt;&gt;"",IF(N($AE237)&gt;0,"支給済","不支給"),IF($AE237="","要確認",IF($AE237=0,"不支給","未処理")))))</f>
        <v/>
      </c>
      <c r="AG237" s="12" t="n"/>
      <c r="AH237" s="11" t="n"/>
      <c r="AI237" s="11" t="n"/>
      <c r="AJ237" s="11" t="n"/>
      <c r="AK237" s="14">
        <f>IF(AND($AF237="保留中",$AH237&lt;&gt;""),TODAY()-$AH237,"")</f>
        <v/>
      </c>
      <c r="AL237" s="12" t="inlineStr">
        <is>
          <t>R8.10</t>
        </is>
      </c>
      <c r="AM237" s="14">
        <f>IF($B237="","",IF($AQ237="","対象年月が未入力／","")&amp;IF($B237="","",IF($AP237="","職員マスタに未登録の職員番号／",IF($AA237="","標準報酬月額が未登録／","")&amp;IF(AND($AQ237&lt;&gt;"",OR(AND(INDEX(職員マスタ!$G$6:$G$405,$AP237)&lt;&gt;"",INDEX(職員マスタ!$G$6:$G$405,$AP237)&gt;EOMONTH($AQ237,0)),AND(INDEX(職員マスタ!$H$6:$H$405,$AP237)&lt;&gt;"",INDEX(職員マスタ!$H$6:$H$405,$AP237)&lt;$AQ237))),"対象月が時短期間外／","")&amp;IF(AND(INDEX(職員マスタ!$K$6:$K$405,$AP237)&lt;&gt;"",N($W237)&gt;0,INDEX(職員マスタ!$K$6:$K$405,$AP237)&lt;&gt;$W237),"標準報酬月額が申請書と相違（台帳"&amp;TEXT(INDEX(職員マスタ!$K$6:$K$405,$AP237),"#,##0")&amp;"円／申請書"&amp;TEXT($W237,"#,##0")&amp;"円）／","")&amp;IF(AND(INDEX(職員マスタ!$F$6:$F$405,$AP237)&lt;&gt;"",$AQ237&lt;&gt;"",INDEX(職員マスタ!$F$6:$F$405,$AP237)&lt;$AQ237),"対象月に子が2歳到達済／","")&amp;IF(AND($H237&lt;&gt;"",INDEX(職員マスタ!$B$6:$B$405,$AP237)&lt;&gt;"",SUBSTITUTE(SUBSTITUTE($H237," ","")," ","")&lt;&gt;SUBSTITUTE(SUBSTITUTE(INDEX(職員マスタ!$B$6:$B$405,$AP237)," ","")," ","")),"氏名がマスタと相違／","")&amp;IF(AND($Q237&lt;&gt;"",INDEX(職員マスタ!$E$6:$E$405,$AP237)&lt;&gt;"",$Q237&lt;&gt;INDEX(職員マスタ!$E$6:$E$405,$AP237)),"子の生年月日がマスタと相違／","")&amp;IF(AND($L237&lt;&gt;"",INDEX(職員マスタ!$G$6:$G$405,$AP237)&lt;&gt;"",$L237&lt;&gt;INDEX(職員マスタ!$G$6:$G$405,$AP237)),"時短開始日がマスタと相違／","")&amp;IF(AND($M237&lt;&gt;"",INDEX(職員マスタ!$H$6:$H$405,$AP237)&lt;&gt;"",$M237&lt;&gt;INDEX(職員マスタ!$H$6:$H$405,$AP237)),"時短終了日がマスタと相違／","")))&amp;IF(AND($B237&lt;&gt;"",$E237=""),"報酬額が未入力／","")&amp;IF(N($U237)&gt;0,"申請書に入力エラーが残っています／","")&amp;IF(AND($B237&lt;&gt;"",$AQ237&lt;&gt;""),IF(COUNTIFS($B$6:$B$3005,$B237,$C$6:$C$3005,$C237,$D$6:$D$3005,$D237)&gt;1,"同じ月の請求が重複しています／",""),"")&amp;IF(AND(N($E237)&gt;0,$AB237&lt;&gt;"",$AB237&lt;&gt;"×",$AE237=0,$AD237=""),"計算額が下限以下のため不支給／",""))</f>
        <v/>
      </c>
      <c r="AN237" s="12" t="n"/>
      <c r="AO237" s="14">
        <f>IF($AF237="保留中",COUNTIF($AF$6:$AF237,"保留中"),"")</f>
        <v/>
      </c>
      <c r="AP237" s="14">
        <f>IF($AQ237="","",IF(SUMPRODUCT(MAX((職員マスタ!$A$6:$A$405=$B237)*(((職員マスタ!$G$6:$G$405="")+(職員マスタ!$G$6:$G$405&lt;=EOMONTH($AQ237,0)))&gt;0)*(((職員マスタ!$H$6:$H$405="")+(職員マスタ!$H$6:$H$405&gt;=$AQ237))&gt;0)*(ROW(職員マスタ!$A$6:$A$405)-5)))&gt;0,SUMPRODUCT(MAX((職員マスタ!$A$6:$A$405=$B237)*(((職員マスタ!$G$6:$G$405="")+(職員マスタ!$G$6:$G$405&lt;=EOMONTH($AQ237,0)))&gt;0)*(((職員マスタ!$H$6:$H$405="")+(職員マスタ!$H$6:$H$405&gt;=$AQ237))&gt;0)*(ROW(職員マスタ!$A$6:$A$405)-5))),IFERROR(MATCH($B237,職員マスタ!$A$6:$A$405,0),"")))</f>
        <v/>
      </c>
      <c r="AQ237" s="16">
        <f>IF(OR($B237="",$C237="",$D237=""),"",DATE($C237+2018,$D237,1))</f>
        <v/>
      </c>
    </row>
    <row r="238">
      <c r="A238" s="11" t="n"/>
      <c r="B238" s="12" t="n">
        <v>6502736</v>
      </c>
      <c r="C238" s="12" t="n">
        <v>7</v>
      </c>
      <c r="D238" s="12" t="n">
        <v>4</v>
      </c>
      <c r="E238" s="13" t="n">
        <v>200451</v>
      </c>
      <c r="F238" s="12" t="n"/>
      <c r="G238" s="13" t="n"/>
      <c r="H238" s="12" t="n"/>
      <c r="I238" s="12" t="n"/>
      <c r="J238" s="12" t="n"/>
      <c r="K238" s="12" t="n"/>
      <c r="L238" s="11" t="n"/>
      <c r="M238" s="11" t="n"/>
      <c r="N238" s="11" t="n"/>
      <c r="O238" s="11" t="n"/>
      <c r="P238" s="12" t="n"/>
      <c r="Q238" s="11" t="n"/>
      <c r="R238" s="12" t="n"/>
      <c r="S238" s="11" t="n"/>
      <c r="T238" s="12" t="n"/>
      <c r="U238" s="12" t="n"/>
      <c r="V238" s="12" t="n"/>
      <c r="W238" s="13" t="n"/>
      <c r="X238" s="14">
        <f>IF($AP238="",IF($B238="","",$H238),IF(INDEX(職員マスタ!$B$6:$B$405,$AP238)="",$H238,INDEX(職員マスタ!$B$6:$B$405,$AP238)))</f>
        <v/>
      </c>
      <c r="Y238" s="14">
        <f>IF($AP238="",IF($B238="","",$R238),IF(INDEX(職員マスタ!$C$6:$C$405,$AP238)="",$R238,INDEX(職員マスタ!$C$6:$C$405,$AP238)))</f>
        <v/>
      </c>
      <c r="Z238" s="14">
        <f>IF($AQ238="","","R"&amp;$C238&amp;"."&amp;$D238)</f>
        <v/>
      </c>
      <c r="AA238" s="15">
        <f>IF(IF($AP238="",FALSE,INDEX(職員マスタ!$K$6:$K$405,$AP238)&lt;&gt;""),INDEX(職員マスタ!$K$6:$K$405,$AP238),IF(N($W238)&gt;0,$W238,""))</f>
        <v/>
      </c>
      <c r="AB238" s="14">
        <f>IF(OR($E238="",$AA238=""),"",IF($E238&gt;=$AA238,"×",IF($E238&gt;=$AA238*設定!$C$5,"△","○")))</f>
        <v/>
      </c>
      <c r="AC238" s="15">
        <f>IF($AB238="","",IF($AB238="×",0,IF($AB238="○",ROUNDDOWN($E238*設定!$C$4,0),ROUNDDOWN($E238*ROUND((9*$AA238-9*$E238)/(10*$E238),4),0))))</f>
        <v/>
      </c>
      <c r="AD238" s="13" t="n"/>
      <c r="AE238" s="15">
        <f>IF($B238="","",IF($AD238&lt;&gt;"",$AD238,IF($AC238="","",IF($AC238&lt;=設定!$C$3,0,$AC238))))</f>
        <v/>
      </c>
      <c r="AF238" s="14">
        <f>IF($B238="","",IF(AND($AG238&lt;&gt;"",$AI238="",$AL238=""),"保留中",IF($AL238&lt;&gt;"",IF(N($AE238)&gt;0,"支給済","不支給"),IF($AE238="","要確認",IF($AE238=0,"不支給","未処理")))))</f>
        <v/>
      </c>
      <c r="AG238" s="12" t="n"/>
      <c r="AH238" s="11" t="n"/>
      <c r="AI238" s="11" t="n"/>
      <c r="AJ238" s="11" t="n"/>
      <c r="AK238" s="14">
        <f>IF(AND($AF238="保留中",$AH238&lt;&gt;""),TODAY()-$AH238,"")</f>
        <v/>
      </c>
      <c r="AL238" s="12" t="inlineStr">
        <is>
          <t>R7.8</t>
        </is>
      </c>
      <c r="AM238" s="14">
        <f>IF($B238="","",IF($AQ238="","対象年月が未入力／","")&amp;IF($B238="","",IF($AP238="","職員マスタに未登録の職員番号／",IF($AA238="","標準報酬月額が未登録／","")&amp;IF(AND($AQ238&lt;&gt;"",OR(AND(INDEX(職員マスタ!$G$6:$G$405,$AP238)&lt;&gt;"",INDEX(職員マスタ!$G$6:$G$405,$AP238)&gt;EOMONTH($AQ238,0)),AND(INDEX(職員マスタ!$H$6:$H$405,$AP238)&lt;&gt;"",INDEX(職員マスタ!$H$6:$H$405,$AP238)&lt;$AQ238))),"対象月が時短期間外／","")&amp;IF(AND(INDEX(職員マスタ!$K$6:$K$405,$AP238)&lt;&gt;"",N($W238)&gt;0,INDEX(職員マスタ!$K$6:$K$405,$AP238)&lt;&gt;$W238),"標準報酬月額が申請書と相違（台帳"&amp;TEXT(INDEX(職員マスタ!$K$6:$K$405,$AP238),"#,##0")&amp;"円／申請書"&amp;TEXT($W238,"#,##0")&amp;"円）／","")&amp;IF(AND(INDEX(職員マスタ!$F$6:$F$405,$AP238)&lt;&gt;"",$AQ238&lt;&gt;"",INDEX(職員マスタ!$F$6:$F$405,$AP238)&lt;$AQ238),"対象月に子が2歳到達済／","")&amp;IF(AND($H238&lt;&gt;"",INDEX(職員マスタ!$B$6:$B$405,$AP238)&lt;&gt;"",SUBSTITUTE(SUBSTITUTE($H238," ","")," ","")&lt;&gt;SUBSTITUTE(SUBSTITUTE(INDEX(職員マスタ!$B$6:$B$405,$AP238)," ","")," ","")),"氏名がマスタと相違／","")&amp;IF(AND($Q238&lt;&gt;"",INDEX(職員マスタ!$E$6:$E$405,$AP238)&lt;&gt;"",$Q238&lt;&gt;INDEX(職員マスタ!$E$6:$E$405,$AP238)),"子の生年月日がマスタと相違／","")&amp;IF(AND($L238&lt;&gt;"",INDEX(職員マスタ!$G$6:$G$405,$AP238)&lt;&gt;"",$L238&lt;&gt;INDEX(職員マスタ!$G$6:$G$405,$AP238)),"時短開始日がマスタと相違／","")&amp;IF(AND($M238&lt;&gt;"",INDEX(職員マスタ!$H$6:$H$405,$AP238)&lt;&gt;"",$M238&lt;&gt;INDEX(職員マスタ!$H$6:$H$405,$AP238)),"時短終了日がマスタと相違／","")))&amp;IF(AND($B238&lt;&gt;"",$E238=""),"報酬額が未入力／","")&amp;IF(N($U238)&gt;0,"申請書に入力エラーが残っています／","")&amp;IF(AND($B238&lt;&gt;"",$AQ238&lt;&gt;""),IF(COUNTIFS($B$6:$B$3005,$B238,$C$6:$C$3005,$C238,$D$6:$D$3005,$D238)&gt;1,"同じ月の請求が重複しています／",""),"")&amp;IF(AND(N($E238)&gt;0,$AB238&lt;&gt;"",$AB238&lt;&gt;"×",$AE238=0,$AD238=""),"計算額が下限以下のため不支給／",""))</f>
        <v/>
      </c>
      <c r="AN238" s="12" t="n"/>
      <c r="AO238" s="14">
        <f>IF($AF238="保留中",COUNTIF($AF$6:$AF238,"保留中"),"")</f>
        <v/>
      </c>
      <c r="AP238" s="14">
        <f>IF($AQ238="","",IF(SUMPRODUCT(MAX((職員マスタ!$A$6:$A$405=$B238)*(((職員マスタ!$G$6:$G$405="")+(職員マスタ!$G$6:$G$405&lt;=EOMONTH($AQ238,0)))&gt;0)*(((職員マスタ!$H$6:$H$405="")+(職員マスタ!$H$6:$H$405&gt;=$AQ238))&gt;0)*(ROW(職員マスタ!$A$6:$A$405)-5)))&gt;0,SUMPRODUCT(MAX((職員マスタ!$A$6:$A$405=$B238)*(((職員マスタ!$G$6:$G$405="")+(職員マスタ!$G$6:$G$405&lt;=EOMONTH($AQ238,0)))&gt;0)*(((職員マスタ!$H$6:$H$405="")+(職員マスタ!$H$6:$H$405&gt;=$AQ238))&gt;0)*(ROW(職員マスタ!$A$6:$A$405)-5))),IFERROR(MATCH($B238,職員マスタ!$A$6:$A$405,0),"")))</f>
        <v/>
      </c>
      <c r="AQ238" s="16">
        <f>IF(OR($B238="",$C238="",$D238=""),"",DATE($C238+2018,$D238,1))</f>
        <v/>
      </c>
    </row>
    <row r="239">
      <c r="A239" s="11" t="n"/>
      <c r="B239" s="12" t="n">
        <v>6502736</v>
      </c>
      <c r="C239" s="12" t="n">
        <v>7</v>
      </c>
      <c r="D239" s="12" t="n">
        <v>5</v>
      </c>
      <c r="E239" s="13" t="n">
        <v>204469</v>
      </c>
      <c r="F239" s="12" t="n"/>
      <c r="G239" s="13" t="n"/>
      <c r="H239" s="12" t="n"/>
      <c r="I239" s="12" t="n"/>
      <c r="J239" s="12" t="n"/>
      <c r="K239" s="12" t="n"/>
      <c r="L239" s="11" t="n"/>
      <c r="M239" s="11" t="n"/>
      <c r="N239" s="11" t="n"/>
      <c r="O239" s="11" t="n"/>
      <c r="P239" s="12" t="n"/>
      <c r="Q239" s="11" t="n"/>
      <c r="R239" s="12" t="n"/>
      <c r="S239" s="11" t="n"/>
      <c r="T239" s="12" t="n"/>
      <c r="U239" s="12" t="n"/>
      <c r="V239" s="12" t="n"/>
      <c r="W239" s="13" t="n"/>
      <c r="X239" s="14">
        <f>IF($AP239="",IF($B239="","",$H239),IF(INDEX(職員マスタ!$B$6:$B$405,$AP239)="",$H239,INDEX(職員マスタ!$B$6:$B$405,$AP239)))</f>
        <v/>
      </c>
      <c r="Y239" s="14">
        <f>IF($AP239="",IF($B239="","",$R239),IF(INDEX(職員マスタ!$C$6:$C$405,$AP239)="",$R239,INDEX(職員マスタ!$C$6:$C$405,$AP239)))</f>
        <v/>
      </c>
      <c r="Z239" s="14">
        <f>IF($AQ239="","","R"&amp;$C239&amp;"."&amp;$D239)</f>
        <v/>
      </c>
      <c r="AA239" s="15">
        <f>IF(IF($AP239="",FALSE,INDEX(職員マスタ!$K$6:$K$405,$AP239)&lt;&gt;""),INDEX(職員マスタ!$K$6:$K$405,$AP239),IF(N($W239)&gt;0,$W239,""))</f>
        <v/>
      </c>
      <c r="AB239" s="14">
        <f>IF(OR($E239="",$AA239=""),"",IF($E239&gt;=$AA239,"×",IF($E239&gt;=$AA239*設定!$C$5,"△","○")))</f>
        <v/>
      </c>
      <c r="AC239" s="15">
        <f>IF($AB239="","",IF($AB239="×",0,IF($AB239="○",ROUNDDOWN($E239*設定!$C$4,0),ROUNDDOWN($E239*ROUND((9*$AA239-9*$E239)/(10*$E239),4),0))))</f>
        <v/>
      </c>
      <c r="AD239" s="13" t="n"/>
      <c r="AE239" s="15">
        <f>IF($B239="","",IF($AD239&lt;&gt;"",$AD239,IF($AC239="","",IF($AC239&lt;=設定!$C$3,0,$AC239))))</f>
        <v/>
      </c>
      <c r="AF239" s="14">
        <f>IF($B239="","",IF(AND($AG239&lt;&gt;"",$AI239="",$AL239=""),"保留中",IF($AL239&lt;&gt;"",IF(N($AE239)&gt;0,"支給済","不支給"),IF($AE239="","要確認",IF($AE239=0,"不支給","未処理")))))</f>
        <v/>
      </c>
      <c r="AG239" s="12" t="n"/>
      <c r="AH239" s="11" t="n"/>
      <c r="AI239" s="11" t="n"/>
      <c r="AJ239" s="11" t="n"/>
      <c r="AK239" s="14">
        <f>IF(AND($AF239="保留中",$AH239&lt;&gt;""),TODAY()-$AH239,"")</f>
        <v/>
      </c>
      <c r="AL239" s="12" t="inlineStr">
        <is>
          <t>R7.8</t>
        </is>
      </c>
      <c r="AM239" s="14">
        <f>IF($B239="","",IF($AQ239="","対象年月が未入力／","")&amp;IF($B239="","",IF($AP239="","職員マスタに未登録の職員番号／",IF($AA239="","標準報酬月額が未登録／","")&amp;IF(AND($AQ239&lt;&gt;"",OR(AND(INDEX(職員マスタ!$G$6:$G$405,$AP239)&lt;&gt;"",INDEX(職員マスタ!$G$6:$G$405,$AP239)&gt;EOMONTH($AQ239,0)),AND(INDEX(職員マスタ!$H$6:$H$405,$AP239)&lt;&gt;"",INDEX(職員マスタ!$H$6:$H$405,$AP239)&lt;$AQ239))),"対象月が時短期間外／","")&amp;IF(AND(INDEX(職員マスタ!$K$6:$K$405,$AP239)&lt;&gt;"",N($W239)&gt;0,INDEX(職員マスタ!$K$6:$K$405,$AP239)&lt;&gt;$W239),"標準報酬月額が申請書と相違（台帳"&amp;TEXT(INDEX(職員マスタ!$K$6:$K$405,$AP239),"#,##0")&amp;"円／申請書"&amp;TEXT($W239,"#,##0")&amp;"円）／","")&amp;IF(AND(INDEX(職員マスタ!$F$6:$F$405,$AP239)&lt;&gt;"",$AQ239&lt;&gt;"",INDEX(職員マスタ!$F$6:$F$405,$AP239)&lt;$AQ239),"対象月に子が2歳到達済／","")&amp;IF(AND($H239&lt;&gt;"",INDEX(職員マスタ!$B$6:$B$405,$AP239)&lt;&gt;"",SUBSTITUTE(SUBSTITUTE($H239," ","")," ","")&lt;&gt;SUBSTITUTE(SUBSTITUTE(INDEX(職員マスタ!$B$6:$B$405,$AP239)," ","")," ","")),"氏名がマスタと相違／","")&amp;IF(AND($Q239&lt;&gt;"",INDEX(職員マスタ!$E$6:$E$405,$AP239)&lt;&gt;"",$Q239&lt;&gt;INDEX(職員マスタ!$E$6:$E$405,$AP239)),"子の生年月日がマスタと相違／","")&amp;IF(AND($L239&lt;&gt;"",INDEX(職員マスタ!$G$6:$G$405,$AP239)&lt;&gt;"",$L239&lt;&gt;INDEX(職員マスタ!$G$6:$G$405,$AP239)),"時短開始日がマスタと相違／","")&amp;IF(AND($M239&lt;&gt;"",INDEX(職員マスタ!$H$6:$H$405,$AP239)&lt;&gt;"",$M239&lt;&gt;INDEX(職員マスタ!$H$6:$H$405,$AP239)),"時短終了日がマスタと相違／","")))&amp;IF(AND($B239&lt;&gt;"",$E239=""),"報酬額が未入力／","")&amp;IF(N($U239)&gt;0,"申請書に入力エラーが残っています／","")&amp;IF(AND($B239&lt;&gt;"",$AQ239&lt;&gt;""),IF(COUNTIFS($B$6:$B$3005,$B239,$C$6:$C$3005,$C239,$D$6:$D$3005,$D239)&gt;1,"同じ月の請求が重複しています／",""),"")&amp;IF(AND(N($E239)&gt;0,$AB239&lt;&gt;"",$AB239&lt;&gt;"×",$AE239=0,$AD239=""),"計算額が下限以下のため不支給／",""))</f>
        <v/>
      </c>
      <c r="AN239" s="12" t="n"/>
      <c r="AO239" s="14">
        <f>IF($AF239="保留中",COUNTIF($AF$6:$AF239,"保留中"),"")</f>
        <v/>
      </c>
      <c r="AP239" s="14">
        <f>IF($AQ239="","",IF(SUMPRODUCT(MAX((職員マスタ!$A$6:$A$405=$B239)*(((職員マスタ!$G$6:$G$405="")+(職員マスタ!$G$6:$G$405&lt;=EOMONTH($AQ239,0)))&gt;0)*(((職員マスタ!$H$6:$H$405="")+(職員マスタ!$H$6:$H$405&gt;=$AQ239))&gt;0)*(ROW(職員マスタ!$A$6:$A$405)-5)))&gt;0,SUMPRODUCT(MAX((職員マスタ!$A$6:$A$405=$B239)*(((職員マスタ!$G$6:$G$405="")+(職員マスタ!$G$6:$G$405&lt;=EOMONTH($AQ239,0)))&gt;0)*(((職員マスタ!$H$6:$H$405="")+(職員マスタ!$H$6:$H$405&gt;=$AQ239))&gt;0)*(ROW(職員マスタ!$A$6:$A$405)-5))),IFERROR(MATCH($B239,職員マスタ!$A$6:$A$405,0),"")))</f>
        <v/>
      </c>
      <c r="AQ239" s="16">
        <f>IF(OR($B239="",$C239="",$D239=""),"",DATE($C239+2018,$D239,1))</f>
        <v/>
      </c>
    </row>
    <row r="240">
      <c r="A240" s="11" t="n"/>
      <c r="B240" s="12" t="n">
        <v>6502736</v>
      </c>
      <c r="C240" s="12" t="n">
        <v>7</v>
      </c>
      <c r="D240" s="12" t="n">
        <v>6</v>
      </c>
      <c r="E240" s="13" t="n">
        <v>200451</v>
      </c>
      <c r="F240" s="12" t="n"/>
      <c r="G240" s="13" t="n"/>
      <c r="H240" s="12" t="n"/>
      <c r="I240" s="12" t="n"/>
      <c r="J240" s="12" t="n"/>
      <c r="K240" s="12" t="n"/>
      <c r="L240" s="11" t="n"/>
      <c r="M240" s="11" t="n"/>
      <c r="N240" s="11" t="n"/>
      <c r="O240" s="11" t="n"/>
      <c r="P240" s="12" t="n"/>
      <c r="Q240" s="11" t="n"/>
      <c r="R240" s="12" t="n"/>
      <c r="S240" s="11" t="n"/>
      <c r="T240" s="12" t="n"/>
      <c r="U240" s="12" t="n"/>
      <c r="V240" s="12" t="n"/>
      <c r="W240" s="13" t="n"/>
      <c r="X240" s="14">
        <f>IF($AP240="",IF($B240="","",$H240),IF(INDEX(職員マスタ!$B$6:$B$405,$AP240)="",$H240,INDEX(職員マスタ!$B$6:$B$405,$AP240)))</f>
        <v/>
      </c>
      <c r="Y240" s="14">
        <f>IF($AP240="",IF($B240="","",$R240),IF(INDEX(職員マスタ!$C$6:$C$405,$AP240)="",$R240,INDEX(職員マスタ!$C$6:$C$405,$AP240)))</f>
        <v/>
      </c>
      <c r="Z240" s="14">
        <f>IF($AQ240="","","R"&amp;$C240&amp;"."&amp;$D240)</f>
        <v/>
      </c>
      <c r="AA240" s="15">
        <f>IF(IF($AP240="",FALSE,INDEX(職員マスタ!$K$6:$K$405,$AP240)&lt;&gt;""),INDEX(職員マスタ!$K$6:$K$405,$AP240),IF(N($W240)&gt;0,$W240,""))</f>
        <v/>
      </c>
      <c r="AB240" s="14">
        <f>IF(OR($E240="",$AA240=""),"",IF($E240&gt;=$AA240,"×",IF($E240&gt;=$AA240*設定!$C$5,"△","○")))</f>
        <v/>
      </c>
      <c r="AC240" s="15">
        <f>IF($AB240="","",IF($AB240="×",0,IF($AB240="○",ROUNDDOWN($E240*設定!$C$4,0),ROUNDDOWN($E240*ROUND((9*$AA240-9*$E240)/(10*$E240),4),0))))</f>
        <v/>
      </c>
      <c r="AD240" s="13" t="n"/>
      <c r="AE240" s="15">
        <f>IF($B240="","",IF($AD240&lt;&gt;"",$AD240,IF($AC240="","",IF($AC240&lt;=設定!$C$3,0,$AC240))))</f>
        <v/>
      </c>
      <c r="AF240" s="14">
        <f>IF($B240="","",IF(AND($AG240&lt;&gt;"",$AI240="",$AL240=""),"保留中",IF($AL240&lt;&gt;"",IF(N($AE240)&gt;0,"支給済","不支給"),IF($AE240="","要確認",IF($AE240=0,"不支給","未処理")))))</f>
        <v/>
      </c>
      <c r="AG240" s="12" t="n"/>
      <c r="AH240" s="11" t="n"/>
      <c r="AI240" s="11" t="n"/>
      <c r="AJ240" s="11" t="n"/>
      <c r="AK240" s="14">
        <f>IF(AND($AF240="保留中",$AH240&lt;&gt;""),TODAY()-$AH240,"")</f>
        <v/>
      </c>
      <c r="AL240" s="12" t="inlineStr">
        <is>
          <t>R7.8</t>
        </is>
      </c>
      <c r="AM240" s="14">
        <f>IF($B240="","",IF($AQ240="","対象年月が未入力／","")&amp;IF($B240="","",IF($AP240="","職員マスタに未登録の職員番号／",IF($AA240="","標準報酬月額が未登録／","")&amp;IF(AND($AQ240&lt;&gt;"",OR(AND(INDEX(職員マスタ!$G$6:$G$405,$AP240)&lt;&gt;"",INDEX(職員マスタ!$G$6:$G$405,$AP240)&gt;EOMONTH($AQ240,0)),AND(INDEX(職員マスタ!$H$6:$H$405,$AP240)&lt;&gt;"",INDEX(職員マスタ!$H$6:$H$405,$AP240)&lt;$AQ240))),"対象月が時短期間外／","")&amp;IF(AND(INDEX(職員マスタ!$K$6:$K$405,$AP240)&lt;&gt;"",N($W240)&gt;0,INDEX(職員マスタ!$K$6:$K$405,$AP240)&lt;&gt;$W240),"標準報酬月額が申請書と相違（台帳"&amp;TEXT(INDEX(職員マスタ!$K$6:$K$405,$AP240),"#,##0")&amp;"円／申請書"&amp;TEXT($W240,"#,##0")&amp;"円）／","")&amp;IF(AND(INDEX(職員マスタ!$F$6:$F$405,$AP240)&lt;&gt;"",$AQ240&lt;&gt;"",INDEX(職員マスタ!$F$6:$F$405,$AP240)&lt;$AQ240),"対象月に子が2歳到達済／","")&amp;IF(AND($H240&lt;&gt;"",INDEX(職員マスタ!$B$6:$B$405,$AP240)&lt;&gt;"",SUBSTITUTE(SUBSTITUTE($H240," ","")," ","")&lt;&gt;SUBSTITUTE(SUBSTITUTE(INDEX(職員マスタ!$B$6:$B$405,$AP240)," ","")," ","")),"氏名がマスタと相違／","")&amp;IF(AND($Q240&lt;&gt;"",INDEX(職員マスタ!$E$6:$E$405,$AP240)&lt;&gt;"",$Q240&lt;&gt;INDEX(職員マスタ!$E$6:$E$405,$AP240)),"子の生年月日がマスタと相違／","")&amp;IF(AND($L240&lt;&gt;"",INDEX(職員マスタ!$G$6:$G$405,$AP240)&lt;&gt;"",$L240&lt;&gt;INDEX(職員マスタ!$G$6:$G$405,$AP240)),"時短開始日がマスタと相違／","")&amp;IF(AND($M240&lt;&gt;"",INDEX(職員マスタ!$H$6:$H$405,$AP240)&lt;&gt;"",$M240&lt;&gt;INDEX(職員マスタ!$H$6:$H$405,$AP240)),"時短終了日がマスタと相違／","")))&amp;IF(AND($B240&lt;&gt;"",$E240=""),"報酬額が未入力／","")&amp;IF(N($U240)&gt;0,"申請書に入力エラーが残っています／","")&amp;IF(AND($B240&lt;&gt;"",$AQ240&lt;&gt;""),IF(COUNTIFS($B$6:$B$3005,$B240,$C$6:$C$3005,$C240,$D$6:$D$3005,$D240)&gt;1,"同じ月の請求が重複しています／",""),"")&amp;IF(AND(N($E240)&gt;0,$AB240&lt;&gt;"",$AB240&lt;&gt;"×",$AE240=0,$AD240=""),"計算額が下限以下のため不支給／",""))</f>
        <v/>
      </c>
      <c r="AN240" s="12" t="n"/>
      <c r="AO240" s="14">
        <f>IF($AF240="保留中",COUNTIF($AF$6:$AF240,"保留中"),"")</f>
        <v/>
      </c>
      <c r="AP240" s="14">
        <f>IF($AQ240="","",IF(SUMPRODUCT(MAX((職員マスタ!$A$6:$A$405=$B240)*(((職員マスタ!$G$6:$G$405="")+(職員マスタ!$G$6:$G$405&lt;=EOMONTH($AQ240,0)))&gt;0)*(((職員マスタ!$H$6:$H$405="")+(職員マスタ!$H$6:$H$405&gt;=$AQ240))&gt;0)*(ROW(職員マスタ!$A$6:$A$405)-5)))&gt;0,SUMPRODUCT(MAX((職員マスタ!$A$6:$A$405=$B240)*(((職員マスタ!$G$6:$G$405="")+(職員マスタ!$G$6:$G$405&lt;=EOMONTH($AQ240,0)))&gt;0)*(((職員マスタ!$H$6:$H$405="")+(職員マスタ!$H$6:$H$405&gt;=$AQ240))&gt;0)*(ROW(職員マスタ!$A$6:$A$405)-5))),IFERROR(MATCH($B240,職員マスタ!$A$6:$A$405,0),"")))</f>
        <v/>
      </c>
      <c r="AQ240" s="16">
        <f>IF(OR($B240="",$C240="",$D240=""),"",DATE($C240+2018,$D240,1))</f>
        <v/>
      </c>
    </row>
    <row r="241">
      <c r="A241" s="11" t="n"/>
      <c r="B241" s="12" t="n">
        <v>6502736</v>
      </c>
      <c r="C241" s="12" t="n">
        <v>7</v>
      </c>
      <c r="D241" s="12" t="n">
        <v>7</v>
      </c>
      <c r="E241" s="13" t="n">
        <v>206478</v>
      </c>
      <c r="F241" s="12" t="n"/>
      <c r="G241" s="13" t="n"/>
      <c r="H241" s="12" t="n"/>
      <c r="I241" s="12" t="n"/>
      <c r="J241" s="12" t="n"/>
      <c r="K241" s="12" t="n"/>
      <c r="L241" s="11" t="n"/>
      <c r="M241" s="11" t="n"/>
      <c r="N241" s="11" t="n"/>
      <c r="O241" s="11" t="n"/>
      <c r="P241" s="12" t="n"/>
      <c r="Q241" s="11" t="n"/>
      <c r="R241" s="12" t="n"/>
      <c r="S241" s="11" t="n"/>
      <c r="T241" s="12" t="n"/>
      <c r="U241" s="12" t="n"/>
      <c r="V241" s="12" t="n"/>
      <c r="W241" s="13" t="n"/>
      <c r="X241" s="14">
        <f>IF($AP241="",IF($B241="","",$H241),IF(INDEX(職員マスタ!$B$6:$B$405,$AP241)="",$H241,INDEX(職員マスタ!$B$6:$B$405,$AP241)))</f>
        <v/>
      </c>
      <c r="Y241" s="14">
        <f>IF($AP241="",IF($B241="","",$R241),IF(INDEX(職員マスタ!$C$6:$C$405,$AP241)="",$R241,INDEX(職員マスタ!$C$6:$C$405,$AP241)))</f>
        <v/>
      </c>
      <c r="Z241" s="14">
        <f>IF($AQ241="","","R"&amp;$C241&amp;"."&amp;$D241)</f>
        <v/>
      </c>
      <c r="AA241" s="15">
        <f>IF(IF($AP241="",FALSE,INDEX(職員マスタ!$K$6:$K$405,$AP241)&lt;&gt;""),INDEX(職員マスタ!$K$6:$K$405,$AP241),IF(N($W241)&gt;0,$W241,""))</f>
        <v/>
      </c>
      <c r="AB241" s="14">
        <f>IF(OR($E241="",$AA241=""),"",IF($E241&gt;=$AA241,"×",IF($E241&gt;=$AA241*設定!$C$5,"△","○")))</f>
        <v/>
      </c>
      <c r="AC241" s="15">
        <f>IF($AB241="","",IF($AB241="×",0,IF($AB241="○",ROUNDDOWN($E241*設定!$C$4,0),ROUNDDOWN($E241*ROUND((9*$AA241-9*$E241)/(10*$E241),4),0))))</f>
        <v/>
      </c>
      <c r="AD241" s="13" t="n"/>
      <c r="AE241" s="15">
        <f>IF($B241="","",IF($AD241&lt;&gt;"",$AD241,IF($AC241="","",IF($AC241&lt;=設定!$C$3,0,$AC241))))</f>
        <v/>
      </c>
      <c r="AF241" s="14">
        <f>IF($B241="","",IF(AND($AG241&lt;&gt;"",$AI241="",$AL241=""),"保留中",IF($AL241&lt;&gt;"",IF(N($AE241)&gt;0,"支給済","不支給"),IF($AE241="","要確認",IF($AE241=0,"不支給","未処理")))))</f>
        <v/>
      </c>
      <c r="AG241" s="12" t="n"/>
      <c r="AH241" s="11" t="n"/>
      <c r="AI241" s="11" t="n"/>
      <c r="AJ241" s="11" t="n"/>
      <c r="AK241" s="14">
        <f>IF(AND($AF241="保留中",$AH241&lt;&gt;""),TODAY()-$AH241,"")</f>
        <v/>
      </c>
      <c r="AL241" s="12" t="inlineStr">
        <is>
          <t>R7.9</t>
        </is>
      </c>
      <c r="AM241" s="14">
        <f>IF($B241="","",IF($AQ241="","対象年月が未入力／","")&amp;IF($B241="","",IF($AP241="","職員マスタに未登録の職員番号／",IF($AA241="","標準報酬月額が未登録／","")&amp;IF(AND($AQ241&lt;&gt;"",OR(AND(INDEX(職員マスタ!$G$6:$G$405,$AP241)&lt;&gt;"",INDEX(職員マスタ!$G$6:$G$405,$AP241)&gt;EOMONTH($AQ241,0)),AND(INDEX(職員マスタ!$H$6:$H$405,$AP241)&lt;&gt;"",INDEX(職員マスタ!$H$6:$H$405,$AP241)&lt;$AQ241))),"対象月が時短期間外／","")&amp;IF(AND(INDEX(職員マスタ!$K$6:$K$405,$AP241)&lt;&gt;"",N($W241)&gt;0,INDEX(職員マスタ!$K$6:$K$405,$AP241)&lt;&gt;$W241),"標準報酬月額が申請書と相違（台帳"&amp;TEXT(INDEX(職員マスタ!$K$6:$K$405,$AP241),"#,##0")&amp;"円／申請書"&amp;TEXT($W241,"#,##0")&amp;"円）／","")&amp;IF(AND(INDEX(職員マスタ!$F$6:$F$405,$AP241)&lt;&gt;"",$AQ241&lt;&gt;"",INDEX(職員マスタ!$F$6:$F$405,$AP241)&lt;$AQ241),"対象月に子が2歳到達済／","")&amp;IF(AND($H241&lt;&gt;"",INDEX(職員マスタ!$B$6:$B$405,$AP241)&lt;&gt;"",SUBSTITUTE(SUBSTITUTE($H241," ","")," ","")&lt;&gt;SUBSTITUTE(SUBSTITUTE(INDEX(職員マスタ!$B$6:$B$405,$AP241)," ","")," ","")),"氏名がマスタと相違／","")&amp;IF(AND($Q241&lt;&gt;"",INDEX(職員マスタ!$E$6:$E$405,$AP241)&lt;&gt;"",$Q241&lt;&gt;INDEX(職員マスタ!$E$6:$E$405,$AP241)),"子の生年月日がマスタと相違／","")&amp;IF(AND($L241&lt;&gt;"",INDEX(職員マスタ!$G$6:$G$405,$AP241)&lt;&gt;"",$L241&lt;&gt;INDEX(職員マスタ!$G$6:$G$405,$AP241)),"時短開始日がマスタと相違／","")&amp;IF(AND($M241&lt;&gt;"",INDEX(職員マスタ!$H$6:$H$405,$AP241)&lt;&gt;"",$M241&lt;&gt;INDEX(職員マスタ!$H$6:$H$405,$AP241)),"時短終了日がマスタと相違／","")))&amp;IF(AND($B241&lt;&gt;"",$E241=""),"報酬額が未入力／","")&amp;IF(N($U241)&gt;0,"申請書に入力エラーが残っています／","")&amp;IF(AND($B241&lt;&gt;"",$AQ241&lt;&gt;""),IF(COUNTIFS($B$6:$B$3005,$B241,$C$6:$C$3005,$C241,$D$6:$D$3005,$D241)&gt;1,"同じ月の請求が重複しています／",""),"")&amp;IF(AND(N($E241)&gt;0,$AB241&lt;&gt;"",$AB241&lt;&gt;"×",$AE241=0,$AD241=""),"計算額が下限以下のため不支給／",""))</f>
        <v/>
      </c>
      <c r="AN241" s="12" t="n"/>
      <c r="AO241" s="14">
        <f>IF($AF241="保留中",COUNTIF($AF$6:$AF241,"保留中"),"")</f>
        <v/>
      </c>
      <c r="AP241" s="14">
        <f>IF($AQ241="","",IF(SUMPRODUCT(MAX((職員マスタ!$A$6:$A$405=$B241)*(((職員マスタ!$G$6:$G$405="")+(職員マスタ!$G$6:$G$405&lt;=EOMONTH($AQ241,0)))&gt;0)*(((職員マスタ!$H$6:$H$405="")+(職員マスタ!$H$6:$H$405&gt;=$AQ241))&gt;0)*(ROW(職員マスタ!$A$6:$A$405)-5)))&gt;0,SUMPRODUCT(MAX((職員マスタ!$A$6:$A$405=$B241)*(((職員マスタ!$G$6:$G$405="")+(職員マスタ!$G$6:$G$405&lt;=EOMONTH($AQ241,0)))&gt;0)*(((職員マスタ!$H$6:$H$405="")+(職員マスタ!$H$6:$H$405&gt;=$AQ241))&gt;0)*(ROW(職員マスタ!$A$6:$A$405)-5))),IFERROR(MATCH($B241,職員マスタ!$A$6:$A$405,0),"")))</f>
        <v/>
      </c>
      <c r="AQ241" s="16">
        <f>IF(OR($B241="",$C241="",$D241=""),"",DATE($C241+2018,$D241,1))</f>
        <v/>
      </c>
    </row>
    <row r="242">
      <c r="A242" s="11" t="n"/>
      <c r="B242" s="12" t="n">
        <v>6502892</v>
      </c>
      <c r="C242" s="12" t="n">
        <v>7</v>
      </c>
      <c r="D242" s="12" t="n">
        <v>5</v>
      </c>
      <c r="E242" s="13" t="n">
        <v>194991</v>
      </c>
      <c r="F242" s="12" t="n"/>
      <c r="G242" s="13" t="n"/>
      <c r="H242" s="12" t="n"/>
      <c r="I242" s="12" t="n"/>
      <c r="J242" s="12" t="n"/>
      <c r="K242" s="12" t="n"/>
      <c r="L242" s="11" t="n"/>
      <c r="M242" s="11" t="n"/>
      <c r="N242" s="11" t="n"/>
      <c r="O242" s="11" t="n"/>
      <c r="P242" s="12" t="n"/>
      <c r="Q242" s="11" t="n"/>
      <c r="R242" s="12" t="n"/>
      <c r="S242" s="11" t="n"/>
      <c r="T242" s="12" t="n"/>
      <c r="U242" s="12" t="n"/>
      <c r="V242" s="12" t="n"/>
      <c r="W242" s="13" t="n"/>
      <c r="X242" s="14">
        <f>IF($AP242="",IF($B242="","",$H242),IF(INDEX(職員マスタ!$B$6:$B$405,$AP242)="",$H242,INDEX(職員マスタ!$B$6:$B$405,$AP242)))</f>
        <v/>
      </c>
      <c r="Y242" s="14">
        <f>IF($AP242="",IF($B242="","",$R242),IF(INDEX(職員マスタ!$C$6:$C$405,$AP242)="",$R242,INDEX(職員マスタ!$C$6:$C$405,$AP242)))</f>
        <v/>
      </c>
      <c r="Z242" s="14">
        <f>IF($AQ242="","","R"&amp;$C242&amp;"."&amp;$D242)</f>
        <v/>
      </c>
      <c r="AA242" s="15">
        <f>IF(IF($AP242="",FALSE,INDEX(職員マスタ!$K$6:$K$405,$AP242)&lt;&gt;""),INDEX(職員マスタ!$K$6:$K$405,$AP242),IF(N($W242)&gt;0,$W242,""))</f>
        <v/>
      </c>
      <c r="AB242" s="14">
        <f>IF(OR($E242="",$AA242=""),"",IF($E242&gt;=$AA242,"×",IF($E242&gt;=$AA242*設定!$C$5,"△","○")))</f>
        <v/>
      </c>
      <c r="AC242" s="15">
        <f>IF($AB242="","",IF($AB242="×",0,IF($AB242="○",ROUNDDOWN($E242*設定!$C$4,0),ROUNDDOWN($E242*ROUND((9*$AA242-9*$E242)/(10*$E242),4),0))))</f>
        <v/>
      </c>
      <c r="AD242" s="13" t="n"/>
      <c r="AE242" s="15">
        <f>IF($B242="","",IF($AD242&lt;&gt;"",$AD242,IF($AC242="","",IF($AC242&lt;=設定!$C$3,0,$AC242))))</f>
        <v/>
      </c>
      <c r="AF242" s="14">
        <f>IF($B242="","",IF(AND($AG242&lt;&gt;"",$AI242="",$AL242=""),"保留中",IF($AL242&lt;&gt;"",IF(N($AE242)&gt;0,"支給済","不支給"),IF($AE242="","要確認",IF($AE242=0,"不支給","未処理")))))</f>
        <v/>
      </c>
      <c r="AG242" s="12" t="n"/>
      <c r="AH242" s="11" t="n"/>
      <c r="AI242" s="11" t="n"/>
      <c r="AJ242" s="11" t="n"/>
      <c r="AK242" s="14">
        <f>IF(AND($AF242="保留中",$AH242&lt;&gt;""),TODAY()-$AH242,"")</f>
        <v/>
      </c>
      <c r="AL242" s="12" t="inlineStr">
        <is>
          <t>R7.8</t>
        </is>
      </c>
      <c r="AM242" s="14">
        <f>IF($B242="","",IF($AQ242="","対象年月が未入力／","")&amp;IF($B242="","",IF($AP242="","職員マスタに未登録の職員番号／",IF($AA242="","標準報酬月額が未登録／","")&amp;IF(AND($AQ242&lt;&gt;"",OR(AND(INDEX(職員マスタ!$G$6:$G$405,$AP242)&lt;&gt;"",INDEX(職員マスタ!$G$6:$G$405,$AP242)&gt;EOMONTH($AQ242,0)),AND(INDEX(職員マスタ!$H$6:$H$405,$AP242)&lt;&gt;"",INDEX(職員マスタ!$H$6:$H$405,$AP242)&lt;$AQ242))),"対象月が時短期間外／","")&amp;IF(AND(INDEX(職員マスタ!$K$6:$K$405,$AP242)&lt;&gt;"",N($W242)&gt;0,INDEX(職員マスタ!$K$6:$K$405,$AP242)&lt;&gt;$W242),"標準報酬月額が申請書と相違（台帳"&amp;TEXT(INDEX(職員マスタ!$K$6:$K$405,$AP242),"#,##0")&amp;"円／申請書"&amp;TEXT($W242,"#,##0")&amp;"円）／","")&amp;IF(AND(INDEX(職員マスタ!$F$6:$F$405,$AP242)&lt;&gt;"",$AQ242&lt;&gt;"",INDEX(職員マスタ!$F$6:$F$405,$AP242)&lt;$AQ242),"対象月に子が2歳到達済／","")&amp;IF(AND($H242&lt;&gt;"",INDEX(職員マスタ!$B$6:$B$405,$AP242)&lt;&gt;"",SUBSTITUTE(SUBSTITUTE($H242," ","")," ","")&lt;&gt;SUBSTITUTE(SUBSTITUTE(INDEX(職員マスタ!$B$6:$B$405,$AP242)," ","")," ","")),"氏名がマスタと相違／","")&amp;IF(AND($Q242&lt;&gt;"",INDEX(職員マスタ!$E$6:$E$405,$AP242)&lt;&gt;"",$Q242&lt;&gt;INDEX(職員マスタ!$E$6:$E$405,$AP242)),"子の生年月日がマスタと相違／","")&amp;IF(AND($L242&lt;&gt;"",INDEX(職員マスタ!$G$6:$G$405,$AP242)&lt;&gt;"",$L242&lt;&gt;INDEX(職員マスタ!$G$6:$G$405,$AP242)),"時短開始日がマスタと相違／","")&amp;IF(AND($M242&lt;&gt;"",INDEX(職員マスタ!$H$6:$H$405,$AP242)&lt;&gt;"",$M242&lt;&gt;INDEX(職員マスタ!$H$6:$H$405,$AP242)),"時短終了日がマスタと相違／","")))&amp;IF(AND($B242&lt;&gt;"",$E242=""),"報酬額が未入力／","")&amp;IF(N($U242)&gt;0,"申請書に入力エラーが残っています／","")&amp;IF(AND($B242&lt;&gt;"",$AQ242&lt;&gt;""),IF(COUNTIFS($B$6:$B$3005,$B242,$C$6:$C$3005,$C242,$D$6:$D$3005,$D242)&gt;1,"同じ月の請求が重複しています／",""),"")&amp;IF(AND(N($E242)&gt;0,$AB242&lt;&gt;"",$AB242&lt;&gt;"×",$AE242=0,$AD242=""),"計算額が下限以下のため不支給／",""))</f>
        <v/>
      </c>
      <c r="AN242" s="12" t="n"/>
      <c r="AO242" s="14">
        <f>IF($AF242="保留中",COUNTIF($AF$6:$AF242,"保留中"),"")</f>
        <v/>
      </c>
      <c r="AP242" s="14">
        <f>IF($AQ242="","",IF(SUMPRODUCT(MAX((職員マスタ!$A$6:$A$405=$B242)*(((職員マスタ!$G$6:$G$405="")+(職員マスタ!$G$6:$G$405&lt;=EOMONTH($AQ242,0)))&gt;0)*(((職員マスタ!$H$6:$H$405="")+(職員マスタ!$H$6:$H$405&gt;=$AQ242))&gt;0)*(ROW(職員マスタ!$A$6:$A$405)-5)))&gt;0,SUMPRODUCT(MAX((職員マスタ!$A$6:$A$405=$B242)*(((職員マスタ!$G$6:$G$405="")+(職員マスタ!$G$6:$G$405&lt;=EOMONTH($AQ242,0)))&gt;0)*(((職員マスタ!$H$6:$H$405="")+(職員マスタ!$H$6:$H$405&gt;=$AQ242))&gt;0)*(ROW(職員マスタ!$A$6:$A$405)-5))),IFERROR(MATCH($B242,職員マスタ!$A$6:$A$405,0),"")))</f>
        <v/>
      </c>
      <c r="AQ242" s="16">
        <f>IF(OR($B242="",$C242="",$D242=""),"",DATE($C242+2018,$D242,1))</f>
        <v/>
      </c>
    </row>
    <row r="243">
      <c r="A243" s="11" t="n"/>
      <c r="B243" s="12" t="n">
        <v>6502892</v>
      </c>
      <c r="C243" s="12" t="n">
        <v>7</v>
      </c>
      <c r="D243" s="12" t="n">
        <v>6</v>
      </c>
      <c r="E243" s="13" t="n">
        <v>194991</v>
      </c>
      <c r="F243" s="12" t="n"/>
      <c r="G243" s="13" t="n"/>
      <c r="H243" s="12" t="n"/>
      <c r="I243" s="12" t="n"/>
      <c r="J243" s="12" t="n"/>
      <c r="K243" s="12" t="n"/>
      <c r="L243" s="11" t="n"/>
      <c r="M243" s="11" t="n"/>
      <c r="N243" s="11" t="n"/>
      <c r="O243" s="11" t="n"/>
      <c r="P243" s="12" t="n"/>
      <c r="Q243" s="11" t="n"/>
      <c r="R243" s="12" t="n"/>
      <c r="S243" s="11" t="n"/>
      <c r="T243" s="12" t="n"/>
      <c r="U243" s="12" t="n"/>
      <c r="V243" s="12" t="n"/>
      <c r="W243" s="13" t="n"/>
      <c r="X243" s="14">
        <f>IF($AP243="",IF($B243="","",$H243),IF(INDEX(職員マスタ!$B$6:$B$405,$AP243)="",$H243,INDEX(職員マスタ!$B$6:$B$405,$AP243)))</f>
        <v/>
      </c>
      <c r="Y243" s="14">
        <f>IF($AP243="",IF($B243="","",$R243),IF(INDEX(職員マスタ!$C$6:$C$405,$AP243)="",$R243,INDEX(職員マスタ!$C$6:$C$405,$AP243)))</f>
        <v/>
      </c>
      <c r="Z243" s="14">
        <f>IF($AQ243="","","R"&amp;$C243&amp;"."&amp;$D243)</f>
        <v/>
      </c>
      <c r="AA243" s="15">
        <f>IF(IF($AP243="",FALSE,INDEX(職員マスタ!$K$6:$K$405,$AP243)&lt;&gt;""),INDEX(職員マスタ!$K$6:$K$405,$AP243),IF(N($W243)&gt;0,$W243,""))</f>
        <v/>
      </c>
      <c r="AB243" s="14">
        <f>IF(OR($E243="",$AA243=""),"",IF($E243&gt;=$AA243,"×",IF($E243&gt;=$AA243*設定!$C$5,"△","○")))</f>
        <v/>
      </c>
      <c r="AC243" s="15">
        <f>IF($AB243="","",IF($AB243="×",0,IF($AB243="○",ROUNDDOWN($E243*設定!$C$4,0),ROUNDDOWN($E243*ROUND((9*$AA243-9*$E243)/(10*$E243),4),0))))</f>
        <v/>
      </c>
      <c r="AD243" s="13" t="n"/>
      <c r="AE243" s="15">
        <f>IF($B243="","",IF($AD243&lt;&gt;"",$AD243,IF($AC243="","",IF($AC243&lt;=設定!$C$3,0,$AC243))))</f>
        <v/>
      </c>
      <c r="AF243" s="14">
        <f>IF($B243="","",IF(AND($AG243&lt;&gt;"",$AI243="",$AL243=""),"保留中",IF($AL243&lt;&gt;"",IF(N($AE243)&gt;0,"支給済","不支給"),IF($AE243="","要確認",IF($AE243=0,"不支給","未処理")))))</f>
        <v/>
      </c>
      <c r="AG243" s="12" t="n"/>
      <c r="AH243" s="11" t="n"/>
      <c r="AI243" s="11" t="n"/>
      <c r="AJ243" s="11" t="n"/>
      <c r="AK243" s="14">
        <f>IF(AND($AF243="保留中",$AH243&lt;&gt;""),TODAY()-$AH243,"")</f>
        <v/>
      </c>
      <c r="AL243" s="12" t="inlineStr">
        <is>
          <t>R7.8</t>
        </is>
      </c>
      <c r="AM243" s="14">
        <f>IF($B243="","",IF($AQ243="","対象年月が未入力／","")&amp;IF($B243="","",IF($AP243="","職員マスタに未登録の職員番号／",IF($AA243="","標準報酬月額が未登録／","")&amp;IF(AND($AQ243&lt;&gt;"",OR(AND(INDEX(職員マスタ!$G$6:$G$405,$AP243)&lt;&gt;"",INDEX(職員マスタ!$G$6:$G$405,$AP243)&gt;EOMONTH($AQ243,0)),AND(INDEX(職員マスタ!$H$6:$H$405,$AP243)&lt;&gt;"",INDEX(職員マスタ!$H$6:$H$405,$AP243)&lt;$AQ243))),"対象月が時短期間外／","")&amp;IF(AND(INDEX(職員マスタ!$K$6:$K$405,$AP243)&lt;&gt;"",N($W243)&gt;0,INDEX(職員マスタ!$K$6:$K$405,$AP243)&lt;&gt;$W243),"標準報酬月額が申請書と相違（台帳"&amp;TEXT(INDEX(職員マスタ!$K$6:$K$405,$AP243),"#,##0")&amp;"円／申請書"&amp;TEXT($W243,"#,##0")&amp;"円）／","")&amp;IF(AND(INDEX(職員マスタ!$F$6:$F$405,$AP243)&lt;&gt;"",$AQ243&lt;&gt;"",INDEX(職員マスタ!$F$6:$F$405,$AP243)&lt;$AQ243),"対象月に子が2歳到達済／","")&amp;IF(AND($H243&lt;&gt;"",INDEX(職員マスタ!$B$6:$B$405,$AP243)&lt;&gt;"",SUBSTITUTE(SUBSTITUTE($H243," ","")," ","")&lt;&gt;SUBSTITUTE(SUBSTITUTE(INDEX(職員マスタ!$B$6:$B$405,$AP243)," ","")," ","")),"氏名がマスタと相違／","")&amp;IF(AND($Q243&lt;&gt;"",INDEX(職員マスタ!$E$6:$E$405,$AP243)&lt;&gt;"",$Q243&lt;&gt;INDEX(職員マスタ!$E$6:$E$405,$AP243)),"子の生年月日がマスタと相違／","")&amp;IF(AND($L243&lt;&gt;"",INDEX(職員マスタ!$G$6:$G$405,$AP243)&lt;&gt;"",$L243&lt;&gt;INDEX(職員マスタ!$G$6:$G$405,$AP243)),"時短開始日がマスタと相違／","")&amp;IF(AND($M243&lt;&gt;"",INDEX(職員マスタ!$H$6:$H$405,$AP243)&lt;&gt;"",$M243&lt;&gt;INDEX(職員マスタ!$H$6:$H$405,$AP243)),"時短終了日がマスタと相違／","")))&amp;IF(AND($B243&lt;&gt;"",$E243=""),"報酬額が未入力／","")&amp;IF(N($U243)&gt;0,"申請書に入力エラーが残っています／","")&amp;IF(AND($B243&lt;&gt;"",$AQ243&lt;&gt;""),IF(COUNTIFS($B$6:$B$3005,$B243,$C$6:$C$3005,$C243,$D$6:$D$3005,$D243)&gt;1,"同じ月の請求が重複しています／",""),"")&amp;IF(AND(N($E243)&gt;0,$AB243&lt;&gt;"",$AB243&lt;&gt;"×",$AE243=0,$AD243=""),"計算額が下限以下のため不支給／",""))</f>
        <v/>
      </c>
      <c r="AN243" s="12" t="n"/>
      <c r="AO243" s="14">
        <f>IF($AF243="保留中",COUNTIF($AF$6:$AF243,"保留中"),"")</f>
        <v/>
      </c>
      <c r="AP243" s="14">
        <f>IF($AQ243="","",IF(SUMPRODUCT(MAX((職員マスタ!$A$6:$A$405=$B243)*(((職員マスタ!$G$6:$G$405="")+(職員マスタ!$G$6:$G$405&lt;=EOMONTH($AQ243,0)))&gt;0)*(((職員マスタ!$H$6:$H$405="")+(職員マスタ!$H$6:$H$405&gt;=$AQ243))&gt;0)*(ROW(職員マスタ!$A$6:$A$405)-5)))&gt;0,SUMPRODUCT(MAX((職員マスタ!$A$6:$A$405=$B243)*(((職員マスタ!$G$6:$G$405="")+(職員マスタ!$G$6:$G$405&lt;=EOMONTH($AQ243,0)))&gt;0)*(((職員マスタ!$H$6:$H$405="")+(職員マスタ!$H$6:$H$405&gt;=$AQ243))&gt;0)*(ROW(職員マスタ!$A$6:$A$405)-5))),IFERROR(MATCH($B243,職員マスタ!$A$6:$A$405,0),"")))</f>
        <v/>
      </c>
      <c r="AQ243" s="16">
        <f>IF(OR($B243="",$C243="",$D243=""),"",DATE($C243+2018,$D243,1))</f>
        <v/>
      </c>
    </row>
    <row r="244">
      <c r="A244" s="11" t="n"/>
      <c r="B244" s="12" t="n">
        <v>6502892</v>
      </c>
      <c r="C244" s="12" t="n">
        <v>7</v>
      </c>
      <c r="D244" s="12" t="n">
        <v>7</v>
      </c>
      <c r="E244" s="13" t="n">
        <v>194991</v>
      </c>
      <c r="F244" s="12" t="n"/>
      <c r="G244" s="13" t="n"/>
      <c r="H244" s="12" t="n"/>
      <c r="I244" s="12" t="n"/>
      <c r="J244" s="12" t="n"/>
      <c r="K244" s="12" t="n"/>
      <c r="L244" s="11" t="n"/>
      <c r="M244" s="11" t="n"/>
      <c r="N244" s="11" t="n"/>
      <c r="O244" s="11" t="n"/>
      <c r="P244" s="12" t="n"/>
      <c r="Q244" s="11" t="n"/>
      <c r="R244" s="12" t="n"/>
      <c r="S244" s="11" t="n"/>
      <c r="T244" s="12" t="n"/>
      <c r="U244" s="12" t="n"/>
      <c r="V244" s="12" t="n"/>
      <c r="W244" s="13" t="n"/>
      <c r="X244" s="14">
        <f>IF($AP244="",IF($B244="","",$H244),IF(INDEX(職員マスタ!$B$6:$B$405,$AP244)="",$H244,INDEX(職員マスタ!$B$6:$B$405,$AP244)))</f>
        <v/>
      </c>
      <c r="Y244" s="14">
        <f>IF($AP244="",IF($B244="","",$R244),IF(INDEX(職員マスタ!$C$6:$C$405,$AP244)="",$R244,INDEX(職員マスタ!$C$6:$C$405,$AP244)))</f>
        <v/>
      </c>
      <c r="Z244" s="14">
        <f>IF($AQ244="","","R"&amp;$C244&amp;"."&amp;$D244)</f>
        <v/>
      </c>
      <c r="AA244" s="15">
        <f>IF(IF($AP244="",FALSE,INDEX(職員マスタ!$K$6:$K$405,$AP244)&lt;&gt;""),INDEX(職員マスタ!$K$6:$K$405,$AP244),IF(N($W244)&gt;0,$W244,""))</f>
        <v/>
      </c>
      <c r="AB244" s="14">
        <f>IF(OR($E244="",$AA244=""),"",IF($E244&gt;=$AA244,"×",IF($E244&gt;=$AA244*設定!$C$5,"△","○")))</f>
        <v/>
      </c>
      <c r="AC244" s="15">
        <f>IF($AB244="","",IF($AB244="×",0,IF($AB244="○",ROUNDDOWN($E244*設定!$C$4,0),ROUNDDOWN($E244*ROUND((9*$AA244-9*$E244)/(10*$E244),4),0))))</f>
        <v/>
      </c>
      <c r="AD244" s="13" t="n"/>
      <c r="AE244" s="15">
        <f>IF($B244="","",IF($AD244&lt;&gt;"",$AD244,IF($AC244="","",IF($AC244&lt;=設定!$C$3,0,$AC244))))</f>
        <v/>
      </c>
      <c r="AF244" s="14">
        <f>IF($B244="","",IF(AND($AG244&lt;&gt;"",$AI244="",$AL244=""),"保留中",IF($AL244&lt;&gt;"",IF(N($AE244)&gt;0,"支給済","不支給"),IF($AE244="","要確認",IF($AE244=0,"不支給","未処理")))))</f>
        <v/>
      </c>
      <c r="AG244" s="12" t="n"/>
      <c r="AH244" s="11" t="n"/>
      <c r="AI244" s="11" t="n"/>
      <c r="AJ244" s="11" t="n"/>
      <c r="AK244" s="14">
        <f>IF(AND($AF244="保留中",$AH244&lt;&gt;""),TODAY()-$AH244,"")</f>
        <v/>
      </c>
      <c r="AL244" s="12" t="inlineStr">
        <is>
          <t>R7.9</t>
        </is>
      </c>
      <c r="AM244" s="14">
        <f>IF($B244="","",IF($AQ244="","対象年月が未入力／","")&amp;IF($B244="","",IF($AP244="","職員マスタに未登録の職員番号／",IF($AA244="","標準報酬月額が未登録／","")&amp;IF(AND($AQ244&lt;&gt;"",OR(AND(INDEX(職員マスタ!$G$6:$G$405,$AP244)&lt;&gt;"",INDEX(職員マスタ!$G$6:$G$405,$AP244)&gt;EOMONTH($AQ244,0)),AND(INDEX(職員マスタ!$H$6:$H$405,$AP244)&lt;&gt;"",INDEX(職員マスタ!$H$6:$H$405,$AP244)&lt;$AQ244))),"対象月が時短期間外／","")&amp;IF(AND(INDEX(職員マスタ!$K$6:$K$405,$AP244)&lt;&gt;"",N($W244)&gt;0,INDEX(職員マスタ!$K$6:$K$405,$AP244)&lt;&gt;$W244),"標準報酬月額が申請書と相違（台帳"&amp;TEXT(INDEX(職員マスタ!$K$6:$K$405,$AP244),"#,##0")&amp;"円／申請書"&amp;TEXT($W244,"#,##0")&amp;"円）／","")&amp;IF(AND(INDEX(職員マスタ!$F$6:$F$405,$AP244)&lt;&gt;"",$AQ244&lt;&gt;"",INDEX(職員マスタ!$F$6:$F$405,$AP244)&lt;$AQ244),"対象月に子が2歳到達済／","")&amp;IF(AND($H244&lt;&gt;"",INDEX(職員マスタ!$B$6:$B$405,$AP244)&lt;&gt;"",SUBSTITUTE(SUBSTITUTE($H244," ","")," ","")&lt;&gt;SUBSTITUTE(SUBSTITUTE(INDEX(職員マスタ!$B$6:$B$405,$AP244)," ","")," ","")),"氏名がマスタと相違／","")&amp;IF(AND($Q244&lt;&gt;"",INDEX(職員マスタ!$E$6:$E$405,$AP244)&lt;&gt;"",$Q244&lt;&gt;INDEX(職員マスタ!$E$6:$E$405,$AP244)),"子の生年月日がマスタと相違／","")&amp;IF(AND($L244&lt;&gt;"",INDEX(職員マスタ!$G$6:$G$405,$AP244)&lt;&gt;"",$L244&lt;&gt;INDEX(職員マスタ!$G$6:$G$405,$AP244)),"時短開始日がマスタと相違／","")&amp;IF(AND($M244&lt;&gt;"",INDEX(職員マスタ!$H$6:$H$405,$AP244)&lt;&gt;"",$M244&lt;&gt;INDEX(職員マスタ!$H$6:$H$405,$AP244)),"時短終了日がマスタと相違／","")))&amp;IF(AND($B244&lt;&gt;"",$E244=""),"報酬額が未入力／","")&amp;IF(N($U244)&gt;0,"申請書に入力エラーが残っています／","")&amp;IF(AND($B244&lt;&gt;"",$AQ244&lt;&gt;""),IF(COUNTIFS($B$6:$B$3005,$B244,$C$6:$C$3005,$C244,$D$6:$D$3005,$D244)&gt;1,"同じ月の請求が重複しています／",""),"")&amp;IF(AND(N($E244)&gt;0,$AB244&lt;&gt;"",$AB244&lt;&gt;"×",$AE244=0,$AD244=""),"計算額が下限以下のため不支給／",""))</f>
        <v/>
      </c>
      <c r="AN244" s="12" t="n"/>
      <c r="AO244" s="14">
        <f>IF($AF244="保留中",COUNTIF($AF$6:$AF244,"保留中"),"")</f>
        <v/>
      </c>
      <c r="AP244" s="14">
        <f>IF($AQ244="","",IF(SUMPRODUCT(MAX((職員マスタ!$A$6:$A$405=$B244)*(((職員マスタ!$G$6:$G$405="")+(職員マスタ!$G$6:$G$405&lt;=EOMONTH($AQ244,0)))&gt;0)*(((職員マスタ!$H$6:$H$405="")+(職員マスタ!$H$6:$H$405&gt;=$AQ244))&gt;0)*(ROW(職員マスタ!$A$6:$A$405)-5)))&gt;0,SUMPRODUCT(MAX((職員マスタ!$A$6:$A$405=$B244)*(((職員マスタ!$G$6:$G$405="")+(職員マスタ!$G$6:$G$405&lt;=EOMONTH($AQ244,0)))&gt;0)*(((職員マスタ!$H$6:$H$405="")+(職員マスタ!$H$6:$H$405&gt;=$AQ244))&gt;0)*(ROW(職員マスタ!$A$6:$A$405)-5))),IFERROR(MATCH($B244,職員マスタ!$A$6:$A$405,0),"")))</f>
        <v/>
      </c>
      <c r="AQ244" s="16">
        <f>IF(OR($B244="",$C244="",$D244=""),"",DATE($C244+2018,$D244,1))</f>
        <v/>
      </c>
    </row>
    <row r="245">
      <c r="A245" s="11" t="n"/>
      <c r="B245" s="12" t="n">
        <v>6502892</v>
      </c>
      <c r="C245" s="12" t="n">
        <v>7</v>
      </c>
      <c r="D245" s="12" t="n">
        <v>8</v>
      </c>
      <c r="E245" s="13" t="n">
        <v>194991</v>
      </c>
      <c r="F245" s="12" t="n"/>
      <c r="G245" s="13" t="n"/>
      <c r="H245" s="12" t="n"/>
      <c r="I245" s="12" t="n"/>
      <c r="J245" s="12" t="n"/>
      <c r="K245" s="12" t="n"/>
      <c r="L245" s="11" t="n"/>
      <c r="M245" s="11" t="n"/>
      <c r="N245" s="11" t="n"/>
      <c r="O245" s="11" t="n"/>
      <c r="P245" s="12" t="n"/>
      <c r="Q245" s="11" t="n"/>
      <c r="R245" s="12" t="n"/>
      <c r="S245" s="11" t="n"/>
      <c r="T245" s="12" t="n"/>
      <c r="U245" s="12" t="n"/>
      <c r="V245" s="12" t="n"/>
      <c r="W245" s="13" t="n"/>
      <c r="X245" s="14">
        <f>IF($AP245="",IF($B245="","",$H245),IF(INDEX(職員マスタ!$B$6:$B$405,$AP245)="",$H245,INDEX(職員マスタ!$B$6:$B$405,$AP245)))</f>
        <v/>
      </c>
      <c r="Y245" s="14">
        <f>IF($AP245="",IF($B245="","",$R245),IF(INDEX(職員マスタ!$C$6:$C$405,$AP245)="",$R245,INDEX(職員マスタ!$C$6:$C$405,$AP245)))</f>
        <v/>
      </c>
      <c r="Z245" s="14">
        <f>IF($AQ245="","","R"&amp;$C245&amp;"."&amp;$D245)</f>
        <v/>
      </c>
      <c r="AA245" s="15">
        <f>IF(IF($AP245="",FALSE,INDEX(職員マスタ!$K$6:$K$405,$AP245)&lt;&gt;""),INDEX(職員マスタ!$K$6:$K$405,$AP245),IF(N($W245)&gt;0,$W245,""))</f>
        <v/>
      </c>
      <c r="AB245" s="14">
        <f>IF(OR($E245="",$AA245=""),"",IF($E245&gt;=$AA245,"×",IF($E245&gt;=$AA245*設定!$C$5,"△","○")))</f>
        <v/>
      </c>
      <c r="AC245" s="15">
        <f>IF($AB245="","",IF($AB245="×",0,IF($AB245="○",ROUNDDOWN($E245*設定!$C$4,0),ROUNDDOWN($E245*ROUND((9*$AA245-9*$E245)/(10*$E245),4),0))))</f>
        <v/>
      </c>
      <c r="AD245" s="13" t="n"/>
      <c r="AE245" s="15">
        <f>IF($B245="","",IF($AD245&lt;&gt;"",$AD245,IF($AC245="","",IF($AC245&lt;=設定!$C$3,0,$AC245))))</f>
        <v/>
      </c>
      <c r="AF245" s="14">
        <f>IF($B245="","",IF(AND($AG245&lt;&gt;"",$AI245="",$AL245=""),"保留中",IF($AL245&lt;&gt;"",IF(N($AE245)&gt;0,"支給済","不支給"),IF($AE245="","要確認",IF($AE245=0,"不支給","未処理")))))</f>
        <v/>
      </c>
      <c r="AG245" s="12" t="n"/>
      <c r="AH245" s="11" t="n"/>
      <c r="AI245" s="11" t="n"/>
      <c r="AJ245" s="11" t="n"/>
      <c r="AK245" s="14">
        <f>IF(AND($AF245="保留中",$AH245&lt;&gt;""),TODAY()-$AH245,"")</f>
        <v/>
      </c>
      <c r="AL245" s="12" t="inlineStr">
        <is>
          <t>R7.10</t>
        </is>
      </c>
      <c r="AM245" s="14">
        <f>IF($B245="","",IF($AQ245="","対象年月が未入力／","")&amp;IF($B245="","",IF($AP245="","職員マスタに未登録の職員番号／",IF($AA245="","標準報酬月額が未登録／","")&amp;IF(AND($AQ245&lt;&gt;"",OR(AND(INDEX(職員マスタ!$G$6:$G$405,$AP245)&lt;&gt;"",INDEX(職員マスタ!$G$6:$G$405,$AP245)&gt;EOMONTH($AQ245,0)),AND(INDEX(職員マスタ!$H$6:$H$405,$AP245)&lt;&gt;"",INDEX(職員マスタ!$H$6:$H$405,$AP245)&lt;$AQ245))),"対象月が時短期間外／","")&amp;IF(AND(INDEX(職員マスタ!$K$6:$K$405,$AP245)&lt;&gt;"",N($W245)&gt;0,INDEX(職員マスタ!$K$6:$K$405,$AP245)&lt;&gt;$W245),"標準報酬月額が申請書と相違（台帳"&amp;TEXT(INDEX(職員マスタ!$K$6:$K$405,$AP245),"#,##0")&amp;"円／申請書"&amp;TEXT($W245,"#,##0")&amp;"円）／","")&amp;IF(AND(INDEX(職員マスタ!$F$6:$F$405,$AP245)&lt;&gt;"",$AQ245&lt;&gt;"",INDEX(職員マスタ!$F$6:$F$405,$AP245)&lt;$AQ245),"対象月に子が2歳到達済／","")&amp;IF(AND($H245&lt;&gt;"",INDEX(職員マスタ!$B$6:$B$405,$AP245)&lt;&gt;"",SUBSTITUTE(SUBSTITUTE($H245," ","")," ","")&lt;&gt;SUBSTITUTE(SUBSTITUTE(INDEX(職員マスタ!$B$6:$B$405,$AP245)," ","")," ","")),"氏名がマスタと相違／","")&amp;IF(AND($Q245&lt;&gt;"",INDEX(職員マスタ!$E$6:$E$405,$AP245)&lt;&gt;"",$Q245&lt;&gt;INDEX(職員マスタ!$E$6:$E$405,$AP245)),"子の生年月日がマスタと相違／","")&amp;IF(AND($L245&lt;&gt;"",INDEX(職員マスタ!$G$6:$G$405,$AP245)&lt;&gt;"",$L245&lt;&gt;INDEX(職員マスタ!$G$6:$G$405,$AP245)),"時短開始日がマスタと相違／","")&amp;IF(AND($M245&lt;&gt;"",INDEX(職員マスタ!$H$6:$H$405,$AP245)&lt;&gt;"",$M245&lt;&gt;INDEX(職員マスタ!$H$6:$H$405,$AP245)),"時短終了日がマスタと相違／","")))&amp;IF(AND($B245&lt;&gt;"",$E245=""),"報酬額が未入力／","")&amp;IF(N($U245)&gt;0,"申請書に入力エラーが残っています／","")&amp;IF(AND($B245&lt;&gt;"",$AQ245&lt;&gt;""),IF(COUNTIFS($B$6:$B$3005,$B245,$C$6:$C$3005,$C245,$D$6:$D$3005,$D245)&gt;1,"同じ月の請求が重複しています／",""),"")&amp;IF(AND(N($E245)&gt;0,$AB245&lt;&gt;"",$AB245&lt;&gt;"×",$AE245=0,$AD245=""),"計算額が下限以下のため不支給／",""))</f>
        <v/>
      </c>
      <c r="AN245" s="12" t="n"/>
      <c r="AO245" s="14">
        <f>IF($AF245="保留中",COUNTIF($AF$6:$AF245,"保留中"),"")</f>
        <v/>
      </c>
      <c r="AP245" s="14">
        <f>IF($AQ245="","",IF(SUMPRODUCT(MAX((職員マスタ!$A$6:$A$405=$B245)*(((職員マスタ!$G$6:$G$405="")+(職員マスタ!$G$6:$G$405&lt;=EOMONTH($AQ245,0)))&gt;0)*(((職員マスタ!$H$6:$H$405="")+(職員マスタ!$H$6:$H$405&gt;=$AQ245))&gt;0)*(ROW(職員マスタ!$A$6:$A$405)-5)))&gt;0,SUMPRODUCT(MAX((職員マスタ!$A$6:$A$405=$B245)*(((職員マスタ!$G$6:$G$405="")+(職員マスタ!$G$6:$G$405&lt;=EOMONTH($AQ245,0)))&gt;0)*(((職員マスタ!$H$6:$H$405="")+(職員マスタ!$H$6:$H$405&gt;=$AQ245))&gt;0)*(ROW(職員マスタ!$A$6:$A$405)-5))),IFERROR(MATCH($B245,職員マスタ!$A$6:$A$405,0),"")))</f>
        <v/>
      </c>
      <c r="AQ245" s="16">
        <f>IF(OR($B245="",$C245="",$D245=""),"",DATE($C245+2018,$D245,1))</f>
        <v/>
      </c>
    </row>
    <row r="246">
      <c r="A246" s="11" t="n"/>
      <c r="B246" s="12" t="n">
        <v>6502892</v>
      </c>
      <c r="C246" s="12" t="n">
        <v>7</v>
      </c>
      <c r="D246" s="12" t="n">
        <v>9</v>
      </c>
      <c r="E246" s="13" t="n">
        <v>198883</v>
      </c>
      <c r="F246" s="12" t="n"/>
      <c r="G246" s="13" t="n"/>
      <c r="H246" s="12" t="n"/>
      <c r="I246" s="12" t="n"/>
      <c r="J246" s="12" t="n"/>
      <c r="K246" s="12" t="n"/>
      <c r="L246" s="11" t="n"/>
      <c r="M246" s="11" t="n"/>
      <c r="N246" s="11" t="n"/>
      <c r="O246" s="11" t="n"/>
      <c r="P246" s="12" t="n"/>
      <c r="Q246" s="11" t="n"/>
      <c r="R246" s="12" t="n"/>
      <c r="S246" s="11" t="n"/>
      <c r="T246" s="12" t="n"/>
      <c r="U246" s="12" t="n"/>
      <c r="V246" s="12" t="n"/>
      <c r="W246" s="13" t="n"/>
      <c r="X246" s="14">
        <f>IF($AP246="",IF($B246="","",$H246),IF(INDEX(職員マスタ!$B$6:$B$405,$AP246)="",$H246,INDEX(職員マスタ!$B$6:$B$405,$AP246)))</f>
        <v/>
      </c>
      <c r="Y246" s="14">
        <f>IF($AP246="",IF($B246="","",$R246),IF(INDEX(職員マスタ!$C$6:$C$405,$AP246)="",$R246,INDEX(職員マスタ!$C$6:$C$405,$AP246)))</f>
        <v/>
      </c>
      <c r="Z246" s="14">
        <f>IF($AQ246="","","R"&amp;$C246&amp;"."&amp;$D246)</f>
        <v/>
      </c>
      <c r="AA246" s="15">
        <f>IF(IF($AP246="",FALSE,INDEX(職員マスタ!$K$6:$K$405,$AP246)&lt;&gt;""),INDEX(職員マスタ!$K$6:$K$405,$AP246),IF(N($W246)&gt;0,$W246,""))</f>
        <v/>
      </c>
      <c r="AB246" s="14">
        <f>IF(OR($E246="",$AA246=""),"",IF($E246&gt;=$AA246,"×",IF($E246&gt;=$AA246*設定!$C$5,"△","○")))</f>
        <v/>
      </c>
      <c r="AC246" s="15">
        <f>IF($AB246="","",IF($AB246="×",0,IF($AB246="○",ROUNDDOWN($E246*設定!$C$4,0),ROUNDDOWN($E246*ROUND((9*$AA246-9*$E246)/(10*$E246),4),0))))</f>
        <v/>
      </c>
      <c r="AD246" s="13" t="n"/>
      <c r="AE246" s="15">
        <f>IF($B246="","",IF($AD246&lt;&gt;"",$AD246,IF($AC246="","",IF($AC246&lt;=設定!$C$3,0,$AC246))))</f>
        <v/>
      </c>
      <c r="AF246" s="14">
        <f>IF($B246="","",IF(AND($AG246&lt;&gt;"",$AI246="",$AL246=""),"保留中",IF($AL246&lt;&gt;"",IF(N($AE246)&gt;0,"支給済","不支給"),IF($AE246="","要確認",IF($AE246=0,"不支給","未処理")))))</f>
        <v/>
      </c>
      <c r="AG246" s="12" t="n"/>
      <c r="AH246" s="11" t="n"/>
      <c r="AI246" s="11" t="n"/>
      <c r="AJ246" s="11" t="n"/>
      <c r="AK246" s="14">
        <f>IF(AND($AF246="保留中",$AH246&lt;&gt;""),TODAY()-$AH246,"")</f>
        <v/>
      </c>
      <c r="AL246" s="12" t="inlineStr">
        <is>
          <t>R7.11</t>
        </is>
      </c>
      <c r="AM246" s="14">
        <f>IF($B246="","",IF($AQ246="","対象年月が未入力／","")&amp;IF($B246="","",IF($AP246="","職員マスタに未登録の職員番号／",IF($AA246="","標準報酬月額が未登録／","")&amp;IF(AND($AQ246&lt;&gt;"",OR(AND(INDEX(職員マスタ!$G$6:$G$405,$AP246)&lt;&gt;"",INDEX(職員マスタ!$G$6:$G$405,$AP246)&gt;EOMONTH($AQ246,0)),AND(INDEX(職員マスタ!$H$6:$H$405,$AP246)&lt;&gt;"",INDEX(職員マスタ!$H$6:$H$405,$AP246)&lt;$AQ246))),"対象月が時短期間外／","")&amp;IF(AND(INDEX(職員マスタ!$K$6:$K$405,$AP246)&lt;&gt;"",N($W246)&gt;0,INDEX(職員マスタ!$K$6:$K$405,$AP246)&lt;&gt;$W246),"標準報酬月額が申請書と相違（台帳"&amp;TEXT(INDEX(職員マスタ!$K$6:$K$405,$AP246),"#,##0")&amp;"円／申請書"&amp;TEXT($W246,"#,##0")&amp;"円）／","")&amp;IF(AND(INDEX(職員マスタ!$F$6:$F$405,$AP246)&lt;&gt;"",$AQ246&lt;&gt;"",INDEX(職員マスタ!$F$6:$F$405,$AP246)&lt;$AQ246),"対象月に子が2歳到達済／","")&amp;IF(AND($H246&lt;&gt;"",INDEX(職員マスタ!$B$6:$B$405,$AP246)&lt;&gt;"",SUBSTITUTE(SUBSTITUTE($H246," ","")," ","")&lt;&gt;SUBSTITUTE(SUBSTITUTE(INDEX(職員マスタ!$B$6:$B$405,$AP246)," ","")," ","")),"氏名がマスタと相違／","")&amp;IF(AND($Q246&lt;&gt;"",INDEX(職員マスタ!$E$6:$E$405,$AP246)&lt;&gt;"",$Q246&lt;&gt;INDEX(職員マスタ!$E$6:$E$405,$AP246)),"子の生年月日がマスタと相違／","")&amp;IF(AND($L246&lt;&gt;"",INDEX(職員マスタ!$G$6:$G$405,$AP246)&lt;&gt;"",$L246&lt;&gt;INDEX(職員マスタ!$G$6:$G$405,$AP246)),"時短開始日がマスタと相違／","")&amp;IF(AND($M246&lt;&gt;"",INDEX(職員マスタ!$H$6:$H$405,$AP246)&lt;&gt;"",$M246&lt;&gt;INDEX(職員マスタ!$H$6:$H$405,$AP246)),"時短終了日がマスタと相違／","")))&amp;IF(AND($B246&lt;&gt;"",$E246=""),"報酬額が未入力／","")&amp;IF(N($U246)&gt;0,"申請書に入力エラーが残っています／","")&amp;IF(AND($B246&lt;&gt;"",$AQ246&lt;&gt;""),IF(COUNTIFS($B$6:$B$3005,$B246,$C$6:$C$3005,$C246,$D$6:$D$3005,$D246)&gt;1,"同じ月の請求が重複しています／",""),"")&amp;IF(AND(N($E246)&gt;0,$AB246&lt;&gt;"",$AB246&lt;&gt;"×",$AE246=0,$AD246=""),"計算額が下限以下のため不支給／",""))</f>
        <v/>
      </c>
      <c r="AN246" s="12" t="n"/>
      <c r="AO246" s="14">
        <f>IF($AF246="保留中",COUNTIF($AF$6:$AF246,"保留中"),"")</f>
        <v/>
      </c>
      <c r="AP246" s="14">
        <f>IF($AQ246="","",IF(SUMPRODUCT(MAX((職員マスタ!$A$6:$A$405=$B246)*(((職員マスタ!$G$6:$G$405="")+(職員マスタ!$G$6:$G$405&lt;=EOMONTH($AQ246,0)))&gt;0)*(((職員マスタ!$H$6:$H$405="")+(職員マスタ!$H$6:$H$405&gt;=$AQ246))&gt;0)*(ROW(職員マスタ!$A$6:$A$405)-5)))&gt;0,SUMPRODUCT(MAX((職員マスタ!$A$6:$A$405=$B246)*(((職員マスタ!$G$6:$G$405="")+(職員マスタ!$G$6:$G$405&lt;=EOMONTH($AQ246,0)))&gt;0)*(((職員マスタ!$H$6:$H$405="")+(職員マスタ!$H$6:$H$405&gt;=$AQ246))&gt;0)*(ROW(職員マスタ!$A$6:$A$405)-5))),IFERROR(MATCH($B246,職員マスタ!$A$6:$A$405,0),"")))</f>
        <v/>
      </c>
      <c r="AQ246" s="16">
        <f>IF(OR($B246="",$C246="",$D246=""),"",DATE($C246+2018,$D246,1))</f>
        <v/>
      </c>
    </row>
    <row r="247">
      <c r="A247" s="11" t="n"/>
      <c r="B247" s="12" t="n">
        <v>6502892</v>
      </c>
      <c r="C247" s="12" t="n">
        <v>7</v>
      </c>
      <c r="D247" s="12" t="n">
        <v>10</v>
      </c>
      <c r="E247" s="13" t="n">
        <v>194991</v>
      </c>
      <c r="F247" s="12" t="n"/>
      <c r="G247" s="13" t="n"/>
      <c r="H247" s="12" t="n"/>
      <c r="I247" s="12" t="n"/>
      <c r="J247" s="12" t="n"/>
      <c r="K247" s="12" t="n"/>
      <c r="L247" s="11" t="n"/>
      <c r="M247" s="11" t="n"/>
      <c r="N247" s="11" t="n"/>
      <c r="O247" s="11" t="n"/>
      <c r="P247" s="12" t="n"/>
      <c r="Q247" s="11" t="n"/>
      <c r="R247" s="12" t="n"/>
      <c r="S247" s="11" t="n"/>
      <c r="T247" s="12" t="n"/>
      <c r="U247" s="12" t="n"/>
      <c r="V247" s="12" t="n"/>
      <c r="W247" s="13" t="n"/>
      <c r="X247" s="14">
        <f>IF($AP247="",IF($B247="","",$H247),IF(INDEX(職員マスタ!$B$6:$B$405,$AP247)="",$H247,INDEX(職員マスタ!$B$6:$B$405,$AP247)))</f>
        <v/>
      </c>
      <c r="Y247" s="14">
        <f>IF($AP247="",IF($B247="","",$R247),IF(INDEX(職員マスタ!$C$6:$C$405,$AP247)="",$R247,INDEX(職員マスタ!$C$6:$C$405,$AP247)))</f>
        <v/>
      </c>
      <c r="Z247" s="14">
        <f>IF($AQ247="","","R"&amp;$C247&amp;"."&amp;$D247)</f>
        <v/>
      </c>
      <c r="AA247" s="15">
        <f>IF(IF($AP247="",FALSE,INDEX(職員マスタ!$K$6:$K$405,$AP247)&lt;&gt;""),INDEX(職員マスタ!$K$6:$K$405,$AP247),IF(N($W247)&gt;0,$W247,""))</f>
        <v/>
      </c>
      <c r="AB247" s="14">
        <f>IF(OR($E247="",$AA247=""),"",IF($E247&gt;=$AA247,"×",IF($E247&gt;=$AA247*設定!$C$5,"△","○")))</f>
        <v/>
      </c>
      <c r="AC247" s="15">
        <f>IF($AB247="","",IF($AB247="×",0,IF($AB247="○",ROUNDDOWN($E247*設定!$C$4,0),ROUNDDOWN($E247*ROUND((9*$AA247-9*$E247)/(10*$E247),4),0))))</f>
        <v/>
      </c>
      <c r="AD247" s="13" t="n"/>
      <c r="AE247" s="15">
        <f>IF($B247="","",IF($AD247&lt;&gt;"",$AD247,IF($AC247="","",IF($AC247&lt;=設定!$C$3,0,$AC247))))</f>
        <v/>
      </c>
      <c r="AF247" s="14">
        <f>IF($B247="","",IF(AND($AG247&lt;&gt;"",$AI247="",$AL247=""),"保留中",IF($AL247&lt;&gt;"",IF(N($AE247)&gt;0,"支給済","不支給"),IF($AE247="","要確認",IF($AE247=0,"不支給","未処理")))))</f>
        <v/>
      </c>
      <c r="AG247" s="12" t="n"/>
      <c r="AH247" s="11" t="n"/>
      <c r="AI247" s="11" t="n"/>
      <c r="AJ247" s="11" t="n"/>
      <c r="AK247" s="14">
        <f>IF(AND($AF247="保留中",$AH247&lt;&gt;""),TODAY()-$AH247,"")</f>
        <v/>
      </c>
      <c r="AL247" s="12" t="inlineStr">
        <is>
          <t>R7.12</t>
        </is>
      </c>
      <c r="AM247" s="14">
        <f>IF($B247="","",IF($AQ247="","対象年月が未入力／","")&amp;IF($B247="","",IF($AP247="","職員マスタに未登録の職員番号／",IF($AA247="","標準報酬月額が未登録／","")&amp;IF(AND($AQ247&lt;&gt;"",OR(AND(INDEX(職員マスタ!$G$6:$G$405,$AP247)&lt;&gt;"",INDEX(職員マスタ!$G$6:$G$405,$AP247)&gt;EOMONTH($AQ247,0)),AND(INDEX(職員マスタ!$H$6:$H$405,$AP247)&lt;&gt;"",INDEX(職員マスタ!$H$6:$H$405,$AP247)&lt;$AQ247))),"対象月が時短期間外／","")&amp;IF(AND(INDEX(職員マスタ!$K$6:$K$405,$AP247)&lt;&gt;"",N($W247)&gt;0,INDEX(職員マスタ!$K$6:$K$405,$AP247)&lt;&gt;$W247),"標準報酬月額が申請書と相違（台帳"&amp;TEXT(INDEX(職員マスタ!$K$6:$K$405,$AP247),"#,##0")&amp;"円／申請書"&amp;TEXT($W247,"#,##0")&amp;"円）／","")&amp;IF(AND(INDEX(職員マスタ!$F$6:$F$405,$AP247)&lt;&gt;"",$AQ247&lt;&gt;"",INDEX(職員マスタ!$F$6:$F$405,$AP247)&lt;$AQ247),"対象月に子が2歳到達済／","")&amp;IF(AND($H247&lt;&gt;"",INDEX(職員マスタ!$B$6:$B$405,$AP247)&lt;&gt;"",SUBSTITUTE(SUBSTITUTE($H247," ","")," ","")&lt;&gt;SUBSTITUTE(SUBSTITUTE(INDEX(職員マスタ!$B$6:$B$405,$AP247)," ","")," ","")),"氏名がマスタと相違／","")&amp;IF(AND($Q247&lt;&gt;"",INDEX(職員マスタ!$E$6:$E$405,$AP247)&lt;&gt;"",$Q247&lt;&gt;INDEX(職員マスタ!$E$6:$E$405,$AP247)),"子の生年月日がマスタと相違／","")&amp;IF(AND($L247&lt;&gt;"",INDEX(職員マスタ!$G$6:$G$405,$AP247)&lt;&gt;"",$L247&lt;&gt;INDEX(職員マスタ!$G$6:$G$405,$AP247)),"時短開始日がマスタと相違／","")&amp;IF(AND($M247&lt;&gt;"",INDEX(職員マスタ!$H$6:$H$405,$AP247)&lt;&gt;"",$M247&lt;&gt;INDEX(職員マスタ!$H$6:$H$405,$AP247)),"時短終了日がマスタと相違／","")))&amp;IF(AND($B247&lt;&gt;"",$E247=""),"報酬額が未入力／","")&amp;IF(N($U247)&gt;0,"申請書に入力エラーが残っています／","")&amp;IF(AND($B247&lt;&gt;"",$AQ247&lt;&gt;""),IF(COUNTIFS($B$6:$B$3005,$B247,$C$6:$C$3005,$C247,$D$6:$D$3005,$D247)&gt;1,"同じ月の請求が重複しています／",""),"")&amp;IF(AND(N($E247)&gt;0,$AB247&lt;&gt;"",$AB247&lt;&gt;"×",$AE247=0,$AD247=""),"計算額が下限以下のため不支給／",""))</f>
        <v/>
      </c>
      <c r="AN247" s="12" t="n"/>
      <c r="AO247" s="14">
        <f>IF($AF247="保留中",COUNTIF($AF$6:$AF247,"保留中"),"")</f>
        <v/>
      </c>
      <c r="AP247" s="14">
        <f>IF($AQ247="","",IF(SUMPRODUCT(MAX((職員マスタ!$A$6:$A$405=$B247)*(((職員マスタ!$G$6:$G$405="")+(職員マスタ!$G$6:$G$405&lt;=EOMONTH($AQ247,0)))&gt;0)*(((職員マスタ!$H$6:$H$405="")+(職員マスタ!$H$6:$H$405&gt;=$AQ247))&gt;0)*(ROW(職員マスタ!$A$6:$A$405)-5)))&gt;0,SUMPRODUCT(MAX((職員マスタ!$A$6:$A$405=$B247)*(((職員マスタ!$G$6:$G$405="")+(職員マスタ!$G$6:$G$405&lt;=EOMONTH($AQ247,0)))&gt;0)*(((職員マスタ!$H$6:$H$405="")+(職員マスタ!$H$6:$H$405&gt;=$AQ247))&gt;0)*(ROW(職員マスタ!$A$6:$A$405)-5))),IFERROR(MATCH($B247,職員マスタ!$A$6:$A$405,0),"")))</f>
        <v/>
      </c>
      <c r="AQ247" s="16">
        <f>IF(OR($B247="",$C247="",$D247=""),"",DATE($C247+2018,$D247,1))</f>
        <v/>
      </c>
    </row>
    <row r="248">
      <c r="A248" s="11" t="n"/>
      <c r="B248" s="12" t="n">
        <v>6503056</v>
      </c>
      <c r="C248" s="12" t="n">
        <v>8</v>
      </c>
      <c r="D248" s="12" t="n">
        <v>4</v>
      </c>
      <c r="E248" s="13" t="n">
        <v>154835</v>
      </c>
      <c r="F248" s="12" t="n"/>
      <c r="G248" s="13" t="n"/>
      <c r="H248" s="12" t="n"/>
      <c r="I248" s="12" t="n"/>
      <c r="J248" s="12" t="n"/>
      <c r="K248" s="12" t="n"/>
      <c r="L248" s="11" t="n"/>
      <c r="M248" s="11" t="n"/>
      <c r="N248" s="11" t="n"/>
      <c r="O248" s="11" t="n"/>
      <c r="P248" s="12" t="n"/>
      <c r="Q248" s="11" t="n"/>
      <c r="R248" s="12" t="n"/>
      <c r="S248" s="11" t="n"/>
      <c r="T248" s="12" t="n"/>
      <c r="U248" s="12" t="n"/>
      <c r="V248" s="12" t="n"/>
      <c r="W248" s="13" t="n"/>
      <c r="X248" s="14">
        <f>IF($AP248="",IF($B248="","",$H248),IF(INDEX(職員マスタ!$B$6:$B$405,$AP248)="",$H248,INDEX(職員マスタ!$B$6:$B$405,$AP248)))</f>
        <v/>
      </c>
      <c r="Y248" s="14">
        <f>IF($AP248="",IF($B248="","",$R248),IF(INDEX(職員マスタ!$C$6:$C$405,$AP248)="",$R248,INDEX(職員マスタ!$C$6:$C$405,$AP248)))</f>
        <v/>
      </c>
      <c r="Z248" s="14">
        <f>IF($AQ248="","","R"&amp;$C248&amp;"."&amp;$D248)</f>
        <v/>
      </c>
      <c r="AA248" s="15">
        <f>IF(IF($AP248="",FALSE,INDEX(職員マスタ!$K$6:$K$405,$AP248)&lt;&gt;""),INDEX(職員マスタ!$K$6:$K$405,$AP248),IF(N($W248)&gt;0,$W248,""))</f>
        <v/>
      </c>
      <c r="AB248" s="14">
        <f>IF(OR($E248="",$AA248=""),"",IF($E248&gt;=$AA248,"×",IF($E248&gt;=$AA248*設定!$C$5,"△","○")))</f>
        <v/>
      </c>
      <c r="AC248" s="15">
        <f>IF($AB248="","",IF($AB248="×",0,IF($AB248="○",ROUNDDOWN($E248*設定!$C$4,0),ROUNDDOWN($E248*ROUND((9*$AA248-9*$E248)/(10*$E248),4),0))))</f>
        <v/>
      </c>
      <c r="AD248" s="13" t="n"/>
      <c r="AE248" s="15">
        <f>IF($B248="","",IF($AD248&lt;&gt;"",$AD248,IF($AC248="","",IF($AC248&lt;=設定!$C$3,0,$AC248))))</f>
        <v/>
      </c>
      <c r="AF248" s="14">
        <f>IF($B248="","",IF(AND($AG248&lt;&gt;"",$AI248="",$AL248=""),"保留中",IF($AL248&lt;&gt;"",IF(N($AE248)&gt;0,"支給済","不支給"),IF($AE248="","要確認",IF($AE248=0,"不支給","未処理")))))</f>
        <v/>
      </c>
      <c r="AG248" s="12" t="n"/>
      <c r="AH248" s="11" t="n"/>
      <c r="AI248" s="11" t="n"/>
      <c r="AJ248" s="11" t="n"/>
      <c r="AK248" s="14">
        <f>IF(AND($AF248="保留中",$AH248&lt;&gt;""),TODAY()-$AH248,"")</f>
        <v/>
      </c>
      <c r="AL248" s="12" t="inlineStr">
        <is>
          <t>R8.10</t>
        </is>
      </c>
      <c r="AM248" s="14">
        <f>IF($B248="","",IF($AQ248="","対象年月が未入力／","")&amp;IF($B248="","",IF($AP248="","職員マスタに未登録の職員番号／",IF($AA248="","標準報酬月額が未登録／","")&amp;IF(AND($AQ248&lt;&gt;"",OR(AND(INDEX(職員マスタ!$G$6:$G$405,$AP248)&lt;&gt;"",INDEX(職員マスタ!$G$6:$G$405,$AP248)&gt;EOMONTH($AQ248,0)),AND(INDEX(職員マスタ!$H$6:$H$405,$AP248)&lt;&gt;"",INDEX(職員マスタ!$H$6:$H$405,$AP248)&lt;$AQ248))),"対象月が時短期間外／","")&amp;IF(AND(INDEX(職員マスタ!$K$6:$K$405,$AP248)&lt;&gt;"",N($W248)&gt;0,INDEX(職員マスタ!$K$6:$K$405,$AP248)&lt;&gt;$W248),"標準報酬月額が申請書と相違（台帳"&amp;TEXT(INDEX(職員マスタ!$K$6:$K$405,$AP248),"#,##0")&amp;"円／申請書"&amp;TEXT($W248,"#,##0")&amp;"円）／","")&amp;IF(AND(INDEX(職員マスタ!$F$6:$F$405,$AP248)&lt;&gt;"",$AQ248&lt;&gt;"",INDEX(職員マスタ!$F$6:$F$405,$AP248)&lt;$AQ248),"対象月に子が2歳到達済／","")&amp;IF(AND($H248&lt;&gt;"",INDEX(職員マスタ!$B$6:$B$405,$AP248)&lt;&gt;"",SUBSTITUTE(SUBSTITUTE($H248," ","")," ","")&lt;&gt;SUBSTITUTE(SUBSTITUTE(INDEX(職員マスタ!$B$6:$B$405,$AP248)," ","")," ","")),"氏名がマスタと相違／","")&amp;IF(AND($Q248&lt;&gt;"",INDEX(職員マスタ!$E$6:$E$405,$AP248)&lt;&gt;"",$Q248&lt;&gt;INDEX(職員マスタ!$E$6:$E$405,$AP248)),"子の生年月日がマスタと相違／","")&amp;IF(AND($L248&lt;&gt;"",INDEX(職員マスタ!$G$6:$G$405,$AP248)&lt;&gt;"",$L248&lt;&gt;INDEX(職員マスタ!$G$6:$G$405,$AP248)),"時短開始日がマスタと相違／","")&amp;IF(AND($M248&lt;&gt;"",INDEX(職員マスタ!$H$6:$H$405,$AP248)&lt;&gt;"",$M248&lt;&gt;INDEX(職員マスタ!$H$6:$H$405,$AP248)),"時短終了日がマスタと相違／","")))&amp;IF(AND($B248&lt;&gt;"",$E248=""),"報酬額が未入力／","")&amp;IF(N($U248)&gt;0,"申請書に入力エラーが残っています／","")&amp;IF(AND($B248&lt;&gt;"",$AQ248&lt;&gt;""),IF(COUNTIFS($B$6:$B$3005,$B248,$C$6:$C$3005,$C248,$D$6:$D$3005,$D248)&gt;1,"同じ月の請求が重複しています／",""),"")&amp;IF(AND(N($E248)&gt;0,$AB248&lt;&gt;"",$AB248&lt;&gt;"×",$AE248=0,$AD248=""),"計算額が下限以下のため不支給／",""))</f>
        <v/>
      </c>
      <c r="AN248" s="12" t="n"/>
      <c r="AO248" s="14">
        <f>IF($AF248="保留中",COUNTIF($AF$6:$AF248,"保留中"),"")</f>
        <v/>
      </c>
      <c r="AP248" s="14">
        <f>IF($AQ248="","",IF(SUMPRODUCT(MAX((職員マスタ!$A$6:$A$405=$B248)*(((職員マスタ!$G$6:$G$405="")+(職員マスタ!$G$6:$G$405&lt;=EOMONTH($AQ248,0)))&gt;0)*(((職員マスタ!$H$6:$H$405="")+(職員マスタ!$H$6:$H$405&gt;=$AQ248))&gt;0)*(ROW(職員マスタ!$A$6:$A$405)-5)))&gt;0,SUMPRODUCT(MAX((職員マスタ!$A$6:$A$405=$B248)*(((職員マスタ!$G$6:$G$405="")+(職員マスタ!$G$6:$G$405&lt;=EOMONTH($AQ248,0)))&gt;0)*(((職員マスタ!$H$6:$H$405="")+(職員マスタ!$H$6:$H$405&gt;=$AQ248))&gt;0)*(ROW(職員マスタ!$A$6:$A$405)-5))),IFERROR(MATCH($B248,職員マスタ!$A$6:$A$405,0),"")))</f>
        <v/>
      </c>
      <c r="AQ248" s="16">
        <f>IF(OR($B248="",$C248="",$D248=""),"",DATE($C248+2018,$D248,1))</f>
        <v/>
      </c>
    </row>
    <row r="249">
      <c r="A249" s="11" t="n"/>
      <c r="B249" s="12" t="n">
        <v>6503056</v>
      </c>
      <c r="C249" s="12" t="n">
        <v>8</v>
      </c>
      <c r="D249" s="12" t="n">
        <v>5</v>
      </c>
      <c r="E249" s="13" t="n">
        <v>279283</v>
      </c>
      <c r="F249" s="12" t="n"/>
      <c r="G249" s="13" t="n"/>
      <c r="H249" s="12" t="n"/>
      <c r="I249" s="12" t="n"/>
      <c r="J249" s="12" t="n"/>
      <c r="K249" s="12" t="n"/>
      <c r="L249" s="11" t="n"/>
      <c r="M249" s="11" t="n"/>
      <c r="N249" s="11" t="n"/>
      <c r="O249" s="11" t="n"/>
      <c r="P249" s="12" t="n"/>
      <c r="Q249" s="11" t="n"/>
      <c r="R249" s="12" t="n"/>
      <c r="S249" s="11" t="n"/>
      <c r="T249" s="12" t="n"/>
      <c r="U249" s="12" t="n"/>
      <c r="V249" s="12" t="n"/>
      <c r="W249" s="13" t="n"/>
      <c r="X249" s="14">
        <f>IF($AP249="",IF($B249="","",$H249),IF(INDEX(職員マスタ!$B$6:$B$405,$AP249)="",$H249,INDEX(職員マスタ!$B$6:$B$405,$AP249)))</f>
        <v/>
      </c>
      <c r="Y249" s="14">
        <f>IF($AP249="",IF($B249="","",$R249),IF(INDEX(職員マスタ!$C$6:$C$405,$AP249)="",$R249,INDEX(職員マスタ!$C$6:$C$405,$AP249)))</f>
        <v/>
      </c>
      <c r="Z249" s="14">
        <f>IF($AQ249="","","R"&amp;$C249&amp;"."&amp;$D249)</f>
        <v/>
      </c>
      <c r="AA249" s="15">
        <f>IF(IF($AP249="",FALSE,INDEX(職員マスタ!$K$6:$K$405,$AP249)&lt;&gt;""),INDEX(職員マスタ!$K$6:$K$405,$AP249),IF(N($W249)&gt;0,$W249,""))</f>
        <v/>
      </c>
      <c r="AB249" s="14">
        <f>IF(OR($E249="",$AA249=""),"",IF($E249&gt;=$AA249,"×",IF($E249&gt;=$AA249*設定!$C$5,"△","○")))</f>
        <v/>
      </c>
      <c r="AC249" s="15">
        <f>IF($AB249="","",IF($AB249="×",0,IF($AB249="○",ROUNDDOWN($E249*設定!$C$4,0),ROUNDDOWN($E249*ROUND((9*$AA249-9*$E249)/(10*$E249),4),0))))</f>
        <v/>
      </c>
      <c r="AD249" s="13" t="n"/>
      <c r="AE249" s="15">
        <f>IF($B249="","",IF($AD249&lt;&gt;"",$AD249,IF($AC249="","",IF($AC249&lt;=設定!$C$3,0,$AC249))))</f>
        <v/>
      </c>
      <c r="AF249" s="14">
        <f>IF($B249="","",IF(AND($AG249&lt;&gt;"",$AI249="",$AL249=""),"保留中",IF($AL249&lt;&gt;"",IF(N($AE249)&gt;0,"支給済","不支給"),IF($AE249="","要確認",IF($AE249=0,"不支給","未処理")))))</f>
        <v/>
      </c>
      <c r="AG249" s="12" t="n"/>
      <c r="AH249" s="11" t="n"/>
      <c r="AI249" s="11" t="n"/>
      <c r="AJ249" s="11" t="n"/>
      <c r="AK249" s="14">
        <f>IF(AND($AF249="保留中",$AH249&lt;&gt;""),TODAY()-$AH249,"")</f>
        <v/>
      </c>
      <c r="AL249" s="12" t="inlineStr">
        <is>
          <t>R8.10</t>
        </is>
      </c>
      <c r="AM249" s="14">
        <f>IF($B249="","",IF($AQ249="","対象年月が未入力／","")&amp;IF($B249="","",IF($AP249="","職員マスタに未登録の職員番号／",IF($AA249="","標準報酬月額が未登録／","")&amp;IF(AND($AQ249&lt;&gt;"",OR(AND(INDEX(職員マスタ!$G$6:$G$405,$AP249)&lt;&gt;"",INDEX(職員マスタ!$G$6:$G$405,$AP249)&gt;EOMONTH($AQ249,0)),AND(INDEX(職員マスタ!$H$6:$H$405,$AP249)&lt;&gt;"",INDEX(職員マスタ!$H$6:$H$405,$AP249)&lt;$AQ249))),"対象月が時短期間外／","")&amp;IF(AND(INDEX(職員マスタ!$K$6:$K$405,$AP249)&lt;&gt;"",N($W249)&gt;0,INDEX(職員マスタ!$K$6:$K$405,$AP249)&lt;&gt;$W249),"標準報酬月額が申請書と相違（台帳"&amp;TEXT(INDEX(職員マスタ!$K$6:$K$405,$AP249),"#,##0")&amp;"円／申請書"&amp;TEXT($W249,"#,##0")&amp;"円）／","")&amp;IF(AND(INDEX(職員マスタ!$F$6:$F$405,$AP249)&lt;&gt;"",$AQ249&lt;&gt;"",INDEX(職員マスタ!$F$6:$F$405,$AP249)&lt;$AQ249),"対象月に子が2歳到達済／","")&amp;IF(AND($H249&lt;&gt;"",INDEX(職員マスタ!$B$6:$B$405,$AP249)&lt;&gt;"",SUBSTITUTE(SUBSTITUTE($H249," ","")," ","")&lt;&gt;SUBSTITUTE(SUBSTITUTE(INDEX(職員マスタ!$B$6:$B$405,$AP249)," ","")," ","")),"氏名がマスタと相違／","")&amp;IF(AND($Q249&lt;&gt;"",INDEX(職員マスタ!$E$6:$E$405,$AP249)&lt;&gt;"",$Q249&lt;&gt;INDEX(職員マスタ!$E$6:$E$405,$AP249)),"子の生年月日がマスタと相違／","")&amp;IF(AND($L249&lt;&gt;"",INDEX(職員マスタ!$G$6:$G$405,$AP249)&lt;&gt;"",$L249&lt;&gt;INDEX(職員マスタ!$G$6:$G$405,$AP249)),"時短開始日がマスタと相違／","")&amp;IF(AND($M249&lt;&gt;"",INDEX(職員マスタ!$H$6:$H$405,$AP249)&lt;&gt;"",$M249&lt;&gt;INDEX(職員マスタ!$H$6:$H$405,$AP249)),"時短終了日がマスタと相違／","")))&amp;IF(AND($B249&lt;&gt;"",$E249=""),"報酬額が未入力／","")&amp;IF(N($U249)&gt;0,"申請書に入力エラーが残っています／","")&amp;IF(AND($B249&lt;&gt;"",$AQ249&lt;&gt;""),IF(COUNTIFS($B$6:$B$3005,$B249,$C$6:$C$3005,$C249,$D$6:$D$3005,$D249)&gt;1,"同じ月の請求が重複しています／",""),"")&amp;IF(AND(N($E249)&gt;0,$AB249&lt;&gt;"",$AB249&lt;&gt;"×",$AE249=0,$AD249=""),"計算額が下限以下のため不支給／",""))</f>
        <v/>
      </c>
      <c r="AN249" s="12" t="n"/>
      <c r="AO249" s="14">
        <f>IF($AF249="保留中",COUNTIF($AF$6:$AF249,"保留中"),"")</f>
        <v/>
      </c>
      <c r="AP249" s="14">
        <f>IF($AQ249="","",IF(SUMPRODUCT(MAX((職員マスタ!$A$6:$A$405=$B249)*(((職員マスタ!$G$6:$G$405="")+(職員マスタ!$G$6:$G$405&lt;=EOMONTH($AQ249,0)))&gt;0)*(((職員マスタ!$H$6:$H$405="")+(職員マスタ!$H$6:$H$405&gt;=$AQ249))&gt;0)*(ROW(職員マスタ!$A$6:$A$405)-5)))&gt;0,SUMPRODUCT(MAX((職員マスタ!$A$6:$A$405=$B249)*(((職員マスタ!$G$6:$G$405="")+(職員マスタ!$G$6:$G$405&lt;=EOMONTH($AQ249,0)))&gt;0)*(((職員マスタ!$H$6:$H$405="")+(職員マスタ!$H$6:$H$405&gt;=$AQ249))&gt;0)*(ROW(職員マスタ!$A$6:$A$405)-5))),IFERROR(MATCH($B249,職員マスタ!$A$6:$A$405,0),"")))</f>
        <v/>
      </c>
      <c r="AQ249" s="16">
        <f>IF(OR($B249="",$C249="",$D249=""),"",DATE($C249+2018,$D249,1))</f>
        <v/>
      </c>
    </row>
    <row r="250">
      <c r="A250" s="11" t="n"/>
      <c r="B250" s="12" t="n">
        <v>6503056</v>
      </c>
      <c r="C250" s="12" t="n">
        <v>8</v>
      </c>
      <c r="D250" s="12" t="n">
        <v>6</v>
      </c>
      <c r="E250" s="13" t="n">
        <v>279283</v>
      </c>
      <c r="F250" s="12" t="n"/>
      <c r="G250" s="13" t="n"/>
      <c r="H250" s="12" t="n"/>
      <c r="I250" s="12" t="n"/>
      <c r="J250" s="12" t="n"/>
      <c r="K250" s="12" t="n"/>
      <c r="L250" s="11" t="n"/>
      <c r="M250" s="11" t="n"/>
      <c r="N250" s="11" t="n"/>
      <c r="O250" s="11" t="n"/>
      <c r="P250" s="12" t="n"/>
      <c r="Q250" s="11" t="n"/>
      <c r="R250" s="12" t="n"/>
      <c r="S250" s="11" t="n"/>
      <c r="T250" s="12" t="n"/>
      <c r="U250" s="12" t="n"/>
      <c r="V250" s="12" t="n"/>
      <c r="W250" s="13" t="n"/>
      <c r="X250" s="14">
        <f>IF($AP250="",IF($B250="","",$H250),IF(INDEX(職員マスタ!$B$6:$B$405,$AP250)="",$H250,INDEX(職員マスタ!$B$6:$B$405,$AP250)))</f>
        <v/>
      </c>
      <c r="Y250" s="14">
        <f>IF($AP250="",IF($B250="","",$R250),IF(INDEX(職員マスタ!$C$6:$C$405,$AP250)="",$R250,INDEX(職員マスタ!$C$6:$C$405,$AP250)))</f>
        <v/>
      </c>
      <c r="Z250" s="14">
        <f>IF($AQ250="","","R"&amp;$C250&amp;"."&amp;$D250)</f>
        <v/>
      </c>
      <c r="AA250" s="15">
        <f>IF(IF($AP250="",FALSE,INDEX(職員マスタ!$K$6:$K$405,$AP250)&lt;&gt;""),INDEX(職員マスタ!$K$6:$K$405,$AP250),IF(N($W250)&gt;0,$W250,""))</f>
        <v/>
      </c>
      <c r="AB250" s="14">
        <f>IF(OR($E250="",$AA250=""),"",IF($E250&gt;=$AA250,"×",IF($E250&gt;=$AA250*設定!$C$5,"△","○")))</f>
        <v/>
      </c>
      <c r="AC250" s="15">
        <f>IF($AB250="","",IF($AB250="×",0,IF($AB250="○",ROUNDDOWN($E250*設定!$C$4,0),ROUNDDOWN($E250*ROUND((9*$AA250-9*$E250)/(10*$E250),4),0))))</f>
        <v/>
      </c>
      <c r="AD250" s="13" t="n"/>
      <c r="AE250" s="15">
        <f>IF($B250="","",IF($AD250&lt;&gt;"",$AD250,IF($AC250="","",IF($AC250&lt;=設定!$C$3,0,$AC250))))</f>
        <v/>
      </c>
      <c r="AF250" s="14">
        <f>IF($B250="","",IF(AND($AG250&lt;&gt;"",$AI250="",$AL250=""),"保留中",IF($AL250&lt;&gt;"",IF(N($AE250)&gt;0,"支給済","不支給"),IF($AE250="","要確認",IF($AE250=0,"不支給","未処理")))))</f>
        <v/>
      </c>
      <c r="AG250" s="12" t="n"/>
      <c r="AH250" s="11" t="n"/>
      <c r="AI250" s="11" t="n"/>
      <c r="AJ250" s="11" t="n"/>
      <c r="AK250" s="14">
        <f>IF(AND($AF250="保留中",$AH250&lt;&gt;""),TODAY()-$AH250,"")</f>
        <v/>
      </c>
      <c r="AL250" s="12" t="inlineStr">
        <is>
          <t>R8.10</t>
        </is>
      </c>
      <c r="AM250" s="14">
        <f>IF($B250="","",IF($AQ250="","対象年月が未入力／","")&amp;IF($B250="","",IF($AP250="","職員マスタに未登録の職員番号／",IF($AA250="","標準報酬月額が未登録／","")&amp;IF(AND($AQ250&lt;&gt;"",OR(AND(INDEX(職員マスタ!$G$6:$G$405,$AP250)&lt;&gt;"",INDEX(職員マスタ!$G$6:$G$405,$AP250)&gt;EOMONTH($AQ250,0)),AND(INDEX(職員マスタ!$H$6:$H$405,$AP250)&lt;&gt;"",INDEX(職員マスタ!$H$6:$H$405,$AP250)&lt;$AQ250))),"対象月が時短期間外／","")&amp;IF(AND(INDEX(職員マスタ!$K$6:$K$405,$AP250)&lt;&gt;"",N($W250)&gt;0,INDEX(職員マスタ!$K$6:$K$405,$AP250)&lt;&gt;$W250),"標準報酬月額が申請書と相違（台帳"&amp;TEXT(INDEX(職員マスタ!$K$6:$K$405,$AP250),"#,##0")&amp;"円／申請書"&amp;TEXT($W250,"#,##0")&amp;"円）／","")&amp;IF(AND(INDEX(職員マスタ!$F$6:$F$405,$AP250)&lt;&gt;"",$AQ250&lt;&gt;"",INDEX(職員マスタ!$F$6:$F$405,$AP250)&lt;$AQ250),"対象月に子が2歳到達済／","")&amp;IF(AND($H250&lt;&gt;"",INDEX(職員マスタ!$B$6:$B$405,$AP250)&lt;&gt;"",SUBSTITUTE(SUBSTITUTE($H250," ","")," ","")&lt;&gt;SUBSTITUTE(SUBSTITUTE(INDEX(職員マスタ!$B$6:$B$405,$AP250)," ","")," ","")),"氏名がマスタと相違／","")&amp;IF(AND($Q250&lt;&gt;"",INDEX(職員マスタ!$E$6:$E$405,$AP250)&lt;&gt;"",$Q250&lt;&gt;INDEX(職員マスタ!$E$6:$E$405,$AP250)),"子の生年月日がマスタと相違／","")&amp;IF(AND($L250&lt;&gt;"",INDEX(職員マスタ!$G$6:$G$405,$AP250)&lt;&gt;"",$L250&lt;&gt;INDEX(職員マスタ!$G$6:$G$405,$AP250)),"時短開始日がマスタと相違／","")&amp;IF(AND($M250&lt;&gt;"",INDEX(職員マスタ!$H$6:$H$405,$AP250)&lt;&gt;"",$M250&lt;&gt;INDEX(職員マスタ!$H$6:$H$405,$AP250)),"時短終了日がマスタと相違／","")))&amp;IF(AND($B250&lt;&gt;"",$E250=""),"報酬額が未入力／","")&amp;IF(N($U250)&gt;0,"申請書に入力エラーが残っています／","")&amp;IF(AND($B250&lt;&gt;"",$AQ250&lt;&gt;""),IF(COUNTIFS($B$6:$B$3005,$B250,$C$6:$C$3005,$C250,$D$6:$D$3005,$D250)&gt;1,"同じ月の請求が重複しています／",""),"")&amp;IF(AND(N($E250)&gt;0,$AB250&lt;&gt;"",$AB250&lt;&gt;"×",$AE250=0,$AD250=""),"計算額が下限以下のため不支給／",""))</f>
        <v/>
      </c>
      <c r="AN250" s="12" t="n"/>
      <c r="AO250" s="14">
        <f>IF($AF250="保留中",COUNTIF($AF$6:$AF250,"保留中"),"")</f>
        <v/>
      </c>
      <c r="AP250" s="14">
        <f>IF($AQ250="","",IF(SUMPRODUCT(MAX((職員マスタ!$A$6:$A$405=$B250)*(((職員マスタ!$G$6:$G$405="")+(職員マスタ!$G$6:$G$405&lt;=EOMONTH($AQ250,0)))&gt;0)*(((職員マスタ!$H$6:$H$405="")+(職員マスタ!$H$6:$H$405&gt;=$AQ250))&gt;0)*(ROW(職員マスタ!$A$6:$A$405)-5)))&gt;0,SUMPRODUCT(MAX((職員マスタ!$A$6:$A$405=$B250)*(((職員マスタ!$G$6:$G$405="")+(職員マスタ!$G$6:$G$405&lt;=EOMONTH($AQ250,0)))&gt;0)*(((職員マスタ!$H$6:$H$405="")+(職員マスタ!$H$6:$H$405&gt;=$AQ250))&gt;0)*(ROW(職員マスタ!$A$6:$A$405)-5))),IFERROR(MATCH($B250,職員マスタ!$A$6:$A$405,0),"")))</f>
        <v/>
      </c>
      <c r="AQ250" s="16">
        <f>IF(OR($B250="",$C250="",$D250=""),"",DATE($C250+2018,$D250,1))</f>
        <v/>
      </c>
    </row>
    <row r="251">
      <c r="A251" s="11" t="n"/>
      <c r="B251" s="12" t="n">
        <v>6503056</v>
      </c>
      <c r="C251" s="12" t="n">
        <v>8</v>
      </c>
      <c r="D251" s="12" t="n">
        <v>7</v>
      </c>
      <c r="E251" s="13" t="n">
        <v>279283</v>
      </c>
      <c r="F251" s="12" t="n"/>
      <c r="G251" s="13" t="n"/>
      <c r="H251" s="12" t="n"/>
      <c r="I251" s="12" t="n"/>
      <c r="J251" s="12" t="n"/>
      <c r="K251" s="12" t="n"/>
      <c r="L251" s="11" t="n"/>
      <c r="M251" s="11" t="n"/>
      <c r="N251" s="11" t="n"/>
      <c r="O251" s="11" t="n"/>
      <c r="P251" s="12" t="n"/>
      <c r="Q251" s="11" t="n"/>
      <c r="R251" s="12" t="n"/>
      <c r="S251" s="11" t="n"/>
      <c r="T251" s="12" t="n"/>
      <c r="U251" s="12" t="n"/>
      <c r="V251" s="12" t="n"/>
      <c r="W251" s="13" t="n"/>
      <c r="X251" s="14">
        <f>IF($AP251="",IF($B251="","",$H251),IF(INDEX(職員マスタ!$B$6:$B$405,$AP251)="",$H251,INDEX(職員マスタ!$B$6:$B$405,$AP251)))</f>
        <v/>
      </c>
      <c r="Y251" s="14">
        <f>IF($AP251="",IF($B251="","",$R251),IF(INDEX(職員マスタ!$C$6:$C$405,$AP251)="",$R251,INDEX(職員マスタ!$C$6:$C$405,$AP251)))</f>
        <v/>
      </c>
      <c r="Z251" s="14">
        <f>IF($AQ251="","","R"&amp;$C251&amp;"."&amp;$D251)</f>
        <v/>
      </c>
      <c r="AA251" s="15">
        <f>IF(IF($AP251="",FALSE,INDEX(職員マスタ!$K$6:$K$405,$AP251)&lt;&gt;""),INDEX(職員マスタ!$K$6:$K$405,$AP251),IF(N($W251)&gt;0,$W251,""))</f>
        <v/>
      </c>
      <c r="AB251" s="14">
        <f>IF(OR($E251="",$AA251=""),"",IF($E251&gt;=$AA251,"×",IF($E251&gt;=$AA251*設定!$C$5,"△","○")))</f>
        <v/>
      </c>
      <c r="AC251" s="15">
        <f>IF($AB251="","",IF($AB251="×",0,IF($AB251="○",ROUNDDOWN($E251*設定!$C$4,0),ROUNDDOWN($E251*ROUND((9*$AA251-9*$E251)/(10*$E251),4),0))))</f>
        <v/>
      </c>
      <c r="AD251" s="13" t="n"/>
      <c r="AE251" s="15">
        <f>IF($B251="","",IF($AD251&lt;&gt;"",$AD251,IF($AC251="","",IF($AC251&lt;=設定!$C$3,0,$AC251))))</f>
        <v/>
      </c>
      <c r="AF251" s="14">
        <f>IF($B251="","",IF(AND($AG251&lt;&gt;"",$AI251="",$AL251=""),"保留中",IF($AL251&lt;&gt;"",IF(N($AE251)&gt;0,"支給済","不支給"),IF($AE251="","要確認",IF($AE251=0,"不支給","未処理")))))</f>
        <v/>
      </c>
      <c r="AG251" s="12" t="n"/>
      <c r="AH251" s="11" t="n"/>
      <c r="AI251" s="11" t="n"/>
      <c r="AJ251" s="11" t="n"/>
      <c r="AK251" s="14">
        <f>IF(AND($AF251="保留中",$AH251&lt;&gt;""),TODAY()-$AH251,"")</f>
        <v/>
      </c>
      <c r="AL251" s="12" t="inlineStr">
        <is>
          <t>R8.10</t>
        </is>
      </c>
      <c r="AM251" s="14">
        <f>IF($B251="","",IF($AQ251="","対象年月が未入力／","")&amp;IF($B251="","",IF($AP251="","職員マスタに未登録の職員番号／",IF($AA251="","標準報酬月額が未登録／","")&amp;IF(AND($AQ251&lt;&gt;"",OR(AND(INDEX(職員マスタ!$G$6:$G$405,$AP251)&lt;&gt;"",INDEX(職員マスタ!$G$6:$G$405,$AP251)&gt;EOMONTH($AQ251,0)),AND(INDEX(職員マスタ!$H$6:$H$405,$AP251)&lt;&gt;"",INDEX(職員マスタ!$H$6:$H$405,$AP251)&lt;$AQ251))),"対象月が時短期間外／","")&amp;IF(AND(INDEX(職員マスタ!$K$6:$K$405,$AP251)&lt;&gt;"",N($W251)&gt;0,INDEX(職員マスタ!$K$6:$K$405,$AP251)&lt;&gt;$W251),"標準報酬月額が申請書と相違（台帳"&amp;TEXT(INDEX(職員マスタ!$K$6:$K$405,$AP251),"#,##0")&amp;"円／申請書"&amp;TEXT($W251,"#,##0")&amp;"円）／","")&amp;IF(AND(INDEX(職員マスタ!$F$6:$F$405,$AP251)&lt;&gt;"",$AQ251&lt;&gt;"",INDEX(職員マスタ!$F$6:$F$405,$AP251)&lt;$AQ251),"対象月に子が2歳到達済／","")&amp;IF(AND($H251&lt;&gt;"",INDEX(職員マスタ!$B$6:$B$405,$AP251)&lt;&gt;"",SUBSTITUTE(SUBSTITUTE($H251," ","")," ","")&lt;&gt;SUBSTITUTE(SUBSTITUTE(INDEX(職員マスタ!$B$6:$B$405,$AP251)," ","")," ","")),"氏名がマスタと相違／","")&amp;IF(AND($Q251&lt;&gt;"",INDEX(職員マスタ!$E$6:$E$405,$AP251)&lt;&gt;"",$Q251&lt;&gt;INDEX(職員マスタ!$E$6:$E$405,$AP251)),"子の生年月日がマスタと相違／","")&amp;IF(AND($L251&lt;&gt;"",INDEX(職員マスタ!$G$6:$G$405,$AP251)&lt;&gt;"",$L251&lt;&gt;INDEX(職員マスタ!$G$6:$G$405,$AP251)),"時短開始日がマスタと相違／","")&amp;IF(AND($M251&lt;&gt;"",INDEX(職員マスタ!$H$6:$H$405,$AP251)&lt;&gt;"",$M251&lt;&gt;INDEX(職員マスタ!$H$6:$H$405,$AP251)),"時短終了日がマスタと相違／","")))&amp;IF(AND($B251&lt;&gt;"",$E251=""),"報酬額が未入力／","")&amp;IF(N($U251)&gt;0,"申請書に入力エラーが残っています／","")&amp;IF(AND($B251&lt;&gt;"",$AQ251&lt;&gt;""),IF(COUNTIFS($B$6:$B$3005,$B251,$C$6:$C$3005,$C251,$D$6:$D$3005,$D251)&gt;1,"同じ月の請求が重複しています／",""),"")&amp;IF(AND(N($E251)&gt;0,$AB251&lt;&gt;"",$AB251&lt;&gt;"×",$AE251=0,$AD251=""),"計算額が下限以下のため不支給／",""))</f>
        <v/>
      </c>
      <c r="AN251" s="12" t="n"/>
      <c r="AO251" s="14">
        <f>IF($AF251="保留中",COUNTIF($AF$6:$AF251,"保留中"),"")</f>
        <v/>
      </c>
      <c r="AP251" s="14">
        <f>IF($AQ251="","",IF(SUMPRODUCT(MAX((職員マスタ!$A$6:$A$405=$B251)*(((職員マスタ!$G$6:$G$405="")+(職員マスタ!$G$6:$G$405&lt;=EOMONTH($AQ251,0)))&gt;0)*(((職員マスタ!$H$6:$H$405="")+(職員マスタ!$H$6:$H$405&gt;=$AQ251))&gt;0)*(ROW(職員マスタ!$A$6:$A$405)-5)))&gt;0,SUMPRODUCT(MAX((職員マスタ!$A$6:$A$405=$B251)*(((職員マスタ!$G$6:$G$405="")+(職員マスタ!$G$6:$G$405&lt;=EOMONTH($AQ251,0)))&gt;0)*(((職員マスタ!$H$6:$H$405="")+(職員マスタ!$H$6:$H$405&gt;=$AQ251))&gt;0)*(ROW(職員マスタ!$A$6:$A$405)-5))),IFERROR(MATCH($B251,職員マスタ!$A$6:$A$405,0),"")))</f>
        <v/>
      </c>
      <c r="AQ251" s="16">
        <f>IF(OR($B251="",$C251="",$D251=""),"",DATE($C251+2018,$D251,1))</f>
        <v/>
      </c>
    </row>
    <row r="252">
      <c r="A252" s="11" t="n"/>
      <c r="B252" s="12" t="n">
        <v>6600324</v>
      </c>
      <c r="C252" s="12" t="n">
        <v>8</v>
      </c>
      <c r="D252" s="12" t="n">
        <v>4</v>
      </c>
      <c r="E252" s="13" t="n">
        <v>584632</v>
      </c>
      <c r="F252" s="12" t="n"/>
      <c r="G252" s="13" t="n"/>
      <c r="H252" s="12" t="n"/>
      <c r="I252" s="12" t="n"/>
      <c r="J252" s="12" t="n"/>
      <c r="K252" s="12" t="n"/>
      <c r="L252" s="11" t="n"/>
      <c r="M252" s="11" t="n"/>
      <c r="N252" s="11" t="n"/>
      <c r="O252" s="11" t="n"/>
      <c r="P252" s="12" t="n"/>
      <c r="Q252" s="11" t="n"/>
      <c r="R252" s="12" t="n"/>
      <c r="S252" s="11" t="n"/>
      <c r="T252" s="12" t="n"/>
      <c r="U252" s="12" t="n"/>
      <c r="V252" s="12" t="n"/>
      <c r="W252" s="13" t="n"/>
      <c r="X252" s="14">
        <f>IF($AP252="",IF($B252="","",$H252),IF(INDEX(職員マスタ!$B$6:$B$405,$AP252)="",$H252,INDEX(職員マスタ!$B$6:$B$405,$AP252)))</f>
        <v/>
      </c>
      <c r="Y252" s="14">
        <f>IF($AP252="",IF($B252="","",$R252),IF(INDEX(職員マスタ!$C$6:$C$405,$AP252)="",$R252,INDEX(職員マスタ!$C$6:$C$405,$AP252)))</f>
        <v/>
      </c>
      <c r="Z252" s="14">
        <f>IF($AQ252="","","R"&amp;$C252&amp;"."&amp;$D252)</f>
        <v/>
      </c>
      <c r="AA252" s="15">
        <f>IF(IF($AP252="",FALSE,INDEX(職員マスタ!$K$6:$K$405,$AP252)&lt;&gt;""),INDEX(職員マスタ!$K$6:$K$405,$AP252),IF(N($W252)&gt;0,$W252,""))</f>
        <v/>
      </c>
      <c r="AB252" s="14">
        <f>IF(OR($E252="",$AA252=""),"",IF($E252&gt;=$AA252,"×",IF($E252&gt;=$AA252*設定!$C$5,"△","○")))</f>
        <v/>
      </c>
      <c r="AC252" s="15">
        <f>IF($AB252="","",IF($AB252="×",0,IF($AB252="○",ROUNDDOWN($E252*設定!$C$4,0),ROUNDDOWN($E252*ROUND((9*$AA252-9*$E252)/(10*$E252),4),0))))</f>
        <v/>
      </c>
      <c r="AD252" s="13" t="n"/>
      <c r="AE252" s="15">
        <f>IF($B252="","",IF($AD252&lt;&gt;"",$AD252,IF($AC252="","",IF($AC252&lt;=設定!$C$3,0,$AC252))))</f>
        <v/>
      </c>
      <c r="AF252" s="14">
        <f>IF($B252="","",IF(AND($AG252&lt;&gt;"",$AI252="",$AL252=""),"保留中",IF($AL252&lt;&gt;"",IF(N($AE252)&gt;0,"支給済","不支給"),IF($AE252="","要確認",IF($AE252=0,"不支給","未処理")))))</f>
        <v/>
      </c>
      <c r="AG252" s="12" t="n"/>
      <c r="AH252" s="11" t="n"/>
      <c r="AI252" s="11" t="n"/>
      <c r="AJ252" s="11" t="n"/>
      <c r="AK252" s="14">
        <f>IF(AND($AF252="保留中",$AH252&lt;&gt;""),TODAY()-$AH252,"")</f>
        <v/>
      </c>
      <c r="AL252" s="12" t="inlineStr">
        <is>
          <t>R8.10</t>
        </is>
      </c>
      <c r="AM252" s="14">
        <f>IF($B252="","",IF($AQ252="","対象年月が未入力／","")&amp;IF($B252="","",IF($AP252="","職員マスタに未登録の職員番号／",IF($AA252="","標準報酬月額が未登録／","")&amp;IF(AND($AQ252&lt;&gt;"",OR(AND(INDEX(職員マスタ!$G$6:$G$405,$AP252)&lt;&gt;"",INDEX(職員マスタ!$G$6:$G$405,$AP252)&gt;EOMONTH($AQ252,0)),AND(INDEX(職員マスタ!$H$6:$H$405,$AP252)&lt;&gt;"",INDEX(職員マスタ!$H$6:$H$405,$AP252)&lt;$AQ252))),"対象月が時短期間外／","")&amp;IF(AND(INDEX(職員マスタ!$K$6:$K$405,$AP252)&lt;&gt;"",N($W252)&gt;0,INDEX(職員マスタ!$K$6:$K$405,$AP252)&lt;&gt;$W252),"標準報酬月額が申請書と相違（台帳"&amp;TEXT(INDEX(職員マスタ!$K$6:$K$405,$AP252),"#,##0")&amp;"円／申請書"&amp;TEXT($W252,"#,##0")&amp;"円）／","")&amp;IF(AND(INDEX(職員マスタ!$F$6:$F$405,$AP252)&lt;&gt;"",$AQ252&lt;&gt;"",INDEX(職員マスタ!$F$6:$F$405,$AP252)&lt;$AQ252),"対象月に子が2歳到達済／","")&amp;IF(AND($H252&lt;&gt;"",INDEX(職員マスタ!$B$6:$B$405,$AP252)&lt;&gt;"",SUBSTITUTE(SUBSTITUTE($H252," ","")," ","")&lt;&gt;SUBSTITUTE(SUBSTITUTE(INDEX(職員マスタ!$B$6:$B$405,$AP252)," ","")," ","")),"氏名がマスタと相違／","")&amp;IF(AND($Q252&lt;&gt;"",INDEX(職員マスタ!$E$6:$E$405,$AP252)&lt;&gt;"",$Q252&lt;&gt;INDEX(職員マスタ!$E$6:$E$405,$AP252)),"子の生年月日がマスタと相違／","")&amp;IF(AND($L252&lt;&gt;"",INDEX(職員マスタ!$G$6:$G$405,$AP252)&lt;&gt;"",$L252&lt;&gt;INDEX(職員マスタ!$G$6:$G$405,$AP252)),"時短開始日がマスタと相違／","")&amp;IF(AND($M252&lt;&gt;"",INDEX(職員マスタ!$H$6:$H$405,$AP252)&lt;&gt;"",$M252&lt;&gt;INDEX(職員マスタ!$H$6:$H$405,$AP252)),"時短終了日がマスタと相違／","")))&amp;IF(AND($B252&lt;&gt;"",$E252=""),"報酬額が未入力／","")&amp;IF(N($U252)&gt;0,"申請書に入力エラーが残っています／","")&amp;IF(AND($B252&lt;&gt;"",$AQ252&lt;&gt;""),IF(COUNTIFS($B$6:$B$3005,$B252,$C$6:$C$3005,$C252,$D$6:$D$3005,$D252)&gt;1,"同じ月の請求が重複しています／",""),"")&amp;IF(AND(N($E252)&gt;0,$AB252&lt;&gt;"",$AB252&lt;&gt;"×",$AE252=0,$AD252=""),"計算額が下限以下のため不支給／",""))</f>
        <v/>
      </c>
      <c r="AN252" s="12" t="n"/>
      <c r="AO252" s="14">
        <f>IF($AF252="保留中",COUNTIF($AF$6:$AF252,"保留中"),"")</f>
        <v/>
      </c>
      <c r="AP252" s="14">
        <f>IF($AQ252="","",IF(SUMPRODUCT(MAX((職員マスタ!$A$6:$A$405=$B252)*(((職員マスタ!$G$6:$G$405="")+(職員マスタ!$G$6:$G$405&lt;=EOMONTH($AQ252,0)))&gt;0)*(((職員マスタ!$H$6:$H$405="")+(職員マスタ!$H$6:$H$405&gt;=$AQ252))&gt;0)*(ROW(職員マスタ!$A$6:$A$405)-5)))&gt;0,SUMPRODUCT(MAX((職員マスタ!$A$6:$A$405=$B252)*(((職員マスタ!$G$6:$G$405="")+(職員マスタ!$G$6:$G$405&lt;=EOMONTH($AQ252,0)))&gt;0)*(((職員マスタ!$H$6:$H$405="")+(職員マスタ!$H$6:$H$405&gt;=$AQ252))&gt;0)*(ROW(職員マスタ!$A$6:$A$405)-5))),IFERROR(MATCH($B252,職員マスタ!$A$6:$A$405,0),"")))</f>
        <v/>
      </c>
      <c r="AQ252" s="16">
        <f>IF(OR($B252="",$C252="",$D252=""),"",DATE($C252+2018,$D252,1))</f>
        <v/>
      </c>
    </row>
    <row r="253">
      <c r="A253" s="11" t="n"/>
      <c r="B253" s="12" t="n">
        <v>6600324</v>
      </c>
      <c r="C253" s="12" t="n">
        <v>8</v>
      </c>
      <c r="D253" s="12" t="n">
        <v>5</v>
      </c>
      <c r="E253" s="13" t="n">
        <v>462111</v>
      </c>
      <c r="F253" s="12" t="n"/>
      <c r="G253" s="13" t="n"/>
      <c r="H253" s="12" t="n"/>
      <c r="I253" s="12" t="n"/>
      <c r="J253" s="12" t="n"/>
      <c r="K253" s="12" t="n"/>
      <c r="L253" s="11" t="n"/>
      <c r="M253" s="11" t="n"/>
      <c r="N253" s="11" t="n"/>
      <c r="O253" s="11" t="n"/>
      <c r="P253" s="12" t="n"/>
      <c r="Q253" s="11" t="n"/>
      <c r="R253" s="12" t="n"/>
      <c r="S253" s="11" t="n"/>
      <c r="T253" s="12" t="n"/>
      <c r="U253" s="12" t="n"/>
      <c r="V253" s="12" t="n"/>
      <c r="W253" s="13" t="n"/>
      <c r="X253" s="14">
        <f>IF($AP253="",IF($B253="","",$H253),IF(INDEX(職員マスタ!$B$6:$B$405,$AP253)="",$H253,INDEX(職員マスタ!$B$6:$B$405,$AP253)))</f>
        <v/>
      </c>
      <c r="Y253" s="14">
        <f>IF($AP253="",IF($B253="","",$R253),IF(INDEX(職員マスタ!$C$6:$C$405,$AP253)="",$R253,INDEX(職員マスタ!$C$6:$C$405,$AP253)))</f>
        <v/>
      </c>
      <c r="Z253" s="14">
        <f>IF($AQ253="","","R"&amp;$C253&amp;"."&amp;$D253)</f>
        <v/>
      </c>
      <c r="AA253" s="15">
        <f>IF(IF($AP253="",FALSE,INDEX(職員マスタ!$K$6:$K$405,$AP253)&lt;&gt;""),INDEX(職員マスタ!$K$6:$K$405,$AP253),IF(N($W253)&gt;0,$W253,""))</f>
        <v/>
      </c>
      <c r="AB253" s="14">
        <f>IF(OR($E253="",$AA253=""),"",IF($E253&gt;=$AA253,"×",IF($E253&gt;=$AA253*設定!$C$5,"△","○")))</f>
        <v/>
      </c>
      <c r="AC253" s="15">
        <f>IF($AB253="","",IF($AB253="×",0,IF($AB253="○",ROUNDDOWN($E253*設定!$C$4,0),ROUNDDOWN($E253*ROUND((9*$AA253-9*$E253)/(10*$E253),4),0))))</f>
        <v/>
      </c>
      <c r="AD253" s="13" t="n"/>
      <c r="AE253" s="15">
        <f>IF($B253="","",IF($AD253&lt;&gt;"",$AD253,IF($AC253="","",IF($AC253&lt;=設定!$C$3,0,$AC253))))</f>
        <v/>
      </c>
      <c r="AF253" s="14">
        <f>IF($B253="","",IF(AND($AG253&lt;&gt;"",$AI253="",$AL253=""),"保留中",IF($AL253&lt;&gt;"",IF(N($AE253)&gt;0,"支給済","不支給"),IF($AE253="","要確認",IF($AE253=0,"不支給","未処理")))))</f>
        <v/>
      </c>
      <c r="AG253" s="12" t="n"/>
      <c r="AH253" s="11" t="n"/>
      <c r="AI253" s="11" t="n"/>
      <c r="AJ253" s="11" t="n"/>
      <c r="AK253" s="14">
        <f>IF(AND($AF253="保留中",$AH253&lt;&gt;""),TODAY()-$AH253,"")</f>
        <v/>
      </c>
      <c r="AL253" s="12" t="inlineStr">
        <is>
          <t>R8.10</t>
        </is>
      </c>
      <c r="AM253" s="14">
        <f>IF($B253="","",IF($AQ253="","対象年月が未入力／","")&amp;IF($B253="","",IF($AP253="","職員マスタに未登録の職員番号／",IF($AA253="","標準報酬月額が未登録／","")&amp;IF(AND($AQ253&lt;&gt;"",OR(AND(INDEX(職員マスタ!$G$6:$G$405,$AP253)&lt;&gt;"",INDEX(職員マスタ!$G$6:$G$405,$AP253)&gt;EOMONTH($AQ253,0)),AND(INDEX(職員マスタ!$H$6:$H$405,$AP253)&lt;&gt;"",INDEX(職員マスタ!$H$6:$H$405,$AP253)&lt;$AQ253))),"対象月が時短期間外／","")&amp;IF(AND(INDEX(職員マスタ!$K$6:$K$405,$AP253)&lt;&gt;"",N($W253)&gt;0,INDEX(職員マスタ!$K$6:$K$405,$AP253)&lt;&gt;$W253),"標準報酬月額が申請書と相違（台帳"&amp;TEXT(INDEX(職員マスタ!$K$6:$K$405,$AP253),"#,##0")&amp;"円／申請書"&amp;TEXT($W253,"#,##0")&amp;"円）／","")&amp;IF(AND(INDEX(職員マスタ!$F$6:$F$405,$AP253)&lt;&gt;"",$AQ253&lt;&gt;"",INDEX(職員マスタ!$F$6:$F$405,$AP253)&lt;$AQ253),"対象月に子が2歳到達済／","")&amp;IF(AND($H253&lt;&gt;"",INDEX(職員マスタ!$B$6:$B$405,$AP253)&lt;&gt;"",SUBSTITUTE(SUBSTITUTE($H253," ","")," ","")&lt;&gt;SUBSTITUTE(SUBSTITUTE(INDEX(職員マスタ!$B$6:$B$405,$AP253)," ","")," ","")),"氏名がマスタと相違／","")&amp;IF(AND($Q253&lt;&gt;"",INDEX(職員マスタ!$E$6:$E$405,$AP253)&lt;&gt;"",$Q253&lt;&gt;INDEX(職員マスタ!$E$6:$E$405,$AP253)),"子の生年月日がマスタと相違／","")&amp;IF(AND($L253&lt;&gt;"",INDEX(職員マスタ!$G$6:$G$405,$AP253)&lt;&gt;"",$L253&lt;&gt;INDEX(職員マスタ!$G$6:$G$405,$AP253)),"時短開始日がマスタと相違／","")&amp;IF(AND($M253&lt;&gt;"",INDEX(職員マスタ!$H$6:$H$405,$AP253)&lt;&gt;"",$M253&lt;&gt;INDEX(職員マスタ!$H$6:$H$405,$AP253)),"時短終了日がマスタと相違／","")))&amp;IF(AND($B253&lt;&gt;"",$E253=""),"報酬額が未入力／","")&amp;IF(N($U253)&gt;0,"申請書に入力エラーが残っています／","")&amp;IF(AND($B253&lt;&gt;"",$AQ253&lt;&gt;""),IF(COUNTIFS($B$6:$B$3005,$B253,$C$6:$C$3005,$C253,$D$6:$D$3005,$D253)&gt;1,"同じ月の請求が重複しています／",""),"")&amp;IF(AND(N($E253)&gt;0,$AB253&lt;&gt;"",$AB253&lt;&gt;"×",$AE253=0,$AD253=""),"計算額が下限以下のため不支給／",""))</f>
        <v/>
      </c>
      <c r="AN253" s="12" t="n"/>
      <c r="AO253" s="14">
        <f>IF($AF253="保留中",COUNTIF($AF$6:$AF253,"保留中"),"")</f>
        <v/>
      </c>
      <c r="AP253" s="14">
        <f>IF($AQ253="","",IF(SUMPRODUCT(MAX((職員マスタ!$A$6:$A$405=$B253)*(((職員マスタ!$G$6:$G$405="")+(職員マスタ!$G$6:$G$405&lt;=EOMONTH($AQ253,0)))&gt;0)*(((職員マスタ!$H$6:$H$405="")+(職員マスタ!$H$6:$H$405&gt;=$AQ253))&gt;0)*(ROW(職員マスタ!$A$6:$A$405)-5)))&gt;0,SUMPRODUCT(MAX((職員マスタ!$A$6:$A$405=$B253)*(((職員マスタ!$G$6:$G$405="")+(職員マスタ!$G$6:$G$405&lt;=EOMONTH($AQ253,0)))&gt;0)*(((職員マスタ!$H$6:$H$405="")+(職員マスタ!$H$6:$H$405&gt;=$AQ253))&gt;0)*(ROW(職員マスタ!$A$6:$A$405)-5))),IFERROR(MATCH($B253,職員マスタ!$A$6:$A$405,0),"")))</f>
        <v/>
      </c>
      <c r="AQ253" s="16">
        <f>IF(OR($B253="",$C253="",$D253=""),"",DATE($C253+2018,$D253,1))</f>
        <v/>
      </c>
    </row>
    <row r="254">
      <c r="A254" s="11" t="n"/>
      <c r="B254" s="12" t="n">
        <v>6600324</v>
      </c>
      <c r="C254" s="12" t="n">
        <v>8</v>
      </c>
      <c r="D254" s="12" t="n">
        <v>6</v>
      </c>
      <c r="E254" s="13" t="n">
        <v>385926</v>
      </c>
      <c r="F254" s="12" t="n"/>
      <c r="G254" s="13" t="n"/>
      <c r="H254" s="12" t="n"/>
      <c r="I254" s="12" t="n"/>
      <c r="J254" s="12" t="n"/>
      <c r="K254" s="12" t="n"/>
      <c r="L254" s="11" t="n"/>
      <c r="M254" s="11" t="n"/>
      <c r="N254" s="11" t="n"/>
      <c r="O254" s="11" t="n"/>
      <c r="P254" s="12" t="n"/>
      <c r="Q254" s="11" t="n"/>
      <c r="R254" s="12" t="n"/>
      <c r="S254" s="11" t="n"/>
      <c r="T254" s="12" t="n"/>
      <c r="U254" s="12" t="n"/>
      <c r="V254" s="12" t="n"/>
      <c r="W254" s="13" t="n"/>
      <c r="X254" s="14">
        <f>IF($AP254="",IF($B254="","",$H254),IF(INDEX(職員マスタ!$B$6:$B$405,$AP254)="",$H254,INDEX(職員マスタ!$B$6:$B$405,$AP254)))</f>
        <v/>
      </c>
      <c r="Y254" s="14">
        <f>IF($AP254="",IF($B254="","",$R254),IF(INDEX(職員マスタ!$C$6:$C$405,$AP254)="",$R254,INDEX(職員マスタ!$C$6:$C$405,$AP254)))</f>
        <v/>
      </c>
      <c r="Z254" s="14">
        <f>IF($AQ254="","","R"&amp;$C254&amp;"."&amp;$D254)</f>
        <v/>
      </c>
      <c r="AA254" s="15">
        <f>IF(IF($AP254="",FALSE,INDEX(職員マスタ!$K$6:$K$405,$AP254)&lt;&gt;""),INDEX(職員マスタ!$K$6:$K$405,$AP254),IF(N($W254)&gt;0,$W254,""))</f>
        <v/>
      </c>
      <c r="AB254" s="14">
        <f>IF(OR($E254="",$AA254=""),"",IF($E254&gt;=$AA254,"×",IF($E254&gt;=$AA254*設定!$C$5,"△","○")))</f>
        <v/>
      </c>
      <c r="AC254" s="15">
        <f>IF($AB254="","",IF($AB254="×",0,IF($AB254="○",ROUNDDOWN($E254*設定!$C$4,0),ROUNDDOWN($E254*ROUND((9*$AA254-9*$E254)/(10*$E254),4),0))))</f>
        <v/>
      </c>
      <c r="AD254" s="13" t="n"/>
      <c r="AE254" s="15">
        <f>IF($B254="","",IF($AD254&lt;&gt;"",$AD254,IF($AC254="","",IF($AC254&lt;=設定!$C$3,0,$AC254))))</f>
        <v/>
      </c>
      <c r="AF254" s="14">
        <f>IF($B254="","",IF(AND($AG254&lt;&gt;"",$AI254="",$AL254=""),"保留中",IF($AL254&lt;&gt;"",IF(N($AE254)&gt;0,"支給済","不支給"),IF($AE254="","要確認",IF($AE254=0,"不支給","未処理")))))</f>
        <v/>
      </c>
      <c r="AG254" s="12" t="n"/>
      <c r="AH254" s="11" t="n"/>
      <c r="AI254" s="11" t="n"/>
      <c r="AJ254" s="11" t="n"/>
      <c r="AK254" s="14">
        <f>IF(AND($AF254="保留中",$AH254&lt;&gt;""),TODAY()-$AH254,"")</f>
        <v/>
      </c>
      <c r="AL254" s="12" t="inlineStr">
        <is>
          <t>R8.10</t>
        </is>
      </c>
      <c r="AM254" s="14">
        <f>IF($B254="","",IF($AQ254="","対象年月が未入力／","")&amp;IF($B254="","",IF($AP254="","職員マスタに未登録の職員番号／",IF($AA254="","標準報酬月額が未登録／","")&amp;IF(AND($AQ254&lt;&gt;"",OR(AND(INDEX(職員マスタ!$G$6:$G$405,$AP254)&lt;&gt;"",INDEX(職員マスタ!$G$6:$G$405,$AP254)&gt;EOMONTH($AQ254,0)),AND(INDEX(職員マスタ!$H$6:$H$405,$AP254)&lt;&gt;"",INDEX(職員マスタ!$H$6:$H$405,$AP254)&lt;$AQ254))),"対象月が時短期間外／","")&amp;IF(AND(INDEX(職員マスタ!$K$6:$K$405,$AP254)&lt;&gt;"",N($W254)&gt;0,INDEX(職員マスタ!$K$6:$K$405,$AP254)&lt;&gt;$W254),"標準報酬月額が申請書と相違（台帳"&amp;TEXT(INDEX(職員マスタ!$K$6:$K$405,$AP254),"#,##0")&amp;"円／申請書"&amp;TEXT($W254,"#,##0")&amp;"円）／","")&amp;IF(AND(INDEX(職員マスタ!$F$6:$F$405,$AP254)&lt;&gt;"",$AQ254&lt;&gt;"",INDEX(職員マスタ!$F$6:$F$405,$AP254)&lt;$AQ254),"対象月に子が2歳到達済／","")&amp;IF(AND($H254&lt;&gt;"",INDEX(職員マスタ!$B$6:$B$405,$AP254)&lt;&gt;"",SUBSTITUTE(SUBSTITUTE($H254," ","")," ","")&lt;&gt;SUBSTITUTE(SUBSTITUTE(INDEX(職員マスタ!$B$6:$B$405,$AP254)," ","")," ","")),"氏名がマスタと相違／","")&amp;IF(AND($Q254&lt;&gt;"",INDEX(職員マスタ!$E$6:$E$405,$AP254)&lt;&gt;"",$Q254&lt;&gt;INDEX(職員マスタ!$E$6:$E$405,$AP254)),"子の生年月日がマスタと相違／","")&amp;IF(AND($L254&lt;&gt;"",INDEX(職員マスタ!$G$6:$G$405,$AP254)&lt;&gt;"",$L254&lt;&gt;INDEX(職員マスタ!$G$6:$G$405,$AP254)),"時短開始日がマスタと相違／","")&amp;IF(AND($M254&lt;&gt;"",INDEX(職員マスタ!$H$6:$H$405,$AP254)&lt;&gt;"",$M254&lt;&gt;INDEX(職員マスタ!$H$6:$H$405,$AP254)),"時短終了日がマスタと相違／","")))&amp;IF(AND($B254&lt;&gt;"",$E254=""),"報酬額が未入力／","")&amp;IF(N($U254)&gt;0,"申請書に入力エラーが残っています／","")&amp;IF(AND($B254&lt;&gt;"",$AQ254&lt;&gt;""),IF(COUNTIFS($B$6:$B$3005,$B254,$C$6:$C$3005,$C254,$D$6:$D$3005,$D254)&gt;1,"同じ月の請求が重複しています／",""),"")&amp;IF(AND(N($E254)&gt;0,$AB254&lt;&gt;"",$AB254&lt;&gt;"×",$AE254=0,$AD254=""),"計算額が下限以下のため不支給／",""))</f>
        <v/>
      </c>
      <c r="AN254" s="12" t="n"/>
      <c r="AO254" s="14">
        <f>IF($AF254="保留中",COUNTIF($AF$6:$AF254,"保留中"),"")</f>
        <v/>
      </c>
      <c r="AP254" s="14">
        <f>IF($AQ254="","",IF(SUMPRODUCT(MAX((職員マスタ!$A$6:$A$405=$B254)*(((職員マスタ!$G$6:$G$405="")+(職員マスタ!$G$6:$G$405&lt;=EOMONTH($AQ254,0)))&gt;0)*(((職員マスタ!$H$6:$H$405="")+(職員マスタ!$H$6:$H$405&gt;=$AQ254))&gt;0)*(ROW(職員マスタ!$A$6:$A$405)-5)))&gt;0,SUMPRODUCT(MAX((職員マスタ!$A$6:$A$405=$B254)*(((職員マスタ!$G$6:$G$405="")+(職員マスタ!$G$6:$G$405&lt;=EOMONTH($AQ254,0)))&gt;0)*(((職員マスタ!$H$6:$H$405="")+(職員マスタ!$H$6:$H$405&gt;=$AQ254))&gt;0)*(ROW(職員マスタ!$A$6:$A$405)-5))),IFERROR(MATCH($B254,職員マスタ!$A$6:$A$405,0),"")))</f>
        <v/>
      </c>
      <c r="AQ254" s="16">
        <f>IF(OR($B254="",$C254="",$D254=""),"",DATE($C254+2018,$D254,1))</f>
        <v/>
      </c>
    </row>
    <row r="255">
      <c r="A255" s="11" t="n"/>
      <c r="B255" s="12" t="n">
        <v>6601751</v>
      </c>
      <c r="C255" s="12" t="n">
        <v>8</v>
      </c>
      <c r="D255" s="12" t="n">
        <v>1</v>
      </c>
      <c r="E255" s="13" t="n">
        <v>193593</v>
      </c>
      <c r="F255" s="12" t="n"/>
      <c r="G255" s="13" t="n"/>
      <c r="H255" s="12" t="n"/>
      <c r="I255" s="12" t="n"/>
      <c r="J255" s="12" t="n"/>
      <c r="K255" s="12" t="n"/>
      <c r="L255" s="11" t="n"/>
      <c r="M255" s="11" t="n"/>
      <c r="N255" s="11" t="n"/>
      <c r="O255" s="11" t="n"/>
      <c r="P255" s="12" t="n"/>
      <c r="Q255" s="11" t="n"/>
      <c r="R255" s="12" t="n"/>
      <c r="S255" s="11" t="n"/>
      <c r="T255" s="12" t="n"/>
      <c r="U255" s="12" t="n"/>
      <c r="V255" s="12" t="n"/>
      <c r="W255" s="13" t="n"/>
      <c r="X255" s="14">
        <f>IF($AP255="",IF($B255="","",$H255),IF(INDEX(職員マスタ!$B$6:$B$405,$AP255)="",$H255,INDEX(職員マスタ!$B$6:$B$405,$AP255)))</f>
        <v/>
      </c>
      <c r="Y255" s="14">
        <f>IF($AP255="",IF($B255="","",$R255),IF(INDEX(職員マスタ!$C$6:$C$405,$AP255)="",$R255,INDEX(職員マスタ!$C$6:$C$405,$AP255)))</f>
        <v/>
      </c>
      <c r="Z255" s="14">
        <f>IF($AQ255="","","R"&amp;$C255&amp;"."&amp;$D255)</f>
        <v/>
      </c>
      <c r="AA255" s="15">
        <f>IF(IF($AP255="",FALSE,INDEX(職員マスタ!$K$6:$K$405,$AP255)&lt;&gt;""),INDEX(職員マスタ!$K$6:$K$405,$AP255),IF(N($W255)&gt;0,$W255,""))</f>
        <v/>
      </c>
      <c r="AB255" s="14">
        <f>IF(OR($E255="",$AA255=""),"",IF($E255&gt;=$AA255,"×",IF($E255&gt;=$AA255*設定!$C$5,"△","○")))</f>
        <v/>
      </c>
      <c r="AC255" s="15">
        <f>IF($AB255="","",IF($AB255="×",0,IF($AB255="○",ROUNDDOWN($E255*設定!$C$4,0),ROUNDDOWN($E255*ROUND((9*$AA255-9*$E255)/(10*$E255),4),0))))</f>
        <v/>
      </c>
      <c r="AD255" s="13" t="n"/>
      <c r="AE255" s="15">
        <f>IF($B255="","",IF($AD255&lt;&gt;"",$AD255,IF($AC255="","",IF($AC255&lt;=設定!$C$3,0,$AC255))))</f>
        <v/>
      </c>
      <c r="AF255" s="14">
        <f>IF($B255="","",IF(AND($AG255&lt;&gt;"",$AI255="",$AL255=""),"保留中",IF($AL255&lt;&gt;"",IF(N($AE255)&gt;0,"支給済","不支給"),IF($AE255="","要確認",IF($AE255=0,"不支給","未処理")))))</f>
        <v/>
      </c>
      <c r="AG255" s="12" t="n"/>
      <c r="AH255" s="11" t="n"/>
      <c r="AI255" s="11" t="n"/>
      <c r="AJ255" s="11" t="n"/>
      <c r="AK255" s="14">
        <f>IF(AND($AF255="保留中",$AH255&lt;&gt;""),TODAY()-$AH255,"")</f>
        <v/>
      </c>
      <c r="AL255" s="12" t="inlineStr">
        <is>
          <t>R8.4</t>
        </is>
      </c>
      <c r="AM255" s="14">
        <f>IF($B255="","",IF($AQ255="","対象年月が未入力／","")&amp;IF($B255="","",IF($AP255="","職員マスタに未登録の職員番号／",IF($AA255="","標準報酬月額が未登録／","")&amp;IF(AND($AQ255&lt;&gt;"",OR(AND(INDEX(職員マスタ!$G$6:$G$405,$AP255)&lt;&gt;"",INDEX(職員マスタ!$G$6:$G$405,$AP255)&gt;EOMONTH($AQ255,0)),AND(INDEX(職員マスタ!$H$6:$H$405,$AP255)&lt;&gt;"",INDEX(職員マスタ!$H$6:$H$405,$AP255)&lt;$AQ255))),"対象月が時短期間外／","")&amp;IF(AND(INDEX(職員マスタ!$K$6:$K$405,$AP255)&lt;&gt;"",N($W255)&gt;0,INDEX(職員マスタ!$K$6:$K$405,$AP255)&lt;&gt;$W255),"標準報酬月額が申請書と相違（台帳"&amp;TEXT(INDEX(職員マスタ!$K$6:$K$405,$AP255),"#,##0")&amp;"円／申請書"&amp;TEXT($W255,"#,##0")&amp;"円）／","")&amp;IF(AND(INDEX(職員マスタ!$F$6:$F$405,$AP255)&lt;&gt;"",$AQ255&lt;&gt;"",INDEX(職員マスタ!$F$6:$F$405,$AP255)&lt;$AQ255),"対象月に子が2歳到達済／","")&amp;IF(AND($H255&lt;&gt;"",INDEX(職員マスタ!$B$6:$B$405,$AP255)&lt;&gt;"",SUBSTITUTE(SUBSTITUTE($H255," ","")," ","")&lt;&gt;SUBSTITUTE(SUBSTITUTE(INDEX(職員マスタ!$B$6:$B$405,$AP255)," ","")," ","")),"氏名がマスタと相違／","")&amp;IF(AND($Q255&lt;&gt;"",INDEX(職員マスタ!$E$6:$E$405,$AP255)&lt;&gt;"",$Q255&lt;&gt;INDEX(職員マスタ!$E$6:$E$405,$AP255)),"子の生年月日がマスタと相違／","")&amp;IF(AND($L255&lt;&gt;"",INDEX(職員マスタ!$G$6:$G$405,$AP255)&lt;&gt;"",$L255&lt;&gt;INDEX(職員マスタ!$G$6:$G$405,$AP255)),"時短開始日がマスタと相違／","")&amp;IF(AND($M255&lt;&gt;"",INDEX(職員マスタ!$H$6:$H$405,$AP255)&lt;&gt;"",$M255&lt;&gt;INDEX(職員マスタ!$H$6:$H$405,$AP255)),"時短終了日がマスタと相違／","")))&amp;IF(AND($B255&lt;&gt;"",$E255=""),"報酬額が未入力／","")&amp;IF(N($U255)&gt;0,"申請書に入力エラーが残っています／","")&amp;IF(AND($B255&lt;&gt;"",$AQ255&lt;&gt;""),IF(COUNTIFS($B$6:$B$3005,$B255,$C$6:$C$3005,$C255,$D$6:$D$3005,$D255)&gt;1,"同じ月の請求が重複しています／",""),"")&amp;IF(AND(N($E255)&gt;0,$AB255&lt;&gt;"",$AB255&lt;&gt;"×",$AE255=0,$AD255=""),"計算額が下限以下のため不支給／",""))</f>
        <v/>
      </c>
      <c r="AN255" s="12" t="n"/>
      <c r="AO255" s="14">
        <f>IF($AF255="保留中",COUNTIF($AF$6:$AF255,"保留中"),"")</f>
        <v/>
      </c>
      <c r="AP255" s="14">
        <f>IF($AQ255="","",IF(SUMPRODUCT(MAX((職員マスタ!$A$6:$A$405=$B255)*(((職員マスタ!$G$6:$G$405="")+(職員マスタ!$G$6:$G$405&lt;=EOMONTH($AQ255,0)))&gt;0)*(((職員マスタ!$H$6:$H$405="")+(職員マスタ!$H$6:$H$405&gt;=$AQ255))&gt;0)*(ROW(職員マスタ!$A$6:$A$405)-5)))&gt;0,SUMPRODUCT(MAX((職員マスタ!$A$6:$A$405=$B255)*(((職員マスタ!$G$6:$G$405="")+(職員マスタ!$G$6:$G$405&lt;=EOMONTH($AQ255,0)))&gt;0)*(((職員マスタ!$H$6:$H$405="")+(職員マスタ!$H$6:$H$405&gt;=$AQ255))&gt;0)*(ROW(職員マスタ!$A$6:$A$405)-5))),IFERROR(MATCH($B255,職員マスタ!$A$6:$A$405,0),"")))</f>
        <v/>
      </c>
      <c r="AQ255" s="16">
        <f>IF(OR($B255="",$C255="",$D255=""),"",DATE($C255+2018,$D255,1))</f>
        <v/>
      </c>
    </row>
    <row r="256">
      <c r="A256" s="11" t="n"/>
      <c r="B256" s="12" t="n">
        <v>6601751</v>
      </c>
      <c r="C256" s="12" t="n">
        <v>8</v>
      </c>
      <c r="D256" s="12" t="n">
        <v>2</v>
      </c>
      <c r="E256" s="13" t="n">
        <v>198258</v>
      </c>
      <c r="F256" s="12" t="n"/>
      <c r="G256" s="13" t="n"/>
      <c r="H256" s="12" t="n"/>
      <c r="I256" s="12" t="n"/>
      <c r="J256" s="12" t="n"/>
      <c r="K256" s="12" t="n"/>
      <c r="L256" s="11" t="n"/>
      <c r="M256" s="11" t="n"/>
      <c r="N256" s="11" t="n"/>
      <c r="O256" s="11" t="n"/>
      <c r="P256" s="12" t="n"/>
      <c r="Q256" s="11" t="n"/>
      <c r="R256" s="12" t="n"/>
      <c r="S256" s="11" t="n"/>
      <c r="T256" s="12" t="n"/>
      <c r="U256" s="12" t="n"/>
      <c r="V256" s="12" t="n"/>
      <c r="W256" s="13" t="n"/>
      <c r="X256" s="14">
        <f>IF($AP256="",IF($B256="","",$H256),IF(INDEX(職員マスタ!$B$6:$B$405,$AP256)="",$H256,INDEX(職員マスタ!$B$6:$B$405,$AP256)))</f>
        <v/>
      </c>
      <c r="Y256" s="14">
        <f>IF($AP256="",IF($B256="","",$R256),IF(INDEX(職員マスタ!$C$6:$C$405,$AP256)="",$R256,INDEX(職員マスタ!$C$6:$C$405,$AP256)))</f>
        <v/>
      </c>
      <c r="Z256" s="14">
        <f>IF($AQ256="","","R"&amp;$C256&amp;"."&amp;$D256)</f>
        <v/>
      </c>
      <c r="AA256" s="15">
        <f>IF(IF($AP256="",FALSE,INDEX(職員マスタ!$K$6:$K$405,$AP256)&lt;&gt;""),INDEX(職員マスタ!$K$6:$K$405,$AP256),IF(N($W256)&gt;0,$W256,""))</f>
        <v/>
      </c>
      <c r="AB256" s="14">
        <f>IF(OR($E256="",$AA256=""),"",IF($E256&gt;=$AA256,"×",IF($E256&gt;=$AA256*設定!$C$5,"△","○")))</f>
        <v/>
      </c>
      <c r="AC256" s="15">
        <f>IF($AB256="","",IF($AB256="×",0,IF($AB256="○",ROUNDDOWN($E256*設定!$C$4,0),ROUNDDOWN($E256*ROUND((9*$AA256-9*$E256)/(10*$E256),4),0))))</f>
        <v/>
      </c>
      <c r="AD256" s="13" t="n"/>
      <c r="AE256" s="15">
        <f>IF($B256="","",IF($AD256&lt;&gt;"",$AD256,IF($AC256="","",IF($AC256&lt;=設定!$C$3,0,$AC256))))</f>
        <v/>
      </c>
      <c r="AF256" s="14">
        <f>IF($B256="","",IF(AND($AG256&lt;&gt;"",$AI256="",$AL256=""),"保留中",IF($AL256&lt;&gt;"",IF(N($AE256)&gt;0,"支給済","不支給"),IF($AE256="","要確認",IF($AE256=0,"不支給","未処理")))))</f>
        <v/>
      </c>
      <c r="AG256" s="12" t="n"/>
      <c r="AH256" s="11" t="n"/>
      <c r="AI256" s="11" t="n"/>
      <c r="AJ256" s="11" t="n"/>
      <c r="AK256" s="14">
        <f>IF(AND($AF256="保留中",$AH256&lt;&gt;""),TODAY()-$AH256,"")</f>
        <v/>
      </c>
      <c r="AL256" s="12" t="inlineStr">
        <is>
          <t>R8.4</t>
        </is>
      </c>
      <c r="AM256" s="14">
        <f>IF($B256="","",IF($AQ256="","対象年月が未入力／","")&amp;IF($B256="","",IF($AP256="","職員マスタに未登録の職員番号／",IF($AA256="","標準報酬月額が未登録／","")&amp;IF(AND($AQ256&lt;&gt;"",OR(AND(INDEX(職員マスタ!$G$6:$G$405,$AP256)&lt;&gt;"",INDEX(職員マスタ!$G$6:$G$405,$AP256)&gt;EOMONTH($AQ256,0)),AND(INDEX(職員マスタ!$H$6:$H$405,$AP256)&lt;&gt;"",INDEX(職員マスタ!$H$6:$H$405,$AP256)&lt;$AQ256))),"対象月が時短期間外／","")&amp;IF(AND(INDEX(職員マスタ!$K$6:$K$405,$AP256)&lt;&gt;"",N($W256)&gt;0,INDEX(職員マスタ!$K$6:$K$405,$AP256)&lt;&gt;$W256),"標準報酬月額が申請書と相違（台帳"&amp;TEXT(INDEX(職員マスタ!$K$6:$K$405,$AP256),"#,##0")&amp;"円／申請書"&amp;TEXT($W256,"#,##0")&amp;"円）／","")&amp;IF(AND(INDEX(職員マスタ!$F$6:$F$405,$AP256)&lt;&gt;"",$AQ256&lt;&gt;"",INDEX(職員マスタ!$F$6:$F$405,$AP256)&lt;$AQ256),"対象月に子が2歳到達済／","")&amp;IF(AND($H256&lt;&gt;"",INDEX(職員マスタ!$B$6:$B$405,$AP256)&lt;&gt;"",SUBSTITUTE(SUBSTITUTE($H256," ","")," ","")&lt;&gt;SUBSTITUTE(SUBSTITUTE(INDEX(職員マスタ!$B$6:$B$405,$AP256)," ","")," ","")),"氏名がマスタと相違／","")&amp;IF(AND($Q256&lt;&gt;"",INDEX(職員マスタ!$E$6:$E$405,$AP256)&lt;&gt;"",$Q256&lt;&gt;INDEX(職員マスタ!$E$6:$E$405,$AP256)),"子の生年月日がマスタと相違／","")&amp;IF(AND($L256&lt;&gt;"",INDEX(職員マスタ!$G$6:$G$405,$AP256)&lt;&gt;"",$L256&lt;&gt;INDEX(職員マスタ!$G$6:$G$405,$AP256)),"時短開始日がマスタと相違／","")&amp;IF(AND($M256&lt;&gt;"",INDEX(職員マスタ!$H$6:$H$405,$AP256)&lt;&gt;"",$M256&lt;&gt;INDEX(職員マスタ!$H$6:$H$405,$AP256)),"時短終了日がマスタと相違／","")))&amp;IF(AND($B256&lt;&gt;"",$E256=""),"報酬額が未入力／","")&amp;IF(N($U256)&gt;0,"申請書に入力エラーが残っています／","")&amp;IF(AND($B256&lt;&gt;"",$AQ256&lt;&gt;""),IF(COUNTIFS($B$6:$B$3005,$B256,$C$6:$C$3005,$C256,$D$6:$D$3005,$D256)&gt;1,"同じ月の請求が重複しています／",""),"")&amp;IF(AND(N($E256)&gt;0,$AB256&lt;&gt;"",$AB256&lt;&gt;"×",$AE256=0,$AD256=""),"計算額が下限以下のため不支給／",""))</f>
        <v/>
      </c>
      <c r="AN256" s="12" t="n"/>
      <c r="AO256" s="14">
        <f>IF($AF256="保留中",COUNTIF($AF$6:$AF256,"保留中"),"")</f>
        <v/>
      </c>
      <c r="AP256" s="14">
        <f>IF($AQ256="","",IF(SUMPRODUCT(MAX((職員マスタ!$A$6:$A$405=$B256)*(((職員マスタ!$G$6:$G$405="")+(職員マスタ!$G$6:$G$405&lt;=EOMONTH($AQ256,0)))&gt;0)*(((職員マスタ!$H$6:$H$405="")+(職員マスタ!$H$6:$H$405&gt;=$AQ256))&gt;0)*(ROW(職員マスタ!$A$6:$A$405)-5)))&gt;0,SUMPRODUCT(MAX((職員マスタ!$A$6:$A$405=$B256)*(((職員マスタ!$G$6:$G$405="")+(職員マスタ!$G$6:$G$405&lt;=EOMONTH($AQ256,0)))&gt;0)*(((職員マスタ!$H$6:$H$405="")+(職員マスタ!$H$6:$H$405&gt;=$AQ256))&gt;0)*(ROW(職員マスタ!$A$6:$A$405)-5))),IFERROR(MATCH($B256,職員マスタ!$A$6:$A$405,0),"")))</f>
        <v/>
      </c>
      <c r="AQ256" s="16">
        <f>IF(OR($B256="",$C256="",$D256=""),"",DATE($C256+2018,$D256,1))</f>
        <v/>
      </c>
    </row>
    <row r="257">
      <c r="A257" s="11" t="n"/>
      <c r="B257" s="12" t="n">
        <v>6601751</v>
      </c>
      <c r="C257" s="12" t="n">
        <v>8</v>
      </c>
      <c r="D257" s="12" t="n">
        <v>3</v>
      </c>
      <c r="E257" s="13" t="n">
        <v>187894</v>
      </c>
      <c r="F257" s="12" t="n"/>
      <c r="G257" s="13" t="n"/>
      <c r="H257" s="12" t="n"/>
      <c r="I257" s="12" t="n"/>
      <c r="J257" s="12" t="n"/>
      <c r="K257" s="12" t="n"/>
      <c r="L257" s="11" t="n"/>
      <c r="M257" s="11" t="n"/>
      <c r="N257" s="11" t="n"/>
      <c r="O257" s="11" t="n"/>
      <c r="P257" s="12" t="n"/>
      <c r="Q257" s="11" t="n"/>
      <c r="R257" s="12" t="n"/>
      <c r="S257" s="11" t="n"/>
      <c r="T257" s="12" t="n"/>
      <c r="U257" s="12" t="n"/>
      <c r="V257" s="12" t="n"/>
      <c r="W257" s="13" t="n"/>
      <c r="X257" s="14">
        <f>IF($AP257="",IF($B257="","",$H257),IF(INDEX(職員マスタ!$B$6:$B$405,$AP257)="",$H257,INDEX(職員マスタ!$B$6:$B$405,$AP257)))</f>
        <v/>
      </c>
      <c r="Y257" s="14">
        <f>IF($AP257="",IF($B257="","",$R257),IF(INDEX(職員マスタ!$C$6:$C$405,$AP257)="",$R257,INDEX(職員マスタ!$C$6:$C$405,$AP257)))</f>
        <v/>
      </c>
      <c r="Z257" s="14">
        <f>IF($AQ257="","","R"&amp;$C257&amp;"."&amp;$D257)</f>
        <v/>
      </c>
      <c r="AA257" s="15">
        <f>IF(IF($AP257="",FALSE,INDEX(職員マスタ!$K$6:$K$405,$AP257)&lt;&gt;""),INDEX(職員マスタ!$K$6:$K$405,$AP257),IF(N($W257)&gt;0,$W257,""))</f>
        <v/>
      </c>
      <c r="AB257" s="14">
        <f>IF(OR($E257="",$AA257=""),"",IF($E257&gt;=$AA257,"×",IF($E257&gt;=$AA257*設定!$C$5,"△","○")))</f>
        <v/>
      </c>
      <c r="AC257" s="15">
        <f>IF($AB257="","",IF($AB257="×",0,IF($AB257="○",ROUNDDOWN($E257*設定!$C$4,0),ROUNDDOWN($E257*ROUND((9*$AA257-9*$E257)/(10*$E257),4),0))))</f>
        <v/>
      </c>
      <c r="AD257" s="13" t="n"/>
      <c r="AE257" s="15">
        <f>IF($B257="","",IF($AD257&lt;&gt;"",$AD257,IF($AC257="","",IF($AC257&lt;=設定!$C$3,0,$AC257))))</f>
        <v/>
      </c>
      <c r="AF257" s="14">
        <f>IF($B257="","",IF(AND($AG257&lt;&gt;"",$AI257="",$AL257=""),"保留中",IF($AL257&lt;&gt;"",IF(N($AE257)&gt;0,"支給済","不支給"),IF($AE257="","要確認",IF($AE257=0,"不支給","未処理")))))</f>
        <v/>
      </c>
      <c r="AG257" s="12" t="n"/>
      <c r="AH257" s="11" t="n"/>
      <c r="AI257" s="11" t="n"/>
      <c r="AJ257" s="11" t="n"/>
      <c r="AK257" s="14">
        <f>IF(AND($AF257="保留中",$AH257&lt;&gt;""),TODAY()-$AH257,"")</f>
        <v/>
      </c>
      <c r="AL257" s="12" t="inlineStr">
        <is>
          <t>R8.5</t>
        </is>
      </c>
      <c r="AM257" s="14">
        <f>IF($B257="","",IF($AQ257="","対象年月が未入力／","")&amp;IF($B257="","",IF($AP257="","職員マスタに未登録の職員番号／",IF($AA257="","標準報酬月額が未登録／","")&amp;IF(AND($AQ257&lt;&gt;"",OR(AND(INDEX(職員マスタ!$G$6:$G$405,$AP257)&lt;&gt;"",INDEX(職員マスタ!$G$6:$G$405,$AP257)&gt;EOMONTH($AQ257,0)),AND(INDEX(職員マスタ!$H$6:$H$405,$AP257)&lt;&gt;"",INDEX(職員マスタ!$H$6:$H$405,$AP257)&lt;$AQ257))),"対象月が時短期間外／","")&amp;IF(AND(INDEX(職員マスタ!$K$6:$K$405,$AP257)&lt;&gt;"",N($W257)&gt;0,INDEX(職員マスタ!$K$6:$K$405,$AP257)&lt;&gt;$W257),"標準報酬月額が申請書と相違（台帳"&amp;TEXT(INDEX(職員マスタ!$K$6:$K$405,$AP257),"#,##0")&amp;"円／申請書"&amp;TEXT($W257,"#,##0")&amp;"円）／","")&amp;IF(AND(INDEX(職員マスタ!$F$6:$F$405,$AP257)&lt;&gt;"",$AQ257&lt;&gt;"",INDEX(職員マスタ!$F$6:$F$405,$AP257)&lt;$AQ257),"対象月に子が2歳到達済／","")&amp;IF(AND($H257&lt;&gt;"",INDEX(職員マスタ!$B$6:$B$405,$AP257)&lt;&gt;"",SUBSTITUTE(SUBSTITUTE($H257," ","")," ","")&lt;&gt;SUBSTITUTE(SUBSTITUTE(INDEX(職員マスタ!$B$6:$B$405,$AP257)," ","")," ","")),"氏名がマスタと相違／","")&amp;IF(AND($Q257&lt;&gt;"",INDEX(職員マスタ!$E$6:$E$405,$AP257)&lt;&gt;"",$Q257&lt;&gt;INDEX(職員マスタ!$E$6:$E$405,$AP257)),"子の生年月日がマスタと相違／","")&amp;IF(AND($L257&lt;&gt;"",INDEX(職員マスタ!$G$6:$G$405,$AP257)&lt;&gt;"",$L257&lt;&gt;INDEX(職員マスタ!$G$6:$G$405,$AP257)),"時短開始日がマスタと相違／","")&amp;IF(AND($M257&lt;&gt;"",INDEX(職員マスタ!$H$6:$H$405,$AP257)&lt;&gt;"",$M257&lt;&gt;INDEX(職員マスタ!$H$6:$H$405,$AP257)),"時短終了日がマスタと相違／","")))&amp;IF(AND($B257&lt;&gt;"",$E257=""),"報酬額が未入力／","")&amp;IF(N($U257)&gt;0,"申請書に入力エラーが残っています／","")&amp;IF(AND($B257&lt;&gt;"",$AQ257&lt;&gt;""),IF(COUNTIFS($B$6:$B$3005,$B257,$C$6:$C$3005,$C257,$D$6:$D$3005,$D257)&gt;1,"同じ月の請求が重複しています／",""),"")&amp;IF(AND(N($E257)&gt;0,$AB257&lt;&gt;"",$AB257&lt;&gt;"×",$AE257=0,$AD257=""),"計算額が下限以下のため不支給／",""))</f>
        <v/>
      </c>
      <c r="AN257" s="12" t="n"/>
      <c r="AO257" s="14">
        <f>IF($AF257="保留中",COUNTIF($AF$6:$AF257,"保留中"),"")</f>
        <v/>
      </c>
      <c r="AP257" s="14">
        <f>IF($AQ257="","",IF(SUMPRODUCT(MAX((職員マスタ!$A$6:$A$405=$B257)*(((職員マスタ!$G$6:$G$405="")+(職員マスタ!$G$6:$G$405&lt;=EOMONTH($AQ257,0)))&gt;0)*(((職員マスタ!$H$6:$H$405="")+(職員マスタ!$H$6:$H$405&gt;=$AQ257))&gt;0)*(ROW(職員マスタ!$A$6:$A$405)-5)))&gt;0,SUMPRODUCT(MAX((職員マスタ!$A$6:$A$405=$B257)*(((職員マスタ!$G$6:$G$405="")+(職員マスタ!$G$6:$G$405&lt;=EOMONTH($AQ257,0)))&gt;0)*(((職員マスタ!$H$6:$H$405="")+(職員マスタ!$H$6:$H$405&gt;=$AQ257))&gt;0)*(ROW(職員マスタ!$A$6:$A$405)-5))),IFERROR(MATCH($B257,職員マスタ!$A$6:$A$405,0),"")))</f>
        <v/>
      </c>
      <c r="AQ257" s="16">
        <f>IF(OR($B257="",$C257="",$D257=""),"",DATE($C257+2018,$D257,1))</f>
        <v/>
      </c>
    </row>
    <row r="258">
      <c r="A258" s="11" t="n"/>
      <c r="B258" s="12" t="n">
        <v>6602486</v>
      </c>
      <c r="C258" s="12" t="n">
        <v>8</v>
      </c>
      <c r="D258" s="12" t="n">
        <v>6</v>
      </c>
      <c r="E258" s="13" t="n">
        <v>127910</v>
      </c>
      <c r="F258" s="12" t="n"/>
      <c r="G258" s="13" t="n"/>
      <c r="H258" s="12" t="n"/>
      <c r="I258" s="12" t="n"/>
      <c r="J258" s="12" t="n"/>
      <c r="K258" s="12" t="n"/>
      <c r="L258" s="11" t="n"/>
      <c r="M258" s="11" t="n"/>
      <c r="N258" s="11" t="n"/>
      <c r="O258" s="11" t="n"/>
      <c r="P258" s="12" t="n"/>
      <c r="Q258" s="11" t="n"/>
      <c r="R258" s="12" t="n"/>
      <c r="S258" s="11" t="n"/>
      <c r="T258" s="12" t="n"/>
      <c r="U258" s="12" t="n"/>
      <c r="V258" s="12" t="n"/>
      <c r="W258" s="13" t="n"/>
      <c r="X258" s="14">
        <f>IF($AP258="",IF($B258="","",$H258),IF(INDEX(職員マスタ!$B$6:$B$405,$AP258)="",$H258,INDEX(職員マスタ!$B$6:$B$405,$AP258)))</f>
        <v/>
      </c>
      <c r="Y258" s="14">
        <f>IF($AP258="",IF($B258="","",$R258),IF(INDEX(職員マスタ!$C$6:$C$405,$AP258)="",$R258,INDEX(職員マスタ!$C$6:$C$405,$AP258)))</f>
        <v/>
      </c>
      <c r="Z258" s="14">
        <f>IF($AQ258="","","R"&amp;$C258&amp;"."&amp;$D258)</f>
        <v/>
      </c>
      <c r="AA258" s="15">
        <f>IF(IF($AP258="",FALSE,INDEX(職員マスタ!$K$6:$K$405,$AP258)&lt;&gt;""),INDEX(職員マスタ!$K$6:$K$405,$AP258),IF(N($W258)&gt;0,$W258,""))</f>
        <v/>
      </c>
      <c r="AB258" s="14">
        <f>IF(OR($E258="",$AA258=""),"",IF($E258&gt;=$AA258,"×",IF($E258&gt;=$AA258*設定!$C$5,"△","○")))</f>
        <v/>
      </c>
      <c r="AC258" s="15">
        <f>IF($AB258="","",IF($AB258="×",0,IF($AB258="○",ROUNDDOWN($E258*設定!$C$4,0),ROUNDDOWN($E258*ROUND((9*$AA258-9*$E258)/(10*$E258),4),0))))</f>
        <v/>
      </c>
      <c r="AD258" s="13" t="n"/>
      <c r="AE258" s="15">
        <f>IF($B258="","",IF($AD258&lt;&gt;"",$AD258,IF($AC258="","",IF($AC258&lt;=設定!$C$3,0,$AC258))))</f>
        <v/>
      </c>
      <c r="AF258" s="14">
        <f>IF($B258="","",IF(AND($AG258&lt;&gt;"",$AI258="",$AL258=""),"保留中",IF($AL258&lt;&gt;"",IF(N($AE258)&gt;0,"支給済","不支給"),IF($AE258="","要確認",IF($AE258=0,"不支給","未処理")))))</f>
        <v/>
      </c>
      <c r="AG258" s="12" t="n"/>
      <c r="AH258" s="11" t="n"/>
      <c r="AI258" s="11" t="n"/>
      <c r="AJ258" s="11" t="n"/>
      <c r="AK258" s="14">
        <f>IF(AND($AF258="保留中",$AH258&lt;&gt;""),TODAY()-$AH258,"")</f>
        <v/>
      </c>
      <c r="AL258" s="12" t="inlineStr">
        <is>
          <t>R8.10</t>
        </is>
      </c>
      <c r="AM258" s="14">
        <f>IF($B258="","",IF($AQ258="","対象年月が未入力／","")&amp;IF($B258="","",IF($AP258="","職員マスタに未登録の職員番号／",IF($AA258="","標準報酬月額が未登録／","")&amp;IF(AND($AQ258&lt;&gt;"",OR(AND(INDEX(職員マスタ!$G$6:$G$405,$AP258)&lt;&gt;"",INDEX(職員マスタ!$G$6:$G$405,$AP258)&gt;EOMONTH($AQ258,0)),AND(INDEX(職員マスタ!$H$6:$H$405,$AP258)&lt;&gt;"",INDEX(職員マスタ!$H$6:$H$405,$AP258)&lt;$AQ258))),"対象月が時短期間外／","")&amp;IF(AND(INDEX(職員マスタ!$K$6:$K$405,$AP258)&lt;&gt;"",N($W258)&gt;0,INDEX(職員マスタ!$K$6:$K$405,$AP258)&lt;&gt;$W258),"標準報酬月額が申請書と相違（台帳"&amp;TEXT(INDEX(職員マスタ!$K$6:$K$405,$AP258),"#,##0")&amp;"円／申請書"&amp;TEXT($W258,"#,##0")&amp;"円）／","")&amp;IF(AND(INDEX(職員マスタ!$F$6:$F$405,$AP258)&lt;&gt;"",$AQ258&lt;&gt;"",INDEX(職員マスタ!$F$6:$F$405,$AP258)&lt;$AQ258),"対象月に子が2歳到達済／","")&amp;IF(AND($H258&lt;&gt;"",INDEX(職員マスタ!$B$6:$B$405,$AP258)&lt;&gt;"",SUBSTITUTE(SUBSTITUTE($H258," ","")," ","")&lt;&gt;SUBSTITUTE(SUBSTITUTE(INDEX(職員マスタ!$B$6:$B$405,$AP258)," ","")," ","")),"氏名がマスタと相違／","")&amp;IF(AND($Q258&lt;&gt;"",INDEX(職員マスタ!$E$6:$E$405,$AP258)&lt;&gt;"",$Q258&lt;&gt;INDEX(職員マスタ!$E$6:$E$405,$AP258)),"子の生年月日がマスタと相違／","")&amp;IF(AND($L258&lt;&gt;"",INDEX(職員マスタ!$G$6:$G$405,$AP258)&lt;&gt;"",$L258&lt;&gt;INDEX(職員マスタ!$G$6:$G$405,$AP258)),"時短開始日がマスタと相違／","")&amp;IF(AND($M258&lt;&gt;"",INDEX(職員マスタ!$H$6:$H$405,$AP258)&lt;&gt;"",$M258&lt;&gt;INDEX(職員マスタ!$H$6:$H$405,$AP258)),"時短終了日がマスタと相違／","")))&amp;IF(AND($B258&lt;&gt;"",$E258=""),"報酬額が未入力／","")&amp;IF(N($U258)&gt;0,"申請書に入力エラーが残っています／","")&amp;IF(AND($B258&lt;&gt;"",$AQ258&lt;&gt;""),IF(COUNTIFS($B$6:$B$3005,$B258,$C$6:$C$3005,$C258,$D$6:$D$3005,$D258)&gt;1,"同じ月の請求が重複しています／",""),"")&amp;IF(AND(N($E258)&gt;0,$AB258&lt;&gt;"",$AB258&lt;&gt;"×",$AE258=0,$AD258=""),"計算額が下限以下のため不支給／",""))</f>
        <v/>
      </c>
      <c r="AN258" s="12" t="n"/>
      <c r="AO258" s="14">
        <f>IF($AF258="保留中",COUNTIF($AF$6:$AF258,"保留中"),"")</f>
        <v/>
      </c>
      <c r="AP258" s="14">
        <f>IF($AQ258="","",IF(SUMPRODUCT(MAX((職員マスタ!$A$6:$A$405=$B258)*(((職員マスタ!$G$6:$G$405="")+(職員マスタ!$G$6:$G$405&lt;=EOMONTH($AQ258,0)))&gt;0)*(((職員マスタ!$H$6:$H$405="")+(職員マスタ!$H$6:$H$405&gt;=$AQ258))&gt;0)*(ROW(職員マスタ!$A$6:$A$405)-5)))&gt;0,SUMPRODUCT(MAX((職員マスタ!$A$6:$A$405=$B258)*(((職員マスタ!$G$6:$G$405="")+(職員マスタ!$G$6:$G$405&lt;=EOMONTH($AQ258,0)))&gt;0)*(((職員マスタ!$H$6:$H$405="")+(職員マスタ!$H$6:$H$405&gt;=$AQ258))&gt;0)*(ROW(職員マスタ!$A$6:$A$405)-5))),IFERROR(MATCH($B258,職員マスタ!$A$6:$A$405,0),"")))</f>
        <v/>
      </c>
      <c r="AQ258" s="16">
        <f>IF(OR($B258="",$C258="",$D258=""),"",DATE($C258+2018,$D258,1))</f>
        <v/>
      </c>
    </row>
    <row r="259">
      <c r="A259" s="11" t="n"/>
      <c r="B259" s="12" t="n">
        <v>6602486</v>
      </c>
      <c r="C259" s="12" t="n">
        <v>8</v>
      </c>
      <c r="D259" s="12" t="n">
        <v>7</v>
      </c>
      <c r="E259" s="13" t="n">
        <v>203734</v>
      </c>
      <c r="F259" s="12" t="n"/>
      <c r="G259" s="13" t="n"/>
      <c r="H259" s="12" t="n"/>
      <c r="I259" s="12" t="n"/>
      <c r="J259" s="12" t="n"/>
      <c r="K259" s="12" t="n"/>
      <c r="L259" s="11" t="n"/>
      <c r="M259" s="11" t="n"/>
      <c r="N259" s="11" t="n"/>
      <c r="O259" s="11" t="n"/>
      <c r="P259" s="12" t="n"/>
      <c r="Q259" s="11" t="n"/>
      <c r="R259" s="12" t="n"/>
      <c r="S259" s="11" t="n"/>
      <c r="T259" s="12" t="n"/>
      <c r="U259" s="12" t="n"/>
      <c r="V259" s="12" t="n"/>
      <c r="W259" s="13" t="n"/>
      <c r="X259" s="14">
        <f>IF($AP259="",IF($B259="","",$H259),IF(INDEX(職員マスタ!$B$6:$B$405,$AP259)="",$H259,INDEX(職員マスタ!$B$6:$B$405,$AP259)))</f>
        <v/>
      </c>
      <c r="Y259" s="14">
        <f>IF($AP259="",IF($B259="","",$R259),IF(INDEX(職員マスタ!$C$6:$C$405,$AP259)="",$R259,INDEX(職員マスタ!$C$6:$C$405,$AP259)))</f>
        <v/>
      </c>
      <c r="Z259" s="14">
        <f>IF($AQ259="","","R"&amp;$C259&amp;"."&amp;$D259)</f>
        <v/>
      </c>
      <c r="AA259" s="15">
        <f>IF(IF($AP259="",FALSE,INDEX(職員マスタ!$K$6:$K$405,$AP259)&lt;&gt;""),INDEX(職員マスタ!$K$6:$K$405,$AP259),IF(N($W259)&gt;0,$W259,""))</f>
        <v/>
      </c>
      <c r="AB259" s="14">
        <f>IF(OR($E259="",$AA259=""),"",IF($E259&gt;=$AA259,"×",IF($E259&gt;=$AA259*設定!$C$5,"△","○")))</f>
        <v/>
      </c>
      <c r="AC259" s="15">
        <f>IF($AB259="","",IF($AB259="×",0,IF($AB259="○",ROUNDDOWN($E259*設定!$C$4,0),ROUNDDOWN($E259*ROUND((9*$AA259-9*$E259)/(10*$E259),4),0))))</f>
        <v/>
      </c>
      <c r="AD259" s="13" t="n"/>
      <c r="AE259" s="15">
        <f>IF($B259="","",IF($AD259&lt;&gt;"",$AD259,IF($AC259="","",IF($AC259&lt;=設定!$C$3,0,$AC259))))</f>
        <v/>
      </c>
      <c r="AF259" s="14">
        <f>IF($B259="","",IF(AND($AG259&lt;&gt;"",$AI259="",$AL259=""),"保留中",IF($AL259&lt;&gt;"",IF(N($AE259)&gt;0,"支給済","不支給"),IF($AE259="","要確認",IF($AE259=0,"不支給","未処理")))))</f>
        <v/>
      </c>
      <c r="AG259" s="12" t="n"/>
      <c r="AH259" s="11" t="n"/>
      <c r="AI259" s="11" t="n"/>
      <c r="AJ259" s="11" t="n"/>
      <c r="AK259" s="14">
        <f>IF(AND($AF259="保留中",$AH259&lt;&gt;""),TODAY()-$AH259,"")</f>
        <v/>
      </c>
      <c r="AL259" s="12" t="inlineStr">
        <is>
          <t>R8.10</t>
        </is>
      </c>
      <c r="AM259" s="14">
        <f>IF($B259="","",IF($AQ259="","対象年月が未入力／","")&amp;IF($B259="","",IF($AP259="","職員マスタに未登録の職員番号／",IF($AA259="","標準報酬月額が未登録／","")&amp;IF(AND($AQ259&lt;&gt;"",OR(AND(INDEX(職員マスタ!$G$6:$G$405,$AP259)&lt;&gt;"",INDEX(職員マスタ!$G$6:$G$405,$AP259)&gt;EOMONTH($AQ259,0)),AND(INDEX(職員マスタ!$H$6:$H$405,$AP259)&lt;&gt;"",INDEX(職員マスタ!$H$6:$H$405,$AP259)&lt;$AQ259))),"対象月が時短期間外／","")&amp;IF(AND(INDEX(職員マスタ!$K$6:$K$405,$AP259)&lt;&gt;"",N($W259)&gt;0,INDEX(職員マスタ!$K$6:$K$405,$AP259)&lt;&gt;$W259),"標準報酬月額が申請書と相違（台帳"&amp;TEXT(INDEX(職員マスタ!$K$6:$K$405,$AP259),"#,##0")&amp;"円／申請書"&amp;TEXT($W259,"#,##0")&amp;"円）／","")&amp;IF(AND(INDEX(職員マスタ!$F$6:$F$405,$AP259)&lt;&gt;"",$AQ259&lt;&gt;"",INDEX(職員マスタ!$F$6:$F$405,$AP259)&lt;$AQ259),"対象月に子が2歳到達済／","")&amp;IF(AND($H259&lt;&gt;"",INDEX(職員マスタ!$B$6:$B$405,$AP259)&lt;&gt;"",SUBSTITUTE(SUBSTITUTE($H259," ","")," ","")&lt;&gt;SUBSTITUTE(SUBSTITUTE(INDEX(職員マスタ!$B$6:$B$405,$AP259)," ","")," ","")),"氏名がマスタと相違／","")&amp;IF(AND($Q259&lt;&gt;"",INDEX(職員マスタ!$E$6:$E$405,$AP259)&lt;&gt;"",$Q259&lt;&gt;INDEX(職員マスタ!$E$6:$E$405,$AP259)),"子の生年月日がマスタと相違／","")&amp;IF(AND($L259&lt;&gt;"",INDEX(職員マスタ!$G$6:$G$405,$AP259)&lt;&gt;"",$L259&lt;&gt;INDEX(職員マスタ!$G$6:$G$405,$AP259)),"時短開始日がマスタと相違／","")&amp;IF(AND($M259&lt;&gt;"",INDEX(職員マスタ!$H$6:$H$405,$AP259)&lt;&gt;"",$M259&lt;&gt;INDEX(職員マスタ!$H$6:$H$405,$AP259)),"時短終了日がマスタと相違／","")))&amp;IF(AND($B259&lt;&gt;"",$E259=""),"報酬額が未入力／","")&amp;IF(N($U259)&gt;0,"申請書に入力エラーが残っています／","")&amp;IF(AND($B259&lt;&gt;"",$AQ259&lt;&gt;""),IF(COUNTIFS($B$6:$B$3005,$B259,$C$6:$C$3005,$C259,$D$6:$D$3005,$D259)&gt;1,"同じ月の請求が重複しています／",""),"")&amp;IF(AND(N($E259)&gt;0,$AB259&lt;&gt;"",$AB259&lt;&gt;"×",$AE259=0,$AD259=""),"計算額が下限以下のため不支給／",""))</f>
        <v/>
      </c>
      <c r="AN259" s="12" t="n"/>
      <c r="AO259" s="14">
        <f>IF($AF259="保留中",COUNTIF($AF$6:$AF259,"保留中"),"")</f>
        <v/>
      </c>
      <c r="AP259" s="14">
        <f>IF($AQ259="","",IF(SUMPRODUCT(MAX((職員マスタ!$A$6:$A$405=$B259)*(((職員マスタ!$G$6:$G$405="")+(職員マスタ!$G$6:$G$405&lt;=EOMONTH($AQ259,0)))&gt;0)*(((職員マスタ!$H$6:$H$405="")+(職員マスタ!$H$6:$H$405&gt;=$AQ259))&gt;0)*(ROW(職員マスタ!$A$6:$A$405)-5)))&gt;0,SUMPRODUCT(MAX((職員マスタ!$A$6:$A$405=$B259)*(((職員マスタ!$G$6:$G$405="")+(職員マスタ!$G$6:$G$405&lt;=EOMONTH($AQ259,0)))&gt;0)*(((職員マスタ!$H$6:$H$405="")+(職員マスタ!$H$6:$H$405&gt;=$AQ259))&gt;0)*(ROW(職員マスタ!$A$6:$A$405)-5))),IFERROR(MATCH($B259,職員マスタ!$A$6:$A$405,0),"")))</f>
        <v/>
      </c>
      <c r="AQ259" s="16">
        <f>IF(OR($B259="",$C259="",$D259=""),"",DATE($C259+2018,$D259,1))</f>
        <v/>
      </c>
    </row>
    <row r="260">
      <c r="A260" s="11" t="n"/>
      <c r="B260" s="12" t="n">
        <v>6602486</v>
      </c>
      <c r="C260" s="12" t="n">
        <v>8</v>
      </c>
      <c r="D260" s="12" t="n">
        <v>8</v>
      </c>
      <c r="E260" s="13" t="n">
        <v>203842</v>
      </c>
      <c r="F260" s="12" t="n"/>
      <c r="G260" s="13" t="n"/>
      <c r="H260" s="12" t="n"/>
      <c r="I260" s="12" t="n"/>
      <c r="J260" s="12" t="n"/>
      <c r="K260" s="12" t="n"/>
      <c r="L260" s="11" t="n"/>
      <c r="M260" s="11" t="n"/>
      <c r="N260" s="11" t="n"/>
      <c r="O260" s="11" t="n"/>
      <c r="P260" s="12" t="n"/>
      <c r="Q260" s="11" t="n"/>
      <c r="R260" s="12" t="n"/>
      <c r="S260" s="11" t="n"/>
      <c r="T260" s="12" t="n"/>
      <c r="U260" s="12" t="n"/>
      <c r="V260" s="12" t="n"/>
      <c r="W260" s="13" t="n"/>
      <c r="X260" s="14">
        <f>IF($AP260="",IF($B260="","",$H260),IF(INDEX(職員マスタ!$B$6:$B$405,$AP260)="",$H260,INDEX(職員マスタ!$B$6:$B$405,$AP260)))</f>
        <v/>
      </c>
      <c r="Y260" s="14">
        <f>IF($AP260="",IF($B260="","",$R260),IF(INDEX(職員マスタ!$C$6:$C$405,$AP260)="",$R260,INDEX(職員マスタ!$C$6:$C$405,$AP260)))</f>
        <v/>
      </c>
      <c r="Z260" s="14">
        <f>IF($AQ260="","","R"&amp;$C260&amp;"."&amp;$D260)</f>
        <v/>
      </c>
      <c r="AA260" s="15">
        <f>IF(IF($AP260="",FALSE,INDEX(職員マスタ!$K$6:$K$405,$AP260)&lt;&gt;""),INDEX(職員マスタ!$K$6:$K$405,$AP260),IF(N($W260)&gt;0,$W260,""))</f>
        <v/>
      </c>
      <c r="AB260" s="14">
        <f>IF(OR($E260="",$AA260=""),"",IF($E260&gt;=$AA260,"×",IF($E260&gt;=$AA260*設定!$C$5,"△","○")))</f>
        <v/>
      </c>
      <c r="AC260" s="15">
        <f>IF($AB260="","",IF($AB260="×",0,IF($AB260="○",ROUNDDOWN($E260*設定!$C$4,0),ROUNDDOWN($E260*ROUND((9*$AA260-9*$E260)/(10*$E260),4),0))))</f>
        <v/>
      </c>
      <c r="AD260" s="13" t="n"/>
      <c r="AE260" s="15">
        <f>IF($B260="","",IF($AD260&lt;&gt;"",$AD260,IF($AC260="","",IF($AC260&lt;=設定!$C$3,0,$AC260))))</f>
        <v/>
      </c>
      <c r="AF260" s="14">
        <f>IF($B260="","",IF(AND($AG260&lt;&gt;"",$AI260="",$AL260=""),"保留中",IF($AL260&lt;&gt;"",IF(N($AE260)&gt;0,"支給済","不支給"),IF($AE260="","要確認",IF($AE260=0,"不支給","未処理")))))</f>
        <v/>
      </c>
      <c r="AG260" s="12" t="n"/>
      <c r="AH260" s="11" t="n"/>
      <c r="AI260" s="11" t="n"/>
      <c r="AJ260" s="11" t="n"/>
      <c r="AK260" s="14">
        <f>IF(AND($AF260="保留中",$AH260&lt;&gt;""),TODAY()-$AH260,"")</f>
        <v/>
      </c>
      <c r="AL260" s="12" t="inlineStr">
        <is>
          <t>R8.10</t>
        </is>
      </c>
      <c r="AM260" s="14">
        <f>IF($B260="","",IF($AQ260="","対象年月が未入力／","")&amp;IF($B260="","",IF($AP260="","職員マスタに未登録の職員番号／",IF($AA260="","標準報酬月額が未登録／","")&amp;IF(AND($AQ260&lt;&gt;"",OR(AND(INDEX(職員マスタ!$G$6:$G$405,$AP260)&lt;&gt;"",INDEX(職員マスタ!$G$6:$G$405,$AP260)&gt;EOMONTH($AQ260,0)),AND(INDEX(職員マスタ!$H$6:$H$405,$AP260)&lt;&gt;"",INDEX(職員マスタ!$H$6:$H$405,$AP260)&lt;$AQ260))),"対象月が時短期間外／","")&amp;IF(AND(INDEX(職員マスタ!$K$6:$K$405,$AP260)&lt;&gt;"",N($W260)&gt;0,INDEX(職員マスタ!$K$6:$K$405,$AP260)&lt;&gt;$W260),"標準報酬月額が申請書と相違（台帳"&amp;TEXT(INDEX(職員マスタ!$K$6:$K$405,$AP260),"#,##0")&amp;"円／申請書"&amp;TEXT($W260,"#,##0")&amp;"円）／","")&amp;IF(AND(INDEX(職員マスタ!$F$6:$F$405,$AP260)&lt;&gt;"",$AQ260&lt;&gt;"",INDEX(職員マスタ!$F$6:$F$405,$AP260)&lt;$AQ260),"対象月に子が2歳到達済／","")&amp;IF(AND($H260&lt;&gt;"",INDEX(職員マスタ!$B$6:$B$405,$AP260)&lt;&gt;"",SUBSTITUTE(SUBSTITUTE($H260," ","")," ","")&lt;&gt;SUBSTITUTE(SUBSTITUTE(INDEX(職員マスタ!$B$6:$B$405,$AP260)," ","")," ","")),"氏名がマスタと相違／","")&amp;IF(AND($Q260&lt;&gt;"",INDEX(職員マスタ!$E$6:$E$405,$AP260)&lt;&gt;"",$Q260&lt;&gt;INDEX(職員マスタ!$E$6:$E$405,$AP260)),"子の生年月日がマスタと相違／","")&amp;IF(AND($L260&lt;&gt;"",INDEX(職員マスタ!$G$6:$G$405,$AP260)&lt;&gt;"",$L260&lt;&gt;INDEX(職員マスタ!$G$6:$G$405,$AP260)),"時短開始日がマスタと相違／","")&amp;IF(AND($M260&lt;&gt;"",INDEX(職員マスタ!$H$6:$H$405,$AP260)&lt;&gt;"",$M260&lt;&gt;INDEX(職員マスタ!$H$6:$H$405,$AP260)),"時短終了日がマスタと相違／","")))&amp;IF(AND($B260&lt;&gt;"",$E260=""),"報酬額が未入力／","")&amp;IF(N($U260)&gt;0,"申請書に入力エラーが残っています／","")&amp;IF(AND($B260&lt;&gt;"",$AQ260&lt;&gt;""),IF(COUNTIFS($B$6:$B$3005,$B260,$C$6:$C$3005,$C260,$D$6:$D$3005,$D260)&gt;1,"同じ月の請求が重複しています／",""),"")&amp;IF(AND(N($E260)&gt;0,$AB260&lt;&gt;"",$AB260&lt;&gt;"×",$AE260=0,$AD260=""),"計算額が下限以下のため不支給／",""))</f>
        <v/>
      </c>
      <c r="AN260" s="12" t="n"/>
      <c r="AO260" s="14">
        <f>IF($AF260="保留中",COUNTIF($AF$6:$AF260,"保留中"),"")</f>
        <v/>
      </c>
      <c r="AP260" s="14">
        <f>IF($AQ260="","",IF(SUMPRODUCT(MAX((職員マスタ!$A$6:$A$405=$B260)*(((職員マスタ!$G$6:$G$405="")+(職員マスタ!$G$6:$G$405&lt;=EOMONTH($AQ260,0)))&gt;0)*(((職員マスタ!$H$6:$H$405="")+(職員マスタ!$H$6:$H$405&gt;=$AQ260))&gt;0)*(ROW(職員マスタ!$A$6:$A$405)-5)))&gt;0,SUMPRODUCT(MAX((職員マスタ!$A$6:$A$405=$B260)*(((職員マスタ!$G$6:$G$405="")+(職員マスタ!$G$6:$G$405&lt;=EOMONTH($AQ260,0)))&gt;0)*(((職員マスタ!$H$6:$H$405="")+(職員マスタ!$H$6:$H$405&gt;=$AQ260))&gt;0)*(ROW(職員マスタ!$A$6:$A$405)-5))),IFERROR(MATCH($B260,職員マスタ!$A$6:$A$405,0),"")))</f>
        <v/>
      </c>
      <c r="AQ260" s="16">
        <f>IF(OR($B260="",$C260="",$D260=""),"",DATE($C260+2018,$D260,1))</f>
        <v/>
      </c>
    </row>
    <row r="261">
      <c r="A261" s="11" t="n"/>
      <c r="B261" s="12" t="n">
        <v>6602502</v>
      </c>
      <c r="C261" s="12" t="n">
        <v>8</v>
      </c>
      <c r="D261" s="12" t="n">
        <v>2</v>
      </c>
      <c r="E261" s="13" t="n">
        <v>263062</v>
      </c>
      <c r="F261" s="12" t="n"/>
      <c r="G261" s="13" t="n"/>
      <c r="H261" s="12" t="n"/>
      <c r="I261" s="12" t="n"/>
      <c r="J261" s="12" t="n"/>
      <c r="K261" s="12" t="n"/>
      <c r="L261" s="11" t="n"/>
      <c r="M261" s="11" t="n"/>
      <c r="N261" s="11" t="n"/>
      <c r="O261" s="11" t="n"/>
      <c r="P261" s="12" t="n"/>
      <c r="Q261" s="11" t="n"/>
      <c r="R261" s="12" t="n"/>
      <c r="S261" s="11" t="n"/>
      <c r="T261" s="12" t="n"/>
      <c r="U261" s="12" t="n"/>
      <c r="V261" s="12" t="n"/>
      <c r="W261" s="13" t="n"/>
      <c r="X261" s="14">
        <f>IF($AP261="",IF($B261="","",$H261),IF(INDEX(職員マスタ!$B$6:$B$405,$AP261)="",$H261,INDEX(職員マスタ!$B$6:$B$405,$AP261)))</f>
        <v/>
      </c>
      <c r="Y261" s="14">
        <f>IF($AP261="",IF($B261="","",$R261),IF(INDEX(職員マスタ!$C$6:$C$405,$AP261)="",$R261,INDEX(職員マスタ!$C$6:$C$405,$AP261)))</f>
        <v/>
      </c>
      <c r="Z261" s="14">
        <f>IF($AQ261="","","R"&amp;$C261&amp;"."&amp;$D261)</f>
        <v/>
      </c>
      <c r="AA261" s="15">
        <f>IF(IF($AP261="",FALSE,INDEX(職員マスタ!$K$6:$K$405,$AP261)&lt;&gt;""),INDEX(職員マスタ!$K$6:$K$405,$AP261),IF(N($W261)&gt;0,$W261,""))</f>
        <v/>
      </c>
      <c r="AB261" s="14">
        <f>IF(OR($E261="",$AA261=""),"",IF($E261&gt;=$AA261,"×",IF($E261&gt;=$AA261*設定!$C$5,"△","○")))</f>
        <v/>
      </c>
      <c r="AC261" s="15">
        <f>IF($AB261="","",IF($AB261="×",0,IF($AB261="○",ROUNDDOWN($E261*設定!$C$4,0),ROUNDDOWN($E261*ROUND((9*$AA261-9*$E261)/(10*$E261),4),0))))</f>
        <v/>
      </c>
      <c r="AD261" s="13" t="n"/>
      <c r="AE261" s="15">
        <f>IF($B261="","",IF($AD261&lt;&gt;"",$AD261,IF($AC261="","",IF($AC261&lt;=設定!$C$3,0,$AC261))))</f>
        <v/>
      </c>
      <c r="AF261" s="14">
        <f>IF($B261="","",IF(AND($AG261&lt;&gt;"",$AI261="",$AL261=""),"保留中",IF($AL261&lt;&gt;"",IF(N($AE261)&gt;0,"支給済","不支給"),IF($AE261="","要確認",IF($AE261=0,"不支給","未処理")))))</f>
        <v/>
      </c>
      <c r="AG261" s="12" t="n"/>
      <c r="AH261" s="11" t="n"/>
      <c r="AI261" s="11" t="n"/>
      <c r="AJ261" s="11" t="n"/>
      <c r="AK261" s="14">
        <f>IF(AND($AF261="保留中",$AH261&lt;&gt;""),TODAY()-$AH261,"")</f>
        <v/>
      </c>
      <c r="AL261" s="12" t="inlineStr">
        <is>
          <t>R8.6</t>
        </is>
      </c>
      <c r="AM261" s="14">
        <f>IF($B261="","",IF($AQ261="","対象年月が未入力／","")&amp;IF($B261="","",IF($AP261="","職員マスタに未登録の職員番号／",IF($AA261="","標準報酬月額が未登録／","")&amp;IF(AND($AQ261&lt;&gt;"",OR(AND(INDEX(職員マスタ!$G$6:$G$405,$AP261)&lt;&gt;"",INDEX(職員マスタ!$G$6:$G$405,$AP261)&gt;EOMONTH($AQ261,0)),AND(INDEX(職員マスタ!$H$6:$H$405,$AP261)&lt;&gt;"",INDEX(職員マスタ!$H$6:$H$405,$AP261)&lt;$AQ261))),"対象月が時短期間外／","")&amp;IF(AND(INDEX(職員マスタ!$K$6:$K$405,$AP261)&lt;&gt;"",N($W261)&gt;0,INDEX(職員マスタ!$K$6:$K$405,$AP261)&lt;&gt;$W261),"標準報酬月額が申請書と相違（台帳"&amp;TEXT(INDEX(職員マスタ!$K$6:$K$405,$AP261),"#,##0")&amp;"円／申請書"&amp;TEXT($W261,"#,##0")&amp;"円）／","")&amp;IF(AND(INDEX(職員マスタ!$F$6:$F$405,$AP261)&lt;&gt;"",$AQ261&lt;&gt;"",INDEX(職員マスタ!$F$6:$F$405,$AP261)&lt;$AQ261),"対象月に子が2歳到達済／","")&amp;IF(AND($H261&lt;&gt;"",INDEX(職員マスタ!$B$6:$B$405,$AP261)&lt;&gt;"",SUBSTITUTE(SUBSTITUTE($H261," ","")," ","")&lt;&gt;SUBSTITUTE(SUBSTITUTE(INDEX(職員マスタ!$B$6:$B$405,$AP261)," ","")," ","")),"氏名がマスタと相違／","")&amp;IF(AND($Q261&lt;&gt;"",INDEX(職員マスタ!$E$6:$E$405,$AP261)&lt;&gt;"",$Q261&lt;&gt;INDEX(職員マスタ!$E$6:$E$405,$AP261)),"子の生年月日がマスタと相違／","")&amp;IF(AND($L261&lt;&gt;"",INDEX(職員マスタ!$G$6:$G$405,$AP261)&lt;&gt;"",$L261&lt;&gt;INDEX(職員マスタ!$G$6:$G$405,$AP261)),"時短開始日がマスタと相違／","")&amp;IF(AND($M261&lt;&gt;"",INDEX(職員マスタ!$H$6:$H$405,$AP261)&lt;&gt;"",$M261&lt;&gt;INDEX(職員マスタ!$H$6:$H$405,$AP261)),"時短終了日がマスタと相違／","")))&amp;IF(AND($B261&lt;&gt;"",$E261=""),"報酬額が未入力／","")&amp;IF(N($U261)&gt;0,"申請書に入力エラーが残っています／","")&amp;IF(AND($B261&lt;&gt;"",$AQ261&lt;&gt;""),IF(COUNTIFS($B$6:$B$3005,$B261,$C$6:$C$3005,$C261,$D$6:$D$3005,$D261)&gt;1,"同じ月の請求が重複しています／",""),"")&amp;IF(AND(N($E261)&gt;0,$AB261&lt;&gt;"",$AB261&lt;&gt;"×",$AE261=0,$AD261=""),"計算額が下限以下のため不支給／",""))</f>
        <v/>
      </c>
      <c r="AN261" s="12" t="n"/>
      <c r="AO261" s="14">
        <f>IF($AF261="保留中",COUNTIF($AF$6:$AF261,"保留中"),"")</f>
        <v/>
      </c>
      <c r="AP261" s="14">
        <f>IF($AQ261="","",IF(SUMPRODUCT(MAX((職員マスタ!$A$6:$A$405=$B261)*(((職員マスタ!$G$6:$G$405="")+(職員マスタ!$G$6:$G$405&lt;=EOMONTH($AQ261,0)))&gt;0)*(((職員マスタ!$H$6:$H$405="")+(職員マスタ!$H$6:$H$405&gt;=$AQ261))&gt;0)*(ROW(職員マスタ!$A$6:$A$405)-5)))&gt;0,SUMPRODUCT(MAX((職員マスタ!$A$6:$A$405=$B261)*(((職員マスタ!$G$6:$G$405="")+(職員マスタ!$G$6:$G$405&lt;=EOMONTH($AQ261,0)))&gt;0)*(((職員マスタ!$H$6:$H$405="")+(職員マスタ!$H$6:$H$405&gt;=$AQ261))&gt;0)*(ROW(職員マスタ!$A$6:$A$405)-5))),IFERROR(MATCH($B261,職員マスタ!$A$6:$A$405,0),"")))</f>
        <v/>
      </c>
      <c r="AQ261" s="16">
        <f>IF(OR($B261="",$C261="",$D261=""),"",DATE($C261+2018,$D261,1))</f>
        <v/>
      </c>
    </row>
    <row r="262">
      <c r="A262" s="11" t="n"/>
      <c r="B262" s="12" t="n">
        <v>6602502</v>
      </c>
      <c r="C262" s="12" t="n">
        <v>8</v>
      </c>
      <c r="D262" s="12" t="n">
        <v>3</v>
      </c>
      <c r="E262" s="13" t="n">
        <v>287478</v>
      </c>
      <c r="F262" s="12" t="n"/>
      <c r="G262" s="13" t="n"/>
      <c r="H262" s="12" t="n"/>
      <c r="I262" s="12" t="n"/>
      <c r="J262" s="12" t="n"/>
      <c r="K262" s="12" t="n"/>
      <c r="L262" s="11" t="n"/>
      <c r="M262" s="11" t="n"/>
      <c r="N262" s="11" t="n"/>
      <c r="O262" s="11" t="n"/>
      <c r="P262" s="12" t="n"/>
      <c r="Q262" s="11" t="n"/>
      <c r="R262" s="12" t="n"/>
      <c r="S262" s="11" t="n"/>
      <c r="T262" s="12" t="n"/>
      <c r="U262" s="12" t="n"/>
      <c r="V262" s="12" t="n"/>
      <c r="W262" s="13" t="n"/>
      <c r="X262" s="14">
        <f>IF($AP262="",IF($B262="","",$H262),IF(INDEX(職員マスタ!$B$6:$B$405,$AP262)="",$H262,INDEX(職員マスタ!$B$6:$B$405,$AP262)))</f>
        <v/>
      </c>
      <c r="Y262" s="14">
        <f>IF($AP262="",IF($B262="","",$R262),IF(INDEX(職員マスタ!$C$6:$C$405,$AP262)="",$R262,INDEX(職員マスタ!$C$6:$C$405,$AP262)))</f>
        <v/>
      </c>
      <c r="Z262" s="14">
        <f>IF($AQ262="","","R"&amp;$C262&amp;"."&amp;$D262)</f>
        <v/>
      </c>
      <c r="AA262" s="15">
        <f>IF(IF($AP262="",FALSE,INDEX(職員マスタ!$K$6:$K$405,$AP262)&lt;&gt;""),INDEX(職員マスタ!$K$6:$K$405,$AP262),IF(N($W262)&gt;0,$W262,""))</f>
        <v/>
      </c>
      <c r="AB262" s="14">
        <f>IF(OR($E262="",$AA262=""),"",IF($E262&gt;=$AA262,"×",IF($E262&gt;=$AA262*設定!$C$5,"△","○")))</f>
        <v/>
      </c>
      <c r="AC262" s="15">
        <f>IF($AB262="","",IF($AB262="×",0,IF($AB262="○",ROUNDDOWN($E262*設定!$C$4,0),ROUNDDOWN($E262*ROUND((9*$AA262-9*$E262)/(10*$E262),4),0))))</f>
        <v/>
      </c>
      <c r="AD262" s="13" t="n"/>
      <c r="AE262" s="15">
        <f>IF($B262="","",IF($AD262&lt;&gt;"",$AD262,IF($AC262="","",IF($AC262&lt;=設定!$C$3,0,$AC262))))</f>
        <v/>
      </c>
      <c r="AF262" s="14">
        <f>IF($B262="","",IF(AND($AG262&lt;&gt;"",$AI262="",$AL262=""),"保留中",IF($AL262&lt;&gt;"",IF(N($AE262)&gt;0,"支給済","不支給"),IF($AE262="","要確認",IF($AE262=0,"不支給","未処理")))))</f>
        <v/>
      </c>
      <c r="AG262" s="12" t="n"/>
      <c r="AH262" s="11" t="n"/>
      <c r="AI262" s="11" t="n"/>
      <c r="AJ262" s="11" t="n"/>
      <c r="AK262" s="14">
        <f>IF(AND($AF262="保留中",$AH262&lt;&gt;""),TODAY()-$AH262,"")</f>
        <v/>
      </c>
      <c r="AL262" s="12" t="inlineStr">
        <is>
          <t>R8.5</t>
        </is>
      </c>
      <c r="AM262" s="14">
        <f>IF($B262="","",IF($AQ262="","対象年月が未入力／","")&amp;IF($B262="","",IF($AP262="","職員マスタに未登録の職員番号／",IF($AA262="","標準報酬月額が未登録／","")&amp;IF(AND($AQ262&lt;&gt;"",OR(AND(INDEX(職員マスタ!$G$6:$G$405,$AP262)&lt;&gt;"",INDEX(職員マスタ!$G$6:$G$405,$AP262)&gt;EOMONTH($AQ262,0)),AND(INDEX(職員マスタ!$H$6:$H$405,$AP262)&lt;&gt;"",INDEX(職員マスタ!$H$6:$H$405,$AP262)&lt;$AQ262))),"対象月が時短期間外／","")&amp;IF(AND(INDEX(職員マスタ!$K$6:$K$405,$AP262)&lt;&gt;"",N($W262)&gt;0,INDEX(職員マスタ!$K$6:$K$405,$AP262)&lt;&gt;$W262),"標準報酬月額が申請書と相違（台帳"&amp;TEXT(INDEX(職員マスタ!$K$6:$K$405,$AP262),"#,##0")&amp;"円／申請書"&amp;TEXT($W262,"#,##0")&amp;"円）／","")&amp;IF(AND(INDEX(職員マスタ!$F$6:$F$405,$AP262)&lt;&gt;"",$AQ262&lt;&gt;"",INDEX(職員マスタ!$F$6:$F$405,$AP262)&lt;$AQ262),"対象月に子が2歳到達済／","")&amp;IF(AND($H262&lt;&gt;"",INDEX(職員マスタ!$B$6:$B$405,$AP262)&lt;&gt;"",SUBSTITUTE(SUBSTITUTE($H262," ","")," ","")&lt;&gt;SUBSTITUTE(SUBSTITUTE(INDEX(職員マスタ!$B$6:$B$405,$AP262)," ","")," ","")),"氏名がマスタと相違／","")&amp;IF(AND($Q262&lt;&gt;"",INDEX(職員マスタ!$E$6:$E$405,$AP262)&lt;&gt;"",$Q262&lt;&gt;INDEX(職員マスタ!$E$6:$E$405,$AP262)),"子の生年月日がマスタと相違／","")&amp;IF(AND($L262&lt;&gt;"",INDEX(職員マスタ!$G$6:$G$405,$AP262)&lt;&gt;"",$L262&lt;&gt;INDEX(職員マスタ!$G$6:$G$405,$AP262)),"時短開始日がマスタと相違／","")&amp;IF(AND($M262&lt;&gt;"",INDEX(職員マスタ!$H$6:$H$405,$AP262)&lt;&gt;"",$M262&lt;&gt;INDEX(職員マスタ!$H$6:$H$405,$AP262)),"時短終了日がマスタと相違／","")))&amp;IF(AND($B262&lt;&gt;"",$E262=""),"報酬額が未入力／","")&amp;IF(N($U262)&gt;0,"申請書に入力エラーが残っています／","")&amp;IF(AND($B262&lt;&gt;"",$AQ262&lt;&gt;""),IF(COUNTIFS($B$6:$B$3005,$B262,$C$6:$C$3005,$C262,$D$6:$D$3005,$D262)&gt;1,"同じ月の請求が重複しています／",""),"")&amp;IF(AND(N($E262)&gt;0,$AB262&lt;&gt;"",$AB262&lt;&gt;"×",$AE262=0,$AD262=""),"計算額が下限以下のため不支給／",""))</f>
        <v/>
      </c>
      <c r="AN262" s="12" t="n"/>
      <c r="AO262" s="14">
        <f>IF($AF262="保留中",COUNTIF($AF$6:$AF262,"保留中"),"")</f>
        <v/>
      </c>
      <c r="AP262" s="14">
        <f>IF($AQ262="","",IF(SUMPRODUCT(MAX((職員マスタ!$A$6:$A$405=$B262)*(((職員マスタ!$G$6:$G$405="")+(職員マスタ!$G$6:$G$405&lt;=EOMONTH($AQ262,0)))&gt;0)*(((職員マスタ!$H$6:$H$405="")+(職員マスタ!$H$6:$H$405&gt;=$AQ262))&gt;0)*(ROW(職員マスタ!$A$6:$A$405)-5)))&gt;0,SUMPRODUCT(MAX((職員マスタ!$A$6:$A$405=$B262)*(((職員マスタ!$G$6:$G$405="")+(職員マスタ!$G$6:$G$405&lt;=EOMONTH($AQ262,0)))&gt;0)*(((職員マスタ!$H$6:$H$405="")+(職員マスタ!$H$6:$H$405&gt;=$AQ262))&gt;0)*(ROW(職員マスタ!$A$6:$A$405)-5))),IFERROR(MATCH($B262,職員マスタ!$A$6:$A$405,0),"")))</f>
        <v/>
      </c>
      <c r="AQ262" s="16">
        <f>IF(OR($B262="",$C262="",$D262=""),"",DATE($C262+2018,$D262,1))</f>
        <v/>
      </c>
    </row>
    <row r="263">
      <c r="A263" s="11" t="n"/>
      <c r="B263" s="12" t="n">
        <v>6602502</v>
      </c>
      <c r="C263" s="12" t="n">
        <v>8</v>
      </c>
      <c r="D263" s="12" t="n">
        <v>4</v>
      </c>
      <c r="E263" s="13" t="n">
        <v>293274</v>
      </c>
      <c r="F263" s="12" t="n"/>
      <c r="G263" s="13" t="n"/>
      <c r="H263" s="12" t="n"/>
      <c r="I263" s="12" t="n"/>
      <c r="J263" s="12" t="n"/>
      <c r="K263" s="12" t="n"/>
      <c r="L263" s="11" t="n"/>
      <c r="M263" s="11" t="n"/>
      <c r="N263" s="11" t="n"/>
      <c r="O263" s="11" t="n"/>
      <c r="P263" s="12" t="n"/>
      <c r="Q263" s="11" t="n"/>
      <c r="R263" s="12" t="n"/>
      <c r="S263" s="11" t="n"/>
      <c r="T263" s="12" t="n"/>
      <c r="U263" s="12" t="n"/>
      <c r="V263" s="12" t="n"/>
      <c r="W263" s="13" t="n"/>
      <c r="X263" s="14">
        <f>IF($AP263="",IF($B263="","",$H263),IF(INDEX(職員マスタ!$B$6:$B$405,$AP263)="",$H263,INDEX(職員マスタ!$B$6:$B$405,$AP263)))</f>
        <v/>
      </c>
      <c r="Y263" s="14">
        <f>IF($AP263="",IF($B263="","",$R263),IF(INDEX(職員マスタ!$C$6:$C$405,$AP263)="",$R263,INDEX(職員マスタ!$C$6:$C$405,$AP263)))</f>
        <v/>
      </c>
      <c r="Z263" s="14">
        <f>IF($AQ263="","","R"&amp;$C263&amp;"."&amp;$D263)</f>
        <v/>
      </c>
      <c r="AA263" s="15">
        <f>IF(IF($AP263="",FALSE,INDEX(職員マスタ!$K$6:$K$405,$AP263)&lt;&gt;""),INDEX(職員マスタ!$K$6:$K$405,$AP263),IF(N($W263)&gt;0,$W263,""))</f>
        <v/>
      </c>
      <c r="AB263" s="14">
        <f>IF(OR($E263="",$AA263=""),"",IF($E263&gt;=$AA263,"×",IF($E263&gt;=$AA263*設定!$C$5,"△","○")))</f>
        <v/>
      </c>
      <c r="AC263" s="15">
        <f>IF($AB263="","",IF($AB263="×",0,IF($AB263="○",ROUNDDOWN($E263*設定!$C$4,0),ROUNDDOWN($E263*ROUND((9*$AA263-9*$E263)/(10*$E263),4),0))))</f>
        <v/>
      </c>
      <c r="AD263" s="13" t="n"/>
      <c r="AE263" s="15">
        <f>IF($B263="","",IF($AD263&lt;&gt;"",$AD263,IF($AC263="","",IF($AC263&lt;=設定!$C$3,0,$AC263))))</f>
        <v/>
      </c>
      <c r="AF263" s="14">
        <f>IF($B263="","",IF(AND($AG263&lt;&gt;"",$AI263="",$AL263=""),"保留中",IF($AL263&lt;&gt;"",IF(N($AE263)&gt;0,"支給済","不支給"),IF($AE263="","要確認",IF($AE263=0,"不支給","未処理")))))</f>
        <v/>
      </c>
      <c r="AG263" s="12" t="n"/>
      <c r="AH263" s="11" t="n"/>
      <c r="AI263" s="11" t="n"/>
      <c r="AJ263" s="11" t="n"/>
      <c r="AK263" s="14">
        <f>IF(AND($AF263="保留中",$AH263&lt;&gt;""),TODAY()-$AH263,"")</f>
        <v/>
      </c>
      <c r="AL263" s="12" t="inlineStr">
        <is>
          <t>R8.10</t>
        </is>
      </c>
      <c r="AM263" s="14">
        <f>IF($B263="","",IF($AQ263="","対象年月が未入力／","")&amp;IF($B263="","",IF($AP263="","職員マスタに未登録の職員番号／",IF($AA263="","標準報酬月額が未登録／","")&amp;IF(AND($AQ263&lt;&gt;"",OR(AND(INDEX(職員マスタ!$G$6:$G$405,$AP263)&lt;&gt;"",INDEX(職員マスタ!$G$6:$G$405,$AP263)&gt;EOMONTH($AQ263,0)),AND(INDEX(職員マスタ!$H$6:$H$405,$AP263)&lt;&gt;"",INDEX(職員マスタ!$H$6:$H$405,$AP263)&lt;$AQ263))),"対象月が時短期間外／","")&amp;IF(AND(INDEX(職員マスタ!$K$6:$K$405,$AP263)&lt;&gt;"",N($W263)&gt;0,INDEX(職員マスタ!$K$6:$K$405,$AP263)&lt;&gt;$W263),"標準報酬月額が申請書と相違（台帳"&amp;TEXT(INDEX(職員マスタ!$K$6:$K$405,$AP263),"#,##0")&amp;"円／申請書"&amp;TEXT($W263,"#,##0")&amp;"円）／","")&amp;IF(AND(INDEX(職員マスタ!$F$6:$F$405,$AP263)&lt;&gt;"",$AQ263&lt;&gt;"",INDEX(職員マスタ!$F$6:$F$405,$AP263)&lt;$AQ263),"対象月に子が2歳到達済／","")&amp;IF(AND($H263&lt;&gt;"",INDEX(職員マスタ!$B$6:$B$405,$AP263)&lt;&gt;"",SUBSTITUTE(SUBSTITUTE($H263," ","")," ","")&lt;&gt;SUBSTITUTE(SUBSTITUTE(INDEX(職員マスタ!$B$6:$B$405,$AP263)," ","")," ","")),"氏名がマスタと相違／","")&amp;IF(AND($Q263&lt;&gt;"",INDEX(職員マスタ!$E$6:$E$405,$AP263)&lt;&gt;"",$Q263&lt;&gt;INDEX(職員マスタ!$E$6:$E$405,$AP263)),"子の生年月日がマスタと相違／","")&amp;IF(AND($L263&lt;&gt;"",INDEX(職員マスタ!$G$6:$G$405,$AP263)&lt;&gt;"",$L263&lt;&gt;INDEX(職員マスタ!$G$6:$G$405,$AP263)),"時短開始日がマスタと相違／","")&amp;IF(AND($M263&lt;&gt;"",INDEX(職員マスタ!$H$6:$H$405,$AP263)&lt;&gt;"",$M263&lt;&gt;INDEX(職員マスタ!$H$6:$H$405,$AP263)),"時短終了日がマスタと相違／","")))&amp;IF(AND($B263&lt;&gt;"",$E263=""),"報酬額が未入力／","")&amp;IF(N($U263)&gt;0,"申請書に入力エラーが残っています／","")&amp;IF(AND($B263&lt;&gt;"",$AQ263&lt;&gt;""),IF(COUNTIFS($B$6:$B$3005,$B263,$C$6:$C$3005,$C263,$D$6:$D$3005,$D263)&gt;1,"同じ月の請求が重複しています／",""),"")&amp;IF(AND(N($E263)&gt;0,$AB263&lt;&gt;"",$AB263&lt;&gt;"×",$AE263=0,$AD263=""),"計算額が下限以下のため不支給／",""))</f>
        <v/>
      </c>
      <c r="AN263" s="12" t="n"/>
      <c r="AO263" s="14">
        <f>IF($AF263="保留中",COUNTIF($AF$6:$AF263,"保留中"),"")</f>
        <v/>
      </c>
      <c r="AP263" s="14">
        <f>IF($AQ263="","",IF(SUMPRODUCT(MAX((職員マスタ!$A$6:$A$405=$B263)*(((職員マスタ!$G$6:$G$405="")+(職員マスタ!$G$6:$G$405&lt;=EOMONTH($AQ263,0)))&gt;0)*(((職員マスタ!$H$6:$H$405="")+(職員マスタ!$H$6:$H$405&gt;=$AQ263))&gt;0)*(ROW(職員マスタ!$A$6:$A$405)-5)))&gt;0,SUMPRODUCT(MAX((職員マスタ!$A$6:$A$405=$B263)*(((職員マスタ!$G$6:$G$405="")+(職員マスタ!$G$6:$G$405&lt;=EOMONTH($AQ263,0)))&gt;0)*(((職員マスタ!$H$6:$H$405="")+(職員マスタ!$H$6:$H$405&gt;=$AQ263))&gt;0)*(ROW(職員マスタ!$A$6:$A$405)-5))),IFERROR(MATCH($B263,職員マスタ!$A$6:$A$405,0),"")))</f>
        <v/>
      </c>
      <c r="AQ263" s="16">
        <f>IF(OR($B263="",$C263="",$D263=""),"",DATE($C263+2018,$D263,1))</f>
        <v/>
      </c>
    </row>
    <row r="264">
      <c r="A264" s="11" t="n"/>
      <c r="B264" s="12" t="n">
        <v>6602502</v>
      </c>
      <c r="C264" s="12" t="n">
        <v>8</v>
      </c>
      <c r="D264" s="12" t="n">
        <v>5</v>
      </c>
      <c r="E264" s="13" t="n">
        <v>295776</v>
      </c>
      <c r="F264" s="12" t="n"/>
      <c r="G264" s="13" t="n"/>
      <c r="H264" s="12" t="n"/>
      <c r="I264" s="12" t="n"/>
      <c r="J264" s="12" t="n"/>
      <c r="K264" s="12" t="n"/>
      <c r="L264" s="11" t="n"/>
      <c r="M264" s="11" t="n"/>
      <c r="N264" s="11" t="n"/>
      <c r="O264" s="11" t="n"/>
      <c r="P264" s="12" t="n"/>
      <c r="Q264" s="11" t="n"/>
      <c r="R264" s="12" t="n"/>
      <c r="S264" s="11" t="n"/>
      <c r="T264" s="12" t="n"/>
      <c r="U264" s="12" t="n"/>
      <c r="V264" s="12" t="n"/>
      <c r="W264" s="13" t="n"/>
      <c r="X264" s="14">
        <f>IF($AP264="",IF($B264="","",$H264),IF(INDEX(職員マスタ!$B$6:$B$405,$AP264)="",$H264,INDEX(職員マスタ!$B$6:$B$405,$AP264)))</f>
        <v/>
      </c>
      <c r="Y264" s="14">
        <f>IF($AP264="",IF($B264="","",$R264),IF(INDEX(職員マスタ!$C$6:$C$405,$AP264)="",$R264,INDEX(職員マスタ!$C$6:$C$405,$AP264)))</f>
        <v/>
      </c>
      <c r="Z264" s="14">
        <f>IF($AQ264="","","R"&amp;$C264&amp;"."&amp;$D264)</f>
        <v/>
      </c>
      <c r="AA264" s="15">
        <f>IF(IF($AP264="",FALSE,INDEX(職員マスタ!$K$6:$K$405,$AP264)&lt;&gt;""),INDEX(職員マスタ!$K$6:$K$405,$AP264),IF(N($W264)&gt;0,$W264,""))</f>
        <v/>
      </c>
      <c r="AB264" s="14">
        <f>IF(OR($E264="",$AA264=""),"",IF($E264&gt;=$AA264,"×",IF($E264&gt;=$AA264*設定!$C$5,"△","○")))</f>
        <v/>
      </c>
      <c r="AC264" s="15">
        <f>IF($AB264="","",IF($AB264="×",0,IF($AB264="○",ROUNDDOWN($E264*設定!$C$4,0),ROUNDDOWN($E264*ROUND((9*$AA264-9*$E264)/(10*$E264),4),0))))</f>
        <v/>
      </c>
      <c r="AD264" s="13" t="n"/>
      <c r="AE264" s="15">
        <f>IF($B264="","",IF($AD264&lt;&gt;"",$AD264,IF($AC264="","",IF($AC264&lt;=設定!$C$3,0,$AC264))))</f>
        <v/>
      </c>
      <c r="AF264" s="14">
        <f>IF($B264="","",IF(AND($AG264&lt;&gt;"",$AI264="",$AL264=""),"保留中",IF($AL264&lt;&gt;"",IF(N($AE264)&gt;0,"支給済","不支給"),IF($AE264="","要確認",IF($AE264=0,"不支給","未処理")))))</f>
        <v/>
      </c>
      <c r="AG264" s="12" t="n"/>
      <c r="AH264" s="11" t="n"/>
      <c r="AI264" s="11" t="n"/>
      <c r="AJ264" s="11" t="n"/>
      <c r="AK264" s="14">
        <f>IF(AND($AF264="保留中",$AH264&lt;&gt;""),TODAY()-$AH264,"")</f>
        <v/>
      </c>
      <c r="AL264" s="12" t="inlineStr">
        <is>
          <t>R8.10</t>
        </is>
      </c>
      <c r="AM264" s="14">
        <f>IF($B264="","",IF($AQ264="","対象年月が未入力／","")&amp;IF($B264="","",IF($AP264="","職員マスタに未登録の職員番号／",IF($AA264="","標準報酬月額が未登録／","")&amp;IF(AND($AQ264&lt;&gt;"",OR(AND(INDEX(職員マスタ!$G$6:$G$405,$AP264)&lt;&gt;"",INDEX(職員マスタ!$G$6:$G$405,$AP264)&gt;EOMONTH($AQ264,0)),AND(INDEX(職員マスタ!$H$6:$H$405,$AP264)&lt;&gt;"",INDEX(職員マスタ!$H$6:$H$405,$AP264)&lt;$AQ264))),"対象月が時短期間外／","")&amp;IF(AND(INDEX(職員マスタ!$K$6:$K$405,$AP264)&lt;&gt;"",N($W264)&gt;0,INDEX(職員マスタ!$K$6:$K$405,$AP264)&lt;&gt;$W264),"標準報酬月額が申請書と相違（台帳"&amp;TEXT(INDEX(職員マスタ!$K$6:$K$405,$AP264),"#,##0")&amp;"円／申請書"&amp;TEXT($W264,"#,##0")&amp;"円）／","")&amp;IF(AND(INDEX(職員マスタ!$F$6:$F$405,$AP264)&lt;&gt;"",$AQ264&lt;&gt;"",INDEX(職員マスタ!$F$6:$F$405,$AP264)&lt;$AQ264),"対象月に子が2歳到達済／","")&amp;IF(AND($H264&lt;&gt;"",INDEX(職員マスタ!$B$6:$B$405,$AP264)&lt;&gt;"",SUBSTITUTE(SUBSTITUTE($H264," ","")," ","")&lt;&gt;SUBSTITUTE(SUBSTITUTE(INDEX(職員マスタ!$B$6:$B$405,$AP264)," ","")," ","")),"氏名がマスタと相違／","")&amp;IF(AND($Q264&lt;&gt;"",INDEX(職員マスタ!$E$6:$E$405,$AP264)&lt;&gt;"",$Q264&lt;&gt;INDEX(職員マスタ!$E$6:$E$405,$AP264)),"子の生年月日がマスタと相違／","")&amp;IF(AND($L264&lt;&gt;"",INDEX(職員マスタ!$G$6:$G$405,$AP264)&lt;&gt;"",$L264&lt;&gt;INDEX(職員マスタ!$G$6:$G$405,$AP264)),"時短開始日がマスタと相違／","")&amp;IF(AND($M264&lt;&gt;"",INDEX(職員マスタ!$H$6:$H$405,$AP264)&lt;&gt;"",$M264&lt;&gt;INDEX(職員マスタ!$H$6:$H$405,$AP264)),"時短終了日がマスタと相違／","")))&amp;IF(AND($B264&lt;&gt;"",$E264=""),"報酬額が未入力／","")&amp;IF(N($U264)&gt;0,"申請書に入力エラーが残っています／","")&amp;IF(AND($B264&lt;&gt;"",$AQ264&lt;&gt;""),IF(COUNTIFS($B$6:$B$3005,$B264,$C$6:$C$3005,$C264,$D$6:$D$3005,$D264)&gt;1,"同じ月の請求が重複しています／",""),"")&amp;IF(AND(N($E264)&gt;0,$AB264&lt;&gt;"",$AB264&lt;&gt;"×",$AE264=0,$AD264=""),"計算額が下限以下のため不支給／",""))</f>
        <v/>
      </c>
      <c r="AN264" s="12" t="n"/>
      <c r="AO264" s="14">
        <f>IF($AF264="保留中",COUNTIF($AF$6:$AF264,"保留中"),"")</f>
        <v/>
      </c>
      <c r="AP264" s="14">
        <f>IF($AQ264="","",IF(SUMPRODUCT(MAX((職員マスタ!$A$6:$A$405=$B264)*(((職員マスタ!$G$6:$G$405="")+(職員マスタ!$G$6:$G$405&lt;=EOMONTH($AQ264,0)))&gt;0)*(((職員マスタ!$H$6:$H$405="")+(職員マスタ!$H$6:$H$405&gt;=$AQ264))&gt;0)*(ROW(職員マスタ!$A$6:$A$405)-5)))&gt;0,SUMPRODUCT(MAX((職員マスタ!$A$6:$A$405=$B264)*(((職員マスタ!$G$6:$G$405="")+(職員マスタ!$G$6:$G$405&lt;=EOMONTH($AQ264,0)))&gt;0)*(((職員マスタ!$H$6:$H$405="")+(職員マスタ!$H$6:$H$405&gt;=$AQ264))&gt;0)*(ROW(職員マスタ!$A$6:$A$405)-5))),IFERROR(MATCH($B264,職員マスタ!$A$6:$A$405,0),"")))</f>
        <v/>
      </c>
      <c r="AQ264" s="16">
        <f>IF(OR($B264="",$C264="",$D264=""),"",DATE($C264+2018,$D264,1))</f>
        <v/>
      </c>
    </row>
    <row r="265">
      <c r="A265" s="11" t="n"/>
      <c r="B265" s="12" t="n">
        <v>6602502</v>
      </c>
      <c r="C265" s="12" t="n">
        <v>8</v>
      </c>
      <c r="D265" s="12" t="n">
        <v>6</v>
      </c>
      <c r="E265" s="13" t="n">
        <v>298278</v>
      </c>
      <c r="F265" s="12" t="n"/>
      <c r="G265" s="13" t="n"/>
      <c r="H265" s="12" t="n"/>
      <c r="I265" s="12" t="n"/>
      <c r="J265" s="12" t="n"/>
      <c r="K265" s="12" t="n"/>
      <c r="L265" s="11" t="n"/>
      <c r="M265" s="11" t="n"/>
      <c r="N265" s="11" t="n"/>
      <c r="O265" s="11" t="n"/>
      <c r="P265" s="12" t="n"/>
      <c r="Q265" s="11" t="n"/>
      <c r="R265" s="12" t="n"/>
      <c r="S265" s="11" t="n"/>
      <c r="T265" s="12" t="n"/>
      <c r="U265" s="12" t="n"/>
      <c r="V265" s="12" t="n"/>
      <c r="W265" s="13" t="n"/>
      <c r="X265" s="14">
        <f>IF($AP265="",IF($B265="","",$H265),IF(INDEX(職員マスタ!$B$6:$B$405,$AP265)="",$H265,INDEX(職員マスタ!$B$6:$B$405,$AP265)))</f>
        <v/>
      </c>
      <c r="Y265" s="14">
        <f>IF($AP265="",IF($B265="","",$R265),IF(INDEX(職員マスタ!$C$6:$C$405,$AP265)="",$R265,INDEX(職員マスタ!$C$6:$C$405,$AP265)))</f>
        <v/>
      </c>
      <c r="Z265" s="14">
        <f>IF($AQ265="","","R"&amp;$C265&amp;"."&amp;$D265)</f>
        <v/>
      </c>
      <c r="AA265" s="15">
        <f>IF(IF($AP265="",FALSE,INDEX(職員マスタ!$K$6:$K$405,$AP265)&lt;&gt;""),INDEX(職員マスタ!$K$6:$K$405,$AP265),IF(N($W265)&gt;0,$W265,""))</f>
        <v/>
      </c>
      <c r="AB265" s="14">
        <f>IF(OR($E265="",$AA265=""),"",IF($E265&gt;=$AA265,"×",IF($E265&gt;=$AA265*設定!$C$5,"△","○")))</f>
        <v/>
      </c>
      <c r="AC265" s="15">
        <f>IF($AB265="","",IF($AB265="×",0,IF($AB265="○",ROUNDDOWN($E265*設定!$C$4,0),ROUNDDOWN($E265*ROUND((9*$AA265-9*$E265)/(10*$E265),4),0))))</f>
        <v/>
      </c>
      <c r="AD265" s="13" t="n"/>
      <c r="AE265" s="15">
        <f>IF($B265="","",IF($AD265&lt;&gt;"",$AD265,IF($AC265="","",IF($AC265&lt;=設定!$C$3,0,$AC265))))</f>
        <v/>
      </c>
      <c r="AF265" s="14">
        <f>IF($B265="","",IF(AND($AG265&lt;&gt;"",$AI265="",$AL265=""),"保留中",IF($AL265&lt;&gt;"",IF(N($AE265)&gt;0,"支給済","不支給"),IF($AE265="","要確認",IF($AE265=0,"不支給","未処理")))))</f>
        <v/>
      </c>
      <c r="AG265" s="12" t="n"/>
      <c r="AH265" s="11" t="n"/>
      <c r="AI265" s="11" t="n"/>
      <c r="AJ265" s="11" t="n"/>
      <c r="AK265" s="14">
        <f>IF(AND($AF265="保留中",$AH265&lt;&gt;""),TODAY()-$AH265,"")</f>
        <v/>
      </c>
      <c r="AL265" s="12" t="inlineStr">
        <is>
          <t>R8.10</t>
        </is>
      </c>
      <c r="AM265" s="14">
        <f>IF($B265="","",IF($AQ265="","対象年月が未入力／","")&amp;IF($B265="","",IF($AP265="","職員マスタに未登録の職員番号／",IF($AA265="","標準報酬月額が未登録／","")&amp;IF(AND($AQ265&lt;&gt;"",OR(AND(INDEX(職員マスタ!$G$6:$G$405,$AP265)&lt;&gt;"",INDEX(職員マスタ!$G$6:$G$405,$AP265)&gt;EOMONTH($AQ265,0)),AND(INDEX(職員マスタ!$H$6:$H$405,$AP265)&lt;&gt;"",INDEX(職員マスタ!$H$6:$H$405,$AP265)&lt;$AQ265))),"対象月が時短期間外／","")&amp;IF(AND(INDEX(職員マスタ!$K$6:$K$405,$AP265)&lt;&gt;"",N($W265)&gt;0,INDEX(職員マスタ!$K$6:$K$405,$AP265)&lt;&gt;$W265),"標準報酬月額が申請書と相違（台帳"&amp;TEXT(INDEX(職員マスタ!$K$6:$K$405,$AP265),"#,##0")&amp;"円／申請書"&amp;TEXT($W265,"#,##0")&amp;"円）／","")&amp;IF(AND(INDEX(職員マスタ!$F$6:$F$405,$AP265)&lt;&gt;"",$AQ265&lt;&gt;"",INDEX(職員マスタ!$F$6:$F$405,$AP265)&lt;$AQ265),"対象月に子が2歳到達済／","")&amp;IF(AND($H265&lt;&gt;"",INDEX(職員マスタ!$B$6:$B$405,$AP265)&lt;&gt;"",SUBSTITUTE(SUBSTITUTE($H265," ","")," ","")&lt;&gt;SUBSTITUTE(SUBSTITUTE(INDEX(職員マスタ!$B$6:$B$405,$AP265)," ","")," ","")),"氏名がマスタと相違／","")&amp;IF(AND($Q265&lt;&gt;"",INDEX(職員マスタ!$E$6:$E$405,$AP265)&lt;&gt;"",$Q265&lt;&gt;INDEX(職員マスタ!$E$6:$E$405,$AP265)),"子の生年月日がマスタと相違／","")&amp;IF(AND($L265&lt;&gt;"",INDEX(職員マスタ!$G$6:$G$405,$AP265)&lt;&gt;"",$L265&lt;&gt;INDEX(職員マスタ!$G$6:$G$405,$AP265)),"時短開始日がマスタと相違／","")&amp;IF(AND($M265&lt;&gt;"",INDEX(職員マスタ!$H$6:$H$405,$AP265)&lt;&gt;"",$M265&lt;&gt;INDEX(職員マスタ!$H$6:$H$405,$AP265)),"時短終了日がマスタと相違／","")))&amp;IF(AND($B265&lt;&gt;"",$E265=""),"報酬額が未入力／","")&amp;IF(N($U265)&gt;0,"申請書に入力エラーが残っています／","")&amp;IF(AND($B265&lt;&gt;"",$AQ265&lt;&gt;""),IF(COUNTIFS($B$6:$B$3005,$B265,$C$6:$C$3005,$C265,$D$6:$D$3005,$D265)&gt;1,"同じ月の請求が重複しています／",""),"")&amp;IF(AND(N($E265)&gt;0,$AB265&lt;&gt;"",$AB265&lt;&gt;"×",$AE265=0,$AD265=""),"計算額が下限以下のため不支給／",""))</f>
        <v/>
      </c>
      <c r="AN265" s="12" t="n"/>
      <c r="AO265" s="14">
        <f>IF($AF265="保留中",COUNTIF($AF$6:$AF265,"保留中"),"")</f>
        <v/>
      </c>
      <c r="AP265" s="14">
        <f>IF($AQ265="","",IF(SUMPRODUCT(MAX((職員マスタ!$A$6:$A$405=$B265)*(((職員マスタ!$G$6:$G$405="")+(職員マスタ!$G$6:$G$405&lt;=EOMONTH($AQ265,0)))&gt;0)*(((職員マスタ!$H$6:$H$405="")+(職員マスタ!$H$6:$H$405&gt;=$AQ265))&gt;0)*(ROW(職員マスタ!$A$6:$A$405)-5)))&gt;0,SUMPRODUCT(MAX((職員マスタ!$A$6:$A$405=$B265)*(((職員マスタ!$G$6:$G$405="")+(職員マスタ!$G$6:$G$405&lt;=EOMONTH($AQ265,0)))&gt;0)*(((職員マスタ!$H$6:$H$405="")+(職員マスタ!$H$6:$H$405&gt;=$AQ265))&gt;0)*(ROW(職員マスタ!$A$6:$A$405)-5))),IFERROR(MATCH($B265,職員マスタ!$A$6:$A$405,0),"")))</f>
        <v/>
      </c>
      <c r="AQ265" s="16">
        <f>IF(OR($B265="",$C265="",$D265=""),"",DATE($C265+2018,$D265,1))</f>
        <v/>
      </c>
    </row>
    <row r="266">
      <c r="A266" s="11" t="n"/>
      <c r="B266" s="12" t="n">
        <v>6602502</v>
      </c>
      <c r="C266" s="12" t="n">
        <v>8</v>
      </c>
      <c r="D266" s="12" t="n">
        <v>8</v>
      </c>
      <c r="E266" s="13" t="n">
        <v>293274</v>
      </c>
      <c r="F266" s="12" t="n"/>
      <c r="G266" s="13" t="n"/>
      <c r="H266" s="12" t="n"/>
      <c r="I266" s="12" t="n"/>
      <c r="J266" s="12" t="n"/>
      <c r="K266" s="12" t="n"/>
      <c r="L266" s="11" t="n"/>
      <c r="M266" s="11" t="n"/>
      <c r="N266" s="11" t="n"/>
      <c r="O266" s="11" t="n"/>
      <c r="P266" s="12" t="n"/>
      <c r="Q266" s="11" t="n"/>
      <c r="R266" s="12" t="n"/>
      <c r="S266" s="11" t="n"/>
      <c r="T266" s="12" t="n"/>
      <c r="U266" s="12" t="n"/>
      <c r="V266" s="12" t="n"/>
      <c r="W266" s="13" t="n"/>
      <c r="X266" s="14">
        <f>IF($AP266="",IF($B266="","",$H266),IF(INDEX(職員マスタ!$B$6:$B$405,$AP266)="",$H266,INDEX(職員マスタ!$B$6:$B$405,$AP266)))</f>
        <v/>
      </c>
      <c r="Y266" s="14">
        <f>IF($AP266="",IF($B266="","",$R266),IF(INDEX(職員マスタ!$C$6:$C$405,$AP266)="",$R266,INDEX(職員マスタ!$C$6:$C$405,$AP266)))</f>
        <v/>
      </c>
      <c r="Z266" s="14">
        <f>IF($AQ266="","","R"&amp;$C266&amp;"."&amp;$D266)</f>
        <v/>
      </c>
      <c r="AA266" s="15">
        <f>IF(IF($AP266="",FALSE,INDEX(職員マスタ!$K$6:$K$405,$AP266)&lt;&gt;""),INDEX(職員マスタ!$K$6:$K$405,$AP266),IF(N($W266)&gt;0,$W266,""))</f>
        <v/>
      </c>
      <c r="AB266" s="14">
        <f>IF(OR($E266="",$AA266=""),"",IF($E266&gt;=$AA266,"×",IF($E266&gt;=$AA266*設定!$C$5,"△","○")))</f>
        <v/>
      </c>
      <c r="AC266" s="15">
        <f>IF($AB266="","",IF($AB266="×",0,IF($AB266="○",ROUNDDOWN($E266*設定!$C$4,0),ROUNDDOWN($E266*ROUND((9*$AA266-9*$E266)/(10*$E266),4),0))))</f>
        <v/>
      </c>
      <c r="AD266" s="13" t="n"/>
      <c r="AE266" s="15">
        <f>IF($B266="","",IF($AD266&lt;&gt;"",$AD266,IF($AC266="","",IF($AC266&lt;=設定!$C$3,0,$AC266))))</f>
        <v/>
      </c>
      <c r="AF266" s="14">
        <f>IF($B266="","",IF(AND($AG266&lt;&gt;"",$AI266="",$AL266=""),"保留中",IF($AL266&lt;&gt;"",IF(N($AE266)&gt;0,"支給済","不支給"),IF($AE266="","要確認",IF($AE266=0,"不支給","未処理")))))</f>
        <v/>
      </c>
      <c r="AG266" s="12" t="n"/>
      <c r="AH266" s="11" t="n"/>
      <c r="AI266" s="11" t="n"/>
      <c r="AJ266" s="11" t="n"/>
      <c r="AK266" s="14">
        <f>IF(AND($AF266="保留中",$AH266&lt;&gt;""),TODAY()-$AH266,"")</f>
        <v/>
      </c>
      <c r="AL266" s="12" t="inlineStr">
        <is>
          <t>R8.10</t>
        </is>
      </c>
      <c r="AM266" s="14">
        <f>IF($B266="","",IF($AQ266="","対象年月が未入力／","")&amp;IF($B266="","",IF($AP266="","職員マスタに未登録の職員番号／",IF($AA266="","標準報酬月額が未登録／","")&amp;IF(AND($AQ266&lt;&gt;"",OR(AND(INDEX(職員マスタ!$G$6:$G$405,$AP266)&lt;&gt;"",INDEX(職員マスタ!$G$6:$G$405,$AP266)&gt;EOMONTH($AQ266,0)),AND(INDEX(職員マスタ!$H$6:$H$405,$AP266)&lt;&gt;"",INDEX(職員マスタ!$H$6:$H$405,$AP266)&lt;$AQ266))),"対象月が時短期間外／","")&amp;IF(AND(INDEX(職員マスタ!$K$6:$K$405,$AP266)&lt;&gt;"",N($W266)&gt;0,INDEX(職員マスタ!$K$6:$K$405,$AP266)&lt;&gt;$W266),"標準報酬月額が申請書と相違（台帳"&amp;TEXT(INDEX(職員マスタ!$K$6:$K$405,$AP266),"#,##0")&amp;"円／申請書"&amp;TEXT($W266,"#,##0")&amp;"円）／","")&amp;IF(AND(INDEX(職員マスタ!$F$6:$F$405,$AP266)&lt;&gt;"",$AQ266&lt;&gt;"",INDEX(職員マスタ!$F$6:$F$405,$AP266)&lt;$AQ266),"対象月に子が2歳到達済／","")&amp;IF(AND($H266&lt;&gt;"",INDEX(職員マスタ!$B$6:$B$405,$AP266)&lt;&gt;"",SUBSTITUTE(SUBSTITUTE($H266," ","")," ","")&lt;&gt;SUBSTITUTE(SUBSTITUTE(INDEX(職員マスタ!$B$6:$B$405,$AP266)," ","")," ","")),"氏名がマスタと相違／","")&amp;IF(AND($Q266&lt;&gt;"",INDEX(職員マスタ!$E$6:$E$405,$AP266)&lt;&gt;"",$Q266&lt;&gt;INDEX(職員マスタ!$E$6:$E$405,$AP266)),"子の生年月日がマスタと相違／","")&amp;IF(AND($L266&lt;&gt;"",INDEX(職員マスタ!$G$6:$G$405,$AP266)&lt;&gt;"",$L266&lt;&gt;INDEX(職員マスタ!$G$6:$G$405,$AP266)),"時短開始日がマスタと相違／","")&amp;IF(AND($M266&lt;&gt;"",INDEX(職員マスタ!$H$6:$H$405,$AP266)&lt;&gt;"",$M266&lt;&gt;INDEX(職員マスタ!$H$6:$H$405,$AP266)),"時短終了日がマスタと相違／","")))&amp;IF(AND($B266&lt;&gt;"",$E266=""),"報酬額が未入力／","")&amp;IF(N($U266)&gt;0,"申請書に入力エラーが残っています／","")&amp;IF(AND($B266&lt;&gt;"",$AQ266&lt;&gt;""),IF(COUNTIFS($B$6:$B$3005,$B266,$C$6:$C$3005,$C266,$D$6:$D$3005,$D266)&gt;1,"同じ月の請求が重複しています／",""),"")&amp;IF(AND(N($E266)&gt;0,$AB266&lt;&gt;"",$AB266&lt;&gt;"×",$AE266=0,$AD266=""),"計算額が下限以下のため不支給／",""))</f>
        <v/>
      </c>
      <c r="AN266" s="12" t="n"/>
      <c r="AO266" s="14">
        <f>IF($AF266="保留中",COUNTIF($AF$6:$AF266,"保留中"),"")</f>
        <v/>
      </c>
      <c r="AP266" s="14">
        <f>IF($AQ266="","",IF(SUMPRODUCT(MAX((職員マスタ!$A$6:$A$405=$B266)*(((職員マスタ!$G$6:$G$405="")+(職員マスタ!$G$6:$G$405&lt;=EOMONTH($AQ266,0)))&gt;0)*(((職員マスタ!$H$6:$H$405="")+(職員マスタ!$H$6:$H$405&gt;=$AQ266))&gt;0)*(ROW(職員マスタ!$A$6:$A$405)-5)))&gt;0,SUMPRODUCT(MAX((職員マスタ!$A$6:$A$405=$B266)*(((職員マスタ!$G$6:$G$405="")+(職員マスタ!$G$6:$G$405&lt;=EOMONTH($AQ266,0)))&gt;0)*(((職員マスタ!$H$6:$H$405="")+(職員マスタ!$H$6:$H$405&gt;=$AQ266))&gt;0)*(ROW(職員マスタ!$A$6:$A$405)-5))),IFERROR(MATCH($B266,職員マスタ!$A$6:$A$405,0),"")))</f>
        <v/>
      </c>
      <c r="AQ266" s="16">
        <f>IF(OR($B266="",$C266="",$D266=""),"",DATE($C266+2018,$D266,1))</f>
        <v/>
      </c>
    </row>
    <row r="267">
      <c r="A267" s="11" t="n"/>
      <c r="B267" s="12" t="n">
        <v>6602536</v>
      </c>
      <c r="C267" s="12" t="n">
        <v>7</v>
      </c>
      <c r="D267" s="12" t="n">
        <v>4</v>
      </c>
      <c r="E267" s="13" t="n">
        <v>183726</v>
      </c>
      <c r="F267" s="12" t="n"/>
      <c r="G267" s="13" t="n"/>
      <c r="H267" s="12" t="n"/>
      <c r="I267" s="12" t="n"/>
      <c r="J267" s="12" t="n"/>
      <c r="K267" s="12" t="n"/>
      <c r="L267" s="11" t="n"/>
      <c r="M267" s="11" t="n"/>
      <c r="N267" s="11" t="n"/>
      <c r="O267" s="11" t="n"/>
      <c r="P267" s="12" t="n"/>
      <c r="Q267" s="11" t="n"/>
      <c r="R267" s="12" t="n"/>
      <c r="S267" s="11" t="n"/>
      <c r="T267" s="12" t="n"/>
      <c r="U267" s="12" t="n"/>
      <c r="V267" s="12" t="n"/>
      <c r="W267" s="13" t="n"/>
      <c r="X267" s="14">
        <f>IF($AP267="",IF($B267="","",$H267),IF(INDEX(職員マスタ!$B$6:$B$405,$AP267)="",$H267,INDEX(職員マスタ!$B$6:$B$405,$AP267)))</f>
        <v/>
      </c>
      <c r="Y267" s="14">
        <f>IF($AP267="",IF($B267="","",$R267),IF(INDEX(職員マスタ!$C$6:$C$405,$AP267)="",$R267,INDEX(職員マスタ!$C$6:$C$405,$AP267)))</f>
        <v/>
      </c>
      <c r="Z267" s="14">
        <f>IF($AQ267="","","R"&amp;$C267&amp;"."&amp;$D267)</f>
        <v/>
      </c>
      <c r="AA267" s="15">
        <f>IF(IF($AP267="",FALSE,INDEX(職員マスタ!$K$6:$K$405,$AP267)&lt;&gt;""),INDEX(職員マスタ!$K$6:$K$405,$AP267),IF(N($W267)&gt;0,$W267,""))</f>
        <v/>
      </c>
      <c r="AB267" s="14">
        <f>IF(OR($E267="",$AA267=""),"",IF($E267&gt;=$AA267,"×",IF($E267&gt;=$AA267*設定!$C$5,"△","○")))</f>
        <v/>
      </c>
      <c r="AC267" s="15">
        <f>IF($AB267="","",IF($AB267="×",0,IF($AB267="○",ROUNDDOWN($E267*設定!$C$4,0),ROUNDDOWN($E267*ROUND((9*$AA267-9*$E267)/(10*$E267),4),0))))</f>
        <v/>
      </c>
      <c r="AD267" s="13" t="n"/>
      <c r="AE267" s="15">
        <f>IF($B267="","",IF($AD267&lt;&gt;"",$AD267,IF($AC267="","",IF($AC267&lt;=設定!$C$3,0,$AC267))))</f>
        <v/>
      </c>
      <c r="AF267" s="14">
        <f>IF($B267="","",IF(AND($AG267&lt;&gt;"",$AI267="",$AL267=""),"保留中",IF($AL267&lt;&gt;"",IF(N($AE267)&gt;0,"支給済","不支給"),IF($AE267="","要確認",IF($AE267=0,"不支給","未処理")))))</f>
        <v/>
      </c>
      <c r="AG267" s="12" t="n"/>
      <c r="AH267" s="11" t="n"/>
      <c r="AI267" s="11" t="n"/>
      <c r="AJ267" s="11" t="n"/>
      <c r="AK267" s="14">
        <f>IF(AND($AF267="保留中",$AH267&lt;&gt;""),TODAY()-$AH267,"")</f>
        <v/>
      </c>
      <c r="AL267" s="12" t="inlineStr">
        <is>
          <t>R7.8</t>
        </is>
      </c>
      <c r="AM267" s="14">
        <f>IF($B267="","",IF($AQ267="","対象年月が未入力／","")&amp;IF($B267="","",IF($AP267="","職員マスタに未登録の職員番号／",IF($AA267="","標準報酬月額が未登録／","")&amp;IF(AND($AQ267&lt;&gt;"",OR(AND(INDEX(職員マスタ!$G$6:$G$405,$AP267)&lt;&gt;"",INDEX(職員マスタ!$G$6:$G$405,$AP267)&gt;EOMONTH($AQ267,0)),AND(INDEX(職員マスタ!$H$6:$H$405,$AP267)&lt;&gt;"",INDEX(職員マスタ!$H$6:$H$405,$AP267)&lt;$AQ267))),"対象月が時短期間外／","")&amp;IF(AND(INDEX(職員マスタ!$K$6:$K$405,$AP267)&lt;&gt;"",N($W267)&gt;0,INDEX(職員マスタ!$K$6:$K$405,$AP267)&lt;&gt;$W267),"標準報酬月額が申請書と相違（台帳"&amp;TEXT(INDEX(職員マスタ!$K$6:$K$405,$AP267),"#,##0")&amp;"円／申請書"&amp;TEXT($W267,"#,##0")&amp;"円）／","")&amp;IF(AND(INDEX(職員マスタ!$F$6:$F$405,$AP267)&lt;&gt;"",$AQ267&lt;&gt;"",INDEX(職員マスタ!$F$6:$F$405,$AP267)&lt;$AQ267),"対象月に子が2歳到達済／","")&amp;IF(AND($H267&lt;&gt;"",INDEX(職員マスタ!$B$6:$B$405,$AP267)&lt;&gt;"",SUBSTITUTE(SUBSTITUTE($H267," ","")," ","")&lt;&gt;SUBSTITUTE(SUBSTITUTE(INDEX(職員マスタ!$B$6:$B$405,$AP267)," ","")," ","")),"氏名がマスタと相違／","")&amp;IF(AND($Q267&lt;&gt;"",INDEX(職員マスタ!$E$6:$E$405,$AP267)&lt;&gt;"",$Q267&lt;&gt;INDEX(職員マスタ!$E$6:$E$405,$AP267)),"子の生年月日がマスタと相違／","")&amp;IF(AND($L267&lt;&gt;"",INDEX(職員マスタ!$G$6:$G$405,$AP267)&lt;&gt;"",$L267&lt;&gt;INDEX(職員マスタ!$G$6:$G$405,$AP267)),"時短開始日がマスタと相違／","")&amp;IF(AND($M267&lt;&gt;"",INDEX(職員マスタ!$H$6:$H$405,$AP267)&lt;&gt;"",$M267&lt;&gt;INDEX(職員マスタ!$H$6:$H$405,$AP267)),"時短終了日がマスタと相違／","")))&amp;IF(AND($B267&lt;&gt;"",$E267=""),"報酬額が未入力／","")&amp;IF(N($U267)&gt;0,"申請書に入力エラーが残っています／","")&amp;IF(AND($B267&lt;&gt;"",$AQ267&lt;&gt;""),IF(COUNTIFS($B$6:$B$3005,$B267,$C$6:$C$3005,$C267,$D$6:$D$3005,$D267)&gt;1,"同じ月の請求が重複しています／",""),"")&amp;IF(AND(N($E267)&gt;0,$AB267&lt;&gt;"",$AB267&lt;&gt;"×",$AE267=0,$AD267=""),"計算額が下限以下のため不支給／",""))</f>
        <v/>
      </c>
      <c r="AN267" s="12" t="n"/>
      <c r="AO267" s="14">
        <f>IF($AF267="保留中",COUNTIF($AF$6:$AF267,"保留中"),"")</f>
        <v/>
      </c>
      <c r="AP267" s="14">
        <f>IF($AQ267="","",IF(SUMPRODUCT(MAX((職員マスタ!$A$6:$A$405=$B267)*(((職員マスタ!$G$6:$G$405="")+(職員マスタ!$G$6:$G$405&lt;=EOMONTH($AQ267,0)))&gt;0)*(((職員マスタ!$H$6:$H$405="")+(職員マスタ!$H$6:$H$405&gt;=$AQ267))&gt;0)*(ROW(職員マスタ!$A$6:$A$405)-5)))&gt;0,SUMPRODUCT(MAX((職員マスタ!$A$6:$A$405=$B267)*(((職員マスタ!$G$6:$G$405="")+(職員マスタ!$G$6:$G$405&lt;=EOMONTH($AQ267,0)))&gt;0)*(((職員マスタ!$H$6:$H$405="")+(職員マスタ!$H$6:$H$405&gt;=$AQ267))&gt;0)*(ROW(職員マスタ!$A$6:$A$405)-5))),IFERROR(MATCH($B267,職員マスタ!$A$6:$A$405,0),"")))</f>
        <v/>
      </c>
      <c r="AQ267" s="16">
        <f>IF(OR($B267="",$C267="",$D267=""),"",DATE($C267+2018,$D267,1))</f>
        <v/>
      </c>
    </row>
    <row r="268">
      <c r="A268" s="11" t="n"/>
      <c r="B268" s="12" t="n">
        <v>6602536</v>
      </c>
      <c r="C268" s="12" t="n">
        <v>7</v>
      </c>
      <c r="D268" s="12" t="n">
        <v>5</v>
      </c>
      <c r="E268" s="13" t="n">
        <v>185587</v>
      </c>
      <c r="F268" s="12" t="n"/>
      <c r="G268" s="13" t="n"/>
      <c r="H268" s="12" t="n"/>
      <c r="I268" s="12" t="n"/>
      <c r="J268" s="12" t="n"/>
      <c r="K268" s="12" t="n"/>
      <c r="L268" s="11" t="n"/>
      <c r="M268" s="11" t="n"/>
      <c r="N268" s="11" t="n"/>
      <c r="O268" s="11" t="n"/>
      <c r="P268" s="12" t="n"/>
      <c r="Q268" s="11" t="n"/>
      <c r="R268" s="12" t="n"/>
      <c r="S268" s="11" t="n"/>
      <c r="T268" s="12" t="n"/>
      <c r="U268" s="12" t="n"/>
      <c r="V268" s="12" t="n"/>
      <c r="W268" s="13" t="n"/>
      <c r="X268" s="14">
        <f>IF($AP268="",IF($B268="","",$H268),IF(INDEX(職員マスタ!$B$6:$B$405,$AP268)="",$H268,INDEX(職員マスタ!$B$6:$B$405,$AP268)))</f>
        <v/>
      </c>
      <c r="Y268" s="14">
        <f>IF($AP268="",IF($B268="","",$R268),IF(INDEX(職員マスタ!$C$6:$C$405,$AP268)="",$R268,INDEX(職員マスタ!$C$6:$C$405,$AP268)))</f>
        <v/>
      </c>
      <c r="Z268" s="14">
        <f>IF($AQ268="","","R"&amp;$C268&amp;"."&amp;$D268)</f>
        <v/>
      </c>
      <c r="AA268" s="15">
        <f>IF(IF($AP268="",FALSE,INDEX(職員マスタ!$K$6:$K$405,$AP268)&lt;&gt;""),INDEX(職員マスタ!$K$6:$K$405,$AP268),IF(N($W268)&gt;0,$W268,""))</f>
        <v/>
      </c>
      <c r="AB268" s="14">
        <f>IF(OR($E268="",$AA268=""),"",IF($E268&gt;=$AA268,"×",IF($E268&gt;=$AA268*設定!$C$5,"△","○")))</f>
        <v/>
      </c>
      <c r="AC268" s="15">
        <f>IF($AB268="","",IF($AB268="×",0,IF($AB268="○",ROUNDDOWN($E268*設定!$C$4,0),ROUNDDOWN($E268*ROUND((9*$AA268-9*$E268)/(10*$E268),4),0))))</f>
        <v/>
      </c>
      <c r="AD268" s="13" t="n"/>
      <c r="AE268" s="15">
        <f>IF($B268="","",IF($AD268&lt;&gt;"",$AD268,IF($AC268="","",IF($AC268&lt;=設定!$C$3,0,$AC268))))</f>
        <v/>
      </c>
      <c r="AF268" s="14">
        <f>IF($B268="","",IF(AND($AG268&lt;&gt;"",$AI268="",$AL268=""),"保留中",IF($AL268&lt;&gt;"",IF(N($AE268)&gt;0,"支給済","不支給"),IF($AE268="","要確認",IF($AE268=0,"不支給","未処理")))))</f>
        <v/>
      </c>
      <c r="AG268" s="12" t="n"/>
      <c r="AH268" s="11" t="n"/>
      <c r="AI268" s="11" t="n"/>
      <c r="AJ268" s="11" t="n"/>
      <c r="AK268" s="14">
        <f>IF(AND($AF268="保留中",$AH268&lt;&gt;""),TODAY()-$AH268,"")</f>
        <v/>
      </c>
      <c r="AL268" s="12" t="inlineStr">
        <is>
          <t>R7.8</t>
        </is>
      </c>
      <c r="AM268" s="14">
        <f>IF($B268="","",IF($AQ268="","対象年月が未入力／","")&amp;IF($B268="","",IF($AP268="","職員マスタに未登録の職員番号／",IF($AA268="","標準報酬月額が未登録／","")&amp;IF(AND($AQ268&lt;&gt;"",OR(AND(INDEX(職員マスタ!$G$6:$G$405,$AP268)&lt;&gt;"",INDEX(職員マスタ!$G$6:$G$405,$AP268)&gt;EOMONTH($AQ268,0)),AND(INDEX(職員マスタ!$H$6:$H$405,$AP268)&lt;&gt;"",INDEX(職員マスタ!$H$6:$H$405,$AP268)&lt;$AQ268))),"対象月が時短期間外／","")&amp;IF(AND(INDEX(職員マスタ!$K$6:$K$405,$AP268)&lt;&gt;"",N($W268)&gt;0,INDEX(職員マスタ!$K$6:$K$405,$AP268)&lt;&gt;$W268),"標準報酬月額が申請書と相違（台帳"&amp;TEXT(INDEX(職員マスタ!$K$6:$K$405,$AP268),"#,##0")&amp;"円／申請書"&amp;TEXT($W268,"#,##0")&amp;"円）／","")&amp;IF(AND(INDEX(職員マスタ!$F$6:$F$405,$AP268)&lt;&gt;"",$AQ268&lt;&gt;"",INDEX(職員マスタ!$F$6:$F$405,$AP268)&lt;$AQ268),"対象月に子が2歳到達済／","")&amp;IF(AND($H268&lt;&gt;"",INDEX(職員マスタ!$B$6:$B$405,$AP268)&lt;&gt;"",SUBSTITUTE(SUBSTITUTE($H268," ","")," ","")&lt;&gt;SUBSTITUTE(SUBSTITUTE(INDEX(職員マスタ!$B$6:$B$405,$AP268)," ","")," ","")),"氏名がマスタと相違／","")&amp;IF(AND($Q268&lt;&gt;"",INDEX(職員マスタ!$E$6:$E$405,$AP268)&lt;&gt;"",$Q268&lt;&gt;INDEX(職員マスタ!$E$6:$E$405,$AP268)),"子の生年月日がマスタと相違／","")&amp;IF(AND($L268&lt;&gt;"",INDEX(職員マスタ!$G$6:$G$405,$AP268)&lt;&gt;"",$L268&lt;&gt;INDEX(職員マスタ!$G$6:$G$405,$AP268)),"時短開始日がマスタと相違／","")&amp;IF(AND($M268&lt;&gt;"",INDEX(職員マスタ!$H$6:$H$405,$AP268)&lt;&gt;"",$M268&lt;&gt;INDEX(職員マスタ!$H$6:$H$405,$AP268)),"時短終了日がマスタと相違／","")))&amp;IF(AND($B268&lt;&gt;"",$E268=""),"報酬額が未入力／","")&amp;IF(N($U268)&gt;0,"申請書に入力エラーが残っています／","")&amp;IF(AND($B268&lt;&gt;"",$AQ268&lt;&gt;""),IF(COUNTIFS($B$6:$B$3005,$B268,$C$6:$C$3005,$C268,$D$6:$D$3005,$D268)&gt;1,"同じ月の請求が重複しています／",""),"")&amp;IF(AND(N($E268)&gt;0,$AB268&lt;&gt;"",$AB268&lt;&gt;"×",$AE268=0,$AD268=""),"計算額が下限以下のため不支給／",""))</f>
        <v/>
      </c>
      <c r="AN268" s="12" t="n"/>
      <c r="AO268" s="14">
        <f>IF($AF268="保留中",COUNTIF($AF$6:$AF268,"保留中"),"")</f>
        <v/>
      </c>
      <c r="AP268" s="14">
        <f>IF($AQ268="","",IF(SUMPRODUCT(MAX((職員マスタ!$A$6:$A$405=$B268)*(((職員マスタ!$G$6:$G$405="")+(職員マスタ!$G$6:$G$405&lt;=EOMONTH($AQ268,0)))&gt;0)*(((職員マスタ!$H$6:$H$405="")+(職員マスタ!$H$6:$H$405&gt;=$AQ268))&gt;0)*(ROW(職員マスタ!$A$6:$A$405)-5)))&gt;0,SUMPRODUCT(MAX((職員マスタ!$A$6:$A$405=$B268)*(((職員マスタ!$G$6:$G$405="")+(職員マスタ!$G$6:$G$405&lt;=EOMONTH($AQ268,0)))&gt;0)*(((職員マスタ!$H$6:$H$405="")+(職員マスタ!$H$6:$H$405&gt;=$AQ268))&gt;0)*(ROW(職員マスタ!$A$6:$A$405)-5))),IFERROR(MATCH($B268,職員マスタ!$A$6:$A$405,0),"")))</f>
        <v/>
      </c>
      <c r="AQ268" s="16">
        <f>IF(OR($B268="",$C268="",$D268=""),"",DATE($C268+2018,$D268,1))</f>
        <v/>
      </c>
    </row>
    <row r="269">
      <c r="A269" s="11" t="n"/>
      <c r="B269" s="12" t="n">
        <v>6602536</v>
      </c>
      <c r="C269" s="12" t="n">
        <v>7</v>
      </c>
      <c r="D269" s="12" t="n">
        <v>6</v>
      </c>
      <c r="E269" s="13" t="n">
        <v>191172</v>
      </c>
      <c r="F269" s="12" t="n"/>
      <c r="G269" s="13" t="n"/>
      <c r="H269" s="12" t="n"/>
      <c r="I269" s="12" t="n"/>
      <c r="J269" s="12" t="n"/>
      <c r="K269" s="12" t="n"/>
      <c r="L269" s="11" t="n"/>
      <c r="M269" s="11" t="n"/>
      <c r="N269" s="11" t="n"/>
      <c r="O269" s="11" t="n"/>
      <c r="P269" s="12" t="n"/>
      <c r="Q269" s="11" t="n"/>
      <c r="R269" s="12" t="n"/>
      <c r="S269" s="11" t="n"/>
      <c r="T269" s="12" t="n"/>
      <c r="U269" s="12" t="n"/>
      <c r="V269" s="12" t="n"/>
      <c r="W269" s="13" t="n"/>
      <c r="X269" s="14">
        <f>IF($AP269="",IF($B269="","",$H269),IF(INDEX(職員マスタ!$B$6:$B$405,$AP269)="",$H269,INDEX(職員マスタ!$B$6:$B$405,$AP269)))</f>
        <v/>
      </c>
      <c r="Y269" s="14">
        <f>IF($AP269="",IF($B269="","",$R269),IF(INDEX(職員マスタ!$C$6:$C$405,$AP269)="",$R269,INDEX(職員マスタ!$C$6:$C$405,$AP269)))</f>
        <v/>
      </c>
      <c r="Z269" s="14">
        <f>IF($AQ269="","","R"&amp;$C269&amp;"."&amp;$D269)</f>
        <v/>
      </c>
      <c r="AA269" s="15">
        <f>IF(IF($AP269="",FALSE,INDEX(職員マスタ!$K$6:$K$405,$AP269)&lt;&gt;""),INDEX(職員マスタ!$K$6:$K$405,$AP269),IF(N($W269)&gt;0,$W269,""))</f>
        <v/>
      </c>
      <c r="AB269" s="14">
        <f>IF(OR($E269="",$AA269=""),"",IF($E269&gt;=$AA269,"×",IF($E269&gt;=$AA269*設定!$C$5,"△","○")))</f>
        <v/>
      </c>
      <c r="AC269" s="15">
        <f>IF($AB269="","",IF($AB269="×",0,IF($AB269="○",ROUNDDOWN($E269*設定!$C$4,0),ROUNDDOWN($E269*ROUND((9*$AA269-9*$E269)/(10*$E269),4),0))))</f>
        <v/>
      </c>
      <c r="AD269" s="13" t="n"/>
      <c r="AE269" s="15">
        <f>IF($B269="","",IF($AD269&lt;&gt;"",$AD269,IF($AC269="","",IF($AC269&lt;=設定!$C$3,0,$AC269))))</f>
        <v/>
      </c>
      <c r="AF269" s="14">
        <f>IF($B269="","",IF(AND($AG269&lt;&gt;"",$AI269="",$AL269=""),"保留中",IF($AL269&lt;&gt;"",IF(N($AE269)&gt;0,"支給済","不支給"),IF($AE269="","要確認",IF($AE269=0,"不支給","未処理")))))</f>
        <v/>
      </c>
      <c r="AG269" s="12" t="n"/>
      <c r="AH269" s="11" t="n"/>
      <c r="AI269" s="11" t="n"/>
      <c r="AJ269" s="11" t="n"/>
      <c r="AK269" s="14">
        <f>IF(AND($AF269="保留中",$AH269&lt;&gt;""),TODAY()-$AH269,"")</f>
        <v/>
      </c>
      <c r="AL269" s="12" t="inlineStr">
        <is>
          <t>R7.8</t>
        </is>
      </c>
      <c r="AM269" s="14">
        <f>IF($B269="","",IF($AQ269="","対象年月が未入力／","")&amp;IF($B269="","",IF($AP269="","職員マスタに未登録の職員番号／",IF($AA269="","標準報酬月額が未登録／","")&amp;IF(AND($AQ269&lt;&gt;"",OR(AND(INDEX(職員マスタ!$G$6:$G$405,$AP269)&lt;&gt;"",INDEX(職員マスタ!$G$6:$G$405,$AP269)&gt;EOMONTH($AQ269,0)),AND(INDEX(職員マスタ!$H$6:$H$405,$AP269)&lt;&gt;"",INDEX(職員マスタ!$H$6:$H$405,$AP269)&lt;$AQ269))),"対象月が時短期間外／","")&amp;IF(AND(INDEX(職員マスタ!$K$6:$K$405,$AP269)&lt;&gt;"",N($W269)&gt;0,INDEX(職員マスタ!$K$6:$K$405,$AP269)&lt;&gt;$W269),"標準報酬月額が申請書と相違（台帳"&amp;TEXT(INDEX(職員マスタ!$K$6:$K$405,$AP269),"#,##0")&amp;"円／申請書"&amp;TEXT($W269,"#,##0")&amp;"円）／","")&amp;IF(AND(INDEX(職員マスタ!$F$6:$F$405,$AP269)&lt;&gt;"",$AQ269&lt;&gt;"",INDEX(職員マスタ!$F$6:$F$405,$AP269)&lt;$AQ269),"対象月に子が2歳到達済／","")&amp;IF(AND($H269&lt;&gt;"",INDEX(職員マスタ!$B$6:$B$405,$AP269)&lt;&gt;"",SUBSTITUTE(SUBSTITUTE($H269," ","")," ","")&lt;&gt;SUBSTITUTE(SUBSTITUTE(INDEX(職員マスタ!$B$6:$B$405,$AP269)," ","")," ","")),"氏名がマスタと相違／","")&amp;IF(AND($Q269&lt;&gt;"",INDEX(職員マスタ!$E$6:$E$405,$AP269)&lt;&gt;"",$Q269&lt;&gt;INDEX(職員マスタ!$E$6:$E$405,$AP269)),"子の生年月日がマスタと相違／","")&amp;IF(AND($L269&lt;&gt;"",INDEX(職員マスタ!$G$6:$G$405,$AP269)&lt;&gt;"",$L269&lt;&gt;INDEX(職員マスタ!$G$6:$G$405,$AP269)),"時短開始日がマスタと相違／","")&amp;IF(AND($M269&lt;&gt;"",INDEX(職員マスタ!$H$6:$H$405,$AP269)&lt;&gt;"",$M269&lt;&gt;INDEX(職員マスタ!$H$6:$H$405,$AP269)),"時短終了日がマスタと相違／","")))&amp;IF(AND($B269&lt;&gt;"",$E269=""),"報酬額が未入力／","")&amp;IF(N($U269)&gt;0,"申請書に入力エラーが残っています／","")&amp;IF(AND($B269&lt;&gt;"",$AQ269&lt;&gt;""),IF(COUNTIFS($B$6:$B$3005,$B269,$C$6:$C$3005,$C269,$D$6:$D$3005,$D269)&gt;1,"同じ月の請求が重複しています／",""),"")&amp;IF(AND(N($E269)&gt;0,$AB269&lt;&gt;"",$AB269&lt;&gt;"×",$AE269=0,$AD269=""),"計算額が下限以下のため不支給／",""))</f>
        <v/>
      </c>
      <c r="AN269" s="12" t="n"/>
      <c r="AO269" s="14">
        <f>IF($AF269="保留中",COUNTIF($AF$6:$AF269,"保留中"),"")</f>
        <v/>
      </c>
      <c r="AP269" s="14">
        <f>IF($AQ269="","",IF(SUMPRODUCT(MAX((職員マスタ!$A$6:$A$405=$B269)*(((職員マスタ!$G$6:$G$405="")+(職員マスタ!$G$6:$G$405&lt;=EOMONTH($AQ269,0)))&gt;0)*(((職員マスタ!$H$6:$H$405="")+(職員マスタ!$H$6:$H$405&gt;=$AQ269))&gt;0)*(ROW(職員マスタ!$A$6:$A$405)-5)))&gt;0,SUMPRODUCT(MAX((職員マスタ!$A$6:$A$405=$B269)*(((職員マスタ!$G$6:$G$405="")+(職員マスタ!$G$6:$G$405&lt;=EOMONTH($AQ269,0)))&gt;0)*(((職員マスタ!$H$6:$H$405="")+(職員マスタ!$H$6:$H$405&gt;=$AQ269))&gt;0)*(ROW(職員マスタ!$A$6:$A$405)-5))),IFERROR(MATCH($B269,職員マスタ!$A$6:$A$405,0),"")))</f>
        <v/>
      </c>
      <c r="AQ269" s="16">
        <f>IF(OR($B269="",$C269="",$D269=""),"",DATE($C269+2018,$D269,1))</f>
        <v/>
      </c>
    </row>
    <row r="270">
      <c r="A270" s="11" t="n"/>
      <c r="B270" s="12" t="n">
        <v>6602536</v>
      </c>
      <c r="C270" s="12" t="n">
        <v>7</v>
      </c>
      <c r="D270" s="12" t="n">
        <v>7</v>
      </c>
      <c r="E270" s="13" t="n">
        <v>183726</v>
      </c>
      <c r="F270" s="12" t="n"/>
      <c r="G270" s="13" t="n"/>
      <c r="H270" s="12" t="n"/>
      <c r="I270" s="12" t="n"/>
      <c r="J270" s="12" t="n"/>
      <c r="K270" s="12" t="n"/>
      <c r="L270" s="11" t="n"/>
      <c r="M270" s="11" t="n"/>
      <c r="N270" s="11" t="n"/>
      <c r="O270" s="11" t="n"/>
      <c r="P270" s="12" t="n"/>
      <c r="Q270" s="11" t="n"/>
      <c r="R270" s="12" t="n"/>
      <c r="S270" s="11" t="n"/>
      <c r="T270" s="12" t="n"/>
      <c r="U270" s="12" t="n"/>
      <c r="V270" s="12" t="n"/>
      <c r="W270" s="13" t="n"/>
      <c r="X270" s="14">
        <f>IF($AP270="",IF($B270="","",$H270),IF(INDEX(職員マスタ!$B$6:$B$405,$AP270)="",$H270,INDEX(職員マスタ!$B$6:$B$405,$AP270)))</f>
        <v/>
      </c>
      <c r="Y270" s="14">
        <f>IF($AP270="",IF($B270="","",$R270),IF(INDEX(職員マスタ!$C$6:$C$405,$AP270)="",$R270,INDEX(職員マスタ!$C$6:$C$405,$AP270)))</f>
        <v/>
      </c>
      <c r="Z270" s="14">
        <f>IF($AQ270="","","R"&amp;$C270&amp;"."&amp;$D270)</f>
        <v/>
      </c>
      <c r="AA270" s="15">
        <f>IF(IF($AP270="",FALSE,INDEX(職員マスタ!$K$6:$K$405,$AP270)&lt;&gt;""),INDEX(職員マスタ!$K$6:$K$405,$AP270),IF(N($W270)&gt;0,$W270,""))</f>
        <v/>
      </c>
      <c r="AB270" s="14">
        <f>IF(OR($E270="",$AA270=""),"",IF($E270&gt;=$AA270,"×",IF($E270&gt;=$AA270*設定!$C$5,"△","○")))</f>
        <v/>
      </c>
      <c r="AC270" s="15">
        <f>IF($AB270="","",IF($AB270="×",0,IF($AB270="○",ROUNDDOWN($E270*設定!$C$4,0),ROUNDDOWN($E270*ROUND((9*$AA270-9*$E270)/(10*$E270),4),0))))</f>
        <v/>
      </c>
      <c r="AD270" s="13" t="n"/>
      <c r="AE270" s="15">
        <f>IF($B270="","",IF($AD270&lt;&gt;"",$AD270,IF($AC270="","",IF($AC270&lt;=設定!$C$3,0,$AC270))))</f>
        <v/>
      </c>
      <c r="AF270" s="14">
        <f>IF($B270="","",IF(AND($AG270&lt;&gt;"",$AI270="",$AL270=""),"保留中",IF($AL270&lt;&gt;"",IF(N($AE270)&gt;0,"支給済","不支給"),IF($AE270="","要確認",IF($AE270=0,"不支給","未処理")))))</f>
        <v/>
      </c>
      <c r="AG270" s="12" t="n"/>
      <c r="AH270" s="11" t="n"/>
      <c r="AI270" s="11" t="n"/>
      <c r="AJ270" s="11" t="n"/>
      <c r="AK270" s="14">
        <f>IF(AND($AF270="保留中",$AH270&lt;&gt;""),TODAY()-$AH270,"")</f>
        <v/>
      </c>
      <c r="AL270" s="12" t="inlineStr">
        <is>
          <t>R7.9</t>
        </is>
      </c>
      <c r="AM270" s="14">
        <f>IF($B270="","",IF($AQ270="","対象年月が未入力／","")&amp;IF($B270="","",IF($AP270="","職員マスタに未登録の職員番号／",IF($AA270="","標準報酬月額が未登録／","")&amp;IF(AND($AQ270&lt;&gt;"",OR(AND(INDEX(職員マスタ!$G$6:$G$405,$AP270)&lt;&gt;"",INDEX(職員マスタ!$G$6:$G$405,$AP270)&gt;EOMONTH($AQ270,0)),AND(INDEX(職員マスタ!$H$6:$H$405,$AP270)&lt;&gt;"",INDEX(職員マスタ!$H$6:$H$405,$AP270)&lt;$AQ270))),"対象月が時短期間外／","")&amp;IF(AND(INDEX(職員マスタ!$K$6:$K$405,$AP270)&lt;&gt;"",N($W270)&gt;0,INDEX(職員マスタ!$K$6:$K$405,$AP270)&lt;&gt;$W270),"標準報酬月額が申請書と相違（台帳"&amp;TEXT(INDEX(職員マスタ!$K$6:$K$405,$AP270),"#,##0")&amp;"円／申請書"&amp;TEXT($W270,"#,##0")&amp;"円）／","")&amp;IF(AND(INDEX(職員マスタ!$F$6:$F$405,$AP270)&lt;&gt;"",$AQ270&lt;&gt;"",INDEX(職員マスタ!$F$6:$F$405,$AP270)&lt;$AQ270),"対象月に子が2歳到達済／","")&amp;IF(AND($H270&lt;&gt;"",INDEX(職員マスタ!$B$6:$B$405,$AP270)&lt;&gt;"",SUBSTITUTE(SUBSTITUTE($H270," ","")," ","")&lt;&gt;SUBSTITUTE(SUBSTITUTE(INDEX(職員マスタ!$B$6:$B$405,$AP270)," ","")," ","")),"氏名がマスタと相違／","")&amp;IF(AND($Q270&lt;&gt;"",INDEX(職員マスタ!$E$6:$E$405,$AP270)&lt;&gt;"",$Q270&lt;&gt;INDEX(職員マスタ!$E$6:$E$405,$AP270)),"子の生年月日がマスタと相違／","")&amp;IF(AND($L270&lt;&gt;"",INDEX(職員マスタ!$G$6:$G$405,$AP270)&lt;&gt;"",$L270&lt;&gt;INDEX(職員マスタ!$G$6:$G$405,$AP270)),"時短開始日がマスタと相違／","")&amp;IF(AND($M270&lt;&gt;"",INDEX(職員マスタ!$H$6:$H$405,$AP270)&lt;&gt;"",$M270&lt;&gt;INDEX(職員マスタ!$H$6:$H$405,$AP270)),"時短終了日がマスタと相違／","")))&amp;IF(AND($B270&lt;&gt;"",$E270=""),"報酬額が未入力／","")&amp;IF(N($U270)&gt;0,"申請書に入力エラーが残っています／","")&amp;IF(AND($B270&lt;&gt;"",$AQ270&lt;&gt;""),IF(COUNTIFS($B$6:$B$3005,$B270,$C$6:$C$3005,$C270,$D$6:$D$3005,$D270)&gt;1,"同じ月の請求が重複しています／",""),"")&amp;IF(AND(N($E270)&gt;0,$AB270&lt;&gt;"",$AB270&lt;&gt;"×",$AE270=0,$AD270=""),"計算額が下限以下のため不支給／",""))</f>
        <v/>
      </c>
      <c r="AN270" s="12" t="n"/>
      <c r="AO270" s="14">
        <f>IF($AF270="保留中",COUNTIF($AF$6:$AF270,"保留中"),"")</f>
        <v/>
      </c>
      <c r="AP270" s="14">
        <f>IF($AQ270="","",IF(SUMPRODUCT(MAX((職員マスタ!$A$6:$A$405=$B270)*(((職員マスタ!$G$6:$G$405="")+(職員マスタ!$G$6:$G$405&lt;=EOMONTH($AQ270,0)))&gt;0)*(((職員マスタ!$H$6:$H$405="")+(職員マスタ!$H$6:$H$405&gt;=$AQ270))&gt;0)*(ROW(職員マスタ!$A$6:$A$405)-5)))&gt;0,SUMPRODUCT(MAX((職員マスタ!$A$6:$A$405=$B270)*(((職員マスタ!$G$6:$G$405="")+(職員マスタ!$G$6:$G$405&lt;=EOMONTH($AQ270,0)))&gt;0)*(((職員マスタ!$H$6:$H$405="")+(職員マスタ!$H$6:$H$405&gt;=$AQ270))&gt;0)*(ROW(職員マスタ!$A$6:$A$405)-5))),IFERROR(MATCH($B270,職員マスタ!$A$6:$A$405,0),"")))</f>
        <v/>
      </c>
      <c r="AQ270" s="16">
        <f>IF(OR($B270="",$C270="",$D270=""),"",DATE($C270+2018,$D270,1))</f>
        <v/>
      </c>
    </row>
    <row r="271">
      <c r="A271" s="11" t="n"/>
      <c r="B271" s="12" t="n">
        <v>6602536</v>
      </c>
      <c r="C271" s="12" t="n">
        <v>7</v>
      </c>
      <c r="D271" s="12" t="n">
        <v>8</v>
      </c>
      <c r="E271" s="13" t="n">
        <v>189309</v>
      </c>
      <c r="F271" s="12" t="n"/>
      <c r="G271" s="13" t="n"/>
      <c r="H271" s="12" t="n"/>
      <c r="I271" s="12" t="n"/>
      <c r="J271" s="12" t="n"/>
      <c r="K271" s="12" t="n"/>
      <c r="L271" s="11" t="n"/>
      <c r="M271" s="11" t="n"/>
      <c r="N271" s="11" t="n"/>
      <c r="O271" s="11" t="n"/>
      <c r="P271" s="12" t="n"/>
      <c r="Q271" s="11" t="n"/>
      <c r="R271" s="12" t="n"/>
      <c r="S271" s="11" t="n"/>
      <c r="T271" s="12" t="n"/>
      <c r="U271" s="12" t="n"/>
      <c r="V271" s="12" t="n"/>
      <c r="W271" s="13" t="n"/>
      <c r="X271" s="14">
        <f>IF($AP271="",IF($B271="","",$H271),IF(INDEX(職員マスタ!$B$6:$B$405,$AP271)="",$H271,INDEX(職員マスタ!$B$6:$B$405,$AP271)))</f>
        <v/>
      </c>
      <c r="Y271" s="14">
        <f>IF($AP271="",IF($B271="","",$R271),IF(INDEX(職員マスタ!$C$6:$C$405,$AP271)="",$R271,INDEX(職員マスタ!$C$6:$C$405,$AP271)))</f>
        <v/>
      </c>
      <c r="Z271" s="14">
        <f>IF($AQ271="","","R"&amp;$C271&amp;"."&amp;$D271)</f>
        <v/>
      </c>
      <c r="AA271" s="15">
        <f>IF(IF($AP271="",FALSE,INDEX(職員マスタ!$K$6:$K$405,$AP271)&lt;&gt;""),INDEX(職員マスタ!$K$6:$K$405,$AP271),IF(N($W271)&gt;0,$W271,""))</f>
        <v/>
      </c>
      <c r="AB271" s="14">
        <f>IF(OR($E271="",$AA271=""),"",IF($E271&gt;=$AA271,"×",IF($E271&gt;=$AA271*設定!$C$5,"△","○")))</f>
        <v/>
      </c>
      <c r="AC271" s="15">
        <f>IF($AB271="","",IF($AB271="×",0,IF($AB271="○",ROUNDDOWN($E271*設定!$C$4,0),ROUNDDOWN($E271*ROUND((9*$AA271-9*$E271)/(10*$E271),4),0))))</f>
        <v/>
      </c>
      <c r="AD271" s="13" t="n"/>
      <c r="AE271" s="15">
        <f>IF($B271="","",IF($AD271&lt;&gt;"",$AD271,IF($AC271="","",IF($AC271&lt;=設定!$C$3,0,$AC271))))</f>
        <v/>
      </c>
      <c r="AF271" s="14">
        <f>IF($B271="","",IF(AND($AG271&lt;&gt;"",$AI271="",$AL271=""),"保留中",IF($AL271&lt;&gt;"",IF(N($AE271)&gt;0,"支給済","不支給"),IF($AE271="","要確認",IF($AE271=0,"不支給","未処理")))))</f>
        <v/>
      </c>
      <c r="AG271" s="12" t="n"/>
      <c r="AH271" s="11" t="n"/>
      <c r="AI271" s="11" t="n"/>
      <c r="AJ271" s="11" t="n"/>
      <c r="AK271" s="14">
        <f>IF(AND($AF271="保留中",$AH271&lt;&gt;""),TODAY()-$AH271,"")</f>
        <v/>
      </c>
      <c r="AL271" s="12" t="inlineStr">
        <is>
          <t>R7.10</t>
        </is>
      </c>
      <c r="AM271" s="14">
        <f>IF($B271="","",IF($AQ271="","対象年月が未入力／","")&amp;IF($B271="","",IF($AP271="","職員マスタに未登録の職員番号／",IF($AA271="","標準報酬月額が未登録／","")&amp;IF(AND($AQ271&lt;&gt;"",OR(AND(INDEX(職員マスタ!$G$6:$G$405,$AP271)&lt;&gt;"",INDEX(職員マスタ!$G$6:$G$405,$AP271)&gt;EOMONTH($AQ271,0)),AND(INDEX(職員マスタ!$H$6:$H$405,$AP271)&lt;&gt;"",INDEX(職員マスタ!$H$6:$H$405,$AP271)&lt;$AQ271))),"対象月が時短期間外／","")&amp;IF(AND(INDEX(職員マスタ!$K$6:$K$405,$AP271)&lt;&gt;"",N($W271)&gt;0,INDEX(職員マスタ!$K$6:$K$405,$AP271)&lt;&gt;$W271),"標準報酬月額が申請書と相違（台帳"&amp;TEXT(INDEX(職員マスタ!$K$6:$K$405,$AP271),"#,##0")&amp;"円／申請書"&amp;TEXT($W271,"#,##0")&amp;"円）／","")&amp;IF(AND(INDEX(職員マスタ!$F$6:$F$405,$AP271)&lt;&gt;"",$AQ271&lt;&gt;"",INDEX(職員マスタ!$F$6:$F$405,$AP271)&lt;$AQ271),"対象月に子が2歳到達済／","")&amp;IF(AND($H271&lt;&gt;"",INDEX(職員マスタ!$B$6:$B$405,$AP271)&lt;&gt;"",SUBSTITUTE(SUBSTITUTE($H271," ","")," ","")&lt;&gt;SUBSTITUTE(SUBSTITUTE(INDEX(職員マスタ!$B$6:$B$405,$AP271)," ","")," ","")),"氏名がマスタと相違／","")&amp;IF(AND($Q271&lt;&gt;"",INDEX(職員マスタ!$E$6:$E$405,$AP271)&lt;&gt;"",$Q271&lt;&gt;INDEX(職員マスタ!$E$6:$E$405,$AP271)),"子の生年月日がマスタと相違／","")&amp;IF(AND($L271&lt;&gt;"",INDEX(職員マスタ!$G$6:$G$405,$AP271)&lt;&gt;"",$L271&lt;&gt;INDEX(職員マスタ!$G$6:$G$405,$AP271)),"時短開始日がマスタと相違／","")&amp;IF(AND($M271&lt;&gt;"",INDEX(職員マスタ!$H$6:$H$405,$AP271)&lt;&gt;"",$M271&lt;&gt;INDEX(職員マスタ!$H$6:$H$405,$AP271)),"時短終了日がマスタと相違／","")))&amp;IF(AND($B271&lt;&gt;"",$E271=""),"報酬額が未入力／","")&amp;IF(N($U271)&gt;0,"申請書に入力エラーが残っています／","")&amp;IF(AND($B271&lt;&gt;"",$AQ271&lt;&gt;""),IF(COUNTIFS($B$6:$B$3005,$B271,$C$6:$C$3005,$C271,$D$6:$D$3005,$D271)&gt;1,"同じ月の請求が重複しています／",""),"")&amp;IF(AND(N($E271)&gt;0,$AB271&lt;&gt;"",$AB271&lt;&gt;"×",$AE271=0,$AD271=""),"計算額が下限以下のため不支給／",""))</f>
        <v/>
      </c>
      <c r="AN271" s="12" t="n"/>
      <c r="AO271" s="14">
        <f>IF($AF271="保留中",COUNTIF($AF$6:$AF271,"保留中"),"")</f>
        <v/>
      </c>
      <c r="AP271" s="14">
        <f>IF($AQ271="","",IF(SUMPRODUCT(MAX((職員マスタ!$A$6:$A$405=$B271)*(((職員マスタ!$G$6:$G$405="")+(職員マスタ!$G$6:$G$405&lt;=EOMONTH($AQ271,0)))&gt;0)*(((職員マスタ!$H$6:$H$405="")+(職員マスタ!$H$6:$H$405&gt;=$AQ271))&gt;0)*(ROW(職員マスタ!$A$6:$A$405)-5)))&gt;0,SUMPRODUCT(MAX((職員マスタ!$A$6:$A$405=$B271)*(((職員マスタ!$G$6:$G$405="")+(職員マスタ!$G$6:$G$405&lt;=EOMONTH($AQ271,0)))&gt;0)*(((職員マスタ!$H$6:$H$405="")+(職員マスタ!$H$6:$H$405&gt;=$AQ271))&gt;0)*(ROW(職員マスタ!$A$6:$A$405)-5))),IFERROR(MATCH($B271,職員マスタ!$A$6:$A$405,0),"")))</f>
        <v/>
      </c>
      <c r="AQ271" s="16">
        <f>IF(OR($B271="",$C271="",$D271=""),"",DATE($C271+2018,$D271,1))</f>
        <v/>
      </c>
    </row>
    <row r="272">
      <c r="A272" s="11" t="n"/>
      <c r="B272" s="12" t="n">
        <v>6602619</v>
      </c>
      <c r="C272" s="12" t="n">
        <v>7</v>
      </c>
      <c r="D272" s="12" t="n">
        <v>4</v>
      </c>
      <c r="E272" s="13" t="n">
        <v>71250</v>
      </c>
      <c r="F272" s="12" t="n"/>
      <c r="G272" s="13" t="n"/>
      <c r="H272" s="12" t="n"/>
      <c r="I272" s="12" t="n"/>
      <c r="J272" s="12" t="n"/>
      <c r="K272" s="12" t="n"/>
      <c r="L272" s="11" t="n"/>
      <c r="M272" s="11" t="n"/>
      <c r="N272" s="11" t="n"/>
      <c r="O272" s="11" t="n"/>
      <c r="P272" s="12" t="n"/>
      <c r="Q272" s="11" t="n"/>
      <c r="R272" s="12" t="n"/>
      <c r="S272" s="11" t="n"/>
      <c r="T272" s="12" t="n"/>
      <c r="U272" s="12" t="n"/>
      <c r="V272" s="12" t="n"/>
      <c r="W272" s="13" t="n"/>
      <c r="X272" s="14">
        <f>IF($AP272="",IF($B272="","",$H272),IF(INDEX(職員マスタ!$B$6:$B$405,$AP272)="",$H272,INDEX(職員マスタ!$B$6:$B$405,$AP272)))</f>
        <v/>
      </c>
      <c r="Y272" s="14">
        <f>IF($AP272="",IF($B272="","",$R272),IF(INDEX(職員マスタ!$C$6:$C$405,$AP272)="",$R272,INDEX(職員マスタ!$C$6:$C$405,$AP272)))</f>
        <v/>
      </c>
      <c r="Z272" s="14">
        <f>IF($AQ272="","","R"&amp;$C272&amp;"."&amp;$D272)</f>
        <v/>
      </c>
      <c r="AA272" s="15">
        <f>IF(IF($AP272="",FALSE,INDEX(職員マスタ!$K$6:$K$405,$AP272)&lt;&gt;""),INDEX(職員マスタ!$K$6:$K$405,$AP272),IF(N($W272)&gt;0,$W272,""))</f>
        <v/>
      </c>
      <c r="AB272" s="14">
        <f>IF(OR($E272="",$AA272=""),"",IF($E272&gt;=$AA272,"×",IF($E272&gt;=$AA272*設定!$C$5,"△","○")))</f>
        <v/>
      </c>
      <c r="AC272" s="15">
        <f>IF($AB272="","",IF($AB272="×",0,IF($AB272="○",ROUNDDOWN($E272*設定!$C$4,0),ROUNDDOWN($E272*ROUND((9*$AA272-9*$E272)/(10*$E272),4),0))))</f>
        <v/>
      </c>
      <c r="AD272" s="13" t="n"/>
      <c r="AE272" s="15">
        <f>IF($B272="","",IF($AD272&lt;&gt;"",$AD272,IF($AC272="","",IF($AC272&lt;=設定!$C$3,0,$AC272))))</f>
        <v/>
      </c>
      <c r="AF272" s="14">
        <f>IF($B272="","",IF(AND($AG272&lt;&gt;"",$AI272="",$AL272=""),"保留中",IF($AL272&lt;&gt;"",IF(N($AE272)&gt;0,"支給済","不支給"),IF($AE272="","要確認",IF($AE272=0,"不支給","未処理")))))</f>
        <v/>
      </c>
      <c r="AG272" s="12" t="n"/>
      <c r="AH272" s="11" t="n"/>
      <c r="AI272" s="11" t="n"/>
      <c r="AJ272" s="11" t="n"/>
      <c r="AK272" s="14">
        <f>IF(AND($AF272="保留中",$AH272&lt;&gt;""),TODAY()-$AH272,"")</f>
        <v/>
      </c>
      <c r="AL272" s="12" t="inlineStr">
        <is>
          <t>R7.8</t>
        </is>
      </c>
      <c r="AM272" s="14">
        <f>IF($B272="","",IF($AQ272="","対象年月が未入力／","")&amp;IF($B272="","",IF($AP272="","職員マスタに未登録の職員番号／",IF($AA272="","標準報酬月額が未登録／","")&amp;IF(AND($AQ272&lt;&gt;"",OR(AND(INDEX(職員マスタ!$G$6:$G$405,$AP272)&lt;&gt;"",INDEX(職員マスタ!$G$6:$G$405,$AP272)&gt;EOMONTH($AQ272,0)),AND(INDEX(職員マスタ!$H$6:$H$405,$AP272)&lt;&gt;"",INDEX(職員マスタ!$H$6:$H$405,$AP272)&lt;$AQ272))),"対象月が時短期間外／","")&amp;IF(AND(INDEX(職員マスタ!$K$6:$K$405,$AP272)&lt;&gt;"",N($W272)&gt;0,INDEX(職員マスタ!$K$6:$K$405,$AP272)&lt;&gt;$W272),"標準報酬月額が申請書と相違（台帳"&amp;TEXT(INDEX(職員マスタ!$K$6:$K$405,$AP272),"#,##0")&amp;"円／申請書"&amp;TEXT($W272,"#,##0")&amp;"円）／","")&amp;IF(AND(INDEX(職員マスタ!$F$6:$F$405,$AP272)&lt;&gt;"",$AQ272&lt;&gt;"",INDEX(職員マスタ!$F$6:$F$405,$AP272)&lt;$AQ272),"対象月に子が2歳到達済／","")&amp;IF(AND($H272&lt;&gt;"",INDEX(職員マスタ!$B$6:$B$405,$AP272)&lt;&gt;"",SUBSTITUTE(SUBSTITUTE($H272," ","")," ","")&lt;&gt;SUBSTITUTE(SUBSTITUTE(INDEX(職員マスタ!$B$6:$B$405,$AP272)," ","")," ","")),"氏名がマスタと相違／","")&amp;IF(AND($Q272&lt;&gt;"",INDEX(職員マスタ!$E$6:$E$405,$AP272)&lt;&gt;"",$Q272&lt;&gt;INDEX(職員マスタ!$E$6:$E$405,$AP272)),"子の生年月日がマスタと相違／","")&amp;IF(AND($L272&lt;&gt;"",INDEX(職員マスタ!$G$6:$G$405,$AP272)&lt;&gt;"",$L272&lt;&gt;INDEX(職員マスタ!$G$6:$G$405,$AP272)),"時短開始日がマスタと相違／","")&amp;IF(AND($M272&lt;&gt;"",INDEX(職員マスタ!$H$6:$H$405,$AP272)&lt;&gt;"",$M272&lt;&gt;INDEX(職員マスタ!$H$6:$H$405,$AP272)),"時短終了日がマスタと相違／","")))&amp;IF(AND($B272&lt;&gt;"",$E272=""),"報酬額が未入力／","")&amp;IF(N($U272)&gt;0,"申請書に入力エラーが残っています／","")&amp;IF(AND($B272&lt;&gt;"",$AQ272&lt;&gt;""),IF(COUNTIFS($B$6:$B$3005,$B272,$C$6:$C$3005,$C272,$D$6:$D$3005,$D272)&gt;1,"同じ月の請求が重複しています／",""),"")&amp;IF(AND(N($E272)&gt;0,$AB272&lt;&gt;"",$AB272&lt;&gt;"×",$AE272=0,$AD272=""),"計算額が下限以下のため不支給／",""))</f>
        <v/>
      </c>
      <c r="AN272" s="12" t="n"/>
      <c r="AO272" s="14">
        <f>IF($AF272="保留中",COUNTIF($AF$6:$AF272,"保留中"),"")</f>
        <v/>
      </c>
      <c r="AP272" s="14">
        <f>IF($AQ272="","",IF(SUMPRODUCT(MAX((職員マスタ!$A$6:$A$405=$B272)*(((職員マスタ!$G$6:$G$405="")+(職員マスタ!$G$6:$G$405&lt;=EOMONTH($AQ272,0)))&gt;0)*(((職員マスタ!$H$6:$H$405="")+(職員マスタ!$H$6:$H$405&gt;=$AQ272))&gt;0)*(ROW(職員マスタ!$A$6:$A$405)-5)))&gt;0,SUMPRODUCT(MAX((職員マスタ!$A$6:$A$405=$B272)*(((職員マスタ!$G$6:$G$405="")+(職員マスタ!$G$6:$G$405&lt;=EOMONTH($AQ272,0)))&gt;0)*(((職員マスタ!$H$6:$H$405="")+(職員マスタ!$H$6:$H$405&gt;=$AQ272))&gt;0)*(ROW(職員マスタ!$A$6:$A$405)-5))),IFERROR(MATCH($B272,職員マスタ!$A$6:$A$405,0),"")))</f>
        <v/>
      </c>
      <c r="AQ272" s="16">
        <f>IF(OR($B272="",$C272="",$D272=""),"",DATE($C272+2018,$D272,1))</f>
        <v/>
      </c>
    </row>
    <row r="273">
      <c r="A273" s="11" t="n"/>
      <c r="B273" s="12" t="n">
        <v>6602619</v>
      </c>
      <c r="C273" s="12" t="n">
        <v>7</v>
      </c>
      <c r="D273" s="12" t="n">
        <v>5</v>
      </c>
      <c r="E273" s="13" t="n">
        <v>183284</v>
      </c>
      <c r="F273" s="12" t="n"/>
      <c r="G273" s="13" t="n"/>
      <c r="H273" s="12" t="n"/>
      <c r="I273" s="12" t="n"/>
      <c r="J273" s="12" t="n"/>
      <c r="K273" s="12" t="n"/>
      <c r="L273" s="11" t="n"/>
      <c r="M273" s="11" t="n"/>
      <c r="N273" s="11" t="n"/>
      <c r="O273" s="11" t="n"/>
      <c r="P273" s="12" t="n"/>
      <c r="Q273" s="11" t="n"/>
      <c r="R273" s="12" t="n"/>
      <c r="S273" s="11" t="n"/>
      <c r="T273" s="12" t="n"/>
      <c r="U273" s="12" t="n"/>
      <c r="V273" s="12" t="n"/>
      <c r="W273" s="13" t="n"/>
      <c r="X273" s="14">
        <f>IF($AP273="",IF($B273="","",$H273),IF(INDEX(職員マスタ!$B$6:$B$405,$AP273)="",$H273,INDEX(職員マスタ!$B$6:$B$405,$AP273)))</f>
        <v/>
      </c>
      <c r="Y273" s="14">
        <f>IF($AP273="",IF($B273="","",$R273),IF(INDEX(職員マスタ!$C$6:$C$405,$AP273)="",$R273,INDEX(職員マスタ!$C$6:$C$405,$AP273)))</f>
        <v/>
      </c>
      <c r="Z273" s="14">
        <f>IF($AQ273="","","R"&amp;$C273&amp;"."&amp;$D273)</f>
        <v/>
      </c>
      <c r="AA273" s="15">
        <f>IF(IF($AP273="",FALSE,INDEX(職員マスタ!$K$6:$K$405,$AP273)&lt;&gt;""),INDEX(職員マスタ!$K$6:$K$405,$AP273),IF(N($W273)&gt;0,$W273,""))</f>
        <v/>
      </c>
      <c r="AB273" s="14">
        <f>IF(OR($E273="",$AA273=""),"",IF($E273&gt;=$AA273,"×",IF($E273&gt;=$AA273*設定!$C$5,"△","○")))</f>
        <v/>
      </c>
      <c r="AC273" s="15">
        <f>IF($AB273="","",IF($AB273="×",0,IF($AB273="○",ROUNDDOWN($E273*設定!$C$4,0),ROUNDDOWN($E273*ROUND((9*$AA273-9*$E273)/(10*$E273),4),0))))</f>
        <v/>
      </c>
      <c r="AD273" s="13" t="n"/>
      <c r="AE273" s="15">
        <f>IF($B273="","",IF($AD273&lt;&gt;"",$AD273,IF($AC273="","",IF($AC273&lt;=設定!$C$3,0,$AC273))))</f>
        <v/>
      </c>
      <c r="AF273" s="14">
        <f>IF($B273="","",IF(AND($AG273&lt;&gt;"",$AI273="",$AL273=""),"保留中",IF($AL273&lt;&gt;"",IF(N($AE273)&gt;0,"支給済","不支給"),IF($AE273="","要確認",IF($AE273=0,"不支給","未処理")))))</f>
        <v/>
      </c>
      <c r="AG273" s="12" t="n"/>
      <c r="AH273" s="11" t="n"/>
      <c r="AI273" s="11" t="n"/>
      <c r="AJ273" s="11" t="n"/>
      <c r="AK273" s="14">
        <f>IF(AND($AF273="保留中",$AH273&lt;&gt;""),TODAY()-$AH273,"")</f>
        <v/>
      </c>
      <c r="AL273" s="12" t="inlineStr">
        <is>
          <t>R7.8</t>
        </is>
      </c>
      <c r="AM273" s="14">
        <f>IF($B273="","",IF($AQ273="","対象年月が未入力／","")&amp;IF($B273="","",IF($AP273="","職員マスタに未登録の職員番号／",IF($AA273="","標準報酬月額が未登録／","")&amp;IF(AND($AQ273&lt;&gt;"",OR(AND(INDEX(職員マスタ!$G$6:$G$405,$AP273)&lt;&gt;"",INDEX(職員マスタ!$G$6:$G$405,$AP273)&gt;EOMONTH($AQ273,0)),AND(INDEX(職員マスタ!$H$6:$H$405,$AP273)&lt;&gt;"",INDEX(職員マスタ!$H$6:$H$405,$AP273)&lt;$AQ273))),"対象月が時短期間外／","")&amp;IF(AND(INDEX(職員マスタ!$K$6:$K$405,$AP273)&lt;&gt;"",N($W273)&gt;0,INDEX(職員マスタ!$K$6:$K$405,$AP273)&lt;&gt;$W273),"標準報酬月額が申請書と相違（台帳"&amp;TEXT(INDEX(職員マスタ!$K$6:$K$405,$AP273),"#,##0")&amp;"円／申請書"&amp;TEXT($W273,"#,##0")&amp;"円）／","")&amp;IF(AND(INDEX(職員マスタ!$F$6:$F$405,$AP273)&lt;&gt;"",$AQ273&lt;&gt;"",INDEX(職員マスタ!$F$6:$F$405,$AP273)&lt;$AQ273),"対象月に子が2歳到達済／","")&amp;IF(AND($H273&lt;&gt;"",INDEX(職員マスタ!$B$6:$B$405,$AP273)&lt;&gt;"",SUBSTITUTE(SUBSTITUTE($H273," ","")," ","")&lt;&gt;SUBSTITUTE(SUBSTITUTE(INDEX(職員マスタ!$B$6:$B$405,$AP273)," ","")," ","")),"氏名がマスタと相違／","")&amp;IF(AND($Q273&lt;&gt;"",INDEX(職員マスタ!$E$6:$E$405,$AP273)&lt;&gt;"",$Q273&lt;&gt;INDEX(職員マスタ!$E$6:$E$405,$AP273)),"子の生年月日がマスタと相違／","")&amp;IF(AND($L273&lt;&gt;"",INDEX(職員マスタ!$G$6:$G$405,$AP273)&lt;&gt;"",$L273&lt;&gt;INDEX(職員マスタ!$G$6:$G$405,$AP273)),"時短開始日がマスタと相違／","")&amp;IF(AND($M273&lt;&gt;"",INDEX(職員マスタ!$H$6:$H$405,$AP273)&lt;&gt;"",$M273&lt;&gt;INDEX(職員マスタ!$H$6:$H$405,$AP273)),"時短終了日がマスタと相違／","")))&amp;IF(AND($B273&lt;&gt;"",$E273=""),"報酬額が未入力／","")&amp;IF(N($U273)&gt;0,"申請書に入力エラーが残っています／","")&amp;IF(AND($B273&lt;&gt;"",$AQ273&lt;&gt;""),IF(COUNTIFS($B$6:$B$3005,$B273,$C$6:$C$3005,$C273,$D$6:$D$3005,$D273)&gt;1,"同じ月の請求が重複しています／",""),"")&amp;IF(AND(N($E273)&gt;0,$AB273&lt;&gt;"",$AB273&lt;&gt;"×",$AE273=0,$AD273=""),"計算額が下限以下のため不支給／",""))</f>
        <v/>
      </c>
      <c r="AN273" s="12" t="n"/>
      <c r="AO273" s="14">
        <f>IF($AF273="保留中",COUNTIF($AF$6:$AF273,"保留中"),"")</f>
        <v/>
      </c>
      <c r="AP273" s="14">
        <f>IF($AQ273="","",IF(SUMPRODUCT(MAX((職員マスタ!$A$6:$A$405=$B273)*(((職員マスタ!$G$6:$G$405="")+(職員マスタ!$G$6:$G$405&lt;=EOMONTH($AQ273,0)))&gt;0)*(((職員マスタ!$H$6:$H$405="")+(職員マスタ!$H$6:$H$405&gt;=$AQ273))&gt;0)*(ROW(職員マスタ!$A$6:$A$405)-5)))&gt;0,SUMPRODUCT(MAX((職員マスタ!$A$6:$A$405=$B273)*(((職員マスタ!$G$6:$G$405="")+(職員マスタ!$G$6:$G$405&lt;=EOMONTH($AQ273,0)))&gt;0)*(((職員マスタ!$H$6:$H$405="")+(職員マスタ!$H$6:$H$405&gt;=$AQ273))&gt;0)*(ROW(職員マスタ!$A$6:$A$405)-5))),IFERROR(MATCH($B273,職員マスタ!$A$6:$A$405,0),"")))</f>
        <v/>
      </c>
      <c r="AQ273" s="16">
        <f>IF(OR($B273="",$C273="",$D273=""),"",DATE($C273+2018,$D273,1))</f>
        <v/>
      </c>
    </row>
    <row r="274">
      <c r="A274" s="11" t="n"/>
      <c r="B274" s="12" t="n">
        <v>6602619</v>
      </c>
      <c r="C274" s="12" t="n">
        <v>7</v>
      </c>
      <c r="D274" s="12" t="n">
        <v>6</v>
      </c>
      <c r="E274" s="13" t="n">
        <v>179916</v>
      </c>
      <c r="F274" s="12" t="n"/>
      <c r="G274" s="13" t="n"/>
      <c r="H274" s="12" t="n"/>
      <c r="I274" s="12" t="n"/>
      <c r="J274" s="12" t="n"/>
      <c r="K274" s="12" t="n"/>
      <c r="L274" s="11" t="n"/>
      <c r="M274" s="11" t="n"/>
      <c r="N274" s="11" t="n"/>
      <c r="O274" s="11" t="n"/>
      <c r="P274" s="12" t="n"/>
      <c r="Q274" s="11" t="n"/>
      <c r="R274" s="12" t="n"/>
      <c r="S274" s="11" t="n"/>
      <c r="T274" s="12" t="n"/>
      <c r="U274" s="12" t="n"/>
      <c r="V274" s="12" t="n"/>
      <c r="W274" s="13" t="n"/>
      <c r="X274" s="14">
        <f>IF($AP274="",IF($B274="","",$H274),IF(INDEX(職員マスタ!$B$6:$B$405,$AP274)="",$H274,INDEX(職員マスタ!$B$6:$B$405,$AP274)))</f>
        <v/>
      </c>
      <c r="Y274" s="14">
        <f>IF($AP274="",IF($B274="","",$R274),IF(INDEX(職員マスタ!$C$6:$C$405,$AP274)="",$R274,INDEX(職員マスタ!$C$6:$C$405,$AP274)))</f>
        <v/>
      </c>
      <c r="Z274" s="14">
        <f>IF($AQ274="","","R"&amp;$C274&amp;"."&amp;$D274)</f>
        <v/>
      </c>
      <c r="AA274" s="15">
        <f>IF(IF($AP274="",FALSE,INDEX(職員マスタ!$K$6:$K$405,$AP274)&lt;&gt;""),INDEX(職員マスタ!$K$6:$K$405,$AP274),IF(N($W274)&gt;0,$W274,""))</f>
        <v/>
      </c>
      <c r="AB274" s="14">
        <f>IF(OR($E274="",$AA274=""),"",IF($E274&gt;=$AA274,"×",IF($E274&gt;=$AA274*設定!$C$5,"△","○")))</f>
        <v/>
      </c>
      <c r="AC274" s="15">
        <f>IF($AB274="","",IF($AB274="×",0,IF($AB274="○",ROUNDDOWN($E274*設定!$C$4,0),ROUNDDOWN($E274*ROUND((9*$AA274-9*$E274)/(10*$E274),4),0))))</f>
        <v/>
      </c>
      <c r="AD274" s="13" t="n"/>
      <c r="AE274" s="15">
        <f>IF($B274="","",IF($AD274&lt;&gt;"",$AD274,IF($AC274="","",IF($AC274&lt;=設定!$C$3,0,$AC274))))</f>
        <v/>
      </c>
      <c r="AF274" s="14">
        <f>IF($B274="","",IF(AND($AG274&lt;&gt;"",$AI274="",$AL274=""),"保留中",IF($AL274&lt;&gt;"",IF(N($AE274)&gt;0,"支給済","不支給"),IF($AE274="","要確認",IF($AE274=0,"不支給","未処理")))))</f>
        <v/>
      </c>
      <c r="AG274" s="12" t="n"/>
      <c r="AH274" s="11" t="n"/>
      <c r="AI274" s="11" t="n"/>
      <c r="AJ274" s="11" t="n"/>
      <c r="AK274" s="14">
        <f>IF(AND($AF274="保留中",$AH274&lt;&gt;""),TODAY()-$AH274,"")</f>
        <v/>
      </c>
      <c r="AL274" s="12" t="inlineStr">
        <is>
          <t>R7.8</t>
        </is>
      </c>
      <c r="AM274" s="14">
        <f>IF($B274="","",IF($AQ274="","対象年月が未入力／","")&amp;IF($B274="","",IF($AP274="","職員マスタに未登録の職員番号／",IF($AA274="","標準報酬月額が未登録／","")&amp;IF(AND($AQ274&lt;&gt;"",OR(AND(INDEX(職員マスタ!$G$6:$G$405,$AP274)&lt;&gt;"",INDEX(職員マスタ!$G$6:$G$405,$AP274)&gt;EOMONTH($AQ274,0)),AND(INDEX(職員マスタ!$H$6:$H$405,$AP274)&lt;&gt;"",INDEX(職員マスタ!$H$6:$H$405,$AP274)&lt;$AQ274))),"対象月が時短期間外／","")&amp;IF(AND(INDEX(職員マスタ!$K$6:$K$405,$AP274)&lt;&gt;"",N($W274)&gt;0,INDEX(職員マスタ!$K$6:$K$405,$AP274)&lt;&gt;$W274),"標準報酬月額が申請書と相違（台帳"&amp;TEXT(INDEX(職員マスタ!$K$6:$K$405,$AP274),"#,##0")&amp;"円／申請書"&amp;TEXT($W274,"#,##0")&amp;"円）／","")&amp;IF(AND(INDEX(職員マスタ!$F$6:$F$405,$AP274)&lt;&gt;"",$AQ274&lt;&gt;"",INDEX(職員マスタ!$F$6:$F$405,$AP274)&lt;$AQ274),"対象月に子が2歳到達済／","")&amp;IF(AND($H274&lt;&gt;"",INDEX(職員マスタ!$B$6:$B$405,$AP274)&lt;&gt;"",SUBSTITUTE(SUBSTITUTE($H274," ","")," ","")&lt;&gt;SUBSTITUTE(SUBSTITUTE(INDEX(職員マスタ!$B$6:$B$405,$AP274)," ","")," ","")),"氏名がマスタと相違／","")&amp;IF(AND($Q274&lt;&gt;"",INDEX(職員マスタ!$E$6:$E$405,$AP274)&lt;&gt;"",$Q274&lt;&gt;INDEX(職員マスタ!$E$6:$E$405,$AP274)),"子の生年月日がマスタと相違／","")&amp;IF(AND($L274&lt;&gt;"",INDEX(職員マスタ!$G$6:$G$405,$AP274)&lt;&gt;"",$L274&lt;&gt;INDEX(職員マスタ!$G$6:$G$405,$AP274)),"時短開始日がマスタと相違／","")&amp;IF(AND($M274&lt;&gt;"",INDEX(職員マスタ!$H$6:$H$405,$AP274)&lt;&gt;"",$M274&lt;&gt;INDEX(職員マスタ!$H$6:$H$405,$AP274)),"時短終了日がマスタと相違／","")))&amp;IF(AND($B274&lt;&gt;"",$E274=""),"報酬額が未入力／","")&amp;IF(N($U274)&gt;0,"申請書に入力エラーが残っています／","")&amp;IF(AND($B274&lt;&gt;"",$AQ274&lt;&gt;""),IF(COUNTIFS($B$6:$B$3005,$B274,$C$6:$C$3005,$C274,$D$6:$D$3005,$D274)&gt;1,"同じ月の請求が重複しています／",""),"")&amp;IF(AND(N($E274)&gt;0,$AB274&lt;&gt;"",$AB274&lt;&gt;"×",$AE274=0,$AD274=""),"計算額が下限以下のため不支給／",""))</f>
        <v/>
      </c>
      <c r="AN274" s="12" t="n"/>
      <c r="AO274" s="14">
        <f>IF($AF274="保留中",COUNTIF($AF$6:$AF274,"保留中"),"")</f>
        <v/>
      </c>
      <c r="AP274" s="14">
        <f>IF($AQ274="","",IF(SUMPRODUCT(MAX((職員マスタ!$A$6:$A$405=$B274)*(((職員マスタ!$G$6:$G$405="")+(職員マスタ!$G$6:$G$405&lt;=EOMONTH($AQ274,0)))&gt;0)*(((職員マスタ!$H$6:$H$405="")+(職員マスタ!$H$6:$H$405&gt;=$AQ274))&gt;0)*(ROW(職員マスタ!$A$6:$A$405)-5)))&gt;0,SUMPRODUCT(MAX((職員マスタ!$A$6:$A$405=$B274)*(((職員マスタ!$G$6:$G$405="")+(職員マスタ!$G$6:$G$405&lt;=EOMONTH($AQ274,0)))&gt;0)*(((職員マスタ!$H$6:$H$405="")+(職員マスタ!$H$6:$H$405&gt;=$AQ274))&gt;0)*(ROW(職員マスタ!$A$6:$A$405)-5))),IFERROR(MATCH($B274,職員マスタ!$A$6:$A$405,0),"")))</f>
        <v/>
      </c>
      <c r="AQ274" s="16">
        <f>IF(OR($B274="",$C274="",$D274=""),"",DATE($C274+2018,$D274,1))</f>
        <v/>
      </c>
    </row>
    <row r="275">
      <c r="A275" s="11" t="n"/>
      <c r="B275" s="12" t="n">
        <v>6602619</v>
      </c>
      <c r="C275" s="12" t="n">
        <v>7</v>
      </c>
      <c r="D275" s="12" t="n">
        <v>7</v>
      </c>
      <c r="E275" s="13" t="n">
        <v>185145</v>
      </c>
      <c r="F275" s="12" t="n"/>
      <c r="G275" s="13" t="n"/>
      <c r="H275" s="12" t="n"/>
      <c r="I275" s="12" t="n"/>
      <c r="J275" s="12" t="n"/>
      <c r="K275" s="12" t="n"/>
      <c r="L275" s="11" t="n"/>
      <c r="M275" s="11" t="n"/>
      <c r="N275" s="11" t="n"/>
      <c r="O275" s="11" t="n"/>
      <c r="P275" s="12" t="n"/>
      <c r="Q275" s="11" t="n"/>
      <c r="R275" s="12" t="n"/>
      <c r="S275" s="11" t="n"/>
      <c r="T275" s="12" t="n"/>
      <c r="U275" s="12" t="n"/>
      <c r="V275" s="12" t="n"/>
      <c r="W275" s="13" t="n"/>
      <c r="X275" s="14">
        <f>IF($AP275="",IF($B275="","",$H275),IF(INDEX(職員マスタ!$B$6:$B$405,$AP275)="",$H275,INDEX(職員マスタ!$B$6:$B$405,$AP275)))</f>
        <v/>
      </c>
      <c r="Y275" s="14">
        <f>IF($AP275="",IF($B275="","",$R275),IF(INDEX(職員マスタ!$C$6:$C$405,$AP275)="",$R275,INDEX(職員マスタ!$C$6:$C$405,$AP275)))</f>
        <v/>
      </c>
      <c r="Z275" s="14">
        <f>IF($AQ275="","","R"&amp;$C275&amp;"."&amp;$D275)</f>
        <v/>
      </c>
      <c r="AA275" s="15">
        <f>IF(IF($AP275="",FALSE,INDEX(職員マスタ!$K$6:$K$405,$AP275)&lt;&gt;""),INDEX(職員マスタ!$K$6:$K$405,$AP275),IF(N($W275)&gt;0,$W275,""))</f>
        <v/>
      </c>
      <c r="AB275" s="14">
        <f>IF(OR($E275="",$AA275=""),"",IF($E275&gt;=$AA275,"×",IF($E275&gt;=$AA275*設定!$C$5,"△","○")))</f>
        <v/>
      </c>
      <c r="AC275" s="15">
        <f>IF($AB275="","",IF($AB275="×",0,IF($AB275="○",ROUNDDOWN($E275*設定!$C$4,0),ROUNDDOWN($E275*ROUND((9*$AA275-9*$E275)/(10*$E275),4),0))))</f>
        <v/>
      </c>
      <c r="AD275" s="13" t="n"/>
      <c r="AE275" s="15">
        <f>IF($B275="","",IF($AD275&lt;&gt;"",$AD275,IF($AC275="","",IF($AC275&lt;=設定!$C$3,0,$AC275))))</f>
        <v/>
      </c>
      <c r="AF275" s="14">
        <f>IF($B275="","",IF(AND($AG275&lt;&gt;"",$AI275="",$AL275=""),"保留中",IF($AL275&lt;&gt;"",IF(N($AE275)&gt;0,"支給済","不支給"),IF($AE275="","要確認",IF($AE275=0,"不支給","未処理")))))</f>
        <v/>
      </c>
      <c r="AG275" s="12" t="n"/>
      <c r="AH275" s="11" t="n"/>
      <c r="AI275" s="11" t="n"/>
      <c r="AJ275" s="11" t="n"/>
      <c r="AK275" s="14">
        <f>IF(AND($AF275="保留中",$AH275&lt;&gt;""),TODAY()-$AH275,"")</f>
        <v/>
      </c>
      <c r="AL275" s="12" t="inlineStr">
        <is>
          <t>R7.10</t>
        </is>
      </c>
      <c r="AM275" s="14">
        <f>IF($B275="","",IF($AQ275="","対象年月が未入力／","")&amp;IF($B275="","",IF($AP275="","職員マスタに未登録の職員番号／",IF($AA275="","標準報酬月額が未登録／","")&amp;IF(AND($AQ275&lt;&gt;"",OR(AND(INDEX(職員マスタ!$G$6:$G$405,$AP275)&lt;&gt;"",INDEX(職員マスタ!$G$6:$G$405,$AP275)&gt;EOMONTH($AQ275,0)),AND(INDEX(職員マスタ!$H$6:$H$405,$AP275)&lt;&gt;"",INDEX(職員マスタ!$H$6:$H$405,$AP275)&lt;$AQ275))),"対象月が時短期間外／","")&amp;IF(AND(INDEX(職員マスタ!$K$6:$K$405,$AP275)&lt;&gt;"",N($W275)&gt;0,INDEX(職員マスタ!$K$6:$K$405,$AP275)&lt;&gt;$W275),"標準報酬月額が申請書と相違（台帳"&amp;TEXT(INDEX(職員マスタ!$K$6:$K$405,$AP275),"#,##0")&amp;"円／申請書"&amp;TEXT($W275,"#,##0")&amp;"円）／","")&amp;IF(AND(INDEX(職員マスタ!$F$6:$F$405,$AP275)&lt;&gt;"",$AQ275&lt;&gt;"",INDEX(職員マスタ!$F$6:$F$405,$AP275)&lt;$AQ275),"対象月に子が2歳到達済／","")&amp;IF(AND($H275&lt;&gt;"",INDEX(職員マスタ!$B$6:$B$405,$AP275)&lt;&gt;"",SUBSTITUTE(SUBSTITUTE($H275," ","")," ","")&lt;&gt;SUBSTITUTE(SUBSTITUTE(INDEX(職員マスタ!$B$6:$B$405,$AP275)," ","")," ","")),"氏名がマスタと相違／","")&amp;IF(AND($Q275&lt;&gt;"",INDEX(職員マスタ!$E$6:$E$405,$AP275)&lt;&gt;"",$Q275&lt;&gt;INDEX(職員マスタ!$E$6:$E$405,$AP275)),"子の生年月日がマスタと相違／","")&amp;IF(AND($L275&lt;&gt;"",INDEX(職員マスタ!$G$6:$G$405,$AP275)&lt;&gt;"",$L275&lt;&gt;INDEX(職員マスタ!$G$6:$G$405,$AP275)),"時短開始日がマスタと相違／","")&amp;IF(AND($M275&lt;&gt;"",INDEX(職員マスタ!$H$6:$H$405,$AP275)&lt;&gt;"",$M275&lt;&gt;INDEX(職員マスタ!$H$6:$H$405,$AP275)),"時短終了日がマスタと相違／","")))&amp;IF(AND($B275&lt;&gt;"",$E275=""),"報酬額が未入力／","")&amp;IF(N($U275)&gt;0,"申請書に入力エラーが残っています／","")&amp;IF(AND($B275&lt;&gt;"",$AQ275&lt;&gt;""),IF(COUNTIFS($B$6:$B$3005,$B275,$C$6:$C$3005,$C275,$D$6:$D$3005,$D275)&gt;1,"同じ月の請求が重複しています／",""),"")&amp;IF(AND(N($E275)&gt;0,$AB275&lt;&gt;"",$AB275&lt;&gt;"×",$AE275=0,$AD275=""),"計算額が下限以下のため不支給／",""))</f>
        <v/>
      </c>
      <c r="AN275" s="12" t="n"/>
      <c r="AO275" s="14">
        <f>IF($AF275="保留中",COUNTIF($AF$6:$AF275,"保留中"),"")</f>
        <v/>
      </c>
      <c r="AP275" s="14">
        <f>IF($AQ275="","",IF(SUMPRODUCT(MAX((職員マスタ!$A$6:$A$405=$B275)*(((職員マスタ!$G$6:$G$405="")+(職員マスタ!$G$6:$G$405&lt;=EOMONTH($AQ275,0)))&gt;0)*(((職員マスタ!$H$6:$H$405="")+(職員マスタ!$H$6:$H$405&gt;=$AQ275))&gt;0)*(ROW(職員マスタ!$A$6:$A$405)-5)))&gt;0,SUMPRODUCT(MAX((職員マスタ!$A$6:$A$405=$B275)*(((職員マスタ!$G$6:$G$405="")+(職員マスタ!$G$6:$G$405&lt;=EOMONTH($AQ275,0)))&gt;0)*(((職員マスタ!$H$6:$H$405="")+(職員マスタ!$H$6:$H$405&gt;=$AQ275))&gt;0)*(ROW(職員マスタ!$A$6:$A$405)-5))),IFERROR(MATCH($B275,職員マスタ!$A$6:$A$405,0),"")))</f>
        <v/>
      </c>
      <c r="AQ275" s="16">
        <f>IF(OR($B275="",$C275="",$D275=""),"",DATE($C275+2018,$D275,1))</f>
        <v/>
      </c>
    </row>
    <row r="276">
      <c r="A276" s="11" t="n"/>
      <c r="B276" s="12" t="n">
        <v>6602635</v>
      </c>
      <c r="C276" s="12" t="n">
        <v>7</v>
      </c>
      <c r="D276" s="12" t="n">
        <v>5</v>
      </c>
      <c r="E276" s="13" t="n">
        <v>187354</v>
      </c>
      <c r="F276" s="12" t="n"/>
      <c r="G276" s="13" t="n"/>
      <c r="H276" s="12" t="n"/>
      <c r="I276" s="12" t="n"/>
      <c r="J276" s="12" t="n"/>
      <c r="K276" s="12" t="n"/>
      <c r="L276" s="11" t="n"/>
      <c r="M276" s="11" t="n"/>
      <c r="N276" s="11" t="n"/>
      <c r="O276" s="11" t="n"/>
      <c r="P276" s="12" t="n"/>
      <c r="Q276" s="11" t="n"/>
      <c r="R276" s="12" t="n"/>
      <c r="S276" s="11" t="n"/>
      <c r="T276" s="12" t="n"/>
      <c r="U276" s="12" t="n"/>
      <c r="V276" s="12" t="n"/>
      <c r="W276" s="13" t="n"/>
      <c r="X276" s="14">
        <f>IF($AP276="",IF($B276="","",$H276),IF(INDEX(職員マスタ!$B$6:$B$405,$AP276)="",$H276,INDEX(職員マスタ!$B$6:$B$405,$AP276)))</f>
        <v/>
      </c>
      <c r="Y276" s="14">
        <f>IF($AP276="",IF($B276="","",$R276),IF(INDEX(職員マスタ!$C$6:$C$405,$AP276)="",$R276,INDEX(職員マスタ!$C$6:$C$405,$AP276)))</f>
        <v/>
      </c>
      <c r="Z276" s="14">
        <f>IF($AQ276="","","R"&amp;$C276&amp;"."&amp;$D276)</f>
        <v/>
      </c>
      <c r="AA276" s="15">
        <f>IF(IF($AP276="",FALSE,INDEX(職員マスタ!$K$6:$K$405,$AP276)&lt;&gt;""),INDEX(職員マスタ!$K$6:$K$405,$AP276),IF(N($W276)&gt;0,$W276,""))</f>
        <v/>
      </c>
      <c r="AB276" s="14">
        <f>IF(OR($E276="",$AA276=""),"",IF($E276&gt;=$AA276,"×",IF($E276&gt;=$AA276*設定!$C$5,"△","○")))</f>
        <v/>
      </c>
      <c r="AC276" s="15">
        <f>IF($AB276="","",IF($AB276="×",0,IF($AB276="○",ROUNDDOWN($E276*設定!$C$4,0),ROUNDDOWN($E276*ROUND((9*$AA276-9*$E276)/(10*$E276),4),0))))</f>
        <v/>
      </c>
      <c r="AD276" s="13" t="n"/>
      <c r="AE276" s="15">
        <f>IF($B276="","",IF($AD276&lt;&gt;"",$AD276,IF($AC276="","",IF($AC276&lt;=設定!$C$3,0,$AC276))))</f>
        <v/>
      </c>
      <c r="AF276" s="14">
        <f>IF($B276="","",IF(AND($AG276&lt;&gt;"",$AI276="",$AL276=""),"保留中",IF($AL276&lt;&gt;"",IF(N($AE276)&gt;0,"支給済","不支給"),IF($AE276="","要確認",IF($AE276=0,"不支給","未処理")))))</f>
        <v/>
      </c>
      <c r="AG276" s="12" t="n"/>
      <c r="AH276" s="11" t="n"/>
      <c r="AI276" s="11" t="n"/>
      <c r="AJ276" s="11" t="n"/>
      <c r="AK276" s="14">
        <f>IF(AND($AF276="保留中",$AH276&lt;&gt;""),TODAY()-$AH276,"")</f>
        <v/>
      </c>
      <c r="AL276" s="12" t="inlineStr">
        <is>
          <t>R7.8</t>
        </is>
      </c>
      <c r="AM276" s="14">
        <f>IF($B276="","",IF($AQ276="","対象年月が未入力／","")&amp;IF($B276="","",IF($AP276="","職員マスタに未登録の職員番号／",IF($AA276="","標準報酬月額が未登録／","")&amp;IF(AND($AQ276&lt;&gt;"",OR(AND(INDEX(職員マスタ!$G$6:$G$405,$AP276)&lt;&gt;"",INDEX(職員マスタ!$G$6:$G$405,$AP276)&gt;EOMONTH($AQ276,0)),AND(INDEX(職員マスタ!$H$6:$H$405,$AP276)&lt;&gt;"",INDEX(職員マスタ!$H$6:$H$405,$AP276)&lt;$AQ276))),"対象月が時短期間外／","")&amp;IF(AND(INDEX(職員マスタ!$K$6:$K$405,$AP276)&lt;&gt;"",N($W276)&gt;0,INDEX(職員マスタ!$K$6:$K$405,$AP276)&lt;&gt;$W276),"標準報酬月額が申請書と相違（台帳"&amp;TEXT(INDEX(職員マスタ!$K$6:$K$405,$AP276),"#,##0")&amp;"円／申請書"&amp;TEXT($W276,"#,##0")&amp;"円）／","")&amp;IF(AND(INDEX(職員マスタ!$F$6:$F$405,$AP276)&lt;&gt;"",$AQ276&lt;&gt;"",INDEX(職員マスタ!$F$6:$F$405,$AP276)&lt;$AQ276),"対象月に子が2歳到達済／","")&amp;IF(AND($H276&lt;&gt;"",INDEX(職員マスタ!$B$6:$B$405,$AP276)&lt;&gt;"",SUBSTITUTE(SUBSTITUTE($H276," ","")," ","")&lt;&gt;SUBSTITUTE(SUBSTITUTE(INDEX(職員マスタ!$B$6:$B$405,$AP276)," ","")," ","")),"氏名がマスタと相違／","")&amp;IF(AND($Q276&lt;&gt;"",INDEX(職員マスタ!$E$6:$E$405,$AP276)&lt;&gt;"",$Q276&lt;&gt;INDEX(職員マスタ!$E$6:$E$405,$AP276)),"子の生年月日がマスタと相違／","")&amp;IF(AND($L276&lt;&gt;"",INDEX(職員マスタ!$G$6:$G$405,$AP276)&lt;&gt;"",$L276&lt;&gt;INDEX(職員マスタ!$G$6:$G$405,$AP276)),"時短開始日がマスタと相違／","")&amp;IF(AND($M276&lt;&gt;"",INDEX(職員マスタ!$H$6:$H$405,$AP276)&lt;&gt;"",$M276&lt;&gt;INDEX(職員マスタ!$H$6:$H$405,$AP276)),"時短終了日がマスタと相違／","")))&amp;IF(AND($B276&lt;&gt;"",$E276=""),"報酬額が未入力／","")&amp;IF(N($U276)&gt;0,"申請書に入力エラーが残っています／","")&amp;IF(AND($B276&lt;&gt;"",$AQ276&lt;&gt;""),IF(COUNTIFS($B$6:$B$3005,$B276,$C$6:$C$3005,$C276,$D$6:$D$3005,$D276)&gt;1,"同じ月の請求が重複しています／",""),"")&amp;IF(AND(N($E276)&gt;0,$AB276&lt;&gt;"",$AB276&lt;&gt;"×",$AE276=0,$AD276=""),"計算額が下限以下のため不支給／",""))</f>
        <v/>
      </c>
      <c r="AN276" s="12" t="n"/>
      <c r="AO276" s="14">
        <f>IF($AF276="保留中",COUNTIF($AF$6:$AF276,"保留中"),"")</f>
        <v/>
      </c>
      <c r="AP276" s="14">
        <f>IF($AQ276="","",IF(SUMPRODUCT(MAX((職員マスタ!$A$6:$A$405=$B276)*(((職員マスタ!$G$6:$G$405="")+(職員マスタ!$G$6:$G$405&lt;=EOMONTH($AQ276,0)))&gt;0)*(((職員マスタ!$H$6:$H$405="")+(職員マスタ!$H$6:$H$405&gt;=$AQ276))&gt;0)*(ROW(職員マスタ!$A$6:$A$405)-5)))&gt;0,SUMPRODUCT(MAX((職員マスタ!$A$6:$A$405=$B276)*(((職員マスタ!$G$6:$G$405="")+(職員マスタ!$G$6:$G$405&lt;=EOMONTH($AQ276,0)))&gt;0)*(((職員マスタ!$H$6:$H$405="")+(職員マスタ!$H$6:$H$405&gt;=$AQ276))&gt;0)*(ROW(職員マスタ!$A$6:$A$405)-5))),IFERROR(MATCH($B276,職員マスタ!$A$6:$A$405,0),"")))</f>
        <v/>
      </c>
      <c r="AQ276" s="16">
        <f>IF(OR($B276="",$C276="",$D276=""),"",DATE($C276+2018,$D276,1))</f>
        <v/>
      </c>
    </row>
    <row r="277">
      <c r="A277" s="11" t="n"/>
      <c r="B277" s="12" t="n">
        <v>6602635</v>
      </c>
      <c r="C277" s="12" t="n">
        <v>7</v>
      </c>
      <c r="D277" s="12" t="n">
        <v>6</v>
      </c>
      <c r="E277" s="13" t="n">
        <v>189280</v>
      </c>
      <c r="F277" s="12" t="n"/>
      <c r="G277" s="13" t="n"/>
      <c r="H277" s="12" t="n"/>
      <c r="I277" s="12" t="n"/>
      <c r="J277" s="12" t="n"/>
      <c r="K277" s="12" t="n"/>
      <c r="L277" s="11" t="n"/>
      <c r="M277" s="11" t="n"/>
      <c r="N277" s="11" t="n"/>
      <c r="O277" s="11" t="n"/>
      <c r="P277" s="12" t="n"/>
      <c r="Q277" s="11" t="n"/>
      <c r="R277" s="12" t="n"/>
      <c r="S277" s="11" t="n"/>
      <c r="T277" s="12" t="n"/>
      <c r="U277" s="12" t="n"/>
      <c r="V277" s="12" t="n"/>
      <c r="W277" s="13" t="n"/>
      <c r="X277" s="14">
        <f>IF($AP277="",IF($B277="","",$H277),IF(INDEX(職員マスタ!$B$6:$B$405,$AP277)="",$H277,INDEX(職員マスタ!$B$6:$B$405,$AP277)))</f>
        <v/>
      </c>
      <c r="Y277" s="14">
        <f>IF($AP277="",IF($B277="","",$R277),IF(INDEX(職員マスタ!$C$6:$C$405,$AP277)="",$R277,INDEX(職員マスタ!$C$6:$C$405,$AP277)))</f>
        <v/>
      </c>
      <c r="Z277" s="14">
        <f>IF($AQ277="","","R"&amp;$C277&amp;"."&amp;$D277)</f>
        <v/>
      </c>
      <c r="AA277" s="15">
        <f>IF(IF($AP277="",FALSE,INDEX(職員マスタ!$K$6:$K$405,$AP277)&lt;&gt;""),INDEX(職員マスタ!$K$6:$K$405,$AP277),IF(N($W277)&gt;0,$W277,""))</f>
        <v/>
      </c>
      <c r="AB277" s="14">
        <f>IF(OR($E277="",$AA277=""),"",IF($E277&gt;=$AA277,"×",IF($E277&gt;=$AA277*設定!$C$5,"△","○")))</f>
        <v/>
      </c>
      <c r="AC277" s="15">
        <f>IF($AB277="","",IF($AB277="×",0,IF($AB277="○",ROUNDDOWN($E277*設定!$C$4,0),ROUNDDOWN($E277*ROUND((9*$AA277-9*$E277)/(10*$E277),4),0))))</f>
        <v/>
      </c>
      <c r="AD277" s="13" t="n"/>
      <c r="AE277" s="15">
        <f>IF($B277="","",IF($AD277&lt;&gt;"",$AD277,IF($AC277="","",IF($AC277&lt;=設定!$C$3,0,$AC277))))</f>
        <v/>
      </c>
      <c r="AF277" s="14">
        <f>IF($B277="","",IF(AND($AG277&lt;&gt;"",$AI277="",$AL277=""),"保留中",IF($AL277&lt;&gt;"",IF(N($AE277)&gt;0,"支給済","不支給"),IF($AE277="","要確認",IF($AE277=0,"不支給","未処理")))))</f>
        <v/>
      </c>
      <c r="AG277" s="12" t="n"/>
      <c r="AH277" s="11" t="n"/>
      <c r="AI277" s="11" t="n"/>
      <c r="AJ277" s="11" t="n"/>
      <c r="AK277" s="14">
        <f>IF(AND($AF277="保留中",$AH277&lt;&gt;""),TODAY()-$AH277,"")</f>
        <v/>
      </c>
      <c r="AL277" s="12" t="inlineStr">
        <is>
          <t>R7.8</t>
        </is>
      </c>
      <c r="AM277" s="14">
        <f>IF($B277="","",IF($AQ277="","対象年月が未入力／","")&amp;IF($B277="","",IF($AP277="","職員マスタに未登録の職員番号／",IF($AA277="","標準報酬月額が未登録／","")&amp;IF(AND($AQ277&lt;&gt;"",OR(AND(INDEX(職員マスタ!$G$6:$G$405,$AP277)&lt;&gt;"",INDEX(職員マスタ!$G$6:$G$405,$AP277)&gt;EOMONTH($AQ277,0)),AND(INDEX(職員マスタ!$H$6:$H$405,$AP277)&lt;&gt;"",INDEX(職員マスタ!$H$6:$H$405,$AP277)&lt;$AQ277))),"対象月が時短期間外／","")&amp;IF(AND(INDEX(職員マスタ!$K$6:$K$405,$AP277)&lt;&gt;"",N($W277)&gt;0,INDEX(職員マスタ!$K$6:$K$405,$AP277)&lt;&gt;$W277),"標準報酬月額が申請書と相違（台帳"&amp;TEXT(INDEX(職員マスタ!$K$6:$K$405,$AP277),"#,##0")&amp;"円／申請書"&amp;TEXT($W277,"#,##0")&amp;"円）／","")&amp;IF(AND(INDEX(職員マスタ!$F$6:$F$405,$AP277)&lt;&gt;"",$AQ277&lt;&gt;"",INDEX(職員マスタ!$F$6:$F$405,$AP277)&lt;$AQ277),"対象月に子が2歳到達済／","")&amp;IF(AND($H277&lt;&gt;"",INDEX(職員マスタ!$B$6:$B$405,$AP277)&lt;&gt;"",SUBSTITUTE(SUBSTITUTE($H277," ","")," ","")&lt;&gt;SUBSTITUTE(SUBSTITUTE(INDEX(職員マスタ!$B$6:$B$405,$AP277)," ","")," ","")),"氏名がマスタと相違／","")&amp;IF(AND($Q277&lt;&gt;"",INDEX(職員マスタ!$E$6:$E$405,$AP277)&lt;&gt;"",$Q277&lt;&gt;INDEX(職員マスタ!$E$6:$E$405,$AP277)),"子の生年月日がマスタと相違／","")&amp;IF(AND($L277&lt;&gt;"",INDEX(職員マスタ!$G$6:$G$405,$AP277)&lt;&gt;"",$L277&lt;&gt;INDEX(職員マスタ!$G$6:$G$405,$AP277)),"時短開始日がマスタと相違／","")&amp;IF(AND($M277&lt;&gt;"",INDEX(職員マスタ!$H$6:$H$405,$AP277)&lt;&gt;"",$M277&lt;&gt;INDEX(職員マスタ!$H$6:$H$405,$AP277)),"時短終了日がマスタと相違／","")))&amp;IF(AND($B277&lt;&gt;"",$E277=""),"報酬額が未入力／","")&amp;IF(N($U277)&gt;0,"申請書に入力エラーが残っています／","")&amp;IF(AND($B277&lt;&gt;"",$AQ277&lt;&gt;""),IF(COUNTIFS($B$6:$B$3005,$B277,$C$6:$C$3005,$C277,$D$6:$D$3005,$D277)&gt;1,"同じ月の請求が重複しています／",""),"")&amp;IF(AND(N($E277)&gt;0,$AB277&lt;&gt;"",$AB277&lt;&gt;"×",$AE277=0,$AD277=""),"計算額が下限以下のため不支給／",""))</f>
        <v/>
      </c>
      <c r="AN277" s="12" t="n"/>
      <c r="AO277" s="14">
        <f>IF($AF277="保留中",COUNTIF($AF$6:$AF277,"保留中"),"")</f>
        <v/>
      </c>
      <c r="AP277" s="14">
        <f>IF($AQ277="","",IF(SUMPRODUCT(MAX((職員マスタ!$A$6:$A$405=$B277)*(((職員マスタ!$G$6:$G$405="")+(職員マスタ!$G$6:$G$405&lt;=EOMONTH($AQ277,0)))&gt;0)*(((職員マスタ!$H$6:$H$405="")+(職員マスタ!$H$6:$H$405&gt;=$AQ277))&gt;0)*(ROW(職員マスタ!$A$6:$A$405)-5)))&gt;0,SUMPRODUCT(MAX((職員マスタ!$A$6:$A$405=$B277)*(((職員マスタ!$G$6:$G$405="")+(職員マスタ!$G$6:$G$405&lt;=EOMONTH($AQ277,0)))&gt;0)*(((職員マスタ!$H$6:$H$405="")+(職員マスタ!$H$6:$H$405&gt;=$AQ277))&gt;0)*(ROW(職員マスタ!$A$6:$A$405)-5))),IFERROR(MATCH($B277,職員マスタ!$A$6:$A$405,0),"")))</f>
        <v/>
      </c>
      <c r="AQ277" s="16">
        <f>IF(OR($B277="",$C277="",$D277=""),"",DATE($C277+2018,$D277,1))</f>
        <v/>
      </c>
    </row>
    <row r="278">
      <c r="A278" s="11" t="n"/>
      <c r="B278" s="12" t="n">
        <v>6602635</v>
      </c>
      <c r="C278" s="12" t="n">
        <v>7</v>
      </c>
      <c r="D278" s="12" t="n">
        <v>7</v>
      </c>
      <c r="E278" s="13" t="n">
        <v>187354</v>
      </c>
      <c r="F278" s="12" t="n"/>
      <c r="G278" s="13" t="n"/>
      <c r="H278" s="12" t="n"/>
      <c r="I278" s="12" t="n"/>
      <c r="J278" s="12" t="n"/>
      <c r="K278" s="12" t="n"/>
      <c r="L278" s="11" t="n"/>
      <c r="M278" s="11" t="n"/>
      <c r="N278" s="11" t="n"/>
      <c r="O278" s="11" t="n"/>
      <c r="P278" s="12" t="n"/>
      <c r="Q278" s="11" t="n"/>
      <c r="R278" s="12" t="n"/>
      <c r="S278" s="11" t="n"/>
      <c r="T278" s="12" t="n"/>
      <c r="U278" s="12" t="n"/>
      <c r="V278" s="12" t="n"/>
      <c r="W278" s="13" t="n"/>
      <c r="X278" s="14">
        <f>IF($AP278="",IF($B278="","",$H278),IF(INDEX(職員マスタ!$B$6:$B$405,$AP278)="",$H278,INDEX(職員マスタ!$B$6:$B$405,$AP278)))</f>
        <v/>
      </c>
      <c r="Y278" s="14">
        <f>IF($AP278="",IF($B278="","",$R278),IF(INDEX(職員マスタ!$C$6:$C$405,$AP278)="",$R278,INDEX(職員マスタ!$C$6:$C$405,$AP278)))</f>
        <v/>
      </c>
      <c r="Z278" s="14">
        <f>IF($AQ278="","","R"&amp;$C278&amp;"."&amp;$D278)</f>
        <v/>
      </c>
      <c r="AA278" s="15">
        <f>IF(IF($AP278="",FALSE,INDEX(職員マスタ!$K$6:$K$405,$AP278)&lt;&gt;""),INDEX(職員マスタ!$K$6:$K$405,$AP278),IF(N($W278)&gt;0,$W278,""))</f>
        <v/>
      </c>
      <c r="AB278" s="14">
        <f>IF(OR($E278="",$AA278=""),"",IF($E278&gt;=$AA278,"×",IF($E278&gt;=$AA278*設定!$C$5,"△","○")))</f>
        <v/>
      </c>
      <c r="AC278" s="15">
        <f>IF($AB278="","",IF($AB278="×",0,IF($AB278="○",ROUNDDOWN($E278*設定!$C$4,0),ROUNDDOWN($E278*ROUND((9*$AA278-9*$E278)/(10*$E278),4),0))))</f>
        <v/>
      </c>
      <c r="AD278" s="13" t="n"/>
      <c r="AE278" s="15">
        <f>IF($B278="","",IF($AD278&lt;&gt;"",$AD278,IF($AC278="","",IF($AC278&lt;=設定!$C$3,0,$AC278))))</f>
        <v/>
      </c>
      <c r="AF278" s="14">
        <f>IF($B278="","",IF(AND($AG278&lt;&gt;"",$AI278="",$AL278=""),"保留中",IF($AL278&lt;&gt;"",IF(N($AE278)&gt;0,"支給済","不支給"),IF($AE278="","要確認",IF($AE278=0,"不支給","未処理")))))</f>
        <v/>
      </c>
      <c r="AG278" s="12" t="n"/>
      <c r="AH278" s="11" t="n"/>
      <c r="AI278" s="11" t="n"/>
      <c r="AJ278" s="11" t="n"/>
      <c r="AK278" s="14">
        <f>IF(AND($AF278="保留中",$AH278&lt;&gt;""),TODAY()-$AH278,"")</f>
        <v/>
      </c>
      <c r="AL278" s="12" t="inlineStr">
        <is>
          <t>R7.9</t>
        </is>
      </c>
      <c r="AM278" s="14">
        <f>IF($B278="","",IF($AQ278="","対象年月が未入力／","")&amp;IF($B278="","",IF($AP278="","職員マスタに未登録の職員番号／",IF($AA278="","標準報酬月額が未登録／","")&amp;IF(AND($AQ278&lt;&gt;"",OR(AND(INDEX(職員マスタ!$G$6:$G$405,$AP278)&lt;&gt;"",INDEX(職員マスタ!$G$6:$G$405,$AP278)&gt;EOMONTH($AQ278,0)),AND(INDEX(職員マスタ!$H$6:$H$405,$AP278)&lt;&gt;"",INDEX(職員マスタ!$H$6:$H$405,$AP278)&lt;$AQ278))),"対象月が時短期間外／","")&amp;IF(AND(INDEX(職員マスタ!$K$6:$K$405,$AP278)&lt;&gt;"",N($W278)&gt;0,INDEX(職員マスタ!$K$6:$K$405,$AP278)&lt;&gt;$W278),"標準報酬月額が申請書と相違（台帳"&amp;TEXT(INDEX(職員マスタ!$K$6:$K$405,$AP278),"#,##0")&amp;"円／申請書"&amp;TEXT($W278,"#,##0")&amp;"円）／","")&amp;IF(AND(INDEX(職員マスタ!$F$6:$F$405,$AP278)&lt;&gt;"",$AQ278&lt;&gt;"",INDEX(職員マスタ!$F$6:$F$405,$AP278)&lt;$AQ278),"対象月に子が2歳到達済／","")&amp;IF(AND($H278&lt;&gt;"",INDEX(職員マスタ!$B$6:$B$405,$AP278)&lt;&gt;"",SUBSTITUTE(SUBSTITUTE($H278," ","")," ","")&lt;&gt;SUBSTITUTE(SUBSTITUTE(INDEX(職員マスタ!$B$6:$B$405,$AP278)," ","")," ","")),"氏名がマスタと相違／","")&amp;IF(AND($Q278&lt;&gt;"",INDEX(職員マスタ!$E$6:$E$405,$AP278)&lt;&gt;"",$Q278&lt;&gt;INDEX(職員マスタ!$E$6:$E$405,$AP278)),"子の生年月日がマスタと相違／","")&amp;IF(AND($L278&lt;&gt;"",INDEX(職員マスタ!$G$6:$G$405,$AP278)&lt;&gt;"",$L278&lt;&gt;INDEX(職員マスタ!$G$6:$G$405,$AP278)),"時短開始日がマスタと相違／","")&amp;IF(AND($M278&lt;&gt;"",INDEX(職員マスタ!$H$6:$H$405,$AP278)&lt;&gt;"",$M278&lt;&gt;INDEX(職員マスタ!$H$6:$H$405,$AP278)),"時短終了日がマスタと相違／","")))&amp;IF(AND($B278&lt;&gt;"",$E278=""),"報酬額が未入力／","")&amp;IF(N($U278)&gt;0,"申請書に入力エラーが残っています／","")&amp;IF(AND($B278&lt;&gt;"",$AQ278&lt;&gt;""),IF(COUNTIFS($B$6:$B$3005,$B278,$C$6:$C$3005,$C278,$D$6:$D$3005,$D278)&gt;1,"同じ月の請求が重複しています／",""),"")&amp;IF(AND(N($E278)&gt;0,$AB278&lt;&gt;"",$AB278&lt;&gt;"×",$AE278=0,$AD278=""),"計算額が下限以下のため不支給／",""))</f>
        <v/>
      </c>
      <c r="AN278" s="12" t="n"/>
      <c r="AO278" s="14">
        <f>IF($AF278="保留中",COUNTIF($AF$6:$AF278,"保留中"),"")</f>
        <v/>
      </c>
      <c r="AP278" s="14">
        <f>IF($AQ278="","",IF(SUMPRODUCT(MAX((職員マスタ!$A$6:$A$405=$B278)*(((職員マスタ!$G$6:$G$405="")+(職員マスタ!$G$6:$G$405&lt;=EOMONTH($AQ278,0)))&gt;0)*(((職員マスタ!$H$6:$H$405="")+(職員マスタ!$H$6:$H$405&gt;=$AQ278))&gt;0)*(ROW(職員マスタ!$A$6:$A$405)-5)))&gt;0,SUMPRODUCT(MAX((職員マスタ!$A$6:$A$405=$B278)*(((職員マスタ!$G$6:$G$405="")+(職員マスタ!$G$6:$G$405&lt;=EOMONTH($AQ278,0)))&gt;0)*(((職員マスタ!$H$6:$H$405="")+(職員マスタ!$H$6:$H$405&gt;=$AQ278))&gt;0)*(ROW(職員マスタ!$A$6:$A$405)-5))),IFERROR(MATCH($B278,職員マスタ!$A$6:$A$405,0),"")))</f>
        <v/>
      </c>
      <c r="AQ278" s="16">
        <f>IF(OR($B278="",$C278="",$D278=""),"",DATE($C278+2018,$D278,1))</f>
        <v/>
      </c>
    </row>
    <row r="279">
      <c r="A279" s="11" t="n"/>
      <c r="B279" s="12" t="n">
        <v>6602635</v>
      </c>
      <c r="C279" s="12" t="n">
        <v>7</v>
      </c>
      <c r="D279" s="12" t="n">
        <v>8</v>
      </c>
      <c r="E279" s="13" t="n">
        <v>187354</v>
      </c>
      <c r="F279" s="12" t="n"/>
      <c r="G279" s="13" t="n"/>
      <c r="H279" s="12" t="n"/>
      <c r="I279" s="12" t="n"/>
      <c r="J279" s="12" t="n"/>
      <c r="K279" s="12" t="n"/>
      <c r="L279" s="11" t="n"/>
      <c r="M279" s="11" t="n"/>
      <c r="N279" s="11" t="n"/>
      <c r="O279" s="11" t="n"/>
      <c r="P279" s="12" t="n"/>
      <c r="Q279" s="11" t="n"/>
      <c r="R279" s="12" t="n"/>
      <c r="S279" s="11" t="n"/>
      <c r="T279" s="12" t="n"/>
      <c r="U279" s="12" t="n"/>
      <c r="V279" s="12" t="n"/>
      <c r="W279" s="13" t="n"/>
      <c r="X279" s="14">
        <f>IF($AP279="",IF($B279="","",$H279),IF(INDEX(職員マスタ!$B$6:$B$405,$AP279)="",$H279,INDEX(職員マスタ!$B$6:$B$405,$AP279)))</f>
        <v/>
      </c>
      <c r="Y279" s="14">
        <f>IF($AP279="",IF($B279="","",$R279),IF(INDEX(職員マスタ!$C$6:$C$405,$AP279)="",$R279,INDEX(職員マスタ!$C$6:$C$405,$AP279)))</f>
        <v/>
      </c>
      <c r="Z279" s="14">
        <f>IF($AQ279="","","R"&amp;$C279&amp;"."&amp;$D279)</f>
        <v/>
      </c>
      <c r="AA279" s="15">
        <f>IF(IF($AP279="",FALSE,INDEX(職員マスタ!$K$6:$K$405,$AP279)&lt;&gt;""),INDEX(職員マスタ!$K$6:$K$405,$AP279),IF(N($W279)&gt;0,$W279,""))</f>
        <v/>
      </c>
      <c r="AB279" s="14">
        <f>IF(OR($E279="",$AA279=""),"",IF($E279&gt;=$AA279,"×",IF($E279&gt;=$AA279*設定!$C$5,"△","○")))</f>
        <v/>
      </c>
      <c r="AC279" s="15">
        <f>IF($AB279="","",IF($AB279="×",0,IF($AB279="○",ROUNDDOWN($E279*設定!$C$4,0),ROUNDDOWN($E279*ROUND((9*$AA279-9*$E279)/(10*$E279),4),0))))</f>
        <v/>
      </c>
      <c r="AD279" s="13" t="n"/>
      <c r="AE279" s="15">
        <f>IF($B279="","",IF($AD279&lt;&gt;"",$AD279,IF($AC279="","",IF($AC279&lt;=設定!$C$3,0,$AC279))))</f>
        <v/>
      </c>
      <c r="AF279" s="14">
        <f>IF($B279="","",IF(AND($AG279&lt;&gt;"",$AI279="",$AL279=""),"保留中",IF($AL279&lt;&gt;"",IF(N($AE279)&gt;0,"支給済","不支給"),IF($AE279="","要確認",IF($AE279=0,"不支給","未処理")))))</f>
        <v/>
      </c>
      <c r="AG279" s="12" t="n"/>
      <c r="AH279" s="11" t="n"/>
      <c r="AI279" s="11" t="n"/>
      <c r="AJ279" s="11" t="n"/>
      <c r="AK279" s="14">
        <f>IF(AND($AF279="保留中",$AH279&lt;&gt;""),TODAY()-$AH279,"")</f>
        <v/>
      </c>
      <c r="AL279" s="12" t="inlineStr">
        <is>
          <t>R7.10</t>
        </is>
      </c>
      <c r="AM279" s="14">
        <f>IF($B279="","",IF($AQ279="","対象年月が未入力／","")&amp;IF($B279="","",IF($AP279="","職員マスタに未登録の職員番号／",IF($AA279="","標準報酬月額が未登録／","")&amp;IF(AND($AQ279&lt;&gt;"",OR(AND(INDEX(職員マスタ!$G$6:$G$405,$AP279)&lt;&gt;"",INDEX(職員マスタ!$G$6:$G$405,$AP279)&gt;EOMONTH($AQ279,0)),AND(INDEX(職員マスタ!$H$6:$H$405,$AP279)&lt;&gt;"",INDEX(職員マスタ!$H$6:$H$405,$AP279)&lt;$AQ279))),"対象月が時短期間外／","")&amp;IF(AND(INDEX(職員マスタ!$K$6:$K$405,$AP279)&lt;&gt;"",N($W279)&gt;0,INDEX(職員マスタ!$K$6:$K$405,$AP279)&lt;&gt;$W279),"標準報酬月額が申請書と相違（台帳"&amp;TEXT(INDEX(職員マスタ!$K$6:$K$405,$AP279),"#,##0")&amp;"円／申請書"&amp;TEXT($W279,"#,##0")&amp;"円）／","")&amp;IF(AND(INDEX(職員マスタ!$F$6:$F$405,$AP279)&lt;&gt;"",$AQ279&lt;&gt;"",INDEX(職員マスタ!$F$6:$F$405,$AP279)&lt;$AQ279),"対象月に子が2歳到達済／","")&amp;IF(AND($H279&lt;&gt;"",INDEX(職員マスタ!$B$6:$B$405,$AP279)&lt;&gt;"",SUBSTITUTE(SUBSTITUTE($H279," ","")," ","")&lt;&gt;SUBSTITUTE(SUBSTITUTE(INDEX(職員マスタ!$B$6:$B$405,$AP279)," ","")," ","")),"氏名がマスタと相違／","")&amp;IF(AND($Q279&lt;&gt;"",INDEX(職員マスタ!$E$6:$E$405,$AP279)&lt;&gt;"",$Q279&lt;&gt;INDEX(職員マスタ!$E$6:$E$405,$AP279)),"子の生年月日がマスタと相違／","")&amp;IF(AND($L279&lt;&gt;"",INDEX(職員マスタ!$G$6:$G$405,$AP279)&lt;&gt;"",$L279&lt;&gt;INDEX(職員マスタ!$G$6:$G$405,$AP279)),"時短開始日がマスタと相違／","")&amp;IF(AND($M279&lt;&gt;"",INDEX(職員マスタ!$H$6:$H$405,$AP279)&lt;&gt;"",$M279&lt;&gt;INDEX(職員マスタ!$H$6:$H$405,$AP279)),"時短終了日がマスタと相違／","")))&amp;IF(AND($B279&lt;&gt;"",$E279=""),"報酬額が未入力／","")&amp;IF(N($U279)&gt;0,"申請書に入力エラーが残っています／","")&amp;IF(AND($B279&lt;&gt;"",$AQ279&lt;&gt;""),IF(COUNTIFS($B$6:$B$3005,$B279,$C$6:$C$3005,$C279,$D$6:$D$3005,$D279)&gt;1,"同じ月の請求が重複しています／",""),"")&amp;IF(AND(N($E279)&gt;0,$AB279&lt;&gt;"",$AB279&lt;&gt;"×",$AE279=0,$AD279=""),"計算額が下限以下のため不支給／",""))</f>
        <v/>
      </c>
      <c r="AN279" s="12" t="n"/>
      <c r="AO279" s="14">
        <f>IF($AF279="保留中",COUNTIF($AF$6:$AF279,"保留中"),"")</f>
        <v/>
      </c>
      <c r="AP279" s="14">
        <f>IF($AQ279="","",IF(SUMPRODUCT(MAX((職員マスタ!$A$6:$A$405=$B279)*(((職員マスタ!$G$6:$G$405="")+(職員マスタ!$G$6:$G$405&lt;=EOMONTH($AQ279,0)))&gt;0)*(((職員マスタ!$H$6:$H$405="")+(職員マスタ!$H$6:$H$405&gt;=$AQ279))&gt;0)*(ROW(職員マスタ!$A$6:$A$405)-5)))&gt;0,SUMPRODUCT(MAX((職員マスタ!$A$6:$A$405=$B279)*(((職員マスタ!$G$6:$G$405="")+(職員マスタ!$G$6:$G$405&lt;=EOMONTH($AQ279,0)))&gt;0)*(((職員マスタ!$H$6:$H$405="")+(職員マスタ!$H$6:$H$405&gt;=$AQ279))&gt;0)*(ROW(職員マスタ!$A$6:$A$405)-5))),IFERROR(MATCH($B279,職員マスタ!$A$6:$A$405,0),"")))</f>
        <v/>
      </c>
      <c r="AQ279" s="16">
        <f>IF(OR($B279="",$C279="",$D279=""),"",DATE($C279+2018,$D279,1))</f>
        <v/>
      </c>
    </row>
    <row r="280">
      <c r="A280" s="11" t="n"/>
      <c r="B280" s="12" t="n">
        <v>6602635</v>
      </c>
      <c r="C280" s="12" t="n">
        <v>7</v>
      </c>
      <c r="D280" s="12" t="n">
        <v>9</v>
      </c>
      <c r="E280" s="13" t="n">
        <v>189280</v>
      </c>
      <c r="F280" s="12" t="n"/>
      <c r="G280" s="13" t="n"/>
      <c r="H280" s="12" t="n"/>
      <c r="I280" s="12" t="n"/>
      <c r="J280" s="12" t="n"/>
      <c r="K280" s="12" t="n"/>
      <c r="L280" s="11" t="n"/>
      <c r="M280" s="11" t="n"/>
      <c r="N280" s="11" t="n"/>
      <c r="O280" s="11" t="n"/>
      <c r="P280" s="12" t="n"/>
      <c r="Q280" s="11" t="n"/>
      <c r="R280" s="12" t="n"/>
      <c r="S280" s="11" t="n"/>
      <c r="T280" s="12" t="n"/>
      <c r="U280" s="12" t="n"/>
      <c r="V280" s="12" t="n"/>
      <c r="W280" s="13" t="n"/>
      <c r="X280" s="14">
        <f>IF($AP280="",IF($B280="","",$H280),IF(INDEX(職員マスタ!$B$6:$B$405,$AP280)="",$H280,INDEX(職員マスタ!$B$6:$B$405,$AP280)))</f>
        <v/>
      </c>
      <c r="Y280" s="14">
        <f>IF($AP280="",IF($B280="","",$R280),IF(INDEX(職員マスタ!$C$6:$C$405,$AP280)="",$R280,INDEX(職員マスタ!$C$6:$C$405,$AP280)))</f>
        <v/>
      </c>
      <c r="Z280" s="14">
        <f>IF($AQ280="","","R"&amp;$C280&amp;"."&amp;$D280)</f>
        <v/>
      </c>
      <c r="AA280" s="15">
        <f>IF(IF($AP280="",FALSE,INDEX(職員マスタ!$K$6:$K$405,$AP280)&lt;&gt;""),INDEX(職員マスタ!$K$6:$K$405,$AP280),IF(N($W280)&gt;0,$W280,""))</f>
        <v/>
      </c>
      <c r="AB280" s="14">
        <f>IF(OR($E280="",$AA280=""),"",IF($E280&gt;=$AA280,"×",IF($E280&gt;=$AA280*設定!$C$5,"△","○")))</f>
        <v/>
      </c>
      <c r="AC280" s="15">
        <f>IF($AB280="","",IF($AB280="×",0,IF($AB280="○",ROUNDDOWN($E280*設定!$C$4,0),ROUNDDOWN($E280*ROUND((9*$AA280-9*$E280)/(10*$E280),4),0))))</f>
        <v/>
      </c>
      <c r="AD280" s="13" t="n"/>
      <c r="AE280" s="15">
        <f>IF($B280="","",IF($AD280&lt;&gt;"",$AD280,IF($AC280="","",IF($AC280&lt;=設定!$C$3,0,$AC280))))</f>
        <v/>
      </c>
      <c r="AF280" s="14">
        <f>IF($B280="","",IF(AND($AG280&lt;&gt;"",$AI280="",$AL280=""),"保留中",IF($AL280&lt;&gt;"",IF(N($AE280)&gt;0,"支給済","不支給"),IF($AE280="","要確認",IF($AE280=0,"不支給","未処理")))))</f>
        <v/>
      </c>
      <c r="AG280" s="12" t="n"/>
      <c r="AH280" s="11" t="n"/>
      <c r="AI280" s="11" t="n"/>
      <c r="AJ280" s="11" t="n"/>
      <c r="AK280" s="14">
        <f>IF(AND($AF280="保留中",$AH280&lt;&gt;""),TODAY()-$AH280,"")</f>
        <v/>
      </c>
      <c r="AL280" s="12" t="inlineStr">
        <is>
          <t>R7.11</t>
        </is>
      </c>
      <c r="AM280" s="14">
        <f>IF($B280="","",IF($AQ280="","対象年月が未入力／","")&amp;IF($B280="","",IF($AP280="","職員マスタに未登録の職員番号／",IF($AA280="","標準報酬月額が未登録／","")&amp;IF(AND($AQ280&lt;&gt;"",OR(AND(INDEX(職員マスタ!$G$6:$G$405,$AP280)&lt;&gt;"",INDEX(職員マスタ!$G$6:$G$405,$AP280)&gt;EOMONTH($AQ280,0)),AND(INDEX(職員マスタ!$H$6:$H$405,$AP280)&lt;&gt;"",INDEX(職員マスタ!$H$6:$H$405,$AP280)&lt;$AQ280))),"対象月が時短期間外／","")&amp;IF(AND(INDEX(職員マスタ!$K$6:$K$405,$AP280)&lt;&gt;"",N($W280)&gt;0,INDEX(職員マスタ!$K$6:$K$405,$AP280)&lt;&gt;$W280),"標準報酬月額が申請書と相違（台帳"&amp;TEXT(INDEX(職員マスタ!$K$6:$K$405,$AP280),"#,##0")&amp;"円／申請書"&amp;TEXT($W280,"#,##0")&amp;"円）／","")&amp;IF(AND(INDEX(職員マスタ!$F$6:$F$405,$AP280)&lt;&gt;"",$AQ280&lt;&gt;"",INDEX(職員マスタ!$F$6:$F$405,$AP280)&lt;$AQ280),"対象月に子が2歳到達済／","")&amp;IF(AND($H280&lt;&gt;"",INDEX(職員マスタ!$B$6:$B$405,$AP280)&lt;&gt;"",SUBSTITUTE(SUBSTITUTE($H280," ","")," ","")&lt;&gt;SUBSTITUTE(SUBSTITUTE(INDEX(職員マスタ!$B$6:$B$405,$AP280)," ","")," ","")),"氏名がマスタと相違／","")&amp;IF(AND($Q280&lt;&gt;"",INDEX(職員マスタ!$E$6:$E$405,$AP280)&lt;&gt;"",$Q280&lt;&gt;INDEX(職員マスタ!$E$6:$E$405,$AP280)),"子の生年月日がマスタと相違／","")&amp;IF(AND($L280&lt;&gt;"",INDEX(職員マスタ!$G$6:$G$405,$AP280)&lt;&gt;"",$L280&lt;&gt;INDEX(職員マスタ!$G$6:$G$405,$AP280)),"時短開始日がマスタと相違／","")&amp;IF(AND($M280&lt;&gt;"",INDEX(職員マスタ!$H$6:$H$405,$AP280)&lt;&gt;"",$M280&lt;&gt;INDEX(職員マスタ!$H$6:$H$405,$AP280)),"時短終了日がマスタと相違／","")))&amp;IF(AND($B280&lt;&gt;"",$E280=""),"報酬額が未入力／","")&amp;IF(N($U280)&gt;0,"申請書に入力エラーが残っています／","")&amp;IF(AND($B280&lt;&gt;"",$AQ280&lt;&gt;""),IF(COUNTIFS($B$6:$B$3005,$B280,$C$6:$C$3005,$C280,$D$6:$D$3005,$D280)&gt;1,"同じ月の請求が重複しています／",""),"")&amp;IF(AND(N($E280)&gt;0,$AB280&lt;&gt;"",$AB280&lt;&gt;"×",$AE280=0,$AD280=""),"計算額が下限以下のため不支給／",""))</f>
        <v/>
      </c>
      <c r="AN280" s="12" t="n"/>
      <c r="AO280" s="14">
        <f>IF($AF280="保留中",COUNTIF($AF$6:$AF280,"保留中"),"")</f>
        <v/>
      </c>
      <c r="AP280" s="14">
        <f>IF($AQ280="","",IF(SUMPRODUCT(MAX((職員マスタ!$A$6:$A$405=$B280)*(((職員マスタ!$G$6:$G$405="")+(職員マスタ!$G$6:$G$405&lt;=EOMONTH($AQ280,0)))&gt;0)*(((職員マスタ!$H$6:$H$405="")+(職員マスタ!$H$6:$H$405&gt;=$AQ280))&gt;0)*(ROW(職員マスタ!$A$6:$A$405)-5)))&gt;0,SUMPRODUCT(MAX((職員マスタ!$A$6:$A$405=$B280)*(((職員マスタ!$G$6:$G$405="")+(職員マスタ!$G$6:$G$405&lt;=EOMONTH($AQ280,0)))&gt;0)*(((職員マスタ!$H$6:$H$405="")+(職員マスタ!$H$6:$H$405&gt;=$AQ280))&gt;0)*(ROW(職員マスタ!$A$6:$A$405)-5))),IFERROR(MATCH($B280,職員マスタ!$A$6:$A$405,0),"")))</f>
        <v/>
      </c>
      <c r="AQ280" s="16">
        <f>IF(OR($B280="",$C280="",$D280=""),"",DATE($C280+2018,$D280,1))</f>
        <v/>
      </c>
    </row>
    <row r="281">
      <c r="A281" s="11" t="n"/>
      <c r="B281" s="12" t="n">
        <v>6602635</v>
      </c>
      <c r="C281" s="12" t="n">
        <v>7</v>
      </c>
      <c r="D281" s="12" t="n">
        <v>10</v>
      </c>
      <c r="E281" s="13" t="n">
        <v>189280</v>
      </c>
      <c r="F281" s="12" t="n"/>
      <c r="G281" s="13" t="n"/>
      <c r="H281" s="12" t="n"/>
      <c r="I281" s="12" t="n"/>
      <c r="J281" s="12" t="n"/>
      <c r="K281" s="12" t="n"/>
      <c r="L281" s="11" t="n"/>
      <c r="M281" s="11" t="n"/>
      <c r="N281" s="11" t="n"/>
      <c r="O281" s="11" t="n"/>
      <c r="P281" s="12" t="n"/>
      <c r="Q281" s="11" t="n"/>
      <c r="R281" s="12" t="n"/>
      <c r="S281" s="11" t="n"/>
      <c r="T281" s="12" t="n"/>
      <c r="U281" s="12" t="n"/>
      <c r="V281" s="12" t="n"/>
      <c r="W281" s="13" t="n"/>
      <c r="X281" s="14">
        <f>IF($AP281="",IF($B281="","",$H281),IF(INDEX(職員マスタ!$B$6:$B$405,$AP281)="",$H281,INDEX(職員マスタ!$B$6:$B$405,$AP281)))</f>
        <v/>
      </c>
      <c r="Y281" s="14">
        <f>IF($AP281="",IF($B281="","",$R281),IF(INDEX(職員マスタ!$C$6:$C$405,$AP281)="",$R281,INDEX(職員マスタ!$C$6:$C$405,$AP281)))</f>
        <v/>
      </c>
      <c r="Z281" s="14">
        <f>IF($AQ281="","","R"&amp;$C281&amp;"."&amp;$D281)</f>
        <v/>
      </c>
      <c r="AA281" s="15">
        <f>IF(IF($AP281="",FALSE,INDEX(職員マスタ!$K$6:$K$405,$AP281)&lt;&gt;""),INDEX(職員マスタ!$K$6:$K$405,$AP281),IF(N($W281)&gt;0,$W281,""))</f>
        <v/>
      </c>
      <c r="AB281" s="14">
        <f>IF(OR($E281="",$AA281=""),"",IF($E281&gt;=$AA281,"×",IF($E281&gt;=$AA281*設定!$C$5,"△","○")))</f>
        <v/>
      </c>
      <c r="AC281" s="15">
        <f>IF($AB281="","",IF($AB281="×",0,IF($AB281="○",ROUNDDOWN($E281*設定!$C$4,0),ROUNDDOWN($E281*ROUND((9*$AA281-9*$E281)/(10*$E281),4),0))))</f>
        <v/>
      </c>
      <c r="AD281" s="13" t="n"/>
      <c r="AE281" s="15">
        <f>IF($B281="","",IF($AD281&lt;&gt;"",$AD281,IF($AC281="","",IF($AC281&lt;=設定!$C$3,0,$AC281))))</f>
        <v/>
      </c>
      <c r="AF281" s="14">
        <f>IF($B281="","",IF(AND($AG281&lt;&gt;"",$AI281="",$AL281=""),"保留中",IF($AL281&lt;&gt;"",IF(N($AE281)&gt;0,"支給済","不支給"),IF($AE281="","要確認",IF($AE281=0,"不支給","未処理")))))</f>
        <v/>
      </c>
      <c r="AG281" s="12" t="n"/>
      <c r="AH281" s="11" t="n"/>
      <c r="AI281" s="11" t="n"/>
      <c r="AJ281" s="11" t="n"/>
      <c r="AK281" s="14">
        <f>IF(AND($AF281="保留中",$AH281&lt;&gt;""),TODAY()-$AH281,"")</f>
        <v/>
      </c>
      <c r="AL281" s="12" t="inlineStr">
        <is>
          <t>R7.12</t>
        </is>
      </c>
      <c r="AM281" s="14">
        <f>IF($B281="","",IF($AQ281="","対象年月が未入力／","")&amp;IF($B281="","",IF($AP281="","職員マスタに未登録の職員番号／",IF($AA281="","標準報酬月額が未登録／","")&amp;IF(AND($AQ281&lt;&gt;"",OR(AND(INDEX(職員マスタ!$G$6:$G$405,$AP281)&lt;&gt;"",INDEX(職員マスタ!$G$6:$G$405,$AP281)&gt;EOMONTH($AQ281,0)),AND(INDEX(職員マスタ!$H$6:$H$405,$AP281)&lt;&gt;"",INDEX(職員マスタ!$H$6:$H$405,$AP281)&lt;$AQ281))),"対象月が時短期間外／","")&amp;IF(AND(INDEX(職員マスタ!$K$6:$K$405,$AP281)&lt;&gt;"",N($W281)&gt;0,INDEX(職員マスタ!$K$6:$K$405,$AP281)&lt;&gt;$W281),"標準報酬月額が申請書と相違（台帳"&amp;TEXT(INDEX(職員マスタ!$K$6:$K$405,$AP281),"#,##0")&amp;"円／申請書"&amp;TEXT($W281,"#,##0")&amp;"円）／","")&amp;IF(AND(INDEX(職員マスタ!$F$6:$F$405,$AP281)&lt;&gt;"",$AQ281&lt;&gt;"",INDEX(職員マスタ!$F$6:$F$405,$AP281)&lt;$AQ281),"対象月に子が2歳到達済／","")&amp;IF(AND($H281&lt;&gt;"",INDEX(職員マスタ!$B$6:$B$405,$AP281)&lt;&gt;"",SUBSTITUTE(SUBSTITUTE($H281," ","")," ","")&lt;&gt;SUBSTITUTE(SUBSTITUTE(INDEX(職員マスタ!$B$6:$B$405,$AP281)," ","")," ","")),"氏名がマスタと相違／","")&amp;IF(AND($Q281&lt;&gt;"",INDEX(職員マスタ!$E$6:$E$405,$AP281)&lt;&gt;"",$Q281&lt;&gt;INDEX(職員マスタ!$E$6:$E$405,$AP281)),"子の生年月日がマスタと相違／","")&amp;IF(AND($L281&lt;&gt;"",INDEX(職員マスタ!$G$6:$G$405,$AP281)&lt;&gt;"",$L281&lt;&gt;INDEX(職員マスタ!$G$6:$G$405,$AP281)),"時短開始日がマスタと相違／","")&amp;IF(AND($M281&lt;&gt;"",INDEX(職員マスタ!$H$6:$H$405,$AP281)&lt;&gt;"",$M281&lt;&gt;INDEX(職員マスタ!$H$6:$H$405,$AP281)),"時短終了日がマスタと相違／","")))&amp;IF(AND($B281&lt;&gt;"",$E281=""),"報酬額が未入力／","")&amp;IF(N($U281)&gt;0,"申請書に入力エラーが残っています／","")&amp;IF(AND($B281&lt;&gt;"",$AQ281&lt;&gt;""),IF(COUNTIFS($B$6:$B$3005,$B281,$C$6:$C$3005,$C281,$D$6:$D$3005,$D281)&gt;1,"同じ月の請求が重複しています／",""),"")&amp;IF(AND(N($E281)&gt;0,$AB281&lt;&gt;"",$AB281&lt;&gt;"×",$AE281=0,$AD281=""),"計算額が下限以下のため不支給／",""))</f>
        <v/>
      </c>
      <c r="AN281" s="12" t="n"/>
      <c r="AO281" s="14">
        <f>IF($AF281="保留中",COUNTIF($AF$6:$AF281,"保留中"),"")</f>
        <v/>
      </c>
      <c r="AP281" s="14">
        <f>IF($AQ281="","",IF(SUMPRODUCT(MAX((職員マスタ!$A$6:$A$405=$B281)*(((職員マスタ!$G$6:$G$405="")+(職員マスタ!$G$6:$G$405&lt;=EOMONTH($AQ281,0)))&gt;0)*(((職員マスタ!$H$6:$H$405="")+(職員マスタ!$H$6:$H$405&gt;=$AQ281))&gt;0)*(ROW(職員マスタ!$A$6:$A$405)-5)))&gt;0,SUMPRODUCT(MAX((職員マスタ!$A$6:$A$405=$B281)*(((職員マスタ!$G$6:$G$405="")+(職員マスタ!$G$6:$G$405&lt;=EOMONTH($AQ281,0)))&gt;0)*(((職員マスタ!$H$6:$H$405="")+(職員マスタ!$H$6:$H$405&gt;=$AQ281))&gt;0)*(ROW(職員マスタ!$A$6:$A$405)-5))),IFERROR(MATCH($B281,職員マスタ!$A$6:$A$405,0),"")))</f>
        <v/>
      </c>
      <c r="AQ281" s="16">
        <f>IF(OR($B281="",$C281="",$D281=""),"",DATE($C281+2018,$D281,1))</f>
        <v/>
      </c>
    </row>
    <row r="282">
      <c r="A282" s="11" t="n"/>
      <c r="B282" s="12" t="n">
        <v>6602668</v>
      </c>
      <c r="C282" s="12" t="n">
        <v>7</v>
      </c>
      <c r="D282" s="12" t="n">
        <v>7</v>
      </c>
      <c r="E282" s="13" t="n">
        <v>42612</v>
      </c>
      <c r="F282" s="12" t="n"/>
      <c r="G282" s="13" t="n"/>
      <c r="H282" s="12" t="n"/>
      <c r="I282" s="12" t="n"/>
      <c r="J282" s="12" t="n"/>
      <c r="K282" s="12" t="n"/>
      <c r="L282" s="11" t="n"/>
      <c r="M282" s="11" t="n"/>
      <c r="N282" s="11" t="n"/>
      <c r="O282" s="11" t="n"/>
      <c r="P282" s="12" t="n"/>
      <c r="Q282" s="11" t="n"/>
      <c r="R282" s="12" t="n"/>
      <c r="S282" s="11" t="n"/>
      <c r="T282" s="12" t="n"/>
      <c r="U282" s="12" t="n"/>
      <c r="V282" s="12" t="n"/>
      <c r="W282" s="13" t="n"/>
      <c r="X282" s="14">
        <f>IF($AP282="",IF($B282="","",$H282),IF(INDEX(職員マスタ!$B$6:$B$405,$AP282)="",$H282,INDEX(職員マスタ!$B$6:$B$405,$AP282)))</f>
        <v/>
      </c>
      <c r="Y282" s="14">
        <f>IF($AP282="",IF($B282="","",$R282),IF(INDEX(職員マスタ!$C$6:$C$405,$AP282)="",$R282,INDEX(職員マスタ!$C$6:$C$405,$AP282)))</f>
        <v/>
      </c>
      <c r="Z282" s="14">
        <f>IF($AQ282="","","R"&amp;$C282&amp;"."&amp;$D282)</f>
        <v/>
      </c>
      <c r="AA282" s="15">
        <f>IF(IF($AP282="",FALSE,INDEX(職員マスタ!$K$6:$K$405,$AP282)&lt;&gt;""),INDEX(職員マスタ!$K$6:$K$405,$AP282),IF(N($W282)&gt;0,$W282,""))</f>
        <v/>
      </c>
      <c r="AB282" s="14">
        <f>IF(OR($E282="",$AA282=""),"",IF($E282&gt;=$AA282,"×",IF($E282&gt;=$AA282*設定!$C$5,"△","○")))</f>
        <v/>
      </c>
      <c r="AC282" s="15">
        <f>IF($AB282="","",IF($AB282="×",0,IF($AB282="○",ROUNDDOWN($E282*設定!$C$4,0),ROUNDDOWN($E282*ROUND((9*$AA282-9*$E282)/(10*$E282),4),0))))</f>
        <v/>
      </c>
      <c r="AD282" s="13" t="n"/>
      <c r="AE282" s="15">
        <f>IF($B282="","",IF($AD282&lt;&gt;"",$AD282,IF($AC282="","",IF($AC282&lt;=設定!$C$3,0,$AC282))))</f>
        <v/>
      </c>
      <c r="AF282" s="14">
        <f>IF($B282="","",IF(AND($AG282&lt;&gt;"",$AI282="",$AL282=""),"保留中",IF($AL282&lt;&gt;"",IF(N($AE282)&gt;0,"支給済","不支給"),IF($AE282="","要確認",IF($AE282=0,"不支給","未処理")))))</f>
        <v/>
      </c>
      <c r="AG282" s="12" t="n"/>
      <c r="AH282" s="11" t="n"/>
      <c r="AI282" s="11" t="n"/>
      <c r="AJ282" s="11" t="n"/>
      <c r="AK282" s="14">
        <f>IF(AND($AF282="保留中",$AH282&lt;&gt;""),TODAY()-$AH282,"")</f>
        <v/>
      </c>
      <c r="AL282" s="12" t="inlineStr">
        <is>
          <t>R7.10</t>
        </is>
      </c>
      <c r="AM282" s="14">
        <f>IF($B282="","",IF($AQ282="","対象年月が未入力／","")&amp;IF($B282="","",IF($AP282="","職員マスタに未登録の職員番号／",IF($AA282="","標準報酬月額が未登録／","")&amp;IF(AND($AQ282&lt;&gt;"",OR(AND(INDEX(職員マスタ!$G$6:$G$405,$AP282)&lt;&gt;"",INDEX(職員マスタ!$G$6:$G$405,$AP282)&gt;EOMONTH($AQ282,0)),AND(INDEX(職員マスタ!$H$6:$H$405,$AP282)&lt;&gt;"",INDEX(職員マスタ!$H$6:$H$405,$AP282)&lt;$AQ282))),"対象月が時短期間外／","")&amp;IF(AND(INDEX(職員マスタ!$K$6:$K$405,$AP282)&lt;&gt;"",N($W282)&gt;0,INDEX(職員マスタ!$K$6:$K$405,$AP282)&lt;&gt;$W282),"標準報酬月額が申請書と相違（台帳"&amp;TEXT(INDEX(職員マスタ!$K$6:$K$405,$AP282),"#,##0")&amp;"円／申請書"&amp;TEXT($W282,"#,##0")&amp;"円）／","")&amp;IF(AND(INDEX(職員マスタ!$F$6:$F$405,$AP282)&lt;&gt;"",$AQ282&lt;&gt;"",INDEX(職員マスタ!$F$6:$F$405,$AP282)&lt;$AQ282),"対象月に子が2歳到達済／","")&amp;IF(AND($H282&lt;&gt;"",INDEX(職員マスタ!$B$6:$B$405,$AP282)&lt;&gt;"",SUBSTITUTE(SUBSTITUTE($H282," ","")," ","")&lt;&gt;SUBSTITUTE(SUBSTITUTE(INDEX(職員マスタ!$B$6:$B$405,$AP282)," ","")," ","")),"氏名がマスタと相違／","")&amp;IF(AND($Q282&lt;&gt;"",INDEX(職員マスタ!$E$6:$E$405,$AP282)&lt;&gt;"",$Q282&lt;&gt;INDEX(職員マスタ!$E$6:$E$405,$AP282)),"子の生年月日がマスタと相違／","")&amp;IF(AND($L282&lt;&gt;"",INDEX(職員マスタ!$G$6:$G$405,$AP282)&lt;&gt;"",$L282&lt;&gt;INDEX(職員マスタ!$G$6:$G$405,$AP282)),"時短開始日がマスタと相違／","")&amp;IF(AND($M282&lt;&gt;"",INDEX(職員マスタ!$H$6:$H$405,$AP282)&lt;&gt;"",$M282&lt;&gt;INDEX(職員マスタ!$H$6:$H$405,$AP282)),"時短終了日がマスタと相違／","")))&amp;IF(AND($B282&lt;&gt;"",$E282=""),"報酬額が未入力／","")&amp;IF(N($U282)&gt;0,"申請書に入力エラーが残っています／","")&amp;IF(AND($B282&lt;&gt;"",$AQ282&lt;&gt;""),IF(COUNTIFS($B$6:$B$3005,$B282,$C$6:$C$3005,$C282,$D$6:$D$3005,$D282)&gt;1,"同じ月の請求が重複しています／",""),"")&amp;IF(AND(N($E282)&gt;0,$AB282&lt;&gt;"",$AB282&lt;&gt;"×",$AE282=0,$AD282=""),"計算額が下限以下のため不支給／",""))</f>
        <v/>
      </c>
      <c r="AN282" s="12" t="n"/>
      <c r="AO282" s="14">
        <f>IF($AF282="保留中",COUNTIF($AF$6:$AF282,"保留中"),"")</f>
        <v/>
      </c>
      <c r="AP282" s="14">
        <f>IF($AQ282="","",IF(SUMPRODUCT(MAX((職員マスタ!$A$6:$A$405=$B282)*(((職員マスタ!$G$6:$G$405="")+(職員マスタ!$G$6:$G$405&lt;=EOMONTH($AQ282,0)))&gt;0)*(((職員マスタ!$H$6:$H$405="")+(職員マスタ!$H$6:$H$405&gt;=$AQ282))&gt;0)*(ROW(職員マスタ!$A$6:$A$405)-5)))&gt;0,SUMPRODUCT(MAX((職員マスタ!$A$6:$A$405=$B282)*(((職員マスタ!$G$6:$G$405="")+(職員マスタ!$G$6:$G$405&lt;=EOMONTH($AQ282,0)))&gt;0)*(((職員マスタ!$H$6:$H$405="")+(職員マスタ!$H$6:$H$405&gt;=$AQ282))&gt;0)*(ROW(職員マスタ!$A$6:$A$405)-5))),IFERROR(MATCH($B282,職員マスタ!$A$6:$A$405,0),"")))</f>
        <v/>
      </c>
      <c r="AQ282" s="16">
        <f>IF(OR($B282="",$C282="",$D282=""),"",DATE($C282+2018,$D282,1))</f>
        <v/>
      </c>
    </row>
    <row r="283">
      <c r="A283" s="11" t="n"/>
      <c r="B283" s="12" t="n">
        <v>6602668</v>
      </c>
      <c r="C283" s="12" t="n">
        <v>7</v>
      </c>
      <c r="D283" s="12" t="n">
        <v>8</v>
      </c>
      <c r="E283" s="13" t="n">
        <v>187349</v>
      </c>
      <c r="F283" s="12" t="n"/>
      <c r="G283" s="13" t="n"/>
      <c r="H283" s="12" t="n"/>
      <c r="I283" s="12" t="n"/>
      <c r="J283" s="12" t="n"/>
      <c r="K283" s="12" t="n"/>
      <c r="L283" s="11" t="n"/>
      <c r="M283" s="11" t="n"/>
      <c r="N283" s="11" t="n"/>
      <c r="O283" s="11" t="n"/>
      <c r="P283" s="12" t="n"/>
      <c r="Q283" s="11" t="n"/>
      <c r="R283" s="12" t="n"/>
      <c r="S283" s="11" t="n"/>
      <c r="T283" s="12" t="n"/>
      <c r="U283" s="12" t="n"/>
      <c r="V283" s="12" t="n"/>
      <c r="W283" s="13" t="n"/>
      <c r="X283" s="14">
        <f>IF($AP283="",IF($B283="","",$H283),IF(INDEX(職員マスタ!$B$6:$B$405,$AP283)="",$H283,INDEX(職員マスタ!$B$6:$B$405,$AP283)))</f>
        <v/>
      </c>
      <c r="Y283" s="14">
        <f>IF($AP283="",IF($B283="","",$R283),IF(INDEX(職員マスタ!$C$6:$C$405,$AP283)="",$R283,INDEX(職員マスタ!$C$6:$C$405,$AP283)))</f>
        <v/>
      </c>
      <c r="Z283" s="14">
        <f>IF($AQ283="","","R"&amp;$C283&amp;"."&amp;$D283)</f>
        <v/>
      </c>
      <c r="AA283" s="15">
        <f>IF(IF($AP283="",FALSE,INDEX(職員マスタ!$K$6:$K$405,$AP283)&lt;&gt;""),INDEX(職員マスタ!$K$6:$K$405,$AP283),IF(N($W283)&gt;0,$W283,""))</f>
        <v/>
      </c>
      <c r="AB283" s="14">
        <f>IF(OR($E283="",$AA283=""),"",IF($E283&gt;=$AA283,"×",IF($E283&gt;=$AA283*設定!$C$5,"△","○")))</f>
        <v/>
      </c>
      <c r="AC283" s="15">
        <f>IF($AB283="","",IF($AB283="×",0,IF($AB283="○",ROUNDDOWN($E283*設定!$C$4,0),ROUNDDOWN($E283*ROUND((9*$AA283-9*$E283)/(10*$E283),4),0))))</f>
        <v/>
      </c>
      <c r="AD283" s="13" t="n"/>
      <c r="AE283" s="15">
        <f>IF($B283="","",IF($AD283&lt;&gt;"",$AD283,IF($AC283="","",IF($AC283&lt;=設定!$C$3,0,$AC283))))</f>
        <v/>
      </c>
      <c r="AF283" s="14">
        <f>IF($B283="","",IF(AND($AG283&lt;&gt;"",$AI283="",$AL283=""),"保留中",IF($AL283&lt;&gt;"",IF(N($AE283)&gt;0,"支給済","不支給"),IF($AE283="","要確認",IF($AE283=0,"不支給","未処理")))))</f>
        <v/>
      </c>
      <c r="AG283" s="12" t="n"/>
      <c r="AH283" s="11" t="n"/>
      <c r="AI283" s="11" t="n"/>
      <c r="AJ283" s="11" t="n"/>
      <c r="AK283" s="14">
        <f>IF(AND($AF283="保留中",$AH283&lt;&gt;""),TODAY()-$AH283,"")</f>
        <v/>
      </c>
      <c r="AL283" s="12" t="inlineStr">
        <is>
          <t>R7.10</t>
        </is>
      </c>
      <c r="AM283" s="14">
        <f>IF($B283="","",IF($AQ283="","対象年月が未入力／","")&amp;IF($B283="","",IF($AP283="","職員マスタに未登録の職員番号／",IF($AA283="","標準報酬月額が未登録／","")&amp;IF(AND($AQ283&lt;&gt;"",OR(AND(INDEX(職員マスタ!$G$6:$G$405,$AP283)&lt;&gt;"",INDEX(職員マスタ!$G$6:$G$405,$AP283)&gt;EOMONTH($AQ283,0)),AND(INDEX(職員マスタ!$H$6:$H$405,$AP283)&lt;&gt;"",INDEX(職員マスタ!$H$6:$H$405,$AP283)&lt;$AQ283))),"対象月が時短期間外／","")&amp;IF(AND(INDEX(職員マスタ!$K$6:$K$405,$AP283)&lt;&gt;"",N($W283)&gt;0,INDEX(職員マスタ!$K$6:$K$405,$AP283)&lt;&gt;$W283),"標準報酬月額が申請書と相違（台帳"&amp;TEXT(INDEX(職員マスタ!$K$6:$K$405,$AP283),"#,##0")&amp;"円／申請書"&amp;TEXT($W283,"#,##0")&amp;"円）／","")&amp;IF(AND(INDEX(職員マスタ!$F$6:$F$405,$AP283)&lt;&gt;"",$AQ283&lt;&gt;"",INDEX(職員マスタ!$F$6:$F$405,$AP283)&lt;$AQ283),"対象月に子が2歳到達済／","")&amp;IF(AND($H283&lt;&gt;"",INDEX(職員マスタ!$B$6:$B$405,$AP283)&lt;&gt;"",SUBSTITUTE(SUBSTITUTE($H283," ","")," ","")&lt;&gt;SUBSTITUTE(SUBSTITUTE(INDEX(職員マスタ!$B$6:$B$405,$AP283)," ","")," ","")),"氏名がマスタと相違／","")&amp;IF(AND($Q283&lt;&gt;"",INDEX(職員マスタ!$E$6:$E$405,$AP283)&lt;&gt;"",$Q283&lt;&gt;INDEX(職員マスタ!$E$6:$E$405,$AP283)),"子の生年月日がマスタと相違／","")&amp;IF(AND($L283&lt;&gt;"",INDEX(職員マスタ!$G$6:$G$405,$AP283)&lt;&gt;"",$L283&lt;&gt;INDEX(職員マスタ!$G$6:$G$405,$AP283)),"時短開始日がマスタと相違／","")&amp;IF(AND($M283&lt;&gt;"",INDEX(職員マスタ!$H$6:$H$405,$AP283)&lt;&gt;"",$M283&lt;&gt;INDEX(職員マスタ!$H$6:$H$405,$AP283)),"時短終了日がマスタと相違／","")))&amp;IF(AND($B283&lt;&gt;"",$E283=""),"報酬額が未入力／","")&amp;IF(N($U283)&gt;0,"申請書に入力エラーが残っています／","")&amp;IF(AND($B283&lt;&gt;"",$AQ283&lt;&gt;""),IF(COUNTIFS($B$6:$B$3005,$B283,$C$6:$C$3005,$C283,$D$6:$D$3005,$D283)&gt;1,"同じ月の請求が重複しています／",""),"")&amp;IF(AND(N($E283)&gt;0,$AB283&lt;&gt;"",$AB283&lt;&gt;"×",$AE283=0,$AD283=""),"計算額が下限以下のため不支給／",""))</f>
        <v/>
      </c>
      <c r="AN283" s="12" t="n"/>
      <c r="AO283" s="14">
        <f>IF($AF283="保留中",COUNTIF($AF$6:$AF283,"保留中"),"")</f>
        <v/>
      </c>
      <c r="AP283" s="14">
        <f>IF($AQ283="","",IF(SUMPRODUCT(MAX((職員マスタ!$A$6:$A$405=$B283)*(((職員マスタ!$G$6:$G$405="")+(職員マスタ!$G$6:$G$405&lt;=EOMONTH($AQ283,0)))&gt;0)*(((職員マスタ!$H$6:$H$405="")+(職員マスタ!$H$6:$H$405&gt;=$AQ283))&gt;0)*(ROW(職員マスタ!$A$6:$A$405)-5)))&gt;0,SUMPRODUCT(MAX((職員マスタ!$A$6:$A$405=$B283)*(((職員マスタ!$G$6:$G$405="")+(職員マスタ!$G$6:$G$405&lt;=EOMONTH($AQ283,0)))&gt;0)*(((職員マスタ!$H$6:$H$405="")+(職員マスタ!$H$6:$H$405&gt;=$AQ283))&gt;0)*(ROW(職員マスタ!$A$6:$A$405)-5))),IFERROR(MATCH($B283,職員マスタ!$A$6:$A$405,0),"")))</f>
        <v/>
      </c>
      <c r="AQ283" s="16">
        <f>IF(OR($B283="",$C283="",$D283=""),"",DATE($C283+2018,$D283,1))</f>
        <v/>
      </c>
    </row>
    <row r="284">
      <c r="A284" s="11" t="n"/>
      <c r="B284" s="12" t="n">
        <v>6602668</v>
      </c>
      <c r="C284" s="12" t="n">
        <v>7</v>
      </c>
      <c r="D284" s="12" t="n">
        <v>9</v>
      </c>
      <c r="E284" s="13" t="n">
        <v>192001</v>
      </c>
      <c r="F284" s="12" t="n"/>
      <c r="G284" s="13" t="n"/>
      <c r="H284" s="12" t="n"/>
      <c r="I284" s="12" t="n"/>
      <c r="J284" s="12" t="n"/>
      <c r="K284" s="12" t="n"/>
      <c r="L284" s="11" t="n"/>
      <c r="M284" s="11" t="n"/>
      <c r="N284" s="11" t="n"/>
      <c r="O284" s="11" t="n"/>
      <c r="P284" s="12" t="n"/>
      <c r="Q284" s="11" t="n"/>
      <c r="R284" s="12" t="n"/>
      <c r="S284" s="11" t="n"/>
      <c r="T284" s="12" t="n"/>
      <c r="U284" s="12" t="n"/>
      <c r="V284" s="12" t="n"/>
      <c r="W284" s="13" t="n"/>
      <c r="X284" s="14">
        <f>IF($AP284="",IF($B284="","",$H284),IF(INDEX(職員マスタ!$B$6:$B$405,$AP284)="",$H284,INDEX(職員マスタ!$B$6:$B$405,$AP284)))</f>
        <v/>
      </c>
      <c r="Y284" s="14">
        <f>IF($AP284="",IF($B284="","",$R284),IF(INDEX(職員マスタ!$C$6:$C$405,$AP284)="",$R284,INDEX(職員マスタ!$C$6:$C$405,$AP284)))</f>
        <v/>
      </c>
      <c r="Z284" s="14">
        <f>IF($AQ284="","","R"&amp;$C284&amp;"."&amp;$D284)</f>
        <v/>
      </c>
      <c r="AA284" s="15">
        <f>IF(IF($AP284="",FALSE,INDEX(職員マスタ!$K$6:$K$405,$AP284)&lt;&gt;""),INDEX(職員マスタ!$K$6:$K$405,$AP284),IF(N($W284)&gt;0,$W284,""))</f>
        <v/>
      </c>
      <c r="AB284" s="14">
        <f>IF(OR($E284="",$AA284=""),"",IF($E284&gt;=$AA284,"×",IF($E284&gt;=$AA284*設定!$C$5,"△","○")))</f>
        <v/>
      </c>
      <c r="AC284" s="15">
        <f>IF($AB284="","",IF($AB284="×",0,IF($AB284="○",ROUNDDOWN($E284*設定!$C$4,0),ROUNDDOWN($E284*ROUND((9*$AA284-9*$E284)/(10*$E284),4),0))))</f>
        <v/>
      </c>
      <c r="AD284" s="13" t="n"/>
      <c r="AE284" s="15">
        <f>IF($B284="","",IF($AD284&lt;&gt;"",$AD284,IF($AC284="","",IF($AC284&lt;=設定!$C$3,0,$AC284))))</f>
        <v/>
      </c>
      <c r="AF284" s="14">
        <f>IF($B284="","",IF(AND($AG284&lt;&gt;"",$AI284="",$AL284=""),"保留中",IF($AL284&lt;&gt;"",IF(N($AE284)&gt;0,"支給済","不支給"),IF($AE284="","要確認",IF($AE284=0,"不支給","未処理")))))</f>
        <v/>
      </c>
      <c r="AG284" s="12" t="n"/>
      <c r="AH284" s="11" t="n"/>
      <c r="AI284" s="11" t="n"/>
      <c r="AJ284" s="11" t="n"/>
      <c r="AK284" s="14">
        <f>IF(AND($AF284="保留中",$AH284&lt;&gt;""),TODAY()-$AH284,"")</f>
        <v/>
      </c>
      <c r="AL284" s="12" t="inlineStr">
        <is>
          <t>R7.12</t>
        </is>
      </c>
      <c r="AM284" s="14">
        <f>IF($B284="","",IF($AQ284="","対象年月が未入力／","")&amp;IF($B284="","",IF($AP284="","職員マスタに未登録の職員番号／",IF($AA284="","標準報酬月額が未登録／","")&amp;IF(AND($AQ284&lt;&gt;"",OR(AND(INDEX(職員マスタ!$G$6:$G$405,$AP284)&lt;&gt;"",INDEX(職員マスタ!$G$6:$G$405,$AP284)&gt;EOMONTH($AQ284,0)),AND(INDEX(職員マスタ!$H$6:$H$405,$AP284)&lt;&gt;"",INDEX(職員マスタ!$H$6:$H$405,$AP284)&lt;$AQ284))),"対象月が時短期間外／","")&amp;IF(AND(INDEX(職員マスタ!$K$6:$K$405,$AP284)&lt;&gt;"",N($W284)&gt;0,INDEX(職員マスタ!$K$6:$K$405,$AP284)&lt;&gt;$W284),"標準報酬月額が申請書と相違（台帳"&amp;TEXT(INDEX(職員マスタ!$K$6:$K$405,$AP284),"#,##0")&amp;"円／申請書"&amp;TEXT($W284,"#,##0")&amp;"円）／","")&amp;IF(AND(INDEX(職員マスタ!$F$6:$F$405,$AP284)&lt;&gt;"",$AQ284&lt;&gt;"",INDEX(職員マスタ!$F$6:$F$405,$AP284)&lt;$AQ284),"対象月に子が2歳到達済／","")&amp;IF(AND($H284&lt;&gt;"",INDEX(職員マスタ!$B$6:$B$405,$AP284)&lt;&gt;"",SUBSTITUTE(SUBSTITUTE($H284," ","")," ","")&lt;&gt;SUBSTITUTE(SUBSTITUTE(INDEX(職員マスタ!$B$6:$B$405,$AP284)," ","")," ","")),"氏名がマスタと相違／","")&amp;IF(AND($Q284&lt;&gt;"",INDEX(職員マスタ!$E$6:$E$405,$AP284)&lt;&gt;"",$Q284&lt;&gt;INDEX(職員マスタ!$E$6:$E$405,$AP284)),"子の生年月日がマスタと相違／","")&amp;IF(AND($L284&lt;&gt;"",INDEX(職員マスタ!$G$6:$G$405,$AP284)&lt;&gt;"",$L284&lt;&gt;INDEX(職員マスタ!$G$6:$G$405,$AP284)),"時短開始日がマスタと相違／","")&amp;IF(AND($M284&lt;&gt;"",INDEX(職員マスタ!$H$6:$H$405,$AP284)&lt;&gt;"",$M284&lt;&gt;INDEX(職員マスタ!$H$6:$H$405,$AP284)),"時短終了日がマスタと相違／","")))&amp;IF(AND($B284&lt;&gt;"",$E284=""),"報酬額が未入力／","")&amp;IF(N($U284)&gt;0,"申請書に入力エラーが残っています／","")&amp;IF(AND($B284&lt;&gt;"",$AQ284&lt;&gt;""),IF(COUNTIFS($B$6:$B$3005,$B284,$C$6:$C$3005,$C284,$D$6:$D$3005,$D284)&gt;1,"同じ月の請求が重複しています／",""),"")&amp;IF(AND(N($E284)&gt;0,$AB284&lt;&gt;"",$AB284&lt;&gt;"×",$AE284=0,$AD284=""),"計算額が下限以下のため不支給／",""))</f>
        <v/>
      </c>
      <c r="AN284" s="12" t="n"/>
      <c r="AO284" s="14">
        <f>IF($AF284="保留中",COUNTIF($AF$6:$AF284,"保留中"),"")</f>
        <v/>
      </c>
      <c r="AP284" s="14">
        <f>IF($AQ284="","",IF(SUMPRODUCT(MAX((職員マスタ!$A$6:$A$405=$B284)*(((職員マスタ!$G$6:$G$405="")+(職員マスタ!$G$6:$G$405&lt;=EOMONTH($AQ284,0)))&gt;0)*(((職員マスタ!$H$6:$H$405="")+(職員マスタ!$H$6:$H$405&gt;=$AQ284))&gt;0)*(ROW(職員マスタ!$A$6:$A$405)-5)))&gt;0,SUMPRODUCT(MAX((職員マスタ!$A$6:$A$405=$B284)*(((職員マスタ!$G$6:$G$405="")+(職員マスタ!$G$6:$G$405&lt;=EOMONTH($AQ284,0)))&gt;0)*(((職員マスタ!$H$6:$H$405="")+(職員マスタ!$H$6:$H$405&gt;=$AQ284))&gt;0)*(ROW(職員マスタ!$A$6:$A$405)-5))),IFERROR(MATCH($B284,職員マスタ!$A$6:$A$405,0),"")))</f>
        <v/>
      </c>
      <c r="AQ284" s="16">
        <f>IF(OR($B284="",$C284="",$D284=""),"",DATE($C284+2018,$D284,1))</f>
        <v/>
      </c>
    </row>
    <row r="285">
      <c r="A285" s="11" t="n"/>
      <c r="B285" s="12" t="n">
        <v>6602668</v>
      </c>
      <c r="C285" s="12" t="n">
        <v>7</v>
      </c>
      <c r="D285" s="12" t="n">
        <v>10</v>
      </c>
      <c r="E285" s="13" t="n">
        <v>197025</v>
      </c>
      <c r="F285" s="12" t="n"/>
      <c r="G285" s="13" t="n"/>
      <c r="H285" s="12" t="n"/>
      <c r="I285" s="12" t="n"/>
      <c r="J285" s="12" t="n"/>
      <c r="K285" s="12" t="n"/>
      <c r="L285" s="11" t="n"/>
      <c r="M285" s="11" t="n"/>
      <c r="N285" s="11" t="n"/>
      <c r="O285" s="11" t="n"/>
      <c r="P285" s="12" t="n"/>
      <c r="Q285" s="11" t="n"/>
      <c r="R285" s="12" t="n"/>
      <c r="S285" s="11" t="n"/>
      <c r="T285" s="12" t="n"/>
      <c r="U285" s="12" t="n"/>
      <c r="V285" s="12" t="n"/>
      <c r="W285" s="13" t="n"/>
      <c r="X285" s="14">
        <f>IF($AP285="",IF($B285="","",$H285),IF(INDEX(職員マスタ!$B$6:$B$405,$AP285)="",$H285,INDEX(職員マスタ!$B$6:$B$405,$AP285)))</f>
        <v/>
      </c>
      <c r="Y285" s="14">
        <f>IF($AP285="",IF($B285="","",$R285),IF(INDEX(職員マスタ!$C$6:$C$405,$AP285)="",$R285,INDEX(職員マスタ!$C$6:$C$405,$AP285)))</f>
        <v/>
      </c>
      <c r="Z285" s="14">
        <f>IF($AQ285="","","R"&amp;$C285&amp;"."&amp;$D285)</f>
        <v/>
      </c>
      <c r="AA285" s="15">
        <f>IF(IF($AP285="",FALSE,INDEX(職員マスタ!$K$6:$K$405,$AP285)&lt;&gt;""),INDEX(職員マスタ!$K$6:$K$405,$AP285),IF(N($W285)&gt;0,$W285,""))</f>
        <v/>
      </c>
      <c r="AB285" s="14">
        <f>IF(OR($E285="",$AA285=""),"",IF($E285&gt;=$AA285,"×",IF($E285&gt;=$AA285*設定!$C$5,"△","○")))</f>
        <v/>
      </c>
      <c r="AC285" s="15">
        <f>IF($AB285="","",IF($AB285="×",0,IF($AB285="○",ROUNDDOWN($E285*設定!$C$4,0),ROUNDDOWN($E285*ROUND((9*$AA285-9*$E285)/(10*$E285),4),0))))</f>
        <v/>
      </c>
      <c r="AD285" s="13" t="n"/>
      <c r="AE285" s="15">
        <f>IF($B285="","",IF($AD285&lt;&gt;"",$AD285,IF($AC285="","",IF($AC285&lt;=設定!$C$3,0,$AC285))))</f>
        <v/>
      </c>
      <c r="AF285" s="14">
        <f>IF($B285="","",IF(AND($AG285&lt;&gt;"",$AI285="",$AL285=""),"保留中",IF($AL285&lt;&gt;"",IF(N($AE285)&gt;0,"支給済","不支給"),IF($AE285="","要確認",IF($AE285=0,"不支給","未処理")))))</f>
        <v/>
      </c>
      <c r="AG285" s="12" t="n"/>
      <c r="AH285" s="11" t="n"/>
      <c r="AI285" s="11" t="n"/>
      <c r="AJ285" s="11" t="n"/>
      <c r="AK285" s="14">
        <f>IF(AND($AF285="保留中",$AH285&lt;&gt;""),TODAY()-$AH285,"")</f>
        <v/>
      </c>
      <c r="AL285" s="12" t="inlineStr">
        <is>
          <t>R8.1</t>
        </is>
      </c>
      <c r="AM285" s="14">
        <f>IF($B285="","",IF($AQ285="","対象年月が未入力／","")&amp;IF($B285="","",IF($AP285="","職員マスタに未登録の職員番号／",IF($AA285="","標準報酬月額が未登録／","")&amp;IF(AND($AQ285&lt;&gt;"",OR(AND(INDEX(職員マスタ!$G$6:$G$405,$AP285)&lt;&gt;"",INDEX(職員マスタ!$G$6:$G$405,$AP285)&gt;EOMONTH($AQ285,0)),AND(INDEX(職員マスタ!$H$6:$H$405,$AP285)&lt;&gt;"",INDEX(職員マスタ!$H$6:$H$405,$AP285)&lt;$AQ285))),"対象月が時短期間外／","")&amp;IF(AND(INDEX(職員マスタ!$K$6:$K$405,$AP285)&lt;&gt;"",N($W285)&gt;0,INDEX(職員マスタ!$K$6:$K$405,$AP285)&lt;&gt;$W285),"標準報酬月額が申請書と相違（台帳"&amp;TEXT(INDEX(職員マスタ!$K$6:$K$405,$AP285),"#,##0")&amp;"円／申請書"&amp;TEXT($W285,"#,##0")&amp;"円）／","")&amp;IF(AND(INDEX(職員マスタ!$F$6:$F$405,$AP285)&lt;&gt;"",$AQ285&lt;&gt;"",INDEX(職員マスタ!$F$6:$F$405,$AP285)&lt;$AQ285),"対象月に子が2歳到達済／","")&amp;IF(AND($H285&lt;&gt;"",INDEX(職員マスタ!$B$6:$B$405,$AP285)&lt;&gt;"",SUBSTITUTE(SUBSTITUTE($H285," ","")," ","")&lt;&gt;SUBSTITUTE(SUBSTITUTE(INDEX(職員マスタ!$B$6:$B$405,$AP285)," ","")," ","")),"氏名がマスタと相違／","")&amp;IF(AND($Q285&lt;&gt;"",INDEX(職員マスタ!$E$6:$E$405,$AP285)&lt;&gt;"",$Q285&lt;&gt;INDEX(職員マスタ!$E$6:$E$405,$AP285)),"子の生年月日がマスタと相違／","")&amp;IF(AND($L285&lt;&gt;"",INDEX(職員マスタ!$G$6:$G$405,$AP285)&lt;&gt;"",$L285&lt;&gt;INDEX(職員マスタ!$G$6:$G$405,$AP285)),"時短開始日がマスタと相違／","")&amp;IF(AND($M285&lt;&gt;"",INDEX(職員マスタ!$H$6:$H$405,$AP285)&lt;&gt;"",$M285&lt;&gt;INDEX(職員マスタ!$H$6:$H$405,$AP285)),"時短終了日がマスタと相違／","")))&amp;IF(AND($B285&lt;&gt;"",$E285=""),"報酬額が未入力／","")&amp;IF(N($U285)&gt;0,"申請書に入力エラーが残っています／","")&amp;IF(AND($B285&lt;&gt;"",$AQ285&lt;&gt;""),IF(COUNTIFS($B$6:$B$3005,$B285,$C$6:$C$3005,$C285,$D$6:$D$3005,$D285)&gt;1,"同じ月の請求が重複しています／",""),"")&amp;IF(AND(N($E285)&gt;0,$AB285&lt;&gt;"",$AB285&lt;&gt;"×",$AE285=0,$AD285=""),"計算額が下限以下のため不支給／",""))</f>
        <v/>
      </c>
      <c r="AN285" s="12" t="n"/>
      <c r="AO285" s="14">
        <f>IF($AF285="保留中",COUNTIF($AF$6:$AF285,"保留中"),"")</f>
        <v/>
      </c>
      <c r="AP285" s="14">
        <f>IF($AQ285="","",IF(SUMPRODUCT(MAX((職員マスタ!$A$6:$A$405=$B285)*(((職員マスタ!$G$6:$G$405="")+(職員マスタ!$G$6:$G$405&lt;=EOMONTH($AQ285,0)))&gt;0)*(((職員マスタ!$H$6:$H$405="")+(職員マスタ!$H$6:$H$405&gt;=$AQ285))&gt;0)*(ROW(職員マスタ!$A$6:$A$405)-5)))&gt;0,SUMPRODUCT(MAX((職員マスタ!$A$6:$A$405=$B285)*(((職員マスタ!$G$6:$G$405="")+(職員マスタ!$G$6:$G$405&lt;=EOMONTH($AQ285,0)))&gt;0)*(((職員マスタ!$H$6:$H$405="")+(職員マスタ!$H$6:$H$405&gt;=$AQ285))&gt;0)*(ROW(職員マスタ!$A$6:$A$405)-5))),IFERROR(MATCH($B285,職員マスタ!$A$6:$A$405,0),"")))</f>
        <v/>
      </c>
      <c r="AQ285" s="16">
        <f>IF(OR($B285="",$C285="",$D285=""),"",DATE($C285+2018,$D285,1))</f>
        <v/>
      </c>
    </row>
    <row r="286">
      <c r="A286" s="11" t="n"/>
      <c r="B286" s="12" t="n">
        <v>6602668</v>
      </c>
      <c r="C286" s="12" t="n">
        <v>7</v>
      </c>
      <c r="D286" s="12" t="n">
        <v>11</v>
      </c>
      <c r="E286" s="13" t="n">
        <v>192001</v>
      </c>
      <c r="F286" s="12" t="n"/>
      <c r="G286" s="13" t="n"/>
      <c r="H286" s="12" t="n"/>
      <c r="I286" s="12" t="n"/>
      <c r="J286" s="12" t="n"/>
      <c r="K286" s="12" t="n"/>
      <c r="L286" s="11" t="n"/>
      <c r="M286" s="11" t="n"/>
      <c r="N286" s="11" t="n"/>
      <c r="O286" s="11" t="n"/>
      <c r="P286" s="12" t="n"/>
      <c r="Q286" s="11" t="n"/>
      <c r="R286" s="12" t="n"/>
      <c r="S286" s="11" t="n"/>
      <c r="T286" s="12" t="n"/>
      <c r="U286" s="12" t="n"/>
      <c r="V286" s="12" t="n"/>
      <c r="W286" s="13" t="n"/>
      <c r="X286" s="14">
        <f>IF($AP286="",IF($B286="","",$H286),IF(INDEX(職員マスタ!$B$6:$B$405,$AP286)="",$H286,INDEX(職員マスタ!$B$6:$B$405,$AP286)))</f>
        <v/>
      </c>
      <c r="Y286" s="14">
        <f>IF($AP286="",IF($B286="","",$R286),IF(INDEX(職員マスタ!$C$6:$C$405,$AP286)="",$R286,INDEX(職員マスタ!$C$6:$C$405,$AP286)))</f>
        <v/>
      </c>
      <c r="Z286" s="14">
        <f>IF($AQ286="","","R"&amp;$C286&amp;"."&amp;$D286)</f>
        <v/>
      </c>
      <c r="AA286" s="15">
        <f>IF(IF($AP286="",FALSE,INDEX(職員マスタ!$K$6:$K$405,$AP286)&lt;&gt;""),INDEX(職員マスタ!$K$6:$K$405,$AP286),IF(N($W286)&gt;0,$W286,""))</f>
        <v/>
      </c>
      <c r="AB286" s="14">
        <f>IF(OR($E286="",$AA286=""),"",IF($E286&gt;=$AA286,"×",IF($E286&gt;=$AA286*設定!$C$5,"△","○")))</f>
        <v/>
      </c>
      <c r="AC286" s="15">
        <f>IF($AB286="","",IF($AB286="×",0,IF($AB286="○",ROUNDDOWN($E286*設定!$C$4,0),ROUNDDOWN($E286*ROUND((9*$AA286-9*$E286)/(10*$E286),4),0))))</f>
        <v/>
      </c>
      <c r="AD286" s="13" t="n"/>
      <c r="AE286" s="15">
        <f>IF($B286="","",IF($AD286&lt;&gt;"",$AD286,IF($AC286="","",IF($AC286&lt;=設定!$C$3,0,$AC286))))</f>
        <v/>
      </c>
      <c r="AF286" s="14">
        <f>IF($B286="","",IF(AND($AG286&lt;&gt;"",$AI286="",$AL286=""),"保留中",IF($AL286&lt;&gt;"",IF(N($AE286)&gt;0,"支給済","不支給"),IF($AE286="","要確認",IF($AE286=0,"不支給","未処理")))))</f>
        <v/>
      </c>
      <c r="AG286" s="12" t="n"/>
      <c r="AH286" s="11" t="n"/>
      <c r="AI286" s="11" t="n"/>
      <c r="AJ286" s="11" t="n"/>
      <c r="AK286" s="14">
        <f>IF(AND($AF286="保留中",$AH286&lt;&gt;""),TODAY()-$AH286,"")</f>
        <v/>
      </c>
      <c r="AL286" s="12" t="inlineStr">
        <is>
          <t>R8.1</t>
        </is>
      </c>
      <c r="AM286" s="14">
        <f>IF($B286="","",IF($AQ286="","対象年月が未入力／","")&amp;IF($B286="","",IF($AP286="","職員マスタに未登録の職員番号／",IF($AA286="","標準報酬月額が未登録／","")&amp;IF(AND($AQ286&lt;&gt;"",OR(AND(INDEX(職員マスタ!$G$6:$G$405,$AP286)&lt;&gt;"",INDEX(職員マスタ!$G$6:$G$405,$AP286)&gt;EOMONTH($AQ286,0)),AND(INDEX(職員マスタ!$H$6:$H$405,$AP286)&lt;&gt;"",INDEX(職員マスタ!$H$6:$H$405,$AP286)&lt;$AQ286))),"対象月が時短期間外／","")&amp;IF(AND(INDEX(職員マスタ!$K$6:$K$405,$AP286)&lt;&gt;"",N($W286)&gt;0,INDEX(職員マスタ!$K$6:$K$405,$AP286)&lt;&gt;$W286),"標準報酬月額が申請書と相違（台帳"&amp;TEXT(INDEX(職員マスタ!$K$6:$K$405,$AP286),"#,##0")&amp;"円／申請書"&amp;TEXT($W286,"#,##0")&amp;"円）／","")&amp;IF(AND(INDEX(職員マスタ!$F$6:$F$405,$AP286)&lt;&gt;"",$AQ286&lt;&gt;"",INDEX(職員マスタ!$F$6:$F$405,$AP286)&lt;$AQ286),"対象月に子が2歳到達済／","")&amp;IF(AND($H286&lt;&gt;"",INDEX(職員マスタ!$B$6:$B$405,$AP286)&lt;&gt;"",SUBSTITUTE(SUBSTITUTE($H286," ","")," ","")&lt;&gt;SUBSTITUTE(SUBSTITUTE(INDEX(職員マスタ!$B$6:$B$405,$AP286)," ","")," ","")),"氏名がマスタと相違／","")&amp;IF(AND($Q286&lt;&gt;"",INDEX(職員マスタ!$E$6:$E$405,$AP286)&lt;&gt;"",$Q286&lt;&gt;INDEX(職員マスタ!$E$6:$E$405,$AP286)),"子の生年月日がマスタと相違／","")&amp;IF(AND($L286&lt;&gt;"",INDEX(職員マスタ!$G$6:$G$405,$AP286)&lt;&gt;"",$L286&lt;&gt;INDEX(職員マスタ!$G$6:$G$405,$AP286)),"時短開始日がマスタと相違／","")&amp;IF(AND($M286&lt;&gt;"",INDEX(職員マスタ!$H$6:$H$405,$AP286)&lt;&gt;"",$M286&lt;&gt;INDEX(職員マスタ!$H$6:$H$405,$AP286)),"時短終了日がマスタと相違／","")))&amp;IF(AND($B286&lt;&gt;"",$E286=""),"報酬額が未入力／","")&amp;IF(N($U286)&gt;0,"申請書に入力エラーが残っています／","")&amp;IF(AND($B286&lt;&gt;"",$AQ286&lt;&gt;""),IF(COUNTIFS($B$6:$B$3005,$B286,$C$6:$C$3005,$C286,$D$6:$D$3005,$D286)&gt;1,"同じ月の請求が重複しています／",""),"")&amp;IF(AND(N($E286)&gt;0,$AB286&lt;&gt;"",$AB286&lt;&gt;"×",$AE286=0,$AD286=""),"計算額が下限以下のため不支給／",""))</f>
        <v/>
      </c>
      <c r="AN286" s="12" t="n"/>
      <c r="AO286" s="14">
        <f>IF($AF286="保留中",COUNTIF($AF$6:$AF286,"保留中"),"")</f>
        <v/>
      </c>
      <c r="AP286" s="14">
        <f>IF($AQ286="","",IF(SUMPRODUCT(MAX((職員マスタ!$A$6:$A$405=$B286)*(((職員マスタ!$G$6:$G$405="")+(職員マスタ!$G$6:$G$405&lt;=EOMONTH($AQ286,0)))&gt;0)*(((職員マスタ!$H$6:$H$405="")+(職員マスタ!$H$6:$H$405&gt;=$AQ286))&gt;0)*(ROW(職員マスタ!$A$6:$A$405)-5)))&gt;0,SUMPRODUCT(MAX((職員マスタ!$A$6:$A$405=$B286)*(((職員マスタ!$G$6:$G$405="")+(職員マスタ!$G$6:$G$405&lt;=EOMONTH($AQ286,0)))&gt;0)*(((職員マスタ!$H$6:$H$405="")+(職員マスタ!$H$6:$H$405&gt;=$AQ286))&gt;0)*(ROW(職員マスタ!$A$6:$A$405)-5))),IFERROR(MATCH($B286,職員マスタ!$A$6:$A$405,0),"")))</f>
        <v/>
      </c>
      <c r="AQ286" s="16">
        <f>IF(OR($B286="",$C286="",$D286=""),"",DATE($C286+2018,$D286,1))</f>
        <v/>
      </c>
    </row>
    <row r="287">
      <c r="A287" s="11" t="n"/>
      <c r="B287" s="12" t="n">
        <v>6602668</v>
      </c>
      <c r="C287" s="12" t="n">
        <v>7</v>
      </c>
      <c r="D287" s="12" t="n">
        <v>12</v>
      </c>
      <c r="E287" s="13" t="n">
        <v>199254</v>
      </c>
      <c r="F287" s="12" t="n"/>
      <c r="G287" s="13" t="n"/>
      <c r="H287" s="12" t="n"/>
      <c r="I287" s="12" t="n"/>
      <c r="J287" s="12" t="n"/>
      <c r="K287" s="12" t="n"/>
      <c r="L287" s="11" t="n"/>
      <c r="M287" s="11" t="n"/>
      <c r="N287" s="11" t="n"/>
      <c r="O287" s="11" t="n"/>
      <c r="P287" s="12" t="n"/>
      <c r="Q287" s="11" t="n"/>
      <c r="R287" s="12" t="n"/>
      <c r="S287" s="11" t="n"/>
      <c r="T287" s="12" t="n"/>
      <c r="U287" s="12" t="n"/>
      <c r="V287" s="12" t="n"/>
      <c r="W287" s="13" t="n"/>
      <c r="X287" s="14">
        <f>IF($AP287="",IF($B287="","",$H287),IF(INDEX(職員マスタ!$B$6:$B$405,$AP287)="",$H287,INDEX(職員マスタ!$B$6:$B$405,$AP287)))</f>
        <v/>
      </c>
      <c r="Y287" s="14">
        <f>IF($AP287="",IF($B287="","",$R287),IF(INDEX(職員マスタ!$C$6:$C$405,$AP287)="",$R287,INDEX(職員マスタ!$C$6:$C$405,$AP287)))</f>
        <v/>
      </c>
      <c r="Z287" s="14">
        <f>IF($AQ287="","","R"&amp;$C287&amp;"."&amp;$D287)</f>
        <v/>
      </c>
      <c r="AA287" s="15">
        <f>IF(IF($AP287="",FALSE,INDEX(職員マスタ!$K$6:$K$405,$AP287)&lt;&gt;""),INDEX(職員マスタ!$K$6:$K$405,$AP287),IF(N($W287)&gt;0,$W287,""))</f>
        <v/>
      </c>
      <c r="AB287" s="14">
        <f>IF(OR($E287="",$AA287=""),"",IF($E287&gt;=$AA287,"×",IF($E287&gt;=$AA287*設定!$C$5,"△","○")))</f>
        <v/>
      </c>
      <c r="AC287" s="15">
        <f>IF($AB287="","",IF($AB287="×",0,IF($AB287="○",ROUNDDOWN($E287*設定!$C$4,0),ROUNDDOWN($E287*ROUND((9*$AA287-9*$E287)/(10*$E287),4),0))))</f>
        <v/>
      </c>
      <c r="AD287" s="13" t="n"/>
      <c r="AE287" s="15">
        <f>IF($B287="","",IF($AD287&lt;&gt;"",$AD287,IF($AC287="","",IF($AC287&lt;=設定!$C$3,0,$AC287))))</f>
        <v/>
      </c>
      <c r="AF287" s="14">
        <f>IF($B287="","",IF(AND($AG287&lt;&gt;"",$AI287="",$AL287=""),"保留中",IF($AL287&lt;&gt;"",IF(N($AE287)&gt;0,"支給済","不支給"),IF($AE287="","要確認",IF($AE287=0,"不支給","未処理")))))</f>
        <v/>
      </c>
      <c r="AG287" s="12" t="n"/>
      <c r="AH287" s="11" t="n"/>
      <c r="AI287" s="11" t="n"/>
      <c r="AJ287" s="11" t="n"/>
      <c r="AK287" s="14">
        <f>IF(AND($AF287="保留中",$AH287&lt;&gt;""),TODAY()-$AH287,"")</f>
        <v/>
      </c>
      <c r="AL287" s="12" t="inlineStr">
        <is>
          <t>R8.3</t>
        </is>
      </c>
      <c r="AM287" s="14">
        <f>IF($B287="","",IF($AQ287="","対象年月が未入力／","")&amp;IF($B287="","",IF($AP287="","職員マスタに未登録の職員番号／",IF($AA287="","標準報酬月額が未登録／","")&amp;IF(AND($AQ287&lt;&gt;"",OR(AND(INDEX(職員マスタ!$G$6:$G$405,$AP287)&lt;&gt;"",INDEX(職員マスタ!$G$6:$G$405,$AP287)&gt;EOMONTH($AQ287,0)),AND(INDEX(職員マスタ!$H$6:$H$405,$AP287)&lt;&gt;"",INDEX(職員マスタ!$H$6:$H$405,$AP287)&lt;$AQ287))),"対象月が時短期間外／","")&amp;IF(AND(INDEX(職員マスタ!$K$6:$K$405,$AP287)&lt;&gt;"",N($W287)&gt;0,INDEX(職員マスタ!$K$6:$K$405,$AP287)&lt;&gt;$W287),"標準報酬月額が申請書と相違（台帳"&amp;TEXT(INDEX(職員マスタ!$K$6:$K$405,$AP287),"#,##0")&amp;"円／申請書"&amp;TEXT($W287,"#,##0")&amp;"円）／","")&amp;IF(AND(INDEX(職員マスタ!$F$6:$F$405,$AP287)&lt;&gt;"",$AQ287&lt;&gt;"",INDEX(職員マスタ!$F$6:$F$405,$AP287)&lt;$AQ287),"対象月に子が2歳到達済／","")&amp;IF(AND($H287&lt;&gt;"",INDEX(職員マスタ!$B$6:$B$405,$AP287)&lt;&gt;"",SUBSTITUTE(SUBSTITUTE($H287," ","")," ","")&lt;&gt;SUBSTITUTE(SUBSTITUTE(INDEX(職員マスタ!$B$6:$B$405,$AP287)," ","")," ","")),"氏名がマスタと相違／","")&amp;IF(AND($Q287&lt;&gt;"",INDEX(職員マスタ!$E$6:$E$405,$AP287)&lt;&gt;"",$Q287&lt;&gt;INDEX(職員マスタ!$E$6:$E$405,$AP287)),"子の生年月日がマスタと相違／","")&amp;IF(AND($L287&lt;&gt;"",INDEX(職員マスタ!$G$6:$G$405,$AP287)&lt;&gt;"",$L287&lt;&gt;INDEX(職員マスタ!$G$6:$G$405,$AP287)),"時短開始日がマスタと相違／","")&amp;IF(AND($M287&lt;&gt;"",INDEX(職員マスタ!$H$6:$H$405,$AP287)&lt;&gt;"",$M287&lt;&gt;INDEX(職員マスタ!$H$6:$H$405,$AP287)),"時短終了日がマスタと相違／","")))&amp;IF(AND($B287&lt;&gt;"",$E287=""),"報酬額が未入力／","")&amp;IF(N($U287)&gt;0,"申請書に入力エラーが残っています／","")&amp;IF(AND($B287&lt;&gt;"",$AQ287&lt;&gt;""),IF(COUNTIFS($B$6:$B$3005,$B287,$C$6:$C$3005,$C287,$D$6:$D$3005,$D287)&gt;1,"同じ月の請求が重複しています／",""),"")&amp;IF(AND(N($E287)&gt;0,$AB287&lt;&gt;"",$AB287&lt;&gt;"×",$AE287=0,$AD287=""),"計算額が下限以下のため不支給／",""))</f>
        <v/>
      </c>
      <c r="AN287" s="12" t="n"/>
      <c r="AO287" s="14">
        <f>IF($AF287="保留中",COUNTIF($AF$6:$AF287,"保留中"),"")</f>
        <v/>
      </c>
      <c r="AP287" s="14">
        <f>IF($AQ287="","",IF(SUMPRODUCT(MAX((職員マスタ!$A$6:$A$405=$B287)*(((職員マスタ!$G$6:$G$405="")+(職員マスタ!$G$6:$G$405&lt;=EOMONTH($AQ287,0)))&gt;0)*(((職員マスタ!$H$6:$H$405="")+(職員マスタ!$H$6:$H$405&gt;=$AQ287))&gt;0)*(ROW(職員マスタ!$A$6:$A$405)-5)))&gt;0,SUMPRODUCT(MAX((職員マスタ!$A$6:$A$405=$B287)*(((職員マスタ!$G$6:$G$405="")+(職員マスタ!$G$6:$G$405&lt;=EOMONTH($AQ287,0)))&gt;0)*(((職員マスタ!$H$6:$H$405="")+(職員マスタ!$H$6:$H$405&gt;=$AQ287))&gt;0)*(ROW(職員マスタ!$A$6:$A$405)-5))),IFERROR(MATCH($B287,職員マスタ!$A$6:$A$405,0),"")))</f>
        <v/>
      </c>
      <c r="AQ287" s="16">
        <f>IF(OR($B287="",$C287="",$D287=""),"",DATE($C287+2018,$D287,1))</f>
        <v/>
      </c>
    </row>
    <row r="288">
      <c r="A288" s="11" t="n"/>
      <c r="B288" s="12" t="n">
        <v>6602668</v>
      </c>
      <c r="C288" s="12" t="n">
        <v>8</v>
      </c>
      <c r="D288" s="12" t="n">
        <v>1</v>
      </c>
      <c r="E288" s="13" t="n">
        <v>199252</v>
      </c>
      <c r="F288" s="12" t="n"/>
      <c r="G288" s="13" t="n"/>
      <c r="H288" s="12" t="n"/>
      <c r="I288" s="12" t="n"/>
      <c r="J288" s="12" t="n"/>
      <c r="K288" s="12" t="n"/>
      <c r="L288" s="11" t="n"/>
      <c r="M288" s="11" t="n"/>
      <c r="N288" s="11" t="n"/>
      <c r="O288" s="11" t="n"/>
      <c r="P288" s="12" t="n"/>
      <c r="Q288" s="11" t="n"/>
      <c r="R288" s="12" t="n"/>
      <c r="S288" s="11" t="n"/>
      <c r="T288" s="12" t="n"/>
      <c r="U288" s="12" t="n"/>
      <c r="V288" s="12" t="n"/>
      <c r="W288" s="13" t="n"/>
      <c r="X288" s="14">
        <f>IF($AP288="",IF($B288="","",$H288),IF(INDEX(職員マスタ!$B$6:$B$405,$AP288)="",$H288,INDEX(職員マスタ!$B$6:$B$405,$AP288)))</f>
        <v/>
      </c>
      <c r="Y288" s="14">
        <f>IF($AP288="",IF($B288="","",$R288),IF(INDEX(職員マスタ!$C$6:$C$405,$AP288)="",$R288,INDEX(職員マスタ!$C$6:$C$405,$AP288)))</f>
        <v/>
      </c>
      <c r="Z288" s="14">
        <f>IF($AQ288="","","R"&amp;$C288&amp;"."&amp;$D288)</f>
        <v/>
      </c>
      <c r="AA288" s="15">
        <f>IF(IF($AP288="",FALSE,INDEX(職員マスタ!$K$6:$K$405,$AP288)&lt;&gt;""),INDEX(職員マスタ!$K$6:$K$405,$AP288),IF(N($W288)&gt;0,$W288,""))</f>
        <v/>
      </c>
      <c r="AB288" s="14">
        <f>IF(OR($E288="",$AA288=""),"",IF($E288&gt;=$AA288,"×",IF($E288&gt;=$AA288*設定!$C$5,"△","○")))</f>
        <v/>
      </c>
      <c r="AC288" s="15">
        <f>IF($AB288="","",IF($AB288="×",0,IF($AB288="○",ROUNDDOWN($E288*設定!$C$4,0),ROUNDDOWN($E288*ROUND((9*$AA288-9*$E288)/(10*$E288),4),0))))</f>
        <v/>
      </c>
      <c r="AD288" s="13" t="n"/>
      <c r="AE288" s="15">
        <f>IF($B288="","",IF($AD288&lt;&gt;"",$AD288,IF($AC288="","",IF($AC288&lt;=設定!$C$3,0,$AC288))))</f>
        <v/>
      </c>
      <c r="AF288" s="14">
        <f>IF($B288="","",IF(AND($AG288&lt;&gt;"",$AI288="",$AL288=""),"保留中",IF($AL288&lt;&gt;"",IF(N($AE288)&gt;0,"支給済","不支給"),IF($AE288="","要確認",IF($AE288=0,"不支給","未処理")))))</f>
        <v/>
      </c>
      <c r="AG288" s="12" t="n"/>
      <c r="AH288" s="11" t="n"/>
      <c r="AI288" s="11" t="n"/>
      <c r="AJ288" s="11" t="n"/>
      <c r="AK288" s="14">
        <f>IF(AND($AF288="保留中",$AH288&lt;&gt;""),TODAY()-$AH288,"")</f>
        <v/>
      </c>
      <c r="AL288" s="12" t="inlineStr">
        <is>
          <t>R8.3</t>
        </is>
      </c>
      <c r="AM288" s="14">
        <f>IF($B288="","",IF($AQ288="","対象年月が未入力／","")&amp;IF($B288="","",IF($AP288="","職員マスタに未登録の職員番号／",IF($AA288="","標準報酬月額が未登録／","")&amp;IF(AND($AQ288&lt;&gt;"",OR(AND(INDEX(職員マスタ!$G$6:$G$405,$AP288)&lt;&gt;"",INDEX(職員マスタ!$G$6:$G$405,$AP288)&gt;EOMONTH($AQ288,0)),AND(INDEX(職員マスタ!$H$6:$H$405,$AP288)&lt;&gt;"",INDEX(職員マスタ!$H$6:$H$405,$AP288)&lt;$AQ288))),"対象月が時短期間外／","")&amp;IF(AND(INDEX(職員マスタ!$K$6:$K$405,$AP288)&lt;&gt;"",N($W288)&gt;0,INDEX(職員マスタ!$K$6:$K$405,$AP288)&lt;&gt;$W288),"標準報酬月額が申請書と相違（台帳"&amp;TEXT(INDEX(職員マスタ!$K$6:$K$405,$AP288),"#,##0")&amp;"円／申請書"&amp;TEXT($W288,"#,##0")&amp;"円）／","")&amp;IF(AND(INDEX(職員マスタ!$F$6:$F$405,$AP288)&lt;&gt;"",$AQ288&lt;&gt;"",INDEX(職員マスタ!$F$6:$F$405,$AP288)&lt;$AQ288),"対象月に子が2歳到達済／","")&amp;IF(AND($H288&lt;&gt;"",INDEX(職員マスタ!$B$6:$B$405,$AP288)&lt;&gt;"",SUBSTITUTE(SUBSTITUTE($H288," ","")," ","")&lt;&gt;SUBSTITUTE(SUBSTITUTE(INDEX(職員マスタ!$B$6:$B$405,$AP288)," ","")," ","")),"氏名がマスタと相違／","")&amp;IF(AND($Q288&lt;&gt;"",INDEX(職員マスタ!$E$6:$E$405,$AP288)&lt;&gt;"",$Q288&lt;&gt;INDEX(職員マスタ!$E$6:$E$405,$AP288)),"子の生年月日がマスタと相違／","")&amp;IF(AND($L288&lt;&gt;"",INDEX(職員マスタ!$G$6:$G$405,$AP288)&lt;&gt;"",$L288&lt;&gt;INDEX(職員マスタ!$G$6:$G$405,$AP288)),"時短開始日がマスタと相違／","")&amp;IF(AND($M288&lt;&gt;"",INDEX(職員マスタ!$H$6:$H$405,$AP288)&lt;&gt;"",$M288&lt;&gt;INDEX(職員マスタ!$H$6:$H$405,$AP288)),"時短終了日がマスタと相違／","")))&amp;IF(AND($B288&lt;&gt;"",$E288=""),"報酬額が未入力／","")&amp;IF(N($U288)&gt;0,"申請書に入力エラーが残っています／","")&amp;IF(AND($B288&lt;&gt;"",$AQ288&lt;&gt;""),IF(COUNTIFS($B$6:$B$3005,$B288,$C$6:$C$3005,$C288,$D$6:$D$3005,$D288)&gt;1,"同じ月の請求が重複しています／",""),"")&amp;IF(AND(N($E288)&gt;0,$AB288&lt;&gt;"",$AB288&lt;&gt;"×",$AE288=0,$AD288=""),"計算額が下限以下のため不支給／",""))</f>
        <v/>
      </c>
      <c r="AN288" s="12" t="n"/>
      <c r="AO288" s="14">
        <f>IF($AF288="保留中",COUNTIF($AF$6:$AF288,"保留中"),"")</f>
        <v/>
      </c>
      <c r="AP288" s="14">
        <f>IF($AQ288="","",IF(SUMPRODUCT(MAX((職員マスタ!$A$6:$A$405=$B288)*(((職員マスタ!$G$6:$G$405="")+(職員マスタ!$G$6:$G$405&lt;=EOMONTH($AQ288,0)))&gt;0)*(((職員マスタ!$H$6:$H$405="")+(職員マスタ!$H$6:$H$405&gt;=$AQ288))&gt;0)*(ROW(職員マスタ!$A$6:$A$405)-5)))&gt;0,SUMPRODUCT(MAX((職員マスタ!$A$6:$A$405=$B288)*(((職員マスタ!$G$6:$G$405="")+(職員マスタ!$G$6:$G$405&lt;=EOMONTH($AQ288,0)))&gt;0)*(((職員マスタ!$H$6:$H$405="")+(職員マスタ!$H$6:$H$405&gt;=$AQ288))&gt;0)*(ROW(職員マスタ!$A$6:$A$405)-5))),IFERROR(MATCH($B288,職員マスタ!$A$6:$A$405,0),"")))</f>
        <v/>
      </c>
      <c r="AQ288" s="16">
        <f>IF(OR($B288="",$C288="",$D288=""),"",DATE($C288+2018,$D288,1))</f>
        <v/>
      </c>
    </row>
    <row r="289">
      <c r="A289" s="11" t="n"/>
      <c r="B289" s="12" t="n">
        <v>6602668</v>
      </c>
      <c r="C289" s="12" t="n">
        <v>8</v>
      </c>
      <c r="D289" s="12" t="n">
        <v>2</v>
      </c>
      <c r="E289" s="13" t="n">
        <v>199252</v>
      </c>
      <c r="F289" s="12" t="n"/>
      <c r="G289" s="13" t="n"/>
      <c r="H289" s="12" t="n"/>
      <c r="I289" s="12" t="n"/>
      <c r="J289" s="12" t="n"/>
      <c r="K289" s="12" t="n"/>
      <c r="L289" s="11" t="n"/>
      <c r="M289" s="11" t="n"/>
      <c r="N289" s="11" t="n"/>
      <c r="O289" s="11" t="n"/>
      <c r="P289" s="12" t="n"/>
      <c r="Q289" s="11" t="n"/>
      <c r="R289" s="12" t="n"/>
      <c r="S289" s="11" t="n"/>
      <c r="T289" s="12" t="n"/>
      <c r="U289" s="12" t="n"/>
      <c r="V289" s="12" t="n"/>
      <c r="W289" s="13" t="n"/>
      <c r="X289" s="14">
        <f>IF($AP289="",IF($B289="","",$H289),IF(INDEX(職員マスタ!$B$6:$B$405,$AP289)="",$H289,INDEX(職員マスタ!$B$6:$B$405,$AP289)))</f>
        <v/>
      </c>
      <c r="Y289" s="14">
        <f>IF($AP289="",IF($B289="","",$R289),IF(INDEX(職員マスタ!$C$6:$C$405,$AP289)="",$R289,INDEX(職員マスタ!$C$6:$C$405,$AP289)))</f>
        <v/>
      </c>
      <c r="Z289" s="14">
        <f>IF($AQ289="","","R"&amp;$C289&amp;"."&amp;$D289)</f>
        <v/>
      </c>
      <c r="AA289" s="15">
        <f>IF(IF($AP289="",FALSE,INDEX(職員マスタ!$K$6:$K$405,$AP289)&lt;&gt;""),INDEX(職員マスタ!$K$6:$K$405,$AP289),IF(N($W289)&gt;0,$W289,""))</f>
        <v/>
      </c>
      <c r="AB289" s="14">
        <f>IF(OR($E289="",$AA289=""),"",IF($E289&gt;=$AA289,"×",IF($E289&gt;=$AA289*設定!$C$5,"△","○")))</f>
        <v/>
      </c>
      <c r="AC289" s="15">
        <f>IF($AB289="","",IF($AB289="×",0,IF($AB289="○",ROUNDDOWN($E289*設定!$C$4,0),ROUNDDOWN($E289*ROUND((9*$AA289-9*$E289)/(10*$E289),4),0))))</f>
        <v/>
      </c>
      <c r="AD289" s="13" t="n"/>
      <c r="AE289" s="15">
        <f>IF($B289="","",IF($AD289&lt;&gt;"",$AD289,IF($AC289="","",IF($AC289&lt;=設定!$C$3,0,$AC289))))</f>
        <v/>
      </c>
      <c r="AF289" s="14">
        <f>IF($B289="","",IF(AND($AG289&lt;&gt;"",$AI289="",$AL289=""),"保留中",IF($AL289&lt;&gt;"",IF(N($AE289)&gt;0,"支給済","不支給"),IF($AE289="","要確認",IF($AE289=0,"不支給","未処理")))))</f>
        <v/>
      </c>
      <c r="AG289" s="12" t="n"/>
      <c r="AH289" s="11" t="n"/>
      <c r="AI289" s="11" t="n"/>
      <c r="AJ289" s="11" t="n"/>
      <c r="AK289" s="14">
        <f>IF(AND($AF289="保留中",$AH289&lt;&gt;""),TODAY()-$AH289,"")</f>
        <v/>
      </c>
      <c r="AL289" s="12" t="inlineStr">
        <is>
          <t>R8.4</t>
        </is>
      </c>
      <c r="AM289" s="14">
        <f>IF($B289="","",IF($AQ289="","対象年月が未入力／","")&amp;IF($B289="","",IF($AP289="","職員マスタに未登録の職員番号／",IF($AA289="","標準報酬月額が未登録／","")&amp;IF(AND($AQ289&lt;&gt;"",OR(AND(INDEX(職員マスタ!$G$6:$G$405,$AP289)&lt;&gt;"",INDEX(職員マスタ!$G$6:$G$405,$AP289)&gt;EOMONTH($AQ289,0)),AND(INDEX(職員マスタ!$H$6:$H$405,$AP289)&lt;&gt;"",INDEX(職員マスタ!$H$6:$H$405,$AP289)&lt;$AQ289))),"対象月が時短期間外／","")&amp;IF(AND(INDEX(職員マスタ!$K$6:$K$405,$AP289)&lt;&gt;"",N($W289)&gt;0,INDEX(職員マスタ!$K$6:$K$405,$AP289)&lt;&gt;$W289),"標準報酬月額が申請書と相違（台帳"&amp;TEXT(INDEX(職員マスタ!$K$6:$K$405,$AP289),"#,##0")&amp;"円／申請書"&amp;TEXT($W289,"#,##0")&amp;"円）／","")&amp;IF(AND(INDEX(職員マスタ!$F$6:$F$405,$AP289)&lt;&gt;"",$AQ289&lt;&gt;"",INDEX(職員マスタ!$F$6:$F$405,$AP289)&lt;$AQ289),"対象月に子が2歳到達済／","")&amp;IF(AND($H289&lt;&gt;"",INDEX(職員マスタ!$B$6:$B$405,$AP289)&lt;&gt;"",SUBSTITUTE(SUBSTITUTE($H289," ","")," ","")&lt;&gt;SUBSTITUTE(SUBSTITUTE(INDEX(職員マスタ!$B$6:$B$405,$AP289)," ","")," ","")),"氏名がマスタと相違／","")&amp;IF(AND($Q289&lt;&gt;"",INDEX(職員マスタ!$E$6:$E$405,$AP289)&lt;&gt;"",$Q289&lt;&gt;INDEX(職員マスタ!$E$6:$E$405,$AP289)),"子の生年月日がマスタと相違／","")&amp;IF(AND($L289&lt;&gt;"",INDEX(職員マスタ!$G$6:$G$405,$AP289)&lt;&gt;"",$L289&lt;&gt;INDEX(職員マスタ!$G$6:$G$405,$AP289)),"時短開始日がマスタと相違／","")&amp;IF(AND($M289&lt;&gt;"",INDEX(職員マスタ!$H$6:$H$405,$AP289)&lt;&gt;"",$M289&lt;&gt;INDEX(職員マスタ!$H$6:$H$405,$AP289)),"時短終了日がマスタと相違／","")))&amp;IF(AND($B289&lt;&gt;"",$E289=""),"報酬額が未入力／","")&amp;IF(N($U289)&gt;0,"申請書に入力エラーが残っています／","")&amp;IF(AND($B289&lt;&gt;"",$AQ289&lt;&gt;""),IF(COUNTIFS($B$6:$B$3005,$B289,$C$6:$C$3005,$C289,$D$6:$D$3005,$D289)&gt;1,"同じ月の請求が重複しています／",""),"")&amp;IF(AND(N($E289)&gt;0,$AB289&lt;&gt;"",$AB289&lt;&gt;"×",$AE289=0,$AD289=""),"計算額が下限以下のため不支給／",""))</f>
        <v/>
      </c>
      <c r="AN289" s="12" t="n"/>
      <c r="AO289" s="14">
        <f>IF($AF289="保留中",COUNTIF($AF$6:$AF289,"保留中"),"")</f>
        <v/>
      </c>
      <c r="AP289" s="14">
        <f>IF($AQ289="","",IF(SUMPRODUCT(MAX((職員マスタ!$A$6:$A$405=$B289)*(((職員マスタ!$G$6:$G$405="")+(職員マスタ!$G$6:$G$405&lt;=EOMONTH($AQ289,0)))&gt;0)*(((職員マスタ!$H$6:$H$405="")+(職員マスタ!$H$6:$H$405&gt;=$AQ289))&gt;0)*(ROW(職員マスタ!$A$6:$A$405)-5)))&gt;0,SUMPRODUCT(MAX((職員マスタ!$A$6:$A$405=$B289)*(((職員マスタ!$G$6:$G$405="")+(職員マスタ!$G$6:$G$405&lt;=EOMONTH($AQ289,0)))&gt;0)*(((職員マスタ!$H$6:$H$405="")+(職員マスタ!$H$6:$H$405&gt;=$AQ289))&gt;0)*(ROW(職員マスタ!$A$6:$A$405)-5))),IFERROR(MATCH($B289,職員マスタ!$A$6:$A$405,0),"")))</f>
        <v/>
      </c>
      <c r="AQ289" s="16">
        <f>IF(OR($B289="",$C289="",$D289=""),"",DATE($C289+2018,$D289,1))</f>
        <v/>
      </c>
    </row>
    <row r="290">
      <c r="A290" s="11" t="n"/>
      <c r="B290" s="12" t="n">
        <v>6602668</v>
      </c>
      <c r="C290" s="12" t="n">
        <v>8</v>
      </c>
      <c r="D290" s="12" t="n">
        <v>3</v>
      </c>
      <c r="E290" s="13" t="n">
        <v>199252</v>
      </c>
      <c r="F290" s="12" t="n"/>
      <c r="G290" s="13" t="n"/>
      <c r="H290" s="12" t="n"/>
      <c r="I290" s="12" t="n"/>
      <c r="J290" s="12" t="n"/>
      <c r="K290" s="12" t="n"/>
      <c r="L290" s="11" t="n"/>
      <c r="M290" s="11" t="n"/>
      <c r="N290" s="11" t="n"/>
      <c r="O290" s="11" t="n"/>
      <c r="P290" s="12" t="n"/>
      <c r="Q290" s="11" t="n"/>
      <c r="R290" s="12" t="n"/>
      <c r="S290" s="11" t="n"/>
      <c r="T290" s="12" t="n"/>
      <c r="U290" s="12" t="n"/>
      <c r="V290" s="12" t="n"/>
      <c r="W290" s="13" t="n"/>
      <c r="X290" s="14">
        <f>IF($AP290="",IF($B290="","",$H290),IF(INDEX(職員マスタ!$B$6:$B$405,$AP290)="",$H290,INDEX(職員マスタ!$B$6:$B$405,$AP290)))</f>
        <v/>
      </c>
      <c r="Y290" s="14">
        <f>IF($AP290="",IF($B290="","",$R290),IF(INDEX(職員マスタ!$C$6:$C$405,$AP290)="",$R290,INDEX(職員マスタ!$C$6:$C$405,$AP290)))</f>
        <v/>
      </c>
      <c r="Z290" s="14">
        <f>IF($AQ290="","","R"&amp;$C290&amp;"."&amp;$D290)</f>
        <v/>
      </c>
      <c r="AA290" s="15">
        <f>IF(IF($AP290="",FALSE,INDEX(職員マスタ!$K$6:$K$405,$AP290)&lt;&gt;""),INDEX(職員マスタ!$K$6:$K$405,$AP290),IF(N($W290)&gt;0,$W290,""))</f>
        <v/>
      </c>
      <c r="AB290" s="14">
        <f>IF(OR($E290="",$AA290=""),"",IF($E290&gt;=$AA290,"×",IF($E290&gt;=$AA290*設定!$C$5,"△","○")))</f>
        <v/>
      </c>
      <c r="AC290" s="15">
        <f>IF($AB290="","",IF($AB290="×",0,IF($AB290="○",ROUNDDOWN($E290*設定!$C$4,0),ROUNDDOWN($E290*ROUND((9*$AA290-9*$E290)/(10*$E290),4),0))))</f>
        <v/>
      </c>
      <c r="AD290" s="13" t="n"/>
      <c r="AE290" s="15">
        <f>IF($B290="","",IF($AD290&lt;&gt;"",$AD290,IF($AC290="","",IF($AC290&lt;=設定!$C$3,0,$AC290))))</f>
        <v/>
      </c>
      <c r="AF290" s="14">
        <f>IF($B290="","",IF(AND($AG290&lt;&gt;"",$AI290="",$AL290=""),"保留中",IF($AL290&lt;&gt;"",IF(N($AE290)&gt;0,"支給済","不支給"),IF($AE290="","要確認",IF($AE290=0,"不支給","未処理")))))</f>
        <v/>
      </c>
      <c r="AG290" s="12" t="n"/>
      <c r="AH290" s="11" t="n"/>
      <c r="AI290" s="11" t="n"/>
      <c r="AJ290" s="11" t="n"/>
      <c r="AK290" s="14">
        <f>IF(AND($AF290="保留中",$AH290&lt;&gt;""),TODAY()-$AH290,"")</f>
        <v/>
      </c>
      <c r="AL290" s="12" t="inlineStr">
        <is>
          <t>R8.10</t>
        </is>
      </c>
      <c r="AM290" s="14">
        <f>IF($B290="","",IF($AQ290="","対象年月が未入力／","")&amp;IF($B290="","",IF($AP290="","職員マスタに未登録の職員番号／",IF($AA290="","標準報酬月額が未登録／","")&amp;IF(AND($AQ290&lt;&gt;"",OR(AND(INDEX(職員マスタ!$G$6:$G$405,$AP290)&lt;&gt;"",INDEX(職員マスタ!$G$6:$G$405,$AP290)&gt;EOMONTH($AQ290,0)),AND(INDEX(職員マスタ!$H$6:$H$405,$AP290)&lt;&gt;"",INDEX(職員マスタ!$H$6:$H$405,$AP290)&lt;$AQ290))),"対象月が時短期間外／","")&amp;IF(AND(INDEX(職員マスタ!$K$6:$K$405,$AP290)&lt;&gt;"",N($W290)&gt;0,INDEX(職員マスタ!$K$6:$K$405,$AP290)&lt;&gt;$W290),"標準報酬月額が申請書と相違（台帳"&amp;TEXT(INDEX(職員マスタ!$K$6:$K$405,$AP290),"#,##0")&amp;"円／申請書"&amp;TEXT($W290,"#,##0")&amp;"円）／","")&amp;IF(AND(INDEX(職員マスタ!$F$6:$F$405,$AP290)&lt;&gt;"",$AQ290&lt;&gt;"",INDEX(職員マスタ!$F$6:$F$405,$AP290)&lt;$AQ290),"対象月に子が2歳到達済／","")&amp;IF(AND($H290&lt;&gt;"",INDEX(職員マスタ!$B$6:$B$405,$AP290)&lt;&gt;"",SUBSTITUTE(SUBSTITUTE($H290," ","")," ","")&lt;&gt;SUBSTITUTE(SUBSTITUTE(INDEX(職員マスタ!$B$6:$B$405,$AP290)," ","")," ","")),"氏名がマスタと相違／","")&amp;IF(AND($Q290&lt;&gt;"",INDEX(職員マスタ!$E$6:$E$405,$AP290)&lt;&gt;"",$Q290&lt;&gt;INDEX(職員マスタ!$E$6:$E$405,$AP290)),"子の生年月日がマスタと相違／","")&amp;IF(AND($L290&lt;&gt;"",INDEX(職員マスタ!$G$6:$G$405,$AP290)&lt;&gt;"",$L290&lt;&gt;INDEX(職員マスタ!$G$6:$G$405,$AP290)),"時短開始日がマスタと相違／","")&amp;IF(AND($M290&lt;&gt;"",INDEX(職員マスタ!$H$6:$H$405,$AP290)&lt;&gt;"",$M290&lt;&gt;INDEX(職員マスタ!$H$6:$H$405,$AP290)),"時短終了日がマスタと相違／","")))&amp;IF(AND($B290&lt;&gt;"",$E290=""),"報酬額が未入力／","")&amp;IF(N($U290)&gt;0,"申請書に入力エラーが残っています／","")&amp;IF(AND($B290&lt;&gt;"",$AQ290&lt;&gt;""),IF(COUNTIFS($B$6:$B$3005,$B290,$C$6:$C$3005,$C290,$D$6:$D$3005,$D290)&gt;1,"同じ月の請求が重複しています／",""),"")&amp;IF(AND(N($E290)&gt;0,$AB290&lt;&gt;"",$AB290&lt;&gt;"×",$AE290=0,$AD290=""),"計算額が下限以下のため不支給／",""))</f>
        <v/>
      </c>
      <c r="AN290" s="12" t="n"/>
      <c r="AO290" s="14">
        <f>IF($AF290="保留中",COUNTIF($AF$6:$AF290,"保留中"),"")</f>
        <v/>
      </c>
      <c r="AP290" s="14">
        <f>IF($AQ290="","",IF(SUMPRODUCT(MAX((職員マスタ!$A$6:$A$405=$B290)*(((職員マスタ!$G$6:$G$405="")+(職員マスタ!$G$6:$G$405&lt;=EOMONTH($AQ290,0)))&gt;0)*(((職員マスタ!$H$6:$H$405="")+(職員マスタ!$H$6:$H$405&gt;=$AQ290))&gt;0)*(ROW(職員マスタ!$A$6:$A$405)-5)))&gt;0,SUMPRODUCT(MAX((職員マスタ!$A$6:$A$405=$B290)*(((職員マスタ!$G$6:$G$405="")+(職員マスタ!$G$6:$G$405&lt;=EOMONTH($AQ290,0)))&gt;0)*(((職員マスタ!$H$6:$H$405="")+(職員マスタ!$H$6:$H$405&gt;=$AQ290))&gt;0)*(ROW(職員マスタ!$A$6:$A$405)-5))),IFERROR(MATCH($B290,職員マスタ!$A$6:$A$405,0),"")))</f>
        <v/>
      </c>
      <c r="AQ290" s="16">
        <f>IF(OR($B290="",$C290="",$D290=""),"",DATE($C290+2018,$D290,1))</f>
        <v/>
      </c>
    </row>
    <row r="291">
      <c r="A291" s="11" t="n"/>
      <c r="B291" s="12" t="n">
        <v>6602817</v>
      </c>
      <c r="C291" s="12" t="n">
        <v>7</v>
      </c>
      <c r="D291" s="12" t="n">
        <v>4</v>
      </c>
      <c r="E291" s="13" t="n">
        <v>184733</v>
      </c>
      <c r="F291" s="12" t="n"/>
      <c r="G291" s="13" t="n"/>
      <c r="H291" s="12" t="n"/>
      <c r="I291" s="12" t="n"/>
      <c r="J291" s="12" t="n"/>
      <c r="K291" s="12" t="n"/>
      <c r="L291" s="11" t="n"/>
      <c r="M291" s="11" t="n"/>
      <c r="N291" s="11" t="n"/>
      <c r="O291" s="11" t="n"/>
      <c r="P291" s="12" t="n"/>
      <c r="Q291" s="11" t="n"/>
      <c r="R291" s="12" t="n"/>
      <c r="S291" s="11" t="n"/>
      <c r="T291" s="12" t="n"/>
      <c r="U291" s="12" t="n"/>
      <c r="V291" s="12" t="n"/>
      <c r="W291" s="13" t="n"/>
      <c r="X291" s="14">
        <f>IF($AP291="",IF($B291="","",$H291),IF(INDEX(職員マスタ!$B$6:$B$405,$AP291)="",$H291,INDEX(職員マスタ!$B$6:$B$405,$AP291)))</f>
        <v/>
      </c>
      <c r="Y291" s="14">
        <f>IF($AP291="",IF($B291="","",$R291),IF(INDEX(職員マスタ!$C$6:$C$405,$AP291)="",$R291,INDEX(職員マスタ!$C$6:$C$405,$AP291)))</f>
        <v/>
      </c>
      <c r="Z291" s="14">
        <f>IF($AQ291="","","R"&amp;$C291&amp;"."&amp;$D291)</f>
        <v/>
      </c>
      <c r="AA291" s="15">
        <f>IF(IF($AP291="",FALSE,INDEX(職員マスタ!$K$6:$K$405,$AP291)&lt;&gt;""),INDEX(職員マスタ!$K$6:$K$405,$AP291),IF(N($W291)&gt;0,$W291,""))</f>
        <v/>
      </c>
      <c r="AB291" s="14">
        <f>IF(OR($E291="",$AA291=""),"",IF($E291&gt;=$AA291,"×",IF($E291&gt;=$AA291*設定!$C$5,"△","○")))</f>
        <v/>
      </c>
      <c r="AC291" s="15">
        <f>IF($AB291="","",IF($AB291="×",0,IF($AB291="○",ROUNDDOWN($E291*設定!$C$4,0),ROUNDDOWN($E291*ROUND((9*$AA291-9*$E291)/(10*$E291),4),0))))</f>
        <v/>
      </c>
      <c r="AD291" s="13" t="n"/>
      <c r="AE291" s="15">
        <f>IF($B291="","",IF($AD291&lt;&gt;"",$AD291,IF($AC291="","",IF($AC291&lt;=設定!$C$3,0,$AC291))))</f>
        <v/>
      </c>
      <c r="AF291" s="14">
        <f>IF($B291="","",IF(AND($AG291&lt;&gt;"",$AI291="",$AL291=""),"保留中",IF($AL291&lt;&gt;"",IF(N($AE291)&gt;0,"支給済","不支給"),IF($AE291="","要確認",IF($AE291=0,"不支給","未処理")))))</f>
        <v/>
      </c>
      <c r="AG291" s="12" t="n"/>
      <c r="AH291" s="11" t="n"/>
      <c r="AI291" s="11" t="n"/>
      <c r="AJ291" s="11" t="n"/>
      <c r="AK291" s="14">
        <f>IF(AND($AF291="保留中",$AH291&lt;&gt;""),TODAY()-$AH291,"")</f>
        <v/>
      </c>
      <c r="AL291" s="12" t="inlineStr">
        <is>
          <t>R7.8</t>
        </is>
      </c>
      <c r="AM291" s="14">
        <f>IF($B291="","",IF($AQ291="","対象年月が未入力／","")&amp;IF($B291="","",IF($AP291="","職員マスタに未登録の職員番号／",IF($AA291="","標準報酬月額が未登録／","")&amp;IF(AND($AQ291&lt;&gt;"",OR(AND(INDEX(職員マスタ!$G$6:$G$405,$AP291)&lt;&gt;"",INDEX(職員マスタ!$G$6:$G$405,$AP291)&gt;EOMONTH($AQ291,0)),AND(INDEX(職員マスタ!$H$6:$H$405,$AP291)&lt;&gt;"",INDEX(職員マスタ!$H$6:$H$405,$AP291)&lt;$AQ291))),"対象月が時短期間外／","")&amp;IF(AND(INDEX(職員マスタ!$K$6:$K$405,$AP291)&lt;&gt;"",N($W291)&gt;0,INDEX(職員マスタ!$K$6:$K$405,$AP291)&lt;&gt;$W291),"標準報酬月額が申請書と相違（台帳"&amp;TEXT(INDEX(職員マスタ!$K$6:$K$405,$AP291),"#,##0")&amp;"円／申請書"&amp;TEXT($W291,"#,##0")&amp;"円）／","")&amp;IF(AND(INDEX(職員マスタ!$F$6:$F$405,$AP291)&lt;&gt;"",$AQ291&lt;&gt;"",INDEX(職員マスタ!$F$6:$F$405,$AP291)&lt;$AQ291),"対象月に子が2歳到達済／","")&amp;IF(AND($H291&lt;&gt;"",INDEX(職員マスタ!$B$6:$B$405,$AP291)&lt;&gt;"",SUBSTITUTE(SUBSTITUTE($H291," ","")," ","")&lt;&gt;SUBSTITUTE(SUBSTITUTE(INDEX(職員マスタ!$B$6:$B$405,$AP291)," ","")," ","")),"氏名がマスタと相違／","")&amp;IF(AND($Q291&lt;&gt;"",INDEX(職員マスタ!$E$6:$E$405,$AP291)&lt;&gt;"",$Q291&lt;&gt;INDEX(職員マスタ!$E$6:$E$405,$AP291)),"子の生年月日がマスタと相違／","")&amp;IF(AND($L291&lt;&gt;"",INDEX(職員マスタ!$G$6:$G$405,$AP291)&lt;&gt;"",$L291&lt;&gt;INDEX(職員マスタ!$G$6:$G$405,$AP291)),"時短開始日がマスタと相違／","")&amp;IF(AND($M291&lt;&gt;"",INDEX(職員マスタ!$H$6:$H$405,$AP291)&lt;&gt;"",$M291&lt;&gt;INDEX(職員マスタ!$H$6:$H$405,$AP291)),"時短終了日がマスタと相違／","")))&amp;IF(AND($B291&lt;&gt;"",$E291=""),"報酬額が未入力／","")&amp;IF(N($U291)&gt;0,"申請書に入力エラーが残っています／","")&amp;IF(AND($B291&lt;&gt;"",$AQ291&lt;&gt;""),IF(COUNTIFS($B$6:$B$3005,$B291,$C$6:$C$3005,$C291,$D$6:$D$3005,$D291)&gt;1,"同じ月の請求が重複しています／",""),"")&amp;IF(AND(N($E291)&gt;0,$AB291&lt;&gt;"",$AB291&lt;&gt;"×",$AE291=0,$AD291=""),"計算額が下限以下のため不支給／",""))</f>
        <v/>
      </c>
      <c r="AN291" s="12" t="n"/>
      <c r="AO291" s="14">
        <f>IF($AF291="保留中",COUNTIF($AF$6:$AF291,"保留中"),"")</f>
        <v/>
      </c>
      <c r="AP291" s="14">
        <f>IF($AQ291="","",IF(SUMPRODUCT(MAX((職員マスタ!$A$6:$A$405=$B291)*(((職員マスタ!$G$6:$G$405="")+(職員マスタ!$G$6:$G$405&lt;=EOMONTH($AQ291,0)))&gt;0)*(((職員マスタ!$H$6:$H$405="")+(職員マスタ!$H$6:$H$405&gt;=$AQ291))&gt;0)*(ROW(職員マスタ!$A$6:$A$405)-5)))&gt;0,SUMPRODUCT(MAX((職員マスタ!$A$6:$A$405=$B291)*(((職員マスタ!$G$6:$G$405="")+(職員マスタ!$G$6:$G$405&lt;=EOMONTH($AQ291,0)))&gt;0)*(((職員マスタ!$H$6:$H$405="")+(職員マスタ!$H$6:$H$405&gt;=$AQ291))&gt;0)*(ROW(職員マスタ!$A$6:$A$405)-5))),IFERROR(MATCH($B291,職員マスタ!$A$6:$A$405,0),"")))</f>
        <v/>
      </c>
      <c r="AQ291" s="16">
        <f>IF(OR($B291="",$C291="",$D291=""),"",DATE($C291+2018,$D291,1))</f>
        <v/>
      </c>
    </row>
    <row r="292">
      <c r="A292" s="11" t="n"/>
      <c r="B292" s="12" t="n">
        <v>6602825</v>
      </c>
      <c r="C292" s="12" t="n">
        <v>8</v>
      </c>
      <c r="D292" s="12" t="n">
        <v>4</v>
      </c>
      <c r="E292" s="13" t="n">
        <v>87004</v>
      </c>
      <c r="F292" s="12" t="n"/>
      <c r="G292" s="13" t="n"/>
      <c r="H292" s="12" t="n"/>
      <c r="I292" s="12" t="n"/>
      <c r="J292" s="12" t="n"/>
      <c r="K292" s="12" t="n"/>
      <c r="L292" s="11" t="n"/>
      <c r="M292" s="11" t="n"/>
      <c r="N292" s="11" t="n"/>
      <c r="O292" s="11" t="n"/>
      <c r="P292" s="12" t="n"/>
      <c r="Q292" s="11" t="n"/>
      <c r="R292" s="12" t="n"/>
      <c r="S292" s="11" t="n"/>
      <c r="T292" s="12" t="n"/>
      <c r="U292" s="12" t="n"/>
      <c r="V292" s="12" t="n"/>
      <c r="W292" s="13" t="n"/>
      <c r="X292" s="14">
        <f>IF($AP292="",IF($B292="","",$H292),IF(INDEX(職員マスタ!$B$6:$B$405,$AP292)="",$H292,INDEX(職員マスタ!$B$6:$B$405,$AP292)))</f>
        <v/>
      </c>
      <c r="Y292" s="14">
        <f>IF($AP292="",IF($B292="","",$R292),IF(INDEX(職員マスタ!$C$6:$C$405,$AP292)="",$R292,INDEX(職員マスタ!$C$6:$C$405,$AP292)))</f>
        <v/>
      </c>
      <c r="Z292" s="14">
        <f>IF($AQ292="","","R"&amp;$C292&amp;"."&amp;$D292)</f>
        <v/>
      </c>
      <c r="AA292" s="15">
        <f>IF(IF($AP292="",FALSE,INDEX(職員マスタ!$K$6:$K$405,$AP292)&lt;&gt;""),INDEX(職員マスタ!$K$6:$K$405,$AP292),IF(N($W292)&gt;0,$W292,""))</f>
        <v/>
      </c>
      <c r="AB292" s="14">
        <f>IF(OR($E292="",$AA292=""),"",IF($E292&gt;=$AA292,"×",IF($E292&gt;=$AA292*設定!$C$5,"△","○")))</f>
        <v/>
      </c>
      <c r="AC292" s="15">
        <f>IF($AB292="","",IF($AB292="×",0,IF($AB292="○",ROUNDDOWN($E292*設定!$C$4,0),ROUNDDOWN($E292*ROUND((9*$AA292-9*$E292)/(10*$E292),4),0))))</f>
        <v/>
      </c>
      <c r="AD292" s="13" t="n"/>
      <c r="AE292" s="15">
        <f>IF($B292="","",IF($AD292&lt;&gt;"",$AD292,IF($AC292="","",IF($AC292&lt;=設定!$C$3,0,$AC292))))</f>
        <v/>
      </c>
      <c r="AF292" s="14">
        <f>IF($B292="","",IF(AND($AG292&lt;&gt;"",$AI292="",$AL292=""),"保留中",IF($AL292&lt;&gt;"",IF(N($AE292)&gt;0,"支給済","不支給"),IF($AE292="","要確認",IF($AE292=0,"不支給","未処理")))))</f>
        <v/>
      </c>
      <c r="AG292" s="12" t="n"/>
      <c r="AH292" s="11" t="n"/>
      <c r="AI292" s="11" t="n"/>
      <c r="AJ292" s="11" t="n"/>
      <c r="AK292" s="14">
        <f>IF(AND($AF292="保留中",$AH292&lt;&gt;""),TODAY()-$AH292,"")</f>
        <v/>
      </c>
      <c r="AL292" s="12" t="inlineStr">
        <is>
          <t>R8.10</t>
        </is>
      </c>
      <c r="AM292" s="14">
        <f>IF($B292="","",IF($AQ292="","対象年月が未入力／","")&amp;IF($B292="","",IF($AP292="","職員マスタに未登録の職員番号／",IF($AA292="","標準報酬月額が未登録／","")&amp;IF(AND($AQ292&lt;&gt;"",OR(AND(INDEX(職員マスタ!$G$6:$G$405,$AP292)&lt;&gt;"",INDEX(職員マスタ!$G$6:$G$405,$AP292)&gt;EOMONTH($AQ292,0)),AND(INDEX(職員マスタ!$H$6:$H$405,$AP292)&lt;&gt;"",INDEX(職員マスタ!$H$6:$H$405,$AP292)&lt;$AQ292))),"対象月が時短期間外／","")&amp;IF(AND(INDEX(職員マスタ!$K$6:$K$405,$AP292)&lt;&gt;"",N($W292)&gt;0,INDEX(職員マスタ!$K$6:$K$405,$AP292)&lt;&gt;$W292),"標準報酬月額が申請書と相違（台帳"&amp;TEXT(INDEX(職員マスタ!$K$6:$K$405,$AP292),"#,##0")&amp;"円／申請書"&amp;TEXT($W292,"#,##0")&amp;"円）／","")&amp;IF(AND(INDEX(職員マスタ!$F$6:$F$405,$AP292)&lt;&gt;"",$AQ292&lt;&gt;"",INDEX(職員マスタ!$F$6:$F$405,$AP292)&lt;$AQ292),"対象月に子が2歳到達済／","")&amp;IF(AND($H292&lt;&gt;"",INDEX(職員マスタ!$B$6:$B$405,$AP292)&lt;&gt;"",SUBSTITUTE(SUBSTITUTE($H292," ","")," ","")&lt;&gt;SUBSTITUTE(SUBSTITUTE(INDEX(職員マスタ!$B$6:$B$405,$AP292)," ","")," ","")),"氏名がマスタと相違／","")&amp;IF(AND($Q292&lt;&gt;"",INDEX(職員マスタ!$E$6:$E$405,$AP292)&lt;&gt;"",$Q292&lt;&gt;INDEX(職員マスタ!$E$6:$E$405,$AP292)),"子の生年月日がマスタと相違／","")&amp;IF(AND($L292&lt;&gt;"",INDEX(職員マスタ!$G$6:$G$405,$AP292)&lt;&gt;"",$L292&lt;&gt;INDEX(職員マスタ!$G$6:$G$405,$AP292)),"時短開始日がマスタと相違／","")&amp;IF(AND($M292&lt;&gt;"",INDEX(職員マスタ!$H$6:$H$405,$AP292)&lt;&gt;"",$M292&lt;&gt;INDEX(職員マスタ!$H$6:$H$405,$AP292)),"時短終了日がマスタと相違／","")))&amp;IF(AND($B292&lt;&gt;"",$E292=""),"報酬額が未入力／","")&amp;IF(N($U292)&gt;0,"申請書に入力エラーが残っています／","")&amp;IF(AND($B292&lt;&gt;"",$AQ292&lt;&gt;""),IF(COUNTIFS($B$6:$B$3005,$B292,$C$6:$C$3005,$C292,$D$6:$D$3005,$D292)&gt;1,"同じ月の請求が重複しています／",""),"")&amp;IF(AND(N($E292)&gt;0,$AB292&lt;&gt;"",$AB292&lt;&gt;"×",$AE292=0,$AD292=""),"計算額が下限以下のため不支給／",""))</f>
        <v/>
      </c>
      <c r="AN292" s="12" t="n"/>
      <c r="AO292" s="14">
        <f>IF($AF292="保留中",COUNTIF($AF$6:$AF292,"保留中"),"")</f>
        <v/>
      </c>
      <c r="AP292" s="14">
        <f>IF($AQ292="","",IF(SUMPRODUCT(MAX((職員マスタ!$A$6:$A$405=$B292)*(((職員マスタ!$G$6:$G$405="")+(職員マスタ!$G$6:$G$405&lt;=EOMONTH($AQ292,0)))&gt;0)*(((職員マスタ!$H$6:$H$405="")+(職員マスタ!$H$6:$H$405&gt;=$AQ292))&gt;0)*(ROW(職員マスタ!$A$6:$A$405)-5)))&gt;0,SUMPRODUCT(MAX((職員マスタ!$A$6:$A$405=$B292)*(((職員マスタ!$G$6:$G$405="")+(職員マスタ!$G$6:$G$405&lt;=EOMONTH($AQ292,0)))&gt;0)*(((職員マスタ!$H$6:$H$405="")+(職員マスタ!$H$6:$H$405&gt;=$AQ292))&gt;0)*(ROW(職員マスタ!$A$6:$A$405)-5))),IFERROR(MATCH($B292,職員マスタ!$A$6:$A$405,0),"")))</f>
        <v/>
      </c>
      <c r="AQ292" s="16">
        <f>IF(OR($B292="",$C292="",$D292=""),"",DATE($C292+2018,$D292,1))</f>
        <v/>
      </c>
    </row>
    <row r="293">
      <c r="A293" s="11" t="n"/>
      <c r="B293" s="12" t="n">
        <v>6602825</v>
      </c>
      <c r="C293" s="12" t="n">
        <v>8</v>
      </c>
      <c r="D293" s="12" t="n">
        <v>5</v>
      </c>
      <c r="E293" s="13" t="n">
        <v>199497</v>
      </c>
      <c r="F293" s="12" t="n"/>
      <c r="G293" s="13" t="n"/>
      <c r="H293" s="12" t="n"/>
      <c r="I293" s="12" t="n"/>
      <c r="J293" s="12" t="n"/>
      <c r="K293" s="12" t="n"/>
      <c r="L293" s="11" t="n"/>
      <c r="M293" s="11" t="n"/>
      <c r="N293" s="11" t="n"/>
      <c r="O293" s="11" t="n"/>
      <c r="P293" s="12" t="n"/>
      <c r="Q293" s="11" t="n"/>
      <c r="R293" s="12" t="n"/>
      <c r="S293" s="11" t="n"/>
      <c r="T293" s="12" t="n"/>
      <c r="U293" s="12" t="n"/>
      <c r="V293" s="12" t="n"/>
      <c r="W293" s="13" t="n"/>
      <c r="X293" s="14">
        <f>IF($AP293="",IF($B293="","",$H293),IF(INDEX(職員マスタ!$B$6:$B$405,$AP293)="",$H293,INDEX(職員マスタ!$B$6:$B$405,$AP293)))</f>
        <v/>
      </c>
      <c r="Y293" s="14">
        <f>IF($AP293="",IF($B293="","",$R293),IF(INDEX(職員マスタ!$C$6:$C$405,$AP293)="",$R293,INDEX(職員マスタ!$C$6:$C$405,$AP293)))</f>
        <v/>
      </c>
      <c r="Z293" s="14">
        <f>IF($AQ293="","","R"&amp;$C293&amp;"."&amp;$D293)</f>
        <v/>
      </c>
      <c r="AA293" s="15">
        <f>IF(IF($AP293="",FALSE,INDEX(職員マスタ!$K$6:$K$405,$AP293)&lt;&gt;""),INDEX(職員マスタ!$K$6:$K$405,$AP293),IF(N($W293)&gt;0,$W293,""))</f>
        <v/>
      </c>
      <c r="AB293" s="14">
        <f>IF(OR($E293="",$AA293=""),"",IF($E293&gt;=$AA293,"×",IF($E293&gt;=$AA293*設定!$C$5,"△","○")))</f>
        <v/>
      </c>
      <c r="AC293" s="15">
        <f>IF($AB293="","",IF($AB293="×",0,IF($AB293="○",ROUNDDOWN($E293*設定!$C$4,0),ROUNDDOWN($E293*ROUND((9*$AA293-9*$E293)/(10*$E293),4),0))))</f>
        <v/>
      </c>
      <c r="AD293" s="13" t="n"/>
      <c r="AE293" s="15">
        <f>IF($B293="","",IF($AD293&lt;&gt;"",$AD293,IF($AC293="","",IF($AC293&lt;=設定!$C$3,0,$AC293))))</f>
        <v/>
      </c>
      <c r="AF293" s="14">
        <f>IF($B293="","",IF(AND($AG293&lt;&gt;"",$AI293="",$AL293=""),"保留中",IF($AL293&lt;&gt;"",IF(N($AE293)&gt;0,"支給済","不支給"),IF($AE293="","要確認",IF($AE293=0,"不支給","未処理")))))</f>
        <v/>
      </c>
      <c r="AG293" s="12" t="n"/>
      <c r="AH293" s="11" t="n"/>
      <c r="AI293" s="11" t="n"/>
      <c r="AJ293" s="11" t="n"/>
      <c r="AK293" s="14">
        <f>IF(AND($AF293="保留中",$AH293&lt;&gt;""),TODAY()-$AH293,"")</f>
        <v/>
      </c>
      <c r="AL293" s="12" t="inlineStr">
        <is>
          <t>R8.10</t>
        </is>
      </c>
      <c r="AM293" s="14">
        <f>IF($B293="","",IF($AQ293="","対象年月が未入力／","")&amp;IF($B293="","",IF($AP293="","職員マスタに未登録の職員番号／",IF($AA293="","標準報酬月額が未登録／","")&amp;IF(AND($AQ293&lt;&gt;"",OR(AND(INDEX(職員マスタ!$G$6:$G$405,$AP293)&lt;&gt;"",INDEX(職員マスタ!$G$6:$G$405,$AP293)&gt;EOMONTH($AQ293,0)),AND(INDEX(職員マスタ!$H$6:$H$405,$AP293)&lt;&gt;"",INDEX(職員マスタ!$H$6:$H$405,$AP293)&lt;$AQ293))),"対象月が時短期間外／","")&amp;IF(AND(INDEX(職員マスタ!$K$6:$K$405,$AP293)&lt;&gt;"",N($W293)&gt;0,INDEX(職員マスタ!$K$6:$K$405,$AP293)&lt;&gt;$W293),"標準報酬月額が申請書と相違（台帳"&amp;TEXT(INDEX(職員マスタ!$K$6:$K$405,$AP293),"#,##0")&amp;"円／申請書"&amp;TEXT($W293,"#,##0")&amp;"円）／","")&amp;IF(AND(INDEX(職員マスタ!$F$6:$F$405,$AP293)&lt;&gt;"",$AQ293&lt;&gt;"",INDEX(職員マスタ!$F$6:$F$405,$AP293)&lt;$AQ293),"対象月に子が2歳到達済／","")&amp;IF(AND($H293&lt;&gt;"",INDEX(職員マスタ!$B$6:$B$405,$AP293)&lt;&gt;"",SUBSTITUTE(SUBSTITUTE($H293," ","")," ","")&lt;&gt;SUBSTITUTE(SUBSTITUTE(INDEX(職員マスタ!$B$6:$B$405,$AP293)," ","")," ","")),"氏名がマスタと相違／","")&amp;IF(AND($Q293&lt;&gt;"",INDEX(職員マスタ!$E$6:$E$405,$AP293)&lt;&gt;"",$Q293&lt;&gt;INDEX(職員マスタ!$E$6:$E$405,$AP293)),"子の生年月日がマスタと相違／","")&amp;IF(AND($L293&lt;&gt;"",INDEX(職員マスタ!$G$6:$G$405,$AP293)&lt;&gt;"",$L293&lt;&gt;INDEX(職員マスタ!$G$6:$G$405,$AP293)),"時短開始日がマスタと相違／","")&amp;IF(AND($M293&lt;&gt;"",INDEX(職員マスタ!$H$6:$H$405,$AP293)&lt;&gt;"",$M293&lt;&gt;INDEX(職員マスタ!$H$6:$H$405,$AP293)),"時短終了日がマスタと相違／","")))&amp;IF(AND($B293&lt;&gt;"",$E293=""),"報酬額が未入力／","")&amp;IF(N($U293)&gt;0,"申請書に入力エラーが残っています／","")&amp;IF(AND($B293&lt;&gt;"",$AQ293&lt;&gt;""),IF(COUNTIFS($B$6:$B$3005,$B293,$C$6:$C$3005,$C293,$D$6:$D$3005,$D293)&gt;1,"同じ月の請求が重複しています／",""),"")&amp;IF(AND(N($E293)&gt;0,$AB293&lt;&gt;"",$AB293&lt;&gt;"×",$AE293=0,$AD293=""),"計算額が下限以下のため不支給／",""))</f>
        <v/>
      </c>
      <c r="AN293" s="12" t="n"/>
      <c r="AO293" s="14">
        <f>IF($AF293="保留中",COUNTIF($AF$6:$AF293,"保留中"),"")</f>
        <v/>
      </c>
      <c r="AP293" s="14">
        <f>IF($AQ293="","",IF(SUMPRODUCT(MAX((職員マスタ!$A$6:$A$405=$B293)*(((職員マスタ!$G$6:$G$405="")+(職員マスタ!$G$6:$G$405&lt;=EOMONTH($AQ293,0)))&gt;0)*(((職員マスタ!$H$6:$H$405="")+(職員マスタ!$H$6:$H$405&gt;=$AQ293))&gt;0)*(ROW(職員マスタ!$A$6:$A$405)-5)))&gt;0,SUMPRODUCT(MAX((職員マスタ!$A$6:$A$405=$B293)*(((職員マスタ!$G$6:$G$405="")+(職員マスタ!$G$6:$G$405&lt;=EOMONTH($AQ293,0)))&gt;0)*(((職員マスタ!$H$6:$H$405="")+(職員マスタ!$H$6:$H$405&gt;=$AQ293))&gt;0)*(ROW(職員マスタ!$A$6:$A$405)-5))),IFERROR(MATCH($B293,職員マスタ!$A$6:$A$405,0),"")))</f>
        <v/>
      </c>
      <c r="AQ293" s="16">
        <f>IF(OR($B293="",$C293="",$D293=""),"",DATE($C293+2018,$D293,1))</f>
        <v/>
      </c>
    </row>
    <row r="294">
      <c r="A294" s="11" t="n"/>
      <c r="B294" s="12" t="n">
        <v>6602825</v>
      </c>
      <c r="C294" s="12" t="n">
        <v>8</v>
      </c>
      <c r="D294" s="12" t="n">
        <v>6</v>
      </c>
      <c r="E294" s="13" t="n">
        <v>199497</v>
      </c>
      <c r="F294" s="12" t="n"/>
      <c r="G294" s="13" t="n"/>
      <c r="H294" s="12" t="n"/>
      <c r="I294" s="12" t="n"/>
      <c r="J294" s="12" t="n"/>
      <c r="K294" s="12" t="n"/>
      <c r="L294" s="11" t="n"/>
      <c r="M294" s="11" t="n"/>
      <c r="N294" s="11" t="n"/>
      <c r="O294" s="11" t="n"/>
      <c r="P294" s="12" t="n"/>
      <c r="Q294" s="11" t="n"/>
      <c r="R294" s="12" t="n"/>
      <c r="S294" s="11" t="n"/>
      <c r="T294" s="12" t="n"/>
      <c r="U294" s="12" t="n"/>
      <c r="V294" s="12" t="n"/>
      <c r="W294" s="13" t="n"/>
      <c r="X294" s="14">
        <f>IF($AP294="",IF($B294="","",$H294),IF(INDEX(職員マスタ!$B$6:$B$405,$AP294)="",$H294,INDEX(職員マスタ!$B$6:$B$405,$AP294)))</f>
        <v/>
      </c>
      <c r="Y294" s="14">
        <f>IF($AP294="",IF($B294="","",$R294),IF(INDEX(職員マスタ!$C$6:$C$405,$AP294)="",$R294,INDEX(職員マスタ!$C$6:$C$405,$AP294)))</f>
        <v/>
      </c>
      <c r="Z294" s="14">
        <f>IF($AQ294="","","R"&amp;$C294&amp;"."&amp;$D294)</f>
        <v/>
      </c>
      <c r="AA294" s="15">
        <f>IF(IF($AP294="",FALSE,INDEX(職員マスタ!$K$6:$K$405,$AP294)&lt;&gt;""),INDEX(職員マスタ!$K$6:$K$405,$AP294),IF(N($W294)&gt;0,$W294,""))</f>
        <v/>
      </c>
      <c r="AB294" s="14">
        <f>IF(OR($E294="",$AA294=""),"",IF($E294&gt;=$AA294,"×",IF($E294&gt;=$AA294*設定!$C$5,"△","○")))</f>
        <v/>
      </c>
      <c r="AC294" s="15">
        <f>IF($AB294="","",IF($AB294="×",0,IF($AB294="○",ROUNDDOWN($E294*設定!$C$4,0),ROUNDDOWN($E294*ROUND((9*$AA294-9*$E294)/(10*$E294),4),0))))</f>
        <v/>
      </c>
      <c r="AD294" s="13" t="n"/>
      <c r="AE294" s="15">
        <f>IF($B294="","",IF($AD294&lt;&gt;"",$AD294,IF($AC294="","",IF($AC294&lt;=設定!$C$3,0,$AC294))))</f>
        <v/>
      </c>
      <c r="AF294" s="14">
        <f>IF($B294="","",IF(AND($AG294&lt;&gt;"",$AI294="",$AL294=""),"保留中",IF($AL294&lt;&gt;"",IF(N($AE294)&gt;0,"支給済","不支給"),IF($AE294="","要確認",IF($AE294=0,"不支給","未処理")))))</f>
        <v/>
      </c>
      <c r="AG294" s="12" t="n"/>
      <c r="AH294" s="11" t="n"/>
      <c r="AI294" s="11" t="n"/>
      <c r="AJ294" s="11" t="n"/>
      <c r="AK294" s="14">
        <f>IF(AND($AF294="保留中",$AH294&lt;&gt;""),TODAY()-$AH294,"")</f>
        <v/>
      </c>
      <c r="AL294" s="12" t="inlineStr">
        <is>
          <t>R8.10</t>
        </is>
      </c>
      <c r="AM294" s="14">
        <f>IF($B294="","",IF($AQ294="","対象年月が未入力／","")&amp;IF($B294="","",IF($AP294="","職員マスタに未登録の職員番号／",IF($AA294="","標準報酬月額が未登録／","")&amp;IF(AND($AQ294&lt;&gt;"",OR(AND(INDEX(職員マスタ!$G$6:$G$405,$AP294)&lt;&gt;"",INDEX(職員マスタ!$G$6:$G$405,$AP294)&gt;EOMONTH($AQ294,0)),AND(INDEX(職員マスタ!$H$6:$H$405,$AP294)&lt;&gt;"",INDEX(職員マスタ!$H$6:$H$405,$AP294)&lt;$AQ294))),"対象月が時短期間外／","")&amp;IF(AND(INDEX(職員マスタ!$K$6:$K$405,$AP294)&lt;&gt;"",N($W294)&gt;0,INDEX(職員マスタ!$K$6:$K$405,$AP294)&lt;&gt;$W294),"標準報酬月額が申請書と相違（台帳"&amp;TEXT(INDEX(職員マスタ!$K$6:$K$405,$AP294),"#,##0")&amp;"円／申請書"&amp;TEXT($W294,"#,##0")&amp;"円）／","")&amp;IF(AND(INDEX(職員マスタ!$F$6:$F$405,$AP294)&lt;&gt;"",$AQ294&lt;&gt;"",INDEX(職員マスタ!$F$6:$F$405,$AP294)&lt;$AQ294),"対象月に子が2歳到達済／","")&amp;IF(AND($H294&lt;&gt;"",INDEX(職員マスタ!$B$6:$B$405,$AP294)&lt;&gt;"",SUBSTITUTE(SUBSTITUTE($H294," ","")," ","")&lt;&gt;SUBSTITUTE(SUBSTITUTE(INDEX(職員マスタ!$B$6:$B$405,$AP294)," ","")," ","")),"氏名がマスタと相違／","")&amp;IF(AND($Q294&lt;&gt;"",INDEX(職員マスタ!$E$6:$E$405,$AP294)&lt;&gt;"",$Q294&lt;&gt;INDEX(職員マスタ!$E$6:$E$405,$AP294)),"子の生年月日がマスタと相違／","")&amp;IF(AND($L294&lt;&gt;"",INDEX(職員マスタ!$G$6:$G$405,$AP294)&lt;&gt;"",$L294&lt;&gt;INDEX(職員マスタ!$G$6:$G$405,$AP294)),"時短開始日がマスタと相違／","")&amp;IF(AND($M294&lt;&gt;"",INDEX(職員マスタ!$H$6:$H$405,$AP294)&lt;&gt;"",$M294&lt;&gt;INDEX(職員マスタ!$H$6:$H$405,$AP294)),"時短終了日がマスタと相違／","")))&amp;IF(AND($B294&lt;&gt;"",$E294=""),"報酬額が未入力／","")&amp;IF(N($U294)&gt;0,"申請書に入力エラーが残っています／","")&amp;IF(AND($B294&lt;&gt;"",$AQ294&lt;&gt;""),IF(COUNTIFS($B$6:$B$3005,$B294,$C$6:$C$3005,$C294,$D$6:$D$3005,$D294)&gt;1,"同じ月の請求が重複しています／",""),"")&amp;IF(AND(N($E294)&gt;0,$AB294&lt;&gt;"",$AB294&lt;&gt;"×",$AE294=0,$AD294=""),"計算額が下限以下のため不支給／",""))</f>
        <v/>
      </c>
      <c r="AN294" s="12" t="n"/>
      <c r="AO294" s="14">
        <f>IF($AF294="保留中",COUNTIF($AF$6:$AF294,"保留中"),"")</f>
        <v/>
      </c>
      <c r="AP294" s="14">
        <f>IF($AQ294="","",IF(SUMPRODUCT(MAX((職員マスタ!$A$6:$A$405=$B294)*(((職員マスタ!$G$6:$G$405="")+(職員マスタ!$G$6:$G$405&lt;=EOMONTH($AQ294,0)))&gt;0)*(((職員マスタ!$H$6:$H$405="")+(職員マスタ!$H$6:$H$405&gt;=$AQ294))&gt;0)*(ROW(職員マスタ!$A$6:$A$405)-5)))&gt;0,SUMPRODUCT(MAX((職員マスタ!$A$6:$A$405=$B294)*(((職員マスタ!$G$6:$G$405="")+(職員マスタ!$G$6:$G$405&lt;=EOMONTH($AQ294,0)))&gt;0)*(((職員マスタ!$H$6:$H$405="")+(職員マスタ!$H$6:$H$405&gt;=$AQ294))&gt;0)*(ROW(職員マスタ!$A$6:$A$405)-5))),IFERROR(MATCH($B294,職員マスタ!$A$6:$A$405,0),"")))</f>
        <v/>
      </c>
      <c r="AQ294" s="16">
        <f>IF(OR($B294="",$C294="",$D294=""),"",DATE($C294+2018,$D294,1))</f>
        <v/>
      </c>
    </row>
    <row r="295">
      <c r="A295" s="11" t="n"/>
      <c r="B295" s="12" t="n">
        <v>6602825</v>
      </c>
      <c r="C295" s="12" t="n">
        <v>8</v>
      </c>
      <c r="D295" s="12" t="n">
        <v>7</v>
      </c>
      <c r="E295" s="13" t="n">
        <v>207413</v>
      </c>
      <c r="F295" s="12" t="n"/>
      <c r="G295" s="13" t="n"/>
      <c r="H295" s="12" t="n"/>
      <c r="I295" s="12" t="n"/>
      <c r="J295" s="12" t="n"/>
      <c r="K295" s="12" t="n"/>
      <c r="L295" s="11" t="n"/>
      <c r="M295" s="11" t="n"/>
      <c r="N295" s="11" t="n"/>
      <c r="O295" s="11" t="n"/>
      <c r="P295" s="12" t="n"/>
      <c r="Q295" s="11" t="n"/>
      <c r="R295" s="12" t="n"/>
      <c r="S295" s="11" t="n"/>
      <c r="T295" s="12" t="n"/>
      <c r="U295" s="12" t="n"/>
      <c r="V295" s="12" t="n"/>
      <c r="W295" s="13" t="n"/>
      <c r="X295" s="14">
        <f>IF($AP295="",IF($B295="","",$H295),IF(INDEX(職員マスタ!$B$6:$B$405,$AP295)="",$H295,INDEX(職員マスタ!$B$6:$B$405,$AP295)))</f>
        <v/>
      </c>
      <c r="Y295" s="14">
        <f>IF($AP295="",IF($B295="","",$R295),IF(INDEX(職員マスタ!$C$6:$C$405,$AP295)="",$R295,INDEX(職員マスタ!$C$6:$C$405,$AP295)))</f>
        <v/>
      </c>
      <c r="Z295" s="14">
        <f>IF($AQ295="","","R"&amp;$C295&amp;"."&amp;$D295)</f>
        <v/>
      </c>
      <c r="AA295" s="15">
        <f>IF(IF($AP295="",FALSE,INDEX(職員マスタ!$K$6:$K$405,$AP295)&lt;&gt;""),INDEX(職員マスタ!$K$6:$K$405,$AP295),IF(N($W295)&gt;0,$W295,""))</f>
        <v/>
      </c>
      <c r="AB295" s="14">
        <f>IF(OR($E295="",$AA295=""),"",IF($E295&gt;=$AA295,"×",IF($E295&gt;=$AA295*設定!$C$5,"△","○")))</f>
        <v/>
      </c>
      <c r="AC295" s="15">
        <f>IF($AB295="","",IF($AB295="×",0,IF($AB295="○",ROUNDDOWN($E295*設定!$C$4,0),ROUNDDOWN($E295*ROUND((9*$AA295-9*$E295)/(10*$E295),4),0))))</f>
        <v/>
      </c>
      <c r="AD295" s="13" t="n"/>
      <c r="AE295" s="15">
        <f>IF($B295="","",IF($AD295&lt;&gt;"",$AD295,IF($AC295="","",IF($AC295&lt;=設定!$C$3,0,$AC295))))</f>
        <v/>
      </c>
      <c r="AF295" s="14">
        <f>IF($B295="","",IF(AND($AG295&lt;&gt;"",$AI295="",$AL295=""),"保留中",IF($AL295&lt;&gt;"",IF(N($AE295)&gt;0,"支給済","不支給"),IF($AE295="","要確認",IF($AE295=0,"不支給","未処理")))))</f>
        <v/>
      </c>
      <c r="AG295" s="12" t="n"/>
      <c r="AH295" s="11" t="n"/>
      <c r="AI295" s="11" t="n"/>
      <c r="AJ295" s="11" t="n"/>
      <c r="AK295" s="14">
        <f>IF(AND($AF295="保留中",$AH295&lt;&gt;""),TODAY()-$AH295,"")</f>
        <v/>
      </c>
      <c r="AL295" s="12" t="inlineStr">
        <is>
          <t>R8.10</t>
        </is>
      </c>
      <c r="AM295" s="14">
        <f>IF($B295="","",IF($AQ295="","対象年月が未入力／","")&amp;IF($B295="","",IF($AP295="","職員マスタに未登録の職員番号／",IF($AA295="","標準報酬月額が未登録／","")&amp;IF(AND($AQ295&lt;&gt;"",OR(AND(INDEX(職員マスタ!$G$6:$G$405,$AP295)&lt;&gt;"",INDEX(職員マスタ!$G$6:$G$405,$AP295)&gt;EOMONTH($AQ295,0)),AND(INDEX(職員マスタ!$H$6:$H$405,$AP295)&lt;&gt;"",INDEX(職員マスタ!$H$6:$H$405,$AP295)&lt;$AQ295))),"対象月が時短期間外／","")&amp;IF(AND(INDEX(職員マスタ!$K$6:$K$405,$AP295)&lt;&gt;"",N($W295)&gt;0,INDEX(職員マスタ!$K$6:$K$405,$AP295)&lt;&gt;$W295),"標準報酬月額が申請書と相違（台帳"&amp;TEXT(INDEX(職員マスタ!$K$6:$K$405,$AP295),"#,##0")&amp;"円／申請書"&amp;TEXT($W295,"#,##0")&amp;"円）／","")&amp;IF(AND(INDEX(職員マスタ!$F$6:$F$405,$AP295)&lt;&gt;"",$AQ295&lt;&gt;"",INDEX(職員マスタ!$F$6:$F$405,$AP295)&lt;$AQ295),"対象月に子が2歳到達済／","")&amp;IF(AND($H295&lt;&gt;"",INDEX(職員マスタ!$B$6:$B$405,$AP295)&lt;&gt;"",SUBSTITUTE(SUBSTITUTE($H295," ","")," ","")&lt;&gt;SUBSTITUTE(SUBSTITUTE(INDEX(職員マスタ!$B$6:$B$405,$AP295)," ","")," ","")),"氏名がマスタと相違／","")&amp;IF(AND($Q295&lt;&gt;"",INDEX(職員マスタ!$E$6:$E$405,$AP295)&lt;&gt;"",$Q295&lt;&gt;INDEX(職員マスタ!$E$6:$E$405,$AP295)),"子の生年月日がマスタと相違／","")&amp;IF(AND($L295&lt;&gt;"",INDEX(職員マスタ!$G$6:$G$405,$AP295)&lt;&gt;"",$L295&lt;&gt;INDEX(職員マスタ!$G$6:$G$405,$AP295)),"時短開始日がマスタと相違／","")&amp;IF(AND($M295&lt;&gt;"",INDEX(職員マスタ!$H$6:$H$405,$AP295)&lt;&gt;"",$M295&lt;&gt;INDEX(職員マスタ!$H$6:$H$405,$AP295)),"時短終了日がマスタと相違／","")))&amp;IF(AND($B295&lt;&gt;"",$E295=""),"報酬額が未入力／","")&amp;IF(N($U295)&gt;0,"申請書に入力エラーが残っています／","")&amp;IF(AND($B295&lt;&gt;"",$AQ295&lt;&gt;""),IF(COUNTIFS($B$6:$B$3005,$B295,$C$6:$C$3005,$C295,$D$6:$D$3005,$D295)&gt;1,"同じ月の請求が重複しています／",""),"")&amp;IF(AND(N($E295)&gt;0,$AB295&lt;&gt;"",$AB295&lt;&gt;"×",$AE295=0,$AD295=""),"計算額が下限以下のため不支給／",""))</f>
        <v/>
      </c>
      <c r="AN295" s="12" t="n"/>
      <c r="AO295" s="14">
        <f>IF($AF295="保留中",COUNTIF($AF$6:$AF295,"保留中"),"")</f>
        <v/>
      </c>
      <c r="AP295" s="14">
        <f>IF($AQ295="","",IF(SUMPRODUCT(MAX((職員マスタ!$A$6:$A$405=$B295)*(((職員マスタ!$G$6:$G$405="")+(職員マスタ!$G$6:$G$405&lt;=EOMONTH($AQ295,0)))&gt;0)*(((職員マスタ!$H$6:$H$405="")+(職員マスタ!$H$6:$H$405&gt;=$AQ295))&gt;0)*(ROW(職員マスタ!$A$6:$A$405)-5)))&gt;0,SUMPRODUCT(MAX((職員マスタ!$A$6:$A$405=$B295)*(((職員マスタ!$G$6:$G$405="")+(職員マスタ!$G$6:$G$405&lt;=EOMONTH($AQ295,0)))&gt;0)*(((職員マスタ!$H$6:$H$405="")+(職員マスタ!$H$6:$H$405&gt;=$AQ295))&gt;0)*(ROW(職員マスタ!$A$6:$A$405)-5))),IFERROR(MATCH($B295,職員マスタ!$A$6:$A$405,0),"")))</f>
        <v/>
      </c>
      <c r="AQ295" s="16">
        <f>IF(OR($B295="",$C295="",$D295=""),"",DATE($C295+2018,$D295,1))</f>
        <v/>
      </c>
    </row>
    <row r="296">
      <c r="A296" s="11" t="n"/>
      <c r="B296" s="12" t="n">
        <v>6602825</v>
      </c>
      <c r="C296" s="12" t="n">
        <v>8</v>
      </c>
      <c r="D296" s="12" t="n">
        <v>8</v>
      </c>
      <c r="E296" s="13" t="n">
        <v>203455</v>
      </c>
      <c r="F296" s="12" t="n"/>
      <c r="G296" s="13" t="n"/>
      <c r="H296" s="12" t="n"/>
      <c r="I296" s="12" t="n"/>
      <c r="J296" s="12" t="n"/>
      <c r="K296" s="12" t="n"/>
      <c r="L296" s="11" t="n"/>
      <c r="M296" s="11" t="n"/>
      <c r="N296" s="11" t="n"/>
      <c r="O296" s="11" t="n"/>
      <c r="P296" s="12" t="n"/>
      <c r="Q296" s="11" t="n"/>
      <c r="R296" s="12" t="n"/>
      <c r="S296" s="11" t="n"/>
      <c r="T296" s="12" t="n"/>
      <c r="U296" s="12" t="n"/>
      <c r="V296" s="12" t="n"/>
      <c r="W296" s="13" t="n"/>
      <c r="X296" s="14">
        <f>IF($AP296="",IF($B296="","",$H296),IF(INDEX(職員マスタ!$B$6:$B$405,$AP296)="",$H296,INDEX(職員マスタ!$B$6:$B$405,$AP296)))</f>
        <v/>
      </c>
      <c r="Y296" s="14">
        <f>IF($AP296="",IF($B296="","",$R296),IF(INDEX(職員マスタ!$C$6:$C$405,$AP296)="",$R296,INDEX(職員マスタ!$C$6:$C$405,$AP296)))</f>
        <v/>
      </c>
      <c r="Z296" s="14">
        <f>IF($AQ296="","","R"&amp;$C296&amp;"."&amp;$D296)</f>
        <v/>
      </c>
      <c r="AA296" s="15">
        <f>IF(IF($AP296="",FALSE,INDEX(職員マスタ!$K$6:$K$405,$AP296)&lt;&gt;""),INDEX(職員マスタ!$K$6:$K$405,$AP296),IF(N($W296)&gt;0,$W296,""))</f>
        <v/>
      </c>
      <c r="AB296" s="14">
        <f>IF(OR($E296="",$AA296=""),"",IF($E296&gt;=$AA296,"×",IF($E296&gt;=$AA296*設定!$C$5,"△","○")))</f>
        <v/>
      </c>
      <c r="AC296" s="15">
        <f>IF($AB296="","",IF($AB296="×",0,IF($AB296="○",ROUNDDOWN($E296*設定!$C$4,0),ROUNDDOWN($E296*ROUND((9*$AA296-9*$E296)/(10*$E296),4),0))))</f>
        <v/>
      </c>
      <c r="AD296" s="13" t="n"/>
      <c r="AE296" s="15">
        <f>IF($B296="","",IF($AD296&lt;&gt;"",$AD296,IF($AC296="","",IF($AC296&lt;=設定!$C$3,0,$AC296))))</f>
        <v/>
      </c>
      <c r="AF296" s="14">
        <f>IF($B296="","",IF(AND($AG296&lt;&gt;"",$AI296="",$AL296=""),"保留中",IF($AL296&lt;&gt;"",IF(N($AE296)&gt;0,"支給済","不支給"),IF($AE296="","要確認",IF($AE296=0,"不支給","未処理")))))</f>
        <v/>
      </c>
      <c r="AG296" s="12" t="n"/>
      <c r="AH296" s="11" t="n"/>
      <c r="AI296" s="11" t="n"/>
      <c r="AJ296" s="11" t="n"/>
      <c r="AK296" s="14">
        <f>IF(AND($AF296="保留中",$AH296&lt;&gt;""),TODAY()-$AH296,"")</f>
        <v/>
      </c>
      <c r="AL296" s="12" t="inlineStr">
        <is>
          <t>R8.10</t>
        </is>
      </c>
      <c r="AM296" s="14">
        <f>IF($B296="","",IF($AQ296="","対象年月が未入力／","")&amp;IF($B296="","",IF($AP296="","職員マスタに未登録の職員番号／",IF($AA296="","標準報酬月額が未登録／","")&amp;IF(AND($AQ296&lt;&gt;"",OR(AND(INDEX(職員マスタ!$G$6:$G$405,$AP296)&lt;&gt;"",INDEX(職員マスタ!$G$6:$G$405,$AP296)&gt;EOMONTH($AQ296,0)),AND(INDEX(職員マスタ!$H$6:$H$405,$AP296)&lt;&gt;"",INDEX(職員マスタ!$H$6:$H$405,$AP296)&lt;$AQ296))),"対象月が時短期間外／","")&amp;IF(AND(INDEX(職員マスタ!$K$6:$K$405,$AP296)&lt;&gt;"",N($W296)&gt;0,INDEX(職員マスタ!$K$6:$K$405,$AP296)&lt;&gt;$W296),"標準報酬月額が申請書と相違（台帳"&amp;TEXT(INDEX(職員マスタ!$K$6:$K$405,$AP296),"#,##0")&amp;"円／申請書"&amp;TEXT($W296,"#,##0")&amp;"円）／","")&amp;IF(AND(INDEX(職員マスタ!$F$6:$F$405,$AP296)&lt;&gt;"",$AQ296&lt;&gt;"",INDEX(職員マスタ!$F$6:$F$405,$AP296)&lt;$AQ296),"対象月に子が2歳到達済／","")&amp;IF(AND($H296&lt;&gt;"",INDEX(職員マスタ!$B$6:$B$405,$AP296)&lt;&gt;"",SUBSTITUTE(SUBSTITUTE($H296," ","")," ","")&lt;&gt;SUBSTITUTE(SUBSTITUTE(INDEX(職員マスタ!$B$6:$B$405,$AP296)," ","")," ","")),"氏名がマスタと相違／","")&amp;IF(AND($Q296&lt;&gt;"",INDEX(職員マスタ!$E$6:$E$405,$AP296)&lt;&gt;"",$Q296&lt;&gt;INDEX(職員マスタ!$E$6:$E$405,$AP296)),"子の生年月日がマスタと相違／","")&amp;IF(AND($L296&lt;&gt;"",INDEX(職員マスタ!$G$6:$G$405,$AP296)&lt;&gt;"",$L296&lt;&gt;INDEX(職員マスタ!$G$6:$G$405,$AP296)),"時短開始日がマスタと相違／","")&amp;IF(AND($M296&lt;&gt;"",INDEX(職員マスタ!$H$6:$H$405,$AP296)&lt;&gt;"",$M296&lt;&gt;INDEX(職員マスタ!$H$6:$H$405,$AP296)),"時短終了日がマスタと相違／","")))&amp;IF(AND($B296&lt;&gt;"",$E296=""),"報酬額が未入力／","")&amp;IF(N($U296)&gt;0,"申請書に入力エラーが残っています／","")&amp;IF(AND($B296&lt;&gt;"",$AQ296&lt;&gt;""),IF(COUNTIFS($B$6:$B$3005,$B296,$C$6:$C$3005,$C296,$D$6:$D$3005,$D296)&gt;1,"同じ月の請求が重複しています／",""),"")&amp;IF(AND(N($E296)&gt;0,$AB296&lt;&gt;"",$AB296&lt;&gt;"×",$AE296=0,$AD296=""),"計算額が下限以下のため不支給／",""))</f>
        <v/>
      </c>
      <c r="AN296" s="12" t="n"/>
      <c r="AO296" s="14">
        <f>IF($AF296="保留中",COUNTIF($AF$6:$AF296,"保留中"),"")</f>
        <v/>
      </c>
      <c r="AP296" s="14">
        <f>IF($AQ296="","",IF(SUMPRODUCT(MAX((職員マスタ!$A$6:$A$405=$B296)*(((職員マスタ!$G$6:$G$405="")+(職員マスタ!$G$6:$G$405&lt;=EOMONTH($AQ296,0)))&gt;0)*(((職員マスタ!$H$6:$H$405="")+(職員マスタ!$H$6:$H$405&gt;=$AQ296))&gt;0)*(ROW(職員マスタ!$A$6:$A$405)-5)))&gt;0,SUMPRODUCT(MAX((職員マスタ!$A$6:$A$405=$B296)*(((職員マスタ!$G$6:$G$405="")+(職員マスタ!$G$6:$G$405&lt;=EOMONTH($AQ296,0)))&gt;0)*(((職員マスタ!$H$6:$H$405="")+(職員マスタ!$H$6:$H$405&gt;=$AQ296))&gt;0)*(ROW(職員マスタ!$A$6:$A$405)-5))),IFERROR(MATCH($B296,職員マスタ!$A$6:$A$405,0),"")))</f>
        <v/>
      </c>
      <c r="AQ296" s="16">
        <f>IF(OR($B296="",$C296="",$D296=""),"",DATE($C296+2018,$D296,1))</f>
        <v/>
      </c>
    </row>
    <row r="297">
      <c r="A297" s="11" t="n"/>
      <c r="B297" s="12" t="n">
        <v>6602899</v>
      </c>
      <c r="C297" s="12" t="n">
        <v>7</v>
      </c>
      <c r="D297" s="12" t="n">
        <v>4</v>
      </c>
      <c r="E297" s="13" t="n">
        <v>153814</v>
      </c>
      <c r="F297" s="12" t="n"/>
      <c r="G297" s="13" t="n"/>
      <c r="H297" s="12" t="n"/>
      <c r="I297" s="12" t="n"/>
      <c r="J297" s="12" t="n"/>
      <c r="K297" s="12" t="n"/>
      <c r="L297" s="11" t="n"/>
      <c r="M297" s="11" t="n"/>
      <c r="N297" s="11" t="n"/>
      <c r="O297" s="11" t="n"/>
      <c r="P297" s="12" t="n"/>
      <c r="Q297" s="11" t="n"/>
      <c r="R297" s="12" t="n"/>
      <c r="S297" s="11" t="n"/>
      <c r="T297" s="12" t="n"/>
      <c r="U297" s="12" t="n"/>
      <c r="V297" s="12" t="n"/>
      <c r="W297" s="13" t="n"/>
      <c r="X297" s="14">
        <f>IF($AP297="",IF($B297="","",$H297),IF(INDEX(職員マスタ!$B$6:$B$405,$AP297)="",$H297,INDEX(職員マスタ!$B$6:$B$405,$AP297)))</f>
        <v/>
      </c>
      <c r="Y297" s="14">
        <f>IF($AP297="",IF($B297="","",$R297),IF(INDEX(職員マスタ!$C$6:$C$405,$AP297)="",$R297,INDEX(職員マスタ!$C$6:$C$405,$AP297)))</f>
        <v/>
      </c>
      <c r="Z297" s="14">
        <f>IF($AQ297="","","R"&amp;$C297&amp;"."&amp;$D297)</f>
        <v/>
      </c>
      <c r="AA297" s="15">
        <f>IF(IF($AP297="",FALSE,INDEX(職員マスタ!$K$6:$K$405,$AP297)&lt;&gt;""),INDEX(職員マスタ!$K$6:$K$405,$AP297),IF(N($W297)&gt;0,$W297,""))</f>
        <v/>
      </c>
      <c r="AB297" s="14">
        <f>IF(OR($E297="",$AA297=""),"",IF($E297&gt;=$AA297,"×",IF($E297&gt;=$AA297*設定!$C$5,"△","○")))</f>
        <v/>
      </c>
      <c r="AC297" s="15">
        <f>IF($AB297="","",IF($AB297="×",0,IF($AB297="○",ROUNDDOWN($E297*設定!$C$4,0),ROUNDDOWN($E297*ROUND((9*$AA297-9*$E297)/(10*$E297),4),0))))</f>
        <v/>
      </c>
      <c r="AD297" s="13" t="n"/>
      <c r="AE297" s="15">
        <f>IF($B297="","",IF($AD297&lt;&gt;"",$AD297,IF($AC297="","",IF($AC297&lt;=設定!$C$3,0,$AC297))))</f>
        <v/>
      </c>
      <c r="AF297" s="14">
        <f>IF($B297="","",IF(AND($AG297&lt;&gt;"",$AI297="",$AL297=""),"保留中",IF($AL297&lt;&gt;"",IF(N($AE297)&gt;0,"支給済","不支給"),IF($AE297="","要確認",IF($AE297=0,"不支給","未処理")))))</f>
        <v/>
      </c>
      <c r="AG297" s="12" t="n"/>
      <c r="AH297" s="11" t="n"/>
      <c r="AI297" s="11" t="n"/>
      <c r="AJ297" s="11" t="n"/>
      <c r="AK297" s="14">
        <f>IF(AND($AF297="保留中",$AH297&lt;&gt;""),TODAY()-$AH297,"")</f>
        <v/>
      </c>
      <c r="AL297" s="12" t="inlineStr">
        <is>
          <t>R7.8</t>
        </is>
      </c>
      <c r="AM297" s="14">
        <f>IF($B297="","",IF($AQ297="","対象年月が未入力／","")&amp;IF($B297="","",IF($AP297="","職員マスタに未登録の職員番号／",IF($AA297="","標準報酬月額が未登録／","")&amp;IF(AND($AQ297&lt;&gt;"",OR(AND(INDEX(職員マスタ!$G$6:$G$405,$AP297)&lt;&gt;"",INDEX(職員マスタ!$G$6:$G$405,$AP297)&gt;EOMONTH($AQ297,0)),AND(INDEX(職員マスタ!$H$6:$H$405,$AP297)&lt;&gt;"",INDEX(職員マスタ!$H$6:$H$405,$AP297)&lt;$AQ297))),"対象月が時短期間外／","")&amp;IF(AND(INDEX(職員マスタ!$K$6:$K$405,$AP297)&lt;&gt;"",N($W297)&gt;0,INDEX(職員マスタ!$K$6:$K$405,$AP297)&lt;&gt;$W297),"標準報酬月額が申請書と相違（台帳"&amp;TEXT(INDEX(職員マスタ!$K$6:$K$405,$AP297),"#,##0")&amp;"円／申請書"&amp;TEXT($W297,"#,##0")&amp;"円）／","")&amp;IF(AND(INDEX(職員マスタ!$F$6:$F$405,$AP297)&lt;&gt;"",$AQ297&lt;&gt;"",INDEX(職員マスタ!$F$6:$F$405,$AP297)&lt;$AQ297),"対象月に子が2歳到達済／","")&amp;IF(AND($H297&lt;&gt;"",INDEX(職員マスタ!$B$6:$B$405,$AP297)&lt;&gt;"",SUBSTITUTE(SUBSTITUTE($H297," ","")," ","")&lt;&gt;SUBSTITUTE(SUBSTITUTE(INDEX(職員マスタ!$B$6:$B$405,$AP297)," ","")," ","")),"氏名がマスタと相違／","")&amp;IF(AND($Q297&lt;&gt;"",INDEX(職員マスタ!$E$6:$E$405,$AP297)&lt;&gt;"",$Q297&lt;&gt;INDEX(職員マスタ!$E$6:$E$405,$AP297)),"子の生年月日がマスタと相違／","")&amp;IF(AND($L297&lt;&gt;"",INDEX(職員マスタ!$G$6:$G$405,$AP297)&lt;&gt;"",$L297&lt;&gt;INDEX(職員マスタ!$G$6:$G$405,$AP297)),"時短開始日がマスタと相違／","")&amp;IF(AND($M297&lt;&gt;"",INDEX(職員マスタ!$H$6:$H$405,$AP297)&lt;&gt;"",$M297&lt;&gt;INDEX(職員マスタ!$H$6:$H$405,$AP297)),"時短終了日がマスタと相違／","")))&amp;IF(AND($B297&lt;&gt;"",$E297=""),"報酬額が未入力／","")&amp;IF(N($U297)&gt;0,"申請書に入力エラーが残っています／","")&amp;IF(AND($B297&lt;&gt;"",$AQ297&lt;&gt;""),IF(COUNTIFS($B$6:$B$3005,$B297,$C$6:$C$3005,$C297,$D$6:$D$3005,$D297)&gt;1,"同じ月の請求が重複しています／",""),"")&amp;IF(AND(N($E297)&gt;0,$AB297&lt;&gt;"",$AB297&lt;&gt;"×",$AE297=0,$AD297=""),"計算額が下限以下のため不支給／",""))</f>
        <v/>
      </c>
      <c r="AN297" s="12" t="n"/>
      <c r="AO297" s="14">
        <f>IF($AF297="保留中",COUNTIF($AF$6:$AF297,"保留中"),"")</f>
        <v/>
      </c>
      <c r="AP297" s="14">
        <f>IF($AQ297="","",IF(SUMPRODUCT(MAX((職員マスタ!$A$6:$A$405=$B297)*(((職員マスタ!$G$6:$G$405="")+(職員マスタ!$G$6:$G$405&lt;=EOMONTH($AQ297,0)))&gt;0)*(((職員マスタ!$H$6:$H$405="")+(職員マスタ!$H$6:$H$405&gt;=$AQ297))&gt;0)*(ROW(職員マスタ!$A$6:$A$405)-5)))&gt;0,SUMPRODUCT(MAX((職員マスタ!$A$6:$A$405=$B297)*(((職員マスタ!$G$6:$G$405="")+(職員マスタ!$G$6:$G$405&lt;=EOMONTH($AQ297,0)))&gt;0)*(((職員マスタ!$H$6:$H$405="")+(職員マスタ!$H$6:$H$405&gt;=$AQ297))&gt;0)*(ROW(職員マスタ!$A$6:$A$405)-5))),IFERROR(MATCH($B297,職員マスタ!$A$6:$A$405,0),"")))</f>
        <v/>
      </c>
      <c r="AQ297" s="16">
        <f>IF(OR($B297="",$C297="",$D297=""),"",DATE($C297+2018,$D297,1))</f>
        <v/>
      </c>
    </row>
    <row r="298">
      <c r="A298" s="11" t="n"/>
      <c r="B298" s="12" t="n">
        <v>6602899</v>
      </c>
      <c r="C298" s="12" t="n">
        <v>7</v>
      </c>
      <c r="D298" s="12" t="n">
        <v>5</v>
      </c>
      <c r="E298" s="13" t="n">
        <v>252924</v>
      </c>
      <c r="F298" s="12" t="n"/>
      <c r="G298" s="13" t="n"/>
      <c r="H298" s="12" t="n"/>
      <c r="I298" s="12" t="n"/>
      <c r="J298" s="12" t="n"/>
      <c r="K298" s="12" t="n"/>
      <c r="L298" s="11" t="n"/>
      <c r="M298" s="11" t="n"/>
      <c r="N298" s="11" t="n"/>
      <c r="O298" s="11" t="n"/>
      <c r="P298" s="12" t="n"/>
      <c r="Q298" s="11" t="n"/>
      <c r="R298" s="12" t="n"/>
      <c r="S298" s="11" t="n"/>
      <c r="T298" s="12" t="n"/>
      <c r="U298" s="12" t="n"/>
      <c r="V298" s="12" t="n"/>
      <c r="W298" s="13" t="n"/>
      <c r="X298" s="14">
        <f>IF($AP298="",IF($B298="","",$H298),IF(INDEX(職員マスタ!$B$6:$B$405,$AP298)="",$H298,INDEX(職員マスタ!$B$6:$B$405,$AP298)))</f>
        <v/>
      </c>
      <c r="Y298" s="14">
        <f>IF($AP298="",IF($B298="","",$R298),IF(INDEX(職員マスタ!$C$6:$C$405,$AP298)="",$R298,INDEX(職員マスタ!$C$6:$C$405,$AP298)))</f>
        <v/>
      </c>
      <c r="Z298" s="14">
        <f>IF($AQ298="","","R"&amp;$C298&amp;"."&amp;$D298)</f>
        <v/>
      </c>
      <c r="AA298" s="15">
        <f>IF(IF($AP298="",FALSE,INDEX(職員マスタ!$K$6:$K$405,$AP298)&lt;&gt;""),INDEX(職員マスタ!$K$6:$K$405,$AP298),IF(N($W298)&gt;0,$W298,""))</f>
        <v/>
      </c>
      <c r="AB298" s="14">
        <f>IF(OR($E298="",$AA298=""),"",IF($E298&gt;=$AA298,"×",IF($E298&gt;=$AA298*設定!$C$5,"△","○")))</f>
        <v/>
      </c>
      <c r="AC298" s="15">
        <f>IF($AB298="","",IF($AB298="×",0,IF($AB298="○",ROUNDDOWN($E298*設定!$C$4,0),ROUNDDOWN($E298*ROUND((9*$AA298-9*$E298)/(10*$E298),4),0))))</f>
        <v/>
      </c>
      <c r="AD298" s="13" t="n"/>
      <c r="AE298" s="15">
        <f>IF($B298="","",IF($AD298&lt;&gt;"",$AD298,IF($AC298="","",IF($AC298&lt;=設定!$C$3,0,$AC298))))</f>
        <v/>
      </c>
      <c r="AF298" s="14">
        <f>IF($B298="","",IF(AND($AG298&lt;&gt;"",$AI298="",$AL298=""),"保留中",IF($AL298&lt;&gt;"",IF(N($AE298)&gt;0,"支給済","不支給"),IF($AE298="","要確認",IF($AE298=0,"不支給","未処理")))))</f>
        <v/>
      </c>
      <c r="AG298" s="12" t="n"/>
      <c r="AH298" s="11" t="n"/>
      <c r="AI298" s="11" t="n"/>
      <c r="AJ298" s="11" t="n"/>
      <c r="AK298" s="14">
        <f>IF(AND($AF298="保留中",$AH298&lt;&gt;""),TODAY()-$AH298,"")</f>
        <v/>
      </c>
      <c r="AL298" s="12" t="inlineStr">
        <is>
          <t>R7.8</t>
        </is>
      </c>
      <c r="AM298" s="14">
        <f>IF($B298="","",IF($AQ298="","対象年月が未入力／","")&amp;IF($B298="","",IF($AP298="","職員マスタに未登録の職員番号／",IF($AA298="","標準報酬月額が未登録／","")&amp;IF(AND($AQ298&lt;&gt;"",OR(AND(INDEX(職員マスタ!$G$6:$G$405,$AP298)&lt;&gt;"",INDEX(職員マスタ!$G$6:$G$405,$AP298)&gt;EOMONTH($AQ298,0)),AND(INDEX(職員マスタ!$H$6:$H$405,$AP298)&lt;&gt;"",INDEX(職員マスタ!$H$6:$H$405,$AP298)&lt;$AQ298))),"対象月が時短期間外／","")&amp;IF(AND(INDEX(職員マスタ!$K$6:$K$405,$AP298)&lt;&gt;"",N($W298)&gt;0,INDEX(職員マスタ!$K$6:$K$405,$AP298)&lt;&gt;$W298),"標準報酬月額が申請書と相違（台帳"&amp;TEXT(INDEX(職員マスタ!$K$6:$K$405,$AP298),"#,##0")&amp;"円／申請書"&amp;TEXT($W298,"#,##0")&amp;"円）／","")&amp;IF(AND(INDEX(職員マスタ!$F$6:$F$405,$AP298)&lt;&gt;"",$AQ298&lt;&gt;"",INDEX(職員マスタ!$F$6:$F$405,$AP298)&lt;$AQ298),"対象月に子が2歳到達済／","")&amp;IF(AND($H298&lt;&gt;"",INDEX(職員マスタ!$B$6:$B$405,$AP298)&lt;&gt;"",SUBSTITUTE(SUBSTITUTE($H298," ","")," ","")&lt;&gt;SUBSTITUTE(SUBSTITUTE(INDEX(職員マスタ!$B$6:$B$405,$AP298)," ","")," ","")),"氏名がマスタと相違／","")&amp;IF(AND($Q298&lt;&gt;"",INDEX(職員マスタ!$E$6:$E$405,$AP298)&lt;&gt;"",$Q298&lt;&gt;INDEX(職員マスタ!$E$6:$E$405,$AP298)),"子の生年月日がマスタと相違／","")&amp;IF(AND($L298&lt;&gt;"",INDEX(職員マスタ!$G$6:$G$405,$AP298)&lt;&gt;"",$L298&lt;&gt;INDEX(職員マスタ!$G$6:$G$405,$AP298)),"時短開始日がマスタと相違／","")&amp;IF(AND($M298&lt;&gt;"",INDEX(職員マスタ!$H$6:$H$405,$AP298)&lt;&gt;"",$M298&lt;&gt;INDEX(職員マスタ!$H$6:$H$405,$AP298)),"時短終了日がマスタと相違／","")))&amp;IF(AND($B298&lt;&gt;"",$E298=""),"報酬額が未入力／","")&amp;IF(N($U298)&gt;0,"申請書に入力エラーが残っています／","")&amp;IF(AND($B298&lt;&gt;"",$AQ298&lt;&gt;""),IF(COUNTIFS($B$6:$B$3005,$B298,$C$6:$C$3005,$C298,$D$6:$D$3005,$D298)&gt;1,"同じ月の請求が重複しています／",""),"")&amp;IF(AND(N($E298)&gt;0,$AB298&lt;&gt;"",$AB298&lt;&gt;"×",$AE298=0,$AD298=""),"計算額が下限以下のため不支給／",""))</f>
        <v/>
      </c>
      <c r="AN298" s="12" t="n"/>
      <c r="AO298" s="14">
        <f>IF($AF298="保留中",COUNTIF($AF$6:$AF298,"保留中"),"")</f>
        <v/>
      </c>
      <c r="AP298" s="14">
        <f>IF($AQ298="","",IF(SUMPRODUCT(MAX((職員マスタ!$A$6:$A$405=$B298)*(((職員マスタ!$G$6:$G$405="")+(職員マスタ!$G$6:$G$405&lt;=EOMONTH($AQ298,0)))&gt;0)*(((職員マスタ!$H$6:$H$405="")+(職員マスタ!$H$6:$H$405&gt;=$AQ298))&gt;0)*(ROW(職員マスタ!$A$6:$A$405)-5)))&gt;0,SUMPRODUCT(MAX((職員マスタ!$A$6:$A$405=$B298)*(((職員マスタ!$G$6:$G$405="")+(職員マスタ!$G$6:$G$405&lt;=EOMONTH($AQ298,0)))&gt;0)*(((職員マスタ!$H$6:$H$405="")+(職員マスタ!$H$6:$H$405&gt;=$AQ298))&gt;0)*(ROW(職員マスタ!$A$6:$A$405)-5))),IFERROR(MATCH($B298,職員マスタ!$A$6:$A$405,0),"")))</f>
        <v/>
      </c>
      <c r="AQ298" s="16">
        <f>IF(OR($B298="",$C298="",$D298=""),"",DATE($C298+2018,$D298,1))</f>
        <v/>
      </c>
    </row>
    <row r="299">
      <c r="A299" s="11" t="n"/>
      <c r="B299" s="12" t="n">
        <v>6602899</v>
      </c>
      <c r="C299" s="12" t="n">
        <v>7</v>
      </c>
      <c r="D299" s="12" t="n">
        <v>6</v>
      </c>
      <c r="E299" s="13" t="n">
        <v>257828</v>
      </c>
      <c r="F299" s="12" t="n"/>
      <c r="G299" s="13" t="n"/>
      <c r="H299" s="12" t="n"/>
      <c r="I299" s="12" t="n"/>
      <c r="J299" s="12" t="n"/>
      <c r="K299" s="12" t="n"/>
      <c r="L299" s="11" t="n"/>
      <c r="M299" s="11" t="n"/>
      <c r="N299" s="11" t="n"/>
      <c r="O299" s="11" t="n"/>
      <c r="P299" s="12" t="n"/>
      <c r="Q299" s="11" t="n"/>
      <c r="R299" s="12" t="n"/>
      <c r="S299" s="11" t="n"/>
      <c r="T299" s="12" t="n"/>
      <c r="U299" s="12" t="n"/>
      <c r="V299" s="12" t="n"/>
      <c r="W299" s="13" t="n"/>
      <c r="X299" s="14">
        <f>IF($AP299="",IF($B299="","",$H299),IF(INDEX(職員マスタ!$B$6:$B$405,$AP299)="",$H299,INDEX(職員マスタ!$B$6:$B$405,$AP299)))</f>
        <v/>
      </c>
      <c r="Y299" s="14">
        <f>IF($AP299="",IF($B299="","",$R299),IF(INDEX(職員マスタ!$C$6:$C$405,$AP299)="",$R299,INDEX(職員マスタ!$C$6:$C$405,$AP299)))</f>
        <v/>
      </c>
      <c r="Z299" s="14">
        <f>IF($AQ299="","","R"&amp;$C299&amp;"."&amp;$D299)</f>
        <v/>
      </c>
      <c r="AA299" s="15">
        <f>IF(IF($AP299="",FALSE,INDEX(職員マスタ!$K$6:$K$405,$AP299)&lt;&gt;""),INDEX(職員マスタ!$K$6:$K$405,$AP299),IF(N($W299)&gt;0,$W299,""))</f>
        <v/>
      </c>
      <c r="AB299" s="14">
        <f>IF(OR($E299="",$AA299=""),"",IF($E299&gt;=$AA299,"×",IF($E299&gt;=$AA299*設定!$C$5,"△","○")))</f>
        <v/>
      </c>
      <c r="AC299" s="15">
        <f>IF($AB299="","",IF($AB299="×",0,IF($AB299="○",ROUNDDOWN($E299*設定!$C$4,0),ROUNDDOWN($E299*ROUND((9*$AA299-9*$E299)/(10*$E299),4),0))))</f>
        <v/>
      </c>
      <c r="AD299" s="13" t="n"/>
      <c r="AE299" s="15">
        <f>IF($B299="","",IF($AD299&lt;&gt;"",$AD299,IF($AC299="","",IF($AC299&lt;=設定!$C$3,0,$AC299))))</f>
        <v/>
      </c>
      <c r="AF299" s="14">
        <f>IF($B299="","",IF(AND($AG299&lt;&gt;"",$AI299="",$AL299=""),"保留中",IF($AL299&lt;&gt;"",IF(N($AE299)&gt;0,"支給済","不支給"),IF($AE299="","要確認",IF($AE299=0,"不支給","未処理")))))</f>
        <v/>
      </c>
      <c r="AG299" s="12" t="n"/>
      <c r="AH299" s="11" t="n"/>
      <c r="AI299" s="11" t="n"/>
      <c r="AJ299" s="11" t="n"/>
      <c r="AK299" s="14">
        <f>IF(AND($AF299="保留中",$AH299&lt;&gt;""),TODAY()-$AH299,"")</f>
        <v/>
      </c>
      <c r="AL299" s="12" t="inlineStr">
        <is>
          <t>R7.8</t>
        </is>
      </c>
      <c r="AM299" s="14">
        <f>IF($B299="","",IF($AQ299="","対象年月が未入力／","")&amp;IF($B299="","",IF($AP299="","職員マスタに未登録の職員番号／",IF($AA299="","標準報酬月額が未登録／","")&amp;IF(AND($AQ299&lt;&gt;"",OR(AND(INDEX(職員マスタ!$G$6:$G$405,$AP299)&lt;&gt;"",INDEX(職員マスタ!$G$6:$G$405,$AP299)&gt;EOMONTH($AQ299,0)),AND(INDEX(職員マスタ!$H$6:$H$405,$AP299)&lt;&gt;"",INDEX(職員マスタ!$H$6:$H$405,$AP299)&lt;$AQ299))),"対象月が時短期間外／","")&amp;IF(AND(INDEX(職員マスタ!$K$6:$K$405,$AP299)&lt;&gt;"",N($W299)&gt;0,INDEX(職員マスタ!$K$6:$K$405,$AP299)&lt;&gt;$W299),"標準報酬月額が申請書と相違（台帳"&amp;TEXT(INDEX(職員マスタ!$K$6:$K$405,$AP299),"#,##0")&amp;"円／申請書"&amp;TEXT($W299,"#,##0")&amp;"円）／","")&amp;IF(AND(INDEX(職員マスタ!$F$6:$F$405,$AP299)&lt;&gt;"",$AQ299&lt;&gt;"",INDEX(職員マスタ!$F$6:$F$405,$AP299)&lt;$AQ299),"対象月に子が2歳到達済／","")&amp;IF(AND($H299&lt;&gt;"",INDEX(職員マスタ!$B$6:$B$405,$AP299)&lt;&gt;"",SUBSTITUTE(SUBSTITUTE($H299," ","")," ","")&lt;&gt;SUBSTITUTE(SUBSTITUTE(INDEX(職員マスタ!$B$6:$B$405,$AP299)," ","")," ","")),"氏名がマスタと相違／","")&amp;IF(AND($Q299&lt;&gt;"",INDEX(職員マスタ!$E$6:$E$405,$AP299)&lt;&gt;"",$Q299&lt;&gt;INDEX(職員マスタ!$E$6:$E$405,$AP299)),"子の生年月日がマスタと相違／","")&amp;IF(AND($L299&lt;&gt;"",INDEX(職員マスタ!$G$6:$G$405,$AP299)&lt;&gt;"",$L299&lt;&gt;INDEX(職員マスタ!$G$6:$G$405,$AP299)),"時短開始日がマスタと相違／","")&amp;IF(AND($M299&lt;&gt;"",INDEX(職員マスタ!$H$6:$H$405,$AP299)&lt;&gt;"",$M299&lt;&gt;INDEX(職員マスタ!$H$6:$H$405,$AP299)),"時短終了日がマスタと相違／","")))&amp;IF(AND($B299&lt;&gt;"",$E299=""),"報酬額が未入力／","")&amp;IF(N($U299)&gt;0,"申請書に入力エラーが残っています／","")&amp;IF(AND($B299&lt;&gt;"",$AQ299&lt;&gt;""),IF(COUNTIFS($B$6:$B$3005,$B299,$C$6:$C$3005,$C299,$D$6:$D$3005,$D299)&gt;1,"同じ月の請求が重複しています／",""),"")&amp;IF(AND(N($E299)&gt;0,$AB299&lt;&gt;"",$AB299&lt;&gt;"×",$AE299=0,$AD299=""),"計算額が下限以下のため不支給／",""))</f>
        <v/>
      </c>
      <c r="AN299" s="12" t="n"/>
      <c r="AO299" s="14">
        <f>IF($AF299="保留中",COUNTIF($AF$6:$AF299,"保留中"),"")</f>
        <v/>
      </c>
      <c r="AP299" s="14">
        <f>IF($AQ299="","",IF(SUMPRODUCT(MAX((職員マスタ!$A$6:$A$405=$B299)*(((職員マスタ!$G$6:$G$405="")+(職員マスタ!$G$6:$G$405&lt;=EOMONTH($AQ299,0)))&gt;0)*(((職員マスタ!$H$6:$H$405="")+(職員マスタ!$H$6:$H$405&gt;=$AQ299))&gt;0)*(ROW(職員マスタ!$A$6:$A$405)-5)))&gt;0,SUMPRODUCT(MAX((職員マスタ!$A$6:$A$405=$B299)*(((職員マスタ!$G$6:$G$405="")+(職員マスタ!$G$6:$G$405&lt;=EOMONTH($AQ299,0)))&gt;0)*(((職員マスタ!$H$6:$H$405="")+(職員マスタ!$H$6:$H$405&gt;=$AQ299))&gt;0)*(ROW(職員マスタ!$A$6:$A$405)-5))),IFERROR(MATCH($B299,職員マスタ!$A$6:$A$405,0),"")))</f>
        <v/>
      </c>
      <c r="AQ299" s="16">
        <f>IF(OR($B299="",$C299="",$D299=""),"",DATE($C299+2018,$D299,1))</f>
        <v/>
      </c>
    </row>
    <row r="300">
      <c r="A300" s="11" t="n"/>
      <c r="B300" s="12" t="n">
        <v>6602899</v>
      </c>
      <c r="C300" s="12" t="n">
        <v>7</v>
      </c>
      <c r="D300" s="12" t="n">
        <v>7</v>
      </c>
      <c r="E300" s="13" t="n">
        <v>254061</v>
      </c>
      <c r="F300" s="12" t="n"/>
      <c r="G300" s="13" t="n"/>
      <c r="H300" s="12" t="n"/>
      <c r="I300" s="12" t="n"/>
      <c r="J300" s="12" t="n"/>
      <c r="K300" s="12" t="n"/>
      <c r="L300" s="11" t="n"/>
      <c r="M300" s="11" t="n"/>
      <c r="N300" s="11" t="n"/>
      <c r="O300" s="11" t="n"/>
      <c r="P300" s="12" t="n"/>
      <c r="Q300" s="11" t="n"/>
      <c r="R300" s="12" t="n"/>
      <c r="S300" s="11" t="n"/>
      <c r="T300" s="12" t="n"/>
      <c r="U300" s="12" t="n"/>
      <c r="V300" s="12" t="n"/>
      <c r="W300" s="13" t="n"/>
      <c r="X300" s="14">
        <f>IF($AP300="",IF($B300="","",$H300),IF(INDEX(職員マスタ!$B$6:$B$405,$AP300)="",$H300,INDEX(職員マスタ!$B$6:$B$405,$AP300)))</f>
        <v/>
      </c>
      <c r="Y300" s="14">
        <f>IF($AP300="",IF($B300="","",$R300),IF(INDEX(職員マスタ!$C$6:$C$405,$AP300)="",$R300,INDEX(職員マスタ!$C$6:$C$405,$AP300)))</f>
        <v/>
      </c>
      <c r="Z300" s="14">
        <f>IF($AQ300="","","R"&amp;$C300&amp;"."&amp;$D300)</f>
        <v/>
      </c>
      <c r="AA300" s="15">
        <f>IF(IF($AP300="",FALSE,INDEX(職員マスタ!$K$6:$K$405,$AP300)&lt;&gt;""),INDEX(職員マスタ!$K$6:$K$405,$AP300),IF(N($W300)&gt;0,$W300,""))</f>
        <v/>
      </c>
      <c r="AB300" s="14">
        <f>IF(OR($E300="",$AA300=""),"",IF($E300&gt;=$AA300,"×",IF($E300&gt;=$AA300*設定!$C$5,"△","○")))</f>
        <v/>
      </c>
      <c r="AC300" s="15">
        <f>IF($AB300="","",IF($AB300="×",0,IF($AB300="○",ROUNDDOWN($E300*設定!$C$4,0),ROUNDDOWN($E300*ROUND((9*$AA300-9*$E300)/(10*$E300),4),0))))</f>
        <v/>
      </c>
      <c r="AD300" s="13" t="n"/>
      <c r="AE300" s="15">
        <f>IF($B300="","",IF($AD300&lt;&gt;"",$AD300,IF($AC300="","",IF($AC300&lt;=設定!$C$3,0,$AC300))))</f>
        <v/>
      </c>
      <c r="AF300" s="14">
        <f>IF($B300="","",IF(AND($AG300&lt;&gt;"",$AI300="",$AL300=""),"保留中",IF($AL300&lt;&gt;"",IF(N($AE300)&gt;0,"支給済","不支給"),IF($AE300="","要確認",IF($AE300=0,"不支給","未処理")))))</f>
        <v/>
      </c>
      <c r="AG300" s="12" t="n"/>
      <c r="AH300" s="11" t="n"/>
      <c r="AI300" s="11" t="n"/>
      <c r="AJ300" s="11" t="n"/>
      <c r="AK300" s="14">
        <f>IF(AND($AF300="保留中",$AH300&lt;&gt;""),TODAY()-$AH300,"")</f>
        <v/>
      </c>
      <c r="AL300" s="12" t="inlineStr">
        <is>
          <t>R7.9</t>
        </is>
      </c>
      <c r="AM300" s="14">
        <f>IF($B300="","",IF($AQ300="","対象年月が未入力／","")&amp;IF($B300="","",IF($AP300="","職員マスタに未登録の職員番号／",IF($AA300="","標準報酬月額が未登録／","")&amp;IF(AND($AQ300&lt;&gt;"",OR(AND(INDEX(職員マスタ!$G$6:$G$405,$AP300)&lt;&gt;"",INDEX(職員マスタ!$G$6:$G$405,$AP300)&gt;EOMONTH($AQ300,0)),AND(INDEX(職員マスタ!$H$6:$H$405,$AP300)&lt;&gt;"",INDEX(職員マスタ!$H$6:$H$405,$AP300)&lt;$AQ300))),"対象月が時短期間外／","")&amp;IF(AND(INDEX(職員マスタ!$K$6:$K$405,$AP300)&lt;&gt;"",N($W300)&gt;0,INDEX(職員マスタ!$K$6:$K$405,$AP300)&lt;&gt;$W300),"標準報酬月額が申請書と相違（台帳"&amp;TEXT(INDEX(職員マスタ!$K$6:$K$405,$AP300),"#,##0")&amp;"円／申請書"&amp;TEXT($W300,"#,##0")&amp;"円）／","")&amp;IF(AND(INDEX(職員マスタ!$F$6:$F$405,$AP300)&lt;&gt;"",$AQ300&lt;&gt;"",INDEX(職員マスタ!$F$6:$F$405,$AP300)&lt;$AQ300),"対象月に子が2歳到達済／","")&amp;IF(AND($H300&lt;&gt;"",INDEX(職員マスタ!$B$6:$B$405,$AP300)&lt;&gt;"",SUBSTITUTE(SUBSTITUTE($H300," ","")," ","")&lt;&gt;SUBSTITUTE(SUBSTITUTE(INDEX(職員マスタ!$B$6:$B$405,$AP300)," ","")," ","")),"氏名がマスタと相違／","")&amp;IF(AND($Q300&lt;&gt;"",INDEX(職員マスタ!$E$6:$E$405,$AP300)&lt;&gt;"",$Q300&lt;&gt;INDEX(職員マスタ!$E$6:$E$405,$AP300)),"子の生年月日がマスタと相違／","")&amp;IF(AND($L300&lt;&gt;"",INDEX(職員マスタ!$G$6:$G$405,$AP300)&lt;&gt;"",$L300&lt;&gt;INDEX(職員マスタ!$G$6:$G$405,$AP300)),"時短開始日がマスタと相違／","")&amp;IF(AND($M300&lt;&gt;"",INDEX(職員マスタ!$H$6:$H$405,$AP300)&lt;&gt;"",$M300&lt;&gt;INDEX(職員マスタ!$H$6:$H$405,$AP300)),"時短終了日がマスタと相違／","")))&amp;IF(AND($B300&lt;&gt;"",$E300=""),"報酬額が未入力／","")&amp;IF(N($U300)&gt;0,"申請書に入力エラーが残っています／","")&amp;IF(AND($B300&lt;&gt;"",$AQ300&lt;&gt;""),IF(COUNTIFS($B$6:$B$3005,$B300,$C$6:$C$3005,$C300,$D$6:$D$3005,$D300)&gt;1,"同じ月の請求が重複しています／",""),"")&amp;IF(AND(N($E300)&gt;0,$AB300&lt;&gt;"",$AB300&lt;&gt;"×",$AE300=0,$AD300=""),"計算額が下限以下のため不支給／",""))</f>
        <v/>
      </c>
      <c r="AN300" s="12" t="n"/>
      <c r="AO300" s="14">
        <f>IF($AF300="保留中",COUNTIF($AF$6:$AF300,"保留中"),"")</f>
        <v/>
      </c>
      <c r="AP300" s="14">
        <f>IF($AQ300="","",IF(SUMPRODUCT(MAX((職員マスタ!$A$6:$A$405=$B300)*(((職員マスタ!$G$6:$G$405="")+(職員マスタ!$G$6:$G$405&lt;=EOMONTH($AQ300,0)))&gt;0)*(((職員マスタ!$H$6:$H$405="")+(職員マスタ!$H$6:$H$405&gt;=$AQ300))&gt;0)*(ROW(職員マスタ!$A$6:$A$405)-5)))&gt;0,SUMPRODUCT(MAX((職員マスタ!$A$6:$A$405=$B300)*(((職員マスタ!$G$6:$G$405="")+(職員マスタ!$G$6:$G$405&lt;=EOMONTH($AQ300,0)))&gt;0)*(((職員マスタ!$H$6:$H$405="")+(職員マスタ!$H$6:$H$405&gt;=$AQ300))&gt;0)*(ROW(職員マスタ!$A$6:$A$405)-5))),IFERROR(MATCH($B300,職員マスタ!$A$6:$A$405,0),"")))</f>
        <v/>
      </c>
      <c r="AQ300" s="16">
        <f>IF(OR($B300="",$C300="",$D300=""),"",DATE($C300+2018,$D300,1))</f>
        <v/>
      </c>
    </row>
    <row r="301">
      <c r="A301" s="11" t="n"/>
      <c r="B301" s="12" t="n">
        <v>6602899</v>
      </c>
      <c r="C301" s="12" t="n">
        <v>7</v>
      </c>
      <c r="D301" s="12" t="n">
        <v>8</v>
      </c>
      <c r="E301" s="13" t="n">
        <v>248412</v>
      </c>
      <c r="F301" s="12" t="n"/>
      <c r="G301" s="13" t="n"/>
      <c r="H301" s="12" t="n"/>
      <c r="I301" s="12" t="n"/>
      <c r="J301" s="12" t="n"/>
      <c r="K301" s="12" t="n"/>
      <c r="L301" s="11" t="n"/>
      <c r="M301" s="11" t="n"/>
      <c r="N301" s="11" t="n"/>
      <c r="O301" s="11" t="n"/>
      <c r="P301" s="12" t="n"/>
      <c r="Q301" s="11" t="n"/>
      <c r="R301" s="12" t="n"/>
      <c r="S301" s="11" t="n"/>
      <c r="T301" s="12" t="n"/>
      <c r="U301" s="12" t="n"/>
      <c r="V301" s="12" t="n"/>
      <c r="W301" s="13" t="n"/>
      <c r="X301" s="14">
        <f>IF($AP301="",IF($B301="","",$H301),IF(INDEX(職員マスタ!$B$6:$B$405,$AP301)="",$H301,INDEX(職員マスタ!$B$6:$B$405,$AP301)))</f>
        <v/>
      </c>
      <c r="Y301" s="14">
        <f>IF($AP301="",IF($B301="","",$R301),IF(INDEX(職員マスタ!$C$6:$C$405,$AP301)="",$R301,INDEX(職員マスタ!$C$6:$C$405,$AP301)))</f>
        <v/>
      </c>
      <c r="Z301" s="14">
        <f>IF($AQ301="","","R"&amp;$C301&amp;"."&amp;$D301)</f>
        <v/>
      </c>
      <c r="AA301" s="15">
        <f>IF(IF($AP301="",FALSE,INDEX(職員マスタ!$K$6:$K$405,$AP301)&lt;&gt;""),INDEX(職員マスタ!$K$6:$K$405,$AP301),IF(N($W301)&gt;0,$W301,""))</f>
        <v/>
      </c>
      <c r="AB301" s="14">
        <f>IF(OR($E301="",$AA301=""),"",IF($E301&gt;=$AA301,"×",IF($E301&gt;=$AA301*設定!$C$5,"△","○")))</f>
        <v/>
      </c>
      <c r="AC301" s="15">
        <f>IF($AB301="","",IF($AB301="×",0,IF($AB301="○",ROUNDDOWN($E301*設定!$C$4,0),ROUNDDOWN($E301*ROUND((9*$AA301-9*$E301)/(10*$E301),4),0))))</f>
        <v/>
      </c>
      <c r="AD301" s="13" t="n"/>
      <c r="AE301" s="15">
        <f>IF($B301="","",IF($AD301&lt;&gt;"",$AD301,IF($AC301="","",IF($AC301&lt;=設定!$C$3,0,$AC301))))</f>
        <v/>
      </c>
      <c r="AF301" s="14">
        <f>IF($B301="","",IF(AND($AG301&lt;&gt;"",$AI301="",$AL301=""),"保留中",IF($AL301&lt;&gt;"",IF(N($AE301)&gt;0,"支給済","不支給"),IF($AE301="","要確認",IF($AE301=0,"不支給","未処理")))))</f>
        <v/>
      </c>
      <c r="AG301" s="12" t="n"/>
      <c r="AH301" s="11" t="n"/>
      <c r="AI301" s="11" t="n"/>
      <c r="AJ301" s="11" t="n"/>
      <c r="AK301" s="14">
        <f>IF(AND($AF301="保留中",$AH301&lt;&gt;""),TODAY()-$AH301,"")</f>
        <v/>
      </c>
      <c r="AL301" s="12" t="inlineStr">
        <is>
          <t>R7.10</t>
        </is>
      </c>
      <c r="AM301" s="14">
        <f>IF($B301="","",IF($AQ301="","対象年月が未入力／","")&amp;IF($B301="","",IF($AP301="","職員マスタに未登録の職員番号／",IF($AA301="","標準報酬月額が未登録／","")&amp;IF(AND($AQ301&lt;&gt;"",OR(AND(INDEX(職員マスタ!$G$6:$G$405,$AP301)&lt;&gt;"",INDEX(職員マスタ!$G$6:$G$405,$AP301)&gt;EOMONTH($AQ301,0)),AND(INDEX(職員マスタ!$H$6:$H$405,$AP301)&lt;&gt;"",INDEX(職員マスタ!$H$6:$H$405,$AP301)&lt;$AQ301))),"対象月が時短期間外／","")&amp;IF(AND(INDEX(職員マスタ!$K$6:$K$405,$AP301)&lt;&gt;"",N($W301)&gt;0,INDEX(職員マスタ!$K$6:$K$405,$AP301)&lt;&gt;$W301),"標準報酬月額が申請書と相違（台帳"&amp;TEXT(INDEX(職員マスタ!$K$6:$K$405,$AP301),"#,##0")&amp;"円／申請書"&amp;TEXT($W301,"#,##0")&amp;"円）／","")&amp;IF(AND(INDEX(職員マスタ!$F$6:$F$405,$AP301)&lt;&gt;"",$AQ301&lt;&gt;"",INDEX(職員マスタ!$F$6:$F$405,$AP301)&lt;$AQ301),"対象月に子が2歳到達済／","")&amp;IF(AND($H301&lt;&gt;"",INDEX(職員マスタ!$B$6:$B$405,$AP301)&lt;&gt;"",SUBSTITUTE(SUBSTITUTE($H301," ","")," ","")&lt;&gt;SUBSTITUTE(SUBSTITUTE(INDEX(職員マスタ!$B$6:$B$405,$AP301)," ","")," ","")),"氏名がマスタと相違／","")&amp;IF(AND($Q301&lt;&gt;"",INDEX(職員マスタ!$E$6:$E$405,$AP301)&lt;&gt;"",$Q301&lt;&gt;INDEX(職員マスタ!$E$6:$E$405,$AP301)),"子の生年月日がマスタと相違／","")&amp;IF(AND($L301&lt;&gt;"",INDEX(職員マスタ!$G$6:$G$405,$AP301)&lt;&gt;"",$L301&lt;&gt;INDEX(職員マスタ!$G$6:$G$405,$AP301)),"時短開始日がマスタと相違／","")&amp;IF(AND($M301&lt;&gt;"",INDEX(職員マスタ!$H$6:$H$405,$AP301)&lt;&gt;"",$M301&lt;&gt;INDEX(職員マスタ!$H$6:$H$405,$AP301)),"時短終了日がマスタと相違／","")))&amp;IF(AND($B301&lt;&gt;"",$E301=""),"報酬額が未入力／","")&amp;IF(N($U301)&gt;0,"申請書に入力エラーが残っています／","")&amp;IF(AND($B301&lt;&gt;"",$AQ301&lt;&gt;""),IF(COUNTIFS($B$6:$B$3005,$B301,$C$6:$C$3005,$C301,$D$6:$D$3005,$D301)&gt;1,"同じ月の請求が重複しています／",""),"")&amp;IF(AND(N($E301)&gt;0,$AB301&lt;&gt;"",$AB301&lt;&gt;"×",$AE301=0,$AD301=""),"計算額が下限以下のため不支給／",""))</f>
        <v/>
      </c>
      <c r="AN301" s="12" t="n"/>
      <c r="AO301" s="14">
        <f>IF($AF301="保留中",COUNTIF($AF$6:$AF301,"保留中"),"")</f>
        <v/>
      </c>
      <c r="AP301" s="14">
        <f>IF($AQ301="","",IF(SUMPRODUCT(MAX((職員マスタ!$A$6:$A$405=$B301)*(((職員マスタ!$G$6:$G$405="")+(職員マスタ!$G$6:$G$405&lt;=EOMONTH($AQ301,0)))&gt;0)*(((職員マスタ!$H$6:$H$405="")+(職員マスタ!$H$6:$H$405&gt;=$AQ301))&gt;0)*(ROW(職員マスタ!$A$6:$A$405)-5)))&gt;0,SUMPRODUCT(MAX((職員マスタ!$A$6:$A$405=$B301)*(((職員マスタ!$G$6:$G$405="")+(職員マスタ!$G$6:$G$405&lt;=EOMONTH($AQ301,0)))&gt;0)*(((職員マスタ!$H$6:$H$405="")+(職員マスタ!$H$6:$H$405&gt;=$AQ301))&gt;0)*(ROW(職員マスタ!$A$6:$A$405)-5))),IFERROR(MATCH($B301,職員マスタ!$A$6:$A$405,0),"")))</f>
        <v/>
      </c>
      <c r="AQ301" s="16">
        <f>IF(OR($B301="",$C301="",$D301=""),"",DATE($C301+2018,$D301,1))</f>
        <v/>
      </c>
    </row>
    <row r="302">
      <c r="A302" s="11" t="n"/>
      <c r="B302" s="12" t="n">
        <v>6701601</v>
      </c>
      <c r="C302" s="12" t="n">
        <v>7</v>
      </c>
      <c r="D302" s="12" t="n">
        <v>12</v>
      </c>
      <c r="E302" s="13" t="n">
        <v>361957</v>
      </c>
      <c r="F302" s="12" t="n"/>
      <c r="G302" s="13" t="n"/>
      <c r="H302" s="12" t="n"/>
      <c r="I302" s="12" t="n"/>
      <c r="J302" s="12" t="n"/>
      <c r="K302" s="12" t="n"/>
      <c r="L302" s="11" t="n"/>
      <c r="M302" s="11" t="n"/>
      <c r="N302" s="11" t="n"/>
      <c r="O302" s="11" t="n"/>
      <c r="P302" s="12" t="n"/>
      <c r="Q302" s="11" t="n"/>
      <c r="R302" s="12" t="n"/>
      <c r="S302" s="11" t="n"/>
      <c r="T302" s="12" t="n"/>
      <c r="U302" s="12" t="n"/>
      <c r="V302" s="12" t="n"/>
      <c r="W302" s="13" t="n"/>
      <c r="X302" s="14">
        <f>IF($AP302="",IF($B302="","",$H302),IF(INDEX(職員マスタ!$B$6:$B$405,$AP302)="",$H302,INDEX(職員マスタ!$B$6:$B$405,$AP302)))</f>
        <v/>
      </c>
      <c r="Y302" s="14">
        <f>IF($AP302="",IF($B302="","",$R302),IF(INDEX(職員マスタ!$C$6:$C$405,$AP302)="",$R302,INDEX(職員マスタ!$C$6:$C$405,$AP302)))</f>
        <v/>
      </c>
      <c r="Z302" s="14">
        <f>IF($AQ302="","","R"&amp;$C302&amp;"."&amp;$D302)</f>
        <v/>
      </c>
      <c r="AA302" s="15">
        <f>IF(IF($AP302="",FALSE,INDEX(職員マスタ!$K$6:$K$405,$AP302)&lt;&gt;""),INDEX(職員マスタ!$K$6:$K$405,$AP302),IF(N($W302)&gt;0,$W302,""))</f>
        <v/>
      </c>
      <c r="AB302" s="14">
        <f>IF(OR($E302="",$AA302=""),"",IF($E302&gt;=$AA302,"×",IF($E302&gt;=$AA302*設定!$C$5,"△","○")))</f>
        <v/>
      </c>
      <c r="AC302" s="15">
        <f>IF($AB302="","",IF($AB302="×",0,IF($AB302="○",ROUNDDOWN($E302*設定!$C$4,0),ROUNDDOWN($E302*ROUND((9*$AA302-9*$E302)/(10*$E302),4),0))))</f>
        <v/>
      </c>
      <c r="AD302" s="13" t="n"/>
      <c r="AE302" s="15">
        <f>IF($B302="","",IF($AD302&lt;&gt;"",$AD302,IF($AC302="","",IF($AC302&lt;=設定!$C$3,0,$AC302))))</f>
        <v/>
      </c>
      <c r="AF302" s="14">
        <f>IF($B302="","",IF(AND($AG302&lt;&gt;"",$AI302="",$AL302=""),"保留中",IF($AL302&lt;&gt;"",IF(N($AE302)&gt;0,"支給済","不支給"),IF($AE302="","要確認",IF($AE302=0,"不支給","未処理")))))</f>
        <v/>
      </c>
      <c r="AG302" s="12" t="n"/>
      <c r="AH302" s="11" t="n"/>
      <c r="AI302" s="11" t="n"/>
      <c r="AJ302" s="11" t="n"/>
      <c r="AK302" s="14">
        <f>IF(AND($AF302="保留中",$AH302&lt;&gt;""),TODAY()-$AH302,"")</f>
        <v/>
      </c>
      <c r="AL302" s="12" t="inlineStr">
        <is>
          <t>R8.4</t>
        </is>
      </c>
      <c r="AM302" s="14">
        <f>IF($B302="","",IF($AQ302="","対象年月が未入力／","")&amp;IF($B302="","",IF($AP302="","職員マスタに未登録の職員番号／",IF($AA302="","標準報酬月額が未登録／","")&amp;IF(AND($AQ302&lt;&gt;"",OR(AND(INDEX(職員マスタ!$G$6:$G$405,$AP302)&lt;&gt;"",INDEX(職員マスタ!$G$6:$G$405,$AP302)&gt;EOMONTH($AQ302,0)),AND(INDEX(職員マスタ!$H$6:$H$405,$AP302)&lt;&gt;"",INDEX(職員マスタ!$H$6:$H$405,$AP302)&lt;$AQ302))),"対象月が時短期間外／","")&amp;IF(AND(INDEX(職員マスタ!$K$6:$K$405,$AP302)&lt;&gt;"",N($W302)&gt;0,INDEX(職員マスタ!$K$6:$K$405,$AP302)&lt;&gt;$W302),"標準報酬月額が申請書と相違（台帳"&amp;TEXT(INDEX(職員マスタ!$K$6:$K$405,$AP302),"#,##0")&amp;"円／申請書"&amp;TEXT($W302,"#,##0")&amp;"円）／","")&amp;IF(AND(INDEX(職員マスタ!$F$6:$F$405,$AP302)&lt;&gt;"",$AQ302&lt;&gt;"",INDEX(職員マスタ!$F$6:$F$405,$AP302)&lt;$AQ302),"対象月に子が2歳到達済／","")&amp;IF(AND($H302&lt;&gt;"",INDEX(職員マスタ!$B$6:$B$405,$AP302)&lt;&gt;"",SUBSTITUTE(SUBSTITUTE($H302," ","")," ","")&lt;&gt;SUBSTITUTE(SUBSTITUTE(INDEX(職員マスタ!$B$6:$B$405,$AP302)," ","")," ","")),"氏名がマスタと相違／","")&amp;IF(AND($Q302&lt;&gt;"",INDEX(職員マスタ!$E$6:$E$405,$AP302)&lt;&gt;"",$Q302&lt;&gt;INDEX(職員マスタ!$E$6:$E$405,$AP302)),"子の生年月日がマスタと相違／","")&amp;IF(AND($L302&lt;&gt;"",INDEX(職員マスタ!$G$6:$G$405,$AP302)&lt;&gt;"",$L302&lt;&gt;INDEX(職員マスタ!$G$6:$G$405,$AP302)),"時短開始日がマスタと相違／","")&amp;IF(AND($M302&lt;&gt;"",INDEX(職員マスタ!$H$6:$H$405,$AP302)&lt;&gt;"",$M302&lt;&gt;INDEX(職員マスタ!$H$6:$H$405,$AP302)),"時短終了日がマスタと相違／","")))&amp;IF(AND($B302&lt;&gt;"",$E302=""),"報酬額が未入力／","")&amp;IF(N($U302)&gt;0,"申請書に入力エラーが残っています／","")&amp;IF(AND($B302&lt;&gt;"",$AQ302&lt;&gt;""),IF(COUNTIFS($B$6:$B$3005,$B302,$C$6:$C$3005,$C302,$D$6:$D$3005,$D302)&gt;1,"同じ月の請求が重複しています／",""),"")&amp;IF(AND(N($E302)&gt;0,$AB302&lt;&gt;"",$AB302&lt;&gt;"×",$AE302=0,$AD302=""),"計算額が下限以下のため不支給／",""))</f>
        <v/>
      </c>
      <c r="AN302" s="12" t="n"/>
      <c r="AO302" s="14">
        <f>IF($AF302="保留中",COUNTIF($AF$6:$AF302,"保留中"),"")</f>
        <v/>
      </c>
      <c r="AP302" s="14">
        <f>IF($AQ302="","",IF(SUMPRODUCT(MAX((職員マスタ!$A$6:$A$405=$B302)*(((職員マスタ!$G$6:$G$405="")+(職員マスタ!$G$6:$G$405&lt;=EOMONTH($AQ302,0)))&gt;0)*(((職員マスタ!$H$6:$H$405="")+(職員マスタ!$H$6:$H$405&gt;=$AQ302))&gt;0)*(ROW(職員マスタ!$A$6:$A$405)-5)))&gt;0,SUMPRODUCT(MAX((職員マスタ!$A$6:$A$405=$B302)*(((職員マスタ!$G$6:$G$405="")+(職員マスタ!$G$6:$G$405&lt;=EOMONTH($AQ302,0)))&gt;0)*(((職員マスタ!$H$6:$H$405="")+(職員マスタ!$H$6:$H$405&gt;=$AQ302))&gt;0)*(ROW(職員マスタ!$A$6:$A$405)-5))),IFERROR(MATCH($B302,職員マスタ!$A$6:$A$405,0),"")))</f>
        <v/>
      </c>
      <c r="AQ302" s="16">
        <f>IF(OR($B302="",$C302="",$D302=""),"",DATE($C302+2018,$D302,1))</f>
        <v/>
      </c>
    </row>
    <row r="303">
      <c r="A303" s="11" t="n"/>
      <c r="B303" s="12" t="n">
        <v>6701601</v>
      </c>
      <c r="C303" s="12" t="n">
        <v>8</v>
      </c>
      <c r="D303" s="12" t="n">
        <v>1</v>
      </c>
      <c r="E303" s="13" t="n">
        <v>340188</v>
      </c>
      <c r="F303" s="12" t="n"/>
      <c r="G303" s="13" t="n"/>
      <c r="H303" s="12" t="n"/>
      <c r="I303" s="12" t="n"/>
      <c r="J303" s="12" t="n"/>
      <c r="K303" s="12" t="n"/>
      <c r="L303" s="11" t="n"/>
      <c r="M303" s="11" t="n"/>
      <c r="N303" s="11" t="n"/>
      <c r="O303" s="11" t="n"/>
      <c r="P303" s="12" t="n"/>
      <c r="Q303" s="11" t="n"/>
      <c r="R303" s="12" t="n"/>
      <c r="S303" s="11" t="n"/>
      <c r="T303" s="12" t="n"/>
      <c r="U303" s="12" t="n"/>
      <c r="V303" s="12" t="n"/>
      <c r="W303" s="13" t="n"/>
      <c r="X303" s="14">
        <f>IF($AP303="",IF($B303="","",$H303),IF(INDEX(職員マスタ!$B$6:$B$405,$AP303)="",$H303,INDEX(職員マスタ!$B$6:$B$405,$AP303)))</f>
        <v/>
      </c>
      <c r="Y303" s="14">
        <f>IF($AP303="",IF($B303="","",$R303),IF(INDEX(職員マスタ!$C$6:$C$405,$AP303)="",$R303,INDEX(職員マスタ!$C$6:$C$405,$AP303)))</f>
        <v/>
      </c>
      <c r="Z303" s="14">
        <f>IF($AQ303="","","R"&amp;$C303&amp;"."&amp;$D303)</f>
        <v/>
      </c>
      <c r="AA303" s="15">
        <f>IF(IF($AP303="",FALSE,INDEX(職員マスタ!$K$6:$K$405,$AP303)&lt;&gt;""),INDEX(職員マスタ!$K$6:$K$405,$AP303),IF(N($W303)&gt;0,$W303,""))</f>
        <v/>
      </c>
      <c r="AB303" s="14">
        <f>IF(OR($E303="",$AA303=""),"",IF($E303&gt;=$AA303,"×",IF($E303&gt;=$AA303*設定!$C$5,"△","○")))</f>
        <v/>
      </c>
      <c r="AC303" s="15">
        <f>IF($AB303="","",IF($AB303="×",0,IF($AB303="○",ROUNDDOWN($E303*設定!$C$4,0),ROUNDDOWN($E303*ROUND((9*$AA303-9*$E303)/(10*$E303),4),0))))</f>
        <v/>
      </c>
      <c r="AD303" s="13" t="n"/>
      <c r="AE303" s="15">
        <f>IF($B303="","",IF($AD303&lt;&gt;"",$AD303,IF($AC303="","",IF($AC303&lt;=設定!$C$3,0,$AC303))))</f>
        <v/>
      </c>
      <c r="AF303" s="14">
        <f>IF($B303="","",IF(AND($AG303&lt;&gt;"",$AI303="",$AL303=""),"保留中",IF($AL303&lt;&gt;"",IF(N($AE303)&gt;0,"支給済","不支給"),IF($AE303="","要確認",IF($AE303=0,"不支給","未処理")))))</f>
        <v/>
      </c>
      <c r="AG303" s="12" t="n"/>
      <c r="AH303" s="11" t="n"/>
      <c r="AI303" s="11" t="n"/>
      <c r="AJ303" s="11" t="n"/>
      <c r="AK303" s="14">
        <f>IF(AND($AF303="保留中",$AH303&lt;&gt;""),TODAY()-$AH303,"")</f>
        <v/>
      </c>
      <c r="AL303" s="12" t="inlineStr">
        <is>
          <t>R8.5</t>
        </is>
      </c>
      <c r="AM303" s="14">
        <f>IF($B303="","",IF($AQ303="","対象年月が未入力／","")&amp;IF($B303="","",IF($AP303="","職員マスタに未登録の職員番号／",IF($AA303="","標準報酬月額が未登録／","")&amp;IF(AND($AQ303&lt;&gt;"",OR(AND(INDEX(職員マスタ!$G$6:$G$405,$AP303)&lt;&gt;"",INDEX(職員マスタ!$G$6:$G$405,$AP303)&gt;EOMONTH($AQ303,0)),AND(INDEX(職員マスタ!$H$6:$H$405,$AP303)&lt;&gt;"",INDEX(職員マスタ!$H$6:$H$405,$AP303)&lt;$AQ303))),"対象月が時短期間外／","")&amp;IF(AND(INDEX(職員マスタ!$K$6:$K$405,$AP303)&lt;&gt;"",N($W303)&gt;0,INDEX(職員マスタ!$K$6:$K$405,$AP303)&lt;&gt;$W303),"標準報酬月額が申請書と相違（台帳"&amp;TEXT(INDEX(職員マスタ!$K$6:$K$405,$AP303),"#,##0")&amp;"円／申請書"&amp;TEXT($W303,"#,##0")&amp;"円）／","")&amp;IF(AND(INDEX(職員マスタ!$F$6:$F$405,$AP303)&lt;&gt;"",$AQ303&lt;&gt;"",INDEX(職員マスタ!$F$6:$F$405,$AP303)&lt;$AQ303),"対象月に子が2歳到達済／","")&amp;IF(AND($H303&lt;&gt;"",INDEX(職員マスタ!$B$6:$B$405,$AP303)&lt;&gt;"",SUBSTITUTE(SUBSTITUTE($H303," ","")," ","")&lt;&gt;SUBSTITUTE(SUBSTITUTE(INDEX(職員マスタ!$B$6:$B$405,$AP303)," ","")," ","")),"氏名がマスタと相違／","")&amp;IF(AND($Q303&lt;&gt;"",INDEX(職員マスタ!$E$6:$E$405,$AP303)&lt;&gt;"",$Q303&lt;&gt;INDEX(職員マスタ!$E$6:$E$405,$AP303)),"子の生年月日がマスタと相違／","")&amp;IF(AND($L303&lt;&gt;"",INDEX(職員マスタ!$G$6:$G$405,$AP303)&lt;&gt;"",$L303&lt;&gt;INDEX(職員マスタ!$G$6:$G$405,$AP303)),"時短開始日がマスタと相違／","")&amp;IF(AND($M303&lt;&gt;"",INDEX(職員マスタ!$H$6:$H$405,$AP303)&lt;&gt;"",$M303&lt;&gt;INDEX(職員マスタ!$H$6:$H$405,$AP303)),"時短終了日がマスタと相違／","")))&amp;IF(AND($B303&lt;&gt;"",$E303=""),"報酬額が未入力／","")&amp;IF(N($U303)&gt;0,"申請書に入力エラーが残っています／","")&amp;IF(AND($B303&lt;&gt;"",$AQ303&lt;&gt;""),IF(COUNTIFS($B$6:$B$3005,$B303,$C$6:$C$3005,$C303,$D$6:$D$3005,$D303)&gt;1,"同じ月の請求が重複しています／",""),"")&amp;IF(AND(N($E303)&gt;0,$AB303&lt;&gt;"",$AB303&lt;&gt;"×",$AE303=0,$AD303=""),"計算額が下限以下のため不支給／",""))</f>
        <v/>
      </c>
      <c r="AN303" s="12" t="n"/>
      <c r="AO303" s="14">
        <f>IF($AF303="保留中",COUNTIF($AF$6:$AF303,"保留中"),"")</f>
        <v/>
      </c>
      <c r="AP303" s="14">
        <f>IF($AQ303="","",IF(SUMPRODUCT(MAX((職員マスタ!$A$6:$A$405=$B303)*(((職員マスタ!$G$6:$G$405="")+(職員マスタ!$G$6:$G$405&lt;=EOMONTH($AQ303,0)))&gt;0)*(((職員マスタ!$H$6:$H$405="")+(職員マスタ!$H$6:$H$405&gt;=$AQ303))&gt;0)*(ROW(職員マスタ!$A$6:$A$405)-5)))&gt;0,SUMPRODUCT(MAX((職員マスタ!$A$6:$A$405=$B303)*(((職員マスタ!$G$6:$G$405="")+(職員マスタ!$G$6:$G$405&lt;=EOMONTH($AQ303,0)))&gt;0)*(((職員マスタ!$H$6:$H$405="")+(職員マスタ!$H$6:$H$405&gt;=$AQ303))&gt;0)*(ROW(職員マスタ!$A$6:$A$405)-5))),IFERROR(MATCH($B303,職員マスタ!$A$6:$A$405,0),"")))</f>
        <v/>
      </c>
      <c r="AQ303" s="16">
        <f>IF(OR($B303="",$C303="",$D303=""),"",DATE($C303+2018,$D303,1))</f>
        <v/>
      </c>
    </row>
    <row r="304">
      <c r="A304" s="11" t="n"/>
      <c r="B304" s="12" t="n">
        <v>6701601</v>
      </c>
      <c r="C304" s="12" t="n">
        <v>8</v>
      </c>
      <c r="D304" s="12" t="n">
        <v>2</v>
      </c>
      <c r="E304" s="13" t="n">
        <v>338306</v>
      </c>
      <c r="F304" s="12" t="n"/>
      <c r="G304" s="13" t="n"/>
      <c r="H304" s="12" t="n"/>
      <c r="I304" s="12" t="n"/>
      <c r="J304" s="12" t="n"/>
      <c r="K304" s="12" t="n"/>
      <c r="L304" s="11" t="n"/>
      <c r="M304" s="11" t="n"/>
      <c r="N304" s="11" t="n"/>
      <c r="O304" s="11" t="n"/>
      <c r="P304" s="12" t="n"/>
      <c r="Q304" s="11" t="n"/>
      <c r="R304" s="12" t="n"/>
      <c r="S304" s="11" t="n"/>
      <c r="T304" s="12" t="n"/>
      <c r="U304" s="12" t="n"/>
      <c r="V304" s="12" t="n"/>
      <c r="W304" s="13" t="n"/>
      <c r="X304" s="14">
        <f>IF($AP304="",IF($B304="","",$H304),IF(INDEX(職員マスタ!$B$6:$B$405,$AP304)="",$H304,INDEX(職員マスタ!$B$6:$B$405,$AP304)))</f>
        <v/>
      </c>
      <c r="Y304" s="14">
        <f>IF($AP304="",IF($B304="","",$R304),IF(INDEX(職員マスタ!$C$6:$C$405,$AP304)="",$R304,INDEX(職員マスタ!$C$6:$C$405,$AP304)))</f>
        <v/>
      </c>
      <c r="Z304" s="14">
        <f>IF($AQ304="","","R"&amp;$C304&amp;"."&amp;$D304)</f>
        <v/>
      </c>
      <c r="AA304" s="15">
        <f>IF(IF($AP304="",FALSE,INDEX(職員マスタ!$K$6:$K$405,$AP304)&lt;&gt;""),INDEX(職員マスタ!$K$6:$K$405,$AP304),IF(N($W304)&gt;0,$W304,""))</f>
        <v/>
      </c>
      <c r="AB304" s="14">
        <f>IF(OR($E304="",$AA304=""),"",IF($E304&gt;=$AA304,"×",IF($E304&gt;=$AA304*設定!$C$5,"△","○")))</f>
        <v/>
      </c>
      <c r="AC304" s="15">
        <f>IF($AB304="","",IF($AB304="×",0,IF($AB304="○",ROUNDDOWN($E304*設定!$C$4,0),ROUNDDOWN($E304*ROUND((9*$AA304-9*$E304)/(10*$E304),4),0))))</f>
        <v/>
      </c>
      <c r="AD304" s="13" t="n"/>
      <c r="AE304" s="15">
        <f>IF($B304="","",IF($AD304&lt;&gt;"",$AD304,IF($AC304="","",IF($AC304&lt;=設定!$C$3,0,$AC304))))</f>
        <v/>
      </c>
      <c r="AF304" s="14">
        <f>IF($B304="","",IF(AND($AG304&lt;&gt;"",$AI304="",$AL304=""),"保留中",IF($AL304&lt;&gt;"",IF(N($AE304)&gt;0,"支給済","不支給"),IF($AE304="","要確認",IF($AE304=0,"不支給","未処理")))))</f>
        <v/>
      </c>
      <c r="AG304" s="12" t="n"/>
      <c r="AH304" s="11" t="n"/>
      <c r="AI304" s="11" t="n"/>
      <c r="AJ304" s="11" t="n"/>
      <c r="AK304" s="14">
        <f>IF(AND($AF304="保留中",$AH304&lt;&gt;""),TODAY()-$AH304,"")</f>
        <v/>
      </c>
      <c r="AL304" s="12" t="inlineStr">
        <is>
          <t>R8.5</t>
        </is>
      </c>
      <c r="AM304" s="14">
        <f>IF($B304="","",IF($AQ304="","対象年月が未入力／","")&amp;IF($B304="","",IF($AP304="","職員マスタに未登録の職員番号／",IF($AA304="","標準報酬月額が未登録／","")&amp;IF(AND($AQ304&lt;&gt;"",OR(AND(INDEX(職員マスタ!$G$6:$G$405,$AP304)&lt;&gt;"",INDEX(職員マスタ!$G$6:$G$405,$AP304)&gt;EOMONTH($AQ304,0)),AND(INDEX(職員マスタ!$H$6:$H$405,$AP304)&lt;&gt;"",INDEX(職員マスタ!$H$6:$H$405,$AP304)&lt;$AQ304))),"対象月が時短期間外／","")&amp;IF(AND(INDEX(職員マスタ!$K$6:$K$405,$AP304)&lt;&gt;"",N($W304)&gt;0,INDEX(職員マスタ!$K$6:$K$405,$AP304)&lt;&gt;$W304),"標準報酬月額が申請書と相違（台帳"&amp;TEXT(INDEX(職員マスタ!$K$6:$K$405,$AP304),"#,##0")&amp;"円／申請書"&amp;TEXT($W304,"#,##0")&amp;"円）／","")&amp;IF(AND(INDEX(職員マスタ!$F$6:$F$405,$AP304)&lt;&gt;"",$AQ304&lt;&gt;"",INDEX(職員マスタ!$F$6:$F$405,$AP304)&lt;$AQ304),"対象月に子が2歳到達済／","")&amp;IF(AND($H304&lt;&gt;"",INDEX(職員マスタ!$B$6:$B$405,$AP304)&lt;&gt;"",SUBSTITUTE(SUBSTITUTE($H304," ","")," ","")&lt;&gt;SUBSTITUTE(SUBSTITUTE(INDEX(職員マスタ!$B$6:$B$405,$AP304)," ","")," ","")),"氏名がマスタと相違／","")&amp;IF(AND($Q304&lt;&gt;"",INDEX(職員マスタ!$E$6:$E$405,$AP304)&lt;&gt;"",$Q304&lt;&gt;INDEX(職員マスタ!$E$6:$E$405,$AP304)),"子の生年月日がマスタと相違／","")&amp;IF(AND($L304&lt;&gt;"",INDEX(職員マスタ!$G$6:$G$405,$AP304)&lt;&gt;"",$L304&lt;&gt;INDEX(職員マスタ!$G$6:$G$405,$AP304)),"時短開始日がマスタと相違／","")&amp;IF(AND($M304&lt;&gt;"",INDEX(職員マスタ!$H$6:$H$405,$AP304)&lt;&gt;"",$M304&lt;&gt;INDEX(職員マスタ!$H$6:$H$405,$AP304)),"時短終了日がマスタと相違／","")))&amp;IF(AND($B304&lt;&gt;"",$E304=""),"報酬額が未入力／","")&amp;IF(N($U304)&gt;0,"申請書に入力エラーが残っています／","")&amp;IF(AND($B304&lt;&gt;"",$AQ304&lt;&gt;""),IF(COUNTIFS($B$6:$B$3005,$B304,$C$6:$C$3005,$C304,$D$6:$D$3005,$D304)&gt;1,"同じ月の請求が重複しています／",""),"")&amp;IF(AND(N($E304)&gt;0,$AB304&lt;&gt;"",$AB304&lt;&gt;"×",$AE304=0,$AD304=""),"計算額が下限以下のため不支給／",""))</f>
        <v/>
      </c>
      <c r="AN304" s="12" t="n"/>
      <c r="AO304" s="14">
        <f>IF($AF304="保留中",COUNTIF($AF$6:$AF304,"保留中"),"")</f>
        <v/>
      </c>
      <c r="AP304" s="14">
        <f>IF($AQ304="","",IF(SUMPRODUCT(MAX((職員マスタ!$A$6:$A$405=$B304)*(((職員マスタ!$G$6:$G$405="")+(職員マスタ!$G$6:$G$405&lt;=EOMONTH($AQ304,0)))&gt;0)*(((職員マスタ!$H$6:$H$405="")+(職員マスタ!$H$6:$H$405&gt;=$AQ304))&gt;0)*(ROW(職員マスタ!$A$6:$A$405)-5)))&gt;0,SUMPRODUCT(MAX((職員マスタ!$A$6:$A$405=$B304)*(((職員マスタ!$G$6:$G$405="")+(職員マスタ!$G$6:$G$405&lt;=EOMONTH($AQ304,0)))&gt;0)*(((職員マスタ!$H$6:$H$405="")+(職員マスタ!$H$6:$H$405&gt;=$AQ304))&gt;0)*(ROW(職員マスタ!$A$6:$A$405)-5))),IFERROR(MATCH($B304,職員マスタ!$A$6:$A$405,0),"")))</f>
        <v/>
      </c>
      <c r="AQ304" s="16">
        <f>IF(OR($B304="",$C304="",$D304=""),"",DATE($C304+2018,$D304,1))</f>
        <v/>
      </c>
    </row>
    <row r="305">
      <c r="A305" s="11" t="n"/>
      <c r="B305" s="12" t="n">
        <v>6702344</v>
      </c>
      <c r="C305" s="12" t="n">
        <v>8</v>
      </c>
      <c r="D305" s="12" t="n">
        <v>4</v>
      </c>
      <c r="E305" s="13" t="n">
        <v>190486</v>
      </c>
      <c r="F305" s="12" t="n"/>
      <c r="G305" s="13" t="n"/>
      <c r="H305" s="12" t="n"/>
      <c r="I305" s="12" t="n"/>
      <c r="J305" s="12" t="n"/>
      <c r="K305" s="12" t="n"/>
      <c r="L305" s="11" t="n"/>
      <c r="M305" s="11" t="n"/>
      <c r="N305" s="11" t="n"/>
      <c r="O305" s="11" t="n"/>
      <c r="P305" s="12" t="n"/>
      <c r="Q305" s="11" t="n"/>
      <c r="R305" s="12" t="n"/>
      <c r="S305" s="11" t="n"/>
      <c r="T305" s="12" t="n"/>
      <c r="U305" s="12" t="n"/>
      <c r="V305" s="12" t="n"/>
      <c r="W305" s="13" t="n"/>
      <c r="X305" s="14">
        <f>IF($AP305="",IF($B305="","",$H305),IF(INDEX(職員マスタ!$B$6:$B$405,$AP305)="",$H305,INDEX(職員マスタ!$B$6:$B$405,$AP305)))</f>
        <v/>
      </c>
      <c r="Y305" s="14">
        <f>IF($AP305="",IF($B305="","",$R305),IF(INDEX(職員マスタ!$C$6:$C$405,$AP305)="",$R305,INDEX(職員マスタ!$C$6:$C$405,$AP305)))</f>
        <v/>
      </c>
      <c r="Z305" s="14">
        <f>IF($AQ305="","","R"&amp;$C305&amp;"."&amp;$D305)</f>
        <v/>
      </c>
      <c r="AA305" s="15">
        <f>IF(IF($AP305="",FALSE,INDEX(職員マスタ!$K$6:$K$405,$AP305)&lt;&gt;""),INDEX(職員マスタ!$K$6:$K$405,$AP305),IF(N($W305)&gt;0,$W305,""))</f>
        <v/>
      </c>
      <c r="AB305" s="14">
        <f>IF(OR($E305="",$AA305=""),"",IF($E305&gt;=$AA305,"×",IF($E305&gt;=$AA305*設定!$C$5,"△","○")))</f>
        <v/>
      </c>
      <c r="AC305" s="15">
        <f>IF($AB305="","",IF($AB305="×",0,IF($AB305="○",ROUNDDOWN($E305*設定!$C$4,0),ROUNDDOWN($E305*ROUND((9*$AA305-9*$E305)/(10*$E305),4),0))))</f>
        <v/>
      </c>
      <c r="AD305" s="13" t="n"/>
      <c r="AE305" s="15">
        <f>IF($B305="","",IF($AD305&lt;&gt;"",$AD305,IF($AC305="","",IF($AC305&lt;=設定!$C$3,0,$AC305))))</f>
        <v/>
      </c>
      <c r="AF305" s="14">
        <f>IF($B305="","",IF(AND($AG305&lt;&gt;"",$AI305="",$AL305=""),"保留中",IF($AL305&lt;&gt;"",IF(N($AE305)&gt;0,"支給済","不支給"),IF($AE305="","要確認",IF($AE305=0,"不支給","未処理")))))</f>
        <v/>
      </c>
      <c r="AG305" s="12" t="n"/>
      <c r="AH305" s="11" t="n"/>
      <c r="AI305" s="11" t="n"/>
      <c r="AJ305" s="11" t="n"/>
      <c r="AK305" s="14">
        <f>IF(AND($AF305="保留中",$AH305&lt;&gt;""),TODAY()-$AH305,"")</f>
        <v/>
      </c>
      <c r="AL305" s="12" t="inlineStr">
        <is>
          <t>R8.10</t>
        </is>
      </c>
      <c r="AM305" s="14">
        <f>IF($B305="","",IF($AQ305="","対象年月が未入力／","")&amp;IF($B305="","",IF($AP305="","職員マスタに未登録の職員番号／",IF($AA305="","標準報酬月額が未登録／","")&amp;IF(AND($AQ305&lt;&gt;"",OR(AND(INDEX(職員マスタ!$G$6:$G$405,$AP305)&lt;&gt;"",INDEX(職員マスタ!$G$6:$G$405,$AP305)&gt;EOMONTH($AQ305,0)),AND(INDEX(職員マスタ!$H$6:$H$405,$AP305)&lt;&gt;"",INDEX(職員マスタ!$H$6:$H$405,$AP305)&lt;$AQ305))),"対象月が時短期間外／","")&amp;IF(AND(INDEX(職員マスタ!$K$6:$K$405,$AP305)&lt;&gt;"",N($W305)&gt;0,INDEX(職員マスタ!$K$6:$K$405,$AP305)&lt;&gt;$W305),"標準報酬月額が申請書と相違（台帳"&amp;TEXT(INDEX(職員マスタ!$K$6:$K$405,$AP305),"#,##0")&amp;"円／申請書"&amp;TEXT($W305,"#,##0")&amp;"円）／","")&amp;IF(AND(INDEX(職員マスタ!$F$6:$F$405,$AP305)&lt;&gt;"",$AQ305&lt;&gt;"",INDEX(職員マスタ!$F$6:$F$405,$AP305)&lt;$AQ305),"対象月に子が2歳到達済／","")&amp;IF(AND($H305&lt;&gt;"",INDEX(職員マスタ!$B$6:$B$405,$AP305)&lt;&gt;"",SUBSTITUTE(SUBSTITUTE($H305," ","")," ","")&lt;&gt;SUBSTITUTE(SUBSTITUTE(INDEX(職員マスタ!$B$6:$B$405,$AP305)," ","")," ","")),"氏名がマスタと相違／","")&amp;IF(AND($Q305&lt;&gt;"",INDEX(職員マスタ!$E$6:$E$405,$AP305)&lt;&gt;"",$Q305&lt;&gt;INDEX(職員マスタ!$E$6:$E$405,$AP305)),"子の生年月日がマスタと相違／","")&amp;IF(AND($L305&lt;&gt;"",INDEX(職員マスタ!$G$6:$G$405,$AP305)&lt;&gt;"",$L305&lt;&gt;INDEX(職員マスタ!$G$6:$G$405,$AP305)),"時短開始日がマスタと相違／","")&amp;IF(AND($M305&lt;&gt;"",INDEX(職員マスタ!$H$6:$H$405,$AP305)&lt;&gt;"",$M305&lt;&gt;INDEX(職員マスタ!$H$6:$H$405,$AP305)),"時短終了日がマスタと相違／","")))&amp;IF(AND($B305&lt;&gt;"",$E305=""),"報酬額が未入力／","")&amp;IF(N($U305)&gt;0,"申請書に入力エラーが残っています／","")&amp;IF(AND($B305&lt;&gt;"",$AQ305&lt;&gt;""),IF(COUNTIFS($B$6:$B$3005,$B305,$C$6:$C$3005,$C305,$D$6:$D$3005,$D305)&gt;1,"同じ月の請求が重複しています／",""),"")&amp;IF(AND(N($E305)&gt;0,$AB305&lt;&gt;"",$AB305&lt;&gt;"×",$AE305=0,$AD305=""),"計算額が下限以下のため不支給／",""))</f>
        <v/>
      </c>
      <c r="AN305" s="12" t="n"/>
      <c r="AO305" s="14">
        <f>IF($AF305="保留中",COUNTIF($AF$6:$AF305,"保留中"),"")</f>
        <v/>
      </c>
      <c r="AP305" s="14">
        <f>IF($AQ305="","",IF(SUMPRODUCT(MAX((職員マスタ!$A$6:$A$405=$B305)*(((職員マスタ!$G$6:$G$405="")+(職員マスタ!$G$6:$G$405&lt;=EOMONTH($AQ305,0)))&gt;0)*(((職員マスタ!$H$6:$H$405="")+(職員マスタ!$H$6:$H$405&gt;=$AQ305))&gt;0)*(ROW(職員マスタ!$A$6:$A$405)-5)))&gt;0,SUMPRODUCT(MAX((職員マスタ!$A$6:$A$405=$B305)*(((職員マスタ!$G$6:$G$405="")+(職員マスタ!$G$6:$G$405&lt;=EOMONTH($AQ305,0)))&gt;0)*(((職員マスタ!$H$6:$H$405="")+(職員マスタ!$H$6:$H$405&gt;=$AQ305))&gt;0)*(ROW(職員マスタ!$A$6:$A$405)-5))),IFERROR(MATCH($B305,職員マスタ!$A$6:$A$405,0),"")))</f>
        <v/>
      </c>
      <c r="AQ305" s="16">
        <f>IF(OR($B305="",$C305="",$D305=""),"",DATE($C305+2018,$D305,1))</f>
        <v/>
      </c>
    </row>
    <row r="306">
      <c r="A306" s="11" t="n"/>
      <c r="B306" s="12" t="n">
        <v>6702344</v>
      </c>
      <c r="C306" s="12" t="n">
        <v>8</v>
      </c>
      <c r="D306" s="12" t="n">
        <v>5</v>
      </c>
      <c r="E306" s="13" t="n">
        <v>192934</v>
      </c>
      <c r="F306" s="12" t="n"/>
      <c r="G306" s="13" t="n"/>
      <c r="H306" s="12" t="n"/>
      <c r="I306" s="12" t="n"/>
      <c r="J306" s="12" t="n"/>
      <c r="K306" s="12" t="n"/>
      <c r="L306" s="11" t="n"/>
      <c r="M306" s="11" t="n"/>
      <c r="N306" s="11" t="n"/>
      <c r="O306" s="11" t="n"/>
      <c r="P306" s="12" t="n"/>
      <c r="Q306" s="11" t="n"/>
      <c r="R306" s="12" t="n"/>
      <c r="S306" s="11" t="n"/>
      <c r="T306" s="12" t="n"/>
      <c r="U306" s="12" t="n"/>
      <c r="V306" s="12" t="n"/>
      <c r="W306" s="13" t="n"/>
      <c r="X306" s="14">
        <f>IF($AP306="",IF($B306="","",$H306),IF(INDEX(職員マスタ!$B$6:$B$405,$AP306)="",$H306,INDEX(職員マスタ!$B$6:$B$405,$AP306)))</f>
        <v/>
      </c>
      <c r="Y306" s="14">
        <f>IF($AP306="",IF($B306="","",$R306),IF(INDEX(職員マスタ!$C$6:$C$405,$AP306)="",$R306,INDEX(職員マスタ!$C$6:$C$405,$AP306)))</f>
        <v/>
      </c>
      <c r="Z306" s="14">
        <f>IF($AQ306="","","R"&amp;$C306&amp;"."&amp;$D306)</f>
        <v/>
      </c>
      <c r="AA306" s="15">
        <f>IF(IF($AP306="",FALSE,INDEX(職員マスタ!$K$6:$K$405,$AP306)&lt;&gt;""),INDEX(職員マスタ!$K$6:$K$405,$AP306),IF(N($W306)&gt;0,$W306,""))</f>
        <v/>
      </c>
      <c r="AB306" s="14">
        <f>IF(OR($E306="",$AA306=""),"",IF($E306&gt;=$AA306,"×",IF($E306&gt;=$AA306*設定!$C$5,"△","○")))</f>
        <v/>
      </c>
      <c r="AC306" s="15">
        <f>IF($AB306="","",IF($AB306="×",0,IF($AB306="○",ROUNDDOWN($E306*設定!$C$4,0),ROUNDDOWN($E306*ROUND((9*$AA306-9*$E306)/(10*$E306),4),0))))</f>
        <v/>
      </c>
      <c r="AD306" s="13" t="n"/>
      <c r="AE306" s="15">
        <f>IF($B306="","",IF($AD306&lt;&gt;"",$AD306,IF($AC306="","",IF($AC306&lt;=設定!$C$3,0,$AC306))))</f>
        <v/>
      </c>
      <c r="AF306" s="14">
        <f>IF($B306="","",IF(AND($AG306&lt;&gt;"",$AI306="",$AL306=""),"保留中",IF($AL306&lt;&gt;"",IF(N($AE306)&gt;0,"支給済","不支給"),IF($AE306="","要確認",IF($AE306=0,"不支給","未処理")))))</f>
        <v/>
      </c>
      <c r="AG306" s="12" t="n"/>
      <c r="AH306" s="11" t="n"/>
      <c r="AI306" s="11" t="n"/>
      <c r="AJ306" s="11" t="n"/>
      <c r="AK306" s="14">
        <f>IF(AND($AF306="保留中",$AH306&lt;&gt;""),TODAY()-$AH306,"")</f>
        <v/>
      </c>
      <c r="AL306" s="12" t="inlineStr">
        <is>
          <t>R8.10</t>
        </is>
      </c>
      <c r="AM306" s="14">
        <f>IF($B306="","",IF($AQ306="","対象年月が未入力／","")&amp;IF($B306="","",IF($AP306="","職員マスタに未登録の職員番号／",IF($AA306="","標準報酬月額が未登録／","")&amp;IF(AND($AQ306&lt;&gt;"",OR(AND(INDEX(職員マスタ!$G$6:$G$405,$AP306)&lt;&gt;"",INDEX(職員マスタ!$G$6:$G$405,$AP306)&gt;EOMONTH($AQ306,0)),AND(INDEX(職員マスタ!$H$6:$H$405,$AP306)&lt;&gt;"",INDEX(職員マスタ!$H$6:$H$405,$AP306)&lt;$AQ306))),"対象月が時短期間外／","")&amp;IF(AND(INDEX(職員マスタ!$K$6:$K$405,$AP306)&lt;&gt;"",N($W306)&gt;0,INDEX(職員マスタ!$K$6:$K$405,$AP306)&lt;&gt;$W306),"標準報酬月額が申請書と相違（台帳"&amp;TEXT(INDEX(職員マスタ!$K$6:$K$405,$AP306),"#,##0")&amp;"円／申請書"&amp;TEXT($W306,"#,##0")&amp;"円）／","")&amp;IF(AND(INDEX(職員マスタ!$F$6:$F$405,$AP306)&lt;&gt;"",$AQ306&lt;&gt;"",INDEX(職員マスタ!$F$6:$F$405,$AP306)&lt;$AQ306),"対象月に子が2歳到達済／","")&amp;IF(AND($H306&lt;&gt;"",INDEX(職員マスタ!$B$6:$B$405,$AP306)&lt;&gt;"",SUBSTITUTE(SUBSTITUTE($H306," ","")," ","")&lt;&gt;SUBSTITUTE(SUBSTITUTE(INDEX(職員マスタ!$B$6:$B$405,$AP306)," ","")," ","")),"氏名がマスタと相違／","")&amp;IF(AND($Q306&lt;&gt;"",INDEX(職員マスタ!$E$6:$E$405,$AP306)&lt;&gt;"",$Q306&lt;&gt;INDEX(職員マスタ!$E$6:$E$405,$AP306)),"子の生年月日がマスタと相違／","")&amp;IF(AND($L306&lt;&gt;"",INDEX(職員マスタ!$G$6:$G$405,$AP306)&lt;&gt;"",$L306&lt;&gt;INDEX(職員マスタ!$G$6:$G$405,$AP306)),"時短開始日がマスタと相違／","")&amp;IF(AND($M306&lt;&gt;"",INDEX(職員マスタ!$H$6:$H$405,$AP306)&lt;&gt;"",$M306&lt;&gt;INDEX(職員マスタ!$H$6:$H$405,$AP306)),"時短終了日がマスタと相違／","")))&amp;IF(AND($B306&lt;&gt;"",$E306=""),"報酬額が未入力／","")&amp;IF(N($U306)&gt;0,"申請書に入力エラーが残っています／","")&amp;IF(AND($B306&lt;&gt;"",$AQ306&lt;&gt;""),IF(COUNTIFS($B$6:$B$3005,$B306,$C$6:$C$3005,$C306,$D$6:$D$3005,$D306)&gt;1,"同じ月の請求が重複しています／",""),"")&amp;IF(AND(N($E306)&gt;0,$AB306&lt;&gt;"",$AB306&lt;&gt;"×",$AE306=0,$AD306=""),"計算額が下限以下のため不支給／",""))</f>
        <v/>
      </c>
      <c r="AN306" s="12" t="n"/>
      <c r="AO306" s="14">
        <f>IF($AF306="保留中",COUNTIF($AF$6:$AF306,"保留中"),"")</f>
        <v/>
      </c>
      <c r="AP306" s="14">
        <f>IF($AQ306="","",IF(SUMPRODUCT(MAX((職員マスタ!$A$6:$A$405=$B306)*(((職員マスタ!$G$6:$G$405="")+(職員マスタ!$G$6:$G$405&lt;=EOMONTH($AQ306,0)))&gt;0)*(((職員マスタ!$H$6:$H$405="")+(職員マスタ!$H$6:$H$405&gt;=$AQ306))&gt;0)*(ROW(職員マスタ!$A$6:$A$405)-5)))&gt;0,SUMPRODUCT(MAX((職員マスタ!$A$6:$A$405=$B306)*(((職員マスタ!$G$6:$G$405="")+(職員マスタ!$G$6:$G$405&lt;=EOMONTH($AQ306,0)))&gt;0)*(((職員マスタ!$H$6:$H$405="")+(職員マスタ!$H$6:$H$405&gt;=$AQ306))&gt;0)*(ROW(職員マスタ!$A$6:$A$405)-5))),IFERROR(MATCH($B306,職員マスタ!$A$6:$A$405,0),"")))</f>
        <v/>
      </c>
      <c r="AQ306" s="16">
        <f>IF(OR($B306="",$C306="",$D306=""),"",DATE($C306+2018,$D306,1))</f>
        <v/>
      </c>
    </row>
    <row r="307">
      <c r="A307" s="11" t="n"/>
      <c r="B307" s="12" t="n">
        <v>6702344</v>
      </c>
      <c r="C307" s="12" t="n">
        <v>8</v>
      </c>
      <c r="D307" s="12" t="n">
        <v>6</v>
      </c>
      <c r="E307" s="13" t="n">
        <v>200278</v>
      </c>
      <c r="F307" s="12" t="n"/>
      <c r="G307" s="13" t="n"/>
      <c r="H307" s="12" t="n"/>
      <c r="I307" s="12" t="n"/>
      <c r="J307" s="12" t="n"/>
      <c r="K307" s="12" t="n"/>
      <c r="L307" s="11" t="n"/>
      <c r="M307" s="11" t="n"/>
      <c r="N307" s="11" t="n"/>
      <c r="O307" s="11" t="n"/>
      <c r="P307" s="12" t="n"/>
      <c r="Q307" s="11" t="n"/>
      <c r="R307" s="12" t="n"/>
      <c r="S307" s="11" t="n"/>
      <c r="T307" s="12" t="n"/>
      <c r="U307" s="12" t="n"/>
      <c r="V307" s="12" t="n"/>
      <c r="W307" s="13" t="n"/>
      <c r="X307" s="14">
        <f>IF($AP307="",IF($B307="","",$H307),IF(INDEX(職員マスタ!$B$6:$B$405,$AP307)="",$H307,INDEX(職員マスタ!$B$6:$B$405,$AP307)))</f>
        <v/>
      </c>
      <c r="Y307" s="14">
        <f>IF($AP307="",IF($B307="","",$R307),IF(INDEX(職員マスタ!$C$6:$C$405,$AP307)="",$R307,INDEX(職員マスタ!$C$6:$C$405,$AP307)))</f>
        <v/>
      </c>
      <c r="Z307" s="14">
        <f>IF($AQ307="","","R"&amp;$C307&amp;"."&amp;$D307)</f>
        <v/>
      </c>
      <c r="AA307" s="15">
        <f>IF(IF($AP307="",FALSE,INDEX(職員マスタ!$K$6:$K$405,$AP307)&lt;&gt;""),INDEX(職員マスタ!$K$6:$K$405,$AP307),IF(N($W307)&gt;0,$W307,""))</f>
        <v/>
      </c>
      <c r="AB307" s="14">
        <f>IF(OR($E307="",$AA307=""),"",IF($E307&gt;=$AA307,"×",IF($E307&gt;=$AA307*設定!$C$5,"△","○")))</f>
        <v/>
      </c>
      <c r="AC307" s="15">
        <f>IF($AB307="","",IF($AB307="×",0,IF($AB307="○",ROUNDDOWN($E307*設定!$C$4,0),ROUNDDOWN($E307*ROUND((9*$AA307-9*$E307)/(10*$E307),4),0))))</f>
        <v/>
      </c>
      <c r="AD307" s="13" t="n"/>
      <c r="AE307" s="15">
        <f>IF($B307="","",IF($AD307&lt;&gt;"",$AD307,IF($AC307="","",IF($AC307&lt;=設定!$C$3,0,$AC307))))</f>
        <v/>
      </c>
      <c r="AF307" s="14">
        <f>IF($B307="","",IF(AND($AG307&lt;&gt;"",$AI307="",$AL307=""),"保留中",IF($AL307&lt;&gt;"",IF(N($AE307)&gt;0,"支給済","不支給"),IF($AE307="","要確認",IF($AE307=0,"不支給","未処理")))))</f>
        <v/>
      </c>
      <c r="AG307" s="12" t="n"/>
      <c r="AH307" s="11" t="n"/>
      <c r="AI307" s="11" t="n"/>
      <c r="AJ307" s="11" t="n"/>
      <c r="AK307" s="14">
        <f>IF(AND($AF307="保留中",$AH307&lt;&gt;""),TODAY()-$AH307,"")</f>
        <v/>
      </c>
      <c r="AL307" s="12" t="inlineStr">
        <is>
          <t>R8.10</t>
        </is>
      </c>
      <c r="AM307" s="14">
        <f>IF($B307="","",IF($AQ307="","対象年月が未入力／","")&amp;IF($B307="","",IF($AP307="","職員マスタに未登録の職員番号／",IF($AA307="","標準報酬月額が未登録／","")&amp;IF(AND($AQ307&lt;&gt;"",OR(AND(INDEX(職員マスタ!$G$6:$G$405,$AP307)&lt;&gt;"",INDEX(職員マスタ!$G$6:$G$405,$AP307)&gt;EOMONTH($AQ307,0)),AND(INDEX(職員マスタ!$H$6:$H$405,$AP307)&lt;&gt;"",INDEX(職員マスタ!$H$6:$H$405,$AP307)&lt;$AQ307))),"対象月が時短期間外／","")&amp;IF(AND(INDEX(職員マスタ!$K$6:$K$405,$AP307)&lt;&gt;"",N($W307)&gt;0,INDEX(職員マスタ!$K$6:$K$405,$AP307)&lt;&gt;$W307),"標準報酬月額が申請書と相違（台帳"&amp;TEXT(INDEX(職員マスタ!$K$6:$K$405,$AP307),"#,##0")&amp;"円／申請書"&amp;TEXT($W307,"#,##0")&amp;"円）／","")&amp;IF(AND(INDEX(職員マスタ!$F$6:$F$405,$AP307)&lt;&gt;"",$AQ307&lt;&gt;"",INDEX(職員マスタ!$F$6:$F$405,$AP307)&lt;$AQ307),"対象月に子が2歳到達済／","")&amp;IF(AND($H307&lt;&gt;"",INDEX(職員マスタ!$B$6:$B$405,$AP307)&lt;&gt;"",SUBSTITUTE(SUBSTITUTE($H307," ","")," ","")&lt;&gt;SUBSTITUTE(SUBSTITUTE(INDEX(職員マスタ!$B$6:$B$405,$AP307)," ","")," ","")),"氏名がマスタと相違／","")&amp;IF(AND($Q307&lt;&gt;"",INDEX(職員マスタ!$E$6:$E$405,$AP307)&lt;&gt;"",$Q307&lt;&gt;INDEX(職員マスタ!$E$6:$E$405,$AP307)),"子の生年月日がマスタと相違／","")&amp;IF(AND($L307&lt;&gt;"",INDEX(職員マスタ!$G$6:$G$405,$AP307)&lt;&gt;"",$L307&lt;&gt;INDEX(職員マスタ!$G$6:$G$405,$AP307)),"時短開始日がマスタと相違／","")&amp;IF(AND($M307&lt;&gt;"",INDEX(職員マスタ!$H$6:$H$405,$AP307)&lt;&gt;"",$M307&lt;&gt;INDEX(職員マスタ!$H$6:$H$405,$AP307)),"時短終了日がマスタと相違／","")))&amp;IF(AND($B307&lt;&gt;"",$E307=""),"報酬額が未入力／","")&amp;IF(N($U307)&gt;0,"申請書に入力エラーが残っています／","")&amp;IF(AND($B307&lt;&gt;"",$AQ307&lt;&gt;""),IF(COUNTIFS($B$6:$B$3005,$B307,$C$6:$C$3005,$C307,$D$6:$D$3005,$D307)&gt;1,"同じ月の請求が重複しています／",""),"")&amp;IF(AND(N($E307)&gt;0,$AB307&lt;&gt;"",$AB307&lt;&gt;"×",$AE307=0,$AD307=""),"計算額が下限以下のため不支給／",""))</f>
        <v/>
      </c>
      <c r="AN307" s="12" t="n"/>
      <c r="AO307" s="14">
        <f>IF($AF307="保留中",COUNTIF($AF$6:$AF307,"保留中"),"")</f>
        <v/>
      </c>
      <c r="AP307" s="14">
        <f>IF($AQ307="","",IF(SUMPRODUCT(MAX((職員マスタ!$A$6:$A$405=$B307)*(((職員マスタ!$G$6:$G$405="")+(職員マスタ!$G$6:$G$405&lt;=EOMONTH($AQ307,0)))&gt;0)*(((職員マスタ!$H$6:$H$405="")+(職員マスタ!$H$6:$H$405&gt;=$AQ307))&gt;0)*(ROW(職員マスタ!$A$6:$A$405)-5)))&gt;0,SUMPRODUCT(MAX((職員マスタ!$A$6:$A$405=$B307)*(((職員マスタ!$G$6:$G$405="")+(職員マスタ!$G$6:$G$405&lt;=EOMONTH($AQ307,0)))&gt;0)*(((職員マスタ!$H$6:$H$405="")+(職員マスタ!$H$6:$H$405&gt;=$AQ307))&gt;0)*(ROW(職員マスタ!$A$6:$A$405)-5))),IFERROR(MATCH($B307,職員マスタ!$A$6:$A$405,0),"")))</f>
        <v/>
      </c>
      <c r="AQ307" s="16">
        <f>IF(OR($B307="",$C307="",$D307=""),"",DATE($C307+2018,$D307,1))</f>
        <v/>
      </c>
    </row>
    <row r="308">
      <c r="A308" s="11" t="n"/>
      <c r="B308" s="12" t="n">
        <v>6702344</v>
      </c>
      <c r="C308" s="12" t="n">
        <v>8</v>
      </c>
      <c r="D308" s="12" t="n">
        <v>7</v>
      </c>
      <c r="E308" s="13" t="n">
        <v>197830</v>
      </c>
      <c r="F308" s="12" t="n"/>
      <c r="G308" s="13" t="n"/>
      <c r="H308" s="12" t="n"/>
      <c r="I308" s="12" t="n"/>
      <c r="J308" s="12" t="n"/>
      <c r="K308" s="12" t="n"/>
      <c r="L308" s="11" t="n"/>
      <c r="M308" s="11" t="n"/>
      <c r="N308" s="11" t="n"/>
      <c r="O308" s="11" t="n"/>
      <c r="P308" s="12" t="n"/>
      <c r="Q308" s="11" t="n"/>
      <c r="R308" s="12" t="n"/>
      <c r="S308" s="11" t="n"/>
      <c r="T308" s="12" t="n"/>
      <c r="U308" s="12" t="n"/>
      <c r="V308" s="12" t="n"/>
      <c r="W308" s="13" t="n"/>
      <c r="X308" s="14">
        <f>IF($AP308="",IF($B308="","",$H308),IF(INDEX(職員マスタ!$B$6:$B$405,$AP308)="",$H308,INDEX(職員マスタ!$B$6:$B$405,$AP308)))</f>
        <v/>
      </c>
      <c r="Y308" s="14">
        <f>IF($AP308="",IF($B308="","",$R308),IF(INDEX(職員マスタ!$C$6:$C$405,$AP308)="",$R308,INDEX(職員マスタ!$C$6:$C$405,$AP308)))</f>
        <v/>
      </c>
      <c r="Z308" s="14">
        <f>IF($AQ308="","","R"&amp;$C308&amp;"."&amp;$D308)</f>
        <v/>
      </c>
      <c r="AA308" s="15">
        <f>IF(IF($AP308="",FALSE,INDEX(職員マスタ!$K$6:$K$405,$AP308)&lt;&gt;""),INDEX(職員マスタ!$K$6:$K$405,$AP308),IF(N($W308)&gt;0,$W308,""))</f>
        <v/>
      </c>
      <c r="AB308" s="14">
        <f>IF(OR($E308="",$AA308=""),"",IF($E308&gt;=$AA308,"×",IF($E308&gt;=$AA308*設定!$C$5,"△","○")))</f>
        <v/>
      </c>
      <c r="AC308" s="15">
        <f>IF($AB308="","",IF($AB308="×",0,IF($AB308="○",ROUNDDOWN($E308*設定!$C$4,0),ROUNDDOWN($E308*ROUND((9*$AA308-9*$E308)/(10*$E308),4),0))))</f>
        <v/>
      </c>
      <c r="AD308" s="13" t="n"/>
      <c r="AE308" s="15">
        <f>IF($B308="","",IF($AD308&lt;&gt;"",$AD308,IF($AC308="","",IF($AC308&lt;=設定!$C$3,0,$AC308))))</f>
        <v/>
      </c>
      <c r="AF308" s="14">
        <f>IF($B308="","",IF(AND($AG308&lt;&gt;"",$AI308="",$AL308=""),"保留中",IF($AL308&lt;&gt;"",IF(N($AE308)&gt;0,"支給済","不支給"),IF($AE308="","要確認",IF($AE308=0,"不支給","未処理")))))</f>
        <v/>
      </c>
      <c r="AG308" s="12" t="n"/>
      <c r="AH308" s="11" t="n"/>
      <c r="AI308" s="11" t="n"/>
      <c r="AJ308" s="11" t="n"/>
      <c r="AK308" s="14">
        <f>IF(AND($AF308="保留中",$AH308&lt;&gt;""),TODAY()-$AH308,"")</f>
        <v/>
      </c>
      <c r="AL308" s="12" t="inlineStr">
        <is>
          <t>R8.10</t>
        </is>
      </c>
      <c r="AM308" s="14">
        <f>IF($B308="","",IF($AQ308="","対象年月が未入力／","")&amp;IF($B308="","",IF($AP308="","職員マスタに未登録の職員番号／",IF($AA308="","標準報酬月額が未登録／","")&amp;IF(AND($AQ308&lt;&gt;"",OR(AND(INDEX(職員マスタ!$G$6:$G$405,$AP308)&lt;&gt;"",INDEX(職員マスタ!$G$6:$G$405,$AP308)&gt;EOMONTH($AQ308,0)),AND(INDEX(職員マスタ!$H$6:$H$405,$AP308)&lt;&gt;"",INDEX(職員マスタ!$H$6:$H$405,$AP308)&lt;$AQ308))),"対象月が時短期間外／","")&amp;IF(AND(INDEX(職員マスタ!$K$6:$K$405,$AP308)&lt;&gt;"",N($W308)&gt;0,INDEX(職員マスタ!$K$6:$K$405,$AP308)&lt;&gt;$W308),"標準報酬月額が申請書と相違（台帳"&amp;TEXT(INDEX(職員マスタ!$K$6:$K$405,$AP308),"#,##0")&amp;"円／申請書"&amp;TEXT($W308,"#,##0")&amp;"円）／","")&amp;IF(AND(INDEX(職員マスタ!$F$6:$F$405,$AP308)&lt;&gt;"",$AQ308&lt;&gt;"",INDEX(職員マスタ!$F$6:$F$405,$AP308)&lt;$AQ308),"対象月に子が2歳到達済／","")&amp;IF(AND($H308&lt;&gt;"",INDEX(職員マスタ!$B$6:$B$405,$AP308)&lt;&gt;"",SUBSTITUTE(SUBSTITUTE($H308," ","")," ","")&lt;&gt;SUBSTITUTE(SUBSTITUTE(INDEX(職員マスタ!$B$6:$B$405,$AP308)," ","")," ","")),"氏名がマスタと相違／","")&amp;IF(AND($Q308&lt;&gt;"",INDEX(職員マスタ!$E$6:$E$405,$AP308)&lt;&gt;"",$Q308&lt;&gt;INDEX(職員マスタ!$E$6:$E$405,$AP308)),"子の生年月日がマスタと相違／","")&amp;IF(AND($L308&lt;&gt;"",INDEX(職員マスタ!$G$6:$G$405,$AP308)&lt;&gt;"",$L308&lt;&gt;INDEX(職員マスタ!$G$6:$G$405,$AP308)),"時短開始日がマスタと相違／","")&amp;IF(AND($M308&lt;&gt;"",INDEX(職員マスタ!$H$6:$H$405,$AP308)&lt;&gt;"",$M308&lt;&gt;INDEX(職員マスタ!$H$6:$H$405,$AP308)),"時短終了日がマスタと相違／","")))&amp;IF(AND($B308&lt;&gt;"",$E308=""),"報酬額が未入力／","")&amp;IF(N($U308)&gt;0,"申請書に入力エラーが残っています／","")&amp;IF(AND($B308&lt;&gt;"",$AQ308&lt;&gt;""),IF(COUNTIFS($B$6:$B$3005,$B308,$C$6:$C$3005,$C308,$D$6:$D$3005,$D308)&gt;1,"同じ月の請求が重複しています／",""),"")&amp;IF(AND(N($E308)&gt;0,$AB308&lt;&gt;"",$AB308&lt;&gt;"×",$AE308=0,$AD308=""),"計算額が下限以下のため不支給／",""))</f>
        <v/>
      </c>
      <c r="AN308" s="12" t="n"/>
      <c r="AO308" s="14">
        <f>IF($AF308="保留中",COUNTIF($AF$6:$AF308,"保留中"),"")</f>
        <v/>
      </c>
      <c r="AP308" s="14">
        <f>IF($AQ308="","",IF(SUMPRODUCT(MAX((職員マスタ!$A$6:$A$405=$B308)*(((職員マスタ!$G$6:$G$405="")+(職員マスタ!$G$6:$G$405&lt;=EOMONTH($AQ308,0)))&gt;0)*(((職員マスタ!$H$6:$H$405="")+(職員マスタ!$H$6:$H$405&gt;=$AQ308))&gt;0)*(ROW(職員マスタ!$A$6:$A$405)-5)))&gt;0,SUMPRODUCT(MAX((職員マスタ!$A$6:$A$405=$B308)*(((職員マスタ!$G$6:$G$405="")+(職員マスタ!$G$6:$G$405&lt;=EOMONTH($AQ308,0)))&gt;0)*(((職員マスタ!$H$6:$H$405="")+(職員マスタ!$H$6:$H$405&gt;=$AQ308))&gt;0)*(ROW(職員マスタ!$A$6:$A$405)-5))),IFERROR(MATCH($B308,職員マスタ!$A$6:$A$405,0),"")))</f>
        <v/>
      </c>
      <c r="AQ308" s="16">
        <f>IF(OR($B308="",$C308="",$D308=""),"",DATE($C308+2018,$D308,1))</f>
        <v/>
      </c>
    </row>
    <row r="309">
      <c r="A309" s="11" t="n"/>
      <c r="B309" s="12" t="n">
        <v>6702344</v>
      </c>
      <c r="C309" s="12" t="n">
        <v>8</v>
      </c>
      <c r="D309" s="12" t="n">
        <v>8</v>
      </c>
      <c r="E309" s="13" t="n">
        <v>190492</v>
      </c>
      <c r="F309" s="12" t="n"/>
      <c r="G309" s="13" t="n"/>
      <c r="H309" s="12" t="n"/>
      <c r="I309" s="12" t="n"/>
      <c r="J309" s="12" t="n"/>
      <c r="K309" s="12" t="n"/>
      <c r="L309" s="11" t="n"/>
      <c r="M309" s="11" t="n"/>
      <c r="N309" s="11" t="n"/>
      <c r="O309" s="11" t="n"/>
      <c r="P309" s="12" t="n"/>
      <c r="Q309" s="11" t="n"/>
      <c r="R309" s="12" t="n"/>
      <c r="S309" s="11" t="n"/>
      <c r="T309" s="12" t="n"/>
      <c r="U309" s="12" t="n"/>
      <c r="V309" s="12" t="n"/>
      <c r="W309" s="13" t="n"/>
      <c r="X309" s="14">
        <f>IF($AP309="",IF($B309="","",$H309),IF(INDEX(職員マスタ!$B$6:$B$405,$AP309)="",$H309,INDEX(職員マスタ!$B$6:$B$405,$AP309)))</f>
        <v/>
      </c>
      <c r="Y309" s="14">
        <f>IF($AP309="",IF($B309="","",$R309),IF(INDEX(職員マスタ!$C$6:$C$405,$AP309)="",$R309,INDEX(職員マスタ!$C$6:$C$405,$AP309)))</f>
        <v/>
      </c>
      <c r="Z309" s="14">
        <f>IF($AQ309="","","R"&amp;$C309&amp;"."&amp;$D309)</f>
        <v/>
      </c>
      <c r="AA309" s="15">
        <f>IF(IF($AP309="",FALSE,INDEX(職員マスタ!$K$6:$K$405,$AP309)&lt;&gt;""),INDEX(職員マスタ!$K$6:$K$405,$AP309),IF(N($W309)&gt;0,$W309,""))</f>
        <v/>
      </c>
      <c r="AB309" s="14">
        <f>IF(OR($E309="",$AA309=""),"",IF($E309&gt;=$AA309,"×",IF($E309&gt;=$AA309*設定!$C$5,"△","○")))</f>
        <v/>
      </c>
      <c r="AC309" s="15">
        <f>IF($AB309="","",IF($AB309="×",0,IF($AB309="○",ROUNDDOWN($E309*設定!$C$4,0),ROUNDDOWN($E309*ROUND((9*$AA309-9*$E309)/(10*$E309),4),0))))</f>
        <v/>
      </c>
      <c r="AD309" s="13" t="n"/>
      <c r="AE309" s="15">
        <f>IF($B309="","",IF($AD309&lt;&gt;"",$AD309,IF($AC309="","",IF($AC309&lt;=設定!$C$3,0,$AC309))))</f>
        <v/>
      </c>
      <c r="AF309" s="14">
        <f>IF($B309="","",IF(AND($AG309&lt;&gt;"",$AI309="",$AL309=""),"保留中",IF($AL309&lt;&gt;"",IF(N($AE309)&gt;0,"支給済","不支給"),IF($AE309="","要確認",IF($AE309=0,"不支給","未処理")))))</f>
        <v/>
      </c>
      <c r="AG309" s="12" t="n"/>
      <c r="AH309" s="11" t="n"/>
      <c r="AI309" s="11" t="n"/>
      <c r="AJ309" s="11" t="n"/>
      <c r="AK309" s="14">
        <f>IF(AND($AF309="保留中",$AH309&lt;&gt;""),TODAY()-$AH309,"")</f>
        <v/>
      </c>
      <c r="AL309" s="12" t="inlineStr">
        <is>
          <t>R8.10</t>
        </is>
      </c>
      <c r="AM309" s="14">
        <f>IF($B309="","",IF($AQ309="","対象年月が未入力／","")&amp;IF($B309="","",IF($AP309="","職員マスタに未登録の職員番号／",IF($AA309="","標準報酬月額が未登録／","")&amp;IF(AND($AQ309&lt;&gt;"",OR(AND(INDEX(職員マスタ!$G$6:$G$405,$AP309)&lt;&gt;"",INDEX(職員マスタ!$G$6:$G$405,$AP309)&gt;EOMONTH($AQ309,0)),AND(INDEX(職員マスタ!$H$6:$H$405,$AP309)&lt;&gt;"",INDEX(職員マスタ!$H$6:$H$405,$AP309)&lt;$AQ309))),"対象月が時短期間外／","")&amp;IF(AND(INDEX(職員マスタ!$K$6:$K$405,$AP309)&lt;&gt;"",N($W309)&gt;0,INDEX(職員マスタ!$K$6:$K$405,$AP309)&lt;&gt;$W309),"標準報酬月額が申請書と相違（台帳"&amp;TEXT(INDEX(職員マスタ!$K$6:$K$405,$AP309),"#,##0")&amp;"円／申請書"&amp;TEXT($W309,"#,##0")&amp;"円）／","")&amp;IF(AND(INDEX(職員マスタ!$F$6:$F$405,$AP309)&lt;&gt;"",$AQ309&lt;&gt;"",INDEX(職員マスタ!$F$6:$F$405,$AP309)&lt;$AQ309),"対象月に子が2歳到達済／","")&amp;IF(AND($H309&lt;&gt;"",INDEX(職員マスタ!$B$6:$B$405,$AP309)&lt;&gt;"",SUBSTITUTE(SUBSTITUTE($H309," ","")," ","")&lt;&gt;SUBSTITUTE(SUBSTITUTE(INDEX(職員マスタ!$B$6:$B$405,$AP309)," ","")," ","")),"氏名がマスタと相違／","")&amp;IF(AND($Q309&lt;&gt;"",INDEX(職員マスタ!$E$6:$E$405,$AP309)&lt;&gt;"",$Q309&lt;&gt;INDEX(職員マスタ!$E$6:$E$405,$AP309)),"子の生年月日がマスタと相違／","")&amp;IF(AND($L309&lt;&gt;"",INDEX(職員マスタ!$G$6:$G$405,$AP309)&lt;&gt;"",$L309&lt;&gt;INDEX(職員マスタ!$G$6:$G$405,$AP309)),"時短開始日がマスタと相違／","")&amp;IF(AND($M309&lt;&gt;"",INDEX(職員マスタ!$H$6:$H$405,$AP309)&lt;&gt;"",$M309&lt;&gt;INDEX(職員マスタ!$H$6:$H$405,$AP309)),"時短終了日がマスタと相違／","")))&amp;IF(AND($B309&lt;&gt;"",$E309=""),"報酬額が未入力／","")&amp;IF(N($U309)&gt;0,"申請書に入力エラーが残っています／","")&amp;IF(AND($B309&lt;&gt;"",$AQ309&lt;&gt;""),IF(COUNTIFS($B$6:$B$3005,$B309,$C$6:$C$3005,$C309,$D$6:$D$3005,$D309)&gt;1,"同じ月の請求が重複しています／",""),"")&amp;IF(AND(N($E309)&gt;0,$AB309&lt;&gt;"",$AB309&lt;&gt;"×",$AE309=0,$AD309=""),"計算額が下限以下のため不支給／",""))</f>
        <v/>
      </c>
      <c r="AN309" s="12" t="n"/>
      <c r="AO309" s="14">
        <f>IF($AF309="保留中",COUNTIF($AF$6:$AF309,"保留中"),"")</f>
        <v/>
      </c>
      <c r="AP309" s="14">
        <f>IF($AQ309="","",IF(SUMPRODUCT(MAX((職員マスタ!$A$6:$A$405=$B309)*(((職員マスタ!$G$6:$G$405="")+(職員マスタ!$G$6:$G$405&lt;=EOMONTH($AQ309,0)))&gt;0)*(((職員マスタ!$H$6:$H$405="")+(職員マスタ!$H$6:$H$405&gt;=$AQ309))&gt;0)*(ROW(職員マスタ!$A$6:$A$405)-5)))&gt;0,SUMPRODUCT(MAX((職員マスタ!$A$6:$A$405=$B309)*(((職員マスタ!$G$6:$G$405="")+(職員マスタ!$G$6:$G$405&lt;=EOMONTH($AQ309,0)))&gt;0)*(((職員マスタ!$H$6:$H$405="")+(職員マスタ!$H$6:$H$405&gt;=$AQ309))&gt;0)*(ROW(職員マスタ!$A$6:$A$405)-5))),IFERROR(MATCH($B309,職員マスタ!$A$6:$A$405,0),"")))</f>
        <v/>
      </c>
      <c r="AQ309" s="16">
        <f>IF(OR($B309="",$C309="",$D309=""),"",DATE($C309+2018,$D309,1))</f>
        <v/>
      </c>
    </row>
    <row r="310">
      <c r="A310" s="11" t="n"/>
      <c r="B310" s="12" t="n">
        <v>6702427</v>
      </c>
      <c r="C310" s="12" t="n">
        <v>7</v>
      </c>
      <c r="D310" s="12" t="n">
        <v>5</v>
      </c>
      <c r="E310" s="13" t="n">
        <v>176522</v>
      </c>
      <c r="F310" s="12" t="n"/>
      <c r="G310" s="13" t="n"/>
      <c r="H310" s="12" t="n"/>
      <c r="I310" s="12" t="n"/>
      <c r="J310" s="12" t="n"/>
      <c r="K310" s="12" t="n"/>
      <c r="L310" s="11" t="n"/>
      <c r="M310" s="11" t="n"/>
      <c r="N310" s="11" t="n"/>
      <c r="O310" s="11" t="n"/>
      <c r="P310" s="12" t="n"/>
      <c r="Q310" s="11" t="n"/>
      <c r="R310" s="12" t="n"/>
      <c r="S310" s="11" t="n"/>
      <c r="T310" s="12" t="n"/>
      <c r="U310" s="12" t="n"/>
      <c r="V310" s="12" t="n"/>
      <c r="W310" s="13" t="n"/>
      <c r="X310" s="14">
        <f>IF($AP310="",IF($B310="","",$H310),IF(INDEX(職員マスタ!$B$6:$B$405,$AP310)="",$H310,INDEX(職員マスタ!$B$6:$B$405,$AP310)))</f>
        <v/>
      </c>
      <c r="Y310" s="14">
        <f>IF($AP310="",IF($B310="","",$R310),IF(INDEX(職員マスタ!$C$6:$C$405,$AP310)="",$R310,INDEX(職員マスタ!$C$6:$C$405,$AP310)))</f>
        <v/>
      </c>
      <c r="Z310" s="14">
        <f>IF($AQ310="","","R"&amp;$C310&amp;"."&amp;$D310)</f>
        <v/>
      </c>
      <c r="AA310" s="15">
        <f>IF(IF($AP310="",FALSE,INDEX(職員マスタ!$K$6:$K$405,$AP310)&lt;&gt;""),INDEX(職員マスタ!$K$6:$K$405,$AP310),IF(N($W310)&gt;0,$W310,""))</f>
        <v/>
      </c>
      <c r="AB310" s="14">
        <f>IF(OR($E310="",$AA310=""),"",IF($E310&gt;=$AA310,"×",IF($E310&gt;=$AA310*設定!$C$5,"△","○")))</f>
        <v/>
      </c>
      <c r="AC310" s="15">
        <f>IF($AB310="","",IF($AB310="×",0,IF($AB310="○",ROUNDDOWN($E310*設定!$C$4,0),ROUNDDOWN($E310*ROUND((9*$AA310-9*$E310)/(10*$E310),4),0))))</f>
        <v/>
      </c>
      <c r="AD310" s="13" t="n"/>
      <c r="AE310" s="15">
        <f>IF($B310="","",IF($AD310&lt;&gt;"",$AD310,IF($AC310="","",IF($AC310&lt;=設定!$C$3,0,$AC310))))</f>
        <v/>
      </c>
      <c r="AF310" s="14">
        <f>IF($B310="","",IF(AND($AG310&lt;&gt;"",$AI310="",$AL310=""),"保留中",IF($AL310&lt;&gt;"",IF(N($AE310)&gt;0,"支給済","不支給"),IF($AE310="","要確認",IF($AE310=0,"不支給","未処理")))))</f>
        <v/>
      </c>
      <c r="AG310" s="12" t="n"/>
      <c r="AH310" s="11" t="n"/>
      <c r="AI310" s="11" t="n"/>
      <c r="AJ310" s="11" t="n"/>
      <c r="AK310" s="14">
        <f>IF(AND($AF310="保留中",$AH310&lt;&gt;""),TODAY()-$AH310,"")</f>
        <v/>
      </c>
      <c r="AL310" s="12" t="inlineStr">
        <is>
          <t>R7.8</t>
        </is>
      </c>
      <c r="AM310" s="14">
        <f>IF($B310="","",IF($AQ310="","対象年月が未入力／","")&amp;IF($B310="","",IF($AP310="","職員マスタに未登録の職員番号／",IF($AA310="","標準報酬月額が未登録／","")&amp;IF(AND($AQ310&lt;&gt;"",OR(AND(INDEX(職員マスタ!$G$6:$G$405,$AP310)&lt;&gt;"",INDEX(職員マスタ!$G$6:$G$405,$AP310)&gt;EOMONTH($AQ310,0)),AND(INDEX(職員マスタ!$H$6:$H$405,$AP310)&lt;&gt;"",INDEX(職員マスタ!$H$6:$H$405,$AP310)&lt;$AQ310))),"対象月が時短期間外／","")&amp;IF(AND(INDEX(職員マスタ!$K$6:$K$405,$AP310)&lt;&gt;"",N($W310)&gt;0,INDEX(職員マスタ!$K$6:$K$405,$AP310)&lt;&gt;$W310),"標準報酬月額が申請書と相違（台帳"&amp;TEXT(INDEX(職員マスタ!$K$6:$K$405,$AP310),"#,##0")&amp;"円／申請書"&amp;TEXT($W310,"#,##0")&amp;"円）／","")&amp;IF(AND(INDEX(職員マスタ!$F$6:$F$405,$AP310)&lt;&gt;"",$AQ310&lt;&gt;"",INDEX(職員マスタ!$F$6:$F$405,$AP310)&lt;$AQ310),"対象月に子が2歳到達済／","")&amp;IF(AND($H310&lt;&gt;"",INDEX(職員マスタ!$B$6:$B$405,$AP310)&lt;&gt;"",SUBSTITUTE(SUBSTITUTE($H310," ","")," ","")&lt;&gt;SUBSTITUTE(SUBSTITUTE(INDEX(職員マスタ!$B$6:$B$405,$AP310)," ","")," ","")),"氏名がマスタと相違／","")&amp;IF(AND($Q310&lt;&gt;"",INDEX(職員マスタ!$E$6:$E$405,$AP310)&lt;&gt;"",$Q310&lt;&gt;INDEX(職員マスタ!$E$6:$E$405,$AP310)),"子の生年月日がマスタと相違／","")&amp;IF(AND($L310&lt;&gt;"",INDEX(職員マスタ!$G$6:$G$405,$AP310)&lt;&gt;"",$L310&lt;&gt;INDEX(職員マスタ!$G$6:$G$405,$AP310)),"時短開始日がマスタと相違／","")&amp;IF(AND($M310&lt;&gt;"",INDEX(職員マスタ!$H$6:$H$405,$AP310)&lt;&gt;"",$M310&lt;&gt;INDEX(職員マスタ!$H$6:$H$405,$AP310)),"時短終了日がマスタと相違／","")))&amp;IF(AND($B310&lt;&gt;"",$E310=""),"報酬額が未入力／","")&amp;IF(N($U310)&gt;0,"申請書に入力エラーが残っています／","")&amp;IF(AND($B310&lt;&gt;"",$AQ310&lt;&gt;""),IF(COUNTIFS($B$6:$B$3005,$B310,$C$6:$C$3005,$C310,$D$6:$D$3005,$D310)&gt;1,"同じ月の請求が重複しています／",""),"")&amp;IF(AND(N($E310)&gt;0,$AB310&lt;&gt;"",$AB310&lt;&gt;"×",$AE310=0,$AD310=""),"計算額が下限以下のため不支給／",""))</f>
        <v/>
      </c>
      <c r="AN310" s="12" t="n"/>
      <c r="AO310" s="14">
        <f>IF($AF310="保留中",COUNTIF($AF$6:$AF310,"保留中"),"")</f>
        <v/>
      </c>
      <c r="AP310" s="14">
        <f>IF($AQ310="","",IF(SUMPRODUCT(MAX((職員マスタ!$A$6:$A$405=$B310)*(((職員マスタ!$G$6:$G$405="")+(職員マスタ!$G$6:$G$405&lt;=EOMONTH($AQ310,0)))&gt;0)*(((職員マスタ!$H$6:$H$405="")+(職員マスタ!$H$6:$H$405&gt;=$AQ310))&gt;0)*(ROW(職員マスタ!$A$6:$A$405)-5)))&gt;0,SUMPRODUCT(MAX((職員マスタ!$A$6:$A$405=$B310)*(((職員マスタ!$G$6:$G$405="")+(職員マスタ!$G$6:$G$405&lt;=EOMONTH($AQ310,0)))&gt;0)*(((職員マスタ!$H$6:$H$405="")+(職員マスタ!$H$6:$H$405&gt;=$AQ310))&gt;0)*(ROW(職員マスタ!$A$6:$A$405)-5))),IFERROR(MATCH($B310,職員マスタ!$A$6:$A$405,0),"")))</f>
        <v/>
      </c>
      <c r="AQ310" s="16">
        <f>IF(OR($B310="",$C310="",$D310=""),"",DATE($C310+2018,$D310,1))</f>
        <v/>
      </c>
    </row>
    <row r="311">
      <c r="A311" s="11" t="n"/>
      <c r="B311" s="12" t="n">
        <v>6702427</v>
      </c>
      <c r="C311" s="12" t="n">
        <v>7</v>
      </c>
      <c r="D311" s="12" t="n">
        <v>6</v>
      </c>
      <c r="E311" s="13" t="n">
        <v>180066</v>
      </c>
      <c r="F311" s="12" t="n"/>
      <c r="G311" s="13" t="n"/>
      <c r="H311" s="12" t="n"/>
      <c r="I311" s="12" t="n"/>
      <c r="J311" s="12" t="n"/>
      <c r="K311" s="12" t="n"/>
      <c r="L311" s="11" t="n"/>
      <c r="M311" s="11" t="n"/>
      <c r="N311" s="11" t="n"/>
      <c r="O311" s="11" t="n"/>
      <c r="P311" s="12" t="n"/>
      <c r="Q311" s="11" t="n"/>
      <c r="R311" s="12" t="n"/>
      <c r="S311" s="11" t="n"/>
      <c r="T311" s="12" t="n"/>
      <c r="U311" s="12" t="n"/>
      <c r="V311" s="12" t="n"/>
      <c r="W311" s="13" t="n"/>
      <c r="X311" s="14">
        <f>IF($AP311="",IF($B311="","",$H311),IF(INDEX(職員マスタ!$B$6:$B$405,$AP311)="",$H311,INDEX(職員マスタ!$B$6:$B$405,$AP311)))</f>
        <v/>
      </c>
      <c r="Y311" s="14">
        <f>IF($AP311="",IF($B311="","",$R311),IF(INDEX(職員マスタ!$C$6:$C$405,$AP311)="",$R311,INDEX(職員マスタ!$C$6:$C$405,$AP311)))</f>
        <v/>
      </c>
      <c r="Z311" s="14">
        <f>IF($AQ311="","","R"&amp;$C311&amp;"."&amp;$D311)</f>
        <v/>
      </c>
      <c r="AA311" s="15">
        <f>IF(IF($AP311="",FALSE,INDEX(職員マスタ!$K$6:$K$405,$AP311)&lt;&gt;""),INDEX(職員マスタ!$K$6:$K$405,$AP311),IF(N($W311)&gt;0,$W311,""))</f>
        <v/>
      </c>
      <c r="AB311" s="14">
        <f>IF(OR($E311="",$AA311=""),"",IF($E311&gt;=$AA311,"×",IF($E311&gt;=$AA311*設定!$C$5,"△","○")))</f>
        <v/>
      </c>
      <c r="AC311" s="15">
        <f>IF($AB311="","",IF($AB311="×",0,IF($AB311="○",ROUNDDOWN($E311*設定!$C$4,0),ROUNDDOWN($E311*ROUND((9*$AA311-9*$E311)/(10*$E311),4),0))))</f>
        <v/>
      </c>
      <c r="AD311" s="13" t="n"/>
      <c r="AE311" s="15">
        <f>IF($B311="","",IF($AD311&lt;&gt;"",$AD311,IF($AC311="","",IF($AC311&lt;=設定!$C$3,0,$AC311))))</f>
        <v/>
      </c>
      <c r="AF311" s="14">
        <f>IF($B311="","",IF(AND($AG311&lt;&gt;"",$AI311="",$AL311=""),"保留中",IF($AL311&lt;&gt;"",IF(N($AE311)&gt;0,"支給済","不支給"),IF($AE311="","要確認",IF($AE311=0,"不支給","未処理")))))</f>
        <v/>
      </c>
      <c r="AG311" s="12" t="n"/>
      <c r="AH311" s="11" t="n"/>
      <c r="AI311" s="11" t="n"/>
      <c r="AJ311" s="11" t="n"/>
      <c r="AK311" s="14">
        <f>IF(AND($AF311="保留中",$AH311&lt;&gt;""),TODAY()-$AH311,"")</f>
        <v/>
      </c>
      <c r="AL311" s="12" t="inlineStr">
        <is>
          <t>R7.8</t>
        </is>
      </c>
      <c r="AM311" s="14">
        <f>IF($B311="","",IF($AQ311="","対象年月が未入力／","")&amp;IF($B311="","",IF($AP311="","職員マスタに未登録の職員番号／",IF($AA311="","標準報酬月額が未登録／","")&amp;IF(AND($AQ311&lt;&gt;"",OR(AND(INDEX(職員マスタ!$G$6:$G$405,$AP311)&lt;&gt;"",INDEX(職員マスタ!$G$6:$G$405,$AP311)&gt;EOMONTH($AQ311,0)),AND(INDEX(職員マスタ!$H$6:$H$405,$AP311)&lt;&gt;"",INDEX(職員マスタ!$H$6:$H$405,$AP311)&lt;$AQ311))),"対象月が時短期間外／","")&amp;IF(AND(INDEX(職員マスタ!$K$6:$K$405,$AP311)&lt;&gt;"",N($W311)&gt;0,INDEX(職員マスタ!$K$6:$K$405,$AP311)&lt;&gt;$W311),"標準報酬月額が申請書と相違（台帳"&amp;TEXT(INDEX(職員マスタ!$K$6:$K$405,$AP311),"#,##0")&amp;"円／申請書"&amp;TEXT($W311,"#,##0")&amp;"円）／","")&amp;IF(AND(INDEX(職員マスタ!$F$6:$F$405,$AP311)&lt;&gt;"",$AQ311&lt;&gt;"",INDEX(職員マスタ!$F$6:$F$405,$AP311)&lt;$AQ311),"対象月に子が2歳到達済／","")&amp;IF(AND($H311&lt;&gt;"",INDEX(職員マスタ!$B$6:$B$405,$AP311)&lt;&gt;"",SUBSTITUTE(SUBSTITUTE($H311," ","")," ","")&lt;&gt;SUBSTITUTE(SUBSTITUTE(INDEX(職員マスタ!$B$6:$B$405,$AP311)," ","")," ","")),"氏名がマスタと相違／","")&amp;IF(AND($Q311&lt;&gt;"",INDEX(職員マスタ!$E$6:$E$405,$AP311)&lt;&gt;"",$Q311&lt;&gt;INDEX(職員マスタ!$E$6:$E$405,$AP311)),"子の生年月日がマスタと相違／","")&amp;IF(AND($L311&lt;&gt;"",INDEX(職員マスタ!$G$6:$G$405,$AP311)&lt;&gt;"",$L311&lt;&gt;INDEX(職員マスタ!$G$6:$G$405,$AP311)),"時短開始日がマスタと相違／","")&amp;IF(AND($M311&lt;&gt;"",INDEX(職員マスタ!$H$6:$H$405,$AP311)&lt;&gt;"",$M311&lt;&gt;INDEX(職員マスタ!$H$6:$H$405,$AP311)),"時短終了日がマスタと相違／","")))&amp;IF(AND($B311&lt;&gt;"",$E311=""),"報酬額が未入力／","")&amp;IF(N($U311)&gt;0,"申請書に入力エラーが残っています／","")&amp;IF(AND($B311&lt;&gt;"",$AQ311&lt;&gt;""),IF(COUNTIFS($B$6:$B$3005,$B311,$C$6:$C$3005,$C311,$D$6:$D$3005,$D311)&gt;1,"同じ月の請求が重複しています／",""),"")&amp;IF(AND(N($E311)&gt;0,$AB311&lt;&gt;"",$AB311&lt;&gt;"×",$AE311=0,$AD311=""),"計算額が下限以下のため不支給／",""))</f>
        <v/>
      </c>
      <c r="AN311" s="12" t="n"/>
      <c r="AO311" s="14">
        <f>IF($AF311="保留中",COUNTIF($AF$6:$AF311,"保留中"),"")</f>
        <v/>
      </c>
      <c r="AP311" s="14">
        <f>IF($AQ311="","",IF(SUMPRODUCT(MAX((職員マスタ!$A$6:$A$405=$B311)*(((職員マスタ!$G$6:$G$405="")+(職員マスタ!$G$6:$G$405&lt;=EOMONTH($AQ311,0)))&gt;0)*(((職員マスタ!$H$6:$H$405="")+(職員マスタ!$H$6:$H$405&gt;=$AQ311))&gt;0)*(ROW(職員マスタ!$A$6:$A$405)-5)))&gt;0,SUMPRODUCT(MAX((職員マスタ!$A$6:$A$405=$B311)*(((職員マスタ!$G$6:$G$405="")+(職員マスタ!$G$6:$G$405&lt;=EOMONTH($AQ311,0)))&gt;0)*(((職員マスタ!$H$6:$H$405="")+(職員マスタ!$H$6:$H$405&gt;=$AQ311))&gt;0)*(ROW(職員マスタ!$A$6:$A$405)-5))),IFERROR(MATCH($B311,職員マスタ!$A$6:$A$405,0),"")))</f>
        <v/>
      </c>
      <c r="AQ311" s="16">
        <f>IF(OR($B311="",$C311="",$D311=""),"",DATE($C311+2018,$D311,1))</f>
        <v/>
      </c>
    </row>
    <row r="312">
      <c r="A312" s="11" t="n"/>
      <c r="B312" s="12" t="n">
        <v>6702443</v>
      </c>
      <c r="C312" s="12" t="n">
        <v>7</v>
      </c>
      <c r="D312" s="12" t="n">
        <v>5</v>
      </c>
      <c r="E312" s="13" t="n">
        <v>182669</v>
      </c>
      <c r="F312" s="12" t="n"/>
      <c r="G312" s="13" t="n"/>
      <c r="H312" s="12" t="n"/>
      <c r="I312" s="12" t="n"/>
      <c r="J312" s="12" t="n"/>
      <c r="K312" s="12" t="n"/>
      <c r="L312" s="11" t="n"/>
      <c r="M312" s="11" t="n"/>
      <c r="N312" s="11" t="n"/>
      <c r="O312" s="11" t="n"/>
      <c r="P312" s="12" t="n"/>
      <c r="Q312" s="11" t="n"/>
      <c r="R312" s="12" t="n"/>
      <c r="S312" s="11" t="n"/>
      <c r="T312" s="12" t="n"/>
      <c r="U312" s="12" t="n"/>
      <c r="V312" s="12" t="n"/>
      <c r="W312" s="13" t="n"/>
      <c r="X312" s="14">
        <f>IF($AP312="",IF($B312="","",$H312),IF(INDEX(職員マスタ!$B$6:$B$405,$AP312)="",$H312,INDEX(職員マスタ!$B$6:$B$405,$AP312)))</f>
        <v/>
      </c>
      <c r="Y312" s="14">
        <f>IF($AP312="",IF($B312="","",$R312),IF(INDEX(職員マスタ!$C$6:$C$405,$AP312)="",$R312,INDEX(職員マスタ!$C$6:$C$405,$AP312)))</f>
        <v/>
      </c>
      <c r="Z312" s="14">
        <f>IF($AQ312="","","R"&amp;$C312&amp;"."&amp;$D312)</f>
        <v/>
      </c>
      <c r="AA312" s="15">
        <f>IF(IF($AP312="",FALSE,INDEX(職員マスタ!$K$6:$K$405,$AP312)&lt;&gt;""),INDEX(職員マスタ!$K$6:$K$405,$AP312),IF(N($W312)&gt;0,$W312,""))</f>
        <v/>
      </c>
      <c r="AB312" s="14">
        <f>IF(OR($E312="",$AA312=""),"",IF($E312&gt;=$AA312,"×",IF($E312&gt;=$AA312*設定!$C$5,"△","○")))</f>
        <v/>
      </c>
      <c r="AC312" s="15">
        <f>IF($AB312="","",IF($AB312="×",0,IF($AB312="○",ROUNDDOWN($E312*設定!$C$4,0),ROUNDDOWN($E312*ROUND((9*$AA312-9*$E312)/(10*$E312),4),0))))</f>
        <v/>
      </c>
      <c r="AD312" s="13" t="n"/>
      <c r="AE312" s="15">
        <f>IF($B312="","",IF($AD312&lt;&gt;"",$AD312,IF($AC312="","",IF($AC312&lt;=設定!$C$3,0,$AC312))))</f>
        <v/>
      </c>
      <c r="AF312" s="14">
        <f>IF($B312="","",IF(AND($AG312&lt;&gt;"",$AI312="",$AL312=""),"保留中",IF($AL312&lt;&gt;"",IF(N($AE312)&gt;0,"支給済","不支給"),IF($AE312="","要確認",IF($AE312=0,"不支給","未処理")))))</f>
        <v/>
      </c>
      <c r="AG312" s="12" t="n"/>
      <c r="AH312" s="11" t="n"/>
      <c r="AI312" s="11" t="n"/>
      <c r="AJ312" s="11" t="n"/>
      <c r="AK312" s="14">
        <f>IF(AND($AF312="保留中",$AH312&lt;&gt;""),TODAY()-$AH312,"")</f>
        <v/>
      </c>
      <c r="AL312" s="12" t="inlineStr">
        <is>
          <t>R7.8</t>
        </is>
      </c>
      <c r="AM312" s="14">
        <f>IF($B312="","",IF($AQ312="","対象年月が未入力／","")&amp;IF($B312="","",IF($AP312="","職員マスタに未登録の職員番号／",IF($AA312="","標準報酬月額が未登録／","")&amp;IF(AND($AQ312&lt;&gt;"",OR(AND(INDEX(職員マスタ!$G$6:$G$405,$AP312)&lt;&gt;"",INDEX(職員マスタ!$G$6:$G$405,$AP312)&gt;EOMONTH($AQ312,0)),AND(INDEX(職員マスタ!$H$6:$H$405,$AP312)&lt;&gt;"",INDEX(職員マスタ!$H$6:$H$405,$AP312)&lt;$AQ312))),"対象月が時短期間外／","")&amp;IF(AND(INDEX(職員マスタ!$K$6:$K$405,$AP312)&lt;&gt;"",N($W312)&gt;0,INDEX(職員マスタ!$K$6:$K$405,$AP312)&lt;&gt;$W312),"標準報酬月額が申請書と相違（台帳"&amp;TEXT(INDEX(職員マスタ!$K$6:$K$405,$AP312),"#,##0")&amp;"円／申請書"&amp;TEXT($W312,"#,##0")&amp;"円）／","")&amp;IF(AND(INDEX(職員マスタ!$F$6:$F$405,$AP312)&lt;&gt;"",$AQ312&lt;&gt;"",INDEX(職員マスタ!$F$6:$F$405,$AP312)&lt;$AQ312),"対象月に子が2歳到達済／","")&amp;IF(AND($H312&lt;&gt;"",INDEX(職員マスタ!$B$6:$B$405,$AP312)&lt;&gt;"",SUBSTITUTE(SUBSTITUTE($H312," ","")," ","")&lt;&gt;SUBSTITUTE(SUBSTITUTE(INDEX(職員マスタ!$B$6:$B$405,$AP312)," ","")," ","")),"氏名がマスタと相違／","")&amp;IF(AND($Q312&lt;&gt;"",INDEX(職員マスタ!$E$6:$E$405,$AP312)&lt;&gt;"",$Q312&lt;&gt;INDEX(職員マスタ!$E$6:$E$405,$AP312)),"子の生年月日がマスタと相違／","")&amp;IF(AND($L312&lt;&gt;"",INDEX(職員マスタ!$G$6:$G$405,$AP312)&lt;&gt;"",$L312&lt;&gt;INDEX(職員マスタ!$G$6:$G$405,$AP312)),"時短開始日がマスタと相違／","")&amp;IF(AND($M312&lt;&gt;"",INDEX(職員マスタ!$H$6:$H$405,$AP312)&lt;&gt;"",$M312&lt;&gt;INDEX(職員マスタ!$H$6:$H$405,$AP312)),"時短終了日がマスタと相違／","")))&amp;IF(AND($B312&lt;&gt;"",$E312=""),"報酬額が未入力／","")&amp;IF(N($U312)&gt;0,"申請書に入力エラーが残っています／","")&amp;IF(AND($B312&lt;&gt;"",$AQ312&lt;&gt;""),IF(COUNTIFS($B$6:$B$3005,$B312,$C$6:$C$3005,$C312,$D$6:$D$3005,$D312)&gt;1,"同じ月の請求が重複しています／",""),"")&amp;IF(AND(N($E312)&gt;0,$AB312&lt;&gt;"",$AB312&lt;&gt;"×",$AE312=0,$AD312=""),"計算額が下限以下のため不支給／",""))</f>
        <v/>
      </c>
      <c r="AN312" s="12" t="n"/>
      <c r="AO312" s="14">
        <f>IF($AF312="保留中",COUNTIF($AF$6:$AF312,"保留中"),"")</f>
        <v/>
      </c>
      <c r="AP312" s="14">
        <f>IF($AQ312="","",IF(SUMPRODUCT(MAX((職員マスタ!$A$6:$A$405=$B312)*(((職員マスタ!$G$6:$G$405="")+(職員マスタ!$G$6:$G$405&lt;=EOMONTH($AQ312,0)))&gt;0)*(((職員マスタ!$H$6:$H$405="")+(職員マスタ!$H$6:$H$405&gt;=$AQ312))&gt;0)*(ROW(職員マスタ!$A$6:$A$405)-5)))&gt;0,SUMPRODUCT(MAX((職員マスタ!$A$6:$A$405=$B312)*(((職員マスタ!$G$6:$G$405="")+(職員マスタ!$G$6:$G$405&lt;=EOMONTH($AQ312,0)))&gt;0)*(((職員マスタ!$H$6:$H$405="")+(職員マスタ!$H$6:$H$405&gt;=$AQ312))&gt;0)*(ROW(職員マスタ!$A$6:$A$405)-5))),IFERROR(MATCH($B312,職員マスタ!$A$6:$A$405,0),"")))</f>
        <v/>
      </c>
      <c r="AQ312" s="16">
        <f>IF(OR($B312="",$C312="",$D312=""),"",DATE($C312+2018,$D312,1))</f>
        <v/>
      </c>
    </row>
    <row r="313">
      <c r="A313" s="11" t="n"/>
      <c r="B313" s="12" t="n">
        <v>6702443</v>
      </c>
      <c r="C313" s="12" t="n">
        <v>7</v>
      </c>
      <c r="D313" s="12" t="n">
        <v>6</v>
      </c>
      <c r="E313" s="13" t="n">
        <v>186353</v>
      </c>
      <c r="F313" s="12" t="n"/>
      <c r="G313" s="13" t="n"/>
      <c r="H313" s="12" t="n"/>
      <c r="I313" s="12" t="n"/>
      <c r="J313" s="12" t="n"/>
      <c r="K313" s="12" t="n"/>
      <c r="L313" s="11" t="n"/>
      <c r="M313" s="11" t="n"/>
      <c r="N313" s="11" t="n"/>
      <c r="O313" s="11" t="n"/>
      <c r="P313" s="12" t="n"/>
      <c r="Q313" s="11" t="n"/>
      <c r="R313" s="12" t="n"/>
      <c r="S313" s="11" t="n"/>
      <c r="T313" s="12" t="n"/>
      <c r="U313" s="12" t="n"/>
      <c r="V313" s="12" t="n"/>
      <c r="W313" s="13" t="n"/>
      <c r="X313" s="14">
        <f>IF($AP313="",IF($B313="","",$H313),IF(INDEX(職員マスタ!$B$6:$B$405,$AP313)="",$H313,INDEX(職員マスタ!$B$6:$B$405,$AP313)))</f>
        <v/>
      </c>
      <c r="Y313" s="14">
        <f>IF($AP313="",IF($B313="","",$R313),IF(INDEX(職員マスタ!$C$6:$C$405,$AP313)="",$R313,INDEX(職員マスタ!$C$6:$C$405,$AP313)))</f>
        <v/>
      </c>
      <c r="Z313" s="14">
        <f>IF($AQ313="","","R"&amp;$C313&amp;"."&amp;$D313)</f>
        <v/>
      </c>
      <c r="AA313" s="15">
        <f>IF(IF($AP313="",FALSE,INDEX(職員マスタ!$K$6:$K$405,$AP313)&lt;&gt;""),INDEX(職員マスタ!$K$6:$K$405,$AP313),IF(N($W313)&gt;0,$W313,""))</f>
        <v/>
      </c>
      <c r="AB313" s="14">
        <f>IF(OR($E313="",$AA313=""),"",IF($E313&gt;=$AA313,"×",IF($E313&gt;=$AA313*設定!$C$5,"△","○")))</f>
        <v/>
      </c>
      <c r="AC313" s="15">
        <f>IF($AB313="","",IF($AB313="×",0,IF($AB313="○",ROUNDDOWN($E313*設定!$C$4,0),ROUNDDOWN($E313*ROUND((9*$AA313-9*$E313)/(10*$E313),4),0))))</f>
        <v/>
      </c>
      <c r="AD313" s="13" t="n"/>
      <c r="AE313" s="15">
        <f>IF($B313="","",IF($AD313&lt;&gt;"",$AD313,IF($AC313="","",IF($AC313&lt;=設定!$C$3,0,$AC313))))</f>
        <v/>
      </c>
      <c r="AF313" s="14">
        <f>IF($B313="","",IF(AND($AG313&lt;&gt;"",$AI313="",$AL313=""),"保留中",IF($AL313&lt;&gt;"",IF(N($AE313)&gt;0,"支給済","不支給"),IF($AE313="","要確認",IF($AE313=0,"不支給","未処理")))))</f>
        <v/>
      </c>
      <c r="AG313" s="12" t="n"/>
      <c r="AH313" s="11" t="n"/>
      <c r="AI313" s="11" t="n"/>
      <c r="AJ313" s="11" t="n"/>
      <c r="AK313" s="14">
        <f>IF(AND($AF313="保留中",$AH313&lt;&gt;""),TODAY()-$AH313,"")</f>
        <v/>
      </c>
      <c r="AL313" s="12" t="inlineStr">
        <is>
          <t>R7.9</t>
        </is>
      </c>
      <c r="AM313" s="14">
        <f>IF($B313="","",IF($AQ313="","対象年月が未入力／","")&amp;IF($B313="","",IF($AP313="","職員マスタに未登録の職員番号／",IF($AA313="","標準報酬月額が未登録／","")&amp;IF(AND($AQ313&lt;&gt;"",OR(AND(INDEX(職員マスタ!$G$6:$G$405,$AP313)&lt;&gt;"",INDEX(職員マスタ!$G$6:$G$405,$AP313)&gt;EOMONTH($AQ313,0)),AND(INDEX(職員マスタ!$H$6:$H$405,$AP313)&lt;&gt;"",INDEX(職員マスタ!$H$6:$H$405,$AP313)&lt;$AQ313))),"対象月が時短期間外／","")&amp;IF(AND(INDEX(職員マスタ!$K$6:$K$405,$AP313)&lt;&gt;"",N($W313)&gt;0,INDEX(職員マスタ!$K$6:$K$405,$AP313)&lt;&gt;$W313),"標準報酬月額が申請書と相違（台帳"&amp;TEXT(INDEX(職員マスタ!$K$6:$K$405,$AP313),"#,##0")&amp;"円／申請書"&amp;TEXT($W313,"#,##0")&amp;"円）／","")&amp;IF(AND(INDEX(職員マスタ!$F$6:$F$405,$AP313)&lt;&gt;"",$AQ313&lt;&gt;"",INDEX(職員マスタ!$F$6:$F$405,$AP313)&lt;$AQ313),"対象月に子が2歳到達済／","")&amp;IF(AND($H313&lt;&gt;"",INDEX(職員マスタ!$B$6:$B$405,$AP313)&lt;&gt;"",SUBSTITUTE(SUBSTITUTE($H313," ","")," ","")&lt;&gt;SUBSTITUTE(SUBSTITUTE(INDEX(職員マスタ!$B$6:$B$405,$AP313)," ","")," ","")),"氏名がマスタと相違／","")&amp;IF(AND($Q313&lt;&gt;"",INDEX(職員マスタ!$E$6:$E$405,$AP313)&lt;&gt;"",$Q313&lt;&gt;INDEX(職員マスタ!$E$6:$E$405,$AP313)),"子の生年月日がマスタと相違／","")&amp;IF(AND($L313&lt;&gt;"",INDEX(職員マスタ!$G$6:$G$405,$AP313)&lt;&gt;"",$L313&lt;&gt;INDEX(職員マスタ!$G$6:$G$405,$AP313)),"時短開始日がマスタと相違／","")&amp;IF(AND($M313&lt;&gt;"",INDEX(職員マスタ!$H$6:$H$405,$AP313)&lt;&gt;"",$M313&lt;&gt;INDEX(職員マスタ!$H$6:$H$405,$AP313)),"時短終了日がマスタと相違／","")))&amp;IF(AND($B313&lt;&gt;"",$E313=""),"報酬額が未入力／","")&amp;IF(N($U313)&gt;0,"申請書に入力エラーが残っています／","")&amp;IF(AND($B313&lt;&gt;"",$AQ313&lt;&gt;""),IF(COUNTIFS($B$6:$B$3005,$B313,$C$6:$C$3005,$C313,$D$6:$D$3005,$D313)&gt;1,"同じ月の請求が重複しています／",""),"")&amp;IF(AND(N($E313)&gt;0,$AB313&lt;&gt;"",$AB313&lt;&gt;"×",$AE313=0,$AD313=""),"計算額が下限以下のため不支給／",""))</f>
        <v/>
      </c>
      <c r="AN313" s="12" t="n"/>
      <c r="AO313" s="14">
        <f>IF($AF313="保留中",COUNTIF($AF$6:$AF313,"保留中"),"")</f>
        <v/>
      </c>
      <c r="AP313" s="14">
        <f>IF($AQ313="","",IF(SUMPRODUCT(MAX((職員マスタ!$A$6:$A$405=$B313)*(((職員マスタ!$G$6:$G$405="")+(職員マスタ!$G$6:$G$405&lt;=EOMONTH($AQ313,0)))&gt;0)*(((職員マスタ!$H$6:$H$405="")+(職員マスタ!$H$6:$H$405&gt;=$AQ313))&gt;0)*(ROW(職員マスタ!$A$6:$A$405)-5)))&gt;0,SUMPRODUCT(MAX((職員マスタ!$A$6:$A$405=$B313)*(((職員マスタ!$G$6:$G$405="")+(職員マスタ!$G$6:$G$405&lt;=EOMONTH($AQ313,0)))&gt;0)*(((職員マスタ!$H$6:$H$405="")+(職員マスタ!$H$6:$H$405&gt;=$AQ313))&gt;0)*(ROW(職員マスタ!$A$6:$A$405)-5))),IFERROR(MATCH($B313,職員マスタ!$A$6:$A$405,0),"")))</f>
        <v/>
      </c>
      <c r="AQ313" s="16">
        <f>IF(OR($B313="",$C313="",$D313=""),"",DATE($C313+2018,$D313,1))</f>
        <v/>
      </c>
    </row>
    <row r="314">
      <c r="A314" s="11" t="n"/>
      <c r="B314" s="12" t="n">
        <v>6702443</v>
      </c>
      <c r="C314" s="12" t="n">
        <v>7</v>
      </c>
      <c r="D314" s="12" t="n">
        <v>7</v>
      </c>
      <c r="E314" s="13" t="n">
        <v>186353</v>
      </c>
      <c r="F314" s="12" t="n"/>
      <c r="G314" s="13" t="n"/>
      <c r="H314" s="12" t="n"/>
      <c r="I314" s="12" t="n"/>
      <c r="J314" s="12" t="n"/>
      <c r="K314" s="12" t="n"/>
      <c r="L314" s="11" t="n"/>
      <c r="M314" s="11" t="n"/>
      <c r="N314" s="11" t="n"/>
      <c r="O314" s="11" t="n"/>
      <c r="P314" s="12" t="n"/>
      <c r="Q314" s="11" t="n"/>
      <c r="R314" s="12" t="n"/>
      <c r="S314" s="11" t="n"/>
      <c r="T314" s="12" t="n"/>
      <c r="U314" s="12" t="n"/>
      <c r="V314" s="12" t="n"/>
      <c r="W314" s="13" t="n"/>
      <c r="X314" s="14">
        <f>IF($AP314="",IF($B314="","",$H314),IF(INDEX(職員マスタ!$B$6:$B$405,$AP314)="",$H314,INDEX(職員マスタ!$B$6:$B$405,$AP314)))</f>
        <v/>
      </c>
      <c r="Y314" s="14">
        <f>IF($AP314="",IF($B314="","",$R314),IF(INDEX(職員マスタ!$C$6:$C$405,$AP314)="",$R314,INDEX(職員マスタ!$C$6:$C$405,$AP314)))</f>
        <v/>
      </c>
      <c r="Z314" s="14">
        <f>IF($AQ314="","","R"&amp;$C314&amp;"."&amp;$D314)</f>
        <v/>
      </c>
      <c r="AA314" s="15">
        <f>IF(IF($AP314="",FALSE,INDEX(職員マスタ!$K$6:$K$405,$AP314)&lt;&gt;""),INDEX(職員マスタ!$K$6:$K$405,$AP314),IF(N($W314)&gt;0,$W314,""))</f>
        <v/>
      </c>
      <c r="AB314" s="14">
        <f>IF(OR($E314="",$AA314=""),"",IF($E314&gt;=$AA314,"×",IF($E314&gt;=$AA314*設定!$C$5,"△","○")))</f>
        <v/>
      </c>
      <c r="AC314" s="15">
        <f>IF($AB314="","",IF($AB314="×",0,IF($AB314="○",ROUNDDOWN($E314*設定!$C$4,0),ROUNDDOWN($E314*ROUND((9*$AA314-9*$E314)/(10*$E314),4),0))))</f>
        <v/>
      </c>
      <c r="AD314" s="13" t="n"/>
      <c r="AE314" s="15">
        <f>IF($B314="","",IF($AD314&lt;&gt;"",$AD314,IF($AC314="","",IF($AC314&lt;=設定!$C$3,0,$AC314))))</f>
        <v/>
      </c>
      <c r="AF314" s="14">
        <f>IF($B314="","",IF(AND($AG314&lt;&gt;"",$AI314="",$AL314=""),"保留中",IF($AL314&lt;&gt;"",IF(N($AE314)&gt;0,"支給済","不支給"),IF($AE314="","要確認",IF($AE314=0,"不支給","未処理")))))</f>
        <v/>
      </c>
      <c r="AG314" s="12" t="n"/>
      <c r="AH314" s="11" t="n"/>
      <c r="AI314" s="11" t="n"/>
      <c r="AJ314" s="11" t="n"/>
      <c r="AK314" s="14">
        <f>IF(AND($AF314="保留中",$AH314&lt;&gt;""),TODAY()-$AH314,"")</f>
        <v/>
      </c>
      <c r="AL314" s="12" t="inlineStr">
        <is>
          <t>R7.9</t>
        </is>
      </c>
      <c r="AM314" s="14">
        <f>IF($B314="","",IF($AQ314="","対象年月が未入力／","")&amp;IF($B314="","",IF($AP314="","職員マスタに未登録の職員番号／",IF($AA314="","標準報酬月額が未登録／","")&amp;IF(AND($AQ314&lt;&gt;"",OR(AND(INDEX(職員マスタ!$G$6:$G$405,$AP314)&lt;&gt;"",INDEX(職員マスタ!$G$6:$G$405,$AP314)&gt;EOMONTH($AQ314,0)),AND(INDEX(職員マスタ!$H$6:$H$405,$AP314)&lt;&gt;"",INDEX(職員マスタ!$H$6:$H$405,$AP314)&lt;$AQ314))),"対象月が時短期間外／","")&amp;IF(AND(INDEX(職員マスタ!$K$6:$K$405,$AP314)&lt;&gt;"",N($W314)&gt;0,INDEX(職員マスタ!$K$6:$K$405,$AP314)&lt;&gt;$W314),"標準報酬月額が申請書と相違（台帳"&amp;TEXT(INDEX(職員マスタ!$K$6:$K$405,$AP314),"#,##0")&amp;"円／申請書"&amp;TEXT($W314,"#,##0")&amp;"円）／","")&amp;IF(AND(INDEX(職員マスタ!$F$6:$F$405,$AP314)&lt;&gt;"",$AQ314&lt;&gt;"",INDEX(職員マスタ!$F$6:$F$405,$AP314)&lt;$AQ314),"対象月に子が2歳到達済／","")&amp;IF(AND($H314&lt;&gt;"",INDEX(職員マスタ!$B$6:$B$405,$AP314)&lt;&gt;"",SUBSTITUTE(SUBSTITUTE($H314," ","")," ","")&lt;&gt;SUBSTITUTE(SUBSTITUTE(INDEX(職員マスタ!$B$6:$B$405,$AP314)," ","")," ","")),"氏名がマスタと相違／","")&amp;IF(AND($Q314&lt;&gt;"",INDEX(職員マスタ!$E$6:$E$405,$AP314)&lt;&gt;"",$Q314&lt;&gt;INDEX(職員マスタ!$E$6:$E$405,$AP314)),"子の生年月日がマスタと相違／","")&amp;IF(AND($L314&lt;&gt;"",INDEX(職員マスタ!$G$6:$G$405,$AP314)&lt;&gt;"",$L314&lt;&gt;INDEX(職員マスタ!$G$6:$G$405,$AP314)),"時短開始日がマスタと相違／","")&amp;IF(AND($M314&lt;&gt;"",INDEX(職員マスタ!$H$6:$H$405,$AP314)&lt;&gt;"",$M314&lt;&gt;INDEX(職員マスタ!$H$6:$H$405,$AP314)),"時短終了日がマスタと相違／","")))&amp;IF(AND($B314&lt;&gt;"",$E314=""),"報酬額が未入力／","")&amp;IF(N($U314)&gt;0,"申請書に入力エラーが残っています／","")&amp;IF(AND($B314&lt;&gt;"",$AQ314&lt;&gt;""),IF(COUNTIFS($B$6:$B$3005,$B314,$C$6:$C$3005,$C314,$D$6:$D$3005,$D314)&gt;1,"同じ月の請求が重複しています／",""),"")&amp;IF(AND(N($E314)&gt;0,$AB314&lt;&gt;"",$AB314&lt;&gt;"×",$AE314=0,$AD314=""),"計算額が下限以下のため不支給／",""))</f>
        <v/>
      </c>
      <c r="AN314" s="12" t="n"/>
      <c r="AO314" s="14">
        <f>IF($AF314="保留中",COUNTIF($AF$6:$AF314,"保留中"),"")</f>
        <v/>
      </c>
      <c r="AP314" s="14">
        <f>IF($AQ314="","",IF(SUMPRODUCT(MAX((職員マスタ!$A$6:$A$405=$B314)*(((職員マスタ!$G$6:$G$405="")+(職員マスタ!$G$6:$G$405&lt;=EOMONTH($AQ314,0)))&gt;0)*(((職員マスタ!$H$6:$H$405="")+(職員マスタ!$H$6:$H$405&gt;=$AQ314))&gt;0)*(ROW(職員マスタ!$A$6:$A$405)-5)))&gt;0,SUMPRODUCT(MAX((職員マスタ!$A$6:$A$405=$B314)*(((職員マスタ!$G$6:$G$405="")+(職員マスタ!$G$6:$G$405&lt;=EOMONTH($AQ314,0)))&gt;0)*(((職員マスタ!$H$6:$H$405="")+(職員マスタ!$H$6:$H$405&gt;=$AQ314))&gt;0)*(ROW(職員マスタ!$A$6:$A$405)-5))),IFERROR(MATCH($B314,職員マスタ!$A$6:$A$405,0),"")))</f>
        <v/>
      </c>
      <c r="AQ314" s="16">
        <f>IF(OR($B314="",$C314="",$D314=""),"",DATE($C314+2018,$D314,1))</f>
        <v/>
      </c>
    </row>
    <row r="315">
      <c r="A315" s="11" t="n"/>
      <c r="B315" s="12" t="n">
        <v>6702443</v>
      </c>
      <c r="C315" s="12" t="n">
        <v>7</v>
      </c>
      <c r="D315" s="12" t="n">
        <v>8</v>
      </c>
      <c r="E315" s="13" t="n">
        <v>182669</v>
      </c>
      <c r="F315" s="12" t="n"/>
      <c r="G315" s="13" t="n"/>
      <c r="H315" s="12" t="n"/>
      <c r="I315" s="12" t="n"/>
      <c r="J315" s="12" t="n"/>
      <c r="K315" s="12" t="n"/>
      <c r="L315" s="11" t="n"/>
      <c r="M315" s="11" t="n"/>
      <c r="N315" s="11" t="n"/>
      <c r="O315" s="11" t="n"/>
      <c r="P315" s="12" t="n"/>
      <c r="Q315" s="11" t="n"/>
      <c r="R315" s="12" t="n"/>
      <c r="S315" s="11" t="n"/>
      <c r="T315" s="12" t="n"/>
      <c r="U315" s="12" t="n"/>
      <c r="V315" s="12" t="n"/>
      <c r="W315" s="13" t="n"/>
      <c r="X315" s="14">
        <f>IF($AP315="",IF($B315="","",$H315),IF(INDEX(職員マスタ!$B$6:$B$405,$AP315)="",$H315,INDEX(職員マスタ!$B$6:$B$405,$AP315)))</f>
        <v/>
      </c>
      <c r="Y315" s="14">
        <f>IF($AP315="",IF($B315="","",$R315),IF(INDEX(職員マスタ!$C$6:$C$405,$AP315)="",$R315,INDEX(職員マスタ!$C$6:$C$405,$AP315)))</f>
        <v/>
      </c>
      <c r="Z315" s="14">
        <f>IF($AQ315="","","R"&amp;$C315&amp;"."&amp;$D315)</f>
        <v/>
      </c>
      <c r="AA315" s="15">
        <f>IF(IF($AP315="",FALSE,INDEX(職員マスタ!$K$6:$K$405,$AP315)&lt;&gt;""),INDEX(職員マスタ!$K$6:$K$405,$AP315),IF(N($W315)&gt;0,$W315,""))</f>
        <v/>
      </c>
      <c r="AB315" s="14">
        <f>IF(OR($E315="",$AA315=""),"",IF($E315&gt;=$AA315,"×",IF($E315&gt;=$AA315*設定!$C$5,"△","○")))</f>
        <v/>
      </c>
      <c r="AC315" s="15">
        <f>IF($AB315="","",IF($AB315="×",0,IF($AB315="○",ROUNDDOWN($E315*設定!$C$4,0),ROUNDDOWN($E315*ROUND((9*$AA315-9*$E315)/(10*$E315),4),0))))</f>
        <v/>
      </c>
      <c r="AD315" s="13" t="n"/>
      <c r="AE315" s="15">
        <f>IF($B315="","",IF($AD315&lt;&gt;"",$AD315,IF($AC315="","",IF($AC315&lt;=設定!$C$3,0,$AC315))))</f>
        <v/>
      </c>
      <c r="AF315" s="14">
        <f>IF($B315="","",IF(AND($AG315&lt;&gt;"",$AI315="",$AL315=""),"保留中",IF($AL315&lt;&gt;"",IF(N($AE315)&gt;0,"支給済","不支給"),IF($AE315="","要確認",IF($AE315=0,"不支給","未処理")))))</f>
        <v/>
      </c>
      <c r="AG315" s="12" t="n"/>
      <c r="AH315" s="11" t="n"/>
      <c r="AI315" s="11" t="n"/>
      <c r="AJ315" s="11" t="n"/>
      <c r="AK315" s="14">
        <f>IF(AND($AF315="保留中",$AH315&lt;&gt;""),TODAY()-$AH315,"")</f>
        <v/>
      </c>
      <c r="AL315" s="12" t="inlineStr">
        <is>
          <t>R7.10</t>
        </is>
      </c>
      <c r="AM315" s="14">
        <f>IF($B315="","",IF($AQ315="","対象年月が未入力／","")&amp;IF($B315="","",IF($AP315="","職員マスタに未登録の職員番号／",IF($AA315="","標準報酬月額が未登録／","")&amp;IF(AND($AQ315&lt;&gt;"",OR(AND(INDEX(職員マスタ!$G$6:$G$405,$AP315)&lt;&gt;"",INDEX(職員マスタ!$G$6:$G$405,$AP315)&gt;EOMONTH($AQ315,0)),AND(INDEX(職員マスタ!$H$6:$H$405,$AP315)&lt;&gt;"",INDEX(職員マスタ!$H$6:$H$405,$AP315)&lt;$AQ315))),"対象月が時短期間外／","")&amp;IF(AND(INDEX(職員マスタ!$K$6:$K$405,$AP315)&lt;&gt;"",N($W315)&gt;0,INDEX(職員マスタ!$K$6:$K$405,$AP315)&lt;&gt;$W315),"標準報酬月額が申請書と相違（台帳"&amp;TEXT(INDEX(職員マスタ!$K$6:$K$405,$AP315),"#,##0")&amp;"円／申請書"&amp;TEXT($W315,"#,##0")&amp;"円）／","")&amp;IF(AND(INDEX(職員マスタ!$F$6:$F$405,$AP315)&lt;&gt;"",$AQ315&lt;&gt;"",INDEX(職員マスタ!$F$6:$F$405,$AP315)&lt;$AQ315),"対象月に子が2歳到達済／","")&amp;IF(AND($H315&lt;&gt;"",INDEX(職員マスタ!$B$6:$B$405,$AP315)&lt;&gt;"",SUBSTITUTE(SUBSTITUTE($H315," ","")," ","")&lt;&gt;SUBSTITUTE(SUBSTITUTE(INDEX(職員マスタ!$B$6:$B$405,$AP315)," ","")," ","")),"氏名がマスタと相違／","")&amp;IF(AND($Q315&lt;&gt;"",INDEX(職員マスタ!$E$6:$E$405,$AP315)&lt;&gt;"",$Q315&lt;&gt;INDEX(職員マスタ!$E$6:$E$405,$AP315)),"子の生年月日がマスタと相違／","")&amp;IF(AND($L315&lt;&gt;"",INDEX(職員マスタ!$G$6:$G$405,$AP315)&lt;&gt;"",$L315&lt;&gt;INDEX(職員マスタ!$G$6:$G$405,$AP315)),"時短開始日がマスタと相違／","")&amp;IF(AND($M315&lt;&gt;"",INDEX(職員マスタ!$H$6:$H$405,$AP315)&lt;&gt;"",$M315&lt;&gt;INDEX(職員マスタ!$H$6:$H$405,$AP315)),"時短終了日がマスタと相違／","")))&amp;IF(AND($B315&lt;&gt;"",$E315=""),"報酬額が未入力／","")&amp;IF(N($U315)&gt;0,"申請書に入力エラーが残っています／","")&amp;IF(AND($B315&lt;&gt;"",$AQ315&lt;&gt;""),IF(COUNTIFS($B$6:$B$3005,$B315,$C$6:$C$3005,$C315,$D$6:$D$3005,$D315)&gt;1,"同じ月の請求が重複しています／",""),"")&amp;IF(AND(N($E315)&gt;0,$AB315&lt;&gt;"",$AB315&lt;&gt;"×",$AE315=0,$AD315=""),"計算額が下限以下のため不支給／",""))</f>
        <v/>
      </c>
      <c r="AN315" s="12" t="n"/>
      <c r="AO315" s="14">
        <f>IF($AF315="保留中",COUNTIF($AF$6:$AF315,"保留中"),"")</f>
        <v/>
      </c>
      <c r="AP315" s="14">
        <f>IF($AQ315="","",IF(SUMPRODUCT(MAX((職員マスタ!$A$6:$A$405=$B315)*(((職員マスタ!$G$6:$G$405="")+(職員マスタ!$G$6:$G$405&lt;=EOMONTH($AQ315,0)))&gt;0)*(((職員マスタ!$H$6:$H$405="")+(職員マスタ!$H$6:$H$405&gt;=$AQ315))&gt;0)*(ROW(職員マスタ!$A$6:$A$405)-5)))&gt;0,SUMPRODUCT(MAX((職員マスタ!$A$6:$A$405=$B315)*(((職員マスタ!$G$6:$G$405="")+(職員マスタ!$G$6:$G$405&lt;=EOMONTH($AQ315,0)))&gt;0)*(((職員マスタ!$H$6:$H$405="")+(職員マスタ!$H$6:$H$405&gt;=$AQ315))&gt;0)*(ROW(職員マスタ!$A$6:$A$405)-5))),IFERROR(MATCH($B315,職員マスタ!$A$6:$A$405,0),"")))</f>
        <v/>
      </c>
      <c r="AQ315" s="16">
        <f>IF(OR($B315="",$C315="",$D315=""),"",DATE($C315+2018,$D315,1))</f>
        <v/>
      </c>
    </row>
    <row r="316">
      <c r="A316" s="11" t="n"/>
      <c r="B316" s="12" t="n">
        <v>6702534</v>
      </c>
      <c r="C316" s="12" t="n">
        <v>7</v>
      </c>
      <c r="D316" s="12" t="n">
        <v>4</v>
      </c>
      <c r="E316" s="13" t="n">
        <v>116841</v>
      </c>
      <c r="F316" s="12" t="n"/>
      <c r="G316" s="13" t="n"/>
      <c r="H316" s="12" t="n"/>
      <c r="I316" s="12" t="n"/>
      <c r="J316" s="12" t="n"/>
      <c r="K316" s="12" t="n"/>
      <c r="L316" s="11" t="n"/>
      <c r="M316" s="11" t="n"/>
      <c r="N316" s="11" t="n"/>
      <c r="O316" s="11" t="n"/>
      <c r="P316" s="12" t="n"/>
      <c r="Q316" s="11" t="n"/>
      <c r="R316" s="12" t="n"/>
      <c r="S316" s="11" t="n"/>
      <c r="T316" s="12" t="n"/>
      <c r="U316" s="12" t="n"/>
      <c r="V316" s="12" t="n"/>
      <c r="W316" s="13" t="n"/>
      <c r="X316" s="14">
        <f>IF($AP316="",IF($B316="","",$H316),IF(INDEX(職員マスタ!$B$6:$B$405,$AP316)="",$H316,INDEX(職員マスタ!$B$6:$B$405,$AP316)))</f>
        <v/>
      </c>
      <c r="Y316" s="14">
        <f>IF($AP316="",IF($B316="","",$R316),IF(INDEX(職員マスタ!$C$6:$C$405,$AP316)="",$R316,INDEX(職員マスタ!$C$6:$C$405,$AP316)))</f>
        <v/>
      </c>
      <c r="Z316" s="14">
        <f>IF($AQ316="","","R"&amp;$C316&amp;"."&amp;$D316)</f>
        <v/>
      </c>
      <c r="AA316" s="15">
        <f>IF(IF($AP316="",FALSE,INDEX(職員マスタ!$K$6:$K$405,$AP316)&lt;&gt;""),INDEX(職員マスタ!$K$6:$K$405,$AP316),IF(N($W316)&gt;0,$W316,""))</f>
        <v/>
      </c>
      <c r="AB316" s="14">
        <f>IF(OR($E316="",$AA316=""),"",IF($E316&gt;=$AA316,"×",IF($E316&gt;=$AA316*設定!$C$5,"△","○")))</f>
        <v/>
      </c>
      <c r="AC316" s="15">
        <f>IF($AB316="","",IF($AB316="×",0,IF($AB316="○",ROUNDDOWN($E316*設定!$C$4,0),ROUNDDOWN($E316*ROUND((9*$AA316-9*$E316)/(10*$E316),4),0))))</f>
        <v/>
      </c>
      <c r="AD316" s="13" t="n"/>
      <c r="AE316" s="15">
        <f>IF($B316="","",IF($AD316&lt;&gt;"",$AD316,IF($AC316="","",IF($AC316&lt;=設定!$C$3,0,$AC316))))</f>
        <v/>
      </c>
      <c r="AF316" s="14">
        <f>IF($B316="","",IF(AND($AG316&lt;&gt;"",$AI316="",$AL316=""),"保留中",IF($AL316&lt;&gt;"",IF(N($AE316)&gt;0,"支給済","不支給"),IF($AE316="","要確認",IF($AE316=0,"不支給","未処理")))))</f>
        <v/>
      </c>
      <c r="AG316" s="12" t="n"/>
      <c r="AH316" s="11" t="n"/>
      <c r="AI316" s="11" t="n"/>
      <c r="AJ316" s="11" t="n"/>
      <c r="AK316" s="14">
        <f>IF(AND($AF316="保留中",$AH316&lt;&gt;""),TODAY()-$AH316,"")</f>
        <v/>
      </c>
      <c r="AL316" s="12" t="inlineStr">
        <is>
          <t>R7.8</t>
        </is>
      </c>
      <c r="AM316" s="14">
        <f>IF($B316="","",IF($AQ316="","対象年月が未入力／","")&amp;IF($B316="","",IF($AP316="","職員マスタに未登録の職員番号／",IF($AA316="","標準報酬月額が未登録／","")&amp;IF(AND($AQ316&lt;&gt;"",OR(AND(INDEX(職員マスタ!$G$6:$G$405,$AP316)&lt;&gt;"",INDEX(職員マスタ!$G$6:$G$405,$AP316)&gt;EOMONTH($AQ316,0)),AND(INDEX(職員マスタ!$H$6:$H$405,$AP316)&lt;&gt;"",INDEX(職員マスタ!$H$6:$H$405,$AP316)&lt;$AQ316))),"対象月が時短期間外／","")&amp;IF(AND(INDEX(職員マスタ!$K$6:$K$405,$AP316)&lt;&gt;"",N($W316)&gt;0,INDEX(職員マスタ!$K$6:$K$405,$AP316)&lt;&gt;$W316),"標準報酬月額が申請書と相違（台帳"&amp;TEXT(INDEX(職員マスタ!$K$6:$K$405,$AP316),"#,##0")&amp;"円／申請書"&amp;TEXT($W316,"#,##0")&amp;"円）／","")&amp;IF(AND(INDEX(職員マスタ!$F$6:$F$405,$AP316)&lt;&gt;"",$AQ316&lt;&gt;"",INDEX(職員マスタ!$F$6:$F$405,$AP316)&lt;$AQ316),"対象月に子が2歳到達済／","")&amp;IF(AND($H316&lt;&gt;"",INDEX(職員マスタ!$B$6:$B$405,$AP316)&lt;&gt;"",SUBSTITUTE(SUBSTITUTE($H316," ","")," ","")&lt;&gt;SUBSTITUTE(SUBSTITUTE(INDEX(職員マスタ!$B$6:$B$405,$AP316)," ","")," ","")),"氏名がマスタと相違／","")&amp;IF(AND($Q316&lt;&gt;"",INDEX(職員マスタ!$E$6:$E$405,$AP316)&lt;&gt;"",$Q316&lt;&gt;INDEX(職員マスタ!$E$6:$E$405,$AP316)),"子の生年月日がマスタと相違／","")&amp;IF(AND($L316&lt;&gt;"",INDEX(職員マスタ!$G$6:$G$405,$AP316)&lt;&gt;"",$L316&lt;&gt;INDEX(職員マスタ!$G$6:$G$405,$AP316)),"時短開始日がマスタと相違／","")&amp;IF(AND($M316&lt;&gt;"",INDEX(職員マスタ!$H$6:$H$405,$AP316)&lt;&gt;"",$M316&lt;&gt;INDEX(職員マスタ!$H$6:$H$405,$AP316)),"時短終了日がマスタと相違／","")))&amp;IF(AND($B316&lt;&gt;"",$E316=""),"報酬額が未入力／","")&amp;IF(N($U316)&gt;0,"申請書に入力エラーが残っています／","")&amp;IF(AND($B316&lt;&gt;"",$AQ316&lt;&gt;""),IF(COUNTIFS($B$6:$B$3005,$B316,$C$6:$C$3005,$C316,$D$6:$D$3005,$D316)&gt;1,"同じ月の請求が重複しています／",""),"")&amp;IF(AND(N($E316)&gt;0,$AB316&lt;&gt;"",$AB316&lt;&gt;"×",$AE316=0,$AD316=""),"計算額が下限以下のため不支給／",""))</f>
        <v/>
      </c>
      <c r="AN316" s="12" t="n"/>
      <c r="AO316" s="14">
        <f>IF($AF316="保留中",COUNTIF($AF$6:$AF316,"保留中"),"")</f>
        <v/>
      </c>
      <c r="AP316" s="14">
        <f>IF($AQ316="","",IF(SUMPRODUCT(MAX((職員マスタ!$A$6:$A$405=$B316)*(((職員マスタ!$G$6:$G$405="")+(職員マスタ!$G$6:$G$405&lt;=EOMONTH($AQ316,0)))&gt;0)*(((職員マスタ!$H$6:$H$405="")+(職員マスタ!$H$6:$H$405&gt;=$AQ316))&gt;0)*(ROW(職員マスタ!$A$6:$A$405)-5)))&gt;0,SUMPRODUCT(MAX((職員マスタ!$A$6:$A$405=$B316)*(((職員マスタ!$G$6:$G$405="")+(職員マスタ!$G$6:$G$405&lt;=EOMONTH($AQ316,0)))&gt;0)*(((職員マスタ!$H$6:$H$405="")+(職員マスタ!$H$6:$H$405&gt;=$AQ316))&gt;0)*(ROW(職員マスタ!$A$6:$A$405)-5))),IFERROR(MATCH($B316,職員マスタ!$A$6:$A$405,0),"")))</f>
        <v/>
      </c>
      <c r="AQ316" s="16">
        <f>IF(OR($B316="",$C316="",$D316=""),"",DATE($C316+2018,$D316,1))</f>
        <v/>
      </c>
    </row>
    <row r="317">
      <c r="A317" s="11" t="n"/>
      <c r="B317" s="12" t="n">
        <v>6702534</v>
      </c>
      <c r="C317" s="12" t="n">
        <v>7</v>
      </c>
      <c r="D317" s="12" t="n">
        <v>5</v>
      </c>
      <c r="E317" s="13" t="n">
        <v>191934</v>
      </c>
      <c r="F317" s="12" t="n"/>
      <c r="G317" s="13" t="n"/>
      <c r="H317" s="12" t="n"/>
      <c r="I317" s="12" t="n"/>
      <c r="J317" s="12" t="n"/>
      <c r="K317" s="12" t="n"/>
      <c r="L317" s="11" t="n"/>
      <c r="M317" s="11" t="n"/>
      <c r="N317" s="11" t="n"/>
      <c r="O317" s="11" t="n"/>
      <c r="P317" s="12" t="n"/>
      <c r="Q317" s="11" t="n"/>
      <c r="R317" s="12" t="n"/>
      <c r="S317" s="11" t="n"/>
      <c r="T317" s="12" t="n"/>
      <c r="U317" s="12" t="n"/>
      <c r="V317" s="12" t="n"/>
      <c r="W317" s="13" t="n"/>
      <c r="X317" s="14">
        <f>IF($AP317="",IF($B317="","",$H317),IF(INDEX(職員マスタ!$B$6:$B$405,$AP317)="",$H317,INDEX(職員マスタ!$B$6:$B$405,$AP317)))</f>
        <v/>
      </c>
      <c r="Y317" s="14">
        <f>IF($AP317="",IF($B317="","",$R317),IF(INDEX(職員マスタ!$C$6:$C$405,$AP317)="",$R317,INDEX(職員マスタ!$C$6:$C$405,$AP317)))</f>
        <v/>
      </c>
      <c r="Z317" s="14">
        <f>IF($AQ317="","","R"&amp;$C317&amp;"."&amp;$D317)</f>
        <v/>
      </c>
      <c r="AA317" s="15">
        <f>IF(IF($AP317="",FALSE,INDEX(職員マスタ!$K$6:$K$405,$AP317)&lt;&gt;""),INDEX(職員マスタ!$K$6:$K$405,$AP317),IF(N($W317)&gt;0,$W317,""))</f>
        <v/>
      </c>
      <c r="AB317" s="14">
        <f>IF(OR($E317="",$AA317=""),"",IF($E317&gt;=$AA317,"×",IF($E317&gt;=$AA317*設定!$C$5,"△","○")))</f>
        <v/>
      </c>
      <c r="AC317" s="15">
        <f>IF($AB317="","",IF($AB317="×",0,IF($AB317="○",ROUNDDOWN($E317*設定!$C$4,0),ROUNDDOWN($E317*ROUND((9*$AA317-9*$E317)/(10*$E317),4),0))))</f>
        <v/>
      </c>
      <c r="AD317" s="13" t="n"/>
      <c r="AE317" s="15">
        <f>IF($B317="","",IF($AD317&lt;&gt;"",$AD317,IF($AC317="","",IF($AC317&lt;=設定!$C$3,0,$AC317))))</f>
        <v/>
      </c>
      <c r="AF317" s="14">
        <f>IF($B317="","",IF(AND($AG317&lt;&gt;"",$AI317="",$AL317=""),"保留中",IF($AL317&lt;&gt;"",IF(N($AE317)&gt;0,"支給済","不支給"),IF($AE317="","要確認",IF($AE317=0,"不支給","未処理")))))</f>
        <v/>
      </c>
      <c r="AG317" s="12" t="n"/>
      <c r="AH317" s="11" t="n"/>
      <c r="AI317" s="11" t="n"/>
      <c r="AJ317" s="11" t="n"/>
      <c r="AK317" s="14">
        <f>IF(AND($AF317="保留中",$AH317&lt;&gt;""),TODAY()-$AH317,"")</f>
        <v/>
      </c>
      <c r="AL317" s="12" t="inlineStr">
        <is>
          <t>R7.8</t>
        </is>
      </c>
      <c r="AM317" s="14">
        <f>IF($B317="","",IF($AQ317="","対象年月が未入力／","")&amp;IF($B317="","",IF($AP317="","職員マスタに未登録の職員番号／",IF($AA317="","標準報酬月額が未登録／","")&amp;IF(AND($AQ317&lt;&gt;"",OR(AND(INDEX(職員マスタ!$G$6:$G$405,$AP317)&lt;&gt;"",INDEX(職員マスタ!$G$6:$G$405,$AP317)&gt;EOMONTH($AQ317,0)),AND(INDEX(職員マスタ!$H$6:$H$405,$AP317)&lt;&gt;"",INDEX(職員マスタ!$H$6:$H$405,$AP317)&lt;$AQ317))),"対象月が時短期間外／","")&amp;IF(AND(INDEX(職員マスタ!$K$6:$K$405,$AP317)&lt;&gt;"",N($W317)&gt;0,INDEX(職員マスタ!$K$6:$K$405,$AP317)&lt;&gt;$W317),"標準報酬月額が申請書と相違（台帳"&amp;TEXT(INDEX(職員マスタ!$K$6:$K$405,$AP317),"#,##0")&amp;"円／申請書"&amp;TEXT($W317,"#,##0")&amp;"円）／","")&amp;IF(AND(INDEX(職員マスタ!$F$6:$F$405,$AP317)&lt;&gt;"",$AQ317&lt;&gt;"",INDEX(職員マスタ!$F$6:$F$405,$AP317)&lt;$AQ317),"対象月に子が2歳到達済／","")&amp;IF(AND($H317&lt;&gt;"",INDEX(職員マスタ!$B$6:$B$405,$AP317)&lt;&gt;"",SUBSTITUTE(SUBSTITUTE($H317," ","")," ","")&lt;&gt;SUBSTITUTE(SUBSTITUTE(INDEX(職員マスタ!$B$6:$B$405,$AP317)," ","")," ","")),"氏名がマスタと相違／","")&amp;IF(AND($Q317&lt;&gt;"",INDEX(職員マスタ!$E$6:$E$405,$AP317)&lt;&gt;"",$Q317&lt;&gt;INDEX(職員マスタ!$E$6:$E$405,$AP317)),"子の生年月日がマスタと相違／","")&amp;IF(AND($L317&lt;&gt;"",INDEX(職員マスタ!$G$6:$G$405,$AP317)&lt;&gt;"",$L317&lt;&gt;INDEX(職員マスタ!$G$6:$G$405,$AP317)),"時短開始日がマスタと相違／","")&amp;IF(AND($M317&lt;&gt;"",INDEX(職員マスタ!$H$6:$H$405,$AP317)&lt;&gt;"",$M317&lt;&gt;INDEX(職員マスタ!$H$6:$H$405,$AP317)),"時短終了日がマスタと相違／","")))&amp;IF(AND($B317&lt;&gt;"",$E317=""),"報酬額が未入力／","")&amp;IF(N($U317)&gt;0,"申請書に入力エラーが残っています／","")&amp;IF(AND($B317&lt;&gt;"",$AQ317&lt;&gt;""),IF(COUNTIFS($B$6:$B$3005,$B317,$C$6:$C$3005,$C317,$D$6:$D$3005,$D317)&gt;1,"同じ月の請求が重複しています／",""),"")&amp;IF(AND(N($E317)&gt;0,$AB317&lt;&gt;"",$AB317&lt;&gt;"×",$AE317=0,$AD317=""),"計算額が下限以下のため不支給／",""))</f>
        <v/>
      </c>
      <c r="AN317" s="12" t="n"/>
      <c r="AO317" s="14">
        <f>IF($AF317="保留中",COUNTIF($AF$6:$AF317,"保留中"),"")</f>
        <v/>
      </c>
      <c r="AP317" s="14">
        <f>IF($AQ317="","",IF(SUMPRODUCT(MAX((職員マスタ!$A$6:$A$405=$B317)*(((職員マスタ!$G$6:$G$405="")+(職員マスタ!$G$6:$G$405&lt;=EOMONTH($AQ317,0)))&gt;0)*(((職員マスタ!$H$6:$H$405="")+(職員マスタ!$H$6:$H$405&gt;=$AQ317))&gt;0)*(ROW(職員マスタ!$A$6:$A$405)-5)))&gt;0,SUMPRODUCT(MAX((職員マスタ!$A$6:$A$405=$B317)*(((職員マスタ!$G$6:$G$405="")+(職員マスタ!$G$6:$G$405&lt;=EOMONTH($AQ317,0)))&gt;0)*(((職員マスタ!$H$6:$H$405="")+(職員マスタ!$H$6:$H$405&gt;=$AQ317))&gt;0)*(ROW(職員マスタ!$A$6:$A$405)-5))),IFERROR(MATCH($B317,職員マスタ!$A$6:$A$405,0),"")))</f>
        <v/>
      </c>
      <c r="AQ317" s="16">
        <f>IF(OR($B317="",$C317="",$D317=""),"",DATE($C317+2018,$D317,1))</f>
        <v/>
      </c>
    </row>
    <row r="318">
      <c r="A318" s="11" t="n"/>
      <c r="B318" s="12" t="n">
        <v>6702534</v>
      </c>
      <c r="C318" s="12" t="n">
        <v>7</v>
      </c>
      <c r="D318" s="12" t="n">
        <v>6</v>
      </c>
      <c r="E318" s="13" t="n">
        <v>188418</v>
      </c>
      <c r="F318" s="12" t="n"/>
      <c r="G318" s="13" t="n"/>
      <c r="H318" s="12" t="n"/>
      <c r="I318" s="12" t="n"/>
      <c r="J318" s="12" t="n"/>
      <c r="K318" s="12" t="n"/>
      <c r="L318" s="11" t="n"/>
      <c r="M318" s="11" t="n"/>
      <c r="N318" s="11" t="n"/>
      <c r="O318" s="11" t="n"/>
      <c r="P318" s="12" t="n"/>
      <c r="Q318" s="11" t="n"/>
      <c r="R318" s="12" t="n"/>
      <c r="S318" s="11" t="n"/>
      <c r="T318" s="12" t="n"/>
      <c r="U318" s="12" t="n"/>
      <c r="V318" s="12" t="n"/>
      <c r="W318" s="13" t="n"/>
      <c r="X318" s="14">
        <f>IF($AP318="",IF($B318="","",$H318),IF(INDEX(職員マスタ!$B$6:$B$405,$AP318)="",$H318,INDEX(職員マスタ!$B$6:$B$405,$AP318)))</f>
        <v/>
      </c>
      <c r="Y318" s="14">
        <f>IF($AP318="",IF($B318="","",$R318),IF(INDEX(職員マスタ!$C$6:$C$405,$AP318)="",$R318,INDEX(職員マスタ!$C$6:$C$405,$AP318)))</f>
        <v/>
      </c>
      <c r="Z318" s="14">
        <f>IF($AQ318="","","R"&amp;$C318&amp;"."&amp;$D318)</f>
        <v/>
      </c>
      <c r="AA318" s="15">
        <f>IF(IF($AP318="",FALSE,INDEX(職員マスタ!$K$6:$K$405,$AP318)&lt;&gt;""),INDEX(職員マスタ!$K$6:$K$405,$AP318),IF(N($W318)&gt;0,$W318,""))</f>
        <v/>
      </c>
      <c r="AB318" s="14">
        <f>IF(OR($E318="",$AA318=""),"",IF($E318&gt;=$AA318,"×",IF($E318&gt;=$AA318*設定!$C$5,"△","○")))</f>
        <v/>
      </c>
      <c r="AC318" s="15">
        <f>IF($AB318="","",IF($AB318="×",0,IF($AB318="○",ROUNDDOWN($E318*設定!$C$4,0),ROUNDDOWN($E318*ROUND((9*$AA318-9*$E318)/(10*$E318),4),0))))</f>
        <v/>
      </c>
      <c r="AD318" s="13" t="n"/>
      <c r="AE318" s="15">
        <f>IF($B318="","",IF($AD318&lt;&gt;"",$AD318,IF($AC318="","",IF($AC318&lt;=設定!$C$3,0,$AC318))))</f>
        <v/>
      </c>
      <c r="AF318" s="14">
        <f>IF($B318="","",IF(AND($AG318&lt;&gt;"",$AI318="",$AL318=""),"保留中",IF($AL318&lt;&gt;"",IF(N($AE318)&gt;0,"支給済","不支給"),IF($AE318="","要確認",IF($AE318=0,"不支給","未処理")))))</f>
        <v/>
      </c>
      <c r="AG318" s="12" t="n"/>
      <c r="AH318" s="11" t="n"/>
      <c r="AI318" s="11" t="n"/>
      <c r="AJ318" s="11" t="n"/>
      <c r="AK318" s="14">
        <f>IF(AND($AF318="保留中",$AH318&lt;&gt;""),TODAY()-$AH318,"")</f>
        <v/>
      </c>
      <c r="AL318" s="12" t="inlineStr">
        <is>
          <t>R7.8</t>
        </is>
      </c>
      <c r="AM318" s="14">
        <f>IF($B318="","",IF($AQ318="","対象年月が未入力／","")&amp;IF($B318="","",IF($AP318="","職員マスタに未登録の職員番号／",IF($AA318="","標準報酬月額が未登録／","")&amp;IF(AND($AQ318&lt;&gt;"",OR(AND(INDEX(職員マスタ!$G$6:$G$405,$AP318)&lt;&gt;"",INDEX(職員マスタ!$G$6:$G$405,$AP318)&gt;EOMONTH($AQ318,0)),AND(INDEX(職員マスタ!$H$6:$H$405,$AP318)&lt;&gt;"",INDEX(職員マスタ!$H$6:$H$405,$AP318)&lt;$AQ318))),"対象月が時短期間外／","")&amp;IF(AND(INDEX(職員マスタ!$K$6:$K$405,$AP318)&lt;&gt;"",N($W318)&gt;0,INDEX(職員マスタ!$K$6:$K$405,$AP318)&lt;&gt;$W318),"標準報酬月額が申請書と相違（台帳"&amp;TEXT(INDEX(職員マスタ!$K$6:$K$405,$AP318),"#,##0")&amp;"円／申請書"&amp;TEXT($W318,"#,##0")&amp;"円）／","")&amp;IF(AND(INDEX(職員マスタ!$F$6:$F$405,$AP318)&lt;&gt;"",$AQ318&lt;&gt;"",INDEX(職員マスタ!$F$6:$F$405,$AP318)&lt;$AQ318),"対象月に子が2歳到達済／","")&amp;IF(AND($H318&lt;&gt;"",INDEX(職員マスタ!$B$6:$B$405,$AP318)&lt;&gt;"",SUBSTITUTE(SUBSTITUTE($H318," ","")," ","")&lt;&gt;SUBSTITUTE(SUBSTITUTE(INDEX(職員マスタ!$B$6:$B$405,$AP318)," ","")," ","")),"氏名がマスタと相違／","")&amp;IF(AND($Q318&lt;&gt;"",INDEX(職員マスタ!$E$6:$E$405,$AP318)&lt;&gt;"",$Q318&lt;&gt;INDEX(職員マスタ!$E$6:$E$405,$AP318)),"子の生年月日がマスタと相違／","")&amp;IF(AND($L318&lt;&gt;"",INDEX(職員マスタ!$G$6:$G$405,$AP318)&lt;&gt;"",$L318&lt;&gt;INDEX(職員マスタ!$G$6:$G$405,$AP318)),"時短開始日がマスタと相違／","")&amp;IF(AND($M318&lt;&gt;"",INDEX(職員マスタ!$H$6:$H$405,$AP318)&lt;&gt;"",$M318&lt;&gt;INDEX(職員マスタ!$H$6:$H$405,$AP318)),"時短終了日がマスタと相違／","")))&amp;IF(AND($B318&lt;&gt;"",$E318=""),"報酬額が未入力／","")&amp;IF(N($U318)&gt;0,"申請書に入力エラーが残っています／","")&amp;IF(AND($B318&lt;&gt;"",$AQ318&lt;&gt;""),IF(COUNTIFS($B$6:$B$3005,$B318,$C$6:$C$3005,$C318,$D$6:$D$3005,$D318)&gt;1,"同じ月の請求が重複しています／",""),"")&amp;IF(AND(N($E318)&gt;0,$AB318&lt;&gt;"",$AB318&lt;&gt;"×",$AE318=0,$AD318=""),"計算額が下限以下のため不支給／",""))</f>
        <v/>
      </c>
      <c r="AN318" s="12" t="n"/>
      <c r="AO318" s="14">
        <f>IF($AF318="保留中",COUNTIF($AF$6:$AF318,"保留中"),"")</f>
        <v/>
      </c>
      <c r="AP318" s="14">
        <f>IF($AQ318="","",IF(SUMPRODUCT(MAX((職員マスタ!$A$6:$A$405=$B318)*(((職員マスタ!$G$6:$G$405="")+(職員マスタ!$G$6:$G$405&lt;=EOMONTH($AQ318,0)))&gt;0)*(((職員マスタ!$H$6:$H$405="")+(職員マスタ!$H$6:$H$405&gt;=$AQ318))&gt;0)*(ROW(職員マスタ!$A$6:$A$405)-5)))&gt;0,SUMPRODUCT(MAX((職員マスタ!$A$6:$A$405=$B318)*(((職員マスタ!$G$6:$G$405="")+(職員マスタ!$G$6:$G$405&lt;=EOMONTH($AQ318,0)))&gt;0)*(((職員マスタ!$H$6:$H$405="")+(職員マスタ!$H$6:$H$405&gt;=$AQ318))&gt;0)*(ROW(職員マスタ!$A$6:$A$405)-5))),IFERROR(MATCH($B318,職員マスタ!$A$6:$A$405,0),"")))</f>
        <v/>
      </c>
      <c r="AQ318" s="16">
        <f>IF(OR($B318="",$C318="",$D318=""),"",DATE($C318+2018,$D318,1))</f>
        <v/>
      </c>
    </row>
    <row r="319">
      <c r="A319" s="11" t="n"/>
      <c r="B319" s="12" t="n">
        <v>6702534</v>
      </c>
      <c r="C319" s="12" t="n">
        <v>7</v>
      </c>
      <c r="D319" s="12" t="n">
        <v>7</v>
      </c>
      <c r="E319" s="13" t="n">
        <v>195694</v>
      </c>
      <c r="F319" s="12" t="n"/>
      <c r="G319" s="13" t="n"/>
      <c r="H319" s="12" t="n"/>
      <c r="I319" s="12" t="n"/>
      <c r="J319" s="12" t="n"/>
      <c r="K319" s="12" t="n"/>
      <c r="L319" s="11" t="n"/>
      <c r="M319" s="11" t="n"/>
      <c r="N319" s="11" t="n"/>
      <c r="O319" s="11" t="n"/>
      <c r="P319" s="12" t="n"/>
      <c r="Q319" s="11" t="n"/>
      <c r="R319" s="12" t="n"/>
      <c r="S319" s="11" t="n"/>
      <c r="T319" s="12" t="n"/>
      <c r="U319" s="12" t="n"/>
      <c r="V319" s="12" t="n"/>
      <c r="W319" s="13" t="n"/>
      <c r="X319" s="14">
        <f>IF($AP319="",IF($B319="","",$H319),IF(INDEX(職員マスタ!$B$6:$B$405,$AP319)="",$H319,INDEX(職員マスタ!$B$6:$B$405,$AP319)))</f>
        <v/>
      </c>
      <c r="Y319" s="14">
        <f>IF($AP319="",IF($B319="","",$R319),IF(INDEX(職員マスタ!$C$6:$C$405,$AP319)="",$R319,INDEX(職員マスタ!$C$6:$C$405,$AP319)))</f>
        <v/>
      </c>
      <c r="Z319" s="14">
        <f>IF($AQ319="","","R"&amp;$C319&amp;"."&amp;$D319)</f>
        <v/>
      </c>
      <c r="AA319" s="15">
        <f>IF(IF($AP319="",FALSE,INDEX(職員マスタ!$K$6:$K$405,$AP319)&lt;&gt;""),INDEX(職員マスタ!$K$6:$K$405,$AP319),IF(N($W319)&gt;0,$W319,""))</f>
        <v/>
      </c>
      <c r="AB319" s="14">
        <f>IF(OR($E319="",$AA319=""),"",IF($E319&gt;=$AA319,"×",IF($E319&gt;=$AA319*設定!$C$5,"△","○")))</f>
        <v/>
      </c>
      <c r="AC319" s="15">
        <f>IF($AB319="","",IF($AB319="×",0,IF($AB319="○",ROUNDDOWN($E319*設定!$C$4,0),ROUNDDOWN($E319*ROUND((9*$AA319-9*$E319)/(10*$E319),4),0))))</f>
        <v/>
      </c>
      <c r="AD319" s="13" t="n"/>
      <c r="AE319" s="15">
        <f>IF($B319="","",IF($AD319&lt;&gt;"",$AD319,IF($AC319="","",IF($AC319&lt;=設定!$C$3,0,$AC319))))</f>
        <v/>
      </c>
      <c r="AF319" s="14">
        <f>IF($B319="","",IF(AND($AG319&lt;&gt;"",$AI319="",$AL319=""),"保留中",IF($AL319&lt;&gt;"",IF(N($AE319)&gt;0,"支給済","不支給"),IF($AE319="","要確認",IF($AE319=0,"不支給","未処理")))))</f>
        <v/>
      </c>
      <c r="AG319" s="12" t="n"/>
      <c r="AH319" s="11" t="n"/>
      <c r="AI319" s="11" t="n"/>
      <c r="AJ319" s="11" t="n"/>
      <c r="AK319" s="14">
        <f>IF(AND($AF319="保留中",$AH319&lt;&gt;""),TODAY()-$AH319,"")</f>
        <v/>
      </c>
      <c r="AL319" s="12" t="inlineStr">
        <is>
          <t>R7.9</t>
        </is>
      </c>
      <c r="AM319" s="14">
        <f>IF($B319="","",IF($AQ319="","対象年月が未入力／","")&amp;IF($B319="","",IF($AP319="","職員マスタに未登録の職員番号／",IF($AA319="","標準報酬月額が未登録／","")&amp;IF(AND($AQ319&lt;&gt;"",OR(AND(INDEX(職員マスタ!$G$6:$G$405,$AP319)&lt;&gt;"",INDEX(職員マスタ!$G$6:$G$405,$AP319)&gt;EOMONTH($AQ319,0)),AND(INDEX(職員マスタ!$H$6:$H$405,$AP319)&lt;&gt;"",INDEX(職員マスタ!$H$6:$H$405,$AP319)&lt;$AQ319))),"対象月が時短期間外／","")&amp;IF(AND(INDEX(職員マスタ!$K$6:$K$405,$AP319)&lt;&gt;"",N($W319)&gt;0,INDEX(職員マスタ!$K$6:$K$405,$AP319)&lt;&gt;$W319),"標準報酬月額が申請書と相違（台帳"&amp;TEXT(INDEX(職員マスタ!$K$6:$K$405,$AP319),"#,##0")&amp;"円／申請書"&amp;TEXT($W319,"#,##0")&amp;"円）／","")&amp;IF(AND(INDEX(職員マスタ!$F$6:$F$405,$AP319)&lt;&gt;"",$AQ319&lt;&gt;"",INDEX(職員マスタ!$F$6:$F$405,$AP319)&lt;$AQ319),"対象月に子が2歳到達済／","")&amp;IF(AND($H319&lt;&gt;"",INDEX(職員マスタ!$B$6:$B$405,$AP319)&lt;&gt;"",SUBSTITUTE(SUBSTITUTE($H319," ","")," ","")&lt;&gt;SUBSTITUTE(SUBSTITUTE(INDEX(職員マスタ!$B$6:$B$405,$AP319)," ","")," ","")),"氏名がマスタと相違／","")&amp;IF(AND($Q319&lt;&gt;"",INDEX(職員マスタ!$E$6:$E$405,$AP319)&lt;&gt;"",$Q319&lt;&gt;INDEX(職員マスタ!$E$6:$E$405,$AP319)),"子の生年月日がマスタと相違／","")&amp;IF(AND($L319&lt;&gt;"",INDEX(職員マスタ!$G$6:$G$405,$AP319)&lt;&gt;"",$L319&lt;&gt;INDEX(職員マスタ!$G$6:$G$405,$AP319)),"時短開始日がマスタと相違／","")&amp;IF(AND($M319&lt;&gt;"",INDEX(職員マスタ!$H$6:$H$405,$AP319)&lt;&gt;"",$M319&lt;&gt;INDEX(職員マスタ!$H$6:$H$405,$AP319)),"時短終了日がマスタと相違／","")))&amp;IF(AND($B319&lt;&gt;"",$E319=""),"報酬額が未入力／","")&amp;IF(N($U319)&gt;0,"申請書に入力エラーが残っています／","")&amp;IF(AND($B319&lt;&gt;"",$AQ319&lt;&gt;""),IF(COUNTIFS($B$6:$B$3005,$B319,$C$6:$C$3005,$C319,$D$6:$D$3005,$D319)&gt;1,"同じ月の請求が重複しています／",""),"")&amp;IF(AND(N($E319)&gt;0,$AB319&lt;&gt;"",$AB319&lt;&gt;"×",$AE319=0,$AD319=""),"計算額が下限以下のため不支給／",""))</f>
        <v/>
      </c>
      <c r="AN319" s="12" t="n"/>
      <c r="AO319" s="14">
        <f>IF($AF319="保留中",COUNTIF($AF$6:$AF319,"保留中"),"")</f>
        <v/>
      </c>
      <c r="AP319" s="14">
        <f>IF($AQ319="","",IF(SUMPRODUCT(MAX((職員マスタ!$A$6:$A$405=$B319)*(((職員マスタ!$G$6:$G$405="")+(職員マスタ!$G$6:$G$405&lt;=EOMONTH($AQ319,0)))&gt;0)*(((職員マスタ!$H$6:$H$405="")+(職員マスタ!$H$6:$H$405&gt;=$AQ319))&gt;0)*(ROW(職員マスタ!$A$6:$A$405)-5)))&gt;0,SUMPRODUCT(MAX((職員マスタ!$A$6:$A$405=$B319)*(((職員マスタ!$G$6:$G$405="")+(職員マスタ!$G$6:$G$405&lt;=EOMONTH($AQ319,0)))&gt;0)*(((職員マスタ!$H$6:$H$405="")+(職員マスタ!$H$6:$H$405&gt;=$AQ319))&gt;0)*(ROW(職員マスタ!$A$6:$A$405)-5))),IFERROR(MATCH($B319,職員マスタ!$A$6:$A$405,0),"")))</f>
        <v/>
      </c>
      <c r="AQ319" s="16">
        <f>IF(OR($B319="",$C319="",$D319=""),"",DATE($C319+2018,$D319,1))</f>
        <v/>
      </c>
    </row>
    <row r="320">
      <c r="A320" s="11" t="n"/>
      <c r="B320" s="12" t="n">
        <v>6702534</v>
      </c>
      <c r="C320" s="12" t="n">
        <v>7</v>
      </c>
      <c r="D320" s="12" t="n">
        <v>8</v>
      </c>
      <c r="E320" s="13" t="n">
        <v>188418</v>
      </c>
      <c r="F320" s="12" t="n"/>
      <c r="G320" s="13" t="n"/>
      <c r="H320" s="12" t="n"/>
      <c r="I320" s="12" t="n"/>
      <c r="J320" s="12" t="n"/>
      <c r="K320" s="12" t="n"/>
      <c r="L320" s="11" t="n"/>
      <c r="M320" s="11" t="n"/>
      <c r="N320" s="11" t="n"/>
      <c r="O320" s="11" t="n"/>
      <c r="P320" s="12" t="n"/>
      <c r="Q320" s="11" t="n"/>
      <c r="R320" s="12" t="n"/>
      <c r="S320" s="11" t="n"/>
      <c r="T320" s="12" t="n"/>
      <c r="U320" s="12" t="n"/>
      <c r="V320" s="12" t="n"/>
      <c r="W320" s="13" t="n"/>
      <c r="X320" s="14">
        <f>IF($AP320="",IF($B320="","",$H320),IF(INDEX(職員マスタ!$B$6:$B$405,$AP320)="",$H320,INDEX(職員マスタ!$B$6:$B$405,$AP320)))</f>
        <v/>
      </c>
      <c r="Y320" s="14">
        <f>IF($AP320="",IF($B320="","",$R320),IF(INDEX(職員マスタ!$C$6:$C$405,$AP320)="",$R320,INDEX(職員マスタ!$C$6:$C$405,$AP320)))</f>
        <v/>
      </c>
      <c r="Z320" s="14">
        <f>IF($AQ320="","","R"&amp;$C320&amp;"."&amp;$D320)</f>
        <v/>
      </c>
      <c r="AA320" s="15">
        <f>IF(IF($AP320="",FALSE,INDEX(職員マスタ!$K$6:$K$405,$AP320)&lt;&gt;""),INDEX(職員マスタ!$K$6:$K$405,$AP320),IF(N($W320)&gt;0,$W320,""))</f>
        <v/>
      </c>
      <c r="AB320" s="14">
        <f>IF(OR($E320="",$AA320=""),"",IF($E320&gt;=$AA320,"×",IF($E320&gt;=$AA320*設定!$C$5,"△","○")))</f>
        <v/>
      </c>
      <c r="AC320" s="15">
        <f>IF($AB320="","",IF($AB320="×",0,IF($AB320="○",ROUNDDOWN($E320*設定!$C$4,0),ROUNDDOWN($E320*ROUND((9*$AA320-9*$E320)/(10*$E320),4),0))))</f>
        <v/>
      </c>
      <c r="AD320" s="13" t="n"/>
      <c r="AE320" s="15">
        <f>IF($B320="","",IF($AD320&lt;&gt;"",$AD320,IF($AC320="","",IF($AC320&lt;=設定!$C$3,0,$AC320))))</f>
        <v/>
      </c>
      <c r="AF320" s="14">
        <f>IF($B320="","",IF(AND($AG320&lt;&gt;"",$AI320="",$AL320=""),"保留中",IF($AL320&lt;&gt;"",IF(N($AE320)&gt;0,"支給済","不支給"),IF($AE320="","要確認",IF($AE320=0,"不支給","未処理")))))</f>
        <v/>
      </c>
      <c r="AG320" s="12" t="n"/>
      <c r="AH320" s="11" t="n"/>
      <c r="AI320" s="11" t="n"/>
      <c r="AJ320" s="11" t="n"/>
      <c r="AK320" s="14">
        <f>IF(AND($AF320="保留中",$AH320&lt;&gt;""),TODAY()-$AH320,"")</f>
        <v/>
      </c>
      <c r="AL320" s="12" t="inlineStr">
        <is>
          <t>R7.10</t>
        </is>
      </c>
      <c r="AM320" s="14">
        <f>IF($B320="","",IF($AQ320="","対象年月が未入力／","")&amp;IF($B320="","",IF($AP320="","職員マスタに未登録の職員番号／",IF($AA320="","標準報酬月額が未登録／","")&amp;IF(AND($AQ320&lt;&gt;"",OR(AND(INDEX(職員マスタ!$G$6:$G$405,$AP320)&lt;&gt;"",INDEX(職員マスタ!$G$6:$G$405,$AP320)&gt;EOMONTH($AQ320,0)),AND(INDEX(職員マスタ!$H$6:$H$405,$AP320)&lt;&gt;"",INDEX(職員マスタ!$H$6:$H$405,$AP320)&lt;$AQ320))),"対象月が時短期間外／","")&amp;IF(AND(INDEX(職員マスタ!$K$6:$K$405,$AP320)&lt;&gt;"",N($W320)&gt;0,INDEX(職員マスタ!$K$6:$K$405,$AP320)&lt;&gt;$W320),"標準報酬月額が申請書と相違（台帳"&amp;TEXT(INDEX(職員マスタ!$K$6:$K$405,$AP320),"#,##0")&amp;"円／申請書"&amp;TEXT($W320,"#,##0")&amp;"円）／","")&amp;IF(AND(INDEX(職員マスタ!$F$6:$F$405,$AP320)&lt;&gt;"",$AQ320&lt;&gt;"",INDEX(職員マスタ!$F$6:$F$405,$AP320)&lt;$AQ320),"対象月に子が2歳到達済／","")&amp;IF(AND($H320&lt;&gt;"",INDEX(職員マスタ!$B$6:$B$405,$AP320)&lt;&gt;"",SUBSTITUTE(SUBSTITUTE($H320," ","")," ","")&lt;&gt;SUBSTITUTE(SUBSTITUTE(INDEX(職員マスタ!$B$6:$B$405,$AP320)," ","")," ","")),"氏名がマスタと相違／","")&amp;IF(AND($Q320&lt;&gt;"",INDEX(職員マスタ!$E$6:$E$405,$AP320)&lt;&gt;"",$Q320&lt;&gt;INDEX(職員マスタ!$E$6:$E$405,$AP320)),"子の生年月日がマスタと相違／","")&amp;IF(AND($L320&lt;&gt;"",INDEX(職員マスタ!$G$6:$G$405,$AP320)&lt;&gt;"",$L320&lt;&gt;INDEX(職員マスタ!$G$6:$G$405,$AP320)),"時短開始日がマスタと相違／","")&amp;IF(AND($M320&lt;&gt;"",INDEX(職員マスタ!$H$6:$H$405,$AP320)&lt;&gt;"",$M320&lt;&gt;INDEX(職員マスタ!$H$6:$H$405,$AP320)),"時短終了日がマスタと相違／","")))&amp;IF(AND($B320&lt;&gt;"",$E320=""),"報酬額が未入力／","")&amp;IF(N($U320)&gt;0,"申請書に入力エラーが残っています／","")&amp;IF(AND($B320&lt;&gt;"",$AQ320&lt;&gt;""),IF(COUNTIFS($B$6:$B$3005,$B320,$C$6:$C$3005,$C320,$D$6:$D$3005,$D320)&gt;1,"同じ月の請求が重複しています／",""),"")&amp;IF(AND(N($E320)&gt;0,$AB320&lt;&gt;"",$AB320&lt;&gt;"×",$AE320=0,$AD320=""),"計算額が下限以下のため不支給／",""))</f>
        <v/>
      </c>
      <c r="AN320" s="12" t="n"/>
      <c r="AO320" s="14">
        <f>IF($AF320="保留中",COUNTIF($AF$6:$AF320,"保留中"),"")</f>
        <v/>
      </c>
      <c r="AP320" s="14">
        <f>IF($AQ320="","",IF(SUMPRODUCT(MAX((職員マスタ!$A$6:$A$405=$B320)*(((職員マスタ!$G$6:$G$405="")+(職員マスタ!$G$6:$G$405&lt;=EOMONTH($AQ320,0)))&gt;0)*(((職員マスタ!$H$6:$H$405="")+(職員マスタ!$H$6:$H$405&gt;=$AQ320))&gt;0)*(ROW(職員マスタ!$A$6:$A$405)-5)))&gt;0,SUMPRODUCT(MAX((職員マスタ!$A$6:$A$405=$B320)*(((職員マスタ!$G$6:$G$405="")+(職員マスタ!$G$6:$G$405&lt;=EOMONTH($AQ320,0)))&gt;0)*(((職員マスタ!$H$6:$H$405="")+(職員マスタ!$H$6:$H$405&gt;=$AQ320))&gt;0)*(ROW(職員マスタ!$A$6:$A$405)-5))),IFERROR(MATCH($B320,職員マスタ!$A$6:$A$405,0),"")))</f>
        <v/>
      </c>
      <c r="AQ320" s="16">
        <f>IF(OR($B320="",$C320="",$D320=""),"",DATE($C320+2018,$D320,1))</f>
        <v/>
      </c>
    </row>
    <row r="321">
      <c r="A321" s="11" t="n"/>
      <c r="B321" s="12" t="n">
        <v>6702534</v>
      </c>
      <c r="C321" s="12" t="n">
        <v>7</v>
      </c>
      <c r="D321" s="12" t="n">
        <v>9</v>
      </c>
      <c r="E321" s="13" t="n">
        <v>192058</v>
      </c>
      <c r="F321" s="12" t="n"/>
      <c r="G321" s="13" t="n"/>
      <c r="H321" s="12" t="n"/>
      <c r="I321" s="12" t="n"/>
      <c r="J321" s="12" t="n"/>
      <c r="K321" s="12" t="n"/>
      <c r="L321" s="11" t="n"/>
      <c r="M321" s="11" t="n"/>
      <c r="N321" s="11" t="n"/>
      <c r="O321" s="11" t="n"/>
      <c r="P321" s="12" t="n"/>
      <c r="Q321" s="11" t="n"/>
      <c r="R321" s="12" t="n"/>
      <c r="S321" s="11" t="n"/>
      <c r="T321" s="12" t="n"/>
      <c r="U321" s="12" t="n"/>
      <c r="V321" s="12" t="n"/>
      <c r="W321" s="13" t="n"/>
      <c r="X321" s="14">
        <f>IF($AP321="",IF($B321="","",$H321),IF(INDEX(職員マスタ!$B$6:$B$405,$AP321)="",$H321,INDEX(職員マスタ!$B$6:$B$405,$AP321)))</f>
        <v/>
      </c>
      <c r="Y321" s="14">
        <f>IF($AP321="",IF($B321="","",$R321),IF(INDEX(職員マスタ!$C$6:$C$405,$AP321)="",$R321,INDEX(職員マスタ!$C$6:$C$405,$AP321)))</f>
        <v/>
      </c>
      <c r="Z321" s="14">
        <f>IF($AQ321="","","R"&amp;$C321&amp;"."&amp;$D321)</f>
        <v/>
      </c>
      <c r="AA321" s="15">
        <f>IF(IF($AP321="",FALSE,INDEX(職員マスタ!$K$6:$K$405,$AP321)&lt;&gt;""),INDEX(職員マスタ!$K$6:$K$405,$AP321),IF(N($W321)&gt;0,$W321,""))</f>
        <v/>
      </c>
      <c r="AB321" s="14">
        <f>IF(OR($E321="",$AA321=""),"",IF($E321&gt;=$AA321,"×",IF($E321&gt;=$AA321*設定!$C$5,"△","○")))</f>
        <v/>
      </c>
      <c r="AC321" s="15">
        <f>IF($AB321="","",IF($AB321="×",0,IF($AB321="○",ROUNDDOWN($E321*設定!$C$4,0),ROUNDDOWN($E321*ROUND((9*$AA321-9*$E321)/(10*$E321),4),0))))</f>
        <v/>
      </c>
      <c r="AD321" s="13" t="n"/>
      <c r="AE321" s="15">
        <f>IF($B321="","",IF($AD321&lt;&gt;"",$AD321,IF($AC321="","",IF($AC321&lt;=設定!$C$3,0,$AC321))))</f>
        <v/>
      </c>
      <c r="AF321" s="14">
        <f>IF($B321="","",IF(AND($AG321&lt;&gt;"",$AI321="",$AL321=""),"保留中",IF($AL321&lt;&gt;"",IF(N($AE321)&gt;0,"支給済","不支給"),IF($AE321="","要確認",IF($AE321=0,"不支給","未処理")))))</f>
        <v/>
      </c>
      <c r="AG321" s="12" t="n"/>
      <c r="AH321" s="11" t="n"/>
      <c r="AI321" s="11" t="n"/>
      <c r="AJ321" s="11" t="n"/>
      <c r="AK321" s="14">
        <f>IF(AND($AF321="保留中",$AH321&lt;&gt;""),TODAY()-$AH321,"")</f>
        <v/>
      </c>
      <c r="AL321" s="12" t="inlineStr">
        <is>
          <t>R7.11</t>
        </is>
      </c>
      <c r="AM321" s="14">
        <f>IF($B321="","",IF($AQ321="","対象年月が未入力／","")&amp;IF($B321="","",IF($AP321="","職員マスタに未登録の職員番号／",IF($AA321="","標準報酬月額が未登録／","")&amp;IF(AND($AQ321&lt;&gt;"",OR(AND(INDEX(職員マスタ!$G$6:$G$405,$AP321)&lt;&gt;"",INDEX(職員マスタ!$G$6:$G$405,$AP321)&gt;EOMONTH($AQ321,0)),AND(INDEX(職員マスタ!$H$6:$H$405,$AP321)&lt;&gt;"",INDEX(職員マスタ!$H$6:$H$405,$AP321)&lt;$AQ321))),"対象月が時短期間外／","")&amp;IF(AND(INDEX(職員マスタ!$K$6:$K$405,$AP321)&lt;&gt;"",N($W321)&gt;0,INDEX(職員マスタ!$K$6:$K$405,$AP321)&lt;&gt;$W321),"標準報酬月額が申請書と相違（台帳"&amp;TEXT(INDEX(職員マスタ!$K$6:$K$405,$AP321),"#,##0")&amp;"円／申請書"&amp;TEXT($W321,"#,##0")&amp;"円）／","")&amp;IF(AND(INDEX(職員マスタ!$F$6:$F$405,$AP321)&lt;&gt;"",$AQ321&lt;&gt;"",INDEX(職員マスタ!$F$6:$F$405,$AP321)&lt;$AQ321),"対象月に子が2歳到達済／","")&amp;IF(AND($H321&lt;&gt;"",INDEX(職員マスタ!$B$6:$B$405,$AP321)&lt;&gt;"",SUBSTITUTE(SUBSTITUTE($H321," ","")," ","")&lt;&gt;SUBSTITUTE(SUBSTITUTE(INDEX(職員マスタ!$B$6:$B$405,$AP321)," ","")," ","")),"氏名がマスタと相違／","")&amp;IF(AND($Q321&lt;&gt;"",INDEX(職員マスタ!$E$6:$E$405,$AP321)&lt;&gt;"",$Q321&lt;&gt;INDEX(職員マスタ!$E$6:$E$405,$AP321)),"子の生年月日がマスタと相違／","")&amp;IF(AND($L321&lt;&gt;"",INDEX(職員マスタ!$G$6:$G$405,$AP321)&lt;&gt;"",$L321&lt;&gt;INDEX(職員マスタ!$G$6:$G$405,$AP321)),"時短開始日がマスタと相違／","")&amp;IF(AND($M321&lt;&gt;"",INDEX(職員マスタ!$H$6:$H$405,$AP321)&lt;&gt;"",$M321&lt;&gt;INDEX(職員マスタ!$H$6:$H$405,$AP321)),"時短終了日がマスタと相違／","")))&amp;IF(AND($B321&lt;&gt;"",$E321=""),"報酬額が未入力／","")&amp;IF(N($U321)&gt;0,"申請書に入力エラーが残っています／","")&amp;IF(AND($B321&lt;&gt;"",$AQ321&lt;&gt;""),IF(COUNTIFS($B$6:$B$3005,$B321,$C$6:$C$3005,$C321,$D$6:$D$3005,$D321)&gt;1,"同じ月の請求が重複しています／",""),"")&amp;IF(AND(N($E321)&gt;0,$AB321&lt;&gt;"",$AB321&lt;&gt;"×",$AE321=0,$AD321=""),"計算額が下限以下のため不支給／",""))</f>
        <v/>
      </c>
      <c r="AN321" s="12" t="n"/>
      <c r="AO321" s="14">
        <f>IF($AF321="保留中",COUNTIF($AF$6:$AF321,"保留中"),"")</f>
        <v/>
      </c>
      <c r="AP321" s="14">
        <f>IF($AQ321="","",IF(SUMPRODUCT(MAX((職員マスタ!$A$6:$A$405=$B321)*(((職員マスタ!$G$6:$G$405="")+(職員マスタ!$G$6:$G$405&lt;=EOMONTH($AQ321,0)))&gt;0)*(((職員マスタ!$H$6:$H$405="")+(職員マスタ!$H$6:$H$405&gt;=$AQ321))&gt;0)*(ROW(職員マスタ!$A$6:$A$405)-5)))&gt;0,SUMPRODUCT(MAX((職員マスタ!$A$6:$A$405=$B321)*(((職員マスタ!$G$6:$G$405="")+(職員マスタ!$G$6:$G$405&lt;=EOMONTH($AQ321,0)))&gt;0)*(((職員マスタ!$H$6:$H$405="")+(職員マスタ!$H$6:$H$405&gt;=$AQ321))&gt;0)*(ROW(職員マスタ!$A$6:$A$405)-5))),IFERROR(MATCH($B321,職員マスタ!$A$6:$A$405,0),"")))</f>
        <v/>
      </c>
      <c r="AQ321" s="16">
        <f>IF(OR($B321="",$C321="",$D321=""),"",DATE($C321+2018,$D321,1))</f>
        <v/>
      </c>
    </row>
    <row r="322">
      <c r="A322" s="11" t="n"/>
      <c r="B322" s="12" t="n">
        <v>6702534</v>
      </c>
      <c r="C322" s="12" t="n">
        <v>7</v>
      </c>
      <c r="D322" s="12" t="n">
        <v>10</v>
      </c>
      <c r="E322" s="13" t="n">
        <v>200890</v>
      </c>
      <c r="F322" s="12" t="n"/>
      <c r="G322" s="13" t="n"/>
      <c r="H322" s="12" t="n"/>
      <c r="I322" s="12" t="n"/>
      <c r="J322" s="12" t="n"/>
      <c r="K322" s="12" t="n"/>
      <c r="L322" s="11" t="n"/>
      <c r="M322" s="11" t="n"/>
      <c r="N322" s="11" t="n"/>
      <c r="O322" s="11" t="n"/>
      <c r="P322" s="12" t="n"/>
      <c r="Q322" s="11" t="n"/>
      <c r="R322" s="12" t="n"/>
      <c r="S322" s="11" t="n"/>
      <c r="T322" s="12" t="n"/>
      <c r="U322" s="12" t="n"/>
      <c r="V322" s="12" t="n"/>
      <c r="W322" s="13" t="n"/>
      <c r="X322" s="14">
        <f>IF($AP322="",IF($B322="","",$H322),IF(INDEX(職員マスタ!$B$6:$B$405,$AP322)="",$H322,INDEX(職員マスタ!$B$6:$B$405,$AP322)))</f>
        <v/>
      </c>
      <c r="Y322" s="14">
        <f>IF($AP322="",IF($B322="","",$R322),IF(INDEX(職員マスタ!$C$6:$C$405,$AP322)="",$R322,INDEX(職員マスタ!$C$6:$C$405,$AP322)))</f>
        <v/>
      </c>
      <c r="Z322" s="14">
        <f>IF($AQ322="","","R"&amp;$C322&amp;"."&amp;$D322)</f>
        <v/>
      </c>
      <c r="AA322" s="15">
        <f>IF(IF($AP322="",FALSE,INDEX(職員マスタ!$K$6:$K$405,$AP322)&lt;&gt;""),INDEX(職員マスタ!$K$6:$K$405,$AP322),IF(N($W322)&gt;0,$W322,""))</f>
        <v/>
      </c>
      <c r="AB322" s="14">
        <f>IF(OR($E322="",$AA322=""),"",IF($E322&gt;=$AA322,"×",IF($E322&gt;=$AA322*設定!$C$5,"△","○")))</f>
        <v/>
      </c>
      <c r="AC322" s="15">
        <f>IF($AB322="","",IF($AB322="×",0,IF($AB322="○",ROUNDDOWN($E322*設定!$C$4,0),ROUNDDOWN($E322*ROUND((9*$AA322-9*$E322)/(10*$E322),4),0))))</f>
        <v/>
      </c>
      <c r="AD322" s="13" t="n"/>
      <c r="AE322" s="15">
        <f>IF($B322="","",IF($AD322&lt;&gt;"",$AD322,IF($AC322="","",IF($AC322&lt;=設定!$C$3,0,$AC322))))</f>
        <v/>
      </c>
      <c r="AF322" s="14">
        <f>IF($B322="","",IF(AND($AG322&lt;&gt;"",$AI322="",$AL322=""),"保留中",IF($AL322&lt;&gt;"",IF(N($AE322)&gt;0,"支給済","不支給"),IF($AE322="","要確認",IF($AE322=0,"不支給","未処理")))))</f>
        <v/>
      </c>
      <c r="AG322" s="12" t="n"/>
      <c r="AH322" s="11" t="n"/>
      <c r="AI322" s="11" t="n"/>
      <c r="AJ322" s="11" t="n"/>
      <c r="AK322" s="14">
        <f>IF(AND($AF322="保留中",$AH322&lt;&gt;""),TODAY()-$AH322,"")</f>
        <v/>
      </c>
      <c r="AL322" s="12" t="inlineStr">
        <is>
          <t>R7.12</t>
        </is>
      </c>
      <c r="AM322" s="14">
        <f>IF($B322="","",IF($AQ322="","対象年月が未入力／","")&amp;IF($B322="","",IF($AP322="","職員マスタに未登録の職員番号／",IF($AA322="","標準報酬月額が未登録／","")&amp;IF(AND($AQ322&lt;&gt;"",OR(AND(INDEX(職員マスタ!$G$6:$G$405,$AP322)&lt;&gt;"",INDEX(職員マスタ!$G$6:$G$405,$AP322)&gt;EOMONTH($AQ322,0)),AND(INDEX(職員マスタ!$H$6:$H$405,$AP322)&lt;&gt;"",INDEX(職員マスタ!$H$6:$H$405,$AP322)&lt;$AQ322))),"対象月が時短期間外／","")&amp;IF(AND(INDEX(職員マスタ!$K$6:$K$405,$AP322)&lt;&gt;"",N($W322)&gt;0,INDEX(職員マスタ!$K$6:$K$405,$AP322)&lt;&gt;$W322),"標準報酬月額が申請書と相違（台帳"&amp;TEXT(INDEX(職員マスタ!$K$6:$K$405,$AP322),"#,##0")&amp;"円／申請書"&amp;TEXT($W322,"#,##0")&amp;"円）／","")&amp;IF(AND(INDEX(職員マスタ!$F$6:$F$405,$AP322)&lt;&gt;"",$AQ322&lt;&gt;"",INDEX(職員マスタ!$F$6:$F$405,$AP322)&lt;$AQ322),"対象月に子が2歳到達済／","")&amp;IF(AND($H322&lt;&gt;"",INDEX(職員マスタ!$B$6:$B$405,$AP322)&lt;&gt;"",SUBSTITUTE(SUBSTITUTE($H322," ","")," ","")&lt;&gt;SUBSTITUTE(SUBSTITUTE(INDEX(職員マスタ!$B$6:$B$405,$AP322)," ","")," ","")),"氏名がマスタと相違／","")&amp;IF(AND($Q322&lt;&gt;"",INDEX(職員マスタ!$E$6:$E$405,$AP322)&lt;&gt;"",$Q322&lt;&gt;INDEX(職員マスタ!$E$6:$E$405,$AP322)),"子の生年月日がマスタと相違／","")&amp;IF(AND($L322&lt;&gt;"",INDEX(職員マスタ!$G$6:$G$405,$AP322)&lt;&gt;"",$L322&lt;&gt;INDEX(職員マスタ!$G$6:$G$405,$AP322)),"時短開始日がマスタと相違／","")&amp;IF(AND($M322&lt;&gt;"",INDEX(職員マスタ!$H$6:$H$405,$AP322)&lt;&gt;"",$M322&lt;&gt;INDEX(職員マスタ!$H$6:$H$405,$AP322)),"時短終了日がマスタと相違／","")))&amp;IF(AND($B322&lt;&gt;"",$E322=""),"報酬額が未入力／","")&amp;IF(N($U322)&gt;0,"申請書に入力エラーが残っています／","")&amp;IF(AND($B322&lt;&gt;"",$AQ322&lt;&gt;""),IF(COUNTIFS($B$6:$B$3005,$B322,$C$6:$C$3005,$C322,$D$6:$D$3005,$D322)&gt;1,"同じ月の請求が重複しています／",""),"")&amp;IF(AND(N($E322)&gt;0,$AB322&lt;&gt;"",$AB322&lt;&gt;"×",$AE322=0,$AD322=""),"計算額が下限以下のため不支給／",""))</f>
        <v/>
      </c>
      <c r="AN322" s="12" t="n"/>
      <c r="AO322" s="14">
        <f>IF($AF322="保留中",COUNTIF($AF$6:$AF322,"保留中"),"")</f>
        <v/>
      </c>
      <c r="AP322" s="14">
        <f>IF($AQ322="","",IF(SUMPRODUCT(MAX((職員マスタ!$A$6:$A$405=$B322)*(((職員マスタ!$G$6:$G$405="")+(職員マスタ!$G$6:$G$405&lt;=EOMONTH($AQ322,0)))&gt;0)*(((職員マスタ!$H$6:$H$405="")+(職員マスタ!$H$6:$H$405&gt;=$AQ322))&gt;0)*(ROW(職員マスタ!$A$6:$A$405)-5)))&gt;0,SUMPRODUCT(MAX((職員マスタ!$A$6:$A$405=$B322)*(((職員マスタ!$G$6:$G$405="")+(職員マスタ!$G$6:$G$405&lt;=EOMONTH($AQ322,0)))&gt;0)*(((職員マスタ!$H$6:$H$405="")+(職員マスタ!$H$6:$H$405&gt;=$AQ322))&gt;0)*(ROW(職員マスタ!$A$6:$A$405)-5))),IFERROR(MATCH($B322,職員マスタ!$A$6:$A$405,0),"")))</f>
        <v/>
      </c>
      <c r="AQ322" s="16">
        <f>IF(OR($B322="",$C322="",$D322=""),"",DATE($C322+2018,$D322,1))</f>
        <v/>
      </c>
    </row>
    <row r="323">
      <c r="A323" s="11" t="n"/>
      <c r="B323" s="12" t="n">
        <v>6702534</v>
      </c>
      <c r="C323" s="12" t="n">
        <v>7</v>
      </c>
      <c r="D323" s="12" t="n">
        <v>11</v>
      </c>
      <c r="E323" s="13" t="n">
        <v>201018</v>
      </c>
      <c r="F323" s="12" t="n"/>
      <c r="G323" s="13" t="n"/>
      <c r="H323" s="12" t="n"/>
      <c r="I323" s="12" t="n"/>
      <c r="J323" s="12" t="n"/>
      <c r="K323" s="12" t="n"/>
      <c r="L323" s="11" t="n"/>
      <c r="M323" s="11" t="n"/>
      <c r="N323" s="11" t="n"/>
      <c r="O323" s="11" t="n"/>
      <c r="P323" s="12" t="n"/>
      <c r="Q323" s="11" t="n"/>
      <c r="R323" s="12" t="n"/>
      <c r="S323" s="11" t="n"/>
      <c r="T323" s="12" t="n"/>
      <c r="U323" s="12" t="n"/>
      <c r="V323" s="12" t="n"/>
      <c r="W323" s="13" t="n"/>
      <c r="X323" s="14">
        <f>IF($AP323="",IF($B323="","",$H323),IF(INDEX(職員マスタ!$B$6:$B$405,$AP323)="",$H323,INDEX(職員マスタ!$B$6:$B$405,$AP323)))</f>
        <v/>
      </c>
      <c r="Y323" s="14">
        <f>IF($AP323="",IF($B323="","",$R323),IF(INDEX(職員マスタ!$C$6:$C$405,$AP323)="",$R323,INDEX(職員マスタ!$C$6:$C$405,$AP323)))</f>
        <v/>
      </c>
      <c r="Z323" s="14">
        <f>IF($AQ323="","","R"&amp;$C323&amp;"."&amp;$D323)</f>
        <v/>
      </c>
      <c r="AA323" s="15">
        <f>IF(IF($AP323="",FALSE,INDEX(職員マスタ!$K$6:$K$405,$AP323)&lt;&gt;""),INDEX(職員マスタ!$K$6:$K$405,$AP323),IF(N($W323)&gt;0,$W323,""))</f>
        <v/>
      </c>
      <c r="AB323" s="14">
        <f>IF(OR($E323="",$AA323=""),"",IF($E323&gt;=$AA323,"×",IF($E323&gt;=$AA323*設定!$C$5,"△","○")))</f>
        <v/>
      </c>
      <c r="AC323" s="15">
        <f>IF($AB323="","",IF($AB323="×",0,IF($AB323="○",ROUNDDOWN($E323*設定!$C$4,0),ROUNDDOWN($E323*ROUND((9*$AA323-9*$E323)/(10*$E323),4),0))))</f>
        <v/>
      </c>
      <c r="AD323" s="13" t="n"/>
      <c r="AE323" s="15">
        <f>IF($B323="","",IF($AD323&lt;&gt;"",$AD323,IF($AC323="","",IF($AC323&lt;=設定!$C$3,0,$AC323))))</f>
        <v/>
      </c>
      <c r="AF323" s="14">
        <f>IF($B323="","",IF(AND($AG323&lt;&gt;"",$AI323="",$AL323=""),"保留中",IF($AL323&lt;&gt;"",IF(N($AE323)&gt;0,"支給済","不支給"),IF($AE323="","要確認",IF($AE323=0,"不支給","未処理")))))</f>
        <v/>
      </c>
      <c r="AG323" s="12" t="n"/>
      <c r="AH323" s="11" t="n"/>
      <c r="AI323" s="11" t="n"/>
      <c r="AJ323" s="11" t="n"/>
      <c r="AK323" s="14">
        <f>IF(AND($AF323="保留中",$AH323&lt;&gt;""),TODAY()-$AH323,"")</f>
        <v/>
      </c>
      <c r="AL323" s="12" t="inlineStr">
        <is>
          <t>R8.1</t>
        </is>
      </c>
      <c r="AM323" s="14">
        <f>IF($B323="","",IF($AQ323="","対象年月が未入力／","")&amp;IF($B323="","",IF($AP323="","職員マスタに未登録の職員番号／",IF($AA323="","標準報酬月額が未登録／","")&amp;IF(AND($AQ323&lt;&gt;"",OR(AND(INDEX(職員マスタ!$G$6:$G$405,$AP323)&lt;&gt;"",INDEX(職員マスタ!$G$6:$G$405,$AP323)&gt;EOMONTH($AQ323,0)),AND(INDEX(職員マスタ!$H$6:$H$405,$AP323)&lt;&gt;"",INDEX(職員マスタ!$H$6:$H$405,$AP323)&lt;$AQ323))),"対象月が時短期間外／","")&amp;IF(AND(INDEX(職員マスタ!$K$6:$K$405,$AP323)&lt;&gt;"",N($W323)&gt;0,INDEX(職員マスタ!$K$6:$K$405,$AP323)&lt;&gt;$W323),"標準報酬月額が申請書と相違（台帳"&amp;TEXT(INDEX(職員マスタ!$K$6:$K$405,$AP323),"#,##0")&amp;"円／申請書"&amp;TEXT($W323,"#,##0")&amp;"円）／","")&amp;IF(AND(INDEX(職員マスタ!$F$6:$F$405,$AP323)&lt;&gt;"",$AQ323&lt;&gt;"",INDEX(職員マスタ!$F$6:$F$405,$AP323)&lt;$AQ323),"対象月に子が2歳到達済／","")&amp;IF(AND($H323&lt;&gt;"",INDEX(職員マスタ!$B$6:$B$405,$AP323)&lt;&gt;"",SUBSTITUTE(SUBSTITUTE($H323," ","")," ","")&lt;&gt;SUBSTITUTE(SUBSTITUTE(INDEX(職員マスタ!$B$6:$B$405,$AP323)," ","")," ","")),"氏名がマスタと相違／","")&amp;IF(AND($Q323&lt;&gt;"",INDEX(職員マスタ!$E$6:$E$405,$AP323)&lt;&gt;"",$Q323&lt;&gt;INDEX(職員マスタ!$E$6:$E$405,$AP323)),"子の生年月日がマスタと相違／","")&amp;IF(AND($L323&lt;&gt;"",INDEX(職員マスタ!$G$6:$G$405,$AP323)&lt;&gt;"",$L323&lt;&gt;INDEX(職員マスタ!$G$6:$G$405,$AP323)),"時短開始日がマスタと相違／","")&amp;IF(AND($M323&lt;&gt;"",INDEX(職員マスタ!$H$6:$H$405,$AP323)&lt;&gt;"",$M323&lt;&gt;INDEX(職員マスタ!$H$6:$H$405,$AP323)),"時短終了日がマスタと相違／","")))&amp;IF(AND($B323&lt;&gt;"",$E323=""),"報酬額が未入力／","")&amp;IF(N($U323)&gt;0,"申請書に入力エラーが残っています／","")&amp;IF(AND($B323&lt;&gt;"",$AQ323&lt;&gt;""),IF(COUNTIFS($B$6:$B$3005,$B323,$C$6:$C$3005,$C323,$D$6:$D$3005,$D323)&gt;1,"同じ月の請求が重複しています／",""),"")&amp;IF(AND(N($E323)&gt;0,$AB323&lt;&gt;"",$AB323&lt;&gt;"×",$AE323=0,$AD323=""),"計算額が下限以下のため不支給／",""))</f>
        <v/>
      </c>
      <c r="AN323" s="12" t="n"/>
      <c r="AO323" s="14">
        <f>IF($AF323="保留中",COUNTIF($AF$6:$AF323,"保留中"),"")</f>
        <v/>
      </c>
      <c r="AP323" s="14">
        <f>IF($AQ323="","",IF(SUMPRODUCT(MAX((職員マスタ!$A$6:$A$405=$B323)*(((職員マスタ!$G$6:$G$405="")+(職員マスタ!$G$6:$G$405&lt;=EOMONTH($AQ323,0)))&gt;0)*(((職員マスタ!$H$6:$H$405="")+(職員マスタ!$H$6:$H$405&gt;=$AQ323))&gt;0)*(ROW(職員マスタ!$A$6:$A$405)-5)))&gt;0,SUMPRODUCT(MAX((職員マスタ!$A$6:$A$405=$B323)*(((職員マスタ!$G$6:$G$405="")+(職員マスタ!$G$6:$G$405&lt;=EOMONTH($AQ323,0)))&gt;0)*(((職員マスタ!$H$6:$H$405="")+(職員マスタ!$H$6:$H$405&gt;=$AQ323))&gt;0)*(ROW(職員マスタ!$A$6:$A$405)-5))),IFERROR(MATCH($B323,職員マスタ!$A$6:$A$405,0),"")))</f>
        <v/>
      </c>
      <c r="AQ323" s="16">
        <f>IF(OR($B323="",$C323="",$D323=""),"",DATE($C323+2018,$D323,1))</f>
        <v/>
      </c>
    </row>
    <row r="324">
      <c r="A324" s="11" t="n"/>
      <c r="B324" s="12" t="n">
        <v>6702559</v>
      </c>
      <c r="C324" s="12" t="n">
        <v>8</v>
      </c>
      <c r="D324" s="12" t="n">
        <v>1</v>
      </c>
      <c r="E324" s="13" t="n">
        <v>193711</v>
      </c>
      <c r="F324" s="12" t="n"/>
      <c r="G324" s="13" t="n"/>
      <c r="H324" s="12" t="n"/>
      <c r="I324" s="12" t="n"/>
      <c r="J324" s="12" t="n"/>
      <c r="K324" s="12" t="n"/>
      <c r="L324" s="11" t="n"/>
      <c r="M324" s="11" t="n"/>
      <c r="N324" s="11" t="n"/>
      <c r="O324" s="11" t="n"/>
      <c r="P324" s="12" t="n"/>
      <c r="Q324" s="11" t="n"/>
      <c r="R324" s="12" t="n"/>
      <c r="S324" s="11" t="n"/>
      <c r="T324" s="12" t="n"/>
      <c r="U324" s="12" t="n"/>
      <c r="V324" s="12" t="n"/>
      <c r="W324" s="13" t="n"/>
      <c r="X324" s="14">
        <f>IF($AP324="",IF($B324="","",$H324),IF(INDEX(職員マスタ!$B$6:$B$405,$AP324)="",$H324,INDEX(職員マスタ!$B$6:$B$405,$AP324)))</f>
        <v/>
      </c>
      <c r="Y324" s="14">
        <f>IF($AP324="",IF($B324="","",$R324),IF(INDEX(職員マスタ!$C$6:$C$405,$AP324)="",$R324,INDEX(職員マスタ!$C$6:$C$405,$AP324)))</f>
        <v/>
      </c>
      <c r="Z324" s="14">
        <f>IF($AQ324="","","R"&amp;$C324&amp;"."&amp;$D324)</f>
        <v/>
      </c>
      <c r="AA324" s="15">
        <f>IF(IF($AP324="",FALSE,INDEX(職員マスタ!$K$6:$K$405,$AP324)&lt;&gt;""),INDEX(職員マスタ!$K$6:$K$405,$AP324),IF(N($W324)&gt;0,$W324,""))</f>
        <v/>
      </c>
      <c r="AB324" s="14">
        <f>IF(OR($E324="",$AA324=""),"",IF($E324&gt;=$AA324,"×",IF($E324&gt;=$AA324*設定!$C$5,"△","○")))</f>
        <v/>
      </c>
      <c r="AC324" s="15">
        <f>IF($AB324="","",IF($AB324="×",0,IF($AB324="○",ROUNDDOWN($E324*設定!$C$4,0),ROUNDDOWN($E324*ROUND((9*$AA324-9*$E324)/(10*$E324),4),0))))</f>
        <v/>
      </c>
      <c r="AD324" s="13" t="n"/>
      <c r="AE324" s="15">
        <f>IF($B324="","",IF($AD324&lt;&gt;"",$AD324,IF($AC324="","",IF($AC324&lt;=設定!$C$3,0,$AC324))))</f>
        <v/>
      </c>
      <c r="AF324" s="14">
        <f>IF($B324="","",IF(AND($AG324&lt;&gt;"",$AI324="",$AL324=""),"保留中",IF($AL324&lt;&gt;"",IF(N($AE324)&gt;0,"支給済","不支給"),IF($AE324="","要確認",IF($AE324=0,"不支給","未処理")))))</f>
        <v/>
      </c>
      <c r="AG324" s="12" t="n"/>
      <c r="AH324" s="11" t="n"/>
      <c r="AI324" s="11" t="n"/>
      <c r="AJ324" s="11" t="n"/>
      <c r="AK324" s="14">
        <f>IF(AND($AF324="保留中",$AH324&lt;&gt;""),TODAY()-$AH324,"")</f>
        <v/>
      </c>
      <c r="AL324" s="12" t="inlineStr">
        <is>
          <t>R8.4</t>
        </is>
      </c>
      <c r="AM324" s="14">
        <f>IF($B324="","",IF($AQ324="","対象年月が未入力／","")&amp;IF($B324="","",IF($AP324="","職員マスタに未登録の職員番号／",IF($AA324="","標準報酬月額が未登録／","")&amp;IF(AND($AQ324&lt;&gt;"",OR(AND(INDEX(職員マスタ!$G$6:$G$405,$AP324)&lt;&gt;"",INDEX(職員マスタ!$G$6:$G$405,$AP324)&gt;EOMONTH($AQ324,0)),AND(INDEX(職員マスタ!$H$6:$H$405,$AP324)&lt;&gt;"",INDEX(職員マスタ!$H$6:$H$405,$AP324)&lt;$AQ324))),"対象月が時短期間外／","")&amp;IF(AND(INDEX(職員マスタ!$K$6:$K$405,$AP324)&lt;&gt;"",N($W324)&gt;0,INDEX(職員マスタ!$K$6:$K$405,$AP324)&lt;&gt;$W324),"標準報酬月額が申請書と相違（台帳"&amp;TEXT(INDEX(職員マスタ!$K$6:$K$405,$AP324),"#,##0")&amp;"円／申請書"&amp;TEXT($W324,"#,##0")&amp;"円）／","")&amp;IF(AND(INDEX(職員マスタ!$F$6:$F$405,$AP324)&lt;&gt;"",$AQ324&lt;&gt;"",INDEX(職員マスタ!$F$6:$F$405,$AP324)&lt;$AQ324),"対象月に子が2歳到達済／","")&amp;IF(AND($H324&lt;&gt;"",INDEX(職員マスタ!$B$6:$B$405,$AP324)&lt;&gt;"",SUBSTITUTE(SUBSTITUTE($H324," ","")," ","")&lt;&gt;SUBSTITUTE(SUBSTITUTE(INDEX(職員マスタ!$B$6:$B$405,$AP324)," ","")," ","")),"氏名がマスタと相違／","")&amp;IF(AND($Q324&lt;&gt;"",INDEX(職員マスタ!$E$6:$E$405,$AP324)&lt;&gt;"",$Q324&lt;&gt;INDEX(職員マスタ!$E$6:$E$405,$AP324)),"子の生年月日がマスタと相違／","")&amp;IF(AND($L324&lt;&gt;"",INDEX(職員マスタ!$G$6:$G$405,$AP324)&lt;&gt;"",$L324&lt;&gt;INDEX(職員マスタ!$G$6:$G$405,$AP324)),"時短開始日がマスタと相違／","")&amp;IF(AND($M324&lt;&gt;"",INDEX(職員マスタ!$H$6:$H$405,$AP324)&lt;&gt;"",$M324&lt;&gt;INDEX(職員マスタ!$H$6:$H$405,$AP324)),"時短終了日がマスタと相違／","")))&amp;IF(AND($B324&lt;&gt;"",$E324=""),"報酬額が未入力／","")&amp;IF(N($U324)&gt;0,"申請書に入力エラーが残っています／","")&amp;IF(AND($B324&lt;&gt;"",$AQ324&lt;&gt;""),IF(COUNTIFS($B$6:$B$3005,$B324,$C$6:$C$3005,$C324,$D$6:$D$3005,$D324)&gt;1,"同じ月の請求が重複しています／",""),"")&amp;IF(AND(N($E324)&gt;0,$AB324&lt;&gt;"",$AB324&lt;&gt;"×",$AE324=0,$AD324=""),"計算額が下限以下のため不支給／",""))</f>
        <v/>
      </c>
      <c r="AN324" s="12" t="n"/>
      <c r="AO324" s="14">
        <f>IF($AF324="保留中",COUNTIF($AF$6:$AF324,"保留中"),"")</f>
        <v/>
      </c>
      <c r="AP324" s="14">
        <f>IF($AQ324="","",IF(SUMPRODUCT(MAX((職員マスタ!$A$6:$A$405=$B324)*(((職員マスタ!$G$6:$G$405="")+(職員マスタ!$G$6:$G$405&lt;=EOMONTH($AQ324,0)))&gt;0)*(((職員マスタ!$H$6:$H$405="")+(職員マスタ!$H$6:$H$405&gt;=$AQ324))&gt;0)*(ROW(職員マスタ!$A$6:$A$405)-5)))&gt;0,SUMPRODUCT(MAX((職員マスタ!$A$6:$A$405=$B324)*(((職員マスタ!$G$6:$G$405="")+(職員マスタ!$G$6:$G$405&lt;=EOMONTH($AQ324,0)))&gt;0)*(((職員マスタ!$H$6:$H$405="")+(職員マスタ!$H$6:$H$405&gt;=$AQ324))&gt;0)*(ROW(職員マスタ!$A$6:$A$405)-5))),IFERROR(MATCH($B324,職員マスタ!$A$6:$A$405,0),"")))</f>
        <v/>
      </c>
      <c r="AQ324" s="16">
        <f>IF(OR($B324="",$C324="",$D324=""),"",DATE($C324+2018,$D324,1))</f>
        <v/>
      </c>
    </row>
    <row r="325">
      <c r="A325" s="11" t="n"/>
      <c r="B325" s="12" t="n">
        <v>6702559</v>
      </c>
      <c r="C325" s="12" t="n">
        <v>8</v>
      </c>
      <c r="D325" s="12" t="n">
        <v>2</v>
      </c>
      <c r="E325" s="13" t="n">
        <v>188934</v>
      </c>
      <c r="F325" s="12" t="n"/>
      <c r="G325" s="13" t="n"/>
      <c r="H325" s="12" t="n"/>
      <c r="I325" s="12" t="n"/>
      <c r="J325" s="12" t="n"/>
      <c r="K325" s="12" t="n"/>
      <c r="L325" s="11" t="n"/>
      <c r="M325" s="11" t="n"/>
      <c r="N325" s="11" t="n"/>
      <c r="O325" s="11" t="n"/>
      <c r="P325" s="12" t="n"/>
      <c r="Q325" s="11" t="n"/>
      <c r="R325" s="12" t="n"/>
      <c r="S325" s="11" t="n"/>
      <c r="T325" s="12" t="n"/>
      <c r="U325" s="12" t="n"/>
      <c r="V325" s="12" t="n"/>
      <c r="W325" s="13" t="n"/>
      <c r="X325" s="14">
        <f>IF($AP325="",IF($B325="","",$H325),IF(INDEX(職員マスタ!$B$6:$B$405,$AP325)="",$H325,INDEX(職員マスタ!$B$6:$B$405,$AP325)))</f>
        <v/>
      </c>
      <c r="Y325" s="14">
        <f>IF($AP325="",IF($B325="","",$R325),IF(INDEX(職員マスタ!$C$6:$C$405,$AP325)="",$R325,INDEX(職員マスタ!$C$6:$C$405,$AP325)))</f>
        <v/>
      </c>
      <c r="Z325" s="14">
        <f>IF($AQ325="","","R"&amp;$C325&amp;"."&amp;$D325)</f>
        <v/>
      </c>
      <c r="AA325" s="15">
        <f>IF(IF($AP325="",FALSE,INDEX(職員マスタ!$K$6:$K$405,$AP325)&lt;&gt;""),INDEX(職員マスタ!$K$6:$K$405,$AP325),IF(N($W325)&gt;0,$W325,""))</f>
        <v/>
      </c>
      <c r="AB325" s="14">
        <f>IF(OR($E325="",$AA325=""),"",IF($E325&gt;=$AA325,"×",IF($E325&gt;=$AA325*設定!$C$5,"△","○")))</f>
        <v/>
      </c>
      <c r="AC325" s="15">
        <f>IF($AB325="","",IF($AB325="×",0,IF($AB325="○",ROUNDDOWN($E325*設定!$C$4,0),ROUNDDOWN($E325*ROUND((9*$AA325-9*$E325)/(10*$E325),4),0))))</f>
        <v/>
      </c>
      <c r="AD325" s="13" t="n"/>
      <c r="AE325" s="15">
        <f>IF($B325="","",IF($AD325&lt;&gt;"",$AD325,IF($AC325="","",IF($AC325&lt;=設定!$C$3,0,$AC325))))</f>
        <v/>
      </c>
      <c r="AF325" s="14">
        <f>IF($B325="","",IF(AND($AG325&lt;&gt;"",$AI325="",$AL325=""),"保留中",IF($AL325&lt;&gt;"",IF(N($AE325)&gt;0,"支給済","不支給"),IF($AE325="","要確認",IF($AE325=0,"不支給","未処理")))))</f>
        <v/>
      </c>
      <c r="AG325" s="12" t="n"/>
      <c r="AH325" s="11" t="n"/>
      <c r="AI325" s="11" t="n"/>
      <c r="AJ325" s="11" t="n"/>
      <c r="AK325" s="14">
        <f>IF(AND($AF325="保留中",$AH325&lt;&gt;""),TODAY()-$AH325,"")</f>
        <v/>
      </c>
      <c r="AL325" s="12" t="inlineStr">
        <is>
          <t>R8.5</t>
        </is>
      </c>
      <c r="AM325" s="14">
        <f>IF($B325="","",IF($AQ325="","対象年月が未入力／","")&amp;IF($B325="","",IF($AP325="","職員マスタに未登録の職員番号／",IF($AA325="","標準報酬月額が未登録／","")&amp;IF(AND($AQ325&lt;&gt;"",OR(AND(INDEX(職員マスタ!$G$6:$G$405,$AP325)&lt;&gt;"",INDEX(職員マスタ!$G$6:$G$405,$AP325)&gt;EOMONTH($AQ325,0)),AND(INDEX(職員マスタ!$H$6:$H$405,$AP325)&lt;&gt;"",INDEX(職員マスタ!$H$6:$H$405,$AP325)&lt;$AQ325))),"対象月が時短期間外／","")&amp;IF(AND(INDEX(職員マスタ!$K$6:$K$405,$AP325)&lt;&gt;"",N($W325)&gt;0,INDEX(職員マスタ!$K$6:$K$405,$AP325)&lt;&gt;$W325),"標準報酬月額が申請書と相違（台帳"&amp;TEXT(INDEX(職員マスタ!$K$6:$K$405,$AP325),"#,##0")&amp;"円／申請書"&amp;TEXT($W325,"#,##0")&amp;"円）／","")&amp;IF(AND(INDEX(職員マスタ!$F$6:$F$405,$AP325)&lt;&gt;"",$AQ325&lt;&gt;"",INDEX(職員マスタ!$F$6:$F$405,$AP325)&lt;$AQ325),"対象月に子が2歳到達済／","")&amp;IF(AND($H325&lt;&gt;"",INDEX(職員マスタ!$B$6:$B$405,$AP325)&lt;&gt;"",SUBSTITUTE(SUBSTITUTE($H325," ","")," ","")&lt;&gt;SUBSTITUTE(SUBSTITUTE(INDEX(職員マスタ!$B$6:$B$405,$AP325)," ","")," ","")),"氏名がマスタと相違／","")&amp;IF(AND($Q325&lt;&gt;"",INDEX(職員マスタ!$E$6:$E$405,$AP325)&lt;&gt;"",$Q325&lt;&gt;INDEX(職員マスタ!$E$6:$E$405,$AP325)),"子の生年月日がマスタと相違／","")&amp;IF(AND($L325&lt;&gt;"",INDEX(職員マスタ!$G$6:$G$405,$AP325)&lt;&gt;"",$L325&lt;&gt;INDEX(職員マスタ!$G$6:$G$405,$AP325)),"時短開始日がマスタと相違／","")&amp;IF(AND($M325&lt;&gt;"",INDEX(職員マスタ!$H$6:$H$405,$AP325)&lt;&gt;"",$M325&lt;&gt;INDEX(職員マスタ!$H$6:$H$405,$AP325)),"時短終了日がマスタと相違／","")))&amp;IF(AND($B325&lt;&gt;"",$E325=""),"報酬額が未入力／","")&amp;IF(N($U325)&gt;0,"申請書に入力エラーが残っています／","")&amp;IF(AND($B325&lt;&gt;"",$AQ325&lt;&gt;""),IF(COUNTIFS($B$6:$B$3005,$B325,$C$6:$C$3005,$C325,$D$6:$D$3005,$D325)&gt;1,"同じ月の請求が重複しています／",""),"")&amp;IF(AND(N($E325)&gt;0,$AB325&lt;&gt;"",$AB325&lt;&gt;"×",$AE325=0,$AD325=""),"計算額が下限以下のため不支給／",""))</f>
        <v/>
      </c>
      <c r="AN325" s="12" t="n"/>
      <c r="AO325" s="14">
        <f>IF($AF325="保留中",COUNTIF($AF$6:$AF325,"保留中"),"")</f>
        <v/>
      </c>
      <c r="AP325" s="14">
        <f>IF($AQ325="","",IF(SUMPRODUCT(MAX((職員マスタ!$A$6:$A$405=$B325)*(((職員マスタ!$G$6:$G$405="")+(職員マスタ!$G$6:$G$405&lt;=EOMONTH($AQ325,0)))&gt;0)*(((職員マスタ!$H$6:$H$405="")+(職員マスタ!$H$6:$H$405&gt;=$AQ325))&gt;0)*(ROW(職員マスタ!$A$6:$A$405)-5)))&gt;0,SUMPRODUCT(MAX((職員マスタ!$A$6:$A$405=$B325)*(((職員マスタ!$G$6:$G$405="")+(職員マスタ!$G$6:$G$405&lt;=EOMONTH($AQ325,0)))&gt;0)*(((職員マスタ!$H$6:$H$405="")+(職員マスタ!$H$6:$H$405&gt;=$AQ325))&gt;0)*(ROW(職員マスタ!$A$6:$A$405)-5))),IFERROR(MATCH($B325,職員マスタ!$A$6:$A$405,0),"")))</f>
        <v/>
      </c>
      <c r="AQ325" s="16">
        <f>IF(OR($B325="",$C325="",$D325=""),"",DATE($C325+2018,$D325,1))</f>
        <v/>
      </c>
    </row>
    <row r="326">
      <c r="A326" s="11" t="n"/>
      <c r="B326" s="12" t="n">
        <v>6702591</v>
      </c>
      <c r="C326" s="12" t="n">
        <v>7</v>
      </c>
      <c r="D326" s="12" t="n">
        <v>4</v>
      </c>
      <c r="E326" s="13" t="n">
        <v>87657</v>
      </c>
      <c r="F326" s="12" t="n"/>
      <c r="G326" s="13" t="n"/>
      <c r="H326" s="12" t="n"/>
      <c r="I326" s="12" t="n"/>
      <c r="J326" s="12" t="n"/>
      <c r="K326" s="12" t="n"/>
      <c r="L326" s="11" t="n"/>
      <c r="M326" s="11" t="n"/>
      <c r="N326" s="11" t="n"/>
      <c r="O326" s="11" t="n"/>
      <c r="P326" s="12" t="n"/>
      <c r="Q326" s="11" t="n"/>
      <c r="R326" s="12" t="n"/>
      <c r="S326" s="11" t="n"/>
      <c r="T326" s="12" t="n"/>
      <c r="U326" s="12" t="n"/>
      <c r="V326" s="12" t="n"/>
      <c r="W326" s="13" t="n"/>
      <c r="X326" s="14">
        <f>IF($AP326="",IF($B326="","",$H326),IF(INDEX(職員マスタ!$B$6:$B$405,$AP326)="",$H326,INDEX(職員マスタ!$B$6:$B$405,$AP326)))</f>
        <v/>
      </c>
      <c r="Y326" s="14">
        <f>IF($AP326="",IF($B326="","",$R326),IF(INDEX(職員マスタ!$C$6:$C$405,$AP326)="",$R326,INDEX(職員マスタ!$C$6:$C$405,$AP326)))</f>
        <v/>
      </c>
      <c r="Z326" s="14">
        <f>IF($AQ326="","","R"&amp;$C326&amp;"."&amp;$D326)</f>
        <v/>
      </c>
      <c r="AA326" s="15">
        <f>IF(IF($AP326="",FALSE,INDEX(職員マスタ!$K$6:$K$405,$AP326)&lt;&gt;""),INDEX(職員マスタ!$K$6:$K$405,$AP326),IF(N($W326)&gt;0,$W326,""))</f>
        <v/>
      </c>
      <c r="AB326" s="14">
        <f>IF(OR($E326="",$AA326=""),"",IF($E326&gt;=$AA326,"×",IF($E326&gt;=$AA326*設定!$C$5,"△","○")))</f>
        <v/>
      </c>
      <c r="AC326" s="15">
        <f>IF($AB326="","",IF($AB326="×",0,IF($AB326="○",ROUNDDOWN($E326*設定!$C$4,0),ROUNDDOWN($E326*ROUND((9*$AA326-9*$E326)/(10*$E326),4),0))))</f>
        <v/>
      </c>
      <c r="AD326" s="13" t="n"/>
      <c r="AE326" s="15">
        <f>IF($B326="","",IF($AD326&lt;&gt;"",$AD326,IF($AC326="","",IF($AC326&lt;=設定!$C$3,0,$AC326))))</f>
        <v/>
      </c>
      <c r="AF326" s="14">
        <f>IF($B326="","",IF(AND($AG326&lt;&gt;"",$AI326="",$AL326=""),"保留中",IF($AL326&lt;&gt;"",IF(N($AE326)&gt;0,"支給済","不支給"),IF($AE326="","要確認",IF($AE326=0,"不支給","未処理")))))</f>
        <v/>
      </c>
      <c r="AG326" s="12" t="n"/>
      <c r="AH326" s="11" t="n"/>
      <c r="AI326" s="11" t="n"/>
      <c r="AJ326" s="11" t="n"/>
      <c r="AK326" s="14">
        <f>IF(AND($AF326="保留中",$AH326&lt;&gt;""),TODAY()-$AH326,"")</f>
        <v/>
      </c>
      <c r="AL326" s="12" t="inlineStr">
        <is>
          <t>R7.8</t>
        </is>
      </c>
      <c r="AM326" s="14">
        <f>IF($B326="","",IF($AQ326="","対象年月が未入力／","")&amp;IF($B326="","",IF($AP326="","職員マスタに未登録の職員番号／",IF($AA326="","標準報酬月額が未登録／","")&amp;IF(AND($AQ326&lt;&gt;"",OR(AND(INDEX(職員マスタ!$G$6:$G$405,$AP326)&lt;&gt;"",INDEX(職員マスタ!$G$6:$G$405,$AP326)&gt;EOMONTH($AQ326,0)),AND(INDEX(職員マスタ!$H$6:$H$405,$AP326)&lt;&gt;"",INDEX(職員マスタ!$H$6:$H$405,$AP326)&lt;$AQ326))),"対象月が時短期間外／","")&amp;IF(AND(INDEX(職員マスタ!$K$6:$K$405,$AP326)&lt;&gt;"",N($W326)&gt;0,INDEX(職員マスタ!$K$6:$K$405,$AP326)&lt;&gt;$W326),"標準報酬月額が申請書と相違（台帳"&amp;TEXT(INDEX(職員マスタ!$K$6:$K$405,$AP326),"#,##0")&amp;"円／申請書"&amp;TEXT($W326,"#,##0")&amp;"円）／","")&amp;IF(AND(INDEX(職員マスタ!$F$6:$F$405,$AP326)&lt;&gt;"",$AQ326&lt;&gt;"",INDEX(職員マスタ!$F$6:$F$405,$AP326)&lt;$AQ326),"対象月に子が2歳到達済／","")&amp;IF(AND($H326&lt;&gt;"",INDEX(職員マスタ!$B$6:$B$405,$AP326)&lt;&gt;"",SUBSTITUTE(SUBSTITUTE($H326," ","")," ","")&lt;&gt;SUBSTITUTE(SUBSTITUTE(INDEX(職員マスタ!$B$6:$B$405,$AP326)," ","")," ","")),"氏名がマスタと相違／","")&amp;IF(AND($Q326&lt;&gt;"",INDEX(職員マスタ!$E$6:$E$405,$AP326)&lt;&gt;"",$Q326&lt;&gt;INDEX(職員マスタ!$E$6:$E$405,$AP326)),"子の生年月日がマスタと相違／","")&amp;IF(AND($L326&lt;&gt;"",INDEX(職員マスタ!$G$6:$G$405,$AP326)&lt;&gt;"",$L326&lt;&gt;INDEX(職員マスタ!$G$6:$G$405,$AP326)),"時短開始日がマスタと相違／","")&amp;IF(AND($M326&lt;&gt;"",INDEX(職員マスタ!$H$6:$H$405,$AP326)&lt;&gt;"",$M326&lt;&gt;INDEX(職員マスタ!$H$6:$H$405,$AP326)),"時短終了日がマスタと相違／","")))&amp;IF(AND($B326&lt;&gt;"",$E326=""),"報酬額が未入力／","")&amp;IF(N($U326)&gt;0,"申請書に入力エラーが残っています／","")&amp;IF(AND($B326&lt;&gt;"",$AQ326&lt;&gt;""),IF(COUNTIFS($B$6:$B$3005,$B326,$C$6:$C$3005,$C326,$D$6:$D$3005,$D326)&gt;1,"同じ月の請求が重複しています／",""),"")&amp;IF(AND(N($E326)&gt;0,$AB326&lt;&gt;"",$AB326&lt;&gt;"×",$AE326=0,$AD326=""),"計算額が下限以下のため不支給／",""))</f>
        <v/>
      </c>
      <c r="AN326" s="12" t="n"/>
      <c r="AO326" s="14">
        <f>IF($AF326="保留中",COUNTIF($AF$6:$AF326,"保留中"),"")</f>
        <v/>
      </c>
      <c r="AP326" s="14">
        <f>IF($AQ326="","",IF(SUMPRODUCT(MAX((職員マスタ!$A$6:$A$405=$B326)*(((職員マスタ!$G$6:$G$405="")+(職員マスタ!$G$6:$G$405&lt;=EOMONTH($AQ326,0)))&gt;0)*(((職員マスタ!$H$6:$H$405="")+(職員マスタ!$H$6:$H$405&gt;=$AQ326))&gt;0)*(ROW(職員マスタ!$A$6:$A$405)-5)))&gt;0,SUMPRODUCT(MAX((職員マスタ!$A$6:$A$405=$B326)*(((職員マスタ!$G$6:$G$405="")+(職員マスタ!$G$6:$G$405&lt;=EOMONTH($AQ326,0)))&gt;0)*(((職員マスタ!$H$6:$H$405="")+(職員マスタ!$H$6:$H$405&gt;=$AQ326))&gt;0)*(ROW(職員マスタ!$A$6:$A$405)-5))),IFERROR(MATCH($B326,職員マスタ!$A$6:$A$405,0),"")))</f>
        <v/>
      </c>
      <c r="AQ326" s="16">
        <f>IF(OR($B326="",$C326="",$D326=""),"",DATE($C326+2018,$D326,1))</f>
        <v/>
      </c>
    </row>
    <row r="327">
      <c r="A327" s="11" t="n"/>
      <c r="B327" s="12" t="n">
        <v>6702591</v>
      </c>
      <c r="C327" s="12" t="n">
        <v>7</v>
      </c>
      <c r="D327" s="12" t="n">
        <v>5</v>
      </c>
      <c r="E327" s="13" t="n">
        <v>210010</v>
      </c>
      <c r="F327" s="12" t="n"/>
      <c r="G327" s="13" t="n"/>
      <c r="H327" s="12" t="n"/>
      <c r="I327" s="12" t="n"/>
      <c r="J327" s="12" t="n"/>
      <c r="K327" s="12" t="n"/>
      <c r="L327" s="11" t="n"/>
      <c r="M327" s="11" t="n"/>
      <c r="N327" s="11" t="n"/>
      <c r="O327" s="11" t="n"/>
      <c r="P327" s="12" t="n"/>
      <c r="Q327" s="11" t="n"/>
      <c r="R327" s="12" t="n"/>
      <c r="S327" s="11" t="n"/>
      <c r="T327" s="12" t="n"/>
      <c r="U327" s="12" t="n"/>
      <c r="V327" s="12" t="n"/>
      <c r="W327" s="13" t="n"/>
      <c r="X327" s="14">
        <f>IF($AP327="",IF($B327="","",$H327),IF(INDEX(職員マスタ!$B$6:$B$405,$AP327)="",$H327,INDEX(職員マスタ!$B$6:$B$405,$AP327)))</f>
        <v/>
      </c>
      <c r="Y327" s="14">
        <f>IF($AP327="",IF($B327="","",$R327),IF(INDEX(職員マスタ!$C$6:$C$405,$AP327)="",$R327,INDEX(職員マスタ!$C$6:$C$405,$AP327)))</f>
        <v/>
      </c>
      <c r="Z327" s="14">
        <f>IF($AQ327="","","R"&amp;$C327&amp;"."&amp;$D327)</f>
        <v/>
      </c>
      <c r="AA327" s="15">
        <f>IF(IF($AP327="",FALSE,INDEX(職員マスタ!$K$6:$K$405,$AP327)&lt;&gt;""),INDEX(職員マスタ!$K$6:$K$405,$AP327),IF(N($W327)&gt;0,$W327,""))</f>
        <v/>
      </c>
      <c r="AB327" s="14">
        <f>IF(OR($E327="",$AA327=""),"",IF($E327&gt;=$AA327,"×",IF($E327&gt;=$AA327*設定!$C$5,"△","○")))</f>
        <v/>
      </c>
      <c r="AC327" s="15">
        <f>IF($AB327="","",IF($AB327="×",0,IF($AB327="○",ROUNDDOWN($E327*設定!$C$4,0),ROUNDDOWN($E327*ROUND((9*$AA327-9*$E327)/(10*$E327),4),0))))</f>
        <v/>
      </c>
      <c r="AD327" s="13" t="n"/>
      <c r="AE327" s="15">
        <f>IF($B327="","",IF($AD327&lt;&gt;"",$AD327,IF($AC327="","",IF($AC327&lt;=設定!$C$3,0,$AC327))))</f>
        <v/>
      </c>
      <c r="AF327" s="14">
        <f>IF($B327="","",IF(AND($AG327&lt;&gt;"",$AI327="",$AL327=""),"保留中",IF($AL327&lt;&gt;"",IF(N($AE327)&gt;0,"支給済","不支給"),IF($AE327="","要確認",IF($AE327=0,"不支給","未処理")))))</f>
        <v/>
      </c>
      <c r="AG327" s="12" t="n"/>
      <c r="AH327" s="11" t="n"/>
      <c r="AI327" s="11" t="n"/>
      <c r="AJ327" s="11" t="n"/>
      <c r="AK327" s="14">
        <f>IF(AND($AF327="保留中",$AH327&lt;&gt;""),TODAY()-$AH327,"")</f>
        <v/>
      </c>
      <c r="AL327" s="12" t="inlineStr">
        <is>
          <t>R7.8</t>
        </is>
      </c>
      <c r="AM327" s="14">
        <f>IF($B327="","",IF($AQ327="","対象年月が未入力／","")&amp;IF($B327="","",IF($AP327="","職員マスタに未登録の職員番号／",IF($AA327="","標準報酬月額が未登録／","")&amp;IF(AND($AQ327&lt;&gt;"",OR(AND(INDEX(職員マスタ!$G$6:$G$405,$AP327)&lt;&gt;"",INDEX(職員マスタ!$G$6:$G$405,$AP327)&gt;EOMONTH($AQ327,0)),AND(INDEX(職員マスタ!$H$6:$H$405,$AP327)&lt;&gt;"",INDEX(職員マスタ!$H$6:$H$405,$AP327)&lt;$AQ327))),"対象月が時短期間外／","")&amp;IF(AND(INDEX(職員マスタ!$K$6:$K$405,$AP327)&lt;&gt;"",N($W327)&gt;0,INDEX(職員マスタ!$K$6:$K$405,$AP327)&lt;&gt;$W327),"標準報酬月額が申請書と相違（台帳"&amp;TEXT(INDEX(職員マスタ!$K$6:$K$405,$AP327),"#,##0")&amp;"円／申請書"&amp;TEXT($W327,"#,##0")&amp;"円）／","")&amp;IF(AND(INDEX(職員マスタ!$F$6:$F$405,$AP327)&lt;&gt;"",$AQ327&lt;&gt;"",INDEX(職員マスタ!$F$6:$F$405,$AP327)&lt;$AQ327),"対象月に子が2歳到達済／","")&amp;IF(AND($H327&lt;&gt;"",INDEX(職員マスタ!$B$6:$B$405,$AP327)&lt;&gt;"",SUBSTITUTE(SUBSTITUTE($H327," ","")," ","")&lt;&gt;SUBSTITUTE(SUBSTITUTE(INDEX(職員マスタ!$B$6:$B$405,$AP327)," ","")," ","")),"氏名がマスタと相違／","")&amp;IF(AND($Q327&lt;&gt;"",INDEX(職員マスタ!$E$6:$E$405,$AP327)&lt;&gt;"",$Q327&lt;&gt;INDEX(職員マスタ!$E$6:$E$405,$AP327)),"子の生年月日がマスタと相違／","")&amp;IF(AND($L327&lt;&gt;"",INDEX(職員マスタ!$G$6:$G$405,$AP327)&lt;&gt;"",$L327&lt;&gt;INDEX(職員マスタ!$G$6:$G$405,$AP327)),"時短開始日がマスタと相違／","")&amp;IF(AND($M327&lt;&gt;"",INDEX(職員マスタ!$H$6:$H$405,$AP327)&lt;&gt;"",$M327&lt;&gt;INDEX(職員マスタ!$H$6:$H$405,$AP327)),"時短終了日がマスタと相違／","")))&amp;IF(AND($B327&lt;&gt;"",$E327=""),"報酬額が未入力／","")&amp;IF(N($U327)&gt;0,"申請書に入力エラーが残っています／","")&amp;IF(AND($B327&lt;&gt;"",$AQ327&lt;&gt;""),IF(COUNTIFS($B$6:$B$3005,$B327,$C$6:$C$3005,$C327,$D$6:$D$3005,$D327)&gt;1,"同じ月の請求が重複しています／",""),"")&amp;IF(AND(N($E327)&gt;0,$AB327&lt;&gt;"",$AB327&lt;&gt;"×",$AE327=0,$AD327=""),"計算額が下限以下のため不支給／",""))</f>
        <v/>
      </c>
      <c r="AN327" s="12" t="n"/>
      <c r="AO327" s="14">
        <f>IF($AF327="保留中",COUNTIF($AF$6:$AF327,"保留中"),"")</f>
        <v/>
      </c>
      <c r="AP327" s="14">
        <f>IF($AQ327="","",IF(SUMPRODUCT(MAX((職員マスタ!$A$6:$A$405=$B327)*(((職員マスタ!$G$6:$G$405="")+(職員マスタ!$G$6:$G$405&lt;=EOMONTH($AQ327,0)))&gt;0)*(((職員マスタ!$H$6:$H$405="")+(職員マスタ!$H$6:$H$405&gt;=$AQ327))&gt;0)*(ROW(職員マスタ!$A$6:$A$405)-5)))&gt;0,SUMPRODUCT(MAX((職員マスタ!$A$6:$A$405=$B327)*(((職員マスタ!$G$6:$G$405="")+(職員マスタ!$G$6:$G$405&lt;=EOMONTH($AQ327,0)))&gt;0)*(((職員マスタ!$H$6:$H$405="")+(職員マスタ!$H$6:$H$405&gt;=$AQ327))&gt;0)*(ROW(職員マスタ!$A$6:$A$405)-5))),IFERROR(MATCH($B327,職員マスタ!$A$6:$A$405,0),"")))</f>
        <v/>
      </c>
      <c r="AQ327" s="16">
        <f>IF(OR($B327="",$C327="",$D327=""),"",DATE($C327+2018,$D327,1))</f>
        <v/>
      </c>
    </row>
    <row r="328">
      <c r="A328" s="11" t="n"/>
      <c r="B328" s="12" t="n">
        <v>6702591</v>
      </c>
      <c r="C328" s="12" t="n">
        <v>7</v>
      </c>
      <c r="D328" s="12" t="n">
        <v>6</v>
      </c>
      <c r="E328" s="13" t="n">
        <v>212471</v>
      </c>
      <c r="F328" s="12" t="n"/>
      <c r="G328" s="13" t="n"/>
      <c r="H328" s="12" t="n"/>
      <c r="I328" s="12" t="n"/>
      <c r="J328" s="12" t="n"/>
      <c r="K328" s="12" t="n"/>
      <c r="L328" s="11" t="n"/>
      <c r="M328" s="11" t="n"/>
      <c r="N328" s="11" t="n"/>
      <c r="O328" s="11" t="n"/>
      <c r="P328" s="12" t="n"/>
      <c r="Q328" s="11" t="n"/>
      <c r="R328" s="12" t="n"/>
      <c r="S328" s="11" t="n"/>
      <c r="T328" s="12" t="n"/>
      <c r="U328" s="12" t="n"/>
      <c r="V328" s="12" t="n"/>
      <c r="W328" s="13" t="n"/>
      <c r="X328" s="14">
        <f>IF($AP328="",IF($B328="","",$H328),IF(INDEX(職員マスタ!$B$6:$B$405,$AP328)="",$H328,INDEX(職員マスタ!$B$6:$B$405,$AP328)))</f>
        <v/>
      </c>
      <c r="Y328" s="14">
        <f>IF($AP328="",IF($B328="","",$R328),IF(INDEX(職員マスタ!$C$6:$C$405,$AP328)="",$R328,INDEX(職員マスタ!$C$6:$C$405,$AP328)))</f>
        <v/>
      </c>
      <c r="Z328" s="14">
        <f>IF($AQ328="","","R"&amp;$C328&amp;"."&amp;$D328)</f>
        <v/>
      </c>
      <c r="AA328" s="15">
        <f>IF(IF($AP328="",FALSE,INDEX(職員マスタ!$K$6:$K$405,$AP328)&lt;&gt;""),INDEX(職員マスタ!$K$6:$K$405,$AP328),IF(N($W328)&gt;0,$W328,""))</f>
        <v/>
      </c>
      <c r="AB328" s="14">
        <f>IF(OR($E328="",$AA328=""),"",IF($E328&gt;=$AA328,"×",IF($E328&gt;=$AA328*設定!$C$5,"△","○")))</f>
        <v/>
      </c>
      <c r="AC328" s="15">
        <f>IF($AB328="","",IF($AB328="×",0,IF($AB328="○",ROUNDDOWN($E328*設定!$C$4,0),ROUNDDOWN($E328*ROUND((9*$AA328-9*$E328)/(10*$E328),4),0))))</f>
        <v/>
      </c>
      <c r="AD328" s="13" t="n"/>
      <c r="AE328" s="15">
        <f>IF($B328="","",IF($AD328&lt;&gt;"",$AD328,IF($AC328="","",IF($AC328&lt;=設定!$C$3,0,$AC328))))</f>
        <v/>
      </c>
      <c r="AF328" s="14">
        <f>IF($B328="","",IF(AND($AG328&lt;&gt;"",$AI328="",$AL328=""),"保留中",IF($AL328&lt;&gt;"",IF(N($AE328)&gt;0,"支給済","不支給"),IF($AE328="","要確認",IF($AE328=0,"不支給","未処理")))))</f>
        <v/>
      </c>
      <c r="AG328" s="12" t="n"/>
      <c r="AH328" s="11" t="n"/>
      <c r="AI328" s="11" t="n"/>
      <c r="AJ328" s="11" t="n"/>
      <c r="AK328" s="14">
        <f>IF(AND($AF328="保留中",$AH328&lt;&gt;""),TODAY()-$AH328,"")</f>
        <v/>
      </c>
      <c r="AL328" s="12" t="inlineStr">
        <is>
          <t>R7.8</t>
        </is>
      </c>
      <c r="AM328" s="14">
        <f>IF($B328="","",IF($AQ328="","対象年月が未入力／","")&amp;IF($B328="","",IF($AP328="","職員マスタに未登録の職員番号／",IF($AA328="","標準報酬月額が未登録／","")&amp;IF(AND($AQ328&lt;&gt;"",OR(AND(INDEX(職員マスタ!$G$6:$G$405,$AP328)&lt;&gt;"",INDEX(職員マスタ!$G$6:$G$405,$AP328)&gt;EOMONTH($AQ328,0)),AND(INDEX(職員マスタ!$H$6:$H$405,$AP328)&lt;&gt;"",INDEX(職員マスタ!$H$6:$H$405,$AP328)&lt;$AQ328))),"対象月が時短期間外／","")&amp;IF(AND(INDEX(職員マスタ!$K$6:$K$405,$AP328)&lt;&gt;"",N($W328)&gt;0,INDEX(職員マスタ!$K$6:$K$405,$AP328)&lt;&gt;$W328),"標準報酬月額が申請書と相違（台帳"&amp;TEXT(INDEX(職員マスタ!$K$6:$K$405,$AP328),"#,##0")&amp;"円／申請書"&amp;TEXT($W328,"#,##0")&amp;"円）／","")&amp;IF(AND(INDEX(職員マスタ!$F$6:$F$405,$AP328)&lt;&gt;"",$AQ328&lt;&gt;"",INDEX(職員マスタ!$F$6:$F$405,$AP328)&lt;$AQ328),"対象月に子が2歳到達済／","")&amp;IF(AND($H328&lt;&gt;"",INDEX(職員マスタ!$B$6:$B$405,$AP328)&lt;&gt;"",SUBSTITUTE(SUBSTITUTE($H328," ","")," ","")&lt;&gt;SUBSTITUTE(SUBSTITUTE(INDEX(職員マスタ!$B$6:$B$405,$AP328)," ","")," ","")),"氏名がマスタと相違／","")&amp;IF(AND($Q328&lt;&gt;"",INDEX(職員マスタ!$E$6:$E$405,$AP328)&lt;&gt;"",$Q328&lt;&gt;INDEX(職員マスタ!$E$6:$E$405,$AP328)),"子の生年月日がマスタと相違／","")&amp;IF(AND($L328&lt;&gt;"",INDEX(職員マスタ!$G$6:$G$405,$AP328)&lt;&gt;"",$L328&lt;&gt;INDEX(職員マスタ!$G$6:$G$405,$AP328)),"時短開始日がマスタと相違／","")&amp;IF(AND($M328&lt;&gt;"",INDEX(職員マスタ!$H$6:$H$405,$AP328)&lt;&gt;"",$M328&lt;&gt;INDEX(職員マスタ!$H$6:$H$405,$AP328)),"時短終了日がマスタと相違／","")))&amp;IF(AND($B328&lt;&gt;"",$E328=""),"報酬額が未入力／","")&amp;IF(N($U328)&gt;0,"申請書に入力エラーが残っています／","")&amp;IF(AND($B328&lt;&gt;"",$AQ328&lt;&gt;""),IF(COUNTIFS($B$6:$B$3005,$B328,$C$6:$C$3005,$C328,$D$6:$D$3005,$D328)&gt;1,"同じ月の請求が重複しています／",""),"")&amp;IF(AND(N($E328)&gt;0,$AB328&lt;&gt;"",$AB328&lt;&gt;"×",$AE328=0,$AD328=""),"計算額が下限以下のため不支給／",""))</f>
        <v/>
      </c>
      <c r="AN328" s="12" t="n"/>
      <c r="AO328" s="14">
        <f>IF($AF328="保留中",COUNTIF($AF$6:$AF328,"保留中"),"")</f>
        <v/>
      </c>
      <c r="AP328" s="14">
        <f>IF($AQ328="","",IF(SUMPRODUCT(MAX((職員マスタ!$A$6:$A$405=$B328)*(((職員マスタ!$G$6:$G$405="")+(職員マスタ!$G$6:$G$405&lt;=EOMONTH($AQ328,0)))&gt;0)*(((職員マスタ!$H$6:$H$405="")+(職員マスタ!$H$6:$H$405&gt;=$AQ328))&gt;0)*(ROW(職員マスタ!$A$6:$A$405)-5)))&gt;0,SUMPRODUCT(MAX((職員マスタ!$A$6:$A$405=$B328)*(((職員マスタ!$G$6:$G$405="")+(職員マスタ!$G$6:$G$405&lt;=EOMONTH($AQ328,0)))&gt;0)*(((職員マスタ!$H$6:$H$405="")+(職員マスタ!$H$6:$H$405&gt;=$AQ328))&gt;0)*(ROW(職員マスタ!$A$6:$A$405)-5))),IFERROR(MATCH($B328,職員マスタ!$A$6:$A$405,0),"")))</f>
        <v/>
      </c>
      <c r="AQ328" s="16">
        <f>IF(OR($B328="",$C328="",$D328=""),"",DATE($C328+2018,$D328,1))</f>
        <v/>
      </c>
    </row>
    <row r="329">
      <c r="A329" s="11" t="n"/>
      <c r="B329" s="12" t="n">
        <v>6702591</v>
      </c>
      <c r="C329" s="12" t="n">
        <v>7</v>
      </c>
      <c r="D329" s="12" t="n">
        <v>7</v>
      </c>
      <c r="E329" s="13" t="n">
        <v>224841</v>
      </c>
      <c r="F329" s="12" t="n"/>
      <c r="G329" s="13" t="n"/>
      <c r="H329" s="12" t="n"/>
      <c r="I329" s="12" t="n"/>
      <c r="J329" s="12" t="n"/>
      <c r="K329" s="12" t="n"/>
      <c r="L329" s="11" t="n"/>
      <c r="M329" s="11" t="n"/>
      <c r="N329" s="11" t="n"/>
      <c r="O329" s="11" t="n"/>
      <c r="P329" s="12" t="n"/>
      <c r="Q329" s="11" t="n"/>
      <c r="R329" s="12" t="n"/>
      <c r="S329" s="11" t="n"/>
      <c r="T329" s="12" t="n"/>
      <c r="U329" s="12" t="n"/>
      <c r="V329" s="12" t="n"/>
      <c r="W329" s="13" t="n"/>
      <c r="X329" s="14">
        <f>IF($AP329="",IF($B329="","",$H329),IF(INDEX(職員マスタ!$B$6:$B$405,$AP329)="",$H329,INDEX(職員マスタ!$B$6:$B$405,$AP329)))</f>
        <v/>
      </c>
      <c r="Y329" s="14">
        <f>IF($AP329="",IF($B329="","",$R329),IF(INDEX(職員マスタ!$C$6:$C$405,$AP329)="",$R329,INDEX(職員マスタ!$C$6:$C$405,$AP329)))</f>
        <v/>
      </c>
      <c r="Z329" s="14">
        <f>IF($AQ329="","","R"&amp;$C329&amp;"."&amp;$D329)</f>
        <v/>
      </c>
      <c r="AA329" s="15">
        <f>IF(IF($AP329="",FALSE,INDEX(職員マスタ!$K$6:$K$405,$AP329)&lt;&gt;""),INDEX(職員マスタ!$K$6:$K$405,$AP329),IF(N($W329)&gt;0,$W329,""))</f>
        <v/>
      </c>
      <c r="AB329" s="14">
        <f>IF(OR($E329="",$AA329=""),"",IF($E329&gt;=$AA329,"×",IF($E329&gt;=$AA329*設定!$C$5,"△","○")))</f>
        <v/>
      </c>
      <c r="AC329" s="15">
        <f>IF($AB329="","",IF($AB329="×",0,IF($AB329="○",ROUNDDOWN($E329*設定!$C$4,0),ROUNDDOWN($E329*ROUND((9*$AA329-9*$E329)/(10*$E329),4),0))))</f>
        <v/>
      </c>
      <c r="AD329" s="13" t="n"/>
      <c r="AE329" s="15">
        <f>IF($B329="","",IF($AD329&lt;&gt;"",$AD329,IF($AC329="","",IF($AC329&lt;=設定!$C$3,0,$AC329))))</f>
        <v/>
      </c>
      <c r="AF329" s="14">
        <f>IF($B329="","",IF(AND($AG329&lt;&gt;"",$AI329="",$AL329=""),"保留中",IF($AL329&lt;&gt;"",IF(N($AE329)&gt;0,"支給済","不支給"),IF($AE329="","要確認",IF($AE329=0,"不支給","未処理")))))</f>
        <v/>
      </c>
      <c r="AG329" s="12" t="n"/>
      <c r="AH329" s="11" t="n"/>
      <c r="AI329" s="11" t="n"/>
      <c r="AJ329" s="11" t="n"/>
      <c r="AK329" s="14">
        <f>IF(AND($AF329="保留中",$AH329&lt;&gt;""),TODAY()-$AH329,"")</f>
        <v/>
      </c>
      <c r="AL329" s="12" t="inlineStr">
        <is>
          <t>R7.9</t>
        </is>
      </c>
      <c r="AM329" s="14">
        <f>IF($B329="","",IF($AQ329="","対象年月が未入力／","")&amp;IF($B329="","",IF($AP329="","職員マスタに未登録の職員番号／",IF($AA329="","標準報酬月額が未登録／","")&amp;IF(AND($AQ329&lt;&gt;"",OR(AND(INDEX(職員マスタ!$G$6:$G$405,$AP329)&lt;&gt;"",INDEX(職員マスタ!$G$6:$G$405,$AP329)&gt;EOMONTH($AQ329,0)),AND(INDEX(職員マスタ!$H$6:$H$405,$AP329)&lt;&gt;"",INDEX(職員マスタ!$H$6:$H$405,$AP329)&lt;$AQ329))),"対象月が時短期間外／","")&amp;IF(AND(INDEX(職員マスタ!$K$6:$K$405,$AP329)&lt;&gt;"",N($W329)&gt;0,INDEX(職員マスタ!$K$6:$K$405,$AP329)&lt;&gt;$W329),"標準報酬月額が申請書と相違（台帳"&amp;TEXT(INDEX(職員マスタ!$K$6:$K$405,$AP329),"#,##0")&amp;"円／申請書"&amp;TEXT($W329,"#,##0")&amp;"円）／","")&amp;IF(AND(INDEX(職員マスタ!$F$6:$F$405,$AP329)&lt;&gt;"",$AQ329&lt;&gt;"",INDEX(職員マスタ!$F$6:$F$405,$AP329)&lt;$AQ329),"対象月に子が2歳到達済／","")&amp;IF(AND($H329&lt;&gt;"",INDEX(職員マスタ!$B$6:$B$405,$AP329)&lt;&gt;"",SUBSTITUTE(SUBSTITUTE($H329," ","")," ","")&lt;&gt;SUBSTITUTE(SUBSTITUTE(INDEX(職員マスタ!$B$6:$B$405,$AP329)," ","")," ","")),"氏名がマスタと相違／","")&amp;IF(AND($Q329&lt;&gt;"",INDEX(職員マスタ!$E$6:$E$405,$AP329)&lt;&gt;"",$Q329&lt;&gt;INDEX(職員マスタ!$E$6:$E$405,$AP329)),"子の生年月日がマスタと相違／","")&amp;IF(AND($L329&lt;&gt;"",INDEX(職員マスタ!$G$6:$G$405,$AP329)&lt;&gt;"",$L329&lt;&gt;INDEX(職員マスタ!$G$6:$G$405,$AP329)),"時短開始日がマスタと相違／","")&amp;IF(AND($M329&lt;&gt;"",INDEX(職員マスタ!$H$6:$H$405,$AP329)&lt;&gt;"",$M329&lt;&gt;INDEX(職員マスタ!$H$6:$H$405,$AP329)),"時短終了日がマスタと相違／","")))&amp;IF(AND($B329&lt;&gt;"",$E329=""),"報酬額が未入力／","")&amp;IF(N($U329)&gt;0,"申請書に入力エラーが残っています／","")&amp;IF(AND($B329&lt;&gt;"",$AQ329&lt;&gt;""),IF(COUNTIFS($B$6:$B$3005,$B329,$C$6:$C$3005,$C329,$D$6:$D$3005,$D329)&gt;1,"同じ月の請求が重複しています／",""),"")&amp;IF(AND(N($E329)&gt;0,$AB329&lt;&gt;"",$AB329&lt;&gt;"×",$AE329=0,$AD329=""),"計算額が下限以下のため不支給／",""))</f>
        <v/>
      </c>
      <c r="AN329" s="12" t="n"/>
      <c r="AO329" s="14">
        <f>IF($AF329="保留中",COUNTIF($AF$6:$AF329,"保留中"),"")</f>
        <v/>
      </c>
      <c r="AP329" s="14">
        <f>IF($AQ329="","",IF(SUMPRODUCT(MAX((職員マスタ!$A$6:$A$405=$B329)*(((職員マスタ!$G$6:$G$405="")+(職員マスタ!$G$6:$G$405&lt;=EOMONTH($AQ329,0)))&gt;0)*(((職員マスタ!$H$6:$H$405="")+(職員マスタ!$H$6:$H$405&gt;=$AQ329))&gt;0)*(ROW(職員マスタ!$A$6:$A$405)-5)))&gt;0,SUMPRODUCT(MAX((職員マスタ!$A$6:$A$405=$B329)*(((職員マスタ!$G$6:$G$405="")+(職員マスタ!$G$6:$G$405&lt;=EOMONTH($AQ329,0)))&gt;0)*(((職員マスタ!$H$6:$H$405="")+(職員マスタ!$H$6:$H$405&gt;=$AQ329))&gt;0)*(ROW(職員マスタ!$A$6:$A$405)-5))),IFERROR(MATCH($B329,職員マスタ!$A$6:$A$405,0),"")))</f>
        <v/>
      </c>
      <c r="AQ329" s="16">
        <f>IF(OR($B329="",$C329="",$D329=""),"",DATE($C329+2018,$D329,1))</f>
        <v/>
      </c>
    </row>
    <row r="330">
      <c r="A330" s="11" t="n"/>
      <c r="B330" s="12" t="n">
        <v>6702591</v>
      </c>
      <c r="C330" s="12" t="n">
        <v>7</v>
      </c>
      <c r="D330" s="12" t="n">
        <v>8</v>
      </c>
      <c r="E330" s="13" t="n">
        <v>205598</v>
      </c>
      <c r="F330" s="12" t="n"/>
      <c r="G330" s="13" t="n"/>
      <c r="H330" s="12" t="n"/>
      <c r="I330" s="12" t="n"/>
      <c r="J330" s="12" t="n"/>
      <c r="K330" s="12" t="n"/>
      <c r="L330" s="11" t="n"/>
      <c r="M330" s="11" t="n"/>
      <c r="N330" s="11" t="n"/>
      <c r="O330" s="11" t="n"/>
      <c r="P330" s="12" t="n"/>
      <c r="Q330" s="11" t="n"/>
      <c r="R330" s="12" t="n"/>
      <c r="S330" s="11" t="n"/>
      <c r="T330" s="12" t="n"/>
      <c r="U330" s="12" t="n"/>
      <c r="V330" s="12" t="n"/>
      <c r="W330" s="13" t="n"/>
      <c r="X330" s="14">
        <f>IF($AP330="",IF($B330="","",$H330),IF(INDEX(職員マスタ!$B$6:$B$405,$AP330)="",$H330,INDEX(職員マスタ!$B$6:$B$405,$AP330)))</f>
        <v/>
      </c>
      <c r="Y330" s="14">
        <f>IF($AP330="",IF($B330="","",$R330),IF(INDEX(職員マスタ!$C$6:$C$405,$AP330)="",$R330,INDEX(職員マスタ!$C$6:$C$405,$AP330)))</f>
        <v/>
      </c>
      <c r="Z330" s="14">
        <f>IF($AQ330="","","R"&amp;$C330&amp;"."&amp;$D330)</f>
        <v/>
      </c>
      <c r="AA330" s="15">
        <f>IF(IF($AP330="",FALSE,INDEX(職員マスタ!$K$6:$K$405,$AP330)&lt;&gt;""),INDEX(職員マスタ!$K$6:$K$405,$AP330),IF(N($W330)&gt;0,$W330,""))</f>
        <v/>
      </c>
      <c r="AB330" s="14">
        <f>IF(OR($E330="",$AA330=""),"",IF($E330&gt;=$AA330,"×",IF($E330&gt;=$AA330*設定!$C$5,"△","○")))</f>
        <v/>
      </c>
      <c r="AC330" s="15">
        <f>IF($AB330="","",IF($AB330="×",0,IF($AB330="○",ROUNDDOWN($E330*設定!$C$4,0),ROUNDDOWN($E330*ROUND((9*$AA330-9*$E330)/(10*$E330),4),0))))</f>
        <v/>
      </c>
      <c r="AD330" s="13" t="n"/>
      <c r="AE330" s="15">
        <f>IF($B330="","",IF($AD330&lt;&gt;"",$AD330,IF($AC330="","",IF($AC330&lt;=設定!$C$3,0,$AC330))))</f>
        <v/>
      </c>
      <c r="AF330" s="14">
        <f>IF($B330="","",IF(AND($AG330&lt;&gt;"",$AI330="",$AL330=""),"保留中",IF($AL330&lt;&gt;"",IF(N($AE330)&gt;0,"支給済","不支給"),IF($AE330="","要確認",IF($AE330=0,"不支給","未処理")))))</f>
        <v/>
      </c>
      <c r="AG330" s="12" t="n"/>
      <c r="AH330" s="11" t="n"/>
      <c r="AI330" s="11" t="n"/>
      <c r="AJ330" s="11" t="n"/>
      <c r="AK330" s="14">
        <f>IF(AND($AF330="保留中",$AH330&lt;&gt;""),TODAY()-$AH330,"")</f>
        <v/>
      </c>
      <c r="AL330" s="12" t="inlineStr">
        <is>
          <t>R7.10</t>
        </is>
      </c>
      <c r="AM330" s="14">
        <f>IF($B330="","",IF($AQ330="","対象年月が未入力／","")&amp;IF($B330="","",IF($AP330="","職員マスタに未登録の職員番号／",IF($AA330="","標準報酬月額が未登録／","")&amp;IF(AND($AQ330&lt;&gt;"",OR(AND(INDEX(職員マスタ!$G$6:$G$405,$AP330)&lt;&gt;"",INDEX(職員マスタ!$G$6:$G$405,$AP330)&gt;EOMONTH($AQ330,0)),AND(INDEX(職員マスタ!$H$6:$H$405,$AP330)&lt;&gt;"",INDEX(職員マスタ!$H$6:$H$405,$AP330)&lt;$AQ330))),"対象月が時短期間外／","")&amp;IF(AND(INDEX(職員マスタ!$K$6:$K$405,$AP330)&lt;&gt;"",N($W330)&gt;0,INDEX(職員マスタ!$K$6:$K$405,$AP330)&lt;&gt;$W330),"標準報酬月額が申請書と相違（台帳"&amp;TEXT(INDEX(職員マスタ!$K$6:$K$405,$AP330),"#,##0")&amp;"円／申請書"&amp;TEXT($W330,"#,##0")&amp;"円）／","")&amp;IF(AND(INDEX(職員マスタ!$F$6:$F$405,$AP330)&lt;&gt;"",$AQ330&lt;&gt;"",INDEX(職員マスタ!$F$6:$F$405,$AP330)&lt;$AQ330),"対象月に子が2歳到達済／","")&amp;IF(AND($H330&lt;&gt;"",INDEX(職員マスタ!$B$6:$B$405,$AP330)&lt;&gt;"",SUBSTITUTE(SUBSTITUTE($H330," ","")," ","")&lt;&gt;SUBSTITUTE(SUBSTITUTE(INDEX(職員マスタ!$B$6:$B$405,$AP330)," ","")," ","")),"氏名がマスタと相違／","")&amp;IF(AND($Q330&lt;&gt;"",INDEX(職員マスタ!$E$6:$E$405,$AP330)&lt;&gt;"",$Q330&lt;&gt;INDEX(職員マスタ!$E$6:$E$405,$AP330)),"子の生年月日がマスタと相違／","")&amp;IF(AND($L330&lt;&gt;"",INDEX(職員マスタ!$G$6:$G$405,$AP330)&lt;&gt;"",$L330&lt;&gt;INDEX(職員マスタ!$G$6:$G$405,$AP330)),"時短開始日がマスタと相違／","")&amp;IF(AND($M330&lt;&gt;"",INDEX(職員マスタ!$H$6:$H$405,$AP330)&lt;&gt;"",$M330&lt;&gt;INDEX(職員マスタ!$H$6:$H$405,$AP330)),"時短終了日がマスタと相違／","")))&amp;IF(AND($B330&lt;&gt;"",$E330=""),"報酬額が未入力／","")&amp;IF(N($U330)&gt;0,"申請書に入力エラーが残っています／","")&amp;IF(AND($B330&lt;&gt;"",$AQ330&lt;&gt;""),IF(COUNTIFS($B$6:$B$3005,$B330,$C$6:$C$3005,$C330,$D$6:$D$3005,$D330)&gt;1,"同じ月の請求が重複しています／",""),"")&amp;IF(AND(N($E330)&gt;0,$AB330&lt;&gt;"",$AB330&lt;&gt;"×",$AE330=0,$AD330=""),"計算額が下限以下のため不支給／",""))</f>
        <v/>
      </c>
      <c r="AN330" s="12" t="n"/>
      <c r="AO330" s="14">
        <f>IF($AF330="保留中",COUNTIF($AF$6:$AF330,"保留中"),"")</f>
        <v/>
      </c>
      <c r="AP330" s="14">
        <f>IF($AQ330="","",IF(SUMPRODUCT(MAX((職員マスタ!$A$6:$A$405=$B330)*(((職員マスタ!$G$6:$G$405="")+(職員マスタ!$G$6:$G$405&lt;=EOMONTH($AQ330,0)))&gt;0)*(((職員マスタ!$H$6:$H$405="")+(職員マスタ!$H$6:$H$405&gt;=$AQ330))&gt;0)*(ROW(職員マスタ!$A$6:$A$405)-5)))&gt;0,SUMPRODUCT(MAX((職員マスタ!$A$6:$A$405=$B330)*(((職員マスタ!$G$6:$G$405="")+(職員マスタ!$G$6:$G$405&lt;=EOMONTH($AQ330,0)))&gt;0)*(((職員マスタ!$H$6:$H$405="")+(職員マスタ!$H$6:$H$405&gt;=$AQ330))&gt;0)*(ROW(職員マスタ!$A$6:$A$405)-5))),IFERROR(MATCH($B330,職員マスタ!$A$6:$A$405,0),"")))</f>
        <v/>
      </c>
      <c r="AQ330" s="16">
        <f>IF(OR($B330="",$C330="",$D330=""),"",DATE($C330+2018,$D330,1))</f>
        <v/>
      </c>
    </row>
    <row r="331">
      <c r="A331" s="11" t="n"/>
      <c r="B331" s="12" t="n">
        <v>6702591</v>
      </c>
      <c r="C331" s="12" t="n">
        <v>7</v>
      </c>
      <c r="D331" s="12" t="n">
        <v>9</v>
      </c>
      <c r="E331" s="13" t="n">
        <v>210182</v>
      </c>
      <c r="F331" s="12" t="n"/>
      <c r="G331" s="13" t="n"/>
      <c r="H331" s="12" t="n"/>
      <c r="I331" s="12" t="n"/>
      <c r="J331" s="12" t="n"/>
      <c r="K331" s="12" t="n"/>
      <c r="L331" s="11" t="n"/>
      <c r="M331" s="11" t="n"/>
      <c r="N331" s="11" t="n"/>
      <c r="O331" s="11" t="n"/>
      <c r="P331" s="12" t="n"/>
      <c r="Q331" s="11" t="n"/>
      <c r="R331" s="12" t="n"/>
      <c r="S331" s="11" t="n"/>
      <c r="T331" s="12" t="n"/>
      <c r="U331" s="12" t="n"/>
      <c r="V331" s="12" t="n"/>
      <c r="W331" s="13" t="n"/>
      <c r="X331" s="14">
        <f>IF($AP331="",IF($B331="","",$H331),IF(INDEX(職員マスタ!$B$6:$B$405,$AP331)="",$H331,INDEX(職員マスタ!$B$6:$B$405,$AP331)))</f>
        <v/>
      </c>
      <c r="Y331" s="14">
        <f>IF($AP331="",IF($B331="","",$R331),IF(INDEX(職員マスタ!$C$6:$C$405,$AP331)="",$R331,INDEX(職員マスタ!$C$6:$C$405,$AP331)))</f>
        <v/>
      </c>
      <c r="Z331" s="14">
        <f>IF($AQ331="","","R"&amp;$C331&amp;"."&amp;$D331)</f>
        <v/>
      </c>
      <c r="AA331" s="15">
        <f>IF(IF($AP331="",FALSE,INDEX(職員マスタ!$K$6:$K$405,$AP331)&lt;&gt;""),INDEX(職員マスタ!$K$6:$K$405,$AP331),IF(N($W331)&gt;0,$W331,""))</f>
        <v/>
      </c>
      <c r="AB331" s="14">
        <f>IF(OR($E331="",$AA331=""),"",IF($E331&gt;=$AA331,"×",IF($E331&gt;=$AA331*設定!$C$5,"△","○")))</f>
        <v/>
      </c>
      <c r="AC331" s="15">
        <f>IF($AB331="","",IF($AB331="×",0,IF($AB331="○",ROUNDDOWN($E331*設定!$C$4,0),ROUNDDOWN($E331*ROUND((9*$AA331-9*$E331)/(10*$E331),4),0))))</f>
        <v/>
      </c>
      <c r="AD331" s="13" t="n"/>
      <c r="AE331" s="15">
        <f>IF($B331="","",IF($AD331&lt;&gt;"",$AD331,IF($AC331="","",IF($AC331&lt;=設定!$C$3,0,$AC331))))</f>
        <v/>
      </c>
      <c r="AF331" s="14">
        <f>IF($B331="","",IF(AND($AG331&lt;&gt;"",$AI331="",$AL331=""),"保留中",IF($AL331&lt;&gt;"",IF(N($AE331)&gt;0,"支給済","不支給"),IF($AE331="","要確認",IF($AE331=0,"不支給","未処理")))))</f>
        <v/>
      </c>
      <c r="AG331" s="12" t="n"/>
      <c r="AH331" s="11" t="n"/>
      <c r="AI331" s="11" t="n"/>
      <c r="AJ331" s="11" t="n"/>
      <c r="AK331" s="14">
        <f>IF(AND($AF331="保留中",$AH331&lt;&gt;""),TODAY()-$AH331,"")</f>
        <v/>
      </c>
      <c r="AL331" s="12" t="inlineStr">
        <is>
          <t>R7.11</t>
        </is>
      </c>
      <c r="AM331" s="14">
        <f>IF($B331="","",IF($AQ331="","対象年月が未入力／","")&amp;IF($B331="","",IF($AP331="","職員マスタに未登録の職員番号／",IF($AA331="","標準報酬月額が未登録／","")&amp;IF(AND($AQ331&lt;&gt;"",OR(AND(INDEX(職員マスタ!$G$6:$G$405,$AP331)&lt;&gt;"",INDEX(職員マスタ!$G$6:$G$405,$AP331)&gt;EOMONTH($AQ331,0)),AND(INDEX(職員マスタ!$H$6:$H$405,$AP331)&lt;&gt;"",INDEX(職員マスタ!$H$6:$H$405,$AP331)&lt;$AQ331))),"対象月が時短期間外／","")&amp;IF(AND(INDEX(職員マスタ!$K$6:$K$405,$AP331)&lt;&gt;"",N($W331)&gt;0,INDEX(職員マスタ!$K$6:$K$405,$AP331)&lt;&gt;$W331),"標準報酬月額が申請書と相違（台帳"&amp;TEXT(INDEX(職員マスタ!$K$6:$K$405,$AP331),"#,##0")&amp;"円／申請書"&amp;TEXT($W331,"#,##0")&amp;"円）／","")&amp;IF(AND(INDEX(職員マスタ!$F$6:$F$405,$AP331)&lt;&gt;"",$AQ331&lt;&gt;"",INDEX(職員マスタ!$F$6:$F$405,$AP331)&lt;$AQ331),"対象月に子が2歳到達済／","")&amp;IF(AND($H331&lt;&gt;"",INDEX(職員マスタ!$B$6:$B$405,$AP331)&lt;&gt;"",SUBSTITUTE(SUBSTITUTE($H331," ","")," ","")&lt;&gt;SUBSTITUTE(SUBSTITUTE(INDEX(職員マスタ!$B$6:$B$405,$AP331)," ","")," ","")),"氏名がマスタと相違／","")&amp;IF(AND($Q331&lt;&gt;"",INDEX(職員マスタ!$E$6:$E$405,$AP331)&lt;&gt;"",$Q331&lt;&gt;INDEX(職員マスタ!$E$6:$E$405,$AP331)),"子の生年月日がマスタと相違／","")&amp;IF(AND($L331&lt;&gt;"",INDEX(職員マスタ!$G$6:$G$405,$AP331)&lt;&gt;"",$L331&lt;&gt;INDEX(職員マスタ!$G$6:$G$405,$AP331)),"時短開始日がマスタと相違／","")&amp;IF(AND($M331&lt;&gt;"",INDEX(職員マスタ!$H$6:$H$405,$AP331)&lt;&gt;"",$M331&lt;&gt;INDEX(職員マスタ!$H$6:$H$405,$AP331)),"時短終了日がマスタと相違／","")))&amp;IF(AND($B331&lt;&gt;"",$E331=""),"報酬額が未入力／","")&amp;IF(N($U331)&gt;0,"申請書に入力エラーが残っています／","")&amp;IF(AND($B331&lt;&gt;"",$AQ331&lt;&gt;""),IF(COUNTIFS($B$6:$B$3005,$B331,$C$6:$C$3005,$C331,$D$6:$D$3005,$D331)&gt;1,"同じ月の請求が重複しています／",""),"")&amp;IF(AND(N($E331)&gt;0,$AB331&lt;&gt;"",$AB331&lt;&gt;"×",$AE331=0,$AD331=""),"計算額が下限以下のため不支給／",""))</f>
        <v/>
      </c>
      <c r="AN331" s="12" t="n"/>
      <c r="AO331" s="14">
        <f>IF($AF331="保留中",COUNTIF($AF$6:$AF331,"保留中"),"")</f>
        <v/>
      </c>
      <c r="AP331" s="14">
        <f>IF($AQ331="","",IF(SUMPRODUCT(MAX((職員マスタ!$A$6:$A$405=$B331)*(((職員マスタ!$G$6:$G$405="")+(職員マスタ!$G$6:$G$405&lt;=EOMONTH($AQ331,0)))&gt;0)*(((職員マスタ!$H$6:$H$405="")+(職員マスタ!$H$6:$H$405&gt;=$AQ331))&gt;0)*(ROW(職員マスタ!$A$6:$A$405)-5)))&gt;0,SUMPRODUCT(MAX((職員マスタ!$A$6:$A$405=$B331)*(((職員マスタ!$G$6:$G$405="")+(職員マスタ!$G$6:$G$405&lt;=EOMONTH($AQ331,0)))&gt;0)*(((職員マスタ!$H$6:$H$405="")+(職員マスタ!$H$6:$H$405&gt;=$AQ331))&gt;0)*(ROW(職員マスタ!$A$6:$A$405)-5))),IFERROR(MATCH($B331,職員マスタ!$A$6:$A$405,0),"")))</f>
        <v/>
      </c>
      <c r="AQ331" s="16">
        <f>IF(OR($B331="",$C331="",$D331=""),"",DATE($C331+2018,$D331,1))</f>
        <v/>
      </c>
    </row>
    <row r="332">
      <c r="A332" s="11" t="n"/>
      <c r="B332" s="12" t="n">
        <v>6702591</v>
      </c>
      <c r="C332" s="12" t="n">
        <v>7</v>
      </c>
      <c r="D332" s="12" t="n">
        <v>10</v>
      </c>
      <c r="E332" s="13" t="n">
        <v>211895</v>
      </c>
      <c r="F332" s="12" t="n"/>
      <c r="G332" s="13" t="n"/>
      <c r="H332" s="12" t="n"/>
      <c r="I332" s="12" t="n"/>
      <c r="J332" s="12" t="n"/>
      <c r="K332" s="12" t="n"/>
      <c r="L332" s="11" t="n"/>
      <c r="M332" s="11" t="n"/>
      <c r="N332" s="11" t="n"/>
      <c r="O332" s="11" t="n"/>
      <c r="P332" s="12" t="n"/>
      <c r="Q332" s="11" t="n"/>
      <c r="R332" s="12" t="n"/>
      <c r="S332" s="11" t="n"/>
      <c r="T332" s="12" t="n"/>
      <c r="U332" s="12" t="n"/>
      <c r="V332" s="12" t="n"/>
      <c r="W332" s="13" t="n"/>
      <c r="X332" s="14">
        <f>IF($AP332="",IF($B332="","",$H332),IF(INDEX(職員マスタ!$B$6:$B$405,$AP332)="",$H332,INDEX(職員マスタ!$B$6:$B$405,$AP332)))</f>
        <v/>
      </c>
      <c r="Y332" s="14">
        <f>IF($AP332="",IF($B332="","",$R332),IF(INDEX(職員マスタ!$C$6:$C$405,$AP332)="",$R332,INDEX(職員マスタ!$C$6:$C$405,$AP332)))</f>
        <v/>
      </c>
      <c r="Z332" s="14">
        <f>IF($AQ332="","","R"&amp;$C332&amp;"."&amp;$D332)</f>
        <v/>
      </c>
      <c r="AA332" s="15">
        <f>IF(IF($AP332="",FALSE,INDEX(職員マスタ!$K$6:$K$405,$AP332)&lt;&gt;""),INDEX(職員マスタ!$K$6:$K$405,$AP332),IF(N($W332)&gt;0,$W332,""))</f>
        <v/>
      </c>
      <c r="AB332" s="14">
        <f>IF(OR($E332="",$AA332=""),"",IF($E332&gt;=$AA332,"×",IF($E332&gt;=$AA332*設定!$C$5,"△","○")))</f>
        <v/>
      </c>
      <c r="AC332" s="15">
        <f>IF($AB332="","",IF($AB332="×",0,IF($AB332="○",ROUNDDOWN($E332*設定!$C$4,0),ROUNDDOWN($E332*ROUND((9*$AA332-9*$E332)/(10*$E332),4),0))))</f>
        <v/>
      </c>
      <c r="AD332" s="13" t="n"/>
      <c r="AE332" s="15">
        <f>IF($B332="","",IF($AD332&lt;&gt;"",$AD332,IF($AC332="","",IF($AC332&lt;=設定!$C$3,0,$AC332))))</f>
        <v/>
      </c>
      <c r="AF332" s="14">
        <f>IF($B332="","",IF(AND($AG332&lt;&gt;"",$AI332="",$AL332=""),"保留中",IF($AL332&lt;&gt;"",IF(N($AE332)&gt;0,"支給済","不支給"),IF($AE332="","要確認",IF($AE332=0,"不支給","未処理")))))</f>
        <v/>
      </c>
      <c r="AG332" s="12" t="n"/>
      <c r="AH332" s="11" t="n"/>
      <c r="AI332" s="11" t="n"/>
      <c r="AJ332" s="11" t="n"/>
      <c r="AK332" s="14">
        <f>IF(AND($AF332="保留中",$AH332&lt;&gt;""),TODAY()-$AH332,"")</f>
        <v/>
      </c>
      <c r="AL332" s="12" t="inlineStr">
        <is>
          <t>R8.1</t>
        </is>
      </c>
      <c r="AM332" s="14">
        <f>IF($B332="","",IF($AQ332="","対象年月が未入力／","")&amp;IF($B332="","",IF($AP332="","職員マスタに未登録の職員番号／",IF($AA332="","標準報酬月額が未登録／","")&amp;IF(AND($AQ332&lt;&gt;"",OR(AND(INDEX(職員マスタ!$G$6:$G$405,$AP332)&lt;&gt;"",INDEX(職員マスタ!$G$6:$G$405,$AP332)&gt;EOMONTH($AQ332,0)),AND(INDEX(職員マスタ!$H$6:$H$405,$AP332)&lt;&gt;"",INDEX(職員マスタ!$H$6:$H$405,$AP332)&lt;$AQ332))),"対象月が時短期間外／","")&amp;IF(AND(INDEX(職員マスタ!$K$6:$K$405,$AP332)&lt;&gt;"",N($W332)&gt;0,INDEX(職員マスタ!$K$6:$K$405,$AP332)&lt;&gt;$W332),"標準報酬月額が申請書と相違（台帳"&amp;TEXT(INDEX(職員マスタ!$K$6:$K$405,$AP332),"#,##0")&amp;"円／申請書"&amp;TEXT($W332,"#,##0")&amp;"円）／","")&amp;IF(AND(INDEX(職員マスタ!$F$6:$F$405,$AP332)&lt;&gt;"",$AQ332&lt;&gt;"",INDEX(職員マスタ!$F$6:$F$405,$AP332)&lt;$AQ332),"対象月に子が2歳到達済／","")&amp;IF(AND($H332&lt;&gt;"",INDEX(職員マスタ!$B$6:$B$405,$AP332)&lt;&gt;"",SUBSTITUTE(SUBSTITUTE($H332," ","")," ","")&lt;&gt;SUBSTITUTE(SUBSTITUTE(INDEX(職員マスタ!$B$6:$B$405,$AP332)," ","")," ","")),"氏名がマスタと相違／","")&amp;IF(AND($Q332&lt;&gt;"",INDEX(職員マスタ!$E$6:$E$405,$AP332)&lt;&gt;"",$Q332&lt;&gt;INDEX(職員マスタ!$E$6:$E$405,$AP332)),"子の生年月日がマスタと相違／","")&amp;IF(AND($L332&lt;&gt;"",INDEX(職員マスタ!$G$6:$G$405,$AP332)&lt;&gt;"",$L332&lt;&gt;INDEX(職員マスタ!$G$6:$G$405,$AP332)),"時短開始日がマスタと相違／","")&amp;IF(AND($M332&lt;&gt;"",INDEX(職員マスタ!$H$6:$H$405,$AP332)&lt;&gt;"",$M332&lt;&gt;INDEX(職員マスタ!$H$6:$H$405,$AP332)),"時短終了日がマスタと相違／","")))&amp;IF(AND($B332&lt;&gt;"",$E332=""),"報酬額が未入力／","")&amp;IF(N($U332)&gt;0,"申請書に入力エラーが残っています／","")&amp;IF(AND($B332&lt;&gt;"",$AQ332&lt;&gt;""),IF(COUNTIFS($B$6:$B$3005,$B332,$C$6:$C$3005,$C332,$D$6:$D$3005,$D332)&gt;1,"同じ月の請求が重複しています／",""),"")&amp;IF(AND(N($E332)&gt;0,$AB332&lt;&gt;"",$AB332&lt;&gt;"×",$AE332=0,$AD332=""),"計算額が下限以下のため不支給／",""))</f>
        <v/>
      </c>
      <c r="AN332" s="12" t="n"/>
      <c r="AO332" s="14">
        <f>IF($AF332="保留中",COUNTIF($AF$6:$AF332,"保留中"),"")</f>
        <v/>
      </c>
      <c r="AP332" s="14">
        <f>IF($AQ332="","",IF(SUMPRODUCT(MAX((職員マスタ!$A$6:$A$405=$B332)*(((職員マスタ!$G$6:$G$405="")+(職員マスタ!$G$6:$G$405&lt;=EOMONTH($AQ332,0)))&gt;0)*(((職員マスタ!$H$6:$H$405="")+(職員マスタ!$H$6:$H$405&gt;=$AQ332))&gt;0)*(ROW(職員マスタ!$A$6:$A$405)-5)))&gt;0,SUMPRODUCT(MAX((職員マスタ!$A$6:$A$405=$B332)*(((職員マスタ!$G$6:$G$405="")+(職員マスタ!$G$6:$G$405&lt;=EOMONTH($AQ332,0)))&gt;0)*(((職員マスタ!$H$6:$H$405="")+(職員マスタ!$H$6:$H$405&gt;=$AQ332))&gt;0)*(ROW(職員マスタ!$A$6:$A$405)-5))),IFERROR(MATCH($B332,職員マスタ!$A$6:$A$405,0),"")))</f>
        <v/>
      </c>
      <c r="AQ332" s="16">
        <f>IF(OR($B332="",$C332="",$D332=""),"",DATE($C332+2018,$D332,1))</f>
        <v/>
      </c>
    </row>
    <row r="333">
      <c r="A333" s="11" t="n"/>
      <c r="B333" s="12" t="n">
        <v>6702591</v>
      </c>
      <c r="C333" s="12" t="n">
        <v>7</v>
      </c>
      <c r="D333" s="12" t="n">
        <v>11</v>
      </c>
      <c r="E333" s="13" t="n">
        <v>214186</v>
      </c>
      <c r="F333" s="12" t="n"/>
      <c r="G333" s="13" t="n"/>
      <c r="H333" s="12" t="n"/>
      <c r="I333" s="12" t="n"/>
      <c r="J333" s="12" t="n"/>
      <c r="K333" s="12" t="n"/>
      <c r="L333" s="11" t="n"/>
      <c r="M333" s="11" t="n"/>
      <c r="N333" s="11" t="n"/>
      <c r="O333" s="11" t="n"/>
      <c r="P333" s="12" t="n"/>
      <c r="Q333" s="11" t="n"/>
      <c r="R333" s="12" t="n"/>
      <c r="S333" s="11" t="n"/>
      <c r="T333" s="12" t="n"/>
      <c r="U333" s="12" t="n"/>
      <c r="V333" s="12" t="n"/>
      <c r="W333" s="13" t="n"/>
      <c r="X333" s="14">
        <f>IF($AP333="",IF($B333="","",$H333),IF(INDEX(職員マスタ!$B$6:$B$405,$AP333)="",$H333,INDEX(職員マスタ!$B$6:$B$405,$AP333)))</f>
        <v/>
      </c>
      <c r="Y333" s="14">
        <f>IF($AP333="",IF($B333="","",$R333),IF(INDEX(職員マスタ!$C$6:$C$405,$AP333)="",$R333,INDEX(職員マスタ!$C$6:$C$405,$AP333)))</f>
        <v/>
      </c>
      <c r="Z333" s="14">
        <f>IF($AQ333="","","R"&amp;$C333&amp;"."&amp;$D333)</f>
        <v/>
      </c>
      <c r="AA333" s="15">
        <f>IF(IF($AP333="",FALSE,INDEX(職員マスタ!$K$6:$K$405,$AP333)&lt;&gt;""),INDEX(職員マスタ!$K$6:$K$405,$AP333),IF(N($W333)&gt;0,$W333,""))</f>
        <v/>
      </c>
      <c r="AB333" s="14">
        <f>IF(OR($E333="",$AA333=""),"",IF($E333&gt;=$AA333,"×",IF($E333&gt;=$AA333*設定!$C$5,"△","○")))</f>
        <v/>
      </c>
      <c r="AC333" s="15">
        <f>IF($AB333="","",IF($AB333="×",0,IF($AB333="○",ROUNDDOWN($E333*設定!$C$4,0),ROUNDDOWN($E333*ROUND((9*$AA333-9*$E333)/(10*$E333),4),0))))</f>
        <v/>
      </c>
      <c r="AD333" s="13" t="n"/>
      <c r="AE333" s="15">
        <f>IF($B333="","",IF($AD333&lt;&gt;"",$AD333,IF($AC333="","",IF($AC333&lt;=設定!$C$3,0,$AC333))))</f>
        <v/>
      </c>
      <c r="AF333" s="14">
        <f>IF($B333="","",IF(AND($AG333&lt;&gt;"",$AI333="",$AL333=""),"保留中",IF($AL333&lt;&gt;"",IF(N($AE333)&gt;0,"支給済","不支給"),IF($AE333="","要確認",IF($AE333=0,"不支給","未処理")))))</f>
        <v/>
      </c>
      <c r="AG333" s="12" t="n"/>
      <c r="AH333" s="11" t="n"/>
      <c r="AI333" s="11" t="n"/>
      <c r="AJ333" s="11" t="n"/>
      <c r="AK333" s="14">
        <f>IF(AND($AF333="保留中",$AH333&lt;&gt;""),TODAY()-$AH333,"")</f>
        <v/>
      </c>
      <c r="AL333" s="12" t="inlineStr">
        <is>
          <t>R8.1</t>
        </is>
      </c>
      <c r="AM333" s="14">
        <f>IF($B333="","",IF($AQ333="","対象年月が未入力／","")&amp;IF($B333="","",IF($AP333="","職員マスタに未登録の職員番号／",IF($AA333="","標準報酬月額が未登録／","")&amp;IF(AND($AQ333&lt;&gt;"",OR(AND(INDEX(職員マスタ!$G$6:$G$405,$AP333)&lt;&gt;"",INDEX(職員マスタ!$G$6:$G$405,$AP333)&gt;EOMONTH($AQ333,0)),AND(INDEX(職員マスタ!$H$6:$H$405,$AP333)&lt;&gt;"",INDEX(職員マスタ!$H$6:$H$405,$AP333)&lt;$AQ333))),"対象月が時短期間外／","")&amp;IF(AND(INDEX(職員マスタ!$K$6:$K$405,$AP333)&lt;&gt;"",N($W333)&gt;0,INDEX(職員マスタ!$K$6:$K$405,$AP333)&lt;&gt;$W333),"標準報酬月額が申請書と相違（台帳"&amp;TEXT(INDEX(職員マスタ!$K$6:$K$405,$AP333),"#,##0")&amp;"円／申請書"&amp;TEXT($W333,"#,##0")&amp;"円）／","")&amp;IF(AND(INDEX(職員マスタ!$F$6:$F$405,$AP333)&lt;&gt;"",$AQ333&lt;&gt;"",INDEX(職員マスタ!$F$6:$F$405,$AP333)&lt;$AQ333),"対象月に子が2歳到達済／","")&amp;IF(AND($H333&lt;&gt;"",INDEX(職員マスタ!$B$6:$B$405,$AP333)&lt;&gt;"",SUBSTITUTE(SUBSTITUTE($H333," ","")," ","")&lt;&gt;SUBSTITUTE(SUBSTITUTE(INDEX(職員マスタ!$B$6:$B$405,$AP333)," ","")," ","")),"氏名がマスタと相違／","")&amp;IF(AND($Q333&lt;&gt;"",INDEX(職員マスタ!$E$6:$E$405,$AP333)&lt;&gt;"",$Q333&lt;&gt;INDEX(職員マスタ!$E$6:$E$405,$AP333)),"子の生年月日がマスタと相違／","")&amp;IF(AND($L333&lt;&gt;"",INDEX(職員マスタ!$G$6:$G$405,$AP333)&lt;&gt;"",$L333&lt;&gt;INDEX(職員マスタ!$G$6:$G$405,$AP333)),"時短開始日がマスタと相違／","")&amp;IF(AND($M333&lt;&gt;"",INDEX(職員マスタ!$H$6:$H$405,$AP333)&lt;&gt;"",$M333&lt;&gt;INDEX(職員マスタ!$H$6:$H$405,$AP333)),"時短終了日がマスタと相違／","")))&amp;IF(AND($B333&lt;&gt;"",$E333=""),"報酬額が未入力／","")&amp;IF(N($U333)&gt;0,"申請書に入力エラーが残っています／","")&amp;IF(AND($B333&lt;&gt;"",$AQ333&lt;&gt;""),IF(COUNTIFS($B$6:$B$3005,$B333,$C$6:$C$3005,$C333,$D$6:$D$3005,$D333)&gt;1,"同じ月の請求が重複しています／",""),"")&amp;IF(AND(N($E333)&gt;0,$AB333&lt;&gt;"",$AB333&lt;&gt;"×",$AE333=0,$AD333=""),"計算額が下限以下のため不支給／",""))</f>
        <v/>
      </c>
      <c r="AN333" s="12" t="n"/>
      <c r="AO333" s="14">
        <f>IF($AF333="保留中",COUNTIF($AF$6:$AF333,"保留中"),"")</f>
        <v/>
      </c>
      <c r="AP333" s="14">
        <f>IF($AQ333="","",IF(SUMPRODUCT(MAX((職員マスタ!$A$6:$A$405=$B333)*(((職員マスタ!$G$6:$G$405="")+(職員マスタ!$G$6:$G$405&lt;=EOMONTH($AQ333,0)))&gt;0)*(((職員マスタ!$H$6:$H$405="")+(職員マスタ!$H$6:$H$405&gt;=$AQ333))&gt;0)*(ROW(職員マスタ!$A$6:$A$405)-5)))&gt;0,SUMPRODUCT(MAX((職員マスタ!$A$6:$A$405=$B333)*(((職員マスタ!$G$6:$G$405="")+(職員マスタ!$G$6:$G$405&lt;=EOMONTH($AQ333,0)))&gt;0)*(((職員マスタ!$H$6:$H$405="")+(職員マスタ!$H$6:$H$405&gt;=$AQ333))&gt;0)*(ROW(職員マスタ!$A$6:$A$405)-5))),IFERROR(MATCH($B333,職員マスタ!$A$6:$A$405,0),"")))</f>
        <v/>
      </c>
      <c r="AQ333" s="16">
        <f>IF(OR($B333="",$C333="",$D333=""),"",DATE($C333+2018,$D333,1))</f>
        <v/>
      </c>
    </row>
    <row r="334">
      <c r="A334" s="11" t="n"/>
      <c r="B334" s="12" t="n">
        <v>6702591</v>
      </c>
      <c r="C334" s="12" t="n">
        <v>7</v>
      </c>
      <c r="D334" s="12" t="n">
        <v>12</v>
      </c>
      <c r="E334" s="13" t="n">
        <v>214376</v>
      </c>
      <c r="F334" s="12" t="n"/>
      <c r="G334" s="13" t="n"/>
      <c r="H334" s="12" t="n"/>
      <c r="I334" s="12" t="n"/>
      <c r="J334" s="12" t="n"/>
      <c r="K334" s="12" t="n"/>
      <c r="L334" s="11" t="n"/>
      <c r="M334" s="11" t="n"/>
      <c r="N334" s="11" t="n"/>
      <c r="O334" s="11" t="n"/>
      <c r="P334" s="12" t="n"/>
      <c r="Q334" s="11" t="n"/>
      <c r="R334" s="12" t="n"/>
      <c r="S334" s="11" t="n"/>
      <c r="T334" s="12" t="n"/>
      <c r="U334" s="12" t="n"/>
      <c r="V334" s="12" t="n"/>
      <c r="W334" s="13" t="n"/>
      <c r="X334" s="14">
        <f>IF($AP334="",IF($B334="","",$H334),IF(INDEX(職員マスタ!$B$6:$B$405,$AP334)="",$H334,INDEX(職員マスタ!$B$6:$B$405,$AP334)))</f>
        <v/>
      </c>
      <c r="Y334" s="14">
        <f>IF($AP334="",IF($B334="","",$R334),IF(INDEX(職員マスタ!$C$6:$C$405,$AP334)="",$R334,INDEX(職員マスタ!$C$6:$C$405,$AP334)))</f>
        <v/>
      </c>
      <c r="Z334" s="14">
        <f>IF($AQ334="","","R"&amp;$C334&amp;"."&amp;$D334)</f>
        <v/>
      </c>
      <c r="AA334" s="15">
        <f>IF(IF($AP334="",FALSE,INDEX(職員マスタ!$K$6:$K$405,$AP334)&lt;&gt;""),INDEX(職員マスタ!$K$6:$K$405,$AP334),IF(N($W334)&gt;0,$W334,""))</f>
        <v/>
      </c>
      <c r="AB334" s="14">
        <f>IF(OR($E334="",$AA334=""),"",IF($E334&gt;=$AA334,"×",IF($E334&gt;=$AA334*設定!$C$5,"△","○")))</f>
        <v/>
      </c>
      <c r="AC334" s="15">
        <f>IF($AB334="","",IF($AB334="×",0,IF($AB334="○",ROUNDDOWN($E334*設定!$C$4,0),ROUNDDOWN($E334*ROUND((9*$AA334-9*$E334)/(10*$E334),4),0))))</f>
        <v/>
      </c>
      <c r="AD334" s="13" t="n"/>
      <c r="AE334" s="15">
        <f>IF($B334="","",IF($AD334&lt;&gt;"",$AD334,IF($AC334="","",IF($AC334&lt;=設定!$C$3,0,$AC334))))</f>
        <v/>
      </c>
      <c r="AF334" s="14">
        <f>IF($B334="","",IF(AND($AG334&lt;&gt;"",$AI334="",$AL334=""),"保留中",IF($AL334&lt;&gt;"",IF(N($AE334)&gt;0,"支給済","不支給"),IF($AE334="","要確認",IF($AE334=0,"不支給","未処理")))))</f>
        <v/>
      </c>
      <c r="AG334" s="12" t="n"/>
      <c r="AH334" s="11" t="n"/>
      <c r="AI334" s="11" t="n"/>
      <c r="AJ334" s="11" t="n"/>
      <c r="AK334" s="14">
        <f>IF(AND($AF334="保留中",$AH334&lt;&gt;""),TODAY()-$AH334,"")</f>
        <v/>
      </c>
      <c r="AL334" s="12" t="inlineStr">
        <is>
          <t>R8.2</t>
        </is>
      </c>
      <c r="AM334" s="14">
        <f>IF($B334="","",IF($AQ334="","対象年月が未入力／","")&amp;IF($B334="","",IF($AP334="","職員マスタに未登録の職員番号／",IF($AA334="","標準報酬月額が未登録／","")&amp;IF(AND($AQ334&lt;&gt;"",OR(AND(INDEX(職員マスタ!$G$6:$G$405,$AP334)&lt;&gt;"",INDEX(職員マスタ!$G$6:$G$405,$AP334)&gt;EOMONTH($AQ334,0)),AND(INDEX(職員マスタ!$H$6:$H$405,$AP334)&lt;&gt;"",INDEX(職員マスタ!$H$6:$H$405,$AP334)&lt;$AQ334))),"対象月が時短期間外／","")&amp;IF(AND(INDEX(職員マスタ!$K$6:$K$405,$AP334)&lt;&gt;"",N($W334)&gt;0,INDEX(職員マスタ!$K$6:$K$405,$AP334)&lt;&gt;$W334),"標準報酬月額が申請書と相違（台帳"&amp;TEXT(INDEX(職員マスタ!$K$6:$K$405,$AP334),"#,##0")&amp;"円／申請書"&amp;TEXT($W334,"#,##0")&amp;"円）／","")&amp;IF(AND(INDEX(職員マスタ!$F$6:$F$405,$AP334)&lt;&gt;"",$AQ334&lt;&gt;"",INDEX(職員マスタ!$F$6:$F$405,$AP334)&lt;$AQ334),"対象月に子が2歳到達済／","")&amp;IF(AND($H334&lt;&gt;"",INDEX(職員マスタ!$B$6:$B$405,$AP334)&lt;&gt;"",SUBSTITUTE(SUBSTITUTE($H334," ","")," ","")&lt;&gt;SUBSTITUTE(SUBSTITUTE(INDEX(職員マスタ!$B$6:$B$405,$AP334)," ","")," ","")),"氏名がマスタと相違／","")&amp;IF(AND($Q334&lt;&gt;"",INDEX(職員マスタ!$E$6:$E$405,$AP334)&lt;&gt;"",$Q334&lt;&gt;INDEX(職員マスタ!$E$6:$E$405,$AP334)),"子の生年月日がマスタと相違／","")&amp;IF(AND($L334&lt;&gt;"",INDEX(職員マスタ!$G$6:$G$405,$AP334)&lt;&gt;"",$L334&lt;&gt;INDEX(職員マスタ!$G$6:$G$405,$AP334)),"時短開始日がマスタと相違／","")&amp;IF(AND($M334&lt;&gt;"",INDEX(職員マスタ!$H$6:$H$405,$AP334)&lt;&gt;"",$M334&lt;&gt;INDEX(職員マスタ!$H$6:$H$405,$AP334)),"時短終了日がマスタと相違／","")))&amp;IF(AND($B334&lt;&gt;"",$E334=""),"報酬額が未入力／","")&amp;IF(N($U334)&gt;0,"申請書に入力エラーが残っています／","")&amp;IF(AND($B334&lt;&gt;"",$AQ334&lt;&gt;""),IF(COUNTIFS($B$6:$B$3005,$B334,$C$6:$C$3005,$C334,$D$6:$D$3005,$D334)&gt;1,"同じ月の請求が重複しています／",""),"")&amp;IF(AND(N($E334)&gt;0,$AB334&lt;&gt;"",$AB334&lt;&gt;"×",$AE334=0,$AD334=""),"計算額が下限以下のため不支給／",""))</f>
        <v/>
      </c>
      <c r="AN334" s="12" t="n"/>
      <c r="AO334" s="14">
        <f>IF($AF334="保留中",COUNTIF($AF$6:$AF334,"保留中"),"")</f>
        <v/>
      </c>
      <c r="AP334" s="14">
        <f>IF($AQ334="","",IF(SUMPRODUCT(MAX((職員マスタ!$A$6:$A$405=$B334)*(((職員マスタ!$G$6:$G$405="")+(職員マスタ!$G$6:$G$405&lt;=EOMONTH($AQ334,0)))&gt;0)*(((職員マスタ!$H$6:$H$405="")+(職員マスタ!$H$6:$H$405&gt;=$AQ334))&gt;0)*(ROW(職員マスタ!$A$6:$A$405)-5)))&gt;0,SUMPRODUCT(MAX((職員マスタ!$A$6:$A$405=$B334)*(((職員マスタ!$G$6:$G$405="")+(職員マスタ!$G$6:$G$405&lt;=EOMONTH($AQ334,0)))&gt;0)*(((職員マスタ!$H$6:$H$405="")+(職員マスタ!$H$6:$H$405&gt;=$AQ334))&gt;0)*(ROW(職員マスタ!$A$6:$A$405)-5))),IFERROR(MATCH($B334,職員マスタ!$A$6:$A$405,0),"")))</f>
        <v/>
      </c>
      <c r="AQ334" s="16">
        <f>IF(OR($B334="",$C334="",$D334=""),"",DATE($C334+2018,$D334,1))</f>
        <v/>
      </c>
    </row>
    <row r="335">
      <c r="A335" s="11" t="n"/>
      <c r="B335" s="12" t="n">
        <v>6702674</v>
      </c>
      <c r="C335" s="12" t="n">
        <v>7</v>
      </c>
      <c r="D335" s="12" t="n">
        <v>4</v>
      </c>
      <c r="E335" s="13" t="n">
        <v>105489</v>
      </c>
      <c r="F335" s="12" t="n"/>
      <c r="G335" s="13" t="n"/>
      <c r="H335" s="12" t="n"/>
      <c r="I335" s="12" t="n"/>
      <c r="J335" s="12" t="n"/>
      <c r="K335" s="12" t="n"/>
      <c r="L335" s="11" t="n"/>
      <c r="M335" s="11" t="n"/>
      <c r="N335" s="11" t="n"/>
      <c r="O335" s="11" t="n"/>
      <c r="P335" s="12" t="n"/>
      <c r="Q335" s="11" t="n"/>
      <c r="R335" s="12" t="n"/>
      <c r="S335" s="11" t="n"/>
      <c r="T335" s="12" t="n"/>
      <c r="U335" s="12" t="n"/>
      <c r="V335" s="12" t="n"/>
      <c r="W335" s="13" t="n"/>
      <c r="X335" s="14">
        <f>IF($AP335="",IF($B335="","",$H335),IF(INDEX(職員マスタ!$B$6:$B$405,$AP335)="",$H335,INDEX(職員マスタ!$B$6:$B$405,$AP335)))</f>
        <v/>
      </c>
      <c r="Y335" s="14">
        <f>IF($AP335="",IF($B335="","",$R335),IF(INDEX(職員マスタ!$C$6:$C$405,$AP335)="",$R335,INDEX(職員マスタ!$C$6:$C$405,$AP335)))</f>
        <v/>
      </c>
      <c r="Z335" s="14">
        <f>IF($AQ335="","","R"&amp;$C335&amp;"."&amp;$D335)</f>
        <v/>
      </c>
      <c r="AA335" s="15">
        <f>IF(IF($AP335="",FALSE,INDEX(職員マスタ!$K$6:$K$405,$AP335)&lt;&gt;""),INDEX(職員マスタ!$K$6:$K$405,$AP335),IF(N($W335)&gt;0,$W335,""))</f>
        <v/>
      </c>
      <c r="AB335" s="14">
        <f>IF(OR($E335="",$AA335=""),"",IF($E335&gt;=$AA335,"×",IF($E335&gt;=$AA335*設定!$C$5,"△","○")))</f>
        <v/>
      </c>
      <c r="AC335" s="15">
        <f>IF($AB335="","",IF($AB335="×",0,IF($AB335="○",ROUNDDOWN($E335*設定!$C$4,0),ROUNDDOWN($E335*ROUND((9*$AA335-9*$E335)/(10*$E335),4),0))))</f>
        <v/>
      </c>
      <c r="AD335" s="13" t="n"/>
      <c r="AE335" s="15">
        <f>IF($B335="","",IF($AD335&lt;&gt;"",$AD335,IF($AC335="","",IF($AC335&lt;=設定!$C$3,0,$AC335))))</f>
        <v/>
      </c>
      <c r="AF335" s="14">
        <f>IF($B335="","",IF(AND($AG335&lt;&gt;"",$AI335="",$AL335=""),"保留中",IF($AL335&lt;&gt;"",IF(N($AE335)&gt;0,"支給済","不支給"),IF($AE335="","要確認",IF($AE335=0,"不支給","未処理")))))</f>
        <v/>
      </c>
      <c r="AG335" s="12" t="n"/>
      <c r="AH335" s="11" t="n"/>
      <c r="AI335" s="11" t="n"/>
      <c r="AJ335" s="11" t="n"/>
      <c r="AK335" s="14">
        <f>IF(AND($AF335="保留中",$AH335&lt;&gt;""),TODAY()-$AH335,"")</f>
        <v/>
      </c>
      <c r="AL335" s="12" t="inlineStr">
        <is>
          <t>R7.8</t>
        </is>
      </c>
      <c r="AM335" s="14">
        <f>IF($B335="","",IF($AQ335="","対象年月が未入力／","")&amp;IF($B335="","",IF($AP335="","職員マスタに未登録の職員番号／",IF($AA335="","標準報酬月額が未登録／","")&amp;IF(AND($AQ335&lt;&gt;"",OR(AND(INDEX(職員マスタ!$G$6:$G$405,$AP335)&lt;&gt;"",INDEX(職員マスタ!$G$6:$G$405,$AP335)&gt;EOMONTH($AQ335,0)),AND(INDEX(職員マスタ!$H$6:$H$405,$AP335)&lt;&gt;"",INDEX(職員マスタ!$H$6:$H$405,$AP335)&lt;$AQ335))),"対象月が時短期間外／","")&amp;IF(AND(INDEX(職員マスタ!$K$6:$K$405,$AP335)&lt;&gt;"",N($W335)&gt;0,INDEX(職員マスタ!$K$6:$K$405,$AP335)&lt;&gt;$W335),"標準報酬月額が申請書と相違（台帳"&amp;TEXT(INDEX(職員マスタ!$K$6:$K$405,$AP335),"#,##0")&amp;"円／申請書"&amp;TEXT($W335,"#,##0")&amp;"円）／","")&amp;IF(AND(INDEX(職員マスタ!$F$6:$F$405,$AP335)&lt;&gt;"",$AQ335&lt;&gt;"",INDEX(職員マスタ!$F$6:$F$405,$AP335)&lt;$AQ335),"対象月に子が2歳到達済／","")&amp;IF(AND($H335&lt;&gt;"",INDEX(職員マスタ!$B$6:$B$405,$AP335)&lt;&gt;"",SUBSTITUTE(SUBSTITUTE($H335," ","")," ","")&lt;&gt;SUBSTITUTE(SUBSTITUTE(INDEX(職員マスタ!$B$6:$B$405,$AP335)," ","")," ","")),"氏名がマスタと相違／","")&amp;IF(AND($Q335&lt;&gt;"",INDEX(職員マスタ!$E$6:$E$405,$AP335)&lt;&gt;"",$Q335&lt;&gt;INDEX(職員マスタ!$E$6:$E$405,$AP335)),"子の生年月日がマスタと相違／","")&amp;IF(AND($L335&lt;&gt;"",INDEX(職員マスタ!$G$6:$G$405,$AP335)&lt;&gt;"",$L335&lt;&gt;INDEX(職員マスタ!$G$6:$G$405,$AP335)),"時短開始日がマスタと相違／","")&amp;IF(AND($M335&lt;&gt;"",INDEX(職員マスタ!$H$6:$H$405,$AP335)&lt;&gt;"",$M335&lt;&gt;INDEX(職員マスタ!$H$6:$H$405,$AP335)),"時短終了日がマスタと相違／","")))&amp;IF(AND($B335&lt;&gt;"",$E335=""),"報酬額が未入力／","")&amp;IF(N($U335)&gt;0,"申請書に入力エラーが残っています／","")&amp;IF(AND($B335&lt;&gt;"",$AQ335&lt;&gt;""),IF(COUNTIFS($B$6:$B$3005,$B335,$C$6:$C$3005,$C335,$D$6:$D$3005,$D335)&gt;1,"同じ月の請求が重複しています／",""),"")&amp;IF(AND(N($E335)&gt;0,$AB335&lt;&gt;"",$AB335&lt;&gt;"×",$AE335=0,$AD335=""),"計算額が下限以下のため不支給／",""))</f>
        <v/>
      </c>
      <c r="AN335" s="12" t="n"/>
      <c r="AO335" s="14">
        <f>IF($AF335="保留中",COUNTIF($AF$6:$AF335,"保留中"),"")</f>
        <v/>
      </c>
      <c r="AP335" s="14">
        <f>IF($AQ335="","",IF(SUMPRODUCT(MAX((職員マスタ!$A$6:$A$405=$B335)*(((職員マスタ!$G$6:$G$405="")+(職員マスタ!$G$6:$G$405&lt;=EOMONTH($AQ335,0)))&gt;0)*(((職員マスタ!$H$6:$H$405="")+(職員マスタ!$H$6:$H$405&gt;=$AQ335))&gt;0)*(ROW(職員マスタ!$A$6:$A$405)-5)))&gt;0,SUMPRODUCT(MAX((職員マスタ!$A$6:$A$405=$B335)*(((職員マスタ!$G$6:$G$405="")+(職員マスタ!$G$6:$G$405&lt;=EOMONTH($AQ335,0)))&gt;0)*(((職員マスタ!$H$6:$H$405="")+(職員マスタ!$H$6:$H$405&gt;=$AQ335))&gt;0)*(ROW(職員マスタ!$A$6:$A$405)-5))),IFERROR(MATCH($B335,職員マスタ!$A$6:$A$405,0),"")))</f>
        <v/>
      </c>
      <c r="AQ335" s="16">
        <f>IF(OR($B335="",$C335="",$D335=""),"",DATE($C335+2018,$D335,1))</f>
        <v/>
      </c>
    </row>
    <row r="336">
      <c r="A336" s="11" t="n"/>
      <c r="B336" s="12" t="n">
        <v>6702674</v>
      </c>
      <c r="C336" s="12" t="n">
        <v>7</v>
      </c>
      <c r="D336" s="12" t="n">
        <v>5</v>
      </c>
      <c r="E336" s="13" t="n">
        <v>185233</v>
      </c>
      <c r="F336" s="12" t="n"/>
      <c r="G336" s="13" t="n"/>
      <c r="H336" s="12" t="n"/>
      <c r="I336" s="12" t="n"/>
      <c r="J336" s="12" t="n"/>
      <c r="K336" s="12" t="n"/>
      <c r="L336" s="11" t="n"/>
      <c r="M336" s="11" t="n"/>
      <c r="N336" s="11" t="n"/>
      <c r="O336" s="11" t="n"/>
      <c r="P336" s="12" t="n"/>
      <c r="Q336" s="11" t="n"/>
      <c r="R336" s="12" t="n"/>
      <c r="S336" s="11" t="n"/>
      <c r="T336" s="12" t="n"/>
      <c r="U336" s="12" t="n"/>
      <c r="V336" s="12" t="n"/>
      <c r="W336" s="13" t="n"/>
      <c r="X336" s="14">
        <f>IF($AP336="",IF($B336="","",$H336),IF(INDEX(職員マスタ!$B$6:$B$405,$AP336)="",$H336,INDEX(職員マスタ!$B$6:$B$405,$AP336)))</f>
        <v/>
      </c>
      <c r="Y336" s="14">
        <f>IF($AP336="",IF($B336="","",$R336),IF(INDEX(職員マスタ!$C$6:$C$405,$AP336)="",$R336,INDEX(職員マスタ!$C$6:$C$405,$AP336)))</f>
        <v/>
      </c>
      <c r="Z336" s="14">
        <f>IF($AQ336="","","R"&amp;$C336&amp;"."&amp;$D336)</f>
        <v/>
      </c>
      <c r="AA336" s="15">
        <f>IF(IF($AP336="",FALSE,INDEX(職員マスタ!$K$6:$K$405,$AP336)&lt;&gt;""),INDEX(職員マスタ!$K$6:$K$405,$AP336),IF(N($W336)&gt;0,$W336,""))</f>
        <v/>
      </c>
      <c r="AB336" s="14">
        <f>IF(OR($E336="",$AA336=""),"",IF($E336&gt;=$AA336,"×",IF($E336&gt;=$AA336*設定!$C$5,"△","○")))</f>
        <v/>
      </c>
      <c r="AC336" s="15">
        <f>IF($AB336="","",IF($AB336="×",0,IF($AB336="○",ROUNDDOWN($E336*設定!$C$4,0),ROUNDDOWN($E336*ROUND((9*$AA336-9*$E336)/(10*$E336),4),0))))</f>
        <v/>
      </c>
      <c r="AD336" s="13" t="n"/>
      <c r="AE336" s="15">
        <f>IF($B336="","",IF($AD336&lt;&gt;"",$AD336,IF($AC336="","",IF($AC336&lt;=設定!$C$3,0,$AC336))))</f>
        <v/>
      </c>
      <c r="AF336" s="14">
        <f>IF($B336="","",IF(AND($AG336&lt;&gt;"",$AI336="",$AL336=""),"保留中",IF($AL336&lt;&gt;"",IF(N($AE336)&gt;0,"支給済","不支給"),IF($AE336="","要確認",IF($AE336=0,"不支給","未処理")))))</f>
        <v/>
      </c>
      <c r="AG336" s="12" t="n"/>
      <c r="AH336" s="11" t="n"/>
      <c r="AI336" s="11" t="n"/>
      <c r="AJ336" s="11" t="n"/>
      <c r="AK336" s="14">
        <f>IF(AND($AF336="保留中",$AH336&lt;&gt;""),TODAY()-$AH336,"")</f>
        <v/>
      </c>
      <c r="AL336" s="12" t="inlineStr">
        <is>
          <t>R7.8</t>
        </is>
      </c>
      <c r="AM336" s="14">
        <f>IF($B336="","",IF($AQ336="","対象年月が未入力／","")&amp;IF($B336="","",IF($AP336="","職員マスタに未登録の職員番号／",IF($AA336="","標準報酬月額が未登録／","")&amp;IF(AND($AQ336&lt;&gt;"",OR(AND(INDEX(職員マスタ!$G$6:$G$405,$AP336)&lt;&gt;"",INDEX(職員マスタ!$G$6:$G$405,$AP336)&gt;EOMONTH($AQ336,0)),AND(INDEX(職員マスタ!$H$6:$H$405,$AP336)&lt;&gt;"",INDEX(職員マスタ!$H$6:$H$405,$AP336)&lt;$AQ336))),"対象月が時短期間外／","")&amp;IF(AND(INDEX(職員マスタ!$K$6:$K$405,$AP336)&lt;&gt;"",N($W336)&gt;0,INDEX(職員マスタ!$K$6:$K$405,$AP336)&lt;&gt;$W336),"標準報酬月額が申請書と相違（台帳"&amp;TEXT(INDEX(職員マスタ!$K$6:$K$405,$AP336),"#,##0")&amp;"円／申請書"&amp;TEXT($W336,"#,##0")&amp;"円）／","")&amp;IF(AND(INDEX(職員マスタ!$F$6:$F$405,$AP336)&lt;&gt;"",$AQ336&lt;&gt;"",INDEX(職員マスタ!$F$6:$F$405,$AP336)&lt;$AQ336),"対象月に子が2歳到達済／","")&amp;IF(AND($H336&lt;&gt;"",INDEX(職員マスタ!$B$6:$B$405,$AP336)&lt;&gt;"",SUBSTITUTE(SUBSTITUTE($H336," ","")," ","")&lt;&gt;SUBSTITUTE(SUBSTITUTE(INDEX(職員マスタ!$B$6:$B$405,$AP336)," ","")," ","")),"氏名がマスタと相違／","")&amp;IF(AND($Q336&lt;&gt;"",INDEX(職員マスタ!$E$6:$E$405,$AP336)&lt;&gt;"",$Q336&lt;&gt;INDEX(職員マスタ!$E$6:$E$405,$AP336)),"子の生年月日がマスタと相違／","")&amp;IF(AND($L336&lt;&gt;"",INDEX(職員マスタ!$G$6:$G$405,$AP336)&lt;&gt;"",$L336&lt;&gt;INDEX(職員マスタ!$G$6:$G$405,$AP336)),"時短開始日がマスタと相違／","")&amp;IF(AND($M336&lt;&gt;"",INDEX(職員マスタ!$H$6:$H$405,$AP336)&lt;&gt;"",$M336&lt;&gt;INDEX(職員マスタ!$H$6:$H$405,$AP336)),"時短終了日がマスタと相違／","")))&amp;IF(AND($B336&lt;&gt;"",$E336=""),"報酬額が未入力／","")&amp;IF(N($U336)&gt;0,"申請書に入力エラーが残っています／","")&amp;IF(AND($B336&lt;&gt;"",$AQ336&lt;&gt;""),IF(COUNTIFS($B$6:$B$3005,$B336,$C$6:$C$3005,$C336,$D$6:$D$3005,$D336)&gt;1,"同じ月の請求が重複しています／",""),"")&amp;IF(AND(N($E336)&gt;0,$AB336&lt;&gt;"",$AB336&lt;&gt;"×",$AE336=0,$AD336=""),"計算額が下限以下のため不支給／",""))</f>
        <v/>
      </c>
      <c r="AN336" s="12" t="n"/>
      <c r="AO336" s="14">
        <f>IF($AF336="保留中",COUNTIF($AF$6:$AF336,"保留中"),"")</f>
        <v/>
      </c>
      <c r="AP336" s="14">
        <f>IF($AQ336="","",IF(SUMPRODUCT(MAX((職員マスタ!$A$6:$A$405=$B336)*(((職員マスタ!$G$6:$G$405="")+(職員マスタ!$G$6:$G$405&lt;=EOMONTH($AQ336,0)))&gt;0)*(((職員マスタ!$H$6:$H$405="")+(職員マスタ!$H$6:$H$405&gt;=$AQ336))&gt;0)*(ROW(職員マスタ!$A$6:$A$405)-5)))&gt;0,SUMPRODUCT(MAX((職員マスタ!$A$6:$A$405=$B336)*(((職員マスタ!$G$6:$G$405="")+(職員マスタ!$G$6:$G$405&lt;=EOMONTH($AQ336,0)))&gt;0)*(((職員マスタ!$H$6:$H$405="")+(職員マスタ!$H$6:$H$405&gt;=$AQ336))&gt;0)*(ROW(職員マスタ!$A$6:$A$405)-5))),IFERROR(MATCH($B336,職員マスタ!$A$6:$A$405,0),"")))</f>
        <v/>
      </c>
      <c r="AQ336" s="16">
        <f>IF(OR($B336="",$C336="",$D336=""),"",DATE($C336+2018,$D336,1))</f>
        <v/>
      </c>
    </row>
    <row r="337">
      <c r="A337" s="11" t="n"/>
      <c r="B337" s="12" t="n">
        <v>6702674</v>
      </c>
      <c r="C337" s="12" t="n">
        <v>7</v>
      </c>
      <c r="D337" s="12" t="n">
        <v>6</v>
      </c>
      <c r="E337" s="13" t="n">
        <v>189793</v>
      </c>
      <c r="F337" s="12" t="n"/>
      <c r="G337" s="13" t="n"/>
      <c r="H337" s="12" t="n"/>
      <c r="I337" s="12" t="n"/>
      <c r="J337" s="12" t="n"/>
      <c r="K337" s="12" t="n"/>
      <c r="L337" s="11" t="n"/>
      <c r="M337" s="11" t="n"/>
      <c r="N337" s="11" t="n"/>
      <c r="O337" s="11" t="n"/>
      <c r="P337" s="12" t="n"/>
      <c r="Q337" s="11" t="n"/>
      <c r="R337" s="12" t="n"/>
      <c r="S337" s="11" t="n"/>
      <c r="T337" s="12" t="n"/>
      <c r="U337" s="12" t="n"/>
      <c r="V337" s="12" t="n"/>
      <c r="W337" s="13" t="n"/>
      <c r="X337" s="14">
        <f>IF($AP337="",IF($B337="","",$H337),IF(INDEX(職員マスタ!$B$6:$B$405,$AP337)="",$H337,INDEX(職員マスタ!$B$6:$B$405,$AP337)))</f>
        <v/>
      </c>
      <c r="Y337" s="14">
        <f>IF($AP337="",IF($B337="","",$R337),IF(INDEX(職員マスタ!$C$6:$C$405,$AP337)="",$R337,INDEX(職員マスタ!$C$6:$C$405,$AP337)))</f>
        <v/>
      </c>
      <c r="Z337" s="14">
        <f>IF($AQ337="","","R"&amp;$C337&amp;"."&amp;$D337)</f>
        <v/>
      </c>
      <c r="AA337" s="15">
        <f>IF(IF($AP337="",FALSE,INDEX(職員マスタ!$K$6:$K$405,$AP337)&lt;&gt;""),INDEX(職員マスタ!$K$6:$K$405,$AP337),IF(N($W337)&gt;0,$W337,""))</f>
        <v/>
      </c>
      <c r="AB337" s="14">
        <f>IF(OR($E337="",$AA337=""),"",IF($E337&gt;=$AA337,"×",IF($E337&gt;=$AA337*設定!$C$5,"△","○")))</f>
        <v/>
      </c>
      <c r="AC337" s="15">
        <f>IF($AB337="","",IF($AB337="×",0,IF($AB337="○",ROUNDDOWN($E337*設定!$C$4,0),ROUNDDOWN($E337*ROUND((9*$AA337-9*$E337)/(10*$E337),4),0))))</f>
        <v/>
      </c>
      <c r="AD337" s="13" t="n"/>
      <c r="AE337" s="15">
        <f>IF($B337="","",IF($AD337&lt;&gt;"",$AD337,IF($AC337="","",IF($AC337&lt;=設定!$C$3,0,$AC337))))</f>
        <v/>
      </c>
      <c r="AF337" s="14">
        <f>IF($B337="","",IF(AND($AG337&lt;&gt;"",$AI337="",$AL337=""),"保留中",IF($AL337&lt;&gt;"",IF(N($AE337)&gt;0,"支給済","不支給"),IF($AE337="","要確認",IF($AE337=0,"不支給","未処理")))))</f>
        <v/>
      </c>
      <c r="AG337" s="12" t="n"/>
      <c r="AH337" s="11" t="n"/>
      <c r="AI337" s="11" t="n"/>
      <c r="AJ337" s="11" t="n"/>
      <c r="AK337" s="14">
        <f>IF(AND($AF337="保留中",$AH337&lt;&gt;""),TODAY()-$AH337,"")</f>
        <v/>
      </c>
      <c r="AL337" s="12" t="inlineStr">
        <is>
          <t>R7.8</t>
        </is>
      </c>
      <c r="AM337" s="14">
        <f>IF($B337="","",IF($AQ337="","対象年月が未入力／","")&amp;IF($B337="","",IF($AP337="","職員マスタに未登録の職員番号／",IF($AA337="","標準報酬月額が未登録／","")&amp;IF(AND($AQ337&lt;&gt;"",OR(AND(INDEX(職員マスタ!$G$6:$G$405,$AP337)&lt;&gt;"",INDEX(職員マスタ!$G$6:$G$405,$AP337)&gt;EOMONTH($AQ337,0)),AND(INDEX(職員マスタ!$H$6:$H$405,$AP337)&lt;&gt;"",INDEX(職員マスタ!$H$6:$H$405,$AP337)&lt;$AQ337))),"対象月が時短期間外／","")&amp;IF(AND(INDEX(職員マスタ!$K$6:$K$405,$AP337)&lt;&gt;"",N($W337)&gt;0,INDEX(職員マスタ!$K$6:$K$405,$AP337)&lt;&gt;$W337),"標準報酬月額が申請書と相違（台帳"&amp;TEXT(INDEX(職員マスタ!$K$6:$K$405,$AP337),"#,##0")&amp;"円／申請書"&amp;TEXT($W337,"#,##0")&amp;"円）／","")&amp;IF(AND(INDEX(職員マスタ!$F$6:$F$405,$AP337)&lt;&gt;"",$AQ337&lt;&gt;"",INDEX(職員マスタ!$F$6:$F$405,$AP337)&lt;$AQ337),"対象月に子が2歳到達済／","")&amp;IF(AND($H337&lt;&gt;"",INDEX(職員マスタ!$B$6:$B$405,$AP337)&lt;&gt;"",SUBSTITUTE(SUBSTITUTE($H337," ","")," ","")&lt;&gt;SUBSTITUTE(SUBSTITUTE(INDEX(職員マスタ!$B$6:$B$405,$AP337)," ","")," ","")),"氏名がマスタと相違／","")&amp;IF(AND($Q337&lt;&gt;"",INDEX(職員マスタ!$E$6:$E$405,$AP337)&lt;&gt;"",$Q337&lt;&gt;INDEX(職員マスタ!$E$6:$E$405,$AP337)),"子の生年月日がマスタと相違／","")&amp;IF(AND($L337&lt;&gt;"",INDEX(職員マスタ!$G$6:$G$405,$AP337)&lt;&gt;"",$L337&lt;&gt;INDEX(職員マスタ!$G$6:$G$405,$AP337)),"時短開始日がマスタと相違／","")&amp;IF(AND($M337&lt;&gt;"",INDEX(職員マスタ!$H$6:$H$405,$AP337)&lt;&gt;"",$M337&lt;&gt;INDEX(職員マスタ!$H$6:$H$405,$AP337)),"時短終了日がマスタと相違／","")))&amp;IF(AND($B337&lt;&gt;"",$E337=""),"報酬額が未入力／","")&amp;IF(N($U337)&gt;0,"申請書に入力エラーが残っています／","")&amp;IF(AND($B337&lt;&gt;"",$AQ337&lt;&gt;""),IF(COUNTIFS($B$6:$B$3005,$B337,$C$6:$C$3005,$C337,$D$6:$D$3005,$D337)&gt;1,"同じ月の請求が重複しています／",""),"")&amp;IF(AND(N($E337)&gt;0,$AB337&lt;&gt;"",$AB337&lt;&gt;"×",$AE337=0,$AD337=""),"計算額が下限以下のため不支給／",""))</f>
        <v/>
      </c>
      <c r="AN337" s="12" t="n"/>
      <c r="AO337" s="14">
        <f>IF($AF337="保留中",COUNTIF($AF$6:$AF337,"保留中"),"")</f>
        <v/>
      </c>
      <c r="AP337" s="14">
        <f>IF($AQ337="","",IF(SUMPRODUCT(MAX((職員マスタ!$A$6:$A$405=$B337)*(((職員マスタ!$G$6:$G$405="")+(職員マスタ!$G$6:$G$405&lt;=EOMONTH($AQ337,0)))&gt;0)*(((職員マスタ!$H$6:$H$405="")+(職員マスタ!$H$6:$H$405&gt;=$AQ337))&gt;0)*(ROW(職員マスタ!$A$6:$A$405)-5)))&gt;0,SUMPRODUCT(MAX((職員マスタ!$A$6:$A$405=$B337)*(((職員マスタ!$G$6:$G$405="")+(職員マスタ!$G$6:$G$405&lt;=EOMONTH($AQ337,0)))&gt;0)*(((職員マスタ!$H$6:$H$405="")+(職員マスタ!$H$6:$H$405&gt;=$AQ337))&gt;0)*(ROW(職員マスタ!$A$6:$A$405)-5))),IFERROR(MATCH($B337,職員マスタ!$A$6:$A$405,0),"")))</f>
        <v/>
      </c>
      <c r="AQ337" s="16">
        <f>IF(OR($B337="",$C337="",$D337=""),"",DATE($C337+2018,$D337,1))</f>
        <v/>
      </c>
    </row>
    <row r="338">
      <c r="A338" s="11" t="n"/>
      <c r="B338" s="12" t="n">
        <v>6702674</v>
      </c>
      <c r="C338" s="12" t="n">
        <v>7</v>
      </c>
      <c r="D338" s="12" t="n">
        <v>7</v>
      </c>
      <c r="E338" s="13" t="n">
        <v>185233</v>
      </c>
      <c r="F338" s="12" t="n"/>
      <c r="G338" s="13" t="n"/>
      <c r="H338" s="12" t="n"/>
      <c r="I338" s="12" t="n"/>
      <c r="J338" s="12" t="n"/>
      <c r="K338" s="12" t="n"/>
      <c r="L338" s="11" t="n"/>
      <c r="M338" s="11" t="n"/>
      <c r="N338" s="11" t="n"/>
      <c r="O338" s="11" t="n"/>
      <c r="P338" s="12" t="n"/>
      <c r="Q338" s="11" t="n"/>
      <c r="R338" s="12" t="n"/>
      <c r="S338" s="11" t="n"/>
      <c r="T338" s="12" t="n"/>
      <c r="U338" s="12" t="n"/>
      <c r="V338" s="12" t="n"/>
      <c r="W338" s="13" t="n"/>
      <c r="X338" s="14">
        <f>IF($AP338="",IF($B338="","",$H338),IF(INDEX(職員マスタ!$B$6:$B$405,$AP338)="",$H338,INDEX(職員マスタ!$B$6:$B$405,$AP338)))</f>
        <v/>
      </c>
      <c r="Y338" s="14">
        <f>IF($AP338="",IF($B338="","",$R338),IF(INDEX(職員マスタ!$C$6:$C$405,$AP338)="",$R338,INDEX(職員マスタ!$C$6:$C$405,$AP338)))</f>
        <v/>
      </c>
      <c r="Z338" s="14">
        <f>IF($AQ338="","","R"&amp;$C338&amp;"."&amp;$D338)</f>
        <v/>
      </c>
      <c r="AA338" s="15">
        <f>IF(IF($AP338="",FALSE,INDEX(職員マスタ!$K$6:$K$405,$AP338)&lt;&gt;""),INDEX(職員マスタ!$K$6:$K$405,$AP338),IF(N($W338)&gt;0,$W338,""))</f>
        <v/>
      </c>
      <c r="AB338" s="14">
        <f>IF(OR($E338="",$AA338=""),"",IF($E338&gt;=$AA338,"×",IF($E338&gt;=$AA338*設定!$C$5,"△","○")))</f>
        <v/>
      </c>
      <c r="AC338" s="15">
        <f>IF($AB338="","",IF($AB338="×",0,IF($AB338="○",ROUNDDOWN($E338*設定!$C$4,0),ROUNDDOWN($E338*ROUND((9*$AA338-9*$E338)/(10*$E338),4),0))))</f>
        <v/>
      </c>
      <c r="AD338" s="13" t="n"/>
      <c r="AE338" s="15">
        <f>IF($B338="","",IF($AD338&lt;&gt;"",$AD338,IF($AC338="","",IF($AC338&lt;=設定!$C$3,0,$AC338))))</f>
        <v/>
      </c>
      <c r="AF338" s="14">
        <f>IF($B338="","",IF(AND($AG338&lt;&gt;"",$AI338="",$AL338=""),"保留中",IF($AL338&lt;&gt;"",IF(N($AE338)&gt;0,"支給済","不支給"),IF($AE338="","要確認",IF($AE338=0,"不支給","未処理")))))</f>
        <v/>
      </c>
      <c r="AG338" s="12" t="n"/>
      <c r="AH338" s="11" t="n"/>
      <c r="AI338" s="11" t="n"/>
      <c r="AJ338" s="11" t="n"/>
      <c r="AK338" s="14">
        <f>IF(AND($AF338="保留中",$AH338&lt;&gt;""),TODAY()-$AH338,"")</f>
        <v/>
      </c>
      <c r="AL338" s="12" t="inlineStr">
        <is>
          <t>R7.9</t>
        </is>
      </c>
      <c r="AM338" s="14">
        <f>IF($B338="","",IF($AQ338="","対象年月が未入力／","")&amp;IF($B338="","",IF($AP338="","職員マスタに未登録の職員番号／",IF($AA338="","標準報酬月額が未登録／","")&amp;IF(AND($AQ338&lt;&gt;"",OR(AND(INDEX(職員マスタ!$G$6:$G$405,$AP338)&lt;&gt;"",INDEX(職員マスタ!$G$6:$G$405,$AP338)&gt;EOMONTH($AQ338,0)),AND(INDEX(職員マスタ!$H$6:$H$405,$AP338)&lt;&gt;"",INDEX(職員マスタ!$H$6:$H$405,$AP338)&lt;$AQ338))),"対象月が時短期間外／","")&amp;IF(AND(INDEX(職員マスタ!$K$6:$K$405,$AP338)&lt;&gt;"",N($W338)&gt;0,INDEX(職員マスタ!$K$6:$K$405,$AP338)&lt;&gt;$W338),"標準報酬月額が申請書と相違（台帳"&amp;TEXT(INDEX(職員マスタ!$K$6:$K$405,$AP338),"#,##0")&amp;"円／申請書"&amp;TEXT($W338,"#,##0")&amp;"円）／","")&amp;IF(AND(INDEX(職員マスタ!$F$6:$F$405,$AP338)&lt;&gt;"",$AQ338&lt;&gt;"",INDEX(職員マスタ!$F$6:$F$405,$AP338)&lt;$AQ338),"対象月に子が2歳到達済／","")&amp;IF(AND($H338&lt;&gt;"",INDEX(職員マスタ!$B$6:$B$405,$AP338)&lt;&gt;"",SUBSTITUTE(SUBSTITUTE($H338," ","")," ","")&lt;&gt;SUBSTITUTE(SUBSTITUTE(INDEX(職員マスタ!$B$6:$B$405,$AP338)," ","")," ","")),"氏名がマスタと相違／","")&amp;IF(AND($Q338&lt;&gt;"",INDEX(職員マスタ!$E$6:$E$405,$AP338)&lt;&gt;"",$Q338&lt;&gt;INDEX(職員マスタ!$E$6:$E$405,$AP338)),"子の生年月日がマスタと相違／","")&amp;IF(AND($L338&lt;&gt;"",INDEX(職員マスタ!$G$6:$G$405,$AP338)&lt;&gt;"",$L338&lt;&gt;INDEX(職員マスタ!$G$6:$G$405,$AP338)),"時短開始日がマスタと相違／","")&amp;IF(AND($M338&lt;&gt;"",INDEX(職員マスタ!$H$6:$H$405,$AP338)&lt;&gt;"",$M338&lt;&gt;INDEX(職員マスタ!$H$6:$H$405,$AP338)),"時短終了日がマスタと相違／","")))&amp;IF(AND($B338&lt;&gt;"",$E338=""),"報酬額が未入力／","")&amp;IF(N($U338)&gt;0,"申請書に入力エラーが残っています／","")&amp;IF(AND($B338&lt;&gt;"",$AQ338&lt;&gt;""),IF(COUNTIFS($B$6:$B$3005,$B338,$C$6:$C$3005,$C338,$D$6:$D$3005,$D338)&gt;1,"同じ月の請求が重複しています／",""),"")&amp;IF(AND(N($E338)&gt;0,$AB338&lt;&gt;"",$AB338&lt;&gt;"×",$AE338=0,$AD338=""),"計算額が下限以下のため不支給／",""))</f>
        <v/>
      </c>
      <c r="AN338" s="12" t="n"/>
      <c r="AO338" s="14">
        <f>IF($AF338="保留中",COUNTIF($AF$6:$AF338,"保留中"),"")</f>
        <v/>
      </c>
      <c r="AP338" s="14">
        <f>IF($AQ338="","",IF(SUMPRODUCT(MAX((職員マスタ!$A$6:$A$405=$B338)*(((職員マスタ!$G$6:$G$405="")+(職員マスタ!$G$6:$G$405&lt;=EOMONTH($AQ338,0)))&gt;0)*(((職員マスタ!$H$6:$H$405="")+(職員マスタ!$H$6:$H$405&gt;=$AQ338))&gt;0)*(ROW(職員マスタ!$A$6:$A$405)-5)))&gt;0,SUMPRODUCT(MAX((職員マスタ!$A$6:$A$405=$B338)*(((職員マスタ!$G$6:$G$405="")+(職員マスタ!$G$6:$G$405&lt;=EOMONTH($AQ338,0)))&gt;0)*(((職員マスタ!$H$6:$H$405="")+(職員マスタ!$H$6:$H$405&gt;=$AQ338))&gt;0)*(ROW(職員マスタ!$A$6:$A$405)-5))),IFERROR(MATCH($B338,職員マスタ!$A$6:$A$405,0),"")))</f>
        <v/>
      </c>
      <c r="AQ338" s="16">
        <f>IF(OR($B338="",$C338="",$D338=""),"",DATE($C338+2018,$D338,1))</f>
        <v/>
      </c>
    </row>
    <row r="339">
      <c r="A339" s="11" t="n"/>
      <c r="B339" s="12" t="n">
        <v>6702674</v>
      </c>
      <c r="C339" s="12" t="n">
        <v>7</v>
      </c>
      <c r="D339" s="12" t="n">
        <v>8</v>
      </c>
      <c r="E339" s="13" t="n">
        <v>185233</v>
      </c>
      <c r="F339" s="12" t="n"/>
      <c r="G339" s="13" t="n"/>
      <c r="H339" s="12" t="n"/>
      <c r="I339" s="12" t="n"/>
      <c r="J339" s="12" t="n"/>
      <c r="K339" s="12" t="n"/>
      <c r="L339" s="11" t="n"/>
      <c r="M339" s="11" t="n"/>
      <c r="N339" s="11" t="n"/>
      <c r="O339" s="11" t="n"/>
      <c r="P339" s="12" t="n"/>
      <c r="Q339" s="11" t="n"/>
      <c r="R339" s="12" t="n"/>
      <c r="S339" s="11" t="n"/>
      <c r="T339" s="12" t="n"/>
      <c r="U339" s="12" t="n"/>
      <c r="V339" s="12" t="n"/>
      <c r="W339" s="13" t="n"/>
      <c r="X339" s="14">
        <f>IF($AP339="",IF($B339="","",$H339),IF(INDEX(職員マスタ!$B$6:$B$405,$AP339)="",$H339,INDEX(職員マスタ!$B$6:$B$405,$AP339)))</f>
        <v/>
      </c>
      <c r="Y339" s="14">
        <f>IF($AP339="",IF($B339="","",$R339),IF(INDEX(職員マスタ!$C$6:$C$405,$AP339)="",$R339,INDEX(職員マスタ!$C$6:$C$405,$AP339)))</f>
        <v/>
      </c>
      <c r="Z339" s="14">
        <f>IF($AQ339="","","R"&amp;$C339&amp;"."&amp;$D339)</f>
        <v/>
      </c>
      <c r="AA339" s="15">
        <f>IF(IF($AP339="",FALSE,INDEX(職員マスタ!$K$6:$K$405,$AP339)&lt;&gt;""),INDEX(職員マスタ!$K$6:$K$405,$AP339),IF(N($W339)&gt;0,$W339,""))</f>
        <v/>
      </c>
      <c r="AB339" s="14">
        <f>IF(OR($E339="",$AA339=""),"",IF($E339&gt;=$AA339,"×",IF($E339&gt;=$AA339*設定!$C$5,"△","○")))</f>
        <v/>
      </c>
      <c r="AC339" s="15">
        <f>IF($AB339="","",IF($AB339="×",0,IF($AB339="○",ROUNDDOWN($E339*設定!$C$4,0),ROUNDDOWN($E339*ROUND((9*$AA339-9*$E339)/(10*$E339),4),0))))</f>
        <v/>
      </c>
      <c r="AD339" s="13" t="n"/>
      <c r="AE339" s="15">
        <f>IF($B339="","",IF($AD339&lt;&gt;"",$AD339,IF($AC339="","",IF($AC339&lt;=設定!$C$3,0,$AC339))))</f>
        <v/>
      </c>
      <c r="AF339" s="14">
        <f>IF($B339="","",IF(AND($AG339&lt;&gt;"",$AI339="",$AL339=""),"保留中",IF($AL339&lt;&gt;"",IF(N($AE339)&gt;0,"支給済","不支給"),IF($AE339="","要確認",IF($AE339=0,"不支給","未処理")))))</f>
        <v/>
      </c>
      <c r="AG339" s="12" t="n"/>
      <c r="AH339" s="11" t="n"/>
      <c r="AI339" s="11" t="n"/>
      <c r="AJ339" s="11" t="n"/>
      <c r="AK339" s="14">
        <f>IF(AND($AF339="保留中",$AH339&lt;&gt;""),TODAY()-$AH339,"")</f>
        <v/>
      </c>
      <c r="AL339" s="12" t="inlineStr">
        <is>
          <t>R7.11</t>
        </is>
      </c>
      <c r="AM339" s="14">
        <f>IF($B339="","",IF($AQ339="","対象年月が未入力／","")&amp;IF($B339="","",IF($AP339="","職員マスタに未登録の職員番号／",IF($AA339="","標準報酬月額が未登録／","")&amp;IF(AND($AQ339&lt;&gt;"",OR(AND(INDEX(職員マスタ!$G$6:$G$405,$AP339)&lt;&gt;"",INDEX(職員マスタ!$G$6:$G$405,$AP339)&gt;EOMONTH($AQ339,0)),AND(INDEX(職員マスタ!$H$6:$H$405,$AP339)&lt;&gt;"",INDEX(職員マスタ!$H$6:$H$405,$AP339)&lt;$AQ339))),"対象月が時短期間外／","")&amp;IF(AND(INDEX(職員マスタ!$K$6:$K$405,$AP339)&lt;&gt;"",N($W339)&gt;0,INDEX(職員マスタ!$K$6:$K$405,$AP339)&lt;&gt;$W339),"標準報酬月額が申請書と相違（台帳"&amp;TEXT(INDEX(職員マスタ!$K$6:$K$405,$AP339),"#,##0")&amp;"円／申請書"&amp;TEXT($W339,"#,##0")&amp;"円）／","")&amp;IF(AND(INDEX(職員マスタ!$F$6:$F$405,$AP339)&lt;&gt;"",$AQ339&lt;&gt;"",INDEX(職員マスタ!$F$6:$F$405,$AP339)&lt;$AQ339),"対象月に子が2歳到達済／","")&amp;IF(AND($H339&lt;&gt;"",INDEX(職員マスタ!$B$6:$B$405,$AP339)&lt;&gt;"",SUBSTITUTE(SUBSTITUTE($H339," ","")," ","")&lt;&gt;SUBSTITUTE(SUBSTITUTE(INDEX(職員マスタ!$B$6:$B$405,$AP339)," ","")," ","")),"氏名がマスタと相違／","")&amp;IF(AND($Q339&lt;&gt;"",INDEX(職員マスタ!$E$6:$E$405,$AP339)&lt;&gt;"",$Q339&lt;&gt;INDEX(職員マスタ!$E$6:$E$405,$AP339)),"子の生年月日がマスタと相違／","")&amp;IF(AND($L339&lt;&gt;"",INDEX(職員マスタ!$G$6:$G$405,$AP339)&lt;&gt;"",$L339&lt;&gt;INDEX(職員マスタ!$G$6:$G$405,$AP339)),"時短開始日がマスタと相違／","")&amp;IF(AND($M339&lt;&gt;"",INDEX(職員マスタ!$H$6:$H$405,$AP339)&lt;&gt;"",$M339&lt;&gt;INDEX(職員マスタ!$H$6:$H$405,$AP339)),"時短終了日がマスタと相違／","")))&amp;IF(AND($B339&lt;&gt;"",$E339=""),"報酬額が未入力／","")&amp;IF(N($U339)&gt;0,"申請書に入力エラーが残っています／","")&amp;IF(AND($B339&lt;&gt;"",$AQ339&lt;&gt;""),IF(COUNTIFS($B$6:$B$3005,$B339,$C$6:$C$3005,$C339,$D$6:$D$3005,$D339)&gt;1,"同じ月の請求が重複しています／",""),"")&amp;IF(AND(N($E339)&gt;0,$AB339&lt;&gt;"",$AB339&lt;&gt;"×",$AE339=0,$AD339=""),"計算額が下限以下のため不支給／",""))</f>
        <v/>
      </c>
      <c r="AN339" s="12" t="n"/>
      <c r="AO339" s="14">
        <f>IF($AF339="保留中",COUNTIF($AF$6:$AF339,"保留中"),"")</f>
        <v/>
      </c>
      <c r="AP339" s="14">
        <f>IF($AQ339="","",IF(SUMPRODUCT(MAX((職員マスタ!$A$6:$A$405=$B339)*(((職員マスタ!$G$6:$G$405="")+(職員マスタ!$G$6:$G$405&lt;=EOMONTH($AQ339,0)))&gt;0)*(((職員マスタ!$H$6:$H$405="")+(職員マスタ!$H$6:$H$405&gt;=$AQ339))&gt;0)*(ROW(職員マスタ!$A$6:$A$405)-5)))&gt;0,SUMPRODUCT(MAX((職員マスタ!$A$6:$A$405=$B339)*(((職員マスタ!$G$6:$G$405="")+(職員マスタ!$G$6:$G$405&lt;=EOMONTH($AQ339,0)))&gt;0)*(((職員マスタ!$H$6:$H$405="")+(職員マスタ!$H$6:$H$405&gt;=$AQ339))&gt;0)*(ROW(職員マスタ!$A$6:$A$405)-5))),IFERROR(MATCH($B339,職員マスタ!$A$6:$A$405,0),"")))</f>
        <v/>
      </c>
      <c r="AQ339" s="16">
        <f>IF(OR($B339="",$C339="",$D339=""),"",DATE($C339+2018,$D339,1))</f>
        <v/>
      </c>
    </row>
    <row r="340">
      <c r="A340" s="11" t="n"/>
      <c r="B340" s="12" t="n">
        <v>6702674</v>
      </c>
      <c r="C340" s="12" t="n">
        <v>7</v>
      </c>
      <c r="D340" s="12" t="n">
        <v>9</v>
      </c>
      <c r="E340" s="13" t="n">
        <v>185233</v>
      </c>
      <c r="F340" s="12" t="n"/>
      <c r="G340" s="13" t="n"/>
      <c r="H340" s="12" t="n"/>
      <c r="I340" s="12" t="n"/>
      <c r="J340" s="12" t="n"/>
      <c r="K340" s="12" t="n"/>
      <c r="L340" s="11" t="n"/>
      <c r="M340" s="11" t="n"/>
      <c r="N340" s="11" t="n"/>
      <c r="O340" s="11" t="n"/>
      <c r="P340" s="12" t="n"/>
      <c r="Q340" s="11" t="n"/>
      <c r="R340" s="12" t="n"/>
      <c r="S340" s="11" t="n"/>
      <c r="T340" s="12" t="n"/>
      <c r="U340" s="12" t="n"/>
      <c r="V340" s="12" t="n"/>
      <c r="W340" s="13" t="n"/>
      <c r="X340" s="14">
        <f>IF($AP340="",IF($B340="","",$H340),IF(INDEX(職員マスタ!$B$6:$B$405,$AP340)="",$H340,INDEX(職員マスタ!$B$6:$B$405,$AP340)))</f>
        <v/>
      </c>
      <c r="Y340" s="14">
        <f>IF($AP340="",IF($B340="","",$R340),IF(INDEX(職員マスタ!$C$6:$C$405,$AP340)="",$R340,INDEX(職員マスタ!$C$6:$C$405,$AP340)))</f>
        <v/>
      </c>
      <c r="Z340" s="14">
        <f>IF($AQ340="","","R"&amp;$C340&amp;"."&amp;$D340)</f>
        <v/>
      </c>
      <c r="AA340" s="15">
        <f>IF(IF($AP340="",FALSE,INDEX(職員マスタ!$K$6:$K$405,$AP340)&lt;&gt;""),INDEX(職員マスタ!$K$6:$K$405,$AP340),IF(N($W340)&gt;0,$W340,""))</f>
        <v/>
      </c>
      <c r="AB340" s="14">
        <f>IF(OR($E340="",$AA340=""),"",IF($E340&gt;=$AA340,"×",IF($E340&gt;=$AA340*設定!$C$5,"△","○")))</f>
        <v/>
      </c>
      <c r="AC340" s="15">
        <f>IF($AB340="","",IF($AB340="×",0,IF($AB340="○",ROUNDDOWN($E340*設定!$C$4,0),ROUNDDOWN($E340*ROUND((9*$AA340-9*$E340)/(10*$E340),4),0))))</f>
        <v/>
      </c>
      <c r="AD340" s="13" t="n"/>
      <c r="AE340" s="15">
        <f>IF($B340="","",IF($AD340&lt;&gt;"",$AD340,IF($AC340="","",IF($AC340&lt;=設定!$C$3,0,$AC340))))</f>
        <v/>
      </c>
      <c r="AF340" s="14">
        <f>IF($B340="","",IF(AND($AG340&lt;&gt;"",$AI340="",$AL340=""),"保留中",IF($AL340&lt;&gt;"",IF(N($AE340)&gt;0,"支給済","不支給"),IF($AE340="","要確認",IF($AE340=0,"不支給","未処理")))))</f>
        <v/>
      </c>
      <c r="AG340" s="12" t="n"/>
      <c r="AH340" s="11" t="n"/>
      <c r="AI340" s="11" t="n"/>
      <c r="AJ340" s="11" t="n"/>
      <c r="AK340" s="14">
        <f>IF(AND($AF340="保留中",$AH340&lt;&gt;""),TODAY()-$AH340,"")</f>
        <v/>
      </c>
      <c r="AL340" s="12" t="inlineStr">
        <is>
          <t>R7.12</t>
        </is>
      </c>
      <c r="AM340" s="14">
        <f>IF($B340="","",IF($AQ340="","対象年月が未入力／","")&amp;IF($B340="","",IF($AP340="","職員マスタに未登録の職員番号／",IF($AA340="","標準報酬月額が未登録／","")&amp;IF(AND($AQ340&lt;&gt;"",OR(AND(INDEX(職員マスタ!$G$6:$G$405,$AP340)&lt;&gt;"",INDEX(職員マスタ!$G$6:$G$405,$AP340)&gt;EOMONTH($AQ340,0)),AND(INDEX(職員マスタ!$H$6:$H$405,$AP340)&lt;&gt;"",INDEX(職員マスタ!$H$6:$H$405,$AP340)&lt;$AQ340))),"対象月が時短期間外／","")&amp;IF(AND(INDEX(職員マスタ!$K$6:$K$405,$AP340)&lt;&gt;"",N($W340)&gt;0,INDEX(職員マスタ!$K$6:$K$405,$AP340)&lt;&gt;$W340),"標準報酬月額が申請書と相違（台帳"&amp;TEXT(INDEX(職員マスタ!$K$6:$K$405,$AP340),"#,##0")&amp;"円／申請書"&amp;TEXT($W340,"#,##0")&amp;"円）／","")&amp;IF(AND(INDEX(職員マスタ!$F$6:$F$405,$AP340)&lt;&gt;"",$AQ340&lt;&gt;"",INDEX(職員マスタ!$F$6:$F$405,$AP340)&lt;$AQ340),"対象月に子が2歳到達済／","")&amp;IF(AND($H340&lt;&gt;"",INDEX(職員マスタ!$B$6:$B$405,$AP340)&lt;&gt;"",SUBSTITUTE(SUBSTITUTE($H340," ","")," ","")&lt;&gt;SUBSTITUTE(SUBSTITUTE(INDEX(職員マスタ!$B$6:$B$405,$AP340)," ","")," ","")),"氏名がマスタと相違／","")&amp;IF(AND($Q340&lt;&gt;"",INDEX(職員マスタ!$E$6:$E$405,$AP340)&lt;&gt;"",$Q340&lt;&gt;INDEX(職員マスタ!$E$6:$E$405,$AP340)),"子の生年月日がマスタと相違／","")&amp;IF(AND($L340&lt;&gt;"",INDEX(職員マスタ!$G$6:$G$405,$AP340)&lt;&gt;"",$L340&lt;&gt;INDEX(職員マスタ!$G$6:$G$405,$AP340)),"時短開始日がマスタと相違／","")&amp;IF(AND($M340&lt;&gt;"",INDEX(職員マスタ!$H$6:$H$405,$AP340)&lt;&gt;"",$M340&lt;&gt;INDEX(職員マスタ!$H$6:$H$405,$AP340)),"時短終了日がマスタと相違／","")))&amp;IF(AND($B340&lt;&gt;"",$E340=""),"報酬額が未入力／","")&amp;IF(N($U340)&gt;0,"申請書に入力エラーが残っています／","")&amp;IF(AND($B340&lt;&gt;"",$AQ340&lt;&gt;""),IF(COUNTIFS($B$6:$B$3005,$B340,$C$6:$C$3005,$C340,$D$6:$D$3005,$D340)&gt;1,"同じ月の請求が重複しています／",""),"")&amp;IF(AND(N($E340)&gt;0,$AB340&lt;&gt;"",$AB340&lt;&gt;"×",$AE340=0,$AD340=""),"計算額が下限以下のため不支給／",""))</f>
        <v/>
      </c>
      <c r="AN340" s="12" t="n"/>
      <c r="AO340" s="14">
        <f>IF($AF340="保留中",COUNTIF($AF$6:$AF340,"保留中"),"")</f>
        <v/>
      </c>
      <c r="AP340" s="14">
        <f>IF($AQ340="","",IF(SUMPRODUCT(MAX((職員マスタ!$A$6:$A$405=$B340)*(((職員マスタ!$G$6:$G$405="")+(職員マスタ!$G$6:$G$405&lt;=EOMONTH($AQ340,0)))&gt;0)*(((職員マスタ!$H$6:$H$405="")+(職員マスタ!$H$6:$H$405&gt;=$AQ340))&gt;0)*(ROW(職員マスタ!$A$6:$A$405)-5)))&gt;0,SUMPRODUCT(MAX((職員マスタ!$A$6:$A$405=$B340)*(((職員マスタ!$G$6:$G$405="")+(職員マスタ!$G$6:$G$405&lt;=EOMONTH($AQ340,0)))&gt;0)*(((職員マスタ!$H$6:$H$405="")+(職員マスタ!$H$6:$H$405&gt;=$AQ340))&gt;0)*(ROW(職員マスタ!$A$6:$A$405)-5))),IFERROR(MATCH($B340,職員マスタ!$A$6:$A$405,0),"")))</f>
        <v/>
      </c>
      <c r="AQ340" s="16">
        <f>IF(OR($B340="",$C340="",$D340=""),"",DATE($C340+2018,$D340,1))</f>
        <v/>
      </c>
    </row>
    <row r="341">
      <c r="A341" s="11" t="n"/>
      <c r="B341" s="12" t="n">
        <v>6702674</v>
      </c>
      <c r="C341" s="12" t="n">
        <v>7</v>
      </c>
      <c r="D341" s="12" t="n">
        <v>10</v>
      </c>
      <c r="E341" s="13" t="n">
        <v>185233</v>
      </c>
      <c r="F341" s="12" t="n"/>
      <c r="G341" s="13" t="n"/>
      <c r="H341" s="12" t="n"/>
      <c r="I341" s="12" t="n"/>
      <c r="J341" s="12" t="n"/>
      <c r="K341" s="12" t="n"/>
      <c r="L341" s="11" t="n"/>
      <c r="M341" s="11" t="n"/>
      <c r="N341" s="11" t="n"/>
      <c r="O341" s="11" t="n"/>
      <c r="P341" s="12" t="n"/>
      <c r="Q341" s="11" t="n"/>
      <c r="R341" s="12" t="n"/>
      <c r="S341" s="11" t="n"/>
      <c r="T341" s="12" t="n"/>
      <c r="U341" s="12" t="n"/>
      <c r="V341" s="12" t="n"/>
      <c r="W341" s="13" t="n"/>
      <c r="X341" s="14">
        <f>IF($AP341="",IF($B341="","",$H341),IF(INDEX(職員マスタ!$B$6:$B$405,$AP341)="",$H341,INDEX(職員マスタ!$B$6:$B$405,$AP341)))</f>
        <v/>
      </c>
      <c r="Y341" s="14">
        <f>IF($AP341="",IF($B341="","",$R341),IF(INDEX(職員マスタ!$C$6:$C$405,$AP341)="",$R341,INDEX(職員マスタ!$C$6:$C$405,$AP341)))</f>
        <v/>
      </c>
      <c r="Z341" s="14">
        <f>IF($AQ341="","","R"&amp;$C341&amp;"."&amp;$D341)</f>
        <v/>
      </c>
      <c r="AA341" s="15">
        <f>IF(IF($AP341="",FALSE,INDEX(職員マスタ!$K$6:$K$405,$AP341)&lt;&gt;""),INDEX(職員マスタ!$K$6:$K$405,$AP341),IF(N($W341)&gt;0,$W341,""))</f>
        <v/>
      </c>
      <c r="AB341" s="14">
        <f>IF(OR($E341="",$AA341=""),"",IF($E341&gt;=$AA341,"×",IF($E341&gt;=$AA341*設定!$C$5,"△","○")))</f>
        <v/>
      </c>
      <c r="AC341" s="15">
        <f>IF($AB341="","",IF($AB341="×",0,IF($AB341="○",ROUNDDOWN($E341*設定!$C$4,0),ROUNDDOWN($E341*ROUND((9*$AA341-9*$E341)/(10*$E341),4),0))))</f>
        <v/>
      </c>
      <c r="AD341" s="13" t="n"/>
      <c r="AE341" s="15">
        <f>IF($B341="","",IF($AD341&lt;&gt;"",$AD341,IF($AC341="","",IF($AC341&lt;=設定!$C$3,0,$AC341))))</f>
        <v/>
      </c>
      <c r="AF341" s="14">
        <f>IF($B341="","",IF(AND($AG341&lt;&gt;"",$AI341="",$AL341=""),"保留中",IF($AL341&lt;&gt;"",IF(N($AE341)&gt;0,"支給済","不支給"),IF($AE341="","要確認",IF($AE341=0,"不支給","未処理")))))</f>
        <v/>
      </c>
      <c r="AG341" s="12" t="n"/>
      <c r="AH341" s="11" t="n"/>
      <c r="AI341" s="11" t="n"/>
      <c r="AJ341" s="11" t="n"/>
      <c r="AK341" s="14">
        <f>IF(AND($AF341="保留中",$AH341&lt;&gt;""),TODAY()-$AH341,"")</f>
        <v/>
      </c>
      <c r="AL341" s="12" t="inlineStr">
        <is>
          <t>R8.1</t>
        </is>
      </c>
      <c r="AM341" s="14">
        <f>IF($B341="","",IF($AQ341="","対象年月が未入力／","")&amp;IF($B341="","",IF($AP341="","職員マスタに未登録の職員番号／",IF($AA341="","標準報酬月額が未登録／","")&amp;IF(AND($AQ341&lt;&gt;"",OR(AND(INDEX(職員マスタ!$G$6:$G$405,$AP341)&lt;&gt;"",INDEX(職員マスタ!$G$6:$G$405,$AP341)&gt;EOMONTH($AQ341,0)),AND(INDEX(職員マスタ!$H$6:$H$405,$AP341)&lt;&gt;"",INDEX(職員マスタ!$H$6:$H$405,$AP341)&lt;$AQ341))),"対象月が時短期間外／","")&amp;IF(AND(INDEX(職員マスタ!$K$6:$K$405,$AP341)&lt;&gt;"",N($W341)&gt;0,INDEX(職員マスタ!$K$6:$K$405,$AP341)&lt;&gt;$W341),"標準報酬月額が申請書と相違（台帳"&amp;TEXT(INDEX(職員マスタ!$K$6:$K$405,$AP341),"#,##0")&amp;"円／申請書"&amp;TEXT($W341,"#,##0")&amp;"円）／","")&amp;IF(AND(INDEX(職員マスタ!$F$6:$F$405,$AP341)&lt;&gt;"",$AQ341&lt;&gt;"",INDEX(職員マスタ!$F$6:$F$405,$AP341)&lt;$AQ341),"対象月に子が2歳到達済／","")&amp;IF(AND($H341&lt;&gt;"",INDEX(職員マスタ!$B$6:$B$405,$AP341)&lt;&gt;"",SUBSTITUTE(SUBSTITUTE($H341," ","")," ","")&lt;&gt;SUBSTITUTE(SUBSTITUTE(INDEX(職員マスタ!$B$6:$B$405,$AP341)," ","")," ","")),"氏名がマスタと相違／","")&amp;IF(AND($Q341&lt;&gt;"",INDEX(職員マスタ!$E$6:$E$405,$AP341)&lt;&gt;"",$Q341&lt;&gt;INDEX(職員マスタ!$E$6:$E$405,$AP341)),"子の生年月日がマスタと相違／","")&amp;IF(AND($L341&lt;&gt;"",INDEX(職員マスタ!$G$6:$G$405,$AP341)&lt;&gt;"",$L341&lt;&gt;INDEX(職員マスタ!$G$6:$G$405,$AP341)),"時短開始日がマスタと相違／","")&amp;IF(AND($M341&lt;&gt;"",INDEX(職員マスタ!$H$6:$H$405,$AP341)&lt;&gt;"",$M341&lt;&gt;INDEX(職員マスタ!$H$6:$H$405,$AP341)),"時短終了日がマスタと相違／","")))&amp;IF(AND($B341&lt;&gt;"",$E341=""),"報酬額が未入力／","")&amp;IF(N($U341)&gt;0,"申請書に入力エラーが残っています／","")&amp;IF(AND($B341&lt;&gt;"",$AQ341&lt;&gt;""),IF(COUNTIFS($B$6:$B$3005,$B341,$C$6:$C$3005,$C341,$D$6:$D$3005,$D341)&gt;1,"同じ月の請求が重複しています／",""),"")&amp;IF(AND(N($E341)&gt;0,$AB341&lt;&gt;"",$AB341&lt;&gt;"×",$AE341=0,$AD341=""),"計算額が下限以下のため不支給／",""))</f>
        <v/>
      </c>
      <c r="AN341" s="12" t="n"/>
      <c r="AO341" s="14">
        <f>IF($AF341="保留中",COUNTIF($AF$6:$AF341,"保留中"),"")</f>
        <v/>
      </c>
      <c r="AP341" s="14">
        <f>IF($AQ341="","",IF(SUMPRODUCT(MAX((職員マスタ!$A$6:$A$405=$B341)*(((職員マスタ!$G$6:$G$405="")+(職員マスタ!$G$6:$G$405&lt;=EOMONTH($AQ341,0)))&gt;0)*(((職員マスタ!$H$6:$H$405="")+(職員マスタ!$H$6:$H$405&gt;=$AQ341))&gt;0)*(ROW(職員マスタ!$A$6:$A$405)-5)))&gt;0,SUMPRODUCT(MAX((職員マスタ!$A$6:$A$405=$B341)*(((職員マスタ!$G$6:$G$405="")+(職員マスタ!$G$6:$G$405&lt;=EOMONTH($AQ341,0)))&gt;0)*(((職員マスタ!$H$6:$H$405="")+(職員マスタ!$H$6:$H$405&gt;=$AQ341))&gt;0)*(ROW(職員マスタ!$A$6:$A$405)-5))),IFERROR(MATCH($B341,職員マスタ!$A$6:$A$405,0),"")))</f>
        <v/>
      </c>
      <c r="AQ341" s="16">
        <f>IF(OR($B341="",$C341="",$D341=""),"",DATE($C341+2018,$D341,1))</f>
        <v/>
      </c>
    </row>
    <row r="342">
      <c r="A342" s="11" t="n"/>
      <c r="B342" s="12" t="n">
        <v>6702674</v>
      </c>
      <c r="C342" s="12" t="n">
        <v>7</v>
      </c>
      <c r="D342" s="12" t="n">
        <v>11</v>
      </c>
      <c r="E342" s="13" t="n">
        <v>185233</v>
      </c>
      <c r="F342" s="12" t="n"/>
      <c r="G342" s="13" t="n"/>
      <c r="H342" s="12" t="n"/>
      <c r="I342" s="12" t="n"/>
      <c r="J342" s="12" t="n"/>
      <c r="K342" s="12" t="n"/>
      <c r="L342" s="11" t="n"/>
      <c r="M342" s="11" t="n"/>
      <c r="N342" s="11" t="n"/>
      <c r="O342" s="11" t="n"/>
      <c r="P342" s="12" t="n"/>
      <c r="Q342" s="11" t="n"/>
      <c r="R342" s="12" t="n"/>
      <c r="S342" s="11" t="n"/>
      <c r="T342" s="12" t="n"/>
      <c r="U342" s="12" t="n"/>
      <c r="V342" s="12" t="n"/>
      <c r="W342" s="13" t="n"/>
      <c r="X342" s="14">
        <f>IF($AP342="",IF($B342="","",$H342),IF(INDEX(職員マスタ!$B$6:$B$405,$AP342)="",$H342,INDEX(職員マスタ!$B$6:$B$405,$AP342)))</f>
        <v/>
      </c>
      <c r="Y342" s="14">
        <f>IF($AP342="",IF($B342="","",$R342),IF(INDEX(職員マスタ!$C$6:$C$405,$AP342)="",$R342,INDEX(職員マスタ!$C$6:$C$405,$AP342)))</f>
        <v/>
      </c>
      <c r="Z342" s="14">
        <f>IF($AQ342="","","R"&amp;$C342&amp;"."&amp;$D342)</f>
        <v/>
      </c>
      <c r="AA342" s="15">
        <f>IF(IF($AP342="",FALSE,INDEX(職員マスタ!$K$6:$K$405,$AP342)&lt;&gt;""),INDEX(職員マスタ!$K$6:$K$405,$AP342),IF(N($W342)&gt;0,$W342,""))</f>
        <v/>
      </c>
      <c r="AB342" s="14">
        <f>IF(OR($E342="",$AA342=""),"",IF($E342&gt;=$AA342,"×",IF($E342&gt;=$AA342*設定!$C$5,"△","○")))</f>
        <v/>
      </c>
      <c r="AC342" s="15">
        <f>IF($AB342="","",IF($AB342="×",0,IF($AB342="○",ROUNDDOWN($E342*設定!$C$4,0),ROUNDDOWN($E342*ROUND((9*$AA342-9*$E342)/(10*$E342),4),0))))</f>
        <v/>
      </c>
      <c r="AD342" s="13" t="n"/>
      <c r="AE342" s="15">
        <f>IF($B342="","",IF($AD342&lt;&gt;"",$AD342,IF($AC342="","",IF($AC342&lt;=設定!$C$3,0,$AC342))))</f>
        <v/>
      </c>
      <c r="AF342" s="14">
        <f>IF($B342="","",IF(AND($AG342&lt;&gt;"",$AI342="",$AL342=""),"保留中",IF($AL342&lt;&gt;"",IF(N($AE342)&gt;0,"支給済","不支給"),IF($AE342="","要確認",IF($AE342=0,"不支給","未処理")))))</f>
        <v/>
      </c>
      <c r="AG342" s="12" t="n"/>
      <c r="AH342" s="11" t="n"/>
      <c r="AI342" s="11" t="n"/>
      <c r="AJ342" s="11" t="n"/>
      <c r="AK342" s="14">
        <f>IF(AND($AF342="保留中",$AH342&lt;&gt;""),TODAY()-$AH342,"")</f>
        <v/>
      </c>
      <c r="AL342" s="12" t="inlineStr">
        <is>
          <t>R8.1</t>
        </is>
      </c>
      <c r="AM342" s="14">
        <f>IF($B342="","",IF($AQ342="","対象年月が未入力／","")&amp;IF($B342="","",IF($AP342="","職員マスタに未登録の職員番号／",IF($AA342="","標準報酬月額が未登録／","")&amp;IF(AND($AQ342&lt;&gt;"",OR(AND(INDEX(職員マスタ!$G$6:$G$405,$AP342)&lt;&gt;"",INDEX(職員マスタ!$G$6:$G$405,$AP342)&gt;EOMONTH($AQ342,0)),AND(INDEX(職員マスタ!$H$6:$H$405,$AP342)&lt;&gt;"",INDEX(職員マスタ!$H$6:$H$405,$AP342)&lt;$AQ342))),"対象月が時短期間外／","")&amp;IF(AND(INDEX(職員マスタ!$K$6:$K$405,$AP342)&lt;&gt;"",N($W342)&gt;0,INDEX(職員マスタ!$K$6:$K$405,$AP342)&lt;&gt;$W342),"標準報酬月額が申請書と相違（台帳"&amp;TEXT(INDEX(職員マスタ!$K$6:$K$405,$AP342),"#,##0")&amp;"円／申請書"&amp;TEXT($W342,"#,##0")&amp;"円）／","")&amp;IF(AND(INDEX(職員マスタ!$F$6:$F$405,$AP342)&lt;&gt;"",$AQ342&lt;&gt;"",INDEX(職員マスタ!$F$6:$F$405,$AP342)&lt;$AQ342),"対象月に子が2歳到達済／","")&amp;IF(AND($H342&lt;&gt;"",INDEX(職員マスタ!$B$6:$B$405,$AP342)&lt;&gt;"",SUBSTITUTE(SUBSTITUTE($H342," ","")," ","")&lt;&gt;SUBSTITUTE(SUBSTITUTE(INDEX(職員マスタ!$B$6:$B$405,$AP342)," ","")," ","")),"氏名がマスタと相違／","")&amp;IF(AND($Q342&lt;&gt;"",INDEX(職員マスタ!$E$6:$E$405,$AP342)&lt;&gt;"",$Q342&lt;&gt;INDEX(職員マスタ!$E$6:$E$405,$AP342)),"子の生年月日がマスタと相違／","")&amp;IF(AND($L342&lt;&gt;"",INDEX(職員マスタ!$G$6:$G$405,$AP342)&lt;&gt;"",$L342&lt;&gt;INDEX(職員マスタ!$G$6:$G$405,$AP342)),"時短開始日がマスタと相違／","")&amp;IF(AND($M342&lt;&gt;"",INDEX(職員マスタ!$H$6:$H$405,$AP342)&lt;&gt;"",$M342&lt;&gt;INDEX(職員マスタ!$H$6:$H$405,$AP342)),"時短終了日がマスタと相違／","")))&amp;IF(AND($B342&lt;&gt;"",$E342=""),"報酬額が未入力／","")&amp;IF(N($U342)&gt;0,"申請書に入力エラーが残っています／","")&amp;IF(AND($B342&lt;&gt;"",$AQ342&lt;&gt;""),IF(COUNTIFS($B$6:$B$3005,$B342,$C$6:$C$3005,$C342,$D$6:$D$3005,$D342)&gt;1,"同じ月の請求が重複しています／",""),"")&amp;IF(AND(N($E342)&gt;0,$AB342&lt;&gt;"",$AB342&lt;&gt;"×",$AE342=0,$AD342=""),"計算額が下限以下のため不支給／",""))</f>
        <v/>
      </c>
      <c r="AN342" s="12" t="n"/>
      <c r="AO342" s="14">
        <f>IF($AF342="保留中",COUNTIF($AF$6:$AF342,"保留中"),"")</f>
        <v/>
      </c>
      <c r="AP342" s="14">
        <f>IF($AQ342="","",IF(SUMPRODUCT(MAX((職員マスタ!$A$6:$A$405=$B342)*(((職員マスタ!$G$6:$G$405="")+(職員マスタ!$G$6:$G$405&lt;=EOMONTH($AQ342,0)))&gt;0)*(((職員マスタ!$H$6:$H$405="")+(職員マスタ!$H$6:$H$405&gt;=$AQ342))&gt;0)*(ROW(職員マスタ!$A$6:$A$405)-5)))&gt;0,SUMPRODUCT(MAX((職員マスタ!$A$6:$A$405=$B342)*(((職員マスタ!$G$6:$G$405="")+(職員マスタ!$G$6:$G$405&lt;=EOMONTH($AQ342,0)))&gt;0)*(((職員マスタ!$H$6:$H$405="")+(職員マスタ!$H$6:$H$405&gt;=$AQ342))&gt;0)*(ROW(職員マスタ!$A$6:$A$405)-5))),IFERROR(MATCH($B342,職員マスタ!$A$6:$A$405,0),"")))</f>
        <v/>
      </c>
      <c r="AQ342" s="16">
        <f>IF(OR($B342="",$C342="",$D342=""),"",DATE($C342+2018,$D342,1))</f>
        <v/>
      </c>
    </row>
    <row r="343">
      <c r="A343" s="11" t="n"/>
      <c r="B343" s="12" t="n">
        <v>6702674</v>
      </c>
      <c r="C343" s="12" t="n">
        <v>7</v>
      </c>
      <c r="D343" s="12" t="n">
        <v>12</v>
      </c>
      <c r="E343" s="13" t="n">
        <v>192448</v>
      </c>
      <c r="F343" s="12" t="n"/>
      <c r="G343" s="13" t="n"/>
      <c r="H343" s="12" t="n"/>
      <c r="I343" s="12" t="n"/>
      <c r="J343" s="12" t="n"/>
      <c r="K343" s="12" t="n"/>
      <c r="L343" s="11" t="n"/>
      <c r="M343" s="11" t="n"/>
      <c r="N343" s="11" t="n"/>
      <c r="O343" s="11" t="n"/>
      <c r="P343" s="12" t="n"/>
      <c r="Q343" s="11" t="n"/>
      <c r="R343" s="12" t="n"/>
      <c r="S343" s="11" t="n"/>
      <c r="T343" s="12" t="n"/>
      <c r="U343" s="12" t="n"/>
      <c r="V343" s="12" t="n"/>
      <c r="W343" s="13" t="n"/>
      <c r="X343" s="14">
        <f>IF($AP343="",IF($B343="","",$H343),IF(INDEX(職員マスタ!$B$6:$B$405,$AP343)="",$H343,INDEX(職員マスタ!$B$6:$B$405,$AP343)))</f>
        <v/>
      </c>
      <c r="Y343" s="14">
        <f>IF($AP343="",IF($B343="","",$R343),IF(INDEX(職員マスタ!$C$6:$C$405,$AP343)="",$R343,INDEX(職員マスタ!$C$6:$C$405,$AP343)))</f>
        <v/>
      </c>
      <c r="Z343" s="14">
        <f>IF($AQ343="","","R"&amp;$C343&amp;"."&amp;$D343)</f>
        <v/>
      </c>
      <c r="AA343" s="15">
        <f>IF(IF($AP343="",FALSE,INDEX(職員マスタ!$K$6:$K$405,$AP343)&lt;&gt;""),INDEX(職員マスタ!$K$6:$K$405,$AP343),IF(N($W343)&gt;0,$W343,""))</f>
        <v/>
      </c>
      <c r="AB343" s="14">
        <f>IF(OR($E343="",$AA343=""),"",IF($E343&gt;=$AA343,"×",IF($E343&gt;=$AA343*設定!$C$5,"△","○")))</f>
        <v/>
      </c>
      <c r="AC343" s="15">
        <f>IF($AB343="","",IF($AB343="×",0,IF($AB343="○",ROUNDDOWN($E343*設定!$C$4,0),ROUNDDOWN($E343*ROUND((9*$AA343-9*$E343)/(10*$E343),4),0))))</f>
        <v/>
      </c>
      <c r="AD343" s="13" t="n"/>
      <c r="AE343" s="15">
        <f>IF($B343="","",IF($AD343&lt;&gt;"",$AD343,IF($AC343="","",IF($AC343&lt;=設定!$C$3,0,$AC343))))</f>
        <v/>
      </c>
      <c r="AF343" s="14">
        <f>IF($B343="","",IF(AND($AG343&lt;&gt;"",$AI343="",$AL343=""),"保留中",IF($AL343&lt;&gt;"",IF(N($AE343)&gt;0,"支給済","不支給"),IF($AE343="","要確認",IF($AE343=0,"不支給","未処理")))))</f>
        <v/>
      </c>
      <c r="AG343" s="12" t="n"/>
      <c r="AH343" s="11" t="n"/>
      <c r="AI343" s="11" t="n"/>
      <c r="AJ343" s="11" t="n"/>
      <c r="AK343" s="14">
        <f>IF(AND($AF343="保留中",$AH343&lt;&gt;""),TODAY()-$AH343,"")</f>
        <v/>
      </c>
      <c r="AL343" s="12" t="inlineStr">
        <is>
          <t>R8.5</t>
        </is>
      </c>
      <c r="AM343" s="14">
        <f>IF($B343="","",IF($AQ343="","対象年月が未入力／","")&amp;IF($B343="","",IF($AP343="","職員マスタに未登録の職員番号／",IF($AA343="","標準報酬月額が未登録／","")&amp;IF(AND($AQ343&lt;&gt;"",OR(AND(INDEX(職員マスタ!$G$6:$G$405,$AP343)&lt;&gt;"",INDEX(職員マスタ!$G$6:$G$405,$AP343)&gt;EOMONTH($AQ343,0)),AND(INDEX(職員マスタ!$H$6:$H$405,$AP343)&lt;&gt;"",INDEX(職員マスタ!$H$6:$H$405,$AP343)&lt;$AQ343))),"対象月が時短期間外／","")&amp;IF(AND(INDEX(職員マスタ!$K$6:$K$405,$AP343)&lt;&gt;"",N($W343)&gt;0,INDEX(職員マスタ!$K$6:$K$405,$AP343)&lt;&gt;$W343),"標準報酬月額が申請書と相違（台帳"&amp;TEXT(INDEX(職員マスタ!$K$6:$K$405,$AP343),"#,##0")&amp;"円／申請書"&amp;TEXT($W343,"#,##0")&amp;"円）／","")&amp;IF(AND(INDEX(職員マスタ!$F$6:$F$405,$AP343)&lt;&gt;"",$AQ343&lt;&gt;"",INDEX(職員マスタ!$F$6:$F$405,$AP343)&lt;$AQ343),"対象月に子が2歳到達済／","")&amp;IF(AND($H343&lt;&gt;"",INDEX(職員マスタ!$B$6:$B$405,$AP343)&lt;&gt;"",SUBSTITUTE(SUBSTITUTE($H343," ","")," ","")&lt;&gt;SUBSTITUTE(SUBSTITUTE(INDEX(職員マスタ!$B$6:$B$405,$AP343)," ","")," ","")),"氏名がマスタと相違／","")&amp;IF(AND($Q343&lt;&gt;"",INDEX(職員マスタ!$E$6:$E$405,$AP343)&lt;&gt;"",$Q343&lt;&gt;INDEX(職員マスタ!$E$6:$E$405,$AP343)),"子の生年月日がマスタと相違／","")&amp;IF(AND($L343&lt;&gt;"",INDEX(職員マスタ!$G$6:$G$405,$AP343)&lt;&gt;"",$L343&lt;&gt;INDEX(職員マスタ!$G$6:$G$405,$AP343)),"時短開始日がマスタと相違／","")&amp;IF(AND($M343&lt;&gt;"",INDEX(職員マスタ!$H$6:$H$405,$AP343)&lt;&gt;"",$M343&lt;&gt;INDEX(職員マスタ!$H$6:$H$405,$AP343)),"時短終了日がマスタと相違／","")))&amp;IF(AND($B343&lt;&gt;"",$E343=""),"報酬額が未入力／","")&amp;IF(N($U343)&gt;0,"申請書に入力エラーが残っています／","")&amp;IF(AND($B343&lt;&gt;"",$AQ343&lt;&gt;""),IF(COUNTIFS($B$6:$B$3005,$B343,$C$6:$C$3005,$C343,$D$6:$D$3005,$D343)&gt;1,"同じ月の請求が重複しています／",""),"")&amp;IF(AND(N($E343)&gt;0,$AB343&lt;&gt;"",$AB343&lt;&gt;"×",$AE343=0,$AD343=""),"計算額が下限以下のため不支給／",""))</f>
        <v/>
      </c>
      <c r="AN343" s="12" t="n"/>
      <c r="AO343" s="14">
        <f>IF($AF343="保留中",COUNTIF($AF$6:$AF343,"保留中"),"")</f>
        <v/>
      </c>
      <c r="AP343" s="14">
        <f>IF($AQ343="","",IF(SUMPRODUCT(MAX((職員マスタ!$A$6:$A$405=$B343)*(((職員マスタ!$G$6:$G$405="")+(職員マスタ!$G$6:$G$405&lt;=EOMONTH($AQ343,0)))&gt;0)*(((職員マスタ!$H$6:$H$405="")+(職員マスタ!$H$6:$H$405&gt;=$AQ343))&gt;0)*(ROW(職員マスタ!$A$6:$A$405)-5)))&gt;0,SUMPRODUCT(MAX((職員マスタ!$A$6:$A$405=$B343)*(((職員マスタ!$G$6:$G$405="")+(職員マスタ!$G$6:$G$405&lt;=EOMONTH($AQ343,0)))&gt;0)*(((職員マスタ!$H$6:$H$405="")+(職員マスタ!$H$6:$H$405&gt;=$AQ343))&gt;0)*(ROW(職員マスタ!$A$6:$A$405)-5))),IFERROR(MATCH($B343,職員マスタ!$A$6:$A$405,0),"")))</f>
        <v/>
      </c>
      <c r="AQ343" s="16">
        <f>IF(OR($B343="",$C343="",$D343=""),"",DATE($C343+2018,$D343,1))</f>
        <v/>
      </c>
    </row>
    <row r="344">
      <c r="A344" s="11" t="n"/>
      <c r="B344" s="12" t="n">
        <v>6702674</v>
      </c>
      <c r="C344" s="12" t="n">
        <v>8</v>
      </c>
      <c r="D344" s="12" t="n">
        <v>1</v>
      </c>
      <c r="E344" s="13" t="n">
        <v>192448</v>
      </c>
      <c r="F344" s="12" t="n"/>
      <c r="G344" s="13" t="n"/>
      <c r="H344" s="12" t="n"/>
      <c r="I344" s="12" t="n"/>
      <c r="J344" s="12" t="n"/>
      <c r="K344" s="12" t="n"/>
      <c r="L344" s="11" t="n"/>
      <c r="M344" s="11" t="n"/>
      <c r="N344" s="11" t="n"/>
      <c r="O344" s="11" t="n"/>
      <c r="P344" s="12" t="n"/>
      <c r="Q344" s="11" t="n"/>
      <c r="R344" s="12" t="n"/>
      <c r="S344" s="11" t="n"/>
      <c r="T344" s="12" t="n"/>
      <c r="U344" s="12" t="n"/>
      <c r="V344" s="12" t="n"/>
      <c r="W344" s="13" t="n"/>
      <c r="X344" s="14">
        <f>IF($AP344="",IF($B344="","",$H344),IF(INDEX(職員マスタ!$B$6:$B$405,$AP344)="",$H344,INDEX(職員マスタ!$B$6:$B$405,$AP344)))</f>
        <v/>
      </c>
      <c r="Y344" s="14">
        <f>IF($AP344="",IF($B344="","",$R344),IF(INDEX(職員マスタ!$C$6:$C$405,$AP344)="",$R344,INDEX(職員マスタ!$C$6:$C$405,$AP344)))</f>
        <v/>
      </c>
      <c r="Z344" s="14">
        <f>IF($AQ344="","","R"&amp;$C344&amp;"."&amp;$D344)</f>
        <v/>
      </c>
      <c r="AA344" s="15">
        <f>IF(IF($AP344="",FALSE,INDEX(職員マスタ!$K$6:$K$405,$AP344)&lt;&gt;""),INDEX(職員マスタ!$K$6:$K$405,$AP344),IF(N($W344)&gt;0,$W344,""))</f>
        <v/>
      </c>
      <c r="AB344" s="14">
        <f>IF(OR($E344="",$AA344=""),"",IF($E344&gt;=$AA344,"×",IF($E344&gt;=$AA344*設定!$C$5,"△","○")))</f>
        <v/>
      </c>
      <c r="AC344" s="15">
        <f>IF($AB344="","",IF($AB344="×",0,IF($AB344="○",ROUNDDOWN($E344*設定!$C$4,0),ROUNDDOWN($E344*ROUND((9*$AA344-9*$E344)/(10*$E344),4),0))))</f>
        <v/>
      </c>
      <c r="AD344" s="13" t="n"/>
      <c r="AE344" s="15">
        <f>IF($B344="","",IF($AD344&lt;&gt;"",$AD344,IF($AC344="","",IF($AC344&lt;=設定!$C$3,0,$AC344))))</f>
        <v/>
      </c>
      <c r="AF344" s="14">
        <f>IF($B344="","",IF(AND($AG344&lt;&gt;"",$AI344="",$AL344=""),"保留中",IF($AL344&lt;&gt;"",IF(N($AE344)&gt;0,"支給済","不支給"),IF($AE344="","要確認",IF($AE344=0,"不支給","未処理")))))</f>
        <v/>
      </c>
      <c r="AG344" s="12" t="n"/>
      <c r="AH344" s="11" t="n"/>
      <c r="AI344" s="11" t="n"/>
      <c r="AJ344" s="11" t="n"/>
      <c r="AK344" s="14">
        <f>IF(AND($AF344="保留中",$AH344&lt;&gt;""),TODAY()-$AH344,"")</f>
        <v/>
      </c>
      <c r="AL344" s="12" t="inlineStr">
        <is>
          <t>R8.5</t>
        </is>
      </c>
      <c r="AM344" s="14">
        <f>IF($B344="","",IF($AQ344="","対象年月が未入力／","")&amp;IF($B344="","",IF($AP344="","職員マスタに未登録の職員番号／",IF($AA344="","標準報酬月額が未登録／","")&amp;IF(AND($AQ344&lt;&gt;"",OR(AND(INDEX(職員マスタ!$G$6:$G$405,$AP344)&lt;&gt;"",INDEX(職員マスタ!$G$6:$G$405,$AP344)&gt;EOMONTH($AQ344,0)),AND(INDEX(職員マスタ!$H$6:$H$405,$AP344)&lt;&gt;"",INDEX(職員マスタ!$H$6:$H$405,$AP344)&lt;$AQ344))),"対象月が時短期間外／","")&amp;IF(AND(INDEX(職員マスタ!$K$6:$K$405,$AP344)&lt;&gt;"",N($W344)&gt;0,INDEX(職員マスタ!$K$6:$K$405,$AP344)&lt;&gt;$W344),"標準報酬月額が申請書と相違（台帳"&amp;TEXT(INDEX(職員マスタ!$K$6:$K$405,$AP344),"#,##0")&amp;"円／申請書"&amp;TEXT($W344,"#,##0")&amp;"円）／","")&amp;IF(AND(INDEX(職員マスタ!$F$6:$F$405,$AP344)&lt;&gt;"",$AQ344&lt;&gt;"",INDEX(職員マスタ!$F$6:$F$405,$AP344)&lt;$AQ344),"対象月に子が2歳到達済／","")&amp;IF(AND($H344&lt;&gt;"",INDEX(職員マスタ!$B$6:$B$405,$AP344)&lt;&gt;"",SUBSTITUTE(SUBSTITUTE($H344," ","")," ","")&lt;&gt;SUBSTITUTE(SUBSTITUTE(INDEX(職員マスタ!$B$6:$B$405,$AP344)," ","")," ","")),"氏名がマスタと相違／","")&amp;IF(AND($Q344&lt;&gt;"",INDEX(職員マスタ!$E$6:$E$405,$AP344)&lt;&gt;"",$Q344&lt;&gt;INDEX(職員マスタ!$E$6:$E$405,$AP344)),"子の生年月日がマスタと相違／","")&amp;IF(AND($L344&lt;&gt;"",INDEX(職員マスタ!$G$6:$G$405,$AP344)&lt;&gt;"",$L344&lt;&gt;INDEX(職員マスタ!$G$6:$G$405,$AP344)),"時短開始日がマスタと相違／","")&amp;IF(AND($M344&lt;&gt;"",INDEX(職員マスタ!$H$6:$H$405,$AP344)&lt;&gt;"",$M344&lt;&gt;INDEX(職員マスタ!$H$6:$H$405,$AP344)),"時短終了日がマスタと相違／","")))&amp;IF(AND($B344&lt;&gt;"",$E344=""),"報酬額が未入力／","")&amp;IF(N($U344)&gt;0,"申請書に入力エラーが残っています／","")&amp;IF(AND($B344&lt;&gt;"",$AQ344&lt;&gt;""),IF(COUNTIFS($B$6:$B$3005,$B344,$C$6:$C$3005,$C344,$D$6:$D$3005,$D344)&gt;1,"同じ月の請求が重複しています／",""),"")&amp;IF(AND(N($E344)&gt;0,$AB344&lt;&gt;"",$AB344&lt;&gt;"×",$AE344=0,$AD344=""),"計算額が下限以下のため不支給／",""))</f>
        <v/>
      </c>
      <c r="AN344" s="12" t="n"/>
      <c r="AO344" s="14">
        <f>IF($AF344="保留中",COUNTIF($AF$6:$AF344,"保留中"),"")</f>
        <v/>
      </c>
      <c r="AP344" s="14">
        <f>IF($AQ344="","",IF(SUMPRODUCT(MAX((職員マスタ!$A$6:$A$405=$B344)*(((職員マスタ!$G$6:$G$405="")+(職員マスタ!$G$6:$G$405&lt;=EOMONTH($AQ344,0)))&gt;0)*(((職員マスタ!$H$6:$H$405="")+(職員マスタ!$H$6:$H$405&gt;=$AQ344))&gt;0)*(ROW(職員マスタ!$A$6:$A$405)-5)))&gt;0,SUMPRODUCT(MAX((職員マスタ!$A$6:$A$405=$B344)*(((職員マスタ!$G$6:$G$405="")+(職員マスタ!$G$6:$G$405&lt;=EOMONTH($AQ344,0)))&gt;0)*(((職員マスタ!$H$6:$H$405="")+(職員マスタ!$H$6:$H$405&gt;=$AQ344))&gt;0)*(ROW(職員マスタ!$A$6:$A$405)-5))),IFERROR(MATCH($B344,職員マスタ!$A$6:$A$405,0),"")))</f>
        <v/>
      </c>
      <c r="AQ344" s="16">
        <f>IF(OR($B344="",$C344="",$D344=""),"",DATE($C344+2018,$D344,1))</f>
        <v/>
      </c>
    </row>
    <row r="345">
      <c r="A345" s="11" t="n"/>
      <c r="B345" s="12" t="n">
        <v>6702674</v>
      </c>
      <c r="C345" s="12" t="n">
        <v>8</v>
      </c>
      <c r="D345" s="12" t="n">
        <v>2</v>
      </c>
      <c r="E345" s="13" t="n">
        <v>192448</v>
      </c>
      <c r="F345" s="12" t="n"/>
      <c r="G345" s="13" t="n"/>
      <c r="H345" s="12" t="n"/>
      <c r="I345" s="12" t="n"/>
      <c r="J345" s="12" t="n"/>
      <c r="K345" s="12" t="n"/>
      <c r="L345" s="11" t="n"/>
      <c r="M345" s="11" t="n"/>
      <c r="N345" s="11" t="n"/>
      <c r="O345" s="11" t="n"/>
      <c r="P345" s="12" t="n"/>
      <c r="Q345" s="11" t="n"/>
      <c r="R345" s="12" t="n"/>
      <c r="S345" s="11" t="n"/>
      <c r="T345" s="12" t="n"/>
      <c r="U345" s="12" t="n"/>
      <c r="V345" s="12" t="n"/>
      <c r="W345" s="13" t="n"/>
      <c r="X345" s="14">
        <f>IF($AP345="",IF($B345="","",$H345),IF(INDEX(職員マスタ!$B$6:$B$405,$AP345)="",$H345,INDEX(職員マスタ!$B$6:$B$405,$AP345)))</f>
        <v/>
      </c>
      <c r="Y345" s="14">
        <f>IF($AP345="",IF($B345="","",$R345),IF(INDEX(職員マスタ!$C$6:$C$405,$AP345)="",$R345,INDEX(職員マスタ!$C$6:$C$405,$AP345)))</f>
        <v/>
      </c>
      <c r="Z345" s="14">
        <f>IF($AQ345="","","R"&amp;$C345&amp;"."&amp;$D345)</f>
        <v/>
      </c>
      <c r="AA345" s="15">
        <f>IF(IF($AP345="",FALSE,INDEX(職員マスタ!$K$6:$K$405,$AP345)&lt;&gt;""),INDEX(職員マスタ!$K$6:$K$405,$AP345),IF(N($W345)&gt;0,$W345,""))</f>
        <v/>
      </c>
      <c r="AB345" s="14">
        <f>IF(OR($E345="",$AA345=""),"",IF($E345&gt;=$AA345,"×",IF($E345&gt;=$AA345*設定!$C$5,"△","○")))</f>
        <v/>
      </c>
      <c r="AC345" s="15">
        <f>IF($AB345="","",IF($AB345="×",0,IF($AB345="○",ROUNDDOWN($E345*設定!$C$4,0),ROUNDDOWN($E345*ROUND((9*$AA345-9*$E345)/(10*$E345),4),0))))</f>
        <v/>
      </c>
      <c r="AD345" s="13" t="n"/>
      <c r="AE345" s="15">
        <f>IF($B345="","",IF($AD345&lt;&gt;"",$AD345,IF($AC345="","",IF($AC345&lt;=設定!$C$3,0,$AC345))))</f>
        <v/>
      </c>
      <c r="AF345" s="14">
        <f>IF($B345="","",IF(AND($AG345&lt;&gt;"",$AI345="",$AL345=""),"保留中",IF($AL345&lt;&gt;"",IF(N($AE345)&gt;0,"支給済","不支給"),IF($AE345="","要確認",IF($AE345=0,"不支給","未処理")))))</f>
        <v/>
      </c>
      <c r="AG345" s="12" t="n"/>
      <c r="AH345" s="11" t="n"/>
      <c r="AI345" s="11" t="n"/>
      <c r="AJ345" s="11" t="n"/>
      <c r="AK345" s="14">
        <f>IF(AND($AF345="保留中",$AH345&lt;&gt;""),TODAY()-$AH345,"")</f>
        <v/>
      </c>
      <c r="AL345" s="12" t="inlineStr">
        <is>
          <t>R8.5</t>
        </is>
      </c>
      <c r="AM345" s="14">
        <f>IF($B345="","",IF($AQ345="","対象年月が未入力／","")&amp;IF($B345="","",IF($AP345="","職員マスタに未登録の職員番号／",IF($AA345="","標準報酬月額が未登録／","")&amp;IF(AND($AQ345&lt;&gt;"",OR(AND(INDEX(職員マスタ!$G$6:$G$405,$AP345)&lt;&gt;"",INDEX(職員マスタ!$G$6:$G$405,$AP345)&gt;EOMONTH($AQ345,0)),AND(INDEX(職員マスタ!$H$6:$H$405,$AP345)&lt;&gt;"",INDEX(職員マスタ!$H$6:$H$405,$AP345)&lt;$AQ345))),"対象月が時短期間外／","")&amp;IF(AND(INDEX(職員マスタ!$K$6:$K$405,$AP345)&lt;&gt;"",N($W345)&gt;0,INDEX(職員マスタ!$K$6:$K$405,$AP345)&lt;&gt;$W345),"標準報酬月額が申請書と相違（台帳"&amp;TEXT(INDEX(職員マスタ!$K$6:$K$405,$AP345),"#,##0")&amp;"円／申請書"&amp;TEXT($W345,"#,##0")&amp;"円）／","")&amp;IF(AND(INDEX(職員マスタ!$F$6:$F$405,$AP345)&lt;&gt;"",$AQ345&lt;&gt;"",INDEX(職員マスタ!$F$6:$F$405,$AP345)&lt;$AQ345),"対象月に子が2歳到達済／","")&amp;IF(AND($H345&lt;&gt;"",INDEX(職員マスタ!$B$6:$B$405,$AP345)&lt;&gt;"",SUBSTITUTE(SUBSTITUTE($H345," ","")," ","")&lt;&gt;SUBSTITUTE(SUBSTITUTE(INDEX(職員マスタ!$B$6:$B$405,$AP345)," ","")," ","")),"氏名がマスタと相違／","")&amp;IF(AND($Q345&lt;&gt;"",INDEX(職員マスタ!$E$6:$E$405,$AP345)&lt;&gt;"",$Q345&lt;&gt;INDEX(職員マスタ!$E$6:$E$405,$AP345)),"子の生年月日がマスタと相違／","")&amp;IF(AND($L345&lt;&gt;"",INDEX(職員マスタ!$G$6:$G$405,$AP345)&lt;&gt;"",$L345&lt;&gt;INDEX(職員マスタ!$G$6:$G$405,$AP345)),"時短開始日がマスタと相違／","")&amp;IF(AND($M345&lt;&gt;"",INDEX(職員マスタ!$H$6:$H$405,$AP345)&lt;&gt;"",$M345&lt;&gt;INDEX(職員マスタ!$H$6:$H$405,$AP345)),"時短終了日がマスタと相違／","")))&amp;IF(AND($B345&lt;&gt;"",$E345=""),"報酬額が未入力／","")&amp;IF(N($U345)&gt;0,"申請書に入力エラーが残っています／","")&amp;IF(AND($B345&lt;&gt;"",$AQ345&lt;&gt;""),IF(COUNTIFS($B$6:$B$3005,$B345,$C$6:$C$3005,$C345,$D$6:$D$3005,$D345)&gt;1,"同じ月の請求が重複しています／",""),"")&amp;IF(AND(N($E345)&gt;0,$AB345&lt;&gt;"",$AB345&lt;&gt;"×",$AE345=0,$AD345=""),"計算額が下限以下のため不支給／",""))</f>
        <v/>
      </c>
      <c r="AN345" s="12" t="n"/>
      <c r="AO345" s="14">
        <f>IF($AF345="保留中",COUNTIF($AF$6:$AF345,"保留中"),"")</f>
        <v/>
      </c>
      <c r="AP345" s="14">
        <f>IF($AQ345="","",IF(SUMPRODUCT(MAX((職員マスタ!$A$6:$A$405=$B345)*(((職員マスタ!$G$6:$G$405="")+(職員マスタ!$G$6:$G$405&lt;=EOMONTH($AQ345,0)))&gt;0)*(((職員マスタ!$H$6:$H$405="")+(職員マスタ!$H$6:$H$405&gt;=$AQ345))&gt;0)*(ROW(職員マスタ!$A$6:$A$405)-5)))&gt;0,SUMPRODUCT(MAX((職員マスタ!$A$6:$A$405=$B345)*(((職員マスタ!$G$6:$G$405="")+(職員マスタ!$G$6:$G$405&lt;=EOMONTH($AQ345,0)))&gt;0)*(((職員マスタ!$H$6:$H$405="")+(職員マスタ!$H$6:$H$405&gt;=$AQ345))&gt;0)*(ROW(職員マスタ!$A$6:$A$405)-5))),IFERROR(MATCH($B345,職員マスタ!$A$6:$A$405,0),"")))</f>
        <v/>
      </c>
      <c r="AQ345" s="16">
        <f>IF(OR($B345="",$C345="",$D345=""),"",DATE($C345+2018,$D345,1))</f>
        <v/>
      </c>
    </row>
    <row r="346">
      <c r="A346" s="11" t="n"/>
      <c r="B346" s="12" t="n">
        <v>6702757</v>
      </c>
      <c r="C346" s="12" t="n">
        <v>8</v>
      </c>
      <c r="D346" s="12" t="n">
        <v>5</v>
      </c>
      <c r="E346" s="13" t="n">
        <v>194409</v>
      </c>
      <c r="F346" s="12" t="n"/>
      <c r="G346" s="13" t="n"/>
      <c r="H346" s="12" t="n"/>
      <c r="I346" s="12" t="n"/>
      <c r="J346" s="12" t="n"/>
      <c r="K346" s="12" t="n"/>
      <c r="L346" s="11" t="n"/>
      <c r="M346" s="11" t="n"/>
      <c r="N346" s="11" t="n"/>
      <c r="O346" s="11" t="n"/>
      <c r="P346" s="12" t="n"/>
      <c r="Q346" s="11" t="n"/>
      <c r="R346" s="12" t="n"/>
      <c r="S346" s="11" t="n"/>
      <c r="T346" s="12" t="n"/>
      <c r="U346" s="12" t="n"/>
      <c r="V346" s="12" t="n"/>
      <c r="W346" s="13" t="n"/>
      <c r="X346" s="14">
        <f>IF($AP346="",IF($B346="","",$H346),IF(INDEX(職員マスタ!$B$6:$B$405,$AP346)="",$H346,INDEX(職員マスタ!$B$6:$B$405,$AP346)))</f>
        <v/>
      </c>
      <c r="Y346" s="14">
        <f>IF($AP346="",IF($B346="","",$R346),IF(INDEX(職員マスタ!$C$6:$C$405,$AP346)="",$R346,INDEX(職員マスタ!$C$6:$C$405,$AP346)))</f>
        <v/>
      </c>
      <c r="Z346" s="14">
        <f>IF($AQ346="","","R"&amp;$C346&amp;"."&amp;$D346)</f>
        <v/>
      </c>
      <c r="AA346" s="15">
        <f>IF(IF($AP346="",FALSE,INDEX(職員マスタ!$K$6:$K$405,$AP346)&lt;&gt;""),INDEX(職員マスタ!$K$6:$K$405,$AP346),IF(N($W346)&gt;0,$W346,""))</f>
        <v/>
      </c>
      <c r="AB346" s="14">
        <f>IF(OR($E346="",$AA346=""),"",IF($E346&gt;=$AA346,"×",IF($E346&gt;=$AA346*設定!$C$5,"△","○")))</f>
        <v/>
      </c>
      <c r="AC346" s="15">
        <f>IF($AB346="","",IF($AB346="×",0,IF($AB346="○",ROUNDDOWN($E346*設定!$C$4,0),ROUNDDOWN($E346*ROUND((9*$AA346-9*$E346)/(10*$E346),4),0))))</f>
        <v/>
      </c>
      <c r="AD346" s="13" t="n"/>
      <c r="AE346" s="15">
        <f>IF($B346="","",IF($AD346&lt;&gt;"",$AD346,IF($AC346="","",IF($AC346&lt;=設定!$C$3,0,$AC346))))</f>
        <v/>
      </c>
      <c r="AF346" s="14">
        <f>IF($B346="","",IF(AND($AG346&lt;&gt;"",$AI346="",$AL346=""),"保留中",IF($AL346&lt;&gt;"",IF(N($AE346)&gt;0,"支給済","不支給"),IF($AE346="","要確認",IF($AE346=0,"不支給","未処理")))))</f>
        <v/>
      </c>
      <c r="AG346" s="12" t="n"/>
      <c r="AH346" s="11" t="n"/>
      <c r="AI346" s="11" t="n"/>
      <c r="AJ346" s="11" t="n"/>
      <c r="AK346" s="14">
        <f>IF(AND($AF346="保留中",$AH346&lt;&gt;""),TODAY()-$AH346,"")</f>
        <v/>
      </c>
      <c r="AL346" s="12" t="inlineStr">
        <is>
          <t>R8.10</t>
        </is>
      </c>
      <c r="AM346" s="14">
        <f>IF($B346="","",IF($AQ346="","対象年月が未入力／","")&amp;IF($B346="","",IF($AP346="","職員マスタに未登録の職員番号／",IF($AA346="","標準報酬月額が未登録／","")&amp;IF(AND($AQ346&lt;&gt;"",OR(AND(INDEX(職員マスタ!$G$6:$G$405,$AP346)&lt;&gt;"",INDEX(職員マスタ!$G$6:$G$405,$AP346)&gt;EOMONTH($AQ346,0)),AND(INDEX(職員マスタ!$H$6:$H$405,$AP346)&lt;&gt;"",INDEX(職員マスタ!$H$6:$H$405,$AP346)&lt;$AQ346))),"対象月が時短期間外／","")&amp;IF(AND(INDEX(職員マスタ!$K$6:$K$405,$AP346)&lt;&gt;"",N($W346)&gt;0,INDEX(職員マスタ!$K$6:$K$405,$AP346)&lt;&gt;$W346),"標準報酬月額が申請書と相違（台帳"&amp;TEXT(INDEX(職員マスタ!$K$6:$K$405,$AP346),"#,##0")&amp;"円／申請書"&amp;TEXT($W346,"#,##0")&amp;"円）／","")&amp;IF(AND(INDEX(職員マスタ!$F$6:$F$405,$AP346)&lt;&gt;"",$AQ346&lt;&gt;"",INDEX(職員マスタ!$F$6:$F$405,$AP346)&lt;$AQ346),"対象月に子が2歳到達済／","")&amp;IF(AND($H346&lt;&gt;"",INDEX(職員マスタ!$B$6:$B$405,$AP346)&lt;&gt;"",SUBSTITUTE(SUBSTITUTE($H346," ","")," ","")&lt;&gt;SUBSTITUTE(SUBSTITUTE(INDEX(職員マスタ!$B$6:$B$405,$AP346)," ","")," ","")),"氏名がマスタと相違／","")&amp;IF(AND($Q346&lt;&gt;"",INDEX(職員マスタ!$E$6:$E$405,$AP346)&lt;&gt;"",$Q346&lt;&gt;INDEX(職員マスタ!$E$6:$E$405,$AP346)),"子の生年月日がマスタと相違／","")&amp;IF(AND($L346&lt;&gt;"",INDEX(職員マスタ!$G$6:$G$405,$AP346)&lt;&gt;"",$L346&lt;&gt;INDEX(職員マスタ!$G$6:$G$405,$AP346)),"時短開始日がマスタと相違／","")&amp;IF(AND($M346&lt;&gt;"",INDEX(職員マスタ!$H$6:$H$405,$AP346)&lt;&gt;"",$M346&lt;&gt;INDEX(職員マスタ!$H$6:$H$405,$AP346)),"時短終了日がマスタと相違／","")))&amp;IF(AND($B346&lt;&gt;"",$E346=""),"報酬額が未入力／","")&amp;IF(N($U346)&gt;0,"申請書に入力エラーが残っています／","")&amp;IF(AND($B346&lt;&gt;"",$AQ346&lt;&gt;""),IF(COUNTIFS($B$6:$B$3005,$B346,$C$6:$C$3005,$C346,$D$6:$D$3005,$D346)&gt;1,"同じ月の請求が重複しています／",""),"")&amp;IF(AND(N($E346)&gt;0,$AB346&lt;&gt;"",$AB346&lt;&gt;"×",$AE346=0,$AD346=""),"計算額が下限以下のため不支給／",""))</f>
        <v/>
      </c>
      <c r="AN346" s="12" t="n"/>
      <c r="AO346" s="14">
        <f>IF($AF346="保留中",COUNTIF($AF$6:$AF346,"保留中"),"")</f>
        <v/>
      </c>
      <c r="AP346" s="14">
        <f>IF($AQ346="","",IF(SUMPRODUCT(MAX((職員マスタ!$A$6:$A$405=$B346)*(((職員マスタ!$G$6:$G$405="")+(職員マスタ!$G$6:$G$405&lt;=EOMONTH($AQ346,0)))&gt;0)*(((職員マスタ!$H$6:$H$405="")+(職員マスタ!$H$6:$H$405&gt;=$AQ346))&gt;0)*(ROW(職員マスタ!$A$6:$A$405)-5)))&gt;0,SUMPRODUCT(MAX((職員マスタ!$A$6:$A$405=$B346)*(((職員マスタ!$G$6:$G$405="")+(職員マスタ!$G$6:$G$405&lt;=EOMONTH($AQ346,0)))&gt;0)*(((職員マスタ!$H$6:$H$405="")+(職員マスタ!$H$6:$H$405&gt;=$AQ346))&gt;0)*(ROW(職員マスタ!$A$6:$A$405)-5))),IFERROR(MATCH($B346,職員マスタ!$A$6:$A$405,0),"")))</f>
        <v/>
      </c>
      <c r="AQ346" s="16">
        <f>IF(OR($B346="",$C346="",$D346=""),"",DATE($C346+2018,$D346,1))</f>
        <v/>
      </c>
    </row>
    <row r="347">
      <c r="A347" s="11" t="n"/>
      <c r="B347" s="12" t="n">
        <v>6702757</v>
      </c>
      <c r="C347" s="12" t="n">
        <v>8</v>
      </c>
      <c r="D347" s="12" t="n">
        <v>6</v>
      </c>
      <c r="E347" s="13" t="n">
        <v>202493</v>
      </c>
      <c r="F347" s="12" t="n"/>
      <c r="G347" s="13" t="n"/>
      <c r="H347" s="12" t="n"/>
      <c r="I347" s="12" t="n"/>
      <c r="J347" s="12" t="n"/>
      <c r="K347" s="12" t="n"/>
      <c r="L347" s="11" t="n"/>
      <c r="M347" s="11" t="n"/>
      <c r="N347" s="11" t="n"/>
      <c r="O347" s="11" t="n"/>
      <c r="P347" s="12" t="n"/>
      <c r="Q347" s="11" t="n"/>
      <c r="R347" s="12" t="n"/>
      <c r="S347" s="11" t="n"/>
      <c r="T347" s="12" t="n"/>
      <c r="U347" s="12" t="n"/>
      <c r="V347" s="12" t="n"/>
      <c r="W347" s="13" t="n"/>
      <c r="X347" s="14">
        <f>IF($AP347="",IF($B347="","",$H347),IF(INDEX(職員マスタ!$B$6:$B$405,$AP347)="",$H347,INDEX(職員マスタ!$B$6:$B$405,$AP347)))</f>
        <v/>
      </c>
      <c r="Y347" s="14">
        <f>IF($AP347="",IF($B347="","",$R347),IF(INDEX(職員マスタ!$C$6:$C$405,$AP347)="",$R347,INDEX(職員マスタ!$C$6:$C$405,$AP347)))</f>
        <v/>
      </c>
      <c r="Z347" s="14">
        <f>IF($AQ347="","","R"&amp;$C347&amp;"."&amp;$D347)</f>
        <v/>
      </c>
      <c r="AA347" s="15">
        <f>IF(IF($AP347="",FALSE,INDEX(職員マスタ!$K$6:$K$405,$AP347)&lt;&gt;""),INDEX(職員マスタ!$K$6:$K$405,$AP347),IF(N($W347)&gt;0,$W347,""))</f>
        <v/>
      </c>
      <c r="AB347" s="14">
        <f>IF(OR($E347="",$AA347=""),"",IF($E347&gt;=$AA347,"×",IF($E347&gt;=$AA347*設定!$C$5,"△","○")))</f>
        <v/>
      </c>
      <c r="AC347" s="15">
        <f>IF($AB347="","",IF($AB347="×",0,IF($AB347="○",ROUNDDOWN($E347*設定!$C$4,0),ROUNDDOWN($E347*ROUND((9*$AA347-9*$E347)/(10*$E347),4),0))))</f>
        <v/>
      </c>
      <c r="AD347" s="13" t="n"/>
      <c r="AE347" s="15">
        <f>IF($B347="","",IF($AD347&lt;&gt;"",$AD347,IF($AC347="","",IF($AC347&lt;=設定!$C$3,0,$AC347))))</f>
        <v/>
      </c>
      <c r="AF347" s="14">
        <f>IF($B347="","",IF(AND($AG347&lt;&gt;"",$AI347="",$AL347=""),"保留中",IF($AL347&lt;&gt;"",IF(N($AE347)&gt;0,"支給済","不支給"),IF($AE347="","要確認",IF($AE347=0,"不支給","未処理")))))</f>
        <v/>
      </c>
      <c r="AG347" s="12" t="n"/>
      <c r="AH347" s="11" t="n"/>
      <c r="AI347" s="11" t="n"/>
      <c r="AJ347" s="11" t="n"/>
      <c r="AK347" s="14">
        <f>IF(AND($AF347="保留中",$AH347&lt;&gt;""),TODAY()-$AH347,"")</f>
        <v/>
      </c>
      <c r="AL347" s="12" t="inlineStr">
        <is>
          <t>R8.10</t>
        </is>
      </c>
      <c r="AM347" s="14">
        <f>IF($B347="","",IF($AQ347="","対象年月が未入力／","")&amp;IF($B347="","",IF($AP347="","職員マスタに未登録の職員番号／",IF($AA347="","標準報酬月額が未登録／","")&amp;IF(AND($AQ347&lt;&gt;"",OR(AND(INDEX(職員マスタ!$G$6:$G$405,$AP347)&lt;&gt;"",INDEX(職員マスタ!$G$6:$G$405,$AP347)&gt;EOMONTH($AQ347,0)),AND(INDEX(職員マスタ!$H$6:$H$405,$AP347)&lt;&gt;"",INDEX(職員マスタ!$H$6:$H$405,$AP347)&lt;$AQ347))),"対象月が時短期間外／","")&amp;IF(AND(INDEX(職員マスタ!$K$6:$K$405,$AP347)&lt;&gt;"",N($W347)&gt;0,INDEX(職員マスタ!$K$6:$K$405,$AP347)&lt;&gt;$W347),"標準報酬月額が申請書と相違（台帳"&amp;TEXT(INDEX(職員マスタ!$K$6:$K$405,$AP347),"#,##0")&amp;"円／申請書"&amp;TEXT($W347,"#,##0")&amp;"円）／","")&amp;IF(AND(INDEX(職員マスタ!$F$6:$F$405,$AP347)&lt;&gt;"",$AQ347&lt;&gt;"",INDEX(職員マスタ!$F$6:$F$405,$AP347)&lt;$AQ347),"対象月に子が2歳到達済／","")&amp;IF(AND($H347&lt;&gt;"",INDEX(職員マスタ!$B$6:$B$405,$AP347)&lt;&gt;"",SUBSTITUTE(SUBSTITUTE($H347," ","")," ","")&lt;&gt;SUBSTITUTE(SUBSTITUTE(INDEX(職員マスタ!$B$6:$B$405,$AP347)," ","")," ","")),"氏名がマスタと相違／","")&amp;IF(AND($Q347&lt;&gt;"",INDEX(職員マスタ!$E$6:$E$405,$AP347)&lt;&gt;"",$Q347&lt;&gt;INDEX(職員マスタ!$E$6:$E$405,$AP347)),"子の生年月日がマスタと相違／","")&amp;IF(AND($L347&lt;&gt;"",INDEX(職員マスタ!$G$6:$G$405,$AP347)&lt;&gt;"",$L347&lt;&gt;INDEX(職員マスタ!$G$6:$G$405,$AP347)),"時短開始日がマスタと相違／","")&amp;IF(AND($M347&lt;&gt;"",INDEX(職員マスタ!$H$6:$H$405,$AP347)&lt;&gt;"",$M347&lt;&gt;INDEX(職員マスタ!$H$6:$H$405,$AP347)),"時短終了日がマスタと相違／","")))&amp;IF(AND($B347&lt;&gt;"",$E347=""),"報酬額が未入力／","")&amp;IF(N($U347)&gt;0,"申請書に入力エラーが残っています／","")&amp;IF(AND($B347&lt;&gt;"",$AQ347&lt;&gt;""),IF(COUNTIFS($B$6:$B$3005,$B347,$C$6:$C$3005,$C347,$D$6:$D$3005,$D347)&gt;1,"同じ月の請求が重複しています／",""),"")&amp;IF(AND(N($E347)&gt;0,$AB347&lt;&gt;"",$AB347&lt;&gt;"×",$AE347=0,$AD347=""),"計算額が下限以下のため不支給／",""))</f>
        <v/>
      </c>
      <c r="AN347" s="12" t="n"/>
      <c r="AO347" s="14">
        <f>IF($AF347="保留中",COUNTIF($AF$6:$AF347,"保留中"),"")</f>
        <v/>
      </c>
      <c r="AP347" s="14">
        <f>IF($AQ347="","",IF(SUMPRODUCT(MAX((職員マスタ!$A$6:$A$405=$B347)*(((職員マスタ!$G$6:$G$405="")+(職員マスタ!$G$6:$G$405&lt;=EOMONTH($AQ347,0)))&gt;0)*(((職員マスタ!$H$6:$H$405="")+(職員マスタ!$H$6:$H$405&gt;=$AQ347))&gt;0)*(ROW(職員マスタ!$A$6:$A$405)-5)))&gt;0,SUMPRODUCT(MAX((職員マスタ!$A$6:$A$405=$B347)*(((職員マスタ!$G$6:$G$405="")+(職員マスタ!$G$6:$G$405&lt;=EOMONTH($AQ347,0)))&gt;0)*(((職員マスタ!$H$6:$H$405="")+(職員マスタ!$H$6:$H$405&gt;=$AQ347))&gt;0)*(ROW(職員マスタ!$A$6:$A$405)-5))),IFERROR(MATCH($B347,職員マスタ!$A$6:$A$405,0),"")))</f>
        <v/>
      </c>
      <c r="AQ347" s="16">
        <f>IF(OR($B347="",$C347="",$D347=""),"",DATE($C347+2018,$D347,1))</f>
        <v/>
      </c>
    </row>
    <row r="348">
      <c r="A348" s="11" t="n"/>
      <c r="B348" s="12" t="n">
        <v>6702757</v>
      </c>
      <c r="C348" s="12" t="n">
        <v>8</v>
      </c>
      <c r="D348" s="12" t="n">
        <v>7</v>
      </c>
      <c r="E348" s="13" t="n">
        <v>198451</v>
      </c>
      <c r="F348" s="12" t="n"/>
      <c r="G348" s="13" t="n"/>
      <c r="H348" s="12" t="n"/>
      <c r="I348" s="12" t="n"/>
      <c r="J348" s="12" t="n"/>
      <c r="K348" s="12" t="n"/>
      <c r="L348" s="11" t="n"/>
      <c r="M348" s="11" t="n"/>
      <c r="N348" s="11" t="n"/>
      <c r="O348" s="11" t="n"/>
      <c r="P348" s="12" t="n"/>
      <c r="Q348" s="11" t="n"/>
      <c r="R348" s="12" t="n"/>
      <c r="S348" s="11" t="n"/>
      <c r="T348" s="12" t="n"/>
      <c r="U348" s="12" t="n"/>
      <c r="V348" s="12" t="n"/>
      <c r="W348" s="13" t="n"/>
      <c r="X348" s="14">
        <f>IF($AP348="",IF($B348="","",$H348),IF(INDEX(職員マスタ!$B$6:$B$405,$AP348)="",$H348,INDEX(職員マスタ!$B$6:$B$405,$AP348)))</f>
        <v/>
      </c>
      <c r="Y348" s="14">
        <f>IF($AP348="",IF($B348="","",$R348),IF(INDEX(職員マスタ!$C$6:$C$405,$AP348)="",$R348,INDEX(職員マスタ!$C$6:$C$405,$AP348)))</f>
        <v/>
      </c>
      <c r="Z348" s="14">
        <f>IF($AQ348="","","R"&amp;$C348&amp;"."&amp;$D348)</f>
        <v/>
      </c>
      <c r="AA348" s="15">
        <f>IF(IF($AP348="",FALSE,INDEX(職員マスタ!$K$6:$K$405,$AP348)&lt;&gt;""),INDEX(職員マスタ!$K$6:$K$405,$AP348),IF(N($W348)&gt;0,$W348,""))</f>
        <v/>
      </c>
      <c r="AB348" s="14">
        <f>IF(OR($E348="",$AA348=""),"",IF($E348&gt;=$AA348,"×",IF($E348&gt;=$AA348*設定!$C$5,"△","○")))</f>
        <v/>
      </c>
      <c r="AC348" s="15">
        <f>IF($AB348="","",IF($AB348="×",0,IF($AB348="○",ROUNDDOWN($E348*設定!$C$4,0),ROUNDDOWN($E348*ROUND((9*$AA348-9*$E348)/(10*$E348),4),0))))</f>
        <v/>
      </c>
      <c r="AD348" s="13" t="n"/>
      <c r="AE348" s="15">
        <f>IF($B348="","",IF($AD348&lt;&gt;"",$AD348,IF($AC348="","",IF($AC348&lt;=設定!$C$3,0,$AC348))))</f>
        <v/>
      </c>
      <c r="AF348" s="14">
        <f>IF($B348="","",IF(AND($AG348&lt;&gt;"",$AI348="",$AL348=""),"保留中",IF($AL348&lt;&gt;"",IF(N($AE348)&gt;0,"支給済","不支給"),IF($AE348="","要確認",IF($AE348=0,"不支給","未処理")))))</f>
        <v/>
      </c>
      <c r="AG348" s="12" t="n"/>
      <c r="AH348" s="11" t="n"/>
      <c r="AI348" s="11" t="n"/>
      <c r="AJ348" s="11" t="n"/>
      <c r="AK348" s="14">
        <f>IF(AND($AF348="保留中",$AH348&lt;&gt;""),TODAY()-$AH348,"")</f>
        <v/>
      </c>
      <c r="AL348" s="12" t="inlineStr">
        <is>
          <t>R8.10</t>
        </is>
      </c>
      <c r="AM348" s="14">
        <f>IF($B348="","",IF($AQ348="","対象年月が未入力／","")&amp;IF($B348="","",IF($AP348="","職員マスタに未登録の職員番号／",IF($AA348="","標準報酬月額が未登録／","")&amp;IF(AND($AQ348&lt;&gt;"",OR(AND(INDEX(職員マスタ!$G$6:$G$405,$AP348)&lt;&gt;"",INDEX(職員マスタ!$G$6:$G$405,$AP348)&gt;EOMONTH($AQ348,0)),AND(INDEX(職員マスタ!$H$6:$H$405,$AP348)&lt;&gt;"",INDEX(職員マスタ!$H$6:$H$405,$AP348)&lt;$AQ348))),"対象月が時短期間外／","")&amp;IF(AND(INDEX(職員マスタ!$K$6:$K$405,$AP348)&lt;&gt;"",N($W348)&gt;0,INDEX(職員マスタ!$K$6:$K$405,$AP348)&lt;&gt;$W348),"標準報酬月額が申請書と相違（台帳"&amp;TEXT(INDEX(職員マスタ!$K$6:$K$405,$AP348),"#,##0")&amp;"円／申請書"&amp;TEXT($W348,"#,##0")&amp;"円）／","")&amp;IF(AND(INDEX(職員マスタ!$F$6:$F$405,$AP348)&lt;&gt;"",$AQ348&lt;&gt;"",INDEX(職員マスタ!$F$6:$F$405,$AP348)&lt;$AQ348),"対象月に子が2歳到達済／","")&amp;IF(AND($H348&lt;&gt;"",INDEX(職員マスタ!$B$6:$B$405,$AP348)&lt;&gt;"",SUBSTITUTE(SUBSTITUTE($H348," ","")," ","")&lt;&gt;SUBSTITUTE(SUBSTITUTE(INDEX(職員マスタ!$B$6:$B$405,$AP348)," ","")," ","")),"氏名がマスタと相違／","")&amp;IF(AND($Q348&lt;&gt;"",INDEX(職員マスタ!$E$6:$E$405,$AP348)&lt;&gt;"",$Q348&lt;&gt;INDEX(職員マスタ!$E$6:$E$405,$AP348)),"子の生年月日がマスタと相違／","")&amp;IF(AND($L348&lt;&gt;"",INDEX(職員マスタ!$G$6:$G$405,$AP348)&lt;&gt;"",$L348&lt;&gt;INDEX(職員マスタ!$G$6:$G$405,$AP348)),"時短開始日がマスタと相違／","")&amp;IF(AND($M348&lt;&gt;"",INDEX(職員マスタ!$H$6:$H$405,$AP348)&lt;&gt;"",$M348&lt;&gt;INDEX(職員マスタ!$H$6:$H$405,$AP348)),"時短終了日がマスタと相違／","")))&amp;IF(AND($B348&lt;&gt;"",$E348=""),"報酬額が未入力／","")&amp;IF(N($U348)&gt;0,"申請書に入力エラーが残っています／","")&amp;IF(AND($B348&lt;&gt;"",$AQ348&lt;&gt;""),IF(COUNTIFS($B$6:$B$3005,$B348,$C$6:$C$3005,$C348,$D$6:$D$3005,$D348)&gt;1,"同じ月の請求が重複しています／",""),"")&amp;IF(AND(N($E348)&gt;0,$AB348&lt;&gt;"",$AB348&lt;&gt;"×",$AE348=0,$AD348=""),"計算額が下限以下のため不支給／",""))</f>
        <v/>
      </c>
      <c r="AN348" s="12" t="n"/>
      <c r="AO348" s="14">
        <f>IF($AF348="保留中",COUNTIF($AF$6:$AF348,"保留中"),"")</f>
        <v/>
      </c>
      <c r="AP348" s="14">
        <f>IF($AQ348="","",IF(SUMPRODUCT(MAX((職員マスタ!$A$6:$A$405=$B348)*(((職員マスタ!$G$6:$G$405="")+(職員マスタ!$G$6:$G$405&lt;=EOMONTH($AQ348,0)))&gt;0)*(((職員マスタ!$H$6:$H$405="")+(職員マスタ!$H$6:$H$405&gt;=$AQ348))&gt;0)*(ROW(職員マスタ!$A$6:$A$405)-5)))&gt;0,SUMPRODUCT(MAX((職員マスタ!$A$6:$A$405=$B348)*(((職員マスタ!$G$6:$G$405="")+(職員マスタ!$G$6:$G$405&lt;=EOMONTH($AQ348,0)))&gt;0)*(((職員マスタ!$H$6:$H$405="")+(職員マスタ!$H$6:$H$405&gt;=$AQ348))&gt;0)*(ROW(職員マスタ!$A$6:$A$405)-5))),IFERROR(MATCH($B348,職員マスタ!$A$6:$A$405,0),"")))</f>
        <v/>
      </c>
      <c r="AQ348" s="16">
        <f>IF(OR($B348="",$C348="",$D348=""),"",DATE($C348+2018,$D348,1))</f>
        <v/>
      </c>
    </row>
    <row r="349">
      <c r="A349" s="11" t="n"/>
      <c r="B349" s="12" t="n">
        <v>6702872</v>
      </c>
      <c r="C349" s="12" t="n">
        <v>8</v>
      </c>
      <c r="D349" s="12" t="n">
        <v>5</v>
      </c>
      <c r="E349" s="13" t="n">
        <v>201310</v>
      </c>
      <c r="F349" s="12" t="n"/>
      <c r="G349" s="13" t="n"/>
      <c r="H349" s="12" t="n"/>
      <c r="I349" s="12" t="n"/>
      <c r="J349" s="12" t="n"/>
      <c r="K349" s="12" t="n"/>
      <c r="L349" s="11" t="n"/>
      <c r="M349" s="11" t="n"/>
      <c r="N349" s="11" t="n"/>
      <c r="O349" s="11" t="n"/>
      <c r="P349" s="12" t="n"/>
      <c r="Q349" s="11" t="n"/>
      <c r="R349" s="12" t="n"/>
      <c r="S349" s="11" t="n"/>
      <c r="T349" s="12" t="n"/>
      <c r="U349" s="12" t="n"/>
      <c r="V349" s="12" t="n"/>
      <c r="W349" s="13" t="n"/>
      <c r="X349" s="14">
        <f>IF($AP349="",IF($B349="","",$H349),IF(INDEX(職員マスタ!$B$6:$B$405,$AP349)="",$H349,INDEX(職員マスタ!$B$6:$B$405,$AP349)))</f>
        <v/>
      </c>
      <c r="Y349" s="14">
        <f>IF($AP349="",IF($B349="","",$R349),IF(INDEX(職員マスタ!$C$6:$C$405,$AP349)="",$R349,INDEX(職員マスタ!$C$6:$C$405,$AP349)))</f>
        <v/>
      </c>
      <c r="Z349" s="14">
        <f>IF($AQ349="","","R"&amp;$C349&amp;"."&amp;$D349)</f>
        <v/>
      </c>
      <c r="AA349" s="15">
        <f>IF(IF($AP349="",FALSE,INDEX(職員マスタ!$K$6:$K$405,$AP349)&lt;&gt;""),INDEX(職員マスタ!$K$6:$K$405,$AP349),IF(N($W349)&gt;0,$W349,""))</f>
        <v/>
      </c>
      <c r="AB349" s="14">
        <f>IF(OR($E349="",$AA349=""),"",IF($E349&gt;=$AA349,"×",IF($E349&gt;=$AA349*設定!$C$5,"△","○")))</f>
        <v/>
      </c>
      <c r="AC349" s="15">
        <f>IF($AB349="","",IF($AB349="×",0,IF($AB349="○",ROUNDDOWN($E349*設定!$C$4,0),ROUNDDOWN($E349*ROUND((9*$AA349-9*$E349)/(10*$E349),4),0))))</f>
        <v/>
      </c>
      <c r="AD349" s="13" t="n"/>
      <c r="AE349" s="15">
        <f>IF($B349="","",IF($AD349&lt;&gt;"",$AD349,IF($AC349="","",IF($AC349&lt;=設定!$C$3,0,$AC349))))</f>
        <v/>
      </c>
      <c r="AF349" s="14">
        <f>IF($B349="","",IF(AND($AG349&lt;&gt;"",$AI349="",$AL349=""),"保留中",IF($AL349&lt;&gt;"",IF(N($AE349)&gt;0,"支給済","不支給"),IF($AE349="","要確認",IF($AE349=0,"不支給","未処理")))))</f>
        <v/>
      </c>
      <c r="AG349" s="12" t="n"/>
      <c r="AH349" s="11" t="n"/>
      <c r="AI349" s="11" t="n"/>
      <c r="AJ349" s="11" t="n"/>
      <c r="AK349" s="14">
        <f>IF(AND($AF349="保留中",$AH349&lt;&gt;""),TODAY()-$AH349,"")</f>
        <v/>
      </c>
      <c r="AL349" s="12" t="inlineStr">
        <is>
          <t>R8.10</t>
        </is>
      </c>
      <c r="AM349" s="14">
        <f>IF($B349="","",IF($AQ349="","対象年月が未入力／","")&amp;IF($B349="","",IF($AP349="","職員マスタに未登録の職員番号／",IF($AA349="","標準報酬月額が未登録／","")&amp;IF(AND($AQ349&lt;&gt;"",OR(AND(INDEX(職員マスタ!$G$6:$G$405,$AP349)&lt;&gt;"",INDEX(職員マスタ!$G$6:$G$405,$AP349)&gt;EOMONTH($AQ349,0)),AND(INDEX(職員マスタ!$H$6:$H$405,$AP349)&lt;&gt;"",INDEX(職員マスタ!$H$6:$H$405,$AP349)&lt;$AQ349))),"対象月が時短期間外／","")&amp;IF(AND(INDEX(職員マスタ!$K$6:$K$405,$AP349)&lt;&gt;"",N($W349)&gt;0,INDEX(職員マスタ!$K$6:$K$405,$AP349)&lt;&gt;$W349),"標準報酬月額が申請書と相違（台帳"&amp;TEXT(INDEX(職員マスタ!$K$6:$K$405,$AP349),"#,##0")&amp;"円／申請書"&amp;TEXT($W349,"#,##0")&amp;"円）／","")&amp;IF(AND(INDEX(職員マスタ!$F$6:$F$405,$AP349)&lt;&gt;"",$AQ349&lt;&gt;"",INDEX(職員マスタ!$F$6:$F$405,$AP349)&lt;$AQ349),"対象月に子が2歳到達済／","")&amp;IF(AND($H349&lt;&gt;"",INDEX(職員マスタ!$B$6:$B$405,$AP349)&lt;&gt;"",SUBSTITUTE(SUBSTITUTE($H349," ","")," ","")&lt;&gt;SUBSTITUTE(SUBSTITUTE(INDEX(職員マスタ!$B$6:$B$405,$AP349)," ","")," ","")),"氏名がマスタと相違／","")&amp;IF(AND($Q349&lt;&gt;"",INDEX(職員マスタ!$E$6:$E$405,$AP349)&lt;&gt;"",$Q349&lt;&gt;INDEX(職員マスタ!$E$6:$E$405,$AP349)),"子の生年月日がマスタと相違／","")&amp;IF(AND($L349&lt;&gt;"",INDEX(職員マスタ!$G$6:$G$405,$AP349)&lt;&gt;"",$L349&lt;&gt;INDEX(職員マスタ!$G$6:$G$405,$AP349)),"時短開始日がマスタと相違／","")&amp;IF(AND($M349&lt;&gt;"",INDEX(職員マスタ!$H$6:$H$405,$AP349)&lt;&gt;"",$M349&lt;&gt;INDEX(職員マスタ!$H$6:$H$405,$AP349)),"時短終了日がマスタと相違／","")))&amp;IF(AND($B349&lt;&gt;"",$E349=""),"報酬額が未入力／","")&amp;IF(N($U349)&gt;0,"申請書に入力エラーが残っています／","")&amp;IF(AND($B349&lt;&gt;"",$AQ349&lt;&gt;""),IF(COUNTIFS($B$6:$B$3005,$B349,$C$6:$C$3005,$C349,$D$6:$D$3005,$D349)&gt;1,"同じ月の請求が重複しています／",""),"")&amp;IF(AND(N($E349)&gt;0,$AB349&lt;&gt;"",$AB349&lt;&gt;"×",$AE349=0,$AD349=""),"計算額が下限以下のため不支給／",""))</f>
        <v/>
      </c>
      <c r="AN349" s="12" t="n"/>
      <c r="AO349" s="14">
        <f>IF($AF349="保留中",COUNTIF($AF$6:$AF349,"保留中"),"")</f>
        <v/>
      </c>
      <c r="AP349" s="14">
        <f>IF($AQ349="","",IF(SUMPRODUCT(MAX((職員マスタ!$A$6:$A$405=$B349)*(((職員マスタ!$G$6:$G$405="")+(職員マスタ!$G$6:$G$405&lt;=EOMONTH($AQ349,0)))&gt;0)*(((職員マスタ!$H$6:$H$405="")+(職員マスタ!$H$6:$H$405&gt;=$AQ349))&gt;0)*(ROW(職員マスタ!$A$6:$A$405)-5)))&gt;0,SUMPRODUCT(MAX((職員マスタ!$A$6:$A$405=$B349)*(((職員マスタ!$G$6:$G$405="")+(職員マスタ!$G$6:$G$405&lt;=EOMONTH($AQ349,0)))&gt;0)*(((職員マスタ!$H$6:$H$405="")+(職員マスタ!$H$6:$H$405&gt;=$AQ349))&gt;0)*(ROW(職員マスタ!$A$6:$A$405)-5))),IFERROR(MATCH($B349,職員マスタ!$A$6:$A$405,0),"")))</f>
        <v/>
      </c>
      <c r="AQ349" s="16">
        <f>IF(OR($B349="",$C349="",$D349=""),"",DATE($C349+2018,$D349,1))</f>
        <v/>
      </c>
    </row>
    <row r="350">
      <c r="A350" s="11" t="n"/>
      <c r="B350" s="12" t="n">
        <v>6702906</v>
      </c>
      <c r="C350" s="12" t="n">
        <v>7</v>
      </c>
      <c r="D350" s="12" t="n">
        <v>7</v>
      </c>
      <c r="E350" s="13" t="n">
        <v>162630</v>
      </c>
      <c r="F350" s="12" t="n"/>
      <c r="G350" s="13" t="n"/>
      <c r="H350" s="12" t="n"/>
      <c r="I350" s="12" t="n"/>
      <c r="J350" s="12" t="n"/>
      <c r="K350" s="12" t="n"/>
      <c r="L350" s="11" t="n"/>
      <c r="M350" s="11" t="n"/>
      <c r="N350" s="11" t="n"/>
      <c r="O350" s="11" t="n"/>
      <c r="P350" s="12" t="n"/>
      <c r="Q350" s="11" t="n"/>
      <c r="R350" s="12" t="n"/>
      <c r="S350" s="11" t="n"/>
      <c r="T350" s="12" t="n"/>
      <c r="U350" s="12" t="n"/>
      <c r="V350" s="12" t="n"/>
      <c r="W350" s="13" t="n"/>
      <c r="X350" s="14">
        <f>IF($AP350="",IF($B350="","",$H350),IF(INDEX(職員マスタ!$B$6:$B$405,$AP350)="",$H350,INDEX(職員マスタ!$B$6:$B$405,$AP350)))</f>
        <v/>
      </c>
      <c r="Y350" s="14">
        <f>IF($AP350="",IF($B350="","",$R350),IF(INDEX(職員マスタ!$C$6:$C$405,$AP350)="",$R350,INDEX(職員マスタ!$C$6:$C$405,$AP350)))</f>
        <v/>
      </c>
      <c r="Z350" s="14">
        <f>IF($AQ350="","","R"&amp;$C350&amp;"."&amp;$D350)</f>
        <v/>
      </c>
      <c r="AA350" s="15">
        <f>IF(IF($AP350="",FALSE,INDEX(職員マスタ!$K$6:$K$405,$AP350)&lt;&gt;""),INDEX(職員マスタ!$K$6:$K$405,$AP350),IF(N($W350)&gt;0,$W350,""))</f>
        <v/>
      </c>
      <c r="AB350" s="14">
        <f>IF(OR($E350="",$AA350=""),"",IF($E350&gt;=$AA350,"×",IF($E350&gt;=$AA350*設定!$C$5,"△","○")))</f>
        <v/>
      </c>
      <c r="AC350" s="15">
        <f>IF($AB350="","",IF($AB350="×",0,IF($AB350="○",ROUNDDOWN($E350*設定!$C$4,0),ROUNDDOWN($E350*ROUND((9*$AA350-9*$E350)/(10*$E350),4),0))))</f>
        <v/>
      </c>
      <c r="AD350" s="13" t="n"/>
      <c r="AE350" s="15">
        <f>IF($B350="","",IF($AD350&lt;&gt;"",$AD350,IF($AC350="","",IF($AC350&lt;=設定!$C$3,0,$AC350))))</f>
        <v/>
      </c>
      <c r="AF350" s="14">
        <f>IF($B350="","",IF(AND($AG350&lt;&gt;"",$AI350="",$AL350=""),"保留中",IF($AL350&lt;&gt;"",IF(N($AE350)&gt;0,"支給済","不支給"),IF($AE350="","要確認",IF($AE350=0,"不支給","未処理")))))</f>
        <v/>
      </c>
      <c r="AG350" s="12" t="n"/>
      <c r="AH350" s="11" t="n"/>
      <c r="AI350" s="11" t="n"/>
      <c r="AJ350" s="11" t="n"/>
      <c r="AK350" s="14">
        <f>IF(AND($AF350="保留中",$AH350&lt;&gt;""),TODAY()-$AH350,"")</f>
        <v/>
      </c>
      <c r="AL350" s="12" t="inlineStr">
        <is>
          <t>R7.11</t>
        </is>
      </c>
      <c r="AM350" s="14">
        <f>IF($B350="","",IF($AQ350="","対象年月が未入力／","")&amp;IF($B350="","",IF($AP350="","職員マスタに未登録の職員番号／",IF($AA350="","標準報酬月額が未登録／","")&amp;IF(AND($AQ350&lt;&gt;"",OR(AND(INDEX(職員マスタ!$G$6:$G$405,$AP350)&lt;&gt;"",INDEX(職員マスタ!$G$6:$G$405,$AP350)&gt;EOMONTH($AQ350,0)),AND(INDEX(職員マスタ!$H$6:$H$405,$AP350)&lt;&gt;"",INDEX(職員マスタ!$H$6:$H$405,$AP350)&lt;$AQ350))),"対象月が時短期間外／","")&amp;IF(AND(INDEX(職員マスタ!$K$6:$K$405,$AP350)&lt;&gt;"",N($W350)&gt;0,INDEX(職員マスタ!$K$6:$K$405,$AP350)&lt;&gt;$W350),"標準報酬月額が申請書と相違（台帳"&amp;TEXT(INDEX(職員マスタ!$K$6:$K$405,$AP350),"#,##0")&amp;"円／申請書"&amp;TEXT($W350,"#,##0")&amp;"円）／","")&amp;IF(AND(INDEX(職員マスタ!$F$6:$F$405,$AP350)&lt;&gt;"",$AQ350&lt;&gt;"",INDEX(職員マスタ!$F$6:$F$405,$AP350)&lt;$AQ350),"対象月に子が2歳到達済／","")&amp;IF(AND($H350&lt;&gt;"",INDEX(職員マスタ!$B$6:$B$405,$AP350)&lt;&gt;"",SUBSTITUTE(SUBSTITUTE($H350," ","")," ","")&lt;&gt;SUBSTITUTE(SUBSTITUTE(INDEX(職員マスタ!$B$6:$B$405,$AP350)," ","")," ","")),"氏名がマスタと相違／","")&amp;IF(AND($Q350&lt;&gt;"",INDEX(職員マスタ!$E$6:$E$405,$AP350)&lt;&gt;"",$Q350&lt;&gt;INDEX(職員マスタ!$E$6:$E$405,$AP350)),"子の生年月日がマスタと相違／","")&amp;IF(AND($L350&lt;&gt;"",INDEX(職員マスタ!$G$6:$G$405,$AP350)&lt;&gt;"",$L350&lt;&gt;INDEX(職員マスタ!$G$6:$G$405,$AP350)),"時短開始日がマスタと相違／","")&amp;IF(AND($M350&lt;&gt;"",INDEX(職員マスタ!$H$6:$H$405,$AP350)&lt;&gt;"",$M350&lt;&gt;INDEX(職員マスタ!$H$6:$H$405,$AP350)),"時短終了日がマスタと相違／","")))&amp;IF(AND($B350&lt;&gt;"",$E350=""),"報酬額が未入力／","")&amp;IF(N($U350)&gt;0,"申請書に入力エラーが残っています／","")&amp;IF(AND($B350&lt;&gt;"",$AQ350&lt;&gt;""),IF(COUNTIFS($B$6:$B$3005,$B350,$C$6:$C$3005,$C350,$D$6:$D$3005,$D350)&gt;1,"同じ月の請求が重複しています／",""),"")&amp;IF(AND(N($E350)&gt;0,$AB350&lt;&gt;"",$AB350&lt;&gt;"×",$AE350=0,$AD350=""),"計算額が下限以下のため不支給／",""))</f>
        <v/>
      </c>
      <c r="AN350" s="12" t="n"/>
      <c r="AO350" s="14">
        <f>IF($AF350="保留中",COUNTIF($AF$6:$AF350,"保留中"),"")</f>
        <v/>
      </c>
      <c r="AP350" s="14">
        <f>IF($AQ350="","",IF(SUMPRODUCT(MAX((職員マスタ!$A$6:$A$405=$B350)*(((職員マスタ!$G$6:$G$405="")+(職員マスタ!$G$6:$G$405&lt;=EOMONTH($AQ350,0)))&gt;0)*(((職員マスタ!$H$6:$H$405="")+(職員マスタ!$H$6:$H$405&gt;=$AQ350))&gt;0)*(ROW(職員マスタ!$A$6:$A$405)-5)))&gt;0,SUMPRODUCT(MAX((職員マスタ!$A$6:$A$405=$B350)*(((職員マスタ!$G$6:$G$405="")+(職員マスタ!$G$6:$G$405&lt;=EOMONTH($AQ350,0)))&gt;0)*(((職員マスタ!$H$6:$H$405="")+(職員マスタ!$H$6:$H$405&gt;=$AQ350))&gt;0)*(ROW(職員マスタ!$A$6:$A$405)-5))),IFERROR(MATCH($B350,職員マスタ!$A$6:$A$405,0),"")))</f>
        <v/>
      </c>
      <c r="AQ350" s="16">
        <f>IF(OR($B350="",$C350="",$D350=""),"",DATE($C350+2018,$D350,1))</f>
        <v/>
      </c>
    </row>
    <row r="351">
      <c r="A351" s="11" t="n"/>
      <c r="B351" s="12" t="n">
        <v>6702906</v>
      </c>
      <c r="C351" s="12" t="n">
        <v>7</v>
      </c>
      <c r="D351" s="12" t="n">
        <v>8</v>
      </c>
      <c r="E351" s="13" t="n">
        <v>141545</v>
      </c>
      <c r="F351" s="12" t="n"/>
      <c r="G351" s="13" t="n"/>
      <c r="H351" s="12" t="n"/>
      <c r="I351" s="12" t="n"/>
      <c r="J351" s="12" t="n"/>
      <c r="K351" s="12" t="n"/>
      <c r="L351" s="11" t="n"/>
      <c r="M351" s="11" t="n"/>
      <c r="N351" s="11" t="n"/>
      <c r="O351" s="11" t="n"/>
      <c r="P351" s="12" t="n"/>
      <c r="Q351" s="11" t="n"/>
      <c r="R351" s="12" t="n"/>
      <c r="S351" s="11" t="n"/>
      <c r="T351" s="12" t="n"/>
      <c r="U351" s="12" t="n"/>
      <c r="V351" s="12" t="n"/>
      <c r="W351" s="13" t="n"/>
      <c r="X351" s="14">
        <f>IF($AP351="",IF($B351="","",$H351),IF(INDEX(職員マスタ!$B$6:$B$405,$AP351)="",$H351,INDEX(職員マスタ!$B$6:$B$405,$AP351)))</f>
        <v/>
      </c>
      <c r="Y351" s="14">
        <f>IF($AP351="",IF($B351="","",$R351),IF(INDEX(職員マスタ!$C$6:$C$405,$AP351)="",$R351,INDEX(職員マスタ!$C$6:$C$405,$AP351)))</f>
        <v/>
      </c>
      <c r="Z351" s="14">
        <f>IF($AQ351="","","R"&amp;$C351&amp;"."&amp;$D351)</f>
        <v/>
      </c>
      <c r="AA351" s="15">
        <f>IF(IF($AP351="",FALSE,INDEX(職員マスタ!$K$6:$K$405,$AP351)&lt;&gt;""),INDEX(職員マスタ!$K$6:$K$405,$AP351),IF(N($W351)&gt;0,$W351,""))</f>
        <v/>
      </c>
      <c r="AB351" s="14">
        <f>IF(OR($E351="",$AA351=""),"",IF($E351&gt;=$AA351,"×",IF($E351&gt;=$AA351*設定!$C$5,"△","○")))</f>
        <v/>
      </c>
      <c r="AC351" s="15">
        <f>IF($AB351="","",IF($AB351="×",0,IF($AB351="○",ROUNDDOWN($E351*設定!$C$4,0),ROUNDDOWN($E351*ROUND((9*$AA351-9*$E351)/(10*$E351),4),0))))</f>
        <v/>
      </c>
      <c r="AD351" s="13" t="n"/>
      <c r="AE351" s="15">
        <f>IF($B351="","",IF($AD351&lt;&gt;"",$AD351,IF($AC351="","",IF($AC351&lt;=設定!$C$3,0,$AC351))))</f>
        <v/>
      </c>
      <c r="AF351" s="14">
        <f>IF($B351="","",IF(AND($AG351&lt;&gt;"",$AI351="",$AL351=""),"保留中",IF($AL351&lt;&gt;"",IF(N($AE351)&gt;0,"支給済","不支給"),IF($AE351="","要確認",IF($AE351=0,"不支給","未処理")))))</f>
        <v/>
      </c>
      <c r="AG351" s="12" t="n"/>
      <c r="AH351" s="11" t="n"/>
      <c r="AI351" s="11" t="n"/>
      <c r="AJ351" s="11" t="n"/>
      <c r="AK351" s="14">
        <f>IF(AND($AF351="保留中",$AH351&lt;&gt;""),TODAY()-$AH351,"")</f>
        <v/>
      </c>
      <c r="AL351" s="12" t="inlineStr">
        <is>
          <t>R7.11</t>
        </is>
      </c>
      <c r="AM351" s="14">
        <f>IF($B351="","",IF($AQ351="","対象年月が未入力／","")&amp;IF($B351="","",IF($AP351="","職員マスタに未登録の職員番号／",IF($AA351="","標準報酬月額が未登録／","")&amp;IF(AND($AQ351&lt;&gt;"",OR(AND(INDEX(職員マスタ!$G$6:$G$405,$AP351)&lt;&gt;"",INDEX(職員マスタ!$G$6:$G$405,$AP351)&gt;EOMONTH($AQ351,0)),AND(INDEX(職員マスタ!$H$6:$H$405,$AP351)&lt;&gt;"",INDEX(職員マスタ!$H$6:$H$405,$AP351)&lt;$AQ351))),"対象月が時短期間外／","")&amp;IF(AND(INDEX(職員マスタ!$K$6:$K$405,$AP351)&lt;&gt;"",N($W351)&gt;0,INDEX(職員マスタ!$K$6:$K$405,$AP351)&lt;&gt;$W351),"標準報酬月額が申請書と相違（台帳"&amp;TEXT(INDEX(職員マスタ!$K$6:$K$405,$AP351),"#,##0")&amp;"円／申請書"&amp;TEXT($W351,"#,##0")&amp;"円）／","")&amp;IF(AND(INDEX(職員マスタ!$F$6:$F$405,$AP351)&lt;&gt;"",$AQ351&lt;&gt;"",INDEX(職員マスタ!$F$6:$F$405,$AP351)&lt;$AQ351),"対象月に子が2歳到達済／","")&amp;IF(AND($H351&lt;&gt;"",INDEX(職員マスタ!$B$6:$B$405,$AP351)&lt;&gt;"",SUBSTITUTE(SUBSTITUTE($H351," ","")," ","")&lt;&gt;SUBSTITUTE(SUBSTITUTE(INDEX(職員マスタ!$B$6:$B$405,$AP351)," ","")," ","")),"氏名がマスタと相違／","")&amp;IF(AND($Q351&lt;&gt;"",INDEX(職員マスタ!$E$6:$E$405,$AP351)&lt;&gt;"",$Q351&lt;&gt;INDEX(職員マスタ!$E$6:$E$405,$AP351)),"子の生年月日がマスタと相違／","")&amp;IF(AND($L351&lt;&gt;"",INDEX(職員マスタ!$G$6:$G$405,$AP351)&lt;&gt;"",$L351&lt;&gt;INDEX(職員マスタ!$G$6:$G$405,$AP351)),"時短開始日がマスタと相違／","")&amp;IF(AND($M351&lt;&gt;"",INDEX(職員マスタ!$H$6:$H$405,$AP351)&lt;&gt;"",$M351&lt;&gt;INDEX(職員マスタ!$H$6:$H$405,$AP351)),"時短終了日がマスタと相違／","")))&amp;IF(AND($B351&lt;&gt;"",$E351=""),"報酬額が未入力／","")&amp;IF(N($U351)&gt;0,"申請書に入力エラーが残っています／","")&amp;IF(AND($B351&lt;&gt;"",$AQ351&lt;&gt;""),IF(COUNTIFS($B$6:$B$3005,$B351,$C$6:$C$3005,$C351,$D$6:$D$3005,$D351)&gt;1,"同じ月の請求が重複しています／",""),"")&amp;IF(AND(N($E351)&gt;0,$AB351&lt;&gt;"",$AB351&lt;&gt;"×",$AE351=0,$AD351=""),"計算額が下限以下のため不支給／",""))</f>
        <v/>
      </c>
      <c r="AN351" s="12" t="n"/>
      <c r="AO351" s="14">
        <f>IF($AF351="保留中",COUNTIF($AF$6:$AF351,"保留中"),"")</f>
        <v/>
      </c>
      <c r="AP351" s="14">
        <f>IF($AQ351="","",IF(SUMPRODUCT(MAX((職員マスタ!$A$6:$A$405=$B351)*(((職員マスタ!$G$6:$G$405="")+(職員マスタ!$G$6:$G$405&lt;=EOMONTH($AQ351,0)))&gt;0)*(((職員マスタ!$H$6:$H$405="")+(職員マスタ!$H$6:$H$405&gt;=$AQ351))&gt;0)*(ROW(職員マスタ!$A$6:$A$405)-5)))&gt;0,SUMPRODUCT(MAX((職員マスタ!$A$6:$A$405=$B351)*(((職員マスタ!$G$6:$G$405="")+(職員マスタ!$G$6:$G$405&lt;=EOMONTH($AQ351,0)))&gt;0)*(((職員マスタ!$H$6:$H$405="")+(職員マスタ!$H$6:$H$405&gt;=$AQ351))&gt;0)*(ROW(職員マスタ!$A$6:$A$405)-5))),IFERROR(MATCH($B351,職員マスタ!$A$6:$A$405,0),"")))</f>
        <v/>
      </c>
      <c r="AQ351" s="16">
        <f>IF(OR($B351="",$C351="",$D351=""),"",DATE($C351+2018,$D351,1))</f>
        <v/>
      </c>
    </row>
    <row r="352">
      <c r="A352" s="11" t="n"/>
      <c r="B352" s="12" t="n">
        <v>6702906</v>
      </c>
      <c r="C352" s="12" t="n">
        <v>7</v>
      </c>
      <c r="D352" s="12" t="n">
        <v>9</v>
      </c>
      <c r="E352" s="13" t="n">
        <v>88811</v>
      </c>
      <c r="F352" s="12" t="n"/>
      <c r="G352" s="13" t="n"/>
      <c r="H352" s="12" t="n"/>
      <c r="I352" s="12" t="n"/>
      <c r="J352" s="12" t="n"/>
      <c r="K352" s="12" t="n"/>
      <c r="L352" s="11" t="n"/>
      <c r="M352" s="11" t="n"/>
      <c r="N352" s="11" t="n"/>
      <c r="O352" s="11" t="n"/>
      <c r="P352" s="12" t="n"/>
      <c r="Q352" s="11" t="n"/>
      <c r="R352" s="12" t="n"/>
      <c r="S352" s="11" t="n"/>
      <c r="T352" s="12" t="n"/>
      <c r="U352" s="12" t="n"/>
      <c r="V352" s="12" t="n"/>
      <c r="W352" s="13" t="n"/>
      <c r="X352" s="14">
        <f>IF($AP352="",IF($B352="","",$H352),IF(INDEX(職員マスタ!$B$6:$B$405,$AP352)="",$H352,INDEX(職員マスタ!$B$6:$B$405,$AP352)))</f>
        <v/>
      </c>
      <c r="Y352" s="14">
        <f>IF($AP352="",IF($B352="","",$R352),IF(INDEX(職員マスタ!$C$6:$C$405,$AP352)="",$R352,INDEX(職員マスタ!$C$6:$C$405,$AP352)))</f>
        <v/>
      </c>
      <c r="Z352" s="14">
        <f>IF($AQ352="","","R"&amp;$C352&amp;"."&amp;$D352)</f>
        <v/>
      </c>
      <c r="AA352" s="15">
        <f>IF(IF($AP352="",FALSE,INDEX(職員マスタ!$K$6:$K$405,$AP352)&lt;&gt;""),INDEX(職員マスタ!$K$6:$K$405,$AP352),IF(N($W352)&gt;0,$W352,""))</f>
        <v/>
      </c>
      <c r="AB352" s="14">
        <f>IF(OR($E352="",$AA352=""),"",IF($E352&gt;=$AA352,"×",IF($E352&gt;=$AA352*設定!$C$5,"△","○")))</f>
        <v/>
      </c>
      <c r="AC352" s="15">
        <f>IF($AB352="","",IF($AB352="×",0,IF($AB352="○",ROUNDDOWN($E352*設定!$C$4,0),ROUNDDOWN($E352*ROUND((9*$AA352-9*$E352)/(10*$E352),4),0))))</f>
        <v/>
      </c>
      <c r="AD352" s="13" t="n"/>
      <c r="AE352" s="15">
        <f>IF($B352="","",IF($AD352&lt;&gt;"",$AD352,IF($AC352="","",IF($AC352&lt;=設定!$C$3,0,$AC352))))</f>
        <v/>
      </c>
      <c r="AF352" s="14">
        <f>IF($B352="","",IF(AND($AG352&lt;&gt;"",$AI352="",$AL352=""),"保留中",IF($AL352&lt;&gt;"",IF(N($AE352)&gt;0,"支給済","不支給"),IF($AE352="","要確認",IF($AE352=0,"不支給","未処理")))))</f>
        <v/>
      </c>
      <c r="AG352" s="12" t="n"/>
      <c r="AH352" s="11" t="n"/>
      <c r="AI352" s="11" t="n"/>
      <c r="AJ352" s="11" t="n"/>
      <c r="AK352" s="14">
        <f>IF(AND($AF352="保留中",$AH352&lt;&gt;""),TODAY()-$AH352,"")</f>
        <v/>
      </c>
      <c r="AL352" s="12" t="inlineStr">
        <is>
          <t>R7.11</t>
        </is>
      </c>
      <c r="AM352" s="14">
        <f>IF($B352="","",IF($AQ352="","対象年月が未入力／","")&amp;IF($B352="","",IF($AP352="","職員マスタに未登録の職員番号／",IF($AA352="","標準報酬月額が未登録／","")&amp;IF(AND($AQ352&lt;&gt;"",OR(AND(INDEX(職員マスタ!$G$6:$G$405,$AP352)&lt;&gt;"",INDEX(職員マスタ!$G$6:$G$405,$AP352)&gt;EOMONTH($AQ352,0)),AND(INDEX(職員マスタ!$H$6:$H$405,$AP352)&lt;&gt;"",INDEX(職員マスタ!$H$6:$H$405,$AP352)&lt;$AQ352))),"対象月が時短期間外／","")&amp;IF(AND(INDEX(職員マスタ!$K$6:$K$405,$AP352)&lt;&gt;"",N($W352)&gt;0,INDEX(職員マスタ!$K$6:$K$405,$AP352)&lt;&gt;$W352),"標準報酬月額が申請書と相違（台帳"&amp;TEXT(INDEX(職員マスタ!$K$6:$K$405,$AP352),"#,##0")&amp;"円／申請書"&amp;TEXT($W352,"#,##0")&amp;"円）／","")&amp;IF(AND(INDEX(職員マスタ!$F$6:$F$405,$AP352)&lt;&gt;"",$AQ352&lt;&gt;"",INDEX(職員マスタ!$F$6:$F$405,$AP352)&lt;$AQ352),"対象月に子が2歳到達済／","")&amp;IF(AND($H352&lt;&gt;"",INDEX(職員マスタ!$B$6:$B$405,$AP352)&lt;&gt;"",SUBSTITUTE(SUBSTITUTE($H352," ","")," ","")&lt;&gt;SUBSTITUTE(SUBSTITUTE(INDEX(職員マスタ!$B$6:$B$405,$AP352)," ","")," ","")),"氏名がマスタと相違／","")&amp;IF(AND($Q352&lt;&gt;"",INDEX(職員マスタ!$E$6:$E$405,$AP352)&lt;&gt;"",$Q352&lt;&gt;INDEX(職員マスタ!$E$6:$E$405,$AP352)),"子の生年月日がマスタと相違／","")&amp;IF(AND($L352&lt;&gt;"",INDEX(職員マスタ!$G$6:$G$405,$AP352)&lt;&gt;"",$L352&lt;&gt;INDEX(職員マスタ!$G$6:$G$405,$AP352)),"時短開始日がマスタと相違／","")&amp;IF(AND($M352&lt;&gt;"",INDEX(職員マスタ!$H$6:$H$405,$AP352)&lt;&gt;"",$M352&lt;&gt;INDEX(職員マスタ!$H$6:$H$405,$AP352)),"時短終了日がマスタと相違／","")))&amp;IF(AND($B352&lt;&gt;"",$E352=""),"報酬額が未入力／","")&amp;IF(N($U352)&gt;0,"申請書に入力エラーが残っています／","")&amp;IF(AND($B352&lt;&gt;"",$AQ352&lt;&gt;""),IF(COUNTIFS($B$6:$B$3005,$B352,$C$6:$C$3005,$C352,$D$6:$D$3005,$D352)&gt;1,"同じ月の請求が重複しています／",""),"")&amp;IF(AND(N($E352)&gt;0,$AB352&lt;&gt;"",$AB352&lt;&gt;"×",$AE352=0,$AD352=""),"計算額が下限以下のため不支給／",""))</f>
        <v/>
      </c>
      <c r="AN352" s="12" t="n"/>
      <c r="AO352" s="14">
        <f>IF($AF352="保留中",COUNTIF($AF$6:$AF352,"保留中"),"")</f>
        <v/>
      </c>
      <c r="AP352" s="14">
        <f>IF($AQ352="","",IF(SUMPRODUCT(MAX((職員マスタ!$A$6:$A$405=$B352)*(((職員マスタ!$G$6:$G$405="")+(職員マスタ!$G$6:$G$405&lt;=EOMONTH($AQ352,0)))&gt;0)*(((職員マスタ!$H$6:$H$405="")+(職員マスタ!$H$6:$H$405&gt;=$AQ352))&gt;0)*(ROW(職員マスタ!$A$6:$A$405)-5)))&gt;0,SUMPRODUCT(MAX((職員マスタ!$A$6:$A$405=$B352)*(((職員マスタ!$G$6:$G$405="")+(職員マスタ!$G$6:$G$405&lt;=EOMONTH($AQ352,0)))&gt;0)*(((職員マスタ!$H$6:$H$405="")+(職員マスタ!$H$6:$H$405&gt;=$AQ352))&gt;0)*(ROW(職員マスタ!$A$6:$A$405)-5))),IFERROR(MATCH($B352,職員マスタ!$A$6:$A$405,0),"")))</f>
        <v/>
      </c>
      <c r="AQ352" s="16">
        <f>IF(OR($B352="",$C352="",$D352=""),"",DATE($C352+2018,$D352,1))</f>
        <v/>
      </c>
    </row>
    <row r="353">
      <c r="A353" s="11" t="n"/>
      <c r="B353" s="12" t="n">
        <v>6704258</v>
      </c>
      <c r="C353" s="12" t="n">
        <v>7</v>
      </c>
      <c r="D353" s="12" t="n">
        <v>9</v>
      </c>
      <c r="E353" s="13" t="n">
        <v>304319</v>
      </c>
      <c r="F353" s="12" t="n"/>
      <c r="G353" s="13" t="n"/>
      <c r="H353" s="12" t="n"/>
      <c r="I353" s="12" t="n"/>
      <c r="J353" s="12" t="n"/>
      <c r="K353" s="12" t="n"/>
      <c r="L353" s="11" t="n"/>
      <c r="M353" s="11" t="n"/>
      <c r="N353" s="11" t="n"/>
      <c r="O353" s="11" t="n"/>
      <c r="P353" s="12" t="n"/>
      <c r="Q353" s="11" t="n"/>
      <c r="R353" s="12" t="n"/>
      <c r="S353" s="11" t="n"/>
      <c r="T353" s="12" t="n"/>
      <c r="U353" s="12" t="n"/>
      <c r="V353" s="12" t="n"/>
      <c r="W353" s="13" t="n"/>
      <c r="X353" s="14">
        <f>IF($AP353="",IF($B353="","",$H353),IF(INDEX(職員マスタ!$B$6:$B$405,$AP353)="",$H353,INDEX(職員マスタ!$B$6:$B$405,$AP353)))</f>
        <v/>
      </c>
      <c r="Y353" s="14">
        <f>IF($AP353="",IF($B353="","",$R353),IF(INDEX(職員マスタ!$C$6:$C$405,$AP353)="",$R353,INDEX(職員マスタ!$C$6:$C$405,$AP353)))</f>
        <v/>
      </c>
      <c r="Z353" s="14">
        <f>IF($AQ353="","","R"&amp;$C353&amp;"."&amp;$D353)</f>
        <v/>
      </c>
      <c r="AA353" s="15">
        <f>IF(IF($AP353="",FALSE,INDEX(職員マスタ!$K$6:$K$405,$AP353)&lt;&gt;""),INDEX(職員マスタ!$K$6:$K$405,$AP353),IF(N($W353)&gt;0,$W353,""))</f>
        <v/>
      </c>
      <c r="AB353" s="14">
        <f>IF(OR($E353="",$AA353=""),"",IF($E353&gt;=$AA353,"×",IF($E353&gt;=$AA353*設定!$C$5,"△","○")))</f>
        <v/>
      </c>
      <c r="AC353" s="15">
        <f>IF($AB353="","",IF($AB353="×",0,IF($AB353="○",ROUNDDOWN($E353*設定!$C$4,0),ROUNDDOWN($E353*ROUND((9*$AA353-9*$E353)/(10*$E353),4),0))))</f>
        <v/>
      </c>
      <c r="AD353" s="13" t="n"/>
      <c r="AE353" s="15">
        <f>IF($B353="","",IF($AD353&lt;&gt;"",$AD353,IF($AC353="","",IF($AC353&lt;=設定!$C$3,0,$AC353))))</f>
        <v/>
      </c>
      <c r="AF353" s="14">
        <f>IF($B353="","",IF(AND($AG353&lt;&gt;"",$AI353="",$AL353=""),"保留中",IF($AL353&lt;&gt;"",IF(N($AE353)&gt;0,"支給済","不支給"),IF($AE353="","要確認",IF($AE353=0,"不支給","未処理")))))</f>
        <v/>
      </c>
      <c r="AG353" s="12" t="n"/>
      <c r="AH353" s="11" t="n"/>
      <c r="AI353" s="11" t="n"/>
      <c r="AJ353" s="11" t="n"/>
      <c r="AK353" s="14">
        <f>IF(AND($AF353="保留中",$AH353&lt;&gt;""),TODAY()-$AH353,"")</f>
        <v/>
      </c>
      <c r="AL353" s="12" t="inlineStr">
        <is>
          <t>R7.11</t>
        </is>
      </c>
      <c r="AM353" s="14">
        <f>IF($B353="","",IF($AQ353="","対象年月が未入力／","")&amp;IF($B353="","",IF($AP353="","職員マスタに未登録の職員番号／",IF($AA353="","標準報酬月額が未登録／","")&amp;IF(AND($AQ353&lt;&gt;"",OR(AND(INDEX(職員マスタ!$G$6:$G$405,$AP353)&lt;&gt;"",INDEX(職員マスタ!$G$6:$G$405,$AP353)&gt;EOMONTH($AQ353,0)),AND(INDEX(職員マスタ!$H$6:$H$405,$AP353)&lt;&gt;"",INDEX(職員マスタ!$H$6:$H$405,$AP353)&lt;$AQ353))),"対象月が時短期間外／","")&amp;IF(AND(INDEX(職員マスタ!$K$6:$K$405,$AP353)&lt;&gt;"",N($W353)&gt;0,INDEX(職員マスタ!$K$6:$K$405,$AP353)&lt;&gt;$W353),"標準報酬月額が申請書と相違（台帳"&amp;TEXT(INDEX(職員マスタ!$K$6:$K$405,$AP353),"#,##0")&amp;"円／申請書"&amp;TEXT($W353,"#,##0")&amp;"円）／","")&amp;IF(AND(INDEX(職員マスタ!$F$6:$F$405,$AP353)&lt;&gt;"",$AQ353&lt;&gt;"",INDEX(職員マスタ!$F$6:$F$405,$AP353)&lt;$AQ353),"対象月に子が2歳到達済／","")&amp;IF(AND($H353&lt;&gt;"",INDEX(職員マスタ!$B$6:$B$405,$AP353)&lt;&gt;"",SUBSTITUTE(SUBSTITUTE($H353," ","")," ","")&lt;&gt;SUBSTITUTE(SUBSTITUTE(INDEX(職員マスタ!$B$6:$B$405,$AP353)," ","")," ","")),"氏名がマスタと相違／","")&amp;IF(AND($Q353&lt;&gt;"",INDEX(職員マスタ!$E$6:$E$405,$AP353)&lt;&gt;"",$Q353&lt;&gt;INDEX(職員マスタ!$E$6:$E$405,$AP353)),"子の生年月日がマスタと相違／","")&amp;IF(AND($L353&lt;&gt;"",INDEX(職員マスタ!$G$6:$G$405,$AP353)&lt;&gt;"",$L353&lt;&gt;INDEX(職員マスタ!$G$6:$G$405,$AP353)),"時短開始日がマスタと相違／","")&amp;IF(AND($M353&lt;&gt;"",INDEX(職員マスタ!$H$6:$H$405,$AP353)&lt;&gt;"",$M353&lt;&gt;INDEX(職員マスタ!$H$6:$H$405,$AP353)),"時短終了日がマスタと相違／","")))&amp;IF(AND($B353&lt;&gt;"",$E353=""),"報酬額が未入力／","")&amp;IF(N($U353)&gt;0,"申請書に入力エラーが残っています／","")&amp;IF(AND($B353&lt;&gt;"",$AQ353&lt;&gt;""),IF(COUNTIFS($B$6:$B$3005,$B353,$C$6:$C$3005,$C353,$D$6:$D$3005,$D353)&gt;1,"同じ月の請求が重複しています／",""),"")&amp;IF(AND(N($E353)&gt;0,$AB353&lt;&gt;"",$AB353&lt;&gt;"×",$AE353=0,$AD353=""),"計算額が下限以下のため不支給／",""))</f>
        <v/>
      </c>
      <c r="AN353" s="12" t="n"/>
      <c r="AO353" s="14">
        <f>IF($AF353="保留中",COUNTIF($AF$6:$AF353,"保留中"),"")</f>
        <v/>
      </c>
      <c r="AP353" s="14">
        <f>IF($AQ353="","",IF(SUMPRODUCT(MAX((職員マスタ!$A$6:$A$405=$B353)*(((職員マスタ!$G$6:$G$405="")+(職員マスタ!$G$6:$G$405&lt;=EOMONTH($AQ353,0)))&gt;0)*(((職員マスタ!$H$6:$H$405="")+(職員マスタ!$H$6:$H$405&gt;=$AQ353))&gt;0)*(ROW(職員マスタ!$A$6:$A$405)-5)))&gt;0,SUMPRODUCT(MAX((職員マスタ!$A$6:$A$405=$B353)*(((職員マスタ!$G$6:$G$405="")+(職員マスタ!$G$6:$G$405&lt;=EOMONTH($AQ353,0)))&gt;0)*(((職員マスタ!$H$6:$H$405="")+(職員マスタ!$H$6:$H$405&gt;=$AQ353))&gt;0)*(ROW(職員マスタ!$A$6:$A$405)-5))),IFERROR(MATCH($B353,職員マスタ!$A$6:$A$405,0),"")))</f>
        <v/>
      </c>
      <c r="AQ353" s="16">
        <f>IF(OR($B353="",$C353="",$D353=""),"",DATE($C353+2018,$D353,1))</f>
        <v/>
      </c>
    </row>
    <row r="354">
      <c r="A354" s="11" t="n"/>
      <c r="B354" s="12" t="n">
        <v>6704258</v>
      </c>
      <c r="C354" s="12" t="n">
        <v>7</v>
      </c>
      <c r="D354" s="12" t="n">
        <v>10</v>
      </c>
      <c r="E354" s="13" t="n">
        <v>261468</v>
      </c>
      <c r="F354" s="12" t="n"/>
      <c r="G354" s="13" t="n"/>
      <c r="H354" s="12" t="n"/>
      <c r="I354" s="12" t="n"/>
      <c r="J354" s="12" t="n"/>
      <c r="K354" s="12" t="n"/>
      <c r="L354" s="11" t="n"/>
      <c r="M354" s="11" t="n"/>
      <c r="N354" s="11" t="n"/>
      <c r="O354" s="11" t="n"/>
      <c r="P354" s="12" t="n"/>
      <c r="Q354" s="11" t="n"/>
      <c r="R354" s="12" t="n"/>
      <c r="S354" s="11" t="n"/>
      <c r="T354" s="12" t="n"/>
      <c r="U354" s="12" t="n"/>
      <c r="V354" s="12" t="n"/>
      <c r="W354" s="13" t="n"/>
      <c r="X354" s="14">
        <f>IF($AP354="",IF($B354="","",$H354),IF(INDEX(職員マスタ!$B$6:$B$405,$AP354)="",$H354,INDEX(職員マスタ!$B$6:$B$405,$AP354)))</f>
        <v/>
      </c>
      <c r="Y354" s="14">
        <f>IF($AP354="",IF($B354="","",$R354),IF(INDEX(職員マスタ!$C$6:$C$405,$AP354)="",$R354,INDEX(職員マスタ!$C$6:$C$405,$AP354)))</f>
        <v/>
      </c>
      <c r="Z354" s="14">
        <f>IF($AQ354="","","R"&amp;$C354&amp;"."&amp;$D354)</f>
        <v/>
      </c>
      <c r="AA354" s="15">
        <f>IF(IF($AP354="",FALSE,INDEX(職員マスタ!$K$6:$K$405,$AP354)&lt;&gt;""),INDEX(職員マスタ!$K$6:$K$405,$AP354),IF(N($W354)&gt;0,$W354,""))</f>
        <v/>
      </c>
      <c r="AB354" s="14">
        <f>IF(OR($E354="",$AA354=""),"",IF($E354&gt;=$AA354,"×",IF($E354&gt;=$AA354*設定!$C$5,"△","○")))</f>
        <v/>
      </c>
      <c r="AC354" s="15">
        <f>IF($AB354="","",IF($AB354="×",0,IF($AB354="○",ROUNDDOWN($E354*設定!$C$4,0),ROUNDDOWN($E354*ROUND((9*$AA354-9*$E354)/(10*$E354),4),0))))</f>
        <v/>
      </c>
      <c r="AD354" s="13" t="n"/>
      <c r="AE354" s="15">
        <f>IF($B354="","",IF($AD354&lt;&gt;"",$AD354,IF($AC354="","",IF($AC354&lt;=設定!$C$3,0,$AC354))))</f>
        <v/>
      </c>
      <c r="AF354" s="14">
        <f>IF($B354="","",IF(AND($AG354&lt;&gt;"",$AI354="",$AL354=""),"保留中",IF($AL354&lt;&gt;"",IF(N($AE354)&gt;0,"支給済","不支給"),IF($AE354="","要確認",IF($AE354=0,"不支給","未処理")))))</f>
        <v/>
      </c>
      <c r="AG354" s="12" t="n"/>
      <c r="AH354" s="11" t="n"/>
      <c r="AI354" s="11" t="n"/>
      <c r="AJ354" s="11" t="n"/>
      <c r="AK354" s="14">
        <f>IF(AND($AF354="保留中",$AH354&lt;&gt;""),TODAY()-$AH354,"")</f>
        <v/>
      </c>
      <c r="AL354" s="12" t="inlineStr">
        <is>
          <t>R7.12</t>
        </is>
      </c>
      <c r="AM354" s="14">
        <f>IF($B354="","",IF($AQ354="","対象年月が未入力／","")&amp;IF($B354="","",IF($AP354="","職員マスタに未登録の職員番号／",IF($AA354="","標準報酬月額が未登録／","")&amp;IF(AND($AQ354&lt;&gt;"",OR(AND(INDEX(職員マスタ!$G$6:$G$405,$AP354)&lt;&gt;"",INDEX(職員マスタ!$G$6:$G$405,$AP354)&gt;EOMONTH($AQ354,0)),AND(INDEX(職員マスタ!$H$6:$H$405,$AP354)&lt;&gt;"",INDEX(職員マスタ!$H$6:$H$405,$AP354)&lt;$AQ354))),"対象月が時短期間外／","")&amp;IF(AND(INDEX(職員マスタ!$K$6:$K$405,$AP354)&lt;&gt;"",N($W354)&gt;0,INDEX(職員マスタ!$K$6:$K$405,$AP354)&lt;&gt;$W354),"標準報酬月額が申請書と相違（台帳"&amp;TEXT(INDEX(職員マスタ!$K$6:$K$405,$AP354),"#,##0")&amp;"円／申請書"&amp;TEXT($W354,"#,##0")&amp;"円）／","")&amp;IF(AND(INDEX(職員マスタ!$F$6:$F$405,$AP354)&lt;&gt;"",$AQ354&lt;&gt;"",INDEX(職員マスタ!$F$6:$F$405,$AP354)&lt;$AQ354),"対象月に子が2歳到達済／","")&amp;IF(AND($H354&lt;&gt;"",INDEX(職員マスタ!$B$6:$B$405,$AP354)&lt;&gt;"",SUBSTITUTE(SUBSTITUTE($H354," ","")," ","")&lt;&gt;SUBSTITUTE(SUBSTITUTE(INDEX(職員マスタ!$B$6:$B$405,$AP354)," ","")," ","")),"氏名がマスタと相違／","")&amp;IF(AND($Q354&lt;&gt;"",INDEX(職員マスタ!$E$6:$E$405,$AP354)&lt;&gt;"",$Q354&lt;&gt;INDEX(職員マスタ!$E$6:$E$405,$AP354)),"子の生年月日がマスタと相違／","")&amp;IF(AND($L354&lt;&gt;"",INDEX(職員マスタ!$G$6:$G$405,$AP354)&lt;&gt;"",$L354&lt;&gt;INDEX(職員マスタ!$G$6:$G$405,$AP354)),"時短開始日がマスタと相違／","")&amp;IF(AND($M354&lt;&gt;"",INDEX(職員マスタ!$H$6:$H$405,$AP354)&lt;&gt;"",$M354&lt;&gt;INDEX(職員マスタ!$H$6:$H$405,$AP354)),"時短終了日がマスタと相違／","")))&amp;IF(AND($B354&lt;&gt;"",$E354=""),"報酬額が未入力／","")&amp;IF(N($U354)&gt;0,"申請書に入力エラーが残っています／","")&amp;IF(AND($B354&lt;&gt;"",$AQ354&lt;&gt;""),IF(COUNTIFS($B$6:$B$3005,$B354,$C$6:$C$3005,$C354,$D$6:$D$3005,$D354)&gt;1,"同じ月の請求が重複しています／",""),"")&amp;IF(AND(N($E354)&gt;0,$AB354&lt;&gt;"",$AB354&lt;&gt;"×",$AE354=0,$AD354=""),"計算額が下限以下のため不支給／",""))</f>
        <v/>
      </c>
      <c r="AN354" s="12" t="n"/>
      <c r="AO354" s="14">
        <f>IF($AF354="保留中",COUNTIF($AF$6:$AF354,"保留中"),"")</f>
        <v/>
      </c>
      <c r="AP354" s="14">
        <f>IF($AQ354="","",IF(SUMPRODUCT(MAX((職員マスタ!$A$6:$A$405=$B354)*(((職員マスタ!$G$6:$G$405="")+(職員マスタ!$G$6:$G$405&lt;=EOMONTH($AQ354,0)))&gt;0)*(((職員マスタ!$H$6:$H$405="")+(職員マスタ!$H$6:$H$405&gt;=$AQ354))&gt;0)*(ROW(職員マスタ!$A$6:$A$405)-5)))&gt;0,SUMPRODUCT(MAX((職員マスタ!$A$6:$A$405=$B354)*(((職員マスタ!$G$6:$G$405="")+(職員マスタ!$G$6:$G$405&lt;=EOMONTH($AQ354,0)))&gt;0)*(((職員マスタ!$H$6:$H$405="")+(職員マスタ!$H$6:$H$405&gt;=$AQ354))&gt;0)*(ROW(職員マスタ!$A$6:$A$405)-5))),IFERROR(MATCH($B354,職員マスタ!$A$6:$A$405,0),"")))</f>
        <v/>
      </c>
      <c r="AQ354" s="16">
        <f>IF(OR($B354="",$C354="",$D354=""),"",DATE($C354+2018,$D354,1))</f>
        <v/>
      </c>
    </row>
    <row r="355">
      <c r="A355" s="11" t="n"/>
      <c r="B355" s="12" t="n">
        <v>6704258</v>
      </c>
      <c r="C355" s="12" t="n">
        <v>7</v>
      </c>
      <c r="D355" s="12" t="n">
        <v>11</v>
      </c>
      <c r="E355" s="13" t="n">
        <v>260235</v>
      </c>
      <c r="F355" s="12" t="n"/>
      <c r="G355" s="13" t="n"/>
      <c r="H355" s="12" t="n"/>
      <c r="I355" s="12" t="n"/>
      <c r="J355" s="12" t="n"/>
      <c r="K355" s="12" t="n"/>
      <c r="L355" s="11" t="n"/>
      <c r="M355" s="11" t="n"/>
      <c r="N355" s="11" t="n"/>
      <c r="O355" s="11" t="n"/>
      <c r="P355" s="12" t="n"/>
      <c r="Q355" s="11" t="n"/>
      <c r="R355" s="12" t="n"/>
      <c r="S355" s="11" t="n"/>
      <c r="T355" s="12" t="n"/>
      <c r="U355" s="12" t="n"/>
      <c r="V355" s="12" t="n"/>
      <c r="W355" s="13" t="n"/>
      <c r="X355" s="14">
        <f>IF($AP355="",IF($B355="","",$H355),IF(INDEX(職員マスタ!$B$6:$B$405,$AP355)="",$H355,INDEX(職員マスタ!$B$6:$B$405,$AP355)))</f>
        <v/>
      </c>
      <c r="Y355" s="14">
        <f>IF($AP355="",IF($B355="","",$R355),IF(INDEX(職員マスタ!$C$6:$C$405,$AP355)="",$R355,INDEX(職員マスタ!$C$6:$C$405,$AP355)))</f>
        <v/>
      </c>
      <c r="Z355" s="14">
        <f>IF($AQ355="","","R"&amp;$C355&amp;"."&amp;$D355)</f>
        <v/>
      </c>
      <c r="AA355" s="15">
        <f>IF(IF($AP355="",FALSE,INDEX(職員マスタ!$K$6:$K$405,$AP355)&lt;&gt;""),INDEX(職員マスタ!$K$6:$K$405,$AP355),IF(N($W355)&gt;0,$W355,""))</f>
        <v/>
      </c>
      <c r="AB355" s="14">
        <f>IF(OR($E355="",$AA355=""),"",IF($E355&gt;=$AA355,"×",IF($E355&gt;=$AA355*設定!$C$5,"△","○")))</f>
        <v/>
      </c>
      <c r="AC355" s="15">
        <f>IF($AB355="","",IF($AB355="×",0,IF($AB355="○",ROUNDDOWN($E355*設定!$C$4,0),ROUNDDOWN($E355*ROUND((9*$AA355-9*$E355)/(10*$E355),4),0))))</f>
        <v/>
      </c>
      <c r="AD355" s="13" t="n"/>
      <c r="AE355" s="15">
        <f>IF($B355="","",IF($AD355&lt;&gt;"",$AD355,IF($AC355="","",IF($AC355&lt;=設定!$C$3,0,$AC355))))</f>
        <v/>
      </c>
      <c r="AF355" s="14">
        <f>IF($B355="","",IF(AND($AG355&lt;&gt;"",$AI355="",$AL355=""),"保留中",IF($AL355&lt;&gt;"",IF(N($AE355)&gt;0,"支給済","不支給"),IF($AE355="","要確認",IF($AE355=0,"不支給","未処理")))))</f>
        <v/>
      </c>
      <c r="AG355" s="12" t="n"/>
      <c r="AH355" s="11" t="n"/>
      <c r="AI355" s="11" t="n"/>
      <c r="AJ355" s="11" t="n"/>
      <c r="AK355" s="14">
        <f>IF(AND($AF355="保留中",$AH355&lt;&gt;""),TODAY()-$AH355,"")</f>
        <v/>
      </c>
      <c r="AL355" s="12" t="inlineStr">
        <is>
          <t>R8.1</t>
        </is>
      </c>
      <c r="AM355" s="14">
        <f>IF($B355="","",IF($AQ355="","対象年月が未入力／","")&amp;IF($B355="","",IF($AP355="","職員マスタに未登録の職員番号／",IF($AA355="","標準報酬月額が未登録／","")&amp;IF(AND($AQ355&lt;&gt;"",OR(AND(INDEX(職員マスタ!$G$6:$G$405,$AP355)&lt;&gt;"",INDEX(職員マスタ!$G$6:$G$405,$AP355)&gt;EOMONTH($AQ355,0)),AND(INDEX(職員マスタ!$H$6:$H$405,$AP355)&lt;&gt;"",INDEX(職員マスタ!$H$6:$H$405,$AP355)&lt;$AQ355))),"対象月が時短期間外／","")&amp;IF(AND(INDEX(職員マスタ!$K$6:$K$405,$AP355)&lt;&gt;"",N($W355)&gt;0,INDEX(職員マスタ!$K$6:$K$405,$AP355)&lt;&gt;$W355),"標準報酬月額が申請書と相違（台帳"&amp;TEXT(INDEX(職員マスタ!$K$6:$K$405,$AP355),"#,##0")&amp;"円／申請書"&amp;TEXT($W355,"#,##0")&amp;"円）／","")&amp;IF(AND(INDEX(職員マスタ!$F$6:$F$405,$AP355)&lt;&gt;"",$AQ355&lt;&gt;"",INDEX(職員マスタ!$F$6:$F$405,$AP355)&lt;$AQ355),"対象月に子が2歳到達済／","")&amp;IF(AND($H355&lt;&gt;"",INDEX(職員マスタ!$B$6:$B$405,$AP355)&lt;&gt;"",SUBSTITUTE(SUBSTITUTE($H355," ","")," ","")&lt;&gt;SUBSTITUTE(SUBSTITUTE(INDEX(職員マスタ!$B$6:$B$405,$AP355)," ","")," ","")),"氏名がマスタと相違／","")&amp;IF(AND($Q355&lt;&gt;"",INDEX(職員マスタ!$E$6:$E$405,$AP355)&lt;&gt;"",$Q355&lt;&gt;INDEX(職員マスタ!$E$6:$E$405,$AP355)),"子の生年月日がマスタと相違／","")&amp;IF(AND($L355&lt;&gt;"",INDEX(職員マスタ!$G$6:$G$405,$AP355)&lt;&gt;"",$L355&lt;&gt;INDEX(職員マスタ!$G$6:$G$405,$AP355)),"時短開始日がマスタと相違／","")&amp;IF(AND($M355&lt;&gt;"",INDEX(職員マスタ!$H$6:$H$405,$AP355)&lt;&gt;"",$M355&lt;&gt;INDEX(職員マスタ!$H$6:$H$405,$AP355)),"時短終了日がマスタと相違／","")))&amp;IF(AND($B355&lt;&gt;"",$E355=""),"報酬額が未入力／","")&amp;IF(N($U355)&gt;0,"申請書に入力エラーが残っています／","")&amp;IF(AND($B355&lt;&gt;"",$AQ355&lt;&gt;""),IF(COUNTIFS($B$6:$B$3005,$B355,$C$6:$C$3005,$C355,$D$6:$D$3005,$D355)&gt;1,"同じ月の請求が重複しています／",""),"")&amp;IF(AND(N($E355)&gt;0,$AB355&lt;&gt;"",$AB355&lt;&gt;"×",$AE355=0,$AD355=""),"計算額が下限以下のため不支給／",""))</f>
        <v/>
      </c>
      <c r="AN355" s="12" t="n"/>
      <c r="AO355" s="14">
        <f>IF($AF355="保留中",COUNTIF($AF$6:$AF355,"保留中"),"")</f>
        <v/>
      </c>
      <c r="AP355" s="14">
        <f>IF($AQ355="","",IF(SUMPRODUCT(MAX((職員マスタ!$A$6:$A$405=$B355)*(((職員マスタ!$G$6:$G$405="")+(職員マスタ!$G$6:$G$405&lt;=EOMONTH($AQ355,0)))&gt;0)*(((職員マスタ!$H$6:$H$405="")+(職員マスタ!$H$6:$H$405&gt;=$AQ355))&gt;0)*(ROW(職員マスタ!$A$6:$A$405)-5)))&gt;0,SUMPRODUCT(MAX((職員マスタ!$A$6:$A$405=$B355)*(((職員マスタ!$G$6:$G$405="")+(職員マスタ!$G$6:$G$405&lt;=EOMONTH($AQ355,0)))&gt;0)*(((職員マスタ!$H$6:$H$405="")+(職員マスタ!$H$6:$H$405&gt;=$AQ355))&gt;0)*(ROW(職員マスタ!$A$6:$A$405)-5))),IFERROR(MATCH($B355,職員マスタ!$A$6:$A$405,0),"")))</f>
        <v/>
      </c>
      <c r="AQ355" s="16">
        <f>IF(OR($B355="",$C355="",$D355=""),"",DATE($C355+2018,$D355,1))</f>
        <v/>
      </c>
    </row>
    <row r="356">
      <c r="A356" s="11" t="n"/>
      <c r="B356" s="12" t="n">
        <v>6704258</v>
      </c>
      <c r="C356" s="12" t="n">
        <v>7</v>
      </c>
      <c r="D356" s="12" t="n">
        <v>12</v>
      </c>
      <c r="E356" s="13" t="n">
        <v>282463</v>
      </c>
      <c r="F356" s="12" t="n"/>
      <c r="G356" s="13" t="n"/>
      <c r="H356" s="12" t="n"/>
      <c r="I356" s="12" t="n"/>
      <c r="J356" s="12" t="n"/>
      <c r="K356" s="12" t="n"/>
      <c r="L356" s="11" t="n"/>
      <c r="M356" s="11" t="n"/>
      <c r="N356" s="11" t="n"/>
      <c r="O356" s="11" t="n"/>
      <c r="P356" s="12" t="n"/>
      <c r="Q356" s="11" t="n"/>
      <c r="R356" s="12" t="n"/>
      <c r="S356" s="11" t="n"/>
      <c r="T356" s="12" t="n"/>
      <c r="U356" s="12" t="n"/>
      <c r="V356" s="12" t="n"/>
      <c r="W356" s="13" t="n"/>
      <c r="X356" s="14">
        <f>IF($AP356="",IF($B356="","",$H356),IF(INDEX(職員マスタ!$B$6:$B$405,$AP356)="",$H356,INDEX(職員マスタ!$B$6:$B$405,$AP356)))</f>
        <v/>
      </c>
      <c r="Y356" s="14">
        <f>IF($AP356="",IF($B356="","",$R356),IF(INDEX(職員マスタ!$C$6:$C$405,$AP356)="",$R356,INDEX(職員マスタ!$C$6:$C$405,$AP356)))</f>
        <v/>
      </c>
      <c r="Z356" s="14">
        <f>IF($AQ356="","","R"&amp;$C356&amp;"."&amp;$D356)</f>
        <v/>
      </c>
      <c r="AA356" s="15">
        <f>IF(IF($AP356="",FALSE,INDEX(職員マスタ!$K$6:$K$405,$AP356)&lt;&gt;""),INDEX(職員マスタ!$K$6:$K$405,$AP356),IF(N($W356)&gt;0,$W356,""))</f>
        <v/>
      </c>
      <c r="AB356" s="14">
        <f>IF(OR($E356="",$AA356=""),"",IF($E356&gt;=$AA356,"×",IF($E356&gt;=$AA356*設定!$C$5,"△","○")))</f>
        <v/>
      </c>
      <c r="AC356" s="15">
        <f>IF($AB356="","",IF($AB356="×",0,IF($AB356="○",ROUNDDOWN($E356*設定!$C$4,0),ROUNDDOWN($E356*ROUND((9*$AA356-9*$E356)/(10*$E356),4),0))))</f>
        <v/>
      </c>
      <c r="AD356" s="13" t="n"/>
      <c r="AE356" s="15">
        <f>IF($B356="","",IF($AD356&lt;&gt;"",$AD356,IF($AC356="","",IF($AC356&lt;=設定!$C$3,0,$AC356))))</f>
        <v/>
      </c>
      <c r="AF356" s="14">
        <f>IF($B356="","",IF(AND($AG356&lt;&gt;"",$AI356="",$AL356=""),"保留中",IF($AL356&lt;&gt;"",IF(N($AE356)&gt;0,"支給済","不支給"),IF($AE356="","要確認",IF($AE356=0,"不支給","未処理")))))</f>
        <v/>
      </c>
      <c r="AG356" s="12" t="n"/>
      <c r="AH356" s="11" t="n"/>
      <c r="AI356" s="11" t="n"/>
      <c r="AJ356" s="11" t="n"/>
      <c r="AK356" s="14">
        <f>IF(AND($AF356="保留中",$AH356&lt;&gt;""),TODAY()-$AH356,"")</f>
        <v/>
      </c>
      <c r="AL356" s="12" t="inlineStr">
        <is>
          <t>R8.2</t>
        </is>
      </c>
      <c r="AM356" s="14">
        <f>IF($B356="","",IF($AQ356="","対象年月が未入力／","")&amp;IF($B356="","",IF($AP356="","職員マスタに未登録の職員番号／",IF($AA356="","標準報酬月額が未登録／","")&amp;IF(AND($AQ356&lt;&gt;"",OR(AND(INDEX(職員マスタ!$G$6:$G$405,$AP356)&lt;&gt;"",INDEX(職員マスタ!$G$6:$G$405,$AP356)&gt;EOMONTH($AQ356,0)),AND(INDEX(職員マスタ!$H$6:$H$405,$AP356)&lt;&gt;"",INDEX(職員マスタ!$H$6:$H$405,$AP356)&lt;$AQ356))),"対象月が時短期間外／","")&amp;IF(AND(INDEX(職員マスタ!$K$6:$K$405,$AP356)&lt;&gt;"",N($W356)&gt;0,INDEX(職員マスタ!$K$6:$K$405,$AP356)&lt;&gt;$W356),"標準報酬月額が申請書と相違（台帳"&amp;TEXT(INDEX(職員マスタ!$K$6:$K$405,$AP356),"#,##0")&amp;"円／申請書"&amp;TEXT($W356,"#,##0")&amp;"円）／","")&amp;IF(AND(INDEX(職員マスタ!$F$6:$F$405,$AP356)&lt;&gt;"",$AQ356&lt;&gt;"",INDEX(職員マスタ!$F$6:$F$405,$AP356)&lt;$AQ356),"対象月に子が2歳到達済／","")&amp;IF(AND($H356&lt;&gt;"",INDEX(職員マスタ!$B$6:$B$405,$AP356)&lt;&gt;"",SUBSTITUTE(SUBSTITUTE($H356," ","")," ","")&lt;&gt;SUBSTITUTE(SUBSTITUTE(INDEX(職員マスタ!$B$6:$B$405,$AP356)," ","")," ","")),"氏名がマスタと相違／","")&amp;IF(AND($Q356&lt;&gt;"",INDEX(職員マスタ!$E$6:$E$405,$AP356)&lt;&gt;"",$Q356&lt;&gt;INDEX(職員マスタ!$E$6:$E$405,$AP356)),"子の生年月日がマスタと相違／","")&amp;IF(AND($L356&lt;&gt;"",INDEX(職員マスタ!$G$6:$G$405,$AP356)&lt;&gt;"",$L356&lt;&gt;INDEX(職員マスタ!$G$6:$G$405,$AP356)),"時短開始日がマスタと相違／","")&amp;IF(AND($M356&lt;&gt;"",INDEX(職員マスタ!$H$6:$H$405,$AP356)&lt;&gt;"",$M356&lt;&gt;INDEX(職員マスタ!$H$6:$H$405,$AP356)),"時短終了日がマスタと相違／","")))&amp;IF(AND($B356&lt;&gt;"",$E356=""),"報酬額が未入力／","")&amp;IF(N($U356)&gt;0,"申請書に入力エラーが残っています／","")&amp;IF(AND($B356&lt;&gt;"",$AQ356&lt;&gt;""),IF(COUNTIFS($B$6:$B$3005,$B356,$C$6:$C$3005,$C356,$D$6:$D$3005,$D356)&gt;1,"同じ月の請求が重複しています／",""),"")&amp;IF(AND(N($E356)&gt;0,$AB356&lt;&gt;"",$AB356&lt;&gt;"×",$AE356=0,$AD356=""),"計算額が下限以下のため不支給／",""))</f>
        <v/>
      </c>
      <c r="AN356" s="12" t="n"/>
      <c r="AO356" s="14">
        <f>IF($AF356="保留中",COUNTIF($AF$6:$AF356,"保留中"),"")</f>
        <v/>
      </c>
      <c r="AP356" s="14">
        <f>IF($AQ356="","",IF(SUMPRODUCT(MAX((職員マスタ!$A$6:$A$405=$B356)*(((職員マスタ!$G$6:$G$405="")+(職員マスタ!$G$6:$G$405&lt;=EOMONTH($AQ356,0)))&gt;0)*(((職員マスタ!$H$6:$H$405="")+(職員マスタ!$H$6:$H$405&gt;=$AQ356))&gt;0)*(ROW(職員マスタ!$A$6:$A$405)-5)))&gt;0,SUMPRODUCT(MAX((職員マスタ!$A$6:$A$405=$B356)*(((職員マスタ!$G$6:$G$405="")+(職員マスタ!$G$6:$G$405&lt;=EOMONTH($AQ356,0)))&gt;0)*(((職員マスタ!$H$6:$H$405="")+(職員マスタ!$H$6:$H$405&gt;=$AQ356))&gt;0)*(ROW(職員マスタ!$A$6:$A$405)-5))),IFERROR(MATCH($B356,職員マスタ!$A$6:$A$405,0),"")))</f>
        <v/>
      </c>
      <c r="AQ356" s="16">
        <f>IF(OR($B356="",$C356="",$D356=""),"",DATE($C356+2018,$D356,1))</f>
        <v/>
      </c>
    </row>
    <row r="357">
      <c r="A357" s="11" t="n"/>
      <c r="B357" s="12" t="n">
        <v>6704258</v>
      </c>
      <c r="C357" s="12" t="n">
        <v>8</v>
      </c>
      <c r="D357" s="12" t="n">
        <v>1</v>
      </c>
      <c r="E357" s="13" t="n">
        <v>296819</v>
      </c>
      <c r="F357" s="12" t="n"/>
      <c r="G357" s="13" t="n"/>
      <c r="H357" s="12" t="n"/>
      <c r="I357" s="12" t="n"/>
      <c r="J357" s="12" t="n"/>
      <c r="K357" s="12" t="n"/>
      <c r="L357" s="11" t="n"/>
      <c r="M357" s="11" t="n"/>
      <c r="N357" s="11" t="n"/>
      <c r="O357" s="11" t="n"/>
      <c r="P357" s="12" t="n"/>
      <c r="Q357" s="11" t="n"/>
      <c r="R357" s="12" t="n"/>
      <c r="S357" s="11" t="n"/>
      <c r="T357" s="12" t="n"/>
      <c r="U357" s="12" t="n"/>
      <c r="V357" s="12" t="n"/>
      <c r="W357" s="13" t="n"/>
      <c r="X357" s="14">
        <f>IF($AP357="",IF($B357="","",$H357),IF(INDEX(職員マスタ!$B$6:$B$405,$AP357)="",$H357,INDEX(職員マスタ!$B$6:$B$405,$AP357)))</f>
        <v/>
      </c>
      <c r="Y357" s="14">
        <f>IF($AP357="",IF($B357="","",$R357),IF(INDEX(職員マスタ!$C$6:$C$405,$AP357)="",$R357,INDEX(職員マスタ!$C$6:$C$405,$AP357)))</f>
        <v/>
      </c>
      <c r="Z357" s="14">
        <f>IF($AQ357="","","R"&amp;$C357&amp;"."&amp;$D357)</f>
        <v/>
      </c>
      <c r="AA357" s="15">
        <f>IF(IF($AP357="",FALSE,INDEX(職員マスタ!$K$6:$K$405,$AP357)&lt;&gt;""),INDEX(職員マスタ!$K$6:$K$405,$AP357),IF(N($W357)&gt;0,$W357,""))</f>
        <v/>
      </c>
      <c r="AB357" s="14">
        <f>IF(OR($E357="",$AA357=""),"",IF($E357&gt;=$AA357,"×",IF($E357&gt;=$AA357*設定!$C$5,"△","○")))</f>
        <v/>
      </c>
      <c r="AC357" s="15">
        <f>IF($AB357="","",IF($AB357="×",0,IF($AB357="○",ROUNDDOWN($E357*設定!$C$4,0),ROUNDDOWN($E357*ROUND((9*$AA357-9*$E357)/(10*$E357),4),0))))</f>
        <v/>
      </c>
      <c r="AD357" s="13" t="n"/>
      <c r="AE357" s="15">
        <f>IF($B357="","",IF($AD357&lt;&gt;"",$AD357,IF($AC357="","",IF($AC357&lt;=設定!$C$3,0,$AC357))))</f>
        <v/>
      </c>
      <c r="AF357" s="14">
        <f>IF($B357="","",IF(AND($AG357&lt;&gt;"",$AI357="",$AL357=""),"保留中",IF($AL357&lt;&gt;"",IF(N($AE357)&gt;0,"支給済","不支給"),IF($AE357="","要確認",IF($AE357=0,"不支給","未処理")))))</f>
        <v/>
      </c>
      <c r="AG357" s="12" t="n"/>
      <c r="AH357" s="11" t="n"/>
      <c r="AI357" s="11" t="n"/>
      <c r="AJ357" s="11" t="n"/>
      <c r="AK357" s="14">
        <f>IF(AND($AF357="保留中",$AH357&lt;&gt;""),TODAY()-$AH357,"")</f>
        <v/>
      </c>
      <c r="AL357" s="12" t="inlineStr">
        <is>
          <t>R8.3</t>
        </is>
      </c>
      <c r="AM357" s="14">
        <f>IF($B357="","",IF($AQ357="","対象年月が未入力／","")&amp;IF($B357="","",IF($AP357="","職員マスタに未登録の職員番号／",IF($AA357="","標準報酬月額が未登録／","")&amp;IF(AND($AQ357&lt;&gt;"",OR(AND(INDEX(職員マスタ!$G$6:$G$405,$AP357)&lt;&gt;"",INDEX(職員マスタ!$G$6:$G$405,$AP357)&gt;EOMONTH($AQ357,0)),AND(INDEX(職員マスタ!$H$6:$H$405,$AP357)&lt;&gt;"",INDEX(職員マスタ!$H$6:$H$405,$AP357)&lt;$AQ357))),"対象月が時短期間外／","")&amp;IF(AND(INDEX(職員マスタ!$K$6:$K$405,$AP357)&lt;&gt;"",N($W357)&gt;0,INDEX(職員マスタ!$K$6:$K$405,$AP357)&lt;&gt;$W357),"標準報酬月額が申請書と相違（台帳"&amp;TEXT(INDEX(職員マスタ!$K$6:$K$405,$AP357),"#,##0")&amp;"円／申請書"&amp;TEXT($W357,"#,##0")&amp;"円）／","")&amp;IF(AND(INDEX(職員マスタ!$F$6:$F$405,$AP357)&lt;&gt;"",$AQ357&lt;&gt;"",INDEX(職員マスタ!$F$6:$F$405,$AP357)&lt;$AQ357),"対象月に子が2歳到達済／","")&amp;IF(AND($H357&lt;&gt;"",INDEX(職員マスタ!$B$6:$B$405,$AP357)&lt;&gt;"",SUBSTITUTE(SUBSTITUTE($H357," ","")," ","")&lt;&gt;SUBSTITUTE(SUBSTITUTE(INDEX(職員マスタ!$B$6:$B$405,$AP357)," ","")," ","")),"氏名がマスタと相違／","")&amp;IF(AND($Q357&lt;&gt;"",INDEX(職員マスタ!$E$6:$E$405,$AP357)&lt;&gt;"",$Q357&lt;&gt;INDEX(職員マスタ!$E$6:$E$405,$AP357)),"子の生年月日がマスタと相違／","")&amp;IF(AND($L357&lt;&gt;"",INDEX(職員マスタ!$G$6:$G$405,$AP357)&lt;&gt;"",$L357&lt;&gt;INDEX(職員マスタ!$G$6:$G$405,$AP357)),"時短開始日がマスタと相違／","")&amp;IF(AND($M357&lt;&gt;"",INDEX(職員マスタ!$H$6:$H$405,$AP357)&lt;&gt;"",$M357&lt;&gt;INDEX(職員マスタ!$H$6:$H$405,$AP357)),"時短終了日がマスタと相違／","")))&amp;IF(AND($B357&lt;&gt;"",$E357=""),"報酬額が未入力／","")&amp;IF(N($U357)&gt;0,"申請書に入力エラーが残っています／","")&amp;IF(AND($B357&lt;&gt;"",$AQ357&lt;&gt;""),IF(COUNTIFS($B$6:$B$3005,$B357,$C$6:$C$3005,$C357,$D$6:$D$3005,$D357)&gt;1,"同じ月の請求が重複しています／",""),"")&amp;IF(AND(N($E357)&gt;0,$AB357&lt;&gt;"",$AB357&lt;&gt;"×",$AE357=0,$AD357=""),"計算額が下限以下のため不支給／",""))</f>
        <v/>
      </c>
      <c r="AN357" s="12" t="n"/>
      <c r="AO357" s="14">
        <f>IF($AF357="保留中",COUNTIF($AF$6:$AF357,"保留中"),"")</f>
        <v/>
      </c>
      <c r="AP357" s="14">
        <f>IF($AQ357="","",IF(SUMPRODUCT(MAX((職員マスタ!$A$6:$A$405=$B357)*(((職員マスタ!$G$6:$G$405="")+(職員マスタ!$G$6:$G$405&lt;=EOMONTH($AQ357,0)))&gt;0)*(((職員マスタ!$H$6:$H$405="")+(職員マスタ!$H$6:$H$405&gt;=$AQ357))&gt;0)*(ROW(職員マスタ!$A$6:$A$405)-5)))&gt;0,SUMPRODUCT(MAX((職員マスタ!$A$6:$A$405=$B357)*(((職員マスタ!$G$6:$G$405="")+(職員マスタ!$G$6:$G$405&lt;=EOMONTH($AQ357,0)))&gt;0)*(((職員マスタ!$H$6:$H$405="")+(職員マスタ!$H$6:$H$405&gt;=$AQ357))&gt;0)*(ROW(職員マスタ!$A$6:$A$405)-5))),IFERROR(MATCH($B357,職員マスタ!$A$6:$A$405,0),"")))</f>
        <v/>
      </c>
      <c r="AQ357" s="16">
        <f>IF(OR($B357="",$C357="",$D357=""),"",DATE($C357+2018,$D357,1))</f>
        <v/>
      </c>
    </row>
    <row r="358">
      <c r="A358" s="11" t="n"/>
      <c r="B358" s="12" t="n">
        <v>6801509</v>
      </c>
      <c r="C358" s="12" t="n">
        <v>8</v>
      </c>
      <c r="D358" s="12" t="n">
        <v>3</v>
      </c>
      <c r="E358" s="13" t="n">
        <v>365038</v>
      </c>
      <c r="F358" s="12" t="n"/>
      <c r="G358" s="13" t="n"/>
      <c r="H358" s="12" t="n"/>
      <c r="I358" s="12" t="n"/>
      <c r="J358" s="12" t="n"/>
      <c r="K358" s="12" t="n"/>
      <c r="L358" s="11" t="n"/>
      <c r="M358" s="11" t="n"/>
      <c r="N358" s="11" t="n"/>
      <c r="O358" s="11" t="n"/>
      <c r="P358" s="12" t="n"/>
      <c r="Q358" s="11" t="n"/>
      <c r="R358" s="12" t="n"/>
      <c r="S358" s="11" t="n"/>
      <c r="T358" s="12" t="n"/>
      <c r="U358" s="12" t="n"/>
      <c r="V358" s="12" t="n"/>
      <c r="W358" s="13" t="n"/>
      <c r="X358" s="14">
        <f>IF($AP358="",IF($B358="","",$H358),IF(INDEX(職員マスタ!$B$6:$B$405,$AP358)="",$H358,INDEX(職員マスタ!$B$6:$B$405,$AP358)))</f>
        <v/>
      </c>
      <c r="Y358" s="14">
        <f>IF($AP358="",IF($B358="","",$R358),IF(INDEX(職員マスタ!$C$6:$C$405,$AP358)="",$R358,INDEX(職員マスタ!$C$6:$C$405,$AP358)))</f>
        <v/>
      </c>
      <c r="Z358" s="14">
        <f>IF($AQ358="","","R"&amp;$C358&amp;"."&amp;$D358)</f>
        <v/>
      </c>
      <c r="AA358" s="15">
        <f>IF(IF($AP358="",FALSE,INDEX(職員マスタ!$K$6:$K$405,$AP358)&lt;&gt;""),INDEX(職員マスタ!$K$6:$K$405,$AP358),IF(N($W358)&gt;0,$W358,""))</f>
        <v/>
      </c>
      <c r="AB358" s="14">
        <f>IF(OR($E358="",$AA358=""),"",IF($E358&gt;=$AA358,"×",IF($E358&gt;=$AA358*設定!$C$5,"△","○")))</f>
        <v/>
      </c>
      <c r="AC358" s="15">
        <f>IF($AB358="","",IF($AB358="×",0,IF($AB358="○",ROUNDDOWN($E358*設定!$C$4,0),ROUNDDOWN($E358*ROUND((9*$AA358-9*$E358)/(10*$E358),4),0))))</f>
        <v/>
      </c>
      <c r="AD358" s="13" t="n"/>
      <c r="AE358" s="15">
        <f>IF($B358="","",IF($AD358&lt;&gt;"",$AD358,IF($AC358="","",IF($AC358&lt;=設定!$C$3,0,$AC358))))</f>
        <v/>
      </c>
      <c r="AF358" s="14">
        <f>IF($B358="","",IF(AND($AG358&lt;&gt;"",$AI358="",$AL358=""),"保留中",IF($AL358&lt;&gt;"",IF(N($AE358)&gt;0,"支給済","不支給"),IF($AE358="","要確認",IF($AE358=0,"不支給","未処理")))))</f>
        <v/>
      </c>
      <c r="AG358" s="12" t="n"/>
      <c r="AH358" s="11" t="n"/>
      <c r="AI358" s="11" t="n"/>
      <c r="AJ358" s="11" t="n"/>
      <c r="AK358" s="14">
        <f>IF(AND($AF358="保留中",$AH358&lt;&gt;""),TODAY()-$AH358,"")</f>
        <v/>
      </c>
      <c r="AL358" s="12" t="inlineStr">
        <is>
          <t>R8.10</t>
        </is>
      </c>
      <c r="AM358" s="14">
        <f>IF($B358="","",IF($AQ358="","対象年月が未入力／","")&amp;IF($B358="","",IF($AP358="","職員マスタに未登録の職員番号／",IF($AA358="","標準報酬月額が未登録／","")&amp;IF(AND($AQ358&lt;&gt;"",OR(AND(INDEX(職員マスタ!$G$6:$G$405,$AP358)&lt;&gt;"",INDEX(職員マスタ!$G$6:$G$405,$AP358)&gt;EOMONTH($AQ358,0)),AND(INDEX(職員マスタ!$H$6:$H$405,$AP358)&lt;&gt;"",INDEX(職員マスタ!$H$6:$H$405,$AP358)&lt;$AQ358))),"対象月が時短期間外／","")&amp;IF(AND(INDEX(職員マスタ!$K$6:$K$405,$AP358)&lt;&gt;"",N($W358)&gt;0,INDEX(職員マスタ!$K$6:$K$405,$AP358)&lt;&gt;$W358),"標準報酬月額が申請書と相違（台帳"&amp;TEXT(INDEX(職員マスタ!$K$6:$K$405,$AP358),"#,##0")&amp;"円／申請書"&amp;TEXT($W358,"#,##0")&amp;"円）／","")&amp;IF(AND(INDEX(職員マスタ!$F$6:$F$405,$AP358)&lt;&gt;"",$AQ358&lt;&gt;"",INDEX(職員マスタ!$F$6:$F$405,$AP358)&lt;$AQ358),"対象月に子が2歳到達済／","")&amp;IF(AND($H358&lt;&gt;"",INDEX(職員マスタ!$B$6:$B$405,$AP358)&lt;&gt;"",SUBSTITUTE(SUBSTITUTE($H358," ","")," ","")&lt;&gt;SUBSTITUTE(SUBSTITUTE(INDEX(職員マスタ!$B$6:$B$405,$AP358)," ","")," ","")),"氏名がマスタと相違／","")&amp;IF(AND($Q358&lt;&gt;"",INDEX(職員マスタ!$E$6:$E$405,$AP358)&lt;&gt;"",$Q358&lt;&gt;INDEX(職員マスタ!$E$6:$E$405,$AP358)),"子の生年月日がマスタと相違／","")&amp;IF(AND($L358&lt;&gt;"",INDEX(職員マスタ!$G$6:$G$405,$AP358)&lt;&gt;"",$L358&lt;&gt;INDEX(職員マスタ!$G$6:$G$405,$AP358)),"時短開始日がマスタと相違／","")&amp;IF(AND($M358&lt;&gt;"",INDEX(職員マスタ!$H$6:$H$405,$AP358)&lt;&gt;"",$M358&lt;&gt;INDEX(職員マスタ!$H$6:$H$405,$AP358)),"時短終了日がマスタと相違／","")))&amp;IF(AND($B358&lt;&gt;"",$E358=""),"報酬額が未入力／","")&amp;IF(N($U358)&gt;0,"申請書に入力エラーが残っています／","")&amp;IF(AND($B358&lt;&gt;"",$AQ358&lt;&gt;""),IF(COUNTIFS($B$6:$B$3005,$B358,$C$6:$C$3005,$C358,$D$6:$D$3005,$D358)&gt;1,"同じ月の請求が重複しています／",""),"")&amp;IF(AND(N($E358)&gt;0,$AB358&lt;&gt;"",$AB358&lt;&gt;"×",$AE358=0,$AD358=""),"計算額が下限以下のため不支給／",""))</f>
        <v/>
      </c>
      <c r="AN358" s="12" t="n"/>
      <c r="AO358" s="14">
        <f>IF($AF358="保留中",COUNTIF($AF$6:$AF358,"保留中"),"")</f>
        <v/>
      </c>
      <c r="AP358" s="14">
        <f>IF($AQ358="","",IF(SUMPRODUCT(MAX((職員マスタ!$A$6:$A$405=$B358)*(((職員マスタ!$G$6:$G$405="")+(職員マスタ!$G$6:$G$405&lt;=EOMONTH($AQ358,0)))&gt;0)*(((職員マスタ!$H$6:$H$405="")+(職員マスタ!$H$6:$H$405&gt;=$AQ358))&gt;0)*(ROW(職員マスタ!$A$6:$A$405)-5)))&gt;0,SUMPRODUCT(MAX((職員マスタ!$A$6:$A$405=$B358)*(((職員マスタ!$G$6:$G$405="")+(職員マスタ!$G$6:$G$405&lt;=EOMONTH($AQ358,0)))&gt;0)*(((職員マスタ!$H$6:$H$405="")+(職員マスタ!$H$6:$H$405&gt;=$AQ358))&gt;0)*(ROW(職員マスタ!$A$6:$A$405)-5))),IFERROR(MATCH($B358,職員マスタ!$A$6:$A$405,0),"")))</f>
        <v/>
      </c>
      <c r="AQ358" s="16">
        <f>IF(OR($B358="",$C358="",$D358=""),"",DATE($C358+2018,$D358,1))</f>
        <v/>
      </c>
    </row>
    <row r="359">
      <c r="A359" s="11" t="n"/>
      <c r="B359" s="12" t="n">
        <v>6801509</v>
      </c>
      <c r="C359" s="12" t="n">
        <v>8</v>
      </c>
      <c r="D359" s="12" t="n">
        <v>5</v>
      </c>
      <c r="E359" s="13" t="n">
        <v>314708</v>
      </c>
      <c r="F359" s="12" t="n"/>
      <c r="G359" s="13" t="n"/>
      <c r="H359" s="12" t="n"/>
      <c r="I359" s="12" t="n"/>
      <c r="J359" s="12" t="n"/>
      <c r="K359" s="12" t="n"/>
      <c r="L359" s="11" t="n"/>
      <c r="M359" s="11" t="n"/>
      <c r="N359" s="11" t="n"/>
      <c r="O359" s="11" t="n"/>
      <c r="P359" s="12" t="n"/>
      <c r="Q359" s="11" t="n"/>
      <c r="R359" s="12" t="n"/>
      <c r="S359" s="11" t="n"/>
      <c r="T359" s="12" t="n"/>
      <c r="U359" s="12" t="n"/>
      <c r="V359" s="12" t="n"/>
      <c r="W359" s="13" t="n"/>
      <c r="X359" s="14">
        <f>IF($AP359="",IF($B359="","",$H359),IF(INDEX(職員マスタ!$B$6:$B$405,$AP359)="",$H359,INDEX(職員マスタ!$B$6:$B$405,$AP359)))</f>
        <v/>
      </c>
      <c r="Y359" s="14">
        <f>IF($AP359="",IF($B359="","",$R359),IF(INDEX(職員マスタ!$C$6:$C$405,$AP359)="",$R359,INDEX(職員マスタ!$C$6:$C$405,$AP359)))</f>
        <v/>
      </c>
      <c r="Z359" s="14">
        <f>IF($AQ359="","","R"&amp;$C359&amp;"."&amp;$D359)</f>
        <v/>
      </c>
      <c r="AA359" s="15">
        <f>IF(IF($AP359="",FALSE,INDEX(職員マスタ!$K$6:$K$405,$AP359)&lt;&gt;""),INDEX(職員マスタ!$K$6:$K$405,$AP359),IF(N($W359)&gt;0,$W359,""))</f>
        <v/>
      </c>
      <c r="AB359" s="14">
        <f>IF(OR($E359="",$AA359=""),"",IF($E359&gt;=$AA359,"×",IF($E359&gt;=$AA359*設定!$C$5,"△","○")))</f>
        <v/>
      </c>
      <c r="AC359" s="15">
        <f>IF($AB359="","",IF($AB359="×",0,IF($AB359="○",ROUNDDOWN($E359*設定!$C$4,0),ROUNDDOWN($E359*ROUND((9*$AA359-9*$E359)/(10*$E359),4),0))))</f>
        <v/>
      </c>
      <c r="AD359" s="13" t="n"/>
      <c r="AE359" s="15">
        <f>IF($B359="","",IF($AD359&lt;&gt;"",$AD359,IF($AC359="","",IF($AC359&lt;=設定!$C$3,0,$AC359))))</f>
        <v/>
      </c>
      <c r="AF359" s="14">
        <f>IF($B359="","",IF(AND($AG359&lt;&gt;"",$AI359="",$AL359=""),"保留中",IF($AL359&lt;&gt;"",IF(N($AE359)&gt;0,"支給済","不支給"),IF($AE359="","要確認",IF($AE359=0,"不支給","未処理")))))</f>
        <v/>
      </c>
      <c r="AG359" s="12" t="n"/>
      <c r="AH359" s="11" t="n"/>
      <c r="AI359" s="11" t="n"/>
      <c r="AJ359" s="11" t="n"/>
      <c r="AK359" s="14">
        <f>IF(AND($AF359="保留中",$AH359&lt;&gt;""),TODAY()-$AH359,"")</f>
        <v/>
      </c>
      <c r="AL359" s="12" t="inlineStr">
        <is>
          <t>R8.10</t>
        </is>
      </c>
      <c r="AM359" s="14">
        <f>IF($B359="","",IF($AQ359="","対象年月が未入力／","")&amp;IF($B359="","",IF($AP359="","職員マスタに未登録の職員番号／",IF($AA359="","標準報酬月額が未登録／","")&amp;IF(AND($AQ359&lt;&gt;"",OR(AND(INDEX(職員マスタ!$G$6:$G$405,$AP359)&lt;&gt;"",INDEX(職員マスタ!$G$6:$G$405,$AP359)&gt;EOMONTH($AQ359,0)),AND(INDEX(職員マスタ!$H$6:$H$405,$AP359)&lt;&gt;"",INDEX(職員マスタ!$H$6:$H$405,$AP359)&lt;$AQ359))),"対象月が時短期間外／","")&amp;IF(AND(INDEX(職員マスタ!$K$6:$K$405,$AP359)&lt;&gt;"",N($W359)&gt;0,INDEX(職員マスタ!$K$6:$K$405,$AP359)&lt;&gt;$W359),"標準報酬月額が申請書と相違（台帳"&amp;TEXT(INDEX(職員マスタ!$K$6:$K$405,$AP359),"#,##0")&amp;"円／申請書"&amp;TEXT($W359,"#,##0")&amp;"円）／","")&amp;IF(AND(INDEX(職員マスタ!$F$6:$F$405,$AP359)&lt;&gt;"",$AQ359&lt;&gt;"",INDEX(職員マスタ!$F$6:$F$405,$AP359)&lt;$AQ359),"対象月に子が2歳到達済／","")&amp;IF(AND($H359&lt;&gt;"",INDEX(職員マスタ!$B$6:$B$405,$AP359)&lt;&gt;"",SUBSTITUTE(SUBSTITUTE($H359," ","")," ","")&lt;&gt;SUBSTITUTE(SUBSTITUTE(INDEX(職員マスタ!$B$6:$B$405,$AP359)," ","")," ","")),"氏名がマスタと相違／","")&amp;IF(AND($Q359&lt;&gt;"",INDEX(職員マスタ!$E$6:$E$405,$AP359)&lt;&gt;"",$Q359&lt;&gt;INDEX(職員マスタ!$E$6:$E$405,$AP359)),"子の生年月日がマスタと相違／","")&amp;IF(AND($L359&lt;&gt;"",INDEX(職員マスタ!$G$6:$G$405,$AP359)&lt;&gt;"",$L359&lt;&gt;INDEX(職員マスタ!$G$6:$G$405,$AP359)),"時短開始日がマスタと相違／","")&amp;IF(AND($M359&lt;&gt;"",INDEX(職員マスタ!$H$6:$H$405,$AP359)&lt;&gt;"",$M359&lt;&gt;INDEX(職員マスタ!$H$6:$H$405,$AP359)),"時短終了日がマスタと相違／","")))&amp;IF(AND($B359&lt;&gt;"",$E359=""),"報酬額が未入力／","")&amp;IF(N($U359)&gt;0,"申請書に入力エラーが残っています／","")&amp;IF(AND($B359&lt;&gt;"",$AQ359&lt;&gt;""),IF(COUNTIFS($B$6:$B$3005,$B359,$C$6:$C$3005,$C359,$D$6:$D$3005,$D359)&gt;1,"同じ月の請求が重複しています／",""),"")&amp;IF(AND(N($E359)&gt;0,$AB359&lt;&gt;"",$AB359&lt;&gt;"×",$AE359=0,$AD359=""),"計算額が下限以下のため不支給／",""))</f>
        <v/>
      </c>
      <c r="AN359" s="12" t="n"/>
      <c r="AO359" s="14">
        <f>IF($AF359="保留中",COUNTIF($AF$6:$AF359,"保留中"),"")</f>
        <v/>
      </c>
      <c r="AP359" s="14">
        <f>IF($AQ359="","",IF(SUMPRODUCT(MAX((職員マスタ!$A$6:$A$405=$B359)*(((職員マスタ!$G$6:$G$405="")+(職員マスタ!$G$6:$G$405&lt;=EOMONTH($AQ359,0)))&gt;0)*(((職員マスタ!$H$6:$H$405="")+(職員マスタ!$H$6:$H$405&gt;=$AQ359))&gt;0)*(ROW(職員マスタ!$A$6:$A$405)-5)))&gt;0,SUMPRODUCT(MAX((職員マスタ!$A$6:$A$405=$B359)*(((職員マスタ!$G$6:$G$405="")+(職員マスタ!$G$6:$G$405&lt;=EOMONTH($AQ359,0)))&gt;0)*(((職員マスタ!$H$6:$H$405="")+(職員マスタ!$H$6:$H$405&gt;=$AQ359))&gt;0)*(ROW(職員マスタ!$A$6:$A$405)-5))),IFERROR(MATCH($B359,職員マスタ!$A$6:$A$405,0),"")))</f>
        <v/>
      </c>
      <c r="AQ359" s="16">
        <f>IF(OR($B359="",$C359="",$D359=""),"",DATE($C359+2018,$D359,1))</f>
        <v/>
      </c>
    </row>
    <row r="360">
      <c r="A360" s="11" t="n"/>
      <c r="B360" s="12" t="n">
        <v>6801831</v>
      </c>
      <c r="C360" s="12" t="n">
        <v>7</v>
      </c>
      <c r="D360" s="12" t="n">
        <v>4</v>
      </c>
      <c r="E360" s="13" t="n">
        <v>104506</v>
      </c>
      <c r="F360" s="12" t="n"/>
      <c r="G360" s="13" t="n"/>
      <c r="H360" s="12" t="n"/>
      <c r="I360" s="12" t="n"/>
      <c r="J360" s="12" t="n"/>
      <c r="K360" s="12" t="n"/>
      <c r="L360" s="11" t="n"/>
      <c r="M360" s="11" t="n"/>
      <c r="N360" s="11" t="n"/>
      <c r="O360" s="11" t="n"/>
      <c r="P360" s="12" t="n"/>
      <c r="Q360" s="11" t="n"/>
      <c r="R360" s="12" t="n"/>
      <c r="S360" s="11" t="n"/>
      <c r="T360" s="12" t="n"/>
      <c r="U360" s="12" t="n"/>
      <c r="V360" s="12" t="n"/>
      <c r="W360" s="13" t="n"/>
      <c r="X360" s="14">
        <f>IF($AP360="",IF($B360="","",$H360),IF(INDEX(職員マスタ!$B$6:$B$405,$AP360)="",$H360,INDEX(職員マスタ!$B$6:$B$405,$AP360)))</f>
        <v/>
      </c>
      <c r="Y360" s="14">
        <f>IF($AP360="",IF($B360="","",$R360),IF(INDEX(職員マスタ!$C$6:$C$405,$AP360)="",$R360,INDEX(職員マスタ!$C$6:$C$405,$AP360)))</f>
        <v/>
      </c>
      <c r="Z360" s="14">
        <f>IF($AQ360="","","R"&amp;$C360&amp;"."&amp;$D360)</f>
        <v/>
      </c>
      <c r="AA360" s="15">
        <f>IF(IF($AP360="",FALSE,INDEX(職員マスタ!$K$6:$K$405,$AP360)&lt;&gt;""),INDEX(職員マスタ!$K$6:$K$405,$AP360),IF(N($W360)&gt;0,$W360,""))</f>
        <v/>
      </c>
      <c r="AB360" s="14">
        <f>IF(OR($E360="",$AA360=""),"",IF($E360&gt;=$AA360,"×",IF($E360&gt;=$AA360*設定!$C$5,"△","○")))</f>
        <v/>
      </c>
      <c r="AC360" s="15">
        <f>IF($AB360="","",IF($AB360="×",0,IF($AB360="○",ROUNDDOWN($E360*設定!$C$4,0),ROUNDDOWN($E360*ROUND((9*$AA360-9*$E360)/(10*$E360),4),0))))</f>
        <v/>
      </c>
      <c r="AD360" s="13" t="n"/>
      <c r="AE360" s="15">
        <f>IF($B360="","",IF($AD360&lt;&gt;"",$AD360,IF($AC360="","",IF($AC360&lt;=設定!$C$3,0,$AC360))))</f>
        <v/>
      </c>
      <c r="AF360" s="14">
        <f>IF($B360="","",IF(AND($AG360&lt;&gt;"",$AI360="",$AL360=""),"保留中",IF($AL360&lt;&gt;"",IF(N($AE360)&gt;0,"支給済","不支給"),IF($AE360="","要確認",IF($AE360=0,"不支給","未処理")))))</f>
        <v/>
      </c>
      <c r="AG360" s="12" t="n"/>
      <c r="AH360" s="11" t="n"/>
      <c r="AI360" s="11" t="n"/>
      <c r="AJ360" s="11" t="n"/>
      <c r="AK360" s="14">
        <f>IF(AND($AF360="保留中",$AH360&lt;&gt;""),TODAY()-$AH360,"")</f>
        <v/>
      </c>
      <c r="AL360" s="12" t="inlineStr">
        <is>
          <t>R7.8</t>
        </is>
      </c>
      <c r="AM360" s="14">
        <f>IF($B360="","",IF($AQ360="","対象年月が未入力／","")&amp;IF($B360="","",IF($AP360="","職員マスタに未登録の職員番号／",IF($AA360="","標準報酬月額が未登録／","")&amp;IF(AND($AQ360&lt;&gt;"",OR(AND(INDEX(職員マスタ!$G$6:$G$405,$AP360)&lt;&gt;"",INDEX(職員マスタ!$G$6:$G$405,$AP360)&gt;EOMONTH($AQ360,0)),AND(INDEX(職員マスタ!$H$6:$H$405,$AP360)&lt;&gt;"",INDEX(職員マスタ!$H$6:$H$405,$AP360)&lt;$AQ360))),"対象月が時短期間外／","")&amp;IF(AND(INDEX(職員マスタ!$K$6:$K$405,$AP360)&lt;&gt;"",N($W360)&gt;0,INDEX(職員マスタ!$K$6:$K$405,$AP360)&lt;&gt;$W360),"標準報酬月額が申請書と相違（台帳"&amp;TEXT(INDEX(職員マスタ!$K$6:$K$405,$AP360),"#,##0")&amp;"円／申請書"&amp;TEXT($W360,"#,##0")&amp;"円）／","")&amp;IF(AND(INDEX(職員マスタ!$F$6:$F$405,$AP360)&lt;&gt;"",$AQ360&lt;&gt;"",INDEX(職員マスタ!$F$6:$F$405,$AP360)&lt;$AQ360),"対象月に子が2歳到達済／","")&amp;IF(AND($H360&lt;&gt;"",INDEX(職員マスタ!$B$6:$B$405,$AP360)&lt;&gt;"",SUBSTITUTE(SUBSTITUTE($H360," ","")," ","")&lt;&gt;SUBSTITUTE(SUBSTITUTE(INDEX(職員マスタ!$B$6:$B$405,$AP360)," ","")," ","")),"氏名がマスタと相違／","")&amp;IF(AND($Q360&lt;&gt;"",INDEX(職員マスタ!$E$6:$E$405,$AP360)&lt;&gt;"",$Q360&lt;&gt;INDEX(職員マスタ!$E$6:$E$405,$AP360)),"子の生年月日がマスタと相違／","")&amp;IF(AND($L360&lt;&gt;"",INDEX(職員マスタ!$G$6:$G$405,$AP360)&lt;&gt;"",$L360&lt;&gt;INDEX(職員マスタ!$G$6:$G$405,$AP360)),"時短開始日がマスタと相違／","")&amp;IF(AND($M360&lt;&gt;"",INDEX(職員マスタ!$H$6:$H$405,$AP360)&lt;&gt;"",$M360&lt;&gt;INDEX(職員マスタ!$H$6:$H$405,$AP360)),"時短終了日がマスタと相違／","")))&amp;IF(AND($B360&lt;&gt;"",$E360=""),"報酬額が未入力／","")&amp;IF(N($U360)&gt;0,"申請書に入力エラーが残っています／","")&amp;IF(AND($B360&lt;&gt;"",$AQ360&lt;&gt;""),IF(COUNTIFS($B$6:$B$3005,$B360,$C$6:$C$3005,$C360,$D$6:$D$3005,$D360)&gt;1,"同じ月の請求が重複しています／",""),"")&amp;IF(AND(N($E360)&gt;0,$AB360&lt;&gt;"",$AB360&lt;&gt;"×",$AE360=0,$AD360=""),"計算額が下限以下のため不支給／",""))</f>
        <v/>
      </c>
      <c r="AN360" s="12" t="n"/>
      <c r="AO360" s="14">
        <f>IF($AF360="保留中",COUNTIF($AF$6:$AF360,"保留中"),"")</f>
        <v/>
      </c>
      <c r="AP360" s="14">
        <f>IF($AQ360="","",IF(SUMPRODUCT(MAX((職員マスタ!$A$6:$A$405=$B360)*(((職員マスタ!$G$6:$G$405="")+(職員マスタ!$G$6:$G$405&lt;=EOMONTH($AQ360,0)))&gt;0)*(((職員マスタ!$H$6:$H$405="")+(職員マスタ!$H$6:$H$405&gt;=$AQ360))&gt;0)*(ROW(職員マスタ!$A$6:$A$405)-5)))&gt;0,SUMPRODUCT(MAX((職員マスタ!$A$6:$A$405=$B360)*(((職員マスタ!$G$6:$G$405="")+(職員マスタ!$G$6:$G$405&lt;=EOMONTH($AQ360,0)))&gt;0)*(((職員マスタ!$H$6:$H$405="")+(職員マスタ!$H$6:$H$405&gt;=$AQ360))&gt;0)*(ROW(職員マスタ!$A$6:$A$405)-5))),IFERROR(MATCH($B360,職員マスタ!$A$6:$A$405,0),"")))</f>
        <v/>
      </c>
      <c r="AQ360" s="16">
        <f>IF(OR($B360="",$C360="",$D360=""),"",DATE($C360+2018,$D360,1))</f>
        <v/>
      </c>
    </row>
    <row r="361">
      <c r="A361" s="11" t="n"/>
      <c r="B361" s="12" t="n">
        <v>6801831</v>
      </c>
      <c r="C361" s="12" t="n">
        <v>7</v>
      </c>
      <c r="D361" s="12" t="n">
        <v>5</v>
      </c>
      <c r="E361" s="13" t="n">
        <v>183429</v>
      </c>
      <c r="F361" s="12" t="n"/>
      <c r="G361" s="13" t="n"/>
      <c r="H361" s="12" t="n"/>
      <c r="I361" s="12" t="n"/>
      <c r="J361" s="12" t="n"/>
      <c r="K361" s="12" t="n"/>
      <c r="L361" s="11" t="n"/>
      <c r="M361" s="11" t="n"/>
      <c r="N361" s="11" t="n"/>
      <c r="O361" s="11" t="n"/>
      <c r="P361" s="12" t="n"/>
      <c r="Q361" s="11" t="n"/>
      <c r="R361" s="12" t="n"/>
      <c r="S361" s="11" t="n"/>
      <c r="T361" s="12" t="n"/>
      <c r="U361" s="12" t="n"/>
      <c r="V361" s="12" t="n"/>
      <c r="W361" s="13" t="n"/>
      <c r="X361" s="14">
        <f>IF($AP361="",IF($B361="","",$H361),IF(INDEX(職員マスタ!$B$6:$B$405,$AP361)="",$H361,INDEX(職員マスタ!$B$6:$B$405,$AP361)))</f>
        <v/>
      </c>
      <c r="Y361" s="14">
        <f>IF($AP361="",IF($B361="","",$R361),IF(INDEX(職員マスタ!$C$6:$C$405,$AP361)="",$R361,INDEX(職員マスタ!$C$6:$C$405,$AP361)))</f>
        <v/>
      </c>
      <c r="Z361" s="14">
        <f>IF($AQ361="","","R"&amp;$C361&amp;"."&amp;$D361)</f>
        <v/>
      </c>
      <c r="AA361" s="15">
        <f>IF(IF($AP361="",FALSE,INDEX(職員マスタ!$K$6:$K$405,$AP361)&lt;&gt;""),INDEX(職員マスタ!$K$6:$K$405,$AP361),IF(N($W361)&gt;0,$W361,""))</f>
        <v/>
      </c>
      <c r="AB361" s="14">
        <f>IF(OR($E361="",$AA361=""),"",IF($E361&gt;=$AA361,"×",IF($E361&gt;=$AA361*設定!$C$5,"△","○")))</f>
        <v/>
      </c>
      <c r="AC361" s="15">
        <f>IF($AB361="","",IF($AB361="×",0,IF($AB361="○",ROUNDDOWN($E361*設定!$C$4,0),ROUNDDOWN($E361*ROUND((9*$AA361-9*$E361)/(10*$E361),4),0))))</f>
        <v/>
      </c>
      <c r="AD361" s="13" t="n"/>
      <c r="AE361" s="15">
        <f>IF($B361="","",IF($AD361&lt;&gt;"",$AD361,IF($AC361="","",IF($AC361&lt;=設定!$C$3,0,$AC361))))</f>
        <v/>
      </c>
      <c r="AF361" s="14">
        <f>IF($B361="","",IF(AND($AG361&lt;&gt;"",$AI361="",$AL361=""),"保留中",IF($AL361&lt;&gt;"",IF(N($AE361)&gt;0,"支給済","不支給"),IF($AE361="","要確認",IF($AE361=0,"不支給","未処理")))))</f>
        <v/>
      </c>
      <c r="AG361" s="12" t="n"/>
      <c r="AH361" s="11" t="n"/>
      <c r="AI361" s="11" t="n"/>
      <c r="AJ361" s="11" t="n"/>
      <c r="AK361" s="14">
        <f>IF(AND($AF361="保留中",$AH361&lt;&gt;""),TODAY()-$AH361,"")</f>
        <v/>
      </c>
      <c r="AL361" s="12" t="inlineStr">
        <is>
          <t>R7.8</t>
        </is>
      </c>
      <c r="AM361" s="14">
        <f>IF($B361="","",IF($AQ361="","対象年月が未入力／","")&amp;IF($B361="","",IF($AP361="","職員マスタに未登録の職員番号／",IF($AA361="","標準報酬月額が未登録／","")&amp;IF(AND($AQ361&lt;&gt;"",OR(AND(INDEX(職員マスタ!$G$6:$G$405,$AP361)&lt;&gt;"",INDEX(職員マスタ!$G$6:$G$405,$AP361)&gt;EOMONTH($AQ361,0)),AND(INDEX(職員マスタ!$H$6:$H$405,$AP361)&lt;&gt;"",INDEX(職員マスタ!$H$6:$H$405,$AP361)&lt;$AQ361))),"対象月が時短期間外／","")&amp;IF(AND(INDEX(職員マスタ!$K$6:$K$405,$AP361)&lt;&gt;"",N($W361)&gt;0,INDEX(職員マスタ!$K$6:$K$405,$AP361)&lt;&gt;$W361),"標準報酬月額が申請書と相違（台帳"&amp;TEXT(INDEX(職員マスタ!$K$6:$K$405,$AP361),"#,##0")&amp;"円／申請書"&amp;TEXT($W361,"#,##0")&amp;"円）／","")&amp;IF(AND(INDEX(職員マスタ!$F$6:$F$405,$AP361)&lt;&gt;"",$AQ361&lt;&gt;"",INDEX(職員マスタ!$F$6:$F$405,$AP361)&lt;$AQ361),"対象月に子が2歳到達済／","")&amp;IF(AND($H361&lt;&gt;"",INDEX(職員マスタ!$B$6:$B$405,$AP361)&lt;&gt;"",SUBSTITUTE(SUBSTITUTE($H361," ","")," ","")&lt;&gt;SUBSTITUTE(SUBSTITUTE(INDEX(職員マスタ!$B$6:$B$405,$AP361)," ","")," ","")),"氏名がマスタと相違／","")&amp;IF(AND($Q361&lt;&gt;"",INDEX(職員マスタ!$E$6:$E$405,$AP361)&lt;&gt;"",$Q361&lt;&gt;INDEX(職員マスタ!$E$6:$E$405,$AP361)),"子の生年月日がマスタと相違／","")&amp;IF(AND($L361&lt;&gt;"",INDEX(職員マスタ!$G$6:$G$405,$AP361)&lt;&gt;"",$L361&lt;&gt;INDEX(職員マスタ!$G$6:$G$405,$AP361)),"時短開始日がマスタと相違／","")&amp;IF(AND($M361&lt;&gt;"",INDEX(職員マスタ!$H$6:$H$405,$AP361)&lt;&gt;"",$M361&lt;&gt;INDEX(職員マスタ!$H$6:$H$405,$AP361)),"時短終了日がマスタと相違／","")))&amp;IF(AND($B361&lt;&gt;"",$E361=""),"報酬額が未入力／","")&amp;IF(N($U361)&gt;0,"申請書に入力エラーが残っています／","")&amp;IF(AND($B361&lt;&gt;"",$AQ361&lt;&gt;""),IF(COUNTIFS($B$6:$B$3005,$B361,$C$6:$C$3005,$C361,$D$6:$D$3005,$D361)&gt;1,"同じ月の請求が重複しています／",""),"")&amp;IF(AND(N($E361)&gt;0,$AB361&lt;&gt;"",$AB361&lt;&gt;"×",$AE361=0,$AD361=""),"計算額が下限以下のため不支給／",""))</f>
        <v/>
      </c>
      <c r="AN361" s="12" t="n"/>
      <c r="AO361" s="14">
        <f>IF($AF361="保留中",COUNTIF($AF$6:$AF361,"保留中"),"")</f>
        <v/>
      </c>
      <c r="AP361" s="14">
        <f>IF($AQ361="","",IF(SUMPRODUCT(MAX((職員マスタ!$A$6:$A$405=$B361)*(((職員マスタ!$G$6:$G$405="")+(職員マスタ!$G$6:$G$405&lt;=EOMONTH($AQ361,0)))&gt;0)*(((職員マスタ!$H$6:$H$405="")+(職員マスタ!$H$6:$H$405&gt;=$AQ361))&gt;0)*(ROW(職員マスタ!$A$6:$A$405)-5)))&gt;0,SUMPRODUCT(MAX((職員マスタ!$A$6:$A$405=$B361)*(((職員マスタ!$G$6:$G$405="")+(職員マスタ!$G$6:$G$405&lt;=EOMONTH($AQ361,0)))&gt;0)*(((職員マスタ!$H$6:$H$405="")+(職員マスタ!$H$6:$H$405&gt;=$AQ361))&gt;0)*(ROW(職員マスタ!$A$6:$A$405)-5))),IFERROR(MATCH($B361,職員マスタ!$A$6:$A$405,0),"")))</f>
        <v/>
      </c>
      <c r="AQ361" s="16">
        <f>IF(OR($B361="",$C361="",$D361=""),"",DATE($C361+2018,$D361,1))</f>
        <v/>
      </c>
    </row>
    <row r="362">
      <c r="A362" s="11" t="n"/>
      <c r="B362" s="12" t="n">
        <v>6801831</v>
      </c>
      <c r="C362" s="12" t="n">
        <v>7</v>
      </c>
      <c r="D362" s="12" t="n">
        <v>6</v>
      </c>
      <c r="E362" s="13" t="n">
        <v>187039</v>
      </c>
      <c r="F362" s="12" t="n"/>
      <c r="G362" s="13" t="n"/>
      <c r="H362" s="12" t="n"/>
      <c r="I362" s="12" t="n"/>
      <c r="J362" s="12" t="n"/>
      <c r="K362" s="12" t="n"/>
      <c r="L362" s="11" t="n"/>
      <c r="M362" s="11" t="n"/>
      <c r="N362" s="11" t="n"/>
      <c r="O362" s="11" t="n"/>
      <c r="P362" s="12" t="n"/>
      <c r="Q362" s="11" t="n"/>
      <c r="R362" s="12" t="n"/>
      <c r="S362" s="11" t="n"/>
      <c r="T362" s="12" t="n"/>
      <c r="U362" s="12" t="n"/>
      <c r="V362" s="12" t="n"/>
      <c r="W362" s="13" t="n"/>
      <c r="X362" s="14">
        <f>IF($AP362="",IF($B362="","",$H362),IF(INDEX(職員マスタ!$B$6:$B$405,$AP362)="",$H362,INDEX(職員マスタ!$B$6:$B$405,$AP362)))</f>
        <v/>
      </c>
      <c r="Y362" s="14">
        <f>IF($AP362="",IF($B362="","",$R362),IF(INDEX(職員マスタ!$C$6:$C$405,$AP362)="",$R362,INDEX(職員マスタ!$C$6:$C$405,$AP362)))</f>
        <v/>
      </c>
      <c r="Z362" s="14">
        <f>IF($AQ362="","","R"&amp;$C362&amp;"."&amp;$D362)</f>
        <v/>
      </c>
      <c r="AA362" s="15">
        <f>IF(IF($AP362="",FALSE,INDEX(職員マスタ!$K$6:$K$405,$AP362)&lt;&gt;""),INDEX(職員マスタ!$K$6:$K$405,$AP362),IF(N($W362)&gt;0,$W362,""))</f>
        <v/>
      </c>
      <c r="AB362" s="14">
        <f>IF(OR($E362="",$AA362=""),"",IF($E362&gt;=$AA362,"×",IF($E362&gt;=$AA362*設定!$C$5,"△","○")))</f>
        <v/>
      </c>
      <c r="AC362" s="15">
        <f>IF($AB362="","",IF($AB362="×",0,IF($AB362="○",ROUNDDOWN($E362*設定!$C$4,0),ROUNDDOWN($E362*ROUND((9*$AA362-9*$E362)/(10*$E362),4),0))))</f>
        <v/>
      </c>
      <c r="AD362" s="13" t="n"/>
      <c r="AE362" s="15">
        <f>IF($B362="","",IF($AD362&lt;&gt;"",$AD362,IF($AC362="","",IF($AC362&lt;=設定!$C$3,0,$AC362))))</f>
        <v/>
      </c>
      <c r="AF362" s="14">
        <f>IF($B362="","",IF(AND($AG362&lt;&gt;"",$AI362="",$AL362=""),"保留中",IF($AL362&lt;&gt;"",IF(N($AE362)&gt;0,"支給済","不支給"),IF($AE362="","要確認",IF($AE362=0,"不支給","未処理")))))</f>
        <v/>
      </c>
      <c r="AG362" s="12" t="n"/>
      <c r="AH362" s="11" t="n"/>
      <c r="AI362" s="11" t="n"/>
      <c r="AJ362" s="11" t="n"/>
      <c r="AK362" s="14">
        <f>IF(AND($AF362="保留中",$AH362&lt;&gt;""),TODAY()-$AH362,"")</f>
        <v/>
      </c>
      <c r="AL362" s="12" t="inlineStr">
        <is>
          <t>R7.8</t>
        </is>
      </c>
      <c r="AM362" s="14">
        <f>IF($B362="","",IF($AQ362="","対象年月が未入力／","")&amp;IF($B362="","",IF($AP362="","職員マスタに未登録の職員番号／",IF($AA362="","標準報酬月額が未登録／","")&amp;IF(AND($AQ362&lt;&gt;"",OR(AND(INDEX(職員マスタ!$G$6:$G$405,$AP362)&lt;&gt;"",INDEX(職員マスタ!$G$6:$G$405,$AP362)&gt;EOMONTH($AQ362,0)),AND(INDEX(職員マスタ!$H$6:$H$405,$AP362)&lt;&gt;"",INDEX(職員マスタ!$H$6:$H$405,$AP362)&lt;$AQ362))),"対象月が時短期間外／","")&amp;IF(AND(INDEX(職員マスタ!$K$6:$K$405,$AP362)&lt;&gt;"",N($W362)&gt;0,INDEX(職員マスタ!$K$6:$K$405,$AP362)&lt;&gt;$W362),"標準報酬月額が申請書と相違（台帳"&amp;TEXT(INDEX(職員マスタ!$K$6:$K$405,$AP362),"#,##0")&amp;"円／申請書"&amp;TEXT($W362,"#,##0")&amp;"円）／","")&amp;IF(AND(INDEX(職員マスタ!$F$6:$F$405,$AP362)&lt;&gt;"",$AQ362&lt;&gt;"",INDEX(職員マスタ!$F$6:$F$405,$AP362)&lt;$AQ362),"対象月に子が2歳到達済／","")&amp;IF(AND($H362&lt;&gt;"",INDEX(職員マスタ!$B$6:$B$405,$AP362)&lt;&gt;"",SUBSTITUTE(SUBSTITUTE($H362," ","")," ","")&lt;&gt;SUBSTITUTE(SUBSTITUTE(INDEX(職員マスタ!$B$6:$B$405,$AP362)," ","")," ","")),"氏名がマスタと相違／","")&amp;IF(AND($Q362&lt;&gt;"",INDEX(職員マスタ!$E$6:$E$405,$AP362)&lt;&gt;"",$Q362&lt;&gt;INDEX(職員マスタ!$E$6:$E$405,$AP362)),"子の生年月日がマスタと相違／","")&amp;IF(AND($L362&lt;&gt;"",INDEX(職員マスタ!$G$6:$G$405,$AP362)&lt;&gt;"",$L362&lt;&gt;INDEX(職員マスタ!$G$6:$G$405,$AP362)),"時短開始日がマスタと相違／","")&amp;IF(AND($M362&lt;&gt;"",INDEX(職員マスタ!$H$6:$H$405,$AP362)&lt;&gt;"",$M362&lt;&gt;INDEX(職員マスタ!$H$6:$H$405,$AP362)),"時短終了日がマスタと相違／","")))&amp;IF(AND($B362&lt;&gt;"",$E362=""),"報酬額が未入力／","")&amp;IF(N($U362)&gt;0,"申請書に入力エラーが残っています／","")&amp;IF(AND($B362&lt;&gt;"",$AQ362&lt;&gt;""),IF(COUNTIFS($B$6:$B$3005,$B362,$C$6:$C$3005,$C362,$D$6:$D$3005,$D362)&gt;1,"同じ月の請求が重複しています／",""),"")&amp;IF(AND(N($E362)&gt;0,$AB362&lt;&gt;"",$AB362&lt;&gt;"×",$AE362=0,$AD362=""),"計算額が下限以下のため不支給／",""))</f>
        <v/>
      </c>
      <c r="AN362" s="12" t="n"/>
      <c r="AO362" s="14">
        <f>IF($AF362="保留中",COUNTIF($AF$6:$AF362,"保留中"),"")</f>
        <v/>
      </c>
      <c r="AP362" s="14">
        <f>IF($AQ362="","",IF(SUMPRODUCT(MAX((職員マスタ!$A$6:$A$405=$B362)*(((職員マスタ!$G$6:$G$405="")+(職員マスタ!$G$6:$G$405&lt;=EOMONTH($AQ362,0)))&gt;0)*(((職員マスタ!$H$6:$H$405="")+(職員マスタ!$H$6:$H$405&gt;=$AQ362))&gt;0)*(ROW(職員マスタ!$A$6:$A$405)-5)))&gt;0,SUMPRODUCT(MAX((職員マスタ!$A$6:$A$405=$B362)*(((職員マスタ!$G$6:$G$405="")+(職員マスタ!$G$6:$G$405&lt;=EOMONTH($AQ362,0)))&gt;0)*(((職員マスタ!$H$6:$H$405="")+(職員マスタ!$H$6:$H$405&gt;=$AQ362))&gt;0)*(ROW(職員マスタ!$A$6:$A$405)-5))),IFERROR(MATCH($B362,職員マスタ!$A$6:$A$405,0),"")))</f>
        <v/>
      </c>
      <c r="AQ362" s="16">
        <f>IF(OR($B362="",$C362="",$D362=""),"",DATE($C362+2018,$D362,1))</f>
        <v/>
      </c>
    </row>
    <row r="363">
      <c r="A363" s="11" t="n"/>
      <c r="B363" s="12" t="n">
        <v>6801831</v>
      </c>
      <c r="C363" s="12" t="n">
        <v>7</v>
      </c>
      <c r="D363" s="12" t="n">
        <v>7</v>
      </c>
      <c r="E363" s="13" t="n">
        <v>183429</v>
      </c>
      <c r="F363" s="12" t="n"/>
      <c r="G363" s="13" t="n"/>
      <c r="H363" s="12" t="n"/>
      <c r="I363" s="12" t="n"/>
      <c r="J363" s="12" t="n"/>
      <c r="K363" s="12" t="n"/>
      <c r="L363" s="11" t="n"/>
      <c r="M363" s="11" t="n"/>
      <c r="N363" s="11" t="n"/>
      <c r="O363" s="11" t="n"/>
      <c r="P363" s="12" t="n"/>
      <c r="Q363" s="11" t="n"/>
      <c r="R363" s="12" t="n"/>
      <c r="S363" s="11" t="n"/>
      <c r="T363" s="12" t="n"/>
      <c r="U363" s="12" t="n"/>
      <c r="V363" s="12" t="n"/>
      <c r="W363" s="13" t="n"/>
      <c r="X363" s="14">
        <f>IF($AP363="",IF($B363="","",$H363),IF(INDEX(職員マスタ!$B$6:$B$405,$AP363)="",$H363,INDEX(職員マスタ!$B$6:$B$405,$AP363)))</f>
        <v/>
      </c>
      <c r="Y363" s="14">
        <f>IF($AP363="",IF($B363="","",$R363),IF(INDEX(職員マスタ!$C$6:$C$405,$AP363)="",$R363,INDEX(職員マスタ!$C$6:$C$405,$AP363)))</f>
        <v/>
      </c>
      <c r="Z363" s="14">
        <f>IF($AQ363="","","R"&amp;$C363&amp;"."&amp;$D363)</f>
        <v/>
      </c>
      <c r="AA363" s="15">
        <f>IF(IF($AP363="",FALSE,INDEX(職員マスタ!$K$6:$K$405,$AP363)&lt;&gt;""),INDEX(職員マスタ!$K$6:$K$405,$AP363),IF(N($W363)&gt;0,$W363,""))</f>
        <v/>
      </c>
      <c r="AB363" s="14">
        <f>IF(OR($E363="",$AA363=""),"",IF($E363&gt;=$AA363,"×",IF($E363&gt;=$AA363*設定!$C$5,"△","○")))</f>
        <v/>
      </c>
      <c r="AC363" s="15">
        <f>IF($AB363="","",IF($AB363="×",0,IF($AB363="○",ROUNDDOWN($E363*設定!$C$4,0),ROUNDDOWN($E363*ROUND((9*$AA363-9*$E363)/(10*$E363),4),0))))</f>
        <v/>
      </c>
      <c r="AD363" s="13" t="n"/>
      <c r="AE363" s="15">
        <f>IF($B363="","",IF($AD363&lt;&gt;"",$AD363,IF($AC363="","",IF($AC363&lt;=設定!$C$3,0,$AC363))))</f>
        <v/>
      </c>
      <c r="AF363" s="14">
        <f>IF($B363="","",IF(AND($AG363&lt;&gt;"",$AI363="",$AL363=""),"保留中",IF($AL363&lt;&gt;"",IF(N($AE363)&gt;0,"支給済","不支給"),IF($AE363="","要確認",IF($AE363=0,"不支給","未処理")))))</f>
        <v/>
      </c>
      <c r="AG363" s="12" t="n"/>
      <c r="AH363" s="11" t="n"/>
      <c r="AI363" s="11" t="n"/>
      <c r="AJ363" s="11" t="n"/>
      <c r="AK363" s="14">
        <f>IF(AND($AF363="保留中",$AH363&lt;&gt;""),TODAY()-$AH363,"")</f>
        <v/>
      </c>
      <c r="AL363" s="12" t="inlineStr">
        <is>
          <t>R7.9</t>
        </is>
      </c>
      <c r="AM363" s="14">
        <f>IF($B363="","",IF($AQ363="","対象年月が未入力／","")&amp;IF($B363="","",IF($AP363="","職員マスタに未登録の職員番号／",IF($AA363="","標準報酬月額が未登録／","")&amp;IF(AND($AQ363&lt;&gt;"",OR(AND(INDEX(職員マスタ!$G$6:$G$405,$AP363)&lt;&gt;"",INDEX(職員マスタ!$G$6:$G$405,$AP363)&gt;EOMONTH($AQ363,0)),AND(INDEX(職員マスタ!$H$6:$H$405,$AP363)&lt;&gt;"",INDEX(職員マスタ!$H$6:$H$405,$AP363)&lt;$AQ363))),"対象月が時短期間外／","")&amp;IF(AND(INDEX(職員マスタ!$K$6:$K$405,$AP363)&lt;&gt;"",N($W363)&gt;0,INDEX(職員マスタ!$K$6:$K$405,$AP363)&lt;&gt;$W363),"標準報酬月額が申請書と相違（台帳"&amp;TEXT(INDEX(職員マスタ!$K$6:$K$405,$AP363),"#,##0")&amp;"円／申請書"&amp;TEXT($W363,"#,##0")&amp;"円）／","")&amp;IF(AND(INDEX(職員マスタ!$F$6:$F$405,$AP363)&lt;&gt;"",$AQ363&lt;&gt;"",INDEX(職員マスタ!$F$6:$F$405,$AP363)&lt;$AQ363),"対象月に子が2歳到達済／","")&amp;IF(AND($H363&lt;&gt;"",INDEX(職員マスタ!$B$6:$B$405,$AP363)&lt;&gt;"",SUBSTITUTE(SUBSTITUTE($H363," ","")," ","")&lt;&gt;SUBSTITUTE(SUBSTITUTE(INDEX(職員マスタ!$B$6:$B$405,$AP363)," ","")," ","")),"氏名がマスタと相違／","")&amp;IF(AND($Q363&lt;&gt;"",INDEX(職員マスタ!$E$6:$E$405,$AP363)&lt;&gt;"",$Q363&lt;&gt;INDEX(職員マスタ!$E$6:$E$405,$AP363)),"子の生年月日がマスタと相違／","")&amp;IF(AND($L363&lt;&gt;"",INDEX(職員マスタ!$G$6:$G$405,$AP363)&lt;&gt;"",$L363&lt;&gt;INDEX(職員マスタ!$G$6:$G$405,$AP363)),"時短開始日がマスタと相違／","")&amp;IF(AND($M363&lt;&gt;"",INDEX(職員マスタ!$H$6:$H$405,$AP363)&lt;&gt;"",$M363&lt;&gt;INDEX(職員マスタ!$H$6:$H$405,$AP363)),"時短終了日がマスタと相違／","")))&amp;IF(AND($B363&lt;&gt;"",$E363=""),"報酬額が未入力／","")&amp;IF(N($U363)&gt;0,"申請書に入力エラーが残っています／","")&amp;IF(AND($B363&lt;&gt;"",$AQ363&lt;&gt;""),IF(COUNTIFS($B$6:$B$3005,$B363,$C$6:$C$3005,$C363,$D$6:$D$3005,$D363)&gt;1,"同じ月の請求が重複しています／",""),"")&amp;IF(AND(N($E363)&gt;0,$AB363&lt;&gt;"",$AB363&lt;&gt;"×",$AE363=0,$AD363=""),"計算額が下限以下のため不支給／",""))</f>
        <v/>
      </c>
      <c r="AN363" s="12" t="n"/>
      <c r="AO363" s="14">
        <f>IF($AF363="保留中",COUNTIF($AF$6:$AF363,"保留中"),"")</f>
        <v/>
      </c>
      <c r="AP363" s="14">
        <f>IF($AQ363="","",IF(SUMPRODUCT(MAX((職員マスタ!$A$6:$A$405=$B363)*(((職員マスタ!$G$6:$G$405="")+(職員マスタ!$G$6:$G$405&lt;=EOMONTH($AQ363,0)))&gt;0)*(((職員マスタ!$H$6:$H$405="")+(職員マスタ!$H$6:$H$405&gt;=$AQ363))&gt;0)*(ROW(職員マスタ!$A$6:$A$405)-5)))&gt;0,SUMPRODUCT(MAX((職員マスタ!$A$6:$A$405=$B363)*(((職員マスタ!$G$6:$G$405="")+(職員マスタ!$G$6:$G$405&lt;=EOMONTH($AQ363,0)))&gt;0)*(((職員マスタ!$H$6:$H$405="")+(職員マスタ!$H$6:$H$405&gt;=$AQ363))&gt;0)*(ROW(職員マスタ!$A$6:$A$405)-5))),IFERROR(MATCH($B363,職員マスタ!$A$6:$A$405,0),"")))</f>
        <v/>
      </c>
      <c r="AQ363" s="16">
        <f>IF(OR($B363="",$C363="",$D363=""),"",DATE($C363+2018,$D363,1))</f>
        <v/>
      </c>
    </row>
    <row r="364">
      <c r="A364" s="11" t="n"/>
      <c r="B364" s="12" t="n">
        <v>6801831</v>
      </c>
      <c r="C364" s="12" t="n">
        <v>7</v>
      </c>
      <c r="D364" s="12" t="n">
        <v>8</v>
      </c>
      <c r="E364" s="13" t="n">
        <v>183429</v>
      </c>
      <c r="F364" s="12" t="n"/>
      <c r="G364" s="13" t="n"/>
      <c r="H364" s="12" t="n"/>
      <c r="I364" s="12" t="n"/>
      <c r="J364" s="12" t="n"/>
      <c r="K364" s="12" t="n"/>
      <c r="L364" s="11" t="n"/>
      <c r="M364" s="11" t="n"/>
      <c r="N364" s="11" t="n"/>
      <c r="O364" s="11" t="n"/>
      <c r="P364" s="12" t="n"/>
      <c r="Q364" s="11" t="n"/>
      <c r="R364" s="12" t="n"/>
      <c r="S364" s="11" t="n"/>
      <c r="T364" s="12" t="n"/>
      <c r="U364" s="12" t="n"/>
      <c r="V364" s="12" t="n"/>
      <c r="W364" s="13" t="n"/>
      <c r="X364" s="14">
        <f>IF($AP364="",IF($B364="","",$H364),IF(INDEX(職員マスタ!$B$6:$B$405,$AP364)="",$H364,INDEX(職員マスタ!$B$6:$B$405,$AP364)))</f>
        <v/>
      </c>
      <c r="Y364" s="14">
        <f>IF($AP364="",IF($B364="","",$R364),IF(INDEX(職員マスタ!$C$6:$C$405,$AP364)="",$R364,INDEX(職員マスタ!$C$6:$C$405,$AP364)))</f>
        <v/>
      </c>
      <c r="Z364" s="14">
        <f>IF($AQ364="","","R"&amp;$C364&amp;"."&amp;$D364)</f>
        <v/>
      </c>
      <c r="AA364" s="15">
        <f>IF(IF($AP364="",FALSE,INDEX(職員マスタ!$K$6:$K$405,$AP364)&lt;&gt;""),INDEX(職員マスタ!$K$6:$K$405,$AP364),IF(N($W364)&gt;0,$W364,""))</f>
        <v/>
      </c>
      <c r="AB364" s="14">
        <f>IF(OR($E364="",$AA364=""),"",IF($E364&gt;=$AA364,"×",IF($E364&gt;=$AA364*設定!$C$5,"△","○")))</f>
        <v/>
      </c>
      <c r="AC364" s="15">
        <f>IF($AB364="","",IF($AB364="×",0,IF($AB364="○",ROUNDDOWN($E364*設定!$C$4,0),ROUNDDOWN($E364*ROUND((9*$AA364-9*$E364)/(10*$E364),4),0))))</f>
        <v/>
      </c>
      <c r="AD364" s="13" t="n"/>
      <c r="AE364" s="15">
        <f>IF($B364="","",IF($AD364&lt;&gt;"",$AD364,IF($AC364="","",IF($AC364&lt;=設定!$C$3,0,$AC364))))</f>
        <v/>
      </c>
      <c r="AF364" s="14">
        <f>IF($B364="","",IF(AND($AG364&lt;&gt;"",$AI364="",$AL364=""),"保留中",IF($AL364&lt;&gt;"",IF(N($AE364)&gt;0,"支給済","不支給"),IF($AE364="","要確認",IF($AE364=0,"不支給","未処理")))))</f>
        <v/>
      </c>
      <c r="AG364" s="12" t="n"/>
      <c r="AH364" s="11" t="n"/>
      <c r="AI364" s="11" t="n"/>
      <c r="AJ364" s="11" t="n"/>
      <c r="AK364" s="14">
        <f>IF(AND($AF364="保留中",$AH364&lt;&gt;""),TODAY()-$AH364,"")</f>
        <v/>
      </c>
      <c r="AL364" s="12" t="inlineStr">
        <is>
          <t>R7.10</t>
        </is>
      </c>
      <c r="AM364" s="14">
        <f>IF($B364="","",IF($AQ364="","対象年月が未入力／","")&amp;IF($B364="","",IF($AP364="","職員マスタに未登録の職員番号／",IF($AA364="","標準報酬月額が未登録／","")&amp;IF(AND($AQ364&lt;&gt;"",OR(AND(INDEX(職員マスタ!$G$6:$G$405,$AP364)&lt;&gt;"",INDEX(職員マスタ!$G$6:$G$405,$AP364)&gt;EOMONTH($AQ364,0)),AND(INDEX(職員マスタ!$H$6:$H$405,$AP364)&lt;&gt;"",INDEX(職員マスタ!$H$6:$H$405,$AP364)&lt;$AQ364))),"対象月が時短期間外／","")&amp;IF(AND(INDEX(職員マスタ!$K$6:$K$405,$AP364)&lt;&gt;"",N($W364)&gt;0,INDEX(職員マスタ!$K$6:$K$405,$AP364)&lt;&gt;$W364),"標準報酬月額が申請書と相違（台帳"&amp;TEXT(INDEX(職員マスタ!$K$6:$K$405,$AP364),"#,##0")&amp;"円／申請書"&amp;TEXT($W364,"#,##0")&amp;"円）／","")&amp;IF(AND(INDEX(職員マスタ!$F$6:$F$405,$AP364)&lt;&gt;"",$AQ364&lt;&gt;"",INDEX(職員マスタ!$F$6:$F$405,$AP364)&lt;$AQ364),"対象月に子が2歳到達済／","")&amp;IF(AND($H364&lt;&gt;"",INDEX(職員マスタ!$B$6:$B$405,$AP364)&lt;&gt;"",SUBSTITUTE(SUBSTITUTE($H364," ","")," ","")&lt;&gt;SUBSTITUTE(SUBSTITUTE(INDEX(職員マスタ!$B$6:$B$405,$AP364)," ","")," ","")),"氏名がマスタと相違／","")&amp;IF(AND($Q364&lt;&gt;"",INDEX(職員マスタ!$E$6:$E$405,$AP364)&lt;&gt;"",$Q364&lt;&gt;INDEX(職員マスタ!$E$6:$E$405,$AP364)),"子の生年月日がマスタと相違／","")&amp;IF(AND($L364&lt;&gt;"",INDEX(職員マスタ!$G$6:$G$405,$AP364)&lt;&gt;"",$L364&lt;&gt;INDEX(職員マスタ!$G$6:$G$405,$AP364)),"時短開始日がマスタと相違／","")&amp;IF(AND($M364&lt;&gt;"",INDEX(職員マスタ!$H$6:$H$405,$AP364)&lt;&gt;"",$M364&lt;&gt;INDEX(職員マスタ!$H$6:$H$405,$AP364)),"時短終了日がマスタと相違／","")))&amp;IF(AND($B364&lt;&gt;"",$E364=""),"報酬額が未入力／","")&amp;IF(N($U364)&gt;0,"申請書に入力エラーが残っています／","")&amp;IF(AND($B364&lt;&gt;"",$AQ364&lt;&gt;""),IF(COUNTIFS($B$6:$B$3005,$B364,$C$6:$C$3005,$C364,$D$6:$D$3005,$D364)&gt;1,"同じ月の請求が重複しています／",""),"")&amp;IF(AND(N($E364)&gt;0,$AB364&lt;&gt;"",$AB364&lt;&gt;"×",$AE364=0,$AD364=""),"計算額が下限以下のため不支給／",""))</f>
        <v/>
      </c>
      <c r="AN364" s="12" t="n"/>
      <c r="AO364" s="14">
        <f>IF($AF364="保留中",COUNTIF($AF$6:$AF364,"保留中"),"")</f>
        <v/>
      </c>
      <c r="AP364" s="14">
        <f>IF($AQ364="","",IF(SUMPRODUCT(MAX((職員マスタ!$A$6:$A$405=$B364)*(((職員マスタ!$G$6:$G$405="")+(職員マスタ!$G$6:$G$405&lt;=EOMONTH($AQ364,0)))&gt;0)*(((職員マスタ!$H$6:$H$405="")+(職員マスタ!$H$6:$H$405&gt;=$AQ364))&gt;0)*(ROW(職員マスタ!$A$6:$A$405)-5)))&gt;0,SUMPRODUCT(MAX((職員マスタ!$A$6:$A$405=$B364)*(((職員マスタ!$G$6:$G$405="")+(職員マスタ!$G$6:$G$405&lt;=EOMONTH($AQ364,0)))&gt;0)*(((職員マスタ!$H$6:$H$405="")+(職員マスタ!$H$6:$H$405&gt;=$AQ364))&gt;0)*(ROW(職員マスタ!$A$6:$A$405)-5))),IFERROR(MATCH($B364,職員マスタ!$A$6:$A$405,0),"")))</f>
        <v/>
      </c>
      <c r="AQ364" s="16">
        <f>IF(OR($B364="",$C364="",$D364=""),"",DATE($C364+2018,$D364,1))</f>
        <v/>
      </c>
    </row>
    <row r="365">
      <c r="A365" s="11" t="n"/>
      <c r="B365" s="12" t="n">
        <v>6801831</v>
      </c>
      <c r="C365" s="12" t="n">
        <v>7</v>
      </c>
      <c r="D365" s="12" t="n">
        <v>9</v>
      </c>
      <c r="E365" s="13" t="n">
        <v>183429</v>
      </c>
      <c r="F365" s="12" t="n"/>
      <c r="G365" s="13" t="n"/>
      <c r="H365" s="12" t="n"/>
      <c r="I365" s="12" t="n"/>
      <c r="J365" s="12" t="n"/>
      <c r="K365" s="12" t="n"/>
      <c r="L365" s="11" t="n"/>
      <c r="M365" s="11" t="n"/>
      <c r="N365" s="11" t="n"/>
      <c r="O365" s="11" t="n"/>
      <c r="P365" s="12" t="n"/>
      <c r="Q365" s="11" t="n"/>
      <c r="R365" s="12" t="n"/>
      <c r="S365" s="11" t="n"/>
      <c r="T365" s="12" t="n"/>
      <c r="U365" s="12" t="n"/>
      <c r="V365" s="12" t="n"/>
      <c r="W365" s="13" t="n"/>
      <c r="X365" s="14">
        <f>IF($AP365="",IF($B365="","",$H365),IF(INDEX(職員マスタ!$B$6:$B$405,$AP365)="",$H365,INDEX(職員マスタ!$B$6:$B$405,$AP365)))</f>
        <v/>
      </c>
      <c r="Y365" s="14">
        <f>IF($AP365="",IF($B365="","",$R365),IF(INDEX(職員マスタ!$C$6:$C$405,$AP365)="",$R365,INDEX(職員マスタ!$C$6:$C$405,$AP365)))</f>
        <v/>
      </c>
      <c r="Z365" s="14">
        <f>IF($AQ365="","","R"&amp;$C365&amp;"."&amp;$D365)</f>
        <v/>
      </c>
      <c r="AA365" s="15">
        <f>IF(IF($AP365="",FALSE,INDEX(職員マスタ!$K$6:$K$405,$AP365)&lt;&gt;""),INDEX(職員マスタ!$K$6:$K$405,$AP365),IF(N($W365)&gt;0,$W365,""))</f>
        <v/>
      </c>
      <c r="AB365" s="14">
        <f>IF(OR($E365="",$AA365=""),"",IF($E365&gt;=$AA365,"×",IF($E365&gt;=$AA365*設定!$C$5,"△","○")))</f>
        <v/>
      </c>
      <c r="AC365" s="15">
        <f>IF($AB365="","",IF($AB365="×",0,IF($AB365="○",ROUNDDOWN($E365*設定!$C$4,0),ROUNDDOWN($E365*ROUND((9*$AA365-9*$E365)/(10*$E365),4),0))))</f>
        <v/>
      </c>
      <c r="AD365" s="13" t="n"/>
      <c r="AE365" s="15">
        <f>IF($B365="","",IF($AD365&lt;&gt;"",$AD365,IF($AC365="","",IF($AC365&lt;=設定!$C$3,0,$AC365))))</f>
        <v/>
      </c>
      <c r="AF365" s="14">
        <f>IF($B365="","",IF(AND($AG365&lt;&gt;"",$AI365="",$AL365=""),"保留中",IF($AL365&lt;&gt;"",IF(N($AE365)&gt;0,"支給済","不支給"),IF($AE365="","要確認",IF($AE365=0,"不支給","未処理")))))</f>
        <v/>
      </c>
      <c r="AG365" s="12" t="n"/>
      <c r="AH365" s="11" t="n"/>
      <c r="AI365" s="11" t="n"/>
      <c r="AJ365" s="11" t="n"/>
      <c r="AK365" s="14">
        <f>IF(AND($AF365="保留中",$AH365&lt;&gt;""),TODAY()-$AH365,"")</f>
        <v/>
      </c>
      <c r="AL365" s="12" t="inlineStr">
        <is>
          <t>R7.11</t>
        </is>
      </c>
      <c r="AM365" s="14">
        <f>IF($B365="","",IF($AQ365="","対象年月が未入力／","")&amp;IF($B365="","",IF($AP365="","職員マスタに未登録の職員番号／",IF($AA365="","標準報酬月額が未登録／","")&amp;IF(AND($AQ365&lt;&gt;"",OR(AND(INDEX(職員マスタ!$G$6:$G$405,$AP365)&lt;&gt;"",INDEX(職員マスタ!$G$6:$G$405,$AP365)&gt;EOMONTH($AQ365,0)),AND(INDEX(職員マスタ!$H$6:$H$405,$AP365)&lt;&gt;"",INDEX(職員マスタ!$H$6:$H$405,$AP365)&lt;$AQ365))),"対象月が時短期間外／","")&amp;IF(AND(INDEX(職員マスタ!$K$6:$K$405,$AP365)&lt;&gt;"",N($W365)&gt;0,INDEX(職員マスタ!$K$6:$K$405,$AP365)&lt;&gt;$W365),"標準報酬月額が申請書と相違（台帳"&amp;TEXT(INDEX(職員マスタ!$K$6:$K$405,$AP365),"#,##0")&amp;"円／申請書"&amp;TEXT($W365,"#,##0")&amp;"円）／","")&amp;IF(AND(INDEX(職員マスタ!$F$6:$F$405,$AP365)&lt;&gt;"",$AQ365&lt;&gt;"",INDEX(職員マスタ!$F$6:$F$405,$AP365)&lt;$AQ365),"対象月に子が2歳到達済／","")&amp;IF(AND($H365&lt;&gt;"",INDEX(職員マスタ!$B$6:$B$405,$AP365)&lt;&gt;"",SUBSTITUTE(SUBSTITUTE($H365," ","")," ","")&lt;&gt;SUBSTITUTE(SUBSTITUTE(INDEX(職員マスタ!$B$6:$B$405,$AP365)," ","")," ","")),"氏名がマスタと相違／","")&amp;IF(AND($Q365&lt;&gt;"",INDEX(職員マスタ!$E$6:$E$405,$AP365)&lt;&gt;"",$Q365&lt;&gt;INDEX(職員マスタ!$E$6:$E$405,$AP365)),"子の生年月日がマスタと相違／","")&amp;IF(AND($L365&lt;&gt;"",INDEX(職員マスタ!$G$6:$G$405,$AP365)&lt;&gt;"",$L365&lt;&gt;INDEX(職員マスタ!$G$6:$G$405,$AP365)),"時短開始日がマスタと相違／","")&amp;IF(AND($M365&lt;&gt;"",INDEX(職員マスタ!$H$6:$H$405,$AP365)&lt;&gt;"",$M365&lt;&gt;INDEX(職員マスタ!$H$6:$H$405,$AP365)),"時短終了日がマスタと相違／","")))&amp;IF(AND($B365&lt;&gt;"",$E365=""),"報酬額が未入力／","")&amp;IF(N($U365)&gt;0,"申請書に入力エラーが残っています／","")&amp;IF(AND($B365&lt;&gt;"",$AQ365&lt;&gt;""),IF(COUNTIFS($B$6:$B$3005,$B365,$C$6:$C$3005,$C365,$D$6:$D$3005,$D365)&gt;1,"同じ月の請求が重複しています／",""),"")&amp;IF(AND(N($E365)&gt;0,$AB365&lt;&gt;"",$AB365&lt;&gt;"×",$AE365=0,$AD365=""),"計算額が下限以下のため不支給／",""))</f>
        <v/>
      </c>
      <c r="AN365" s="12" t="n"/>
      <c r="AO365" s="14">
        <f>IF($AF365="保留中",COUNTIF($AF$6:$AF365,"保留中"),"")</f>
        <v/>
      </c>
      <c r="AP365" s="14">
        <f>IF($AQ365="","",IF(SUMPRODUCT(MAX((職員マスタ!$A$6:$A$405=$B365)*(((職員マスタ!$G$6:$G$405="")+(職員マスタ!$G$6:$G$405&lt;=EOMONTH($AQ365,0)))&gt;0)*(((職員マスタ!$H$6:$H$405="")+(職員マスタ!$H$6:$H$405&gt;=$AQ365))&gt;0)*(ROW(職員マスタ!$A$6:$A$405)-5)))&gt;0,SUMPRODUCT(MAX((職員マスタ!$A$6:$A$405=$B365)*(((職員マスタ!$G$6:$G$405="")+(職員マスタ!$G$6:$G$405&lt;=EOMONTH($AQ365,0)))&gt;0)*(((職員マスタ!$H$6:$H$405="")+(職員マスタ!$H$6:$H$405&gt;=$AQ365))&gt;0)*(ROW(職員マスタ!$A$6:$A$405)-5))),IFERROR(MATCH($B365,職員マスタ!$A$6:$A$405,0),"")))</f>
        <v/>
      </c>
      <c r="AQ365" s="16">
        <f>IF(OR($B365="",$C365="",$D365=""),"",DATE($C365+2018,$D365,1))</f>
        <v/>
      </c>
    </row>
    <row r="366">
      <c r="A366" s="11" t="n"/>
      <c r="B366" s="12" t="n">
        <v>6801831</v>
      </c>
      <c r="C366" s="12" t="n">
        <v>7</v>
      </c>
      <c r="D366" s="12" t="n">
        <v>10</v>
      </c>
      <c r="E366" s="13" t="n">
        <v>183429</v>
      </c>
      <c r="F366" s="12" t="n"/>
      <c r="G366" s="13" t="n"/>
      <c r="H366" s="12" t="n"/>
      <c r="I366" s="12" t="n"/>
      <c r="J366" s="12" t="n"/>
      <c r="K366" s="12" t="n"/>
      <c r="L366" s="11" t="n"/>
      <c r="M366" s="11" t="n"/>
      <c r="N366" s="11" t="n"/>
      <c r="O366" s="11" t="n"/>
      <c r="P366" s="12" t="n"/>
      <c r="Q366" s="11" t="n"/>
      <c r="R366" s="12" t="n"/>
      <c r="S366" s="11" t="n"/>
      <c r="T366" s="12" t="n"/>
      <c r="U366" s="12" t="n"/>
      <c r="V366" s="12" t="n"/>
      <c r="W366" s="13" t="n"/>
      <c r="X366" s="14">
        <f>IF($AP366="",IF($B366="","",$H366),IF(INDEX(職員マスタ!$B$6:$B$405,$AP366)="",$H366,INDEX(職員マスタ!$B$6:$B$405,$AP366)))</f>
        <v/>
      </c>
      <c r="Y366" s="14">
        <f>IF($AP366="",IF($B366="","",$R366),IF(INDEX(職員マスタ!$C$6:$C$405,$AP366)="",$R366,INDEX(職員マスタ!$C$6:$C$405,$AP366)))</f>
        <v/>
      </c>
      <c r="Z366" s="14">
        <f>IF($AQ366="","","R"&amp;$C366&amp;"."&amp;$D366)</f>
        <v/>
      </c>
      <c r="AA366" s="15">
        <f>IF(IF($AP366="",FALSE,INDEX(職員マスタ!$K$6:$K$405,$AP366)&lt;&gt;""),INDEX(職員マスタ!$K$6:$K$405,$AP366),IF(N($W366)&gt;0,$W366,""))</f>
        <v/>
      </c>
      <c r="AB366" s="14">
        <f>IF(OR($E366="",$AA366=""),"",IF($E366&gt;=$AA366,"×",IF($E366&gt;=$AA366*設定!$C$5,"△","○")))</f>
        <v/>
      </c>
      <c r="AC366" s="15">
        <f>IF($AB366="","",IF($AB366="×",0,IF($AB366="○",ROUNDDOWN($E366*設定!$C$4,0),ROUNDDOWN($E366*ROUND((9*$AA366-9*$E366)/(10*$E366),4),0))))</f>
        <v/>
      </c>
      <c r="AD366" s="13" t="n"/>
      <c r="AE366" s="15">
        <f>IF($B366="","",IF($AD366&lt;&gt;"",$AD366,IF($AC366="","",IF($AC366&lt;=設定!$C$3,0,$AC366))))</f>
        <v/>
      </c>
      <c r="AF366" s="14">
        <f>IF($B366="","",IF(AND($AG366&lt;&gt;"",$AI366="",$AL366=""),"保留中",IF($AL366&lt;&gt;"",IF(N($AE366)&gt;0,"支給済","不支給"),IF($AE366="","要確認",IF($AE366=0,"不支給","未処理")))))</f>
        <v/>
      </c>
      <c r="AG366" s="12" t="n"/>
      <c r="AH366" s="11" t="n"/>
      <c r="AI366" s="11" t="n"/>
      <c r="AJ366" s="11" t="n"/>
      <c r="AK366" s="14">
        <f>IF(AND($AF366="保留中",$AH366&lt;&gt;""),TODAY()-$AH366,"")</f>
        <v/>
      </c>
      <c r="AL366" s="12" t="inlineStr">
        <is>
          <t>R8.1</t>
        </is>
      </c>
      <c r="AM366" s="14">
        <f>IF($B366="","",IF($AQ366="","対象年月が未入力／","")&amp;IF($B366="","",IF($AP366="","職員マスタに未登録の職員番号／",IF($AA366="","標準報酬月額が未登録／","")&amp;IF(AND($AQ366&lt;&gt;"",OR(AND(INDEX(職員マスタ!$G$6:$G$405,$AP366)&lt;&gt;"",INDEX(職員マスタ!$G$6:$G$405,$AP366)&gt;EOMONTH($AQ366,0)),AND(INDEX(職員マスタ!$H$6:$H$405,$AP366)&lt;&gt;"",INDEX(職員マスタ!$H$6:$H$405,$AP366)&lt;$AQ366))),"対象月が時短期間外／","")&amp;IF(AND(INDEX(職員マスタ!$K$6:$K$405,$AP366)&lt;&gt;"",N($W366)&gt;0,INDEX(職員マスタ!$K$6:$K$405,$AP366)&lt;&gt;$W366),"標準報酬月額が申請書と相違（台帳"&amp;TEXT(INDEX(職員マスタ!$K$6:$K$405,$AP366),"#,##0")&amp;"円／申請書"&amp;TEXT($W366,"#,##0")&amp;"円）／","")&amp;IF(AND(INDEX(職員マスタ!$F$6:$F$405,$AP366)&lt;&gt;"",$AQ366&lt;&gt;"",INDEX(職員マスタ!$F$6:$F$405,$AP366)&lt;$AQ366),"対象月に子が2歳到達済／","")&amp;IF(AND($H366&lt;&gt;"",INDEX(職員マスタ!$B$6:$B$405,$AP366)&lt;&gt;"",SUBSTITUTE(SUBSTITUTE($H366," ","")," ","")&lt;&gt;SUBSTITUTE(SUBSTITUTE(INDEX(職員マスタ!$B$6:$B$405,$AP366)," ","")," ","")),"氏名がマスタと相違／","")&amp;IF(AND($Q366&lt;&gt;"",INDEX(職員マスタ!$E$6:$E$405,$AP366)&lt;&gt;"",$Q366&lt;&gt;INDEX(職員マスタ!$E$6:$E$405,$AP366)),"子の生年月日がマスタと相違／","")&amp;IF(AND($L366&lt;&gt;"",INDEX(職員マスタ!$G$6:$G$405,$AP366)&lt;&gt;"",$L366&lt;&gt;INDEX(職員マスタ!$G$6:$G$405,$AP366)),"時短開始日がマスタと相違／","")&amp;IF(AND($M366&lt;&gt;"",INDEX(職員マスタ!$H$6:$H$405,$AP366)&lt;&gt;"",$M366&lt;&gt;INDEX(職員マスタ!$H$6:$H$405,$AP366)),"時短終了日がマスタと相違／","")))&amp;IF(AND($B366&lt;&gt;"",$E366=""),"報酬額が未入力／","")&amp;IF(N($U366)&gt;0,"申請書に入力エラーが残っています／","")&amp;IF(AND($B366&lt;&gt;"",$AQ366&lt;&gt;""),IF(COUNTIFS($B$6:$B$3005,$B366,$C$6:$C$3005,$C366,$D$6:$D$3005,$D366)&gt;1,"同じ月の請求が重複しています／",""),"")&amp;IF(AND(N($E366)&gt;0,$AB366&lt;&gt;"",$AB366&lt;&gt;"×",$AE366=0,$AD366=""),"計算額が下限以下のため不支給／",""))</f>
        <v/>
      </c>
      <c r="AN366" s="12" t="n"/>
      <c r="AO366" s="14">
        <f>IF($AF366="保留中",COUNTIF($AF$6:$AF366,"保留中"),"")</f>
        <v/>
      </c>
      <c r="AP366" s="14">
        <f>IF($AQ366="","",IF(SUMPRODUCT(MAX((職員マスタ!$A$6:$A$405=$B366)*(((職員マスタ!$G$6:$G$405="")+(職員マスタ!$G$6:$G$405&lt;=EOMONTH($AQ366,0)))&gt;0)*(((職員マスタ!$H$6:$H$405="")+(職員マスタ!$H$6:$H$405&gt;=$AQ366))&gt;0)*(ROW(職員マスタ!$A$6:$A$405)-5)))&gt;0,SUMPRODUCT(MAX((職員マスタ!$A$6:$A$405=$B366)*(((職員マスタ!$G$6:$G$405="")+(職員マスタ!$G$6:$G$405&lt;=EOMONTH($AQ366,0)))&gt;0)*(((職員マスタ!$H$6:$H$405="")+(職員マスタ!$H$6:$H$405&gt;=$AQ366))&gt;0)*(ROW(職員マスタ!$A$6:$A$405)-5))),IFERROR(MATCH($B366,職員マスタ!$A$6:$A$405,0),"")))</f>
        <v/>
      </c>
      <c r="AQ366" s="16">
        <f>IF(OR($B366="",$C366="",$D366=""),"",DATE($C366+2018,$D366,1))</f>
        <v/>
      </c>
    </row>
    <row r="367">
      <c r="A367" s="11" t="n"/>
      <c r="B367" s="12" t="n">
        <v>6801831</v>
      </c>
      <c r="C367" s="12" t="n">
        <v>7</v>
      </c>
      <c r="D367" s="12" t="n">
        <v>11</v>
      </c>
      <c r="E367" s="13" t="n">
        <v>187039</v>
      </c>
      <c r="F367" s="12" t="n"/>
      <c r="G367" s="13" t="n"/>
      <c r="H367" s="12" t="n"/>
      <c r="I367" s="12" t="n"/>
      <c r="J367" s="12" t="n"/>
      <c r="K367" s="12" t="n"/>
      <c r="L367" s="11" t="n"/>
      <c r="M367" s="11" t="n"/>
      <c r="N367" s="11" t="n"/>
      <c r="O367" s="11" t="n"/>
      <c r="P367" s="12" t="n"/>
      <c r="Q367" s="11" t="n"/>
      <c r="R367" s="12" t="n"/>
      <c r="S367" s="11" t="n"/>
      <c r="T367" s="12" t="n"/>
      <c r="U367" s="12" t="n"/>
      <c r="V367" s="12" t="n"/>
      <c r="W367" s="13" t="n"/>
      <c r="X367" s="14">
        <f>IF($AP367="",IF($B367="","",$H367),IF(INDEX(職員マスタ!$B$6:$B$405,$AP367)="",$H367,INDEX(職員マスタ!$B$6:$B$405,$AP367)))</f>
        <v/>
      </c>
      <c r="Y367" s="14">
        <f>IF($AP367="",IF($B367="","",$R367),IF(INDEX(職員マスタ!$C$6:$C$405,$AP367)="",$R367,INDEX(職員マスタ!$C$6:$C$405,$AP367)))</f>
        <v/>
      </c>
      <c r="Z367" s="14">
        <f>IF($AQ367="","","R"&amp;$C367&amp;"."&amp;$D367)</f>
        <v/>
      </c>
      <c r="AA367" s="15">
        <f>IF(IF($AP367="",FALSE,INDEX(職員マスタ!$K$6:$K$405,$AP367)&lt;&gt;""),INDEX(職員マスタ!$K$6:$K$405,$AP367),IF(N($W367)&gt;0,$W367,""))</f>
        <v/>
      </c>
      <c r="AB367" s="14">
        <f>IF(OR($E367="",$AA367=""),"",IF($E367&gt;=$AA367,"×",IF($E367&gt;=$AA367*設定!$C$5,"△","○")))</f>
        <v/>
      </c>
      <c r="AC367" s="15">
        <f>IF($AB367="","",IF($AB367="×",0,IF($AB367="○",ROUNDDOWN($E367*設定!$C$4,0),ROUNDDOWN($E367*ROUND((9*$AA367-9*$E367)/(10*$E367),4),0))))</f>
        <v/>
      </c>
      <c r="AD367" s="13" t="n"/>
      <c r="AE367" s="15">
        <f>IF($B367="","",IF($AD367&lt;&gt;"",$AD367,IF($AC367="","",IF($AC367&lt;=設定!$C$3,0,$AC367))))</f>
        <v/>
      </c>
      <c r="AF367" s="14">
        <f>IF($B367="","",IF(AND($AG367&lt;&gt;"",$AI367="",$AL367=""),"保留中",IF($AL367&lt;&gt;"",IF(N($AE367)&gt;0,"支給済","不支給"),IF($AE367="","要確認",IF($AE367=0,"不支給","未処理")))))</f>
        <v/>
      </c>
      <c r="AG367" s="12" t="n"/>
      <c r="AH367" s="11" t="n"/>
      <c r="AI367" s="11" t="n"/>
      <c r="AJ367" s="11" t="n"/>
      <c r="AK367" s="14">
        <f>IF(AND($AF367="保留中",$AH367&lt;&gt;""),TODAY()-$AH367,"")</f>
        <v/>
      </c>
      <c r="AL367" s="12" t="inlineStr">
        <is>
          <t>R8.1</t>
        </is>
      </c>
      <c r="AM367" s="14">
        <f>IF($B367="","",IF($AQ367="","対象年月が未入力／","")&amp;IF($B367="","",IF($AP367="","職員マスタに未登録の職員番号／",IF($AA367="","標準報酬月額が未登録／","")&amp;IF(AND($AQ367&lt;&gt;"",OR(AND(INDEX(職員マスタ!$G$6:$G$405,$AP367)&lt;&gt;"",INDEX(職員マスタ!$G$6:$G$405,$AP367)&gt;EOMONTH($AQ367,0)),AND(INDEX(職員マスタ!$H$6:$H$405,$AP367)&lt;&gt;"",INDEX(職員マスタ!$H$6:$H$405,$AP367)&lt;$AQ367))),"対象月が時短期間外／","")&amp;IF(AND(INDEX(職員マスタ!$K$6:$K$405,$AP367)&lt;&gt;"",N($W367)&gt;0,INDEX(職員マスタ!$K$6:$K$405,$AP367)&lt;&gt;$W367),"標準報酬月額が申請書と相違（台帳"&amp;TEXT(INDEX(職員マスタ!$K$6:$K$405,$AP367),"#,##0")&amp;"円／申請書"&amp;TEXT($W367,"#,##0")&amp;"円）／","")&amp;IF(AND(INDEX(職員マスタ!$F$6:$F$405,$AP367)&lt;&gt;"",$AQ367&lt;&gt;"",INDEX(職員マスタ!$F$6:$F$405,$AP367)&lt;$AQ367),"対象月に子が2歳到達済／","")&amp;IF(AND($H367&lt;&gt;"",INDEX(職員マスタ!$B$6:$B$405,$AP367)&lt;&gt;"",SUBSTITUTE(SUBSTITUTE($H367," ","")," ","")&lt;&gt;SUBSTITUTE(SUBSTITUTE(INDEX(職員マスタ!$B$6:$B$405,$AP367)," ","")," ","")),"氏名がマスタと相違／","")&amp;IF(AND($Q367&lt;&gt;"",INDEX(職員マスタ!$E$6:$E$405,$AP367)&lt;&gt;"",$Q367&lt;&gt;INDEX(職員マスタ!$E$6:$E$405,$AP367)),"子の生年月日がマスタと相違／","")&amp;IF(AND($L367&lt;&gt;"",INDEX(職員マスタ!$G$6:$G$405,$AP367)&lt;&gt;"",$L367&lt;&gt;INDEX(職員マスタ!$G$6:$G$405,$AP367)),"時短開始日がマスタと相違／","")&amp;IF(AND($M367&lt;&gt;"",INDEX(職員マスタ!$H$6:$H$405,$AP367)&lt;&gt;"",$M367&lt;&gt;INDEX(職員マスタ!$H$6:$H$405,$AP367)),"時短終了日がマスタと相違／","")))&amp;IF(AND($B367&lt;&gt;"",$E367=""),"報酬額が未入力／","")&amp;IF(N($U367)&gt;0,"申請書に入力エラーが残っています／","")&amp;IF(AND($B367&lt;&gt;"",$AQ367&lt;&gt;""),IF(COUNTIFS($B$6:$B$3005,$B367,$C$6:$C$3005,$C367,$D$6:$D$3005,$D367)&gt;1,"同じ月の請求が重複しています／",""),"")&amp;IF(AND(N($E367)&gt;0,$AB367&lt;&gt;"",$AB367&lt;&gt;"×",$AE367=0,$AD367=""),"計算額が下限以下のため不支給／",""))</f>
        <v/>
      </c>
      <c r="AN367" s="12" t="n"/>
      <c r="AO367" s="14">
        <f>IF($AF367="保留中",COUNTIF($AF$6:$AF367,"保留中"),"")</f>
        <v/>
      </c>
      <c r="AP367" s="14">
        <f>IF($AQ367="","",IF(SUMPRODUCT(MAX((職員マスタ!$A$6:$A$405=$B367)*(((職員マスタ!$G$6:$G$405="")+(職員マスタ!$G$6:$G$405&lt;=EOMONTH($AQ367,0)))&gt;0)*(((職員マスタ!$H$6:$H$405="")+(職員マスタ!$H$6:$H$405&gt;=$AQ367))&gt;0)*(ROW(職員マスタ!$A$6:$A$405)-5)))&gt;0,SUMPRODUCT(MAX((職員マスタ!$A$6:$A$405=$B367)*(((職員マスタ!$G$6:$G$405="")+(職員マスタ!$G$6:$G$405&lt;=EOMONTH($AQ367,0)))&gt;0)*(((職員マスタ!$H$6:$H$405="")+(職員マスタ!$H$6:$H$405&gt;=$AQ367))&gt;0)*(ROW(職員マスタ!$A$6:$A$405)-5))),IFERROR(MATCH($B367,職員マスタ!$A$6:$A$405,0),"")))</f>
        <v/>
      </c>
      <c r="AQ367" s="16">
        <f>IF(OR($B367="",$C367="",$D367=""),"",DATE($C367+2018,$D367,1))</f>
        <v/>
      </c>
    </row>
    <row r="368">
      <c r="A368" s="11" t="n"/>
      <c r="B368" s="12" t="n">
        <v>6801831</v>
      </c>
      <c r="C368" s="12" t="n">
        <v>7</v>
      </c>
      <c r="D368" s="12" t="n">
        <v>12</v>
      </c>
      <c r="E368" s="13" t="n">
        <v>194404</v>
      </c>
      <c r="F368" s="12" t="n"/>
      <c r="G368" s="13" t="n"/>
      <c r="H368" s="12" t="n"/>
      <c r="I368" s="12" t="n"/>
      <c r="J368" s="12" t="n"/>
      <c r="K368" s="12" t="n"/>
      <c r="L368" s="11" t="n"/>
      <c r="M368" s="11" t="n"/>
      <c r="N368" s="11" t="n"/>
      <c r="O368" s="11" t="n"/>
      <c r="P368" s="12" t="n"/>
      <c r="Q368" s="11" t="n"/>
      <c r="R368" s="12" t="n"/>
      <c r="S368" s="11" t="n"/>
      <c r="T368" s="12" t="n"/>
      <c r="U368" s="12" t="n"/>
      <c r="V368" s="12" t="n"/>
      <c r="W368" s="13" t="n"/>
      <c r="X368" s="14">
        <f>IF($AP368="",IF($B368="","",$H368),IF(INDEX(職員マスタ!$B$6:$B$405,$AP368)="",$H368,INDEX(職員マスタ!$B$6:$B$405,$AP368)))</f>
        <v/>
      </c>
      <c r="Y368" s="14">
        <f>IF($AP368="",IF($B368="","",$R368),IF(INDEX(職員マスタ!$C$6:$C$405,$AP368)="",$R368,INDEX(職員マスタ!$C$6:$C$405,$AP368)))</f>
        <v/>
      </c>
      <c r="Z368" s="14">
        <f>IF($AQ368="","","R"&amp;$C368&amp;"."&amp;$D368)</f>
        <v/>
      </c>
      <c r="AA368" s="15">
        <f>IF(IF($AP368="",FALSE,INDEX(職員マスタ!$K$6:$K$405,$AP368)&lt;&gt;""),INDEX(職員マスタ!$K$6:$K$405,$AP368),IF(N($W368)&gt;0,$W368,""))</f>
        <v/>
      </c>
      <c r="AB368" s="14">
        <f>IF(OR($E368="",$AA368=""),"",IF($E368&gt;=$AA368,"×",IF($E368&gt;=$AA368*設定!$C$5,"△","○")))</f>
        <v/>
      </c>
      <c r="AC368" s="15">
        <f>IF($AB368="","",IF($AB368="×",0,IF($AB368="○",ROUNDDOWN($E368*設定!$C$4,0),ROUNDDOWN($E368*ROUND((9*$AA368-9*$E368)/(10*$E368),4),0))))</f>
        <v/>
      </c>
      <c r="AD368" s="13" t="n"/>
      <c r="AE368" s="15">
        <f>IF($B368="","",IF($AD368&lt;&gt;"",$AD368,IF($AC368="","",IF($AC368&lt;=設定!$C$3,0,$AC368))))</f>
        <v/>
      </c>
      <c r="AF368" s="14">
        <f>IF($B368="","",IF(AND($AG368&lt;&gt;"",$AI368="",$AL368=""),"保留中",IF($AL368&lt;&gt;"",IF(N($AE368)&gt;0,"支給済","不支給"),IF($AE368="","要確認",IF($AE368=0,"不支給","未処理")))))</f>
        <v/>
      </c>
      <c r="AG368" s="12" t="n"/>
      <c r="AH368" s="11" t="n"/>
      <c r="AI368" s="11" t="n"/>
      <c r="AJ368" s="11" t="n"/>
      <c r="AK368" s="14">
        <f>IF(AND($AF368="保留中",$AH368&lt;&gt;""),TODAY()-$AH368,"")</f>
        <v/>
      </c>
      <c r="AL368" s="12" t="inlineStr">
        <is>
          <t>R8.2</t>
        </is>
      </c>
      <c r="AM368" s="14">
        <f>IF($B368="","",IF($AQ368="","対象年月が未入力／","")&amp;IF($B368="","",IF($AP368="","職員マスタに未登録の職員番号／",IF($AA368="","標準報酬月額が未登録／","")&amp;IF(AND($AQ368&lt;&gt;"",OR(AND(INDEX(職員マスタ!$G$6:$G$405,$AP368)&lt;&gt;"",INDEX(職員マスタ!$G$6:$G$405,$AP368)&gt;EOMONTH($AQ368,0)),AND(INDEX(職員マスタ!$H$6:$H$405,$AP368)&lt;&gt;"",INDEX(職員マスタ!$H$6:$H$405,$AP368)&lt;$AQ368))),"対象月が時短期間外／","")&amp;IF(AND(INDEX(職員マスタ!$K$6:$K$405,$AP368)&lt;&gt;"",N($W368)&gt;0,INDEX(職員マスタ!$K$6:$K$405,$AP368)&lt;&gt;$W368),"標準報酬月額が申請書と相違（台帳"&amp;TEXT(INDEX(職員マスタ!$K$6:$K$405,$AP368),"#,##0")&amp;"円／申請書"&amp;TEXT($W368,"#,##0")&amp;"円）／","")&amp;IF(AND(INDEX(職員マスタ!$F$6:$F$405,$AP368)&lt;&gt;"",$AQ368&lt;&gt;"",INDEX(職員マスタ!$F$6:$F$405,$AP368)&lt;$AQ368),"対象月に子が2歳到達済／","")&amp;IF(AND($H368&lt;&gt;"",INDEX(職員マスタ!$B$6:$B$405,$AP368)&lt;&gt;"",SUBSTITUTE(SUBSTITUTE($H368," ","")," ","")&lt;&gt;SUBSTITUTE(SUBSTITUTE(INDEX(職員マスタ!$B$6:$B$405,$AP368)," ","")," ","")),"氏名がマスタと相違／","")&amp;IF(AND($Q368&lt;&gt;"",INDEX(職員マスタ!$E$6:$E$405,$AP368)&lt;&gt;"",$Q368&lt;&gt;INDEX(職員マスタ!$E$6:$E$405,$AP368)),"子の生年月日がマスタと相違／","")&amp;IF(AND($L368&lt;&gt;"",INDEX(職員マスタ!$G$6:$G$405,$AP368)&lt;&gt;"",$L368&lt;&gt;INDEX(職員マスタ!$G$6:$G$405,$AP368)),"時短開始日がマスタと相違／","")&amp;IF(AND($M368&lt;&gt;"",INDEX(職員マスタ!$H$6:$H$405,$AP368)&lt;&gt;"",$M368&lt;&gt;INDEX(職員マスタ!$H$6:$H$405,$AP368)),"時短終了日がマスタと相違／","")))&amp;IF(AND($B368&lt;&gt;"",$E368=""),"報酬額が未入力／","")&amp;IF(N($U368)&gt;0,"申請書に入力エラーが残っています／","")&amp;IF(AND($B368&lt;&gt;"",$AQ368&lt;&gt;""),IF(COUNTIFS($B$6:$B$3005,$B368,$C$6:$C$3005,$C368,$D$6:$D$3005,$D368)&gt;1,"同じ月の請求が重複しています／",""),"")&amp;IF(AND(N($E368)&gt;0,$AB368&lt;&gt;"",$AB368&lt;&gt;"×",$AE368=0,$AD368=""),"計算額が下限以下のため不支給／",""))</f>
        <v/>
      </c>
      <c r="AN368" s="12" t="n"/>
      <c r="AO368" s="14">
        <f>IF($AF368="保留中",COUNTIF($AF$6:$AF368,"保留中"),"")</f>
        <v/>
      </c>
      <c r="AP368" s="14">
        <f>IF($AQ368="","",IF(SUMPRODUCT(MAX((職員マスタ!$A$6:$A$405=$B368)*(((職員マスタ!$G$6:$G$405="")+(職員マスタ!$G$6:$G$405&lt;=EOMONTH($AQ368,0)))&gt;0)*(((職員マスタ!$H$6:$H$405="")+(職員マスタ!$H$6:$H$405&gt;=$AQ368))&gt;0)*(ROW(職員マスタ!$A$6:$A$405)-5)))&gt;0,SUMPRODUCT(MAX((職員マスタ!$A$6:$A$405=$B368)*(((職員マスタ!$G$6:$G$405="")+(職員マスタ!$G$6:$G$405&lt;=EOMONTH($AQ368,0)))&gt;0)*(((職員マスタ!$H$6:$H$405="")+(職員マスタ!$H$6:$H$405&gt;=$AQ368))&gt;0)*(ROW(職員マスタ!$A$6:$A$405)-5))),IFERROR(MATCH($B368,職員マスタ!$A$6:$A$405,0),"")))</f>
        <v/>
      </c>
      <c r="AQ368" s="16">
        <f>IF(OR($B368="",$C368="",$D368=""),"",DATE($C368+2018,$D368,1))</f>
        <v/>
      </c>
    </row>
    <row r="369">
      <c r="A369" s="11" t="n"/>
      <c r="B369" s="12" t="n">
        <v>6801831</v>
      </c>
      <c r="C369" s="12" t="n">
        <v>8</v>
      </c>
      <c r="D369" s="12" t="n">
        <v>1</v>
      </c>
      <c r="E369" s="13" t="n">
        <v>190644</v>
      </c>
      <c r="F369" s="12" t="n"/>
      <c r="G369" s="13" t="n"/>
      <c r="H369" s="12" t="n"/>
      <c r="I369" s="12" t="n"/>
      <c r="J369" s="12" t="n"/>
      <c r="K369" s="12" t="n"/>
      <c r="L369" s="11" t="n"/>
      <c r="M369" s="11" t="n"/>
      <c r="N369" s="11" t="n"/>
      <c r="O369" s="11" t="n"/>
      <c r="P369" s="12" t="n"/>
      <c r="Q369" s="11" t="n"/>
      <c r="R369" s="12" t="n"/>
      <c r="S369" s="11" t="n"/>
      <c r="T369" s="12" t="n"/>
      <c r="U369" s="12" t="n"/>
      <c r="V369" s="12" t="n"/>
      <c r="W369" s="13" t="n"/>
      <c r="X369" s="14">
        <f>IF($AP369="",IF($B369="","",$H369),IF(INDEX(職員マスタ!$B$6:$B$405,$AP369)="",$H369,INDEX(職員マスタ!$B$6:$B$405,$AP369)))</f>
        <v/>
      </c>
      <c r="Y369" s="14">
        <f>IF($AP369="",IF($B369="","",$R369),IF(INDEX(職員マスタ!$C$6:$C$405,$AP369)="",$R369,INDEX(職員マスタ!$C$6:$C$405,$AP369)))</f>
        <v/>
      </c>
      <c r="Z369" s="14">
        <f>IF($AQ369="","","R"&amp;$C369&amp;"."&amp;$D369)</f>
        <v/>
      </c>
      <c r="AA369" s="15">
        <f>IF(IF($AP369="",FALSE,INDEX(職員マスタ!$K$6:$K$405,$AP369)&lt;&gt;""),INDEX(職員マスタ!$K$6:$K$405,$AP369),IF(N($W369)&gt;0,$W369,""))</f>
        <v/>
      </c>
      <c r="AB369" s="14">
        <f>IF(OR($E369="",$AA369=""),"",IF($E369&gt;=$AA369,"×",IF($E369&gt;=$AA369*設定!$C$5,"△","○")))</f>
        <v/>
      </c>
      <c r="AC369" s="15">
        <f>IF($AB369="","",IF($AB369="×",0,IF($AB369="○",ROUNDDOWN($E369*設定!$C$4,0),ROUNDDOWN($E369*ROUND((9*$AA369-9*$E369)/(10*$E369),4),0))))</f>
        <v/>
      </c>
      <c r="AD369" s="13" t="n"/>
      <c r="AE369" s="15">
        <f>IF($B369="","",IF($AD369&lt;&gt;"",$AD369,IF($AC369="","",IF($AC369&lt;=設定!$C$3,0,$AC369))))</f>
        <v/>
      </c>
      <c r="AF369" s="14">
        <f>IF($B369="","",IF(AND($AG369&lt;&gt;"",$AI369="",$AL369=""),"保留中",IF($AL369&lt;&gt;"",IF(N($AE369)&gt;0,"支給済","不支給"),IF($AE369="","要確認",IF($AE369=0,"不支給","未処理")))))</f>
        <v/>
      </c>
      <c r="AG369" s="12" t="n"/>
      <c r="AH369" s="11" t="n"/>
      <c r="AI369" s="11" t="n"/>
      <c r="AJ369" s="11" t="n"/>
      <c r="AK369" s="14">
        <f>IF(AND($AF369="保留中",$AH369&lt;&gt;""),TODAY()-$AH369,"")</f>
        <v/>
      </c>
      <c r="AL369" s="12" t="inlineStr">
        <is>
          <t>R8.3</t>
        </is>
      </c>
      <c r="AM369" s="14">
        <f>IF($B369="","",IF($AQ369="","対象年月が未入力／","")&amp;IF($B369="","",IF($AP369="","職員マスタに未登録の職員番号／",IF($AA369="","標準報酬月額が未登録／","")&amp;IF(AND($AQ369&lt;&gt;"",OR(AND(INDEX(職員マスタ!$G$6:$G$405,$AP369)&lt;&gt;"",INDEX(職員マスタ!$G$6:$G$405,$AP369)&gt;EOMONTH($AQ369,0)),AND(INDEX(職員マスタ!$H$6:$H$405,$AP369)&lt;&gt;"",INDEX(職員マスタ!$H$6:$H$405,$AP369)&lt;$AQ369))),"対象月が時短期間外／","")&amp;IF(AND(INDEX(職員マスタ!$K$6:$K$405,$AP369)&lt;&gt;"",N($W369)&gt;0,INDEX(職員マスタ!$K$6:$K$405,$AP369)&lt;&gt;$W369),"標準報酬月額が申請書と相違（台帳"&amp;TEXT(INDEX(職員マスタ!$K$6:$K$405,$AP369),"#,##0")&amp;"円／申請書"&amp;TEXT($W369,"#,##0")&amp;"円）／","")&amp;IF(AND(INDEX(職員マスタ!$F$6:$F$405,$AP369)&lt;&gt;"",$AQ369&lt;&gt;"",INDEX(職員マスタ!$F$6:$F$405,$AP369)&lt;$AQ369),"対象月に子が2歳到達済／","")&amp;IF(AND($H369&lt;&gt;"",INDEX(職員マスタ!$B$6:$B$405,$AP369)&lt;&gt;"",SUBSTITUTE(SUBSTITUTE($H369," ","")," ","")&lt;&gt;SUBSTITUTE(SUBSTITUTE(INDEX(職員マスタ!$B$6:$B$405,$AP369)," ","")," ","")),"氏名がマスタと相違／","")&amp;IF(AND($Q369&lt;&gt;"",INDEX(職員マスタ!$E$6:$E$405,$AP369)&lt;&gt;"",$Q369&lt;&gt;INDEX(職員マスタ!$E$6:$E$405,$AP369)),"子の生年月日がマスタと相違／","")&amp;IF(AND($L369&lt;&gt;"",INDEX(職員マスタ!$G$6:$G$405,$AP369)&lt;&gt;"",$L369&lt;&gt;INDEX(職員マスタ!$G$6:$G$405,$AP369)),"時短開始日がマスタと相違／","")&amp;IF(AND($M369&lt;&gt;"",INDEX(職員マスタ!$H$6:$H$405,$AP369)&lt;&gt;"",$M369&lt;&gt;INDEX(職員マスタ!$H$6:$H$405,$AP369)),"時短終了日がマスタと相違／","")))&amp;IF(AND($B369&lt;&gt;"",$E369=""),"報酬額が未入力／","")&amp;IF(N($U369)&gt;0,"申請書に入力エラーが残っています／","")&amp;IF(AND($B369&lt;&gt;"",$AQ369&lt;&gt;""),IF(COUNTIFS($B$6:$B$3005,$B369,$C$6:$C$3005,$C369,$D$6:$D$3005,$D369)&gt;1,"同じ月の請求が重複しています／",""),"")&amp;IF(AND(N($E369)&gt;0,$AB369&lt;&gt;"",$AB369&lt;&gt;"×",$AE369=0,$AD369=""),"計算額が下限以下のため不支給／",""))</f>
        <v/>
      </c>
      <c r="AN369" s="12" t="n"/>
      <c r="AO369" s="14">
        <f>IF($AF369="保留中",COUNTIF($AF$6:$AF369,"保留中"),"")</f>
        <v/>
      </c>
      <c r="AP369" s="14">
        <f>IF($AQ369="","",IF(SUMPRODUCT(MAX((職員マスタ!$A$6:$A$405=$B369)*(((職員マスタ!$G$6:$G$405="")+(職員マスタ!$G$6:$G$405&lt;=EOMONTH($AQ369,0)))&gt;0)*(((職員マスタ!$H$6:$H$405="")+(職員マスタ!$H$6:$H$405&gt;=$AQ369))&gt;0)*(ROW(職員マスタ!$A$6:$A$405)-5)))&gt;0,SUMPRODUCT(MAX((職員マスタ!$A$6:$A$405=$B369)*(((職員マスタ!$G$6:$G$405="")+(職員マスタ!$G$6:$G$405&lt;=EOMONTH($AQ369,0)))&gt;0)*(((職員マスタ!$H$6:$H$405="")+(職員マスタ!$H$6:$H$405&gt;=$AQ369))&gt;0)*(ROW(職員マスタ!$A$6:$A$405)-5))),IFERROR(MATCH($B369,職員マスタ!$A$6:$A$405,0),"")))</f>
        <v/>
      </c>
      <c r="AQ369" s="16">
        <f>IF(OR($B369="",$C369="",$D369=""),"",DATE($C369+2018,$D369,1))</f>
        <v/>
      </c>
    </row>
    <row r="370">
      <c r="A370" s="11" t="n"/>
      <c r="B370" s="12" t="n">
        <v>6801831</v>
      </c>
      <c r="C370" s="12" t="n">
        <v>8</v>
      </c>
      <c r="D370" s="12" t="n">
        <v>2</v>
      </c>
      <c r="E370" s="13" t="n">
        <v>190644</v>
      </c>
      <c r="F370" s="12" t="n"/>
      <c r="G370" s="13" t="n"/>
      <c r="H370" s="12" t="n"/>
      <c r="I370" s="12" t="n"/>
      <c r="J370" s="12" t="n"/>
      <c r="K370" s="12" t="n"/>
      <c r="L370" s="11" t="n"/>
      <c r="M370" s="11" t="n"/>
      <c r="N370" s="11" t="n"/>
      <c r="O370" s="11" t="n"/>
      <c r="P370" s="12" t="n"/>
      <c r="Q370" s="11" t="n"/>
      <c r="R370" s="12" t="n"/>
      <c r="S370" s="11" t="n"/>
      <c r="T370" s="12" t="n"/>
      <c r="U370" s="12" t="n"/>
      <c r="V370" s="12" t="n"/>
      <c r="W370" s="13" t="n"/>
      <c r="X370" s="14">
        <f>IF($AP370="",IF($B370="","",$H370),IF(INDEX(職員マスタ!$B$6:$B$405,$AP370)="",$H370,INDEX(職員マスタ!$B$6:$B$405,$AP370)))</f>
        <v/>
      </c>
      <c r="Y370" s="14">
        <f>IF($AP370="",IF($B370="","",$R370),IF(INDEX(職員マスタ!$C$6:$C$405,$AP370)="",$R370,INDEX(職員マスタ!$C$6:$C$405,$AP370)))</f>
        <v/>
      </c>
      <c r="Z370" s="14">
        <f>IF($AQ370="","","R"&amp;$C370&amp;"."&amp;$D370)</f>
        <v/>
      </c>
      <c r="AA370" s="15">
        <f>IF(IF($AP370="",FALSE,INDEX(職員マスタ!$K$6:$K$405,$AP370)&lt;&gt;""),INDEX(職員マスタ!$K$6:$K$405,$AP370),IF(N($W370)&gt;0,$W370,""))</f>
        <v/>
      </c>
      <c r="AB370" s="14">
        <f>IF(OR($E370="",$AA370=""),"",IF($E370&gt;=$AA370,"×",IF($E370&gt;=$AA370*設定!$C$5,"△","○")))</f>
        <v/>
      </c>
      <c r="AC370" s="15">
        <f>IF($AB370="","",IF($AB370="×",0,IF($AB370="○",ROUNDDOWN($E370*設定!$C$4,0),ROUNDDOWN($E370*ROUND((9*$AA370-9*$E370)/(10*$E370),4),0))))</f>
        <v/>
      </c>
      <c r="AD370" s="13" t="n"/>
      <c r="AE370" s="15">
        <f>IF($B370="","",IF($AD370&lt;&gt;"",$AD370,IF($AC370="","",IF($AC370&lt;=設定!$C$3,0,$AC370))))</f>
        <v/>
      </c>
      <c r="AF370" s="14">
        <f>IF($B370="","",IF(AND($AG370&lt;&gt;"",$AI370="",$AL370=""),"保留中",IF($AL370&lt;&gt;"",IF(N($AE370)&gt;0,"支給済","不支給"),IF($AE370="","要確認",IF($AE370=0,"不支給","未処理")))))</f>
        <v/>
      </c>
      <c r="AG370" s="12" t="n"/>
      <c r="AH370" s="11" t="n"/>
      <c r="AI370" s="11" t="n"/>
      <c r="AJ370" s="11" t="n"/>
      <c r="AK370" s="14">
        <f>IF(AND($AF370="保留中",$AH370&lt;&gt;""),TODAY()-$AH370,"")</f>
        <v/>
      </c>
      <c r="AL370" s="12" t="inlineStr">
        <is>
          <t>R8.4</t>
        </is>
      </c>
      <c r="AM370" s="14">
        <f>IF($B370="","",IF($AQ370="","対象年月が未入力／","")&amp;IF($B370="","",IF($AP370="","職員マスタに未登録の職員番号／",IF($AA370="","標準報酬月額が未登録／","")&amp;IF(AND($AQ370&lt;&gt;"",OR(AND(INDEX(職員マスタ!$G$6:$G$405,$AP370)&lt;&gt;"",INDEX(職員マスタ!$G$6:$G$405,$AP370)&gt;EOMONTH($AQ370,0)),AND(INDEX(職員マスタ!$H$6:$H$405,$AP370)&lt;&gt;"",INDEX(職員マスタ!$H$6:$H$405,$AP370)&lt;$AQ370))),"対象月が時短期間外／","")&amp;IF(AND(INDEX(職員マスタ!$K$6:$K$405,$AP370)&lt;&gt;"",N($W370)&gt;0,INDEX(職員マスタ!$K$6:$K$405,$AP370)&lt;&gt;$W370),"標準報酬月額が申請書と相違（台帳"&amp;TEXT(INDEX(職員マスタ!$K$6:$K$405,$AP370),"#,##0")&amp;"円／申請書"&amp;TEXT($W370,"#,##0")&amp;"円）／","")&amp;IF(AND(INDEX(職員マスタ!$F$6:$F$405,$AP370)&lt;&gt;"",$AQ370&lt;&gt;"",INDEX(職員マスタ!$F$6:$F$405,$AP370)&lt;$AQ370),"対象月に子が2歳到達済／","")&amp;IF(AND($H370&lt;&gt;"",INDEX(職員マスタ!$B$6:$B$405,$AP370)&lt;&gt;"",SUBSTITUTE(SUBSTITUTE($H370," ","")," ","")&lt;&gt;SUBSTITUTE(SUBSTITUTE(INDEX(職員マスタ!$B$6:$B$405,$AP370)," ","")," ","")),"氏名がマスタと相違／","")&amp;IF(AND($Q370&lt;&gt;"",INDEX(職員マスタ!$E$6:$E$405,$AP370)&lt;&gt;"",$Q370&lt;&gt;INDEX(職員マスタ!$E$6:$E$405,$AP370)),"子の生年月日がマスタと相違／","")&amp;IF(AND($L370&lt;&gt;"",INDEX(職員マスタ!$G$6:$G$405,$AP370)&lt;&gt;"",$L370&lt;&gt;INDEX(職員マスタ!$G$6:$G$405,$AP370)),"時短開始日がマスタと相違／","")&amp;IF(AND($M370&lt;&gt;"",INDEX(職員マスタ!$H$6:$H$405,$AP370)&lt;&gt;"",$M370&lt;&gt;INDEX(職員マスタ!$H$6:$H$405,$AP370)),"時短終了日がマスタと相違／","")))&amp;IF(AND($B370&lt;&gt;"",$E370=""),"報酬額が未入力／","")&amp;IF(N($U370)&gt;0,"申請書に入力エラーが残っています／","")&amp;IF(AND($B370&lt;&gt;"",$AQ370&lt;&gt;""),IF(COUNTIFS($B$6:$B$3005,$B370,$C$6:$C$3005,$C370,$D$6:$D$3005,$D370)&gt;1,"同じ月の請求が重複しています／",""),"")&amp;IF(AND(N($E370)&gt;0,$AB370&lt;&gt;"",$AB370&lt;&gt;"×",$AE370=0,$AD370=""),"計算額が下限以下のため不支給／",""))</f>
        <v/>
      </c>
      <c r="AN370" s="12" t="n"/>
      <c r="AO370" s="14">
        <f>IF($AF370="保留中",COUNTIF($AF$6:$AF370,"保留中"),"")</f>
        <v/>
      </c>
      <c r="AP370" s="14">
        <f>IF($AQ370="","",IF(SUMPRODUCT(MAX((職員マスタ!$A$6:$A$405=$B370)*(((職員マスタ!$G$6:$G$405="")+(職員マスタ!$G$6:$G$405&lt;=EOMONTH($AQ370,0)))&gt;0)*(((職員マスタ!$H$6:$H$405="")+(職員マスタ!$H$6:$H$405&gt;=$AQ370))&gt;0)*(ROW(職員マスタ!$A$6:$A$405)-5)))&gt;0,SUMPRODUCT(MAX((職員マスタ!$A$6:$A$405=$B370)*(((職員マスタ!$G$6:$G$405="")+(職員マスタ!$G$6:$G$405&lt;=EOMONTH($AQ370,0)))&gt;0)*(((職員マスタ!$H$6:$H$405="")+(職員マスタ!$H$6:$H$405&gt;=$AQ370))&gt;0)*(ROW(職員マスタ!$A$6:$A$405)-5))),IFERROR(MATCH($B370,職員マスタ!$A$6:$A$405,0),"")))</f>
        <v/>
      </c>
      <c r="AQ370" s="16">
        <f>IF(OR($B370="",$C370="",$D370=""),"",DATE($C370+2018,$D370,1))</f>
        <v/>
      </c>
    </row>
    <row r="371">
      <c r="A371" s="11" t="n"/>
      <c r="B371" s="12" t="n">
        <v>6801831</v>
      </c>
      <c r="C371" s="12" t="n">
        <v>8</v>
      </c>
      <c r="D371" s="12" t="n">
        <v>3</v>
      </c>
      <c r="E371" s="13" t="n">
        <v>194404</v>
      </c>
      <c r="F371" s="12" t="n"/>
      <c r="G371" s="13" t="n"/>
      <c r="H371" s="12" t="n"/>
      <c r="I371" s="12" t="n"/>
      <c r="J371" s="12" t="n"/>
      <c r="K371" s="12" t="n"/>
      <c r="L371" s="11" t="n"/>
      <c r="M371" s="11" t="n"/>
      <c r="N371" s="11" t="n"/>
      <c r="O371" s="11" t="n"/>
      <c r="P371" s="12" t="n"/>
      <c r="Q371" s="11" t="n"/>
      <c r="R371" s="12" t="n"/>
      <c r="S371" s="11" t="n"/>
      <c r="T371" s="12" t="n"/>
      <c r="U371" s="12" t="n"/>
      <c r="V371" s="12" t="n"/>
      <c r="W371" s="13" t="n"/>
      <c r="X371" s="14">
        <f>IF($AP371="",IF($B371="","",$H371),IF(INDEX(職員マスタ!$B$6:$B$405,$AP371)="",$H371,INDEX(職員マスタ!$B$6:$B$405,$AP371)))</f>
        <v/>
      </c>
      <c r="Y371" s="14">
        <f>IF($AP371="",IF($B371="","",$R371),IF(INDEX(職員マスタ!$C$6:$C$405,$AP371)="",$R371,INDEX(職員マスタ!$C$6:$C$405,$AP371)))</f>
        <v/>
      </c>
      <c r="Z371" s="14">
        <f>IF($AQ371="","","R"&amp;$C371&amp;"."&amp;$D371)</f>
        <v/>
      </c>
      <c r="AA371" s="15">
        <f>IF(IF($AP371="",FALSE,INDEX(職員マスタ!$K$6:$K$405,$AP371)&lt;&gt;""),INDEX(職員マスタ!$K$6:$K$405,$AP371),IF(N($W371)&gt;0,$W371,""))</f>
        <v/>
      </c>
      <c r="AB371" s="14">
        <f>IF(OR($E371="",$AA371=""),"",IF($E371&gt;=$AA371,"×",IF($E371&gt;=$AA371*設定!$C$5,"△","○")))</f>
        <v/>
      </c>
      <c r="AC371" s="15">
        <f>IF($AB371="","",IF($AB371="×",0,IF($AB371="○",ROUNDDOWN($E371*設定!$C$4,0),ROUNDDOWN($E371*ROUND((9*$AA371-9*$E371)/(10*$E371),4),0))))</f>
        <v/>
      </c>
      <c r="AD371" s="13" t="n"/>
      <c r="AE371" s="15">
        <f>IF($B371="","",IF($AD371&lt;&gt;"",$AD371,IF($AC371="","",IF($AC371&lt;=設定!$C$3,0,$AC371))))</f>
        <v/>
      </c>
      <c r="AF371" s="14">
        <f>IF($B371="","",IF(AND($AG371&lt;&gt;"",$AI371="",$AL371=""),"保留中",IF($AL371&lt;&gt;"",IF(N($AE371)&gt;0,"支給済","不支給"),IF($AE371="","要確認",IF($AE371=0,"不支給","未処理")))))</f>
        <v/>
      </c>
      <c r="AG371" s="12" t="n"/>
      <c r="AH371" s="11" t="n"/>
      <c r="AI371" s="11" t="n"/>
      <c r="AJ371" s="11" t="n"/>
      <c r="AK371" s="14">
        <f>IF(AND($AF371="保留中",$AH371&lt;&gt;""),TODAY()-$AH371,"")</f>
        <v/>
      </c>
      <c r="AL371" s="12" t="inlineStr">
        <is>
          <t>R8.5</t>
        </is>
      </c>
      <c r="AM371" s="14">
        <f>IF($B371="","",IF($AQ371="","対象年月が未入力／","")&amp;IF($B371="","",IF($AP371="","職員マスタに未登録の職員番号／",IF($AA371="","標準報酬月額が未登録／","")&amp;IF(AND($AQ371&lt;&gt;"",OR(AND(INDEX(職員マスタ!$G$6:$G$405,$AP371)&lt;&gt;"",INDEX(職員マスタ!$G$6:$G$405,$AP371)&gt;EOMONTH($AQ371,0)),AND(INDEX(職員マスタ!$H$6:$H$405,$AP371)&lt;&gt;"",INDEX(職員マスタ!$H$6:$H$405,$AP371)&lt;$AQ371))),"対象月が時短期間外／","")&amp;IF(AND(INDEX(職員マスタ!$K$6:$K$405,$AP371)&lt;&gt;"",N($W371)&gt;0,INDEX(職員マスタ!$K$6:$K$405,$AP371)&lt;&gt;$W371),"標準報酬月額が申請書と相違（台帳"&amp;TEXT(INDEX(職員マスタ!$K$6:$K$405,$AP371),"#,##0")&amp;"円／申請書"&amp;TEXT($W371,"#,##0")&amp;"円）／","")&amp;IF(AND(INDEX(職員マスタ!$F$6:$F$405,$AP371)&lt;&gt;"",$AQ371&lt;&gt;"",INDEX(職員マスタ!$F$6:$F$405,$AP371)&lt;$AQ371),"対象月に子が2歳到達済／","")&amp;IF(AND($H371&lt;&gt;"",INDEX(職員マスタ!$B$6:$B$405,$AP371)&lt;&gt;"",SUBSTITUTE(SUBSTITUTE($H371," ","")," ","")&lt;&gt;SUBSTITUTE(SUBSTITUTE(INDEX(職員マスタ!$B$6:$B$405,$AP371)," ","")," ","")),"氏名がマスタと相違／","")&amp;IF(AND($Q371&lt;&gt;"",INDEX(職員マスタ!$E$6:$E$405,$AP371)&lt;&gt;"",$Q371&lt;&gt;INDEX(職員マスタ!$E$6:$E$405,$AP371)),"子の生年月日がマスタと相違／","")&amp;IF(AND($L371&lt;&gt;"",INDEX(職員マスタ!$G$6:$G$405,$AP371)&lt;&gt;"",$L371&lt;&gt;INDEX(職員マスタ!$G$6:$G$405,$AP371)),"時短開始日がマスタと相違／","")&amp;IF(AND($M371&lt;&gt;"",INDEX(職員マスタ!$H$6:$H$405,$AP371)&lt;&gt;"",$M371&lt;&gt;INDEX(職員マスタ!$H$6:$H$405,$AP371)),"時短終了日がマスタと相違／","")))&amp;IF(AND($B371&lt;&gt;"",$E371=""),"報酬額が未入力／","")&amp;IF(N($U371)&gt;0,"申請書に入力エラーが残っています／","")&amp;IF(AND($B371&lt;&gt;"",$AQ371&lt;&gt;""),IF(COUNTIFS($B$6:$B$3005,$B371,$C$6:$C$3005,$C371,$D$6:$D$3005,$D371)&gt;1,"同じ月の請求が重複しています／",""),"")&amp;IF(AND(N($E371)&gt;0,$AB371&lt;&gt;"",$AB371&lt;&gt;"×",$AE371=0,$AD371=""),"計算額が下限以下のため不支給／",""))</f>
        <v/>
      </c>
      <c r="AN371" s="12" t="n"/>
      <c r="AO371" s="14">
        <f>IF($AF371="保留中",COUNTIF($AF$6:$AF371,"保留中"),"")</f>
        <v/>
      </c>
      <c r="AP371" s="14">
        <f>IF($AQ371="","",IF(SUMPRODUCT(MAX((職員マスタ!$A$6:$A$405=$B371)*(((職員マスタ!$G$6:$G$405="")+(職員マスタ!$G$6:$G$405&lt;=EOMONTH($AQ371,0)))&gt;0)*(((職員マスタ!$H$6:$H$405="")+(職員マスタ!$H$6:$H$405&gt;=$AQ371))&gt;0)*(ROW(職員マスタ!$A$6:$A$405)-5)))&gt;0,SUMPRODUCT(MAX((職員マスタ!$A$6:$A$405=$B371)*(((職員マスタ!$G$6:$G$405="")+(職員マスタ!$G$6:$G$405&lt;=EOMONTH($AQ371,0)))&gt;0)*(((職員マスタ!$H$6:$H$405="")+(職員マスタ!$H$6:$H$405&gt;=$AQ371))&gt;0)*(ROW(職員マスタ!$A$6:$A$405)-5))),IFERROR(MATCH($B371,職員マスタ!$A$6:$A$405,0),"")))</f>
        <v/>
      </c>
      <c r="AQ371" s="16">
        <f>IF(OR($B371="",$C371="",$D371=""),"",DATE($C371+2018,$D371,1))</f>
        <v/>
      </c>
    </row>
    <row r="372">
      <c r="A372" s="11" t="n"/>
      <c r="B372" s="12" t="n">
        <v>6801872</v>
      </c>
      <c r="C372" s="12" t="n">
        <v>7</v>
      </c>
      <c r="D372" s="12" t="n">
        <v>4</v>
      </c>
      <c r="E372" s="13" t="n">
        <v>93526</v>
      </c>
      <c r="F372" s="12" t="n"/>
      <c r="G372" s="13" t="n"/>
      <c r="H372" s="12" t="n"/>
      <c r="I372" s="12" t="n"/>
      <c r="J372" s="12" t="n"/>
      <c r="K372" s="12" t="n"/>
      <c r="L372" s="11" t="n"/>
      <c r="M372" s="11" t="n"/>
      <c r="N372" s="11" t="n"/>
      <c r="O372" s="11" t="n"/>
      <c r="P372" s="12" t="n"/>
      <c r="Q372" s="11" t="n"/>
      <c r="R372" s="12" t="n"/>
      <c r="S372" s="11" t="n"/>
      <c r="T372" s="12" t="n"/>
      <c r="U372" s="12" t="n"/>
      <c r="V372" s="12" t="n"/>
      <c r="W372" s="13" t="n"/>
      <c r="X372" s="14">
        <f>IF($AP372="",IF($B372="","",$H372),IF(INDEX(職員マスタ!$B$6:$B$405,$AP372)="",$H372,INDEX(職員マスタ!$B$6:$B$405,$AP372)))</f>
        <v/>
      </c>
      <c r="Y372" s="14">
        <f>IF($AP372="",IF($B372="","",$R372),IF(INDEX(職員マスタ!$C$6:$C$405,$AP372)="",$R372,INDEX(職員マスタ!$C$6:$C$405,$AP372)))</f>
        <v/>
      </c>
      <c r="Z372" s="14">
        <f>IF($AQ372="","","R"&amp;$C372&amp;"."&amp;$D372)</f>
        <v/>
      </c>
      <c r="AA372" s="15">
        <f>IF(IF($AP372="",FALSE,INDEX(職員マスタ!$K$6:$K$405,$AP372)&lt;&gt;""),INDEX(職員マスタ!$K$6:$K$405,$AP372),IF(N($W372)&gt;0,$W372,""))</f>
        <v/>
      </c>
      <c r="AB372" s="14">
        <f>IF(OR($E372="",$AA372=""),"",IF($E372&gt;=$AA372,"×",IF($E372&gt;=$AA372*設定!$C$5,"△","○")))</f>
        <v/>
      </c>
      <c r="AC372" s="15">
        <f>IF($AB372="","",IF($AB372="×",0,IF($AB372="○",ROUNDDOWN($E372*設定!$C$4,0),ROUNDDOWN($E372*ROUND((9*$AA372-9*$E372)/(10*$E372),4),0))))</f>
        <v/>
      </c>
      <c r="AD372" s="13" t="n"/>
      <c r="AE372" s="15">
        <f>IF($B372="","",IF($AD372&lt;&gt;"",$AD372,IF($AC372="","",IF($AC372&lt;=設定!$C$3,0,$AC372))))</f>
        <v/>
      </c>
      <c r="AF372" s="14">
        <f>IF($B372="","",IF(AND($AG372&lt;&gt;"",$AI372="",$AL372=""),"保留中",IF($AL372&lt;&gt;"",IF(N($AE372)&gt;0,"支給済","不支給"),IF($AE372="","要確認",IF($AE372=0,"不支給","未処理")))))</f>
        <v/>
      </c>
      <c r="AG372" s="12" t="n"/>
      <c r="AH372" s="11" t="n"/>
      <c r="AI372" s="11" t="n"/>
      <c r="AJ372" s="11" t="n"/>
      <c r="AK372" s="14">
        <f>IF(AND($AF372="保留中",$AH372&lt;&gt;""),TODAY()-$AH372,"")</f>
        <v/>
      </c>
      <c r="AL372" s="12" t="inlineStr">
        <is>
          <t>R7.8</t>
        </is>
      </c>
      <c r="AM372" s="14">
        <f>IF($B372="","",IF($AQ372="","対象年月が未入力／","")&amp;IF($B372="","",IF($AP372="","職員マスタに未登録の職員番号／",IF($AA372="","標準報酬月額が未登録／","")&amp;IF(AND($AQ372&lt;&gt;"",OR(AND(INDEX(職員マスタ!$G$6:$G$405,$AP372)&lt;&gt;"",INDEX(職員マスタ!$G$6:$G$405,$AP372)&gt;EOMONTH($AQ372,0)),AND(INDEX(職員マスタ!$H$6:$H$405,$AP372)&lt;&gt;"",INDEX(職員マスタ!$H$6:$H$405,$AP372)&lt;$AQ372))),"対象月が時短期間外／","")&amp;IF(AND(INDEX(職員マスタ!$K$6:$K$405,$AP372)&lt;&gt;"",N($W372)&gt;0,INDEX(職員マスタ!$K$6:$K$405,$AP372)&lt;&gt;$W372),"標準報酬月額が申請書と相違（台帳"&amp;TEXT(INDEX(職員マスタ!$K$6:$K$405,$AP372),"#,##0")&amp;"円／申請書"&amp;TEXT($W372,"#,##0")&amp;"円）／","")&amp;IF(AND(INDEX(職員マスタ!$F$6:$F$405,$AP372)&lt;&gt;"",$AQ372&lt;&gt;"",INDEX(職員マスタ!$F$6:$F$405,$AP372)&lt;$AQ372),"対象月に子が2歳到達済／","")&amp;IF(AND($H372&lt;&gt;"",INDEX(職員マスタ!$B$6:$B$405,$AP372)&lt;&gt;"",SUBSTITUTE(SUBSTITUTE($H372," ","")," ","")&lt;&gt;SUBSTITUTE(SUBSTITUTE(INDEX(職員マスタ!$B$6:$B$405,$AP372)," ","")," ","")),"氏名がマスタと相違／","")&amp;IF(AND($Q372&lt;&gt;"",INDEX(職員マスタ!$E$6:$E$405,$AP372)&lt;&gt;"",$Q372&lt;&gt;INDEX(職員マスタ!$E$6:$E$405,$AP372)),"子の生年月日がマスタと相違／","")&amp;IF(AND($L372&lt;&gt;"",INDEX(職員マスタ!$G$6:$G$405,$AP372)&lt;&gt;"",$L372&lt;&gt;INDEX(職員マスタ!$G$6:$G$405,$AP372)),"時短開始日がマスタと相違／","")&amp;IF(AND($M372&lt;&gt;"",INDEX(職員マスタ!$H$6:$H$405,$AP372)&lt;&gt;"",$M372&lt;&gt;INDEX(職員マスタ!$H$6:$H$405,$AP372)),"時短終了日がマスタと相違／","")))&amp;IF(AND($B372&lt;&gt;"",$E372=""),"報酬額が未入力／","")&amp;IF(N($U372)&gt;0,"申請書に入力エラーが残っています／","")&amp;IF(AND($B372&lt;&gt;"",$AQ372&lt;&gt;""),IF(COUNTIFS($B$6:$B$3005,$B372,$C$6:$C$3005,$C372,$D$6:$D$3005,$D372)&gt;1,"同じ月の請求が重複しています／",""),"")&amp;IF(AND(N($E372)&gt;0,$AB372&lt;&gt;"",$AB372&lt;&gt;"×",$AE372=0,$AD372=""),"計算額が下限以下のため不支給／",""))</f>
        <v/>
      </c>
      <c r="AN372" s="12" t="n"/>
      <c r="AO372" s="14">
        <f>IF($AF372="保留中",COUNTIF($AF$6:$AF372,"保留中"),"")</f>
        <v/>
      </c>
      <c r="AP372" s="14">
        <f>IF($AQ372="","",IF(SUMPRODUCT(MAX((職員マスタ!$A$6:$A$405=$B372)*(((職員マスタ!$G$6:$G$405="")+(職員マスタ!$G$6:$G$405&lt;=EOMONTH($AQ372,0)))&gt;0)*(((職員マスタ!$H$6:$H$405="")+(職員マスタ!$H$6:$H$405&gt;=$AQ372))&gt;0)*(ROW(職員マスタ!$A$6:$A$405)-5)))&gt;0,SUMPRODUCT(MAX((職員マスタ!$A$6:$A$405=$B372)*(((職員マスタ!$G$6:$G$405="")+(職員マスタ!$G$6:$G$405&lt;=EOMONTH($AQ372,0)))&gt;0)*(((職員マスタ!$H$6:$H$405="")+(職員マスタ!$H$6:$H$405&gt;=$AQ372))&gt;0)*(ROW(職員マスタ!$A$6:$A$405)-5))),IFERROR(MATCH($B372,職員マスタ!$A$6:$A$405,0),"")))</f>
        <v/>
      </c>
      <c r="AQ372" s="16">
        <f>IF(OR($B372="",$C372="",$D372=""),"",DATE($C372+2018,$D372,1))</f>
        <v/>
      </c>
    </row>
    <row r="373">
      <c r="A373" s="11" t="n"/>
      <c r="B373" s="12" t="n">
        <v>6801872</v>
      </c>
      <c r="C373" s="12" t="n">
        <v>7</v>
      </c>
      <c r="D373" s="12" t="n">
        <v>5</v>
      </c>
      <c r="E373" s="13" t="n">
        <v>169716</v>
      </c>
      <c r="F373" s="12" t="n"/>
      <c r="G373" s="13" t="n"/>
      <c r="H373" s="12" t="n"/>
      <c r="I373" s="12" t="n"/>
      <c r="J373" s="12" t="n"/>
      <c r="K373" s="12" t="n"/>
      <c r="L373" s="11" t="n"/>
      <c r="M373" s="11" t="n"/>
      <c r="N373" s="11" t="n"/>
      <c r="O373" s="11" t="n"/>
      <c r="P373" s="12" t="n"/>
      <c r="Q373" s="11" t="n"/>
      <c r="R373" s="12" t="n"/>
      <c r="S373" s="11" t="n"/>
      <c r="T373" s="12" t="n"/>
      <c r="U373" s="12" t="n"/>
      <c r="V373" s="12" t="n"/>
      <c r="W373" s="13" t="n"/>
      <c r="X373" s="14">
        <f>IF($AP373="",IF($B373="","",$H373),IF(INDEX(職員マスタ!$B$6:$B$405,$AP373)="",$H373,INDEX(職員マスタ!$B$6:$B$405,$AP373)))</f>
        <v/>
      </c>
      <c r="Y373" s="14">
        <f>IF($AP373="",IF($B373="","",$R373),IF(INDEX(職員マスタ!$C$6:$C$405,$AP373)="",$R373,INDEX(職員マスタ!$C$6:$C$405,$AP373)))</f>
        <v/>
      </c>
      <c r="Z373" s="14">
        <f>IF($AQ373="","","R"&amp;$C373&amp;"."&amp;$D373)</f>
        <v/>
      </c>
      <c r="AA373" s="15">
        <f>IF(IF($AP373="",FALSE,INDEX(職員マスタ!$K$6:$K$405,$AP373)&lt;&gt;""),INDEX(職員マスタ!$K$6:$K$405,$AP373),IF(N($W373)&gt;0,$W373,""))</f>
        <v/>
      </c>
      <c r="AB373" s="14">
        <f>IF(OR($E373="",$AA373=""),"",IF($E373&gt;=$AA373,"×",IF($E373&gt;=$AA373*設定!$C$5,"△","○")))</f>
        <v/>
      </c>
      <c r="AC373" s="15">
        <f>IF($AB373="","",IF($AB373="×",0,IF($AB373="○",ROUNDDOWN($E373*設定!$C$4,0),ROUNDDOWN($E373*ROUND((9*$AA373-9*$E373)/(10*$E373),4),0))))</f>
        <v/>
      </c>
      <c r="AD373" s="13" t="n"/>
      <c r="AE373" s="15">
        <f>IF($B373="","",IF($AD373&lt;&gt;"",$AD373,IF($AC373="","",IF($AC373&lt;=設定!$C$3,0,$AC373))))</f>
        <v/>
      </c>
      <c r="AF373" s="14">
        <f>IF($B373="","",IF(AND($AG373&lt;&gt;"",$AI373="",$AL373=""),"保留中",IF($AL373&lt;&gt;"",IF(N($AE373)&gt;0,"支給済","不支給"),IF($AE373="","要確認",IF($AE373=0,"不支給","未処理")))))</f>
        <v/>
      </c>
      <c r="AG373" s="12" t="n"/>
      <c r="AH373" s="11" t="n"/>
      <c r="AI373" s="11" t="n"/>
      <c r="AJ373" s="11" t="n"/>
      <c r="AK373" s="14">
        <f>IF(AND($AF373="保留中",$AH373&lt;&gt;""),TODAY()-$AH373,"")</f>
        <v/>
      </c>
      <c r="AL373" s="12" t="inlineStr">
        <is>
          <t>R7.8</t>
        </is>
      </c>
      <c r="AM373" s="14">
        <f>IF($B373="","",IF($AQ373="","対象年月が未入力／","")&amp;IF($B373="","",IF($AP373="","職員マスタに未登録の職員番号／",IF($AA373="","標準報酬月額が未登録／","")&amp;IF(AND($AQ373&lt;&gt;"",OR(AND(INDEX(職員マスタ!$G$6:$G$405,$AP373)&lt;&gt;"",INDEX(職員マスタ!$G$6:$G$405,$AP373)&gt;EOMONTH($AQ373,0)),AND(INDEX(職員マスタ!$H$6:$H$405,$AP373)&lt;&gt;"",INDEX(職員マスタ!$H$6:$H$405,$AP373)&lt;$AQ373))),"対象月が時短期間外／","")&amp;IF(AND(INDEX(職員マスタ!$K$6:$K$405,$AP373)&lt;&gt;"",N($W373)&gt;0,INDEX(職員マスタ!$K$6:$K$405,$AP373)&lt;&gt;$W373),"標準報酬月額が申請書と相違（台帳"&amp;TEXT(INDEX(職員マスタ!$K$6:$K$405,$AP373),"#,##0")&amp;"円／申請書"&amp;TEXT($W373,"#,##0")&amp;"円）／","")&amp;IF(AND(INDEX(職員マスタ!$F$6:$F$405,$AP373)&lt;&gt;"",$AQ373&lt;&gt;"",INDEX(職員マスタ!$F$6:$F$405,$AP373)&lt;$AQ373),"対象月に子が2歳到達済／","")&amp;IF(AND($H373&lt;&gt;"",INDEX(職員マスタ!$B$6:$B$405,$AP373)&lt;&gt;"",SUBSTITUTE(SUBSTITUTE($H373," ","")," ","")&lt;&gt;SUBSTITUTE(SUBSTITUTE(INDEX(職員マスタ!$B$6:$B$405,$AP373)," ","")," ","")),"氏名がマスタと相違／","")&amp;IF(AND($Q373&lt;&gt;"",INDEX(職員マスタ!$E$6:$E$405,$AP373)&lt;&gt;"",$Q373&lt;&gt;INDEX(職員マスタ!$E$6:$E$405,$AP373)),"子の生年月日がマスタと相違／","")&amp;IF(AND($L373&lt;&gt;"",INDEX(職員マスタ!$G$6:$G$405,$AP373)&lt;&gt;"",$L373&lt;&gt;INDEX(職員マスタ!$G$6:$G$405,$AP373)),"時短開始日がマスタと相違／","")&amp;IF(AND($M373&lt;&gt;"",INDEX(職員マスタ!$H$6:$H$405,$AP373)&lt;&gt;"",$M373&lt;&gt;INDEX(職員マスタ!$H$6:$H$405,$AP373)),"時短終了日がマスタと相違／","")))&amp;IF(AND($B373&lt;&gt;"",$E373=""),"報酬額が未入力／","")&amp;IF(N($U373)&gt;0,"申請書に入力エラーが残っています／","")&amp;IF(AND($B373&lt;&gt;"",$AQ373&lt;&gt;""),IF(COUNTIFS($B$6:$B$3005,$B373,$C$6:$C$3005,$C373,$D$6:$D$3005,$D373)&gt;1,"同じ月の請求が重複しています／",""),"")&amp;IF(AND(N($E373)&gt;0,$AB373&lt;&gt;"",$AB373&lt;&gt;"×",$AE373=0,$AD373=""),"計算額が下限以下のため不支給／",""))</f>
        <v/>
      </c>
      <c r="AN373" s="12" t="n"/>
      <c r="AO373" s="14">
        <f>IF($AF373="保留中",COUNTIF($AF$6:$AF373,"保留中"),"")</f>
        <v/>
      </c>
      <c r="AP373" s="14">
        <f>IF($AQ373="","",IF(SUMPRODUCT(MAX((職員マスタ!$A$6:$A$405=$B373)*(((職員マスタ!$G$6:$G$405="")+(職員マスタ!$G$6:$G$405&lt;=EOMONTH($AQ373,0)))&gt;0)*(((職員マスタ!$H$6:$H$405="")+(職員マスタ!$H$6:$H$405&gt;=$AQ373))&gt;0)*(ROW(職員マスタ!$A$6:$A$405)-5)))&gt;0,SUMPRODUCT(MAX((職員マスタ!$A$6:$A$405=$B373)*(((職員マスタ!$G$6:$G$405="")+(職員マスタ!$G$6:$G$405&lt;=EOMONTH($AQ373,0)))&gt;0)*(((職員マスタ!$H$6:$H$405="")+(職員マスタ!$H$6:$H$405&gt;=$AQ373))&gt;0)*(ROW(職員マスタ!$A$6:$A$405)-5))),IFERROR(MATCH($B373,職員マスタ!$A$6:$A$405,0),"")))</f>
        <v/>
      </c>
      <c r="AQ373" s="16">
        <f>IF(OR($B373="",$C373="",$D373=""),"",DATE($C373+2018,$D373,1))</f>
        <v/>
      </c>
    </row>
    <row r="374">
      <c r="A374" s="11" t="n"/>
      <c r="B374" s="12" t="n">
        <v>6801872</v>
      </c>
      <c r="C374" s="12" t="n">
        <v>7</v>
      </c>
      <c r="D374" s="12" t="n">
        <v>6</v>
      </c>
      <c r="E374" s="13" t="n">
        <v>176688</v>
      </c>
      <c r="F374" s="12" t="n"/>
      <c r="G374" s="13" t="n"/>
      <c r="H374" s="12" t="n"/>
      <c r="I374" s="12" t="n"/>
      <c r="J374" s="12" t="n"/>
      <c r="K374" s="12" t="n"/>
      <c r="L374" s="11" t="n"/>
      <c r="M374" s="11" t="n"/>
      <c r="N374" s="11" t="n"/>
      <c r="O374" s="11" t="n"/>
      <c r="P374" s="12" t="n"/>
      <c r="Q374" s="11" t="n"/>
      <c r="R374" s="12" t="n"/>
      <c r="S374" s="11" t="n"/>
      <c r="T374" s="12" t="n"/>
      <c r="U374" s="12" t="n"/>
      <c r="V374" s="12" t="n"/>
      <c r="W374" s="13" t="n"/>
      <c r="X374" s="14">
        <f>IF($AP374="",IF($B374="","",$H374),IF(INDEX(職員マスタ!$B$6:$B$405,$AP374)="",$H374,INDEX(職員マスタ!$B$6:$B$405,$AP374)))</f>
        <v/>
      </c>
      <c r="Y374" s="14">
        <f>IF($AP374="",IF($B374="","",$R374),IF(INDEX(職員マスタ!$C$6:$C$405,$AP374)="",$R374,INDEX(職員マスタ!$C$6:$C$405,$AP374)))</f>
        <v/>
      </c>
      <c r="Z374" s="14">
        <f>IF($AQ374="","","R"&amp;$C374&amp;"."&amp;$D374)</f>
        <v/>
      </c>
      <c r="AA374" s="15">
        <f>IF(IF($AP374="",FALSE,INDEX(職員マスタ!$K$6:$K$405,$AP374)&lt;&gt;""),INDEX(職員マスタ!$K$6:$K$405,$AP374),IF(N($W374)&gt;0,$W374,""))</f>
        <v/>
      </c>
      <c r="AB374" s="14">
        <f>IF(OR($E374="",$AA374=""),"",IF($E374&gt;=$AA374,"×",IF($E374&gt;=$AA374*設定!$C$5,"△","○")))</f>
        <v/>
      </c>
      <c r="AC374" s="15">
        <f>IF($AB374="","",IF($AB374="×",0,IF($AB374="○",ROUNDDOWN($E374*設定!$C$4,0),ROUNDDOWN($E374*ROUND((9*$AA374-9*$E374)/(10*$E374),4),0))))</f>
        <v/>
      </c>
      <c r="AD374" s="13" t="n"/>
      <c r="AE374" s="15">
        <f>IF($B374="","",IF($AD374&lt;&gt;"",$AD374,IF($AC374="","",IF($AC374&lt;=設定!$C$3,0,$AC374))))</f>
        <v/>
      </c>
      <c r="AF374" s="14">
        <f>IF($B374="","",IF(AND($AG374&lt;&gt;"",$AI374="",$AL374=""),"保留中",IF($AL374&lt;&gt;"",IF(N($AE374)&gt;0,"支給済","不支給"),IF($AE374="","要確認",IF($AE374=0,"不支給","未処理")))))</f>
        <v/>
      </c>
      <c r="AG374" s="12" t="n"/>
      <c r="AH374" s="11" t="n"/>
      <c r="AI374" s="11" t="n"/>
      <c r="AJ374" s="11" t="n"/>
      <c r="AK374" s="14">
        <f>IF(AND($AF374="保留中",$AH374&lt;&gt;""),TODAY()-$AH374,"")</f>
        <v/>
      </c>
      <c r="AL374" s="12" t="inlineStr">
        <is>
          <t>R7.8</t>
        </is>
      </c>
      <c r="AM374" s="14">
        <f>IF($B374="","",IF($AQ374="","対象年月が未入力／","")&amp;IF($B374="","",IF($AP374="","職員マスタに未登録の職員番号／",IF($AA374="","標準報酬月額が未登録／","")&amp;IF(AND($AQ374&lt;&gt;"",OR(AND(INDEX(職員マスタ!$G$6:$G$405,$AP374)&lt;&gt;"",INDEX(職員マスタ!$G$6:$G$405,$AP374)&gt;EOMONTH($AQ374,0)),AND(INDEX(職員マスタ!$H$6:$H$405,$AP374)&lt;&gt;"",INDEX(職員マスタ!$H$6:$H$405,$AP374)&lt;$AQ374))),"対象月が時短期間外／","")&amp;IF(AND(INDEX(職員マスタ!$K$6:$K$405,$AP374)&lt;&gt;"",N($W374)&gt;0,INDEX(職員マスタ!$K$6:$K$405,$AP374)&lt;&gt;$W374),"標準報酬月額が申請書と相違（台帳"&amp;TEXT(INDEX(職員マスタ!$K$6:$K$405,$AP374),"#,##0")&amp;"円／申請書"&amp;TEXT($W374,"#,##0")&amp;"円）／","")&amp;IF(AND(INDEX(職員マスタ!$F$6:$F$405,$AP374)&lt;&gt;"",$AQ374&lt;&gt;"",INDEX(職員マスタ!$F$6:$F$405,$AP374)&lt;$AQ374),"対象月に子が2歳到達済／","")&amp;IF(AND($H374&lt;&gt;"",INDEX(職員マスタ!$B$6:$B$405,$AP374)&lt;&gt;"",SUBSTITUTE(SUBSTITUTE($H374," ","")," ","")&lt;&gt;SUBSTITUTE(SUBSTITUTE(INDEX(職員マスタ!$B$6:$B$405,$AP374)," ","")," ","")),"氏名がマスタと相違／","")&amp;IF(AND($Q374&lt;&gt;"",INDEX(職員マスタ!$E$6:$E$405,$AP374)&lt;&gt;"",$Q374&lt;&gt;INDEX(職員マスタ!$E$6:$E$405,$AP374)),"子の生年月日がマスタと相違／","")&amp;IF(AND($L374&lt;&gt;"",INDEX(職員マスタ!$G$6:$G$405,$AP374)&lt;&gt;"",$L374&lt;&gt;INDEX(職員マスタ!$G$6:$G$405,$AP374)),"時短開始日がマスタと相違／","")&amp;IF(AND($M374&lt;&gt;"",INDEX(職員マスタ!$H$6:$H$405,$AP374)&lt;&gt;"",$M374&lt;&gt;INDEX(職員マスタ!$H$6:$H$405,$AP374)),"時短終了日がマスタと相違／","")))&amp;IF(AND($B374&lt;&gt;"",$E374=""),"報酬額が未入力／","")&amp;IF(N($U374)&gt;0,"申請書に入力エラーが残っています／","")&amp;IF(AND($B374&lt;&gt;"",$AQ374&lt;&gt;""),IF(COUNTIFS($B$6:$B$3005,$B374,$C$6:$C$3005,$C374,$D$6:$D$3005,$D374)&gt;1,"同じ月の請求が重複しています／",""),"")&amp;IF(AND(N($E374)&gt;0,$AB374&lt;&gt;"",$AB374&lt;&gt;"×",$AE374=0,$AD374=""),"計算額が下限以下のため不支給／",""))</f>
        <v/>
      </c>
      <c r="AN374" s="12" t="n"/>
      <c r="AO374" s="14">
        <f>IF($AF374="保留中",COUNTIF($AF$6:$AF374,"保留中"),"")</f>
        <v/>
      </c>
      <c r="AP374" s="14">
        <f>IF($AQ374="","",IF(SUMPRODUCT(MAX((職員マスタ!$A$6:$A$405=$B374)*(((職員マスタ!$G$6:$G$405="")+(職員マスタ!$G$6:$G$405&lt;=EOMONTH($AQ374,0)))&gt;0)*(((職員マスタ!$H$6:$H$405="")+(職員マスタ!$H$6:$H$405&gt;=$AQ374))&gt;0)*(ROW(職員マスタ!$A$6:$A$405)-5)))&gt;0,SUMPRODUCT(MAX((職員マスタ!$A$6:$A$405=$B374)*(((職員マスタ!$G$6:$G$405="")+(職員マスタ!$G$6:$G$405&lt;=EOMONTH($AQ374,0)))&gt;0)*(((職員マスタ!$H$6:$H$405="")+(職員マスタ!$H$6:$H$405&gt;=$AQ374))&gt;0)*(ROW(職員マスタ!$A$6:$A$405)-5))),IFERROR(MATCH($B374,職員マスタ!$A$6:$A$405,0),"")))</f>
        <v/>
      </c>
      <c r="AQ374" s="16">
        <f>IF(OR($B374="",$C374="",$D374=""),"",DATE($C374+2018,$D374,1))</f>
        <v/>
      </c>
    </row>
    <row r="375">
      <c r="A375" s="11" t="n"/>
      <c r="B375" s="12" t="n">
        <v>6801872</v>
      </c>
      <c r="C375" s="12" t="n">
        <v>7</v>
      </c>
      <c r="D375" s="12" t="n">
        <v>7</v>
      </c>
      <c r="E375" s="13" t="n">
        <v>173202</v>
      </c>
      <c r="F375" s="12" t="n"/>
      <c r="G375" s="13" t="n"/>
      <c r="H375" s="12" t="n"/>
      <c r="I375" s="12" t="n"/>
      <c r="J375" s="12" t="n"/>
      <c r="K375" s="12" t="n"/>
      <c r="L375" s="11" t="n"/>
      <c r="M375" s="11" t="n"/>
      <c r="N375" s="11" t="n"/>
      <c r="O375" s="11" t="n"/>
      <c r="P375" s="12" t="n"/>
      <c r="Q375" s="11" t="n"/>
      <c r="R375" s="12" t="n"/>
      <c r="S375" s="11" t="n"/>
      <c r="T375" s="12" t="n"/>
      <c r="U375" s="12" t="n"/>
      <c r="V375" s="12" t="n"/>
      <c r="W375" s="13" t="n"/>
      <c r="X375" s="14">
        <f>IF($AP375="",IF($B375="","",$H375),IF(INDEX(職員マスタ!$B$6:$B$405,$AP375)="",$H375,INDEX(職員マスタ!$B$6:$B$405,$AP375)))</f>
        <v/>
      </c>
      <c r="Y375" s="14">
        <f>IF($AP375="",IF($B375="","",$R375),IF(INDEX(職員マスタ!$C$6:$C$405,$AP375)="",$R375,INDEX(職員マスタ!$C$6:$C$405,$AP375)))</f>
        <v/>
      </c>
      <c r="Z375" s="14">
        <f>IF($AQ375="","","R"&amp;$C375&amp;"."&amp;$D375)</f>
        <v/>
      </c>
      <c r="AA375" s="15">
        <f>IF(IF($AP375="",FALSE,INDEX(職員マスタ!$K$6:$K$405,$AP375)&lt;&gt;""),INDEX(職員マスタ!$K$6:$K$405,$AP375),IF(N($W375)&gt;0,$W375,""))</f>
        <v/>
      </c>
      <c r="AB375" s="14">
        <f>IF(OR($E375="",$AA375=""),"",IF($E375&gt;=$AA375,"×",IF($E375&gt;=$AA375*設定!$C$5,"△","○")))</f>
        <v/>
      </c>
      <c r="AC375" s="15">
        <f>IF($AB375="","",IF($AB375="×",0,IF($AB375="○",ROUNDDOWN($E375*設定!$C$4,0),ROUNDDOWN($E375*ROUND((9*$AA375-9*$E375)/(10*$E375),4),0))))</f>
        <v/>
      </c>
      <c r="AD375" s="13" t="n"/>
      <c r="AE375" s="15">
        <f>IF($B375="","",IF($AD375&lt;&gt;"",$AD375,IF($AC375="","",IF($AC375&lt;=設定!$C$3,0,$AC375))))</f>
        <v/>
      </c>
      <c r="AF375" s="14">
        <f>IF($B375="","",IF(AND($AG375&lt;&gt;"",$AI375="",$AL375=""),"保留中",IF($AL375&lt;&gt;"",IF(N($AE375)&gt;0,"支給済","不支給"),IF($AE375="","要確認",IF($AE375=0,"不支給","未処理")))))</f>
        <v/>
      </c>
      <c r="AG375" s="12" t="n"/>
      <c r="AH375" s="11" t="n"/>
      <c r="AI375" s="11" t="n"/>
      <c r="AJ375" s="11" t="n"/>
      <c r="AK375" s="14">
        <f>IF(AND($AF375="保留中",$AH375&lt;&gt;""),TODAY()-$AH375,"")</f>
        <v/>
      </c>
      <c r="AL375" s="12" t="inlineStr">
        <is>
          <t>R7.9</t>
        </is>
      </c>
      <c r="AM375" s="14">
        <f>IF($B375="","",IF($AQ375="","対象年月が未入力／","")&amp;IF($B375="","",IF($AP375="","職員マスタに未登録の職員番号／",IF($AA375="","標準報酬月額が未登録／","")&amp;IF(AND($AQ375&lt;&gt;"",OR(AND(INDEX(職員マスタ!$G$6:$G$405,$AP375)&lt;&gt;"",INDEX(職員マスタ!$G$6:$G$405,$AP375)&gt;EOMONTH($AQ375,0)),AND(INDEX(職員マスタ!$H$6:$H$405,$AP375)&lt;&gt;"",INDEX(職員マスタ!$H$6:$H$405,$AP375)&lt;$AQ375))),"対象月が時短期間外／","")&amp;IF(AND(INDEX(職員マスタ!$K$6:$K$405,$AP375)&lt;&gt;"",N($W375)&gt;0,INDEX(職員マスタ!$K$6:$K$405,$AP375)&lt;&gt;$W375),"標準報酬月額が申請書と相違（台帳"&amp;TEXT(INDEX(職員マスタ!$K$6:$K$405,$AP375),"#,##0")&amp;"円／申請書"&amp;TEXT($W375,"#,##0")&amp;"円）／","")&amp;IF(AND(INDEX(職員マスタ!$F$6:$F$405,$AP375)&lt;&gt;"",$AQ375&lt;&gt;"",INDEX(職員マスタ!$F$6:$F$405,$AP375)&lt;$AQ375),"対象月に子が2歳到達済／","")&amp;IF(AND($H375&lt;&gt;"",INDEX(職員マスタ!$B$6:$B$405,$AP375)&lt;&gt;"",SUBSTITUTE(SUBSTITUTE($H375," ","")," ","")&lt;&gt;SUBSTITUTE(SUBSTITUTE(INDEX(職員マスタ!$B$6:$B$405,$AP375)," ","")," ","")),"氏名がマスタと相違／","")&amp;IF(AND($Q375&lt;&gt;"",INDEX(職員マスタ!$E$6:$E$405,$AP375)&lt;&gt;"",$Q375&lt;&gt;INDEX(職員マスタ!$E$6:$E$405,$AP375)),"子の生年月日がマスタと相違／","")&amp;IF(AND($L375&lt;&gt;"",INDEX(職員マスタ!$G$6:$G$405,$AP375)&lt;&gt;"",$L375&lt;&gt;INDEX(職員マスタ!$G$6:$G$405,$AP375)),"時短開始日がマスタと相違／","")&amp;IF(AND($M375&lt;&gt;"",INDEX(職員マスタ!$H$6:$H$405,$AP375)&lt;&gt;"",$M375&lt;&gt;INDEX(職員マスタ!$H$6:$H$405,$AP375)),"時短終了日がマスタと相違／","")))&amp;IF(AND($B375&lt;&gt;"",$E375=""),"報酬額が未入力／","")&amp;IF(N($U375)&gt;0,"申請書に入力エラーが残っています／","")&amp;IF(AND($B375&lt;&gt;"",$AQ375&lt;&gt;""),IF(COUNTIFS($B$6:$B$3005,$B375,$C$6:$C$3005,$C375,$D$6:$D$3005,$D375)&gt;1,"同じ月の請求が重複しています／",""),"")&amp;IF(AND(N($E375)&gt;0,$AB375&lt;&gt;"",$AB375&lt;&gt;"×",$AE375=0,$AD375=""),"計算額が下限以下のため不支給／",""))</f>
        <v/>
      </c>
      <c r="AN375" s="12" t="n"/>
      <c r="AO375" s="14">
        <f>IF($AF375="保留中",COUNTIF($AF$6:$AF375,"保留中"),"")</f>
        <v/>
      </c>
      <c r="AP375" s="14">
        <f>IF($AQ375="","",IF(SUMPRODUCT(MAX((職員マスタ!$A$6:$A$405=$B375)*(((職員マスタ!$G$6:$G$405="")+(職員マスタ!$G$6:$G$405&lt;=EOMONTH($AQ375,0)))&gt;0)*(((職員マスタ!$H$6:$H$405="")+(職員マスタ!$H$6:$H$405&gt;=$AQ375))&gt;0)*(ROW(職員マスタ!$A$6:$A$405)-5)))&gt;0,SUMPRODUCT(MAX((職員マスタ!$A$6:$A$405=$B375)*(((職員マスタ!$G$6:$G$405="")+(職員マスタ!$G$6:$G$405&lt;=EOMONTH($AQ375,0)))&gt;0)*(((職員マスタ!$H$6:$H$405="")+(職員マスタ!$H$6:$H$405&gt;=$AQ375))&gt;0)*(ROW(職員マスタ!$A$6:$A$405)-5))),IFERROR(MATCH($B375,職員マスタ!$A$6:$A$405,0),"")))</f>
        <v/>
      </c>
      <c r="AQ375" s="16">
        <f>IF(OR($B375="",$C375="",$D375=""),"",DATE($C375+2018,$D375,1))</f>
        <v/>
      </c>
    </row>
    <row r="376">
      <c r="A376" s="11" t="n"/>
      <c r="B376" s="12" t="n">
        <v>6801872</v>
      </c>
      <c r="C376" s="12" t="n">
        <v>7</v>
      </c>
      <c r="D376" s="12" t="n">
        <v>8</v>
      </c>
      <c r="E376" s="13" t="n">
        <v>169716</v>
      </c>
      <c r="F376" s="12" t="n"/>
      <c r="G376" s="13" t="n"/>
      <c r="H376" s="12" t="n"/>
      <c r="I376" s="12" t="n"/>
      <c r="J376" s="12" t="n"/>
      <c r="K376" s="12" t="n"/>
      <c r="L376" s="11" t="n"/>
      <c r="M376" s="11" t="n"/>
      <c r="N376" s="11" t="n"/>
      <c r="O376" s="11" t="n"/>
      <c r="P376" s="12" t="n"/>
      <c r="Q376" s="11" t="n"/>
      <c r="R376" s="12" t="n"/>
      <c r="S376" s="11" t="n"/>
      <c r="T376" s="12" t="n"/>
      <c r="U376" s="12" t="n"/>
      <c r="V376" s="12" t="n"/>
      <c r="W376" s="13" t="n"/>
      <c r="X376" s="14">
        <f>IF($AP376="",IF($B376="","",$H376),IF(INDEX(職員マスタ!$B$6:$B$405,$AP376)="",$H376,INDEX(職員マスタ!$B$6:$B$405,$AP376)))</f>
        <v/>
      </c>
      <c r="Y376" s="14">
        <f>IF($AP376="",IF($B376="","",$R376),IF(INDEX(職員マスタ!$C$6:$C$405,$AP376)="",$R376,INDEX(職員マスタ!$C$6:$C$405,$AP376)))</f>
        <v/>
      </c>
      <c r="Z376" s="14">
        <f>IF($AQ376="","","R"&amp;$C376&amp;"."&amp;$D376)</f>
        <v/>
      </c>
      <c r="AA376" s="15">
        <f>IF(IF($AP376="",FALSE,INDEX(職員マスタ!$K$6:$K$405,$AP376)&lt;&gt;""),INDEX(職員マスタ!$K$6:$K$405,$AP376),IF(N($W376)&gt;0,$W376,""))</f>
        <v/>
      </c>
      <c r="AB376" s="14">
        <f>IF(OR($E376="",$AA376=""),"",IF($E376&gt;=$AA376,"×",IF($E376&gt;=$AA376*設定!$C$5,"△","○")))</f>
        <v/>
      </c>
      <c r="AC376" s="15">
        <f>IF($AB376="","",IF($AB376="×",0,IF($AB376="○",ROUNDDOWN($E376*設定!$C$4,0),ROUNDDOWN($E376*ROUND((9*$AA376-9*$E376)/(10*$E376),4),0))))</f>
        <v/>
      </c>
      <c r="AD376" s="13" t="n"/>
      <c r="AE376" s="15">
        <f>IF($B376="","",IF($AD376&lt;&gt;"",$AD376,IF($AC376="","",IF($AC376&lt;=設定!$C$3,0,$AC376))))</f>
        <v/>
      </c>
      <c r="AF376" s="14">
        <f>IF($B376="","",IF(AND($AG376&lt;&gt;"",$AI376="",$AL376=""),"保留中",IF($AL376&lt;&gt;"",IF(N($AE376)&gt;0,"支給済","不支給"),IF($AE376="","要確認",IF($AE376=0,"不支給","未処理")))))</f>
        <v/>
      </c>
      <c r="AG376" s="12" t="n"/>
      <c r="AH376" s="11" t="n"/>
      <c r="AI376" s="11" t="n"/>
      <c r="AJ376" s="11" t="n"/>
      <c r="AK376" s="14">
        <f>IF(AND($AF376="保留中",$AH376&lt;&gt;""),TODAY()-$AH376,"")</f>
        <v/>
      </c>
      <c r="AL376" s="12" t="inlineStr">
        <is>
          <t>R7.10</t>
        </is>
      </c>
      <c r="AM376" s="14">
        <f>IF($B376="","",IF($AQ376="","対象年月が未入力／","")&amp;IF($B376="","",IF($AP376="","職員マスタに未登録の職員番号／",IF($AA376="","標準報酬月額が未登録／","")&amp;IF(AND($AQ376&lt;&gt;"",OR(AND(INDEX(職員マスタ!$G$6:$G$405,$AP376)&lt;&gt;"",INDEX(職員マスタ!$G$6:$G$405,$AP376)&gt;EOMONTH($AQ376,0)),AND(INDEX(職員マスタ!$H$6:$H$405,$AP376)&lt;&gt;"",INDEX(職員マスタ!$H$6:$H$405,$AP376)&lt;$AQ376))),"対象月が時短期間外／","")&amp;IF(AND(INDEX(職員マスタ!$K$6:$K$405,$AP376)&lt;&gt;"",N($W376)&gt;0,INDEX(職員マスタ!$K$6:$K$405,$AP376)&lt;&gt;$W376),"標準報酬月額が申請書と相違（台帳"&amp;TEXT(INDEX(職員マスタ!$K$6:$K$405,$AP376),"#,##0")&amp;"円／申請書"&amp;TEXT($W376,"#,##0")&amp;"円）／","")&amp;IF(AND(INDEX(職員マスタ!$F$6:$F$405,$AP376)&lt;&gt;"",$AQ376&lt;&gt;"",INDEX(職員マスタ!$F$6:$F$405,$AP376)&lt;$AQ376),"対象月に子が2歳到達済／","")&amp;IF(AND($H376&lt;&gt;"",INDEX(職員マスタ!$B$6:$B$405,$AP376)&lt;&gt;"",SUBSTITUTE(SUBSTITUTE($H376," ","")," ","")&lt;&gt;SUBSTITUTE(SUBSTITUTE(INDEX(職員マスタ!$B$6:$B$405,$AP376)," ","")," ","")),"氏名がマスタと相違／","")&amp;IF(AND($Q376&lt;&gt;"",INDEX(職員マスタ!$E$6:$E$405,$AP376)&lt;&gt;"",$Q376&lt;&gt;INDEX(職員マスタ!$E$6:$E$405,$AP376)),"子の生年月日がマスタと相違／","")&amp;IF(AND($L376&lt;&gt;"",INDEX(職員マスタ!$G$6:$G$405,$AP376)&lt;&gt;"",$L376&lt;&gt;INDEX(職員マスタ!$G$6:$G$405,$AP376)),"時短開始日がマスタと相違／","")&amp;IF(AND($M376&lt;&gt;"",INDEX(職員マスタ!$H$6:$H$405,$AP376)&lt;&gt;"",$M376&lt;&gt;INDEX(職員マスタ!$H$6:$H$405,$AP376)),"時短終了日がマスタと相違／","")))&amp;IF(AND($B376&lt;&gt;"",$E376=""),"報酬額が未入力／","")&amp;IF(N($U376)&gt;0,"申請書に入力エラーが残っています／","")&amp;IF(AND($B376&lt;&gt;"",$AQ376&lt;&gt;""),IF(COUNTIFS($B$6:$B$3005,$B376,$C$6:$C$3005,$C376,$D$6:$D$3005,$D376)&gt;1,"同じ月の請求が重複しています／",""),"")&amp;IF(AND(N($E376)&gt;0,$AB376&lt;&gt;"",$AB376&lt;&gt;"×",$AE376=0,$AD376=""),"計算額が下限以下のため不支給／",""))</f>
        <v/>
      </c>
      <c r="AN376" s="12" t="n"/>
      <c r="AO376" s="14">
        <f>IF($AF376="保留中",COUNTIF($AF$6:$AF376,"保留中"),"")</f>
        <v/>
      </c>
      <c r="AP376" s="14">
        <f>IF($AQ376="","",IF(SUMPRODUCT(MAX((職員マスタ!$A$6:$A$405=$B376)*(((職員マスタ!$G$6:$G$405="")+(職員マスタ!$G$6:$G$405&lt;=EOMONTH($AQ376,0)))&gt;0)*(((職員マスタ!$H$6:$H$405="")+(職員マスタ!$H$6:$H$405&gt;=$AQ376))&gt;0)*(ROW(職員マスタ!$A$6:$A$405)-5)))&gt;0,SUMPRODUCT(MAX((職員マスタ!$A$6:$A$405=$B376)*(((職員マスタ!$G$6:$G$405="")+(職員マスタ!$G$6:$G$405&lt;=EOMONTH($AQ376,0)))&gt;0)*(((職員マスタ!$H$6:$H$405="")+(職員マスタ!$H$6:$H$405&gt;=$AQ376))&gt;0)*(ROW(職員マスタ!$A$6:$A$405)-5))),IFERROR(MATCH($B376,職員マスタ!$A$6:$A$405,0),"")))</f>
        <v/>
      </c>
      <c r="AQ376" s="16">
        <f>IF(OR($B376="",$C376="",$D376=""),"",DATE($C376+2018,$D376,1))</f>
        <v/>
      </c>
    </row>
    <row r="377">
      <c r="A377" s="11" t="n"/>
      <c r="B377" s="12" t="n">
        <v>6801872</v>
      </c>
      <c r="C377" s="12" t="n">
        <v>7</v>
      </c>
      <c r="D377" s="12" t="n">
        <v>9</v>
      </c>
      <c r="E377" s="13" t="n">
        <v>169716</v>
      </c>
      <c r="F377" s="12" t="n"/>
      <c r="G377" s="13" t="n"/>
      <c r="H377" s="12" t="n"/>
      <c r="I377" s="12" t="n"/>
      <c r="J377" s="12" t="n"/>
      <c r="K377" s="12" t="n"/>
      <c r="L377" s="11" t="n"/>
      <c r="M377" s="11" t="n"/>
      <c r="N377" s="11" t="n"/>
      <c r="O377" s="11" t="n"/>
      <c r="P377" s="12" t="n"/>
      <c r="Q377" s="11" t="n"/>
      <c r="R377" s="12" t="n"/>
      <c r="S377" s="11" t="n"/>
      <c r="T377" s="12" t="n"/>
      <c r="U377" s="12" t="n"/>
      <c r="V377" s="12" t="n"/>
      <c r="W377" s="13" t="n"/>
      <c r="X377" s="14">
        <f>IF($AP377="",IF($B377="","",$H377),IF(INDEX(職員マスタ!$B$6:$B$405,$AP377)="",$H377,INDEX(職員マスタ!$B$6:$B$405,$AP377)))</f>
        <v/>
      </c>
      <c r="Y377" s="14">
        <f>IF($AP377="",IF($B377="","",$R377),IF(INDEX(職員マスタ!$C$6:$C$405,$AP377)="",$R377,INDEX(職員マスタ!$C$6:$C$405,$AP377)))</f>
        <v/>
      </c>
      <c r="Z377" s="14">
        <f>IF($AQ377="","","R"&amp;$C377&amp;"."&amp;$D377)</f>
        <v/>
      </c>
      <c r="AA377" s="15">
        <f>IF(IF($AP377="",FALSE,INDEX(職員マスタ!$K$6:$K$405,$AP377)&lt;&gt;""),INDEX(職員マスタ!$K$6:$K$405,$AP377),IF(N($W377)&gt;0,$W377,""))</f>
        <v/>
      </c>
      <c r="AB377" s="14">
        <f>IF(OR($E377="",$AA377=""),"",IF($E377&gt;=$AA377,"×",IF($E377&gt;=$AA377*設定!$C$5,"△","○")))</f>
        <v/>
      </c>
      <c r="AC377" s="15">
        <f>IF($AB377="","",IF($AB377="×",0,IF($AB377="○",ROUNDDOWN($E377*設定!$C$4,0),ROUNDDOWN($E377*ROUND((9*$AA377-9*$E377)/(10*$E377),4),0))))</f>
        <v/>
      </c>
      <c r="AD377" s="13" t="n"/>
      <c r="AE377" s="15">
        <f>IF($B377="","",IF($AD377&lt;&gt;"",$AD377,IF($AC377="","",IF($AC377&lt;=設定!$C$3,0,$AC377))))</f>
        <v/>
      </c>
      <c r="AF377" s="14">
        <f>IF($B377="","",IF(AND($AG377&lt;&gt;"",$AI377="",$AL377=""),"保留中",IF($AL377&lt;&gt;"",IF(N($AE377)&gt;0,"支給済","不支給"),IF($AE377="","要確認",IF($AE377=0,"不支給","未処理")))))</f>
        <v/>
      </c>
      <c r="AG377" s="12" t="n"/>
      <c r="AH377" s="11" t="n"/>
      <c r="AI377" s="11" t="n"/>
      <c r="AJ377" s="11" t="n"/>
      <c r="AK377" s="14">
        <f>IF(AND($AF377="保留中",$AH377&lt;&gt;""),TODAY()-$AH377,"")</f>
        <v/>
      </c>
      <c r="AL377" s="12" t="inlineStr">
        <is>
          <t>R7.11</t>
        </is>
      </c>
      <c r="AM377" s="14">
        <f>IF($B377="","",IF($AQ377="","対象年月が未入力／","")&amp;IF($B377="","",IF($AP377="","職員マスタに未登録の職員番号／",IF($AA377="","標準報酬月額が未登録／","")&amp;IF(AND($AQ377&lt;&gt;"",OR(AND(INDEX(職員マスタ!$G$6:$G$405,$AP377)&lt;&gt;"",INDEX(職員マスタ!$G$6:$G$405,$AP377)&gt;EOMONTH($AQ377,0)),AND(INDEX(職員マスタ!$H$6:$H$405,$AP377)&lt;&gt;"",INDEX(職員マスタ!$H$6:$H$405,$AP377)&lt;$AQ377))),"対象月が時短期間外／","")&amp;IF(AND(INDEX(職員マスタ!$K$6:$K$405,$AP377)&lt;&gt;"",N($W377)&gt;0,INDEX(職員マスタ!$K$6:$K$405,$AP377)&lt;&gt;$W377),"標準報酬月額が申請書と相違（台帳"&amp;TEXT(INDEX(職員マスタ!$K$6:$K$405,$AP377),"#,##0")&amp;"円／申請書"&amp;TEXT($W377,"#,##0")&amp;"円）／","")&amp;IF(AND(INDEX(職員マスタ!$F$6:$F$405,$AP377)&lt;&gt;"",$AQ377&lt;&gt;"",INDEX(職員マスタ!$F$6:$F$405,$AP377)&lt;$AQ377),"対象月に子が2歳到達済／","")&amp;IF(AND($H377&lt;&gt;"",INDEX(職員マスタ!$B$6:$B$405,$AP377)&lt;&gt;"",SUBSTITUTE(SUBSTITUTE($H377," ","")," ","")&lt;&gt;SUBSTITUTE(SUBSTITUTE(INDEX(職員マスタ!$B$6:$B$405,$AP377)," ","")," ","")),"氏名がマスタと相違／","")&amp;IF(AND($Q377&lt;&gt;"",INDEX(職員マスタ!$E$6:$E$405,$AP377)&lt;&gt;"",$Q377&lt;&gt;INDEX(職員マスタ!$E$6:$E$405,$AP377)),"子の生年月日がマスタと相違／","")&amp;IF(AND($L377&lt;&gt;"",INDEX(職員マスタ!$G$6:$G$405,$AP377)&lt;&gt;"",$L377&lt;&gt;INDEX(職員マスタ!$G$6:$G$405,$AP377)),"時短開始日がマスタと相違／","")&amp;IF(AND($M377&lt;&gt;"",INDEX(職員マスタ!$H$6:$H$405,$AP377)&lt;&gt;"",$M377&lt;&gt;INDEX(職員マスタ!$H$6:$H$405,$AP377)),"時短終了日がマスタと相違／","")))&amp;IF(AND($B377&lt;&gt;"",$E377=""),"報酬額が未入力／","")&amp;IF(N($U377)&gt;0,"申請書に入力エラーが残っています／","")&amp;IF(AND($B377&lt;&gt;"",$AQ377&lt;&gt;""),IF(COUNTIFS($B$6:$B$3005,$B377,$C$6:$C$3005,$C377,$D$6:$D$3005,$D377)&gt;1,"同じ月の請求が重複しています／",""),"")&amp;IF(AND(N($E377)&gt;0,$AB377&lt;&gt;"",$AB377&lt;&gt;"×",$AE377=0,$AD377=""),"計算額が下限以下のため不支給／",""))</f>
        <v/>
      </c>
      <c r="AN377" s="12" t="n"/>
      <c r="AO377" s="14">
        <f>IF($AF377="保留中",COUNTIF($AF$6:$AF377,"保留中"),"")</f>
        <v/>
      </c>
      <c r="AP377" s="14">
        <f>IF($AQ377="","",IF(SUMPRODUCT(MAX((職員マスタ!$A$6:$A$405=$B377)*(((職員マスタ!$G$6:$G$405="")+(職員マスタ!$G$6:$G$405&lt;=EOMONTH($AQ377,0)))&gt;0)*(((職員マスタ!$H$6:$H$405="")+(職員マスタ!$H$6:$H$405&gt;=$AQ377))&gt;0)*(ROW(職員マスタ!$A$6:$A$405)-5)))&gt;0,SUMPRODUCT(MAX((職員マスタ!$A$6:$A$405=$B377)*(((職員マスタ!$G$6:$G$405="")+(職員マスタ!$G$6:$G$405&lt;=EOMONTH($AQ377,0)))&gt;0)*(((職員マスタ!$H$6:$H$405="")+(職員マスタ!$H$6:$H$405&gt;=$AQ377))&gt;0)*(ROW(職員マスタ!$A$6:$A$405)-5))),IFERROR(MATCH($B377,職員マスタ!$A$6:$A$405,0),"")))</f>
        <v/>
      </c>
      <c r="AQ377" s="16">
        <f>IF(OR($B377="",$C377="",$D377=""),"",DATE($C377+2018,$D377,1))</f>
        <v/>
      </c>
    </row>
    <row r="378">
      <c r="A378" s="11" t="n"/>
      <c r="B378" s="12" t="n">
        <v>6801872</v>
      </c>
      <c r="C378" s="12" t="n">
        <v>7</v>
      </c>
      <c r="D378" s="12" t="n">
        <v>10</v>
      </c>
      <c r="E378" s="13" t="n">
        <v>188340</v>
      </c>
      <c r="F378" s="12" t="n"/>
      <c r="G378" s="13" t="n"/>
      <c r="H378" s="12" t="n"/>
      <c r="I378" s="12" t="n"/>
      <c r="J378" s="12" t="n"/>
      <c r="K378" s="12" t="n"/>
      <c r="L378" s="11" t="n"/>
      <c r="M378" s="11" t="n"/>
      <c r="N378" s="11" t="n"/>
      <c r="O378" s="11" t="n"/>
      <c r="P378" s="12" t="n"/>
      <c r="Q378" s="11" t="n"/>
      <c r="R378" s="12" t="n"/>
      <c r="S378" s="11" t="n"/>
      <c r="T378" s="12" t="n"/>
      <c r="U378" s="12" t="n"/>
      <c r="V378" s="12" t="n"/>
      <c r="W378" s="13" t="n"/>
      <c r="X378" s="14">
        <f>IF($AP378="",IF($B378="","",$H378),IF(INDEX(職員マスタ!$B$6:$B$405,$AP378)="",$H378,INDEX(職員マスタ!$B$6:$B$405,$AP378)))</f>
        <v/>
      </c>
      <c r="Y378" s="14">
        <f>IF($AP378="",IF($B378="","",$R378),IF(INDEX(職員マスタ!$C$6:$C$405,$AP378)="",$R378,INDEX(職員マスタ!$C$6:$C$405,$AP378)))</f>
        <v/>
      </c>
      <c r="Z378" s="14">
        <f>IF($AQ378="","","R"&amp;$C378&amp;"."&amp;$D378)</f>
        <v/>
      </c>
      <c r="AA378" s="15">
        <f>IF(IF($AP378="",FALSE,INDEX(職員マスタ!$K$6:$K$405,$AP378)&lt;&gt;""),INDEX(職員マスタ!$K$6:$K$405,$AP378),IF(N($W378)&gt;0,$W378,""))</f>
        <v/>
      </c>
      <c r="AB378" s="14">
        <f>IF(OR($E378="",$AA378=""),"",IF($E378&gt;=$AA378,"×",IF($E378&gt;=$AA378*設定!$C$5,"△","○")))</f>
        <v/>
      </c>
      <c r="AC378" s="15">
        <f>IF($AB378="","",IF($AB378="×",0,IF($AB378="○",ROUNDDOWN($E378*設定!$C$4,0),ROUNDDOWN($E378*ROUND((9*$AA378-9*$E378)/(10*$E378),4),0))))</f>
        <v/>
      </c>
      <c r="AD378" s="13" t="n"/>
      <c r="AE378" s="15">
        <f>IF($B378="","",IF($AD378&lt;&gt;"",$AD378,IF($AC378="","",IF($AC378&lt;=設定!$C$3,0,$AC378))))</f>
        <v/>
      </c>
      <c r="AF378" s="14">
        <f>IF($B378="","",IF(AND($AG378&lt;&gt;"",$AI378="",$AL378=""),"保留中",IF($AL378&lt;&gt;"",IF(N($AE378)&gt;0,"支給済","不支給"),IF($AE378="","要確認",IF($AE378=0,"不支給","未処理")))))</f>
        <v/>
      </c>
      <c r="AG378" s="12" t="n"/>
      <c r="AH378" s="11" t="n"/>
      <c r="AI378" s="11" t="n"/>
      <c r="AJ378" s="11" t="n"/>
      <c r="AK378" s="14">
        <f>IF(AND($AF378="保留中",$AH378&lt;&gt;""),TODAY()-$AH378,"")</f>
        <v/>
      </c>
      <c r="AL378" s="12" t="inlineStr">
        <is>
          <t>R7.12</t>
        </is>
      </c>
      <c r="AM378" s="14">
        <f>IF($B378="","",IF($AQ378="","対象年月が未入力／","")&amp;IF($B378="","",IF($AP378="","職員マスタに未登録の職員番号／",IF($AA378="","標準報酬月額が未登録／","")&amp;IF(AND($AQ378&lt;&gt;"",OR(AND(INDEX(職員マスタ!$G$6:$G$405,$AP378)&lt;&gt;"",INDEX(職員マスタ!$G$6:$G$405,$AP378)&gt;EOMONTH($AQ378,0)),AND(INDEX(職員マスタ!$H$6:$H$405,$AP378)&lt;&gt;"",INDEX(職員マスタ!$H$6:$H$405,$AP378)&lt;$AQ378))),"対象月が時短期間外／","")&amp;IF(AND(INDEX(職員マスタ!$K$6:$K$405,$AP378)&lt;&gt;"",N($W378)&gt;0,INDEX(職員マスタ!$K$6:$K$405,$AP378)&lt;&gt;$W378),"標準報酬月額が申請書と相違（台帳"&amp;TEXT(INDEX(職員マスタ!$K$6:$K$405,$AP378),"#,##0")&amp;"円／申請書"&amp;TEXT($W378,"#,##0")&amp;"円）／","")&amp;IF(AND(INDEX(職員マスタ!$F$6:$F$405,$AP378)&lt;&gt;"",$AQ378&lt;&gt;"",INDEX(職員マスタ!$F$6:$F$405,$AP378)&lt;$AQ378),"対象月に子が2歳到達済／","")&amp;IF(AND($H378&lt;&gt;"",INDEX(職員マスタ!$B$6:$B$405,$AP378)&lt;&gt;"",SUBSTITUTE(SUBSTITUTE($H378," ","")," ","")&lt;&gt;SUBSTITUTE(SUBSTITUTE(INDEX(職員マスタ!$B$6:$B$405,$AP378)," ","")," ","")),"氏名がマスタと相違／","")&amp;IF(AND($Q378&lt;&gt;"",INDEX(職員マスタ!$E$6:$E$405,$AP378)&lt;&gt;"",$Q378&lt;&gt;INDEX(職員マスタ!$E$6:$E$405,$AP378)),"子の生年月日がマスタと相違／","")&amp;IF(AND($L378&lt;&gt;"",INDEX(職員マスタ!$G$6:$G$405,$AP378)&lt;&gt;"",$L378&lt;&gt;INDEX(職員マスタ!$G$6:$G$405,$AP378)),"時短開始日がマスタと相違／","")&amp;IF(AND($M378&lt;&gt;"",INDEX(職員マスタ!$H$6:$H$405,$AP378)&lt;&gt;"",$M378&lt;&gt;INDEX(職員マスタ!$H$6:$H$405,$AP378)),"時短終了日がマスタと相違／","")))&amp;IF(AND($B378&lt;&gt;"",$E378=""),"報酬額が未入力／","")&amp;IF(N($U378)&gt;0,"申請書に入力エラーが残っています／","")&amp;IF(AND($B378&lt;&gt;"",$AQ378&lt;&gt;""),IF(COUNTIFS($B$6:$B$3005,$B378,$C$6:$C$3005,$C378,$D$6:$D$3005,$D378)&gt;1,"同じ月の請求が重複しています／",""),"")&amp;IF(AND(N($E378)&gt;0,$AB378&lt;&gt;"",$AB378&lt;&gt;"×",$AE378=0,$AD378=""),"計算額が下限以下のため不支給／",""))</f>
        <v/>
      </c>
      <c r="AN378" s="12" t="n"/>
      <c r="AO378" s="14">
        <f>IF($AF378="保留中",COUNTIF($AF$6:$AF378,"保留中"),"")</f>
        <v/>
      </c>
      <c r="AP378" s="14">
        <f>IF($AQ378="","",IF(SUMPRODUCT(MAX((職員マスタ!$A$6:$A$405=$B378)*(((職員マスタ!$G$6:$G$405="")+(職員マスタ!$G$6:$G$405&lt;=EOMONTH($AQ378,0)))&gt;0)*(((職員マスタ!$H$6:$H$405="")+(職員マスタ!$H$6:$H$405&gt;=$AQ378))&gt;0)*(ROW(職員マスタ!$A$6:$A$405)-5)))&gt;0,SUMPRODUCT(MAX((職員マスタ!$A$6:$A$405=$B378)*(((職員マスタ!$G$6:$G$405="")+(職員マスタ!$G$6:$G$405&lt;=EOMONTH($AQ378,0)))&gt;0)*(((職員マスタ!$H$6:$H$405="")+(職員マスタ!$H$6:$H$405&gt;=$AQ378))&gt;0)*(ROW(職員マスタ!$A$6:$A$405)-5))),IFERROR(MATCH($B378,職員マスタ!$A$6:$A$405,0),"")))</f>
        <v/>
      </c>
      <c r="AQ378" s="16">
        <f>IF(OR($B378="",$C378="",$D378=""),"",DATE($C378+2018,$D378,1))</f>
        <v/>
      </c>
    </row>
    <row r="379">
      <c r="A379" s="11" t="n"/>
      <c r="B379" s="12" t="n">
        <v>6801872</v>
      </c>
      <c r="C379" s="12" t="n">
        <v>8</v>
      </c>
      <c r="D379" s="12" t="n">
        <v>1</v>
      </c>
      <c r="E379" s="13" t="n">
        <v>192070</v>
      </c>
      <c r="F379" s="12" t="n"/>
      <c r="G379" s="13" t="n"/>
      <c r="H379" s="12" t="n"/>
      <c r="I379" s="12" t="n"/>
      <c r="J379" s="12" t="n"/>
      <c r="K379" s="12" t="n"/>
      <c r="L379" s="11" t="n"/>
      <c r="M379" s="11" t="n"/>
      <c r="N379" s="11" t="n"/>
      <c r="O379" s="11" t="n"/>
      <c r="P379" s="12" t="n"/>
      <c r="Q379" s="11" t="n"/>
      <c r="R379" s="12" t="n"/>
      <c r="S379" s="11" t="n"/>
      <c r="T379" s="12" t="n"/>
      <c r="U379" s="12" t="n"/>
      <c r="V379" s="12" t="n"/>
      <c r="W379" s="13" t="n"/>
      <c r="X379" s="14">
        <f>IF($AP379="",IF($B379="","",$H379),IF(INDEX(職員マスタ!$B$6:$B$405,$AP379)="",$H379,INDEX(職員マスタ!$B$6:$B$405,$AP379)))</f>
        <v/>
      </c>
      <c r="Y379" s="14">
        <f>IF($AP379="",IF($B379="","",$R379),IF(INDEX(職員マスタ!$C$6:$C$405,$AP379)="",$R379,INDEX(職員マスタ!$C$6:$C$405,$AP379)))</f>
        <v/>
      </c>
      <c r="Z379" s="14">
        <f>IF($AQ379="","","R"&amp;$C379&amp;"."&amp;$D379)</f>
        <v/>
      </c>
      <c r="AA379" s="15">
        <f>IF(IF($AP379="",FALSE,INDEX(職員マスタ!$K$6:$K$405,$AP379)&lt;&gt;""),INDEX(職員マスタ!$K$6:$K$405,$AP379),IF(N($W379)&gt;0,$W379,""))</f>
        <v/>
      </c>
      <c r="AB379" s="14">
        <f>IF(OR($E379="",$AA379=""),"",IF($E379&gt;=$AA379,"×",IF($E379&gt;=$AA379*設定!$C$5,"△","○")))</f>
        <v/>
      </c>
      <c r="AC379" s="15">
        <f>IF($AB379="","",IF($AB379="×",0,IF($AB379="○",ROUNDDOWN($E379*設定!$C$4,0),ROUNDDOWN($E379*ROUND((9*$AA379-9*$E379)/(10*$E379),4),0))))</f>
        <v/>
      </c>
      <c r="AD379" s="13" t="n"/>
      <c r="AE379" s="15">
        <f>IF($B379="","",IF($AD379&lt;&gt;"",$AD379,IF($AC379="","",IF($AC379&lt;=設定!$C$3,0,$AC379))))</f>
        <v/>
      </c>
      <c r="AF379" s="14">
        <f>IF($B379="","",IF(AND($AG379&lt;&gt;"",$AI379="",$AL379=""),"保留中",IF($AL379&lt;&gt;"",IF(N($AE379)&gt;0,"支給済","不支給"),IF($AE379="","要確認",IF($AE379=0,"不支給","未処理")))))</f>
        <v/>
      </c>
      <c r="AG379" s="12" t="n"/>
      <c r="AH379" s="11" t="n"/>
      <c r="AI379" s="11" t="n"/>
      <c r="AJ379" s="11" t="n"/>
      <c r="AK379" s="14">
        <f>IF(AND($AF379="保留中",$AH379&lt;&gt;""),TODAY()-$AH379,"")</f>
        <v/>
      </c>
      <c r="AL379" s="12" t="inlineStr">
        <is>
          <t>R8.3</t>
        </is>
      </c>
      <c r="AM379" s="14">
        <f>IF($B379="","",IF($AQ379="","対象年月が未入力／","")&amp;IF($B379="","",IF($AP379="","職員マスタに未登録の職員番号／",IF($AA379="","標準報酬月額が未登録／","")&amp;IF(AND($AQ379&lt;&gt;"",OR(AND(INDEX(職員マスタ!$G$6:$G$405,$AP379)&lt;&gt;"",INDEX(職員マスタ!$G$6:$G$405,$AP379)&gt;EOMONTH($AQ379,0)),AND(INDEX(職員マスタ!$H$6:$H$405,$AP379)&lt;&gt;"",INDEX(職員マスタ!$H$6:$H$405,$AP379)&lt;$AQ379))),"対象月が時短期間外／","")&amp;IF(AND(INDEX(職員マスタ!$K$6:$K$405,$AP379)&lt;&gt;"",N($W379)&gt;0,INDEX(職員マスタ!$K$6:$K$405,$AP379)&lt;&gt;$W379),"標準報酬月額が申請書と相違（台帳"&amp;TEXT(INDEX(職員マスタ!$K$6:$K$405,$AP379),"#,##0")&amp;"円／申請書"&amp;TEXT($W379,"#,##0")&amp;"円）／","")&amp;IF(AND(INDEX(職員マスタ!$F$6:$F$405,$AP379)&lt;&gt;"",$AQ379&lt;&gt;"",INDEX(職員マスタ!$F$6:$F$405,$AP379)&lt;$AQ379),"対象月に子が2歳到達済／","")&amp;IF(AND($H379&lt;&gt;"",INDEX(職員マスタ!$B$6:$B$405,$AP379)&lt;&gt;"",SUBSTITUTE(SUBSTITUTE($H379," ","")," ","")&lt;&gt;SUBSTITUTE(SUBSTITUTE(INDEX(職員マスタ!$B$6:$B$405,$AP379)," ","")," ","")),"氏名がマスタと相違／","")&amp;IF(AND($Q379&lt;&gt;"",INDEX(職員マスタ!$E$6:$E$405,$AP379)&lt;&gt;"",$Q379&lt;&gt;INDEX(職員マスタ!$E$6:$E$405,$AP379)),"子の生年月日がマスタと相違／","")&amp;IF(AND($L379&lt;&gt;"",INDEX(職員マスタ!$G$6:$G$405,$AP379)&lt;&gt;"",$L379&lt;&gt;INDEX(職員マスタ!$G$6:$G$405,$AP379)),"時短開始日がマスタと相違／","")&amp;IF(AND($M379&lt;&gt;"",INDEX(職員マスタ!$H$6:$H$405,$AP379)&lt;&gt;"",$M379&lt;&gt;INDEX(職員マスタ!$H$6:$H$405,$AP379)),"時短終了日がマスタと相違／","")))&amp;IF(AND($B379&lt;&gt;"",$E379=""),"報酬額が未入力／","")&amp;IF(N($U379)&gt;0,"申請書に入力エラーが残っています／","")&amp;IF(AND($B379&lt;&gt;"",$AQ379&lt;&gt;""),IF(COUNTIFS($B$6:$B$3005,$B379,$C$6:$C$3005,$C379,$D$6:$D$3005,$D379)&gt;1,"同じ月の請求が重複しています／",""),"")&amp;IF(AND(N($E379)&gt;0,$AB379&lt;&gt;"",$AB379&lt;&gt;"×",$AE379=0,$AD379=""),"計算額が下限以下のため不支給／",""))</f>
        <v/>
      </c>
      <c r="AN379" s="12" t="n"/>
      <c r="AO379" s="14">
        <f>IF($AF379="保留中",COUNTIF($AF$6:$AF379,"保留中"),"")</f>
        <v/>
      </c>
      <c r="AP379" s="14">
        <f>IF($AQ379="","",IF(SUMPRODUCT(MAX((職員マスタ!$A$6:$A$405=$B379)*(((職員マスタ!$G$6:$G$405="")+(職員マスタ!$G$6:$G$405&lt;=EOMONTH($AQ379,0)))&gt;0)*(((職員マスタ!$H$6:$H$405="")+(職員マスタ!$H$6:$H$405&gt;=$AQ379))&gt;0)*(ROW(職員マスタ!$A$6:$A$405)-5)))&gt;0,SUMPRODUCT(MAX((職員マスタ!$A$6:$A$405=$B379)*(((職員マスタ!$G$6:$G$405="")+(職員マスタ!$G$6:$G$405&lt;=EOMONTH($AQ379,0)))&gt;0)*(((職員マスタ!$H$6:$H$405="")+(職員マスタ!$H$6:$H$405&gt;=$AQ379))&gt;0)*(ROW(職員マスタ!$A$6:$A$405)-5))),IFERROR(MATCH($B379,職員マスタ!$A$6:$A$405,0),"")))</f>
        <v/>
      </c>
      <c r="AQ379" s="16">
        <f>IF(OR($B379="",$C379="",$D379=""),"",DATE($C379+2018,$D379,1))</f>
        <v/>
      </c>
    </row>
    <row r="380">
      <c r="A380" s="11" t="n"/>
      <c r="B380" s="12" t="n">
        <v>6802235</v>
      </c>
      <c r="C380" s="12" t="n">
        <v>7</v>
      </c>
      <c r="D380" s="12" t="n">
        <v>8</v>
      </c>
      <c r="E380" s="13" t="n">
        <v>143973</v>
      </c>
      <c r="F380" s="12" t="n"/>
      <c r="G380" s="13" t="n"/>
      <c r="H380" s="12" t="n"/>
      <c r="I380" s="12" t="n"/>
      <c r="J380" s="12" t="n"/>
      <c r="K380" s="12" t="n"/>
      <c r="L380" s="11" t="n"/>
      <c r="M380" s="11" t="n"/>
      <c r="N380" s="11" t="n"/>
      <c r="O380" s="11" t="n"/>
      <c r="P380" s="12" t="n"/>
      <c r="Q380" s="11" t="n"/>
      <c r="R380" s="12" t="n"/>
      <c r="S380" s="11" t="n"/>
      <c r="T380" s="12" t="n"/>
      <c r="U380" s="12" t="n"/>
      <c r="V380" s="12" t="n"/>
      <c r="W380" s="13" t="n"/>
      <c r="X380" s="14">
        <f>IF($AP380="",IF($B380="","",$H380),IF(INDEX(職員マスタ!$B$6:$B$405,$AP380)="",$H380,INDEX(職員マスタ!$B$6:$B$405,$AP380)))</f>
        <v/>
      </c>
      <c r="Y380" s="14">
        <f>IF($AP380="",IF($B380="","",$R380),IF(INDEX(職員マスタ!$C$6:$C$405,$AP380)="",$R380,INDEX(職員マスタ!$C$6:$C$405,$AP380)))</f>
        <v/>
      </c>
      <c r="Z380" s="14">
        <f>IF($AQ380="","","R"&amp;$C380&amp;"."&amp;$D380)</f>
        <v/>
      </c>
      <c r="AA380" s="15">
        <f>IF(IF($AP380="",FALSE,INDEX(職員マスタ!$K$6:$K$405,$AP380)&lt;&gt;""),INDEX(職員マスタ!$K$6:$K$405,$AP380),IF(N($W380)&gt;0,$W380,""))</f>
        <v/>
      </c>
      <c r="AB380" s="14">
        <f>IF(OR($E380="",$AA380=""),"",IF($E380&gt;=$AA380,"×",IF($E380&gt;=$AA380*設定!$C$5,"△","○")))</f>
        <v/>
      </c>
      <c r="AC380" s="15">
        <f>IF($AB380="","",IF($AB380="×",0,IF($AB380="○",ROUNDDOWN($E380*設定!$C$4,0),ROUNDDOWN($E380*ROUND((9*$AA380-9*$E380)/(10*$E380),4),0))))</f>
        <v/>
      </c>
      <c r="AD380" s="13" t="n"/>
      <c r="AE380" s="15">
        <f>IF($B380="","",IF($AD380&lt;&gt;"",$AD380,IF($AC380="","",IF($AC380&lt;=設定!$C$3,0,$AC380))))</f>
        <v/>
      </c>
      <c r="AF380" s="14">
        <f>IF($B380="","",IF(AND($AG380&lt;&gt;"",$AI380="",$AL380=""),"保留中",IF($AL380&lt;&gt;"",IF(N($AE380)&gt;0,"支給済","不支給"),IF($AE380="","要確認",IF($AE380=0,"不支給","未処理")))))</f>
        <v/>
      </c>
      <c r="AG380" s="12" t="n"/>
      <c r="AH380" s="11" t="n"/>
      <c r="AI380" s="11" t="n"/>
      <c r="AJ380" s="11" t="n"/>
      <c r="AK380" s="14">
        <f>IF(AND($AF380="保留中",$AH380&lt;&gt;""),TODAY()-$AH380,"")</f>
        <v/>
      </c>
      <c r="AL380" s="12" t="inlineStr">
        <is>
          <t>R7.10</t>
        </is>
      </c>
      <c r="AM380" s="14">
        <f>IF($B380="","",IF($AQ380="","対象年月が未入力／","")&amp;IF($B380="","",IF($AP380="","職員マスタに未登録の職員番号／",IF($AA380="","標準報酬月額が未登録／","")&amp;IF(AND($AQ380&lt;&gt;"",OR(AND(INDEX(職員マスタ!$G$6:$G$405,$AP380)&lt;&gt;"",INDEX(職員マスタ!$G$6:$G$405,$AP380)&gt;EOMONTH($AQ380,0)),AND(INDEX(職員マスタ!$H$6:$H$405,$AP380)&lt;&gt;"",INDEX(職員マスタ!$H$6:$H$405,$AP380)&lt;$AQ380))),"対象月が時短期間外／","")&amp;IF(AND(INDEX(職員マスタ!$K$6:$K$405,$AP380)&lt;&gt;"",N($W380)&gt;0,INDEX(職員マスタ!$K$6:$K$405,$AP380)&lt;&gt;$W380),"標準報酬月額が申請書と相違（台帳"&amp;TEXT(INDEX(職員マスタ!$K$6:$K$405,$AP380),"#,##0")&amp;"円／申請書"&amp;TEXT($W380,"#,##0")&amp;"円）／","")&amp;IF(AND(INDEX(職員マスタ!$F$6:$F$405,$AP380)&lt;&gt;"",$AQ380&lt;&gt;"",INDEX(職員マスタ!$F$6:$F$405,$AP380)&lt;$AQ380),"対象月に子が2歳到達済／","")&amp;IF(AND($H380&lt;&gt;"",INDEX(職員マスタ!$B$6:$B$405,$AP380)&lt;&gt;"",SUBSTITUTE(SUBSTITUTE($H380," ","")," ","")&lt;&gt;SUBSTITUTE(SUBSTITUTE(INDEX(職員マスタ!$B$6:$B$405,$AP380)," ","")," ","")),"氏名がマスタと相違／","")&amp;IF(AND($Q380&lt;&gt;"",INDEX(職員マスタ!$E$6:$E$405,$AP380)&lt;&gt;"",$Q380&lt;&gt;INDEX(職員マスタ!$E$6:$E$405,$AP380)),"子の生年月日がマスタと相違／","")&amp;IF(AND($L380&lt;&gt;"",INDEX(職員マスタ!$G$6:$G$405,$AP380)&lt;&gt;"",$L380&lt;&gt;INDEX(職員マスタ!$G$6:$G$405,$AP380)),"時短開始日がマスタと相違／","")&amp;IF(AND($M380&lt;&gt;"",INDEX(職員マスタ!$H$6:$H$405,$AP380)&lt;&gt;"",$M380&lt;&gt;INDEX(職員マスタ!$H$6:$H$405,$AP380)),"時短終了日がマスタと相違／","")))&amp;IF(AND($B380&lt;&gt;"",$E380=""),"報酬額が未入力／","")&amp;IF(N($U380)&gt;0,"申請書に入力エラーが残っています／","")&amp;IF(AND($B380&lt;&gt;"",$AQ380&lt;&gt;""),IF(COUNTIFS($B$6:$B$3005,$B380,$C$6:$C$3005,$C380,$D$6:$D$3005,$D380)&gt;1,"同じ月の請求が重複しています／",""),"")&amp;IF(AND(N($E380)&gt;0,$AB380&lt;&gt;"",$AB380&lt;&gt;"×",$AE380=0,$AD380=""),"計算額が下限以下のため不支給／",""))</f>
        <v/>
      </c>
      <c r="AN380" s="12" t="n"/>
      <c r="AO380" s="14">
        <f>IF($AF380="保留中",COUNTIF($AF$6:$AF380,"保留中"),"")</f>
        <v/>
      </c>
      <c r="AP380" s="14">
        <f>IF($AQ380="","",IF(SUMPRODUCT(MAX((職員マスタ!$A$6:$A$405=$B380)*(((職員マスタ!$G$6:$G$405="")+(職員マスタ!$G$6:$G$405&lt;=EOMONTH($AQ380,0)))&gt;0)*(((職員マスタ!$H$6:$H$405="")+(職員マスタ!$H$6:$H$405&gt;=$AQ380))&gt;0)*(ROW(職員マスタ!$A$6:$A$405)-5)))&gt;0,SUMPRODUCT(MAX((職員マスタ!$A$6:$A$405=$B380)*(((職員マスタ!$G$6:$G$405="")+(職員マスタ!$G$6:$G$405&lt;=EOMONTH($AQ380,0)))&gt;0)*(((職員マスタ!$H$6:$H$405="")+(職員マスタ!$H$6:$H$405&gt;=$AQ380))&gt;0)*(ROW(職員マスタ!$A$6:$A$405)-5))),IFERROR(MATCH($B380,職員マスタ!$A$6:$A$405,0),"")))</f>
        <v/>
      </c>
      <c r="AQ380" s="16">
        <f>IF(OR($B380="",$C380="",$D380=""),"",DATE($C380+2018,$D380,1))</f>
        <v/>
      </c>
    </row>
    <row r="381">
      <c r="A381" s="11" t="n"/>
      <c r="B381" s="12" t="n">
        <v>6802235</v>
      </c>
      <c r="C381" s="12" t="n">
        <v>7</v>
      </c>
      <c r="D381" s="12" t="n">
        <v>9</v>
      </c>
      <c r="E381" s="13" t="n">
        <v>204214</v>
      </c>
      <c r="F381" s="12" t="n"/>
      <c r="G381" s="13" t="n"/>
      <c r="H381" s="12" t="n"/>
      <c r="I381" s="12" t="n"/>
      <c r="J381" s="12" t="n"/>
      <c r="K381" s="12" t="n"/>
      <c r="L381" s="11" t="n"/>
      <c r="M381" s="11" t="n"/>
      <c r="N381" s="11" t="n"/>
      <c r="O381" s="11" t="n"/>
      <c r="P381" s="12" t="n"/>
      <c r="Q381" s="11" t="n"/>
      <c r="R381" s="12" t="n"/>
      <c r="S381" s="11" t="n"/>
      <c r="T381" s="12" t="n"/>
      <c r="U381" s="12" t="n"/>
      <c r="V381" s="12" t="n"/>
      <c r="W381" s="13" t="n"/>
      <c r="X381" s="14">
        <f>IF($AP381="",IF($B381="","",$H381),IF(INDEX(職員マスタ!$B$6:$B$405,$AP381)="",$H381,INDEX(職員マスタ!$B$6:$B$405,$AP381)))</f>
        <v/>
      </c>
      <c r="Y381" s="14">
        <f>IF($AP381="",IF($B381="","",$R381),IF(INDEX(職員マスタ!$C$6:$C$405,$AP381)="",$R381,INDEX(職員マスタ!$C$6:$C$405,$AP381)))</f>
        <v/>
      </c>
      <c r="Z381" s="14">
        <f>IF($AQ381="","","R"&amp;$C381&amp;"."&amp;$D381)</f>
        <v/>
      </c>
      <c r="AA381" s="15">
        <f>IF(IF($AP381="",FALSE,INDEX(職員マスタ!$K$6:$K$405,$AP381)&lt;&gt;""),INDEX(職員マスタ!$K$6:$K$405,$AP381),IF(N($W381)&gt;0,$W381,""))</f>
        <v/>
      </c>
      <c r="AB381" s="14">
        <f>IF(OR($E381="",$AA381=""),"",IF($E381&gt;=$AA381,"×",IF($E381&gt;=$AA381*設定!$C$5,"△","○")))</f>
        <v/>
      </c>
      <c r="AC381" s="15">
        <f>IF($AB381="","",IF($AB381="×",0,IF($AB381="○",ROUNDDOWN($E381*設定!$C$4,0),ROUNDDOWN($E381*ROUND((9*$AA381-9*$E381)/(10*$E381),4),0))))</f>
        <v/>
      </c>
      <c r="AD381" s="13" t="n"/>
      <c r="AE381" s="15">
        <f>IF($B381="","",IF($AD381&lt;&gt;"",$AD381,IF($AC381="","",IF($AC381&lt;=設定!$C$3,0,$AC381))))</f>
        <v/>
      </c>
      <c r="AF381" s="14">
        <f>IF($B381="","",IF(AND($AG381&lt;&gt;"",$AI381="",$AL381=""),"保留中",IF($AL381&lt;&gt;"",IF(N($AE381)&gt;0,"支給済","不支給"),IF($AE381="","要確認",IF($AE381=0,"不支給","未処理")))))</f>
        <v/>
      </c>
      <c r="AG381" s="12" t="n"/>
      <c r="AH381" s="11" t="n"/>
      <c r="AI381" s="11" t="n"/>
      <c r="AJ381" s="11" t="n"/>
      <c r="AK381" s="14">
        <f>IF(AND($AF381="保留中",$AH381&lt;&gt;""),TODAY()-$AH381,"")</f>
        <v/>
      </c>
      <c r="AL381" s="12" t="inlineStr">
        <is>
          <t>R7.11</t>
        </is>
      </c>
      <c r="AM381" s="14">
        <f>IF($B381="","",IF($AQ381="","対象年月が未入力／","")&amp;IF($B381="","",IF($AP381="","職員マスタに未登録の職員番号／",IF($AA381="","標準報酬月額が未登録／","")&amp;IF(AND($AQ381&lt;&gt;"",OR(AND(INDEX(職員マスタ!$G$6:$G$405,$AP381)&lt;&gt;"",INDEX(職員マスタ!$G$6:$G$405,$AP381)&gt;EOMONTH($AQ381,0)),AND(INDEX(職員マスタ!$H$6:$H$405,$AP381)&lt;&gt;"",INDEX(職員マスタ!$H$6:$H$405,$AP381)&lt;$AQ381))),"対象月が時短期間外／","")&amp;IF(AND(INDEX(職員マスタ!$K$6:$K$405,$AP381)&lt;&gt;"",N($W381)&gt;0,INDEX(職員マスタ!$K$6:$K$405,$AP381)&lt;&gt;$W381),"標準報酬月額が申請書と相違（台帳"&amp;TEXT(INDEX(職員マスタ!$K$6:$K$405,$AP381),"#,##0")&amp;"円／申請書"&amp;TEXT($W381,"#,##0")&amp;"円）／","")&amp;IF(AND(INDEX(職員マスタ!$F$6:$F$405,$AP381)&lt;&gt;"",$AQ381&lt;&gt;"",INDEX(職員マスタ!$F$6:$F$405,$AP381)&lt;$AQ381),"対象月に子が2歳到達済／","")&amp;IF(AND($H381&lt;&gt;"",INDEX(職員マスタ!$B$6:$B$405,$AP381)&lt;&gt;"",SUBSTITUTE(SUBSTITUTE($H381," ","")," ","")&lt;&gt;SUBSTITUTE(SUBSTITUTE(INDEX(職員マスタ!$B$6:$B$405,$AP381)," ","")," ","")),"氏名がマスタと相違／","")&amp;IF(AND($Q381&lt;&gt;"",INDEX(職員マスタ!$E$6:$E$405,$AP381)&lt;&gt;"",$Q381&lt;&gt;INDEX(職員マスタ!$E$6:$E$405,$AP381)),"子の生年月日がマスタと相違／","")&amp;IF(AND($L381&lt;&gt;"",INDEX(職員マスタ!$G$6:$G$405,$AP381)&lt;&gt;"",$L381&lt;&gt;INDEX(職員マスタ!$G$6:$G$405,$AP381)),"時短開始日がマスタと相違／","")&amp;IF(AND($M381&lt;&gt;"",INDEX(職員マスタ!$H$6:$H$405,$AP381)&lt;&gt;"",$M381&lt;&gt;INDEX(職員マスタ!$H$6:$H$405,$AP381)),"時短終了日がマスタと相違／","")))&amp;IF(AND($B381&lt;&gt;"",$E381=""),"報酬額が未入力／","")&amp;IF(N($U381)&gt;0,"申請書に入力エラーが残っています／","")&amp;IF(AND($B381&lt;&gt;"",$AQ381&lt;&gt;""),IF(COUNTIFS($B$6:$B$3005,$B381,$C$6:$C$3005,$C381,$D$6:$D$3005,$D381)&gt;1,"同じ月の請求が重複しています／",""),"")&amp;IF(AND(N($E381)&gt;0,$AB381&lt;&gt;"",$AB381&lt;&gt;"×",$AE381=0,$AD381=""),"計算額が下限以下のため不支給／",""))</f>
        <v/>
      </c>
      <c r="AN381" s="12" t="n"/>
      <c r="AO381" s="14">
        <f>IF($AF381="保留中",COUNTIF($AF$6:$AF381,"保留中"),"")</f>
        <v/>
      </c>
      <c r="AP381" s="14">
        <f>IF($AQ381="","",IF(SUMPRODUCT(MAX((職員マスタ!$A$6:$A$405=$B381)*(((職員マスタ!$G$6:$G$405="")+(職員マスタ!$G$6:$G$405&lt;=EOMONTH($AQ381,0)))&gt;0)*(((職員マスタ!$H$6:$H$405="")+(職員マスタ!$H$6:$H$405&gt;=$AQ381))&gt;0)*(ROW(職員マスタ!$A$6:$A$405)-5)))&gt;0,SUMPRODUCT(MAX((職員マスタ!$A$6:$A$405=$B381)*(((職員マスタ!$G$6:$G$405="")+(職員マスタ!$G$6:$G$405&lt;=EOMONTH($AQ381,0)))&gt;0)*(((職員マスタ!$H$6:$H$405="")+(職員マスタ!$H$6:$H$405&gt;=$AQ381))&gt;0)*(ROW(職員マスタ!$A$6:$A$405)-5))),IFERROR(MATCH($B381,職員マスタ!$A$6:$A$405,0),"")))</f>
        <v/>
      </c>
      <c r="AQ381" s="16">
        <f>IF(OR($B381="",$C381="",$D381=""),"",DATE($C381+2018,$D381,1))</f>
        <v/>
      </c>
    </row>
    <row r="382">
      <c r="A382" s="11" t="n"/>
      <c r="B382" s="12" t="n">
        <v>6802235</v>
      </c>
      <c r="C382" s="12" t="n">
        <v>7</v>
      </c>
      <c r="D382" s="12" t="n">
        <v>10</v>
      </c>
      <c r="E382" s="13" t="n">
        <v>204292</v>
      </c>
      <c r="F382" s="12" t="n"/>
      <c r="G382" s="13" t="n"/>
      <c r="H382" s="12" t="n"/>
      <c r="I382" s="12" t="n"/>
      <c r="J382" s="12" t="n"/>
      <c r="K382" s="12" t="n"/>
      <c r="L382" s="11" t="n"/>
      <c r="M382" s="11" t="n"/>
      <c r="N382" s="11" t="n"/>
      <c r="O382" s="11" t="n"/>
      <c r="P382" s="12" t="n"/>
      <c r="Q382" s="11" t="n"/>
      <c r="R382" s="12" t="n"/>
      <c r="S382" s="11" t="n"/>
      <c r="T382" s="12" t="n"/>
      <c r="U382" s="12" t="n"/>
      <c r="V382" s="12" t="n"/>
      <c r="W382" s="13" t="n"/>
      <c r="X382" s="14">
        <f>IF($AP382="",IF($B382="","",$H382),IF(INDEX(職員マスタ!$B$6:$B$405,$AP382)="",$H382,INDEX(職員マスタ!$B$6:$B$405,$AP382)))</f>
        <v/>
      </c>
      <c r="Y382" s="14">
        <f>IF($AP382="",IF($B382="","",$R382),IF(INDEX(職員マスタ!$C$6:$C$405,$AP382)="",$R382,INDEX(職員マスタ!$C$6:$C$405,$AP382)))</f>
        <v/>
      </c>
      <c r="Z382" s="14">
        <f>IF($AQ382="","","R"&amp;$C382&amp;"."&amp;$D382)</f>
        <v/>
      </c>
      <c r="AA382" s="15">
        <f>IF(IF($AP382="",FALSE,INDEX(職員マスタ!$K$6:$K$405,$AP382)&lt;&gt;""),INDEX(職員マスタ!$K$6:$K$405,$AP382),IF(N($W382)&gt;0,$W382,""))</f>
        <v/>
      </c>
      <c r="AB382" s="14">
        <f>IF(OR($E382="",$AA382=""),"",IF($E382&gt;=$AA382,"×",IF($E382&gt;=$AA382*設定!$C$5,"△","○")))</f>
        <v/>
      </c>
      <c r="AC382" s="15">
        <f>IF($AB382="","",IF($AB382="×",0,IF($AB382="○",ROUNDDOWN($E382*設定!$C$4,0),ROUNDDOWN($E382*ROUND((9*$AA382-9*$E382)/(10*$E382),4),0))))</f>
        <v/>
      </c>
      <c r="AD382" s="13" t="n"/>
      <c r="AE382" s="15">
        <f>IF($B382="","",IF($AD382&lt;&gt;"",$AD382,IF($AC382="","",IF($AC382&lt;=設定!$C$3,0,$AC382))))</f>
        <v/>
      </c>
      <c r="AF382" s="14">
        <f>IF($B382="","",IF(AND($AG382&lt;&gt;"",$AI382="",$AL382=""),"保留中",IF($AL382&lt;&gt;"",IF(N($AE382)&gt;0,"支給済","不支給"),IF($AE382="","要確認",IF($AE382=0,"不支給","未処理")))))</f>
        <v/>
      </c>
      <c r="AG382" s="12" t="n"/>
      <c r="AH382" s="11" t="n"/>
      <c r="AI382" s="11" t="n"/>
      <c r="AJ382" s="11" t="n"/>
      <c r="AK382" s="14">
        <f>IF(AND($AF382="保留中",$AH382&lt;&gt;""),TODAY()-$AH382,"")</f>
        <v/>
      </c>
      <c r="AL382" s="12" t="inlineStr">
        <is>
          <t>R7.12</t>
        </is>
      </c>
      <c r="AM382" s="14">
        <f>IF($B382="","",IF($AQ382="","対象年月が未入力／","")&amp;IF($B382="","",IF($AP382="","職員マスタに未登録の職員番号／",IF($AA382="","標準報酬月額が未登録／","")&amp;IF(AND($AQ382&lt;&gt;"",OR(AND(INDEX(職員マスタ!$G$6:$G$405,$AP382)&lt;&gt;"",INDEX(職員マスタ!$G$6:$G$405,$AP382)&gt;EOMONTH($AQ382,0)),AND(INDEX(職員マスタ!$H$6:$H$405,$AP382)&lt;&gt;"",INDEX(職員マスタ!$H$6:$H$405,$AP382)&lt;$AQ382))),"対象月が時短期間外／","")&amp;IF(AND(INDEX(職員マスタ!$K$6:$K$405,$AP382)&lt;&gt;"",N($W382)&gt;0,INDEX(職員マスタ!$K$6:$K$405,$AP382)&lt;&gt;$W382),"標準報酬月額が申請書と相違（台帳"&amp;TEXT(INDEX(職員マスタ!$K$6:$K$405,$AP382),"#,##0")&amp;"円／申請書"&amp;TEXT($W382,"#,##0")&amp;"円）／","")&amp;IF(AND(INDEX(職員マスタ!$F$6:$F$405,$AP382)&lt;&gt;"",$AQ382&lt;&gt;"",INDEX(職員マスタ!$F$6:$F$405,$AP382)&lt;$AQ382),"対象月に子が2歳到達済／","")&amp;IF(AND($H382&lt;&gt;"",INDEX(職員マスタ!$B$6:$B$405,$AP382)&lt;&gt;"",SUBSTITUTE(SUBSTITUTE($H382," ","")," ","")&lt;&gt;SUBSTITUTE(SUBSTITUTE(INDEX(職員マスタ!$B$6:$B$405,$AP382)," ","")," ","")),"氏名がマスタと相違／","")&amp;IF(AND($Q382&lt;&gt;"",INDEX(職員マスタ!$E$6:$E$405,$AP382)&lt;&gt;"",$Q382&lt;&gt;INDEX(職員マスタ!$E$6:$E$405,$AP382)),"子の生年月日がマスタと相違／","")&amp;IF(AND($L382&lt;&gt;"",INDEX(職員マスタ!$G$6:$G$405,$AP382)&lt;&gt;"",$L382&lt;&gt;INDEX(職員マスタ!$G$6:$G$405,$AP382)),"時短開始日がマスタと相違／","")&amp;IF(AND($M382&lt;&gt;"",INDEX(職員マスタ!$H$6:$H$405,$AP382)&lt;&gt;"",$M382&lt;&gt;INDEX(職員マスタ!$H$6:$H$405,$AP382)),"時短終了日がマスタと相違／","")))&amp;IF(AND($B382&lt;&gt;"",$E382=""),"報酬額が未入力／","")&amp;IF(N($U382)&gt;0,"申請書に入力エラーが残っています／","")&amp;IF(AND($B382&lt;&gt;"",$AQ382&lt;&gt;""),IF(COUNTIFS($B$6:$B$3005,$B382,$C$6:$C$3005,$C382,$D$6:$D$3005,$D382)&gt;1,"同じ月の請求が重複しています／",""),"")&amp;IF(AND(N($E382)&gt;0,$AB382&lt;&gt;"",$AB382&lt;&gt;"×",$AE382=0,$AD382=""),"計算額が下限以下のため不支給／",""))</f>
        <v/>
      </c>
      <c r="AN382" s="12" t="n"/>
      <c r="AO382" s="14">
        <f>IF($AF382="保留中",COUNTIF($AF$6:$AF382,"保留中"),"")</f>
        <v/>
      </c>
      <c r="AP382" s="14">
        <f>IF($AQ382="","",IF(SUMPRODUCT(MAX((職員マスタ!$A$6:$A$405=$B382)*(((職員マスタ!$G$6:$G$405="")+(職員マスタ!$G$6:$G$405&lt;=EOMONTH($AQ382,0)))&gt;0)*(((職員マスタ!$H$6:$H$405="")+(職員マスタ!$H$6:$H$405&gt;=$AQ382))&gt;0)*(ROW(職員マスタ!$A$6:$A$405)-5)))&gt;0,SUMPRODUCT(MAX((職員マスタ!$A$6:$A$405=$B382)*(((職員マスタ!$G$6:$G$405="")+(職員マスタ!$G$6:$G$405&lt;=EOMONTH($AQ382,0)))&gt;0)*(((職員マスタ!$H$6:$H$405="")+(職員マスタ!$H$6:$H$405&gt;=$AQ382))&gt;0)*(ROW(職員マスタ!$A$6:$A$405)-5))),IFERROR(MATCH($B382,職員マスタ!$A$6:$A$405,0),"")))</f>
        <v/>
      </c>
      <c r="AQ382" s="16">
        <f>IF(OR($B382="",$C382="",$D382=""),"",DATE($C382+2018,$D382,1))</f>
        <v/>
      </c>
    </row>
    <row r="383">
      <c r="A383" s="11" t="n"/>
      <c r="B383" s="12" t="n">
        <v>6802235</v>
      </c>
      <c r="C383" s="12" t="n">
        <v>7</v>
      </c>
      <c r="D383" s="12" t="n">
        <v>11</v>
      </c>
      <c r="E383" s="13" t="n">
        <v>204292</v>
      </c>
      <c r="F383" s="12" t="n"/>
      <c r="G383" s="13" t="n"/>
      <c r="H383" s="12" t="n"/>
      <c r="I383" s="12" t="n"/>
      <c r="J383" s="12" t="n"/>
      <c r="K383" s="12" t="n"/>
      <c r="L383" s="11" t="n"/>
      <c r="M383" s="11" t="n"/>
      <c r="N383" s="11" t="n"/>
      <c r="O383" s="11" t="n"/>
      <c r="P383" s="12" t="n"/>
      <c r="Q383" s="11" t="n"/>
      <c r="R383" s="12" t="n"/>
      <c r="S383" s="11" t="n"/>
      <c r="T383" s="12" t="n"/>
      <c r="U383" s="12" t="n"/>
      <c r="V383" s="12" t="n"/>
      <c r="W383" s="13" t="n"/>
      <c r="X383" s="14">
        <f>IF($AP383="",IF($B383="","",$H383),IF(INDEX(職員マスタ!$B$6:$B$405,$AP383)="",$H383,INDEX(職員マスタ!$B$6:$B$405,$AP383)))</f>
        <v/>
      </c>
      <c r="Y383" s="14">
        <f>IF($AP383="",IF($B383="","",$R383),IF(INDEX(職員マスタ!$C$6:$C$405,$AP383)="",$R383,INDEX(職員マスタ!$C$6:$C$405,$AP383)))</f>
        <v/>
      </c>
      <c r="Z383" s="14">
        <f>IF($AQ383="","","R"&amp;$C383&amp;"."&amp;$D383)</f>
        <v/>
      </c>
      <c r="AA383" s="15">
        <f>IF(IF($AP383="",FALSE,INDEX(職員マスタ!$K$6:$K$405,$AP383)&lt;&gt;""),INDEX(職員マスタ!$K$6:$K$405,$AP383),IF(N($W383)&gt;0,$W383,""))</f>
        <v/>
      </c>
      <c r="AB383" s="14">
        <f>IF(OR($E383="",$AA383=""),"",IF($E383&gt;=$AA383,"×",IF($E383&gt;=$AA383*設定!$C$5,"△","○")))</f>
        <v/>
      </c>
      <c r="AC383" s="15">
        <f>IF($AB383="","",IF($AB383="×",0,IF($AB383="○",ROUNDDOWN($E383*設定!$C$4,0),ROUNDDOWN($E383*ROUND((9*$AA383-9*$E383)/(10*$E383),4),0))))</f>
        <v/>
      </c>
      <c r="AD383" s="13" t="n"/>
      <c r="AE383" s="15">
        <f>IF($B383="","",IF($AD383&lt;&gt;"",$AD383,IF($AC383="","",IF($AC383&lt;=設定!$C$3,0,$AC383))))</f>
        <v/>
      </c>
      <c r="AF383" s="14">
        <f>IF($B383="","",IF(AND($AG383&lt;&gt;"",$AI383="",$AL383=""),"保留中",IF($AL383&lt;&gt;"",IF(N($AE383)&gt;0,"支給済","不支給"),IF($AE383="","要確認",IF($AE383=0,"不支給","未処理")))))</f>
        <v/>
      </c>
      <c r="AG383" s="12" t="n"/>
      <c r="AH383" s="11" t="n"/>
      <c r="AI383" s="11" t="n"/>
      <c r="AJ383" s="11" t="n"/>
      <c r="AK383" s="14">
        <f>IF(AND($AF383="保留中",$AH383&lt;&gt;""),TODAY()-$AH383,"")</f>
        <v/>
      </c>
      <c r="AL383" s="12" t="inlineStr">
        <is>
          <t>R8.1</t>
        </is>
      </c>
      <c r="AM383" s="14">
        <f>IF($B383="","",IF($AQ383="","対象年月が未入力／","")&amp;IF($B383="","",IF($AP383="","職員マスタに未登録の職員番号／",IF($AA383="","標準報酬月額が未登録／","")&amp;IF(AND($AQ383&lt;&gt;"",OR(AND(INDEX(職員マスタ!$G$6:$G$405,$AP383)&lt;&gt;"",INDEX(職員マスタ!$G$6:$G$405,$AP383)&gt;EOMONTH($AQ383,0)),AND(INDEX(職員マスタ!$H$6:$H$405,$AP383)&lt;&gt;"",INDEX(職員マスタ!$H$6:$H$405,$AP383)&lt;$AQ383))),"対象月が時短期間外／","")&amp;IF(AND(INDEX(職員マスタ!$K$6:$K$405,$AP383)&lt;&gt;"",N($W383)&gt;0,INDEX(職員マスタ!$K$6:$K$405,$AP383)&lt;&gt;$W383),"標準報酬月額が申請書と相違（台帳"&amp;TEXT(INDEX(職員マスタ!$K$6:$K$405,$AP383),"#,##0")&amp;"円／申請書"&amp;TEXT($W383,"#,##0")&amp;"円）／","")&amp;IF(AND(INDEX(職員マスタ!$F$6:$F$405,$AP383)&lt;&gt;"",$AQ383&lt;&gt;"",INDEX(職員マスタ!$F$6:$F$405,$AP383)&lt;$AQ383),"対象月に子が2歳到達済／","")&amp;IF(AND($H383&lt;&gt;"",INDEX(職員マスタ!$B$6:$B$405,$AP383)&lt;&gt;"",SUBSTITUTE(SUBSTITUTE($H383," ","")," ","")&lt;&gt;SUBSTITUTE(SUBSTITUTE(INDEX(職員マスタ!$B$6:$B$405,$AP383)," ","")," ","")),"氏名がマスタと相違／","")&amp;IF(AND($Q383&lt;&gt;"",INDEX(職員マスタ!$E$6:$E$405,$AP383)&lt;&gt;"",$Q383&lt;&gt;INDEX(職員マスタ!$E$6:$E$405,$AP383)),"子の生年月日がマスタと相違／","")&amp;IF(AND($L383&lt;&gt;"",INDEX(職員マスタ!$G$6:$G$405,$AP383)&lt;&gt;"",$L383&lt;&gt;INDEX(職員マスタ!$G$6:$G$405,$AP383)),"時短開始日がマスタと相違／","")&amp;IF(AND($M383&lt;&gt;"",INDEX(職員マスタ!$H$6:$H$405,$AP383)&lt;&gt;"",$M383&lt;&gt;INDEX(職員マスタ!$H$6:$H$405,$AP383)),"時短終了日がマスタと相違／","")))&amp;IF(AND($B383&lt;&gt;"",$E383=""),"報酬額が未入力／","")&amp;IF(N($U383)&gt;0,"申請書に入力エラーが残っています／","")&amp;IF(AND($B383&lt;&gt;"",$AQ383&lt;&gt;""),IF(COUNTIFS($B$6:$B$3005,$B383,$C$6:$C$3005,$C383,$D$6:$D$3005,$D383)&gt;1,"同じ月の請求が重複しています／",""),"")&amp;IF(AND(N($E383)&gt;0,$AB383&lt;&gt;"",$AB383&lt;&gt;"×",$AE383=0,$AD383=""),"計算額が下限以下のため不支給／",""))</f>
        <v/>
      </c>
      <c r="AN383" s="12" t="n"/>
      <c r="AO383" s="14">
        <f>IF($AF383="保留中",COUNTIF($AF$6:$AF383,"保留中"),"")</f>
        <v/>
      </c>
      <c r="AP383" s="14">
        <f>IF($AQ383="","",IF(SUMPRODUCT(MAX((職員マスタ!$A$6:$A$405=$B383)*(((職員マスタ!$G$6:$G$405="")+(職員マスタ!$G$6:$G$405&lt;=EOMONTH($AQ383,0)))&gt;0)*(((職員マスタ!$H$6:$H$405="")+(職員マスタ!$H$6:$H$405&gt;=$AQ383))&gt;0)*(ROW(職員マスタ!$A$6:$A$405)-5)))&gt;0,SUMPRODUCT(MAX((職員マスタ!$A$6:$A$405=$B383)*(((職員マスタ!$G$6:$G$405="")+(職員マスタ!$G$6:$G$405&lt;=EOMONTH($AQ383,0)))&gt;0)*(((職員マスタ!$H$6:$H$405="")+(職員マスタ!$H$6:$H$405&gt;=$AQ383))&gt;0)*(ROW(職員マスタ!$A$6:$A$405)-5))),IFERROR(MATCH($B383,職員マスタ!$A$6:$A$405,0),"")))</f>
        <v/>
      </c>
      <c r="AQ383" s="16">
        <f>IF(OR($B383="",$C383="",$D383=""),"",DATE($C383+2018,$D383,1))</f>
        <v/>
      </c>
    </row>
    <row r="384">
      <c r="A384" s="11" t="n"/>
      <c r="B384" s="12" t="n">
        <v>6802235</v>
      </c>
      <c r="C384" s="12" t="n">
        <v>7</v>
      </c>
      <c r="D384" s="12" t="n">
        <v>12</v>
      </c>
      <c r="E384" s="13" t="n">
        <v>213517</v>
      </c>
      <c r="F384" s="12" t="n"/>
      <c r="G384" s="13" t="n"/>
      <c r="H384" s="12" t="n"/>
      <c r="I384" s="12" t="n"/>
      <c r="J384" s="12" t="n"/>
      <c r="K384" s="12" t="n"/>
      <c r="L384" s="11" t="n"/>
      <c r="M384" s="11" t="n"/>
      <c r="N384" s="11" t="n"/>
      <c r="O384" s="11" t="n"/>
      <c r="P384" s="12" t="n"/>
      <c r="Q384" s="11" t="n"/>
      <c r="R384" s="12" t="n"/>
      <c r="S384" s="11" t="n"/>
      <c r="T384" s="12" t="n"/>
      <c r="U384" s="12" t="n"/>
      <c r="V384" s="12" t="n"/>
      <c r="W384" s="13" t="n"/>
      <c r="X384" s="14">
        <f>IF($AP384="",IF($B384="","",$H384),IF(INDEX(職員マスタ!$B$6:$B$405,$AP384)="",$H384,INDEX(職員マスタ!$B$6:$B$405,$AP384)))</f>
        <v/>
      </c>
      <c r="Y384" s="14">
        <f>IF($AP384="",IF($B384="","",$R384),IF(INDEX(職員マスタ!$C$6:$C$405,$AP384)="",$R384,INDEX(職員マスタ!$C$6:$C$405,$AP384)))</f>
        <v/>
      </c>
      <c r="Z384" s="14">
        <f>IF($AQ384="","","R"&amp;$C384&amp;"."&amp;$D384)</f>
        <v/>
      </c>
      <c r="AA384" s="15">
        <f>IF(IF($AP384="",FALSE,INDEX(職員マスタ!$K$6:$K$405,$AP384)&lt;&gt;""),INDEX(職員マスタ!$K$6:$K$405,$AP384),IF(N($W384)&gt;0,$W384,""))</f>
        <v/>
      </c>
      <c r="AB384" s="14">
        <f>IF(OR($E384="",$AA384=""),"",IF($E384&gt;=$AA384,"×",IF($E384&gt;=$AA384*設定!$C$5,"△","○")))</f>
        <v/>
      </c>
      <c r="AC384" s="15">
        <f>IF($AB384="","",IF($AB384="×",0,IF($AB384="○",ROUNDDOWN($E384*設定!$C$4,0),ROUNDDOWN($E384*ROUND((9*$AA384-9*$E384)/(10*$E384),4),0))))</f>
        <v/>
      </c>
      <c r="AD384" s="13" t="n"/>
      <c r="AE384" s="15">
        <f>IF($B384="","",IF($AD384&lt;&gt;"",$AD384,IF($AC384="","",IF($AC384&lt;=設定!$C$3,0,$AC384))))</f>
        <v/>
      </c>
      <c r="AF384" s="14">
        <f>IF($B384="","",IF(AND($AG384&lt;&gt;"",$AI384="",$AL384=""),"保留中",IF($AL384&lt;&gt;"",IF(N($AE384)&gt;0,"支給済","不支給"),IF($AE384="","要確認",IF($AE384=0,"不支給","未処理")))))</f>
        <v/>
      </c>
      <c r="AG384" s="12" t="n"/>
      <c r="AH384" s="11" t="n"/>
      <c r="AI384" s="11" t="n"/>
      <c r="AJ384" s="11" t="n"/>
      <c r="AK384" s="14">
        <f>IF(AND($AF384="保留中",$AH384&lt;&gt;""),TODAY()-$AH384,"")</f>
        <v/>
      </c>
      <c r="AL384" s="12" t="inlineStr">
        <is>
          <t>R8.2</t>
        </is>
      </c>
      <c r="AM384" s="14">
        <f>IF($B384="","",IF($AQ384="","対象年月が未入力／","")&amp;IF($B384="","",IF($AP384="","職員マスタに未登録の職員番号／",IF($AA384="","標準報酬月額が未登録／","")&amp;IF(AND($AQ384&lt;&gt;"",OR(AND(INDEX(職員マスタ!$G$6:$G$405,$AP384)&lt;&gt;"",INDEX(職員マスタ!$G$6:$G$405,$AP384)&gt;EOMONTH($AQ384,0)),AND(INDEX(職員マスタ!$H$6:$H$405,$AP384)&lt;&gt;"",INDEX(職員マスタ!$H$6:$H$405,$AP384)&lt;$AQ384))),"対象月が時短期間外／","")&amp;IF(AND(INDEX(職員マスタ!$K$6:$K$405,$AP384)&lt;&gt;"",N($W384)&gt;0,INDEX(職員マスタ!$K$6:$K$405,$AP384)&lt;&gt;$W384),"標準報酬月額が申請書と相違（台帳"&amp;TEXT(INDEX(職員マスタ!$K$6:$K$405,$AP384),"#,##0")&amp;"円／申請書"&amp;TEXT($W384,"#,##0")&amp;"円）／","")&amp;IF(AND(INDEX(職員マスタ!$F$6:$F$405,$AP384)&lt;&gt;"",$AQ384&lt;&gt;"",INDEX(職員マスタ!$F$6:$F$405,$AP384)&lt;$AQ384),"対象月に子が2歳到達済／","")&amp;IF(AND($H384&lt;&gt;"",INDEX(職員マスタ!$B$6:$B$405,$AP384)&lt;&gt;"",SUBSTITUTE(SUBSTITUTE($H384," ","")," ","")&lt;&gt;SUBSTITUTE(SUBSTITUTE(INDEX(職員マスタ!$B$6:$B$405,$AP384)," ","")," ","")),"氏名がマスタと相違／","")&amp;IF(AND($Q384&lt;&gt;"",INDEX(職員マスタ!$E$6:$E$405,$AP384)&lt;&gt;"",$Q384&lt;&gt;INDEX(職員マスタ!$E$6:$E$405,$AP384)),"子の生年月日がマスタと相違／","")&amp;IF(AND($L384&lt;&gt;"",INDEX(職員マスタ!$G$6:$G$405,$AP384)&lt;&gt;"",$L384&lt;&gt;INDEX(職員マスタ!$G$6:$G$405,$AP384)),"時短開始日がマスタと相違／","")&amp;IF(AND($M384&lt;&gt;"",INDEX(職員マスタ!$H$6:$H$405,$AP384)&lt;&gt;"",$M384&lt;&gt;INDEX(職員マスタ!$H$6:$H$405,$AP384)),"時短終了日がマスタと相違／","")))&amp;IF(AND($B384&lt;&gt;"",$E384=""),"報酬額が未入力／","")&amp;IF(N($U384)&gt;0,"申請書に入力エラーが残っています／","")&amp;IF(AND($B384&lt;&gt;"",$AQ384&lt;&gt;""),IF(COUNTIFS($B$6:$B$3005,$B384,$C$6:$C$3005,$C384,$D$6:$D$3005,$D384)&gt;1,"同じ月の請求が重複しています／",""),"")&amp;IF(AND(N($E384)&gt;0,$AB384&lt;&gt;"",$AB384&lt;&gt;"×",$AE384=0,$AD384=""),"計算額が下限以下のため不支給／",""))</f>
        <v/>
      </c>
      <c r="AN384" s="12" t="n"/>
      <c r="AO384" s="14">
        <f>IF($AF384="保留中",COUNTIF($AF$6:$AF384,"保留中"),"")</f>
        <v/>
      </c>
      <c r="AP384" s="14">
        <f>IF($AQ384="","",IF(SUMPRODUCT(MAX((職員マスタ!$A$6:$A$405=$B384)*(((職員マスタ!$G$6:$G$405="")+(職員マスタ!$G$6:$G$405&lt;=EOMONTH($AQ384,0)))&gt;0)*(((職員マスタ!$H$6:$H$405="")+(職員マスタ!$H$6:$H$405&gt;=$AQ384))&gt;0)*(ROW(職員マスタ!$A$6:$A$405)-5)))&gt;0,SUMPRODUCT(MAX((職員マスタ!$A$6:$A$405=$B384)*(((職員マスタ!$G$6:$G$405="")+(職員マスタ!$G$6:$G$405&lt;=EOMONTH($AQ384,0)))&gt;0)*(((職員マスタ!$H$6:$H$405="")+(職員マスタ!$H$6:$H$405&gt;=$AQ384))&gt;0)*(ROW(職員マスタ!$A$6:$A$405)-5))),IFERROR(MATCH($B384,職員マスタ!$A$6:$A$405,0),"")))</f>
        <v/>
      </c>
      <c r="AQ384" s="16">
        <f>IF(OR($B384="",$C384="",$D384=""),"",DATE($C384+2018,$D384,1))</f>
        <v/>
      </c>
    </row>
    <row r="385">
      <c r="A385" s="11" t="n"/>
      <c r="B385" s="12" t="n">
        <v>6802235</v>
      </c>
      <c r="C385" s="12" t="n">
        <v>8</v>
      </c>
      <c r="D385" s="12" t="n">
        <v>1</v>
      </c>
      <c r="E385" s="13" t="n">
        <v>211658</v>
      </c>
      <c r="F385" s="12" t="n"/>
      <c r="G385" s="13" t="n"/>
      <c r="H385" s="12" t="n"/>
      <c r="I385" s="12" t="n"/>
      <c r="J385" s="12" t="n"/>
      <c r="K385" s="12" t="n"/>
      <c r="L385" s="11" t="n"/>
      <c r="M385" s="11" t="n"/>
      <c r="N385" s="11" t="n"/>
      <c r="O385" s="11" t="n"/>
      <c r="P385" s="12" t="n"/>
      <c r="Q385" s="11" t="n"/>
      <c r="R385" s="12" t="n"/>
      <c r="S385" s="11" t="n"/>
      <c r="T385" s="12" t="n"/>
      <c r="U385" s="12" t="n"/>
      <c r="V385" s="12" t="n"/>
      <c r="W385" s="13" t="n"/>
      <c r="X385" s="14">
        <f>IF($AP385="",IF($B385="","",$H385),IF(INDEX(職員マスタ!$B$6:$B$405,$AP385)="",$H385,INDEX(職員マスタ!$B$6:$B$405,$AP385)))</f>
        <v/>
      </c>
      <c r="Y385" s="14">
        <f>IF($AP385="",IF($B385="","",$R385),IF(INDEX(職員マスタ!$C$6:$C$405,$AP385)="",$R385,INDEX(職員マスタ!$C$6:$C$405,$AP385)))</f>
        <v/>
      </c>
      <c r="Z385" s="14">
        <f>IF($AQ385="","","R"&amp;$C385&amp;"."&amp;$D385)</f>
        <v/>
      </c>
      <c r="AA385" s="15">
        <f>IF(IF($AP385="",FALSE,INDEX(職員マスタ!$K$6:$K$405,$AP385)&lt;&gt;""),INDEX(職員マスタ!$K$6:$K$405,$AP385),IF(N($W385)&gt;0,$W385,""))</f>
        <v/>
      </c>
      <c r="AB385" s="14">
        <f>IF(OR($E385="",$AA385=""),"",IF($E385&gt;=$AA385,"×",IF($E385&gt;=$AA385*設定!$C$5,"△","○")))</f>
        <v/>
      </c>
      <c r="AC385" s="15">
        <f>IF($AB385="","",IF($AB385="×",0,IF($AB385="○",ROUNDDOWN($E385*設定!$C$4,0),ROUNDDOWN($E385*ROUND((9*$AA385-9*$E385)/(10*$E385),4),0))))</f>
        <v/>
      </c>
      <c r="AD385" s="13" t="n"/>
      <c r="AE385" s="15">
        <f>IF($B385="","",IF($AD385&lt;&gt;"",$AD385,IF($AC385="","",IF($AC385&lt;=設定!$C$3,0,$AC385))))</f>
        <v/>
      </c>
      <c r="AF385" s="14">
        <f>IF($B385="","",IF(AND($AG385&lt;&gt;"",$AI385="",$AL385=""),"保留中",IF($AL385&lt;&gt;"",IF(N($AE385)&gt;0,"支給済","不支給"),IF($AE385="","要確認",IF($AE385=0,"不支給","未処理")))))</f>
        <v/>
      </c>
      <c r="AG385" s="12" t="n"/>
      <c r="AH385" s="11" t="n"/>
      <c r="AI385" s="11" t="n"/>
      <c r="AJ385" s="11" t="n"/>
      <c r="AK385" s="14">
        <f>IF(AND($AF385="保留中",$AH385&lt;&gt;""),TODAY()-$AH385,"")</f>
        <v/>
      </c>
      <c r="AL385" s="12" t="inlineStr">
        <is>
          <t>R8.4</t>
        </is>
      </c>
      <c r="AM385" s="14">
        <f>IF($B385="","",IF($AQ385="","対象年月が未入力／","")&amp;IF($B385="","",IF($AP385="","職員マスタに未登録の職員番号／",IF($AA385="","標準報酬月額が未登録／","")&amp;IF(AND($AQ385&lt;&gt;"",OR(AND(INDEX(職員マスタ!$G$6:$G$405,$AP385)&lt;&gt;"",INDEX(職員マスタ!$G$6:$G$405,$AP385)&gt;EOMONTH($AQ385,0)),AND(INDEX(職員マスタ!$H$6:$H$405,$AP385)&lt;&gt;"",INDEX(職員マスタ!$H$6:$H$405,$AP385)&lt;$AQ385))),"対象月が時短期間外／","")&amp;IF(AND(INDEX(職員マスタ!$K$6:$K$405,$AP385)&lt;&gt;"",N($W385)&gt;0,INDEX(職員マスタ!$K$6:$K$405,$AP385)&lt;&gt;$W385),"標準報酬月額が申請書と相違（台帳"&amp;TEXT(INDEX(職員マスタ!$K$6:$K$405,$AP385),"#,##0")&amp;"円／申請書"&amp;TEXT($W385,"#,##0")&amp;"円）／","")&amp;IF(AND(INDEX(職員マスタ!$F$6:$F$405,$AP385)&lt;&gt;"",$AQ385&lt;&gt;"",INDEX(職員マスタ!$F$6:$F$405,$AP385)&lt;$AQ385),"対象月に子が2歳到達済／","")&amp;IF(AND($H385&lt;&gt;"",INDEX(職員マスタ!$B$6:$B$405,$AP385)&lt;&gt;"",SUBSTITUTE(SUBSTITUTE($H385," ","")," ","")&lt;&gt;SUBSTITUTE(SUBSTITUTE(INDEX(職員マスタ!$B$6:$B$405,$AP385)," ","")," ","")),"氏名がマスタと相違／","")&amp;IF(AND($Q385&lt;&gt;"",INDEX(職員マスタ!$E$6:$E$405,$AP385)&lt;&gt;"",$Q385&lt;&gt;INDEX(職員マスタ!$E$6:$E$405,$AP385)),"子の生年月日がマスタと相違／","")&amp;IF(AND($L385&lt;&gt;"",INDEX(職員マスタ!$G$6:$G$405,$AP385)&lt;&gt;"",$L385&lt;&gt;INDEX(職員マスタ!$G$6:$G$405,$AP385)),"時短開始日がマスタと相違／","")&amp;IF(AND($M385&lt;&gt;"",INDEX(職員マスタ!$H$6:$H$405,$AP385)&lt;&gt;"",$M385&lt;&gt;INDEX(職員マスタ!$H$6:$H$405,$AP385)),"時短終了日がマスタと相違／","")))&amp;IF(AND($B385&lt;&gt;"",$E385=""),"報酬額が未入力／","")&amp;IF(N($U385)&gt;0,"申請書に入力エラーが残っています／","")&amp;IF(AND($B385&lt;&gt;"",$AQ385&lt;&gt;""),IF(COUNTIFS($B$6:$B$3005,$B385,$C$6:$C$3005,$C385,$D$6:$D$3005,$D385)&gt;1,"同じ月の請求が重複しています／",""),"")&amp;IF(AND(N($E385)&gt;0,$AB385&lt;&gt;"",$AB385&lt;&gt;"×",$AE385=0,$AD385=""),"計算額が下限以下のため不支給／",""))</f>
        <v/>
      </c>
      <c r="AN385" s="12" t="n"/>
      <c r="AO385" s="14">
        <f>IF($AF385="保留中",COUNTIF($AF$6:$AF385,"保留中"),"")</f>
        <v/>
      </c>
      <c r="AP385" s="14">
        <f>IF($AQ385="","",IF(SUMPRODUCT(MAX((職員マスタ!$A$6:$A$405=$B385)*(((職員マスタ!$G$6:$G$405="")+(職員マスタ!$G$6:$G$405&lt;=EOMONTH($AQ385,0)))&gt;0)*(((職員マスタ!$H$6:$H$405="")+(職員マスタ!$H$6:$H$405&gt;=$AQ385))&gt;0)*(ROW(職員マスタ!$A$6:$A$405)-5)))&gt;0,SUMPRODUCT(MAX((職員マスタ!$A$6:$A$405=$B385)*(((職員マスタ!$G$6:$G$405="")+(職員マスタ!$G$6:$G$405&lt;=EOMONTH($AQ385,0)))&gt;0)*(((職員マスタ!$H$6:$H$405="")+(職員マスタ!$H$6:$H$405&gt;=$AQ385))&gt;0)*(ROW(職員マスタ!$A$6:$A$405)-5))),IFERROR(MATCH($B385,職員マスタ!$A$6:$A$405,0),"")))</f>
        <v/>
      </c>
      <c r="AQ385" s="16">
        <f>IF(OR($B385="",$C385="",$D385=""),"",DATE($C385+2018,$D385,1))</f>
        <v/>
      </c>
    </row>
    <row r="386">
      <c r="A386" s="11" t="n"/>
      <c r="B386" s="12" t="n">
        <v>6802235</v>
      </c>
      <c r="C386" s="12" t="n">
        <v>8</v>
      </c>
      <c r="D386" s="12" t="n">
        <v>3</v>
      </c>
      <c r="E386" s="13" t="n">
        <v>244671</v>
      </c>
      <c r="F386" s="12" t="n"/>
      <c r="G386" s="13" t="n"/>
      <c r="H386" s="12" t="n"/>
      <c r="I386" s="12" t="n"/>
      <c r="J386" s="12" t="n"/>
      <c r="K386" s="12" t="n"/>
      <c r="L386" s="11" t="n"/>
      <c r="M386" s="11" t="n"/>
      <c r="N386" s="11" t="n"/>
      <c r="O386" s="11" t="n"/>
      <c r="P386" s="12" t="n"/>
      <c r="Q386" s="11" t="n"/>
      <c r="R386" s="12" t="n"/>
      <c r="S386" s="11" t="n"/>
      <c r="T386" s="12" t="n"/>
      <c r="U386" s="12" t="n"/>
      <c r="V386" s="12" t="n"/>
      <c r="W386" s="13" t="n"/>
      <c r="X386" s="14">
        <f>IF($AP386="",IF($B386="","",$H386),IF(INDEX(職員マスタ!$B$6:$B$405,$AP386)="",$H386,INDEX(職員マスタ!$B$6:$B$405,$AP386)))</f>
        <v/>
      </c>
      <c r="Y386" s="14">
        <f>IF($AP386="",IF($B386="","",$R386),IF(INDEX(職員マスタ!$C$6:$C$405,$AP386)="",$R386,INDEX(職員マスタ!$C$6:$C$405,$AP386)))</f>
        <v/>
      </c>
      <c r="Z386" s="14">
        <f>IF($AQ386="","","R"&amp;$C386&amp;"."&amp;$D386)</f>
        <v/>
      </c>
      <c r="AA386" s="15">
        <f>IF(IF($AP386="",FALSE,INDEX(職員マスタ!$K$6:$K$405,$AP386)&lt;&gt;""),INDEX(職員マスタ!$K$6:$K$405,$AP386),IF(N($W386)&gt;0,$W386,""))</f>
        <v/>
      </c>
      <c r="AB386" s="14">
        <f>IF(OR($E386="",$AA386=""),"",IF($E386&gt;=$AA386,"×",IF($E386&gt;=$AA386*設定!$C$5,"△","○")))</f>
        <v/>
      </c>
      <c r="AC386" s="15">
        <f>IF($AB386="","",IF($AB386="×",0,IF($AB386="○",ROUNDDOWN($E386*設定!$C$4,0),ROUNDDOWN($E386*ROUND((9*$AA386-9*$E386)/(10*$E386),4),0))))</f>
        <v/>
      </c>
      <c r="AD386" s="13" t="n"/>
      <c r="AE386" s="15">
        <f>IF($B386="","",IF($AD386&lt;&gt;"",$AD386,IF($AC386="","",IF($AC386&lt;=設定!$C$3,0,$AC386))))</f>
        <v/>
      </c>
      <c r="AF386" s="14">
        <f>IF($B386="","",IF(AND($AG386&lt;&gt;"",$AI386="",$AL386=""),"保留中",IF($AL386&lt;&gt;"",IF(N($AE386)&gt;0,"支給済","不支給"),IF($AE386="","要確認",IF($AE386=0,"不支給","未処理")))))</f>
        <v/>
      </c>
      <c r="AG386" s="12" t="n"/>
      <c r="AH386" s="11" t="n"/>
      <c r="AI386" s="11" t="n"/>
      <c r="AJ386" s="11" t="n"/>
      <c r="AK386" s="14">
        <f>IF(AND($AF386="保留中",$AH386&lt;&gt;""),TODAY()-$AH386,"")</f>
        <v/>
      </c>
      <c r="AL386" s="12" t="inlineStr">
        <is>
          <t>R8.10</t>
        </is>
      </c>
      <c r="AM386" s="14">
        <f>IF($B386="","",IF($AQ386="","対象年月が未入力／","")&amp;IF($B386="","",IF($AP386="","職員マスタに未登録の職員番号／",IF($AA386="","標準報酬月額が未登録／","")&amp;IF(AND($AQ386&lt;&gt;"",OR(AND(INDEX(職員マスタ!$G$6:$G$405,$AP386)&lt;&gt;"",INDEX(職員マスタ!$G$6:$G$405,$AP386)&gt;EOMONTH($AQ386,0)),AND(INDEX(職員マスタ!$H$6:$H$405,$AP386)&lt;&gt;"",INDEX(職員マスタ!$H$6:$H$405,$AP386)&lt;$AQ386))),"対象月が時短期間外／","")&amp;IF(AND(INDEX(職員マスタ!$K$6:$K$405,$AP386)&lt;&gt;"",N($W386)&gt;0,INDEX(職員マスタ!$K$6:$K$405,$AP386)&lt;&gt;$W386),"標準報酬月額が申請書と相違（台帳"&amp;TEXT(INDEX(職員マスタ!$K$6:$K$405,$AP386),"#,##0")&amp;"円／申請書"&amp;TEXT($W386,"#,##0")&amp;"円）／","")&amp;IF(AND(INDEX(職員マスタ!$F$6:$F$405,$AP386)&lt;&gt;"",$AQ386&lt;&gt;"",INDEX(職員マスタ!$F$6:$F$405,$AP386)&lt;$AQ386),"対象月に子が2歳到達済／","")&amp;IF(AND($H386&lt;&gt;"",INDEX(職員マスタ!$B$6:$B$405,$AP386)&lt;&gt;"",SUBSTITUTE(SUBSTITUTE($H386," ","")," ","")&lt;&gt;SUBSTITUTE(SUBSTITUTE(INDEX(職員マスタ!$B$6:$B$405,$AP386)," ","")," ","")),"氏名がマスタと相違／","")&amp;IF(AND($Q386&lt;&gt;"",INDEX(職員マスタ!$E$6:$E$405,$AP386)&lt;&gt;"",$Q386&lt;&gt;INDEX(職員マスタ!$E$6:$E$405,$AP386)),"子の生年月日がマスタと相違／","")&amp;IF(AND($L386&lt;&gt;"",INDEX(職員マスタ!$G$6:$G$405,$AP386)&lt;&gt;"",$L386&lt;&gt;INDEX(職員マスタ!$G$6:$G$405,$AP386)),"時短開始日がマスタと相違／","")&amp;IF(AND($M386&lt;&gt;"",INDEX(職員マスタ!$H$6:$H$405,$AP386)&lt;&gt;"",$M386&lt;&gt;INDEX(職員マスタ!$H$6:$H$405,$AP386)),"時短終了日がマスタと相違／","")))&amp;IF(AND($B386&lt;&gt;"",$E386=""),"報酬額が未入力／","")&amp;IF(N($U386)&gt;0,"申請書に入力エラーが残っています／","")&amp;IF(AND($B386&lt;&gt;"",$AQ386&lt;&gt;""),IF(COUNTIFS($B$6:$B$3005,$B386,$C$6:$C$3005,$C386,$D$6:$D$3005,$D386)&gt;1,"同じ月の請求が重複しています／",""),"")&amp;IF(AND(N($E386)&gt;0,$AB386&lt;&gt;"",$AB386&lt;&gt;"×",$AE386=0,$AD386=""),"計算額が下限以下のため不支給／",""))</f>
        <v/>
      </c>
      <c r="AN386" s="12" t="n"/>
      <c r="AO386" s="14">
        <f>IF($AF386="保留中",COUNTIF($AF$6:$AF386,"保留中"),"")</f>
        <v/>
      </c>
      <c r="AP386" s="14">
        <f>IF($AQ386="","",IF(SUMPRODUCT(MAX((職員マスタ!$A$6:$A$405=$B386)*(((職員マスタ!$G$6:$G$405="")+(職員マスタ!$G$6:$G$405&lt;=EOMONTH($AQ386,0)))&gt;0)*(((職員マスタ!$H$6:$H$405="")+(職員マスタ!$H$6:$H$405&gt;=$AQ386))&gt;0)*(ROW(職員マスタ!$A$6:$A$405)-5)))&gt;0,SUMPRODUCT(MAX((職員マスタ!$A$6:$A$405=$B386)*(((職員マスタ!$G$6:$G$405="")+(職員マスタ!$G$6:$G$405&lt;=EOMONTH($AQ386,0)))&gt;0)*(((職員マスタ!$H$6:$H$405="")+(職員マスタ!$H$6:$H$405&gt;=$AQ386))&gt;0)*(ROW(職員マスタ!$A$6:$A$405)-5))),IFERROR(MATCH($B386,職員マスタ!$A$6:$A$405,0),"")))</f>
        <v/>
      </c>
      <c r="AQ386" s="16">
        <f>IF(OR($B386="",$C386="",$D386=""),"",DATE($C386+2018,$D386,1))</f>
        <v/>
      </c>
    </row>
    <row r="387">
      <c r="A387" s="11" t="n"/>
      <c r="B387" s="12" t="n">
        <v>6802268</v>
      </c>
      <c r="C387" s="12" t="n">
        <v>8</v>
      </c>
      <c r="D387" s="12" t="n">
        <v>5</v>
      </c>
      <c r="E387" s="13" t="n">
        <v>189366</v>
      </c>
      <c r="F387" s="12" t="n"/>
      <c r="G387" s="13" t="n"/>
      <c r="H387" s="12" t="n"/>
      <c r="I387" s="12" t="n"/>
      <c r="J387" s="12" t="n"/>
      <c r="K387" s="12" t="n"/>
      <c r="L387" s="11" t="n"/>
      <c r="M387" s="11" t="n"/>
      <c r="N387" s="11" t="n"/>
      <c r="O387" s="11" t="n"/>
      <c r="P387" s="12" t="n"/>
      <c r="Q387" s="11" t="n"/>
      <c r="R387" s="12" t="n"/>
      <c r="S387" s="11" t="n"/>
      <c r="T387" s="12" t="n"/>
      <c r="U387" s="12" t="n"/>
      <c r="V387" s="12" t="n"/>
      <c r="W387" s="13" t="n"/>
      <c r="X387" s="14">
        <f>IF($AP387="",IF($B387="","",$H387),IF(INDEX(職員マスタ!$B$6:$B$405,$AP387)="",$H387,INDEX(職員マスタ!$B$6:$B$405,$AP387)))</f>
        <v/>
      </c>
      <c r="Y387" s="14">
        <f>IF($AP387="",IF($B387="","",$R387),IF(INDEX(職員マスタ!$C$6:$C$405,$AP387)="",$R387,INDEX(職員マスタ!$C$6:$C$405,$AP387)))</f>
        <v/>
      </c>
      <c r="Z387" s="14">
        <f>IF($AQ387="","","R"&amp;$C387&amp;"."&amp;$D387)</f>
        <v/>
      </c>
      <c r="AA387" s="15">
        <f>IF(IF($AP387="",FALSE,INDEX(職員マスタ!$K$6:$K$405,$AP387)&lt;&gt;""),INDEX(職員マスタ!$K$6:$K$405,$AP387),IF(N($W387)&gt;0,$W387,""))</f>
        <v/>
      </c>
      <c r="AB387" s="14">
        <f>IF(OR($E387="",$AA387=""),"",IF($E387&gt;=$AA387,"×",IF($E387&gt;=$AA387*設定!$C$5,"△","○")))</f>
        <v/>
      </c>
      <c r="AC387" s="15">
        <f>IF($AB387="","",IF($AB387="×",0,IF($AB387="○",ROUNDDOWN($E387*設定!$C$4,0),ROUNDDOWN($E387*ROUND((9*$AA387-9*$E387)/(10*$E387),4),0))))</f>
        <v/>
      </c>
      <c r="AD387" s="13" t="n"/>
      <c r="AE387" s="15">
        <f>IF($B387="","",IF($AD387&lt;&gt;"",$AD387,IF($AC387="","",IF($AC387&lt;=設定!$C$3,0,$AC387))))</f>
        <v/>
      </c>
      <c r="AF387" s="14">
        <f>IF($B387="","",IF(AND($AG387&lt;&gt;"",$AI387="",$AL387=""),"保留中",IF($AL387&lt;&gt;"",IF(N($AE387)&gt;0,"支給済","不支給"),IF($AE387="","要確認",IF($AE387=0,"不支給","未処理")))))</f>
        <v/>
      </c>
      <c r="AG387" s="12" t="n"/>
      <c r="AH387" s="11" t="n"/>
      <c r="AI387" s="11" t="n"/>
      <c r="AJ387" s="11" t="n"/>
      <c r="AK387" s="14">
        <f>IF(AND($AF387="保留中",$AH387&lt;&gt;""),TODAY()-$AH387,"")</f>
        <v/>
      </c>
      <c r="AL387" s="12" t="inlineStr">
        <is>
          <t>R8.10</t>
        </is>
      </c>
      <c r="AM387" s="14">
        <f>IF($B387="","",IF($AQ387="","対象年月が未入力／","")&amp;IF($B387="","",IF($AP387="","職員マスタに未登録の職員番号／",IF($AA387="","標準報酬月額が未登録／","")&amp;IF(AND($AQ387&lt;&gt;"",OR(AND(INDEX(職員マスタ!$G$6:$G$405,$AP387)&lt;&gt;"",INDEX(職員マスタ!$G$6:$G$405,$AP387)&gt;EOMONTH($AQ387,0)),AND(INDEX(職員マスタ!$H$6:$H$405,$AP387)&lt;&gt;"",INDEX(職員マスタ!$H$6:$H$405,$AP387)&lt;$AQ387))),"対象月が時短期間外／","")&amp;IF(AND(INDEX(職員マスタ!$K$6:$K$405,$AP387)&lt;&gt;"",N($W387)&gt;0,INDEX(職員マスタ!$K$6:$K$405,$AP387)&lt;&gt;$W387),"標準報酬月額が申請書と相違（台帳"&amp;TEXT(INDEX(職員マスタ!$K$6:$K$405,$AP387),"#,##0")&amp;"円／申請書"&amp;TEXT($W387,"#,##0")&amp;"円）／","")&amp;IF(AND(INDEX(職員マスタ!$F$6:$F$405,$AP387)&lt;&gt;"",$AQ387&lt;&gt;"",INDEX(職員マスタ!$F$6:$F$405,$AP387)&lt;$AQ387),"対象月に子が2歳到達済／","")&amp;IF(AND($H387&lt;&gt;"",INDEX(職員マスタ!$B$6:$B$405,$AP387)&lt;&gt;"",SUBSTITUTE(SUBSTITUTE($H387," ","")," ","")&lt;&gt;SUBSTITUTE(SUBSTITUTE(INDEX(職員マスタ!$B$6:$B$405,$AP387)," ","")," ","")),"氏名がマスタと相違／","")&amp;IF(AND($Q387&lt;&gt;"",INDEX(職員マスタ!$E$6:$E$405,$AP387)&lt;&gt;"",$Q387&lt;&gt;INDEX(職員マスタ!$E$6:$E$405,$AP387)),"子の生年月日がマスタと相違／","")&amp;IF(AND($L387&lt;&gt;"",INDEX(職員マスタ!$G$6:$G$405,$AP387)&lt;&gt;"",$L387&lt;&gt;INDEX(職員マスタ!$G$6:$G$405,$AP387)),"時短開始日がマスタと相違／","")&amp;IF(AND($M387&lt;&gt;"",INDEX(職員マスタ!$H$6:$H$405,$AP387)&lt;&gt;"",$M387&lt;&gt;INDEX(職員マスタ!$H$6:$H$405,$AP387)),"時短終了日がマスタと相違／","")))&amp;IF(AND($B387&lt;&gt;"",$E387=""),"報酬額が未入力／","")&amp;IF(N($U387)&gt;0,"申請書に入力エラーが残っています／","")&amp;IF(AND($B387&lt;&gt;"",$AQ387&lt;&gt;""),IF(COUNTIFS($B$6:$B$3005,$B387,$C$6:$C$3005,$C387,$D$6:$D$3005,$D387)&gt;1,"同じ月の請求が重複しています／",""),"")&amp;IF(AND(N($E387)&gt;0,$AB387&lt;&gt;"",$AB387&lt;&gt;"×",$AE387=0,$AD387=""),"計算額が下限以下のため不支給／",""))</f>
        <v/>
      </c>
      <c r="AN387" s="12" t="n"/>
      <c r="AO387" s="14">
        <f>IF($AF387="保留中",COUNTIF($AF$6:$AF387,"保留中"),"")</f>
        <v/>
      </c>
      <c r="AP387" s="14">
        <f>IF($AQ387="","",IF(SUMPRODUCT(MAX((職員マスタ!$A$6:$A$405=$B387)*(((職員マスタ!$G$6:$G$405="")+(職員マスタ!$G$6:$G$405&lt;=EOMONTH($AQ387,0)))&gt;0)*(((職員マスタ!$H$6:$H$405="")+(職員マスタ!$H$6:$H$405&gt;=$AQ387))&gt;0)*(ROW(職員マスタ!$A$6:$A$405)-5)))&gt;0,SUMPRODUCT(MAX((職員マスタ!$A$6:$A$405=$B387)*(((職員マスタ!$G$6:$G$405="")+(職員マスタ!$G$6:$G$405&lt;=EOMONTH($AQ387,0)))&gt;0)*(((職員マスタ!$H$6:$H$405="")+(職員マスタ!$H$6:$H$405&gt;=$AQ387))&gt;0)*(ROW(職員マスタ!$A$6:$A$405)-5))),IFERROR(MATCH($B387,職員マスタ!$A$6:$A$405,0),"")))</f>
        <v/>
      </c>
      <c r="AQ387" s="16">
        <f>IF(OR($B387="",$C387="",$D387=""),"",DATE($C387+2018,$D387,1))</f>
        <v/>
      </c>
    </row>
    <row r="388">
      <c r="A388" s="11" t="n"/>
      <c r="B388" s="12" t="n">
        <v>6802268</v>
      </c>
      <c r="C388" s="12" t="n">
        <v>8</v>
      </c>
      <c r="D388" s="12" t="n">
        <v>6</v>
      </c>
      <c r="E388" s="13" t="n">
        <v>193204</v>
      </c>
      <c r="F388" s="12" t="n"/>
      <c r="G388" s="13" t="n"/>
      <c r="H388" s="12" t="n"/>
      <c r="I388" s="12" t="n"/>
      <c r="J388" s="12" t="n"/>
      <c r="K388" s="12" t="n"/>
      <c r="L388" s="11" t="n"/>
      <c r="M388" s="11" t="n"/>
      <c r="N388" s="11" t="n"/>
      <c r="O388" s="11" t="n"/>
      <c r="P388" s="12" t="n"/>
      <c r="Q388" s="11" t="n"/>
      <c r="R388" s="12" t="n"/>
      <c r="S388" s="11" t="n"/>
      <c r="T388" s="12" t="n"/>
      <c r="U388" s="12" t="n"/>
      <c r="V388" s="12" t="n"/>
      <c r="W388" s="13" t="n"/>
      <c r="X388" s="14">
        <f>IF($AP388="",IF($B388="","",$H388),IF(INDEX(職員マスタ!$B$6:$B$405,$AP388)="",$H388,INDEX(職員マスタ!$B$6:$B$405,$AP388)))</f>
        <v/>
      </c>
      <c r="Y388" s="14">
        <f>IF($AP388="",IF($B388="","",$R388),IF(INDEX(職員マスタ!$C$6:$C$405,$AP388)="",$R388,INDEX(職員マスタ!$C$6:$C$405,$AP388)))</f>
        <v/>
      </c>
      <c r="Z388" s="14">
        <f>IF($AQ388="","","R"&amp;$C388&amp;"."&amp;$D388)</f>
        <v/>
      </c>
      <c r="AA388" s="15">
        <f>IF(IF($AP388="",FALSE,INDEX(職員マスタ!$K$6:$K$405,$AP388)&lt;&gt;""),INDEX(職員マスタ!$K$6:$K$405,$AP388),IF(N($W388)&gt;0,$W388,""))</f>
        <v/>
      </c>
      <c r="AB388" s="14">
        <f>IF(OR($E388="",$AA388=""),"",IF($E388&gt;=$AA388,"×",IF($E388&gt;=$AA388*設定!$C$5,"△","○")))</f>
        <v/>
      </c>
      <c r="AC388" s="15">
        <f>IF($AB388="","",IF($AB388="×",0,IF($AB388="○",ROUNDDOWN($E388*設定!$C$4,0),ROUNDDOWN($E388*ROUND((9*$AA388-9*$E388)/(10*$E388),4),0))))</f>
        <v/>
      </c>
      <c r="AD388" s="13" t="n"/>
      <c r="AE388" s="15">
        <f>IF($B388="","",IF($AD388&lt;&gt;"",$AD388,IF($AC388="","",IF($AC388&lt;=設定!$C$3,0,$AC388))))</f>
        <v/>
      </c>
      <c r="AF388" s="14">
        <f>IF($B388="","",IF(AND($AG388&lt;&gt;"",$AI388="",$AL388=""),"保留中",IF($AL388&lt;&gt;"",IF(N($AE388)&gt;0,"支給済","不支給"),IF($AE388="","要確認",IF($AE388=0,"不支給","未処理")))))</f>
        <v/>
      </c>
      <c r="AG388" s="12" t="n"/>
      <c r="AH388" s="11" t="n"/>
      <c r="AI388" s="11" t="n"/>
      <c r="AJ388" s="11" t="n"/>
      <c r="AK388" s="14">
        <f>IF(AND($AF388="保留中",$AH388&lt;&gt;""),TODAY()-$AH388,"")</f>
        <v/>
      </c>
      <c r="AL388" s="12" t="inlineStr">
        <is>
          <t>R8.10</t>
        </is>
      </c>
      <c r="AM388" s="14">
        <f>IF($B388="","",IF($AQ388="","対象年月が未入力／","")&amp;IF($B388="","",IF($AP388="","職員マスタに未登録の職員番号／",IF($AA388="","標準報酬月額が未登録／","")&amp;IF(AND($AQ388&lt;&gt;"",OR(AND(INDEX(職員マスタ!$G$6:$G$405,$AP388)&lt;&gt;"",INDEX(職員マスタ!$G$6:$G$405,$AP388)&gt;EOMONTH($AQ388,0)),AND(INDEX(職員マスタ!$H$6:$H$405,$AP388)&lt;&gt;"",INDEX(職員マスタ!$H$6:$H$405,$AP388)&lt;$AQ388))),"対象月が時短期間外／","")&amp;IF(AND(INDEX(職員マスタ!$K$6:$K$405,$AP388)&lt;&gt;"",N($W388)&gt;0,INDEX(職員マスタ!$K$6:$K$405,$AP388)&lt;&gt;$W388),"標準報酬月額が申請書と相違（台帳"&amp;TEXT(INDEX(職員マスタ!$K$6:$K$405,$AP388),"#,##0")&amp;"円／申請書"&amp;TEXT($W388,"#,##0")&amp;"円）／","")&amp;IF(AND(INDEX(職員マスタ!$F$6:$F$405,$AP388)&lt;&gt;"",$AQ388&lt;&gt;"",INDEX(職員マスタ!$F$6:$F$405,$AP388)&lt;$AQ388),"対象月に子が2歳到達済／","")&amp;IF(AND($H388&lt;&gt;"",INDEX(職員マスタ!$B$6:$B$405,$AP388)&lt;&gt;"",SUBSTITUTE(SUBSTITUTE($H388," ","")," ","")&lt;&gt;SUBSTITUTE(SUBSTITUTE(INDEX(職員マスタ!$B$6:$B$405,$AP388)," ","")," ","")),"氏名がマスタと相違／","")&amp;IF(AND($Q388&lt;&gt;"",INDEX(職員マスタ!$E$6:$E$405,$AP388)&lt;&gt;"",$Q388&lt;&gt;INDEX(職員マスタ!$E$6:$E$405,$AP388)),"子の生年月日がマスタと相違／","")&amp;IF(AND($L388&lt;&gt;"",INDEX(職員マスタ!$G$6:$G$405,$AP388)&lt;&gt;"",$L388&lt;&gt;INDEX(職員マスタ!$G$6:$G$405,$AP388)),"時短開始日がマスタと相違／","")&amp;IF(AND($M388&lt;&gt;"",INDEX(職員マスタ!$H$6:$H$405,$AP388)&lt;&gt;"",$M388&lt;&gt;INDEX(職員マスタ!$H$6:$H$405,$AP388)),"時短終了日がマスタと相違／","")))&amp;IF(AND($B388&lt;&gt;"",$E388=""),"報酬額が未入力／","")&amp;IF(N($U388)&gt;0,"申請書に入力エラーが残っています／","")&amp;IF(AND($B388&lt;&gt;"",$AQ388&lt;&gt;""),IF(COUNTIFS($B$6:$B$3005,$B388,$C$6:$C$3005,$C388,$D$6:$D$3005,$D388)&gt;1,"同じ月の請求が重複しています／",""),"")&amp;IF(AND(N($E388)&gt;0,$AB388&lt;&gt;"",$AB388&lt;&gt;"×",$AE388=0,$AD388=""),"計算額が下限以下のため不支給／",""))</f>
        <v/>
      </c>
      <c r="AN388" s="12" t="n"/>
      <c r="AO388" s="14">
        <f>IF($AF388="保留中",COUNTIF($AF$6:$AF388,"保留中"),"")</f>
        <v/>
      </c>
      <c r="AP388" s="14">
        <f>IF($AQ388="","",IF(SUMPRODUCT(MAX((職員マスタ!$A$6:$A$405=$B388)*(((職員マスタ!$G$6:$G$405="")+(職員マスタ!$G$6:$G$405&lt;=EOMONTH($AQ388,0)))&gt;0)*(((職員マスタ!$H$6:$H$405="")+(職員マスタ!$H$6:$H$405&gt;=$AQ388))&gt;0)*(ROW(職員マスタ!$A$6:$A$405)-5)))&gt;0,SUMPRODUCT(MAX((職員マスタ!$A$6:$A$405=$B388)*(((職員マスタ!$G$6:$G$405="")+(職員マスタ!$G$6:$G$405&lt;=EOMONTH($AQ388,0)))&gt;0)*(((職員マスタ!$H$6:$H$405="")+(職員マスタ!$H$6:$H$405&gt;=$AQ388))&gt;0)*(ROW(職員マスタ!$A$6:$A$405)-5))),IFERROR(MATCH($B388,職員マスタ!$A$6:$A$405,0),"")))</f>
        <v/>
      </c>
      <c r="AQ388" s="16">
        <f>IF(OR($B388="",$C388="",$D388=""),"",DATE($C388+2018,$D388,1))</f>
        <v/>
      </c>
    </row>
    <row r="389">
      <c r="A389" s="11" t="n"/>
      <c r="B389" s="12" t="n">
        <v>6802268</v>
      </c>
      <c r="C389" s="12" t="n">
        <v>8</v>
      </c>
      <c r="D389" s="12" t="n">
        <v>7</v>
      </c>
      <c r="E389" s="13" t="n">
        <v>195123</v>
      </c>
      <c r="F389" s="12" t="n"/>
      <c r="G389" s="13" t="n"/>
      <c r="H389" s="12" t="n"/>
      <c r="I389" s="12" t="n"/>
      <c r="J389" s="12" t="n"/>
      <c r="K389" s="12" t="n"/>
      <c r="L389" s="11" t="n"/>
      <c r="M389" s="11" t="n"/>
      <c r="N389" s="11" t="n"/>
      <c r="O389" s="11" t="n"/>
      <c r="P389" s="12" t="n"/>
      <c r="Q389" s="11" t="n"/>
      <c r="R389" s="12" t="n"/>
      <c r="S389" s="11" t="n"/>
      <c r="T389" s="12" t="n"/>
      <c r="U389" s="12" t="n"/>
      <c r="V389" s="12" t="n"/>
      <c r="W389" s="13" t="n"/>
      <c r="X389" s="14">
        <f>IF($AP389="",IF($B389="","",$H389),IF(INDEX(職員マスタ!$B$6:$B$405,$AP389)="",$H389,INDEX(職員マスタ!$B$6:$B$405,$AP389)))</f>
        <v/>
      </c>
      <c r="Y389" s="14">
        <f>IF($AP389="",IF($B389="","",$R389),IF(INDEX(職員マスタ!$C$6:$C$405,$AP389)="",$R389,INDEX(職員マスタ!$C$6:$C$405,$AP389)))</f>
        <v/>
      </c>
      <c r="Z389" s="14">
        <f>IF($AQ389="","","R"&amp;$C389&amp;"."&amp;$D389)</f>
        <v/>
      </c>
      <c r="AA389" s="15">
        <f>IF(IF($AP389="",FALSE,INDEX(職員マスタ!$K$6:$K$405,$AP389)&lt;&gt;""),INDEX(職員マスタ!$K$6:$K$405,$AP389),IF(N($W389)&gt;0,$W389,""))</f>
        <v/>
      </c>
      <c r="AB389" s="14">
        <f>IF(OR($E389="",$AA389=""),"",IF($E389&gt;=$AA389,"×",IF($E389&gt;=$AA389*設定!$C$5,"△","○")))</f>
        <v/>
      </c>
      <c r="AC389" s="15">
        <f>IF($AB389="","",IF($AB389="×",0,IF($AB389="○",ROUNDDOWN($E389*設定!$C$4,0),ROUNDDOWN($E389*ROUND((9*$AA389-9*$E389)/(10*$E389),4),0))))</f>
        <v/>
      </c>
      <c r="AD389" s="13" t="n"/>
      <c r="AE389" s="15">
        <f>IF($B389="","",IF($AD389&lt;&gt;"",$AD389,IF($AC389="","",IF($AC389&lt;=設定!$C$3,0,$AC389))))</f>
        <v/>
      </c>
      <c r="AF389" s="14">
        <f>IF($B389="","",IF(AND($AG389&lt;&gt;"",$AI389="",$AL389=""),"保留中",IF($AL389&lt;&gt;"",IF(N($AE389)&gt;0,"支給済","不支給"),IF($AE389="","要確認",IF($AE389=0,"不支給","未処理")))))</f>
        <v/>
      </c>
      <c r="AG389" s="12" t="n"/>
      <c r="AH389" s="11" t="n"/>
      <c r="AI389" s="11" t="n"/>
      <c r="AJ389" s="11" t="n"/>
      <c r="AK389" s="14">
        <f>IF(AND($AF389="保留中",$AH389&lt;&gt;""),TODAY()-$AH389,"")</f>
        <v/>
      </c>
      <c r="AL389" s="12" t="inlineStr">
        <is>
          <t>R8.10</t>
        </is>
      </c>
      <c r="AM389" s="14">
        <f>IF($B389="","",IF($AQ389="","対象年月が未入力／","")&amp;IF($B389="","",IF($AP389="","職員マスタに未登録の職員番号／",IF($AA389="","標準報酬月額が未登録／","")&amp;IF(AND($AQ389&lt;&gt;"",OR(AND(INDEX(職員マスタ!$G$6:$G$405,$AP389)&lt;&gt;"",INDEX(職員マスタ!$G$6:$G$405,$AP389)&gt;EOMONTH($AQ389,0)),AND(INDEX(職員マスタ!$H$6:$H$405,$AP389)&lt;&gt;"",INDEX(職員マスタ!$H$6:$H$405,$AP389)&lt;$AQ389))),"対象月が時短期間外／","")&amp;IF(AND(INDEX(職員マスタ!$K$6:$K$405,$AP389)&lt;&gt;"",N($W389)&gt;0,INDEX(職員マスタ!$K$6:$K$405,$AP389)&lt;&gt;$W389),"標準報酬月額が申請書と相違（台帳"&amp;TEXT(INDEX(職員マスタ!$K$6:$K$405,$AP389),"#,##0")&amp;"円／申請書"&amp;TEXT($W389,"#,##0")&amp;"円）／","")&amp;IF(AND(INDEX(職員マスタ!$F$6:$F$405,$AP389)&lt;&gt;"",$AQ389&lt;&gt;"",INDEX(職員マスタ!$F$6:$F$405,$AP389)&lt;$AQ389),"対象月に子が2歳到達済／","")&amp;IF(AND($H389&lt;&gt;"",INDEX(職員マスタ!$B$6:$B$405,$AP389)&lt;&gt;"",SUBSTITUTE(SUBSTITUTE($H389," ","")," ","")&lt;&gt;SUBSTITUTE(SUBSTITUTE(INDEX(職員マスタ!$B$6:$B$405,$AP389)," ","")," ","")),"氏名がマスタと相違／","")&amp;IF(AND($Q389&lt;&gt;"",INDEX(職員マスタ!$E$6:$E$405,$AP389)&lt;&gt;"",$Q389&lt;&gt;INDEX(職員マスタ!$E$6:$E$405,$AP389)),"子の生年月日がマスタと相違／","")&amp;IF(AND($L389&lt;&gt;"",INDEX(職員マスタ!$G$6:$G$405,$AP389)&lt;&gt;"",$L389&lt;&gt;INDEX(職員マスタ!$G$6:$G$405,$AP389)),"時短開始日がマスタと相違／","")&amp;IF(AND($M389&lt;&gt;"",INDEX(職員マスタ!$H$6:$H$405,$AP389)&lt;&gt;"",$M389&lt;&gt;INDEX(職員マスタ!$H$6:$H$405,$AP389)),"時短終了日がマスタと相違／","")))&amp;IF(AND($B389&lt;&gt;"",$E389=""),"報酬額が未入力／","")&amp;IF(N($U389)&gt;0,"申請書に入力エラーが残っています／","")&amp;IF(AND($B389&lt;&gt;"",$AQ389&lt;&gt;""),IF(COUNTIFS($B$6:$B$3005,$B389,$C$6:$C$3005,$C389,$D$6:$D$3005,$D389)&gt;1,"同じ月の請求が重複しています／",""),"")&amp;IF(AND(N($E389)&gt;0,$AB389&lt;&gt;"",$AB389&lt;&gt;"×",$AE389=0,$AD389=""),"計算額が下限以下のため不支給／",""))</f>
        <v/>
      </c>
      <c r="AN389" s="12" t="n"/>
      <c r="AO389" s="14">
        <f>IF($AF389="保留中",COUNTIF($AF$6:$AF389,"保留中"),"")</f>
        <v/>
      </c>
      <c r="AP389" s="14">
        <f>IF($AQ389="","",IF(SUMPRODUCT(MAX((職員マスタ!$A$6:$A$405=$B389)*(((職員マスタ!$G$6:$G$405="")+(職員マスタ!$G$6:$G$405&lt;=EOMONTH($AQ389,0)))&gt;0)*(((職員マスタ!$H$6:$H$405="")+(職員マスタ!$H$6:$H$405&gt;=$AQ389))&gt;0)*(ROW(職員マスタ!$A$6:$A$405)-5)))&gt;0,SUMPRODUCT(MAX((職員マスタ!$A$6:$A$405=$B389)*(((職員マスタ!$G$6:$G$405="")+(職員マスタ!$G$6:$G$405&lt;=EOMONTH($AQ389,0)))&gt;0)*(((職員マスタ!$H$6:$H$405="")+(職員マスタ!$H$6:$H$405&gt;=$AQ389))&gt;0)*(ROW(職員マスタ!$A$6:$A$405)-5))),IFERROR(MATCH($B389,職員マスタ!$A$6:$A$405,0),"")))</f>
        <v/>
      </c>
      <c r="AQ389" s="16">
        <f>IF(OR($B389="",$C389="",$D389=""),"",DATE($C389+2018,$D389,1))</f>
        <v/>
      </c>
    </row>
    <row r="390">
      <c r="A390" s="11" t="n"/>
      <c r="B390" s="12" t="n">
        <v>6802334</v>
      </c>
      <c r="C390" s="12" t="n">
        <v>7</v>
      </c>
      <c r="D390" s="12" t="n">
        <v>5</v>
      </c>
      <c r="E390" s="13" t="n">
        <v>204906</v>
      </c>
      <c r="F390" s="12" t="n"/>
      <c r="G390" s="13" t="n"/>
      <c r="H390" s="12" t="n"/>
      <c r="I390" s="12" t="n"/>
      <c r="J390" s="12" t="n"/>
      <c r="K390" s="12" t="n"/>
      <c r="L390" s="11" t="n"/>
      <c r="M390" s="11" t="n"/>
      <c r="N390" s="11" t="n"/>
      <c r="O390" s="11" t="n"/>
      <c r="P390" s="12" t="n"/>
      <c r="Q390" s="11" t="n"/>
      <c r="R390" s="12" t="n"/>
      <c r="S390" s="11" t="n"/>
      <c r="T390" s="12" t="n"/>
      <c r="U390" s="12" t="n"/>
      <c r="V390" s="12" t="n"/>
      <c r="W390" s="13" t="n"/>
      <c r="X390" s="14">
        <f>IF($AP390="",IF($B390="","",$H390),IF(INDEX(職員マスタ!$B$6:$B$405,$AP390)="",$H390,INDEX(職員マスタ!$B$6:$B$405,$AP390)))</f>
        <v/>
      </c>
      <c r="Y390" s="14">
        <f>IF($AP390="",IF($B390="","",$R390),IF(INDEX(職員マスタ!$C$6:$C$405,$AP390)="",$R390,INDEX(職員マスタ!$C$6:$C$405,$AP390)))</f>
        <v/>
      </c>
      <c r="Z390" s="14">
        <f>IF($AQ390="","","R"&amp;$C390&amp;"."&amp;$D390)</f>
        <v/>
      </c>
      <c r="AA390" s="15">
        <f>IF(IF($AP390="",FALSE,INDEX(職員マスタ!$K$6:$K$405,$AP390)&lt;&gt;""),INDEX(職員マスタ!$K$6:$K$405,$AP390),IF(N($W390)&gt;0,$W390,""))</f>
        <v/>
      </c>
      <c r="AB390" s="14">
        <f>IF(OR($E390="",$AA390=""),"",IF($E390&gt;=$AA390,"×",IF($E390&gt;=$AA390*設定!$C$5,"△","○")))</f>
        <v/>
      </c>
      <c r="AC390" s="15">
        <f>IF($AB390="","",IF($AB390="×",0,IF($AB390="○",ROUNDDOWN($E390*設定!$C$4,0),ROUNDDOWN($E390*ROUND((9*$AA390-9*$E390)/(10*$E390),4),0))))</f>
        <v/>
      </c>
      <c r="AD390" s="13" t="n"/>
      <c r="AE390" s="15">
        <f>IF($B390="","",IF($AD390&lt;&gt;"",$AD390,IF($AC390="","",IF($AC390&lt;=設定!$C$3,0,$AC390))))</f>
        <v/>
      </c>
      <c r="AF390" s="14">
        <f>IF($B390="","",IF(AND($AG390&lt;&gt;"",$AI390="",$AL390=""),"保留中",IF($AL390&lt;&gt;"",IF(N($AE390)&gt;0,"支給済","不支給"),IF($AE390="","要確認",IF($AE390=0,"不支給","未処理")))))</f>
        <v/>
      </c>
      <c r="AG390" s="12" t="n"/>
      <c r="AH390" s="11" t="n"/>
      <c r="AI390" s="11" t="n"/>
      <c r="AJ390" s="11" t="n"/>
      <c r="AK390" s="14">
        <f>IF(AND($AF390="保留中",$AH390&lt;&gt;""),TODAY()-$AH390,"")</f>
        <v/>
      </c>
      <c r="AL390" s="12" t="inlineStr">
        <is>
          <t>R7.9</t>
        </is>
      </c>
      <c r="AM390" s="14">
        <f>IF($B390="","",IF($AQ390="","対象年月が未入力／","")&amp;IF($B390="","",IF($AP390="","職員マスタに未登録の職員番号／",IF($AA390="","標準報酬月額が未登録／","")&amp;IF(AND($AQ390&lt;&gt;"",OR(AND(INDEX(職員マスタ!$G$6:$G$405,$AP390)&lt;&gt;"",INDEX(職員マスタ!$G$6:$G$405,$AP390)&gt;EOMONTH($AQ390,0)),AND(INDEX(職員マスタ!$H$6:$H$405,$AP390)&lt;&gt;"",INDEX(職員マスタ!$H$6:$H$405,$AP390)&lt;$AQ390))),"対象月が時短期間外／","")&amp;IF(AND(INDEX(職員マスタ!$K$6:$K$405,$AP390)&lt;&gt;"",N($W390)&gt;0,INDEX(職員マスタ!$K$6:$K$405,$AP390)&lt;&gt;$W390),"標準報酬月額が申請書と相違（台帳"&amp;TEXT(INDEX(職員マスタ!$K$6:$K$405,$AP390),"#,##0")&amp;"円／申請書"&amp;TEXT($W390,"#,##0")&amp;"円）／","")&amp;IF(AND(INDEX(職員マスタ!$F$6:$F$405,$AP390)&lt;&gt;"",$AQ390&lt;&gt;"",INDEX(職員マスタ!$F$6:$F$405,$AP390)&lt;$AQ390),"対象月に子が2歳到達済／","")&amp;IF(AND($H390&lt;&gt;"",INDEX(職員マスタ!$B$6:$B$405,$AP390)&lt;&gt;"",SUBSTITUTE(SUBSTITUTE($H390," ","")," ","")&lt;&gt;SUBSTITUTE(SUBSTITUTE(INDEX(職員マスタ!$B$6:$B$405,$AP390)," ","")," ","")),"氏名がマスタと相違／","")&amp;IF(AND($Q390&lt;&gt;"",INDEX(職員マスタ!$E$6:$E$405,$AP390)&lt;&gt;"",$Q390&lt;&gt;INDEX(職員マスタ!$E$6:$E$405,$AP390)),"子の生年月日がマスタと相違／","")&amp;IF(AND($L390&lt;&gt;"",INDEX(職員マスタ!$G$6:$G$405,$AP390)&lt;&gt;"",$L390&lt;&gt;INDEX(職員マスタ!$G$6:$G$405,$AP390)),"時短開始日がマスタと相違／","")&amp;IF(AND($M390&lt;&gt;"",INDEX(職員マスタ!$H$6:$H$405,$AP390)&lt;&gt;"",$M390&lt;&gt;INDEX(職員マスタ!$H$6:$H$405,$AP390)),"時短終了日がマスタと相違／","")))&amp;IF(AND($B390&lt;&gt;"",$E390=""),"報酬額が未入力／","")&amp;IF(N($U390)&gt;0,"申請書に入力エラーが残っています／","")&amp;IF(AND($B390&lt;&gt;"",$AQ390&lt;&gt;""),IF(COUNTIFS($B$6:$B$3005,$B390,$C$6:$C$3005,$C390,$D$6:$D$3005,$D390)&gt;1,"同じ月の請求が重複しています／",""),"")&amp;IF(AND(N($E390)&gt;0,$AB390&lt;&gt;"",$AB390&lt;&gt;"×",$AE390=0,$AD390=""),"計算額が下限以下のため不支給／",""))</f>
        <v/>
      </c>
      <c r="AN390" s="12" t="n"/>
      <c r="AO390" s="14">
        <f>IF($AF390="保留中",COUNTIF($AF$6:$AF390,"保留中"),"")</f>
        <v/>
      </c>
      <c r="AP390" s="14">
        <f>IF($AQ390="","",IF(SUMPRODUCT(MAX((職員マスタ!$A$6:$A$405=$B390)*(((職員マスタ!$G$6:$G$405="")+(職員マスタ!$G$6:$G$405&lt;=EOMONTH($AQ390,0)))&gt;0)*(((職員マスタ!$H$6:$H$405="")+(職員マスタ!$H$6:$H$405&gt;=$AQ390))&gt;0)*(ROW(職員マスタ!$A$6:$A$405)-5)))&gt;0,SUMPRODUCT(MAX((職員マスタ!$A$6:$A$405=$B390)*(((職員マスタ!$G$6:$G$405="")+(職員マスタ!$G$6:$G$405&lt;=EOMONTH($AQ390,0)))&gt;0)*(((職員マスタ!$H$6:$H$405="")+(職員マスタ!$H$6:$H$405&gt;=$AQ390))&gt;0)*(ROW(職員マスタ!$A$6:$A$405)-5))),IFERROR(MATCH($B390,職員マスタ!$A$6:$A$405,0),"")))</f>
        <v/>
      </c>
      <c r="AQ390" s="16">
        <f>IF(OR($B390="",$C390="",$D390=""),"",DATE($C390+2018,$D390,1))</f>
        <v/>
      </c>
    </row>
    <row r="391">
      <c r="A391" s="11" t="n"/>
      <c r="B391" s="12" t="n">
        <v>6802334</v>
      </c>
      <c r="C391" s="12" t="n">
        <v>7</v>
      </c>
      <c r="D391" s="12" t="n">
        <v>6</v>
      </c>
      <c r="E391" s="13" t="n">
        <v>204906</v>
      </c>
      <c r="F391" s="12" t="n"/>
      <c r="G391" s="13" t="n"/>
      <c r="H391" s="12" t="n"/>
      <c r="I391" s="12" t="n"/>
      <c r="J391" s="12" t="n"/>
      <c r="K391" s="12" t="n"/>
      <c r="L391" s="11" t="n"/>
      <c r="M391" s="11" t="n"/>
      <c r="N391" s="11" t="n"/>
      <c r="O391" s="11" t="n"/>
      <c r="P391" s="12" t="n"/>
      <c r="Q391" s="11" t="n"/>
      <c r="R391" s="12" t="n"/>
      <c r="S391" s="11" t="n"/>
      <c r="T391" s="12" t="n"/>
      <c r="U391" s="12" t="n"/>
      <c r="V391" s="12" t="n"/>
      <c r="W391" s="13" t="n"/>
      <c r="X391" s="14">
        <f>IF($AP391="",IF($B391="","",$H391),IF(INDEX(職員マスタ!$B$6:$B$405,$AP391)="",$H391,INDEX(職員マスタ!$B$6:$B$405,$AP391)))</f>
        <v/>
      </c>
      <c r="Y391" s="14">
        <f>IF($AP391="",IF($B391="","",$R391),IF(INDEX(職員マスタ!$C$6:$C$405,$AP391)="",$R391,INDEX(職員マスタ!$C$6:$C$405,$AP391)))</f>
        <v/>
      </c>
      <c r="Z391" s="14">
        <f>IF($AQ391="","","R"&amp;$C391&amp;"."&amp;$D391)</f>
        <v/>
      </c>
      <c r="AA391" s="15">
        <f>IF(IF($AP391="",FALSE,INDEX(職員マスタ!$K$6:$K$405,$AP391)&lt;&gt;""),INDEX(職員マスタ!$K$6:$K$405,$AP391),IF(N($W391)&gt;0,$W391,""))</f>
        <v/>
      </c>
      <c r="AB391" s="14">
        <f>IF(OR($E391="",$AA391=""),"",IF($E391&gt;=$AA391,"×",IF($E391&gt;=$AA391*設定!$C$5,"△","○")))</f>
        <v/>
      </c>
      <c r="AC391" s="15">
        <f>IF($AB391="","",IF($AB391="×",0,IF($AB391="○",ROUNDDOWN($E391*設定!$C$4,0),ROUNDDOWN($E391*ROUND((9*$AA391-9*$E391)/(10*$E391),4),0))))</f>
        <v/>
      </c>
      <c r="AD391" s="13" t="n"/>
      <c r="AE391" s="15">
        <f>IF($B391="","",IF($AD391&lt;&gt;"",$AD391,IF($AC391="","",IF($AC391&lt;=設定!$C$3,0,$AC391))))</f>
        <v/>
      </c>
      <c r="AF391" s="14">
        <f>IF($B391="","",IF(AND($AG391&lt;&gt;"",$AI391="",$AL391=""),"保留中",IF($AL391&lt;&gt;"",IF(N($AE391)&gt;0,"支給済","不支給"),IF($AE391="","要確認",IF($AE391=0,"不支給","未処理")))))</f>
        <v/>
      </c>
      <c r="AG391" s="12" t="n"/>
      <c r="AH391" s="11" t="n"/>
      <c r="AI391" s="11" t="n"/>
      <c r="AJ391" s="11" t="n"/>
      <c r="AK391" s="14">
        <f>IF(AND($AF391="保留中",$AH391&lt;&gt;""),TODAY()-$AH391,"")</f>
        <v/>
      </c>
      <c r="AL391" s="12" t="inlineStr">
        <is>
          <t>R7.9</t>
        </is>
      </c>
      <c r="AM391" s="14">
        <f>IF($B391="","",IF($AQ391="","対象年月が未入力／","")&amp;IF($B391="","",IF($AP391="","職員マスタに未登録の職員番号／",IF($AA391="","標準報酬月額が未登録／","")&amp;IF(AND($AQ391&lt;&gt;"",OR(AND(INDEX(職員マスタ!$G$6:$G$405,$AP391)&lt;&gt;"",INDEX(職員マスタ!$G$6:$G$405,$AP391)&gt;EOMONTH($AQ391,0)),AND(INDEX(職員マスタ!$H$6:$H$405,$AP391)&lt;&gt;"",INDEX(職員マスタ!$H$6:$H$405,$AP391)&lt;$AQ391))),"対象月が時短期間外／","")&amp;IF(AND(INDEX(職員マスタ!$K$6:$K$405,$AP391)&lt;&gt;"",N($W391)&gt;0,INDEX(職員マスタ!$K$6:$K$405,$AP391)&lt;&gt;$W391),"標準報酬月額が申請書と相違（台帳"&amp;TEXT(INDEX(職員マスタ!$K$6:$K$405,$AP391),"#,##0")&amp;"円／申請書"&amp;TEXT($W391,"#,##0")&amp;"円）／","")&amp;IF(AND(INDEX(職員マスタ!$F$6:$F$405,$AP391)&lt;&gt;"",$AQ391&lt;&gt;"",INDEX(職員マスタ!$F$6:$F$405,$AP391)&lt;$AQ391),"対象月に子が2歳到達済／","")&amp;IF(AND($H391&lt;&gt;"",INDEX(職員マスタ!$B$6:$B$405,$AP391)&lt;&gt;"",SUBSTITUTE(SUBSTITUTE($H391," ","")," ","")&lt;&gt;SUBSTITUTE(SUBSTITUTE(INDEX(職員マスタ!$B$6:$B$405,$AP391)," ","")," ","")),"氏名がマスタと相違／","")&amp;IF(AND($Q391&lt;&gt;"",INDEX(職員マスタ!$E$6:$E$405,$AP391)&lt;&gt;"",$Q391&lt;&gt;INDEX(職員マスタ!$E$6:$E$405,$AP391)),"子の生年月日がマスタと相違／","")&amp;IF(AND($L391&lt;&gt;"",INDEX(職員マスタ!$G$6:$G$405,$AP391)&lt;&gt;"",$L391&lt;&gt;INDEX(職員マスタ!$G$6:$G$405,$AP391)),"時短開始日がマスタと相違／","")&amp;IF(AND($M391&lt;&gt;"",INDEX(職員マスタ!$H$6:$H$405,$AP391)&lt;&gt;"",$M391&lt;&gt;INDEX(職員マスタ!$H$6:$H$405,$AP391)),"時短終了日がマスタと相違／","")))&amp;IF(AND($B391&lt;&gt;"",$E391=""),"報酬額が未入力／","")&amp;IF(N($U391)&gt;0,"申請書に入力エラーが残っています／","")&amp;IF(AND($B391&lt;&gt;"",$AQ391&lt;&gt;""),IF(COUNTIFS($B$6:$B$3005,$B391,$C$6:$C$3005,$C391,$D$6:$D$3005,$D391)&gt;1,"同じ月の請求が重複しています／",""),"")&amp;IF(AND(N($E391)&gt;0,$AB391&lt;&gt;"",$AB391&lt;&gt;"×",$AE391=0,$AD391=""),"計算額が下限以下のため不支給／",""))</f>
        <v/>
      </c>
      <c r="AN391" s="12" t="n"/>
      <c r="AO391" s="14">
        <f>IF($AF391="保留中",COUNTIF($AF$6:$AF391,"保留中"),"")</f>
        <v/>
      </c>
      <c r="AP391" s="14">
        <f>IF($AQ391="","",IF(SUMPRODUCT(MAX((職員マスタ!$A$6:$A$405=$B391)*(((職員マスタ!$G$6:$G$405="")+(職員マスタ!$G$6:$G$405&lt;=EOMONTH($AQ391,0)))&gt;0)*(((職員マスタ!$H$6:$H$405="")+(職員マスタ!$H$6:$H$405&gt;=$AQ391))&gt;0)*(ROW(職員マスタ!$A$6:$A$405)-5)))&gt;0,SUMPRODUCT(MAX((職員マスタ!$A$6:$A$405=$B391)*(((職員マスタ!$G$6:$G$405="")+(職員マスタ!$G$6:$G$405&lt;=EOMONTH($AQ391,0)))&gt;0)*(((職員マスタ!$H$6:$H$405="")+(職員マスタ!$H$6:$H$405&gt;=$AQ391))&gt;0)*(ROW(職員マスタ!$A$6:$A$405)-5))),IFERROR(MATCH($B391,職員マスタ!$A$6:$A$405,0),"")))</f>
        <v/>
      </c>
      <c r="AQ391" s="16">
        <f>IF(OR($B391="",$C391="",$D391=""),"",DATE($C391+2018,$D391,1))</f>
        <v/>
      </c>
    </row>
    <row r="392">
      <c r="A392" s="11" t="n"/>
      <c r="B392" s="12" t="n">
        <v>6802334</v>
      </c>
      <c r="C392" s="12" t="n">
        <v>7</v>
      </c>
      <c r="D392" s="12" t="n">
        <v>7</v>
      </c>
      <c r="E392" s="13" t="n">
        <v>204906</v>
      </c>
      <c r="F392" s="12" t="n"/>
      <c r="G392" s="13" t="n"/>
      <c r="H392" s="12" t="n"/>
      <c r="I392" s="12" t="n"/>
      <c r="J392" s="12" t="n"/>
      <c r="K392" s="12" t="n"/>
      <c r="L392" s="11" t="n"/>
      <c r="M392" s="11" t="n"/>
      <c r="N392" s="11" t="n"/>
      <c r="O392" s="11" t="n"/>
      <c r="P392" s="12" t="n"/>
      <c r="Q392" s="11" t="n"/>
      <c r="R392" s="12" t="n"/>
      <c r="S392" s="11" t="n"/>
      <c r="T392" s="12" t="n"/>
      <c r="U392" s="12" t="n"/>
      <c r="V392" s="12" t="n"/>
      <c r="W392" s="13" t="n"/>
      <c r="X392" s="14">
        <f>IF($AP392="",IF($B392="","",$H392),IF(INDEX(職員マスタ!$B$6:$B$405,$AP392)="",$H392,INDEX(職員マスタ!$B$6:$B$405,$AP392)))</f>
        <v/>
      </c>
      <c r="Y392" s="14">
        <f>IF($AP392="",IF($B392="","",$R392),IF(INDEX(職員マスタ!$C$6:$C$405,$AP392)="",$R392,INDEX(職員マスタ!$C$6:$C$405,$AP392)))</f>
        <v/>
      </c>
      <c r="Z392" s="14">
        <f>IF($AQ392="","","R"&amp;$C392&amp;"."&amp;$D392)</f>
        <v/>
      </c>
      <c r="AA392" s="15">
        <f>IF(IF($AP392="",FALSE,INDEX(職員マスタ!$K$6:$K$405,$AP392)&lt;&gt;""),INDEX(職員マスタ!$K$6:$K$405,$AP392),IF(N($W392)&gt;0,$W392,""))</f>
        <v/>
      </c>
      <c r="AB392" s="14">
        <f>IF(OR($E392="",$AA392=""),"",IF($E392&gt;=$AA392,"×",IF($E392&gt;=$AA392*設定!$C$5,"△","○")))</f>
        <v/>
      </c>
      <c r="AC392" s="15">
        <f>IF($AB392="","",IF($AB392="×",0,IF($AB392="○",ROUNDDOWN($E392*設定!$C$4,0),ROUNDDOWN($E392*ROUND((9*$AA392-9*$E392)/(10*$E392),4),0))))</f>
        <v/>
      </c>
      <c r="AD392" s="13" t="n"/>
      <c r="AE392" s="15">
        <f>IF($B392="","",IF($AD392&lt;&gt;"",$AD392,IF($AC392="","",IF($AC392&lt;=設定!$C$3,0,$AC392))))</f>
        <v/>
      </c>
      <c r="AF392" s="14">
        <f>IF($B392="","",IF(AND($AG392&lt;&gt;"",$AI392="",$AL392=""),"保留中",IF($AL392&lt;&gt;"",IF(N($AE392)&gt;0,"支給済","不支給"),IF($AE392="","要確認",IF($AE392=0,"不支給","未処理")))))</f>
        <v/>
      </c>
      <c r="AG392" s="12" t="n"/>
      <c r="AH392" s="11" t="n"/>
      <c r="AI392" s="11" t="n"/>
      <c r="AJ392" s="11" t="n"/>
      <c r="AK392" s="14">
        <f>IF(AND($AF392="保留中",$AH392&lt;&gt;""),TODAY()-$AH392,"")</f>
        <v/>
      </c>
      <c r="AL392" s="12" t="inlineStr">
        <is>
          <t>R7.9</t>
        </is>
      </c>
      <c r="AM392" s="14">
        <f>IF($B392="","",IF($AQ392="","対象年月が未入力／","")&amp;IF($B392="","",IF($AP392="","職員マスタに未登録の職員番号／",IF($AA392="","標準報酬月額が未登録／","")&amp;IF(AND($AQ392&lt;&gt;"",OR(AND(INDEX(職員マスタ!$G$6:$G$405,$AP392)&lt;&gt;"",INDEX(職員マスタ!$G$6:$G$405,$AP392)&gt;EOMONTH($AQ392,0)),AND(INDEX(職員マスタ!$H$6:$H$405,$AP392)&lt;&gt;"",INDEX(職員マスタ!$H$6:$H$405,$AP392)&lt;$AQ392))),"対象月が時短期間外／","")&amp;IF(AND(INDEX(職員マスタ!$K$6:$K$405,$AP392)&lt;&gt;"",N($W392)&gt;0,INDEX(職員マスタ!$K$6:$K$405,$AP392)&lt;&gt;$W392),"標準報酬月額が申請書と相違（台帳"&amp;TEXT(INDEX(職員マスタ!$K$6:$K$405,$AP392),"#,##0")&amp;"円／申請書"&amp;TEXT($W392,"#,##0")&amp;"円）／","")&amp;IF(AND(INDEX(職員マスタ!$F$6:$F$405,$AP392)&lt;&gt;"",$AQ392&lt;&gt;"",INDEX(職員マスタ!$F$6:$F$405,$AP392)&lt;$AQ392),"対象月に子が2歳到達済／","")&amp;IF(AND($H392&lt;&gt;"",INDEX(職員マスタ!$B$6:$B$405,$AP392)&lt;&gt;"",SUBSTITUTE(SUBSTITUTE($H392," ","")," ","")&lt;&gt;SUBSTITUTE(SUBSTITUTE(INDEX(職員マスタ!$B$6:$B$405,$AP392)," ","")," ","")),"氏名がマスタと相違／","")&amp;IF(AND($Q392&lt;&gt;"",INDEX(職員マスタ!$E$6:$E$405,$AP392)&lt;&gt;"",$Q392&lt;&gt;INDEX(職員マスタ!$E$6:$E$405,$AP392)),"子の生年月日がマスタと相違／","")&amp;IF(AND($L392&lt;&gt;"",INDEX(職員マスタ!$G$6:$G$405,$AP392)&lt;&gt;"",$L392&lt;&gt;INDEX(職員マスタ!$G$6:$G$405,$AP392)),"時短開始日がマスタと相違／","")&amp;IF(AND($M392&lt;&gt;"",INDEX(職員マスタ!$H$6:$H$405,$AP392)&lt;&gt;"",$M392&lt;&gt;INDEX(職員マスタ!$H$6:$H$405,$AP392)),"時短終了日がマスタと相違／","")))&amp;IF(AND($B392&lt;&gt;"",$E392=""),"報酬額が未入力／","")&amp;IF(N($U392)&gt;0,"申請書に入力エラーが残っています／","")&amp;IF(AND($B392&lt;&gt;"",$AQ392&lt;&gt;""),IF(COUNTIFS($B$6:$B$3005,$B392,$C$6:$C$3005,$C392,$D$6:$D$3005,$D392)&gt;1,"同じ月の請求が重複しています／",""),"")&amp;IF(AND(N($E392)&gt;0,$AB392&lt;&gt;"",$AB392&lt;&gt;"×",$AE392=0,$AD392=""),"計算額が下限以下のため不支給／",""))</f>
        <v/>
      </c>
      <c r="AN392" s="12" t="n"/>
      <c r="AO392" s="14">
        <f>IF($AF392="保留中",COUNTIF($AF$6:$AF392,"保留中"),"")</f>
        <v/>
      </c>
      <c r="AP392" s="14">
        <f>IF($AQ392="","",IF(SUMPRODUCT(MAX((職員マスタ!$A$6:$A$405=$B392)*(((職員マスタ!$G$6:$G$405="")+(職員マスタ!$G$6:$G$405&lt;=EOMONTH($AQ392,0)))&gt;0)*(((職員マスタ!$H$6:$H$405="")+(職員マスタ!$H$6:$H$405&gt;=$AQ392))&gt;0)*(ROW(職員マスタ!$A$6:$A$405)-5)))&gt;0,SUMPRODUCT(MAX((職員マスタ!$A$6:$A$405=$B392)*(((職員マスタ!$G$6:$G$405="")+(職員マスタ!$G$6:$G$405&lt;=EOMONTH($AQ392,0)))&gt;0)*(((職員マスタ!$H$6:$H$405="")+(職員マスタ!$H$6:$H$405&gt;=$AQ392))&gt;0)*(ROW(職員マスタ!$A$6:$A$405)-5))),IFERROR(MATCH($B392,職員マスタ!$A$6:$A$405,0),"")))</f>
        <v/>
      </c>
      <c r="AQ392" s="16">
        <f>IF(OR($B392="",$C392="",$D392=""),"",DATE($C392+2018,$D392,1))</f>
        <v/>
      </c>
    </row>
    <row r="393">
      <c r="A393" s="11" t="n"/>
      <c r="B393" s="12" t="n">
        <v>6802334</v>
      </c>
      <c r="C393" s="12" t="n">
        <v>7</v>
      </c>
      <c r="D393" s="12" t="n">
        <v>8</v>
      </c>
      <c r="E393" s="13" t="n">
        <v>209652</v>
      </c>
      <c r="F393" s="12" t="n"/>
      <c r="G393" s="13" t="n"/>
      <c r="H393" s="12" t="n"/>
      <c r="I393" s="12" t="n"/>
      <c r="J393" s="12" t="n"/>
      <c r="K393" s="12" t="n"/>
      <c r="L393" s="11" t="n"/>
      <c r="M393" s="11" t="n"/>
      <c r="N393" s="11" t="n"/>
      <c r="O393" s="11" t="n"/>
      <c r="P393" s="12" t="n"/>
      <c r="Q393" s="11" t="n"/>
      <c r="R393" s="12" t="n"/>
      <c r="S393" s="11" t="n"/>
      <c r="T393" s="12" t="n"/>
      <c r="U393" s="12" t="n"/>
      <c r="V393" s="12" t="n"/>
      <c r="W393" s="13" t="n"/>
      <c r="X393" s="14">
        <f>IF($AP393="",IF($B393="","",$H393),IF(INDEX(職員マスタ!$B$6:$B$405,$AP393)="",$H393,INDEX(職員マスタ!$B$6:$B$405,$AP393)))</f>
        <v/>
      </c>
      <c r="Y393" s="14">
        <f>IF($AP393="",IF($B393="","",$R393),IF(INDEX(職員マスタ!$C$6:$C$405,$AP393)="",$R393,INDEX(職員マスタ!$C$6:$C$405,$AP393)))</f>
        <v/>
      </c>
      <c r="Z393" s="14">
        <f>IF($AQ393="","","R"&amp;$C393&amp;"."&amp;$D393)</f>
        <v/>
      </c>
      <c r="AA393" s="15">
        <f>IF(IF($AP393="",FALSE,INDEX(職員マスタ!$K$6:$K$405,$AP393)&lt;&gt;""),INDEX(職員マスタ!$K$6:$K$405,$AP393),IF(N($W393)&gt;0,$W393,""))</f>
        <v/>
      </c>
      <c r="AB393" s="14">
        <f>IF(OR($E393="",$AA393=""),"",IF($E393&gt;=$AA393,"×",IF($E393&gt;=$AA393*設定!$C$5,"△","○")))</f>
        <v/>
      </c>
      <c r="AC393" s="15">
        <f>IF($AB393="","",IF($AB393="×",0,IF($AB393="○",ROUNDDOWN($E393*設定!$C$4,0),ROUNDDOWN($E393*ROUND((9*$AA393-9*$E393)/(10*$E393),4),0))))</f>
        <v/>
      </c>
      <c r="AD393" s="13" t="n"/>
      <c r="AE393" s="15">
        <f>IF($B393="","",IF($AD393&lt;&gt;"",$AD393,IF($AC393="","",IF($AC393&lt;=設定!$C$3,0,$AC393))))</f>
        <v/>
      </c>
      <c r="AF393" s="14">
        <f>IF($B393="","",IF(AND($AG393&lt;&gt;"",$AI393="",$AL393=""),"保留中",IF($AL393&lt;&gt;"",IF(N($AE393)&gt;0,"支給済","不支給"),IF($AE393="","要確認",IF($AE393=0,"不支給","未処理")))))</f>
        <v/>
      </c>
      <c r="AG393" s="12" t="n"/>
      <c r="AH393" s="11" t="n"/>
      <c r="AI393" s="11" t="n"/>
      <c r="AJ393" s="11" t="n"/>
      <c r="AK393" s="14">
        <f>IF(AND($AF393="保留中",$AH393&lt;&gt;""),TODAY()-$AH393,"")</f>
        <v/>
      </c>
      <c r="AL393" s="12" t="inlineStr">
        <is>
          <t>R7.10</t>
        </is>
      </c>
      <c r="AM393" s="14">
        <f>IF($B393="","",IF($AQ393="","対象年月が未入力／","")&amp;IF($B393="","",IF($AP393="","職員マスタに未登録の職員番号／",IF($AA393="","標準報酬月額が未登録／","")&amp;IF(AND($AQ393&lt;&gt;"",OR(AND(INDEX(職員マスタ!$G$6:$G$405,$AP393)&lt;&gt;"",INDEX(職員マスタ!$G$6:$G$405,$AP393)&gt;EOMONTH($AQ393,0)),AND(INDEX(職員マスタ!$H$6:$H$405,$AP393)&lt;&gt;"",INDEX(職員マスタ!$H$6:$H$405,$AP393)&lt;$AQ393))),"対象月が時短期間外／","")&amp;IF(AND(INDEX(職員マスタ!$K$6:$K$405,$AP393)&lt;&gt;"",N($W393)&gt;0,INDEX(職員マスタ!$K$6:$K$405,$AP393)&lt;&gt;$W393),"標準報酬月額が申請書と相違（台帳"&amp;TEXT(INDEX(職員マスタ!$K$6:$K$405,$AP393),"#,##0")&amp;"円／申請書"&amp;TEXT($W393,"#,##0")&amp;"円）／","")&amp;IF(AND(INDEX(職員マスタ!$F$6:$F$405,$AP393)&lt;&gt;"",$AQ393&lt;&gt;"",INDEX(職員マスタ!$F$6:$F$405,$AP393)&lt;$AQ393),"対象月に子が2歳到達済／","")&amp;IF(AND($H393&lt;&gt;"",INDEX(職員マスタ!$B$6:$B$405,$AP393)&lt;&gt;"",SUBSTITUTE(SUBSTITUTE($H393," ","")," ","")&lt;&gt;SUBSTITUTE(SUBSTITUTE(INDEX(職員マスタ!$B$6:$B$405,$AP393)," ","")," ","")),"氏名がマスタと相違／","")&amp;IF(AND($Q393&lt;&gt;"",INDEX(職員マスタ!$E$6:$E$405,$AP393)&lt;&gt;"",$Q393&lt;&gt;INDEX(職員マスタ!$E$6:$E$405,$AP393)),"子の生年月日がマスタと相違／","")&amp;IF(AND($L393&lt;&gt;"",INDEX(職員マスタ!$G$6:$G$405,$AP393)&lt;&gt;"",$L393&lt;&gt;INDEX(職員マスタ!$G$6:$G$405,$AP393)),"時短開始日がマスタと相違／","")&amp;IF(AND($M393&lt;&gt;"",INDEX(職員マスタ!$H$6:$H$405,$AP393)&lt;&gt;"",$M393&lt;&gt;INDEX(職員マスタ!$H$6:$H$405,$AP393)),"時短終了日がマスタと相違／","")))&amp;IF(AND($B393&lt;&gt;"",$E393=""),"報酬額が未入力／","")&amp;IF(N($U393)&gt;0,"申請書に入力エラーが残っています／","")&amp;IF(AND($B393&lt;&gt;"",$AQ393&lt;&gt;""),IF(COUNTIFS($B$6:$B$3005,$B393,$C$6:$C$3005,$C393,$D$6:$D$3005,$D393)&gt;1,"同じ月の請求が重複しています／",""),"")&amp;IF(AND(N($E393)&gt;0,$AB393&lt;&gt;"",$AB393&lt;&gt;"×",$AE393=0,$AD393=""),"計算額が下限以下のため不支給／",""))</f>
        <v/>
      </c>
      <c r="AN393" s="12" t="n"/>
      <c r="AO393" s="14">
        <f>IF($AF393="保留中",COUNTIF($AF$6:$AF393,"保留中"),"")</f>
        <v/>
      </c>
      <c r="AP393" s="14">
        <f>IF($AQ393="","",IF(SUMPRODUCT(MAX((職員マスタ!$A$6:$A$405=$B393)*(((職員マスタ!$G$6:$G$405="")+(職員マスタ!$G$6:$G$405&lt;=EOMONTH($AQ393,0)))&gt;0)*(((職員マスタ!$H$6:$H$405="")+(職員マスタ!$H$6:$H$405&gt;=$AQ393))&gt;0)*(ROW(職員マスタ!$A$6:$A$405)-5)))&gt;0,SUMPRODUCT(MAX((職員マスタ!$A$6:$A$405=$B393)*(((職員マスタ!$G$6:$G$405="")+(職員マスタ!$G$6:$G$405&lt;=EOMONTH($AQ393,0)))&gt;0)*(((職員マスタ!$H$6:$H$405="")+(職員マスタ!$H$6:$H$405&gt;=$AQ393))&gt;0)*(ROW(職員マスタ!$A$6:$A$405)-5))),IFERROR(MATCH($B393,職員マスタ!$A$6:$A$405,0),"")))</f>
        <v/>
      </c>
      <c r="AQ393" s="16">
        <f>IF(OR($B393="",$C393="",$D393=""),"",DATE($C393+2018,$D393,1))</f>
        <v/>
      </c>
    </row>
    <row r="394">
      <c r="A394" s="11" t="n"/>
      <c r="B394" s="12" t="n">
        <v>6802334</v>
      </c>
      <c r="C394" s="12" t="n">
        <v>7</v>
      </c>
      <c r="D394" s="12" t="n">
        <v>9</v>
      </c>
      <c r="E394" s="13" t="n">
        <v>204906</v>
      </c>
      <c r="F394" s="12" t="n"/>
      <c r="G394" s="13" t="n"/>
      <c r="H394" s="12" t="n"/>
      <c r="I394" s="12" t="n"/>
      <c r="J394" s="12" t="n"/>
      <c r="K394" s="12" t="n"/>
      <c r="L394" s="11" t="n"/>
      <c r="M394" s="11" t="n"/>
      <c r="N394" s="11" t="n"/>
      <c r="O394" s="11" t="n"/>
      <c r="P394" s="12" t="n"/>
      <c r="Q394" s="11" t="n"/>
      <c r="R394" s="12" t="n"/>
      <c r="S394" s="11" t="n"/>
      <c r="T394" s="12" t="n"/>
      <c r="U394" s="12" t="n"/>
      <c r="V394" s="12" t="n"/>
      <c r="W394" s="13" t="n"/>
      <c r="X394" s="14">
        <f>IF($AP394="",IF($B394="","",$H394),IF(INDEX(職員マスタ!$B$6:$B$405,$AP394)="",$H394,INDEX(職員マスタ!$B$6:$B$405,$AP394)))</f>
        <v/>
      </c>
      <c r="Y394" s="14">
        <f>IF($AP394="",IF($B394="","",$R394),IF(INDEX(職員マスタ!$C$6:$C$405,$AP394)="",$R394,INDEX(職員マスタ!$C$6:$C$405,$AP394)))</f>
        <v/>
      </c>
      <c r="Z394" s="14">
        <f>IF($AQ394="","","R"&amp;$C394&amp;"."&amp;$D394)</f>
        <v/>
      </c>
      <c r="AA394" s="15">
        <f>IF(IF($AP394="",FALSE,INDEX(職員マスタ!$K$6:$K$405,$AP394)&lt;&gt;""),INDEX(職員マスタ!$K$6:$K$405,$AP394),IF(N($W394)&gt;0,$W394,""))</f>
        <v/>
      </c>
      <c r="AB394" s="14">
        <f>IF(OR($E394="",$AA394=""),"",IF($E394&gt;=$AA394,"×",IF($E394&gt;=$AA394*設定!$C$5,"△","○")))</f>
        <v/>
      </c>
      <c r="AC394" s="15">
        <f>IF($AB394="","",IF($AB394="×",0,IF($AB394="○",ROUNDDOWN($E394*設定!$C$4,0),ROUNDDOWN($E394*ROUND((9*$AA394-9*$E394)/(10*$E394),4),0))))</f>
        <v/>
      </c>
      <c r="AD394" s="13" t="n"/>
      <c r="AE394" s="15">
        <f>IF($B394="","",IF($AD394&lt;&gt;"",$AD394,IF($AC394="","",IF($AC394&lt;=設定!$C$3,0,$AC394))))</f>
        <v/>
      </c>
      <c r="AF394" s="14">
        <f>IF($B394="","",IF(AND($AG394&lt;&gt;"",$AI394="",$AL394=""),"保留中",IF($AL394&lt;&gt;"",IF(N($AE394)&gt;0,"支給済","不支給"),IF($AE394="","要確認",IF($AE394=0,"不支給","未処理")))))</f>
        <v/>
      </c>
      <c r="AG394" s="12" t="n"/>
      <c r="AH394" s="11" t="n"/>
      <c r="AI394" s="11" t="n"/>
      <c r="AJ394" s="11" t="n"/>
      <c r="AK394" s="14">
        <f>IF(AND($AF394="保留中",$AH394&lt;&gt;""),TODAY()-$AH394,"")</f>
        <v/>
      </c>
      <c r="AL394" s="12" t="inlineStr">
        <is>
          <t>R7.12</t>
        </is>
      </c>
      <c r="AM394" s="14">
        <f>IF($B394="","",IF($AQ394="","対象年月が未入力／","")&amp;IF($B394="","",IF($AP394="","職員マスタに未登録の職員番号／",IF($AA394="","標準報酬月額が未登録／","")&amp;IF(AND($AQ394&lt;&gt;"",OR(AND(INDEX(職員マスタ!$G$6:$G$405,$AP394)&lt;&gt;"",INDEX(職員マスタ!$G$6:$G$405,$AP394)&gt;EOMONTH($AQ394,0)),AND(INDEX(職員マスタ!$H$6:$H$405,$AP394)&lt;&gt;"",INDEX(職員マスタ!$H$6:$H$405,$AP394)&lt;$AQ394))),"対象月が時短期間外／","")&amp;IF(AND(INDEX(職員マスタ!$K$6:$K$405,$AP394)&lt;&gt;"",N($W394)&gt;0,INDEX(職員マスタ!$K$6:$K$405,$AP394)&lt;&gt;$W394),"標準報酬月額が申請書と相違（台帳"&amp;TEXT(INDEX(職員マスタ!$K$6:$K$405,$AP394),"#,##0")&amp;"円／申請書"&amp;TEXT($W394,"#,##0")&amp;"円）／","")&amp;IF(AND(INDEX(職員マスタ!$F$6:$F$405,$AP394)&lt;&gt;"",$AQ394&lt;&gt;"",INDEX(職員マスタ!$F$6:$F$405,$AP394)&lt;$AQ394),"対象月に子が2歳到達済／","")&amp;IF(AND($H394&lt;&gt;"",INDEX(職員マスタ!$B$6:$B$405,$AP394)&lt;&gt;"",SUBSTITUTE(SUBSTITUTE($H394," ","")," ","")&lt;&gt;SUBSTITUTE(SUBSTITUTE(INDEX(職員マスタ!$B$6:$B$405,$AP394)," ","")," ","")),"氏名がマスタと相違／","")&amp;IF(AND($Q394&lt;&gt;"",INDEX(職員マスタ!$E$6:$E$405,$AP394)&lt;&gt;"",$Q394&lt;&gt;INDEX(職員マスタ!$E$6:$E$405,$AP394)),"子の生年月日がマスタと相違／","")&amp;IF(AND($L394&lt;&gt;"",INDEX(職員マスタ!$G$6:$G$405,$AP394)&lt;&gt;"",$L394&lt;&gt;INDEX(職員マスタ!$G$6:$G$405,$AP394)),"時短開始日がマスタと相違／","")&amp;IF(AND($M394&lt;&gt;"",INDEX(職員マスタ!$H$6:$H$405,$AP394)&lt;&gt;"",$M394&lt;&gt;INDEX(職員マスタ!$H$6:$H$405,$AP394)),"時短終了日がマスタと相違／","")))&amp;IF(AND($B394&lt;&gt;"",$E394=""),"報酬額が未入力／","")&amp;IF(N($U394)&gt;0,"申請書に入力エラーが残っています／","")&amp;IF(AND($B394&lt;&gt;"",$AQ394&lt;&gt;""),IF(COUNTIFS($B$6:$B$3005,$B394,$C$6:$C$3005,$C394,$D$6:$D$3005,$D394)&gt;1,"同じ月の請求が重複しています／",""),"")&amp;IF(AND(N($E394)&gt;0,$AB394&lt;&gt;"",$AB394&lt;&gt;"×",$AE394=0,$AD394=""),"計算額が下限以下のため不支給／",""))</f>
        <v/>
      </c>
      <c r="AN394" s="12" t="n"/>
      <c r="AO394" s="14">
        <f>IF($AF394="保留中",COUNTIF($AF$6:$AF394,"保留中"),"")</f>
        <v/>
      </c>
      <c r="AP394" s="14">
        <f>IF($AQ394="","",IF(SUMPRODUCT(MAX((職員マスタ!$A$6:$A$405=$B394)*(((職員マスタ!$G$6:$G$405="")+(職員マスタ!$G$6:$G$405&lt;=EOMONTH($AQ394,0)))&gt;0)*(((職員マスタ!$H$6:$H$405="")+(職員マスタ!$H$6:$H$405&gt;=$AQ394))&gt;0)*(ROW(職員マスタ!$A$6:$A$405)-5)))&gt;0,SUMPRODUCT(MAX((職員マスタ!$A$6:$A$405=$B394)*(((職員マスタ!$G$6:$G$405="")+(職員マスタ!$G$6:$G$405&lt;=EOMONTH($AQ394,0)))&gt;0)*(((職員マスタ!$H$6:$H$405="")+(職員マスタ!$H$6:$H$405&gt;=$AQ394))&gt;0)*(ROW(職員マスタ!$A$6:$A$405)-5))),IFERROR(MATCH($B394,職員マスタ!$A$6:$A$405,0),"")))</f>
        <v/>
      </c>
      <c r="AQ394" s="16">
        <f>IF(OR($B394="",$C394="",$D394=""),"",DATE($C394+2018,$D394,1))</f>
        <v/>
      </c>
    </row>
    <row r="395">
      <c r="A395" s="11" t="n"/>
      <c r="B395" s="12" t="n">
        <v>6802334</v>
      </c>
      <c r="C395" s="12" t="n">
        <v>7</v>
      </c>
      <c r="D395" s="12" t="n">
        <v>10</v>
      </c>
      <c r="E395" s="13" t="n">
        <v>211207</v>
      </c>
      <c r="F395" s="12" t="n"/>
      <c r="G395" s="13" t="n"/>
      <c r="H395" s="12" t="n"/>
      <c r="I395" s="12" t="n"/>
      <c r="J395" s="12" t="n"/>
      <c r="K395" s="12" t="n"/>
      <c r="L395" s="11" t="n"/>
      <c r="M395" s="11" t="n"/>
      <c r="N395" s="11" t="n"/>
      <c r="O395" s="11" t="n"/>
      <c r="P395" s="12" t="n"/>
      <c r="Q395" s="11" t="n"/>
      <c r="R395" s="12" t="n"/>
      <c r="S395" s="11" t="n"/>
      <c r="T395" s="12" t="n"/>
      <c r="U395" s="12" t="n"/>
      <c r="V395" s="12" t="n"/>
      <c r="W395" s="13" t="n"/>
      <c r="X395" s="14">
        <f>IF($AP395="",IF($B395="","",$H395),IF(INDEX(職員マスタ!$B$6:$B$405,$AP395)="",$H395,INDEX(職員マスタ!$B$6:$B$405,$AP395)))</f>
        <v/>
      </c>
      <c r="Y395" s="14">
        <f>IF($AP395="",IF($B395="","",$R395),IF(INDEX(職員マスタ!$C$6:$C$405,$AP395)="",$R395,INDEX(職員マスタ!$C$6:$C$405,$AP395)))</f>
        <v/>
      </c>
      <c r="Z395" s="14">
        <f>IF($AQ395="","","R"&amp;$C395&amp;"."&amp;$D395)</f>
        <v/>
      </c>
      <c r="AA395" s="15">
        <f>IF(IF($AP395="",FALSE,INDEX(職員マスタ!$K$6:$K$405,$AP395)&lt;&gt;""),INDEX(職員マスタ!$K$6:$K$405,$AP395),IF(N($W395)&gt;0,$W395,""))</f>
        <v/>
      </c>
      <c r="AB395" s="14">
        <f>IF(OR($E395="",$AA395=""),"",IF($E395&gt;=$AA395,"×",IF($E395&gt;=$AA395*設定!$C$5,"△","○")))</f>
        <v/>
      </c>
      <c r="AC395" s="15">
        <f>IF($AB395="","",IF($AB395="×",0,IF($AB395="○",ROUNDDOWN($E395*設定!$C$4,0),ROUNDDOWN($E395*ROUND((9*$AA395-9*$E395)/(10*$E395),4),0))))</f>
        <v/>
      </c>
      <c r="AD395" s="13" t="n"/>
      <c r="AE395" s="15">
        <f>IF($B395="","",IF($AD395&lt;&gt;"",$AD395,IF($AC395="","",IF($AC395&lt;=設定!$C$3,0,$AC395))))</f>
        <v/>
      </c>
      <c r="AF395" s="14">
        <f>IF($B395="","",IF(AND($AG395&lt;&gt;"",$AI395="",$AL395=""),"保留中",IF($AL395&lt;&gt;"",IF(N($AE395)&gt;0,"支給済","不支給"),IF($AE395="","要確認",IF($AE395=0,"不支給","未処理")))))</f>
        <v/>
      </c>
      <c r="AG395" s="12" t="n"/>
      <c r="AH395" s="11" t="n"/>
      <c r="AI395" s="11" t="n"/>
      <c r="AJ395" s="11" t="n"/>
      <c r="AK395" s="14">
        <f>IF(AND($AF395="保留中",$AH395&lt;&gt;""),TODAY()-$AH395,"")</f>
        <v/>
      </c>
      <c r="AL395" s="12" t="inlineStr">
        <is>
          <t>R8.1</t>
        </is>
      </c>
      <c r="AM395" s="14">
        <f>IF($B395="","",IF($AQ395="","対象年月が未入力／","")&amp;IF($B395="","",IF($AP395="","職員マスタに未登録の職員番号／",IF($AA395="","標準報酬月額が未登録／","")&amp;IF(AND($AQ395&lt;&gt;"",OR(AND(INDEX(職員マスタ!$G$6:$G$405,$AP395)&lt;&gt;"",INDEX(職員マスタ!$G$6:$G$405,$AP395)&gt;EOMONTH($AQ395,0)),AND(INDEX(職員マスタ!$H$6:$H$405,$AP395)&lt;&gt;"",INDEX(職員マスタ!$H$6:$H$405,$AP395)&lt;$AQ395))),"対象月が時短期間外／","")&amp;IF(AND(INDEX(職員マスタ!$K$6:$K$405,$AP395)&lt;&gt;"",N($W395)&gt;0,INDEX(職員マスタ!$K$6:$K$405,$AP395)&lt;&gt;$W395),"標準報酬月額が申請書と相違（台帳"&amp;TEXT(INDEX(職員マスタ!$K$6:$K$405,$AP395),"#,##0")&amp;"円／申請書"&amp;TEXT($W395,"#,##0")&amp;"円）／","")&amp;IF(AND(INDEX(職員マスタ!$F$6:$F$405,$AP395)&lt;&gt;"",$AQ395&lt;&gt;"",INDEX(職員マスタ!$F$6:$F$405,$AP395)&lt;$AQ395),"対象月に子が2歳到達済／","")&amp;IF(AND($H395&lt;&gt;"",INDEX(職員マスタ!$B$6:$B$405,$AP395)&lt;&gt;"",SUBSTITUTE(SUBSTITUTE($H395," ","")," ","")&lt;&gt;SUBSTITUTE(SUBSTITUTE(INDEX(職員マスタ!$B$6:$B$405,$AP395)," ","")," ","")),"氏名がマスタと相違／","")&amp;IF(AND($Q395&lt;&gt;"",INDEX(職員マスタ!$E$6:$E$405,$AP395)&lt;&gt;"",$Q395&lt;&gt;INDEX(職員マスタ!$E$6:$E$405,$AP395)),"子の生年月日がマスタと相違／","")&amp;IF(AND($L395&lt;&gt;"",INDEX(職員マスタ!$G$6:$G$405,$AP395)&lt;&gt;"",$L395&lt;&gt;INDEX(職員マスタ!$G$6:$G$405,$AP395)),"時短開始日がマスタと相違／","")&amp;IF(AND($M395&lt;&gt;"",INDEX(職員マスタ!$H$6:$H$405,$AP395)&lt;&gt;"",$M395&lt;&gt;INDEX(職員マスタ!$H$6:$H$405,$AP395)),"時短終了日がマスタと相違／","")))&amp;IF(AND($B395&lt;&gt;"",$E395=""),"報酬額が未入力／","")&amp;IF(N($U395)&gt;0,"申請書に入力エラーが残っています／","")&amp;IF(AND($B395&lt;&gt;"",$AQ395&lt;&gt;""),IF(COUNTIFS($B$6:$B$3005,$B395,$C$6:$C$3005,$C395,$D$6:$D$3005,$D395)&gt;1,"同じ月の請求が重複しています／",""),"")&amp;IF(AND(N($E395)&gt;0,$AB395&lt;&gt;"",$AB395&lt;&gt;"×",$AE395=0,$AD395=""),"計算額が下限以下のため不支給／",""))</f>
        <v/>
      </c>
      <c r="AN395" s="12" t="n"/>
      <c r="AO395" s="14">
        <f>IF($AF395="保留中",COUNTIF($AF$6:$AF395,"保留中"),"")</f>
        <v/>
      </c>
      <c r="AP395" s="14">
        <f>IF($AQ395="","",IF(SUMPRODUCT(MAX((職員マスタ!$A$6:$A$405=$B395)*(((職員マスタ!$G$6:$G$405="")+(職員マスタ!$G$6:$G$405&lt;=EOMONTH($AQ395,0)))&gt;0)*(((職員マスタ!$H$6:$H$405="")+(職員マスタ!$H$6:$H$405&gt;=$AQ395))&gt;0)*(ROW(職員マスタ!$A$6:$A$405)-5)))&gt;0,SUMPRODUCT(MAX((職員マスタ!$A$6:$A$405=$B395)*(((職員マスタ!$G$6:$G$405="")+(職員マスタ!$G$6:$G$405&lt;=EOMONTH($AQ395,0)))&gt;0)*(((職員マスタ!$H$6:$H$405="")+(職員マスタ!$H$6:$H$405&gt;=$AQ395))&gt;0)*(ROW(職員マスタ!$A$6:$A$405)-5))),IFERROR(MATCH($B395,職員マスタ!$A$6:$A$405,0),"")))</f>
        <v/>
      </c>
      <c r="AQ395" s="16">
        <f>IF(OR($B395="",$C395="",$D395=""),"",DATE($C395+2018,$D395,1))</f>
        <v/>
      </c>
    </row>
    <row r="396">
      <c r="A396" s="11" t="n"/>
      <c r="B396" s="12" t="n">
        <v>6802334</v>
      </c>
      <c r="C396" s="12" t="n">
        <v>7</v>
      </c>
      <c r="D396" s="12" t="n">
        <v>11</v>
      </c>
      <c r="E396" s="13" t="n">
        <v>209449</v>
      </c>
      <c r="F396" s="12" t="n"/>
      <c r="G396" s="13" t="n"/>
      <c r="H396" s="12" t="n"/>
      <c r="I396" s="12" t="n"/>
      <c r="J396" s="12" t="n"/>
      <c r="K396" s="12" t="n"/>
      <c r="L396" s="11" t="n"/>
      <c r="M396" s="11" t="n"/>
      <c r="N396" s="11" t="n"/>
      <c r="O396" s="11" t="n"/>
      <c r="P396" s="12" t="n"/>
      <c r="Q396" s="11" t="n"/>
      <c r="R396" s="12" t="n"/>
      <c r="S396" s="11" t="n"/>
      <c r="T396" s="12" t="n"/>
      <c r="U396" s="12" t="n"/>
      <c r="V396" s="12" t="n"/>
      <c r="W396" s="13" t="n"/>
      <c r="X396" s="14">
        <f>IF($AP396="",IF($B396="","",$H396),IF(INDEX(職員マスタ!$B$6:$B$405,$AP396)="",$H396,INDEX(職員マスタ!$B$6:$B$405,$AP396)))</f>
        <v/>
      </c>
      <c r="Y396" s="14">
        <f>IF($AP396="",IF($B396="","",$R396),IF(INDEX(職員マスタ!$C$6:$C$405,$AP396)="",$R396,INDEX(職員マスタ!$C$6:$C$405,$AP396)))</f>
        <v/>
      </c>
      <c r="Z396" s="14">
        <f>IF($AQ396="","","R"&amp;$C396&amp;"."&amp;$D396)</f>
        <v/>
      </c>
      <c r="AA396" s="15">
        <f>IF(IF($AP396="",FALSE,INDEX(職員マスタ!$K$6:$K$405,$AP396)&lt;&gt;""),INDEX(職員マスタ!$K$6:$K$405,$AP396),IF(N($W396)&gt;0,$W396,""))</f>
        <v/>
      </c>
      <c r="AB396" s="14">
        <f>IF(OR($E396="",$AA396=""),"",IF($E396&gt;=$AA396,"×",IF($E396&gt;=$AA396*設定!$C$5,"△","○")))</f>
        <v/>
      </c>
      <c r="AC396" s="15">
        <f>IF($AB396="","",IF($AB396="×",0,IF($AB396="○",ROUNDDOWN($E396*設定!$C$4,0),ROUNDDOWN($E396*ROUND((9*$AA396-9*$E396)/(10*$E396),4),0))))</f>
        <v/>
      </c>
      <c r="AD396" s="13" t="n"/>
      <c r="AE396" s="15">
        <f>IF($B396="","",IF($AD396&lt;&gt;"",$AD396,IF($AC396="","",IF($AC396&lt;=設定!$C$3,0,$AC396))))</f>
        <v/>
      </c>
      <c r="AF396" s="14">
        <f>IF($B396="","",IF(AND($AG396&lt;&gt;"",$AI396="",$AL396=""),"保留中",IF($AL396&lt;&gt;"",IF(N($AE396)&gt;0,"支給済","不支給"),IF($AE396="","要確認",IF($AE396=0,"不支給","未処理")))))</f>
        <v/>
      </c>
      <c r="AG396" s="12" t="n"/>
      <c r="AH396" s="11" t="n"/>
      <c r="AI396" s="11" t="n"/>
      <c r="AJ396" s="11" t="n"/>
      <c r="AK396" s="14">
        <f>IF(AND($AF396="保留中",$AH396&lt;&gt;""),TODAY()-$AH396,"")</f>
        <v/>
      </c>
      <c r="AL396" s="12" t="inlineStr">
        <is>
          <t>R8.1</t>
        </is>
      </c>
      <c r="AM396" s="14">
        <f>IF($B396="","",IF($AQ396="","対象年月が未入力／","")&amp;IF($B396="","",IF($AP396="","職員マスタに未登録の職員番号／",IF($AA396="","標準報酬月額が未登録／","")&amp;IF(AND($AQ396&lt;&gt;"",OR(AND(INDEX(職員マスタ!$G$6:$G$405,$AP396)&lt;&gt;"",INDEX(職員マスタ!$G$6:$G$405,$AP396)&gt;EOMONTH($AQ396,0)),AND(INDEX(職員マスタ!$H$6:$H$405,$AP396)&lt;&gt;"",INDEX(職員マスタ!$H$6:$H$405,$AP396)&lt;$AQ396))),"対象月が時短期間外／","")&amp;IF(AND(INDEX(職員マスタ!$K$6:$K$405,$AP396)&lt;&gt;"",N($W396)&gt;0,INDEX(職員マスタ!$K$6:$K$405,$AP396)&lt;&gt;$W396),"標準報酬月額が申請書と相違（台帳"&amp;TEXT(INDEX(職員マスタ!$K$6:$K$405,$AP396),"#,##0")&amp;"円／申請書"&amp;TEXT($W396,"#,##0")&amp;"円）／","")&amp;IF(AND(INDEX(職員マスタ!$F$6:$F$405,$AP396)&lt;&gt;"",$AQ396&lt;&gt;"",INDEX(職員マスタ!$F$6:$F$405,$AP396)&lt;$AQ396),"対象月に子が2歳到達済／","")&amp;IF(AND($H396&lt;&gt;"",INDEX(職員マスタ!$B$6:$B$405,$AP396)&lt;&gt;"",SUBSTITUTE(SUBSTITUTE($H396," ","")," ","")&lt;&gt;SUBSTITUTE(SUBSTITUTE(INDEX(職員マスタ!$B$6:$B$405,$AP396)," ","")," ","")),"氏名がマスタと相違／","")&amp;IF(AND($Q396&lt;&gt;"",INDEX(職員マスタ!$E$6:$E$405,$AP396)&lt;&gt;"",$Q396&lt;&gt;INDEX(職員マスタ!$E$6:$E$405,$AP396)),"子の生年月日がマスタと相違／","")&amp;IF(AND($L396&lt;&gt;"",INDEX(職員マスタ!$G$6:$G$405,$AP396)&lt;&gt;"",$L396&lt;&gt;INDEX(職員マスタ!$G$6:$G$405,$AP396)),"時短開始日がマスタと相違／","")&amp;IF(AND($M396&lt;&gt;"",INDEX(職員マスタ!$H$6:$H$405,$AP396)&lt;&gt;"",$M396&lt;&gt;INDEX(職員マスタ!$H$6:$H$405,$AP396)),"時短終了日がマスタと相違／","")))&amp;IF(AND($B396&lt;&gt;"",$E396=""),"報酬額が未入力／","")&amp;IF(N($U396)&gt;0,"申請書に入力エラーが残っています／","")&amp;IF(AND($B396&lt;&gt;"",$AQ396&lt;&gt;""),IF(COUNTIFS($B$6:$B$3005,$B396,$C$6:$C$3005,$C396,$D$6:$D$3005,$D396)&gt;1,"同じ月の請求が重複しています／",""),"")&amp;IF(AND(N($E396)&gt;0,$AB396&lt;&gt;"",$AB396&lt;&gt;"×",$AE396=0,$AD396=""),"計算額が下限以下のため不支給／",""))</f>
        <v/>
      </c>
      <c r="AN396" s="12" t="n"/>
      <c r="AO396" s="14">
        <f>IF($AF396="保留中",COUNTIF($AF$6:$AF396,"保留中"),"")</f>
        <v/>
      </c>
      <c r="AP396" s="14">
        <f>IF($AQ396="","",IF(SUMPRODUCT(MAX((職員マスタ!$A$6:$A$405=$B396)*(((職員マスタ!$G$6:$G$405="")+(職員マスタ!$G$6:$G$405&lt;=EOMONTH($AQ396,0)))&gt;0)*(((職員マスタ!$H$6:$H$405="")+(職員マスタ!$H$6:$H$405&gt;=$AQ396))&gt;0)*(ROW(職員マスタ!$A$6:$A$405)-5)))&gt;0,SUMPRODUCT(MAX((職員マスタ!$A$6:$A$405=$B396)*(((職員マスタ!$G$6:$G$405="")+(職員マスタ!$G$6:$G$405&lt;=EOMONTH($AQ396,0)))&gt;0)*(((職員マスタ!$H$6:$H$405="")+(職員マスタ!$H$6:$H$405&gt;=$AQ396))&gt;0)*(ROW(職員マスタ!$A$6:$A$405)-5))),IFERROR(MATCH($B396,職員マスタ!$A$6:$A$405,0),"")))</f>
        <v/>
      </c>
      <c r="AQ396" s="16">
        <f>IF(OR($B396="",$C396="",$D396=""),"",DATE($C396+2018,$D396,1))</f>
        <v/>
      </c>
    </row>
    <row r="397">
      <c r="A397" s="11" t="n"/>
      <c r="B397" s="12" t="n">
        <v>6802334</v>
      </c>
      <c r="C397" s="12" t="n">
        <v>7</v>
      </c>
      <c r="D397" s="12" t="n">
        <v>12</v>
      </c>
      <c r="E397" s="13" t="n">
        <v>216664</v>
      </c>
      <c r="F397" s="12" t="n"/>
      <c r="G397" s="13" t="n"/>
      <c r="H397" s="12" t="n"/>
      <c r="I397" s="12" t="n"/>
      <c r="J397" s="12" t="n"/>
      <c r="K397" s="12" t="n"/>
      <c r="L397" s="11" t="n"/>
      <c r="M397" s="11" t="n"/>
      <c r="N397" s="11" t="n"/>
      <c r="O397" s="11" t="n"/>
      <c r="P397" s="12" t="n"/>
      <c r="Q397" s="11" t="n"/>
      <c r="R397" s="12" t="n"/>
      <c r="S397" s="11" t="n"/>
      <c r="T397" s="12" t="n"/>
      <c r="U397" s="12" t="n"/>
      <c r="V397" s="12" t="n"/>
      <c r="W397" s="13" t="n"/>
      <c r="X397" s="14">
        <f>IF($AP397="",IF($B397="","",$H397),IF(INDEX(職員マスタ!$B$6:$B$405,$AP397)="",$H397,INDEX(職員マスタ!$B$6:$B$405,$AP397)))</f>
        <v/>
      </c>
      <c r="Y397" s="14">
        <f>IF($AP397="",IF($B397="","",$R397),IF(INDEX(職員マスタ!$C$6:$C$405,$AP397)="",$R397,INDEX(職員マスタ!$C$6:$C$405,$AP397)))</f>
        <v/>
      </c>
      <c r="Z397" s="14">
        <f>IF($AQ397="","","R"&amp;$C397&amp;"."&amp;$D397)</f>
        <v/>
      </c>
      <c r="AA397" s="15">
        <f>IF(IF($AP397="",FALSE,INDEX(職員マスタ!$K$6:$K$405,$AP397)&lt;&gt;""),INDEX(職員マスタ!$K$6:$K$405,$AP397),IF(N($W397)&gt;0,$W397,""))</f>
        <v/>
      </c>
      <c r="AB397" s="14">
        <f>IF(OR($E397="",$AA397=""),"",IF($E397&gt;=$AA397,"×",IF($E397&gt;=$AA397*設定!$C$5,"△","○")))</f>
        <v/>
      </c>
      <c r="AC397" s="15">
        <f>IF($AB397="","",IF($AB397="×",0,IF($AB397="○",ROUNDDOWN($E397*設定!$C$4,0),ROUNDDOWN($E397*ROUND((9*$AA397-9*$E397)/(10*$E397),4),0))))</f>
        <v/>
      </c>
      <c r="AD397" s="13" t="n"/>
      <c r="AE397" s="15">
        <f>IF($B397="","",IF($AD397&lt;&gt;"",$AD397,IF($AC397="","",IF($AC397&lt;=設定!$C$3,0,$AC397))))</f>
        <v/>
      </c>
      <c r="AF397" s="14">
        <f>IF($B397="","",IF(AND($AG397&lt;&gt;"",$AI397="",$AL397=""),"保留中",IF($AL397&lt;&gt;"",IF(N($AE397)&gt;0,"支給済","不支給"),IF($AE397="","要確認",IF($AE397=0,"不支給","未処理")))))</f>
        <v/>
      </c>
      <c r="AG397" s="12" t="n"/>
      <c r="AH397" s="11" t="n"/>
      <c r="AI397" s="11" t="n"/>
      <c r="AJ397" s="11" t="n"/>
      <c r="AK397" s="14">
        <f>IF(AND($AF397="保留中",$AH397&lt;&gt;""),TODAY()-$AH397,"")</f>
        <v/>
      </c>
      <c r="AL397" s="12" t="inlineStr">
        <is>
          <t>R8.2</t>
        </is>
      </c>
      <c r="AM397" s="14">
        <f>IF($B397="","",IF($AQ397="","対象年月が未入力／","")&amp;IF($B397="","",IF($AP397="","職員マスタに未登録の職員番号／",IF($AA397="","標準報酬月額が未登録／","")&amp;IF(AND($AQ397&lt;&gt;"",OR(AND(INDEX(職員マスタ!$G$6:$G$405,$AP397)&lt;&gt;"",INDEX(職員マスタ!$G$6:$G$405,$AP397)&gt;EOMONTH($AQ397,0)),AND(INDEX(職員マスタ!$H$6:$H$405,$AP397)&lt;&gt;"",INDEX(職員マスタ!$H$6:$H$405,$AP397)&lt;$AQ397))),"対象月が時短期間外／","")&amp;IF(AND(INDEX(職員マスタ!$K$6:$K$405,$AP397)&lt;&gt;"",N($W397)&gt;0,INDEX(職員マスタ!$K$6:$K$405,$AP397)&lt;&gt;$W397),"標準報酬月額が申請書と相違（台帳"&amp;TEXT(INDEX(職員マスタ!$K$6:$K$405,$AP397),"#,##0")&amp;"円／申請書"&amp;TEXT($W397,"#,##0")&amp;"円）／","")&amp;IF(AND(INDEX(職員マスタ!$F$6:$F$405,$AP397)&lt;&gt;"",$AQ397&lt;&gt;"",INDEX(職員マスタ!$F$6:$F$405,$AP397)&lt;$AQ397),"対象月に子が2歳到達済／","")&amp;IF(AND($H397&lt;&gt;"",INDEX(職員マスタ!$B$6:$B$405,$AP397)&lt;&gt;"",SUBSTITUTE(SUBSTITUTE($H397," ","")," ","")&lt;&gt;SUBSTITUTE(SUBSTITUTE(INDEX(職員マスタ!$B$6:$B$405,$AP397)," ","")," ","")),"氏名がマスタと相違／","")&amp;IF(AND($Q397&lt;&gt;"",INDEX(職員マスタ!$E$6:$E$405,$AP397)&lt;&gt;"",$Q397&lt;&gt;INDEX(職員マスタ!$E$6:$E$405,$AP397)),"子の生年月日がマスタと相違／","")&amp;IF(AND($L397&lt;&gt;"",INDEX(職員マスタ!$G$6:$G$405,$AP397)&lt;&gt;"",$L397&lt;&gt;INDEX(職員マスタ!$G$6:$G$405,$AP397)),"時短開始日がマスタと相違／","")&amp;IF(AND($M397&lt;&gt;"",INDEX(職員マスタ!$H$6:$H$405,$AP397)&lt;&gt;"",$M397&lt;&gt;INDEX(職員マスタ!$H$6:$H$405,$AP397)),"時短終了日がマスタと相違／","")))&amp;IF(AND($B397&lt;&gt;"",$E397=""),"報酬額が未入力／","")&amp;IF(N($U397)&gt;0,"申請書に入力エラーが残っています／","")&amp;IF(AND($B397&lt;&gt;"",$AQ397&lt;&gt;""),IF(COUNTIFS($B$6:$B$3005,$B397,$C$6:$C$3005,$C397,$D$6:$D$3005,$D397)&gt;1,"同じ月の請求が重複しています／",""),"")&amp;IF(AND(N($E397)&gt;0,$AB397&lt;&gt;"",$AB397&lt;&gt;"×",$AE397=0,$AD397=""),"計算額が下限以下のため不支給／",""))</f>
        <v/>
      </c>
      <c r="AN397" s="12" t="n"/>
      <c r="AO397" s="14">
        <f>IF($AF397="保留中",COUNTIF($AF$6:$AF397,"保留中"),"")</f>
        <v/>
      </c>
      <c r="AP397" s="14">
        <f>IF($AQ397="","",IF(SUMPRODUCT(MAX((職員マスタ!$A$6:$A$405=$B397)*(((職員マスタ!$G$6:$G$405="")+(職員マスタ!$G$6:$G$405&lt;=EOMONTH($AQ397,0)))&gt;0)*(((職員マスタ!$H$6:$H$405="")+(職員マスタ!$H$6:$H$405&gt;=$AQ397))&gt;0)*(ROW(職員マスタ!$A$6:$A$405)-5)))&gt;0,SUMPRODUCT(MAX((職員マスタ!$A$6:$A$405=$B397)*(((職員マスタ!$G$6:$G$405="")+(職員マスタ!$G$6:$G$405&lt;=EOMONTH($AQ397,0)))&gt;0)*(((職員マスタ!$H$6:$H$405="")+(職員マスタ!$H$6:$H$405&gt;=$AQ397))&gt;0)*(ROW(職員マスタ!$A$6:$A$405)-5))),IFERROR(MATCH($B397,職員マスタ!$A$6:$A$405,0),"")))</f>
        <v/>
      </c>
      <c r="AQ397" s="16">
        <f>IF(OR($B397="",$C397="",$D397=""),"",DATE($C397+2018,$D397,1))</f>
        <v/>
      </c>
    </row>
    <row r="398">
      <c r="A398" s="11" t="n"/>
      <c r="B398" s="12" t="n">
        <v>6802342</v>
      </c>
      <c r="C398" s="12" t="n">
        <v>7</v>
      </c>
      <c r="D398" s="12" t="n">
        <v>4</v>
      </c>
      <c r="E398" s="13" t="n">
        <v>221937</v>
      </c>
      <c r="F398" s="12" t="n"/>
      <c r="G398" s="13" t="n"/>
      <c r="H398" s="12" t="n"/>
      <c r="I398" s="12" t="n"/>
      <c r="J398" s="12" t="n"/>
      <c r="K398" s="12" t="n"/>
      <c r="L398" s="11" t="n"/>
      <c r="M398" s="11" t="n"/>
      <c r="N398" s="11" t="n"/>
      <c r="O398" s="11" t="n"/>
      <c r="P398" s="12" t="n"/>
      <c r="Q398" s="11" t="n"/>
      <c r="R398" s="12" t="n"/>
      <c r="S398" s="11" t="n"/>
      <c r="T398" s="12" t="n"/>
      <c r="U398" s="12" t="n"/>
      <c r="V398" s="12" t="n"/>
      <c r="W398" s="13" t="n"/>
      <c r="X398" s="14">
        <f>IF($AP398="",IF($B398="","",$H398),IF(INDEX(職員マスタ!$B$6:$B$405,$AP398)="",$H398,INDEX(職員マスタ!$B$6:$B$405,$AP398)))</f>
        <v/>
      </c>
      <c r="Y398" s="14">
        <f>IF($AP398="",IF($B398="","",$R398),IF(INDEX(職員マスタ!$C$6:$C$405,$AP398)="",$R398,INDEX(職員マスタ!$C$6:$C$405,$AP398)))</f>
        <v/>
      </c>
      <c r="Z398" s="14">
        <f>IF($AQ398="","","R"&amp;$C398&amp;"."&amp;$D398)</f>
        <v/>
      </c>
      <c r="AA398" s="15">
        <f>IF(IF($AP398="",FALSE,INDEX(職員マスタ!$K$6:$K$405,$AP398)&lt;&gt;""),INDEX(職員マスタ!$K$6:$K$405,$AP398),IF(N($W398)&gt;0,$W398,""))</f>
        <v/>
      </c>
      <c r="AB398" s="14">
        <f>IF(OR($E398="",$AA398=""),"",IF($E398&gt;=$AA398,"×",IF($E398&gt;=$AA398*設定!$C$5,"△","○")))</f>
        <v/>
      </c>
      <c r="AC398" s="15">
        <f>IF($AB398="","",IF($AB398="×",0,IF($AB398="○",ROUNDDOWN($E398*設定!$C$4,0),ROUNDDOWN($E398*ROUND((9*$AA398-9*$E398)/(10*$E398),4),0))))</f>
        <v/>
      </c>
      <c r="AD398" s="13" t="n"/>
      <c r="AE398" s="15">
        <f>IF($B398="","",IF($AD398&lt;&gt;"",$AD398,IF($AC398="","",IF($AC398&lt;=設定!$C$3,0,$AC398))))</f>
        <v/>
      </c>
      <c r="AF398" s="14">
        <f>IF($B398="","",IF(AND($AG398&lt;&gt;"",$AI398="",$AL398=""),"保留中",IF($AL398&lt;&gt;"",IF(N($AE398)&gt;0,"支給済","不支給"),IF($AE398="","要確認",IF($AE398=0,"不支給","未処理")))))</f>
        <v/>
      </c>
      <c r="AG398" s="12" t="n"/>
      <c r="AH398" s="11" t="n"/>
      <c r="AI398" s="11" t="n"/>
      <c r="AJ398" s="11" t="n"/>
      <c r="AK398" s="14">
        <f>IF(AND($AF398="保留中",$AH398&lt;&gt;""),TODAY()-$AH398,"")</f>
        <v/>
      </c>
      <c r="AL398" s="12" t="inlineStr">
        <is>
          <t>R7.8</t>
        </is>
      </c>
      <c r="AM398" s="14">
        <f>IF($B398="","",IF($AQ398="","対象年月が未入力／","")&amp;IF($B398="","",IF($AP398="","職員マスタに未登録の職員番号／",IF($AA398="","標準報酬月額が未登録／","")&amp;IF(AND($AQ398&lt;&gt;"",OR(AND(INDEX(職員マスタ!$G$6:$G$405,$AP398)&lt;&gt;"",INDEX(職員マスタ!$G$6:$G$405,$AP398)&gt;EOMONTH($AQ398,0)),AND(INDEX(職員マスタ!$H$6:$H$405,$AP398)&lt;&gt;"",INDEX(職員マスタ!$H$6:$H$405,$AP398)&lt;$AQ398))),"対象月が時短期間外／","")&amp;IF(AND(INDEX(職員マスタ!$K$6:$K$405,$AP398)&lt;&gt;"",N($W398)&gt;0,INDEX(職員マスタ!$K$6:$K$405,$AP398)&lt;&gt;$W398),"標準報酬月額が申請書と相違（台帳"&amp;TEXT(INDEX(職員マスタ!$K$6:$K$405,$AP398),"#,##0")&amp;"円／申請書"&amp;TEXT($W398,"#,##0")&amp;"円）／","")&amp;IF(AND(INDEX(職員マスタ!$F$6:$F$405,$AP398)&lt;&gt;"",$AQ398&lt;&gt;"",INDEX(職員マスタ!$F$6:$F$405,$AP398)&lt;$AQ398),"対象月に子が2歳到達済／","")&amp;IF(AND($H398&lt;&gt;"",INDEX(職員マスタ!$B$6:$B$405,$AP398)&lt;&gt;"",SUBSTITUTE(SUBSTITUTE($H398," ","")," ","")&lt;&gt;SUBSTITUTE(SUBSTITUTE(INDEX(職員マスタ!$B$6:$B$405,$AP398)," ","")," ","")),"氏名がマスタと相違／","")&amp;IF(AND($Q398&lt;&gt;"",INDEX(職員マスタ!$E$6:$E$405,$AP398)&lt;&gt;"",$Q398&lt;&gt;INDEX(職員マスタ!$E$6:$E$405,$AP398)),"子の生年月日がマスタと相違／","")&amp;IF(AND($L398&lt;&gt;"",INDEX(職員マスタ!$G$6:$G$405,$AP398)&lt;&gt;"",$L398&lt;&gt;INDEX(職員マスタ!$G$6:$G$405,$AP398)),"時短開始日がマスタと相違／","")&amp;IF(AND($M398&lt;&gt;"",INDEX(職員マスタ!$H$6:$H$405,$AP398)&lt;&gt;"",$M398&lt;&gt;INDEX(職員マスタ!$H$6:$H$405,$AP398)),"時短終了日がマスタと相違／","")))&amp;IF(AND($B398&lt;&gt;"",$E398=""),"報酬額が未入力／","")&amp;IF(N($U398)&gt;0,"申請書に入力エラーが残っています／","")&amp;IF(AND($B398&lt;&gt;"",$AQ398&lt;&gt;""),IF(COUNTIFS($B$6:$B$3005,$B398,$C$6:$C$3005,$C398,$D$6:$D$3005,$D398)&gt;1,"同じ月の請求が重複しています／",""),"")&amp;IF(AND(N($E398)&gt;0,$AB398&lt;&gt;"",$AB398&lt;&gt;"×",$AE398=0,$AD398=""),"計算額が下限以下のため不支給／",""))</f>
        <v/>
      </c>
      <c r="AN398" s="12" t="n"/>
      <c r="AO398" s="14">
        <f>IF($AF398="保留中",COUNTIF($AF$6:$AF398,"保留中"),"")</f>
        <v/>
      </c>
      <c r="AP398" s="14">
        <f>IF($AQ398="","",IF(SUMPRODUCT(MAX((職員マスタ!$A$6:$A$405=$B398)*(((職員マスタ!$G$6:$G$405="")+(職員マスタ!$G$6:$G$405&lt;=EOMONTH($AQ398,0)))&gt;0)*(((職員マスタ!$H$6:$H$405="")+(職員マスタ!$H$6:$H$405&gt;=$AQ398))&gt;0)*(ROW(職員マスタ!$A$6:$A$405)-5)))&gt;0,SUMPRODUCT(MAX((職員マスタ!$A$6:$A$405=$B398)*(((職員マスタ!$G$6:$G$405="")+(職員マスタ!$G$6:$G$405&lt;=EOMONTH($AQ398,0)))&gt;0)*(((職員マスタ!$H$6:$H$405="")+(職員マスタ!$H$6:$H$405&gt;=$AQ398))&gt;0)*(ROW(職員マスタ!$A$6:$A$405)-5))),IFERROR(MATCH($B398,職員マスタ!$A$6:$A$405,0),"")))</f>
        <v/>
      </c>
      <c r="AQ398" s="16">
        <f>IF(OR($B398="",$C398="",$D398=""),"",DATE($C398+2018,$D398,1))</f>
        <v/>
      </c>
    </row>
    <row r="399">
      <c r="A399" s="11" t="n"/>
      <c r="B399" s="12" t="n">
        <v>6802342</v>
      </c>
      <c r="C399" s="12" t="n">
        <v>7</v>
      </c>
      <c r="D399" s="12" t="n">
        <v>5</v>
      </c>
      <c r="E399" s="13" t="n">
        <v>223820</v>
      </c>
      <c r="F399" s="12" t="n"/>
      <c r="G399" s="13" t="n"/>
      <c r="H399" s="12" t="n"/>
      <c r="I399" s="12" t="n"/>
      <c r="J399" s="12" t="n"/>
      <c r="K399" s="12" t="n"/>
      <c r="L399" s="11" t="n"/>
      <c r="M399" s="11" t="n"/>
      <c r="N399" s="11" t="n"/>
      <c r="O399" s="11" t="n"/>
      <c r="P399" s="12" t="n"/>
      <c r="Q399" s="11" t="n"/>
      <c r="R399" s="12" t="n"/>
      <c r="S399" s="11" t="n"/>
      <c r="T399" s="12" t="n"/>
      <c r="U399" s="12" t="n"/>
      <c r="V399" s="12" t="n"/>
      <c r="W399" s="13" t="n"/>
      <c r="X399" s="14">
        <f>IF($AP399="",IF($B399="","",$H399),IF(INDEX(職員マスタ!$B$6:$B$405,$AP399)="",$H399,INDEX(職員マスタ!$B$6:$B$405,$AP399)))</f>
        <v/>
      </c>
      <c r="Y399" s="14">
        <f>IF($AP399="",IF($B399="","",$R399),IF(INDEX(職員マスタ!$C$6:$C$405,$AP399)="",$R399,INDEX(職員マスタ!$C$6:$C$405,$AP399)))</f>
        <v/>
      </c>
      <c r="Z399" s="14">
        <f>IF($AQ399="","","R"&amp;$C399&amp;"."&amp;$D399)</f>
        <v/>
      </c>
      <c r="AA399" s="15">
        <f>IF(IF($AP399="",FALSE,INDEX(職員マスタ!$K$6:$K$405,$AP399)&lt;&gt;""),INDEX(職員マスタ!$K$6:$K$405,$AP399),IF(N($W399)&gt;0,$W399,""))</f>
        <v/>
      </c>
      <c r="AB399" s="14">
        <f>IF(OR($E399="",$AA399=""),"",IF($E399&gt;=$AA399,"×",IF($E399&gt;=$AA399*設定!$C$5,"△","○")))</f>
        <v/>
      </c>
      <c r="AC399" s="15">
        <f>IF($AB399="","",IF($AB399="×",0,IF($AB399="○",ROUNDDOWN($E399*設定!$C$4,0),ROUNDDOWN($E399*ROUND((9*$AA399-9*$E399)/(10*$E399),4),0))))</f>
        <v/>
      </c>
      <c r="AD399" s="13" t="n"/>
      <c r="AE399" s="15">
        <f>IF($B399="","",IF($AD399&lt;&gt;"",$AD399,IF($AC399="","",IF($AC399&lt;=設定!$C$3,0,$AC399))))</f>
        <v/>
      </c>
      <c r="AF399" s="14">
        <f>IF($B399="","",IF(AND($AG399&lt;&gt;"",$AI399="",$AL399=""),"保留中",IF($AL399&lt;&gt;"",IF(N($AE399)&gt;0,"支給済","不支給"),IF($AE399="","要確認",IF($AE399=0,"不支給","未処理")))))</f>
        <v/>
      </c>
      <c r="AG399" s="12" t="n"/>
      <c r="AH399" s="11" t="n"/>
      <c r="AI399" s="11" t="n"/>
      <c r="AJ399" s="11" t="n"/>
      <c r="AK399" s="14">
        <f>IF(AND($AF399="保留中",$AH399&lt;&gt;""),TODAY()-$AH399,"")</f>
        <v/>
      </c>
      <c r="AL399" s="12" t="inlineStr">
        <is>
          <t>R7.8</t>
        </is>
      </c>
      <c r="AM399" s="14">
        <f>IF($B399="","",IF($AQ399="","対象年月が未入力／","")&amp;IF($B399="","",IF($AP399="","職員マスタに未登録の職員番号／",IF($AA399="","標準報酬月額が未登録／","")&amp;IF(AND($AQ399&lt;&gt;"",OR(AND(INDEX(職員マスタ!$G$6:$G$405,$AP399)&lt;&gt;"",INDEX(職員マスタ!$G$6:$G$405,$AP399)&gt;EOMONTH($AQ399,0)),AND(INDEX(職員マスタ!$H$6:$H$405,$AP399)&lt;&gt;"",INDEX(職員マスタ!$H$6:$H$405,$AP399)&lt;$AQ399))),"対象月が時短期間外／","")&amp;IF(AND(INDEX(職員マスタ!$K$6:$K$405,$AP399)&lt;&gt;"",N($W399)&gt;0,INDEX(職員マスタ!$K$6:$K$405,$AP399)&lt;&gt;$W399),"標準報酬月額が申請書と相違（台帳"&amp;TEXT(INDEX(職員マスタ!$K$6:$K$405,$AP399),"#,##0")&amp;"円／申請書"&amp;TEXT($W399,"#,##0")&amp;"円）／","")&amp;IF(AND(INDEX(職員マスタ!$F$6:$F$405,$AP399)&lt;&gt;"",$AQ399&lt;&gt;"",INDEX(職員マスタ!$F$6:$F$405,$AP399)&lt;$AQ399),"対象月に子が2歳到達済／","")&amp;IF(AND($H399&lt;&gt;"",INDEX(職員マスタ!$B$6:$B$405,$AP399)&lt;&gt;"",SUBSTITUTE(SUBSTITUTE($H399," ","")," ","")&lt;&gt;SUBSTITUTE(SUBSTITUTE(INDEX(職員マスタ!$B$6:$B$405,$AP399)," ","")," ","")),"氏名がマスタと相違／","")&amp;IF(AND($Q399&lt;&gt;"",INDEX(職員マスタ!$E$6:$E$405,$AP399)&lt;&gt;"",$Q399&lt;&gt;INDEX(職員マスタ!$E$6:$E$405,$AP399)),"子の生年月日がマスタと相違／","")&amp;IF(AND($L399&lt;&gt;"",INDEX(職員マスタ!$G$6:$G$405,$AP399)&lt;&gt;"",$L399&lt;&gt;INDEX(職員マスタ!$G$6:$G$405,$AP399)),"時短開始日がマスタと相違／","")&amp;IF(AND($M399&lt;&gt;"",INDEX(職員マスタ!$H$6:$H$405,$AP399)&lt;&gt;"",$M399&lt;&gt;INDEX(職員マスタ!$H$6:$H$405,$AP399)),"時短終了日がマスタと相違／","")))&amp;IF(AND($B399&lt;&gt;"",$E399=""),"報酬額が未入力／","")&amp;IF(N($U399)&gt;0,"申請書に入力エラーが残っています／","")&amp;IF(AND($B399&lt;&gt;"",$AQ399&lt;&gt;""),IF(COUNTIFS($B$6:$B$3005,$B399,$C$6:$C$3005,$C399,$D$6:$D$3005,$D399)&gt;1,"同じ月の請求が重複しています／",""),"")&amp;IF(AND(N($E399)&gt;0,$AB399&lt;&gt;"",$AB399&lt;&gt;"×",$AE399=0,$AD399=""),"計算額が下限以下のため不支給／",""))</f>
        <v/>
      </c>
      <c r="AN399" s="12" t="n"/>
      <c r="AO399" s="14">
        <f>IF($AF399="保留中",COUNTIF($AF$6:$AF399,"保留中"),"")</f>
        <v/>
      </c>
      <c r="AP399" s="14">
        <f>IF($AQ399="","",IF(SUMPRODUCT(MAX((職員マスタ!$A$6:$A$405=$B399)*(((職員マスタ!$G$6:$G$405="")+(職員マスタ!$G$6:$G$405&lt;=EOMONTH($AQ399,0)))&gt;0)*(((職員マスタ!$H$6:$H$405="")+(職員マスタ!$H$6:$H$405&gt;=$AQ399))&gt;0)*(ROW(職員マスタ!$A$6:$A$405)-5)))&gt;0,SUMPRODUCT(MAX((職員マスタ!$A$6:$A$405=$B399)*(((職員マスタ!$G$6:$G$405="")+(職員マスタ!$G$6:$G$405&lt;=EOMONTH($AQ399,0)))&gt;0)*(((職員マスタ!$H$6:$H$405="")+(職員マスタ!$H$6:$H$405&gt;=$AQ399))&gt;0)*(ROW(職員マスタ!$A$6:$A$405)-5))),IFERROR(MATCH($B399,職員マスタ!$A$6:$A$405,0),"")))</f>
        <v/>
      </c>
      <c r="AQ399" s="16">
        <f>IF(OR($B399="",$C399="",$D399=""),"",DATE($C399+2018,$D399,1))</f>
        <v/>
      </c>
    </row>
    <row r="400">
      <c r="A400" s="11" t="n"/>
      <c r="B400" s="12" t="n">
        <v>6900146</v>
      </c>
      <c r="C400" s="12" t="n">
        <v>7</v>
      </c>
      <c r="D400" s="12" t="n">
        <v>5</v>
      </c>
      <c r="E400" s="13" t="n">
        <v>129759</v>
      </c>
      <c r="F400" s="12" t="n"/>
      <c r="G400" s="13" t="n"/>
      <c r="H400" s="12" t="n"/>
      <c r="I400" s="12" t="n"/>
      <c r="J400" s="12" t="n"/>
      <c r="K400" s="12" t="n"/>
      <c r="L400" s="11" t="n"/>
      <c r="M400" s="11" t="n"/>
      <c r="N400" s="11" t="n"/>
      <c r="O400" s="11" t="n"/>
      <c r="P400" s="12" t="n"/>
      <c r="Q400" s="11" t="n"/>
      <c r="R400" s="12" t="n"/>
      <c r="S400" s="11" t="n"/>
      <c r="T400" s="12" t="n"/>
      <c r="U400" s="12" t="n"/>
      <c r="V400" s="12" t="n"/>
      <c r="W400" s="13" t="n"/>
      <c r="X400" s="14">
        <f>IF($AP400="",IF($B400="","",$H400),IF(INDEX(職員マスタ!$B$6:$B$405,$AP400)="",$H400,INDEX(職員マスタ!$B$6:$B$405,$AP400)))</f>
        <v/>
      </c>
      <c r="Y400" s="14">
        <f>IF($AP400="",IF($B400="","",$R400),IF(INDEX(職員マスタ!$C$6:$C$405,$AP400)="",$R400,INDEX(職員マスタ!$C$6:$C$405,$AP400)))</f>
        <v/>
      </c>
      <c r="Z400" s="14">
        <f>IF($AQ400="","","R"&amp;$C400&amp;"."&amp;$D400)</f>
        <v/>
      </c>
      <c r="AA400" s="15">
        <f>IF(IF($AP400="",FALSE,INDEX(職員マスタ!$K$6:$K$405,$AP400)&lt;&gt;""),INDEX(職員マスタ!$K$6:$K$405,$AP400),IF(N($W400)&gt;0,$W400,""))</f>
        <v/>
      </c>
      <c r="AB400" s="14">
        <f>IF(OR($E400="",$AA400=""),"",IF($E400&gt;=$AA400,"×",IF($E400&gt;=$AA400*設定!$C$5,"△","○")))</f>
        <v/>
      </c>
      <c r="AC400" s="15">
        <f>IF($AB400="","",IF($AB400="×",0,IF($AB400="○",ROUNDDOWN($E400*設定!$C$4,0),ROUNDDOWN($E400*ROUND((9*$AA400-9*$E400)/(10*$E400),4),0))))</f>
        <v/>
      </c>
      <c r="AD400" s="13" t="n"/>
      <c r="AE400" s="15">
        <f>IF($B400="","",IF($AD400&lt;&gt;"",$AD400,IF($AC400="","",IF($AC400&lt;=設定!$C$3,0,$AC400))))</f>
        <v/>
      </c>
      <c r="AF400" s="14">
        <f>IF($B400="","",IF(AND($AG400&lt;&gt;"",$AI400="",$AL400=""),"保留中",IF($AL400&lt;&gt;"",IF(N($AE400)&gt;0,"支給済","不支給"),IF($AE400="","要確認",IF($AE400=0,"不支給","未処理")))))</f>
        <v/>
      </c>
      <c r="AG400" s="12" t="n"/>
      <c r="AH400" s="11" t="n"/>
      <c r="AI400" s="11" t="n"/>
      <c r="AJ400" s="11" t="n"/>
      <c r="AK400" s="14">
        <f>IF(AND($AF400="保留中",$AH400&lt;&gt;""),TODAY()-$AH400,"")</f>
        <v/>
      </c>
      <c r="AL400" s="12" t="inlineStr">
        <is>
          <t>R7.8</t>
        </is>
      </c>
      <c r="AM400" s="14">
        <f>IF($B400="","",IF($AQ400="","対象年月が未入力／","")&amp;IF($B400="","",IF($AP400="","職員マスタに未登録の職員番号／",IF($AA400="","標準報酬月額が未登録／","")&amp;IF(AND($AQ400&lt;&gt;"",OR(AND(INDEX(職員マスタ!$G$6:$G$405,$AP400)&lt;&gt;"",INDEX(職員マスタ!$G$6:$G$405,$AP400)&gt;EOMONTH($AQ400,0)),AND(INDEX(職員マスタ!$H$6:$H$405,$AP400)&lt;&gt;"",INDEX(職員マスタ!$H$6:$H$405,$AP400)&lt;$AQ400))),"対象月が時短期間外／","")&amp;IF(AND(INDEX(職員マスタ!$K$6:$K$405,$AP400)&lt;&gt;"",N($W400)&gt;0,INDEX(職員マスタ!$K$6:$K$405,$AP400)&lt;&gt;$W400),"標準報酬月額が申請書と相違（台帳"&amp;TEXT(INDEX(職員マスタ!$K$6:$K$405,$AP400),"#,##0")&amp;"円／申請書"&amp;TEXT($W400,"#,##0")&amp;"円）／","")&amp;IF(AND(INDEX(職員マスタ!$F$6:$F$405,$AP400)&lt;&gt;"",$AQ400&lt;&gt;"",INDEX(職員マスタ!$F$6:$F$405,$AP400)&lt;$AQ400),"対象月に子が2歳到達済／","")&amp;IF(AND($H400&lt;&gt;"",INDEX(職員マスタ!$B$6:$B$405,$AP400)&lt;&gt;"",SUBSTITUTE(SUBSTITUTE($H400," ","")," ","")&lt;&gt;SUBSTITUTE(SUBSTITUTE(INDEX(職員マスタ!$B$6:$B$405,$AP400)," ","")," ","")),"氏名がマスタと相違／","")&amp;IF(AND($Q400&lt;&gt;"",INDEX(職員マスタ!$E$6:$E$405,$AP400)&lt;&gt;"",$Q400&lt;&gt;INDEX(職員マスタ!$E$6:$E$405,$AP400)),"子の生年月日がマスタと相違／","")&amp;IF(AND($L400&lt;&gt;"",INDEX(職員マスタ!$G$6:$G$405,$AP400)&lt;&gt;"",$L400&lt;&gt;INDEX(職員マスタ!$G$6:$G$405,$AP400)),"時短開始日がマスタと相違／","")&amp;IF(AND($M400&lt;&gt;"",INDEX(職員マスタ!$H$6:$H$405,$AP400)&lt;&gt;"",$M400&lt;&gt;INDEX(職員マスタ!$H$6:$H$405,$AP400)),"時短終了日がマスタと相違／","")))&amp;IF(AND($B400&lt;&gt;"",$E400=""),"報酬額が未入力／","")&amp;IF(N($U400)&gt;0,"申請書に入力エラーが残っています／","")&amp;IF(AND($B400&lt;&gt;"",$AQ400&lt;&gt;""),IF(COUNTIFS($B$6:$B$3005,$B400,$C$6:$C$3005,$C400,$D$6:$D$3005,$D400)&gt;1,"同じ月の請求が重複しています／",""),"")&amp;IF(AND(N($E400)&gt;0,$AB400&lt;&gt;"",$AB400&lt;&gt;"×",$AE400=0,$AD400=""),"計算額が下限以下のため不支給／",""))</f>
        <v/>
      </c>
      <c r="AN400" s="12" t="n"/>
      <c r="AO400" s="14">
        <f>IF($AF400="保留中",COUNTIF($AF$6:$AF400,"保留中"),"")</f>
        <v/>
      </c>
      <c r="AP400" s="14">
        <f>IF($AQ400="","",IF(SUMPRODUCT(MAX((職員マスタ!$A$6:$A$405=$B400)*(((職員マスタ!$G$6:$G$405="")+(職員マスタ!$G$6:$G$405&lt;=EOMONTH($AQ400,0)))&gt;0)*(((職員マスタ!$H$6:$H$405="")+(職員マスタ!$H$6:$H$405&gt;=$AQ400))&gt;0)*(ROW(職員マスタ!$A$6:$A$405)-5)))&gt;0,SUMPRODUCT(MAX((職員マスタ!$A$6:$A$405=$B400)*(((職員マスタ!$G$6:$G$405="")+(職員マスタ!$G$6:$G$405&lt;=EOMONTH($AQ400,0)))&gt;0)*(((職員マスタ!$H$6:$H$405="")+(職員マスタ!$H$6:$H$405&gt;=$AQ400))&gt;0)*(ROW(職員マスタ!$A$6:$A$405)-5))),IFERROR(MATCH($B400,職員マスタ!$A$6:$A$405,0),"")))</f>
        <v/>
      </c>
      <c r="AQ400" s="16">
        <f>IF(OR($B400="",$C400="",$D400=""),"",DATE($C400+2018,$D400,1))</f>
        <v/>
      </c>
    </row>
    <row r="401">
      <c r="A401" s="11" t="n"/>
      <c r="B401" s="12" t="n">
        <v>6900146</v>
      </c>
      <c r="C401" s="12" t="n">
        <v>7</v>
      </c>
      <c r="D401" s="12" t="n">
        <v>6</v>
      </c>
      <c r="E401" s="13" t="n">
        <v>273412</v>
      </c>
      <c r="F401" s="12" t="n"/>
      <c r="G401" s="13" t="n"/>
      <c r="H401" s="12" t="n"/>
      <c r="I401" s="12" t="n"/>
      <c r="J401" s="12" t="n"/>
      <c r="K401" s="12" t="n"/>
      <c r="L401" s="11" t="n"/>
      <c r="M401" s="11" t="n"/>
      <c r="N401" s="11" t="n"/>
      <c r="O401" s="11" t="n"/>
      <c r="P401" s="12" t="n"/>
      <c r="Q401" s="11" t="n"/>
      <c r="R401" s="12" t="n"/>
      <c r="S401" s="11" t="n"/>
      <c r="T401" s="12" t="n"/>
      <c r="U401" s="12" t="n"/>
      <c r="V401" s="12" t="n"/>
      <c r="W401" s="13" t="n"/>
      <c r="X401" s="14">
        <f>IF($AP401="",IF($B401="","",$H401),IF(INDEX(職員マスタ!$B$6:$B$405,$AP401)="",$H401,INDEX(職員マスタ!$B$6:$B$405,$AP401)))</f>
        <v/>
      </c>
      <c r="Y401" s="14">
        <f>IF($AP401="",IF($B401="","",$R401),IF(INDEX(職員マスタ!$C$6:$C$405,$AP401)="",$R401,INDEX(職員マスタ!$C$6:$C$405,$AP401)))</f>
        <v/>
      </c>
      <c r="Z401" s="14">
        <f>IF($AQ401="","","R"&amp;$C401&amp;"."&amp;$D401)</f>
        <v/>
      </c>
      <c r="AA401" s="15">
        <f>IF(IF($AP401="",FALSE,INDEX(職員マスタ!$K$6:$K$405,$AP401)&lt;&gt;""),INDEX(職員マスタ!$K$6:$K$405,$AP401),IF(N($W401)&gt;0,$W401,""))</f>
        <v/>
      </c>
      <c r="AB401" s="14">
        <f>IF(OR($E401="",$AA401=""),"",IF($E401&gt;=$AA401,"×",IF($E401&gt;=$AA401*設定!$C$5,"△","○")))</f>
        <v/>
      </c>
      <c r="AC401" s="15">
        <f>IF($AB401="","",IF($AB401="×",0,IF($AB401="○",ROUNDDOWN($E401*設定!$C$4,0),ROUNDDOWN($E401*ROUND((9*$AA401-9*$E401)/(10*$E401),4),0))))</f>
        <v/>
      </c>
      <c r="AD401" s="13" t="n"/>
      <c r="AE401" s="15">
        <f>IF($B401="","",IF($AD401&lt;&gt;"",$AD401,IF($AC401="","",IF($AC401&lt;=設定!$C$3,0,$AC401))))</f>
        <v/>
      </c>
      <c r="AF401" s="14">
        <f>IF($B401="","",IF(AND($AG401&lt;&gt;"",$AI401="",$AL401=""),"保留中",IF($AL401&lt;&gt;"",IF(N($AE401)&gt;0,"支給済","不支給"),IF($AE401="","要確認",IF($AE401=0,"不支給","未処理")))))</f>
        <v/>
      </c>
      <c r="AG401" s="12" t="n"/>
      <c r="AH401" s="11" t="n"/>
      <c r="AI401" s="11" t="n"/>
      <c r="AJ401" s="11" t="n"/>
      <c r="AK401" s="14">
        <f>IF(AND($AF401="保留中",$AH401&lt;&gt;""),TODAY()-$AH401,"")</f>
        <v/>
      </c>
      <c r="AL401" s="12" t="inlineStr">
        <is>
          <t>R7.8</t>
        </is>
      </c>
      <c r="AM401" s="14">
        <f>IF($B401="","",IF($AQ401="","対象年月が未入力／","")&amp;IF($B401="","",IF($AP401="","職員マスタに未登録の職員番号／",IF($AA401="","標準報酬月額が未登録／","")&amp;IF(AND($AQ401&lt;&gt;"",OR(AND(INDEX(職員マスタ!$G$6:$G$405,$AP401)&lt;&gt;"",INDEX(職員マスタ!$G$6:$G$405,$AP401)&gt;EOMONTH($AQ401,0)),AND(INDEX(職員マスタ!$H$6:$H$405,$AP401)&lt;&gt;"",INDEX(職員マスタ!$H$6:$H$405,$AP401)&lt;$AQ401))),"対象月が時短期間外／","")&amp;IF(AND(INDEX(職員マスタ!$K$6:$K$405,$AP401)&lt;&gt;"",N($W401)&gt;0,INDEX(職員マスタ!$K$6:$K$405,$AP401)&lt;&gt;$W401),"標準報酬月額が申請書と相違（台帳"&amp;TEXT(INDEX(職員マスタ!$K$6:$K$405,$AP401),"#,##0")&amp;"円／申請書"&amp;TEXT($W401,"#,##0")&amp;"円）／","")&amp;IF(AND(INDEX(職員マスタ!$F$6:$F$405,$AP401)&lt;&gt;"",$AQ401&lt;&gt;"",INDEX(職員マスタ!$F$6:$F$405,$AP401)&lt;$AQ401),"対象月に子が2歳到達済／","")&amp;IF(AND($H401&lt;&gt;"",INDEX(職員マスタ!$B$6:$B$405,$AP401)&lt;&gt;"",SUBSTITUTE(SUBSTITUTE($H401," ","")," ","")&lt;&gt;SUBSTITUTE(SUBSTITUTE(INDEX(職員マスタ!$B$6:$B$405,$AP401)," ","")," ","")),"氏名がマスタと相違／","")&amp;IF(AND($Q401&lt;&gt;"",INDEX(職員マスタ!$E$6:$E$405,$AP401)&lt;&gt;"",$Q401&lt;&gt;INDEX(職員マスタ!$E$6:$E$405,$AP401)),"子の生年月日がマスタと相違／","")&amp;IF(AND($L401&lt;&gt;"",INDEX(職員マスタ!$G$6:$G$405,$AP401)&lt;&gt;"",$L401&lt;&gt;INDEX(職員マスタ!$G$6:$G$405,$AP401)),"時短開始日がマスタと相違／","")&amp;IF(AND($M401&lt;&gt;"",INDEX(職員マスタ!$H$6:$H$405,$AP401)&lt;&gt;"",$M401&lt;&gt;INDEX(職員マスタ!$H$6:$H$405,$AP401)),"時短終了日がマスタと相違／","")))&amp;IF(AND($B401&lt;&gt;"",$E401=""),"報酬額が未入力／","")&amp;IF(N($U401)&gt;0,"申請書に入力エラーが残っています／","")&amp;IF(AND($B401&lt;&gt;"",$AQ401&lt;&gt;""),IF(COUNTIFS($B$6:$B$3005,$B401,$C$6:$C$3005,$C401,$D$6:$D$3005,$D401)&gt;1,"同じ月の請求が重複しています／",""),"")&amp;IF(AND(N($E401)&gt;0,$AB401&lt;&gt;"",$AB401&lt;&gt;"×",$AE401=0,$AD401=""),"計算額が下限以下のため不支給／",""))</f>
        <v/>
      </c>
      <c r="AN401" s="12" t="n"/>
      <c r="AO401" s="14">
        <f>IF($AF401="保留中",COUNTIF($AF$6:$AF401,"保留中"),"")</f>
        <v/>
      </c>
      <c r="AP401" s="14">
        <f>IF($AQ401="","",IF(SUMPRODUCT(MAX((職員マスタ!$A$6:$A$405=$B401)*(((職員マスタ!$G$6:$G$405="")+(職員マスタ!$G$6:$G$405&lt;=EOMONTH($AQ401,0)))&gt;0)*(((職員マスタ!$H$6:$H$405="")+(職員マスタ!$H$6:$H$405&gt;=$AQ401))&gt;0)*(ROW(職員マスタ!$A$6:$A$405)-5)))&gt;0,SUMPRODUCT(MAX((職員マスタ!$A$6:$A$405=$B401)*(((職員マスタ!$G$6:$G$405="")+(職員マスタ!$G$6:$G$405&lt;=EOMONTH($AQ401,0)))&gt;0)*(((職員マスタ!$H$6:$H$405="")+(職員マスタ!$H$6:$H$405&gt;=$AQ401))&gt;0)*(ROW(職員マスタ!$A$6:$A$405)-5))),IFERROR(MATCH($B401,職員マスタ!$A$6:$A$405,0),"")))</f>
        <v/>
      </c>
      <c r="AQ401" s="16">
        <f>IF(OR($B401="",$C401="",$D401=""),"",DATE($C401+2018,$D401,1))</f>
        <v/>
      </c>
    </row>
    <row r="402">
      <c r="A402" s="11" t="n"/>
      <c r="B402" s="12" t="n">
        <v>6900146</v>
      </c>
      <c r="C402" s="12" t="n">
        <v>7</v>
      </c>
      <c r="D402" s="12" t="n">
        <v>7</v>
      </c>
      <c r="E402" s="13" t="n">
        <v>251810</v>
      </c>
      <c r="F402" s="12" t="n"/>
      <c r="G402" s="13" t="n"/>
      <c r="H402" s="12" t="n"/>
      <c r="I402" s="12" t="n"/>
      <c r="J402" s="12" t="n"/>
      <c r="K402" s="12" t="n"/>
      <c r="L402" s="11" t="n"/>
      <c r="M402" s="11" t="n"/>
      <c r="N402" s="11" t="n"/>
      <c r="O402" s="11" t="n"/>
      <c r="P402" s="12" t="n"/>
      <c r="Q402" s="11" t="n"/>
      <c r="R402" s="12" t="n"/>
      <c r="S402" s="11" t="n"/>
      <c r="T402" s="12" t="n"/>
      <c r="U402" s="12" t="n"/>
      <c r="V402" s="12" t="n"/>
      <c r="W402" s="13" t="n"/>
      <c r="X402" s="14">
        <f>IF($AP402="",IF($B402="","",$H402),IF(INDEX(職員マスタ!$B$6:$B$405,$AP402)="",$H402,INDEX(職員マスタ!$B$6:$B$405,$AP402)))</f>
        <v/>
      </c>
      <c r="Y402" s="14">
        <f>IF($AP402="",IF($B402="","",$R402),IF(INDEX(職員マスタ!$C$6:$C$405,$AP402)="",$R402,INDEX(職員マスタ!$C$6:$C$405,$AP402)))</f>
        <v/>
      </c>
      <c r="Z402" s="14">
        <f>IF($AQ402="","","R"&amp;$C402&amp;"."&amp;$D402)</f>
        <v/>
      </c>
      <c r="AA402" s="15">
        <f>IF(IF($AP402="",FALSE,INDEX(職員マスタ!$K$6:$K$405,$AP402)&lt;&gt;""),INDEX(職員マスタ!$K$6:$K$405,$AP402),IF(N($W402)&gt;0,$W402,""))</f>
        <v/>
      </c>
      <c r="AB402" s="14">
        <f>IF(OR($E402="",$AA402=""),"",IF($E402&gt;=$AA402,"×",IF($E402&gt;=$AA402*設定!$C$5,"△","○")))</f>
        <v/>
      </c>
      <c r="AC402" s="15">
        <f>IF($AB402="","",IF($AB402="×",0,IF($AB402="○",ROUNDDOWN($E402*設定!$C$4,0),ROUNDDOWN($E402*ROUND((9*$AA402-9*$E402)/(10*$E402),4),0))))</f>
        <v/>
      </c>
      <c r="AD402" s="13" t="n"/>
      <c r="AE402" s="15">
        <f>IF($B402="","",IF($AD402&lt;&gt;"",$AD402,IF($AC402="","",IF($AC402&lt;=設定!$C$3,0,$AC402))))</f>
        <v/>
      </c>
      <c r="AF402" s="14">
        <f>IF($B402="","",IF(AND($AG402&lt;&gt;"",$AI402="",$AL402=""),"保留中",IF($AL402&lt;&gt;"",IF(N($AE402)&gt;0,"支給済","不支給"),IF($AE402="","要確認",IF($AE402=0,"不支給","未処理")))))</f>
        <v/>
      </c>
      <c r="AG402" s="12" t="n"/>
      <c r="AH402" s="11" t="n"/>
      <c r="AI402" s="11" t="n"/>
      <c r="AJ402" s="11" t="n"/>
      <c r="AK402" s="14">
        <f>IF(AND($AF402="保留中",$AH402&lt;&gt;""),TODAY()-$AH402,"")</f>
        <v/>
      </c>
      <c r="AL402" s="12" t="inlineStr">
        <is>
          <t>R7.9</t>
        </is>
      </c>
      <c r="AM402" s="14">
        <f>IF($B402="","",IF($AQ402="","対象年月が未入力／","")&amp;IF($B402="","",IF($AP402="","職員マスタに未登録の職員番号／",IF($AA402="","標準報酬月額が未登録／","")&amp;IF(AND($AQ402&lt;&gt;"",OR(AND(INDEX(職員マスタ!$G$6:$G$405,$AP402)&lt;&gt;"",INDEX(職員マスタ!$G$6:$G$405,$AP402)&gt;EOMONTH($AQ402,0)),AND(INDEX(職員マスタ!$H$6:$H$405,$AP402)&lt;&gt;"",INDEX(職員マスタ!$H$6:$H$405,$AP402)&lt;$AQ402))),"対象月が時短期間外／","")&amp;IF(AND(INDEX(職員マスタ!$K$6:$K$405,$AP402)&lt;&gt;"",N($W402)&gt;0,INDEX(職員マスタ!$K$6:$K$405,$AP402)&lt;&gt;$W402),"標準報酬月額が申請書と相違（台帳"&amp;TEXT(INDEX(職員マスタ!$K$6:$K$405,$AP402),"#,##0")&amp;"円／申請書"&amp;TEXT($W402,"#,##0")&amp;"円）／","")&amp;IF(AND(INDEX(職員マスタ!$F$6:$F$405,$AP402)&lt;&gt;"",$AQ402&lt;&gt;"",INDEX(職員マスタ!$F$6:$F$405,$AP402)&lt;$AQ402),"対象月に子が2歳到達済／","")&amp;IF(AND($H402&lt;&gt;"",INDEX(職員マスタ!$B$6:$B$405,$AP402)&lt;&gt;"",SUBSTITUTE(SUBSTITUTE($H402," ","")," ","")&lt;&gt;SUBSTITUTE(SUBSTITUTE(INDEX(職員マスタ!$B$6:$B$405,$AP402)," ","")," ","")),"氏名がマスタと相違／","")&amp;IF(AND($Q402&lt;&gt;"",INDEX(職員マスタ!$E$6:$E$405,$AP402)&lt;&gt;"",$Q402&lt;&gt;INDEX(職員マスタ!$E$6:$E$405,$AP402)),"子の生年月日がマスタと相違／","")&amp;IF(AND($L402&lt;&gt;"",INDEX(職員マスタ!$G$6:$G$405,$AP402)&lt;&gt;"",$L402&lt;&gt;INDEX(職員マスタ!$G$6:$G$405,$AP402)),"時短開始日がマスタと相違／","")&amp;IF(AND($M402&lt;&gt;"",INDEX(職員マスタ!$H$6:$H$405,$AP402)&lt;&gt;"",$M402&lt;&gt;INDEX(職員マスタ!$H$6:$H$405,$AP402)),"時短終了日がマスタと相違／","")))&amp;IF(AND($B402&lt;&gt;"",$E402=""),"報酬額が未入力／","")&amp;IF(N($U402)&gt;0,"申請書に入力エラーが残っています／","")&amp;IF(AND($B402&lt;&gt;"",$AQ402&lt;&gt;""),IF(COUNTIFS($B$6:$B$3005,$B402,$C$6:$C$3005,$C402,$D$6:$D$3005,$D402)&gt;1,"同じ月の請求が重複しています／",""),"")&amp;IF(AND(N($E402)&gt;0,$AB402&lt;&gt;"",$AB402&lt;&gt;"×",$AE402=0,$AD402=""),"計算額が下限以下のため不支給／",""))</f>
        <v/>
      </c>
      <c r="AN402" s="12" t="n"/>
      <c r="AO402" s="14">
        <f>IF($AF402="保留中",COUNTIF($AF$6:$AF402,"保留中"),"")</f>
        <v/>
      </c>
      <c r="AP402" s="14">
        <f>IF($AQ402="","",IF(SUMPRODUCT(MAX((職員マスタ!$A$6:$A$405=$B402)*(((職員マスタ!$G$6:$G$405="")+(職員マスタ!$G$6:$G$405&lt;=EOMONTH($AQ402,0)))&gt;0)*(((職員マスタ!$H$6:$H$405="")+(職員マスタ!$H$6:$H$405&gt;=$AQ402))&gt;0)*(ROW(職員マスタ!$A$6:$A$405)-5)))&gt;0,SUMPRODUCT(MAX((職員マスタ!$A$6:$A$405=$B402)*(((職員マスタ!$G$6:$G$405="")+(職員マスタ!$G$6:$G$405&lt;=EOMONTH($AQ402,0)))&gt;0)*(((職員マスタ!$H$6:$H$405="")+(職員マスタ!$H$6:$H$405&gt;=$AQ402))&gt;0)*(ROW(職員マスタ!$A$6:$A$405)-5))),IFERROR(MATCH($B402,職員マスタ!$A$6:$A$405,0),"")))</f>
        <v/>
      </c>
      <c r="AQ402" s="16">
        <f>IF(OR($B402="",$C402="",$D402=""),"",DATE($C402+2018,$D402,1))</f>
        <v/>
      </c>
    </row>
    <row r="403">
      <c r="A403" s="11" t="n"/>
      <c r="B403" s="12" t="n">
        <v>6900146</v>
      </c>
      <c r="C403" s="12" t="n">
        <v>7</v>
      </c>
      <c r="D403" s="12" t="n">
        <v>8</v>
      </c>
      <c r="E403" s="13" t="n">
        <v>257267</v>
      </c>
      <c r="F403" s="12" t="n"/>
      <c r="G403" s="13" t="n"/>
      <c r="H403" s="12" t="n"/>
      <c r="I403" s="12" t="n"/>
      <c r="J403" s="12" t="n"/>
      <c r="K403" s="12" t="n"/>
      <c r="L403" s="11" t="n"/>
      <c r="M403" s="11" t="n"/>
      <c r="N403" s="11" t="n"/>
      <c r="O403" s="11" t="n"/>
      <c r="P403" s="12" t="n"/>
      <c r="Q403" s="11" t="n"/>
      <c r="R403" s="12" t="n"/>
      <c r="S403" s="11" t="n"/>
      <c r="T403" s="12" t="n"/>
      <c r="U403" s="12" t="n"/>
      <c r="V403" s="12" t="n"/>
      <c r="W403" s="13" t="n"/>
      <c r="X403" s="14">
        <f>IF($AP403="",IF($B403="","",$H403),IF(INDEX(職員マスタ!$B$6:$B$405,$AP403)="",$H403,INDEX(職員マスタ!$B$6:$B$405,$AP403)))</f>
        <v/>
      </c>
      <c r="Y403" s="14">
        <f>IF($AP403="",IF($B403="","",$R403),IF(INDEX(職員マスタ!$C$6:$C$405,$AP403)="",$R403,INDEX(職員マスタ!$C$6:$C$405,$AP403)))</f>
        <v/>
      </c>
      <c r="Z403" s="14">
        <f>IF($AQ403="","","R"&amp;$C403&amp;"."&amp;$D403)</f>
        <v/>
      </c>
      <c r="AA403" s="15">
        <f>IF(IF($AP403="",FALSE,INDEX(職員マスタ!$K$6:$K$405,$AP403)&lt;&gt;""),INDEX(職員マスタ!$K$6:$K$405,$AP403),IF(N($W403)&gt;0,$W403,""))</f>
        <v/>
      </c>
      <c r="AB403" s="14">
        <f>IF(OR($E403="",$AA403=""),"",IF($E403&gt;=$AA403,"×",IF($E403&gt;=$AA403*設定!$C$5,"△","○")))</f>
        <v/>
      </c>
      <c r="AC403" s="15">
        <f>IF($AB403="","",IF($AB403="×",0,IF($AB403="○",ROUNDDOWN($E403*設定!$C$4,0),ROUNDDOWN($E403*ROUND((9*$AA403-9*$E403)/(10*$E403),4),0))))</f>
        <v/>
      </c>
      <c r="AD403" s="13" t="n"/>
      <c r="AE403" s="15">
        <f>IF($B403="","",IF($AD403&lt;&gt;"",$AD403,IF($AC403="","",IF($AC403&lt;=設定!$C$3,0,$AC403))))</f>
        <v/>
      </c>
      <c r="AF403" s="14">
        <f>IF($B403="","",IF(AND($AG403&lt;&gt;"",$AI403="",$AL403=""),"保留中",IF($AL403&lt;&gt;"",IF(N($AE403)&gt;0,"支給済","不支給"),IF($AE403="","要確認",IF($AE403=0,"不支給","未処理")))))</f>
        <v/>
      </c>
      <c r="AG403" s="12" t="n"/>
      <c r="AH403" s="11" t="n"/>
      <c r="AI403" s="11" t="n"/>
      <c r="AJ403" s="11" t="n"/>
      <c r="AK403" s="14">
        <f>IF(AND($AF403="保留中",$AH403&lt;&gt;""),TODAY()-$AH403,"")</f>
        <v/>
      </c>
      <c r="AL403" s="12" t="inlineStr">
        <is>
          <t>R7.11</t>
        </is>
      </c>
      <c r="AM403" s="14">
        <f>IF($B403="","",IF($AQ403="","対象年月が未入力／","")&amp;IF($B403="","",IF($AP403="","職員マスタに未登録の職員番号／",IF($AA403="","標準報酬月額が未登録／","")&amp;IF(AND($AQ403&lt;&gt;"",OR(AND(INDEX(職員マスタ!$G$6:$G$405,$AP403)&lt;&gt;"",INDEX(職員マスタ!$G$6:$G$405,$AP403)&gt;EOMONTH($AQ403,0)),AND(INDEX(職員マスタ!$H$6:$H$405,$AP403)&lt;&gt;"",INDEX(職員マスタ!$H$6:$H$405,$AP403)&lt;$AQ403))),"対象月が時短期間外／","")&amp;IF(AND(INDEX(職員マスタ!$K$6:$K$405,$AP403)&lt;&gt;"",N($W403)&gt;0,INDEX(職員マスタ!$K$6:$K$405,$AP403)&lt;&gt;$W403),"標準報酬月額が申請書と相違（台帳"&amp;TEXT(INDEX(職員マスタ!$K$6:$K$405,$AP403),"#,##0")&amp;"円／申請書"&amp;TEXT($W403,"#,##0")&amp;"円）／","")&amp;IF(AND(INDEX(職員マスタ!$F$6:$F$405,$AP403)&lt;&gt;"",$AQ403&lt;&gt;"",INDEX(職員マスタ!$F$6:$F$405,$AP403)&lt;$AQ403),"対象月に子が2歳到達済／","")&amp;IF(AND($H403&lt;&gt;"",INDEX(職員マスタ!$B$6:$B$405,$AP403)&lt;&gt;"",SUBSTITUTE(SUBSTITUTE($H403," ","")," ","")&lt;&gt;SUBSTITUTE(SUBSTITUTE(INDEX(職員マスタ!$B$6:$B$405,$AP403)," ","")," ","")),"氏名がマスタと相違／","")&amp;IF(AND($Q403&lt;&gt;"",INDEX(職員マスタ!$E$6:$E$405,$AP403)&lt;&gt;"",$Q403&lt;&gt;INDEX(職員マスタ!$E$6:$E$405,$AP403)),"子の生年月日がマスタと相違／","")&amp;IF(AND($L403&lt;&gt;"",INDEX(職員マスタ!$G$6:$G$405,$AP403)&lt;&gt;"",$L403&lt;&gt;INDEX(職員マスタ!$G$6:$G$405,$AP403)),"時短開始日がマスタと相違／","")&amp;IF(AND($M403&lt;&gt;"",INDEX(職員マスタ!$H$6:$H$405,$AP403)&lt;&gt;"",$M403&lt;&gt;INDEX(職員マスタ!$H$6:$H$405,$AP403)),"時短終了日がマスタと相違／","")))&amp;IF(AND($B403&lt;&gt;"",$E403=""),"報酬額が未入力／","")&amp;IF(N($U403)&gt;0,"申請書に入力エラーが残っています／","")&amp;IF(AND($B403&lt;&gt;"",$AQ403&lt;&gt;""),IF(COUNTIFS($B$6:$B$3005,$B403,$C$6:$C$3005,$C403,$D$6:$D$3005,$D403)&gt;1,"同じ月の請求が重複しています／",""),"")&amp;IF(AND(N($E403)&gt;0,$AB403&lt;&gt;"",$AB403&lt;&gt;"×",$AE403=0,$AD403=""),"計算額が下限以下のため不支給／",""))</f>
        <v/>
      </c>
      <c r="AN403" s="12" t="n"/>
      <c r="AO403" s="14">
        <f>IF($AF403="保留中",COUNTIF($AF$6:$AF403,"保留中"),"")</f>
        <v/>
      </c>
      <c r="AP403" s="14">
        <f>IF($AQ403="","",IF(SUMPRODUCT(MAX((職員マスタ!$A$6:$A$405=$B403)*(((職員マスタ!$G$6:$G$405="")+(職員マスタ!$G$6:$G$405&lt;=EOMONTH($AQ403,0)))&gt;0)*(((職員マスタ!$H$6:$H$405="")+(職員マスタ!$H$6:$H$405&gt;=$AQ403))&gt;0)*(ROW(職員マスタ!$A$6:$A$405)-5)))&gt;0,SUMPRODUCT(MAX((職員マスタ!$A$6:$A$405=$B403)*(((職員マスタ!$G$6:$G$405="")+(職員マスタ!$G$6:$G$405&lt;=EOMONTH($AQ403,0)))&gt;0)*(((職員マスタ!$H$6:$H$405="")+(職員マスタ!$H$6:$H$405&gt;=$AQ403))&gt;0)*(ROW(職員マスタ!$A$6:$A$405)-5))),IFERROR(MATCH($B403,職員マスタ!$A$6:$A$405,0),"")))</f>
        <v/>
      </c>
      <c r="AQ403" s="16">
        <f>IF(OR($B403="",$C403="",$D403=""),"",DATE($C403+2018,$D403,1))</f>
        <v/>
      </c>
    </row>
    <row r="404">
      <c r="A404" s="11" t="n"/>
      <c r="B404" s="12" t="n">
        <v>6900146</v>
      </c>
      <c r="C404" s="12" t="n">
        <v>7</v>
      </c>
      <c r="D404" s="12" t="n">
        <v>9</v>
      </c>
      <c r="E404" s="13" t="n">
        <v>260848</v>
      </c>
      <c r="F404" s="12" t="n"/>
      <c r="G404" s="13" t="n"/>
      <c r="H404" s="12" t="n"/>
      <c r="I404" s="12" t="n"/>
      <c r="J404" s="12" t="n"/>
      <c r="K404" s="12" t="n"/>
      <c r="L404" s="11" t="n"/>
      <c r="M404" s="11" t="n"/>
      <c r="N404" s="11" t="n"/>
      <c r="O404" s="11" t="n"/>
      <c r="P404" s="12" t="n"/>
      <c r="Q404" s="11" t="n"/>
      <c r="R404" s="12" t="n"/>
      <c r="S404" s="11" t="n"/>
      <c r="T404" s="12" t="n"/>
      <c r="U404" s="12" t="n"/>
      <c r="V404" s="12" t="n"/>
      <c r="W404" s="13" t="n"/>
      <c r="X404" s="14">
        <f>IF($AP404="",IF($B404="","",$H404),IF(INDEX(職員マスタ!$B$6:$B$405,$AP404)="",$H404,INDEX(職員マスタ!$B$6:$B$405,$AP404)))</f>
        <v/>
      </c>
      <c r="Y404" s="14">
        <f>IF($AP404="",IF($B404="","",$R404),IF(INDEX(職員マスタ!$C$6:$C$405,$AP404)="",$R404,INDEX(職員マスタ!$C$6:$C$405,$AP404)))</f>
        <v/>
      </c>
      <c r="Z404" s="14">
        <f>IF($AQ404="","","R"&amp;$C404&amp;"."&amp;$D404)</f>
        <v/>
      </c>
      <c r="AA404" s="15">
        <f>IF(IF($AP404="",FALSE,INDEX(職員マスタ!$K$6:$K$405,$AP404)&lt;&gt;""),INDEX(職員マスタ!$K$6:$K$405,$AP404),IF(N($W404)&gt;0,$W404,""))</f>
        <v/>
      </c>
      <c r="AB404" s="14">
        <f>IF(OR($E404="",$AA404=""),"",IF($E404&gt;=$AA404,"×",IF($E404&gt;=$AA404*設定!$C$5,"△","○")))</f>
        <v/>
      </c>
      <c r="AC404" s="15">
        <f>IF($AB404="","",IF($AB404="×",0,IF($AB404="○",ROUNDDOWN($E404*設定!$C$4,0),ROUNDDOWN($E404*ROUND((9*$AA404-9*$E404)/(10*$E404),4),0))))</f>
        <v/>
      </c>
      <c r="AD404" s="13" t="n"/>
      <c r="AE404" s="15">
        <f>IF($B404="","",IF($AD404&lt;&gt;"",$AD404,IF($AC404="","",IF($AC404&lt;=設定!$C$3,0,$AC404))))</f>
        <v/>
      </c>
      <c r="AF404" s="14">
        <f>IF($B404="","",IF(AND($AG404&lt;&gt;"",$AI404="",$AL404=""),"保留中",IF($AL404&lt;&gt;"",IF(N($AE404)&gt;0,"支給済","不支給"),IF($AE404="","要確認",IF($AE404=0,"不支給","未処理")))))</f>
        <v/>
      </c>
      <c r="AG404" s="12" t="n"/>
      <c r="AH404" s="11" t="n"/>
      <c r="AI404" s="11" t="n"/>
      <c r="AJ404" s="11" t="n"/>
      <c r="AK404" s="14">
        <f>IF(AND($AF404="保留中",$AH404&lt;&gt;""),TODAY()-$AH404,"")</f>
        <v/>
      </c>
      <c r="AL404" s="12" t="inlineStr">
        <is>
          <t>R7.11</t>
        </is>
      </c>
      <c r="AM404" s="14">
        <f>IF($B404="","",IF($AQ404="","対象年月が未入力／","")&amp;IF($B404="","",IF($AP404="","職員マスタに未登録の職員番号／",IF($AA404="","標準報酬月額が未登録／","")&amp;IF(AND($AQ404&lt;&gt;"",OR(AND(INDEX(職員マスタ!$G$6:$G$405,$AP404)&lt;&gt;"",INDEX(職員マスタ!$G$6:$G$405,$AP404)&gt;EOMONTH($AQ404,0)),AND(INDEX(職員マスタ!$H$6:$H$405,$AP404)&lt;&gt;"",INDEX(職員マスタ!$H$6:$H$405,$AP404)&lt;$AQ404))),"対象月が時短期間外／","")&amp;IF(AND(INDEX(職員マスタ!$K$6:$K$405,$AP404)&lt;&gt;"",N($W404)&gt;0,INDEX(職員マスタ!$K$6:$K$405,$AP404)&lt;&gt;$W404),"標準報酬月額が申請書と相違（台帳"&amp;TEXT(INDEX(職員マスタ!$K$6:$K$405,$AP404),"#,##0")&amp;"円／申請書"&amp;TEXT($W404,"#,##0")&amp;"円）／","")&amp;IF(AND(INDEX(職員マスタ!$F$6:$F$405,$AP404)&lt;&gt;"",$AQ404&lt;&gt;"",INDEX(職員マスタ!$F$6:$F$405,$AP404)&lt;$AQ404),"対象月に子が2歳到達済／","")&amp;IF(AND($H404&lt;&gt;"",INDEX(職員マスタ!$B$6:$B$405,$AP404)&lt;&gt;"",SUBSTITUTE(SUBSTITUTE($H404," ","")," ","")&lt;&gt;SUBSTITUTE(SUBSTITUTE(INDEX(職員マスタ!$B$6:$B$405,$AP404)," ","")," ","")),"氏名がマスタと相違／","")&amp;IF(AND($Q404&lt;&gt;"",INDEX(職員マスタ!$E$6:$E$405,$AP404)&lt;&gt;"",$Q404&lt;&gt;INDEX(職員マスタ!$E$6:$E$405,$AP404)),"子の生年月日がマスタと相違／","")&amp;IF(AND($L404&lt;&gt;"",INDEX(職員マスタ!$G$6:$G$405,$AP404)&lt;&gt;"",$L404&lt;&gt;INDEX(職員マスタ!$G$6:$G$405,$AP404)),"時短開始日がマスタと相違／","")&amp;IF(AND($M404&lt;&gt;"",INDEX(職員マスタ!$H$6:$H$405,$AP404)&lt;&gt;"",$M404&lt;&gt;INDEX(職員マスタ!$H$6:$H$405,$AP404)),"時短終了日がマスタと相違／","")))&amp;IF(AND($B404&lt;&gt;"",$E404=""),"報酬額が未入力／","")&amp;IF(N($U404)&gt;0,"申請書に入力エラーが残っています／","")&amp;IF(AND($B404&lt;&gt;"",$AQ404&lt;&gt;""),IF(COUNTIFS($B$6:$B$3005,$B404,$C$6:$C$3005,$C404,$D$6:$D$3005,$D404)&gt;1,"同じ月の請求が重複しています／",""),"")&amp;IF(AND(N($E404)&gt;0,$AB404&lt;&gt;"",$AB404&lt;&gt;"×",$AE404=0,$AD404=""),"計算額が下限以下のため不支給／",""))</f>
        <v/>
      </c>
      <c r="AN404" s="12" t="n"/>
      <c r="AO404" s="14">
        <f>IF($AF404="保留中",COUNTIF($AF$6:$AF404,"保留中"),"")</f>
        <v/>
      </c>
      <c r="AP404" s="14">
        <f>IF($AQ404="","",IF(SUMPRODUCT(MAX((職員マスタ!$A$6:$A$405=$B404)*(((職員マスタ!$G$6:$G$405="")+(職員マスタ!$G$6:$G$405&lt;=EOMONTH($AQ404,0)))&gt;0)*(((職員マスタ!$H$6:$H$405="")+(職員マスタ!$H$6:$H$405&gt;=$AQ404))&gt;0)*(ROW(職員マスタ!$A$6:$A$405)-5)))&gt;0,SUMPRODUCT(MAX((職員マスタ!$A$6:$A$405=$B404)*(((職員マスタ!$G$6:$G$405="")+(職員マスタ!$G$6:$G$405&lt;=EOMONTH($AQ404,0)))&gt;0)*(((職員マスタ!$H$6:$H$405="")+(職員マスタ!$H$6:$H$405&gt;=$AQ404))&gt;0)*(ROW(職員マスタ!$A$6:$A$405)-5))),IFERROR(MATCH($B404,職員マスタ!$A$6:$A$405,0),"")))</f>
        <v/>
      </c>
      <c r="AQ404" s="16">
        <f>IF(OR($B404="",$C404="",$D404=""),"",DATE($C404+2018,$D404,1))</f>
        <v/>
      </c>
    </row>
    <row r="405">
      <c r="A405" s="11" t="n"/>
      <c r="B405" s="12" t="n">
        <v>6902159</v>
      </c>
      <c r="C405" s="12" t="n">
        <v>7</v>
      </c>
      <c r="D405" s="12" t="n">
        <v>5</v>
      </c>
      <c r="E405" s="13" t="n">
        <v>166911</v>
      </c>
      <c r="F405" s="12" t="n"/>
      <c r="G405" s="13" t="n"/>
      <c r="H405" s="12" t="n"/>
      <c r="I405" s="12" t="n"/>
      <c r="J405" s="12" t="n"/>
      <c r="K405" s="12" t="n"/>
      <c r="L405" s="11" t="n"/>
      <c r="M405" s="11" t="n"/>
      <c r="N405" s="11" t="n"/>
      <c r="O405" s="11" t="n"/>
      <c r="P405" s="12" t="n"/>
      <c r="Q405" s="11" t="n"/>
      <c r="R405" s="12" t="n"/>
      <c r="S405" s="11" t="n"/>
      <c r="T405" s="12" t="n"/>
      <c r="U405" s="12" t="n"/>
      <c r="V405" s="12" t="n"/>
      <c r="W405" s="13" t="n"/>
      <c r="X405" s="14">
        <f>IF($AP405="",IF($B405="","",$H405),IF(INDEX(職員マスタ!$B$6:$B$405,$AP405)="",$H405,INDEX(職員マスタ!$B$6:$B$405,$AP405)))</f>
        <v/>
      </c>
      <c r="Y405" s="14">
        <f>IF($AP405="",IF($B405="","",$R405),IF(INDEX(職員マスタ!$C$6:$C$405,$AP405)="",$R405,INDEX(職員マスタ!$C$6:$C$405,$AP405)))</f>
        <v/>
      </c>
      <c r="Z405" s="14">
        <f>IF($AQ405="","","R"&amp;$C405&amp;"."&amp;$D405)</f>
        <v/>
      </c>
      <c r="AA405" s="15">
        <f>IF(IF($AP405="",FALSE,INDEX(職員マスタ!$K$6:$K$405,$AP405)&lt;&gt;""),INDEX(職員マスタ!$K$6:$K$405,$AP405),IF(N($W405)&gt;0,$W405,""))</f>
        <v/>
      </c>
      <c r="AB405" s="14">
        <f>IF(OR($E405="",$AA405=""),"",IF($E405&gt;=$AA405,"×",IF($E405&gt;=$AA405*設定!$C$5,"△","○")))</f>
        <v/>
      </c>
      <c r="AC405" s="15">
        <f>IF($AB405="","",IF($AB405="×",0,IF($AB405="○",ROUNDDOWN($E405*設定!$C$4,0),ROUNDDOWN($E405*ROUND((9*$AA405-9*$E405)/(10*$E405),4),0))))</f>
        <v/>
      </c>
      <c r="AD405" s="13" t="n"/>
      <c r="AE405" s="15">
        <f>IF($B405="","",IF($AD405&lt;&gt;"",$AD405,IF($AC405="","",IF($AC405&lt;=設定!$C$3,0,$AC405))))</f>
        <v/>
      </c>
      <c r="AF405" s="14">
        <f>IF($B405="","",IF(AND($AG405&lt;&gt;"",$AI405="",$AL405=""),"保留中",IF($AL405&lt;&gt;"",IF(N($AE405)&gt;0,"支給済","不支給"),IF($AE405="","要確認",IF($AE405=0,"不支給","未処理")))))</f>
        <v/>
      </c>
      <c r="AG405" s="12" t="n"/>
      <c r="AH405" s="11" t="n"/>
      <c r="AI405" s="11" t="n"/>
      <c r="AJ405" s="11" t="n"/>
      <c r="AK405" s="14">
        <f>IF(AND($AF405="保留中",$AH405&lt;&gt;""),TODAY()-$AH405,"")</f>
        <v/>
      </c>
      <c r="AL405" s="12" t="inlineStr">
        <is>
          <t>R7.9</t>
        </is>
      </c>
      <c r="AM405" s="14">
        <f>IF($B405="","",IF($AQ405="","対象年月が未入力／","")&amp;IF($B405="","",IF($AP405="","職員マスタに未登録の職員番号／",IF($AA405="","標準報酬月額が未登録／","")&amp;IF(AND($AQ405&lt;&gt;"",OR(AND(INDEX(職員マスタ!$G$6:$G$405,$AP405)&lt;&gt;"",INDEX(職員マスタ!$G$6:$G$405,$AP405)&gt;EOMONTH($AQ405,0)),AND(INDEX(職員マスタ!$H$6:$H$405,$AP405)&lt;&gt;"",INDEX(職員マスタ!$H$6:$H$405,$AP405)&lt;$AQ405))),"対象月が時短期間外／","")&amp;IF(AND(INDEX(職員マスタ!$K$6:$K$405,$AP405)&lt;&gt;"",N($W405)&gt;0,INDEX(職員マスタ!$K$6:$K$405,$AP405)&lt;&gt;$W405),"標準報酬月額が申請書と相違（台帳"&amp;TEXT(INDEX(職員マスタ!$K$6:$K$405,$AP405),"#,##0")&amp;"円／申請書"&amp;TEXT($W405,"#,##0")&amp;"円）／","")&amp;IF(AND(INDEX(職員マスタ!$F$6:$F$405,$AP405)&lt;&gt;"",$AQ405&lt;&gt;"",INDEX(職員マスタ!$F$6:$F$405,$AP405)&lt;$AQ405),"対象月に子が2歳到達済／","")&amp;IF(AND($H405&lt;&gt;"",INDEX(職員マスタ!$B$6:$B$405,$AP405)&lt;&gt;"",SUBSTITUTE(SUBSTITUTE($H405," ","")," ","")&lt;&gt;SUBSTITUTE(SUBSTITUTE(INDEX(職員マスタ!$B$6:$B$405,$AP405)," ","")," ","")),"氏名がマスタと相違／","")&amp;IF(AND($Q405&lt;&gt;"",INDEX(職員マスタ!$E$6:$E$405,$AP405)&lt;&gt;"",$Q405&lt;&gt;INDEX(職員マスタ!$E$6:$E$405,$AP405)),"子の生年月日がマスタと相違／","")&amp;IF(AND($L405&lt;&gt;"",INDEX(職員マスタ!$G$6:$G$405,$AP405)&lt;&gt;"",$L405&lt;&gt;INDEX(職員マスタ!$G$6:$G$405,$AP405)),"時短開始日がマスタと相違／","")&amp;IF(AND($M405&lt;&gt;"",INDEX(職員マスタ!$H$6:$H$405,$AP405)&lt;&gt;"",$M405&lt;&gt;INDEX(職員マスタ!$H$6:$H$405,$AP405)),"時短終了日がマスタと相違／","")))&amp;IF(AND($B405&lt;&gt;"",$E405=""),"報酬額が未入力／","")&amp;IF(N($U405)&gt;0,"申請書に入力エラーが残っています／","")&amp;IF(AND($B405&lt;&gt;"",$AQ405&lt;&gt;""),IF(COUNTIFS($B$6:$B$3005,$B405,$C$6:$C$3005,$C405,$D$6:$D$3005,$D405)&gt;1,"同じ月の請求が重複しています／",""),"")&amp;IF(AND(N($E405)&gt;0,$AB405&lt;&gt;"",$AB405&lt;&gt;"×",$AE405=0,$AD405=""),"計算額が下限以下のため不支給／",""))</f>
        <v/>
      </c>
      <c r="AN405" s="12" t="n"/>
      <c r="AO405" s="14">
        <f>IF($AF405="保留中",COUNTIF($AF$6:$AF405,"保留中"),"")</f>
        <v/>
      </c>
      <c r="AP405" s="14">
        <f>IF($AQ405="","",IF(SUMPRODUCT(MAX((職員マスタ!$A$6:$A$405=$B405)*(((職員マスタ!$G$6:$G$405="")+(職員マスタ!$G$6:$G$405&lt;=EOMONTH($AQ405,0)))&gt;0)*(((職員マスタ!$H$6:$H$405="")+(職員マスタ!$H$6:$H$405&gt;=$AQ405))&gt;0)*(ROW(職員マスタ!$A$6:$A$405)-5)))&gt;0,SUMPRODUCT(MAX((職員マスタ!$A$6:$A$405=$B405)*(((職員マスタ!$G$6:$G$405="")+(職員マスタ!$G$6:$G$405&lt;=EOMONTH($AQ405,0)))&gt;0)*(((職員マスタ!$H$6:$H$405="")+(職員マスタ!$H$6:$H$405&gt;=$AQ405))&gt;0)*(ROW(職員マスタ!$A$6:$A$405)-5))),IFERROR(MATCH($B405,職員マスタ!$A$6:$A$405,0),"")))</f>
        <v/>
      </c>
      <c r="AQ405" s="16">
        <f>IF(OR($B405="",$C405="",$D405=""),"",DATE($C405+2018,$D405,1))</f>
        <v/>
      </c>
    </row>
    <row r="406">
      <c r="A406" s="11" t="n"/>
      <c r="B406" s="12" t="n">
        <v>6902159</v>
      </c>
      <c r="C406" s="12" t="n">
        <v>7</v>
      </c>
      <c r="D406" s="12" t="n">
        <v>6</v>
      </c>
      <c r="E406" s="13" t="n">
        <v>170337</v>
      </c>
      <c r="F406" s="12" t="n"/>
      <c r="G406" s="13" t="n"/>
      <c r="H406" s="12" t="n"/>
      <c r="I406" s="12" t="n"/>
      <c r="J406" s="12" t="n"/>
      <c r="K406" s="12" t="n"/>
      <c r="L406" s="11" t="n"/>
      <c r="M406" s="11" t="n"/>
      <c r="N406" s="11" t="n"/>
      <c r="O406" s="11" t="n"/>
      <c r="P406" s="12" t="n"/>
      <c r="Q406" s="11" t="n"/>
      <c r="R406" s="12" t="n"/>
      <c r="S406" s="11" t="n"/>
      <c r="T406" s="12" t="n"/>
      <c r="U406" s="12" t="n"/>
      <c r="V406" s="12" t="n"/>
      <c r="W406" s="13" t="n"/>
      <c r="X406" s="14">
        <f>IF($AP406="",IF($B406="","",$H406),IF(INDEX(職員マスタ!$B$6:$B$405,$AP406)="",$H406,INDEX(職員マスタ!$B$6:$B$405,$AP406)))</f>
        <v/>
      </c>
      <c r="Y406" s="14">
        <f>IF($AP406="",IF($B406="","",$R406),IF(INDEX(職員マスタ!$C$6:$C$405,$AP406)="",$R406,INDEX(職員マスタ!$C$6:$C$405,$AP406)))</f>
        <v/>
      </c>
      <c r="Z406" s="14">
        <f>IF($AQ406="","","R"&amp;$C406&amp;"."&amp;$D406)</f>
        <v/>
      </c>
      <c r="AA406" s="15">
        <f>IF(IF($AP406="",FALSE,INDEX(職員マスタ!$K$6:$K$405,$AP406)&lt;&gt;""),INDEX(職員マスタ!$K$6:$K$405,$AP406),IF(N($W406)&gt;0,$W406,""))</f>
        <v/>
      </c>
      <c r="AB406" s="14">
        <f>IF(OR($E406="",$AA406=""),"",IF($E406&gt;=$AA406,"×",IF($E406&gt;=$AA406*設定!$C$5,"△","○")))</f>
        <v/>
      </c>
      <c r="AC406" s="15">
        <f>IF($AB406="","",IF($AB406="×",0,IF($AB406="○",ROUNDDOWN($E406*設定!$C$4,0),ROUNDDOWN($E406*ROUND((9*$AA406-9*$E406)/(10*$E406),4),0))))</f>
        <v/>
      </c>
      <c r="AD406" s="13" t="n"/>
      <c r="AE406" s="15">
        <f>IF($B406="","",IF($AD406&lt;&gt;"",$AD406,IF($AC406="","",IF($AC406&lt;=設定!$C$3,0,$AC406))))</f>
        <v/>
      </c>
      <c r="AF406" s="14">
        <f>IF($B406="","",IF(AND($AG406&lt;&gt;"",$AI406="",$AL406=""),"保留中",IF($AL406&lt;&gt;"",IF(N($AE406)&gt;0,"支給済","不支給"),IF($AE406="","要確認",IF($AE406=0,"不支給","未処理")))))</f>
        <v/>
      </c>
      <c r="AG406" s="12" t="n"/>
      <c r="AH406" s="11" t="n"/>
      <c r="AI406" s="11" t="n"/>
      <c r="AJ406" s="11" t="n"/>
      <c r="AK406" s="14">
        <f>IF(AND($AF406="保留中",$AH406&lt;&gt;""),TODAY()-$AH406,"")</f>
        <v/>
      </c>
      <c r="AL406" s="12" t="inlineStr">
        <is>
          <t>R7.9</t>
        </is>
      </c>
      <c r="AM406" s="14">
        <f>IF($B406="","",IF($AQ406="","対象年月が未入力／","")&amp;IF($B406="","",IF($AP406="","職員マスタに未登録の職員番号／",IF($AA406="","標準報酬月額が未登録／","")&amp;IF(AND($AQ406&lt;&gt;"",OR(AND(INDEX(職員マスタ!$G$6:$G$405,$AP406)&lt;&gt;"",INDEX(職員マスタ!$G$6:$G$405,$AP406)&gt;EOMONTH($AQ406,0)),AND(INDEX(職員マスタ!$H$6:$H$405,$AP406)&lt;&gt;"",INDEX(職員マスタ!$H$6:$H$405,$AP406)&lt;$AQ406))),"対象月が時短期間外／","")&amp;IF(AND(INDEX(職員マスタ!$K$6:$K$405,$AP406)&lt;&gt;"",N($W406)&gt;0,INDEX(職員マスタ!$K$6:$K$405,$AP406)&lt;&gt;$W406),"標準報酬月額が申請書と相違（台帳"&amp;TEXT(INDEX(職員マスタ!$K$6:$K$405,$AP406),"#,##0")&amp;"円／申請書"&amp;TEXT($W406,"#,##0")&amp;"円）／","")&amp;IF(AND(INDEX(職員マスタ!$F$6:$F$405,$AP406)&lt;&gt;"",$AQ406&lt;&gt;"",INDEX(職員マスタ!$F$6:$F$405,$AP406)&lt;$AQ406),"対象月に子が2歳到達済／","")&amp;IF(AND($H406&lt;&gt;"",INDEX(職員マスタ!$B$6:$B$405,$AP406)&lt;&gt;"",SUBSTITUTE(SUBSTITUTE($H406," ","")," ","")&lt;&gt;SUBSTITUTE(SUBSTITUTE(INDEX(職員マスタ!$B$6:$B$405,$AP406)," ","")," ","")),"氏名がマスタと相違／","")&amp;IF(AND($Q406&lt;&gt;"",INDEX(職員マスタ!$E$6:$E$405,$AP406)&lt;&gt;"",$Q406&lt;&gt;INDEX(職員マスタ!$E$6:$E$405,$AP406)),"子の生年月日がマスタと相違／","")&amp;IF(AND($L406&lt;&gt;"",INDEX(職員マスタ!$G$6:$G$405,$AP406)&lt;&gt;"",$L406&lt;&gt;INDEX(職員マスタ!$G$6:$G$405,$AP406)),"時短開始日がマスタと相違／","")&amp;IF(AND($M406&lt;&gt;"",INDEX(職員マスタ!$H$6:$H$405,$AP406)&lt;&gt;"",$M406&lt;&gt;INDEX(職員マスタ!$H$6:$H$405,$AP406)),"時短終了日がマスタと相違／","")))&amp;IF(AND($B406&lt;&gt;"",$E406=""),"報酬額が未入力／","")&amp;IF(N($U406)&gt;0,"申請書に入力エラーが残っています／","")&amp;IF(AND($B406&lt;&gt;"",$AQ406&lt;&gt;""),IF(COUNTIFS($B$6:$B$3005,$B406,$C$6:$C$3005,$C406,$D$6:$D$3005,$D406)&gt;1,"同じ月の請求が重複しています／",""),"")&amp;IF(AND(N($E406)&gt;0,$AB406&lt;&gt;"",$AB406&lt;&gt;"×",$AE406=0,$AD406=""),"計算額が下限以下のため不支給／",""))</f>
        <v/>
      </c>
      <c r="AN406" s="12" t="n"/>
      <c r="AO406" s="14">
        <f>IF($AF406="保留中",COUNTIF($AF$6:$AF406,"保留中"),"")</f>
        <v/>
      </c>
      <c r="AP406" s="14">
        <f>IF($AQ406="","",IF(SUMPRODUCT(MAX((職員マスタ!$A$6:$A$405=$B406)*(((職員マスタ!$G$6:$G$405="")+(職員マスタ!$G$6:$G$405&lt;=EOMONTH($AQ406,0)))&gt;0)*(((職員マスタ!$H$6:$H$405="")+(職員マスタ!$H$6:$H$405&gt;=$AQ406))&gt;0)*(ROW(職員マスタ!$A$6:$A$405)-5)))&gt;0,SUMPRODUCT(MAX((職員マスタ!$A$6:$A$405=$B406)*(((職員マスタ!$G$6:$G$405="")+(職員マスタ!$G$6:$G$405&lt;=EOMONTH($AQ406,0)))&gt;0)*(((職員マスタ!$H$6:$H$405="")+(職員マスタ!$H$6:$H$405&gt;=$AQ406))&gt;0)*(ROW(職員マスタ!$A$6:$A$405)-5))),IFERROR(MATCH($B406,職員マスタ!$A$6:$A$405,0),"")))</f>
        <v/>
      </c>
      <c r="AQ406" s="16">
        <f>IF(OR($B406="",$C406="",$D406=""),"",DATE($C406+2018,$D406,1))</f>
        <v/>
      </c>
    </row>
    <row r="407">
      <c r="A407" s="11" t="n"/>
      <c r="B407" s="12" t="n">
        <v>6902159</v>
      </c>
      <c r="C407" s="12" t="n">
        <v>7</v>
      </c>
      <c r="D407" s="12" t="n">
        <v>7</v>
      </c>
      <c r="E407" s="13" t="n">
        <v>170337</v>
      </c>
      <c r="F407" s="12" t="n"/>
      <c r="G407" s="13" t="n"/>
      <c r="H407" s="12" t="n"/>
      <c r="I407" s="12" t="n"/>
      <c r="J407" s="12" t="n"/>
      <c r="K407" s="12" t="n"/>
      <c r="L407" s="11" t="n"/>
      <c r="M407" s="11" t="n"/>
      <c r="N407" s="11" t="n"/>
      <c r="O407" s="11" t="n"/>
      <c r="P407" s="12" t="n"/>
      <c r="Q407" s="11" t="n"/>
      <c r="R407" s="12" t="n"/>
      <c r="S407" s="11" t="n"/>
      <c r="T407" s="12" t="n"/>
      <c r="U407" s="12" t="n"/>
      <c r="V407" s="12" t="n"/>
      <c r="W407" s="13" t="n"/>
      <c r="X407" s="14">
        <f>IF($AP407="",IF($B407="","",$H407),IF(INDEX(職員マスタ!$B$6:$B$405,$AP407)="",$H407,INDEX(職員マスタ!$B$6:$B$405,$AP407)))</f>
        <v/>
      </c>
      <c r="Y407" s="14">
        <f>IF($AP407="",IF($B407="","",$R407),IF(INDEX(職員マスタ!$C$6:$C$405,$AP407)="",$R407,INDEX(職員マスタ!$C$6:$C$405,$AP407)))</f>
        <v/>
      </c>
      <c r="Z407" s="14">
        <f>IF($AQ407="","","R"&amp;$C407&amp;"."&amp;$D407)</f>
        <v/>
      </c>
      <c r="AA407" s="15">
        <f>IF(IF($AP407="",FALSE,INDEX(職員マスタ!$K$6:$K$405,$AP407)&lt;&gt;""),INDEX(職員マスタ!$K$6:$K$405,$AP407),IF(N($W407)&gt;0,$W407,""))</f>
        <v/>
      </c>
      <c r="AB407" s="14">
        <f>IF(OR($E407="",$AA407=""),"",IF($E407&gt;=$AA407,"×",IF($E407&gt;=$AA407*設定!$C$5,"△","○")))</f>
        <v/>
      </c>
      <c r="AC407" s="15">
        <f>IF($AB407="","",IF($AB407="×",0,IF($AB407="○",ROUNDDOWN($E407*設定!$C$4,0),ROUNDDOWN($E407*ROUND((9*$AA407-9*$E407)/(10*$E407),4),0))))</f>
        <v/>
      </c>
      <c r="AD407" s="13" t="n"/>
      <c r="AE407" s="15">
        <f>IF($B407="","",IF($AD407&lt;&gt;"",$AD407,IF($AC407="","",IF($AC407&lt;=設定!$C$3,0,$AC407))))</f>
        <v/>
      </c>
      <c r="AF407" s="14">
        <f>IF($B407="","",IF(AND($AG407&lt;&gt;"",$AI407="",$AL407=""),"保留中",IF($AL407&lt;&gt;"",IF(N($AE407)&gt;0,"支給済","不支給"),IF($AE407="","要確認",IF($AE407=0,"不支給","未処理")))))</f>
        <v/>
      </c>
      <c r="AG407" s="12" t="n"/>
      <c r="AH407" s="11" t="n"/>
      <c r="AI407" s="11" t="n"/>
      <c r="AJ407" s="11" t="n"/>
      <c r="AK407" s="14">
        <f>IF(AND($AF407="保留中",$AH407&lt;&gt;""),TODAY()-$AH407,"")</f>
        <v/>
      </c>
      <c r="AL407" s="12" t="inlineStr">
        <is>
          <t>R7.9</t>
        </is>
      </c>
      <c r="AM407" s="14">
        <f>IF($B407="","",IF($AQ407="","対象年月が未入力／","")&amp;IF($B407="","",IF($AP407="","職員マスタに未登録の職員番号／",IF($AA407="","標準報酬月額が未登録／","")&amp;IF(AND($AQ407&lt;&gt;"",OR(AND(INDEX(職員マスタ!$G$6:$G$405,$AP407)&lt;&gt;"",INDEX(職員マスタ!$G$6:$G$405,$AP407)&gt;EOMONTH($AQ407,0)),AND(INDEX(職員マスタ!$H$6:$H$405,$AP407)&lt;&gt;"",INDEX(職員マスタ!$H$6:$H$405,$AP407)&lt;$AQ407))),"対象月が時短期間外／","")&amp;IF(AND(INDEX(職員マスタ!$K$6:$K$405,$AP407)&lt;&gt;"",N($W407)&gt;0,INDEX(職員マスタ!$K$6:$K$405,$AP407)&lt;&gt;$W407),"標準報酬月額が申請書と相違（台帳"&amp;TEXT(INDEX(職員マスタ!$K$6:$K$405,$AP407),"#,##0")&amp;"円／申請書"&amp;TEXT($W407,"#,##0")&amp;"円）／","")&amp;IF(AND(INDEX(職員マスタ!$F$6:$F$405,$AP407)&lt;&gt;"",$AQ407&lt;&gt;"",INDEX(職員マスタ!$F$6:$F$405,$AP407)&lt;$AQ407),"対象月に子が2歳到達済／","")&amp;IF(AND($H407&lt;&gt;"",INDEX(職員マスタ!$B$6:$B$405,$AP407)&lt;&gt;"",SUBSTITUTE(SUBSTITUTE($H407," ","")," ","")&lt;&gt;SUBSTITUTE(SUBSTITUTE(INDEX(職員マスタ!$B$6:$B$405,$AP407)," ","")," ","")),"氏名がマスタと相違／","")&amp;IF(AND($Q407&lt;&gt;"",INDEX(職員マスタ!$E$6:$E$405,$AP407)&lt;&gt;"",$Q407&lt;&gt;INDEX(職員マスタ!$E$6:$E$405,$AP407)),"子の生年月日がマスタと相違／","")&amp;IF(AND($L407&lt;&gt;"",INDEX(職員マスタ!$G$6:$G$405,$AP407)&lt;&gt;"",$L407&lt;&gt;INDEX(職員マスタ!$G$6:$G$405,$AP407)),"時短開始日がマスタと相違／","")&amp;IF(AND($M407&lt;&gt;"",INDEX(職員マスタ!$H$6:$H$405,$AP407)&lt;&gt;"",$M407&lt;&gt;INDEX(職員マスタ!$H$6:$H$405,$AP407)),"時短終了日がマスタと相違／","")))&amp;IF(AND($B407&lt;&gt;"",$E407=""),"報酬額が未入力／","")&amp;IF(N($U407)&gt;0,"申請書に入力エラーが残っています／","")&amp;IF(AND($B407&lt;&gt;"",$AQ407&lt;&gt;""),IF(COUNTIFS($B$6:$B$3005,$B407,$C$6:$C$3005,$C407,$D$6:$D$3005,$D407)&gt;1,"同じ月の請求が重複しています／",""),"")&amp;IF(AND(N($E407)&gt;0,$AB407&lt;&gt;"",$AB407&lt;&gt;"×",$AE407=0,$AD407=""),"計算額が下限以下のため不支給／",""))</f>
        <v/>
      </c>
      <c r="AN407" s="12" t="n"/>
      <c r="AO407" s="14">
        <f>IF($AF407="保留中",COUNTIF($AF$6:$AF407,"保留中"),"")</f>
        <v/>
      </c>
      <c r="AP407" s="14">
        <f>IF($AQ407="","",IF(SUMPRODUCT(MAX((職員マスタ!$A$6:$A$405=$B407)*(((職員マスタ!$G$6:$G$405="")+(職員マスタ!$G$6:$G$405&lt;=EOMONTH($AQ407,0)))&gt;0)*(((職員マスタ!$H$6:$H$405="")+(職員マスタ!$H$6:$H$405&gt;=$AQ407))&gt;0)*(ROW(職員マスタ!$A$6:$A$405)-5)))&gt;0,SUMPRODUCT(MAX((職員マスタ!$A$6:$A$405=$B407)*(((職員マスタ!$G$6:$G$405="")+(職員マスタ!$G$6:$G$405&lt;=EOMONTH($AQ407,0)))&gt;0)*(((職員マスタ!$H$6:$H$405="")+(職員マスタ!$H$6:$H$405&gt;=$AQ407))&gt;0)*(ROW(職員マスタ!$A$6:$A$405)-5))),IFERROR(MATCH($B407,職員マスタ!$A$6:$A$405,0),"")))</f>
        <v/>
      </c>
      <c r="AQ407" s="16">
        <f>IF(OR($B407="",$C407="",$D407=""),"",DATE($C407+2018,$D407,1))</f>
        <v/>
      </c>
    </row>
    <row r="408">
      <c r="A408" s="11" t="n"/>
      <c r="B408" s="12" t="n">
        <v>6902159</v>
      </c>
      <c r="C408" s="12" t="n">
        <v>7</v>
      </c>
      <c r="D408" s="12" t="n">
        <v>8</v>
      </c>
      <c r="E408" s="13" t="n">
        <v>172050</v>
      </c>
      <c r="F408" s="12" t="n"/>
      <c r="G408" s="13" t="n"/>
      <c r="H408" s="12" t="n"/>
      <c r="I408" s="12" t="n"/>
      <c r="J408" s="12" t="n"/>
      <c r="K408" s="12" t="n"/>
      <c r="L408" s="11" t="n"/>
      <c r="M408" s="11" t="n"/>
      <c r="N408" s="11" t="n"/>
      <c r="O408" s="11" t="n"/>
      <c r="P408" s="12" t="n"/>
      <c r="Q408" s="11" t="n"/>
      <c r="R408" s="12" t="n"/>
      <c r="S408" s="11" t="n"/>
      <c r="T408" s="12" t="n"/>
      <c r="U408" s="12" t="n"/>
      <c r="V408" s="12" t="n"/>
      <c r="W408" s="13" t="n"/>
      <c r="X408" s="14">
        <f>IF($AP408="",IF($B408="","",$H408),IF(INDEX(職員マスタ!$B$6:$B$405,$AP408)="",$H408,INDEX(職員マスタ!$B$6:$B$405,$AP408)))</f>
        <v/>
      </c>
      <c r="Y408" s="14">
        <f>IF($AP408="",IF($B408="","",$R408),IF(INDEX(職員マスタ!$C$6:$C$405,$AP408)="",$R408,INDEX(職員マスタ!$C$6:$C$405,$AP408)))</f>
        <v/>
      </c>
      <c r="Z408" s="14">
        <f>IF($AQ408="","","R"&amp;$C408&amp;"."&amp;$D408)</f>
        <v/>
      </c>
      <c r="AA408" s="15">
        <f>IF(IF($AP408="",FALSE,INDEX(職員マスタ!$K$6:$K$405,$AP408)&lt;&gt;""),INDEX(職員マスタ!$K$6:$K$405,$AP408),IF(N($W408)&gt;0,$W408,""))</f>
        <v/>
      </c>
      <c r="AB408" s="14">
        <f>IF(OR($E408="",$AA408=""),"",IF($E408&gt;=$AA408,"×",IF($E408&gt;=$AA408*設定!$C$5,"△","○")))</f>
        <v/>
      </c>
      <c r="AC408" s="15">
        <f>IF($AB408="","",IF($AB408="×",0,IF($AB408="○",ROUNDDOWN($E408*設定!$C$4,0),ROUNDDOWN($E408*ROUND((9*$AA408-9*$E408)/(10*$E408),4),0))))</f>
        <v/>
      </c>
      <c r="AD408" s="13" t="n"/>
      <c r="AE408" s="15">
        <f>IF($B408="","",IF($AD408&lt;&gt;"",$AD408,IF($AC408="","",IF($AC408&lt;=設定!$C$3,0,$AC408))))</f>
        <v/>
      </c>
      <c r="AF408" s="14">
        <f>IF($B408="","",IF(AND($AG408&lt;&gt;"",$AI408="",$AL408=""),"保留中",IF($AL408&lt;&gt;"",IF(N($AE408)&gt;0,"支給済","不支給"),IF($AE408="","要確認",IF($AE408=0,"不支給","未処理")))))</f>
        <v/>
      </c>
      <c r="AG408" s="12" t="n"/>
      <c r="AH408" s="11" t="n"/>
      <c r="AI408" s="11" t="n"/>
      <c r="AJ408" s="11" t="n"/>
      <c r="AK408" s="14">
        <f>IF(AND($AF408="保留中",$AH408&lt;&gt;""),TODAY()-$AH408,"")</f>
        <v/>
      </c>
      <c r="AL408" s="12" t="inlineStr">
        <is>
          <t>R7.10</t>
        </is>
      </c>
      <c r="AM408" s="14">
        <f>IF($B408="","",IF($AQ408="","対象年月が未入力／","")&amp;IF($B408="","",IF($AP408="","職員マスタに未登録の職員番号／",IF($AA408="","標準報酬月額が未登録／","")&amp;IF(AND($AQ408&lt;&gt;"",OR(AND(INDEX(職員マスタ!$G$6:$G$405,$AP408)&lt;&gt;"",INDEX(職員マスタ!$G$6:$G$405,$AP408)&gt;EOMONTH($AQ408,0)),AND(INDEX(職員マスタ!$H$6:$H$405,$AP408)&lt;&gt;"",INDEX(職員マスタ!$H$6:$H$405,$AP408)&lt;$AQ408))),"対象月が時短期間外／","")&amp;IF(AND(INDEX(職員マスタ!$K$6:$K$405,$AP408)&lt;&gt;"",N($W408)&gt;0,INDEX(職員マスタ!$K$6:$K$405,$AP408)&lt;&gt;$W408),"標準報酬月額が申請書と相違（台帳"&amp;TEXT(INDEX(職員マスタ!$K$6:$K$405,$AP408),"#,##0")&amp;"円／申請書"&amp;TEXT($W408,"#,##0")&amp;"円）／","")&amp;IF(AND(INDEX(職員マスタ!$F$6:$F$405,$AP408)&lt;&gt;"",$AQ408&lt;&gt;"",INDEX(職員マスタ!$F$6:$F$405,$AP408)&lt;$AQ408),"対象月に子が2歳到達済／","")&amp;IF(AND($H408&lt;&gt;"",INDEX(職員マスタ!$B$6:$B$405,$AP408)&lt;&gt;"",SUBSTITUTE(SUBSTITUTE($H408," ","")," ","")&lt;&gt;SUBSTITUTE(SUBSTITUTE(INDEX(職員マスタ!$B$6:$B$405,$AP408)," ","")," ","")),"氏名がマスタと相違／","")&amp;IF(AND($Q408&lt;&gt;"",INDEX(職員マスタ!$E$6:$E$405,$AP408)&lt;&gt;"",$Q408&lt;&gt;INDEX(職員マスタ!$E$6:$E$405,$AP408)),"子の生年月日がマスタと相違／","")&amp;IF(AND($L408&lt;&gt;"",INDEX(職員マスタ!$G$6:$G$405,$AP408)&lt;&gt;"",$L408&lt;&gt;INDEX(職員マスタ!$G$6:$G$405,$AP408)),"時短開始日がマスタと相違／","")&amp;IF(AND($M408&lt;&gt;"",INDEX(職員マスタ!$H$6:$H$405,$AP408)&lt;&gt;"",$M408&lt;&gt;INDEX(職員マスタ!$H$6:$H$405,$AP408)),"時短終了日がマスタと相違／","")))&amp;IF(AND($B408&lt;&gt;"",$E408=""),"報酬額が未入力／","")&amp;IF(N($U408)&gt;0,"申請書に入力エラーが残っています／","")&amp;IF(AND($B408&lt;&gt;"",$AQ408&lt;&gt;""),IF(COUNTIFS($B$6:$B$3005,$B408,$C$6:$C$3005,$C408,$D$6:$D$3005,$D408)&gt;1,"同じ月の請求が重複しています／",""),"")&amp;IF(AND(N($E408)&gt;0,$AB408&lt;&gt;"",$AB408&lt;&gt;"×",$AE408=0,$AD408=""),"計算額が下限以下のため不支給／",""))</f>
        <v/>
      </c>
      <c r="AN408" s="12" t="n"/>
      <c r="AO408" s="14">
        <f>IF($AF408="保留中",COUNTIF($AF$6:$AF408,"保留中"),"")</f>
        <v/>
      </c>
      <c r="AP408" s="14">
        <f>IF($AQ408="","",IF(SUMPRODUCT(MAX((職員マスタ!$A$6:$A$405=$B408)*(((職員マスタ!$G$6:$G$405="")+(職員マスタ!$G$6:$G$405&lt;=EOMONTH($AQ408,0)))&gt;0)*(((職員マスタ!$H$6:$H$405="")+(職員マスタ!$H$6:$H$405&gt;=$AQ408))&gt;0)*(ROW(職員マスタ!$A$6:$A$405)-5)))&gt;0,SUMPRODUCT(MAX((職員マスタ!$A$6:$A$405=$B408)*(((職員マスタ!$G$6:$G$405="")+(職員マスタ!$G$6:$G$405&lt;=EOMONTH($AQ408,0)))&gt;0)*(((職員マスタ!$H$6:$H$405="")+(職員マスタ!$H$6:$H$405&gt;=$AQ408))&gt;0)*(ROW(職員マスタ!$A$6:$A$405)-5))),IFERROR(MATCH($B408,職員マスタ!$A$6:$A$405,0),"")))</f>
        <v/>
      </c>
      <c r="AQ408" s="16">
        <f>IF(OR($B408="",$C408="",$D408=""),"",DATE($C408+2018,$D408,1))</f>
        <v/>
      </c>
    </row>
    <row r="409">
      <c r="A409" s="11" t="n"/>
      <c r="B409" s="12" t="n">
        <v>6902159</v>
      </c>
      <c r="C409" s="12" t="n">
        <v>7</v>
      </c>
      <c r="D409" s="12" t="n">
        <v>9</v>
      </c>
      <c r="E409" s="13" t="n">
        <v>170337</v>
      </c>
      <c r="F409" s="12" t="n"/>
      <c r="G409" s="13" t="n"/>
      <c r="H409" s="12" t="n"/>
      <c r="I409" s="12" t="n"/>
      <c r="J409" s="12" t="n"/>
      <c r="K409" s="12" t="n"/>
      <c r="L409" s="11" t="n"/>
      <c r="M409" s="11" t="n"/>
      <c r="N409" s="11" t="n"/>
      <c r="O409" s="11" t="n"/>
      <c r="P409" s="12" t="n"/>
      <c r="Q409" s="11" t="n"/>
      <c r="R409" s="12" t="n"/>
      <c r="S409" s="11" t="n"/>
      <c r="T409" s="12" t="n"/>
      <c r="U409" s="12" t="n"/>
      <c r="V409" s="12" t="n"/>
      <c r="W409" s="13" t="n"/>
      <c r="X409" s="14">
        <f>IF($AP409="",IF($B409="","",$H409),IF(INDEX(職員マスタ!$B$6:$B$405,$AP409)="",$H409,INDEX(職員マスタ!$B$6:$B$405,$AP409)))</f>
        <v/>
      </c>
      <c r="Y409" s="14">
        <f>IF($AP409="",IF($B409="","",$R409),IF(INDEX(職員マスタ!$C$6:$C$405,$AP409)="",$R409,INDEX(職員マスタ!$C$6:$C$405,$AP409)))</f>
        <v/>
      </c>
      <c r="Z409" s="14">
        <f>IF($AQ409="","","R"&amp;$C409&amp;"."&amp;$D409)</f>
        <v/>
      </c>
      <c r="AA409" s="15">
        <f>IF(IF($AP409="",FALSE,INDEX(職員マスタ!$K$6:$K$405,$AP409)&lt;&gt;""),INDEX(職員マスタ!$K$6:$K$405,$AP409),IF(N($W409)&gt;0,$W409,""))</f>
        <v/>
      </c>
      <c r="AB409" s="14">
        <f>IF(OR($E409="",$AA409=""),"",IF($E409&gt;=$AA409,"×",IF($E409&gt;=$AA409*設定!$C$5,"△","○")))</f>
        <v/>
      </c>
      <c r="AC409" s="15">
        <f>IF($AB409="","",IF($AB409="×",0,IF($AB409="○",ROUNDDOWN($E409*設定!$C$4,0),ROUNDDOWN($E409*ROUND((9*$AA409-9*$E409)/(10*$E409),4),0))))</f>
        <v/>
      </c>
      <c r="AD409" s="13" t="n"/>
      <c r="AE409" s="15">
        <f>IF($B409="","",IF($AD409&lt;&gt;"",$AD409,IF($AC409="","",IF($AC409&lt;=設定!$C$3,0,$AC409))))</f>
        <v/>
      </c>
      <c r="AF409" s="14">
        <f>IF($B409="","",IF(AND($AG409&lt;&gt;"",$AI409="",$AL409=""),"保留中",IF($AL409&lt;&gt;"",IF(N($AE409)&gt;0,"支給済","不支給"),IF($AE409="","要確認",IF($AE409=0,"不支給","未処理")))))</f>
        <v/>
      </c>
      <c r="AG409" s="12" t="n"/>
      <c r="AH409" s="11" t="n"/>
      <c r="AI409" s="11" t="n"/>
      <c r="AJ409" s="11" t="n"/>
      <c r="AK409" s="14">
        <f>IF(AND($AF409="保留中",$AH409&lt;&gt;""),TODAY()-$AH409,"")</f>
        <v/>
      </c>
      <c r="AL409" s="12" t="inlineStr">
        <is>
          <t>R7.11</t>
        </is>
      </c>
      <c r="AM409" s="14">
        <f>IF($B409="","",IF($AQ409="","対象年月が未入力／","")&amp;IF($B409="","",IF($AP409="","職員マスタに未登録の職員番号／",IF($AA409="","標準報酬月額が未登録／","")&amp;IF(AND($AQ409&lt;&gt;"",OR(AND(INDEX(職員マスタ!$G$6:$G$405,$AP409)&lt;&gt;"",INDEX(職員マスタ!$G$6:$G$405,$AP409)&gt;EOMONTH($AQ409,0)),AND(INDEX(職員マスタ!$H$6:$H$405,$AP409)&lt;&gt;"",INDEX(職員マスタ!$H$6:$H$405,$AP409)&lt;$AQ409))),"対象月が時短期間外／","")&amp;IF(AND(INDEX(職員マスタ!$K$6:$K$405,$AP409)&lt;&gt;"",N($W409)&gt;0,INDEX(職員マスタ!$K$6:$K$405,$AP409)&lt;&gt;$W409),"標準報酬月額が申請書と相違（台帳"&amp;TEXT(INDEX(職員マスタ!$K$6:$K$405,$AP409),"#,##0")&amp;"円／申請書"&amp;TEXT($W409,"#,##0")&amp;"円）／","")&amp;IF(AND(INDEX(職員マスタ!$F$6:$F$405,$AP409)&lt;&gt;"",$AQ409&lt;&gt;"",INDEX(職員マスタ!$F$6:$F$405,$AP409)&lt;$AQ409),"対象月に子が2歳到達済／","")&amp;IF(AND($H409&lt;&gt;"",INDEX(職員マスタ!$B$6:$B$405,$AP409)&lt;&gt;"",SUBSTITUTE(SUBSTITUTE($H409," ","")," ","")&lt;&gt;SUBSTITUTE(SUBSTITUTE(INDEX(職員マスタ!$B$6:$B$405,$AP409)," ","")," ","")),"氏名がマスタと相違／","")&amp;IF(AND($Q409&lt;&gt;"",INDEX(職員マスタ!$E$6:$E$405,$AP409)&lt;&gt;"",$Q409&lt;&gt;INDEX(職員マスタ!$E$6:$E$405,$AP409)),"子の生年月日がマスタと相違／","")&amp;IF(AND($L409&lt;&gt;"",INDEX(職員マスタ!$G$6:$G$405,$AP409)&lt;&gt;"",$L409&lt;&gt;INDEX(職員マスタ!$G$6:$G$405,$AP409)),"時短開始日がマスタと相違／","")&amp;IF(AND($M409&lt;&gt;"",INDEX(職員マスタ!$H$6:$H$405,$AP409)&lt;&gt;"",$M409&lt;&gt;INDEX(職員マスタ!$H$6:$H$405,$AP409)),"時短終了日がマスタと相違／","")))&amp;IF(AND($B409&lt;&gt;"",$E409=""),"報酬額が未入力／","")&amp;IF(N($U409)&gt;0,"申請書に入力エラーが残っています／","")&amp;IF(AND($B409&lt;&gt;"",$AQ409&lt;&gt;""),IF(COUNTIFS($B$6:$B$3005,$B409,$C$6:$C$3005,$C409,$D$6:$D$3005,$D409)&gt;1,"同じ月の請求が重複しています／",""),"")&amp;IF(AND(N($E409)&gt;0,$AB409&lt;&gt;"",$AB409&lt;&gt;"×",$AE409=0,$AD409=""),"計算額が下限以下のため不支給／",""))</f>
        <v/>
      </c>
      <c r="AN409" s="12" t="n"/>
      <c r="AO409" s="14">
        <f>IF($AF409="保留中",COUNTIF($AF$6:$AF409,"保留中"),"")</f>
        <v/>
      </c>
      <c r="AP409" s="14">
        <f>IF($AQ409="","",IF(SUMPRODUCT(MAX((職員マスタ!$A$6:$A$405=$B409)*(((職員マスタ!$G$6:$G$405="")+(職員マスタ!$G$6:$G$405&lt;=EOMONTH($AQ409,0)))&gt;0)*(((職員マスタ!$H$6:$H$405="")+(職員マスタ!$H$6:$H$405&gt;=$AQ409))&gt;0)*(ROW(職員マスタ!$A$6:$A$405)-5)))&gt;0,SUMPRODUCT(MAX((職員マスタ!$A$6:$A$405=$B409)*(((職員マスタ!$G$6:$G$405="")+(職員マスタ!$G$6:$G$405&lt;=EOMONTH($AQ409,0)))&gt;0)*(((職員マスタ!$H$6:$H$405="")+(職員マスタ!$H$6:$H$405&gt;=$AQ409))&gt;0)*(ROW(職員マスタ!$A$6:$A$405)-5))),IFERROR(MATCH($B409,職員マスタ!$A$6:$A$405,0),"")))</f>
        <v/>
      </c>
      <c r="AQ409" s="16">
        <f>IF(OR($B409="",$C409="",$D409=""),"",DATE($C409+2018,$D409,1))</f>
        <v/>
      </c>
    </row>
    <row r="410">
      <c r="A410" s="11" t="n"/>
      <c r="B410" s="12" t="n">
        <v>6902241</v>
      </c>
      <c r="C410" s="12" t="n">
        <v>8</v>
      </c>
      <c r="D410" s="12" t="n">
        <v>4</v>
      </c>
      <c r="E410" s="13" t="n">
        <v>184684</v>
      </c>
      <c r="F410" s="12" t="n"/>
      <c r="G410" s="13" t="n"/>
      <c r="H410" s="12" t="n"/>
      <c r="I410" s="12" t="n"/>
      <c r="J410" s="12" t="n"/>
      <c r="K410" s="12" t="n"/>
      <c r="L410" s="11" t="n"/>
      <c r="M410" s="11" t="n"/>
      <c r="N410" s="11" t="n"/>
      <c r="O410" s="11" t="n"/>
      <c r="P410" s="12" t="n"/>
      <c r="Q410" s="11" t="n"/>
      <c r="R410" s="12" t="n"/>
      <c r="S410" s="11" t="n"/>
      <c r="T410" s="12" t="n"/>
      <c r="U410" s="12" t="n"/>
      <c r="V410" s="12" t="n"/>
      <c r="W410" s="13" t="n"/>
      <c r="X410" s="14">
        <f>IF($AP410="",IF($B410="","",$H410),IF(INDEX(職員マスタ!$B$6:$B$405,$AP410)="",$H410,INDEX(職員マスタ!$B$6:$B$405,$AP410)))</f>
        <v/>
      </c>
      <c r="Y410" s="14">
        <f>IF($AP410="",IF($B410="","",$R410),IF(INDEX(職員マスタ!$C$6:$C$405,$AP410)="",$R410,INDEX(職員マスタ!$C$6:$C$405,$AP410)))</f>
        <v/>
      </c>
      <c r="Z410" s="14">
        <f>IF($AQ410="","","R"&amp;$C410&amp;"."&amp;$D410)</f>
        <v/>
      </c>
      <c r="AA410" s="15">
        <f>IF(IF($AP410="",FALSE,INDEX(職員マスタ!$K$6:$K$405,$AP410)&lt;&gt;""),INDEX(職員マスタ!$K$6:$K$405,$AP410),IF(N($W410)&gt;0,$W410,""))</f>
        <v/>
      </c>
      <c r="AB410" s="14">
        <f>IF(OR($E410="",$AA410=""),"",IF($E410&gt;=$AA410,"×",IF($E410&gt;=$AA410*設定!$C$5,"△","○")))</f>
        <v/>
      </c>
      <c r="AC410" s="15">
        <f>IF($AB410="","",IF($AB410="×",0,IF($AB410="○",ROUNDDOWN($E410*設定!$C$4,0),ROUNDDOWN($E410*ROUND((9*$AA410-9*$E410)/(10*$E410),4),0))))</f>
        <v/>
      </c>
      <c r="AD410" s="13" t="n"/>
      <c r="AE410" s="15">
        <f>IF($B410="","",IF($AD410&lt;&gt;"",$AD410,IF($AC410="","",IF($AC410&lt;=設定!$C$3,0,$AC410))))</f>
        <v/>
      </c>
      <c r="AF410" s="14">
        <f>IF($B410="","",IF(AND($AG410&lt;&gt;"",$AI410="",$AL410=""),"保留中",IF($AL410&lt;&gt;"",IF(N($AE410)&gt;0,"支給済","不支給"),IF($AE410="","要確認",IF($AE410=0,"不支給","未処理")))))</f>
        <v/>
      </c>
      <c r="AG410" s="12" t="n"/>
      <c r="AH410" s="11" t="n"/>
      <c r="AI410" s="11" t="n"/>
      <c r="AJ410" s="11" t="n"/>
      <c r="AK410" s="14">
        <f>IF(AND($AF410="保留中",$AH410&lt;&gt;""),TODAY()-$AH410,"")</f>
        <v/>
      </c>
      <c r="AL410" s="12" t="inlineStr">
        <is>
          <t>R8.10</t>
        </is>
      </c>
      <c r="AM410" s="14">
        <f>IF($B410="","",IF($AQ410="","対象年月が未入力／","")&amp;IF($B410="","",IF($AP410="","職員マスタに未登録の職員番号／",IF($AA410="","標準報酬月額が未登録／","")&amp;IF(AND($AQ410&lt;&gt;"",OR(AND(INDEX(職員マスタ!$G$6:$G$405,$AP410)&lt;&gt;"",INDEX(職員マスタ!$G$6:$G$405,$AP410)&gt;EOMONTH($AQ410,0)),AND(INDEX(職員マスタ!$H$6:$H$405,$AP410)&lt;&gt;"",INDEX(職員マスタ!$H$6:$H$405,$AP410)&lt;$AQ410))),"対象月が時短期間外／","")&amp;IF(AND(INDEX(職員マスタ!$K$6:$K$405,$AP410)&lt;&gt;"",N($W410)&gt;0,INDEX(職員マスタ!$K$6:$K$405,$AP410)&lt;&gt;$W410),"標準報酬月額が申請書と相違（台帳"&amp;TEXT(INDEX(職員マスタ!$K$6:$K$405,$AP410),"#,##0")&amp;"円／申請書"&amp;TEXT($W410,"#,##0")&amp;"円）／","")&amp;IF(AND(INDEX(職員マスタ!$F$6:$F$405,$AP410)&lt;&gt;"",$AQ410&lt;&gt;"",INDEX(職員マスタ!$F$6:$F$405,$AP410)&lt;$AQ410),"対象月に子が2歳到達済／","")&amp;IF(AND($H410&lt;&gt;"",INDEX(職員マスタ!$B$6:$B$405,$AP410)&lt;&gt;"",SUBSTITUTE(SUBSTITUTE($H410," ","")," ","")&lt;&gt;SUBSTITUTE(SUBSTITUTE(INDEX(職員マスタ!$B$6:$B$405,$AP410)," ","")," ","")),"氏名がマスタと相違／","")&amp;IF(AND($Q410&lt;&gt;"",INDEX(職員マスタ!$E$6:$E$405,$AP410)&lt;&gt;"",$Q410&lt;&gt;INDEX(職員マスタ!$E$6:$E$405,$AP410)),"子の生年月日がマスタと相違／","")&amp;IF(AND($L410&lt;&gt;"",INDEX(職員マスタ!$G$6:$G$405,$AP410)&lt;&gt;"",$L410&lt;&gt;INDEX(職員マスタ!$G$6:$G$405,$AP410)),"時短開始日がマスタと相違／","")&amp;IF(AND($M410&lt;&gt;"",INDEX(職員マスタ!$H$6:$H$405,$AP410)&lt;&gt;"",$M410&lt;&gt;INDEX(職員マスタ!$H$6:$H$405,$AP410)),"時短終了日がマスタと相違／","")))&amp;IF(AND($B410&lt;&gt;"",$E410=""),"報酬額が未入力／","")&amp;IF(N($U410)&gt;0,"申請書に入力エラーが残っています／","")&amp;IF(AND($B410&lt;&gt;"",$AQ410&lt;&gt;""),IF(COUNTIFS($B$6:$B$3005,$B410,$C$6:$C$3005,$C410,$D$6:$D$3005,$D410)&gt;1,"同じ月の請求が重複しています／",""),"")&amp;IF(AND(N($E410)&gt;0,$AB410&lt;&gt;"",$AB410&lt;&gt;"×",$AE410=0,$AD410=""),"計算額が下限以下のため不支給／",""))</f>
        <v/>
      </c>
      <c r="AN410" s="12" t="n"/>
      <c r="AO410" s="14">
        <f>IF($AF410="保留中",COUNTIF($AF$6:$AF410,"保留中"),"")</f>
        <v/>
      </c>
      <c r="AP410" s="14">
        <f>IF($AQ410="","",IF(SUMPRODUCT(MAX((職員マスタ!$A$6:$A$405=$B410)*(((職員マスタ!$G$6:$G$405="")+(職員マスタ!$G$6:$G$405&lt;=EOMONTH($AQ410,0)))&gt;0)*(((職員マスタ!$H$6:$H$405="")+(職員マスタ!$H$6:$H$405&gt;=$AQ410))&gt;0)*(ROW(職員マスタ!$A$6:$A$405)-5)))&gt;0,SUMPRODUCT(MAX((職員マスタ!$A$6:$A$405=$B410)*(((職員マスタ!$G$6:$G$405="")+(職員マスタ!$G$6:$G$405&lt;=EOMONTH($AQ410,0)))&gt;0)*(((職員マスタ!$H$6:$H$405="")+(職員マスタ!$H$6:$H$405&gt;=$AQ410))&gt;0)*(ROW(職員マスタ!$A$6:$A$405)-5))),IFERROR(MATCH($B410,職員マスタ!$A$6:$A$405,0),"")))</f>
        <v/>
      </c>
      <c r="AQ410" s="16">
        <f>IF(OR($B410="",$C410="",$D410=""),"",DATE($C410+2018,$D410,1))</f>
        <v/>
      </c>
    </row>
    <row r="411">
      <c r="A411" s="11" t="n"/>
      <c r="B411" s="12" t="n">
        <v>6902241</v>
      </c>
      <c r="C411" s="12" t="n">
        <v>8</v>
      </c>
      <c r="D411" s="12" t="n">
        <v>5</v>
      </c>
      <c r="E411" s="13" t="n">
        <v>190273</v>
      </c>
      <c r="F411" s="12" t="n"/>
      <c r="G411" s="13" t="n"/>
      <c r="H411" s="12" t="n"/>
      <c r="I411" s="12" t="n"/>
      <c r="J411" s="12" t="n"/>
      <c r="K411" s="12" t="n"/>
      <c r="L411" s="11" t="n"/>
      <c r="M411" s="11" t="n"/>
      <c r="N411" s="11" t="n"/>
      <c r="O411" s="11" t="n"/>
      <c r="P411" s="12" t="n"/>
      <c r="Q411" s="11" t="n"/>
      <c r="R411" s="12" t="n"/>
      <c r="S411" s="11" t="n"/>
      <c r="T411" s="12" t="n"/>
      <c r="U411" s="12" t="n"/>
      <c r="V411" s="12" t="n"/>
      <c r="W411" s="13" t="n"/>
      <c r="X411" s="14">
        <f>IF($AP411="",IF($B411="","",$H411),IF(INDEX(職員マスタ!$B$6:$B$405,$AP411)="",$H411,INDEX(職員マスタ!$B$6:$B$405,$AP411)))</f>
        <v/>
      </c>
      <c r="Y411" s="14">
        <f>IF($AP411="",IF($B411="","",$R411),IF(INDEX(職員マスタ!$C$6:$C$405,$AP411)="",$R411,INDEX(職員マスタ!$C$6:$C$405,$AP411)))</f>
        <v/>
      </c>
      <c r="Z411" s="14">
        <f>IF($AQ411="","","R"&amp;$C411&amp;"."&amp;$D411)</f>
        <v/>
      </c>
      <c r="AA411" s="15">
        <f>IF(IF($AP411="",FALSE,INDEX(職員マスタ!$K$6:$K$405,$AP411)&lt;&gt;""),INDEX(職員マスタ!$K$6:$K$405,$AP411),IF(N($W411)&gt;0,$W411,""))</f>
        <v/>
      </c>
      <c r="AB411" s="14">
        <f>IF(OR($E411="",$AA411=""),"",IF($E411&gt;=$AA411,"×",IF($E411&gt;=$AA411*設定!$C$5,"△","○")))</f>
        <v/>
      </c>
      <c r="AC411" s="15">
        <f>IF($AB411="","",IF($AB411="×",0,IF($AB411="○",ROUNDDOWN($E411*設定!$C$4,0),ROUNDDOWN($E411*ROUND((9*$AA411-9*$E411)/(10*$E411),4),0))))</f>
        <v/>
      </c>
      <c r="AD411" s="13" t="n"/>
      <c r="AE411" s="15">
        <f>IF($B411="","",IF($AD411&lt;&gt;"",$AD411,IF($AC411="","",IF($AC411&lt;=設定!$C$3,0,$AC411))))</f>
        <v/>
      </c>
      <c r="AF411" s="14">
        <f>IF($B411="","",IF(AND($AG411&lt;&gt;"",$AI411="",$AL411=""),"保留中",IF($AL411&lt;&gt;"",IF(N($AE411)&gt;0,"支給済","不支給"),IF($AE411="","要確認",IF($AE411=0,"不支給","未処理")))))</f>
        <v/>
      </c>
      <c r="AG411" s="12" t="n"/>
      <c r="AH411" s="11" t="n"/>
      <c r="AI411" s="11" t="n"/>
      <c r="AJ411" s="11" t="n"/>
      <c r="AK411" s="14">
        <f>IF(AND($AF411="保留中",$AH411&lt;&gt;""),TODAY()-$AH411,"")</f>
        <v/>
      </c>
      <c r="AL411" s="12" t="inlineStr">
        <is>
          <t>R8.10</t>
        </is>
      </c>
      <c r="AM411" s="14">
        <f>IF($B411="","",IF($AQ411="","対象年月が未入力／","")&amp;IF($B411="","",IF($AP411="","職員マスタに未登録の職員番号／",IF($AA411="","標準報酬月額が未登録／","")&amp;IF(AND($AQ411&lt;&gt;"",OR(AND(INDEX(職員マスタ!$G$6:$G$405,$AP411)&lt;&gt;"",INDEX(職員マスタ!$G$6:$G$405,$AP411)&gt;EOMONTH($AQ411,0)),AND(INDEX(職員マスタ!$H$6:$H$405,$AP411)&lt;&gt;"",INDEX(職員マスタ!$H$6:$H$405,$AP411)&lt;$AQ411))),"対象月が時短期間外／","")&amp;IF(AND(INDEX(職員マスタ!$K$6:$K$405,$AP411)&lt;&gt;"",N($W411)&gt;0,INDEX(職員マスタ!$K$6:$K$405,$AP411)&lt;&gt;$W411),"標準報酬月額が申請書と相違（台帳"&amp;TEXT(INDEX(職員マスタ!$K$6:$K$405,$AP411),"#,##0")&amp;"円／申請書"&amp;TEXT($W411,"#,##0")&amp;"円）／","")&amp;IF(AND(INDEX(職員マスタ!$F$6:$F$405,$AP411)&lt;&gt;"",$AQ411&lt;&gt;"",INDEX(職員マスタ!$F$6:$F$405,$AP411)&lt;$AQ411),"対象月に子が2歳到達済／","")&amp;IF(AND($H411&lt;&gt;"",INDEX(職員マスタ!$B$6:$B$405,$AP411)&lt;&gt;"",SUBSTITUTE(SUBSTITUTE($H411," ","")," ","")&lt;&gt;SUBSTITUTE(SUBSTITUTE(INDEX(職員マスタ!$B$6:$B$405,$AP411)," ","")," ","")),"氏名がマスタと相違／","")&amp;IF(AND($Q411&lt;&gt;"",INDEX(職員マスタ!$E$6:$E$405,$AP411)&lt;&gt;"",$Q411&lt;&gt;INDEX(職員マスタ!$E$6:$E$405,$AP411)),"子の生年月日がマスタと相違／","")&amp;IF(AND($L411&lt;&gt;"",INDEX(職員マスタ!$G$6:$G$405,$AP411)&lt;&gt;"",$L411&lt;&gt;INDEX(職員マスタ!$G$6:$G$405,$AP411)),"時短開始日がマスタと相違／","")&amp;IF(AND($M411&lt;&gt;"",INDEX(職員マスタ!$H$6:$H$405,$AP411)&lt;&gt;"",$M411&lt;&gt;INDEX(職員マスタ!$H$6:$H$405,$AP411)),"時短終了日がマスタと相違／","")))&amp;IF(AND($B411&lt;&gt;"",$E411=""),"報酬額が未入力／","")&amp;IF(N($U411)&gt;0,"申請書に入力エラーが残っています／","")&amp;IF(AND($B411&lt;&gt;"",$AQ411&lt;&gt;""),IF(COUNTIFS($B$6:$B$3005,$B411,$C$6:$C$3005,$C411,$D$6:$D$3005,$D411)&gt;1,"同じ月の請求が重複しています／",""),"")&amp;IF(AND(N($E411)&gt;0,$AB411&lt;&gt;"",$AB411&lt;&gt;"×",$AE411=0,$AD411=""),"計算額が下限以下のため不支給／",""))</f>
        <v/>
      </c>
      <c r="AN411" s="12" t="n"/>
      <c r="AO411" s="14">
        <f>IF($AF411="保留中",COUNTIF($AF$6:$AF411,"保留中"),"")</f>
        <v/>
      </c>
      <c r="AP411" s="14">
        <f>IF($AQ411="","",IF(SUMPRODUCT(MAX((職員マスタ!$A$6:$A$405=$B411)*(((職員マスタ!$G$6:$G$405="")+(職員マスタ!$G$6:$G$405&lt;=EOMONTH($AQ411,0)))&gt;0)*(((職員マスタ!$H$6:$H$405="")+(職員マスタ!$H$6:$H$405&gt;=$AQ411))&gt;0)*(ROW(職員マスタ!$A$6:$A$405)-5)))&gt;0,SUMPRODUCT(MAX((職員マスタ!$A$6:$A$405=$B411)*(((職員マスタ!$G$6:$G$405="")+(職員マスタ!$G$6:$G$405&lt;=EOMONTH($AQ411,0)))&gt;0)*(((職員マスタ!$H$6:$H$405="")+(職員マスタ!$H$6:$H$405&gt;=$AQ411))&gt;0)*(ROW(職員マスタ!$A$6:$A$405)-5))),IFERROR(MATCH($B411,職員マスタ!$A$6:$A$405,0),"")))</f>
        <v/>
      </c>
      <c r="AQ411" s="16">
        <f>IF(OR($B411="",$C411="",$D411=""),"",DATE($C411+2018,$D411,1))</f>
        <v/>
      </c>
    </row>
    <row r="412">
      <c r="A412" s="11" t="n"/>
      <c r="B412" s="12" t="n">
        <v>6902241</v>
      </c>
      <c r="C412" s="12" t="n">
        <v>8</v>
      </c>
      <c r="D412" s="12" t="n">
        <v>6</v>
      </c>
      <c r="E412" s="13" t="n">
        <v>198410</v>
      </c>
      <c r="F412" s="12" t="n"/>
      <c r="G412" s="13" t="n"/>
      <c r="H412" s="12" t="n"/>
      <c r="I412" s="12" t="n"/>
      <c r="J412" s="12" t="n"/>
      <c r="K412" s="12" t="n"/>
      <c r="L412" s="11" t="n"/>
      <c r="M412" s="11" t="n"/>
      <c r="N412" s="11" t="n"/>
      <c r="O412" s="11" t="n"/>
      <c r="P412" s="12" t="n"/>
      <c r="Q412" s="11" t="n"/>
      <c r="R412" s="12" t="n"/>
      <c r="S412" s="11" t="n"/>
      <c r="T412" s="12" t="n"/>
      <c r="U412" s="12" t="n"/>
      <c r="V412" s="12" t="n"/>
      <c r="W412" s="13" t="n"/>
      <c r="X412" s="14">
        <f>IF($AP412="",IF($B412="","",$H412),IF(INDEX(職員マスタ!$B$6:$B$405,$AP412)="",$H412,INDEX(職員マスタ!$B$6:$B$405,$AP412)))</f>
        <v/>
      </c>
      <c r="Y412" s="14">
        <f>IF($AP412="",IF($B412="","",$R412),IF(INDEX(職員マスタ!$C$6:$C$405,$AP412)="",$R412,INDEX(職員マスタ!$C$6:$C$405,$AP412)))</f>
        <v/>
      </c>
      <c r="Z412" s="14">
        <f>IF($AQ412="","","R"&amp;$C412&amp;"."&amp;$D412)</f>
        <v/>
      </c>
      <c r="AA412" s="15">
        <f>IF(IF($AP412="",FALSE,INDEX(職員マスタ!$K$6:$K$405,$AP412)&lt;&gt;""),INDEX(職員マスタ!$K$6:$K$405,$AP412),IF(N($W412)&gt;0,$W412,""))</f>
        <v/>
      </c>
      <c r="AB412" s="14">
        <f>IF(OR($E412="",$AA412=""),"",IF($E412&gt;=$AA412,"×",IF($E412&gt;=$AA412*設定!$C$5,"△","○")))</f>
        <v/>
      </c>
      <c r="AC412" s="15">
        <f>IF($AB412="","",IF($AB412="×",0,IF($AB412="○",ROUNDDOWN($E412*設定!$C$4,0),ROUNDDOWN($E412*ROUND((9*$AA412-9*$E412)/(10*$E412),4),0))))</f>
        <v/>
      </c>
      <c r="AD412" s="13" t="n"/>
      <c r="AE412" s="15">
        <f>IF($B412="","",IF($AD412&lt;&gt;"",$AD412,IF($AC412="","",IF($AC412&lt;=設定!$C$3,0,$AC412))))</f>
        <v/>
      </c>
      <c r="AF412" s="14">
        <f>IF($B412="","",IF(AND($AG412&lt;&gt;"",$AI412="",$AL412=""),"保留中",IF($AL412&lt;&gt;"",IF(N($AE412)&gt;0,"支給済","不支給"),IF($AE412="","要確認",IF($AE412=0,"不支給","未処理")))))</f>
        <v/>
      </c>
      <c r="AG412" s="12" t="n"/>
      <c r="AH412" s="11" t="n"/>
      <c r="AI412" s="11" t="n"/>
      <c r="AJ412" s="11" t="n"/>
      <c r="AK412" s="14">
        <f>IF(AND($AF412="保留中",$AH412&lt;&gt;""),TODAY()-$AH412,"")</f>
        <v/>
      </c>
      <c r="AL412" s="12" t="inlineStr">
        <is>
          <t>R8.10</t>
        </is>
      </c>
      <c r="AM412" s="14">
        <f>IF($B412="","",IF($AQ412="","対象年月が未入力／","")&amp;IF($B412="","",IF($AP412="","職員マスタに未登録の職員番号／",IF($AA412="","標準報酬月額が未登録／","")&amp;IF(AND($AQ412&lt;&gt;"",OR(AND(INDEX(職員マスタ!$G$6:$G$405,$AP412)&lt;&gt;"",INDEX(職員マスタ!$G$6:$G$405,$AP412)&gt;EOMONTH($AQ412,0)),AND(INDEX(職員マスタ!$H$6:$H$405,$AP412)&lt;&gt;"",INDEX(職員マスタ!$H$6:$H$405,$AP412)&lt;$AQ412))),"対象月が時短期間外／","")&amp;IF(AND(INDEX(職員マスタ!$K$6:$K$405,$AP412)&lt;&gt;"",N($W412)&gt;0,INDEX(職員マスタ!$K$6:$K$405,$AP412)&lt;&gt;$W412),"標準報酬月額が申請書と相違（台帳"&amp;TEXT(INDEX(職員マスタ!$K$6:$K$405,$AP412),"#,##0")&amp;"円／申請書"&amp;TEXT($W412,"#,##0")&amp;"円）／","")&amp;IF(AND(INDEX(職員マスタ!$F$6:$F$405,$AP412)&lt;&gt;"",$AQ412&lt;&gt;"",INDEX(職員マスタ!$F$6:$F$405,$AP412)&lt;$AQ412),"対象月に子が2歳到達済／","")&amp;IF(AND($H412&lt;&gt;"",INDEX(職員マスタ!$B$6:$B$405,$AP412)&lt;&gt;"",SUBSTITUTE(SUBSTITUTE($H412," ","")," ","")&lt;&gt;SUBSTITUTE(SUBSTITUTE(INDEX(職員マスタ!$B$6:$B$405,$AP412)," ","")," ","")),"氏名がマスタと相違／","")&amp;IF(AND($Q412&lt;&gt;"",INDEX(職員マスタ!$E$6:$E$405,$AP412)&lt;&gt;"",$Q412&lt;&gt;INDEX(職員マスタ!$E$6:$E$405,$AP412)),"子の生年月日がマスタと相違／","")&amp;IF(AND($L412&lt;&gt;"",INDEX(職員マスタ!$G$6:$G$405,$AP412)&lt;&gt;"",$L412&lt;&gt;INDEX(職員マスタ!$G$6:$G$405,$AP412)),"時短開始日がマスタと相違／","")&amp;IF(AND($M412&lt;&gt;"",INDEX(職員マスタ!$H$6:$H$405,$AP412)&lt;&gt;"",$M412&lt;&gt;INDEX(職員マスタ!$H$6:$H$405,$AP412)),"時短終了日がマスタと相違／","")))&amp;IF(AND($B412&lt;&gt;"",$E412=""),"報酬額が未入力／","")&amp;IF(N($U412)&gt;0,"申請書に入力エラーが残っています／","")&amp;IF(AND($B412&lt;&gt;"",$AQ412&lt;&gt;""),IF(COUNTIFS($B$6:$B$3005,$B412,$C$6:$C$3005,$C412,$D$6:$D$3005,$D412)&gt;1,"同じ月の請求が重複しています／",""),"")&amp;IF(AND(N($E412)&gt;0,$AB412&lt;&gt;"",$AB412&lt;&gt;"×",$AE412=0,$AD412=""),"計算額が下限以下のため不支給／",""))</f>
        <v/>
      </c>
      <c r="AN412" s="12" t="n"/>
      <c r="AO412" s="14">
        <f>IF($AF412="保留中",COUNTIF($AF$6:$AF412,"保留中"),"")</f>
        <v/>
      </c>
      <c r="AP412" s="14">
        <f>IF($AQ412="","",IF(SUMPRODUCT(MAX((職員マスタ!$A$6:$A$405=$B412)*(((職員マスタ!$G$6:$G$405="")+(職員マスタ!$G$6:$G$405&lt;=EOMONTH($AQ412,0)))&gt;0)*(((職員マスタ!$H$6:$H$405="")+(職員マスタ!$H$6:$H$405&gt;=$AQ412))&gt;0)*(ROW(職員マスタ!$A$6:$A$405)-5)))&gt;0,SUMPRODUCT(MAX((職員マスタ!$A$6:$A$405=$B412)*(((職員マスタ!$G$6:$G$405="")+(職員マスタ!$G$6:$G$405&lt;=EOMONTH($AQ412,0)))&gt;0)*(((職員マスタ!$H$6:$H$405="")+(職員マスタ!$H$6:$H$405&gt;=$AQ412))&gt;0)*(ROW(職員マスタ!$A$6:$A$405)-5))),IFERROR(MATCH($B412,職員マスタ!$A$6:$A$405,0),"")))</f>
        <v/>
      </c>
      <c r="AQ412" s="16">
        <f>IF(OR($B412="",$C412="",$D412=""),"",DATE($C412+2018,$D412,1))</f>
        <v/>
      </c>
    </row>
    <row r="413">
      <c r="A413" s="11" t="n"/>
      <c r="B413" s="12" t="n">
        <v>6902241</v>
      </c>
      <c r="C413" s="12" t="n">
        <v>8</v>
      </c>
      <c r="D413" s="12" t="n">
        <v>7</v>
      </c>
      <c r="E413" s="13" t="n">
        <v>193410</v>
      </c>
      <c r="F413" s="12" t="n"/>
      <c r="G413" s="13" t="n"/>
      <c r="H413" s="12" t="n"/>
      <c r="I413" s="12" t="n"/>
      <c r="J413" s="12" t="n"/>
      <c r="K413" s="12" t="n"/>
      <c r="L413" s="11" t="n"/>
      <c r="M413" s="11" t="n"/>
      <c r="N413" s="11" t="n"/>
      <c r="O413" s="11" t="n"/>
      <c r="P413" s="12" t="n"/>
      <c r="Q413" s="11" t="n"/>
      <c r="R413" s="12" t="n"/>
      <c r="S413" s="11" t="n"/>
      <c r="T413" s="12" t="n"/>
      <c r="U413" s="12" t="n"/>
      <c r="V413" s="12" t="n"/>
      <c r="W413" s="13" t="n"/>
      <c r="X413" s="14">
        <f>IF($AP413="",IF($B413="","",$H413),IF(INDEX(職員マスタ!$B$6:$B$405,$AP413)="",$H413,INDEX(職員マスタ!$B$6:$B$405,$AP413)))</f>
        <v/>
      </c>
      <c r="Y413" s="14">
        <f>IF($AP413="",IF($B413="","",$R413),IF(INDEX(職員マスタ!$C$6:$C$405,$AP413)="",$R413,INDEX(職員マスタ!$C$6:$C$405,$AP413)))</f>
        <v/>
      </c>
      <c r="Z413" s="14">
        <f>IF($AQ413="","","R"&amp;$C413&amp;"."&amp;$D413)</f>
        <v/>
      </c>
      <c r="AA413" s="15">
        <f>IF(IF($AP413="",FALSE,INDEX(職員マスタ!$K$6:$K$405,$AP413)&lt;&gt;""),INDEX(職員マスタ!$K$6:$K$405,$AP413),IF(N($W413)&gt;0,$W413,""))</f>
        <v/>
      </c>
      <c r="AB413" s="14">
        <f>IF(OR($E413="",$AA413=""),"",IF($E413&gt;=$AA413,"×",IF($E413&gt;=$AA413*設定!$C$5,"△","○")))</f>
        <v/>
      </c>
      <c r="AC413" s="15">
        <f>IF($AB413="","",IF($AB413="×",0,IF($AB413="○",ROUNDDOWN($E413*設定!$C$4,0),ROUNDDOWN($E413*ROUND((9*$AA413-9*$E413)/(10*$E413),4),0))))</f>
        <v/>
      </c>
      <c r="AD413" s="13" t="n"/>
      <c r="AE413" s="15">
        <f>IF($B413="","",IF($AD413&lt;&gt;"",$AD413,IF($AC413="","",IF($AC413&lt;=設定!$C$3,0,$AC413))))</f>
        <v/>
      </c>
      <c r="AF413" s="14">
        <f>IF($B413="","",IF(AND($AG413&lt;&gt;"",$AI413="",$AL413=""),"保留中",IF($AL413&lt;&gt;"",IF(N($AE413)&gt;0,"支給済","不支給"),IF($AE413="","要確認",IF($AE413=0,"不支給","未処理")))))</f>
        <v/>
      </c>
      <c r="AG413" s="12" t="n"/>
      <c r="AH413" s="11" t="n"/>
      <c r="AI413" s="11" t="n"/>
      <c r="AJ413" s="11" t="n"/>
      <c r="AK413" s="14">
        <f>IF(AND($AF413="保留中",$AH413&lt;&gt;""),TODAY()-$AH413,"")</f>
        <v/>
      </c>
      <c r="AL413" s="12" t="inlineStr">
        <is>
          <t>R8.10</t>
        </is>
      </c>
      <c r="AM413" s="14">
        <f>IF($B413="","",IF($AQ413="","対象年月が未入力／","")&amp;IF($B413="","",IF($AP413="","職員マスタに未登録の職員番号／",IF($AA413="","標準報酬月額が未登録／","")&amp;IF(AND($AQ413&lt;&gt;"",OR(AND(INDEX(職員マスタ!$G$6:$G$405,$AP413)&lt;&gt;"",INDEX(職員マスタ!$G$6:$G$405,$AP413)&gt;EOMONTH($AQ413,0)),AND(INDEX(職員マスタ!$H$6:$H$405,$AP413)&lt;&gt;"",INDEX(職員マスタ!$H$6:$H$405,$AP413)&lt;$AQ413))),"対象月が時短期間外／","")&amp;IF(AND(INDEX(職員マスタ!$K$6:$K$405,$AP413)&lt;&gt;"",N($W413)&gt;0,INDEX(職員マスタ!$K$6:$K$405,$AP413)&lt;&gt;$W413),"標準報酬月額が申請書と相違（台帳"&amp;TEXT(INDEX(職員マスタ!$K$6:$K$405,$AP413),"#,##0")&amp;"円／申請書"&amp;TEXT($W413,"#,##0")&amp;"円）／","")&amp;IF(AND(INDEX(職員マスタ!$F$6:$F$405,$AP413)&lt;&gt;"",$AQ413&lt;&gt;"",INDEX(職員マスタ!$F$6:$F$405,$AP413)&lt;$AQ413),"対象月に子が2歳到達済／","")&amp;IF(AND($H413&lt;&gt;"",INDEX(職員マスタ!$B$6:$B$405,$AP413)&lt;&gt;"",SUBSTITUTE(SUBSTITUTE($H413," ","")," ","")&lt;&gt;SUBSTITUTE(SUBSTITUTE(INDEX(職員マスタ!$B$6:$B$405,$AP413)," ","")," ","")),"氏名がマスタと相違／","")&amp;IF(AND($Q413&lt;&gt;"",INDEX(職員マスタ!$E$6:$E$405,$AP413)&lt;&gt;"",$Q413&lt;&gt;INDEX(職員マスタ!$E$6:$E$405,$AP413)),"子の生年月日がマスタと相違／","")&amp;IF(AND($L413&lt;&gt;"",INDEX(職員マスタ!$G$6:$G$405,$AP413)&lt;&gt;"",$L413&lt;&gt;INDEX(職員マスタ!$G$6:$G$405,$AP413)),"時短開始日がマスタと相違／","")&amp;IF(AND($M413&lt;&gt;"",INDEX(職員マスタ!$H$6:$H$405,$AP413)&lt;&gt;"",$M413&lt;&gt;INDEX(職員マスタ!$H$6:$H$405,$AP413)),"時短終了日がマスタと相違／","")))&amp;IF(AND($B413&lt;&gt;"",$E413=""),"報酬額が未入力／","")&amp;IF(N($U413)&gt;0,"申請書に入力エラーが残っています／","")&amp;IF(AND($B413&lt;&gt;"",$AQ413&lt;&gt;""),IF(COUNTIFS($B$6:$B$3005,$B413,$C$6:$C$3005,$C413,$D$6:$D$3005,$D413)&gt;1,"同じ月の請求が重複しています／",""),"")&amp;IF(AND(N($E413)&gt;0,$AB413&lt;&gt;"",$AB413&lt;&gt;"×",$AE413=0,$AD413=""),"計算額が下限以下のため不支給／",""))</f>
        <v/>
      </c>
      <c r="AN413" s="12" t="n"/>
      <c r="AO413" s="14">
        <f>IF($AF413="保留中",COUNTIF($AF$6:$AF413,"保留中"),"")</f>
        <v/>
      </c>
      <c r="AP413" s="14">
        <f>IF($AQ413="","",IF(SUMPRODUCT(MAX((職員マスタ!$A$6:$A$405=$B413)*(((職員マスタ!$G$6:$G$405="")+(職員マスタ!$G$6:$G$405&lt;=EOMONTH($AQ413,0)))&gt;0)*(((職員マスタ!$H$6:$H$405="")+(職員マスタ!$H$6:$H$405&gt;=$AQ413))&gt;0)*(ROW(職員マスタ!$A$6:$A$405)-5)))&gt;0,SUMPRODUCT(MAX((職員マスタ!$A$6:$A$405=$B413)*(((職員マスタ!$G$6:$G$405="")+(職員マスタ!$G$6:$G$405&lt;=EOMONTH($AQ413,0)))&gt;0)*(((職員マスタ!$H$6:$H$405="")+(職員マスタ!$H$6:$H$405&gt;=$AQ413))&gt;0)*(ROW(職員マスタ!$A$6:$A$405)-5))),IFERROR(MATCH($B413,職員マスタ!$A$6:$A$405,0),"")))</f>
        <v/>
      </c>
      <c r="AQ413" s="16">
        <f>IF(OR($B413="",$C413="",$D413=""),"",DATE($C413+2018,$D413,1))</f>
        <v/>
      </c>
    </row>
    <row r="414">
      <c r="A414" s="11" t="n"/>
      <c r="B414" s="12" t="n">
        <v>6902241</v>
      </c>
      <c r="C414" s="12" t="n">
        <v>8</v>
      </c>
      <c r="D414" s="12" t="n">
        <v>8</v>
      </c>
      <c r="E414" s="13" t="n">
        <v>193410</v>
      </c>
      <c r="F414" s="12" t="n"/>
      <c r="G414" s="13" t="n"/>
      <c r="H414" s="12" t="n"/>
      <c r="I414" s="12" t="n"/>
      <c r="J414" s="12" t="n"/>
      <c r="K414" s="12" t="n"/>
      <c r="L414" s="11" t="n"/>
      <c r="M414" s="11" t="n"/>
      <c r="N414" s="11" t="n"/>
      <c r="O414" s="11" t="n"/>
      <c r="P414" s="12" t="n"/>
      <c r="Q414" s="11" t="n"/>
      <c r="R414" s="12" t="n"/>
      <c r="S414" s="11" t="n"/>
      <c r="T414" s="12" t="n"/>
      <c r="U414" s="12" t="n"/>
      <c r="V414" s="12" t="n"/>
      <c r="W414" s="13" t="n"/>
      <c r="X414" s="14">
        <f>IF($AP414="",IF($B414="","",$H414),IF(INDEX(職員マスタ!$B$6:$B$405,$AP414)="",$H414,INDEX(職員マスタ!$B$6:$B$405,$AP414)))</f>
        <v/>
      </c>
      <c r="Y414" s="14">
        <f>IF($AP414="",IF($B414="","",$R414),IF(INDEX(職員マスタ!$C$6:$C$405,$AP414)="",$R414,INDEX(職員マスタ!$C$6:$C$405,$AP414)))</f>
        <v/>
      </c>
      <c r="Z414" s="14">
        <f>IF($AQ414="","","R"&amp;$C414&amp;"."&amp;$D414)</f>
        <v/>
      </c>
      <c r="AA414" s="15">
        <f>IF(IF($AP414="",FALSE,INDEX(職員マスタ!$K$6:$K$405,$AP414)&lt;&gt;""),INDEX(職員マスタ!$K$6:$K$405,$AP414),IF(N($W414)&gt;0,$W414,""))</f>
        <v/>
      </c>
      <c r="AB414" s="14">
        <f>IF(OR($E414="",$AA414=""),"",IF($E414&gt;=$AA414,"×",IF($E414&gt;=$AA414*設定!$C$5,"△","○")))</f>
        <v/>
      </c>
      <c r="AC414" s="15">
        <f>IF($AB414="","",IF($AB414="×",0,IF($AB414="○",ROUNDDOWN($E414*設定!$C$4,0),ROUNDDOWN($E414*ROUND((9*$AA414-9*$E414)/(10*$E414),4),0))))</f>
        <v/>
      </c>
      <c r="AD414" s="13" t="n"/>
      <c r="AE414" s="15">
        <f>IF($B414="","",IF($AD414&lt;&gt;"",$AD414,IF($AC414="","",IF($AC414&lt;=設定!$C$3,0,$AC414))))</f>
        <v/>
      </c>
      <c r="AF414" s="14">
        <f>IF($B414="","",IF(AND($AG414&lt;&gt;"",$AI414="",$AL414=""),"保留中",IF($AL414&lt;&gt;"",IF(N($AE414)&gt;0,"支給済","不支給"),IF($AE414="","要確認",IF($AE414=0,"不支給","未処理")))))</f>
        <v/>
      </c>
      <c r="AG414" s="12" t="n"/>
      <c r="AH414" s="11" t="n"/>
      <c r="AI414" s="11" t="n"/>
      <c r="AJ414" s="11" t="n"/>
      <c r="AK414" s="14">
        <f>IF(AND($AF414="保留中",$AH414&lt;&gt;""),TODAY()-$AH414,"")</f>
        <v/>
      </c>
      <c r="AL414" s="12" t="inlineStr">
        <is>
          <t>R8.10</t>
        </is>
      </c>
      <c r="AM414" s="14">
        <f>IF($B414="","",IF($AQ414="","対象年月が未入力／","")&amp;IF($B414="","",IF($AP414="","職員マスタに未登録の職員番号／",IF($AA414="","標準報酬月額が未登録／","")&amp;IF(AND($AQ414&lt;&gt;"",OR(AND(INDEX(職員マスタ!$G$6:$G$405,$AP414)&lt;&gt;"",INDEX(職員マスタ!$G$6:$G$405,$AP414)&gt;EOMONTH($AQ414,0)),AND(INDEX(職員マスタ!$H$6:$H$405,$AP414)&lt;&gt;"",INDEX(職員マスタ!$H$6:$H$405,$AP414)&lt;$AQ414))),"対象月が時短期間外／","")&amp;IF(AND(INDEX(職員マスタ!$K$6:$K$405,$AP414)&lt;&gt;"",N($W414)&gt;0,INDEX(職員マスタ!$K$6:$K$405,$AP414)&lt;&gt;$W414),"標準報酬月額が申請書と相違（台帳"&amp;TEXT(INDEX(職員マスタ!$K$6:$K$405,$AP414),"#,##0")&amp;"円／申請書"&amp;TEXT($W414,"#,##0")&amp;"円）／","")&amp;IF(AND(INDEX(職員マスタ!$F$6:$F$405,$AP414)&lt;&gt;"",$AQ414&lt;&gt;"",INDEX(職員マスタ!$F$6:$F$405,$AP414)&lt;$AQ414),"対象月に子が2歳到達済／","")&amp;IF(AND($H414&lt;&gt;"",INDEX(職員マスタ!$B$6:$B$405,$AP414)&lt;&gt;"",SUBSTITUTE(SUBSTITUTE($H414," ","")," ","")&lt;&gt;SUBSTITUTE(SUBSTITUTE(INDEX(職員マスタ!$B$6:$B$405,$AP414)," ","")," ","")),"氏名がマスタと相違／","")&amp;IF(AND($Q414&lt;&gt;"",INDEX(職員マスタ!$E$6:$E$405,$AP414)&lt;&gt;"",$Q414&lt;&gt;INDEX(職員マスタ!$E$6:$E$405,$AP414)),"子の生年月日がマスタと相違／","")&amp;IF(AND($L414&lt;&gt;"",INDEX(職員マスタ!$G$6:$G$405,$AP414)&lt;&gt;"",$L414&lt;&gt;INDEX(職員マスタ!$G$6:$G$405,$AP414)),"時短開始日がマスタと相違／","")&amp;IF(AND($M414&lt;&gt;"",INDEX(職員マスタ!$H$6:$H$405,$AP414)&lt;&gt;"",$M414&lt;&gt;INDEX(職員マスタ!$H$6:$H$405,$AP414)),"時短終了日がマスタと相違／","")))&amp;IF(AND($B414&lt;&gt;"",$E414=""),"報酬額が未入力／","")&amp;IF(N($U414)&gt;0,"申請書に入力エラーが残っています／","")&amp;IF(AND($B414&lt;&gt;"",$AQ414&lt;&gt;""),IF(COUNTIFS($B$6:$B$3005,$B414,$C$6:$C$3005,$C414,$D$6:$D$3005,$D414)&gt;1,"同じ月の請求が重複しています／",""),"")&amp;IF(AND(N($E414)&gt;0,$AB414&lt;&gt;"",$AB414&lt;&gt;"×",$AE414=0,$AD414=""),"計算額が下限以下のため不支給／",""))</f>
        <v/>
      </c>
      <c r="AN414" s="12" t="n"/>
      <c r="AO414" s="14">
        <f>IF($AF414="保留中",COUNTIF($AF$6:$AF414,"保留中"),"")</f>
        <v/>
      </c>
      <c r="AP414" s="14">
        <f>IF($AQ414="","",IF(SUMPRODUCT(MAX((職員マスタ!$A$6:$A$405=$B414)*(((職員マスタ!$G$6:$G$405="")+(職員マスタ!$G$6:$G$405&lt;=EOMONTH($AQ414,0)))&gt;0)*(((職員マスタ!$H$6:$H$405="")+(職員マスタ!$H$6:$H$405&gt;=$AQ414))&gt;0)*(ROW(職員マスタ!$A$6:$A$405)-5)))&gt;0,SUMPRODUCT(MAX((職員マスタ!$A$6:$A$405=$B414)*(((職員マスタ!$G$6:$G$405="")+(職員マスタ!$G$6:$G$405&lt;=EOMONTH($AQ414,0)))&gt;0)*(((職員マスタ!$H$6:$H$405="")+(職員マスタ!$H$6:$H$405&gt;=$AQ414))&gt;0)*(ROW(職員マスタ!$A$6:$A$405)-5))),IFERROR(MATCH($B414,職員マスタ!$A$6:$A$405,0),"")))</f>
        <v/>
      </c>
      <c r="AQ414" s="16">
        <f>IF(OR($B414="",$C414="",$D414=""),"",DATE($C414+2018,$D414,1))</f>
        <v/>
      </c>
    </row>
    <row r="415">
      <c r="A415" s="11" t="n"/>
      <c r="B415" s="12" t="n">
        <v>6902308</v>
      </c>
      <c r="C415" s="12" t="n">
        <v>7</v>
      </c>
      <c r="D415" s="12" t="n">
        <v>7</v>
      </c>
      <c r="E415" s="13" t="n">
        <v>95824</v>
      </c>
      <c r="F415" s="12" t="n"/>
      <c r="G415" s="13" t="n"/>
      <c r="H415" s="12" t="n"/>
      <c r="I415" s="12" t="n"/>
      <c r="J415" s="12" t="n"/>
      <c r="K415" s="12" t="n"/>
      <c r="L415" s="11" t="n"/>
      <c r="M415" s="11" t="n"/>
      <c r="N415" s="11" t="n"/>
      <c r="O415" s="11" t="n"/>
      <c r="P415" s="12" t="n"/>
      <c r="Q415" s="11" t="n"/>
      <c r="R415" s="12" t="n"/>
      <c r="S415" s="11" t="n"/>
      <c r="T415" s="12" t="n"/>
      <c r="U415" s="12" t="n"/>
      <c r="V415" s="12" t="n"/>
      <c r="W415" s="13" t="n"/>
      <c r="X415" s="14">
        <f>IF($AP415="",IF($B415="","",$H415),IF(INDEX(職員マスタ!$B$6:$B$405,$AP415)="",$H415,INDEX(職員マスタ!$B$6:$B$405,$AP415)))</f>
        <v/>
      </c>
      <c r="Y415" s="14">
        <f>IF($AP415="",IF($B415="","",$R415),IF(INDEX(職員マスタ!$C$6:$C$405,$AP415)="",$R415,INDEX(職員マスタ!$C$6:$C$405,$AP415)))</f>
        <v/>
      </c>
      <c r="Z415" s="14">
        <f>IF($AQ415="","","R"&amp;$C415&amp;"."&amp;$D415)</f>
        <v/>
      </c>
      <c r="AA415" s="15">
        <f>IF(IF($AP415="",FALSE,INDEX(職員マスタ!$K$6:$K$405,$AP415)&lt;&gt;""),INDEX(職員マスタ!$K$6:$K$405,$AP415),IF(N($W415)&gt;0,$W415,""))</f>
        <v/>
      </c>
      <c r="AB415" s="14">
        <f>IF(OR($E415="",$AA415=""),"",IF($E415&gt;=$AA415,"×",IF($E415&gt;=$AA415*設定!$C$5,"△","○")))</f>
        <v/>
      </c>
      <c r="AC415" s="15">
        <f>IF($AB415="","",IF($AB415="×",0,IF($AB415="○",ROUNDDOWN($E415*設定!$C$4,0),ROUNDDOWN($E415*ROUND((9*$AA415-9*$E415)/(10*$E415),4),0))))</f>
        <v/>
      </c>
      <c r="AD415" s="13" t="n"/>
      <c r="AE415" s="15">
        <f>IF($B415="","",IF($AD415&lt;&gt;"",$AD415,IF($AC415="","",IF($AC415&lt;=設定!$C$3,0,$AC415))))</f>
        <v/>
      </c>
      <c r="AF415" s="14">
        <f>IF($B415="","",IF(AND($AG415&lt;&gt;"",$AI415="",$AL415=""),"保留中",IF($AL415&lt;&gt;"",IF(N($AE415)&gt;0,"支給済","不支給"),IF($AE415="","要確認",IF($AE415=0,"不支給","未処理")))))</f>
        <v/>
      </c>
      <c r="AG415" s="12" t="n"/>
      <c r="AH415" s="11" t="n"/>
      <c r="AI415" s="11" t="n"/>
      <c r="AJ415" s="11" t="n"/>
      <c r="AK415" s="14">
        <f>IF(AND($AF415="保留中",$AH415&lt;&gt;""),TODAY()-$AH415,"")</f>
        <v/>
      </c>
      <c r="AL415" s="12" t="inlineStr">
        <is>
          <t>R7.9</t>
        </is>
      </c>
      <c r="AM415" s="14">
        <f>IF($B415="","",IF($AQ415="","対象年月が未入力／","")&amp;IF($B415="","",IF($AP415="","職員マスタに未登録の職員番号／",IF($AA415="","標準報酬月額が未登録／","")&amp;IF(AND($AQ415&lt;&gt;"",OR(AND(INDEX(職員マスタ!$G$6:$G$405,$AP415)&lt;&gt;"",INDEX(職員マスタ!$G$6:$G$405,$AP415)&gt;EOMONTH($AQ415,0)),AND(INDEX(職員マスタ!$H$6:$H$405,$AP415)&lt;&gt;"",INDEX(職員マスタ!$H$6:$H$405,$AP415)&lt;$AQ415))),"対象月が時短期間外／","")&amp;IF(AND(INDEX(職員マスタ!$K$6:$K$405,$AP415)&lt;&gt;"",N($W415)&gt;0,INDEX(職員マスタ!$K$6:$K$405,$AP415)&lt;&gt;$W415),"標準報酬月額が申請書と相違（台帳"&amp;TEXT(INDEX(職員マスタ!$K$6:$K$405,$AP415),"#,##0")&amp;"円／申請書"&amp;TEXT($W415,"#,##0")&amp;"円）／","")&amp;IF(AND(INDEX(職員マスタ!$F$6:$F$405,$AP415)&lt;&gt;"",$AQ415&lt;&gt;"",INDEX(職員マスタ!$F$6:$F$405,$AP415)&lt;$AQ415),"対象月に子が2歳到達済／","")&amp;IF(AND($H415&lt;&gt;"",INDEX(職員マスタ!$B$6:$B$405,$AP415)&lt;&gt;"",SUBSTITUTE(SUBSTITUTE($H415," ","")," ","")&lt;&gt;SUBSTITUTE(SUBSTITUTE(INDEX(職員マスタ!$B$6:$B$405,$AP415)," ","")," ","")),"氏名がマスタと相違／","")&amp;IF(AND($Q415&lt;&gt;"",INDEX(職員マスタ!$E$6:$E$405,$AP415)&lt;&gt;"",$Q415&lt;&gt;INDEX(職員マスタ!$E$6:$E$405,$AP415)),"子の生年月日がマスタと相違／","")&amp;IF(AND($L415&lt;&gt;"",INDEX(職員マスタ!$G$6:$G$405,$AP415)&lt;&gt;"",$L415&lt;&gt;INDEX(職員マスタ!$G$6:$G$405,$AP415)),"時短開始日がマスタと相違／","")&amp;IF(AND($M415&lt;&gt;"",INDEX(職員マスタ!$H$6:$H$405,$AP415)&lt;&gt;"",$M415&lt;&gt;INDEX(職員マスタ!$H$6:$H$405,$AP415)),"時短終了日がマスタと相違／","")))&amp;IF(AND($B415&lt;&gt;"",$E415=""),"報酬額が未入力／","")&amp;IF(N($U415)&gt;0,"申請書に入力エラーが残っています／","")&amp;IF(AND($B415&lt;&gt;"",$AQ415&lt;&gt;""),IF(COUNTIFS($B$6:$B$3005,$B415,$C$6:$C$3005,$C415,$D$6:$D$3005,$D415)&gt;1,"同じ月の請求が重複しています／",""),"")&amp;IF(AND(N($E415)&gt;0,$AB415&lt;&gt;"",$AB415&lt;&gt;"×",$AE415=0,$AD415=""),"計算額が下限以下のため不支給／",""))</f>
        <v/>
      </c>
      <c r="AN415" s="12" t="n"/>
      <c r="AO415" s="14">
        <f>IF($AF415="保留中",COUNTIF($AF$6:$AF415,"保留中"),"")</f>
        <v/>
      </c>
      <c r="AP415" s="14">
        <f>IF($AQ415="","",IF(SUMPRODUCT(MAX((職員マスタ!$A$6:$A$405=$B415)*(((職員マスタ!$G$6:$G$405="")+(職員マスタ!$G$6:$G$405&lt;=EOMONTH($AQ415,0)))&gt;0)*(((職員マスタ!$H$6:$H$405="")+(職員マスタ!$H$6:$H$405&gt;=$AQ415))&gt;0)*(ROW(職員マスタ!$A$6:$A$405)-5)))&gt;0,SUMPRODUCT(MAX((職員マスタ!$A$6:$A$405=$B415)*(((職員マスタ!$G$6:$G$405="")+(職員マスタ!$G$6:$G$405&lt;=EOMONTH($AQ415,0)))&gt;0)*(((職員マスタ!$H$6:$H$405="")+(職員マスタ!$H$6:$H$405&gt;=$AQ415))&gt;0)*(ROW(職員マスタ!$A$6:$A$405)-5))),IFERROR(MATCH($B415,職員マスタ!$A$6:$A$405,0),"")))</f>
        <v/>
      </c>
      <c r="AQ415" s="16">
        <f>IF(OR($B415="",$C415="",$D415=""),"",DATE($C415+2018,$D415,1))</f>
        <v/>
      </c>
    </row>
    <row r="416">
      <c r="A416" s="11" t="n"/>
      <c r="B416" s="12" t="n">
        <v>6902308</v>
      </c>
      <c r="C416" s="12" t="n">
        <v>7</v>
      </c>
      <c r="D416" s="12" t="n">
        <v>8</v>
      </c>
      <c r="E416" s="13" t="n">
        <v>205115</v>
      </c>
      <c r="F416" s="12" t="n"/>
      <c r="G416" s="13" t="n"/>
      <c r="H416" s="12" t="n"/>
      <c r="I416" s="12" t="n"/>
      <c r="J416" s="12" t="n"/>
      <c r="K416" s="12" t="n"/>
      <c r="L416" s="11" t="n"/>
      <c r="M416" s="11" t="n"/>
      <c r="N416" s="11" t="n"/>
      <c r="O416" s="11" t="n"/>
      <c r="P416" s="12" t="n"/>
      <c r="Q416" s="11" t="n"/>
      <c r="R416" s="12" t="n"/>
      <c r="S416" s="11" t="n"/>
      <c r="T416" s="12" t="n"/>
      <c r="U416" s="12" t="n"/>
      <c r="V416" s="12" t="n"/>
      <c r="W416" s="13" t="n"/>
      <c r="X416" s="14">
        <f>IF($AP416="",IF($B416="","",$H416),IF(INDEX(職員マスタ!$B$6:$B$405,$AP416)="",$H416,INDEX(職員マスタ!$B$6:$B$405,$AP416)))</f>
        <v/>
      </c>
      <c r="Y416" s="14">
        <f>IF($AP416="",IF($B416="","",$R416),IF(INDEX(職員マスタ!$C$6:$C$405,$AP416)="",$R416,INDEX(職員マスタ!$C$6:$C$405,$AP416)))</f>
        <v/>
      </c>
      <c r="Z416" s="14">
        <f>IF($AQ416="","","R"&amp;$C416&amp;"."&amp;$D416)</f>
        <v/>
      </c>
      <c r="AA416" s="15">
        <f>IF(IF($AP416="",FALSE,INDEX(職員マスタ!$K$6:$K$405,$AP416)&lt;&gt;""),INDEX(職員マスタ!$K$6:$K$405,$AP416),IF(N($W416)&gt;0,$W416,""))</f>
        <v/>
      </c>
      <c r="AB416" s="14">
        <f>IF(OR($E416="",$AA416=""),"",IF($E416&gt;=$AA416,"×",IF($E416&gt;=$AA416*設定!$C$5,"△","○")))</f>
        <v/>
      </c>
      <c r="AC416" s="15">
        <f>IF($AB416="","",IF($AB416="×",0,IF($AB416="○",ROUNDDOWN($E416*設定!$C$4,0),ROUNDDOWN($E416*ROUND((9*$AA416-9*$E416)/(10*$E416),4),0))))</f>
        <v/>
      </c>
      <c r="AD416" s="13" t="n"/>
      <c r="AE416" s="15">
        <f>IF($B416="","",IF($AD416&lt;&gt;"",$AD416,IF($AC416="","",IF($AC416&lt;=設定!$C$3,0,$AC416))))</f>
        <v/>
      </c>
      <c r="AF416" s="14">
        <f>IF($B416="","",IF(AND($AG416&lt;&gt;"",$AI416="",$AL416=""),"保留中",IF($AL416&lt;&gt;"",IF(N($AE416)&gt;0,"支給済","不支給"),IF($AE416="","要確認",IF($AE416=0,"不支給","未処理")))))</f>
        <v/>
      </c>
      <c r="AG416" s="12" t="n"/>
      <c r="AH416" s="11" t="n"/>
      <c r="AI416" s="11" t="n"/>
      <c r="AJ416" s="11" t="n"/>
      <c r="AK416" s="14">
        <f>IF(AND($AF416="保留中",$AH416&lt;&gt;""),TODAY()-$AH416,"")</f>
        <v/>
      </c>
      <c r="AL416" s="12" t="inlineStr">
        <is>
          <t>R7.10</t>
        </is>
      </c>
      <c r="AM416" s="14">
        <f>IF($B416="","",IF($AQ416="","対象年月が未入力／","")&amp;IF($B416="","",IF($AP416="","職員マスタに未登録の職員番号／",IF($AA416="","標準報酬月額が未登録／","")&amp;IF(AND($AQ416&lt;&gt;"",OR(AND(INDEX(職員マスタ!$G$6:$G$405,$AP416)&lt;&gt;"",INDEX(職員マスタ!$G$6:$G$405,$AP416)&gt;EOMONTH($AQ416,0)),AND(INDEX(職員マスタ!$H$6:$H$405,$AP416)&lt;&gt;"",INDEX(職員マスタ!$H$6:$H$405,$AP416)&lt;$AQ416))),"対象月が時短期間外／","")&amp;IF(AND(INDEX(職員マスタ!$K$6:$K$405,$AP416)&lt;&gt;"",N($W416)&gt;0,INDEX(職員マスタ!$K$6:$K$405,$AP416)&lt;&gt;$W416),"標準報酬月額が申請書と相違（台帳"&amp;TEXT(INDEX(職員マスタ!$K$6:$K$405,$AP416),"#,##0")&amp;"円／申請書"&amp;TEXT($W416,"#,##0")&amp;"円）／","")&amp;IF(AND(INDEX(職員マスタ!$F$6:$F$405,$AP416)&lt;&gt;"",$AQ416&lt;&gt;"",INDEX(職員マスタ!$F$6:$F$405,$AP416)&lt;$AQ416),"対象月に子が2歳到達済／","")&amp;IF(AND($H416&lt;&gt;"",INDEX(職員マスタ!$B$6:$B$405,$AP416)&lt;&gt;"",SUBSTITUTE(SUBSTITUTE($H416," ","")," ","")&lt;&gt;SUBSTITUTE(SUBSTITUTE(INDEX(職員マスタ!$B$6:$B$405,$AP416)," ","")," ","")),"氏名がマスタと相違／","")&amp;IF(AND($Q416&lt;&gt;"",INDEX(職員マスタ!$E$6:$E$405,$AP416)&lt;&gt;"",$Q416&lt;&gt;INDEX(職員マスタ!$E$6:$E$405,$AP416)),"子の生年月日がマスタと相違／","")&amp;IF(AND($L416&lt;&gt;"",INDEX(職員マスタ!$G$6:$G$405,$AP416)&lt;&gt;"",$L416&lt;&gt;INDEX(職員マスタ!$G$6:$G$405,$AP416)),"時短開始日がマスタと相違／","")&amp;IF(AND($M416&lt;&gt;"",INDEX(職員マスタ!$H$6:$H$405,$AP416)&lt;&gt;"",$M416&lt;&gt;INDEX(職員マスタ!$H$6:$H$405,$AP416)),"時短終了日がマスタと相違／","")))&amp;IF(AND($B416&lt;&gt;"",$E416=""),"報酬額が未入力／","")&amp;IF(N($U416)&gt;0,"申請書に入力エラーが残っています／","")&amp;IF(AND($B416&lt;&gt;"",$AQ416&lt;&gt;""),IF(COUNTIFS($B$6:$B$3005,$B416,$C$6:$C$3005,$C416,$D$6:$D$3005,$D416)&gt;1,"同じ月の請求が重複しています／",""),"")&amp;IF(AND(N($E416)&gt;0,$AB416&lt;&gt;"",$AB416&lt;&gt;"×",$AE416=0,$AD416=""),"計算額が下限以下のため不支給／",""))</f>
        <v/>
      </c>
      <c r="AN416" s="12" t="n"/>
      <c r="AO416" s="14">
        <f>IF($AF416="保留中",COUNTIF($AF$6:$AF416,"保留中"),"")</f>
        <v/>
      </c>
      <c r="AP416" s="14">
        <f>IF($AQ416="","",IF(SUMPRODUCT(MAX((職員マスタ!$A$6:$A$405=$B416)*(((職員マスタ!$G$6:$G$405="")+(職員マスタ!$G$6:$G$405&lt;=EOMONTH($AQ416,0)))&gt;0)*(((職員マスタ!$H$6:$H$405="")+(職員マスタ!$H$6:$H$405&gt;=$AQ416))&gt;0)*(ROW(職員マスタ!$A$6:$A$405)-5)))&gt;0,SUMPRODUCT(MAX((職員マスタ!$A$6:$A$405=$B416)*(((職員マスタ!$G$6:$G$405="")+(職員マスタ!$G$6:$G$405&lt;=EOMONTH($AQ416,0)))&gt;0)*(((職員マスタ!$H$6:$H$405="")+(職員マスタ!$H$6:$H$405&gt;=$AQ416))&gt;0)*(ROW(職員マスタ!$A$6:$A$405)-5))),IFERROR(MATCH($B416,職員マスタ!$A$6:$A$405,0),"")))</f>
        <v/>
      </c>
      <c r="AQ416" s="16">
        <f>IF(OR($B416="",$C416="",$D416=""),"",DATE($C416+2018,$D416,1))</f>
        <v/>
      </c>
    </row>
    <row r="417">
      <c r="A417" s="11" t="n"/>
      <c r="B417" s="12" t="n">
        <v>6902308</v>
      </c>
      <c r="C417" s="12" t="n">
        <v>7</v>
      </c>
      <c r="D417" s="12" t="n">
        <v>9</v>
      </c>
      <c r="E417" s="13" t="n">
        <v>182981</v>
      </c>
      <c r="F417" s="12" t="n"/>
      <c r="G417" s="13" t="n"/>
      <c r="H417" s="12" t="n"/>
      <c r="I417" s="12" t="n"/>
      <c r="J417" s="12" t="n"/>
      <c r="K417" s="12" t="n"/>
      <c r="L417" s="11" t="n"/>
      <c r="M417" s="11" t="n"/>
      <c r="N417" s="11" t="n"/>
      <c r="O417" s="11" t="n"/>
      <c r="P417" s="12" t="n"/>
      <c r="Q417" s="11" t="n"/>
      <c r="R417" s="12" t="n"/>
      <c r="S417" s="11" t="n"/>
      <c r="T417" s="12" t="n"/>
      <c r="U417" s="12" t="n"/>
      <c r="V417" s="12" t="n"/>
      <c r="W417" s="13" t="n"/>
      <c r="X417" s="14">
        <f>IF($AP417="",IF($B417="","",$H417),IF(INDEX(職員マスタ!$B$6:$B$405,$AP417)="",$H417,INDEX(職員マスタ!$B$6:$B$405,$AP417)))</f>
        <v/>
      </c>
      <c r="Y417" s="14">
        <f>IF($AP417="",IF($B417="","",$R417),IF(INDEX(職員マスタ!$C$6:$C$405,$AP417)="",$R417,INDEX(職員マスタ!$C$6:$C$405,$AP417)))</f>
        <v/>
      </c>
      <c r="Z417" s="14">
        <f>IF($AQ417="","","R"&amp;$C417&amp;"."&amp;$D417)</f>
        <v/>
      </c>
      <c r="AA417" s="15">
        <f>IF(IF($AP417="",FALSE,INDEX(職員マスタ!$K$6:$K$405,$AP417)&lt;&gt;""),INDEX(職員マスタ!$K$6:$K$405,$AP417),IF(N($W417)&gt;0,$W417,""))</f>
        <v/>
      </c>
      <c r="AB417" s="14">
        <f>IF(OR($E417="",$AA417=""),"",IF($E417&gt;=$AA417,"×",IF($E417&gt;=$AA417*設定!$C$5,"△","○")))</f>
        <v/>
      </c>
      <c r="AC417" s="15">
        <f>IF($AB417="","",IF($AB417="×",0,IF($AB417="○",ROUNDDOWN($E417*設定!$C$4,0),ROUNDDOWN($E417*ROUND((9*$AA417-9*$E417)/(10*$E417),4),0))))</f>
        <v/>
      </c>
      <c r="AD417" s="13" t="n"/>
      <c r="AE417" s="15">
        <f>IF($B417="","",IF($AD417&lt;&gt;"",$AD417,IF($AC417="","",IF($AC417&lt;=設定!$C$3,0,$AC417))))</f>
        <v/>
      </c>
      <c r="AF417" s="14">
        <f>IF($B417="","",IF(AND($AG417&lt;&gt;"",$AI417="",$AL417=""),"保留中",IF($AL417&lt;&gt;"",IF(N($AE417)&gt;0,"支給済","不支給"),IF($AE417="","要確認",IF($AE417=0,"不支給","未処理")))))</f>
        <v/>
      </c>
      <c r="AG417" s="12" t="n"/>
      <c r="AH417" s="11" t="n"/>
      <c r="AI417" s="11" t="n"/>
      <c r="AJ417" s="11" t="n"/>
      <c r="AK417" s="14">
        <f>IF(AND($AF417="保留中",$AH417&lt;&gt;""),TODAY()-$AH417,"")</f>
        <v/>
      </c>
      <c r="AL417" s="12" t="inlineStr">
        <is>
          <t>R7.11</t>
        </is>
      </c>
      <c r="AM417" s="14">
        <f>IF($B417="","",IF($AQ417="","対象年月が未入力／","")&amp;IF($B417="","",IF($AP417="","職員マスタに未登録の職員番号／",IF($AA417="","標準報酬月額が未登録／","")&amp;IF(AND($AQ417&lt;&gt;"",OR(AND(INDEX(職員マスタ!$G$6:$G$405,$AP417)&lt;&gt;"",INDEX(職員マスタ!$G$6:$G$405,$AP417)&gt;EOMONTH($AQ417,0)),AND(INDEX(職員マスタ!$H$6:$H$405,$AP417)&lt;&gt;"",INDEX(職員マスタ!$H$6:$H$405,$AP417)&lt;$AQ417))),"対象月が時短期間外／","")&amp;IF(AND(INDEX(職員マスタ!$K$6:$K$405,$AP417)&lt;&gt;"",N($W417)&gt;0,INDEX(職員マスタ!$K$6:$K$405,$AP417)&lt;&gt;$W417),"標準報酬月額が申請書と相違（台帳"&amp;TEXT(INDEX(職員マスタ!$K$6:$K$405,$AP417),"#,##0")&amp;"円／申請書"&amp;TEXT($W417,"#,##0")&amp;"円）／","")&amp;IF(AND(INDEX(職員マスタ!$F$6:$F$405,$AP417)&lt;&gt;"",$AQ417&lt;&gt;"",INDEX(職員マスタ!$F$6:$F$405,$AP417)&lt;$AQ417),"対象月に子が2歳到達済／","")&amp;IF(AND($H417&lt;&gt;"",INDEX(職員マスタ!$B$6:$B$405,$AP417)&lt;&gt;"",SUBSTITUTE(SUBSTITUTE($H417," ","")," ","")&lt;&gt;SUBSTITUTE(SUBSTITUTE(INDEX(職員マスタ!$B$6:$B$405,$AP417)," ","")," ","")),"氏名がマスタと相違／","")&amp;IF(AND($Q417&lt;&gt;"",INDEX(職員マスタ!$E$6:$E$405,$AP417)&lt;&gt;"",$Q417&lt;&gt;INDEX(職員マスタ!$E$6:$E$405,$AP417)),"子の生年月日がマスタと相違／","")&amp;IF(AND($L417&lt;&gt;"",INDEX(職員マスタ!$G$6:$G$405,$AP417)&lt;&gt;"",$L417&lt;&gt;INDEX(職員マスタ!$G$6:$G$405,$AP417)),"時短開始日がマスタと相違／","")&amp;IF(AND($M417&lt;&gt;"",INDEX(職員マスタ!$H$6:$H$405,$AP417)&lt;&gt;"",$M417&lt;&gt;INDEX(職員マスタ!$H$6:$H$405,$AP417)),"時短終了日がマスタと相違／","")))&amp;IF(AND($B417&lt;&gt;"",$E417=""),"報酬額が未入力／","")&amp;IF(N($U417)&gt;0,"申請書に入力エラーが残っています／","")&amp;IF(AND($B417&lt;&gt;"",$AQ417&lt;&gt;""),IF(COUNTIFS($B$6:$B$3005,$B417,$C$6:$C$3005,$C417,$D$6:$D$3005,$D417)&gt;1,"同じ月の請求が重複しています／",""),"")&amp;IF(AND(N($E417)&gt;0,$AB417&lt;&gt;"",$AB417&lt;&gt;"×",$AE417=0,$AD417=""),"計算額が下限以下のため不支給／",""))</f>
        <v/>
      </c>
      <c r="AN417" s="12" t="n"/>
      <c r="AO417" s="14">
        <f>IF($AF417="保留中",COUNTIF($AF$6:$AF417,"保留中"),"")</f>
        <v/>
      </c>
      <c r="AP417" s="14">
        <f>IF($AQ417="","",IF(SUMPRODUCT(MAX((職員マスタ!$A$6:$A$405=$B417)*(((職員マスタ!$G$6:$G$405="")+(職員マスタ!$G$6:$G$405&lt;=EOMONTH($AQ417,0)))&gt;0)*(((職員マスタ!$H$6:$H$405="")+(職員マスタ!$H$6:$H$405&gt;=$AQ417))&gt;0)*(ROW(職員マスタ!$A$6:$A$405)-5)))&gt;0,SUMPRODUCT(MAX((職員マスタ!$A$6:$A$405=$B417)*(((職員マスタ!$G$6:$G$405="")+(職員マスタ!$G$6:$G$405&lt;=EOMONTH($AQ417,0)))&gt;0)*(((職員マスタ!$H$6:$H$405="")+(職員マスタ!$H$6:$H$405&gt;=$AQ417))&gt;0)*(ROW(職員マスタ!$A$6:$A$405)-5))),IFERROR(MATCH($B417,職員マスタ!$A$6:$A$405,0),"")))</f>
        <v/>
      </c>
      <c r="AQ417" s="16">
        <f>IF(OR($B417="",$C417="",$D417=""),"",DATE($C417+2018,$D417,1))</f>
        <v/>
      </c>
    </row>
    <row r="418">
      <c r="A418" s="11" t="n"/>
      <c r="B418" s="12" t="n">
        <v>6902308</v>
      </c>
      <c r="C418" s="12" t="n">
        <v>7</v>
      </c>
      <c r="D418" s="12" t="n">
        <v>10</v>
      </c>
      <c r="E418" s="13" t="n">
        <v>183726</v>
      </c>
      <c r="F418" s="12" t="n"/>
      <c r="G418" s="13" t="n"/>
      <c r="H418" s="12" t="n"/>
      <c r="I418" s="12" t="n"/>
      <c r="J418" s="12" t="n"/>
      <c r="K418" s="12" t="n"/>
      <c r="L418" s="11" t="n"/>
      <c r="M418" s="11" t="n"/>
      <c r="N418" s="11" t="n"/>
      <c r="O418" s="11" t="n"/>
      <c r="P418" s="12" t="n"/>
      <c r="Q418" s="11" t="n"/>
      <c r="R418" s="12" t="n"/>
      <c r="S418" s="11" t="n"/>
      <c r="T418" s="12" t="n"/>
      <c r="U418" s="12" t="n"/>
      <c r="V418" s="12" t="n"/>
      <c r="W418" s="13" t="n"/>
      <c r="X418" s="14">
        <f>IF($AP418="",IF($B418="","",$H418),IF(INDEX(職員マスタ!$B$6:$B$405,$AP418)="",$H418,INDEX(職員マスタ!$B$6:$B$405,$AP418)))</f>
        <v/>
      </c>
      <c r="Y418" s="14">
        <f>IF($AP418="",IF($B418="","",$R418),IF(INDEX(職員マスタ!$C$6:$C$405,$AP418)="",$R418,INDEX(職員マスタ!$C$6:$C$405,$AP418)))</f>
        <v/>
      </c>
      <c r="Z418" s="14">
        <f>IF($AQ418="","","R"&amp;$C418&amp;"."&amp;$D418)</f>
        <v/>
      </c>
      <c r="AA418" s="15">
        <f>IF(IF($AP418="",FALSE,INDEX(職員マスタ!$K$6:$K$405,$AP418)&lt;&gt;""),INDEX(職員マスタ!$K$6:$K$405,$AP418),IF(N($W418)&gt;0,$W418,""))</f>
        <v/>
      </c>
      <c r="AB418" s="14">
        <f>IF(OR($E418="",$AA418=""),"",IF($E418&gt;=$AA418,"×",IF($E418&gt;=$AA418*設定!$C$5,"△","○")))</f>
        <v/>
      </c>
      <c r="AC418" s="15">
        <f>IF($AB418="","",IF($AB418="×",0,IF($AB418="○",ROUNDDOWN($E418*設定!$C$4,0),ROUNDDOWN($E418*ROUND((9*$AA418-9*$E418)/(10*$E418),4),0))))</f>
        <v/>
      </c>
      <c r="AD418" s="13" t="n"/>
      <c r="AE418" s="15">
        <f>IF($B418="","",IF($AD418&lt;&gt;"",$AD418,IF($AC418="","",IF($AC418&lt;=設定!$C$3,0,$AC418))))</f>
        <v/>
      </c>
      <c r="AF418" s="14">
        <f>IF($B418="","",IF(AND($AG418&lt;&gt;"",$AI418="",$AL418=""),"保留中",IF($AL418&lt;&gt;"",IF(N($AE418)&gt;0,"支給済","不支給"),IF($AE418="","要確認",IF($AE418=0,"不支給","未処理")))))</f>
        <v/>
      </c>
      <c r="AG418" s="12" t="n"/>
      <c r="AH418" s="11" t="n"/>
      <c r="AI418" s="11" t="n"/>
      <c r="AJ418" s="11" t="n"/>
      <c r="AK418" s="14">
        <f>IF(AND($AF418="保留中",$AH418&lt;&gt;""),TODAY()-$AH418,"")</f>
        <v/>
      </c>
      <c r="AL418" s="12" t="inlineStr">
        <is>
          <t>R7.12</t>
        </is>
      </c>
      <c r="AM418" s="14">
        <f>IF($B418="","",IF($AQ418="","対象年月が未入力／","")&amp;IF($B418="","",IF($AP418="","職員マスタに未登録の職員番号／",IF($AA418="","標準報酬月額が未登録／","")&amp;IF(AND($AQ418&lt;&gt;"",OR(AND(INDEX(職員マスタ!$G$6:$G$405,$AP418)&lt;&gt;"",INDEX(職員マスタ!$G$6:$G$405,$AP418)&gt;EOMONTH($AQ418,0)),AND(INDEX(職員マスタ!$H$6:$H$405,$AP418)&lt;&gt;"",INDEX(職員マスタ!$H$6:$H$405,$AP418)&lt;$AQ418))),"対象月が時短期間外／","")&amp;IF(AND(INDEX(職員マスタ!$K$6:$K$405,$AP418)&lt;&gt;"",N($W418)&gt;0,INDEX(職員マスタ!$K$6:$K$405,$AP418)&lt;&gt;$W418),"標準報酬月額が申請書と相違（台帳"&amp;TEXT(INDEX(職員マスタ!$K$6:$K$405,$AP418),"#,##0")&amp;"円／申請書"&amp;TEXT($W418,"#,##0")&amp;"円）／","")&amp;IF(AND(INDEX(職員マスタ!$F$6:$F$405,$AP418)&lt;&gt;"",$AQ418&lt;&gt;"",INDEX(職員マスタ!$F$6:$F$405,$AP418)&lt;$AQ418),"対象月に子が2歳到達済／","")&amp;IF(AND($H418&lt;&gt;"",INDEX(職員マスタ!$B$6:$B$405,$AP418)&lt;&gt;"",SUBSTITUTE(SUBSTITUTE($H418," ","")," ","")&lt;&gt;SUBSTITUTE(SUBSTITUTE(INDEX(職員マスタ!$B$6:$B$405,$AP418)," ","")," ","")),"氏名がマスタと相違／","")&amp;IF(AND($Q418&lt;&gt;"",INDEX(職員マスタ!$E$6:$E$405,$AP418)&lt;&gt;"",$Q418&lt;&gt;INDEX(職員マスタ!$E$6:$E$405,$AP418)),"子の生年月日がマスタと相違／","")&amp;IF(AND($L418&lt;&gt;"",INDEX(職員マスタ!$G$6:$G$405,$AP418)&lt;&gt;"",$L418&lt;&gt;INDEX(職員マスタ!$G$6:$G$405,$AP418)),"時短開始日がマスタと相違／","")&amp;IF(AND($M418&lt;&gt;"",INDEX(職員マスタ!$H$6:$H$405,$AP418)&lt;&gt;"",$M418&lt;&gt;INDEX(職員マスタ!$H$6:$H$405,$AP418)),"時短終了日がマスタと相違／","")))&amp;IF(AND($B418&lt;&gt;"",$E418=""),"報酬額が未入力／","")&amp;IF(N($U418)&gt;0,"申請書に入力エラーが残っています／","")&amp;IF(AND($B418&lt;&gt;"",$AQ418&lt;&gt;""),IF(COUNTIFS($B$6:$B$3005,$B418,$C$6:$C$3005,$C418,$D$6:$D$3005,$D418)&gt;1,"同じ月の請求が重複しています／",""),"")&amp;IF(AND(N($E418)&gt;0,$AB418&lt;&gt;"",$AB418&lt;&gt;"×",$AE418=0,$AD418=""),"計算額が下限以下のため不支給／",""))</f>
        <v/>
      </c>
      <c r="AN418" s="12" t="n"/>
      <c r="AO418" s="14">
        <f>IF($AF418="保留中",COUNTIF($AF$6:$AF418,"保留中"),"")</f>
        <v/>
      </c>
      <c r="AP418" s="14">
        <f>IF($AQ418="","",IF(SUMPRODUCT(MAX((職員マスタ!$A$6:$A$405=$B418)*(((職員マスタ!$G$6:$G$405="")+(職員マスタ!$G$6:$G$405&lt;=EOMONTH($AQ418,0)))&gt;0)*(((職員マスタ!$H$6:$H$405="")+(職員マスタ!$H$6:$H$405&gt;=$AQ418))&gt;0)*(ROW(職員マスタ!$A$6:$A$405)-5)))&gt;0,SUMPRODUCT(MAX((職員マスタ!$A$6:$A$405=$B418)*(((職員マスタ!$G$6:$G$405="")+(職員マスタ!$G$6:$G$405&lt;=EOMONTH($AQ418,0)))&gt;0)*(((職員マスタ!$H$6:$H$405="")+(職員マスタ!$H$6:$H$405&gt;=$AQ418))&gt;0)*(ROW(職員マスタ!$A$6:$A$405)-5))),IFERROR(MATCH($B418,職員マスタ!$A$6:$A$405,0),"")))</f>
        <v/>
      </c>
      <c r="AQ418" s="16">
        <f>IF(OR($B418="",$C418="",$D418=""),"",DATE($C418+2018,$D418,1))</f>
        <v/>
      </c>
    </row>
    <row r="419">
      <c r="A419" s="11" t="n"/>
      <c r="B419" s="12" t="n">
        <v>6902308</v>
      </c>
      <c r="C419" s="12" t="n">
        <v>7</v>
      </c>
      <c r="D419" s="12" t="n">
        <v>11</v>
      </c>
      <c r="E419" s="13" t="n">
        <v>183726</v>
      </c>
      <c r="F419" s="12" t="n"/>
      <c r="G419" s="13" t="n"/>
      <c r="H419" s="12" t="n"/>
      <c r="I419" s="12" t="n"/>
      <c r="J419" s="12" t="n"/>
      <c r="K419" s="12" t="n"/>
      <c r="L419" s="11" t="n"/>
      <c r="M419" s="11" t="n"/>
      <c r="N419" s="11" t="n"/>
      <c r="O419" s="11" t="n"/>
      <c r="P419" s="12" t="n"/>
      <c r="Q419" s="11" t="n"/>
      <c r="R419" s="12" t="n"/>
      <c r="S419" s="11" t="n"/>
      <c r="T419" s="12" t="n"/>
      <c r="U419" s="12" t="n"/>
      <c r="V419" s="12" t="n"/>
      <c r="W419" s="13" t="n"/>
      <c r="X419" s="14">
        <f>IF($AP419="",IF($B419="","",$H419),IF(INDEX(職員マスタ!$B$6:$B$405,$AP419)="",$H419,INDEX(職員マスタ!$B$6:$B$405,$AP419)))</f>
        <v/>
      </c>
      <c r="Y419" s="14">
        <f>IF($AP419="",IF($B419="","",$R419),IF(INDEX(職員マスタ!$C$6:$C$405,$AP419)="",$R419,INDEX(職員マスタ!$C$6:$C$405,$AP419)))</f>
        <v/>
      </c>
      <c r="Z419" s="14">
        <f>IF($AQ419="","","R"&amp;$C419&amp;"."&amp;$D419)</f>
        <v/>
      </c>
      <c r="AA419" s="15">
        <f>IF(IF($AP419="",FALSE,INDEX(職員マスタ!$K$6:$K$405,$AP419)&lt;&gt;""),INDEX(職員マスタ!$K$6:$K$405,$AP419),IF(N($W419)&gt;0,$W419,""))</f>
        <v/>
      </c>
      <c r="AB419" s="14">
        <f>IF(OR($E419="",$AA419=""),"",IF($E419&gt;=$AA419,"×",IF($E419&gt;=$AA419*設定!$C$5,"△","○")))</f>
        <v/>
      </c>
      <c r="AC419" s="15">
        <f>IF($AB419="","",IF($AB419="×",0,IF($AB419="○",ROUNDDOWN($E419*設定!$C$4,0),ROUNDDOWN($E419*ROUND((9*$AA419-9*$E419)/(10*$E419),4),0))))</f>
        <v/>
      </c>
      <c r="AD419" s="13" t="n"/>
      <c r="AE419" s="15">
        <f>IF($B419="","",IF($AD419&lt;&gt;"",$AD419,IF($AC419="","",IF($AC419&lt;=設定!$C$3,0,$AC419))))</f>
        <v/>
      </c>
      <c r="AF419" s="14">
        <f>IF($B419="","",IF(AND($AG419&lt;&gt;"",$AI419="",$AL419=""),"保留中",IF($AL419&lt;&gt;"",IF(N($AE419)&gt;0,"支給済","不支給"),IF($AE419="","要確認",IF($AE419=0,"不支給","未処理")))))</f>
        <v/>
      </c>
      <c r="AG419" s="12" t="n"/>
      <c r="AH419" s="11" t="n"/>
      <c r="AI419" s="11" t="n"/>
      <c r="AJ419" s="11" t="n"/>
      <c r="AK419" s="14">
        <f>IF(AND($AF419="保留中",$AH419&lt;&gt;""),TODAY()-$AH419,"")</f>
        <v/>
      </c>
      <c r="AL419" s="12" t="inlineStr">
        <is>
          <t>R8.1</t>
        </is>
      </c>
      <c r="AM419" s="14">
        <f>IF($B419="","",IF($AQ419="","対象年月が未入力／","")&amp;IF($B419="","",IF($AP419="","職員マスタに未登録の職員番号／",IF($AA419="","標準報酬月額が未登録／","")&amp;IF(AND($AQ419&lt;&gt;"",OR(AND(INDEX(職員マスタ!$G$6:$G$405,$AP419)&lt;&gt;"",INDEX(職員マスタ!$G$6:$G$405,$AP419)&gt;EOMONTH($AQ419,0)),AND(INDEX(職員マスタ!$H$6:$H$405,$AP419)&lt;&gt;"",INDEX(職員マスタ!$H$6:$H$405,$AP419)&lt;$AQ419))),"対象月が時短期間外／","")&amp;IF(AND(INDEX(職員マスタ!$K$6:$K$405,$AP419)&lt;&gt;"",N($W419)&gt;0,INDEX(職員マスタ!$K$6:$K$405,$AP419)&lt;&gt;$W419),"標準報酬月額が申請書と相違（台帳"&amp;TEXT(INDEX(職員マスタ!$K$6:$K$405,$AP419),"#,##0")&amp;"円／申請書"&amp;TEXT($W419,"#,##0")&amp;"円）／","")&amp;IF(AND(INDEX(職員マスタ!$F$6:$F$405,$AP419)&lt;&gt;"",$AQ419&lt;&gt;"",INDEX(職員マスタ!$F$6:$F$405,$AP419)&lt;$AQ419),"対象月に子が2歳到達済／","")&amp;IF(AND($H419&lt;&gt;"",INDEX(職員マスタ!$B$6:$B$405,$AP419)&lt;&gt;"",SUBSTITUTE(SUBSTITUTE($H419," ","")," ","")&lt;&gt;SUBSTITUTE(SUBSTITUTE(INDEX(職員マスタ!$B$6:$B$405,$AP419)," ","")," ","")),"氏名がマスタと相違／","")&amp;IF(AND($Q419&lt;&gt;"",INDEX(職員マスタ!$E$6:$E$405,$AP419)&lt;&gt;"",$Q419&lt;&gt;INDEX(職員マスタ!$E$6:$E$405,$AP419)),"子の生年月日がマスタと相違／","")&amp;IF(AND($L419&lt;&gt;"",INDEX(職員マスタ!$G$6:$G$405,$AP419)&lt;&gt;"",$L419&lt;&gt;INDEX(職員マスタ!$G$6:$G$405,$AP419)),"時短開始日がマスタと相違／","")&amp;IF(AND($M419&lt;&gt;"",INDEX(職員マスタ!$H$6:$H$405,$AP419)&lt;&gt;"",$M419&lt;&gt;INDEX(職員マスタ!$H$6:$H$405,$AP419)),"時短終了日がマスタと相違／","")))&amp;IF(AND($B419&lt;&gt;"",$E419=""),"報酬額が未入力／","")&amp;IF(N($U419)&gt;0,"申請書に入力エラーが残っています／","")&amp;IF(AND($B419&lt;&gt;"",$AQ419&lt;&gt;""),IF(COUNTIFS($B$6:$B$3005,$B419,$C$6:$C$3005,$C419,$D$6:$D$3005,$D419)&gt;1,"同じ月の請求が重複しています／",""),"")&amp;IF(AND(N($E419)&gt;0,$AB419&lt;&gt;"",$AB419&lt;&gt;"×",$AE419=0,$AD419=""),"計算額が下限以下のため不支給／",""))</f>
        <v/>
      </c>
      <c r="AN419" s="12" t="n"/>
      <c r="AO419" s="14">
        <f>IF($AF419="保留中",COUNTIF($AF$6:$AF419,"保留中"),"")</f>
        <v/>
      </c>
      <c r="AP419" s="14">
        <f>IF($AQ419="","",IF(SUMPRODUCT(MAX((職員マスタ!$A$6:$A$405=$B419)*(((職員マスタ!$G$6:$G$405="")+(職員マスタ!$G$6:$G$405&lt;=EOMONTH($AQ419,0)))&gt;0)*(((職員マスタ!$H$6:$H$405="")+(職員マスタ!$H$6:$H$405&gt;=$AQ419))&gt;0)*(ROW(職員マスタ!$A$6:$A$405)-5)))&gt;0,SUMPRODUCT(MAX((職員マスタ!$A$6:$A$405=$B419)*(((職員マスタ!$G$6:$G$405="")+(職員マスタ!$G$6:$G$405&lt;=EOMONTH($AQ419,0)))&gt;0)*(((職員マスタ!$H$6:$H$405="")+(職員マスタ!$H$6:$H$405&gt;=$AQ419))&gt;0)*(ROW(職員マスタ!$A$6:$A$405)-5))),IFERROR(MATCH($B419,職員マスタ!$A$6:$A$405,0),"")))</f>
        <v/>
      </c>
      <c r="AQ419" s="16">
        <f>IF(OR($B419="",$C419="",$D419=""),"",DATE($C419+2018,$D419,1))</f>
        <v/>
      </c>
    </row>
    <row r="420">
      <c r="A420" s="11" t="n"/>
      <c r="B420" s="12" t="n">
        <v>6902308</v>
      </c>
      <c r="C420" s="12" t="n">
        <v>7</v>
      </c>
      <c r="D420" s="12" t="n">
        <v>12</v>
      </c>
      <c r="E420" s="13" t="n">
        <v>190944</v>
      </c>
      <c r="F420" s="12" t="n"/>
      <c r="G420" s="13" t="n"/>
      <c r="H420" s="12" t="n"/>
      <c r="I420" s="12" t="n"/>
      <c r="J420" s="12" t="n"/>
      <c r="K420" s="12" t="n"/>
      <c r="L420" s="11" t="n"/>
      <c r="M420" s="11" t="n"/>
      <c r="N420" s="11" t="n"/>
      <c r="O420" s="11" t="n"/>
      <c r="P420" s="12" t="n"/>
      <c r="Q420" s="11" t="n"/>
      <c r="R420" s="12" t="n"/>
      <c r="S420" s="11" t="n"/>
      <c r="T420" s="12" t="n"/>
      <c r="U420" s="12" t="n"/>
      <c r="V420" s="12" t="n"/>
      <c r="W420" s="13" t="n"/>
      <c r="X420" s="14">
        <f>IF($AP420="",IF($B420="","",$H420),IF(INDEX(職員マスタ!$B$6:$B$405,$AP420)="",$H420,INDEX(職員マスタ!$B$6:$B$405,$AP420)))</f>
        <v/>
      </c>
      <c r="Y420" s="14">
        <f>IF($AP420="",IF($B420="","",$R420),IF(INDEX(職員マスタ!$C$6:$C$405,$AP420)="",$R420,INDEX(職員マスタ!$C$6:$C$405,$AP420)))</f>
        <v/>
      </c>
      <c r="Z420" s="14">
        <f>IF($AQ420="","","R"&amp;$C420&amp;"."&amp;$D420)</f>
        <v/>
      </c>
      <c r="AA420" s="15">
        <f>IF(IF($AP420="",FALSE,INDEX(職員マスタ!$K$6:$K$405,$AP420)&lt;&gt;""),INDEX(職員マスタ!$K$6:$K$405,$AP420),IF(N($W420)&gt;0,$W420,""))</f>
        <v/>
      </c>
      <c r="AB420" s="14">
        <f>IF(OR($E420="",$AA420=""),"",IF($E420&gt;=$AA420,"×",IF($E420&gt;=$AA420*設定!$C$5,"△","○")))</f>
        <v/>
      </c>
      <c r="AC420" s="15">
        <f>IF($AB420="","",IF($AB420="×",0,IF($AB420="○",ROUNDDOWN($E420*設定!$C$4,0),ROUNDDOWN($E420*ROUND((9*$AA420-9*$E420)/(10*$E420),4),0))))</f>
        <v/>
      </c>
      <c r="AD420" s="13" t="n"/>
      <c r="AE420" s="15">
        <f>IF($B420="","",IF($AD420&lt;&gt;"",$AD420,IF($AC420="","",IF($AC420&lt;=設定!$C$3,0,$AC420))))</f>
        <v/>
      </c>
      <c r="AF420" s="14">
        <f>IF($B420="","",IF(AND($AG420&lt;&gt;"",$AI420="",$AL420=""),"保留中",IF($AL420&lt;&gt;"",IF(N($AE420)&gt;0,"支給済","不支給"),IF($AE420="","要確認",IF($AE420=0,"不支給","未処理")))))</f>
        <v/>
      </c>
      <c r="AG420" s="12" t="n"/>
      <c r="AH420" s="11" t="n"/>
      <c r="AI420" s="11" t="n"/>
      <c r="AJ420" s="11" t="n"/>
      <c r="AK420" s="14">
        <f>IF(AND($AF420="保留中",$AH420&lt;&gt;""),TODAY()-$AH420,"")</f>
        <v/>
      </c>
      <c r="AL420" s="12" t="inlineStr">
        <is>
          <t>R8.2</t>
        </is>
      </c>
      <c r="AM420" s="14">
        <f>IF($B420="","",IF($AQ420="","対象年月が未入力／","")&amp;IF($B420="","",IF($AP420="","職員マスタに未登録の職員番号／",IF($AA420="","標準報酬月額が未登録／","")&amp;IF(AND($AQ420&lt;&gt;"",OR(AND(INDEX(職員マスタ!$G$6:$G$405,$AP420)&lt;&gt;"",INDEX(職員マスタ!$G$6:$G$405,$AP420)&gt;EOMONTH($AQ420,0)),AND(INDEX(職員マスタ!$H$6:$H$405,$AP420)&lt;&gt;"",INDEX(職員マスタ!$H$6:$H$405,$AP420)&lt;$AQ420))),"対象月が時短期間外／","")&amp;IF(AND(INDEX(職員マスタ!$K$6:$K$405,$AP420)&lt;&gt;"",N($W420)&gt;0,INDEX(職員マスタ!$K$6:$K$405,$AP420)&lt;&gt;$W420),"標準報酬月額が申請書と相違（台帳"&amp;TEXT(INDEX(職員マスタ!$K$6:$K$405,$AP420),"#,##0")&amp;"円／申請書"&amp;TEXT($W420,"#,##0")&amp;"円）／","")&amp;IF(AND(INDEX(職員マスタ!$F$6:$F$405,$AP420)&lt;&gt;"",$AQ420&lt;&gt;"",INDEX(職員マスタ!$F$6:$F$405,$AP420)&lt;$AQ420),"対象月に子が2歳到達済／","")&amp;IF(AND($H420&lt;&gt;"",INDEX(職員マスタ!$B$6:$B$405,$AP420)&lt;&gt;"",SUBSTITUTE(SUBSTITUTE($H420," ","")," ","")&lt;&gt;SUBSTITUTE(SUBSTITUTE(INDEX(職員マスタ!$B$6:$B$405,$AP420)," ","")," ","")),"氏名がマスタと相違／","")&amp;IF(AND($Q420&lt;&gt;"",INDEX(職員マスタ!$E$6:$E$405,$AP420)&lt;&gt;"",$Q420&lt;&gt;INDEX(職員マスタ!$E$6:$E$405,$AP420)),"子の生年月日がマスタと相違／","")&amp;IF(AND($L420&lt;&gt;"",INDEX(職員マスタ!$G$6:$G$405,$AP420)&lt;&gt;"",$L420&lt;&gt;INDEX(職員マスタ!$G$6:$G$405,$AP420)),"時短開始日がマスタと相違／","")&amp;IF(AND($M420&lt;&gt;"",INDEX(職員マスタ!$H$6:$H$405,$AP420)&lt;&gt;"",$M420&lt;&gt;INDEX(職員マスタ!$H$6:$H$405,$AP420)),"時短終了日がマスタと相違／","")))&amp;IF(AND($B420&lt;&gt;"",$E420=""),"報酬額が未入力／","")&amp;IF(N($U420)&gt;0,"申請書に入力エラーが残っています／","")&amp;IF(AND($B420&lt;&gt;"",$AQ420&lt;&gt;""),IF(COUNTIFS($B$6:$B$3005,$B420,$C$6:$C$3005,$C420,$D$6:$D$3005,$D420)&gt;1,"同じ月の請求が重複しています／",""),"")&amp;IF(AND(N($E420)&gt;0,$AB420&lt;&gt;"",$AB420&lt;&gt;"×",$AE420=0,$AD420=""),"計算額が下限以下のため不支給／",""))</f>
        <v/>
      </c>
      <c r="AN420" s="12" t="n"/>
      <c r="AO420" s="14">
        <f>IF($AF420="保留中",COUNTIF($AF$6:$AF420,"保留中"),"")</f>
        <v/>
      </c>
      <c r="AP420" s="14">
        <f>IF($AQ420="","",IF(SUMPRODUCT(MAX((職員マスタ!$A$6:$A$405=$B420)*(((職員マスタ!$G$6:$G$405="")+(職員マスタ!$G$6:$G$405&lt;=EOMONTH($AQ420,0)))&gt;0)*(((職員マスタ!$H$6:$H$405="")+(職員マスタ!$H$6:$H$405&gt;=$AQ420))&gt;0)*(ROW(職員マスタ!$A$6:$A$405)-5)))&gt;0,SUMPRODUCT(MAX((職員マスタ!$A$6:$A$405=$B420)*(((職員マスタ!$G$6:$G$405="")+(職員マスタ!$G$6:$G$405&lt;=EOMONTH($AQ420,0)))&gt;0)*(((職員マスタ!$H$6:$H$405="")+(職員マスタ!$H$6:$H$405&gt;=$AQ420))&gt;0)*(ROW(職員マスタ!$A$6:$A$405)-5))),IFERROR(MATCH($B420,職員マスタ!$A$6:$A$405,0),"")))</f>
        <v/>
      </c>
      <c r="AQ420" s="16">
        <f>IF(OR($B420="",$C420="",$D420=""),"",DATE($C420+2018,$D420,1))</f>
        <v/>
      </c>
    </row>
    <row r="421">
      <c r="A421" s="11" t="n"/>
      <c r="B421" s="12" t="n">
        <v>6902308</v>
      </c>
      <c r="C421" s="12" t="n">
        <v>8</v>
      </c>
      <c r="D421" s="12" t="n">
        <v>1</v>
      </c>
      <c r="E421" s="13" t="n">
        <v>192878</v>
      </c>
      <c r="F421" s="12" t="n"/>
      <c r="G421" s="13" t="n"/>
      <c r="H421" s="12" t="n"/>
      <c r="I421" s="12" t="n"/>
      <c r="J421" s="12" t="n"/>
      <c r="K421" s="12" t="n"/>
      <c r="L421" s="11" t="n"/>
      <c r="M421" s="11" t="n"/>
      <c r="N421" s="11" t="n"/>
      <c r="O421" s="11" t="n"/>
      <c r="P421" s="12" t="n"/>
      <c r="Q421" s="11" t="n"/>
      <c r="R421" s="12" t="n"/>
      <c r="S421" s="11" t="n"/>
      <c r="T421" s="12" t="n"/>
      <c r="U421" s="12" t="n"/>
      <c r="V421" s="12" t="n"/>
      <c r="W421" s="13" t="n"/>
      <c r="X421" s="14">
        <f>IF($AP421="",IF($B421="","",$H421),IF(INDEX(職員マスタ!$B$6:$B$405,$AP421)="",$H421,INDEX(職員マスタ!$B$6:$B$405,$AP421)))</f>
        <v/>
      </c>
      <c r="Y421" s="14">
        <f>IF($AP421="",IF($B421="","",$R421),IF(INDEX(職員マスタ!$C$6:$C$405,$AP421)="",$R421,INDEX(職員マスタ!$C$6:$C$405,$AP421)))</f>
        <v/>
      </c>
      <c r="Z421" s="14">
        <f>IF($AQ421="","","R"&amp;$C421&amp;"."&amp;$D421)</f>
        <v/>
      </c>
      <c r="AA421" s="15">
        <f>IF(IF($AP421="",FALSE,INDEX(職員マスタ!$K$6:$K$405,$AP421)&lt;&gt;""),INDEX(職員マスタ!$K$6:$K$405,$AP421),IF(N($W421)&gt;0,$W421,""))</f>
        <v/>
      </c>
      <c r="AB421" s="14">
        <f>IF(OR($E421="",$AA421=""),"",IF($E421&gt;=$AA421,"×",IF($E421&gt;=$AA421*設定!$C$5,"△","○")))</f>
        <v/>
      </c>
      <c r="AC421" s="15">
        <f>IF($AB421="","",IF($AB421="×",0,IF($AB421="○",ROUNDDOWN($E421*設定!$C$4,0),ROUNDDOWN($E421*ROUND((9*$AA421-9*$E421)/(10*$E421),4),0))))</f>
        <v/>
      </c>
      <c r="AD421" s="13" t="n"/>
      <c r="AE421" s="15">
        <f>IF($B421="","",IF($AD421&lt;&gt;"",$AD421,IF($AC421="","",IF($AC421&lt;=設定!$C$3,0,$AC421))))</f>
        <v/>
      </c>
      <c r="AF421" s="14">
        <f>IF($B421="","",IF(AND($AG421&lt;&gt;"",$AI421="",$AL421=""),"保留中",IF($AL421&lt;&gt;"",IF(N($AE421)&gt;0,"支給済","不支給"),IF($AE421="","要確認",IF($AE421=0,"不支給","未処理")))))</f>
        <v/>
      </c>
      <c r="AG421" s="12" t="n"/>
      <c r="AH421" s="11" t="n"/>
      <c r="AI421" s="11" t="n"/>
      <c r="AJ421" s="11" t="n"/>
      <c r="AK421" s="14">
        <f>IF(AND($AF421="保留中",$AH421&lt;&gt;""),TODAY()-$AH421,"")</f>
        <v/>
      </c>
      <c r="AL421" s="12" t="inlineStr">
        <is>
          <t>R8.4</t>
        </is>
      </c>
      <c r="AM421" s="14">
        <f>IF($B421="","",IF($AQ421="","対象年月が未入力／","")&amp;IF($B421="","",IF($AP421="","職員マスタに未登録の職員番号／",IF($AA421="","標準報酬月額が未登録／","")&amp;IF(AND($AQ421&lt;&gt;"",OR(AND(INDEX(職員マスタ!$G$6:$G$405,$AP421)&lt;&gt;"",INDEX(職員マスタ!$G$6:$G$405,$AP421)&gt;EOMONTH($AQ421,0)),AND(INDEX(職員マスタ!$H$6:$H$405,$AP421)&lt;&gt;"",INDEX(職員マスタ!$H$6:$H$405,$AP421)&lt;$AQ421))),"対象月が時短期間外／","")&amp;IF(AND(INDEX(職員マスタ!$K$6:$K$405,$AP421)&lt;&gt;"",N($W421)&gt;0,INDEX(職員マスタ!$K$6:$K$405,$AP421)&lt;&gt;$W421),"標準報酬月額が申請書と相違（台帳"&amp;TEXT(INDEX(職員マスタ!$K$6:$K$405,$AP421),"#,##0")&amp;"円／申請書"&amp;TEXT($W421,"#,##0")&amp;"円）／","")&amp;IF(AND(INDEX(職員マスタ!$F$6:$F$405,$AP421)&lt;&gt;"",$AQ421&lt;&gt;"",INDEX(職員マスタ!$F$6:$F$405,$AP421)&lt;$AQ421),"対象月に子が2歳到達済／","")&amp;IF(AND($H421&lt;&gt;"",INDEX(職員マスタ!$B$6:$B$405,$AP421)&lt;&gt;"",SUBSTITUTE(SUBSTITUTE($H421," ","")," ","")&lt;&gt;SUBSTITUTE(SUBSTITUTE(INDEX(職員マスタ!$B$6:$B$405,$AP421)," ","")," ","")),"氏名がマスタと相違／","")&amp;IF(AND($Q421&lt;&gt;"",INDEX(職員マスタ!$E$6:$E$405,$AP421)&lt;&gt;"",$Q421&lt;&gt;INDEX(職員マスタ!$E$6:$E$405,$AP421)),"子の生年月日がマスタと相違／","")&amp;IF(AND($L421&lt;&gt;"",INDEX(職員マスタ!$G$6:$G$405,$AP421)&lt;&gt;"",$L421&lt;&gt;INDEX(職員マスタ!$G$6:$G$405,$AP421)),"時短開始日がマスタと相違／","")&amp;IF(AND($M421&lt;&gt;"",INDEX(職員マスタ!$H$6:$H$405,$AP421)&lt;&gt;"",$M421&lt;&gt;INDEX(職員マスタ!$H$6:$H$405,$AP421)),"時短終了日がマスタと相違／","")))&amp;IF(AND($B421&lt;&gt;"",$E421=""),"報酬額が未入力／","")&amp;IF(N($U421)&gt;0,"申請書に入力エラーが残っています／","")&amp;IF(AND($B421&lt;&gt;"",$AQ421&lt;&gt;""),IF(COUNTIFS($B$6:$B$3005,$B421,$C$6:$C$3005,$C421,$D$6:$D$3005,$D421)&gt;1,"同じ月の請求が重複しています／",""),"")&amp;IF(AND(N($E421)&gt;0,$AB421&lt;&gt;"",$AB421&lt;&gt;"×",$AE421=0,$AD421=""),"計算額が下限以下のため不支給／",""))</f>
        <v/>
      </c>
      <c r="AN421" s="12" t="n"/>
      <c r="AO421" s="14">
        <f>IF($AF421="保留中",COUNTIF($AF$6:$AF421,"保留中"),"")</f>
        <v/>
      </c>
      <c r="AP421" s="14">
        <f>IF($AQ421="","",IF(SUMPRODUCT(MAX((職員マスタ!$A$6:$A$405=$B421)*(((職員マスタ!$G$6:$G$405="")+(職員マスタ!$G$6:$G$405&lt;=EOMONTH($AQ421,0)))&gt;0)*(((職員マスタ!$H$6:$H$405="")+(職員マスタ!$H$6:$H$405&gt;=$AQ421))&gt;0)*(ROW(職員マスタ!$A$6:$A$405)-5)))&gt;0,SUMPRODUCT(MAX((職員マスタ!$A$6:$A$405=$B421)*(((職員マスタ!$G$6:$G$405="")+(職員マスタ!$G$6:$G$405&lt;=EOMONTH($AQ421,0)))&gt;0)*(((職員マスタ!$H$6:$H$405="")+(職員マスタ!$H$6:$H$405&gt;=$AQ421))&gt;0)*(ROW(職員マスタ!$A$6:$A$405)-5))),IFERROR(MATCH($B421,職員マスタ!$A$6:$A$405,0),"")))</f>
        <v/>
      </c>
      <c r="AQ421" s="16">
        <f>IF(OR($B421="",$C421="",$D421=""),"",DATE($C421+2018,$D421,1))</f>
        <v/>
      </c>
    </row>
    <row r="422">
      <c r="A422" s="11" t="n"/>
      <c r="B422" s="12" t="n">
        <v>6902308</v>
      </c>
      <c r="C422" s="12" t="n">
        <v>8</v>
      </c>
      <c r="D422" s="12" t="n">
        <v>2</v>
      </c>
      <c r="E422" s="13" t="n">
        <v>190942</v>
      </c>
      <c r="F422" s="12" t="n"/>
      <c r="G422" s="13" t="n"/>
      <c r="H422" s="12" t="n"/>
      <c r="I422" s="12" t="n"/>
      <c r="J422" s="12" t="n"/>
      <c r="K422" s="12" t="n"/>
      <c r="L422" s="11" t="n"/>
      <c r="M422" s="11" t="n"/>
      <c r="N422" s="11" t="n"/>
      <c r="O422" s="11" t="n"/>
      <c r="P422" s="12" t="n"/>
      <c r="Q422" s="11" t="n"/>
      <c r="R422" s="12" t="n"/>
      <c r="S422" s="11" t="n"/>
      <c r="T422" s="12" t="n"/>
      <c r="U422" s="12" t="n"/>
      <c r="V422" s="12" t="n"/>
      <c r="W422" s="13" t="n"/>
      <c r="X422" s="14">
        <f>IF($AP422="",IF($B422="","",$H422),IF(INDEX(職員マスタ!$B$6:$B$405,$AP422)="",$H422,INDEX(職員マスタ!$B$6:$B$405,$AP422)))</f>
        <v/>
      </c>
      <c r="Y422" s="14">
        <f>IF($AP422="",IF($B422="","",$R422),IF(INDEX(職員マスタ!$C$6:$C$405,$AP422)="",$R422,INDEX(職員マスタ!$C$6:$C$405,$AP422)))</f>
        <v/>
      </c>
      <c r="Z422" s="14">
        <f>IF($AQ422="","","R"&amp;$C422&amp;"."&amp;$D422)</f>
        <v/>
      </c>
      <c r="AA422" s="15">
        <f>IF(IF($AP422="",FALSE,INDEX(職員マスタ!$K$6:$K$405,$AP422)&lt;&gt;""),INDEX(職員マスタ!$K$6:$K$405,$AP422),IF(N($W422)&gt;0,$W422,""))</f>
        <v/>
      </c>
      <c r="AB422" s="14">
        <f>IF(OR($E422="",$AA422=""),"",IF($E422&gt;=$AA422,"×",IF($E422&gt;=$AA422*設定!$C$5,"△","○")))</f>
        <v/>
      </c>
      <c r="AC422" s="15">
        <f>IF($AB422="","",IF($AB422="×",0,IF($AB422="○",ROUNDDOWN($E422*設定!$C$4,0),ROUNDDOWN($E422*ROUND((9*$AA422-9*$E422)/(10*$E422),4),0))))</f>
        <v/>
      </c>
      <c r="AD422" s="13" t="n"/>
      <c r="AE422" s="15">
        <f>IF($B422="","",IF($AD422&lt;&gt;"",$AD422,IF($AC422="","",IF($AC422&lt;=設定!$C$3,0,$AC422))))</f>
        <v/>
      </c>
      <c r="AF422" s="14">
        <f>IF($B422="","",IF(AND($AG422&lt;&gt;"",$AI422="",$AL422=""),"保留中",IF($AL422&lt;&gt;"",IF(N($AE422)&gt;0,"支給済","不支給"),IF($AE422="","要確認",IF($AE422=0,"不支給","未処理")))))</f>
        <v/>
      </c>
      <c r="AG422" s="12" t="n"/>
      <c r="AH422" s="11" t="n"/>
      <c r="AI422" s="11" t="n"/>
      <c r="AJ422" s="11" t="n"/>
      <c r="AK422" s="14">
        <f>IF(AND($AF422="保留中",$AH422&lt;&gt;""),TODAY()-$AH422,"")</f>
        <v/>
      </c>
      <c r="AL422" s="12" t="inlineStr">
        <is>
          <t>R8.4</t>
        </is>
      </c>
      <c r="AM422" s="14">
        <f>IF($B422="","",IF($AQ422="","対象年月が未入力／","")&amp;IF($B422="","",IF($AP422="","職員マスタに未登録の職員番号／",IF($AA422="","標準報酬月額が未登録／","")&amp;IF(AND($AQ422&lt;&gt;"",OR(AND(INDEX(職員マスタ!$G$6:$G$405,$AP422)&lt;&gt;"",INDEX(職員マスタ!$G$6:$G$405,$AP422)&gt;EOMONTH($AQ422,0)),AND(INDEX(職員マスタ!$H$6:$H$405,$AP422)&lt;&gt;"",INDEX(職員マスタ!$H$6:$H$405,$AP422)&lt;$AQ422))),"対象月が時短期間外／","")&amp;IF(AND(INDEX(職員マスタ!$K$6:$K$405,$AP422)&lt;&gt;"",N($W422)&gt;0,INDEX(職員マスタ!$K$6:$K$405,$AP422)&lt;&gt;$W422),"標準報酬月額が申請書と相違（台帳"&amp;TEXT(INDEX(職員マスタ!$K$6:$K$405,$AP422),"#,##0")&amp;"円／申請書"&amp;TEXT($W422,"#,##0")&amp;"円）／","")&amp;IF(AND(INDEX(職員マスタ!$F$6:$F$405,$AP422)&lt;&gt;"",$AQ422&lt;&gt;"",INDEX(職員マスタ!$F$6:$F$405,$AP422)&lt;$AQ422),"対象月に子が2歳到達済／","")&amp;IF(AND($H422&lt;&gt;"",INDEX(職員マスタ!$B$6:$B$405,$AP422)&lt;&gt;"",SUBSTITUTE(SUBSTITUTE($H422," ","")," ","")&lt;&gt;SUBSTITUTE(SUBSTITUTE(INDEX(職員マスタ!$B$6:$B$405,$AP422)," ","")," ","")),"氏名がマスタと相違／","")&amp;IF(AND($Q422&lt;&gt;"",INDEX(職員マスタ!$E$6:$E$405,$AP422)&lt;&gt;"",$Q422&lt;&gt;INDEX(職員マスタ!$E$6:$E$405,$AP422)),"子の生年月日がマスタと相違／","")&amp;IF(AND($L422&lt;&gt;"",INDEX(職員マスタ!$G$6:$G$405,$AP422)&lt;&gt;"",$L422&lt;&gt;INDEX(職員マスタ!$G$6:$G$405,$AP422)),"時短開始日がマスタと相違／","")&amp;IF(AND($M422&lt;&gt;"",INDEX(職員マスタ!$H$6:$H$405,$AP422)&lt;&gt;"",$M422&lt;&gt;INDEX(職員マスタ!$H$6:$H$405,$AP422)),"時短終了日がマスタと相違／","")))&amp;IF(AND($B422&lt;&gt;"",$E422=""),"報酬額が未入力／","")&amp;IF(N($U422)&gt;0,"申請書に入力エラーが残っています／","")&amp;IF(AND($B422&lt;&gt;"",$AQ422&lt;&gt;""),IF(COUNTIFS($B$6:$B$3005,$B422,$C$6:$C$3005,$C422,$D$6:$D$3005,$D422)&gt;1,"同じ月の請求が重複しています／",""),"")&amp;IF(AND(N($E422)&gt;0,$AB422&lt;&gt;"",$AB422&lt;&gt;"×",$AE422=0,$AD422=""),"計算額が下限以下のため不支給／",""))</f>
        <v/>
      </c>
      <c r="AN422" s="12" t="n"/>
      <c r="AO422" s="14">
        <f>IF($AF422="保留中",COUNTIF($AF$6:$AF422,"保留中"),"")</f>
        <v/>
      </c>
      <c r="AP422" s="14">
        <f>IF($AQ422="","",IF(SUMPRODUCT(MAX((職員マスタ!$A$6:$A$405=$B422)*(((職員マスタ!$G$6:$G$405="")+(職員マスタ!$G$6:$G$405&lt;=EOMONTH($AQ422,0)))&gt;0)*(((職員マスタ!$H$6:$H$405="")+(職員マスタ!$H$6:$H$405&gt;=$AQ422))&gt;0)*(ROW(職員マスタ!$A$6:$A$405)-5)))&gt;0,SUMPRODUCT(MAX((職員マスタ!$A$6:$A$405=$B422)*(((職員マスタ!$G$6:$G$405="")+(職員マスタ!$G$6:$G$405&lt;=EOMONTH($AQ422,0)))&gt;0)*(((職員マスタ!$H$6:$H$405="")+(職員マスタ!$H$6:$H$405&gt;=$AQ422))&gt;0)*(ROW(職員マスタ!$A$6:$A$405)-5))),IFERROR(MATCH($B422,職員マスタ!$A$6:$A$405,0),"")))</f>
        <v/>
      </c>
      <c r="AQ422" s="16">
        <f>IF(OR($B422="",$C422="",$D422=""),"",DATE($C422+2018,$D422,1))</f>
        <v/>
      </c>
    </row>
    <row r="423">
      <c r="A423" s="11" t="n"/>
      <c r="B423" s="12" t="n">
        <v>6902308</v>
      </c>
      <c r="C423" s="12" t="n">
        <v>8</v>
      </c>
      <c r="D423" s="12" t="n">
        <v>3</v>
      </c>
      <c r="E423" s="13" t="n">
        <v>190942</v>
      </c>
      <c r="F423" s="12" t="n"/>
      <c r="G423" s="13" t="n"/>
      <c r="H423" s="12" t="n"/>
      <c r="I423" s="12" t="n"/>
      <c r="J423" s="12" t="n"/>
      <c r="K423" s="12" t="n"/>
      <c r="L423" s="11" t="n"/>
      <c r="M423" s="11" t="n"/>
      <c r="N423" s="11" t="n"/>
      <c r="O423" s="11" t="n"/>
      <c r="P423" s="12" t="n"/>
      <c r="Q423" s="11" t="n"/>
      <c r="R423" s="12" t="n"/>
      <c r="S423" s="11" t="n"/>
      <c r="T423" s="12" t="n"/>
      <c r="U423" s="12" t="n"/>
      <c r="V423" s="12" t="n"/>
      <c r="W423" s="13" t="n"/>
      <c r="X423" s="14">
        <f>IF($AP423="",IF($B423="","",$H423),IF(INDEX(職員マスタ!$B$6:$B$405,$AP423)="",$H423,INDEX(職員マスタ!$B$6:$B$405,$AP423)))</f>
        <v/>
      </c>
      <c r="Y423" s="14">
        <f>IF($AP423="",IF($B423="","",$R423),IF(INDEX(職員マスタ!$C$6:$C$405,$AP423)="",$R423,INDEX(職員マスタ!$C$6:$C$405,$AP423)))</f>
        <v/>
      </c>
      <c r="Z423" s="14">
        <f>IF($AQ423="","","R"&amp;$C423&amp;"."&amp;$D423)</f>
        <v/>
      </c>
      <c r="AA423" s="15">
        <f>IF(IF($AP423="",FALSE,INDEX(職員マスタ!$K$6:$K$405,$AP423)&lt;&gt;""),INDEX(職員マスタ!$K$6:$K$405,$AP423),IF(N($W423)&gt;0,$W423,""))</f>
        <v/>
      </c>
      <c r="AB423" s="14">
        <f>IF(OR($E423="",$AA423=""),"",IF($E423&gt;=$AA423,"×",IF($E423&gt;=$AA423*設定!$C$5,"△","○")))</f>
        <v/>
      </c>
      <c r="AC423" s="15">
        <f>IF($AB423="","",IF($AB423="×",0,IF($AB423="○",ROUNDDOWN($E423*設定!$C$4,0),ROUNDDOWN($E423*ROUND((9*$AA423-9*$E423)/(10*$E423),4),0))))</f>
        <v/>
      </c>
      <c r="AD423" s="13" t="n"/>
      <c r="AE423" s="15">
        <f>IF($B423="","",IF($AD423&lt;&gt;"",$AD423,IF($AC423="","",IF($AC423&lt;=設定!$C$3,0,$AC423))))</f>
        <v/>
      </c>
      <c r="AF423" s="14">
        <f>IF($B423="","",IF(AND($AG423&lt;&gt;"",$AI423="",$AL423=""),"保留中",IF($AL423&lt;&gt;"",IF(N($AE423)&gt;0,"支給済","不支給"),IF($AE423="","要確認",IF($AE423=0,"不支給","未処理")))))</f>
        <v/>
      </c>
      <c r="AG423" s="12" t="n"/>
      <c r="AH423" s="11" t="n"/>
      <c r="AI423" s="11" t="n"/>
      <c r="AJ423" s="11" t="n"/>
      <c r="AK423" s="14">
        <f>IF(AND($AF423="保留中",$AH423&lt;&gt;""),TODAY()-$AH423,"")</f>
        <v/>
      </c>
      <c r="AL423" s="12" t="inlineStr">
        <is>
          <t>R8.10</t>
        </is>
      </c>
      <c r="AM423" s="14">
        <f>IF($B423="","",IF($AQ423="","対象年月が未入力／","")&amp;IF($B423="","",IF($AP423="","職員マスタに未登録の職員番号／",IF($AA423="","標準報酬月額が未登録／","")&amp;IF(AND($AQ423&lt;&gt;"",OR(AND(INDEX(職員マスタ!$G$6:$G$405,$AP423)&lt;&gt;"",INDEX(職員マスタ!$G$6:$G$405,$AP423)&gt;EOMONTH($AQ423,0)),AND(INDEX(職員マスタ!$H$6:$H$405,$AP423)&lt;&gt;"",INDEX(職員マスタ!$H$6:$H$405,$AP423)&lt;$AQ423))),"対象月が時短期間外／","")&amp;IF(AND(INDEX(職員マスタ!$K$6:$K$405,$AP423)&lt;&gt;"",N($W423)&gt;0,INDEX(職員マスタ!$K$6:$K$405,$AP423)&lt;&gt;$W423),"標準報酬月額が申請書と相違（台帳"&amp;TEXT(INDEX(職員マスタ!$K$6:$K$405,$AP423),"#,##0")&amp;"円／申請書"&amp;TEXT($W423,"#,##0")&amp;"円）／","")&amp;IF(AND(INDEX(職員マスタ!$F$6:$F$405,$AP423)&lt;&gt;"",$AQ423&lt;&gt;"",INDEX(職員マスタ!$F$6:$F$405,$AP423)&lt;$AQ423),"対象月に子が2歳到達済／","")&amp;IF(AND($H423&lt;&gt;"",INDEX(職員マスタ!$B$6:$B$405,$AP423)&lt;&gt;"",SUBSTITUTE(SUBSTITUTE($H423," ","")," ","")&lt;&gt;SUBSTITUTE(SUBSTITUTE(INDEX(職員マスタ!$B$6:$B$405,$AP423)," ","")," ","")),"氏名がマスタと相違／","")&amp;IF(AND($Q423&lt;&gt;"",INDEX(職員マスタ!$E$6:$E$405,$AP423)&lt;&gt;"",$Q423&lt;&gt;INDEX(職員マスタ!$E$6:$E$405,$AP423)),"子の生年月日がマスタと相違／","")&amp;IF(AND($L423&lt;&gt;"",INDEX(職員マスタ!$G$6:$G$405,$AP423)&lt;&gt;"",$L423&lt;&gt;INDEX(職員マスタ!$G$6:$G$405,$AP423)),"時短開始日がマスタと相違／","")&amp;IF(AND($M423&lt;&gt;"",INDEX(職員マスタ!$H$6:$H$405,$AP423)&lt;&gt;"",$M423&lt;&gt;INDEX(職員マスタ!$H$6:$H$405,$AP423)),"時短終了日がマスタと相違／","")))&amp;IF(AND($B423&lt;&gt;"",$E423=""),"報酬額が未入力／","")&amp;IF(N($U423)&gt;0,"申請書に入力エラーが残っています／","")&amp;IF(AND($B423&lt;&gt;"",$AQ423&lt;&gt;""),IF(COUNTIFS($B$6:$B$3005,$B423,$C$6:$C$3005,$C423,$D$6:$D$3005,$D423)&gt;1,"同じ月の請求が重複しています／",""),"")&amp;IF(AND(N($E423)&gt;0,$AB423&lt;&gt;"",$AB423&lt;&gt;"×",$AE423=0,$AD423=""),"計算額が下限以下のため不支給／",""))</f>
        <v/>
      </c>
      <c r="AN423" s="12" t="n"/>
      <c r="AO423" s="14">
        <f>IF($AF423="保留中",COUNTIF($AF$6:$AF423,"保留中"),"")</f>
        <v/>
      </c>
      <c r="AP423" s="14">
        <f>IF($AQ423="","",IF(SUMPRODUCT(MAX((職員マスタ!$A$6:$A$405=$B423)*(((職員マスタ!$G$6:$G$405="")+(職員マスタ!$G$6:$G$405&lt;=EOMONTH($AQ423,0)))&gt;0)*(((職員マスタ!$H$6:$H$405="")+(職員マスタ!$H$6:$H$405&gt;=$AQ423))&gt;0)*(ROW(職員マスタ!$A$6:$A$405)-5)))&gt;0,SUMPRODUCT(MAX((職員マスタ!$A$6:$A$405=$B423)*(((職員マスタ!$G$6:$G$405="")+(職員マスタ!$G$6:$G$405&lt;=EOMONTH($AQ423,0)))&gt;0)*(((職員マスタ!$H$6:$H$405="")+(職員マスタ!$H$6:$H$405&gt;=$AQ423))&gt;0)*(ROW(職員マスタ!$A$6:$A$405)-5))),IFERROR(MATCH($B423,職員マスタ!$A$6:$A$405,0),"")))</f>
        <v/>
      </c>
      <c r="AQ423" s="16">
        <f>IF(OR($B423="",$C423="",$D423=""),"",DATE($C423+2018,$D423,1))</f>
        <v/>
      </c>
    </row>
    <row r="424">
      <c r="A424" s="11" t="n"/>
      <c r="B424" s="12" t="n">
        <v>6902464</v>
      </c>
      <c r="C424" s="12" t="n">
        <v>7</v>
      </c>
      <c r="D424" s="12" t="n">
        <v>4</v>
      </c>
      <c r="E424" s="13" t="n">
        <v>181155</v>
      </c>
      <c r="F424" s="12" t="n"/>
      <c r="G424" s="13" t="n"/>
      <c r="H424" s="12" t="n"/>
      <c r="I424" s="12" t="n"/>
      <c r="J424" s="12" t="n"/>
      <c r="K424" s="12" t="n"/>
      <c r="L424" s="11" t="n"/>
      <c r="M424" s="11" t="n"/>
      <c r="N424" s="11" t="n"/>
      <c r="O424" s="11" t="n"/>
      <c r="P424" s="12" t="n"/>
      <c r="Q424" s="11" t="n"/>
      <c r="R424" s="12" t="n"/>
      <c r="S424" s="11" t="n"/>
      <c r="T424" s="12" t="n"/>
      <c r="U424" s="12" t="n"/>
      <c r="V424" s="12" t="n"/>
      <c r="W424" s="13" t="n"/>
      <c r="X424" s="14">
        <f>IF($AP424="",IF($B424="","",$H424),IF(INDEX(職員マスタ!$B$6:$B$405,$AP424)="",$H424,INDEX(職員マスタ!$B$6:$B$405,$AP424)))</f>
        <v/>
      </c>
      <c r="Y424" s="14">
        <f>IF($AP424="",IF($B424="","",$R424),IF(INDEX(職員マスタ!$C$6:$C$405,$AP424)="",$R424,INDEX(職員マスタ!$C$6:$C$405,$AP424)))</f>
        <v/>
      </c>
      <c r="Z424" s="14">
        <f>IF($AQ424="","","R"&amp;$C424&amp;"."&amp;$D424)</f>
        <v/>
      </c>
      <c r="AA424" s="15">
        <f>IF(IF($AP424="",FALSE,INDEX(職員マスタ!$K$6:$K$405,$AP424)&lt;&gt;""),INDEX(職員マスタ!$K$6:$K$405,$AP424),IF(N($W424)&gt;0,$W424,""))</f>
        <v/>
      </c>
      <c r="AB424" s="14">
        <f>IF(OR($E424="",$AA424=""),"",IF($E424&gt;=$AA424,"×",IF($E424&gt;=$AA424*設定!$C$5,"△","○")))</f>
        <v/>
      </c>
      <c r="AC424" s="15">
        <f>IF($AB424="","",IF($AB424="×",0,IF($AB424="○",ROUNDDOWN($E424*設定!$C$4,0),ROUNDDOWN($E424*ROUND((9*$AA424-9*$E424)/(10*$E424),4),0))))</f>
        <v/>
      </c>
      <c r="AD424" s="13" t="n"/>
      <c r="AE424" s="15">
        <f>IF($B424="","",IF($AD424&lt;&gt;"",$AD424,IF($AC424="","",IF($AC424&lt;=設定!$C$3,0,$AC424))))</f>
        <v/>
      </c>
      <c r="AF424" s="14">
        <f>IF($B424="","",IF(AND($AG424&lt;&gt;"",$AI424="",$AL424=""),"保留中",IF($AL424&lt;&gt;"",IF(N($AE424)&gt;0,"支給済","不支給"),IF($AE424="","要確認",IF($AE424=0,"不支給","未処理")))))</f>
        <v/>
      </c>
      <c r="AG424" s="12" t="n"/>
      <c r="AH424" s="11" t="n"/>
      <c r="AI424" s="11" t="n"/>
      <c r="AJ424" s="11" t="n"/>
      <c r="AK424" s="14">
        <f>IF(AND($AF424="保留中",$AH424&lt;&gt;""),TODAY()-$AH424,"")</f>
        <v/>
      </c>
      <c r="AL424" s="12" t="inlineStr">
        <is>
          <t>R7.8</t>
        </is>
      </c>
      <c r="AM424" s="14">
        <f>IF($B424="","",IF($AQ424="","対象年月が未入力／","")&amp;IF($B424="","",IF($AP424="","職員マスタに未登録の職員番号／",IF($AA424="","標準報酬月額が未登録／","")&amp;IF(AND($AQ424&lt;&gt;"",OR(AND(INDEX(職員マスタ!$G$6:$G$405,$AP424)&lt;&gt;"",INDEX(職員マスタ!$G$6:$G$405,$AP424)&gt;EOMONTH($AQ424,0)),AND(INDEX(職員マスタ!$H$6:$H$405,$AP424)&lt;&gt;"",INDEX(職員マスタ!$H$6:$H$405,$AP424)&lt;$AQ424))),"対象月が時短期間外／","")&amp;IF(AND(INDEX(職員マスタ!$K$6:$K$405,$AP424)&lt;&gt;"",N($W424)&gt;0,INDEX(職員マスタ!$K$6:$K$405,$AP424)&lt;&gt;$W424),"標準報酬月額が申請書と相違（台帳"&amp;TEXT(INDEX(職員マスタ!$K$6:$K$405,$AP424),"#,##0")&amp;"円／申請書"&amp;TEXT($W424,"#,##0")&amp;"円）／","")&amp;IF(AND(INDEX(職員マスタ!$F$6:$F$405,$AP424)&lt;&gt;"",$AQ424&lt;&gt;"",INDEX(職員マスタ!$F$6:$F$405,$AP424)&lt;$AQ424),"対象月に子が2歳到達済／","")&amp;IF(AND($H424&lt;&gt;"",INDEX(職員マスタ!$B$6:$B$405,$AP424)&lt;&gt;"",SUBSTITUTE(SUBSTITUTE($H424," ","")," ","")&lt;&gt;SUBSTITUTE(SUBSTITUTE(INDEX(職員マスタ!$B$6:$B$405,$AP424)," ","")," ","")),"氏名がマスタと相違／","")&amp;IF(AND($Q424&lt;&gt;"",INDEX(職員マスタ!$E$6:$E$405,$AP424)&lt;&gt;"",$Q424&lt;&gt;INDEX(職員マスタ!$E$6:$E$405,$AP424)),"子の生年月日がマスタと相違／","")&amp;IF(AND($L424&lt;&gt;"",INDEX(職員マスタ!$G$6:$G$405,$AP424)&lt;&gt;"",$L424&lt;&gt;INDEX(職員マスタ!$G$6:$G$405,$AP424)),"時短開始日がマスタと相違／","")&amp;IF(AND($M424&lt;&gt;"",INDEX(職員マスタ!$H$6:$H$405,$AP424)&lt;&gt;"",$M424&lt;&gt;INDEX(職員マスタ!$H$6:$H$405,$AP424)),"時短終了日がマスタと相違／","")))&amp;IF(AND($B424&lt;&gt;"",$E424=""),"報酬額が未入力／","")&amp;IF(N($U424)&gt;0,"申請書に入力エラーが残っています／","")&amp;IF(AND($B424&lt;&gt;"",$AQ424&lt;&gt;""),IF(COUNTIFS($B$6:$B$3005,$B424,$C$6:$C$3005,$C424,$D$6:$D$3005,$D424)&gt;1,"同じ月の請求が重複しています／",""),"")&amp;IF(AND(N($E424)&gt;0,$AB424&lt;&gt;"",$AB424&lt;&gt;"×",$AE424=0,$AD424=""),"計算額が下限以下のため不支給／",""))</f>
        <v/>
      </c>
      <c r="AN424" s="12" t="n"/>
      <c r="AO424" s="14">
        <f>IF($AF424="保留中",COUNTIF($AF$6:$AF424,"保留中"),"")</f>
        <v/>
      </c>
      <c r="AP424" s="14">
        <f>IF($AQ424="","",IF(SUMPRODUCT(MAX((職員マスタ!$A$6:$A$405=$B424)*(((職員マスタ!$G$6:$G$405="")+(職員マスタ!$G$6:$G$405&lt;=EOMONTH($AQ424,0)))&gt;0)*(((職員マスタ!$H$6:$H$405="")+(職員マスタ!$H$6:$H$405&gt;=$AQ424))&gt;0)*(ROW(職員マスタ!$A$6:$A$405)-5)))&gt;0,SUMPRODUCT(MAX((職員マスタ!$A$6:$A$405=$B424)*(((職員マスタ!$G$6:$G$405="")+(職員マスタ!$G$6:$G$405&lt;=EOMONTH($AQ424,0)))&gt;0)*(((職員マスタ!$H$6:$H$405="")+(職員マスタ!$H$6:$H$405&gt;=$AQ424))&gt;0)*(ROW(職員マスタ!$A$6:$A$405)-5))),IFERROR(MATCH($B424,職員マスタ!$A$6:$A$405,0),"")))</f>
        <v/>
      </c>
      <c r="AQ424" s="16">
        <f>IF(OR($B424="",$C424="",$D424=""),"",DATE($C424+2018,$D424,1))</f>
        <v/>
      </c>
    </row>
    <row r="425">
      <c r="A425" s="11" t="n"/>
      <c r="B425" s="12" t="n">
        <v>6902597</v>
      </c>
      <c r="C425" s="12" t="n">
        <v>8</v>
      </c>
      <c r="D425" s="12" t="n">
        <v>3</v>
      </c>
      <c r="E425" s="13" t="n">
        <v>180292</v>
      </c>
      <c r="F425" s="12" t="n"/>
      <c r="G425" s="13" t="n"/>
      <c r="H425" s="12" t="n"/>
      <c r="I425" s="12" t="n"/>
      <c r="J425" s="12" t="n"/>
      <c r="K425" s="12" t="n"/>
      <c r="L425" s="11" t="n"/>
      <c r="M425" s="11" t="n"/>
      <c r="N425" s="11" t="n"/>
      <c r="O425" s="11" t="n"/>
      <c r="P425" s="12" t="n"/>
      <c r="Q425" s="11" t="n"/>
      <c r="R425" s="12" t="n"/>
      <c r="S425" s="11" t="n"/>
      <c r="T425" s="12" t="n"/>
      <c r="U425" s="12" t="n"/>
      <c r="V425" s="12" t="n"/>
      <c r="W425" s="13" t="n"/>
      <c r="X425" s="14">
        <f>IF($AP425="",IF($B425="","",$H425),IF(INDEX(職員マスタ!$B$6:$B$405,$AP425)="",$H425,INDEX(職員マスタ!$B$6:$B$405,$AP425)))</f>
        <v/>
      </c>
      <c r="Y425" s="14">
        <f>IF($AP425="",IF($B425="","",$R425),IF(INDEX(職員マスタ!$C$6:$C$405,$AP425)="",$R425,INDEX(職員マスタ!$C$6:$C$405,$AP425)))</f>
        <v/>
      </c>
      <c r="Z425" s="14">
        <f>IF($AQ425="","","R"&amp;$C425&amp;"."&amp;$D425)</f>
        <v/>
      </c>
      <c r="AA425" s="15">
        <f>IF(IF($AP425="",FALSE,INDEX(職員マスタ!$K$6:$K$405,$AP425)&lt;&gt;""),INDEX(職員マスタ!$K$6:$K$405,$AP425),IF(N($W425)&gt;0,$W425,""))</f>
        <v/>
      </c>
      <c r="AB425" s="14">
        <f>IF(OR($E425="",$AA425=""),"",IF($E425&gt;=$AA425,"×",IF($E425&gt;=$AA425*設定!$C$5,"△","○")))</f>
        <v/>
      </c>
      <c r="AC425" s="15">
        <f>IF($AB425="","",IF($AB425="×",0,IF($AB425="○",ROUNDDOWN($E425*設定!$C$4,0),ROUNDDOWN($E425*ROUND((9*$AA425-9*$E425)/(10*$E425),4),0))))</f>
        <v/>
      </c>
      <c r="AD425" s="13" t="n"/>
      <c r="AE425" s="15">
        <f>IF($B425="","",IF($AD425&lt;&gt;"",$AD425,IF($AC425="","",IF($AC425&lt;=設定!$C$3,0,$AC425))))</f>
        <v/>
      </c>
      <c r="AF425" s="14">
        <f>IF($B425="","",IF(AND($AG425&lt;&gt;"",$AI425="",$AL425=""),"保留中",IF($AL425&lt;&gt;"",IF(N($AE425)&gt;0,"支給済","不支給"),IF($AE425="","要確認",IF($AE425=0,"不支給","未処理")))))</f>
        <v/>
      </c>
      <c r="AG425" s="12" t="n"/>
      <c r="AH425" s="11" t="n"/>
      <c r="AI425" s="11" t="n"/>
      <c r="AJ425" s="11" t="n"/>
      <c r="AK425" s="14">
        <f>IF(AND($AF425="保留中",$AH425&lt;&gt;""),TODAY()-$AH425,"")</f>
        <v/>
      </c>
      <c r="AL425" s="12" t="inlineStr">
        <is>
          <t>R8.10</t>
        </is>
      </c>
      <c r="AM425" s="14">
        <f>IF($B425="","",IF($AQ425="","対象年月が未入力／","")&amp;IF($B425="","",IF($AP425="","職員マスタに未登録の職員番号／",IF($AA425="","標準報酬月額が未登録／","")&amp;IF(AND($AQ425&lt;&gt;"",OR(AND(INDEX(職員マスタ!$G$6:$G$405,$AP425)&lt;&gt;"",INDEX(職員マスタ!$G$6:$G$405,$AP425)&gt;EOMONTH($AQ425,0)),AND(INDEX(職員マスタ!$H$6:$H$405,$AP425)&lt;&gt;"",INDEX(職員マスタ!$H$6:$H$405,$AP425)&lt;$AQ425))),"対象月が時短期間外／","")&amp;IF(AND(INDEX(職員マスタ!$K$6:$K$405,$AP425)&lt;&gt;"",N($W425)&gt;0,INDEX(職員マスタ!$K$6:$K$405,$AP425)&lt;&gt;$W425),"標準報酬月額が申請書と相違（台帳"&amp;TEXT(INDEX(職員マスタ!$K$6:$K$405,$AP425),"#,##0")&amp;"円／申請書"&amp;TEXT($W425,"#,##0")&amp;"円）／","")&amp;IF(AND(INDEX(職員マスタ!$F$6:$F$405,$AP425)&lt;&gt;"",$AQ425&lt;&gt;"",INDEX(職員マスタ!$F$6:$F$405,$AP425)&lt;$AQ425),"対象月に子が2歳到達済／","")&amp;IF(AND($H425&lt;&gt;"",INDEX(職員マスタ!$B$6:$B$405,$AP425)&lt;&gt;"",SUBSTITUTE(SUBSTITUTE($H425," ","")," ","")&lt;&gt;SUBSTITUTE(SUBSTITUTE(INDEX(職員マスタ!$B$6:$B$405,$AP425)," ","")," ","")),"氏名がマスタと相違／","")&amp;IF(AND($Q425&lt;&gt;"",INDEX(職員マスタ!$E$6:$E$405,$AP425)&lt;&gt;"",$Q425&lt;&gt;INDEX(職員マスタ!$E$6:$E$405,$AP425)),"子の生年月日がマスタと相違／","")&amp;IF(AND($L425&lt;&gt;"",INDEX(職員マスタ!$G$6:$G$405,$AP425)&lt;&gt;"",$L425&lt;&gt;INDEX(職員マスタ!$G$6:$G$405,$AP425)),"時短開始日がマスタと相違／","")&amp;IF(AND($M425&lt;&gt;"",INDEX(職員マスタ!$H$6:$H$405,$AP425)&lt;&gt;"",$M425&lt;&gt;INDEX(職員マスタ!$H$6:$H$405,$AP425)),"時短終了日がマスタと相違／","")))&amp;IF(AND($B425&lt;&gt;"",$E425=""),"報酬額が未入力／","")&amp;IF(N($U425)&gt;0,"申請書に入力エラーが残っています／","")&amp;IF(AND($B425&lt;&gt;"",$AQ425&lt;&gt;""),IF(COUNTIFS($B$6:$B$3005,$B425,$C$6:$C$3005,$C425,$D$6:$D$3005,$D425)&gt;1,"同じ月の請求が重複しています／",""),"")&amp;IF(AND(N($E425)&gt;0,$AB425&lt;&gt;"",$AB425&lt;&gt;"×",$AE425=0,$AD425=""),"計算額が下限以下のため不支給／",""))</f>
        <v/>
      </c>
      <c r="AN425" s="12" t="n"/>
      <c r="AO425" s="14">
        <f>IF($AF425="保留中",COUNTIF($AF$6:$AF425,"保留中"),"")</f>
        <v/>
      </c>
      <c r="AP425" s="14">
        <f>IF($AQ425="","",IF(SUMPRODUCT(MAX((職員マスタ!$A$6:$A$405=$B425)*(((職員マスタ!$G$6:$G$405="")+(職員マスタ!$G$6:$G$405&lt;=EOMONTH($AQ425,0)))&gt;0)*(((職員マスタ!$H$6:$H$405="")+(職員マスタ!$H$6:$H$405&gt;=$AQ425))&gt;0)*(ROW(職員マスタ!$A$6:$A$405)-5)))&gt;0,SUMPRODUCT(MAX((職員マスタ!$A$6:$A$405=$B425)*(((職員マスタ!$G$6:$G$405="")+(職員マスタ!$G$6:$G$405&lt;=EOMONTH($AQ425,0)))&gt;0)*(((職員マスタ!$H$6:$H$405="")+(職員マスタ!$H$6:$H$405&gt;=$AQ425))&gt;0)*(ROW(職員マスタ!$A$6:$A$405)-5))),IFERROR(MATCH($B425,職員マスタ!$A$6:$A$405,0),"")))</f>
        <v/>
      </c>
      <c r="AQ425" s="16">
        <f>IF(OR($B425="",$C425="",$D425=""),"",DATE($C425+2018,$D425,1))</f>
        <v/>
      </c>
    </row>
    <row r="426">
      <c r="A426" s="11" t="n"/>
      <c r="B426" s="12" t="n">
        <v>6902597</v>
      </c>
      <c r="C426" s="12" t="n">
        <v>8</v>
      </c>
      <c r="D426" s="12" t="n">
        <v>4</v>
      </c>
      <c r="E426" s="13" t="n">
        <v>182793</v>
      </c>
      <c r="F426" s="12" t="n"/>
      <c r="G426" s="13" t="n"/>
      <c r="H426" s="12" t="n"/>
      <c r="I426" s="12" t="n"/>
      <c r="J426" s="12" t="n"/>
      <c r="K426" s="12" t="n"/>
      <c r="L426" s="11" t="n"/>
      <c r="M426" s="11" t="n"/>
      <c r="N426" s="11" t="n"/>
      <c r="O426" s="11" t="n"/>
      <c r="P426" s="12" t="n"/>
      <c r="Q426" s="11" t="n"/>
      <c r="R426" s="12" t="n"/>
      <c r="S426" s="11" t="n"/>
      <c r="T426" s="12" t="n"/>
      <c r="U426" s="12" t="n"/>
      <c r="V426" s="12" t="n"/>
      <c r="W426" s="13" t="n"/>
      <c r="X426" s="14">
        <f>IF($AP426="",IF($B426="","",$H426),IF(INDEX(職員マスタ!$B$6:$B$405,$AP426)="",$H426,INDEX(職員マスタ!$B$6:$B$405,$AP426)))</f>
        <v/>
      </c>
      <c r="Y426" s="14">
        <f>IF($AP426="",IF($B426="","",$R426),IF(INDEX(職員マスタ!$C$6:$C$405,$AP426)="",$R426,INDEX(職員マスタ!$C$6:$C$405,$AP426)))</f>
        <v/>
      </c>
      <c r="Z426" s="14">
        <f>IF($AQ426="","","R"&amp;$C426&amp;"."&amp;$D426)</f>
        <v/>
      </c>
      <c r="AA426" s="15">
        <f>IF(IF($AP426="",FALSE,INDEX(職員マスタ!$K$6:$K$405,$AP426)&lt;&gt;""),INDEX(職員マスタ!$K$6:$K$405,$AP426),IF(N($W426)&gt;0,$W426,""))</f>
        <v/>
      </c>
      <c r="AB426" s="14">
        <f>IF(OR($E426="",$AA426=""),"",IF($E426&gt;=$AA426,"×",IF($E426&gt;=$AA426*設定!$C$5,"△","○")))</f>
        <v/>
      </c>
      <c r="AC426" s="15">
        <f>IF($AB426="","",IF($AB426="×",0,IF($AB426="○",ROUNDDOWN($E426*設定!$C$4,0),ROUNDDOWN($E426*ROUND((9*$AA426-9*$E426)/(10*$E426),4),0))))</f>
        <v/>
      </c>
      <c r="AD426" s="13" t="n"/>
      <c r="AE426" s="15">
        <f>IF($B426="","",IF($AD426&lt;&gt;"",$AD426,IF($AC426="","",IF($AC426&lt;=設定!$C$3,0,$AC426))))</f>
        <v/>
      </c>
      <c r="AF426" s="14">
        <f>IF($B426="","",IF(AND($AG426&lt;&gt;"",$AI426="",$AL426=""),"保留中",IF($AL426&lt;&gt;"",IF(N($AE426)&gt;0,"支給済","不支給"),IF($AE426="","要確認",IF($AE426=0,"不支給","未処理")))))</f>
        <v/>
      </c>
      <c r="AG426" s="12" t="n"/>
      <c r="AH426" s="11" t="n"/>
      <c r="AI426" s="11" t="n"/>
      <c r="AJ426" s="11" t="n"/>
      <c r="AK426" s="14">
        <f>IF(AND($AF426="保留中",$AH426&lt;&gt;""),TODAY()-$AH426,"")</f>
        <v/>
      </c>
      <c r="AL426" s="12" t="inlineStr">
        <is>
          <t>R8.10</t>
        </is>
      </c>
      <c r="AM426" s="14">
        <f>IF($B426="","",IF($AQ426="","対象年月が未入力／","")&amp;IF($B426="","",IF($AP426="","職員マスタに未登録の職員番号／",IF($AA426="","標準報酬月額が未登録／","")&amp;IF(AND($AQ426&lt;&gt;"",OR(AND(INDEX(職員マスタ!$G$6:$G$405,$AP426)&lt;&gt;"",INDEX(職員マスタ!$G$6:$G$405,$AP426)&gt;EOMONTH($AQ426,0)),AND(INDEX(職員マスタ!$H$6:$H$405,$AP426)&lt;&gt;"",INDEX(職員マスタ!$H$6:$H$405,$AP426)&lt;$AQ426))),"対象月が時短期間外／","")&amp;IF(AND(INDEX(職員マスタ!$K$6:$K$405,$AP426)&lt;&gt;"",N($W426)&gt;0,INDEX(職員マスタ!$K$6:$K$405,$AP426)&lt;&gt;$W426),"標準報酬月額が申請書と相違（台帳"&amp;TEXT(INDEX(職員マスタ!$K$6:$K$405,$AP426),"#,##0")&amp;"円／申請書"&amp;TEXT($W426,"#,##0")&amp;"円）／","")&amp;IF(AND(INDEX(職員マスタ!$F$6:$F$405,$AP426)&lt;&gt;"",$AQ426&lt;&gt;"",INDEX(職員マスタ!$F$6:$F$405,$AP426)&lt;$AQ426),"対象月に子が2歳到達済／","")&amp;IF(AND($H426&lt;&gt;"",INDEX(職員マスタ!$B$6:$B$405,$AP426)&lt;&gt;"",SUBSTITUTE(SUBSTITUTE($H426," ","")," ","")&lt;&gt;SUBSTITUTE(SUBSTITUTE(INDEX(職員マスタ!$B$6:$B$405,$AP426)," ","")," ","")),"氏名がマスタと相違／","")&amp;IF(AND($Q426&lt;&gt;"",INDEX(職員マスタ!$E$6:$E$405,$AP426)&lt;&gt;"",$Q426&lt;&gt;INDEX(職員マスタ!$E$6:$E$405,$AP426)),"子の生年月日がマスタと相違／","")&amp;IF(AND($L426&lt;&gt;"",INDEX(職員マスタ!$G$6:$G$405,$AP426)&lt;&gt;"",$L426&lt;&gt;INDEX(職員マスタ!$G$6:$G$405,$AP426)),"時短開始日がマスタと相違／","")&amp;IF(AND($M426&lt;&gt;"",INDEX(職員マスタ!$H$6:$H$405,$AP426)&lt;&gt;"",$M426&lt;&gt;INDEX(職員マスタ!$H$6:$H$405,$AP426)),"時短終了日がマスタと相違／","")))&amp;IF(AND($B426&lt;&gt;"",$E426=""),"報酬額が未入力／","")&amp;IF(N($U426)&gt;0,"申請書に入力エラーが残っています／","")&amp;IF(AND($B426&lt;&gt;"",$AQ426&lt;&gt;""),IF(COUNTIFS($B$6:$B$3005,$B426,$C$6:$C$3005,$C426,$D$6:$D$3005,$D426)&gt;1,"同じ月の請求が重複しています／",""),"")&amp;IF(AND(N($E426)&gt;0,$AB426&lt;&gt;"",$AB426&lt;&gt;"×",$AE426=0,$AD426=""),"計算額が下限以下のため不支給／",""))</f>
        <v/>
      </c>
      <c r="AN426" s="12" t="n"/>
      <c r="AO426" s="14">
        <f>IF($AF426="保留中",COUNTIF($AF$6:$AF426,"保留中"),"")</f>
        <v/>
      </c>
      <c r="AP426" s="14">
        <f>IF($AQ426="","",IF(SUMPRODUCT(MAX((職員マスタ!$A$6:$A$405=$B426)*(((職員マスタ!$G$6:$G$405="")+(職員マスタ!$G$6:$G$405&lt;=EOMONTH($AQ426,0)))&gt;0)*(((職員マスタ!$H$6:$H$405="")+(職員マスタ!$H$6:$H$405&gt;=$AQ426))&gt;0)*(ROW(職員マスタ!$A$6:$A$405)-5)))&gt;0,SUMPRODUCT(MAX((職員マスタ!$A$6:$A$405=$B426)*(((職員マスタ!$G$6:$G$405="")+(職員マスタ!$G$6:$G$405&lt;=EOMONTH($AQ426,0)))&gt;0)*(((職員マスタ!$H$6:$H$405="")+(職員マスタ!$H$6:$H$405&gt;=$AQ426))&gt;0)*(ROW(職員マスタ!$A$6:$A$405)-5))),IFERROR(MATCH($B426,職員マスタ!$A$6:$A$405,0),"")))</f>
        <v/>
      </c>
      <c r="AQ426" s="16">
        <f>IF(OR($B426="",$C426="",$D426=""),"",DATE($C426+2018,$D426,1))</f>
        <v/>
      </c>
    </row>
    <row r="427">
      <c r="A427" s="11" t="n"/>
      <c r="B427" s="12" t="n">
        <v>6902597</v>
      </c>
      <c r="C427" s="12" t="n">
        <v>8</v>
      </c>
      <c r="D427" s="12" t="n">
        <v>5</v>
      </c>
      <c r="E427" s="13" t="n">
        <v>183998</v>
      </c>
      <c r="F427" s="12" t="n"/>
      <c r="G427" s="13" t="n"/>
      <c r="H427" s="12" t="n"/>
      <c r="I427" s="12" t="n"/>
      <c r="J427" s="12" t="n"/>
      <c r="K427" s="12" t="n"/>
      <c r="L427" s="11" t="n"/>
      <c r="M427" s="11" t="n"/>
      <c r="N427" s="11" t="n"/>
      <c r="O427" s="11" t="n"/>
      <c r="P427" s="12" t="n"/>
      <c r="Q427" s="11" t="n"/>
      <c r="R427" s="12" t="n"/>
      <c r="S427" s="11" t="n"/>
      <c r="T427" s="12" t="n"/>
      <c r="U427" s="12" t="n"/>
      <c r="V427" s="12" t="n"/>
      <c r="W427" s="13" t="n"/>
      <c r="X427" s="14">
        <f>IF($AP427="",IF($B427="","",$H427),IF(INDEX(職員マスタ!$B$6:$B$405,$AP427)="",$H427,INDEX(職員マスタ!$B$6:$B$405,$AP427)))</f>
        <v/>
      </c>
      <c r="Y427" s="14">
        <f>IF($AP427="",IF($B427="","",$R427),IF(INDEX(職員マスタ!$C$6:$C$405,$AP427)="",$R427,INDEX(職員マスタ!$C$6:$C$405,$AP427)))</f>
        <v/>
      </c>
      <c r="Z427" s="14">
        <f>IF($AQ427="","","R"&amp;$C427&amp;"."&amp;$D427)</f>
        <v/>
      </c>
      <c r="AA427" s="15">
        <f>IF(IF($AP427="",FALSE,INDEX(職員マスタ!$K$6:$K$405,$AP427)&lt;&gt;""),INDEX(職員マスタ!$K$6:$K$405,$AP427),IF(N($W427)&gt;0,$W427,""))</f>
        <v/>
      </c>
      <c r="AB427" s="14">
        <f>IF(OR($E427="",$AA427=""),"",IF($E427&gt;=$AA427,"×",IF($E427&gt;=$AA427*設定!$C$5,"△","○")))</f>
        <v/>
      </c>
      <c r="AC427" s="15">
        <f>IF($AB427="","",IF($AB427="×",0,IF($AB427="○",ROUNDDOWN($E427*設定!$C$4,0),ROUNDDOWN($E427*ROUND((9*$AA427-9*$E427)/(10*$E427),4),0))))</f>
        <v/>
      </c>
      <c r="AD427" s="13" t="n"/>
      <c r="AE427" s="15">
        <f>IF($B427="","",IF($AD427&lt;&gt;"",$AD427,IF($AC427="","",IF($AC427&lt;=設定!$C$3,0,$AC427))))</f>
        <v/>
      </c>
      <c r="AF427" s="14">
        <f>IF($B427="","",IF(AND($AG427&lt;&gt;"",$AI427="",$AL427=""),"保留中",IF($AL427&lt;&gt;"",IF(N($AE427)&gt;0,"支給済","不支給"),IF($AE427="","要確認",IF($AE427=0,"不支給","未処理")))))</f>
        <v/>
      </c>
      <c r="AG427" s="12" t="n"/>
      <c r="AH427" s="11" t="n"/>
      <c r="AI427" s="11" t="n"/>
      <c r="AJ427" s="11" t="n"/>
      <c r="AK427" s="14">
        <f>IF(AND($AF427="保留中",$AH427&lt;&gt;""),TODAY()-$AH427,"")</f>
        <v/>
      </c>
      <c r="AL427" s="12" t="inlineStr">
        <is>
          <t>R8.10</t>
        </is>
      </c>
      <c r="AM427" s="14">
        <f>IF($B427="","",IF($AQ427="","対象年月が未入力／","")&amp;IF($B427="","",IF($AP427="","職員マスタに未登録の職員番号／",IF($AA427="","標準報酬月額が未登録／","")&amp;IF(AND($AQ427&lt;&gt;"",OR(AND(INDEX(職員マスタ!$G$6:$G$405,$AP427)&lt;&gt;"",INDEX(職員マスタ!$G$6:$G$405,$AP427)&gt;EOMONTH($AQ427,0)),AND(INDEX(職員マスタ!$H$6:$H$405,$AP427)&lt;&gt;"",INDEX(職員マスタ!$H$6:$H$405,$AP427)&lt;$AQ427))),"対象月が時短期間外／","")&amp;IF(AND(INDEX(職員マスタ!$K$6:$K$405,$AP427)&lt;&gt;"",N($W427)&gt;0,INDEX(職員マスタ!$K$6:$K$405,$AP427)&lt;&gt;$W427),"標準報酬月額が申請書と相違（台帳"&amp;TEXT(INDEX(職員マスタ!$K$6:$K$405,$AP427),"#,##0")&amp;"円／申請書"&amp;TEXT($W427,"#,##0")&amp;"円）／","")&amp;IF(AND(INDEX(職員マスタ!$F$6:$F$405,$AP427)&lt;&gt;"",$AQ427&lt;&gt;"",INDEX(職員マスタ!$F$6:$F$405,$AP427)&lt;$AQ427),"対象月に子が2歳到達済／","")&amp;IF(AND($H427&lt;&gt;"",INDEX(職員マスタ!$B$6:$B$405,$AP427)&lt;&gt;"",SUBSTITUTE(SUBSTITUTE($H427," ","")," ","")&lt;&gt;SUBSTITUTE(SUBSTITUTE(INDEX(職員マスタ!$B$6:$B$405,$AP427)," ","")," ","")),"氏名がマスタと相違／","")&amp;IF(AND($Q427&lt;&gt;"",INDEX(職員マスタ!$E$6:$E$405,$AP427)&lt;&gt;"",$Q427&lt;&gt;INDEX(職員マスタ!$E$6:$E$405,$AP427)),"子の生年月日がマスタと相違／","")&amp;IF(AND($L427&lt;&gt;"",INDEX(職員マスタ!$G$6:$G$405,$AP427)&lt;&gt;"",$L427&lt;&gt;INDEX(職員マスタ!$G$6:$G$405,$AP427)),"時短開始日がマスタと相違／","")&amp;IF(AND($M427&lt;&gt;"",INDEX(職員マスタ!$H$6:$H$405,$AP427)&lt;&gt;"",$M427&lt;&gt;INDEX(職員マスタ!$H$6:$H$405,$AP427)),"時短終了日がマスタと相違／","")))&amp;IF(AND($B427&lt;&gt;"",$E427=""),"報酬額が未入力／","")&amp;IF(N($U427)&gt;0,"申請書に入力エラーが残っています／","")&amp;IF(AND($B427&lt;&gt;"",$AQ427&lt;&gt;""),IF(COUNTIFS($B$6:$B$3005,$B427,$C$6:$C$3005,$C427,$D$6:$D$3005,$D427)&gt;1,"同じ月の請求が重複しています／",""),"")&amp;IF(AND(N($E427)&gt;0,$AB427&lt;&gt;"",$AB427&lt;&gt;"×",$AE427=0,$AD427=""),"計算額が下限以下のため不支給／",""))</f>
        <v/>
      </c>
      <c r="AN427" s="12" t="n"/>
      <c r="AO427" s="14">
        <f>IF($AF427="保留中",COUNTIF($AF$6:$AF427,"保留中"),"")</f>
        <v/>
      </c>
      <c r="AP427" s="14">
        <f>IF($AQ427="","",IF(SUMPRODUCT(MAX((職員マスタ!$A$6:$A$405=$B427)*(((職員マスタ!$G$6:$G$405="")+(職員マスタ!$G$6:$G$405&lt;=EOMONTH($AQ427,0)))&gt;0)*(((職員マスタ!$H$6:$H$405="")+(職員マスタ!$H$6:$H$405&gt;=$AQ427))&gt;0)*(ROW(職員マスタ!$A$6:$A$405)-5)))&gt;0,SUMPRODUCT(MAX((職員マスタ!$A$6:$A$405=$B427)*(((職員マスタ!$G$6:$G$405="")+(職員マスタ!$G$6:$G$405&lt;=EOMONTH($AQ427,0)))&gt;0)*(((職員マスタ!$H$6:$H$405="")+(職員マスタ!$H$6:$H$405&gt;=$AQ427))&gt;0)*(ROW(職員マスタ!$A$6:$A$405)-5))),IFERROR(MATCH($B427,職員マスタ!$A$6:$A$405,0),"")))</f>
        <v/>
      </c>
      <c r="AQ427" s="16">
        <f>IF(OR($B427="",$C427="",$D427=""),"",DATE($C427+2018,$D427,1))</f>
        <v/>
      </c>
    </row>
    <row r="428">
      <c r="A428" s="11" t="n"/>
      <c r="B428" s="12" t="n">
        <v>6902597</v>
      </c>
      <c r="C428" s="12" t="n">
        <v>8</v>
      </c>
      <c r="D428" s="12" t="n">
        <v>6</v>
      </c>
      <c r="E428" s="13" t="n">
        <v>183998</v>
      </c>
      <c r="F428" s="12" t="n"/>
      <c r="G428" s="13" t="n"/>
      <c r="H428" s="12" t="n"/>
      <c r="I428" s="12" t="n"/>
      <c r="J428" s="12" t="n"/>
      <c r="K428" s="12" t="n"/>
      <c r="L428" s="11" t="n"/>
      <c r="M428" s="11" t="n"/>
      <c r="N428" s="11" t="n"/>
      <c r="O428" s="11" t="n"/>
      <c r="P428" s="12" t="n"/>
      <c r="Q428" s="11" t="n"/>
      <c r="R428" s="12" t="n"/>
      <c r="S428" s="11" t="n"/>
      <c r="T428" s="12" t="n"/>
      <c r="U428" s="12" t="n"/>
      <c r="V428" s="12" t="n"/>
      <c r="W428" s="13" t="n"/>
      <c r="X428" s="14">
        <f>IF($AP428="",IF($B428="","",$H428),IF(INDEX(職員マスタ!$B$6:$B$405,$AP428)="",$H428,INDEX(職員マスタ!$B$6:$B$405,$AP428)))</f>
        <v/>
      </c>
      <c r="Y428" s="14">
        <f>IF($AP428="",IF($B428="","",$R428),IF(INDEX(職員マスタ!$C$6:$C$405,$AP428)="",$R428,INDEX(職員マスタ!$C$6:$C$405,$AP428)))</f>
        <v/>
      </c>
      <c r="Z428" s="14">
        <f>IF($AQ428="","","R"&amp;$C428&amp;"."&amp;$D428)</f>
        <v/>
      </c>
      <c r="AA428" s="15">
        <f>IF(IF($AP428="",FALSE,INDEX(職員マスタ!$K$6:$K$405,$AP428)&lt;&gt;""),INDEX(職員マスタ!$K$6:$K$405,$AP428),IF(N($W428)&gt;0,$W428,""))</f>
        <v/>
      </c>
      <c r="AB428" s="14">
        <f>IF(OR($E428="",$AA428=""),"",IF($E428&gt;=$AA428,"×",IF($E428&gt;=$AA428*設定!$C$5,"△","○")))</f>
        <v/>
      </c>
      <c r="AC428" s="15">
        <f>IF($AB428="","",IF($AB428="×",0,IF($AB428="○",ROUNDDOWN($E428*設定!$C$4,0),ROUNDDOWN($E428*ROUND((9*$AA428-9*$E428)/(10*$E428),4),0))))</f>
        <v/>
      </c>
      <c r="AD428" s="13" t="n"/>
      <c r="AE428" s="15">
        <f>IF($B428="","",IF($AD428&lt;&gt;"",$AD428,IF($AC428="","",IF($AC428&lt;=設定!$C$3,0,$AC428))))</f>
        <v/>
      </c>
      <c r="AF428" s="14">
        <f>IF($B428="","",IF(AND($AG428&lt;&gt;"",$AI428="",$AL428=""),"保留中",IF($AL428&lt;&gt;"",IF(N($AE428)&gt;0,"支給済","不支給"),IF($AE428="","要確認",IF($AE428=0,"不支給","未処理")))))</f>
        <v/>
      </c>
      <c r="AG428" s="12" t="n"/>
      <c r="AH428" s="11" t="n"/>
      <c r="AI428" s="11" t="n"/>
      <c r="AJ428" s="11" t="n"/>
      <c r="AK428" s="14">
        <f>IF(AND($AF428="保留中",$AH428&lt;&gt;""),TODAY()-$AH428,"")</f>
        <v/>
      </c>
      <c r="AL428" s="12" t="inlineStr">
        <is>
          <t>R8.10</t>
        </is>
      </c>
      <c r="AM428" s="14">
        <f>IF($B428="","",IF($AQ428="","対象年月が未入力／","")&amp;IF($B428="","",IF($AP428="","職員マスタに未登録の職員番号／",IF($AA428="","標準報酬月額が未登録／","")&amp;IF(AND($AQ428&lt;&gt;"",OR(AND(INDEX(職員マスタ!$G$6:$G$405,$AP428)&lt;&gt;"",INDEX(職員マスタ!$G$6:$G$405,$AP428)&gt;EOMONTH($AQ428,0)),AND(INDEX(職員マスタ!$H$6:$H$405,$AP428)&lt;&gt;"",INDEX(職員マスタ!$H$6:$H$405,$AP428)&lt;$AQ428))),"対象月が時短期間外／","")&amp;IF(AND(INDEX(職員マスタ!$K$6:$K$405,$AP428)&lt;&gt;"",N($W428)&gt;0,INDEX(職員マスタ!$K$6:$K$405,$AP428)&lt;&gt;$W428),"標準報酬月額が申請書と相違（台帳"&amp;TEXT(INDEX(職員マスタ!$K$6:$K$405,$AP428),"#,##0")&amp;"円／申請書"&amp;TEXT($W428,"#,##0")&amp;"円）／","")&amp;IF(AND(INDEX(職員マスタ!$F$6:$F$405,$AP428)&lt;&gt;"",$AQ428&lt;&gt;"",INDEX(職員マスタ!$F$6:$F$405,$AP428)&lt;$AQ428),"対象月に子が2歳到達済／","")&amp;IF(AND($H428&lt;&gt;"",INDEX(職員マスタ!$B$6:$B$405,$AP428)&lt;&gt;"",SUBSTITUTE(SUBSTITUTE($H428," ","")," ","")&lt;&gt;SUBSTITUTE(SUBSTITUTE(INDEX(職員マスタ!$B$6:$B$405,$AP428)," ","")," ","")),"氏名がマスタと相違／","")&amp;IF(AND($Q428&lt;&gt;"",INDEX(職員マスタ!$E$6:$E$405,$AP428)&lt;&gt;"",$Q428&lt;&gt;INDEX(職員マスタ!$E$6:$E$405,$AP428)),"子の生年月日がマスタと相違／","")&amp;IF(AND($L428&lt;&gt;"",INDEX(職員マスタ!$G$6:$G$405,$AP428)&lt;&gt;"",$L428&lt;&gt;INDEX(職員マスタ!$G$6:$G$405,$AP428)),"時短開始日がマスタと相違／","")&amp;IF(AND($M428&lt;&gt;"",INDEX(職員マスタ!$H$6:$H$405,$AP428)&lt;&gt;"",$M428&lt;&gt;INDEX(職員マスタ!$H$6:$H$405,$AP428)),"時短終了日がマスタと相違／","")))&amp;IF(AND($B428&lt;&gt;"",$E428=""),"報酬額が未入力／","")&amp;IF(N($U428)&gt;0,"申請書に入力エラーが残っています／","")&amp;IF(AND($B428&lt;&gt;"",$AQ428&lt;&gt;""),IF(COUNTIFS($B$6:$B$3005,$B428,$C$6:$C$3005,$C428,$D$6:$D$3005,$D428)&gt;1,"同じ月の請求が重複しています／",""),"")&amp;IF(AND(N($E428)&gt;0,$AB428&lt;&gt;"",$AB428&lt;&gt;"×",$AE428=0,$AD428=""),"計算額が下限以下のため不支給／",""))</f>
        <v/>
      </c>
      <c r="AN428" s="12" t="n"/>
      <c r="AO428" s="14">
        <f>IF($AF428="保留中",COUNTIF($AF$6:$AF428,"保留中"),"")</f>
        <v/>
      </c>
      <c r="AP428" s="14">
        <f>IF($AQ428="","",IF(SUMPRODUCT(MAX((職員マスタ!$A$6:$A$405=$B428)*(((職員マスタ!$G$6:$G$405="")+(職員マスタ!$G$6:$G$405&lt;=EOMONTH($AQ428,0)))&gt;0)*(((職員マスタ!$H$6:$H$405="")+(職員マスタ!$H$6:$H$405&gt;=$AQ428))&gt;0)*(ROW(職員マスタ!$A$6:$A$405)-5)))&gt;0,SUMPRODUCT(MAX((職員マスタ!$A$6:$A$405=$B428)*(((職員マスタ!$G$6:$G$405="")+(職員マスタ!$G$6:$G$405&lt;=EOMONTH($AQ428,0)))&gt;0)*(((職員マスタ!$H$6:$H$405="")+(職員マスタ!$H$6:$H$405&gt;=$AQ428))&gt;0)*(ROW(職員マスタ!$A$6:$A$405)-5))),IFERROR(MATCH($B428,職員マスタ!$A$6:$A$405,0),"")))</f>
        <v/>
      </c>
      <c r="AQ428" s="16">
        <f>IF(OR($B428="",$C428="",$D428=""),"",DATE($C428+2018,$D428,1))</f>
        <v/>
      </c>
    </row>
    <row r="429">
      <c r="A429" s="11" t="n"/>
      <c r="B429" s="12" t="n">
        <v>6902597</v>
      </c>
      <c r="C429" s="12" t="n">
        <v>8</v>
      </c>
      <c r="D429" s="12" t="n">
        <v>8</v>
      </c>
      <c r="E429" s="13" t="n">
        <v>183998</v>
      </c>
      <c r="F429" s="12" t="n"/>
      <c r="G429" s="13" t="n"/>
      <c r="H429" s="12" t="n"/>
      <c r="I429" s="12" t="n"/>
      <c r="J429" s="12" t="n"/>
      <c r="K429" s="12" t="n"/>
      <c r="L429" s="11" t="n"/>
      <c r="M429" s="11" t="n"/>
      <c r="N429" s="11" t="n"/>
      <c r="O429" s="11" t="n"/>
      <c r="P429" s="12" t="n"/>
      <c r="Q429" s="11" t="n"/>
      <c r="R429" s="12" t="n"/>
      <c r="S429" s="11" t="n"/>
      <c r="T429" s="12" t="n"/>
      <c r="U429" s="12" t="n"/>
      <c r="V429" s="12" t="n"/>
      <c r="W429" s="13" t="n"/>
      <c r="X429" s="14">
        <f>IF($AP429="",IF($B429="","",$H429),IF(INDEX(職員マスタ!$B$6:$B$405,$AP429)="",$H429,INDEX(職員マスタ!$B$6:$B$405,$AP429)))</f>
        <v/>
      </c>
      <c r="Y429" s="14">
        <f>IF($AP429="",IF($B429="","",$R429),IF(INDEX(職員マスタ!$C$6:$C$405,$AP429)="",$R429,INDEX(職員マスタ!$C$6:$C$405,$AP429)))</f>
        <v/>
      </c>
      <c r="Z429" s="14">
        <f>IF($AQ429="","","R"&amp;$C429&amp;"."&amp;$D429)</f>
        <v/>
      </c>
      <c r="AA429" s="15">
        <f>IF(IF($AP429="",FALSE,INDEX(職員マスタ!$K$6:$K$405,$AP429)&lt;&gt;""),INDEX(職員マスタ!$K$6:$K$405,$AP429),IF(N($W429)&gt;0,$W429,""))</f>
        <v/>
      </c>
      <c r="AB429" s="14">
        <f>IF(OR($E429="",$AA429=""),"",IF($E429&gt;=$AA429,"×",IF($E429&gt;=$AA429*設定!$C$5,"△","○")))</f>
        <v/>
      </c>
      <c r="AC429" s="15">
        <f>IF($AB429="","",IF($AB429="×",0,IF($AB429="○",ROUNDDOWN($E429*設定!$C$4,0),ROUNDDOWN($E429*ROUND((9*$AA429-9*$E429)/(10*$E429),4),0))))</f>
        <v/>
      </c>
      <c r="AD429" s="13" t="n"/>
      <c r="AE429" s="15">
        <f>IF($B429="","",IF($AD429&lt;&gt;"",$AD429,IF($AC429="","",IF($AC429&lt;=設定!$C$3,0,$AC429))))</f>
        <v/>
      </c>
      <c r="AF429" s="14">
        <f>IF($B429="","",IF(AND($AG429&lt;&gt;"",$AI429="",$AL429=""),"保留中",IF($AL429&lt;&gt;"",IF(N($AE429)&gt;0,"支給済","不支給"),IF($AE429="","要確認",IF($AE429=0,"不支給","未処理")))))</f>
        <v/>
      </c>
      <c r="AG429" s="12" t="n"/>
      <c r="AH429" s="11" t="n"/>
      <c r="AI429" s="11" t="n"/>
      <c r="AJ429" s="11" t="n"/>
      <c r="AK429" s="14">
        <f>IF(AND($AF429="保留中",$AH429&lt;&gt;""),TODAY()-$AH429,"")</f>
        <v/>
      </c>
      <c r="AL429" s="12" t="inlineStr">
        <is>
          <t>R8.10</t>
        </is>
      </c>
      <c r="AM429" s="14">
        <f>IF($B429="","",IF($AQ429="","対象年月が未入力／","")&amp;IF($B429="","",IF($AP429="","職員マスタに未登録の職員番号／",IF($AA429="","標準報酬月額が未登録／","")&amp;IF(AND($AQ429&lt;&gt;"",OR(AND(INDEX(職員マスタ!$G$6:$G$405,$AP429)&lt;&gt;"",INDEX(職員マスタ!$G$6:$G$405,$AP429)&gt;EOMONTH($AQ429,0)),AND(INDEX(職員マスタ!$H$6:$H$405,$AP429)&lt;&gt;"",INDEX(職員マスタ!$H$6:$H$405,$AP429)&lt;$AQ429))),"対象月が時短期間外／","")&amp;IF(AND(INDEX(職員マスタ!$K$6:$K$405,$AP429)&lt;&gt;"",N($W429)&gt;0,INDEX(職員マスタ!$K$6:$K$405,$AP429)&lt;&gt;$W429),"標準報酬月額が申請書と相違（台帳"&amp;TEXT(INDEX(職員マスタ!$K$6:$K$405,$AP429),"#,##0")&amp;"円／申請書"&amp;TEXT($W429,"#,##0")&amp;"円）／","")&amp;IF(AND(INDEX(職員マスタ!$F$6:$F$405,$AP429)&lt;&gt;"",$AQ429&lt;&gt;"",INDEX(職員マスタ!$F$6:$F$405,$AP429)&lt;$AQ429),"対象月に子が2歳到達済／","")&amp;IF(AND($H429&lt;&gt;"",INDEX(職員マスタ!$B$6:$B$405,$AP429)&lt;&gt;"",SUBSTITUTE(SUBSTITUTE($H429," ","")," ","")&lt;&gt;SUBSTITUTE(SUBSTITUTE(INDEX(職員マスタ!$B$6:$B$405,$AP429)," ","")," ","")),"氏名がマスタと相違／","")&amp;IF(AND($Q429&lt;&gt;"",INDEX(職員マスタ!$E$6:$E$405,$AP429)&lt;&gt;"",$Q429&lt;&gt;INDEX(職員マスタ!$E$6:$E$405,$AP429)),"子の生年月日がマスタと相違／","")&amp;IF(AND($L429&lt;&gt;"",INDEX(職員マスタ!$G$6:$G$405,$AP429)&lt;&gt;"",$L429&lt;&gt;INDEX(職員マスタ!$G$6:$G$405,$AP429)),"時短開始日がマスタと相違／","")&amp;IF(AND($M429&lt;&gt;"",INDEX(職員マスタ!$H$6:$H$405,$AP429)&lt;&gt;"",$M429&lt;&gt;INDEX(職員マスタ!$H$6:$H$405,$AP429)),"時短終了日がマスタと相違／","")))&amp;IF(AND($B429&lt;&gt;"",$E429=""),"報酬額が未入力／","")&amp;IF(N($U429)&gt;0,"申請書に入力エラーが残っています／","")&amp;IF(AND($B429&lt;&gt;"",$AQ429&lt;&gt;""),IF(COUNTIFS($B$6:$B$3005,$B429,$C$6:$C$3005,$C429,$D$6:$D$3005,$D429)&gt;1,"同じ月の請求が重複しています／",""),"")&amp;IF(AND(N($E429)&gt;0,$AB429&lt;&gt;"",$AB429&lt;&gt;"×",$AE429=0,$AD429=""),"計算額が下限以下のため不支給／",""))</f>
        <v/>
      </c>
      <c r="AN429" s="12" t="n"/>
      <c r="AO429" s="14">
        <f>IF($AF429="保留中",COUNTIF($AF$6:$AF429,"保留中"),"")</f>
        <v/>
      </c>
      <c r="AP429" s="14">
        <f>IF($AQ429="","",IF(SUMPRODUCT(MAX((職員マスタ!$A$6:$A$405=$B429)*(((職員マスタ!$G$6:$G$405="")+(職員マスタ!$G$6:$G$405&lt;=EOMONTH($AQ429,0)))&gt;0)*(((職員マスタ!$H$6:$H$405="")+(職員マスタ!$H$6:$H$405&gt;=$AQ429))&gt;0)*(ROW(職員マスタ!$A$6:$A$405)-5)))&gt;0,SUMPRODUCT(MAX((職員マスタ!$A$6:$A$405=$B429)*(((職員マスタ!$G$6:$G$405="")+(職員マスタ!$G$6:$G$405&lt;=EOMONTH($AQ429,0)))&gt;0)*(((職員マスタ!$H$6:$H$405="")+(職員マスタ!$H$6:$H$405&gt;=$AQ429))&gt;0)*(ROW(職員マスタ!$A$6:$A$405)-5))),IFERROR(MATCH($B429,職員マスタ!$A$6:$A$405,0),"")))</f>
        <v/>
      </c>
      <c r="AQ429" s="16">
        <f>IF(OR($B429="",$C429="",$D429=""),"",DATE($C429+2018,$D429,1))</f>
        <v/>
      </c>
    </row>
    <row r="430">
      <c r="A430" s="11" t="n"/>
      <c r="B430" s="12" t="n">
        <v>6903033</v>
      </c>
      <c r="C430" s="12" t="n">
        <v>7</v>
      </c>
      <c r="D430" s="12" t="n">
        <v>6</v>
      </c>
      <c r="E430" s="13" t="n">
        <v>292332</v>
      </c>
      <c r="F430" s="12" t="n"/>
      <c r="G430" s="13" t="n"/>
      <c r="H430" s="12" t="n"/>
      <c r="I430" s="12" t="n"/>
      <c r="J430" s="12" t="n"/>
      <c r="K430" s="12" t="n"/>
      <c r="L430" s="11" t="n"/>
      <c r="M430" s="11" t="n"/>
      <c r="N430" s="11" t="n"/>
      <c r="O430" s="11" t="n"/>
      <c r="P430" s="12" t="n"/>
      <c r="Q430" s="11" t="n"/>
      <c r="R430" s="12" t="n"/>
      <c r="S430" s="11" t="n"/>
      <c r="T430" s="12" t="n"/>
      <c r="U430" s="12" t="n"/>
      <c r="V430" s="12" t="n"/>
      <c r="W430" s="13" t="n"/>
      <c r="X430" s="14">
        <f>IF($AP430="",IF($B430="","",$H430),IF(INDEX(職員マスタ!$B$6:$B$405,$AP430)="",$H430,INDEX(職員マスタ!$B$6:$B$405,$AP430)))</f>
        <v/>
      </c>
      <c r="Y430" s="14">
        <f>IF($AP430="",IF($B430="","",$R430),IF(INDEX(職員マスタ!$C$6:$C$405,$AP430)="",$R430,INDEX(職員マスタ!$C$6:$C$405,$AP430)))</f>
        <v/>
      </c>
      <c r="Z430" s="14">
        <f>IF($AQ430="","","R"&amp;$C430&amp;"."&amp;$D430)</f>
        <v/>
      </c>
      <c r="AA430" s="15">
        <f>IF(IF($AP430="",FALSE,INDEX(職員マスタ!$K$6:$K$405,$AP430)&lt;&gt;""),INDEX(職員マスタ!$K$6:$K$405,$AP430),IF(N($W430)&gt;0,$W430,""))</f>
        <v/>
      </c>
      <c r="AB430" s="14">
        <f>IF(OR($E430="",$AA430=""),"",IF($E430&gt;=$AA430,"×",IF($E430&gt;=$AA430*設定!$C$5,"△","○")))</f>
        <v/>
      </c>
      <c r="AC430" s="15">
        <f>IF($AB430="","",IF($AB430="×",0,IF($AB430="○",ROUNDDOWN($E430*設定!$C$4,0),ROUNDDOWN($E430*ROUND((9*$AA430-9*$E430)/(10*$E430),4),0))))</f>
        <v/>
      </c>
      <c r="AD430" s="13" t="n"/>
      <c r="AE430" s="15">
        <f>IF($B430="","",IF($AD430&lt;&gt;"",$AD430,IF($AC430="","",IF($AC430&lt;=設定!$C$3,0,$AC430))))</f>
        <v/>
      </c>
      <c r="AF430" s="14">
        <f>IF($B430="","",IF(AND($AG430&lt;&gt;"",$AI430="",$AL430=""),"保留中",IF($AL430&lt;&gt;"",IF(N($AE430)&gt;0,"支給済","不支給"),IF($AE430="","要確認",IF($AE430=0,"不支給","未処理")))))</f>
        <v/>
      </c>
      <c r="AG430" s="12" t="n"/>
      <c r="AH430" s="11" t="n"/>
      <c r="AI430" s="11" t="n"/>
      <c r="AJ430" s="11" t="n"/>
      <c r="AK430" s="14">
        <f>IF(AND($AF430="保留中",$AH430&lt;&gt;""),TODAY()-$AH430,"")</f>
        <v/>
      </c>
      <c r="AL430" s="12" t="inlineStr">
        <is>
          <t>R8.6</t>
        </is>
      </c>
      <c r="AM430" s="14">
        <f>IF($B430="","",IF($AQ430="","対象年月が未入力／","")&amp;IF($B430="","",IF($AP430="","職員マスタに未登録の職員番号／",IF($AA430="","標準報酬月額が未登録／","")&amp;IF(AND($AQ430&lt;&gt;"",OR(AND(INDEX(職員マスタ!$G$6:$G$405,$AP430)&lt;&gt;"",INDEX(職員マスタ!$G$6:$G$405,$AP430)&gt;EOMONTH($AQ430,0)),AND(INDEX(職員マスタ!$H$6:$H$405,$AP430)&lt;&gt;"",INDEX(職員マスタ!$H$6:$H$405,$AP430)&lt;$AQ430))),"対象月が時短期間外／","")&amp;IF(AND(INDEX(職員マスタ!$K$6:$K$405,$AP430)&lt;&gt;"",N($W430)&gt;0,INDEX(職員マスタ!$K$6:$K$405,$AP430)&lt;&gt;$W430),"標準報酬月額が申請書と相違（台帳"&amp;TEXT(INDEX(職員マスタ!$K$6:$K$405,$AP430),"#,##0")&amp;"円／申請書"&amp;TEXT($W430,"#,##0")&amp;"円）／","")&amp;IF(AND(INDEX(職員マスタ!$F$6:$F$405,$AP430)&lt;&gt;"",$AQ430&lt;&gt;"",INDEX(職員マスタ!$F$6:$F$405,$AP430)&lt;$AQ430),"対象月に子が2歳到達済／","")&amp;IF(AND($H430&lt;&gt;"",INDEX(職員マスタ!$B$6:$B$405,$AP430)&lt;&gt;"",SUBSTITUTE(SUBSTITUTE($H430," ","")," ","")&lt;&gt;SUBSTITUTE(SUBSTITUTE(INDEX(職員マスタ!$B$6:$B$405,$AP430)," ","")," ","")),"氏名がマスタと相違／","")&amp;IF(AND($Q430&lt;&gt;"",INDEX(職員マスタ!$E$6:$E$405,$AP430)&lt;&gt;"",$Q430&lt;&gt;INDEX(職員マスタ!$E$6:$E$405,$AP430)),"子の生年月日がマスタと相違／","")&amp;IF(AND($L430&lt;&gt;"",INDEX(職員マスタ!$G$6:$G$405,$AP430)&lt;&gt;"",$L430&lt;&gt;INDEX(職員マスタ!$G$6:$G$405,$AP430)),"時短開始日がマスタと相違／","")&amp;IF(AND($M430&lt;&gt;"",INDEX(職員マスタ!$H$6:$H$405,$AP430)&lt;&gt;"",$M430&lt;&gt;INDEX(職員マスタ!$H$6:$H$405,$AP430)),"時短終了日がマスタと相違／","")))&amp;IF(AND($B430&lt;&gt;"",$E430=""),"報酬額が未入力／","")&amp;IF(N($U430)&gt;0,"申請書に入力エラーが残っています／","")&amp;IF(AND($B430&lt;&gt;"",$AQ430&lt;&gt;""),IF(COUNTIFS($B$6:$B$3005,$B430,$C$6:$C$3005,$C430,$D$6:$D$3005,$D430)&gt;1,"同じ月の請求が重複しています／",""),"")&amp;IF(AND(N($E430)&gt;0,$AB430&lt;&gt;"",$AB430&lt;&gt;"×",$AE430=0,$AD430=""),"計算額が下限以下のため不支給／",""))</f>
        <v/>
      </c>
      <c r="AN430" s="12" t="n"/>
      <c r="AO430" s="14">
        <f>IF($AF430="保留中",COUNTIF($AF$6:$AF430,"保留中"),"")</f>
        <v/>
      </c>
      <c r="AP430" s="14">
        <f>IF($AQ430="","",IF(SUMPRODUCT(MAX((職員マスタ!$A$6:$A$405=$B430)*(((職員マスタ!$G$6:$G$405="")+(職員マスタ!$G$6:$G$405&lt;=EOMONTH($AQ430,0)))&gt;0)*(((職員マスタ!$H$6:$H$405="")+(職員マスタ!$H$6:$H$405&gt;=$AQ430))&gt;0)*(ROW(職員マスタ!$A$6:$A$405)-5)))&gt;0,SUMPRODUCT(MAX((職員マスタ!$A$6:$A$405=$B430)*(((職員マスタ!$G$6:$G$405="")+(職員マスタ!$G$6:$G$405&lt;=EOMONTH($AQ430,0)))&gt;0)*(((職員マスタ!$H$6:$H$405="")+(職員マスタ!$H$6:$H$405&gt;=$AQ430))&gt;0)*(ROW(職員マスタ!$A$6:$A$405)-5))),IFERROR(MATCH($B430,職員マスタ!$A$6:$A$405,0),"")))</f>
        <v/>
      </c>
      <c r="AQ430" s="16">
        <f>IF(OR($B430="",$C430="",$D430=""),"",DATE($C430+2018,$D430,1))</f>
        <v/>
      </c>
    </row>
    <row r="431">
      <c r="A431" s="11" t="n"/>
      <c r="B431" s="12" t="n">
        <v>6903033</v>
      </c>
      <c r="C431" s="12" t="n">
        <v>7</v>
      </c>
      <c r="D431" s="12" t="n">
        <v>7</v>
      </c>
      <c r="E431" s="13" t="n">
        <v>267979</v>
      </c>
      <c r="F431" s="12" t="n"/>
      <c r="G431" s="13" t="n"/>
      <c r="H431" s="12" t="n"/>
      <c r="I431" s="12" t="n"/>
      <c r="J431" s="12" t="n"/>
      <c r="K431" s="12" t="n"/>
      <c r="L431" s="11" t="n"/>
      <c r="M431" s="11" t="n"/>
      <c r="N431" s="11" t="n"/>
      <c r="O431" s="11" t="n"/>
      <c r="P431" s="12" t="n"/>
      <c r="Q431" s="11" t="n"/>
      <c r="R431" s="12" t="n"/>
      <c r="S431" s="11" t="n"/>
      <c r="T431" s="12" t="n"/>
      <c r="U431" s="12" t="n"/>
      <c r="V431" s="12" t="n"/>
      <c r="W431" s="13" t="n"/>
      <c r="X431" s="14">
        <f>IF($AP431="",IF($B431="","",$H431),IF(INDEX(職員マスタ!$B$6:$B$405,$AP431)="",$H431,INDEX(職員マスタ!$B$6:$B$405,$AP431)))</f>
        <v/>
      </c>
      <c r="Y431" s="14">
        <f>IF($AP431="",IF($B431="","",$R431),IF(INDEX(職員マスタ!$C$6:$C$405,$AP431)="",$R431,INDEX(職員マスタ!$C$6:$C$405,$AP431)))</f>
        <v/>
      </c>
      <c r="Z431" s="14">
        <f>IF($AQ431="","","R"&amp;$C431&amp;"."&amp;$D431)</f>
        <v/>
      </c>
      <c r="AA431" s="15">
        <f>IF(IF($AP431="",FALSE,INDEX(職員マスタ!$K$6:$K$405,$AP431)&lt;&gt;""),INDEX(職員マスタ!$K$6:$K$405,$AP431),IF(N($W431)&gt;0,$W431,""))</f>
        <v/>
      </c>
      <c r="AB431" s="14">
        <f>IF(OR($E431="",$AA431=""),"",IF($E431&gt;=$AA431,"×",IF($E431&gt;=$AA431*設定!$C$5,"△","○")))</f>
        <v/>
      </c>
      <c r="AC431" s="15">
        <f>IF($AB431="","",IF($AB431="×",0,IF($AB431="○",ROUNDDOWN($E431*設定!$C$4,0),ROUNDDOWN($E431*ROUND((9*$AA431-9*$E431)/(10*$E431),4),0))))</f>
        <v/>
      </c>
      <c r="AD431" s="13" t="n"/>
      <c r="AE431" s="15">
        <f>IF($B431="","",IF($AD431&lt;&gt;"",$AD431,IF($AC431="","",IF($AC431&lt;=設定!$C$3,0,$AC431))))</f>
        <v/>
      </c>
      <c r="AF431" s="14">
        <f>IF($B431="","",IF(AND($AG431&lt;&gt;"",$AI431="",$AL431=""),"保留中",IF($AL431&lt;&gt;"",IF(N($AE431)&gt;0,"支給済","不支給"),IF($AE431="","要確認",IF($AE431=0,"不支給","未処理")))))</f>
        <v/>
      </c>
      <c r="AG431" s="12" t="n"/>
      <c r="AH431" s="11" t="n"/>
      <c r="AI431" s="11" t="n"/>
      <c r="AJ431" s="11" t="n"/>
      <c r="AK431" s="14">
        <f>IF(AND($AF431="保留中",$AH431&lt;&gt;""),TODAY()-$AH431,"")</f>
        <v/>
      </c>
      <c r="AL431" s="12" t="inlineStr">
        <is>
          <t>R8.6</t>
        </is>
      </c>
      <c r="AM431" s="14">
        <f>IF($B431="","",IF($AQ431="","対象年月が未入力／","")&amp;IF($B431="","",IF($AP431="","職員マスタに未登録の職員番号／",IF($AA431="","標準報酬月額が未登録／","")&amp;IF(AND($AQ431&lt;&gt;"",OR(AND(INDEX(職員マスタ!$G$6:$G$405,$AP431)&lt;&gt;"",INDEX(職員マスタ!$G$6:$G$405,$AP431)&gt;EOMONTH($AQ431,0)),AND(INDEX(職員マスタ!$H$6:$H$405,$AP431)&lt;&gt;"",INDEX(職員マスタ!$H$6:$H$405,$AP431)&lt;$AQ431))),"対象月が時短期間外／","")&amp;IF(AND(INDEX(職員マスタ!$K$6:$K$405,$AP431)&lt;&gt;"",N($W431)&gt;0,INDEX(職員マスタ!$K$6:$K$405,$AP431)&lt;&gt;$W431),"標準報酬月額が申請書と相違（台帳"&amp;TEXT(INDEX(職員マスタ!$K$6:$K$405,$AP431),"#,##0")&amp;"円／申請書"&amp;TEXT($W431,"#,##0")&amp;"円）／","")&amp;IF(AND(INDEX(職員マスタ!$F$6:$F$405,$AP431)&lt;&gt;"",$AQ431&lt;&gt;"",INDEX(職員マスタ!$F$6:$F$405,$AP431)&lt;$AQ431),"対象月に子が2歳到達済／","")&amp;IF(AND($H431&lt;&gt;"",INDEX(職員マスタ!$B$6:$B$405,$AP431)&lt;&gt;"",SUBSTITUTE(SUBSTITUTE($H431," ","")," ","")&lt;&gt;SUBSTITUTE(SUBSTITUTE(INDEX(職員マスタ!$B$6:$B$405,$AP431)," ","")," ","")),"氏名がマスタと相違／","")&amp;IF(AND($Q431&lt;&gt;"",INDEX(職員マスタ!$E$6:$E$405,$AP431)&lt;&gt;"",$Q431&lt;&gt;INDEX(職員マスタ!$E$6:$E$405,$AP431)),"子の生年月日がマスタと相違／","")&amp;IF(AND($L431&lt;&gt;"",INDEX(職員マスタ!$G$6:$G$405,$AP431)&lt;&gt;"",$L431&lt;&gt;INDEX(職員マスタ!$G$6:$G$405,$AP431)),"時短開始日がマスタと相違／","")&amp;IF(AND($M431&lt;&gt;"",INDEX(職員マスタ!$H$6:$H$405,$AP431)&lt;&gt;"",$M431&lt;&gt;INDEX(職員マスタ!$H$6:$H$405,$AP431)),"時短終了日がマスタと相違／","")))&amp;IF(AND($B431&lt;&gt;"",$E431=""),"報酬額が未入力／","")&amp;IF(N($U431)&gt;0,"申請書に入力エラーが残っています／","")&amp;IF(AND($B431&lt;&gt;"",$AQ431&lt;&gt;""),IF(COUNTIFS($B$6:$B$3005,$B431,$C$6:$C$3005,$C431,$D$6:$D$3005,$D431)&gt;1,"同じ月の請求が重複しています／",""),"")&amp;IF(AND(N($E431)&gt;0,$AB431&lt;&gt;"",$AB431&lt;&gt;"×",$AE431=0,$AD431=""),"計算額が下限以下のため不支給／",""))</f>
        <v/>
      </c>
      <c r="AN431" s="12" t="n"/>
      <c r="AO431" s="14">
        <f>IF($AF431="保留中",COUNTIF($AF$6:$AF431,"保留中"),"")</f>
        <v/>
      </c>
      <c r="AP431" s="14">
        <f>IF($AQ431="","",IF(SUMPRODUCT(MAX((職員マスタ!$A$6:$A$405=$B431)*(((職員マスタ!$G$6:$G$405="")+(職員マスタ!$G$6:$G$405&lt;=EOMONTH($AQ431,0)))&gt;0)*(((職員マスタ!$H$6:$H$405="")+(職員マスタ!$H$6:$H$405&gt;=$AQ431))&gt;0)*(ROW(職員マスタ!$A$6:$A$405)-5)))&gt;0,SUMPRODUCT(MAX((職員マスタ!$A$6:$A$405=$B431)*(((職員マスタ!$G$6:$G$405="")+(職員マスタ!$G$6:$G$405&lt;=EOMONTH($AQ431,0)))&gt;0)*(((職員マスタ!$H$6:$H$405="")+(職員マスタ!$H$6:$H$405&gt;=$AQ431))&gt;0)*(ROW(職員マスタ!$A$6:$A$405)-5))),IFERROR(MATCH($B431,職員マスタ!$A$6:$A$405,0),"")))</f>
        <v/>
      </c>
      <c r="AQ431" s="16">
        <f>IF(OR($B431="",$C431="",$D431=""),"",DATE($C431+2018,$D431,1))</f>
        <v/>
      </c>
    </row>
    <row r="432">
      <c r="A432" s="11" t="n"/>
      <c r="B432" s="12" t="n">
        <v>6903033</v>
      </c>
      <c r="C432" s="12" t="n">
        <v>7</v>
      </c>
      <c r="D432" s="12" t="n">
        <v>8</v>
      </c>
      <c r="E432" s="13" t="n">
        <v>255043</v>
      </c>
      <c r="F432" s="12" t="n"/>
      <c r="G432" s="13" t="n"/>
      <c r="H432" s="12" t="n"/>
      <c r="I432" s="12" t="n"/>
      <c r="J432" s="12" t="n"/>
      <c r="K432" s="12" t="n"/>
      <c r="L432" s="11" t="n"/>
      <c r="M432" s="11" t="n"/>
      <c r="N432" s="11" t="n"/>
      <c r="O432" s="11" t="n"/>
      <c r="P432" s="12" t="n"/>
      <c r="Q432" s="11" t="n"/>
      <c r="R432" s="12" t="n"/>
      <c r="S432" s="11" t="n"/>
      <c r="T432" s="12" t="n"/>
      <c r="U432" s="12" t="n"/>
      <c r="V432" s="12" t="n"/>
      <c r="W432" s="13" t="n"/>
      <c r="X432" s="14">
        <f>IF($AP432="",IF($B432="","",$H432),IF(INDEX(職員マスタ!$B$6:$B$405,$AP432)="",$H432,INDEX(職員マスタ!$B$6:$B$405,$AP432)))</f>
        <v/>
      </c>
      <c r="Y432" s="14">
        <f>IF($AP432="",IF($B432="","",$R432),IF(INDEX(職員マスタ!$C$6:$C$405,$AP432)="",$R432,INDEX(職員マスタ!$C$6:$C$405,$AP432)))</f>
        <v/>
      </c>
      <c r="Z432" s="14">
        <f>IF($AQ432="","","R"&amp;$C432&amp;"."&amp;$D432)</f>
        <v/>
      </c>
      <c r="AA432" s="15">
        <f>IF(IF($AP432="",FALSE,INDEX(職員マスタ!$K$6:$K$405,$AP432)&lt;&gt;""),INDEX(職員マスタ!$K$6:$K$405,$AP432),IF(N($W432)&gt;0,$W432,""))</f>
        <v/>
      </c>
      <c r="AB432" s="14">
        <f>IF(OR($E432="",$AA432=""),"",IF($E432&gt;=$AA432,"×",IF($E432&gt;=$AA432*設定!$C$5,"△","○")))</f>
        <v/>
      </c>
      <c r="AC432" s="15">
        <f>IF($AB432="","",IF($AB432="×",0,IF($AB432="○",ROUNDDOWN($E432*設定!$C$4,0),ROUNDDOWN($E432*ROUND((9*$AA432-9*$E432)/(10*$E432),4),0))))</f>
        <v/>
      </c>
      <c r="AD432" s="13" t="n"/>
      <c r="AE432" s="15">
        <f>IF($B432="","",IF($AD432&lt;&gt;"",$AD432,IF($AC432="","",IF($AC432&lt;=設定!$C$3,0,$AC432))))</f>
        <v/>
      </c>
      <c r="AF432" s="14">
        <f>IF($B432="","",IF(AND($AG432&lt;&gt;"",$AI432="",$AL432=""),"保留中",IF($AL432&lt;&gt;"",IF(N($AE432)&gt;0,"支給済","不支給"),IF($AE432="","要確認",IF($AE432=0,"不支給","未処理")))))</f>
        <v/>
      </c>
      <c r="AG432" s="12" t="n"/>
      <c r="AH432" s="11" t="n"/>
      <c r="AI432" s="11" t="n"/>
      <c r="AJ432" s="11" t="n"/>
      <c r="AK432" s="14">
        <f>IF(AND($AF432="保留中",$AH432&lt;&gt;""),TODAY()-$AH432,"")</f>
        <v/>
      </c>
      <c r="AL432" s="12" t="inlineStr">
        <is>
          <t>R8.6</t>
        </is>
      </c>
      <c r="AM432" s="14">
        <f>IF($B432="","",IF($AQ432="","対象年月が未入力／","")&amp;IF($B432="","",IF($AP432="","職員マスタに未登録の職員番号／",IF($AA432="","標準報酬月額が未登録／","")&amp;IF(AND($AQ432&lt;&gt;"",OR(AND(INDEX(職員マスタ!$G$6:$G$405,$AP432)&lt;&gt;"",INDEX(職員マスタ!$G$6:$G$405,$AP432)&gt;EOMONTH($AQ432,0)),AND(INDEX(職員マスタ!$H$6:$H$405,$AP432)&lt;&gt;"",INDEX(職員マスタ!$H$6:$H$405,$AP432)&lt;$AQ432))),"対象月が時短期間外／","")&amp;IF(AND(INDEX(職員マスタ!$K$6:$K$405,$AP432)&lt;&gt;"",N($W432)&gt;0,INDEX(職員マスタ!$K$6:$K$405,$AP432)&lt;&gt;$W432),"標準報酬月額が申請書と相違（台帳"&amp;TEXT(INDEX(職員マスタ!$K$6:$K$405,$AP432),"#,##0")&amp;"円／申請書"&amp;TEXT($W432,"#,##0")&amp;"円）／","")&amp;IF(AND(INDEX(職員マスタ!$F$6:$F$405,$AP432)&lt;&gt;"",$AQ432&lt;&gt;"",INDEX(職員マスタ!$F$6:$F$405,$AP432)&lt;$AQ432),"対象月に子が2歳到達済／","")&amp;IF(AND($H432&lt;&gt;"",INDEX(職員マスタ!$B$6:$B$405,$AP432)&lt;&gt;"",SUBSTITUTE(SUBSTITUTE($H432," ","")," ","")&lt;&gt;SUBSTITUTE(SUBSTITUTE(INDEX(職員マスタ!$B$6:$B$405,$AP432)," ","")," ","")),"氏名がマスタと相違／","")&amp;IF(AND($Q432&lt;&gt;"",INDEX(職員マスタ!$E$6:$E$405,$AP432)&lt;&gt;"",$Q432&lt;&gt;INDEX(職員マスタ!$E$6:$E$405,$AP432)),"子の生年月日がマスタと相違／","")&amp;IF(AND($L432&lt;&gt;"",INDEX(職員マスタ!$G$6:$G$405,$AP432)&lt;&gt;"",$L432&lt;&gt;INDEX(職員マスタ!$G$6:$G$405,$AP432)),"時短開始日がマスタと相違／","")&amp;IF(AND($M432&lt;&gt;"",INDEX(職員マスタ!$H$6:$H$405,$AP432)&lt;&gt;"",$M432&lt;&gt;INDEX(職員マスタ!$H$6:$H$405,$AP432)),"時短終了日がマスタと相違／","")))&amp;IF(AND($B432&lt;&gt;"",$E432=""),"報酬額が未入力／","")&amp;IF(N($U432)&gt;0,"申請書に入力エラーが残っています／","")&amp;IF(AND($B432&lt;&gt;"",$AQ432&lt;&gt;""),IF(COUNTIFS($B$6:$B$3005,$B432,$C$6:$C$3005,$C432,$D$6:$D$3005,$D432)&gt;1,"同じ月の請求が重複しています／",""),"")&amp;IF(AND(N($E432)&gt;0,$AB432&lt;&gt;"",$AB432&lt;&gt;"×",$AE432=0,$AD432=""),"計算額が下限以下のため不支給／",""))</f>
        <v/>
      </c>
      <c r="AN432" s="12" t="n"/>
      <c r="AO432" s="14">
        <f>IF($AF432="保留中",COUNTIF($AF$6:$AF432,"保留中"),"")</f>
        <v/>
      </c>
      <c r="AP432" s="14">
        <f>IF($AQ432="","",IF(SUMPRODUCT(MAX((職員マスタ!$A$6:$A$405=$B432)*(((職員マスタ!$G$6:$G$405="")+(職員マスタ!$G$6:$G$405&lt;=EOMONTH($AQ432,0)))&gt;0)*(((職員マスタ!$H$6:$H$405="")+(職員マスタ!$H$6:$H$405&gt;=$AQ432))&gt;0)*(ROW(職員マスタ!$A$6:$A$405)-5)))&gt;0,SUMPRODUCT(MAX((職員マスタ!$A$6:$A$405=$B432)*(((職員マスタ!$G$6:$G$405="")+(職員マスタ!$G$6:$G$405&lt;=EOMONTH($AQ432,0)))&gt;0)*(((職員マスタ!$H$6:$H$405="")+(職員マスタ!$H$6:$H$405&gt;=$AQ432))&gt;0)*(ROW(職員マスタ!$A$6:$A$405)-5))),IFERROR(MATCH($B432,職員マスタ!$A$6:$A$405,0),"")))</f>
        <v/>
      </c>
      <c r="AQ432" s="16">
        <f>IF(OR($B432="",$C432="",$D432=""),"",DATE($C432+2018,$D432,1))</f>
        <v/>
      </c>
    </row>
    <row r="433">
      <c r="A433" s="11" t="n"/>
      <c r="B433" s="12" t="n">
        <v>6903033</v>
      </c>
      <c r="C433" s="12" t="n">
        <v>7</v>
      </c>
      <c r="D433" s="12" t="n">
        <v>9</v>
      </c>
      <c r="E433" s="13" t="n">
        <v>256800</v>
      </c>
      <c r="F433" s="12" t="n"/>
      <c r="G433" s="13" t="n"/>
      <c r="H433" s="12" t="n"/>
      <c r="I433" s="12" t="n"/>
      <c r="J433" s="12" t="n"/>
      <c r="K433" s="12" t="n"/>
      <c r="L433" s="11" t="n"/>
      <c r="M433" s="11" t="n"/>
      <c r="N433" s="11" t="n"/>
      <c r="O433" s="11" t="n"/>
      <c r="P433" s="12" t="n"/>
      <c r="Q433" s="11" t="n"/>
      <c r="R433" s="12" t="n"/>
      <c r="S433" s="11" t="n"/>
      <c r="T433" s="12" t="n"/>
      <c r="U433" s="12" t="n"/>
      <c r="V433" s="12" t="n"/>
      <c r="W433" s="13" t="n"/>
      <c r="X433" s="14">
        <f>IF($AP433="",IF($B433="","",$H433),IF(INDEX(職員マスタ!$B$6:$B$405,$AP433)="",$H433,INDEX(職員マスタ!$B$6:$B$405,$AP433)))</f>
        <v/>
      </c>
      <c r="Y433" s="14">
        <f>IF($AP433="",IF($B433="","",$R433),IF(INDEX(職員マスタ!$C$6:$C$405,$AP433)="",$R433,INDEX(職員マスタ!$C$6:$C$405,$AP433)))</f>
        <v/>
      </c>
      <c r="Z433" s="14">
        <f>IF($AQ433="","","R"&amp;$C433&amp;"."&amp;$D433)</f>
        <v/>
      </c>
      <c r="AA433" s="15">
        <f>IF(IF($AP433="",FALSE,INDEX(職員マスタ!$K$6:$K$405,$AP433)&lt;&gt;""),INDEX(職員マスタ!$K$6:$K$405,$AP433),IF(N($W433)&gt;0,$W433,""))</f>
        <v/>
      </c>
      <c r="AB433" s="14">
        <f>IF(OR($E433="",$AA433=""),"",IF($E433&gt;=$AA433,"×",IF($E433&gt;=$AA433*設定!$C$5,"△","○")))</f>
        <v/>
      </c>
      <c r="AC433" s="15">
        <f>IF($AB433="","",IF($AB433="×",0,IF($AB433="○",ROUNDDOWN($E433*設定!$C$4,0),ROUNDDOWN($E433*ROUND((9*$AA433-9*$E433)/(10*$E433),4),0))))</f>
        <v/>
      </c>
      <c r="AD433" s="13" t="n"/>
      <c r="AE433" s="15">
        <f>IF($B433="","",IF($AD433&lt;&gt;"",$AD433,IF($AC433="","",IF($AC433&lt;=設定!$C$3,0,$AC433))))</f>
        <v/>
      </c>
      <c r="AF433" s="14">
        <f>IF($B433="","",IF(AND($AG433&lt;&gt;"",$AI433="",$AL433=""),"保留中",IF($AL433&lt;&gt;"",IF(N($AE433)&gt;0,"支給済","不支給"),IF($AE433="","要確認",IF($AE433=0,"不支給","未処理")))))</f>
        <v/>
      </c>
      <c r="AG433" s="12" t="n"/>
      <c r="AH433" s="11" t="n"/>
      <c r="AI433" s="11" t="n"/>
      <c r="AJ433" s="11" t="n"/>
      <c r="AK433" s="14">
        <f>IF(AND($AF433="保留中",$AH433&lt;&gt;""),TODAY()-$AH433,"")</f>
        <v/>
      </c>
      <c r="AL433" s="12" t="inlineStr">
        <is>
          <t>R8.6</t>
        </is>
      </c>
      <c r="AM433" s="14">
        <f>IF($B433="","",IF($AQ433="","対象年月が未入力／","")&amp;IF($B433="","",IF($AP433="","職員マスタに未登録の職員番号／",IF($AA433="","標準報酬月額が未登録／","")&amp;IF(AND($AQ433&lt;&gt;"",OR(AND(INDEX(職員マスタ!$G$6:$G$405,$AP433)&lt;&gt;"",INDEX(職員マスタ!$G$6:$G$405,$AP433)&gt;EOMONTH($AQ433,0)),AND(INDEX(職員マスタ!$H$6:$H$405,$AP433)&lt;&gt;"",INDEX(職員マスタ!$H$6:$H$405,$AP433)&lt;$AQ433))),"対象月が時短期間外／","")&amp;IF(AND(INDEX(職員マスタ!$K$6:$K$405,$AP433)&lt;&gt;"",N($W433)&gt;0,INDEX(職員マスタ!$K$6:$K$405,$AP433)&lt;&gt;$W433),"標準報酬月額が申請書と相違（台帳"&amp;TEXT(INDEX(職員マスタ!$K$6:$K$405,$AP433),"#,##0")&amp;"円／申請書"&amp;TEXT($W433,"#,##0")&amp;"円）／","")&amp;IF(AND(INDEX(職員マスタ!$F$6:$F$405,$AP433)&lt;&gt;"",$AQ433&lt;&gt;"",INDEX(職員マスタ!$F$6:$F$405,$AP433)&lt;$AQ433),"対象月に子が2歳到達済／","")&amp;IF(AND($H433&lt;&gt;"",INDEX(職員マスタ!$B$6:$B$405,$AP433)&lt;&gt;"",SUBSTITUTE(SUBSTITUTE($H433," ","")," ","")&lt;&gt;SUBSTITUTE(SUBSTITUTE(INDEX(職員マスタ!$B$6:$B$405,$AP433)," ","")," ","")),"氏名がマスタと相違／","")&amp;IF(AND($Q433&lt;&gt;"",INDEX(職員マスタ!$E$6:$E$405,$AP433)&lt;&gt;"",$Q433&lt;&gt;INDEX(職員マスタ!$E$6:$E$405,$AP433)),"子の生年月日がマスタと相違／","")&amp;IF(AND($L433&lt;&gt;"",INDEX(職員マスタ!$G$6:$G$405,$AP433)&lt;&gt;"",$L433&lt;&gt;INDEX(職員マスタ!$G$6:$G$405,$AP433)),"時短開始日がマスタと相違／","")&amp;IF(AND($M433&lt;&gt;"",INDEX(職員マスタ!$H$6:$H$405,$AP433)&lt;&gt;"",$M433&lt;&gt;INDEX(職員マスタ!$H$6:$H$405,$AP433)),"時短終了日がマスタと相違／","")))&amp;IF(AND($B433&lt;&gt;"",$E433=""),"報酬額が未入力／","")&amp;IF(N($U433)&gt;0,"申請書に入力エラーが残っています／","")&amp;IF(AND($B433&lt;&gt;"",$AQ433&lt;&gt;""),IF(COUNTIFS($B$6:$B$3005,$B433,$C$6:$C$3005,$C433,$D$6:$D$3005,$D433)&gt;1,"同じ月の請求が重複しています／",""),"")&amp;IF(AND(N($E433)&gt;0,$AB433&lt;&gt;"",$AB433&lt;&gt;"×",$AE433=0,$AD433=""),"計算額が下限以下のため不支給／",""))</f>
        <v/>
      </c>
      <c r="AN433" s="12" t="n"/>
      <c r="AO433" s="14">
        <f>IF($AF433="保留中",COUNTIF($AF$6:$AF433,"保留中"),"")</f>
        <v/>
      </c>
      <c r="AP433" s="14">
        <f>IF($AQ433="","",IF(SUMPRODUCT(MAX((職員マスタ!$A$6:$A$405=$B433)*(((職員マスタ!$G$6:$G$405="")+(職員マスタ!$G$6:$G$405&lt;=EOMONTH($AQ433,0)))&gt;0)*(((職員マスタ!$H$6:$H$405="")+(職員マスタ!$H$6:$H$405&gt;=$AQ433))&gt;0)*(ROW(職員マスタ!$A$6:$A$405)-5)))&gt;0,SUMPRODUCT(MAX((職員マスタ!$A$6:$A$405=$B433)*(((職員マスタ!$G$6:$G$405="")+(職員マスタ!$G$6:$G$405&lt;=EOMONTH($AQ433,0)))&gt;0)*(((職員マスタ!$H$6:$H$405="")+(職員マスタ!$H$6:$H$405&gt;=$AQ433))&gt;0)*(ROW(職員マスタ!$A$6:$A$405)-5))),IFERROR(MATCH($B433,職員マスタ!$A$6:$A$405,0),"")))</f>
        <v/>
      </c>
      <c r="AQ433" s="16">
        <f>IF(OR($B433="",$C433="",$D433=""),"",DATE($C433+2018,$D433,1))</f>
        <v/>
      </c>
    </row>
    <row r="434">
      <c r="A434" s="11" t="n"/>
      <c r="B434" s="12" t="n">
        <v>6904581</v>
      </c>
      <c r="C434" s="12" t="n">
        <v>7</v>
      </c>
      <c r="D434" s="12" t="n">
        <v>5</v>
      </c>
      <c r="E434" s="13" t="n">
        <v>191450</v>
      </c>
      <c r="F434" s="12" t="n"/>
      <c r="G434" s="13" t="n"/>
      <c r="H434" s="12" t="n"/>
      <c r="I434" s="12" t="n"/>
      <c r="J434" s="12" t="n"/>
      <c r="K434" s="12" t="n"/>
      <c r="L434" s="11" t="n"/>
      <c r="M434" s="11" t="n"/>
      <c r="N434" s="11" t="n"/>
      <c r="O434" s="11" t="n"/>
      <c r="P434" s="12" t="n"/>
      <c r="Q434" s="11" t="n"/>
      <c r="R434" s="12" t="n"/>
      <c r="S434" s="11" t="n"/>
      <c r="T434" s="12" t="n"/>
      <c r="U434" s="12" t="n"/>
      <c r="V434" s="12" t="n"/>
      <c r="W434" s="13" t="n"/>
      <c r="X434" s="14">
        <f>IF($AP434="",IF($B434="","",$H434),IF(INDEX(職員マスタ!$B$6:$B$405,$AP434)="",$H434,INDEX(職員マスタ!$B$6:$B$405,$AP434)))</f>
        <v/>
      </c>
      <c r="Y434" s="14">
        <f>IF($AP434="",IF($B434="","",$R434),IF(INDEX(職員マスタ!$C$6:$C$405,$AP434)="",$R434,INDEX(職員マスタ!$C$6:$C$405,$AP434)))</f>
        <v/>
      </c>
      <c r="Z434" s="14">
        <f>IF($AQ434="","","R"&amp;$C434&amp;"."&amp;$D434)</f>
        <v/>
      </c>
      <c r="AA434" s="15">
        <f>IF(IF($AP434="",FALSE,INDEX(職員マスタ!$K$6:$K$405,$AP434)&lt;&gt;""),INDEX(職員マスタ!$K$6:$K$405,$AP434),IF(N($W434)&gt;0,$W434,""))</f>
        <v/>
      </c>
      <c r="AB434" s="14">
        <f>IF(OR($E434="",$AA434=""),"",IF($E434&gt;=$AA434,"×",IF($E434&gt;=$AA434*設定!$C$5,"△","○")))</f>
        <v/>
      </c>
      <c r="AC434" s="15">
        <f>IF($AB434="","",IF($AB434="×",0,IF($AB434="○",ROUNDDOWN($E434*設定!$C$4,0),ROUNDDOWN($E434*ROUND((9*$AA434-9*$E434)/(10*$E434),4),0))))</f>
        <v/>
      </c>
      <c r="AD434" s="13" t="n"/>
      <c r="AE434" s="15">
        <f>IF($B434="","",IF($AD434&lt;&gt;"",$AD434,IF($AC434="","",IF($AC434&lt;=設定!$C$3,0,$AC434))))</f>
        <v/>
      </c>
      <c r="AF434" s="14">
        <f>IF($B434="","",IF(AND($AG434&lt;&gt;"",$AI434="",$AL434=""),"保留中",IF($AL434&lt;&gt;"",IF(N($AE434)&gt;0,"支給済","不支給"),IF($AE434="","要確認",IF($AE434=0,"不支給","未処理")))))</f>
        <v/>
      </c>
      <c r="AG434" s="12" t="n"/>
      <c r="AH434" s="11" t="n"/>
      <c r="AI434" s="11" t="n"/>
      <c r="AJ434" s="11" t="n"/>
      <c r="AK434" s="14">
        <f>IF(AND($AF434="保留中",$AH434&lt;&gt;""),TODAY()-$AH434,"")</f>
        <v/>
      </c>
      <c r="AL434" s="12" t="inlineStr">
        <is>
          <t>R7.8</t>
        </is>
      </c>
      <c r="AM434" s="14">
        <f>IF($B434="","",IF($AQ434="","対象年月が未入力／","")&amp;IF($B434="","",IF($AP434="","職員マスタに未登録の職員番号／",IF($AA434="","標準報酬月額が未登録／","")&amp;IF(AND($AQ434&lt;&gt;"",OR(AND(INDEX(職員マスタ!$G$6:$G$405,$AP434)&lt;&gt;"",INDEX(職員マスタ!$G$6:$G$405,$AP434)&gt;EOMONTH($AQ434,0)),AND(INDEX(職員マスタ!$H$6:$H$405,$AP434)&lt;&gt;"",INDEX(職員マスタ!$H$6:$H$405,$AP434)&lt;$AQ434))),"対象月が時短期間外／","")&amp;IF(AND(INDEX(職員マスタ!$K$6:$K$405,$AP434)&lt;&gt;"",N($W434)&gt;0,INDEX(職員マスタ!$K$6:$K$405,$AP434)&lt;&gt;$W434),"標準報酬月額が申請書と相違（台帳"&amp;TEXT(INDEX(職員マスタ!$K$6:$K$405,$AP434),"#,##0")&amp;"円／申請書"&amp;TEXT($W434,"#,##0")&amp;"円）／","")&amp;IF(AND(INDEX(職員マスタ!$F$6:$F$405,$AP434)&lt;&gt;"",$AQ434&lt;&gt;"",INDEX(職員マスタ!$F$6:$F$405,$AP434)&lt;$AQ434),"対象月に子が2歳到達済／","")&amp;IF(AND($H434&lt;&gt;"",INDEX(職員マスタ!$B$6:$B$405,$AP434)&lt;&gt;"",SUBSTITUTE(SUBSTITUTE($H434," ","")," ","")&lt;&gt;SUBSTITUTE(SUBSTITUTE(INDEX(職員マスタ!$B$6:$B$405,$AP434)," ","")," ","")),"氏名がマスタと相違／","")&amp;IF(AND($Q434&lt;&gt;"",INDEX(職員マスタ!$E$6:$E$405,$AP434)&lt;&gt;"",$Q434&lt;&gt;INDEX(職員マスタ!$E$6:$E$405,$AP434)),"子の生年月日がマスタと相違／","")&amp;IF(AND($L434&lt;&gt;"",INDEX(職員マスタ!$G$6:$G$405,$AP434)&lt;&gt;"",$L434&lt;&gt;INDEX(職員マスタ!$G$6:$G$405,$AP434)),"時短開始日がマスタと相違／","")&amp;IF(AND($M434&lt;&gt;"",INDEX(職員マスタ!$H$6:$H$405,$AP434)&lt;&gt;"",$M434&lt;&gt;INDEX(職員マスタ!$H$6:$H$405,$AP434)),"時短終了日がマスタと相違／","")))&amp;IF(AND($B434&lt;&gt;"",$E434=""),"報酬額が未入力／","")&amp;IF(N($U434)&gt;0,"申請書に入力エラーが残っています／","")&amp;IF(AND($B434&lt;&gt;"",$AQ434&lt;&gt;""),IF(COUNTIFS($B$6:$B$3005,$B434,$C$6:$C$3005,$C434,$D$6:$D$3005,$D434)&gt;1,"同じ月の請求が重複しています／",""),"")&amp;IF(AND(N($E434)&gt;0,$AB434&lt;&gt;"",$AB434&lt;&gt;"×",$AE434=0,$AD434=""),"計算額が下限以下のため不支給／",""))</f>
        <v/>
      </c>
      <c r="AN434" s="12" t="n"/>
      <c r="AO434" s="14">
        <f>IF($AF434="保留中",COUNTIF($AF$6:$AF434,"保留中"),"")</f>
        <v/>
      </c>
      <c r="AP434" s="14">
        <f>IF($AQ434="","",IF(SUMPRODUCT(MAX((職員マスタ!$A$6:$A$405=$B434)*(((職員マスタ!$G$6:$G$405="")+(職員マスタ!$G$6:$G$405&lt;=EOMONTH($AQ434,0)))&gt;0)*(((職員マスタ!$H$6:$H$405="")+(職員マスタ!$H$6:$H$405&gt;=$AQ434))&gt;0)*(ROW(職員マスタ!$A$6:$A$405)-5)))&gt;0,SUMPRODUCT(MAX((職員マスタ!$A$6:$A$405=$B434)*(((職員マスタ!$G$6:$G$405="")+(職員マスタ!$G$6:$G$405&lt;=EOMONTH($AQ434,0)))&gt;0)*(((職員マスタ!$H$6:$H$405="")+(職員マスタ!$H$6:$H$405&gt;=$AQ434))&gt;0)*(ROW(職員マスタ!$A$6:$A$405)-5))),IFERROR(MATCH($B434,職員マスタ!$A$6:$A$405,0),"")))</f>
        <v/>
      </c>
      <c r="AQ434" s="16">
        <f>IF(OR($B434="",$C434="",$D434=""),"",DATE($C434+2018,$D434,1))</f>
        <v/>
      </c>
    </row>
    <row r="435">
      <c r="A435" s="11" t="n"/>
      <c r="B435" s="12" t="n">
        <v>6904581</v>
      </c>
      <c r="C435" s="12" t="n">
        <v>7</v>
      </c>
      <c r="D435" s="12" t="n">
        <v>6</v>
      </c>
      <c r="E435" s="13" t="n">
        <v>191897</v>
      </c>
      <c r="F435" s="12" t="n"/>
      <c r="G435" s="13" t="n"/>
      <c r="H435" s="12" t="n"/>
      <c r="I435" s="12" t="n"/>
      <c r="J435" s="12" t="n"/>
      <c r="K435" s="12" t="n"/>
      <c r="L435" s="11" t="n"/>
      <c r="M435" s="11" t="n"/>
      <c r="N435" s="11" t="n"/>
      <c r="O435" s="11" t="n"/>
      <c r="P435" s="12" t="n"/>
      <c r="Q435" s="11" t="n"/>
      <c r="R435" s="12" t="n"/>
      <c r="S435" s="11" t="n"/>
      <c r="T435" s="12" t="n"/>
      <c r="U435" s="12" t="n"/>
      <c r="V435" s="12" t="n"/>
      <c r="W435" s="13" t="n"/>
      <c r="X435" s="14">
        <f>IF($AP435="",IF($B435="","",$H435),IF(INDEX(職員マスタ!$B$6:$B$405,$AP435)="",$H435,INDEX(職員マスタ!$B$6:$B$405,$AP435)))</f>
        <v/>
      </c>
      <c r="Y435" s="14">
        <f>IF($AP435="",IF($B435="","",$R435),IF(INDEX(職員マスタ!$C$6:$C$405,$AP435)="",$R435,INDEX(職員マスタ!$C$6:$C$405,$AP435)))</f>
        <v/>
      </c>
      <c r="Z435" s="14">
        <f>IF($AQ435="","","R"&amp;$C435&amp;"."&amp;$D435)</f>
        <v/>
      </c>
      <c r="AA435" s="15">
        <f>IF(IF($AP435="",FALSE,INDEX(職員マスタ!$K$6:$K$405,$AP435)&lt;&gt;""),INDEX(職員マスタ!$K$6:$K$405,$AP435),IF(N($W435)&gt;0,$W435,""))</f>
        <v/>
      </c>
      <c r="AB435" s="14">
        <f>IF(OR($E435="",$AA435=""),"",IF($E435&gt;=$AA435,"×",IF($E435&gt;=$AA435*設定!$C$5,"△","○")))</f>
        <v/>
      </c>
      <c r="AC435" s="15">
        <f>IF($AB435="","",IF($AB435="×",0,IF($AB435="○",ROUNDDOWN($E435*設定!$C$4,0),ROUNDDOWN($E435*ROUND((9*$AA435-9*$E435)/(10*$E435),4),0))))</f>
        <v/>
      </c>
      <c r="AD435" s="13" t="n"/>
      <c r="AE435" s="15">
        <f>IF($B435="","",IF($AD435&lt;&gt;"",$AD435,IF($AC435="","",IF($AC435&lt;=設定!$C$3,0,$AC435))))</f>
        <v/>
      </c>
      <c r="AF435" s="14">
        <f>IF($B435="","",IF(AND($AG435&lt;&gt;"",$AI435="",$AL435=""),"保留中",IF($AL435&lt;&gt;"",IF(N($AE435)&gt;0,"支給済","不支給"),IF($AE435="","要確認",IF($AE435=0,"不支給","未処理")))))</f>
        <v/>
      </c>
      <c r="AG435" s="12" t="n"/>
      <c r="AH435" s="11" t="n"/>
      <c r="AI435" s="11" t="n"/>
      <c r="AJ435" s="11" t="n"/>
      <c r="AK435" s="14">
        <f>IF(AND($AF435="保留中",$AH435&lt;&gt;""),TODAY()-$AH435,"")</f>
        <v/>
      </c>
      <c r="AL435" s="12" t="inlineStr">
        <is>
          <t>R7.8</t>
        </is>
      </c>
      <c r="AM435" s="14">
        <f>IF($B435="","",IF($AQ435="","対象年月が未入力／","")&amp;IF($B435="","",IF($AP435="","職員マスタに未登録の職員番号／",IF($AA435="","標準報酬月額が未登録／","")&amp;IF(AND($AQ435&lt;&gt;"",OR(AND(INDEX(職員マスタ!$G$6:$G$405,$AP435)&lt;&gt;"",INDEX(職員マスタ!$G$6:$G$405,$AP435)&gt;EOMONTH($AQ435,0)),AND(INDEX(職員マスタ!$H$6:$H$405,$AP435)&lt;&gt;"",INDEX(職員マスタ!$H$6:$H$405,$AP435)&lt;$AQ435))),"対象月が時短期間外／","")&amp;IF(AND(INDEX(職員マスタ!$K$6:$K$405,$AP435)&lt;&gt;"",N($W435)&gt;0,INDEX(職員マスタ!$K$6:$K$405,$AP435)&lt;&gt;$W435),"標準報酬月額が申請書と相違（台帳"&amp;TEXT(INDEX(職員マスタ!$K$6:$K$405,$AP435),"#,##0")&amp;"円／申請書"&amp;TEXT($W435,"#,##0")&amp;"円）／","")&amp;IF(AND(INDEX(職員マスタ!$F$6:$F$405,$AP435)&lt;&gt;"",$AQ435&lt;&gt;"",INDEX(職員マスタ!$F$6:$F$405,$AP435)&lt;$AQ435),"対象月に子が2歳到達済／","")&amp;IF(AND($H435&lt;&gt;"",INDEX(職員マスタ!$B$6:$B$405,$AP435)&lt;&gt;"",SUBSTITUTE(SUBSTITUTE($H435," ","")," ","")&lt;&gt;SUBSTITUTE(SUBSTITUTE(INDEX(職員マスタ!$B$6:$B$405,$AP435)," ","")," ","")),"氏名がマスタと相違／","")&amp;IF(AND($Q435&lt;&gt;"",INDEX(職員マスタ!$E$6:$E$405,$AP435)&lt;&gt;"",$Q435&lt;&gt;INDEX(職員マスタ!$E$6:$E$405,$AP435)),"子の生年月日がマスタと相違／","")&amp;IF(AND($L435&lt;&gt;"",INDEX(職員マスタ!$G$6:$G$405,$AP435)&lt;&gt;"",$L435&lt;&gt;INDEX(職員マスタ!$G$6:$G$405,$AP435)),"時短開始日がマスタと相違／","")&amp;IF(AND($M435&lt;&gt;"",INDEX(職員マスタ!$H$6:$H$405,$AP435)&lt;&gt;"",$M435&lt;&gt;INDEX(職員マスタ!$H$6:$H$405,$AP435)),"時短終了日がマスタと相違／","")))&amp;IF(AND($B435&lt;&gt;"",$E435=""),"報酬額が未入力／","")&amp;IF(N($U435)&gt;0,"申請書に入力エラーが残っています／","")&amp;IF(AND($B435&lt;&gt;"",$AQ435&lt;&gt;""),IF(COUNTIFS($B$6:$B$3005,$B435,$C$6:$C$3005,$C435,$D$6:$D$3005,$D435)&gt;1,"同じ月の請求が重複しています／",""),"")&amp;IF(AND(N($E435)&gt;0,$AB435&lt;&gt;"",$AB435&lt;&gt;"×",$AE435=0,$AD435=""),"計算額が下限以下のため不支給／",""))</f>
        <v/>
      </c>
      <c r="AN435" s="12" t="n"/>
      <c r="AO435" s="14">
        <f>IF($AF435="保留中",COUNTIF($AF$6:$AF435,"保留中"),"")</f>
        <v/>
      </c>
      <c r="AP435" s="14">
        <f>IF($AQ435="","",IF(SUMPRODUCT(MAX((職員マスタ!$A$6:$A$405=$B435)*(((職員マスタ!$G$6:$G$405="")+(職員マスタ!$G$6:$G$405&lt;=EOMONTH($AQ435,0)))&gt;0)*(((職員マスタ!$H$6:$H$405="")+(職員マスタ!$H$6:$H$405&gt;=$AQ435))&gt;0)*(ROW(職員マスタ!$A$6:$A$405)-5)))&gt;0,SUMPRODUCT(MAX((職員マスタ!$A$6:$A$405=$B435)*(((職員マスタ!$G$6:$G$405="")+(職員マスタ!$G$6:$G$405&lt;=EOMONTH($AQ435,0)))&gt;0)*(((職員マスタ!$H$6:$H$405="")+(職員マスタ!$H$6:$H$405&gt;=$AQ435))&gt;0)*(ROW(職員マスタ!$A$6:$A$405)-5))),IFERROR(MATCH($B435,職員マスタ!$A$6:$A$405,0),"")))</f>
        <v/>
      </c>
      <c r="AQ435" s="16">
        <f>IF(OR($B435="",$C435="",$D435=""),"",DATE($C435+2018,$D435,1))</f>
        <v/>
      </c>
    </row>
    <row r="436">
      <c r="A436" s="11" t="n"/>
      <c r="B436" s="12" t="n">
        <v>6904581</v>
      </c>
      <c r="C436" s="12" t="n">
        <v>7</v>
      </c>
      <c r="D436" s="12" t="n">
        <v>7</v>
      </c>
      <c r="E436" s="13" t="n">
        <v>299638</v>
      </c>
      <c r="F436" s="12" t="n"/>
      <c r="G436" s="13" t="n"/>
      <c r="H436" s="12" t="n"/>
      <c r="I436" s="12" t="n"/>
      <c r="J436" s="12" t="n"/>
      <c r="K436" s="12" t="n"/>
      <c r="L436" s="11" t="n"/>
      <c r="M436" s="11" t="n"/>
      <c r="N436" s="11" t="n"/>
      <c r="O436" s="11" t="n"/>
      <c r="P436" s="12" t="n"/>
      <c r="Q436" s="11" t="n"/>
      <c r="R436" s="12" t="n"/>
      <c r="S436" s="11" t="n"/>
      <c r="T436" s="12" t="n"/>
      <c r="U436" s="12" t="n"/>
      <c r="V436" s="12" t="n"/>
      <c r="W436" s="13" t="n"/>
      <c r="X436" s="14">
        <f>IF($AP436="",IF($B436="","",$H436),IF(INDEX(職員マスタ!$B$6:$B$405,$AP436)="",$H436,INDEX(職員マスタ!$B$6:$B$405,$AP436)))</f>
        <v/>
      </c>
      <c r="Y436" s="14">
        <f>IF($AP436="",IF($B436="","",$R436),IF(INDEX(職員マスタ!$C$6:$C$405,$AP436)="",$R436,INDEX(職員マスタ!$C$6:$C$405,$AP436)))</f>
        <v/>
      </c>
      <c r="Z436" s="14">
        <f>IF($AQ436="","","R"&amp;$C436&amp;"."&amp;$D436)</f>
        <v/>
      </c>
      <c r="AA436" s="15">
        <f>IF(IF($AP436="",FALSE,INDEX(職員マスタ!$K$6:$K$405,$AP436)&lt;&gt;""),INDEX(職員マスタ!$K$6:$K$405,$AP436),IF(N($W436)&gt;0,$W436,""))</f>
        <v/>
      </c>
      <c r="AB436" s="14">
        <f>IF(OR($E436="",$AA436=""),"",IF($E436&gt;=$AA436,"×",IF($E436&gt;=$AA436*設定!$C$5,"△","○")))</f>
        <v/>
      </c>
      <c r="AC436" s="15">
        <f>IF($AB436="","",IF($AB436="×",0,IF($AB436="○",ROUNDDOWN($E436*設定!$C$4,0),ROUNDDOWN($E436*ROUND((9*$AA436-9*$E436)/(10*$E436),4),0))))</f>
        <v/>
      </c>
      <c r="AD436" s="13" t="n"/>
      <c r="AE436" s="15">
        <f>IF($B436="","",IF($AD436&lt;&gt;"",$AD436,IF($AC436="","",IF($AC436&lt;=設定!$C$3,0,$AC436))))</f>
        <v/>
      </c>
      <c r="AF436" s="14">
        <f>IF($B436="","",IF(AND($AG436&lt;&gt;"",$AI436="",$AL436=""),"保留中",IF($AL436&lt;&gt;"",IF(N($AE436)&gt;0,"支給済","不支給"),IF($AE436="","要確認",IF($AE436=0,"不支給","未処理")))))</f>
        <v/>
      </c>
      <c r="AG436" s="12" t="n"/>
      <c r="AH436" s="11" t="n"/>
      <c r="AI436" s="11" t="n"/>
      <c r="AJ436" s="11" t="n"/>
      <c r="AK436" s="14">
        <f>IF(AND($AF436="保留中",$AH436&lt;&gt;""),TODAY()-$AH436,"")</f>
        <v/>
      </c>
      <c r="AL436" s="12" t="inlineStr">
        <is>
          <t>R7.11</t>
        </is>
      </c>
      <c r="AM436" s="14">
        <f>IF($B436="","",IF($AQ436="","対象年月が未入力／","")&amp;IF($B436="","",IF($AP436="","職員マスタに未登録の職員番号／",IF($AA436="","標準報酬月額が未登録／","")&amp;IF(AND($AQ436&lt;&gt;"",OR(AND(INDEX(職員マスタ!$G$6:$G$405,$AP436)&lt;&gt;"",INDEX(職員マスタ!$G$6:$G$405,$AP436)&gt;EOMONTH($AQ436,0)),AND(INDEX(職員マスタ!$H$6:$H$405,$AP436)&lt;&gt;"",INDEX(職員マスタ!$H$6:$H$405,$AP436)&lt;$AQ436))),"対象月が時短期間外／","")&amp;IF(AND(INDEX(職員マスタ!$K$6:$K$405,$AP436)&lt;&gt;"",N($W436)&gt;0,INDEX(職員マスタ!$K$6:$K$405,$AP436)&lt;&gt;$W436),"標準報酬月額が申請書と相違（台帳"&amp;TEXT(INDEX(職員マスタ!$K$6:$K$405,$AP436),"#,##0")&amp;"円／申請書"&amp;TEXT($W436,"#,##0")&amp;"円）／","")&amp;IF(AND(INDEX(職員マスタ!$F$6:$F$405,$AP436)&lt;&gt;"",$AQ436&lt;&gt;"",INDEX(職員マスタ!$F$6:$F$405,$AP436)&lt;$AQ436),"対象月に子が2歳到達済／","")&amp;IF(AND($H436&lt;&gt;"",INDEX(職員マスタ!$B$6:$B$405,$AP436)&lt;&gt;"",SUBSTITUTE(SUBSTITUTE($H436," ","")," ","")&lt;&gt;SUBSTITUTE(SUBSTITUTE(INDEX(職員マスタ!$B$6:$B$405,$AP436)," ","")," ","")),"氏名がマスタと相違／","")&amp;IF(AND($Q436&lt;&gt;"",INDEX(職員マスタ!$E$6:$E$405,$AP436)&lt;&gt;"",$Q436&lt;&gt;INDEX(職員マスタ!$E$6:$E$405,$AP436)),"子の生年月日がマスタと相違／","")&amp;IF(AND($L436&lt;&gt;"",INDEX(職員マスタ!$G$6:$G$405,$AP436)&lt;&gt;"",$L436&lt;&gt;INDEX(職員マスタ!$G$6:$G$405,$AP436)),"時短開始日がマスタと相違／","")&amp;IF(AND($M436&lt;&gt;"",INDEX(職員マスタ!$H$6:$H$405,$AP436)&lt;&gt;"",$M436&lt;&gt;INDEX(職員マスタ!$H$6:$H$405,$AP436)),"時短終了日がマスタと相違／","")))&amp;IF(AND($B436&lt;&gt;"",$E436=""),"報酬額が未入力／","")&amp;IF(N($U436)&gt;0,"申請書に入力エラーが残っています／","")&amp;IF(AND($B436&lt;&gt;"",$AQ436&lt;&gt;""),IF(COUNTIFS($B$6:$B$3005,$B436,$C$6:$C$3005,$C436,$D$6:$D$3005,$D436)&gt;1,"同じ月の請求が重複しています／",""),"")&amp;IF(AND(N($E436)&gt;0,$AB436&lt;&gt;"",$AB436&lt;&gt;"×",$AE436=0,$AD436=""),"計算額が下限以下のため不支給／",""))</f>
        <v/>
      </c>
      <c r="AN436" s="12" t="n"/>
      <c r="AO436" s="14">
        <f>IF($AF436="保留中",COUNTIF($AF$6:$AF436,"保留中"),"")</f>
        <v/>
      </c>
      <c r="AP436" s="14">
        <f>IF($AQ436="","",IF(SUMPRODUCT(MAX((職員マスタ!$A$6:$A$405=$B436)*(((職員マスタ!$G$6:$G$405="")+(職員マスタ!$G$6:$G$405&lt;=EOMONTH($AQ436,0)))&gt;0)*(((職員マスタ!$H$6:$H$405="")+(職員マスタ!$H$6:$H$405&gt;=$AQ436))&gt;0)*(ROW(職員マスタ!$A$6:$A$405)-5)))&gt;0,SUMPRODUCT(MAX((職員マスタ!$A$6:$A$405=$B436)*(((職員マスタ!$G$6:$G$405="")+(職員マスタ!$G$6:$G$405&lt;=EOMONTH($AQ436,0)))&gt;0)*(((職員マスタ!$H$6:$H$405="")+(職員マスタ!$H$6:$H$405&gt;=$AQ436))&gt;0)*(ROW(職員マスタ!$A$6:$A$405)-5))),IFERROR(MATCH($B436,職員マスタ!$A$6:$A$405,0),"")))</f>
        <v/>
      </c>
      <c r="AQ436" s="16">
        <f>IF(OR($B436="",$C436="",$D436=""),"",DATE($C436+2018,$D436,1))</f>
        <v/>
      </c>
    </row>
    <row r="437">
      <c r="A437" s="11" t="n"/>
      <c r="B437" s="12" t="n">
        <v>6904581</v>
      </c>
      <c r="C437" s="12" t="n">
        <v>7</v>
      </c>
      <c r="D437" s="12" t="n">
        <v>8</v>
      </c>
      <c r="E437" s="13" t="n">
        <v>288736</v>
      </c>
      <c r="F437" s="12" t="n"/>
      <c r="G437" s="13" t="n"/>
      <c r="H437" s="12" t="n"/>
      <c r="I437" s="12" t="n"/>
      <c r="J437" s="12" t="n"/>
      <c r="K437" s="12" t="n"/>
      <c r="L437" s="11" t="n"/>
      <c r="M437" s="11" t="n"/>
      <c r="N437" s="11" t="n"/>
      <c r="O437" s="11" t="n"/>
      <c r="P437" s="12" t="n"/>
      <c r="Q437" s="11" t="n"/>
      <c r="R437" s="12" t="n"/>
      <c r="S437" s="11" t="n"/>
      <c r="T437" s="12" t="n"/>
      <c r="U437" s="12" t="n"/>
      <c r="V437" s="12" t="n"/>
      <c r="W437" s="13" t="n"/>
      <c r="X437" s="14">
        <f>IF($AP437="",IF($B437="","",$H437),IF(INDEX(職員マスタ!$B$6:$B$405,$AP437)="",$H437,INDEX(職員マスタ!$B$6:$B$405,$AP437)))</f>
        <v/>
      </c>
      <c r="Y437" s="14">
        <f>IF($AP437="",IF($B437="","",$R437),IF(INDEX(職員マスタ!$C$6:$C$405,$AP437)="",$R437,INDEX(職員マスタ!$C$6:$C$405,$AP437)))</f>
        <v/>
      </c>
      <c r="Z437" s="14">
        <f>IF($AQ437="","","R"&amp;$C437&amp;"."&amp;$D437)</f>
        <v/>
      </c>
      <c r="AA437" s="15">
        <f>IF(IF($AP437="",FALSE,INDEX(職員マスタ!$K$6:$K$405,$AP437)&lt;&gt;""),INDEX(職員マスタ!$K$6:$K$405,$AP437),IF(N($W437)&gt;0,$W437,""))</f>
        <v/>
      </c>
      <c r="AB437" s="14">
        <f>IF(OR($E437="",$AA437=""),"",IF($E437&gt;=$AA437,"×",IF($E437&gt;=$AA437*設定!$C$5,"△","○")))</f>
        <v/>
      </c>
      <c r="AC437" s="15">
        <f>IF($AB437="","",IF($AB437="×",0,IF($AB437="○",ROUNDDOWN($E437*設定!$C$4,0),ROUNDDOWN($E437*ROUND((9*$AA437-9*$E437)/(10*$E437),4),0))))</f>
        <v/>
      </c>
      <c r="AD437" s="13" t="n"/>
      <c r="AE437" s="15">
        <f>IF($B437="","",IF($AD437&lt;&gt;"",$AD437,IF($AC437="","",IF($AC437&lt;=設定!$C$3,0,$AC437))))</f>
        <v/>
      </c>
      <c r="AF437" s="14">
        <f>IF($B437="","",IF(AND($AG437&lt;&gt;"",$AI437="",$AL437=""),"保留中",IF($AL437&lt;&gt;"",IF(N($AE437)&gt;0,"支給済","不支給"),IF($AE437="","要確認",IF($AE437=0,"不支給","未処理")))))</f>
        <v/>
      </c>
      <c r="AG437" s="12" t="n"/>
      <c r="AH437" s="11" t="n"/>
      <c r="AI437" s="11" t="n"/>
      <c r="AJ437" s="11" t="n"/>
      <c r="AK437" s="14">
        <f>IF(AND($AF437="保留中",$AH437&lt;&gt;""),TODAY()-$AH437,"")</f>
        <v/>
      </c>
      <c r="AL437" s="12" t="inlineStr">
        <is>
          <t>R7.11</t>
        </is>
      </c>
      <c r="AM437" s="14">
        <f>IF($B437="","",IF($AQ437="","対象年月が未入力／","")&amp;IF($B437="","",IF($AP437="","職員マスタに未登録の職員番号／",IF($AA437="","標準報酬月額が未登録／","")&amp;IF(AND($AQ437&lt;&gt;"",OR(AND(INDEX(職員マスタ!$G$6:$G$405,$AP437)&lt;&gt;"",INDEX(職員マスタ!$G$6:$G$405,$AP437)&gt;EOMONTH($AQ437,0)),AND(INDEX(職員マスタ!$H$6:$H$405,$AP437)&lt;&gt;"",INDEX(職員マスタ!$H$6:$H$405,$AP437)&lt;$AQ437))),"対象月が時短期間外／","")&amp;IF(AND(INDEX(職員マスタ!$K$6:$K$405,$AP437)&lt;&gt;"",N($W437)&gt;0,INDEX(職員マスタ!$K$6:$K$405,$AP437)&lt;&gt;$W437),"標準報酬月額が申請書と相違（台帳"&amp;TEXT(INDEX(職員マスタ!$K$6:$K$405,$AP437),"#,##0")&amp;"円／申請書"&amp;TEXT($W437,"#,##0")&amp;"円）／","")&amp;IF(AND(INDEX(職員マスタ!$F$6:$F$405,$AP437)&lt;&gt;"",$AQ437&lt;&gt;"",INDEX(職員マスタ!$F$6:$F$405,$AP437)&lt;$AQ437),"対象月に子が2歳到達済／","")&amp;IF(AND($H437&lt;&gt;"",INDEX(職員マスタ!$B$6:$B$405,$AP437)&lt;&gt;"",SUBSTITUTE(SUBSTITUTE($H437," ","")," ","")&lt;&gt;SUBSTITUTE(SUBSTITUTE(INDEX(職員マスタ!$B$6:$B$405,$AP437)," ","")," ","")),"氏名がマスタと相違／","")&amp;IF(AND($Q437&lt;&gt;"",INDEX(職員マスタ!$E$6:$E$405,$AP437)&lt;&gt;"",$Q437&lt;&gt;INDEX(職員マスタ!$E$6:$E$405,$AP437)),"子の生年月日がマスタと相違／","")&amp;IF(AND($L437&lt;&gt;"",INDEX(職員マスタ!$G$6:$G$405,$AP437)&lt;&gt;"",$L437&lt;&gt;INDEX(職員マスタ!$G$6:$G$405,$AP437)),"時短開始日がマスタと相違／","")&amp;IF(AND($M437&lt;&gt;"",INDEX(職員マスタ!$H$6:$H$405,$AP437)&lt;&gt;"",$M437&lt;&gt;INDEX(職員マスタ!$H$6:$H$405,$AP437)),"時短終了日がマスタと相違／","")))&amp;IF(AND($B437&lt;&gt;"",$E437=""),"報酬額が未入力／","")&amp;IF(N($U437)&gt;0,"申請書に入力エラーが残っています／","")&amp;IF(AND($B437&lt;&gt;"",$AQ437&lt;&gt;""),IF(COUNTIFS($B$6:$B$3005,$B437,$C$6:$C$3005,$C437,$D$6:$D$3005,$D437)&gt;1,"同じ月の請求が重複しています／",""),"")&amp;IF(AND(N($E437)&gt;0,$AB437&lt;&gt;"",$AB437&lt;&gt;"×",$AE437=0,$AD437=""),"計算額が下限以下のため不支給／",""))</f>
        <v/>
      </c>
      <c r="AN437" s="12" t="n"/>
      <c r="AO437" s="14">
        <f>IF($AF437="保留中",COUNTIF($AF$6:$AF437,"保留中"),"")</f>
        <v/>
      </c>
      <c r="AP437" s="14">
        <f>IF($AQ437="","",IF(SUMPRODUCT(MAX((職員マスタ!$A$6:$A$405=$B437)*(((職員マスタ!$G$6:$G$405="")+(職員マスタ!$G$6:$G$405&lt;=EOMONTH($AQ437,0)))&gt;0)*(((職員マスタ!$H$6:$H$405="")+(職員マスタ!$H$6:$H$405&gt;=$AQ437))&gt;0)*(ROW(職員マスタ!$A$6:$A$405)-5)))&gt;0,SUMPRODUCT(MAX((職員マスタ!$A$6:$A$405=$B437)*(((職員マスタ!$G$6:$G$405="")+(職員マスタ!$G$6:$G$405&lt;=EOMONTH($AQ437,0)))&gt;0)*(((職員マスタ!$H$6:$H$405="")+(職員マスタ!$H$6:$H$405&gt;=$AQ437))&gt;0)*(ROW(職員マスタ!$A$6:$A$405)-5))),IFERROR(MATCH($B437,職員マスタ!$A$6:$A$405,0),"")))</f>
        <v/>
      </c>
      <c r="AQ437" s="16">
        <f>IF(OR($B437="",$C437="",$D437=""),"",DATE($C437+2018,$D437,1))</f>
        <v/>
      </c>
    </row>
    <row r="438">
      <c r="A438" s="11" t="n"/>
      <c r="B438" s="12" t="n">
        <v>7101835</v>
      </c>
      <c r="C438" s="12" t="n">
        <v>7</v>
      </c>
      <c r="D438" s="12" t="n">
        <v>5</v>
      </c>
      <c r="E438" s="13" t="n">
        <v>177922</v>
      </c>
      <c r="F438" s="12" t="n"/>
      <c r="G438" s="13" t="n"/>
      <c r="H438" s="12" t="n"/>
      <c r="I438" s="12" t="n"/>
      <c r="J438" s="12" t="n"/>
      <c r="K438" s="12" t="n"/>
      <c r="L438" s="11" t="n"/>
      <c r="M438" s="11" t="n"/>
      <c r="N438" s="11" t="n"/>
      <c r="O438" s="11" t="n"/>
      <c r="P438" s="12" t="n"/>
      <c r="Q438" s="11" t="n"/>
      <c r="R438" s="12" t="n"/>
      <c r="S438" s="11" t="n"/>
      <c r="T438" s="12" t="n"/>
      <c r="U438" s="12" t="n"/>
      <c r="V438" s="12" t="n"/>
      <c r="W438" s="13" t="n"/>
      <c r="X438" s="14">
        <f>IF($AP438="",IF($B438="","",$H438),IF(INDEX(職員マスタ!$B$6:$B$405,$AP438)="",$H438,INDEX(職員マスタ!$B$6:$B$405,$AP438)))</f>
        <v/>
      </c>
      <c r="Y438" s="14">
        <f>IF($AP438="",IF($B438="","",$R438),IF(INDEX(職員マスタ!$C$6:$C$405,$AP438)="",$R438,INDEX(職員マスタ!$C$6:$C$405,$AP438)))</f>
        <v/>
      </c>
      <c r="Z438" s="14">
        <f>IF($AQ438="","","R"&amp;$C438&amp;"."&amp;$D438)</f>
        <v/>
      </c>
      <c r="AA438" s="15">
        <f>IF(IF($AP438="",FALSE,INDEX(職員マスタ!$K$6:$K$405,$AP438)&lt;&gt;""),INDEX(職員マスタ!$K$6:$K$405,$AP438),IF(N($W438)&gt;0,$W438,""))</f>
        <v/>
      </c>
      <c r="AB438" s="14">
        <f>IF(OR($E438="",$AA438=""),"",IF($E438&gt;=$AA438,"×",IF($E438&gt;=$AA438*設定!$C$5,"△","○")))</f>
        <v/>
      </c>
      <c r="AC438" s="15">
        <f>IF($AB438="","",IF($AB438="×",0,IF($AB438="○",ROUNDDOWN($E438*設定!$C$4,0),ROUNDDOWN($E438*ROUND((9*$AA438-9*$E438)/(10*$E438),4),0))))</f>
        <v/>
      </c>
      <c r="AD438" s="13" t="n"/>
      <c r="AE438" s="15">
        <f>IF($B438="","",IF($AD438&lt;&gt;"",$AD438,IF($AC438="","",IF($AC438&lt;=設定!$C$3,0,$AC438))))</f>
        <v/>
      </c>
      <c r="AF438" s="14">
        <f>IF($B438="","",IF(AND($AG438&lt;&gt;"",$AI438="",$AL438=""),"保留中",IF($AL438&lt;&gt;"",IF(N($AE438)&gt;0,"支給済","不支給"),IF($AE438="","要確認",IF($AE438=0,"不支給","未処理")))))</f>
        <v/>
      </c>
      <c r="AG438" s="12" t="inlineStr">
        <is>
          <t>通勤手当の確認</t>
        </is>
      </c>
      <c r="AH438" s="11" t="n"/>
      <c r="AI438" s="11" t="n"/>
      <c r="AJ438" s="11" t="n"/>
      <c r="AK438" s="14">
        <f>IF(AND($AF438="保留中",$AH438&lt;&gt;""),TODAY()-$AH438,"")</f>
        <v/>
      </c>
      <c r="AL438" s="12" t="inlineStr">
        <is>
          <t>R7.11</t>
        </is>
      </c>
      <c r="AM438" s="14">
        <f>IF($B438="","",IF($AQ438="","対象年月が未入力／","")&amp;IF($B438="","",IF($AP438="","職員マスタに未登録の職員番号／",IF($AA438="","標準報酬月額が未登録／","")&amp;IF(AND($AQ438&lt;&gt;"",OR(AND(INDEX(職員マスタ!$G$6:$G$405,$AP438)&lt;&gt;"",INDEX(職員マスタ!$G$6:$G$405,$AP438)&gt;EOMONTH($AQ438,0)),AND(INDEX(職員マスタ!$H$6:$H$405,$AP438)&lt;&gt;"",INDEX(職員マスタ!$H$6:$H$405,$AP438)&lt;$AQ438))),"対象月が時短期間外／","")&amp;IF(AND(INDEX(職員マスタ!$K$6:$K$405,$AP438)&lt;&gt;"",N($W438)&gt;0,INDEX(職員マスタ!$K$6:$K$405,$AP438)&lt;&gt;$W438),"標準報酬月額が申請書と相違（台帳"&amp;TEXT(INDEX(職員マスタ!$K$6:$K$405,$AP438),"#,##0")&amp;"円／申請書"&amp;TEXT($W438,"#,##0")&amp;"円）／","")&amp;IF(AND(INDEX(職員マスタ!$F$6:$F$405,$AP438)&lt;&gt;"",$AQ438&lt;&gt;"",INDEX(職員マスタ!$F$6:$F$405,$AP438)&lt;$AQ438),"対象月に子が2歳到達済／","")&amp;IF(AND($H438&lt;&gt;"",INDEX(職員マスタ!$B$6:$B$405,$AP438)&lt;&gt;"",SUBSTITUTE(SUBSTITUTE($H438," ","")," ","")&lt;&gt;SUBSTITUTE(SUBSTITUTE(INDEX(職員マスタ!$B$6:$B$405,$AP438)," ","")," ","")),"氏名がマスタと相違／","")&amp;IF(AND($Q438&lt;&gt;"",INDEX(職員マスタ!$E$6:$E$405,$AP438)&lt;&gt;"",$Q438&lt;&gt;INDEX(職員マスタ!$E$6:$E$405,$AP438)),"子の生年月日がマスタと相違／","")&amp;IF(AND($L438&lt;&gt;"",INDEX(職員マスタ!$G$6:$G$405,$AP438)&lt;&gt;"",$L438&lt;&gt;INDEX(職員マスタ!$G$6:$G$405,$AP438)),"時短開始日がマスタと相違／","")&amp;IF(AND($M438&lt;&gt;"",INDEX(職員マスタ!$H$6:$H$405,$AP438)&lt;&gt;"",$M438&lt;&gt;INDEX(職員マスタ!$H$6:$H$405,$AP438)),"時短終了日がマスタと相違／","")))&amp;IF(AND($B438&lt;&gt;"",$E438=""),"報酬額が未入力／","")&amp;IF(N($U438)&gt;0,"申請書に入力エラーが残っています／","")&amp;IF(AND($B438&lt;&gt;"",$AQ438&lt;&gt;""),IF(COUNTIFS($B$6:$B$3005,$B438,$C$6:$C$3005,$C438,$D$6:$D$3005,$D438)&gt;1,"同じ月の請求が重複しています／",""),"")&amp;IF(AND(N($E438)&gt;0,$AB438&lt;&gt;"",$AB438&lt;&gt;"×",$AE438=0,$AD438=""),"計算額が下限以下のため不支給／",""))</f>
        <v/>
      </c>
      <c r="AN438" s="12" t="inlineStr">
        <is>
          <t>保留　通勤⇒支給</t>
        </is>
      </c>
      <c r="AO438" s="14">
        <f>IF($AF438="保留中",COUNTIF($AF$6:$AF438,"保留中"),"")</f>
        <v/>
      </c>
      <c r="AP438" s="14">
        <f>IF($AQ438="","",IF(SUMPRODUCT(MAX((職員マスタ!$A$6:$A$405=$B438)*(((職員マスタ!$G$6:$G$405="")+(職員マスタ!$G$6:$G$405&lt;=EOMONTH($AQ438,0)))&gt;0)*(((職員マスタ!$H$6:$H$405="")+(職員マスタ!$H$6:$H$405&gt;=$AQ438))&gt;0)*(ROW(職員マスタ!$A$6:$A$405)-5)))&gt;0,SUMPRODUCT(MAX((職員マスタ!$A$6:$A$405=$B438)*(((職員マスタ!$G$6:$G$405="")+(職員マスタ!$G$6:$G$405&lt;=EOMONTH($AQ438,0)))&gt;0)*(((職員マスタ!$H$6:$H$405="")+(職員マスタ!$H$6:$H$405&gt;=$AQ438))&gt;0)*(ROW(職員マスタ!$A$6:$A$405)-5))),IFERROR(MATCH($B438,職員マスタ!$A$6:$A$405,0),"")))</f>
        <v/>
      </c>
      <c r="AQ438" s="16">
        <f>IF(OR($B438="",$C438="",$D438=""),"",DATE($C438+2018,$D438,1))</f>
        <v/>
      </c>
    </row>
    <row r="439">
      <c r="A439" s="11" t="n"/>
      <c r="B439" s="12" t="n">
        <v>7101892</v>
      </c>
      <c r="C439" s="12" t="n">
        <v>7</v>
      </c>
      <c r="D439" s="12" t="n">
        <v>4</v>
      </c>
      <c r="E439" s="13" t="n">
        <v>24956</v>
      </c>
      <c r="F439" s="12" t="n"/>
      <c r="G439" s="13" t="n"/>
      <c r="H439" s="12" t="n"/>
      <c r="I439" s="12" t="n"/>
      <c r="J439" s="12" t="n"/>
      <c r="K439" s="12" t="n"/>
      <c r="L439" s="11" t="n"/>
      <c r="M439" s="11" t="n"/>
      <c r="N439" s="11" t="n"/>
      <c r="O439" s="11" t="n"/>
      <c r="P439" s="12" t="n"/>
      <c r="Q439" s="11" t="n"/>
      <c r="R439" s="12" t="n"/>
      <c r="S439" s="11" t="n"/>
      <c r="T439" s="12" t="n"/>
      <c r="U439" s="12" t="n"/>
      <c r="V439" s="12" t="n"/>
      <c r="W439" s="13" t="n"/>
      <c r="X439" s="14">
        <f>IF($AP439="",IF($B439="","",$H439),IF(INDEX(職員マスタ!$B$6:$B$405,$AP439)="",$H439,INDEX(職員マスタ!$B$6:$B$405,$AP439)))</f>
        <v/>
      </c>
      <c r="Y439" s="14">
        <f>IF($AP439="",IF($B439="","",$R439),IF(INDEX(職員マスタ!$C$6:$C$405,$AP439)="",$R439,INDEX(職員マスタ!$C$6:$C$405,$AP439)))</f>
        <v/>
      </c>
      <c r="Z439" s="14">
        <f>IF($AQ439="","","R"&amp;$C439&amp;"."&amp;$D439)</f>
        <v/>
      </c>
      <c r="AA439" s="15">
        <f>IF(IF($AP439="",FALSE,INDEX(職員マスタ!$K$6:$K$405,$AP439)&lt;&gt;""),INDEX(職員マスタ!$K$6:$K$405,$AP439),IF(N($W439)&gt;0,$W439,""))</f>
        <v/>
      </c>
      <c r="AB439" s="14">
        <f>IF(OR($E439="",$AA439=""),"",IF($E439&gt;=$AA439,"×",IF($E439&gt;=$AA439*設定!$C$5,"△","○")))</f>
        <v/>
      </c>
      <c r="AC439" s="15">
        <f>IF($AB439="","",IF($AB439="×",0,IF($AB439="○",ROUNDDOWN($E439*設定!$C$4,0),ROUNDDOWN($E439*ROUND((9*$AA439-9*$E439)/(10*$E439),4),0))))</f>
        <v/>
      </c>
      <c r="AD439" s="13" t="n"/>
      <c r="AE439" s="15">
        <f>IF($B439="","",IF($AD439&lt;&gt;"",$AD439,IF($AC439="","",IF($AC439&lt;=設定!$C$3,0,$AC439))))</f>
        <v/>
      </c>
      <c r="AF439" s="14">
        <f>IF($B439="","",IF(AND($AG439&lt;&gt;"",$AI439="",$AL439=""),"保留中",IF($AL439&lt;&gt;"",IF(N($AE439)&gt;0,"支給済","不支給"),IF($AE439="","要確認",IF($AE439=0,"不支給","未処理")))))</f>
        <v/>
      </c>
      <c r="AG439" s="12" t="inlineStr">
        <is>
          <t>通勤手当の確認</t>
        </is>
      </c>
      <c r="AH439" s="11" t="n"/>
      <c r="AI439" s="11" t="n"/>
      <c r="AJ439" s="11" t="n"/>
      <c r="AK439" s="14">
        <f>IF(AND($AF439="保留中",$AH439&lt;&gt;""),TODAY()-$AH439,"")</f>
        <v/>
      </c>
      <c r="AL439" s="12" t="inlineStr">
        <is>
          <t>R7.11</t>
        </is>
      </c>
      <c r="AM439" s="14">
        <f>IF($B439="","",IF($AQ439="","対象年月が未入力／","")&amp;IF($B439="","",IF($AP439="","職員マスタに未登録の職員番号／",IF($AA439="","標準報酬月額が未登録／","")&amp;IF(AND($AQ439&lt;&gt;"",OR(AND(INDEX(職員マスタ!$G$6:$G$405,$AP439)&lt;&gt;"",INDEX(職員マスタ!$G$6:$G$405,$AP439)&gt;EOMONTH($AQ439,0)),AND(INDEX(職員マスタ!$H$6:$H$405,$AP439)&lt;&gt;"",INDEX(職員マスタ!$H$6:$H$405,$AP439)&lt;$AQ439))),"対象月が時短期間外／","")&amp;IF(AND(INDEX(職員マスタ!$K$6:$K$405,$AP439)&lt;&gt;"",N($W439)&gt;0,INDEX(職員マスタ!$K$6:$K$405,$AP439)&lt;&gt;$W439),"標準報酬月額が申請書と相違（台帳"&amp;TEXT(INDEX(職員マスタ!$K$6:$K$405,$AP439),"#,##0")&amp;"円／申請書"&amp;TEXT($W439,"#,##0")&amp;"円）／","")&amp;IF(AND(INDEX(職員マスタ!$F$6:$F$405,$AP439)&lt;&gt;"",$AQ439&lt;&gt;"",INDEX(職員マスタ!$F$6:$F$405,$AP439)&lt;$AQ439),"対象月に子が2歳到達済／","")&amp;IF(AND($H439&lt;&gt;"",INDEX(職員マスタ!$B$6:$B$405,$AP439)&lt;&gt;"",SUBSTITUTE(SUBSTITUTE($H439," ","")," ","")&lt;&gt;SUBSTITUTE(SUBSTITUTE(INDEX(職員マスタ!$B$6:$B$405,$AP439)," ","")," ","")),"氏名がマスタと相違／","")&amp;IF(AND($Q439&lt;&gt;"",INDEX(職員マスタ!$E$6:$E$405,$AP439)&lt;&gt;"",$Q439&lt;&gt;INDEX(職員マスタ!$E$6:$E$405,$AP439)),"子の生年月日がマスタと相違／","")&amp;IF(AND($L439&lt;&gt;"",INDEX(職員マスタ!$G$6:$G$405,$AP439)&lt;&gt;"",$L439&lt;&gt;INDEX(職員マスタ!$G$6:$G$405,$AP439)),"時短開始日がマスタと相違／","")&amp;IF(AND($M439&lt;&gt;"",INDEX(職員マスタ!$H$6:$H$405,$AP439)&lt;&gt;"",$M439&lt;&gt;INDEX(職員マスタ!$H$6:$H$405,$AP439)),"時短終了日がマスタと相違／","")))&amp;IF(AND($B439&lt;&gt;"",$E439=""),"報酬額が未入力／","")&amp;IF(N($U439)&gt;0,"申請書に入力エラーが残っています／","")&amp;IF(AND($B439&lt;&gt;"",$AQ439&lt;&gt;""),IF(COUNTIFS($B$6:$B$3005,$B439,$C$6:$C$3005,$C439,$D$6:$D$3005,$D439)&gt;1,"同じ月の請求が重複しています／",""),"")&amp;IF(AND(N($E439)&gt;0,$AB439&lt;&gt;"",$AB439&lt;&gt;"×",$AE439=0,$AD439=""),"計算額が下限以下のため不支給／",""))</f>
        <v/>
      </c>
      <c r="AN439" s="12" t="inlineStr">
        <is>
          <t>保留　通勤⇒支給</t>
        </is>
      </c>
      <c r="AO439" s="14">
        <f>IF($AF439="保留中",COUNTIF($AF$6:$AF439,"保留中"),"")</f>
        <v/>
      </c>
      <c r="AP439" s="14">
        <f>IF($AQ439="","",IF(SUMPRODUCT(MAX((職員マスタ!$A$6:$A$405=$B439)*(((職員マスタ!$G$6:$G$405="")+(職員マスタ!$G$6:$G$405&lt;=EOMONTH($AQ439,0)))&gt;0)*(((職員マスタ!$H$6:$H$405="")+(職員マスタ!$H$6:$H$405&gt;=$AQ439))&gt;0)*(ROW(職員マスタ!$A$6:$A$405)-5)))&gt;0,SUMPRODUCT(MAX((職員マスタ!$A$6:$A$405=$B439)*(((職員マスタ!$G$6:$G$405="")+(職員マスタ!$G$6:$G$405&lt;=EOMONTH($AQ439,0)))&gt;0)*(((職員マスタ!$H$6:$H$405="")+(職員マスタ!$H$6:$H$405&gt;=$AQ439))&gt;0)*(ROW(職員マスタ!$A$6:$A$405)-5))),IFERROR(MATCH($B439,職員マスタ!$A$6:$A$405,0),"")))</f>
        <v/>
      </c>
      <c r="AQ439" s="16">
        <f>IF(OR($B439="",$C439="",$D439=""),"",DATE($C439+2018,$D439,1))</f>
        <v/>
      </c>
    </row>
    <row r="440">
      <c r="A440" s="11" t="n"/>
      <c r="B440" s="12" t="n">
        <v>7101892</v>
      </c>
      <c r="C440" s="12" t="n">
        <v>7</v>
      </c>
      <c r="D440" s="12" t="n">
        <v>5</v>
      </c>
      <c r="E440" s="13" t="n">
        <v>196716</v>
      </c>
      <c r="F440" s="12" t="n"/>
      <c r="G440" s="13" t="n"/>
      <c r="H440" s="12" t="n"/>
      <c r="I440" s="12" t="n"/>
      <c r="J440" s="12" t="n"/>
      <c r="K440" s="12" t="n"/>
      <c r="L440" s="11" t="n"/>
      <c r="M440" s="11" t="n"/>
      <c r="N440" s="11" t="n"/>
      <c r="O440" s="11" t="n"/>
      <c r="P440" s="12" t="n"/>
      <c r="Q440" s="11" t="n"/>
      <c r="R440" s="12" t="n"/>
      <c r="S440" s="11" t="n"/>
      <c r="T440" s="12" t="n"/>
      <c r="U440" s="12" t="n"/>
      <c r="V440" s="12" t="n"/>
      <c r="W440" s="13" t="n"/>
      <c r="X440" s="14">
        <f>IF($AP440="",IF($B440="","",$H440),IF(INDEX(職員マスタ!$B$6:$B$405,$AP440)="",$H440,INDEX(職員マスタ!$B$6:$B$405,$AP440)))</f>
        <v/>
      </c>
      <c r="Y440" s="14">
        <f>IF($AP440="",IF($B440="","",$R440),IF(INDEX(職員マスタ!$C$6:$C$405,$AP440)="",$R440,INDEX(職員マスタ!$C$6:$C$405,$AP440)))</f>
        <v/>
      </c>
      <c r="Z440" s="14">
        <f>IF($AQ440="","","R"&amp;$C440&amp;"."&amp;$D440)</f>
        <v/>
      </c>
      <c r="AA440" s="15">
        <f>IF(IF($AP440="",FALSE,INDEX(職員マスタ!$K$6:$K$405,$AP440)&lt;&gt;""),INDEX(職員マスタ!$K$6:$K$405,$AP440),IF(N($W440)&gt;0,$W440,""))</f>
        <v/>
      </c>
      <c r="AB440" s="14">
        <f>IF(OR($E440="",$AA440=""),"",IF($E440&gt;=$AA440,"×",IF($E440&gt;=$AA440*設定!$C$5,"△","○")))</f>
        <v/>
      </c>
      <c r="AC440" s="15">
        <f>IF($AB440="","",IF($AB440="×",0,IF($AB440="○",ROUNDDOWN($E440*設定!$C$4,0),ROUNDDOWN($E440*ROUND((9*$AA440-9*$E440)/(10*$E440),4),0))))</f>
        <v/>
      </c>
      <c r="AD440" s="13" t="n"/>
      <c r="AE440" s="15">
        <f>IF($B440="","",IF($AD440&lt;&gt;"",$AD440,IF($AC440="","",IF($AC440&lt;=設定!$C$3,0,$AC440))))</f>
        <v/>
      </c>
      <c r="AF440" s="14">
        <f>IF($B440="","",IF(AND($AG440&lt;&gt;"",$AI440="",$AL440=""),"保留中",IF($AL440&lt;&gt;"",IF(N($AE440)&gt;0,"支給済","不支給"),IF($AE440="","要確認",IF($AE440=0,"不支給","未処理")))))</f>
        <v/>
      </c>
      <c r="AG440" s="12" t="inlineStr">
        <is>
          <t>通勤手当の確認</t>
        </is>
      </c>
      <c r="AH440" s="11" t="n"/>
      <c r="AI440" s="11" t="n"/>
      <c r="AJ440" s="11" t="n"/>
      <c r="AK440" s="14">
        <f>IF(AND($AF440="保留中",$AH440&lt;&gt;""),TODAY()-$AH440,"")</f>
        <v/>
      </c>
      <c r="AL440" s="12" t="inlineStr">
        <is>
          <t>R7.11</t>
        </is>
      </c>
      <c r="AM440" s="14">
        <f>IF($B440="","",IF($AQ440="","対象年月が未入力／","")&amp;IF($B440="","",IF($AP440="","職員マスタに未登録の職員番号／",IF($AA440="","標準報酬月額が未登録／","")&amp;IF(AND($AQ440&lt;&gt;"",OR(AND(INDEX(職員マスタ!$G$6:$G$405,$AP440)&lt;&gt;"",INDEX(職員マスタ!$G$6:$G$405,$AP440)&gt;EOMONTH($AQ440,0)),AND(INDEX(職員マスタ!$H$6:$H$405,$AP440)&lt;&gt;"",INDEX(職員マスタ!$H$6:$H$405,$AP440)&lt;$AQ440))),"対象月が時短期間外／","")&amp;IF(AND(INDEX(職員マスタ!$K$6:$K$405,$AP440)&lt;&gt;"",N($W440)&gt;0,INDEX(職員マスタ!$K$6:$K$405,$AP440)&lt;&gt;$W440),"標準報酬月額が申請書と相違（台帳"&amp;TEXT(INDEX(職員マスタ!$K$6:$K$405,$AP440),"#,##0")&amp;"円／申請書"&amp;TEXT($W440,"#,##0")&amp;"円）／","")&amp;IF(AND(INDEX(職員マスタ!$F$6:$F$405,$AP440)&lt;&gt;"",$AQ440&lt;&gt;"",INDEX(職員マスタ!$F$6:$F$405,$AP440)&lt;$AQ440),"対象月に子が2歳到達済／","")&amp;IF(AND($H440&lt;&gt;"",INDEX(職員マスタ!$B$6:$B$405,$AP440)&lt;&gt;"",SUBSTITUTE(SUBSTITUTE($H440," ","")," ","")&lt;&gt;SUBSTITUTE(SUBSTITUTE(INDEX(職員マスタ!$B$6:$B$405,$AP440)," ","")," ","")),"氏名がマスタと相違／","")&amp;IF(AND($Q440&lt;&gt;"",INDEX(職員マスタ!$E$6:$E$405,$AP440)&lt;&gt;"",$Q440&lt;&gt;INDEX(職員マスタ!$E$6:$E$405,$AP440)),"子の生年月日がマスタと相違／","")&amp;IF(AND($L440&lt;&gt;"",INDEX(職員マスタ!$G$6:$G$405,$AP440)&lt;&gt;"",$L440&lt;&gt;INDEX(職員マスタ!$G$6:$G$405,$AP440)),"時短開始日がマスタと相違／","")&amp;IF(AND($M440&lt;&gt;"",INDEX(職員マスタ!$H$6:$H$405,$AP440)&lt;&gt;"",$M440&lt;&gt;INDEX(職員マスタ!$H$6:$H$405,$AP440)),"時短終了日がマスタと相違／","")))&amp;IF(AND($B440&lt;&gt;"",$E440=""),"報酬額が未入力／","")&amp;IF(N($U440)&gt;0,"申請書に入力エラーが残っています／","")&amp;IF(AND($B440&lt;&gt;"",$AQ440&lt;&gt;""),IF(COUNTIFS($B$6:$B$3005,$B440,$C$6:$C$3005,$C440,$D$6:$D$3005,$D440)&gt;1,"同じ月の請求が重複しています／",""),"")&amp;IF(AND(N($E440)&gt;0,$AB440&lt;&gt;"",$AB440&lt;&gt;"×",$AE440=0,$AD440=""),"計算額が下限以下のため不支給／",""))</f>
        <v/>
      </c>
      <c r="AN440" s="12" t="inlineStr">
        <is>
          <t>保留　通勤⇒支給</t>
        </is>
      </c>
      <c r="AO440" s="14">
        <f>IF($AF440="保留中",COUNTIF($AF$6:$AF440,"保留中"),"")</f>
        <v/>
      </c>
      <c r="AP440" s="14">
        <f>IF($AQ440="","",IF(SUMPRODUCT(MAX((職員マスタ!$A$6:$A$405=$B440)*(((職員マスタ!$G$6:$G$405="")+(職員マスタ!$G$6:$G$405&lt;=EOMONTH($AQ440,0)))&gt;0)*(((職員マスタ!$H$6:$H$405="")+(職員マスタ!$H$6:$H$405&gt;=$AQ440))&gt;0)*(ROW(職員マスタ!$A$6:$A$405)-5)))&gt;0,SUMPRODUCT(MAX((職員マスタ!$A$6:$A$405=$B440)*(((職員マスタ!$G$6:$G$405="")+(職員マスタ!$G$6:$G$405&lt;=EOMONTH($AQ440,0)))&gt;0)*(((職員マスタ!$H$6:$H$405="")+(職員マスタ!$H$6:$H$405&gt;=$AQ440))&gt;0)*(ROW(職員マスタ!$A$6:$A$405)-5))),IFERROR(MATCH($B440,職員マスタ!$A$6:$A$405,0),"")))</f>
        <v/>
      </c>
      <c r="AQ440" s="16">
        <f>IF(OR($B440="",$C440="",$D440=""),"",DATE($C440+2018,$D440,1))</f>
        <v/>
      </c>
    </row>
    <row r="441">
      <c r="A441" s="11" t="n"/>
      <c r="B441" s="12" t="n">
        <v>7101892</v>
      </c>
      <c r="C441" s="12" t="n">
        <v>7</v>
      </c>
      <c r="D441" s="12" t="n">
        <v>6</v>
      </c>
      <c r="E441" s="13" t="n">
        <v>201422</v>
      </c>
      <c r="F441" s="12" t="n"/>
      <c r="G441" s="13" t="n"/>
      <c r="H441" s="12" t="n"/>
      <c r="I441" s="12" t="n"/>
      <c r="J441" s="12" t="n"/>
      <c r="K441" s="12" t="n"/>
      <c r="L441" s="11" t="n"/>
      <c r="M441" s="11" t="n"/>
      <c r="N441" s="11" t="n"/>
      <c r="O441" s="11" t="n"/>
      <c r="P441" s="12" t="n"/>
      <c r="Q441" s="11" t="n"/>
      <c r="R441" s="12" t="n"/>
      <c r="S441" s="11" t="n"/>
      <c r="T441" s="12" t="n"/>
      <c r="U441" s="12" t="n"/>
      <c r="V441" s="12" t="n"/>
      <c r="W441" s="13" t="n"/>
      <c r="X441" s="14">
        <f>IF($AP441="",IF($B441="","",$H441),IF(INDEX(職員マスタ!$B$6:$B$405,$AP441)="",$H441,INDEX(職員マスタ!$B$6:$B$405,$AP441)))</f>
        <v/>
      </c>
      <c r="Y441" s="14">
        <f>IF($AP441="",IF($B441="","",$R441),IF(INDEX(職員マスタ!$C$6:$C$405,$AP441)="",$R441,INDEX(職員マスタ!$C$6:$C$405,$AP441)))</f>
        <v/>
      </c>
      <c r="Z441" s="14">
        <f>IF($AQ441="","","R"&amp;$C441&amp;"."&amp;$D441)</f>
        <v/>
      </c>
      <c r="AA441" s="15">
        <f>IF(IF($AP441="",FALSE,INDEX(職員マスタ!$K$6:$K$405,$AP441)&lt;&gt;""),INDEX(職員マスタ!$K$6:$K$405,$AP441),IF(N($W441)&gt;0,$W441,""))</f>
        <v/>
      </c>
      <c r="AB441" s="14">
        <f>IF(OR($E441="",$AA441=""),"",IF($E441&gt;=$AA441,"×",IF($E441&gt;=$AA441*設定!$C$5,"△","○")))</f>
        <v/>
      </c>
      <c r="AC441" s="15">
        <f>IF($AB441="","",IF($AB441="×",0,IF($AB441="○",ROUNDDOWN($E441*設定!$C$4,0),ROUNDDOWN($E441*ROUND((9*$AA441-9*$E441)/(10*$E441),4),0))))</f>
        <v/>
      </c>
      <c r="AD441" s="13" t="n"/>
      <c r="AE441" s="15">
        <f>IF($B441="","",IF($AD441&lt;&gt;"",$AD441,IF($AC441="","",IF($AC441&lt;=設定!$C$3,0,$AC441))))</f>
        <v/>
      </c>
      <c r="AF441" s="14">
        <f>IF($B441="","",IF(AND($AG441&lt;&gt;"",$AI441="",$AL441=""),"保留中",IF($AL441&lt;&gt;"",IF(N($AE441)&gt;0,"支給済","不支給"),IF($AE441="","要確認",IF($AE441=0,"不支給","未処理")))))</f>
        <v/>
      </c>
      <c r="AG441" s="12" t="inlineStr">
        <is>
          <t>通勤手当の確認</t>
        </is>
      </c>
      <c r="AH441" s="11" t="n"/>
      <c r="AI441" s="11" t="n"/>
      <c r="AJ441" s="11" t="n"/>
      <c r="AK441" s="14">
        <f>IF(AND($AF441="保留中",$AH441&lt;&gt;""),TODAY()-$AH441,"")</f>
        <v/>
      </c>
      <c r="AL441" s="12" t="inlineStr">
        <is>
          <t>R7.11</t>
        </is>
      </c>
      <c r="AM441" s="14">
        <f>IF($B441="","",IF($AQ441="","対象年月が未入力／","")&amp;IF($B441="","",IF($AP441="","職員マスタに未登録の職員番号／",IF($AA441="","標準報酬月額が未登録／","")&amp;IF(AND($AQ441&lt;&gt;"",OR(AND(INDEX(職員マスタ!$G$6:$G$405,$AP441)&lt;&gt;"",INDEX(職員マスタ!$G$6:$G$405,$AP441)&gt;EOMONTH($AQ441,0)),AND(INDEX(職員マスタ!$H$6:$H$405,$AP441)&lt;&gt;"",INDEX(職員マスタ!$H$6:$H$405,$AP441)&lt;$AQ441))),"対象月が時短期間外／","")&amp;IF(AND(INDEX(職員マスタ!$K$6:$K$405,$AP441)&lt;&gt;"",N($W441)&gt;0,INDEX(職員マスタ!$K$6:$K$405,$AP441)&lt;&gt;$W441),"標準報酬月額が申請書と相違（台帳"&amp;TEXT(INDEX(職員マスタ!$K$6:$K$405,$AP441),"#,##0")&amp;"円／申請書"&amp;TEXT($W441,"#,##0")&amp;"円）／","")&amp;IF(AND(INDEX(職員マスタ!$F$6:$F$405,$AP441)&lt;&gt;"",$AQ441&lt;&gt;"",INDEX(職員マスタ!$F$6:$F$405,$AP441)&lt;$AQ441),"対象月に子が2歳到達済／","")&amp;IF(AND($H441&lt;&gt;"",INDEX(職員マスタ!$B$6:$B$405,$AP441)&lt;&gt;"",SUBSTITUTE(SUBSTITUTE($H441," ","")," ","")&lt;&gt;SUBSTITUTE(SUBSTITUTE(INDEX(職員マスタ!$B$6:$B$405,$AP441)," ","")," ","")),"氏名がマスタと相違／","")&amp;IF(AND($Q441&lt;&gt;"",INDEX(職員マスタ!$E$6:$E$405,$AP441)&lt;&gt;"",$Q441&lt;&gt;INDEX(職員マスタ!$E$6:$E$405,$AP441)),"子の生年月日がマスタと相違／","")&amp;IF(AND($L441&lt;&gt;"",INDEX(職員マスタ!$G$6:$G$405,$AP441)&lt;&gt;"",$L441&lt;&gt;INDEX(職員マスタ!$G$6:$G$405,$AP441)),"時短開始日がマスタと相違／","")&amp;IF(AND($M441&lt;&gt;"",INDEX(職員マスタ!$H$6:$H$405,$AP441)&lt;&gt;"",$M441&lt;&gt;INDEX(職員マスタ!$H$6:$H$405,$AP441)),"時短終了日がマスタと相違／","")))&amp;IF(AND($B441&lt;&gt;"",$E441=""),"報酬額が未入力／","")&amp;IF(N($U441)&gt;0,"申請書に入力エラーが残っています／","")&amp;IF(AND($B441&lt;&gt;"",$AQ441&lt;&gt;""),IF(COUNTIFS($B$6:$B$3005,$B441,$C$6:$C$3005,$C441,$D$6:$D$3005,$D441)&gt;1,"同じ月の請求が重複しています／",""),"")&amp;IF(AND(N($E441)&gt;0,$AB441&lt;&gt;"",$AB441&lt;&gt;"×",$AE441=0,$AD441=""),"計算額が下限以下のため不支給／",""))</f>
        <v/>
      </c>
      <c r="AN441" s="12" t="inlineStr">
        <is>
          <t>保留　通勤⇒支給</t>
        </is>
      </c>
      <c r="AO441" s="14">
        <f>IF($AF441="保留中",COUNTIF($AF$6:$AF441,"保留中"),"")</f>
        <v/>
      </c>
      <c r="AP441" s="14">
        <f>IF($AQ441="","",IF(SUMPRODUCT(MAX((職員マスタ!$A$6:$A$405=$B441)*(((職員マスタ!$G$6:$G$405="")+(職員マスタ!$G$6:$G$405&lt;=EOMONTH($AQ441,0)))&gt;0)*(((職員マスタ!$H$6:$H$405="")+(職員マスタ!$H$6:$H$405&gt;=$AQ441))&gt;0)*(ROW(職員マスタ!$A$6:$A$405)-5)))&gt;0,SUMPRODUCT(MAX((職員マスタ!$A$6:$A$405=$B441)*(((職員マスタ!$G$6:$G$405="")+(職員マスタ!$G$6:$G$405&lt;=EOMONTH($AQ441,0)))&gt;0)*(((職員マスタ!$H$6:$H$405="")+(職員マスタ!$H$6:$H$405&gt;=$AQ441))&gt;0)*(ROW(職員マスタ!$A$6:$A$405)-5))),IFERROR(MATCH($B441,職員マスタ!$A$6:$A$405,0),"")))</f>
        <v/>
      </c>
      <c r="AQ441" s="16">
        <f>IF(OR($B441="",$C441="",$D441=""),"",DATE($C441+2018,$D441,1))</f>
        <v/>
      </c>
    </row>
    <row r="442">
      <c r="A442" s="11" t="n"/>
      <c r="B442" s="12" t="n">
        <v>7101892</v>
      </c>
      <c r="C442" s="12" t="n">
        <v>7</v>
      </c>
      <c r="D442" s="12" t="n">
        <v>7</v>
      </c>
      <c r="E442" s="13" t="n">
        <v>196716</v>
      </c>
      <c r="F442" s="12" t="n"/>
      <c r="G442" s="13" t="n"/>
      <c r="H442" s="12" t="n"/>
      <c r="I442" s="12" t="n"/>
      <c r="J442" s="12" t="n"/>
      <c r="K442" s="12" t="n"/>
      <c r="L442" s="11" t="n"/>
      <c r="M442" s="11" t="n"/>
      <c r="N442" s="11" t="n"/>
      <c r="O442" s="11" t="n"/>
      <c r="P442" s="12" t="n"/>
      <c r="Q442" s="11" t="n"/>
      <c r="R442" s="12" t="n"/>
      <c r="S442" s="11" t="n"/>
      <c r="T442" s="12" t="n"/>
      <c r="U442" s="12" t="n"/>
      <c r="V442" s="12" t="n"/>
      <c r="W442" s="13" t="n"/>
      <c r="X442" s="14">
        <f>IF($AP442="",IF($B442="","",$H442),IF(INDEX(職員マスタ!$B$6:$B$405,$AP442)="",$H442,INDEX(職員マスタ!$B$6:$B$405,$AP442)))</f>
        <v/>
      </c>
      <c r="Y442" s="14">
        <f>IF($AP442="",IF($B442="","",$R442),IF(INDEX(職員マスタ!$C$6:$C$405,$AP442)="",$R442,INDEX(職員マスタ!$C$6:$C$405,$AP442)))</f>
        <v/>
      </c>
      <c r="Z442" s="14">
        <f>IF($AQ442="","","R"&amp;$C442&amp;"."&amp;$D442)</f>
        <v/>
      </c>
      <c r="AA442" s="15">
        <f>IF(IF($AP442="",FALSE,INDEX(職員マスタ!$K$6:$K$405,$AP442)&lt;&gt;""),INDEX(職員マスタ!$K$6:$K$405,$AP442),IF(N($W442)&gt;0,$W442,""))</f>
        <v/>
      </c>
      <c r="AB442" s="14">
        <f>IF(OR($E442="",$AA442=""),"",IF($E442&gt;=$AA442,"×",IF($E442&gt;=$AA442*設定!$C$5,"△","○")))</f>
        <v/>
      </c>
      <c r="AC442" s="15">
        <f>IF($AB442="","",IF($AB442="×",0,IF($AB442="○",ROUNDDOWN($E442*設定!$C$4,0),ROUNDDOWN($E442*ROUND((9*$AA442-9*$E442)/(10*$E442),4),0))))</f>
        <v/>
      </c>
      <c r="AD442" s="13" t="n"/>
      <c r="AE442" s="15">
        <f>IF($B442="","",IF($AD442&lt;&gt;"",$AD442,IF($AC442="","",IF($AC442&lt;=設定!$C$3,0,$AC442))))</f>
        <v/>
      </c>
      <c r="AF442" s="14">
        <f>IF($B442="","",IF(AND($AG442&lt;&gt;"",$AI442="",$AL442=""),"保留中",IF($AL442&lt;&gt;"",IF(N($AE442)&gt;0,"支給済","不支給"),IF($AE442="","要確認",IF($AE442=0,"不支給","未処理")))))</f>
        <v/>
      </c>
      <c r="AG442" s="12" t="n"/>
      <c r="AH442" s="11" t="n"/>
      <c r="AI442" s="11" t="n"/>
      <c r="AJ442" s="11" t="n"/>
      <c r="AK442" s="14">
        <f>IF(AND($AF442="保留中",$AH442&lt;&gt;""),TODAY()-$AH442,"")</f>
        <v/>
      </c>
      <c r="AL442" s="12" t="inlineStr">
        <is>
          <t>R7.9</t>
        </is>
      </c>
      <c r="AM442" s="14">
        <f>IF($B442="","",IF($AQ442="","対象年月が未入力／","")&amp;IF($B442="","",IF($AP442="","職員マスタに未登録の職員番号／",IF($AA442="","標準報酬月額が未登録／","")&amp;IF(AND($AQ442&lt;&gt;"",OR(AND(INDEX(職員マスタ!$G$6:$G$405,$AP442)&lt;&gt;"",INDEX(職員マスタ!$G$6:$G$405,$AP442)&gt;EOMONTH($AQ442,0)),AND(INDEX(職員マスタ!$H$6:$H$405,$AP442)&lt;&gt;"",INDEX(職員マスタ!$H$6:$H$405,$AP442)&lt;$AQ442))),"対象月が時短期間外／","")&amp;IF(AND(INDEX(職員マスタ!$K$6:$K$405,$AP442)&lt;&gt;"",N($W442)&gt;0,INDEX(職員マスタ!$K$6:$K$405,$AP442)&lt;&gt;$W442),"標準報酬月額が申請書と相違（台帳"&amp;TEXT(INDEX(職員マスタ!$K$6:$K$405,$AP442),"#,##0")&amp;"円／申請書"&amp;TEXT($W442,"#,##0")&amp;"円）／","")&amp;IF(AND(INDEX(職員マスタ!$F$6:$F$405,$AP442)&lt;&gt;"",$AQ442&lt;&gt;"",INDEX(職員マスタ!$F$6:$F$405,$AP442)&lt;$AQ442),"対象月に子が2歳到達済／","")&amp;IF(AND($H442&lt;&gt;"",INDEX(職員マスタ!$B$6:$B$405,$AP442)&lt;&gt;"",SUBSTITUTE(SUBSTITUTE($H442," ","")," ","")&lt;&gt;SUBSTITUTE(SUBSTITUTE(INDEX(職員マスタ!$B$6:$B$405,$AP442)," ","")," ","")),"氏名がマスタと相違／","")&amp;IF(AND($Q442&lt;&gt;"",INDEX(職員マスタ!$E$6:$E$405,$AP442)&lt;&gt;"",$Q442&lt;&gt;INDEX(職員マスタ!$E$6:$E$405,$AP442)),"子の生年月日がマスタと相違／","")&amp;IF(AND($L442&lt;&gt;"",INDEX(職員マスタ!$G$6:$G$405,$AP442)&lt;&gt;"",$L442&lt;&gt;INDEX(職員マスタ!$G$6:$G$405,$AP442)),"時短開始日がマスタと相違／","")&amp;IF(AND($M442&lt;&gt;"",INDEX(職員マスタ!$H$6:$H$405,$AP442)&lt;&gt;"",$M442&lt;&gt;INDEX(職員マスタ!$H$6:$H$405,$AP442)),"時短終了日がマスタと相違／","")))&amp;IF(AND($B442&lt;&gt;"",$E442=""),"報酬額が未入力／","")&amp;IF(N($U442)&gt;0,"申請書に入力エラーが残っています／","")&amp;IF(AND($B442&lt;&gt;"",$AQ442&lt;&gt;""),IF(COUNTIFS($B$6:$B$3005,$B442,$C$6:$C$3005,$C442,$D$6:$D$3005,$D442)&gt;1,"同じ月の請求が重複しています／",""),"")&amp;IF(AND(N($E442)&gt;0,$AB442&lt;&gt;"",$AB442&lt;&gt;"×",$AE442=0,$AD442=""),"計算額が下限以下のため不支給／",""))</f>
        <v/>
      </c>
      <c r="AN442" s="12" t="n"/>
      <c r="AO442" s="14">
        <f>IF($AF442="保留中",COUNTIF($AF$6:$AF442,"保留中"),"")</f>
        <v/>
      </c>
      <c r="AP442" s="14">
        <f>IF($AQ442="","",IF(SUMPRODUCT(MAX((職員マスタ!$A$6:$A$405=$B442)*(((職員マスタ!$G$6:$G$405="")+(職員マスタ!$G$6:$G$405&lt;=EOMONTH($AQ442,0)))&gt;0)*(((職員マスタ!$H$6:$H$405="")+(職員マスタ!$H$6:$H$405&gt;=$AQ442))&gt;0)*(ROW(職員マスタ!$A$6:$A$405)-5)))&gt;0,SUMPRODUCT(MAX((職員マスタ!$A$6:$A$405=$B442)*(((職員マスタ!$G$6:$G$405="")+(職員マスタ!$G$6:$G$405&lt;=EOMONTH($AQ442,0)))&gt;0)*(((職員マスタ!$H$6:$H$405="")+(職員マスタ!$H$6:$H$405&gt;=$AQ442))&gt;0)*(ROW(職員マスタ!$A$6:$A$405)-5))),IFERROR(MATCH($B442,職員マスタ!$A$6:$A$405,0),"")))</f>
        <v/>
      </c>
      <c r="AQ442" s="16">
        <f>IF(OR($B442="",$C442="",$D442=""),"",DATE($C442+2018,$D442,1))</f>
        <v/>
      </c>
    </row>
    <row r="443">
      <c r="A443" s="11" t="n"/>
      <c r="B443" s="12" t="n">
        <v>7101892</v>
      </c>
      <c r="C443" s="12" t="n">
        <v>7</v>
      </c>
      <c r="D443" s="12" t="n">
        <v>8</v>
      </c>
      <c r="E443" s="13" t="n">
        <v>196716</v>
      </c>
      <c r="F443" s="12" t="n"/>
      <c r="G443" s="13" t="n"/>
      <c r="H443" s="12" t="n"/>
      <c r="I443" s="12" t="n"/>
      <c r="J443" s="12" t="n"/>
      <c r="K443" s="12" t="n"/>
      <c r="L443" s="11" t="n"/>
      <c r="M443" s="11" t="n"/>
      <c r="N443" s="11" t="n"/>
      <c r="O443" s="11" t="n"/>
      <c r="P443" s="12" t="n"/>
      <c r="Q443" s="11" t="n"/>
      <c r="R443" s="12" t="n"/>
      <c r="S443" s="11" t="n"/>
      <c r="T443" s="12" t="n"/>
      <c r="U443" s="12" t="n"/>
      <c r="V443" s="12" t="n"/>
      <c r="W443" s="13" t="n"/>
      <c r="X443" s="14">
        <f>IF($AP443="",IF($B443="","",$H443),IF(INDEX(職員マスタ!$B$6:$B$405,$AP443)="",$H443,INDEX(職員マスタ!$B$6:$B$405,$AP443)))</f>
        <v/>
      </c>
      <c r="Y443" s="14">
        <f>IF($AP443="",IF($B443="","",$R443),IF(INDEX(職員マスタ!$C$6:$C$405,$AP443)="",$R443,INDEX(職員マスタ!$C$6:$C$405,$AP443)))</f>
        <v/>
      </c>
      <c r="Z443" s="14">
        <f>IF($AQ443="","","R"&amp;$C443&amp;"."&amp;$D443)</f>
        <v/>
      </c>
      <c r="AA443" s="15">
        <f>IF(IF($AP443="",FALSE,INDEX(職員マスタ!$K$6:$K$405,$AP443)&lt;&gt;""),INDEX(職員マスタ!$K$6:$K$405,$AP443),IF(N($W443)&gt;0,$W443,""))</f>
        <v/>
      </c>
      <c r="AB443" s="14">
        <f>IF(OR($E443="",$AA443=""),"",IF($E443&gt;=$AA443,"×",IF($E443&gt;=$AA443*設定!$C$5,"△","○")))</f>
        <v/>
      </c>
      <c r="AC443" s="15">
        <f>IF($AB443="","",IF($AB443="×",0,IF($AB443="○",ROUNDDOWN($E443*設定!$C$4,0),ROUNDDOWN($E443*ROUND((9*$AA443-9*$E443)/(10*$E443),4),0))))</f>
        <v/>
      </c>
      <c r="AD443" s="13" t="n"/>
      <c r="AE443" s="15">
        <f>IF($B443="","",IF($AD443&lt;&gt;"",$AD443,IF($AC443="","",IF($AC443&lt;=設定!$C$3,0,$AC443))))</f>
        <v/>
      </c>
      <c r="AF443" s="14">
        <f>IF($B443="","",IF(AND($AG443&lt;&gt;"",$AI443="",$AL443=""),"保留中",IF($AL443&lt;&gt;"",IF(N($AE443)&gt;0,"支給済","不支給"),IF($AE443="","要確認",IF($AE443=0,"不支給","未処理")))))</f>
        <v/>
      </c>
      <c r="AG443" s="12" t="n"/>
      <c r="AH443" s="11" t="n"/>
      <c r="AI443" s="11" t="n"/>
      <c r="AJ443" s="11" t="n"/>
      <c r="AK443" s="14">
        <f>IF(AND($AF443="保留中",$AH443&lt;&gt;""),TODAY()-$AH443,"")</f>
        <v/>
      </c>
      <c r="AL443" s="12" t="inlineStr">
        <is>
          <t>R7.10</t>
        </is>
      </c>
      <c r="AM443" s="14">
        <f>IF($B443="","",IF($AQ443="","対象年月が未入力／","")&amp;IF($B443="","",IF($AP443="","職員マスタに未登録の職員番号／",IF($AA443="","標準報酬月額が未登録／","")&amp;IF(AND($AQ443&lt;&gt;"",OR(AND(INDEX(職員マスタ!$G$6:$G$405,$AP443)&lt;&gt;"",INDEX(職員マスタ!$G$6:$G$405,$AP443)&gt;EOMONTH($AQ443,0)),AND(INDEX(職員マスタ!$H$6:$H$405,$AP443)&lt;&gt;"",INDEX(職員マスタ!$H$6:$H$405,$AP443)&lt;$AQ443))),"対象月が時短期間外／","")&amp;IF(AND(INDEX(職員マスタ!$K$6:$K$405,$AP443)&lt;&gt;"",N($W443)&gt;0,INDEX(職員マスタ!$K$6:$K$405,$AP443)&lt;&gt;$W443),"標準報酬月額が申請書と相違（台帳"&amp;TEXT(INDEX(職員マスタ!$K$6:$K$405,$AP443),"#,##0")&amp;"円／申請書"&amp;TEXT($W443,"#,##0")&amp;"円）／","")&amp;IF(AND(INDEX(職員マスタ!$F$6:$F$405,$AP443)&lt;&gt;"",$AQ443&lt;&gt;"",INDEX(職員マスタ!$F$6:$F$405,$AP443)&lt;$AQ443),"対象月に子が2歳到達済／","")&amp;IF(AND($H443&lt;&gt;"",INDEX(職員マスタ!$B$6:$B$405,$AP443)&lt;&gt;"",SUBSTITUTE(SUBSTITUTE($H443," ","")," ","")&lt;&gt;SUBSTITUTE(SUBSTITUTE(INDEX(職員マスタ!$B$6:$B$405,$AP443)," ","")," ","")),"氏名がマスタと相違／","")&amp;IF(AND($Q443&lt;&gt;"",INDEX(職員マスタ!$E$6:$E$405,$AP443)&lt;&gt;"",$Q443&lt;&gt;INDEX(職員マスタ!$E$6:$E$405,$AP443)),"子の生年月日がマスタと相違／","")&amp;IF(AND($L443&lt;&gt;"",INDEX(職員マスタ!$G$6:$G$405,$AP443)&lt;&gt;"",$L443&lt;&gt;INDEX(職員マスタ!$G$6:$G$405,$AP443)),"時短開始日がマスタと相違／","")&amp;IF(AND($M443&lt;&gt;"",INDEX(職員マスタ!$H$6:$H$405,$AP443)&lt;&gt;"",$M443&lt;&gt;INDEX(職員マスタ!$H$6:$H$405,$AP443)),"時短終了日がマスタと相違／","")))&amp;IF(AND($B443&lt;&gt;"",$E443=""),"報酬額が未入力／","")&amp;IF(N($U443)&gt;0,"申請書に入力エラーが残っています／","")&amp;IF(AND($B443&lt;&gt;"",$AQ443&lt;&gt;""),IF(COUNTIFS($B$6:$B$3005,$B443,$C$6:$C$3005,$C443,$D$6:$D$3005,$D443)&gt;1,"同じ月の請求が重複しています／",""),"")&amp;IF(AND(N($E443)&gt;0,$AB443&lt;&gt;"",$AB443&lt;&gt;"×",$AE443=0,$AD443=""),"計算額が下限以下のため不支給／",""))</f>
        <v/>
      </c>
      <c r="AN443" s="12" t="n"/>
      <c r="AO443" s="14">
        <f>IF($AF443="保留中",COUNTIF($AF$6:$AF443,"保留中"),"")</f>
        <v/>
      </c>
      <c r="AP443" s="14">
        <f>IF($AQ443="","",IF(SUMPRODUCT(MAX((職員マスタ!$A$6:$A$405=$B443)*(((職員マスタ!$G$6:$G$405="")+(職員マスタ!$G$6:$G$405&lt;=EOMONTH($AQ443,0)))&gt;0)*(((職員マスタ!$H$6:$H$405="")+(職員マスタ!$H$6:$H$405&gt;=$AQ443))&gt;0)*(ROW(職員マスタ!$A$6:$A$405)-5)))&gt;0,SUMPRODUCT(MAX((職員マスタ!$A$6:$A$405=$B443)*(((職員マスタ!$G$6:$G$405="")+(職員マスタ!$G$6:$G$405&lt;=EOMONTH($AQ443,0)))&gt;0)*(((職員マスタ!$H$6:$H$405="")+(職員マスタ!$H$6:$H$405&gt;=$AQ443))&gt;0)*(ROW(職員マスタ!$A$6:$A$405)-5))),IFERROR(MATCH($B443,職員マスタ!$A$6:$A$405,0),"")))</f>
        <v/>
      </c>
      <c r="AQ443" s="16">
        <f>IF(OR($B443="",$C443="",$D443=""),"",DATE($C443+2018,$D443,1))</f>
        <v/>
      </c>
    </row>
    <row r="444">
      <c r="A444" s="11" t="n"/>
      <c r="B444" s="12" t="n">
        <v>7101892</v>
      </c>
      <c r="C444" s="12" t="n">
        <v>7</v>
      </c>
      <c r="D444" s="12" t="n">
        <v>9</v>
      </c>
      <c r="E444" s="13" t="n">
        <v>196716</v>
      </c>
      <c r="F444" s="12" t="n"/>
      <c r="G444" s="13" t="n"/>
      <c r="H444" s="12" t="n"/>
      <c r="I444" s="12" t="n"/>
      <c r="J444" s="12" t="n"/>
      <c r="K444" s="12" t="n"/>
      <c r="L444" s="11" t="n"/>
      <c r="M444" s="11" t="n"/>
      <c r="N444" s="11" t="n"/>
      <c r="O444" s="11" t="n"/>
      <c r="P444" s="12" t="n"/>
      <c r="Q444" s="11" t="n"/>
      <c r="R444" s="12" t="n"/>
      <c r="S444" s="11" t="n"/>
      <c r="T444" s="12" t="n"/>
      <c r="U444" s="12" t="n"/>
      <c r="V444" s="12" t="n"/>
      <c r="W444" s="13" t="n"/>
      <c r="X444" s="14">
        <f>IF($AP444="",IF($B444="","",$H444),IF(INDEX(職員マスタ!$B$6:$B$405,$AP444)="",$H444,INDEX(職員マスタ!$B$6:$B$405,$AP444)))</f>
        <v/>
      </c>
      <c r="Y444" s="14">
        <f>IF($AP444="",IF($B444="","",$R444),IF(INDEX(職員マスタ!$C$6:$C$405,$AP444)="",$R444,INDEX(職員マスタ!$C$6:$C$405,$AP444)))</f>
        <v/>
      </c>
      <c r="Z444" s="14">
        <f>IF($AQ444="","","R"&amp;$C444&amp;"."&amp;$D444)</f>
        <v/>
      </c>
      <c r="AA444" s="15">
        <f>IF(IF($AP444="",FALSE,INDEX(職員マスタ!$K$6:$K$405,$AP444)&lt;&gt;""),INDEX(職員マスタ!$K$6:$K$405,$AP444),IF(N($W444)&gt;0,$W444,""))</f>
        <v/>
      </c>
      <c r="AB444" s="14">
        <f>IF(OR($E444="",$AA444=""),"",IF($E444&gt;=$AA444,"×",IF($E444&gt;=$AA444*設定!$C$5,"△","○")))</f>
        <v/>
      </c>
      <c r="AC444" s="15">
        <f>IF($AB444="","",IF($AB444="×",0,IF($AB444="○",ROUNDDOWN($E444*設定!$C$4,0),ROUNDDOWN($E444*ROUND((9*$AA444-9*$E444)/(10*$E444),4),0))))</f>
        <v/>
      </c>
      <c r="AD444" s="13" t="n"/>
      <c r="AE444" s="15">
        <f>IF($B444="","",IF($AD444&lt;&gt;"",$AD444,IF($AC444="","",IF($AC444&lt;=設定!$C$3,0,$AC444))))</f>
        <v/>
      </c>
      <c r="AF444" s="14">
        <f>IF($B444="","",IF(AND($AG444&lt;&gt;"",$AI444="",$AL444=""),"保留中",IF($AL444&lt;&gt;"",IF(N($AE444)&gt;0,"支給済","不支給"),IF($AE444="","要確認",IF($AE444=0,"不支給","未処理")))))</f>
        <v/>
      </c>
      <c r="AG444" s="12" t="n"/>
      <c r="AH444" s="11" t="n"/>
      <c r="AI444" s="11" t="n"/>
      <c r="AJ444" s="11" t="n"/>
      <c r="AK444" s="14">
        <f>IF(AND($AF444="保留中",$AH444&lt;&gt;""),TODAY()-$AH444,"")</f>
        <v/>
      </c>
      <c r="AL444" s="12" t="inlineStr">
        <is>
          <t>R7.11</t>
        </is>
      </c>
      <c r="AM444" s="14">
        <f>IF($B444="","",IF($AQ444="","対象年月が未入力／","")&amp;IF($B444="","",IF($AP444="","職員マスタに未登録の職員番号／",IF($AA444="","標準報酬月額が未登録／","")&amp;IF(AND($AQ444&lt;&gt;"",OR(AND(INDEX(職員マスタ!$G$6:$G$405,$AP444)&lt;&gt;"",INDEX(職員マスタ!$G$6:$G$405,$AP444)&gt;EOMONTH($AQ444,0)),AND(INDEX(職員マスタ!$H$6:$H$405,$AP444)&lt;&gt;"",INDEX(職員マスタ!$H$6:$H$405,$AP444)&lt;$AQ444))),"対象月が時短期間外／","")&amp;IF(AND(INDEX(職員マスタ!$K$6:$K$405,$AP444)&lt;&gt;"",N($W444)&gt;0,INDEX(職員マスタ!$K$6:$K$405,$AP444)&lt;&gt;$W444),"標準報酬月額が申請書と相違（台帳"&amp;TEXT(INDEX(職員マスタ!$K$6:$K$405,$AP444),"#,##0")&amp;"円／申請書"&amp;TEXT($W444,"#,##0")&amp;"円）／","")&amp;IF(AND(INDEX(職員マスタ!$F$6:$F$405,$AP444)&lt;&gt;"",$AQ444&lt;&gt;"",INDEX(職員マスタ!$F$6:$F$405,$AP444)&lt;$AQ444),"対象月に子が2歳到達済／","")&amp;IF(AND($H444&lt;&gt;"",INDEX(職員マスタ!$B$6:$B$405,$AP444)&lt;&gt;"",SUBSTITUTE(SUBSTITUTE($H444," ","")," ","")&lt;&gt;SUBSTITUTE(SUBSTITUTE(INDEX(職員マスタ!$B$6:$B$405,$AP444)," ","")," ","")),"氏名がマスタと相違／","")&amp;IF(AND($Q444&lt;&gt;"",INDEX(職員マスタ!$E$6:$E$405,$AP444)&lt;&gt;"",$Q444&lt;&gt;INDEX(職員マスタ!$E$6:$E$405,$AP444)),"子の生年月日がマスタと相違／","")&amp;IF(AND($L444&lt;&gt;"",INDEX(職員マスタ!$G$6:$G$405,$AP444)&lt;&gt;"",$L444&lt;&gt;INDEX(職員マスタ!$G$6:$G$405,$AP444)),"時短開始日がマスタと相違／","")&amp;IF(AND($M444&lt;&gt;"",INDEX(職員マスタ!$H$6:$H$405,$AP444)&lt;&gt;"",$M444&lt;&gt;INDEX(職員マスタ!$H$6:$H$405,$AP444)),"時短終了日がマスタと相違／","")))&amp;IF(AND($B444&lt;&gt;"",$E444=""),"報酬額が未入力／","")&amp;IF(N($U444)&gt;0,"申請書に入力エラーが残っています／","")&amp;IF(AND($B444&lt;&gt;"",$AQ444&lt;&gt;""),IF(COUNTIFS($B$6:$B$3005,$B444,$C$6:$C$3005,$C444,$D$6:$D$3005,$D444)&gt;1,"同じ月の請求が重複しています／",""),"")&amp;IF(AND(N($E444)&gt;0,$AB444&lt;&gt;"",$AB444&lt;&gt;"×",$AE444=0,$AD444=""),"計算額が下限以下のため不支給／",""))</f>
        <v/>
      </c>
      <c r="AN444" s="12" t="n"/>
      <c r="AO444" s="14">
        <f>IF($AF444="保留中",COUNTIF($AF$6:$AF444,"保留中"),"")</f>
        <v/>
      </c>
      <c r="AP444" s="14">
        <f>IF($AQ444="","",IF(SUMPRODUCT(MAX((職員マスタ!$A$6:$A$405=$B444)*(((職員マスタ!$G$6:$G$405="")+(職員マスタ!$G$6:$G$405&lt;=EOMONTH($AQ444,0)))&gt;0)*(((職員マスタ!$H$6:$H$405="")+(職員マスタ!$H$6:$H$405&gt;=$AQ444))&gt;0)*(ROW(職員マスタ!$A$6:$A$405)-5)))&gt;0,SUMPRODUCT(MAX((職員マスタ!$A$6:$A$405=$B444)*(((職員マスタ!$G$6:$G$405="")+(職員マスタ!$G$6:$G$405&lt;=EOMONTH($AQ444,0)))&gt;0)*(((職員マスタ!$H$6:$H$405="")+(職員マスタ!$H$6:$H$405&gt;=$AQ444))&gt;0)*(ROW(職員マスタ!$A$6:$A$405)-5))),IFERROR(MATCH($B444,職員マスタ!$A$6:$A$405,0),"")))</f>
        <v/>
      </c>
      <c r="AQ444" s="16">
        <f>IF(OR($B444="",$C444="",$D444=""),"",DATE($C444+2018,$D444,1))</f>
        <v/>
      </c>
    </row>
    <row r="445">
      <c r="A445" s="11" t="n"/>
      <c r="B445" s="12" t="n">
        <v>7101892</v>
      </c>
      <c r="C445" s="12" t="n">
        <v>7</v>
      </c>
      <c r="D445" s="12" t="n">
        <v>10</v>
      </c>
      <c r="E445" s="13" t="n">
        <v>196716</v>
      </c>
      <c r="F445" s="12" t="n"/>
      <c r="G445" s="13" t="n"/>
      <c r="H445" s="12" t="n"/>
      <c r="I445" s="12" t="n"/>
      <c r="J445" s="12" t="n"/>
      <c r="K445" s="12" t="n"/>
      <c r="L445" s="11" t="n"/>
      <c r="M445" s="11" t="n"/>
      <c r="N445" s="11" t="n"/>
      <c r="O445" s="11" t="n"/>
      <c r="P445" s="12" t="n"/>
      <c r="Q445" s="11" t="n"/>
      <c r="R445" s="12" t="n"/>
      <c r="S445" s="11" t="n"/>
      <c r="T445" s="12" t="n"/>
      <c r="U445" s="12" t="n"/>
      <c r="V445" s="12" t="n"/>
      <c r="W445" s="13" t="n"/>
      <c r="X445" s="14">
        <f>IF($AP445="",IF($B445="","",$H445),IF(INDEX(職員マスタ!$B$6:$B$405,$AP445)="",$H445,INDEX(職員マスタ!$B$6:$B$405,$AP445)))</f>
        <v/>
      </c>
      <c r="Y445" s="14">
        <f>IF($AP445="",IF($B445="","",$R445),IF(INDEX(職員マスタ!$C$6:$C$405,$AP445)="",$R445,INDEX(職員マスタ!$C$6:$C$405,$AP445)))</f>
        <v/>
      </c>
      <c r="Z445" s="14">
        <f>IF($AQ445="","","R"&amp;$C445&amp;"."&amp;$D445)</f>
        <v/>
      </c>
      <c r="AA445" s="15">
        <f>IF(IF($AP445="",FALSE,INDEX(職員マスタ!$K$6:$K$405,$AP445)&lt;&gt;""),INDEX(職員マスタ!$K$6:$K$405,$AP445),IF(N($W445)&gt;0,$W445,""))</f>
        <v/>
      </c>
      <c r="AB445" s="14">
        <f>IF(OR($E445="",$AA445=""),"",IF($E445&gt;=$AA445,"×",IF($E445&gt;=$AA445*設定!$C$5,"△","○")))</f>
        <v/>
      </c>
      <c r="AC445" s="15">
        <f>IF($AB445="","",IF($AB445="×",0,IF($AB445="○",ROUNDDOWN($E445*設定!$C$4,0),ROUNDDOWN($E445*ROUND((9*$AA445-9*$E445)/(10*$E445),4),0))))</f>
        <v/>
      </c>
      <c r="AD445" s="13" t="n"/>
      <c r="AE445" s="15">
        <f>IF($B445="","",IF($AD445&lt;&gt;"",$AD445,IF($AC445="","",IF($AC445&lt;=設定!$C$3,0,$AC445))))</f>
        <v/>
      </c>
      <c r="AF445" s="14">
        <f>IF($B445="","",IF(AND($AG445&lt;&gt;"",$AI445="",$AL445=""),"保留中",IF($AL445&lt;&gt;"",IF(N($AE445)&gt;0,"支給済","不支給"),IF($AE445="","要確認",IF($AE445=0,"不支給","未処理")))))</f>
        <v/>
      </c>
      <c r="AG445" s="12" t="n"/>
      <c r="AH445" s="11" t="n"/>
      <c r="AI445" s="11" t="n"/>
      <c r="AJ445" s="11" t="n"/>
      <c r="AK445" s="14">
        <f>IF(AND($AF445="保留中",$AH445&lt;&gt;""),TODAY()-$AH445,"")</f>
        <v/>
      </c>
      <c r="AL445" s="12" t="inlineStr">
        <is>
          <t>R7.12</t>
        </is>
      </c>
      <c r="AM445" s="14">
        <f>IF($B445="","",IF($AQ445="","対象年月が未入力／","")&amp;IF($B445="","",IF($AP445="","職員マスタに未登録の職員番号／",IF($AA445="","標準報酬月額が未登録／","")&amp;IF(AND($AQ445&lt;&gt;"",OR(AND(INDEX(職員マスタ!$G$6:$G$405,$AP445)&lt;&gt;"",INDEX(職員マスタ!$G$6:$G$405,$AP445)&gt;EOMONTH($AQ445,0)),AND(INDEX(職員マスタ!$H$6:$H$405,$AP445)&lt;&gt;"",INDEX(職員マスタ!$H$6:$H$405,$AP445)&lt;$AQ445))),"対象月が時短期間外／","")&amp;IF(AND(INDEX(職員マスタ!$K$6:$K$405,$AP445)&lt;&gt;"",N($W445)&gt;0,INDEX(職員マスタ!$K$6:$K$405,$AP445)&lt;&gt;$W445),"標準報酬月額が申請書と相違（台帳"&amp;TEXT(INDEX(職員マスタ!$K$6:$K$405,$AP445),"#,##0")&amp;"円／申請書"&amp;TEXT($W445,"#,##0")&amp;"円）／","")&amp;IF(AND(INDEX(職員マスタ!$F$6:$F$405,$AP445)&lt;&gt;"",$AQ445&lt;&gt;"",INDEX(職員マスタ!$F$6:$F$405,$AP445)&lt;$AQ445),"対象月に子が2歳到達済／","")&amp;IF(AND($H445&lt;&gt;"",INDEX(職員マスタ!$B$6:$B$405,$AP445)&lt;&gt;"",SUBSTITUTE(SUBSTITUTE($H445," ","")," ","")&lt;&gt;SUBSTITUTE(SUBSTITUTE(INDEX(職員マスタ!$B$6:$B$405,$AP445)," ","")," ","")),"氏名がマスタと相違／","")&amp;IF(AND($Q445&lt;&gt;"",INDEX(職員マスタ!$E$6:$E$405,$AP445)&lt;&gt;"",$Q445&lt;&gt;INDEX(職員マスタ!$E$6:$E$405,$AP445)),"子の生年月日がマスタと相違／","")&amp;IF(AND($L445&lt;&gt;"",INDEX(職員マスタ!$G$6:$G$405,$AP445)&lt;&gt;"",$L445&lt;&gt;INDEX(職員マスタ!$G$6:$G$405,$AP445)),"時短開始日がマスタと相違／","")&amp;IF(AND($M445&lt;&gt;"",INDEX(職員マスタ!$H$6:$H$405,$AP445)&lt;&gt;"",$M445&lt;&gt;INDEX(職員マスタ!$H$6:$H$405,$AP445)),"時短終了日がマスタと相違／","")))&amp;IF(AND($B445&lt;&gt;"",$E445=""),"報酬額が未入力／","")&amp;IF(N($U445)&gt;0,"申請書に入力エラーが残っています／","")&amp;IF(AND($B445&lt;&gt;"",$AQ445&lt;&gt;""),IF(COUNTIFS($B$6:$B$3005,$B445,$C$6:$C$3005,$C445,$D$6:$D$3005,$D445)&gt;1,"同じ月の請求が重複しています／",""),"")&amp;IF(AND(N($E445)&gt;0,$AB445&lt;&gt;"",$AB445&lt;&gt;"×",$AE445=0,$AD445=""),"計算額が下限以下のため不支給／",""))</f>
        <v/>
      </c>
      <c r="AN445" s="12" t="n"/>
      <c r="AO445" s="14">
        <f>IF($AF445="保留中",COUNTIF($AF$6:$AF445,"保留中"),"")</f>
        <v/>
      </c>
      <c r="AP445" s="14">
        <f>IF($AQ445="","",IF(SUMPRODUCT(MAX((職員マスタ!$A$6:$A$405=$B445)*(((職員マスタ!$G$6:$G$405="")+(職員マスタ!$G$6:$G$405&lt;=EOMONTH($AQ445,0)))&gt;0)*(((職員マスタ!$H$6:$H$405="")+(職員マスタ!$H$6:$H$405&gt;=$AQ445))&gt;0)*(ROW(職員マスタ!$A$6:$A$405)-5)))&gt;0,SUMPRODUCT(MAX((職員マスタ!$A$6:$A$405=$B445)*(((職員マスタ!$G$6:$G$405="")+(職員マスタ!$G$6:$G$405&lt;=EOMONTH($AQ445,0)))&gt;0)*(((職員マスタ!$H$6:$H$405="")+(職員マスタ!$H$6:$H$405&gt;=$AQ445))&gt;0)*(ROW(職員マスタ!$A$6:$A$405)-5))),IFERROR(MATCH($B445,職員マスタ!$A$6:$A$405,0),"")))</f>
        <v/>
      </c>
      <c r="AQ445" s="16">
        <f>IF(OR($B445="",$C445="",$D445=""),"",DATE($C445+2018,$D445,1))</f>
        <v/>
      </c>
    </row>
    <row r="446">
      <c r="A446" s="11" t="n"/>
      <c r="B446" s="12" t="n">
        <v>7101892</v>
      </c>
      <c r="C446" s="12" t="n">
        <v>7</v>
      </c>
      <c r="D446" s="12" t="n">
        <v>11</v>
      </c>
      <c r="E446" s="13" t="n">
        <v>200202</v>
      </c>
      <c r="F446" s="12" t="n"/>
      <c r="G446" s="13" t="n"/>
      <c r="H446" s="12" t="n"/>
      <c r="I446" s="12" t="n"/>
      <c r="J446" s="12" t="n"/>
      <c r="K446" s="12" t="n"/>
      <c r="L446" s="11" t="n"/>
      <c r="M446" s="11" t="n"/>
      <c r="N446" s="11" t="n"/>
      <c r="O446" s="11" t="n"/>
      <c r="P446" s="12" t="n"/>
      <c r="Q446" s="11" t="n"/>
      <c r="R446" s="12" t="n"/>
      <c r="S446" s="11" t="n"/>
      <c r="T446" s="12" t="n"/>
      <c r="U446" s="12" t="n"/>
      <c r="V446" s="12" t="n"/>
      <c r="W446" s="13" t="n"/>
      <c r="X446" s="14">
        <f>IF($AP446="",IF($B446="","",$H446),IF(INDEX(職員マスタ!$B$6:$B$405,$AP446)="",$H446,INDEX(職員マスタ!$B$6:$B$405,$AP446)))</f>
        <v/>
      </c>
      <c r="Y446" s="14">
        <f>IF($AP446="",IF($B446="","",$R446),IF(INDEX(職員マスタ!$C$6:$C$405,$AP446)="",$R446,INDEX(職員マスタ!$C$6:$C$405,$AP446)))</f>
        <v/>
      </c>
      <c r="Z446" s="14">
        <f>IF($AQ446="","","R"&amp;$C446&amp;"."&amp;$D446)</f>
        <v/>
      </c>
      <c r="AA446" s="15">
        <f>IF(IF($AP446="",FALSE,INDEX(職員マスタ!$K$6:$K$405,$AP446)&lt;&gt;""),INDEX(職員マスタ!$K$6:$K$405,$AP446),IF(N($W446)&gt;0,$W446,""))</f>
        <v/>
      </c>
      <c r="AB446" s="14">
        <f>IF(OR($E446="",$AA446=""),"",IF($E446&gt;=$AA446,"×",IF($E446&gt;=$AA446*設定!$C$5,"△","○")))</f>
        <v/>
      </c>
      <c r="AC446" s="15">
        <f>IF($AB446="","",IF($AB446="×",0,IF($AB446="○",ROUNDDOWN($E446*設定!$C$4,0),ROUNDDOWN($E446*ROUND((9*$AA446-9*$E446)/(10*$E446),4),0))))</f>
        <v/>
      </c>
      <c r="AD446" s="13" t="n"/>
      <c r="AE446" s="15">
        <f>IF($B446="","",IF($AD446&lt;&gt;"",$AD446,IF($AC446="","",IF($AC446&lt;=設定!$C$3,0,$AC446))))</f>
        <v/>
      </c>
      <c r="AF446" s="14">
        <f>IF($B446="","",IF(AND($AG446&lt;&gt;"",$AI446="",$AL446=""),"保留中",IF($AL446&lt;&gt;"",IF(N($AE446)&gt;0,"支給済","不支給"),IF($AE446="","要確認",IF($AE446=0,"不支給","未処理")))))</f>
        <v/>
      </c>
      <c r="AG446" s="12" t="n"/>
      <c r="AH446" s="11" t="n"/>
      <c r="AI446" s="11" t="n"/>
      <c r="AJ446" s="11" t="n"/>
      <c r="AK446" s="14">
        <f>IF(AND($AF446="保留中",$AH446&lt;&gt;""),TODAY()-$AH446,"")</f>
        <v/>
      </c>
      <c r="AL446" s="12" t="inlineStr">
        <is>
          <t>R8.1</t>
        </is>
      </c>
      <c r="AM446" s="14">
        <f>IF($B446="","",IF($AQ446="","対象年月が未入力／","")&amp;IF($B446="","",IF($AP446="","職員マスタに未登録の職員番号／",IF($AA446="","標準報酬月額が未登録／","")&amp;IF(AND($AQ446&lt;&gt;"",OR(AND(INDEX(職員マスタ!$G$6:$G$405,$AP446)&lt;&gt;"",INDEX(職員マスタ!$G$6:$G$405,$AP446)&gt;EOMONTH($AQ446,0)),AND(INDEX(職員マスタ!$H$6:$H$405,$AP446)&lt;&gt;"",INDEX(職員マスタ!$H$6:$H$405,$AP446)&lt;$AQ446))),"対象月が時短期間外／","")&amp;IF(AND(INDEX(職員マスタ!$K$6:$K$405,$AP446)&lt;&gt;"",N($W446)&gt;0,INDEX(職員マスタ!$K$6:$K$405,$AP446)&lt;&gt;$W446),"標準報酬月額が申請書と相違（台帳"&amp;TEXT(INDEX(職員マスタ!$K$6:$K$405,$AP446),"#,##0")&amp;"円／申請書"&amp;TEXT($W446,"#,##0")&amp;"円）／","")&amp;IF(AND(INDEX(職員マスタ!$F$6:$F$405,$AP446)&lt;&gt;"",$AQ446&lt;&gt;"",INDEX(職員マスタ!$F$6:$F$405,$AP446)&lt;$AQ446),"対象月に子が2歳到達済／","")&amp;IF(AND($H446&lt;&gt;"",INDEX(職員マスタ!$B$6:$B$405,$AP446)&lt;&gt;"",SUBSTITUTE(SUBSTITUTE($H446," ","")," ","")&lt;&gt;SUBSTITUTE(SUBSTITUTE(INDEX(職員マスタ!$B$6:$B$405,$AP446)," ","")," ","")),"氏名がマスタと相違／","")&amp;IF(AND($Q446&lt;&gt;"",INDEX(職員マスタ!$E$6:$E$405,$AP446)&lt;&gt;"",$Q446&lt;&gt;INDEX(職員マスタ!$E$6:$E$405,$AP446)),"子の生年月日がマスタと相違／","")&amp;IF(AND($L446&lt;&gt;"",INDEX(職員マスタ!$G$6:$G$405,$AP446)&lt;&gt;"",$L446&lt;&gt;INDEX(職員マスタ!$G$6:$G$405,$AP446)),"時短開始日がマスタと相違／","")&amp;IF(AND($M446&lt;&gt;"",INDEX(職員マスタ!$H$6:$H$405,$AP446)&lt;&gt;"",$M446&lt;&gt;INDEX(職員マスタ!$H$6:$H$405,$AP446)),"時短終了日がマスタと相違／","")))&amp;IF(AND($B446&lt;&gt;"",$E446=""),"報酬額が未入力／","")&amp;IF(N($U446)&gt;0,"申請書に入力エラーが残っています／","")&amp;IF(AND($B446&lt;&gt;"",$AQ446&lt;&gt;""),IF(COUNTIFS($B$6:$B$3005,$B446,$C$6:$C$3005,$C446,$D$6:$D$3005,$D446)&gt;1,"同じ月の請求が重複しています／",""),"")&amp;IF(AND(N($E446)&gt;0,$AB446&lt;&gt;"",$AB446&lt;&gt;"×",$AE446=0,$AD446=""),"計算額が下限以下のため不支給／",""))</f>
        <v/>
      </c>
      <c r="AN446" s="12" t="n"/>
      <c r="AO446" s="14">
        <f>IF($AF446="保留中",COUNTIF($AF$6:$AF446,"保留中"),"")</f>
        <v/>
      </c>
      <c r="AP446" s="14">
        <f>IF($AQ446="","",IF(SUMPRODUCT(MAX((職員マスタ!$A$6:$A$405=$B446)*(((職員マスタ!$G$6:$G$405="")+(職員マスタ!$G$6:$G$405&lt;=EOMONTH($AQ446,0)))&gt;0)*(((職員マスタ!$H$6:$H$405="")+(職員マスタ!$H$6:$H$405&gt;=$AQ446))&gt;0)*(ROW(職員マスタ!$A$6:$A$405)-5)))&gt;0,SUMPRODUCT(MAX((職員マスタ!$A$6:$A$405=$B446)*(((職員マスタ!$G$6:$G$405="")+(職員マスタ!$G$6:$G$405&lt;=EOMONTH($AQ446,0)))&gt;0)*(((職員マスタ!$H$6:$H$405="")+(職員マスタ!$H$6:$H$405&gt;=$AQ446))&gt;0)*(ROW(職員マスタ!$A$6:$A$405)-5))),IFERROR(MATCH($B446,職員マスタ!$A$6:$A$405,0),"")))</f>
        <v/>
      </c>
      <c r="AQ446" s="16">
        <f>IF(OR($B446="",$C446="",$D446=""),"",DATE($C446+2018,$D446,1))</f>
        <v/>
      </c>
    </row>
    <row r="447">
      <c r="A447" s="11" t="n"/>
      <c r="B447" s="12" t="n">
        <v>7101892</v>
      </c>
      <c r="C447" s="12" t="n">
        <v>7</v>
      </c>
      <c r="D447" s="12" t="n">
        <v>12</v>
      </c>
      <c r="E447" s="13" t="n">
        <v>205795</v>
      </c>
      <c r="F447" s="12" t="n"/>
      <c r="G447" s="13" t="n"/>
      <c r="H447" s="12" t="n"/>
      <c r="I447" s="12" t="n"/>
      <c r="J447" s="12" t="n"/>
      <c r="K447" s="12" t="n"/>
      <c r="L447" s="11" t="n"/>
      <c r="M447" s="11" t="n"/>
      <c r="N447" s="11" t="n"/>
      <c r="O447" s="11" t="n"/>
      <c r="P447" s="12" t="n"/>
      <c r="Q447" s="11" t="n"/>
      <c r="R447" s="12" t="n"/>
      <c r="S447" s="11" t="n"/>
      <c r="T447" s="12" t="n"/>
      <c r="U447" s="12" t="n"/>
      <c r="V447" s="12" t="n"/>
      <c r="W447" s="13" t="n"/>
      <c r="X447" s="14">
        <f>IF($AP447="",IF($B447="","",$H447),IF(INDEX(職員マスタ!$B$6:$B$405,$AP447)="",$H447,INDEX(職員マスタ!$B$6:$B$405,$AP447)))</f>
        <v/>
      </c>
      <c r="Y447" s="14">
        <f>IF($AP447="",IF($B447="","",$R447),IF(INDEX(職員マスタ!$C$6:$C$405,$AP447)="",$R447,INDEX(職員マスタ!$C$6:$C$405,$AP447)))</f>
        <v/>
      </c>
      <c r="Z447" s="14">
        <f>IF($AQ447="","","R"&amp;$C447&amp;"."&amp;$D447)</f>
        <v/>
      </c>
      <c r="AA447" s="15">
        <f>IF(IF($AP447="",FALSE,INDEX(職員マスタ!$K$6:$K$405,$AP447)&lt;&gt;""),INDEX(職員マスタ!$K$6:$K$405,$AP447),IF(N($W447)&gt;0,$W447,""))</f>
        <v/>
      </c>
      <c r="AB447" s="14">
        <f>IF(OR($E447="",$AA447=""),"",IF($E447&gt;=$AA447,"×",IF($E447&gt;=$AA447*設定!$C$5,"△","○")))</f>
        <v/>
      </c>
      <c r="AC447" s="15">
        <f>IF($AB447="","",IF($AB447="×",0,IF($AB447="○",ROUNDDOWN($E447*設定!$C$4,0),ROUNDDOWN($E447*ROUND((9*$AA447-9*$E447)/(10*$E447),4),0))))</f>
        <v/>
      </c>
      <c r="AD447" s="13" t="n"/>
      <c r="AE447" s="15">
        <f>IF($B447="","",IF($AD447&lt;&gt;"",$AD447,IF($AC447="","",IF($AC447&lt;=設定!$C$3,0,$AC447))))</f>
        <v/>
      </c>
      <c r="AF447" s="14">
        <f>IF($B447="","",IF(AND($AG447&lt;&gt;"",$AI447="",$AL447=""),"保留中",IF($AL447&lt;&gt;"",IF(N($AE447)&gt;0,"支給済","不支給"),IF($AE447="","要確認",IF($AE447=0,"不支給","未処理")))))</f>
        <v/>
      </c>
      <c r="AG447" s="12" t="n"/>
      <c r="AH447" s="11" t="n"/>
      <c r="AI447" s="11" t="n"/>
      <c r="AJ447" s="11" t="n"/>
      <c r="AK447" s="14">
        <f>IF(AND($AF447="保留中",$AH447&lt;&gt;""),TODAY()-$AH447,"")</f>
        <v/>
      </c>
      <c r="AL447" s="12" t="inlineStr">
        <is>
          <t>R8.2</t>
        </is>
      </c>
      <c r="AM447" s="14">
        <f>IF($B447="","",IF($AQ447="","対象年月が未入力／","")&amp;IF($B447="","",IF($AP447="","職員マスタに未登録の職員番号／",IF($AA447="","標準報酬月額が未登録／","")&amp;IF(AND($AQ447&lt;&gt;"",OR(AND(INDEX(職員マスタ!$G$6:$G$405,$AP447)&lt;&gt;"",INDEX(職員マスタ!$G$6:$G$405,$AP447)&gt;EOMONTH($AQ447,0)),AND(INDEX(職員マスタ!$H$6:$H$405,$AP447)&lt;&gt;"",INDEX(職員マスタ!$H$6:$H$405,$AP447)&lt;$AQ447))),"対象月が時短期間外／","")&amp;IF(AND(INDEX(職員マスタ!$K$6:$K$405,$AP447)&lt;&gt;"",N($W447)&gt;0,INDEX(職員マスタ!$K$6:$K$405,$AP447)&lt;&gt;$W447),"標準報酬月額が申請書と相違（台帳"&amp;TEXT(INDEX(職員マスタ!$K$6:$K$405,$AP447),"#,##0")&amp;"円／申請書"&amp;TEXT($W447,"#,##0")&amp;"円）／","")&amp;IF(AND(INDEX(職員マスタ!$F$6:$F$405,$AP447)&lt;&gt;"",$AQ447&lt;&gt;"",INDEX(職員マスタ!$F$6:$F$405,$AP447)&lt;$AQ447),"対象月に子が2歳到達済／","")&amp;IF(AND($H447&lt;&gt;"",INDEX(職員マスタ!$B$6:$B$405,$AP447)&lt;&gt;"",SUBSTITUTE(SUBSTITUTE($H447," ","")," ","")&lt;&gt;SUBSTITUTE(SUBSTITUTE(INDEX(職員マスタ!$B$6:$B$405,$AP447)," ","")," ","")),"氏名がマスタと相違／","")&amp;IF(AND($Q447&lt;&gt;"",INDEX(職員マスタ!$E$6:$E$405,$AP447)&lt;&gt;"",$Q447&lt;&gt;INDEX(職員マスタ!$E$6:$E$405,$AP447)),"子の生年月日がマスタと相違／","")&amp;IF(AND($L447&lt;&gt;"",INDEX(職員マスタ!$G$6:$G$405,$AP447)&lt;&gt;"",$L447&lt;&gt;INDEX(職員マスタ!$G$6:$G$405,$AP447)),"時短開始日がマスタと相違／","")&amp;IF(AND($M447&lt;&gt;"",INDEX(職員マスタ!$H$6:$H$405,$AP447)&lt;&gt;"",$M447&lt;&gt;INDEX(職員マスタ!$H$6:$H$405,$AP447)),"時短終了日がマスタと相違／","")))&amp;IF(AND($B447&lt;&gt;"",$E447=""),"報酬額が未入力／","")&amp;IF(N($U447)&gt;0,"申請書に入力エラーが残っています／","")&amp;IF(AND($B447&lt;&gt;"",$AQ447&lt;&gt;""),IF(COUNTIFS($B$6:$B$3005,$B447,$C$6:$C$3005,$C447,$D$6:$D$3005,$D447)&gt;1,"同じ月の請求が重複しています／",""),"")&amp;IF(AND(N($E447)&gt;0,$AB447&lt;&gt;"",$AB447&lt;&gt;"×",$AE447=0,$AD447=""),"計算額が下限以下のため不支給／",""))</f>
        <v/>
      </c>
      <c r="AN447" s="12" t="n"/>
      <c r="AO447" s="14">
        <f>IF($AF447="保留中",COUNTIF($AF$6:$AF447,"保留中"),"")</f>
        <v/>
      </c>
      <c r="AP447" s="14">
        <f>IF($AQ447="","",IF(SUMPRODUCT(MAX((職員マスタ!$A$6:$A$405=$B447)*(((職員マスタ!$G$6:$G$405="")+(職員マスタ!$G$6:$G$405&lt;=EOMONTH($AQ447,0)))&gt;0)*(((職員マスタ!$H$6:$H$405="")+(職員マスタ!$H$6:$H$405&gt;=$AQ447))&gt;0)*(ROW(職員マスタ!$A$6:$A$405)-5)))&gt;0,SUMPRODUCT(MAX((職員マスタ!$A$6:$A$405=$B447)*(((職員マスタ!$G$6:$G$405="")+(職員マスタ!$G$6:$G$405&lt;=EOMONTH($AQ447,0)))&gt;0)*(((職員マスタ!$H$6:$H$405="")+(職員マスタ!$H$6:$H$405&gt;=$AQ447))&gt;0)*(ROW(職員マスタ!$A$6:$A$405)-5))),IFERROR(MATCH($B447,職員マスタ!$A$6:$A$405,0),"")))</f>
        <v/>
      </c>
      <c r="AQ447" s="16">
        <f>IF(OR($B447="",$C447="",$D447=""),"",DATE($C447+2018,$D447,1))</f>
        <v/>
      </c>
    </row>
    <row r="448">
      <c r="A448" s="11" t="n"/>
      <c r="B448" s="12" t="n">
        <v>7101892</v>
      </c>
      <c r="C448" s="12" t="n">
        <v>8</v>
      </c>
      <c r="D448" s="12" t="n">
        <v>1</v>
      </c>
      <c r="E448" s="13" t="n">
        <v>202195</v>
      </c>
      <c r="F448" s="12" t="n"/>
      <c r="G448" s="13" t="n"/>
      <c r="H448" s="12" t="n"/>
      <c r="I448" s="12" t="n"/>
      <c r="J448" s="12" t="n"/>
      <c r="K448" s="12" t="n"/>
      <c r="L448" s="11" t="n"/>
      <c r="M448" s="11" t="n"/>
      <c r="N448" s="11" t="n"/>
      <c r="O448" s="11" t="n"/>
      <c r="P448" s="12" t="n"/>
      <c r="Q448" s="11" t="n"/>
      <c r="R448" s="12" t="n"/>
      <c r="S448" s="11" t="n"/>
      <c r="T448" s="12" t="n"/>
      <c r="U448" s="12" t="n"/>
      <c r="V448" s="12" t="n"/>
      <c r="W448" s="13" t="n"/>
      <c r="X448" s="14">
        <f>IF($AP448="",IF($B448="","",$H448),IF(INDEX(職員マスタ!$B$6:$B$405,$AP448)="",$H448,INDEX(職員マスタ!$B$6:$B$405,$AP448)))</f>
        <v/>
      </c>
      <c r="Y448" s="14">
        <f>IF($AP448="",IF($B448="","",$R448),IF(INDEX(職員マスタ!$C$6:$C$405,$AP448)="",$R448,INDEX(職員マスタ!$C$6:$C$405,$AP448)))</f>
        <v/>
      </c>
      <c r="Z448" s="14">
        <f>IF($AQ448="","","R"&amp;$C448&amp;"."&amp;$D448)</f>
        <v/>
      </c>
      <c r="AA448" s="15">
        <f>IF(IF($AP448="",FALSE,INDEX(職員マスタ!$K$6:$K$405,$AP448)&lt;&gt;""),INDEX(職員マスタ!$K$6:$K$405,$AP448),IF(N($W448)&gt;0,$W448,""))</f>
        <v/>
      </c>
      <c r="AB448" s="14">
        <f>IF(OR($E448="",$AA448=""),"",IF($E448&gt;=$AA448,"×",IF($E448&gt;=$AA448*設定!$C$5,"△","○")))</f>
        <v/>
      </c>
      <c r="AC448" s="15">
        <f>IF($AB448="","",IF($AB448="×",0,IF($AB448="○",ROUNDDOWN($E448*設定!$C$4,0),ROUNDDOWN($E448*ROUND((9*$AA448-9*$E448)/(10*$E448),4),0))))</f>
        <v/>
      </c>
      <c r="AD448" s="13" t="n"/>
      <c r="AE448" s="15">
        <f>IF($B448="","",IF($AD448&lt;&gt;"",$AD448,IF($AC448="","",IF($AC448&lt;=設定!$C$3,0,$AC448))))</f>
        <v/>
      </c>
      <c r="AF448" s="14">
        <f>IF($B448="","",IF(AND($AG448&lt;&gt;"",$AI448="",$AL448=""),"保留中",IF($AL448&lt;&gt;"",IF(N($AE448)&gt;0,"支給済","不支給"),IF($AE448="","要確認",IF($AE448=0,"不支給","未処理")))))</f>
        <v/>
      </c>
      <c r="AG448" s="12" t="n"/>
      <c r="AH448" s="11" t="n"/>
      <c r="AI448" s="11" t="n"/>
      <c r="AJ448" s="11" t="n"/>
      <c r="AK448" s="14">
        <f>IF(AND($AF448="保留中",$AH448&lt;&gt;""),TODAY()-$AH448,"")</f>
        <v/>
      </c>
      <c r="AL448" s="12" t="inlineStr">
        <is>
          <t>R8.3</t>
        </is>
      </c>
      <c r="AM448" s="14">
        <f>IF($B448="","",IF($AQ448="","対象年月が未入力／","")&amp;IF($B448="","",IF($AP448="","職員マスタに未登録の職員番号／",IF($AA448="","標準報酬月額が未登録／","")&amp;IF(AND($AQ448&lt;&gt;"",OR(AND(INDEX(職員マスタ!$G$6:$G$405,$AP448)&lt;&gt;"",INDEX(職員マスタ!$G$6:$G$405,$AP448)&gt;EOMONTH($AQ448,0)),AND(INDEX(職員マスタ!$H$6:$H$405,$AP448)&lt;&gt;"",INDEX(職員マスタ!$H$6:$H$405,$AP448)&lt;$AQ448))),"対象月が時短期間外／","")&amp;IF(AND(INDEX(職員マスタ!$K$6:$K$405,$AP448)&lt;&gt;"",N($W448)&gt;0,INDEX(職員マスタ!$K$6:$K$405,$AP448)&lt;&gt;$W448),"標準報酬月額が申請書と相違（台帳"&amp;TEXT(INDEX(職員マスタ!$K$6:$K$405,$AP448),"#,##0")&amp;"円／申請書"&amp;TEXT($W448,"#,##0")&amp;"円）／","")&amp;IF(AND(INDEX(職員マスタ!$F$6:$F$405,$AP448)&lt;&gt;"",$AQ448&lt;&gt;"",INDEX(職員マスタ!$F$6:$F$405,$AP448)&lt;$AQ448),"対象月に子が2歳到達済／","")&amp;IF(AND($H448&lt;&gt;"",INDEX(職員マスタ!$B$6:$B$405,$AP448)&lt;&gt;"",SUBSTITUTE(SUBSTITUTE($H448," ","")," ","")&lt;&gt;SUBSTITUTE(SUBSTITUTE(INDEX(職員マスタ!$B$6:$B$405,$AP448)," ","")," ","")),"氏名がマスタと相違／","")&amp;IF(AND($Q448&lt;&gt;"",INDEX(職員マスタ!$E$6:$E$405,$AP448)&lt;&gt;"",$Q448&lt;&gt;INDEX(職員マスタ!$E$6:$E$405,$AP448)),"子の生年月日がマスタと相違／","")&amp;IF(AND($L448&lt;&gt;"",INDEX(職員マスタ!$G$6:$G$405,$AP448)&lt;&gt;"",$L448&lt;&gt;INDEX(職員マスタ!$G$6:$G$405,$AP448)),"時短開始日がマスタと相違／","")&amp;IF(AND($M448&lt;&gt;"",INDEX(職員マスタ!$H$6:$H$405,$AP448)&lt;&gt;"",$M448&lt;&gt;INDEX(職員マスタ!$H$6:$H$405,$AP448)),"時短終了日がマスタと相違／","")))&amp;IF(AND($B448&lt;&gt;"",$E448=""),"報酬額が未入力／","")&amp;IF(N($U448)&gt;0,"申請書に入力エラーが残っています／","")&amp;IF(AND($B448&lt;&gt;"",$AQ448&lt;&gt;""),IF(COUNTIFS($B$6:$B$3005,$B448,$C$6:$C$3005,$C448,$D$6:$D$3005,$D448)&gt;1,"同じ月の請求が重複しています／",""),"")&amp;IF(AND(N($E448)&gt;0,$AB448&lt;&gt;"",$AB448&lt;&gt;"×",$AE448=0,$AD448=""),"計算額が下限以下のため不支給／",""))</f>
        <v/>
      </c>
      <c r="AN448" s="12" t="n"/>
      <c r="AO448" s="14">
        <f>IF($AF448="保留中",COUNTIF($AF$6:$AF448,"保留中"),"")</f>
        <v/>
      </c>
      <c r="AP448" s="14">
        <f>IF($AQ448="","",IF(SUMPRODUCT(MAX((職員マスタ!$A$6:$A$405=$B448)*(((職員マスタ!$G$6:$G$405="")+(職員マスタ!$G$6:$G$405&lt;=EOMONTH($AQ448,0)))&gt;0)*(((職員マスタ!$H$6:$H$405="")+(職員マスタ!$H$6:$H$405&gt;=$AQ448))&gt;0)*(ROW(職員マスタ!$A$6:$A$405)-5)))&gt;0,SUMPRODUCT(MAX((職員マスタ!$A$6:$A$405=$B448)*(((職員マスタ!$G$6:$G$405="")+(職員マスタ!$G$6:$G$405&lt;=EOMONTH($AQ448,0)))&gt;0)*(((職員マスタ!$H$6:$H$405="")+(職員マスタ!$H$6:$H$405&gt;=$AQ448))&gt;0)*(ROW(職員マスタ!$A$6:$A$405)-5))),IFERROR(MATCH($B448,職員マスタ!$A$6:$A$405,0),"")))</f>
        <v/>
      </c>
      <c r="AQ448" s="16">
        <f>IF(OR($B448="",$C448="",$D448=""),"",DATE($C448+2018,$D448,1))</f>
        <v/>
      </c>
    </row>
    <row r="449">
      <c r="A449" s="11" t="n"/>
      <c r="B449" s="12" t="n">
        <v>7101892</v>
      </c>
      <c r="C449" s="12" t="n">
        <v>8</v>
      </c>
      <c r="D449" s="12" t="n">
        <v>2</v>
      </c>
      <c r="E449" s="13" t="n">
        <v>202195</v>
      </c>
      <c r="F449" s="12" t="n"/>
      <c r="G449" s="13" t="n"/>
      <c r="H449" s="12" t="n"/>
      <c r="I449" s="12" t="n"/>
      <c r="J449" s="12" t="n"/>
      <c r="K449" s="12" t="n"/>
      <c r="L449" s="11" t="n"/>
      <c r="M449" s="11" t="n"/>
      <c r="N449" s="11" t="n"/>
      <c r="O449" s="11" t="n"/>
      <c r="P449" s="12" t="n"/>
      <c r="Q449" s="11" t="n"/>
      <c r="R449" s="12" t="n"/>
      <c r="S449" s="11" t="n"/>
      <c r="T449" s="12" t="n"/>
      <c r="U449" s="12" t="n"/>
      <c r="V449" s="12" t="n"/>
      <c r="W449" s="13" t="n"/>
      <c r="X449" s="14">
        <f>IF($AP449="",IF($B449="","",$H449),IF(INDEX(職員マスタ!$B$6:$B$405,$AP449)="",$H449,INDEX(職員マスタ!$B$6:$B$405,$AP449)))</f>
        <v/>
      </c>
      <c r="Y449" s="14">
        <f>IF($AP449="",IF($B449="","",$R449),IF(INDEX(職員マスタ!$C$6:$C$405,$AP449)="",$R449,INDEX(職員マスタ!$C$6:$C$405,$AP449)))</f>
        <v/>
      </c>
      <c r="Z449" s="14">
        <f>IF($AQ449="","","R"&amp;$C449&amp;"."&amp;$D449)</f>
        <v/>
      </c>
      <c r="AA449" s="15">
        <f>IF(IF($AP449="",FALSE,INDEX(職員マスタ!$K$6:$K$405,$AP449)&lt;&gt;""),INDEX(職員マスタ!$K$6:$K$405,$AP449),IF(N($W449)&gt;0,$W449,""))</f>
        <v/>
      </c>
      <c r="AB449" s="14">
        <f>IF(OR($E449="",$AA449=""),"",IF($E449&gt;=$AA449,"×",IF($E449&gt;=$AA449*設定!$C$5,"△","○")))</f>
        <v/>
      </c>
      <c r="AC449" s="15">
        <f>IF($AB449="","",IF($AB449="×",0,IF($AB449="○",ROUNDDOWN($E449*設定!$C$4,0),ROUNDDOWN($E449*ROUND((9*$AA449-9*$E449)/(10*$E449),4),0))))</f>
        <v/>
      </c>
      <c r="AD449" s="13" t="n"/>
      <c r="AE449" s="15">
        <f>IF($B449="","",IF($AD449&lt;&gt;"",$AD449,IF($AC449="","",IF($AC449&lt;=設定!$C$3,0,$AC449))))</f>
        <v/>
      </c>
      <c r="AF449" s="14">
        <f>IF($B449="","",IF(AND($AG449&lt;&gt;"",$AI449="",$AL449=""),"保留中",IF($AL449&lt;&gt;"",IF(N($AE449)&gt;0,"支給済","不支給"),IF($AE449="","要確認",IF($AE449=0,"不支給","未処理")))))</f>
        <v/>
      </c>
      <c r="AG449" s="12" t="n"/>
      <c r="AH449" s="11" t="n"/>
      <c r="AI449" s="11" t="n"/>
      <c r="AJ449" s="11" t="n"/>
      <c r="AK449" s="14">
        <f>IF(AND($AF449="保留中",$AH449&lt;&gt;""),TODAY()-$AH449,"")</f>
        <v/>
      </c>
      <c r="AL449" s="12" t="inlineStr">
        <is>
          <t>R8.4</t>
        </is>
      </c>
      <c r="AM449" s="14">
        <f>IF($B449="","",IF($AQ449="","対象年月が未入力／","")&amp;IF($B449="","",IF($AP449="","職員マスタに未登録の職員番号／",IF($AA449="","標準報酬月額が未登録／","")&amp;IF(AND($AQ449&lt;&gt;"",OR(AND(INDEX(職員マスタ!$G$6:$G$405,$AP449)&lt;&gt;"",INDEX(職員マスタ!$G$6:$G$405,$AP449)&gt;EOMONTH($AQ449,0)),AND(INDEX(職員マスタ!$H$6:$H$405,$AP449)&lt;&gt;"",INDEX(職員マスタ!$H$6:$H$405,$AP449)&lt;$AQ449))),"対象月が時短期間外／","")&amp;IF(AND(INDEX(職員マスタ!$K$6:$K$405,$AP449)&lt;&gt;"",N($W449)&gt;0,INDEX(職員マスタ!$K$6:$K$405,$AP449)&lt;&gt;$W449),"標準報酬月額が申請書と相違（台帳"&amp;TEXT(INDEX(職員マスタ!$K$6:$K$405,$AP449),"#,##0")&amp;"円／申請書"&amp;TEXT($W449,"#,##0")&amp;"円）／","")&amp;IF(AND(INDEX(職員マスタ!$F$6:$F$405,$AP449)&lt;&gt;"",$AQ449&lt;&gt;"",INDEX(職員マスタ!$F$6:$F$405,$AP449)&lt;$AQ449),"対象月に子が2歳到達済／","")&amp;IF(AND($H449&lt;&gt;"",INDEX(職員マスタ!$B$6:$B$405,$AP449)&lt;&gt;"",SUBSTITUTE(SUBSTITUTE($H449," ","")," ","")&lt;&gt;SUBSTITUTE(SUBSTITUTE(INDEX(職員マスタ!$B$6:$B$405,$AP449)," ","")," ","")),"氏名がマスタと相違／","")&amp;IF(AND($Q449&lt;&gt;"",INDEX(職員マスタ!$E$6:$E$405,$AP449)&lt;&gt;"",$Q449&lt;&gt;INDEX(職員マスタ!$E$6:$E$405,$AP449)),"子の生年月日がマスタと相違／","")&amp;IF(AND($L449&lt;&gt;"",INDEX(職員マスタ!$G$6:$G$405,$AP449)&lt;&gt;"",$L449&lt;&gt;INDEX(職員マスタ!$G$6:$G$405,$AP449)),"時短開始日がマスタと相違／","")&amp;IF(AND($M449&lt;&gt;"",INDEX(職員マスタ!$H$6:$H$405,$AP449)&lt;&gt;"",$M449&lt;&gt;INDEX(職員マスタ!$H$6:$H$405,$AP449)),"時短終了日がマスタと相違／","")))&amp;IF(AND($B449&lt;&gt;"",$E449=""),"報酬額が未入力／","")&amp;IF(N($U449)&gt;0,"申請書に入力エラーが残っています／","")&amp;IF(AND($B449&lt;&gt;"",$AQ449&lt;&gt;""),IF(COUNTIFS($B$6:$B$3005,$B449,$C$6:$C$3005,$C449,$D$6:$D$3005,$D449)&gt;1,"同じ月の請求が重複しています／",""),"")&amp;IF(AND(N($E449)&gt;0,$AB449&lt;&gt;"",$AB449&lt;&gt;"×",$AE449=0,$AD449=""),"計算額が下限以下のため不支給／",""))</f>
        <v/>
      </c>
      <c r="AN449" s="12" t="n"/>
      <c r="AO449" s="14">
        <f>IF($AF449="保留中",COUNTIF($AF$6:$AF449,"保留中"),"")</f>
        <v/>
      </c>
      <c r="AP449" s="14">
        <f>IF($AQ449="","",IF(SUMPRODUCT(MAX((職員マスタ!$A$6:$A$405=$B449)*(((職員マスタ!$G$6:$G$405="")+(職員マスタ!$G$6:$G$405&lt;=EOMONTH($AQ449,0)))&gt;0)*(((職員マスタ!$H$6:$H$405="")+(職員マスタ!$H$6:$H$405&gt;=$AQ449))&gt;0)*(ROW(職員マスタ!$A$6:$A$405)-5)))&gt;0,SUMPRODUCT(MAX((職員マスタ!$A$6:$A$405=$B449)*(((職員マスタ!$G$6:$G$405="")+(職員マスタ!$G$6:$G$405&lt;=EOMONTH($AQ449,0)))&gt;0)*(((職員マスタ!$H$6:$H$405="")+(職員マスタ!$H$6:$H$405&gt;=$AQ449))&gt;0)*(ROW(職員マスタ!$A$6:$A$405)-5))),IFERROR(MATCH($B449,職員マスタ!$A$6:$A$405,0),"")))</f>
        <v/>
      </c>
      <c r="AQ449" s="16">
        <f>IF(OR($B449="",$C449="",$D449=""),"",DATE($C449+2018,$D449,1))</f>
        <v/>
      </c>
    </row>
    <row r="450">
      <c r="A450" s="11" t="n"/>
      <c r="B450" s="12" t="n">
        <v>7101892</v>
      </c>
      <c r="C450" s="12" t="n">
        <v>8</v>
      </c>
      <c r="D450" s="12" t="n">
        <v>3</v>
      </c>
      <c r="E450" s="13" t="n">
        <v>202195</v>
      </c>
      <c r="F450" s="12" t="n"/>
      <c r="G450" s="13" t="n"/>
      <c r="H450" s="12" t="n"/>
      <c r="I450" s="12" t="n"/>
      <c r="J450" s="12" t="n"/>
      <c r="K450" s="12" t="n"/>
      <c r="L450" s="11" t="n"/>
      <c r="M450" s="11" t="n"/>
      <c r="N450" s="11" t="n"/>
      <c r="O450" s="11" t="n"/>
      <c r="P450" s="12" t="n"/>
      <c r="Q450" s="11" t="n"/>
      <c r="R450" s="12" t="n"/>
      <c r="S450" s="11" t="n"/>
      <c r="T450" s="12" t="n"/>
      <c r="U450" s="12" t="n"/>
      <c r="V450" s="12" t="n"/>
      <c r="W450" s="13" t="n"/>
      <c r="X450" s="14">
        <f>IF($AP450="",IF($B450="","",$H450),IF(INDEX(職員マスタ!$B$6:$B$405,$AP450)="",$H450,INDEX(職員マスタ!$B$6:$B$405,$AP450)))</f>
        <v/>
      </c>
      <c r="Y450" s="14">
        <f>IF($AP450="",IF($B450="","",$R450),IF(INDEX(職員マスタ!$C$6:$C$405,$AP450)="",$R450,INDEX(職員マスタ!$C$6:$C$405,$AP450)))</f>
        <v/>
      </c>
      <c r="Z450" s="14">
        <f>IF($AQ450="","","R"&amp;$C450&amp;"."&amp;$D450)</f>
        <v/>
      </c>
      <c r="AA450" s="15">
        <f>IF(IF($AP450="",FALSE,INDEX(職員マスタ!$K$6:$K$405,$AP450)&lt;&gt;""),INDEX(職員マスタ!$K$6:$K$405,$AP450),IF(N($W450)&gt;0,$W450,""))</f>
        <v/>
      </c>
      <c r="AB450" s="14">
        <f>IF(OR($E450="",$AA450=""),"",IF($E450&gt;=$AA450,"×",IF($E450&gt;=$AA450*設定!$C$5,"△","○")))</f>
        <v/>
      </c>
      <c r="AC450" s="15">
        <f>IF($AB450="","",IF($AB450="×",0,IF($AB450="○",ROUNDDOWN($E450*設定!$C$4,0),ROUNDDOWN($E450*ROUND((9*$AA450-9*$E450)/(10*$E450),4),0))))</f>
        <v/>
      </c>
      <c r="AD450" s="13" t="n"/>
      <c r="AE450" s="15">
        <f>IF($B450="","",IF($AD450&lt;&gt;"",$AD450,IF($AC450="","",IF($AC450&lt;=設定!$C$3,0,$AC450))))</f>
        <v/>
      </c>
      <c r="AF450" s="14">
        <f>IF($B450="","",IF(AND($AG450&lt;&gt;"",$AI450="",$AL450=""),"保留中",IF($AL450&lt;&gt;"",IF(N($AE450)&gt;0,"支給済","不支給"),IF($AE450="","要確認",IF($AE450=0,"不支給","未処理")))))</f>
        <v/>
      </c>
      <c r="AG450" s="12" t="n"/>
      <c r="AH450" s="11" t="n"/>
      <c r="AI450" s="11" t="n"/>
      <c r="AJ450" s="11" t="n"/>
      <c r="AK450" s="14">
        <f>IF(AND($AF450="保留中",$AH450&lt;&gt;""),TODAY()-$AH450,"")</f>
        <v/>
      </c>
      <c r="AL450" s="12" t="inlineStr">
        <is>
          <t>R8.10</t>
        </is>
      </c>
      <c r="AM450" s="14">
        <f>IF($B450="","",IF($AQ450="","対象年月が未入力／","")&amp;IF($B450="","",IF($AP450="","職員マスタに未登録の職員番号／",IF($AA450="","標準報酬月額が未登録／","")&amp;IF(AND($AQ450&lt;&gt;"",OR(AND(INDEX(職員マスタ!$G$6:$G$405,$AP450)&lt;&gt;"",INDEX(職員マスタ!$G$6:$G$405,$AP450)&gt;EOMONTH($AQ450,0)),AND(INDEX(職員マスタ!$H$6:$H$405,$AP450)&lt;&gt;"",INDEX(職員マスタ!$H$6:$H$405,$AP450)&lt;$AQ450))),"対象月が時短期間外／","")&amp;IF(AND(INDEX(職員マスタ!$K$6:$K$405,$AP450)&lt;&gt;"",N($W450)&gt;0,INDEX(職員マスタ!$K$6:$K$405,$AP450)&lt;&gt;$W450),"標準報酬月額が申請書と相違（台帳"&amp;TEXT(INDEX(職員マスタ!$K$6:$K$405,$AP450),"#,##0")&amp;"円／申請書"&amp;TEXT($W450,"#,##0")&amp;"円）／","")&amp;IF(AND(INDEX(職員マスタ!$F$6:$F$405,$AP450)&lt;&gt;"",$AQ450&lt;&gt;"",INDEX(職員マスタ!$F$6:$F$405,$AP450)&lt;$AQ450),"対象月に子が2歳到達済／","")&amp;IF(AND($H450&lt;&gt;"",INDEX(職員マスタ!$B$6:$B$405,$AP450)&lt;&gt;"",SUBSTITUTE(SUBSTITUTE($H450," ","")," ","")&lt;&gt;SUBSTITUTE(SUBSTITUTE(INDEX(職員マスタ!$B$6:$B$405,$AP450)," ","")," ","")),"氏名がマスタと相違／","")&amp;IF(AND($Q450&lt;&gt;"",INDEX(職員マスタ!$E$6:$E$405,$AP450)&lt;&gt;"",$Q450&lt;&gt;INDEX(職員マスタ!$E$6:$E$405,$AP450)),"子の生年月日がマスタと相違／","")&amp;IF(AND($L450&lt;&gt;"",INDEX(職員マスタ!$G$6:$G$405,$AP450)&lt;&gt;"",$L450&lt;&gt;INDEX(職員マスタ!$G$6:$G$405,$AP450)),"時短開始日がマスタと相違／","")&amp;IF(AND($M450&lt;&gt;"",INDEX(職員マスタ!$H$6:$H$405,$AP450)&lt;&gt;"",$M450&lt;&gt;INDEX(職員マスタ!$H$6:$H$405,$AP450)),"時短終了日がマスタと相違／","")))&amp;IF(AND($B450&lt;&gt;"",$E450=""),"報酬額が未入力／","")&amp;IF(N($U450)&gt;0,"申請書に入力エラーが残っています／","")&amp;IF(AND($B450&lt;&gt;"",$AQ450&lt;&gt;""),IF(COUNTIFS($B$6:$B$3005,$B450,$C$6:$C$3005,$C450,$D$6:$D$3005,$D450)&gt;1,"同じ月の請求が重複しています／",""),"")&amp;IF(AND(N($E450)&gt;0,$AB450&lt;&gt;"",$AB450&lt;&gt;"×",$AE450=0,$AD450=""),"計算額が下限以下のため不支給／",""))</f>
        <v/>
      </c>
      <c r="AN450" s="12" t="n"/>
      <c r="AO450" s="14">
        <f>IF($AF450="保留中",COUNTIF($AF$6:$AF450,"保留中"),"")</f>
        <v/>
      </c>
      <c r="AP450" s="14">
        <f>IF($AQ450="","",IF(SUMPRODUCT(MAX((職員マスタ!$A$6:$A$405=$B450)*(((職員マスタ!$G$6:$G$405="")+(職員マスタ!$G$6:$G$405&lt;=EOMONTH($AQ450,0)))&gt;0)*(((職員マスタ!$H$6:$H$405="")+(職員マスタ!$H$6:$H$405&gt;=$AQ450))&gt;0)*(ROW(職員マスタ!$A$6:$A$405)-5)))&gt;0,SUMPRODUCT(MAX((職員マスタ!$A$6:$A$405=$B450)*(((職員マスタ!$G$6:$G$405="")+(職員マスタ!$G$6:$G$405&lt;=EOMONTH($AQ450,0)))&gt;0)*(((職員マスタ!$H$6:$H$405="")+(職員マスタ!$H$6:$H$405&gt;=$AQ450))&gt;0)*(ROW(職員マスタ!$A$6:$A$405)-5))),IFERROR(MATCH($B450,職員マスタ!$A$6:$A$405,0),"")))</f>
        <v/>
      </c>
      <c r="AQ450" s="16">
        <f>IF(OR($B450="",$C450="",$D450=""),"",DATE($C450+2018,$D450,1))</f>
        <v/>
      </c>
    </row>
    <row r="451">
      <c r="A451" s="11" t="n"/>
      <c r="B451" s="12" t="n">
        <v>7101983</v>
      </c>
      <c r="C451" s="12" t="n">
        <v>8</v>
      </c>
      <c r="D451" s="12" t="n">
        <v>4</v>
      </c>
      <c r="E451" s="13" t="n">
        <v>182676</v>
      </c>
      <c r="F451" s="12" t="n"/>
      <c r="G451" s="13" t="n"/>
      <c r="H451" s="12" t="n"/>
      <c r="I451" s="12" t="n"/>
      <c r="J451" s="12" t="n"/>
      <c r="K451" s="12" t="n"/>
      <c r="L451" s="11" t="n"/>
      <c r="M451" s="11" t="n"/>
      <c r="N451" s="11" t="n"/>
      <c r="O451" s="11" t="n"/>
      <c r="P451" s="12" t="n"/>
      <c r="Q451" s="11" t="n"/>
      <c r="R451" s="12" t="n"/>
      <c r="S451" s="11" t="n"/>
      <c r="T451" s="12" t="n"/>
      <c r="U451" s="12" t="n"/>
      <c r="V451" s="12" t="n"/>
      <c r="W451" s="13" t="n"/>
      <c r="X451" s="14">
        <f>IF($AP451="",IF($B451="","",$H451),IF(INDEX(職員マスタ!$B$6:$B$405,$AP451)="",$H451,INDEX(職員マスタ!$B$6:$B$405,$AP451)))</f>
        <v/>
      </c>
      <c r="Y451" s="14">
        <f>IF($AP451="",IF($B451="","",$R451),IF(INDEX(職員マスタ!$C$6:$C$405,$AP451)="",$R451,INDEX(職員マスタ!$C$6:$C$405,$AP451)))</f>
        <v/>
      </c>
      <c r="Z451" s="14">
        <f>IF($AQ451="","","R"&amp;$C451&amp;"."&amp;$D451)</f>
        <v/>
      </c>
      <c r="AA451" s="15">
        <f>IF(IF($AP451="",FALSE,INDEX(職員マスタ!$K$6:$K$405,$AP451)&lt;&gt;""),INDEX(職員マスタ!$K$6:$K$405,$AP451),IF(N($W451)&gt;0,$W451,""))</f>
        <v/>
      </c>
      <c r="AB451" s="14">
        <f>IF(OR($E451="",$AA451=""),"",IF($E451&gt;=$AA451,"×",IF($E451&gt;=$AA451*設定!$C$5,"△","○")))</f>
        <v/>
      </c>
      <c r="AC451" s="15">
        <f>IF($AB451="","",IF($AB451="×",0,IF($AB451="○",ROUNDDOWN($E451*設定!$C$4,0),ROUNDDOWN($E451*ROUND((9*$AA451-9*$E451)/(10*$E451),4),0))))</f>
        <v/>
      </c>
      <c r="AD451" s="13" t="n"/>
      <c r="AE451" s="15">
        <f>IF($B451="","",IF($AD451&lt;&gt;"",$AD451,IF($AC451="","",IF($AC451&lt;=設定!$C$3,0,$AC451))))</f>
        <v/>
      </c>
      <c r="AF451" s="14">
        <f>IF($B451="","",IF(AND($AG451&lt;&gt;"",$AI451="",$AL451=""),"保留中",IF($AL451&lt;&gt;"",IF(N($AE451)&gt;0,"支給済","不支給"),IF($AE451="","要確認",IF($AE451=0,"不支給","未処理")))))</f>
        <v/>
      </c>
      <c r="AG451" s="12" t="n"/>
      <c r="AH451" s="11" t="n"/>
      <c r="AI451" s="11" t="n"/>
      <c r="AJ451" s="11" t="n"/>
      <c r="AK451" s="14">
        <f>IF(AND($AF451="保留中",$AH451&lt;&gt;""),TODAY()-$AH451,"")</f>
        <v/>
      </c>
      <c r="AL451" s="12" t="inlineStr">
        <is>
          <t>R8.10</t>
        </is>
      </c>
      <c r="AM451" s="14">
        <f>IF($B451="","",IF($AQ451="","対象年月が未入力／","")&amp;IF($B451="","",IF($AP451="","職員マスタに未登録の職員番号／",IF($AA451="","標準報酬月額が未登録／","")&amp;IF(AND($AQ451&lt;&gt;"",OR(AND(INDEX(職員マスタ!$G$6:$G$405,$AP451)&lt;&gt;"",INDEX(職員マスタ!$G$6:$G$405,$AP451)&gt;EOMONTH($AQ451,0)),AND(INDEX(職員マスタ!$H$6:$H$405,$AP451)&lt;&gt;"",INDEX(職員マスタ!$H$6:$H$405,$AP451)&lt;$AQ451))),"対象月が時短期間外／","")&amp;IF(AND(INDEX(職員マスタ!$K$6:$K$405,$AP451)&lt;&gt;"",N($W451)&gt;0,INDEX(職員マスタ!$K$6:$K$405,$AP451)&lt;&gt;$W451),"標準報酬月額が申請書と相違（台帳"&amp;TEXT(INDEX(職員マスタ!$K$6:$K$405,$AP451),"#,##0")&amp;"円／申請書"&amp;TEXT($W451,"#,##0")&amp;"円）／","")&amp;IF(AND(INDEX(職員マスタ!$F$6:$F$405,$AP451)&lt;&gt;"",$AQ451&lt;&gt;"",INDEX(職員マスタ!$F$6:$F$405,$AP451)&lt;$AQ451),"対象月に子が2歳到達済／","")&amp;IF(AND($H451&lt;&gt;"",INDEX(職員マスタ!$B$6:$B$405,$AP451)&lt;&gt;"",SUBSTITUTE(SUBSTITUTE($H451," ","")," ","")&lt;&gt;SUBSTITUTE(SUBSTITUTE(INDEX(職員マスタ!$B$6:$B$405,$AP451)," ","")," ","")),"氏名がマスタと相違／","")&amp;IF(AND($Q451&lt;&gt;"",INDEX(職員マスタ!$E$6:$E$405,$AP451)&lt;&gt;"",$Q451&lt;&gt;INDEX(職員マスタ!$E$6:$E$405,$AP451)),"子の生年月日がマスタと相違／","")&amp;IF(AND($L451&lt;&gt;"",INDEX(職員マスタ!$G$6:$G$405,$AP451)&lt;&gt;"",$L451&lt;&gt;INDEX(職員マスタ!$G$6:$G$405,$AP451)),"時短開始日がマスタと相違／","")&amp;IF(AND($M451&lt;&gt;"",INDEX(職員マスタ!$H$6:$H$405,$AP451)&lt;&gt;"",$M451&lt;&gt;INDEX(職員マスタ!$H$6:$H$405,$AP451)),"時短終了日がマスタと相違／","")))&amp;IF(AND($B451&lt;&gt;"",$E451=""),"報酬額が未入力／","")&amp;IF(N($U451)&gt;0,"申請書に入力エラーが残っています／","")&amp;IF(AND($B451&lt;&gt;"",$AQ451&lt;&gt;""),IF(COUNTIFS($B$6:$B$3005,$B451,$C$6:$C$3005,$C451,$D$6:$D$3005,$D451)&gt;1,"同じ月の請求が重複しています／",""),"")&amp;IF(AND(N($E451)&gt;0,$AB451&lt;&gt;"",$AB451&lt;&gt;"×",$AE451=0,$AD451=""),"計算額が下限以下のため不支給／",""))</f>
        <v/>
      </c>
      <c r="AN451" s="12" t="n"/>
      <c r="AO451" s="14">
        <f>IF($AF451="保留中",COUNTIF($AF$6:$AF451,"保留中"),"")</f>
        <v/>
      </c>
      <c r="AP451" s="14">
        <f>IF($AQ451="","",IF(SUMPRODUCT(MAX((職員マスタ!$A$6:$A$405=$B451)*(((職員マスタ!$G$6:$G$405="")+(職員マスタ!$G$6:$G$405&lt;=EOMONTH($AQ451,0)))&gt;0)*(((職員マスタ!$H$6:$H$405="")+(職員マスタ!$H$6:$H$405&gt;=$AQ451))&gt;0)*(ROW(職員マスタ!$A$6:$A$405)-5)))&gt;0,SUMPRODUCT(MAX((職員マスタ!$A$6:$A$405=$B451)*(((職員マスタ!$G$6:$G$405="")+(職員マスタ!$G$6:$G$405&lt;=EOMONTH($AQ451,0)))&gt;0)*(((職員マスタ!$H$6:$H$405="")+(職員マスタ!$H$6:$H$405&gt;=$AQ451))&gt;0)*(ROW(職員マスタ!$A$6:$A$405)-5))),IFERROR(MATCH($B451,職員マスタ!$A$6:$A$405,0),"")))</f>
        <v/>
      </c>
      <c r="AQ451" s="16">
        <f>IF(OR($B451="",$C451="",$D451=""),"",DATE($C451+2018,$D451,1))</f>
        <v/>
      </c>
    </row>
    <row r="452">
      <c r="A452" s="11" t="n"/>
      <c r="B452" s="12" t="n">
        <v>7101983</v>
      </c>
      <c r="C452" s="12" t="n">
        <v>8</v>
      </c>
      <c r="D452" s="12" t="n">
        <v>5</v>
      </c>
      <c r="E452" s="13" t="n">
        <v>190184</v>
      </c>
      <c r="F452" s="12" t="n"/>
      <c r="G452" s="13" t="n"/>
      <c r="H452" s="12" t="n"/>
      <c r="I452" s="12" t="n"/>
      <c r="J452" s="12" t="n"/>
      <c r="K452" s="12" t="n"/>
      <c r="L452" s="11" t="n"/>
      <c r="M452" s="11" t="n"/>
      <c r="N452" s="11" t="n"/>
      <c r="O452" s="11" t="n"/>
      <c r="P452" s="12" t="n"/>
      <c r="Q452" s="11" t="n"/>
      <c r="R452" s="12" t="n"/>
      <c r="S452" s="11" t="n"/>
      <c r="T452" s="12" t="n"/>
      <c r="U452" s="12" t="n"/>
      <c r="V452" s="12" t="n"/>
      <c r="W452" s="13" t="n"/>
      <c r="X452" s="14">
        <f>IF($AP452="",IF($B452="","",$H452),IF(INDEX(職員マスタ!$B$6:$B$405,$AP452)="",$H452,INDEX(職員マスタ!$B$6:$B$405,$AP452)))</f>
        <v/>
      </c>
      <c r="Y452" s="14">
        <f>IF($AP452="",IF($B452="","",$R452),IF(INDEX(職員マスタ!$C$6:$C$405,$AP452)="",$R452,INDEX(職員マスタ!$C$6:$C$405,$AP452)))</f>
        <v/>
      </c>
      <c r="Z452" s="14">
        <f>IF($AQ452="","","R"&amp;$C452&amp;"."&amp;$D452)</f>
        <v/>
      </c>
      <c r="AA452" s="15">
        <f>IF(IF($AP452="",FALSE,INDEX(職員マスタ!$K$6:$K$405,$AP452)&lt;&gt;""),INDEX(職員マスタ!$K$6:$K$405,$AP452),IF(N($W452)&gt;0,$W452,""))</f>
        <v/>
      </c>
      <c r="AB452" s="14">
        <f>IF(OR($E452="",$AA452=""),"",IF($E452&gt;=$AA452,"×",IF($E452&gt;=$AA452*設定!$C$5,"△","○")))</f>
        <v/>
      </c>
      <c r="AC452" s="15">
        <f>IF($AB452="","",IF($AB452="×",0,IF($AB452="○",ROUNDDOWN($E452*設定!$C$4,0),ROUNDDOWN($E452*ROUND((9*$AA452-9*$E452)/(10*$E452),4),0))))</f>
        <v/>
      </c>
      <c r="AD452" s="13" t="n"/>
      <c r="AE452" s="15">
        <f>IF($B452="","",IF($AD452&lt;&gt;"",$AD452,IF($AC452="","",IF($AC452&lt;=設定!$C$3,0,$AC452))))</f>
        <v/>
      </c>
      <c r="AF452" s="14">
        <f>IF($B452="","",IF(AND($AG452&lt;&gt;"",$AI452="",$AL452=""),"保留中",IF($AL452&lt;&gt;"",IF(N($AE452)&gt;0,"支給済","不支給"),IF($AE452="","要確認",IF($AE452=0,"不支給","未処理")))))</f>
        <v/>
      </c>
      <c r="AG452" s="12" t="n"/>
      <c r="AH452" s="11" t="n"/>
      <c r="AI452" s="11" t="n"/>
      <c r="AJ452" s="11" t="n"/>
      <c r="AK452" s="14">
        <f>IF(AND($AF452="保留中",$AH452&lt;&gt;""),TODAY()-$AH452,"")</f>
        <v/>
      </c>
      <c r="AL452" s="12" t="inlineStr">
        <is>
          <t>R8.10</t>
        </is>
      </c>
      <c r="AM452" s="14">
        <f>IF($B452="","",IF($AQ452="","対象年月が未入力／","")&amp;IF($B452="","",IF($AP452="","職員マスタに未登録の職員番号／",IF($AA452="","標準報酬月額が未登録／","")&amp;IF(AND($AQ452&lt;&gt;"",OR(AND(INDEX(職員マスタ!$G$6:$G$405,$AP452)&lt;&gt;"",INDEX(職員マスタ!$G$6:$G$405,$AP452)&gt;EOMONTH($AQ452,0)),AND(INDEX(職員マスタ!$H$6:$H$405,$AP452)&lt;&gt;"",INDEX(職員マスタ!$H$6:$H$405,$AP452)&lt;$AQ452))),"対象月が時短期間外／","")&amp;IF(AND(INDEX(職員マスタ!$K$6:$K$405,$AP452)&lt;&gt;"",N($W452)&gt;0,INDEX(職員マスタ!$K$6:$K$405,$AP452)&lt;&gt;$W452),"標準報酬月額が申請書と相違（台帳"&amp;TEXT(INDEX(職員マスタ!$K$6:$K$405,$AP452),"#,##0")&amp;"円／申請書"&amp;TEXT($W452,"#,##0")&amp;"円）／","")&amp;IF(AND(INDEX(職員マスタ!$F$6:$F$405,$AP452)&lt;&gt;"",$AQ452&lt;&gt;"",INDEX(職員マスタ!$F$6:$F$405,$AP452)&lt;$AQ452),"対象月に子が2歳到達済／","")&amp;IF(AND($H452&lt;&gt;"",INDEX(職員マスタ!$B$6:$B$405,$AP452)&lt;&gt;"",SUBSTITUTE(SUBSTITUTE($H452," ","")," ","")&lt;&gt;SUBSTITUTE(SUBSTITUTE(INDEX(職員マスタ!$B$6:$B$405,$AP452)," ","")," ","")),"氏名がマスタと相違／","")&amp;IF(AND($Q452&lt;&gt;"",INDEX(職員マスタ!$E$6:$E$405,$AP452)&lt;&gt;"",$Q452&lt;&gt;INDEX(職員マスタ!$E$6:$E$405,$AP452)),"子の生年月日がマスタと相違／","")&amp;IF(AND($L452&lt;&gt;"",INDEX(職員マスタ!$G$6:$G$405,$AP452)&lt;&gt;"",$L452&lt;&gt;INDEX(職員マスタ!$G$6:$G$405,$AP452)),"時短開始日がマスタと相違／","")&amp;IF(AND($M452&lt;&gt;"",INDEX(職員マスタ!$H$6:$H$405,$AP452)&lt;&gt;"",$M452&lt;&gt;INDEX(職員マスタ!$H$6:$H$405,$AP452)),"時短終了日がマスタと相違／","")))&amp;IF(AND($B452&lt;&gt;"",$E452=""),"報酬額が未入力／","")&amp;IF(N($U452)&gt;0,"申請書に入力エラーが残っています／","")&amp;IF(AND($B452&lt;&gt;"",$AQ452&lt;&gt;""),IF(COUNTIFS($B$6:$B$3005,$B452,$C$6:$C$3005,$C452,$D$6:$D$3005,$D452)&gt;1,"同じ月の請求が重複しています／",""),"")&amp;IF(AND(N($E452)&gt;0,$AB452&lt;&gt;"",$AB452&lt;&gt;"×",$AE452=0,$AD452=""),"計算額が下限以下のため不支給／",""))</f>
        <v/>
      </c>
      <c r="AN452" s="12" t="n"/>
      <c r="AO452" s="14">
        <f>IF($AF452="保留中",COUNTIF($AF$6:$AF452,"保留中"),"")</f>
        <v/>
      </c>
      <c r="AP452" s="14">
        <f>IF($AQ452="","",IF(SUMPRODUCT(MAX((職員マスタ!$A$6:$A$405=$B452)*(((職員マスタ!$G$6:$G$405="")+(職員マスタ!$G$6:$G$405&lt;=EOMONTH($AQ452,0)))&gt;0)*(((職員マスタ!$H$6:$H$405="")+(職員マスタ!$H$6:$H$405&gt;=$AQ452))&gt;0)*(ROW(職員マスタ!$A$6:$A$405)-5)))&gt;0,SUMPRODUCT(MAX((職員マスタ!$A$6:$A$405=$B452)*(((職員マスタ!$G$6:$G$405="")+(職員マスタ!$G$6:$G$405&lt;=EOMONTH($AQ452,0)))&gt;0)*(((職員マスタ!$H$6:$H$405="")+(職員マスタ!$H$6:$H$405&gt;=$AQ452))&gt;0)*(ROW(職員マスタ!$A$6:$A$405)-5))),IFERROR(MATCH($B452,職員マスタ!$A$6:$A$405,0),"")))</f>
        <v/>
      </c>
      <c r="AQ452" s="16">
        <f>IF(OR($B452="",$C452="",$D452=""),"",DATE($C452+2018,$D452,1))</f>
        <v/>
      </c>
    </row>
    <row r="453">
      <c r="A453" s="11" t="n"/>
      <c r="B453" s="12" t="n">
        <v>7101983</v>
      </c>
      <c r="C453" s="12" t="n">
        <v>8</v>
      </c>
      <c r="D453" s="12" t="n">
        <v>6</v>
      </c>
      <c r="E453" s="13" t="n">
        <v>186430</v>
      </c>
      <c r="F453" s="12" t="n"/>
      <c r="G453" s="13" t="n"/>
      <c r="H453" s="12" t="n"/>
      <c r="I453" s="12" t="n"/>
      <c r="J453" s="12" t="n"/>
      <c r="K453" s="12" t="n"/>
      <c r="L453" s="11" t="n"/>
      <c r="M453" s="11" t="n"/>
      <c r="N453" s="11" t="n"/>
      <c r="O453" s="11" t="n"/>
      <c r="P453" s="12" t="n"/>
      <c r="Q453" s="11" t="n"/>
      <c r="R453" s="12" t="n"/>
      <c r="S453" s="11" t="n"/>
      <c r="T453" s="12" t="n"/>
      <c r="U453" s="12" t="n"/>
      <c r="V453" s="12" t="n"/>
      <c r="W453" s="13" t="n"/>
      <c r="X453" s="14">
        <f>IF($AP453="",IF($B453="","",$H453),IF(INDEX(職員マスタ!$B$6:$B$405,$AP453)="",$H453,INDEX(職員マスタ!$B$6:$B$405,$AP453)))</f>
        <v/>
      </c>
      <c r="Y453" s="14">
        <f>IF($AP453="",IF($B453="","",$R453),IF(INDEX(職員マスタ!$C$6:$C$405,$AP453)="",$R453,INDEX(職員マスタ!$C$6:$C$405,$AP453)))</f>
        <v/>
      </c>
      <c r="Z453" s="14">
        <f>IF($AQ453="","","R"&amp;$C453&amp;"."&amp;$D453)</f>
        <v/>
      </c>
      <c r="AA453" s="15">
        <f>IF(IF($AP453="",FALSE,INDEX(職員マスタ!$K$6:$K$405,$AP453)&lt;&gt;""),INDEX(職員マスタ!$K$6:$K$405,$AP453),IF(N($W453)&gt;0,$W453,""))</f>
        <v/>
      </c>
      <c r="AB453" s="14">
        <f>IF(OR($E453="",$AA453=""),"",IF($E453&gt;=$AA453,"×",IF($E453&gt;=$AA453*設定!$C$5,"△","○")))</f>
        <v/>
      </c>
      <c r="AC453" s="15">
        <f>IF($AB453="","",IF($AB453="×",0,IF($AB453="○",ROUNDDOWN($E453*設定!$C$4,0),ROUNDDOWN($E453*ROUND((9*$AA453-9*$E453)/(10*$E453),4),0))))</f>
        <v/>
      </c>
      <c r="AD453" s="13" t="n"/>
      <c r="AE453" s="15">
        <f>IF($B453="","",IF($AD453&lt;&gt;"",$AD453,IF($AC453="","",IF($AC453&lt;=設定!$C$3,0,$AC453))))</f>
        <v/>
      </c>
      <c r="AF453" s="14">
        <f>IF($B453="","",IF(AND($AG453&lt;&gt;"",$AI453="",$AL453=""),"保留中",IF($AL453&lt;&gt;"",IF(N($AE453)&gt;0,"支給済","不支給"),IF($AE453="","要確認",IF($AE453=0,"不支給","未処理")))))</f>
        <v/>
      </c>
      <c r="AG453" s="12" t="n"/>
      <c r="AH453" s="11" t="n"/>
      <c r="AI453" s="11" t="n"/>
      <c r="AJ453" s="11" t="n"/>
      <c r="AK453" s="14">
        <f>IF(AND($AF453="保留中",$AH453&lt;&gt;""),TODAY()-$AH453,"")</f>
        <v/>
      </c>
      <c r="AL453" s="12" t="inlineStr">
        <is>
          <t>R8.10</t>
        </is>
      </c>
      <c r="AM453" s="14">
        <f>IF($B453="","",IF($AQ453="","対象年月が未入力／","")&amp;IF($B453="","",IF($AP453="","職員マスタに未登録の職員番号／",IF($AA453="","標準報酬月額が未登録／","")&amp;IF(AND($AQ453&lt;&gt;"",OR(AND(INDEX(職員マスタ!$G$6:$G$405,$AP453)&lt;&gt;"",INDEX(職員マスタ!$G$6:$G$405,$AP453)&gt;EOMONTH($AQ453,0)),AND(INDEX(職員マスタ!$H$6:$H$405,$AP453)&lt;&gt;"",INDEX(職員マスタ!$H$6:$H$405,$AP453)&lt;$AQ453))),"対象月が時短期間外／","")&amp;IF(AND(INDEX(職員マスタ!$K$6:$K$405,$AP453)&lt;&gt;"",N($W453)&gt;0,INDEX(職員マスタ!$K$6:$K$405,$AP453)&lt;&gt;$W453),"標準報酬月額が申請書と相違（台帳"&amp;TEXT(INDEX(職員マスタ!$K$6:$K$405,$AP453),"#,##0")&amp;"円／申請書"&amp;TEXT($W453,"#,##0")&amp;"円）／","")&amp;IF(AND(INDEX(職員マスタ!$F$6:$F$405,$AP453)&lt;&gt;"",$AQ453&lt;&gt;"",INDEX(職員マスタ!$F$6:$F$405,$AP453)&lt;$AQ453),"対象月に子が2歳到達済／","")&amp;IF(AND($H453&lt;&gt;"",INDEX(職員マスタ!$B$6:$B$405,$AP453)&lt;&gt;"",SUBSTITUTE(SUBSTITUTE($H453," ","")," ","")&lt;&gt;SUBSTITUTE(SUBSTITUTE(INDEX(職員マスタ!$B$6:$B$405,$AP453)," ","")," ","")),"氏名がマスタと相違／","")&amp;IF(AND($Q453&lt;&gt;"",INDEX(職員マスタ!$E$6:$E$405,$AP453)&lt;&gt;"",$Q453&lt;&gt;INDEX(職員マスタ!$E$6:$E$405,$AP453)),"子の生年月日がマスタと相違／","")&amp;IF(AND($L453&lt;&gt;"",INDEX(職員マスタ!$G$6:$G$405,$AP453)&lt;&gt;"",$L453&lt;&gt;INDEX(職員マスタ!$G$6:$G$405,$AP453)),"時短開始日がマスタと相違／","")&amp;IF(AND($M453&lt;&gt;"",INDEX(職員マスタ!$H$6:$H$405,$AP453)&lt;&gt;"",$M453&lt;&gt;INDEX(職員マスタ!$H$6:$H$405,$AP453)),"時短終了日がマスタと相違／","")))&amp;IF(AND($B453&lt;&gt;"",$E453=""),"報酬額が未入力／","")&amp;IF(N($U453)&gt;0,"申請書に入力エラーが残っています／","")&amp;IF(AND($B453&lt;&gt;"",$AQ453&lt;&gt;""),IF(COUNTIFS($B$6:$B$3005,$B453,$C$6:$C$3005,$C453,$D$6:$D$3005,$D453)&gt;1,"同じ月の請求が重複しています／",""),"")&amp;IF(AND(N($E453)&gt;0,$AB453&lt;&gt;"",$AB453&lt;&gt;"×",$AE453=0,$AD453=""),"計算額が下限以下のため不支給／",""))</f>
        <v/>
      </c>
      <c r="AN453" s="12" t="n"/>
      <c r="AO453" s="14">
        <f>IF($AF453="保留中",COUNTIF($AF$6:$AF453,"保留中"),"")</f>
        <v/>
      </c>
      <c r="AP453" s="14">
        <f>IF($AQ453="","",IF(SUMPRODUCT(MAX((職員マスタ!$A$6:$A$405=$B453)*(((職員マスタ!$G$6:$G$405="")+(職員マスタ!$G$6:$G$405&lt;=EOMONTH($AQ453,0)))&gt;0)*(((職員マスタ!$H$6:$H$405="")+(職員マスタ!$H$6:$H$405&gt;=$AQ453))&gt;0)*(ROW(職員マスタ!$A$6:$A$405)-5)))&gt;0,SUMPRODUCT(MAX((職員マスタ!$A$6:$A$405=$B453)*(((職員マスタ!$G$6:$G$405="")+(職員マスタ!$G$6:$G$405&lt;=EOMONTH($AQ453,0)))&gt;0)*(((職員マスタ!$H$6:$H$405="")+(職員マスタ!$H$6:$H$405&gt;=$AQ453))&gt;0)*(ROW(職員マスタ!$A$6:$A$405)-5))),IFERROR(MATCH($B453,職員マスタ!$A$6:$A$405,0),"")))</f>
        <v/>
      </c>
      <c r="AQ453" s="16">
        <f>IF(OR($B453="",$C453="",$D453=""),"",DATE($C453+2018,$D453,1))</f>
        <v/>
      </c>
    </row>
    <row r="454">
      <c r="A454" s="11" t="n"/>
      <c r="B454" s="12" t="n">
        <v>7101983</v>
      </c>
      <c r="C454" s="12" t="n">
        <v>8</v>
      </c>
      <c r="D454" s="12" t="n">
        <v>7</v>
      </c>
      <c r="E454" s="13" t="n">
        <v>186430</v>
      </c>
      <c r="F454" s="12" t="n"/>
      <c r="G454" s="13" t="n"/>
      <c r="H454" s="12" t="n"/>
      <c r="I454" s="12" t="n"/>
      <c r="J454" s="12" t="n"/>
      <c r="K454" s="12" t="n"/>
      <c r="L454" s="11" t="n"/>
      <c r="M454" s="11" t="n"/>
      <c r="N454" s="11" t="n"/>
      <c r="O454" s="11" t="n"/>
      <c r="P454" s="12" t="n"/>
      <c r="Q454" s="11" t="n"/>
      <c r="R454" s="12" t="n"/>
      <c r="S454" s="11" t="n"/>
      <c r="T454" s="12" t="n"/>
      <c r="U454" s="12" t="n"/>
      <c r="V454" s="12" t="n"/>
      <c r="W454" s="13" t="n"/>
      <c r="X454" s="14">
        <f>IF($AP454="",IF($B454="","",$H454),IF(INDEX(職員マスタ!$B$6:$B$405,$AP454)="",$H454,INDEX(職員マスタ!$B$6:$B$405,$AP454)))</f>
        <v/>
      </c>
      <c r="Y454" s="14">
        <f>IF($AP454="",IF($B454="","",$R454),IF(INDEX(職員マスタ!$C$6:$C$405,$AP454)="",$R454,INDEX(職員マスタ!$C$6:$C$405,$AP454)))</f>
        <v/>
      </c>
      <c r="Z454" s="14">
        <f>IF($AQ454="","","R"&amp;$C454&amp;"."&amp;$D454)</f>
        <v/>
      </c>
      <c r="AA454" s="15">
        <f>IF(IF($AP454="",FALSE,INDEX(職員マスタ!$K$6:$K$405,$AP454)&lt;&gt;""),INDEX(職員マスタ!$K$6:$K$405,$AP454),IF(N($W454)&gt;0,$W454,""))</f>
        <v/>
      </c>
      <c r="AB454" s="14">
        <f>IF(OR($E454="",$AA454=""),"",IF($E454&gt;=$AA454,"×",IF($E454&gt;=$AA454*設定!$C$5,"△","○")))</f>
        <v/>
      </c>
      <c r="AC454" s="15">
        <f>IF($AB454="","",IF($AB454="×",0,IF($AB454="○",ROUNDDOWN($E454*設定!$C$4,0),ROUNDDOWN($E454*ROUND((9*$AA454-9*$E454)/(10*$E454),4),0))))</f>
        <v/>
      </c>
      <c r="AD454" s="13" t="n"/>
      <c r="AE454" s="15">
        <f>IF($B454="","",IF($AD454&lt;&gt;"",$AD454,IF($AC454="","",IF($AC454&lt;=設定!$C$3,0,$AC454))))</f>
        <v/>
      </c>
      <c r="AF454" s="14">
        <f>IF($B454="","",IF(AND($AG454&lt;&gt;"",$AI454="",$AL454=""),"保留中",IF($AL454&lt;&gt;"",IF(N($AE454)&gt;0,"支給済","不支給"),IF($AE454="","要確認",IF($AE454=0,"不支給","未処理")))))</f>
        <v/>
      </c>
      <c r="AG454" s="12" t="n"/>
      <c r="AH454" s="11" t="n"/>
      <c r="AI454" s="11" t="n"/>
      <c r="AJ454" s="11" t="n"/>
      <c r="AK454" s="14">
        <f>IF(AND($AF454="保留中",$AH454&lt;&gt;""),TODAY()-$AH454,"")</f>
        <v/>
      </c>
      <c r="AL454" s="12" t="inlineStr">
        <is>
          <t>R8.10</t>
        </is>
      </c>
      <c r="AM454" s="14">
        <f>IF($B454="","",IF($AQ454="","対象年月が未入力／","")&amp;IF($B454="","",IF($AP454="","職員マスタに未登録の職員番号／",IF($AA454="","標準報酬月額が未登録／","")&amp;IF(AND($AQ454&lt;&gt;"",OR(AND(INDEX(職員マスタ!$G$6:$G$405,$AP454)&lt;&gt;"",INDEX(職員マスタ!$G$6:$G$405,$AP454)&gt;EOMONTH($AQ454,0)),AND(INDEX(職員マスタ!$H$6:$H$405,$AP454)&lt;&gt;"",INDEX(職員マスタ!$H$6:$H$405,$AP454)&lt;$AQ454))),"対象月が時短期間外／","")&amp;IF(AND(INDEX(職員マスタ!$K$6:$K$405,$AP454)&lt;&gt;"",N($W454)&gt;0,INDEX(職員マスタ!$K$6:$K$405,$AP454)&lt;&gt;$W454),"標準報酬月額が申請書と相違（台帳"&amp;TEXT(INDEX(職員マスタ!$K$6:$K$405,$AP454),"#,##0")&amp;"円／申請書"&amp;TEXT($W454,"#,##0")&amp;"円）／","")&amp;IF(AND(INDEX(職員マスタ!$F$6:$F$405,$AP454)&lt;&gt;"",$AQ454&lt;&gt;"",INDEX(職員マスタ!$F$6:$F$405,$AP454)&lt;$AQ454),"対象月に子が2歳到達済／","")&amp;IF(AND($H454&lt;&gt;"",INDEX(職員マスタ!$B$6:$B$405,$AP454)&lt;&gt;"",SUBSTITUTE(SUBSTITUTE($H454," ","")," ","")&lt;&gt;SUBSTITUTE(SUBSTITUTE(INDEX(職員マスタ!$B$6:$B$405,$AP454)," ","")," ","")),"氏名がマスタと相違／","")&amp;IF(AND($Q454&lt;&gt;"",INDEX(職員マスタ!$E$6:$E$405,$AP454)&lt;&gt;"",$Q454&lt;&gt;INDEX(職員マスタ!$E$6:$E$405,$AP454)),"子の生年月日がマスタと相違／","")&amp;IF(AND($L454&lt;&gt;"",INDEX(職員マスタ!$G$6:$G$405,$AP454)&lt;&gt;"",$L454&lt;&gt;INDEX(職員マスタ!$G$6:$G$405,$AP454)),"時短開始日がマスタと相違／","")&amp;IF(AND($M454&lt;&gt;"",INDEX(職員マスタ!$H$6:$H$405,$AP454)&lt;&gt;"",$M454&lt;&gt;INDEX(職員マスタ!$H$6:$H$405,$AP454)),"時短終了日がマスタと相違／","")))&amp;IF(AND($B454&lt;&gt;"",$E454=""),"報酬額が未入力／","")&amp;IF(N($U454)&gt;0,"申請書に入力エラーが残っています／","")&amp;IF(AND($B454&lt;&gt;"",$AQ454&lt;&gt;""),IF(COUNTIFS($B$6:$B$3005,$B454,$C$6:$C$3005,$C454,$D$6:$D$3005,$D454)&gt;1,"同じ月の請求が重複しています／",""),"")&amp;IF(AND(N($E454)&gt;0,$AB454&lt;&gt;"",$AB454&lt;&gt;"×",$AE454=0,$AD454=""),"計算額が下限以下のため不支給／",""))</f>
        <v/>
      </c>
      <c r="AN454" s="12" t="n"/>
      <c r="AO454" s="14">
        <f>IF($AF454="保留中",COUNTIF($AF$6:$AF454,"保留中"),"")</f>
        <v/>
      </c>
      <c r="AP454" s="14">
        <f>IF($AQ454="","",IF(SUMPRODUCT(MAX((職員マスタ!$A$6:$A$405=$B454)*(((職員マスタ!$G$6:$G$405="")+(職員マスタ!$G$6:$G$405&lt;=EOMONTH($AQ454,0)))&gt;0)*(((職員マスタ!$H$6:$H$405="")+(職員マスタ!$H$6:$H$405&gt;=$AQ454))&gt;0)*(ROW(職員マスタ!$A$6:$A$405)-5)))&gt;0,SUMPRODUCT(MAX((職員マスタ!$A$6:$A$405=$B454)*(((職員マスタ!$G$6:$G$405="")+(職員マスタ!$G$6:$G$405&lt;=EOMONTH($AQ454,0)))&gt;0)*(((職員マスタ!$H$6:$H$405="")+(職員マスタ!$H$6:$H$405&gt;=$AQ454))&gt;0)*(ROW(職員マスタ!$A$6:$A$405)-5))),IFERROR(MATCH($B454,職員マスタ!$A$6:$A$405,0),"")))</f>
        <v/>
      </c>
      <c r="AQ454" s="16">
        <f>IF(OR($B454="",$C454="",$D454=""),"",DATE($C454+2018,$D454,1))</f>
        <v/>
      </c>
    </row>
    <row r="455">
      <c r="A455" s="11" t="n"/>
      <c r="B455" s="12" t="n">
        <v>7103724</v>
      </c>
      <c r="C455" s="12" t="n">
        <v>7</v>
      </c>
      <c r="D455" s="12" t="n">
        <v>9</v>
      </c>
      <c r="E455" s="13" t="n">
        <v>222213</v>
      </c>
      <c r="F455" s="12" t="n"/>
      <c r="G455" s="13" t="n"/>
      <c r="H455" s="12" t="n"/>
      <c r="I455" s="12" t="n"/>
      <c r="J455" s="12" t="n"/>
      <c r="K455" s="12" t="n"/>
      <c r="L455" s="11" t="n"/>
      <c r="M455" s="11" t="n"/>
      <c r="N455" s="11" t="n"/>
      <c r="O455" s="11" t="n"/>
      <c r="P455" s="12" t="n"/>
      <c r="Q455" s="11" t="n"/>
      <c r="R455" s="12" t="n"/>
      <c r="S455" s="11" t="n"/>
      <c r="T455" s="12" t="n"/>
      <c r="U455" s="12" t="n"/>
      <c r="V455" s="12" t="n"/>
      <c r="W455" s="13" t="n"/>
      <c r="X455" s="14">
        <f>IF($AP455="",IF($B455="","",$H455),IF(INDEX(職員マスタ!$B$6:$B$405,$AP455)="",$H455,INDEX(職員マスタ!$B$6:$B$405,$AP455)))</f>
        <v/>
      </c>
      <c r="Y455" s="14">
        <f>IF($AP455="",IF($B455="","",$R455),IF(INDEX(職員マスタ!$C$6:$C$405,$AP455)="",$R455,INDEX(職員マスタ!$C$6:$C$405,$AP455)))</f>
        <v/>
      </c>
      <c r="Z455" s="14">
        <f>IF($AQ455="","","R"&amp;$C455&amp;"."&amp;$D455)</f>
        <v/>
      </c>
      <c r="AA455" s="15">
        <f>IF(IF($AP455="",FALSE,INDEX(職員マスタ!$K$6:$K$405,$AP455)&lt;&gt;""),INDEX(職員マスタ!$K$6:$K$405,$AP455),IF(N($W455)&gt;0,$W455,""))</f>
        <v/>
      </c>
      <c r="AB455" s="14">
        <f>IF(OR($E455="",$AA455=""),"",IF($E455&gt;=$AA455,"×",IF($E455&gt;=$AA455*設定!$C$5,"△","○")))</f>
        <v/>
      </c>
      <c r="AC455" s="15">
        <f>IF($AB455="","",IF($AB455="×",0,IF($AB455="○",ROUNDDOWN($E455*設定!$C$4,0),ROUNDDOWN($E455*ROUND((9*$AA455-9*$E455)/(10*$E455),4),0))))</f>
        <v/>
      </c>
      <c r="AD455" s="13" t="n"/>
      <c r="AE455" s="15">
        <f>IF($B455="","",IF($AD455&lt;&gt;"",$AD455,IF($AC455="","",IF($AC455&lt;=設定!$C$3,0,$AC455))))</f>
        <v/>
      </c>
      <c r="AF455" s="14">
        <f>IF($B455="","",IF(AND($AG455&lt;&gt;"",$AI455="",$AL455=""),"保留中",IF($AL455&lt;&gt;"",IF(N($AE455)&gt;0,"支給済","不支給"),IF($AE455="","要確認",IF($AE455=0,"不支給","未処理")))))</f>
        <v/>
      </c>
      <c r="AG455" s="12" t="n"/>
      <c r="AH455" s="11" t="n"/>
      <c r="AI455" s="11" t="n"/>
      <c r="AJ455" s="11" t="n"/>
      <c r="AK455" s="14">
        <f>IF(AND($AF455="保留中",$AH455&lt;&gt;""),TODAY()-$AH455,"")</f>
        <v/>
      </c>
      <c r="AL455" s="12" t="inlineStr">
        <is>
          <t>R7.12</t>
        </is>
      </c>
      <c r="AM455" s="14">
        <f>IF($B455="","",IF($AQ455="","対象年月が未入力／","")&amp;IF($B455="","",IF($AP455="","職員マスタに未登録の職員番号／",IF($AA455="","標準報酬月額が未登録／","")&amp;IF(AND($AQ455&lt;&gt;"",OR(AND(INDEX(職員マスタ!$G$6:$G$405,$AP455)&lt;&gt;"",INDEX(職員マスタ!$G$6:$G$405,$AP455)&gt;EOMONTH($AQ455,0)),AND(INDEX(職員マスタ!$H$6:$H$405,$AP455)&lt;&gt;"",INDEX(職員マスタ!$H$6:$H$405,$AP455)&lt;$AQ455))),"対象月が時短期間外／","")&amp;IF(AND(INDEX(職員マスタ!$K$6:$K$405,$AP455)&lt;&gt;"",N($W455)&gt;0,INDEX(職員マスタ!$K$6:$K$405,$AP455)&lt;&gt;$W455),"標準報酬月額が申請書と相違（台帳"&amp;TEXT(INDEX(職員マスタ!$K$6:$K$405,$AP455),"#,##0")&amp;"円／申請書"&amp;TEXT($W455,"#,##0")&amp;"円）／","")&amp;IF(AND(INDEX(職員マスタ!$F$6:$F$405,$AP455)&lt;&gt;"",$AQ455&lt;&gt;"",INDEX(職員マスタ!$F$6:$F$405,$AP455)&lt;$AQ455),"対象月に子が2歳到達済／","")&amp;IF(AND($H455&lt;&gt;"",INDEX(職員マスタ!$B$6:$B$405,$AP455)&lt;&gt;"",SUBSTITUTE(SUBSTITUTE($H455," ","")," ","")&lt;&gt;SUBSTITUTE(SUBSTITUTE(INDEX(職員マスタ!$B$6:$B$405,$AP455)," ","")," ","")),"氏名がマスタと相違／","")&amp;IF(AND($Q455&lt;&gt;"",INDEX(職員マスタ!$E$6:$E$405,$AP455)&lt;&gt;"",$Q455&lt;&gt;INDEX(職員マスタ!$E$6:$E$405,$AP455)),"子の生年月日がマスタと相違／","")&amp;IF(AND($L455&lt;&gt;"",INDEX(職員マスタ!$G$6:$G$405,$AP455)&lt;&gt;"",$L455&lt;&gt;INDEX(職員マスタ!$G$6:$G$405,$AP455)),"時短開始日がマスタと相違／","")&amp;IF(AND($M455&lt;&gt;"",INDEX(職員マスタ!$H$6:$H$405,$AP455)&lt;&gt;"",$M455&lt;&gt;INDEX(職員マスタ!$H$6:$H$405,$AP455)),"時短終了日がマスタと相違／","")))&amp;IF(AND($B455&lt;&gt;"",$E455=""),"報酬額が未入力／","")&amp;IF(N($U455)&gt;0,"申請書に入力エラーが残っています／","")&amp;IF(AND($B455&lt;&gt;"",$AQ455&lt;&gt;""),IF(COUNTIFS($B$6:$B$3005,$B455,$C$6:$C$3005,$C455,$D$6:$D$3005,$D455)&gt;1,"同じ月の請求が重複しています／",""),"")&amp;IF(AND(N($E455)&gt;0,$AB455&lt;&gt;"",$AB455&lt;&gt;"×",$AE455=0,$AD455=""),"計算額が下限以下のため不支給／",""))</f>
        <v/>
      </c>
      <c r="AN455" s="12" t="n"/>
      <c r="AO455" s="14">
        <f>IF($AF455="保留中",COUNTIF($AF$6:$AF455,"保留中"),"")</f>
        <v/>
      </c>
      <c r="AP455" s="14">
        <f>IF($AQ455="","",IF(SUMPRODUCT(MAX((職員マスタ!$A$6:$A$405=$B455)*(((職員マスタ!$G$6:$G$405="")+(職員マスタ!$G$6:$G$405&lt;=EOMONTH($AQ455,0)))&gt;0)*(((職員マスタ!$H$6:$H$405="")+(職員マスタ!$H$6:$H$405&gt;=$AQ455))&gt;0)*(ROW(職員マスタ!$A$6:$A$405)-5)))&gt;0,SUMPRODUCT(MAX((職員マスタ!$A$6:$A$405=$B455)*(((職員マスタ!$G$6:$G$405="")+(職員マスタ!$G$6:$G$405&lt;=EOMONTH($AQ455,0)))&gt;0)*(((職員マスタ!$H$6:$H$405="")+(職員マスタ!$H$6:$H$405&gt;=$AQ455))&gt;0)*(ROW(職員マスタ!$A$6:$A$405)-5))),IFERROR(MATCH($B455,職員マスタ!$A$6:$A$405,0),"")))</f>
        <v/>
      </c>
      <c r="AQ455" s="16">
        <f>IF(OR($B455="",$C455="",$D455=""),"",DATE($C455+2018,$D455,1))</f>
        <v/>
      </c>
    </row>
    <row r="456">
      <c r="A456" s="11" t="n"/>
      <c r="B456" s="12" t="n">
        <v>7103724</v>
      </c>
      <c r="C456" s="12" t="n">
        <v>7</v>
      </c>
      <c r="D456" s="12" t="n">
        <v>10</v>
      </c>
      <c r="E456" s="13" t="n">
        <v>227551</v>
      </c>
      <c r="F456" s="12" t="n"/>
      <c r="G456" s="13" t="n"/>
      <c r="H456" s="12" t="n"/>
      <c r="I456" s="12" t="n"/>
      <c r="J456" s="12" t="n"/>
      <c r="K456" s="12" t="n"/>
      <c r="L456" s="11" t="n"/>
      <c r="M456" s="11" t="n"/>
      <c r="N456" s="11" t="n"/>
      <c r="O456" s="11" t="n"/>
      <c r="P456" s="12" t="n"/>
      <c r="Q456" s="11" t="n"/>
      <c r="R456" s="12" t="n"/>
      <c r="S456" s="11" t="n"/>
      <c r="T456" s="12" t="n"/>
      <c r="U456" s="12" t="n"/>
      <c r="V456" s="12" t="n"/>
      <c r="W456" s="13" t="n"/>
      <c r="X456" s="14">
        <f>IF($AP456="",IF($B456="","",$H456),IF(INDEX(職員マスタ!$B$6:$B$405,$AP456)="",$H456,INDEX(職員マスタ!$B$6:$B$405,$AP456)))</f>
        <v/>
      </c>
      <c r="Y456" s="14">
        <f>IF($AP456="",IF($B456="","",$R456),IF(INDEX(職員マスタ!$C$6:$C$405,$AP456)="",$R456,INDEX(職員マスタ!$C$6:$C$405,$AP456)))</f>
        <v/>
      </c>
      <c r="Z456" s="14">
        <f>IF($AQ456="","","R"&amp;$C456&amp;"."&amp;$D456)</f>
        <v/>
      </c>
      <c r="AA456" s="15">
        <f>IF(IF($AP456="",FALSE,INDEX(職員マスタ!$K$6:$K$405,$AP456)&lt;&gt;""),INDEX(職員マスタ!$K$6:$K$405,$AP456),IF(N($W456)&gt;0,$W456,""))</f>
        <v/>
      </c>
      <c r="AB456" s="14">
        <f>IF(OR($E456="",$AA456=""),"",IF($E456&gt;=$AA456,"×",IF($E456&gt;=$AA456*設定!$C$5,"△","○")))</f>
        <v/>
      </c>
      <c r="AC456" s="15">
        <f>IF($AB456="","",IF($AB456="×",0,IF($AB456="○",ROUNDDOWN($E456*設定!$C$4,0),ROUNDDOWN($E456*ROUND((9*$AA456-9*$E456)/(10*$E456),4),0))))</f>
        <v/>
      </c>
      <c r="AD456" s="13" t="n"/>
      <c r="AE456" s="15">
        <f>IF($B456="","",IF($AD456&lt;&gt;"",$AD456,IF($AC456="","",IF($AC456&lt;=設定!$C$3,0,$AC456))))</f>
        <v/>
      </c>
      <c r="AF456" s="14">
        <f>IF($B456="","",IF(AND($AG456&lt;&gt;"",$AI456="",$AL456=""),"保留中",IF($AL456&lt;&gt;"",IF(N($AE456)&gt;0,"支給済","不支給"),IF($AE456="","要確認",IF($AE456=0,"不支給","未処理")))))</f>
        <v/>
      </c>
      <c r="AG456" s="12" t="n"/>
      <c r="AH456" s="11" t="n"/>
      <c r="AI456" s="11" t="n"/>
      <c r="AJ456" s="11" t="n"/>
      <c r="AK456" s="14">
        <f>IF(AND($AF456="保留中",$AH456&lt;&gt;""),TODAY()-$AH456,"")</f>
        <v/>
      </c>
      <c r="AL456" s="12" t="inlineStr">
        <is>
          <t>R8.1</t>
        </is>
      </c>
      <c r="AM456" s="14">
        <f>IF($B456="","",IF($AQ456="","対象年月が未入力／","")&amp;IF($B456="","",IF($AP456="","職員マスタに未登録の職員番号／",IF($AA456="","標準報酬月額が未登録／","")&amp;IF(AND($AQ456&lt;&gt;"",OR(AND(INDEX(職員マスタ!$G$6:$G$405,$AP456)&lt;&gt;"",INDEX(職員マスタ!$G$6:$G$405,$AP456)&gt;EOMONTH($AQ456,0)),AND(INDEX(職員マスタ!$H$6:$H$405,$AP456)&lt;&gt;"",INDEX(職員マスタ!$H$6:$H$405,$AP456)&lt;$AQ456))),"対象月が時短期間外／","")&amp;IF(AND(INDEX(職員マスタ!$K$6:$K$405,$AP456)&lt;&gt;"",N($W456)&gt;0,INDEX(職員マスタ!$K$6:$K$405,$AP456)&lt;&gt;$W456),"標準報酬月額が申請書と相違（台帳"&amp;TEXT(INDEX(職員マスタ!$K$6:$K$405,$AP456),"#,##0")&amp;"円／申請書"&amp;TEXT($W456,"#,##0")&amp;"円）／","")&amp;IF(AND(INDEX(職員マスタ!$F$6:$F$405,$AP456)&lt;&gt;"",$AQ456&lt;&gt;"",INDEX(職員マスタ!$F$6:$F$405,$AP456)&lt;$AQ456),"対象月に子が2歳到達済／","")&amp;IF(AND($H456&lt;&gt;"",INDEX(職員マスタ!$B$6:$B$405,$AP456)&lt;&gt;"",SUBSTITUTE(SUBSTITUTE($H456," ","")," ","")&lt;&gt;SUBSTITUTE(SUBSTITUTE(INDEX(職員マスタ!$B$6:$B$405,$AP456)," ","")," ","")),"氏名がマスタと相違／","")&amp;IF(AND($Q456&lt;&gt;"",INDEX(職員マスタ!$E$6:$E$405,$AP456)&lt;&gt;"",$Q456&lt;&gt;INDEX(職員マスタ!$E$6:$E$405,$AP456)),"子の生年月日がマスタと相違／","")&amp;IF(AND($L456&lt;&gt;"",INDEX(職員マスタ!$G$6:$G$405,$AP456)&lt;&gt;"",$L456&lt;&gt;INDEX(職員マスタ!$G$6:$G$405,$AP456)),"時短開始日がマスタと相違／","")&amp;IF(AND($M456&lt;&gt;"",INDEX(職員マスタ!$H$6:$H$405,$AP456)&lt;&gt;"",$M456&lt;&gt;INDEX(職員マスタ!$H$6:$H$405,$AP456)),"時短終了日がマスタと相違／","")))&amp;IF(AND($B456&lt;&gt;"",$E456=""),"報酬額が未入力／","")&amp;IF(N($U456)&gt;0,"申請書に入力エラーが残っています／","")&amp;IF(AND($B456&lt;&gt;"",$AQ456&lt;&gt;""),IF(COUNTIFS($B$6:$B$3005,$B456,$C$6:$C$3005,$C456,$D$6:$D$3005,$D456)&gt;1,"同じ月の請求が重複しています／",""),"")&amp;IF(AND(N($E456)&gt;0,$AB456&lt;&gt;"",$AB456&lt;&gt;"×",$AE456=0,$AD456=""),"計算額が下限以下のため不支給／",""))</f>
        <v/>
      </c>
      <c r="AN456" s="12" t="n"/>
      <c r="AO456" s="14">
        <f>IF($AF456="保留中",COUNTIF($AF$6:$AF456,"保留中"),"")</f>
        <v/>
      </c>
      <c r="AP456" s="14">
        <f>IF($AQ456="","",IF(SUMPRODUCT(MAX((職員マスタ!$A$6:$A$405=$B456)*(((職員マスタ!$G$6:$G$405="")+(職員マスタ!$G$6:$G$405&lt;=EOMONTH($AQ456,0)))&gt;0)*(((職員マスタ!$H$6:$H$405="")+(職員マスタ!$H$6:$H$405&gt;=$AQ456))&gt;0)*(ROW(職員マスタ!$A$6:$A$405)-5)))&gt;0,SUMPRODUCT(MAX((職員マスタ!$A$6:$A$405=$B456)*(((職員マスタ!$G$6:$G$405="")+(職員マスタ!$G$6:$G$405&lt;=EOMONTH($AQ456,0)))&gt;0)*(((職員マスタ!$H$6:$H$405="")+(職員マスタ!$H$6:$H$405&gt;=$AQ456))&gt;0)*(ROW(職員マスタ!$A$6:$A$405)-5))),IFERROR(MATCH($B456,職員マスタ!$A$6:$A$405,0),"")))</f>
        <v/>
      </c>
      <c r="AQ456" s="16">
        <f>IF(OR($B456="",$C456="",$D456=""),"",DATE($C456+2018,$D456,1))</f>
        <v/>
      </c>
    </row>
    <row r="457">
      <c r="A457" s="11" t="n"/>
      <c r="B457" s="12" t="n">
        <v>7103724</v>
      </c>
      <c r="C457" s="12" t="n">
        <v>7</v>
      </c>
      <c r="D457" s="12" t="n">
        <v>11</v>
      </c>
      <c r="E457" s="13" t="n">
        <v>222213</v>
      </c>
      <c r="F457" s="12" t="n"/>
      <c r="G457" s="13" t="n"/>
      <c r="H457" s="12" t="n"/>
      <c r="I457" s="12" t="n"/>
      <c r="J457" s="12" t="n"/>
      <c r="K457" s="12" t="n"/>
      <c r="L457" s="11" t="n"/>
      <c r="M457" s="11" t="n"/>
      <c r="N457" s="11" t="n"/>
      <c r="O457" s="11" t="n"/>
      <c r="P457" s="12" t="n"/>
      <c r="Q457" s="11" t="n"/>
      <c r="R457" s="12" t="n"/>
      <c r="S457" s="11" t="n"/>
      <c r="T457" s="12" t="n"/>
      <c r="U457" s="12" t="n"/>
      <c r="V457" s="12" t="n"/>
      <c r="W457" s="13" t="n"/>
      <c r="X457" s="14">
        <f>IF($AP457="",IF($B457="","",$H457),IF(INDEX(職員マスタ!$B$6:$B$405,$AP457)="",$H457,INDEX(職員マスタ!$B$6:$B$405,$AP457)))</f>
        <v/>
      </c>
      <c r="Y457" s="14">
        <f>IF($AP457="",IF($B457="","",$R457),IF(INDEX(職員マスタ!$C$6:$C$405,$AP457)="",$R457,INDEX(職員マスタ!$C$6:$C$405,$AP457)))</f>
        <v/>
      </c>
      <c r="Z457" s="14">
        <f>IF($AQ457="","","R"&amp;$C457&amp;"."&amp;$D457)</f>
        <v/>
      </c>
      <c r="AA457" s="15">
        <f>IF(IF($AP457="",FALSE,INDEX(職員マスタ!$K$6:$K$405,$AP457)&lt;&gt;""),INDEX(職員マスタ!$K$6:$K$405,$AP457),IF(N($W457)&gt;0,$W457,""))</f>
        <v/>
      </c>
      <c r="AB457" s="14">
        <f>IF(OR($E457="",$AA457=""),"",IF($E457&gt;=$AA457,"×",IF($E457&gt;=$AA457*設定!$C$5,"△","○")))</f>
        <v/>
      </c>
      <c r="AC457" s="15">
        <f>IF($AB457="","",IF($AB457="×",0,IF($AB457="○",ROUNDDOWN($E457*設定!$C$4,0),ROUNDDOWN($E457*ROUND((9*$AA457-9*$E457)/(10*$E457),4),0))))</f>
        <v/>
      </c>
      <c r="AD457" s="13" t="n"/>
      <c r="AE457" s="15">
        <f>IF($B457="","",IF($AD457&lt;&gt;"",$AD457,IF($AC457="","",IF($AC457&lt;=設定!$C$3,0,$AC457))))</f>
        <v/>
      </c>
      <c r="AF457" s="14">
        <f>IF($B457="","",IF(AND($AG457&lt;&gt;"",$AI457="",$AL457=""),"保留中",IF($AL457&lt;&gt;"",IF(N($AE457)&gt;0,"支給済","不支給"),IF($AE457="","要確認",IF($AE457=0,"不支給","未処理")))))</f>
        <v/>
      </c>
      <c r="AG457" s="12" t="n"/>
      <c r="AH457" s="11" t="n"/>
      <c r="AI457" s="11" t="n"/>
      <c r="AJ457" s="11" t="n"/>
      <c r="AK457" s="14">
        <f>IF(AND($AF457="保留中",$AH457&lt;&gt;""),TODAY()-$AH457,"")</f>
        <v/>
      </c>
      <c r="AL457" s="12" t="inlineStr">
        <is>
          <t>R8.2</t>
        </is>
      </c>
      <c r="AM457" s="14">
        <f>IF($B457="","",IF($AQ457="","対象年月が未入力／","")&amp;IF($B457="","",IF($AP457="","職員マスタに未登録の職員番号／",IF($AA457="","標準報酬月額が未登録／","")&amp;IF(AND($AQ457&lt;&gt;"",OR(AND(INDEX(職員マスタ!$G$6:$G$405,$AP457)&lt;&gt;"",INDEX(職員マスタ!$G$6:$G$405,$AP457)&gt;EOMONTH($AQ457,0)),AND(INDEX(職員マスタ!$H$6:$H$405,$AP457)&lt;&gt;"",INDEX(職員マスタ!$H$6:$H$405,$AP457)&lt;$AQ457))),"対象月が時短期間外／","")&amp;IF(AND(INDEX(職員マスタ!$K$6:$K$405,$AP457)&lt;&gt;"",N($W457)&gt;0,INDEX(職員マスタ!$K$6:$K$405,$AP457)&lt;&gt;$W457),"標準報酬月額が申請書と相違（台帳"&amp;TEXT(INDEX(職員マスタ!$K$6:$K$405,$AP457),"#,##0")&amp;"円／申請書"&amp;TEXT($W457,"#,##0")&amp;"円）／","")&amp;IF(AND(INDEX(職員マスタ!$F$6:$F$405,$AP457)&lt;&gt;"",$AQ457&lt;&gt;"",INDEX(職員マスタ!$F$6:$F$405,$AP457)&lt;$AQ457),"対象月に子が2歳到達済／","")&amp;IF(AND($H457&lt;&gt;"",INDEX(職員マスタ!$B$6:$B$405,$AP457)&lt;&gt;"",SUBSTITUTE(SUBSTITUTE($H457," ","")," ","")&lt;&gt;SUBSTITUTE(SUBSTITUTE(INDEX(職員マスタ!$B$6:$B$405,$AP457)," ","")," ","")),"氏名がマスタと相違／","")&amp;IF(AND($Q457&lt;&gt;"",INDEX(職員マスタ!$E$6:$E$405,$AP457)&lt;&gt;"",$Q457&lt;&gt;INDEX(職員マスタ!$E$6:$E$405,$AP457)),"子の生年月日がマスタと相違／","")&amp;IF(AND($L457&lt;&gt;"",INDEX(職員マスタ!$G$6:$G$405,$AP457)&lt;&gt;"",$L457&lt;&gt;INDEX(職員マスタ!$G$6:$G$405,$AP457)),"時短開始日がマスタと相違／","")&amp;IF(AND($M457&lt;&gt;"",INDEX(職員マスタ!$H$6:$H$405,$AP457)&lt;&gt;"",$M457&lt;&gt;INDEX(職員マスタ!$H$6:$H$405,$AP457)),"時短終了日がマスタと相違／","")))&amp;IF(AND($B457&lt;&gt;"",$E457=""),"報酬額が未入力／","")&amp;IF(N($U457)&gt;0,"申請書に入力エラーが残っています／","")&amp;IF(AND($B457&lt;&gt;"",$AQ457&lt;&gt;""),IF(COUNTIFS($B$6:$B$3005,$B457,$C$6:$C$3005,$C457,$D$6:$D$3005,$D457)&gt;1,"同じ月の請求が重複しています／",""),"")&amp;IF(AND(N($E457)&gt;0,$AB457&lt;&gt;"",$AB457&lt;&gt;"×",$AE457=0,$AD457=""),"計算額が下限以下のため不支給／",""))</f>
        <v/>
      </c>
      <c r="AN457" s="12" t="n"/>
      <c r="AO457" s="14">
        <f>IF($AF457="保留中",COUNTIF($AF$6:$AF457,"保留中"),"")</f>
        <v/>
      </c>
      <c r="AP457" s="14">
        <f>IF($AQ457="","",IF(SUMPRODUCT(MAX((職員マスタ!$A$6:$A$405=$B457)*(((職員マスタ!$G$6:$G$405="")+(職員マスタ!$G$6:$G$405&lt;=EOMONTH($AQ457,0)))&gt;0)*(((職員マスタ!$H$6:$H$405="")+(職員マスタ!$H$6:$H$405&gt;=$AQ457))&gt;0)*(ROW(職員マスタ!$A$6:$A$405)-5)))&gt;0,SUMPRODUCT(MAX((職員マスタ!$A$6:$A$405=$B457)*(((職員マスタ!$G$6:$G$405="")+(職員マスタ!$G$6:$G$405&lt;=EOMONTH($AQ457,0)))&gt;0)*(((職員マスタ!$H$6:$H$405="")+(職員マスタ!$H$6:$H$405&gt;=$AQ457))&gt;0)*(ROW(職員マスタ!$A$6:$A$405)-5))),IFERROR(MATCH($B457,職員マスタ!$A$6:$A$405,0),"")))</f>
        <v/>
      </c>
      <c r="AQ457" s="16">
        <f>IF(OR($B457="",$C457="",$D457=""),"",DATE($C457+2018,$D457,1))</f>
        <v/>
      </c>
    </row>
    <row r="458">
      <c r="A458" s="11" t="n"/>
      <c r="B458" s="12" t="n">
        <v>7103724</v>
      </c>
      <c r="C458" s="12" t="n">
        <v>7</v>
      </c>
      <c r="D458" s="12" t="n">
        <v>12</v>
      </c>
      <c r="E458" s="13" t="n">
        <v>228492</v>
      </c>
      <c r="F458" s="12" t="n"/>
      <c r="G458" s="13" t="n"/>
      <c r="H458" s="12" t="n"/>
      <c r="I458" s="12" t="n"/>
      <c r="J458" s="12" t="n"/>
      <c r="K458" s="12" t="n"/>
      <c r="L458" s="11" t="n"/>
      <c r="M458" s="11" t="n"/>
      <c r="N458" s="11" t="n"/>
      <c r="O458" s="11" t="n"/>
      <c r="P458" s="12" t="n"/>
      <c r="Q458" s="11" t="n"/>
      <c r="R458" s="12" t="n"/>
      <c r="S458" s="11" t="n"/>
      <c r="T458" s="12" t="n"/>
      <c r="U458" s="12" t="n"/>
      <c r="V458" s="12" t="n"/>
      <c r="W458" s="13" t="n"/>
      <c r="X458" s="14">
        <f>IF($AP458="",IF($B458="","",$H458),IF(INDEX(職員マスタ!$B$6:$B$405,$AP458)="",$H458,INDEX(職員マスタ!$B$6:$B$405,$AP458)))</f>
        <v/>
      </c>
      <c r="Y458" s="14">
        <f>IF($AP458="",IF($B458="","",$R458),IF(INDEX(職員マスタ!$C$6:$C$405,$AP458)="",$R458,INDEX(職員マスタ!$C$6:$C$405,$AP458)))</f>
        <v/>
      </c>
      <c r="Z458" s="14">
        <f>IF($AQ458="","","R"&amp;$C458&amp;"."&amp;$D458)</f>
        <v/>
      </c>
      <c r="AA458" s="15">
        <f>IF(IF($AP458="",FALSE,INDEX(職員マスタ!$K$6:$K$405,$AP458)&lt;&gt;""),INDEX(職員マスタ!$K$6:$K$405,$AP458),IF(N($W458)&gt;0,$W458,""))</f>
        <v/>
      </c>
      <c r="AB458" s="14">
        <f>IF(OR($E458="",$AA458=""),"",IF($E458&gt;=$AA458,"×",IF($E458&gt;=$AA458*設定!$C$5,"△","○")))</f>
        <v/>
      </c>
      <c r="AC458" s="15">
        <f>IF($AB458="","",IF($AB458="×",0,IF($AB458="○",ROUNDDOWN($E458*設定!$C$4,0),ROUNDDOWN($E458*ROUND((9*$AA458-9*$E458)/(10*$E458),4),0))))</f>
        <v/>
      </c>
      <c r="AD458" s="13" t="n"/>
      <c r="AE458" s="15">
        <f>IF($B458="","",IF($AD458&lt;&gt;"",$AD458,IF($AC458="","",IF($AC458&lt;=設定!$C$3,0,$AC458))))</f>
        <v/>
      </c>
      <c r="AF458" s="14">
        <f>IF($B458="","",IF(AND($AG458&lt;&gt;"",$AI458="",$AL458=""),"保留中",IF($AL458&lt;&gt;"",IF(N($AE458)&gt;0,"支給済","不支給"),IF($AE458="","要確認",IF($AE458=0,"不支給","未処理")))))</f>
        <v/>
      </c>
      <c r="AG458" s="12" t="n"/>
      <c r="AH458" s="11" t="n"/>
      <c r="AI458" s="11" t="n"/>
      <c r="AJ458" s="11" t="n"/>
      <c r="AK458" s="14">
        <f>IF(AND($AF458="保留中",$AH458&lt;&gt;""),TODAY()-$AH458,"")</f>
        <v/>
      </c>
      <c r="AL458" s="12" t="inlineStr">
        <is>
          <t>R8.3</t>
        </is>
      </c>
      <c r="AM458" s="14">
        <f>IF($B458="","",IF($AQ458="","対象年月が未入力／","")&amp;IF($B458="","",IF($AP458="","職員マスタに未登録の職員番号／",IF($AA458="","標準報酬月額が未登録／","")&amp;IF(AND($AQ458&lt;&gt;"",OR(AND(INDEX(職員マスタ!$G$6:$G$405,$AP458)&lt;&gt;"",INDEX(職員マスタ!$G$6:$G$405,$AP458)&gt;EOMONTH($AQ458,0)),AND(INDEX(職員マスタ!$H$6:$H$405,$AP458)&lt;&gt;"",INDEX(職員マスタ!$H$6:$H$405,$AP458)&lt;$AQ458))),"対象月が時短期間外／","")&amp;IF(AND(INDEX(職員マスタ!$K$6:$K$405,$AP458)&lt;&gt;"",N($W458)&gt;0,INDEX(職員マスタ!$K$6:$K$405,$AP458)&lt;&gt;$W458),"標準報酬月額が申請書と相違（台帳"&amp;TEXT(INDEX(職員マスタ!$K$6:$K$405,$AP458),"#,##0")&amp;"円／申請書"&amp;TEXT($W458,"#,##0")&amp;"円）／","")&amp;IF(AND(INDEX(職員マスタ!$F$6:$F$405,$AP458)&lt;&gt;"",$AQ458&lt;&gt;"",INDEX(職員マスタ!$F$6:$F$405,$AP458)&lt;$AQ458),"対象月に子が2歳到達済／","")&amp;IF(AND($H458&lt;&gt;"",INDEX(職員マスタ!$B$6:$B$405,$AP458)&lt;&gt;"",SUBSTITUTE(SUBSTITUTE($H458," ","")," ","")&lt;&gt;SUBSTITUTE(SUBSTITUTE(INDEX(職員マスタ!$B$6:$B$405,$AP458)," ","")," ","")),"氏名がマスタと相違／","")&amp;IF(AND($Q458&lt;&gt;"",INDEX(職員マスタ!$E$6:$E$405,$AP458)&lt;&gt;"",$Q458&lt;&gt;INDEX(職員マスタ!$E$6:$E$405,$AP458)),"子の生年月日がマスタと相違／","")&amp;IF(AND($L458&lt;&gt;"",INDEX(職員マスタ!$G$6:$G$405,$AP458)&lt;&gt;"",$L458&lt;&gt;INDEX(職員マスタ!$G$6:$G$405,$AP458)),"時短開始日がマスタと相違／","")&amp;IF(AND($M458&lt;&gt;"",INDEX(職員マスタ!$H$6:$H$405,$AP458)&lt;&gt;"",$M458&lt;&gt;INDEX(職員マスタ!$H$6:$H$405,$AP458)),"時短終了日がマスタと相違／","")))&amp;IF(AND($B458&lt;&gt;"",$E458=""),"報酬額が未入力／","")&amp;IF(N($U458)&gt;0,"申請書に入力エラーが残っています／","")&amp;IF(AND($B458&lt;&gt;"",$AQ458&lt;&gt;""),IF(COUNTIFS($B$6:$B$3005,$B458,$C$6:$C$3005,$C458,$D$6:$D$3005,$D458)&gt;1,"同じ月の請求が重複しています／",""),"")&amp;IF(AND(N($E458)&gt;0,$AB458&lt;&gt;"",$AB458&lt;&gt;"×",$AE458=0,$AD458=""),"計算額が下限以下のため不支給／",""))</f>
        <v/>
      </c>
      <c r="AN458" s="12" t="n"/>
      <c r="AO458" s="14">
        <f>IF($AF458="保留中",COUNTIF($AF$6:$AF458,"保留中"),"")</f>
        <v/>
      </c>
      <c r="AP458" s="14">
        <f>IF($AQ458="","",IF(SUMPRODUCT(MAX((職員マスタ!$A$6:$A$405=$B458)*(((職員マスタ!$G$6:$G$405="")+(職員マスタ!$G$6:$G$405&lt;=EOMONTH($AQ458,0)))&gt;0)*(((職員マスタ!$H$6:$H$405="")+(職員マスタ!$H$6:$H$405&gt;=$AQ458))&gt;0)*(ROW(職員マスタ!$A$6:$A$405)-5)))&gt;0,SUMPRODUCT(MAX((職員マスタ!$A$6:$A$405=$B458)*(((職員マスタ!$G$6:$G$405="")+(職員マスタ!$G$6:$G$405&lt;=EOMONTH($AQ458,0)))&gt;0)*(((職員マスタ!$H$6:$H$405="")+(職員マスタ!$H$6:$H$405&gt;=$AQ458))&gt;0)*(ROW(職員マスタ!$A$6:$A$405)-5))),IFERROR(MATCH($B458,職員マスタ!$A$6:$A$405,0),"")))</f>
        <v/>
      </c>
      <c r="AQ458" s="16">
        <f>IF(OR($B458="",$C458="",$D458=""),"",DATE($C458+2018,$D458,1))</f>
        <v/>
      </c>
    </row>
    <row r="459">
      <c r="A459" s="11" t="n"/>
      <c r="B459" s="12" t="n">
        <v>7103724</v>
      </c>
      <c r="C459" s="12" t="n">
        <v>8</v>
      </c>
      <c r="D459" s="12" t="n">
        <v>1</v>
      </c>
      <c r="E459" s="13" t="n">
        <v>228492</v>
      </c>
      <c r="F459" s="12" t="n"/>
      <c r="G459" s="13" t="n"/>
      <c r="H459" s="12" t="n"/>
      <c r="I459" s="12" t="n"/>
      <c r="J459" s="12" t="n"/>
      <c r="K459" s="12" t="n"/>
      <c r="L459" s="11" t="n"/>
      <c r="M459" s="11" t="n"/>
      <c r="N459" s="11" t="n"/>
      <c r="O459" s="11" t="n"/>
      <c r="P459" s="12" t="n"/>
      <c r="Q459" s="11" t="n"/>
      <c r="R459" s="12" t="n"/>
      <c r="S459" s="11" t="n"/>
      <c r="T459" s="12" t="n"/>
      <c r="U459" s="12" t="n"/>
      <c r="V459" s="12" t="n"/>
      <c r="W459" s="13" t="n"/>
      <c r="X459" s="14">
        <f>IF($AP459="",IF($B459="","",$H459),IF(INDEX(職員マスタ!$B$6:$B$405,$AP459)="",$H459,INDEX(職員マスタ!$B$6:$B$405,$AP459)))</f>
        <v/>
      </c>
      <c r="Y459" s="14">
        <f>IF($AP459="",IF($B459="","",$R459),IF(INDEX(職員マスタ!$C$6:$C$405,$AP459)="",$R459,INDEX(職員マスタ!$C$6:$C$405,$AP459)))</f>
        <v/>
      </c>
      <c r="Z459" s="14">
        <f>IF($AQ459="","","R"&amp;$C459&amp;"."&amp;$D459)</f>
        <v/>
      </c>
      <c r="AA459" s="15">
        <f>IF(IF($AP459="",FALSE,INDEX(職員マスタ!$K$6:$K$405,$AP459)&lt;&gt;""),INDEX(職員マスタ!$K$6:$K$405,$AP459),IF(N($W459)&gt;0,$W459,""))</f>
        <v/>
      </c>
      <c r="AB459" s="14">
        <f>IF(OR($E459="",$AA459=""),"",IF($E459&gt;=$AA459,"×",IF($E459&gt;=$AA459*設定!$C$5,"△","○")))</f>
        <v/>
      </c>
      <c r="AC459" s="15">
        <f>IF($AB459="","",IF($AB459="×",0,IF($AB459="○",ROUNDDOWN($E459*設定!$C$4,0),ROUNDDOWN($E459*ROUND((9*$AA459-9*$E459)/(10*$E459),4),0))))</f>
        <v/>
      </c>
      <c r="AD459" s="13" t="n"/>
      <c r="AE459" s="15">
        <f>IF($B459="","",IF($AD459&lt;&gt;"",$AD459,IF($AC459="","",IF($AC459&lt;=設定!$C$3,0,$AC459))))</f>
        <v/>
      </c>
      <c r="AF459" s="14">
        <f>IF($B459="","",IF(AND($AG459&lt;&gt;"",$AI459="",$AL459=""),"保留中",IF($AL459&lt;&gt;"",IF(N($AE459)&gt;0,"支給済","不支給"),IF($AE459="","要確認",IF($AE459=0,"不支給","未処理")))))</f>
        <v/>
      </c>
      <c r="AG459" s="12" t="n"/>
      <c r="AH459" s="11" t="n"/>
      <c r="AI459" s="11" t="n"/>
      <c r="AJ459" s="11" t="n"/>
      <c r="AK459" s="14">
        <f>IF(AND($AF459="保留中",$AH459&lt;&gt;""),TODAY()-$AH459,"")</f>
        <v/>
      </c>
      <c r="AL459" s="12" t="inlineStr">
        <is>
          <t>R8.3</t>
        </is>
      </c>
      <c r="AM459" s="14">
        <f>IF($B459="","",IF($AQ459="","対象年月が未入力／","")&amp;IF($B459="","",IF($AP459="","職員マスタに未登録の職員番号／",IF($AA459="","標準報酬月額が未登録／","")&amp;IF(AND($AQ459&lt;&gt;"",OR(AND(INDEX(職員マスタ!$G$6:$G$405,$AP459)&lt;&gt;"",INDEX(職員マスタ!$G$6:$G$405,$AP459)&gt;EOMONTH($AQ459,0)),AND(INDEX(職員マスタ!$H$6:$H$405,$AP459)&lt;&gt;"",INDEX(職員マスタ!$H$6:$H$405,$AP459)&lt;$AQ459))),"対象月が時短期間外／","")&amp;IF(AND(INDEX(職員マスタ!$K$6:$K$405,$AP459)&lt;&gt;"",N($W459)&gt;0,INDEX(職員マスタ!$K$6:$K$405,$AP459)&lt;&gt;$W459),"標準報酬月額が申請書と相違（台帳"&amp;TEXT(INDEX(職員マスタ!$K$6:$K$405,$AP459),"#,##0")&amp;"円／申請書"&amp;TEXT($W459,"#,##0")&amp;"円）／","")&amp;IF(AND(INDEX(職員マスタ!$F$6:$F$405,$AP459)&lt;&gt;"",$AQ459&lt;&gt;"",INDEX(職員マスタ!$F$6:$F$405,$AP459)&lt;$AQ459),"対象月に子が2歳到達済／","")&amp;IF(AND($H459&lt;&gt;"",INDEX(職員マスタ!$B$6:$B$405,$AP459)&lt;&gt;"",SUBSTITUTE(SUBSTITUTE($H459," ","")," ","")&lt;&gt;SUBSTITUTE(SUBSTITUTE(INDEX(職員マスタ!$B$6:$B$405,$AP459)," ","")," ","")),"氏名がマスタと相違／","")&amp;IF(AND($Q459&lt;&gt;"",INDEX(職員マスタ!$E$6:$E$405,$AP459)&lt;&gt;"",$Q459&lt;&gt;INDEX(職員マスタ!$E$6:$E$405,$AP459)),"子の生年月日がマスタと相違／","")&amp;IF(AND($L459&lt;&gt;"",INDEX(職員マスタ!$G$6:$G$405,$AP459)&lt;&gt;"",$L459&lt;&gt;INDEX(職員マスタ!$G$6:$G$405,$AP459)),"時短開始日がマスタと相違／","")&amp;IF(AND($M459&lt;&gt;"",INDEX(職員マスタ!$H$6:$H$405,$AP459)&lt;&gt;"",$M459&lt;&gt;INDEX(職員マスタ!$H$6:$H$405,$AP459)),"時短終了日がマスタと相違／","")))&amp;IF(AND($B459&lt;&gt;"",$E459=""),"報酬額が未入力／","")&amp;IF(N($U459)&gt;0,"申請書に入力エラーが残っています／","")&amp;IF(AND($B459&lt;&gt;"",$AQ459&lt;&gt;""),IF(COUNTIFS($B$6:$B$3005,$B459,$C$6:$C$3005,$C459,$D$6:$D$3005,$D459)&gt;1,"同じ月の請求が重複しています／",""),"")&amp;IF(AND(N($E459)&gt;0,$AB459&lt;&gt;"",$AB459&lt;&gt;"×",$AE459=0,$AD459=""),"計算額が下限以下のため不支給／",""))</f>
        <v/>
      </c>
      <c r="AN459" s="12" t="n"/>
      <c r="AO459" s="14">
        <f>IF($AF459="保留中",COUNTIF($AF$6:$AF459,"保留中"),"")</f>
        <v/>
      </c>
      <c r="AP459" s="14">
        <f>IF($AQ459="","",IF(SUMPRODUCT(MAX((職員マスタ!$A$6:$A$405=$B459)*(((職員マスタ!$G$6:$G$405="")+(職員マスタ!$G$6:$G$405&lt;=EOMONTH($AQ459,0)))&gt;0)*(((職員マスタ!$H$6:$H$405="")+(職員マスタ!$H$6:$H$405&gt;=$AQ459))&gt;0)*(ROW(職員マスタ!$A$6:$A$405)-5)))&gt;0,SUMPRODUCT(MAX((職員マスタ!$A$6:$A$405=$B459)*(((職員マスタ!$G$6:$G$405="")+(職員マスタ!$G$6:$G$405&lt;=EOMONTH($AQ459,0)))&gt;0)*(((職員マスタ!$H$6:$H$405="")+(職員マスタ!$H$6:$H$405&gt;=$AQ459))&gt;0)*(ROW(職員マスタ!$A$6:$A$405)-5))),IFERROR(MATCH($B459,職員マスタ!$A$6:$A$405,0),"")))</f>
        <v/>
      </c>
      <c r="AQ459" s="16">
        <f>IF(OR($B459="",$C459="",$D459=""),"",DATE($C459+2018,$D459,1))</f>
        <v/>
      </c>
    </row>
    <row r="460">
      <c r="A460" s="11" t="n"/>
      <c r="B460" s="12" t="n">
        <v>7103724</v>
      </c>
      <c r="C460" s="12" t="n">
        <v>8</v>
      </c>
      <c r="D460" s="12" t="n">
        <v>2</v>
      </c>
      <c r="E460" s="13" t="n">
        <v>228496</v>
      </c>
      <c r="F460" s="12" t="n"/>
      <c r="G460" s="13" t="n"/>
      <c r="H460" s="12" t="n"/>
      <c r="I460" s="12" t="n"/>
      <c r="J460" s="12" t="n"/>
      <c r="K460" s="12" t="n"/>
      <c r="L460" s="11" t="n"/>
      <c r="M460" s="11" t="n"/>
      <c r="N460" s="11" t="n"/>
      <c r="O460" s="11" t="n"/>
      <c r="P460" s="12" t="n"/>
      <c r="Q460" s="11" t="n"/>
      <c r="R460" s="12" t="n"/>
      <c r="S460" s="11" t="n"/>
      <c r="T460" s="12" t="n"/>
      <c r="U460" s="12" t="n"/>
      <c r="V460" s="12" t="n"/>
      <c r="W460" s="13" t="n"/>
      <c r="X460" s="14">
        <f>IF($AP460="",IF($B460="","",$H460),IF(INDEX(職員マスタ!$B$6:$B$405,$AP460)="",$H460,INDEX(職員マスタ!$B$6:$B$405,$AP460)))</f>
        <v/>
      </c>
      <c r="Y460" s="14">
        <f>IF($AP460="",IF($B460="","",$R460),IF(INDEX(職員マスタ!$C$6:$C$405,$AP460)="",$R460,INDEX(職員マスタ!$C$6:$C$405,$AP460)))</f>
        <v/>
      </c>
      <c r="Z460" s="14">
        <f>IF($AQ460="","","R"&amp;$C460&amp;"."&amp;$D460)</f>
        <v/>
      </c>
      <c r="AA460" s="15">
        <f>IF(IF($AP460="",FALSE,INDEX(職員マスタ!$K$6:$K$405,$AP460)&lt;&gt;""),INDEX(職員マスタ!$K$6:$K$405,$AP460),IF(N($W460)&gt;0,$W460,""))</f>
        <v/>
      </c>
      <c r="AB460" s="14">
        <f>IF(OR($E460="",$AA460=""),"",IF($E460&gt;=$AA460,"×",IF($E460&gt;=$AA460*設定!$C$5,"△","○")))</f>
        <v/>
      </c>
      <c r="AC460" s="15">
        <f>IF($AB460="","",IF($AB460="×",0,IF($AB460="○",ROUNDDOWN($E460*設定!$C$4,0),ROUNDDOWN($E460*ROUND((9*$AA460-9*$E460)/(10*$E460),4),0))))</f>
        <v/>
      </c>
      <c r="AD460" s="13" t="n"/>
      <c r="AE460" s="15">
        <f>IF($B460="","",IF($AD460&lt;&gt;"",$AD460,IF($AC460="","",IF($AC460&lt;=設定!$C$3,0,$AC460))))</f>
        <v/>
      </c>
      <c r="AF460" s="14">
        <f>IF($B460="","",IF(AND($AG460&lt;&gt;"",$AI460="",$AL460=""),"保留中",IF($AL460&lt;&gt;"",IF(N($AE460)&gt;0,"支給済","不支給"),IF($AE460="","要確認",IF($AE460=0,"不支給","未処理")))))</f>
        <v/>
      </c>
      <c r="AG460" s="12" t="n"/>
      <c r="AH460" s="11" t="n"/>
      <c r="AI460" s="11" t="n"/>
      <c r="AJ460" s="11" t="n"/>
      <c r="AK460" s="14">
        <f>IF(AND($AF460="保留中",$AH460&lt;&gt;""),TODAY()-$AH460,"")</f>
        <v/>
      </c>
      <c r="AL460" s="12" t="inlineStr">
        <is>
          <t>R8.4</t>
        </is>
      </c>
      <c r="AM460" s="14">
        <f>IF($B460="","",IF($AQ460="","対象年月が未入力／","")&amp;IF($B460="","",IF($AP460="","職員マスタに未登録の職員番号／",IF($AA460="","標準報酬月額が未登録／","")&amp;IF(AND($AQ460&lt;&gt;"",OR(AND(INDEX(職員マスタ!$G$6:$G$405,$AP460)&lt;&gt;"",INDEX(職員マスタ!$G$6:$G$405,$AP460)&gt;EOMONTH($AQ460,0)),AND(INDEX(職員マスタ!$H$6:$H$405,$AP460)&lt;&gt;"",INDEX(職員マスタ!$H$6:$H$405,$AP460)&lt;$AQ460))),"対象月が時短期間外／","")&amp;IF(AND(INDEX(職員マスタ!$K$6:$K$405,$AP460)&lt;&gt;"",N($W460)&gt;0,INDEX(職員マスタ!$K$6:$K$405,$AP460)&lt;&gt;$W460),"標準報酬月額が申請書と相違（台帳"&amp;TEXT(INDEX(職員マスタ!$K$6:$K$405,$AP460),"#,##0")&amp;"円／申請書"&amp;TEXT($W460,"#,##0")&amp;"円）／","")&amp;IF(AND(INDEX(職員マスタ!$F$6:$F$405,$AP460)&lt;&gt;"",$AQ460&lt;&gt;"",INDEX(職員マスタ!$F$6:$F$405,$AP460)&lt;$AQ460),"対象月に子が2歳到達済／","")&amp;IF(AND($H460&lt;&gt;"",INDEX(職員マスタ!$B$6:$B$405,$AP460)&lt;&gt;"",SUBSTITUTE(SUBSTITUTE($H460," ","")," ","")&lt;&gt;SUBSTITUTE(SUBSTITUTE(INDEX(職員マスタ!$B$6:$B$405,$AP460)," ","")," ","")),"氏名がマスタと相違／","")&amp;IF(AND($Q460&lt;&gt;"",INDEX(職員マスタ!$E$6:$E$405,$AP460)&lt;&gt;"",$Q460&lt;&gt;INDEX(職員マスタ!$E$6:$E$405,$AP460)),"子の生年月日がマスタと相違／","")&amp;IF(AND($L460&lt;&gt;"",INDEX(職員マスタ!$G$6:$G$405,$AP460)&lt;&gt;"",$L460&lt;&gt;INDEX(職員マスタ!$G$6:$G$405,$AP460)),"時短開始日がマスタと相違／","")&amp;IF(AND($M460&lt;&gt;"",INDEX(職員マスタ!$H$6:$H$405,$AP460)&lt;&gt;"",$M460&lt;&gt;INDEX(職員マスタ!$H$6:$H$405,$AP460)),"時短終了日がマスタと相違／","")))&amp;IF(AND($B460&lt;&gt;"",$E460=""),"報酬額が未入力／","")&amp;IF(N($U460)&gt;0,"申請書に入力エラーが残っています／","")&amp;IF(AND($B460&lt;&gt;"",$AQ460&lt;&gt;""),IF(COUNTIFS($B$6:$B$3005,$B460,$C$6:$C$3005,$C460,$D$6:$D$3005,$D460)&gt;1,"同じ月の請求が重複しています／",""),"")&amp;IF(AND(N($E460)&gt;0,$AB460&lt;&gt;"",$AB460&lt;&gt;"×",$AE460=0,$AD460=""),"計算額が下限以下のため不支給／",""))</f>
        <v/>
      </c>
      <c r="AN460" s="12" t="n"/>
      <c r="AO460" s="14">
        <f>IF($AF460="保留中",COUNTIF($AF$6:$AF460,"保留中"),"")</f>
        <v/>
      </c>
      <c r="AP460" s="14">
        <f>IF($AQ460="","",IF(SUMPRODUCT(MAX((職員マスタ!$A$6:$A$405=$B460)*(((職員マスタ!$G$6:$G$405="")+(職員マスタ!$G$6:$G$405&lt;=EOMONTH($AQ460,0)))&gt;0)*(((職員マスタ!$H$6:$H$405="")+(職員マスタ!$H$6:$H$405&gt;=$AQ460))&gt;0)*(ROW(職員マスタ!$A$6:$A$405)-5)))&gt;0,SUMPRODUCT(MAX((職員マスタ!$A$6:$A$405=$B460)*(((職員マスタ!$G$6:$G$405="")+(職員マスタ!$G$6:$G$405&lt;=EOMONTH($AQ460,0)))&gt;0)*(((職員マスタ!$H$6:$H$405="")+(職員マスタ!$H$6:$H$405&gt;=$AQ460))&gt;0)*(ROW(職員マスタ!$A$6:$A$405)-5))),IFERROR(MATCH($B460,職員マスタ!$A$6:$A$405,0),"")))</f>
        <v/>
      </c>
      <c r="AQ460" s="16">
        <f>IF(OR($B460="",$C460="",$D460=""),"",DATE($C460+2018,$D460,1))</f>
        <v/>
      </c>
    </row>
    <row r="461">
      <c r="A461" s="11" t="n"/>
      <c r="B461" s="12" t="n">
        <v>7103724</v>
      </c>
      <c r="C461" s="12" t="n">
        <v>8</v>
      </c>
      <c r="D461" s="12" t="n">
        <v>3</v>
      </c>
      <c r="E461" s="13" t="n">
        <v>228492</v>
      </c>
      <c r="F461" s="12" t="n"/>
      <c r="G461" s="13" t="n"/>
      <c r="H461" s="12" t="n"/>
      <c r="I461" s="12" t="n"/>
      <c r="J461" s="12" t="n"/>
      <c r="K461" s="12" t="n"/>
      <c r="L461" s="11" t="n"/>
      <c r="M461" s="11" t="n"/>
      <c r="N461" s="11" t="n"/>
      <c r="O461" s="11" t="n"/>
      <c r="P461" s="12" t="n"/>
      <c r="Q461" s="11" t="n"/>
      <c r="R461" s="12" t="n"/>
      <c r="S461" s="11" t="n"/>
      <c r="T461" s="12" t="n"/>
      <c r="U461" s="12" t="n"/>
      <c r="V461" s="12" t="n"/>
      <c r="W461" s="13" t="n"/>
      <c r="X461" s="14">
        <f>IF($AP461="",IF($B461="","",$H461),IF(INDEX(職員マスタ!$B$6:$B$405,$AP461)="",$H461,INDEX(職員マスタ!$B$6:$B$405,$AP461)))</f>
        <v/>
      </c>
      <c r="Y461" s="14">
        <f>IF($AP461="",IF($B461="","",$R461),IF(INDEX(職員マスタ!$C$6:$C$405,$AP461)="",$R461,INDEX(職員マスタ!$C$6:$C$405,$AP461)))</f>
        <v/>
      </c>
      <c r="Z461" s="14">
        <f>IF($AQ461="","","R"&amp;$C461&amp;"."&amp;$D461)</f>
        <v/>
      </c>
      <c r="AA461" s="15">
        <f>IF(IF($AP461="",FALSE,INDEX(職員マスタ!$K$6:$K$405,$AP461)&lt;&gt;""),INDEX(職員マスタ!$K$6:$K$405,$AP461),IF(N($W461)&gt;0,$W461,""))</f>
        <v/>
      </c>
      <c r="AB461" s="14">
        <f>IF(OR($E461="",$AA461=""),"",IF($E461&gt;=$AA461,"×",IF($E461&gt;=$AA461*設定!$C$5,"△","○")))</f>
        <v/>
      </c>
      <c r="AC461" s="15">
        <f>IF($AB461="","",IF($AB461="×",0,IF($AB461="○",ROUNDDOWN($E461*設定!$C$4,0),ROUNDDOWN($E461*ROUND((9*$AA461-9*$E461)/(10*$E461),4),0))))</f>
        <v/>
      </c>
      <c r="AD461" s="13" t="n"/>
      <c r="AE461" s="15">
        <f>IF($B461="","",IF($AD461&lt;&gt;"",$AD461,IF($AC461="","",IF($AC461&lt;=設定!$C$3,0,$AC461))))</f>
        <v/>
      </c>
      <c r="AF461" s="14">
        <f>IF($B461="","",IF(AND($AG461&lt;&gt;"",$AI461="",$AL461=""),"保留中",IF($AL461&lt;&gt;"",IF(N($AE461)&gt;0,"支給済","不支給"),IF($AE461="","要確認",IF($AE461=0,"不支給","未処理")))))</f>
        <v/>
      </c>
      <c r="AG461" s="12" t="n"/>
      <c r="AH461" s="11" t="n"/>
      <c r="AI461" s="11" t="n"/>
      <c r="AJ461" s="11" t="n"/>
      <c r="AK461" s="14">
        <f>IF(AND($AF461="保留中",$AH461&lt;&gt;""),TODAY()-$AH461,"")</f>
        <v/>
      </c>
      <c r="AL461" s="12" t="inlineStr">
        <is>
          <t>R8.10</t>
        </is>
      </c>
      <c r="AM461" s="14">
        <f>IF($B461="","",IF($AQ461="","対象年月が未入力／","")&amp;IF($B461="","",IF($AP461="","職員マスタに未登録の職員番号／",IF($AA461="","標準報酬月額が未登録／","")&amp;IF(AND($AQ461&lt;&gt;"",OR(AND(INDEX(職員マスタ!$G$6:$G$405,$AP461)&lt;&gt;"",INDEX(職員マスタ!$G$6:$G$405,$AP461)&gt;EOMONTH($AQ461,0)),AND(INDEX(職員マスタ!$H$6:$H$405,$AP461)&lt;&gt;"",INDEX(職員マスタ!$H$6:$H$405,$AP461)&lt;$AQ461))),"対象月が時短期間外／","")&amp;IF(AND(INDEX(職員マスタ!$K$6:$K$405,$AP461)&lt;&gt;"",N($W461)&gt;0,INDEX(職員マスタ!$K$6:$K$405,$AP461)&lt;&gt;$W461),"標準報酬月額が申請書と相違（台帳"&amp;TEXT(INDEX(職員マスタ!$K$6:$K$405,$AP461),"#,##0")&amp;"円／申請書"&amp;TEXT($W461,"#,##0")&amp;"円）／","")&amp;IF(AND(INDEX(職員マスタ!$F$6:$F$405,$AP461)&lt;&gt;"",$AQ461&lt;&gt;"",INDEX(職員マスタ!$F$6:$F$405,$AP461)&lt;$AQ461),"対象月に子が2歳到達済／","")&amp;IF(AND($H461&lt;&gt;"",INDEX(職員マスタ!$B$6:$B$405,$AP461)&lt;&gt;"",SUBSTITUTE(SUBSTITUTE($H461," ","")," ","")&lt;&gt;SUBSTITUTE(SUBSTITUTE(INDEX(職員マスタ!$B$6:$B$405,$AP461)," ","")," ","")),"氏名がマスタと相違／","")&amp;IF(AND($Q461&lt;&gt;"",INDEX(職員マスタ!$E$6:$E$405,$AP461)&lt;&gt;"",$Q461&lt;&gt;INDEX(職員マスタ!$E$6:$E$405,$AP461)),"子の生年月日がマスタと相違／","")&amp;IF(AND($L461&lt;&gt;"",INDEX(職員マスタ!$G$6:$G$405,$AP461)&lt;&gt;"",$L461&lt;&gt;INDEX(職員マスタ!$G$6:$G$405,$AP461)),"時短開始日がマスタと相違／","")&amp;IF(AND($M461&lt;&gt;"",INDEX(職員マスタ!$H$6:$H$405,$AP461)&lt;&gt;"",$M461&lt;&gt;INDEX(職員マスタ!$H$6:$H$405,$AP461)),"時短終了日がマスタと相違／","")))&amp;IF(AND($B461&lt;&gt;"",$E461=""),"報酬額が未入力／","")&amp;IF(N($U461)&gt;0,"申請書に入力エラーが残っています／","")&amp;IF(AND($B461&lt;&gt;"",$AQ461&lt;&gt;""),IF(COUNTIFS($B$6:$B$3005,$B461,$C$6:$C$3005,$C461,$D$6:$D$3005,$D461)&gt;1,"同じ月の請求が重複しています／",""),"")&amp;IF(AND(N($E461)&gt;0,$AB461&lt;&gt;"",$AB461&lt;&gt;"×",$AE461=0,$AD461=""),"計算額が下限以下のため不支給／",""))</f>
        <v/>
      </c>
      <c r="AN461" s="12" t="n"/>
      <c r="AO461" s="14">
        <f>IF($AF461="保留中",COUNTIF($AF$6:$AF461,"保留中"),"")</f>
        <v/>
      </c>
      <c r="AP461" s="14">
        <f>IF($AQ461="","",IF(SUMPRODUCT(MAX((職員マスタ!$A$6:$A$405=$B461)*(((職員マスタ!$G$6:$G$405="")+(職員マスタ!$G$6:$G$405&lt;=EOMONTH($AQ461,0)))&gt;0)*(((職員マスタ!$H$6:$H$405="")+(職員マスタ!$H$6:$H$405&gt;=$AQ461))&gt;0)*(ROW(職員マスタ!$A$6:$A$405)-5)))&gt;0,SUMPRODUCT(MAX((職員マスタ!$A$6:$A$405=$B461)*(((職員マスタ!$G$6:$G$405="")+(職員マスタ!$G$6:$G$405&lt;=EOMONTH($AQ461,0)))&gt;0)*(((職員マスタ!$H$6:$H$405="")+(職員マスタ!$H$6:$H$405&gt;=$AQ461))&gt;0)*(ROW(職員マスタ!$A$6:$A$405)-5))),IFERROR(MATCH($B461,職員マスタ!$A$6:$A$405,0),"")))</f>
        <v/>
      </c>
      <c r="AQ461" s="16">
        <f>IF(OR($B461="",$C461="",$D461=""),"",DATE($C461+2018,$D461,1))</f>
        <v/>
      </c>
    </row>
    <row r="462">
      <c r="A462" s="11" t="n"/>
      <c r="B462" s="12" t="n">
        <v>7141567</v>
      </c>
      <c r="C462" s="12" t="n">
        <v>7</v>
      </c>
      <c r="D462" s="12" t="n">
        <v>4</v>
      </c>
      <c r="E462" s="13" t="n">
        <v>262156</v>
      </c>
      <c r="F462" s="12" t="n"/>
      <c r="G462" s="13" t="n"/>
      <c r="H462" s="12" t="n"/>
      <c r="I462" s="12" t="n"/>
      <c r="J462" s="12" t="n"/>
      <c r="K462" s="12" t="n"/>
      <c r="L462" s="11" t="n"/>
      <c r="M462" s="11" t="n"/>
      <c r="N462" s="11" t="n"/>
      <c r="O462" s="11" t="n"/>
      <c r="P462" s="12" t="n"/>
      <c r="Q462" s="11" t="n"/>
      <c r="R462" s="12" t="n"/>
      <c r="S462" s="11" t="n"/>
      <c r="T462" s="12" t="n"/>
      <c r="U462" s="12" t="n"/>
      <c r="V462" s="12" t="n"/>
      <c r="W462" s="13" t="n"/>
      <c r="X462" s="14">
        <f>IF($AP462="",IF($B462="","",$H462),IF(INDEX(職員マスタ!$B$6:$B$405,$AP462)="",$H462,INDEX(職員マスタ!$B$6:$B$405,$AP462)))</f>
        <v/>
      </c>
      <c r="Y462" s="14">
        <f>IF($AP462="",IF($B462="","",$R462),IF(INDEX(職員マスタ!$C$6:$C$405,$AP462)="",$R462,INDEX(職員マスタ!$C$6:$C$405,$AP462)))</f>
        <v/>
      </c>
      <c r="Z462" s="14">
        <f>IF($AQ462="","","R"&amp;$C462&amp;"."&amp;$D462)</f>
        <v/>
      </c>
      <c r="AA462" s="15">
        <f>IF(IF($AP462="",FALSE,INDEX(職員マスタ!$K$6:$K$405,$AP462)&lt;&gt;""),INDEX(職員マスタ!$K$6:$K$405,$AP462),IF(N($W462)&gt;0,$W462,""))</f>
        <v/>
      </c>
      <c r="AB462" s="14">
        <f>IF(OR($E462="",$AA462=""),"",IF($E462&gt;=$AA462,"×",IF($E462&gt;=$AA462*設定!$C$5,"△","○")))</f>
        <v/>
      </c>
      <c r="AC462" s="15">
        <f>IF($AB462="","",IF($AB462="×",0,IF($AB462="○",ROUNDDOWN($E462*設定!$C$4,0),ROUNDDOWN($E462*ROUND((9*$AA462-9*$E462)/(10*$E462),4),0))))</f>
        <v/>
      </c>
      <c r="AD462" s="13" t="n"/>
      <c r="AE462" s="15">
        <f>IF($B462="","",IF($AD462&lt;&gt;"",$AD462,IF($AC462="","",IF($AC462&lt;=設定!$C$3,0,$AC462))))</f>
        <v/>
      </c>
      <c r="AF462" s="14">
        <f>IF($B462="","",IF(AND($AG462&lt;&gt;"",$AI462="",$AL462=""),"保留中",IF($AL462&lt;&gt;"",IF(N($AE462)&gt;0,"支給済","不支給"),IF($AE462="","要確認",IF($AE462=0,"不支給","未処理")))))</f>
        <v/>
      </c>
      <c r="AG462" s="12" t="n"/>
      <c r="AH462" s="11" t="n"/>
      <c r="AI462" s="11" t="n"/>
      <c r="AJ462" s="11" t="n"/>
      <c r="AK462" s="14">
        <f>IF(AND($AF462="保留中",$AH462&lt;&gt;""),TODAY()-$AH462,"")</f>
        <v/>
      </c>
      <c r="AL462" s="12" t="inlineStr">
        <is>
          <t>R7.9</t>
        </is>
      </c>
      <c r="AM462" s="14">
        <f>IF($B462="","",IF($AQ462="","対象年月が未入力／","")&amp;IF($B462="","",IF($AP462="","職員マスタに未登録の職員番号／",IF($AA462="","標準報酬月額が未登録／","")&amp;IF(AND($AQ462&lt;&gt;"",OR(AND(INDEX(職員マスタ!$G$6:$G$405,$AP462)&lt;&gt;"",INDEX(職員マスタ!$G$6:$G$405,$AP462)&gt;EOMONTH($AQ462,0)),AND(INDEX(職員マスタ!$H$6:$H$405,$AP462)&lt;&gt;"",INDEX(職員マスタ!$H$6:$H$405,$AP462)&lt;$AQ462))),"対象月が時短期間外／","")&amp;IF(AND(INDEX(職員マスタ!$K$6:$K$405,$AP462)&lt;&gt;"",N($W462)&gt;0,INDEX(職員マスタ!$K$6:$K$405,$AP462)&lt;&gt;$W462),"標準報酬月額が申請書と相違（台帳"&amp;TEXT(INDEX(職員マスタ!$K$6:$K$405,$AP462),"#,##0")&amp;"円／申請書"&amp;TEXT($W462,"#,##0")&amp;"円）／","")&amp;IF(AND(INDEX(職員マスタ!$F$6:$F$405,$AP462)&lt;&gt;"",$AQ462&lt;&gt;"",INDEX(職員マスタ!$F$6:$F$405,$AP462)&lt;$AQ462),"対象月に子が2歳到達済／","")&amp;IF(AND($H462&lt;&gt;"",INDEX(職員マスタ!$B$6:$B$405,$AP462)&lt;&gt;"",SUBSTITUTE(SUBSTITUTE($H462," ","")," ","")&lt;&gt;SUBSTITUTE(SUBSTITUTE(INDEX(職員マスタ!$B$6:$B$405,$AP462)," ","")," ","")),"氏名がマスタと相違／","")&amp;IF(AND($Q462&lt;&gt;"",INDEX(職員マスタ!$E$6:$E$405,$AP462)&lt;&gt;"",$Q462&lt;&gt;INDEX(職員マスタ!$E$6:$E$405,$AP462)),"子の生年月日がマスタと相違／","")&amp;IF(AND($L462&lt;&gt;"",INDEX(職員マスタ!$G$6:$G$405,$AP462)&lt;&gt;"",$L462&lt;&gt;INDEX(職員マスタ!$G$6:$G$405,$AP462)),"時短開始日がマスタと相違／","")&amp;IF(AND($M462&lt;&gt;"",INDEX(職員マスタ!$H$6:$H$405,$AP462)&lt;&gt;"",$M462&lt;&gt;INDEX(職員マスタ!$H$6:$H$405,$AP462)),"時短終了日がマスタと相違／","")))&amp;IF(AND($B462&lt;&gt;"",$E462=""),"報酬額が未入力／","")&amp;IF(N($U462)&gt;0,"申請書に入力エラーが残っています／","")&amp;IF(AND($B462&lt;&gt;"",$AQ462&lt;&gt;""),IF(COUNTIFS($B$6:$B$3005,$B462,$C$6:$C$3005,$C462,$D$6:$D$3005,$D462)&gt;1,"同じ月の請求が重複しています／",""),"")&amp;IF(AND(N($E462)&gt;0,$AB462&lt;&gt;"",$AB462&lt;&gt;"×",$AE462=0,$AD462=""),"計算額が下限以下のため不支給／",""))</f>
        <v/>
      </c>
      <c r="AN462" s="12" t="n"/>
      <c r="AO462" s="14">
        <f>IF($AF462="保留中",COUNTIF($AF$6:$AF462,"保留中"),"")</f>
        <v/>
      </c>
      <c r="AP462" s="14">
        <f>IF($AQ462="","",IF(SUMPRODUCT(MAX((職員マスタ!$A$6:$A$405=$B462)*(((職員マスタ!$G$6:$G$405="")+(職員マスタ!$G$6:$G$405&lt;=EOMONTH($AQ462,0)))&gt;0)*(((職員マスタ!$H$6:$H$405="")+(職員マスタ!$H$6:$H$405&gt;=$AQ462))&gt;0)*(ROW(職員マスタ!$A$6:$A$405)-5)))&gt;0,SUMPRODUCT(MAX((職員マスタ!$A$6:$A$405=$B462)*(((職員マスタ!$G$6:$G$405="")+(職員マスタ!$G$6:$G$405&lt;=EOMONTH($AQ462,0)))&gt;0)*(((職員マスタ!$H$6:$H$405="")+(職員マスタ!$H$6:$H$405&gt;=$AQ462))&gt;0)*(ROW(職員マスタ!$A$6:$A$405)-5))),IFERROR(MATCH($B462,職員マスタ!$A$6:$A$405,0),"")))</f>
        <v/>
      </c>
      <c r="AQ462" s="16">
        <f>IF(OR($B462="",$C462="",$D462=""),"",DATE($C462+2018,$D462,1))</f>
        <v/>
      </c>
    </row>
    <row r="463">
      <c r="A463" s="11" t="n"/>
      <c r="B463" s="12" t="n">
        <v>7141567</v>
      </c>
      <c r="C463" s="12" t="n">
        <v>7</v>
      </c>
      <c r="D463" s="12" t="n">
        <v>5</v>
      </c>
      <c r="E463" s="13" t="n">
        <v>222916</v>
      </c>
      <c r="F463" s="12" t="n"/>
      <c r="G463" s="13" t="n"/>
      <c r="H463" s="12" t="n"/>
      <c r="I463" s="12" t="n"/>
      <c r="J463" s="12" t="n"/>
      <c r="K463" s="12" t="n"/>
      <c r="L463" s="11" t="n"/>
      <c r="M463" s="11" t="n"/>
      <c r="N463" s="11" t="n"/>
      <c r="O463" s="11" t="n"/>
      <c r="P463" s="12" t="n"/>
      <c r="Q463" s="11" t="n"/>
      <c r="R463" s="12" t="n"/>
      <c r="S463" s="11" t="n"/>
      <c r="T463" s="12" t="n"/>
      <c r="U463" s="12" t="n"/>
      <c r="V463" s="12" t="n"/>
      <c r="W463" s="13" t="n"/>
      <c r="X463" s="14">
        <f>IF($AP463="",IF($B463="","",$H463),IF(INDEX(職員マスタ!$B$6:$B$405,$AP463)="",$H463,INDEX(職員マスタ!$B$6:$B$405,$AP463)))</f>
        <v/>
      </c>
      <c r="Y463" s="14">
        <f>IF($AP463="",IF($B463="","",$R463),IF(INDEX(職員マスタ!$C$6:$C$405,$AP463)="",$R463,INDEX(職員マスタ!$C$6:$C$405,$AP463)))</f>
        <v/>
      </c>
      <c r="Z463" s="14">
        <f>IF($AQ463="","","R"&amp;$C463&amp;"."&amp;$D463)</f>
        <v/>
      </c>
      <c r="AA463" s="15">
        <f>IF(IF($AP463="",FALSE,INDEX(職員マスタ!$K$6:$K$405,$AP463)&lt;&gt;""),INDEX(職員マスタ!$K$6:$K$405,$AP463),IF(N($W463)&gt;0,$W463,""))</f>
        <v/>
      </c>
      <c r="AB463" s="14">
        <f>IF(OR($E463="",$AA463=""),"",IF($E463&gt;=$AA463,"×",IF($E463&gt;=$AA463*設定!$C$5,"△","○")))</f>
        <v/>
      </c>
      <c r="AC463" s="15">
        <f>IF($AB463="","",IF($AB463="×",0,IF($AB463="○",ROUNDDOWN($E463*設定!$C$4,0),ROUNDDOWN($E463*ROUND((9*$AA463-9*$E463)/(10*$E463),4),0))))</f>
        <v/>
      </c>
      <c r="AD463" s="13" t="n"/>
      <c r="AE463" s="15">
        <f>IF($B463="","",IF($AD463&lt;&gt;"",$AD463,IF($AC463="","",IF($AC463&lt;=設定!$C$3,0,$AC463))))</f>
        <v/>
      </c>
      <c r="AF463" s="14">
        <f>IF($B463="","",IF(AND($AG463&lt;&gt;"",$AI463="",$AL463=""),"保留中",IF($AL463&lt;&gt;"",IF(N($AE463)&gt;0,"支給済","不支給"),IF($AE463="","要確認",IF($AE463=0,"不支給","未処理")))))</f>
        <v/>
      </c>
      <c r="AG463" s="12" t="n"/>
      <c r="AH463" s="11" t="n"/>
      <c r="AI463" s="11" t="n"/>
      <c r="AJ463" s="11" t="n"/>
      <c r="AK463" s="14">
        <f>IF(AND($AF463="保留中",$AH463&lt;&gt;""),TODAY()-$AH463,"")</f>
        <v/>
      </c>
      <c r="AL463" s="12" t="inlineStr">
        <is>
          <t>R7.9</t>
        </is>
      </c>
      <c r="AM463" s="14">
        <f>IF($B463="","",IF($AQ463="","対象年月が未入力／","")&amp;IF($B463="","",IF($AP463="","職員マスタに未登録の職員番号／",IF($AA463="","標準報酬月額が未登録／","")&amp;IF(AND($AQ463&lt;&gt;"",OR(AND(INDEX(職員マスタ!$G$6:$G$405,$AP463)&lt;&gt;"",INDEX(職員マスタ!$G$6:$G$405,$AP463)&gt;EOMONTH($AQ463,0)),AND(INDEX(職員マスタ!$H$6:$H$405,$AP463)&lt;&gt;"",INDEX(職員マスタ!$H$6:$H$405,$AP463)&lt;$AQ463))),"対象月が時短期間外／","")&amp;IF(AND(INDEX(職員マスタ!$K$6:$K$405,$AP463)&lt;&gt;"",N($W463)&gt;0,INDEX(職員マスタ!$K$6:$K$405,$AP463)&lt;&gt;$W463),"標準報酬月額が申請書と相違（台帳"&amp;TEXT(INDEX(職員マスタ!$K$6:$K$405,$AP463),"#,##0")&amp;"円／申請書"&amp;TEXT($W463,"#,##0")&amp;"円）／","")&amp;IF(AND(INDEX(職員マスタ!$F$6:$F$405,$AP463)&lt;&gt;"",$AQ463&lt;&gt;"",INDEX(職員マスタ!$F$6:$F$405,$AP463)&lt;$AQ463),"対象月に子が2歳到達済／","")&amp;IF(AND($H463&lt;&gt;"",INDEX(職員マスタ!$B$6:$B$405,$AP463)&lt;&gt;"",SUBSTITUTE(SUBSTITUTE($H463," ","")," ","")&lt;&gt;SUBSTITUTE(SUBSTITUTE(INDEX(職員マスタ!$B$6:$B$405,$AP463)," ","")," ","")),"氏名がマスタと相違／","")&amp;IF(AND($Q463&lt;&gt;"",INDEX(職員マスタ!$E$6:$E$405,$AP463)&lt;&gt;"",$Q463&lt;&gt;INDEX(職員マスタ!$E$6:$E$405,$AP463)),"子の生年月日がマスタと相違／","")&amp;IF(AND($L463&lt;&gt;"",INDEX(職員マスタ!$G$6:$G$405,$AP463)&lt;&gt;"",$L463&lt;&gt;INDEX(職員マスタ!$G$6:$G$405,$AP463)),"時短開始日がマスタと相違／","")&amp;IF(AND($M463&lt;&gt;"",INDEX(職員マスタ!$H$6:$H$405,$AP463)&lt;&gt;"",$M463&lt;&gt;INDEX(職員マスタ!$H$6:$H$405,$AP463)),"時短終了日がマスタと相違／","")))&amp;IF(AND($B463&lt;&gt;"",$E463=""),"報酬額が未入力／","")&amp;IF(N($U463)&gt;0,"申請書に入力エラーが残っています／","")&amp;IF(AND($B463&lt;&gt;"",$AQ463&lt;&gt;""),IF(COUNTIFS($B$6:$B$3005,$B463,$C$6:$C$3005,$C463,$D$6:$D$3005,$D463)&gt;1,"同じ月の請求が重複しています／",""),"")&amp;IF(AND(N($E463)&gt;0,$AB463&lt;&gt;"",$AB463&lt;&gt;"×",$AE463=0,$AD463=""),"計算額が下限以下のため不支給／",""))</f>
        <v/>
      </c>
      <c r="AN463" s="12" t="n"/>
      <c r="AO463" s="14">
        <f>IF($AF463="保留中",COUNTIF($AF$6:$AF463,"保留中"),"")</f>
        <v/>
      </c>
      <c r="AP463" s="14">
        <f>IF($AQ463="","",IF(SUMPRODUCT(MAX((職員マスタ!$A$6:$A$405=$B463)*(((職員マスタ!$G$6:$G$405="")+(職員マスタ!$G$6:$G$405&lt;=EOMONTH($AQ463,0)))&gt;0)*(((職員マスタ!$H$6:$H$405="")+(職員マスタ!$H$6:$H$405&gt;=$AQ463))&gt;0)*(ROW(職員マスタ!$A$6:$A$405)-5)))&gt;0,SUMPRODUCT(MAX((職員マスタ!$A$6:$A$405=$B463)*(((職員マスタ!$G$6:$G$405="")+(職員マスタ!$G$6:$G$405&lt;=EOMONTH($AQ463,0)))&gt;0)*(((職員マスタ!$H$6:$H$405="")+(職員マスタ!$H$6:$H$405&gt;=$AQ463))&gt;0)*(ROW(職員マスタ!$A$6:$A$405)-5))),IFERROR(MATCH($B463,職員マスタ!$A$6:$A$405,0),"")))</f>
        <v/>
      </c>
      <c r="AQ463" s="16">
        <f>IF(OR($B463="",$C463="",$D463=""),"",DATE($C463+2018,$D463,1))</f>
        <v/>
      </c>
    </row>
    <row r="464">
      <c r="A464" s="11" t="n"/>
      <c r="B464" s="12" t="n">
        <v>7141567</v>
      </c>
      <c r="C464" s="12" t="n">
        <v>7</v>
      </c>
      <c r="D464" s="12" t="n">
        <v>6</v>
      </c>
      <c r="E464" s="13" t="n">
        <v>206566</v>
      </c>
      <c r="F464" s="12" t="n"/>
      <c r="G464" s="13" t="n"/>
      <c r="H464" s="12" t="n"/>
      <c r="I464" s="12" t="n"/>
      <c r="J464" s="12" t="n"/>
      <c r="K464" s="12" t="n"/>
      <c r="L464" s="11" t="n"/>
      <c r="M464" s="11" t="n"/>
      <c r="N464" s="11" t="n"/>
      <c r="O464" s="11" t="n"/>
      <c r="P464" s="12" t="n"/>
      <c r="Q464" s="11" t="n"/>
      <c r="R464" s="12" t="n"/>
      <c r="S464" s="11" t="n"/>
      <c r="T464" s="12" t="n"/>
      <c r="U464" s="12" t="n"/>
      <c r="V464" s="12" t="n"/>
      <c r="W464" s="13" t="n"/>
      <c r="X464" s="14">
        <f>IF($AP464="",IF($B464="","",$H464),IF(INDEX(職員マスタ!$B$6:$B$405,$AP464)="",$H464,INDEX(職員マスタ!$B$6:$B$405,$AP464)))</f>
        <v/>
      </c>
      <c r="Y464" s="14">
        <f>IF($AP464="",IF($B464="","",$R464),IF(INDEX(職員マスタ!$C$6:$C$405,$AP464)="",$R464,INDEX(職員マスタ!$C$6:$C$405,$AP464)))</f>
        <v/>
      </c>
      <c r="Z464" s="14">
        <f>IF($AQ464="","","R"&amp;$C464&amp;"."&amp;$D464)</f>
        <v/>
      </c>
      <c r="AA464" s="15">
        <f>IF(IF($AP464="",FALSE,INDEX(職員マスタ!$K$6:$K$405,$AP464)&lt;&gt;""),INDEX(職員マスタ!$K$6:$K$405,$AP464),IF(N($W464)&gt;0,$W464,""))</f>
        <v/>
      </c>
      <c r="AB464" s="14">
        <f>IF(OR($E464="",$AA464=""),"",IF($E464&gt;=$AA464,"×",IF($E464&gt;=$AA464*設定!$C$5,"△","○")))</f>
        <v/>
      </c>
      <c r="AC464" s="15">
        <f>IF($AB464="","",IF($AB464="×",0,IF($AB464="○",ROUNDDOWN($E464*設定!$C$4,0),ROUNDDOWN($E464*ROUND((9*$AA464-9*$E464)/(10*$E464),4),0))))</f>
        <v/>
      </c>
      <c r="AD464" s="13" t="n"/>
      <c r="AE464" s="15">
        <f>IF($B464="","",IF($AD464&lt;&gt;"",$AD464,IF($AC464="","",IF($AC464&lt;=設定!$C$3,0,$AC464))))</f>
        <v/>
      </c>
      <c r="AF464" s="14">
        <f>IF($B464="","",IF(AND($AG464&lt;&gt;"",$AI464="",$AL464=""),"保留中",IF($AL464&lt;&gt;"",IF(N($AE464)&gt;0,"支給済","不支給"),IF($AE464="","要確認",IF($AE464=0,"不支給","未処理")))))</f>
        <v/>
      </c>
      <c r="AG464" s="12" t="n"/>
      <c r="AH464" s="11" t="n"/>
      <c r="AI464" s="11" t="n"/>
      <c r="AJ464" s="11" t="n"/>
      <c r="AK464" s="14">
        <f>IF(AND($AF464="保留中",$AH464&lt;&gt;""),TODAY()-$AH464,"")</f>
        <v/>
      </c>
      <c r="AL464" s="12" t="inlineStr">
        <is>
          <t>R7.9</t>
        </is>
      </c>
      <c r="AM464" s="14">
        <f>IF($B464="","",IF($AQ464="","対象年月が未入力／","")&amp;IF($B464="","",IF($AP464="","職員マスタに未登録の職員番号／",IF($AA464="","標準報酬月額が未登録／","")&amp;IF(AND($AQ464&lt;&gt;"",OR(AND(INDEX(職員マスタ!$G$6:$G$405,$AP464)&lt;&gt;"",INDEX(職員マスタ!$G$6:$G$405,$AP464)&gt;EOMONTH($AQ464,0)),AND(INDEX(職員マスタ!$H$6:$H$405,$AP464)&lt;&gt;"",INDEX(職員マスタ!$H$6:$H$405,$AP464)&lt;$AQ464))),"対象月が時短期間外／","")&amp;IF(AND(INDEX(職員マスタ!$K$6:$K$405,$AP464)&lt;&gt;"",N($W464)&gt;0,INDEX(職員マスタ!$K$6:$K$405,$AP464)&lt;&gt;$W464),"標準報酬月額が申請書と相違（台帳"&amp;TEXT(INDEX(職員マスタ!$K$6:$K$405,$AP464),"#,##0")&amp;"円／申請書"&amp;TEXT($W464,"#,##0")&amp;"円）／","")&amp;IF(AND(INDEX(職員マスタ!$F$6:$F$405,$AP464)&lt;&gt;"",$AQ464&lt;&gt;"",INDEX(職員マスタ!$F$6:$F$405,$AP464)&lt;$AQ464),"対象月に子が2歳到達済／","")&amp;IF(AND($H464&lt;&gt;"",INDEX(職員マスタ!$B$6:$B$405,$AP464)&lt;&gt;"",SUBSTITUTE(SUBSTITUTE($H464," ","")," ","")&lt;&gt;SUBSTITUTE(SUBSTITUTE(INDEX(職員マスタ!$B$6:$B$405,$AP464)," ","")," ","")),"氏名がマスタと相違／","")&amp;IF(AND($Q464&lt;&gt;"",INDEX(職員マスタ!$E$6:$E$405,$AP464)&lt;&gt;"",$Q464&lt;&gt;INDEX(職員マスタ!$E$6:$E$405,$AP464)),"子の生年月日がマスタと相違／","")&amp;IF(AND($L464&lt;&gt;"",INDEX(職員マスタ!$G$6:$G$405,$AP464)&lt;&gt;"",$L464&lt;&gt;INDEX(職員マスタ!$G$6:$G$405,$AP464)),"時短開始日がマスタと相違／","")&amp;IF(AND($M464&lt;&gt;"",INDEX(職員マスタ!$H$6:$H$405,$AP464)&lt;&gt;"",$M464&lt;&gt;INDEX(職員マスタ!$H$6:$H$405,$AP464)),"時短終了日がマスタと相違／","")))&amp;IF(AND($B464&lt;&gt;"",$E464=""),"報酬額が未入力／","")&amp;IF(N($U464)&gt;0,"申請書に入力エラーが残っています／","")&amp;IF(AND($B464&lt;&gt;"",$AQ464&lt;&gt;""),IF(COUNTIFS($B$6:$B$3005,$B464,$C$6:$C$3005,$C464,$D$6:$D$3005,$D464)&gt;1,"同じ月の請求が重複しています／",""),"")&amp;IF(AND(N($E464)&gt;0,$AB464&lt;&gt;"",$AB464&lt;&gt;"×",$AE464=0,$AD464=""),"計算額が下限以下のため不支給／",""))</f>
        <v/>
      </c>
      <c r="AN464" s="12" t="n"/>
      <c r="AO464" s="14">
        <f>IF($AF464="保留中",COUNTIF($AF$6:$AF464,"保留中"),"")</f>
        <v/>
      </c>
      <c r="AP464" s="14">
        <f>IF($AQ464="","",IF(SUMPRODUCT(MAX((職員マスタ!$A$6:$A$405=$B464)*(((職員マスタ!$G$6:$G$405="")+(職員マスタ!$G$6:$G$405&lt;=EOMONTH($AQ464,0)))&gt;0)*(((職員マスタ!$H$6:$H$405="")+(職員マスタ!$H$6:$H$405&gt;=$AQ464))&gt;0)*(ROW(職員マスタ!$A$6:$A$405)-5)))&gt;0,SUMPRODUCT(MAX((職員マスタ!$A$6:$A$405=$B464)*(((職員マスタ!$G$6:$G$405="")+(職員マスタ!$G$6:$G$405&lt;=EOMONTH($AQ464,0)))&gt;0)*(((職員マスタ!$H$6:$H$405="")+(職員マスタ!$H$6:$H$405&gt;=$AQ464))&gt;0)*(ROW(職員マスタ!$A$6:$A$405)-5))),IFERROR(MATCH($B464,職員マスタ!$A$6:$A$405,0),"")))</f>
        <v/>
      </c>
      <c r="AQ464" s="16">
        <f>IF(OR($B464="",$C464="",$D464=""),"",DATE($C464+2018,$D464,1))</f>
        <v/>
      </c>
    </row>
    <row r="465">
      <c r="A465" s="11" t="n"/>
      <c r="B465" s="12" t="n">
        <v>7141567</v>
      </c>
      <c r="C465" s="12" t="n">
        <v>7</v>
      </c>
      <c r="D465" s="12" t="n">
        <v>7</v>
      </c>
      <c r="E465" s="13" t="n">
        <v>201661</v>
      </c>
      <c r="F465" s="12" t="n"/>
      <c r="G465" s="13" t="n"/>
      <c r="H465" s="12" t="n"/>
      <c r="I465" s="12" t="n"/>
      <c r="J465" s="12" t="n"/>
      <c r="K465" s="12" t="n"/>
      <c r="L465" s="11" t="n"/>
      <c r="M465" s="11" t="n"/>
      <c r="N465" s="11" t="n"/>
      <c r="O465" s="11" t="n"/>
      <c r="P465" s="12" t="n"/>
      <c r="Q465" s="11" t="n"/>
      <c r="R465" s="12" t="n"/>
      <c r="S465" s="11" t="n"/>
      <c r="T465" s="12" t="n"/>
      <c r="U465" s="12" t="n"/>
      <c r="V465" s="12" t="n"/>
      <c r="W465" s="13" t="n"/>
      <c r="X465" s="14">
        <f>IF($AP465="",IF($B465="","",$H465),IF(INDEX(職員マスタ!$B$6:$B$405,$AP465)="",$H465,INDEX(職員マスタ!$B$6:$B$405,$AP465)))</f>
        <v/>
      </c>
      <c r="Y465" s="14">
        <f>IF($AP465="",IF($B465="","",$R465),IF(INDEX(職員マスタ!$C$6:$C$405,$AP465)="",$R465,INDEX(職員マスタ!$C$6:$C$405,$AP465)))</f>
        <v/>
      </c>
      <c r="Z465" s="14">
        <f>IF($AQ465="","","R"&amp;$C465&amp;"."&amp;$D465)</f>
        <v/>
      </c>
      <c r="AA465" s="15">
        <f>IF(IF($AP465="",FALSE,INDEX(職員マスタ!$K$6:$K$405,$AP465)&lt;&gt;""),INDEX(職員マスタ!$K$6:$K$405,$AP465),IF(N($W465)&gt;0,$W465,""))</f>
        <v/>
      </c>
      <c r="AB465" s="14">
        <f>IF(OR($E465="",$AA465=""),"",IF($E465&gt;=$AA465,"×",IF($E465&gt;=$AA465*設定!$C$5,"△","○")))</f>
        <v/>
      </c>
      <c r="AC465" s="15">
        <f>IF($AB465="","",IF($AB465="×",0,IF($AB465="○",ROUNDDOWN($E465*設定!$C$4,0),ROUNDDOWN($E465*ROUND((9*$AA465-9*$E465)/(10*$E465),4),0))))</f>
        <v/>
      </c>
      <c r="AD465" s="13" t="n"/>
      <c r="AE465" s="15">
        <f>IF($B465="","",IF($AD465&lt;&gt;"",$AD465,IF($AC465="","",IF($AC465&lt;=設定!$C$3,0,$AC465))))</f>
        <v/>
      </c>
      <c r="AF465" s="14">
        <f>IF($B465="","",IF(AND($AG465&lt;&gt;"",$AI465="",$AL465=""),"保留中",IF($AL465&lt;&gt;"",IF(N($AE465)&gt;0,"支給済","不支給"),IF($AE465="","要確認",IF($AE465=0,"不支給","未処理")))))</f>
        <v/>
      </c>
      <c r="AG465" s="12" t="n"/>
      <c r="AH465" s="11" t="n"/>
      <c r="AI465" s="11" t="n"/>
      <c r="AJ465" s="11" t="n"/>
      <c r="AK465" s="14">
        <f>IF(AND($AF465="保留中",$AH465&lt;&gt;""),TODAY()-$AH465,"")</f>
        <v/>
      </c>
      <c r="AL465" s="12" t="inlineStr">
        <is>
          <t>R7.11</t>
        </is>
      </c>
      <c r="AM465" s="14">
        <f>IF($B465="","",IF($AQ465="","対象年月が未入力／","")&amp;IF($B465="","",IF($AP465="","職員マスタに未登録の職員番号／",IF($AA465="","標準報酬月額が未登録／","")&amp;IF(AND($AQ465&lt;&gt;"",OR(AND(INDEX(職員マスタ!$G$6:$G$405,$AP465)&lt;&gt;"",INDEX(職員マスタ!$G$6:$G$405,$AP465)&gt;EOMONTH($AQ465,0)),AND(INDEX(職員マスタ!$H$6:$H$405,$AP465)&lt;&gt;"",INDEX(職員マスタ!$H$6:$H$405,$AP465)&lt;$AQ465))),"対象月が時短期間外／","")&amp;IF(AND(INDEX(職員マスタ!$K$6:$K$405,$AP465)&lt;&gt;"",N($W465)&gt;0,INDEX(職員マスタ!$K$6:$K$405,$AP465)&lt;&gt;$W465),"標準報酬月額が申請書と相違（台帳"&amp;TEXT(INDEX(職員マスタ!$K$6:$K$405,$AP465),"#,##0")&amp;"円／申請書"&amp;TEXT($W465,"#,##0")&amp;"円）／","")&amp;IF(AND(INDEX(職員マスタ!$F$6:$F$405,$AP465)&lt;&gt;"",$AQ465&lt;&gt;"",INDEX(職員マスタ!$F$6:$F$405,$AP465)&lt;$AQ465),"対象月に子が2歳到達済／","")&amp;IF(AND($H465&lt;&gt;"",INDEX(職員マスタ!$B$6:$B$405,$AP465)&lt;&gt;"",SUBSTITUTE(SUBSTITUTE($H465," ","")," ","")&lt;&gt;SUBSTITUTE(SUBSTITUTE(INDEX(職員マスタ!$B$6:$B$405,$AP465)," ","")," ","")),"氏名がマスタと相違／","")&amp;IF(AND($Q465&lt;&gt;"",INDEX(職員マスタ!$E$6:$E$405,$AP465)&lt;&gt;"",$Q465&lt;&gt;INDEX(職員マスタ!$E$6:$E$405,$AP465)),"子の生年月日がマスタと相違／","")&amp;IF(AND($L465&lt;&gt;"",INDEX(職員マスタ!$G$6:$G$405,$AP465)&lt;&gt;"",$L465&lt;&gt;INDEX(職員マスタ!$G$6:$G$405,$AP465)),"時短開始日がマスタと相違／","")&amp;IF(AND($M465&lt;&gt;"",INDEX(職員マスタ!$H$6:$H$405,$AP465)&lt;&gt;"",$M465&lt;&gt;INDEX(職員マスタ!$H$6:$H$405,$AP465)),"時短終了日がマスタと相違／","")))&amp;IF(AND($B465&lt;&gt;"",$E465=""),"報酬額が未入力／","")&amp;IF(N($U465)&gt;0,"申請書に入力エラーが残っています／","")&amp;IF(AND($B465&lt;&gt;"",$AQ465&lt;&gt;""),IF(COUNTIFS($B$6:$B$3005,$B465,$C$6:$C$3005,$C465,$D$6:$D$3005,$D465)&gt;1,"同じ月の請求が重複しています／",""),"")&amp;IF(AND(N($E465)&gt;0,$AB465&lt;&gt;"",$AB465&lt;&gt;"×",$AE465=0,$AD465=""),"計算額が下限以下のため不支給／",""))</f>
        <v/>
      </c>
      <c r="AN465" s="12" t="n"/>
      <c r="AO465" s="14">
        <f>IF($AF465="保留中",COUNTIF($AF$6:$AF465,"保留中"),"")</f>
        <v/>
      </c>
      <c r="AP465" s="14">
        <f>IF($AQ465="","",IF(SUMPRODUCT(MAX((職員マスタ!$A$6:$A$405=$B465)*(((職員マスタ!$G$6:$G$405="")+(職員マスタ!$G$6:$G$405&lt;=EOMONTH($AQ465,0)))&gt;0)*(((職員マスタ!$H$6:$H$405="")+(職員マスタ!$H$6:$H$405&gt;=$AQ465))&gt;0)*(ROW(職員マスタ!$A$6:$A$405)-5)))&gt;0,SUMPRODUCT(MAX((職員マスタ!$A$6:$A$405=$B465)*(((職員マスタ!$G$6:$G$405="")+(職員マスタ!$G$6:$G$405&lt;=EOMONTH($AQ465,0)))&gt;0)*(((職員マスタ!$H$6:$H$405="")+(職員マスタ!$H$6:$H$405&gt;=$AQ465))&gt;0)*(ROW(職員マスタ!$A$6:$A$405)-5))),IFERROR(MATCH($B465,職員マスタ!$A$6:$A$405,0),"")))</f>
        <v/>
      </c>
      <c r="AQ465" s="16">
        <f>IF(OR($B465="",$C465="",$D465=""),"",DATE($C465+2018,$D465,1))</f>
        <v/>
      </c>
    </row>
    <row r="466">
      <c r="A466" s="11" t="n"/>
      <c r="B466" s="12" t="n">
        <v>7141567</v>
      </c>
      <c r="C466" s="12" t="n">
        <v>7</v>
      </c>
      <c r="D466" s="12" t="n">
        <v>8</v>
      </c>
      <c r="E466" s="13" t="n">
        <v>203296</v>
      </c>
      <c r="F466" s="12" t="n"/>
      <c r="G466" s="13" t="n"/>
      <c r="H466" s="12" t="n"/>
      <c r="I466" s="12" t="n"/>
      <c r="J466" s="12" t="n"/>
      <c r="K466" s="12" t="n"/>
      <c r="L466" s="11" t="n"/>
      <c r="M466" s="11" t="n"/>
      <c r="N466" s="11" t="n"/>
      <c r="O466" s="11" t="n"/>
      <c r="P466" s="12" t="n"/>
      <c r="Q466" s="11" t="n"/>
      <c r="R466" s="12" t="n"/>
      <c r="S466" s="11" t="n"/>
      <c r="T466" s="12" t="n"/>
      <c r="U466" s="12" t="n"/>
      <c r="V466" s="12" t="n"/>
      <c r="W466" s="13" t="n"/>
      <c r="X466" s="14">
        <f>IF($AP466="",IF($B466="","",$H466),IF(INDEX(職員マスタ!$B$6:$B$405,$AP466)="",$H466,INDEX(職員マスタ!$B$6:$B$405,$AP466)))</f>
        <v/>
      </c>
      <c r="Y466" s="14">
        <f>IF($AP466="",IF($B466="","",$R466),IF(INDEX(職員マスタ!$C$6:$C$405,$AP466)="",$R466,INDEX(職員マスタ!$C$6:$C$405,$AP466)))</f>
        <v/>
      </c>
      <c r="Z466" s="14">
        <f>IF($AQ466="","","R"&amp;$C466&amp;"."&amp;$D466)</f>
        <v/>
      </c>
      <c r="AA466" s="15">
        <f>IF(IF($AP466="",FALSE,INDEX(職員マスタ!$K$6:$K$405,$AP466)&lt;&gt;""),INDEX(職員マスタ!$K$6:$K$405,$AP466),IF(N($W466)&gt;0,$W466,""))</f>
        <v/>
      </c>
      <c r="AB466" s="14">
        <f>IF(OR($E466="",$AA466=""),"",IF($E466&gt;=$AA466,"×",IF($E466&gt;=$AA466*設定!$C$5,"△","○")))</f>
        <v/>
      </c>
      <c r="AC466" s="15">
        <f>IF($AB466="","",IF($AB466="×",0,IF($AB466="○",ROUNDDOWN($E466*設定!$C$4,0),ROUNDDOWN($E466*ROUND((9*$AA466-9*$E466)/(10*$E466),4),0))))</f>
        <v/>
      </c>
      <c r="AD466" s="13" t="n"/>
      <c r="AE466" s="15">
        <f>IF($B466="","",IF($AD466&lt;&gt;"",$AD466,IF($AC466="","",IF($AC466&lt;=設定!$C$3,0,$AC466))))</f>
        <v/>
      </c>
      <c r="AF466" s="14">
        <f>IF($B466="","",IF(AND($AG466&lt;&gt;"",$AI466="",$AL466=""),"保留中",IF($AL466&lt;&gt;"",IF(N($AE466)&gt;0,"支給済","不支給"),IF($AE466="","要確認",IF($AE466=0,"不支給","未処理")))))</f>
        <v/>
      </c>
      <c r="AG466" s="12" t="n"/>
      <c r="AH466" s="11" t="n"/>
      <c r="AI466" s="11" t="n"/>
      <c r="AJ466" s="11" t="n"/>
      <c r="AK466" s="14">
        <f>IF(AND($AF466="保留中",$AH466&lt;&gt;""),TODAY()-$AH466,"")</f>
        <v/>
      </c>
      <c r="AL466" s="12" t="inlineStr">
        <is>
          <t>R7.11</t>
        </is>
      </c>
      <c r="AM466" s="14">
        <f>IF($B466="","",IF($AQ466="","対象年月が未入力／","")&amp;IF($B466="","",IF($AP466="","職員マスタに未登録の職員番号／",IF($AA466="","標準報酬月額が未登録／","")&amp;IF(AND($AQ466&lt;&gt;"",OR(AND(INDEX(職員マスタ!$G$6:$G$405,$AP466)&lt;&gt;"",INDEX(職員マスタ!$G$6:$G$405,$AP466)&gt;EOMONTH($AQ466,0)),AND(INDEX(職員マスタ!$H$6:$H$405,$AP466)&lt;&gt;"",INDEX(職員マスタ!$H$6:$H$405,$AP466)&lt;$AQ466))),"対象月が時短期間外／","")&amp;IF(AND(INDEX(職員マスタ!$K$6:$K$405,$AP466)&lt;&gt;"",N($W466)&gt;0,INDEX(職員マスタ!$K$6:$K$405,$AP466)&lt;&gt;$W466),"標準報酬月額が申請書と相違（台帳"&amp;TEXT(INDEX(職員マスタ!$K$6:$K$405,$AP466),"#,##0")&amp;"円／申請書"&amp;TEXT($W466,"#,##0")&amp;"円）／","")&amp;IF(AND(INDEX(職員マスタ!$F$6:$F$405,$AP466)&lt;&gt;"",$AQ466&lt;&gt;"",INDEX(職員マスタ!$F$6:$F$405,$AP466)&lt;$AQ466),"対象月に子が2歳到達済／","")&amp;IF(AND($H466&lt;&gt;"",INDEX(職員マスタ!$B$6:$B$405,$AP466)&lt;&gt;"",SUBSTITUTE(SUBSTITUTE($H466," ","")," ","")&lt;&gt;SUBSTITUTE(SUBSTITUTE(INDEX(職員マスタ!$B$6:$B$405,$AP466)," ","")," ","")),"氏名がマスタと相違／","")&amp;IF(AND($Q466&lt;&gt;"",INDEX(職員マスタ!$E$6:$E$405,$AP466)&lt;&gt;"",$Q466&lt;&gt;INDEX(職員マスタ!$E$6:$E$405,$AP466)),"子の生年月日がマスタと相違／","")&amp;IF(AND($L466&lt;&gt;"",INDEX(職員マスタ!$G$6:$G$405,$AP466)&lt;&gt;"",$L466&lt;&gt;INDEX(職員マスタ!$G$6:$G$405,$AP466)),"時短開始日がマスタと相違／","")&amp;IF(AND($M466&lt;&gt;"",INDEX(職員マスタ!$H$6:$H$405,$AP466)&lt;&gt;"",$M466&lt;&gt;INDEX(職員マスタ!$H$6:$H$405,$AP466)),"時短終了日がマスタと相違／","")))&amp;IF(AND($B466&lt;&gt;"",$E466=""),"報酬額が未入力／","")&amp;IF(N($U466)&gt;0,"申請書に入力エラーが残っています／","")&amp;IF(AND($B466&lt;&gt;"",$AQ466&lt;&gt;""),IF(COUNTIFS($B$6:$B$3005,$B466,$C$6:$C$3005,$C466,$D$6:$D$3005,$D466)&gt;1,"同じ月の請求が重複しています／",""),"")&amp;IF(AND(N($E466)&gt;0,$AB466&lt;&gt;"",$AB466&lt;&gt;"×",$AE466=0,$AD466=""),"計算額が下限以下のため不支給／",""))</f>
        <v/>
      </c>
      <c r="AN466" s="12" t="n"/>
      <c r="AO466" s="14">
        <f>IF($AF466="保留中",COUNTIF($AF$6:$AF466,"保留中"),"")</f>
        <v/>
      </c>
      <c r="AP466" s="14">
        <f>IF($AQ466="","",IF(SUMPRODUCT(MAX((職員マスタ!$A$6:$A$405=$B466)*(((職員マスタ!$G$6:$G$405="")+(職員マスタ!$G$6:$G$405&lt;=EOMONTH($AQ466,0)))&gt;0)*(((職員マスタ!$H$6:$H$405="")+(職員マスタ!$H$6:$H$405&gt;=$AQ466))&gt;0)*(ROW(職員マスタ!$A$6:$A$405)-5)))&gt;0,SUMPRODUCT(MAX((職員マスタ!$A$6:$A$405=$B466)*(((職員マスタ!$G$6:$G$405="")+(職員マスタ!$G$6:$G$405&lt;=EOMONTH($AQ466,0)))&gt;0)*(((職員マスタ!$H$6:$H$405="")+(職員マスタ!$H$6:$H$405&gt;=$AQ466))&gt;0)*(ROW(職員マスタ!$A$6:$A$405)-5))),IFERROR(MATCH($B466,職員マスタ!$A$6:$A$405,0),"")))</f>
        <v/>
      </c>
      <c r="AQ466" s="16">
        <f>IF(OR($B466="",$C466="",$D466=""),"",DATE($C466+2018,$D466,1))</f>
        <v/>
      </c>
    </row>
    <row r="467">
      <c r="A467" s="11" t="n"/>
      <c r="B467" s="12" t="n">
        <v>7141567</v>
      </c>
      <c r="C467" s="12" t="n">
        <v>7</v>
      </c>
      <c r="D467" s="12" t="n">
        <v>9</v>
      </c>
      <c r="E467" s="13" t="n">
        <v>234529</v>
      </c>
      <c r="F467" s="12" t="n"/>
      <c r="G467" s="13" t="n"/>
      <c r="H467" s="12" t="n"/>
      <c r="I467" s="12" t="n"/>
      <c r="J467" s="12" t="n"/>
      <c r="K467" s="12" t="n"/>
      <c r="L467" s="11" t="n"/>
      <c r="M467" s="11" t="n"/>
      <c r="N467" s="11" t="n"/>
      <c r="O467" s="11" t="n"/>
      <c r="P467" s="12" t="n"/>
      <c r="Q467" s="11" t="n"/>
      <c r="R467" s="12" t="n"/>
      <c r="S467" s="11" t="n"/>
      <c r="T467" s="12" t="n"/>
      <c r="U467" s="12" t="n"/>
      <c r="V467" s="12" t="n"/>
      <c r="W467" s="13" t="n"/>
      <c r="X467" s="14">
        <f>IF($AP467="",IF($B467="","",$H467),IF(INDEX(職員マスタ!$B$6:$B$405,$AP467)="",$H467,INDEX(職員マスタ!$B$6:$B$405,$AP467)))</f>
        <v/>
      </c>
      <c r="Y467" s="14">
        <f>IF($AP467="",IF($B467="","",$R467),IF(INDEX(職員マスタ!$C$6:$C$405,$AP467)="",$R467,INDEX(職員マスタ!$C$6:$C$405,$AP467)))</f>
        <v/>
      </c>
      <c r="Z467" s="14">
        <f>IF($AQ467="","","R"&amp;$C467&amp;"."&amp;$D467)</f>
        <v/>
      </c>
      <c r="AA467" s="15">
        <f>IF(IF($AP467="",FALSE,INDEX(職員マスタ!$K$6:$K$405,$AP467)&lt;&gt;""),INDEX(職員マスタ!$K$6:$K$405,$AP467),IF(N($W467)&gt;0,$W467,""))</f>
        <v/>
      </c>
      <c r="AB467" s="14">
        <f>IF(OR($E467="",$AA467=""),"",IF($E467&gt;=$AA467,"×",IF($E467&gt;=$AA467*設定!$C$5,"△","○")))</f>
        <v/>
      </c>
      <c r="AC467" s="15">
        <f>IF($AB467="","",IF($AB467="×",0,IF($AB467="○",ROUNDDOWN($E467*設定!$C$4,0),ROUNDDOWN($E467*ROUND((9*$AA467-9*$E467)/(10*$E467),4),0))))</f>
        <v/>
      </c>
      <c r="AD467" s="13" t="n"/>
      <c r="AE467" s="15">
        <f>IF($B467="","",IF($AD467&lt;&gt;"",$AD467,IF($AC467="","",IF($AC467&lt;=設定!$C$3,0,$AC467))))</f>
        <v/>
      </c>
      <c r="AF467" s="14">
        <f>IF($B467="","",IF(AND($AG467&lt;&gt;"",$AI467="",$AL467=""),"保留中",IF($AL467&lt;&gt;"",IF(N($AE467)&gt;0,"支給済","不支給"),IF($AE467="","要確認",IF($AE467=0,"不支給","未処理")))))</f>
        <v/>
      </c>
      <c r="AG467" s="12" t="n"/>
      <c r="AH467" s="11" t="n"/>
      <c r="AI467" s="11" t="n"/>
      <c r="AJ467" s="11" t="n"/>
      <c r="AK467" s="14">
        <f>IF(AND($AF467="保留中",$AH467&lt;&gt;""),TODAY()-$AH467,"")</f>
        <v/>
      </c>
      <c r="AL467" s="12" t="inlineStr">
        <is>
          <t>R8.2</t>
        </is>
      </c>
      <c r="AM467" s="14">
        <f>IF($B467="","",IF($AQ467="","対象年月が未入力／","")&amp;IF($B467="","",IF($AP467="","職員マスタに未登録の職員番号／",IF($AA467="","標準報酬月額が未登録／","")&amp;IF(AND($AQ467&lt;&gt;"",OR(AND(INDEX(職員マスタ!$G$6:$G$405,$AP467)&lt;&gt;"",INDEX(職員マスタ!$G$6:$G$405,$AP467)&gt;EOMONTH($AQ467,0)),AND(INDEX(職員マスタ!$H$6:$H$405,$AP467)&lt;&gt;"",INDEX(職員マスタ!$H$6:$H$405,$AP467)&lt;$AQ467))),"対象月が時短期間外／","")&amp;IF(AND(INDEX(職員マスタ!$K$6:$K$405,$AP467)&lt;&gt;"",N($W467)&gt;0,INDEX(職員マスタ!$K$6:$K$405,$AP467)&lt;&gt;$W467),"標準報酬月額が申請書と相違（台帳"&amp;TEXT(INDEX(職員マスタ!$K$6:$K$405,$AP467),"#,##0")&amp;"円／申請書"&amp;TEXT($W467,"#,##0")&amp;"円）／","")&amp;IF(AND(INDEX(職員マスタ!$F$6:$F$405,$AP467)&lt;&gt;"",$AQ467&lt;&gt;"",INDEX(職員マスタ!$F$6:$F$405,$AP467)&lt;$AQ467),"対象月に子が2歳到達済／","")&amp;IF(AND($H467&lt;&gt;"",INDEX(職員マスタ!$B$6:$B$405,$AP467)&lt;&gt;"",SUBSTITUTE(SUBSTITUTE($H467," ","")," ","")&lt;&gt;SUBSTITUTE(SUBSTITUTE(INDEX(職員マスタ!$B$6:$B$405,$AP467)," ","")," ","")),"氏名がマスタと相違／","")&amp;IF(AND($Q467&lt;&gt;"",INDEX(職員マスタ!$E$6:$E$405,$AP467)&lt;&gt;"",$Q467&lt;&gt;INDEX(職員マスタ!$E$6:$E$405,$AP467)),"子の生年月日がマスタと相違／","")&amp;IF(AND($L467&lt;&gt;"",INDEX(職員マスタ!$G$6:$G$405,$AP467)&lt;&gt;"",$L467&lt;&gt;INDEX(職員マスタ!$G$6:$G$405,$AP467)),"時短開始日がマスタと相違／","")&amp;IF(AND($M467&lt;&gt;"",INDEX(職員マスタ!$H$6:$H$405,$AP467)&lt;&gt;"",$M467&lt;&gt;INDEX(職員マスタ!$H$6:$H$405,$AP467)),"時短終了日がマスタと相違／","")))&amp;IF(AND($B467&lt;&gt;"",$E467=""),"報酬額が未入力／","")&amp;IF(N($U467)&gt;0,"申請書に入力エラーが残っています／","")&amp;IF(AND($B467&lt;&gt;"",$AQ467&lt;&gt;""),IF(COUNTIFS($B$6:$B$3005,$B467,$C$6:$C$3005,$C467,$D$6:$D$3005,$D467)&gt;1,"同じ月の請求が重複しています／",""),"")&amp;IF(AND(N($E467)&gt;0,$AB467&lt;&gt;"",$AB467&lt;&gt;"×",$AE467=0,$AD467=""),"計算額が下限以下のため不支給／",""))</f>
        <v/>
      </c>
      <c r="AN467" s="12" t="n"/>
      <c r="AO467" s="14">
        <f>IF($AF467="保留中",COUNTIF($AF$6:$AF467,"保留中"),"")</f>
        <v/>
      </c>
      <c r="AP467" s="14">
        <f>IF($AQ467="","",IF(SUMPRODUCT(MAX((職員マスタ!$A$6:$A$405=$B467)*(((職員マスタ!$G$6:$G$405="")+(職員マスタ!$G$6:$G$405&lt;=EOMONTH($AQ467,0)))&gt;0)*(((職員マスタ!$H$6:$H$405="")+(職員マスタ!$H$6:$H$405&gt;=$AQ467))&gt;0)*(ROW(職員マスタ!$A$6:$A$405)-5)))&gt;0,SUMPRODUCT(MAX((職員マスタ!$A$6:$A$405=$B467)*(((職員マスタ!$G$6:$G$405="")+(職員マスタ!$G$6:$G$405&lt;=EOMONTH($AQ467,0)))&gt;0)*(((職員マスタ!$H$6:$H$405="")+(職員マスタ!$H$6:$H$405&gt;=$AQ467))&gt;0)*(ROW(職員マスタ!$A$6:$A$405)-5))),IFERROR(MATCH($B467,職員マスタ!$A$6:$A$405,0),"")))</f>
        <v/>
      </c>
      <c r="AQ467" s="16">
        <f>IF(OR($B467="",$C467="",$D467=""),"",DATE($C467+2018,$D467,1))</f>
        <v/>
      </c>
    </row>
    <row r="468">
      <c r="A468" s="11" t="n"/>
      <c r="B468" s="12" t="n">
        <v>7141567</v>
      </c>
      <c r="C468" s="12" t="n">
        <v>7</v>
      </c>
      <c r="D468" s="12" t="n">
        <v>10</v>
      </c>
      <c r="E468" s="13" t="n">
        <v>208201</v>
      </c>
      <c r="F468" s="12" t="n"/>
      <c r="G468" s="13" t="n"/>
      <c r="H468" s="12" t="n"/>
      <c r="I468" s="12" t="n"/>
      <c r="J468" s="12" t="n"/>
      <c r="K468" s="12" t="n"/>
      <c r="L468" s="11" t="n"/>
      <c r="M468" s="11" t="n"/>
      <c r="N468" s="11" t="n"/>
      <c r="O468" s="11" t="n"/>
      <c r="P468" s="12" t="n"/>
      <c r="Q468" s="11" t="n"/>
      <c r="R468" s="12" t="n"/>
      <c r="S468" s="11" t="n"/>
      <c r="T468" s="12" t="n"/>
      <c r="U468" s="12" t="n"/>
      <c r="V468" s="12" t="n"/>
      <c r="W468" s="13" t="n"/>
      <c r="X468" s="14">
        <f>IF($AP468="",IF($B468="","",$H468),IF(INDEX(職員マスタ!$B$6:$B$405,$AP468)="",$H468,INDEX(職員マスタ!$B$6:$B$405,$AP468)))</f>
        <v/>
      </c>
      <c r="Y468" s="14">
        <f>IF($AP468="",IF($B468="","",$R468),IF(INDEX(職員マスタ!$C$6:$C$405,$AP468)="",$R468,INDEX(職員マスタ!$C$6:$C$405,$AP468)))</f>
        <v/>
      </c>
      <c r="Z468" s="14">
        <f>IF($AQ468="","","R"&amp;$C468&amp;"."&amp;$D468)</f>
        <v/>
      </c>
      <c r="AA468" s="15">
        <f>IF(IF($AP468="",FALSE,INDEX(職員マスタ!$K$6:$K$405,$AP468)&lt;&gt;""),INDEX(職員マスタ!$K$6:$K$405,$AP468),IF(N($W468)&gt;0,$W468,""))</f>
        <v/>
      </c>
      <c r="AB468" s="14">
        <f>IF(OR($E468="",$AA468=""),"",IF($E468&gt;=$AA468,"×",IF($E468&gt;=$AA468*設定!$C$5,"△","○")))</f>
        <v/>
      </c>
      <c r="AC468" s="15">
        <f>IF($AB468="","",IF($AB468="×",0,IF($AB468="○",ROUNDDOWN($E468*設定!$C$4,0),ROUNDDOWN($E468*ROUND((9*$AA468-9*$E468)/(10*$E468),4),0))))</f>
        <v/>
      </c>
      <c r="AD468" s="13" t="n"/>
      <c r="AE468" s="15">
        <f>IF($B468="","",IF($AD468&lt;&gt;"",$AD468,IF($AC468="","",IF($AC468&lt;=設定!$C$3,0,$AC468))))</f>
        <v/>
      </c>
      <c r="AF468" s="14">
        <f>IF($B468="","",IF(AND($AG468&lt;&gt;"",$AI468="",$AL468=""),"保留中",IF($AL468&lt;&gt;"",IF(N($AE468)&gt;0,"支給済","不支給"),IF($AE468="","要確認",IF($AE468=0,"不支給","未処理")))))</f>
        <v/>
      </c>
      <c r="AG468" s="12" t="n"/>
      <c r="AH468" s="11" t="n"/>
      <c r="AI468" s="11" t="n"/>
      <c r="AJ468" s="11" t="n"/>
      <c r="AK468" s="14">
        <f>IF(AND($AF468="保留中",$AH468&lt;&gt;""),TODAY()-$AH468,"")</f>
        <v/>
      </c>
      <c r="AL468" s="12" t="inlineStr">
        <is>
          <t>R8.2</t>
        </is>
      </c>
      <c r="AM468" s="14">
        <f>IF($B468="","",IF($AQ468="","対象年月が未入力／","")&amp;IF($B468="","",IF($AP468="","職員マスタに未登録の職員番号／",IF($AA468="","標準報酬月額が未登録／","")&amp;IF(AND($AQ468&lt;&gt;"",OR(AND(INDEX(職員マスタ!$G$6:$G$405,$AP468)&lt;&gt;"",INDEX(職員マスタ!$G$6:$G$405,$AP468)&gt;EOMONTH($AQ468,0)),AND(INDEX(職員マスタ!$H$6:$H$405,$AP468)&lt;&gt;"",INDEX(職員マスタ!$H$6:$H$405,$AP468)&lt;$AQ468))),"対象月が時短期間外／","")&amp;IF(AND(INDEX(職員マスタ!$K$6:$K$405,$AP468)&lt;&gt;"",N($W468)&gt;0,INDEX(職員マスタ!$K$6:$K$405,$AP468)&lt;&gt;$W468),"標準報酬月額が申請書と相違（台帳"&amp;TEXT(INDEX(職員マスタ!$K$6:$K$405,$AP468),"#,##0")&amp;"円／申請書"&amp;TEXT($W468,"#,##0")&amp;"円）／","")&amp;IF(AND(INDEX(職員マスタ!$F$6:$F$405,$AP468)&lt;&gt;"",$AQ468&lt;&gt;"",INDEX(職員マスタ!$F$6:$F$405,$AP468)&lt;$AQ468),"対象月に子が2歳到達済／","")&amp;IF(AND($H468&lt;&gt;"",INDEX(職員マスタ!$B$6:$B$405,$AP468)&lt;&gt;"",SUBSTITUTE(SUBSTITUTE($H468," ","")," ","")&lt;&gt;SUBSTITUTE(SUBSTITUTE(INDEX(職員マスタ!$B$6:$B$405,$AP468)," ","")," ","")),"氏名がマスタと相違／","")&amp;IF(AND($Q468&lt;&gt;"",INDEX(職員マスタ!$E$6:$E$405,$AP468)&lt;&gt;"",$Q468&lt;&gt;INDEX(職員マスタ!$E$6:$E$405,$AP468)),"子の生年月日がマスタと相違／","")&amp;IF(AND($L468&lt;&gt;"",INDEX(職員マスタ!$G$6:$G$405,$AP468)&lt;&gt;"",$L468&lt;&gt;INDEX(職員マスタ!$G$6:$G$405,$AP468)),"時短開始日がマスタと相違／","")&amp;IF(AND($M468&lt;&gt;"",INDEX(職員マスタ!$H$6:$H$405,$AP468)&lt;&gt;"",$M468&lt;&gt;INDEX(職員マスタ!$H$6:$H$405,$AP468)),"時短終了日がマスタと相違／","")))&amp;IF(AND($B468&lt;&gt;"",$E468=""),"報酬額が未入力／","")&amp;IF(N($U468)&gt;0,"申請書に入力エラーが残っています／","")&amp;IF(AND($B468&lt;&gt;"",$AQ468&lt;&gt;""),IF(COUNTIFS($B$6:$B$3005,$B468,$C$6:$C$3005,$C468,$D$6:$D$3005,$D468)&gt;1,"同じ月の請求が重複しています／",""),"")&amp;IF(AND(N($E468)&gt;0,$AB468&lt;&gt;"",$AB468&lt;&gt;"×",$AE468=0,$AD468=""),"計算額が下限以下のため不支給／",""))</f>
        <v/>
      </c>
      <c r="AN468" s="12" t="n"/>
      <c r="AO468" s="14">
        <f>IF($AF468="保留中",COUNTIF($AF$6:$AF468,"保留中"),"")</f>
        <v/>
      </c>
      <c r="AP468" s="14">
        <f>IF($AQ468="","",IF(SUMPRODUCT(MAX((職員マスタ!$A$6:$A$405=$B468)*(((職員マスタ!$G$6:$G$405="")+(職員マスタ!$G$6:$G$405&lt;=EOMONTH($AQ468,0)))&gt;0)*(((職員マスタ!$H$6:$H$405="")+(職員マスタ!$H$6:$H$405&gt;=$AQ468))&gt;0)*(ROW(職員マスタ!$A$6:$A$405)-5)))&gt;0,SUMPRODUCT(MAX((職員マスタ!$A$6:$A$405=$B468)*(((職員マスタ!$G$6:$G$405="")+(職員マスタ!$G$6:$G$405&lt;=EOMONTH($AQ468,0)))&gt;0)*(((職員マスタ!$H$6:$H$405="")+(職員マスタ!$H$6:$H$405&gt;=$AQ468))&gt;0)*(ROW(職員マスタ!$A$6:$A$405)-5))),IFERROR(MATCH($B468,職員マスタ!$A$6:$A$405,0),"")))</f>
        <v/>
      </c>
      <c r="AQ468" s="16">
        <f>IF(OR($B468="",$C468="",$D468=""),"",DATE($C468+2018,$D468,1))</f>
        <v/>
      </c>
    </row>
    <row r="469">
      <c r="A469" s="11" t="n"/>
      <c r="B469" s="12" t="n">
        <v>7141567</v>
      </c>
      <c r="C469" s="12" t="n">
        <v>7</v>
      </c>
      <c r="D469" s="12" t="n">
        <v>11</v>
      </c>
      <c r="E469" s="13" t="n">
        <v>200026</v>
      </c>
      <c r="F469" s="12" t="n"/>
      <c r="G469" s="13" t="n"/>
      <c r="H469" s="12" t="n"/>
      <c r="I469" s="12" t="n"/>
      <c r="J469" s="12" t="n"/>
      <c r="K469" s="12" t="n"/>
      <c r="L469" s="11" t="n"/>
      <c r="M469" s="11" t="n"/>
      <c r="N469" s="11" t="n"/>
      <c r="O469" s="11" t="n"/>
      <c r="P469" s="12" t="n"/>
      <c r="Q469" s="11" t="n"/>
      <c r="R469" s="12" t="n"/>
      <c r="S469" s="11" t="n"/>
      <c r="T469" s="12" t="n"/>
      <c r="U469" s="12" t="n"/>
      <c r="V469" s="12" t="n"/>
      <c r="W469" s="13" t="n"/>
      <c r="X469" s="14">
        <f>IF($AP469="",IF($B469="","",$H469),IF(INDEX(職員マスタ!$B$6:$B$405,$AP469)="",$H469,INDEX(職員マスタ!$B$6:$B$405,$AP469)))</f>
        <v/>
      </c>
      <c r="Y469" s="14">
        <f>IF($AP469="",IF($B469="","",$R469),IF(INDEX(職員マスタ!$C$6:$C$405,$AP469)="",$R469,INDEX(職員マスタ!$C$6:$C$405,$AP469)))</f>
        <v/>
      </c>
      <c r="Z469" s="14">
        <f>IF($AQ469="","","R"&amp;$C469&amp;"."&amp;$D469)</f>
        <v/>
      </c>
      <c r="AA469" s="15">
        <f>IF(IF($AP469="",FALSE,INDEX(職員マスタ!$K$6:$K$405,$AP469)&lt;&gt;""),INDEX(職員マスタ!$K$6:$K$405,$AP469),IF(N($W469)&gt;0,$W469,""))</f>
        <v/>
      </c>
      <c r="AB469" s="14">
        <f>IF(OR($E469="",$AA469=""),"",IF($E469&gt;=$AA469,"×",IF($E469&gt;=$AA469*設定!$C$5,"△","○")))</f>
        <v/>
      </c>
      <c r="AC469" s="15">
        <f>IF($AB469="","",IF($AB469="×",0,IF($AB469="○",ROUNDDOWN($E469*設定!$C$4,0),ROUNDDOWN($E469*ROUND((9*$AA469-9*$E469)/(10*$E469),4),0))))</f>
        <v/>
      </c>
      <c r="AD469" s="13" t="n"/>
      <c r="AE469" s="15">
        <f>IF($B469="","",IF($AD469&lt;&gt;"",$AD469,IF($AC469="","",IF($AC469&lt;=設定!$C$3,0,$AC469))))</f>
        <v/>
      </c>
      <c r="AF469" s="14">
        <f>IF($B469="","",IF(AND($AG469&lt;&gt;"",$AI469="",$AL469=""),"保留中",IF($AL469&lt;&gt;"",IF(N($AE469)&gt;0,"支給済","不支給"),IF($AE469="","要確認",IF($AE469=0,"不支給","未処理")))))</f>
        <v/>
      </c>
      <c r="AG469" s="12" t="n"/>
      <c r="AH469" s="11" t="n"/>
      <c r="AI469" s="11" t="n"/>
      <c r="AJ469" s="11" t="n"/>
      <c r="AK469" s="14">
        <f>IF(AND($AF469="保留中",$AH469&lt;&gt;""),TODAY()-$AH469,"")</f>
        <v/>
      </c>
      <c r="AL469" s="12" t="inlineStr">
        <is>
          <t>R8.2</t>
        </is>
      </c>
      <c r="AM469" s="14">
        <f>IF($B469="","",IF($AQ469="","対象年月が未入力／","")&amp;IF($B469="","",IF($AP469="","職員マスタに未登録の職員番号／",IF($AA469="","標準報酬月額が未登録／","")&amp;IF(AND($AQ469&lt;&gt;"",OR(AND(INDEX(職員マスタ!$G$6:$G$405,$AP469)&lt;&gt;"",INDEX(職員マスタ!$G$6:$G$405,$AP469)&gt;EOMONTH($AQ469,0)),AND(INDEX(職員マスタ!$H$6:$H$405,$AP469)&lt;&gt;"",INDEX(職員マスタ!$H$6:$H$405,$AP469)&lt;$AQ469))),"対象月が時短期間外／","")&amp;IF(AND(INDEX(職員マスタ!$K$6:$K$405,$AP469)&lt;&gt;"",N($W469)&gt;0,INDEX(職員マスタ!$K$6:$K$405,$AP469)&lt;&gt;$W469),"標準報酬月額が申請書と相違（台帳"&amp;TEXT(INDEX(職員マスタ!$K$6:$K$405,$AP469),"#,##0")&amp;"円／申請書"&amp;TEXT($W469,"#,##0")&amp;"円）／","")&amp;IF(AND(INDEX(職員マスタ!$F$6:$F$405,$AP469)&lt;&gt;"",$AQ469&lt;&gt;"",INDEX(職員マスタ!$F$6:$F$405,$AP469)&lt;$AQ469),"対象月に子が2歳到達済／","")&amp;IF(AND($H469&lt;&gt;"",INDEX(職員マスタ!$B$6:$B$405,$AP469)&lt;&gt;"",SUBSTITUTE(SUBSTITUTE($H469," ","")," ","")&lt;&gt;SUBSTITUTE(SUBSTITUTE(INDEX(職員マスタ!$B$6:$B$405,$AP469)," ","")," ","")),"氏名がマスタと相違／","")&amp;IF(AND($Q469&lt;&gt;"",INDEX(職員マスタ!$E$6:$E$405,$AP469)&lt;&gt;"",$Q469&lt;&gt;INDEX(職員マスタ!$E$6:$E$405,$AP469)),"子の生年月日がマスタと相違／","")&amp;IF(AND($L469&lt;&gt;"",INDEX(職員マスタ!$G$6:$G$405,$AP469)&lt;&gt;"",$L469&lt;&gt;INDEX(職員マスタ!$G$6:$G$405,$AP469)),"時短開始日がマスタと相違／","")&amp;IF(AND($M469&lt;&gt;"",INDEX(職員マスタ!$H$6:$H$405,$AP469)&lt;&gt;"",$M469&lt;&gt;INDEX(職員マスタ!$H$6:$H$405,$AP469)),"時短終了日がマスタと相違／","")))&amp;IF(AND($B469&lt;&gt;"",$E469=""),"報酬額が未入力／","")&amp;IF(N($U469)&gt;0,"申請書に入力エラーが残っています／","")&amp;IF(AND($B469&lt;&gt;"",$AQ469&lt;&gt;""),IF(COUNTIFS($B$6:$B$3005,$B469,$C$6:$C$3005,$C469,$D$6:$D$3005,$D469)&gt;1,"同じ月の請求が重複しています／",""),"")&amp;IF(AND(N($E469)&gt;0,$AB469&lt;&gt;"",$AB469&lt;&gt;"×",$AE469=0,$AD469=""),"計算額が下限以下のため不支給／",""))</f>
        <v/>
      </c>
      <c r="AN469" s="12" t="n"/>
      <c r="AO469" s="14">
        <f>IF($AF469="保留中",COUNTIF($AF$6:$AF469,"保留中"),"")</f>
        <v/>
      </c>
      <c r="AP469" s="14">
        <f>IF($AQ469="","",IF(SUMPRODUCT(MAX((職員マスタ!$A$6:$A$405=$B469)*(((職員マスタ!$G$6:$G$405="")+(職員マスタ!$G$6:$G$405&lt;=EOMONTH($AQ469,0)))&gt;0)*(((職員マスタ!$H$6:$H$405="")+(職員マスタ!$H$6:$H$405&gt;=$AQ469))&gt;0)*(ROW(職員マスタ!$A$6:$A$405)-5)))&gt;0,SUMPRODUCT(MAX((職員マスタ!$A$6:$A$405=$B469)*(((職員マスタ!$G$6:$G$405="")+(職員マスタ!$G$6:$G$405&lt;=EOMONTH($AQ469,0)))&gt;0)*(((職員マスタ!$H$6:$H$405="")+(職員マスタ!$H$6:$H$405&gt;=$AQ469))&gt;0)*(ROW(職員マスタ!$A$6:$A$405)-5))),IFERROR(MATCH($B469,職員マスタ!$A$6:$A$405,0),"")))</f>
        <v/>
      </c>
      <c r="AQ469" s="16">
        <f>IF(OR($B469="",$C469="",$D469=""),"",DATE($C469+2018,$D469,1))</f>
        <v/>
      </c>
    </row>
    <row r="470">
      <c r="A470" s="11" t="n"/>
      <c r="B470" s="12" t="n">
        <v>7141567</v>
      </c>
      <c r="C470" s="12" t="n">
        <v>7</v>
      </c>
      <c r="D470" s="12" t="n">
        <v>12</v>
      </c>
      <c r="E470" s="13" t="n">
        <v>212087</v>
      </c>
      <c r="F470" s="12" t="n"/>
      <c r="G470" s="13" t="n"/>
      <c r="H470" s="12" t="n"/>
      <c r="I470" s="12" t="n"/>
      <c r="J470" s="12" t="n"/>
      <c r="K470" s="12" t="n"/>
      <c r="L470" s="11" t="n"/>
      <c r="M470" s="11" t="n"/>
      <c r="N470" s="11" t="n"/>
      <c r="O470" s="11" t="n"/>
      <c r="P470" s="12" t="n"/>
      <c r="Q470" s="11" t="n"/>
      <c r="R470" s="12" t="n"/>
      <c r="S470" s="11" t="n"/>
      <c r="T470" s="12" t="n"/>
      <c r="U470" s="12" t="n"/>
      <c r="V470" s="12" t="n"/>
      <c r="W470" s="13" t="n"/>
      <c r="X470" s="14">
        <f>IF($AP470="",IF($B470="","",$H470),IF(INDEX(職員マスタ!$B$6:$B$405,$AP470)="",$H470,INDEX(職員マスタ!$B$6:$B$405,$AP470)))</f>
        <v/>
      </c>
      <c r="Y470" s="14">
        <f>IF($AP470="",IF($B470="","",$R470),IF(INDEX(職員マスタ!$C$6:$C$405,$AP470)="",$R470,INDEX(職員マスタ!$C$6:$C$405,$AP470)))</f>
        <v/>
      </c>
      <c r="Z470" s="14">
        <f>IF($AQ470="","","R"&amp;$C470&amp;"."&amp;$D470)</f>
        <v/>
      </c>
      <c r="AA470" s="15">
        <f>IF(IF($AP470="",FALSE,INDEX(職員マスタ!$K$6:$K$405,$AP470)&lt;&gt;""),INDEX(職員マスタ!$K$6:$K$405,$AP470),IF(N($W470)&gt;0,$W470,""))</f>
        <v/>
      </c>
      <c r="AB470" s="14">
        <f>IF(OR($E470="",$AA470=""),"",IF($E470&gt;=$AA470,"×",IF($E470&gt;=$AA470*設定!$C$5,"△","○")))</f>
        <v/>
      </c>
      <c r="AC470" s="15">
        <f>IF($AB470="","",IF($AB470="×",0,IF($AB470="○",ROUNDDOWN($E470*設定!$C$4,0),ROUNDDOWN($E470*ROUND((9*$AA470-9*$E470)/(10*$E470),4),0))))</f>
        <v/>
      </c>
      <c r="AD470" s="13" t="n"/>
      <c r="AE470" s="15">
        <f>IF($B470="","",IF($AD470&lt;&gt;"",$AD470,IF($AC470="","",IF($AC470&lt;=設定!$C$3,0,$AC470))))</f>
        <v/>
      </c>
      <c r="AF470" s="14">
        <f>IF($B470="","",IF(AND($AG470&lt;&gt;"",$AI470="",$AL470=""),"保留中",IF($AL470&lt;&gt;"",IF(N($AE470)&gt;0,"支給済","不支給"),IF($AE470="","要確認",IF($AE470=0,"不支給","未処理")))))</f>
        <v/>
      </c>
      <c r="AG470" s="12" t="n"/>
      <c r="AH470" s="11" t="n"/>
      <c r="AI470" s="11" t="n"/>
      <c r="AJ470" s="11" t="n"/>
      <c r="AK470" s="14">
        <f>IF(AND($AF470="保留中",$AH470&lt;&gt;""),TODAY()-$AH470,"")</f>
        <v/>
      </c>
      <c r="AL470" s="12" t="inlineStr">
        <is>
          <t>R8.2</t>
        </is>
      </c>
      <c r="AM470" s="14">
        <f>IF($B470="","",IF($AQ470="","対象年月が未入力／","")&amp;IF($B470="","",IF($AP470="","職員マスタに未登録の職員番号／",IF($AA470="","標準報酬月額が未登録／","")&amp;IF(AND($AQ470&lt;&gt;"",OR(AND(INDEX(職員マスタ!$G$6:$G$405,$AP470)&lt;&gt;"",INDEX(職員マスタ!$G$6:$G$405,$AP470)&gt;EOMONTH($AQ470,0)),AND(INDEX(職員マスタ!$H$6:$H$405,$AP470)&lt;&gt;"",INDEX(職員マスタ!$H$6:$H$405,$AP470)&lt;$AQ470))),"対象月が時短期間外／","")&amp;IF(AND(INDEX(職員マスタ!$K$6:$K$405,$AP470)&lt;&gt;"",N($W470)&gt;0,INDEX(職員マスタ!$K$6:$K$405,$AP470)&lt;&gt;$W470),"標準報酬月額が申請書と相違（台帳"&amp;TEXT(INDEX(職員マスタ!$K$6:$K$405,$AP470),"#,##0")&amp;"円／申請書"&amp;TEXT($W470,"#,##0")&amp;"円）／","")&amp;IF(AND(INDEX(職員マスタ!$F$6:$F$405,$AP470)&lt;&gt;"",$AQ470&lt;&gt;"",INDEX(職員マスタ!$F$6:$F$405,$AP470)&lt;$AQ470),"対象月に子が2歳到達済／","")&amp;IF(AND($H470&lt;&gt;"",INDEX(職員マスタ!$B$6:$B$405,$AP470)&lt;&gt;"",SUBSTITUTE(SUBSTITUTE($H470," ","")," ","")&lt;&gt;SUBSTITUTE(SUBSTITUTE(INDEX(職員マスタ!$B$6:$B$405,$AP470)," ","")," ","")),"氏名がマスタと相違／","")&amp;IF(AND($Q470&lt;&gt;"",INDEX(職員マスタ!$E$6:$E$405,$AP470)&lt;&gt;"",$Q470&lt;&gt;INDEX(職員マスタ!$E$6:$E$405,$AP470)),"子の生年月日がマスタと相違／","")&amp;IF(AND($L470&lt;&gt;"",INDEX(職員マスタ!$G$6:$G$405,$AP470)&lt;&gt;"",$L470&lt;&gt;INDEX(職員マスタ!$G$6:$G$405,$AP470)),"時短開始日がマスタと相違／","")&amp;IF(AND($M470&lt;&gt;"",INDEX(職員マスタ!$H$6:$H$405,$AP470)&lt;&gt;"",$M470&lt;&gt;INDEX(職員マスタ!$H$6:$H$405,$AP470)),"時短終了日がマスタと相違／","")))&amp;IF(AND($B470&lt;&gt;"",$E470=""),"報酬額が未入力／","")&amp;IF(N($U470)&gt;0,"申請書に入力エラーが残っています／","")&amp;IF(AND($B470&lt;&gt;"",$AQ470&lt;&gt;""),IF(COUNTIFS($B$6:$B$3005,$B470,$C$6:$C$3005,$C470,$D$6:$D$3005,$D470)&gt;1,"同じ月の請求が重複しています／",""),"")&amp;IF(AND(N($E470)&gt;0,$AB470&lt;&gt;"",$AB470&lt;&gt;"×",$AE470=0,$AD470=""),"計算額が下限以下のため不支給／",""))</f>
        <v/>
      </c>
      <c r="AN470" s="12" t="n"/>
      <c r="AO470" s="14">
        <f>IF($AF470="保留中",COUNTIF($AF$6:$AF470,"保留中"),"")</f>
        <v/>
      </c>
      <c r="AP470" s="14">
        <f>IF($AQ470="","",IF(SUMPRODUCT(MAX((職員マスタ!$A$6:$A$405=$B470)*(((職員マスタ!$G$6:$G$405="")+(職員マスタ!$G$6:$G$405&lt;=EOMONTH($AQ470,0)))&gt;0)*(((職員マスタ!$H$6:$H$405="")+(職員マスタ!$H$6:$H$405&gt;=$AQ470))&gt;0)*(ROW(職員マスタ!$A$6:$A$405)-5)))&gt;0,SUMPRODUCT(MAX((職員マスタ!$A$6:$A$405=$B470)*(((職員マスタ!$G$6:$G$405="")+(職員マスタ!$G$6:$G$405&lt;=EOMONTH($AQ470,0)))&gt;0)*(((職員マスタ!$H$6:$H$405="")+(職員マスタ!$H$6:$H$405&gt;=$AQ470))&gt;0)*(ROW(職員マスタ!$A$6:$A$405)-5))),IFERROR(MATCH($B470,職員マスタ!$A$6:$A$405,0),"")))</f>
        <v/>
      </c>
      <c r="AQ470" s="16">
        <f>IF(OR($B470="",$C470="",$D470=""),"",DATE($C470+2018,$D470,1))</f>
        <v/>
      </c>
    </row>
    <row r="471">
      <c r="A471" s="11" t="n"/>
      <c r="B471" s="12" t="n">
        <v>7141567</v>
      </c>
      <c r="C471" s="12" t="n">
        <v>8</v>
      </c>
      <c r="D471" s="12" t="n">
        <v>1</v>
      </c>
      <c r="E471" s="13" t="n">
        <v>208725</v>
      </c>
      <c r="F471" s="12" t="n"/>
      <c r="G471" s="13" t="n"/>
      <c r="H471" s="12" t="n"/>
      <c r="I471" s="12" t="n"/>
      <c r="J471" s="12" t="n"/>
      <c r="K471" s="12" t="n"/>
      <c r="L471" s="11" t="n"/>
      <c r="M471" s="11" t="n"/>
      <c r="N471" s="11" t="n"/>
      <c r="O471" s="11" t="n"/>
      <c r="P471" s="12" t="n"/>
      <c r="Q471" s="11" t="n"/>
      <c r="R471" s="12" t="n"/>
      <c r="S471" s="11" t="n"/>
      <c r="T471" s="12" t="n"/>
      <c r="U471" s="12" t="n"/>
      <c r="V471" s="12" t="n"/>
      <c r="W471" s="13" t="n"/>
      <c r="X471" s="14">
        <f>IF($AP471="",IF($B471="","",$H471),IF(INDEX(職員マスタ!$B$6:$B$405,$AP471)="",$H471,INDEX(職員マスタ!$B$6:$B$405,$AP471)))</f>
        <v/>
      </c>
      <c r="Y471" s="14">
        <f>IF($AP471="",IF($B471="","",$R471),IF(INDEX(職員マスタ!$C$6:$C$405,$AP471)="",$R471,INDEX(職員マスタ!$C$6:$C$405,$AP471)))</f>
        <v/>
      </c>
      <c r="Z471" s="14">
        <f>IF($AQ471="","","R"&amp;$C471&amp;"."&amp;$D471)</f>
        <v/>
      </c>
      <c r="AA471" s="15">
        <f>IF(IF($AP471="",FALSE,INDEX(職員マスタ!$K$6:$K$405,$AP471)&lt;&gt;""),INDEX(職員マスタ!$K$6:$K$405,$AP471),IF(N($W471)&gt;0,$W471,""))</f>
        <v/>
      </c>
      <c r="AB471" s="14">
        <f>IF(OR($E471="",$AA471=""),"",IF($E471&gt;=$AA471,"×",IF($E471&gt;=$AA471*設定!$C$5,"△","○")))</f>
        <v/>
      </c>
      <c r="AC471" s="15">
        <f>IF($AB471="","",IF($AB471="×",0,IF($AB471="○",ROUNDDOWN($E471*設定!$C$4,0),ROUNDDOWN($E471*ROUND((9*$AA471-9*$E471)/(10*$E471),4),0))))</f>
        <v/>
      </c>
      <c r="AD471" s="13" t="n"/>
      <c r="AE471" s="15">
        <f>IF($B471="","",IF($AD471&lt;&gt;"",$AD471,IF($AC471="","",IF($AC471&lt;=設定!$C$3,0,$AC471))))</f>
        <v/>
      </c>
      <c r="AF471" s="14">
        <f>IF($B471="","",IF(AND($AG471&lt;&gt;"",$AI471="",$AL471=""),"保留中",IF($AL471&lt;&gt;"",IF(N($AE471)&gt;0,"支給済","不支給"),IF($AE471="","要確認",IF($AE471=0,"不支給","未処理")))))</f>
        <v/>
      </c>
      <c r="AG471" s="12" t="n"/>
      <c r="AH471" s="11" t="n"/>
      <c r="AI471" s="11" t="n"/>
      <c r="AJ471" s="11" t="n"/>
      <c r="AK471" s="14">
        <f>IF(AND($AF471="保留中",$AH471&lt;&gt;""),TODAY()-$AH471,"")</f>
        <v/>
      </c>
      <c r="AL471" s="12" t="inlineStr">
        <is>
          <t>R8.5</t>
        </is>
      </c>
      <c r="AM471" s="14">
        <f>IF($B471="","",IF($AQ471="","対象年月が未入力／","")&amp;IF($B471="","",IF($AP471="","職員マスタに未登録の職員番号／",IF($AA471="","標準報酬月額が未登録／","")&amp;IF(AND($AQ471&lt;&gt;"",OR(AND(INDEX(職員マスタ!$G$6:$G$405,$AP471)&lt;&gt;"",INDEX(職員マスタ!$G$6:$G$405,$AP471)&gt;EOMONTH($AQ471,0)),AND(INDEX(職員マスタ!$H$6:$H$405,$AP471)&lt;&gt;"",INDEX(職員マスタ!$H$6:$H$405,$AP471)&lt;$AQ471))),"対象月が時短期間外／","")&amp;IF(AND(INDEX(職員マスタ!$K$6:$K$405,$AP471)&lt;&gt;"",N($W471)&gt;0,INDEX(職員マスタ!$K$6:$K$405,$AP471)&lt;&gt;$W471),"標準報酬月額が申請書と相違（台帳"&amp;TEXT(INDEX(職員マスタ!$K$6:$K$405,$AP471),"#,##0")&amp;"円／申請書"&amp;TEXT($W471,"#,##0")&amp;"円）／","")&amp;IF(AND(INDEX(職員マスタ!$F$6:$F$405,$AP471)&lt;&gt;"",$AQ471&lt;&gt;"",INDEX(職員マスタ!$F$6:$F$405,$AP471)&lt;$AQ471),"対象月に子が2歳到達済／","")&amp;IF(AND($H471&lt;&gt;"",INDEX(職員マスタ!$B$6:$B$405,$AP471)&lt;&gt;"",SUBSTITUTE(SUBSTITUTE($H471," ","")," ","")&lt;&gt;SUBSTITUTE(SUBSTITUTE(INDEX(職員マスタ!$B$6:$B$405,$AP471)," ","")," ","")),"氏名がマスタと相違／","")&amp;IF(AND($Q471&lt;&gt;"",INDEX(職員マスタ!$E$6:$E$405,$AP471)&lt;&gt;"",$Q471&lt;&gt;INDEX(職員マスタ!$E$6:$E$405,$AP471)),"子の生年月日がマスタと相違／","")&amp;IF(AND($L471&lt;&gt;"",INDEX(職員マスタ!$G$6:$G$405,$AP471)&lt;&gt;"",$L471&lt;&gt;INDEX(職員マスタ!$G$6:$G$405,$AP471)),"時短開始日がマスタと相違／","")&amp;IF(AND($M471&lt;&gt;"",INDEX(職員マスタ!$H$6:$H$405,$AP471)&lt;&gt;"",$M471&lt;&gt;INDEX(職員マスタ!$H$6:$H$405,$AP471)),"時短終了日がマスタと相違／","")))&amp;IF(AND($B471&lt;&gt;"",$E471=""),"報酬額が未入力／","")&amp;IF(N($U471)&gt;0,"申請書に入力エラーが残っています／","")&amp;IF(AND($B471&lt;&gt;"",$AQ471&lt;&gt;""),IF(COUNTIFS($B$6:$B$3005,$B471,$C$6:$C$3005,$C471,$D$6:$D$3005,$D471)&gt;1,"同じ月の請求が重複しています／",""),"")&amp;IF(AND(N($E471)&gt;0,$AB471&lt;&gt;"",$AB471&lt;&gt;"×",$AE471=0,$AD471=""),"計算額が下限以下のため不支給／",""))</f>
        <v/>
      </c>
      <c r="AN471" s="12" t="n"/>
      <c r="AO471" s="14">
        <f>IF($AF471="保留中",COUNTIF($AF$6:$AF471,"保留中"),"")</f>
        <v/>
      </c>
      <c r="AP471" s="14">
        <f>IF($AQ471="","",IF(SUMPRODUCT(MAX((職員マスタ!$A$6:$A$405=$B471)*(((職員マスタ!$G$6:$G$405="")+(職員マスタ!$G$6:$G$405&lt;=EOMONTH($AQ471,0)))&gt;0)*(((職員マスタ!$H$6:$H$405="")+(職員マスタ!$H$6:$H$405&gt;=$AQ471))&gt;0)*(ROW(職員マスタ!$A$6:$A$405)-5)))&gt;0,SUMPRODUCT(MAX((職員マスタ!$A$6:$A$405=$B471)*(((職員マスタ!$G$6:$G$405="")+(職員マスタ!$G$6:$G$405&lt;=EOMONTH($AQ471,0)))&gt;0)*(((職員マスタ!$H$6:$H$405="")+(職員マスタ!$H$6:$H$405&gt;=$AQ471))&gt;0)*(ROW(職員マスタ!$A$6:$A$405)-5))),IFERROR(MATCH($B471,職員マスタ!$A$6:$A$405,0),"")))</f>
        <v/>
      </c>
      <c r="AQ471" s="16">
        <f>IF(OR($B471="",$C471="",$D471=""),"",DATE($C471+2018,$D471,1))</f>
        <v/>
      </c>
    </row>
    <row r="472">
      <c r="A472" s="11" t="n"/>
      <c r="B472" s="12" t="n">
        <v>7202321</v>
      </c>
      <c r="C472" s="12" t="n">
        <v>7</v>
      </c>
      <c r="D472" s="12" t="n">
        <v>5</v>
      </c>
      <c r="E472" s="13" t="n">
        <v>174965</v>
      </c>
      <c r="F472" s="12" t="n"/>
      <c r="G472" s="13" t="n"/>
      <c r="H472" s="12" t="n"/>
      <c r="I472" s="12" t="n"/>
      <c r="J472" s="12" t="n"/>
      <c r="K472" s="12" t="n"/>
      <c r="L472" s="11" t="n"/>
      <c r="M472" s="11" t="n"/>
      <c r="N472" s="11" t="n"/>
      <c r="O472" s="11" t="n"/>
      <c r="P472" s="12" t="n"/>
      <c r="Q472" s="11" t="n"/>
      <c r="R472" s="12" t="n"/>
      <c r="S472" s="11" t="n"/>
      <c r="T472" s="12" t="n"/>
      <c r="U472" s="12" t="n"/>
      <c r="V472" s="12" t="n"/>
      <c r="W472" s="13" t="n"/>
      <c r="X472" s="14">
        <f>IF($AP472="",IF($B472="","",$H472),IF(INDEX(職員マスタ!$B$6:$B$405,$AP472)="",$H472,INDEX(職員マスタ!$B$6:$B$405,$AP472)))</f>
        <v/>
      </c>
      <c r="Y472" s="14">
        <f>IF($AP472="",IF($B472="","",$R472),IF(INDEX(職員マスタ!$C$6:$C$405,$AP472)="",$R472,INDEX(職員マスタ!$C$6:$C$405,$AP472)))</f>
        <v/>
      </c>
      <c r="Z472" s="14">
        <f>IF($AQ472="","","R"&amp;$C472&amp;"."&amp;$D472)</f>
        <v/>
      </c>
      <c r="AA472" s="15">
        <f>IF(IF($AP472="",FALSE,INDEX(職員マスタ!$K$6:$K$405,$AP472)&lt;&gt;""),INDEX(職員マスタ!$K$6:$K$405,$AP472),IF(N($W472)&gt;0,$W472,""))</f>
        <v/>
      </c>
      <c r="AB472" s="14">
        <f>IF(OR($E472="",$AA472=""),"",IF($E472&gt;=$AA472,"×",IF($E472&gt;=$AA472*設定!$C$5,"△","○")))</f>
        <v/>
      </c>
      <c r="AC472" s="15">
        <f>IF($AB472="","",IF($AB472="×",0,IF($AB472="○",ROUNDDOWN($E472*設定!$C$4,0),ROUNDDOWN($E472*ROUND((9*$AA472-9*$E472)/(10*$E472),4),0))))</f>
        <v/>
      </c>
      <c r="AD472" s="13" t="n"/>
      <c r="AE472" s="15">
        <f>IF($B472="","",IF($AD472&lt;&gt;"",$AD472,IF($AC472="","",IF($AC472&lt;=設定!$C$3,0,$AC472))))</f>
        <v/>
      </c>
      <c r="AF472" s="14">
        <f>IF($B472="","",IF(AND($AG472&lt;&gt;"",$AI472="",$AL472=""),"保留中",IF($AL472&lt;&gt;"",IF(N($AE472)&gt;0,"支給済","不支給"),IF($AE472="","要確認",IF($AE472=0,"不支給","未処理")))))</f>
        <v/>
      </c>
      <c r="AG472" s="12" t="n"/>
      <c r="AH472" s="11" t="n"/>
      <c r="AI472" s="11" t="n"/>
      <c r="AJ472" s="11" t="n"/>
      <c r="AK472" s="14">
        <f>IF(AND($AF472="保留中",$AH472&lt;&gt;""),TODAY()-$AH472,"")</f>
        <v/>
      </c>
      <c r="AL472" s="12" t="inlineStr">
        <is>
          <t>R7.8</t>
        </is>
      </c>
      <c r="AM472" s="14">
        <f>IF($B472="","",IF($AQ472="","対象年月が未入力／","")&amp;IF($B472="","",IF($AP472="","職員マスタに未登録の職員番号／",IF($AA472="","標準報酬月額が未登録／","")&amp;IF(AND($AQ472&lt;&gt;"",OR(AND(INDEX(職員マスタ!$G$6:$G$405,$AP472)&lt;&gt;"",INDEX(職員マスタ!$G$6:$G$405,$AP472)&gt;EOMONTH($AQ472,0)),AND(INDEX(職員マスタ!$H$6:$H$405,$AP472)&lt;&gt;"",INDEX(職員マスタ!$H$6:$H$405,$AP472)&lt;$AQ472))),"対象月が時短期間外／","")&amp;IF(AND(INDEX(職員マスタ!$K$6:$K$405,$AP472)&lt;&gt;"",N($W472)&gt;0,INDEX(職員マスタ!$K$6:$K$405,$AP472)&lt;&gt;$W472),"標準報酬月額が申請書と相違（台帳"&amp;TEXT(INDEX(職員マスタ!$K$6:$K$405,$AP472),"#,##0")&amp;"円／申請書"&amp;TEXT($W472,"#,##0")&amp;"円）／","")&amp;IF(AND(INDEX(職員マスタ!$F$6:$F$405,$AP472)&lt;&gt;"",$AQ472&lt;&gt;"",INDEX(職員マスタ!$F$6:$F$405,$AP472)&lt;$AQ472),"対象月に子が2歳到達済／","")&amp;IF(AND($H472&lt;&gt;"",INDEX(職員マスタ!$B$6:$B$405,$AP472)&lt;&gt;"",SUBSTITUTE(SUBSTITUTE($H472," ","")," ","")&lt;&gt;SUBSTITUTE(SUBSTITUTE(INDEX(職員マスタ!$B$6:$B$405,$AP472)," ","")," ","")),"氏名がマスタと相違／","")&amp;IF(AND($Q472&lt;&gt;"",INDEX(職員マスタ!$E$6:$E$405,$AP472)&lt;&gt;"",$Q472&lt;&gt;INDEX(職員マスタ!$E$6:$E$405,$AP472)),"子の生年月日がマスタと相違／","")&amp;IF(AND($L472&lt;&gt;"",INDEX(職員マスタ!$G$6:$G$405,$AP472)&lt;&gt;"",$L472&lt;&gt;INDEX(職員マスタ!$G$6:$G$405,$AP472)),"時短開始日がマスタと相違／","")&amp;IF(AND($M472&lt;&gt;"",INDEX(職員マスタ!$H$6:$H$405,$AP472)&lt;&gt;"",$M472&lt;&gt;INDEX(職員マスタ!$H$6:$H$405,$AP472)),"時短終了日がマスタと相違／","")))&amp;IF(AND($B472&lt;&gt;"",$E472=""),"報酬額が未入力／","")&amp;IF(N($U472)&gt;0,"申請書に入力エラーが残っています／","")&amp;IF(AND($B472&lt;&gt;"",$AQ472&lt;&gt;""),IF(COUNTIFS($B$6:$B$3005,$B472,$C$6:$C$3005,$C472,$D$6:$D$3005,$D472)&gt;1,"同じ月の請求が重複しています／",""),"")&amp;IF(AND(N($E472)&gt;0,$AB472&lt;&gt;"",$AB472&lt;&gt;"×",$AE472=0,$AD472=""),"計算額が下限以下のため不支給／",""))</f>
        <v/>
      </c>
      <c r="AN472" s="12" t="n"/>
      <c r="AO472" s="14">
        <f>IF($AF472="保留中",COUNTIF($AF$6:$AF472,"保留中"),"")</f>
        <v/>
      </c>
      <c r="AP472" s="14">
        <f>IF($AQ472="","",IF(SUMPRODUCT(MAX((職員マスタ!$A$6:$A$405=$B472)*(((職員マスタ!$G$6:$G$405="")+(職員マスタ!$G$6:$G$405&lt;=EOMONTH($AQ472,0)))&gt;0)*(((職員マスタ!$H$6:$H$405="")+(職員マスタ!$H$6:$H$405&gt;=$AQ472))&gt;0)*(ROW(職員マスタ!$A$6:$A$405)-5)))&gt;0,SUMPRODUCT(MAX((職員マスタ!$A$6:$A$405=$B472)*(((職員マスタ!$G$6:$G$405="")+(職員マスタ!$G$6:$G$405&lt;=EOMONTH($AQ472,0)))&gt;0)*(((職員マスタ!$H$6:$H$405="")+(職員マスタ!$H$6:$H$405&gt;=$AQ472))&gt;0)*(ROW(職員マスタ!$A$6:$A$405)-5))),IFERROR(MATCH($B472,職員マスタ!$A$6:$A$405,0),"")))</f>
        <v/>
      </c>
      <c r="AQ472" s="16">
        <f>IF(OR($B472="",$C472="",$D472=""),"",DATE($C472+2018,$D472,1))</f>
        <v/>
      </c>
    </row>
    <row r="473">
      <c r="A473" s="11" t="n"/>
      <c r="B473" s="12" t="n">
        <v>7202321</v>
      </c>
      <c r="C473" s="12" t="n">
        <v>7</v>
      </c>
      <c r="D473" s="12" t="n">
        <v>6</v>
      </c>
      <c r="E473" s="13" t="n">
        <v>178603</v>
      </c>
      <c r="F473" s="12" t="n"/>
      <c r="G473" s="13" t="n"/>
      <c r="H473" s="12" t="n"/>
      <c r="I473" s="12" t="n"/>
      <c r="J473" s="12" t="n"/>
      <c r="K473" s="12" t="n"/>
      <c r="L473" s="11" t="n"/>
      <c r="M473" s="11" t="n"/>
      <c r="N473" s="11" t="n"/>
      <c r="O473" s="11" t="n"/>
      <c r="P473" s="12" t="n"/>
      <c r="Q473" s="11" t="n"/>
      <c r="R473" s="12" t="n"/>
      <c r="S473" s="11" t="n"/>
      <c r="T473" s="12" t="n"/>
      <c r="U473" s="12" t="n"/>
      <c r="V473" s="12" t="n"/>
      <c r="W473" s="13" t="n"/>
      <c r="X473" s="14">
        <f>IF($AP473="",IF($B473="","",$H473),IF(INDEX(職員マスタ!$B$6:$B$405,$AP473)="",$H473,INDEX(職員マスタ!$B$6:$B$405,$AP473)))</f>
        <v/>
      </c>
      <c r="Y473" s="14">
        <f>IF($AP473="",IF($B473="","",$R473),IF(INDEX(職員マスタ!$C$6:$C$405,$AP473)="",$R473,INDEX(職員マスタ!$C$6:$C$405,$AP473)))</f>
        <v/>
      </c>
      <c r="Z473" s="14">
        <f>IF($AQ473="","","R"&amp;$C473&amp;"."&amp;$D473)</f>
        <v/>
      </c>
      <c r="AA473" s="15">
        <f>IF(IF($AP473="",FALSE,INDEX(職員マスタ!$K$6:$K$405,$AP473)&lt;&gt;""),INDEX(職員マスタ!$K$6:$K$405,$AP473),IF(N($W473)&gt;0,$W473,""))</f>
        <v/>
      </c>
      <c r="AB473" s="14">
        <f>IF(OR($E473="",$AA473=""),"",IF($E473&gt;=$AA473,"×",IF($E473&gt;=$AA473*設定!$C$5,"△","○")))</f>
        <v/>
      </c>
      <c r="AC473" s="15">
        <f>IF($AB473="","",IF($AB473="×",0,IF($AB473="○",ROUNDDOWN($E473*設定!$C$4,0),ROUNDDOWN($E473*ROUND((9*$AA473-9*$E473)/(10*$E473),4),0))))</f>
        <v/>
      </c>
      <c r="AD473" s="13" t="n"/>
      <c r="AE473" s="15">
        <f>IF($B473="","",IF($AD473&lt;&gt;"",$AD473,IF($AC473="","",IF($AC473&lt;=設定!$C$3,0,$AC473))))</f>
        <v/>
      </c>
      <c r="AF473" s="14">
        <f>IF($B473="","",IF(AND($AG473&lt;&gt;"",$AI473="",$AL473=""),"保留中",IF($AL473&lt;&gt;"",IF(N($AE473)&gt;0,"支給済","不支給"),IF($AE473="","要確認",IF($AE473=0,"不支給","未処理")))))</f>
        <v/>
      </c>
      <c r="AG473" s="12" t="n"/>
      <c r="AH473" s="11" t="n"/>
      <c r="AI473" s="11" t="n"/>
      <c r="AJ473" s="11" t="n"/>
      <c r="AK473" s="14">
        <f>IF(AND($AF473="保留中",$AH473&lt;&gt;""),TODAY()-$AH473,"")</f>
        <v/>
      </c>
      <c r="AL473" s="12" t="inlineStr">
        <is>
          <t>R7.8</t>
        </is>
      </c>
      <c r="AM473" s="14">
        <f>IF($B473="","",IF($AQ473="","対象年月が未入力／","")&amp;IF($B473="","",IF($AP473="","職員マスタに未登録の職員番号／",IF($AA473="","標準報酬月額が未登録／","")&amp;IF(AND($AQ473&lt;&gt;"",OR(AND(INDEX(職員マスタ!$G$6:$G$405,$AP473)&lt;&gt;"",INDEX(職員マスタ!$G$6:$G$405,$AP473)&gt;EOMONTH($AQ473,0)),AND(INDEX(職員マスタ!$H$6:$H$405,$AP473)&lt;&gt;"",INDEX(職員マスタ!$H$6:$H$405,$AP473)&lt;$AQ473))),"対象月が時短期間外／","")&amp;IF(AND(INDEX(職員マスタ!$K$6:$K$405,$AP473)&lt;&gt;"",N($W473)&gt;0,INDEX(職員マスタ!$K$6:$K$405,$AP473)&lt;&gt;$W473),"標準報酬月額が申請書と相違（台帳"&amp;TEXT(INDEX(職員マスタ!$K$6:$K$405,$AP473),"#,##0")&amp;"円／申請書"&amp;TEXT($W473,"#,##0")&amp;"円）／","")&amp;IF(AND(INDEX(職員マスタ!$F$6:$F$405,$AP473)&lt;&gt;"",$AQ473&lt;&gt;"",INDEX(職員マスタ!$F$6:$F$405,$AP473)&lt;$AQ473),"対象月に子が2歳到達済／","")&amp;IF(AND($H473&lt;&gt;"",INDEX(職員マスタ!$B$6:$B$405,$AP473)&lt;&gt;"",SUBSTITUTE(SUBSTITUTE($H473," ","")," ","")&lt;&gt;SUBSTITUTE(SUBSTITUTE(INDEX(職員マスタ!$B$6:$B$405,$AP473)," ","")," ","")),"氏名がマスタと相違／","")&amp;IF(AND($Q473&lt;&gt;"",INDEX(職員マスタ!$E$6:$E$405,$AP473)&lt;&gt;"",$Q473&lt;&gt;INDEX(職員マスタ!$E$6:$E$405,$AP473)),"子の生年月日がマスタと相違／","")&amp;IF(AND($L473&lt;&gt;"",INDEX(職員マスタ!$G$6:$G$405,$AP473)&lt;&gt;"",$L473&lt;&gt;INDEX(職員マスタ!$G$6:$G$405,$AP473)),"時短開始日がマスタと相違／","")&amp;IF(AND($M473&lt;&gt;"",INDEX(職員マスタ!$H$6:$H$405,$AP473)&lt;&gt;"",$M473&lt;&gt;INDEX(職員マスタ!$H$6:$H$405,$AP473)),"時短終了日がマスタと相違／","")))&amp;IF(AND($B473&lt;&gt;"",$E473=""),"報酬額が未入力／","")&amp;IF(N($U473)&gt;0,"申請書に入力エラーが残っています／","")&amp;IF(AND($B473&lt;&gt;"",$AQ473&lt;&gt;""),IF(COUNTIFS($B$6:$B$3005,$B473,$C$6:$C$3005,$C473,$D$6:$D$3005,$D473)&gt;1,"同じ月の請求が重複しています／",""),"")&amp;IF(AND(N($E473)&gt;0,$AB473&lt;&gt;"",$AB473&lt;&gt;"×",$AE473=0,$AD473=""),"計算額が下限以下のため不支給／",""))</f>
        <v/>
      </c>
      <c r="AN473" s="12" t="n"/>
      <c r="AO473" s="14">
        <f>IF($AF473="保留中",COUNTIF($AF$6:$AF473,"保留中"),"")</f>
        <v/>
      </c>
      <c r="AP473" s="14">
        <f>IF($AQ473="","",IF(SUMPRODUCT(MAX((職員マスタ!$A$6:$A$405=$B473)*(((職員マスタ!$G$6:$G$405="")+(職員マスタ!$G$6:$G$405&lt;=EOMONTH($AQ473,0)))&gt;0)*(((職員マスタ!$H$6:$H$405="")+(職員マスタ!$H$6:$H$405&gt;=$AQ473))&gt;0)*(ROW(職員マスタ!$A$6:$A$405)-5)))&gt;0,SUMPRODUCT(MAX((職員マスタ!$A$6:$A$405=$B473)*(((職員マスタ!$G$6:$G$405="")+(職員マスタ!$G$6:$G$405&lt;=EOMONTH($AQ473,0)))&gt;0)*(((職員マスタ!$H$6:$H$405="")+(職員マスタ!$H$6:$H$405&gt;=$AQ473))&gt;0)*(ROW(職員マスタ!$A$6:$A$405)-5))),IFERROR(MATCH($B473,職員マスタ!$A$6:$A$405,0),"")))</f>
        <v/>
      </c>
      <c r="AQ473" s="16">
        <f>IF(OR($B473="",$C473="",$D473=""),"",DATE($C473+2018,$D473,1))</f>
        <v/>
      </c>
    </row>
    <row r="474">
      <c r="A474" s="11" t="n"/>
      <c r="B474" s="12" t="n">
        <v>7202321</v>
      </c>
      <c r="C474" s="12" t="n">
        <v>7</v>
      </c>
      <c r="D474" s="12" t="n">
        <v>7</v>
      </c>
      <c r="E474" s="13" t="n">
        <v>178603</v>
      </c>
      <c r="F474" s="12" t="n"/>
      <c r="G474" s="13" t="n"/>
      <c r="H474" s="12" t="n"/>
      <c r="I474" s="12" t="n"/>
      <c r="J474" s="12" t="n"/>
      <c r="K474" s="12" t="n"/>
      <c r="L474" s="11" t="n"/>
      <c r="M474" s="11" t="n"/>
      <c r="N474" s="11" t="n"/>
      <c r="O474" s="11" t="n"/>
      <c r="P474" s="12" t="n"/>
      <c r="Q474" s="11" t="n"/>
      <c r="R474" s="12" t="n"/>
      <c r="S474" s="11" t="n"/>
      <c r="T474" s="12" t="n"/>
      <c r="U474" s="12" t="n"/>
      <c r="V474" s="12" t="n"/>
      <c r="W474" s="13" t="n"/>
      <c r="X474" s="14">
        <f>IF($AP474="",IF($B474="","",$H474),IF(INDEX(職員マスタ!$B$6:$B$405,$AP474)="",$H474,INDEX(職員マスタ!$B$6:$B$405,$AP474)))</f>
        <v/>
      </c>
      <c r="Y474" s="14">
        <f>IF($AP474="",IF($B474="","",$R474),IF(INDEX(職員マスタ!$C$6:$C$405,$AP474)="",$R474,INDEX(職員マスタ!$C$6:$C$405,$AP474)))</f>
        <v/>
      </c>
      <c r="Z474" s="14">
        <f>IF($AQ474="","","R"&amp;$C474&amp;"."&amp;$D474)</f>
        <v/>
      </c>
      <c r="AA474" s="15">
        <f>IF(IF($AP474="",FALSE,INDEX(職員マスタ!$K$6:$K$405,$AP474)&lt;&gt;""),INDEX(職員マスタ!$K$6:$K$405,$AP474),IF(N($W474)&gt;0,$W474,""))</f>
        <v/>
      </c>
      <c r="AB474" s="14">
        <f>IF(OR($E474="",$AA474=""),"",IF($E474&gt;=$AA474,"×",IF($E474&gt;=$AA474*設定!$C$5,"△","○")))</f>
        <v/>
      </c>
      <c r="AC474" s="15">
        <f>IF($AB474="","",IF($AB474="×",0,IF($AB474="○",ROUNDDOWN($E474*設定!$C$4,0),ROUNDDOWN($E474*ROUND((9*$AA474-9*$E474)/(10*$E474),4),0))))</f>
        <v/>
      </c>
      <c r="AD474" s="13" t="n"/>
      <c r="AE474" s="15">
        <f>IF($B474="","",IF($AD474&lt;&gt;"",$AD474,IF($AC474="","",IF($AC474&lt;=設定!$C$3,0,$AC474))))</f>
        <v/>
      </c>
      <c r="AF474" s="14">
        <f>IF($B474="","",IF(AND($AG474&lt;&gt;"",$AI474="",$AL474=""),"保留中",IF($AL474&lt;&gt;"",IF(N($AE474)&gt;0,"支給済","不支給"),IF($AE474="","要確認",IF($AE474=0,"不支給","未処理")))))</f>
        <v/>
      </c>
      <c r="AG474" s="12" t="n"/>
      <c r="AH474" s="11" t="n"/>
      <c r="AI474" s="11" t="n"/>
      <c r="AJ474" s="11" t="n"/>
      <c r="AK474" s="14">
        <f>IF(AND($AF474="保留中",$AH474&lt;&gt;""),TODAY()-$AH474,"")</f>
        <v/>
      </c>
      <c r="AL474" s="12" t="inlineStr">
        <is>
          <t>R7.9</t>
        </is>
      </c>
      <c r="AM474" s="14">
        <f>IF($B474="","",IF($AQ474="","対象年月が未入力／","")&amp;IF($B474="","",IF($AP474="","職員マスタに未登録の職員番号／",IF($AA474="","標準報酬月額が未登録／","")&amp;IF(AND($AQ474&lt;&gt;"",OR(AND(INDEX(職員マスタ!$G$6:$G$405,$AP474)&lt;&gt;"",INDEX(職員マスタ!$G$6:$G$405,$AP474)&gt;EOMONTH($AQ474,0)),AND(INDEX(職員マスタ!$H$6:$H$405,$AP474)&lt;&gt;"",INDEX(職員マスタ!$H$6:$H$405,$AP474)&lt;$AQ474))),"対象月が時短期間外／","")&amp;IF(AND(INDEX(職員マスタ!$K$6:$K$405,$AP474)&lt;&gt;"",N($W474)&gt;0,INDEX(職員マスタ!$K$6:$K$405,$AP474)&lt;&gt;$W474),"標準報酬月額が申請書と相違（台帳"&amp;TEXT(INDEX(職員マスタ!$K$6:$K$405,$AP474),"#,##0")&amp;"円／申請書"&amp;TEXT($W474,"#,##0")&amp;"円）／","")&amp;IF(AND(INDEX(職員マスタ!$F$6:$F$405,$AP474)&lt;&gt;"",$AQ474&lt;&gt;"",INDEX(職員マスタ!$F$6:$F$405,$AP474)&lt;$AQ474),"対象月に子が2歳到達済／","")&amp;IF(AND($H474&lt;&gt;"",INDEX(職員マスタ!$B$6:$B$405,$AP474)&lt;&gt;"",SUBSTITUTE(SUBSTITUTE($H474," ","")," ","")&lt;&gt;SUBSTITUTE(SUBSTITUTE(INDEX(職員マスタ!$B$6:$B$405,$AP474)," ","")," ","")),"氏名がマスタと相違／","")&amp;IF(AND($Q474&lt;&gt;"",INDEX(職員マスタ!$E$6:$E$405,$AP474)&lt;&gt;"",$Q474&lt;&gt;INDEX(職員マスタ!$E$6:$E$405,$AP474)),"子の生年月日がマスタと相違／","")&amp;IF(AND($L474&lt;&gt;"",INDEX(職員マスタ!$G$6:$G$405,$AP474)&lt;&gt;"",$L474&lt;&gt;INDEX(職員マスタ!$G$6:$G$405,$AP474)),"時短開始日がマスタと相違／","")&amp;IF(AND($M474&lt;&gt;"",INDEX(職員マスタ!$H$6:$H$405,$AP474)&lt;&gt;"",$M474&lt;&gt;INDEX(職員マスタ!$H$6:$H$405,$AP474)),"時短終了日がマスタと相違／","")))&amp;IF(AND($B474&lt;&gt;"",$E474=""),"報酬額が未入力／","")&amp;IF(N($U474)&gt;0,"申請書に入力エラーが残っています／","")&amp;IF(AND($B474&lt;&gt;"",$AQ474&lt;&gt;""),IF(COUNTIFS($B$6:$B$3005,$B474,$C$6:$C$3005,$C474,$D$6:$D$3005,$D474)&gt;1,"同じ月の請求が重複しています／",""),"")&amp;IF(AND(N($E474)&gt;0,$AB474&lt;&gt;"",$AB474&lt;&gt;"×",$AE474=0,$AD474=""),"計算額が下限以下のため不支給／",""))</f>
        <v/>
      </c>
      <c r="AN474" s="12" t="n"/>
      <c r="AO474" s="14">
        <f>IF($AF474="保留中",COUNTIF($AF$6:$AF474,"保留中"),"")</f>
        <v/>
      </c>
      <c r="AP474" s="14">
        <f>IF($AQ474="","",IF(SUMPRODUCT(MAX((職員マスタ!$A$6:$A$405=$B474)*(((職員マスタ!$G$6:$G$405="")+(職員マスタ!$G$6:$G$405&lt;=EOMONTH($AQ474,0)))&gt;0)*(((職員マスタ!$H$6:$H$405="")+(職員マスタ!$H$6:$H$405&gt;=$AQ474))&gt;0)*(ROW(職員マスタ!$A$6:$A$405)-5)))&gt;0,SUMPRODUCT(MAX((職員マスタ!$A$6:$A$405=$B474)*(((職員マスタ!$G$6:$G$405="")+(職員マスタ!$G$6:$G$405&lt;=EOMONTH($AQ474,0)))&gt;0)*(((職員マスタ!$H$6:$H$405="")+(職員マスタ!$H$6:$H$405&gt;=$AQ474))&gt;0)*(ROW(職員マスタ!$A$6:$A$405)-5))),IFERROR(MATCH($B474,職員マスタ!$A$6:$A$405,0),"")))</f>
        <v/>
      </c>
      <c r="AQ474" s="16">
        <f>IF(OR($B474="",$C474="",$D474=""),"",DATE($C474+2018,$D474,1))</f>
        <v/>
      </c>
    </row>
    <row r="475">
      <c r="A475" s="11" t="n"/>
      <c r="B475" s="12" t="n">
        <v>7202321</v>
      </c>
      <c r="C475" s="12" t="n">
        <v>7</v>
      </c>
      <c r="D475" s="12" t="n">
        <v>8</v>
      </c>
      <c r="E475" s="13" t="n">
        <v>178603</v>
      </c>
      <c r="F475" s="12" t="n"/>
      <c r="G475" s="13" t="n"/>
      <c r="H475" s="12" t="n"/>
      <c r="I475" s="12" t="n"/>
      <c r="J475" s="12" t="n"/>
      <c r="K475" s="12" t="n"/>
      <c r="L475" s="11" t="n"/>
      <c r="M475" s="11" t="n"/>
      <c r="N475" s="11" t="n"/>
      <c r="O475" s="11" t="n"/>
      <c r="P475" s="12" t="n"/>
      <c r="Q475" s="11" t="n"/>
      <c r="R475" s="12" t="n"/>
      <c r="S475" s="11" t="n"/>
      <c r="T475" s="12" t="n"/>
      <c r="U475" s="12" t="n"/>
      <c r="V475" s="12" t="n"/>
      <c r="W475" s="13" t="n"/>
      <c r="X475" s="14">
        <f>IF($AP475="",IF($B475="","",$H475),IF(INDEX(職員マスタ!$B$6:$B$405,$AP475)="",$H475,INDEX(職員マスタ!$B$6:$B$405,$AP475)))</f>
        <v/>
      </c>
      <c r="Y475" s="14">
        <f>IF($AP475="",IF($B475="","",$R475),IF(INDEX(職員マスタ!$C$6:$C$405,$AP475)="",$R475,INDEX(職員マスタ!$C$6:$C$405,$AP475)))</f>
        <v/>
      </c>
      <c r="Z475" s="14">
        <f>IF($AQ475="","","R"&amp;$C475&amp;"."&amp;$D475)</f>
        <v/>
      </c>
      <c r="AA475" s="15">
        <f>IF(IF($AP475="",FALSE,INDEX(職員マスタ!$K$6:$K$405,$AP475)&lt;&gt;""),INDEX(職員マスタ!$K$6:$K$405,$AP475),IF(N($W475)&gt;0,$W475,""))</f>
        <v/>
      </c>
      <c r="AB475" s="14">
        <f>IF(OR($E475="",$AA475=""),"",IF($E475&gt;=$AA475,"×",IF($E475&gt;=$AA475*設定!$C$5,"△","○")))</f>
        <v/>
      </c>
      <c r="AC475" s="15">
        <f>IF($AB475="","",IF($AB475="×",0,IF($AB475="○",ROUNDDOWN($E475*設定!$C$4,0),ROUNDDOWN($E475*ROUND((9*$AA475-9*$E475)/(10*$E475),4),0))))</f>
        <v/>
      </c>
      <c r="AD475" s="13" t="n"/>
      <c r="AE475" s="15">
        <f>IF($B475="","",IF($AD475&lt;&gt;"",$AD475,IF($AC475="","",IF($AC475&lt;=設定!$C$3,0,$AC475))))</f>
        <v/>
      </c>
      <c r="AF475" s="14">
        <f>IF($B475="","",IF(AND($AG475&lt;&gt;"",$AI475="",$AL475=""),"保留中",IF($AL475&lt;&gt;"",IF(N($AE475)&gt;0,"支給済","不支給"),IF($AE475="","要確認",IF($AE475=0,"不支給","未処理")))))</f>
        <v/>
      </c>
      <c r="AG475" s="12" t="n"/>
      <c r="AH475" s="11" t="n"/>
      <c r="AI475" s="11" t="n"/>
      <c r="AJ475" s="11" t="n"/>
      <c r="AK475" s="14">
        <f>IF(AND($AF475="保留中",$AH475&lt;&gt;""),TODAY()-$AH475,"")</f>
        <v/>
      </c>
      <c r="AL475" s="12" t="inlineStr">
        <is>
          <t>R7.10</t>
        </is>
      </c>
      <c r="AM475" s="14">
        <f>IF($B475="","",IF($AQ475="","対象年月が未入力／","")&amp;IF($B475="","",IF($AP475="","職員マスタに未登録の職員番号／",IF($AA475="","標準報酬月額が未登録／","")&amp;IF(AND($AQ475&lt;&gt;"",OR(AND(INDEX(職員マスタ!$G$6:$G$405,$AP475)&lt;&gt;"",INDEX(職員マスタ!$G$6:$G$405,$AP475)&gt;EOMONTH($AQ475,0)),AND(INDEX(職員マスタ!$H$6:$H$405,$AP475)&lt;&gt;"",INDEX(職員マスタ!$H$6:$H$405,$AP475)&lt;$AQ475))),"対象月が時短期間外／","")&amp;IF(AND(INDEX(職員マスタ!$K$6:$K$405,$AP475)&lt;&gt;"",N($W475)&gt;0,INDEX(職員マスタ!$K$6:$K$405,$AP475)&lt;&gt;$W475),"標準報酬月額が申請書と相違（台帳"&amp;TEXT(INDEX(職員マスタ!$K$6:$K$405,$AP475),"#,##0")&amp;"円／申請書"&amp;TEXT($W475,"#,##0")&amp;"円）／","")&amp;IF(AND(INDEX(職員マスタ!$F$6:$F$405,$AP475)&lt;&gt;"",$AQ475&lt;&gt;"",INDEX(職員マスタ!$F$6:$F$405,$AP475)&lt;$AQ475),"対象月に子が2歳到達済／","")&amp;IF(AND($H475&lt;&gt;"",INDEX(職員マスタ!$B$6:$B$405,$AP475)&lt;&gt;"",SUBSTITUTE(SUBSTITUTE($H475," ","")," ","")&lt;&gt;SUBSTITUTE(SUBSTITUTE(INDEX(職員マスタ!$B$6:$B$405,$AP475)," ","")," ","")),"氏名がマスタと相違／","")&amp;IF(AND($Q475&lt;&gt;"",INDEX(職員マスタ!$E$6:$E$405,$AP475)&lt;&gt;"",$Q475&lt;&gt;INDEX(職員マスタ!$E$6:$E$405,$AP475)),"子の生年月日がマスタと相違／","")&amp;IF(AND($L475&lt;&gt;"",INDEX(職員マスタ!$G$6:$G$405,$AP475)&lt;&gt;"",$L475&lt;&gt;INDEX(職員マスタ!$G$6:$G$405,$AP475)),"時短開始日がマスタと相違／","")&amp;IF(AND($M475&lt;&gt;"",INDEX(職員マスタ!$H$6:$H$405,$AP475)&lt;&gt;"",$M475&lt;&gt;INDEX(職員マスタ!$H$6:$H$405,$AP475)),"時短終了日がマスタと相違／","")))&amp;IF(AND($B475&lt;&gt;"",$E475=""),"報酬額が未入力／","")&amp;IF(N($U475)&gt;0,"申請書に入力エラーが残っています／","")&amp;IF(AND($B475&lt;&gt;"",$AQ475&lt;&gt;""),IF(COUNTIFS($B$6:$B$3005,$B475,$C$6:$C$3005,$C475,$D$6:$D$3005,$D475)&gt;1,"同じ月の請求が重複しています／",""),"")&amp;IF(AND(N($E475)&gt;0,$AB475&lt;&gt;"",$AB475&lt;&gt;"×",$AE475=0,$AD475=""),"計算額が下限以下のため不支給／",""))</f>
        <v/>
      </c>
      <c r="AN475" s="12" t="n"/>
      <c r="AO475" s="14">
        <f>IF($AF475="保留中",COUNTIF($AF$6:$AF475,"保留中"),"")</f>
        <v/>
      </c>
      <c r="AP475" s="14">
        <f>IF($AQ475="","",IF(SUMPRODUCT(MAX((職員マスタ!$A$6:$A$405=$B475)*(((職員マスタ!$G$6:$G$405="")+(職員マスタ!$G$6:$G$405&lt;=EOMONTH($AQ475,0)))&gt;0)*(((職員マスタ!$H$6:$H$405="")+(職員マスタ!$H$6:$H$405&gt;=$AQ475))&gt;0)*(ROW(職員マスタ!$A$6:$A$405)-5)))&gt;0,SUMPRODUCT(MAX((職員マスタ!$A$6:$A$405=$B475)*(((職員マスタ!$G$6:$G$405="")+(職員マスタ!$G$6:$G$405&lt;=EOMONTH($AQ475,0)))&gt;0)*(((職員マスタ!$H$6:$H$405="")+(職員マスタ!$H$6:$H$405&gt;=$AQ475))&gt;0)*(ROW(職員マスタ!$A$6:$A$405)-5))),IFERROR(MATCH($B475,職員マスタ!$A$6:$A$405,0),"")))</f>
        <v/>
      </c>
      <c r="AQ475" s="16">
        <f>IF(OR($B475="",$C475="",$D475=""),"",DATE($C475+2018,$D475,1))</f>
        <v/>
      </c>
    </row>
    <row r="476">
      <c r="A476" s="11" t="n"/>
      <c r="B476" s="12" t="n">
        <v>7202321</v>
      </c>
      <c r="C476" s="12" t="n">
        <v>7</v>
      </c>
      <c r="D476" s="12" t="n">
        <v>9</v>
      </c>
      <c r="E476" s="13" t="n">
        <v>180422</v>
      </c>
      <c r="F476" s="12" t="n"/>
      <c r="G476" s="13" t="n"/>
      <c r="H476" s="12" t="n"/>
      <c r="I476" s="12" t="n"/>
      <c r="J476" s="12" t="n"/>
      <c r="K476" s="12" t="n"/>
      <c r="L476" s="11" t="n"/>
      <c r="M476" s="11" t="n"/>
      <c r="N476" s="11" t="n"/>
      <c r="O476" s="11" t="n"/>
      <c r="P476" s="12" t="n"/>
      <c r="Q476" s="11" t="n"/>
      <c r="R476" s="12" t="n"/>
      <c r="S476" s="11" t="n"/>
      <c r="T476" s="12" t="n"/>
      <c r="U476" s="12" t="n"/>
      <c r="V476" s="12" t="n"/>
      <c r="W476" s="13" t="n"/>
      <c r="X476" s="14">
        <f>IF($AP476="",IF($B476="","",$H476),IF(INDEX(職員マスタ!$B$6:$B$405,$AP476)="",$H476,INDEX(職員マスタ!$B$6:$B$405,$AP476)))</f>
        <v/>
      </c>
      <c r="Y476" s="14">
        <f>IF($AP476="",IF($B476="","",$R476),IF(INDEX(職員マスタ!$C$6:$C$405,$AP476)="",$R476,INDEX(職員マスタ!$C$6:$C$405,$AP476)))</f>
        <v/>
      </c>
      <c r="Z476" s="14">
        <f>IF($AQ476="","","R"&amp;$C476&amp;"."&amp;$D476)</f>
        <v/>
      </c>
      <c r="AA476" s="15">
        <f>IF(IF($AP476="",FALSE,INDEX(職員マスタ!$K$6:$K$405,$AP476)&lt;&gt;""),INDEX(職員マスタ!$K$6:$K$405,$AP476),IF(N($W476)&gt;0,$W476,""))</f>
        <v/>
      </c>
      <c r="AB476" s="14">
        <f>IF(OR($E476="",$AA476=""),"",IF($E476&gt;=$AA476,"×",IF($E476&gt;=$AA476*設定!$C$5,"△","○")))</f>
        <v/>
      </c>
      <c r="AC476" s="15">
        <f>IF($AB476="","",IF($AB476="×",0,IF($AB476="○",ROUNDDOWN($E476*設定!$C$4,0),ROUNDDOWN($E476*ROUND((9*$AA476-9*$E476)/(10*$E476),4),0))))</f>
        <v/>
      </c>
      <c r="AD476" s="13" t="n"/>
      <c r="AE476" s="15">
        <f>IF($B476="","",IF($AD476&lt;&gt;"",$AD476,IF($AC476="","",IF($AC476&lt;=設定!$C$3,0,$AC476))))</f>
        <v/>
      </c>
      <c r="AF476" s="14">
        <f>IF($B476="","",IF(AND($AG476&lt;&gt;"",$AI476="",$AL476=""),"保留中",IF($AL476&lt;&gt;"",IF(N($AE476)&gt;0,"支給済","不支給"),IF($AE476="","要確認",IF($AE476=0,"不支給","未処理")))))</f>
        <v/>
      </c>
      <c r="AG476" s="12" t="n"/>
      <c r="AH476" s="11" t="n"/>
      <c r="AI476" s="11" t="n"/>
      <c r="AJ476" s="11" t="n"/>
      <c r="AK476" s="14">
        <f>IF(AND($AF476="保留中",$AH476&lt;&gt;""),TODAY()-$AH476,"")</f>
        <v/>
      </c>
      <c r="AL476" s="12" t="inlineStr">
        <is>
          <t>R7.11</t>
        </is>
      </c>
      <c r="AM476" s="14">
        <f>IF($B476="","",IF($AQ476="","対象年月が未入力／","")&amp;IF($B476="","",IF($AP476="","職員マスタに未登録の職員番号／",IF($AA476="","標準報酬月額が未登録／","")&amp;IF(AND($AQ476&lt;&gt;"",OR(AND(INDEX(職員マスタ!$G$6:$G$405,$AP476)&lt;&gt;"",INDEX(職員マスタ!$G$6:$G$405,$AP476)&gt;EOMONTH($AQ476,0)),AND(INDEX(職員マスタ!$H$6:$H$405,$AP476)&lt;&gt;"",INDEX(職員マスタ!$H$6:$H$405,$AP476)&lt;$AQ476))),"対象月が時短期間外／","")&amp;IF(AND(INDEX(職員マスタ!$K$6:$K$405,$AP476)&lt;&gt;"",N($W476)&gt;0,INDEX(職員マスタ!$K$6:$K$405,$AP476)&lt;&gt;$W476),"標準報酬月額が申請書と相違（台帳"&amp;TEXT(INDEX(職員マスタ!$K$6:$K$405,$AP476),"#,##0")&amp;"円／申請書"&amp;TEXT($W476,"#,##0")&amp;"円）／","")&amp;IF(AND(INDEX(職員マスタ!$F$6:$F$405,$AP476)&lt;&gt;"",$AQ476&lt;&gt;"",INDEX(職員マスタ!$F$6:$F$405,$AP476)&lt;$AQ476),"対象月に子が2歳到達済／","")&amp;IF(AND($H476&lt;&gt;"",INDEX(職員マスタ!$B$6:$B$405,$AP476)&lt;&gt;"",SUBSTITUTE(SUBSTITUTE($H476," ","")," ","")&lt;&gt;SUBSTITUTE(SUBSTITUTE(INDEX(職員マスタ!$B$6:$B$405,$AP476)," ","")," ","")),"氏名がマスタと相違／","")&amp;IF(AND($Q476&lt;&gt;"",INDEX(職員マスタ!$E$6:$E$405,$AP476)&lt;&gt;"",$Q476&lt;&gt;INDEX(職員マスタ!$E$6:$E$405,$AP476)),"子の生年月日がマスタと相違／","")&amp;IF(AND($L476&lt;&gt;"",INDEX(職員マスタ!$G$6:$G$405,$AP476)&lt;&gt;"",$L476&lt;&gt;INDEX(職員マスタ!$G$6:$G$405,$AP476)),"時短開始日がマスタと相違／","")&amp;IF(AND($M476&lt;&gt;"",INDEX(職員マスタ!$H$6:$H$405,$AP476)&lt;&gt;"",$M476&lt;&gt;INDEX(職員マスタ!$H$6:$H$405,$AP476)),"時短終了日がマスタと相違／","")))&amp;IF(AND($B476&lt;&gt;"",$E476=""),"報酬額が未入力／","")&amp;IF(N($U476)&gt;0,"申請書に入力エラーが残っています／","")&amp;IF(AND($B476&lt;&gt;"",$AQ476&lt;&gt;""),IF(COUNTIFS($B$6:$B$3005,$B476,$C$6:$C$3005,$C476,$D$6:$D$3005,$D476)&gt;1,"同じ月の請求が重複しています／",""),"")&amp;IF(AND(N($E476)&gt;0,$AB476&lt;&gt;"",$AB476&lt;&gt;"×",$AE476=0,$AD476=""),"計算額が下限以下のため不支給／",""))</f>
        <v/>
      </c>
      <c r="AN476" s="12" t="n"/>
      <c r="AO476" s="14">
        <f>IF($AF476="保留中",COUNTIF($AF$6:$AF476,"保留中"),"")</f>
        <v/>
      </c>
      <c r="AP476" s="14">
        <f>IF($AQ476="","",IF(SUMPRODUCT(MAX((職員マスタ!$A$6:$A$405=$B476)*(((職員マスタ!$G$6:$G$405="")+(職員マスタ!$G$6:$G$405&lt;=EOMONTH($AQ476,0)))&gt;0)*(((職員マスタ!$H$6:$H$405="")+(職員マスタ!$H$6:$H$405&gt;=$AQ476))&gt;0)*(ROW(職員マスタ!$A$6:$A$405)-5)))&gt;0,SUMPRODUCT(MAX((職員マスタ!$A$6:$A$405=$B476)*(((職員マスタ!$G$6:$G$405="")+(職員マスタ!$G$6:$G$405&lt;=EOMONTH($AQ476,0)))&gt;0)*(((職員マスタ!$H$6:$H$405="")+(職員マスタ!$H$6:$H$405&gt;=$AQ476))&gt;0)*(ROW(職員マスタ!$A$6:$A$405)-5))),IFERROR(MATCH($B476,職員マスタ!$A$6:$A$405,0),"")))</f>
        <v/>
      </c>
      <c r="AQ476" s="16">
        <f>IF(OR($B476="",$C476="",$D476=""),"",DATE($C476+2018,$D476,1))</f>
        <v/>
      </c>
    </row>
    <row r="477">
      <c r="A477" s="11" t="n"/>
      <c r="B477" s="12" t="n">
        <v>7202321</v>
      </c>
      <c r="C477" s="12" t="n">
        <v>7</v>
      </c>
      <c r="D477" s="12" t="n">
        <v>10</v>
      </c>
      <c r="E477" s="13" t="n">
        <v>174965</v>
      </c>
      <c r="F477" s="12" t="n"/>
      <c r="G477" s="13" t="n"/>
      <c r="H477" s="12" t="n"/>
      <c r="I477" s="12" t="n"/>
      <c r="J477" s="12" t="n"/>
      <c r="K477" s="12" t="n"/>
      <c r="L477" s="11" t="n"/>
      <c r="M477" s="11" t="n"/>
      <c r="N477" s="11" t="n"/>
      <c r="O477" s="11" t="n"/>
      <c r="P477" s="12" t="n"/>
      <c r="Q477" s="11" t="n"/>
      <c r="R477" s="12" t="n"/>
      <c r="S477" s="11" t="n"/>
      <c r="T477" s="12" t="n"/>
      <c r="U477" s="12" t="n"/>
      <c r="V477" s="12" t="n"/>
      <c r="W477" s="13" t="n"/>
      <c r="X477" s="14">
        <f>IF($AP477="",IF($B477="","",$H477),IF(INDEX(職員マスタ!$B$6:$B$405,$AP477)="",$H477,INDEX(職員マスタ!$B$6:$B$405,$AP477)))</f>
        <v/>
      </c>
      <c r="Y477" s="14">
        <f>IF($AP477="",IF($B477="","",$R477),IF(INDEX(職員マスタ!$C$6:$C$405,$AP477)="",$R477,INDEX(職員マスタ!$C$6:$C$405,$AP477)))</f>
        <v/>
      </c>
      <c r="Z477" s="14">
        <f>IF($AQ477="","","R"&amp;$C477&amp;"."&amp;$D477)</f>
        <v/>
      </c>
      <c r="AA477" s="15">
        <f>IF(IF($AP477="",FALSE,INDEX(職員マスタ!$K$6:$K$405,$AP477)&lt;&gt;""),INDEX(職員マスタ!$K$6:$K$405,$AP477),IF(N($W477)&gt;0,$W477,""))</f>
        <v/>
      </c>
      <c r="AB477" s="14">
        <f>IF(OR($E477="",$AA477=""),"",IF($E477&gt;=$AA477,"×",IF($E477&gt;=$AA477*設定!$C$5,"△","○")))</f>
        <v/>
      </c>
      <c r="AC477" s="15">
        <f>IF($AB477="","",IF($AB477="×",0,IF($AB477="○",ROUNDDOWN($E477*設定!$C$4,0),ROUNDDOWN($E477*ROUND((9*$AA477-9*$E477)/(10*$E477),4),0))))</f>
        <v/>
      </c>
      <c r="AD477" s="13" t="n"/>
      <c r="AE477" s="15">
        <f>IF($B477="","",IF($AD477&lt;&gt;"",$AD477,IF($AC477="","",IF($AC477&lt;=設定!$C$3,0,$AC477))))</f>
        <v/>
      </c>
      <c r="AF477" s="14">
        <f>IF($B477="","",IF(AND($AG477&lt;&gt;"",$AI477="",$AL477=""),"保留中",IF($AL477&lt;&gt;"",IF(N($AE477)&gt;0,"支給済","不支給"),IF($AE477="","要確認",IF($AE477=0,"不支給","未処理")))))</f>
        <v/>
      </c>
      <c r="AG477" s="12" t="n"/>
      <c r="AH477" s="11" t="n"/>
      <c r="AI477" s="11" t="n"/>
      <c r="AJ477" s="11" t="n"/>
      <c r="AK477" s="14">
        <f>IF(AND($AF477="保留中",$AH477&lt;&gt;""),TODAY()-$AH477,"")</f>
        <v/>
      </c>
      <c r="AL477" s="12" t="inlineStr">
        <is>
          <t>R7.12</t>
        </is>
      </c>
      <c r="AM477" s="14">
        <f>IF($B477="","",IF($AQ477="","対象年月が未入力／","")&amp;IF($B477="","",IF($AP477="","職員マスタに未登録の職員番号／",IF($AA477="","標準報酬月額が未登録／","")&amp;IF(AND($AQ477&lt;&gt;"",OR(AND(INDEX(職員マスタ!$G$6:$G$405,$AP477)&lt;&gt;"",INDEX(職員マスタ!$G$6:$G$405,$AP477)&gt;EOMONTH($AQ477,0)),AND(INDEX(職員マスタ!$H$6:$H$405,$AP477)&lt;&gt;"",INDEX(職員マスタ!$H$6:$H$405,$AP477)&lt;$AQ477))),"対象月が時短期間外／","")&amp;IF(AND(INDEX(職員マスタ!$K$6:$K$405,$AP477)&lt;&gt;"",N($W477)&gt;0,INDEX(職員マスタ!$K$6:$K$405,$AP477)&lt;&gt;$W477),"標準報酬月額が申請書と相違（台帳"&amp;TEXT(INDEX(職員マスタ!$K$6:$K$405,$AP477),"#,##0")&amp;"円／申請書"&amp;TEXT($W477,"#,##0")&amp;"円）／","")&amp;IF(AND(INDEX(職員マスタ!$F$6:$F$405,$AP477)&lt;&gt;"",$AQ477&lt;&gt;"",INDEX(職員マスタ!$F$6:$F$405,$AP477)&lt;$AQ477),"対象月に子が2歳到達済／","")&amp;IF(AND($H477&lt;&gt;"",INDEX(職員マスタ!$B$6:$B$405,$AP477)&lt;&gt;"",SUBSTITUTE(SUBSTITUTE($H477," ","")," ","")&lt;&gt;SUBSTITUTE(SUBSTITUTE(INDEX(職員マスタ!$B$6:$B$405,$AP477)," ","")," ","")),"氏名がマスタと相違／","")&amp;IF(AND($Q477&lt;&gt;"",INDEX(職員マスタ!$E$6:$E$405,$AP477)&lt;&gt;"",$Q477&lt;&gt;INDEX(職員マスタ!$E$6:$E$405,$AP477)),"子の生年月日がマスタと相違／","")&amp;IF(AND($L477&lt;&gt;"",INDEX(職員マスタ!$G$6:$G$405,$AP477)&lt;&gt;"",$L477&lt;&gt;INDEX(職員マスタ!$G$6:$G$405,$AP477)),"時短開始日がマスタと相違／","")&amp;IF(AND($M477&lt;&gt;"",INDEX(職員マスタ!$H$6:$H$405,$AP477)&lt;&gt;"",$M477&lt;&gt;INDEX(職員マスタ!$H$6:$H$405,$AP477)),"時短終了日がマスタと相違／","")))&amp;IF(AND($B477&lt;&gt;"",$E477=""),"報酬額が未入力／","")&amp;IF(N($U477)&gt;0,"申請書に入力エラーが残っています／","")&amp;IF(AND($B477&lt;&gt;"",$AQ477&lt;&gt;""),IF(COUNTIFS($B$6:$B$3005,$B477,$C$6:$C$3005,$C477,$D$6:$D$3005,$D477)&gt;1,"同じ月の請求が重複しています／",""),"")&amp;IF(AND(N($E477)&gt;0,$AB477&lt;&gt;"",$AB477&lt;&gt;"×",$AE477=0,$AD477=""),"計算額が下限以下のため不支給／",""))</f>
        <v/>
      </c>
      <c r="AN477" s="12" t="n"/>
      <c r="AO477" s="14">
        <f>IF($AF477="保留中",COUNTIF($AF$6:$AF477,"保留中"),"")</f>
        <v/>
      </c>
      <c r="AP477" s="14">
        <f>IF($AQ477="","",IF(SUMPRODUCT(MAX((職員マスタ!$A$6:$A$405=$B477)*(((職員マスタ!$G$6:$G$405="")+(職員マスタ!$G$6:$G$405&lt;=EOMONTH($AQ477,0)))&gt;0)*(((職員マスタ!$H$6:$H$405="")+(職員マスタ!$H$6:$H$405&gt;=$AQ477))&gt;0)*(ROW(職員マスタ!$A$6:$A$405)-5)))&gt;0,SUMPRODUCT(MAX((職員マスタ!$A$6:$A$405=$B477)*(((職員マスタ!$G$6:$G$405="")+(職員マスタ!$G$6:$G$405&lt;=EOMONTH($AQ477,0)))&gt;0)*(((職員マスタ!$H$6:$H$405="")+(職員マスタ!$H$6:$H$405&gt;=$AQ477))&gt;0)*(ROW(職員マスタ!$A$6:$A$405)-5))),IFERROR(MATCH($B477,職員マスタ!$A$6:$A$405,0),"")))</f>
        <v/>
      </c>
      <c r="AQ477" s="16">
        <f>IF(OR($B477="",$C477="",$D477=""),"",DATE($C477+2018,$D477,1))</f>
        <v/>
      </c>
    </row>
    <row r="478">
      <c r="A478" s="11" t="n"/>
      <c r="B478" s="12" t="n">
        <v>7202321</v>
      </c>
      <c r="C478" s="12" t="n">
        <v>7</v>
      </c>
      <c r="D478" s="12" t="n">
        <v>11</v>
      </c>
      <c r="E478" s="13" t="n">
        <v>182241</v>
      </c>
      <c r="F478" s="12" t="n"/>
      <c r="G478" s="13" t="n"/>
      <c r="H478" s="12" t="n"/>
      <c r="I478" s="12" t="n"/>
      <c r="J478" s="12" t="n"/>
      <c r="K478" s="12" t="n"/>
      <c r="L478" s="11" t="n"/>
      <c r="M478" s="11" t="n"/>
      <c r="N478" s="11" t="n"/>
      <c r="O478" s="11" t="n"/>
      <c r="P478" s="12" t="n"/>
      <c r="Q478" s="11" t="n"/>
      <c r="R478" s="12" t="n"/>
      <c r="S478" s="11" t="n"/>
      <c r="T478" s="12" t="n"/>
      <c r="U478" s="12" t="n"/>
      <c r="V478" s="12" t="n"/>
      <c r="W478" s="13" t="n"/>
      <c r="X478" s="14">
        <f>IF($AP478="",IF($B478="","",$H478),IF(INDEX(職員マスタ!$B$6:$B$405,$AP478)="",$H478,INDEX(職員マスタ!$B$6:$B$405,$AP478)))</f>
        <v/>
      </c>
      <c r="Y478" s="14">
        <f>IF($AP478="",IF($B478="","",$R478),IF(INDEX(職員マスタ!$C$6:$C$405,$AP478)="",$R478,INDEX(職員マスタ!$C$6:$C$405,$AP478)))</f>
        <v/>
      </c>
      <c r="Z478" s="14">
        <f>IF($AQ478="","","R"&amp;$C478&amp;"."&amp;$D478)</f>
        <v/>
      </c>
      <c r="AA478" s="15">
        <f>IF(IF($AP478="",FALSE,INDEX(職員マスタ!$K$6:$K$405,$AP478)&lt;&gt;""),INDEX(職員マスタ!$K$6:$K$405,$AP478),IF(N($W478)&gt;0,$W478,""))</f>
        <v/>
      </c>
      <c r="AB478" s="14">
        <f>IF(OR($E478="",$AA478=""),"",IF($E478&gt;=$AA478,"×",IF($E478&gt;=$AA478*設定!$C$5,"△","○")))</f>
        <v/>
      </c>
      <c r="AC478" s="15">
        <f>IF($AB478="","",IF($AB478="×",0,IF($AB478="○",ROUNDDOWN($E478*設定!$C$4,0),ROUNDDOWN($E478*ROUND((9*$AA478-9*$E478)/(10*$E478),4),0))))</f>
        <v/>
      </c>
      <c r="AD478" s="13" t="n"/>
      <c r="AE478" s="15">
        <f>IF($B478="","",IF($AD478&lt;&gt;"",$AD478,IF($AC478="","",IF($AC478&lt;=設定!$C$3,0,$AC478))))</f>
        <v/>
      </c>
      <c r="AF478" s="14">
        <f>IF($B478="","",IF(AND($AG478&lt;&gt;"",$AI478="",$AL478=""),"保留中",IF($AL478&lt;&gt;"",IF(N($AE478)&gt;0,"支給済","不支給"),IF($AE478="","要確認",IF($AE478=0,"不支給","未処理")))))</f>
        <v/>
      </c>
      <c r="AG478" s="12" t="n"/>
      <c r="AH478" s="11" t="n"/>
      <c r="AI478" s="11" t="n"/>
      <c r="AJ478" s="11" t="n"/>
      <c r="AK478" s="14">
        <f>IF(AND($AF478="保留中",$AH478&lt;&gt;""),TODAY()-$AH478,"")</f>
        <v/>
      </c>
      <c r="AL478" s="12" t="inlineStr">
        <is>
          <t>R8.1</t>
        </is>
      </c>
      <c r="AM478" s="14">
        <f>IF($B478="","",IF($AQ478="","対象年月が未入力／","")&amp;IF($B478="","",IF($AP478="","職員マスタに未登録の職員番号／",IF($AA478="","標準報酬月額が未登録／","")&amp;IF(AND($AQ478&lt;&gt;"",OR(AND(INDEX(職員マスタ!$G$6:$G$405,$AP478)&lt;&gt;"",INDEX(職員マスタ!$G$6:$G$405,$AP478)&gt;EOMONTH($AQ478,0)),AND(INDEX(職員マスタ!$H$6:$H$405,$AP478)&lt;&gt;"",INDEX(職員マスタ!$H$6:$H$405,$AP478)&lt;$AQ478))),"対象月が時短期間外／","")&amp;IF(AND(INDEX(職員マスタ!$K$6:$K$405,$AP478)&lt;&gt;"",N($W478)&gt;0,INDEX(職員マスタ!$K$6:$K$405,$AP478)&lt;&gt;$W478),"標準報酬月額が申請書と相違（台帳"&amp;TEXT(INDEX(職員マスタ!$K$6:$K$405,$AP478),"#,##0")&amp;"円／申請書"&amp;TEXT($W478,"#,##0")&amp;"円）／","")&amp;IF(AND(INDEX(職員マスタ!$F$6:$F$405,$AP478)&lt;&gt;"",$AQ478&lt;&gt;"",INDEX(職員マスタ!$F$6:$F$405,$AP478)&lt;$AQ478),"対象月に子が2歳到達済／","")&amp;IF(AND($H478&lt;&gt;"",INDEX(職員マスタ!$B$6:$B$405,$AP478)&lt;&gt;"",SUBSTITUTE(SUBSTITUTE($H478," ","")," ","")&lt;&gt;SUBSTITUTE(SUBSTITUTE(INDEX(職員マスタ!$B$6:$B$405,$AP478)," ","")," ","")),"氏名がマスタと相違／","")&amp;IF(AND($Q478&lt;&gt;"",INDEX(職員マスタ!$E$6:$E$405,$AP478)&lt;&gt;"",$Q478&lt;&gt;INDEX(職員マスタ!$E$6:$E$405,$AP478)),"子の生年月日がマスタと相違／","")&amp;IF(AND($L478&lt;&gt;"",INDEX(職員マスタ!$G$6:$G$405,$AP478)&lt;&gt;"",$L478&lt;&gt;INDEX(職員マスタ!$G$6:$G$405,$AP478)),"時短開始日がマスタと相違／","")&amp;IF(AND($M478&lt;&gt;"",INDEX(職員マスタ!$H$6:$H$405,$AP478)&lt;&gt;"",$M478&lt;&gt;INDEX(職員マスタ!$H$6:$H$405,$AP478)),"時短終了日がマスタと相違／","")))&amp;IF(AND($B478&lt;&gt;"",$E478=""),"報酬額が未入力／","")&amp;IF(N($U478)&gt;0,"申請書に入力エラーが残っています／","")&amp;IF(AND($B478&lt;&gt;"",$AQ478&lt;&gt;""),IF(COUNTIFS($B$6:$B$3005,$B478,$C$6:$C$3005,$C478,$D$6:$D$3005,$D478)&gt;1,"同じ月の請求が重複しています／",""),"")&amp;IF(AND(N($E478)&gt;0,$AB478&lt;&gt;"",$AB478&lt;&gt;"×",$AE478=0,$AD478=""),"計算額が下限以下のため不支給／",""))</f>
        <v/>
      </c>
      <c r="AN478" s="12" t="n"/>
      <c r="AO478" s="14">
        <f>IF($AF478="保留中",COUNTIF($AF$6:$AF478,"保留中"),"")</f>
        <v/>
      </c>
      <c r="AP478" s="14">
        <f>IF($AQ478="","",IF(SUMPRODUCT(MAX((職員マスタ!$A$6:$A$405=$B478)*(((職員マスタ!$G$6:$G$405="")+(職員マスタ!$G$6:$G$405&lt;=EOMONTH($AQ478,0)))&gt;0)*(((職員マスタ!$H$6:$H$405="")+(職員マスタ!$H$6:$H$405&gt;=$AQ478))&gt;0)*(ROW(職員マスタ!$A$6:$A$405)-5)))&gt;0,SUMPRODUCT(MAX((職員マスタ!$A$6:$A$405=$B478)*(((職員マスタ!$G$6:$G$405="")+(職員マスタ!$G$6:$G$405&lt;=EOMONTH($AQ478,0)))&gt;0)*(((職員マスタ!$H$6:$H$405="")+(職員マスタ!$H$6:$H$405&gt;=$AQ478))&gt;0)*(ROW(職員マスタ!$A$6:$A$405)-5))),IFERROR(MATCH($B478,職員マスタ!$A$6:$A$405,0),"")))</f>
        <v/>
      </c>
      <c r="AQ478" s="16">
        <f>IF(OR($B478="",$C478="",$D478=""),"",DATE($C478+2018,$D478,1))</f>
        <v/>
      </c>
    </row>
    <row r="479">
      <c r="A479" s="11" t="n"/>
      <c r="B479" s="12" t="n">
        <v>7202321</v>
      </c>
      <c r="C479" s="12" t="n">
        <v>7</v>
      </c>
      <c r="D479" s="12" t="n">
        <v>12</v>
      </c>
      <c r="E479" s="13" t="n">
        <v>195104</v>
      </c>
      <c r="F479" s="12" t="n"/>
      <c r="G479" s="13" t="n"/>
      <c r="H479" s="12" t="n"/>
      <c r="I479" s="12" t="n"/>
      <c r="J479" s="12" t="n"/>
      <c r="K479" s="12" t="n"/>
      <c r="L479" s="11" t="n"/>
      <c r="M479" s="11" t="n"/>
      <c r="N479" s="11" t="n"/>
      <c r="O479" s="11" t="n"/>
      <c r="P479" s="12" t="n"/>
      <c r="Q479" s="11" t="n"/>
      <c r="R479" s="12" t="n"/>
      <c r="S479" s="11" t="n"/>
      <c r="T479" s="12" t="n"/>
      <c r="U479" s="12" t="n"/>
      <c r="V479" s="12" t="n"/>
      <c r="W479" s="13" t="n"/>
      <c r="X479" s="14">
        <f>IF($AP479="",IF($B479="","",$H479),IF(INDEX(職員マスタ!$B$6:$B$405,$AP479)="",$H479,INDEX(職員マスタ!$B$6:$B$405,$AP479)))</f>
        <v/>
      </c>
      <c r="Y479" s="14">
        <f>IF($AP479="",IF($B479="","",$R479),IF(INDEX(職員マスタ!$C$6:$C$405,$AP479)="",$R479,INDEX(職員マスタ!$C$6:$C$405,$AP479)))</f>
        <v/>
      </c>
      <c r="Z479" s="14">
        <f>IF($AQ479="","","R"&amp;$C479&amp;"."&amp;$D479)</f>
        <v/>
      </c>
      <c r="AA479" s="15">
        <f>IF(IF($AP479="",FALSE,INDEX(職員マスタ!$K$6:$K$405,$AP479)&lt;&gt;""),INDEX(職員マスタ!$K$6:$K$405,$AP479),IF(N($W479)&gt;0,$W479,""))</f>
        <v/>
      </c>
      <c r="AB479" s="14">
        <f>IF(OR($E479="",$AA479=""),"",IF($E479&gt;=$AA479,"×",IF($E479&gt;=$AA479*設定!$C$5,"△","○")))</f>
        <v/>
      </c>
      <c r="AC479" s="15">
        <f>IF($AB479="","",IF($AB479="×",0,IF($AB479="○",ROUNDDOWN($E479*設定!$C$4,0),ROUNDDOWN($E479*ROUND((9*$AA479-9*$E479)/(10*$E479),4),0))))</f>
        <v/>
      </c>
      <c r="AD479" s="13" t="n"/>
      <c r="AE479" s="15">
        <f>IF($B479="","",IF($AD479&lt;&gt;"",$AD479,IF($AC479="","",IF($AC479&lt;=設定!$C$3,0,$AC479))))</f>
        <v/>
      </c>
      <c r="AF479" s="14">
        <f>IF($B479="","",IF(AND($AG479&lt;&gt;"",$AI479="",$AL479=""),"保留中",IF($AL479&lt;&gt;"",IF(N($AE479)&gt;0,"支給済","不支給"),IF($AE479="","要確認",IF($AE479=0,"不支給","未処理")))))</f>
        <v/>
      </c>
      <c r="AG479" s="12" t="n"/>
      <c r="AH479" s="11" t="n"/>
      <c r="AI479" s="11" t="n"/>
      <c r="AJ479" s="11" t="n"/>
      <c r="AK479" s="14">
        <f>IF(AND($AF479="保留中",$AH479&lt;&gt;""),TODAY()-$AH479,"")</f>
        <v/>
      </c>
      <c r="AL479" s="12" t="inlineStr">
        <is>
          <t>R8.2</t>
        </is>
      </c>
      <c r="AM479" s="14">
        <f>IF($B479="","",IF($AQ479="","対象年月が未入力／","")&amp;IF($B479="","",IF($AP479="","職員マスタに未登録の職員番号／",IF($AA479="","標準報酬月額が未登録／","")&amp;IF(AND($AQ479&lt;&gt;"",OR(AND(INDEX(職員マスタ!$G$6:$G$405,$AP479)&lt;&gt;"",INDEX(職員マスタ!$G$6:$G$405,$AP479)&gt;EOMONTH($AQ479,0)),AND(INDEX(職員マスタ!$H$6:$H$405,$AP479)&lt;&gt;"",INDEX(職員マスタ!$H$6:$H$405,$AP479)&lt;$AQ479))),"対象月が時短期間外／","")&amp;IF(AND(INDEX(職員マスタ!$K$6:$K$405,$AP479)&lt;&gt;"",N($W479)&gt;0,INDEX(職員マスタ!$K$6:$K$405,$AP479)&lt;&gt;$W479),"標準報酬月額が申請書と相違（台帳"&amp;TEXT(INDEX(職員マスタ!$K$6:$K$405,$AP479),"#,##0")&amp;"円／申請書"&amp;TEXT($W479,"#,##0")&amp;"円）／","")&amp;IF(AND(INDEX(職員マスタ!$F$6:$F$405,$AP479)&lt;&gt;"",$AQ479&lt;&gt;"",INDEX(職員マスタ!$F$6:$F$405,$AP479)&lt;$AQ479),"対象月に子が2歳到達済／","")&amp;IF(AND($H479&lt;&gt;"",INDEX(職員マスタ!$B$6:$B$405,$AP479)&lt;&gt;"",SUBSTITUTE(SUBSTITUTE($H479," ","")," ","")&lt;&gt;SUBSTITUTE(SUBSTITUTE(INDEX(職員マスタ!$B$6:$B$405,$AP479)," ","")," ","")),"氏名がマスタと相違／","")&amp;IF(AND($Q479&lt;&gt;"",INDEX(職員マスタ!$E$6:$E$405,$AP479)&lt;&gt;"",$Q479&lt;&gt;INDEX(職員マスタ!$E$6:$E$405,$AP479)),"子の生年月日がマスタと相違／","")&amp;IF(AND($L479&lt;&gt;"",INDEX(職員マスタ!$G$6:$G$405,$AP479)&lt;&gt;"",$L479&lt;&gt;INDEX(職員マスタ!$G$6:$G$405,$AP479)),"時短開始日がマスタと相違／","")&amp;IF(AND($M479&lt;&gt;"",INDEX(職員マスタ!$H$6:$H$405,$AP479)&lt;&gt;"",$M479&lt;&gt;INDEX(職員マスタ!$H$6:$H$405,$AP479)),"時短終了日がマスタと相違／","")))&amp;IF(AND($B479&lt;&gt;"",$E479=""),"報酬額が未入力／","")&amp;IF(N($U479)&gt;0,"申請書に入力エラーが残っています／","")&amp;IF(AND($B479&lt;&gt;"",$AQ479&lt;&gt;""),IF(COUNTIFS($B$6:$B$3005,$B479,$C$6:$C$3005,$C479,$D$6:$D$3005,$D479)&gt;1,"同じ月の請求が重複しています／",""),"")&amp;IF(AND(N($E479)&gt;0,$AB479&lt;&gt;"",$AB479&lt;&gt;"×",$AE479=0,$AD479=""),"計算額が下限以下のため不支給／",""))</f>
        <v/>
      </c>
      <c r="AN479" s="12" t="n"/>
      <c r="AO479" s="14">
        <f>IF($AF479="保留中",COUNTIF($AF$6:$AF479,"保留中"),"")</f>
        <v/>
      </c>
      <c r="AP479" s="14">
        <f>IF($AQ479="","",IF(SUMPRODUCT(MAX((職員マスタ!$A$6:$A$405=$B479)*(((職員マスタ!$G$6:$G$405="")+(職員マスタ!$G$6:$G$405&lt;=EOMONTH($AQ479,0)))&gt;0)*(((職員マスタ!$H$6:$H$405="")+(職員マスタ!$H$6:$H$405&gt;=$AQ479))&gt;0)*(ROW(職員マスタ!$A$6:$A$405)-5)))&gt;0,SUMPRODUCT(MAX((職員マスタ!$A$6:$A$405=$B479)*(((職員マスタ!$G$6:$G$405="")+(職員マスタ!$G$6:$G$405&lt;=EOMONTH($AQ479,0)))&gt;0)*(((職員マスタ!$H$6:$H$405="")+(職員マスタ!$H$6:$H$405&gt;=$AQ479))&gt;0)*(ROW(職員マスタ!$A$6:$A$405)-5))),IFERROR(MATCH($B479,職員マスタ!$A$6:$A$405,0),"")))</f>
        <v/>
      </c>
      <c r="AQ479" s="16">
        <f>IF(OR($B479="",$C479="",$D479=""),"",DATE($C479+2018,$D479,1))</f>
        <v/>
      </c>
    </row>
    <row r="480">
      <c r="A480" s="11" t="n"/>
      <c r="B480" s="12" t="n">
        <v>7202321</v>
      </c>
      <c r="C480" s="12" t="n">
        <v>8</v>
      </c>
      <c r="D480" s="12" t="n">
        <v>1</v>
      </c>
      <c r="E480" s="13" t="n">
        <v>184400</v>
      </c>
      <c r="F480" s="12" t="n"/>
      <c r="G480" s="13" t="n"/>
      <c r="H480" s="12" t="n"/>
      <c r="I480" s="12" t="n"/>
      <c r="J480" s="12" t="n"/>
      <c r="K480" s="12" t="n"/>
      <c r="L480" s="11" t="n"/>
      <c r="M480" s="11" t="n"/>
      <c r="N480" s="11" t="n"/>
      <c r="O480" s="11" t="n"/>
      <c r="P480" s="12" t="n"/>
      <c r="Q480" s="11" t="n"/>
      <c r="R480" s="12" t="n"/>
      <c r="S480" s="11" t="n"/>
      <c r="T480" s="12" t="n"/>
      <c r="U480" s="12" t="n"/>
      <c r="V480" s="12" t="n"/>
      <c r="W480" s="13" t="n"/>
      <c r="X480" s="14">
        <f>IF($AP480="",IF($B480="","",$H480),IF(INDEX(職員マスタ!$B$6:$B$405,$AP480)="",$H480,INDEX(職員マスタ!$B$6:$B$405,$AP480)))</f>
        <v/>
      </c>
      <c r="Y480" s="14">
        <f>IF($AP480="",IF($B480="","",$R480),IF(INDEX(職員マスタ!$C$6:$C$405,$AP480)="",$R480,INDEX(職員マスタ!$C$6:$C$405,$AP480)))</f>
        <v/>
      </c>
      <c r="Z480" s="14">
        <f>IF($AQ480="","","R"&amp;$C480&amp;"."&amp;$D480)</f>
        <v/>
      </c>
      <c r="AA480" s="15">
        <f>IF(IF($AP480="",FALSE,INDEX(職員マスタ!$K$6:$K$405,$AP480)&lt;&gt;""),INDEX(職員マスタ!$K$6:$K$405,$AP480),IF(N($W480)&gt;0,$W480,""))</f>
        <v/>
      </c>
      <c r="AB480" s="14">
        <f>IF(OR($E480="",$AA480=""),"",IF($E480&gt;=$AA480,"×",IF($E480&gt;=$AA480*設定!$C$5,"△","○")))</f>
        <v/>
      </c>
      <c r="AC480" s="15">
        <f>IF($AB480="","",IF($AB480="×",0,IF($AB480="○",ROUNDDOWN($E480*設定!$C$4,0),ROUNDDOWN($E480*ROUND((9*$AA480-9*$E480)/(10*$E480),4),0))))</f>
        <v/>
      </c>
      <c r="AD480" s="13" t="n"/>
      <c r="AE480" s="15">
        <f>IF($B480="","",IF($AD480&lt;&gt;"",$AD480,IF($AC480="","",IF($AC480&lt;=設定!$C$3,0,$AC480))))</f>
        <v/>
      </c>
      <c r="AF480" s="14">
        <f>IF($B480="","",IF(AND($AG480&lt;&gt;"",$AI480="",$AL480=""),"保留中",IF($AL480&lt;&gt;"",IF(N($AE480)&gt;0,"支給済","不支給"),IF($AE480="","要確認",IF($AE480=0,"不支給","未処理")))))</f>
        <v/>
      </c>
      <c r="AG480" s="12" t="n"/>
      <c r="AH480" s="11" t="n"/>
      <c r="AI480" s="11" t="n"/>
      <c r="AJ480" s="11" t="n"/>
      <c r="AK480" s="14">
        <f>IF(AND($AF480="保留中",$AH480&lt;&gt;""),TODAY()-$AH480,"")</f>
        <v/>
      </c>
      <c r="AL480" s="12" t="inlineStr">
        <is>
          <t>R8.3</t>
        </is>
      </c>
      <c r="AM480" s="14">
        <f>IF($B480="","",IF($AQ480="","対象年月が未入力／","")&amp;IF($B480="","",IF($AP480="","職員マスタに未登録の職員番号／",IF($AA480="","標準報酬月額が未登録／","")&amp;IF(AND($AQ480&lt;&gt;"",OR(AND(INDEX(職員マスタ!$G$6:$G$405,$AP480)&lt;&gt;"",INDEX(職員マスタ!$G$6:$G$405,$AP480)&gt;EOMONTH($AQ480,0)),AND(INDEX(職員マスタ!$H$6:$H$405,$AP480)&lt;&gt;"",INDEX(職員マスタ!$H$6:$H$405,$AP480)&lt;$AQ480))),"対象月が時短期間外／","")&amp;IF(AND(INDEX(職員マスタ!$K$6:$K$405,$AP480)&lt;&gt;"",N($W480)&gt;0,INDEX(職員マスタ!$K$6:$K$405,$AP480)&lt;&gt;$W480),"標準報酬月額が申請書と相違（台帳"&amp;TEXT(INDEX(職員マスタ!$K$6:$K$405,$AP480),"#,##0")&amp;"円／申請書"&amp;TEXT($W480,"#,##0")&amp;"円）／","")&amp;IF(AND(INDEX(職員マスタ!$F$6:$F$405,$AP480)&lt;&gt;"",$AQ480&lt;&gt;"",INDEX(職員マスタ!$F$6:$F$405,$AP480)&lt;$AQ480),"対象月に子が2歳到達済／","")&amp;IF(AND($H480&lt;&gt;"",INDEX(職員マスタ!$B$6:$B$405,$AP480)&lt;&gt;"",SUBSTITUTE(SUBSTITUTE($H480," ","")," ","")&lt;&gt;SUBSTITUTE(SUBSTITUTE(INDEX(職員マスタ!$B$6:$B$405,$AP480)," ","")," ","")),"氏名がマスタと相違／","")&amp;IF(AND($Q480&lt;&gt;"",INDEX(職員マスタ!$E$6:$E$405,$AP480)&lt;&gt;"",$Q480&lt;&gt;INDEX(職員マスタ!$E$6:$E$405,$AP480)),"子の生年月日がマスタと相違／","")&amp;IF(AND($L480&lt;&gt;"",INDEX(職員マスタ!$G$6:$G$405,$AP480)&lt;&gt;"",$L480&lt;&gt;INDEX(職員マスタ!$G$6:$G$405,$AP480)),"時短開始日がマスタと相違／","")&amp;IF(AND($M480&lt;&gt;"",INDEX(職員マスタ!$H$6:$H$405,$AP480)&lt;&gt;"",$M480&lt;&gt;INDEX(職員マスタ!$H$6:$H$405,$AP480)),"時短終了日がマスタと相違／","")))&amp;IF(AND($B480&lt;&gt;"",$E480=""),"報酬額が未入力／","")&amp;IF(N($U480)&gt;0,"申請書に入力エラーが残っています／","")&amp;IF(AND($B480&lt;&gt;"",$AQ480&lt;&gt;""),IF(COUNTIFS($B$6:$B$3005,$B480,$C$6:$C$3005,$C480,$D$6:$D$3005,$D480)&gt;1,"同じ月の請求が重複しています／",""),"")&amp;IF(AND(N($E480)&gt;0,$AB480&lt;&gt;"",$AB480&lt;&gt;"×",$AE480=0,$AD480=""),"計算額が下限以下のため不支給／",""))</f>
        <v/>
      </c>
      <c r="AN480" s="12" t="n"/>
      <c r="AO480" s="14">
        <f>IF($AF480="保留中",COUNTIF($AF$6:$AF480,"保留中"),"")</f>
        <v/>
      </c>
      <c r="AP480" s="14">
        <f>IF($AQ480="","",IF(SUMPRODUCT(MAX((職員マスタ!$A$6:$A$405=$B480)*(((職員マスタ!$G$6:$G$405="")+(職員マスタ!$G$6:$G$405&lt;=EOMONTH($AQ480,0)))&gt;0)*(((職員マスタ!$H$6:$H$405="")+(職員マスタ!$H$6:$H$405&gt;=$AQ480))&gt;0)*(ROW(職員マスタ!$A$6:$A$405)-5)))&gt;0,SUMPRODUCT(MAX((職員マスタ!$A$6:$A$405=$B480)*(((職員マスタ!$G$6:$G$405="")+(職員マスタ!$G$6:$G$405&lt;=EOMONTH($AQ480,0)))&gt;0)*(((職員マスタ!$H$6:$H$405="")+(職員マスタ!$H$6:$H$405&gt;=$AQ480))&gt;0)*(ROW(職員マスタ!$A$6:$A$405)-5))),IFERROR(MATCH($B480,職員マスタ!$A$6:$A$405,0),"")))</f>
        <v/>
      </c>
      <c r="AQ480" s="16">
        <f>IF(OR($B480="",$C480="",$D480=""),"",DATE($C480+2018,$D480,1))</f>
        <v/>
      </c>
    </row>
    <row r="481">
      <c r="A481" s="11" t="n"/>
      <c r="B481" s="12" t="n">
        <v>7202321</v>
      </c>
      <c r="C481" s="12" t="n">
        <v>8</v>
      </c>
      <c r="D481" s="12" t="n">
        <v>2</v>
      </c>
      <c r="E481" s="13" t="n">
        <v>184400</v>
      </c>
      <c r="F481" s="12" t="n"/>
      <c r="G481" s="13" t="n"/>
      <c r="H481" s="12" t="n"/>
      <c r="I481" s="12" t="n"/>
      <c r="J481" s="12" t="n"/>
      <c r="K481" s="12" t="n"/>
      <c r="L481" s="11" t="n"/>
      <c r="M481" s="11" t="n"/>
      <c r="N481" s="11" t="n"/>
      <c r="O481" s="11" t="n"/>
      <c r="P481" s="12" t="n"/>
      <c r="Q481" s="11" t="n"/>
      <c r="R481" s="12" t="n"/>
      <c r="S481" s="11" t="n"/>
      <c r="T481" s="12" t="n"/>
      <c r="U481" s="12" t="n"/>
      <c r="V481" s="12" t="n"/>
      <c r="W481" s="13" t="n"/>
      <c r="X481" s="14">
        <f>IF($AP481="",IF($B481="","",$H481),IF(INDEX(職員マスタ!$B$6:$B$405,$AP481)="",$H481,INDEX(職員マスタ!$B$6:$B$405,$AP481)))</f>
        <v/>
      </c>
      <c r="Y481" s="14">
        <f>IF($AP481="",IF($B481="","",$R481),IF(INDEX(職員マスタ!$C$6:$C$405,$AP481)="",$R481,INDEX(職員マスタ!$C$6:$C$405,$AP481)))</f>
        <v/>
      </c>
      <c r="Z481" s="14">
        <f>IF($AQ481="","","R"&amp;$C481&amp;"."&amp;$D481)</f>
        <v/>
      </c>
      <c r="AA481" s="15">
        <f>IF(IF($AP481="",FALSE,INDEX(職員マスタ!$K$6:$K$405,$AP481)&lt;&gt;""),INDEX(職員マスタ!$K$6:$K$405,$AP481),IF(N($W481)&gt;0,$W481,""))</f>
        <v/>
      </c>
      <c r="AB481" s="14">
        <f>IF(OR($E481="",$AA481=""),"",IF($E481&gt;=$AA481,"×",IF($E481&gt;=$AA481*設定!$C$5,"△","○")))</f>
        <v/>
      </c>
      <c r="AC481" s="15">
        <f>IF($AB481="","",IF($AB481="×",0,IF($AB481="○",ROUNDDOWN($E481*設定!$C$4,0),ROUNDDOWN($E481*ROUND((9*$AA481-9*$E481)/(10*$E481),4),0))))</f>
        <v/>
      </c>
      <c r="AD481" s="13" t="n"/>
      <c r="AE481" s="15">
        <f>IF($B481="","",IF($AD481&lt;&gt;"",$AD481,IF($AC481="","",IF($AC481&lt;=設定!$C$3,0,$AC481))))</f>
        <v/>
      </c>
      <c r="AF481" s="14">
        <f>IF($B481="","",IF(AND($AG481&lt;&gt;"",$AI481="",$AL481=""),"保留中",IF($AL481&lt;&gt;"",IF(N($AE481)&gt;0,"支給済","不支給"),IF($AE481="","要確認",IF($AE481=0,"不支給","未処理")))))</f>
        <v/>
      </c>
      <c r="AG481" s="12" t="n"/>
      <c r="AH481" s="11" t="n"/>
      <c r="AI481" s="11" t="n"/>
      <c r="AJ481" s="11" t="n"/>
      <c r="AK481" s="14">
        <f>IF(AND($AF481="保留中",$AH481&lt;&gt;""),TODAY()-$AH481,"")</f>
        <v/>
      </c>
      <c r="AL481" s="12" t="inlineStr">
        <is>
          <t>R8.4</t>
        </is>
      </c>
      <c r="AM481" s="14">
        <f>IF($B481="","",IF($AQ481="","対象年月が未入力／","")&amp;IF($B481="","",IF($AP481="","職員マスタに未登録の職員番号／",IF($AA481="","標準報酬月額が未登録／","")&amp;IF(AND($AQ481&lt;&gt;"",OR(AND(INDEX(職員マスタ!$G$6:$G$405,$AP481)&lt;&gt;"",INDEX(職員マスタ!$G$6:$G$405,$AP481)&gt;EOMONTH($AQ481,0)),AND(INDEX(職員マスタ!$H$6:$H$405,$AP481)&lt;&gt;"",INDEX(職員マスタ!$H$6:$H$405,$AP481)&lt;$AQ481))),"対象月が時短期間外／","")&amp;IF(AND(INDEX(職員マスタ!$K$6:$K$405,$AP481)&lt;&gt;"",N($W481)&gt;0,INDEX(職員マスタ!$K$6:$K$405,$AP481)&lt;&gt;$W481),"標準報酬月額が申請書と相違（台帳"&amp;TEXT(INDEX(職員マスタ!$K$6:$K$405,$AP481),"#,##0")&amp;"円／申請書"&amp;TEXT($W481,"#,##0")&amp;"円）／","")&amp;IF(AND(INDEX(職員マスタ!$F$6:$F$405,$AP481)&lt;&gt;"",$AQ481&lt;&gt;"",INDEX(職員マスタ!$F$6:$F$405,$AP481)&lt;$AQ481),"対象月に子が2歳到達済／","")&amp;IF(AND($H481&lt;&gt;"",INDEX(職員マスタ!$B$6:$B$405,$AP481)&lt;&gt;"",SUBSTITUTE(SUBSTITUTE($H481," ","")," ","")&lt;&gt;SUBSTITUTE(SUBSTITUTE(INDEX(職員マスタ!$B$6:$B$405,$AP481)," ","")," ","")),"氏名がマスタと相違／","")&amp;IF(AND($Q481&lt;&gt;"",INDEX(職員マスタ!$E$6:$E$405,$AP481)&lt;&gt;"",$Q481&lt;&gt;INDEX(職員マスタ!$E$6:$E$405,$AP481)),"子の生年月日がマスタと相違／","")&amp;IF(AND($L481&lt;&gt;"",INDEX(職員マスタ!$G$6:$G$405,$AP481)&lt;&gt;"",$L481&lt;&gt;INDEX(職員マスタ!$G$6:$G$405,$AP481)),"時短開始日がマスタと相違／","")&amp;IF(AND($M481&lt;&gt;"",INDEX(職員マスタ!$H$6:$H$405,$AP481)&lt;&gt;"",$M481&lt;&gt;INDEX(職員マスタ!$H$6:$H$405,$AP481)),"時短終了日がマスタと相違／","")))&amp;IF(AND($B481&lt;&gt;"",$E481=""),"報酬額が未入力／","")&amp;IF(N($U481)&gt;0,"申請書に入力エラーが残っています／","")&amp;IF(AND($B481&lt;&gt;"",$AQ481&lt;&gt;""),IF(COUNTIFS($B$6:$B$3005,$B481,$C$6:$C$3005,$C481,$D$6:$D$3005,$D481)&gt;1,"同じ月の請求が重複しています／",""),"")&amp;IF(AND(N($E481)&gt;0,$AB481&lt;&gt;"",$AB481&lt;&gt;"×",$AE481=0,$AD481=""),"計算額が下限以下のため不支給／",""))</f>
        <v/>
      </c>
      <c r="AN481" s="12" t="n"/>
      <c r="AO481" s="14">
        <f>IF($AF481="保留中",COUNTIF($AF$6:$AF481,"保留中"),"")</f>
        <v/>
      </c>
      <c r="AP481" s="14">
        <f>IF($AQ481="","",IF(SUMPRODUCT(MAX((職員マスタ!$A$6:$A$405=$B481)*(((職員マスタ!$G$6:$G$405="")+(職員マスタ!$G$6:$G$405&lt;=EOMONTH($AQ481,0)))&gt;0)*(((職員マスタ!$H$6:$H$405="")+(職員マスタ!$H$6:$H$405&gt;=$AQ481))&gt;0)*(ROW(職員マスタ!$A$6:$A$405)-5)))&gt;0,SUMPRODUCT(MAX((職員マスタ!$A$6:$A$405=$B481)*(((職員マスタ!$G$6:$G$405="")+(職員マスタ!$G$6:$G$405&lt;=EOMONTH($AQ481,0)))&gt;0)*(((職員マスタ!$H$6:$H$405="")+(職員マスタ!$H$6:$H$405&gt;=$AQ481))&gt;0)*(ROW(職員マスタ!$A$6:$A$405)-5))),IFERROR(MATCH($B481,職員マスタ!$A$6:$A$405,0),"")))</f>
        <v/>
      </c>
      <c r="AQ481" s="16">
        <f>IF(OR($B481="",$C481="",$D481=""),"",DATE($C481+2018,$D481,1))</f>
        <v/>
      </c>
    </row>
    <row r="482">
      <c r="A482" s="11" t="n"/>
      <c r="B482" s="12" t="n">
        <v>7202425</v>
      </c>
      <c r="C482" s="12" t="n">
        <v>8</v>
      </c>
      <c r="D482" s="12" t="n">
        <v>5</v>
      </c>
      <c r="E482" s="13" t="n">
        <v>203261</v>
      </c>
      <c r="F482" s="12" t="n"/>
      <c r="G482" s="13" t="n"/>
      <c r="H482" s="12" t="n"/>
      <c r="I482" s="12" t="n"/>
      <c r="J482" s="12" t="n"/>
      <c r="K482" s="12" t="n"/>
      <c r="L482" s="11" t="n"/>
      <c r="M482" s="11" t="n"/>
      <c r="N482" s="11" t="n"/>
      <c r="O482" s="11" t="n"/>
      <c r="P482" s="12" t="n"/>
      <c r="Q482" s="11" t="n"/>
      <c r="R482" s="12" t="n"/>
      <c r="S482" s="11" t="n"/>
      <c r="T482" s="12" t="n"/>
      <c r="U482" s="12" t="n"/>
      <c r="V482" s="12" t="n"/>
      <c r="W482" s="13" t="n"/>
      <c r="X482" s="14">
        <f>IF($AP482="",IF($B482="","",$H482),IF(INDEX(職員マスタ!$B$6:$B$405,$AP482)="",$H482,INDEX(職員マスタ!$B$6:$B$405,$AP482)))</f>
        <v/>
      </c>
      <c r="Y482" s="14">
        <f>IF($AP482="",IF($B482="","",$R482),IF(INDEX(職員マスタ!$C$6:$C$405,$AP482)="",$R482,INDEX(職員マスタ!$C$6:$C$405,$AP482)))</f>
        <v/>
      </c>
      <c r="Z482" s="14">
        <f>IF($AQ482="","","R"&amp;$C482&amp;"."&amp;$D482)</f>
        <v/>
      </c>
      <c r="AA482" s="15">
        <f>IF(IF($AP482="",FALSE,INDEX(職員マスタ!$K$6:$K$405,$AP482)&lt;&gt;""),INDEX(職員マスタ!$K$6:$K$405,$AP482),IF(N($W482)&gt;0,$W482,""))</f>
        <v/>
      </c>
      <c r="AB482" s="14">
        <f>IF(OR($E482="",$AA482=""),"",IF($E482&gt;=$AA482,"×",IF($E482&gt;=$AA482*設定!$C$5,"△","○")))</f>
        <v/>
      </c>
      <c r="AC482" s="15">
        <f>IF($AB482="","",IF($AB482="×",0,IF($AB482="○",ROUNDDOWN($E482*設定!$C$4,0),ROUNDDOWN($E482*ROUND((9*$AA482-9*$E482)/(10*$E482),4),0))))</f>
        <v/>
      </c>
      <c r="AD482" s="13" t="n"/>
      <c r="AE482" s="15">
        <f>IF($B482="","",IF($AD482&lt;&gt;"",$AD482,IF($AC482="","",IF($AC482&lt;=設定!$C$3,0,$AC482))))</f>
        <v/>
      </c>
      <c r="AF482" s="14">
        <f>IF($B482="","",IF(AND($AG482&lt;&gt;"",$AI482="",$AL482=""),"保留中",IF($AL482&lt;&gt;"",IF(N($AE482)&gt;0,"支給済","不支給"),IF($AE482="","要確認",IF($AE482=0,"不支給","未処理")))))</f>
        <v/>
      </c>
      <c r="AG482" s="12" t="n"/>
      <c r="AH482" s="11" t="n"/>
      <c r="AI482" s="11" t="n"/>
      <c r="AJ482" s="11" t="n"/>
      <c r="AK482" s="14">
        <f>IF(AND($AF482="保留中",$AH482&lt;&gt;""),TODAY()-$AH482,"")</f>
        <v/>
      </c>
      <c r="AL482" s="12" t="inlineStr">
        <is>
          <t>R8.7</t>
        </is>
      </c>
      <c r="AM482" s="14">
        <f>IF($B482="","",IF($AQ482="","対象年月が未入力／","")&amp;IF($B482="","",IF($AP482="","職員マスタに未登録の職員番号／",IF($AA482="","標準報酬月額が未登録／","")&amp;IF(AND($AQ482&lt;&gt;"",OR(AND(INDEX(職員マスタ!$G$6:$G$405,$AP482)&lt;&gt;"",INDEX(職員マスタ!$G$6:$G$405,$AP482)&gt;EOMONTH($AQ482,0)),AND(INDEX(職員マスタ!$H$6:$H$405,$AP482)&lt;&gt;"",INDEX(職員マスタ!$H$6:$H$405,$AP482)&lt;$AQ482))),"対象月が時短期間外／","")&amp;IF(AND(INDEX(職員マスタ!$K$6:$K$405,$AP482)&lt;&gt;"",N($W482)&gt;0,INDEX(職員マスタ!$K$6:$K$405,$AP482)&lt;&gt;$W482),"標準報酬月額が申請書と相違（台帳"&amp;TEXT(INDEX(職員マスタ!$K$6:$K$405,$AP482),"#,##0")&amp;"円／申請書"&amp;TEXT($W482,"#,##0")&amp;"円）／","")&amp;IF(AND(INDEX(職員マスタ!$F$6:$F$405,$AP482)&lt;&gt;"",$AQ482&lt;&gt;"",INDEX(職員マスタ!$F$6:$F$405,$AP482)&lt;$AQ482),"対象月に子が2歳到達済／","")&amp;IF(AND($H482&lt;&gt;"",INDEX(職員マスタ!$B$6:$B$405,$AP482)&lt;&gt;"",SUBSTITUTE(SUBSTITUTE($H482," ","")," ","")&lt;&gt;SUBSTITUTE(SUBSTITUTE(INDEX(職員マスタ!$B$6:$B$405,$AP482)," ","")," ","")),"氏名がマスタと相違／","")&amp;IF(AND($Q482&lt;&gt;"",INDEX(職員マスタ!$E$6:$E$405,$AP482)&lt;&gt;"",$Q482&lt;&gt;INDEX(職員マスタ!$E$6:$E$405,$AP482)),"子の生年月日がマスタと相違／","")&amp;IF(AND($L482&lt;&gt;"",INDEX(職員マスタ!$G$6:$G$405,$AP482)&lt;&gt;"",$L482&lt;&gt;INDEX(職員マスタ!$G$6:$G$405,$AP482)),"時短開始日がマスタと相違／","")&amp;IF(AND($M482&lt;&gt;"",INDEX(職員マスタ!$H$6:$H$405,$AP482)&lt;&gt;"",$M482&lt;&gt;INDEX(職員マスタ!$H$6:$H$405,$AP482)),"時短終了日がマスタと相違／","")))&amp;IF(AND($B482&lt;&gt;"",$E482=""),"報酬額が未入力／","")&amp;IF(N($U482)&gt;0,"申請書に入力エラーが残っています／","")&amp;IF(AND($B482&lt;&gt;"",$AQ482&lt;&gt;""),IF(COUNTIFS($B$6:$B$3005,$B482,$C$6:$C$3005,$C482,$D$6:$D$3005,$D482)&gt;1,"同じ月の請求が重複しています／",""),"")&amp;IF(AND(N($E482)&gt;0,$AB482&lt;&gt;"",$AB482&lt;&gt;"×",$AE482=0,$AD482=""),"計算額が下限以下のため不支給／",""))</f>
        <v/>
      </c>
      <c r="AN482" s="12" t="n"/>
      <c r="AO482" s="14">
        <f>IF($AF482="保留中",COUNTIF($AF$6:$AF482,"保留中"),"")</f>
        <v/>
      </c>
      <c r="AP482" s="14">
        <f>IF($AQ482="","",IF(SUMPRODUCT(MAX((職員マスタ!$A$6:$A$405=$B482)*(((職員マスタ!$G$6:$G$405="")+(職員マスタ!$G$6:$G$405&lt;=EOMONTH($AQ482,0)))&gt;0)*(((職員マスタ!$H$6:$H$405="")+(職員マスタ!$H$6:$H$405&gt;=$AQ482))&gt;0)*(ROW(職員マスタ!$A$6:$A$405)-5)))&gt;0,SUMPRODUCT(MAX((職員マスタ!$A$6:$A$405=$B482)*(((職員マスタ!$G$6:$G$405="")+(職員マスタ!$G$6:$G$405&lt;=EOMONTH($AQ482,0)))&gt;0)*(((職員マスタ!$H$6:$H$405="")+(職員マスタ!$H$6:$H$405&gt;=$AQ482))&gt;0)*(ROW(職員マスタ!$A$6:$A$405)-5))),IFERROR(MATCH($B482,職員マスタ!$A$6:$A$405,0),"")))</f>
        <v/>
      </c>
      <c r="AQ482" s="16">
        <f>IF(OR($B482="",$C482="",$D482=""),"",DATE($C482+2018,$D482,1))</f>
        <v/>
      </c>
    </row>
    <row r="483">
      <c r="A483" s="11" t="n"/>
      <c r="B483" s="12" t="n">
        <v>7202633</v>
      </c>
      <c r="C483" s="12" t="n">
        <v>7</v>
      </c>
      <c r="D483" s="12" t="n">
        <v>11</v>
      </c>
      <c r="E483" s="13" t="n">
        <v>190298</v>
      </c>
      <c r="F483" s="12" t="n"/>
      <c r="G483" s="13" t="n"/>
      <c r="H483" s="12" t="n"/>
      <c r="I483" s="12" t="n"/>
      <c r="J483" s="12" t="n"/>
      <c r="K483" s="12" t="n"/>
      <c r="L483" s="11" t="n"/>
      <c r="M483" s="11" t="n"/>
      <c r="N483" s="11" t="n"/>
      <c r="O483" s="11" t="n"/>
      <c r="P483" s="12" t="n"/>
      <c r="Q483" s="11" t="n"/>
      <c r="R483" s="12" t="n"/>
      <c r="S483" s="11" t="n"/>
      <c r="T483" s="12" t="n"/>
      <c r="U483" s="12" t="n"/>
      <c r="V483" s="12" t="n"/>
      <c r="W483" s="13" t="n"/>
      <c r="X483" s="14">
        <f>IF($AP483="",IF($B483="","",$H483),IF(INDEX(職員マスタ!$B$6:$B$405,$AP483)="",$H483,INDEX(職員マスタ!$B$6:$B$405,$AP483)))</f>
        <v/>
      </c>
      <c r="Y483" s="14">
        <f>IF($AP483="",IF($B483="","",$R483),IF(INDEX(職員マスタ!$C$6:$C$405,$AP483)="",$R483,INDEX(職員マスタ!$C$6:$C$405,$AP483)))</f>
        <v/>
      </c>
      <c r="Z483" s="14">
        <f>IF($AQ483="","","R"&amp;$C483&amp;"."&amp;$D483)</f>
        <v/>
      </c>
      <c r="AA483" s="15">
        <f>IF(IF($AP483="",FALSE,INDEX(職員マスタ!$K$6:$K$405,$AP483)&lt;&gt;""),INDEX(職員マスタ!$K$6:$K$405,$AP483),IF(N($W483)&gt;0,$W483,""))</f>
        <v/>
      </c>
      <c r="AB483" s="14">
        <f>IF(OR($E483="",$AA483=""),"",IF($E483&gt;=$AA483,"×",IF($E483&gt;=$AA483*設定!$C$5,"△","○")))</f>
        <v/>
      </c>
      <c r="AC483" s="15">
        <f>IF($AB483="","",IF($AB483="×",0,IF($AB483="○",ROUNDDOWN($E483*設定!$C$4,0),ROUNDDOWN($E483*ROUND((9*$AA483-9*$E483)/(10*$E483),4),0))))</f>
        <v/>
      </c>
      <c r="AD483" s="13" t="n"/>
      <c r="AE483" s="15">
        <f>IF($B483="","",IF($AD483&lt;&gt;"",$AD483,IF($AC483="","",IF($AC483&lt;=設定!$C$3,0,$AC483))))</f>
        <v/>
      </c>
      <c r="AF483" s="14">
        <f>IF($B483="","",IF(AND($AG483&lt;&gt;"",$AI483="",$AL483=""),"保留中",IF($AL483&lt;&gt;"",IF(N($AE483)&gt;0,"支給済","不支給"),IF($AE483="","要確認",IF($AE483=0,"不支給","未処理")))))</f>
        <v/>
      </c>
      <c r="AG483" s="12" t="n"/>
      <c r="AH483" s="11" t="n"/>
      <c r="AI483" s="11" t="n"/>
      <c r="AJ483" s="11" t="n"/>
      <c r="AK483" s="14">
        <f>IF(AND($AF483="保留中",$AH483&lt;&gt;""),TODAY()-$AH483,"")</f>
        <v/>
      </c>
      <c r="AL483" s="12" t="inlineStr">
        <is>
          <t>R8.1</t>
        </is>
      </c>
      <c r="AM483" s="14">
        <f>IF($B483="","",IF($AQ483="","対象年月が未入力／","")&amp;IF($B483="","",IF($AP483="","職員マスタに未登録の職員番号／",IF($AA483="","標準報酬月額が未登録／","")&amp;IF(AND($AQ483&lt;&gt;"",OR(AND(INDEX(職員マスタ!$G$6:$G$405,$AP483)&lt;&gt;"",INDEX(職員マスタ!$G$6:$G$405,$AP483)&gt;EOMONTH($AQ483,0)),AND(INDEX(職員マスタ!$H$6:$H$405,$AP483)&lt;&gt;"",INDEX(職員マスタ!$H$6:$H$405,$AP483)&lt;$AQ483))),"対象月が時短期間外／","")&amp;IF(AND(INDEX(職員マスタ!$K$6:$K$405,$AP483)&lt;&gt;"",N($W483)&gt;0,INDEX(職員マスタ!$K$6:$K$405,$AP483)&lt;&gt;$W483),"標準報酬月額が申請書と相違（台帳"&amp;TEXT(INDEX(職員マスタ!$K$6:$K$405,$AP483),"#,##0")&amp;"円／申請書"&amp;TEXT($W483,"#,##0")&amp;"円）／","")&amp;IF(AND(INDEX(職員マスタ!$F$6:$F$405,$AP483)&lt;&gt;"",$AQ483&lt;&gt;"",INDEX(職員マスタ!$F$6:$F$405,$AP483)&lt;$AQ483),"対象月に子が2歳到達済／","")&amp;IF(AND($H483&lt;&gt;"",INDEX(職員マスタ!$B$6:$B$405,$AP483)&lt;&gt;"",SUBSTITUTE(SUBSTITUTE($H483," ","")," ","")&lt;&gt;SUBSTITUTE(SUBSTITUTE(INDEX(職員マスタ!$B$6:$B$405,$AP483)," ","")," ","")),"氏名がマスタと相違／","")&amp;IF(AND($Q483&lt;&gt;"",INDEX(職員マスタ!$E$6:$E$405,$AP483)&lt;&gt;"",$Q483&lt;&gt;INDEX(職員マスタ!$E$6:$E$405,$AP483)),"子の生年月日がマスタと相違／","")&amp;IF(AND($L483&lt;&gt;"",INDEX(職員マスタ!$G$6:$G$405,$AP483)&lt;&gt;"",$L483&lt;&gt;INDEX(職員マスタ!$G$6:$G$405,$AP483)),"時短開始日がマスタと相違／","")&amp;IF(AND($M483&lt;&gt;"",INDEX(職員マスタ!$H$6:$H$405,$AP483)&lt;&gt;"",$M483&lt;&gt;INDEX(職員マスタ!$H$6:$H$405,$AP483)),"時短終了日がマスタと相違／","")))&amp;IF(AND($B483&lt;&gt;"",$E483=""),"報酬額が未入力／","")&amp;IF(N($U483)&gt;0,"申請書に入力エラーが残っています／","")&amp;IF(AND($B483&lt;&gt;"",$AQ483&lt;&gt;""),IF(COUNTIFS($B$6:$B$3005,$B483,$C$6:$C$3005,$C483,$D$6:$D$3005,$D483)&gt;1,"同じ月の請求が重複しています／",""),"")&amp;IF(AND(N($E483)&gt;0,$AB483&lt;&gt;"",$AB483&lt;&gt;"×",$AE483=0,$AD483=""),"計算額が下限以下のため不支給／",""))</f>
        <v/>
      </c>
      <c r="AN483" s="12" t="n"/>
      <c r="AO483" s="14">
        <f>IF($AF483="保留中",COUNTIF($AF$6:$AF483,"保留中"),"")</f>
        <v/>
      </c>
      <c r="AP483" s="14">
        <f>IF($AQ483="","",IF(SUMPRODUCT(MAX((職員マスタ!$A$6:$A$405=$B483)*(((職員マスタ!$G$6:$G$405="")+(職員マスタ!$G$6:$G$405&lt;=EOMONTH($AQ483,0)))&gt;0)*(((職員マスタ!$H$6:$H$405="")+(職員マスタ!$H$6:$H$405&gt;=$AQ483))&gt;0)*(ROW(職員マスタ!$A$6:$A$405)-5)))&gt;0,SUMPRODUCT(MAX((職員マスタ!$A$6:$A$405=$B483)*(((職員マスタ!$G$6:$G$405="")+(職員マスタ!$G$6:$G$405&lt;=EOMONTH($AQ483,0)))&gt;0)*(((職員マスタ!$H$6:$H$405="")+(職員マスタ!$H$6:$H$405&gt;=$AQ483))&gt;0)*(ROW(職員マスタ!$A$6:$A$405)-5))),IFERROR(MATCH($B483,職員マスタ!$A$6:$A$405,0),"")))</f>
        <v/>
      </c>
      <c r="AQ483" s="16">
        <f>IF(OR($B483="",$C483="",$D483=""),"",DATE($C483+2018,$D483,1))</f>
        <v/>
      </c>
    </row>
    <row r="484">
      <c r="A484" s="11" t="n"/>
      <c r="B484" s="12" t="n">
        <v>7202633</v>
      </c>
      <c r="C484" s="12" t="n">
        <v>7</v>
      </c>
      <c r="D484" s="12" t="n">
        <v>12</v>
      </c>
      <c r="E484" s="13" t="n">
        <v>198996</v>
      </c>
      <c r="F484" s="12" t="n"/>
      <c r="G484" s="13" t="n"/>
      <c r="H484" s="12" t="n"/>
      <c r="I484" s="12" t="n"/>
      <c r="J484" s="12" t="n"/>
      <c r="K484" s="12" t="n"/>
      <c r="L484" s="11" t="n"/>
      <c r="M484" s="11" t="n"/>
      <c r="N484" s="11" t="n"/>
      <c r="O484" s="11" t="n"/>
      <c r="P484" s="12" t="n"/>
      <c r="Q484" s="11" t="n"/>
      <c r="R484" s="12" t="n"/>
      <c r="S484" s="11" t="n"/>
      <c r="T484" s="12" t="n"/>
      <c r="U484" s="12" t="n"/>
      <c r="V484" s="12" t="n"/>
      <c r="W484" s="13" t="n"/>
      <c r="X484" s="14">
        <f>IF($AP484="",IF($B484="","",$H484),IF(INDEX(職員マスタ!$B$6:$B$405,$AP484)="",$H484,INDEX(職員マスタ!$B$6:$B$405,$AP484)))</f>
        <v/>
      </c>
      <c r="Y484" s="14">
        <f>IF($AP484="",IF($B484="","",$R484),IF(INDEX(職員マスタ!$C$6:$C$405,$AP484)="",$R484,INDEX(職員マスタ!$C$6:$C$405,$AP484)))</f>
        <v/>
      </c>
      <c r="Z484" s="14">
        <f>IF($AQ484="","","R"&amp;$C484&amp;"."&amp;$D484)</f>
        <v/>
      </c>
      <c r="AA484" s="15">
        <f>IF(IF($AP484="",FALSE,INDEX(職員マスタ!$K$6:$K$405,$AP484)&lt;&gt;""),INDEX(職員マスタ!$K$6:$K$405,$AP484),IF(N($W484)&gt;0,$W484,""))</f>
        <v/>
      </c>
      <c r="AB484" s="14">
        <f>IF(OR($E484="",$AA484=""),"",IF($E484&gt;=$AA484,"×",IF($E484&gt;=$AA484*設定!$C$5,"△","○")))</f>
        <v/>
      </c>
      <c r="AC484" s="15">
        <f>IF($AB484="","",IF($AB484="×",0,IF($AB484="○",ROUNDDOWN($E484*設定!$C$4,0),ROUNDDOWN($E484*ROUND((9*$AA484-9*$E484)/(10*$E484),4),0))))</f>
        <v/>
      </c>
      <c r="AD484" s="13" t="n"/>
      <c r="AE484" s="15">
        <f>IF($B484="","",IF($AD484&lt;&gt;"",$AD484,IF($AC484="","",IF($AC484&lt;=設定!$C$3,0,$AC484))))</f>
        <v/>
      </c>
      <c r="AF484" s="14">
        <f>IF($B484="","",IF(AND($AG484&lt;&gt;"",$AI484="",$AL484=""),"保留中",IF($AL484&lt;&gt;"",IF(N($AE484)&gt;0,"支給済","不支給"),IF($AE484="","要確認",IF($AE484=0,"不支給","未処理")))))</f>
        <v/>
      </c>
      <c r="AG484" s="12" t="n"/>
      <c r="AH484" s="11" t="n"/>
      <c r="AI484" s="11" t="n"/>
      <c r="AJ484" s="11" t="n"/>
      <c r="AK484" s="14">
        <f>IF(AND($AF484="保留中",$AH484&lt;&gt;""),TODAY()-$AH484,"")</f>
        <v/>
      </c>
      <c r="AL484" s="12" t="inlineStr">
        <is>
          <t>R8.2</t>
        </is>
      </c>
      <c r="AM484" s="14">
        <f>IF($B484="","",IF($AQ484="","対象年月が未入力／","")&amp;IF($B484="","",IF($AP484="","職員マスタに未登録の職員番号／",IF($AA484="","標準報酬月額が未登録／","")&amp;IF(AND($AQ484&lt;&gt;"",OR(AND(INDEX(職員マスタ!$G$6:$G$405,$AP484)&lt;&gt;"",INDEX(職員マスタ!$G$6:$G$405,$AP484)&gt;EOMONTH($AQ484,0)),AND(INDEX(職員マスタ!$H$6:$H$405,$AP484)&lt;&gt;"",INDEX(職員マスタ!$H$6:$H$405,$AP484)&lt;$AQ484))),"対象月が時短期間外／","")&amp;IF(AND(INDEX(職員マスタ!$K$6:$K$405,$AP484)&lt;&gt;"",N($W484)&gt;0,INDEX(職員マスタ!$K$6:$K$405,$AP484)&lt;&gt;$W484),"標準報酬月額が申請書と相違（台帳"&amp;TEXT(INDEX(職員マスタ!$K$6:$K$405,$AP484),"#,##0")&amp;"円／申請書"&amp;TEXT($W484,"#,##0")&amp;"円）／","")&amp;IF(AND(INDEX(職員マスタ!$F$6:$F$405,$AP484)&lt;&gt;"",$AQ484&lt;&gt;"",INDEX(職員マスタ!$F$6:$F$405,$AP484)&lt;$AQ484),"対象月に子が2歳到達済／","")&amp;IF(AND($H484&lt;&gt;"",INDEX(職員マスタ!$B$6:$B$405,$AP484)&lt;&gt;"",SUBSTITUTE(SUBSTITUTE($H484," ","")," ","")&lt;&gt;SUBSTITUTE(SUBSTITUTE(INDEX(職員マスタ!$B$6:$B$405,$AP484)," ","")," ","")),"氏名がマスタと相違／","")&amp;IF(AND($Q484&lt;&gt;"",INDEX(職員マスタ!$E$6:$E$405,$AP484)&lt;&gt;"",$Q484&lt;&gt;INDEX(職員マスタ!$E$6:$E$405,$AP484)),"子の生年月日がマスタと相違／","")&amp;IF(AND($L484&lt;&gt;"",INDEX(職員マスタ!$G$6:$G$405,$AP484)&lt;&gt;"",$L484&lt;&gt;INDEX(職員マスタ!$G$6:$G$405,$AP484)),"時短開始日がマスタと相違／","")&amp;IF(AND($M484&lt;&gt;"",INDEX(職員マスタ!$H$6:$H$405,$AP484)&lt;&gt;"",$M484&lt;&gt;INDEX(職員マスタ!$H$6:$H$405,$AP484)),"時短終了日がマスタと相違／","")))&amp;IF(AND($B484&lt;&gt;"",$E484=""),"報酬額が未入力／","")&amp;IF(N($U484)&gt;0,"申請書に入力エラーが残っています／","")&amp;IF(AND($B484&lt;&gt;"",$AQ484&lt;&gt;""),IF(COUNTIFS($B$6:$B$3005,$B484,$C$6:$C$3005,$C484,$D$6:$D$3005,$D484)&gt;1,"同じ月の請求が重複しています／",""),"")&amp;IF(AND(N($E484)&gt;0,$AB484&lt;&gt;"",$AB484&lt;&gt;"×",$AE484=0,$AD484=""),"計算額が下限以下のため不支給／",""))</f>
        <v/>
      </c>
      <c r="AN484" s="12" t="n"/>
      <c r="AO484" s="14">
        <f>IF($AF484="保留中",COUNTIF($AF$6:$AF484,"保留中"),"")</f>
        <v/>
      </c>
      <c r="AP484" s="14">
        <f>IF($AQ484="","",IF(SUMPRODUCT(MAX((職員マスタ!$A$6:$A$405=$B484)*(((職員マスタ!$G$6:$G$405="")+(職員マスタ!$G$6:$G$405&lt;=EOMONTH($AQ484,0)))&gt;0)*(((職員マスタ!$H$6:$H$405="")+(職員マスタ!$H$6:$H$405&gt;=$AQ484))&gt;0)*(ROW(職員マスタ!$A$6:$A$405)-5)))&gt;0,SUMPRODUCT(MAX((職員マスタ!$A$6:$A$405=$B484)*(((職員マスタ!$G$6:$G$405="")+(職員マスタ!$G$6:$G$405&lt;=EOMONTH($AQ484,0)))&gt;0)*(((職員マスタ!$H$6:$H$405="")+(職員マスタ!$H$6:$H$405&gt;=$AQ484))&gt;0)*(ROW(職員マスタ!$A$6:$A$405)-5))),IFERROR(MATCH($B484,職員マスタ!$A$6:$A$405,0),"")))</f>
        <v/>
      </c>
      <c r="AQ484" s="16">
        <f>IF(OR($B484="",$C484="",$D484=""),"",DATE($C484+2018,$D484,1))</f>
        <v/>
      </c>
    </row>
    <row r="485">
      <c r="A485" s="11" t="n"/>
      <c r="B485" s="12" t="n">
        <v>7202633</v>
      </c>
      <c r="C485" s="12" t="n">
        <v>8</v>
      </c>
      <c r="D485" s="12" t="n">
        <v>1</v>
      </c>
      <c r="E485" s="13" t="n">
        <v>198996</v>
      </c>
      <c r="F485" s="12" t="n"/>
      <c r="G485" s="13" t="n"/>
      <c r="H485" s="12" t="n"/>
      <c r="I485" s="12" t="n"/>
      <c r="J485" s="12" t="n"/>
      <c r="K485" s="12" t="n"/>
      <c r="L485" s="11" t="n"/>
      <c r="M485" s="11" t="n"/>
      <c r="N485" s="11" t="n"/>
      <c r="O485" s="11" t="n"/>
      <c r="P485" s="12" t="n"/>
      <c r="Q485" s="11" t="n"/>
      <c r="R485" s="12" t="n"/>
      <c r="S485" s="11" t="n"/>
      <c r="T485" s="12" t="n"/>
      <c r="U485" s="12" t="n"/>
      <c r="V485" s="12" t="n"/>
      <c r="W485" s="13" t="n"/>
      <c r="X485" s="14">
        <f>IF($AP485="",IF($B485="","",$H485),IF(INDEX(職員マスタ!$B$6:$B$405,$AP485)="",$H485,INDEX(職員マスタ!$B$6:$B$405,$AP485)))</f>
        <v/>
      </c>
      <c r="Y485" s="14">
        <f>IF($AP485="",IF($B485="","",$R485),IF(INDEX(職員マスタ!$C$6:$C$405,$AP485)="",$R485,INDEX(職員マスタ!$C$6:$C$405,$AP485)))</f>
        <v/>
      </c>
      <c r="Z485" s="14">
        <f>IF($AQ485="","","R"&amp;$C485&amp;"."&amp;$D485)</f>
        <v/>
      </c>
      <c r="AA485" s="15">
        <f>IF(IF($AP485="",FALSE,INDEX(職員マスタ!$K$6:$K$405,$AP485)&lt;&gt;""),INDEX(職員マスタ!$K$6:$K$405,$AP485),IF(N($W485)&gt;0,$W485,""))</f>
        <v/>
      </c>
      <c r="AB485" s="14">
        <f>IF(OR($E485="",$AA485=""),"",IF($E485&gt;=$AA485,"×",IF($E485&gt;=$AA485*設定!$C$5,"△","○")))</f>
        <v/>
      </c>
      <c r="AC485" s="15">
        <f>IF($AB485="","",IF($AB485="×",0,IF($AB485="○",ROUNDDOWN($E485*設定!$C$4,0),ROUNDDOWN($E485*ROUND((9*$AA485-9*$E485)/(10*$E485),4),0))))</f>
        <v/>
      </c>
      <c r="AD485" s="13" t="n"/>
      <c r="AE485" s="15">
        <f>IF($B485="","",IF($AD485&lt;&gt;"",$AD485,IF($AC485="","",IF($AC485&lt;=設定!$C$3,0,$AC485))))</f>
        <v/>
      </c>
      <c r="AF485" s="14">
        <f>IF($B485="","",IF(AND($AG485&lt;&gt;"",$AI485="",$AL485=""),"保留中",IF($AL485&lt;&gt;"",IF(N($AE485)&gt;0,"支給済","不支給"),IF($AE485="","要確認",IF($AE485=0,"不支給","未処理")))))</f>
        <v/>
      </c>
      <c r="AG485" s="12" t="n"/>
      <c r="AH485" s="11" t="n"/>
      <c r="AI485" s="11" t="n"/>
      <c r="AJ485" s="11" t="n"/>
      <c r="AK485" s="14">
        <f>IF(AND($AF485="保留中",$AH485&lt;&gt;""),TODAY()-$AH485,"")</f>
        <v/>
      </c>
      <c r="AL485" s="12" t="inlineStr">
        <is>
          <t>R8.3</t>
        </is>
      </c>
      <c r="AM485" s="14">
        <f>IF($B485="","",IF($AQ485="","対象年月が未入力／","")&amp;IF($B485="","",IF($AP485="","職員マスタに未登録の職員番号／",IF($AA485="","標準報酬月額が未登録／","")&amp;IF(AND($AQ485&lt;&gt;"",OR(AND(INDEX(職員マスタ!$G$6:$G$405,$AP485)&lt;&gt;"",INDEX(職員マスタ!$G$6:$G$405,$AP485)&gt;EOMONTH($AQ485,0)),AND(INDEX(職員マスタ!$H$6:$H$405,$AP485)&lt;&gt;"",INDEX(職員マスタ!$H$6:$H$405,$AP485)&lt;$AQ485))),"対象月が時短期間外／","")&amp;IF(AND(INDEX(職員マスタ!$K$6:$K$405,$AP485)&lt;&gt;"",N($W485)&gt;0,INDEX(職員マスタ!$K$6:$K$405,$AP485)&lt;&gt;$W485),"標準報酬月額が申請書と相違（台帳"&amp;TEXT(INDEX(職員マスタ!$K$6:$K$405,$AP485),"#,##0")&amp;"円／申請書"&amp;TEXT($W485,"#,##0")&amp;"円）／","")&amp;IF(AND(INDEX(職員マスタ!$F$6:$F$405,$AP485)&lt;&gt;"",$AQ485&lt;&gt;"",INDEX(職員マスタ!$F$6:$F$405,$AP485)&lt;$AQ485),"対象月に子が2歳到達済／","")&amp;IF(AND($H485&lt;&gt;"",INDEX(職員マスタ!$B$6:$B$405,$AP485)&lt;&gt;"",SUBSTITUTE(SUBSTITUTE($H485," ","")," ","")&lt;&gt;SUBSTITUTE(SUBSTITUTE(INDEX(職員マスタ!$B$6:$B$405,$AP485)," ","")," ","")),"氏名がマスタと相違／","")&amp;IF(AND($Q485&lt;&gt;"",INDEX(職員マスタ!$E$6:$E$405,$AP485)&lt;&gt;"",$Q485&lt;&gt;INDEX(職員マスタ!$E$6:$E$405,$AP485)),"子の生年月日がマスタと相違／","")&amp;IF(AND($L485&lt;&gt;"",INDEX(職員マスタ!$G$6:$G$405,$AP485)&lt;&gt;"",$L485&lt;&gt;INDEX(職員マスタ!$G$6:$G$405,$AP485)),"時短開始日がマスタと相違／","")&amp;IF(AND($M485&lt;&gt;"",INDEX(職員マスタ!$H$6:$H$405,$AP485)&lt;&gt;"",$M485&lt;&gt;INDEX(職員マスタ!$H$6:$H$405,$AP485)),"時短終了日がマスタと相違／","")))&amp;IF(AND($B485&lt;&gt;"",$E485=""),"報酬額が未入力／","")&amp;IF(N($U485)&gt;0,"申請書に入力エラーが残っています／","")&amp;IF(AND($B485&lt;&gt;"",$AQ485&lt;&gt;""),IF(COUNTIFS($B$6:$B$3005,$B485,$C$6:$C$3005,$C485,$D$6:$D$3005,$D485)&gt;1,"同じ月の請求が重複しています／",""),"")&amp;IF(AND(N($E485)&gt;0,$AB485&lt;&gt;"",$AB485&lt;&gt;"×",$AE485=0,$AD485=""),"計算額が下限以下のため不支給／",""))</f>
        <v/>
      </c>
      <c r="AN485" s="12" t="n"/>
      <c r="AO485" s="14">
        <f>IF($AF485="保留中",COUNTIF($AF$6:$AF485,"保留中"),"")</f>
        <v/>
      </c>
      <c r="AP485" s="14">
        <f>IF($AQ485="","",IF(SUMPRODUCT(MAX((職員マスタ!$A$6:$A$405=$B485)*(((職員マスタ!$G$6:$G$405="")+(職員マスタ!$G$6:$G$405&lt;=EOMONTH($AQ485,0)))&gt;0)*(((職員マスタ!$H$6:$H$405="")+(職員マスタ!$H$6:$H$405&gt;=$AQ485))&gt;0)*(ROW(職員マスタ!$A$6:$A$405)-5)))&gt;0,SUMPRODUCT(MAX((職員マスタ!$A$6:$A$405=$B485)*(((職員マスタ!$G$6:$G$405="")+(職員マスタ!$G$6:$G$405&lt;=EOMONTH($AQ485,0)))&gt;0)*(((職員マスタ!$H$6:$H$405="")+(職員マスタ!$H$6:$H$405&gt;=$AQ485))&gt;0)*(ROW(職員マスタ!$A$6:$A$405)-5))),IFERROR(MATCH($B485,職員マスタ!$A$6:$A$405,0),"")))</f>
        <v/>
      </c>
      <c r="AQ485" s="16">
        <f>IF(OR($B485="",$C485="",$D485=""),"",DATE($C485+2018,$D485,1))</f>
        <v/>
      </c>
    </row>
    <row r="486">
      <c r="A486" s="11" t="n"/>
      <c r="B486" s="12" t="n">
        <v>7202633</v>
      </c>
      <c r="C486" s="12" t="n">
        <v>8</v>
      </c>
      <c r="D486" s="12" t="n">
        <v>2</v>
      </c>
      <c r="E486" s="13" t="n">
        <v>195576</v>
      </c>
      <c r="F486" s="12" t="n"/>
      <c r="G486" s="13" t="n"/>
      <c r="H486" s="12" t="n"/>
      <c r="I486" s="12" t="n"/>
      <c r="J486" s="12" t="n"/>
      <c r="K486" s="12" t="n"/>
      <c r="L486" s="11" t="n"/>
      <c r="M486" s="11" t="n"/>
      <c r="N486" s="11" t="n"/>
      <c r="O486" s="11" t="n"/>
      <c r="P486" s="12" t="n"/>
      <c r="Q486" s="11" t="n"/>
      <c r="R486" s="12" t="n"/>
      <c r="S486" s="11" t="n"/>
      <c r="T486" s="12" t="n"/>
      <c r="U486" s="12" t="n"/>
      <c r="V486" s="12" t="n"/>
      <c r="W486" s="13" t="n"/>
      <c r="X486" s="14">
        <f>IF($AP486="",IF($B486="","",$H486),IF(INDEX(職員マスタ!$B$6:$B$405,$AP486)="",$H486,INDEX(職員マスタ!$B$6:$B$405,$AP486)))</f>
        <v/>
      </c>
      <c r="Y486" s="14">
        <f>IF($AP486="",IF($B486="","",$R486),IF(INDEX(職員マスタ!$C$6:$C$405,$AP486)="",$R486,INDEX(職員マスタ!$C$6:$C$405,$AP486)))</f>
        <v/>
      </c>
      <c r="Z486" s="14">
        <f>IF($AQ486="","","R"&amp;$C486&amp;"."&amp;$D486)</f>
        <v/>
      </c>
      <c r="AA486" s="15">
        <f>IF(IF($AP486="",FALSE,INDEX(職員マスタ!$K$6:$K$405,$AP486)&lt;&gt;""),INDEX(職員マスタ!$K$6:$K$405,$AP486),IF(N($W486)&gt;0,$W486,""))</f>
        <v/>
      </c>
      <c r="AB486" s="14">
        <f>IF(OR($E486="",$AA486=""),"",IF($E486&gt;=$AA486,"×",IF($E486&gt;=$AA486*設定!$C$5,"△","○")))</f>
        <v/>
      </c>
      <c r="AC486" s="15">
        <f>IF($AB486="","",IF($AB486="×",0,IF($AB486="○",ROUNDDOWN($E486*設定!$C$4,0),ROUNDDOWN($E486*ROUND((9*$AA486-9*$E486)/(10*$E486),4),0))))</f>
        <v/>
      </c>
      <c r="AD486" s="13" t="n"/>
      <c r="AE486" s="15">
        <f>IF($B486="","",IF($AD486&lt;&gt;"",$AD486,IF($AC486="","",IF($AC486&lt;=設定!$C$3,0,$AC486))))</f>
        <v/>
      </c>
      <c r="AF486" s="14">
        <f>IF($B486="","",IF(AND($AG486&lt;&gt;"",$AI486="",$AL486=""),"保留中",IF($AL486&lt;&gt;"",IF(N($AE486)&gt;0,"支給済","不支給"),IF($AE486="","要確認",IF($AE486=0,"不支給","未処理")))))</f>
        <v/>
      </c>
      <c r="AG486" s="12" t="n"/>
      <c r="AH486" s="11" t="n"/>
      <c r="AI486" s="11" t="n"/>
      <c r="AJ486" s="11" t="n"/>
      <c r="AK486" s="14">
        <f>IF(AND($AF486="保留中",$AH486&lt;&gt;""),TODAY()-$AH486,"")</f>
        <v/>
      </c>
      <c r="AL486" s="12" t="inlineStr">
        <is>
          <t>R8.4</t>
        </is>
      </c>
      <c r="AM486" s="14">
        <f>IF($B486="","",IF($AQ486="","対象年月が未入力／","")&amp;IF($B486="","",IF($AP486="","職員マスタに未登録の職員番号／",IF($AA486="","標準報酬月額が未登録／","")&amp;IF(AND($AQ486&lt;&gt;"",OR(AND(INDEX(職員マスタ!$G$6:$G$405,$AP486)&lt;&gt;"",INDEX(職員マスタ!$G$6:$G$405,$AP486)&gt;EOMONTH($AQ486,0)),AND(INDEX(職員マスタ!$H$6:$H$405,$AP486)&lt;&gt;"",INDEX(職員マスタ!$H$6:$H$405,$AP486)&lt;$AQ486))),"対象月が時短期間外／","")&amp;IF(AND(INDEX(職員マスタ!$K$6:$K$405,$AP486)&lt;&gt;"",N($W486)&gt;0,INDEX(職員マスタ!$K$6:$K$405,$AP486)&lt;&gt;$W486),"標準報酬月額が申請書と相違（台帳"&amp;TEXT(INDEX(職員マスタ!$K$6:$K$405,$AP486),"#,##0")&amp;"円／申請書"&amp;TEXT($W486,"#,##0")&amp;"円）／","")&amp;IF(AND(INDEX(職員マスタ!$F$6:$F$405,$AP486)&lt;&gt;"",$AQ486&lt;&gt;"",INDEX(職員マスタ!$F$6:$F$405,$AP486)&lt;$AQ486),"対象月に子が2歳到達済／","")&amp;IF(AND($H486&lt;&gt;"",INDEX(職員マスタ!$B$6:$B$405,$AP486)&lt;&gt;"",SUBSTITUTE(SUBSTITUTE($H486," ","")," ","")&lt;&gt;SUBSTITUTE(SUBSTITUTE(INDEX(職員マスタ!$B$6:$B$405,$AP486)," ","")," ","")),"氏名がマスタと相違／","")&amp;IF(AND($Q486&lt;&gt;"",INDEX(職員マスタ!$E$6:$E$405,$AP486)&lt;&gt;"",$Q486&lt;&gt;INDEX(職員マスタ!$E$6:$E$405,$AP486)),"子の生年月日がマスタと相違／","")&amp;IF(AND($L486&lt;&gt;"",INDEX(職員マスタ!$G$6:$G$405,$AP486)&lt;&gt;"",$L486&lt;&gt;INDEX(職員マスタ!$G$6:$G$405,$AP486)),"時短開始日がマスタと相違／","")&amp;IF(AND($M486&lt;&gt;"",INDEX(職員マスタ!$H$6:$H$405,$AP486)&lt;&gt;"",$M486&lt;&gt;INDEX(職員マスタ!$H$6:$H$405,$AP486)),"時短終了日がマスタと相違／","")))&amp;IF(AND($B486&lt;&gt;"",$E486=""),"報酬額が未入力／","")&amp;IF(N($U486)&gt;0,"申請書に入力エラーが残っています／","")&amp;IF(AND($B486&lt;&gt;"",$AQ486&lt;&gt;""),IF(COUNTIFS($B$6:$B$3005,$B486,$C$6:$C$3005,$C486,$D$6:$D$3005,$D486)&gt;1,"同じ月の請求が重複しています／",""),"")&amp;IF(AND(N($E486)&gt;0,$AB486&lt;&gt;"",$AB486&lt;&gt;"×",$AE486=0,$AD486=""),"計算額が下限以下のため不支給／",""))</f>
        <v/>
      </c>
      <c r="AN486" s="12" t="n"/>
      <c r="AO486" s="14">
        <f>IF($AF486="保留中",COUNTIF($AF$6:$AF486,"保留中"),"")</f>
        <v/>
      </c>
      <c r="AP486" s="14">
        <f>IF($AQ486="","",IF(SUMPRODUCT(MAX((職員マスタ!$A$6:$A$405=$B486)*(((職員マスタ!$G$6:$G$405="")+(職員マスタ!$G$6:$G$405&lt;=EOMONTH($AQ486,0)))&gt;0)*(((職員マスタ!$H$6:$H$405="")+(職員マスタ!$H$6:$H$405&gt;=$AQ486))&gt;0)*(ROW(職員マスタ!$A$6:$A$405)-5)))&gt;0,SUMPRODUCT(MAX((職員マスタ!$A$6:$A$405=$B486)*(((職員マスタ!$G$6:$G$405="")+(職員マスタ!$G$6:$G$405&lt;=EOMONTH($AQ486,0)))&gt;0)*(((職員マスタ!$H$6:$H$405="")+(職員マスタ!$H$6:$H$405&gt;=$AQ486))&gt;0)*(ROW(職員マスタ!$A$6:$A$405)-5))),IFERROR(MATCH($B486,職員マスタ!$A$6:$A$405,0),"")))</f>
        <v/>
      </c>
      <c r="AQ486" s="16">
        <f>IF(OR($B486="",$C486="",$D486=""),"",DATE($C486+2018,$D486,1))</f>
        <v/>
      </c>
    </row>
    <row r="487">
      <c r="A487" s="11" t="n"/>
      <c r="B487" s="12" t="n">
        <v>7202633</v>
      </c>
      <c r="C487" s="12" t="n">
        <v>8</v>
      </c>
      <c r="D487" s="12" t="n">
        <v>3</v>
      </c>
      <c r="E487" s="13" t="n">
        <v>195576</v>
      </c>
      <c r="F487" s="12" t="n"/>
      <c r="G487" s="13" t="n"/>
      <c r="H487" s="12" t="n"/>
      <c r="I487" s="12" t="n"/>
      <c r="J487" s="12" t="n"/>
      <c r="K487" s="12" t="n"/>
      <c r="L487" s="11" t="n"/>
      <c r="M487" s="11" t="n"/>
      <c r="N487" s="11" t="n"/>
      <c r="O487" s="11" t="n"/>
      <c r="P487" s="12" t="n"/>
      <c r="Q487" s="11" t="n"/>
      <c r="R487" s="12" t="n"/>
      <c r="S487" s="11" t="n"/>
      <c r="T487" s="12" t="n"/>
      <c r="U487" s="12" t="n"/>
      <c r="V487" s="12" t="n"/>
      <c r="W487" s="13" t="n"/>
      <c r="X487" s="14">
        <f>IF($AP487="",IF($B487="","",$H487),IF(INDEX(職員マスタ!$B$6:$B$405,$AP487)="",$H487,INDEX(職員マスタ!$B$6:$B$405,$AP487)))</f>
        <v/>
      </c>
      <c r="Y487" s="14">
        <f>IF($AP487="",IF($B487="","",$R487),IF(INDEX(職員マスタ!$C$6:$C$405,$AP487)="",$R487,INDEX(職員マスタ!$C$6:$C$405,$AP487)))</f>
        <v/>
      </c>
      <c r="Z487" s="14">
        <f>IF($AQ487="","","R"&amp;$C487&amp;"."&amp;$D487)</f>
        <v/>
      </c>
      <c r="AA487" s="15">
        <f>IF(IF($AP487="",FALSE,INDEX(職員マスタ!$K$6:$K$405,$AP487)&lt;&gt;""),INDEX(職員マスタ!$K$6:$K$405,$AP487),IF(N($W487)&gt;0,$W487,""))</f>
        <v/>
      </c>
      <c r="AB487" s="14">
        <f>IF(OR($E487="",$AA487=""),"",IF($E487&gt;=$AA487,"×",IF($E487&gt;=$AA487*設定!$C$5,"△","○")))</f>
        <v/>
      </c>
      <c r="AC487" s="15">
        <f>IF($AB487="","",IF($AB487="×",0,IF($AB487="○",ROUNDDOWN($E487*設定!$C$4,0),ROUNDDOWN($E487*ROUND((9*$AA487-9*$E487)/(10*$E487),4),0))))</f>
        <v/>
      </c>
      <c r="AD487" s="13" t="n"/>
      <c r="AE487" s="15">
        <f>IF($B487="","",IF($AD487&lt;&gt;"",$AD487,IF($AC487="","",IF($AC487&lt;=設定!$C$3,0,$AC487))))</f>
        <v/>
      </c>
      <c r="AF487" s="14">
        <f>IF($B487="","",IF(AND($AG487&lt;&gt;"",$AI487="",$AL487=""),"保留中",IF($AL487&lt;&gt;"",IF(N($AE487)&gt;0,"支給済","不支給"),IF($AE487="","要確認",IF($AE487=0,"不支給","未処理")))))</f>
        <v/>
      </c>
      <c r="AG487" s="12" t="n"/>
      <c r="AH487" s="11" t="n"/>
      <c r="AI487" s="11" t="n"/>
      <c r="AJ487" s="11" t="n"/>
      <c r="AK487" s="14">
        <f>IF(AND($AF487="保留中",$AH487&lt;&gt;""),TODAY()-$AH487,"")</f>
        <v/>
      </c>
      <c r="AL487" s="12" t="inlineStr">
        <is>
          <t>R8.5</t>
        </is>
      </c>
      <c r="AM487" s="14">
        <f>IF($B487="","",IF($AQ487="","対象年月が未入力／","")&amp;IF($B487="","",IF($AP487="","職員マスタに未登録の職員番号／",IF($AA487="","標準報酬月額が未登録／","")&amp;IF(AND($AQ487&lt;&gt;"",OR(AND(INDEX(職員マスタ!$G$6:$G$405,$AP487)&lt;&gt;"",INDEX(職員マスタ!$G$6:$G$405,$AP487)&gt;EOMONTH($AQ487,0)),AND(INDEX(職員マスタ!$H$6:$H$405,$AP487)&lt;&gt;"",INDEX(職員マスタ!$H$6:$H$405,$AP487)&lt;$AQ487))),"対象月が時短期間外／","")&amp;IF(AND(INDEX(職員マスタ!$K$6:$K$405,$AP487)&lt;&gt;"",N($W487)&gt;0,INDEX(職員マスタ!$K$6:$K$405,$AP487)&lt;&gt;$W487),"標準報酬月額が申請書と相違（台帳"&amp;TEXT(INDEX(職員マスタ!$K$6:$K$405,$AP487),"#,##0")&amp;"円／申請書"&amp;TEXT($W487,"#,##0")&amp;"円）／","")&amp;IF(AND(INDEX(職員マスタ!$F$6:$F$405,$AP487)&lt;&gt;"",$AQ487&lt;&gt;"",INDEX(職員マスタ!$F$6:$F$405,$AP487)&lt;$AQ487),"対象月に子が2歳到達済／","")&amp;IF(AND($H487&lt;&gt;"",INDEX(職員マスタ!$B$6:$B$405,$AP487)&lt;&gt;"",SUBSTITUTE(SUBSTITUTE($H487," ","")," ","")&lt;&gt;SUBSTITUTE(SUBSTITUTE(INDEX(職員マスタ!$B$6:$B$405,$AP487)," ","")," ","")),"氏名がマスタと相違／","")&amp;IF(AND($Q487&lt;&gt;"",INDEX(職員マスタ!$E$6:$E$405,$AP487)&lt;&gt;"",$Q487&lt;&gt;INDEX(職員マスタ!$E$6:$E$405,$AP487)),"子の生年月日がマスタと相違／","")&amp;IF(AND($L487&lt;&gt;"",INDEX(職員マスタ!$G$6:$G$405,$AP487)&lt;&gt;"",$L487&lt;&gt;INDEX(職員マスタ!$G$6:$G$405,$AP487)),"時短開始日がマスタと相違／","")&amp;IF(AND($M487&lt;&gt;"",INDEX(職員マスタ!$H$6:$H$405,$AP487)&lt;&gt;"",$M487&lt;&gt;INDEX(職員マスタ!$H$6:$H$405,$AP487)),"時短終了日がマスタと相違／","")))&amp;IF(AND($B487&lt;&gt;"",$E487=""),"報酬額が未入力／","")&amp;IF(N($U487)&gt;0,"申請書に入力エラーが残っています／","")&amp;IF(AND($B487&lt;&gt;"",$AQ487&lt;&gt;""),IF(COUNTIFS($B$6:$B$3005,$B487,$C$6:$C$3005,$C487,$D$6:$D$3005,$D487)&gt;1,"同じ月の請求が重複しています／",""),"")&amp;IF(AND(N($E487)&gt;0,$AB487&lt;&gt;"",$AB487&lt;&gt;"×",$AE487=0,$AD487=""),"計算額が下限以下のため不支給／",""))</f>
        <v/>
      </c>
      <c r="AN487" s="12" t="n"/>
      <c r="AO487" s="14">
        <f>IF($AF487="保留中",COUNTIF($AF$6:$AF487,"保留中"),"")</f>
        <v/>
      </c>
      <c r="AP487" s="14">
        <f>IF($AQ487="","",IF(SUMPRODUCT(MAX((職員マスタ!$A$6:$A$405=$B487)*(((職員マスタ!$G$6:$G$405="")+(職員マスタ!$G$6:$G$405&lt;=EOMONTH($AQ487,0)))&gt;0)*(((職員マスタ!$H$6:$H$405="")+(職員マスタ!$H$6:$H$405&gt;=$AQ487))&gt;0)*(ROW(職員マスタ!$A$6:$A$405)-5)))&gt;0,SUMPRODUCT(MAX((職員マスタ!$A$6:$A$405=$B487)*(((職員マスタ!$G$6:$G$405="")+(職員マスタ!$G$6:$G$405&lt;=EOMONTH($AQ487,0)))&gt;0)*(((職員マスタ!$H$6:$H$405="")+(職員マスタ!$H$6:$H$405&gt;=$AQ487))&gt;0)*(ROW(職員マスタ!$A$6:$A$405)-5))),IFERROR(MATCH($B487,職員マスタ!$A$6:$A$405,0),"")))</f>
        <v/>
      </c>
      <c r="AQ487" s="16">
        <f>IF(OR($B487="",$C487="",$D487=""),"",DATE($C487+2018,$D487,1))</f>
        <v/>
      </c>
    </row>
    <row r="488">
      <c r="A488" s="11" t="n"/>
      <c r="B488" s="12" t="n">
        <v>7203161</v>
      </c>
      <c r="C488" s="12" t="n">
        <v>7</v>
      </c>
      <c r="D488" s="12" t="n">
        <v>7</v>
      </c>
      <c r="E488" s="13" t="n">
        <v>334073</v>
      </c>
      <c r="F488" s="12" t="n"/>
      <c r="G488" s="13" t="n"/>
      <c r="H488" s="12" t="n"/>
      <c r="I488" s="12" t="n"/>
      <c r="J488" s="12" t="n"/>
      <c r="K488" s="12" t="n"/>
      <c r="L488" s="11" t="n"/>
      <c r="M488" s="11" t="n"/>
      <c r="N488" s="11" t="n"/>
      <c r="O488" s="11" t="n"/>
      <c r="P488" s="12" t="n"/>
      <c r="Q488" s="11" t="n"/>
      <c r="R488" s="12" t="n"/>
      <c r="S488" s="11" t="n"/>
      <c r="T488" s="12" t="n"/>
      <c r="U488" s="12" t="n"/>
      <c r="V488" s="12" t="n"/>
      <c r="W488" s="13" t="n"/>
      <c r="X488" s="14">
        <f>IF($AP488="",IF($B488="","",$H488),IF(INDEX(職員マスタ!$B$6:$B$405,$AP488)="",$H488,INDEX(職員マスタ!$B$6:$B$405,$AP488)))</f>
        <v/>
      </c>
      <c r="Y488" s="14">
        <f>IF($AP488="",IF($B488="","",$R488),IF(INDEX(職員マスタ!$C$6:$C$405,$AP488)="",$R488,INDEX(職員マスタ!$C$6:$C$405,$AP488)))</f>
        <v/>
      </c>
      <c r="Z488" s="14">
        <f>IF($AQ488="","","R"&amp;$C488&amp;"."&amp;$D488)</f>
        <v/>
      </c>
      <c r="AA488" s="15">
        <f>IF(IF($AP488="",FALSE,INDEX(職員マスタ!$K$6:$K$405,$AP488)&lt;&gt;""),INDEX(職員マスタ!$K$6:$K$405,$AP488),IF(N($W488)&gt;0,$W488,""))</f>
        <v/>
      </c>
      <c r="AB488" s="14">
        <f>IF(OR($E488="",$AA488=""),"",IF($E488&gt;=$AA488,"×",IF($E488&gt;=$AA488*設定!$C$5,"△","○")))</f>
        <v/>
      </c>
      <c r="AC488" s="15">
        <f>IF($AB488="","",IF($AB488="×",0,IF($AB488="○",ROUNDDOWN($E488*設定!$C$4,0),ROUNDDOWN($E488*ROUND((9*$AA488-9*$E488)/(10*$E488),4),0))))</f>
        <v/>
      </c>
      <c r="AD488" s="13" t="n"/>
      <c r="AE488" s="15">
        <f>IF($B488="","",IF($AD488&lt;&gt;"",$AD488,IF($AC488="","",IF($AC488&lt;=設定!$C$3,0,$AC488))))</f>
        <v/>
      </c>
      <c r="AF488" s="14">
        <f>IF($B488="","",IF(AND($AG488&lt;&gt;"",$AI488="",$AL488=""),"保留中",IF($AL488&lt;&gt;"",IF(N($AE488)&gt;0,"支給済","不支給"),IF($AE488="","要確認",IF($AE488=0,"不支給","未処理")))))</f>
        <v/>
      </c>
      <c r="AG488" s="12" t="n"/>
      <c r="AH488" s="11" t="n"/>
      <c r="AI488" s="11" t="n"/>
      <c r="AJ488" s="11" t="n"/>
      <c r="AK488" s="14">
        <f>IF(AND($AF488="保留中",$AH488&lt;&gt;""),TODAY()-$AH488,"")</f>
        <v/>
      </c>
      <c r="AL488" s="12" t="inlineStr">
        <is>
          <t>R7.9</t>
        </is>
      </c>
      <c r="AM488" s="14">
        <f>IF($B488="","",IF($AQ488="","対象年月が未入力／","")&amp;IF($B488="","",IF($AP488="","職員マスタに未登録の職員番号／",IF($AA488="","標準報酬月額が未登録／","")&amp;IF(AND($AQ488&lt;&gt;"",OR(AND(INDEX(職員マスタ!$G$6:$G$405,$AP488)&lt;&gt;"",INDEX(職員マスタ!$G$6:$G$405,$AP488)&gt;EOMONTH($AQ488,0)),AND(INDEX(職員マスタ!$H$6:$H$405,$AP488)&lt;&gt;"",INDEX(職員マスタ!$H$6:$H$405,$AP488)&lt;$AQ488))),"対象月が時短期間外／","")&amp;IF(AND(INDEX(職員マスタ!$K$6:$K$405,$AP488)&lt;&gt;"",N($W488)&gt;0,INDEX(職員マスタ!$K$6:$K$405,$AP488)&lt;&gt;$W488),"標準報酬月額が申請書と相違（台帳"&amp;TEXT(INDEX(職員マスタ!$K$6:$K$405,$AP488),"#,##0")&amp;"円／申請書"&amp;TEXT($W488,"#,##0")&amp;"円）／","")&amp;IF(AND(INDEX(職員マスタ!$F$6:$F$405,$AP488)&lt;&gt;"",$AQ488&lt;&gt;"",INDEX(職員マスタ!$F$6:$F$405,$AP488)&lt;$AQ488),"対象月に子が2歳到達済／","")&amp;IF(AND($H488&lt;&gt;"",INDEX(職員マスタ!$B$6:$B$405,$AP488)&lt;&gt;"",SUBSTITUTE(SUBSTITUTE($H488," ","")," ","")&lt;&gt;SUBSTITUTE(SUBSTITUTE(INDEX(職員マスタ!$B$6:$B$405,$AP488)," ","")," ","")),"氏名がマスタと相違／","")&amp;IF(AND($Q488&lt;&gt;"",INDEX(職員マスタ!$E$6:$E$405,$AP488)&lt;&gt;"",$Q488&lt;&gt;INDEX(職員マスタ!$E$6:$E$405,$AP488)),"子の生年月日がマスタと相違／","")&amp;IF(AND($L488&lt;&gt;"",INDEX(職員マスタ!$G$6:$G$405,$AP488)&lt;&gt;"",$L488&lt;&gt;INDEX(職員マスタ!$G$6:$G$405,$AP488)),"時短開始日がマスタと相違／","")&amp;IF(AND($M488&lt;&gt;"",INDEX(職員マスタ!$H$6:$H$405,$AP488)&lt;&gt;"",$M488&lt;&gt;INDEX(職員マスタ!$H$6:$H$405,$AP488)),"時短終了日がマスタと相違／","")))&amp;IF(AND($B488&lt;&gt;"",$E488=""),"報酬額が未入力／","")&amp;IF(N($U488)&gt;0,"申請書に入力エラーが残っています／","")&amp;IF(AND($B488&lt;&gt;"",$AQ488&lt;&gt;""),IF(COUNTIFS($B$6:$B$3005,$B488,$C$6:$C$3005,$C488,$D$6:$D$3005,$D488)&gt;1,"同じ月の請求が重複しています／",""),"")&amp;IF(AND(N($E488)&gt;0,$AB488&lt;&gt;"",$AB488&lt;&gt;"×",$AE488=0,$AD488=""),"計算額が下限以下のため不支給／",""))</f>
        <v/>
      </c>
      <c r="AN488" s="12" t="n"/>
      <c r="AO488" s="14">
        <f>IF($AF488="保留中",COUNTIF($AF$6:$AF488,"保留中"),"")</f>
        <v/>
      </c>
      <c r="AP488" s="14">
        <f>IF($AQ488="","",IF(SUMPRODUCT(MAX((職員マスタ!$A$6:$A$405=$B488)*(((職員マスタ!$G$6:$G$405="")+(職員マスタ!$G$6:$G$405&lt;=EOMONTH($AQ488,0)))&gt;0)*(((職員マスタ!$H$6:$H$405="")+(職員マスタ!$H$6:$H$405&gt;=$AQ488))&gt;0)*(ROW(職員マスタ!$A$6:$A$405)-5)))&gt;0,SUMPRODUCT(MAX((職員マスタ!$A$6:$A$405=$B488)*(((職員マスタ!$G$6:$G$405="")+(職員マスタ!$G$6:$G$405&lt;=EOMONTH($AQ488,0)))&gt;0)*(((職員マスタ!$H$6:$H$405="")+(職員マスタ!$H$6:$H$405&gt;=$AQ488))&gt;0)*(ROW(職員マスタ!$A$6:$A$405)-5))),IFERROR(MATCH($B488,職員マスタ!$A$6:$A$405,0),"")))</f>
        <v/>
      </c>
      <c r="AQ488" s="16">
        <f>IF(OR($B488="",$C488="",$D488=""),"",DATE($C488+2018,$D488,1))</f>
        <v/>
      </c>
    </row>
    <row r="489">
      <c r="A489" s="11" t="n"/>
      <c r="B489" s="12" t="n">
        <v>7203161</v>
      </c>
      <c r="C489" s="12" t="n">
        <v>7</v>
      </c>
      <c r="D489" s="12" t="n">
        <v>8</v>
      </c>
      <c r="E489" s="13" t="n">
        <v>297281</v>
      </c>
      <c r="F489" s="12" t="n"/>
      <c r="G489" s="13" t="n"/>
      <c r="H489" s="12" t="n"/>
      <c r="I489" s="12" t="n"/>
      <c r="J489" s="12" t="n"/>
      <c r="K489" s="12" t="n"/>
      <c r="L489" s="11" t="n"/>
      <c r="M489" s="11" t="n"/>
      <c r="N489" s="11" t="n"/>
      <c r="O489" s="11" t="n"/>
      <c r="P489" s="12" t="n"/>
      <c r="Q489" s="11" t="n"/>
      <c r="R489" s="12" t="n"/>
      <c r="S489" s="11" t="n"/>
      <c r="T489" s="12" t="n"/>
      <c r="U489" s="12" t="n"/>
      <c r="V489" s="12" t="n"/>
      <c r="W489" s="13" t="n"/>
      <c r="X489" s="14">
        <f>IF($AP489="",IF($B489="","",$H489),IF(INDEX(職員マスタ!$B$6:$B$405,$AP489)="",$H489,INDEX(職員マスタ!$B$6:$B$405,$AP489)))</f>
        <v/>
      </c>
      <c r="Y489" s="14">
        <f>IF($AP489="",IF($B489="","",$R489),IF(INDEX(職員マスタ!$C$6:$C$405,$AP489)="",$R489,INDEX(職員マスタ!$C$6:$C$405,$AP489)))</f>
        <v/>
      </c>
      <c r="Z489" s="14">
        <f>IF($AQ489="","","R"&amp;$C489&amp;"."&amp;$D489)</f>
        <v/>
      </c>
      <c r="AA489" s="15">
        <f>IF(IF($AP489="",FALSE,INDEX(職員マスタ!$K$6:$K$405,$AP489)&lt;&gt;""),INDEX(職員マスタ!$K$6:$K$405,$AP489),IF(N($W489)&gt;0,$W489,""))</f>
        <v/>
      </c>
      <c r="AB489" s="14">
        <f>IF(OR($E489="",$AA489=""),"",IF($E489&gt;=$AA489,"×",IF($E489&gt;=$AA489*設定!$C$5,"△","○")))</f>
        <v/>
      </c>
      <c r="AC489" s="15">
        <f>IF($AB489="","",IF($AB489="×",0,IF($AB489="○",ROUNDDOWN($E489*設定!$C$4,0),ROUNDDOWN($E489*ROUND((9*$AA489-9*$E489)/(10*$E489),4),0))))</f>
        <v/>
      </c>
      <c r="AD489" s="13" t="n"/>
      <c r="AE489" s="15">
        <f>IF($B489="","",IF($AD489&lt;&gt;"",$AD489,IF($AC489="","",IF($AC489&lt;=設定!$C$3,0,$AC489))))</f>
        <v/>
      </c>
      <c r="AF489" s="14">
        <f>IF($B489="","",IF(AND($AG489&lt;&gt;"",$AI489="",$AL489=""),"保留中",IF($AL489&lt;&gt;"",IF(N($AE489)&gt;0,"支給済","不支給"),IF($AE489="","要確認",IF($AE489=0,"不支給","未処理")))))</f>
        <v/>
      </c>
      <c r="AG489" s="12" t="n"/>
      <c r="AH489" s="11" t="n"/>
      <c r="AI489" s="11" t="n"/>
      <c r="AJ489" s="11" t="n"/>
      <c r="AK489" s="14">
        <f>IF(AND($AF489="保留中",$AH489&lt;&gt;""),TODAY()-$AH489,"")</f>
        <v/>
      </c>
      <c r="AL489" s="12" t="inlineStr">
        <is>
          <t>R7.10</t>
        </is>
      </c>
      <c r="AM489" s="14">
        <f>IF($B489="","",IF($AQ489="","対象年月が未入力／","")&amp;IF($B489="","",IF($AP489="","職員マスタに未登録の職員番号／",IF($AA489="","標準報酬月額が未登録／","")&amp;IF(AND($AQ489&lt;&gt;"",OR(AND(INDEX(職員マスタ!$G$6:$G$405,$AP489)&lt;&gt;"",INDEX(職員マスタ!$G$6:$G$405,$AP489)&gt;EOMONTH($AQ489,0)),AND(INDEX(職員マスタ!$H$6:$H$405,$AP489)&lt;&gt;"",INDEX(職員マスタ!$H$6:$H$405,$AP489)&lt;$AQ489))),"対象月が時短期間外／","")&amp;IF(AND(INDEX(職員マスタ!$K$6:$K$405,$AP489)&lt;&gt;"",N($W489)&gt;0,INDEX(職員マスタ!$K$6:$K$405,$AP489)&lt;&gt;$W489),"標準報酬月額が申請書と相違（台帳"&amp;TEXT(INDEX(職員マスタ!$K$6:$K$405,$AP489),"#,##0")&amp;"円／申請書"&amp;TEXT($W489,"#,##0")&amp;"円）／","")&amp;IF(AND(INDEX(職員マスタ!$F$6:$F$405,$AP489)&lt;&gt;"",$AQ489&lt;&gt;"",INDEX(職員マスタ!$F$6:$F$405,$AP489)&lt;$AQ489),"対象月に子が2歳到達済／","")&amp;IF(AND($H489&lt;&gt;"",INDEX(職員マスタ!$B$6:$B$405,$AP489)&lt;&gt;"",SUBSTITUTE(SUBSTITUTE($H489," ","")," ","")&lt;&gt;SUBSTITUTE(SUBSTITUTE(INDEX(職員マスタ!$B$6:$B$405,$AP489)," ","")," ","")),"氏名がマスタと相違／","")&amp;IF(AND($Q489&lt;&gt;"",INDEX(職員マスタ!$E$6:$E$405,$AP489)&lt;&gt;"",$Q489&lt;&gt;INDEX(職員マスタ!$E$6:$E$405,$AP489)),"子の生年月日がマスタと相違／","")&amp;IF(AND($L489&lt;&gt;"",INDEX(職員マスタ!$G$6:$G$405,$AP489)&lt;&gt;"",$L489&lt;&gt;INDEX(職員マスタ!$G$6:$G$405,$AP489)),"時短開始日がマスタと相違／","")&amp;IF(AND($M489&lt;&gt;"",INDEX(職員マスタ!$H$6:$H$405,$AP489)&lt;&gt;"",$M489&lt;&gt;INDEX(職員マスタ!$H$6:$H$405,$AP489)),"時短終了日がマスタと相違／","")))&amp;IF(AND($B489&lt;&gt;"",$E489=""),"報酬額が未入力／","")&amp;IF(N($U489)&gt;0,"申請書に入力エラーが残っています／","")&amp;IF(AND($B489&lt;&gt;"",$AQ489&lt;&gt;""),IF(COUNTIFS($B$6:$B$3005,$B489,$C$6:$C$3005,$C489,$D$6:$D$3005,$D489)&gt;1,"同じ月の請求が重複しています／",""),"")&amp;IF(AND(N($E489)&gt;0,$AB489&lt;&gt;"",$AB489&lt;&gt;"×",$AE489=0,$AD489=""),"計算額が下限以下のため不支給／",""))</f>
        <v/>
      </c>
      <c r="AN489" s="12" t="n"/>
      <c r="AO489" s="14">
        <f>IF($AF489="保留中",COUNTIF($AF$6:$AF489,"保留中"),"")</f>
        <v/>
      </c>
      <c r="AP489" s="14">
        <f>IF($AQ489="","",IF(SUMPRODUCT(MAX((職員マスタ!$A$6:$A$405=$B489)*(((職員マスタ!$G$6:$G$405="")+(職員マスタ!$G$6:$G$405&lt;=EOMONTH($AQ489,0)))&gt;0)*(((職員マスタ!$H$6:$H$405="")+(職員マスタ!$H$6:$H$405&gt;=$AQ489))&gt;0)*(ROW(職員マスタ!$A$6:$A$405)-5)))&gt;0,SUMPRODUCT(MAX((職員マスタ!$A$6:$A$405=$B489)*(((職員マスタ!$G$6:$G$405="")+(職員マスタ!$G$6:$G$405&lt;=EOMONTH($AQ489,0)))&gt;0)*(((職員マスタ!$H$6:$H$405="")+(職員マスタ!$H$6:$H$405&gt;=$AQ489))&gt;0)*(ROW(職員マスタ!$A$6:$A$405)-5))),IFERROR(MATCH($B489,職員マスタ!$A$6:$A$405,0),"")))</f>
        <v/>
      </c>
      <c r="AQ489" s="16">
        <f>IF(OR($B489="",$C489="",$D489=""),"",DATE($C489+2018,$D489,1))</f>
        <v/>
      </c>
    </row>
    <row r="490">
      <c r="A490" s="11" t="n"/>
      <c r="B490" s="12" t="n">
        <v>7401929</v>
      </c>
      <c r="C490" s="12" t="n">
        <v>7</v>
      </c>
      <c r="D490" s="12" t="n">
        <v>4</v>
      </c>
      <c r="E490" s="13" t="n">
        <v>189784</v>
      </c>
      <c r="F490" s="12" t="n"/>
      <c r="G490" s="13" t="n"/>
      <c r="H490" s="12" t="n"/>
      <c r="I490" s="12" t="n"/>
      <c r="J490" s="12" t="n"/>
      <c r="K490" s="12" t="n"/>
      <c r="L490" s="11" t="n"/>
      <c r="M490" s="11" t="n"/>
      <c r="N490" s="11" t="n"/>
      <c r="O490" s="11" t="n"/>
      <c r="P490" s="12" t="n"/>
      <c r="Q490" s="11" t="n"/>
      <c r="R490" s="12" t="n"/>
      <c r="S490" s="11" t="n"/>
      <c r="T490" s="12" t="n"/>
      <c r="U490" s="12" t="n"/>
      <c r="V490" s="12" t="n"/>
      <c r="W490" s="13" t="n"/>
      <c r="X490" s="14">
        <f>IF($AP490="",IF($B490="","",$H490),IF(INDEX(職員マスタ!$B$6:$B$405,$AP490)="",$H490,INDEX(職員マスタ!$B$6:$B$405,$AP490)))</f>
        <v/>
      </c>
      <c r="Y490" s="14">
        <f>IF($AP490="",IF($B490="","",$R490),IF(INDEX(職員マスタ!$C$6:$C$405,$AP490)="",$R490,INDEX(職員マスタ!$C$6:$C$405,$AP490)))</f>
        <v/>
      </c>
      <c r="Z490" s="14">
        <f>IF($AQ490="","","R"&amp;$C490&amp;"."&amp;$D490)</f>
        <v/>
      </c>
      <c r="AA490" s="15">
        <f>IF(IF($AP490="",FALSE,INDEX(職員マスタ!$K$6:$K$405,$AP490)&lt;&gt;""),INDEX(職員マスタ!$K$6:$K$405,$AP490),IF(N($W490)&gt;0,$W490,""))</f>
        <v/>
      </c>
      <c r="AB490" s="14">
        <f>IF(OR($E490="",$AA490=""),"",IF($E490&gt;=$AA490,"×",IF($E490&gt;=$AA490*設定!$C$5,"△","○")))</f>
        <v/>
      </c>
      <c r="AC490" s="15">
        <f>IF($AB490="","",IF($AB490="×",0,IF($AB490="○",ROUNDDOWN($E490*設定!$C$4,0),ROUNDDOWN($E490*ROUND((9*$AA490-9*$E490)/(10*$E490),4),0))))</f>
        <v/>
      </c>
      <c r="AD490" s="13" t="n"/>
      <c r="AE490" s="15">
        <f>IF($B490="","",IF($AD490&lt;&gt;"",$AD490,IF($AC490="","",IF($AC490&lt;=設定!$C$3,0,$AC490))))</f>
        <v/>
      </c>
      <c r="AF490" s="14">
        <f>IF($B490="","",IF(AND($AG490&lt;&gt;"",$AI490="",$AL490=""),"保留中",IF($AL490&lt;&gt;"",IF(N($AE490)&gt;0,"支給済","不支給"),IF($AE490="","要確認",IF($AE490=0,"不支給","未処理")))))</f>
        <v/>
      </c>
      <c r="AG490" s="12" t="n"/>
      <c r="AH490" s="11" t="n"/>
      <c r="AI490" s="11" t="n"/>
      <c r="AJ490" s="11" t="n"/>
      <c r="AK490" s="14">
        <f>IF(AND($AF490="保留中",$AH490&lt;&gt;""),TODAY()-$AH490,"")</f>
        <v/>
      </c>
      <c r="AL490" s="12" t="inlineStr">
        <is>
          <t>R7.9</t>
        </is>
      </c>
      <c r="AM490" s="14">
        <f>IF($B490="","",IF($AQ490="","対象年月が未入力／","")&amp;IF($B490="","",IF($AP490="","職員マスタに未登録の職員番号／",IF($AA490="","標準報酬月額が未登録／","")&amp;IF(AND($AQ490&lt;&gt;"",OR(AND(INDEX(職員マスタ!$G$6:$G$405,$AP490)&lt;&gt;"",INDEX(職員マスタ!$G$6:$G$405,$AP490)&gt;EOMONTH($AQ490,0)),AND(INDEX(職員マスタ!$H$6:$H$405,$AP490)&lt;&gt;"",INDEX(職員マスタ!$H$6:$H$405,$AP490)&lt;$AQ490))),"対象月が時短期間外／","")&amp;IF(AND(INDEX(職員マスタ!$K$6:$K$405,$AP490)&lt;&gt;"",N($W490)&gt;0,INDEX(職員マスタ!$K$6:$K$405,$AP490)&lt;&gt;$W490),"標準報酬月額が申請書と相違（台帳"&amp;TEXT(INDEX(職員マスタ!$K$6:$K$405,$AP490),"#,##0")&amp;"円／申請書"&amp;TEXT($W490,"#,##0")&amp;"円）／","")&amp;IF(AND(INDEX(職員マスタ!$F$6:$F$405,$AP490)&lt;&gt;"",$AQ490&lt;&gt;"",INDEX(職員マスタ!$F$6:$F$405,$AP490)&lt;$AQ490),"対象月に子が2歳到達済／","")&amp;IF(AND($H490&lt;&gt;"",INDEX(職員マスタ!$B$6:$B$405,$AP490)&lt;&gt;"",SUBSTITUTE(SUBSTITUTE($H490," ","")," ","")&lt;&gt;SUBSTITUTE(SUBSTITUTE(INDEX(職員マスタ!$B$6:$B$405,$AP490)," ","")," ","")),"氏名がマスタと相違／","")&amp;IF(AND($Q490&lt;&gt;"",INDEX(職員マスタ!$E$6:$E$405,$AP490)&lt;&gt;"",$Q490&lt;&gt;INDEX(職員マスタ!$E$6:$E$405,$AP490)),"子の生年月日がマスタと相違／","")&amp;IF(AND($L490&lt;&gt;"",INDEX(職員マスタ!$G$6:$G$405,$AP490)&lt;&gt;"",$L490&lt;&gt;INDEX(職員マスタ!$G$6:$G$405,$AP490)),"時短開始日がマスタと相違／","")&amp;IF(AND($M490&lt;&gt;"",INDEX(職員マスタ!$H$6:$H$405,$AP490)&lt;&gt;"",$M490&lt;&gt;INDEX(職員マスタ!$H$6:$H$405,$AP490)),"時短終了日がマスタと相違／","")))&amp;IF(AND($B490&lt;&gt;"",$E490=""),"報酬額が未入力／","")&amp;IF(N($U490)&gt;0,"申請書に入力エラーが残っています／","")&amp;IF(AND($B490&lt;&gt;"",$AQ490&lt;&gt;""),IF(COUNTIFS($B$6:$B$3005,$B490,$C$6:$C$3005,$C490,$D$6:$D$3005,$D490)&gt;1,"同じ月の請求が重複しています／",""),"")&amp;IF(AND(N($E490)&gt;0,$AB490&lt;&gt;"",$AB490&lt;&gt;"×",$AE490=0,$AD490=""),"計算額が下限以下のため不支給／",""))</f>
        <v/>
      </c>
      <c r="AN490" s="12" t="n"/>
      <c r="AO490" s="14">
        <f>IF($AF490="保留中",COUNTIF($AF$6:$AF490,"保留中"),"")</f>
        <v/>
      </c>
      <c r="AP490" s="14">
        <f>IF($AQ490="","",IF(SUMPRODUCT(MAX((職員マスタ!$A$6:$A$405=$B490)*(((職員マスタ!$G$6:$G$405="")+(職員マスタ!$G$6:$G$405&lt;=EOMONTH($AQ490,0)))&gt;0)*(((職員マスタ!$H$6:$H$405="")+(職員マスタ!$H$6:$H$405&gt;=$AQ490))&gt;0)*(ROW(職員マスタ!$A$6:$A$405)-5)))&gt;0,SUMPRODUCT(MAX((職員マスタ!$A$6:$A$405=$B490)*(((職員マスタ!$G$6:$G$405="")+(職員マスタ!$G$6:$G$405&lt;=EOMONTH($AQ490,0)))&gt;0)*(((職員マスタ!$H$6:$H$405="")+(職員マスタ!$H$6:$H$405&gt;=$AQ490))&gt;0)*(ROW(職員マスタ!$A$6:$A$405)-5))),IFERROR(MATCH($B490,職員マスタ!$A$6:$A$405,0),"")))</f>
        <v/>
      </c>
      <c r="AQ490" s="16">
        <f>IF(OR($B490="",$C490="",$D490=""),"",DATE($C490+2018,$D490,1))</f>
        <v/>
      </c>
    </row>
    <row r="491">
      <c r="A491" s="11" t="n"/>
      <c r="B491" s="12" t="n">
        <v>7401929</v>
      </c>
      <c r="C491" s="12" t="n">
        <v>7</v>
      </c>
      <c r="D491" s="12" t="n">
        <v>5</v>
      </c>
      <c r="E491" s="13" t="n">
        <v>181186</v>
      </c>
      <c r="F491" s="12" t="n"/>
      <c r="G491" s="13" t="n"/>
      <c r="H491" s="12" t="n"/>
      <c r="I491" s="12" t="n"/>
      <c r="J491" s="12" t="n"/>
      <c r="K491" s="12" t="n"/>
      <c r="L491" s="11" t="n"/>
      <c r="M491" s="11" t="n"/>
      <c r="N491" s="11" t="n"/>
      <c r="O491" s="11" t="n"/>
      <c r="P491" s="12" t="n"/>
      <c r="Q491" s="11" t="n"/>
      <c r="R491" s="12" t="n"/>
      <c r="S491" s="11" t="n"/>
      <c r="T491" s="12" t="n"/>
      <c r="U491" s="12" t="n"/>
      <c r="V491" s="12" t="n"/>
      <c r="W491" s="13" t="n"/>
      <c r="X491" s="14">
        <f>IF($AP491="",IF($B491="","",$H491),IF(INDEX(職員マスタ!$B$6:$B$405,$AP491)="",$H491,INDEX(職員マスタ!$B$6:$B$405,$AP491)))</f>
        <v/>
      </c>
      <c r="Y491" s="14">
        <f>IF($AP491="",IF($B491="","",$R491),IF(INDEX(職員マスタ!$C$6:$C$405,$AP491)="",$R491,INDEX(職員マスタ!$C$6:$C$405,$AP491)))</f>
        <v/>
      </c>
      <c r="Z491" s="14">
        <f>IF($AQ491="","","R"&amp;$C491&amp;"."&amp;$D491)</f>
        <v/>
      </c>
      <c r="AA491" s="15">
        <f>IF(IF($AP491="",FALSE,INDEX(職員マスタ!$K$6:$K$405,$AP491)&lt;&gt;""),INDEX(職員マスタ!$K$6:$K$405,$AP491),IF(N($W491)&gt;0,$W491,""))</f>
        <v/>
      </c>
      <c r="AB491" s="14">
        <f>IF(OR($E491="",$AA491=""),"",IF($E491&gt;=$AA491,"×",IF($E491&gt;=$AA491*設定!$C$5,"△","○")))</f>
        <v/>
      </c>
      <c r="AC491" s="15">
        <f>IF($AB491="","",IF($AB491="×",0,IF($AB491="○",ROUNDDOWN($E491*設定!$C$4,0),ROUNDDOWN($E491*ROUND((9*$AA491-9*$E491)/(10*$E491),4),0))))</f>
        <v/>
      </c>
      <c r="AD491" s="13" t="n"/>
      <c r="AE491" s="15">
        <f>IF($B491="","",IF($AD491&lt;&gt;"",$AD491,IF($AC491="","",IF($AC491&lt;=設定!$C$3,0,$AC491))))</f>
        <v/>
      </c>
      <c r="AF491" s="14">
        <f>IF($B491="","",IF(AND($AG491&lt;&gt;"",$AI491="",$AL491=""),"保留中",IF($AL491&lt;&gt;"",IF(N($AE491)&gt;0,"支給済","不支給"),IF($AE491="","要確認",IF($AE491=0,"不支給","未処理")))))</f>
        <v/>
      </c>
      <c r="AG491" s="12" t="n"/>
      <c r="AH491" s="11" t="n"/>
      <c r="AI491" s="11" t="n"/>
      <c r="AJ491" s="11" t="n"/>
      <c r="AK491" s="14">
        <f>IF(AND($AF491="保留中",$AH491&lt;&gt;""),TODAY()-$AH491,"")</f>
        <v/>
      </c>
      <c r="AL491" s="12" t="inlineStr">
        <is>
          <t>R7.9</t>
        </is>
      </c>
      <c r="AM491" s="14">
        <f>IF($B491="","",IF($AQ491="","対象年月が未入力／","")&amp;IF($B491="","",IF($AP491="","職員マスタに未登録の職員番号／",IF($AA491="","標準報酬月額が未登録／","")&amp;IF(AND($AQ491&lt;&gt;"",OR(AND(INDEX(職員マスタ!$G$6:$G$405,$AP491)&lt;&gt;"",INDEX(職員マスタ!$G$6:$G$405,$AP491)&gt;EOMONTH($AQ491,0)),AND(INDEX(職員マスタ!$H$6:$H$405,$AP491)&lt;&gt;"",INDEX(職員マスタ!$H$6:$H$405,$AP491)&lt;$AQ491))),"対象月が時短期間外／","")&amp;IF(AND(INDEX(職員マスタ!$K$6:$K$405,$AP491)&lt;&gt;"",N($W491)&gt;0,INDEX(職員マスタ!$K$6:$K$405,$AP491)&lt;&gt;$W491),"標準報酬月額が申請書と相違（台帳"&amp;TEXT(INDEX(職員マスタ!$K$6:$K$405,$AP491),"#,##0")&amp;"円／申請書"&amp;TEXT($W491,"#,##0")&amp;"円）／","")&amp;IF(AND(INDEX(職員マスタ!$F$6:$F$405,$AP491)&lt;&gt;"",$AQ491&lt;&gt;"",INDEX(職員マスタ!$F$6:$F$405,$AP491)&lt;$AQ491),"対象月に子が2歳到達済／","")&amp;IF(AND($H491&lt;&gt;"",INDEX(職員マスタ!$B$6:$B$405,$AP491)&lt;&gt;"",SUBSTITUTE(SUBSTITUTE($H491," ","")," ","")&lt;&gt;SUBSTITUTE(SUBSTITUTE(INDEX(職員マスタ!$B$6:$B$405,$AP491)," ","")," ","")),"氏名がマスタと相違／","")&amp;IF(AND($Q491&lt;&gt;"",INDEX(職員マスタ!$E$6:$E$405,$AP491)&lt;&gt;"",$Q491&lt;&gt;INDEX(職員マスタ!$E$6:$E$405,$AP491)),"子の生年月日がマスタと相違／","")&amp;IF(AND($L491&lt;&gt;"",INDEX(職員マスタ!$G$6:$G$405,$AP491)&lt;&gt;"",$L491&lt;&gt;INDEX(職員マスタ!$G$6:$G$405,$AP491)),"時短開始日がマスタと相違／","")&amp;IF(AND($M491&lt;&gt;"",INDEX(職員マスタ!$H$6:$H$405,$AP491)&lt;&gt;"",$M491&lt;&gt;INDEX(職員マスタ!$H$6:$H$405,$AP491)),"時短終了日がマスタと相違／","")))&amp;IF(AND($B491&lt;&gt;"",$E491=""),"報酬額が未入力／","")&amp;IF(N($U491)&gt;0,"申請書に入力エラーが残っています／","")&amp;IF(AND($B491&lt;&gt;"",$AQ491&lt;&gt;""),IF(COUNTIFS($B$6:$B$3005,$B491,$C$6:$C$3005,$C491,$D$6:$D$3005,$D491)&gt;1,"同じ月の請求が重複しています／",""),"")&amp;IF(AND(N($E491)&gt;0,$AB491&lt;&gt;"",$AB491&lt;&gt;"×",$AE491=0,$AD491=""),"計算額が下限以下のため不支給／",""))</f>
        <v/>
      </c>
      <c r="AN491" s="12" t="n"/>
      <c r="AO491" s="14">
        <f>IF($AF491="保留中",COUNTIF($AF$6:$AF491,"保留中"),"")</f>
        <v/>
      </c>
      <c r="AP491" s="14">
        <f>IF($AQ491="","",IF(SUMPRODUCT(MAX((職員マスタ!$A$6:$A$405=$B491)*(((職員マスタ!$G$6:$G$405="")+(職員マスタ!$G$6:$G$405&lt;=EOMONTH($AQ491,0)))&gt;0)*(((職員マスタ!$H$6:$H$405="")+(職員マスタ!$H$6:$H$405&gt;=$AQ491))&gt;0)*(ROW(職員マスタ!$A$6:$A$405)-5)))&gt;0,SUMPRODUCT(MAX((職員マスタ!$A$6:$A$405=$B491)*(((職員マスタ!$G$6:$G$405="")+(職員マスタ!$G$6:$G$405&lt;=EOMONTH($AQ491,0)))&gt;0)*(((職員マスタ!$H$6:$H$405="")+(職員マスタ!$H$6:$H$405&gt;=$AQ491))&gt;0)*(ROW(職員マスタ!$A$6:$A$405)-5))),IFERROR(MATCH($B491,職員マスタ!$A$6:$A$405,0),"")))</f>
        <v/>
      </c>
      <c r="AQ491" s="16">
        <f>IF(OR($B491="",$C491="",$D491=""),"",DATE($C491+2018,$D491,1))</f>
        <v/>
      </c>
    </row>
    <row r="492">
      <c r="A492" s="11" t="n"/>
      <c r="B492" s="12" t="n"/>
      <c r="C492" s="12" t="n"/>
      <c r="D492" s="12" t="n"/>
      <c r="E492" s="13" t="n"/>
      <c r="F492" s="12" t="n"/>
      <c r="G492" s="13" t="n"/>
      <c r="H492" s="12" t="n"/>
      <c r="I492" s="12" t="n"/>
      <c r="J492" s="12" t="n"/>
      <c r="K492" s="12" t="n"/>
      <c r="L492" s="11" t="n"/>
      <c r="M492" s="11" t="n"/>
      <c r="N492" s="11" t="n"/>
      <c r="O492" s="11" t="n"/>
      <c r="P492" s="12" t="n"/>
      <c r="Q492" s="11" t="n"/>
      <c r="R492" s="12" t="n"/>
      <c r="S492" s="11" t="n"/>
      <c r="T492" s="12" t="n"/>
      <c r="U492" s="12" t="n"/>
      <c r="V492" s="12" t="n"/>
      <c r="W492" s="13" t="n"/>
      <c r="X492" s="14">
        <f>IF($AP492="",IF($B492="","",$H492),IF(INDEX(職員マスタ!$B$6:$B$405,$AP492)="",$H492,INDEX(職員マスタ!$B$6:$B$405,$AP492)))</f>
        <v/>
      </c>
      <c r="Y492" s="14">
        <f>IF($AP492="",IF($B492="","",$R492),IF(INDEX(職員マスタ!$C$6:$C$405,$AP492)="",$R492,INDEX(職員マスタ!$C$6:$C$405,$AP492)))</f>
        <v/>
      </c>
      <c r="Z492" s="14">
        <f>IF($AQ492="","","R"&amp;$C492&amp;"."&amp;$D492)</f>
        <v/>
      </c>
      <c r="AA492" s="15">
        <f>IF(IF($AP492="",FALSE,INDEX(職員マスタ!$K$6:$K$405,$AP492)&lt;&gt;""),INDEX(職員マスタ!$K$6:$K$405,$AP492),IF(N($W492)&gt;0,$W492,""))</f>
        <v/>
      </c>
      <c r="AB492" s="14">
        <f>IF(OR($E492="",$AA492=""),"",IF($E492&gt;=$AA492,"×",IF($E492&gt;=$AA492*設定!$C$5,"△","○")))</f>
        <v/>
      </c>
      <c r="AC492" s="15">
        <f>IF($AB492="","",IF($AB492="×",0,IF($AB492="○",ROUNDDOWN($E492*設定!$C$4,0),ROUNDDOWN($E492*ROUND((9*$AA492-9*$E492)/(10*$E492),4),0))))</f>
        <v/>
      </c>
      <c r="AD492" s="13" t="n"/>
      <c r="AE492" s="15">
        <f>IF($B492="","",IF($AD492&lt;&gt;"",$AD492,IF($AC492="","",IF($AC492&lt;=設定!$C$3,0,$AC492))))</f>
        <v/>
      </c>
      <c r="AF492" s="14">
        <f>IF($B492="","",IF(AND($AG492&lt;&gt;"",$AI492="",$AL492=""),"保留中",IF($AL492&lt;&gt;"",IF(N($AE492)&gt;0,"支給済","不支給"),IF($AE492="","要確認",IF($AE492=0,"不支給","未処理")))))</f>
        <v/>
      </c>
      <c r="AG492" s="12" t="n"/>
      <c r="AH492" s="11" t="n"/>
      <c r="AI492" s="11" t="n"/>
      <c r="AJ492" s="11" t="n"/>
      <c r="AK492" s="14">
        <f>IF(AND($AF492="保留中",$AH492&lt;&gt;""),TODAY()-$AH492,"")</f>
        <v/>
      </c>
      <c r="AL492" s="12" t="n"/>
      <c r="AM492" s="14">
        <f>IF($B492="","",IF($AQ492="","対象年月が未入力／","")&amp;IF($B492="","",IF($AP492="","職員マスタに未登録の職員番号／",IF($AA492="","標準報酬月額が未登録／","")&amp;IF(AND($AQ492&lt;&gt;"",OR(AND(INDEX(職員マスタ!$G$6:$G$405,$AP492)&lt;&gt;"",INDEX(職員マスタ!$G$6:$G$405,$AP492)&gt;EOMONTH($AQ492,0)),AND(INDEX(職員マスタ!$H$6:$H$405,$AP492)&lt;&gt;"",INDEX(職員マスタ!$H$6:$H$405,$AP492)&lt;$AQ492))),"対象月が時短期間外／","")&amp;IF(AND(INDEX(職員マスタ!$K$6:$K$405,$AP492)&lt;&gt;"",N($W492)&gt;0,INDEX(職員マスタ!$K$6:$K$405,$AP492)&lt;&gt;$W492),"標準報酬月額が申請書と相違（台帳"&amp;TEXT(INDEX(職員マスタ!$K$6:$K$405,$AP492),"#,##0")&amp;"円／申請書"&amp;TEXT($W492,"#,##0")&amp;"円）／","")&amp;IF(AND(INDEX(職員マスタ!$F$6:$F$405,$AP492)&lt;&gt;"",$AQ492&lt;&gt;"",INDEX(職員マスタ!$F$6:$F$405,$AP492)&lt;$AQ492),"対象月に子が2歳到達済／","")&amp;IF(AND($H492&lt;&gt;"",INDEX(職員マスタ!$B$6:$B$405,$AP492)&lt;&gt;"",SUBSTITUTE(SUBSTITUTE($H492," ","")," ","")&lt;&gt;SUBSTITUTE(SUBSTITUTE(INDEX(職員マスタ!$B$6:$B$405,$AP492)," ","")," ","")),"氏名がマスタと相違／","")&amp;IF(AND($Q492&lt;&gt;"",INDEX(職員マスタ!$E$6:$E$405,$AP492)&lt;&gt;"",$Q492&lt;&gt;INDEX(職員マスタ!$E$6:$E$405,$AP492)),"子の生年月日がマスタと相違／","")&amp;IF(AND($L492&lt;&gt;"",INDEX(職員マスタ!$G$6:$G$405,$AP492)&lt;&gt;"",$L492&lt;&gt;INDEX(職員マスタ!$G$6:$G$405,$AP492)),"時短開始日がマスタと相違／","")&amp;IF(AND($M492&lt;&gt;"",INDEX(職員マスタ!$H$6:$H$405,$AP492)&lt;&gt;"",$M492&lt;&gt;INDEX(職員マスタ!$H$6:$H$405,$AP492)),"時短終了日がマスタと相違／","")))&amp;IF(AND($B492&lt;&gt;"",$E492=""),"報酬額が未入力／","")&amp;IF(N($U492)&gt;0,"申請書に入力エラーが残っています／","")&amp;IF(AND($B492&lt;&gt;"",$AQ492&lt;&gt;""),IF(COUNTIFS($B$6:$B$3005,$B492,$C$6:$C$3005,$C492,$D$6:$D$3005,$D492)&gt;1,"同じ月の請求が重複しています／",""),"")&amp;IF(AND(N($E492)&gt;0,$AB492&lt;&gt;"",$AB492&lt;&gt;"×",$AE492=0,$AD492=""),"計算額が下限以下のため不支給／",""))</f>
        <v/>
      </c>
      <c r="AN492" s="12" t="n"/>
      <c r="AO492" s="14">
        <f>IF($AF492="保留中",COUNTIF($AF$6:$AF492,"保留中"),"")</f>
        <v/>
      </c>
      <c r="AP492" s="14">
        <f>IF($AQ492="","",IF(SUMPRODUCT(MAX((職員マスタ!$A$6:$A$405=$B492)*(((職員マスタ!$G$6:$G$405="")+(職員マスタ!$G$6:$G$405&lt;=EOMONTH($AQ492,0)))&gt;0)*(((職員マスタ!$H$6:$H$405="")+(職員マスタ!$H$6:$H$405&gt;=$AQ492))&gt;0)*(ROW(職員マスタ!$A$6:$A$405)-5)))&gt;0,SUMPRODUCT(MAX((職員マスタ!$A$6:$A$405=$B492)*(((職員マスタ!$G$6:$G$405="")+(職員マスタ!$G$6:$G$405&lt;=EOMONTH($AQ492,0)))&gt;0)*(((職員マスタ!$H$6:$H$405="")+(職員マスタ!$H$6:$H$405&gt;=$AQ492))&gt;0)*(ROW(職員マスタ!$A$6:$A$405)-5))),IFERROR(MATCH($B492,職員マスタ!$A$6:$A$405,0),"")))</f>
        <v/>
      </c>
      <c r="AQ492" s="16">
        <f>IF(OR($B492="",$C492="",$D492=""),"",DATE($C492+2018,$D492,1))</f>
        <v/>
      </c>
    </row>
    <row r="493">
      <c r="A493" s="11" t="n"/>
      <c r="B493" s="12" t="n"/>
      <c r="C493" s="12" t="n"/>
      <c r="D493" s="12" t="n"/>
      <c r="E493" s="13" t="n"/>
      <c r="F493" s="12" t="n"/>
      <c r="G493" s="13" t="n"/>
      <c r="H493" s="12" t="n"/>
      <c r="I493" s="12" t="n"/>
      <c r="J493" s="12" t="n"/>
      <c r="K493" s="12" t="n"/>
      <c r="L493" s="11" t="n"/>
      <c r="M493" s="11" t="n"/>
      <c r="N493" s="11" t="n"/>
      <c r="O493" s="11" t="n"/>
      <c r="P493" s="12" t="n"/>
      <c r="Q493" s="11" t="n"/>
      <c r="R493" s="12" t="n"/>
      <c r="S493" s="11" t="n"/>
      <c r="T493" s="12" t="n"/>
      <c r="U493" s="12" t="n"/>
      <c r="V493" s="12" t="n"/>
      <c r="W493" s="13" t="n"/>
      <c r="X493" s="14">
        <f>IF($AP493="",IF($B493="","",$H493),IF(INDEX(職員マスタ!$B$6:$B$405,$AP493)="",$H493,INDEX(職員マスタ!$B$6:$B$405,$AP493)))</f>
        <v/>
      </c>
      <c r="Y493" s="14">
        <f>IF($AP493="",IF($B493="","",$R493),IF(INDEX(職員マスタ!$C$6:$C$405,$AP493)="",$R493,INDEX(職員マスタ!$C$6:$C$405,$AP493)))</f>
        <v/>
      </c>
      <c r="Z493" s="14">
        <f>IF($AQ493="","","R"&amp;$C493&amp;"."&amp;$D493)</f>
        <v/>
      </c>
      <c r="AA493" s="15">
        <f>IF(IF($AP493="",FALSE,INDEX(職員マスタ!$K$6:$K$405,$AP493)&lt;&gt;""),INDEX(職員マスタ!$K$6:$K$405,$AP493),IF(N($W493)&gt;0,$W493,""))</f>
        <v/>
      </c>
      <c r="AB493" s="14">
        <f>IF(OR($E493="",$AA493=""),"",IF($E493&gt;=$AA493,"×",IF($E493&gt;=$AA493*設定!$C$5,"△","○")))</f>
        <v/>
      </c>
      <c r="AC493" s="15">
        <f>IF($AB493="","",IF($AB493="×",0,IF($AB493="○",ROUNDDOWN($E493*設定!$C$4,0),ROUNDDOWN($E493*ROUND((9*$AA493-9*$E493)/(10*$E493),4),0))))</f>
        <v/>
      </c>
      <c r="AD493" s="13" t="n"/>
      <c r="AE493" s="15">
        <f>IF($B493="","",IF($AD493&lt;&gt;"",$AD493,IF($AC493="","",IF($AC493&lt;=設定!$C$3,0,$AC493))))</f>
        <v/>
      </c>
      <c r="AF493" s="14">
        <f>IF($B493="","",IF(AND($AG493&lt;&gt;"",$AI493="",$AL493=""),"保留中",IF($AL493&lt;&gt;"",IF(N($AE493)&gt;0,"支給済","不支給"),IF($AE493="","要確認",IF($AE493=0,"不支給","未処理")))))</f>
        <v/>
      </c>
      <c r="AG493" s="12" t="n"/>
      <c r="AH493" s="11" t="n"/>
      <c r="AI493" s="11" t="n"/>
      <c r="AJ493" s="11" t="n"/>
      <c r="AK493" s="14">
        <f>IF(AND($AF493="保留中",$AH493&lt;&gt;""),TODAY()-$AH493,"")</f>
        <v/>
      </c>
      <c r="AL493" s="12" t="n"/>
      <c r="AM493" s="14">
        <f>IF($B493="","",IF($AQ493="","対象年月が未入力／","")&amp;IF($B493="","",IF($AP493="","職員マスタに未登録の職員番号／",IF($AA493="","標準報酬月額が未登録／","")&amp;IF(AND($AQ493&lt;&gt;"",OR(AND(INDEX(職員マスタ!$G$6:$G$405,$AP493)&lt;&gt;"",INDEX(職員マスタ!$G$6:$G$405,$AP493)&gt;EOMONTH($AQ493,0)),AND(INDEX(職員マスタ!$H$6:$H$405,$AP493)&lt;&gt;"",INDEX(職員マスタ!$H$6:$H$405,$AP493)&lt;$AQ493))),"対象月が時短期間外／","")&amp;IF(AND(INDEX(職員マスタ!$K$6:$K$405,$AP493)&lt;&gt;"",N($W493)&gt;0,INDEX(職員マスタ!$K$6:$K$405,$AP493)&lt;&gt;$W493),"標準報酬月額が申請書と相違（台帳"&amp;TEXT(INDEX(職員マスタ!$K$6:$K$405,$AP493),"#,##0")&amp;"円／申請書"&amp;TEXT($W493,"#,##0")&amp;"円）／","")&amp;IF(AND(INDEX(職員マスタ!$F$6:$F$405,$AP493)&lt;&gt;"",$AQ493&lt;&gt;"",INDEX(職員マスタ!$F$6:$F$405,$AP493)&lt;$AQ493),"対象月に子が2歳到達済／","")&amp;IF(AND($H493&lt;&gt;"",INDEX(職員マスタ!$B$6:$B$405,$AP493)&lt;&gt;"",SUBSTITUTE(SUBSTITUTE($H493," ","")," ","")&lt;&gt;SUBSTITUTE(SUBSTITUTE(INDEX(職員マスタ!$B$6:$B$405,$AP493)," ","")," ","")),"氏名がマスタと相違／","")&amp;IF(AND($Q493&lt;&gt;"",INDEX(職員マスタ!$E$6:$E$405,$AP493)&lt;&gt;"",$Q493&lt;&gt;INDEX(職員マスタ!$E$6:$E$405,$AP493)),"子の生年月日がマスタと相違／","")&amp;IF(AND($L493&lt;&gt;"",INDEX(職員マスタ!$G$6:$G$405,$AP493)&lt;&gt;"",$L493&lt;&gt;INDEX(職員マスタ!$G$6:$G$405,$AP493)),"時短開始日がマスタと相違／","")&amp;IF(AND($M493&lt;&gt;"",INDEX(職員マスタ!$H$6:$H$405,$AP493)&lt;&gt;"",$M493&lt;&gt;INDEX(職員マスタ!$H$6:$H$405,$AP493)),"時短終了日がマスタと相違／","")))&amp;IF(AND($B493&lt;&gt;"",$E493=""),"報酬額が未入力／","")&amp;IF(N($U493)&gt;0,"申請書に入力エラーが残っています／","")&amp;IF(AND($B493&lt;&gt;"",$AQ493&lt;&gt;""),IF(COUNTIFS($B$6:$B$3005,$B493,$C$6:$C$3005,$C493,$D$6:$D$3005,$D493)&gt;1,"同じ月の請求が重複しています／",""),"")&amp;IF(AND(N($E493)&gt;0,$AB493&lt;&gt;"",$AB493&lt;&gt;"×",$AE493=0,$AD493=""),"計算額が下限以下のため不支給／",""))</f>
        <v/>
      </c>
      <c r="AN493" s="12" t="n"/>
      <c r="AO493" s="14">
        <f>IF($AF493="保留中",COUNTIF($AF$6:$AF493,"保留中"),"")</f>
        <v/>
      </c>
      <c r="AP493" s="14">
        <f>IF($AQ493="","",IF(SUMPRODUCT(MAX((職員マスタ!$A$6:$A$405=$B493)*(((職員マスタ!$G$6:$G$405="")+(職員マスタ!$G$6:$G$405&lt;=EOMONTH($AQ493,0)))&gt;0)*(((職員マスタ!$H$6:$H$405="")+(職員マスタ!$H$6:$H$405&gt;=$AQ493))&gt;0)*(ROW(職員マスタ!$A$6:$A$405)-5)))&gt;0,SUMPRODUCT(MAX((職員マスタ!$A$6:$A$405=$B493)*(((職員マスタ!$G$6:$G$405="")+(職員マスタ!$G$6:$G$405&lt;=EOMONTH($AQ493,0)))&gt;0)*(((職員マスタ!$H$6:$H$405="")+(職員マスタ!$H$6:$H$405&gt;=$AQ493))&gt;0)*(ROW(職員マスタ!$A$6:$A$405)-5))),IFERROR(MATCH($B493,職員マスタ!$A$6:$A$405,0),"")))</f>
        <v/>
      </c>
      <c r="AQ493" s="16">
        <f>IF(OR($B493="",$C493="",$D493=""),"",DATE($C493+2018,$D493,1))</f>
        <v/>
      </c>
    </row>
    <row r="494">
      <c r="A494" s="11" t="n"/>
      <c r="B494" s="12" t="n"/>
      <c r="C494" s="12" t="n"/>
      <c r="D494" s="12" t="n"/>
      <c r="E494" s="13" t="n"/>
      <c r="F494" s="12" t="n"/>
      <c r="G494" s="13" t="n"/>
      <c r="H494" s="12" t="n"/>
      <c r="I494" s="12" t="n"/>
      <c r="J494" s="12" t="n"/>
      <c r="K494" s="12" t="n"/>
      <c r="L494" s="11" t="n"/>
      <c r="M494" s="11" t="n"/>
      <c r="N494" s="11" t="n"/>
      <c r="O494" s="11" t="n"/>
      <c r="P494" s="12" t="n"/>
      <c r="Q494" s="11" t="n"/>
      <c r="R494" s="12" t="n"/>
      <c r="S494" s="11" t="n"/>
      <c r="T494" s="12" t="n"/>
      <c r="U494" s="12" t="n"/>
      <c r="V494" s="12" t="n"/>
      <c r="W494" s="13" t="n"/>
      <c r="X494" s="14">
        <f>IF($AP494="",IF($B494="","",$H494),IF(INDEX(職員マスタ!$B$6:$B$405,$AP494)="",$H494,INDEX(職員マスタ!$B$6:$B$405,$AP494)))</f>
        <v/>
      </c>
      <c r="Y494" s="14">
        <f>IF($AP494="",IF($B494="","",$R494),IF(INDEX(職員マスタ!$C$6:$C$405,$AP494)="",$R494,INDEX(職員マスタ!$C$6:$C$405,$AP494)))</f>
        <v/>
      </c>
      <c r="Z494" s="14">
        <f>IF($AQ494="","","R"&amp;$C494&amp;"."&amp;$D494)</f>
        <v/>
      </c>
      <c r="AA494" s="15">
        <f>IF(IF($AP494="",FALSE,INDEX(職員マスタ!$K$6:$K$405,$AP494)&lt;&gt;""),INDEX(職員マスタ!$K$6:$K$405,$AP494),IF(N($W494)&gt;0,$W494,""))</f>
        <v/>
      </c>
      <c r="AB494" s="14">
        <f>IF(OR($E494="",$AA494=""),"",IF($E494&gt;=$AA494,"×",IF($E494&gt;=$AA494*設定!$C$5,"△","○")))</f>
        <v/>
      </c>
      <c r="AC494" s="15">
        <f>IF($AB494="","",IF($AB494="×",0,IF($AB494="○",ROUNDDOWN($E494*設定!$C$4,0),ROUNDDOWN($E494*ROUND((9*$AA494-9*$E494)/(10*$E494),4),0))))</f>
        <v/>
      </c>
      <c r="AD494" s="13" t="n"/>
      <c r="AE494" s="15">
        <f>IF($B494="","",IF($AD494&lt;&gt;"",$AD494,IF($AC494="","",IF($AC494&lt;=設定!$C$3,0,$AC494))))</f>
        <v/>
      </c>
      <c r="AF494" s="14">
        <f>IF($B494="","",IF(AND($AG494&lt;&gt;"",$AI494="",$AL494=""),"保留中",IF($AL494&lt;&gt;"",IF(N($AE494)&gt;0,"支給済","不支給"),IF($AE494="","要確認",IF($AE494=0,"不支給","未処理")))))</f>
        <v/>
      </c>
      <c r="AG494" s="12" t="n"/>
      <c r="AH494" s="11" t="n"/>
      <c r="AI494" s="11" t="n"/>
      <c r="AJ494" s="11" t="n"/>
      <c r="AK494" s="14">
        <f>IF(AND($AF494="保留中",$AH494&lt;&gt;""),TODAY()-$AH494,"")</f>
        <v/>
      </c>
      <c r="AL494" s="12" t="n"/>
      <c r="AM494" s="14">
        <f>IF($B494="","",IF($AQ494="","対象年月が未入力／","")&amp;IF($B494="","",IF($AP494="","職員マスタに未登録の職員番号／",IF($AA494="","標準報酬月額が未登録／","")&amp;IF(AND($AQ494&lt;&gt;"",OR(AND(INDEX(職員マスタ!$G$6:$G$405,$AP494)&lt;&gt;"",INDEX(職員マスタ!$G$6:$G$405,$AP494)&gt;EOMONTH($AQ494,0)),AND(INDEX(職員マスタ!$H$6:$H$405,$AP494)&lt;&gt;"",INDEX(職員マスタ!$H$6:$H$405,$AP494)&lt;$AQ494))),"対象月が時短期間外／","")&amp;IF(AND(INDEX(職員マスタ!$K$6:$K$405,$AP494)&lt;&gt;"",N($W494)&gt;0,INDEX(職員マスタ!$K$6:$K$405,$AP494)&lt;&gt;$W494),"標準報酬月額が申請書と相違（台帳"&amp;TEXT(INDEX(職員マスタ!$K$6:$K$405,$AP494),"#,##0")&amp;"円／申請書"&amp;TEXT($W494,"#,##0")&amp;"円）／","")&amp;IF(AND(INDEX(職員マスタ!$F$6:$F$405,$AP494)&lt;&gt;"",$AQ494&lt;&gt;"",INDEX(職員マスタ!$F$6:$F$405,$AP494)&lt;$AQ494),"対象月に子が2歳到達済／","")&amp;IF(AND($H494&lt;&gt;"",INDEX(職員マスタ!$B$6:$B$405,$AP494)&lt;&gt;"",SUBSTITUTE(SUBSTITUTE($H494," ","")," ","")&lt;&gt;SUBSTITUTE(SUBSTITUTE(INDEX(職員マスタ!$B$6:$B$405,$AP494)," ","")," ","")),"氏名がマスタと相違／","")&amp;IF(AND($Q494&lt;&gt;"",INDEX(職員マスタ!$E$6:$E$405,$AP494)&lt;&gt;"",$Q494&lt;&gt;INDEX(職員マスタ!$E$6:$E$405,$AP494)),"子の生年月日がマスタと相違／","")&amp;IF(AND($L494&lt;&gt;"",INDEX(職員マスタ!$G$6:$G$405,$AP494)&lt;&gt;"",$L494&lt;&gt;INDEX(職員マスタ!$G$6:$G$405,$AP494)),"時短開始日がマスタと相違／","")&amp;IF(AND($M494&lt;&gt;"",INDEX(職員マスタ!$H$6:$H$405,$AP494)&lt;&gt;"",$M494&lt;&gt;INDEX(職員マスタ!$H$6:$H$405,$AP494)),"時短終了日がマスタと相違／","")))&amp;IF(AND($B494&lt;&gt;"",$E494=""),"報酬額が未入力／","")&amp;IF(N($U494)&gt;0,"申請書に入力エラーが残っています／","")&amp;IF(AND($B494&lt;&gt;"",$AQ494&lt;&gt;""),IF(COUNTIFS($B$6:$B$3005,$B494,$C$6:$C$3005,$C494,$D$6:$D$3005,$D494)&gt;1,"同じ月の請求が重複しています／",""),"")&amp;IF(AND(N($E494)&gt;0,$AB494&lt;&gt;"",$AB494&lt;&gt;"×",$AE494=0,$AD494=""),"計算額が下限以下のため不支給／",""))</f>
        <v/>
      </c>
      <c r="AN494" s="12" t="n"/>
      <c r="AO494" s="14">
        <f>IF($AF494="保留中",COUNTIF($AF$6:$AF494,"保留中"),"")</f>
        <v/>
      </c>
      <c r="AP494" s="14">
        <f>IF($AQ494="","",IF(SUMPRODUCT(MAX((職員マスタ!$A$6:$A$405=$B494)*(((職員マスタ!$G$6:$G$405="")+(職員マスタ!$G$6:$G$405&lt;=EOMONTH($AQ494,0)))&gt;0)*(((職員マスタ!$H$6:$H$405="")+(職員マスタ!$H$6:$H$405&gt;=$AQ494))&gt;0)*(ROW(職員マスタ!$A$6:$A$405)-5)))&gt;0,SUMPRODUCT(MAX((職員マスタ!$A$6:$A$405=$B494)*(((職員マスタ!$G$6:$G$405="")+(職員マスタ!$G$6:$G$405&lt;=EOMONTH($AQ494,0)))&gt;0)*(((職員マスタ!$H$6:$H$405="")+(職員マスタ!$H$6:$H$405&gt;=$AQ494))&gt;0)*(ROW(職員マスタ!$A$6:$A$405)-5))),IFERROR(MATCH($B494,職員マスタ!$A$6:$A$405,0),"")))</f>
        <v/>
      </c>
      <c r="AQ494" s="16">
        <f>IF(OR($B494="",$C494="",$D494=""),"",DATE($C494+2018,$D494,1))</f>
        <v/>
      </c>
    </row>
    <row r="495">
      <c r="A495" s="11" t="n"/>
      <c r="B495" s="12" t="n"/>
      <c r="C495" s="12" t="n"/>
      <c r="D495" s="12" t="n"/>
      <c r="E495" s="13" t="n"/>
      <c r="F495" s="12" t="n"/>
      <c r="G495" s="13" t="n"/>
      <c r="H495" s="12" t="n"/>
      <c r="I495" s="12" t="n"/>
      <c r="J495" s="12" t="n"/>
      <c r="K495" s="12" t="n"/>
      <c r="L495" s="11" t="n"/>
      <c r="M495" s="11" t="n"/>
      <c r="N495" s="11" t="n"/>
      <c r="O495" s="11" t="n"/>
      <c r="P495" s="12" t="n"/>
      <c r="Q495" s="11" t="n"/>
      <c r="R495" s="12" t="n"/>
      <c r="S495" s="11" t="n"/>
      <c r="T495" s="12" t="n"/>
      <c r="U495" s="12" t="n"/>
      <c r="V495" s="12" t="n"/>
      <c r="W495" s="13" t="n"/>
      <c r="X495" s="14">
        <f>IF($AP495="",IF($B495="","",$H495),IF(INDEX(職員マスタ!$B$6:$B$405,$AP495)="",$H495,INDEX(職員マスタ!$B$6:$B$405,$AP495)))</f>
        <v/>
      </c>
      <c r="Y495" s="14">
        <f>IF($AP495="",IF($B495="","",$R495),IF(INDEX(職員マスタ!$C$6:$C$405,$AP495)="",$R495,INDEX(職員マスタ!$C$6:$C$405,$AP495)))</f>
        <v/>
      </c>
      <c r="Z495" s="14">
        <f>IF($AQ495="","","R"&amp;$C495&amp;"."&amp;$D495)</f>
        <v/>
      </c>
      <c r="AA495" s="15">
        <f>IF(IF($AP495="",FALSE,INDEX(職員マスタ!$K$6:$K$405,$AP495)&lt;&gt;""),INDEX(職員マスタ!$K$6:$K$405,$AP495),IF(N($W495)&gt;0,$W495,""))</f>
        <v/>
      </c>
      <c r="AB495" s="14">
        <f>IF(OR($E495="",$AA495=""),"",IF($E495&gt;=$AA495,"×",IF($E495&gt;=$AA495*設定!$C$5,"△","○")))</f>
        <v/>
      </c>
      <c r="AC495" s="15">
        <f>IF($AB495="","",IF($AB495="×",0,IF($AB495="○",ROUNDDOWN($E495*設定!$C$4,0),ROUNDDOWN($E495*ROUND((9*$AA495-9*$E495)/(10*$E495),4),0))))</f>
        <v/>
      </c>
      <c r="AD495" s="13" t="n"/>
      <c r="AE495" s="15">
        <f>IF($B495="","",IF($AD495&lt;&gt;"",$AD495,IF($AC495="","",IF($AC495&lt;=設定!$C$3,0,$AC495))))</f>
        <v/>
      </c>
      <c r="AF495" s="14">
        <f>IF($B495="","",IF(AND($AG495&lt;&gt;"",$AI495="",$AL495=""),"保留中",IF($AL495&lt;&gt;"",IF(N($AE495)&gt;0,"支給済","不支給"),IF($AE495="","要確認",IF($AE495=0,"不支給","未処理")))))</f>
        <v/>
      </c>
      <c r="AG495" s="12" t="n"/>
      <c r="AH495" s="11" t="n"/>
      <c r="AI495" s="11" t="n"/>
      <c r="AJ495" s="11" t="n"/>
      <c r="AK495" s="14">
        <f>IF(AND($AF495="保留中",$AH495&lt;&gt;""),TODAY()-$AH495,"")</f>
        <v/>
      </c>
      <c r="AL495" s="12" t="n"/>
      <c r="AM495" s="14">
        <f>IF($B495="","",IF($AQ495="","対象年月が未入力／","")&amp;IF($B495="","",IF($AP495="","職員マスタに未登録の職員番号／",IF($AA495="","標準報酬月額が未登録／","")&amp;IF(AND($AQ495&lt;&gt;"",OR(AND(INDEX(職員マスタ!$G$6:$G$405,$AP495)&lt;&gt;"",INDEX(職員マスタ!$G$6:$G$405,$AP495)&gt;EOMONTH($AQ495,0)),AND(INDEX(職員マスタ!$H$6:$H$405,$AP495)&lt;&gt;"",INDEX(職員マスタ!$H$6:$H$405,$AP495)&lt;$AQ495))),"対象月が時短期間外／","")&amp;IF(AND(INDEX(職員マスタ!$K$6:$K$405,$AP495)&lt;&gt;"",N($W495)&gt;0,INDEX(職員マスタ!$K$6:$K$405,$AP495)&lt;&gt;$W495),"標準報酬月額が申請書と相違（台帳"&amp;TEXT(INDEX(職員マスタ!$K$6:$K$405,$AP495),"#,##0")&amp;"円／申請書"&amp;TEXT($W495,"#,##0")&amp;"円）／","")&amp;IF(AND(INDEX(職員マスタ!$F$6:$F$405,$AP495)&lt;&gt;"",$AQ495&lt;&gt;"",INDEX(職員マスタ!$F$6:$F$405,$AP495)&lt;$AQ495),"対象月に子が2歳到達済／","")&amp;IF(AND($H495&lt;&gt;"",INDEX(職員マスタ!$B$6:$B$405,$AP495)&lt;&gt;"",SUBSTITUTE(SUBSTITUTE($H495," ","")," ","")&lt;&gt;SUBSTITUTE(SUBSTITUTE(INDEX(職員マスタ!$B$6:$B$405,$AP495)," ","")," ","")),"氏名がマスタと相違／","")&amp;IF(AND($Q495&lt;&gt;"",INDEX(職員マスタ!$E$6:$E$405,$AP495)&lt;&gt;"",$Q495&lt;&gt;INDEX(職員マスタ!$E$6:$E$405,$AP495)),"子の生年月日がマスタと相違／","")&amp;IF(AND($L495&lt;&gt;"",INDEX(職員マスタ!$G$6:$G$405,$AP495)&lt;&gt;"",$L495&lt;&gt;INDEX(職員マスタ!$G$6:$G$405,$AP495)),"時短開始日がマスタと相違／","")&amp;IF(AND($M495&lt;&gt;"",INDEX(職員マスタ!$H$6:$H$405,$AP495)&lt;&gt;"",$M495&lt;&gt;INDEX(職員マスタ!$H$6:$H$405,$AP495)),"時短終了日がマスタと相違／","")))&amp;IF(AND($B495&lt;&gt;"",$E495=""),"報酬額が未入力／","")&amp;IF(N($U495)&gt;0,"申請書に入力エラーが残っています／","")&amp;IF(AND($B495&lt;&gt;"",$AQ495&lt;&gt;""),IF(COUNTIFS($B$6:$B$3005,$B495,$C$6:$C$3005,$C495,$D$6:$D$3005,$D495)&gt;1,"同じ月の請求が重複しています／",""),"")&amp;IF(AND(N($E495)&gt;0,$AB495&lt;&gt;"",$AB495&lt;&gt;"×",$AE495=0,$AD495=""),"計算額が下限以下のため不支給／",""))</f>
        <v/>
      </c>
      <c r="AN495" s="12" t="n"/>
      <c r="AO495" s="14">
        <f>IF($AF495="保留中",COUNTIF($AF$6:$AF495,"保留中"),"")</f>
        <v/>
      </c>
      <c r="AP495" s="14">
        <f>IF($AQ495="","",IF(SUMPRODUCT(MAX((職員マスタ!$A$6:$A$405=$B495)*(((職員マスタ!$G$6:$G$405="")+(職員マスタ!$G$6:$G$405&lt;=EOMONTH($AQ495,0)))&gt;0)*(((職員マスタ!$H$6:$H$405="")+(職員マスタ!$H$6:$H$405&gt;=$AQ495))&gt;0)*(ROW(職員マスタ!$A$6:$A$405)-5)))&gt;0,SUMPRODUCT(MAX((職員マスタ!$A$6:$A$405=$B495)*(((職員マスタ!$G$6:$G$405="")+(職員マスタ!$G$6:$G$405&lt;=EOMONTH($AQ495,0)))&gt;0)*(((職員マスタ!$H$6:$H$405="")+(職員マスタ!$H$6:$H$405&gt;=$AQ495))&gt;0)*(ROW(職員マスタ!$A$6:$A$405)-5))),IFERROR(MATCH($B495,職員マスタ!$A$6:$A$405,0),"")))</f>
        <v/>
      </c>
      <c r="AQ495" s="16">
        <f>IF(OR($B495="",$C495="",$D495=""),"",DATE($C495+2018,$D495,1))</f>
        <v/>
      </c>
    </row>
    <row r="496">
      <c r="A496" s="11" t="n"/>
      <c r="B496" s="12" t="n"/>
      <c r="C496" s="12" t="n"/>
      <c r="D496" s="12" t="n"/>
      <c r="E496" s="13" t="n"/>
      <c r="F496" s="12" t="n"/>
      <c r="G496" s="13" t="n"/>
      <c r="H496" s="12" t="n"/>
      <c r="I496" s="12" t="n"/>
      <c r="J496" s="12" t="n"/>
      <c r="K496" s="12" t="n"/>
      <c r="L496" s="11" t="n"/>
      <c r="M496" s="11" t="n"/>
      <c r="N496" s="11" t="n"/>
      <c r="O496" s="11" t="n"/>
      <c r="P496" s="12" t="n"/>
      <c r="Q496" s="11" t="n"/>
      <c r="R496" s="12" t="n"/>
      <c r="S496" s="11" t="n"/>
      <c r="T496" s="12" t="n"/>
      <c r="U496" s="12" t="n"/>
      <c r="V496" s="12" t="n"/>
      <c r="W496" s="13" t="n"/>
      <c r="X496" s="14">
        <f>IF($AP496="",IF($B496="","",$H496),IF(INDEX(職員マスタ!$B$6:$B$405,$AP496)="",$H496,INDEX(職員マスタ!$B$6:$B$405,$AP496)))</f>
        <v/>
      </c>
      <c r="Y496" s="14">
        <f>IF($AP496="",IF($B496="","",$R496),IF(INDEX(職員マスタ!$C$6:$C$405,$AP496)="",$R496,INDEX(職員マスタ!$C$6:$C$405,$AP496)))</f>
        <v/>
      </c>
      <c r="Z496" s="14">
        <f>IF($AQ496="","","R"&amp;$C496&amp;"."&amp;$D496)</f>
        <v/>
      </c>
      <c r="AA496" s="15">
        <f>IF(IF($AP496="",FALSE,INDEX(職員マスタ!$K$6:$K$405,$AP496)&lt;&gt;""),INDEX(職員マスタ!$K$6:$K$405,$AP496),IF(N($W496)&gt;0,$W496,""))</f>
        <v/>
      </c>
      <c r="AB496" s="14">
        <f>IF(OR($E496="",$AA496=""),"",IF($E496&gt;=$AA496,"×",IF($E496&gt;=$AA496*設定!$C$5,"△","○")))</f>
        <v/>
      </c>
      <c r="AC496" s="15">
        <f>IF($AB496="","",IF($AB496="×",0,IF($AB496="○",ROUNDDOWN($E496*設定!$C$4,0),ROUNDDOWN($E496*ROUND((9*$AA496-9*$E496)/(10*$E496),4),0))))</f>
        <v/>
      </c>
      <c r="AD496" s="13" t="n"/>
      <c r="AE496" s="15">
        <f>IF($B496="","",IF($AD496&lt;&gt;"",$AD496,IF($AC496="","",IF($AC496&lt;=設定!$C$3,0,$AC496))))</f>
        <v/>
      </c>
      <c r="AF496" s="14">
        <f>IF($B496="","",IF(AND($AG496&lt;&gt;"",$AI496="",$AL496=""),"保留中",IF($AL496&lt;&gt;"",IF(N($AE496)&gt;0,"支給済","不支給"),IF($AE496="","要確認",IF($AE496=0,"不支給","未処理")))))</f>
        <v/>
      </c>
      <c r="AG496" s="12" t="n"/>
      <c r="AH496" s="11" t="n"/>
      <c r="AI496" s="11" t="n"/>
      <c r="AJ496" s="11" t="n"/>
      <c r="AK496" s="14">
        <f>IF(AND($AF496="保留中",$AH496&lt;&gt;""),TODAY()-$AH496,"")</f>
        <v/>
      </c>
      <c r="AL496" s="12" t="n"/>
      <c r="AM496" s="14">
        <f>IF($B496="","",IF($AQ496="","対象年月が未入力／","")&amp;IF($B496="","",IF($AP496="","職員マスタに未登録の職員番号／",IF($AA496="","標準報酬月額が未登録／","")&amp;IF(AND($AQ496&lt;&gt;"",OR(AND(INDEX(職員マスタ!$G$6:$G$405,$AP496)&lt;&gt;"",INDEX(職員マスタ!$G$6:$G$405,$AP496)&gt;EOMONTH($AQ496,0)),AND(INDEX(職員マスタ!$H$6:$H$405,$AP496)&lt;&gt;"",INDEX(職員マスタ!$H$6:$H$405,$AP496)&lt;$AQ496))),"対象月が時短期間外／","")&amp;IF(AND(INDEX(職員マスタ!$K$6:$K$405,$AP496)&lt;&gt;"",N($W496)&gt;0,INDEX(職員マスタ!$K$6:$K$405,$AP496)&lt;&gt;$W496),"標準報酬月額が申請書と相違（台帳"&amp;TEXT(INDEX(職員マスタ!$K$6:$K$405,$AP496),"#,##0")&amp;"円／申請書"&amp;TEXT($W496,"#,##0")&amp;"円）／","")&amp;IF(AND(INDEX(職員マスタ!$F$6:$F$405,$AP496)&lt;&gt;"",$AQ496&lt;&gt;"",INDEX(職員マスタ!$F$6:$F$405,$AP496)&lt;$AQ496),"対象月に子が2歳到達済／","")&amp;IF(AND($H496&lt;&gt;"",INDEX(職員マスタ!$B$6:$B$405,$AP496)&lt;&gt;"",SUBSTITUTE(SUBSTITUTE($H496," ","")," ","")&lt;&gt;SUBSTITUTE(SUBSTITUTE(INDEX(職員マスタ!$B$6:$B$405,$AP496)," ","")," ","")),"氏名がマスタと相違／","")&amp;IF(AND($Q496&lt;&gt;"",INDEX(職員マスタ!$E$6:$E$405,$AP496)&lt;&gt;"",$Q496&lt;&gt;INDEX(職員マスタ!$E$6:$E$405,$AP496)),"子の生年月日がマスタと相違／","")&amp;IF(AND($L496&lt;&gt;"",INDEX(職員マスタ!$G$6:$G$405,$AP496)&lt;&gt;"",$L496&lt;&gt;INDEX(職員マスタ!$G$6:$G$405,$AP496)),"時短開始日がマスタと相違／","")&amp;IF(AND($M496&lt;&gt;"",INDEX(職員マスタ!$H$6:$H$405,$AP496)&lt;&gt;"",$M496&lt;&gt;INDEX(職員マスタ!$H$6:$H$405,$AP496)),"時短終了日がマスタと相違／","")))&amp;IF(AND($B496&lt;&gt;"",$E496=""),"報酬額が未入力／","")&amp;IF(N($U496)&gt;0,"申請書に入力エラーが残っています／","")&amp;IF(AND($B496&lt;&gt;"",$AQ496&lt;&gt;""),IF(COUNTIFS($B$6:$B$3005,$B496,$C$6:$C$3005,$C496,$D$6:$D$3005,$D496)&gt;1,"同じ月の請求が重複しています／",""),"")&amp;IF(AND(N($E496)&gt;0,$AB496&lt;&gt;"",$AB496&lt;&gt;"×",$AE496=0,$AD496=""),"計算額が下限以下のため不支給／",""))</f>
        <v/>
      </c>
      <c r="AN496" s="12" t="n"/>
      <c r="AO496" s="14">
        <f>IF($AF496="保留中",COUNTIF($AF$6:$AF496,"保留中"),"")</f>
        <v/>
      </c>
      <c r="AP496" s="14">
        <f>IF($AQ496="","",IF(SUMPRODUCT(MAX((職員マスタ!$A$6:$A$405=$B496)*(((職員マスタ!$G$6:$G$405="")+(職員マスタ!$G$6:$G$405&lt;=EOMONTH($AQ496,0)))&gt;0)*(((職員マスタ!$H$6:$H$405="")+(職員マスタ!$H$6:$H$405&gt;=$AQ496))&gt;0)*(ROW(職員マスタ!$A$6:$A$405)-5)))&gt;0,SUMPRODUCT(MAX((職員マスタ!$A$6:$A$405=$B496)*(((職員マスタ!$G$6:$G$405="")+(職員マスタ!$G$6:$G$405&lt;=EOMONTH($AQ496,0)))&gt;0)*(((職員マスタ!$H$6:$H$405="")+(職員マスタ!$H$6:$H$405&gt;=$AQ496))&gt;0)*(ROW(職員マスタ!$A$6:$A$405)-5))),IFERROR(MATCH($B496,職員マスタ!$A$6:$A$405,0),"")))</f>
        <v/>
      </c>
      <c r="AQ496" s="16">
        <f>IF(OR($B496="",$C496="",$D496=""),"",DATE($C496+2018,$D496,1))</f>
        <v/>
      </c>
    </row>
    <row r="497">
      <c r="A497" s="11" t="n"/>
      <c r="B497" s="12" t="n"/>
      <c r="C497" s="12" t="n"/>
      <c r="D497" s="12" t="n"/>
      <c r="E497" s="13" t="n"/>
      <c r="F497" s="12" t="n"/>
      <c r="G497" s="13" t="n"/>
      <c r="H497" s="12" t="n"/>
      <c r="I497" s="12" t="n"/>
      <c r="J497" s="12" t="n"/>
      <c r="K497" s="12" t="n"/>
      <c r="L497" s="11" t="n"/>
      <c r="M497" s="11" t="n"/>
      <c r="N497" s="11" t="n"/>
      <c r="O497" s="11" t="n"/>
      <c r="P497" s="12" t="n"/>
      <c r="Q497" s="11" t="n"/>
      <c r="R497" s="12" t="n"/>
      <c r="S497" s="11" t="n"/>
      <c r="T497" s="12" t="n"/>
      <c r="U497" s="12" t="n"/>
      <c r="V497" s="12" t="n"/>
      <c r="W497" s="13" t="n"/>
      <c r="X497" s="14">
        <f>IF($AP497="",IF($B497="","",$H497),IF(INDEX(職員マスタ!$B$6:$B$405,$AP497)="",$H497,INDEX(職員マスタ!$B$6:$B$405,$AP497)))</f>
        <v/>
      </c>
      <c r="Y497" s="14">
        <f>IF($AP497="",IF($B497="","",$R497),IF(INDEX(職員マスタ!$C$6:$C$405,$AP497)="",$R497,INDEX(職員マスタ!$C$6:$C$405,$AP497)))</f>
        <v/>
      </c>
      <c r="Z497" s="14">
        <f>IF($AQ497="","","R"&amp;$C497&amp;"."&amp;$D497)</f>
        <v/>
      </c>
      <c r="AA497" s="15">
        <f>IF(IF($AP497="",FALSE,INDEX(職員マスタ!$K$6:$K$405,$AP497)&lt;&gt;""),INDEX(職員マスタ!$K$6:$K$405,$AP497),IF(N($W497)&gt;0,$W497,""))</f>
        <v/>
      </c>
      <c r="AB497" s="14">
        <f>IF(OR($E497="",$AA497=""),"",IF($E497&gt;=$AA497,"×",IF($E497&gt;=$AA497*設定!$C$5,"△","○")))</f>
        <v/>
      </c>
      <c r="AC497" s="15">
        <f>IF($AB497="","",IF($AB497="×",0,IF($AB497="○",ROUNDDOWN($E497*設定!$C$4,0),ROUNDDOWN($E497*ROUND((9*$AA497-9*$E497)/(10*$E497),4),0))))</f>
        <v/>
      </c>
      <c r="AD497" s="13" t="n"/>
      <c r="AE497" s="15">
        <f>IF($B497="","",IF($AD497&lt;&gt;"",$AD497,IF($AC497="","",IF($AC497&lt;=設定!$C$3,0,$AC497))))</f>
        <v/>
      </c>
      <c r="AF497" s="14">
        <f>IF($B497="","",IF(AND($AG497&lt;&gt;"",$AI497="",$AL497=""),"保留中",IF($AL497&lt;&gt;"",IF(N($AE497)&gt;0,"支給済","不支給"),IF($AE497="","要確認",IF($AE497=0,"不支給","未処理")))))</f>
        <v/>
      </c>
      <c r="AG497" s="12" t="n"/>
      <c r="AH497" s="11" t="n"/>
      <c r="AI497" s="11" t="n"/>
      <c r="AJ497" s="11" t="n"/>
      <c r="AK497" s="14">
        <f>IF(AND($AF497="保留中",$AH497&lt;&gt;""),TODAY()-$AH497,"")</f>
        <v/>
      </c>
      <c r="AL497" s="12" t="n"/>
      <c r="AM497" s="14">
        <f>IF($B497="","",IF($AQ497="","対象年月が未入力／","")&amp;IF($B497="","",IF($AP497="","職員マスタに未登録の職員番号／",IF($AA497="","標準報酬月額が未登録／","")&amp;IF(AND($AQ497&lt;&gt;"",OR(AND(INDEX(職員マスタ!$G$6:$G$405,$AP497)&lt;&gt;"",INDEX(職員マスタ!$G$6:$G$405,$AP497)&gt;EOMONTH($AQ497,0)),AND(INDEX(職員マスタ!$H$6:$H$405,$AP497)&lt;&gt;"",INDEX(職員マスタ!$H$6:$H$405,$AP497)&lt;$AQ497))),"対象月が時短期間外／","")&amp;IF(AND(INDEX(職員マスタ!$K$6:$K$405,$AP497)&lt;&gt;"",N($W497)&gt;0,INDEX(職員マスタ!$K$6:$K$405,$AP497)&lt;&gt;$W497),"標準報酬月額が申請書と相違（台帳"&amp;TEXT(INDEX(職員マスタ!$K$6:$K$405,$AP497),"#,##0")&amp;"円／申請書"&amp;TEXT($W497,"#,##0")&amp;"円）／","")&amp;IF(AND(INDEX(職員マスタ!$F$6:$F$405,$AP497)&lt;&gt;"",$AQ497&lt;&gt;"",INDEX(職員マスタ!$F$6:$F$405,$AP497)&lt;$AQ497),"対象月に子が2歳到達済／","")&amp;IF(AND($H497&lt;&gt;"",INDEX(職員マスタ!$B$6:$B$405,$AP497)&lt;&gt;"",SUBSTITUTE(SUBSTITUTE($H497," ","")," ","")&lt;&gt;SUBSTITUTE(SUBSTITUTE(INDEX(職員マスタ!$B$6:$B$405,$AP497)," ","")," ","")),"氏名がマスタと相違／","")&amp;IF(AND($Q497&lt;&gt;"",INDEX(職員マスタ!$E$6:$E$405,$AP497)&lt;&gt;"",$Q497&lt;&gt;INDEX(職員マスタ!$E$6:$E$405,$AP497)),"子の生年月日がマスタと相違／","")&amp;IF(AND($L497&lt;&gt;"",INDEX(職員マスタ!$G$6:$G$405,$AP497)&lt;&gt;"",$L497&lt;&gt;INDEX(職員マスタ!$G$6:$G$405,$AP497)),"時短開始日がマスタと相違／","")&amp;IF(AND($M497&lt;&gt;"",INDEX(職員マスタ!$H$6:$H$405,$AP497)&lt;&gt;"",$M497&lt;&gt;INDEX(職員マスタ!$H$6:$H$405,$AP497)),"時短終了日がマスタと相違／","")))&amp;IF(AND($B497&lt;&gt;"",$E497=""),"報酬額が未入力／","")&amp;IF(N($U497)&gt;0,"申請書に入力エラーが残っています／","")&amp;IF(AND($B497&lt;&gt;"",$AQ497&lt;&gt;""),IF(COUNTIFS($B$6:$B$3005,$B497,$C$6:$C$3005,$C497,$D$6:$D$3005,$D497)&gt;1,"同じ月の請求が重複しています／",""),"")&amp;IF(AND(N($E497)&gt;0,$AB497&lt;&gt;"",$AB497&lt;&gt;"×",$AE497=0,$AD497=""),"計算額が下限以下のため不支給／",""))</f>
        <v/>
      </c>
      <c r="AN497" s="12" t="n"/>
      <c r="AO497" s="14">
        <f>IF($AF497="保留中",COUNTIF($AF$6:$AF497,"保留中"),"")</f>
        <v/>
      </c>
      <c r="AP497" s="14">
        <f>IF($AQ497="","",IF(SUMPRODUCT(MAX((職員マスタ!$A$6:$A$405=$B497)*(((職員マスタ!$G$6:$G$405="")+(職員マスタ!$G$6:$G$405&lt;=EOMONTH($AQ497,0)))&gt;0)*(((職員マスタ!$H$6:$H$405="")+(職員マスタ!$H$6:$H$405&gt;=$AQ497))&gt;0)*(ROW(職員マスタ!$A$6:$A$405)-5)))&gt;0,SUMPRODUCT(MAX((職員マスタ!$A$6:$A$405=$B497)*(((職員マスタ!$G$6:$G$405="")+(職員マスタ!$G$6:$G$405&lt;=EOMONTH($AQ497,0)))&gt;0)*(((職員マスタ!$H$6:$H$405="")+(職員マスタ!$H$6:$H$405&gt;=$AQ497))&gt;0)*(ROW(職員マスタ!$A$6:$A$405)-5))),IFERROR(MATCH($B497,職員マスタ!$A$6:$A$405,0),"")))</f>
        <v/>
      </c>
      <c r="AQ497" s="16">
        <f>IF(OR($B497="",$C497="",$D497=""),"",DATE($C497+2018,$D497,1))</f>
        <v/>
      </c>
    </row>
    <row r="498">
      <c r="A498" s="11" t="n"/>
      <c r="B498" s="12" t="n"/>
      <c r="C498" s="12" t="n"/>
      <c r="D498" s="12" t="n"/>
      <c r="E498" s="13" t="n"/>
      <c r="F498" s="12" t="n"/>
      <c r="G498" s="13" t="n"/>
      <c r="H498" s="12" t="n"/>
      <c r="I498" s="12" t="n"/>
      <c r="J498" s="12" t="n"/>
      <c r="K498" s="12" t="n"/>
      <c r="L498" s="11" t="n"/>
      <c r="M498" s="11" t="n"/>
      <c r="N498" s="11" t="n"/>
      <c r="O498" s="11" t="n"/>
      <c r="P498" s="12" t="n"/>
      <c r="Q498" s="11" t="n"/>
      <c r="R498" s="12" t="n"/>
      <c r="S498" s="11" t="n"/>
      <c r="T498" s="12" t="n"/>
      <c r="U498" s="12" t="n"/>
      <c r="V498" s="12" t="n"/>
      <c r="W498" s="13" t="n"/>
      <c r="X498" s="14">
        <f>IF($AP498="",IF($B498="","",$H498),IF(INDEX(職員マスタ!$B$6:$B$405,$AP498)="",$H498,INDEX(職員マスタ!$B$6:$B$405,$AP498)))</f>
        <v/>
      </c>
      <c r="Y498" s="14">
        <f>IF($AP498="",IF($B498="","",$R498),IF(INDEX(職員マスタ!$C$6:$C$405,$AP498)="",$R498,INDEX(職員マスタ!$C$6:$C$405,$AP498)))</f>
        <v/>
      </c>
      <c r="Z498" s="14">
        <f>IF($AQ498="","","R"&amp;$C498&amp;"."&amp;$D498)</f>
        <v/>
      </c>
      <c r="AA498" s="15">
        <f>IF(IF($AP498="",FALSE,INDEX(職員マスタ!$K$6:$K$405,$AP498)&lt;&gt;""),INDEX(職員マスタ!$K$6:$K$405,$AP498),IF(N($W498)&gt;0,$W498,""))</f>
        <v/>
      </c>
      <c r="AB498" s="14">
        <f>IF(OR($E498="",$AA498=""),"",IF($E498&gt;=$AA498,"×",IF($E498&gt;=$AA498*設定!$C$5,"△","○")))</f>
        <v/>
      </c>
      <c r="AC498" s="15">
        <f>IF($AB498="","",IF($AB498="×",0,IF($AB498="○",ROUNDDOWN($E498*設定!$C$4,0),ROUNDDOWN($E498*ROUND((9*$AA498-9*$E498)/(10*$E498),4),0))))</f>
        <v/>
      </c>
      <c r="AD498" s="13" t="n"/>
      <c r="AE498" s="15">
        <f>IF($B498="","",IF($AD498&lt;&gt;"",$AD498,IF($AC498="","",IF($AC498&lt;=設定!$C$3,0,$AC498))))</f>
        <v/>
      </c>
      <c r="AF498" s="14">
        <f>IF($B498="","",IF(AND($AG498&lt;&gt;"",$AI498="",$AL498=""),"保留中",IF($AL498&lt;&gt;"",IF(N($AE498)&gt;0,"支給済","不支給"),IF($AE498="","要確認",IF($AE498=0,"不支給","未処理")))))</f>
        <v/>
      </c>
      <c r="AG498" s="12" t="n"/>
      <c r="AH498" s="11" t="n"/>
      <c r="AI498" s="11" t="n"/>
      <c r="AJ498" s="11" t="n"/>
      <c r="AK498" s="14">
        <f>IF(AND($AF498="保留中",$AH498&lt;&gt;""),TODAY()-$AH498,"")</f>
        <v/>
      </c>
      <c r="AL498" s="12" t="n"/>
      <c r="AM498" s="14">
        <f>IF($B498="","",IF($AQ498="","対象年月が未入力／","")&amp;IF($B498="","",IF($AP498="","職員マスタに未登録の職員番号／",IF($AA498="","標準報酬月額が未登録／","")&amp;IF(AND($AQ498&lt;&gt;"",OR(AND(INDEX(職員マスタ!$G$6:$G$405,$AP498)&lt;&gt;"",INDEX(職員マスタ!$G$6:$G$405,$AP498)&gt;EOMONTH($AQ498,0)),AND(INDEX(職員マスタ!$H$6:$H$405,$AP498)&lt;&gt;"",INDEX(職員マスタ!$H$6:$H$405,$AP498)&lt;$AQ498))),"対象月が時短期間外／","")&amp;IF(AND(INDEX(職員マスタ!$K$6:$K$405,$AP498)&lt;&gt;"",N($W498)&gt;0,INDEX(職員マスタ!$K$6:$K$405,$AP498)&lt;&gt;$W498),"標準報酬月額が申請書と相違（台帳"&amp;TEXT(INDEX(職員マスタ!$K$6:$K$405,$AP498),"#,##0")&amp;"円／申請書"&amp;TEXT($W498,"#,##0")&amp;"円）／","")&amp;IF(AND(INDEX(職員マスタ!$F$6:$F$405,$AP498)&lt;&gt;"",$AQ498&lt;&gt;"",INDEX(職員マスタ!$F$6:$F$405,$AP498)&lt;$AQ498),"対象月に子が2歳到達済／","")&amp;IF(AND($H498&lt;&gt;"",INDEX(職員マスタ!$B$6:$B$405,$AP498)&lt;&gt;"",SUBSTITUTE(SUBSTITUTE($H498," ","")," ","")&lt;&gt;SUBSTITUTE(SUBSTITUTE(INDEX(職員マスタ!$B$6:$B$405,$AP498)," ","")," ","")),"氏名がマスタと相違／","")&amp;IF(AND($Q498&lt;&gt;"",INDEX(職員マスタ!$E$6:$E$405,$AP498)&lt;&gt;"",$Q498&lt;&gt;INDEX(職員マスタ!$E$6:$E$405,$AP498)),"子の生年月日がマスタと相違／","")&amp;IF(AND($L498&lt;&gt;"",INDEX(職員マスタ!$G$6:$G$405,$AP498)&lt;&gt;"",$L498&lt;&gt;INDEX(職員マスタ!$G$6:$G$405,$AP498)),"時短開始日がマスタと相違／","")&amp;IF(AND($M498&lt;&gt;"",INDEX(職員マスタ!$H$6:$H$405,$AP498)&lt;&gt;"",$M498&lt;&gt;INDEX(職員マスタ!$H$6:$H$405,$AP498)),"時短終了日がマスタと相違／","")))&amp;IF(AND($B498&lt;&gt;"",$E498=""),"報酬額が未入力／","")&amp;IF(N($U498)&gt;0,"申請書に入力エラーが残っています／","")&amp;IF(AND($B498&lt;&gt;"",$AQ498&lt;&gt;""),IF(COUNTIFS($B$6:$B$3005,$B498,$C$6:$C$3005,$C498,$D$6:$D$3005,$D498)&gt;1,"同じ月の請求が重複しています／",""),"")&amp;IF(AND(N($E498)&gt;0,$AB498&lt;&gt;"",$AB498&lt;&gt;"×",$AE498=0,$AD498=""),"計算額が下限以下のため不支給／",""))</f>
        <v/>
      </c>
      <c r="AN498" s="12" t="n"/>
      <c r="AO498" s="14">
        <f>IF($AF498="保留中",COUNTIF($AF$6:$AF498,"保留中"),"")</f>
        <v/>
      </c>
      <c r="AP498" s="14">
        <f>IF($AQ498="","",IF(SUMPRODUCT(MAX((職員マスタ!$A$6:$A$405=$B498)*(((職員マスタ!$G$6:$G$405="")+(職員マスタ!$G$6:$G$405&lt;=EOMONTH($AQ498,0)))&gt;0)*(((職員マスタ!$H$6:$H$405="")+(職員マスタ!$H$6:$H$405&gt;=$AQ498))&gt;0)*(ROW(職員マスタ!$A$6:$A$405)-5)))&gt;0,SUMPRODUCT(MAX((職員マスタ!$A$6:$A$405=$B498)*(((職員マスタ!$G$6:$G$405="")+(職員マスタ!$G$6:$G$405&lt;=EOMONTH($AQ498,0)))&gt;0)*(((職員マスタ!$H$6:$H$405="")+(職員マスタ!$H$6:$H$405&gt;=$AQ498))&gt;0)*(ROW(職員マスタ!$A$6:$A$405)-5))),IFERROR(MATCH($B498,職員マスタ!$A$6:$A$405,0),"")))</f>
        <v/>
      </c>
      <c r="AQ498" s="16">
        <f>IF(OR($B498="",$C498="",$D498=""),"",DATE($C498+2018,$D498,1))</f>
        <v/>
      </c>
    </row>
    <row r="499">
      <c r="A499" s="11" t="n"/>
      <c r="B499" s="12" t="n"/>
      <c r="C499" s="12" t="n"/>
      <c r="D499" s="12" t="n"/>
      <c r="E499" s="13" t="n"/>
      <c r="F499" s="12" t="n"/>
      <c r="G499" s="13" t="n"/>
      <c r="H499" s="12" t="n"/>
      <c r="I499" s="12" t="n"/>
      <c r="J499" s="12" t="n"/>
      <c r="K499" s="12" t="n"/>
      <c r="L499" s="11" t="n"/>
      <c r="M499" s="11" t="n"/>
      <c r="N499" s="11" t="n"/>
      <c r="O499" s="11" t="n"/>
      <c r="P499" s="12" t="n"/>
      <c r="Q499" s="11" t="n"/>
      <c r="R499" s="12" t="n"/>
      <c r="S499" s="11" t="n"/>
      <c r="T499" s="12" t="n"/>
      <c r="U499" s="12" t="n"/>
      <c r="V499" s="12" t="n"/>
      <c r="W499" s="13" t="n"/>
      <c r="X499" s="14">
        <f>IF($AP499="",IF($B499="","",$H499),IF(INDEX(職員マスタ!$B$6:$B$405,$AP499)="",$H499,INDEX(職員マスタ!$B$6:$B$405,$AP499)))</f>
        <v/>
      </c>
      <c r="Y499" s="14">
        <f>IF($AP499="",IF($B499="","",$R499),IF(INDEX(職員マスタ!$C$6:$C$405,$AP499)="",$R499,INDEX(職員マスタ!$C$6:$C$405,$AP499)))</f>
        <v/>
      </c>
      <c r="Z499" s="14">
        <f>IF($AQ499="","","R"&amp;$C499&amp;"."&amp;$D499)</f>
        <v/>
      </c>
      <c r="AA499" s="15">
        <f>IF(IF($AP499="",FALSE,INDEX(職員マスタ!$K$6:$K$405,$AP499)&lt;&gt;""),INDEX(職員マスタ!$K$6:$K$405,$AP499),IF(N($W499)&gt;0,$W499,""))</f>
        <v/>
      </c>
      <c r="AB499" s="14">
        <f>IF(OR($E499="",$AA499=""),"",IF($E499&gt;=$AA499,"×",IF($E499&gt;=$AA499*設定!$C$5,"△","○")))</f>
        <v/>
      </c>
      <c r="AC499" s="15">
        <f>IF($AB499="","",IF($AB499="×",0,IF($AB499="○",ROUNDDOWN($E499*設定!$C$4,0),ROUNDDOWN($E499*ROUND((9*$AA499-9*$E499)/(10*$E499),4),0))))</f>
        <v/>
      </c>
      <c r="AD499" s="13" t="n"/>
      <c r="AE499" s="15">
        <f>IF($B499="","",IF($AD499&lt;&gt;"",$AD499,IF($AC499="","",IF($AC499&lt;=設定!$C$3,0,$AC499))))</f>
        <v/>
      </c>
      <c r="AF499" s="14">
        <f>IF($B499="","",IF(AND($AG499&lt;&gt;"",$AI499="",$AL499=""),"保留中",IF($AL499&lt;&gt;"",IF(N($AE499)&gt;0,"支給済","不支給"),IF($AE499="","要確認",IF($AE499=0,"不支給","未処理")))))</f>
        <v/>
      </c>
      <c r="AG499" s="12" t="n"/>
      <c r="AH499" s="11" t="n"/>
      <c r="AI499" s="11" t="n"/>
      <c r="AJ499" s="11" t="n"/>
      <c r="AK499" s="14">
        <f>IF(AND($AF499="保留中",$AH499&lt;&gt;""),TODAY()-$AH499,"")</f>
        <v/>
      </c>
      <c r="AL499" s="12" t="n"/>
      <c r="AM499" s="14">
        <f>IF($B499="","",IF($AQ499="","対象年月が未入力／","")&amp;IF($B499="","",IF($AP499="","職員マスタに未登録の職員番号／",IF($AA499="","標準報酬月額が未登録／","")&amp;IF(AND($AQ499&lt;&gt;"",OR(AND(INDEX(職員マスタ!$G$6:$G$405,$AP499)&lt;&gt;"",INDEX(職員マスタ!$G$6:$G$405,$AP499)&gt;EOMONTH($AQ499,0)),AND(INDEX(職員マスタ!$H$6:$H$405,$AP499)&lt;&gt;"",INDEX(職員マスタ!$H$6:$H$405,$AP499)&lt;$AQ499))),"対象月が時短期間外／","")&amp;IF(AND(INDEX(職員マスタ!$K$6:$K$405,$AP499)&lt;&gt;"",N($W499)&gt;0,INDEX(職員マスタ!$K$6:$K$405,$AP499)&lt;&gt;$W499),"標準報酬月額が申請書と相違（台帳"&amp;TEXT(INDEX(職員マスタ!$K$6:$K$405,$AP499),"#,##0")&amp;"円／申請書"&amp;TEXT($W499,"#,##0")&amp;"円）／","")&amp;IF(AND(INDEX(職員マスタ!$F$6:$F$405,$AP499)&lt;&gt;"",$AQ499&lt;&gt;"",INDEX(職員マスタ!$F$6:$F$405,$AP499)&lt;$AQ499),"対象月に子が2歳到達済／","")&amp;IF(AND($H499&lt;&gt;"",INDEX(職員マスタ!$B$6:$B$405,$AP499)&lt;&gt;"",SUBSTITUTE(SUBSTITUTE($H499," ","")," ","")&lt;&gt;SUBSTITUTE(SUBSTITUTE(INDEX(職員マスタ!$B$6:$B$405,$AP499)," ","")," ","")),"氏名がマスタと相違／","")&amp;IF(AND($Q499&lt;&gt;"",INDEX(職員マスタ!$E$6:$E$405,$AP499)&lt;&gt;"",$Q499&lt;&gt;INDEX(職員マスタ!$E$6:$E$405,$AP499)),"子の生年月日がマスタと相違／","")&amp;IF(AND($L499&lt;&gt;"",INDEX(職員マスタ!$G$6:$G$405,$AP499)&lt;&gt;"",$L499&lt;&gt;INDEX(職員マスタ!$G$6:$G$405,$AP499)),"時短開始日がマスタと相違／","")&amp;IF(AND($M499&lt;&gt;"",INDEX(職員マスタ!$H$6:$H$405,$AP499)&lt;&gt;"",$M499&lt;&gt;INDEX(職員マスタ!$H$6:$H$405,$AP499)),"時短終了日がマスタと相違／","")))&amp;IF(AND($B499&lt;&gt;"",$E499=""),"報酬額が未入力／","")&amp;IF(N($U499)&gt;0,"申請書に入力エラーが残っています／","")&amp;IF(AND($B499&lt;&gt;"",$AQ499&lt;&gt;""),IF(COUNTIFS($B$6:$B$3005,$B499,$C$6:$C$3005,$C499,$D$6:$D$3005,$D499)&gt;1,"同じ月の請求が重複しています／",""),"")&amp;IF(AND(N($E499)&gt;0,$AB499&lt;&gt;"",$AB499&lt;&gt;"×",$AE499=0,$AD499=""),"計算額が下限以下のため不支給／",""))</f>
        <v/>
      </c>
      <c r="AN499" s="12" t="n"/>
      <c r="AO499" s="14">
        <f>IF($AF499="保留中",COUNTIF($AF$6:$AF499,"保留中"),"")</f>
        <v/>
      </c>
      <c r="AP499" s="14">
        <f>IF($AQ499="","",IF(SUMPRODUCT(MAX((職員マスタ!$A$6:$A$405=$B499)*(((職員マスタ!$G$6:$G$405="")+(職員マスタ!$G$6:$G$405&lt;=EOMONTH($AQ499,0)))&gt;0)*(((職員マスタ!$H$6:$H$405="")+(職員マスタ!$H$6:$H$405&gt;=$AQ499))&gt;0)*(ROW(職員マスタ!$A$6:$A$405)-5)))&gt;0,SUMPRODUCT(MAX((職員マスタ!$A$6:$A$405=$B499)*(((職員マスタ!$G$6:$G$405="")+(職員マスタ!$G$6:$G$405&lt;=EOMONTH($AQ499,0)))&gt;0)*(((職員マスタ!$H$6:$H$405="")+(職員マスタ!$H$6:$H$405&gt;=$AQ499))&gt;0)*(ROW(職員マスタ!$A$6:$A$405)-5))),IFERROR(MATCH($B499,職員マスタ!$A$6:$A$405,0),"")))</f>
        <v/>
      </c>
      <c r="AQ499" s="16">
        <f>IF(OR($B499="",$C499="",$D499=""),"",DATE($C499+2018,$D499,1))</f>
        <v/>
      </c>
    </row>
    <row r="500">
      <c r="A500" s="11" t="n"/>
      <c r="B500" s="12" t="n"/>
      <c r="C500" s="12" t="n"/>
      <c r="D500" s="12" t="n"/>
      <c r="E500" s="13" t="n"/>
      <c r="F500" s="12" t="n"/>
      <c r="G500" s="13" t="n"/>
      <c r="H500" s="12" t="n"/>
      <c r="I500" s="12" t="n"/>
      <c r="J500" s="12" t="n"/>
      <c r="K500" s="12" t="n"/>
      <c r="L500" s="11" t="n"/>
      <c r="M500" s="11" t="n"/>
      <c r="N500" s="11" t="n"/>
      <c r="O500" s="11" t="n"/>
      <c r="P500" s="12" t="n"/>
      <c r="Q500" s="11" t="n"/>
      <c r="R500" s="12" t="n"/>
      <c r="S500" s="11" t="n"/>
      <c r="T500" s="12" t="n"/>
      <c r="U500" s="12" t="n"/>
      <c r="V500" s="12" t="n"/>
      <c r="W500" s="13" t="n"/>
      <c r="X500" s="14">
        <f>IF($AP500="",IF($B500="","",$H500),IF(INDEX(職員マスタ!$B$6:$B$405,$AP500)="",$H500,INDEX(職員マスタ!$B$6:$B$405,$AP500)))</f>
        <v/>
      </c>
      <c r="Y500" s="14">
        <f>IF($AP500="",IF($B500="","",$R500),IF(INDEX(職員マスタ!$C$6:$C$405,$AP500)="",$R500,INDEX(職員マスタ!$C$6:$C$405,$AP500)))</f>
        <v/>
      </c>
      <c r="Z500" s="14">
        <f>IF($AQ500="","","R"&amp;$C500&amp;"."&amp;$D500)</f>
        <v/>
      </c>
      <c r="AA500" s="15">
        <f>IF(IF($AP500="",FALSE,INDEX(職員マスタ!$K$6:$K$405,$AP500)&lt;&gt;""),INDEX(職員マスタ!$K$6:$K$405,$AP500),IF(N($W500)&gt;0,$W500,""))</f>
        <v/>
      </c>
      <c r="AB500" s="14">
        <f>IF(OR($E500="",$AA500=""),"",IF($E500&gt;=$AA500,"×",IF($E500&gt;=$AA500*設定!$C$5,"△","○")))</f>
        <v/>
      </c>
      <c r="AC500" s="15">
        <f>IF($AB500="","",IF($AB500="×",0,IF($AB500="○",ROUNDDOWN($E500*設定!$C$4,0),ROUNDDOWN($E500*ROUND((9*$AA500-9*$E500)/(10*$E500),4),0))))</f>
        <v/>
      </c>
      <c r="AD500" s="13" t="n"/>
      <c r="AE500" s="15">
        <f>IF($B500="","",IF($AD500&lt;&gt;"",$AD500,IF($AC500="","",IF($AC500&lt;=設定!$C$3,0,$AC500))))</f>
        <v/>
      </c>
      <c r="AF500" s="14">
        <f>IF($B500="","",IF(AND($AG500&lt;&gt;"",$AI500="",$AL500=""),"保留中",IF($AL500&lt;&gt;"",IF(N($AE500)&gt;0,"支給済","不支給"),IF($AE500="","要確認",IF($AE500=0,"不支給","未処理")))))</f>
        <v/>
      </c>
      <c r="AG500" s="12" t="n"/>
      <c r="AH500" s="11" t="n"/>
      <c r="AI500" s="11" t="n"/>
      <c r="AJ500" s="11" t="n"/>
      <c r="AK500" s="14">
        <f>IF(AND($AF500="保留中",$AH500&lt;&gt;""),TODAY()-$AH500,"")</f>
        <v/>
      </c>
      <c r="AL500" s="12" t="n"/>
      <c r="AM500" s="14">
        <f>IF($B500="","",IF($AQ500="","対象年月が未入力／","")&amp;IF($B500="","",IF($AP500="","職員マスタに未登録の職員番号／",IF($AA500="","標準報酬月額が未登録／","")&amp;IF(AND($AQ500&lt;&gt;"",OR(AND(INDEX(職員マスタ!$G$6:$G$405,$AP500)&lt;&gt;"",INDEX(職員マスタ!$G$6:$G$405,$AP500)&gt;EOMONTH($AQ500,0)),AND(INDEX(職員マスタ!$H$6:$H$405,$AP500)&lt;&gt;"",INDEX(職員マスタ!$H$6:$H$405,$AP500)&lt;$AQ500))),"対象月が時短期間外／","")&amp;IF(AND(INDEX(職員マスタ!$K$6:$K$405,$AP500)&lt;&gt;"",N($W500)&gt;0,INDEX(職員マスタ!$K$6:$K$405,$AP500)&lt;&gt;$W500),"標準報酬月額が申請書と相違（台帳"&amp;TEXT(INDEX(職員マスタ!$K$6:$K$405,$AP500),"#,##0")&amp;"円／申請書"&amp;TEXT($W500,"#,##0")&amp;"円）／","")&amp;IF(AND(INDEX(職員マスタ!$F$6:$F$405,$AP500)&lt;&gt;"",$AQ500&lt;&gt;"",INDEX(職員マスタ!$F$6:$F$405,$AP500)&lt;$AQ500),"対象月に子が2歳到達済／","")&amp;IF(AND($H500&lt;&gt;"",INDEX(職員マスタ!$B$6:$B$405,$AP500)&lt;&gt;"",SUBSTITUTE(SUBSTITUTE($H500," ","")," ","")&lt;&gt;SUBSTITUTE(SUBSTITUTE(INDEX(職員マスタ!$B$6:$B$405,$AP500)," ","")," ","")),"氏名がマスタと相違／","")&amp;IF(AND($Q500&lt;&gt;"",INDEX(職員マスタ!$E$6:$E$405,$AP500)&lt;&gt;"",$Q500&lt;&gt;INDEX(職員マスタ!$E$6:$E$405,$AP500)),"子の生年月日がマスタと相違／","")&amp;IF(AND($L500&lt;&gt;"",INDEX(職員マスタ!$G$6:$G$405,$AP500)&lt;&gt;"",$L500&lt;&gt;INDEX(職員マスタ!$G$6:$G$405,$AP500)),"時短開始日がマスタと相違／","")&amp;IF(AND($M500&lt;&gt;"",INDEX(職員マスタ!$H$6:$H$405,$AP500)&lt;&gt;"",$M500&lt;&gt;INDEX(職員マスタ!$H$6:$H$405,$AP500)),"時短終了日がマスタと相違／","")))&amp;IF(AND($B500&lt;&gt;"",$E500=""),"報酬額が未入力／","")&amp;IF(N($U500)&gt;0,"申請書に入力エラーが残っています／","")&amp;IF(AND($B500&lt;&gt;"",$AQ500&lt;&gt;""),IF(COUNTIFS($B$6:$B$3005,$B500,$C$6:$C$3005,$C500,$D$6:$D$3005,$D500)&gt;1,"同じ月の請求が重複しています／",""),"")&amp;IF(AND(N($E500)&gt;0,$AB500&lt;&gt;"",$AB500&lt;&gt;"×",$AE500=0,$AD500=""),"計算額が下限以下のため不支給／",""))</f>
        <v/>
      </c>
      <c r="AN500" s="12" t="n"/>
      <c r="AO500" s="14">
        <f>IF($AF500="保留中",COUNTIF($AF$6:$AF500,"保留中"),"")</f>
        <v/>
      </c>
      <c r="AP500" s="14">
        <f>IF($AQ500="","",IF(SUMPRODUCT(MAX((職員マスタ!$A$6:$A$405=$B500)*(((職員マスタ!$G$6:$G$405="")+(職員マスタ!$G$6:$G$405&lt;=EOMONTH($AQ500,0)))&gt;0)*(((職員マスタ!$H$6:$H$405="")+(職員マスタ!$H$6:$H$405&gt;=$AQ500))&gt;0)*(ROW(職員マスタ!$A$6:$A$405)-5)))&gt;0,SUMPRODUCT(MAX((職員マスタ!$A$6:$A$405=$B500)*(((職員マスタ!$G$6:$G$405="")+(職員マスタ!$G$6:$G$405&lt;=EOMONTH($AQ500,0)))&gt;0)*(((職員マスタ!$H$6:$H$405="")+(職員マスタ!$H$6:$H$405&gt;=$AQ500))&gt;0)*(ROW(職員マスタ!$A$6:$A$405)-5))),IFERROR(MATCH($B500,職員マスタ!$A$6:$A$405,0),"")))</f>
        <v/>
      </c>
      <c r="AQ500" s="16">
        <f>IF(OR($B500="",$C500="",$D500=""),"",DATE($C500+2018,$D500,1))</f>
        <v/>
      </c>
    </row>
    <row r="501">
      <c r="A501" s="11" t="n"/>
      <c r="B501" s="12" t="n"/>
      <c r="C501" s="12" t="n"/>
      <c r="D501" s="12" t="n"/>
      <c r="E501" s="13" t="n"/>
      <c r="F501" s="12" t="n"/>
      <c r="G501" s="13" t="n"/>
      <c r="H501" s="12" t="n"/>
      <c r="I501" s="12" t="n"/>
      <c r="J501" s="12" t="n"/>
      <c r="K501" s="12" t="n"/>
      <c r="L501" s="11" t="n"/>
      <c r="M501" s="11" t="n"/>
      <c r="N501" s="11" t="n"/>
      <c r="O501" s="11" t="n"/>
      <c r="P501" s="12" t="n"/>
      <c r="Q501" s="11" t="n"/>
      <c r="R501" s="12" t="n"/>
      <c r="S501" s="11" t="n"/>
      <c r="T501" s="12" t="n"/>
      <c r="U501" s="12" t="n"/>
      <c r="V501" s="12" t="n"/>
      <c r="W501" s="13" t="n"/>
      <c r="X501" s="14">
        <f>IF($AP501="",IF($B501="","",$H501),IF(INDEX(職員マスタ!$B$6:$B$405,$AP501)="",$H501,INDEX(職員マスタ!$B$6:$B$405,$AP501)))</f>
        <v/>
      </c>
      <c r="Y501" s="14">
        <f>IF($AP501="",IF($B501="","",$R501),IF(INDEX(職員マスタ!$C$6:$C$405,$AP501)="",$R501,INDEX(職員マスタ!$C$6:$C$405,$AP501)))</f>
        <v/>
      </c>
      <c r="Z501" s="14">
        <f>IF($AQ501="","","R"&amp;$C501&amp;"."&amp;$D501)</f>
        <v/>
      </c>
      <c r="AA501" s="15">
        <f>IF(IF($AP501="",FALSE,INDEX(職員マスタ!$K$6:$K$405,$AP501)&lt;&gt;""),INDEX(職員マスタ!$K$6:$K$405,$AP501),IF(N($W501)&gt;0,$W501,""))</f>
        <v/>
      </c>
      <c r="AB501" s="14">
        <f>IF(OR($E501="",$AA501=""),"",IF($E501&gt;=$AA501,"×",IF($E501&gt;=$AA501*設定!$C$5,"△","○")))</f>
        <v/>
      </c>
      <c r="AC501" s="15">
        <f>IF($AB501="","",IF($AB501="×",0,IF($AB501="○",ROUNDDOWN($E501*設定!$C$4,0),ROUNDDOWN($E501*ROUND((9*$AA501-9*$E501)/(10*$E501),4),0))))</f>
        <v/>
      </c>
      <c r="AD501" s="13" t="n"/>
      <c r="AE501" s="15">
        <f>IF($B501="","",IF($AD501&lt;&gt;"",$AD501,IF($AC501="","",IF($AC501&lt;=設定!$C$3,0,$AC501))))</f>
        <v/>
      </c>
      <c r="AF501" s="14">
        <f>IF($B501="","",IF(AND($AG501&lt;&gt;"",$AI501="",$AL501=""),"保留中",IF($AL501&lt;&gt;"",IF(N($AE501)&gt;0,"支給済","不支給"),IF($AE501="","要確認",IF($AE501=0,"不支給","未処理")))))</f>
        <v/>
      </c>
      <c r="AG501" s="12" t="n"/>
      <c r="AH501" s="11" t="n"/>
      <c r="AI501" s="11" t="n"/>
      <c r="AJ501" s="11" t="n"/>
      <c r="AK501" s="14">
        <f>IF(AND($AF501="保留中",$AH501&lt;&gt;""),TODAY()-$AH501,"")</f>
        <v/>
      </c>
      <c r="AL501" s="12" t="n"/>
      <c r="AM501" s="14">
        <f>IF($B501="","",IF($AQ501="","対象年月が未入力／","")&amp;IF($B501="","",IF($AP501="","職員マスタに未登録の職員番号／",IF($AA501="","標準報酬月額が未登録／","")&amp;IF(AND($AQ501&lt;&gt;"",OR(AND(INDEX(職員マスタ!$G$6:$G$405,$AP501)&lt;&gt;"",INDEX(職員マスタ!$G$6:$G$405,$AP501)&gt;EOMONTH($AQ501,0)),AND(INDEX(職員マスタ!$H$6:$H$405,$AP501)&lt;&gt;"",INDEX(職員マスタ!$H$6:$H$405,$AP501)&lt;$AQ501))),"対象月が時短期間外／","")&amp;IF(AND(INDEX(職員マスタ!$K$6:$K$405,$AP501)&lt;&gt;"",N($W501)&gt;0,INDEX(職員マスタ!$K$6:$K$405,$AP501)&lt;&gt;$W501),"標準報酬月額が申請書と相違（台帳"&amp;TEXT(INDEX(職員マスタ!$K$6:$K$405,$AP501),"#,##0")&amp;"円／申請書"&amp;TEXT($W501,"#,##0")&amp;"円）／","")&amp;IF(AND(INDEX(職員マスタ!$F$6:$F$405,$AP501)&lt;&gt;"",$AQ501&lt;&gt;"",INDEX(職員マスタ!$F$6:$F$405,$AP501)&lt;$AQ501),"対象月に子が2歳到達済／","")&amp;IF(AND($H501&lt;&gt;"",INDEX(職員マスタ!$B$6:$B$405,$AP501)&lt;&gt;"",SUBSTITUTE(SUBSTITUTE($H501," ","")," ","")&lt;&gt;SUBSTITUTE(SUBSTITUTE(INDEX(職員マスタ!$B$6:$B$405,$AP501)," ","")," ","")),"氏名がマスタと相違／","")&amp;IF(AND($Q501&lt;&gt;"",INDEX(職員マスタ!$E$6:$E$405,$AP501)&lt;&gt;"",$Q501&lt;&gt;INDEX(職員マスタ!$E$6:$E$405,$AP501)),"子の生年月日がマスタと相違／","")&amp;IF(AND($L501&lt;&gt;"",INDEX(職員マスタ!$G$6:$G$405,$AP501)&lt;&gt;"",$L501&lt;&gt;INDEX(職員マスタ!$G$6:$G$405,$AP501)),"時短開始日がマスタと相違／","")&amp;IF(AND($M501&lt;&gt;"",INDEX(職員マスタ!$H$6:$H$405,$AP501)&lt;&gt;"",$M501&lt;&gt;INDEX(職員マスタ!$H$6:$H$405,$AP501)),"時短終了日がマスタと相違／","")))&amp;IF(AND($B501&lt;&gt;"",$E501=""),"報酬額が未入力／","")&amp;IF(N($U501)&gt;0,"申請書に入力エラーが残っています／","")&amp;IF(AND($B501&lt;&gt;"",$AQ501&lt;&gt;""),IF(COUNTIFS($B$6:$B$3005,$B501,$C$6:$C$3005,$C501,$D$6:$D$3005,$D501)&gt;1,"同じ月の請求が重複しています／",""),"")&amp;IF(AND(N($E501)&gt;0,$AB501&lt;&gt;"",$AB501&lt;&gt;"×",$AE501=0,$AD501=""),"計算額が下限以下のため不支給／",""))</f>
        <v/>
      </c>
      <c r="AN501" s="12" t="n"/>
      <c r="AO501" s="14">
        <f>IF($AF501="保留中",COUNTIF($AF$6:$AF501,"保留中"),"")</f>
        <v/>
      </c>
      <c r="AP501" s="14">
        <f>IF($AQ501="","",IF(SUMPRODUCT(MAX((職員マスタ!$A$6:$A$405=$B501)*(((職員マスタ!$G$6:$G$405="")+(職員マスタ!$G$6:$G$405&lt;=EOMONTH($AQ501,0)))&gt;0)*(((職員マスタ!$H$6:$H$405="")+(職員マスタ!$H$6:$H$405&gt;=$AQ501))&gt;0)*(ROW(職員マスタ!$A$6:$A$405)-5)))&gt;0,SUMPRODUCT(MAX((職員マスタ!$A$6:$A$405=$B501)*(((職員マスタ!$G$6:$G$405="")+(職員マスタ!$G$6:$G$405&lt;=EOMONTH($AQ501,0)))&gt;0)*(((職員マスタ!$H$6:$H$405="")+(職員マスタ!$H$6:$H$405&gt;=$AQ501))&gt;0)*(ROW(職員マスタ!$A$6:$A$405)-5))),IFERROR(MATCH($B501,職員マスタ!$A$6:$A$405,0),"")))</f>
        <v/>
      </c>
      <c r="AQ501" s="16">
        <f>IF(OR($B501="",$C501="",$D501=""),"",DATE($C501+2018,$D501,1))</f>
        <v/>
      </c>
    </row>
    <row r="502">
      <c r="A502" s="11" t="n"/>
      <c r="B502" s="12" t="n"/>
      <c r="C502" s="12" t="n"/>
      <c r="D502" s="12" t="n"/>
      <c r="E502" s="13" t="n"/>
      <c r="F502" s="12" t="n"/>
      <c r="G502" s="13" t="n"/>
      <c r="H502" s="12" t="n"/>
      <c r="I502" s="12" t="n"/>
      <c r="J502" s="12" t="n"/>
      <c r="K502" s="12" t="n"/>
      <c r="L502" s="11" t="n"/>
      <c r="M502" s="11" t="n"/>
      <c r="N502" s="11" t="n"/>
      <c r="O502" s="11" t="n"/>
      <c r="P502" s="12" t="n"/>
      <c r="Q502" s="11" t="n"/>
      <c r="R502" s="12" t="n"/>
      <c r="S502" s="11" t="n"/>
      <c r="T502" s="12" t="n"/>
      <c r="U502" s="12" t="n"/>
      <c r="V502" s="12" t="n"/>
      <c r="W502" s="13" t="n"/>
      <c r="X502" s="14">
        <f>IF($AP502="",IF($B502="","",$H502),IF(INDEX(職員マスタ!$B$6:$B$405,$AP502)="",$H502,INDEX(職員マスタ!$B$6:$B$405,$AP502)))</f>
        <v/>
      </c>
      <c r="Y502" s="14">
        <f>IF($AP502="",IF($B502="","",$R502),IF(INDEX(職員マスタ!$C$6:$C$405,$AP502)="",$R502,INDEX(職員マスタ!$C$6:$C$405,$AP502)))</f>
        <v/>
      </c>
      <c r="Z502" s="14">
        <f>IF($AQ502="","","R"&amp;$C502&amp;"."&amp;$D502)</f>
        <v/>
      </c>
      <c r="AA502" s="15">
        <f>IF(IF($AP502="",FALSE,INDEX(職員マスタ!$K$6:$K$405,$AP502)&lt;&gt;""),INDEX(職員マスタ!$K$6:$K$405,$AP502),IF(N($W502)&gt;0,$W502,""))</f>
        <v/>
      </c>
      <c r="AB502" s="14">
        <f>IF(OR($E502="",$AA502=""),"",IF($E502&gt;=$AA502,"×",IF($E502&gt;=$AA502*設定!$C$5,"△","○")))</f>
        <v/>
      </c>
      <c r="AC502" s="15">
        <f>IF($AB502="","",IF($AB502="×",0,IF($AB502="○",ROUNDDOWN($E502*設定!$C$4,0),ROUNDDOWN($E502*ROUND((9*$AA502-9*$E502)/(10*$E502),4),0))))</f>
        <v/>
      </c>
      <c r="AD502" s="13" t="n"/>
      <c r="AE502" s="15">
        <f>IF($B502="","",IF($AD502&lt;&gt;"",$AD502,IF($AC502="","",IF($AC502&lt;=設定!$C$3,0,$AC502))))</f>
        <v/>
      </c>
      <c r="AF502" s="14">
        <f>IF($B502="","",IF(AND($AG502&lt;&gt;"",$AI502="",$AL502=""),"保留中",IF($AL502&lt;&gt;"",IF(N($AE502)&gt;0,"支給済","不支給"),IF($AE502="","要確認",IF($AE502=0,"不支給","未処理")))))</f>
        <v/>
      </c>
      <c r="AG502" s="12" t="n"/>
      <c r="AH502" s="11" t="n"/>
      <c r="AI502" s="11" t="n"/>
      <c r="AJ502" s="11" t="n"/>
      <c r="AK502" s="14">
        <f>IF(AND($AF502="保留中",$AH502&lt;&gt;""),TODAY()-$AH502,"")</f>
        <v/>
      </c>
      <c r="AL502" s="12" t="n"/>
      <c r="AM502" s="14">
        <f>IF($B502="","",IF($AQ502="","対象年月が未入力／","")&amp;IF($B502="","",IF($AP502="","職員マスタに未登録の職員番号／",IF($AA502="","標準報酬月額が未登録／","")&amp;IF(AND($AQ502&lt;&gt;"",OR(AND(INDEX(職員マスタ!$G$6:$G$405,$AP502)&lt;&gt;"",INDEX(職員マスタ!$G$6:$G$405,$AP502)&gt;EOMONTH($AQ502,0)),AND(INDEX(職員マスタ!$H$6:$H$405,$AP502)&lt;&gt;"",INDEX(職員マスタ!$H$6:$H$405,$AP502)&lt;$AQ502))),"対象月が時短期間外／","")&amp;IF(AND(INDEX(職員マスタ!$K$6:$K$405,$AP502)&lt;&gt;"",N($W502)&gt;0,INDEX(職員マスタ!$K$6:$K$405,$AP502)&lt;&gt;$W502),"標準報酬月額が申請書と相違（台帳"&amp;TEXT(INDEX(職員マスタ!$K$6:$K$405,$AP502),"#,##0")&amp;"円／申請書"&amp;TEXT($W502,"#,##0")&amp;"円）／","")&amp;IF(AND(INDEX(職員マスタ!$F$6:$F$405,$AP502)&lt;&gt;"",$AQ502&lt;&gt;"",INDEX(職員マスタ!$F$6:$F$405,$AP502)&lt;$AQ502),"対象月に子が2歳到達済／","")&amp;IF(AND($H502&lt;&gt;"",INDEX(職員マスタ!$B$6:$B$405,$AP502)&lt;&gt;"",SUBSTITUTE(SUBSTITUTE($H502," ","")," ","")&lt;&gt;SUBSTITUTE(SUBSTITUTE(INDEX(職員マスタ!$B$6:$B$405,$AP502)," ","")," ","")),"氏名がマスタと相違／","")&amp;IF(AND($Q502&lt;&gt;"",INDEX(職員マスタ!$E$6:$E$405,$AP502)&lt;&gt;"",$Q502&lt;&gt;INDEX(職員マスタ!$E$6:$E$405,$AP502)),"子の生年月日がマスタと相違／","")&amp;IF(AND($L502&lt;&gt;"",INDEX(職員マスタ!$G$6:$G$405,$AP502)&lt;&gt;"",$L502&lt;&gt;INDEX(職員マスタ!$G$6:$G$405,$AP502)),"時短開始日がマスタと相違／","")&amp;IF(AND($M502&lt;&gt;"",INDEX(職員マスタ!$H$6:$H$405,$AP502)&lt;&gt;"",$M502&lt;&gt;INDEX(職員マスタ!$H$6:$H$405,$AP502)),"時短終了日がマスタと相違／","")))&amp;IF(AND($B502&lt;&gt;"",$E502=""),"報酬額が未入力／","")&amp;IF(N($U502)&gt;0,"申請書に入力エラーが残っています／","")&amp;IF(AND($B502&lt;&gt;"",$AQ502&lt;&gt;""),IF(COUNTIFS($B$6:$B$3005,$B502,$C$6:$C$3005,$C502,$D$6:$D$3005,$D502)&gt;1,"同じ月の請求が重複しています／",""),"")&amp;IF(AND(N($E502)&gt;0,$AB502&lt;&gt;"",$AB502&lt;&gt;"×",$AE502=0,$AD502=""),"計算額が下限以下のため不支給／",""))</f>
        <v/>
      </c>
      <c r="AN502" s="12" t="n"/>
      <c r="AO502" s="14">
        <f>IF($AF502="保留中",COUNTIF($AF$6:$AF502,"保留中"),"")</f>
        <v/>
      </c>
      <c r="AP502" s="14">
        <f>IF($AQ502="","",IF(SUMPRODUCT(MAX((職員マスタ!$A$6:$A$405=$B502)*(((職員マスタ!$G$6:$G$405="")+(職員マスタ!$G$6:$G$405&lt;=EOMONTH($AQ502,0)))&gt;0)*(((職員マスタ!$H$6:$H$405="")+(職員マスタ!$H$6:$H$405&gt;=$AQ502))&gt;0)*(ROW(職員マスタ!$A$6:$A$405)-5)))&gt;0,SUMPRODUCT(MAX((職員マスタ!$A$6:$A$405=$B502)*(((職員マスタ!$G$6:$G$405="")+(職員マスタ!$G$6:$G$405&lt;=EOMONTH($AQ502,0)))&gt;0)*(((職員マスタ!$H$6:$H$405="")+(職員マスタ!$H$6:$H$405&gt;=$AQ502))&gt;0)*(ROW(職員マスタ!$A$6:$A$405)-5))),IFERROR(MATCH($B502,職員マスタ!$A$6:$A$405,0),"")))</f>
        <v/>
      </c>
      <c r="AQ502" s="16">
        <f>IF(OR($B502="",$C502="",$D502=""),"",DATE($C502+2018,$D502,1))</f>
        <v/>
      </c>
    </row>
    <row r="503">
      <c r="A503" s="11" t="n"/>
      <c r="B503" s="12" t="n"/>
      <c r="C503" s="12" t="n"/>
      <c r="D503" s="12" t="n"/>
      <c r="E503" s="13" t="n"/>
      <c r="F503" s="12" t="n"/>
      <c r="G503" s="13" t="n"/>
      <c r="H503" s="12" t="n"/>
      <c r="I503" s="12" t="n"/>
      <c r="J503" s="12" t="n"/>
      <c r="K503" s="12" t="n"/>
      <c r="L503" s="11" t="n"/>
      <c r="M503" s="11" t="n"/>
      <c r="N503" s="11" t="n"/>
      <c r="O503" s="11" t="n"/>
      <c r="P503" s="12" t="n"/>
      <c r="Q503" s="11" t="n"/>
      <c r="R503" s="12" t="n"/>
      <c r="S503" s="11" t="n"/>
      <c r="T503" s="12" t="n"/>
      <c r="U503" s="12" t="n"/>
      <c r="V503" s="12" t="n"/>
      <c r="W503" s="13" t="n"/>
      <c r="X503" s="14">
        <f>IF($AP503="",IF($B503="","",$H503),IF(INDEX(職員マスタ!$B$6:$B$405,$AP503)="",$H503,INDEX(職員マスタ!$B$6:$B$405,$AP503)))</f>
        <v/>
      </c>
      <c r="Y503" s="14">
        <f>IF($AP503="",IF($B503="","",$R503),IF(INDEX(職員マスタ!$C$6:$C$405,$AP503)="",$R503,INDEX(職員マスタ!$C$6:$C$405,$AP503)))</f>
        <v/>
      </c>
      <c r="Z503" s="14">
        <f>IF($AQ503="","","R"&amp;$C503&amp;"."&amp;$D503)</f>
        <v/>
      </c>
      <c r="AA503" s="15">
        <f>IF(IF($AP503="",FALSE,INDEX(職員マスタ!$K$6:$K$405,$AP503)&lt;&gt;""),INDEX(職員マスタ!$K$6:$K$405,$AP503),IF(N($W503)&gt;0,$W503,""))</f>
        <v/>
      </c>
      <c r="AB503" s="14">
        <f>IF(OR($E503="",$AA503=""),"",IF($E503&gt;=$AA503,"×",IF($E503&gt;=$AA503*設定!$C$5,"△","○")))</f>
        <v/>
      </c>
      <c r="AC503" s="15">
        <f>IF($AB503="","",IF($AB503="×",0,IF($AB503="○",ROUNDDOWN($E503*設定!$C$4,0),ROUNDDOWN($E503*ROUND((9*$AA503-9*$E503)/(10*$E503),4),0))))</f>
        <v/>
      </c>
      <c r="AD503" s="13" t="n"/>
      <c r="AE503" s="15">
        <f>IF($B503="","",IF($AD503&lt;&gt;"",$AD503,IF($AC503="","",IF($AC503&lt;=設定!$C$3,0,$AC503))))</f>
        <v/>
      </c>
      <c r="AF503" s="14">
        <f>IF($B503="","",IF(AND($AG503&lt;&gt;"",$AI503="",$AL503=""),"保留中",IF($AL503&lt;&gt;"",IF(N($AE503)&gt;0,"支給済","不支給"),IF($AE503="","要確認",IF($AE503=0,"不支給","未処理")))))</f>
        <v/>
      </c>
      <c r="AG503" s="12" t="n"/>
      <c r="AH503" s="11" t="n"/>
      <c r="AI503" s="11" t="n"/>
      <c r="AJ503" s="11" t="n"/>
      <c r="AK503" s="14">
        <f>IF(AND($AF503="保留中",$AH503&lt;&gt;""),TODAY()-$AH503,"")</f>
        <v/>
      </c>
      <c r="AL503" s="12" t="n"/>
      <c r="AM503" s="14">
        <f>IF($B503="","",IF($AQ503="","対象年月が未入力／","")&amp;IF($B503="","",IF($AP503="","職員マスタに未登録の職員番号／",IF($AA503="","標準報酬月額が未登録／","")&amp;IF(AND($AQ503&lt;&gt;"",OR(AND(INDEX(職員マスタ!$G$6:$G$405,$AP503)&lt;&gt;"",INDEX(職員マスタ!$G$6:$G$405,$AP503)&gt;EOMONTH($AQ503,0)),AND(INDEX(職員マスタ!$H$6:$H$405,$AP503)&lt;&gt;"",INDEX(職員マスタ!$H$6:$H$405,$AP503)&lt;$AQ503))),"対象月が時短期間外／","")&amp;IF(AND(INDEX(職員マスタ!$K$6:$K$405,$AP503)&lt;&gt;"",N($W503)&gt;0,INDEX(職員マスタ!$K$6:$K$405,$AP503)&lt;&gt;$W503),"標準報酬月額が申請書と相違（台帳"&amp;TEXT(INDEX(職員マスタ!$K$6:$K$405,$AP503),"#,##0")&amp;"円／申請書"&amp;TEXT($W503,"#,##0")&amp;"円）／","")&amp;IF(AND(INDEX(職員マスタ!$F$6:$F$405,$AP503)&lt;&gt;"",$AQ503&lt;&gt;"",INDEX(職員マスタ!$F$6:$F$405,$AP503)&lt;$AQ503),"対象月に子が2歳到達済／","")&amp;IF(AND($H503&lt;&gt;"",INDEX(職員マスタ!$B$6:$B$405,$AP503)&lt;&gt;"",SUBSTITUTE(SUBSTITUTE($H503," ","")," ","")&lt;&gt;SUBSTITUTE(SUBSTITUTE(INDEX(職員マスタ!$B$6:$B$405,$AP503)," ","")," ","")),"氏名がマスタと相違／","")&amp;IF(AND($Q503&lt;&gt;"",INDEX(職員マスタ!$E$6:$E$405,$AP503)&lt;&gt;"",$Q503&lt;&gt;INDEX(職員マスタ!$E$6:$E$405,$AP503)),"子の生年月日がマスタと相違／","")&amp;IF(AND($L503&lt;&gt;"",INDEX(職員マスタ!$G$6:$G$405,$AP503)&lt;&gt;"",$L503&lt;&gt;INDEX(職員マスタ!$G$6:$G$405,$AP503)),"時短開始日がマスタと相違／","")&amp;IF(AND($M503&lt;&gt;"",INDEX(職員マスタ!$H$6:$H$405,$AP503)&lt;&gt;"",$M503&lt;&gt;INDEX(職員マスタ!$H$6:$H$405,$AP503)),"時短終了日がマスタと相違／","")))&amp;IF(AND($B503&lt;&gt;"",$E503=""),"報酬額が未入力／","")&amp;IF(N($U503)&gt;0,"申請書に入力エラーが残っています／","")&amp;IF(AND($B503&lt;&gt;"",$AQ503&lt;&gt;""),IF(COUNTIFS($B$6:$B$3005,$B503,$C$6:$C$3005,$C503,$D$6:$D$3005,$D503)&gt;1,"同じ月の請求が重複しています／",""),"")&amp;IF(AND(N($E503)&gt;0,$AB503&lt;&gt;"",$AB503&lt;&gt;"×",$AE503=0,$AD503=""),"計算額が下限以下のため不支給／",""))</f>
        <v/>
      </c>
      <c r="AN503" s="12" t="n"/>
      <c r="AO503" s="14">
        <f>IF($AF503="保留中",COUNTIF($AF$6:$AF503,"保留中"),"")</f>
        <v/>
      </c>
      <c r="AP503" s="14">
        <f>IF($AQ503="","",IF(SUMPRODUCT(MAX((職員マスタ!$A$6:$A$405=$B503)*(((職員マスタ!$G$6:$G$405="")+(職員マスタ!$G$6:$G$405&lt;=EOMONTH($AQ503,0)))&gt;0)*(((職員マスタ!$H$6:$H$405="")+(職員マスタ!$H$6:$H$405&gt;=$AQ503))&gt;0)*(ROW(職員マスタ!$A$6:$A$405)-5)))&gt;0,SUMPRODUCT(MAX((職員マスタ!$A$6:$A$405=$B503)*(((職員マスタ!$G$6:$G$405="")+(職員マスタ!$G$6:$G$405&lt;=EOMONTH($AQ503,0)))&gt;0)*(((職員マスタ!$H$6:$H$405="")+(職員マスタ!$H$6:$H$405&gt;=$AQ503))&gt;0)*(ROW(職員マスタ!$A$6:$A$405)-5))),IFERROR(MATCH($B503,職員マスタ!$A$6:$A$405,0),"")))</f>
        <v/>
      </c>
      <c r="AQ503" s="16">
        <f>IF(OR($B503="",$C503="",$D503=""),"",DATE($C503+2018,$D503,1))</f>
        <v/>
      </c>
    </row>
    <row r="504">
      <c r="A504" s="11" t="n"/>
      <c r="B504" s="12" t="n"/>
      <c r="C504" s="12" t="n"/>
      <c r="D504" s="12" t="n"/>
      <c r="E504" s="13" t="n"/>
      <c r="F504" s="12" t="n"/>
      <c r="G504" s="13" t="n"/>
      <c r="H504" s="12" t="n"/>
      <c r="I504" s="12" t="n"/>
      <c r="J504" s="12" t="n"/>
      <c r="K504" s="12" t="n"/>
      <c r="L504" s="11" t="n"/>
      <c r="M504" s="11" t="n"/>
      <c r="N504" s="11" t="n"/>
      <c r="O504" s="11" t="n"/>
      <c r="P504" s="12" t="n"/>
      <c r="Q504" s="11" t="n"/>
      <c r="R504" s="12" t="n"/>
      <c r="S504" s="11" t="n"/>
      <c r="T504" s="12" t="n"/>
      <c r="U504" s="12" t="n"/>
      <c r="V504" s="12" t="n"/>
      <c r="W504" s="13" t="n"/>
      <c r="X504" s="14">
        <f>IF($AP504="",IF($B504="","",$H504),IF(INDEX(職員マスタ!$B$6:$B$405,$AP504)="",$H504,INDEX(職員マスタ!$B$6:$B$405,$AP504)))</f>
        <v/>
      </c>
      <c r="Y504" s="14">
        <f>IF($AP504="",IF($B504="","",$R504),IF(INDEX(職員マスタ!$C$6:$C$405,$AP504)="",$R504,INDEX(職員マスタ!$C$6:$C$405,$AP504)))</f>
        <v/>
      </c>
      <c r="Z504" s="14">
        <f>IF($AQ504="","","R"&amp;$C504&amp;"."&amp;$D504)</f>
        <v/>
      </c>
      <c r="AA504" s="15">
        <f>IF(IF($AP504="",FALSE,INDEX(職員マスタ!$K$6:$K$405,$AP504)&lt;&gt;""),INDEX(職員マスタ!$K$6:$K$405,$AP504),IF(N($W504)&gt;0,$W504,""))</f>
        <v/>
      </c>
      <c r="AB504" s="14">
        <f>IF(OR($E504="",$AA504=""),"",IF($E504&gt;=$AA504,"×",IF($E504&gt;=$AA504*設定!$C$5,"△","○")))</f>
        <v/>
      </c>
      <c r="AC504" s="15">
        <f>IF($AB504="","",IF($AB504="×",0,IF($AB504="○",ROUNDDOWN($E504*設定!$C$4,0),ROUNDDOWN($E504*ROUND((9*$AA504-9*$E504)/(10*$E504),4),0))))</f>
        <v/>
      </c>
      <c r="AD504" s="13" t="n"/>
      <c r="AE504" s="15">
        <f>IF($B504="","",IF($AD504&lt;&gt;"",$AD504,IF($AC504="","",IF($AC504&lt;=設定!$C$3,0,$AC504))))</f>
        <v/>
      </c>
      <c r="AF504" s="14">
        <f>IF($B504="","",IF(AND($AG504&lt;&gt;"",$AI504="",$AL504=""),"保留中",IF($AL504&lt;&gt;"",IF(N($AE504)&gt;0,"支給済","不支給"),IF($AE504="","要確認",IF($AE504=0,"不支給","未処理")))))</f>
        <v/>
      </c>
      <c r="AG504" s="12" t="n"/>
      <c r="AH504" s="11" t="n"/>
      <c r="AI504" s="11" t="n"/>
      <c r="AJ504" s="11" t="n"/>
      <c r="AK504" s="14">
        <f>IF(AND($AF504="保留中",$AH504&lt;&gt;""),TODAY()-$AH504,"")</f>
        <v/>
      </c>
      <c r="AL504" s="12" t="n"/>
      <c r="AM504" s="14">
        <f>IF($B504="","",IF($AQ504="","対象年月が未入力／","")&amp;IF($B504="","",IF($AP504="","職員マスタに未登録の職員番号／",IF($AA504="","標準報酬月額が未登録／","")&amp;IF(AND($AQ504&lt;&gt;"",OR(AND(INDEX(職員マスタ!$G$6:$G$405,$AP504)&lt;&gt;"",INDEX(職員マスタ!$G$6:$G$405,$AP504)&gt;EOMONTH($AQ504,0)),AND(INDEX(職員マスタ!$H$6:$H$405,$AP504)&lt;&gt;"",INDEX(職員マスタ!$H$6:$H$405,$AP504)&lt;$AQ504))),"対象月が時短期間外／","")&amp;IF(AND(INDEX(職員マスタ!$K$6:$K$405,$AP504)&lt;&gt;"",N($W504)&gt;0,INDEX(職員マスタ!$K$6:$K$405,$AP504)&lt;&gt;$W504),"標準報酬月額が申請書と相違（台帳"&amp;TEXT(INDEX(職員マスタ!$K$6:$K$405,$AP504),"#,##0")&amp;"円／申請書"&amp;TEXT($W504,"#,##0")&amp;"円）／","")&amp;IF(AND(INDEX(職員マスタ!$F$6:$F$405,$AP504)&lt;&gt;"",$AQ504&lt;&gt;"",INDEX(職員マスタ!$F$6:$F$405,$AP504)&lt;$AQ504),"対象月に子が2歳到達済／","")&amp;IF(AND($H504&lt;&gt;"",INDEX(職員マスタ!$B$6:$B$405,$AP504)&lt;&gt;"",SUBSTITUTE(SUBSTITUTE($H504," ","")," ","")&lt;&gt;SUBSTITUTE(SUBSTITUTE(INDEX(職員マスタ!$B$6:$B$405,$AP504)," ","")," ","")),"氏名がマスタと相違／","")&amp;IF(AND($Q504&lt;&gt;"",INDEX(職員マスタ!$E$6:$E$405,$AP504)&lt;&gt;"",$Q504&lt;&gt;INDEX(職員マスタ!$E$6:$E$405,$AP504)),"子の生年月日がマスタと相違／","")&amp;IF(AND($L504&lt;&gt;"",INDEX(職員マスタ!$G$6:$G$405,$AP504)&lt;&gt;"",$L504&lt;&gt;INDEX(職員マスタ!$G$6:$G$405,$AP504)),"時短開始日がマスタと相違／","")&amp;IF(AND($M504&lt;&gt;"",INDEX(職員マスタ!$H$6:$H$405,$AP504)&lt;&gt;"",$M504&lt;&gt;INDEX(職員マスタ!$H$6:$H$405,$AP504)),"時短終了日がマスタと相違／","")))&amp;IF(AND($B504&lt;&gt;"",$E504=""),"報酬額が未入力／","")&amp;IF(N($U504)&gt;0,"申請書に入力エラーが残っています／","")&amp;IF(AND($B504&lt;&gt;"",$AQ504&lt;&gt;""),IF(COUNTIFS($B$6:$B$3005,$B504,$C$6:$C$3005,$C504,$D$6:$D$3005,$D504)&gt;1,"同じ月の請求が重複しています／",""),"")&amp;IF(AND(N($E504)&gt;0,$AB504&lt;&gt;"",$AB504&lt;&gt;"×",$AE504=0,$AD504=""),"計算額が下限以下のため不支給／",""))</f>
        <v/>
      </c>
      <c r="AN504" s="12" t="n"/>
      <c r="AO504" s="14">
        <f>IF($AF504="保留中",COUNTIF($AF$6:$AF504,"保留中"),"")</f>
        <v/>
      </c>
      <c r="AP504" s="14">
        <f>IF($AQ504="","",IF(SUMPRODUCT(MAX((職員マスタ!$A$6:$A$405=$B504)*(((職員マスタ!$G$6:$G$405="")+(職員マスタ!$G$6:$G$405&lt;=EOMONTH($AQ504,0)))&gt;0)*(((職員マスタ!$H$6:$H$405="")+(職員マスタ!$H$6:$H$405&gt;=$AQ504))&gt;0)*(ROW(職員マスタ!$A$6:$A$405)-5)))&gt;0,SUMPRODUCT(MAX((職員マスタ!$A$6:$A$405=$B504)*(((職員マスタ!$G$6:$G$405="")+(職員マスタ!$G$6:$G$405&lt;=EOMONTH($AQ504,0)))&gt;0)*(((職員マスタ!$H$6:$H$405="")+(職員マスタ!$H$6:$H$405&gt;=$AQ504))&gt;0)*(ROW(職員マスタ!$A$6:$A$405)-5))),IFERROR(MATCH($B504,職員マスタ!$A$6:$A$405,0),"")))</f>
        <v/>
      </c>
      <c r="AQ504" s="16">
        <f>IF(OR($B504="",$C504="",$D504=""),"",DATE($C504+2018,$D504,1))</f>
        <v/>
      </c>
    </row>
    <row r="505">
      <c r="A505" s="11" t="n"/>
      <c r="B505" s="12" t="n"/>
      <c r="C505" s="12" t="n"/>
      <c r="D505" s="12" t="n"/>
      <c r="E505" s="13" t="n"/>
      <c r="F505" s="12" t="n"/>
      <c r="G505" s="13" t="n"/>
      <c r="H505" s="12" t="n"/>
      <c r="I505" s="12" t="n"/>
      <c r="J505" s="12" t="n"/>
      <c r="K505" s="12" t="n"/>
      <c r="L505" s="11" t="n"/>
      <c r="M505" s="11" t="n"/>
      <c r="N505" s="11" t="n"/>
      <c r="O505" s="11" t="n"/>
      <c r="P505" s="12" t="n"/>
      <c r="Q505" s="11" t="n"/>
      <c r="R505" s="12" t="n"/>
      <c r="S505" s="11" t="n"/>
      <c r="T505" s="12" t="n"/>
      <c r="U505" s="12" t="n"/>
      <c r="V505" s="12" t="n"/>
      <c r="W505" s="13" t="n"/>
      <c r="X505" s="14">
        <f>IF($AP505="",IF($B505="","",$H505),IF(INDEX(職員マスタ!$B$6:$B$405,$AP505)="",$H505,INDEX(職員マスタ!$B$6:$B$405,$AP505)))</f>
        <v/>
      </c>
      <c r="Y505" s="14">
        <f>IF($AP505="",IF($B505="","",$R505),IF(INDEX(職員マスタ!$C$6:$C$405,$AP505)="",$R505,INDEX(職員マスタ!$C$6:$C$405,$AP505)))</f>
        <v/>
      </c>
      <c r="Z505" s="14">
        <f>IF($AQ505="","","R"&amp;$C505&amp;"."&amp;$D505)</f>
        <v/>
      </c>
      <c r="AA505" s="15">
        <f>IF(IF($AP505="",FALSE,INDEX(職員マスタ!$K$6:$K$405,$AP505)&lt;&gt;""),INDEX(職員マスタ!$K$6:$K$405,$AP505),IF(N($W505)&gt;0,$W505,""))</f>
        <v/>
      </c>
      <c r="AB505" s="14">
        <f>IF(OR($E505="",$AA505=""),"",IF($E505&gt;=$AA505,"×",IF($E505&gt;=$AA505*設定!$C$5,"△","○")))</f>
        <v/>
      </c>
      <c r="AC505" s="15">
        <f>IF($AB505="","",IF($AB505="×",0,IF($AB505="○",ROUNDDOWN($E505*設定!$C$4,0),ROUNDDOWN($E505*ROUND((9*$AA505-9*$E505)/(10*$E505),4),0))))</f>
        <v/>
      </c>
      <c r="AD505" s="13" t="n"/>
      <c r="AE505" s="15">
        <f>IF($B505="","",IF($AD505&lt;&gt;"",$AD505,IF($AC505="","",IF($AC505&lt;=設定!$C$3,0,$AC505))))</f>
        <v/>
      </c>
      <c r="AF505" s="14">
        <f>IF($B505="","",IF(AND($AG505&lt;&gt;"",$AI505="",$AL505=""),"保留中",IF($AL505&lt;&gt;"",IF(N($AE505)&gt;0,"支給済","不支給"),IF($AE505="","要確認",IF($AE505=0,"不支給","未処理")))))</f>
        <v/>
      </c>
      <c r="AG505" s="12" t="n"/>
      <c r="AH505" s="11" t="n"/>
      <c r="AI505" s="11" t="n"/>
      <c r="AJ505" s="11" t="n"/>
      <c r="AK505" s="14">
        <f>IF(AND($AF505="保留中",$AH505&lt;&gt;""),TODAY()-$AH505,"")</f>
        <v/>
      </c>
      <c r="AL505" s="12" t="n"/>
      <c r="AM505" s="14">
        <f>IF($B505="","",IF($AQ505="","対象年月が未入力／","")&amp;IF($B505="","",IF($AP505="","職員マスタに未登録の職員番号／",IF($AA505="","標準報酬月額が未登録／","")&amp;IF(AND($AQ505&lt;&gt;"",OR(AND(INDEX(職員マスタ!$G$6:$G$405,$AP505)&lt;&gt;"",INDEX(職員マスタ!$G$6:$G$405,$AP505)&gt;EOMONTH($AQ505,0)),AND(INDEX(職員マスタ!$H$6:$H$405,$AP505)&lt;&gt;"",INDEX(職員マスタ!$H$6:$H$405,$AP505)&lt;$AQ505))),"対象月が時短期間外／","")&amp;IF(AND(INDEX(職員マスタ!$K$6:$K$405,$AP505)&lt;&gt;"",N($W505)&gt;0,INDEX(職員マスタ!$K$6:$K$405,$AP505)&lt;&gt;$W505),"標準報酬月額が申請書と相違（台帳"&amp;TEXT(INDEX(職員マスタ!$K$6:$K$405,$AP505),"#,##0")&amp;"円／申請書"&amp;TEXT($W505,"#,##0")&amp;"円）／","")&amp;IF(AND(INDEX(職員マスタ!$F$6:$F$405,$AP505)&lt;&gt;"",$AQ505&lt;&gt;"",INDEX(職員マスタ!$F$6:$F$405,$AP505)&lt;$AQ505),"対象月に子が2歳到達済／","")&amp;IF(AND($H505&lt;&gt;"",INDEX(職員マスタ!$B$6:$B$405,$AP505)&lt;&gt;"",SUBSTITUTE(SUBSTITUTE($H505," ","")," ","")&lt;&gt;SUBSTITUTE(SUBSTITUTE(INDEX(職員マスタ!$B$6:$B$405,$AP505)," ","")," ","")),"氏名がマスタと相違／","")&amp;IF(AND($Q505&lt;&gt;"",INDEX(職員マスタ!$E$6:$E$405,$AP505)&lt;&gt;"",$Q505&lt;&gt;INDEX(職員マスタ!$E$6:$E$405,$AP505)),"子の生年月日がマスタと相違／","")&amp;IF(AND($L505&lt;&gt;"",INDEX(職員マスタ!$G$6:$G$405,$AP505)&lt;&gt;"",$L505&lt;&gt;INDEX(職員マスタ!$G$6:$G$405,$AP505)),"時短開始日がマスタと相違／","")&amp;IF(AND($M505&lt;&gt;"",INDEX(職員マスタ!$H$6:$H$405,$AP505)&lt;&gt;"",$M505&lt;&gt;INDEX(職員マスタ!$H$6:$H$405,$AP505)),"時短終了日がマスタと相違／","")))&amp;IF(AND($B505&lt;&gt;"",$E505=""),"報酬額が未入力／","")&amp;IF(N($U505)&gt;0,"申請書に入力エラーが残っています／","")&amp;IF(AND($B505&lt;&gt;"",$AQ505&lt;&gt;""),IF(COUNTIFS($B$6:$B$3005,$B505,$C$6:$C$3005,$C505,$D$6:$D$3005,$D505)&gt;1,"同じ月の請求が重複しています／",""),"")&amp;IF(AND(N($E505)&gt;0,$AB505&lt;&gt;"",$AB505&lt;&gt;"×",$AE505=0,$AD505=""),"計算額が下限以下のため不支給／",""))</f>
        <v/>
      </c>
      <c r="AN505" s="12" t="n"/>
      <c r="AO505" s="14">
        <f>IF($AF505="保留中",COUNTIF($AF$6:$AF505,"保留中"),"")</f>
        <v/>
      </c>
      <c r="AP505" s="14">
        <f>IF($AQ505="","",IF(SUMPRODUCT(MAX((職員マスタ!$A$6:$A$405=$B505)*(((職員マスタ!$G$6:$G$405="")+(職員マスタ!$G$6:$G$405&lt;=EOMONTH($AQ505,0)))&gt;0)*(((職員マスタ!$H$6:$H$405="")+(職員マスタ!$H$6:$H$405&gt;=$AQ505))&gt;0)*(ROW(職員マスタ!$A$6:$A$405)-5)))&gt;0,SUMPRODUCT(MAX((職員マスタ!$A$6:$A$405=$B505)*(((職員マスタ!$G$6:$G$405="")+(職員マスタ!$G$6:$G$405&lt;=EOMONTH($AQ505,0)))&gt;0)*(((職員マスタ!$H$6:$H$405="")+(職員マスタ!$H$6:$H$405&gt;=$AQ505))&gt;0)*(ROW(職員マスタ!$A$6:$A$405)-5))),IFERROR(MATCH($B505,職員マスタ!$A$6:$A$405,0),"")))</f>
        <v/>
      </c>
      <c r="AQ505" s="16">
        <f>IF(OR($B505="",$C505="",$D505=""),"",DATE($C505+2018,$D505,1))</f>
        <v/>
      </c>
    </row>
    <row r="506">
      <c r="A506" s="11" t="n"/>
      <c r="B506" s="12" t="n"/>
      <c r="C506" s="12" t="n"/>
      <c r="D506" s="12" t="n"/>
      <c r="E506" s="13" t="n"/>
      <c r="F506" s="12" t="n"/>
      <c r="G506" s="13" t="n"/>
      <c r="H506" s="12" t="n"/>
      <c r="I506" s="12" t="n"/>
      <c r="J506" s="12" t="n"/>
      <c r="K506" s="12" t="n"/>
      <c r="L506" s="11" t="n"/>
      <c r="M506" s="11" t="n"/>
      <c r="N506" s="11" t="n"/>
      <c r="O506" s="11" t="n"/>
      <c r="P506" s="12" t="n"/>
      <c r="Q506" s="11" t="n"/>
      <c r="R506" s="12" t="n"/>
      <c r="S506" s="11" t="n"/>
      <c r="T506" s="12" t="n"/>
      <c r="U506" s="12" t="n"/>
      <c r="V506" s="12" t="n"/>
      <c r="W506" s="13" t="n"/>
      <c r="X506" s="14">
        <f>IF($AP506="",IF($B506="","",$H506),IF(INDEX(職員マスタ!$B$6:$B$405,$AP506)="",$H506,INDEX(職員マスタ!$B$6:$B$405,$AP506)))</f>
        <v/>
      </c>
      <c r="Y506" s="14">
        <f>IF($AP506="",IF($B506="","",$R506),IF(INDEX(職員マスタ!$C$6:$C$405,$AP506)="",$R506,INDEX(職員マスタ!$C$6:$C$405,$AP506)))</f>
        <v/>
      </c>
      <c r="Z506" s="14">
        <f>IF($AQ506="","","R"&amp;$C506&amp;"."&amp;$D506)</f>
        <v/>
      </c>
      <c r="AA506" s="15">
        <f>IF(IF($AP506="",FALSE,INDEX(職員マスタ!$K$6:$K$405,$AP506)&lt;&gt;""),INDEX(職員マスタ!$K$6:$K$405,$AP506),IF(N($W506)&gt;0,$W506,""))</f>
        <v/>
      </c>
      <c r="AB506" s="14">
        <f>IF(OR($E506="",$AA506=""),"",IF($E506&gt;=$AA506,"×",IF($E506&gt;=$AA506*設定!$C$5,"△","○")))</f>
        <v/>
      </c>
      <c r="AC506" s="15">
        <f>IF($AB506="","",IF($AB506="×",0,IF($AB506="○",ROUNDDOWN($E506*設定!$C$4,0),ROUNDDOWN($E506*ROUND((9*$AA506-9*$E506)/(10*$E506),4),0))))</f>
        <v/>
      </c>
      <c r="AD506" s="13" t="n"/>
      <c r="AE506" s="15">
        <f>IF($B506="","",IF($AD506&lt;&gt;"",$AD506,IF($AC506="","",IF($AC506&lt;=設定!$C$3,0,$AC506))))</f>
        <v/>
      </c>
      <c r="AF506" s="14">
        <f>IF($B506="","",IF(AND($AG506&lt;&gt;"",$AI506="",$AL506=""),"保留中",IF($AL506&lt;&gt;"",IF(N($AE506)&gt;0,"支給済","不支給"),IF($AE506="","要確認",IF($AE506=0,"不支給","未処理")))))</f>
        <v/>
      </c>
      <c r="AG506" s="12" t="n"/>
      <c r="AH506" s="11" t="n"/>
      <c r="AI506" s="11" t="n"/>
      <c r="AJ506" s="11" t="n"/>
      <c r="AK506" s="14">
        <f>IF(AND($AF506="保留中",$AH506&lt;&gt;""),TODAY()-$AH506,"")</f>
        <v/>
      </c>
      <c r="AL506" s="12" t="n"/>
      <c r="AM506" s="14">
        <f>IF($B506="","",IF($AQ506="","対象年月が未入力／","")&amp;IF($B506="","",IF($AP506="","職員マスタに未登録の職員番号／",IF($AA506="","標準報酬月額が未登録／","")&amp;IF(AND($AQ506&lt;&gt;"",OR(AND(INDEX(職員マスタ!$G$6:$G$405,$AP506)&lt;&gt;"",INDEX(職員マスタ!$G$6:$G$405,$AP506)&gt;EOMONTH($AQ506,0)),AND(INDEX(職員マスタ!$H$6:$H$405,$AP506)&lt;&gt;"",INDEX(職員マスタ!$H$6:$H$405,$AP506)&lt;$AQ506))),"対象月が時短期間外／","")&amp;IF(AND(INDEX(職員マスタ!$K$6:$K$405,$AP506)&lt;&gt;"",N($W506)&gt;0,INDEX(職員マスタ!$K$6:$K$405,$AP506)&lt;&gt;$W506),"標準報酬月額が申請書と相違（台帳"&amp;TEXT(INDEX(職員マスタ!$K$6:$K$405,$AP506),"#,##0")&amp;"円／申請書"&amp;TEXT($W506,"#,##0")&amp;"円）／","")&amp;IF(AND(INDEX(職員マスタ!$F$6:$F$405,$AP506)&lt;&gt;"",$AQ506&lt;&gt;"",INDEX(職員マスタ!$F$6:$F$405,$AP506)&lt;$AQ506),"対象月に子が2歳到達済／","")&amp;IF(AND($H506&lt;&gt;"",INDEX(職員マスタ!$B$6:$B$405,$AP506)&lt;&gt;"",SUBSTITUTE(SUBSTITUTE($H506," ","")," ","")&lt;&gt;SUBSTITUTE(SUBSTITUTE(INDEX(職員マスタ!$B$6:$B$405,$AP506)," ","")," ","")),"氏名がマスタと相違／","")&amp;IF(AND($Q506&lt;&gt;"",INDEX(職員マスタ!$E$6:$E$405,$AP506)&lt;&gt;"",$Q506&lt;&gt;INDEX(職員マスタ!$E$6:$E$405,$AP506)),"子の生年月日がマスタと相違／","")&amp;IF(AND($L506&lt;&gt;"",INDEX(職員マスタ!$G$6:$G$405,$AP506)&lt;&gt;"",$L506&lt;&gt;INDEX(職員マスタ!$G$6:$G$405,$AP506)),"時短開始日がマスタと相違／","")&amp;IF(AND($M506&lt;&gt;"",INDEX(職員マスタ!$H$6:$H$405,$AP506)&lt;&gt;"",$M506&lt;&gt;INDEX(職員マスタ!$H$6:$H$405,$AP506)),"時短終了日がマスタと相違／","")))&amp;IF(AND($B506&lt;&gt;"",$E506=""),"報酬額が未入力／","")&amp;IF(N($U506)&gt;0,"申請書に入力エラーが残っています／","")&amp;IF(AND($B506&lt;&gt;"",$AQ506&lt;&gt;""),IF(COUNTIFS($B$6:$B$3005,$B506,$C$6:$C$3005,$C506,$D$6:$D$3005,$D506)&gt;1,"同じ月の請求が重複しています／",""),"")&amp;IF(AND(N($E506)&gt;0,$AB506&lt;&gt;"",$AB506&lt;&gt;"×",$AE506=0,$AD506=""),"計算額が下限以下のため不支給／",""))</f>
        <v/>
      </c>
      <c r="AN506" s="12" t="n"/>
      <c r="AO506" s="14">
        <f>IF($AF506="保留中",COUNTIF($AF$6:$AF506,"保留中"),"")</f>
        <v/>
      </c>
      <c r="AP506" s="14">
        <f>IF($AQ506="","",IF(SUMPRODUCT(MAX((職員マスタ!$A$6:$A$405=$B506)*(((職員マスタ!$G$6:$G$405="")+(職員マスタ!$G$6:$G$405&lt;=EOMONTH($AQ506,0)))&gt;0)*(((職員マスタ!$H$6:$H$405="")+(職員マスタ!$H$6:$H$405&gt;=$AQ506))&gt;0)*(ROW(職員マスタ!$A$6:$A$405)-5)))&gt;0,SUMPRODUCT(MAX((職員マスタ!$A$6:$A$405=$B506)*(((職員マスタ!$G$6:$G$405="")+(職員マスタ!$G$6:$G$405&lt;=EOMONTH($AQ506,0)))&gt;0)*(((職員マスタ!$H$6:$H$405="")+(職員マスタ!$H$6:$H$405&gt;=$AQ506))&gt;0)*(ROW(職員マスタ!$A$6:$A$405)-5))),IFERROR(MATCH($B506,職員マスタ!$A$6:$A$405,0),"")))</f>
        <v/>
      </c>
      <c r="AQ506" s="16">
        <f>IF(OR($B506="",$C506="",$D506=""),"",DATE($C506+2018,$D506,1))</f>
        <v/>
      </c>
    </row>
    <row r="507">
      <c r="A507" s="11" t="n"/>
      <c r="B507" s="12" t="n"/>
      <c r="C507" s="12" t="n"/>
      <c r="D507" s="12" t="n"/>
      <c r="E507" s="13" t="n"/>
      <c r="F507" s="12" t="n"/>
      <c r="G507" s="13" t="n"/>
      <c r="H507" s="12" t="n"/>
      <c r="I507" s="12" t="n"/>
      <c r="J507" s="12" t="n"/>
      <c r="K507" s="12" t="n"/>
      <c r="L507" s="11" t="n"/>
      <c r="M507" s="11" t="n"/>
      <c r="N507" s="11" t="n"/>
      <c r="O507" s="11" t="n"/>
      <c r="P507" s="12" t="n"/>
      <c r="Q507" s="11" t="n"/>
      <c r="R507" s="12" t="n"/>
      <c r="S507" s="11" t="n"/>
      <c r="T507" s="12" t="n"/>
      <c r="U507" s="12" t="n"/>
      <c r="V507" s="12" t="n"/>
      <c r="W507" s="13" t="n"/>
      <c r="X507" s="14">
        <f>IF($AP507="",IF($B507="","",$H507),IF(INDEX(職員マスタ!$B$6:$B$405,$AP507)="",$H507,INDEX(職員マスタ!$B$6:$B$405,$AP507)))</f>
        <v/>
      </c>
      <c r="Y507" s="14">
        <f>IF($AP507="",IF($B507="","",$R507),IF(INDEX(職員マスタ!$C$6:$C$405,$AP507)="",$R507,INDEX(職員マスタ!$C$6:$C$405,$AP507)))</f>
        <v/>
      </c>
      <c r="Z507" s="14">
        <f>IF($AQ507="","","R"&amp;$C507&amp;"."&amp;$D507)</f>
        <v/>
      </c>
      <c r="AA507" s="15">
        <f>IF(IF($AP507="",FALSE,INDEX(職員マスタ!$K$6:$K$405,$AP507)&lt;&gt;""),INDEX(職員マスタ!$K$6:$K$405,$AP507),IF(N($W507)&gt;0,$W507,""))</f>
        <v/>
      </c>
      <c r="AB507" s="14">
        <f>IF(OR($E507="",$AA507=""),"",IF($E507&gt;=$AA507,"×",IF($E507&gt;=$AA507*設定!$C$5,"△","○")))</f>
        <v/>
      </c>
      <c r="AC507" s="15">
        <f>IF($AB507="","",IF($AB507="×",0,IF($AB507="○",ROUNDDOWN($E507*設定!$C$4,0),ROUNDDOWN($E507*ROUND((9*$AA507-9*$E507)/(10*$E507),4),0))))</f>
        <v/>
      </c>
      <c r="AD507" s="13" t="n"/>
      <c r="AE507" s="15">
        <f>IF($B507="","",IF($AD507&lt;&gt;"",$AD507,IF($AC507="","",IF($AC507&lt;=設定!$C$3,0,$AC507))))</f>
        <v/>
      </c>
      <c r="AF507" s="14">
        <f>IF($B507="","",IF(AND($AG507&lt;&gt;"",$AI507="",$AL507=""),"保留中",IF($AL507&lt;&gt;"",IF(N($AE507)&gt;0,"支給済","不支給"),IF($AE507="","要確認",IF($AE507=0,"不支給","未処理")))))</f>
        <v/>
      </c>
      <c r="AG507" s="12" t="n"/>
      <c r="AH507" s="11" t="n"/>
      <c r="AI507" s="11" t="n"/>
      <c r="AJ507" s="11" t="n"/>
      <c r="AK507" s="14">
        <f>IF(AND($AF507="保留中",$AH507&lt;&gt;""),TODAY()-$AH507,"")</f>
        <v/>
      </c>
      <c r="AL507" s="12" t="n"/>
      <c r="AM507" s="14">
        <f>IF($B507="","",IF($AQ507="","対象年月が未入力／","")&amp;IF($B507="","",IF($AP507="","職員マスタに未登録の職員番号／",IF($AA507="","標準報酬月額が未登録／","")&amp;IF(AND($AQ507&lt;&gt;"",OR(AND(INDEX(職員マスタ!$G$6:$G$405,$AP507)&lt;&gt;"",INDEX(職員マスタ!$G$6:$G$405,$AP507)&gt;EOMONTH($AQ507,0)),AND(INDEX(職員マスタ!$H$6:$H$405,$AP507)&lt;&gt;"",INDEX(職員マスタ!$H$6:$H$405,$AP507)&lt;$AQ507))),"対象月が時短期間外／","")&amp;IF(AND(INDEX(職員マスタ!$K$6:$K$405,$AP507)&lt;&gt;"",N($W507)&gt;0,INDEX(職員マスタ!$K$6:$K$405,$AP507)&lt;&gt;$W507),"標準報酬月額が申請書と相違（台帳"&amp;TEXT(INDEX(職員マスタ!$K$6:$K$405,$AP507),"#,##0")&amp;"円／申請書"&amp;TEXT($W507,"#,##0")&amp;"円）／","")&amp;IF(AND(INDEX(職員マスタ!$F$6:$F$405,$AP507)&lt;&gt;"",$AQ507&lt;&gt;"",INDEX(職員マスタ!$F$6:$F$405,$AP507)&lt;$AQ507),"対象月に子が2歳到達済／","")&amp;IF(AND($H507&lt;&gt;"",INDEX(職員マスタ!$B$6:$B$405,$AP507)&lt;&gt;"",SUBSTITUTE(SUBSTITUTE($H507," ","")," ","")&lt;&gt;SUBSTITUTE(SUBSTITUTE(INDEX(職員マスタ!$B$6:$B$405,$AP507)," ","")," ","")),"氏名がマスタと相違／","")&amp;IF(AND($Q507&lt;&gt;"",INDEX(職員マスタ!$E$6:$E$405,$AP507)&lt;&gt;"",$Q507&lt;&gt;INDEX(職員マスタ!$E$6:$E$405,$AP507)),"子の生年月日がマスタと相違／","")&amp;IF(AND($L507&lt;&gt;"",INDEX(職員マスタ!$G$6:$G$405,$AP507)&lt;&gt;"",$L507&lt;&gt;INDEX(職員マスタ!$G$6:$G$405,$AP507)),"時短開始日がマスタと相違／","")&amp;IF(AND($M507&lt;&gt;"",INDEX(職員マスタ!$H$6:$H$405,$AP507)&lt;&gt;"",$M507&lt;&gt;INDEX(職員マスタ!$H$6:$H$405,$AP507)),"時短終了日がマスタと相違／","")))&amp;IF(AND($B507&lt;&gt;"",$E507=""),"報酬額が未入力／","")&amp;IF(N($U507)&gt;0,"申請書に入力エラーが残っています／","")&amp;IF(AND($B507&lt;&gt;"",$AQ507&lt;&gt;""),IF(COUNTIFS($B$6:$B$3005,$B507,$C$6:$C$3005,$C507,$D$6:$D$3005,$D507)&gt;1,"同じ月の請求が重複しています／",""),"")&amp;IF(AND(N($E507)&gt;0,$AB507&lt;&gt;"",$AB507&lt;&gt;"×",$AE507=0,$AD507=""),"計算額が下限以下のため不支給／",""))</f>
        <v/>
      </c>
      <c r="AN507" s="12" t="n"/>
      <c r="AO507" s="14">
        <f>IF($AF507="保留中",COUNTIF($AF$6:$AF507,"保留中"),"")</f>
        <v/>
      </c>
      <c r="AP507" s="14">
        <f>IF($AQ507="","",IF(SUMPRODUCT(MAX((職員マスタ!$A$6:$A$405=$B507)*(((職員マスタ!$G$6:$G$405="")+(職員マスタ!$G$6:$G$405&lt;=EOMONTH($AQ507,0)))&gt;0)*(((職員マスタ!$H$6:$H$405="")+(職員マスタ!$H$6:$H$405&gt;=$AQ507))&gt;0)*(ROW(職員マスタ!$A$6:$A$405)-5)))&gt;0,SUMPRODUCT(MAX((職員マスタ!$A$6:$A$405=$B507)*(((職員マスタ!$G$6:$G$405="")+(職員マスタ!$G$6:$G$405&lt;=EOMONTH($AQ507,0)))&gt;0)*(((職員マスタ!$H$6:$H$405="")+(職員マスタ!$H$6:$H$405&gt;=$AQ507))&gt;0)*(ROW(職員マスタ!$A$6:$A$405)-5))),IFERROR(MATCH($B507,職員マスタ!$A$6:$A$405,0),"")))</f>
        <v/>
      </c>
      <c r="AQ507" s="16">
        <f>IF(OR($B507="",$C507="",$D507=""),"",DATE($C507+2018,$D507,1))</f>
        <v/>
      </c>
    </row>
    <row r="508">
      <c r="A508" s="11" t="n"/>
      <c r="B508" s="12" t="n"/>
      <c r="C508" s="12" t="n"/>
      <c r="D508" s="12" t="n"/>
      <c r="E508" s="13" t="n"/>
      <c r="F508" s="12" t="n"/>
      <c r="G508" s="13" t="n"/>
      <c r="H508" s="12" t="n"/>
      <c r="I508" s="12" t="n"/>
      <c r="J508" s="12" t="n"/>
      <c r="K508" s="12" t="n"/>
      <c r="L508" s="11" t="n"/>
      <c r="M508" s="11" t="n"/>
      <c r="N508" s="11" t="n"/>
      <c r="O508" s="11" t="n"/>
      <c r="P508" s="12" t="n"/>
      <c r="Q508" s="11" t="n"/>
      <c r="R508" s="12" t="n"/>
      <c r="S508" s="11" t="n"/>
      <c r="T508" s="12" t="n"/>
      <c r="U508" s="12" t="n"/>
      <c r="V508" s="12" t="n"/>
      <c r="W508" s="13" t="n"/>
      <c r="X508" s="14">
        <f>IF($AP508="",IF($B508="","",$H508),IF(INDEX(職員マスタ!$B$6:$B$405,$AP508)="",$H508,INDEX(職員マスタ!$B$6:$B$405,$AP508)))</f>
        <v/>
      </c>
      <c r="Y508" s="14">
        <f>IF($AP508="",IF($B508="","",$R508),IF(INDEX(職員マスタ!$C$6:$C$405,$AP508)="",$R508,INDEX(職員マスタ!$C$6:$C$405,$AP508)))</f>
        <v/>
      </c>
      <c r="Z508" s="14">
        <f>IF($AQ508="","","R"&amp;$C508&amp;"."&amp;$D508)</f>
        <v/>
      </c>
      <c r="AA508" s="15">
        <f>IF(IF($AP508="",FALSE,INDEX(職員マスタ!$K$6:$K$405,$AP508)&lt;&gt;""),INDEX(職員マスタ!$K$6:$K$405,$AP508),IF(N($W508)&gt;0,$W508,""))</f>
        <v/>
      </c>
      <c r="AB508" s="14">
        <f>IF(OR($E508="",$AA508=""),"",IF($E508&gt;=$AA508,"×",IF($E508&gt;=$AA508*設定!$C$5,"△","○")))</f>
        <v/>
      </c>
      <c r="AC508" s="15">
        <f>IF($AB508="","",IF($AB508="×",0,IF($AB508="○",ROUNDDOWN($E508*設定!$C$4,0),ROUNDDOWN($E508*ROUND((9*$AA508-9*$E508)/(10*$E508),4),0))))</f>
        <v/>
      </c>
      <c r="AD508" s="13" t="n"/>
      <c r="AE508" s="15">
        <f>IF($B508="","",IF($AD508&lt;&gt;"",$AD508,IF($AC508="","",IF($AC508&lt;=設定!$C$3,0,$AC508))))</f>
        <v/>
      </c>
      <c r="AF508" s="14">
        <f>IF($B508="","",IF(AND($AG508&lt;&gt;"",$AI508="",$AL508=""),"保留中",IF($AL508&lt;&gt;"",IF(N($AE508)&gt;0,"支給済","不支給"),IF($AE508="","要確認",IF($AE508=0,"不支給","未処理")))))</f>
        <v/>
      </c>
      <c r="AG508" s="12" t="n"/>
      <c r="AH508" s="11" t="n"/>
      <c r="AI508" s="11" t="n"/>
      <c r="AJ508" s="11" t="n"/>
      <c r="AK508" s="14">
        <f>IF(AND($AF508="保留中",$AH508&lt;&gt;""),TODAY()-$AH508,"")</f>
        <v/>
      </c>
      <c r="AL508" s="12" t="n"/>
      <c r="AM508" s="14">
        <f>IF($B508="","",IF($AQ508="","対象年月が未入力／","")&amp;IF($B508="","",IF($AP508="","職員マスタに未登録の職員番号／",IF($AA508="","標準報酬月額が未登録／","")&amp;IF(AND($AQ508&lt;&gt;"",OR(AND(INDEX(職員マスタ!$G$6:$G$405,$AP508)&lt;&gt;"",INDEX(職員マスタ!$G$6:$G$405,$AP508)&gt;EOMONTH($AQ508,0)),AND(INDEX(職員マスタ!$H$6:$H$405,$AP508)&lt;&gt;"",INDEX(職員マスタ!$H$6:$H$405,$AP508)&lt;$AQ508))),"対象月が時短期間外／","")&amp;IF(AND(INDEX(職員マスタ!$K$6:$K$405,$AP508)&lt;&gt;"",N($W508)&gt;0,INDEX(職員マスタ!$K$6:$K$405,$AP508)&lt;&gt;$W508),"標準報酬月額が申請書と相違（台帳"&amp;TEXT(INDEX(職員マスタ!$K$6:$K$405,$AP508),"#,##0")&amp;"円／申請書"&amp;TEXT($W508,"#,##0")&amp;"円）／","")&amp;IF(AND(INDEX(職員マスタ!$F$6:$F$405,$AP508)&lt;&gt;"",$AQ508&lt;&gt;"",INDEX(職員マスタ!$F$6:$F$405,$AP508)&lt;$AQ508),"対象月に子が2歳到達済／","")&amp;IF(AND($H508&lt;&gt;"",INDEX(職員マスタ!$B$6:$B$405,$AP508)&lt;&gt;"",SUBSTITUTE(SUBSTITUTE($H508," ","")," ","")&lt;&gt;SUBSTITUTE(SUBSTITUTE(INDEX(職員マスタ!$B$6:$B$405,$AP508)," ","")," ","")),"氏名がマスタと相違／","")&amp;IF(AND($Q508&lt;&gt;"",INDEX(職員マスタ!$E$6:$E$405,$AP508)&lt;&gt;"",$Q508&lt;&gt;INDEX(職員マスタ!$E$6:$E$405,$AP508)),"子の生年月日がマスタと相違／","")&amp;IF(AND($L508&lt;&gt;"",INDEX(職員マスタ!$G$6:$G$405,$AP508)&lt;&gt;"",$L508&lt;&gt;INDEX(職員マスタ!$G$6:$G$405,$AP508)),"時短開始日がマスタと相違／","")&amp;IF(AND($M508&lt;&gt;"",INDEX(職員マスタ!$H$6:$H$405,$AP508)&lt;&gt;"",$M508&lt;&gt;INDEX(職員マスタ!$H$6:$H$405,$AP508)),"時短終了日がマスタと相違／","")))&amp;IF(AND($B508&lt;&gt;"",$E508=""),"報酬額が未入力／","")&amp;IF(N($U508)&gt;0,"申請書に入力エラーが残っています／","")&amp;IF(AND($B508&lt;&gt;"",$AQ508&lt;&gt;""),IF(COUNTIFS($B$6:$B$3005,$B508,$C$6:$C$3005,$C508,$D$6:$D$3005,$D508)&gt;1,"同じ月の請求が重複しています／",""),"")&amp;IF(AND(N($E508)&gt;0,$AB508&lt;&gt;"",$AB508&lt;&gt;"×",$AE508=0,$AD508=""),"計算額が下限以下のため不支給／",""))</f>
        <v/>
      </c>
      <c r="AN508" s="12" t="n"/>
      <c r="AO508" s="14">
        <f>IF($AF508="保留中",COUNTIF($AF$6:$AF508,"保留中"),"")</f>
        <v/>
      </c>
      <c r="AP508" s="14">
        <f>IF($AQ508="","",IF(SUMPRODUCT(MAX((職員マスタ!$A$6:$A$405=$B508)*(((職員マスタ!$G$6:$G$405="")+(職員マスタ!$G$6:$G$405&lt;=EOMONTH($AQ508,0)))&gt;0)*(((職員マスタ!$H$6:$H$405="")+(職員マスタ!$H$6:$H$405&gt;=$AQ508))&gt;0)*(ROW(職員マスタ!$A$6:$A$405)-5)))&gt;0,SUMPRODUCT(MAX((職員マスタ!$A$6:$A$405=$B508)*(((職員マスタ!$G$6:$G$405="")+(職員マスタ!$G$6:$G$405&lt;=EOMONTH($AQ508,0)))&gt;0)*(((職員マスタ!$H$6:$H$405="")+(職員マスタ!$H$6:$H$405&gt;=$AQ508))&gt;0)*(ROW(職員マスタ!$A$6:$A$405)-5))),IFERROR(MATCH($B508,職員マスタ!$A$6:$A$405,0),"")))</f>
        <v/>
      </c>
      <c r="AQ508" s="16">
        <f>IF(OR($B508="",$C508="",$D508=""),"",DATE($C508+2018,$D508,1))</f>
        <v/>
      </c>
    </row>
    <row r="509">
      <c r="A509" s="11" t="n"/>
      <c r="B509" s="12" t="n"/>
      <c r="C509" s="12" t="n"/>
      <c r="D509" s="12" t="n"/>
      <c r="E509" s="13" t="n"/>
      <c r="F509" s="12" t="n"/>
      <c r="G509" s="13" t="n"/>
      <c r="H509" s="12" t="n"/>
      <c r="I509" s="12" t="n"/>
      <c r="J509" s="12" t="n"/>
      <c r="K509" s="12" t="n"/>
      <c r="L509" s="11" t="n"/>
      <c r="M509" s="11" t="n"/>
      <c r="N509" s="11" t="n"/>
      <c r="O509" s="11" t="n"/>
      <c r="P509" s="12" t="n"/>
      <c r="Q509" s="11" t="n"/>
      <c r="R509" s="12" t="n"/>
      <c r="S509" s="11" t="n"/>
      <c r="T509" s="12" t="n"/>
      <c r="U509" s="12" t="n"/>
      <c r="V509" s="12" t="n"/>
      <c r="W509" s="13" t="n"/>
      <c r="X509" s="14">
        <f>IF($AP509="",IF($B509="","",$H509),IF(INDEX(職員マスタ!$B$6:$B$405,$AP509)="",$H509,INDEX(職員マスタ!$B$6:$B$405,$AP509)))</f>
        <v/>
      </c>
      <c r="Y509" s="14">
        <f>IF($AP509="",IF($B509="","",$R509),IF(INDEX(職員マスタ!$C$6:$C$405,$AP509)="",$R509,INDEX(職員マスタ!$C$6:$C$405,$AP509)))</f>
        <v/>
      </c>
      <c r="Z509" s="14">
        <f>IF($AQ509="","","R"&amp;$C509&amp;"."&amp;$D509)</f>
        <v/>
      </c>
      <c r="AA509" s="15">
        <f>IF(IF($AP509="",FALSE,INDEX(職員マスタ!$K$6:$K$405,$AP509)&lt;&gt;""),INDEX(職員マスタ!$K$6:$K$405,$AP509),IF(N($W509)&gt;0,$W509,""))</f>
        <v/>
      </c>
      <c r="AB509" s="14">
        <f>IF(OR($E509="",$AA509=""),"",IF($E509&gt;=$AA509,"×",IF($E509&gt;=$AA509*設定!$C$5,"△","○")))</f>
        <v/>
      </c>
      <c r="AC509" s="15">
        <f>IF($AB509="","",IF($AB509="×",0,IF($AB509="○",ROUNDDOWN($E509*設定!$C$4,0),ROUNDDOWN($E509*ROUND((9*$AA509-9*$E509)/(10*$E509),4),0))))</f>
        <v/>
      </c>
      <c r="AD509" s="13" t="n"/>
      <c r="AE509" s="15">
        <f>IF($B509="","",IF($AD509&lt;&gt;"",$AD509,IF($AC509="","",IF($AC509&lt;=設定!$C$3,0,$AC509))))</f>
        <v/>
      </c>
      <c r="AF509" s="14">
        <f>IF($B509="","",IF(AND($AG509&lt;&gt;"",$AI509="",$AL509=""),"保留中",IF($AL509&lt;&gt;"",IF(N($AE509)&gt;0,"支給済","不支給"),IF($AE509="","要確認",IF($AE509=0,"不支給","未処理")))))</f>
        <v/>
      </c>
      <c r="AG509" s="12" t="n"/>
      <c r="AH509" s="11" t="n"/>
      <c r="AI509" s="11" t="n"/>
      <c r="AJ509" s="11" t="n"/>
      <c r="AK509" s="14">
        <f>IF(AND($AF509="保留中",$AH509&lt;&gt;""),TODAY()-$AH509,"")</f>
        <v/>
      </c>
      <c r="AL509" s="12" t="n"/>
      <c r="AM509" s="14">
        <f>IF($B509="","",IF($AQ509="","対象年月が未入力／","")&amp;IF($B509="","",IF($AP509="","職員マスタに未登録の職員番号／",IF($AA509="","標準報酬月額が未登録／","")&amp;IF(AND($AQ509&lt;&gt;"",OR(AND(INDEX(職員マスタ!$G$6:$G$405,$AP509)&lt;&gt;"",INDEX(職員マスタ!$G$6:$G$405,$AP509)&gt;EOMONTH($AQ509,0)),AND(INDEX(職員マスタ!$H$6:$H$405,$AP509)&lt;&gt;"",INDEX(職員マスタ!$H$6:$H$405,$AP509)&lt;$AQ509))),"対象月が時短期間外／","")&amp;IF(AND(INDEX(職員マスタ!$K$6:$K$405,$AP509)&lt;&gt;"",N($W509)&gt;0,INDEX(職員マスタ!$K$6:$K$405,$AP509)&lt;&gt;$W509),"標準報酬月額が申請書と相違（台帳"&amp;TEXT(INDEX(職員マスタ!$K$6:$K$405,$AP509),"#,##0")&amp;"円／申請書"&amp;TEXT($W509,"#,##0")&amp;"円）／","")&amp;IF(AND(INDEX(職員マスタ!$F$6:$F$405,$AP509)&lt;&gt;"",$AQ509&lt;&gt;"",INDEX(職員マスタ!$F$6:$F$405,$AP509)&lt;$AQ509),"対象月に子が2歳到達済／","")&amp;IF(AND($H509&lt;&gt;"",INDEX(職員マスタ!$B$6:$B$405,$AP509)&lt;&gt;"",SUBSTITUTE(SUBSTITUTE($H509," ","")," ","")&lt;&gt;SUBSTITUTE(SUBSTITUTE(INDEX(職員マスタ!$B$6:$B$405,$AP509)," ","")," ","")),"氏名がマスタと相違／","")&amp;IF(AND($Q509&lt;&gt;"",INDEX(職員マスタ!$E$6:$E$405,$AP509)&lt;&gt;"",$Q509&lt;&gt;INDEX(職員マスタ!$E$6:$E$405,$AP509)),"子の生年月日がマスタと相違／","")&amp;IF(AND($L509&lt;&gt;"",INDEX(職員マスタ!$G$6:$G$405,$AP509)&lt;&gt;"",$L509&lt;&gt;INDEX(職員マスタ!$G$6:$G$405,$AP509)),"時短開始日がマスタと相違／","")&amp;IF(AND($M509&lt;&gt;"",INDEX(職員マスタ!$H$6:$H$405,$AP509)&lt;&gt;"",$M509&lt;&gt;INDEX(職員マスタ!$H$6:$H$405,$AP509)),"時短終了日がマスタと相違／","")))&amp;IF(AND($B509&lt;&gt;"",$E509=""),"報酬額が未入力／","")&amp;IF(N($U509)&gt;0,"申請書に入力エラーが残っています／","")&amp;IF(AND($B509&lt;&gt;"",$AQ509&lt;&gt;""),IF(COUNTIFS($B$6:$B$3005,$B509,$C$6:$C$3005,$C509,$D$6:$D$3005,$D509)&gt;1,"同じ月の請求が重複しています／",""),"")&amp;IF(AND(N($E509)&gt;0,$AB509&lt;&gt;"",$AB509&lt;&gt;"×",$AE509=0,$AD509=""),"計算額が下限以下のため不支給／",""))</f>
        <v/>
      </c>
      <c r="AN509" s="12" t="n"/>
      <c r="AO509" s="14">
        <f>IF($AF509="保留中",COUNTIF($AF$6:$AF509,"保留中"),"")</f>
        <v/>
      </c>
      <c r="AP509" s="14">
        <f>IF($AQ509="","",IF(SUMPRODUCT(MAX((職員マスタ!$A$6:$A$405=$B509)*(((職員マスタ!$G$6:$G$405="")+(職員マスタ!$G$6:$G$405&lt;=EOMONTH($AQ509,0)))&gt;0)*(((職員マスタ!$H$6:$H$405="")+(職員マスタ!$H$6:$H$405&gt;=$AQ509))&gt;0)*(ROW(職員マスタ!$A$6:$A$405)-5)))&gt;0,SUMPRODUCT(MAX((職員マスタ!$A$6:$A$405=$B509)*(((職員マスタ!$G$6:$G$405="")+(職員マスタ!$G$6:$G$405&lt;=EOMONTH($AQ509,0)))&gt;0)*(((職員マスタ!$H$6:$H$405="")+(職員マスタ!$H$6:$H$405&gt;=$AQ509))&gt;0)*(ROW(職員マスタ!$A$6:$A$405)-5))),IFERROR(MATCH($B509,職員マスタ!$A$6:$A$405,0),"")))</f>
        <v/>
      </c>
      <c r="AQ509" s="16">
        <f>IF(OR($B509="",$C509="",$D509=""),"",DATE($C509+2018,$D509,1))</f>
        <v/>
      </c>
    </row>
    <row r="510">
      <c r="A510" s="11" t="n"/>
      <c r="B510" s="12" t="n"/>
      <c r="C510" s="12" t="n"/>
      <c r="D510" s="12" t="n"/>
      <c r="E510" s="13" t="n"/>
      <c r="F510" s="12" t="n"/>
      <c r="G510" s="13" t="n"/>
      <c r="H510" s="12" t="n"/>
      <c r="I510" s="12" t="n"/>
      <c r="J510" s="12" t="n"/>
      <c r="K510" s="12" t="n"/>
      <c r="L510" s="11" t="n"/>
      <c r="M510" s="11" t="n"/>
      <c r="N510" s="11" t="n"/>
      <c r="O510" s="11" t="n"/>
      <c r="P510" s="12" t="n"/>
      <c r="Q510" s="11" t="n"/>
      <c r="R510" s="12" t="n"/>
      <c r="S510" s="11" t="n"/>
      <c r="T510" s="12" t="n"/>
      <c r="U510" s="12" t="n"/>
      <c r="V510" s="12" t="n"/>
      <c r="W510" s="13" t="n"/>
      <c r="X510" s="14">
        <f>IF($AP510="",IF($B510="","",$H510),IF(INDEX(職員マスタ!$B$6:$B$405,$AP510)="",$H510,INDEX(職員マスタ!$B$6:$B$405,$AP510)))</f>
        <v/>
      </c>
      <c r="Y510" s="14">
        <f>IF($AP510="",IF($B510="","",$R510),IF(INDEX(職員マスタ!$C$6:$C$405,$AP510)="",$R510,INDEX(職員マスタ!$C$6:$C$405,$AP510)))</f>
        <v/>
      </c>
      <c r="Z510" s="14">
        <f>IF($AQ510="","","R"&amp;$C510&amp;"."&amp;$D510)</f>
        <v/>
      </c>
      <c r="AA510" s="15">
        <f>IF(IF($AP510="",FALSE,INDEX(職員マスタ!$K$6:$K$405,$AP510)&lt;&gt;""),INDEX(職員マスタ!$K$6:$K$405,$AP510),IF(N($W510)&gt;0,$W510,""))</f>
        <v/>
      </c>
      <c r="AB510" s="14">
        <f>IF(OR($E510="",$AA510=""),"",IF($E510&gt;=$AA510,"×",IF($E510&gt;=$AA510*設定!$C$5,"△","○")))</f>
        <v/>
      </c>
      <c r="AC510" s="15">
        <f>IF($AB510="","",IF($AB510="×",0,IF($AB510="○",ROUNDDOWN($E510*設定!$C$4,0),ROUNDDOWN($E510*ROUND((9*$AA510-9*$E510)/(10*$E510),4),0))))</f>
        <v/>
      </c>
      <c r="AD510" s="13" t="n"/>
      <c r="AE510" s="15">
        <f>IF($B510="","",IF($AD510&lt;&gt;"",$AD510,IF($AC510="","",IF($AC510&lt;=設定!$C$3,0,$AC510))))</f>
        <v/>
      </c>
      <c r="AF510" s="14">
        <f>IF($B510="","",IF(AND($AG510&lt;&gt;"",$AI510="",$AL510=""),"保留中",IF($AL510&lt;&gt;"",IF(N($AE510)&gt;0,"支給済","不支給"),IF($AE510="","要確認",IF($AE510=0,"不支給","未処理")))))</f>
        <v/>
      </c>
      <c r="AG510" s="12" t="n"/>
      <c r="AH510" s="11" t="n"/>
      <c r="AI510" s="11" t="n"/>
      <c r="AJ510" s="11" t="n"/>
      <c r="AK510" s="14">
        <f>IF(AND($AF510="保留中",$AH510&lt;&gt;""),TODAY()-$AH510,"")</f>
        <v/>
      </c>
      <c r="AL510" s="12" t="n"/>
      <c r="AM510" s="14">
        <f>IF($B510="","",IF($AQ510="","対象年月が未入力／","")&amp;IF($B510="","",IF($AP510="","職員マスタに未登録の職員番号／",IF($AA510="","標準報酬月額が未登録／","")&amp;IF(AND($AQ510&lt;&gt;"",OR(AND(INDEX(職員マスタ!$G$6:$G$405,$AP510)&lt;&gt;"",INDEX(職員マスタ!$G$6:$G$405,$AP510)&gt;EOMONTH($AQ510,0)),AND(INDEX(職員マスタ!$H$6:$H$405,$AP510)&lt;&gt;"",INDEX(職員マスタ!$H$6:$H$405,$AP510)&lt;$AQ510))),"対象月が時短期間外／","")&amp;IF(AND(INDEX(職員マスタ!$K$6:$K$405,$AP510)&lt;&gt;"",N($W510)&gt;0,INDEX(職員マスタ!$K$6:$K$405,$AP510)&lt;&gt;$W510),"標準報酬月額が申請書と相違（台帳"&amp;TEXT(INDEX(職員マスタ!$K$6:$K$405,$AP510),"#,##0")&amp;"円／申請書"&amp;TEXT($W510,"#,##0")&amp;"円）／","")&amp;IF(AND(INDEX(職員マスタ!$F$6:$F$405,$AP510)&lt;&gt;"",$AQ510&lt;&gt;"",INDEX(職員マスタ!$F$6:$F$405,$AP510)&lt;$AQ510),"対象月に子が2歳到達済／","")&amp;IF(AND($H510&lt;&gt;"",INDEX(職員マスタ!$B$6:$B$405,$AP510)&lt;&gt;"",SUBSTITUTE(SUBSTITUTE($H510," ","")," ","")&lt;&gt;SUBSTITUTE(SUBSTITUTE(INDEX(職員マスタ!$B$6:$B$405,$AP510)," ","")," ","")),"氏名がマスタと相違／","")&amp;IF(AND($Q510&lt;&gt;"",INDEX(職員マスタ!$E$6:$E$405,$AP510)&lt;&gt;"",$Q510&lt;&gt;INDEX(職員マスタ!$E$6:$E$405,$AP510)),"子の生年月日がマスタと相違／","")&amp;IF(AND($L510&lt;&gt;"",INDEX(職員マスタ!$G$6:$G$405,$AP510)&lt;&gt;"",$L510&lt;&gt;INDEX(職員マスタ!$G$6:$G$405,$AP510)),"時短開始日がマスタと相違／","")&amp;IF(AND($M510&lt;&gt;"",INDEX(職員マスタ!$H$6:$H$405,$AP510)&lt;&gt;"",$M510&lt;&gt;INDEX(職員マスタ!$H$6:$H$405,$AP510)),"時短終了日がマスタと相違／","")))&amp;IF(AND($B510&lt;&gt;"",$E510=""),"報酬額が未入力／","")&amp;IF(N($U510)&gt;0,"申請書に入力エラーが残っています／","")&amp;IF(AND($B510&lt;&gt;"",$AQ510&lt;&gt;""),IF(COUNTIFS($B$6:$B$3005,$B510,$C$6:$C$3005,$C510,$D$6:$D$3005,$D510)&gt;1,"同じ月の請求が重複しています／",""),"")&amp;IF(AND(N($E510)&gt;0,$AB510&lt;&gt;"",$AB510&lt;&gt;"×",$AE510=0,$AD510=""),"計算額が下限以下のため不支給／",""))</f>
        <v/>
      </c>
      <c r="AN510" s="12" t="n"/>
      <c r="AO510" s="14">
        <f>IF($AF510="保留中",COUNTIF($AF$6:$AF510,"保留中"),"")</f>
        <v/>
      </c>
      <c r="AP510" s="14">
        <f>IF($AQ510="","",IF(SUMPRODUCT(MAX((職員マスタ!$A$6:$A$405=$B510)*(((職員マスタ!$G$6:$G$405="")+(職員マスタ!$G$6:$G$405&lt;=EOMONTH($AQ510,0)))&gt;0)*(((職員マスタ!$H$6:$H$405="")+(職員マスタ!$H$6:$H$405&gt;=$AQ510))&gt;0)*(ROW(職員マスタ!$A$6:$A$405)-5)))&gt;0,SUMPRODUCT(MAX((職員マスタ!$A$6:$A$405=$B510)*(((職員マスタ!$G$6:$G$405="")+(職員マスタ!$G$6:$G$405&lt;=EOMONTH($AQ510,0)))&gt;0)*(((職員マスタ!$H$6:$H$405="")+(職員マスタ!$H$6:$H$405&gt;=$AQ510))&gt;0)*(ROW(職員マスタ!$A$6:$A$405)-5))),IFERROR(MATCH($B510,職員マスタ!$A$6:$A$405,0),"")))</f>
        <v/>
      </c>
      <c r="AQ510" s="16">
        <f>IF(OR($B510="",$C510="",$D510=""),"",DATE($C510+2018,$D510,1))</f>
        <v/>
      </c>
    </row>
    <row r="511">
      <c r="A511" s="11" t="n"/>
      <c r="B511" s="12" t="n"/>
      <c r="C511" s="12" t="n"/>
      <c r="D511" s="12" t="n"/>
      <c r="E511" s="13" t="n"/>
      <c r="F511" s="12" t="n"/>
      <c r="G511" s="13" t="n"/>
      <c r="H511" s="12" t="n"/>
      <c r="I511" s="12" t="n"/>
      <c r="J511" s="12" t="n"/>
      <c r="K511" s="12" t="n"/>
      <c r="L511" s="11" t="n"/>
      <c r="M511" s="11" t="n"/>
      <c r="N511" s="11" t="n"/>
      <c r="O511" s="11" t="n"/>
      <c r="P511" s="12" t="n"/>
      <c r="Q511" s="11" t="n"/>
      <c r="R511" s="12" t="n"/>
      <c r="S511" s="11" t="n"/>
      <c r="T511" s="12" t="n"/>
      <c r="U511" s="12" t="n"/>
      <c r="V511" s="12" t="n"/>
      <c r="W511" s="13" t="n"/>
      <c r="X511" s="14">
        <f>IF($AP511="",IF($B511="","",$H511),IF(INDEX(職員マスタ!$B$6:$B$405,$AP511)="",$H511,INDEX(職員マスタ!$B$6:$B$405,$AP511)))</f>
        <v/>
      </c>
      <c r="Y511" s="14">
        <f>IF($AP511="",IF($B511="","",$R511),IF(INDEX(職員マスタ!$C$6:$C$405,$AP511)="",$R511,INDEX(職員マスタ!$C$6:$C$405,$AP511)))</f>
        <v/>
      </c>
      <c r="Z511" s="14">
        <f>IF($AQ511="","","R"&amp;$C511&amp;"."&amp;$D511)</f>
        <v/>
      </c>
      <c r="AA511" s="15">
        <f>IF(IF($AP511="",FALSE,INDEX(職員マスタ!$K$6:$K$405,$AP511)&lt;&gt;""),INDEX(職員マスタ!$K$6:$K$405,$AP511),IF(N($W511)&gt;0,$W511,""))</f>
        <v/>
      </c>
      <c r="AB511" s="14">
        <f>IF(OR($E511="",$AA511=""),"",IF($E511&gt;=$AA511,"×",IF($E511&gt;=$AA511*設定!$C$5,"△","○")))</f>
        <v/>
      </c>
      <c r="AC511" s="15">
        <f>IF($AB511="","",IF($AB511="×",0,IF($AB511="○",ROUNDDOWN($E511*設定!$C$4,0),ROUNDDOWN($E511*ROUND((9*$AA511-9*$E511)/(10*$E511),4),0))))</f>
        <v/>
      </c>
      <c r="AD511" s="13" t="n"/>
      <c r="AE511" s="15">
        <f>IF($B511="","",IF($AD511&lt;&gt;"",$AD511,IF($AC511="","",IF($AC511&lt;=設定!$C$3,0,$AC511))))</f>
        <v/>
      </c>
      <c r="AF511" s="14">
        <f>IF($B511="","",IF(AND($AG511&lt;&gt;"",$AI511="",$AL511=""),"保留中",IF($AL511&lt;&gt;"",IF(N($AE511)&gt;0,"支給済","不支給"),IF($AE511="","要確認",IF($AE511=0,"不支給","未処理")))))</f>
        <v/>
      </c>
      <c r="AG511" s="12" t="n"/>
      <c r="AH511" s="11" t="n"/>
      <c r="AI511" s="11" t="n"/>
      <c r="AJ511" s="11" t="n"/>
      <c r="AK511" s="14">
        <f>IF(AND($AF511="保留中",$AH511&lt;&gt;""),TODAY()-$AH511,"")</f>
        <v/>
      </c>
      <c r="AL511" s="12" t="n"/>
      <c r="AM511" s="14">
        <f>IF($B511="","",IF($AQ511="","対象年月が未入力／","")&amp;IF($B511="","",IF($AP511="","職員マスタに未登録の職員番号／",IF($AA511="","標準報酬月額が未登録／","")&amp;IF(AND($AQ511&lt;&gt;"",OR(AND(INDEX(職員マスタ!$G$6:$G$405,$AP511)&lt;&gt;"",INDEX(職員マスタ!$G$6:$G$405,$AP511)&gt;EOMONTH($AQ511,0)),AND(INDEX(職員マスタ!$H$6:$H$405,$AP511)&lt;&gt;"",INDEX(職員マスタ!$H$6:$H$405,$AP511)&lt;$AQ511))),"対象月が時短期間外／","")&amp;IF(AND(INDEX(職員マスタ!$K$6:$K$405,$AP511)&lt;&gt;"",N($W511)&gt;0,INDEX(職員マスタ!$K$6:$K$405,$AP511)&lt;&gt;$W511),"標準報酬月額が申請書と相違（台帳"&amp;TEXT(INDEX(職員マスタ!$K$6:$K$405,$AP511),"#,##0")&amp;"円／申請書"&amp;TEXT($W511,"#,##0")&amp;"円）／","")&amp;IF(AND(INDEX(職員マスタ!$F$6:$F$405,$AP511)&lt;&gt;"",$AQ511&lt;&gt;"",INDEX(職員マスタ!$F$6:$F$405,$AP511)&lt;$AQ511),"対象月に子が2歳到達済／","")&amp;IF(AND($H511&lt;&gt;"",INDEX(職員マスタ!$B$6:$B$405,$AP511)&lt;&gt;"",SUBSTITUTE(SUBSTITUTE($H511," ","")," ","")&lt;&gt;SUBSTITUTE(SUBSTITUTE(INDEX(職員マスタ!$B$6:$B$405,$AP511)," ","")," ","")),"氏名がマスタと相違／","")&amp;IF(AND($Q511&lt;&gt;"",INDEX(職員マスタ!$E$6:$E$405,$AP511)&lt;&gt;"",$Q511&lt;&gt;INDEX(職員マスタ!$E$6:$E$405,$AP511)),"子の生年月日がマスタと相違／","")&amp;IF(AND($L511&lt;&gt;"",INDEX(職員マスタ!$G$6:$G$405,$AP511)&lt;&gt;"",$L511&lt;&gt;INDEX(職員マスタ!$G$6:$G$405,$AP511)),"時短開始日がマスタと相違／","")&amp;IF(AND($M511&lt;&gt;"",INDEX(職員マスタ!$H$6:$H$405,$AP511)&lt;&gt;"",$M511&lt;&gt;INDEX(職員マスタ!$H$6:$H$405,$AP511)),"時短終了日がマスタと相違／","")))&amp;IF(AND($B511&lt;&gt;"",$E511=""),"報酬額が未入力／","")&amp;IF(N($U511)&gt;0,"申請書に入力エラーが残っています／","")&amp;IF(AND($B511&lt;&gt;"",$AQ511&lt;&gt;""),IF(COUNTIFS($B$6:$B$3005,$B511,$C$6:$C$3005,$C511,$D$6:$D$3005,$D511)&gt;1,"同じ月の請求が重複しています／",""),"")&amp;IF(AND(N($E511)&gt;0,$AB511&lt;&gt;"",$AB511&lt;&gt;"×",$AE511=0,$AD511=""),"計算額が下限以下のため不支給／",""))</f>
        <v/>
      </c>
      <c r="AN511" s="12" t="n"/>
      <c r="AO511" s="14">
        <f>IF($AF511="保留中",COUNTIF($AF$6:$AF511,"保留中"),"")</f>
        <v/>
      </c>
      <c r="AP511" s="14">
        <f>IF($AQ511="","",IF(SUMPRODUCT(MAX((職員マスタ!$A$6:$A$405=$B511)*(((職員マスタ!$G$6:$G$405="")+(職員マスタ!$G$6:$G$405&lt;=EOMONTH($AQ511,0)))&gt;0)*(((職員マスタ!$H$6:$H$405="")+(職員マスタ!$H$6:$H$405&gt;=$AQ511))&gt;0)*(ROW(職員マスタ!$A$6:$A$405)-5)))&gt;0,SUMPRODUCT(MAX((職員マスタ!$A$6:$A$405=$B511)*(((職員マスタ!$G$6:$G$405="")+(職員マスタ!$G$6:$G$405&lt;=EOMONTH($AQ511,0)))&gt;0)*(((職員マスタ!$H$6:$H$405="")+(職員マスタ!$H$6:$H$405&gt;=$AQ511))&gt;0)*(ROW(職員マスタ!$A$6:$A$405)-5))),IFERROR(MATCH($B511,職員マスタ!$A$6:$A$405,0),"")))</f>
        <v/>
      </c>
      <c r="AQ511" s="16">
        <f>IF(OR($B511="",$C511="",$D511=""),"",DATE($C511+2018,$D511,1))</f>
        <v/>
      </c>
    </row>
    <row r="512">
      <c r="A512" s="11" t="n"/>
      <c r="B512" s="12" t="n"/>
      <c r="C512" s="12" t="n"/>
      <c r="D512" s="12" t="n"/>
      <c r="E512" s="13" t="n"/>
      <c r="F512" s="12" t="n"/>
      <c r="G512" s="13" t="n"/>
      <c r="H512" s="12" t="n"/>
      <c r="I512" s="12" t="n"/>
      <c r="J512" s="12" t="n"/>
      <c r="K512" s="12" t="n"/>
      <c r="L512" s="11" t="n"/>
      <c r="M512" s="11" t="n"/>
      <c r="N512" s="11" t="n"/>
      <c r="O512" s="11" t="n"/>
      <c r="P512" s="12" t="n"/>
      <c r="Q512" s="11" t="n"/>
      <c r="R512" s="12" t="n"/>
      <c r="S512" s="11" t="n"/>
      <c r="T512" s="12" t="n"/>
      <c r="U512" s="12" t="n"/>
      <c r="V512" s="12" t="n"/>
      <c r="W512" s="13" t="n"/>
      <c r="X512" s="14">
        <f>IF($AP512="",IF($B512="","",$H512),IF(INDEX(職員マスタ!$B$6:$B$405,$AP512)="",$H512,INDEX(職員マスタ!$B$6:$B$405,$AP512)))</f>
        <v/>
      </c>
      <c r="Y512" s="14">
        <f>IF($AP512="",IF($B512="","",$R512),IF(INDEX(職員マスタ!$C$6:$C$405,$AP512)="",$R512,INDEX(職員マスタ!$C$6:$C$405,$AP512)))</f>
        <v/>
      </c>
      <c r="Z512" s="14">
        <f>IF($AQ512="","","R"&amp;$C512&amp;"."&amp;$D512)</f>
        <v/>
      </c>
      <c r="AA512" s="15">
        <f>IF(IF($AP512="",FALSE,INDEX(職員マスタ!$K$6:$K$405,$AP512)&lt;&gt;""),INDEX(職員マスタ!$K$6:$K$405,$AP512),IF(N($W512)&gt;0,$W512,""))</f>
        <v/>
      </c>
      <c r="AB512" s="14">
        <f>IF(OR($E512="",$AA512=""),"",IF($E512&gt;=$AA512,"×",IF($E512&gt;=$AA512*設定!$C$5,"△","○")))</f>
        <v/>
      </c>
      <c r="AC512" s="15">
        <f>IF($AB512="","",IF($AB512="×",0,IF($AB512="○",ROUNDDOWN($E512*設定!$C$4,0),ROUNDDOWN($E512*ROUND((9*$AA512-9*$E512)/(10*$E512),4),0))))</f>
        <v/>
      </c>
      <c r="AD512" s="13" t="n"/>
      <c r="AE512" s="15">
        <f>IF($B512="","",IF($AD512&lt;&gt;"",$AD512,IF($AC512="","",IF($AC512&lt;=設定!$C$3,0,$AC512))))</f>
        <v/>
      </c>
      <c r="AF512" s="14">
        <f>IF($B512="","",IF(AND($AG512&lt;&gt;"",$AI512="",$AL512=""),"保留中",IF($AL512&lt;&gt;"",IF(N($AE512)&gt;0,"支給済","不支給"),IF($AE512="","要確認",IF($AE512=0,"不支給","未処理")))))</f>
        <v/>
      </c>
      <c r="AG512" s="12" t="n"/>
      <c r="AH512" s="11" t="n"/>
      <c r="AI512" s="11" t="n"/>
      <c r="AJ512" s="11" t="n"/>
      <c r="AK512" s="14">
        <f>IF(AND($AF512="保留中",$AH512&lt;&gt;""),TODAY()-$AH512,"")</f>
        <v/>
      </c>
      <c r="AL512" s="12" t="n"/>
      <c r="AM512" s="14">
        <f>IF($B512="","",IF($AQ512="","対象年月が未入力／","")&amp;IF($B512="","",IF($AP512="","職員マスタに未登録の職員番号／",IF($AA512="","標準報酬月額が未登録／","")&amp;IF(AND($AQ512&lt;&gt;"",OR(AND(INDEX(職員マスタ!$G$6:$G$405,$AP512)&lt;&gt;"",INDEX(職員マスタ!$G$6:$G$405,$AP512)&gt;EOMONTH($AQ512,0)),AND(INDEX(職員マスタ!$H$6:$H$405,$AP512)&lt;&gt;"",INDEX(職員マスタ!$H$6:$H$405,$AP512)&lt;$AQ512))),"対象月が時短期間外／","")&amp;IF(AND(INDEX(職員マスタ!$K$6:$K$405,$AP512)&lt;&gt;"",N($W512)&gt;0,INDEX(職員マスタ!$K$6:$K$405,$AP512)&lt;&gt;$W512),"標準報酬月額が申請書と相違（台帳"&amp;TEXT(INDEX(職員マスタ!$K$6:$K$405,$AP512),"#,##0")&amp;"円／申請書"&amp;TEXT($W512,"#,##0")&amp;"円）／","")&amp;IF(AND(INDEX(職員マスタ!$F$6:$F$405,$AP512)&lt;&gt;"",$AQ512&lt;&gt;"",INDEX(職員マスタ!$F$6:$F$405,$AP512)&lt;$AQ512),"対象月に子が2歳到達済／","")&amp;IF(AND($H512&lt;&gt;"",INDEX(職員マスタ!$B$6:$B$405,$AP512)&lt;&gt;"",SUBSTITUTE(SUBSTITUTE($H512," ","")," ","")&lt;&gt;SUBSTITUTE(SUBSTITUTE(INDEX(職員マスタ!$B$6:$B$405,$AP512)," ","")," ","")),"氏名がマスタと相違／","")&amp;IF(AND($Q512&lt;&gt;"",INDEX(職員マスタ!$E$6:$E$405,$AP512)&lt;&gt;"",$Q512&lt;&gt;INDEX(職員マスタ!$E$6:$E$405,$AP512)),"子の生年月日がマスタと相違／","")&amp;IF(AND($L512&lt;&gt;"",INDEX(職員マスタ!$G$6:$G$405,$AP512)&lt;&gt;"",$L512&lt;&gt;INDEX(職員マスタ!$G$6:$G$405,$AP512)),"時短開始日がマスタと相違／","")&amp;IF(AND($M512&lt;&gt;"",INDEX(職員マスタ!$H$6:$H$405,$AP512)&lt;&gt;"",$M512&lt;&gt;INDEX(職員マスタ!$H$6:$H$405,$AP512)),"時短終了日がマスタと相違／","")))&amp;IF(AND($B512&lt;&gt;"",$E512=""),"報酬額が未入力／","")&amp;IF(N($U512)&gt;0,"申請書に入力エラーが残っています／","")&amp;IF(AND($B512&lt;&gt;"",$AQ512&lt;&gt;""),IF(COUNTIFS($B$6:$B$3005,$B512,$C$6:$C$3005,$C512,$D$6:$D$3005,$D512)&gt;1,"同じ月の請求が重複しています／",""),"")&amp;IF(AND(N($E512)&gt;0,$AB512&lt;&gt;"",$AB512&lt;&gt;"×",$AE512=0,$AD512=""),"計算額が下限以下のため不支給／",""))</f>
        <v/>
      </c>
      <c r="AN512" s="12" t="n"/>
      <c r="AO512" s="14">
        <f>IF($AF512="保留中",COUNTIF($AF$6:$AF512,"保留中"),"")</f>
        <v/>
      </c>
      <c r="AP512" s="14">
        <f>IF($AQ512="","",IF(SUMPRODUCT(MAX((職員マスタ!$A$6:$A$405=$B512)*(((職員マスタ!$G$6:$G$405="")+(職員マスタ!$G$6:$G$405&lt;=EOMONTH($AQ512,0)))&gt;0)*(((職員マスタ!$H$6:$H$405="")+(職員マスタ!$H$6:$H$405&gt;=$AQ512))&gt;0)*(ROW(職員マスタ!$A$6:$A$405)-5)))&gt;0,SUMPRODUCT(MAX((職員マスタ!$A$6:$A$405=$B512)*(((職員マスタ!$G$6:$G$405="")+(職員マスタ!$G$6:$G$405&lt;=EOMONTH($AQ512,0)))&gt;0)*(((職員マスタ!$H$6:$H$405="")+(職員マスタ!$H$6:$H$405&gt;=$AQ512))&gt;0)*(ROW(職員マスタ!$A$6:$A$405)-5))),IFERROR(MATCH($B512,職員マスタ!$A$6:$A$405,0),"")))</f>
        <v/>
      </c>
      <c r="AQ512" s="16">
        <f>IF(OR($B512="",$C512="",$D512=""),"",DATE($C512+2018,$D512,1))</f>
        <v/>
      </c>
    </row>
    <row r="513">
      <c r="A513" s="11" t="n"/>
      <c r="B513" s="12" t="n"/>
      <c r="C513" s="12" t="n"/>
      <c r="D513" s="12" t="n"/>
      <c r="E513" s="13" t="n"/>
      <c r="F513" s="12" t="n"/>
      <c r="G513" s="13" t="n"/>
      <c r="H513" s="12" t="n"/>
      <c r="I513" s="12" t="n"/>
      <c r="J513" s="12" t="n"/>
      <c r="K513" s="12" t="n"/>
      <c r="L513" s="11" t="n"/>
      <c r="M513" s="11" t="n"/>
      <c r="N513" s="11" t="n"/>
      <c r="O513" s="11" t="n"/>
      <c r="P513" s="12" t="n"/>
      <c r="Q513" s="11" t="n"/>
      <c r="R513" s="12" t="n"/>
      <c r="S513" s="11" t="n"/>
      <c r="T513" s="12" t="n"/>
      <c r="U513" s="12" t="n"/>
      <c r="V513" s="12" t="n"/>
      <c r="W513" s="13" t="n"/>
      <c r="X513" s="14">
        <f>IF($AP513="",IF($B513="","",$H513),IF(INDEX(職員マスタ!$B$6:$B$405,$AP513)="",$H513,INDEX(職員マスタ!$B$6:$B$405,$AP513)))</f>
        <v/>
      </c>
      <c r="Y513" s="14">
        <f>IF($AP513="",IF($B513="","",$R513),IF(INDEX(職員マスタ!$C$6:$C$405,$AP513)="",$R513,INDEX(職員マスタ!$C$6:$C$405,$AP513)))</f>
        <v/>
      </c>
      <c r="Z513" s="14">
        <f>IF($AQ513="","","R"&amp;$C513&amp;"."&amp;$D513)</f>
        <v/>
      </c>
      <c r="AA513" s="15">
        <f>IF(IF($AP513="",FALSE,INDEX(職員マスタ!$K$6:$K$405,$AP513)&lt;&gt;""),INDEX(職員マスタ!$K$6:$K$405,$AP513),IF(N($W513)&gt;0,$W513,""))</f>
        <v/>
      </c>
      <c r="AB513" s="14">
        <f>IF(OR($E513="",$AA513=""),"",IF($E513&gt;=$AA513,"×",IF($E513&gt;=$AA513*設定!$C$5,"△","○")))</f>
        <v/>
      </c>
      <c r="AC513" s="15">
        <f>IF($AB513="","",IF($AB513="×",0,IF($AB513="○",ROUNDDOWN($E513*設定!$C$4,0),ROUNDDOWN($E513*ROUND((9*$AA513-9*$E513)/(10*$E513),4),0))))</f>
        <v/>
      </c>
      <c r="AD513" s="13" t="n"/>
      <c r="AE513" s="15">
        <f>IF($B513="","",IF($AD513&lt;&gt;"",$AD513,IF($AC513="","",IF($AC513&lt;=設定!$C$3,0,$AC513))))</f>
        <v/>
      </c>
      <c r="AF513" s="14">
        <f>IF($B513="","",IF(AND($AG513&lt;&gt;"",$AI513="",$AL513=""),"保留中",IF($AL513&lt;&gt;"",IF(N($AE513)&gt;0,"支給済","不支給"),IF($AE513="","要確認",IF($AE513=0,"不支給","未処理")))))</f>
        <v/>
      </c>
      <c r="AG513" s="12" t="n"/>
      <c r="AH513" s="11" t="n"/>
      <c r="AI513" s="11" t="n"/>
      <c r="AJ513" s="11" t="n"/>
      <c r="AK513" s="14">
        <f>IF(AND($AF513="保留中",$AH513&lt;&gt;""),TODAY()-$AH513,"")</f>
        <v/>
      </c>
      <c r="AL513" s="12" t="n"/>
      <c r="AM513" s="14">
        <f>IF($B513="","",IF($AQ513="","対象年月が未入力／","")&amp;IF($B513="","",IF($AP513="","職員マスタに未登録の職員番号／",IF($AA513="","標準報酬月額が未登録／","")&amp;IF(AND($AQ513&lt;&gt;"",OR(AND(INDEX(職員マスタ!$G$6:$G$405,$AP513)&lt;&gt;"",INDEX(職員マスタ!$G$6:$G$405,$AP513)&gt;EOMONTH($AQ513,0)),AND(INDEX(職員マスタ!$H$6:$H$405,$AP513)&lt;&gt;"",INDEX(職員マスタ!$H$6:$H$405,$AP513)&lt;$AQ513))),"対象月が時短期間外／","")&amp;IF(AND(INDEX(職員マスタ!$K$6:$K$405,$AP513)&lt;&gt;"",N($W513)&gt;0,INDEX(職員マスタ!$K$6:$K$405,$AP513)&lt;&gt;$W513),"標準報酬月額が申請書と相違（台帳"&amp;TEXT(INDEX(職員マスタ!$K$6:$K$405,$AP513),"#,##0")&amp;"円／申請書"&amp;TEXT($W513,"#,##0")&amp;"円）／","")&amp;IF(AND(INDEX(職員マスタ!$F$6:$F$405,$AP513)&lt;&gt;"",$AQ513&lt;&gt;"",INDEX(職員マスタ!$F$6:$F$405,$AP513)&lt;$AQ513),"対象月に子が2歳到達済／","")&amp;IF(AND($H513&lt;&gt;"",INDEX(職員マスタ!$B$6:$B$405,$AP513)&lt;&gt;"",SUBSTITUTE(SUBSTITUTE($H513," ","")," ","")&lt;&gt;SUBSTITUTE(SUBSTITUTE(INDEX(職員マスタ!$B$6:$B$405,$AP513)," ","")," ","")),"氏名がマスタと相違／","")&amp;IF(AND($Q513&lt;&gt;"",INDEX(職員マスタ!$E$6:$E$405,$AP513)&lt;&gt;"",$Q513&lt;&gt;INDEX(職員マスタ!$E$6:$E$405,$AP513)),"子の生年月日がマスタと相違／","")&amp;IF(AND($L513&lt;&gt;"",INDEX(職員マスタ!$G$6:$G$405,$AP513)&lt;&gt;"",$L513&lt;&gt;INDEX(職員マスタ!$G$6:$G$405,$AP513)),"時短開始日がマスタと相違／","")&amp;IF(AND($M513&lt;&gt;"",INDEX(職員マスタ!$H$6:$H$405,$AP513)&lt;&gt;"",$M513&lt;&gt;INDEX(職員マスタ!$H$6:$H$405,$AP513)),"時短終了日がマスタと相違／","")))&amp;IF(AND($B513&lt;&gt;"",$E513=""),"報酬額が未入力／","")&amp;IF(N($U513)&gt;0,"申請書に入力エラーが残っています／","")&amp;IF(AND($B513&lt;&gt;"",$AQ513&lt;&gt;""),IF(COUNTIFS($B$6:$B$3005,$B513,$C$6:$C$3005,$C513,$D$6:$D$3005,$D513)&gt;1,"同じ月の請求が重複しています／",""),"")&amp;IF(AND(N($E513)&gt;0,$AB513&lt;&gt;"",$AB513&lt;&gt;"×",$AE513=0,$AD513=""),"計算額が下限以下のため不支給／",""))</f>
        <v/>
      </c>
      <c r="AN513" s="12" t="n"/>
      <c r="AO513" s="14">
        <f>IF($AF513="保留中",COUNTIF($AF$6:$AF513,"保留中"),"")</f>
        <v/>
      </c>
      <c r="AP513" s="14">
        <f>IF($AQ513="","",IF(SUMPRODUCT(MAX((職員マスタ!$A$6:$A$405=$B513)*(((職員マスタ!$G$6:$G$405="")+(職員マスタ!$G$6:$G$405&lt;=EOMONTH($AQ513,0)))&gt;0)*(((職員マスタ!$H$6:$H$405="")+(職員マスタ!$H$6:$H$405&gt;=$AQ513))&gt;0)*(ROW(職員マスタ!$A$6:$A$405)-5)))&gt;0,SUMPRODUCT(MAX((職員マスタ!$A$6:$A$405=$B513)*(((職員マスタ!$G$6:$G$405="")+(職員マスタ!$G$6:$G$405&lt;=EOMONTH($AQ513,0)))&gt;0)*(((職員マスタ!$H$6:$H$405="")+(職員マスタ!$H$6:$H$405&gt;=$AQ513))&gt;0)*(ROW(職員マスタ!$A$6:$A$405)-5))),IFERROR(MATCH($B513,職員マスタ!$A$6:$A$405,0),"")))</f>
        <v/>
      </c>
      <c r="AQ513" s="16">
        <f>IF(OR($B513="",$C513="",$D513=""),"",DATE($C513+2018,$D513,1))</f>
        <v/>
      </c>
    </row>
    <row r="514">
      <c r="A514" s="11" t="n"/>
      <c r="B514" s="12" t="n"/>
      <c r="C514" s="12" t="n"/>
      <c r="D514" s="12" t="n"/>
      <c r="E514" s="13" t="n"/>
      <c r="F514" s="12" t="n"/>
      <c r="G514" s="13" t="n"/>
      <c r="H514" s="12" t="n"/>
      <c r="I514" s="12" t="n"/>
      <c r="J514" s="12" t="n"/>
      <c r="K514" s="12" t="n"/>
      <c r="L514" s="11" t="n"/>
      <c r="M514" s="11" t="n"/>
      <c r="N514" s="11" t="n"/>
      <c r="O514" s="11" t="n"/>
      <c r="P514" s="12" t="n"/>
      <c r="Q514" s="11" t="n"/>
      <c r="R514" s="12" t="n"/>
      <c r="S514" s="11" t="n"/>
      <c r="T514" s="12" t="n"/>
      <c r="U514" s="12" t="n"/>
      <c r="V514" s="12" t="n"/>
      <c r="W514" s="13" t="n"/>
      <c r="X514" s="14">
        <f>IF($AP514="",IF($B514="","",$H514),IF(INDEX(職員マスタ!$B$6:$B$405,$AP514)="",$H514,INDEX(職員マスタ!$B$6:$B$405,$AP514)))</f>
        <v/>
      </c>
      <c r="Y514" s="14">
        <f>IF($AP514="",IF($B514="","",$R514),IF(INDEX(職員マスタ!$C$6:$C$405,$AP514)="",$R514,INDEX(職員マスタ!$C$6:$C$405,$AP514)))</f>
        <v/>
      </c>
      <c r="Z514" s="14">
        <f>IF($AQ514="","","R"&amp;$C514&amp;"."&amp;$D514)</f>
        <v/>
      </c>
      <c r="AA514" s="15">
        <f>IF(IF($AP514="",FALSE,INDEX(職員マスタ!$K$6:$K$405,$AP514)&lt;&gt;""),INDEX(職員マスタ!$K$6:$K$405,$AP514),IF(N($W514)&gt;0,$W514,""))</f>
        <v/>
      </c>
      <c r="AB514" s="14">
        <f>IF(OR($E514="",$AA514=""),"",IF($E514&gt;=$AA514,"×",IF($E514&gt;=$AA514*設定!$C$5,"△","○")))</f>
        <v/>
      </c>
      <c r="AC514" s="15">
        <f>IF($AB514="","",IF($AB514="×",0,IF($AB514="○",ROUNDDOWN($E514*設定!$C$4,0),ROUNDDOWN($E514*ROUND((9*$AA514-9*$E514)/(10*$E514),4),0))))</f>
        <v/>
      </c>
      <c r="AD514" s="13" t="n"/>
      <c r="AE514" s="15">
        <f>IF($B514="","",IF($AD514&lt;&gt;"",$AD514,IF($AC514="","",IF($AC514&lt;=設定!$C$3,0,$AC514))))</f>
        <v/>
      </c>
      <c r="AF514" s="14">
        <f>IF($B514="","",IF(AND($AG514&lt;&gt;"",$AI514="",$AL514=""),"保留中",IF($AL514&lt;&gt;"",IF(N($AE514)&gt;0,"支給済","不支給"),IF($AE514="","要確認",IF($AE514=0,"不支給","未処理")))))</f>
        <v/>
      </c>
      <c r="AG514" s="12" t="n"/>
      <c r="AH514" s="11" t="n"/>
      <c r="AI514" s="11" t="n"/>
      <c r="AJ514" s="11" t="n"/>
      <c r="AK514" s="14">
        <f>IF(AND($AF514="保留中",$AH514&lt;&gt;""),TODAY()-$AH514,"")</f>
        <v/>
      </c>
      <c r="AL514" s="12" t="n"/>
      <c r="AM514" s="14">
        <f>IF($B514="","",IF($AQ514="","対象年月が未入力／","")&amp;IF($B514="","",IF($AP514="","職員マスタに未登録の職員番号／",IF($AA514="","標準報酬月額が未登録／","")&amp;IF(AND($AQ514&lt;&gt;"",OR(AND(INDEX(職員マスタ!$G$6:$G$405,$AP514)&lt;&gt;"",INDEX(職員マスタ!$G$6:$G$405,$AP514)&gt;EOMONTH($AQ514,0)),AND(INDEX(職員マスタ!$H$6:$H$405,$AP514)&lt;&gt;"",INDEX(職員マスタ!$H$6:$H$405,$AP514)&lt;$AQ514))),"対象月が時短期間外／","")&amp;IF(AND(INDEX(職員マスタ!$K$6:$K$405,$AP514)&lt;&gt;"",N($W514)&gt;0,INDEX(職員マスタ!$K$6:$K$405,$AP514)&lt;&gt;$W514),"標準報酬月額が申請書と相違（台帳"&amp;TEXT(INDEX(職員マスタ!$K$6:$K$405,$AP514),"#,##0")&amp;"円／申請書"&amp;TEXT($W514,"#,##0")&amp;"円）／","")&amp;IF(AND(INDEX(職員マスタ!$F$6:$F$405,$AP514)&lt;&gt;"",$AQ514&lt;&gt;"",INDEX(職員マスタ!$F$6:$F$405,$AP514)&lt;$AQ514),"対象月に子が2歳到達済／","")&amp;IF(AND($H514&lt;&gt;"",INDEX(職員マスタ!$B$6:$B$405,$AP514)&lt;&gt;"",SUBSTITUTE(SUBSTITUTE($H514," ","")," ","")&lt;&gt;SUBSTITUTE(SUBSTITUTE(INDEX(職員マスタ!$B$6:$B$405,$AP514)," ","")," ","")),"氏名がマスタと相違／","")&amp;IF(AND($Q514&lt;&gt;"",INDEX(職員マスタ!$E$6:$E$405,$AP514)&lt;&gt;"",$Q514&lt;&gt;INDEX(職員マスタ!$E$6:$E$405,$AP514)),"子の生年月日がマスタと相違／","")&amp;IF(AND($L514&lt;&gt;"",INDEX(職員マスタ!$G$6:$G$405,$AP514)&lt;&gt;"",$L514&lt;&gt;INDEX(職員マスタ!$G$6:$G$405,$AP514)),"時短開始日がマスタと相違／","")&amp;IF(AND($M514&lt;&gt;"",INDEX(職員マスタ!$H$6:$H$405,$AP514)&lt;&gt;"",$M514&lt;&gt;INDEX(職員マスタ!$H$6:$H$405,$AP514)),"時短終了日がマスタと相違／","")))&amp;IF(AND($B514&lt;&gt;"",$E514=""),"報酬額が未入力／","")&amp;IF(N($U514)&gt;0,"申請書に入力エラーが残っています／","")&amp;IF(AND($B514&lt;&gt;"",$AQ514&lt;&gt;""),IF(COUNTIFS($B$6:$B$3005,$B514,$C$6:$C$3005,$C514,$D$6:$D$3005,$D514)&gt;1,"同じ月の請求が重複しています／",""),"")&amp;IF(AND(N($E514)&gt;0,$AB514&lt;&gt;"",$AB514&lt;&gt;"×",$AE514=0,$AD514=""),"計算額が下限以下のため不支給／",""))</f>
        <v/>
      </c>
      <c r="AN514" s="12" t="n"/>
      <c r="AO514" s="14">
        <f>IF($AF514="保留中",COUNTIF($AF$6:$AF514,"保留中"),"")</f>
        <v/>
      </c>
      <c r="AP514" s="14">
        <f>IF($AQ514="","",IF(SUMPRODUCT(MAX((職員マスタ!$A$6:$A$405=$B514)*(((職員マスタ!$G$6:$G$405="")+(職員マスタ!$G$6:$G$405&lt;=EOMONTH($AQ514,0)))&gt;0)*(((職員マスタ!$H$6:$H$405="")+(職員マスタ!$H$6:$H$405&gt;=$AQ514))&gt;0)*(ROW(職員マスタ!$A$6:$A$405)-5)))&gt;0,SUMPRODUCT(MAX((職員マスタ!$A$6:$A$405=$B514)*(((職員マスタ!$G$6:$G$405="")+(職員マスタ!$G$6:$G$405&lt;=EOMONTH($AQ514,0)))&gt;0)*(((職員マスタ!$H$6:$H$405="")+(職員マスタ!$H$6:$H$405&gt;=$AQ514))&gt;0)*(ROW(職員マスタ!$A$6:$A$405)-5))),IFERROR(MATCH($B514,職員マスタ!$A$6:$A$405,0),"")))</f>
        <v/>
      </c>
      <c r="AQ514" s="16">
        <f>IF(OR($B514="",$C514="",$D514=""),"",DATE($C514+2018,$D514,1))</f>
        <v/>
      </c>
    </row>
    <row r="515">
      <c r="A515" s="11" t="n"/>
      <c r="B515" s="12" t="n"/>
      <c r="C515" s="12" t="n"/>
      <c r="D515" s="12" t="n"/>
      <c r="E515" s="13" t="n"/>
      <c r="F515" s="12" t="n"/>
      <c r="G515" s="13" t="n"/>
      <c r="H515" s="12" t="n"/>
      <c r="I515" s="12" t="n"/>
      <c r="J515" s="12" t="n"/>
      <c r="K515" s="12" t="n"/>
      <c r="L515" s="11" t="n"/>
      <c r="M515" s="11" t="n"/>
      <c r="N515" s="11" t="n"/>
      <c r="O515" s="11" t="n"/>
      <c r="P515" s="12" t="n"/>
      <c r="Q515" s="11" t="n"/>
      <c r="R515" s="12" t="n"/>
      <c r="S515" s="11" t="n"/>
      <c r="T515" s="12" t="n"/>
      <c r="U515" s="12" t="n"/>
      <c r="V515" s="12" t="n"/>
      <c r="W515" s="13" t="n"/>
      <c r="X515" s="14">
        <f>IF($AP515="",IF($B515="","",$H515),IF(INDEX(職員マスタ!$B$6:$B$405,$AP515)="",$H515,INDEX(職員マスタ!$B$6:$B$405,$AP515)))</f>
        <v/>
      </c>
      <c r="Y515" s="14">
        <f>IF($AP515="",IF($B515="","",$R515),IF(INDEX(職員マスタ!$C$6:$C$405,$AP515)="",$R515,INDEX(職員マスタ!$C$6:$C$405,$AP515)))</f>
        <v/>
      </c>
      <c r="Z515" s="14">
        <f>IF($AQ515="","","R"&amp;$C515&amp;"."&amp;$D515)</f>
        <v/>
      </c>
      <c r="AA515" s="15">
        <f>IF(IF($AP515="",FALSE,INDEX(職員マスタ!$K$6:$K$405,$AP515)&lt;&gt;""),INDEX(職員マスタ!$K$6:$K$405,$AP515),IF(N($W515)&gt;0,$W515,""))</f>
        <v/>
      </c>
      <c r="AB515" s="14">
        <f>IF(OR($E515="",$AA515=""),"",IF($E515&gt;=$AA515,"×",IF($E515&gt;=$AA515*設定!$C$5,"△","○")))</f>
        <v/>
      </c>
      <c r="AC515" s="15">
        <f>IF($AB515="","",IF($AB515="×",0,IF($AB515="○",ROUNDDOWN($E515*設定!$C$4,0),ROUNDDOWN($E515*ROUND((9*$AA515-9*$E515)/(10*$E515),4),0))))</f>
        <v/>
      </c>
      <c r="AD515" s="13" t="n"/>
      <c r="AE515" s="15">
        <f>IF($B515="","",IF($AD515&lt;&gt;"",$AD515,IF($AC515="","",IF($AC515&lt;=設定!$C$3,0,$AC515))))</f>
        <v/>
      </c>
      <c r="AF515" s="14">
        <f>IF($B515="","",IF(AND($AG515&lt;&gt;"",$AI515="",$AL515=""),"保留中",IF($AL515&lt;&gt;"",IF(N($AE515)&gt;0,"支給済","不支給"),IF($AE515="","要確認",IF($AE515=0,"不支給","未処理")))))</f>
        <v/>
      </c>
      <c r="AG515" s="12" t="n"/>
      <c r="AH515" s="11" t="n"/>
      <c r="AI515" s="11" t="n"/>
      <c r="AJ515" s="11" t="n"/>
      <c r="AK515" s="14">
        <f>IF(AND($AF515="保留中",$AH515&lt;&gt;""),TODAY()-$AH515,"")</f>
        <v/>
      </c>
      <c r="AL515" s="12" t="n"/>
      <c r="AM515" s="14">
        <f>IF($B515="","",IF($AQ515="","対象年月が未入力／","")&amp;IF($B515="","",IF($AP515="","職員マスタに未登録の職員番号／",IF($AA515="","標準報酬月額が未登録／","")&amp;IF(AND($AQ515&lt;&gt;"",OR(AND(INDEX(職員マスタ!$G$6:$G$405,$AP515)&lt;&gt;"",INDEX(職員マスタ!$G$6:$G$405,$AP515)&gt;EOMONTH($AQ515,0)),AND(INDEX(職員マスタ!$H$6:$H$405,$AP515)&lt;&gt;"",INDEX(職員マスタ!$H$6:$H$405,$AP515)&lt;$AQ515))),"対象月が時短期間外／","")&amp;IF(AND(INDEX(職員マスタ!$K$6:$K$405,$AP515)&lt;&gt;"",N($W515)&gt;0,INDEX(職員マスタ!$K$6:$K$405,$AP515)&lt;&gt;$W515),"標準報酬月額が申請書と相違（台帳"&amp;TEXT(INDEX(職員マスタ!$K$6:$K$405,$AP515),"#,##0")&amp;"円／申請書"&amp;TEXT($W515,"#,##0")&amp;"円）／","")&amp;IF(AND(INDEX(職員マスタ!$F$6:$F$405,$AP515)&lt;&gt;"",$AQ515&lt;&gt;"",INDEX(職員マスタ!$F$6:$F$405,$AP515)&lt;$AQ515),"対象月に子が2歳到達済／","")&amp;IF(AND($H515&lt;&gt;"",INDEX(職員マスタ!$B$6:$B$405,$AP515)&lt;&gt;"",SUBSTITUTE(SUBSTITUTE($H515," ","")," ","")&lt;&gt;SUBSTITUTE(SUBSTITUTE(INDEX(職員マスタ!$B$6:$B$405,$AP515)," ","")," ","")),"氏名がマスタと相違／","")&amp;IF(AND($Q515&lt;&gt;"",INDEX(職員マスタ!$E$6:$E$405,$AP515)&lt;&gt;"",$Q515&lt;&gt;INDEX(職員マスタ!$E$6:$E$405,$AP515)),"子の生年月日がマスタと相違／","")&amp;IF(AND($L515&lt;&gt;"",INDEX(職員マスタ!$G$6:$G$405,$AP515)&lt;&gt;"",$L515&lt;&gt;INDEX(職員マスタ!$G$6:$G$405,$AP515)),"時短開始日がマスタと相違／","")&amp;IF(AND($M515&lt;&gt;"",INDEX(職員マスタ!$H$6:$H$405,$AP515)&lt;&gt;"",$M515&lt;&gt;INDEX(職員マスタ!$H$6:$H$405,$AP515)),"時短終了日がマスタと相違／","")))&amp;IF(AND($B515&lt;&gt;"",$E515=""),"報酬額が未入力／","")&amp;IF(N($U515)&gt;0,"申請書に入力エラーが残っています／","")&amp;IF(AND($B515&lt;&gt;"",$AQ515&lt;&gt;""),IF(COUNTIFS($B$6:$B$3005,$B515,$C$6:$C$3005,$C515,$D$6:$D$3005,$D515)&gt;1,"同じ月の請求が重複しています／",""),"")&amp;IF(AND(N($E515)&gt;0,$AB515&lt;&gt;"",$AB515&lt;&gt;"×",$AE515=0,$AD515=""),"計算額が下限以下のため不支給／",""))</f>
        <v/>
      </c>
      <c r="AN515" s="12" t="n"/>
      <c r="AO515" s="14">
        <f>IF($AF515="保留中",COUNTIF($AF$6:$AF515,"保留中"),"")</f>
        <v/>
      </c>
      <c r="AP515" s="14">
        <f>IF($AQ515="","",IF(SUMPRODUCT(MAX((職員マスタ!$A$6:$A$405=$B515)*(((職員マスタ!$G$6:$G$405="")+(職員マスタ!$G$6:$G$405&lt;=EOMONTH($AQ515,0)))&gt;0)*(((職員マスタ!$H$6:$H$405="")+(職員マスタ!$H$6:$H$405&gt;=$AQ515))&gt;0)*(ROW(職員マスタ!$A$6:$A$405)-5)))&gt;0,SUMPRODUCT(MAX((職員マスタ!$A$6:$A$405=$B515)*(((職員マスタ!$G$6:$G$405="")+(職員マスタ!$G$6:$G$405&lt;=EOMONTH($AQ515,0)))&gt;0)*(((職員マスタ!$H$6:$H$405="")+(職員マスタ!$H$6:$H$405&gt;=$AQ515))&gt;0)*(ROW(職員マスタ!$A$6:$A$405)-5))),IFERROR(MATCH($B515,職員マスタ!$A$6:$A$405,0),"")))</f>
        <v/>
      </c>
      <c r="AQ515" s="16">
        <f>IF(OR($B515="",$C515="",$D515=""),"",DATE($C515+2018,$D515,1))</f>
        <v/>
      </c>
    </row>
    <row r="516">
      <c r="A516" s="11" t="n"/>
      <c r="B516" s="12" t="n"/>
      <c r="C516" s="12" t="n"/>
      <c r="D516" s="12" t="n"/>
      <c r="E516" s="13" t="n"/>
      <c r="F516" s="12" t="n"/>
      <c r="G516" s="13" t="n"/>
      <c r="H516" s="12" t="n"/>
      <c r="I516" s="12" t="n"/>
      <c r="J516" s="12" t="n"/>
      <c r="K516" s="12" t="n"/>
      <c r="L516" s="11" t="n"/>
      <c r="M516" s="11" t="n"/>
      <c r="N516" s="11" t="n"/>
      <c r="O516" s="11" t="n"/>
      <c r="P516" s="12" t="n"/>
      <c r="Q516" s="11" t="n"/>
      <c r="R516" s="12" t="n"/>
      <c r="S516" s="11" t="n"/>
      <c r="T516" s="12" t="n"/>
      <c r="U516" s="12" t="n"/>
      <c r="V516" s="12" t="n"/>
      <c r="W516" s="13" t="n"/>
      <c r="X516" s="14">
        <f>IF($AP516="",IF($B516="","",$H516),IF(INDEX(職員マスタ!$B$6:$B$405,$AP516)="",$H516,INDEX(職員マスタ!$B$6:$B$405,$AP516)))</f>
        <v/>
      </c>
      <c r="Y516" s="14">
        <f>IF($AP516="",IF($B516="","",$R516),IF(INDEX(職員マスタ!$C$6:$C$405,$AP516)="",$R516,INDEX(職員マスタ!$C$6:$C$405,$AP516)))</f>
        <v/>
      </c>
      <c r="Z516" s="14">
        <f>IF($AQ516="","","R"&amp;$C516&amp;"."&amp;$D516)</f>
        <v/>
      </c>
      <c r="AA516" s="15">
        <f>IF(IF($AP516="",FALSE,INDEX(職員マスタ!$K$6:$K$405,$AP516)&lt;&gt;""),INDEX(職員マスタ!$K$6:$K$405,$AP516),IF(N($W516)&gt;0,$W516,""))</f>
        <v/>
      </c>
      <c r="AB516" s="14">
        <f>IF(OR($E516="",$AA516=""),"",IF($E516&gt;=$AA516,"×",IF($E516&gt;=$AA516*設定!$C$5,"△","○")))</f>
        <v/>
      </c>
      <c r="AC516" s="15">
        <f>IF($AB516="","",IF($AB516="×",0,IF($AB516="○",ROUNDDOWN($E516*設定!$C$4,0),ROUNDDOWN($E516*ROUND((9*$AA516-9*$E516)/(10*$E516),4),0))))</f>
        <v/>
      </c>
      <c r="AD516" s="13" t="n"/>
      <c r="AE516" s="15">
        <f>IF($B516="","",IF($AD516&lt;&gt;"",$AD516,IF($AC516="","",IF($AC516&lt;=設定!$C$3,0,$AC516))))</f>
        <v/>
      </c>
      <c r="AF516" s="14">
        <f>IF($B516="","",IF(AND($AG516&lt;&gt;"",$AI516="",$AL516=""),"保留中",IF($AL516&lt;&gt;"",IF(N($AE516)&gt;0,"支給済","不支給"),IF($AE516="","要確認",IF($AE516=0,"不支給","未処理")))))</f>
        <v/>
      </c>
      <c r="AG516" s="12" t="n"/>
      <c r="AH516" s="11" t="n"/>
      <c r="AI516" s="11" t="n"/>
      <c r="AJ516" s="11" t="n"/>
      <c r="AK516" s="14">
        <f>IF(AND($AF516="保留中",$AH516&lt;&gt;""),TODAY()-$AH516,"")</f>
        <v/>
      </c>
      <c r="AL516" s="12" t="n"/>
      <c r="AM516" s="14">
        <f>IF($B516="","",IF($AQ516="","対象年月が未入力／","")&amp;IF($B516="","",IF($AP516="","職員マスタに未登録の職員番号／",IF($AA516="","標準報酬月額が未登録／","")&amp;IF(AND($AQ516&lt;&gt;"",OR(AND(INDEX(職員マスタ!$G$6:$G$405,$AP516)&lt;&gt;"",INDEX(職員マスタ!$G$6:$G$405,$AP516)&gt;EOMONTH($AQ516,0)),AND(INDEX(職員マスタ!$H$6:$H$405,$AP516)&lt;&gt;"",INDEX(職員マスタ!$H$6:$H$405,$AP516)&lt;$AQ516))),"対象月が時短期間外／","")&amp;IF(AND(INDEX(職員マスタ!$K$6:$K$405,$AP516)&lt;&gt;"",N($W516)&gt;0,INDEX(職員マスタ!$K$6:$K$405,$AP516)&lt;&gt;$W516),"標準報酬月額が申請書と相違（台帳"&amp;TEXT(INDEX(職員マスタ!$K$6:$K$405,$AP516),"#,##0")&amp;"円／申請書"&amp;TEXT($W516,"#,##0")&amp;"円）／","")&amp;IF(AND(INDEX(職員マスタ!$F$6:$F$405,$AP516)&lt;&gt;"",$AQ516&lt;&gt;"",INDEX(職員マスタ!$F$6:$F$405,$AP516)&lt;$AQ516),"対象月に子が2歳到達済／","")&amp;IF(AND($H516&lt;&gt;"",INDEX(職員マスタ!$B$6:$B$405,$AP516)&lt;&gt;"",SUBSTITUTE(SUBSTITUTE($H516," ","")," ","")&lt;&gt;SUBSTITUTE(SUBSTITUTE(INDEX(職員マスタ!$B$6:$B$405,$AP516)," ","")," ","")),"氏名がマスタと相違／","")&amp;IF(AND($Q516&lt;&gt;"",INDEX(職員マスタ!$E$6:$E$405,$AP516)&lt;&gt;"",$Q516&lt;&gt;INDEX(職員マスタ!$E$6:$E$405,$AP516)),"子の生年月日がマスタと相違／","")&amp;IF(AND($L516&lt;&gt;"",INDEX(職員マスタ!$G$6:$G$405,$AP516)&lt;&gt;"",$L516&lt;&gt;INDEX(職員マスタ!$G$6:$G$405,$AP516)),"時短開始日がマスタと相違／","")&amp;IF(AND($M516&lt;&gt;"",INDEX(職員マスタ!$H$6:$H$405,$AP516)&lt;&gt;"",$M516&lt;&gt;INDEX(職員マスタ!$H$6:$H$405,$AP516)),"時短終了日がマスタと相違／","")))&amp;IF(AND($B516&lt;&gt;"",$E516=""),"報酬額が未入力／","")&amp;IF(N($U516)&gt;0,"申請書に入力エラーが残っています／","")&amp;IF(AND($B516&lt;&gt;"",$AQ516&lt;&gt;""),IF(COUNTIFS($B$6:$B$3005,$B516,$C$6:$C$3005,$C516,$D$6:$D$3005,$D516)&gt;1,"同じ月の請求が重複しています／",""),"")&amp;IF(AND(N($E516)&gt;0,$AB516&lt;&gt;"",$AB516&lt;&gt;"×",$AE516=0,$AD516=""),"計算額が下限以下のため不支給／",""))</f>
        <v/>
      </c>
      <c r="AN516" s="12" t="n"/>
      <c r="AO516" s="14">
        <f>IF($AF516="保留中",COUNTIF($AF$6:$AF516,"保留中"),"")</f>
        <v/>
      </c>
      <c r="AP516" s="14">
        <f>IF($AQ516="","",IF(SUMPRODUCT(MAX((職員マスタ!$A$6:$A$405=$B516)*(((職員マスタ!$G$6:$G$405="")+(職員マスタ!$G$6:$G$405&lt;=EOMONTH($AQ516,0)))&gt;0)*(((職員マスタ!$H$6:$H$405="")+(職員マスタ!$H$6:$H$405&gt;=$AQ516))&gt;0)*(ROW(職員マスタ!$A$6:$A$405)-5)))&gt;0,SUMPRODUCT(MAX((職員マスタ!$A$6:$A$405=$B516)*(((職員マスタ!$G$6:$G$405="")+(職員マスタ!$G$6:$G$405&lt;=EOMONTH($AQ516,0)))&gt;0)*(((職員マスタ!$H$6:$H$405="")+(職員マスタ!$H$6:$H$405&gt;=$AQ516))&gt;0)*(ROW(職員マスタ!$A$6:$A$405)-5))),IFERROR(MATCH($B516,職員マスタ!$A$6:$A$405,0),"")))</f>
        <v/>
      </c>
      <c r="AQ516" s="16">
        <f>IF(OR($B516="",$C516="",$D516=""),"",DATE($C516+2018,$D516,1))</f>
        <v/>
      </c>
    </row>
    <row r="517">
      <c r="A517" s="11" t="n"/>
      <c r="B517" s="12" t="n"/>
      <c r="C517" s="12" t="n"/>
      <c r="D517" s="12" t="n"/>
      <c r="E517" s="13" t="n"/>
      <c r="F517" s="12" t="n"/>
      <c r="G517" s="13" t="n"/>
      <c r="H517" s="12" t="n"/>
      <c r="I517" s="12" t="n"/>
      <c r="J517" s="12" t="n"/>
      <c r="K517" s="12" t="n"/>
      <c r="L517" s="11" t="n"/>
      <c r="M517" s="11" t="n"/>
      <c r="N517" s="11" t="n"/>
      <c r="O517" s="11" t="n"/>
      <c r="P517" s="12" t="n"/>
      <c r="Q517" s="11" t="n"/>
      <c r="R517" s="12" t="n"/>
      <c r="S517" s="11" t="n"/>
      <c r="T517" s="12" t="n"/>
      <c r="U517" s="12" t="n"/>
      <c r="V517" s="12" t="n"/>
      <c r="W517" s="13" t="n"/>
      <c r="X517" s="14">
        <f>IF($AP517="",IF($B517="","",$H517),IF(INDEX(職員マスタ!$B$6:$B$405,$AP517)="",$H517,INDEX(職員マスタ!$B$6:$B$405,$AP517)))</f>
        <v/>
      </c>
      <c r="Y517" s="14">
        <f>IF($AP517="",IF($B517="","",$R517),IF(INDEX(職員マスタ!$C$6:$C$405,$AP517)="",$R517,INDEX(職員マスタ!$C$6:$C$405,$AP517)))</f>
        <v/>
      </c>
      <c r="Z517" s="14">
        <f>IF($AQ517="","","R"&amp;$C517&amp;"."&amp;$D517)</f>
        <v/>
      </c>
      <c r="AA517" s="15">
        <f>IF(IF($AP517="",FALSE,INDEX(職員マスタ!$K$6:$K$405,$AP517)&lt;&gt;""),INDEX(職員マスタ!$K$6:$K$405,$AP517),IF(N($W517)&gt;0,$W517,""))</f>
        <v/>
      </c>
      <c r="AB517" s="14">
        <f>IF(OR($E517="",$AA517=""),"",IF($E517&gt;=$AA517,"×",IF($E517&gt;=$AA517*設定!$C$5,"△","○")))</f>
        <v/>
      </c>
      <c r="AC517" s="15">
        <f>IF($AB517="","",IF($AB517="×",0,IF($AB517="○",ROUNDDOWN($E517*設定!$C$4,0),ROUNDDOWN($E517*ROUND((9*$AA517-9*$E517)/(10*$E517),4),0))))</f>
        <v/>
      </c>
      <c r="AD517" s="13" t="n"/>
      <c r="AE517" s="15">
        <f>IF($B517="","",IF($AD517&lt;&gt;"",$AD517,IF($AC517="","",IF($AC517&lt;=設定!$C$3,0,$AC517))))</f>
        <v/>
      </c>
      <c r="AF517" s="14">
        <f>IF($B517="","",IF(AND($AG517&lt;&gt;"",$AI517="",$AL517=""),"保留中",IF($AL517&lt;&gt;"",IF(N($AE517)&gt;0,"支給済","不支給"),IF($AE517="","要確認",IF($AE517=0,"不支給","未処理")))))</f>
        <v/>
      </c>
      <c r="AG517" s="12" t="n"/>
      <c r="AH517" s="11" t="n"/>
      <c r="AI517" s="11" t="n"/>
      <c r="AJ517" s="11" t="n"/>
      <c r="AK517" s="14">
        <f>IF(AND($AF517="保留中",$AH517&lt;&gt;""),TODAY()-$AH517,"")</f>
        <v/>
      </c>
      <c r="AL517" s="12" t="n"/>
      <c r="AM517" s="14">
        <f>IF($B517="","",IF($AQ517="","対象年月が未入力／","")&amp;IF($B517="","",IF($AP517="","職員マスタに未登録の職員番号／",IF($AA517="","標準報酬月額が未登録／","")&amp;IF(AND($AQ517&lt;&gt;"",OR(AND(INDEX(職員マスタ!$G$6:$G$405,$AP517)&lt;&gt;"",INDEX(職員マスタ!$G$6:$G$405,$AP517)&gt;EOMONTH($AQ517,0)),AND(INDEX(職員マスタ!$H$6:$H$405,$AP517)&lt;&gt;"",INDEX(職員マスタ!$H$6:$H$405,$AP517)&lt;$AQ517))),"対象月が時短期間外／","")&amp;IF(AND(INDEX(職員マスタ!$K$6:$K$405,$AP517)&lt;&gt;"",N($W517)&gt;0,INDEX(職員マスタ!$K$6:$K$405,$AP517)&lt;&gt;$W517),"標準報酬月額が申請書と相違（台帳"&amp;TEXT(INDEX(職員マスタ!$K$6:$K$405,$AP517),"#,##0")&amp;"円／申請書"&amp;TEXT($W517,"#,##0")&amp;"円）／","")&amp;IF(AND(INDEX(職員マスタ!$F$6:$F$405,$AP517)&lt;&gt;"",$AQ517&lt;&gt;"",INDEX(職員マスタ!$F$6:$F$405,$AP517)&lt;$AQ517),"対象月に子が2歳到達済／","")&amp;IF(AND($H517&lt;&gt;"",INDEX(職員マスタ!$B$6:$B$405,$AP517)&lt;&gt;"",SUBSTITUTE(SUBSTITUTE($H517," ","")," ","")&lt;&gt;SUBSTITUTE(SUBSTITUTE(INDEX(職員マスタ!$B$6:$B$405,$AP517)," ","")," ","")),"氏名がマスタと相違／","")&amp;IF(AND($Q517&lt;&gt;"",INDEX(職員マスタ!$E$6:$E$405,$AP517)&lt;&gt;"",$Q517&lt;&gt;INDEX(職員マスタ!$E$6:$E$405,$AP517)),"子の生年月日がマスタと相違／","")&amp;IF(AND($L517&lt;&gt;"",INDEX(職員マスタ!$G$6:$G$405,$AP517)&lt;&gt;"",$L517&lt;&gt;INDEX(職員マスタ!$G$6:$G$405,$AP517)),"時短開始日がマスタと相違／","")&amp;IF(AND($M517&lt;&gt;"",INDEX(職員マスタ!$H$6:$H$405,$AP517)&lt;&gt;"",$M517&lt;&gt;INDEX(職員マスタ!$H$6:$H$405,$AP517)),"時短終了日がマスタと相違／","")))&amp;IF(AND($B517&lt;&gt;"",$E517=""),"報酬額が未入力／","")&amp;IF(N($U517)&gt;0,"申請書に入力エラーが残っています／","")&amp;IF(AND($B517&lt;&gt;"",$AQ517&lt;&gt;""),IF(COUNTIFS($B$6:$B$3005,$B517,$C$6:$C$3005,$C517,$D$6:$D$3005,$D517)&gt;1,"同じ月の請求が重複しています／",""),"")&amp;IF(AND(N($E517)&gt;0,$AB517&lt;&gt;"",$AB517&lt;&gt;"×",$AE517=0,$AD517=""),"計算額が下限以下のため不支給／",""))</f>
        <v/>
      </c>
      <c r="AN517" s="12" t="n"/>
      <c r="AO517" s="14">
        <f>IF($AF517="保留中",COUNTIF($AF$6:$AF517,"保留中"),"")</f>
        <v/>
      </c>
      <c r="AP517" s="14">
        <f>IF($AQ517="","",IF(SUMPRODUCT(MAX((職員マスタ!$A$6:$A$405=$B517)*(((職員マスタ!$G$6:$G$405="")+(職員マスタ!$G$6:$G$405&lt;=EOMONTH($AQ517,0)))&gt;0)*(((職員マスタ!$H$6:$H$405="")+(職員マスタ!$H$6:$H$405&gt;=$AQ517))&gt;0)*(ROW(職員マスタ!$A$6:$A$405)-5)))&gt;0,SUMPRODUCT(MAX((職員マスタ!$A$6:$A$405=$B517)*(((職員マスタ!$G$6:$G$405="")+(職員マスタ!$G$6:$G$405&lt;=EOMONTH($AQ517,0)))&gt;0)*(((職員マスタ!$H$6:$H$405="")+(職員マスタ!$H$6:$H$405&gt;=$AQ517))&gt;0)*(ROW(職員マスタ!$A$6:$A$405)-5))),IFERROR(MATCH($B517,職員マスタ!$A$6:$A$405,0),"")))</f>
        <v/>
      </c>
      <c r="AQ517" s="16">
        <f>IF(OR($B517="",$C517="",$D517=""),"",DATE($C517+2018,$D517,1))</f>
        <v/>
      </c>
    </row>
    <row r="518">
      <c r="A518" s="11" t="n"/>
      <c r="B518" s="12" t="n"/>
      <c r="C518" s="12" t="n"/>
      <c r="D518" s="12" t="n"/>
      <c r="E518" s="13" t="n"/>
      <c r="F518" s="12" t="n"/>
      <c r="G518" s="13" t="n"/>
      <c r="H518" s="12" t="n"/>
      <c r="I518" s="12" t="n"/>
      <c r="J518" s="12" t="n"/>
      <c r="K518" s="12" t="n"/>
      <c r="L518" s="11" t="n"/>
      <c r="M518" s="11" t="n"/>
      <c r="N518" s="11" t="n"/>
      <c r="O518" s="11" t="n"/>
      <c r="P518" s="12" t="n"/>
      <c r="Q518" s="11" t="n"/>
      <c r="R518" s="12" t="n"/>
      <c r="S518" s="11" t="n"/>
      <c r="T518" s="12" t="n"/>
      <c r="U518" s="12" t="n"/>
      <c r="V518" s="12" t="n"/>
      <c r="W518" s="13" t="n"/>
      <c r="X518" s="14">
        <f>IF($AP518="",IF($B518="","",$H518),IF(INDEX(職員マスタ!$B$6:$B$405,$AP518)="",$H518,INDEX(職員マスタ!$B$6:$B$405,$AP518)))</f>
        <v/>
      </c>
      <c r="Y518" s="14">
        <f>IF($AP518="",IF($B518="","",$R518),IF(INDEX(職員マスタ!$C$6:$C$405,$AP518)="",$R518,INDEX(職員マスタ!$C$6:$C$405,$AP518)))</f>
        <v/>
      </c>
      <c r="Z518" s="14">
        <f>IF($AQ518="","","R"&amp;$C518&amp;"."&amp;$D518)</f>
        <v/>
      </c>
      <c r="AA518" s="15">
        <f>IF(IF($AP518="",FALSE,INDEX(職員マスタ!$K$6:$K$405,$AP518)&lt;&gt;""),INDEX(職員マスタ!$K$6:$K$405,$AP518),IF(N($W518)&gt;0,$W518,""))</f>
        <v/>
      </c>
      <c r="AB518" s="14">
        <f>IF(OR($E518="",$AA518=""),"",IF($E518&gt;=$AA518,"×",IF($E518&gt;=$AA518*設定!$C$5,"△","○")))</f>
        <v/>
      </c>
      <c r="AC518" s="15">
        <f>IF($AB518="","",IF($AB518="×",0,IF($AB518="○",ROUNDDOWN($E518*設定!$C$4,0),ROUNDDOWN($E518*ROUND((9*$AA518-9*$E518)/(10*$E518),4),0))))</f>
        <v/>
      </c>
      <c r="AD518" s="13" t="n"/>
      <c r="AE518" s="15">
        <f>IF($B518="","",IF($AD518&lt;&gt;"",$AD518,IF($AC518="","",IF($AC518&lt;=設定!$C$3,0,$AC518))))</f>
        <v/>
      </c>
      <c r="AF518" s="14">
        <f>IF($B518="","",IF(AND($AG518&lt;&gt;"",$AI518="",$AL518=""),"保留中",IF($AL518&lt;&gt;"",IF(N($AE518)&gt;0,"支給済","不支給"),IF($AE518="","要確認",IF($AE518=0,"不支給","未処理")))))</f>
        <v/>
      </c>
      <c r="AG518" s="12" t="n"/>
      <c r="AH518" s="11" t="n"/>
      <c r="AI518" s="11" t="n"/>
      <c r="AJ518" s="11" t="n"/>
      <c r="AK518" s="14">
        <f>IF(AND($AF518="保留中",$AH518&lt;&gt;""),TODAY()-$AH518,"")</f>
        <v/>
      </c>
      <c r="AL518" s="12" t="n"/>
      <c r="AM518" s="14">
        <f>IF($B518="","",IF($AQ518="","対象年月が未入力／","")&amp;IF($B518="","",IF($AP518="","職員マスタに未登録の職員番号／",IF($AA518="","標準報酬月額が未登録／","")&amp;IF(AND($AQ518&lt;&gt;"",OR(AND(INDEX(職員マスタ!$G$6:$G$405,$AP518)&lt;&gt;"",INDEX(職員マスタ!$G$6:$G$405,$AP518)&gt;EOMONTH($AQ518,0)),AND(INDEX(職員マスタ!$H$6:$H$405,$AP518)&lt;&gt;"",INDEX(職員マスタ!$H$6:$H$405,$AP518)&lt;$AQ518))),"対象月が時短期間外／","")&amp;IF(AND(INDEX(職員マスタ!$K$6:$K$405,$AP518)&lt;&gt;"",N($W518)&gt;0,INDEX(職員マスタ!$K$6:$K$405,$AP518)&lt;&gt;$W518),"標準報酬月額が申請書と相違（台帳"&amp;TEXT(INDEX(職員マスタ!$K$6:$K$405,$AP518),"#,##0")&amp;"円／申請書"&amp;TEXT($W518,"#,##0")&amp;"円）／","")&amp;IF(AND(INDEX(職員マスタ!$F$6:$F$405,$AP518)&lt;&gt;"",$AQ518&lt;&gt;"",INDEX(職員マスタ!$F$6:$F$405,$AP518)&lt;$AQ518),"対象月に子が2歳到達済／","")&amp;IF(AND($H518&lt;&gt;"",INDEX(職員マスタ!$B$6:$B$405,$AP518)&lt;&gt;"",SUBSTITUTE(SUBSTITUTE($H518," ","")," ","")&lt;&gt;SUBSTITUTE(SUBSTITUTE(INDEX(職員マスタ!$B$6:$B$405,$AP518)," ","")," ","")),"氏名がマスタと相違／","")&amp;IF(AND($Q518&lt;&gt;"",INDEX(職員マスタ!$E$6:$E$405,$AP518)&lt;&gt;"",$Q518&lt;&gt;INDEX(職員マスタ!$E$6:$E$405,$AP518)),"子の生年月日がマスタと相違／","")&amp;IF(AND($L518&lt;&gt;"",INDEX(職員マスタ!$G$6:$G$405,$AP518)&lt;&gt;"",$L518&lt;&gt;INDEX(職員マスタ!$G$6:$G$405,$AP518)),"時短開始日がマスタと相違／","")&amp;IF(AND($M518&lt;&gt;"",INDEX(職員マスタ!$H$6:$H$405,$AP518)&lt;&gt;"",$M518&lt;&gt;INDEX(職員マスタ!$H$6:$H$405,$AP518)),"時短終了日がマスタと相違／","")))&amp;IF(AND($B518&lt;&gt;"",$E518=""),"報酬額が未入力／","")&amp;IF(N($U518)&gt;0,"申請書に入力エラーが残っています／","")&amp;IF(AND($B518&lt;&gt;"",$AQ518&lt;&gt;""),IF(COUNTIFS($B$6:$B$3005,$B518,$C$6:$C$3005,$C518,$D$6:$D$3005,$D518)&gt;1,"同じ月の請求が重複しています／",""),"")&amp;IF(AND(N($E518)&gt;0,$AB518&lt;&gt;"",$AB518&lt;&gt;"×",$AE518=0,$AD518=""),"計算額が下限以下のため不支給／",""))</f>
        <v/>
      </c>
      <c r="AN518" s="12" t="n"/>
      <c r="AO518" s="14">
        <f>IF($AF518="保留中",COUNTIF($AF$6:$AF518,"保留中"),"")</f>
        <v/>
      </c>
      <c r="AP518" s="14">
        <f>IF($AQ518="","",IF(SUMPRODUCT(MAX((職員マスタ!$A$6:$A$405=$B518)*(((職員マスタ!$G$6:$G$405="")+(職員マスタ!$G$6:$G$405&lt;=EOMONTH($AQ518,0)))&gt;0)*(((職員マスタ!$H$6:$H$405="")+(職員マスタ!$H$6:$H$405&gt;=$AQ518))&gt;0)*(ROW(職員マスタ!$A$6:$A$405)-5)))&gt;0,SUMPRODUCT(MAX((職員マスタ!$A$6:$A$405=$B518)*(((職員マスタ!$G$6:$G$405="")+(職員マスタ!$G$6:$G$405&lt;=EOMONTH($AQ518,0)))&gt;0)*(((職員マスタ!$H$6:$H$405="")+(職員マスタ!$H$6:$H$405&gt;=$AQ518))&gt;0)*(ROW(職員マスタ!$A$6:$A$405)-5))),IFERROR(MATCH($B518,職員マスタ!$A$6:$A$405,0),"")))</f>
        <v/>
      </c>
      <c r="AQ518" s="16">
        <f>IF(OR($B518="",$C518="",$D518=""),"",DATE($C518+2018,$D518,1))</f>
        <v/>
      </c>
    </row>
    <row r="519">
      <c r="A519" s="11" t="n"/>
      <c r="B519" s="12" t="n"/>
      <c r="C519" s="12" t="n"/>
      <c r="D519" s="12" t="n"/>
      <c r="E519" s="13" t="n"/>
      <c r="F519" s="12" t="n"/>
      <c r="G519" s="13" t="n"/>
      <c r="H519" s="12" t="n"/>
      <c r="I519" s="12" t="n"/>
      <c r="J519" s="12" t="n"/>
      <c r="K519" s="12" t="n"/>
      <c r="L519" s="11" t="n"/>
      <c r="M519" s="11" t="n"/>
      <c r="N519" s="11" t="n"/>
      <c r="O519" s="11" t="n"/>
      <c r="P519" s="12" t="n"/>
      <c r="Q519" s="11" t="n"/>
      <c r="R519" s="12" t="n"/>
      <c r="S519" s="11" t="n"/>
      <c r="T519" s="12" t="n"/>
      <c r="U519" s="12" t="n"/>
      <c r="V519" s="12" t="n"/>
      <c r="W519" s="13" t="n"/>
      <c r="X519" s="14">
        <f>IF($AP519="",IF($B519="","",$H519),IF(INDEX(職員マスタ!$B$6:$B$405,$AP519)="",$H519,INDEX(職員マスタ!$B$6:$B$405,$AP519)))</f>
        <v/>
      </c>
      <c r="Y519" s="14">
        <f>IF($AP519="",IF($B519="","",$R519),IF(INDEX(職員マスタ!$C$6:$C$405,$AP519)="",$R519,INDEX(職員マスタ!$C$6:$C$405,$AP519)))</f>
        <v/>
      </c>
      <c r="Z519" s="14">
        <f>IF($AQ519="","","R"&amp;$C519&amp;"."&amp;$D519)</f>
        <v/>
      </c>
      <c r="AA519" s="15">
        <f>IF(IF($AP519="",FALSE,INDEX(職員マスタ!$K$6:$K$405,$AP519)&lt;&gt;""),INDEX(職員マスタ!$K$6:$K$405,$AP519),IF(N($W519)&gt;0,$W519,""))</f>
        <v/>
      </c>
      <c r="AB519" s="14">
        <f>IF(OR($E519="",$AA519=""),"",IF($E519&gt;=$AA519,"×",IF($E519&gt;=$AA519*設定!$C$5,"△","○")))</f>
        <v/>
      </c>
      <c r="AC519" s="15">
        <f>IF($AB519="","",IF($AB519="×",0,IF($AB519="○",ROUNDDOWN($E519*設定!$C$4,0),ROUNDDOWN($E519*ROUND((9*$AA519-9*$E519)/(10*$E519),4),0))))</f>
        <v/>
      </c>
      <c r="AD519" s="13" t="n"/>
      <c r="AE519" s="15">
        <f>IF($B519="","",IF($AD519&lt;&gt;"",$AD519,IF($AC519="","",IF($AC519&lt;=設定!$C$3,0,$AC519))))</f>
        <v/>
      </c>
      <c r="AF519" s="14">
        <f>IF($B519="","",IF(AND($AG519&lt;&gt;"",$AI519="",$AL519=""),"保留中",IF($AL519&lt;&gt;"",IF(N($AE519)&gt;0,"支給済","不支給"),IF($AE519="","要確認",IF($AE519=0,"不支給","未処理")))))</f>
        <v/>
      </c>
      <c r="AG519" s="12" t="n"/>
      <c r="AH519" s="11" t="n"/>
      <c r="AI519" s="11" t="n"/>
      <c r="AJ519" s="11" t="n"/>
      <c r="AK519" s="14">
        <f>IF(AND($AF519="保留中",$AH519&lt;&gt;""),TODAY()-$AH519,"")</f>
        <v/>
      </c>
      <c r="AL519" s="12" t="n"/>
      <c r="AM519" s="14">
        <f>IF($B519="","",IF($AQ519="","対象年月が未入力／","")&amp;IF($B519="","",IF($AP519="","職員マスタに未登録の職員番号／",IF($AA519="","標準報酬月額が未登録／","")&amp;IF(AND($AQ519&lt;&gt;"",OR(AND(INDEX(職員マスタ!$G$6:$G$405,$AP519)&lt;&gt;"",INDEX(職員マスタ!$G$6:$G$405,$AP519)&gt;EOMONTH($AQ519,0)),AND(INDEX(職員マスタ!$H$6:$H$405,$AP519)&lt;&gt;"",INDEX(職員マスタ!$H$6:$H$405,$AP519)&lt;$AQ519))),"対象月が時短期間外／","")&amp;IF(AND(INDEX(職員マスタ!$K$6:$K$405,$AP519)&lt;&gt;"",N($W519)&gt;0,INDEX(職員マスタ!$K$6:$K$405,$AP519)&lt;&gt;$W519),"標準報酬月額が申請書と相違（台帳"&amp;TEXT(INDEX(職員マスタ!$K$6:$K$405,$AP519),"#,##0")&amp;"円／申請書"&amp;TEXT($W519,"#,##0")&amp;"円）／","")&amp;IF(AND(INDEX(職員マスタ!$F$6:$F$405,$AP519)&lt;&gt;"",$AQ519&lt;&gt;"",INDEX(職員マスタ!$F$6:$F$405,$AP519)&lt;$AQ519),"対象月に子が2歳到達済／","")&amp;IF(AND($H519&lt;&gt;"",INDEX(職員マスタ!$B$6:$B$405,$AP519)&lt;&gt;"",SUBSTITUTE(SUBSTITUTE($H519," ","")," ","")&lt;&gt;SUBSTITUTE(SUBSTITUTE(INDEX(職員マスタ!$B$6:$B$405,$AP519)," ","")," ","")),"氏名がマスタと相違／","")&amp;IF(AND($Q519&lt;&gt;"",INDEX(職員マスタ!$E$6:$E$405,$AP519)&lt;&gt;"",$Q519&lt;&gt;INDEX(職員マスタ!$E$6:$E$405,$AP519)),"子の生年月日がマスタと相違／","")&amp;IF(AND($L519&lt;&gt;"",INDEX(職員マスタ!$G$6:$G$405,$AP519)&lt;&gt;"",$L519&lt;&gt;INDEX(職員マスタ!$G$6:$G$405,$AP519)),"時短開始日がマスタと相違／","")&amp;IF(AND($M519&lt;&gt;"",INDEX(職員マスタ!$H$6:$H$405,$AP519)&lt;&gt;"",$M519&lt;&gt;INDEX(職員マスタ!$H$6:$H$405,$AP519)),"時短終了日がマスタと相違／","")))&amp;IF(AND($B519&lt;&gt;"",$E519=""),"報酬額が未入力／","")&amp;IF(N($U519)&gt;0,"申請書に入力エラーが残っています／","")&amp;IF(AND($B519&lt;&gt;"",$AQ519&lt;&gt;""),IF(COUNTIFS($B$6:$B$3005,$B519,$C$6:$C$3005,$C519,$D$6:$D$3005,$D519)&gt;1,"同じ月の請求が重複しています／",""),"")&amp;IF(AND(N($E519)&gt;0,$AB519&lt;&gt;"",$AB519&lt;&gt;"×",$AE519=0,$AD519=""),"計算額が下限以下のため不支給／",""))</f>
        <v/>
      </c>
      <c r="AN519" s="12" t="n"/>
      <c r="AO519" s="14">
        <f>IF($AF519="保留中",COUNTIF($AF$6:$AF519,"保留中"),"")</f>
        <v/>
      </c>
      <c r="AP519" s="14">
        <f>IF($AQ519="","",IF(SUMPRODUCT(MAX((職員マスタ!$A$6:$A$405=$B519)*(((職員マスタ!$G$6:$G$405="")+(職員マスタ!$G$6:$G$405&lt;=EOMONTH($AQ519,0)))&gt;0)*(((職員マスタ!$H$6:$H$405="")+(職員マスタ!$H$6:$H$405&gt;=$AQ519))&gt;0)*(ROW(職員マスタ!$A$6:$A$405)-5)))&gt;0,SUMPRODUCT(MAX((職員マスタ!$A$6:$A$405=$B519)*(((職員マスタ!$G$6:$G$405="")+(職員マスタ!$G$6:$G$405&lt;=EOMONTH($AQ519,0)))&gt;0)*(((職員マスタ!$H$6:$H$405="")+(職員マスタ!$H$6:$H$405&gt;=$AQ519))&gt;0)*(ROW(職員マスタ!$A$6:$A$405)-5))),IFERROR(MATCH($B519,職員マスタ!$A$6:$A$405,0),"")))</f>
        <v/>
      </c>
      <c r="AQ519" s="16">
        <f>IF(OR($B519="",$C519="",$D519=""),"",DATE($C519+2018,$D519,1))</f>
        <v/>
      </c>
    </row>
    <row r="520">
      <c r="A520" s="11" t="n"/>
      <c r="B520" s="12" t="n"/>
      <c r="C520" s="12" t="n"/>
      <c r="D520" s="12" t="n"/>
      <c r="E520" s="13" t="n"/>
      <c r="F520" s="12" t="n"/>
      <c r="G520" s="13" t="n"/>
      <c r="H520" s="12" t="n"/>
      <c r="I520" s="12" t="n"/>
      <c r="J520" s="12" t="n"/>
      <c r="K520" s="12" t="n"/>
      <c r="L520" s="11" t="n"/>
      <c r="M520" s="11" t="n"/>
      <c r="N520" s="11" t="n"/>
      <c r="O520" s="11" t="n"/>
      <c r="P520" s="12" t="n"/>
      <c r="Q520" s="11" t="n"/>
      <c r="R520" s="12" t="n"/>
      <c r="S520" s="11" t="n"/>
      <c r="T520" s="12" t="n"/>
      <c r="U520" s="12" t="n"/>
      <c r="V520" s="12" t="n"/>
      <c r="W520" s="13" t="n"/>
      <c r="X520" s="14">
        <f>IF($AP520="",IF($B520="","",$H520),IF(INDEX(職員マスタ!$B$6:$B$405,$AP520)="",$H520,INDEX(職員マスタ!$B$6:$B$405,$AP520)))</f>
        <v/>
      </c>
      <c r="Y520" s="14">
        <f>IF($AP520="",IF($B520="","",$R520),IF(INDEX(職員マスタ!$C$6:$C$405,$AP520)="",$R520,INDEX(職員マスタ!$C$6:$C$405,$AP520)))</f>
        <v/>
      </c>
      <c r="Z520" s="14">
        <f>IF($AQ520="","","R"&amp;$C520&amp;"."&amp;$D520)</f>
        <v/>
      </c>
      <c r="AA520" s="15">
        <f>IF(IF($AP520="",FALSE,INDEX(職員マスタ!$K$6:$K$405,$AP520)&lt;&gt;""),INDEX(職員マスタ!$K$6:$K$405,$AP520),IF(N($W520)&gt;0,$W520,""))</f>
        <v/>
      </c>
      <c r="AB520" s="14">
        <f>IF(OR($E520="",$AA520=""),"",IF($E520&gt;=$AA520,"×",IF($E520&gt;=$AA520*設定!$C$5,"△","○")))</f>
        <v/>
      </c>
      <c r="AC520" s="15">
        <f>IF($AB520="","",IF($AB520="×",0,IF($AB520="○",ROUNDDOWN($E520*設定!$C$4,0),ROUNDDOWN($E520*ROUND((9*$AA520-9*$E520)/(10*$E520),4),0))))</f>
        <v/>
      </c>
      <c r="AD520" s="13" t="n"/>
      <c r="AE520" s="15">
        <f>IF($B520="","",IF($AD520&lt;&gt;"",$AD520,IF($AC520="","",IF($AC520&lt;=設定!$C$3,0,$AC520))))</f>
        <v/>
      </c>
      <c r="AF520" s="14">
        <f>IF($B520="","",IF(AND($AG520&lt;&gt;"",$AI520="",$AL520=""),"保留中",IF($AL520&lt;&gt;"",IF(N($AE520)&gt;0,"支給済","不支給"),IF($AE520="","要確認",IF($AE520=0,"不支給","未処理")))))</f>
        <v/>
      </c>
      <c r="AG520" s="12" t="n"/>
      <c r="AH520" s="11" t="n"/>
      <c r="AI520" s="11" t="n"/>
      <c r="AJ520" s="11" t="n"/>
      <c r="AK520" s="14">
        <f>IF(AND($AF520="保留中",$AH520&lt;&gt;""),TODAY()-$AH520,"")</f>
        <v/>
      </c>
      <c r="AL520" s="12" t="n"/>
      <c r="AM520" s="14">
        <f>IF($B520="","",IF($AQ520="","対象年月が未入力／","")&amp;IF($B520="","",IF($AP520="","職員マスタに未登録の職員番号／",IF($AA520="","標準報酬月額が未登録／","")&amp;IF(AND($AQ520&lt;&gt;"",OR(AND(INDEX(職員マスタ!$G$6:$G$405,$AP520)&lt;&gt;"",INDEX(職員マスタ!$G$6:$G$405,$AP520)&gt;EOMONTH($AQ520,0)),AND(INDEX(職員マスタ!$H$6:$H$405,$AP520)&lt;&gt;"",INDEX(職員マスタ!$H$6:$H$405,$AP520)&lt;$AQ520))),"対象月が時短期間外／","")&amp;IF(AND(INDEX(職員マスタ!$K$6:$K$405,$AP520)&lt;&gt;"",N($W520)&gt;0,INDEX(職員マスタ!$K$6:$K$405,$AP520)&lt;&gt;$W520),"標準報酬月額が申請書と相違（台帳"&amp;TEXT(INDEX(職員マスタ!$K$6:$K$405,$AP520),"#,##0")&amp;"円／申請書"&amp;TEXT($W520,"#,##0")&amp;"円）／","")&amp;IF(AND(INDEX(職員マスタ!$F$6:$F$405,$AP520)&lt;&gt;"",$AQ520&lt;&gt;"",INDEX(職員マスタ!$F$6:$F$405,$AP520)&lt;$AQ520),"対象月に子が2歳到達済／","")&amp;IF(AND($H520&lt;&gt;"",INDEX(職員マスタ!$B$6:$B$405,$AP520)&lt;&gt;"",SUBSTITUTE(SUBSTITUTE($H520," ","")," ","")&lt;&gt;SUBSTITUTE(SUBSTITUTE(INDEX(職員マスタ!$B$6:$B$405,$AP520)," ","")," ","")),"氏名がマスタと相違／","")&amp;IF(AND($Q520&lt;&gt;"",INDEX(職員マスタ!$E$6:$E$405,$AP520)&lt;&gt;"",$Q520&lt;&gt;INDEX(職員マスタ!$E$6:$E$405,$AP520)),"子の生年月日がマスタと相違／","")&amp;IF(AND($L520&lt;&gt;"",INDEX(職員マスタ!$G$6:$G$405,$AP520)&lt;&gt;"",$L520&lt;&gt;INDEX(職員マスタ!$G$6:$G$405,$AP520)),"時短開始日がマスタと相違／","")&amp;IF(AND($M520&lt;&gt;"",INDEX(職員マスタ!$H$6:$H$405,$AP520)&lt;&gt;"",$M520&lt;&gt;INDEX(職員マスタ!$H$6:$H$405,$AP520)),"時短終了日がマスタと相違／","")))&amp;IF(AND($B520&lt;&gt;"",$E520=""),"報酬額が未入力／","")&amp;IF(N($U520)&gt;0,"申請書に入力エラーが残っています／","")&amp;IF(AND($B520&lt;&gt;"",$AQ520&lt;&gt;""),IF(COUNTIFS($B$6:$B$3005,$B520,$C$6:$C$3005,$C520,$D$6:$D$3005,$D520)&gt;1,"同じ月の請求が重複しています／",""),"")&amp;IF(AND(N($E520)&gt;0,$AB520&lt;&gt;"",$AB520&lt;&gt;"×",$AE520=0,$AD520=""),"計算額が下限以下のため不支給／",""))</f>
        <v/>
      </c>
      <c r="AN520" s="12" t="n"/>
      <c r="AO520" s="14">
        <f>IF($AF520="保留中",COUNTIF($AF$6:$AF520,"保留中"),"")</f>
        <v/>
      </c>
      <c r="AP520" s="14">
        <f>IF($AQ520="","",IF(SUMPRODUCT(MAX((職員マスタ!$A$6:$A$405=$B520)*(((職員マスタ!$G$6:$G$405="")+(職員マスタ!$G$6:$G$405&lt;=EOMONTH($AQ520,0)))&gt;0)*(((職員マスタ!$H$6:$H$405="")+(職員マスタ!$H$6:$H$405&gt;=$AQ520))&gt;0)*(ROW(職員マスタ!$A$6:$A$405)-5)))&gt;0,SUMPRODUCT(MAX((職員マスタ!$A$6:$A$405=$B520)*(((職員マスタ!$G$6:$G$405="")+(職員マスタ!$G$6:$G$405&lt;=EOMONTH($AQ520,0)))&gt;0)*(((職員マスタ!$H$6:$H$405="")+(職員マスタ!$H$6:$H$405&gt;=$AQ520))&gt;0)*(ROW(職員マスタ!$A$6:$A$405)-5))),IFERROR(MATCH($B520,職員マスタ!$A$6:$A$405,0),"")))</f>
        <v/>
      </c>
      <c r="AQ520" s="16">
        <f>IF(OR($B520="",$C520="",$D520=""),"",DATE($C520+2018,$D520,1))</f>
        <v/>
      </c>
    </row>
    <row r="521">
      <c r="A521" s="11" t="n"/>
      <c r="B521" s="12" t="n"/>
      <c r="C521" s="12" t="n"/>
      <c r="D521" s="12" t="n"/>
      <c r="E521" s="13" t="n"/>
      <c r="F521" s="12" t="n"/>
      <c r="G521" s="13" t="n"/>
      <c r="H521" s="12" t="n"/>
      <c r="I521" s="12" t="n"/>
      <c r="J521" s="12" t="n"/>
      <c r="K521" s="12" t="n"/>
      <c r="L521" s="11" t="n"/>
      <c r="M521" s="11" t="n"/>
      <c r="N521" s="11" t="n"/>
      <c r="O521" s="11" t="n"/>
      <c r="P521" s="12" t="n"/>
      <c r="Q521" s="11" t="n"/>
      <c r="R521" s="12" t="n"/>
      <c r="S521" s="11" t="n"/>
      <c r="T521" s="12" t="n"/>
      <c r="U521" s="12" t="n"/>
      <c r="V521" s="12" t="n"/>
      <c r="W521" s="13" t="n"/>
      <c r="X521" s="14">
        <f>IF($AP521="",IF($B521="","",$H521),IF(INDEX(職員マスタ!$B$6:$B$405,$AP521)="",$H521,INDEX(職員マスタ!$B$6:$B$405,$AP521)))</f>
        <v/>
      </c>
      <c r="Y521" s="14">
        <f>IF($AP521="",IF($B521="","",$R521),IF(INDEX(職員マスタ!$C$6:$C$405,$AP521)="",$R521,INDEX(職員マスタ!$C$6:$C$405,$AP521)))</f>
        <v/>
      </c>
      <c r="Z521" s="14">
        <f>IF($AQ521="","","R"&amp;$C521&amp;"."&amp;$D521)</f>
        <v/>
      </c>
      <c r="AA521" s="15">
        <f>IF(IF($AP521="",FALSE,INDEX(職員マスタ!$K$6:$K$405,$AP521)&lt;&gt;""),INDEX(職員マスタ!$K$6:$K$405,$AP521),IF(N($W521)&gt;0,$W521,""))</f>
        <v/>
      </c>
      <c r="AB521" s="14">
        <f>IF(OR($E521="",$AA521=""),"",IF($E521&gt;=$AA521,"×",IF($E521&gt;=$AA521*設定!$C$5,"△","○")))</f>
        <v/>
      </c>
      <c r="AC521" s="15">
        <f>IF($AB521="","",IF($AB521="×",0,IF($AB521="○",ROUNDDOWN($E521*設定!$C$4,0),ROUNDDOWN($E521*ROUND((9*$AA521-9*$E521)/(10*$E521),4),0))))</f>
        <v/>
      </c>
      <c r="AD521" s="13" t="n"/>
      <c r="AE521" s="15">
        <f>IF($B521="","",IF($AD521&lt;&gt;"",$AD521,IF($AC521="","",IF($AC521&lt;=設定!$C$3,0,$AC521))))</f>
        <v/>
      </c>
      <c r="AF521" s="14">
        <f>IF($B521="","",IF(AND($AG521&lt;&gt;"",$AI521="",$AL521=""),"保留中",IF($AL521&lt;&gt;"",IF(N($AE521)&gt;0,"支給済","不支給"),IF($AE521="","要確認",IF($AE521=0,"不支給","未処理")))))</f>
        <v/>
      </c>
      <c r="AG521" s="12" t="n"/>
      <c r="AH521" s="11" t="n"/>
      <c r="AI521" s="11" t="n"/>
      <c r="AJ521" s="11" t="n"/>
      <c r="AK521" s="14">
        <f>IF(AND($AF521="保留中",$AH521&lt;&gt;""),TODAY()-$AH521,"")</f>
        <v/>
      </c>
      <c r="AL521" s="12" t="n"/>
      <c r="AM521" s="14">
        <f>IF($B521="","",IF($AQ521="","対象年月が未入力／","")&amp;IF($B521="","",IF($AP521="","職員マスタに未登録の職員番号／",IF($AA521="","標準報酬月額が未登録／","")&amp;IF(AND($AQ521&lt;&gt;"",OR(AND(INDEX(職員マスタ!$G$6:$G$405,$AP521)&lt;&gt;"",INDEX(職員マスタ!$G$6:$G$405,$AP521)&gt;EOMONTH($AQ521,0)),AND(INDEX(職員マスタ!$H$6:$H$405,$AP521)&lt;&gt;"",INDEX(職員マスタ!$H$6:$H$405,$AP521)&lt;$AQ521))),"対象月が時短期間外／","")&amp;IF(AND(INDEX(職員マスタ!$K$6:$K$405,$AP521)&lt;&gt;"",N($W521)&gt;0,INDEX(職員マスタ!$K$6:$K$405,$AP521)&lt;&gt;$W521),"標準報酬月額が申請書と相違（台帳"&amp;TEXT(INDEX(職員マスタ!$K$6:$K$405,$AP521),"#,##0")&amp;"円／申請書"&amp;TEXT($W521,"#,##0")&amp;"円）／","")&amp;IF(AND(INDEX(職員マスタ!$F$6:$F$405,$AP521)&lt;&gt;"",$AQ521&lt;&gt;"",INDEX(職員マスタ!$F$6:$F$405,$AP521)&lt;$AQ521),"対象月に子が2歳到達済／","")&amp;IF(AND($H521&lt;&gt;"",INDEX(職員マスタ!$B$6:$B$405,$AP521)&lt;&gt;"",SUBSTITUTE(SUBSTITUTE($H521," ","")," ","")&lt;&gt;SUBSTITUTE(SUBSTITUTE(INDEX(職員マスタ!$B$6:$B$405,$AP521)," ","")," ","")),"氏名がマスタと相違／","")&amp;IF(AND($Q521&lt;&gt;"",INDEX(職員マスタ!$E$6:$E$405,$AP521)&lt;&gt;"",$Q521&lt;&gt;INDEX(職員マスタ!$E$6:$E$405,$AP521)),"子の生年月日がマスタと相違／","")&amp;IF(AND($L521&lt;&gt;"",INDEX(職員マスタ!$G$6:$G$405,$AP521)&lt;&gt;"",$L521&lt;&gt;INDEX(職員マスタ!$G$6:$G$405,$AP521)),"時短開始日がマスタと相違／","")&amp;IF(AND($M521&lt;&gt;"",INDEX(職員マスタ!$H$6:$H$405,$AP521)&lt;&gt;"",$M521&lt;&gt;INDEX(職員マスタ!$H$6:$H$405,$AP521)),"時短終了日がマスタと相違／","")))&amp;IF(AND($B521&lt;&gt;"",$E521=""),"報酬額が未入力／","")&amp;IF(N($U521)&gt;0,"申請書に入力エラーが残っています／","")&amp;IF(AND($B521&lt;&gt;"",$AQ521&lt;&gt;""),IF(COUNTIFS($B$6:$B$3005,$B521,$C$6:$C$3005,$C521,$D$6:$D$3005,$D521)&gt;1,"同じ月の請求が重複しています／",""),"")&amp;IF(AND(N($E521)&gt;0,$AB521&lt;&gt;"",$AB521&lt;&gt;"×",$AE521=0,$AD521=""),"計算額が下限以下のため不支給／",""))</f>
        <v/>
      </c>
      <c r="AN521" s="12" t="n"/>
      <c r="AO521" s="14">
        <f>IF($AF521="保留中",COUNTIF($AF$6:$AF521,"保留中"),"")</f>
        <v/>
      </c>
      <c r="AP521" s="14">
        <f>IF($AQ521="","",IF(SUMPRODUCT(MAX((職員マスタ!$A$6:$A$405=$B521)*(((職員マスタ!$G$6:$G$405="")+(職員マスタ!$G$6:$G$405&lt;=EOMONTH($AQ521,0)))&gt;0)*(((職員マスタ!$H$6:$H$405="")+(職員マスタ!$H$6:$H$405&gt;=$AQ521))&gt;0)*(ROW(職員マスタ!$A$6:$A$405)-5)))&gt;0,SUMPRODUCT(MAX((職員マスタ!$A$6:$A$405=$B521)*(((職員マスタ!$G$6:$G$405="")+(職員マスタ!$G$6:$G$405&lt;=EOMONTH($AQ521,0)))&gt;0)*(((職員マスタ!$H$6:$H$405="")+(職員マスタ!$H$6:$H$405&gt;=$AQ521))&gt;0)*(ROW(職員マスタ!$A$6:$A$405)-5))),IFERROR(MATCH($B521,職員マスタ!$A$6:$A$405,0),"")))</f>
        <v/>
      </c>
      <c r="AQ521" s="16">
        <f>IF(OR($B521="",$C521="",$D521=""),"",DATE($C521+2018,$D521,1))</f>
        <v/>
      </c>
    </row>
    <row r="522">
      <c r="A522" s="11" t="n"/>
      <c r="B522" s="12" t="n"/>
      <c r="C522" s="12" t="n"/>
      <c r="D522" s="12" t="n"/>
      <c r="E522" s="13" t="n"/>
      <c r="F522" s="12" t="n"/>
      <c r="G522" s="13" t="n"/>
      <c r="H522" s="12" t="n"/>
      <c r="I522" s="12" t="n"/>
      <c r="J522" s="12" t="n"/>
      <c r="K522" s="12" t="n"/>
      <c r="L522" s="11" t="n"/>
      <c r="M522" s="11" t="n"/>
      <c r="N522" s="11" t="n"/>
      <c r="O522" s="11" t="n"/>
      <c r="P522" s="12" t="n"/>
      <c r="Q522" s="11" t="n"/>
      <c r="R522" s="12" t="n"/>
      <c r="S522" s="11" t="n"/>
      <c r="T522" s="12" t="n"/>
      <c r="U522" s="12" t="n"/>
      <c r="V522" s="12" t="n"/>
      <c r="W522" s="13" t="n"/>
      <c r="X522" s="14">
        <f>IF($AP522="",IF($B522="","",$H522),IF(INDEX(職員マスタ!$B$6:$B$405,$AP522)="",$H522,INDEX(職員マスタ!$B$6:$B$405,$AP522)))</f>
        <v/>
      </c>
      <c r="Y522" s="14">
        <f>IF($AP522="",IF($B522="","",$R522),IF(INDEX(職員マスタ!$C$6:$C$405,$AP522)="",$R522,INDEX(職員マスタ!$C$6:$C$405,$AP522)))</f>
        <v/>
      </c>
      <c r="Z522" s="14">
        <f>IF($AQ522="","","R"&amp;$C522&amp;"."&amp;$D522)</f>
        <v/>
      </c>
      <c r="AA522" s="15">
        <f>IF(IF($AP522="",FALSE,INDEX(職員マスタ!$K$6:$K$405,$AP522)&lt;&gt;""),INDEX(職員マスタ!$K$6:$K$405,$AP522),IF(N($W522)&gt;0,$W522,""))</f>
        <v/>
      </c>
      <c r="AB522" s="14">
        <f>IF(OR($E522="",$AA522=""),"",IF($E522&gt;=$AA522,"×",IF($E522&gt;=$AA522*設定!$C$5,"△","○")))</f>
        <v/>
      </c>
      <c r="AC522" s="15">
        <f>IF($AB522="","",IF($AB522="×",0,IF($AB522="○",ROUNDDOWN($E522*設定!$C$4,0),ROUNDDOWN($E522*ROUND((9*$AA522-9*$E522)/(10*$E522),4),0))))</f>
        <v/>
      </c>
      <c r="AD522" s="13" t="n"/>
      <c r="AE522" s="15">
        <f>IF($B522="","",IF($AD522&lt;&gt;"",$AD522,IF($AC522="","",IF($AC522&lt;=設定!$C$3,0,$AC522))))</f>
        <v/>
      </c>
      <c r="AF522" s="14">
        <f>IF($B522="","",IF(AND($AG522&lt;&gt;"",$AI522="",$AL522=""),"保留中",IF($AL522&lt;&gt;"",IF(N($AE522)&gt;0,"支給済","不支給"),IF($AE522="","要確認",IF($AE522=0,"不支給","未処理")))))</f>
        <v/>
      </c>
      <c r="AG522" s="12" t="n"/>
      <c r="AH522" s="11" t="n"/>
      <c r="AI522" s="11" t="n"/>
      <c r="AJ522" s="11" t="n"/>
      <c r="AK522" s="14">
        <f>IF(AND($AF522="保留中",$AH522&lt;&gt;""),TODAY()-$AH522,"")</f>
        <v/>
      </c>
      <c r="AL522" s="12" t="n"/>
      <c r="AM522" s="14">
        <f>IF($B522="","",IF($AQ522="","対象年月が未入力／","")&amp;IF($B522="","",IF($AP522="","職員マスタに未登録の職員番号／",IF($AA522="","標準報酬月額が未登録／","")&amp;IF(AND($AQ522&lt;&gt;"",OR(AND(INDEX(職員マスタ!$G$6:$G$405,$AP522)&lt;&gt;"",INDEX(職員マスタ!$G$6:$G$405,$AP522)&gt;EOMONTH($AQ522,0)),AND(INDEX(職員マスタ!$H$6:$H$405,$AP522)&lt;&gt;"",INDEX(職員マスタ!$H$6:$H$405,$AP522)&lt;$AQ522))),"対象月が時短期間外／","")&amp;IF(AND(INDEX(職員マスタ!$K$6:$K$405,$AP522)&lt;&gt;"",N($W522)&gt;0,INDEX(職員マスタ!$K$6:$K$405,$AP522)&lt;&gt;$W522),"標準報酬月額が申請書と相違（台帳"&amp;TEXT(INDEX(職員マスタ!$K$6:$K$405,$AP522),"#,##0")&amp;"円／申請書"&amp;TEXT($W522,"#,##0")&amp;"円）／","")&amp;IF(AND(INDEX(職員マスタ!$F$6:$F$405,$AP522)&lt;&gt;"",$AQ522&lt;&gt;"",INDEX(職員マスタ!$F$6:$F$405,$AP522)&lt;$AQ522),"対象月に子が2歳到達済／","")&amp;IF(AND($H522&lt;&gt;"",INDEX(職員マスタ!$B$6:$B$405,$AP522)&lt;&gt;"",SUBSTITUTE(SUBSTITUTE($H522," ","")," ","")&lt;&gt;SUBSTITUTE(SUBSTITUTE(INDEX(職員マスタ!$B$6:$B$405,$AP522)," ","")," ","")),"氏名がマスタと相違／","")&amp;IF(AND($Q522&lt;&gt;"",INDEX(職員マスタ!$E$6:$E$405,$AP522)&lt;&gt;"",$Q522&lt;&gt;INDEX(職員マスタ!$E$6:$E$405,$AP522)),"子の生年月日がマスタと相違／","")&amp;IF(AND($L522&lt;&gt;"",INDEX(職員マスタ!$G$6:$G$405,$AP522)&lt;&gt;"",$L522&lt;&gt;INDEX(職員マスタ!$G$6:$G$405,$AP522)),"時短開始日がマスタと相違／","")&amp;IF(AND($M522&lt;&gt;"",INDEX(職員マスタ!$H$6:$H$405,$AP522)&lt;&gt;"",$M522&lt;&gt;INDEX(職員マスタ!$H$6:$H$405,$AP522)),"時短終了日がマスタと相違／","")))&amp;IF(AND($B522&lt;&gt;"",$E522=""),"報酬額が未入力／","")&amp;IF(N($U522)&gt;0,"申請書に入力エラーが残っています／","")&amp;IF(AND($B522&lt;&gt;"",$AQ522&lt;&gt;""),IF(COUNTIFS($B$6:$B$3005,$B522,$C$6:$C$3005,$C522,$D$6:$D$3005,$D522)&gt;1,"同じ月の請求が重複しています／",""),"")&amp;IF(AND(N($E522)&gt;0,$AB522&lt;&gt;"",$AB522&lt;&gt;"×",$AE522=0,$AD522=""),"計算額が下限以下のため不支給／",""))</f>
        <v/>
      </c>
      <c r="AN522" s="12" t="n"/>
      <c r="AO522" s="14">
        <f>IF($AF522="保留中",COUNTIF($AF$6:$AF522,"保留中"),"")</f>
        <v/>
      </c>
      <c r="AP522" s="14">
        <f>IF($AQ522="","",IF(SUMPRODUCT(MAX((職員マスタ!$A$6:$A$405=$B522)*(((職員マスタ!$G$6:$G$405="")+(職員マスタ!$G$6:$G$405&lt;=EOMONTH($AQ522,0)))&gt;0)*(((職員マスタ!$H$6:$H$405="")+(職員マスタ!$H$6:$H$405&gt;=$AQ522))&gt;0)*(ROW(職員マスタ!$A$6:$A$405)-5)))&gt;0,SUMPRODUCT(MAX((職員マスタ!$A$6:$A$405=$B522)*(((職員マスタ!$G$6:$G$405="")+(職員マスタ!$G$6:$G$405&lt;=EOMONTH($AQ522,0)))&gt;0)*(((職員マスタ!$H$6:$H$405="")+(職員マスタ!$H$6:$H$405&gt;=$AQ522))&gt;0)*(ROW(職員マスタ!$A$6:$A$405)-5))),IFERROR(MATCH($B522,職員マスタ!$A$6:$A$405,0),"")))</f>
        <v/>
      </c>
      <c r="AQ522" s="16">
        <f>IF(OR($B522="",$C522="",$D522=""),"",DATE($C522+2018,$D522,1))</f>
        <v/>
      </c>
    </row>
    <row r="523">
      <c r="A523" s="11" t="n"/>
      <c r="B523" s="12" t="n"/>
      <c r="C523" s="12" t="n"/>
      <c r="D523" s="12" t="n"/>
      <c r="E523" s="13" t="n"/>
      <c r="F523" s="12" t="n"/>
      <c r="G523" s="13" t="n"/>
      <c r="H523" s="12" t="n"/>
      <c r="I523" s="12" t="n"/>
      <c r="J523" s="12" t="n"/>
      <c r="K523" s="12" t="n"/>
      <c r="L523" s="11" t="n"/>
      <c r="M523" s="11" t="n"/>
      <c r="N523" s="11" t="n"/>
      <c r="O523" s="11" t="n"/>
      <c r="P523" s="12" t="n"/>
      <c r="Q523" s="11" t="n"/>
      <c r="R523" s="12" t="n"/>
      <c r="S523" s="11" t="n"/>
      <c r="T523" s="12" t="n"/>
      <c r="U523" s="12" t="n"/>
      <c r="V523" s="12" t="n"/>
      <c r="W523" s="13" t="n"/>
      <c r="X523" s="14">
        <f>IF($AP523="",IF($B523="","",$H523),IF(INDEX(職員マスタ!$B$6:$B$405,$AP523)="",$H523,INDEX(職員マスタ!$B$6:$B$405,$AP523)))</f>
        <v/>
      </c>
      <c r="Y523" s="14">
        <f>IF($AP523="",IF($B523="","",$R523),IF(INDEX(職員マスタ!$C$6:$C$405,$AP523)="",$R523,INDEX(職員マスタ!$C$6:$C$405,$AP523)))</f>
        <v/>
      </c>
      <c r="Z523" s="14">
        <f>IF($AQ523="","","R"&amp;$C523&amp;"."&amp;$D523)</f>
        <v/>
      </c>
      <c r="AA523" s="15">
        <f>IF(IF($AP523="",FALSE,INDEX(職員マスタ!$K$6:$K$405,$AP523)&lt;&gt;""),INDEX(職員マスタ!$K$6:$K$405,$AP523),IF(N($W523)&gt;0,$W523,""))</f>
        <v/>
      </c>
      <c r="AB523" s="14">
        <f>IF(OR($E523="",$AA523=""),"",IF($E523&gt;=$AA523,"×",IF($E523&gt;=$AA523*設定!$C$5,"△","○")))</f>
        <v/>
      </c>
      <c r="AC523" s="15">
        <f>IF($AB523="","",IF($AB523="×",0,IF($AB523="○",ROUNDDOWN($E523*設定!$C$4,0),ROUNDDOWN($E523*ROUND((9*$AA523-9*$E523)/(10*$E523),4),0))))</f>
        <v/>
      </c>
      <c r="AD523" s="13" t="n"/>
      <c r="AE523" s="15">
        <f>IF($B523="","",IF($AD523&lt;&gt;"",$AD523,IF($AC523="","",IF($AC523&lt;=設定!$C$3,0,$AC523))))</f>
        <v/>
      </c>
      <c r="AF523" s="14">
        <f>IF($B523="","",IF(AND($AG523&lt;&gt;"",$AI523="",$AL523=""),"保留中",IF($AL523&lt;&gt;"",IF(N($AE523)&gt;0,"支給済","不支給"),IF($AE523="","要確認",IF($AE523=0,"不支給","未処理")))))</f>
        <v/>
      </c>
      <c r="AG523" s="12" t="n"/>
      <c r="AH523" s="11" t="n"/>
      <c r="AI523" s="11" t="n"/>
      <c r="AJ523" s="11" t="n"/>
      <c r="AK523" s="14">
        <f>IF(AND($AF523="保留中",$AH523&lt;&gt;""),TODAY()-$AH523,"")</f>
        <v/>
      </c>
      <c r="AL523" s="12" t="n"/>
      <c r="AM523" s="14">
        <f>IF($B523="","",IF($AQ523="","対象年月が未入力／","")&amp;IF($B523="","",IF($AP523="","職員マスタに未登録の職員番号／",IF($AA523="","標準報酬月額が未登録／","")&amp;IF(AND($AQ523&lt;&gt;"",OR(AND(INDEX(職員マスタ!$G$6:$G$405,$AP523)&lt;&gt;"",INDEX(職員マスタ!$G$6:$G$405,$AP523)&gt;EOMONTH($AQ523,0)),AND(INDEX(職員マスタ!$H$6:$H$405,$AP523)&lt;&gt;"",INDEX(職員マスタ!$H$6:$H$405,$AP523)&lt;$AQ523))),"対象月が時短期間外／","")&amp;IF(AND(INDEX(職員マスタ!$K$6:$K$405,$AP523)&lt;&gt;"",N($W523)&gt;0,INDEX(職員マスタ!$K$6:$K$405,$AP523)&lt;&gt;$W523),"標準報酬月額が申請書と相違（台帳"&amp;TEXT(INDEX(職員マスタ!$K$6:$K$405,$AP523),"#,##0")&amp;"円／申請書"&amp;TEXT($W523,"#,##0")&amp;"円）／","")&amp;IF(AND(INDEX(職員マスタ!$F$6:$F$405,$AP523)&lt;&gt;"",$AQ523&lt;&gt;"",INDEX(職員マスタ!$F$6:$F$405,$AP523)&lt;$AQ523),"対象月に子が2歳到達済／","")&amp;IF(AND($H523&lt;&gt;"",INDEX(職員マスタ!$B$6:$B$405,$AP523)&lt;&gt;"",SUBSTITUTE(SUBSTITUTE($H523," ","")," ","")&lt;&gt;SUBSTITUTE(SUBSTITUTE(INDEX(職員マスタ!$B$6:$B$405,$AP523)," ","")," ","")),"氏名がマスタと相違／","")&amp;IF(AND($Q523&lt;&gt;"",INDEX(職員マスタ!$E$6:$E$405,$AP523)&lt;&gt;"",$Q523&lt;&gt;INDEX(職員マスタ!$E$6:$E$405,$AP523)),"子の生年月日がマスタと相違／","")&amp;IF(AND($L523&lt;&gt;"",INDEX(職員マスタ!$G$6:$G$405,$AP523)&lt;&gt;"",$L523&lt;&gt;INDEX(職員マスタ!$G$6:$G$405,$AP523)),"時短開始日がマスタと相違／","")&amp;IF(AND($M523&lt;&gt;"",INDEX(職員マスタ!$H$6:$H$405,$AP523)&lt;&gt;"",$M523&lt;&gt;INDEX(職員マスタ!$H$6:$H$405,$AP523)),"時短終了日がマスタと相違／","")))&amp;IF(AND($B523&lt;&gt;"",$E523=""),"報酬額が未入力／","")&amp;IF(N($U523)&gt;0,"申請書に入力エラーが残っています／","")&amp;IF(AND($B523&lt;&gt;"",$AQ523&lt;&gt;""),IF(COUNTIFS($B$6:$B$3005,$B523,$C$6:$C$3005,$C523,$D$6:$D$3005,$D523)&gt;1,"同じ月の請求が重複しています／",""),"")&amp;IF(AND(N($E523)&gt;0,$AB523&lt;&gt;"",$AB523&lt;&gt;"×",$AE523=0,$AD523=""),"計算額が下限以下のため不支給／",""))</f>
        <v/>
      </c>
      <c r="AN523" s="12" t="n"/>
      <c r="AO523" s="14">
        <f>IF($AF523="保留中",COUNTIF($AF$6:$AF523,"保留中"),"")</f>
        <v/>
      </c>
      <c r="AP523" s="14">
        <f>IF($AQ523="","",IF(SUMPRODUCT(MAX((職員マスタ!$A$6:$A$405=$B523)*(((職員マスタ!$G$6:$G$405="")+(職員マスタ!$G$6:$G$405&lt;=EOMONTH($AQ523,0)))&gt;0)*(((職員マスタ!$H$6:$H$405="")+(職員マスタ!$H$6:$H$405&gt;=$AQ523))&gt;0)*(ROW(職員マスタ!$A$6:$A$405)-5)))&gt;0,SUMPRODUCT(MAX((職員マスタ!$A$6:$A$405=$B523)*(((職員マスタ!$G$6:$G$405="")+(職員マスタ!$G$6:$G$405&lt;=EOMONTH($AQ523,0)))&gt;0)*(((職員マスタ!$H$6:$H$405="")+(職員マスタ!$H$6:$H$405&gt;=$AQ523))&gt;0)*(ROW(職員マスタ!$A$6:$A$405)-5))),IFERROR(MATCH($B523,職員マスタ!$A$6:$A$405,0),"")))</f>
        <v/>
      </c>
      <c r="AQ523" s="16">
        <f>IF(OR($B523="",$C523="",$D523=""),"",DATE($C523+2018,$D523,1))</f>
        <v/>
      </c>
    </row>
    <row r="524">
      <c r="A524" s="11" t="n"/>
      <c r="B524" s="12" t="n"/>
      <c r="C524" s="12" t="n"/>
      <c r="D524" s="12" t="n"/>
      <c r="E524" s="13" t="n"/>
      <c r="F524" s="12" t="n"/>
      <c r="G524" s="13" t="n"/>
      <c r="H524" s="12" t="n"/>
      <c r="I524" s="12" t="n"/>
      <c r="J524" s="12" t="n"/>
      <c r="K524" s="12" t="n"/>
      <c r="L524" s="11" t="n"/>
      <c r="M524" s="11" t="n"/>
      <c r="N524" s="11" t="n"/>
      <c r="O524" s="11" t="n"/>
      <c r="P524" s="12" t="n"/>
      <c r="Q524" s="11" t="n"/>
      <c r="R524" s="12" t="n"/>
      <c r="S524" s="11" t="n"/>
      <c r="T524" s="12" t="n"/>
      <c r="U524" s="12" t="n"/>
      <c r="V524" s="12" t="n"/>
      <c r="W524" s="13" t="n"/>
      <c r="X524" s="14">
        <f>IF($AP524="",IF($B524="","",$H524),IF(INDEX(職員マスタ!$B$6:$B$405,$AP524)="",$H524,INDEX(職員マスタ!$B$6:$B$405,$AP524)))</f>
        <v/>
      </c>
      <c r="Y524" s="14">
        <f>IF($AP524="",IF($B524="","",$R524),IF(INDEX(職員マスタ!$C$6:$C$405,$AP524)="",$R524,INDEX(職員マスタ!$C$6:$C$405,$AP524)))</f>
        <v/>
      </c>
      <c r="Z524" s="14">
        <f>IF($AQ524="","","R"&amp;$C524&amp;"."&amp;$D524)</f>
        <v/>
      </c>
      <c r="AA524" s="15">
        <f>IF(IF($AP524="",FALSE,INDEX(職員マスタ!$K$6:$K$405,$AP524)&lt;&gt;""),INDEX(職員マスタ!$K$6:$K$405,$AP524),IF(N($W524)&gt;0,$W524,""))</f>
        <v/>
      </c>
      <c r="AB524" s="14">
        <f>IF(OR($E524="",$AA524=""),"",IF($E524&gt;=$AA524,"×",IF($E524&gt;=$AA524*設定!$C$5,"△","○")))</f>
        <v/>
      </c>
      <c r="AC524" s="15">
        <f>IF($AB524="","",IF($AB524="×",0,IF($AB524="○",ROUNDDOWN($E524*設定!$C$4,0),ROUNDDOWN($E524*ROUND((9*$AA524-9*$E524)/(10*$E524),4),0))))</f>
        <v/>
      </c>
      <c r="AD524" s="13" t="n"/>
      <c r="AE524" s="15">
        <f>IF($B524="","",IF($AD524&lt;&gt;"",$AD524,IF($AC524="","",IF($AC524&lt;=設定!$C$3,0,$AC524))))</f>
        <v/>
      </c>
      <c r="AF524" s="14">
        <f>IF($B524="","",IF(AND($AG524&lt;&gt;"",$AI524="",$AL524=""),"保留中",IF($AL524&lt;&gt;"",IF(N($AE524)&gt;0,"支給済","不支給"),IF($AE524="","要確認",IF($AE524=0,"不支給","未処理")))))</f>
        <v/>
      </c>
      <c r="AG524" s="12" t="n"/>
      <c r="AH524" s="11" t="n"/>
      <c r="AI524" s="11" t="n"/>
      <c r="AJ524" s="11" t="n"/>
      <c r="AK524" s="14">
        <f>IF(AND($AF524="保留中",$AH524&lt;&gt;""),TODAY()-$AH524,"")</f>
        <v/>
      </c>
      <c r="AL524" s="12" t="n"/>
      <c r="AM524" s="14">
        <f>IF($B524="","",IF($AQ524="","対象年月が未入力／","")&amp;IF($B524="","",IF($AP524="","職員マスタに未登録の職員番号／",IF($AA524="","標準報酬月額が未登録／","")&amp;IF(AND($AQ524&lt;&gt;"",OR(AND(INDEX(職員マスタ!$G$6:$G$405,$AP524)&lt;&gt;"",INDEX(職員マスタ!$G$6:$G$405,$AP524)&gt;EOMONTH($AQ524,0)),AND(INDEX(職員マスタ!$H$6:$H$405,$AP524)&lt;&gt;"",INDEX(職員マスタ!$H$6:$H$405,$AP524)&lt;$AQ524))),"対象月が時短期間外／","")&amp;IF(AND(INDEX(職員マスタ!$K$6:$K$405,$AP524)&lt;&gt;"",N($W524)&gt;0,INDEX(職員マスタ!$K$6:$K$405,$AP524)&lt;&gt;$W524),"標準報酬月額が申請書と相違（台帳"&amp;TEXT(INDEX(職員マスタ!$K$6:$K$405,$AP524),"#,##0")&amp;"円／申請書"&amp;TEXT($W524,"#,##0")&amp;"円）／","")&amp;IF(AND(INDEX(職員マスタ!$F$6:$F$405,$AP524)&lt;&gt;"",$AQ524&lt;&gt;"",INDEX(職員マスタ!$F$6:$F$405,$AP524)&lt;$AQ524),"対象月に子が2歳到達済／","")&amp;IF(AND($H524&lt;&gt;"",INDEX(職員マスタ!$B$6:$B$405,$AP524)&lt;&gt;"",SUBSTITUTE(SUBSTITUTE($H524," ","")," ","")&lt;&gt;SUBSTITUTE(SUBSTITUTE(INDEX(職員マスタ!$B$6:$B$405,$AP524)," ","")," ","")),"氏名がマスタと相違／","")&amp;IF(AND($Q524&lt;&gt;"",INDEX(職員マスタ!$E$6:$E$405,$AP524)&lt;&gt;"",$Q524&lt;&gt;INDEX(職員マスタ!$E$6:$E$405,$AP524)),"子の生年月日がマスタと相違／","")&amp;IF(AND($L524&lt;&gt;"",INDEX(職員マスタ!$G$6:$G$405,$AP524)&lt;&gt;"",$L524&lt;&gt;INDEX(職員マスタ!$G$6:$G$405,$AP524)),"時短開始日がマスタと相違／","")&amp;IF(AND($M524&lt;&gt;"",INDEX(職員マスタ!$H$6:$H$405,$AP524)&lt;&gt;"",$M524&lt;&gt;INDEX(職員マスタ!$H$6:$H$405,$AP524)),"時短終了日がマスタと相違／","")))&amp;IF(AND($B524&lt;&gt;"",$E524=""),"報酬額が未入力／","")&amp;IF(N($U524)&gt;0,"申請書に入力エラーが残っています／","")&amp;IF(AND($B524&lt;&gt;"",$AQ524&lt;&gt;""),IF(COUNTIFS($B$6:$B$3005,$B524,$C$6:$C$3005,$C524,$D$6:$D$3005,$D524)&gt;1,"同じ月の請求が重複しています／",""),"")&amp;IF(AND(N($E524)&gt;0,$AB524&lt;&gt;"",$AB524&lt;&gt;"×",$AE524=0,$AD524=""),"計算額が下限以下のため不支給／",""))</f>
        <v/>
      </c>
      <c r="AN524" s="12" t="n"/>
      <c r="AO524" s="14">
        <f>IF($AF524="保留中",COUNTIF($AF$6:$AF524,"保留中"),"")</f>
        <v/>
      </c>
      <c r="AP524" s="14">
        <f>IF($AQ524="","",IF(SUMPRODUCT(MAX((職員マスタ!$A$6:$A$405=$B524)*(((職員マスタ!$G$6:$G$405="")+(職員マスタ!$G$6:$G$405&lt;=EOMONTH($AQ524,0)))&gt;0)*(((職員マスタ!$H$6:$H$405="")+(職員マスタ!$H$6:$H$405&gt;=$AQ524))&gt;0)*(ROW(職員マスタ!$A$6:$A$405)-5)))&gt;0,SUMPRODUCT(MAX((職員マスタ!$A$6:$A$405=$B524)*(((職員マスタ!$G$6:$G$405="")+(職員マスタ!$G$6:$G$405&lt;=EOMONTH($AQ524,0)))&gt;0)*(((職員マスタ!$H$6:$H$405="")+(職員マスタ!$H$6:$H$405&gt;=$AQ524))&gt;0)*(ROW(職員マスタ!$A$6:$A$405)-5))),IFERROR(MATCH($B524,職員マスタ!$A$6:$A$405,0),"")))</f>
        <v/>
      </c>
      <c r="AQ524" s="16">
        <f>IF(OR($B524="",$C524="",$D524=""),"",DATE($C524+2018,$D524,1))</f>
        <v/>
      </c>
    </row>
    <row r="525">
      <c r="A525" s="11" t="n"/>
      <c r="B525" s="12" t="n"/>
      <c r="C525" s="12" t="n"/>
      <c r="D525" s="12" t="n"/>
      <c r="E525" s="13" t="n"/>
      <c r="F525" s="12" t="n"/>
      <c r="G525" s="13" t="n"/>
      <c r="H525" s="12" t="n"/>
      <c r="I525" s="12" t="n"/>
      <c r="J525" s="12" t="n"/>
      <c r="K525" s="12" t="n"/>
      <c r="L525" s="11" t="n"/>
      <c r="M525" s="11" t="n"/>
      <c r="N525" s="11" t="n"/>
      <c r="O525" s="11" t="n"/>
      <c r="P525" s="12" t="n"/>
      <c r="Q525" s="11" t="n"/>
      <c r="R525" s="12" t="n"/>
      <c r="S525" s="11" t="n"/>
      <c r="T525" s="12" t="n"/>
      <c r="U525" s="12" t="n"/>
      <c r="V525" s="12" t="n"/>
      <c r="W525" s="13" t="n"/>
      <c r="X525" s="14">
        <f>IF($AP525="",IF($B525="","",$H525),IF(INDEX(職員マスタ!$B$6:$B$405,$AP525)="",$H525,INDEX(職員マスタ!$B$6:$B$405,$AP525)))</f>
        <v/>
      </c>
      <c r="Y525" s="14">
        <f>IF($AP525="",IF($B525="","",$R525),IF(INDEX(職員マスタ!$C$6:$C$405,$AP525)="",$R525,INDEX(職員マスタ!$C$6:$C$405,$AP525)))</f>
        <v/>
      </c>
      <c r="Z525" s="14">
        <f>IF($AQ525="","","R"&amp;$C525&amp;"."&amp;$D525)</f>
        <v/>
      </c>
      <c r="AA525" s="15">
        <f>IF(IF($AP525="",FALSE,INDEX(職員マスタ!$K$6:$K$405,$AP525)&lt;&gt;""),INDEX(職員マスタ!$K$6:$K$405,$AP525),IF(N($W525)&gt;0,$W525,""))</f>
        <v/>
      </c>
      <c r="AB525" s="14">
        <f>IF(OR($E525="",$AA525=""),"",IF($E525&gt;=$AA525,"×",IF($E525&gt;=$AA525*設定!$C$5,"△","○")))</f>
        <v/>
      </c>
      <c r="AC525" s="15">
        <f>IF($AB525="","",IF($AB525="×",0,IF($AB525="○",ROUNDDOWN($E525*設定!$C$4,0),ROUNDDOWN($E525*ROUND((9*$AA525-9*$E525)/(10*$E525),4),0))))</f>
        <v/>
      </c>
      <c r="AD525" s="13" t="n"/>
      <c r="AE525" s="15">
        <f>IF($B525="","",IF($AD525&lt;&gt;"",$AD525,IF($AC525="","",IF($AC525&lt;=設定!$C$3,0,$AC525))))</f>
        <v/>
      </c>
      <c r="AF525" s="14">
        <f>IF($B525="","",IF(AND($AG525&lt;&gt;"",$AI525="",$AL525=""),"保留中",IF($AL525&lt;&gt;"",IF(N($AE525)&gt;0,"支給済","不支給"),IF($AE525="","要確認",IF($AE525=0,"不支給","未処理")))))</f>
        <v/>
      </c>
      <c r="AG525" s="12" t="n"/>
      <c r="AH525" s="11" t="n"/>
      <c r="AI525" s="11" t="n"/>
      <c r="AJ525" s="11" t="n"/>
      <c r="AK525" s="14">
        <f>IF(AND($AF525="保留中",$AH525&lt;&gt;""),TODAY()-$AH525,"")</f>
        <v/>
      </c>
      <c r="AL525" s="12" t="n"/>
      <c r="AM525" s="14">
        <f>IF($B525="","",IF($AQ525="","対象年月が未入力／","")&amp;IF($B525="","",IF($AP525="","職員マスタに未登録の職員番号／",IF($AA525="","標準報酬月額が未登録／","")&amp;IF(AND($AQ525&lt;&gt;"",OR(AND(INDEX(職員マスタ!$G$6:$G$405,$AP525)&lt;&gt;"",INDEX(職員マスタ!$G$6:$G$405,$AP525)&gt;EOMONTH($AQ525,0)),AND(INDEX(職員マスタ!$H$6:$H$405,$AP525)&lt;&gt;"",INDEX(職員マスタ!$H$6:$H$405,$AP525)&lt;$AQ525))),"対象月が時短期間外／","")&amp;IF(AND(INDEX(職員マスタ!$K$6:$K$405,$AP525)&lt;&gt;"",N($W525)&gt;0,INDEX(職員マスタ!$K$6:$K$405,$AP525)&lt;&gt;$W525),"標準報酬月額が申請書と相違（台帳"&amp;TEXT(INDEX(職員マスタ!$K$6:$K$405,$AP525),"#,##0")&amp;"円／申請書"&amp;TEXT($W525,"#,##0")&amp;"円）／","")&amp;IF(AND(INDEX(職員マスタ!$F$6:$F$405,$AP525)&lt;&gt;"",$AQ525&lt;&gt;"",INDEX(職員マスタ!$F$6:$F$405,$AP525)&lt;$AQ525),"対象月に子が2歳到達済／","")&amp;IF(AND($H525&lt;&gt;"",INDEX(職員マスタ!$B$6:$B$405,$AP525)&lt;&gt;"",SUBSTITUTE(SUBSTITUTE($H525," ","")," ","")&lt;&gt;SUBSTITUTE(SUBSTITUTE(INDEX(職員マスタ!$B$6:$B$405,$AP525)," ","")," ","")),"氏名がマスタと相違／","")&amp;IF(AND($Q525&lt;&gt;"",INDEX(職員マスタ!$E$6:$E$405,$AP525)&lt;&gt;"",$Q525&lt;&gt;INDEX(職員マスタ!$E$6:$E$405,$AP525)),"子の生年月日がマスタと相違／","")&amp;IF(AND($L525&lt;&gt;"",INDEX(職員マスタ!$G$6:$G$405,$AP525)&lt;&gt;"",$L525&lt;&gt;INDEX(職員マスタ!$G$6:$G$405,$AP525)),"時短開始日がマスタと相違／","")&amp;IF(AND($M525&lt;&gt;"",INDEX(職員マスタ!$H$6:$H$405,$AP525)&lt;&gt;"",$M525&lt;&gt;INDEX(職員マスタ!$H$6:$H$405,$AP525)),"時短終了日がマスタと相違／","")))&amp;IF(AND($B525&lt;&gt;"",$E525=""),"報酬額が未入力／","")&amp;IF(N($U525)&gt;0,"申請書に入力エラーが残っています／","")&amp;IF(AND($B525&lt;&gt;"",$AQ525&lt;&gt;""),IF(COUNTIFS($B$6:$B$3005,$B525,$C$6:$C$3005,$C525,$D$6:$D$3005,$D525)&gt;1,"同じ月の請求が重複しています／",""),"")&amp;IF(AND(N($E525)&gt;0,$AB525&lt;&gt;"",$AB525&lt;&gt;"×",$AE525=0,$AD525=""),"計算額が下限以下のため不支給／",""))</f>
        <v/>
      </c>
      <c r="AN525" s="12" t="n"/>
      <c r="AO525" s="14">
        <f>IF($AF525="保留中",COUNTIF($AF$6:$AF525,"保留中"),"")</f>
        <v/>
      </c>
      <c r="AP525" s="14">
        <f>IF($AQ525="","",IF(SUMPRODUCT(MAX((職員マスタ!$A$6:$A$405=$B525)*(((職員マスタ!$G$6:$G$405="")+(職員マスタ!$G$6:$G$405&lt;=EOMONTH($AQ525,0)))&gt;0)*(((職員マスタ!$H$6:$H$405="")+(職員マスタ!$H$6:$H$405&gt;=$AQ525))&gt;0)*(ROW(職員マスタ!$A$6:$A$405)-5)))&gt;0,SUMPRODUCT(MAX((職員マスタ!$A$6:$A$405=$B525)*(((職員マスタ!$G$6:$G$405="")+(職員マスタ!$G$6:$G$405&lt;=EOMONTH($AQ525,0)))&gt;0)*(((職員マスタ!$H$6:$H$405="")+(職員マスタ!$H$6:$H$405&gt;=$AQ525))&gt;0)*(ROW(職員マスタ!$A$6:$A$405)-5))),IFERROR(MATCH($B525,職員マスタ!$A$6:$A$405,0),"")))</f>
        <v/>
      </c>
      <c r="AQ525" s="16">
        <f>IF(OR($B525="",$C525="",$D525=""),"",DATE($C525+2018,$D525,1))</f>
        <v/>
      </c>
    </row>
    <row r="526">
      <c r="A526" s="11" t="n"/>
      <c r="B526" s="12" t="n"/>
      <c r="C526" s="12" t="n"/>
      <c r="D526" s="12" t="n"/>
      <c r="E526" s="13" t="n"/>
      <c r="F526" s="12" t="n"/>
      <c r="G526" s="13" t="n"/>
      <c r="H526" s="12" t="n"/>
      <c r="I526" s="12" t="n"/>
      <c r="J526" s="12" t="n"/>
      <c r="K526" s="12" t="n"/>
      <c r="L526" s="11" t="n"/>
      <c r="M526" s="11" t="n"/>
      <c r="N526" s="11" t="n"/>
      <c r="O526" s="11" t="n"/>
      <c r="P526" s="12" t="n"/>
      <c r="Q526" s="11" t="n"/>
      <c r="R526" s="12" t="n"/>
      <c r="S526" s="11" t="n"/>
      <c r="T526" s="12" t="n"/>
      <c r="U526" s="12" t="n"/>
      <c r="V526" s="12" t="n"/>
      <c r="W526" s="13" t="n"/>
      <c r="X526" s="14">
        <f>IF($AP526="",IF($B526="","",$H526),IF(INDEX(職員マスタ!$B$6:$B$405,$AP526)="",$H526,INDEX(職員マスタ!$B$6:$B$405,$AP526)))</f>
        <v/>
      </c>
      <c r="Y526" s="14">
        <f>IF($AP526="",IF($B526="","",$R526),IF(INDEX(職員マスタ!$C$6:$C$405,$AP526)="",$R526,INDEX(職員マスタ!$C$6:$C$405,$AP526)))</f>
        <v/>
      </c>
      <c r="Z526" s="14">
        <f>IF($AQ526="","","R"&amp;$C526&amp;"."&amp;$D526)</f>
        <v/>
      </c>
      <c r="AA526" s="15">
        <f>IF(IF($AP526="",FALSE,INDEX(職員マスタ!$K$6:$K$405,$AP526)&lt;&gt;""),INDEX(職員マスタ!$K$6:$K$405,$AP526),IF(N($W526)&gt;0,$W526,""))</f>
        <v/>
      </c>
      <c r="AB526" s="14">
        <f>IF(OR($E526="",$AA526=""),"",IF($E526&gt;=$AA526,"×",IF($E526&gt;=$AA526*設定!$C$5,"△","○")))</f>
        <v/>
      </c>
      <c r="AC526" s="15">
        <f>IF($AB526="","",IF($AB526="×",0,IF($AB526="○",ROUNDDOWN($E526*設定!$C$4,0),ROUNDDOWN($E526*ROUND((9*$AA526-9*$E526)/(10*$E526),4),0))))</f>
        <v/>
      </c>
      <c r="AD526" s="13" t="n"/>
      <c r="AE526" s="15">
        <f>IF($B526="","",IF($AD526&lt;&gt;"",$AD526,IF($AC526="","",IF($AC526&lt;=設定!$C$3,0,$AC526))))</f>
        <v/>
      </c>
      <c r="AF526" s="14">
        <f>IF($B526="","",IF(AND($AG526&lt;&gt;"",$AI526="",$AL526=""),"保留中",IF($AL526&lt;&gt;"",IF(N($AE526)&gt;0,"支給済","不支給"),IF($AE526="","要確認",IF($AE526=0,"不支給","未処理")))))</f>
        <v/>
      </c>
      <c r="AG526" s="12" t="n"/>
      <c r="AH526" s="11" t="n"/>
      <c r="AI526" s="11" t="n"/>
      <c r="AJ526" s="11" t="n"/>
      <c r="AK526" s="14">
        <f>IF(AND($AF526="保留中",$AH526&lt;&gt;""),TODAY()-$AH526,"")</f>
        <v/>
      </c>
      <c r="AL526" s="12" t="n"/>
      <c r="AM526" s="14">
        <f>IF($B526="","",IF($AQ526="","対象年月が未入力／","")&amp;IF($B526="","",IF($AP526="","職員マスタに未登録の職員番号／",IF($AA526="","標準報酬月額が未登録／","")&amp;IF(AND($AQ526&lt;&gt;"",OR(AND(INDEX(職員マスタ!$G$6:$G$405,$AP526)&lt;&gt;"",INDEX(職員マスタ!$G$6:$G$405,$AP526)&gt;EOMONTH($AQ526,0)),AND(INDEX(職員マスタ!$H$6:$H$405,$AP526)&lt;&gt;"",INDEX(職員マスタ!$H$6:$H$405,$AP526)&lt;$AQ526))),"対象月が時短期間外／","")&amp;IF(AND(INDEX(職員マスタ!$K$6:$K$405,$AP526)&lt;&gt;"",N($W526)&gt;0,INDEX(職員マスタ!$K$6:$K$405,$AP526)&lt;&gt;$W526),"標準報酬月額が申請書と相違（台帳"&amp;TEXT(INDEX(職員マスタ!$K$6:$K$405,$AP526),"#,##0")&amp;"円／申請書"&amp;TEXT($W526,"#,##0")&amp;"円）／","")&amp;IF(AND(INDEX(職員マスタ!$F$6:$F$405,$AP526)&lt;&gt;"",$AQ526&lt;&gt;"",INDEX(職員マスタ!$F$6:$F$405,$AP526)&lt;$AQ526),"対象月に子が2歳到達済／","")&amp;IF(AND($H526&lt;&gt;"",INDEX(職員マスタ!$B$6:$B$405,$AP526)&lt;&gt;"",SUBSTITUTE(SUBSTITUTE($H526," ","")," ","")&lt;&gt;SUBSTITUTE(SUBSTITUTE(INDEX(職員マスタ!$B$6:$B$405,$AP526)," ","")," ","")),"氏名がマスタと相違／","")&amp;IF(AND($Q526&lt;&gt;"",INDEX(職員マスタ!$E$6:$E$405,$AP526)&lt;&gt;"",$Q526&lt;&gt;INDEX(職員マスタ!$E$6:$E$405,$AP526)),"子の生年月日がマスタと相違／","")&amp;IF(AND($L526&lt;&gt;"",INDEX(職員マスタ!$G$6:$G$405,$AP526)&lt;&gt;"",$L526&lt;&gt;INDEX(職員マスタ!$G$6:$G$405,$AP526)),"時短開始日がマスタと相違／","")&amp;IF(AND($M526&lt;&gt;"",INDEX(職員マスタ!$H$6:$H$405,$AP526)&lt;&gt;"",$M526&lt;&gt;INDEX(職員マスタ!$H$6:$H$405,$AP526)),"時短終了日がマスタと相違／","")))&amp;IF(AND($B526&lt;&gt;"",$E526=""),"報酬額が未入力／","")&amp;IF(N($U526)&gt;0,"申請書に入力エラーが残っています／","")&amp;IF(AND($B526&lt;&gt;"",$AQ526&lt;&gt;""),IF(COUNTIFS($B$6:$B$3005,$B526,$C$6:$C$3005,$C526,$D$6:$D$3005,$D526)&gt;1,"同じ月の請求が重複しています／",""),"")&amp;IF(AND(N($E526)&gt;0,$AB526&lt;&gt;"",$AB526&lt;&gt;"×",$AE526=0,$AD526=""),"計算額が下限以下のため不支給／",""))</f>
        <v/>
      </c>
      <c r="AN526" s="12" t="n"/>
      <c r="AO526" s="14">
        <f>IF($AF526="保留中",COUNTIF($AF$6:$AF526,"保留中"),"")</f>
        <v/>
      </c>
      <c r="AP526" s="14">
        <f>IF($AQ526="","",IF(SUMPRODUCT(MAX((職員マスタ!$A$6:$A$405=$B526)*(((職員マスタ!$G$6:$G$405="")+(職員マスタ!$G$6:$G$405&lt;=EOMONTH($AQ526,0)))&gt;0)*(((職員マスタ!$H$6:$H$405="")+(職員マスタ!$H$6:$H$405&gt;=$AQ526))&gt;0)*(ROW(職員マスタ!$A$6:$A$405)-5)))&gt;0,SUMPRODUCT(MAX((職員マスタ!$A$6:$A$405=$B526)*(((職員マスタ!$G$6:$G$405="")+(職員マスタ!$G$6:$G$405&lt;=EOMONTH($AQ526,0)))&gt;0)*(((職員マスタ!$H$6:$H$405="")+(職員マスタ!$H$6:$H$405&gt;=$AQ526))&gt;0)*(ROW(職員マスタ!$A$6:$A$405)-5))),IFERROR(MATCH($B526,職員マスタ!$A$6:$A$405,0),"")))</f>
        <v/>
      </c>
      <c r="AQ526" s="16">
        <f>IF(OR($B526="",$C526="",$D526=""),"",DATE($C526+2018,$D526,1))</f>
        <v/>
      </c>
    </row>
    <row r="527">
      <c r="A527" s="11" t="n"/>
      <c r="B527" s="12" t="n"/>
      <c r="C527" s="12" t="n"/>
      <c r="D527" s="12" t="n"/>
      <c r="E527" s="13" t="n"/>
      <c r="F527" s="12" t="n"/>
      <c r="G527" s="13" t="n"/>
      <c r="H527" s="12" t="n"/>
      <c r="I527" s="12" t="n"/>
      <c r="J527" s="12" t="n"/>
      <c r="K527" s="12" t="n"/>
      <c r="L527" s="11" t="n"/>
      <c r="M527" s="11" t="n"/>
      <c r="N527" s="11" t="n"/>
      <c r="O527" s="11" t="n"/>
      <c r="P527" s="12" t="n"/>
      <c r="Q527" s="11" t="n"/>
      <c r="R527" s="12" t="n"/>
      <c r="S527" s="11" t="n"/>
      <c r="T527" s="12" t="n"/>
      <c r="U527" s="12" t="n"/>
      <c r="V527" s="12" t="n"/>
      <c r="W527" s="13" t="n"/>
      <c r="X527" s="14">
        <f>IF($AP527="",IF($B527="","",$H527),IF(INDEX(職員マスタ!$B$6:$B$405,$AP527)="",$H527,INDEX(職員マスタ!$B$6:$B$405,$AP527)))</f>
        <v/>
      </c>
      <c r="Y527" s="14">
        <f>IF($AP527="",IF($B527="","",$R527),IF(INDEX(職員マスタ!$C$6:$C$405,$AP527)="",$R527,INDEX(職員マスタ!$C$6:$C$405,$AP527)))</f>
        <v/>
      </c>
      <c r="Z527" s="14">
        <f>IF($AQ527="","","R"&amp;$C527&amp;"."&amp;$D527)</f>
        <v/>
      </c>
      <c r="AA527" s="15">
        <f>IF(IF($AP527="",FALSE,INDEX(職員マスタ!$K$6:$K$405,$AP527)&lt;&gt;""),INDEX(職員マスタ!$K$6:$K$405,$AP527),IF(N($W527)&gt;0,$W527,""))</f>
        <v/>
      </c>
      <c r="AB527" s="14">
        <f>IF(OR($E527="",$AA527=""),"",IF($E527&gt;=$AA527,"×",IF($E527&gt;=$AA527*設定!$C$5,"△","○")))</f>
        <v/>
      </c>
      <c r="AC527" s="15">
        <f>IF($AB527="","",IF($AB527="×",0,IF($AB527="○",ROUNDDOWN($E527*設定!$C$4,0),ROUNDDOWN($E527*ROUND((9*$AA527-9*$E527)/(10*$E527),4),0))))</f>
        <v/>
      </c>
      <c r="AD527" s="13" t="n"/>
      <c r="AE527" s="15">
        <f>IF($B527="","",IF($AD527&lt;&gt;"",$AD527,IF($AC527="","",IF($AC527&lt;=設定!$C$3,0,$AC527))))</f>
        <v/>
      </c>
      <c r="AF527" s="14">
        <f>IF($B527="","",IF(AND($AG527&lt;&gt;"",$AI527="",$AL527=""),"保留中",IF($AL527&lt;&gt;"",IF(N($AE527)&gt;0,"支給済","不支給"),IF($AE527="","要確認",IF($AE527=0,"不支給","未処理")))))</f>
        <v/>
      </c>
      <c r="AG527" s="12" t="n"/>
      <c r="AH527" s="11" t="n"/>
      <c r="AI527" s="11" t="n"/>
      <c r="AJ527" s="11" t="n"/>
      <c r="AK527" s="14">
        <f>IF(AND($AF527="保留中",$AH527&lt;&gt;""),TODAY()-$AH527,"")</f>
        <v/>
      </c>
      <c r="AL527" s="12" t="n"/>
      <c r="AM527" s="14">
        <f>IF($B527="","",IF($AQ527="","対象年月が未入力／","")&amp;IF($B527="","",IF($AP527="","職員マスタに未登録の職員番号／",IF($AA527="","標準報酬月額が未登録／","")&amp;IF(AND($AQ527&lt;&gt;"",OR(AND(INDEX(職員マスタ!$G$6:$G$405,$AP527)&lt;&gt;"",INDEX(職員マスタ!$G$6:$G$405,$AP527)&gt;EOMONTH($AQ527,0)),AND(INDEX(職員マスタ!$H$6:$H$405,$AP527)&lt;&gt;"",INDEX(職員マスタ!$H$6:$H$405,$AP527)&lt;$AQ527))),"対象月が時短期間外／","")&amp;IF(AND(INDEX(職員マスタ!$K$6:$K$405,$AP527)&lt;&gt;"",N($W527)&gt;0,INDEX(職員マスタ!$K$6:$K$405,$AP527)&lt;&gt;$W527),"標準報酬月額が申請書と相違（台帳"&amp;TEXT(INDEX(職員マスタ!$K$6:$K$405,$AP527),"#,##0")&amp;"円／申請書"&amp;TEXT($W527,"#,##0")&amp;"円）／","")&amp;IF(AND(INDEX(職員マスタ!$F$6:$F$405,$AP527)&lt;&gt;"",$AQ527&lt;&gt;"",INDEX(職員マスタ!$F$6:$F$405,$AP527)&lt;$AQ527),"対象月に子が2歳到達済／","")&amp;IF(AND($H527&lt;&gt;"",INDEX(職員マスタ!$B$6:$B$405,$AP527)&lt;&gt;"",SUBSTITUTE(SUBSTITUTE($H527," ","")," ","")&lt;&gt;SUBSTITUTE(SUBSTITUTE(INDEX(職員マスタ!$B$6:$B$405,$AP527)," ","")," ","")),"氏名がマスタと相違／","")&amp;IF(AND($Q527&lt;&gt;"",INDEX(職員マスタ!$E$6:$E$405,$AP527)&lt;&gt;"",$Q527&lt;&gt;INDEX(職員マスタ!$E$6:$E$405,$AP527)),"子の生年月日がマスタと相違／","")&amp;IF(AND($L527&lt;&gt;"",INDEX(職員マスタ!$G$6:$G$405,$AP527)&lt;&gt;"",$L527&lt;&gt;INDEX(職員マスタ!$G$6:$G$405,$AP527)),"時短開始日がマスタと相違／","")&amp;IF(AND($M527&lt;&gt;"",INDEX(職員マスタ!$H$6:$H$405,$AP527)&lt;&gt;"",$M527&lt;&gt;INDEX(職員マスタ!$H$6:$H$405,$AP527)),"時短終了日がマスタと相違／","")))&amp;IF(AND($B527&lt;&gt;"",$E527=""),"報酬額が未入力／","")&amp;IF(N($U527)&gt;0,"申請書に入力エラーが残っています／","")&amp;IF(AND($B527&lt;&gt;"",$AQ527&lt;&gt;""),IF(COUNTIFS($B$6:$B$3005,$B527,$C$6:$C$3005,$C527,$D$6:$D$3005,$D527)&gt;1,"同じ月の請求が重複しています／",""),"")&amp;IF(AND(N($E527)&gt;0,$AB527&lt;&gt;"",$AB527&lt;&gt;"×",$AE527=0,$AD527=""),"計算額が下限以下のため不支給／",""))</f>
        <v/>
      </c>
      <c r="AN527" s="12" t="n"/>
      <c r="AO527" s="14">
        <f>IF($AF527="保留中",COUNTIF($AF$6:$AF527,"保留中"),"")</f>
        <v/>
      </c>
      <c r="AP527" s="14">
        <f>IF($AQ527="","",IF(SUMPRODUCT(MAX((職員マスタ!$A$6:$A$405=$B527)*(((職員マスタ!$G$6:$G$405="")+(職員マスタ!$G$6:$G$405&lt;=EOMONTH($AQ527,0)))&gt;0)*(((職員マスタ!$H$6:$H$405="")+(職員マスタ!$H$6:$H$405&gt;=$AQ527))&gt;0)*(ROW(職員マスタ!$A$6:$A$405)-5)))&gt;0,SUMPRODUCT(MAX((職員マスタ!$A$6:$A$405=$B527)*(((職員マスタ!$G$6:$G$405="")+(職員マスタ!$G$6:$G$405&lt;=EOMONTH($AQ527,0)))&gt;0)*(((職員マスタ!$H$6:$H$405="")+(職員マスタ!$H$6:$H$405&gt;=$AQ527))&gt;0)*(ROW(職員マスタ!$A$6:$A$405)-5))),IFERROR(MATCH($B527,職員マスタ!$A$6:$A$405,0),"")))</f>
        <v/>
      </c>
      <c r="AQ527" s="16">
        <f>IF(OR($B527="",$C527="",$D527=""),"",DATE($C527+2018,$D527,1))</f>
        <v/>
      </c>
    </row>
    <row r="528">
      <c r="A528" s="11" t="n"/>
      <c r="B528" s="12" t="n"/>
      <c r="C528" s="12" t="n"/>
      <c r="D528" s="12" t="n"/>
      <c r="E528" s="13" t="n"/>
      <c r="F528" s="12" t="n"/>
      <c r="G528" s="13" t="n"/>
      <c r="H528" s="12" t="n"/>
      <c r="I528" s="12" t="n"/>
      <c r="J528" s="12" t="n"/>
      <c r="K528" s="12" t="n"/>
      <c r="L528" s="11" t="n"/>
      <c r="M528" s="11" t="n"/>
      <c r="N528" s="11" t="n"/>
      <c r="O528" s="11" t="n"/>
      <c r="P528" s="12" t="n"/>
      <c r="Q528" s="11" t="n"/>
      <c r="R528" s="12" t="n"/>
      <c r="S528" s="11" t="n"/>
      <c r="T528" s="12" t="n"/>
      <c r="U528" s="12" t="n"/>
      <c r="V528" s="12" t="n"/>
      <c r="W528" s="13" t="n"/>
      <c r="X528" s="14">
        <f>IF($AP528="",IF($B528="","",$H528),IF(INDEX(職員マスタ!$B$6:$B$405,$AP528)="",$H528,INDEX(職員マスタ!$B$6:$B$405,$AP528)))</f>
        <v/>
      </c>
      <c r="Y528" s="14">
        <f>IF($AP528="",IF($B528="","",$R528),IF(INDEX(職員マスタ!$C$6:$C$405,$AP528)="",$R528,INDEX(職員マスタ!$C$6:$C$405,$AP528)))</f>
        <v/>
      </c>
      <c r="Z528" s="14">
        <f>IF($AQ528="","","R"&amp;$C528&amp;"."&amp;$D528)</f>
        <v/>
      </c>
      <c r="AA528" s="15">
        <f>IF(IF($AP528="",FALSE,INDEX(職員マスタ!$K$6:$K$405,$AP528)&lt;&gt;""),INDEX(職員マスタ!$K$6:$K$405,$AP528),IF(N($W528)&gt;0,$W528,""))</f>
        <v/>
      </c>
      <c r="AB528" s="14">
        <f>IF(OR($E528="",$AA528=""),"",IF($E528&gt;=$AA528,"×",IF($E528&gt;=$AA528*設定!$C$5,"△","○")))</f>
        <v/>
      </c>
      <c r="AC528" s="15">
        <f>IF($AB528="","",IF($AB528="×",0,IF($AB528="○",ROUNDDOWN($E528*設定!$C$4,0),ROUNDDOWN($E528*ROUND((9*$AA528-9*$E528)/(10*$E528),4),0))))</f>
        <v/>
      </c>
      <c r="AD528" s="13" t="n"/>
      <c r="AE528" s="15">
        <f>IF($B528="","",IF($AD528&lt;&gt;"",$AD528,IF($AC528="","",IF($AC528&lt;=設定!$C$3,0,$AC528))))</f>
        <v/>
      </c>
      <c r="AF528" s="14">
        <f>IF($B528="","",IF(AND($AG528&lt;&gt;"",$AI528="",$AL528=""),"保留中",IF($AL528&lt;&gt;"",IF(N($AE528)&gt;0,"支給済","不支給"),IF($AE528="","要確認",IF($AE528=0,"不支給","未処理")))))</f>
        <v/>
      </c>
      <c r="AG528" s="12" t="n"/>
      <c r="AH528" s="11" t="n"/>
      <c r="AI528" s="11" t="n"/>
      <c r="AJ528" s="11" t="n"/>
      <c r="AK528" s="14">
        <f>IF(AND($AF528="保留中",$AH528&lt;&gt;""),TODAY()-$AH528,"")</f>
        <v/>
      </c>
      <c r="AL528" s="12" t="n"/>
      <c r="AM528" s="14">
        <f>IF($B528="","",IF($AQ528="","対象年月が未入力／","")&amp;IF($B528="","",IF($AP528="","職員マスタに未登録の職員番号／",IF($AA528="","標準報酬月額が未登録／","")&amp;IF(AND($AQ528&lt;&gt;"",OR(AND(INDEX(職員マスタ!$G$6:$G$405,$AP528)&lt;&gt;"",INDEX(職員マスタ!$G$6:$G$405,$AP528)&gt;EOMONTH($AQ528,0)),AND(INDEX(職員マスタ!$H$6:$H$405,$AP528)&lt;&gt;"",INDEX(職員マスタ!$H$6:$H$405,$AP528)&lt;$AQ528))),"対象月が時短期間外／","")&amp;IF(AND(INDEX(職員マスタ!$K$6:$K$405,$AP528)&lt;&gt;"",N($W528)&gt;0,INDEX(職員マスタ!$K$6:$K$405,$AP528)&lt;&gt;$W528),"標準報酬月額が申請書と相違（台帳"&amp;TEXT(INDEX(職員マスタ!$K$6:$K$405,$AP528),"#,##0")&amp;"円／申請書"&amp;TEXT($W528,"#,##0")&amp;"円）／","")&amp;IF(AND(INDEX(職員マスタ!$F$6:$F$405,$AP528)&lt;&gt;"",$AQ528&lt;&gt;"",INDEX(職員マスタ!$F$6:$F$405,$AP528)&lt;$AQ528),"対象月に子が2歳到達済／","")&amp;IF(AND($H528&lt;&gt;"",INDEX(職員マスタ!$B$6:$B$405,$AP528)&lt;&gt;"",SUBSTITUTE(SUBSTITUTE($H528," ","")," ","")&lt;&gt;SUBSTITUTE(SUBSTITUTE(INDEX(職員マスタ!$B$6:$B$405,$AP528)," ","")," ","")),"氏名がマスタと相違／","")&amp;IF(AND($Q528&lt;&gt;"",INDEX(職員マスタ!$E$6:$E$405,$AP528)&lt;&gt;"",$Q528&lt;&gt;INDEX(職員マスタ!$E$6:$E$405,$AP528)),"子の生年月日がマスタと相違／","")&amp;IF(AND($L528&lt;&gt;"",INDEX(職員マスタ!$G$6:$G$405,$AP528)&lt;&gt;"",$L528&lt;&gt;INDEX(職員マスタ!$G$6:$G$405,$AP528)),"時短開始日がマスタと相違／","")&amp;IF(AND($M528&lt;&gt;"",INDEX(職員マスタ!$H$6:$H$405,$AP528)&lt;&gt;"",$M528&lt;&gt;INDEX(職員マスタ!$H$6:$H$405,$AP528)),"時短終了日がマスタと相違／","")))&amp;IF(AND($B528&lt;&gt;"",$E528=""),"報酬額が未入力／","")&amp;IF(N($U528)&gt;0,"申請書に入力エラーが残っています／","")&amp;IF(AND($B528&lt;&gt;"",$AQ528&lt;&gt;""),IF(COUNTIFS($B$6:$B$3005,$B528,$C$6:$C$3005,$C528,$D$6:$D$3005,$D528)&gt;1,"同じ月の請求が重複しています／",""),"")&amp;IF(AND(N($E528)&gt;0,$AB528&lt;&gt;"",$AB528&lt;&gt;"×",$AE528=0,$AD528=""),"計算額が下限以下のため不支給／",""))</f>
        <v/>
      </c>
      <c r="AN528" s="12" t="n"/>
      <c r="AO528" s="14">
        <f>IF($AF528="保留中",COUNTIF($AF$6:$AF528,"保留中"),"")</f>
        <v/>
      </c>
      <c r="AP528" s="14">
        <f>IF($AQ528="","",IF(SUMPRODUCT(MAX((職員マスタ!$A$6:$A$405=$B528)*(((職員マスタ!$G$6:$G$405="")+(職員マスタ!$G$6:$G$405&lt;=EOMONTH($AQ528,0)))&gt;0)*(((職員マスタ!$H$6:$H$405="")+(職員マスタ!$H$6:$H$405&gt;=$AQ528))&gt;0)*(ROW(職員マスタ!$A$6:$A$405)-5)))&gt;0,SUMPRODUCT(MAX((職員マスタ!$A$6:$A$405=$B528)*(((職員マスタ!$G$6:$G$405="")+(職員マスタ!$G$6:$G$405&lt;=EOMONTH($AQ528,0)))&gt;0)*(((職員マスタ!$H$6:$H$405="")+(職員マスタ!$H$6:$H$405&gt;=$AQ528))&gt;0)*(ROW(職員マスタ!$A$6:$A$405)-5))),IFERROR(MATCH($B528,職員マスタ!$A$6:$A$405,0),"")))</f>
        <v/>
      </c>
      <c r="AQ528" s="16">
        <f>IF(OR($B528="",$C528="",$D528=""),"",DATE($C528+2018,$D528,1))</f>
        <v/>
      </c>
    </row>
    <row r="529">
      <c r="A529" s="11" t="n"/>
      <c r="B529" s="12" t="n"/>
      <c r="C529" s="12" t="n"/>
      <c r="D529" s="12" t="n"/>
      <c r="E529" s="13" t="n"/>
      <c r="F529" s="12" t="n"/>
      <c r="G529" s="13" t="n"/>
      <c r="H529" s="12" t="n"/>
      <c r="I529" s="12" t="n"/>
      <c r="J529" s="12" t="n"/>
      <c r="K529" s="12" t="n"/>
      <c r="L529" s="11" t="n"/>
      <c r="M529" s="11" t="n"/>
      <c r="N529" s="11" t="n"/>
      <c r="O529" s="11" t="n"/>
      <c r="P529" s="12" t="n"/>
      <c r="Q529" s="11" t="n"/>
      <c r="R529" s="12" t="n"/>
      <c r="S529" s="11" t="n"/>
      <c r="T529" s="12" t="n"/>
      <c r="U529" s="12" t="n"/>
      <c r="V529" s="12" t="n"/>
      <c r="W529" s="13" t="n"/>
      <c r="X529" s="14">
        <f>IF($AP529="",IF($B529="","",$H529),IF(INDEX(職員マスタ!$B$6:$B$405,$AP529)="",$H529,INDEX(職員マスタ!$B$6:$B$405,$AP529)))</f>
        <v/>
      </c>
      <c r="Y529" s="14">
        <f>IF($AP529="",IF($B529="","",$R529),IF(INDEX(職員マスタ!$C$6:$C$405,$AP529)="",$R529,INDEX(職員マスタ!$C$6:$C$405,$AP529)))</f>
        <v/>
      </c>
      <c r="Z529" s="14">
        <f>IF($AQ529="","","R"&amp;$C529&amp;"."&amp;$D529)</f>
        <v/>
      </c>
      <c r="AA529" s="15">
        <f>IF(IF($AP529="",FALSE,INDEX(職員マスタ!$K$6:$K$405,$AP529)&lt;&gt;""),INDEX(職員マスタ!$K$6:$K$405,$AP529),IF(N($W529)&gt;0,$W529,""))</f>
        <v/>
      </c>
      <c r="AB529" s="14">
        <f>IF(OR($E529="",$AA529=""),"",IF($E529&gt;=$AA529,"×",IF($E529&gt;=$AA529*設定!$C$5,"△","○")))</f>
        <v/>
      </c>
      <c r="AC529" s="15">
        <f>IF($AB529="","",IF($AB529="×",0,IF($AB529="○",ROUNDDOWN($E529*設定!$C$4,0),ROUNDDOWN($E529*ROUND((9*$AA529-9*$E529)/(10*$E529),4),0))))</f>
        <v/>
      </c>
      <c r="AD529" s="13" t="n"/>
      <c r="AE529" s="15">
        <f>IF($B529="","",IF($AD529&lt;&gt;"",$AD529,IF($AC529="","",IF($AC529&lt;=設定!$C$3,0,$AC529))))</f>
        <v/>
      </c>
      <c r="AF529" s="14">
        <f>IF($B529="","",IF(AND($AG529&lt;&gt;"",$AI529="",$AL529=""),"保留中",IF($AL529&lt;&gt;"",IF(N($AE529)&gt;0,"支給済","不支給"),IF($AE529="","要確認",IF($AE529=0,"不支給","未処理")))))</f>
        <v/>
      </c>
      <c r="AG529" s="12" t="n"/>
      <c r="AH529" s="11" t="n"/>
      <c r="AI529" s="11" t="n"/>
      <c r="AJ529" s="11" t="n"/>
      <c r="AK529" s="14">
        <f>IF(AND($AF529="保留中",$AH529&lt;&gt;""),TODAY()-$AH529,"")</f>
        <v/>
      </c>
      <c r="AL529" s="12" t="n"/>
      <c r="AM529" s="14">
        <f>IF($B529="","",IF($AQ529="","対象年月が未入力／","")&amp;IF($B529="","",IF($AP529="","職員マスタに未登録の職員番号／",IF($AA529="","標準報酬月額が未登録／","")&amp;IF(AND($AQ529&lt;&gt;"",OR(AND(INDEX(職員マスタ!$G$6:$G$405,$AP529)&lt;&gt;"",INDEX(職員マスタ!$G$6:$G$405,$AP529)&gt;EOMONTH($AQ529,0)),AND(INDEX(職員マスタ!$H$6:$H$405,$AP529)&lt;&gt;"",INDEX(職員マスタ!$H$6:$H$405,$AP529)&lt;$AQ529))),"対象月が時短期間外／","")&amp;IF(AND(INDEX(職員マスタ!$K$6:$K$405,$AP529)&lt;&gt;"",N($W529)&gt;0,INDEX(職員マスタ!$K$6:$K$405,$AP529)&lt;&gt;$W529),"標準報酬月額が申請書と相違（台帳"&amp;TEXT(INDEX(職員マスタ!$K$6:$K$405,$AP529),"#,##0")&amp;"円／申請書"&amp;TEXT($W529,"#,##0")&amp;"円）／","")&amp;IF(AND(INDEX(職員マスタ!$F$6:$F$405,$AP529)&lt;&gt;"",$AQ529&lt;&gt;"",INDEX(職員マスタ!$F$6:$F$405,$AP529)&lt;$AQ529),"対象月に子が2歳到達済／","")&amp;IF(AND($H529&lt;&gt;"",INDEX(職員マスタ!$B$6:$B$405,$AP529)&lt;&gt;"",SUBSTITUTE(SUBSTITUTE($H529," ","")," ","")&lt;&gt;SUBSTITUTE(SUBSTITUTE(INDEX(職員マスタ!$B$6:$B$405,$AP529)," ","")," ","")),"氏名がマスタと相違／","")&amp;IF(AND($Q529&lt;&gt;"",INDEX(職員マスタ!$E$6:$E$405,$AP529)&lt;&gt;"",$Q529&lt;&gt;INDEX(職員マスタ!$E$6:$E$405,$AP529)),"子の生年月日がマスタと相違／","")&amp;IF(AND($L529&lt;&gt;"",INDEX(職員マスタ!$G$6:$G$405,$AP529)&lt;&gt;"",$L529&lt;&gt;INDEX(職員マスタ!$G$6:$G$405,$AP529)),"時短開始日がマスタと相違／","")&amp;IF(AND($M529&lt;&gt;"",INDEX(職員マスタ!$H$6:$H$405,$AP529)&lt;&gt;"",$M529&lt;&gt;INDEX(職員マスタ!$H$6:$H$405,$AP529)),"時短終了日がマスタと相違／","")))&amp;IF(AND($B529&lt;&gt;"",$E529=""),"報酬額が未入力／","")&amp;IF(N($U529)&gt;0,"申請書に入力エラーが残っています／","")&amp;IF(AND($B529&lt;&gt;"",$AQ529&lt;&gt;""),IF(COUNTIFS($B$6:$B$3005,$B529,$C$6:$C$3005,$C529,$D$6:$D$3005,$D529)&gt;1,"同じ月の請求が重複しています／",""),"")&amp;IF(AND(N($E529)&gt;0,$AB529&lt;&gt;"",$AB529&lt;&gt;"×",$AE529=0,$AD529=""),"計算額が下限以下のため不支給／",""))</f>
        <v/>
      </c>
      <c r="AN529" s="12" t="n"/>
      <c r="AO529" s="14">
        <f>IF($AF529="保留中",COUNTIF($AF$6:$AF529,"保留中"),"")</f>
        <v/>
      </c>
      <c r="AP529" s="14">
        <f>IF($AQ529="","",IF(SUMPRODUCT(MAX((職員マスタ!$A$6:$A$405=$B529)*(((職員マスタ!$G$6:$G$405="")+(職員マスタ!$G$6:$G$405&lt;=EOMONTH($AQ529,0)))&gt;0)*(((職員マスタ!$H$6:$H$405="")+(職員マスタ!$H$6:$H$405&gt;=$AQ529))&gt;0)*(ROW(職員マスタ!$A$6:$A$405)-5)))&gt;0,SUMPRODUCT(MAX((職員マスタ!$A$6:$A$405=$B529)*(((職員マスタ!$G$6:$G$405="")+(職員マスタ!$G$6:$G$405&lt;=EOMONTH($AQ529,0)))&gt;0)*(((職員マスタ!$H$6:$H$405="")+(職員マスタ!$H$6:$H$405&gt;=$AQ529))&gt;0)*(ROW(職員マスタ!$A$6:$A$405)-5))),IFERROR(MATCH($B529,職員マスタ!$A$6:$A$405,0),"")))</f>
        <v/>
      </c>
      <c r="AQ529" s="16">
        <f>IF(OR($B529="",$C529="",$D529=""),"",DATE($C529+2018,$D529,1))</f>
        <v/>
      </c>
    </row>
    <row r="530">
      <c r="A530" s="11" t="n"/>
      <c r="B530" s="12" t="n"/>
      <c r="C530" s="12" t="n"/>
      <c r="D530" s="12" t="n"/>
      <c r="E530" s="13" t="n"/>
      <c r="F530" s="12" t="n"/>
      <c r="G530" s="13" t="n"/>
      <c r="H530" s="12" t="n"/>
      <c r="I530" s="12" t="n"/>
      <c r="J530" s="12" t="n"/>
      <c r="K530" s="12" t="n"/>
      <c r="L530" s="11" t="n"/>
      <c r="M530" s="11" t="n"/>
      <c r="N530" s="11" t="n"/>
      <c r="O530" s="11" t="n"/>
      <c r="P530" s="12" t="n"/>
      <c r="Q530" s="11" t="n"/>
      <c r="R530" s="12" t="n"/>
      <c r="S530" s="11" t="n"/>
      <c r="T530" s="12" t="n"/>
      <c r="U530" s="12" t="n"/>
      <c r="V530" s="12" t="n"/>
      <c r="W530" s="13" t="n"/>
      <c r="X530" s="14">
        <f>IF($AP530="",IF($B530="","",$H530),IF(INDEX(職員マスタ!$B$6:$B$405,$AP530)="",$H530,INDEX(職員マスタ!$B$6:$B$405,$AP530)))</f>
        <v/>
      </c>
      <c r="Y530" s="14">
        <f>IF($AP530="",IF($B530="","",$R530),IF(INDEX(職員マスタ!$C$6:$C$405,$AP530)="",$R530,INDEX(職員マスタ!$C$6:$C$405,$AP530)))</f>
        <v/>
      </c>
      <c r="Z530" s="14">
        <f>IF($AQ530="","","R"&amp;$C530&amp;"."&amp;$D530)</f>
        <v/>
      </c>
      <c r="AA530" s="15">
        <f>IF(IF($AP530="",FALSE,INDEX(職員マスタ!$K$6:$K$405,$AP530)&lt;&gt;""),INDEX(職員マスタ!$K$6:$K$405,$AP530),IF(N($W530)&gt;0,$W530,""))</f>
        <v/>
      </c>
      <c r="AB530" s="14">
        <f>IF(OR($E530="",$AA530=""),"",IF($E530&gt;=$AA530,"×",IF($E530&gt;=$AA530*設定!$C$5,"△","○")))</f>
        <v/>
      </c>
      <c r="AC530" s="15">
        <f>IF($AB530="","",IF($AB530="×",0,IF($AB530="○",ROUNDDOWN($E530*設定!$C$4,0),ROUNDDOWN($E530*ROUND((9*$AA530-9*$E530)/(10*$E530),4),0))))</f>
        <v/>
      </c>
      <c r="AD530" s="13" t="n"/>
      <c r="AE530" s="15">
        <f>IF($B530="","",IF($AD530&lt;&gt;"",$AD530,IF($AC530="","",IF($AC530&lt;=設定!$C$3,0,$AC530))))</f>
        <v/>
      </c>
      <c r="AF530" s="14">
        <f>IF($B530="","",IF(AND($AG530&lt;&gt;"",$AI530="",$AL530=""),"保留中",IF($AL530&lt;&gt;"",IF(N($AE530)&gt;0,"支給済","不支給"),IF($AE530="","要確認",IF($AE530=0,"不支給","未処理")))))</f>
        <v/>
      </c>
      <c r="AG530" s="12" t="n"/>
      <c r="AH530" s="11" t="n"/>
      <c r="AI530" s="11" t="n"/>
      <c r="AJ530" s="11" t="n"/>
      <c r="AK530" s="14">
        <f>IF(AND($AF530="保留中",$AH530&lt;&gt;""),TODAY()-$AH530,"")</f>
        <v/>
      </c>
      <c r="AL530" s="12" t="n"/>
      <c r="AM530" s="14">
        <f>IF($B530="","",IF($AQ530="","対象年月が未入力／","")&amp;IF($B530="","",IF($AP530="","職員マスタに未登録の職員番号／",IF($AA530="","標準報酬月額が未登録／","")&amp;IF(AND($AQ530&lt;&gt;"",OR(AND(INDEX(職員マスタ!$G$6:$G$405,$AP530)&lt;&gt;"",INDEX(職員マスタ!$G$6:$G$405,$AP530)&gt;EOMONTH($AQ530,0)),AND(INDEX(職員マスタ!$H$6:$H$405,$AP530)&lt;&gt;"",INDEX(職員マスタ!$H$6:$H$405,$AP530)&lt;$AQ530))),"対象月が時短期間外／","")&amp;IF(AND(INDEX(職員マスタ!$K$6:$K$405,$AP530)&lt;&gt;"",N($W530)&gt;0,INDEX(職員マスタ!$K$6:$K$405,$AP530)&lt;&gt;$W530),"標準報酬月額が申請書と相違（台帳"&amp;TEXT(INDEX(職員マスタ!$K$6:$K$405,$AP530),"#,##0")&amp;"円／申請書"&amp;TEXT($W530,"#,##0")&amp;"円）／","")&amp;IF(AND(INDEX(職員マスタ!$F$6:$F$405,$AP530)&lt;&gt;"",$AQ530&lt;&gt;"",INDEX(職員マスタ!$F$6:$F$405,$AP530)&lt;$AQ530),"対象月に子が2歳到達済／","")&amp;IF(AND($H530&lt;&gt;"",INDEX(職員マスタ!$B$6:$B$405,$AP530)&lt;&gt;"",SUBSTITUTE(SUBSTITUTE($H530," ","")," ","")&lt;&gt;SUBSTITUTE(SUBSTITUTE(INDEX(職員マスタ!$B$6:$B$405,$AP530)," ","")," ","")),"氏名がマスタと相違／","")&amp;IF(AND($Q530&lt;&gt;"",INDEX(職員マスタ!$E$6:$E$405,$AP530)&lt;&gt;"",$Q530&lt;&gt;INDEX(職員マスタ!$E$6:$E$405,$AP530)),"子の生年月日がマスタと相違／","")&amp;IF(AND($L530&lt;&gt;"",INDEX(職員マスタ!$G$6:$G$405,$AP530)&lt;&gt;"",$L530&lt;&gt;INDEX(職員マスタ!$G$6:$G$405,$AP530)),"時短開始日がマスタと相違／","")&amp;IF(AND($M530&lt;&gt;"",INDEX(職員マスタ!$H$6:$H$405,$AP530)&lt;&gt;"",$M530&lt;&gt;INDEX(職員マスタ!$H$6:$H$405,$AP530)),"時短終了日がマスタと相違／","")))&amp;IF(AND($B530&lt;&gt;"",$E530=""),"報酬額が未入力／","")&amp;IF(N($U530)&gt;0,"申請書に入力エラーが残っています／","")&amp;IF(AND($B530&lt;&gt;"",$AQ530&lt;&gt;""),IF(COUNTIFS($B$6:$B$3005,$B530,$C$6:$C$3005,$C530,$D$6:$D$3005,$D530)&gt;1,"同じ月の請求が重複しています／",""),"")&amp;IF(AND(N($E530)&gt;0,$AB530&lt;&gt;"",$AB530&lt;&gt;"×",$AE530=0,$AD530=""),"計算額が下限以下のため不支給／",""))</f>
        <v/>
      </c>
      <c r="AN530" s="12" t="n"/>
      <c r="AO530" s="14">
        <f>IF($AF530="保留中",COUNTIF($AF$6:$AF530,"保留中"),"")</f>
        <v/>
      </c>
      <c r="AP530" s="14">
        <f>IF($AQ530="","",IF(SUMPRODUCT(MAX((職員マスタ!$A$6:$A$405=$B530)*(((職員マスタ!$G$6:$G$405="")+(職員マスタ!$G$6:$G$405&lt;=EOMONTH($AQ530,0)))&gt;0)*(((職員マスタ!$H$6:$H$405="")+(職員マスタ!$H$6:$H$405&gt;=$AQ530))&gt;0)*(ROW(職員マスタ!$A$6:$A$405)-5)))&gt;0,SUMPRODUCT(MAX((職員マスタ!$A$6:$A$405=$B530)*(((職員マスタ!$G$6:$G$405="")+(職員マスタ!$G$6:$G$405&lt;=EOMONTH($AQ530,0)))&gt;0)*(((職員マスタ!$H$6:$H$405="")+(職員マスタ!$H$6:$H$405&gt;=$AQ530))&gt;0)*(ROW(職員マスタ!$A$6:$A$405)-5))),IFERROR(MATCH($B530,職員マスタ!$A$6:$A$405,0),"")))</f>
        <v/>
      </c>
      <c r="AQ530" s="16">
        <f>IF(OR($B530="",$C530="",$D530=""),"",DATE($C530+2018,$D530,1))</f>
        <v/>
      </c>
    </row>
    <row r="531">
      <c r="A531" s="11" t="n"/>
      <c r="B531" s="12" t="n"/>
      <c r="C531" s="12" t="n"/>
      <c r="D531" s="12" t="n"/>
      <c r="E531" s="13" t="n"/>
      <c r="F531" s="12" t="n"/>
      <c r="G531" s="13" t="n"/>
      <c r="H531" s="12" t="n"/>
      <c r="I531" s="12" t="n"/>
      <c r="J531" s="12" t="n"/>
      <c r="K531" s="12" t="n"/>
      <c r="L531" s="11" t="n"/>
      <c r="M531" s="11" t="n"/>
      <c r="N531" s="11" t="n"/>
      <c r="O531" s="11" t="n"/>
      <c r="P531" s="12" t="n"/>
      <c r="Q531" s="11" t="n"/>
      <c r="R531" s="12" t="n"/>
      <c r="S531" s="11" t="n"/>
      <c r="T531" s="12" t="n"/>
      <c r="U531" s="12" t="n"/>
      <c r="V531" s="12" t="n"/>
      <c r="W531" s="13" t="n"/>
      <c r="X531" s="14">
        <f>IF($AP531="",IF($B531="","",$H531),IF(INDEX(職員マスタ!$B$6:$B$405,$AP531)="",$H531,INDEX(職員マスタ!$B$6:$B$405,$AP531)))</f>
        <v/>
      </c>
      <c r="Y531" s="14">
        <f>IF($AP531="",IF($B531="","",$R531),IF(INDEX(職員マスタ!$C$6:$C$405,$AP531)="",$R531,INDEX(職員マスタ!$C$6:$C$405,$AP531)))</f>
        <v/>
      </c>
      <c r="Z531" s="14">
        <f>IF($AQ531="","","R"&amp;$C531&amp;"."&amp;$D531)</f>
        <v/>
      </c>
      <c r="AA531" s="15">
        <f>IF(IF($AP531="",FALSE,INDEX(職員マスタ!$K$6:$K$405,$AP531)&lt;&gt;""),INDEX(職員マスタ!$K$6:$K$405,$AP531),IF(N($W531)&gt;0,$W531,""))</f>
        <v/>
      </c>
      <c r="AB531" s="14">
        <f>IF(OR($E531="",$AA531=""),"",IF($E531&gt;=$AA531,"×",IF($E531&gt;=$AA531*設定!$C$5,"△","○")))</f>
        <v/>
      </c>
      <c r="AC531" s="15">
        <f>IF($AB531="","",IF($AB531="×",0,IF($AB531="○",ROUNDDOWN($E531*設定!$C$4,0),ROUNDDOWN($E531*ROUND((9*$AA531-9*$E531)/(10*$E531),4),0))))</f>
        <v/>
      </c>
      <c r="AD531" s="13" t="n"/>
      <c r="AE531" s="15">
        <f>IF($B531="","",IF($AD531&lt;&gt;"",$AD531,IF($AC531="","",IF($AC531&lt;=設定!$C$3,0,$AC531))))</f>
        <v/>
      </c>
      <c r="AF531" s="14">
        <f>IF($B531="","",IF(AND($AG531&lt;&gt;"",$AI531="",$AL531=""),"保留中",IF($AL531&lt;&gt;"",IF(N($AE531)&gt;0,"支給済","不支給"),IF($AE531="","要確認",IF($AE531=0,"不支給","未処理")))))</f>
        <v/>
      </c>
      <c r="AG531" s="12" t="n"/>
      <c r="AH531" s="11" t="n"/>
      <c r="AI531" s="11" t="n"/>
      <c r="AJ531" s="11" t="n"/>
      <c r="AK531" s="14">
        <f>IF(AND($AF531="保留中",$AH531&lt;&gt;""),TODAY()-$AH531,"")</f>
        <v/>
      </c>
      <c r="AL531" s="12" t="n"/>
      <c r="AM531" s="14">
        <f>IF($B531="","",IF($AQ531="","対象年月が未入力／","")&amp;IF($B531="","",IF($AP531="","職員マスタに未登録の職員番号／",IF($AA531="","標準報酬月額が未登録／","")&amp;IF(AND($AQ531&lt;&gt;"",OR(AND(INDEX(職員マスタ!$G$6:$G$405,$AP531)&lt;&gt;"",INDEX(職員マスタ!$G$6:$G$405,$AP531)&gt;EOMONTH($AQ531,0)),AND(INDEX(職員マスタ!$H$6:$H$405,$AP531)&lt;&gt;"",INDEX(職員マスタ!$H$6:$H$405,$AP531)&lt;$AQ531))),"対象月が時短期間外／","")&amp;IF(AND(INDEX(職員マスタ!$K$6:$K$405,$AP531)&lt;&gt;"",N($W531)&gt;0,INDEX(職員マスタ!$K$6:$K$405,$AP531)&lt;&gt;$W531),"標準報酬月額が申請書と相違（台帳"&amp;TEXT(INDEX(職員マスタ!$K$6:$K$405,$AP531),"#,##0")&amp;"円／申請書"&amp;TEXT($W531,"#,##0")&amp;"円）／","")&amp;IF(AND(INDEX(職員マスタ!$F$6:$F$405,$AP531)&lt;&gt;"",$AQ531&lt;&gt;"",INDEX(職員マスタ!$F$6:$F$405,$AP531)&lt;$AQ531),"対象月に子が2歳到達済／","")&amp;IF(AND($H531&lt;&gt;"",INDEX(職員マスタ!$B$6:$B$405,$AP531)&lt;&gt;"",SUBSTITUTE(SUBSTITUTE($H531," ","")," ","")&lt;&gt;SUBSTITUTE(SUBSTITUTE(INDEX(職員マスタ!$B$6:$B$405,$AP531)," ","")," ","")),"氏名がマスタと相違／","")&amp;IF(AND($Q531&lt;&gt;"",INDEX(職員マスタ!$E$6:$E$405,$AP531)&lt;&gt;"",$Q531&lt;&gt;INDEX(職員マスタ!$E$6:$E$405,$AP531)),"子の生年月日がマスタと相違／","")&amp;IF(AND($L531&lt;&gt;"",INDEX(職員マスタ!$G$6:$G$405,$AP531)&lt;&gt;"",$L531&lt;&gt;INDEX(職員マスタ!$G$6:$G$405,$AP531)),"時短開始日がマスタと相違／","")&amp;IF(AND($M531&lt;&gt;"",INDEX(職員マスタ!$H$6:$H$405,$AP531)&lt;&gt;"",$M531&lt;&gt;INDEX(職員マスタ!$H$6:$H$405,$AP531)),"時短終了日がマスタと相違／","")))&amp;IF(AND($B531&lt;&gt;"",$E531=""),"報酬額が未入力／","")&amp;IF(N($U531)&gt;0,"申請書に入力エラーが残っています／","")&amp;IF(AND($B531&lt;&gt;"",$AQ531&lt;&gt;""),IF(COUNTIFS($B$6:$B$3005,$B531,$C$6:$C$3005,$C531,$D$6:$D$3005,$D531)&gt;1,"同じ月の請求が重複しています／",""),"")&amp;IF(AND(N($E531)&gt;0,$AB531&lt;&gt;"",$AB531&lt;&gt;"×",$AE531=0,$AD531=""),"計算額が下限以下のため不支給／",""))</f>
        <v/>
      </c>
      <c r="AN531" s="12" t="n"/>
      <c r="AO531" s="14">
        <f>IF($AF531="保留中",COUNTIF($AF$6:$AF531,"保留中"),"")</f>
        <v/>
      </c>
      <c r="AP531" s="14">
        <f>IF($AQ531="","",IF(SUMPRODUCT(MAX((職員マスタ!$A$6:$A$405=$B531)*(((職員マスタ!$G$6:$G$405="")+(職員マスタ!$G$6:$G$405&lt;=EOMONTH($AQ531,0)))&gt;0)*(((職員マスタ!$H$6:$H$405="")+(職員マスタ!$H$6:$H$405&gt;=$AQ531))&gt;0)*(ROW(職員マスタ!$A$6:$A$405)-5)))&gt;0,SUMPRODUCT(MAX((職員マスタ!$A$6:$A$405=$B531)*(((職員マスタ!$G$6:$G$405="")+(職員マスタ!$G$6:$G$405&lt;=EOMONTH($AQ531,0)))&gt;0)*(((職員マスタ!$H$6:$H$405="")+(職員マスタ!$H$6:$H$405&gt;=$AQ531))&gt;0)*(ROW(職員マスタ!$A$6:$A$405)-5))),IFERROR(MATCH($B531,職員マスタ!$A$6:$A$405,0),"")))</f>
        <v/>
      </c>
      <c r="AQ531" s="16">
        <f>IF(OR($B531="",$C531="",$D531=""),"",DATE($C531+2018,$D531,1))</f>
        <v/>
      </c>
    </row>
    <row r="532">
      <c r="A532" s="11" t="n"/>
      <c r="B532" s="12" t="n"/>
      <c r="C532" s="12" t="n"/>
      <c r="D532" s="12" t="n"/>
      <c r="E532" s="13" t="n"/>
      <c r="F532" s="12" t="n"/>
      <c r="G532" s="13" t="n"/>
      <c r="H532" s="12" t="n"/>
      <c r="I532" s="12" t="n"/>
      <c r="J532" s="12" t="n"/>
      <c r="K532" s="12" t="n"/>
      <c r="L532" s="11" t="n"/>
      <c r="M532" s="11" t="n"/>
      <c r="N532" s="11" t="n"/>
      <c r="O532" s="11" t="n"/>
      <c r="P532" s="12" t="n"/>
      <c r="Q532" s="11" t="n"/>
      <c r="R532" s="12" t="n"/>
      <c r="S532" s="11" t="n"/>
      <c r="T532" s="12" t="n"/>
      <c r="U532" s="12" t="n"/>
      <c r="V532" s="12" t="n"/>
      <c r="W532" s="13" t="n"/>
      <c r="X532" s="14">
        <f>IF($AP532="",IF($B532="","",$H532),IF(INDEX(職員マスタ!$B$6:$B$405,$AP532)="",$H532,INDEX(職員マスタ!$B$6:$B$405,$AP532)))</f>
        <v/>
      </c>
      <c r="Y532" s="14">
        <f>IF($AP532="",IF($B532="","",$R532),IF(INDEX(職員マスタ!$C$6:$C$405,$AP532)="",$R532,INDEX(職員マスタ!$C$6:$C$405,$AP532)))</f>
        <v/>
      </c>
      <c r="Z532" s="14">
        <f>IF($AQ532="","","R"&amp;$C532&amp;"."&amp;$D532)</f>
        <v/>
      </c>
      <c r="AA532" s="15">
        <f>IF(IF($AP532="",FALSE,INDEX(職員マスタ!$K$6:$K$405,$AP532)&lt;&gt;""),INDEX(職員マスタ!$K$6:$K$405,$AP532),IF(N($W532)&gt;0,$W532,""))</f>
        <v/>
      </c>
      <c r="AB532" s="14">
        <f>IF(OR($E532="",$AA532=""),"",IF($E532&gt;=$AA532,"×",IF($E532&gt;=$AA532*設定!$C$5,"△","○")))</f>
        <v/>
      </c>
      <c r="AC532" s="15">
        <f>IF($AB532="","",IF($AB532="×",0,IF($AB532="○",ROUNDDOWN($E532*設定!$C$4,0),ROUNDDOWN($E532*ROUND((9*$AA532-9*$E532)/(10*$E532),4),0))))</f>
        <v/>
      </c>
      <c r="AD532" s="13" t="n"/>
      <c r="AE532" s="15">
        <f>IF($B532="","",IF($AD532&lt;&gt;"",$AD532,IF($AC532="","",IF($AC532&lt;=設定!$C$3,0,$AC532))))</f>
        <v/>
      </c>
      <c r="AF532" s="14">
        <f>IF($B532="","",IF(AND($AG532&lt;&gt;"",$AI532="",$AL532=""),"保留中",IF($AL532&lt;&gt;"",IF(N($AE532)&gt;0,"支給済","不支給"),IF($AE532="","要確認",IF($AE532=0,"不支給","未処理")))))</f>
        <v/>
      </c>
      <c r="AG532" s="12" t="n"/>
      <c r="AH532" s="11" t="n"/>
      <c r="AI532" s="11" t="n"/>
      <c r="AJ532" s="11" t="n"/>
      <c r="AK532" s="14">
        <f>IF(AND($AF532="保留中",$AH532&lt;&gt;""),TODAY()-$AH532,"")</f>
        <v/>
      </c>
      <c r="AL532" s="12" t="n"/>
      <c r="AM532" s="14">
        <f>IF($B532="","",IF($AQ532="","対象年月が未入力／","")&amp;IF($B532="","",IF($AP532="","職員マスタに未登録の職員番号／",IF($AA532="","標準報酬月額が未登録／","")&amp;IF(AND($AQ532&lt;&gt;"",OR(AND(INDEX(職員マスタ!$G$6:$G$405,$AP532)&lt;&gt;"",INDEX(職員マスタ!$G$6:$G$405,$AP532)&gt;EOMONTH($AQ532,0)),AND(INDEX(職員マスタ!$H$6:$H$405,$AP532)&lt;&gt;"",INDEX(職員マスタ!$H$6:$H$405,$AP532)&lt;$AQ532))),"対象月が時短期間外／","")&amp;IF(AND(INDEX(職員マスタ!$K$6:$K$405,$AP532)&lt;&gt;"",N($W532)&gt;0,INDEX(職員マスタ!$K$6:$K$405,$AP532)&lt;&gt;$W532),"標準報酬月額が申請書と相違（台帳"&amp;TEXT(INDEX(職員マスタ!$K$6:$K$405,$AP532),"#,##0")&amp;"円／申請書"&amp;TEXT($W532,"#,##0")&amp;"円）／","")&amp;IF(AND(INDEX(職員マスタ!$F$6:$F$405,$AP532)&lt;&gt;"",$AQ532&lt;&gt;"",INDEX(職員マスタ!$F$6:$F$405,$AP532)&lt;$AQ532),"対象月に子が2歳到達済／","")&amp;IF(AND($H532&lt;&gt;"",INDEX(職員マスタ!$B$6:$B$405,$AP532)&lt;&gt;"",SUBSTITUTE(SUBSTITUTE($H532," ","")," ","")&lt;&gt;SUBSTITUTE(SUBSTITUTE(INDEX(職員マスタ!$B$6:$B$405,$AP532)," ","")," ","")),"氏名がマスタと相違／","")&amp;IF(AND($Q532&lt;&gt;"",INDEX(職員マスタ!$E$6:$E$405,$AP532)&lt;&gt;"",$Q532&lt;&gt;INDEX(職員マスタ!$E$6:$E$405,$AP532)),"子の生年月日がマスタと相違／","")&amp;IF(AND($L532&lt;&gt;"",INDEX(職員マスタ!$G$6:$G$405,$AP532)&lt;&gt;"",$L532&lt;&gt;INDEX(職員マスタ!$G$6:$G$405,$AP532)),"時短開始日がマスタと相違／","")&amp;IF(AND($M532&lt;&gt;"",INDEX(職員マスタ!$H$6:$H$405,$AP532)&lt;&gt;"",$M532&lt;&gt;INDEX(職員マスタ!$H$6:$H$405,$AP532)),"時短終了日がマスタと相違／","")))&amp;IF(AND($B532&lt;&gt;"",$E532=""),"報酬額が未入力／","")&amp;IF(N($U532)&gt;0,"申請書に入力エラーが残っています／","")&amp;IF(AND($B532&lt;&gt;"",$AQ532&lt;&gt;""),IF(COUNTIFS($B$6:$B$3005,$B532,$C$6:$C$3005,$C532,$D$6:$D$3005,$D532)&gt;1,"同じ月の請求が重複しています／",""),"")&amp;IF(AND(N($E532)&gt;0,$AB532&lt;&gt;"",$AB532&lt;&gt;"×",$AE532=0,$AD532=""),"計算額が下限以下のため不支給／",""))</f>
        <v/>
      </c>
      <c r="AN532" s="12" t="n"/>
      <c r="AO532" s="14">
        <f>IF($AF532="保留中",COUNTIF($AF$6:$AF532,"保留中"),"")</f>
        <v/>
      </c>
      <c r="AP532" s="14">
        <f>IF($AQ532="","",IF(SUMPRODUCT(MAX((職員マスタ!$A$6:$A$405=$B532)*(((職員マスタ!$G$6:$G$405="")+(職員マスタ!$G$6:$G$405&lt;=EOMONTH($AQ532,0)))&gt;0)*(((職員マスタ!$H$6:$H$405="")+(職員マスタ!$H$6:$H$405&gt;=$AQ532))&gt;0)*(ROW(職員マスタ!$A$6:$A$405)-5)))&gt;0,SUMPRODUCT(MAX((職員マスタ!$A$6:$A$405=$B532)*(((職員マスタ!$G$6:$G$405="")+(職員マスタ!$G$6:$G$405&lt;=EOMONTH($AQ532,0)))&gt;0)*(((職員マスタ!$H$6:$H$405="")+(職員マスタ!$H$6:$H$405&gt;=$AQ532))&gt;0)*(ROW(職員マスタ!$A$6:$A$405)-5))),IFERROR(MATCH($B532,職員マスタ!$A$6:$A$405,0),"")))</f>
        <v/>
      </c>
      <c r="AQ532" s="16">
        <f>IF(OR($B532="",$C532="",$D532=""),"",DATE($C532+2018,$D532,1))</f>
        <v/>
      </c>
    </row>
    <row r="533">
      <c r="A533" s="11" t="n"/>
      <c r="B533" s="12" t="n"/>
      <c r="C533" s="12" t="n"/>
      <c r="D533" s="12" t="n"/>
      <c r="E533" s="13" t="n"/>
      <c r="F533" s="12" t="n"/>
      <c r="G533" s="13" t="n"/>
      <c r="H533" s="12" t="n"/>
      <c r="I533" s="12" t="n"/>
      <c r="J533" s="12" t="n"/>
      <c r="K533" s="12" t="n"/>
      <c r="L533" s="11" t="n"/>
      <c r="M533" s="11" t="n"/>
      <c r="N533" s="11" t="n"/>
      <c r="O533" s="11" t="n"/>
      <c r="P533" s="12" t="n"/>
      <c r="Q533" s="11" t="n"/>
      <c r="R533" s="12" t="n"/>
      <c r="S533" s="11" t="n"/>
      <c r="T533" s="12" t="n"/>
      <c r="U533" s="12" t="n"/>
      <c r="V533" s="12" t="n"/>
      <c r="W533" s="13" t="n"/>
      <c r="X533" s="14">
        <f>IF($AP533="",IF($B533="","",$H533),IF(INDEX(職員マスタ!$B$6:$B$405,$AP533)="",$H533,INDEX(職員マスタ!$B$6:$B$405,$AP533)))</f>
        <v/>
      </c>
      <c r="Y533" s="14">
        <f>IF($AP533="",IF($B533="","",$R533),IF(INDEX(職員マスタ!$C$6:$C$405,$AP533)="",$R533,INDEX(職員マスタ!$C$6:$C$405,$AP533)))</f>
        <v/>
      </c>
      <c r="Z533" s="14">
        <f>IF($AQ533="","","R"&amp;$C533&amp;"."&amp;$D533)</f>
        <v/>
      </c>
      <c r="AA533" s="15">
        <f>IF(IF($AP533="",FALSE,INDEX(職員マスタ!$K$6:$K$405,$AP533)&lt;&gt;""),INDEX(職員マスタ!$K$6:$K$405,$AP533),IF(N($W533)&gt;0,$W533,""))</f>
        <v/>
      </c>
      <c r="AB533" s="14">
        <f>IF(OR($E533="",$AA533=""),"",IF($E533&gt;=$AA533,"×",IF($E533&gt;=$AA533*設定!$C$5,"△","○")))</f>
        <v/>
      </c>
      <c r="AC533" s="15">
        <f>IF($AB533="","",IF($AB533="×",0,IF($AB533="○",ROUNDDOWN($E533*設定!$C$4,0),ROUNDDOWN($E533*ROUND((9*$AA533-9*$E533)/(10*$E533),4),0))))</f>
        <v/>
      </c>
      <c r="AD533" s="13" t="n"/>
      <c r="AE533" s="15">
        <f>IF($B533="","",IF($AD533&lt;&gt;"",$AD533,IF($AC533="","",IF($AC533&lt;=設定!$C$3,0,$AC533))))</f>
        <v/>
      </c>
      <c r="AF533" s="14">
        <f>IF($B533="","",IF(AND($AG533&lt;&gt;"",$AI533="",$AL533=""),"保留中",IF($AL533&lt;&gt;"",IF(N($AE533)&gt;0,"支給済","不支給"),IF($AE533="","要確認",IF($AE533=0,"不支給","未処理")))))</f>
        <v/>
      </c>
      <c r="AG533" s="12" t="n"/>
      <c r="AH533" s="11" t="n"/>
      <c r="AI533" s="11" t="n"/>
      <c r="AJ533" s="11" t="n"/>
      <c r="AK533" s="14">
        <f>IF(AND($AF533="保留中",$AH533&lt;&gt;""),TODAY()-$AH533,"")</f>
        <v/>
      </c>
      <c r="AL533" s="12" t="n"/>
      <c r="AM533" s="14">
        <f>IF($B533="","",IF($AQ533="","対象年月が未入力／","")&amp;IF($B533="","",IF($AP533="","職員マスタに未登録の職員番号／",IF($AA533="","標準報酬月額が未登録／","")&amp;IF(AND($AQ533&lt;&gt;"",OR(AND(INDEX(職員マスタ!$G$6:$G$405,$AP533)&lt;&gt;"",INDEX(職員マスタ!$G$6:$G$405,$AP533)&gt;EOMONTH($AQ533,0)),AND(INDEX(職員マスタ!$H$6:$H$405,$AP533)&lt;&gt;"",INDEX(職員マスタ!$H$6:$H$405,$AP533)&lt;$AQ533))),"対象月が時短期間外／","")&amp;IF(AND(INDEX(職員マスタ!$K$6:$K$405,$AP533)&lt;&gt;"",N($W533)&gt;0,INDEX(職員マスタ!$K$6:$K$405,$AP533)&lt;&gt;$W533),"標準報酬月額が申請書と相違（台帳"&amp;TEXT(INDEX(職員マスタ!$K$6:$K$405,$AP533),"#,##0")&amp;"円／申請書"&amp;TEXT($W533,"#,##0")&amp;"円）／","")&amp;IF(AND(INDEX(職員マスタ!$F$6:$F$405,$AP533)&lt;&gt;"",$AQ533&lt;&gt;"",INDEX(職員マスタ!$F$6:$F$405,$AP533)&lt;$AQ533),"対象月に子が2歳到達済／","")&amp;IF(AND($H533&lt;&gt;"",INDEX(職員マスタ!$B$6:$B$405,$AP533)&lt;&gt;"",SUBSTITUTE(SUBSTITUTE($H533," ","")," ","")&lt;&gt;SUBSTITUTE(SUBSTITUTE(INDEX(職員マスタ!$B$6:$B$405,$AP533)," ","")," ","")),"氏名がマスタと相違／","")&amp;IF(AND($Q533&lt;&gt;"",INDEX(職員マスタ!$E$6:$E$405,$AP533)&lt;&gt;"",$Q533&lt;&gt;INDEX(職員マスタ!$E$6:$E$405,$AP533)),"子の生年月日がマスタと相違／","")&amp;IF(AND($L533&lt;&gt;"",INDEX(職員マスタ!$G$6:$G$405,$AP533)&lt;&gt;"",$L533&lt;&gt;INDEX(職員マスタ!$G$6:$G$405,$AP533)),"時短開始日がマスタと相違／","")&amp;IF(AND($M533&lt;&gt;"",INDEX(職員マスタ!$H$6:$H$405,$AP533)&lt;&gt;"",$M533&lt;&gt;INDEX(職員マスタ!$H$6:$H$405,$AP533)),"時短終了日がマスタと相違／","")))&amp;IF(AND($B533&lt;&gt;"",$E533=""),"報酬額が未入力／","")&amp;IF(N($U533)&gt;0,"申請書に入力エラーが残っています／","")&amp;IF(AND($B533&lt;&gt;"",$AQ533&lt;&gt;""),IF(COUNTIFS($B$6:$B$3005,$B533,$C$6:$C$3005,$C533,$D$6:$D$3005,$D533)&gt;1,"同じ月の請求が重複しています／",""),"")&amp;IF(AND(N($E533)&gt;0,$AB533&lt;&gt;"",$AB533&lt;&gt;"×",$AE533=0,$AD533=""),"計算額が下限以下のため不支給／",""))</f>
        <v/>
      </c>
      <c r="AN533" s="12" t="n"/>
      <c r="AO533" s="14">
        <f>IF($AF533="保留中",COUNTIF($AF$6:$AF533,"保留中"),"")</f>
        <v/>
      </c>
      <c r="AP533" s="14">
        <f>IF($AQ533="","",IF(SUMPRODUCT(MAX((職員マスタ!$A$6:$A$405=$B533)*(((職員マスタ!$G$6:$G$405="")+(職員マスタ!$G$6:$G$405&lt;=EOMONTH($AQ533,0)))&gt;0)*(((職員マスタ!$H$6:$H$405="")+(職員マスタ!$H$6:$H$405&gt;=$AQ533))&gt;0)*(ROW(職員マスタ!$A$6:$A$405)-5)))&gt;0,SUMPRODUCT(MAX((職員マスタ!$A$6:$A$405=$B533)*(((職員マスタ!$G$6:$G$405="")+(職員マスタ!$G$6:$G$405&lt;=EOMONTH($AQ533,0)))&gt;0)*(((職員マスタ!$H$6:$H$405="")+(職員マスタ!$H$6:$H$405&gt;=$AQ533))&gt;0)*(ROW(職員マスタ!$A$6:$A$405)-5))),IFERROR(MATCH($B533,職員マスタ!$A$6:$A$405,0),"")))</f>
        <v/>
      </c>
      <c r="AQ533" s="16">
        <f>IF(OR($B533="",$C533="",$D533=""),"",DATE($C533+2018,$D533,1))</f>
        <v/>
      </c>
    </row>
    <row r="534">
      <c r="A534" s="11" t="n"/>
      <c r="B534" s="12" t="n"/>
      <c r="C534" s="12" t="n"/>
      <c r="D534" s="12" t="n"/>
      <c r="E534" s="13" t="n"/>
      <c r="F534" s="12" t="n"/>
      <c r="G534" s="13" t="n"/>
      <c r="H534" s="12" t="n"/>
      <c r="I534" s="12" t="n"/>
      <c r="J534" s="12" t="n"/>
      <c r="K534" s="12" t="n"/>
      <c r="L534" s="11" t="n"/>
      <c r="M534" s="11" t="n"/>
      <c r="N534" s="11" t="n"/>
      <c r="O534" s="11" t="n"/>
      <c r="P534" s="12" t="n"/>
      <c r="Q534" s="11" t="n"/>
      <c r="R534" s="12" t="n"/>
      <c r="S534" s="11" t="n"/>
      <c r="T534" s="12" t="n"/>
      <c r="U534" s="12" t="n"/>
      <c r="V534" s="12" t="n"/>
      <c r="W534" s="13" t="n"/>
      <c r="X534" s="14">
        <f>IF($AP534="",IF($B534="","",$H534),IF(INDEX(職員マスタ!$B$6:$B$405,$AP534)="",$H534,INDEX(職員マスタ!$B$6:$B$405,$AP534)))</f>
        <v/>
      </c>
      <c r="Y534" s="14">
        <f>IF($AP534="",IF($B534="","",$R534),IF(INDEX(職員マスタ!$C$6:$C$405,$AP534)="",$R534,INDEX(職員マスタ!$C$6:$C$405,$AP534)))</f>
        <v/>
      </c>
      <c r="Z534" s="14">
        <f>IF($AQ534="","","R"&amp;$C534&amp;"."&amp;$D534)</f>
        <v/>
      </c>
      <c r="AA534" s="15">
        <f>IF(IF($AP534="",FALSE,INDEX(職員マスタ!$K$6:$K$405,$AP534)&lt;&gt;""),INDEX(職員マスタ!$K$6:$K$405,$AP534),IF(N($W534)&gt;0,$W534,""))</f>
        <v/>
      </c>
      <c r="AB534" s="14">
        <f>IF(OR($E534="",$AA534=""),"",IF($E534&gt;=$AA534,"×",IF($E534&gt;=$AA534*設定!$C$5,"△","○")))</f>
        <v/>
      </c>
      <c r="AC534" s="15">
        <f>IF($AB534="","",IF($AB534="×",0,IF($AB534="○",ROUNDDOWN($E534*設定!$C$4,0),ROUNDDOWN($E534*ROUND((9*$AA534-9*$E534)/(10*$E534),4),0))))</f>
        <v/>
      </c>
      <c r="AD534" s="13" t="n"/>
      <c r="AE534" s="15">
        <f>IF($B534="","",IF($AD534&lt;&gt;"",$AD534,IF($AC534="","",IF($AC534&lt;=設定!$C$3,0,$AC534))))</f>
        <v/>
      </c>
      <c r="AF534" s="14">
        <f>IF($B534="","",IF(AND($AG534&lt;&gt;"",$AI534="",$AL534=""),"保留中",IF($AL534&lt;&gt;"",IF(N($AE534)&gt;0,"支給済","不支給"),IF($AE534="","要確認",IF($AE534=0,"不支給","未処理")))))</f>
        <v/>
      </c>
      <c r="AG534" s="12" t="n"/>
      <c r="AH534" s="11" t="n"/>
      <c r="AI534" s="11" t="n"/>
      <c r="AJ534" s="11" t="n"/>
      <c r="AK534" s="14">
        <f>IF(AND($AF534="保留中",$AH534&lt;&gt;""),TODAY()-$AH534,"")</f>
        <v/>
      </c>
      <c r="AL534" s="12" t="n"/>
      <c r="AM534" s="14">
        <f>IF($B534="","",IF($AQ534="","対象年月が未入力／","")&amp;IF($B534="","",IF($AP534="","職員マスタに未登録の職員番号／",IF($AA534="","標準報酬月額が未登録／","")&amp;IF(AND($AQ534&lt;&gt;"",OR(AND(INDEX(職員マスタ!$G$6:$G$405,$AP534)&lt;&gt;"",INDEX(職員マスタ!$G$6:$G$405,$AP534)&gt;EOMONTH($AQ534,0)),AND(INDEX(職員マスタ!$H$6:$H$405,$AP534)&lt;&gt;"",INDEX(職員マスタ!$H$6:$H$405,$AP534)&lt;$AQ534))),"対象月が時短期間外／","")&amp;IF(AND(INDEX(職員マスタ!$K$6:$K$405,$AP534)&lt;&gt;"",N($W534)&gt;0,INDEX(職員マスタ!$K$6:$K$405,$AP534)&lt;&gt;$W534),"標準報酬月額が申請書と相違（台帳"&amp;TEXT(INDEX(職員マスタ!$K$6:$K$405,$AP534),"#,##0")&amp;"円／申請書"&amp;TEXT($W534,"#,##0")&amp;"円）／","")&amp;IF(AND(INDEX(職員マスタ!$F$6:$F$405,$AP534)&lt;&gt;"",$AQ534&lt;&gt;"",INDEX(職員マスタ!$F$6:$F$405,$AP534)&lt;$AQ534),"対象月に子が2歳到達済／","")&amp;IF(AND($H534&lt;&gt;"",INDEX(職員マスタ!$B$6:$B$405,$AP534)&lt;&gt;"",SUBSTITUTE(SUBSTITUTE($H534," ","")," ","")&lt;&gt;SUBSTITUTE(SUBSTITUTE(INDEX(職員マスタ!$B$6:$B$405,$AP534)," ","")," ","")),"氏名がマスタと相違／","")&amp;IF(AND($Q534&lt;&gt;"",INDEX(職員マスタ!$E$6:$E$405,$AP534)&lt;&gt;"",$Q534&lt;&gt;INDEX(職員マスタ!$E$6:$E$405,$AP534)),"子の生年月日がマスタと相違／","")&amp;IF(AND($L534&lt;&gt;"",INDEX(職員マスタ!$G$6:$G$405,$AP534)&lt;&gt;"",$L534&lt;&gt;INDEX(職員マスタ!$G$6:$G$405,$AP534)),"時短開始日がマスタと相違／","")&amp;IF(AND($M534&lt;&gt;"",INDEX(職員マスタ!$H$6:$H$405,$AP534)&lt;&gt;"",$M534&lt;&gt;INDEX(職員マスタ!$H$6:$H$405,$AP534)),"時短終了日がマスタと相違／","")))&amp;IF(AND($B534&lt;&gt;"",$E534=""),"報酬額が未入力／","")&amp;IF(N($U534)&gt;0,"申請書に入力エラーが残っています／","")&amp;IF(AND($B534&lt;&gt;"",$AQ534&lt;&gt;""),IF(COUNTIFS($B$6:$B$3005,$B534,$C$6:$C$3005,$C534,$D$6:$D$3005,$D534)&gt;1,"同じ月の請求が重複しています／",""),"")&amp;IF(AND(N($E534)&gt;0,$AB534&lt;&gt;"",$AB534&lt;&gt;"×",$AE534=0,$AD534=""),"計算額が下限以下のため不支給／",""))</f>
        <v/>
      </c>
      <c r="AN534" s="12" t="n"/>
      <c r="AO534" s="14">
        <f>IF($AF534="保留中",COUNTIF($AF$6:$AF534,"保留中"),"")</f>
        <v/>
      </c>
      <c r="AP534" s="14">
        <f>IF($AQ534="","",IF(SUMPRODUCT(MAX((職員マスタ!$A$6:$A$405=$B534)*(((職員マスタ!$G$6:$G$405="")+(職員マスタ!$G$6:$G$405&lt;=EOMONTH($AQ534,0)))&gt;0)*(((職員マスタ!$H$6:$H$405="")+(職員マスタ!$H$6:$H$405&gt;=$AQ534))&gt;0)*(ROW(職員マスタ!$A$6:$A$405)-5)))&gt;0,SUMPRODUCT(MAX((職員マスタ!$A$6:$A$405=$B534)*(((職員マスタ!$G$6:$G$405="")+(職員マスタ!$G$6:$G$405&lt;=EOMONTH($AQ534,0)))&gt;0)*(((職員マスタ!$H$6:$H$405="")+(職員マスタ!$H$6:$H$405&gt;=$AQ534))&gt;0)*(ROW(職員マスタ!$A$6:$A$405)-5))),IFERROR(MATCH($B534,職員マスタ!$A$6:$A$405,0),"")))</f>
        <v/>
      </c>
      <c r="AQ534" s="16">
        <f>IF(OR($B534="",$C534="",$D534=""),"",DATE($C534+2018,$D534,1))</f>
        <v/>
      </c>
    </row>
    <row r="535">
      <c r="A535" s="11" t="n"/>
      <c r="B535" s="12" t="n"/>
      <c r="C535" s="12" t="n"/>
      <c r="D535" s="12" t="n"/>
      <c r="E535" s="13" t="n"/>
      <c r="F535" s="12" t="n"/>
      <c r="G535" s="13" t="n"/>
      <c r="H535" s="12" t="n"/>
      <c r="I535" s="12" t="n"/>
      <c r="J535" s="12" t="n"/>
      <c r="K535" s="12" t="n"/>
      <c r="L535" s="11" t="n"/>
      <c r="M535" s="11" t="n"/>
      <c r="N535" s="11" t="n"/>
      <c r="O535" s="11" t="n"/>
      <c r="P535" s="12" t="n"/>
      <c r="Q535" s="11" t="n"/>
      <c r="R535" s="12" t="n"/>
      <c r="S535" s="11" t="n"/>
      <c r="T535" s="12" t="n"/>
      <c r="U535" s="12" t="n"/>
      <c r="V535" s="12" t="n"/>
      <c r="W535" s="13" t="n"/>
      <c r="X535" s="14">
        <f>IF($AP535="",IF($B535="","",$H535),IF(INDEX(職員マスタ!$B$6:$B$405,$AP535)="",$H535,INDEX(職員マスタ!$B$6:$B$405,$AP535)))</f>
        <v/>
      </c>
      <c r="Y535" s="14">
        <f>IF($AP535="",IF($B535="","",$R535),IF(INDEX(職員マスタ!$C$6:$C$405,$AP535)="",$R535,INDEX(職員マスタ!$C$6:$C$405,$AP535)))</f>
        <v/>
      </c>
      <c r="Z535" s="14">
        <f>IF($AQ535="","","R"&amp;$C535&amp;"."&amp;$D535)</f>
        <v/>
      </c>
      <c r="AA535" s="15">
        <f>IF(IF($AP535="",FALSE,INDEX(職員マスタ!$K$6:$K$405,$AP535)&lt;&gt;""),INDEX(職員マスタ!$K$6:$K$405,$AP535),IF(N($W535)&gt;0,$W535,""))</f>
        <v/>
      </c>
      <c r="AB535" s="14">
        <f>IF(OR($E535="",$AA535=""),"",IF($E535&gt;=$AA535,"×",IF($E535&gt;=$AA535*設定!$C$5,"△","○")))</f>
        <v/>
      </c>
      <c r="AC535" s="15">
        <f>IF($AB535="","",IF($AB535="×",0,IF($AB535="○",ROUNDDOWN($E535*設定!$C$4,0),ROUNDDOWN($E535*ROUND((9*$AA535-9*$E535)/(10*$E535),4),0))))</f>
        <v/>
      </c>
      <c r="AD535" s="13" t="n"/>
      <c r="AE535" s="15">
        <f>IF($B535="","",IF($AD535&lt;&gt;"",$AD535,IF($AC535="","",IF($AC535&lt;=設定!$C$3,0,$AC535))))</f>
        <v/>
      </c>
      <c r="AF535" s="14">
        <f>IF($B535="","",IF(AND($AG535&lt;&gt;"",$AI535="",$AL535=""),"保留中",IF($AL535&lt;&gt;"",IF(N($AE535)&gt;0,"支給済","不支給"),IF($AE535="","要確認",IF($AE535=0,"不支給","未処理")))))</f>
        <v/>
      </c>
      <c r="AG535" s="12" t="n"/>
      <c r="AH535" s="11" t="n"/>
      <c r="AI535" s="11" t="n"/>
      <c r="AJ535" s="11" t="n"/>
      <c r="AK535" s="14">
        <f>IF(AND($AF535="保留中",$AH535&lt;&gt;""),TODAY()-$AH535,"")</f>
        <v/>
      </c>
      <c r="AL535" s="12" t="n"/>
      <c r="AM535" s="14">
        <f>IF($B535="","",IF($AQ535="","対象年月が未入力／","")&amp;IF($B535="","",IF($AP535="","職員マスタに未登録の職員番号／",IF($AA535="","標準報酬月額が未登録／","")&amp;IF(AND($AQ535&lt;&gt;"",OR(AND(INDEX(職員マスタ!$G$6:$G$405,$AP535)&lt;&gt;"",INDEX(職員マスタ!$G$6:$G$405,$AP535)&gt;EOMONTH($AQ535,0)),AND(INDEX(職員マスタ!$H$6:$H$405,$AP535)&lt;&gt;"",INDEX(職員マスタ!$H$6:$H$405,$AP535)&lt;$AQ535))),"対象月が時短期間外／","")&amp;IF(AND(INDEX(職員マスタ!$K$6:$K$405,$AP535)&lt;&gt;"",N($W535)&gt;0,INDEX(職員マスタ!$K$6:$K$405,$AP535)&lt;&gt;$W535),"標準報酬月額が申請書と相違（台帳"&amp;TEXT(INDEX(職員マスタ!$K$6:$K$405,$AP535),"#,##0")&amp;"円／申請書"&amp;TEXT($W535,"#,##0")&amp;"円）／","")&amp;IF(AND(INDEX(職員マスタ!$F$6:$F$405,$AP535)&lt;&gt;"",$AQ535&lt;&gt;"",INDEX(職員マスタ!$F$6:$F$405,$AP535)&lt;$AQ535),"対象月に子が2歳到達済／","")&amp;IF(AND($H535&lt;&gt;"",INDEX(職員マスタ!$B$6:$B$405,$AP535)&lt;&gt;"",SUBSTITUTE(SUBSTITUTE($H535," ","")," ","")&lt;&gt;SUBSTITUTE(SUBSTITUTE(INDEX(職員マスタ!$B$6:$B$405,$AP535)," ","")," ","")),"氏名がマスタと相違／","")&amp;IF(AND($Q535&lt;&gt;"",INDEX(職員マスタ!$E$6:$E$405,$AP535)&lt;&gt;"",$Q535&lt;&gt;INDEX(職員マスタ!$E$6:$E$405,$AP535)),"子の生年月日がマスタと相違／","")&amp;IF(AND($L535&lt;&gt;"",INDEX(職員マスタ!$G$6:$G$405,$AP535)&lt;&gt;"",$L535&lt;&gt;INDEX(職員マスタ!$G$6:$G$405,$AP535)),"時短開始日がマスタと相違／","")&amp;IF(AND($M535&lt;&gt;"",INDEX(職員マスタ!$H$6:$H$405,$AP535)&lt;&gt;"",$M535&lt;&gt;INDEX(職員マスタ!$H$6:$H$405,$AP535)),"時短終了日がマスタと相違／","")))&amp;IF(AND($B535&lt;&gt;"",$E535=""),"報酬額が未入力／","")&amp;IF(N($U535)&gt;0,"申請書に入力エラーが残っています／","")&amp;IF(AND($B535&lt;&gt;"",$AQ535&lt;&gt;""),IF(COUNTIFS($B$6:$B$3005,$B535,$C$6:$C$3005,$C535,$D$6:$D$3005,$D535)&gt;1,"同じ月の請求が重複しています／",""),"")&amp;IF(AND(N($E535)&gt;0,$AB535&lt;&gt;"",$AB535&lt;&gt;"×",$AE535=0,$AD535=""),"計算額が下限以下のため不支給／",""))</f>
        <v/>
      </c>
      <c r="AN535" s="12" t="n"/>
      <c r="AO535" s="14">
        <f>IF($AF535="保留中",COUNTIF($AF$6:$AF535,"保留中"),"")</f>
        <v/>
      </c>
      <c r="AP535" s="14">
        <f>IF($AQ535="","",IF(SUMPRODUCT(MAX((職員マスタ!$A$6:$A$405=$B535)*(((職員マスタ!$G$6:$G$405="")+(職員マスタ!$G$6:$G$405&lt;=EOMONTH($AQ535,0)))&gt;0)*(((職員マスタ!$H$6:$H$405="")+(職員マスタ!$H$6:$H$405&gt;=$AQ535))&gt;0)*(ROW(職員マスタ!$A$6:$A$405)-5)))&gt;0,SUMPRODUCT(MAX((職員マスタ!$A$6:$A$405=$B535)*(((職員マスタ!$G$6:$G$405="")+(職員マスタ!$G$6:$G$405&lt;=EOMONTH($AQ535,0)))&gt;0)*(((職員マスタ!$H$6:$H$405="")+(職員マスタ!$H$6:$H$405&gt;=$AQ535))&gt;0)*(ROW(職員マスタ!$A$6:$A$405)-5))),IFERROR(MATCH($B535,職員マスタ!$A$6:$A$405,0),"")))</f>
        <v/>
      </c>
      <c r="AQ535" s="16">
        <f>IF(OR($B535="",$C535="",$D535=""),"",DATE($C535+2018,$D535,1))</f>
        <v/>
      </c>
    </row>
    <row r="536">
      <c r="A536" s="11" t="n"/>
      <c r="B536" s="12" t="n"/>
      <c r="C536" s="12" t="n"/>
      <c r="D536" s="12" t="n"/>
      <c r="E536" s="13" t="n"/>
      <c r="F536" s="12" t="n"/>
      <c r="G536" s="13" t="n"/>
      <c r="H536" s="12" t="n"/>
      <c r="I536" s="12" t="n"/>
      <c r="J536" s="12" t="n"/>
      <c r="K536" s="12" t="n"/>
      <c r="L536" s="11" t="n"/>
      <c r="M536" s="11" t="n"/>
      <c r="N536" s="11" t="n"/>
      <c r="O536" s="11" t="n"/>
      <c r="P536" s="12" t="n"/>
      <c r="Q536" s="11" t="n"/>
      <c r="R536" s="12" t="n"/>
      <c r="S536" s="11" t="n"/>
      <c r="T536" s="12" t="n"/>
      <c r="U536" s="12" t="n"/>
      <c r="V536" s="12" t="n"/>
      <c r="W536" s="13" t="n"/>
      <c r="X536" s="14">
        <f>IF($AP536="",IF($B536="","",$H536),IF(INDEX(職員マスタ!$B$6:$B$405,$AP536)="",$H536,INDEX(職員マスタ!$B$6:$B$405,$AP536)))</f>
        <v/>
      </c>
      <c r="Y536" s="14">
        <f>IF($AP536="",IF($B536="","",$R536),IF(INDEX(職員マスタ!$C$6:$C$405,$AP536)="",$R536,INDEX(職員マスタ!$C$6:$C$405,$AP536)))</f>
        <v/>
      </c>
      <c r="Z536" s="14">
        <f>IF($AQ536="","","R"&amp;$C536&amp;"."&amp;$D536)</f>
        <v/>
      </c>
      <c r="AA536" s="15">
        <f>IF(IF($AP536="",FALSE,INDEX(職員マスタ!$K$6:$K$405,$AP536)&lt;&gt;""),INDEX(職員マスタ!$K$6:$K$405,$AP536),IF(N($W536)&gt;0,$W536,""))</f>
        <v/>
      </c>
      <c r="AB536" s="14">
        <f>IF(OR($E536="",$AA536=""),"",IF($E536&gt;=$AA536,"×",IF($E536&gt;=$AA536*設定!$C$5,"△","○")))</f>
        <v/>
      </c>
      <c r="AC536" s="15">
        <f>IF($AB536="","",IF($AB536="×",0,IF($AB536="○",ROUNDDOWN($E536*設定!$C$4,0),ROUNDDOWN($E536*ROUND((9*$AA536-9*$E536)/(10*$E536),4),0))))</f>
        <v/>
      </c>
      <c r="AD536" s="13" t="n"/>
      <c r="AE536" s="15">
        <f>IF($B536="","",IF($AD536&lt;&gt;"",$AD536,IF($AC536="","",IF($AC536&lt;=設定!$C$3,0,$AC536))))</f>
        <v/>
      </c>
      <c r="AF536" s="14">
        <f>IF($B536="","",IF(AND($AG536&lt;&gt;"",$AI536="",$AL536=""),"保留中",IF($AL536&lt;&gt;"",IF(N($AE536)&gt;0,"支給済","不支給"),IF($AE536="","要確認",IF($AE536=0,"不支給","未処理")))))</f>
        <v/>
      </c>
      <c r="AG536" s="12" t="n"/>
      <c r="AH536" s="11" t="n"/>
      <c r="AI536" s="11" t="n"/>
      <c r="AJ536" s="11" t="n"/>
      <c r="AK536" s="14">
        <f>IF(AND($AF536="保留中",$AH536&lt;&gt;""),TODAY()-$AH536,"")</f>
        <v/>
      </c>
      <c r="AL536" s="12" t="n"/>
      <c r="AM536" s="14">
        <f>IF($B536="","",IF($AQ536="","対象年月が未入力／","")&amp;IF($B536="","",IF($AP536="","職員マスタに未登録の職員番号／",IF($AA536="","標準報酬月額が未登録／","")&amp;IF(AND($AQ536&lt;&gt;"",OR(AND(INDEX(職員マスタ!$G$6:$G$405,$AP536)&lt;&gt;"",INDEX(職員マスタ!$G$6:$G$405,$AP536)&gt;EOMONTH($AQ536,0)),AND(INDEX(職員マスタ!$H$6:$H$405,$AP536)&lt;&gt;"",INDEX(職員マスタ!$H$6:$H$405,$AP536)&lt;$AQ536))),"対象月が時短期間外／","")&amp;IF(AND(INDEX(職員マスタ!$K$6:$K$405,$AP536)&lt;&gt;"",N($W536)&gt;0,INDEX(職員マスタ!$K$6:$K$405,$AP536)&lt;&gt;$W536),"標準報酬月額が申請書と相違（台帳"&amp;TEXT(INDEX(職員マスタ!$K$6:$K$405,$AP536),"#,##0")&amp;"円／申請書"&amp;TEXT($W536,"#,##0")&amp;"円）／","")&amp;IF(AND(INDEX(職員マスタ!$F$6:$F$405,$AP536)&lt;&gt;"",$AQ536&lt;&gt;"",INDEX(職員マスタ!$F$6:$F$405,$AP536)&lt;$AQ536),"対象月に子が2歳到達済／","")&amp;IF(AND($H536&lt;&gt;"",INDEX(職員マスタ!$B$6:$B$405,$AP536)&lt;&gt;"",SUBSTITUTE(SUBSTITUTE($H536," ","")," ","")&lt;&gt;SUBSTITUTE(SUBSTITUTE(INDEX(職員マスタ!$B$6:$B$405,$AP536)," ","")," ","")),"氏名がマスタと相違／","")&amp;IF(AND($Q536&lt;&gt;"",INDEX(職員マスタ!$E$6:$E$405,$AP536)&lt;&gt;"",$Q536&lt;&gt;INDEX(職員マスタ!$E$6:$E$405,$AP536)),"子の生年月日がマスタと相違／","")&amp;IF(AND($L536&lt;&gt;"",INDEX(職員マスタ!$G$6:$G$405,$AP536)&lt;&gt;"",$L536&lt;&gt;INDEX(職員マスタ!$G$6:$G$405,$AP536)),"時短開始日がマスタと相違／","")&amp;IF(AND($M536&lt;&gt;"",INDEX(職員マスタ!$H$6:$H$405,$AP536)&lt;&gt;"",$M536&lt;&gt;INDEX(職員マスタ!$H$6:$H$405,$AP536)),"時短終了日がマスタと相違／","")))&amp;IF(AND($B536&lt;&gt;"",$E536=""),"報酬額が未入力／","")&amp;IF(N($U536)&gt;0,"申請書に入力エラーが残っています／","")&amp;IF(AND($B536&lt;&gt;"",$AQ536&lt;&gt;""),IF(COUNTIFS($B$6:$B$3005,$B536,$C$6:$C$3005,$C536,$D$6:$D$3005,$D536)&gt;1,"同じ月の請求が重複しています／",""),"")&amp;IF(AND(N($E536)&gt;0,$AB536&lt;&gt;"",$AB536&lt;&gt;"×",$AE536=0,$AD536=""),"計算額が下限以下のため不支給／",""))</f>
        <v/>
      </c>
      <c r="AN536" s="12" t="n"/>
      <c r="AO536" s="14">
        <f>IF($AF536="保留中",COUNTIF($AF$6:$AF536,"保留中"),"")</f>
        <v/>
      </c>
      <c r="AP536" s="14">
        <f>IF($AQ536="","",IF(SUMPRODUCT(MAX((職員マスタ!$A$6:$A$405=$B536)*(((職員マスタ!$G$6:$G$405="")+(職員マスタ!$G$6:$G$405&lt;=EOMONTH($AQ536,0)))&gt;0)*(((職員マスタ!$H$6:$H$405="")+(職員マスタ!$H$6:$H$405&gt;=$AQ536))&gt;0)*(ROW(職員マスタ!$A$6:$A$405)-5)))&gt;0,SUMPRODUCT(MAX((職員マスタ!$A$6:$A$405=$B536)*(((職員マスタ!$G$6:$G$405="")+(職員マスタ!$G$6:$G$405&lt;=EOMONTH($AQ536,0)))&gt;0)*(((職員マスタ!$H$6:$H$405="")+(職員マスタ!$H$6:$H$405&gt;=$AQ536))&gt;0)*(ROW(職員マスタ!$A$6:$A$405)-5))),IFERROR(MATCH($B536,職員マスタ!$A$6:$A$405,0),"")))</f>
        <v/>
      </c>
      <c r="AQ536" s="16">
        <f>IF(OR($B536="",$C536="",$D536=""),"",DATE($C536+2018,$D536,1))</f>
        <v/>
      </c>
    </row>
    <row r="537">
      <c r="A537" s="11" t="n"/>
      <c r="B537" s="12" t="n"/>
      <c r="C537" s="12" t="n"/>
      <c r="D537" s="12" t="n"/>
      <c r="E537" s="13" t="n"/>
      <c r="F537" s="12" t="n"/>
      <c r="G537" s="13" t="n"/>
      <c r="H537" s="12" t="n"/>
      <c r="I537" s="12" t="n"/>
      <c r="J537" s="12" t="n"/>
      <c r="K537" s="12" t="n"/>
      <c r="L537" s="11" t="n"/>
      <c r="M537" s="11" t="n"/>
      <c r="N537" s="11" t="n"/>
      <c r="O537" s="11" t="n"/>
      <c r="P537" s="12" t="n"/>
      <c r="Q537" s="11" t="n"/>
      <c r="R537" s="12" t="n"/>
      <c r="S537" s="11" t="n"/>
      <c r="T537" s="12" t="n"/>
      <c r="U537" s="12" t="n"/>
      <c r="V537" s="12" t="n"/>
      <c r="W537" s="13" t="n"/>
      <c r="X537" s="14">
        <f>IF($AP537="",IF($B537="","",$H537),IF(INDEX(職員マスタ!$B$6:$B$405,$AP537)="",$H537,INDEX(職員マスタ!$B$6:$B$405,$AP537)))</f>
        <v/>
      </c>
      <c r="Y537" s="14">
        <f>IF($AP537="",IF($B537="","",$R537),IF(INDEX(職員マスタ!$C$6:$C$405,$AP537)="",$R537,INDEX(職員マスタ!$C$6:$C$405,$AP537)))</f>
        <v/>
      </c>
      <c r="Z537" s="14">
        <f>IF($AQ537="","","R"&amp;$C537&amp;"."&amp;$D537)</f>
        <v/>
      </c>
      <c r="AA537" s="15">
        <f>IF(IF($AP537="",FALSE,INDEX(職員マスタ!$K$6:$K$405,$AP537)&lt;&gt;""),INDEX(職員マスタ!$K$6:$K$405,$AP537),IF(N($W537)&gt;0,$W537,""))</f>
        <v/>
      </c>
      <c r="AB537" s="14">
        <f>IF(OR($E537="",$AA537=""),"",IF($E537&gt;=$AA537,"×",IF($E537&gt;=$AA537*設定!$C$5,"△","○")))</f>
        <v/>
      </c>
      <c r="AC537" s="15">
        <f>IF($AB537="","",IF($AB537="×",0,IF($AB537="○",ROUNDDOWN($E537*設定!$C$4,0),ROUNDDOWN($E537*ROUND((9*$AA537-9*$E537)/(10*$E537),4),0))))</f>
        <v/>
      </c>
      <c r="AD537" s="13" t="n"/>
      <c r="AE537" s="15">
        <f>IF($B537="","",IF($AD537&lt;&gt;"",$AD537,IF($AC537="","",IF($AC537&lt;=設定!$C$3,0,$AC537))))</f>
        <v/>
      </c>
      <c r="AF537" s="14">
        <f>IF($B537="","",IF(AND($AG537&lt;&gt;"",$AI537="",$AL537=""),"保留中",IF($AL537&lt;&gt;"",IF(N($AE537)&gt;0,"支給済","不支給"),IF($AE537="","要確認",IF($AE537=0,"不支給","未処理")))))</f>
        <v/>
      </c>
      <c r="AG537" s="12" t="n"/>
      <c r="AH537" s="11" t="n"/>
      <c r="AI537" s="11" t="n"/>
      <c r="AJ537" s="11" t="n"/>
      <c r="AK537" s="14">
        <f>IF(AND($AF537="保留中",$AH537&lt;&gt;""),TODAY()-$AH537,"")</f>
        <v/>
      </c>
      <c r="AL537" s="12" t="n"/>
      <c r="AM537" s="14">
        <f>IF($B537="","",IF($AQ537="","対象年月が未入力／","")&amp;IF($B537="","",IF($AP537="","職員マスタに未登録の職員番号／",IF($AA537="","標準報酬月額が未登録／","")&amp;IF(AND($AQ537&lt;&gt;"",OR(AND(INDEX(職員マスタ!$G$6:$G$405,$AP537)&lt;&gt;"",INDEX(職員マスタ!$G$6:$G$405,$AP537)&gt;EOMONTH($AQ537,0)),AND(INDEX(職員マスタ!$H$6:$H$405,$AP537)&lt;&gt;"",INDEX(職員マスタ!$H$6:$H$405,$AP537)&lt;$AQ537))),"対象月が時短期間外／","")&amp;IF(AND(INDEX(職員マスタ!$K$6:$K$405,$AP537)&lt;&gt;"",N($W537)&gt;0,INDEX(職員マスタ!$K$6:$K$405,$AP537)&lt;&gt;$W537),"標準報酬月額が申請書と相違（台帳"&amp;TEXT(INDEX(職員マスタ!$K$6:$K$405,$AP537),"#,##0")&amp;"円／申請書"&amp;TEXT($W537,"#,##0")&amp;"円）／","")&amp;IF(AND(INDEX(職員マスタ!$F$6:$F$405,$AP537)&lt;&gt;"",$AQ537&lt;&gt;"",INDEX(職員マスタ!$F$6:$F$405,$AP537)&lt;$AQ537),"対象月に子が2歳到達済／","")&amp;IF(AND($H537&lt;&gt;"",INDEX(職員マスタ!$B$6:$B$405,$AP537)&lt;&gt;"",SUBSTITUTE(SUBSTITUTE($H537," ","")," ","")&lt;&gt;SUBSTITUTE(SUBSTITUTE(INDEX(職員マスタ!$B$6:$B$405,$AP537)," ","")," ","")),"氏名がマスタと相違／","")&amp;IF(AND($Q537&lt;&gt;"",INDEX(職員マスタ!$E$6:$E$405,$AP537)&lt;&gt;"",$Q537&lt;&gt;INDEX(職員マスタ!$E$6:$E$405,$AP537)),"子の生年月日がマスタと相違／","")&amp;IF(AND($L537&lt;&gt;"",INDEX(職員マスタ!$G$6:$G$405,$AP537)&lt;&gt;"",$L537&lt;&gt;INDEX(職員マスタ!$G$6:$G$405,$AP537)),"時短開始日がマスタと相違／","")&amp;IF(AND($M537&lt;&gt;"",INDEX(職員マスタ!$H$6:$H$405,$AP537)&lt;&gt;"",$M537&lt;&gt;INDEX(職員マスタ!$H$6:$H$405,$AP537)),"時短終了日がマスタと相違／","")))&amp;IF(AND($B537&lt;&gt;"",$E537=""),"報酬額が未入力／","")&amp;IF(N($U537)&gt;0,"申請書に入力エラーが残っています／","")&amp;IF(AND($B537&lt;&gt;"",$AQ537&lt;&gt;""),IF(COUNTIFS($B$6:$B$3005,$B537,$C$6:$C$3005,$C537,$D$6:$D$3005,$D537)&gt;1,"同じ月の請求が重複しています／",""),"")&amp;IF(AND(N($E537)&gt;0,$AB537&lt;&gt;"",$AB537&lt;&gt;"×",$AE537=0,$AD537=""),"計算額が下限以下のため不支給／",""))</f>
        <v/>
      </c>
      <c r="AN537" s="12" t="n"/>
      <c r="AO537" s="14">
        <f>IF($AF537="保留中",COUNTIF($AF$6:$AF537,"保留中"),"")</f>
        <v/>
      </c>
      <c r="AP537" s="14">
        <f>IF($AQ537="","",IF(SUMPRODUCT(MAX((職員マスタ!$A$6:$A$405=$B537)*(((職員マスタ!$G$6:$G$405="")+(職員マスタ!$G$6:$G$405&lt;=EOMONTH($AQ537,0)))&gt;0)*(((職員マスタ!$H$6:$H$405="")+(職員マスタ!$H$6:$H$405&gt;=$AQ537))&gt;0)*(ROW(職員マスタ!$A$6:$A$405)-5)))&gt;0,SUMPRODUCT(MAX((職員マスタ!$A$6:$A$405=$B537)*(((職員マスタ!$G$6:$G$405="")+(職員マスタ!$G$6:$G$405&lt;=EOMONTH($AQ537,0)))&gt;0)*(((職員マスタ!$H$6:$H$405="")+(職員マスタ!$H$6:$H$405&gt;=$AQ537))&gt;0)*(ROW(職員マスタ!$A$6:$A$405)-5))),IFERROR(MATCH($B537,職員マスタ!$A$6:$A$405,0),"")))</f>
        <v/>
      </c>
      <c r="AQ537" s="16">
        <f>IF(OR($B537="",$C537="",$D537=""),"",DATE($C537+2018,$D537,1))</f>
        <v/>
      </c>
    </row>
    <row r="538">
      <c r="A538" s="11" t="n"/>
      <c r="B538" s="12" t="n"/>
      <c r="C538" s="12" t="n"/>
      <c r="D538" s="12" t="n"/>
      <c r="E538" s="13" t="n"/>
      <c r="F538" s="12" t="n"/>
      <c r="G538" s="13" t="n"/>
      <c r="H538" s="12" t="n"/>
      <c r="I538" s="12" t="n"/>
      <c r="J538" s="12" t="n"/>
      <c r="K538" s="12" t="n"/>
      <c r="L538" s="11" t="n"/>
      <c r="M538" s="11" t="n"/>
      <c r="N538" s="11" t="n"/>
      <c r="O538" s="11" t="n"/>
      <c r="P538" s="12" t="n"/>
      <c r="Q538" s="11" t="n"/>
      <c r="R538" s="12" t="n"/>
      <c r="S538" s="11" t="n"/>
      <c r="T538" s="12" t="n"/>
      <c r="U538" s="12" t="n"/>
      <c r="V538" s="12" t="n"/>
      <c r="W538" s="13" t="n"/>
      <c r="X538" s="14">
        <f>IF($AP538="",IF($B538="","",$H538),IF(INDEX(職員マスタ!$B$6:$B$405,$AP538)="",$H538,INDEX(職員マスタ!$B$6:$B$405,$AP538)))</f>
        <v/>
      </c>
      <c r="Y538" s="14">
        <f>IF($AP538="",IF($B538="","",$R538),IF(INDEX(職員マスタ!$C$6:$C$405,$AP538)="",$R538,INDEX(職員マスタ!$C$6:$C$405,$AP538)))</f>
        <v/>
      </c>
      <c r="Z538" s="14">
        <f>IF($AQ538="","","R"&amp;$C538&amp;"."&amp;$D538)</f>
        <v/>
      </c>
      <c r="AA538" s="15">
        <f>IF(IF($AP538="",FALSE,INDEX(職員マスタ!$K$6:$K$405,$AP538)&lt;&gt;""),INDEX(職員マスタ!$K$6:$K$405,$AP538),IF(N($W538)&gt;0,$W538,""))</f>
        <v/>
      </c>
      <c r="AB538" s="14">
        <f>IF(OR($E538="",$AA538=""),"",IF($E538&gt;=$AA538,"×",IF($E538&gt;=$AA538*設定!$C$5,"△","○")))</f>
        <v/>
      </c>
      <c r="AC538" s="15">
        <f>IF($AB538="","",IF($AB538="×",0,IF($AB538="○",ROUNDDOWN($E538*設定!$C$4,0),ROUNDDOWN($E538*ROUND((9*$AA538-9*$E538)/(10*$E538),4),0))))</f>
        <v/>
      </c>
      <c r="AD538" s="13" t="n"/>
      <c r="AE538" s="15">
        <f>IF($B538="","",IF($AD538&lt;&gt;"",$AD538,IF($AC538="","",IF($AC538&lt;=設定!$C$3,0,$AC538))))</f>
        <v/>
      </c>
      <c r="AF538" s="14">
        <f>IF($B538="","",IF(AND($AG538&lt;&gt;"",$AI538="",$AL538=""),"保留中",IF($AL538&lt;&gt;"",IF(N($AE538)&gt;0,"支給済","不支給"),IF($AE538="","要確認",IF($AE538=0,"不支給","未処理")))))</f>
        <v/>
      </c>
      <c r="AG538" s="12" t="n"/>
      <c r="AH538" s="11" t="n"/>
      <c r="AI538" s="11" t="n"/>
      <c r="AJ538" s="11" t="n"/>
      <c r="AK538" s="14">
        <f>IF(AND($AF538="保留中",$AH538&lt;&gt;""),TODAY()-$AH538,"")</f>
        <v/>
      </c>
      <c r="AL538" s="12" t="n"/>
      <c r="AM538" s="14">
        <f>IF($B538="","",IF($AQ538="","対象年月が未入力／","")&amp;IF($B538="","",IF($AP538="","職員マスタに未登録の職員番号／",IF($AA538="","標準報酬月額が未登録／","")&amp;IF(AND($AQ538&lt;&gt;"",OR(AND(INDEX(職員マスタ!$G$6:$G$405,$AP538)&lt;&gt;"",INDEX(職員マスタ!$G$6:$G$405,$AP538)&gt;EOMONTH($AQ538,0)),AND(INDEX(職員マスタ!$H$6:$H$405,$AP538)&lt;&gt;"",INDEX(職員マスタ!$H$6:$H$405,$AP538)&lt;$AQ538))),"対象月が時短期間外／","")&amp;IF(AND(INDEX(職員マスタ!$K$6:$K$405,$AP538)&lt;&gt;"",N($W538)&gt;0,INDEX(職員マスタ!$K$6:$K$405,$AP538)&lt;&gt;$W538),"標準報酬月額が申請書と相違（台帳"&amp;TEXT(INDEX(職員マスタ!$K$6:$K$405,$AP538),"#,##0")&amp;"円／申請書"&amp;TEXT($W538,"#,##0")&amp;"円）／","")&amp;IF(AND(INDEX(職員マスタ!$F$6:$F$405,$AP538)&lt;&gt;"",$AQ538&lt;&gt;"",INDEX(職員マスタ!$F$6:$F$405,$AP538)&lt;$AQ538),"対象月に子が2歳到達済／","")&amp;IF(AND($H538&lt;&gt;"",INDEX(職員マスタ!$B$6:$B$405,$AP538)&lt;&gt;"",SUBSTITUTE(SUBSTITUTE($H538," ","")," ","")&lt;&gt;SUBSTITUTE(SUBSTITUTE(INDEX(職員マスタ!$B$6:$B$405,$AP538)," ","")," ","")),"氏名がマスタと相違／","")&amp;IF(AND($Q538&lt;&gt;"",INDEX(職員マスタ!$E$6:$E$405,$AP538)&lt;&gt;"",$Q538&lt;&gt;INDEX(職員マスタ!$E$6:$E$405,$AP538)),"子の生年月日がマスタと相違／","")&amp;IF(AND($L538&lt;&gt;"",INDEX(職員マスタ!$G$6:$G$405,$AP538)&lt;&gt;"",$L538&lt;&gt;INDEX(職員マスタ!$G$6:$G$405,$AP538)),"時短開始日がマスタと相違／","")&amp;IF(AND($M538&lt;&gt;"",INDEX(職員マスタ!$H$6:$H$405,$AP538)&lt;&gt;"",$M538&lt;&gt;INDEX(職員マスタ!$H$6:$H$405,$AP538)),"時短終了日がマスタと相違／","")))&amp;IF(AND($B538&lt;&gt;"",$E538=""),"報酬額が未入力／","")&amp;IF(N($U538)&gt;0,"申請書に入力エラーが残っています／","")&amp;IF(AND($B538&lt;&gt;"",$AQ538&lt;&gt;""),IF(COUNTIFS($B$6:$B$3005,$B538,$C$6:$C$3005,$C538,$D$6:$D$3005,$D538)&gt;1,"同じ月の請求が重複しています／",""),"")&amp;IF(AND(N($E538)&gt;0,$AB538&lt;&gt;"",$AB538&lt;&gt;"×",$AE538=0,$AD538=""),"計算額が下限以下のため不支給／",""))</f>
        <v/>
      </c>
      <c r="AN538" s="12" t="n"/>
      <c r="AO538" s="14">
        <f>IF($AF538="保留中",COUNTIF($AF$6:$AF538,"保留中"),"")</f>
        <v/>
      </c>
      <c r="AP538" s="14">
        <f>IF($AQ538="","",IF(SUMPRODUCT(MAX((職員マスタ!$A$6:$A$405=$B538)*(((職員マスタ!$G$6:$G$405="")+(職員マスタ!$G$6:$G$405&lt;=EOMONTH($AQ538,0)))&gt;0)*(((職員マスタ!$H$6:$H$405="")+(職員マスタ!$H$6:$H$405&gt;=$AQ538))&gt;0)*(ROW(職員マスタ!$A$6:$A$405)-5)))&gt;0,SUMPRODUCT(MAX((職員マスタ!$A$6:$A$405=$B538)*(((職員マスタ!$G$6:$G$405="")+(職員マスタ!$G$6:$G$405&lt;=EOMONTH($AQ538,0)))&gt;0)*(((職員マスタ!$H$6:$H$405="")+(職員マスタ!$H$6:$H$405&gt;=$AQ538))&gt;0)*(ROW(職員マスタ!$A$6:$A$405)-5))),IFERROR(MATCH($B538,職員マスタ!$A$6:$A$405,0),"")))</f>
        <v/>
      </c>
      <c r="AQ538" s="16">
        <f>IF(OR($B538="",$C538="",$D538=""),"",DATE($C538+2018,$D538,1))</f>
        <v/>
      </c>
    </row>
    <row r="539">
      <c r="A539" s="11" t="n"/>
      <c r="B539" s="12" t="n"/>
      <c r="C539" s="12" t="n"/>
      <c r="D539" s="12" t="n"/>
      <c r="E539" s="13" t="n"/>
      <c r="F539" s="12" t="n"/>
      <c r="G539" s="13" t="n"/>
      <c r="H539" s="12" t="n"/>
      <c r="I539" s="12" t="n"/>
      <c r="J539" s="12" t="n"/>
      <c r="K539" s="12" t="n"/>
      <c r="L539" s="11" t="n"/>
      <c r="M539" s="11" t="n"/>
      <c r="N539" s="11" t="n"/>
      <c r="O539" s="11" t="n"/>
      <c r="P539" s="12" t="n"/>
      <c r="Q539" s="11" t="n"/>
      <c r="R539" s="12" t="n"/>
      <c r="S539" s="11" t="n"/>
      <c r="T539" s="12" t="n"/>
      <c r="U539" s="12" t="n"/>
      <c r="V539" s="12" t="n"/>
      <c r="W539" s="13" t="n"/>
      <c r="X539" s="14">
        <f>IF($AP539="",IF($B539="","",$H539),IF(INDEX(職員マスタ!$B$6:$B$405,$AP539)="",$H539,INDEX(職員マスタ!$B$6:$B$405,$AP539)))</f>
        <v/>
      </c>
      <c r="Y539" s="14">
        <f>IF($AP539="",IF($B539="","",$R539),IF(INDEX(職員マスタ!$C$6:$C$405,$AP539)="",$R539,INDEX(職員マスタ!$C$6:$C$405,$AP539)))</f>
        <v/>
      </c>
      <c r="Z539" s="14">
        <f>IF($AQ539="","","R"&amp;$C539&amp;"."&amp;$D539)</f>
        <v/>
      </c>
      <c r="AA539" s="15">
        <f>IF(IF($AP539="",FALSE,INDEX(職員マスタ!$K$6:$K$405,$AP539)&lt;&gt;""),INDEX(職員マスタ!$K$6:$K$405,$AP539),IF(N($W539)&gt;0,$W539,""))</f>
        <v/>
      </c>
      <c r="AB539" s="14">
        <f>IF(OR($E539="",$AA539=""),"",IF($E539&gt;=$AA539,"×",IF($E539&gt;=$AA539*設定!$C$5,"△","○")))</f>
        <v/>
      </c>
      <c r="AC539" s="15">
        <f>IF($AB539="","",IF($AB539="×",0,IF($AB539="○",ROUNDDOWN($E539*設定!$C$4,0),ROUNDDOWN($E539*ROUND((9*$AA539-9*$E539)/(10*$E539),4),0))))</f>
        <v/>
      </c>
      <c r="AD539" s="13" t="n"/>
      <c r="AE539" s="15">
        <f>IF($B539="","",IF($AD539&lt;&gt;"",$AD539,IF($AC539="","",IF($AC539&lt;=設定!$C$3,0,$AC539))))</f>
        <v/>
      </c>
      <c r="AF539" s="14">
        <f>IF($B539="","",IF(AND($AG539&lt;&gt;"",$AI539="",$AL539=""),"保留中",IF($AL539&lt;&gt;"",IF(N($AE539)&gt;0,"支給済","不支給"),IF($AE539="","要確認",IF($AE539=0,"不支給","未処理")))))</f>
        <v/>
      </c>
      <c r="AG539" s="12" t="n"/>
      <c r="AH539" s="11" t="n"/>
      <c r="AI539" s="11" t="n"/>
      <c r="AJ539" s="11" t="n"/>
      <c r="AK539" s="14">
        <f>IF(AND($AF539="保留中",$AH539&lt;&gt;""),TODAY()-$AH539,"")</f>
        <v/>
      </c>
      <c r="AL539" s="12" t="n"/>
      <c r="AM539" s="14">
        <f>IF($B539="","",IF($AQ539="","対象年月が未入力／","")&amp;IF($B539="","",IF($AP539="","職員マスタに未登録の職員番号／",IF($AA539="","標準報酬月額が未登録／","")&amp;IF(AND($AQ539&lt;&gt;"",OR(AND(INDEX(職員マスタ!$G$6:$G$405,$AP539)&lt;&gt;"",INDEX(職員マスタ!$G$6:$G$405,$AP539)&gt;EOMONTH($AQ539,0)),AND(INDEX(職員マスタ!$H$6:$H$405,$AP539)&lt;&gt;"",INDEX(職員マスタ!$H$6:$H$405,$AP539)&lt;$AQ539))),"対象月が時短期間外／","")&amp;IF(AND(INDEX(職員マスタ!$K$6:$K$405,$AP539)&lt;&gt;"",N($W539)&gt;0,INDEX(職員マスタ!$K$6:$K$405,$AP539)&lt;&gt;$W539),"標準報酬月額が申請書と相違（台帳"&amp;TEXT(INDEX(職員マスタ!$K$6:$K$405,$AP539),"#,##0")&amp;"円／申請書"&amp;TEXT($W539,"#,##0")&amp;"円）／","")&amp;IF(AND(INDEX(職員マスタ!$F$6:$F$405,$AP539)&lt;&gt;"",$AQ539&lt;&gt;"",INDEX(職員マスタ!$F$6:$F$405,$AP539)&lt;$AQ539),"対象月に子が2歳到達済／","")&amp;IF(AND($H539&lt;&gt;"",INDEX(職員マスタ!$B$6:$B$405,$AP539)&lt;&gt;"",SUBSTITUTE(SUBSTITUTE($H539," ","")," ","")&lt;&gt;SUBSTITUTE(SUBSTITUTE(INDEX(職員マスタ!$B$6:$B$405,$AP539)," ","")," ","")),"氏名がマスタと相違／","")&amp;IF(AND($Q539&lt;&gt;"",INDEX(職員マスタ!$E$6:$E$405,$AP539)&lt;&gt;"",$Q539&lt;&gt;INDEX(職員マスタ!$E$6:$E$405,$AP539)),"子の生年月日がマスタと相違／","")&amp;IF(AND($L539&lt;&gt;"",INDEX(職員マスタ!$G$6:$G$405,$AP539)&lt;&gt;"",$L539&lt;&gt;INDEX(職員マスタ!$G$6:$G$405,$AP539)),"時短開始日がマスタと相違／","")&amp;IF(AND($M539&lt;&gt;"",INDEX(職員マスタ!$H$6:$H$405,$AP539)&lt;&gt;"",$M539&lt;&gt;INDEX(職員マスタ!$H$6:$H$405,$AP539)),"時短終了日がマスタと相違／","")))&amp;IF(AND($B539&lt;&gt;"",$E539=""),"報酬額が未入力／","")&amp;IF(N($U539)&gt;0,"申請書に入力エラーが残っています／","")&amp;IF(AND($B539&lt;&gt;"",$AQ539&lt;&gt;""),IF(COUNTIFS($B$6:$B$3005,$B539,$C$6:$C$3005,$C539,$D$6:$D$3005,$D539)&gt;1,"同じ月の請求が重複しています／",""),"")&amp;IF(AND(N($E539)&gt;0,$AB539&lt;&gt;"",$AB539&lt;&gt;"×",$AE539=0,$AD539=""),"計算額が下限以下のため不支給／",""))</f>
        <v/>
      </c>
      <c r="AN539" s="12" t="n"/>
      <c r="AO539" s="14">
        <f>IF($AF539="保留中",COUNTIF($AF$6:$AF539,"保留中"),"")</f>
        <v/>
      </c>
      <c r="AP539" s="14">
        <f>IF($AQ539="","",IF(SUMPRODUCT(MAX((職員マスタ!$A$6:$A$405=$B539)*(((職員マスタ!$G$6:$G$405="")+(職員マスタ!$G$6:$G$405&lt;=EOMONTH($AQ539,0)))&gt;0)*(((職員マスタ!$H$6:$H$405="")+(職員マスタ!$H$6:$H$405&gt;=$AQ539))&gt;0)*(ROW(職員マスタ!$A$6:$A$405)-5)))&gt;0,SUMPRODUCT(MAX((職員マスタ!$A$6:$A$405=$B539)*(((職員マスタ!$G$6:$G$405="")+(職員マスタ!$G$6:$G$405&lt;=EOMONTH($AQ539,0)))&gt;0)*(((職員マスタ!$H$6:$H$405="")+(職員マスタ!$H$6:$H$405&gt;=$AQ539))&gt;0)*(ROW(職員マスタ!$A$6:$A$405)-5))),IFERROR(MATCH($B539,職員マスタ!$A$6:$A$405,0),"")))</f>
        <v/>
      </c>
      <c r="AQ539" s="16">
        <f>IF(OR($B539="",$C539="",$D539=""),"",DATE($C539+2018,$D539,1))</f>
        <v/>
      </c>
    </row>
    <row r="540">
      <c r="A540" s="11" t="n"/>
      <c r="B540" s="12" t="n"/>
      <c r="C540" s="12" t="n"/>
      <c r="D540" s="12" t="n"/>
      <c r="E540" s="13" t="n"/>
      <c r="F540" s="12" t="n"/>
      <c r="G540" s="13" t="n"/>
      <c r="H540" s="12" t="n"/>
      <c r="I540" s="12" t="n"/>
      <c r="J540" s="12" t="n"/>
      <c r="K540" s="12" t="n"/>
      <c r="L540" s="11" t="n"/>
      <c r="M540" s="11" t="n"/>
      <c r="N540" s="11" t="n"/>
      <c r="O540" s="11" t="n"/>
      <c r="P540" s="12" t="n"/>
      <c r="Q540" s="11" t="n"/>
      <c r="R540" s="12" t="n"/>
      <c r="S540" s="11" t="n"/>
      <c r="T540" s="12" t="n"/>
      <c r="U540" s="12" t="n"/>
      <c r="V540" s="12" t="n"/>
      <c r="W540" s="13" t="n"/>
      <c r="X540" s="14">
        <f>IF($AP540="",IF($B540="","",$H540),IF(INDEX(職員マスタ!$B$6:$B$405,$AP540)="",$H540,INDEX(職員マスタ!$B$6:$B$405,$AP540)))</f>
        <v/>
      </c>
      <c r="Y540" s="14">
        <f>IF($AP540="",IF($B540="","",$R540),IF(INDEX(職員マスタ!$C$6:$C$405,$AP540)="",$R540,INDEX(職員マスタ!$C$6:$C$405,$AP540)))</f>
        <v/>
      </c>
      <c r="Z540" s="14">
        <f>IF($AQ540="","","R"&amp;$C540&amp;"."&amp;$D540)</f>
        <v/>
      </c>
      <c r="AA540" s="15">
        <f>IF(IF($AP540="",FALSE,INDEX(職員マスタ!$K$6:$K$405,$AP540)&lt;&gt;""),INDEX(職員マスタ!$K$6:$K$405,$AP540),IF(N($W540)&gt;0,$W540,""))</f>
        <v/>
      </c>
      <c r="AB540" s="14">
        <f>IF(OR($E540="",$AA540=""),"",IF($E540&gt;=$AA540,"×",IF($E540&gt;=$AA540*設定!$C$5,"△","○")))</f>
        <v/>
      </c>
      <c r="AC540" s="15">
        <f>IF($AB540="","",IF($AB540="×",0,IF($AB540="○",ROUNDDOWN($E540*設定!$C$4,0),ROUNDDOWN($E540*ROUND((9*$AA540-9*$E540)/(10*$E540),4),0))))</f>
        <v/>
      </c>
      <c r="AD540" s="13" t="n"/>
      <c r="AE540" s="15">
        <f>IF($B540="","",IF($AD540&lt;&gt;"",$AD540,IF($AC540="","",IF($AC540&lt;=設定!$C$3,0,$AC540))))</f>
        <v/>
      </c>
      <c r="AF540" s="14">
        <f>IF($B540="","",IF(AND($AG540&lt;&gt;"",$AI540="",$AL540=""),"保留中",IF($AL540&lt;&gt;"",IF(N($AE540)&gt;0,"支給済","不支給"),IF($AE540="","要確認",IF($AE540=0,"不支給","未処理")))))</f>
        <v/>
      </c>
      <c r="AG540" s="12" t="n"/>
      <c r="AH540" s="11" t="n"/>
      <c r="AI540" s="11" t="n"/>
      <c r="AJ540" s="11" t="n"/>
      <c r="AK540" s="14">
        <f>IF(AND($AF540="保留中",$AH540&lt;&gt;""),TODAY()-$AH540,"")</f>
        <v/>
      </c>
      <c r="AL540" s="12" t="n"/>
      <c r="AM540" s="14">
        <f>IF($B540="","",IF($AQ540="","対象年月が未入力／","")&amp;IF($B540="","",IF($AP540="","職員マスタに未登録の職員番号／",IF($AA540="","標準報酬月額が未登録／","")&amp;IF(AND($AQ540&lt;&gt;"",OR(AND(INDEX(職員マスタ!$G$6:$G$405,$AP540)&lt;&gt;"",INDEX(職員マスタ!$G$6:$G$405,$AP540)&gt;EOMONTH($AQ540,0)),AND(INDEX(職員マスタ!$H$6:$H$405,$AP540)&lt;&gt;"",INDEX(職員マスタ!$H$6:$H$405,$AP540)&lt;$AQ540))),"対象月が時短期間外／","")&amp;IF(AND(INDEX(職員マスタ!$K$6:$K$405,$AP540)&lt;&gt;"",N($W540)&gt;0,INDEX(職員マスタ!$K$6:$K$405,$AP540)&lt;&gt;$W540),"標準報酬月額が申請書と相違（台帳"&amp;TEXT(INDEX(職員マスタ!$K$6:$K$405,$AP540),"#,##0")&amp;"円／申請書"&amp;TEXT($W540,"#,##0")&amp;"円）／","")&amp;IF(AND(INDEX(職員マスタ!$F$6:$F$405,$AP540)&lt;&gt;"",$AQ540&lt;&gt;"",INDEX(職員マスタ!$F$6:$F$405,$AP540)&lt;$AQ540),"対象月に子が2歳到達済／","")&amp;IF(AND($H540&lt;&gt;"",INDEX(職員マスタ!$B$6:$B$405,$AP540)&lt;&gt;"",SUBSTITUTE(SUBSTITUTE($H540," ","")," ","")&lt;&gt;SUBSTITUTE(SUBSTITUTE(INDEX(職員マスタ!$B$6:$B$405,$AP540)," ","")," ","")),"氏名がマスタと相違／","")&amp;IF(AND($Q540&lt;&gt;"",INDEX(職員マスタ!$E$6:$E$405,$AP540)&lt;&gt;"",$Q540&lt;&gt;INDEX(職員マスタ!$E$6:$E$405,$AP540)),"子の生年月日がマスタと相違／","")&amp;IF(AND($L540&lt;&gt;"",INDEX(職員マスタ!$G$6:$G$405,$AP540)&lt;&gt;"",$L540&lt;&gt;INDEX(職員マスタ!$G$6:$G$405,$AP540)),"時短開始日がマスタと相違／","")&amp;IF(AND($M540&lt;&gt;"",INDEX(職員マスタ!$H$6:$H$405,$AP540)&lt;&gt;"",$M540&lt;&gt;INDEX(職員マスタ!$H$6:$H$405,$AP540)),"時短終了日がマスタと相違／","")))&amp;IF(AND($B540&lt;&gt;"",$E540=""),"報酬額が未入力／","")&amp;IF(N($U540)&gt;0,"申請書に入力エラーが残っています／","")&amp;IF(AND($B540&lt;&gt;"",$AQ540&lt;&gt;""),IF(COUNTIFS($B$6:$B$3005,$B540,$C$6:$C$3005,$C540,$D$6:$D$3005,$D540)&gt;1,"同じ月の請求が重複しています／",""),"")&amp;IF(AND(N($E540)&gt;0,$AB540&lt;&gt;"",$AB540&lt;&gt;"×",$AE540=0,$AD540=""),"計算額が下限以下のため不支給／",""))</f>
        <v/>
      </c>
      <c r="AN540" s="12" t="n"/>
      <c r="AO540" s="14">
        <f>IF($AF540="保留中",COUNTIF($AF$6:$AF540,"保留中"),"")</f>
        <v/>
      </c>
      <c r="AP540" s="14">
        <f>IF($AQ540="","",IF(SUMPRODUCT(MAX((職員マスタ!$A$6:$A$405=$B540)*(((職員マスタ!$G$6:$G$405="")+(職員マスタ!$G$6:$G$405&lt;=EOMONTH($AQ540,0)))&gt;0)*(((職員マスタ!$H$6:$H$405="")+(職員マスタ!$H$6:$H$405&gt;=$AQ540))&gt;0)*(ROW(職員マスタ!$A$6:$A$405)-5)))&gt;0,SUMPRODUCT(MAX((職員マスタ!$A$6:$A$405=$B540)*(((職員マスタ!$G$6:$G$405="")+(職員マスタ!$G$6:$G$405&lt;=EOMONTH($AQ540,0)))&gt;0)*(((職員マスタ!$H$6:$H$405="")+(職員マスタ!$H$6:$H$405&gt;=$AQ540))&gt;0)*(ROW(職員マスタ!$A$6:$A$405)-5))),IFERROR(MATCH($B540,職員マスタ!$A$6:$A$405,0),"")))</f>
        <v/>
      </c>
      <c r="AQ540" s="16">
        <f>IF(OR($B540="",$C540="",$D540=""),"",DATE($C540+2018,$D540,1))</f>
        <v/>
      </c>
    </row>
    <row r="541">
      <c r="A541" s="11" t="n"/>
      <c r="B541" s="12" t="n"/>
      <c r="C541" s="12" t="n"/>
      <c r="D541" s="12" t="n"/>
      <c r="E541" s="13" t="n"/>
      <c r="F541" s="12" t="n"/>
      <c r="G541" s="13" t="n"/>
      <c r="H541" s="12" t="n"/>
      <c r="I541" s="12" t="n"/>
      <c r="J541" s="12" t="n"/>
      <c r="K541" s="12" t="n"/>
      <c r="L541" s="11" t="n"/>
      <c r="M541" s="11" t="n"/>
      <c r="N541" s="11" t="n"/>
      <c r="O541" s="11" t="n"/>
      <c r="P541" s="12" t="n"/>
      <c r="Q541" s="11" t="n"/>
      <c r="R541" s="12" t="n"/>
      <c r="S541" s="11" t="n"/>
      <c r="T541" s="12" t="n"/>
      <c r="U541" s="12" t="n"/>
      <c r="V541" s="12" t="n"/>
      <c r="W541" s="13" t="n"/>
      <c r="X541" s="14">
        <f>IF($AP541="",IF($B541="","",$H541),IF(INDEX(職員マスタ!$B$6:$B$405,$AP541)="",$H541,INDEX(職員マスタ!$B$6:$B$405,$AP541)))</f>
        <v/>
      </c>
      <c r="Y541" s="14">
        <f>IF($AP541="",IF($B541="","",$R541),IF(INDEX(職員マスタ!$C$6:$C$405,$AP541)="",$R541,INDEX(職員マスタ!$C$6:$C$405,$AP541)))</f>
        <v/>
      </c>
      <c r="Z541" s="14">
        <f>IF($AQ541="","","R"&amp;$C541&amp;"."&amp;$D541)</f>
        <v/>
      </c>
      <c r="AA541" s="15">
        <f>IF(IF($AP541="",FALSE,INDEX(職員マスタ!$K$6:$K$405,$AP541)&lt;&gt;""),INDEX(職員マスタ!$K$6:$K$405,$AP541),IF(N($W541)&gt;0,$W541,""))</f>
        <v/>
      </c>
      <c r="AB541" s="14">
        <f>IF(OR($E541="",$AA541=""),"",IF($E541&gt;=$AA541,"×",IF($E541&gt;=$AA541*設定!$C$5,"△","○")))</f>
        <v/>
      </c>
      <c r="AC541" s="15">
        <f>IF($AB541="","",IF($AB541="×",0,IF($AB541="○",ROUNDDOWN($E541*設定!$C$4,0),ROUNDDOWN($E541*ROUND((9*$AA541-9*$E541)/(10*$E541),4),0))))</f>
        <v/>
      </c>
      <c r="AD541" s="13" t="n"/>
      <c r="AE541" s="15">
        <f>IF($B541="","",IF($AD541&lt;&gt;"",$AD541,IF($AC541="","",IF($AC541&lt;=設定!$C$3,0,$AC541))))</f>
        <v/>
      </c>
      <c r="AF541" s="14">
        <f>IF($B541="","",IF(AND($AG541&lt;&gt;"",$AI541="",$AL541=""),"保留中",IF($AL541&lt;&gt;"",IF(N($AE541)&gt;0,"支給済","不支給"),IF($AE541="","要確認",IF($AE541=0,"不支給","未処理")))))</f>
        <v/>
      </c>
      <c r="AG541" s="12" t="n"/>
      <c r="AH541" s="11" t="n"/>
      <c r="AI541" s="11" t="n"/>
      <c r="AJ541" s="11" t="n"/>
      <c r="AK541" s="14">
        <f>IF(AND($AF541="保留中",$AH541&lt;&gt;""),TODAY()-$AH541,"")</f>
        <v/>
      </c>
      <c r="AL541" s="12" t="n"/>
      <c r="AM541" s="14">
        <f>IF($B541="","",IF($AQ541="","対象年月が未入力／","")&amp;IF($B541="","",IF($AP541="","職員マスタに未登録の職員番号／",IF($AA541="","標準報酬月額が未登録／","")&amp;IF(AND($AQ541&lt;&gt;"",OR(AND(INDEX(職員マスタ!$G$6:$G$405,$AP541)&lt;&gt;"",INDEX(職員マスタ!$G$6:$G$405,$AP541)&gt;EOMONTH($AQ541,0)),AND(INDEX(職員マスタ!$H$6:$H$405,$AP541)&lt;&gt;"",INDEX(職員マスタ!$H$6:$H$405,$AP541)&lt;$AQ541))),"対象月が時短期間外／","")&amp;IF(AND(INDEX(職員マスタ!$K$6:$K$405,$AP541)&lt;&gt;"",N($W541)&gt;0,INDEX(職員マスタ!$K$6:$K$405,$AP541)&lt;&gt;$W541),"標準報酬月額が申請書と相違（台帳"&amp;TEXT(INDEX(職員マスタ!$K$6:$K$405,$AP541),"#,##0")&amp;"円／申請書"&amp;TEXT($W541,"#,##0")&amp;"円）／","")&amp;IF(AND(INDEX(職員マスタ!$F$6:$F$405,$AP541)&lt;&gt;"",$AQ541&lt;&gt;"",INDEX(職員マスタ!$F$6:$F$405,$AP541)&lt;$AQ541),"対象月に子が2歳到達済／","")&amp;IF(AND($H541&lt;&gt;"",INDEX(職員マスタ!$B$6:$B$405,$AP541)&lt;&gt;"",SUBSTITUTE(SUBSTITUTE($H541," ","")," ","")&lt;&gt;SUBSTITUTE(SUBSTITUTE(INDEX(職員マスタ!$B$6:$B$405,$AP541)," ","")," ","")),"氏名がマスタと相違／","")&amp;IF(AND($Q541&lt;&gt;"",INDEX(職員マスタ!$E$6:$E$405,$AP541)&lt;&gt;"",$Q541&lt;&gt;INDEX(職員マスタ!$E$6:$E$405,$AP541)),"子の生年月日がマスタと相違／","")&amp;IF(AND($L541&lt;&gt;"",INDEX(職員マスタ!$G$6:$G$405,$AP541)&lt;&gt;"",$L541&lt;&gt;INDEX(職員マスタ!$G$6:$G$405,$AP541)),"時短開始日がマスタと相違／","")&amp;IF(AND($M541&lt;&gt;"",INDEX(職員マスタ!$H$6:$H$405,$AP541)&lt;&gt;"",$M541&lt;&gt;INDEX(職員マスタ!$H$6:$H$405,$AP541)),"時短終了日がマスタと相違／","")))&amp;IF(AND($B541&lt;&gt;"",$E541=""),"報酬額が未入力／","")&amp;IF(N($U541)&gt;0,"申請書に入力エラーが残っています／","")&amp;IF(AND($B541&lt;&gt;"",$AQ541&lt;&gt;""),IF(COUNTIFS($B$6:$B$3005,$B541,$C$6:$C$3005,$C541,$D$6:$D$3005,$D541)&gt;1,"同じ月の請求が重複しています／",""),"")&amp;IF(AND(N($E541)&gt;0,$AB541&lt;&gt;"",$AB541&lt;&gt;"×",$AE541=0,$AD541=""),"計算額が下限以下のため不支給／",""))</f>
        <v/>
      </c>
      <c r="AN541" s="12" t="n"/>
      <c r="AO541" s="14">
        <f>IF($AF541="保留中",COUNTIF($AF$6:$AF541,"保留中"),"")</f>
        <v/>
      </c>
      <c r="AP541" s="14">
        <f>IF($AQ541="","",IF(SUMPRODUCT(MAX((職員マスタ!$A$6:$A$405=$B541)*(((職員マスタ!$G$6:$G$405="")+(職員マスタ!$G$6:$G$405&lt;=EOMONTH($AQ541,0)))&gt;0)*(((職員マスタ!$H$6:$H$405="")+(職員マスタ!$H$6:$H$405&gt;=$AQ541))&gt;0)*(ROW(職員マスタ!$A$6:$A$405)-5)))&gt;0,SUMPRODUCT(MAX((職員マスタ!$A$6:$A$405=$B541)*(((職員マスタ!$G$6:$G$405="")+(職員マスタ!$G$6:$G$405&lt;=EOMONTH($AQ541,0)))&gt;0)*(((職員マスタ!$H$6:$H$405="")+(職員マスタ!$H$6:$H$405&gt;=$AQ541))&gt;0)*(ROW(職員マスタ!$A$6:$A$405)-5))),IFERROR(MATCH($B541,職員マスタ!$A$6:$A$405,0),"")))</f>
        <v/>
      </c>
      <c r="AQ541" s="16">
        <f>IF(OR($B541="",$C541="",$D541=""),"",DATE($C541+2018,$D541,1))</f>
        <v/>
      </c>
    </row>
    <row r="542">
      <c r="A542" s="11" t="n"/>
      <c r="B542" s="12" t="n"/>
      <c r="C542" s="12" t="n"/>
      <c r="D542" s="12" t="n"/>
      <c r="E542" s="13" t="n"/>
      <c r="F542" s="12" t="n"/>
      <c r="G542" s="13" t="n"/>
      <c r="H542" s="12" t="n"/>
      <c r="I542" s="12" t="n"/>
      <c r="J542" s="12" t="n"/>
      <c r="K542" s="12" t="n"/>
      <c r="L542" s="11" t="n"/>
      <c r="M542" s="11" t="n"/>
      <c r="N542" s="11" t="n"/>
      <c r="O542" s="11" t="n"/>
      <c r="P542" s="12" t="n"/>
      <c r="Q542" s="11" t="n"/>
      <c r="R542" s="12" t="n"/>
      <c r="S542" s="11" t="n"/>
      <c r="T542" s="12" t="n"/>
      <c r="U542" s="12" t="n"/>
      <c r="V542" s="12" t="n"/>
      <c r="W542" s="13" t="n"/>
      <c r="X542" s="14">
        <f>IF($AP542="",IF($B542="","",$H542),IF(INDEX(職員マスタ!$B$6:$B$405,$AP542)="",$H542,INDEX(職員マスタ!$B$6:$B$405,$AP542)))</f>
        <v/>
      </c>
      <c r="Y542" s="14">
        <f>IF($AP542="",IF($B542="","",$R542),IF(INDEX(職員マスタ!$C$6:$C$405,$AP542)="",$R542,INDEX(職員マスタ!$C$6:$C$405,$AP542)))</f>
        <v/>
      </c>
      <c r="Z542" s="14">
        <f>IF($AQ542="","","R"&amp;$C542&amp;"."&amp;$D542)</f>
        <v/>
      </c>
      <c r="AA542" s="15">
        <f>IF(IF($AP542="",FALSE,INDEX(職員マスタ!$K$6:$K$405,$AP542)&lt;&gt;""),INDEX(職員マスタ!$K$6:$K$405,$AP542),IF(N($W542)&gt;0,$W542,""))</f>
        <v/>
      </c>
      <c r="AB542" s="14">
        <f>IF(OR($E542="",$AA542=""),"",IF($E542&gt;=$AA542,"×",IF($E542&gt;=$AA542*設定!$C$5,"△","○")))</f>
        <v/>
      </c>
      <c r="AC542" s="15">
        <f>IF($AB542="","",IF($AB542="×",0,IF($AB542="○",ROUNDDOWN($E542*設定!$C$4,0),ROUNDDOWN($E542*ROUND((9*$AA542-9*$E542)/(10*$E542),4),0))))</f>
        <v/>
      </c>
      <c r="AD542" s="13" t="n"/>
      <c r="AE542" s="15">
        <f>IF($B542="","",IF($AD542&lt;&gt;"",$AD542,IF($AC542="","",IF($AC542&lt;=設定!$C$3,0,$AC542))))</f>
        <v/>
      </c>
      <c r="AF542" s="14">
        <f>IF($B542="","",IF(AND($AG542&lt;&gt;"",$AI542="",$AL542=""),"保留中",IF($AL542&lt;&gt;"",IF(N($AE542)&gt;0,"支給済","不支給"),IF($AE542="","要確認",IF($AE542=0,"不支給","未処理")))))</f>
        <v/>
      </c>
      <c r="AG542" s="12" t="n"/>
      <c r="AH542" s="11" t="n"/>
      <c r="AI542" s="11" t="n"/>
      <c r="AJ542" s="11" t="n"/>
      <c r="AK542" s="14">
        <f>IF(AND($AF542="保留中",$AH542&lt;&gt;""),TODAY()-$AH542,"")</f>
        <v/>
      </c>
      <c r="AL542" s="12" t="n"/>
      <c r="AM542" s="14">
        <f>IF($B542="","",IF($AQ542="","対象年月が未入力／","")&amp;IF($B542="","",IF($AP542="","職員マスタに未登録の職員番号／",IF($AA542="","標準報酬月額が未登録／","")&amp;IF(AND($AQ542&lt;&gt;"",OR(AND(INDEX(職員マスタ!$G$6:$G$405,$AP542)&lt;&gt;"",INDEX(職員マスタ!$G$6:$G$405,$AP542)&gt;EOMONTH($AQ542,0)),AND(INDEX(職員マスタ!$H$6:$H$405,$AP542)&lt;&gt;"",INDEX(職員マスタ!$H$6:$H$405,$AP542)&lt;$AQ542))),"対象月が時短期間外／","")&amp;IF(AND(INDEX(職員マスタ!$K$6:$K$405,$AP542)&lt;&gt;"",N($W542)&gt;0,INDEX(職員マスタ!$K$6:$K$405,$AP542)&lt;&gt;$W542),"標準報酬月額が申請書と相違（台帳"&amp;TEXT(INDEX(職員マスタ!$K$6:$K$405,$AP542),"#,##0")&amp;"円／申請書"&amp;TEXT($W542,"#,##0")&amp;"円）／","")&amp;IF(AND(INDEX(職員マスタ!$F$6:$F$405,$AP542)&lt;&gt;"",$AQ542&lt;&gt;"",INDEX(職員マスタ!$F$6:$F$405,$AP542)&lt;$AQ542),"対象月に子が2歳到達済／","")&amp;IF(AND($H542&lt;&gt;"",INDEX(職員マスタ!$B$6:$B$405,$AP542)&lt;&gt;"",SUBSTITUTE(SUBSTITUTE($H542," ","")," ","")&lt;&gt;SUBSTITUTE(SUBSTITUTE(INDEX(職員マスタ!$B$6:$B$405,$AP542)," ","")," ","")),"氏名がマスタと相違／","")&amp;IF(AND($Q542&lt;&gt;"",INDEX(職員マスタ!$E$6:$E$405,$AP542)&lt;&gt;"",$Q542&lt;&gt;INDEX(職員マスタ!$E$6:$E$405,$AP542)),"子の生年月日がマスタと相違／","")&amp;IF(AND($L542&lt;&gt;"",INDEX(職員マスタ!$G$6:$G$405,$AP542)&lt;&gt;"",$L542&lt;&gt;INDEX(職員マスタ!$G$6:$G$405,$AP542)),"時短開始日がマスタと相違／","")&amp;IF(AND($M542&lt;&gt;"",INDEX(職員マスタ!$H$6:$H$405,$AP542)&lt;&gt;"",$M542&lt;&gt;INDEX(職員マスタ!$H$6:$H$405,$AP542)),"時短終了日がマスタと相違／","")))&amp;IF(AND($B542&lt;&gt;"",$E542=""),"報酬額が未入力／","")&amp;IF(N($U542)&gt;0,"申請書に入力エラーが残っています／","")&amp;IF(AND($B542&lt;&gt;"",$AQ542&lt;&gt;""),IF(COUNTIFS($B$6:$B$3005,$B542,$C$6:$C$3005,$C542,$D$6:$D$3005,$D542)&gt;1,"同じ月の請求が重複しています／",""),"")&amp;IF(AND(N($E542)&gt;0,$AB542&lt;&gt;"",$AB542&lt;&gt;"×",$AE542=0,$AD542=""),"計算額が下限以下のため不支給／",""))</f>
        <v/>
      </c>
      <c r="AN542" s="12" t="n"/>
      <c r="AO542" s="14">
        <f>IF($AF542="保留中",COUNTIF($AF$6:$AF542,"保留中"),"")</f>
        <v/>
      </c>
      <c r="AP542" s="14">
        <f>IF($AQ542="","",IF(SUMPRODUCT(MAX((職員マスタ!$A$6:$A$405=$B542)*(((職員マスタ!$G$6:$G$405="")+(職員マスタ!$G$6:$G$405&lt;=EOMONTH($AQ542,0)))&gt;0)*(((職員マスタ!$H$6:$H$405="")+(職員マスタ!$H$6:$H$405&gt;=$AQ542))&gt;0)*(ROW(職員マスタ!$A$6:$A$405)-5)))&gt;0,SUMPRODUCT(MAX((職員マスタ!$A$6:$A$405=$B542)*(((職員マスタ!$G$6:$G$405="")+(職員マスタ!$G$6:$G$405&lt;=EOMONTH($AQ542,0)))&gt;0)*(((職員マスタ!$H$6:$H$405="")+(職員マスタ!$H$6:$H$405&gt;=$AQ542))&gt;0)*(ROW(職員マスタ!$A$6:$A$405)-5))),IFERROR(MATCH($B542,職員マスタ!$A$6:$A$405,0),"")))</f>
        <v/>
      </c>
      <c r="AQ542" s="16">
        <f>IF(OR($B542="",$C542="",$D542=""),"",DATE($C542+2018,$D542,1))</f>
        <v/>
      </c>
    </row>
    <row r="543">
      <c r="A543" s="11" t="n"/>
      <c r="B543" s="12" t="n"/>
      <c r="C543" s="12" t="n"/>
      <c r="D543" s="12" t="n"/>
      <c r="E543" s="13" t="n"/>
      <c r="F543" s="12" t="n"/>
      <c r="G543" s="13" t="n"/>
      <c r="H543" s="12" t="n"/>
      <c r="I543" s="12" t="n"/>
      <c r="J543" s="12" t="n"/>
      <c r="K543" s="12" t="n"/>
      <c r="L543" s="11" t="n"/>
      <c r="M543" s="11" t="n"/>
      <c r="N543" s="11" t="n"/>
      <c r="O543" s="11" t="n"/>
      <c r="P543" s="12" t="n"/>
      <c r="Q543" s="11" t="n"/>
      <c r="R543" s="12" t="n"/>
      <c r="S543" s="11" t="n"/>
      <c r="T543" s="12" t="n"/>
      <c r="U543" s="12" t="n"/>
      <c r="V543" s="12" t="n"/>
      <c r="W543" s="13" t="n"/>
      <c r="X543" s="14">
        <f>IF($AP543="",IF($B543="","",$H543),IF(INDEX(職員マスタ!$B$6:$B$405,$AP543)="",$H543,INDEX(職員マスタ!$B$6:$B$405,$AP543)))</f>
        <v/>
      </c>
      <c r="Y543" s="14">
        <f>IF($AP543="",IF($B543="","",$R543),IF(INDEX(職員マスタ!$C$6:$C$405,$AP543)="",$R543,INDEX(職員マスタ!$C$6:$C$405,$AP543)))</f>
        <v/>
      </c>
      <c r="Z543" s="14">
        <f>IF($AQ543="","","R"&amp;$C543&amp;"."&amp;$D543)</f>
        <v/>
      </c>
      <c r="AA543" s="15">
        <f>IF(IF($AP543="",FALSE,INDEX(職員マスタ!$K$6:$K$405,$AP543)&lt;&gt;""),INDEX(職員マスタ!$K$6:$K$405,$AP543),IF(N($W543)&gt;0,$W543,""))</f>
        <v/>
      </c>
      <c r="AB543" s="14">
        <f>IF(OR($E543="",$AA543=""),"",IF($E543&gt;=$AA543,"×",IF($E543&gt;=$AA543*設定!$C$5,"△","○")))</f>
        <v/>
      </c>
      <c r="AC543" s="15">
        <f>IF($AB543="","",IF($AB543="×",0,IF($AB543="○",ROUNDDOWN($E543*設定!$C$4,0),ROUNDDOWN($E543*ROUND((9*$AA543-9*$E543)/(10*$E543),4),0))))</f>
        <v/>
      </c>
      <c r="AD543" s="13" t="n"/>
      <c r="AE543" s="15">
        <f>IF($B543="","",IF($AD543&lt;&gt;"",$AD543,IF($AC543="","",IF($AC543&lt;=設定!$C$3,0,$AC543))))</f>
        <v/>
      </c>
      <c r="AF543" s="14">
        <f>IF($B543="","",IF(AND($AG543&lt;&gt;"",$AI543="",$AL543=""),"保留中",IF($AL543&lt;&gt;"",IF(N($AE543)&gt;0,"支給済","不支給"),IF($AE543="","要確認",IF($AE543=0,"不支給","未処理")))))</f>
        <v/>
      </c>
      <c r="AG543" s="12" t="n"/>
      <c r="AH543" s="11" t="n"/>
      <c r="AI543" s="11" t="n"/>
      <c r="AJ543" s="11" t="n"/>
      <c r="AK543" s="14">
        <f>IF(AND($AF543="保留中",$AH543&lt;&gt;""),TODAY()-$AH543,"")</f>
        <v/>
      </c>
      <c r="AL543" s="12" t="n"/>
      <c r="AM543" s="14">
        <f>IF($B543="","",IF($AQ543="","対象年月が未入力／","")&amp;IF($B543="","",IF($AP543="","職員マスタに未登録の職員番号／",IF($AA543="","標準報酬月額が未登録／","")&amp;IF(AND($AQ543&lt;&gt;"",OR(AND(INDEX(職員マスタ!$G$6:$G$405,$AP543)&lt;&gt;"",INDEX(職員マスタ!$G$6:$G$405,$AP543)&gt;EOMONTH($AQ543,0)),AND(INDEX(職員マスタ!$H$6:$H$405,$AP543)&lt;&gt;"",INDEX(職員マスタ!$H$6:$H$405,$AP543)&lt;$AQ543))),"対象月が時短期間外／","")&amp;IF(AND(INDEX(職員マスタ!$K$6:$K$405,$AP543)&lt;&gt;"",N($W543)&gt;0,INDEX(職員マスタ!$K$6:$K$405,$AP543)&lt;&gt;$W543),"標準報酬月額が申請書と相違（台帳"&amp;TEXT(INDEX(職員マスタ!$K$6:$K$405,$AP543),"#,##0")&amp;"円／申請書"&amp;TEXT($W543,"#,##0")&amp;"円）／","")&amp;IF(AND(INDEX(職員マスタ!$F$6:$F$405,$AP543)&lt;&gt;"",$AQ543&lt;&gt;"",INDEX(職員マスタ!$F$6:$F$405,$AP543)&lt;$AQ543),"対象月に子が2歳到達済／","")&amp;IF(AND($H543&lt;&gt;"",INDEX(職員マスタ!$B$6:$B$405,$AP543)&lt;&gt;"",SUBSTITUTE(SUBSTITUTE($H543," ","")," ","")&lt;&gt;SUBSTITUTE(SUBSTITUTE(INDEX(職員マスタ!$B$6:$B$405,$AP543)," ","")," ","")),"氏名がマスタと相違／","")&amp;IF(AND($Q543&lt;&gt;"",INDEX(職員マスタ!$E$6:$E$405,$AP543)&lt;&gt;"",$Q543&lt;&gt;INDEX(職員マスタ!$E$6:$E$405,$AP543)),"子の生年月日がマスタと相違／","")&amp;IF(AND($L543&lt;&gt;"",INDEX(職員マスタ!$G$6:$G$405,$AP543)&lt;&gt;"",$L543&lt;&gt;INDEX(職員マスタ!$G$6:$G$405,$AP543)),"時短開始日がマスタと相違／","")&amp;IF(AND($M543&lt;&gt;"",INDEX(職員マスタ!$H$6:$H$405,$AP543)&lt;&gt;"",$M543&lt;&gt;INDEX(職員マスタ!$H$6:$H$405,$AP543)),"時短終了日がマスタと相違／","")))&amp;IF(AND($B543&lt;&gt;"",$E543=""),"報酬額が未入力／","")&amp;IF(N($U543)&gt;0,"申請書に入力エラーが残っています／","")&amp;IF(AND($B543&lt;&gt;"",$AQ543&lt;&gt;""),IF(COUNTIFS($B$6:$B$3005,$B543,$C$6:$C$3005,$C543,$D$6:$D$3005,$D543)&gt;1,"同じ月の請求が重複しています／",""),"")&amp;IF(AND(N($E543)&gt;0,$AB543&lt;&gt;"",$AB543&lt;&gt;"×",$AE543=0,$AD543=""),"計算額が下限以下のため不支給／",""))</f>
        <v/>
      </c>
      <c r="AN543" s="12" t="n"/>
      <c r="AO543" s="14">
        <f>IF($AF543="保留中",COUNTIF($AF$6:$AF543,"保留中"),"")</f>
        <v/>
      </c>
      <c r="AP543" s="14">
        <f>IF($AQ543="","",IF(SUMPRODUCT(MAX((職員マスタ!$A$6:$A$405=$B543)*(((職員マスタ!$G$6:$G$405="")+(職員マスタ!$G$6:$G$405&lt;=EOMONTH($AQ543,0)))&gt;0)*(((職員マスタ!$H$6:$H$405="")+(職員マスタ!$H$6:$H$405&gt;=$AQ543))&gt;0)*(ROW(職員マスタ!$A$6:$A$405)-5)))&gt;0,SUMPRODUCT(MAX((職員マスタ!$A$6:$A$405=$B543)*(((職員マスタ!$G$6:$G$405="")+(職員マスタ!$G$6:$G$405&lt;=EOMONTH($AQ543,0)))&gt;0)*(((職員マスタ!$H$6:$H$405="")+(職員マスタ!$H$6:$H$405&gt;=$AQ543))&gt;0)*(ROW(職員マスタ!$A$6:$A$405)-5))),IFERROR(MATCH($B543,職員マスタ!$A$6:$A$405,0),"")))</f>
        <v/>
      </c>
      <c r="AQ543" s="16">
        <f>IF(OR($B543="",$C543="",$D543=""),"",DATE($C543+2018,$D543,1))</f>
        <v/>
      </c>
    </row>
    <row r="544">
      <c r="A544" s="11" t="n"/>
      <c r="B544" s="12" t="n"/>
      <c r="C544" s="12" t="n"/>
      <c r="D544" s="12" t="n"/>
      <c r="E544" s="13" t="n"/>
      <c r="F544" s="12" t="n"/>
      <c r="G544" s="13" t="n"/>
      <c r="H544" s="12" t="n"/>
      <c r="I544" s="12" t="n"/>
      <c r="J544" s="12" t="n"/>
      <c r="K544" s="12" t="n"/>
      <c r="L544" s="11" t="n"/>
      <c r="M544" s="11" t="n"/>
      <c r="N544" s="11" t="n"/>
      <c r="O544" s="11" t="n"/>
      <c r="P544" s="12" t="n"/>
      <c r="Q544" s="11" t="n"/>
      <c r="R544" s="12" t="n"/>
      <c r="S544" s="11" t="n"/>
      <c r="T544" s="12" t="n"/>
      <c r="U544" s="12" t="n"/>
      <c r="V544" s="12" t="n"/>
      <c r="W544" s="13" t="n"/>
      <c r="X544" s="14">
        <f>IF($AP544="",IF($B544="","",$H544),IF(INDEX(職員マスタ!$B$6:$B$405,$AP544)="",$H544,INDEX(職員マスタ!$B$6:$B$405,$AP544)))</f>
        <v/>
      </c>
      <c r="Y544" s="14">
        <f>IF($AP544="",IF($B544="","",$R544),IF(INDEX(職員マスタ!$C$6:$C$405,$AP544)="",$R544,INDEX(職員マスタ!$C$6:$C$405,$AP544)))</f>
        <v/>
      </c>
      <c r="Z544" s="14">
        <f>IF($AQ544="","","R"&amp;$C544&amp;"."&amp;$D544)</f>
        <v/>
      </c>
      <c r="AA544" s="15">
        <f>IF(IF($AP544="",FALSE,INDEX(職員マスタ!$K$6:$K$405,$AP544)&lt;&gt;""),INDEX(職員マスタ!$K$6:$K$405,$AP544),IF(N($W544)&gt;0,$W544,""))</f>
        <v/>
      </c>
      <c r="AB544" s="14">
        <f>IF(OR($E544="",$AA544=""),"",IF($E544&gt;=$AA544,"×",IF($E544&gt;=$AA544*設定!$C$5,"△","○")))</f>
        <v/>
      </c>
      <c r="AC544" s="15">
        <f>IF($AB544="","",IF($AB544="×",0,IF($AB544="○",ROUNDDOWN($E544*設定!$C$4,0),ROUNDDOWN($E544*ROUND((9*$AA544-9*$E544)/(10*$E544),4),0))))</f>
        <v/>
      </c>
      <c r="AD544" s="13" t="n"/>
      <c r="AE544" s="15">
        <f>IF($B544="","",IF($AD544&lt;&gt;"",$AD544,IF($AC544="","",IF($AC544&lt;=設定!$C$3,0,$AC544))))</f>
        <v/>
      </c>
      <c r="AF544" s="14">
        <f>IF($B544="","",IF(AND($AG544&lt;&gt;"",$AI544="",$AL544=""),"保留中",IF($AL544&lt;&gt;"",IF(N($AE544)&gt;0,"支給済","不支給"),IF($AE544="","要確認",IF($AE544=0,"不支給","未処理")))))</f>
        <v/>
      </c>
      <c r="AG544" s="12" t="n"/>
      <c r="AH544" s="11" t="n"/>
      <c r="AI544" s="11" t="n"/>
      <c r="AJ544" s="11" t="n"/>
      <c r="AK544" s="14">
        <f>IF(AND($AF544="保留中",$AH544&lt;&gt;""),TODAY()-$AH544,"")</f>
        <v/>
      </c>
      <c r="AL544" s="12" t="n"/>
      <c r="AM544" s="14">
        <f>IF($B544="","",IF($AQ544="","対象年月が未入力／","")&amp;IF($B544="","",IF($AP544="","職員マスタに未登録の職員番号／",IF($AA544="","標準報酬月額が未登録／","")&amp;IF(AND($AQ544&lt;&gt;"",OR(AND(INDEX(職員マスタ!$G$6:$G$405,$AP544)&lt;&gt;"",INDEX(職員マスタ!$G$6:$G$405,$AP544)&gt;EOMONTH($AQ544,0)),AND(INDEX(職員マスタ!$H$6:$H$405,$AP544)&lt;&gt;"",INDEX(職員マスタ!$H$6:$H$405,$AP544)&lt;$AQ544))),"対象月が時短期間外／","")&amp;IF(AND(INDEX(職員マスタ!$K$6:$K$405,$AP544)&lt;&gt;"",N($W544)&gt;0,INDEX(職員マスタ!$K$6:$K$405,$AP544)&lt;&gt;$W544),"標準報酬月額が申請書と相違（台帳"&amp;TEXT(INDEX(職員マスタ!$K$6:$K$405,$AP544),"#,##0")&amp;"円／申請書"&amp;TEXT($W544,"#,##0")&amp;"円）／","")&amp;IF(AND(INDEX(職員マスタ!$F$6:$F$405,$AP544)&lt;&gt;"",$AQ544&lt;&gt;"",INDEX(職員マスタ!$F$6:$F$405,$AP544)&lt;$AQ544),"対象月に子が2歳到達済／","")&amp;IF(AND($H544&lt;&gt;"",INDEX(職員マスタ!$B$6:$B$405,$AP544)&lt;&gt;"",SUBSTITUTE(SUBSTITUTE($H544," ","")," ","")&lt;&gt;SUBSTITUTE(SUBSTITUTE(INDEX(職員マスタ!$B$6:$B$405,$AP544)," ","")," ","")),"氏名がマスタと相違／","")&amp;IF(AND($Q544&lt;&gt;"",INDEX(職員マスタ!$E$6:$E$405,$AP544)&lt;&gt;"",$Q544&lt;&gt;INDEX(職員マスタ!$E$6:$E$405,$AP544)),"子の生年月日がマスタと相違／","")&amp;IF(AND($L544&lt;&gt;"",INDEX(職員マスタ!$G$6:$G$405,$AP544)&lt;&gt;"",$L544&lt;&gt;INDEX(職員マスタ!$G$6:$G$405,$AP544)),"時短開始日がマスタと相違／","")&amp;IF(AND($M544&lt;&gt;"",INDEX(職員マスタ!$H$6:$H$405,$AP544)&lt;&gt;"",$M544&lt;&gt;INDEX(職員マスタ!$H$6:$H$405,$AP544)),"時短終了日がマスタと相違／","")))&amp;IF(AND($B544&lt;&gt;"",$E544=""),"報酬額が未入力／","")&amp;IF(N($U544)&gt;0,"申請書に入力エラーが残っています／","")&amp;IF(AND($B544&lt;&gt;"",$AQ544&lt;&gt;""),IF(COUNTIFS($B$6:$B$3005,$B544,$C$6:$C$3005,$C544,$D$6:$D$3005,$D544)&gt;1,"同じ月の請求が重複しています／",""),"")&amp;IF(AND(N($E544)&gt;0,$AB544&lt;&gt;"",$AB544&lt;&gt;"×",$AE544=0,$AD544=""),"計算額が下限以下のため不支給／",""))</f>
        <v/>
      </c>
      <c r="AN544" s="12" t="n"/>
      <c r="AO544" s="14">
        <f>IF($AF544="保留中",COUNTIF($AF$6:$AF544,"保留中"),"")</f>
        <v/>
      </c>
      <c r="AP544" s="14">
        <f>IF($AQ544="","",IF(SUMPRODUCT(MAX((職員マスタ!$A$6:$A$405=$B544)*(((職員マスタ!$G$6:$G$405="")+(職員マスタ!$G$6:$G$405&lt;=EOMONTH($AQ544,0)))&gt;0)*(((職員マスタ!$H$6:$H$405="")+(職員マスタ!$H$6:$H$405&gt;=$AQ544))&gt;0)*(ROW(職員マスタ!$A$6:$A$405)-5)))&gt;0,SUMPRODUCT(MAX((職員マスタ!$A$6:$A$405=$B544)*(((職員マスタ!$G$6:$G$405="")+(職員マスタ!$G$6:$G$405&lt;=EOMONTH($AQ544,0)))&gt;0)*(((職員マスタ!$H$6:$H$405="")+(職員マスタ!$H$6:$H$405&gt;=$AQ544))&gt;0)*(ROW(職員マスタ!$A$6:$A$405)-5))),IFERROR(MATCH($B544,職員マスタ!$A$6:$A$405,0),"")))</f>
        <v/>
      </c>
      <c r="AQ544" s="16">
        <f>IF(OR($B544="",$C544="",$D544=""),"",DATE($C544+2018,$D544,1))</f>
        <v/>
      </c>
    </row>
    <row r="545">
      <c r="A545" s="11" t="n"/>
      <c r="B545" s="12" t="n"/>
      <c r="C545" s="12" t="n"/>
      <c r="D545" s="12" t="n"/>
      <c r="E545" s="13" t="n"/>
      <c r="F545" s="12" t="n"/>
      <c r="G545" s="13" t="n"/>
      <c r="H545" s="12" t="n"/>
      <c r="I545" s="12" t="n"/>
      <c r="J545" s="12" t="n"/>
      <c r="K545" s="12" t="n"/>
      <c r="L545" s="11" t="n"/>
      <c r="M545" s="11" t="n"/>
      <c r="N545" s="11" t="n"/>
      <c r="O545" s="11" t="n"/>
      <c r="P545" s="12" t="n"/>
      <c r="Q545" s="11" t="n"/>
      <c r="R545" s="12" t="n"/>
      <c r="S545" s="11" t="n"/>
      <c r="T545" s="12" t="n"/>
      <c r="U545" s="12" t="n"/>
      <c r="V545" s="12" t="n"/>
      <c r="W545" s="13" t="n"/>
      <c r="X545" s="14">
        <f>IF($AP545="",IF($B545="","",$H545),IF(INDEX(職員マスタ!$B$6:$B$405,$AP545)="",$H545,INDEX(職員マスタ!$B$6:$B$405,$AP545)))</f>
        <v/>
      </c>
      <c r="Y545" s="14">
        <f>IF($AP545="",IF($B545="","",$R545),IF(INDEX(職員マスタ!$C$6:$C$405,$AP545)="",$R545,INDEX(職員マスタ!$C$6:$C$405,$AP545)))</f>
        <v/>
      </c>
      <c r="Z545" s="14">
        <f>IF($AQ545="","","R"&amp;$C545&amp;"."&amp;$D545)</f>
        <v/>
      </c>
      <c r="AA545" s="15">
        <f>IF(IF($AP545="",FALSE,INDEX(職員マスタ!$K$6:$K$405,$AP545)&lt;&gt;""),INDEX(職員マスタ!$K$6:$K$405,$AP545),IF(N($W545)&gt;0,$W545,""))</f>
        <v/>
      </c>
      <c r="AB545" s="14">
        <f>IF(OR($E545="",$AA545=""),"",IF($E545&gt;=$AA545,"×",IF($E545&gt;=$AA545*設定!$C$5,"△","○")))</f>
        <v/>
      </c>
      <c r="AC545" s="15">
        <f>IF($AB545="","",IF($AB545="×",0,IF($AB545="○",ROUNDDOWN($E545*設定!$C$4,0),ROUNDDOWN($E545*ROUND((9*$AA545-9*$E545)/(10*$E545),4),0))))</f>
        <v/>
      </c>
      <c r="AD545" s="13" t="n"/>
      <c r="AE545" s="15">
        <f>IF($B545="","",IF($AD545&lt;&gt;"",$AD545,IF($AC545="","",IF($AC545&lt;=設定!$C$3,0,$AC545))))</f>
        <v/>
      </c>
      <c r="AF545" s="14">
        <f>IF($B545="","",IF(AND($AG545&lt;&gt;"",$AI545="",$AL545=""),"保留中",IF($AL545&lt;&gt;"",IF(N($AE545)&gt;0,"支給済","不支給"),IF($AE545="","要確認",IF($AE545=0,"不支給","未処理")))))</f>
        <v/>
      </c>
      <c r="AG545" s="12" t="n"/>
      <c r="AH545" s="11" t="n"/>
      <c r="AI545" s="11" t="n"/>
      <c r="AJ545" s="11" t="n"/>
      <c r="AK545" s="14">
        <f>IF(AND($AF545="保留中",$AH545&lt;&gt;""),TODAY()-$AH545,"")</f>
        <v/>
      </c>
      <c r="AL545" s="12" t="n"/>
      <c r="AM545" s="14">
        <f>IF($B545="","",IF($AQ545="","対象年月が未入力／","")&amp;IF($B545="","",IF($AP545="","職員マスタに未登録の職員番号／",IF($AA545="","標準報酬月額が未登録／","")&amp;IF(AND($AQ545&lt;&gt;"",OR(AND(INDEX(職員マスタ!$G$6:$G$405,$AP545)&lt;&gt;"",INDEX(職員マスタ!$G$6:$G$405,$AP545)&gt;EOMONTH($AQ545,0)),AND(INDEX(職員マスタ!$H$6:$H$405,$AP545)&lt;&gt;"",INDEX(職員マスタ!$H$6:$H$405,$AP545)&lt;$AQ545))),"対象月が時短期間外／","")&amp;IF(AND(INDEX(職員マスタ!$K$6:$K$405,$AP545)&lt;&gt;"",N($W545)&gt;0,INDEX(職員マスタ!$K$6:$K$405,$AP545)&lt;&gt;$W545),"標準報酬月額が申請書と相違（台帳"&amp;TEXT(INDEX(職員マスタ!$K$6:$K$405,$AP545),"#,##0")&amp;"円／申請書"&amp;TEXT($W545,"#,##0")&amp;"円）／","")&amp;IF(AND(INDEX(職員マスタ!$F$6:$F$405,$AP545)&lt;&gt;"",$AQ545&lt;&gt;"",INDEX(職員マスタ!$F$6:$F$405,$AP545)&lt;$AQ545),"対象月に子が2歳到達済／","")&amp;IF(AND($H545&lt;&gt;"",INDEX(職員マスタ!$B$6:$B$405,$AP545)&lt;&gt;"",SUBSTITUTE(SUBSTITUTE($H545," ","")," ","")&lt;&gt;SUBSTITUTE(SUBSTITUTE(INDEX(職員マスタ!$B$6:$B$405,$AP545)," ","")," ","")),"氏名がマスタと相違／","")&amp;IF(AND($Q545&lt;&gt;"",INDEX(職員マスタ!$E$6:$E$405,$AP545)&lt;&gt;"",$Q545&lt;&gt;INDEX(職員マスタ!$E$6:$E$405,$AP545)),"子の生年月日がマスタと相違／","")&amp;IF(AND($L545&lt;&gt;"",INDEX(職員マスタ!$G$6:$G$405,$AP545)&lt;&gt;"",$L545&lt;&gt;INDEX(職員マスタ!$G$6:$G$405,$AP545)),"時短開始日がマスタと相違／","")&amp;IF(AND($M545&lt;&gt;"",INDEX(職員マスタ!$H$6:$H$405,$AP545)&lt;&gt;"",$M545&lt;&gt;INDEX(職員マスタ!$H$6:$H$405,$AP545)),"時短終了日がマスタと相違／","")))&amp;IF(AND($B545&lt;&gt;"",$E545=""),"報酬額が未入力／","")&amp;IF(N($U545)&gt;0,"申請書に入力エラーが残っています／","")&amp;IF(AND($B545&lt;&gt;"",$AQ545&lt;&gt;""),IF(COUNTIFS($B$6:$B$3005,$B545,$C$6:$C$3005,$C545,$D$6:$D$3005,$D545)&gt;1,"同じ月の請求が重複しています／",""),"")&amp;IF(AND(N($E545)&gt;0,$AB545&lt;&gt;"",$AB545&lt;&gt;"×",$AE545=0,$AD545=""),"計算額が下限以下のため不支給／",""))</f>
        <v/>
      </c>
      <c r="AN545" s="12" t="n"/>
      <c r="AO545" s="14">
        <f>IF($AF545="保留中",COUNTIF($AF$6:$AF545,"保留中"),"")</f>
        <v/>
      </c>
      <c r="AP545" s="14">
        <f>IF($AQ545="","",IF(SUMPRODUCT(MAX((職員マスタ!$A$6:$A$405=$B545)*(((職員マスタ!$G$6:$G$405="")+(職員マスタ!$G$6:$G$405&lt;=EOMONTH($AQ545,0)))&gt;0)*(((職員マスタ!$H$6:$H$405="")+(職員マスタ!$H$6:$H$405&gt;=$AQ545))&gt;0)*(ROW(職員マスタ!$A$6:$A$405)-5)))&gt;0,SUMPRODUCT(MAX((職員マスタ!$A$6:$A$405=$B545)*(((職員マスタ!$G$6:$G$405="")+(職員マスタ!$G$6:$G$405&lt;=EOMONTH($AQ545,0)))&gt;0)*(((職員マスタ!$H$6:$H$405="")+(職員マスタ!$H$6:$H$405&gt;=$AQ545))&gt;0)*(ROW(職員マスタ!$A$6:$A$405)-5))),IFERROR(MATCH($B545,職員マスタ!$A$6:$A$405,0),"")))</f>
        <v/>
      </c>
      <c r="AQ545" s="16">
        <f>IF(OR($B545="",$C545="",$D545=""),"",DATE($C545+2018,$D545,1))</f>
        <v/>
      </c>
    </row>
    <row r="546">
      <c r="A546" s="11" t="n"/>
      <c r="B546" s="12" t="n"/>
      <c r="C546" s="12" t="n"/>
      <c r="D546" s="12" t="n"/>
      <c r="E546" s="13" t="n"/>
      <c r="F546" s="12" t="n"/>
      <c r="G546" s="13" t="n"/>
      <c r="H546" s="12" t="n"/>
      <c r="I546" s="12" t="n"/>
      <c r="J546" s="12" t="n"/>
      <c r="K546" s="12" t="n"/>
      <c r="L546" s="11" t="n"/>
      <c r="M546" s="11" t="n"/>
      <c r="N546" s="11" t="n"/>
      <c r="O546" s="11" t="n"/>
      <c r="P546" s="12" t="n"/>
      <c r="Q546" s="11" t="n"/>
      <c r="R546" s="12" t="n"/>
      <c r="S546" s="11" t="n"/>
      <c r="T546" s="12" t="n"/>
      <c r="U546" s="12" t="n"/>
      <c r="V546" s="12" t="n"/>
      <c r="W546" s="13" t="n"/>
      <c r="X546" s="14">
        <f>IF($AP546="",IF($B546="","",$H546),IF(INDEX(職員マスタ!$B$6:$B$405,$AP546)="",$H546,INDEX(職員マスタ!$B$6:$B$405,$AP546)))</f>
        <v/>
      </c>
      <c r="Y546" s="14">
        <f>IF($AP546="",IF($B546="","",$R546),IF(INDEX(職員マスタ!$C$6:$C$405,$AP546)="",$R546,INDEX(職員マスタ!$C$6:$C$405,$AP546)))</f>
        <v/>
      </c>
      <c r="Z546" s="14">
        <f>IF($AQ546="","","R"&amp;$C546&amp;"."&amp;$D546)</f>
        <v/>
      </c>
      <c r="AA546" s="15">
        <f>IF(IF($AP546="",FALSE,INDEX(職員マスタ!$K$6:$K$405,$AP546)&lt;&gt;""),INDEX(職員マスタ!$K$6:$K$405,$AP546),IF(N($W546)&gt;0,$W546,""))</f>
        <v/>
      </c>
      <c r="AB546" s="14">
        <f>IF(OR($E546="",$AA546=""),"",IF($E546&gt;=$AA546,"×",IF($E546&gt;=$AA546*設定!$C$5,"△","○")))</f>
        <v/>
      </c>
      <c r="AC546" s="15">
        <f>IF($AB546="","",IF($AB546="×",0,IF($AB546="○",ROUNDDOWN($E546*設定!$C$4,0),ROUNDDOWN($E546*ROUND((9*$AA546-9*$E546)/(10*$E546),4),0))))</f>
        <v/>
      </c>
      <c r="AD546" s="13" t="n"/>
      <c r="AE546" s="15">
        <f>IF($B546="","",IF($AD546&lt;&gt;"",$AD546,IF($AC546="","",IF($AC546&lt;=設定!$C$3,0,$AC546))))</f>
        <v/>
      </c>
      <c r="AF546" s="14">
        <f>IF($B546="","",IF(AND($AG546&lt;&gt;"",$AI546="",$AL546=""),"保留中",IF($AL546&lt;&gt;"",IF(N($AE546)&gt;0,"支給済","不支給"),IF($AE546="","要確認",IF($AE546=0,"不支給","未処理")))))</f>
        <v/>
      </c>
      <c r="AG546" s="12" t="n"/>
      <c r="AH546" s="11" t="n"/>
      <c r="AI546" s="11" t="n"/>
      <c r="AJ546" s="11" t="n"/>
      <c r="AK546" s="14">
        <f>IF(AND($AF546="保留中",$AH546&lt;&gt;""),TODAY()-$AH546,"")</f>
        <v/>
      </c>
      <c r="AL546" s="12" t="n"/>
      <c r="AM546" s="14">
        <f>IF($B546="","",IF($AQ546="","対象年月が未入力／","")&amp;IF($B546="","",IF($AP546="","職員マスタに未登録の職員番号／",IF($AA546="","標準報酬月額が未登録／","")&amp;IF(AND($AQ546&lt;&gt;"",OR(AND(INDEX(職員マスタ!$G$6:$G$405,$AP546)&lt;&gt;"",INDEX(職員マスタ!$G$6:$G$405,$AP546)&gt;EOMONTH($AQ546,0)),AND(INDEX(職員マスタ!$H$6:$H$405,$AP546)&lt;&gt;"",INDEX(職員マスタ!$H$6:$H$405,$AP546)&lt;$AQ546))),"対象月が時短期間外／","")&amp;IF(AND(INDEX(職員マスタ!$K$6:$K$405,$AP546)&lt;&gt;"",N($W546)&gt;0,INDEX(職員マスタ!$K$6:$K$405,$AP546)&lt;&gt;$W546),"標準報酬月額が申請書と相違（台帳"&amp;TEXT(INDEX(職員マスタ!$K$6:$K$405,$AP546),"#,##0")&amp;"円／申請書"&amp;TEXT($W546,"#,##0")&amp;"円）／","")&amp;IF(AND(INDEX(職員マスタ!$F$6:$F$405,$AP546)&lt;&gt;"",$AQ546&lt;&gt;"",INDEX(職員マスタ!$F$6:$F$405,$AP546)&lt;$AQ546),"対象月に子が2歳到達済／","")&amp;IF(AND($H546&lt;&gt;"",INDEX(職員マスタ!$B$6:$B$405,$AP546)&lt;&gt;"",SUBSTITUTE(SUBSTITUTE($H546," ","")," ","")&lt;&gt;SUBSTITUTE(SUBSTITUTE(INDEX(職員マスタ!$B$6:$B$405,$AP546)," ","")," ","")),"氏名がマスタと相違／","")&amp;IF(AND($Q546&lt;&gt;"",INDEX(職員マスタ!$E$6:$E$405,$AP546)&lt;&gt;"",$Q546&lt;&gt;INDEX(職員マスタ!$E$6:$E$405,$AP546)),"子の生年月日がマスタと相違／","")&amp;IF(AND($L546&lt;&gt;"",INDEX(職員マスタ!$G$6:$G$405,$AP546)&lt;&gt;"",$L546&lt;&gt;INDEX(職員マスタ!$G$6:$G$405,$AP546)),"時短開始日がマスタと相違／","")&amp;IF(AND($M546&lt;&gt;"",INDEX(職員マスタ!$H$6:$H$405,$AP546)&lt;&gt;"",$M546&lt;&gt;INDEX(職員マスタ!$H$6:$H$405,$AP546)),"時短終了日がマスタと相違／","")))&amp;IF(AND($B546&lt;&gt;"",$E546=""),"報酬額が未入力／","")&amp;IF(N($U546)&gt;0,"申請書に入力エラーが残っています／","")&amp;IF(AND($B546&lt;&gt;"",$AQ546&lt;&gt;""),IF(COUNTIFS($B$6:$B$3005,$B546,$C$6:$C$3005,$C546,$D$6:$D$3005,$D546)&gt;1,"同じ月の請求が重複しています／",""),"")&amp;IF(AND(N($E546)&gt;0,$AB546&lt;&gt;"",$AB546&lt;&gt;"×",$AE546=0,$AD546=""),"計算額が下限以下のため不支給／",""))</f>
        <v/>
      </c>
      <c r="AN546" s="12" t="n"/>
      <c r="AO546" s="14">
        <f>IF($AF546="保留中",COUNTIF($AF$6:$AF546,"保留中"),"")</f>
        <v/>
      </c>
      <c r="AP546" s="14">
        <f>IF($AQ546="","",IF(SUMPRODUCT(MAX((職員マスタ!$A$6:$A$405=$B546)*(((職員マスタ!$G$6:$G$405="")+(職員マスタ!$G$6:$G$405&lt;=EOMONTH($AQ546,0)))&gt;0)*(((職員マスタ!$H$6:$H$405="")+(職員マスタ!$H$6:$H$405&gt;=$AQ546))&gt;0)*(ROW(職員マスタ!$A$6:$A$405)-5)))&gt;0,SUMPRODUCT(MAX((職員マスタ!$A$6:$A$405=$B546)*(((職員マスタ!$G$6:$G$405="")+(職員マスタ!$G$6:$G$405&lt;=EOMONTH($AQ546,0)))&gt;0)*(((職員マスタ!$H$6:$H$405="")+(職員マスタ!$H$6:$H$405&gt;=$AQ546))&gt;0)*(ROW(職員マスタ!$A$6:$A$405)-5))),IFERROR(MATCH($B546,職員マスタ!$A$6:$A$405,0),"")))</f>
        <v/>
      </c>
      <c r="AQ546" s="16">
        <f>IF(OR($B546="",$C546="",$D546=""),"",DATE($C546+2018,$D546,1))</f>
        <v/>
      </c>
    </row>
    <row r="547">
      <c r="A547" s="11" t="n"/>
      <c r="B547" s="12" t="n"/>
      <c r="C547" s="12" t="n"/>
      <c r="D547" s="12" t="n"/>
      <c r="E547" s="13" t="n"/>
      <c r="F547" s="12" t="n"/>
      <c r="G547" s="13" t="n"/>
      <c r="H547" s="12" t="n"/>
      <c r="I547" s="12" t="n"/>
      <c r="J547" s="12" t="n"/>
      <c r="K547" s="12" t="n"/>
      <c r="L547" s="11" t="n"/>
      <c r="M547" s="11" t="n"/>
      <c r="N547" s="11" t="n"/>
      <c r="O547" s="11" t="n"/>
      <c r="P547" s="12" t="n"/>
      <c r="Q547" s="11" t="n"/>
      <c r="R547" s="12" t="n"/>
      <c r="S547" s="11" t="n"/>
      <c r="T547" s="12" t="n"/>
      <c r="U547" s="12" t="n"/>
      <c r="V547" s="12" t="n"/>
      <c r="W547" s="13" t="n"/>
      <c r="X547" s="14">
        <f>IF($AP547="",IF($B547="","",$H547),IF(INDEX(職員マスタ!$B$6:$B$405,$AP547)="",$H547,INDEX(職員マスタ!$B$6:$B$405,$AP547)))</f>
        <v/>
      </c>
      <c r="Y547" s="14">
        <f>IF($AP547="",IF($B547="","",$R547),IF(INDEX(職員マスタ!$C$6:$C$405,$AP547)="",$R547,INDEX(職員マスタ!$C$6:$C$405,$AP547)))</f>
        <v/>
      </c>
      <c r="Z547" s="14">
        <f>IF($AQ547="","","R"&amp;$C547&amp;"."&amp;$D547)</f>
        <v/>
      </c>
      <c r="AA547" s="15">
        <f>IF(IF($AP547="",FALSE,INDEX(職員マスタ!$K$6:$K$405,$AP547)&lt;&gt;""),INDEX(職員マスタ!$K$6:$K$405,$AP547),IF(N($W547)&gt;0,$W547,""))</f>
        <v/>
      </c>
      <c r="AB547" s="14">
        <f>IF(OR($E547="",$AA547=""),"",IF($E547&gt;=$AA547,"×",IF($E547&gt;=$AA547*設定!$C$5,"△","○")))</f>
        <v/>
      </c>
      <c r="AC547" s="15">
        <f>IF($AB547="","",IF($AB547="×",0,IF($AB547="○",ROUNDDOWN($E547*設定!$C$4,0),ROUNDDOWN($E547*ROUND((9*$AA547-9*$E547)/(10*$E547),4),0))))</f>
        <v/>
      </c>
      <c r="AD547" s="13" t="n"/>
      <c r="AE547" s="15">
        <f>IF($B547="","",IF($AD547&lt;&gt;"",$AD547,IF($AC547="","",IF($AC547&lt;=設定!$C$3,0,$AC547))))</f>
        <v/>
      </c>
      <c r="AF547" s="14">
        <f>IF($B547="","",IF(AND($AG547&lt;&gt;"",$AI547="",$AL547=""),"保留中",IF($AL547&lt;&gt;"",IF(N($AE547)&gt;0,"支給済","不支給"),IF($AE547="","要確認",IF($AE547=0,"不支給","未処理")))))</f>
        <v/>
      </c>
      <c r="AG547" s="12" t="n"/>
      <c r="AH547" s="11" t="n"/>
      <c r="AI547" s="11" t="n"/>
      <c r="AJ547" s="11" t="n"/>
      <c r="AK547" s="14">
        <f>IF(AND($AF547="保留中",$AH547&lt;&gt;""),TODAY()-$AH547,"")</f>
        <v/>
      </c>
      <c r="AL547" s="12" t="n"/>
      <c r="AM547" s="14">
        <f>IF($B547="","",IF($AQ547="","対象年月が未入力／","")&amp;IF($B547="","",IF($AP547="","職員マスタに未登録の職員番号／",IF($AA547="","標準報酬月額が未登録／","")&amp;IF(AND($AQ547&lt;&gt;"",OR(AND(INDEX(職員マスタ!$G$6:$G$405,$AP547)&lt;&gt;"",INDEX(職員マスタ!$G$6:$G$405,$AP547)&gt;EOMONTH($AQ547,0)),AND(INDEX(職員マスタ!$H$6:$H$405,$AP547)&lt;&gt;"",INDEX(職員マスタ!$H$6:$H$405,$AP547)&lt;$AQ547))),"対象月が時短期間外／","")&amp;IF(AND(INDEX(職員マスタ!$K$6:$K$405,$AP547)&lt;&gt;"",N($W547)&gt;0,INDEX(職員マスタ!$K$6:$K$405,$AP547)&lt;&gt;$W547),"標準報酬月額が申請書と相違（台帳"&amp;TEXT(INDEX(職員マスタ!$K$6:$K$405,$AP547),"#,##0")&amp;"円／申請書"&amp;TEXT($W547,"#,##0")&amp;"円）／","")&amp;IF(AND(INDEX(職員マスタ!$F$6:$F$405,$AP547)&lt;&gt;"",$AQ547&lt;&gt;"",INDEX(職員マスタ!$F$6:$F$405,$AP547)&lt;$AQ547),"対象月に子が2歳到達済／","")&amp;IF(AND($H547&lt;&gt;"",INDEX(職員マスタ!$B$6:$B$405,$AP547)&lt;&gt;"",SUBSTITUTE(SUBSTITUTE($H547," ","")," ","")&lt;&gt;SUBSTITUTE(SUBSTITUTE(INDEX(職員マスタ!$B$6:$B$405,$AP547)," ","")," ","")),"氏名がマスタと相違／","")&amp;IF(AND($Q547&lt;&gt;"",INDEX(職員マスタ!$E$6:$E$405,$AP547)&lt;&gt;"",$Q547&lt;&gt;INDEX(職員マスタ!$E$6:$E$405,$AP547)),"子の生年月日がマスタと相違／","")&amp;IF(AND($L547&lt;&gt;"",INDEX(職員マスタ!$G$6:$G$405,$AP547)&lt;&gt;"",$L547&lt;&gt;INDEX(職員マスタ!$G$6:$G$405,$AP547)),"時短開始日がマスタと相違／","")&amp;IF(AND($M547&lt;&gt;"",INDEX(職員マスタ!$H$6:$H$405,$AP547)&lt;&gt;"",$M547&lt;&gt;INDEX(職員マスタ!$H$6:$H$405,$AP547)),"時短終了日がマスタと相違／","")))&amp;IF(AND($B547&lt;&gt;"",$E547=""),"報酬額が未入力／","")&amp;IF(N($U547)&gt;0,"申請書に入力エラーが残っています／","")&amp;IF(AND($B547&lt;&gt;"",$AQ547&lt;&gt;""),IF(COUNTIFS($B$6:$B$3005,$B547,$C$6:$C$3005,$C547,$D$6:$D$3005,$D547)&gt;1,"同じ月の請求が重複しています／",""),"")&amp;IF(AND(N($E547)&gt;0,$AB547&lt;&gt;"",$AB547&lt;&gt;"×",$AE547=0,$AD547=""),"計算額が下限以下のため不支給／",""))</f>
        <v/>
      </c>
      <c r="AN547" s="12" t="n"/>
      <c r="AO547" s="14">
        <f>IF($AF547="保留中",COUNTIF($AF$6:$AF547,"保留中"),"")</f>
        <v/>
      </c>
      <c r="AP547" s="14">
        <f>IF($AQ547="","",IF(SUMPRODUCT(MAX((職員マスタ!$A$6:$A$405=$B547)*(((職員マスタ!$G$6:$G$405="")+(職員マスタ!$G$6:$G$405&lt;=EOMONTH($AQ547,0)))&gt;0)*(((職員マスタ!$H$6:$H$405="")+(職員マスタ!$H$6:$H$405&gt;=$AQ547))&gt;0)*(ROW(職員マスタ!$A$6:$A$405)-5)))&gt;0,SUMPRODUCT(MAX((職員マスタ!$A$6:$A$405=$B547)*(((職員マスタ!$G$6:$G$405="")+(職員マスタ!$G$6:$G$405&lt;=EOMONTH($AQ547,0)))&gt;0)*(((職員マスタ!$H$6:$H$405="")+(職員マスタ!$H$6:$H$405&gt;=$AQ547))&gt;0)*(ROW(職員マスタ!$A$6:$A$405)-5))),IFERROR(MATCH($B547,職員マスタ!$A$6:$A$405,0),"")))</f>
        <v/>
      </c>
      <c r="AQ547" s="16">
        <f>IF(OR($B547="",$C547="",$D547=""),"",DATE($C547+2018,$D547,1))</f>
        <v/>
      </c>
    </row>
    <row r="548">
      <c r="A548" s="11" t="n"/>
      <c r="B548" s="12" t="n"/>
      <c r="C548" s="12" t="n"/>
      <c r="D548" s="12" t="n"/>
      <c r="E548" s="13" t="n"/>
      <c r="F548" s="12" t="n"/>
      <c r="G548" s="13" t="n"/>
      <c r="H548" s="12" t="n"/>
      <c r="I548" s="12" t="n"/>
      <c r="J548" s="12" t="n"/>
      <c r="K548" s="12" t="n"/>
      <c r="L548" s="11" t="n"/>
      <c r="M548" s="11" t="n"/>
      <c r="N548" s="11" t="n"/>
      <c r="O548" s="11" t="n"/>
      <c r="P548" s="12" t="n"/>
      <c r="Q548" s="11" t="n"/>
      <c r="R548" s="12" t="n"/>
      <c r="S548" s="11" t="n"/>
      <c r="T548" s="12" t="n"/>
      <c r="U548" s="12" t="n"/>
      <c r="V548" s="12" t="n"/>
      <c r="W548" s="13" t="n"/>
      <c r="X548" s="14">
        <f>IF($AP548="",IF($B548="","",$H548),IF(INDEX(職員マスタ!$B$6:$B$405,$AP548)="",$H548,INDEX(職員マスタ!$B$6:$B$405,$AP548)))</f>
        <v/>
      </c>
      <c r="Y548" s="14">
        <f>IF($AP548="",IF($B548="","",$R548),IF(INDEX(職員マスタ!$C$6:$C$405,$AP548)="",$R548,INDEX(職員マスタ!$C$6:$C$405,$AP548)))</f>
        <v/>
      </c>
      <c r="Z548" s="14">
        <f>IF($AQ548="","","R"&amp;$C548&amp;"."&amp;$D548)</f>
        <v/>
      </c>
      <c r="AA548" s="15">
        <f>IF(IF($AP548="",FALSE,INDEX(職員マスタ!$K$6:$K$405,$AP548)&lt;&gt;""),INDEX(職員マスタ!$K$6:$K$405,$AP548),IF(N($W548)&gt;0,$W548,""))</f>
        <v/>
      </c>
      <c r="AB548" s="14">
        <f>IF(OR($E548="",$AA548=""),"",IF($E548&gt;=$AA548,"×",IF($E548&gt;=$AA548*設定!$C$5,"△","○")))</f>
        <v/>
      </c>
      <c r="AC548" s="15">
        <f>IF($AB548="","",IF($AB548="×",0,IF($AB548="○",ROUNDDOWN($E548*設定!$C$4,0),ROUNDDOWN($E548*ROUND((9*$AA548-9*$E548)/(10*$E548),4),0))))</f>
        <v/>
      </c>
      <c r="AD548" s="13" t="n"/>
      <c r="AE548" s="15">
        <f>IF($B548="","",IF($AD548&lt;&gt;"",$AD548,IF($AC548="","",IF($AC548&lt;=設定!$C$3,0,$AC548))))</f>
        <v/>
      </c>
      <c r="AF548" s="14">
        <f>IF($B548="","",IF(AND($AG548&lt;&gt;"",$AI548="",$AL548=""),"保留中",IF($AL548&lt;&gt;"",IF(N($AE548)&gt;0,"支給済","不支給"),IF($AE548="","要確認",IF($AE548=0,"不支給","未処理")))))</f>
        <v/>
      </c>
      <c r="AG548" s="12" t="n"/>
      <c r="AH548" s="11" t="n"/>
      <c r="AI548" s="11" t="n"/>
      <c r="AJ548" s="11" t="n"/>
      <c r="AK548" s="14">
        <f>IF(AND($AF548="保留中",$AH548&lt;&gt;""),TODAY()-$AH548,"")</f>
        <v/>
      </c>
      <c r="AL548" s="12" t="n"/>
      <c r="AM548" s="14">
        <f>IF($B548="","",IF($AQ548="","対象年月が未入力／","")&amp;IF($B548="","",IF($AP548="","職員マスタに未登録の職員番号／",IF($AA548="","標準報酬月額が未登録／","")&amp;IF(AND($AQ548&lt;&gt;"",OR(AND(INDEX(職員マスタ!$G$6:$G$405,$AP548)&lt;&gt;"",INDEX(職員マスタ!$G$6:$G$405,$AP548)&gt;EOMONTH($AQ548,0)),AND(INDEX(職員マスタ!$H$6:$H$405,$AP548)&lt;&gt;"",INDEX(職員マスタ!$H$6:$H$405,$AP548)&lt;$AQ548))),"対象月が時短期間外／","")&amp;IF(AND(INDEX(職員マスタ!$K$6:$K$405,$AP548)&lt;&gt;"",N($W548)&gt;0,INDEX(職員マスタ!$K$6:$K$405,$AP548)&lt;&gt;$W548),"標準報酬月額が申請書と相違（台帳"&amp;TEXT(INDEX(職員マスタ!$K$6:$K$405,$AP548),"#,##0")&amp;"円／申請書"&amp;TEXT($W548,"#,##0")&amp;"円）／","")&amp;IF(AND(INDEX(職員マスタ!$F$6:$F$405,$AP548)&lt;&gt;"",$AQ548&lt;&gt;"",INDEX(職員マスタ!$F$6:$F$405,$AP548)&lt;$AQ548),"対象月に子が2歳到達済／","")&amp;IF(AND($H548&lt;&gt;"",INDEX(職員マスタ!$B$6:$B$405,$AP548)&lt;&gt;"",SUBSTITUTE(SUBSTITUTE($H548," ","")," ","")&lt;&gt;SUBSTITUTE(SUBSTITUTE(INDEX(職員マスタ!$B$6:$B$405,$AP548)," ","")," ","")),"氏名がマスタと相違／","")&amp;IF(AND($Q548&lt;&gt;"",INDEX(職員マスタ!$E$6:$E$405,$AP548)&lt;&gt;"",$Q548&lt;&gt;INDEX(職員マスタ!$E$6:$E$405,$AP548)),"子の生年月日がマスタと相違／","")&amp;IF(AND($L548&lt;&gt;"",INDEX(職員マスタ!$G$6:$G$405,$AP548)&lt;&gt;"",$L548&lt;&gt;INDEX(職員マスタ!$G$6:$G$405,$AP548)),"時短開始日がマスタと相違／","")&amp;IF(AND($M548&lt;&gt;"",INDEX(職員マスタ!$H$6:$H$405,$AP548)&lt;&gt;"",$M548&lt;&gt;INDEX(職員マスタ!$H$6:$H$405,$AP548)),"時短終了日がマスタと相違／","")))&amp;IF(AND($B548&lt;&gt;"",$E548=""),"報酬額が未入力／","")&amp;IF(N($U548)&gt;0,"申請書に入力エラーが残っています／","")&amp;IF(AND($B548&lt;&gt;"",$AQ548&lt;&gt;""),IF(COUNTIFS($B$6:$B$3005,$B548,$C$6:$C$3005,$C548,$D$6:$D$3005,$D548)&gt;1,"同じ月の請求が重複しています／",""),"")&amp;IF(AND(N($E548)&gt;0,$AB548&lt;&gt;"",$AB548&lt;&gt;"×",$AE548=0,$AD548=""),"計算額が下限以下のため不支給／",""))</f>
        <v/>
      </c>
      <c r="AN548" s="12" t="n"/>
      <c r="AO548" s="14">
        <f>IF($AF548="保留中",COUNTIF($AF$6:$AF548,"保留中"),"")</f>
        <v/>
      </c>
      <c r="AP548" s="14">
        <f>IF($AQ548="","",IF(SUMPRODUCT(MAX((職員マスタ!$A$6:$A$405=$B548)*(((職員マスタ!$G$6:$G$405="")+(職員マスタ!$G$6:$G$405&lt;=EOMONTH($AQ548,0)))&gt;0)*(((職員マスタ!$H$6:$H$405="")+(職員マスタ!$H$6:$H$405&gt;=$AQ548))&gt;0)*(ROW(職員マスタ!$A$6:$A$405)-5)))&gt;0,SUMPRODUCT(MAX((職員マスタ!$A$6:$A$405=$B548)*(((職員マスタ!$G$6:$G$405="")+(職員マスタ!$G$6:$G$405&lt;=EOMONTH($AQ548,0)))&gt;0)*(((職員マスタ!$H$6:$H$405="")+(職員マスタ!$H$6:$H$405&gt;=$AQ548))&gt;0)*(ROW(職員マスタ!$A$6:$A$405)-5))),IFERROR(MATCH($B548,職員マスタ!$A$6:$A$405,0),"")))</f>
        <v/>
      </c>
      <c r="AQ548" s="16">
        <f>IF(OR($B548="",$C548="",$D548=""),"",DATE($C548+2018,$D548,1))</f>
        <v/>
      </c>
    </row>
    <row r="549">
      <c r="A549" s="11" t="n"/>
      <c r="B549" s="12" t="n"/>
      <c r="C549" s="12" t="n"/>
      <c r="D549" s="12" t="n"/>
      <c r="E549" s="13" t="n"/>
      <c r="F549" s="12" t="n"/>
      <c r="G549" s="13" t="n"/>
      <c r="H549" s="12" t="n"/>
      <c r="I549" s="12" t="n"/>
      <c r="J549" s="12" t="n"/>
      <c r="K549" s="12" t="n"/>
      <c r="L549" s="11" t="n"/>
      <c r="M549" s="11" t="n"/>
      <c r="N549" s="11" t="n"/>
      <c r="O549" s="11" t="n"/>
      <c r="P549" s="12" t="n"/>
      <c r="Q549" s="11" t="n"/>
      <c r="R549" s="12" t="n"/>
      <c r="S549" s="11" t="n"/>
      <c r="T549" s="12" t="n"/>
      <c r="U549" s="12" t="n"/>
      <c r="V549" s="12" t="n"/>
      <c r="W549" s="13" t="n"/>
      <c r="X549" s="14">
        <f>IF($AP549="",IF($B549="","",$H549),IF(INDEX(職員マスタ!$B$6:$B$405,$AP549)="",$H549,INDEX(職員マスタ!$B$6:$B$405,$AP549)))</f>
        <v/>
      </c>
      <c r="Y549" s="14">
        <f>IF($AP549="",IF($B549="","",$R549),IF(INDEX(職員マスタ!$C$6:$C$405,$AP549)="",$R549,INDEX(職員マスタ!$C$6:$C$405,$AP549)))</f>
        <v/>
      </c>
      <c r="Z549" s="14">
        <f>IF($AQ549="","","R"&amp;$C549&amp;"."&amp;$D549)</f>
        <v/>
      </c>
      <c r="AA549" s="15">
        <f>IF(IF($AP549="",FALSE,INDEX(職員マスタ!$K$6:$K$405,$AP549)&lt;&gt;""),INDEX(職員マスタ!$K$6:$K$405,$AP549),IF(N($W549)&gt;0,$W549,""))</f>
        <v/>
      </c>
      <c r="AB549" s="14">
        <f>IF(OR($E549="",$AA549=""),"",IF($E549&gt;=$AA549,"×",IF($E549&gt;=$AA549*設定!$C$5,"△","○")))</f>
        <v/>
      </c>
      <c r="AC549" s="15">
        <f>IF($AB549="","",IF($AB549="×",0,IF($AB549="○",ROUNDDOWN($E549*設定!$C$4,0),ROUNDDOWN($E549*ROUND((9*$AA549-9*$E549)/(10*$E549),4),0))))</f>
        <v/>
      </c>
      <c r="AD549" s="13" t="n"/>
      <c r="AE549" s="15">
        <f>IF($B549="","",IF($AD549&lt;&gt;"",$AD549,IF($AC549="","",IF($AC549&lt;=設定!$C$3,0,$AC549))))</f>
        <v/>
      </c>
      <c r="AF549" s="14">
        <f>IF($B549="","",IF(AND($AG549&lt;&gt;"",$AI549="",$AL549=""),"保留中",IF($AL549&lt;&gt;"",IF(N($AE549)&gt;0,"支給済","不支給"),IF($AE549="","要確認",IF($AE549=0,"不支給","未処理")))))</f>
        <v/>
      </c>
      <c r="AG549" s="12" t="n"/>
      <c r="AH549" s="11" t="n"/>
      <c r="AI549" s="11" t="n"/>
      <c r="AJ549" s="11" t="n"/>
      <c r="AK549" s="14">
        <f>IF(AND($AF549="保留中",$AH549&lt;&gt;""),TODAY()-$AH549,"")</f>
        <v/>
      </c>
      <c r="AL549" s="12" t="n"/>
      <c r="AM549" s="14">
        <f>IF($B549="","",IF($AQ549="","対象年月が未入力／","")&amp;IF($B549="","",IF($AP549="","職員マスタに未登録の職員番号／",IF($AA549="","標準報酬月額が未登録／","")&amp;IF(AND($AQ549&lt;&gt;"",OR(AND(INDEX(職員マスタ!$G$6:$G$405,$AP549)&lt;&gt;"",INDEX(職員マスタ!$G$6:$G$405,$AP549)&gt;EOMONTH($AQ549,0)),AND(INDEX(職員マスタ!$H$6:$H$405,$AP549)&lt;&gt;"",INDEX(職員マスタ!$H$6:$H$405,$AP549)&lt;$AQ549))),"対象月が時短期間外／","")&amp;IF(AND(INDEX(職員マスタ!$K$6:$K$405,$AP549)&lt;&gt;"",N($W549)&gt;0,INDEX(職員マスタ!$K$6:$K$405,$AP549)&lt;&gt;$W549),"標準報酬月額が申請書と相違（台帳"&amp;TEXT(INDEX(職員マスタ!$K$6:$K$405,$AP549),"#,##0")&amp;"円／申請書"&amp;TEXT($W549,"#,##0")&amp;"円）／","")&amp;IF(AND(INDEX(職員マスタ!$F$6:$F$405,$AP549)&lt;&gt;"",$AQ549&lt;&gt;"",INDEX(職員マスタ!$F$6:$F$405,$AP549)&lt;$AQ549),"対象月に子が2歳到達済／","")&amp;IF(AND($H549&lt;&gt;"",INDEX(職員マスタ!$B$6:$B$405,$AP549)&lt;&gt;"",SUBSTITUTE(SUBSTITUTE($H549," ","")," ","")&lt;&gt;SUBSTITUTE(SUBSTITUTE(INDEX(職員マスタ!$B$6:$B$405,$AP549)," ","")," ","")),"氏名がマスタと相違／","")&amp;IF(AND($Q549&lt;&gt;"",INDEX(職員マスタ!$E$6:$E$405,$AP549)&lt;&gt;"",$Q549&lt;&gt;INDEX(職員マスタ!$E$6:$E$405,$AP549)),"子の生年月日がマスタと相違／","")&amp;IF(AND($L549&lt;&gt;"",INDEX(職員マスタ!$G$6:$G$405,$AP549)&lt;&gt;"",$L549&lt;&gt;INDEX(職員マスタ!$G$6:$G$405,$AP549)),"時短開始日がマスタと相違／","")&amp;IF(AND($M549&lt;&gt;"",INDEX(職員マスタ!$H$6:$H$405,$AP549)&lt;&gt;"",$M549&lt;&gt;INDEX(職員マスタ!$H$6:$H$405,$AP549)),"時短終了日がマスタと相違／","")))&amp;IF(AND($B549&lt;&gt;"",$E549=""),"報酬額が未入力／","")&amp;IF(N($U549)&gt;0,"申請書に入力エラーが残っています／","")&amp;IF(AND($B549&lt;&gt;"",$AQ549&lt;&gt;""),IF(COUNTIFS($B$6:$B$3005,$B549,$C$6:$C$3005,$C549,$D$6:$D$3005,$D549)&gt;1,"同じ月の請求が重複しています／",""),"")&amp;IF(AND(N($E549)&gt;0,$AB549&lt;&gt;"",$AB549&lt;&gt;"×",$AE549=0,$AD549=""),"計算額が下限以下のため不支給／",""))</f>
        <v/>
      </c>
      <c r="AN549" s="12" t="n"/>
      <c r="AO549" s="14">
        <f>IF($AF549="保留中",COUNTIF($AF$6:$AF549,"保留中"),"")</f>
        <v/>
      </c>
      <c r="AP549" s="14">
        <f>IF($AQ549="","",IF(SUMPRODUCT(MAX((職員マスタ!$A$6:$A$405=$B549)*(((職員マスタ!$G$6:$G$405="")+(職員マスタ!$G$6:$G$405&lt;=EOMONTH($AQ549,0)))&gt;0)*(((職員マスタ!$H$6:$H$405="")+(職員マスタ!$H$6:$H$405&gt;=$AQ549))&gt;0)*(ROW(職員マスタ!$A$6:$A$405)-5)))&gt;0,SUMPRODUCT(MAX((職員マスタ!$A$6:$A$405=$B549)*(((職員マスタ!$G$6:$G$405="")+(職員マスタ!$G$6:$G$405&lt;=EOMONTH($AQ549,0)))&gt;0)*(((職員マスタ!$H$6:$H$405="")+(職員マスタ!$H$6:$H$405&gt;=$AQ549))&gt;0)*(ROW(職員マスタ!$A$6:$A$405)-5))),IFERROR(MATCH($B549,職員マスタ!$A$6:$A$405,0),"")))</f>
        <v/>
      </c>
      <c r="AQ549" s="16">
        <f>IF(OR($B549="",$C549="",$D549=""),"",DATE($C549+2018,$D549,1))</f>
        <v/>
      </c>
    </row>
    <row r="550">
      <c r="A550" s="11" t="n"/>
      <c r="B550" s="12" t="n"/>
      <c r="C550" s="12" t="n"/>
      <c r="D550" s="12" t="n"/>
      <c r="E550" s="13" t="n"/>
      <c r="F550" s="12" t="n"/>
      <c r="G550" s="13" t="n"/>
      <c r="H550" s="12" t="n"/>
      <c r="I550" s="12" t="n"/>
      <c r="J550" s="12" t="n"/>
      <c r="K550" s="12" t="n"/>
      <c r="L550" s="11" t="n"/>
      <c r="M550" s="11" t="n"/>
      <c r="N550" s="11" t="n"/>
      <c r="O550" s="11" t="n"/>
      <c r="P550" s="12" t="n"/>
      <c r="Q550" s="11" t="n"/>
      <c r="R550" s="12" t="n"/>
      <c r="S550" s="11" t="n"/>
      <c r="T550" s="12" t="n"/>
      <c r="U550" s="12" t="n"/>
      <c r="V550" s="12" t="n"/>
      <c r="W550" s="13" t="n"/>
      <c r="X550" s="14">
        <f>IF($AP550="",IF($B550="","",$H550),IF(INDEX(職員マスタ!$B$6:$B$405,$AP550)="",$H550,INDEX(職員マスタ!$B$6:$B$405,$AP550)))</f>
        <v/>
      </c>
      <c r="Y550" s="14">
        <f>IF($AP550="",IF($B550="","",$R550),IF(INDEX(職員マスタ!$C$6:$C$405,$AP550)="",$R550,INDEX(職員マスタ!$C$6:$C$405,$AP550)))</f>
        <v/>
      </c>
      <c r="Z550" s="14">
        <f>IF($AQ550="","","R"&amp;$C550&amp;"."&amp;$D550)</f>
        <v/>
      </c>
      <c r="AA550" s="15">
        <f>IF(IF($AP550="",FALSE,INDEX(職員マスタ!$K$6:$K$405,$AP550)&lt;&gt;""),INDEX(職員マスタ!$K$6:$K$405,$AP550),IF(N($W550)&gt;0,$W550,""))</f>
        <v/>
      </c>
      <c r="AB550" s="14">
        <f>IF(OR($E550="",$AA550=""),"",IF($E550&gt;=$AA550,"×",IF($E550&gt;=$AA550*設定!$C$5,"△","○")))</f>
        <v/>
      </c>
      <c r="AC550" s="15">
        <f>IF($AB550="","",IF($AB550="×",0,IF($AB550="○",ROUNDDOWN($E550*設定!$C$4,0),ROUNDDOWN($E550*ROUND((9*$AA550-9*$E550)/(10*$E550),4),0))))</f>
        <v/>
      </c>
      <c r="AD550" s="13" t="n"/>
      <c r="AE550" s="15">
        <f>IF($B550="","",IF($AD550&lt;&gt;"",$AD550,IF($AC550="","",IF($AC550&lt;=設定!$C$3,0,$AC550))))</f>
        <v/>
      </c>
      <c r="AF550" s="14">
        <f>IF($B550="","",IF(AND($AG550&lt;&gt;"",$AI550="",$AL550=""),"保留中",IF($AL550&lt;&gt;"",IF(N($AE550)&gt;0,"支給済","不支給"),IF($AE550="","要確認",IF($AE550=0,"不支給","未処理")))))</f>
        <v/>
      </c>
      <c r="AG550" s="12" t="n"/>
      <c r="AH550" s="11" t="n"/>
      <c r="AI550" s="11" t="n"/>
      <c r="AJ550" s="11" t="n"/>
      <c r="AK550" s="14">
        <f>IF(AND($AF550="保留中",$AH550&lt;&gt;""),TODAY()-$AH550,"")</f>
        <v/>
      </c>
      <c r="AL550" s="12" t="n"/>
      <c r="AM550" s="14">
        <f>IF($B550="","",IF($AQ550="","対象年月が未入力／","")&amp;IF($B550="","",IF($AP550="","職員マスタに未登録の職員番号／",IF($AA550="","標準報酬月額が未登録／","")&amp;IF(AND($AQ550&lt;&gt;"",OR(AND(INDEX(職員マスタ!$G$6:$G$405,$AP550)&lt;&gt;"",INDEX(職員マスタ!$G$6:$G$405,$AP550)&gt;EOMONTH($AQ550,0)),AND(INDEX(職員マスタ!$H$6:$H$405,$AP550)&lt;&gt;"",INDEX(職員マスタ!$H$6:$H$405,$AP550)&lt;$AQ550))),"対象月が時短期間外／","")&amp;IF(AND(INDEX(職員マスタ!$K$6:$K$405,$AP550)&lt;&gt;"",N($W550)&gt;0,INDEX(職員マスタ!$K$6:$K$405,$AP550)&lt;&gt;$W550),"標準報酬月額が申請書と相違（台帳"&amp;TEXT(INDEX(職員マスタ!$K$6:$K$405,$AP550),"#,##0")&amp;"円／申請書"&amp;TEXT($W550,"#,##0")&amp;"円）／","")&amp;IF(AND(INDEX(職員マスタ!$F$6:$F$405,$AP550)&lt;&gt;"",$AQ550&lt;&gt;"",INDEX(職員マスタ!$F$6:$F$405,$AP550)&lt;$AQ550),"対象月に子が2歳到達済／","")&amp;IF(AND($H550&lt;&gt;"",INDEX(職員マスタ!$B$6:$B$405,$AP550)&lt;&gt;"",SUBSTITUTE(SUBSTITUTE($H550," ","")," ","")&lt;&gt;SUBSTITUTE(SUBSTITUTE(INDEX(職員マスタ!$B$6:$B$405,$AP550)," ","")," ","")),"氏名がマスタと相違／","")&amp;IF(AND($Q550&lt;&gt;"",INDEX(職員マスタ!$E$6:$E$405,$AP550)&lt;&gt;"",$Q550&lt;&gt;INDEX(職員マスタ!$E$6:$E$405,$AP550)),"子の生年月日がマスタと相違／","")&amp;IF(AND($L550&lt;&gt;"",INDEX(職員マスタ!$G$6:$G$405,$AP550)&lt;&gt;"",$L550&lt;&gt;INDEX(職員マスタ!$G$6:$G$405,$AP550)),"時短開始日がマスタと相違／","")&amp;IF(AND($M550&lt;&gt;"",INDEX(職員マスタ!$H$6:$H$405,$AP550)&lt;&gt;"",$M550&lt;&gt;INDEX(職員マスタ!$H$6:$H$405,$AP550)),"時短終了日がマスタと相違／","")))&amp;IF(AND($B550&lt;&gt;"",$E550=""),"報酬額が未入力／","")&amp;IF(N($U550)&gt;0,"申請書に入力エラーが残っています／","")&amp;IF(AND($B550&lt;&gt;"",$AQ550&lt;&gt;""),IF(COUNTIFS($B$6:$B$3005,$B550,$C$6:$C$3005,$C550,$D$6:$D$3005,$D550)&gt;1,"同じ月の請求が重複しています／",""),"")&amp;IF(AND(N($E550)&gt;0,$AB550&lt;&gt;"",$AB550&lt;&gt;"×",$AE550=0,$AD550=""),"計算額が下限以下のため不支給／",""))</f>
        <v/>
      </c>
      <c r="AN550" s="12" t="n"/>
      <c r="AO550" s="14">
        <f>IF($AF550="保留中",COUNTIF($AF$6:$AF550,"保留中"),"")</f>
        <v/>
      </c>
      <c r="AP550" s="14">
        <f>IF($AQ550="","",IF(SUMPRODUCT(MAX((職員マスタ!$A$6:$A$405=$B550)*(((職員マスタ!$G$6:$G$405="")+(職員マスタ!$G$6:$G$405&lt;=EOMONTH($AQ550,0)))&gt;0)*(((職員マスタ!$H$6:$H$405="")+(職員マスタ!$H$6:$H$405&gt;=$AQ550))&gt;0)*(ROW(職員マスタ!$A$6:$A$405)-5)))&gt;0,SUMPRODUCT(MAX((職員マスタ!$A$6:$A$405=$B550)*(((職員マスタ!$G$6:$G$405="")+(職員マスタ!$G$6:$G$405&lt;=EOMONTH($AQ550,0)))&gt;0)*(((職員マスタ!$H$6:$H$405="")+(職員マスタ!$H$6:$H$405&gt;=$AQ550))&gt;0)*(ROW(職員マスタ!$A$6:$A$405)-5))),IFERROR(MATCH($B550,職員マスタ!$A$6:$A$405,0),"")))</f>
        <v/>
      </c>
      <c r="AQ550" s="16">
        <f>IF(OR($B550="",$C550="",$D550=""),"",DATE($C550+2018,$D550,1))</f>
        <v/>
      </c>
    </row>
    <row r="551">
      <c r="A551" s="11" t="n"/>
      <c r="B551" s="12" t="n"/>
      <c r="C551" s="12" t="n"/>
      <c r="D551" s="12" t="n"/>
      <c r="E551" s="13" t="n"/>
      <c r="F551" s="12" t="n"/>
      <c r="G551" s="13" t="n"/>
      <c r="H551" s="12" t="n"/>
      <c r="I551" s="12" t="n"/>
      <c r="J551" s="12" t="n"/>
      <c r="K551" s="12" t="n"/>
      <c r="L551" s="11" t="n"/>
      <c r="M551" s="11" t="n"/>
      <c r="N551" s="11" t="n"/>
      <c r="O551" s="11" t="n"/>
      <c r="P551" s="12" t="n"/>
      <c r="Q551" s="11" t="n"/>
      <c r="R551" s="12" t="n"/>
      <c r="S551" s="11" t="n"/>
      <c r="T551" s="12" t="n"/>
      <c r="U551" s="12" t="n"/>
      <c r="V551" s="12" t="n"/>
      <c r="W551" s="13" t="n"/>
      <c r="X551" s="14">
        <f>IF($AP551="",IF($B551="","",$H551),IF(INDEX(職員マスタ!$B$6:$B$405,$AP551)="",$H551,INDEX(職員マスタ!$B$6:$B$405,$AP551)))</f>
        <v/>
      </c>
      <c r="Y551" s="14">
        <f>IF($AP551="",IF($B551="","",$R551),IF(INDEX(職員マスタ!$C$6:$C$405,$AP551)="",$R551,INDEX(職員マスタ!$C$6:$C$405,$AP551)))</f>
        <v/>
      </c>
      <c r="Z551" s="14">
        <f>IF($AQ551="","","R"&amp;$C551&amp;"."&amp;$D551)</f>
        <v/>
      </c>
      <c r="AA551" s="15">
        <f>IF(IF($AP551="",FALSE,INDEX(職員マスタ!$K$6:$K$405,$AP551)&lt;&gt;""),INDEX(職員マスタ!$K$6:$K$405,$AP551),IF(N($W551)&gt;0,$W551,""))</f>
        <v/>
      </c>
      <c r="AB551" s="14">
        <f>IF(OR($E551="",$AA551=""),"",IF($E551&gt;=$AA551,"×",IF($E551&gt;=$AA551*設定!$C$5,"△","○")))</f>
        <v/>
      </c>
      <c r="AC551" s="15">
        <f>IF($AB551="","",IF($AB551="×",0,IF($AB551="○",ROUNDDOWN($E551*設定!$C$4,0),ROUNDDOWN($E551*ROUND((9*$AA551-9*$E551)/(10*$E551),4),0))))</f>
        <v/>
      </c>
      <c r="AD551" s="13" t="n"/>
      <c r="AE551" s="15">
        <f>IF($B551="","",IF($AD551&lt;&gt;"",$AD551,IF($AC551="","",IF($AC551&lt;=設定!$C$3,0,$AC551))))</f>
        <v/>
      </c>
      <c r="AF551" s="14">
        <f>IF($B551="","",IF(AND($AG551&lt;&gt;"",$AI551="",$AL551=""),"保留中",IF($AL551&lt;&gt;"",IF(N($AE551)&gt;0,"支給済","不支給"),IF($AE551="","要確認",IF($AE551=0,"不支給","未処理")))))</f>
        <v/>
      </c>
      <c r="AG551" s="12" t="n"/>
      <c r="AH551" s="11" t="n"/>
      <c r="AI551" s="11" t="n"/>
      <c r="AJ551" s="11" t="n"/>
      <c r="AK551" s="14">
        <f>IF(AND($AF551="保留中",$AH551&lt;&gt;""),TODAY()-$AH551,"")</f>
        <v/>
      </c>
      <c r="AL551" s="12" t="n"/>
      <c r="AM551" s="14">
        <f>IF($B551="","",IF($AQ551="","対象年月が未入力／","")&amp;IF($B551="","",IF($AP551="","職員マスタに未登録の職員番号／",IF($AA551="","標準報酬月額が未登録／","")&amp;IF(AND($AQ551&lt;&gt;"",OR(AND(INDEX(職員マスタ!$G$6:$G$405,$AP551)&lt;&gt;"",INDEX(職員マスタ!$G$6:$G$405,$AP551)&gt;EOMONTH($AQ551,0)),AND(INDEX(職員マスタ!$H$6:$H$405,$AP551)&lt;&gt;"",INDEX(職員マスタ!$H$6:$H$405,$AP551)&lt;$AQ551))),"対象月が時短期間外／","")&amp;IF(AND(INDEX(職員マスタ!$K$6:$K$405,$AP551)&lt;&gt;"",N($W551)&gt;0,INDEX(職員マスタ!$K$6:$K$405,$AP551)&lt;&gt;$W551),"標準報酬月額が申請書と相違（台帳"&amp;TEXT(INDEX(職員マスタ!$K$6:$K$405,$AP551),"#,##0")&amp;"円／申請書"&amp;TEXT($W551,"#,##0")&amp;"円）／","")&amp;IF(AND(INDEX(職員マスタ!$F$6:$F$405,$AP551)&lt;&gt;"",$AQ551&lt;&gt;"",INDEX(職員マスタ!$F$6:$F$405,$AP551)&lt;$AQ551),"対象月に子が2歳到達済／","")&amp;IF(AND($H551&lt;&gt;"",INDEX(職員マスタ!$B$6:$B$405,$AP551)&lt;&gt;"",SUBSTITUTE(SUBSTITUTE($H551," ","")," ","")&lt;&gt;SUBSTITUTE(SUBSTITUTE(INDEX(職員マスタ!$B$6:$B$405,$AP551)," ","")," ","")),"氏名がマスタと相違／","")&amp;IF(AND($Q551&lt;&gt;"",INDEX(職員マスタ!$E$6:$E$405,$AP551)&lt;&gt;"",$Q551&lt;&gt;INDEX(職員マスタ!$E$6:$E$405,$AP551)),"子の生年月日がマスタと相違／","")&amp;IF(AND($L551&lt;&gt;"",INDEX(職員マスタ!$G$6:$G$405,$AP551)&lt;&gt;"",$L551&lt;&gt;INDEX(職員マスタ!$G$6:$G$405,$AP551)),"時短開始日がマスタと相違／","")&amp;IF(AND($M551&lt;&gt;"",INDEX(職員マスタ!$H$6:$H$405,$AP551)&lt;&gt;"",$M551&lt;&gt;INDEX(職員マスタ!$H$6:$H$405,$AP551)),"時短終了日がマスタと相違／","")))&amp;IF(AND($B551&lt;&gt;"",$E551=""),"報酬額が未入力／","")&amp;IF(N($U551)&gt;0,"申請書に入力エラーが残っています／","")&amp;IF(AND($B551&lt;&gt;"",$AQ551&lt;&gt;""),IF(COUNTIFS($B$6:$B$3005,$B551,$C$6:$C$3005,$C551,$D$6:$D$3005,$D551)&gt;1,"同じ月の請求が重複しています／",""),"")&amp;IF(AND(N($E551)&gt;0,$AB551&lt;&gt;"",$AB551&lt;&gt;"×",$AE551=0,$AD551=""),"計算額が下限以下のため不支給／",""))</f>
        <v/>
      </c>
      <c r="AN551" s="12" t="n"/>
      <c r="AO551" s="14">
        <f>IF($AF551="保留中",COUNTIF($AF$6:$AF551,"保留中"),"")</f>
        <v/>
      </c>
      <c r="AP551" s="14">
        <f>IF($AQ551="","",IF(SUMPRODUCT(MAX((職員マスタ!$A$6:$A$405=$B551)*(((職員マスタ!$G$6:$G$405="")+(職員マスタ!$G$6:$G$405&lt;=EOMONTH($AQ551,0)))&gt;0)*(((職員マスタ!$H$6:$H$405="")+(職員マスタ!$H$6:$H$405&gt;=$AQ551))&gt;0)*(ROW(職員マスタ!$A$6:$A$405)-5)))&gt;0,SUMPRODUCT(MAX((職員マスタ!$A$6:$A$405=$B551)*(((職員マスタ!$G$6:$G$405="")+(職員マスタ!$G$6:$G$405&lt;=EOMONTH($AQ551,0)))&gt;0)*(((職員マスタ!$H$6:$H$405="")+(職員マスタ!$H$6:$H$405&gt;=$AQ551))&gt;0)*(ROW(職員マスタ!$A$6:$A$405)-5))),IFERROR(MATCH($B551,職員マスタ!$A$6:$A$405,0),"")))</f>
        <v/>
      </c>
      <c r="AQ551" s="16">
        <f>IF(OR($B551="",$C551="",$D551=""),"",DATE($C551+2018,$D551,1))</f>
        <v/>
      </c>
    </row>
    <row r="552">
      <c r="A552" s="11" t="n"/>
      <c r="B552" s="12" t="n"/>
      <c r="C552" s="12" t="n"/>
      <c r="D552" s="12" t="n"/>
      <c r="E552" s="13" t="n"/>
      <c r="F552" s="12" t="n"/>
      <c r="G552" s="13" t="n"/>
      <c r="H552" s="12" t="n"/>
      <c r="I552" s="12" t="n"/>
      <c r="J552" s="12" t="n"/>
      <c r="K552" s="12" t="n"/>
      <c r="L552" s="11" t="n"/>
      <c r="M552" s="11" t="n"/>
      <c r="N552" s="11" t="n"/>
      <c r="O552" s="11" t="n"/>
      <c r="P552" s="12" t="n"/>
      <c r="Q552" s="11" t="n"/>
      <c r="R552" s="12" t="n"/>
      <c r="S552" s="11" t="n"/>
      <c r="T552" s="12" t="n"/>
      <c r="U552" s="12" t="n"/>
      <c r="V552" s="12" t="n"/>
      <c r="W552" s="13" t="n"/>
      <c r="X552" s="14">
        <f>IF($AP552="",IF($B552="","",$H552),IF(INDEX(職員マスタ!$B$6:$B$405,$AP552)="",$H552,INDEX(職員マスタ!$B$6:$B$405,$AP552)))</f>
        <v/>
      </c>
      <c r="Y552" s="14">
        <f>IF($AP552="",IF($B552="","",$R552),IF(INDEX(職員マスタ!$C$6:$C$405,$AP552)="",$R552,INDEX(職員マスタ!$C$6:$C$405,$AP552)))</f>
        <v/>
      </c>
      <c r="Z552" s="14">
        <f>IF($AQ552="","","R"&amp;$C552&amp;"."&amp;$D552)</f>
        <v/>
      </c>
      <c r="AA552" s="15">
        <f>IF(IF($AP552="",FALSE,INDEX(職員マスタ!$K$6:$K$405,$AP552)&lt;&gt;""),INDEX(職員マスタ!$K$6:$K$405,$AP552),IF(N($W552)&gt;0,$W552,""))</f>
        <v/>
      </c>
      <c r="AB552" s="14">
        <f>IF(OR($E552="",$AA552=""),"",IF($E552&gt;=$AA552,"×",IF($E552&gt;=$AA552*設定!$C$5,"△","○")))</f>
        <v/>
      </c>
      <c r="AC552" s="15">
        <f>IF($AB552="","",IF($AB552="×",0,IF($AB552="○",ROUNDDOWN($E552*設定!$C$4,0),ROUNDDOWN($E552*ROUND((9*$AA552-9*$E552)/(10*$E552),4),0))))</f>
        <v/>
      </c>
      <c r="AD552" s="13" t="n"/>
      <c r="AE552" s="15">
        <f>IF($B552="","",IF($AD552&lt;&gt;"",$AD552,IF($AC552="","",IF($AC552&lt;=設定!$C$3,0,$AC552))))</f>
        <v/>
      </c>
      <c r="AF552" s="14">
        <f>IF($B552="","",IF(AND($AG552&lt;&gt;"",$AI552="",$AL552=""),"保留中",IF($AL552&lt;&gt;"",IF(N($AE552)&gt;0,"支給済","不支給"),IF($AE552="","要確認",IF($AE552=0,"不支給","未処理")))))</f>
        <v/>
      </c>
      <c r="AG552" s="12" t="n"/>
      <c r="AH552" s="11" t="n"/>
      <c r="AI552" s="11" t="n"/>
      <c r="AJ552" s="11" t="n"/>
      <c r="AK552" s="14">
        <f>IF(AND($AF552="保留中",$AH552&lt;&gt;""),TODAY()-$AH552,"")</f>
        <v/>
      </c>
      <c r="AL552" s="12" t="n"/>
      <c r="AM552" s="14">
        <f>IF($B552="","",IF($AQ552="","対象年月が未入力／","")&amp;IF($B552="","",IF($AP552="","職員マスタに未登録の職員番号／",IF($AA552="","標準報酬月額が未登録／","")&amp;IF(AND($AQ552&lt;&gt;"",OR(AND(INDEX(職員マスタ!$G$6:$G$405,$AP552)&lt;&gt;"",INDEX(職員マスタ!$G$6:$G$405,$AP552)&gt;EOMONTH($AQ552,0)),AND(INDEX(職員マスタ!$H$6:$H$405,$AP552)&lt;&gt;"",INDEX(職員マスタ!$H$6:$H$405,$AP552)&lt;$AQ552))),"対象月が時短期間外／","")&amp;IF(AND(INDEX(職員マスタ!$K$6:$K$405,$AP552)&lt;&gt;"",N($W552)&gt;0,INDEX(職員マスタ!$K$6:$K$405,$AP552)&lt;&gt;$W552),"標準報酬月額が申請書と相違（台帳"&amp;TEXT(INDEX(職員マスタ!$K$6:$K$405,$AP552),"#,##0")&amp;"円／申請書"&amp;TEXT($W552,"#,##0")&amp;"円）／","")&amp;IF(AND(INDEX(職員マスタ!$F$6:$F$405,$AP552)&lt;&gt;"",$AQ552&lt;&gt;"",INDEX(職員マスタ!$F$6:$F$405,$AP552)&lt;$AQ552),"対象月に子が2歳到達済／","")&amp;IF(AND($H552&lt;&gt;"",INDEX(職員マスタ!$B$6:$B$405,$AP552)&lt;&gt;"",SUBSTITUTE(SUBSTITUTE($H552," ","")," ","")&lt;&gt;SUBSTITUTE(SUBSTITUTE(INDEX(職員マスタ!$B$6:$B$405,$AP552)," ","")," ","")),"氏名がマスタと相違／","")&amp;IF(AND($Q552&lt;&gt;"",INDEX(職員マスタ!$E$6:$E$405,$AP552)&lt;&gt;"",$Q552&lt;&gt;INDEX(職員マスタ!$E$6:$E$405,$AP552)),"子の生年月日がマスタと相違／","")&amp;IF(AND($L552&lt;&gt;"",INDEX(職員マスタ!$G$6:$G$405,$AP552)&lt;&gt;"",$L552&lt;&gt;INDEX(職員マスタ!$G$6:$G$405,$AP552)),"時短開始日がマスタと相違／","")&amp;IF(AND($M552&lt;&gt;"",INDEX(職員マスタ!$H$6:$H$405,$AP552)&lt;&gt;"",$M552&lt;&gt;INDEX(職員マスタ!$H$6:$H$405,$AP552)),"時短終了日がマスタと相違／","")))&amp;IF(AND($B552&lt;&gt;"",$E552=""),"報酬額が未入力／","")&amp;IF(N($U552)&gt;0,"申請書に入力エラーが残っています／","")&amp;IF(AND($B552&lt;&gt;"",$AQ552&lt;&gt;""),IF(COUNTIFS($B$6:$B$3005,$B552,$C$6:$C$3005,$C552,$D$6:$D$3005,$D552)&gt;1,"同じ月の請求が重複しています／",""),"")&amp;IF(AND(N($E552)&gt;0,$AB552&lt;&gt;"",$AB552&lt;&gt;"×",$AE552=0,$AD552=""),"計算額が下限以下のため不支給／",""))</f>
        <v/>
      </c>
      <c r="AN552" s="12" t="n"/>
      <c r="AO552" s="14">
        <f>IF($AF552="保留中",COUNTIF($AF$6:$AF552,"保留中"),"")</f>
        <v/>
      </c>
      <c r="AP552" s="14">
        <f>IF($AQ552="","",IF(SUMPRODUCT(MAX((職員マスタ!$A$6:$A$405=$B552)*(((職員マスタ!$G$6:$G$405="")+(職員マスタ!$G$6:$G$405&lt;=EOMONTH($AQ552,0)))&gt;0)*(((職員マスタ!$H$6:$H$405="")+(職員マスタ!$H$6:$H$405&gt;=$AQ552))&gt;0)*(ROW(職員マスタ!$A$6:$A$405)-5)))&gt;0,SUMPRODUCT(MAX((職員マスタ!$A$6:$A$405=$B552)*(((職員マスタ!$G$6:$G$405="")+(職員マスタ!$G$6:$G$405&lt;=EOMONTH($AQ552,0)))&gt;0)*(((職員マスタ!$H$6:$H$405="")+(職員マスタ!$H$6:$H$405&gt;=$AQ552))&gt;0)*(ROW(職員マスタ!$A$6:$A$405)-5))),IFERROR(MATCH($B552,職員マスタ!$A$6:$A$405,0),"")))</f>
        <v/>
      </c>
      <c r="AQ552" s="16">
        <f>IF(OR($B552="",$C552="",$D552=""),"",DATE($C552+2018,$D552,1))</f>
        <v/>
      </c>
    </row>
    <row r="553">
      <c r="A553" s="11" t="n"/>
      <c r="B553" s="12" t="n"/>
      <c r="C553" s="12" t="n"/>
      <c r="D553" s="12" t="n"/>
      <c r="E553" s="13" t="n"/>
      <c r="F553" s="12" t="n"/>
      <c r="G553" s="13" t="n"/>
      <c r="H553" s="12" t="n"/>
      <c r="I553" s="12" t="n"/>
      <c r="J553" s="12" t="n"/>
      <c r="K553" s="12" t="n"/>
      <c r="L553" s="11" t="n"/>
      <c r="M553" s="11" t="n"/>
      <c r="N553" s="11" t="n"/>
      <c r="O553" s="11" t="n"/>
      <c r="P553" s="12" t="n"/>
      <c r="Q553" s="11" t="n"/>
      <c r="R553" s="12" t="n"/>
      <c r="S553" s="11" t="n"/>
      <c r="T553" s="12" t="n"/>
      <c r="U553" s="12" t="n"/>
      <c r="V553" s="12" t="n"/>
      <c r="W553" s="13" t="n"/>
      <c r="X553" s="14">
        <f>IF($AP553="",IF($B553="","",$H553),IF(INDEX(職員マスタ!$B$6:$B$405,$AP553)="",$H553,INDEX(職員マスタ!$B$6:$B$405,$AP553)))</f>
        <v/>
      </c>
      <c r="Y553" s="14">
        <f>IF($AP553="",IF($B553="","",$R553),IF(INDEX(職員マスタ!$C$6:$C$405,$AP553)="",$R553,INDEX(職員マスタ!$C$6:$C$405,$AP553)))</f>
        <v/>
      </c>
      <c r="Z553" s="14">
        <f>IF($AQ553="","","R"&amp;$C553&amp;"."&amp;$D553)</f>
        <v/>
      </c>
      <c r="AA553" s="15">
        <f>IF(IF($AP553="",FALSE,INDEX(職員マスタ!$K$6:$K$405,$AP553)&lt;&gt;""),INDEX(職員マスタ!$K$6:$K$405,$AP553),IF(N($W553)&gt;0,$W553,""))</f>
        <v/>
      </c>
      <c r="AB553" s="14">
        <f>IF(OR($E553="",$AA553=""),"",IF($E553&gt;=$AA553,"×",IF($E553&gt;=$AA553*設定!$C$5,"△","○")))</f>
        <v/>
      </c>
      <c r="AC553" s="15">
        <f>IF($AB553="","",IF($AB553="×",0,IF($AB553="○",ROUNDDOWN($E553*設定!$C$4,0),ROUNDDOWN($E553*ROUND((9*$AA553-9*$E553)/(10*$E553),4),0))))</f>
        <v/>
      </c>
      <c r="AD553" s="13" t="n"/>
      <c r="AE553" s="15">
        <f>IF($B553="","",IF($AD553&lt;&gt;"",$AD553,IF($AC553="","",IF($AC553&lt;=設定!$C$3,0,$AC553))))</f>
        <v/>
      </c>
      <c r="AF553" s="14">
        <f>IF($B553="","",IF(AND($AG553&lt;&gt;"",$AI553="",$AL553=""),"保留中",IF($AL553&lt;&gt;"",IF(N($AE553)&gt;0,"支給済","不支給"),IF($AE553="","要確認",IF($AE553=0,"不支給","未処理")))))</f>
        <v/>
      </c>
      <c r="AG553" s="12" t="n"/>
      <c r="AH553" s="11" t="n"/>
      <c r="AI553" s="11" t="n"/>
      <c r="AJ553" s="11" t="n"/>
      <c r="AK553" s="14">
        <f>IF(AND($AF553="保留中",$AH553&lt;&gt;""),TODAY()-$AH553,"")</f>
        <v/>
      </c>
      <c r="AL553" s="12" t="n"/>
      <c r="AM553" s="14">
        <f>IF($B553="","",IF($AQ553="","対象年月が未入力／","")&amp;IF($B553="","",IF($AP553="","職員マスタに未登録の職員番号／",IF($AA553="","標準報酬月額が未登録／","")&amp;IF(AND($AQ553&lt;&gt;"",OR(AND(INDEX(職員マスタ!$G$6:$G$405,$AP553)&lt;&gt;"",INDEX(職員マスタ!$G$6:$G$405,$AP553)&gt;EOMONTH($AQ553,0)),AND(INDEX(職員マスタ!$H$6:$H$405,$AP553)&lt;&gt;"",INDEX(職員マスタ!$H$6:$H$405,$AP553)&lt;$AQ553))),"対象月が時短期間外／","")&amp;IF(AND(INDEX(職員マスタ!$K$6:$K$405,$AP553)&lt;&gt;"",N($W553)&gt;0,INDEX(職員マスタ!$K$6:$K$405,$AP553)&lt;&gt;$W553),"標準報酬月額が申請書と相違（台帳"&amp;TEXT(INDEX(職員マスタ!$K$6:$K$405,$AP553),"#,##0")&amp;"円／申請書"&amp;TEXT($W553,"#,##0")&amp;"円）／","")&amp;IF(AND(INDEX(職員マスタ!$F$6:$F$405,$AP553)&lt;&gt;"",$AQ553&lt;&gt;"",INDEX(職員マスタ!$F$6:$F$405,$AP553)&lt;$AQ553),"対象月に子が2歳到達済／","")&amp;IF(AND($H553&lt;&gt;"",INDEX(職員マスタ!$B$6:$B$405,$AP553)&lt;&gt;"",SUBSTITUTE(SUBSTITUTE($H553," ","")," ","")&lt;&gt;SUBSTITUTE(SUBSTITUTE(INDEX(職員マスタ!$B$6:$B$405,$AP553)," ","")," ","")),"氏名がマスタと相違／","")&amp;IF(AND($Q553&lt;&gt;"",INDEX(職員マスタ!$E$6:$E$405,$AP553)&lt;&gt;"",$Q553&lt;&gt;INDEX(職員マスタ!$E$6:$E$405,$AP553)),"子の生年月日がマスタと相違／","")&amp;IF(AND($L553&lt;&gt;"",INDEX(職員マスタ!$G$6:$G$405,$AP553)&lt;&gt;"",$L553&lt;&gt;INDEX(職員マスタ!$G$6:$G$405,$AP553)),"時短開始日がマスタと相違／","")&amp;IF(AND($M553&lt;&gt;"",INDEX(職員マスタ!$H$6:$H$405,$AP553)&lt;&gt;"",$M553&lt;&gt;INDEX(職員マスタ!$H$6:$H$405,$AP553)),"時短終了日がマスタと相違／","")))&amp;IF(AND($B553&lt;&gt;"",$E553=""),"報酬額が未入力／","")&amp;IF(N($U553)&gt;0,"申請書に入力エラーが残っています／","")&amp;IF(AND($B553&lt;&gt;"",$AQ553&lt;&gt;""),IF(COUNTIFS($B$6:$B$3005,$B553,$C$6:$C$3005,$C553,$D$6:$D$3005,$D553)&gt;1,"同じ月の請求が重複しています／",""),"")&amp;IF(AND(N($E553)&gt;0,$AB553&lt;&gt;"",$AB553&lt;&gt;"×",$AE553=0,$AD553=""),"計算額が下限以下のため不支給／",""))</f>
        <v/>
      </c>
      <c r="AN553" s="12" t="n"/>
      <c r="AO553" s="14">
        <f>IF($AF553="保留中",COUNTIF($AF$6:$AF553,"保留中"),"")</f>
        <v/>
      </c>
      <c r="AP553" s="14">
        <f>IF($AQ553="","",IF(SUMPRODUCT(MAX((職員マスタ!$A$6:$A$405=$B553)*(((職員マスタ!$G$6:$G$405="")+(職員マスタ!$G$6:$G$405&lt;=EOMONTH($AQ553,0)))&gt;0)*(((職員マスタ!$H$6:$H$405="")+(職員マスタ!$H$6:$H$405&gt;=$AQ553))&gt;0)*(ROW(職員マスタ!$A$6:$A$405)-5)))&gt;0,SUMPRODUCT(MAX((職員マスタ!$A$6:$A$405=$B553)*(((職員マスタ!$G$6:$G$405="")+(職員マスタ!$G$6:$G$405&lt;=EOMONTH($AQ553,0)))&gt;0)*(((職員マスタ!$H$6:$H$405="")+(職員マスタ!$H$6:$H$405&gt;=$AQ553))&gt;0)*(ROW(職員マスタ!$A$6:$A$405)-5))),IFERROR(MATCH($B553,職員マスタ!$A$6:$A$405,0),"")))</f>
        <v/>
      </c>
      <c r="AQ553" s="16">
        <f>IF(OR($B553="",$C553="",$D553=""),"",DATE($C553+2018,$D553,1))</f>
        <v/>
      </c>
    </row>
    <row r="554">
      <c r="A554" s="11" t="n"/>
      <c r="B554" s="12" t="n"/>
      <c r="C554" s="12" t="n"/>
      <c r="D554" s="12" t="n"/>
      <c r="E554" s="13" t="n"/>
      <c r="F554" s="12" t="n"/>
      <c r="G554" s="13" t="n"/>
      <c r="H554" s="12" t="n"/>
      <c r="I554" s="12" t="n"/>
      <c r="J554" s="12" t="n"/>
      <c r="K554" s="12" t="n"/>
      <c r="L554" s="11" t="n"/>
      <c r="M554" s="11" t="n"/>
      <c r="N554" s="11" t="n"/>
      <c r="O554" s="11" t="n"/>
      <c r="P554" s="12" t="n"/>
      <c r="Q554" s="11" t="n"/>
      <c r="R554" s="12" t="n"/>
      <c r="S554" s="11" t="n"/>
      <c r="T554" s="12" t="n"/>
      <c r="U554" s="12" t="n"/>
      <c r="V554" s="12" t="n"/>
      <c r="W554" s="13" t="n"/>
      <c r="X554" s="14">
        <f>IF($AP554="",IF($B554="","",$H554),IF(INDEX(職員マスタ!$B$6:$B$405,$AP554)="",$H554,INDEX(職員マスタ!$B$6:$B$405,$AP554)))</f>
        <v/>
      </c>
      <c r="Y554" s="14">
        <f>IF($AP554="",IF($B554="","",$R554),IF(INDEX(職員マスタ!$C$6:$C$405,$AP554)="",$R554,INDEX(職員マスタ!$C$6:$C$405,$AP554)))</f>
        <v/>
      </c>
      <c r="Z554" s="14">
        <f>IF($AQ554="","","R"&amp;$C554&amp;"."&amp;$D554)</f>
        <v/>
      </c>
      <c r="AA554" s="15">
        <f>IF(IF($AP554="",FALSE,INDEX(職員マスタ!$K$6:$K$405,$AP554)&lt;&gt;""),INDEX(職員マスタ!$K$6:$K$405,$AP554),IF(N($W554)&gt;0,$W554,""))</f>
        <v/>
      </c>
      <c r="AB554" s="14">
        <f>IF(OR($E554="",$AA554=""),"",IF($E554&gt;=$AA554,"×",IF($E554&gt;=$AA554*設定!$C$5,"△","○")))</f>
        <v/>
      </c>
      <c r="AC554" s="15">
        <f>IF($AB554="","",IF($AB554="×",0,IF($AB554="○",ROUNDDOWN($E554*設定!$C$4,0),ROUNDDOWN($E554*ROUND((9*$AA554-9*$E554)/(10*$E554),4),0))))</f>
        <v/>
      </c>
      <c r="AD554" s="13" t="n"/>
      <c r="AE554" s="15">
        <f>IF($B554="","",IF($AD554&lt;&gt;"",$AD554,IF($AC554="","",IF($AC554&lt;=設定!$C$3,0,$AC554))))</f>
        <v/>
      </c>
      <c r="AF554" s="14">
        <f>IF($B554="","",IF(AND($AG554&lt;&gt;"",$AI554="",$AL554=""),"保留中",IF($AL554&lt;&gt;"",IF(N($AE554)&gt;0,"支給済","不支給"),IF($AE554="","要確認",IF($AE554=0,"不支給","未処理")))))</f>
        <v/>
      </c>
      <c r="AG554" s="12" t="n"/>
      <c r="AH554" s="11" t="n"/>
      <c r="AI554" s="11" t="n"/>
      <c r="AJ554" s="11" t="n"/>
      <c r="AK554" s="14">
        <f>IF(AND($AF554="保留中",$AH554&lt;&gt;""),TODAY()-$AH554,"")</f>
        <v/>
      </c>
      <c r="AL554" s="12" t="n"/>
      <c r="AM554" s="14">
        <f>IF($B554="","",IF($AQ554="","対象年月が未入力／","")&amp;IF($B554="","",IF($AP554="","職員マスタに未登録の職員番号／",IF($AA554="","標準報酬月額が未登録／","")&amp;IF(AND($AQ554&lt;&gt;"",OR(AND(INDEX(職員マスタ!$G$6:$G$405,$AP554)&lt;&gt;"",INDEX(職員マスタ!$G$6:$G$405,$AP554)&gt;EOMONTH($AQ554,0)),AND(INDEX(職員マスタ!$H$6:$H$405,$AP554)&lt;&gt;"",INDEX(職員マスタ!$H$6:$H$405,$AP554)&lt;$AQ554))),"対象月が時短期間外／","")&amp;IF(AND(INDEX(職員マスタ!$K$6:$K$405,$AP554)&lt;&gt;"",N($W554)&gt;0,INDEX(職員マスタ!$K$6:$K$405,$AP554)&lt;&gt;$W554),"標準報酬月額が申請書と相違（台帳"&amp;TEXT(INDEX(職員マスタ!$K$6:$K$405,$AP554),"#,##0")&amp;"円／申請書"&amp;TEXT($W554,"#,##0")&amp;"円）／","")&amp;IF(AND(INDEX(職員マスタ!$F$6:$F$405,$AP554)&lt;&gt;"",$AQ554&lt;&gt;"",INDEX(職員マスタ!$F$6:$F$405,$AP554)&lt;$AQ554),"対象月に子が2歳到達済／","")&amp;IF(AND($H554&lt;&gt;"",INDEX(職員マスタ!$B$6:$B$405,$AP554)&lt;&gt;"",SUBSTITUTE(SUBSTITUTE($H554," ","")," ","")&lt;&gt;SUBSTITUTE(SUBSTITUTE(INDEX(職員マスタ!$B$6:$B$405,$AP554)," ","")," ","")),"氏名がマスタと相違／","")&amp;IF(AND($Q554&lt;&gt;"",INDEX(職員マスタ!$E$6:$E$405,$AP554)&lt;&gt;"",$Q554&lt;&gt;INDEX(職員マスタ!$E$6:$E$405,$AP554)),"子の生年月日がマスタと相違／","")&amp;IF(AND($L554&lt;&gt;"",INDEX(職員マスタ!$G$6:$G$405,$AP554)&lt;&gt;"",$L554&lt;&gt;INDEX(職員マスタ!$G$6:$G$405,$AP554)),"時短開始日がマスタと相違／","")&amp;IF(AND($M554&lt;&gt;"",INDEX(職員マスタ!$H$6:$H$405,$AP554)&lt;&gt;"",$M554&lt;&gt;INDEX(職員マスタ!$H$6:$H$405,$AP554)),"時短終了日がマスタと相違／","")))&amp;IF(AND($B554&lt;&gt;"",$E554=""),"報酬額が未入力／","")&amp;IF(N($U554)&gt;0,"申請書に入力エラーが残っています／","")&amp;IF(AND($B554&lt;&gt;"",$AQ554&lt;&gt;""),IF(COUNTIFS($B$6:$B$3005,$B554,$C$6:$C$3005,$C554,$D$6:$D$3005,$D554)&gt;1,"同じ月の請求が重複しています／",""),"")&amp;IF(AND(N($E554)&gt;0,$AB554&lt;&gt;"",$AB554&lt;&gt;"×",$AE554=0,$AD554=""),"計算額が下限以下のため不支給／",""))</f>
        <v/>
      </c>
      <c r="AN554" s="12" t="n"/>
      <c r="AO554" s="14">
        <f>IF($AF554="保留中",COUNTIF($AF$6:$AF554,"保留中"),"")</f>
        <v/>
      </c>
      <c r="AP554" s="14">
        <f>IF($AQ554="","",IF(SUMPRODUCT(MAX((職員マスタ!$A$6:$A$405=$B554)*(((職員マスタ!$G$6:$G$405="")+(職員マスタ!$G$6:$G$405&lt;=EOMONTH($AQ554,0)))&gt;0)*(((職員マスタ!$H$6:$H$405="")+(職員マスタ!$H$6:$H$405&gt;=$AQ554))&gt;0)*(ROW(職員マスタ!$A$6:$A$405)-5)))&gt;0,SUMPRODUCT(MAX((職員マスタ!$A$6:$A$405=$B554)*(((職員マスタ!$G$6:$G$405="")+(職員マスタ!$G$6:$G$405&lt;=EOMONTH($AQ554,0)))&gt;0)*(((職員マスタ!$H$6:$H$405="")+(職員マスタ!$H$6:$H$405&gt;=$AQ554))&gt;0)*(ROW(職員マスタ!$A$6:$A$405)-5))),IFERROR(MATCH($B554,職員マスタ!$A$6:$A$405,0),"")))</f>
        <v/>
      </c>
      <c r="AQ554" s="16">
        <f>IF(OR($B554="",$C554="",$D554=""),"",DATE($C554+2018,$D554,1))</f>
        <v/>
      </c>
    </row>
    <row r="555">
      <c r="A555" s="11" t="n"/>
      <c r="B555" s="12" t="n"/>
      <c r="C555" s="12" t="n"/>
      <c r="D555" s="12" t="n"/>
      <c r="E555" s="13" t="n"/>
      <c r="F555" s="12" t="n"/>
      <c r="G555" s="13" t="n"/>
      <c r="H555" s="12" t="n"/>
      <c r="I555" s="12" t="n"/>
      <c r="J555" s="12" t="n"/>
      <c r="K555" s="12" t="n"/>
      <c r="L555" s="11" t="n"/>
      <c r="M555" s="11" t="n"/>
      <c r="N555" s="11" t="n"/>
      <c r="O555" s="11" t="n"/>
      <c r="P555" s="12" t="n"/>
      <c r="Q555" s="11" t="n"/>
      <c r="R555" s="12" t="n"/>
      <c r="S555" s="11" t="n"/>
      <c r="T555" s="12" t="n"/>
      <c r="U555" s="12" t="n"/>
      <c r="V555" s="12" t="n"/>
      <c r="W555" s="13" t="n"/>
      <c r="X555" s="14">
        <f>IF($AP555="",IF($B555="","",$H555),IF(INDEX(職員マスタ!$B$6:$B$405,$AP555)="",$H555,INDEX(職員マスタ!$B$6:$B$405,$AP555)))</f>
        <v/>
      </c>
      <c r="Y555" s="14">
        <f>IF($AP555="",IF($B555="","",$R555),IF(INDEX(職員マスタ!$C$6:$C$405,$AP555)="",$R555,INDEX(職員マスタ!$C$6:$C$405,$AP555)))</f>
        <v/>
      </c>
      <c r="Z555" s="14">
        <f>IF($AQ555="","","R"&amp;$C555&amp;"."&amp;$D555)</f>
        <v/>
      </c>
      <c r="AA555" s="15">
        <f>IF(IF($AP555="",FALSE,INDEX(職員マスタ!$K$6:$K$405,$AP555)&lt;&gt;""),INDEX(職員マスタ!$K$6:$K$405,$AP555),IF(N($W555)&gt;0,$W555,""))</f>
        <v/>
      </c>
      <c r="AB555" s="14">
        <f>IF(OR($E555="",$AA555=""),"",IF($E555&gt;=$AA555,"×",IF($E555&gt;=$AA555*設定!$C$5,"△","○")))</f>
        <v/>
      </c>
      <c r="AC555" s="15">
        <f>IF($AB555="","",IF($AB555="×",0,IF($AB555="○",ROUNDDOWN($E555*設定!$C$4,0),ROUNDDOWN($E555*ROUND((9*$AA555-9*$E555)/(10*$E555),4),0))))</f>
        <v/>
      </c>
      <c r="AD555" s="13" t="n"/>
      <c r="AE555" s="15">
        <f>IF($B555="","",IF($AD555&lt;&gt;"",$AD555,IF($AC555="","",IF($AC555&lt;=設定!$C$3,0,$AC555))))</f>
        <v/>
      </c>
      <c r="AF555" s="14">
        <f>IF($B555="","",IF(AND($AG555&lt;&gt;"",$AI555="",$AL555=""),"保留中",IF($AL555&lt;&gt;"",IF(N($AE555)&gt;0,"支給済","不支給"),IF($AE555="","要確認",IF($AE555=0,"不支給","未処理")))))</f>
        <v/>
      </c>
      <c r="AG555" s="12" t="n"/>
      <c r="AH555" s="11" t="n"/>
      <c r="AI555" s="11" t="n"/>
      <c r="AJ555" s="11" t="n"/>
      <c r="AK555" s="14">
        <f>IF(AND($AF555="保留中",$AH555&lt;&gt;""),TODAY()-$AH555,"")</f>
        <v/>
      </c>
      <c r="AL555" s="12" t="n"/>
      <c r="AM555" s="14">
        <f>IF($B555="","",IF($AQ555="","対象年月が未入力／","")&amp;IF($B555="","",IF($AP555="","職員マスタに未登録の職員番号／",IF($AA555="","標準報酬月額が未登録／","")&amp;IF(AND($AQ555&lt;&gt;"",OR(AND(INDEX(職員マスタ!$G$6:$G$405,$AP555)&lt;&gt;"",INDEX(職員マスタ!$G$6:$G$405,$AP555)&gt;EOMONTH($AQ555,0)),AND(INDEX(職員マスタ!$H$6:$H$405,$AP555)&lt;&gt;"",INDEX(職員マスタ!$H$6:$H$405,$AP555)&lt;$AQ555))),"対象月が時短期間外／","")&amp;IF(AND(INDEX(職員マスタ!$K$6:$K$405,$AP555)&lt;&gt;"",N($W555)&gt;0,INDEX(職員マスタ!$K$6:$K$405,$AP555)&lt;&gt;$W555),"標準報酬月額が申請書と相違（台帳"&amp;TEXT(INDEX(職員マスタ!$K$6:$K$405,$AP555),"#,##0")&amp;"円／申請書"&amp;TEXT($W555,"#,##0")&amp;"円）／","")&amp;IF(AND(INDEX(職員マスタ!$F$6:$F$405,$AP555)&lt;&gt;"",$AQ555&lt;&gt;"",INDEX(職員マスタ!$F$6:$F$405,$AP555)&lt;$AQ555),"対象月に子が2歳到達済／","")&amp;IF(AND($H555&lt;&gt;"",INDEX(職員マスタ!$B$6:$B$405,$AP555)&lt;&gt;"",SUBSTITUTE(SUBSTITUTE($H555," ","")," ","")&lt;&gt;SUBSTITUTE(SUBSTITUTE(INDEX(職員マスタ!$B$6:$B$405,$AP555)," ","")," ","")),"氏名がマスタと相違／","")&amp;IF(AND($Q555&lt;&gt;"",INDEX(職員マスタ!$E$6:$E$405,$AP555)&lt;&gt;"",$Q555&lt;&gt;INDEX(職員マスタ!$E$6:$E$405,$AP555)),"子の生年月日がマスタと相違／","")&amp;IF(AND($L555&lt;&gt;"",INDEX(職員マスタ!$G$6:$G$405,$AP555)&lt;&gt;"",$L555&lt;&gt;INDEX(職員マスタ!$G$6:$G$405,$AP555)),"時短開始日がマスタと相違／","")&amp;IF(AND($M555&lt;&gt;"",INDEX(職員マスタ!$H$6:$H$405,$AP555)&lt;&gt;"",$M555&lt;&gt;INDEX(職員マスタ!$H$6:$H$405,$AP555)),"時短終了日がマスタと相違／","")))&amp;IF(AND($B555&lt;&gt;"",$E555=""),"報酬額が未入力／","")&amp;IF(N($U555)&gt;0,"申請書に入力エラーが残っています／","")&amp;IF(AND($B555&lt;&gt;"",$AQ555&lt;&gt;""),IF(COUNTIFS($B$6:$B$3005,$B555,$C$6:$C$3005,$C555,$D$6:$D$3005,$D555)&gt;1,"同じ月の請求が重複しています／",""),"")&amp;IF(AND(N($E555)&gt;0,$AB555&lt;&gt;"",$AB555&lt;&gt;"×",$AE555=0,$AD555=""),"計算額が下限以下のため不支給／",""))</f>
        <v/>
      </c>
      <c r="AN555" s="12" t="n"/>
      <c r="AO555" s="14">
        <f>IF($AF555="保留中",COUNTIF($AF$6:$AF555,"保留中"),"")</f>
        <v/>
      </c>
      <c r="AP555" s="14">
        <f>IF($AQ555="","",IF(SUMPRODUCT(MAX((職員マスタ!$A$6:$A$405=$B555)*(((職員マスタ!$G$6:$G$405="")+(職員マスタ!$G$6:$G$405&lt;=EOMONTH($AQ555,0)))&gt;0)*(((職員マスタ!$H$6:$H$405="")+(職員マスタ!$H$6:$H$405&gt;=$AQ555))&gt;0)*(ROW(職員マスタ!$A$6:$A$405)-5)))&gt;0,SUMPRODUCT(MAX((職員マスタ!$A$6:$A$405=$B555)*(((職員マスタ!$G$6:$G$405="")+(職員マスタ!$G$6:$G$405&lt;=EOMONTH($AQ555,0)))&gt;0)*(((職員マスタ!$H$6:$H$405="")+(職員マスタ!$H$6:$H$405&gt;=$AQ555))&gt;0)*(ROW(職員マスタ!$A$6:$A$405)-5))),IFERROR(MATCH($B555,職員マスタ!$A$6:$A$405,0),"")))</f>
        <v/>
      </c>
      <c r="AQ555" s="16">
        <f>IF(OR($B555="",$C555="",$D555=""),"",DATE($C555+2018,$D555,1))</f>
        <v/>
      </c>
    </row>
    <row r="556">
      <c r="A556" s="11" t="n"/>
      <c r="B556" s="12" t="n"/>
      <c r="C556" s="12" t="n"/>
      <c r="D556" s="12" t="n"/>
      <c r="E556" s="13" t="n"/>
      <c r="F556" s="12" t="n"/>
      <c r="G556" s="13" t="n"/>
      <c r="H556" s="12" t="n"/>
      <c r="I556" s="12" t="n"/>
      <c r="J556" s="12" t="n"/>
      <c r="K556" s="12" t="n"/>
      <c r="L556" s="11" t="n"/>
      <c r="M556" s="11" t="n"/>
      <c r="N556" s="11" t="n"/>
      <c r="O556" s="11" t="n"/>
      <c r="P556" s="12" t="n"/>
      <c r="Q556" s="11" t="n"/>
      <c r="R556" s="12" t="n"/>
      <c r="S556" s="11" t="n"/>
      <c r="T556" s="12" t="n"/>
      <c r="U556" s="12" t="n"/>
      <c r="V556" s="12" t="n"/>
      <c r="W556" s="13" t="n"/>
      <c r="X556" s="14">
        <f>IF($AP556="",IF($B556="","",$H556),IF(INDEX(職員マスタ!$B$6:$B$405,$AP556)="",$H556,INDEX(職員マスタ!$B$6:$B$405,$AP556)))</f>
        <v/>
      </c>
      <c r="Y556" s="14">
        <f>IF($AP556="",IF($B556="","",$R556),IF(INDEX(職員マスタ!$C$6:$C$405,$AP556)="",$R556,INDEX(職員マスタ!$C$6:$C$405,$AP556)))</f>
        <v/>
      </c>
      <c r="Z556" s="14">
        <f>IF($AQ556="","","R"&amp;$C556&amp;"."&amp;$D556)</f>
        <v/>
      </c>
      <c r="AA556" s="15">
        <f>IF(IF($AP556="",FALSE,INDEX(職員マスタ!$K$6:$K$405,$AP556)&lt;&gt;""),INDEX(職員マスタ!$K$6:$K$405,$AP556),IF(N($W556)&gt;0,$W556,""))</f>
        <v/>
      </c>
      <c r="AB556" s="14">
        <f>IF(OR($E556="",$AA556=""),"",IF($E556&gt;=$AA556,"×",IF($E556&gt;=$AA556*設定!$C$5,"△","○")))</f>
        <v/>
      </c>
      <c r="AC556" s="15">
        <f>IF($AB556="","",IF($AB556="×",0,IF($AB556="○",ROUNDDOWN($E556*設定!$C$4,0),ROUNDDOWN($E556*ROUND((9*$AA556-9*$E556)/(10*$E556),4),0))))</f>
        <v/>
      </c>
      <c r="AD556" s="13" t="n"/>
      <c r="AE556" s="15">
        <f>IF($B556="","",IF($AD556&lt;&gt;"",$AD556,IF($AC556="","",IF($AC556&lt;=設定!$C$3,0,$AC556))))</f>
        <v/>
      </c>
      <c r="AF556" s="14">
        <f>IF($B556="","",IF(AND($AG556&lt;&gt;"",$AI556="",$AL556=""),"保留中",IF($AL556&lt;&gt;"",IF(N($AE556)&gt;0,"支給済","不支給"),IF($AE556="","要確認",IF($AE556=0,"不支給","未処理")))))</f>
        <v/>
      </c>
      <c r="AG556" s="12" t="n"/>
      <c r="AH556" s="11" t="n"/>
      <c r="AI556" s="11" t="n"/>
      <c r="AJ556" s="11" t="n"/>
      <c r="AK556" s="14">
        <f>IF(AND($AF556="保留中",$AH556&lt;&gt;""),TODAY()-$AH556,"")</f>
        <v/>
      </c>
      <c r="AL556" s="12" t="n"/>
      <c r="AM556" s="14">
        <f>IF($B556="","",IF($AQ556="","対象年月が未入力／","")&amp;IF($B556="","",IF($AP556="","職員マスタに未登録の職員番号／",IF($AA556="","標準報酬月額が未登録／","")&amp;IF(AND($AQ556&lt;&gt;"",OR(AND(INDEX(職員マスタ!$G$6:$G$405,$AP556)&lt;&gt;"",INDEX(職員マスタ!$G$6:$G$405,$AP556)&gt;EOMONTH($AQ556,0)),AND(INDEX(職員マスタ!$H$6:$H$405,$AP556)&lt;&gt;"",INDEX(職員マスタ!$H$6:$H$405,$AP556)&lt;$AQ556))),"対象月が時短期間外／","")&amp;IF(AND(INDEX(職員マスタ!$K$6:$K$405,$AP556)&lt;&gt;"",N($W556)&gt;0,INDEX(職員マスタ!$K$6:$K$405,$AP556)&lt;&gt;$W556),"標準報酬月額が申請書と相違（台帳"&amp;TEXT(INDEX(職員マスタ!$K$6:$K$405,$AP556),"#,##0")&amp;"円／申請書"&amp;TEXT($W556,"#,##0")&amp;"円）／","")&amp;IF(AND(INDEX(職員マスタ!$F$6:$F$405,$AP556)&lt;&gt;"",$AQ556&lt;&gt;"",INDEX(職員マスタ!$F$6:$F$405,$AP556)&lt;$AQ556),"対象月に子が2歳到達済／","")&amp;IF(AND($H556&lt;&gt;"",INDEX(職員マスタ!$B$6:$B$405,$AP556)&lt;&gt;"",SUBSTITUTE(SUBSTITUTE($H556," ","")," ","")&lt;&gt;SUBSTITUTE(SUBSTITUTE(INDEX(職員マスタ!$B$6:$B$405,$AP556)," ","")," ","")),"氏名がマスタと相違／","")&amp;IF(AND($Q556&lt;&gt;"",INDEX(職員マスタ!$E$6:$E$405,$AP556)&lt;&gt;"",$Q556&lt;&gt;INDEX(職員マスタ!$E$6:$E$405,$AP556)),"子の生年月日がマスタと相違／","")&amp;IF(AND($L556&lt;&gt;"",INDEX(職員マスタ!$G$6:$G$405,$AP556)&lt;&gt;"",$L556&lt;&gt;INDEX(職員マスタ!$G$6:$G$405,$AP556)),"時短開始日がマスタと相違／","")&amp;IF(AND($M556&lt;&gt;"",INDEX(職員マスタ!$H$6:$H$405,$AP556)&lt;&gt;"",$M556&lt;&gt;INDEX(職員マスタ!$H$6:$H$405,$AP556)),"時短終了日がマスタと相違／","")))&amp;IF(AND($B556&lt;&gt;"",$E556=""),"報酬額が未入力／","")&amp;IF(N($U556)&gt;0,"申請書に入力エラーが残っています／","")&amp;IF(AND($B556&lt;&gt;"",$AQ556&lt;&gt;""),IF(COUNTIFS($B$6:$B$3005,$B556,$C$6:$C$3005,$C556,$D$6:$D$3005,$D556)&gt;1,"同じ月の請求が重複しています／",""),"")&amp;IF(AND(N($E556)&gt;0,$AB556&lt;&gt;"",$AB556&lt;&gt;"×",$AE556=0,$AD556=""),"計算額が下限以下のため不支給／",""))</f>
        <v/>
      </c>
      <c r="AN556" s="12" t="n"/>
      <c r="AO556" s="14">
        <f>IF($AF556="保留中",COUNTIF($AF$6:$AF556,"保留中"),"")</f>
        <v/>
      </c>
      <c r="AP556" s="14">
        <f>IF($AQ556="","",IF(SUMPRODUCT(MAX((職員マスタ!$A$6:$A$405=$B556)*(((職員マスタ!$G$6:$G$405="")+(職員マスタ!$G$6:$G$405&lt;=EOMONTH($AQ556,0)))&gt;0)*(((職員マスタ!$H$6:$H$405="")+(職員マスタ!$H$6:$H$405&gt;=$AQ556))&gt;0)*(ROW(職員マスタ!$A$6:$A$405)-5)))&gt;0,SUMPRODUCT(MAX((職員マスタ!$A$6:$A$405=$B556)*(((職員マスタ!$G$6:$G$405="")+(職員マスタ!$G$6:$G$405&lt;=EOMONTH($AQ556,0)))&gt;0)*(((職員マスタ!$H$6:$H$405="")+(職員マスタ!$H$6:$H$405&gt;=$AQ556))&gt;0)*(ROW(職員マスタ!$A$6:$A$405)-5))),IFERROR(MATCH($B556,職員マスタ!$A$6:$A$405,0),"")))</f>
        <v/>
      </c>
      <c r="AQ556" s="16">
        <f>IF(OR($B556="",$C556="",$D556=""),"",DATE($C556+2018,$D556,1))</f>
        <v/>
      </c>
    </row>
    <row r="557">
      <c r="A557" s="11" t="n"/>
      <c r="B557" s="12" t="n"/>
      <c r="C557" s="12" t="n"/>
      <c r="D557" s="12" t="n"/>
      <c r="E557" s="13" t="n"/>
      <c r="F557" s="12" t="n"/>
      <c r="G557" s="13" t="n"/>
      <c r="H557" s="12" t="n"/>
      <c r="I557" s="12" t="n"/>
      <c r="J557" s="12" t="n"/>
      <c r="K557" s="12" t="n"/>
      <c r="L557" s="11" t="n"/>
      <c r="M557" s="11" t="n"/>
      <c r="N557" s="11" t="n"/>
      <c r="O557" s="11" t="n"/>
      <c r="P557" s="12" t="n"/>
      <c r="Q557" s="11" t="n"/>
      <c r="R557" s="12" t="n"/>
      <c r="S557" s="11" t="n"/>
      <c r="T557" s="12" t="n"/>
      <c r="U557" s="12" t="n"/>
      <c r="V557" s="12" t="n"/>
      <c r="W557" s="13" t="n"/>
      <c r="X557" s="14">
        <f>IF($AP557="",IF($B557="","",$H557),IF(INDEX(職員マスタ!$B$6:$B$405,$AP557)="",$H557,INDEX(職員マスタ!$B$6:$B$405,$AP557)))</f>
        <v/>
      </c>
      <c r="Y557" s="14">
        <f>IF($AP557="",IF($B557="","",$R557),IF(INDEX(職員マスタ!$C$6:$C$405,$AP557)="",$R557,INDEX(職員マスタ!$C$6:$C$405,$AP557)))</f>
        <v/>
      </c>
      <c r="Z557" s="14">
        <f>IF($AQ557="","","R"&amp;$C557&amp;"."&amp;$D557)</f>
        <v/>
      </c>
      <c r="AA557" s="15">
        <f>IF(IF($AP557="",FALSE,INDEX(職員マスタ!$K$6:$K$405,$AP557)&lt;&gt;""),INDEX(職員マスタ!$K$6:$K$405,$AP557),IF(N($W557)&gt;0,$W557,""))</f>
        <v/>
      </c>
      <c r="AB557" s="14">
        <f>IF(OR($E557="",$AA557=""),"",IF($E557&gt;=$AA557,"×",IF($E557&gt;=$AA557*設定!$C$5,"△","○")))</f>
        <v/>
      </c>
      <c r="AC557" s="15">
        <f>IF($AB557="","",IF($AB557="×",0,IF($AB557="○",ROUNDDOWN($E557*設定!$C$4,0),ROUNDDOWN($E557*ROUND((9*$AA557-9*$E557)/(10*$E557),4),0))))</f>
        <v/>
      </c>
      <c r="AD557" s="13" t="n"/>
      <c r="AE557" s="15">
        <f>IF($B557="","",IF($AD557&lt;&gt;"",$AD557,IF($AC557="","",IF($AC557&lt;=設定!$C$3,0,$AC557))))</f>
        <v/>
      </c>
      <c r="AF557" s="14">
        <f>IF($B557="","",IF(AND($AG557&lt;&gt;"",$AI557="",$AL557=""),"保留中",IF($AL557&lt;&gt;"",IF(N($AE557)&gt;0,"支給済","不支給"),IF($AE557="","要確認",IF($AE557=0,"不支給","未処理")))))</f>
        <v/>
      </c>
      <c r="AG557" s="12" t="n"/>
      <c r="AH557" s="11" t="n"/>
      <c r="AI557" s="11" t="n"/>
      <c r="AJ557" s="11" t="n"/>
      <c r="AK557" s="14">
        <f>IF(AND($AF557="保留中",$AH557&lt;&gt;""),TODAY()-$AH557,"")</f>
        <v/>
      </c>
      <c r="AL557" s="12" t="n"/>
      <c r="AM557" s="14">
        <f>IF($B557="","",IF($AQ557="","対象年月が未入力／","")&amp;IF($B557="","",IF($AP557="","職員マスタに未登録の職員番号／",IF($AA557="","標準報酬月額が未登録／","")&amp;IF(AND($AQ557&lt;&gt;"",OR(AND(INDEX(職員マスタ!$G$6:$G$405,$AP557)&lt;&gt;"",INDEX(職員マスタ!$G$6:$G$405,$AP557)&gt;EOMONTH($AQ557,0)),AND(INDEX(職員マスタ!$H$6:$H$405,$AP557)&lt;&gt;"",INDEX(職員マスタ!$H$6:$H$405,$AP557)&lt;$AQ557))),"対象月が時短期間外／","")&amp;IF(AND(INDEX(職員マスタ!$K$6:$K$405,$AP557)&lt;&gt;"",N($W557)&gt;0,INDEX(職員マスタ!$K$6:$K$405,$AP557)&lt;&gt;$W557),"標準報酬月額が申請書と相違（台帳"&amp;TEXT(INDEX(職員マスタ!$K$6:$K$405,$AP557),"#,##0")&amp;"円／申請書"&amp;TEXT($W557,"#,##0")&amp;"円）／","")&amp;IF(AND(INDEX(職員マスタ!$F$6:$F$405,$AP557)&lt;&gt;"",$AQ557&lt;&gt;"",INDEX(職員マスタ!$F$6:$F$405,$AP557)&lt;$AQ557),"対象月に子が2歳到達済／","")&amp;IF(AND($H557&lt;&gt;"",INDEX(職員マスタ!$B$6:$B$405,$AP557)&lt;&gt;"",SUBSTITUTE(SUBSTITUTE($H557," ","")," ","")&lt;&gt;SUBSTITUTE(SUBSTITUTE(INDEX(職員マスタ!$B$6:$B$405,$AP557)," ","")," ","")),"氏名がマスタと相違／","")&amp;IF(AND($Q557&lt;&gt;"",INDEX(職員マスタ!$E$6:$E$405,$AP557)&lt;&gt;"",$Q557&lt;&gt;INDEX(職員マスタ!$E$6:$E$405,$AP557)),"子の生年月日がマスタと相違／","")&amp;IF(AND($L557&lt;&gt;"",INDEX(職員マスタ!$G$6:$G$405,$AP557)&lt;&gt;"",$L557&lt;&gt;INDEX(職員マスタ!$G$6:$G$405,$AP557)),"時短開始日がマスタと相違／","")&amp;IF(AND($M557&lt;&gt;"",INDEX(職員マスタ!$H$6:$H$405,$AP557)&lt;&gt;"",$M557&lt;&gt;INDEX(職員マスタ!$H$6:$H$405,$AP557)),"時短終了日がマスタと相違／","")))&amp;IF(AND($B557&lt;&gt;"",$E557=""),"報酬額が未入力／","")&amp;IF(N($U557)&gt;0,"申請書に入力エラーが残っています／","")&amp;IF(AND($B557&lt;&gt;"",$AQ557&lt;&gt;""),IF(COUNTIFS($B$6:$B$3005,$B557,$C$6:$C$3005,$C557,$D$6:$D$3005,$D557)&gt;1,"同じ月の請求が重複しています／",""),"")&amp;IF(AND(N($E557)&gt;0,$AB557&lt;&gt;"",$AB557&lt;&gt;"×",$AE557=0,$AD557=""),"計算額が下限以下のため不支給／",""))</f>
        <v/>
      </c>
      <c r="AN557" s="12" t="n"/>
      <c r="AO557" s="14">
        <f>IF($AF557="保留中",COUNTIF($AF$6:$AF557,"保留中"),"")</f>
        <v/>
      </c>
      <c r="AP557" s="14">
        <f>IF($AQ557="","",IF(SUMPRODUCT(MAX((職員マスタ!$A$6:$A$405=$B557)*(((職員マスタ!$G$6:$G$405="")+(職員マスタ!$G$6:$G$405&lt;=EOMONTH($AQ557,0)))&gt;0)*(((職員マスタ!$H$6:$H$405="")+(職員マスタ!$H$6:$H$405&gt;=$AQ557))&gt;0)*(ROW(職員マスタ!$A$6:$A$405)-5)))&gt;0,SUMPRODUCT(MAX((職員マスタ!$A$6:$A$405=$B557)*(((職員マスタ!$G$6:$G$405="")+(職員マスタ!$G$6:$G$405&lt;=EOMONTH($AQ557,0)))&gt;0)*(((職員マスタ!$H$6:$H$405="")+(職員マスタ!$H$6:$H$405&gt;=$AQ557))&gt;0)*(ROW(職員マスタ!$A$6:$A$405)-5))),IFERROR(MATCH($B557,職員マスタ!$A$6:$A$405,0),"")))</f>
        <v/>
      </c>
      <c r="AQ557" s="16">
        <f>IF(OR($B557="",$C557="",$D557=""),"",DATE($C557+2018,$D557,1))</f>
        <v/>
      </c>
    </row>
    <row r="558">
      <c r="A558" s="11" t="n"/>
      <c r="B558" s="12" t="n"/>
      <c r="C558" s="12" t="n"/>
      <c r="D558" s="12" t="n"/>
      <c r="E558" s="13" t="n"/>
      <c r="F558" s="12" t="n"/>
      <c r="G558" s="13" t="n"/>
      <c r="H558" s="12" t="n"/>
      <c r="I558" s="12" t="n"/>
      <c r="J558" s="12" t="n"/>
      <c r="K558" s="12" t="n"/>
      <c r="L558" s="11" t="n"/>
      <c r="M558" s="11" t="n"/>
      <c r="N558" s="11" t="n"/>
      <c r="O558" s="11" t="n"/>
      <c r="P558" s="12" t="n"/>
      <c r="Q558" s="11" t="n"/>
      <c r="R558" s="12" t="n"/>
      <c r="S558" s="11" t="n"/>
      <c r="T558" s="12" t="n"/>
      <c r="U558" s="12" t="n"/>
      <c r="V558" s="12" t="n"/>
      <c r="W558" s="13" t="n"/>
      <c r="X558" s="14">
        <f>IF($AP558="",IF($B558="","",$H558),IF(INDEX(職員マスタ!$B$6:$B$405,$AP558)="",$H558,INDEX(職員マスタ!$B$6:$B$405,$AP558)))</f>
        <v/>
      </c>
      <c r="Y558" s="14">
        <f>IF($AP558="",IF($B558="","",$R558),IF(INDEX(職員マスタ!$C$6:$C$405,$AP558)="",$R558,INDEX(職員マスタ!$C$6:$C$405,$AP558)))</f>
        <v/>
      </c>
      <c r="Z558" s="14">
        <f>IF($AQ558="","","R"&amp;$C558&amp;"."&amp;$D558)</f>
        <v/>
      </c>
      <c r="AA558" s="15">
        <f>IF(IF($AP558="",FALSE,INDEX(職員マスタ!$K$6:$K$405,$AP558)&lt;&gt;""),INDEX(職員マスタ!$K$6:$K$405,$AP558),IF(N($W558)&gt;0,$W558,""))</f>
        <v/>
      </c>
      <c r="AB558" s="14">
        <f>IF(OR($E558="",$AA558=""),"",IF($E558&gt;=$AA558,"×",IF($E558&gt;=$AA558*設定!$C$5,"△","○")))</f>
        <v/>
      </c>
      <c r="AC558" s="15">
        <f>IF($AB558="","",IF($AB558="×",0,IF($AB558="○",ROUNDDOWN($E558*設定!$C$4,0),ROUNDDOWN($E558*ROUND((9*$AA558-9*$E558)/(10*$E558),4),0))))</f>
        <v/>
      </c>
      <c r="AD558" s="13" t="n"/>
      <c r="AE558" s="15">
        <f>IF($B558="","",IF($AD558&lt;&gt;"",$AD558,IF($AC558="","",IF($AC558&lt;=設定!$C$3,0,$AC558))))</f>
        <v/>
      </c>
      <c r="AF558" s="14">
        <f>IF($B558="","",IF(AND($AG558&lt;&gt;"",$AI558="",$AL558=""),"保留中",IF($AL558&lt;&gt;"",IF(N($AE558)&gt;0,"支給済","不支給"),IF($AE558="","要確認",IF($AE558=0,"不支給","未処理")))))</f>
        <v/>
      </c>
      <c r="AG558" s="12" t="n"/>
      <c r="AH558" s="11" t="n"/>
      <c r="AI558" s="11" t="n"/>
      <c r="AJ558" s="11" t="n"/>
      <c r="AK558" s="14">
        <f>IF(AND($AF558="保留中",$AH558&lt;&gt;""),TODAY()-$AH558,"")</f>
        <v/>
      </c>
      <c r="AL558" s="12" t="n"/>
      <c r="AM558" s="14">
        <f>IF($B558="","",IF($AQ558="","対象年月が未入力／","")&amp;IF($B558="","",IF($AP558="","職員マスタに未登録の職員番号／",IF($AA558="","標準報酬月額が未登録／","")&amp;IF(AND($AQ558&lt;&gt;"",OR(AND(INDEX(職員マスタ!$G$6:$G$405,$AP558)&lt;&gt;"",INDEX(職員マスタ!$G$6:$G$405,$AP558)&gt;EOMONTH($AQ558,0)),AND(INDEX(職員マスタ!$H$6:$H$405,$AP558)&lt;&gt;"",INDEX(職員マスタ!$H$6:$H$405,$AP558)&lt;$AQ558))),"対象月が時短期間外／","")&amp;IF(AND(INDEX(職員マスタ!$K$6:$K$405,$AP558)&lt;&gt;"",N($W558)&gt;0,INDEX(職員マスタ!$K$6:$K$405,$AP558)&lt;&gt;$W558),"標準報酬月額が申請書と相違（台帳"&amp;TEXT(INDEX(職員マスタ!$K$6:$K$405,$AP558),"#,##0")&amp;"円／申請書"&amp;TEXT($W558,"#,##0")&amp;"円）／","")&amp;IF(AND(INDEX(職員マスタ!$F$6:$F$405,$AP558)&lt;&gt;"",$AQ558&lt;&gt;"",INDEX(職員マスタ!$F$6:$F$405,$AP558)&lt;$AQ558),"対象月に子が2歳到達済／","")&amp;IF(AND($H558&lt;&gt;"",INDEX(職員マスタ!$B$6:$B$405,$AP558)&lt;&gt;"",SUBSTITUTE(SUBSTITUTE($H558," ","")," ","")&lt;&gt;SUBSTITUTE(SUBSTITUTE(INDEX(職員マスタ!$B$6:$B$405,$AP558)," ","")," ","")),"氏名がマスタと相違／","")&amp;IF(AND($Q558&lt;&gt;"",INDEX(職員マスタ!$E$6:$E$405,$AP558)&lt;&gt;"",$Q558&lt;&gt;INDEX(職員マスタ!$E$6:$E$405,$AP558)),"子の生年月日がマスタと相違／","")&amp;IF(AND($L558&lt;&gt;"",INDEX(職員マスタ!$G$6:$G$405,$AP558)&lt;&gt;"",$L558&lt;&gt;INDEX(職員マスタ!$G$6:$G$405,$AP558)),"時短開始日がマスタと相違／","")&amp;IF(AND($M558&lt;&gt;"",INDEX(職員マスタ!$H$6:$H$405,$AP558)&lt;&gt;"",$M558&lt;&gt;INDEX(職員マスタ!$H$6:$H$405,$AP558)),"時短終了日がマスタと相違／","")))&amp;IF(AND($B558&lt;&gt;"",$E558=""),"報酬額が未入力／","")&amp;IF(N($U558)&gt;0,"申請書に入力エラーが残っています／","")&amp;IF(AND($B558&lt;&gt;"",$AQ558&lt;&gt;""),IF(COUNTIFS($B$6:$B$3005,$B558,$C$6:$C$3005,$C558,$D$6:$D$3005,$D558)&gt;1,"同じ月の請求が重複しています／",""),"")&amp;IF(AND(N($E558)&gt;0,$AB558&lt;&gt;"",$AB558&lt;&gt;"×",$AE558=0,$AD558=""),"計算額が下限以下のため不支給／",""))</f>
        <v/>
      </c>
      <c r="AN558" s="12" t="n"/>
      <c r="AO558" s="14">
        <f>IF($AF558="保留中",COUNTIF($AF$6:$AF558,"保留中"),"")</f>
        <v/>
      </c>
      <c r="AP558" s="14">
        <f>IF($AQ558="","",IF(SUMPRODUCT(MAX((職員マスタ!$A$6:$A$405=$B558)*(((職員マスタ!$G$6:$G$405="")+(職員マスタ!$G$6:$G$405&lt;=EOMONTH($AQ558,0)))&gt;0)*(((職員マスタ!$H$6:$H$405="")+(職員マスタ!$H$6:$H$405&gt;=$AQ558))&gt;0)*(ROW(職員マスタ!$A$6:$A$405)-5)))&gt;0,SUMPRODUCT(MAX((職員マスタ!$A$6:$A$405=$B558)*(((職員マスタ!$G$6:$G$405="")+(職員マスタ!$G$6:$G$405&lt;=EOMONTH($AQ558,0)))&gt;0)*(((職員マスタ!$H$6:$H$405="")+(職員マスタ!$H$6:$H$405&gt;=$AQ558))&gt;0)*(ROW(職員マスタ!$A$6:$A$405)-5))),IFERROR(MATCH($B558,職員マスタ!$A$6:$A$405,0),"")))</f>
        <v/>
      </c>
      <c r="AQ558" s="16">
        <f>IF(OR($B558="",$C558="",$D558=""),"",DATE($C558+2018,$D558,1))</f>
        <v/>
      </c>
    </row>
    <row r="559">
      <c r="A559" s="11" t="n"/>
      <c r="B559" s="12" t="n"/>
      <c r="C559" s="12" t="n"/>
      <c r="D559" s="12" t="n"/>
      <c r="E559" s="13" t="n"/>
      <c r="F559" s="12" t="n"/>
      <c r="G559" s="13" t="n"/>
      <c r="H559" s="12" t="n"/>
      <c r="I559" s="12" t="n"/>
      <c r="J559" s="12" t="n"/>
      <c r="K559" s="12" t="n"/>
      <c r="L559" s="11" t="n"/>
      <c r="M559" s="11" t="n"/>
      <c r="N559" s="11" t="n"/>
      <c r="O559" s="11" t="n"/>
      <c r="P559" s="12" t="n"/>
      <c r="Q559" s="11" t="n"/>
      <c r="R559" s="12" t="n"/>
      <c r="S559" s="11" t="n"/>
      <c r="T559" s="12" t="n"/>
      <c r="U559" s="12" t="n"/>
      <c r="V559" s="12" t="n"/>
      <c r="W559" s="13" t="n"/>
      <c r="X559" s="14">
        <f>IF($AP559="",IF($B559="","",$H559),IF(INDEX(職員マスタ!$B$6:$B$405,$AP559)="",$H559,INDEX(職員マスタ!$B$6:$B$405,$AP559)))</f>
        <v/>
      </c>
      <c r="Y559" s="14">
        <f>IF($AP559="",IF($B559="","",$R559),IF(INDEX(職員マスタ!$C$6:$C$405,$AP559)="",$R559,INDEX(職員マスタ!$C$6:$C$405,$AP559)))</f>
        <v/>
      </c>
      <c r="Z559" s="14">
        <f>IF($AQ559="","","R"&amp;$C559&amp;"."&amp;$D559)</f>
        <v/>
      </c>
      <c r="AA559" s="15">
        <f>IF(IF($AP559="",FALSE,INDEX(職員マスタ!$K$6:$K$405,$AP559)&lt;&gt;""),INDEX(職員マスタ!$K$6:$K$405,$AP559),IF(N($W559)&gt;0,$W559,""))</f>
        <v/>
      </c>
      <c r="AB559" s="14">
        <f>IF(OR($E559="",$AA559=""),"",IF($E559&gt;=$AA559,"×",IF($E559&gt;=$AA559*設定!$C$5,"△","○")))</f>
        <v/>
      </c>
      <c r="AC559" s="15">
        <f>IF($AB559="","",IF($AB559="×",0,IF($AB559="○",ROUNDDOWN($E559*設定!$C$4,0),ROUNDDOWN($E559*ROUND((9*$AA559-9*$E559)/(10*$E559),4),0))))</f>
        <v/>
      </c>
      <c r="AD559" s="13" t="n"/>
      <c r="AE559" s="15">
        <f>IF($B559="","",IF($AD559&lt;&gt;"",$AD559,IF($AC559="","",IF($AC559&lt;=設定!$C$3,0,$AC559))))</f>
        <v/>
      </c>
      <c r="AF559" s="14">
        <f>IF($B559="","",IF(AND($AG559&lt;&gt;"",$AI559="",$AL559=""),"保留中",IF($AL559&lt;&gt;"",IF(N($AE559)&gt;0,"支給済","不支給"),IF($AE559="","要確認",IF($AE559=0,"不支給","未処理")))))</f>
        <v/>
      </c>
      <c r="AG559" s="12" t="n"/>
      <c r="AH559" s="11" t="n"/>
      <c r="AI559" s="11" t="n"/>
      <c r="AJ559" s="11" t="n"/>
      <c r="AK559" s="14">
        <f>IF(AND($AF559="保留中",$AH559&lt;&gt;""),TODAY()-$AH559,"")</f>
        <v/>
      </c>
      <c r="AL559" s="12" t="n"/>
      <c r="AM559" s="14">
        <f>IF($B559="","",IF($AQ559="","対象年月が未入力／","")&amp;IF($B559="","",IF($AP559="","職員マスタに未登録の職員番号／",IF($AA559="","標準報酬月額が未登録／","")&amp;IF(AND($AQ559&lt;&gt;"",OR(AND(INDEX(職員マスタ!$G$6:$G$405,$AP559)&lt;&gt;"",INDEX(職員マスタ!$G$6:$G$405,$AP559)&gt;EOMONTH($AQ559,0)),AND(INDEX(職員マスタ!$H$6:$H$405,$AP559)&lt;&gt;"",INDEX(職員マスタ!$H$6:$H$405,$AP559)&lt;$AQ559))),"対象月が時短期間外／","")&amp;IF(AND(INDEX(職員マスタ!$K$6:$K$405,$AP559)&lt;&gt;"",N($W559)&gt;0,INDEX(職員マスタ!$K$6:$K$405,$AP559)&lt;&gt;$W559),"標準報酬月額が申請書と相違（台帳"&amp;TEXT(INDEX(職員マスタ!$K$6:$K$405,$AP559),"#,##0")&amp;"円／申請書"&amp;TEXT($W559,"#,##0")&amp;"円）／","")&amp;IF(AND(INDEX(職員マスタ!$F$6:$F$405,$AP559)&lt;&gt;"",$AQ559&lt;&gt;"",INDEX(職員マスタ!$F$6:$F$405,$AP559)&lt;$AQ559),"対象月に子が2歳到達済／","")&amp;IF(AND($H559&lt;&gt;"",INDEX(職員マスタ!$B$6:$B$405,$AP559)&lt;&gt;"",SUBSTITUTE(SUBSTITUTE($H559," ","")," ","")&lt;&gt;SUBSTITUTE(SUBSTITUTE(INDEX(職員マスタ!$B$6:$B$405,$AP559)," ","")," ","")),"氏名がマスタと相違／","")&amp;IF(AND($Q559&lt;&gt;"",INDEX(職員マスタ!$E$6:$E$405,$AP559)&lt;&gt;"",$Q559&lt;&gt;INDEX(職員マスタ!$E$6:$E$405,$AP559)),"子の生年月日がマスタと相違／","")&amp;IF(AND($L559&lt;&gt;"",INDEX(職員マスタ!$G$6:$G$405,$AP559)&lt;&gt;"",$L559&lt;&gt;INDEX(職員マスタ!$G$6:$G$405,$AP559)),"時短開始日がマスタと相違／","")&amp;IF(AND($M559&lt;&gt;"",INDEX(職員マスタ!$H$6:$H$405,$AP559)&lt;&gt;"",$M559&lt;&gt;INDEX(職員マスタ!$H$6:$H$405,$AP559)),"時短終了日がマスタと相違／","")))&amp;IF(AND($B559&lt;&gt;"",$E559=""),"報酬額が未入力／","")&amp;IF(N($U559)&gt;0,"申請書に入力エラーが残っています／","")&amp;IF(AND($B559&lt;&gt;"",$AQ559&lt;&gt;""),IF(COUNTIFS($B$6:$B$3005,$B559,$C$6:$C$3005,$C559,$D$6:$D$3005,$D559)&gt;1,"同じ月の請求が重複しています／",""),"")&amp;IF(AND(N($E559)&gt;0,$AB559&lt;&gt;"",$AB559&lt;&gt;"×",$AE559=0,$AD559=""),"計算額が下限以下のため不支給／",""))</f>
        <v/>
      </c>
      <c r="AN559" s="12" t="n"/>
      <c r="AO559" s="14">
        <f>IF($AF559="保留中",COUNTIF($AF$6:$AF559,"保留中"),"")</f>
        <v/>
      </c>
      <c r="AP559" s="14">
        <f>IF($AQ559="","",IF(SUMPRODUCT(MAX((職員マスタ!$A$6:$A$405=$B559)*(((職員マスタ!$G$6:$G$405="")+(職員マスタ!$G$6:$G$405&lt;=EOMONTH($AQ559,0)))&gt;0)*(((職員マスタ!$H$6:$H$405="")+(職員マスタ!$H$6:$H$405&gt;=$AQ559))&gt;0)*(ROW(職員マスタ!$A$6:$A$405)-5)))&gt;0,SUMPRODUCT(MAX((職員マスタ!$A$6:$A$405=$B559)*(((職員マスタ!$G$6:$G$405="")+(職員マスタ!$G$6:$G$405&lt;=EOMONTH($AQ559,0)))&gt;0)*(((職員マスタ!$H$6:$H$405="")+(職員マスタ!$H$6:$H$405&gt;=$AQ559))&gt;0)*(ROW(職員マスタ!$A$6:$A$405)-5))),IFERROR(MATCH($B559,職員マスタ!$A$6:$A$405,0),"")))</f>
        <v/>
      </c>
      <c r="AQ559" s="16">
        <f>IF(OR($B559="",$C559="",$D559=""),"",DATE($C559+2018,$D559,1))</f>
        <v/>
      </c>
    </row>
    <row r="560">
      <c r="A560" s="11" t="n"/>
      <c r="B560" s="12" t="n"/>
      <c r="C560" s="12" t="n"/>
      <c r="D560" s="12" t="n"/>
      <c r="E560" s="13" t="n"/>
      <c r="F560" s="12" t="n"/>
      <c r="G560" s="13" t="n"/>
      <c r="H560" s="12" t="n"/>
      <c r="I560" s="12" t="n"/>
      <c r="J560" s="12" t="n"/>
      <c r="K560" s="12" t="n"/>
      <c r="L560" s="11" t="n"/>
      <c r="M560" s="11" t="n"/>
      <c r="N560" s="11" t="n"/>
      <c r="O560" s="11" t="n"/>
      <c r="P560" s="12" t="n"/>
      <c r="Q560" s="11" t="n"/>
      <c r="R560" s="12" t="n"/>
      <c r="S560" s="11" t="n"/>
      <c r="T560" s="12" t="n"/>
      <c r="U560" s="12" t="n"/>
      <c r="V560" s="12" t="n"/>
      <c r="W560" s="13" t="n"/>
      <c r="X560" s="14">
        <f>IF($AP560="",IF($B560="","",$H560),IF(INDEX(職員マスタ!$B$6:$B$405,$AP560)="",$H560,INDEX(職員マスタ!$B$6:$B$405,$AP560)))</f>
        <v/>
      </c>
      <c r="Y560" s="14">
        <f>IF($AP560="",IF($B560="","",$R560),IF(INDEX(職員マスタ!$C$6:$C$405,$AP560)="",$R560,INDEX(職員マスタ!$C$6:$C$405,$AP560)))</f>
        <v/>
      </c>
      <c r="Z560" s="14">
        <f>IF($AQ560="","","R"&amp;$C560&amp;"."&amp;$D560)</f>
        <v/>
      </c>
      <c r="AA560" s="15">
        <f>IF(IF($AP560="",FALSE,INDEX(職員マスタ!$K$6:$K$405,$AP560)&lt;&gt;""),INDEX(職員マスタ!$K$6:$K$405,$AP560),IF(N($W560)&gt;0,$W560,""))</f>
        <v/>
      </c>
      <c r="AB560" s="14">
        <f>IF(OR($E560="",$AA560=""),"",IF($E560&gt;=$AA560,"×",IF($E560&gt;=$AA560*設定!$C$5,"△","○")))</f>
        <v/>
      </c>
      <c r="AC560" s="15">
        <f>IF($AB560="","",IF($AB560="×",0,IF($AB560="○",ROUNDDOWN($E560*設定!$C$4,0),ROUNDDOWN($E560*ROUND((9*$AA560-9*$E560)/(10*$E560),4),0))))</f>
        <v/>
      </c>
      <c r="AD560" s="13" t="n"/>
      <c r="AE560" s="15">
        <f>IF($B560="","",IF($AD560&lt;&gt;"",$AD560,IF($AC560="","",IF($AC560&lt;=設定!$C$3,0,$AC560))))</f>
        <v/>
      </c>
      <c r="AF560" s="14">
        <f>IF($B560="","",IF(AND($AG560&lt;&gt;"",$AI560="",$AL560=""),"保留中",IF($AL560&lt;&gt;"",IF(N($AE560)&gt;0,"支給済","不支給"),IF($AE560="","要確認",IF($AE560=0,"不支給","未処理")))))</f>
        <v/>
      </c>
      <c r="AG560" s="12" t="n"/>
      <c r="AH560" s="11" t="n"/>
      <c r="AI560" s="11" t="n"/>
      <c r="AJ560" s="11" t="n"/>
      <c r="AK560" s="14">
        <f>IF(AND($AF560="保留中",$AH560&lt;&gt;""),TODAY()-$AH560,"")</f>
        <v/>
      </c>
      <c r="AL560" s="12" t="n"/>
      <c r="AM560" s="14">
        <f>IF($B560="","",IF($AQ560="","対象年月が未入力／","")&amp;IF($B560="","",IF($AP560="","職員マスタに未登録の職員番号／",IF($AA560="","標準報酬月額が未登録／","")&amp;IF(AND($AQ560&lt;&gt;"",OR(AND(INDEX(職員マスタ!$G$6:$G$405,$AP560)&lt;&gt;"",INDEX(職員マスタ!$G$6:$G$405,$AP560)&gt;EOMONTH($AQ560,0)),AND(INDEX(職員マスタ!$H$6:$H$405,$AP560)&lt;&gt;"",INDEX(職員マスタ!$H$6:$H$405,$AP560)&lt;$AQ560))),"対象月が時短期間外／","")&amp;IF(AND(INDEX(職員マスタ!$K$6:$K$405,$AP560)&lt;&gt;"",N($W560)&gt;0,INDEX(職員マスタ!$K$6:$K$405,$AP560)&lt;&gt;$W560),"標準報酬月額が申請書と相違（台帳"&amp;TEXT(INDEX(職員マスタ!$K$6:$K$405,$AP560),"#,##0")&amp;"円／申請書"&amp;TEXT($W560,"#,##0")&amp;"円）／","")&amp;IF(AND(INDEX(職員マスタ!$F$6:$F$405,$AP560)&lt;&gt;"",$AQ560&lt;&gt;"",INDEX(職員マスタ!$F$6:$F$405,$AP560)&lt;$AQ560),"対象月に子が2歳到達済／","")&amp;IF(AND($H560&lt;&gt;"",INDEX(職員マスタ!$B$6:$B$405,$AP560)&lt;&gt;"",SUBSTITUTE(SUBSTITUTE($H560," ","")," ","")&lt;&gt;SUBSTITUTE(SUBSTITUTE(INDEX(職員マスタ!$B$6:$B$405,$AP560)," ","")," ","")),"氏名がマスタと相違／","")&amp;IF(AND($Q560&lt;&gt;"",INDEX(職員マスタ!$E$6:$E$405,$AP560)&lt;&gt;"",$Q560&lt;&gt;INDEX(職員マスタ!$E$6:$E$405,$AP560)),"子の生年月日がマスタと相違／","")&amp;IF(AND($L560&lt;&gt;"",INDEX(職員マスタ!$G$6:$G$405,$AP560)&lt;&gt;"",$L560&lt;&gt;INDEX(職員マスタ!$G$6:$G$405,$AP560)),"時短開始日がマスタと相違／","")&amp;IF(AND($M560&lt;&gt;"",INDEX(職員マスタ!$H$6:$H$405,$AP560)&lt;&gt;"",$M560&lt;&gt;INDEX(職員マスタ!$H$6:$H$405,$AP560)),"時短終了日がマスタと相違／","")))&amp;IF(AND($B560&lt;&gt;"",$E560=""),"報酬額が未入力／","")&amp;IF(N($U560)&gt;0,"申請書に入力エラーが残っています／","")&amp;IF(AND($B560&lt;&gt;"",$AQ560&lt;&gt;""),IF(COUNTIFS($B$6:$B$3005,$B560,$C$6:$C$3005,$C560,$D$6:$D$3005,$D560)&gt;1,"同じ月の請求が重複しています／",""),"")&amp;IF(AND(N($E560)&gt;0,$AB560&lt;&gt;"",$AB560&lt;&gt;"×",$AE560=0,$AD560=""),"計算額が下限以下のため不支給／",""))</f>
        <v/>
      </c>
      <c r="AN560" s="12" t="n"/>
      <c r="AO560" s="14">
        <f>IF($AF560="保留中",COUNTIF($AF$6:$AF560,"保留中"),"")</f>
        <v/>
      </c>
      <c r="AP560" s="14">
        <f>IF($AQ560="","",IF(SUMPRODUCT(MAX((職員マスタ!$A$6:$A$405=$B560)*(((職員マスタ!$G$6:$G$405="")+(職員マスタ!$G$6:$G$405&lt;=EOMONTH($AQ560,0)))&gt;0)*(((職員マスタ!$H$6:$H$405="")+(職員マスタ!$H$6:$H$405&gt;=$AQ560))&gt;0)*(ROW(職員マスタ!$A$6:$A$405)-5)))&gt;0,SUMPRODUCT(MAX((職員マスタ!$A$6:$A$405=$B560)*(((職員マスタ!$G$6:$G$405="")+(職員マスタ!$G$6:$G$405&lt;=EOMONTH($AQ560,0)))&gt;0)*(((職員マスタ!$H$6:$H$405="")+(職員マスタ!$H$6:$H$405&gt;=$AQ560))&gt;0)*(ROW(職員マスタ!$A$6:$A$405)-5))),IFERROR(MATCH($B560,職員マスタ!$A$6:$A$405,0),"")))</f>
        <v/>
      </c>
      <c r="AQ560" s="16">
        <f>IF(OR($B560="",$C560="",$D560=""),"",DATE($C560+2018,$D560,1))</f>
        <v/>
      </c>
    </row>
    <row r="561">
      <c r="A561" s="11" t="n"/>
      <c r="B561" s="12" t="n"/>
      <c r="C561" s="12" t="n"/>
      <c r="D561" s="12" t="n"/>
      <c r="E561" s="13" t="n"/>
      <c r="F561" s="12" t="n"/>
      <c r="G561" s="13" t="n"/>
      <c r="H561" s="12" t="n"/>
      <c r="I561" s="12" t="n"/>
      <c r="J561" s="12" t="n"/>
      <c r="K561" s="12" t="n"/>
      <c r="L561" s="11" t="n"/>
      <c r="M561" s="11" t="n"/>
      <c r="N561" s="11" t="n"/>
      <c r="O561" s="11" t="n"/>
      <c r="P561" s="12" t="n"/>
      <c r="Q561" s="11" t="n"/>
      <c r="R561" s="12" t="n"/>
      <c r="S561" s="11" t="n"/>
      <c r="T561" s="12" t="n"/>
      <c r="U561" s="12" t="n"/>
      <c r="V561" s="12" t="n"/>
      <c r="W561" s="13" t="n"/>
      <c r="X561" s="14">
        <f>IF($AP561="",IF($B561="","",$H561),IF(INDEX(職員マスタ!$B$6:$B$405,$AP561)="",$H561,INDEX(職員マスタ!$B$6:$B$405,$AP561)))</f>
        <v/>
      </c>
      <c r="Y561" s="14">
        <f>IF($AP561="",IF($B561="","",$R561),IF(INDEX(職員マスタ!$C$6:$C$405,$AP561)="",$R561,INDEX(職員マスタ!$C$6:$C$405,$AP561)))</f>
        <v/>
      </c>
      <c r="Z561" s="14">
        <f>IF($AQ561="","","R"&amp;$C561&amp;"."&amp;$D561)</f>
        <v/>
      </c>
      <c r="AA561" s="15">
        <f>IF(IF($AP561="",FALSE,INDEX(職員マスタ!$K$6:$K$405,$AP561)&lt;&gt;""),INDEX(職員マスタ!$K$6:$K$405,$AP561),IF(N($W561)&gt;0,$W561,""))</f>
        <v/>
      </c>
      <c r="AB561" s="14">
        <f>IF(OR($E561="",$AA561=""),"",IF($E561&gt;=$AA561,"×",IF($E561&gt;=$AA561*設定!$C$5,"△","○")))</f>
        <v/>
      </c>
      <c r="AC561" s="15">
        <f>IF($AB561="","",IF($AB561="×",0,IF($AB561="○",ROUNDDOWN($E561*設定!$C$4,0),ROUNDDOWN($E561*ROUND((9*$AA561-9*$E561)/(10*$E561),4),0))))</f>
        <v/>
      </c>
      <c r="AD561" s="13" t="n"/>
      <c r="AE561" s="15">
        <f>IF($B561="","",IF($AD561&lt;&gt;"",$AD561,IF($AC561="","",IF($AC561&lt;=設定!$C$3,0,$AC561))))</f>
        <v/>
      </c>
      <c r="AF561" s="14">
        <f>IF($B561="","",IF(AND($AG561&lt;&gt;"",$AI561="",$AL561=""),"保留中",IF($AL561&lt;&gt;"",IF(N($AE561)&gt;0,"支給済","不支給"),IF($AE561="","要確認",IF($AE561=0,"不支給","未処理")))))</f>
        <v/>
      </c>
      <c r="AG561" s="12" t="n"/>
      <c r="AH561" s="11" t="n"/>
      <c r="AI561" s="11" t="n"/>
      <c r="AJ561" s="11" t="n"/>
      <c r="AK561" s="14">
        <f>IF(AND($AF561="保留中",$AH561&lt;&gt;""),TODAY()-$AH561,"")</f>
        <v/>
      </c>
      <c r="AL561" s="12" t="n"/>
      <c r="AM561" s="14">
        <f>IF($B561="","",IF($AQ561="","対象年月が未入力／","")&amp;IF($B561="","",IF($AP561="","職員マスタに未登録の職員番号／",IF($AA561="","標準報酬月額が未登録／","")&amp;IF(AND($AQ561&lt;&gt;"",OR(AND(INDEX(職員マスタ!$G$6:$G$405,$AP561)&lt;&gt;"",INDEX(職員マスタ!$G$6:$G$405,$AP561)&gt;EOMONTH($AQ561,0)),AND(INDEX(職員マスタ!$H$6:$H$405,$AP561)&lt;&gt;"",INDEX(職員マスタ!$H$6:$H$405,$AP561)&lt;$AQ561))),"対象月が時短期間外／","")&amp;IF(AND(INDEX(職員マスタ!$K$6:$K$405,$AP561)&lt;&gt;"",N($W561)&gt;0,INDEX(職員マスタ!$K$6:$K$405,$AP561)&lt;&gt;$W561),"標準報酬月額が申請書と相違（台帳"&amp;TEXT(INDEX(職員マスタ!$K$6:$K$405,$AP561),"#,##0")&amp;"円／申請書"&amp;TEXT($W561,"#,##0")&amp;"円）／","")&amp;IF(AND(INDEX(職員マスタ!$F$6:$F$405,$AP561)&lt;&gt;"",$AQ561&lt;&gt;"",INDEX(職員マスタ!$F$6:$F$405,$AP561)&lt;$AQ561),"対象月に子が2歳到達済／","")&amp;IF(AND($H561&lt;&gt;"",INDEX(職員マスタ!$B$6:$B$405,$AP561)&lt;&gt;"",SUBSTITUTE(SUBSTITUTE($H561," ","")," ","")&lt;&gt;SUBSTITUTE(SUBSTITUTE(INDEX(職員マスタ!$B$6:$B$405,$AP561)," ","")," ","")),"氏名がマスタと相違／","")&amp;IF(AND($Q561&lt;&gt;"",INDEX(職員マスタ!$E$6:$E$405,$AP561)&lt;&gt;"",$Q561&lt;&gt;INDEX(職員マスタ!$E$6:$E$405,$AP561)),"子の生年月日がマスタと相違／","")&amp;IF(AND($L561&lt;&gt;"",INDEX(職員マスタ!$G$6:$G$405,$AP561)&lt;&gt;"",$L561&lt;&gt;INDEX(職員マスタ!$G$6:$G$405,$AP561)),"時短開始日がマスタと相違／","")&amp;IF(AND($M561&lt;&gt;"",INDEX(職員マスタ!$H$6:$H$405,$AP561)&lt;&gt;"",$M561&lt;&gt;INDEX(職員マスタ!$H$6:$H$405,$AP561)),"時短終了日がマスタと相違／","")))&amp;IF(AND($B561&lt;&gt;"",$E561=""),"報酬額が未入力／","")&amp;IF(N($U561)&gt;0,"申請書に入力エラーが残っています／","")&amp;IF(AND($B561&lt;&gt;"",$AQ561&lt;&gt;""),IF(COUNTIFS($B$6:$B$3005,$B561,$C$6:$C$3005,$C561,$D$6:$D$3005,$D561)&gt;1,"同じ月の請求が重複しています／",""),"")&amp;IF(AND(N($E561)&gt;0,$AB561&lt;&gt;"",$AB561&lt;&gt;"×",$AE561=0,$AD561=""),"計算額が下限以下のため不支給／",""))</f>
        <v/>
      </c>
      <c r="AN561" s="12" t="n"/>
      <c r="AO561" s="14">
        <f>IF($AF561="保留中",COUNTIF($AF$6:$AF561,"保留中"),"")</f>
        <v/>
      </c>
      <c r="AP561" s="14">
        <f>IF($AQ561="","",IF(SUMPRODUCT(MAX((職員マスタ!$A$6:$A$405=$B561)*(((職員マスタ!$G$6:$G$405="")+(職員マスタ!$G$6:$G$405&lt;=EOMONTH($AQ561,0)))&gt;0)*(((職員マスタ!$H$6:$H$405="")+(職員マスタ!$H$6:$H$405&gt;=$AQ561))&gt;0)*(ROW(職員マスタ!$A$6:$A$405)-5)))&gt;0,SUMPRODUCT(MAX((職員マスタ!$A$6:$A$405=$B561)*(((職員マスタ!$G$6:$G$405="")+(職員マスタ!$G$6:$G$405&lt;=EOMONTH($AQ561,0)))&gt;0)*(((職員マスタ!$H$6:$H$405="")+(職員マスタ!$H$6:$H$405&gt;=$AQ561))&gt;0)*(ROW(職員マスタ!$A$6:$A$405)-5))),IFERROR(MATCH($B561,職員マスタ!$A$6:$A$405,0),"")))</f>
        <v/>
      </c>
      <c r="AQ561" s="16">
        <f>IF(OR($B561="",$C561="",$D561=""),"",DATE($C561+2018,$D561,1))</f>
        <v/>
      </c>
    </row>
    <row r="562">
      <c r="A562" s="11" t="n"/>
      <c r="B562" s="12" t="n"/>
      <c r="C562" s="12" t="n"/>
      <c r="D562" s="12" t="n"/>
      <c r="E562" s="13" t="n"/>
      <c r="F562" s="12" t="n"/>
      <c r="G562" s="13" t="n"/>
      <c r="H562" s="12" t="n"/>
      <c r="I562" s="12" t="n"/>
      <c r="J562" s="12" t="n"/>
      <c r="K562" s="12" t="n"/>
      <c r="L562" s="11" t="n"/>
      <c r="M562" s="11" t="n"/>
      <c r="N562" s="11" t="n"/>
      <c r="O562" s="11" t="n"/>
      <c r="P562" s="12" t="n"/>
      <c r="Q562" s="11" t="n"/>
      <c r="R562" s="12" t="n"/>
      <c r="S562" s="11" t="n"/>
      <c r="T562" s="12" t="n"/>
      <c r="U562" s="12" t="n"/>
      <c r="V562" s="12" t="n"/>
      <c r="W562" s="13" t="n"/>
      <c r="X562" s="14">
        <f>IF($AP562="",IF($B562="","",$H562),IF(INDEX(職員マスタ!$B$6:$B$405,$AP562)="",$H562,INDEX(職員マスタ!$B$6:$B$405,$AP562)))</f>
        <v/>
      </c>
      <c r="Y562" s="14">
        <f>IF($AP562="",IF($B562="","",$R562),IF(INDEX(職員マスタ!$C$6:$C$405,$AP562)="",$R562,INDEX(職員マスタ!$C$6:$C$405,$AP562)))</f>
        <v/>
      </c>
      <c r="Z562" s="14">
        <f>IF($AQ562="","","R"&amp;$C562&amp;"."&amp;$D562)</f>
        <v/>
      </c>
      <c r="AA562" s="15">
        <f>IF(IF($AP562="",FALSE,INDEX(職員マスタ!$K$6:$K$405,$AP562)&lt;&gt;""),INDEX(職員マスタ!$K$6:$K$405,$AP562),IF(N($W562)&gt;0,$W562,""))</f>
        <v/>
      </c>
      <c r="AB562" s="14">
        <f>IF(OR($E562="",$AA562=""),"",IF($E562&gt;=$AA562,"×",IF($E562&gt;=$AA562*設定!$C$5,"△","○")))</f>
        <v/>
      </c>
      <c r="AC562" s="15">
        <f>IF($AB562="","",IF($AB562="×",0,IF($AB562="○",ROUNDDOWN($E562*設定!$C$4,0),ROUNDDOWN($E562*ROUND((9*$AA562-9*$E562)/(10*$E562),4),0))))</f>
        <v/>
      </c>
      <c r="AD562" s="13" t="n"/>
      <c r="AE562" s="15">
        <f>IF($B562="","",IF($AD562&lt;&gt;"",$AD562,IF($AC562="","",IF($AC562&lt;=設定!$C$3,0,$AC562))))</f>
        <v/>
      </c>
      <c r="AF562" s="14">
        <f>IF($B562="","",IF(AND($AG562&lt;&gt;"",$AI562="",$AL562=""),"保留中",IF($AL562&lt;&gt;"",IF(N($AE562)&gt;0,"支給済","不支給"),IF($AE562="","要確認",IF($AE562=0,"不支給","未処理")))))</f>
        <v/>
      </c>
      <c r="AG562" s="12" t="n"/>
      <c r="AH562" s="11" t="n"/>
      <c r="AI562" s="11" t="n"/>
      <c r="AJ562" s="11" t="n"/>
      <c r="AK562" s="14">
        <f>IF(AND($AF562="保留中",$AH562&lt;&gt;""),TODAY()-$AH562,"")</f>
        <v/>
      </c>
      <c r="AL562" s="12" t="n"/>
      <c r="AM562" s="14">
        <f>IF($B562="","",IF($AQ562="","対象年月が未入力／","")&amp;IF($B562="","",IF($AP562="","職員マスタに未登録の職員番号／",IF($AA562="","標準報酬月額が未登録／","")&amp;IF(AND($AQ562&lt;&gt;"",OR(AND(INDEX(職員マスタ!$G$6:$G$405,$AP562)&lt;&gt;"",INDEX(職員マスタ!$G$6:$G$405,$AP562)&gt;EOMONTH($AQ562,0)),AND(INDEX(職員マスタ!$H$6:$H$405,$AP562)&lt;&gt;"",INDEX(職員マスタ!$H$6:$H$405,$AP562)&lt;$AQ562))),"対象月が時短期間外／","")&amp;IF(AND(INDEX(職員マスタ!$K$6:$K$405,$AP562)&lt;&gt;"",N($W562)&gt;0,INDEX(職員マスタ!$K$6:$K$405,$AP562)&lt;&gt;$W562),"標準報酬月額が申請書と相違（台帳"&amp;TEXT(INDEX(職員マスタ!$K$6:$K$405,$AP562),"#,##0")&amp;"円／申請書"&amp;TEXT($W562,"#,##0")&amp;"円）／","")&amp;IF(AND(INDEX(職員マスタ!$F$6:$F$405,$AP562)&lt;&gt;"",$AQ562&lt;&gt;"",INDEX(職員マスタ!$F$6:$F$405,$AP562)&lt;$AQ562),"対象月に子が2歳到達済／","")&amp;IF(AND($H562&lt;&gt;"",INDEX(職員マスタ!$B$6:$B$405,$AP562)&lt;&gt;"",SUBSTITUTE(SUBSTITUTE($H562," ","")," ","")&lt;&gt;SUBSTITUTE(SUBSTITUTE(INDEX(職員マスタ!$B$6:$B$405,$AP562)," ","")," ","")),"氏名がマスタと相違／","")&amp;IF(AND($Q562&lt;&gt;"",INDEX(職員マスタ!$E$6:$E$405,$AP562)&lt;&gt;"",$Q562&lt;&gt;INDEX(職員マスタ!$E$6:$E$405,$AP562)),"子の生年月日がマスタと相違／","")&amp;IF(AND($L562&lt;&gt;"",INDEX(職員マスタ!$G$6:$G$405,$AP562)&lt;&gt;"",$L562&lt;&gt;INDEX(職員マスタ!$G$6:$G$405,$AP562)),"時短開始日がマスタと相違／","")&amp;IF(AND($M562&lt;&gt;"",INDEX(職員マスタ!$H$6:$H$405,$AP562)&lt;&gt;"",$M562&lt;&gt;INDEX(職員マスタ!$H$6:$H$405,$AP562)),"時短終了日がマスタと相違／","")))&amp;IF(AND($B562&lt;&gt;"",$E562=""),"報酬額が未入力／","")&amp;IF(N($U562)&gt;0,"申請書に入力エラーが残っています／","")&amp;IF(AND($B562&lt;&gt;"",$AQ562&lt;&gt;""),IF(COUNTIFS($B$6:$B$3005,$B562,$C$6:$C$3005,$C562,$D$6:$D$3005,$D562)&gt;1,"同じ月の請求が重複しています／",""),"")&amp;IF(AND(N($E562)&gt;0,$AB562&lt;&gt;"",$AB562&lt;&gt;"×",$AE562=0,$AD562=""),"計算額が下限以下のため不支給／",""))</f>
        <v/>
      </c>
      <c r="AN562" s="12" t="n"/>
      <c r="AO562" s="14">
        <f>IF($AF562="保留中",COUNTIF($AF$6:$AF562,"保留中"),"")</f>
        <v/>
      </c>
      <c r="AP562" s="14">
        <f>IF($AQ562="","",IF(SUMPRODUCT(MAX((職員マスタ!$A$6:$A$405=$B562)*(((職員マスタ!$G$6:$G$405="")+(職員マスタ!$G$6:$G$405&lt;=EOMONTH($AQ562,0)))&gt;0)*(((職員マスタ!$H$6:$H$405="")+(職員マスタ!$H$6:$H$405&gt;=$AQ562))&gt;0)*(ROW(職員マスタ!$A$6:$A$405)-5)))&gt;0,SUMPRODUCT(MAX((職員マスタ!$A$6:$A$405=$B562)*(((職員マスタ!$G$6:$G$405="")+(職員マスタ!$G$6:$G$405&lt;=EOMONTH($AQ562,0)))&gt;0)*(((職員マスタ!$H$6:$H$405="")+(職員マスタ!$H$6:$H$405&gt;=$AQ562))&gt;0)*(ROW(職員マスタ!$A$6:$A$405)-5))),IFERROR(MATCH($B562,職員マスタ!$A$6:$A$405,0),"")))</f>
        <v/>
      </c>
      <c r="AQ562" s="16">
        <f>IF(OR($B562="",$C562="",$D562=""),"",DATE($C562+2018,$D562,1))</f>
        <v/>
      </c>
    </row>
    <row r="563">
      <c r="A563" s="11" t="n"/>
      <c r="B563" s="12" t="n"/>
      <c r="C563" s="12" t="n"/>
      <c r="D563" s="12" t="n"/>
      <c r="E563" s="13" t="n"/>
      <c r="F563" s="12" t="n"/>
      <c r="G563" s="13" t="n"/>
      <c r="H563" s="12" t="n"/>
      <c r="I563" s="12" t="n"/>
      <c r="J563" s="12" t="n"/>
      <c r="K563" s="12" t="n"/>
      <c r="L563" s="11" t="n"/>
      <c r="M563" s="11" t="n"/>
      <c r="N563" s="11" t="n"/>
      <c r="O563" s="11" t="n"/>
      <c r="P563" s="12" t="n"/>
      <c r="Q563" s="11" t="n"/>
      <c r="R563" s="12" t="n"/>
      <c r="S563" s="11" t="n"/>
      <c r="T563" s="12" t="n"/>
      <c r="U563" s="12" t="n"/>
      <c r="V563" s="12" t="n"/>
      <c r="W563" s="13" t="n"/>
      <c r="X563" s="14">
        <f>IF($AP563="",IF($B563="","",$H563),IF(INDEX(職員マスタ!$B$6:$B$405,$AP563)="",$H563,INDEX(職員マスタ!$B$6:$B$405,$AP563)))</f>
        <v/>
      </c>
      <c r="Y563" s="14">
        <f>IF($AP563="",IF($B563="","",$R563),IF(INDEX(職員マスタ!$C$6:$C$405,$AP563)="",$R563,INDEX(職員マスタ!$C$6:$C$405,$AP563)))</f>
        <v/>
      </c>
      <c r="Z563" s="14">
        <f>IF($AQ563="","","R"&amp;$C563&amp;"."&amp;$D563)</f>
        <v/>
      </c>
      <c r="AA563" s="15">
        <f>IF(IF($AP563="",FALSE,INDEX(職員マスタ!$K$6:$K$405,$AP563)&lt;&gt;""),INDEX(職員マスタ!$K$6:$K$405,$AP563),IF(N($W563)&gt;0,$W563,""))</f>
        <v/>
      </c>
      <c r="AB563" s="14">
        <f>IF(OR($E563="",$AA563=""),"",IF($E563&gt;=$AA563,"×",IF($E563&gt;=$AA563*設定!$C$5,"△","○")))</f>
        <v/>
      </c>
      <c r="AC563" s="15">
        <f>IF($AB563="","",IF($AB563="×",0,IF($AB563="○",ROUNDDOWN($E563*設定!$C$4,0),ROUNDDOWN($E563*ROUND((9*$AA563-9*$E563)/(10*$E563),4),0))))</f>
        <v/>
      </c>
      <c r="AD563" s="13" t="n"/>
      <c r="AE563" s="15">
        <f>IF($B563="","",IF($AD563&lt;&gt;"",$AD563,IF($AC563="","",IF($AC563&lt;=設定!$C$3,0,$AC563))))</f>
        <v/>
      </c>
      <c r="AF563" s="14">
        <f>IF($B563="","",IF(AND($AG563&lt;&gt;"",$AI563="",$AL563=""),"保留中",IF($AL563&lt;&gt;"",IF(N($AE563)&gt;0,"支給済","不支給"),IF($AE563="","要確認",IF($AE563=0,"不支給","未処理")))))</f>
        <v/>
      </c>
      <c r="AG563" s="12" t="n"/>
      <c r="AH563" s="11" t="n"/>
      <c r="AI563" s="11" t="n"/>
      <c r="AJ563" s="11" t="n"/>
      <c r="AK563" s="14">
        <f>IF(AND($AF563="保留中",$AH563&lt;&gt;""),TODAY()-$AH563,"")</f>
        <v/>
      </c>
      <c r="AL563" s="12" t="n"/>
      <c r="AM563" s="14">
        <f>IF($B563="","",IF($AQ563="","対象年月が未入力／","")&amp;IF($B563="","",IF($AP563="","職員マスタに未登録の職員番号／",IF($AA563="","標準報酬月額が未登録／","")&amp;IF(AND($AQ563&lt;&gt;"",OR(AND(INDEX(職員マスタ!$G$6:$G$405,$AP563)&lt;&gt;"",INDEX(職員マスタ!$G$6:$G$405,$AP563)&gt;EOMONTH($AQ563,0)),AND(INDEX(職員マスタ!$H$6:$H$405,$AP563)&lt;&gt;"",INDEX(職員マスタ!$H$6:$H$405,$AP563)&lt;$AQ563))),"対象月が時短期間外／","")&amp;IF(AND(INDEX(職員マスタ!$K$6:$K$405,$AP563)&lt;&gt;"",N($W563)&gt;0,INDEX(職員マスタ!$K$6:$K$405,$AP563)&lt;&gt;$W563),"標準報酬月額が申請書と相違（台帳"&amp;TEXT(INDEX(職員マスタ!$K$6:$K$405,$AP563),"#,##0")&amp;"円／申請書"&amp;TEXT($W563,"#,##0")&amp;"円）／","")&amp;IF(AND(INDEX(職員マスタ!$F$6:$F$405,$AP563)&lt;&gt;"",$AQ563&lt;&gt;"",INDEX(職員マスタ!$F$6:$F$405,$AP563)&lt;$AQ563),"対象月に子が2歳到達済／","")&amp;IF(AND($H563&lt;&gt;"",INDEX(職員マスタ!$B$6:$B$405,$AP563)&lt;&gt;"",SUBSTITUTE(SUBSTITUTE($H563," ","")," ","")&lt;&gt;SUBSTITUTE(SUBSTITUTE(INDEX(職員マスタ!$B$6:$B$405,$AP563)," ","")," ","")),"氏名がマスタと相違／","")&amp;IF(AND($Q563&lt;&gt;"",INDEX(職員マスタ!$E$6:$E$405,$AP563)&lt;&gt;"",$Q563&lt;&gt;INDEX(職員マスタ!$E$6:$E$405,$AP563)),"子の生年月日がマスタと相違／","")&amp;IF(AND($L563&lt;&gt;"",INDEX(職員マスタ!$G$6:$G$405,$AP563)&lt;&gt;"",$L563&lt;&gt;INDEX(職員マスタ!$G$6:$G$405,$AP563)),"時短開始日がマスタと相違／","")&amp;IF(AND($M563&lt;&gt;"",INDEX(職員マスタ!$H$6:$H$405,$AP563)&lt;&gt;"",$M563&lt;&gt;INDEX(職員マスタ!$H$6:$H$405,$AP563)),"時短終了日がマスタと相違／","")))&amp;IF(AND($B563&lt;&gt;"",$E563=""),"報酬額が未入力／","")&amp;IF(N($U563)&gt;0,"申請書に入力エラーが残っています／","")&amp;IF(AND($B563&lt;&gt;"",$AQ563&lt;&gt;""),IF(COUNTIFS($B$6:$B$3005,$B563,$C$6:$C$3005,$C563,$D$6:$D$3005,$D563)&gt;1,"同じ月の請求が重複しています／",""),"")&amp;IF(AND(N($E563)&gt;0,$AB563&lt;&gt;"",$AB563&lt;&gt;"×",$AE563=0,$AD563=""),"計算額が下限以下のため不支給／",""))</f>
        <v/>
      </c>
      <c r="AN563" s="12" t="n"/>
      <c r="AO563" s="14">
        <f>IF($AF563="保留中",COUNTIF($AF$6:$AF563,"保留中"),"")</f>
        <v/>
      </c>
      <c r="AP563" s="14">
        <f>IF($AQ563="","",IF(SUMPRODUCT(MAX((職員マスタ!$A$6:$A$405=$B563)*(((職員マスタ!$G$6:$G$405="")+(職員マスタ!$G$6:$G$405&lt;=EOMONTH($AQ563,0)))&gt;0)*(((職員マスタ!$H$6:$H$405="")+(職員マスタ!$H$6:$H$405&gt;=$AQ563))&gt;0)*(ROW(職員マスタ!$A$6:$A$405)-5)))&gt;0,SUMPRODUCT(MAX((職員マスタ!$A$6:$A$405=$B563)*(((職員マスタ!$G$6:$G$405="")+(職員マスタ!$G$6:$G$405&lt;=EOMONTH($AQ563,0)))&gt;0)*(((職員マスタ!$H$6:$H$405="")+(職員マスタ!$H$6:$H$405&gt;=$AQ563))&gt;0)*(ROW(職員マスタ!$A$6:$A$405)-5))),IFERROR(MATCH($B563,職員マスタ!$A$6:$A$405,0),"")))</f>
        <v/>
      </c>
      <c r="AQ563" s="16">
        <f>IF(OR($B563="",$C563="",$D563=""),"",DATE($C563+2018,$D563,1))</f>
        <v/>
      </c>
    </row>
    <row r="564">
      <c r="A564" s="11" t="n"/>
      <c r="B564" s="12" t="n"/>
      <c r="C564" s="12" t="n"/>
      <c r="D564" s="12" t="n"/>
      <c r="E564" s="13" t="n"/>
      <c r="F564" s="12" t="n"/>
      <c r="G564" s="13" t="n"/>
      <c r="H564" s="12" t="n"/>
      <c r="I564" s="12" t="n"/>
      <c r="J564" s="12" t="n"/>
      <c r="K564" s="12" t="n"/>
      <c r="L564" s="11" t="n"/>
      <c r="M564" s="11" t="n"/>
      <c r="N564" s="11" t="n"/>
      <c r="O564" s="11" t="n"/>
      <c r="P564" s="12" t="n"/>
      <c r="Q564" s="11" t="n"/>
      <c r="R564" s="12" t="n"/>
      <c r="S564" s="11" t="n"/>
      <c r="T564" s="12" t="n"/>
      <c r="U564" s="12" t="n"/>
      <c r="V564" s="12" t="n"/>
      <c r="W564" s="13" t="n"/>
      <c r="X564" s="14">
        <f>IF($AP564="",IF($B564="","",$H564),IF(INDEX(職員マスタ!$B$6:$B$405,$AP564)="",$H564,INDEX(職員マスタ!$B$6:$B$405,$AP564)))</f>
        <v/>
      </c>
      <c r="Y564" s="14">
        <f>IF($AP564="",IF($B564="","",$R564),IF(INDEX(職員マスタ!$C$6:$C$405,$AP564)="",$R564,INDEX(職員マスタ!$C$6:$C$405,$AP564)))</f>
        <v/>
      </c>
      <c r="Z564" s="14">
        <f>IF($AQ564="","","R"&amp;$C564&amp;"."&amp;$D564)</f>
        <v/>
      </c>
      <c r="AA564" s="15">
        <f>IF(IF($AP564="",FALSE,INDEX(職員マスタ!$K$6:$K$405,$AP564)&lt;&gt;""),INDEX(職員マスタ!$K$6:$K$405,$AP564),IF(N($W564)&gt;0,$W564,""))</f>
        <v/>
      </c>
      <c r="AB564" s="14">
        <f>IF(OR($E564="",$AA564=""),"",IF($E564&gt;=$AA564,"×",IF($E564&gt;=$AA564*設定!$C$5,"△","○")))</f>
        <v/>
      </c>
      <c r="AC564" s="15">
        <f>IF($AB564="","",IF($AB564="×",0,IF($AB564="○",ROUNDDOWN($E564*設定!$C$4,0),ROUNDDOWN($E564*ROUND((9*$AA564-9*$E564)/(10*$E564),4),0))))</f>
        <v/>
      </c>
      <c r="AD564" s="13" t="n"/>
      <c r="AE564" s="15">
        <f>IF($B564="","",IF($AD564&lt;&gt;"",$AD564,IF($AC564="","",IF($AC564&lt;=設定!$C$3,0,$AC564))))</f>
        <v/>
      </c>
      <c r="AF564" s="14">
        <f>IF($B564="","",IF(AND($AG564&lt;&gt;"",$AI564="",$AL564=""),"保留中",IF($AL564&lt;&gt;"",IF(N($AE564)&gt;0,"支給済","不支給"),IF($AE564="","要確認",IF($AE564=0,"不支給","未処理")))))</f>
        <v/>
      </c>
      <c r="AG564" s="12" t="n"/>
      <c r="AH564" s="11" t="n"/>
      <c r="AI564" s="11" t="n"/>
      <c r="AJ564" s="11" t="n"/>
      <c r="AK564" s="14">
        <f>IF(AND($AF564="保留中",$AH564&lt;&gt;""),TODAY()-$AH564,"")</f>
        <v/>
      </c>
      <c r="AL564" s="12" t="n"/>
      <c r="AM564" s="14">
        <f>IF($B564="","",IF($AQ564="","対象年月が未入力／","")&amp;IF($B564="","",IF($AP564="","職員マスタに未登録の職員番号／",IF($AA564="","標準報酬月額が未登録／","")&amp;IF(AND($AQ564&lt;&gt;"",OR(AND(INDEX(職員マスタ!$G$6:$G$405,$AP564)&lt;&gt;"",INDEX(職員マスタ!$G$6:$G$405,$AP564)&gt;EOMONTH($AQ564,0)),AND(INDEX(職員マスタ!$H$6:$H$405,$AP564)&lt;&gt;"",INDEX(職員マスタ!$H$6:$H$405,$AP564)&lt;$AQ564))),"対象月が時短期間外／","")&amp;IF(AND(INDEX(職員マスタ!$K$6:$K$405,$AP564)&lt;&gt;"",N($W564)&gt;0,INDEX(職員マスタ!$K$6:$K$405,$AP564)&lt;&gt;$W564),"標準報酬月額が申請書と相違（台帳"&amp;TEXT(INDEX(職員マスタ!$K$6:$K$405,$AP564),"#,##0")&amp;"円／申請書"&amp;TEXT($W564,"#,##0")&amp;"円）／","")&amp;IF(AND(INDEX(職員マスタ!$F$6:$F$405,$AP564)&lt;&gt;"",$AQ564&lt;&gt;"",INDEX(職員マスタ!$F$6:$F$405,$AP564)&lt;$AQ564),"対象月に子が2歳到達済／","")&amp;IF(AND($H564&lt;&gt;"",INDEX(職員マスタ!$B$6:$B$405,$AP564)&lt;&gt;"",SUBSTITUTE(SUBSTITUTE($H564," ","")," ","")&lt;&gt;SUBSTITUTE(SUBSTITUTE(INDEX(職員マスタ!$B$6:$B$405,$AP564)," ","")," ","")),"氏名がマスタと相違／","")&amp;IF(AND($Q564&lt;&gt;"",INDEX(職員マスタ!$E$6:$E$405,$AP564)&lt;&gt;"",$Q564&lt;&gt;INDEX(職員マスタ!$E$6:$E$405,$AP564)),"子の生年月日がマスタと相違／","")&amp;IF(AND($L564&lt;&gt;"",INDEX(職員マスタ!$G$6:$G$405,$AP564)&lt;&gt;"",$L564&lt;&gt;INDEX(職員マスタ!$G$6:$G$405,$AP564)),"時短開始日がマスタと相違／","")&amp;IF(AND($M564&lt;&gt;"",INDEX(職員マスタ!$H$6:$H$405,$AP564)&lt;&gt;"",$M564&lt;&gt;INDEX(職員マスタ!$H$6:$H$405,$AP564)),"時短終了日がマスタと相違／","")))&amp;IF(AND($B564&lt;&gt;"",$E564=""),"報酬額が未入力／","")&amp;IF(N($U564)&gt;0,"申請書に入力エラーが残っています／","")&amp;IF(AND($B564&lt;&gt;"",$AQ564&lt;&gt;""),IF(COUNTIFS($B$6:$B$3005,$B564,$C$6:$C$3005,$C564,$D$6:$D$3005,$D564)&gt;1,"同じ月の請求が重複しています／",""),"")&amp;IF(AND(N($E564)&gt;0,$AB564&lt;&gt;"",$AB564&lt;&gt;"×",$AE564=0,$AD564=""),"計算額が下限以下のため不支給／",""))</f>
        <v/>
      </c>
      <c r="AN564" s="12" t="n"/>
      <c r="AO564" s="14">
        <f>IF($AF564="保留中",COUNTIF($AF$6:$AF564,"保留中"),"")</f>
        <v/>
      </c>
      <c r="AP564" s="14">
        <f>IF($AQ564="","",IF(SUMPRODUCT(MAX((職員マスタ!$A$6:$A$405=$B564)*(((職員マスタ!$G$6:$G$405="")+(職員マスタ!$G$6:$G$405&lt;=EOMONTH($AQ564,0)))&gt;0)*(((職員マスタ!$H$6:$H$405="")+(職員マスタ!$H$6:$H$405&gt;=$AQ564))&gt;0)*(ROW(職員マスタ!$A$6:$A$405)-5)))&gt;0,SUMPRODUCT(MAX((職員マスタ!$A$6:$A$405=$B564)*(((職員マスタ!$G$6:$G$405="")+(職員マスタ!$G$6:$G$405&lt;=EOMONTH($AQ564,0)))&gt;0)*(((職員マスタ!$H$6:$H$405="")+(職員マスタ!$H$6:$H$405&gt;=$AQ564))&gt;0)*(ROW(職員マスタ!$A$6:$A$405)-5))),IFERROR(MATCH($B564,職員マスタ!$A$6:$A$405,0),"")))</f>
        <v/>
      </c>
      <c r="AQ564" s="16">
        <f>IF(OR($B564="",$C564="",$D564=""),"",DATE($C564+2018,$D564,1))</f>
        <v/>
      </c>
    </row>
    <row r="565">
      <c r="A565" s="11" t="n"/>
      <c r="B565" s="12" t="n"/>
      <c r="C565" s="12" t="n"/>
      <c r="D565" s="12" t="n"/>
      <c r="E565" s="13" t="n"/>
      <c r="F565" s="12" t="n"/>
      <c r="G565" s="13" t="n"/>
      <c r="H565" s="12" t="n"/>
      <c r="I565" s="12" t="n"/>
      <c r="J565" s="12" t="n"/>
      <c r="K565" s="12" t="n"/>
      <c r="L565" s="11" t="n"/>
      <c r="M565" s="11" t="n"/>
      <c r="N565" s="11" t="n"/>
      <c r="O565" s="11" t="n"/>
      <c r="P565" s="12" t="n"/>
      <c r="Q565" s="11" t="n"/>
      <c r="R565" s="12" t="n"/>
      <c r="S565" s="11" t="n"/>
      <c r="T565" s="12" t="n"/>
      <c r="U565" s="12" t="n"/>
      <c r="V565" s="12" t="n"/>
      <c r="W565" s="13" t="n"/>
      <c r="X565" s="14">
        <f>IF($AP565="",IF($B565="","",$H565),IF(INDEX(職員マスタ!$B$6:$B$405,$AP565)="",$H565,INDEX(職員マスタ!$B$6:$B$405,$AP565)))</f>
        <v/>
      </c>
      <c r="Y565" s="14">
        <f>IF($AP565="",IF($B565="","",$R565),IF(INDEX(職員マスタ!$C$6:$C$405,$AP565)="",$R565,INDEX(職員マスタ!$C$6:$C$405,$AP565)))</f>
        <v/>
      </c>
      <c r="Z565" s="14">
        <f>IF($AQ565="","","R"&amp;$C565&amp;"."&amp;$D565)</f>
        <v/>
      </c>
      <c r="AA565" s="15">
        <f>IF(IF($AP565="",FALSE,INDEX(職員マスタ!$K$6:$K$405,$AP565)&lt;&gt;""),INDEX(職員マスタ!$K$6:$K$405,$AP565),IF(N($W565)&gt;0,$W565,""))</f>
        <v/>
      </c>
      <c r="AB565" s="14">
        <f>IF(OR($E565="",$AA565=""),"",IF($E565&gt;=$AA565,"×",IF($E565&gt;=$AA565*設定!$C$5,"△","○")))</f>
        <v/>
      </c>
      <c r="AC565" s="15">
        <f>IF($AB565="","",IF($AB565="×",0,IF($AB565="○",ROUNDDOWN($E565*設定!$C$4,0),ROUNDDOWN($E565*ROUND((9*$AA565-9*$E565)/(10*$E565),4),0))))</f>
        <v/>
      </c>
      <c r="AD565" s="13" t="n"/>
      <c r="AE565" s="15">
        <f>IF($B565="","",IF($AD565&lt;&gt;"",$AD565,IF($AC565="","",IF($AC565&lt;=設定!$C$3,0,$AC565))))</f>
        <v/>
      </c>
      <c r="AF565" s="14">
        <f>IF($B565="","",IF(AND($AG565&lt;&gt;"",$AI565="",$AL565=""),"保留中",IF($AL565&lt;&gt;"",IF(N($AE565)&gt;0,"支給済","不支給"),IF($AE565="","要確認",IF($AE565=0,"不支給","未処理")))))</f>
        <v/>
      </c>
      <c r="AG565" s="12" t="n"/>
      <c r="AH565" s="11" t="n"/>
      <c r="AI565" s="11" t="n"/>
      <c r="AJ565" s="11" t="n"/>
      <c r="AK565" s="14">
        <f>IF(AND($AF565="保留中",$AH565&lt;&gt;""),TODAY()-$AH565,"")</f>
        <v/>
      </c>
      <c r="AL565" s="12" t="n"/>
      <c r="AM565" s="14">
        <f>IF($B565="","",IF($AQ565="","対象年月が未入力／","")&amp;IF($B565="","",IF($AP565="","職員マスタに未登録の職員番号／",IF($AA565="","標準報酬月額が未登録／","")&amp;IF(AND($AQ565&lt;&gt;"",OR(AND(INDEX(職員マスタ!$G$6:$G$405,$AP565)&lt;&gt;"",INDEX(職員マスタ!$G$6:$G$405,$AP565)&gt;EOMONTH($AQ565,0)),AND(INDEX(職員マスタ!$H$6:$H$405,$AP565)&lt;&gt;"",INDEX(職員マスタ!$H$6:$H$405,$AP565)&lt;$AQ565))),"対象月が時短期間外／","")&amp;IF(AND(INDEX(職員マスタ!$K$6:$K$405,$AP565)&lt;&gt;"",N($W565)&gt;0,INDEX(職員マスタ!$K$6:$K$405,$AP565)&lt;&gt;$W565),"標準報酬月額が申請書と相違（台帳"&amp;TEXT(INDEX(職員マスタ!$K$6:$K$405,$AP565),"#,##0")&amp;"円／申請書"&amp;TEXT($W565,"#,##0")&amp;"円）／","")&amp;IF(AND(INDEX(職員マスタ!$F$6:$F$405,$AP565)&lt;&gt;"",$AQ565&lt;&gt;"",INDEX(職員マスタ!$F$6:$F$405,$AP565)&lt;$AQ565),"対象月に子が2歳到達済／","")&amp;IF(AND($H565&lt;&gt;"",INDEX(職員マスタ!$B$6:$B$405,$AP565)&lt;&gt;"",SUBSTITUTE(SUBSTITUTE($H565," ","")," ","")&lt;&gt;SUBSTITUTE(SUBSTITUTE(INDEX(職員マスタ!$B$6:$B$405,$AP565)," ","")," ","")),"氏名がマスタと相違／","")&amp;IF(AND($Q565&lt;&gt;"",INDEX(職員マスタ!$E$6:$E$405,$AP565)&lt;&gt;"",$Q565&lt;&gt;INDEX(職員マスタ!$E$6:$E$405,$AP565)),"子の生年月日がマスタと相違／","")&amp;IF(AND($L565&lt;&gt;"",INDEX(職員マスタ!$G$6:$G$405,$AP565)&lt;&gt;"",$L565&lt;&gt;INDEX(職員マスタ!$G$6:$G$405,$AP565)),"時短開始日がマスタと相違／","")&amp;IF(AND($M565&lt;&gt;"",INDEX(職員マスタ!$H$6:$H$405,$AP565)&lt;&gt;"",$M565&lt;&gt;INDEX(職員マスタ!$H$6:$H$405,$AP565)),"時短終了日がマスタと相違／","")))&amp;IF(AND($B565&lt;&gt;"",$E565=""),"報酬額が未入力／","")&amp;IF(N($U565)&gt;0,"申請書に入力エラーが残っています／","")&amp;IF(AND($B565&lt;&gt;"",$AQ565&lt;&gt;""),IF(COUNTIFS($B$6:$B$3005,$B565,$C$6:$C$3005,$C565,$D$6:$D$3005,$D565)&gt;1,"同じ月の請求が重複しています／",""),"")&amp;IF(AND(N($E565)&gt;0,$AB565&lt;&gt;"",$AB565&lt;&gt;"×",$AE565=0,$AD565=""),"計算額が下限以下のため不支給／",""))</f>
        <v/>
      </c>
      <c r="AN565" s="12" t="n"/>
      <c r="AO565" s="14">
        <f>IF($AF565="保留中",COUNTIF($AF$6:$AF565,"保留中"),"")</f>
        <v/>
      </c>
      <c r="AP565" s="14">
        <f>IF($AQ565="","",IF(SUMPRODUCT(MAX((職員マスタ!$A$6:$A$405=$B565)*(((職員マスタ!$G$6:$G$405="")+(職員マスタ!$G$6:$G$405&lt;=EOMONTH($AQ565,0)))&gt;0)*(((職員マスタ!$H$6:$H$405="")+(職員マスタ!$H$6:$H$405&gt;=$AQ565))&gt;0)*(ROW(職員マスタ!$A$6:$A$405)-5)))&gt;0,SUMPRODUCT(MAX((職員マスタ!$A$6:$A$405=$B565)*(((職員マスタ!$G$6:$G$405="")+(職員マスタ!$G$6:$G$405&lt;=EOMONTH($AQ565,0)))&gt;0)*(((職員マスタ!$H$6:$H$405="")+(職員マスタ!$H$6:$H$405&gt;=$AQ565))&gt;0)*(ROW(職員マスタ!$A$6:$A$405)-5))),IFERROR(MATCH($B565,職員マスタ!$A$6:$A$405,0),"")))</f>
        <v/>
      </c>
      <c r="AQ565" s="16">
        <f>IF(OR($B565="",$C565="",$D565=""),"",DATE($C565+2018,$D565,1))</f>
        <v/>
      </c>
    </row>
    <row r="566">
      <c r="A566" s="11" t="n"/>
      <c r="B566" s="12" t="n"/>
      <c r="C566" s="12" t="n"/>
      <c r="D566" s="12" t="n"/>
      <c r="E566" s="13" t="n"/>
      <c r="F566" s="12" t="n"/>
      <c r="G566" s="13" t="n"/>
      <c r="H566" s="12" t="n"/>
      <c r="I566" s="12" t="n"/>
      <c r="J566" s="12" t="n"/>
      <c r="K566" s="12" t="n"/>
      <c r="L566" s="11" t="n"/>
      <c r="M566" s="11" t="n"/>
      <c r="N566" s="11" t="n"/>
      <c r="O566" s="11" t="n"/>
      <c r="P566" s="12" t="n"/>
      <c r="Q566" s="11" t="n"/>
      <c r="R566" s="12" t="n"/>
      <c r="S566" s="11" t="n"/>
      <c r="T566" s="12" t="n"/>
      <c r="U566" s="12" t="n"/>
      <c r="V566" s="12" t="n"/>
      <c r="W566" s="13" t="n"/>
      <c r="X566" s="14">
        <f>IF($AP566="",IF($B566="","",$H566),IF(INDEX(職員マスタ!$B$6:$B$405,$AP566)="",$H566,INDEX(職員マスタ!$B$6:$B$405,$AP566)))</f>
        <v/>
      </c>
      <c r="Y566" s="14">
        <f>IF($AP566="",IF($B566="","",$R566),IF(INDEX(職員マスタ!$C$6:$C$405,$AP566)="",$R566,INDEX(職員マスタ!$C$6:$C$405,$AP566)))</f>
        <v/>
      </c>
      <c r="Z566" s="14">
        <f>IF($AQ566="","","R"&amp;$C566&amp;"."&amp;$D566)</f>
        <v/>
      </c>
      <c r="AA566" s="15">
        <f>IF(IF($AP566="",FALSE,INDEX(職員マスタ!$K$6:$K$405,$AP566)&lt;&gt;""),INDEX(職員マスタ!$K$6:$K$405,$AP566),IF(N($W566)&gt;0,$W566,""))</f>
        <v/>
      </c>
      <c r="AB566" s="14">
        <f>IF(OR($E566="",$AA566=""),"",IF($E566&gt;=$AA566,"×",IF($E566&gt;=$AA566*設定!$C$5,"△","○")))</f>
        <v/>
      </c>
      <c r="AC566" s="15">
        <f>IF($AB566="","",IF($AB566="×",0,IF($AB566="○",ROUNDDOWN($E566*設定!$C$4,0),ROUNDDOWN($E566*ROUND((9*$AA566-9*$E566)/(10*$E566),4),0))))</f>
        <v/>
      </c>
      <c r="AD566" s="13" t="n"/>
      <c r="AE566" s="15">
        <f>IF($B566="","",IF($AD566&lt;&gt;"",$AD566,IF($AC566="","",IF($AC566&lt;=設定!$C$3,0,$AC566))))</f>
        <v/>
      </c>
      <c r="AF566" s="14">
        <f>IF($B566="","",IF(AND($AG566&lt;&gt;"",$AI566="",$AL566=""),"保留中",IF($AL566&lt;&gt;"",IF(N($AE566)&gt;0,"支給済","不支給"),IF($AE566="","要確認",IF($AE566=0,"不支給","未処理")))))</f>
        <v/>
      </c>
      <c r="AG566" s="12" t="n"/>
      <c r="AH566" s="11" t="n"/>
      <c r="AI566" s="11" t="n"/>
      <c r="AJ566" s="11" t="n"/>
      <c r="AK566" s="14">
        <f>IF(AND($AF566="保留中",$AH566&lt;&gt;""),TODAY()-$AH566,"")</f>
        <v/>
      </c>
      <c r="AL566" s="12" t="n"/>
      <c r="AM566" s="14">
        <f>IF($B566="","",IF($AQ566="","対象年月が未入力／","")&amp;IF($B566="","",IF($AP566="","職員マスタに未登録の職員番号／",IF($AA566="","標準報酬月額が未登録／","")&amp;IF(AND($AQ566&lt;&gt;"",OR(AND(INDEX(職員マスタ!$G$6:$G$405,$AP566)&lt;&gt;"",INDEX(職員マスタ!$G$6:$G$405,$AP566)&gt;EOMONTH($AQ566,0)),AND(INDEX(職員マスタ!$H$6:$H$405,$AP566)&lt;&gt;"",INDEX(職員マスタ!$H$6:$H$405,$AP566)&lt;$AQ566))),"対象月が時短期間外／","")&amp;IF(AND(INDEX(職員マスタ!$K$6:$K$405,$AP566)&lt;&gt;"",N($W566)&gt;0,INDEX(職員マスタ!$K$6:$K$405,$AP566)&lt;&gt;$W566),"標準報酬月額が申請書と相違（台帳"&amp;TEXT(INDEX(職員マスタ!$K$6:$K$405,$AP566),"#,##0")&amp;"円／申請書"&amp;TEXT($W566,"#,##0")&amp;"円）／","")&amp;IF(AND(INDEX(職員マスタ!$F$6:$F$405,$AP566)&lt;&gt;"",$AQ566&lt;&gt;"",INDEX(職員マスタ!$F$6:$F$405,$AP566)&lt;$AQ566),"対象月に子が2歳到達済／","")&amp;IF(AND($H566&lt;&gt;"",INDEX(職員マスタ!$B$6:$B$405,$AP566)&lt;&gt;"",SUBSTITUTE(SUBSTITUTE($H566," ","")," ","")&lt;&gt;SUBSTITUTE(SUBSTITUTE(INDEX(職員マスタ!$B$6:$B$405,$AP566)," ","")," ","")),"氏名がマスタと相違／","")&amp;IF(AND($Q566&lt;&gt;"",INDEX(職員マスタ!$E$6:$E$405,$AP566)&lt;&gt;"",$Q566&lt;&gt;INDEX(職員マスタ!$E$6:$E$405,$AP566)),"子の生年月日がマスタと相違／","")&amp;IF(AND($L566&lt;&gt;"",INDEX(職員マスタ!$G$6:$G$405,$AP566)&lt;&gt;"",$L566&lt;&gt;INDEX(職員マスタ!$G$6:$G$405,$AP566)),"時短開始日がマスタと相違／","")&amp;IF(AND($M566&lt;&gt;"",INDEX(職員マスタ!$H$6:$H$405,$AP566)&lt;&gt;"",$M566&lt;&gt;INDEX(職員マスタ!$H$6:$H$405,$AP566)),"時短終了日がマスタと相違／","")))&amp;IF(AND($B566&lt;&gt;"",$E566=""),"報酬額が未入力／","")&amp;IF(N($U566)&gt;0,"申請書に入力エラーが残っています／","")&amp;IF(AND($B566&lt;&gt;"",$AQ566&lt;&gt;""),IF(COUNTIFS($B$6:$B$3005,$B566,$C$6:$C$3005,$C566,$D$6:$D$3005,$D566)&gt;1,"同じ月の請求が重複しています／",""),"")&amp;IF(AND(N($E566)&gt;0,$AB566&lt;&gt;"",$AB566&lt;&gt;"×",$AE566=0,$AD566=""),"計算額が下限以下のため不支給／",""))</f>
        <v/>
      </c>
      <c r="AN566" s="12" t="n"/>
      <c r="AO566" s="14">
        <f>IF($AF566="保留中",COUNTIF($AF$6:$AF566,"保留中"),"")</f>
        <v/>
      </c>
      <c r="AP566" s="14">
        <f>IF($AQ566="","",IF(SUMPRODUCT(MAX((職員マスタ!$A$6:$A$405=$B566)*(((職員マスタ!$G$6:$G$405="")+(職員マスタ!$G$6:$G$405&lt;=EOMONTH($AQ566,0)))&gt;0)*(((職員マスタ!$H$6:$H$405="")+(職員マスタ!$H$6:$H$405&gt;=$AQ566))&gt;0)*(ROW(職員マスタ!$A$6:$A$405)-5)))&gt;0,SUMPRODUCT(MAX((職員マスタ!$A$6:$A$405=$B566)*(((職員マスタ!$G$6:$G$405="")+(職員マスタ!$G$6:$G$405&lt;=EOMONTH($AQ566,0)))&gt;0)*(((職員マスタ!$H$6:$H$405="")+(職員マスタ!$H$6:$H$405&gt;=$AQ566))&gt;0)*(ROW(職員マスタ!$A$6:$A$405)-5))),IFERROR(MATCH($B566,職員マスタ!$A$6:$A$405,0),"")))</f>
        <v/>
      </c>
      <c r="AQ566" s="16">
        <f>IF(OR($B566="",$C566="",$D566=""),"",DATE($C566+2018,$D566,1))</f>
        <v/>
      </c>
    </row>
    <row r="567">
      <c r="A567" s="11" t="n"/>
      <c r="B567" s="12" t="n"/>
      <c r="C567" s="12" t="n"/>
      <c r="D567" s="12" t="n"/>
      <c r="E567" s="13" t="n"/>
      <c r="F567" s="12" t="n"/>
      <c r="G567" s="13" t="n"/>
      <c r="H567" s="12" t="n"/>
      <c r="I567" s="12" t="n"/>
      <c r="J567" s="12" t="n"/>
      <c r="K567" s="12" t="n"/>
      <c r="L567" s="11" t="n"/>
      <c r="M567" s="11" t="n"/>
      <c r="N567" s="11" t="n"/>
      <c r="O567" s="11" t="n"/>
      <c r="P567" s="12" t="n"/>
      <c r="Q567" s="11" t="n"/>
      <c r="R567" s="12" t="n"/>
      <c r="S567" s="11" t="n"/>
      <c r="T567" s="12" t="n"/>
      <c r="U567" s="12" t="n"/>
      <c r="V567" s="12" t="n"/>
      <c r="W567" s="13" t="n"/>
      <c r="X567" s="14">
        <f>IF($AP567="",IF($B567="","",$H567),IF(INDEX(職員マスタ!$B$6:$B$405,$AP567)="",$H567,INDEX(職員マスタ!$B$6:$B$405,$AP567)))</f>
        <v/>
      </c>
      <c r="Y567" s="14">
        <f>IF($AP567="",IF($B567="","",$R567),IF(INDEX(職員マスタ!$C$6:$C$405,$AP567)="",$R567,INDEX(職員マスタ!$C$6:$C$405,$AP567)))</f>
        <v/>
      </c>
      <c r="Z567" s="14">
        <f>IF($AQ567="","","R"&amp;$C567&amp;"."&amp;$D567)</f>
        <v/>
      </c>
      <c r="AA567" s="15">
        <f>IF(IF($AP567="",FALSE,INDEX(職員マスタ!$K$6:$K$405,$AP567)&lt;&gt;""),INDEX(職員マスタ!$K$6:$K$405,$AP567),IF(N($W567)&gt;0,$W567,""))</f>
        <v/>
      </c>
      <c r="AB567" s="14">
        <f>IF(OR($E567="",$AA567=""),"",IF($E567&gt;=$AA567,"×",IF($E567&gt;=$AA567*設定!$C$5,"△","○")))</f>
        <v/>
      </c>
      <c r="AC567" s="15">
        <f>IF($AB567="","",IF($AB567="×",0,IF($AB567="○",ROUNDDOWN($E567*設定!$C$4,0),ROUNDDOWN($E567*ROUND((9*$AA567-9*$E567)/(10*$E567),4),0))))</f>
        <v/>
      </c>
      <c r="AD567" s="13" t="n"/>
      <c r="AE567" s="15">
        <f>IF($B567="","",IF($AD567&lt;&gt;"",$AD567,IF($AC567="","",IF($AC567&lt;=設定!$C$3,0,$AC567))))</f>
        <v/>
      </c>
      <c r="AF567" s="14">
        <f>IF($B567="","",IF(AND($AG567&lt;&gt;"",$AI567="",$AL567=""),"保留中",IF($AL567&lt;&gt;"",IF(N($AE567)&gt;0,"支給済","不支給"),IF($AE567="","要確認",IF($AE567=0,"不支給","未処理")))))</f>
        <v/>
      </c>
      <c r="AG567" s="12" t="n"/>
      <c r="AH567" s="11" t="n"/>
      <c r="AI567" s="11" t="n"/>
      <c r="AJ567" s="11" t="n"/>
      <c r="AK567" s="14">
        <f>IF(AND($AF567="保留中",$AH567&lt;&gt;""),TODAY()-$AH567,"")</f>
        <v/>
      </c>
      <c r="AL567" s="12" t="n"/>
      <c r="AM567" s="14">
        <f>IF($B567="","",IF($AQ567="","対象年月が未入力／","")&amp;IF($B567="","",IF($AP567="","職員マスタに未登録の職員番号／",IF($AA567="","標準報酬月額が未登録／","")&amp;IF(AND($AQ567&lt;&gt;"",OR(AND(INDEX(職員マスタ!$G$6:$G$405,$AP567)&lt;&gt;"",INDEX(職員マスタ!$G$6:$G$405,$AP567)&gt;EOMONTH($AQ567,0)),AND(INDEX(職員マスタ!$H$6:$H$405,$AP567)&lt;&gt;"",INDEX(職員マスタ!$H$6:$H$405,$AP567)&lt;$AQ567))),"対象月が時短期間外／","")&amp;IF(AND(INDEX(職員マスタ!$K$6:$K$405,$AP567)&lt;&gt;"",N($W567)&gt;0,INDEX(職員マスタ!$K$6:$K$405,$AP567)&lt;&gt;$W567),"標準報酬月額が申請書と相違（台帳"&amp;TEXT(INDEX(職員マスタ!$K$6:$K$405,$AP567),"#,##0")&amp;"円／申請書"&amp;TEXT($W567,"#,##0")&amp;"円）／","")&amp;IF(AND(INDEX(職員マスタ!$F$6:$F$405,$AP567)&lt;&gt;"",$AQ567&lt;&gt;"",INDEX(職員マスタ!$F$6:$F$405,$AP567)&lt;$AQ567),"対象月に子が2歳到達済／","")&amp;IF(AND($H567&lt;&gt;"",INDEX(職員マスタ!$B$6:$B$405,$AP567)&lt;&gt;"",SUBSTITUTE(SUBSTITUTE($H567," ","")," ","")&lt;&gt;SUBSTITUTE(SUBSTITUTE(INDEX(職員マスタ!$B$6:$B$405,$AP567)," ","")," ","")),"氏名がマスタと相違／","")&amp;IF(AND($Q567&lt;&gt;"",INDEX(職員マスタ!$E$6:$E$405,$AP567)&lt;&gt;"",$Q567&lt;&gt;INDEX(職員マスタ!$E$6:$E$405,$AP567)),"子の生年月日がマスタと相違／","")&amp;IF(AND($L567&lt;&gt;"",INDEX(職員マスタ!$G$6:$G$405,$AP567)&lt;&gt;"",$L567&lt;&gt;INDEX(職員マスタ!$G$6:$G$405,$AP567)),"時短開始日がマスタと相違／","")&amp;IF(AND($M567&lt;&gt;"",INDEX(職員マスタ!$H$6:$H$405,$AP567)&lt;&gt;"",$M567&lt;&gt;INDEX(職員マスタ!$H$6:$H$405,$AP567)),"時短終了日がマスタと相違／","")))&amp;IF(AND($B567&lt;&gt;"",$E567=""),"報酬額が未入力／","")&amp;IF(N($U567)&gt;0,"申請書に入力エラーが残っています／","")&amp;IF(AND($B567&lt;&gt;"",$AQ567&lt;&gt;""),IF(COUNTIFS($B$6:$B$3005,$B567,$C$6:$C$3005,$C567,$D$6:$D$3005,$D567)&gt;1,"同じ月の請求が重複しています／",""),"")&amp;IF(AND(N($E567)&gt;0,$AB567&lt;&gt;"",$AB567&lt;&gt;"×",$AE567=0,$AD567=""),"計算額が下限以下のため不支給／",""))</f>
        <v/>
      </c>
      <c r="AN567" s="12" t="n"/>
      <c r="AO567" s="14">
        <f>IF($AF567="保留中",COUNTIF($AF$6:$AF567,"保留中"),"")</f>
        <v/>
      </c>
      <c r="AP567" s="14">
        <f>IF($AQ567="","",IF(SUMPRODUCT(MAX((職員マスタ!$A$6:$A$405=$B567)*(((職員マスタ!$G$6:$G$405="")+(職員マスタ!$G$6:$G$405&lt;=EOMONTH($AQ567,0)))&gt;0)*(((職員マスタ!$H$6:$H$405="")+(職員マスタ!$H$6:$H$405&gt;=$AQ567))&gt;0)*(ROW(職員マスタ!$A$6:$A$405)-5)))&gt;0,SUMPRODUCT(MAX((職員マスタ!$A$6:$A$405=$B567)*(((職員マスタ!$G$6:$G$405="")+(職員マスタ!$G$6:$G$405&lt;=EOMONTH($AQ567,0)))&gt;0)*(((職員マスタ!$H$6:$H$405="")+(職員マスタ!$H$6:$H$405&gt;=$AQ567))&gt;0)*(ROW(職員マスタ!$A$6:$A$405)-5))),IFERROR(MATCH($B567,職員マスタ!$A$6:$A$405,0),"")))</f>
        <v/>
      </c>
      <c r="AQ567" s="16">
        <f>IF(OR($B567="",$C567="",$D567=""),"",DATE($C567+2018,$D567,1))</f>
        <v/>
      </c>
    </row>
    <row r="568">
      <c r="A568" s="11" t="n"/>
      <c r="B568" s="12" t="n"/>
      <c r="C568" s="12" t="n"/>
      <c r="D568" s="12" t="n"/>
      <c r="E568" s="13" t="n"/>
      <c r="F568" s="12" t="n"/>
      <c r="G568" s="13" t="n"/>
      <c r="H568" s="12" t="n"/>
      <c r="I568" s="12" t="n"/>
      <c r="J568" s="12" t="n"/>
      <c r="K568" s="12" t="n"/>
      <c r="L568" s="11" t="n"/>
      <c r="M568" s="11" t="n"/>
      <c r="N568" s="11" t="n"/>
      <c r="O568" s="11" t="n"/>
      <c r="P568" s="12" t="n"/>
      <c r="Q568" s="11" t="n"/>
      <c r="R568" s="12" t="n"/>
      <c r="S568" s="11" t="n"/>
      <c r="T568" s="12" t="n"/>
      <c r="U568" s="12" t="n"/>
      <c r="V568" s="12" t="n"/>
      <c r="W568" s="13" t="n"/>
      <c r="X568" s="14">
        <f>IF($AP568="",IF($B568="","",$H568),IF(INDEX(職員マスタ!$B$6:$B$405,$AP568)="",$H568,INDEX(職員マスタ!$B$6:$B$405,$AP568)))</f>
        <v/>
      </c>
      <c r="Y568" s="14">
        <f>IF($AP568="",IF($B568="","",$R568),IF(INDEX(職員マスタ!$C$6:$C$405,$AP568)="",$R568,INDEX(職員マスタ!$C$6:$C$405,$AP568)))</f>
        <v/>
      </c>
      <c r="Z568" s="14">
        <f>IF($AQ568="","","R"&amp;$C568&amp;"."&amp;$D568)</f>
        <v/>
      </c>
      <c r="AA568" s="15">
        <f>IF(IF($AP568="",FALSE,INDEX(職員マスタ!$K$6:$K$405,$AP568)&lt;&gt;""),INDEX(職員マスタ!$K$6:$K$405,$AP568),IF(N($W568)&gt;0,$W568,""))</f>
        <v/>
      </c>
      <c r="AB568" s="14">
        <f>IF(OR($E568="",$AA568=""),"",IF($E568&gt;=$AA568,"×",IF($E568&gt;=$AA568*設定!$C$5,"△","○")))</f>
        <v/>
      </c>
      <c r="AC568" s="15">
        <f>IF($AB568="","",IF($AB568="×",0,IF($AB568="○",ROUNDDOWN($E568*設定!$C$4,0),ROUNDDOWN($E568*ROUND((9*$AA568-9*$E568)/(10*$E568),4),0))))</f>
        <v/>
      </c>
      <c r="AD568" s="13" t="n"/>
      <c r="AE568" s="15">
        <f>IF($B568="","",IF($AD568&lt;&gt;"",$AD568,IF($AC568="","",IF($AC568&lt;=設定!$C$3,0,$AC568))))</f>
        <v/>
      </c>
      <c r="AF568" s="14">
        <f>IF($B568="","",IF(AND($AG568&lt;&gt;"",$AI568="",$AL568=""),"保留中",IF($AL568&lt;&gt;"",IF(N($AE568)&gt;0,"支給済","不支給"),IF($AE568="","要確認",IF($AE568=0,"不支給","未処理")))))</f>
        <v/>
      </c>
      <c r="AG568" s="12" t="n"/>
      <c r="AH568" s="11" t="n"/>
      <c r="AI568" s="11" t="n"/>
      <c r="AJ568" s="11" t="n"/>
      <c r="AK568" s="14">
        <f>IF(AND($AF568="保留中",$AH568&lt;&gt;""),TODAY()-$AH568,"")</f>
        <v/>
      </c>
      <c r="AL568" s="12" t="n"/>
      <c r="AM568" s="14">
        <f>IF($B568="","",IF($AQ568="","対象年月が未入力／","")&amp;IF($B568="","",IF($AP568="","職員マスタに未登録の職員番号／",IF($AA568="","標準報酬月額が未登録／","")&amp;IF(AND($AQ568&lt;&gt;"",OR(AND(INDEX(職員マスタ!$G$6:$G$405,$AP568)&lt;&gt;"",INDEX(職員マスタ!$G$6:$G$405,$AP568)&gt;EOMONTH($AQ568,0)),AND(INDEX(職員マスタ!$H$6:$H$405,$AP568)&lt;&gt;"",INDEX(職員マスタ!$H$6:$H$405,$AP568)&lt;$AQ568))),"対象月が時短期間外／","")&amp;IF(AND(INDEX(職員マスタ!$K$6:$K$405,$AP568)&lt;&gt;"",N($W568)&gt;0,INDEX(職員マスタ!$K$6:$K$405,$AP568)&lt;&gt;$W568),"標準報酬月額が申請書と相違（台帳"&amp;TEXT(INDEX(職員マスタ!$K$6:$K$405,$AP568),"#,##0")&amp;"円／申請書"&amp;TEXT($W568,"#,##0")&amp;"円）／","")&amp;IF(AND(INDEX(職員マスタ!$F$6:$F$405,$AP568)&lt;&gt;"",$AQ568&lt;&gt;"",INDEX(職員マスタ!$F$6:$F$405,$AP568)&lt;$AQ568),"対象月に子が2歳到達済／","")&amp;IF(AND($H568&lt;&gt;"",INDEX(職員マスタ!$B$6:$B$405,$AP568)&lt;&gt;"",SUBSTITUTE(SUBSTITUTE($H568," ","")," ","")&lt;&gt;SUBSTITUTE(SUBSTITUTE(INDEX(職員マスタ!$B$6:$B$405,$AP568)," ","")," ","")),"氏名がマスタと相違／","")&amp;IF(AND($Q568&lt;&gt;"",INDEX(職員マスタ!$E$6:$E$405,$AP568)&lt;&gt;"",$Q568&lt;&gt;INDEX(職員マスタ!$E$6:$E$405,$AP568)),"子の生年月日がマスタと相違／","")&amp;IF(AND($L568&lt;&gt;"",INDEX(職員マスタ!$G$6:$G$405,$AP568)&lt;&gt;"",$L568&lt;&gt;INDEX(職員マスタ!$G$6:$G$405,$AP568)),"時短開始日がマスタと相違／","")&amp;IF(AND($M568&lt;&gt;"",INDEX(職員マスタ!$H$6:$H$405,$AP568)&lt;&gt;"",$M568&lt;&gt;INDEX(職員マスタ!$H$6:$H$405,$AP568)),"時短終了日がマスタと相違／","")))&amp;IF(AND($B568&lt;&gt;"",$E568=""),"報酬額が未入力／","")&amp;IF(N($U568)&gt;0,"申請書に入力エラーが残っています／","")&amp;IF(AND($B568&lt;&gt;"",$AQ568&lt;&gt;""),IF(COUNTIFS($B$6:$B$3005,$B568,$C$6:$C$3005,$C568,$D$6:$D$3005,$D568)&gt;1,"同じ月の請求が重複しています／",""),"")&amp;IF(AND(N($E568)&gt;0,$AB568&lt;&gt;"",$AB568&lt;&gt;"×",$AE568=0,$AD568=""),"計算額が下限以下のため不支給／",""))</f>
        <v/>
      </c>
      <c r="AN568" s="12" t="n"/>
      <c r="AO568" s="14">
        <f>IF($AF568="保留中",COUNTIF($AF$6:$AF568,"保留中"),"")</f>
        <v/>
      </c>
      <c r="AP568" s="14">
        <f>IF($AQ568="","",IF(SUMPRODUCT(MAX((職員マスタ!$A$6:$A$405=$B568)*(((職員マスタ!$G$6:$G$405="")+(職員マスタ!$G$6:$G$405&lt;=EOMONTH($AQ568,0)))&gt;0)*(((職員マスタ!$H$6:$H$405="")+(職員マスタ!$H$6:$H$405&gt;=$AQ568))&gt;0)*(ROW(職員マスタ!$A$6:$A$405)-5)))&gt;0,SUMPRODUCT(MAX((職員マスタ!$A$6:$A$405=$B568)*(((職員マスタ!$G$6:$G$405="")+(職員マスタ!$G$6:$G$405&lt;=EOMONTH($AQ568,0)))&gt;0)*(((職員マスタ!$H$6:$H$405="")+(職員マスタ!$H$6:$H$405&gt;=$AQ568))&gt;0)*(ROW(職員マスタ!$A$6:$A$405)-5))),IFERROR(MATCH($B568,職員マスタ!$A$6:$A$405,0),"")))</f>
        <v/>
      </c>
      <c r="AQ568" s="16">
        <f>IF(OR($B568="",$C568="",$D568=""),"",DATE($C568+2018,$D568,1))</f>
        <v/>
      </c>
    </row>
    <row r="569">
      <c r="A569" s="11" t="n"/>
      <c r="B569" s="12" t="n"/>
      <c r="C569" s="12" t="n"/>
      <c r="D569" s="12" t="n"/>
      <c r="E569" s="13" t="n"/>
      <c r="F569" s="12" t="n"/>
      <c r="G569" s="13" t="n"/>
      <c r="H569" s="12" t="n"/>
      <c r="I569" s="12" t="n"/>
      <c r="J569" s="12" t="n"/>
      <c r="K569" s="12" t="n"/>
      <c r="L569" s="11" t="n"/>
      <c r="M569" s="11" t="n"/>
      <c r="N569" s="11" t="n"/>
      <c r="O569" s="11" t="n"/>
      <c r="P569" s="12" t="n"/>
      <c r="Q569" s="11" t="n"/>
      <c r="R569" s="12" t="n"/>
      <c r="S569" s="11" t="n"/>
      <c r="T569" s="12" t="n"/>
      <c r="U569" s="12" t="n"/>
      <c r="V569" s="12" t="n"/>
      <c r="W569" s="13" t="n"/>
      <c r="X569" s="14">
        <f>IF($AP569="",IF($B569="","",$H569),IF(INDEX(職員マスタ!$B$6:$B$405,$AP569)="",$H569,INDEX(職員マスタ!$B$6:$B$405,$AP569)))</f>
        <v/>
      </c>
      <c r="Y569" s="14">
        <f>IF($AP569="",IF($B569="","",$R569),IF(INDEX(職員マスタ!$C$6:$C$405,$AP569)="",$R569,INDEX(職員マスタ!$C$6:$C$405,$AP569)))</f>
        <v/>
      </c>
      <c r="Z569" s="14">
        <f>IF($AQ569="","","R"&amp;$C569&amp;"."&amp;$D569)</f>
        <v/>
      </c>
      <c r="AA569" s="15">
        <f>IF(IF($AP569="",FALSE,INDEX(職員マスタ!$K$6:$K$405,$AP569)&lt;&gt;""),INDEX(職員マスタ!$K$6:$K$405,$AP569),IF(N($W569)&gt;0,$W569,""))</f>
        <v/>
      </c>
      <c r="AB569" s="14">
        <f>IF(OR($E569="",$AA569=""),"",IF($E569&gt;=$AA569,"×",IF($E569&gt;=$AA569*設定!$C$5,"△","○")))</f>
        <v/>
      </c>
      <c r="AC569" s="15">
        <f>IF($AB569="","",IF($AB569="×",0,IF($AB569="○",ROUNDDOWN($E569*設定!$C$4,0),ROUNDDOWN($E569*ROUND((9*$AA569-9*$E569)/(10*$E569),4),0))))</f>
        <v/>
      </c>
      <c r="AD569" s="13" t="n"/>
      <c r="AE569" s="15">
        <f>IF($B569="","",IF($AD569&lt;&gt;"",$AD569,IF($AC569="","",IF($AC569&lt;=設定!$C$3,0,$AC569))))</f>
        <v/>
      </c>
      <c r="AF569" s="14">
        <f>IF($B569="","",IF(AND($AG569&lt;&gt;"",$AI569="",$AL569=""),"保留中",IF($AL569&lt;&gt;"",IF(N($AE569)&gt;0,"支給済","不支給"),IF($AE569="","要確認",IF($AE569=0,"不支給","未処理")))))</f>
        <v/>
      </c>
      <c r="AG569" s="12" t="n"/>
      <c r="AH569" s="11" t="n"/>
      <c r="AI569" s="11" t="n"/>
      <c r="AJ569" s="11" t="n"/>
      <c r="AK569" s="14">
        <f>IF(AND($AF569="保留中",$AH569&lt;&gt;""),TODAY()-$AH569,"")</f>
        <v/>
      </c>
      <c r="AL569" s="12" t="n"/>
      <c r="AM569" s="14">
        <f>IF($B569="","",IF($AQ569="","対象年月が未入力／","")&amp;IF($B569="","",IF($AP569="","職員マスタに未登録の職員番号／",IF($AA569="","標準報酬月額が未登録／","")&amp;IF(AND($AQ569&lt;&gt;"",OR(AND(INDEX(職員マスタ!$G$6:$G$405,$AP569)&lt;&gt;"",INDEX(職員マスタ!$G$6:$G$405,$AP569)&gt;EOMONTH($AQ569,0)),AND(INDEX(職員マスタ!$H$6:$H$405,$AP569)&lt;&gt;"",INDEX(職員マスタ!$H$6:$H$405,$AP569)&lt;$AQ569))),"対象月が時短期間外／","")&amp;IF(AND(INDEX(職員マスタ!$K$6:$K$405,$AP569)&lt;&gt;"",N($W569)&gt;0,INDEX(職員マスタ!$K$6:$K$405,$AP569)&lt;&gt;$W569),"標準報酬月額が申請書と相違（台帳"&amp;TEXT(INDEX(職員マスタ!$K$6:$K$405,$AP569),"#,##0")&amp;"円／申請書"&amp;TEXT($W569,"#,##0")&amp;"円）／","")&amp;IF(AND(INDEX(職員マスタ!$F$6:$F$405,$AP569)&lt;&gt;"",$AQ569&lt;&gt;"",INDEX(職員マスタ!$F$6:$F$405,$AP569)&lt;$AQ569),"対象月に子が2歳到達済／","")&amp;IF(AND($H569&lt;&gt;"",INDEX(職員マスタ!$B$6:$B$405,$AP569)&lt;&gt;"",SUBSTITUTE(SUBSTITUTE($H569," ","")," ","")&lt;&gt;SUBSTITUTE(SUBSTITUTE(INDEX(職員マスタ!$B$6:$B$405,$AP569)," ","")," ","")),"氏名がマスタと相違／","")&amp;IF(AND($Q569&lt;&gt;"",INDEX(職員マスタ!$E$6:$E$405,$AP569)&lt;&gt;"",$Q569&lt;&gt;INDEX(職員マスタ!$E$6:$E$405,$AP569)),"子の生年月日がマスタと相違／","")&amp;IF(AND($L569&lt;&gt;"",INDEX(職員マスタ!$G$6:$G$405,$AP569)&lt;&gt;"",$L569&lt;&gt;INDEX(職員マスタ!$G$6:$G$405,$AP569)),"時短開始日がマスタと相違／","")&amp;IF(AND($M569&lt;&gt;"",INDEX(職員マスタ!$H$6:$H$405,$AP569)&lt;&gt;"",$M569&lt;&gt;INDEX(職員マスタ!$H$6:$H$405,$AP569)),"時短終了日がマスタと相違／","")))&amp;IF(AND($B569&lt;&gt;"",$E569=""),"報酬額が未入力／","")&amp;IF(N($U569)&gt;0,"申請書に入力エラーが残っています／","")&amp;IF(AND($B569&lt;&gt;"",$AQ569&lt;&gt;""),IF(COUNTIFS($B$6:$B$3005,$B569,$C$6:$C$3005,$C569,$D$6:$D$3005,$D569)&gt;1,"同じ月の請求が重複しています／",""),"")&amp;IF(AND(N($E569)&gt;0,$AB569&lt;&gt;"",$AB569&lt;&gt;"×",$AE569=0,$AD569=""),"計算額が下限以下のため不支給／",""))</f>
        <v/>
      </c>
      <c r="AN569" s="12" t="n"/>
      <c r="AO569" s="14">
        <f>IF($AF569="保留中",COUNTIF($AF$6:$AF569,"保留中"),"")</f>
        <v/>
      </c>
      <c r="AP569" s="14">
        <f>IF($AQ569="","",IF(SUMPRODUCT(MAX((職員マスタ!$A$6:$A$405=$B569)*(((職員マスタ!$G$6:$G$405="")+(職員マスタ!$G$6:$G$405&lt;=EOMONTH($AQ569,0)))&gt;0)*(((職員マスタ!$H$6:$H$405="")+(職員マスタ!$H$6:$H$405&gt;=$AQ569))&gt;0)*(ROW(職員マスタ!$A$6:$A$405)-5)))&gt;0,SUMPRODUCT(MAX((職員マスタ!$A$6:$A$405=$B569)*(((職員マスタ!$G$6:$G$405="")+(職員マスタ!$G$6:$G$405&lt;=EOMONTH($AQ569,0)))&gt;0)*(((職員マスタ!$H$6:$H$405="")+(職員マスタ!$H$6:$H$405&gt;=$AQ569))&gt;0)*(ROW(職員マスタ!$A$6:$A$405)-5))),IFERROR(MATCH($B569,職員マスタ!$A$6:$A$405,0),"")))</f>
        <v/>
      </c>
      <c r="AQ569" s="16">
        <f>IF(OR($B569="",$C569="",$D569=""),"",DATE($C569+2018,$D569,1))</f>
        <v/>
      </c>
    </row>
    <row r="570">
      <c r="A570" s="11" t="n"/>
      <c r="B570" s="12" t="n"/>
      <c r="C570" s="12" t="n"/>
      <c r="D570" s="12" t="n"/>
      <c r="E570" s="13" t="n"/>
      <c r="F570" s="12" t="n"/>
      <c r="G570" s="13" t="n"/>
      <c r="H570" s="12" t="n"/>
      <c r="I570" s="12" t="n"/>
      <c r="J570" s="12" t="n"/>
      <c r="K570" s="12" t="n"/>
      <c r="L570" s="11" t="n"/>
      <c r="M570" s="11" t="n"/>
      <c r="N570" s="11" t="n"/>
      <c r="O570" s="11" t="n"/>
      <c r="P570" s="12" t="n"/>
      <c r="Q570" s="11" t="n"/>
      <c r="R570" s="12" t="n"/>
      <c r="S570" s="11" t="n"/>
      <c r="T570" s="12" t="n"/>
      <c r="U570" s="12" t="n"/>
      <c r="V570" s="12" t="n"/>
      <c r="W570" s="13" t="n"/>
      <c r="X570" s="14">
        <f>IF($AP570="",IF($B570="","",$H570),IF(INDEX(職員マスタ!$B$6:$B$405,$AP570)="",$H570,INDEX(職員マスタ!$B$6:$B$405,$AP570)))</f>
        <v/>
      </c>
      <c r="Y570" s="14">
        <f>IF($AP570="",IF($B570="","",$R570),IF(INDEX(職員マスタ!$C$6:$C$405,$AP570)="",$R570,INDEX(職員マスタ!$C$6:$C$405,$AP570)))</f>
        <v/>
      </c>
      <c r="Z570" s="14">
        <f>IF($AQ570="","","R"&amp;$C570&amp;"."&amp;$D570)</f>
        <v/>
      </c>
      <c r="AA570" s="15">
        <f>IF(IF($AP570="",FALSE,INDEX(職員マスタ!$K$6:$K$405,$AP570)&lt;&gt;""),INDEX(職員マスタ!$K$6:$K$405,$AP570),IF(N($W570)&gt;0,$W570,""))</f>
        <v/>
      </c>
      <c r="AB570" s="14">
        <f>IF(OR($E570="",$AA570=""),"",IF($E570&gt;=$AA570,"×",IF($E570&gt;=$AA570*設定!$C$5,"△","○")))</f>
        <v/>
      </c>
      <c r="AC570" s="15">
        <f>IF($AB570="","",IF($AB570="×",0,IF($AB570="○",ROUNDDOWN($E570*設定!$C$4,0),ROUNDDOWN($E570*ROUND((9*$AA570-9*$E570)/(10*$E570),4),0))))</f>
        <v/>
      </c>
      <c r="AD570" s="13" t="n"/>
      <c r="AE570" s="15">
        <f>IF($B570="","",IF($AD570&lt;&gt;"",$AD570,IF($AC570="","",IF($AC570&lt;=設定!$C$3,0,$AC570))))</f>
        <v/>
      </c>
      <c r="AF570" s="14">
        <f>IF($B570="","",IF(AND($AG570&lt;&gt;"",$AI570="",$AL570=""),"保留中",IF($AL570&lt;&gt;"",IF(N($AE570)&gt;0,"支給済","不支給"),IF($AE570="","要確認",IF($AE570=0,"不支給","未処理")))))</f>
        <v/>
      </c>
      <c r="AG570" s="12" t="n"/>
      <c r="AH570" s="11" t="n"/>
      <c r="AI570" s="11" t="n"/>
      <c r="AJ570" s="11" t="n"/>
      <c r="AK570" s="14">
        <f>IF(AND($AF570="保留中",$AH570&lt;&gt;""),TODAY()-$AH570,"")</f>
        <v/>
      </c>
      <c r="AL570" s="12" t="n"/>
      <c r="AM570" s="14">
        <f>IF($B570="","",IF($AQ570="","対象年月が未入力／","")&amp;IF($B570="","",IF($AP570="","職員マスタに未登録の職員番号／",IF($AA570="","標準報酬月額が未登録／","")&amp;IF(AND($AQ570&lt;&gt;"",OR(AND(INDEX(職員マスタ!$G$6:$G$405,$AP570)&lt;&gt;"",INDEX(職員マスタ!$G$6:$G$405,$AP570)&gt;EOMONTH($AQ570,0)),AND(INDEX(職員マスタ!$H$6:$H$405,$AP570)&lt;&gt;"",INDEX(職員マスタ!$H$6:$H$405,$AP570)&lt;$AQ570))),"対象月が時短期間外／","")&amp;IF(AND(INDEX(職員マスタ!$K$6:$K$405,$AP570)&lt;&gt;"",N($W570)&gt;0,INDEX(職員マスタ!$K$6:$K$405,$AP570)&lt;&gt;$W570),"標準報酬月額が申請書と相違（台帳"&amp;TEXT(INDEX(職員マスタ!$K$6:$K$405,$AP570),"#,##0")&amp;"円／申請書"&amp;TEXT($W570,"#,##0")&amp;"円）／","")&amp;IF(AND(INDEX(職員マスタ!$F$6:$F$405,$AP570)&lt;&gt;"",$AQ570&lt;&gt;"",INDEX(職員マスタ!$F$6:$F$405,$AP570)&lt;$AQ570),"対象月に子が2歳到達済／","")&amp;IF(AND($H570&lt;&gt;"",INDEX(職員マスタ!$B$6:$B$405,$AP570)&lt;&gt;"",SUBSTITUTE(SUBSTITUTE($H570," ","")," ","")&lt;&gt;SUBSTITUTE(SUBSTITUTE(INDEX(職員マスタ!$B$6:$B$405,$AP570)," ","")," ","")),"氏名がマスタと相違／","")&amp;IF(AND($Q570&lt;&gt;"",INDEX(職員マスタ!$E$6:$E$405,$AP570)&lt;&gt;"",$Q570&lt;&gt;INDEX(職員マスタ!$E$6:$E$405,$AP570)),"子の生年月日がマスタと相違／","")&amp;IF(AND($L570&lt;&gt;"",INDEX(職員マスタ!$G$6:$G$405,$AP570)&lt;&gt;"",$L570&lt;&gt;INDEX(職員マスタ!$G$6:$G$405,$AP570)),"時短開始日がマスタと相違／","")&amp;IF(AND($M570&lt;&gt;"",INDEX(職員マスタ!$H$6:$H$405,$AP570)&lt;&gt;"",$M570&lt;&gt;INDEX(職員マスタ!$H$6:$H$405,$AP570)),"時短終了日がマスタと相違／","")))&amp;IF(AND($B570&lt;&gt;"",$E570=""),"報酬額が未入力／","")&amp;IF(N($U570)&gt;0,"申請書に入力エラーが残っています／","")&amp;IF(AND($B570&lt;&gt;"",$AQ570&lt;&gt;""),IF(COUNTIFS($B$6:$B$3005,$B570,$C$6:$C$3005,$C570,$D$6:$D$3005,$D570)&gt;1,"同じ月の請求が重複しています／",""),"")&amp;IF(AND(N($E570)&gt;0,$AB570&lt;&gt;"",$AB570&lt;&gt;"×",$AE570=0,$AD570=""),"計算額が下限以下のため不支給／",""))</f>
        <v/>
      </c>
      <c r="AN570" s="12" t="n"/>
      <c r="AO570" s="14">
        <f>IF($AF570="保留中",COUNTIF($AF$6:$AF570,"保留中"),"")</f>
        <v/>
      </c>
      <c r="AP570" s="14">
        <f>IF($AQ570="","",IF(SUMPRODUCT(MAX((職員マスタ!$A$6:$A$405=$B570)*(((職員マスタ!$G$6:$G$405="")+(職員マスタ!$G$6:$G$405&lt;=EOMONTH($AQ570,0)))&gt;0)*(((職員マスタ!$H$6:$H$405="")+(職員マスタ!$H$6:$H$405&gt;=$AQ570))&gt;0)*(ROW(職員マスタ!$A$6:$A$405)-5)))&gt;0,SUMPRODUCT(MAX((職員マスタ!$A$6:$A$405=$B570)*(((職員マスタ!$G$6:$G$405="")+(職員マスタ!$G$6:$G$405&lt;=EOMONTH($AQ570,0)))&gt;0)*(((職員マスタ!$H$6:$H$405="")+(職員マスタ!$H$6:$H$405&gt;=$AQ570))&gt;0)*(ROW(職員マスタ!$A$6:$A$405)-5))),IFERROR(MATCH($B570,職員マスタ!$A$6:$A$405,0),"")))</f>
        <v/>
      </c>
      <c r="AQ570" s="16">
        <f>IF(OR($B570="",$C570="",$D570=""),"",DATE($C570+2018,$D570,1))</f>
        <v/>
      </c>
    </row>
    <row r="571">
      <c r="A571" s="11" t="n"/>
      <c r="B571" s="12" t="n"/>
      <c r="C571" s="12" t="n"/>
      <c r="D571" s="12" t="n"/>
      <c r="E571" s="13" t="n"/>
      <c r="F571" s="12" t="n"/>
      <c r="G571" s="13" t="n"/>
      <c r="H571" s="12" t="n"/>
      <c r="I571" s="12" t="n"/>
      <c r="J571" s="12" t="n"/>
      <c r="K571" s="12" t="n"/>
      <c r="L571" s="11" t="n"/>
      <c r="M571" s="11" t="n"/>
      <c r="N571" s="11" t="n"/>
      <c r="O571" s="11" t="n"/>
      <c r="P571" s="12" t="n"/>
      <c r="Q571" s="11" t="n"/>
      <c r="R571" s="12" t="n"/>
      <c r="S571" s="11" t="n"/>
      <c r="T571" s="12" t="n"/>
      <c r="U571" s="12" t="n"/>
      <c r="V571" s="12" t="n"/>
      <c r="W571" s="13" t="n"/>
      <c r="X571" s="14">
        <f>IF($AP571="",IF($B571="","",$H571),IF(INDEX(職員マスタ!$B$6:$B$405,$AP571)="",$H571,INDEX(職員マスタ!$B$6:$B$405,$AP571)))</f>
        <v/>
      </c>
      <c r="Y571" s="14">
        <f>IF($AP571="",IF($B571="","",$R571),IF(INDEX(職員マスタ!$C$6:$C$405,$AP571)="",$R571,INDEX(職員マスタ!$C$6:$C$405,$AP571)))</f>
        <v/>
      </c>
      <c r="Z571" s="14">
        <f>IF($AQ571="","","R"&amp;$C571&amp;"."&amp;$D571)</f>
        <v/>
      </c>
      <c r="AA571" s="15">
        <f>IF(IF($AP571="",FALSE,INDEX(職員マスタ!$K$6:$K$405,$AP571)&lt;&gt;""),INDEX(職員マスタ!$K$6:$K$405,$AP571),IF(N($W571)&gt;0,$W571,""))</f>
        <v/>
      </c>
      <c r="AB571" s="14">
        <f>IF(OR($E571="",$AA571=""),"",IF($E571&gt;=$AA571,"×",IF($E571&gt;=$AA571*設定!$C$5,"△","○")))</f>
        <v/>
      </c>
      <c r="AC571" s="15">
        <f>IF($AB571="","",IF($AB571="×",0,IF($AB571="○",ROUNDDOWN($E571*設定!$C$4,0),ROUNDDOWN($E571*ROUND((9*$AA571-9*$E571)/(10*$E571),4),0))))</f>
        <v/>
      </c>
      <c r="AD571" s="13" t="n"/>
      <c r="AE571" s="15">
        <f>IF($B571="","",IF($AD571&lt;&gt;"",$AD571,IF($AC571="","",IF($AC571&lt;=設定!$C$3,0,$AC571))))</f>
        <v/>
      </c>
      <c r="AF571" s="14">
        <f>IF($B571="","",IF(AND($AG571&lt;&gt;"",$AI571="",$AL571=""),"保留中",IF($AL571&lt;&gt;"",IF(N($AE571)&gt;0,"支給済","不支給"),IF($AE571="","要確認",IF($AE571=0,"不支給","未処理")))))</f>
        <v/>
      </c>
      <c r="AG571" s="12" t="n"/>
      <c r="AH571" s="11" t="n"/>
      <c r="AI571" s="11" t="n"/>
      <c r="AJ571" s="11" t="n"/>
      <c r="AK571" s="14">
        <f>IF(AND($AF571="保留中",$AH571&lt;&gt;""),TODAY()-$AH571,"")</f>
        <v/>
      </c>
      <c r="AL571" s="12" t="n"/>
      <c r="AM571" s="14">
        <f>IF($B571="","",IF($AQ571="","対象年月が未入力／","")&amp;IF($B571="","",IF($AP571="","職員マスタに未登録の職員番号／",IF($AA571="","標準報酬月額が未登録／","")&amp;IF(AND($AQ571&lt;&gt;"",OR(AND(INDEX(職員マスタ!$G$6:$G$405,$AP571)&lt;&gt;"",INDEX(職員マスタ!$G$6:$G$405,$AP571)&gt;EOMONTH($AQ571,0)),AND(INDEX(職員マスタ!$H$6:$H$405,$AP571)&lt;&gt;"",INDEX(職員マスタ!$H$6:$H$405,$AP571)&lt;$AQ571))),"対象月が時短期間外／","")&amp;IF(AND(INDEX(職員マスタ!$K$6:$K$405,$AP571)&lt;&gt;"",N($W571)&gt;0,INDEX(職員マスタ!$K$6:$K$405,$AP571)&lt;&gt;$W571),"標準報酬月額が申請書と相違（台帳"&amp;TEXT(INDEX(職員マスタ!$K$6:$K$405,$AP571),"#,##0")&amp;"円／申請書"&amp;TEXT($W571,"#,##0")&amp;"円）／","")&amp;IF(AND(INDEX(職員マスタ!$F$6:$F$405,$AP571)&lt;&gt;"",$AQ571&lt;&gt;"",INDEX(職員マスタ!$F$6:$F$405,$AP571)&lt;$AQ571),"対象月に子が2歳到達済／","")&amp;IF(AND($H571&lt;&gt;"",INDEX(職員マスタ!$B$6:$B$405,$AP571)&lt;&gt;"",SUBSTITUTE(SUBSTITUTE($H571," ","")," ","")&lt;&gt;SUBSTITUTE(SUBSTITUTE(INDEX(職員マスタ!$B$6:$B$405,$AP571)," ","")," ","")),"氏名がマスタと相違／","")&amp;IF(AND($Q571&lt;&gt;"",INDEX(職員マスタ!$E$6:$E$405,$AP571)&lt;&gt;"",$Q571&lt;&gt;INDEX(職員マスタ!$E$6:$E$405,$AP571)),"子の生年月日がマスタと相違／","")&amp;IF(AND($L571&lt;&gt;"",INDEX(職員マスタ!$G$6:$G$405,$AP571)&lt;&gt;"",$L571&lt;&gt;INDEX(職員マスタ!$G$6:$G$405,$AP571)),"時短開始日がマスタと相違／","")&amp;IF(AND($M571&lt;&gt;"",INDEX(職員マスタ!$H$6:$H$405,$AP571)&lt;&gt;"",$M571&lt;&gt;INDEX(職員マスタ!$H$6:$H$405,$AP571)),"時短終了日がマスタと相違／","")))&amp;IF(AND($B571&lt;&gt;"",$E571=""),"報酬額が未入力／","")&amp;IF(N($U571)&gt;0,"申請書に入力エラーが残っています／","")&amp;IF(AND($B571&lt;&gt;"",$AQ571&lt;&gt;""),IF(COUNTIFS($B$6:$B$3005,$B571,$C$6:$C$3005,$C571,$D$6:$D$3005,$D571)&gt;1,"同じ月の請求が重複しています／",""),"")&amp;IF(AND(N($E571)&gt;0,$AB571&lt;&gt;"",$AB571&lt;&gt;"×",$AE571=0,$AD571=""),"計算額が下限以下のため不支給／",""))</f>
        <v/>
      </c>
      <c r="AN571" s="12" t="n"/>
      <c r="AO571" s="14">
        <f>IF($AF571="保留中",COUNTIF($AF$6:$AF571,"保留中"),"")</f>
        <v/>
      </c>
      <c r="AP571" s="14">
        <f>IF($AQ571="","",IF(SUMPRODUCT(MAX((職員マスタ!$A$6:$A$405=$B571)*(((職員マスタ!$G$6:$G$405="")+(職員マスタ!$G$6:$G$405&lt;=EOMONTH($AQ571,0)))&gt;0)*(((職員マスタ!$H$6:$H$405="")+(職員マスタ!$H$6:$H$405&gt;=$AQ571))&gt;0)*(ROW(職員マスタ!$A$6:$A$405)-5)))&gt;0,SUMPRODUCT(MAX((職員マスタ!$A$6:$A$405=$B571)*(((職員マスタ!$G$6:$G$405="")+(職員マスタ!$G$6:$G$405&lt;=EOMONTH($AQ571,0)))&gt;0)*(((職員マスタ!$H$6:$H$405="")+(職員マスタ!$H$6:$H$405&gt;=$AQ571))&gt;0)*(ROW(職員マスタ!$A$6:$A$405)-5))),IFERROR(MATCH($B571,職員マスタ!$A$6:$A$405,0),"")))</f>
        <v/>
      </c>
      <c r="AQ571" s="16">
        <f>IF(OR($B571="",$C571="",$D571=""),"",DATE($C571+2018,$D571,1))</f>
        <v/>
      </c>
    </row>
    <row r="572">
      <c r="A572" s="11" t="n"/>
      <c r="B572" s="12" t="n"/>
      <c r="C572" s="12" t="n"/>
      <c r="D572" s="12" t="n"/>
      <c r="E572" s="13" t="n"/>
      <c r="F572" s="12" t="n"/>
      <c r="G572" s="13" t="n"/>
      <c r="H572" s="12" t="n"/>
      <c r="I572" s="12" t="n"/>
      <c r="J572" s="12" t="n"/>
      <c r="K572" s="12" t="n"/>
      <c r="L572" s="11" t="n"/>
      <c r="M572" s="11" t="n"/>
      <c r="N572" s="11" t="n"/>
      <c r="O572" s="11" t="n"/>
      <c r="P572" s="12" t="n"/>
      <c r="Q572" s="11" t="n"/>
      <c r="R572" s="12" t="n"/>
      <c r="S572" s="11" t="n"/>
      <c r="T572" s="12" t="n"/>
      <c r="U572" s="12" t="n"/>
      <c r="V572" s="12" t="n"/>
      <c r="W572" s="13" t="n"/>
      <c r="X572" s="14">
        <f>IF($AP572="",IF($B572="","",$H572),IF(INDEX(職員マスタ!$B$6:$B$405,$AP572)="",$H572,INDEX(職員マスタ!$B$6:$B$405,$AP572)))</f>
        <v/>
      </c>
      <c r="Y572" s="14">
        <f>IF($AP572="",IF($B572="","",$R572),IF(INDEX(職員マスタ!$C$6:$C$405,$AP572)="",$R572,INDEX(職員マスタ!$C$6:$C$405,$AP572)))</f>
        <v/>
      </c>
      <c r="Z572" s="14">
        <f>IF($AQ572="","","R"&amp;$C572&amp;"."&amp;$D572)</f>
        <v/>
      </c>
      <c r="AA572" s="15">
        <f>IF(IF($AP572="",FALSE,INDEX(職員マスタ!$K$6:$K$405,$AP572)&lt;&gt;""),INDEX(職員マスタ!$K$6:$K$405,$AP572),IF(N($W572)&gt;0,$W572,""))</f>
        <v/>
      </c>
      <c r="AB572" s="14">
        <f>IF(OR($E572="",$AA572=""),"",IF($E572&gt;=$AA572,"×",IF($E572&gt;=$AA572*設定!$C$5,"△","○")))</f>
        <v/>
      </c>
      <c r="AC572" s="15">
        <f>IF($AB572="","",IF($AB572="×",0,IF($AB572="○",ROUNDDOWN($E572*設定!$C$4,0),ROUNDDOWN($E572*ROUND((9*$AA572-9*$E572)/(10*$E572),4),0))))</f>
        <v/>
      </c>
      <c r="AD572" s="13" t="n"/>
      <c r="AE572" s="15">
        <f>IF($B572="","",IF($AD572&lt;&gt;"",$AD572,IF($AC572="","",IF($AC572&lt;=設定!$C$3,0,$AC572))))</f>
        <v/>
      </c>
      <c r="AF572" s="14">
        <f>IF($B572="","",IF(AND($AG572&lt;&gt;"",$AI572="",$AL572=""),"保留中",IF($AL572&lt;&gt;"",IF(N($AE572)&gt;0,"支給済","不支給"),IF($AE572="","要確認",IF($AE572=0,"不支給","未処理")))))</f>
        <v/>
      </c>
      <c r="AG572" s="12" t="n"/>
      <c r="AH572" s="11" t="n"/>
      <c r="AI572" s="11" t="n"/>
      <c r="AJ572" s="11" t="n"/>
      <c r="AK572" s="14">
        <f>IF(AND($AF572="保留中",$AH572&lt;&gt;""),TODAY()-$AH572,"")</f>
        <v/>
      </c>
      <c r="AL572" s="12" t="n"/>
      <c r="AM572" s="14">
        <f>IF($B572="","",IF($AQ572="","対象年月が未入力／","")&amp;IF($B572="","",IF($AP572="","職員マスタに未登録の職員番号／",IF($AA572="","標準報酬月額が未登録／","")&amp;IF(AND($AQ572&lt;&gt;"",OR(AND(INDEX(職員マスタ!$G$6:$G$405,$AP572)&lt;&gt;"",INDEX(職員マスタ!$G$6:$G$405,$AP572)&gt;EOMONTH($AQ572,0)),AND(INDEX(職員マスタ!$H$6:$H$405,$AP572)&lt;&gt;"",INDEX(職員マスタ!$H$6:$H$405,$AP572)&lt;$AQ572))),"対象月が時短期間外／","")&amp;IF(AND(INDEX(職員マスタ!$K$6:$K$405,$AP572)&lt;&gt;"",N($W572)&gt;0,INDEX(職員マスタ!$K$6:$K$405,$AP572)&lt;&gt;$W572),"標準報酬月額が申請書と相違（台帳"&amp;TEXT(INDEX(職員マスタ!$K$6:$K$405,$AP572),"#,##0")&amp;"円／申請書"&amp;TEXT($W572,"#,##0")&amp;"円）／","")&amp;IF(AND(INDEX(職員マスタ!$F$6:$F$405,$AP572)&lt;&gt;"",$AQ572&lt;&gt;"",INDEX(職員マスタ!$F$6:$F$405,$AP572)&lt;$AQ572),"対象月に子が2歳到達済／","")&amp;IF(AND($H572&lt;&gt;"",INDEX(職員マスタ!$B$6:$B$405,$AP572)&lt;&gt;"",SUBSTITUTE(SUBSTITUTE($H572," ","")," ","")&lt;&gt;SUBSTITUTE(SUBSTITUTE(INDEX(職員マスタ!$B$6:$B$405,$AP572)," ","")," ","")),"氏名がマスタと相違／","")&amp;IF(AND($Q572&lt;&gt;"",INDEX(職員マスタ!$E$6:$E$405,$AP572)&lt;&gt;"",$Q572&lt;&gt;INDEX(職員マスタ!$E$6:$E$405,$AP572)),"子の生年月日がマスタと相違／","")&amp;IF(AND($L572&lt;&gt;"",INDEX(職員マスタ!$G$6:$G$405,$AP572)&lt;&gt;"",$L572&lt;&gt;INDEX(職員マスタ!$G$6:$G$405,$AP572)),"時短開始日がマスタと相違／","")&amp;IF(AND($M572&lt;&gt;"",INDEX(職員マスタ!$H$6:$H$405,$AP572)&lt;&gt;"",$M572&lt;&gt;INDEX(職員マスタ!$H$6:$H$405,$AP572)),"時短終了日がマスタと相違／","")))&amp;IF(AND($B572&lt;&gt;"",$E572=""),"報酬額が未入力／","")&amp;IF(N($U572)&gt;0,"申請書に入力エラーが残っています／","")&amp;IF(AND($B572&lt;&gt;"",$AQ572&lt;&gt;""),IF(COUNTIFS($B$6:$B$3005,$B572,$C$6:$C$3005,$C572,$D$6:$D$3005,$D572)&gt;1,"同じ月の請求が重複しています／",""),"")&amp;IF(AND(N($E572)&gt;0,$AB572&lt;&gt;"",$AB572&lt;&gt;"×",$AE572=0,$AD572=""),"計算額が下限以下のため不支給／",""))</f>
        <v/>
      </c>
      <c r="AN572" s="12" t="n"/>
      <c r="AO572" s="14">
        <f>IF($AF572="保留中",COUNTIF($AF$6:$AF572,"保留中"),"")</f>
        <v/>
      </c>
      <c r="AP572" s="14">
        <f>IF($AQ572="","",IF(SUMPRODUCT(MAX((職員マスタ!$A$6:$A$405=$B572)*(((職員マスタ!$G$6:$G$405="")+(職員マスタ!$G$6:$G$405&lt;=EOMONTH($AQ572,0)))&gt;0)*(((職員マスタ!$H$6:$H$405="")+(職員マスタ!$H$6:$H$405&gt;=$AQ572))&gt;0)*(ROW(職員マスタ!$A$6:$A$405)-5)))&gt;0,SUMPRODUCT(MAX((職員マスタ!$A$6:$A$405=$B572)*(((職員マスタ!$G$6:$G$405="")+(職員マスタ!$G$6:$G$405&lt;=EOMONTH($AQ572,0)))&gt;0)*(((職員マスタ!$H$6:$H$405="")+(職員マスタ!$H$6:$H$405&gt;=$AQ572))&gt;0)*(ROW(職員マスタ!$A$6:$A$405)-5))),IFERROR(MATCH($B572,職員マスタ!$A$6:$A$405,0),"")))</f>
        <v/>
      </c>
      <c r="AQ572" s="16">
        <f>IF(OR($B572="",$C572="",$D572=""),"",DATE($C572+2018,$D572,1))</f>
        <v/>
      </c>
    </row>
    <row r="573">
      <c r="A573" s="11" t="n"/>
      <c r="B573" s="12" t="n"/>
      <c r="C573" s="12" t="n"/>
      <c r="D573" s="12" t="n"/>
      <c r="E573" s="13" t="n"/>
      <c r="F573" s="12" t="n"/>
      <c r="G573" s="13" t="n"/>
      <c r="H573" s="12" t="n"/>
      <c r="I573" s="12" t="n"/>
      <c r="J573" s="12" t="n"/>
      <c r="K573" s="12" t="n"/>
      <c r="L573" s="11" t="n"/>
      <c r="M573" s="11" t="n"/>
      <c r="N573" s="11" t="n"/>
      <c r="O573" s="11" t="n"/>
      <c r="P573" s="12" t="n"/>
      <c r="Q573" s="11" t="n"/>
      <c r="R573" s="12" t="n"/>
      <c r="S573" s="11" t="n"/>
      <c r="T573" s="12" t="n"/>
      <c r="U573" s="12" t="n"/>
      <c r="V573" s="12" t="n"/>
      <c r="W573" s="13" t="n"/>
      <c r="X573" s="14">
        <f>IF($AP573="",IF($B573="","",$H573),IF(INDEX(職員マスタ!$B$6:$B$405,$AP573)="",$H573,INDEX(職員マスタ!$B$6:$B$405,$AP573)))</f>
        <v/>
      </c>
      <c r="Y573" s="14">
        <f>IF($AP573="",IF($B573="","",$R573),IF(INDEX(職員マスタ!$C$6:$C$405,$AP573)="",$R573,INDEX(職員マスタ!$C$6:$C$405,$AP573)))</f>
        <v/>
      </c>
      <c r="Z573" s="14">
        <f>IF($AQ573="","","R"&amp;$C573&amp;"."&amp;$D573)</f>
        <v/>
      </c>
      <c r="AA573" s="15">
        <f>IF(IF($AP573="",FALSE,INDEX(職員マスタ!$K$6:$K$405,$AP573)&lt;&gt;""),INDEX(職員マスタ!$K$6:$K$405,$AP573),IF(N($W573)&gt;0,$W573,""))</f>
        <v/>
      </c>
      <c r="AB573" s="14">
        <f>IF(OR($E573="",$AA573=""),"",IF($E573&gt;=$AA573,"×",IF($E573&gt;=$AA573*設定!$C$5,"△","○")))</f>
        <v/>
      </c>
      <c r="AC573" s="15">
        <f>IF($AB573="","",IF($AB573="×",0,IF($AB573="○",ROUNDDOWN($E573*設定!$C$4,0),ROUNDDOWN($E573*ROUND((9*$AA573-9*$E573)/(10*$E573),4),0))))</f>
        <v/>
      </c>
      <c r="AD573" s="13" t="n"/>
      <c r="AE573" s="15">
        <f>IF($B573="","",IF($AD573&lt;&gt;"",$AD573,IF($AC573="","",IF($AC573&lt;=設定!$C$3,0,$AC573))))</f>
        <v/>
      </c>
      <c r="AF573" s="14">
        <f>IF($B573="","",IF(AND($AG573&lt;&gt;"",$AI573="",$AL573=""),"保留中",IF($AL573&lt;&gt;"",IF(N($AE573)&gt;0,"支給済","不支給"),IF($AE573="","要確認",IF($AE573=0,"不支給","未処理")))))</f>
        <v/>
      </c>
      <c r="AG573" s="12" t="n"/>
      <c r="AH573" s="11" t="n"/>
      <c r="AI573" s="11" t="n"/>
      <c r="AJ573" s="11" t="n"/>
      <c r="AK573" s="14">
        <f>IF(AND($AF573="保留中",$AH573&lt;&gt;""),TODAY()-$AH573,"")</f>
        <v/>
      </c>
      <c r="AL573" s="12" t="n"/>
      <c r="AM573" s="14">
        <f>IF($B573="","",IF($AQ573="","対象年月が未入力／","")&amp;IF($B573="","",IF($AP573="","職員マスタに未登録の職員番号／",IF($AA573="","標準報酬月額が未登録／","")&amp;IF(AND($AQ573&lt;&gt;"",OR(AND(INDEX(職員マスタ!$G$6:$G$405,$AP573)&lt;&gt;"",INDEX(職員マスタ!$G$6:$G$405,$AP573)&gt;EOMONTH($AQ573,0)),AND(INDEX(職員マスタ!$H$6:$H$405,$AP573)&lt;&gt;"",INDEX(職員マスタ!$H$6:$H$405,$AP573)&lt;$AQ573))),"対象月が時短期間外／","")&amp;IF(AND(INDEX(職員マスタ!$K$6:$K$405,$AP573)&lt;&gt;"",N($W573)&gt;0,INDEX(職員マスタ!$K$6:$K$405,$AP573)&lt;&gt;$W573),"標準報酬月額が申請書と相違（台帳"&amp;TEXT(INDEX(職員マスタ!$K$6:$K$405,$AP573),"#,##0")&amp;"円／申請書"&amp;TEXT($W573,"#,##0")&amp;"円）／","")&amp;IF(AND(INDEX(職員マスタ!$F$6:$F$405,$AP573)&lt;&gt;"",$AQ573&lt;&gt;"",INDEX(職員マスタ!$F$6:$F$405,$AP573)&lt;$AQ573),"対象月に子が2歳到達済／","")&amp;IF(AND($H573&lt;&gt;"",INDEX(職員マスタ!$B$6:$B$405,$AP573)&lt;&gt;"",SUBSTITUTE(SUBSTITUTE($H573," ","")," ","")&lt;&gt;SUBSTITUTE(SUBSTITUTE(INDEX(職員マスタ!$B$6:$B$405,$AP573)," ","")," ","")),"氏名がマスタと相違／","")&amp;IF(AND($Q573&lt;&gt;"",INDEX(職員マスタ!$E$6:$E$405,$AP573)&lt;&gt;"",$Q573&lt;&gt;INDEX(職員マスタ!$E$6:$E$405,$AP573)),"子の生年月日がマスタと相違／","")&amp;IF(AND($L573&lt;&gt;"",INDEX(職員マスタ!$G$6:$G$405,$AP573)&lt;&gt;"",$L573&lt;&gt;INDEX(職員マスタ!$G$6:$G$405,$AP573)),"時短開始日がマスタと相違／","")&amp;IF(AND($M573&lt;&gt;"",INDEX(職員マスタ!$H$6:$H$405,$AP573)&lt;&gt;"",$M573&lt;&gt;INDEX(職員マスタ!$H$6:$H$405,$AP573)),"時短終了日がマスタと相違／","")))&amp;IF(AND($B573&lt;&gt;"",$E573=""),"報酬額が未入力／","")&amp;IF(N($U573)&gt;0,"申請書に入力エラーが残っています／","")&amp;IF(AND($B573&lt;&gt;"",$AQ573&lt;&gt;""),IF(COUNTIFS($B$6:$B$3005,$B573,$C$6:$C$3005,$C573,$D$6:$D$3005,$D573)&gt;1,"同じ月の請求が重複しています／",""),"")&amp;IF(AND(N($E573)&gt;0,$AB573&lt;&gt;"",$AB573&lt;&gt;"×",$AE573=0,$AD573=""),"計算額が下限以下のため不支給／",""))</f>
        <v/>
      </c>
      <c r="AN573" s="12" t="n"/>
      <c r="AO573" s="14">
        <f>IF($AF573="保留中",COUNTIF($AF$6:$AF573,"保留中"),"")</f>
        <v/>
      </c>
      <c r="AP573" s="14">
        <f>IF($AQ573="","",IF(SUMPRODUCT(MAX((職員マスタ!$A$6:$A$405=$B573)*(((職員マスタ!$G$6:$G$405="")+(職員マスタ!$G$6:$G$405&lt;=EOMONTH($AQ573,0)))&gt;0)*(((職員マスタ!$H$6:$H$405="")+(職員マスタ!$H$6:$H$405&gt;=$AQ573))&gt;0)*(ROW(職員マスタ!$A$6:$A$405)-5)))&gt;0,SUMPRODUCT(MAX((職員マスタ!$A$6:$A$405=$B573)*(((職員マスタ!$G$6:$G$405="")+(職員マスタ!$G$6:$G$405&lt;=EOMONTH($AQ573,0)))&gt;0)*(((職員マスタ!$H$6:$H$405="")+(職員マスタ!$H$6:$H$405&gt;=$AQ573))&gt;0)*(ROW(職員マスタ!$A$6:$A$405)-5))),IFERROR(MATCH($B573,職員マスタ!$A$6:$A$405,0),"")))</f>
        <v/>
      </c>
      <c r="AQ573" s="16">
        <f>IF(OR($B573="",$C573="",$D573=""),"",DATE($C573+2018,$D573,1))</f>
        <v/>
      </c>
    </row>
    <row r="574">
      <c r="A574" s="11" t="n"/>
      <c r="B574" s="12" t="n"/>
      <c r="C574" s="12" t="n"/>
      <c r="D574" s="12" t="n"/>
      <c r="E574" s="13" t="n"/>
      <c r="F574" s="12" t="n"/>
      <c r="G574" s="13" t="n"/>
      <c r="H574" s="12" t="n"/>
      <c r="I574" s="12" t="n"/>
      <c r="J574" s="12" t="n"/>
      <c r="K574" s="12" t="n"/>
      <c r="L574" s="11" t="n"/>
      <c r="M574" s="11" t="n"/>
      <c r="N574" s="11" t="n"/>
      <c r="O574" s="11" t="n"/>
      <c r="P574" s="12" t="n"/>
      <c r="Q574" s="11" t="n"/>
      <c r="R574" s="12" t="n"/>
      <c r="S574" s="11" t="n"/>
      <c r="T574" s="12" t="n"/>
      <c r="U574" s="12" t="n"/>
      <c r="V574" s="12" t="n"/>
      <c r="W574" s="13" t="n"/>
      <c r="X574" s="14">
        <f>IF($AP574="",IF($B574="","",$H574),IF(INDEX(職員マスタ!$B$6:$B$405,$AP574)="",$H574,INDEX(職員マスタ!$B$6:$B$405,$AP574)))</f>
        <v/>
      </c>
      <c r="Y574" s="14">
        <f>IF($AP574="",IF($B574="","",$R574),IF(INDEX(職員マスタ!$C$6:$C$405,$AP574)="",$R574,INDEX(職員マスタ!$C$6:$C$405,$AP574)))</f>
        <v/>
      </c>
      <c r="Z574" s="14">
        <f>IF($AQ574="","","R"&amp;$C574&amp;"."&amp;$D574)</f>
        <v/>
      </c>
      <c r="AA574" s="15">
        <f>IF(IF($AP574="",FALSE,INDEX(職員マスタ!$K$6:$K$405,$AP574)&lt;&gt;""),INDEX(職員マスタ!$K$6:$K$405,$AP574),IF(N($W574)&gt;0,$W574,""))</f>
        <v/>
      </c>
      <c r="AB574" s="14">
        <f>IF(OR($E574="",$AA574=""),"",IF($E574&gt;=$AA574,"×",IF($E574&gt;=$AA574*設定!$C$5,"△","○")))</f>
        <v/>
      </c>
      <c r="AC574" s="15">
        <f>IF($AB574="","",IF($AB574="×",0,IF($AB574="○",ROUNDDOWN($E574*設定!$C$4,0),ROUNDDOWN($E574*ROUND((9*$AA574-9*$E574)/(10*$E574),4),0))))</f>
        <v/>
      </c>
      <c r="AD574" s="13" t="n"/>
      <c r="AE574" s="15">
        <f>IF($B574="","",IF($AD574&lt;&gt;"",$AD574,IF($AC574="","",IF($AC574&lt;=設定!$C$3,0,$AC574))))</f>
        <v/>
      </c>
      <c r="AF574" s="14">
        <f>IF($B574="","",IF(AND($AG574&lt;&gt;"",$AI574="",$AL574=""),"保留中",IF($AL574&lt;&gt;"",IF(N($AE574)&gt;0,"支給済","不支給"),IF($AE574="","要確認",IF($AE574=0,"不支給","未処理")))))</f>
        <v/>
      </c>
      <c r="AG574" s="12" t="n"/>
      <c r="AH574" s="11" t="n"/>
      <c r="AI574" s="11" t="n"/>
      <c r="AJ574" s="11" t="n"/>
      <c r="AK574" s="14">
        <f>IF(AND($AF574="保留中",$AH574&lt;&gt;""),TODAY()-$AH574,"")</f>
        <v/>
      </c>
      <c r="AL574" s="12" t="n"/>
      <c r="AM574" s="14">
        <f>IF($B574="","",IF($AQ574="","対象年月が未入力／","")&amp;IF($B574="","",IF($AP574="","職員マスタに未登録の職員番号／",IF($AA574="","標準報酬月額が未登録／","")&amp;IF(AND($AQ574&lt;&gt;"",OR(AND(INDEX(職員マスタ!$G$6:$G$405,$AP574)&lt;&gt;"",INDEX(職員マスタ!$G$6:$G$405,$AP574)&gt;EOMONTH($AQ574,0)),AND(INDEX(職員マスタ!$H$6:$H$405,$AP574)&lt;&gt;"",INDEX(職員マスタ!$H$6:$H$405,$AP574)&lt;$AQ574))),"対象月が時短期間外／","")&amp;IF(AND(INDEX(職員マスタ!$K$6:$K$405,$AP574)&lt;&gt;"",N($W574)&gt;0,INDEX(職員マスタ!$K$6:$K$405,$AP574)&lt;&gt;$W574),"標準報酬月額が申請書と相違（台帳"&amp;TEXT(INDEX(職員マスタ!$K$6:$K$405,$AP574),"#,##0")&amp;"円／申請書"&amp;TEXT($W574,"#,##0")&amp;"円）／","")&amp;IF(AND(INDEX(職員マスタ!$F$6:$F$405,$AP574)&lt;&gt;"",$AQ574&lt;&gt;"",INDEX(職員マスタ!$F$6:$F$405,$AP574)&lt;$AQ574),"対象月に子が2歳到達済／","")&amp;IF(AND($H574&lt;&gt;"",INDEX(職員マスタ!$B$6:$B$405,$AP574)&lt;&gt;"",SUBSTITUTE(SUBSTITUTE($H574," ","")," ","")&lt;&gt;SUBSTITUTE(SUBSTITUTE(INDEX(職員マスタ!$B$6:$B$405,$AP574)," ","")," ","")),"氏名がマスタと相違／","")&amp;IF(AND($Q574&lt;&gt;"",INDEX(職員マスタ!$E$6:$E$405,$AP574)&lt;&gt;"",$Q574&lt;&gt;INDEX(職員マスタ!$E$6:$E$405,$AP574)),"子の生年月日がマスタと相違／","")&amp;IF(AND($L574&lt;&gt;"",INDEX(職員マスタ!$G$6:$G$405,$AP574)&lt;&gt;"",$L574&lt;&gt;INDEX(職員マスタ!$G$6:$G$405,$AP574)),"時短開始日がマスタと相違／","")&amp;IF(AND($M574&lt;&gt;"",INDEX(職員マスタ!$H$6:$H$405,$AP574)&lt;&gt;"",$M574&lt;&gt;INDEX(職員マスタ!$H$6:$H$405,$AP574)),"時短終了日がマスタと相違／","")))&amp;IF(AND($B574&lt;&gt;"",$E574=""),"報酬額が未入力／","")&amp;IF(N($U574)&gt;0,"申請書に入力エラーが残っています／","")&amp;IF(AND($B574&lt;&gt;"",$AQ574&lt;&gt;""),IF(COUNTIFS($B$6:$B$3005,$B574,$C$6:$C$3005,$C574,$D$6:$D$3005,$D574)&gt;1,"同じ月の請求が重複しています／",""),"")&amp;IF(AND(N($E574)&gt;0,$AB574&lt;&gt;"",$AB574&lt;&gt;"×",$AE574=0,$AD574=""),"計算額が下限以下のため不支給／",""))</f>
        <v/>
      </c>
      <c r="AN574" s="12" t="n"/>
      <c r="AO574" s="14">
        <f>IF($AF574="保留中",COUNTIF($AF$6:$AF574,"保留中"),"")</f>
        <v/>
      </c>
      <c r="AP574" s="14">
        <f>IF($AQ574="","",IF(SUMPRODUCT(MAX((職員マスタ!$A$6:$A$405=$B574)*(((職員マスタ!$G$6:$G$405="")+(職員マスタ!$G$6:$G$405&lt;=EOMONTH($AQ574,0)))&gt;0)*(((職員マスタ!$H$6:$H$405="")+(職員マスタ!$H$6:$H$405&gt;=$AQ574))&gt;0)*(ROW(職員マスタ!$A$6:$A$405)-5)))&gt;0,SUMPRODUCT(MAX((職員マスタ!$A$6:$A$405=$B574)*(((職員マスタ!$G$6:$G$405="")+(職員マスタ!$G$6:$G$405&lt;=EOMONTH($AQ574,0)))&gt;0)*(((職員マスタ!$H$6:$H$405="")+(職員マスタ!$H$6:$H$405&gt;=$AQ574))&gt;0)*(ROW(職員マスタ!$A$6:$A$405)-5))),IFERROR(MATCH($B574,職員マスタ!$A$6:$A$405,0),"")))</f>
        <v/>
      </c>
      <c r="AQ574" s="16">
        <f>IF(OR($B574="",$C574="",$D574=""),"",DATE($C574+2018,$D574,1))</f>
        <v/>
      </c>
    </row>
    <row r="575">
      <c r="A575" s="11" t="n"/>
      <c r="B575" s="12" t="n"/>
      <c r="C575" s="12" t="n"/>
      <c r="D575" s="12" t="n"/>
      <c r="E575" s="13" t="n"/>
      <c r="F575" s="12" t="n"/>
      <c r="G575" s="13" t="n"/>
      <c r="H575" s="12" t="n"/>
      <c r="I575" s="12" t="n"/>
      <c r="J575" s="12" t="n"/>
      <c r="K575" s="12" t="n"/>
      <c r="L575" s="11" t="n"/>
      <c r="M575" s="11" t="n"/>
      <c r="N575" s="11" t="n"/>
      <c r="O575" s="11" t="n"/>
      <c r="P575" s="12" t="n"/>
      <c r="Q575" s="11" t="n"/>
      <c r="R575" s="12" t="n"/>
      <c r="S575" s="11" t="n"/>
      <c r="T575" s="12" t="n"/>
      <c r="U575" s="12" t="n"/>
      <c r="V575" s="12" t="n"/>
      <c r="W575" s="13" t="n"/>
      <c r="X575" s="14">
        <f>IF($AP575="",IF($B575="","",$H575),IF(INDEX(職員マスタ!$B$6:$B$405,$AP575)="",$H575,INDEX(職員マスタ!$B$6:$B$405,$AP575)))</f>
        <v/>
      </c>
      <c r="Y575" s="14">
        <f>IF($AP575="",IF($B575="","",$R575),IF(INDEX(職員マスタ!$C$6:$C$405,$AP575)="",$R575,INDEX(職員マスタ!$C$6:$C$405,$AP575)))</f>
        <v/>
      </c>
      <c r="Z575" s="14">
        <f>IF($AQ575="","","R"&amp;$C575&amp;"."&amp;$D575)</f>
        <v/>
      </c>
      <c r="AA575" s="15">
        <f>IF(IF($AP575="",FALSE,INDEX(職員マスタ!$K$6:$K$405,$AP575)&lt;&gt;""),INDEX(職員マスタ!$K$6:$K$405,$AP575),IF(N($W575)&gt;0,$W575,""))</f>
        <v/>
      </c>
      <c r="AB575" s="14">
        <f>IF(OR($E575="",$AA575=""),"",IF($E575&gt;=$AA575,"×",IF($E575&gt;=$AA575*設定!$C$5,"△","○")))</f>
        <v/>
      </c>
      <c r="AC575" s="15">
        <f>IF($AB575="","",IF($AB575="×",0,IF($AB575="○",ROUNDDOWN($E575*設定!$C$4,0),ROUNDDOWN($E575*ROUND((9*$AA575-9*$E575)/(10*$E575),4),0))))</f>
        <v/>
      </c>
      <c r="AD575" s="13" t="n"/>
      <c r="AE575" s="15">
        <f>IF($B575="","",IF($AD575&lt;&gt;"",$AD575,IF($AC575="","",IF($AC575&lt;=設定!$C$3,0,$AC575))))</f>
        <v/>
      </c>
      <c r="AF575" s="14">
        <f>IF($B575="","",IF(AND($AG575&lt;&gt;"",$AI575="",$AL575=""),"保留中",IF($AL575&lt;&gt;"",IF(N($AE575)&gt;0,"支給済","不支給"),IF($AE575="","要確認",IF($AE575=0,"不支給","未処理")))))</f>
        <v/>
      </c>
      <c r="AG575" s="12" t="n"/>
      <c r="AH575" s="11" t="n"/>
      <c r="AI575" s="11" t="n"/>
      <c r="AJ575" s="11" t="n"/>
      <c r="AK575" s="14">
        <f>IF(AND($AF575="保留中",$AH575&lt;&gt;""),TODAY()-$AH575,"")</f>
        <v/>
      </c>
      <c r="AL575" s="12" t="n"/>
      <c r="AM575" s="14">
        <f>IF($B575="","",IF($AQ575="","対象年月が未入力／","")&amp;IF($B575="","",IF($AP575="","職員マスタに未登録の職員番号／",IF($AA575="","標準報酬月額が未登録／","")&amp;IF(AND($AQ575&lt;&gt;"",OR(AND(INDEX(職員マスタ!$G$6:$G$405,$AP575)&lt;&gt;"",INDEX(職員マスタ!$G$6:$G$405,$AP575)&gt;EOMONTH($AQ575,0)),AND(INDEX(職員マスタ!$H$6:$H$405,$AP575)&lt;&gt;"",INDEX(職員マスタ!$H$6:$H$405,$AP575)&lt;$AQ575))),"対象月が時短期間外／","")&amp;IF(AND(INDEX(職員マスタ!$K$6:$K$405,$AP575)&lt;&gt;"",N($W575)&gt;0,INDEX(職員マスタ!$K$6:$K$405,$AP575)&lt;&gt;$W575),"標準報酬月額が申請書と相違（台帳"&amp;TEXT(INDEX(職員マスタ!$K$6:$K$405,$AP575),"#,##0")&amp;"円／申請書"&amp;TEXT($W575,"#,##0")&amp;"円）／","")&amp;IF(AND(INDEX(職員マスタ!$F$6:$F$405,$AP575)&lt;&gt;"",$AQ575&lt;&gt;"",INDEX(職員マスタ!$F$6:$F$405,$AP575)&lt;$AQ575),"対象月に子が2歳到達済／","")&amp;IF(AND($H575&lt;&gt;"",INDEX(職員マスタ!$B$6:$B$405,$AP575)&lt;&gt;"",SUBSTITUTE(SUBSTITUTE($H575," ","")," ","")&lt;&gt;SUBSTITUTE(SUBSTITUTE(INDEX(職員マスタ!$B$6:$B$405,$AP575)," ","")," ","")),"氏名がマスタと相違／","")&amp;IF(AND($Q575&lt;&gt;"",INDEX(職員マスタ!$E$6:$E$405,$AP575)&lt;&gt;"",$Q575&lt;&gt;INDEX(職員マスタ!$E$6:$E$405,$AP575)),"子の生年月日がマスタと相違／","")&amp;IF(AND($L575&lt;&gt;"",INDEX(職員マスタ!$G$6:$G$405,$AP575)&lt;&gt;"",$L575&lt;&gt;INDEX(職員マスタ!$G$6:$G$405,$AP575)),"時短開始日がマスタと相違／","")&amp;IF(AND($M575&lt;&gt;"",INDEX(職員マスタ!$H$6:$H$405,$AP575)&lt;&gt;"",$M575&lt;&gt;INDEX(職員マスタ!$H$6:$H$405,$AP575)),"時短終了日がマスタと相違／","")))&amp;IF(AND($B575&lt;&gt;"",$E575=""),"報酬額が未入力／","")&amp;IF(N($U575)&gt;0,"申請書に入力エラーが残っています／","")&amp;IF(AND($B575&lt;&gt;"",$AQ575&lt;&gt;""),IF(COUNTIFS($B$6:$B$3005,$B575,$C$6:$C$3005,$C575,$D$6:$D$3005,$D575)&gt;1,"同じ月の請求が重複しています／",""),"")&amp;IF(AND(N($E575)&gt;0,$AB575&lt;&gt;"",$AB575&lt;&gt;"×",$AE575=0,$AD575=""),"計算額が下限以下のため不支給／",""))</f>
        <v/>
      </c>
      <c r="AN575" s="12" t="n"/>
      <c r="AO575" s="14">
        <f>IF($AF575="保留中",COUNTIF($AF$6:$AF575,"保留中"),"")</f>
        <v/>
      </c>
      <c r="AP575" s="14">
        <f>IF($AQ575="","",IF(SUMPRODUCT(MAX((職員マスタ!$A$6:$A$405=$B575)*(((職員マスタ!$G$6:$G$405="")+(職員マスタ!$G$6:$G$405&lt;=EOMONTH($AQ575,0)))&gt;0)*(((職員マスタ!$H$6:$H$405="")+(職員マスタ!$H$6:$H$405&gt;=$AQ575))&gt;0)*(ROW(職員マスタ!$A$6:$A$405)-5)))&gt;0,SUMPRODUCT(MAX((職員マスタ!$A$6:$A$405=$B575)*(((職員マスタ!$G$6:$G$405="")+(職員マスタ!$G$6:$G$405&lt;=EOMONTH($AQ575,0)))&gt;0)*(((職員マスタ!$H$6:$H$405="")+(職員マスタ!$H$6:$H$405&gt;=$AQ575))&gt;0)*(ROW(職員マスタ!$A$6:$A$405)-5))),IFERROR(MATCH($B575,職員マスタ!$A$6:$A$405,0),"")))</f>
        <v/>
      </c>
      <c r="AQ575" s="16">
        <f>IF(OR($B575="",$C575="",$D575=""),"",DATE($C575+2018,$D575,1))</f>
        <v/>
      </c>
    </row>
    <row r="576">
      <c r="A576" s="11" t="n"/>
      <c r="B576" s="12" t="n"/>
      <c r="C576" s="12" t="n"/>
      <c r="D576" s="12" t="n"/>
      <c r="E576" s="13" t="n"/>
      <c r="F576" s="12" t="n"/>
      <c r="G576" s="13" t="n"/>
      <c r="H576" s="12" t="n"/>
      <c r="I576" s="12" t="n"/>
      <c r="J576" s="12" t="n"/>
      <c r="K576" s="12" t="n"/>
      <c r="L576" s="11" t="n"/>
      <c r="M576" s="11" t="n"/>
      <c r="N576" s="11" t="n"/>
      <c r="O576" s="11" t="n"/>
      <c r="P576" s="12" t="n"/>
      <c r="Q576" s="11" t="n"/>
      <c r="R576" s="12" t="n"/>
      <c r="S576" s="11" t="n"/>
      <c r="T576" s="12" t="n"/>
      <c r="U576" s="12" t="n"/>
      <c r="V576" s="12" t="n"/>
      <c r="W576" s="13" t="n"/>
      <c r="X576" s="14">
        <f>IF($AP576="",IF($B576="","",$H576),IF(INDEX(職員マスタ!$B$6:$B$405,$AP576)="",$H576,INDEX(職員マスタ!$B$6:$B$405,$AP576)))</f>
        <v/>
      </c>
      <c r="Y576" s="14">
        <f>IF($AP576="",IF($B576="","",$R576),IF(INDEX(職員マスタ!$C$6:$C$405,$AP576)="",$R576,INDEX(職員マスタ!$C$6:$C$405,$AP576)))</f>
        <v/>
      </c>
      <c r="Z576" s="14">
        <f>IF($AQ576="","","R"&amp;$C576&amp;"."&amp;$D576)</f>
        <v/>
      </c>
      <c r="AA576" s="15">
        <f>IF(IF($AP576="",FALSE,INDEX(職員マスタ!$K$6:$K$405,$AP576)&lt;&gt;""),INDEX(職員マスタ!$K$6:$K$405,$AP576),IF(N($W576)&gt;0,$W576,""))</f>
        <v/>
      </c>
      <c r="AB576" s="14">
        <f>IF(OR($E576="",$AA576=""),"",IF($E576&gt;=$AA576,"×",IF($E576&gt;=$AA576*設定!$C$5,"△","○")))</f>
        <v/>
      </c>
      <c r="AC576" s="15">
        <f>IF($AB576="","",IF($AB576="×",0,IF($AB576="○",ROUNDDOWN($E576*設定!$C$4,0),ROUNDDOWN($E576*ROUND((9*$AA576-9*$E576)/(10*$E576),4),0))))</f>
        <v/>
      </c>
      <c r="AD576" s="13" t="n"/>
      <c r="AE576" s="15">
        <f>IF($B576="","",IF($AD576&lt;&gt;"",$AD576,IF($AC576="","",IF($AC576&lt;=設定!$C$3,0,$AC576))))</f>
        <v/>
      </c>
      <c r="AF576" s="14">
        <f>IF($B576="","",IF(AND($AG576&lt;&gt;"",$AI576="",$AL576=""),"保留中",IF($AL576&lt;&gt;"",IF(N($AE576)&gt;0,"支給済","不支給"),IF($AE576="","要確認",IF($AE576=0,"不支給","未処理")))))</f>
        <v/>
      </c>
      <c r="AG576" s="12" t="n"/>
      <c r="AH576" s="11" t="n"/>
      <c r="AI576" s="11" t="n"/>
      <c r="AJ576" s="11" t="n"/>
      <c r="AK576" s="14">
        <f>IF(AND($AF576="保留中",$AH576&lt;&gt;""),TODAY()-$AH576,"")</f>
        <v/>
      </c>
      <c r="AL576" s="12" t="n"/>
      <c r="AM576" s="14">
        <f>IF($B576="","",IF($AQ576="","対象年月が未入力／","")&amp;IF($B576="","",IF($AP576="","職員マスタに未登録の職員番号／",IF($AA576="","標準報酬月額が未登録／","")&amp;IF(AND($AQ576&lt;&gt;"",OR(AND(INDEX(職員マスタ!$G$6:$G$405,$AP576)&lt;&gt;"",INDEX(職員マスタ!$G$6:$G$405,$AP576)&gt;EOMONTH($AQ576,0)),AND(INDEX(職員マスタ!$H$6:$H$405,$AP576)&lt;&gt;"",INDEX(職員マスタ!$H$6:$H$405,$AP576)&lt;$AQ576))),"対象月が時短期間外／","")&amp;IF(AND(INDEX(職員マスタ!$K$6:$K$405,$AP576)&lt;&gt;"",N($W576)&gt;0,INDEX(職員マスタ!$K$6:$K$405,$AP576)&lt;&gt;$W576),"標準報酬月額が申請書と相違（台帳"&amp;TEXT(INDEX(職員マスタ!$K$6:$K$405,$AP576),"#,##0")&amp;"円／申請書"&amp;TEXT($W576,"#,##0")&amp;"円）／","")&amp;IF(AND(INDEX(職員マスタ!$F$6:$F$405,$AP576)&lt;&gt;"",$AQ576&lt;&gt;"",INDEX(職員マスタ!$F$6:$F$405,$AP576)&lt;$AQ576),"対象月に子が2歳到達済／","")&amp;IF(AND($H576&lt;&gt;"",INDEX(職員マスタ!$B$6:$B$405,$AP576)&lt;&gt;"",SUBSTITUTE(SUBSTITUTE($H576," ","")," ","")&lt;&gt;SUBSTITUTE(SUBSTITUTE(INDEX(職員マスタ!$B$6:$B$405,$AP576)," ","")," ","")),"氏名がマスタと相違／","")&amp;IF(AND($Q576&lt;&gt;"",INDEX(職員マスタ!$E$6:$E$405,$AP576)&lt;&gt;"",$Q576&lt;&gt;INDEX(職員マスタ!$E$6:$E$405,$AP576)),"子の生年月日がマスタと相違／","")&amp;IF(AND($L576&lt;&gt;"",INDEX(職員マスタ!$G$6:$G$405,$AP576)&lt;&gt;"",$L576&lt;&gt;INDEX(職員マスタ!$G$6:$G$405,$AP576)),"時短開始日がマスタと相違／","")&amp;IF(AND($M576&lt;&gt;"",INDEX(職員マスタ!$H$6:$H$405,$AP576)&lt;&gt;"",$M576&lt;&gt;INDEX(職員マスタ!$H$6:$H$405,$AP576)),"時短終了日がマスタと相違／","")))&amp;IF(AND($B576&lt;&gt;"",$E576=""),"報酬額が未入力／","")&amp;IF(N($U576)&gt;0,"申請書に入力エラーが残っています／","")&amp;IF(AND($B576&lt;&gt;"",$AQ576&lt;&gt;""),IF(COUNTIFS($B$6:$B$3005,$B576,$C$6:$C$3005,$C576,$D$6:$D$3005,$D576)&gt;1,"同じ月の請求が重複しています／",""),"")&amp;IF(AND(N($E576)&gt;0,$AB576&lt;&gt;"",$AB576&lt;&gt;"×",$AE576=0,$AD576=""),"計算額が下限以下のため不支給／",""))</f>
        <v/>
      </c>
      <c r="AN576" s="12" t="n"/>
      <c r="AO576" s="14">
        <f>IF($AF576="保留中",COUNTIF($AF$6:$AF576,"保留中"),"")</f>
        <v/>
      </c>
      <c r="AP576" s="14">
        <f>IF($AQ576="","",IF(SUMPRODUCT(MAX((職員マスタ!$A$6:$A$405=$B576)*(((職員マスタ!$G$6:$G$405="")+(職員マスタ!$G$6:$G$405&lt;=EOMONTH($AQ576,0)))&gt;0)*(((職員マスタ!$H$6:$H$405="")+(職員マスタ!$H$6:$H$405&gt;=$AQ576))&gt;0)*(ROW(職員マスタ!$A$6:$A$405)-5)))&gt;0,SUMPRODUCT(MAX((職員マスタ!$A$6:$A$405=$B576)*(((職員マスタ!$G$6:$G$405="")+(職員マスタ!$G$6:$G$405&lt;=EOMONTH($AQ576,0)))&gt;0)*(((職員マスタ!$H$6:$H$405="")+(職員マスタ!$H$6:$H$405&gt;=$AQ576))&gt;0)*(ROW(職員マスタ!$A$6:$A$405)-5))),IFERROR(MATCH($B576,職員マスタ!$A$6:$A$405,0),"")))</f>
        <v/>
      </c>
      <c r="AQ576" s="16">
        <f>IF(OR($B576="",$C576="",$D576=""),"",DATE($C576+2018,$D576,1))</f>
        <v/>
      </c>
    </row>
    <row r="577">
      <c r="A577" s="11" t="n"/>
      <c r="B577" s="12" t="n"/>
      <c r="C577" s="12" t="n"/>
      <c r="D577" s="12" t="n"/>
      <c r="E577" s="13" t="n"/>
      <c r="F577" s="12" t="n"/>
      <c r="G577" s="13" t="n"/>
      <c r="H577" s="12" t="n"/>
      <c r="I577" s="12" t="n"/>
      <c r="J577" s="12" t="n"/>
      <c r="K577" s="12" t="n"/>
      <c r="L577" s="11" t="n"/>
      <c r="M577" s="11" t="n"/>
      <c r="N577" s="11" t="n"/>
      <c r="O577" s="11" t="n"/>
      <c r="P577" s="12" t="n"/>
      <c r="Q577" s="11" t="n"/>
      <c r="R577" s="12" t="n"/>
      <c r="S577" s="11" t="n"/>
      <c r="T577" s="12" t="n"/>
      <c r="U577" s="12" t="n"/>
      <c r="V577" s="12" t="n"/>
      <c r="W577" s="13" t="n"/>
      <c r="X577" s="14">
        <f>IF($AP577="",IF($B577="","",$H577),IF(INDEX(職員マスタ!$B$6:$B$405,$AP577)="",$H577,INDEX(職員マスタ!$B$6:$B$405,$AP577)))</f>
        <v/>
      </c>
      <c r="Y577" s="14">
        <f>IF($AP577="",IF($B577="","",$R577),IF(INDEX(職員マスタ!$C$6:$C$405,$AP577)="",$R577,INDEX(職員マスタ!$C$6:$C$405,$AP577)))</f>
        <v/>
      </c>
      <c r="Z577" s="14">
        <f>IF($AQ577="","","R"&amp;$C577&amp;"."&amp;$D577)</f>
        <v/>
      </c>
      <c r="AA577" s="15">
        <f>IF(IF($AP577="",FALSE,INDEX(職員マスタ!$K$6:$K$405,$AP577)&lt;&gt;""),INDEX(職員マスタ!$K$6:$K$405,$AP577),IF(N($W577)&gt;0,$W577,""))</f>
        <v/>
      </c>
      <c r="AB577" s="14">
        <f>IF(OR($E577="",$AA577=""),"",IF($E577&gt;=$AA577,"×",IF($E577&gt;=$AA577*設定!$C$5,"△","○")))</f>
        <v/>
      </c>
      <c r="AC577" s="15">
        <f>IF($AB577="","",IF($AB577="×",0,IF($AB577="○",ROUNDDOWN($E577*設定!$C$4,0),ROUNDDOWN($E577*ROUND((9*$AA577-9*$E577)/(10*$E577),4),0))))</f>
        <v/>
      </c>
      <c r="AD577" s="13" t="n"/>
      <c r="AE577" s="15">
        <f>IF($B577="","",IF($AD577&lt;&gt;"",$AD577,IF($AC577="","",IF($AC577&lt;=設定!$C$3,0,$AC577))))</f>
        <v/>
      </c>
      <c r="AF577" s="14">
        <f>IF($B577="","",IF(AND($AG577&lt;&gt;"",$AI577="",$AL577=""),"保留中",IF($AL577&lt;&gt;"",IF(N($AE577)&gt;0,"支給済","不支給"),IF($AE577="","要確認",IF($AE577=0,"不支給","未処理")))))</f>
        <v/>
      </c>
      <c r="AG577" s="12" t="n"/>
      <c r="AH577" s="11" t="n"/>
      <c r="AI577" s="11" t="n"/>
      <c r="AJ577" s="11" t="n"/>
      <c r="AK577" s="14">
        <f>IF(AND($AF577="保留中",$AH577&lt;&gt;""),TODAY()-$AH577,"")</f>
        <v/>
      </c>
      <c r="AL577" s="12" t="n"/>
      <c r="AM577" s="14">
        <f>IF($B577="","",IF($AQ577="","対象年月が未入力／","")&amp;IF($B577="","",IF($AP577="","職員マスタに未登録の職員番号／",IF($AA577="","標準報酬月額が未登録／","")&amp;IF(AND($AQ577&lt;&gt;"",OR(AND(INDEX(職員マスタ!$G$6:$G$405,$AP577)&lt;&gt;"",INDEX(職員マスタ!$G$6:$G$405,$AP577)&gt;EOMONTH($AQ577,0)),AND(INDEX(職員マスタ!$H$6:$H$405,$AP577)&lt;&gt;"",INDEX(職員マスタ!$H$6:$H$405,$AP577)&lt;$AQ577))),"対象月が時短期間外／","")&amp;IF(AND(INDEX(職員マスタ!$K$6:$K$405,$AP577)&lt;&gt;"",N($W577)&gt;0,INDEX(職員マスタ!$K$6:$K$405,$AP577)&lt;&gt;$W577),"標準報酬月額が申請書と相違（台帳"&amp;TEXT(INDEX(職員マスタ!$K$6:$K$405,$AP577),"#,##0")&amp;"円／申請書"&amp;TEXT($W577,"#,##0")&amp;"円）／","")&amp;IF(AND(INDEX(職員マスタ!$F$6:$F$405,$AP577)&lt;&gt;"",$AQ577&lt;&gt;"",INDEX(職員マスタ!$F$6:$F$405,$AP577)&lt;$AQ577),"対象月に子が2歳到達済／","")&amp;IF(AND($H577&lt;&gt;"",INDEX(職員マスタ!$B$6:$B$405,$AP577)&lt;&gt;"",SUBSTITUTE(SUBSTITUTE($H577," ","")," ","")&lt;&gt;SUBSTITUTE(SUBSTITUTE(INDEX(職員マスタ!$B$6:$B$405,$AP577)," ","")," ","")),"氏名がマスタと相違／","")&amp;IF(AND($Q577&lt;&gt;"",INDEX(職員マスタ!$E$6:$E$405,$AP577)&lt;&gt;"",$Q577&lt;&gt;INDEX(職員マスタ!$E$6:$E$405,$AP577)),"子の生年月日がマスタと相違／","")&amp;IF(AND($L577&lt;&gt;"",INDEX(職員マスタ!$G$6:$G$405,$AP577)&lt;&gt;"",$L577&lt;&gt;INDEX(職員マスタ!$G$6:$G$405,$AP577)),"時短開始日がマスタと相違／","")&amp;IF(AND($M577&lt;&gt;"",INDEX(職員マスタ!$H$6:$H$405,$AP577)&lt;&gt;"",$M577&lt;&gt;INDEX(職員マスタ!$H$6:$H$405,$AP577)),"時短終了日がマスタと相違／","")))&amp;IF(AND($B577&lt;&gt;"",$E577=""),"報酬額が未入力／","")&amp;IF(N($U577)&gt;0,"申請書に入力エラーが残っています／","")&amp;IF(AND($B577&lt;&gt;"",$AQ577&lt;&gt;""),IF(COUNTIFS($B$6:$B$3005,$B577,$C$6:$C$3005,$C577,$D$6:$D$3005,$D577)&gt;1,"同じ月の請求が重複しています／",""),"")&amp;IF(AND(N($E577)&gt;0,$AB577&lt;&gt;"",$AB577&lt;&gt;"×",$AE577=0,$AD577=""),"計算額が下限以下のため不支給／",""))</f>
        <v/>
      </c>
      <c r="AN577" s="12" t="n"/>
      <c r="AO577" s="14">
        <f>IF($AF577="保留中",COUNTIF($AF$6:$AF577,"保留中"),"")</f>
        <v/>
      </c>
      <c r="AP577" s="14">
        <f>IF($AQ577="","",IF(SUMPRODUCT(MAX((職員マスタ!$A$6:$A$405=$B577)*(((職員マスタ!$G$6:$G$405="")+(職員マスタ!$G$6:$G$405&lt;=EOMONTH($AQ577,0)))&gt;0)*(((職員マスタ!$H$6:$H$405="")+(職員マスタ!$H$6:$H$405&gt;=$AQ577))&gt;0)*(ROW(職員マスタ!$A$6:$A$405)-5)))&gt;0,SUMPRODUCT(MAX((職員マスタ!$A$6:$A$405=$B577)*(((職員マスタ!$G$6:$G$405="")+(職員マスタ!$G$6:$G$405&lt;=EOMONTH($AQ577,0)))&gt;0)*(((職員マスタ!$H$6:$H$405="")+(職員マスタ!$H$6:$H$405&gt;=$AQ577))&gt;0)*(ROW(職員マスタ!$A$6:$A$405)-5))),IFERROR(MATCH($B577,職員マスタ!$A$6:$A$405,0),"")))</f>
        <v/>
      </c>
      <c r="AQ577" s="16">
        <f>IF(OR($B577="",$C577="",$D577=""),"",DATE($C577+2018,$D577,1))</f>
        <v/>
      </c>
    </row>
    <row r="578">
      <c r="A578" s="11" t="n"/>
      <c r="B578" s="12" t="n"/>
      <c r="C578" s="12" t="n"/>
      <c r="D578" s="12" t="n"/>
      <c r="E578" s="13" t="n"/>
      <c r="F578" s="12" t="n"/>
      <c r="G578" s="13" t="n"/>
      <c r="H578" s="12" t="n"/>
      <c r="I578" s="12" t="n"/>
      <c r="J578" s="12" t="n"/>
      <c r="K578" s="12" t="n"/>
      <c r="L578" s="11" t="n"/>
      <c r="M578" s="11" t="n"/>
      <c r="N578" s="11" t="n"/>
      <c r="O578" s="11" t="n"/>
      <c r="P578" s="12" t="n"/>
      <c r="Q578" s="11" t="n"/>
      <c r="R578" s="12" t="n"/>
      <c r="S578" s="11" t="n"/>
      <c r="T578" s="12" t="n"/>
      <c r="U578" s="12" t="n"/>
      <c r="V578" s="12" t="n"/>
      <c r="W578" s="13" t="n"/>
      <c r="X578" s="14">
        <f>IF($AP578="",IF($B578="","",$H578),IF(INDEX(職員マスタ!$B$6:$B$405,$AP578)="",$H578,INDEX(職員マスタ!$B$6:$B$405,$AP578)))</f>
        <v/>
      </c>
      <c r="Y578" s="14">
        <f>IF($AP578="",IF($B578="","",$R578),IF(INDEX(職員マスタ!$C$6:$C$405,$AP578)="",$R578,INDEX(職員マスタ!$C$6:$C$405,$AP578)))</f>
        <v/>
      </c>
      <c r="Z578" s="14">
        <f>IF($AQ578="","","R"&amp;$C578&amp;"."&amp;$D578)</f>
        <v/>
      </c>
      <c r="AA578" s="15">
        <f>IF(IF($AP578="",FALSE,INDEX(職員マスタ!$K$6:$K$405,$AP578)&lt;&gt;""),INDEX(職員マスタ!$K$6:$K$405,$AP578),IF(N($W578)&gt;0,$W578,""))</f>
        <v/>
      </c>
      <c r="AB578" s="14">
        <f>IF(OR($E578="",$AA578=""),"",IF($E578&gt;=$AA578,"×",IF($E578&gt;=$AA578*設定!$C$5,"△","○")))</f>
        <v/>
      </c>
      <c r="AC578" s="15">
        <f>IF($AB578="","",IF($AB578="×",0,IF($AB578="○",ROUNDDOWN($E578*設定!$C$4,0),ROUNDDOWN($E578*ROUND((9*$AA578-9*$E578)/(10*$E578),4),0))))</f>
        <v/>
      </c>
      <c r="AD578" s="13" t="n"/>
      <c r="AE578" s="15">
        <f>IF($B578="","",IF($AD578&lt;&gt;"",$AD578,IF($AC578="","",IF($AC578&lt;=設定!$C$3,0,$AC578))))</f>
        <v/>
      </c>
      <c r="AF578" s="14">
        <f>IF($B578="","",IF(AND($AG578&lt;&gt;"",$AI578="",$AL578=""),"保留中",IF($AL578&lt;&gt;"",IF(N($AE578)&gt;0,"支給済","不支給"),IF($AE578="","要確認",IF($AE578=0,"不支給","未処理")))))</f>
        <v/>
      </c>
      <c r="AG578" s="12" t="n"/>
      <c r="AH578" s="11" t="n"/>
      <c r="AI578" s="11" t="n"/>
      <c r="AJ578" s="11" t="n"/>
      <c r="AK578" s="14">
        <f>IF(AND($AF578="保留中",$AH578&lt;&gt;""),TODAY()-$AH578,"")</f>
        <v/>
      </c>
      <c r="AL578" s="12" t="n"/>
      <c r="AM578" s="14">
        <f>IF($B578="","",IF($AQ578="","対象年月が未入力／","")&amp;IF($B578="","",IF($AP578="","職員マスタに未登録の職員番号／",IF($AA578="","標準報酬月額が未登録／","")&amp;IF(AND($AQ578&lt;&gt;"",OR(AND(INDEX(職員マスタ!$G$6:$G$405,$AP578)&lt;&gt;"",INDEX(職員マスタ!$G$6:$G$405,$AP578)&gt;EOMONTH($AQ578,0)),AND(INDEX(職員マスタ!$H$6:$H$405,$AP578)&lt;&gt;"",INDEX(職員マスタ!$H$6:$H$405,$AP578)&lt;$AQ578))),"対象月が時短期間外／","")&amp;IF(AND(INDEX(職員マスタ!$K$6:$K$405,$AP578)&lt;&gt;"",N($W578)&gt;0,INDEX(職員マスタ!$K$6:$K$405,$AP578)&lt;&gt;$W578),"標準報酬月額が申請書と相違（台帳"&amp;TEXT(INDEX(職員マスタ!$K$6:$K$405,$AP578),"#,##0")&amp;"円／申請書"&amp;TEXT($W578,"#,##0")&amp;"円）／","")&amp;IF(AND(INDEX(職員マスタ!$F$6:$F$405,$AP578)&lt;&gt;"",$AQ578&lt;&gt;"",INDEX(職員マスタ!$F$6:$F$405,$AP578)&lt;$AQ578),"対象月に子が2歳到達済／","")&amp;IF(AND($H578&lt;&gt;"",INDEX(職員マスタ!$B$6:$B$405,$AP578)&lt;&gt;"",SUBSTITUTE(SUBSTITUTE($H578," ","")," ","")&lt;&gt;SUBSTITUTE(SUBSTITUTE(INDEX(職員マスタ!$B$6:$B$405,$AP578)," ","")," ","")),"氏名がマスタと相違／","")&amp;IF(AND($Q578&lt;&gt;"",INDEX(職員マスタ!$E$6:$E$405,$AP578)&lt;&gt;"",$Q578&lt;&gt;INDEX(職員マスタ!$E$6:$E$405,$AP578)),"子の生年月日がマスタと相違／","")&amp;IF(AND($L578&lt;&gt;"",INDEX(職員マスタ!$G$6:$G$405,$AP578)&lt;&gt;"",$L578&lt;&gt;INDEX(職員マスタ!$G$6:$G$405,$AP578)),"時短開始日がマスタと相違／","")&amp;IF(AND($M578&lt;&gt;"",INDEX(職員マスタ!$H$6:$H$405,$AP578)&lt;&gt;"",$M578&lt;&gt;INDEX(職員マスタ!$H$6:$H$405,$AP578)),"時短終了日がマスタと相違／","")))&amp;IF(AND($B578&lt;&gt;"",$E578=""),"報酬額が未入力／","")&amp;IF(N($U578)&gt;0,"申請書に入力エラーが残っています／","")&amp;IF(AND($B578&lt;&gt;"",$AQ578&lt;&gt;""),IF(COUNTIFS($B$6:$B$3005,$B578,$C$6:$C$3005,$C578,$D$6:$D$3005,$D578)&gt;1,"同じ月の請求が重複しています／",""),"")&amp;IF(AND(N($E578)&gt;0,$AB578&lt;&gt;"",$AB578&lt;&gt;"×",$AE578=0,$AD578=""),"計算額が下限以下のため不支給／",""))</f>
        <v/>
      </c>
      <c r="AN578" s="12" t="n"/>
      <c r="AO578" s="14">
        <f>IF($AF578="保留中",COUNTIF($AF$6:$AF578,"保留中"),"")</f>
        <v/>
      </c>
      <c r="AP578" s="14">
        <f>IF($AQ578="","",IF(SUMPRODUCT(MAX((職員マスタ!$A$6:$A$405=$B578)*(((職員マスタ!$G$6:$G$405="")+(職員マスタ!$G$6:$G$405&lt;=EOMONTH($AQ578,0)))&gt;0)*(((職員マスタ!$H$6:$H$405="")+(職員マスタ!$H$6:$H$405&gt;=$AQ578))&gt;0)*(ROW(職員マスタ!$A$6:$A$405)-5)))&gt;0,SUMPRODUCT(MAX((職員マスタ!$A$6:$A$405=$B578)*(((職員マスタ!$G$6:$G$405="")+(職員マスタ!$G$6:$G$405&lt;=EOMONTH($AQ578,0)))&gt;0)*(((職員マスタ!$H$6:$H$405="")+(職員マスタ!$H$6:$H$405&gt;=$AQ578))&gt;0)*(ROW(職員マスタ!$A$6:$A$405)-5))),IFERROR(MATCH($B578,職員マスタ!$A$6:$A$405,0),"")))</f>
        <v/>
      </c>
      <c r="AQ578" s="16">
        <f>IF(OR($B578="",$C578="",$D578=""),"",DATE($C578+2018,$D578,1))</f>
        <v/>
      </c>
    </row>
    <row r="579">
      <c r="A579" s="11" t="n"/>
      <c r="B579" s="12" t="n"/>
      <c r="C579" s="12" t="n"/>
      <c r="D579" s="12" t="n"/>
      <c r="E579" s="13" t="n"/>
      <c r="F579" s="12" t="n"/>
      <c r="G579" s="13" t="n"/>
      <c r="H579" s="12" t="n"/>
      <c r="I579" s="12" t="n"/>
      <c r="J579" s="12" t="n"/>
      <c r="K579" s="12" t="n"/>
      <c r="L579" s="11" t="n"/>
      <c r="M579" s="11" t="n"/>
      <c r="N579" s="11" t="n"/>
      <c r="O579" s="11" t="n"/>
      <c r="P579" s="12" t="n"/>
      <c r="Q579" s="11" t="n"/>
      <c r="R579" s="12" t="n"/>
      <c r="S579" s="11" t="n"/>
      <c r="T579" s="12" t="n"/>
      <c r="U579" s="12" t="n"/>
      <c r="V579" s="12" t="n"/>
      <c r="W579" s="13" t="n"/>
      <c r="X579" s="14">
        <f>IF($AP579="",IF($B579="","",$H579),IF(INDEX(職員マスタ!$B$6:$B$405,$AP579)="",$H579,INDEX(職員マスタ!$B$6:$B$405,$AP579)))</f>
        <v/>
      </c>
      <c r="Y579" s="14">
        <f>IF($AP579="",IF($B579="","",$R579),IF(INDEX(職員マスタ!$C$6:$C$405,$AP579)="",$R579,INDEX(職員マスタ!$C$6:$C$405,$AP579)))</f>
        <v/>
      </c>
      <c r="Z579" s="14">
        <f>IF($AQ579="","","R"&amp;$C579&amp;"."&amp;$D579)</f>
        <v/>
      </c>
      <c r="AA579" s="15">
        <f>IF(IF($AP579="",FALSE,INDEX(職員マスタ!$K$6:$K$405,$AP579)&lt;&gt;""),INDEX(職員マスタ!$K$6:$K$405,$AP579),IF(N($W579)&gt;0,$W579,""))</f>
        <v/>
      </c>
      <c r="AB579" s="14">
        <f>IF(OR($E579="",$AA579=""),"",IF($E579&gt;=$AA579,"×",IF($E579&gt;=$AA579*設定!$C$5,"△","○")))</f>
        <v/>
      </c>
      <c r="AC579" s="15">
        <f>IF($AB579="","",IF($AB579="×",0,IF($AB579="○",ROUNDDOWN($E579*設定!$C$4,0),ROUNDDOWN($E579*ROUND((9*$AA579-9*$E579)/(10*$E579),4),0))))</f>
        <v/>
      </c>
      <c r="AD579" s="13" t="n"/>
      <c r="AE579" s="15">
        <f>IF($B579="","",IF($AD579&lt;&gt;"",$AD579,IF($AC579="","",IF($AC579&lt;=設定!$C$3,0,$AC579))))</f>
        <v/>
      </c>
      <c r="AF579" s="14">
        <f>IF($B579="","",IF(AND($AG579&lt;&gt;"",$AI579="",$AL579=""),"保留中",IF($AL579&lt;&gt;"",IF(N($AE579)&gt;0,"支給済","不支給"),IF($AE579="","要確認",IF($AE579=0,"不支給","未処理")))))</f>
        <v/>
      </c>
      <c r="AG579" s="12" t="n"/>
      <c r="AH579" s="11" t="n"/>
      <c r="AI579" s="11" t="n"/>
      <c r="AJ579" s="11" t="n"/>
      <c r="AK579" s="14">
        <f>IF(AND($AF579="保留中",$AH579&lt;&gt;""),TODAY()-$AH579,"")</f>
        <v/>
      </c>
      <c r="AL579" s="12" t="n"/>
      <c r="AM579" s="14">
        <f>IF($B579="","",IF($AQ579="","対象年月が未入力／","")&amp;IF($B579="","",IF($AP579="","職員マスタに未登録の職員番号／",IF($AA579="","標準報酬月額が未登録／","")&amp;IF(AND($AQ579&lt;&gt;"",OR(AND(INDEX(職員マスタ!$G$6:$G$405,$AP579)&lt;&gt;"",INDEX(職員マスタ!$G$6:$G$405,$AP579)&gt;EOMONTH($AQ579,0)),AND(INDEX(職員マスタ!$H$6:$H$405,$AP579)&lt;&gt;"",INDEX(職員マスタ!$H$6:$H$405,$AP579)&lt;$AQ579))),"対象月が時短期間外／","")&amp;IF(AND(INDEX(職員マスタ!$K$6:$K$405,$AP579)&lt;&gt;"",N($W579)&gt;0,INDEX(職員マスタ!$K$6:$K$405,$AP579)&lt;&gt;$W579),"標準報酬月額が申請書と相違（台帳"&amp;TEXT(INDEX(職員マスタ!$K$6:$K$405,$AP579),"#,##0")&amp;"円／申請書"&amp;TEXT($W579,"#,##0")&amp;"円）／","")&amp;IF(AND(INDEX(職員マスタ!$F$6:$F$405,$AP579)&lt;&gt;"",$AQ579&lt;&gt;"",INDEX(職員マスタ!$F$6:$F$405,$AP579)&lt;$AQ579),"対象月に子が2歳到達済／","")&amp;IF(AND($H579&lt;&gt;"",INDEX(職員マスタ!$B$6:$B$405,$AP579)&lt;&gt;"",SUBSTITUTE(SUBSTITUTE($H579," ","")," ","")&lt;&gt;SUBSTITUTE(SUBSTITUTE(INDEX(職員マスタ!$B$6:$B$405,$AP579)," ","")," ","")),"氏名がマスタと相違／","")&amp;IF(AND($Q579&lt;&gt;"",INDEX(職員マスタ!$E$6:$E$405,$AP579)&lt;&gt;"",$Q579&lt;&gt;INDEX(職員マスタ!$E$6:$E$405,$AP579)),"子の生年月日がマスタと相違／","")&amp;IF(AND($L579&lt;&gt;"",INDEX(職員マスタ!$G$6:$G$405,$AP579)&lt;&gt;"",$L579&lt;&gt;INDEX(職員マスタ!$G$6:$G$405,$AP579)),"時短開始日がマスタと相違／","")&amp;IF(AND($M579&lt;&gt;"",INDEX(職員マスタ!$H$6:$H$405,$AP579)&lt;&gt;"",$M579&lt;&gt;INDEX(職員マスタ!$H$6:$H$405,$AP579)),"時短終了日がマスタと相違／","")))&amp;IF(AND($B579&lt;&gt;"",$E579=""),"報酬額が未入力／","")&amp;IF(N($U579)&gt;0,"申請書に入力エラーが残っています／","")&amp;IF(AND($B579&lt;&gt;"",$AQ579&lt;&gt;""),IF(COUNTIFS($B$6:$B$3005,$B579,$C$6:$C$3005,$C579,$D$6:$D$3005,$D579)&gt;1,"同じ月の請求が重複しています／",""),"")&amp;IF(AND(N($E579)&gt;0,$AB579&lt;&gt;"",$AB579&lt;&gt;"×",$AE579=0,$AD579=""),"計算額が下限以下のため不支給／",""))</f>
        <v/>
      </c>
      <c r="AN579" s="12" t="n"/>
      <c r="AO579" s="14">
        <f>IF($AF579="保留中",COUNTIF($AF$6:$AF579,"保留中"),"")</f>
        <v/>
      </c>
      <c r="AP579" s="14">
        <f>IF($AQ579="","",IF(SUMPRODUCT(MAX((職員マスタ!$A$6:$A$405=$B579)*(((職員マスタ!$G$6:$G$405="")+(職員マスタ!$G$6:$G$405&lt;=EOMONTH($AQ579,0)))&gt;0)*(((職員マスタ!$H$6:$H$405="")+(職員マスタ!$H$6:$H$405&gt;=$AQ579))&gt;0)*(ROW(職員マスタ!$A$6:$A$405)-5)))&gt;0,SUMPRODUCT(MAX((職員マスタ!$A$6:$A$405=$B579)*(((職員マスタ!$G$6:$G$405="")+(職員マスタ!$G$6:$G$405&lt;=EOMONTH($AQ579,0)))&gt;0)*(((職員マスタ!$H$6:$H$405="")+(職員マスタ!$H$6:$H$405&gt;=$AQ579))&gt;0)*(ROW(職員マスタ!$A$6:$A$405)-5))),IFERROR(MATCH($B579,職員マスタ!$A$6:$A$405,0),"")))</f>
        <v/>
      </c>
      <c r="AQ579" s="16">
        <f>IF(OR($B579="",$C579="",$D579=""),"",DATE($C579+2018,$D579,1))</f>
        <v/>
      </c>
    </row>
    <row r="580">
      <c r="A580" s="11" t="n"/>
      <c r="B580" s="12" t="n"/>
      <c r="C580" s="12" t="n"/>
      <c r="D580" s="12" t="n"/>
      <c r="E580" s="13" t="n"/>
      <c r="F580" s="12" t="n"/>
      <c r="G580" s="13" t="n"/>
      <c r="H580" s="12" t="n"/>
      <c r="I580" s="12" t="n"/>
      <c r="J580" s="12" t="n"/>
      <c r="K580" s="12" t="n"/>
      <c r="L580" s="11" t="n"/>
      <c r="M580" s="11" t="n"/>
      <c r="N580" s="11" t="n"/>
      <c r="O580" s="11" t="n"/>
      <c r="P580" s="12" t="n"/>
      <c r="Q580" s="11" t="n"/>
      <c r="R580" s="12" t="n"/>
      <c r="S580" s="11" t="n"/>
      <c r="T580" s="12" t="n"/>
      <c r="U580" s="12" t="n"/>
      <c r="V580" s="12" t="n"/>
      <c r="W580" s="13" t="n"/>
      <c r="X580" s="14">
        <f>IF($AP580="",IF($B580="","",$H580),IF(INDEX(職員マスタ!$B$6:$B$405,$AP580)="",$H580,INDEX(職員マスタ!$B$6:$B$405,$AP580)))</f>
        <v/>
      </c>
      <c r="Y580" s="14">
        <f>IF($AP580="",IF($B580="","",$R580),IF(INDEX(職員マスタ!$C$6:$C$405,$AP580)="",$R580,INDEX(職員マスタ!$C$6:$C$405,$AP580)))</f>
        <v/>
      </c>
      <c r="Z580" s="14">
        <f>IF($AQ580="","","R"&amp;$C580&amp;"."&amp;$D580)</f>
        <v/>
      </c>
      <c r="AA580" s="15">
        <f>IF(IF($AP580="",FALSE,INDEX(職員マスタ!$K$6:$K$405,$AP580)&lt;&gt;""),INDEX(職員マスタ!$K$6:$K$405,$AP580),IF(N($W580)&gt;0,$W580,""))</f>
        <v/>
      </c>
      <c r="AB580" s="14">
        <f>IF(OR($E580="",$AA580=""),"",IF($E580&gt;=$AA580,"×",IF($E580&gt;=$AA580*設定!$C$5,"△","○")))</f>
        <v/>
      </c>
      <c r="AC580" s="15">
        <f>IF($AB580="","",IF($AB580="×",0,IF($AB580="○",ROUNDDOWN($E580*設定!$C$4,0),ROUNDDOWN($E580*ROUND((9*$AA580-9*$E580)/(10*$E580),4),0))))</f>
        <v/>
      </c>
      <c r="AD580" s="13" t="n"/>
      <c r="AE580" s="15">
        <f>IF($B580="","",IF($AD580&lt;&gt;"",$AD580,IF($AC580="","",IF($AC580&lt;=設定!$C$3,0,$AC580))))</f>
        <v/>
      </c>
      <c r="AF580" s="14">
        <f>IF($B580="","",IF(AND($AG580&lt;&gt;"",$AI580="",$AL580=""),"保留中",IF($AL580&lt;&gt;"",IF(N($AE580)&gt;0,"支給済","不支給"),IF($AE580="","要確認",IF($AE580=0,"不支給","未処理")))))</f>
        <v/>
      </c>
      <c r="AG580" s="12" t="n"/>
      <c r="AH580" s="11" t="n"/>
      <c r="AI580" s="11" t="n"/>
      <c r="AJ580" s="11" t="n"/>
      <c r="AK580" s="14">
        <f>IF(AND($AF580="保留中",$AH580&lt;&gt;""),TODAY()-$AH580,"")</f>
        <v/>
      </c>
      <c r="AL580" s="12" t="n"/>
      <c r="AM580" s="14">
        <f>IF($B580="","",IF($AQ580="","対象年月が未入力／","")&amp;IF($B580="","",IF($AP580="","職員マスタに未登録の職員番号／",IF($AA580="","標準報酬月額が未登録／","")&amp;IF(AND($AQ580&lt;&gt;"",OR(AND(INDEX(職員マスタ!$G$6:$G$405,$AP580)&lt;&gt;"",INDEX(職員マスタ!$G$6:$G$405,$AP580)&gt;EOMONTH($AQ580,0)),AND(INDEX(職員マスタ!$H$6:$H$405,$AP580)&lt;&gt;"",INDEX(職員マスタ!$H$6:$H$405,$AP580)&lt;$AQ580))),"対象月が時短期間外／","")&amp;IF(AND(INDEX(職員マスタ!$K$6:$K$405,$AP580)&lt;&gt;"",N($W580)&gt;0,INDEX(職員マスタ!$K$6:$K$405,$AP580)&lt;&gt;$W580),"標準報酬月額が申請書と相違（台帳"&amp;TEXT(INDEX(職員マスタ!$K$6:$K$405,$AP580),"#,##0")&amp;"円／申請書"&amp;TEXT($W580,"#,##0")&amp;"円）／","")&amp;IF(AND(INDEX(職員マスタ!$F$6:$F$405,$AP580)&lt;&gt;"",$AQ580&lt;&gt;"",INDEX(職員マスタ!$F$6:$F$405,$AP580)&lt;$AQ580),"対象月に子が2歳到達済／","")&amp;IF(AND($H580&lt;&gt;"",INDEX(職員マスタ!$B$6:$B$405,$AP580)&lt;&gt;"",SUBSTITUTE(SUBSTITUTE($H580," ","")," ","")&lt;&gt;SUBSTITUTE(SUBSTITUTE(INDEX(職員マスタ!$B$6:$B$405,$AP580)," ","")," ","")),"氏名がマスタと相違／","")&amp;IF(AND($Q580&lt;&gt;"",INDEX(職員マスタ!$E$6:$E$405,$AP580)&lt;&gt;"",$Q580&lt;&gt;INDEX(職員マスタ!$E$6:$E$405,$AP580)),"子の生年月日がマスタと相違／","")&amp;IF(AND($L580&lt;&gt;"",INDEX(職員マスタ!$G$6:$G$405,$AP580)&lt;&gt;"",$L580&lt;&gt;INDEX(職員マスタ!$G$6:$G$405,$AP580)),"時短開始日がマスタと相違／","")&amp;IF(AND($M580&lt;&gt;"",INDEX(職員マスタ!$H$6:$H$405,$AP580)&lt;&gt;"",$M580&lt;&gt;INDEX(職員マスタ!$H$6:$H$405,$AP580)),"時短終了日がマスタと相違／","")))&amp;IF(AND($B580&lt;&gt;"",$E580=""),"報酬額が未入力／","")&amp;IF(N($U580)&gt;0,"申請書に入力エラーが残っています／","")&amp;IF(AND($B580&lt;&gt;"",$AQ580&lt;&gt;""),IF(COUNTIFS($B$6:$B$3005,$B580,$C$6:$C$3005,$C580,$D$6:$D$3005,$D580)&gt;1,"同じ月の請求が重複しています／",""),"")&amp;IF(AND(N($E580)&gt;0,$AB580&lt;&gt;"",$AB580&lt;&gt;"×",$AE580=0,$AD580=""),"計算額が下限以下のため不支給／",""))</f>
        <v/>
      </c>
      <c r="AN580" s="12" t="n"/>
      <c r="AO580" s="14">
        <f>IF($AF580="保留中",COUNTIF($AF$6:$AF580,"保留中"),"")</f>
        <v/>
      </c>
      <c r="AP580" s="14">
        <f>IF($AQ580="","",IF(SUMPRODUCT(MAX((職員マスタ!$A$6:$A$405=$B580)*(((職員マスタ!$G$6:$G$405="")+(職員マスタ!$G$6:$G$405&lt;=EOMONTH($AQ580,0)))&gt;0)*(((職員マスタ!$H$6:$H$405="")+(職員マスタ!$H$6:$H$405&gt;=$AQ580))&gt;0)*(ROW(職員マスタ!$A$6:$A$405)-5)))&gt;0,SUMPRODUCT(MAX((職員マスタ!$A$6:$A$405=$B580)*(((職員マスタ!$G$6:$G$405="")+(職員マスタ!$G$6:$G$405&lt;=EOMONTH($AQ580,0)))&gt;0)*(((職員マスタ!$H$6:$H$405="")+(職員マスタ!$H$6:$H$405&gt;=$AQ580))&gt;0)*(ROW(職員マスタ!$A$6:$A$405)-5))),IFERROR(MATCH($B580,職員マスタ!$A$6:$A$405,0),"")))</f>
        <v/>
      </c>
      <c r="AQ580" s="16">
        <f>IF(OR($B580="",$C580="",$D580=""),"",DATE($C580+2018,$D580,1))</f>
        <v/>
      </c>
    </row>
    <row r="581">
      <c r="A581" s="11" t="n"/>
      <c r="B581" s="12" t="n"/>
      <c r="C581" s="12" t="n"/>
      <c r="D581" s="12" t="n"/>
      <c r="E581" s="13" t="n"/>
      <c r="F581" s="12" t="n"/>
      <c r="G581" s="13" t="n"/>
      <c r="H581" s="12" t="n"/>
      <c r="I581" s="12" t="n"/>
      <c r="J581" s="12" t="n"/>
      <c r="K581" s="12" t="n"/>
      <c r="L581" s="11" t="n"/>
      <c r="M581" s="11" t="n"/>
      <c r="N581" s="11" t="n"/>
      <c r="O581" s="11" t="n"/>
      <c r="P581" s="12" t="n"/>
      <c r="Q581" s="11" t="n"/>
      <c r="R581" s="12" t="n"/>
      <c r="S581" s="11" t="n"/>
      <c r="T581" s="12" t="n"/>
      <c r="U581" s="12" t="n"/>
      <c r="V581" s="12" t="n"/>
      <c r="W581" s="13" t="n"/>
      <c r="X581" s="14">
        <f>IF($AP581="",IF($B581="","",$H581),IF(INDEX(職員マスタ!$B$6:$B$405,$AP581)="",$H581,INDEX(職員マスタ!$B$6:$B$405,$AP581)))</f>
        <v/>
      </c>
      <c r="Y581" s="14">
        <f>IF($AP581="",IF($B581="","",$R581),IF(INDEX(職員マスタ!$C$6:$C$405,$AP581)="",$R581,INDEX(職員マスタ!$C$6:$C$405,$AP581)))</f>
        <v/>
      </c>
      <c r="Z581" s="14">
        <f>IF($AQ581="","","R"&amp;$C581&amp;"."&amp;$D581)</f>
        <v/>
      </c>
      <c r="AA581" s="15">
        <f>IF(IF($AP581="",FALSE,INDEX(職員マスタ!$K$6:$K$405,$AP581)&lt;&gt;""),INDEX(職員マスタ!$K$6:$K$405,$AP581),IF(N($W581)&gt;0,$W581,""))</f>
        <v/>
      </c>
      <c r="AB581" s="14">
        <f>IF(OR($E581="",$AA581=""),"",IF($E581&gt;=$AA581,"×",IF($E581&gt;=$AA581*設定!$C$5,"△","○")))</f>
        <v/>
      </c>
      <c r="AC581" s="15">
        <f>IF($AB581="","",IF($AB581="×",0,IF($AB581="○",ROUNDDOWN($E581*設定!$C$4,0),ROUNDDOWN($E581*ROUND((9*$AA581-9*$E581)/(10*$E581),4),0))))</f>
        <v/>
      </c>
      <c r="AD581" s="13" t="n"/>
      <c r="AE581" s="15">
        <f>IF($B581="","",IF($AD581&lt;&gt;"",$AD581,IF($AC581="","",IF($AC581&lt;=設定!$C$3,0,$AC581))))</f>
        <v/>
      </c>
      <c r="AF581" s="14">
        <f>IF($B581="","",IF(AND($AG581&lt;&gt;"",$AI581="",$AL581=""),"保留中",IF($AL581&lt;&gt;"",IF(N($AE581)&gt;0,"支給済","不支給"),IF($AE581="","要確認",IF($AE581=0,"不支給","未処理")))))</f>
        <v/>
      </c>
      <c r="AG581" s="12" t="n"/>
      <c r="AH581" s="11" t="n"/>
      <c r="AI581" s="11" t="n"/>
      <c r="AJ581" s="11" t="n"/>
      <c r="AK581" s="14">
        <f>IF(AND($AF581="保留中",$AH581&lt;&gt;""),TODAY()-$AH581,"")</f>
        <v/>
      </c>
      <c r="AL581" s="12" t="n"/>
      <c r="AM581" s="14">
        <f>IF($B581="","",IF($AQ581="","対象年月が未入力／","")&amp;IF($B581="","",IF($AP581="","職員マスタに未登録の職員番号／",IF($AA581="","標準報酬月額が未登録／","")&amp;IF(AND($AQ581&lt;&gt;"",OR(AND(INDEX(職員マスタ!$G$6:$G$405,$AP581)&lt;&gt;"",INDEX(職員マスタ!$G$6:$G$405,$AP581)&gt;EOMONTH($AQ581,0)),AND(INDEX(職員マスタ!$H$6:$H$405,$AP581)&lt;&gt;"",INDEX(職員マスタ!$H$6:$H$405,$AP581)&lt;$AQ581))),"対象月が時短期間外／","")&amp;IF(AND(INDEX(職員マスタ!$K$6:$K$405,$AP581)&lt;&gt;"",N($W581)&gt;0,INDEX(職員マスタ!$K$6:$K$405,$AP581)&lt;&gt;$W581),"標準報酬月額が申請書と相違（台帳"&amp;TEXT(INDEX(職員マスタ!$K$6:$K$405,$AP581),"#,##0")&amp;"円／申請書"&amp;TEXT($W581,"#,##0")&amp;"円）／","")&amp;IF(AND(INDEX(職員マスタ!$F$6:$F$405,$AP581)&lt;&gt;"",$AQ581&lt;&gt;"",INDEX(職員マスタ!$F$6:$F$405,$AP581)&lt;$AQ581),"対象月に子が2歳到達済／","")&amp;IF(AND($H581&lt;&gt;"",INDEX(職員マスタ!$B$6:$B$405,$AP581)&lt;&gt;"",SUBSTITUTE(SUBSTITUTE($H581," ","")," ","")&lt;&gt;SUBSTITUTE(SUBSTITUTE(INDEX(職員マスタ!$B$6:$B$405,$AP581)," ","")," ","")),"氏名がマスタと相違／","")&amp;IF(AND($Q581&lt;&gt;"",INDEX(職員マスタ!$E$6:$E$405,$AP581)&lt;&gt;"",$Q581&lt;&gt;INDEX(職員マスタ!$E$6:$E$405,$AP581)),"子の生年月日がマスタと相違／","")&amp;IF(AND($L581&lt;&gt;"",INDEX(職員マスタ!$G$6:$G$405,$AP581)&lt;&gt;"",$L581&lt;&gt;INDEX(職員マスタ!$G$6:$G$405,$AP581)),"時短開始日がマスタと相違／","")&amp;IF(AND($M581&lt;&gt;"",INDEX(職員マスタ!$H$6:$H$405,$AP581)&lt;&gt;"",$M581&lt;&gt;INDEX(職員マスタ!$H$6:$H$405,$AP581)),"時短終了日がマスタと相違／","")))&amp;IF(AND($B581&lt;&gt;"",$E581=""),"報酬額が未入力／","")&amp;IF(N($U581)&gt;0,"申請書に入力エラーが残っています／","")&amp;IF(AND($B581&lt;&gt;"",$AQ581&lt;&gt;""),IF(COUNTIFS($B$6:$B$3005,$B581,$C$6:$C$3005,$C581,$D$6:$D$3005,$D581)&gt;1,"同じ月の請求が重複しています／",""),"")&amp;IF(AND(N($E581)&gt;0,$AB581&lt;&gt;"",$AB581&lt;&gt;"×",$AE581=0,$AD581=""),"計算額が下限以下のため不支給／",""))</f>
        <v/>
      </c>
      <c r="AN581" s="12" t="n"/>
      <c r="AO581" s="14">
        <f>IF($AF581="保留中",COUNTIF($AF$6:$AF581,"保留中"),"")</f>
        <v/>
      </c>
      <c r="AP581" s="14">
        <f>IF($AQ581="","",IF(SUMPRODUCT(MAX((職員マスタ!$A$6:$A$405=$B581)*(((職員マスタ!$G$6:$G$405="")+(職員マスタ!$G$6:$G$405&lt;=EOMONTH($AQ581,0)))&gt;0)*(((職員マスタ!$H$6:$H$405="")+(職員マスタ!$H$6:$H$405&gt;=$AQ581))&gt;0)*(ROW(職員マスタ!$A$6:$A$405)-5)))&gt;0,SUMPRODUCT(MAX((職員マスタ!$A$6:$A$405=$B581)*(((職員マスタ!$G$6:$G$405="")+(職員マスタ!$G$6:$G$405&lt;=EOMONTH($AQ581,0)))&gt;0)*(((職員マスタ!$H$6:$H$405="")+(職員マスタ!$H$6:$H$405&gt;=$AQ581))&gt;0)*(ROW(職員マスタ!$A$6:$A$405)-5))),IFERROR(MATCH($B581,職員マスタ!$A$6:$A$405,0),"")))</f>
        <v/>
      </c>
      <c r="AQ581" s="16">
        <f>IF(OR($B581="",$C581="",$D581=""),"",DATE($C581+2018,$D581,1))</f>
        <v/>
      </c>
    </row>
    <row r="582">
      <c r="A582" s="11" t="n"/>
      <c r="B582" s="12" t="n"/>
      <c r="C582" s="12" t="n"/>
      <c r="D582" s="12" t="n"/>
      <c r="E582" s="13" t="n"/>
      <c r="F582" s="12" t="n"/>
      <c r="G582" s="13" t="n"/>
      <c r="H582" s="12" t="n"/>
      <c r="I582" s="12" t="n"/>
      <c r="J582" s="12" t="n"/>
      <c r="K582" s="12" t="n"/>
      <c r="L582" s="11" t="n"/>
      <c r="M582" s="11" t="n"/>
      <c r="N582" s="11" t="n"/>
      <c r="O582" s="11" t="n"/>
      <c r="P582" s="12" t="n"/>
      <c r="Q582" s="11" t="n"/>
      <c r="R582" s="12" t="n"/>
      <c r="S582" s="11" t="n"/>
      <c r="T582" s="12" t="n"/>
      <c r="U582" s="12" t="n"/>
      <c r="V582" s="12" t="n"/>
      <c r="W582" s="13" t="n"/>
      <c r="X582" s="14">
        <f>IF($AP582="",IF($B582="","",$H582),IF(INDEX(職員マスタ!$B$6:$B$405,$AP582)="",$H582,INDEX(職員マスタ!$B$6:$B$405,$AP582)))</f>
        <v/>
      </c>
      <c r="Y582" s="14">
        <f>IF($AP582="",IF($B582="","",$R582),IF(INDEX(職員マスタ!$C$6:$C$405,$AP582)="",$R582,INDEX(職員マスタ!$C$6:$C$405,$AP582)))</f>
        <v/>
      </c>
      <c r="Z582" s="14">
        <f>IF($AQ582="","","R"&amp;$C582&amp;"."&amp;$D582)</f>
        <v/>
      </c>
      <c r="AA582" s="15">
        <f>IF(IF($AP582="",FALSE,INDEX(職員マスタ!$K$6:$K$405,$AP582)&lt;&gt;""),INDEX(職員マスタ!$K$6:$K$405,$AP582),IF(N($W582)&gt;0,$W582,""))</f>
        <v/>
      </c>
      <c r="AB582" s="14">
        <f>IF(OR($E582="",$AA582=""),"",IF($E582&gt;=$AA582,"×",IF($E582&gt;=$AA582*設定!$C$5,"△","○")))</f>
        <v/>
      </c>
      <c r="AC582" s="15">
        <f>IF($AB582="","",IF($AB582="×",0,IF($AB582="○",ROUNDDOWN($E582*設定!$C$4,0),ROUNDDOWN($E582*ROUND((9*$AA582-9*$E582)/(10*$E582),4),0))))</f>
        <v/>
      </c>
      <c r="AD582" s="13" t="n"/>
      <c r="AE582" s="15">
        <f>IF($B582="","",IF($AD582&lt;&gt;"",$AD582,IF($AC582="","",IF($AC582&lt;=設定!$C$3,0,$AC582))))</f>
        <v/>
      </c>
      <c r="AF582" s="14">
        <f>IF($B582="","",IF(AND($AG582&lt;&gt;"",$AI582="",$AL582=""),"保留中",IF($AL582&lt;&gt;"",IF(N($AE582)&gt;0,"支給済","不支給"),IF($AE582="","要確認",IF($AE582=0,"不支給","未処理")))))</f>
        <v/>
      </c>
      <c r="AG582" s="12" t="n"/>
      <c r="AH582" s="11" t="n"/>
      <c r="AI582" s="11" t="n"/>
      <c r="AJ582" s="11" t="n"/>
      <c r="AK582" s="14">
        <f>IF(AND($AF582="保留中",$AH582&lt;&gt;""),TODAY()-$AH582,"")</f>
        <v/>
      </c>
      <c r="AL582" s="12" t="n"/>
      <c r="AM582" s="14">
        <f>IF($B582="","",IF($AQ582="","対象年月が未入力／","")&amp;IF($B582="","",IF($AP582="","職員マスタに未登録の職員番号／",IF($AA582="","標準報酬月額が未登録／","")&amp;IF(AND($AQ582&lt;&gt;"",OR(AND(INDEX(職員マスタ!$G$6:$G$405,$AP582)&lt;&gt;"",INDEX(職員マスタ!$G$6:$G$405,$AP582)&gt;EOMONTH($AQ582,0)),AND(INDEX(職員マスタ!$H$6:$H$405,$AP582)&lt;&gt;"",INDEX(職員マスタ!$H$6:$H$405,$AP582)&lt;$AQ582))),"対象月が時短期間外／","")&amp;IF(AND(INDEX(職員マスタ!$K$6:$K$405,$AP582)&lt;&gt;"",N($W582)&gt;0,INDEX(職員マスタ!$K$6:$K$405,$AP582)&lt;&gt;$W582),"標準報酬月額が申請書と相違（台帳"&amp;TEXT(INDEX(職員マスタ!$K$6:$K$405,$AP582),"#,##0")&amp;"円／申請書"&amp;TEXT($W582,"#,##0")&amp;"円）／","")&amp;IF(AND(INDEX(職員マスタ!$F$6:$F$405,$AP582)&lt;&gt;"",$AQ582&lt;&gt;"",INDEX(職員マスタ!$F$6:$F$405,$AP582)&lt;$AQ582),"対象月に子が2歳到達済／","")&amp;IF(AND($H582&lt;&gt;"",INDEX(職員マスタ!$B$6:$B$405,$AP582)&lt;&gt;"",SUBSTITUTE(SUBSTITUTE($H582," ","")," ","")&lt;&gt;SUBSTITUTE(SUBSTITUTE(INDEX(職員マスタ!$B$6:$B$405,$AP582)," ","")," ","")),"氏名がマスタと相違／","")&amp;IF(AND($Q582&lt;&gt;"",INDEX(職員マスタ!$E$6:$E$405,$AP582)&lt;&gt;"",$Q582&lt;&gt;INDEX(職員マスタ!$E$6:$E$405,$AP582)),"子の生年月日がマスタと相違／","")&amp;IF(AND($L582&lt;&gt;"",INDEX(職員マスタ!$G$6:$G$405,$AP582)&lt;&gt;"",$L582&lt;&gt;INDEX(職員マスタ!$G$6:$G$405,$AP582)),"時短開始日がマスタと相違／","")&amp;IF(AND($M582&lt;&gt;"",INDEX(職員マスタ!$H$6:$H$405,$AP582)&lt;&gt;"",$M582&lt;&gt;INDEX(職員マスタ!$H$6:$H$405,$AP582)),"時短終了日がマスタと相違／","")))&amp;IF(AND($B582&lt;&gt;"",$E582=""),"報酬額が未入力／","")&amp;IF(N($U582)&gt;0,"申請書に入力エラーが残っています／","")&amp;IF(AND($B582&lt;&gt;"",$AQ582&lt;&gt;""),IF(COUNTIFS($B$6:$B$3005,$B582,$C$6:$C$3005,$C582,$D$6:$D$3005,$D582)&gt;1,"同じ月の請求が重複しています／",""),"")&amp;IF(AND(N($E582)&gt;0,$AB582&lt;&gt;"",$AB582&lt;&gt;"×",$AE582=0,$AD582=""),"計算額が下限以下のため不支給／",""))</f>
        <v/>
      </c>
      <c r="AN582" s="12" t="n"/>
      <c r="AO582" s="14">
        <f>IF($AF582="保留中",COUNTIF($AF$6:$AF582,"保留中"),"")</f>
        <v/>
      </c>
      <c r="AP582" s="14">
        <f>IF($AQ582="","",IF(SUMPRODUCT(MAX((職員マスタ!$A$6:$A$405=$B582)*(((職員マスタ!$G$6:$G$405="")+(職員マスタ!$G$6:$G$405&lt;=EOMONTH($AQ582,0)))&gt;0)*(((職員マスタ!$H$6:$H$405="")+(職員マスタ!$H$6:$H$405&gt;=$AQ582))&gt;0)*(ROW(職員マスタ!$A$6:$A$405)-5)))&gt;0,SUMPRODUCT(MAX((職員マスタ!$A$6:$A$405=$B582)*(((職員マスタ!$G$6:$G$405="")+(職員マスタ!$G$6:$G$405&lt;=EOMONTH($AQ582,0)))&gt;0)*(((職員マスタ!$H$6:$H$405="")+(職員マスタ!$H$6:$H$405&gt;=$AQ582))&gt;0)*(ROW(職員マスタ!$A$6:$A$405)-5))),IFERROR(MATCH($B582,職員マスタ!$A$6:$A$405,0),"")))</f>
        <v/>
      </c>
      <c r="AQ582" s="16">
        <f>IF(OR($B582="",$C582="",$D582=""),"",DATE($C582+2018,$D582,1))</f>
        <v/>
      </c>
    </row>
    <row r="583">
      <c r="A583" s="11" t="n"/>
      <c r="B583" s="12" t="n"/>
      <c r="C583" s="12" t="n"/>
      <c r="D583" s="12" t="n"/>
      <c r="E583" s="13" t="n"/>
      <c r="F583" s="12" t="n"/>
      <c r="G583" s="13" t="n"/>
      <c r="H583" s="12" t="n"/>
      <c r="I583" s="12" t="n"/>
      <c r="J583" s="12" t="n"/>
      <c r="K583" s="12" t="n"/>
      <c r="L583" s="11" t="n"/>
      <c r="M583" s="11" t="n"/>
      <c r="N583" s="11" t="n"/>
      <c r="O583" s="11" t="n"/>
      <c r="P583" s="12" t="n"/>
      <c r="Q583" s="11" t="n"/>
      <c r="R583" s="12" t="n"/>
      <c r="S583" s="11" t="n"/>
      <c r="T583" s="12" t="n"/>
      <c r="U583" s="12" t="n"/>
      <c r="V583" s="12" t="n"/>
      <c r="W583" s="13" t="n"/>
      <c r="X583" s="14">
        <f>IF($AP583="",IF($B583="","",$H583),IF(INDEX(職員マスタ!$B$6:$B$405,$AP583)="",$H583,INDEX(職員マスタ!$B$6:$B$405,$AP583)))</f>
        <v/>
      </c>
      <c r="Y583" s="14">
        <f>IF($AP583="",IF($B583="","",$R583),IF(INDEX(職員マスタ!$C$6:$C$405,$AP583)="",$R583,INDEX(職員マスタ!$C$6:$C$405,$AP583)))</f>
        <v/>
      </c>
      <c r="Z583" s="14">
        <f>IF($AQ583="","","R"&amp;$C583&amp;"."&amp;$D583)</f>
        <v/>
      </c>
      <c r="AA583" s="15">
        <f>IF(IF($AP583="",FALSE,INDEX(職員マスタ!$K$6:$K$405,$AP583)&lt;&gt;""),INDEX(職員マスタ!$K$6:$K$405,$AP583),IF(N($W583)&gt;0,$W583,""))</f>
        <v/>
      </c>
      <c r="AB583" s="14">
        <f>IF(OR($E583="",$AA583=""),"",IF($E583&gt;=$AA583,"×",IF($E583&gt;=$AA583*設定!$C$5,"△","○")))</f>
        <v/>
      </c>
      <c r="AC583" s="15">
        <f>IF($AB583="","",IF($AB583="×",0,IF($AB583="○",ROUNDDOWN($E583*設定!$C$4,0),ROUNDDOWN($E583*ROUND((9*$AA583-9*$E583)/(10*$E583),4),0))))</f>
        <v/>
      </c>
      <c r="AD583" s="13" t="n"/>
      <c r="AE583" s="15">
        <f>IF($B583="","",IF($AD583&lt;&gt;"",$AD583,IF($AC583="","",IF($AC583&lt;=設定!$C$3,0,$AC583))))</f>
        <v/>
      </c>
      <c r="AF583" s="14">
        <f>IF($B583="","",IF(AND($AG583&lt;&gt;"",$AI583="",$AL583=""),"保留中",IF($AL583&lt;&gt;"",IF(N($AE583)&gt;0,"支給済","不支給"),IF($AE583="","要確認",IF($AE583=0,"不支給","未処理")))))</f>
        <v/>
      </c>
      <c r="AG583" s="12" t="n"/>
      <c r="AH583" s="11" t="n"/>
      <c r="AI583" s="11" t="n"/>
      <c r="AJ583" s="11" t="n"/>
      <c r="AK583" s="14">
        <f>IF(AND($AF583="保留中",$AH583&lt;&gt;""),TODAY()-$AH583,"")</f>
        <v/>
      </c>
      <c r="AL583" s="12" t="n"/>
      <c r="AM583" s="14">
        <f>IF($B583="","",IF($AQ583="","対象年月が未入力／","")&amp;IF($B583="","",IF($AP583="","職員マスタに未登録の職員番号／",IF($AA583="","標準報酬月額が未登録／","")&amp;IF(AND($AQ583&lt;&gt;"",OR(AND(INDEX(職員マスタ!$G$6:$G$405,$AP583)&lt;&gt;"",INDEX(職員マスタ!$G$6:$G$405,$AP583)&gt;EOMONTH($AQ583,0)),AND(INDEX(職員マスタ!$H$6:$H$405,$AP583)&lt;&gt;"",INDEX(職員マスタ!$H$6:$H$405,$AP583)&lt;$AQ583))),"対象月が時短期間外／","")&amp;IF(AND(INDEX(職員マスタ!$K$6:$K$405,$AP583)&lt;&gt;"",N($W583)&gt;0,INDEX(職員マスタ!$K$6:$K$405,$AP583)&lt;&gt;$W583),"標準報酬月額が申請書と相違（台帳"&amp;TEXT(INDEX(職員マスタ!$K$6:$K$405,$AP583),"#,##0")&amp;"円／申請書"&amp;TEXT($W583,"#,##0")&amp;"円）／","")&amp;IF(AND(INDEX(職員マスタ!$F$6:$F$405,$AP583)&lt;&gt;"",$AQ583&lt;&gt;"",INDEX(職員マスタ!$F$6:$F$405,$AP583)&lt;$AQ583),"対象月に子が2歳到達済／","")&amp;IF(AND($H583&lt;&gt;"",INDEX(職員マスタ!$B$6:$B$405,$AP583)&lt;&gt;"",SUBSTITUTE(SUBSTITUTE($H583," ","")," ","")&lt;&gt;SUBSTITUTE(SUBSTITUTE(INDEX(職員マスタ!$B$6:$B$405,$AP583)," ","")," ","")),"氏名がマスタと相違／","")&amp;IF(AND($Q583&lt;&gt;"",INDEX(職員マスタ!$E$6:$E$405,$AP583)&lt;&gt;"",$Q583&lt;&gt;INDEX(職員マスタ!$E$6:$E$405,$AP583)),"子の生年月日がマスタと相違／","")&amp;IF(AND($L583&lt;&gt;"",INDEX(職員マスタ!$G$6:$G$405,$AP583)&lt;&gt;"",$L583&lt;&gt;INDEX(職員マスタ!$G$6:$G$405,$AP583)),"時短開始日がマスタと相違／","")&amp;IF(AND($M583&lt;&gt;"",INDEX(職員マスタ!$H$6:$H$405,$AP583)&lt;&gt;"",$M583&lt;&gt;INDEX(職員マスタ!$H$6:$H$405,$AP583)),"時短終了日がマスタと相違／","")))&amp;IF(AND($B583&lt;&gt;"",$E583=""),"報酬額が未入力／","")&amp;IF(N($U583)&gt;0,"申請書に入力エラーが残っています／","")&amp;IF(AND($B583&lt;&gt;"",$AQ583&lt;&gt;""),IF(COUNTIFS($B$6:$B$3005,$B583,$C$6:$C$3005,$C583,$D$6:$D$3005,$D583)&gt;1,"同じ月の請求が重複しています／",""),"")&amp;IF(AND(N($E583)&gt;0,$AB583&lt;&gt;"",$AB583&lt;&gt;"×",$AE583=0,$AD583=""),"計算額が下限以下のため不支給／",""))</f>
        <v/>
      </c>
      <c r="AN583" s="12" t="n"/>
      <c r="AO583" s="14">
        <f>IF($AF583="保留中",COUNTIF($AF$6:$AF583,"保留中"),"")</f>
        <v/>
      </c>
      <c r="AP583" s="14">
        <f>IF($AQ583="","",IF(SUMPRODUCT(MAX((職員マスタ!$A$6:$A$405=$B583)*(((職員マスタ!$G$6:$G$405="")+(職員マスタ!$G$6:$G$405&lt;=EOMONTH($AQ583,0)))&gt;0)*(((職員マスタ!$H$6:$H$405="")+(職員マスタ!$H$6:$H$405&gt;=$AQ583))&gt;0)*(ROW(職員マスタ!$A$6:$A$405)-5)))&gt;0,SUMPRODUCT(MAX((職員マスタ!$A$6:$A$405=$B583)*(((職員マスタ!$G$6:$G$405="")+(職員マスタ!$G$6:$G$405&lt;=EOMONTH($AQ583,0)))&gt;0)*(((職員マスタ!$H$6:$H$405="")+(職員マスタ!$H$6:$H$405&gt;=$AQ583))&gt;0)*(ROW(職員マスタ!$A$6:$A$405)-5))),IFERROR(MATCH($B583,職員マスタ!$A$6:$A$405,0),"")))</f>
        <v/>
      </c>
      <c r="AQ583" s="16">
        <f>IF(OR($B583="",$C583="",$D583=""),"",DATE($C583+2018,$D583,1))</f>
        <v/>
      </c>
    </row>
    <row r="584">
      <c r="A584" s="11" t="n"/>
      <c r="B584" s="12" t="n"/>
      <c r="C584" s="12" t="n"/>
      <c r="D584" s="12" t="n"/>
      <c r="E584" s="13" t="n"/>
      <c r="F584" s="12" t="n"/>
      <c r="G584" s="13" t="n"/>
      <c r="H584" s="12" t="n"/>
      <c r="I584" s="12" t="n"/>
      <c r="J584" s="12" t="n"/>
      <c r="K584" s="12" t="n"/>
      <c r="L584" s="11" t="n"/>
      <c r="M584" s="11" t="n"/>
      <c r="N584" s="11" t="n"/>
      <c r="O584" s="11" t="n"/>
      <c r="P584" s="12" t="n"/>
      <c r="Q584" s="11" t="n"/>
      <c r="R584" s="12" t="n"/>
      <c r="S584" s="11" t="n"/>
      <c r="T584" s="12" t="n"/>
      <c r="U584" s="12" t="n"/>
      <c r="V584" s="12" t="n"/>
      <c r="W584" s="13" t="n"/>
      <c r="X584" s="14">
        <f>IF($AP584="",IF($B584="","",$H584),IF(INDEX(職員マスタ!$B$6:$B$405,$AP584)="",$H584,INDEX(職員マスタ!$B$6:$B$405,$AP584)))</f>
        <v/>
      </c>
      <c r="Y584" s="14">
        <f>IF($AP584="",IF($B584="","",$R584),IF(INDEX(職員マスタ!$C$6:$C$405,$AP584)="",$R584,INDEX(職員マスタ!$C$6:$C$405,$AP584)))</f>
        <v/>
      </c>
      <c r="Z584" s="14">
        <f>IF($AQ584="","","R"&amp;$C584&amp;"."&amp;$D584)</f>
        <v/>
      </c>
      <c r="AA584" s="15">
        <f>IF(IF($AP584="",FALSE,INDEX(職員マスタ!$K$6:$K$405,$AP584)&lt;&gt;""),INDEX(職員マスタ!$K$6:$K$405,$AP584),IF(N($W584)&gt;0,$W584,""))</f>
        <v/>
      </c>
      <c r="AB584" s="14">
        <f>IF(OR($E584="",$AA584=""),"",IF($E584&gt;=$AA584,"×",IF($E584&gt;=$AA584*設定!$C$5,"△","○")))</f>
        <v/>
      </c>
      <c r="AC584" s="15">
        <f>IF($AB584="","",IF($AB584="×",0,IF($AB584="○",ROUNDDOWN($E584*設定!$C$4,0),ROUNDDOWN($E584*ROUND((9*$AA584-9*$E584)/(10*$E584),4),0))))</f>
        <v/>
      </c>
      <c r="AD584" s="13" t="n"/>
      <c r="AE584" s="15">
        <f>IF($B584="","",IF($AD584&lt;&gt;"",$AD584,IF($AC584="","",IF($AC584&lt;=設定!$C$3,0,$AC584))))</f>
        <v/>
      </c>
      <c r="AF584" s="14">
        <f>IF($B584="","",IF(AND($AG584&lt;&gt;"",$AI584="",$AL584=""),"保留中",IF($AL584&lt;&gt;"",IF(N($AE584)&gt;0,"支給済","不支給"),IF($AE584="","要確認",IF($AE584=0,"不支給","未処理")))))</f>
        <v/>
      </c>
      <c r="AG584" s="12" t="n"/>
      <c r="AH584" s="11" t="n"/>
      <c r="AI584" s="11" t="n"/>
      <c r="AJ584" s="11" t="n"/>
      <c r="AK584" s="14">
        <f>IF(AND($AF584="保留中",$AH584&lt;&gt;""),TODAY()-$AH584,"")</f>
        <v/>
      </c>
      <c r="AL584" s="12" t="n"/>
      <c r="AM584" s="14">
        <f>IF($B584="","",IF($AQ584="","対象年月が未入力／","")&amp;IF($B584="","",IF($AP584="","職員マスタに未登録の職員番号／",IF($AA584="","標準報酬月額が未登録／","")&amp;IF(AND($AQ584&lt;&gt;"",OR(AND(INDEX(職員マスタ!$G$6:$G$405,$AP584)&lt;&gt;"",INDEX(職員マスタ!$G$6:$G$405,$AP584)&gt;EOMONTH($AQ584,0)),AND(INDEX(職員マスタ!$H$6:$H$405,$AP584)&lt;&gt;"",INDEX(職員マスタ!$H$6:$H$405,$AP584)&lt;$AQ584))),"対象月が時短期間外／","")&amp;IF(AND(INDEX(職員マスタ!$K$6:$K$405,$AP584)&lt;&gt;"",N($W584)&gt;0,INDEX(職員マスタ!$K$6:$K$405,$AP584)&lt;&gt;$W584),"標準報酬月額が申請書と相違（台帳"&amp;TEXT(INDEX(職員マスタ!$K$6:$K$405,$AP584),"#,##0")&amp;"円／申請書"&amp;TEXT($W584,"#,##0")&amp;"円）／","")&amp;IF(AND(INDEX(職員マスタ!$F$6:$F$405,$AP584)&lt;&gt;"",$AQ584&lt;&gt;"",INDEX(職員マスタ!$F$6:$F$405,$AP584)&lt;$AQ584),"対象月に子が2歳到達済／","")&amp;IF(AND($H584&lt;&gt;"",INDEX(職員マスタ!$B$6:$B$405,$AP584)&lt;&gt;"",SUBSTITUTE(SUBSTITUTE($H584," ","")," ","")&lt;&gt;SUBSTITUTE(SUBSTITUTE(INDEX(職員マスタ!$B$6:$B$405,$AP584)," ","")," ","")),"氏名がマスタと相違／","")&amp;IF(AND($Q584&lt;&gt;"",INDEX(職員マスタ!$E$6:$E$405,$AP584)&lt;&gt;"",$Q584&lt;&gt;INDEX(職員マスタ!$E$6:$E$405,$AP584)),"子の生年月日がマスタと相違／","")&amp;IF(AND($L584&lt;&gt;"",INDEX(職員マスタ!$G$6:$G$405,$AP584)&lt;&gt;"",$L584&lt;&gt;INDEX(職員マスタ!$G$6:$G$405,$AP584)),"時短開始日がマスタと相違／","")&amp;IF(AND($M584&lt;&gt;"",INDEX(職員マスタ!$H$6:$H$405,$AP584)&lt;&gt;"",$M584&lt;&gt;INDEX(職員マスタ!$H$6:$H$405,$AP584)),"時短終了日がマスタと相違／","")))&amp;IF(AND($B584&lt;&gt;"",$E584=""),"報酬額が未入力／","")&amp;IF(N($U584)&gt;0,"申請書に入力エラーが残っています／","")&amp;IF(AND($B584&lt;&gt;"",$AQ584&lt;&gt;""),IF(COUNTIFS($B$6:$B$3005,$B584,$C$6:$C$3005,$C584,$D$6:$D$3005,$D584)&gt;1,"同じ月の請求が重複しています／",""),"")&amp;IF(AND(N($E584)&gt;0,$AB584&lt;&gt;"",$AB584&lt;&gt;"×",$AE584=0,$AD584=""),"計算額が下限以下のため不支給／",""))</f>
        <v/>
      </c>
      <c r="AN584" s="12" t="n"/>
      <c r="AO584" s="14">
        <f>IF($AF584="保留中",COUNTIF($AF$6:$AF584,"保留中"),"")</f>
        <v/>
      </c>
      <c r="AP584" s="14">
        <f>IF($AQ584="","",IF(SUMPRODUCT(MAX((職員マスタ!$A$6:$A$405=$B584)*(((職員マスタ!$G$6:$G$405="")+(職員マスタ!$G$6:$G$405&lt;=EOMONTH($AQ584,0)))&gt;0)*(((職員マスタ!$H$6:$H$405="")+(職員マスタ!$H$6:$H$405&gt;=$AQ584))&gt;0)*(ROW(職員マスタ!$A$6:$A$405)-5)))&gt;0,SUMPRODUCT(MAX((職員マスタ!$A$6:$A$405=$B584)*(((職員マスタ!$G$6:$G$405="")+(職員マスタ!$G$6:$G$405&lt;=EOMONTH($AQ584,0)))&gt;0)*(((職員マスタ!$H$6:$H$405="")+(職員マスタ!$H$6:$H$405&gt;=$AQ584))&gt;0)*(ROW(職員マスタ!$A$6:$A$405)-5))),IFERROR(MATCH($B584,職員マスタ!$A$6:$A$405,0),"")))</f>
        <v/>
      </c>
      <c r="AQ584" s="16">
        <f>IF(OR($B584="",$C584="",$D584=""),"",DATE($C584+2018,$D584,1))</f>
        <v/>
      </c>
    </row>
    <row r="585">
      <c r="A585" s="11" t="n"/>
      <c r="B585" s="12" t="n"/>
      <c r="C585" s="12" t="n"/>
      <c r="D585" s="12" t="n"/>
      <c r="E585" s="13" t="n"/>
      <c r="F585" s="12" t="n"/>
      <c r="G585" s="13" t="n"/>
      <c r="H585" s="12" t="n"/>
      <c r="I585" s="12" t="n"/>
      <c r="J585" s="12" t="n"/>
      <c r="K585" s="12" t="n"/>
      <c r="L585" s="11" t="n"/>
      <c r="M585" s="11" t="n"/>
      <c r="N585" s="11" t="n"/>
      <c r="O585" s="11" t="n"/>
      <c r="P585" s="12" t="n"/>
      <c r="Q585" s="11" t="n"/>
      <c r="R585" s="12" t="n"/>
      <c r="S585" s="11" t="n"/>
      <c r="T585" s="12" t="n"/>
      <c r="U585" s="12" t="n"/>
      <c r="V585" s="12" t="n"/>
      <c r="W585" s="13" t="n"/>
      <c r="X585" s="14">
        <f>IF($AP585="",IF($B585="","",$H585),IF(INDEX(職員マスタ!$B$6:$B$405,$AP585)="",$H585,INDEX(職員マスタ!$B$6:$B$405,$AP585)))</f>
        <v/>
      </c>
      <c r="Y585" s="14">
        <f>IF($AP585="",IF($B585="","",$R585),IF(INDEX(職員マスタ!$C$6:$C$405,$AP585)="",$R585,INDEX(職員マスタ!$C$6:$C$405,$AP585)))</f>
        <v/>
      </c>
      <c r="Z585" s="14">
        <f>IF($AQ585="","","R"&amp;$C585&amp;"."&amp;$D585)</f>
        <v/>
      </c>
      <c r="AA585" s="15">
        <f>IF(IF($AP585="",FALSE,INDEX(職員マスタ!$K$6:$K$405,$AP585)&lt;&gt;""),INDEX(職員マスタ!$K$6:$K$405,$AP585),IF(N($W585)&gt;0,$W585,""))</f>
        <v/>
      </c>
      <c r="AB585" s="14">
        <f>IF(OR($E585="",$AA585=""),"",IF($E585&gt;=$AA585,"×",IF($E585&gt;=$AA585*設定!$C$5,"△","○")))</f>
        <v/>
      </c>
      <c r="AC585" s="15">
        <f>IF($AB585="","",IF($AB585="×",0,IF($AB585="○",ROUNDDOWN($E585*設定!$C$4,0),ROUNDDOWN($E585*ROUND((9*$AA585-9*$E585)/(10*$E585),4),0))))</f>
        <v/>
      </c>
      <c r="AD585" s="13" t="n"/>
      <c r="AE585" s="15">
        <f>IF($B585="","",IF($AD585&lt;&gt;"",$AD585,IF($AC585="","",IF($AC585&lt;=設定!$C$3,0,$AC585))))</f>
        <v/>
      </c>
      <c r="AF585" s="14">
        <f>IF($B585="","",IF(AND($AG585&lt;&gt;"",$AI585="",$AL585=""),"保留中",IF($AL585&lt;&gt;"",IF(N($AE585)&gt;0,"支給済","不支給"),IF($AE585="","要確認",IF($AE585=0,"不支給","未処理")))))</f>
        <v/>
      </c>
      <c r="AG585" s="12" t="n"/>
      <c r="AH585" s="11" t="n"/>
      <c r="AI585" s="11" t="n"/>
      <c r="AJ585" s="11" t="n"/>
      <c r="AK585" s="14">
        <f>IF(AND($AF585="保留中",$AH585&lt;&gt;""),TODAY()-$AH585,"")</f>
        <v/>
      </c>
      <c r="AL585" s="12" t="n"/>
      <c r="AM585" s="14">
        <f>IF($B585="","",IF($AQ585="","対象年月が未入力／","")&amp;IF($B585="","",IF($AP585="","職員マスタに未登録の職員番号／",IF($AA585="","標準報酬月額が未登録／","")&amp;IF(AND($AQ585&lt;&gt;"",OR(AND(INDEX(職員マスタ!$G$6:$G$405,$AP585)&lt;&gt;"",INDEX(職員マスタ!$G$6:$G$405,$AP585)&gt;EOMONTH($AQ585,0)),AND(INDEX(職員マスタ!$H$6:$H$405,$AP585)&lt;&gt;"",INDEX(職員マスタ!$H$6:$H$405,$AP585)&lt;$AQ585))),"対象月が時短期間外／","")&amp;IF(AND(INDEX(職員マスタ!$K$6:$K$405,$AP585)&lt;&gt;"",N($W585)&gt;0,INDEX(職員マスタ!$K$6:$K$405,$AP585)&lt;&gt;$W585),"標準報酬月額が申請書と相違（台帳"&amp;TEXT(INDEX(職員マスタ!$K$6:$K$405,$AP585),"#,##0")&amp;"円／申請書"&amp;TEXT($W585,"#,##0")&amp;"円）／","")&amp;IF(AND(INDEX(職員マスタ!$F$6:$F$405,$AP585)&lt;&gt;"",$AQ585&lt;&gt;"",INDEX(職員マスタ!$F$6:$F$405,$AP585)&lt;$AQ585),"対象月に子が2歳到達済／","")&amp;IF(AND($H585&lt;&gt;"",INDEX(職員マスタ!$B$6:$B$405,$AP585)&lt;&gt;"",SUBSTITUTE(SUBSTITUTE($H585," ","")," ","")&lt;&gt;SUBSTITUTE(SUBSTITUTE(INDEX(職員マスタ!$B$6:$B$405,$AP585)," ","")," ","")),"氏名がマスタと相違／","")&amp;IF(AND($Q585&lt;&gt;"",INDEX(職員マスタ!$E$6:$E$405,$AP585)&lt;&gt;"",$Q585&lt;&gt;INDEX(職員マスタ!$E$6:$E$405,$AP585)),"子の生年月日がマスタと相違／","")&amp;IF(AND($L585&lt;&gt;"",INDEX(職員マスタ!$G$6:$G$405,$AP585)&lt;&gt;"",$L585&lt;&gt;INDEX(職員マスタ!$G$6:$G$405,$AP585)),"時短開始日がマスタと相違／","")&amp;IF(AND($M585&lt;&gt;"",INDEX(職員マスタ!$H$6:$H$405,$AP585)&lt;&gt;"",$M585&lt;&gt;INDEX(職員マスタ!$H$6:$H$405,$AP585)),"時短終了日がマスタと相違／","")))&amp;IF(AND($B585&lt;&gt;"",$E585=""),"報酬額が未入力／","")&amp;IF(N($U585)&gt;0,"申請書に入力エラーが残っています／","")&amp;IF(AND($B585&lt;&gt;"",$AQ585&lt;&gt;""),IF(COUNTIFS($B$6:$B$3005,$B585,$C$6:$C$3005,$C585,$D$6:$D$3005,$D585)&gt;1,"同じ月の請求が重複しています／",""),"")&amp;IF(AND(N($E585)&gt;0,$AB585&lt;&gt;"",$AB585&lt;&gt;"×",$AE585=0,$AD585=""),"計算額が下限以下のため不支給／",""))</f>
        <v/>
      </c>
      <c r="AN585" s="12" t="n"/>
      <c r="AO585" s="14">
        <f>IF($AF585="保留中",COUNTIF($AF$6:$AF585,"保留中"),"")</f>
        <v/>
      </c>
      <c r="AP585" s="14">
        <f>IF($AQ585="","",IF(SUMPRODUCT(MAX((職員マスタ!$A$6:$A$405=$B585)*(((職員マスタ!$G$6:$G$405="")+(職員マスタ!$G$6:$G$405&lt;=EOMONTH($AQ585,0)))&gt;0)*(((職員マスタ!$H$6:$H$405="")+(職員マスタ!$H$6:$H$405&gt;=$AQ585))&gt;0)*(ROW(職員マスタ!$A$6:$A$405)-5)))&gt;0,SUMPRODUCT(MAX((職員マスタ!$A$6:$A$405=$B585)*(((職員マスタ!$G$6:$G$405="")+(職員マスタ!$G$6:$G$405&lt;=EOMONTH($AQ585,0)))&gt;0)*(((職員マスタ!$H$6:$H$405="")+(職員マスタ!$H$6:$H$405&gt;=$AQ585))&gt;0)*(ROW(職員マスタ!$A$6:$A$405)-5))),IFERROR(MATCH($B585,職員マスタ!$A$6:$A$405,0),"")))</f>
        <v/>
      </c>
      <c r="AQ585" s="16">
        <f>IF(OR($B585="",$C585="",$D585=""),"",DATE($C585+2018,$D585,1))</f>
        <v/>
      </c>
    </row>
    <row r="586">
      <c r="A586" s="11" t="n"/>
      <c r="B586" s="12" t="n"/>
      <c r="C586" s="12" t="n"/>
      <c r="D586" s="12" t="n"/>
      <c r="E586" s="13" t="n"/>
      <c r="F586" s="12" t="n"/>
      <c r="G586" s="13" t="n"/>
      <c r="H586" s="12" t="n"/>
      <c r="I586" s="12" t="n"/>
      <c r="J586" s="12" t="n"/>
      <c r="K586" s="12" t="n"/>
      <c r="L586" s="11" t="n"/>
      <c r="M586" s="11" t="n"/>
      <c r="N586" s="11" t="n"/>
      <c r="O586" s="11" t="n"/>
      <c r="P586" s="12" t="n"/>
      <c r="Q586" s="11" t="n"/>
      <c r="R586" s="12" t="n"/>
      <c r="S586" s="11" t="n"/>
      <c r="T586" s="12" t="n"/>
      <c r="U586" s="12" t="n"/>
      <c r="V586" s="12" t="n"/>
      <c r="W586" s="13" t="n"/>
      <c r="X586" s="14">
        <f>IF($AP586="",IF($B586="","",$H586),IF(INDEX(職員マスタ!$B$6:$B$405,$AP586)="",$H586,INDEX(職員マスタ!$B$6:$B$405,$AP586)))</f>
        <v/>
      </c>
      <c r="Y586" s="14">
        <f>IF($AP586="",IF($B586="","",$R586),IF(INDEX(職員マスタ!$C$6:$C$405,$AP586)="",$R586,INDEX(職員マスタ!$C$6:$C$405,$AP586)))</f>
        <v/>
      </c>
      <c r="Z586" s="14">
        <f>IF($AQ586="","","R"&amp;$C586&amp;"."&amp;$D586)</f>
        <v/>
      </c>
      <c r="AA586" s="15">
        <f>IF(IF($AP586="",FALSE,INDEX(職員マスタ!$K$6:$K$405,$AP586)&lt;&gt;""),INDEX(職員マスタ!$K$6:$K$405,$AP586),IF(N($W586)&gt;0,$W586,""))</f>
        <v/>
      </c>
      <c r="AB586" s="14">
        <f>IF(OR($E586="",$AA586=""),"",IF($E586&gt;=$AA586,"×",IF($E586&gt;=$AA586*設定!$C$5,"△","○")))</f>
        <v/>
      </c>
      <c r="AC586" s="15">
        <f>IF($AB586="","",IF($AB586="×",0,IF($AB586="○",ROUNDDOWN($E586*設定!$C$4,0),ROUNDDOWN($E586*ROUND((9*$AA586-9*$E586)/(10*$E586),4),0))))</f>
        <v/>
      </c>
      <c r="AD586" s="13" t="n"/>
      <c r="AE586" s="15">
        <f>IF($B586="","",IF($AD586&lt;&gt;"",$AD586,IF($AC586="","",IF($AC586&lt;=設定!$C$3,0,$AC586))))</f>
        <v/>
      </c>
      <c r="AF586" s="14">
        <f>IF($B586="","",IF(AND($AG586&lt;&gt;"",$AI586="",$AL586=""),"保留中",IF($AL586&lt;&gt;"",IF(N($AE586)&gt;0,"支給済","不支給"),IF($AE586="","要確認",IF($AE586=0,"不支給","未処理")))))</f>
        <v/>
      </c>
      <c r="AG586" s="12" t="n"/>
      <c r="AH586" s="11" t="n"/>
      <c r="AI586" s="11" t="n"/>
      <c r="AJ586" s="11" t="n"/>
      <c r="AK586" s="14">
        <f>IF(AND($AF586="保留中",$AH586&lt;&gt;""),TODAY()-$AH586,"")</f>
        <v/>
      </c>
      <c r="AL586" s="12" t="n"/>
      <c r="AM586" s="14">
        <f>IF($B586="","",IF($AQ586="","対象年月が未入力／","")&amp;IF($B586="","",IF($AP586="","職員マスタに未登録の職員番号／",IF($AA586="","標準報酬月額が未登録／","")&amp;IF(AND($AQ586&lt;&gt;"",OR(AND(INDEX(職員マスタ!$G$6:$G$405,$AP586)&lt;&gt;"",INDEX(職員マスタ!$G$6:$G$405,$AP586)&gt;EOMONTH($AQ586,0)),AND(INDEX(職員マスタ!$H$6:$H$405,$AP586)&lt;&gt;"",INDEX(職員マスタ!$H$6:$H$405,$AP586)&lt;$AQ586))),"対象月が時短期間外／","")&amp;IF(AND(INDEX(職員マスタ!$K$6:$K$405,$AP586)&lt;&gt;"",N($W586)&gt;0,INDEX(職員マスタ!$K$6:$K$405,$AP586)&lt;&gt;$W586),"標準報酬月額が申請書と相違（台帳"&amp;TEXT(INDEX(職員マスタ!$K$6:$K$405,$AP586),"#,##0")&amp;"円／申請書"&amp;TEXT($W586,"#,##0")&amp;"円）／","")&amp;IF(AND(INDEX(職員マスタ!$F$6:$F$405,$AP586)&lt;&gt;"",$AQ586&lt;&gt;"",INDEX(職員マスタ!$F$6:$F$405,$AP586)&lt;$AQ586),"対象月に子が2歳到達済／","")&amp;IF(AND($H586&lt;&gt;"",INDEX(職員マスタ!$B$6:$B$405,$AP586)&lt;&gt;"",SUBSTITUTE(SUBSTITUTE($H586," ","")," ","")&lt;&gt;SUBSTITUTE(SUBSTITUTE(INDEX(職員マスタ!$B$6:$B$405,$AP586)," ","")," ","")),"氏名がマスタと相違／","")&amp;IF(AND($Q586&lt;&gt;"",INDEX(職員マスタ!$E$6:$E$405,$AP586)&lt;&gt;"",$Q586&lt;&gt;INDEX(職員マスタ!$E$6:$E$405,$AP586)),"子の生年月日がマスタと相違／","")&amp;IF(AND($L586&lt;&gt;"",INDEX(職員マスタ!$G$6:$G$405,$AP586)&lt;&gt;"",$L586&lt;&gt;INDEX(職員マスタ!$G$6:$G$405,$AP586)),"時短開始日がマスタと相違／","")&amp;IF(AND($M586&lt;&gt;"",INDEX(職員マスタ!$H$6:$H$405,$AP586)&lt;&gt;"",$M586&lt;&gt;INDEX(職員マスタ!$H$6:$H$405,$AP586)),"時短終了日がマスタと相違／","")))&amp;IF(AND($B586&lt;&gt;"",$E586=""),"報酬額が未入力／","")&amp;IF(N($U586)&gt;0,"申請書に入力エラーが残っています／","")&amp;IF(AND($B586&lt;&gt;"",$AQ586&lt;&gt;""),IF(COUNTIFS($B$6:$B$3005,$B586,$C$6:$C$3005,$C586,$D$6:$D$3005,$D586)&gt;1,"同じ月の請求が重複しています／",""),"")&amp;IF(AND(N($E586)&gt;0,$AB586&lt;&gt;"",$AB586&lt;&gt;"×",$AE586=0,$AD586=""),"計算額が下限以下のため不支給／",""))</f>
        <v/>
      </c>
      <c r="AN586" s="12" t="n"/>
      <c r="AO586" s="14">
        <f>IF($AF586="保留中",COUNTIF($AF$6:$AF586,"保留中"),"")</f>
        <v/>
      </c>
      <c r="AP586" s="14">
        <f>IF($AQ586="","",IF(SUMPRODUCT(MAX((職員マスタ!$A$6:$A$405=$B586)*(((職員マスタ!$G$6:$G$405="")+(職員マスタ!$G$6:$G$405&lt;=EOMONTH($AQ586,0)))&gt;0)*(((職員マスタ!$H$6:$H$405="")+(職員マスタ!$H$6:$H$405&gt;=$AQ586))&gt;0)*(ROW(職員マスタ!$A$6:$A$405)-5)))&gt;0,SUMPRODUCT(MAX((職員マスタ!$A$6:$A$405=$B586)*(((職員マスタ!$G$6:$G$405="")+(職員マスタ!$G$6:$G$405&lt;=EOMONTH($AQ586,0)))&gt;0)*(((職員マスタ!$H$6:$H$405="")+(職員マスタ!$H$6:$H$405&gt;=$AQ586))&gt;0)*(ROW(職員マスタ!$A$6:$A$405)-5))),IFERROR(MATCH($B586,職員マスタ!$A$6:$A$405,0),"")))</f>
        <v/>
      </c>
      <c r="AQ586" s="16">
        <f>IF(OR($B586="",$C586="",$D586=""),"",DATE($C586+2018,$D586,1))</f>
        <v/>
      </c>
    </row>
    <row r="587">
      <c r="A587" s="11" t="n"/>
      <c r="B587" s="12" t="n"/>
      <c r="C587" s="12" t="n"/>
      <c r="D587" s="12" t="n"/>
      <c r="E587" s="13" t="n"/>
      <c r="F587" s="12" t="n"/>
      <c r="G587" s="13" t="n"/>
      <c r="H587" s="12" t="n"/>
      <c r="I587" s="12" t="n"/>
      <c r="J587" s="12" t="n"/>
      <c r="K587" s="12" t="n"/>
      <c r="L587" s="11" t="n"/>
      <c r="M587" s="11" t="n"/>
      <c r="N587" s="11" t="n"/>
      <c r="O587" s="11" t="n"/>
      <c r="P587" s="12" t="n"/>
      <c r="Q587" s="11" t="n"/>
      <c r="R587" s="12" t="n"/>
      <c r="S587" s="11" t="n"/>
      <c r="T587" s="12" t="n"/>
      <c r="U587" s="12" t="n"/>
      <c r="V587" s="12" t="n"/>
      <c r="W587" s="13" t="n"/>
      <c r="X587" s="14">
        <f>IF($AP587="",IF($B587="","",$H587),IF(INDEX(職員マスタ!$B$6:$B$405,$AP587)="",$H587,INDEX(職員マスタ!$B$6:$B$405,$AP587)))</f>
        <v/>
      </c>
      <c r="Y587" s="14">
        <f>IF($AP587="",IF($B587="","",$R587),IF(INDEX(職員マスタ!$C$6:$C$405,$AP587)="",$R587,INDEX(職員マスタ!$C$6:$C$405,$AP587)))</f>
        <v/>
      </c>
      <c r="Z587" s="14">
        <f>IF($AQ587="","","R"&amp;$C587&amp;"."&amp;$D587)</f>
        <v/>
      </c>
      <c r="AA587" s="15">
        <f>IF(IF($AP587="",FALSE,INDEX(職員マスタ!$K$6:$K$405,$AP587)&lt;&gt;""),INDEX(職員マスタ!$K$6:$K$405,$AP587),IF(N($W587)&gt;0,$W587,""))</f>
        <v/>
      </c>
      <c r="AB587" s="14">
        <f>IF(OR($E587="",$AA587=""),"",IF($E587&gt;=$AA587,"×",IF($E587&gt;=$AA587*設定!$C$5,"△","○")))</f>
        <v/>
      </c>
      <c r="AC587" s="15">
        <f>IF($AB587="","",IF($AB587="×",0,IF($AB587="○",ROUNDDOWN($E587*設定!$C$4,0),ROUNDDOWN($E587*ROUND((9*$AA587-9*$E587)/(10*$E587),4),0))))</f>
        <v/>
      </c>
      <c r="AD587" s="13" t="n"/>
      <c r="AE587" s="15">
        <f>IF($B587="","",IF($AD587&lt;&gt;"",$AD587,IF($AC587="","",IF($AC587&lt;=設定!$C$3,0,$AC587))))</f>
        <v/>
      </c>
      <c r="AF587" s="14">
        <f>IF($B587="","",IF(AND($AG587&lt;&gt;"",$AI587="",$AL587=""),"保留中",IF($AL587&lt;&gt;"",IF(N($AE587)&gt;0,"支給済","不支給"),IF($AE587="","要確認",IF($AE587=0,"不支給","未処理")))))</f>
        <v/>
      </c>
      <c r="AG587" s="12" t="n"/>
      <c r="AH587" s="11" t="n"/>
      <c r="AI587" s="11" t="n"/>
      <c r="AJ587" s="11" t="n"/>
      <c r="AK587" s="14">
        <f>IF(AND($AF587="保留中",$AH587&lt;&gt;""),TODAY()-$AH587,"")</f>
        <v/>
      </c>
      <c r="AL587" s="12" t="n"/>
      <c r="AM587" s="14">
        <f>IF($B587="","",IF($AQ587="","対象年月が未入力／","")&amp;IF($B587="","",IF($AP587="","職員マスタに未登録の職員番号／",IF($AA587="","標準報酬月額が未登録／","")&amp;IF(AND($AQ587&lt;&gt;"",OR(AND(INDEX(職員マスタ!$G$6:$G$405,$AP587)&lt;&gt;"",INDEX(職員マスタ!$G$6:$G$405,$AP587)&gt;EOMONTH($AQ587,0)),AND(INDEX(職員マスタ!$H$6:$H$405,$AP587)&lt;&gt;"",INDEX(職員マスタ!$H$6:$H$405,$AP587)&lt;$AQ587))),"対象月が時短期間外／","")&amp;IF(AND(INDEX(職員マスタ!$K$6:$K$405,$AP587)&lt;&gt;"",N($W587)&gt;0,INDEX(職員マスタ!$K$6:$K$405,$AP587)&lt;&gt;$W587),"標準報酬月額が申請書と相違（台帳"&amp;TEXT(INDEX(職員マスタ!$K$6:$K$405,$AP587),"#,##0")&amp;"円／申請書"&amp;TEXT($W587,"#,##0")&amp;"円）／","")&amp;IF(AND(INDEX(職員マスタ!$F$6:$F$405,$AP587)&lt;&gt;"",$AQ587&lt;&gt;"",INDEX(職員マスタ!$F$6:$F$405,$AP587)&lt;$AQ587),"対象月に子が2歳到達済／","")&amp;IF(AND($H587&lt;&gt;"",INDEX(職員マスタ!$B$6:$B$405,$AP587)&lt;&gt;"",SUBSTITUTE(SUBSTITUTE($H587," ","")," ","")&lt;&gt;SUBSTITUTE(SUBSTITUTE(INDEX(職員マスタ!$B$6:$B$405,$AP587)," ","")," ","")),"氏名がマスタと相違／","")&amp;IF(AND($Q587&lt;&gt;"",INDEX(職員マスタ!$E$6:$E$405,$AP587)&lt;&gt;"",$Q587&lt;&gt;INDEX(職員マスタ!$E$6:$E$405,$AP587)),"子の生年月日がマスタと相違／","")&amp;IF(AND($L587&lt;&gt;"",INDEX(職員マスタ!$G$6:$G$405,$AP587)&lt;&gt;"",$L587&lt;&gt;INDEX(職員マスタ!$G$6:$G$405,$AP587)),"時短開始日がマスタと相違／","")&amp;IF(AND($M587&lt;&gt;"",INDEX(職員マスタ!$H$6:$H$405,$AP587)&lt;&gt;"",$M587&lt;&gt;INDEX(職員マスタ!$H$6:$H$405,$AP587)),"時短終了日がマスタと相違／","")))&amp;IF(AND($B587&lt;&gt;"",$E587=""),"報酬額が未入力／","")&amp;IF(N($U587)&gt;0,"申請書に入力エラーが残っています／","")&amp;IF(AND($B587&lt;&gt;"",$AQ587&lt;&gt;""),IF(COUNTIFS($B$6:$B$3005,$B587,$C$6:$C$3005,$C587,$D$6:$D$3005,$D587)&gt;1,"同じ月の請求が重複しています／",""),"")&amp;IF(AND(N($E587)&gt;0,$AB587&lt;&gt;"",$AB587&lt;&gt;"×",$AE587=0,$AD587=""),"計算額が下限以下のため不支給／",""))</f>
        <v/>
      </c>
      <c r="AN587" s="12" t="n"/>
      <c r="AO587" s="14">
        <f>IF($AF587="保留中",COUNTIF($AF$6:$AF587,"保留中"),"")</f>
        <v/>
      </c>
      <c r="AP587" s="14">
        <f>IF($AQ587="","",IF(SUMPRODUCT(MAX((職員マスタ!$A$6:$A$405=$B587)*(((職員マスタ!$G$6:$G$405="")+(職員マスタ!$G$6:$G$405&lt;=EOMONTH($AQ587,0)))&gt;0)*(((職員マスタ!$H$6:$H$405="")+(職員マスタ!$H$6:$H$405&gt;=$AQ587))&gt;0)*(ROW(職員マスタ!$A$6:$A$405)-5)))&gt;0,SUMPRODUCT(MAX((職員マスタ!$A$6:$A$405=$B587)*(((職員マスタ!$G$6:$G$405="")+(職員マスタ!$G$6:$G$405&lt;=EOMONTH($AQ587,0)))&gt;0)*(((職員マスタ!$H$6:$H$405="")+(職員マスタ!$H$6:$H$405&gt;=$AQ587))&gt;0)*(ROW(職員マスタ!$A$6:$A$405)-5))),IFERROR(MATCH($B587,職員マスタ!$A$6:$A$405,0),"")))</f>
        <v/>
      </c>
      <c r="AQ587" s="16">
        <f>IF(OR($B587="",$C587="",$D587=""),"",DATE($C587+2018,$D587,1))</f>
        <v/>
      </c>
    </row>
    <row r="588">
      <c r="A588" s="11" t="n"/>
      <c r="B588" s="12" t="n"/>
      <c r="C588" s="12" t="n"/>
      <c r="D588" s="12" t="n"/>
      <c r="E588" s="13" t="n"/>
      <c r="F588" s="12" t="n"/>
      <c r="G588" s="13" t="n"/>
      <c r="H588" s="12" t="n"/>
      <c r="I588" s="12" t="n"/>
      <c r="J588" s="12" t="n"/>
      <c r="K588" s="12" t="n"/>
      <c r="L588" s="11" t="n"/>
      <c r="M588" s="11" t="n"/>
      <c r="N588" s="11" t="n"/>
      <c r="O588" s="11" t="n"/>
      <c r="P588" s="12" t="n"/>
      <c r="Q588" s="11" t="n"/>
      <c r="R588" s="12" t="n"/>
      <c r="S588" s="11" t="n"/>
      <c r="T588" s="12" t="n"/>
      <c r="U588" s="12" t="n"/>
      <c r="V588" s="12" t="n"/>
      <c r="W588" s="13" t="n"/>
      <c r="X588" s="14">
        <f>IF($AP588="",IF($B588="","",$H588),IF(INDEX(職員マスタ!$B$6:$B$405,$AP588)="",$H588,INDEX(職員マスタ!$B$6:$B$405,$AP588)))</f>
        <v/>
      </c>
      <c r="Y588" s="14">
        <f>IF($AP588="",IF($B588="","",$R588),IF(INDEX(職員マスタ!$C$6:$C$405,$AP588)="",$R588,INDEX(職員マスタ!$C$6:$C$405,$AP588)))</f>
        <v/>
      </c>
      <c r="Z588" s="14">
        <f>IF($AQ588="","","R"&amp;$C588&amp;"."&amp;$D588)</f>
        <v/>
      </c>
      <c r="AA588" s="15">
        <f>IF(IF($AP588="",FALSE,INDEX(職員マスタ!$K$6:$K$405,$AP588)&lt;&gt;""),INDEX(職員マスタ!$K$6:$K$405,$AP588),IF(N($W588)&gt;0,$W588,""))</f>
        <v/>
      </c>
      <c r="AB588" s="14">
        <f>IF(OR($E588="",$AA588=""),"",IF($E588&gt;=$AA588,"×",IF($E588&gt;=$AA588*設定!$C$5,"△","○")))</f>
        <v/>
      </c>
      <c r="AC588" s="15">
        <f>IF($AB588="","",IF($AB588="×",0,IF($AB588="○",ROUNDDOWN($E588*設定!$C$4,0),ROUNDDOWN($E588*ROUND((9*$AA588-9*$E588)/(10*$E588),4),0))))</f>
        <v/>
      </c>
      <c r="AD588" s="13" t="n"/>
      <c r="AE588" s="15">
        <f>IF($B588="","",IF($AD588&lt;&gt;"",$AD588,IF($AC588="","",IF($AC588&lt;=設定!$C$3,0,$AC588))))</f>
        <v/>
      </c>
      <c r="AF588" s="14">
        <f>IF($B588="","",IF(AND($AG588&lt;&gt;"",$AI588="",$AL588=""),"保留中",IF($AL588&lt;&gt;"",IF(N($AE588)&gt;0,"支給済","不支給"),IF($AE588="","要確認",IF($AE588=0,"不支給","未処理")))))</f>
        <v/>
      </c>
      <c r="AG588" s="12" t="n"/>
      <c r="AH588" s="11" t="n"/>
      <c r="AI588" s="11" t="n"/>
      <c r="AJ588" s="11" t="n"/>
      <c r="AK588" s="14">
        <f>IF(AND($AF588="保留中",$AH588&lt;&gt;""),TODAY()-$AH588,"")</f>
        <v/>
      </c>
      <c r="AL588" s="12" t="n"/>
      <c r="AM588" s="14">
        <f>IF($B588="","",IF($AQ588="","対象年月が未入力／","")&amp;IF($B588="","",IF($AP588="","職員マスタに未登録の職員番号／",IF($AA588="","標準報酬月額が未登録／","")&amp;IF(AND($AQ588&lt;&gt;"",OR(AND(INDEX(職員マスタ!$G$6:$G$405,$AP588)&lt;&gt;"",INDEX(職員マスタ!$G$6:$G$405,$AP588)&gt;EOMONTH($AQ588,0)),AND(INDEX(職員マスタ!$H$6:$H$405,$AP588)&lt;&gt;"",INDEX(職員マスタ!$H$6:$H$405,$AP588)&lt;$AQ588))),"対象月が時短期間外／","")&amp;IF(AND(INDEX(職員マスタ!$K$6:$K$405,$AP588)&lt;&gt;"",N($W588)&gt;0,INDEX(職員マスタ!$K$6:$K$405,$AP588)&lt;&gt;$W588),"標準報酬月額が申請書と相違（台帳"&amp;TEXT(INDEX(職員マスタ!$K$6:$K$405,$AP588),"#,##0")&amp;"円／申請書"&amp;TEXT($W588,"#,##0")&amp;"円）／","")&amp;IF(AND(INDEX(職員マスタ!$F$6:$F$405,$AP588)&lt;&gt;"",$AQ588&lt;&gt;"",INDEX(職員マスタ!$F$6:$F$405,$AP588)&lt;$AQ588),"対象月に子が2歳到達済／","")&amp;IF(AND($H588&lt;&gt;"",INDEX(職員マスタ!$B$6:$B$405,$AP588)&lt;&gt;"",SUBSTITUTE(SUBSTITUTE($H588," ","")," ","")&lt;&gt;SUBSTITUTE(SUBSTITUTE(INDEX(職員マスタ!$B$6:$B$405,$AP588)," ","")," ","")),"氏名がマスタと相違／","")&amp;IF(AND($Q588&lt;&gt;"",INDEX(職員マスタ!$E$6:$E$405,$AP588)&lt;&gt;"",$Q588&lt;&gt;INDEX(職員マスタ!$E$6:$E$405,$AP588)),"子の生年月日がマスタと相違／","")&amp;IF(AND($L588&lt;&gt;"",INDEX(職員マスタ!$G$6:$G$405,$AP588)&lt;&gt;"",$L588&lt;&gt;INDEX(職員マスタ!$G$6:$G$405,$AP588)),"時短開始日がマスタと相違／","")&amp;IF(AND($M588&lt;&gt;"",INDEX(職員マスタ!$H$6:$H$405,$AP588)&lt;&gt;"",$M588&lt;&gt;INDEX(職員マスタ!$H$6:$H$405,$AP588)),"時短終了日がマスタと相違／","")))&amp;IF(AND($B588&lt;&gt;"",$E588=""),"報酬額が未入力／","")&amp;IF(N($U588)&gt;0,"申請書に入力エラーが残っています／","")&amp;IF(AND($B588&lt;&gt;"",$AQ588&lt;&gt;""),IF(COUNTIFS($B$6:$B$3005,$B588,$C$6:$C$3005,$C588,$D$6:$D$3005,$D588)&gt;1,"同じ月の請求が重複しています／",""),"")&amp;IF(AND(N($E588)&gt;0,$AB588&lt;&gt;"",$AB588&lt;&gt;"×",$AE588=0,$AD588=""),"計算額が下限以下のため不支給／",""))</f>
        <v/>
      </c>
      <c r="AN588" s="12" t="n"/>
      <c r="AO588" s="14">
        <f>IF($AF588="保留中",COUNTIF($AF$6:$AF588,"保留中"),"")</f>
        <v/>
      </c>
      <c r="AP588" s="14">
        <f>IF($AQ588="","",IF(SUMPRODUCT(MAX((職員マスタ!$A$6:$A$405=$B588)*(((職員マスタ!$G$6:$G$405="")+(職員マスタ!$G$6:$G$405&lt;=EOMONTH($AQ588,0)))&gt;0)*(((職員マスタ!$H$6:$H$405="")+(職員マスタ!$H$6:$H$405&gt;=$AQ588))&gt;0)*(ROW(職員マスタ!$A$6:$A$405)-5)))&gt;0,SUMPRODUCT(MAX((職員マスタ!$A$6:$A$405=$B588)*(((職員マスタ!$G$6:$G$405="")+(職員マスタ!$G$6:$G$405&lt;=EOMONTH($AQ588,0)))&gt;0)*(((職員マスタ!$H$6:$H$405="")+(職員マスタ!$H$6:$H$405&gt;=$AQ588))&gt;0)*(ROW(職員マスタ!$A$6:$A$405)-5))),IFERROR(MATCH($B588,職員マスタ!$A$6:$A$405,0),"")))</f>
        <v/>
      </c>
      <c r="AQ588" s="16">
        <f>IF(OR($B588="",$C588="",$D588=""),"",DATE($C588+2018,$D588,1))</f>
        <v/>
      </c>
    </row>
    <row r="589">
      <c r="A589" s="11" t="n"/>
      <c r="B589" s="12" t="n"/>
      <c r="C589" s="12" t="n"/>
      <c r="D589" s="12" t="n"/>
      <c r="E589" s="13" t="n"/>
      <c r="F589" s="12" t="n"/>
      <c r="G589" s="13" t="n"/>
      <c r="H589" s="12" t="n"/>
      <c r="I589" s="12" t="n"/>
      <c r="J589" s="12" t="n"/>
      <c r="K589" s="12" t="n"/>
      <c r="L589" s="11" t="n"/>
      <c r="M589" s="11" t="n"/>
      <c r="N589" s="11" t="n"/>
      <c r="O589" s="11" t="n"/>
      <c r="P589" s="12" t="n"/>
      <c r="Q589" s="11" t="n"/>
      <c r="R589" s="12" t="n"/>
      <c r="S589" s="11" t="n"/>
      <c r="T589" s="12" t="n"/>
      <c r="U589" s="12" t="n"/>
      <c r="V589" s="12" t="n"/>
      <c r="W589" s="13" t="n"/>
      <c r="X589" s="14">
        <f>IF($AP589="",IF($B589="","",$H589),IF(INDEX(職員マスタ!$B$6:$B$405,$AP589)="",$H589,INDEX(職員マスタ!$B$6:$B$405,$AP589)))</f>
        <v/>
      </c>
      <c r="Y589" s="14">
        <f>IF($AP589="",IF($B589="","",$R589),IF(INDEX(職員マスタ!$C$6:$C$405,$AP589)="",$R589,INDEX(職員マスタ!$C$6:$C$405,$AP589)))</f>
        <v/>
      </c>
      <c r="Z589" s="14">
        <f>IF($AQ589="","","R"&amp;$C589&amp;"."&amp;$D589)</f>
        <v/>
      </c>
      <c r="AA589" s="15">
        <f>IF(IF($AP589="",FALSE,INDEX(職員マスタ!$K$6:$K$405,$AP589)&lt;&gt;""),INDEX(職員マスタ!$K$6:$K$405,$AP589),IF(N($W589)&gt;0,$W589,""))</f>
        <v/>
      </c>
      <c r="AB589" s="14">
        <f>IF(OR($E589="",$AA589=""),"",IF($E589&gt;=$AA589,"×",IF($E589&gt;=$AA589*設定!$C$5,"△","○")))</f>
        <v/>
      </c>
      <c r="AC589" s="15">
        <f>IF($AB589="","",IF($AB589="×",0,IF($AB589="○",ROUNDDOWN($E589*設定!$C$4,0),ROUNDDOWN($E589*ROUND((9*$AA589-9*$E589)/(10*$E589),4),0))))</f>
        <v/>
      </c>
      <c r="AD589" s="13" t="n"/>
      <c r="AE589" s="15">
        <f>IF($B589="","",IF($AD589&lt;&gt;"",$AD589,IF($AC589="","",IF($AC589&lt;=設定!$C$3,0,$AC589))))</f>
        <v/>
      </c>
      <c r="AF589" s="14">
        <f>IF($B589="","",IF(AND($AG589&lt;&gt;"",$AI589="",$AL589=""),"保留中",IF($AL589&lt;&gt;"",IF(N($AE589)&gt;0,"支給済","不支給"),IF($AE589="","要確認",IF($AE589=0,"不支給","未処理")))))</f>
        <v/>
      </c>
      <c r="AG589" s="12" t="n"/>
      <c r="AH589" s="11" t="n"/>
      <c r="AI589" s="11" t="n"/>
      <c r="AJ589" s="11" t="n"/>
      <c r="AK589" s="14">
        <f>IF(AND($AF589="保留中",$AH589&lt;&gt;""),TODAY()-$AH589,"")</f>
        <v/>
      </c>
      <c r="AL589" s="12" t="n"/>
      <c r="AM589" s="14">
        <f>IF($B589="","",IF($AQ589="","対象年月が未入力／","")&amp;IF($B589="","",IF($AP589="","職員マスタに未登録の職員番号／",IF($AA589="","標準報酬月額が未登録／","")&amp;IF(AND($AQ589&lt;&gt;"",OR(AND(INDEX(職員マスタ!$G$6:$G$405,$AP589)&lt;&gt;"",INDEX(職員マスタ!$G$6:$G$405,$AP589)&gt;EOMONTH($AQ589,0)),AND(INDEX(職員マスタ!$H$6:$H$405,$AP589)&lt;&gt;"",INDEX(職員マスタ!$H$6:$H$405,$AP589)&lt;$AQ589))),"対象月が時短期間外／","")&amp;IF(AND(INDEX(職員マスタ!$K$6:$K$405,$AP589)&lt;&gt;"",N($W589)&gt;0,INDEX(職員マスタ!$K$6:$K$405,$AP589)&lt;&gt;$W589),"標準報酬月額が申請書と相違（台帳"&amp;TEXT(INDEX(職員マスタ!$K$6:$K$405,$AP589),"#,##0")&amp;"円／申請書"&amp;TEXT($W589,"#,##0")&amp;"円）／","")&amp;IF(AND(INDEX(職員マスタ!$F$6:$F$405,$AP589)&lt;&gt;"",$AQ589&lt;&gt;"",INDEX(職員マスタ!$F$6:$F$405,$AP589)&lt;$AQ589),"対象月に子が2歳到達済／","")&amp;IF(AND($H589&lt;&gt;"",INDEX(職員マスタ!$B$6:$B$405,$AP589)&lt;&gt;"",SUBSTITUTE(SUBSTITUTE($H589," ","")," ","")&lt;&gt;SUBSTITUTE(SUBSTITUTE(INDEX(職員マスタ!$B$6:$B$405,$AP589)," ","")," ","")),"氏名がマスタと相違／","")&amp;IF(AND($Q589&lt;&gt;"",INDEX(職員マスタ!$E$6:$E$405,$AP589)&lt;&gt;"",$Q589&lt;&gt;INDEX(職員マスタ!$E$6:$E$405,$AP589)),"子の生年月日がマスタと相違／","")&amp;IF(AND($L589&lt;&gt;"",INDEX(職員マスタ!$G$6:$G$405,$AP589)&lt;&gt;"",$L589&lt;&gt;INDEX(職員マスタ!$G$6:$G$405,$AP589)),"時短開始日がマスタと相違／","")&amp;IF(AND($M589&lt;&gt;"",INDEX(職員マスタ!$H$6:$H$405,$AP589)&lt;&gt;"",$M589&lt;&gt;INDEX(職員マスタ!$H$6:$H$405,$AP589)),"時短終了日がマスタと相違／","")))&amp;IF(AND($B589&lt;&gt;"",$E589=""),"報酬額が未入力／","")&amp;IF(N($U589)&gt;0,"申請書に入力エラーが残っています／","")&amp;IF(AND($B589&lt;&gt;"",$AQ589&lt;&gt;""),IF(COUNTIFS($B$6:$B$3005,$B589,$C$6:$C$3005,$C589,$D$6:$D$3005,$D589)&gt;1,"同じ月の請求が重複しています／",""),"")&amp;IF(AND(N($E589)&gt;0,$AB589&lt;&gt;"",$AB589&lt;&gt;"×",$AE589=0,$AD589=""),"計算額が下限以下のため不支給／",""))</f>
        <v/>
      </c>
      <c r="AN589" s="12" t="n"/>
      <c r="AO589" s="14">
        <f>IF($AF589="保留中",COUNTIF($AF$6:$AF589,"保留中"),"")</f>
        <v/>
      </c>
      <c r="AP589" s="14">
        <f>IF($AQ589="","",IF(SUMPRODUCT(MAX((職員マスタ!$A$6:$A$405=$B589)*(((職員マスタ!$G$6:$G$405="")+(職員マスタ!$G$6:$G$405&lt;=EOMONTH($AQ589,0)))&gt;0)*(((職員マスタ!$H$6:$H$405="")+(職員マスタ!$H$6:$H$405&gt;=$AQ589))&gt;0)*(ROW(職員マスタ!$A$6:$A$405)-5)))&gt;0,SUMPRODUCT(MAX((職員マスタ!$A$6:$A$405=$B589)*(((職員マスタ!$G$6:$G$405="")+(職員マスタ!$G$6:$G$405&lt;=EOMONTH($AQ589,0)))&gt;0)*(((職員マスタ!$H$6:$H$405="")+(職員マスタ!$H$6:$H$405&gt;=$AQ589))&gt;0)*(ROW(職員マスタ!$A$6:$A$405)-5))),IFERROR(MATCH($B589,職員マスタ!$A$6:$A$405,0),"")))</f>
        <v/>
      </c>
      <c r="AQ589" s="16">
        <f>IF(OR($B589="",$C589="",$D589=""),"",DATE($C589+2018,$D589,1))</f>
        <v/>
      </c>
    </row>
    <row r="590">
      <c r="A590" s="11" t="n"/>
      <c r="B590" s="12" t="n"/>
      <c r="C590" s="12" t="n"/>
      <c r="D590" s="12" t="n"/>
      <c r="E590" s="13" t="n"/>
      <c r="F590" s="12" t="n"/>
      <c r="G590" s="13" t="n"/>
      <c r="H590" s="12" t="n"/>
      <c r="I590" s="12" t="n"/>
      <c r="J590" s="12" t="n"/>
      <c r="K590" s="12" t="n"/>
      <c r="L590" s="11" t="n"/>
      <c r="M590" s="11" t="n"/>
      <c r="N590" s="11" t="n"/>
      <c r="O590" s="11" t="n"/>
      <c r="P590" s="12" t="n"/>
      <c r="Q590" s="11" t="n"/>
      <c r="R590" s="12" t="n"/>
      <c r="S590" s="11" t="n"/>
      <c r="T590" s="12" t="n"/>
      <c r="U590" s="12" t="n"/>
      <c r="V590" s="12" t="n"/>
      <c r="W590" s="13" t="n"/>
      <c r="X590" s="14">
        <f>IF($AP590="",IF($B590="","",$H590),IF(INDEX(職員マスタ!$B$6:$B$405,$AP590)="",$H590,INDEX(職員マスタ!$B$6:$B$405,$AP590)))</f>
        <v/>
      </c>
      <c r="Y590" s="14">
        <f>IF($AP590="",IF($B590="","",$R590),IF(INDEX(職員マスタ!$C$6:$C$405,$AP590)="",$R590,INDEX(職員マスタ!$C$6:$C$405,$AP590)))</f>
        <v/>
      </c>
      <c r="Z590" s="14">
        <f>IF($AQ590="","","R"&amp;$C590&amp;"."&amp;$D590)</f>
        <v/>
      </c>
      <c r="AA590" s="15">
        <f>IF(IF($AP590="",FALSE,INDEX(職員マスタ!$K$6:$K$405,$AP590)&lt;&gt;""),INDEX(職員マスタ!$K$6:$K$405,$AP590),IF(N($W590)&gt;0,$W590,""))</f>
        <v/>
      </c>
      <c r="AB590" s="14">
        <f>IF(OR($E590="",$AA590=""),"",IF($E590&gt;=$AA590,"×",IF($E590&gt;=$AA590*設定!$C$5,"△","○")))</f>
        <v/>
      </c>
      <c r="AC590" s="15">
        <f>IF($AB590="","",IF($AB590="×",0,IF($AB590="○",ROUNDDOWN($E590*設定!$C$4,0),ROUNDDOWN($E590*ROUND((9*$AA590-9*$E590)/(10*$E590),4),0))))</f>
        <v/>
      </c>
      <c r="AD590" s="13" t="n"/>
      <c r="AE590" s="15">
        <f>IF($B590="","",IF($AD590&lt;&gt;"",$AD590,IF($AC590="","",IF($AC590&lt;=設定!$C$3,0,$AC590))))</f>
        <v/>
      </c>
      <c r="AF590" s="14">
        <f>IF($B590="","",IF(AND($AG590&lt;&gt;"",$AI590="",$AL590=""),"保留中",IF($AL590&lt;&gt;"",IF(N($AE590)&gt;0,"支給済","不支給"),IF($AE590="","要確認",IF($AE590=0,"不支給","未処理")))))</f>
        <v/>
      </c>
      <c r="AG590" s="12" t="n"/>
      <c r="AH590" s="11" t="n"/>
      <c r="AI590" s="11" t="n"/>
      <c r="AJ590" s="11" t="n"/>
      <c r="AK590" s="14">
        <f>IF(AND($AF590="保留中",$AH590&lt;&gt;""),TODAY()-$AH590,"")</f>
        <v/>
      </c>
      <c r="AL590" s="12" t="n"/>
      <c r="AM590" s="14">
        <f>IF($B590="","",IF($AQ590="","対象年月が未入力／","")&amp;IF($B590="","",IF($AP590="","職員マスタに未登録の職員番号／",IF($AA590="","標準報酬月額が未登録／","")&amp;IF(AND($AQ590&lt;&gt;"",OR(AND(INDEX(職員マスタ!$G$6:$G$405,$AP590)&lt;&gt;"",INDEX(職員マスタ!$G$6:$G$405,$AP590)&gt;EOMONTH($AQ590,0)),AND(INDEX(職員マスタ!$H$6:$H$405,$AP590)&lt;&gt;"",INDEX(職員マスタ!$H$6:$H$405,$AP590)&lt;$AQ590))),"対象月が時短期間外／","")&amp;IF(AND(INDEX(職員マスタ!$K$6:$K$405,$AP590)&lt;&gt;"",N($W590)&gt;0,INDEX(職員マスタ!$K$6:$K$405,$AP590)&lt;&gt;$W590),"標準報酬月額が申請書と相違（台帳"&amp;TEXT(INDEX(職員マスタ!$K$6:$K$405,$AP590),"#,##0")&amp;"円／申請書"&amp;TEXT($W590,"#,##0")&amp;"円）／","")&amp;IF(AND(INDEX(職員マスタ!$F$6:$F$405,$AP590)&lt;&gt;"",$AQ590&lt;&gt;"",INDEX(職員マスタ!$F$6:$F$405,$AP590)&lt;$AQ590),"対象月に子が2歳到達済／","")&amp;IF(AND($H590&lt;&gt;"",INDEX(職員マスタ!$B$6:$B$405,$AP590)&lt;&gt;"",SUBSTITUTE(SUBSTITUTE($H590," ","")," ","")&lt;&gt;SUBSTITUTE(SUBSTITUTE(INDEX(職員マスタ!$B$6:$B$405,$AP590)," ","")," ","")),"氏名がマスタと相違／","")&amp;IF(AND($Q590&lt;&gt;"",INDEX(職員マスタ!$E$6:$E$405,$AP590)&lt;&gt;"",$Q590&lt;&gt;INDEX(職員マスタ!$E$6:$E$405,$AP590)),"子の生年月日がマスタと相違／","")&amp;IF(AND($L590&lt;&gt;"",INDEX(職員マスタ!$G$6:$G$405,$AP590)&lt;&gt;"",$L590&lt;&gt;INDEX(職員マスタ!$G$6:$G$405,$AP590)),"時短開始日がマスタと相違／","")&amp;IF(AND($M590&lt;&gt;"",INDEX(職員マスタ!$H$6:$H$405,$AP590)&lt;&gt;"",$M590&lt;&gt;INDEX(職員マスタ!$H$6:$H$405,$AP590)),"時短終了日がマスタと相違／","")))&amp;IF(AND($B590&lt;&gt;"",$E590=""),"報酬額が未入力／","")&amp;IF(N($U590)&gt;0,"申請書に入力エラーが残っています／","")&amp;IF(AND($B590&lt;&gt;"",$AQ590&lt;&gt;""),IF(COUNTIFS($B$6:$B$3005,$B590,$C$6:$C$3005,$C590,$D$6:$D$3005,$D590)&gt;1,"同じ月の請求が重複しています／",""),"")&amp;IF(AND(N($E590)&gt;0,$AB590&lt;&gt;"",$AB590&lt;&gt;"×",$AE590=0,$AD590=""),"計算額が下限以下のため不支給／",""))</f>
        <v/>
      </c>
      <c r="AN590" s="12" t="n"/>
      <c r="AO590" s="14">
        <f>IF($AF590="保留中",COUNTIF($AF$6:$AF590,"保留中"),"")</f>
        <v/>
      </c>
      <c r="AP590" s="14">
        <f>IF($AQ590="","",IF(SUMPRODUCT(MAX((職員マスタ!$A$6:$A$405=$B590)*(((職員マスタ!$G$6:$G$405="")+(職員マスタ!$G$6:$G$405&lt;=EOMONTH($AQ590,0)))&gt;0)*(((職員マスタ!$H$6:$H$405="")+(職員マスタ!$H$6:$H$405&gt;=$AQ590))&gt;0)*(ROW(職員マスタ!$A$6:$A$405)-5)))&gt;0,SUMPRODUCT(MAX((職員マスタ!$A$6:$A$405=$B590)*(((職員マスタ!$G$6:$G$405="")+(職員マスタ!$G$6:$G$405&lt;=EOMONTH($AQ590,0)))&gt;0)*(((職員マスタ!$H$6:$H$405="")+(職員マスタ!$H$6:$H$405&gt;=$AQ590))&gt;0)*(ROW(職員マスタ!$A$6:$A$405)-5))),IFERROR(MATCH($B590,職員マスタ!$A$6:$A$405,0),"")))</f>
        <v/>
      </c>
      <c r="AQ590" s="16">
        <f>IF(OR($B590="",$C590="",$D590=""),"",DATE($C590+2018,$D590,1))</f>
        <v/>
      </c>
    </row>
    <row r="591">
      <c r="A591" s="11" t="n"/>
      <c r="B591" s="12" t="n"/>
      <c r="C591" s="12" t="n"/>
      <c r="D591" s="12" t="n"/>
      <c r="E591" s="13" t="n"/>
      <c r="F591" s="12" t="n"/>
      <c r="G591" s="13" t="n"/>
      <c r="H591" s="12" t="n"/>
      <c r="I591" s="12" t="n"/>
      <c r="J591" s="12" t="n"/>
      <c r="K591" s="12" t="n"/>
      <c r="L591" s="11" t="n"/>
      <c r="M591" s="11" t="n"/>
      <c r="N591" s="11" t="n"/>
      <c r="O591" s="11" t="n"/>
      <c r="P591" s="12" t="n"/>
      <c r="Q591" s="11" t="n"/>
      <c r="R591" s="12" t="n"/>
      <c r="S591" s="11" t="n"/>
      <c r="T591" s="12" t="n"/>
      <c r="U591" s="12" t="n"/>
      <c r="V591" s="12" t="n"/>
      <c r="W591" s="13" t="n"/>
      <c r="X591" s="14">
        <f>IF($AP591="",IF($B591="","",$H591),IF(INDEX(職員マスタ!$B$6:$B$405,$AP591)="",$H591,INDEX(職員マスタ!$B$6:$B$405,$AP591)))</f>
        <v/>
      </c>
      <c r="Y591" s="14">
        <f>IF($AP591="",IF($B591="","",$R591),IF(INDEX(職員マスタ!$C$6:$C$405,$AP591)="",$R591,INDEX(職員マスタ!$C$6:$C$405,$AP591)))</f>
        <v/>
      </c>
      <c r="Z591" s="14">
        <f>IF($AQ591="","","R"&amp;$C591&amp;"."&amp;$D591)</f>
        <v/>
      </c>
      <c r="AA591" s="15">
        <f>IF(IF($AP591="",FALSE,INDEX(職員マスタ!$K$6:$K$405,$AP591)&lt;&gt;""),INDEX(職員マスタ!$K$6:$K$405,$AP591),IF(N($W591)&gt;0,$W591,""))</f>
        <v/>
      </c>
      <c r="AB591" s="14">
        <f>IF(OR($E591="",$AA591=""),"",IF($E591&gt;=$AA591,"×",IF($E591&gt;=$AA591*設定!$C$5,"△","○")))</f>
        <v/>
      </c>
      <c r="AC591" s="15">
        <f>IF($AB591="","",IF($AB591="×",0,IF($AB591="○",ROUNDDOWN($E591*設定!$C$4,0),ROUNDDOWN($E591*ROUND((9*$AA591-9*$E591)/(10*$E591),4),0))))</f>
        <v/>
      </c>
      <c r="AD591" s="13" t="n"/>
      <c r="AE591" s="15">
        <f>IF($B591="","",IF($AD591&lt;&gt;"",$AD591,IF($AC591="","",IF($AC591&lt;=設定!$C$3,0,$AC591))))</f>
        <v/>
      </c>
      <c r="AF591" s="14">
        <f>IF($B591="","",IF(AND($AG591&lt;&gt;"",$AI591="",$AL591=""),"保留中",IF($AL591&lt;&gt;"",IF(N($AE591)&gt;0,"支給済","不支給"),IF($AE591="","要確認",IF($AE591=0,"不支給","未処理")))))</f>
        <v/>
      </c>
      <c r="AG591" s="12" t="n"/>
      <c r="AH591" s="11" t="n"/>
      <c r="AI591" s="11" t="n"/>
      <c r="AJ591" s="11" t="n"/>
      <c r="AK591" s="14">
        <f>IF(AND($AF591="保留中",$AH591&lt;&gt;""),TODAY()-$AH591,"")</f>
        <v/>
      </c>
      <c r="AL591" s="12" t="n"/>
      <c r="AM591" s="14">
        <f>IF($B591="","",IF($AQ591="","対象年月が未入力／","")&amp;IF($B591="","",IF($AP591="","職員マスタに未登録の職員番号／",IF($AA591="","標準報酬月額が未登録／","")&amp;IF(AND($AQ591&lt;&gt;"",OR(AND(INDEX(職員マスタ!$G$6:$G$405,$AP591)&lt;&gt;"",INDEX(職員マスタ!$G$6:$G$405,$AP591)&gt;EOMONTH($AQ591,0)),AND(INDEX(職員マスタ!$H$6:$H$405,$AP591)&lt;&gt;"",INDEX(職員マスタ!$H$6:$H$405,$AP591)&lt;$AQ591))),"対象月が時短期間外／","")&amp;IF(AND(INDEX(職員マスタ!$K$6:$K$405,$AP591)&lt;&gt;"",N($W591)&gt;0,INDEX(職員マスタ!$K$6:$K$405,$AP591)&lt;&gt;$W591),"標準報酬月額が申請書と相違（台帳"&amp;TEXT(INDEX(職員マスタ!$K$6:$K$405,$AP591),"#,##0")&amp;"円／申請書"&amp;TEXT($W591,"#,##0")&amp;"円）／","")&amp;IF(AND(INDEX(職員マスタ!$F$6:$F$405,$AP591)&lt;&gt;"",$AQ591&lt;&gt;"",INDEX(職員マスタ!$F$6:$F$405,$AP591)&lt;$AQ591),"対象月に子が2歳到達済／","")&amp;IF(AND($H591&lt;&gt;"",INDEX(職員マスタ!$B$6:$B$405,$AP591)&lt;&gt;"",SUBSTITUTE(SUBSTITUTE($H591," ","")," ","")&lt;&gt;SUBSTITUTE(SUBSTITUTE(INDEX(職員マスタ!$B$6:$B$405,$AP591)," ","")," ","")),"氏名がマスタと相違／","")&amp;IF(AND($Q591&lt;&gt;"",INDEX(職員マスタ!$E$6:$E$405,$AP591)&lt;&gt;"",$Q591&lt;&gt;INDEX(職員マスタ!$E$6:$E$405,$AP591)),"子の生年月日がマスタと相違／","")&amp;IF(AND($L591&lt;&gt;"",INDEX(職員マスタ!$G$6:$G$405,$AP591)&lt;&gt;"",$L591&lt;&gt;INDEX(職員マスタ!$G$6:$G$405,$AP591)),"時短開始日がマスタと相違／","")&amp;IF(AND($M591&lt;&gt;"",INDEX(職員マスタ!$H$6:$H$405,$AP591)&lt;&gt;"",$M591&lt;&gt;INDEX(職員マスタ!$H$6:$H$405,$AP591)),"時短終了日がマスタと相違／","")))&amp;IF(AND($B591&lt;&gt;"",$E591=""),"報酬額が未入力／","")&amp;IF(N($U591)&gt;0,"申請書に入力エラーが残っています／","")&amp;IF(AND($B591&lt;&gt;"",$AQ591&lt;&gt;""),IF(COUNTIFS($B$6:$B$3005,$B591,$C$6:$C$3005,$C591,$D$6:$D$3005,$D591)&gt;1,"同じ月の請求が重複しています／",""),"")&amp;IF(AND(N($E591)&gt;0,$AB591&lt;&gt;"",$AB591&lt;&gt;"×",$AE591=0,$AD591=""),"計算額が下限以下のため不支給／",""))</f>
        <v/>
      </c>
      <c r="AN591" s="12" t="n"/>
      <c r="AO591" s="14">
        <f>IF($AF591="保留中",COUNTIF($AF$6:$AF591,"保留中"),"")</f>
        <v/>
      </c>
      <c r="AP591" s="14">
        <f>IF($AQ591="","",IF(SUMPRODUCT(MAX((職員マスタ!$A$6:$A$405=$B591)*(((職員マスタ!$G$6:$G$405="")+(職員マスタ!$G$6:$G$405&lt;=EOMONTH($AQ591,0)))&gt;0)*(((職員マスタ!$H$6:$H$405="")+(職員マスタ!$H$6:$H$405&gt;=$AQ591))&gt;0)*(ROW(職員マスタ!$A$6:$A$405)-5)))&gt;0,SUMPRODUCT(MAX((職員マスタ!$A$6:$A$405=$B591)*(((職員マスタ!$G$6:$G$405="")+(職員マスタ!$G$6:$G$405&lt;=EOMONTH($AQ591,0)))&gt;0)*(((職員マスタ!$H$6:$H$405="")+(職員マスタ!$H$6:$H$405&gt;=$AQ591))&gt;0)*(ROW(職員マスタ!$A$6:$A$405)-5))),IFERROR(MATCH($B591,職員マスタ!$A$6:$A$405,0),"")))</f>
        <v/>
      </c>
      <c r="AQ591" s="16">
        <f>IF(OR($B591="",$C591="",$D591=""),"",DATE($C591+2018,$D591,1))</f>
        <v/>
      </c>
    </row>
    <row r="592">
      <c r="A592" s="11" t="n"/>
      <c r="B592" s="12" t="n"/>
      <c r="C592" s="12" t="n"/>
      <c r="D592" s="12" t="n"/>
      <c r="E592" s="13" t="n"/>
      <c r="F592" s="12" t="n"/>
      <c r="G592" s="13" t="n"/>
      <c r="H592" s="12" t="n"/>
      <c r="I592" s="12" t="n"/>
      <c r="J592" s="12" t="n"/>
      <c r="K592" s="12" t="n"/>
      <c r="L592" s="11" t="n"/>
      <c r="M592" s="11" t="n"/>
      <c r="N592" s="11" t="n"/>
      <c r="O592" s="11" t="n"/>
      <c r="P592" s="12" t="n"/>
      <c r="Q592" s="11" t="n"/>
      <c r="R592" s="12" t="n"/>
      <c r="S592" s="11" t="n"/>
      <c r="T592" s="12" t="n"/>
      <c r="U592" s="12" t="n"/>
      <c r="V592" s="12" t="n"/>
      <c r="W592" s="13" t="n"/>
      <c r="X592" s="14">
        <f>IF($AP592="",IF($B592="","",$H592),IF(INDEX(職員マスタ!$B$6:$B$405,$AP592)="",$H592,INDEX(職員マスタ!$B$6:$B$405,$AP592)))</f>
        <v/>
      </c>
      <c r="Y592" s="14">
        <f>IF($AP592="",IF($B592="","",$R592),IF(INDEX(職員マスタ!$C$6:$C$405,$AP592)="",$R592,INDEX(職員マスタ!$C$6:$C$405,$AP592)))</f>
        <v/>
      </c>
      <c r="Z592" s="14">
        <f>IF($AQ592="","","R"&amp;$C592&amp;"."&amp;$D592)</f>
        <v/>
      </c>
      <c r="AA592" s="15">
        <f>IF(IF($AP592="",FALSE,INDEX(職員マスタ!$K$6:$K$405,$AP592)&lt;&gt;""),INDEX(職員マスタ!$K$6:$K$405,$AP592),IF(N($W592)&gt;0,$W592,""))</f>
        <v/>
      </c>
      <c r="AB592" s="14">
        <f>IF(OR($E592="",$AA592=""),"",IF($E592&gt;=$AA592,"×",IF($E592&gt;=$AA592*設定!$C$5,"△","○")))</f>
        <v/>
      </c>
      <c r="AC592" s="15">
        <f>IF($AB592="","",IF($AB592="×",0,IF($AB592="○",ROUNDDOWN($E592*設定!$C$4,0),ROUNDDOWN($E592*ROUND((9*$AA592-9*$E592)/(10*$E592),4),0))))</f>
        <v/>
      </c>
      <c r="AD592" s="13" t="n"/>
      <c r="AE592" s="15">
        <f>IF($B592="","",IF($AD592&lt;&gt;"",$AD592,IF($AC592="","",IF($AC592&lt;=設定!$C$3,0,$AC592))))</f>
        <v/>
      </c>
      <c r="AF592" s="14">
        <f>IF($B592="","",IF(AND($AG592&lt;&gt;"",$AI592="",$AL592=""),"保留中",IF($AL592&lt;&gt;"",IF(N($AE592)&gt;0,"支給済","不支給"),IF($AE592="","要確認",IF($AE592=0,"不支給","未処理")))))</f>
        <v/>
      </c>
      <c r="AG592" s="12" t="n"/>
      <c r="AH592" s="11" t="n"/>
      <c r="AI592" s="11" t="n"/>
      <c r="AJ592" s="11" t="n"/>
      <c r="AK592" s="14">
        <f>IF(AND($AF592="保留中",$AH592&lt;&gt;""),TODAY()-$AH592,"")</f>
        <v/>
      </c>
      <c r="AL592" s="12" t="n"/>
      <c r="AM592" s="14">
        <f>IF($B592="","",IF($AQ592="","対象年月が未入力／","")&amp;IF($B592="","",IF($AP592="","職員マスタに未登録の職員番号／",IF($AA592="","標準報酬月額が未登録／","")&amp;IF(AND($AQ592&lt;&gt;"",OR(AND(INDEX(職員マスタ!$G$6:$G$405,$AP592)&lt;&gt;"",INDEX(職員マスタ!$G$6:$G$405,$AP592)&gt;EOMONTH($AQ592,0)),AND(INDEX(職員マスタ!$H$6:$H$405,$AP592)&lt;&gt;"",INDEX(職員マスタ!$H$6:$H$405,$AP592)&lt;$AQ592))),"対象月が時短期間外／","")&amp;IF(AND(INDEX(職員マスタ!$K$6:$K$405,$AP592)&lt;&gt;"",N($W592)&gt;0,INDEX(職員マスタ!$K$6:$K$405,$AP592)&lt;&gt;$W592),"標準報酬月額が申請書と相違（台帳"&amp;TEXT(INDEX(職員マスタ!$K$6:$K$405,$AP592),"#,##0")&amp;"円／申請書"&amp;TEXT($W592,"#,##0")&amp;"円）／","")&amp;IF(AND(INDEX(職員マスタ!$F$6:$F$405,$AP592)&lt;&gt;"",$AQ592&lt;&gt;"",INDEX(職員マスタ!$F$6:$F$405,$AP592)&lt;$AQ592),"対象月に子が2歳到達済／","")&amp;IF(AND($H592&lt;&gt;"",INDEX(職員マスタ!$B$6:$B$405,$AP592)&lt;&gt;"",SUBSTITUTE(SUBSTITUTE($H592," ","")," ","")&lt;&gt;SUBSTITUTE(SUBSTITUTE(INDEX(職員マスタ!$B$6:$B$405,$AP592)," ","")," ","")),"氏名がマスタと相違／","")&amp;IF(AND($Q592&lt;&gt;"",INDEX(職員マスタ!$E$6:$E$405,$AP592)&lt;&gt;"",$Q592&lt;&gt;INDEX(職員マスタ!$E$6:$E$405,$AP592)),"子の生年月日がマスタと相違／","")&amp;IF(AND($L592&lt;&gt;"",INDEX(職員マスタ!$G$6:$G$405,$AP592)&lt;&gt;"",$L592&lt;&gt;INDEX(職員マスタ!$G$6:$G$405,$AP592)),"時短開始日がマスタと相違／","")&amp;IF(AND($M592&lt;&gt;"",INDEX(職員マスタ!$H$6:$H$405,$AP592)&lt;&gt;"",$M592&lt;&gt;INDEX(職員マスタ!$H$6:$H$405,$AP592)),"時短終了日がマスタと相違／","")))&amp;IF(AND($B592&lt;&gt;"",$E592=""),"報酬額が未入力／","")&amp;IF(N($U592)&gt;0,"申請書に入力エラーが残っています／","")&amp;IF(AND($B592&lt;&gt;"",$AQ592&lt;&gt;""),IF(COUNTIFS($B$6:$B$3005,$B592,$C$6:$C$3005,$C592,$D$6:$D$3005,$D592)&gt;1,"同じ月の請求が重複しています／",""),"")&amp;IF(AND(N($E592)&gt;0,$AB592&lt;&gt;"",$AB592&lt;&gt;"×",$AE592=0,$AD592=""),"計算額が下限以下のため不支給／",""))</f>
        <v/>
      </c>
      <c r="AN592" s="12" t="n"/>
      <c r="AO592" s="14">
        <f>IF($AF592="保留中",COUNTIF($AF$6:$AF592,"保留中"),"")</f>
        <v/>
      </c>
      <c r="AP592" s="14">
        <f>IF($AQ592="","",IF(SUMPRODUCT(MAX((職員マスタ!$A$6:$A$405=$B592)*(((職員マスタ!$G$6:$G$405="")+(職員マスタ!$G$6:$G$405&lt;=EOMONTH($AQ592,0)))&gt;0)*(((職員マスタ!$H$6:$H$405="")+(職員マスタ!$H$6:$H$405&gt;=$AQ592))&gt;0)*(ROW(職員マスタ!$A$6:$A$405)-5)))&gt;0,SUMPRODUCT(MAX((職員マスタ!$A$6:$A$405=$B592)*(((職員マスタ!$G$6:$G$405="")+(職員マスタ!$G$6:$G$405&lt;=EOMONTH($AQ592,0)))&gt;0)*(((職員マスタ!$H$6:$H$405="")+(職員マスタ!$H$6:$H$405&gt;=$AQ592))&gt;0)*(ROW(職員マスタ!$A$6:$A$405)-5))),IFERROR(MATCH($B592,職員マスタ!$A$6:$A$405,0),"")))</f>
        <v/>
      </c>
      <c r="AQ592" s="16">
        <f>IF(OR($B592="",$C592="",$D592=""),"",DATE($C592+2018,$D592,1))</f>
        <v/>
      </c>
    </row>
    <row r="593">
      <c r="A593" s="11" t="n"/>
      <c r="B593" s="12" t="n"/>
      <c r="C593" s="12" t="n"/>
      <c r="D593" s="12" t="n"/>
      <c r="E593" s="13" t="n"/>
      <c r="F593" s="12" t="n"/>
      <c r="G593" s="13" t="n"/>
      <c r="H593" s="12" t="n"/>
      <c r="I593" s="12" t="n"/>
      <c r="J593" s="12" t="n"/>
      <c r="K593" s="12" t="n"/>
      <c r="L593" s="11" t="n"/>
      <c r="M593" s="11" t="n"/>
      <c r="N593" s="11" t="n"/>
      <c r="O593" s="11" t="n"/>
      <c r="P593" s="12" t="n"/>
      <c r="Q593" s="11" t="n"/>
      <c r="R593" s="12" t="n"/>
      <c r="S593" s="11" t="n"/>
      <c r="T593" s="12" t="n"/>
      <c r="U593" s="12" t="n"/>
      <c r="V593" s="12" t="n"/>
      <c r="W593" s="13" t="n"/>
      <c r="X593" s="14">
        <f>IF($AP593="",IF($B593="","",$H593),IF(INDEX(職員マスタ!$B$6:$B$405,$AP593)="",$H593,INDEX(職員マスタ!$B$6:$B$405,$AP593)))</f>
        <v/>
      </c>
      <c r="Y593" s="14">
        <f>IF($AP593="",IF($B593="","",$R593),IF(INDEX(職員マスタ!$C$6:$C$405,$AP593)="",$R593,INDEX(職員マスタ!$C$6:$C$405,$AP593)))</f>
        <v/>
      </c>
      <c r="Z593" s="14">
        <f>IF($AQ593="","","R"&amp;$C593&amp;"."&amp;$D593)</f>
        <v/>
      </c>
      <c r="AA593" s="15">
        <f>IF(IF($AP593="",FALSE,INDEX(職員マスタ!$K$6:$K$405,$AP593)&lt;&gt;""),INDEX(職員マスタ!$K$6:$K$405,$AP593),IF(N($W593)&gt;0,$W593,""))</f>
        <v/>
      </c>
      <c r="AB593" s="14">
        <f>IF(OR($E593="",$AA593=""),"",IF($E593&gt;=$AA593,"×",IF($E593&gt;=$AA593*設定!$C$5,"△","○")))</f>
        <v/>
      </c>
      <c r="AC593" s="15">
        <f>IF($AB593="","",IF($AB593="×",0,IF($AB593="○",ROUNDDOWN($E593*設定!$C$4,0),ROUNDDOWN($E593*ROUND((9*$AA593-9*$E593)/(10*$E593),4),0))))</f>
        <v/>
      </c>
      <c r="AD593" s="13" t="n"/>
      <c r="AE593" s="15">
        <f>IF($B593="","",IF($AD593&lt;&gt;"",$AD593,IF($AC593="","",IF($AC593&lt;=設定!$C$3,0,$AC593))))</f>
        <v/>
      </c>
      <c r="AF593" s="14">
        <f>IF($B593="","",IF(AND($AG593&lt;&gt;"",$AI593="",$AL593=""),"保留中",IF($AL593&lt;&gt;"",IF(N($AE593)&gt;0,"支給済","不支給"),IF($AE593="","要確認",IF($AE593=0,"不支給","未処理")))))</f>
        <v/>
      </c>
      <c r="AG593" s="12" t="n"/>
      <c r="AH593" s="11" t="n"/>
      <c r="AI593" s="11" t="n"/>
      <c r="AJ593" s="11" t="n"/>
      <c r="AK593" s="14">
        <f>IF(AND($AF593="保留中",$AH593&lt;&gt;""),TODAY()-$AH593,"")</f>
        <v/>
      </c>
      <c r="AL593" s="12" t="n"/>
      <c r="AM593" s="14">
        <f>IF($B593="","",IF($AQ593="","対象年月が未入力／","")&amp;IF($B593="","",IF($AP593="","職員マスタに未登録の職員番号／",IF($AA593="","標準報酬月額が未登録／","")&amp;IF(AND($AQ593&lt;&gt;"",OR(AND(INDEX(職員マスタ!$G$6:$G$405,$AP593)&lt;&gt;"",INDEX(職員マスタ!$G$6:$G$405,$AP593)&gt;EOMONTH($AQ593,0)),AND(INDEX(職員マスタ!$H$6:$H$405,$AP593)&lt;&gt;"",INDEX(職員マスタ!$H$6:$H$405,$AP593)&lt;$AQ593))),"対象月が時短期間外／","")&amp;IF(AND(INDEX(職員マスタ!$K$6:$K$405,$AP593)&lt;&gt;"",N($W593)&gt;0,INDEX(職員マスタ!$K$6:$K$405,$AP593)&lt;&gt;$W593),"標準報酬月額が申請書と相違（台帳"&amp;TEXT(INDEX(職員マスタ!$K$6:$K$405,$AP593),"#,##0")&amp;"円／申請書"&amp;TEXT($W593,"#,##0")&amp;"円）／","")&amp;IF(AND(INDEX(職員マスタ!$F$6:$F$405,$AP593)&lt;&gt;"",$AQ593&lt;&gt;"",INDEX(職員マスタ!$F$6:$F$405,$AP593)&lt;$AQ593),"対象月に子が2歳到達済／","")&amp;IF(AND($H593&lt;&gt;"",INDEX(職員マスタ!$B$6:$B$405,$AP593)&lt;&gt;"",SUBSTITUTE(SUBSTITUTE($H593," ","")," ","")&lt;&gt;SUBSTITUTE(SUBSTITUTE(INDEX(職員マスタ!$B$6:$B$405,$AP593)," ","")," ","")),"氏名がマスタと相違／","")&amp;IF(AND($Q593&lt;&gt;"",INDEX(職員マスタ!$E$6:$E$405,$AP593)&lt;&gt;"",$Q593&lt;&gt;INDEX(職員マスタ!$E$6:$E$405,$AP593)),"子の生年月日がマスタと相違／","")&amp;IF(AND($L593&lt;&gt;"",INDEX(職員マスタ!$G$6:$G$405,$AP593)&lt;&gt;"",$L593&lt;&gt;INDEX(職員マスタ!$G$6:$G$405,$AP593)),"時短開始日がマスタと相違／","")&amp;IF(AND($M593&lt;&gt;"",INDEX(職員マスタ!$H$6:$H$405,$AP593)&lt;&gt;"",$M593&lt;&gt;INDEX(職員マスタ!$H$6:$H$405,$AP593)),"時短終了日がマスタと相違／","")))&amp;IF(AND($B593&lt;&gt;"",$E593=""),"報酬額が未入力／","")&amp;IF(N($U593)&gt;0,"申請書に入力エラーが残っています／","")&amp;IF(AND($B593&lt;&gt;"",$AQ593&lt;&gt;""),IF(COUNTIFS($B$6:$B$3005,$B593,$C$6:$C$3005,$C593,$D$6:$D$3005,$D593)&gt;1,"同じ月の請求が重複しています／",""),"")&amp;IF(AND(N($E593)&gt;0,$AB593&lt;&gt;"",$AB593&lt;&gt;"×",$AE593=0,$AD593=""),"計算額が下限以下のため不支給／",""))</f>
        <v/>
      </c>
      <c r="AN593" s="12" t="n"/>
      <c r="AO593" s="14">
        <f>IF($AF593="保留中",COUNTIF($AF$6:$AF593,"保留中"),"")</f>
        <v/>
      </c>
      <c r="AP593" s="14">
        <f>IF($AQ593="","",IF(SUMPRODUCT(MAX((職員マスタ!$A$6:$A$405=$B593)*(((職員マスタ!$G$6:$G$405="")+(職員マスタ!$G$6:$G$405&lt;=EOMONTH($AQ593,0)))&gt;0)*(((職員マスタ!$H$6:$H$405="")+(職員マスタ!$H$6:$H$405&gt;=$AQ593))&gt;0)*(ROW(職員マスタ!$A$6:$A$405)-5)))&gt;0,SUMPRODUCT(MAX((職員マスタ!$A$6:$A$405=$B593)*(((職員マスタ!$G$6:$G$405="")+(職員マスタ!$G$6:$G$405&lt;=EOMONTH($AQ593,0)))&gt;0)*(((職員マスタ!$H$6:$H$405="")+(職員マスタ!$H$6:$H$405&gt;=$AQ593))&gt;0)*(ROW(職員マスタ!$A$6:$A$405)-5))),IFERROR(MATCH($B593,職員マスタ!$A$6:$A$405,0),"")))</f>
        <v/>
      </c>
      <c r="AQ593" s="16">
        <f>IF(OR($B593="",$C593="",$D593=""),"",DATE($C593+2018,$D593,1))</f>
        <v/>
      </c>
    </row>
    <row r="594">
      <c r="A594" s="11" t="n"/>
      <c r="B594" s="12" t="n"/>
      <c r="C594" s="12" t="n"/>
      <c r="D594" s="12" t="n"/>
      <c r="E594" s="13" t="n"/>
      <c r="F594" s="12" t="n"/>
      <c r="G594" s="13" t="n"/>
      <c r="H594" s="12" t="n"/>
      <c r="I594" s="12" t="n"/>
      <c r="J594" s="12" t="n"/>
      <c r="K594" s="12" t="n"/>
      <c r="L594" s="11" t="n"/>
      <c r="M594" s="11" t="n"/>
      <c r="N594" s="11" t="n"/>
      <c r="O594" s="11" t="n"/>
      <c r="P594" s="12" t="n"/>
      <c r="Q594" s="11" t="n"/>
      <c r="R594" s="12" t="n"/>
      <c r="S594" s="11" t="n"/>
      <c r="T594" s="12" t="n"/>
      <c r="U594" s="12" t="n"/>
      <c r="V594" s="12" t="n"/>
      <c r="W594" s="13" t="n"/>
      <c r="X594" s="14">
        <f>IF($AP594="",IF($B594="","",$H594),IF(INDEX(職員マスタ!$B$6:$B$405,$AP594)="",$H594,INDEX(職員マスタ!$B$6:$B$405,$AP594)))</f>
        <v/>
      </c>
      <c r="Y594" s="14">
        <f>IF($AP594="",IF($B594="","",$R594),IF(INDEX(職員マスタ!$C$6:$C$405,$AP594)="",$R594,INDEX(職員マスタ!$C$6:$C$405,$AP594)))</f>
        <v/>
      </c>
      <c r="Z594" s="14">
        <f>IF($AQ594="","","R"&amp;$C594&amp;"."&amp;$D594)</f>
        <v/>
      </c>
      <c r="AA594" s="15">
        <f>IF(IF($AP594="",FALSE,INDEX(職員マスタ!$K$6:$K$405,$AP594)&lt;&gt;""),INDEX(職員マスタ!$K$6:$K$405,$AP594),IF(N($W594)&gt;0,$W594,""))</f>
        <v/>
      </c>
      <c r="AB594" s="14">
        <f>IF(OR($E594="",$AA594=""),"",IF($E594&gt;=$AA594,"×",IF($E594&gt;=$AA594*設定!$C$5,"△","○")))</f>
        <v/>
      </c>
      <c r="AC594" s="15">
        <f>IF($AB594="","",IF($AB594="×",0,IF($AB594="○",ROUNDDOWN($E594*設定!$C$4,0),ROUNDDOWN($E594*ROUND((9*$AA594-9*$E594)/(10*$E594),4),0))))</f>
        <v/>
      </c>
      <c r="AD594" s="13" t="n"/>
      <c r="AE594" s="15">
        <f>IF($B594="","",IF($AD594&lt;&gt;"",$AD594,IF($AC594="","",IF($AC594&lt;=設定!$C$3,0,$AC594))))</f>
        <v/>
      </c>
      <c r="AF594" s="14">
        <f>IF($B594="","",IF(AND($AG594&lt;&gt;"",$AI594="",$AL594=""),"保留中",IF($AL594&lt;&gt;"",IF(N($AE594)&gt;0,"支給済","不支給"),IF($AE594="","要確認",IF($AE594=0,"不支給","未処理")))))</f>
        <v/>
      </c>
      <c r="AG594" s="12" t="n"/>
      <c r="AH594" s="11" t="n"/>
      <c r="AI594" s="11" t="n"/>
      <c r="AJ594" s="11" t="n"/>
      <c r="AK594" s="14">
        <f>IF(AND($AF594="保留中",$AH594&lt;&gt;""),TODAY()-$AH594,"")</f>
        <v/>
      </c>
      <c r="AL594" s="12" t="n"/>
      <c r="AM594" s="14">
        <f>IF($B594="","",IF($AQ594="","対象年月が未入力／","")&amp;IF($B594="","",IF($AP594="","職員マスタに未登録の職員番号／",IF($AA594="","標準報酬月額が未登録／","")&amp;IF(AND($AQ594&lt;&gt;"",OR(AND(INDEX(職員マスタ!$G$6:$G$405,$AP594)&lt;&gt;"",INDEX(職員マスタ!$G$6:$G$405,$AP594)&gt;EOMONTH($AQ594,0)),AND(INDEX(職員マスタ!$H$6:$H$405,$AP594)&lt;&gt;"",INDEX(職員マスタ!$H$6:$H$405,$AP594)&lt;$AQ594))),"対象月が時短期間外／","")&amp;IF(AND(INDEX(職員マスタ!$K$6:$K$405,$AP594)&lt;&gt;"",N($W594)&gt;0,INDEX(職員マスタ!$K$6:$K$405,$AP594)&lt;&gt;$W594),"標準報酬月額が申請書と相違（台帳"&amp;TEXT(INDEX(職員マスタ!$K$6:$K$405,$AP594),"#,##0")&amp;"円／申請書"&amp;TEXT($W594,"#,##0")&amp;"円）／","")&amp;IF(AND(INDEX(職員マスタ!$F$6:$F$405,$AP594)&lt;&gt;"",$AQ594&lt;&gt;"",INDEX(職員マスタ!$F$6:$F$405,$AP594)&lt;$AQ594),"対象月に子が2歳到達済／","")&amp;IF(AND($H594&lt;&gt;"",INDEX(職員マスタ!$B$6:$B$405,$AP594)&lt;&gt;"",SUBSTITUTE(SUBSTITUTE($H594," ","")," ","")&lt;&gt;SUBSTITUTE(SUBSTITUTE(INDEX(職員マスタ!$B$6:$B$405,$AP594)," ","")," ","")),"氏名がマスタと相違／","")&amp;IF(AND($Q594&lt;&gt;"",INDEX(職員マスタ!$E$6:$E$405,$AP594)&lt;&gt;"",$Q594&lt;&gt;INDEX(職員マスタ!$E$6:$E$405,$AP594)),"子の生年月日がマスタと相違／","")&amp;IF(AND($L594&lt;&gt;"",INDEX(職員マスタ!$G$6:$G$405,$AP594)&lt;&gt;"",$L594&lt;&gt;INDEX(職員マスタ!$G$6:$G$405,$AP594)),"時短開始日がマスタと相違／","")&amp;IF(AND($M594&lt;&gt;"",INDEX(職員マスタ!$H$6:$H$405,$AP594)&lt;&gt;"",$M594&lt;&gt;INDEX(職員マスタ!$H$6:$H$405,$AP594)),"時短終了日がマスタと相違／","")))&amp;IF(AND($B594&lt;&gt;"",$E594=""),"報酬額が未入力／","")&amp;IF(N($U594)&gt;0,"申請書に入力エラーが残っています／","")&amp;IF(AND($B594&lt;&gt;"",$AQ594&lt;&gt;""),IF(COUNTIFS($B$6:$B$3005,$B594,$C$6:$C$3005,$C594,$D$6:$D$3005,$D594)&gt;1,"同じ月の請求が重複しています／",""),"")&amp;IF(AND(N($E594)&gt;0,$AB594&lt;&gt;"",$AB594&lt;&gt;"×",$AE594=0,$AD594=""),"計算額が下限以下のため不支給／",""))</f>
        <v/>
      </c>
      <c r="AN594" s="12" t="n"/>
      <c r="AO594" s="14">
        <f>IF($AF594="保留中",COUNTIF($AF$6:$AF594,"保留中"),"")</f>
        <v/>
      </c>
      <c r="AP594" s="14">
        <f>IF($AQ594="","",IF(SUMPRODUCT(MAX((職員マスタ!$A$6:$A$405=$B594)*(((職員マスタ!$G$6:$G$405="")+(職員マスタ!$G$6:$G$405&lt;=EOMONTH($AQ594,0)))&gt;0)*(((職員マスタ!$H$6:$H$405="")+(職員マスタ!$H$6:$H$405&gt;=$AQ594))&gt;0)*(ROW(職員マスタ!$A$6:$A$405)-5)))&gt;0,SUMPRODUCT(MAX((職員マスタ!$A$6:$A$405=$B594)*(((職員マスタ!$G$6:$G$405="")+(職員マスタ!$G$6:$G$405&lt;=EOMONTH($AQ594,0)))&gt;0)*(((職員マスタ!$H$6:$H$405="")+(職員マスタ!$H$6:$H$405&gt;=$AQ594))&gt;0)*(ROW(職員マスタ!$A$6:$A$405)-5))),IFERROR(MATCH($B594,職員マスタ!$A$6:$A$405,0),"")))</f>
        <v/>
      </c>
      <c r="AQ594" s="16">
        <f>IF(OR($B594="",$C594="",$D594=""),"",DATE($C594+2018,$D594,1))</f>
        <v/>
      </c>
    </row>
    <row r="595">
      <c r="A595" s="11" t="n"/>
      <c r="B595" s="12" t="n"/>
      <c r="C595" s="12" t="n"/>
      <c r="D595" s="12" t="n"/>
      <c r="E595" s="13" t="n"/>
      <c r="F595" s="12" t="n"/>
      <c r="G595" s="13" t="n"/>
      <c r="H595" s="12" t="n"/>
      <c r="I595" s="12" t="n"/>
      <c r="J595" s="12" t="n"/>
      <c r="K595" s="12" t="n"/>
      <c r="L595" s="11" t="n"/>
      <c r="M595" s="11" t="n"/>
      <c r="N595" s="11" t="n"/>
      <c r="O595" s="11" t="n"/>
      <c r="P595" s="12" t="n"/>
      <c r="Q595" s="11" t="n"/>
      <c r="R595" s="12" t="n"/>
      <c r="S595" s="11" t="n"/>
      <c r="T595" s="12" t="n"/>
      <c r="U595" s="12" t="n"/>
      <c r="V595" s="12" t="n"/>
      <c r="W595" s="13" t="n"/>
      <c r="X595" s="14">
        <f>IF($AP595="",IF($B595="","",$H595),IF(INDEX(職員マスタ!$B$6:$B$405,$AP595)="",$H595,INDEX(職員マスタ!$B$6:$B$405,$AP595)))</f>
        <v/>
      </c>
      <c r="Y595" s="14">
        <f>IF($AP595="",IF($B595="","",$R595),IF(INDEX(職員マスタ!$C$6:$C$405,$AP595)="",$R595,INDEX(職員マスタ!$C$6:$C$405,$AP595)))</f>
        <v/>
      </c>
      <c r="Z595" s="14">
        <f>IF($AQ595="","","R"&amp;$C595&amp;"."&amp;$D595)</f>
        <v/>
      </c>
      <c r="AA595" s="15">
        <f>IF(IF($AP595="",FALSE,INDEX(職員マスタ!$K$6:$K$405,$AP595)&lt;&gt;""),INDEX(職員マスタ!$K$6:$K$405,$AP595),IF(N($W595)&gt;0,$W595,""))</f>
        <v/>
      </c>
      <c r="AB595" s="14">
        <f>IF(OR($E595="",$AA595=""),"",IF($E595&gt;=$AA595,"×",IF($E595&gt;=$AA595*設定!$C$5,"△","○")))</f>
        <v/>
      </c>
      <c r="AC595" s="15">
        <f>IF($AB595="","",IF($AB595="×",0,IF($AB595="○",ROUNDDOWN($E595*設定!$C$4,0),ROUNDDOWN($E595*ROUND((9*$AA595-9*$E595)/(10*$E595),4),0))))</f>
        <v/>
      </c>
      <c r="AD595" s="13" t="n"/>
      <c r="AE595" s="15">
        <f>IF($B595="","",IF($AD595&lt;&gt;"",$AD595,IF($AC595="","",IF($AC595&lt;=設定!$C$3,0,$AC595))))</f>
        <v/>
      </c>
      <c r="AF595" s="14">
        <f>IF($B595="","",IF(AND($AG595&lt;&gt;"",$AI595="",$AL595=""),"保留中",IF($AL595&lt;&gt;"",IF(N($AE595)&gt;0,"支給済","不支給"),IF($AE595="","要確認",IF($AE595=0,"不支給","未処理")))))</f>
        <v/>
      </c>
      <c r="AG595" s="12" t="n"/>
      <c r="AH595" s="11" t="n"/>
      <c r="AI595" s="11" t="n"/>
      <c r="AJ595" s="11" t="n"/>
      <c r="AK595" s="14">
        <f>IF(AND($AF595="保留中",$AH595&lt;&gt;""),TODAY()-$AH595,"")</f>
        <v/>
      </c>
      <c r="AL595" s="12" t="n"/>
      <c r="AM595" s="14">
        <f>IF($B595="","",IF($AQ595="","対象年月が未入力／","")&amp;IF($B595="","",IF($AP595="","職員マスタに未登録の職員番号／",IF($AA595="","標準報酬月額が未登録／","")&amp;IF(AND($AQ595&lt;&gt;"",OR(AND(INDEX(職員マスタ!$G$6:$G$405,$AP595)&lt;&gt;"",INDEX(職員マスタ!$G$6:$G$405,$AP595)&gt;EOMONTH($AQ595,0)),AND(INDEX(職員マスタ!$H$6:$H$405,$AP595)&lt;&gt;"",INDEX(職員マスタ!$H$6:$H$405,$AP595)&lt;$AQ595))),"対象月が時短期間外／","")&amp;IF(AND(INDEX(職員マスタ!$K$6:$K$405,$AP595)&lt;&gt;"",N($W595)&gt;0,INDEX(職員マスタ!$K$6:$K$405,$AP595)&lt;&gt;$W595),"標準報酬月額が申請書と相違（台帳"&amp;TEXT(INDEX(職員マスタ!$K$6:$K$405,$AP595),"#,##0")&amp;"円／申請書"&amp;TEXT($W595,"#,##0")&amp;"円）／","")&amp;IF(AND(INDEX(職員マスタ!$F$6:$F$405,$AP595)&lt;&gt;"",$AQ595&lt;&gt;"",INDEX(職員マスタ!$F$6:$F$405,$AP595)&lt;$AQ595),"対象月に子が2歳到達済／","")&amp;IF(AND($H595&lt;&gt;"",INDEX(職員マスタ!$B$6:$B$405,$AP595)&lt;&gt;"",SUBSTITUTE(SUBSTITUTE($H595," ","")," ","")&lt;&gt;SUBSTITUTE(SUBSTITUTE(INDEX(職員マスタ!$B$6:$B$405,$AP595)," ","")," ","")),"氏名がマスタと相違／","")&amp;IF(AND($Q595&lt;&gt;"",INDEX(職員マスタ!$E$6:$E$405,$AP595)&lt;&gt;"",$Q595&lt;&gt;INDEX(職員マスタ!$E$6:$E$405,$AP595)),"子の生年月日がマスタと相違／","")&amp;IF(AND($L595&lt;&gt;"",INDEX(職員マスタ!$G$6:$G$405,$AP595)&lt;&gt;"",$L595&lt;&gt;INDEX(職員マスタ!$G$6:$G$405,$AP595)),"時短開始日がマスタと相違／","")&amp;IF(AND($M595&lt;&gt;"",INDEX(職員マスタ!$H$6:$H$405,$AP595)&lt;&gt;"",$M595&lt;&gt;INDEX(職員マスタ!$H$6:$H$405,$AP595)),"時短終了日がマスタと相違／","")))&amp;IF(AND($B595&lt;&gt;"",$E595=""),"報酬額が未入力／","")&amp;IF(N($U595)&gt;0,"申請書に入力エラーが残っています／","")&amp;IF(AND($B595&lt;&gt;"",$AQ595&lt;&gt;""),IF(COUNTIFS($B$6:$B$3005,$B595,$C$6:$C$3005,$C595,$D$6:$D$3005,$D595)&gt;1,"同じ月の請求が重複しています／",""),"")&amp;IF(AND(N($E595)&gt;0,$AB595&lt;&gt;"",$AB595&lt;&gt;"×",$AE595=0,$AD595=""),"計算額が下限以下のため不支給／",""))</f>
        <v/>
      </c>
      <c r="AN595" s="12" t="n"/>
      <c r="AO595" s="14">
        <f>IF($AF595="保留中",COUNTIF($AF$6:$AF595,"保留中"),"")</f>
        <v/>
      </c>
      <c r="AP595" s="14">
        <f>IF($AQ595="","",IF(SUMPRODUCT(MAX((職員マスタ!$A$6:$A$405=$B595)*(((職員マスタ!$G$6:$G$405="")+(職員マスタ!$G$6:$G$405&lt;=EOMONTH($AQ595,0)))&gt;0)*(((職員マスタ!$H$6:$H$405="")+(職員マスタ!$H$6:$H$405&gt;=$AQ595))&gt;0)*(ROW(職員マスタ!$A$6:$A$405)-5)))&gt;0,SUMPRODUCT(MAX((職員マスタ!$A$6:$A$405=$B595)*(((職員マスタ!$G$6:$G$405="")+(職員マスタ!$G$6:$G$405&lt;=EOMONTH($AQ595,0)))&gt;0)*(((職員マスタ!$H$6:$H$405="")+(職員マスタ!$H$6:$H$405&gt;=$AQ595))&gt;0)*(ROW(職員マスタ!$A$6:$A$405)-5))),IFERROR(MATCH($B595,職員マスタ!$A$6:$A$405,0),"")))</f>
        <v/>
      </c>
      <c r="AQ595" s="16">
        <f>IF(OR($B595="",$C595="",$D595=""),"",DATE($C595+2018,$D595,1))</f>
        <v/>
      </c>
    </row>
    <row r="596">
      <c r="A596" s="11" t="n"/>
      <c r="B596" s="12" t="n"/>
      <c r="C596" s="12" t="n"/>
      <c r="D596" s="12" t="n"/>
      <c r="E596" s="13" t="n"/>
      <c r="F596" s="12" t="n"/>
      <c r="G596" s="13" t="n"/>
      <c r="H596" s="12" t="n"/>
      <c r="I596" s="12" t="n"/>
      <c r="J596" s="12" t="n"/>
      <c r="K596" s="12" t="n"/>
      <c r="L596" s="11" t="n"/>
      <c r="M596" s="11" t="n"/>
      <c r="N596" s="11" t="n"/>
      <c r="O596" s="11" t="n"/>
      <c r="P596" s="12" t="n"/>
      <c r="Q596" s="11" t="n"/>
      <c r="R596" s="12" t="n"/>
      <c r="S596" s="11" t="n"/>
      <c r="T596" s="12" t="n"/>
      <c r="U596" s="12" t="n"/>
      <c r="V596" s="12" t="n"/>
      <c r="W596" s="13" t="n"/>
      <c r="X596" s="14">
        <f>IF($AP596="",IF($B596="","",$H596),IF(INDEX(職員マスタ!$B$6:$B$405,$AP596)="",$H596,INDEX(職員マスタ!$B$6:$B$405,$AP596)))</f>
        <v/>
      </c>
      <c r="Y596" s="14">
        <f>IF($AP596="",IF($B596="","",$R596),IF(INDEX(職員マスタ!$C$6:$C$405,$AP596)="",$R596,INDEX(職員マスタ!$C$6:$C$405,$AP596)))</f>
        <v/>
      </c>
      <c r="Z596" s="14">
        <f>IF($AQ596="","","R"&amp;$C596&amp;"."&amp;$D596)</f>
        <v/>
      </c>
      <c r="AA596" s="15">
        <f>IF(IF($AP596="",FALSE,INDEX(職員マスタ!$K$6:$K$405,$AP596)&lt;&gt;""),INDEX(職員マスタ!$K$6:$K$405,$AP596),IF(N($W596)&gt;0,$W596,""))</f>
        <v/>
      </c>
      <c r="AB596" s="14">
        <f>IF(OR($E596="",$AA596=""),"",IF($E596&gt;=$AA596,"×",IF($E596&gt;=$AA596*設定!$C$5,"△","○")))</f>
        <v/>
      </c>
      <c r="AC596" s="15">
        <f>IF($AB596="","",IF($AB596="×",0,IF($AB596="○",ROUNDDOWN($E596*設定!$C$4,0),ROUNDDOWN($E596*ROUND((9*$AA596-9*$E596)/(10*$E596),4),0))))</f>
        <v/>
      </c>
      <c r="AD596" s="13" t="n"/>
      <c r="AE596" s="15">
        <f>IF($B596="","",IF($AD596&lt;&gt;"",$AD596,IF($AC596="","",IF($AC596&lt;=設定!$C$3,0,$AC596))))</f>
        <v/>
      </c>
      <c r="AF596" s="14">
        <f>IF($B596="","",IF(AND($AG596&lt;&gt;"",$AI596="",$AL596=""),"保留中",IF($AL596&lt;&gt;"",IF(N($AE596)&gt;0,"支給済","不支給"),IF($AE596="","要確認",IF($AE596=0,"不支給","未処理")))))</f>
        <v/>
      </c>
      <c r="AG596" s="12" t="n"/>
      <c r="AH596" s="11" t="n"/>
      <c r="AI596" s="11" t="n"/>
      <c r="AJ596" s="11" t="n"/>
      <c r="AK596" s="14">
        <f>IF(AND($AF596="保留中",$AH596&lt;&gt;""),TODAY()-$AH596,"")</f>
        <v/>
      </c>
      <c r="AL596" s="12" t="n"/>
      <c r="AM596" s="14">
        <f>IF($B596="","",IF($AQ596="","対象年月が未入力／","")&amp;IF($B596="","",IF($AP596="","職員マスタに未登録の職員番号／",IF($AA596="","標準報酬月額が未登録／","")&amp;IF(AND($AQ596&lt;&gt;"",OR(AND(INDEX(職員マスタ!$G$6:$G$405,$AP596)&lt;&gt;"",INDEX(職員マスタ!$G$6:$G$405,$AP596)&gt;EOMONTH($AQ596,0)),AND(INDEX(職員マスタ!$H$6:$H$405,$AP596)&lt;&gt;"",INDEX(職員マスタ!$H$6:$H$405,$AP596)&lt;$AQ596))),"対象月が時短期間外／","")&amp;IF(AND(INDEX(職員マスタ!$K$6:$K$405,$AP596)&lt;&gt;"",N($W596)&gt;0,INDEX(職員マスタ!$K$6:$K$405,$AP596)&lt;&gt;$W596),"標準報酬月額が申請書と相違（台帳"&amp;TEXT(INDEX(職員マスタ!$K$6:$K$405,$AP596),"#,##0")&amp;"円／申請書"&amp;TEXT($W596,"#,##0")&amp;"円）／","")&amp;IF(AND(INDEX(職員マスタ!$F$6:$F$405,$AP596)&lt;&gt;"",$AQ596&lt;&gt;"",INDEX(職員マスタ!$F$6:$F$405,$AP596)&lt;$AQ596),"対象月に子が2歳到達済／","")&amp;IF(AND($H596&lt;&gt;"",INDEX(職員マスタ!$B$6:$B$405,$AP596)&lt;&gt;"",SUBSTITUTE(SUBSTITUTE($H596," ","")," ","")&lt;&gt;SUBSTITUTE(SUBSTITUTE(INDEX(職員マスタ!$B$6:$B$405,$AP596)," ","")," ","")),"氏名がマスタと相違／","")&amp;IF(AND($Q596&lt;&gt;"",INDEX(職員マスタ!$E$6:$E$405,$AP596)&lt;&gt;"",$Q596&lt;&gt;INDEX(職員マスタ!$E$6:$E$405,$AP596)),"子の生年月日がマスタと相違／","")&amp;IF(AND($L596&lt;&gt;"",INDEX(職員マスタ!$G$6:$G$405,$AP596)&lt;&gt;"",$L596&lt;&gt;INDEX(職員マスタ!$G$6:$G$405,$AP596)),"時短開始日がマスタと相違／","")&amp;IF(AND($M596&lt;&gt;"",INDEX(職員マスタ!$H$6:$H$405,$AP596)&lt;&gt;"",$M596&lt;&gt;INDEX(職員マスタ!$H$6:$H$405,$AP596)),"時短終了日がマスタと相違／","")))&amp;IF(AND($B596&lt;&gt;"",$E596=""),"報酬額が未入力／","")&amp;IF(N($U596)&gt;0,"申請書に入力エラーが残っています／","")&amp;IF(AND($B596&lt;&gt;"",$AQ596&lt;&gt;""),IF(COUNTIFS($B$6:$B$3005,$B596,$C$6:$C$3005,$C596,$D$6:$D$3005,$D596)&gt;1,"同じ月の請求が重複しています／",""),"")&amp;IF(AND(N($E596)&gt;0,$AB596&lt;&gt;"",$AB596&lt;&gt;"×",$AE596=0,$AD596=""),"計算額が下限以下のため不支給／",""))</f>
        <v/>
      </c>
      <c r="AN596" s="12" t="n"/>
      <c r="AO596" s="14">
        <f>IF($AF596="保留中",COUNTIF($AF$6:$AF596,"保留中"),"")</f>
        <v/>
      </c>
      <c r="AP596" s="14">
        <f>IF($AQ596="","",IF(SUMPRODUCT(MAX((職員マスタ!$A$6:$A$405=$B596)*(((職員マスタ!$G$6:$G$405="")+(職員マスタ!$G$6:$G$405&lt;=EOMONTH($AQ596,0)))&gt;0)*(((職員マスタ!$H$6:$H$405="")+(職員マスタ!$H$6:$H$405&gt;=$AQ596))&gt;0)*(ROW(職員マスタ!$A$6:$A$405)-5)))&gt;0,SUMPRODUCT(MAX((職員マスタ!$A$6:$A$405=$B596)*(((職員マスタ!$G$6:$G$405="")+(職員マスタ!$G$6:$G$405&lt;=EOMONTH($AQ596,0)))&gt;0)*(((職員マスタ!$H$6:$H$405="")+(職員マスタ!$H$6:$H$405&gt;=$AQ596))&gt;0)*(ROW(職員マスタ!$A$6:$A$405)-5))),IFERROR(MATCH($B596,職員マスタ!$A$6:$A$405,0),"")))</f>
        <v/>
      </c>
      <c r="AQ596" s="16">
        <f>IF(OR($B596="",$C596="",$D596=""),"",DATE($C596+2018,$D596,1))</f>
        <v/>
      </c>
    </row>
    <row r="597">
      <c r="A597" s="11" t="n"/>
      <c r="B597" s="12" t="n"/>
      <c r="C597" s="12" t="n"/>
      <c r="D597" s="12" t="n"/>
      <c r="E597" s="13" t="n"/>
      <c r="F597" s="12" t="n"/>
      <c r="G597" s="13" t="n"/>
      <c r="H597" s="12" t="n"/>
      <c r="I597" s="12" t="n"/>
      <c r="J597" s="12" t="n"/>
      <c r="K597" s="12" t="n"/>
      <c r="L597" s="11" t="n"/>
      <c r="M597" s="11" t="n"/>
      <c r="N597" s="11" t="n"/>
      <c r="O597" s="11" t="n"/>
      <c r="P597" s="12" t="n"/>
      <c r="Q597" s="11" t="n"/>
      <c r="R597" s="12" t="n"/>
      <c r="S597" s="11" t="n"/>
      <c r="T597" s="12" t="n"/>
      <c r="U597" s="12" t="n"/>
      <c r="V597" s="12" t="n"/>
      <c r="W597" s="13" t="n"/>
      <c r="X597" s="14">
        <f>IF($AP597="",IF($B597="","",$H597),IF(INDEX(職員マスタ!$B$6:$B$405,$AP597)="",$H597,INDEX(職員マスタ!$B$6:$B$405,$AP597)))</f>
        <v/>
      </c>
      <c r="Y597" s="14">
        <f>IF($AP597="",IF($B597="","",$R597),IF(INDEX(職員マスタ!$C$6:$C$405,$AP597)="",$R597,INDEX(職員マスタ!$C$6:$C$405,$AP597)))</f>
        <v/>
      </c>
      <c r="Z597" s="14">
        <f>IF($AQ597="","","R"&amp;$C597&amp;"."&amp;$D597)</f>
        <v/>
      </c>
      <c r="AA597" s="15">
        <f>IF(IF($AP597="",FALSE,INDEX(職員マスタ!$K$6:$K$405,$AP597)&lt;&gt;""),INDEX(職員マスタ!$K$6:$K$405,$AP597),IF(N($W597)&gt;0,$W597,""))</f>
        <v/>
      </c>
      <c r="AB597" s="14">
        <f>IF(OR($E597="",$AA597=""),"",IF($E597&gt;=$AA597,"×",IF($E597&gt;=$AA597*設定!$C$5,"△","○")))</f>
        <v/>
      </c>
      <c r="AC597" s="15">
        <f>IF($AB597="","",IF($AB597="×",0,IF($AB597="○",ROUNDDOWN($E597*設定!$C$4,0),ROUNDDOWN($E597*ROUND((9*$AA597-9*$E597)/(10*$E597),4),0))))</f>
        <v/>
      </c>
      <c r="AD597" s="13" t="n"/>
      <c r="AE597" s="15">
        <f>IF($B597="","",IF($AD597&lt;&gt;"",$AD597,IF($AC597="","",IF($AC597&lt;=設定!$C$3,0,$AC597))))</f>
        <v/>
      </c>
      <c r="AF597" s="14">
        <f>IF($B597="","",IF(AND($AG597&lt;&gt;"",$AI597="",$AL597=""),"保留中",IF($AL597&lt;&gt;"",IF(N($AE597)&gt;0,"支給済","不支給"),IF($AE597="","要確認",IF($AE597=0,"不支給","未処理")))))</f>
        <v/>
      </c>
      <c r="AG597" s="12" t="n"/>
      <c r="AH597" s="11" t="n"/>
      <c r="AI597" s="11" t="n"/>
      <c r="AJ597" s="11" t="n"/>
      <c r="AK597" s="14">
        <f>IF(AND($AF597="保留中",$AH597&lt;&gt;""),TODAY()-$AH597,"")</f>
        <v/>
      </c>
      <c r="AL597" s="12" t="n"/>
      <c r="AM597" s="14">
        <f>IF($B597="","",IF($AQ597="","対象年月が未入力／","")&amp;IF($B597="","",IF($AP597="","職員マスタに未登録の職員番号／",IF($AA597="","標準報酬月額が未登録／","")&amp;IF(AND($AQ597&lt;&gt;"",OR(AND(INDEX(職員マスタ!$G$6:$G$405,$AP597)&lt;&gt;"",INDEX(職員マスタ!$G$6:$G$405,$AP597)&gt;EOMONTH($AQ597,0)),AND(INDEX(職員マスタ!$H$6:$H$405,$AP597)&lt;&gt;"",INDEX(職員マスタ!$H$6:$H$405,$AP597)&lt;$AQ597))),"対象月が時短期間外／","")&amp;IF(AND(INDEX(職員マスタ!$K$6:$K$405,$AP597)&lt;&gt;"",N($W597)&gt;0,INDEX(職員マスタ!$K$6:$K$405,$AP597)&lt;&gt;$W597),"標準報酬月額が申請書と相違（台帳"&amp;TEXT(INDEX(職員マスタ!$K$6:$K$405,$AP597),"#,##0")&amp;"円／申請書"&amp;TEXT($W597,"#,##0")&amp;"円）／","")&amp;IF(AND(INDEX(職員マスタ!$F$6:$F$405,$AP597)&lt;&gt;"",$AQ597&lt;&gt;"",INDEX(職員マスタ!$F$6:$F$405,$AP597)&lt;$AQ597),"対象月に子が2歳到達済／","")&amp;IF(AND($H597&lt;&gt;"",INDEX(職員マスタ!$B$6:$B$405,$AP597)&lt;&gt;"",SUBSTITUTE(SUBSTITUTE($H597," ","")," ","")&lt;&gt;SUBSTITUTE(SUBSTITUTE(INDEX(職員マスタ!$B$6:$B$405,$AP597)," ","")," ","")),"氏名がマスタと相違／","")&amp;IF(AND($Q597&lt;&gt;"",INDEX(職員マスタ!$E$6:$E$405,$AP597)&lt;&gt;"",$Q597&lt;&gt;INDEX(職員マスタ!$E$6:$E$405,$AP597)),"子の生年月日がマスタと相違／","")&amp;IF(AND($L597&lt;&gt;"",INDEX(職員マスタ!$G$6:$G$405,$AP597)&lt;&gt;"",$L597&lt;&gt;INDEX(職員マスタ!$G$6:$G$405,$AP597)),"時短開始日がマスタと相違／","")&amp;IF(AND($M597&lt;&gt;"",INDEX(職員マスタ!$H$6:$H$405,$AP597)&lt;&gt;"",$M597&lt;&gt;INDEX(職員マスタ!$H$6:$H$405,$AP597)),"時短終了日がマスタと相違／","")))&amp;IF(AND($B597&lt;&gt;"",$E597=""),"報酬額が未入力／","")&amp;IF(N($U597)&gt;0,"申請書に入力エラーが残っています／","")&amp;IF(AND($B597&lt;&gt;"",$AQ597&lt;&gt;""),IF(COUNTIFS($B$6:$B$3005,$B597,$C$6:$C$3005,$C597,$D$6:$D$3005,$D597)&gt;1,"同じ月の請求が重複しています／",""),"")&amp;IF(AND(N($E597)&gt;0,$AB597&lt;&gt;"",$AB597&lt;&gt;"×",$AE597=0,$AD597=""),"計算額が下限以下のため不支給／",""))</f>
        <v/>
      </c>
      <c r="AN597" s="12" t="n"/>
      <c r="AO597" s="14">
        <f>IF($AF597="保留中",COUNTIF($AF$6:$AF597,"保留中"),"")</f>
        <v/>
      </c>
      <c r="AP597" s="14">
        <f>IF($AQ597="","",IF(SUMPRODUCT(MAX((職員マスタ!$A$6:$A$405=$B597)*(((職員マスタ!$G$6:$G$405="")+(職員マスタ!$G$6:$G$405&lt;=EOMONTH($AQ597,0)))&gt;0)*(((職員マスタ!$H$6:$H$405="")+(職員マスタ!$H$6:$H$405&gt;=$AQ597))&gt;0)*(ROW(職員マスタ!$A$6:$A$405)-5)))&gt;0,SUMPRODUCT(MAX((職員マスタ!$A$6:$A$405=$B597)*(((職員マスタ!$G$6:$G$405="")+(職員マスタ!$G$6:$G$405&lt;=EOMONTH($AQ597,0)))&gt;0)*(((職員マスタ!$H$6:$H$405="")+(職員マスタ!$H$6:$H$405&gt;=$AQ597))&gt;0)*(ROW(職員マスタ!$A$6:$A$405)-5))),IFERROR(MATCH($B597,職員マスタ!$A$6:$A$405,0),"")))</f>
        <v/>
      </c>
      <c r="AQ597" s="16">
        <f>IF(OR($B597="",$C597="",$D597=""),"",DATE($C597+2018,$D597,1))</f>
        <v/>
      </c>
    </row>
    <row r="598">
      <c r="A598" s="11" t="n"/>
      <c r="B598" s="12" t="n"/>
      <c r="C598" s="12" t="n"/>
      <c r="D598" s="12" t="n"/>
      <c r="E598" s="13" t="n"/>
      <c r="F598" s="12" t="n"/>
      <c r="G598" s="13" t="n"/>
      <c r="H598" s="12" t="n"/>
      <c r="I598" s="12" t="n"/>
      <c r="J598" s="12" t="n"/>
      <c r="K598" s="12" t="n"/>
      <c r="L598" s="11" t="n"/>
      <c r="M598" s="11" t="n"/>
      <c r="N598" s="11" t="n"/>
      <c r="O598" s="11" t="n"/>
      <c r="P598" s="12" t="n"/>
      <c r="Q598" s="11" t="n"/>
      <c r="R598" s="12" t="n"/>
      <c r="S598" s="11" t="n"/>
      <c r="T598" s="12" t="n"/>
      <c r="U598" s="12" t="n"/>
      <c r="V598" s="12" t="n"/>
      <c r="W598" s="13" t="n"/>
      <c r="X598" s="14">
        <f>IF($AP598="",IF($B598="","",$H598),IF(INDEX(職員マスタ!$B$6:$B$405,$AP598)="",$H598,INDEX(職員マスタ!$B$6:$B$405,$AP598)))</f>
        <v/>
      </c>
      <c r="Y598" s="14">
        <f>IF($AP598="",IF($B598="","",$R598),IF(INDEX(職員マスタ!$C$6:$C$405,$AP598)="",$R598,INDEX(職員マスタ!$C$6:$C$405,$AP598)))</f>
        <v/>
      </c>
      <c r="Z598" s="14">
        <f>IF($AQ598="","","R"&amp;$C598&amp;"."&amp;$D598)</f>
        <v/>
      </c>
      <c r="AA598" s="15">
        <f>IF(IF($AP598="",FALSE,INDEX(職員マスタ!$K$6:$K$405,$AP598)&lt;&gt;""),INDEX(職員マスタ!$K$6:$K$405,$AP598),IF(N($W598)&gt;0,$W598,""))</f>
        <v/>
      </c>
      <c r="AB598" s="14">
        <f>IF(OR($E598="",$AA598=""),"",IF($E598&gt;=$AA598,"×",IF($E598&gt;=$AA598*設定!$C$5,"△","○")))</f>
        <v/>
      </c>
      <c r="AC598" s="15">
        <f>IF($AB598="","",IF($AB598="×",0,IF($AB598="○",ROUNDDOWN($E598*設定!$C$4,0),ROUNDDOWN($E598*ROUND((9*$AA598-9*$E598)/(10*$E598),4),0))))</f>
        <v/>
      </c>
      <c r="AD598" s="13" t="n"/>
      <c r="AE598" s="15">
        <f>IF($B598="","",IF($AD598&lt;&gt;"",$AD598,IF($AC598="","",IF($AC598&lt;=設定!$C$3,0,$AC598))))</f>
        <v/>
      </c>
      <c r="AF598" s="14">
        <f>IF($B598="","",IF(AND($AG598&lt;&gt;"",$AI598="",$AL598=""),"保留中",IF($AL598&lt;&gt;"",IF(N($AE598)&gt;0,"支給済","不支給"),IF($AE598="","要確認",IF($AE598=0,"不支給","未処理")))))</f>
        <v/>
      </c>
      <c r="AG598" s="12" t="n"/>
      <c r="AH598" s="11" t="n"/>
      <c r="AI598" s="11" t="n"/>
      <c r="AJ598" s="11" t="n"/>
      <c r="AK598" s="14">
        <f>IF(AND($AF598="保留中",$AH598&lt;&gt;""),TODAY()-$AH598,"")</f>
        <v/>
      </c>
      <c r="AL598" s="12" t="n"/>
      <c r="AM598" s="14">
        <f>IF($B598="","",IF($AQ598="","対象年月が未入力／","")&amp;IF($B598="","",IF($AP598="","職員マスタに未登録の職員番号／",IF($AA598="","標準報酬月額が未登録／","")&amp;IF(AND($AQ598&lt;&gt;"",OR(AND(INDEX(職員マスタ!$G$6:$G$405,$AP598)&lt;&gt;"",INDEX(職員マスタ!$G$6:$G$405,$AP598)&gt;EOMONTH($AQ598,0)),AND(INDEX(職員マスタ!$H$6:$H$405,$AP598)&lt;&gt;"",INDEX(職員マスタ!$H$6:$H$405,$AP598)&lt;$AQ598))),"対象月が時短期間外／","")&amp;IF(AND(INDEX(職員マスタ!$K$6:$K$405,$AP598)&lt;&gt;"",N($W598)&gt;0,INDEX(職員マスタ!$K$6:$K$405,$AP598)&lt;&gt;$W598),"標準報酬月額が申請書と相違（台帳"&amp;TEXT(INDEX(職員マスタ!$K$6:$K$405,$AP598),"#,##0")&amp;"円／申請書"&amp;TEXT($W598,"#,##0")&amp;"円）／","")&amp;IF(AND(INDEX(職員マスタ!$F$6:$F$405,$AP598)&lt;&gt;"",$AQ598&lt;&gt;"",INDEX(職員マスタ!$F$6:$F$405,$AP598)&lt;$AQ598),"対象月に子が2歳到達済／","")&amp;IF(AND($H598&lt;&gt;"",INDEX(職員マスタ!$B$6:$B$405,$AP598)&lt;&gt;"",SUBSTITUTE(SUBSTITUTE($H598," ","")," ","")&lt;&gt;SUBSTITUTE(SUBSTITUTE(INDEX(職員マスタ!$B$6:$B$405,$AP598)," ","")," ","")),"氏名がマスタと相違／","")&amp;IF(AND($Q598&lt;&gt;"",INDEX(職員マスタ!$E$6:$E$405,$AP598)&lt;&gt;"",$Q598&lt;&gt;INDEX(職員マスタ!$E$6:$E$405,$AP598)),"子の生年月日がマスタと相違／","")&amp;IF(AND($L598&lt;&gt;"",INDEX(職員マスタ!$G$6:$G$405,$AP598)&lt;&gt;"",$L598&lt;&gt;INDEX(職員マスタ!$G$6:$G$405,$AP598)),"時短開始日がマスタと相違／","")&amp;IF(AND($M598&lt;&gt;"",INDEX(職員マスタ!$H$6:$H$405,$AP598)&lt;&gt;"",$M598&lt;&gt;INDEX(職員マスタ!$H$6:$H$405,$AP598)),"時短終了日がマスタと相違／","")))&amp;IF(AND($B598&lt;&gt;"",$E598=""),"報酬額が未入力／","")&amp;IF(N($U598)&gt;0,"申請書に入力エラーが残っています／","")&amp;IF(AND($B598&lt;&gt;"",$AQ598&lt;&gt;""),IF(COUNTIFS($B$6:$B$3005,$B598,$C$6:$C$3005,$C598,$D$6:$D$3005,$D598)&gt;1,"同じ月の請求が重複しています／",""),"")&amp;IF(AND(N($E598)&gt;0,$AB598&lt;&gt;"",$AB598&lt;&gt;"×",$AE598=0,$AD598=""),"計算額が下限以下のため不支給／",""))</f>
        <v/>
      </c>
      <c r="AN598" s="12" t="n"/>
      <c r="AO598" s="14">
        <f>IF($AF598="保留中",COUNTIF($AF$6:$AF598,"保留中"),"")</f>
        <v/>
      </c>
      <c r="AP598" s="14">
        <f>IF($AQ598="","",IF(SUMPRODUCT(MAX((職員マスタ!$A$6:$A$405=$B598)*(((職員マスタ!$G$6:$G$405="")+(職員マスタ!$G$6:$G$405&lt;=EOMONTH($AQ598,0)))&gt;0)*(((職員マスタ!$H$6:$H$405="")+(職員マスタ!$H$6:$H$405&gt;=$AQ598))&gt;0)*(ROW(職員マスタ!$A$6:$A$405)-5)))&gt;0,SUMPRODUCT(MAX((職員マスタ!$A$6:$A$405=$B598)*(((職員マスタ!$G$6:$G$405="")+(職員マスタ!$G$6:$G$405&lt;=EOMONTH($AQ598,0)))&gt;0)*(((職員マスタ!$H$6:$H$405="")+(職員マスタ!$H$6:$H$405&gt;=$AQ598))&gt;0)*(ROW(職員マスタ!$A$6:$A$405)-5))),IFERROR(MATCH($B598,職員マスタ!$A$6:$A$405,0),"")))</f>
        <v/>
      </c>
      <c r="AQ598" s="16">
        <f>IF(OR($B598="",$C598="",$D598=""),"",DATE($C598+2018,$D598,1))</f>
        <v/>
      </c>
    </row>
    <row r="599">
      <c r="A599" s="11" t="n"/>
      <c r="B599" s="12" t="n"/>
      <c r="C599" s="12" t="n"/>
      <c r="D599" s="12" t="n"/>
      <c r="E599" s="13" t="n"/>
      <c r="F599" s="12" t="n"/>
      <c r="G599" s="13" t="n"/>
      <c r="H599" s="12" t="n"/>
      <c r="I599" s="12" t="n"/>
      <c r="J599" s="12" t="n"/>
      <c r="K599" s="12" t="n"/>
      <c r="L599" s="11" t="n"/>
      <c r="M599" s="11" t="n"/>
      <c r="N599" s="11" t="n"/>
      <c r="O599" s="11" t="n"/>
      <c r="P599" s="12" t="n"/>
      <c r="Q599" s="11" t="n"/>
      <c r="R599" s="12" t="n"/>
      <c r="S599" s="11" t="n"/>
      <c r="T599" s="12" t="n"/>
      <c r="U599" s="12" t="n"/>
      <c r="V599" s="12" t="n"/>
      <c r="W599" s="13" t="n"/>
      <c r="X599" s="14">
        <f>IF($AP599="",IF($B599="","",$H599),IF(INDEX(職員マスタ!$B$6:$B$405,$AP599)="",$H599,INDEX(職員マスタ!$B$6:$B$405,$AP599)))</f>
        <v/>
      </c>
      <c r="Y599" s="14">
        <f>IF($AP599="",IF($B599="","",$R599),IF(INDEX(職員マスタ!$C$6:$C$405,$AP599)="",$R599,INDEX(職員マスタ!$C$6:$C$405,$AP599)))</f>
        <v/>
      </c>
      <c r="Z599" s="14">
        <f>IF($AQ599="","","R"&amp;$C599&amp;"."&amp;$D599)</f>
        <v/>
      </c>
      <c r="AA599" s="15">
        <f>IF(IF($AP599="",FALSE,INDEX(職員マスタ!$K$6:$K$405,$AP599)&lt;&gt;""),INDEX(職員マスタ!$K$6:$K$405,$AP599),IF(N($W599)&gt;0,$W599,""))</f>
        <v/>
      </c>
      <c r="AB599" s="14">
        <f>IF(OR($E599="",$AA599=""),"",IF($E599&gt;=$AA599,"×",IF($E599&gt;=$AA599*設定!$C$5,"△","○")))</f>
        <v/>
      </c>
      <c r="AC599" s="15">
        <f>IF($AB599="","",IF($AB599="×",0,IF($AB599="○",ROUNDDOWN($E599*設定!$C$4,0),ROUNDDOWN($E599*ROUND((9*$AA599-9*$E599)/(10*$E599),4),0))))</f>
        <v/>
      </c>
      <c r="AD599" s="13" t="n"/>
      <c r="AE599" s="15">
        <f>IF($B599="","",IF($AD599&lt;&gt;"",$AD599,IF($AC599="","",IF($AC599&lt;=設定!$C$3,0,$AC599))))</f>
        <v/>
      </c>
      <c r="AF599" s="14">
        <f>IF($B599="","",IF(AND($AG599&lt;&gt;"",$AI599="",$AL599=""),"保留中",IF($AL599&lt;&gt;"",IF(N($AE599)&gt;0,"支給済","不支給"),IF($AE599="","要確認",IF($AE599=0,"不支給","未処理")))))</f>
        <v/>
      </c>
      <c r="AG599" s="12" t="n"/>
      <c r="AH599" s="11" t="n"/>
      <c r="AI599" s="11" t="n"/>
      <c r="AJ599" s="11" t="n"/>
      <c r="AK599" s="14">
        <f>IF(AND($AF599="保留中",$AH599&lt;&gt;""),TODAY()-$AH599,"")</f>
        <v/>
      </c>
      <c r="AL599" s="12" t="n"/>
      <c r="AM599" s="14">
        <f>IF($B599="","",IF($AQ599="","対象年月が未入力／","")&amp;IF($B599="","",IF($AP599="","職員マスタに未登録の職員番号／",IF($AA599="","標準報酬月額が未登録／","")&amp;IF(AND($AQ599&lt;&gt;"",OR(AND(INDEX(職員マスタ!$G$6:$G$405,$AP599)&lt;&gt;"",INDEX(職員マスタ!$G$6:$G$405,$AP599)&gt;EOMONTH($AQ599,0)),AND(INDEX(職員マスタ!$H$6:$H$405,$AP599)&lt;&gt;"",INDEX(職員マスタ!$H$6:$H$405,$AP599)&lt;$AQ599))),"対象月が時短期間外／","")&amp;IF(AND(INDEX(職員マスタ!$K$6:$K$405,$AP599)&lt;&gt;"",N($W599)&gt;0,INDEX(職員マスタ!$K$6:$K$405,$AP599)&lt;&gt;$W599),"標準報酬月額が申請書と相違（台帳"&amp;TEXT(INDEX(職員マスタ!$K$6:$K$405,$AP599),"#,##0")&amp;"円／申請書"&amp;TEXT($W599,"#,##0")&amp;"円）／","")&amp;IF(AND(INDEX(職員マスタ!$F$6:$F$405,$AP599)&lt;&gt;"",$AQ599&lt;&gt;"",INDEX(職員マスタ!$F$6:$F$405,$AP599)&lt;$AQ599),"対象月に子が2歳到達済／","")&amp;IF(AND($H599&lt;&gt;"",INDEX(職員マスタ!$B$6:$B$405,$AP599)&lt;&gt;"",SUBSTITUTE(SUBSTITUTE($H599," ","")," ","")&lt;&gt;SUBSTITUTE(SUBSTITUTE(INDEX(職員マスタ!$B$6:$B$405,$AP599)," ","")," ","")),"氏名がマスタと相違／","")&amp;IF(AND($Q599&lt;&gt;"",INDEX(職員マスタ!$E$6:$E$405,$AP599)&lt;&gt;"",$Q599&lt;&gt;INDEX(職員マスタ!$E$6:$E$405,$AP599)),"子の生年月日がマスタと相違／","")&amp;IF(AND($L599&lt;&gt;"",INDEX(職員マスタ!$G$6:$G$405,$AP599)&lt;&gt;"",$L599&lt;&gt;INDEX(職員マスタ!$G$6:$G$405,$AP599)),"時短開始日がマスタと相違／","")&amp;IF(AND($M599&lt;&gt;"",INDEX(職員マスタ!$H$6:$H$405,$AP599)&lt;&gt;"",$M599&lt;&gt;INDEX(職員マスタ!$H$6:$H$405,$AP599)),"時短終了日がマスタと相違／","")))&amp;IF(AND($B599&lt;&gt;"",$E599=""),"報酬額が未入力／","")&amp;IF(N($U599)&gt;0,"申請書に入力エラーが残っています／","")&amp;IF(AND($B599&lt;&gt;"",$AQ599&lt;&gt;""),IF(COUNTIFS($B$6:$B$3005,$B599,$C$6:$C$3005,$C599,$D$6:$D$3005,$D599)&gt;1,"同じ月の請求が重複しています／",""),"")&amp;IF(AND(N($E599)&gt;0,$AB599&lt;&gt;"",$AB599&lt;&gt;"×",$AE599=0,$AD599=""),"計算額が下限以下のため不支給／",""))</f>
        <v/>
      </c>
      <c r="AN599" s="12" t="n"/>
      <c r="AO599" s="14">
        <f>IF($AF599="保留中",COUNTIF($AF$6:$AF599,"保留中"),"")</f>
        <v/>
      </c>
      <c r="AP599" s="14">
        <f>IF($AQ599="","",IF(SUMPRODUCT(MAX((職員マスタ!$A$6:$A$405=$B599)*(((職員マスタ!$G$6:$G$405="")+(職員マスタ!$G$6:$G$405&lt;=EOMONTH($AQ599,0)))&gt;0)*(((職員マスタ!$H$6:$H$405="")+(職員マスタ!$H$6:$H$405&gt;=$AQ599))&gt;0)*(ROW(職員マスタ!$A$6:$A$405)-5)))&gt;0,SUMPRODUCT(MAX((職員マスタ!$A$6:$A$405=$B599)*(((職員マスタ!$G$6:$G$405="")+(職員マスタ!$G$6:$G$405&lt;=EOMONTH($AQ599,0)))&gt;0)*(((職員マスタ!$H$6:$H$405="")+(職員マスタ!$H$6:$H$405&gt;=$AQ599))&gt;0)*(ROW(職員マスタ!$A$6:$A$405)-5))),IFERROR(MATCH($B599,職員マスタ!$A$6:$A$405,0),"")))</f>
        <v/>
      </c>
      <c r="AQ599" s="16">
        <f>IF(OR($B599="",$C599="",$D599=""),"",DATE($C599+2018,$D599,1))</f>
        <v/>
      </c>
    </row>
    <row r="600">
      <c r="A600" s="11" t="n"/>
      <c r="B600" s="12" t="n"/>
      <c r="C600" s="12" t="n"/>
      <c r="D600" s="12" t="n"/>
      <c r="E600" s="13" t="n"/>
      <c r="F600" s="12" t="n"/>
      <c r="G600" s="13" t="n"/>
      <c r="H600" s="12" t="n"/>
      <c r="I600" s="12" t="n"/>
      <c r="J600" s="12" t="n"/>
      <c r="K600" s="12" t="n"/>
      <c r="L600" s="11" t="n"/>
      <c r="M600" s="11" t="n"/>
      <c r="N600" s="11" t="n"/>
      <c r="O600" s="11" t="n"/>
      <c r="P600" s="12" t="n"/>
      <c r="Q600" s="11" t="n"/>
      <c r="R600" s="12" t="n"/>
      <c r="S600" s="11" t="n"/>
      <c r="T600" s="12" t="n"/>
      <c r="U600" s="12" t="n"/>
      <c r="V600" s="12" t="n"/>
      <c r="W600" s="13" t="n"/>
      <c r="X600" s="14">
        <f>IF($AP600="",IF($B600="","",$H600),IF(INDEX(職員マスタ!$B$6:$B$405,$AP600)="",$H600,INDEX(職員マスタ!$B$6:$B$405,$AP600)))</f>
        <v/>
      </c>
      <c r="Y600" s="14">
        <f>IF($AP600="",IF($B600="","",$R600),IF(INDEX(職員マスタ!$C$6:$C$405,$AP600)="",$R600,INDEX(職員マスタ!$C$6:$C$405,$AP600)))</f>
        <v/>
      </c>
      <c r="Z600" s="14">
        <f>IF($AQ600="","","R"&amp;$C600&amp;"."&amp;$D600)</f>
        <v/>
      </c>
      <c r="AA600" s="15">
        <f>IF(IF($AP600="",FALSE,INDEX(職員マスタ!$K$6:$K$405,$AP600)&lt;&gt;""),INDEX(職員マスタ!$K$6:$K$405,$AP600),IF(N($W600)&gt;0,$W600,""))</f>
        <v/>
      </c>
      <c r="AB600" s="14">
        <f>IF(OR($E600="",$AA600=""),"",IF($E600&gt;=$AA600,"×",IF($E600&gt;=$AA600*設定!$C$5,"△","○")))</f>
        <v/>
      </c>
      <c r="AC600" s="15">
        <f>IF($AB600="","",IF($AB600="×",0,IF($AB600="○",ROUNDDOWN($E600*設定!$C$4,0),ROUNDDOWN($E600*ROUND((9*$AA600-9*$E600)/(10*$E600),4),0))))</f>
        <v/>
      </c>
      <c r="AD600" s="13" t="n"/>
      <c r="AE600" s="15">
        <f>IF($B600="","",IF($AD600&lt;&gt;"",$AD600,IF($AC600="","",IF($AC600&lt;=設定!$C$3,0,$AC600))))</f>
        <v/>
      </c>
      <c r="AF600" s="14">
        <f>IF($B600="","",IF(AND($AG600&lt;&gt;"",$AI600="",$AL600=""),"保留中",IF($AL600&lt;&gt;"",IF(N($AE600)&gt;0,"支給済","不支給"),IF($AE600="","要確認",IF($AE600=0,"不支給","未処理")))))</f>
        <v/>
      </c>
      <c r="AG600" s="12" t="n"/>
      <c r="AH600" s="11" t="n"/>
      <c r="AI600" s="11" t="n"/>
      <c r="AJ600" s="11" t="n"/>
      <c r="AK600" s="14">
        <f>IF(AND($AF600="保留中",$AH600&lt;&gt;""),TODAY()-$AH600,"")</f>
        <v/>
      </c>
      <c r="AL600" s="12" t="n"/>
      <c r="AM600" s="14">
        <f>IF($B600="","",IF($AQ600="","対象年月が未入力／","")&amp;IF($B600="","",IF($AP600="","職員マスタに未登録の職員番号／",IF($AA600="","標準報酬月額が未登録／","")&amp;IF(AND($AQ600&lt;&gt;"",OR(AND(INDEX(職員マスタ!$G$6:$G$405,$AP600)&lt;&gt;"",INDEX(職員マスタ!$G$6:$G$405,$AP600)&gt;EOMONTH($AQ600,0)),AND(INDEX(職員マスタ!$H$6:$H$405,$AP600)&lt;&gt;"",INDEX(職員マスタ!$H$6:$H$405,$AP600)&lt;$AQ600))),"対象月が時短期間外／","")&amp;IF(AND(INDEX(職員マスタ!$K$6:$K$405,$AP600)&lt;&gt;"",N($W600)&gt;0,INDEX(職員マスタ!$K$6:$K$405,$AP600)&lt;&gt;$W600),"標準報酬月額が申請書と相違（台帳"&amp;TEXT(INDEX(職員マスタ!$K$6:$K$405,$AP600),"#,##0")&amp;"円／申請書"&amp;TEXT($W600,"#,##0")&amp;"円）／","")&amp;IF(AND(INDEX(職員マスタ!$F$6:$F$405,$AP600)&lt;&gt;"",$AQ600&lt;&gt;"",INDEX(職員マスタ!$F$6:$F$405,$AP600)&lt;$AQ600),"対象月に子が2歳到達済／","")&amp;IF(AND($H600&lt;&gt;"",INDEX(職員マスタ!$B$6:$B$405,$AP600)&lt;&gt;"",SUBSTITUTE(SUBSTITUTE($H600," ","")," ","")&lt;&gt;SUBSTITUTE(SUBSTITUTE(INDEX(職員マスタ!$B$6:$B$405,$AP600)," ","")," ","")),"氏名がマスタと相違／","")&amp;IF(AND($Q600&lt;&gt;"",INDEX(職員マスタ!$E$6:$E$405,$AP600)&lt;&gt;"",$Q600&lt;&gt;INDEX(職員マスタ!$E$6:$E$405,$AP600)),"子の生年月日がマスタと相違／","")&amp;IF(AND($L600&lt;&gt;"",INDEX(職員マスタ!$G$6:$G$405,$AP600)&lt;&gt;"",$L600&lt;&gt;INDEX(職員マスタ!$G$6:$G$405,$AP600)),"時短開始日がマスタと相違／","")&amp;IF(AND($M600&lt;&gt;"",INDEX(職員マスタ!$H$6:$H$405,$AP600)&lt;&gt;"",$M600&lt;&gt;INDEX(職員マスタ!$H$6:$H$405,$AP600)),"時短終了日がマスタと相違／","")))&amp;IF(AND($B600&lt;&gt;"",$E600=""),"報酬額が未入力／","")&amp;IF(N($U600)&gt;0,"申請書に入力エラーが残っています／","")&amp;IF(AND($B600&lt;&gt;"",$AQ600&lt;&gt;""),IF(COUNTIFS($B$6:$B$3005,$B600,$C$6:$C$3005,$C600,$D$6:$D$3005,$D600)&gt;1,"同じ月の請求が重複しています／",""),"")&amp;IF(AND(N($E600)&gt;0,$AB600&lt;&gt;"",$AB600&lt;&gt;"×",$AE600=0,$AD600=""),"計算額が下限以下のため不支給／",""))</f>
        <v/>
      </c>
      <c r="AN600" s="12" t="n"/>
      <c r="AO600" s="14">
        <f>IF($AF600="保留中",COUNTIF($AF$6:$AF600,"保留中"),"")</f>
        <v/>
      </c>
      <c r="AP600" s="14">
        <f>IF($AQ600="","",IF(SUMPRODUCT(MAX((職員マスタ!$A$6:$A$405=$B600)*(((職員マスタ!$G$6:$G$405="")+(職員マスタ!$G$6:$G$405&lt;=EOMONTH($AQ600,0)))&gt;0)*(((職員マスタ!$H$6:$H$405="")+(職員マスタ!$H$6:$H$405&gt;=$AQ600))&gt;0)*(ROW(職員マスタ!$A$6:$A$405)-5)))&gt;0,SUMPRODUCT(MAX((職員マスタ!$A$6:$A$405=$B600)*(((職員マスタ!$G$6:$G$405="")+(職員マスタ!$G$6:$G$405&lt;=EOMONTH($AQ600,0)))&gt;0)*(((職員マスタ!$H$6:$H$405="")+(職員マスタ!$H$6:$H$405&gt;=$AQ600))&gt;0)*(ROW(職員マスタ!$A$6:$A$405)-5))),IFERROR(MATCH($B600,職員マスタ!$A$6:$A$405,0),"")))</f>
        <v/>
      </c>
      <c r="AQ600" s="16">
        <f>IF(OR($B600="",$C600="",$D600=""),"",DATE($C600+2018,$D600,1))</f>
        <v/>
      </c>
    </row>
    <row r="601">
      <c r="A601" s="11" t="n"/>
      <c r="B601" s="12" t="n"/>
      <c r="C601" s="12" t="n"/>
      <c r="D601" s="12" t="n"/>
      <c r="E601" s="13" t="n"/>
      <c r="F601" s="12" t="n"/>
      <c r="G601" s="13" t="n"/>
      <c r="H601" s="12" t="n"/>
      <c r="I601" s="12" t="n"/>
      <c r="J601" s="12" t="n"/>
      <c r="K601" s="12" t="n"/>
      <c r="L601" s="11" t="n"/>
      <c r="M601" s="11" t="n"/>
      <c r="N601" s="11" t="n"/>
      <c r="O601" s="11" t="n"/>
      <c r="P601" s="12" t="n"/>
      <c r="Q601" s="11" t="n"/>
      <c r="R601" s="12" t="n"/>
      <c r="S601" s="11" t="n"/>
      <c r="T601" s="12" t="n"/>
      <c r="U601" s="12" t="n"/>
      <c r="V601" s="12" t="n"/>
      <c r="W601" s="13" t="n"/>
      <c r="X601" s="14">
        <f>IF($AP601="",IF($B601="","",$H601),IF(INDEX(職員マスタ!$B$6:$B$405,$AP601)="",$H601,INDEX(職員マスタ!$B$6:$B$405,$AP601)))</f>
        <v/>
      </c>
      <c r="Y601" s="14">
        <f>IF($AP601="",IF($B601="","",$R601),IF(INDEX(職員マスタ!$C$6:$C$405,$AP601)="",$R601,INDEX(職員マスタ!$C$6:$C$405,$AP601)))</f>
        <v/>
      </c>
      <c r="Z601" s="14">
        <f>IF($AQ601="","","R"&amp;$C601&amp;"."&amp;$D601)</f>
        <v/>
      </c>
      <c r="AA601" s="15">
        <f>IF(IF($AP601="",FALSE,INDEX(職員マスタ!$K$6:$K$405,$AP601)&lt;&gt;""),INDEX(職員マスタ!$K$6:$K$405,$AP601),IF(N($W601)&gt;0,$W601,""))</f>
        <v/>
      </c>
      <c r="AB601" s="14">
        <f>IF(OR($E601="",$AA601=""),"",IF($E601&gt;=$AA601,"×",IF($E601&gt;=$AA601*設定!$C$5,"△","○")))</f>
        <v/>
      </c>
      <c r="AC601" s="15">
        <f>IF($AB601="","",IF($AB601="×",0,IF($AB601="○",ROUNDDOWN($E601*設定!$C$4,0),ROUNDDOWN($E601*ROUND((9*$AA601-9*$E601)/(10*$E601),4),0))))</f>
        <v/>
      </c>
      <c r="AD601" s="13" t="n"/>
      <c r="AE601" s="15">
        <f>IF($B601="","",IF($AD601&lt;&gt;"",$AD601,IF($AC601="","",IF($AC601&lt;=設定!$C$3,0,$AC601))))</f>
        <v/>
      </c>
      <c r="AF601" s="14">
        <f>IF($B601="","",IF(AND($AG601&lt;&gt;"",$AI601="",$AL601=""),"保留中",IF($AL601&lt;&gt;"",IF(N($AE601)&gt;0,"支給済","不支給"),IF($AE601="","要確認",IF($AE601=0,"不支給","未処理")))))</f>
        <v/>
      </c>
      <c r="AG601" s="12" t="n"/>
      <c r="AH601" s="11" t="n"/>
      <c r="AI601" s="11" t="n"/>
      <c r="AJ601" s="11" t="n"/>
      <c r="AK601" s="14">
        <f>IF(AND($AF601="保留中",$AH601&lt;&gt;""),TODAY()-$AH601,"")</f>
        <v/>
      </c>
      <c r="AL601" s="12" t="n"/>
      <c r="AM601" s="14">
        <f>IF($B601="","",IF($AQ601="","対象年月が未入力／","")&amp;IF($B601="","",IF($AP601="","職員マスタに未登録の職員番号／",IF($AA601="","標準報酬月額が未登録／","")&amp;IF(AND($AQ601&lt;&gt;"",OR(AND(INDEX(職員マスタ!$G$6:$G$405,$AP601)&lt;&gt;"",INDEX(職員マスタ!$G$6:$G$405,$AP601)&gt;EOMONTH($AQ601,0)),AND(INDEX(職員マスタ!$H$6:$H$405,$AP601)&lt;&gt;"",INDEX(職員マスタ!$H$6:$H$405,$AP601)&lt;$AQ601))),"対象月が時短期間外／","")&amp;IF(AND(INDEX(職員マスタ!$K$6:$K$405,$AP601)&lt;&gt;"",N($W601)&gt;0,INDEX(職員マスタ!$K$6:$K$405,$AP601)&lt;&gt;$W601),"標準報酬月額が申請書と相違（台帳"&amp;TEXT(INDEX(職員マスタ!$K$6:$K$405,$AP601),"#,##0")&amp;"円／申請書"&amp;TEXT($W601,"#,##0")&amp;"円）／","")&amp;IF(AND(INDEX(職員マスタ!$F$6:$F$405,$AP601)&lt;&gt;"",$AQ601&lt;&gt;"",INDEX(職員マスタ!$F$6:$F$405,$AP601)&lt;$AQ601),"対象月に子が2歳到達済／","")&amp;IF(AND($H601&lt;&gt;"",INDEX(職員マスタ!$B$6:$B$405,$AP601)&lt;&gt;"",SUBSTITUTE(SUBSTITUTE($H601," ","")," ","")&lt;&gt;SUBSTITUTE(SUBSTITUTE(INDEX(職員マスタ!$B$6:$B$405,$AP601)," ","")," ","")),"氏名がマスタと相違／","")&amp;IF(AND($Q601&lt;&gt;"",INDEX(職員マスタ!$E$6:$E$405,$AP601)&lt;&gt;"",$Q601&lt;&gt;INDEX(職員マスタ!$E$6:$E$405,$AP601)),"子の生年月日がマスタと相違／","")&amp;IF(AND($L601&lt;&gt;"",INDEX(職員マスタ!$G$6:$G$405,$AP601)&lt;&gt;"",$L601&lt;&gt;INDEX(職員マスタ!$G$6:$G$405,$AP601)),"時短開始日がマスタと相違／","")&amp;IF(AND($M601&lt;&gt;"",INDEX(職員マスタ!$H$6:$H$405,$AP601)&lt;&gt;"",$M601&lt;&gt;INDEX(職員マスタ!$H$6:$H$405,$AP601)),"時短終了日がマスタと相違／","")))&amp;IF(AND($B601&lt;&gt;"",$E601=""),"報酬額が未入力／","")&amp;IF(N($U601)&gt;0,"申請書に入力エラーが残っています／","")&amp;IF(AND($B601&lt;&gt;"",$AQ601&lt;&gt;""),IF(COUNTIFS($B$6:$B$3005,$B601,$C$6:$C$3005,$C601,$D$6:$D$3005,$D601)&gt;1,"同じ月の請求が重複しています／",""),"")&amp;IF(AND(N($E601)&gt;0,$AB601&lt;&gt;"",$AB601&lt;&gt;"×",$AE601=0,$AD601=""),"計算額が下限以下のため不支給／",""))</f>
        <v/>
      </c>
      <c r="AN601" s="12" t="n"/>
      <c r="AO601" s="14">
        <f>IF($AF601="保留中",COUNTIF($AF$6:$AF601,"保留中"),"")</f>
        <v/>
      </c>
      <c r="AP601" s="14">
        <f>IF($AQ601="","",IF(SUMPRODUCT(MAX((職員マスタ!$A$6:$A$405=$B601)*(((職員マスタ!$G$6:$G$405="")+(職員マスタ!$G$6:$G$405&lt;=EOMONTH($AQ601,0)))&gt;0)*(((職員マスタ!$H$6:$H$405="")+(職員マスタ!$H$6:$H$405&gt;=$AQ601))&gt;0)*(ROW(職員マスタ!$A$6:$A$405)-5)))&gt;0,SUMPRODUCT(MAX((職員マスタ!$A$6:$A$405=$B601)*(((職員マスタ!$G$6:$G$405="")+(職員マスタ!$G$6:$G$405&lt;=EOMONTH($AQ601,0)))&gt;0)*(((職員マスタ!$H$6:$H$405="")+(職員マスタ!$H$6:$H$405&gt;=$AQ601))&gt;0)*(ROW(職員マスタ!$A$6:$A$405)-5))),IFERROR(MATCH($B601,職員マスタ!$A$6:$A$405,0),"")))</f>
        <v/>
      </c>
      <c r="AQ601" s="16">
        <f>IF(OR($B601="",$C601="",$D601=""),"",DATE($C601+2018,$D601,1))</f>
        <v/>
      </c>
    </row>
    <row r="602">
      <c r="A602" s="11" t="n"/>
      <c r="B602" s="12" t="n"/>
      <c r="C602" s="12" t="n"/>
      <c r="D602" s="12" t="n"/>
      <c r="E602" s="13" t="n"/>
      <c r="F602" s="12" t="n"/>
      <c r="G602" s="13" t="n"/>
      <c r="H602" s="12" t="n"/>
      <c r="I602" s="12" t="n"/>
      <c r="J602" s="12" t="n"/>
      <c r="K602" s="12" t="n"/>
      <c r="L602" s="11" t="n"/>
      <c r="M602" s="11" t="n"/>
      <c r="N602" s="11" t="n"/>
      <c r="O602" s="11" t="n"/>
      <c r="P602" s="12" t="n"/>
      <c r="Q602" s="11" t="n"/>
      <c r="R602" s="12" t="n"/>
      <c r="S602" s="11" t="n"/>
      <c r="T602" s="12" t="n"/>
      <c r="U602" s="12" t="n"/>
      <c r="V602" s="12" t="n"/>
      <c r="W602" s="13" t="n"/>
      <c r="X602" s="14">
        <f>IF($AP602="",IF($B602="","",$H602),IF(INDEX(職員マスタ!$B$6:$B$405,$AP602)="",$H602,INDEX(職員マスタ!$B$6:$B$405,$AP602)))</f>
        <v/>
      </c>
      <c r="Y602" s="14">
        <f>IF($AP602="",IF($B602="","",$R602),IF(INDEX(職員マスタ!$C$6:$C$405,$AP602)="",$R602,INDEX(職員マスタ!$C$6:$C$405,$AP602)))</f>
        <v/>
      </c>
      <c r="Z602" s="14">
        <f>IF($AQ602="","","R"&amp;$C602&amp;"."&amp;$D602)</f>
        <v/>
      </c>
      <c r="AA602" s="15">
        <f>IF(IF($AP602="",FALSE,INDEX(職員マスタ!$K$6:$K$405,$AP602)&lt;&gt;""),INDEX(職員マスタ!$K$6:$K$405,$AP602),IF(N($W602)&gt;0,$W602,""))</f>
        <v/>
      </c>
      <c r="AB602" s="14">
        <f>IF(OR($E602="",$AA602=""),"",IF($E602&gt;=$AA602,"×",IF($E602&gt;=$AA602*設定!$C$5,"△","○")))</f>
        <v/>
      </c>
      <c r="AC602" s="15">
        <f>IF($AB602="","",IF($AB602="×",0,IF($AB602="○",ROUNDDOWN($E602*設定!$C$4,0),ROUNDDOWN($E602*ROUND((9*$AA602-9*$E602)/(10*$E602),4),0))))</f>
        <v/>
      </c>
      <c r="AD602" s="13" t="n"/>
      <c r="AE602" s="15">
        <f>IF($B602="","",IF($AD602&lt;&gt;"",$AD602,IF($AC602="","",IF($AC602&lt;=設定!$C$3,0,$AC602))))</f>
        <v/>
      </c>
      <c r="AF602" s="14">
        <f>IF($B602="","",IF(AND($AG602&lt;&gt;"",$AI602="",$AL602=""),"保留中",IF($AL602&lt;&gt;"",IF(N($AE602)&gt;0,"支給済","不支給"),IF($AE602="","要確認",IF($AE602=0,"不支給","未処理")))))</f>
        <v/>
      </c>
      <c r="AG602" s="12" t="n"/>
      <c r="AH602" s="11" t="n"/>
      <c r="AI602" s="11" t="n"/>
      <c r="AJ602" s="11" t="n"/>
      <c r="AK602" s="14">
        <f>IF(AND($AF602="保留中",$AH602&lt;&gt;""),TODAY()-$AH602,"")</f>
        <v/>
      </c>
      <c r="AL602" s="12" t="n"/>
      <c r="AM602" s="14">
        <f>IF($B602="","",IF($AQ602="","対象年月が未入力／","")&amp;IF($B602="","",IF($AP602="","職員マスタに未登録の職員番号／",IF($AA602="","標準報酬月額が未登録／","")&amp;IF(AND($AQ602&lt;&gt;"",OR(AND(INDEX(職員マスタ!$G$6:$G$405,$AP602)&lt;&gt;"",INDEX(職員マスタ!$G$6:$G$405,$AP602)&gt;EOMONTH($AQ602,0)),AND(INDEX(職員マスタ!$H$6:$H$405,$AP602)&lt;&gt;"",INDEX(職員マスタ!$H$6:$H$405,$AP602)&lt;$AQ602))),"対象月が時短期間外／","")&amp;IF(AND(INDEX(職員マスタ!$K$6:$K$405,$AP602)&lt;&gt;"",N($W602)&gt;0,INDEX(職員マスタ!$K$6:$K$405,$AP602)&lt;&gt;$W602),"標準報酬月額が申請書と相違（台帳"&amp;TEXT(INDEX(職員マスタ!$K$6:$K$405,$AP602),"#,##0")&amp;"円／申請書"&amp;TEXT($W602,"#,##0")&amp;"円）／","")&amp;IF(AND(INDEX(職員マスタ!$F$6:$F$405,$AP602)&lt;&gt;"",$AQ602&lt;&gt;"",INDEX(職員マスタ!$F$6:$F$405,$AP602)&lt;$AQ602),"対象月に子が2歳到達済／","")&amp;IF(AND($H602&lt;&gt;"",INDEX(職員マスタ!$B$6:$B$405,$AP602)&lt;&gt;"",SUBSTITUTE(SUBSTITUTE($H602," ","")," ","")&lt;&gt;SUBSTITUTE(SUBSTITUTE(INDEX(職員マスタ!$B$6:$B$405,$AP602)," ","")," ","")),"氏名がマスタと相違／","")&amp;IF(AND($Q602&lt;&gt;"",INDEX(職員マスタ!$E$6:$E$405,$AP602)&lt;&gt;"",$Q602&lt;&gt;INDEX(職員マスタ!$E$6:$E$405,$AP602)),"子の生年月日がマスタと相違／","")&amp;IF(AND($L602&lt;&gt;"",INDEX(職員マスタ!$G$6:$G$405,$AP602)&lt;&gt;"",$L602&lt;&gt;INDEX(職員マスタ!$G$6:$G$405,$AP602)),"時短開始日がマスタと相違／","")&amp;IF(AND($M602&lt;&gt;"",INDEX(職員マスタ!$H$6:$H$405,$AP602)&lt;&gt;"",$M602&lt;&gt;INDEX(職員マスタ!$H$6:$H$405,$AP602)),"時短終了日がマスタと相違／","")))&amp;IF(AND($B602&lt;&gt;"",$E602=""),"報酬額が未入力／","")&amp;IF(N($U602)&gt;0,"申請書に入力エラーが残っています／","")&amp;IF(AND($B602&lt;&gt;"",$AQ602&lt;&gt;""),IF(COUNTIFS($B$6:$B$3005,$B602,$C$6:$C$3005,$C602,$D$6:$D$3005,$D602)&gt;1,"同じ月の請求が重複しています／",""),"")&amp;IF(AND(N($E602)&gt;0,$AB602&lt;&gt;"",$AB602&lt;&gt;"×",$AE602=0,$AD602=""),"計算額が下限以下のため不支給／",""))</f>
        <v/>
      </c>
      <c r="AN602" s="12" t="n"/>
      <c r="AO602" s="14">
        <f>IF($AF602="保留中",COUNTIF($AF$6:$AF602,"保留中"),"")</f>
        <v/>
      </c>
      <c r="AP602" s="14">
        <f>IF($AQ602="","",IF(SUMPRODUCT(MAX((職員マスタ!$A$6:$A$405=$B602)*(((職員マスタ!$G$6:$G$405="")+(職員マスタ!$G$6:$G$405&lt;=EOMONTH($AQ602,0)))&gt;0)*(((職員マスタ!$H$6:$H$405="")+(職員マスタ!$H$6:$H$405&gt;=$AQ602))&gt;0)*(ROW(職員マスタ!$A$6:$A$405)-5)))&gt;0,SUMPRODUCT(MAX((職員マスタ!$A$6:$A$405=$B602)*(((職員マスタ!$G$6:$G$405="")+(職員マスタ!$G$6:$G$405&lt;=EOMONTH($AQ602,0)))&gt;0)*(((職員マスタ!$H$6:$H$405="")+(職員マスタ!$H$6:$H$405&gt;=$AQ602))&gt;0)*(ROW(職員マスタ!$A$6:$A$405)-5))),IFERROR(MATCH($B602,職員マスタ!$A$6:$A$405,0),"")))</f>
        <v/>
      </c>
      <c r="AQ602" s="16">
        <f>IF(OR($B602="",$C602="",$D602=""),"",DATE($C602+2018,$D602,1))</f>
        <v/>
      </c>
    </row>
    <row r="603">
      <c r="A603" s="11" t="n"/>
      <c r="B603" s="12" t="n"/>
      <c r="C603" s="12" t="n"/>
      <c r="D603" s="12" t="n"/>
      <c r="E603" s="13" t="n"/>
      <c r="F603" s="12" t="n"/>
      <c r="G603" s="13" t="n"/>
      <c r="H603" s="12" t="n"/>
      <c r="I603" s="12" t="n"/>
      <c r="J603" s="12" t="n"/>
      <c r="K603" s="12" t="n"/>
      <c r="L603" s="11" t="n"/>
      <c r="M603" s="11" t="n"/>
      <c r="N603" s="11" t="n"/>
      <c r="O603" s="11" t="n"/>
      <c r="P603" s="12" t="n"/>
      <c r="Q603" s="11" t="n"/>
      <c r="R603" s="12" t="n"/>
      <c r="S603" s="11" t="n"/>
      <c r="T603" s="12" t="n"/>
      <c r="U603" s="12" t="n"/>
      <c r="V603" s="12" t="n"/>
      <c r="W603" s="13" t="n"/>
      <c r="X603" s="14">
        <f>IF($AP603="",IF($B603="","",$H603),IF(INDEX(職員マスタ!$B$6:$B$405,$AP603)="",$H603,INDEX(職員マスタ!$B$6:$B$405,$AP603)))</f>
        <v/>
      </c>
      <c r="Y603" s="14">
        <f>IF($AP603="",IF($B603="","",$R603),IF(INDEX(職員マスタ!$C$6:$C$405,$AP603)="",$R603,INDEX(職員マスタ!$C$6:$C$405,$AP603)))</f>
        <v/>
      </c>
      <c r="Z603" s="14">
        <f>IF($AQ603="","","R"&amp;$C603&amp;"."&amp;$D603)</f>
        <v/>
      </c>
      <c r="AA603" s="15">
        <f>IF(IF($AP603="",FALSE,INDEX(職員マスタ!$K$6:$K$405,$AP603)&lt;&gt;""),INDEX(職員マスタ!$K$6:$K$405,$AP603),IF(N($W603)&gt;0,$W603,""))</f>
        <v/>
      </c>
      <c r="AB603" s="14">
        <f>IF(OR($E603="",$AA603=""),"",IF($E603&gt;=$AA603,"×",IF($E603&gt;=$AA603*設定!$C$5,"△","○")))</f>
        <v/>
      </c>
      <c r="AC603" s="15">
        <f>IF($AB603="","",IF($AB603="×",0,IF($AB603="○",ROUNDDOWN($E603*設定!$C$4,0),ROUNDDOWN($E603*ROUND((9*$AA603-9*$E603)/(10*$E603),4),0))))</f>
        <v/>
      </c>
      <c r="AD603" s="13" t="n"/>
      <c r="AE603" s="15">
        <f>IF($B603="","",IF($AD603&lt;&gt;"",$AD603,IF($AC603="","",IF($AC603&lt;=設定!$C$3,0,$AC603))))</f>
        <v/>
      </c>
      <c r="AF603" s="14">
        <f>IF($B603="","",IF(AND($AG603&lt;&gt;"",$AI603="",$AL603=""),"保留中",IF($AL603&lt;&gt;"",IF(N($AE603)&gt;0,"支給済","不支給"),IF($AE603="","要確認",IF($AE603=0,"不支給","未処理")))))</f>
        <v/>
      </c>
      <c r="AG603" s="12" t="n"/>
      <c r="AH603" s="11" t="n"/>
      <c r="AI603" s="11" t="n"/>
      <c r="AJ603" s="11" t="n"/>
      <c r="AK603" s="14">
        <f>IF(AND($AF603="保留中",$AH603&lt;&gt;""),TODAY()-$AH603,"")</f>
        <v/>
      </c>
      <c r="AL603" s="12" t="n"/>
      <c r="AM603" s="14">
        <f>IF($B603="","",IF($AQ603="","対象年月が未入力／","")&amp;IF($B603="","",IF($AP603="","職員マスタに未登録の職員番号／",IF($AA603="","標準報酬月額が未登録／","")&amp;IF(AND($AQ603&lt;&gt;"",OR(AND(INDEX(職員マスタ!$G$6:$G$405,$AP603)&lt;&gt;"",INDEX(職員マスタ!$G$6:$G$405,$AP603)&gt;EOMONTH($AQ603,0)),AND(INDEX(職員マスタ!$H$6:$H$405,$AP603)&lt;&gt;"",INDEX(職員マスタ!$H$6:$H$405,$AP603)&lt;$AQ603))),"対象月が時短期間外／","")&amp;IF(AND(INDEX(職員マスタ!$K$6:$K$405,$AP603)&lt;&gt;"",N($W603)&gt;0,INDEX(職員マスタ!$K$6:$K$405,$AP603)&lt;&gt;$W603),"標準報酬月額が申請書と相違（台帳"&amp;TEXT(INDEX(職員マスタ!$K$6:$K$405,$AP603),"#,##0")&amp;"円／申請書"&amp;TEXT($W603,"#,##0")&amp;"円）／","")&amp;IF(AND(INDEX(職員マスタ!$F$6:$F$405,$AP603)&lt;&gt;"",$AQ603&lt;&gt;"",INDEX(職員マスタ!$F$6:$F$405,$AP603)&lt;$AQ603),"対象月に子が2歳到達済／","")&amp;IF(AND($H603&lt;&gt;"",INDEX(職員マスタ!$B$6:$B$405,$AP603)&lt;&gt;"",SUBSTITUTE(SUBSTITUTE($H603," ","")," ","")&lt;&gt;SUBSTITUTE(SUBSTITUTE(INDEX(職員マスタ!$B$6:$B$405,$AP603)," ","")," ","")),"氏名がマスタと相違／","")&amp;IF(AND($Q603&lt;&gt;"",INDEX(職員マスタ!$E$6:$E$405,$AP603)&lt;&gt;"",$Q603&lt;&gt;INDEX(職員マスタ!$E$6:$E$405,$AP603)),"子の生年月日がマスタと相違／","")&amp;IF(AND($L603&lt;&gt;"",INDEX(職員マスタ!$G$6:$G$405,$AP603)&lt;&gt;"",$L603&lt;&gt;INDEX(職員マスタ!$G$6:$G$405,$AP603)),"時短開始日がマスタと相違／","")&amp;IF(AND($M603&lt;&gt;"",INDEX(職員マスタ!$H$6:$H$405,$AP603)&lt;&gt;"",$M603&lt;&gt;INDEX(職員マスタ!$H$6:$H$405,$AP603)),"時短終了日がマスタと相違／","")))&amp;IF(AND($B603&lt;&gt;"",$E603=""),"報酬額が未入力／","")&amp;IF(N($U603)&gt;0,"申請書に入力エラーが残っています／","")&amp;IF(AND($B603&lt;&gt;"",$AQ603&lt;&gt;""),IF(COUNTIFS($B$6:$B$3005,$B603,$C$6:$C$3005,$C603,$D$6:$D$3005,$D603)&gt;1,"同じ月の請求が重複しています／",""),"")&amp;IF(AND(N($E603)&gt;0,$AB603&lt;&gt;"",$AB603&lt;&gt;"×",$AE603=0,$AD603=""),"計算額が下限以下のため不支給／",""))</f>
        <v/>
      </c>
      <c r="AN603" s="12" t="n"/>
      <c r="AO603" s="14">
        <f>IF($AF603="保留中",COUNTIF($AF$6:$AF603,"保留中"),"")</f>
        <v/>
      </c>
      <c r="AP603" s="14">
        <f>IF($AQ603="","",IF(SUMPRODUCT(MAX((職員マスタ!$A$6:$A$405=$B603)*(((職員マスタ!$G$6:$G$405="")+(職員マスタ!$G$6:$G$405&lt;=EOMONTH($AQ603,0)))&gt;0)*(((職員マスタ!$H$6:$H$405="")+(職員マスタ!$H$6:$H$405&gt;=$AQ603))&gt;0)*(ROW(職員マスタ!$A$6:$A$405)-5)))&gt;0,SUMPRODUCT(MAX((職員マスタ!$A$6:$A$405=$B603)*(((職員マスタ!$G$6:$G$405="")+(職員マスタ!$G$6:$G$405&lt;=EOMONTH($AQ603,0)))&gt;0)*(((職員マスタ!$H$6:$H$405="")+(職員マスタ!$H$6:$H$405&gt;=$AQ603))&gt;0)*(ROW(職員マスタ!$A$6:$A$405)-5))),IFERROR(MATCH($B603,職員マスタ!$A$6:$A$405,0),"")))</f>
        <v/>
      </c>
      <c r="AQ603" s="16">
        <f>IF(OR($B603="",$C603="",$D603=""),"",DATE($C603+2018,$D603,1))</f>
        <v/>
      </c>
    </row>
    <row r="604">
      <c r="A604" s="11" t="n"/>
      <c r="B604" s="12" t="n"/>
      <c r="C604" s="12" t="n"/>
      <c r="D604" s="12" t="n"/>
      <c r="E604" s="13" t="n"/>
      <c r="F604" s="12" t="n"/>
      <c r="G604" s="13" t="n"/>
      <c r="H604" s="12" t="n"/>
      <c r="I604" s="12" t="n"/>
      <c r="J604" s="12" t="n"/>
      <c r="K604" s="12" t="n"/>
      <c r="L604" s="11" t="n"/>
      <c r="M604" s="11" t="n"/>
      <c r="N604" s="11" t="n"/>
      <c r="O604" s="11" t="n"/>
      <c r="P604" s="12" t="n"/>
      <c r="Q604" s="11" t="n"/>
      <c r="R604" s="12" t="n"/>
      <c r="S604" s="11" t="n"/>
      <c r="T604" s="12" t="n"/>
      <c r="U604" s="12" t="n"/>
      <c r="V604" s="12" t="n"/>
      <c r="W604" s="13" t="n"/>
      <c r="X604" s="14">
        <f>IF($AP604="",IF($B604="","",$H604),IF(INDEX(職員マスタ!$B$6:$B$405,$AP604)="",$H604,INDEX(職員マスタ!$B$6:$B$405,$AP604)))</f>
        <v/>
      </c>
      <c r="Y604" s="14">
        <f>IF($AP604="",IF($B604="","",$R604),IF(INDEX(職員マスタ!$C$6:$C$405,$AP604)="",$R604,INDEX(職員マスタ!$C$6:$C$405,$AP604)))</f>
        <v/>
      </c>
      <c r="Z604" s="14">
        <f>IF($AQ604="","","R"&amp;$C604&amp;"."&amp;$D604)</f>
        <v/>
      </c>
      <c r="AA604" s="15">
        <f>IF(IF($AP604="",FALSE,INDEX(職員マスタ!$K$6:$K$405,$AP604)&lt;&gt;""),INDEX(職員マスタ!$K$6:$K$405,$AP604),IF(N($W604)&gt;0,$W604,""))</f>
        <v/>
      </c>
      <c r="AB604" s="14">
        <f>IF(OR($E604="",$AA604=""),"",IF($E604&gt;=$AA604,"×",IF($E604&gt;=$AA604*設定!$C$5,"△","○")))</f>
        <v/>
      </c>
      <c r="AC604" s="15">
        <f>IF($AB604="","",IF($AB604="×",0,IF($AB604="○",ROUNDDOWN($E604*設定!$C$4,0),ROUNDDOWN($E604*ROUND((9*$AA604-9*$E604)/(10*$E604),4),0))))</f>
        <v/>
      </c>
      <c r="AD604" s="13" t="n"/>
      <c r="AE604" s="15">
        <f>IF($B604="","",IF($AD604&lt;&gt;"",$AD604,IF($AC604="","",IF($AC604&lt;=設定!$C$3,0,$AC604))))</f>
        <v/>
      </c>
      <c r="AF604" s="14">
        <f>IF($B604="","",IF(AND($AG604&lt;&gt;"",$AI604="",$AL604=""),"保留中",IF($AL604&lt;&gt;"",IF(N($AE604)&gt;0,"支給済","不支給"),IF($AE604="","要確認",IF($AE604=0,"不支給","未処理")))))</f>
        <v/>
      </c>
      <c r="AG604" s="12" t="n"/>
      <c r="AH604" s="11" t="n"/>
      <c r="AI604" s="11" t="n"/>
      <c r="AJ604" s="11" t="n"/>
      <c r="AK604" s="14">
        <f>IF(AND($AF604="保留中",$AH604&lt;&gt;""),TODAY()-$AH604,"")</f>
        <v/>
      </c>
      <c r="AL604" s="12" t="n"/>
      <c r="AM604" s="14">
        <f>IF($B604="","",IF($AQ604="","対象年月が未入力／","")&amp;IF($B604="","",IF($AP604="","職員マスタに未登録の職員番号／",IF($AA604="","標準報酬月額が未登録／","")&amp;IF(AND($AQ604&lt;&gt;"",OR(AND(INDEX(職員マスタ!$G$6:$G$405,$AP604)&lt;&gt;"",INDEX(職員マスタ!$G$6:$G$405,$AP604)&gt;EOMONTH($AQ604,0)),AND(INDEX(職員マスタ!$H$6:$H$405,$AP604)&lt;&gt;"",INDEX(職員マスタ!$H$6:$H$405,$AP604)&lt;$AQ604))),"対象月が時短期間外／","")&amp;IF(AND(INDEX(職員マスタ!$K$6:$K$405,$AP604)&lt;&gt;"",N($W604)&gt;0,INDEX(職員マスタ!$K$6:$K$405,$AP604)&lt;&gt;$W604),"標準報酬月額が申請書と相違（台帳"&amp;TEXT(INDEX(職員マスタ!$K$6:$K$405,$AP604),"#,##0")&amp;"円／申請書"&amp;TEXT($W604,"#,##0")&amp;"円）／","")&amp;IF(AND(INDEX(職員マスタ!$F$6:$F$405,$AP604)&lt;&gt;"",$AQ604&lt;&gt;"",INDEX(職員マスタ!$F$6:$F$405,$AP604)&lt;$AQ604),"対象月に子が2歳到達済／","")&amp;IF(AND($H604&lt;&gt;"",INDEX(職員マスタ!$B$6:$B$405,$AP604)&lt;&gt;"",SUBSTITUTE(SUBSTITUTE($H604," ","")," ","")&lt;&gt;SUBSTITUTE(SUBSTITUTE(INDEX(職員マスタ!$B$6:$B$405,$AP604)," ","")," ","")),"氏名がマスタと相違／","")&amp;IF(AND($Q604&lt;&gt;"",INDEX(職員マスタ!$E$6:$E$405,$AP604)&lt;&gt;"",$Q604&lt;&gt;INDEX(職員マスタ!$E$6:$E$405,$AP604)),"子の生年月日がマスタと相違／","")&amp;IF(AND($L604&lt;&gt;"",INDEX(職員マスタ!$G$6:$G$405,$AP604)&lt;&gt;"",$L604&lt;&gt;INDEX(職員マスタ!$G$6:$G$405,$AP604)),"時短開始日がマスタと相違／","")&amp;IF(AND($M604&lt;&gt;"",INDEX(職員マスタ!$H$6:$H$405,$AP604)&lt;&gt;"",$M604&lt;&gt;INDEX(職員マスタ!$H$6:$H$405,$AP604)),"時短終了日がマスタと相違／","")))&amp;IF(AND($B604&lt;&gt;"",$E604=""),"報酬額が未入力／","")&amp;IF(N($U604)&gt;0,"申請書に入力エラーが残っています／","")&amp;IF(AND($B604&lt;&gt;"",$AQ604&lt;&gt;""),IF(COUNTIFS($B$6:$B$3005,$B604,$C$6:$C$3005,$C604,$D$6:$D$3005,$D604)&gt;1,"同じ月の請求が重複しています／",""),"")&amp;IF(AND(N($E604)&gt;0,$AB604&lt;&gt;"",$AB604&lt;&gt;"×",$AE604=0,$AD604=""),"計算額が下限以下のため不支給／",""))</f>
        <v/>
      </c>
      <c r="AN604" s="12" t="n"/>
      <c r="AO604" s="14">
        <f>IF($AF604="保留中",COUNTIF($AF$6:$AF604,"保留中"),"")</f>
        <v/>
      </c>
      <c r="AP604" s="14">
        <f>IF($AQ604="","",IF(SUMPRODUCT(MAX((職員マスタ!$A$6:$A$405=$B604)*(((職員マスタ!$G$6:$G$405="")+(職員マスタ!$G$6:$G$405&lt;=EOMONTH($AQ604,0)))&gt;0)*(((職員マスタ!$H$6:$H$405="")+(職員マスタ!$H$6:$H$405&gt;=$AQ604))&gt;0)*(ROW(職員マスタ!$A$6:$A$405)-5)))&gt;0,SUMPRODUCT(MAX((職員マスタ!$A$6:$A$405=$B604)*(((職員マスタ!$G$6:$G$405="")+(職員マスタ!$G$6:$G$405&lt;=EOMONTH($AQ604,0)))&gt;0)*(((職員マスタ!$H$6:$H$405="")+(職員マスタ!$H$6:$H$405&gt;=$AQ604))&gt;0)*(ROW(職員マスタ!$A$6:$A$405)-5))),IFERROR(MATCH($B604,職員マスタ!$A$6:$A$405,0),"")))</f>
        <v/>
      </c>
      <c r="AQ604" s="16">
        <f>IF(OR($B604="",$C604="",$D604=""),"",DATE($C604+2018,$D604,1))</f>
        <v/>
      </c>
    </row>
    <row r="605">
      <c r="A605" s="11" t="n"/>
      <c r="B605" s="12" t="n"/>
      <c r="C605" s="12" t="n"/>
      <c r="D605" s="12" t="n"/>
      <c r="E605" s="13" t="n"/>
      <c r="F605" s="12" t="n"/>
      <c r="G605" s="13" t="n"/>
      <c r="H605" s="12" t="n"/>
      <c r="I605" s="12" t="n"/>
      <c r="J605" s="12" t="n"/>
      <c r="K605" s="12" t="n"/>
      <c r="L605" s="11" t="n"/>
      <c r="M605" s="11" t="n"/>
      <c r="N605" s="11" t="n"/>
      <c r="O605" s="11" t="n"/>
      <c r="P605" s="12" t="n"/>
      <c r="Q605" s="11" t="n"/>
      <c r="R605" s="12" t="n"/>
      <c r="S605" s="11" t="n"/>
      <c r="T605" s="12" t="n"/>
      <c r="U605" s="12" t="n"/>
      <c r="V605" s="12" t="n"/>
      <c r="W605" s="13" t="n"/>
      <c r="X605" s="14">
        <f>IF($AP605="",IF($B605="","",$H605),IF(INDEX(職員マスタ!$B$6:$B$405,$AP605)="",$H605,INDEX(職員マスタ!$B$6:$B$405,$AP605)))</f>
        <v/>
      </c>
      <c r="Y605" s="14">
        <f>IF($AP605="",IF($B605="","",$R605),IF(INDEX(職員マスタ!$C$6:$C$405,$AP605)="",$R605,INDEX(職員マスタ!$C$6:$C$405,$AP605)))</f>
        <v/>
      </c>
      <c r="Z605" s="14">
        <f>IF($AQ605="","","R"&amp;$C605&amp;"."&amp;$D605)</f>
        <v/>
      </c>
      <c r="AA605" s="15">
        <f>IF(IF($AP605="",FALSE,INDEX(職員マスタ!$K$6:$K$405,$AP605)&lt;&gt;""),INDEX(職員マスタ!$K$6:$K$405,$AP605),IF(N($W605)&gt;0,$W605,""))</f>
        <v/>
      </c>
      <c r="AB605" s="14">
        <f>IF(OR($E605="",$AA605=""),"",IF($E605&gt;=$AA605,"×",IF($E605&gt;=$AA605*設定!$C$5,"△","○")))</f>
        <v/>
      </c>
      <c r="AC605" s="15">
        <f>IF($AB605="","",IF($AB605="×",0,IF($AB605="○",ROUNDDOWN($E605*設定!$C$4,0),ROUNDDOWN($E605*ROUND((9*$AA605-9*$E605)/(10*$E605),4),0))))</f>
        <v/>
      </c>
      <c r="AD605" s="13" t="n"/>
      <c r="AE605" s="15">
        <f>IF($B605="","",IF($AD605&lt;&gt;"",$AD605,IF($AC605="","",IF($AC605&lt;=設定!$C$3,0,$AC605))))</f>
        <v/>
      </c>
      <c r="AF605" s="14">
        <f>IF($B605="","",IF(AND($AG605&lt;&gt;"",$AI605="",$AL605=""),"保留中",IF($AL605&lt;&gt;"",IF(N($AE605)&gt;0,"支給済","不支給"),IF($AE605="","要確認",IF($AE605=0,"不支給","未処理")))))</f>
        <v/>
      </c>
      <c r="AG605" s="12" t="n"/>
      <c r="AH605" s="11" t="n"/>
      <c r="AI605" s="11" t="n"/>
      <c r="AJ605" s="11" t="n"/>
      <c r="AK605" s="14">
        <f>IF(AND($AF605="保留中",$AH605&lt;&gt;""),TODAY()-$AH605,"")</f>
        <v/>
      </c>
      <c r="AL605" s="12" t="n"/>
      <c r="AM605" s="14">
        <f>IF($B605="","",IF($AQ605="","対象年月が未入力／","")&amp;IF($B605="","",IF($AP605="","職員マスタに未登録の職員番号／",IF($AA605="","標準報酬月額が未登録／","")&amp;IF(AND($AQ605&lt;&gt;"",OR(AND(INDEX(職員マスタ!$G$6:$G$405,$AP605)&lt;&gt;"",INDEX(職員マスタ!$G$6:$G$405,$AP605)&gt;EOMONTH($AQ605,0)),AND(INDEX(職員マスタ!$H$6:$H$405,$AP605)&lt;&gt;"",INDEX(職員マスタ!$H$6:$H$405,$AP605)&lt;$AQ605))),"対象月が時短期間外／","")&amp;IF(AND(INDEX(職員マスタ!$K$6:$K$405,$AP605)&lt;&gt;"",N($W605)&gt;0,INDEX(職員マスタ!$K$6:$K$405,$AP605)&lt;&gt;$W605),"標準報酬月額が申請書と相違（台帳"&amp;TEXT(INDEX(職員マスタ!$K$6:$K$405,$AP605),"#,##0")&amp;"円／申請書"&amp;TEXT($W605,"#,##0")&amp;"円）／","")&amp;IF(AND(INDEX(職員マスタ!$F$6:$F$405,$AP605)&lt;&gt;"",$AQ605&lt;&gt;"",INDEX(職員マスタ!$F$6:$F$405,$AP605)&lt;$AQ605),"対象月に子が2歳到達済／","")&amp;IF(AND($H605&lt;&gt;"",INDEX(職員マスタ!$B$6:$B$405,$AP605)&lt;&gt;"",SUBSTITUTE(SUBSTITUTE($H605," ","")," ","")&lt;&gt;SUBSTITUTE(SUBSTITUTE(INDEX(職員マスタ!$B$6:$B$405,$AP605)," ","")," ","")),"氏名がマスタと相違／","")&amp;IF(AND($Q605&lt;&gt;"",INDEX(職員マスタ!$E$6:$E$405,$AP605)&lt;&gt;"",$Q605&lt;&gt;INDEX(職員マスタ!$E$6:$E$405,$AP605)),"子の生年月日がマスタと相違／","")&amp;IF(AND($L605&lt;&gt;"",INDEX(職員マスタ!$G$6:$G$405,$AP605)&lt;&gt;"",$L605&lt;&gt;INDEX(職員マスタ!$G$6:$G$405,$AP605)),"時短開始日がマスタと相違／","")&amp;IF(AND($M605&lt;&gt;"",INDEX(職員マスタ!$H$6:$H$405,$AP605)&lt;&gt;"",$M605&lt;&gt;INDEX(職員マスタ!$H$6:$H$405,$AP605)),"時短終了日がマスタと相違／","")))&amp;IF(AND($B605&lt;&gt;"",$E605=""),"報酬額が未入力／","")&amp;IF(N($U605)&gt;0,"申請書に入力エラーが残っています／","")&amp;IF(AND($B605&lt;&gt;"",$AQ605&lt;&gt;""),IF(COUNTIFS($B$6:$B$3005,$B605,$C$6:$C$3005,$C605,$D$6:$D$3005,$D605)&gt;1,"同じ月の請求が重複しています／",""),"")&amp;IF(AND(N($E605)&gt;0,$AB605&lt;&gt;"",$AB605&lt;&gt;"×",$AE605=0,$AD605=""),"計算額が下限以下のため不支給／",""))</f>
        <v/>
      </c>
      <c r="AN605" s="12" t="n"/>
      <c r="AO605" s="14">
        <f>IF($AF605="保留中",COUNTIF($AF$6:$AF605,"保留中"),"")</f>
        <v/>
      </c>
      <c r="AP605" s="14">
        <f>IF($AQ605="","",IF(SUMPRODUCT(MAX((職員マスタ!$A$6:$A$405=$B605)*(((職員マスタ!$G$6:$G$405="")+(職員マスタ!$G$6:$G$405&lt;=EOMONTH($AQ605,0)))&gt;0)*(((職員マスタ!$H$6:$H$405="")+(職員マスタ!$H$6:$H$405&gt;=$AQ605))&gt;0)*(ROW(職員マスタ!$A$6:$A$405)-5)))&gt;0,SUMPRODUCT(MAX((職員マスタ!$A$6:$A$405=$B605)*(((職員マスタ!$G$6:$G$405="")+(職員マスタ!$G$6:$G$405&lt;=EOMONTH($AQ605,0)))&gt;0)*(((職員マスタ!$H$6:$H$405="")+(職員マスタ!$H$6:$H$405&gt;=$AQ605))&gt;0)*(ROW(職員マスタ!$A$6:$A$405)-5))),IFERROR(MATCH($B605,職員マスタ!$A$6:$A$405,0),"")))</f>
        <v/>
      </c>
      <c r="AQ605" s="16">
        <f>IF(OR($B605="",$C605="",$D605=""),"",DATE($C605+2018,$D605,1))</f>
        <v/>
      </c>
    </row>
    <row r="606">
      <c r="A606" s="11" t="n"/>
      <c r="B606" s="12" t="n"/>
      <c r="C606" s="12" t="n"/>
      <c r="D606" s="12" t="n"/>
      <c r="E606" s="13" t="n"/>
      <c r="F606" s="12" t="n"/>
      <c r="G606" s="13" t="n"/>
      <c r="H606" s="12" t="n"/>
      <c r="I606" s="12" t="n"/>
      <c r="J606" s="12" t="n"/>
      <c r="K606" s="12" t="n"/>
      <c r="L606" s="11" t="n"/>
      <c r="M606" s="11" t="n"/>
      <c r="N606" s="11" t="n"/>
      <c r="O606" s="11" t="n"/>
      <c r="P606" s="12" t="n"/>
      <c r="Q606" s="11" t="n"/>
      <c r="R606" s="12" t="n"/>
      <c r="S606" s="11" t="n"/>
      <c r="T606" s="12" t="n"/>
      <c r="U606" s="12" t="n"/>
      <c r="V606" s="12" t="n"/>
      <c r="W606" s="13" t="n"/>
      <c r="X606" s="14">
        <f>IF($AP606="",IF($B606="","",$H606),IF(INDEX(職員マスタ!$B$6:$B$405,$AP606)="",$H606,INDEX(職員マスタ!$B$6:$B$405,$AP606)))</f>
        <v/>
      </c>
      <c r="Y606" s="14">
        <f>IF($AP606="",IF($B606="","",$R606),IF(INDEX(職員マスタ!$C$6:$C$405,$AP606)="",$R606,INDEX(職員マスタ!$C$6:$C$405,$AP606)))</f>
        <v/>
      </c>
      <c r="Z606" s="14">
        <f>IF($AQ606="","","R"&amp;$C606&amp;"."&amp;$D606)</f>
        <v/>
      </c>
      <c r="AA606" s="15">
        <f>IF(IF($AP606="",FALSE,INDEX(職員マスタ!$K$6:$K$405,$AP606)&lt;&gt;""),INDEX(職員マスタ!$K$6:$K$405,$AP606),IF(N($W606)&gt;0,$W606,""))</f>
        <v/>
      </c>
      <c r="AB606" s="14">
        <f>IF(OR($E606="",$AA606=""),"",IF($E606&gt;=$AA606,"×",IF($E606&gt;=$AA606*設定!$C$5,"△","○")))</f>
        <v/>
      </c>
      <c r="AC606" s="15">
        <f>IF($AB606="","",IF($AB606="×",0,IF($AB606="○",ROUNDDOWN($E606*設定!$C$4,0),ROUNDDOWN($E606*ROUND((9*$AA606-9*$E606)/(10*$E606),4),0))))</f>
        <v/>
      </c>
      <c r="AD606" s="13" t="n"/>
      <c r="AE606" s="15">
        <f>IF($B606="","",IF($AD606&lt;&gt;"",$AD606,IF($AC606="","",IF($AC606&lt;=設定!$C$3,0,$AC606))))</f>
        <v/>
      </c>
      <c r="AF606" s="14">
        <f>IF($B606="","",IF(AND($AG606&lt;&gt;"",$AI606="",$AL606=""),"保留中",IF($AL606&lt;&gt;"",IF(N($AE606)&gt;0,"支給済","不支給"),IF($AE606="","要確認",IF($AE606=0,"不支給","未処理")))))</f>
        <v/>
      </c>
      <c r="AG606" s="12" t="n"/>
      <c r="AH606" s="11" t="n"/>
      <c r="AI606" s="11" t="n"/>
      <c r="AJ606" s="11" t="n"/>
      <c r="AK606" s="14">
        <f>IF(AND($AF606="保留中",$AH606&lt;&gt;""),TODAY()-$AH606,"")</f>
        <v/>
      </c>
      <c r="AL606" s="12" t="n"/>
      <c r="AM606" s="14">
        <f>IF($B606="","",IF($AQ606="","対象年月が未入力／","")&amp;IF($B606="","",IF($AP606="","職員マスタに未登録の職員番号／",IF($AA606="","標準報酬月額が未登録／","")&amp;IF(AND($AQ606&lt;&gt;"",OR(AND(INDEX(職員マスタ!$G$6:$G$405,$AP606)&lt;&gt;"",INDEX(職員マスタ!$G$6:$G$405,$AP606)&gt;EOMONTH($AQ606,0)),AND(INDEX(職員マスタ!$H$6:$H$405,$AP606)&lt;&gt;"",INDEX(職員マスタ!$H$6:$H$405,$AP606)&lt;$AQ606))),"対象月が時短期間外／","")&amp;IF(AND(INDEX(職員マスタ!$K$6:$K$405,$AP606)&lt;&gt;"",N($W606)&gt;0,INDEX(職員マスタ!$K$6:$K$405,$AP606)&lt;&gt;$W606),"標準報酬月額が申請書と相違（台帳"&amp;TEXT(INDEX(職員マスタ!$K$6:$K$405,$AP606),"#,##0")&amp;"円／申請書"&amp;TEXT($W606,"#,##0")&amp;"円）／","")&amp;IF(AND(INDEX(職員マスタ!$F$6:$F$405,$AP606)&lt;&gt;"",$AQ606&lt;&gt;"",INDEX(職員マスタ!$F$6:$F$405,$AP606)&lt;$AQ606),"対象月に子が2歳到達済／","")&amp;IF(AND($H606&lt;&gt;"",INDEX(職員マスタ!$B$6:$B$405,$AP606)&lt;&gt;"",SUBSTITUTE(SUBSTITUTE($H606," ","")," ","")&lt;&gt;SUBSTITUTE(SUBSTITUTE(INDEX(職員マスタ!$B$6:$B$405,$AP606)," ","")," ","")),"氏名がマスタと相違／","")&amp;IF(AND($Q606&lt;&gt;"",INDEX(職員マスタ!$E$6:$E$405,$AP606)&lt;&gt;"",$Q606&lt;&gt;INDEX(職員マスタ!$E$6:$E$405,$AP606)),"子の生年月日がマスタと相違／","")&amp;IF(AND($L606&lt;&gt;"",INDEX(職員マスタ!$G$6:$G$405,$AP606)&lt;&gt;"",$L606&lt;&gt;INDEX(職員マスタ!$G$6:$G$405,$AP606)),"時短開始日がマスタと相違／","")&amp;IF(AND($M606&lt;&gt;"",INDEX(職員マスタ!$H$6:$H$405,$AP606)&lt;&gt;"",$M606&lt;&gt;INDEX(職員マスタ!$H$6:$H$405,$AP606)),"時短終了日がマスタと相違／","")))&amp;IF(AND($B606&lt;&gt;"",$E606=""),"報酬額が未入力／","")&amp;IF(N($U606)&gt;0,"申請書に入力エラーが残っています／","")&amp;IF(AND($B606&lt;&gt;"",$AQ606&lt;&gt;""),IF(COUNTIFS($B$6:$B$3005,$B606,$C$6:$C$3005,$C606,$D$6:$D$3005,$D606)&gt;1,"同じ月の請求が重複しています／",""),"")&amp;IF(AND(N($E606)&gt;0,$AB606&lt;&gt;"",$AB606&lt;&gt;"×",$AE606=0,$AD606=""),"計算額が下限以下のため不支給／",""))</f>
        <v/>
      </c>
      <c r="AN606" s="12" t="n"/>
      <c r="AO606" s="14">
        <f>IF($AF606="保留中",COUNTIF($AF$6:$AF606,"保留中"),"")</f>
        <v/>
      </c>
      <c r="AP606" s="14">
        <f>IF($AQ606="","",IF(SUMPRODUCT(MAX((職員マスタ!$A$6:$A$405=$B606)*(((職員マスタ!$G$6:$G$405="")+(職員マスタ!$G$6:$G$405&lt;=EOMONTH($AQ606,0)))&gt;0)*(((職員マスタ!$H$6:$H$405="")+(職員マスタ!$H$6:$H$405&gt;=$AQ606))&gt;0)*(ROW(職員マスタ!$A$6:$A$405)-5)))&gt;0,SUMPRODUCT(MAX((職員マスタ!$A$6:$A$405=$B606)*(((職員マスタ!$G$6:$G$405="")+(職員マスタ!$G$6:$G$405&lt;=EOMONTH($AQ606,0)))&gt;0)*(((職員マスタ!$H$6:$H$405="")+(職員マスタ!$H$6:$H$405&gt;=$AQ606))&gt;0)*(ROW(職員マスタ!$A$6:$A$405)-5))),IFERROR(MATCH($B606,職員マスタ!$A$6:$A$405,0),"")))</f>
        <v/>
      </c>
      <c r="AQ606" s="16">
        <f>IF(OR($B606="",$C606="",$D606=""),"",DATE($C606+2018,$D606,1))</f>
        <v/>
      </c>
    </row>
    <row r="607">
      <c r="A607" s="11" t="n"/>
      <c r="B607" s="12" t="n"/>
      <c r="C607" s="12" t="n"/>
      <c r="D607" s="12" t="n"/>
      <c r="E607" s="13" t="n"/>
      <c r="F607" s="12" t="n"/>
      <c r="G607" s="13" t="n"/>
      <c r="H607" s="12" t="n"/>
      <c r="I607" s="12" t="n"/>
      <c r="J607" s="12" t="n"/>
      <c r="K607" s="12" t="n"/>
      <c r="L607" s="11" t="n"/>
      <c r="M607" s="11" t="n"/>
      <c r="N607" s="11" t="n"/>
      <c r="O607" s="11" t="n"/>
      <c r="P607" s="12" t="n"/>
      <c r="Q607" s="11" t="n"/>
      <c r="R607" s="12" t="n"/>
      <c r="S607" s="11" t="n"/>
      <c r="T607" s="12" t="n"/>
      <c r="U607" s="12" t="n"/>
      <c r="V607" s="12" t="n"/>
      <c r="W607" s="13" t="n"/>
      <c r="X607" s="14">
        <f>IF($AP607="",IF($B607="","",$H607),IF(INDEX(職員マスタ!$B$6:$B$405,$AP607)="",$H607,INDEX(職員マスタ!$B$6:$B$405,$AP607)))</f>
        <v/>
      </c>
      <c r="Y607" s="14">
        <f>IF($AP607="",IF($B607="","",$R607),IF(INDEX(職員マスタ!$C$6:$C$405,$AP607)="",$R607,INDEX(職員マスタ!$C$6:$C$405,$AP607)))</f>
        <v/>
      </c>
      <c r="Z607" s="14">
        <f>IF($AQ607="","","R"&amp;$C607&amp;"."&amp;$D607)</f>
        <v/>
      </c>
      <c r="AA607" s="15">
        <f>IF(IF($AP607="",FALSE,INDEX(職員マスタ!$K$6:$K$405,$AP607)&lt;&gt;""),INDEX(職員マスタ!$K$6:$K$405,$AP607),IF(N($W607)&gt;0,$W607,""))</f>
        <v/>
      </c>
      <c r="AB607" s="14">
        <f>IF(OR($E607="",$AA607=""),"",IF($E607&gt;=$AA607,"×",IF($E607&gt;=$AA607*設定!$C$5,"△","○")))</f>
        <v/>
      </c>
      <c r="AC607" s="15">
        <f>IF($AB607="","",IF($AB607="×",0,IF($AB607="○",ROUNDDOWN($E607*設定!$C$4,0),ROUNDDOWN($E607*ROUND((9*$AA607-9*$E607)/(10*$E607),4),0))))</f>
        <v/>
      </c>
      <c r="AD607" s="13" t="n"/>
      <c r="AE607" s="15">
        <f>IF($B607="","",IF($AD607&lt;&gt;"",$AD607,IF($AC607="","",IF($AC607&lt;=設定!$C$3,0,$AC607))))</f>
        <v/>
      </c>
      <c r="AF607" s="14">
        <f>IF($B607="","",IF(AND($AG607&lt;&gt;"",$AI607="",$AL607=""),"保留中",IF($AL607&lt;&gt;"",IF(N($AE607)&gt;0,"支給済","不支給"),IF($AE607="","要確認",IF($AE607=0,"不支給","未処理")))))</f>
        <v/>
      </c>
      <c r="AG607" s="12" t="n"/>
      <c r="AH607" s="11" t="n"/>
      <c r="AI607" s="11" t="n"/>
      <c r="AJ607" s="11" t="n"/>
      <c r="AK607" s="14">
        <f>IF(AND($AF607="保留中",$AH607&lt;&gt;""),TODAY()-$AH607,"")</f>
        <v/>
      </c>
      <c r="AL607" s="12" t="n"/>
      <c r="AM607" s="14">
        <f>IF($B607="","",IF($AQ607="","対象年月が未入力／","")&amp;IF($B607="","",IF($AP607="","職員マスタに未登録の職員番号／",IF($AA607="","標準報酬月額が未登録／","")&amp;IF(AND($AQ607&lt;&gt;"",OR(AND(INDEX(職員マスタ!$G$6:$G$405,$AP607)&lt;&gt;"",INDEX(職員マスタ!$G$6:$G$405,$AP607)&gt;EOMONTH($AQ607,0)),AND(INDEX(職員マスタ!$H$6:$H$405,$AP607)&lt;&gt;"",INDEX(職員マスタ!$H$6:$H$405,$AP607)&lt;$AQ607))),"対象月が時短期間外／","")&amp;IF(AND(INDEX(職員マスタ!$K$6:$K$405,$AP607)&lt;&gt;"",N($W607)&gt;0,INDEX(職員マスタ!$K$6:$K$405,$AP607)&lt;&gt;$W607),"標準報酬月額が申請書と相違（台帳"&amp;TEXT(INDEX(職員マスタ!$K$6:$K$405,$AP607),"#,##0")&amp;"円／申請書"&amp;TEXT($W607,"#,##0")&amp;"円）／","")&amp;IF(AND(INDEX(職員マスタ!$F$6:$F$405,$AP607)&lt;&gt;"",$AQ607&lt;&gt;"",INDEX(職員マスタ!$F$6:$F$405,$AP607)&lt;$AQ607),"対象月に子が2歳到達済／","")&amp;IF(AND($H607&lt;&gt;"",INDEX(職員マスタ!$B$6:$B$405,$AP607)&lt;&gt;"",SUBSTITUTE(SUBSTITUTE($H607," ","")," ","")&lt;&gt;SUBSTITUTE(SUBSTITUTE(INDEX(職員マスタ!$B$6:$B$405,$AP607)," ","")," ","")),"氏名がマスタと相違／","")&amp;IF(AND($Q607&lt;&gt;"",INDEX(職員マスタ!$E$6:$E$405,$AP607)&lt;&gt;"",$Q607&lt;&gt;INDEX(職員マスタ!$E$6:$E$405,$AP607)),"子の生年月日がマスタと相違／","")&amp;IF(AND($L607&lt;&gt;"",INDEX(職員マスタ!$G$6:$G$405,$AP607)&lt;&gt;"",$L607&lt;&gt;INDEX(職員マスタ!$G$6:$G$405,$AP607)),"時短開始日がマスタと相違／","")&amp;IF(AND($M607&lt;&gt;"",INDEX(職員マスタ!$H$6:$H$405,$AP607)&lt;&gt;"",$M607&lt;&gt;INDEX(職員マスタ!$H$6:$H$405,$AP607)),"時短終了日がマスタと相違／","")))&amp;IF(AND($B607&lt;&gt;"",$E607=""),"報酬額が未入力／","")&amp;IF(N($U607)&gt;0,"申請書に入力エラーが残っています／","")&amp;IF(AND($B607&lt;&gt;"",$AQ607&lt;&gt;""),IF(COUNTIFS($B$6:$B$3005,$B607,$C$6:$C$3005,$C607,$D$6:$D$3005,$D607)&gt;1,"同じ月の請求が重複しています／",""),"")&amp;IF(AND(N($E607)&gt;0,$AB607&lt;&gt;"",$AB607&lt;&gt;"×",$AE607=0,$AD607=""),"計算額が下限以下のため不支給／",""))</f>
        <v/>
      </c>
      <c r="AN607" s="12" t="n"/>
      <c r="AO607" s="14">
        <f>IF($AF607="保留中",COUNTIF($AF$6:$AF607,"保留中"),"")</f>
        <v/>
      </c>
      <c r="AP607" s="14">
        <f>IF($AQ607="","",IF(SUMPRODUCT(MAX((職員マスタ!$A$6:$A$405=$B607)*(((職員マスタ!$G$6:$G$405="")+(職員マスタ!$G$6:$G$405&lt;=EOMONTH($AQ607,0)))&gt;0)*(((職員マスタ!$H$6:$H$405="")+(職員マスタ!$H$6:$H$405&gt;=$AQ607))&gt;0)*(ROW(職員マスタ!$A$6:$A$405)-5)))&gt;0,SUMPRODUCT(MAX((職員マスタ!$A$6:$A$405=$B607)*(((職員マスタ!$G$6:$G$405="")+(職員マスタ!$G$6:$G$405&lt;=EOMONTH($AQ607,0)))&gt;0)*(((職員マスタ!$H$6:$H$405="")+(職員マスタ!$H$6:$H$405&gt;=$AQ607))&gt;0)*(ROW(職員マスタ!$A$6:$A$405)-5))),IFERROR(MATCH($B607,職員マスタ!$A$6:$A$405,0),"")))</f>
        <v/>
      </c>
      <c r="AQ607" s="16">
        <f>IF(OR($B607="",$C607="",$D607=""),"",DATE($C607+2018,$D607,1))</f>
        <v/>
      </c>
    </row>
    <row r="608">
      <c r="A608" s="11" t="n"/>
      <c r="B608" s="12" t="n"/>
      <c r="C608" s="12" t="n"/>
      <c r="D608" s="12" t="n"/>
      <c r="E608" s="13" t="n"/>
      <c r="F608" s="12" t="n"/>
      <c r="G608" s="13" t="n"/>
      <c r="H608" s="12" t="n"/>
      <c r="I608" s="12" t="n"/>
      <c r="J608" s="12" t="n"/>
      <c r="K608" s="12" t="n"/>
      <c r="L608" s="11" t="n"/>
      <c r="M608" s="11" t="n"/>
      <c r="N608" s="11" t="n"/>
      <c r="O608" s="11" t="n"/>
      <c r="P608" s="12" t="n"/>
      <c r="Q608" s="11" t="n"/>
      <c r="R608" s="12" t="n"/>
      <c r="S608" s="11" t="n"/>
      <c r="T608" s="12" t="n"/>
      <c r="U608" s="12" t="n"/>
      <c r="V608" s="12" t="n"/>
      <c r="W608" s="13" t="n"/>
      <c r="X608" s="14">
        <f>IF($AP608="",IF($B608="","",$H608),IF(INDEX(職員マスタ!$B$6:$B$405,$AP608)="",$H608,INDEX(職員マスタ!$B$6:$B$405,$AP608)))</f>
        <v/>
      </c>
      <c r="Y608" s="14">
        <f>IF($AP608="",IF($B608="","",$R608),IF(INDEX(職員マスタ!$C$6:$C$405,$AP608)="",$R608,INDEX(職員マスタ!$C$6:$C$405,$AP608)))</f>
        <v/>
      </c>
      <c r="Z608" s="14">
        <f>IF($AQ608="","","R"&amp;$C608&amp;"."&amp;$D608)</f>
        <v/>
      </c>
      <c r="AA608" s="15">
        <f>IF(IF($AP608="",FALSE,INDEX(職員マスタ!$K$6:$K$405,$AP608)&lt;&gt;""),INDEX(職員マスタ!$K$6:$K$405,$AP608),IF(N($W608)&gt;0,$W608,""))</f>
        <v/>
      </c>
      <c r="AB608" s="14">
        <f>IF(OR($E608="",$AA608=""),"",IF($E608&gt;=$AA608,"×",IF($E608&gt;=$AA608*設定!$C$5,"△","○")))</f>
        <v/>
      </c>
      <c r="AC608" s="15">
        <f>IF($AB608="","",IF($AB608="×",0,IF($AB608="○",ROUNDDOWN($E608*設定!$C$4,0),ROUNDDOWN($E608*ROUND((9*$AA608-9*$E608)/(10*$E608),4),0))))</f>
        <v/>
      </c>
      <c r="AD608" s="13" t="n"/>
      <c r="AE608" s="15">
        <f>IF($B608="","",IF($AD608&lt;&gt;"",$AD608,IF($AC608="","",IF($AC608&lt;=設定!$C$3,0,$AC608))))</f>
        <v/>
      </c>
      <c r="AF608" s="14">
        <f>IF($B608="","",IF(AND($AG608&lt;&gt;"",$AI608="",$AL608=""),"保留中",IF($AL608&lt;&gt;"",IF(N($AE608)&gt;0,"支給済","不支給"),IF($AE608="","要確認",IF($AE608=0,"不支給","未処理")))))</f>
        <v/>
      </c>
      <c r="AG608" s="12" t="n"/>
      <c r="AH608" s="11" t="n"/>
      <c r="AI608" s="11" t="n"/>
      <c r="AJ608" s="11" t="n"/>
      <c r="AK608" s="14">
        <f>IF(AND($AF608="保留中",$AH608&lt;&gt;""),TODAY()-$AH608,"")</f>
        <v/>
      </c>
      <c r="AL608" s="12" t="n"/>
      <c r="AM608" s="14">
        <f>IF($B608="","",IF($AQ608="","対象年月が未入力／","")&amp;IF($B608="","",IF($AP608="","職員マスタに未登録の職員番号／",IF($AA608="","標準報酬月額が未登録／","")&amp;IF(AND($AQ608&lt;&gt;"",OR(AND(INDEX(職員マスタ!$G$6:$G$405,$AP608)&lt;&gt;"",INDEX(職員マスタ!$G$6:$G$405,$AP608)&gt;EOMONTH($AQ608,0)),AND(INDEX(職員マスタ!$H$6:$H$405,$AP608)&lt;&gt;"",INDEX(職員マスタ!$H$6:$H$405,$AP608)&lt;$AQ608))),"対象月が時短期間外／","")&amp;IF(AND(INDEX(職員マスタ!$K$6:$K$405,$AP608)&lt;&gt;"",N($W608)&gt;0,INDEX(職員マスタ!$K$6:$K$405,$AP608)&lt;&gt;$W608),"標準報酬月額が申請書と相違（台帳"&amp;TEXT(INDEX(職員マスタ!$K$6:$K$405,$AP608),"#,##0")&amp;"円／申請書"&amp;TEXT($W608,"#,##0")&amp;"円）／","")&amp;IF(AND(INDEX(職員マスタ!$F$6:$F$405,$AP608)&lt;&gt;"",$AQ608&lt;&gt;"",INDEX(職員マスタ!$F$6:$F$405,$AP608)&lt;$AQ608),"対象月に子が2歳到達済／","")&amp;IF(AND($H608&lt;&gt;"",INDEX(職員マスタ!$B$6:$B$405,$AP608)&lt;&gt;"",SUBSTITUTE(SUBSTITUTE($H608," ","")," ","")&lt;&gt;SUBSTITUTE(SUBSTITUTE(INDEX(職員マスタ!$B$6:$B$405,$AP608)," ","")," ","")),"氏名がマスタと相違／","")&amp;IF(AND($Q608&lt;&gt;"",INDEX(職員マスタ!$E$6:$E$405,$AP608)&lt;&gt;"",$Q608&lt;&gt;INDEX(職員マスタ!$E$6:$E$405,$AP608)),"子の生年月日がマスタと相違／","")&amp;IF(AND($L608&lt;&gt;"",INDEX(職員マスタ!$G$6:$G$405,$AP608)&lt;&gt;"",$L608&lt;&gt;INDEX(職員マスタ!$G$6:$G$405,$AP608)),"時短開始日がマスタと相違／","")&amp;IF(AND($M608&lt;&gt;"",INDEX(職員マスタ!$H$6:$H$405,$AP608)&lt;&gt;"",$M608&lt;&gt;INDEX(職員マスタ!$H$6:$H$405,$AP608)),"時短終了日がマスタと相違／","")))&amp;IF(AND($B608&lt;&gt;"",$E608=""),"報酬額が未入力／","")&amp;IF(N($U608)&gt;0,"申請書に入力エラーが残っています／","")&amp;IF(AND($B608&lt;&gt;"",$AQ608&lt;&gt;""),IF(COUNTIFS($B$6:$B$3005,$B608,$C$6:$C$3005,$C608,$D$6:$D$3005,$D608)&gt;1,"同じ月の請求が重複しています／",""),"")&amp;IF(AND(N($E608)&gt;0,$AB608&lt;&gt;"",$AB608&lt;&gt;"×",$AE608=0,$AD608=""),"計算額が下限以下のため不支給／",""))</f>
        <v/>
      </c>
      <c r="AN608" s="12" t="n"/>
      <c r="AO608" s="14">
        <f>IF($AF608="保留中",COUNTIF($AF$6:$AF608,"保留中"),"")</f>
        <v/>
      </c>
      <c r="AP608" s="14">
        <f>IF($AQ608="","",IF(SUMPRODUCT(MAX((職員マスタ!$A$6:$A$405=$B608)*(((職員マスタ!$G$6:$G$405="")+(職員マスタ!$G$6:$G$405&lt;=EOMONTH($AQ608,0)))&gt;0)*(((職員マスタ!$H$6:$H$405="")+(職員マスタ!$H$6:$H$405&gt;=$AQ608))&gt;0)*(ROW(職員マスタ!$A$6:$A$405)-5)))&gt;0,SUMPRODUCT(MAX((職員マスタ!$A$6:$A$405=$B608)*(((職員マスタ!$G$6:$G$405="")+(職員マスタ!$G$6:$G$405&lt;=EOMONTH($AQ608,0)))&gt;0)*(((職員マスタ!$H$6:$H$405="")+(職員マスタ!$H$6:$H$405&gt;=$AQ608))&gt;0)*(ROW(職員マスタ!$A$6:$A$405)-5))),IFERROR(MATCH($B608,職員マスタ!$A$6:$A$405,0),"")))</f>
        <v/>
      </c>
      <c r="AQ608" s="16">
        <f>IF(OR($B608="",$C608="",$D608=""),"",DATE($C608+2018,$D608,1))</f>
        <v/>
      </c>
    </row>
    <row r="609">
      <c r="A609" s="11" t="n"/>
      <c r="B609" s="12" t="n"/>
      <c r="C609" s="12" t="n"/>
      <c r="D609" s="12" t="n"/>
      <c r="E609" s="13" t="n"/>
      <c r="F609" s="12" t="n"/>
      <c r="G609" s="13" t="n"/>
      <c r="H609" s="12" t="n"/>
      <c r="I609" s="12" t="n"/>
      <c r="J609" s="12" t="n"/>
      <c r="K609" s="12" t="n"/>
      <c r="L609" s="11" t="n"/>
      <c r="M609" s="11" t="n"/>
      <c r="N609" s="11" t="n"/>
      <c r="O609" s="11" t="n"/>
      <c r="P609" s="12" t="n"/>
      <c r="Q609" s="11" t="n"/>
      <c r="R609" s="12" t="n"/>
      <c r="S609" s="11" t="n"/>
      <c r="T609" s="12" t="n"/>
      <c r="U609" s="12" t="n"/>
      <c r="V609" s="12" t="n"/>
      <c r="W609" s="13" t="n"/>
      <c r="X609" s="14">
        <f>IF($AP609="",IF($B609="","",$H609),IF(INDEX(職員マスタ!$B$6:$B$405,$AP609)="",$H609,INDEX(職員マスタ!$B$6:$B$405,$AP609)))</f>
        <v/>
      </c>
      <c r="Y609" s="14">
        <f>IF($AP609="",IF($B609="","",$R609),IF(INDEX(職員マスタ!$C$6:$C$405,$AP609)="",$R609,INDEX(職員マスタ!$C$6:$C$405,$AP609)))</f>
        <v/>
      </c>
      <c r="Z609" s="14">
        <f>IF($AQ609="","","R"&amp;$C609&amp;"."&amp;$D609)</f>
        <v/>
      </c>
      <c r="AA609" s="15">
        <f>IF(IF($AP609="",FALSE,INDEX(職員マスタ!$K$6:$K$405,$AP609)&lt;&gt;""),INDEX(職員マスタ!$K$6:$K$405,$AP609),IF(N($W609)&gt;0,$W609,""))</f>
        <v/>
      </c>
      <c r="AB609" s="14">
        <f>IF(OR($E609="",$AA609=""),"",IF($E609&gt;=$AA609,"×",IF($E609&gt;=$AA609*設定!$C$5,"△","○")))</f>
        <v/>
      </c>
      <c r="AC609" s="15">
        <f>IF($AB609="","",IF($AB609="×",0,IF($AB609="○",ROUNDDOWN($E609*設定!$C$4,0),ROUNDDOWN($E609*ROUND((9*$AA609-9*$E609)/(10*$E609),4),0))))</f>
        <v/>
      </c>
      <c r="AD609" s="13" t="n"/>
      <c r="AE609" s="15">
        <f>IF($B609="","",IF($AD609&lt;&gt;"",$AD609,IF($AC609="","",IF($AC609&lt;=設定!$C$3,0,$AC609))))</f>
        <v/>
      </c>
      <c r="AF609" s="14">
        <f>IF($B609="","",IF(AND($AG609&lt;&gt;"",$AI609="",$AL609=""),"保留中",IF($AL609&lt;&gt;"",IF(N($AE609)&gt;0,"支給済","不支給"),IF($AE609="","要確認",IF($AE609=0,"不支給","未処理")))))</f>
        <v/>
      </c>
      <c r="AG609" s="12" t="n"/>
      <c r="AH609" s="11" t="n"/>
      <c r="AI609" s="11" t="n"/>
      <c r="AJ609" s="11" t="n"/>
      <c r="AK609" s="14">
        <f>IF(AND($AF609="保留中",$AH609&lt;&gt;""),TODAY()-$AH609,"")</f>
        <v/>
      </c>
      <c r="AL609" s="12" t="n"/>
      <c r="AM609" s="14">
        <f>IF($B609="","",IF($AQ609="","対象年月が未入力／","")&amp;IF($B609="","",IF($AP609="","職員マスタに未登録の職員番号／",IF($AA609="","標準報酬月額が未登録／","")&amp;IF(AND($AQ609&lt;&gt;"",OR(AND(INDEX(職員マスタ!$G$6:$G$405,$AP609)&lt;&gt;"",INDEX(職員マスタ!$G$6:$G$405,$AP609)&gt;EOMONTH($AQ609,0)),AND(INDEX(職員マスタ!$H$6:$H$405,$AP609)&lt;&gt;"",INDEX(職員マスタ!$H$6:$H$405,$AP609)&lt;$AQ609))),"対象月が時短期間外／","")&amp;IF(AND(INDEX(職員マスタ!$K$6:$K$405,$AP609)&lt;&gt;"",N($W609)&gt;0,INDEX(職員マスタ!$K$6:$K$405,$AP609)&lt;&gt;$W609),"標準報酬月額が申請書と相違（台帳"&amp;TEXT(INDEX(職員マスタ!$K$6:$K$405,$AP609),"#,##0")&amp;"円／申請書"&amp;TEXT($W609,"#,##0")&amp;"円）／","")&amp;IF(AND(INDEX(職員マスタ!$F$6:$F$405,$AP609)&lt;&gt;"",$AQ609&lt;&gt;"",INDEX(職員マスタ!$F$6:$F$405,$AP609)&lt;$AQ609),"対象月に子が2歳到達済／","")&amp;IF(AND($H609&lt;&gt;"",INDEX(職員マスタ!$B$6:$B$405,$AP609)&lt;&gt;"",SUBSTITUTE(SUBSTITUTE($H609," ","")," ","")&lt;&gt;SUBSTITUTE(SUBSTITUTE(INDEX(職員マスタ!$B$6:$B$405,$AP609)," ","")," ","")),"氏名がマスタと相違／","")&amp;IF(AND($Q609&lt;&gt;"",INDEX(職員マスタ!$E$6:$E$405,$AP609)&lt;&gt;"",$Q609&lt;&gt;INDEX(職員マスタ!$E$6:$E$405,$AP609)),"子の生年月日がマスタと相違／","")&amp;IF(AND($L609&lt;&gt;"",INDEX(職員マスタ!$G$6:$G$405,$AP609)&lt;&gt;"",$L609&lt;&gt;INDEX(職員マスタ!$G$6:$G$405,$AP609)),"時短開始日がマスタと相違／","")&amp;IF(AND($M609&lt;&gt;"",INDEX(職員マスタ!$H$6:$H$405,$AP609)&lt;&gt;"",$M609&lt;&gt;INDEX(職員マスタ!$H$6:$H$405,$AP609)),"時短終了日がマスタと相違／","")))&amp;IF(AND($B609&lt;&gt;"",$E609=""),"報酬額が未入力／","")&amp;IF(N($U609)&gt;0,"申請書に入力エラーが残っています／","")&amp;IF(AND($B609&lt;&gt;"",$AQ609&lt;&gt;""),IF(COUNTIFS($B$6:$B$3005,$B609,$C$6:$C$3005,$C609,$D$6:$D$3005,$D609)&gt;1,"同じ月の請求が重複しています／",""),"")&amp;IF(AND(N($E609)&gt;0,$AB609&lt;&gt;"",$AB609&lt;&gt;"×",$AE609=0,$AD609=""),"計算額が下限以下のため不支給／",""))</f>
        <v/>
      </c>
      <c r="AN609" s="12" t="n"/>
      <c r="AO609" s="14">
        <f>IF($AF609="保留中",COUNTIF($AF$6:$AF609,"保留中"),"")</f>
        <v/>
      </c>
      <c r="AP609" s="14">
        <f>IF($AQ609="","",IF(SUMPRODUCT(MAX((職員マスタ!$A$6:$A$405=$B609)*(((職員マスタ!$G$6:$G$405="")+(職員マスタ!$G$6:$G$405&lt;=EOMONTH($AQ609,0)))&gt;0)*(((職員マスタ!$H$6:$H$405="")+(職員マスタ!$H$6:$H$405&gt;=$AQ609))&gt;0)*(ROW(職員マスタ!$A$6:$A$405)-5)))&gt;0,SUMPRODUCT(MAX((職員マスタ!$A$6:$A$405=$B609)*(((職員マスタ!$G$6:$G$405="")+(職員マスタ!$G$6:$G$405&lt;=EOMONTH($AQ609,0)))&gt;0)*(((職員マスタ!$H$6:$H$405="")+(職員マスタ!$H$6:$H$405&gt;=$AQ609))&gt;0)*(ROW(職員マスタ!$A$6:$A$405)-5))),IFERROR(MATCH($B609,職員マスタ!$A$6:$A$405,0),"")))</f>
        <v/>
      </c>
      <c r="AQ609" s="16">
        <f>IF(OR($B609="",$C609="",$D609=""),"",DATE($C609+2018,$D609,1))</f>
        <v/>
      </c>
    </row>
    <row r="610">
      <c r="A610" s="11" t="n"/>
      <c r="B610" s="12" t="n"/>
      <c r="C610" s="12" t="n"/>
      <c r="D610" s="12" t="n"/>
      <c r="E610" s="13" t="n"/>
      <c r="F610" s="12" t="n"/>
      <c r="G610" s="13" t="n"/>
      <c r="H610" s="12" t="n"/>
      <c r="I610" s="12" t="n"/>
      <c r="J610" s="12" t="n"/>
      <c r="K610" s="12" t="n"/>
      <c r="L610" s="11" t="n"/>
      <c r="M610" s="11" t="n"/>
      <c r="N610" s="11" t="n"/>
      <c r="O610" s="11" t="n"/>
      <c r="P610" s="12" t="n"/>
      <c r="Q610" s="11" t="n"/>
      <c r="R610" s="12" t="n"/>
      <c r="S610" s="11" t="n"/>
      <c r="T610" s="12" t="n"/>
      <c r="U610" s="12" t="n"/>
      <c r="V610" s="12" t="n"/>
      <c r="W610" s="13" t="n"/>
      <c r="X610" s="14">
        <f>IF($AP610="",IF($B610="","",$H610),IF(INDEX(職員マスタ!$B$6:$B$405,$AP610)="",$H610,INDEX(職員マスタ!$B$6:$B$405,$AP610)))</f>
        <v/>
      </c>
      <c r="Y610" s="14">
        <f>IF($AP610="",IF($B610="","",$R610),IF(INDEX(職員マスタ!$C$6:$C$405,$AP610)="",$R610,INDEX(職員マスタ!$C$6:$C$405,$AP610)))</f>
        <v/>
      </c>
      <c r="Z610" s="14">
        <f>IF($AQ610="","","R"&amp;$C610&amp;"."&amp;$D610)</f>
        <v/>
      </c>
      <c r="AA610" s="15">
        <f>IF(IF($AP610="",FALSE,INDEX(職員マスタ!$K$6:$K$405,$AP610)&lt;&gt;""),INDEX(職員マスタ!$K$6:$K$405,$AP610),IF(N($W610)&gt;0,$W610,""))</f>
        <v/>
      </c>
      <c r="AB610" s="14">
        <f>IF(OR($E610="",$AA610=""),"",IF($E610&gt;=$AA610,"×",IF($E610&gt;=$AA610*設定!$C$5,"△","○")))</f>
        <v/>
      </c>
      <c r="AC610" s="15">
        <f>IF($AB610="","",IF($AB610="×",0,IF($AB610="○",ROUNDDOWN($E610*設定!$C$4,0),ROUNDDOWN($E610*ROUND((9*$AA610-9*$E610)/(10*$E610),4),0))))</f>
        <v/>
      </c>
      <c r="AD610" s="13" t="n"/>
      <c r="AE610" s="15">
        <f>IF($B610="","",IF($AD610&lt;&gt;"",$AD610,IF($AC610="","",IF($AC610&lt;=設定!$C$3,0,$AC610))))</f>
        <v/>
      </c>
      <c r="AF610" s="14">
        <f>IF($B610="","",IF(AND($AG610&lt;&gt;"",$AI610="",$AL610=""),"保留中",IF($AL610&lt;&gt;"",IF(N($AE610)&gt;0,"支給済","不支給"),IF($AE610="","要確認",IF($AE610=0,"不支給","未処理")))))</f>
        <v/>
      </c>
      <c r="AG610" s="12" t="n"/>
      <c r="AH610" s="11" t="n"/>
      <c r="AI610" s="11" t="n"/>
      <c r="AJ610" s="11" t="n"/>
      <c r="AK610" s="14">
        <f>IF(AND($AF610="保留中",$AH610&lt;&gt;""),TODAY()-$AH610,"")</f>
        <v/>
      </c>
      <c r="AL610" s="12" t="n"/>
      <c r="AM610" s="14">
        <f>IF($B610="","",IF($AQ610="","対象年月が未入力／","")&amp;IF($B610="","",IF($AP610="","職員マスタに未登録の職員番号／",IF($AA610="","標準報酬月額が未登録／","")&amp;IF(AND($AQ610&lt;&gt;"",OR(AND(INDEX(職員マスタ!$G$6:$G$405,$AP610)&lt;&gt;"",INDEX(職員マスタ!$G$6:$G$405,$AP610)&gt;EOMONTH($AQ610,0)),AND(INDEX(職員マスタ!$H$6:$H$405,$AP610)&lt;&gt;"",INDEX(職員マスタ!$H$6:$H$405,$AP610)&lt;$AQ610))),"対象月が時短期間外／","")&amp;IF(AND(INDEX(職員マスタ!$K$6:$K$405,$AP610)&lt;&gt;"",N($W610)&gt;0,INDEX(職員マスタ!$K$6:$K$405,$AP610)&lt;&gt;$W610),"標準報酬月額が申請書と相違（台帳"&amp;TEXT(INDEX(職員マスタ!$K$6:$K$405,$AP610),"#,##0")&amp;"円／申請書"&amp;TEXT($W610,"#,##0")&amp;"円）／","")&amp;IF(AND(INDEX(職員マスタ!$F$6:$F$405,$AP610)&lt;&gt;"",$AQ610&lt;&gt;"",INDEX(職員マスタ!$F$6:$F$405,$AP610)&lt;$AQ610),"対象月に子が2歳到達済／","")&amp;IF(AND($H610&lt;&gt;"",INDEX(職員マスタ!$B$6:$B$405,$AP610)&lt;&gt;"",SUBSTITUTE(SUBSTITUTE($H610," ","")," ","")&lt;&gt;SUBSTITUTE(SUBSTITUTE(INDEX(職員マスタ!$B$6:$B$405,$AP610)," ","")," ","")),"氏名がマスタと相違／","")&amp;IF(AND($Q610&lt;&gt;"",INDEX(職員マスタ!$E$6:$E$405,$AP610)&lt;&gt;"",$Q610&lt;&gt;INDEX(職員マスタ!$E$6:$E$405,$AP610)),"子の生年月日がマスタと相違／","")&amp;IF(AND($L610&lt;&gt;"",INDEX(職員マスタ!$G$6:$G$405,$AP610)&lt;&gt;"",$L610&lt;&gt;INDEX(職員マスタ!$G$6:$G$405,$AP610)),"時短開始日がマスタと相違／","")&amp;IF(AND($M610&lt;&gt;"",INDEX(職員マスタ!$H$6:$H$405,$AP610)&lt;&gt;"",$M610&lt;&gt;INDEX(職員マスタ!$H$6:$H$405,$AP610)),"時短終了日がマスタと相違／","")))&amp;IF(AND($B610&lt;&gt;"",$E610=""),"報酬額が未入力／","")&amp;IF(N($U610)&gt;0,"申請書に入力エラーが残っています／","")&amp;IF(AND($B610&lt;&gt;"",$AQ610&lt;&gt;""),IF(COUNTIFS($B$6:$B$3005,$B610,$C$6:$C$3005,$C610,$D$6:$D$3005,$D610)&gt;1,"同じ月の請求が重複しています／",""),"")&amp;IF(AND(N($E610)&gt;0,$AB610&lt;&gt;"",$AB610&lt;&gt;"×",$AE610=0,$AD610=""),"計算額が下限以下のため不支給／",""))</f>
        <v/>
      </c>
      <c r="AN610" s="12" t="n"/>
      <c r="AO610" s="14">
        <f>IF($AF610="保留中",COUNTIF($AF$6:$AF610,"保留中"),"")</f>
        <v/>
      </c>
      <c r="AP610" s="14">
        <f>IF($AQ610="","",IF(SUMPRODUCT(MAX((職員マスタ!$A$6:$A$405=$B610)*(((職員マスタ!$G$6:$G$405="")+(職員マスタ!$G$6:$G$405&lt;=EOMONTH($AQ610,0)))&gt;0)*(((職員マスタ!$H$6:$H$405="")+(職員マスタ!$H$6:$H$405&gt;=$AQ610))&gt;0)*(ROW(職員マスタ!$A$6:$A$405)-5)))&gt;0,SUMPRODUCT(MAX((職員マスタ!$A$6:$A$405=$B610)*(((職員マスタ!$G$6:$G$405="")+(職員マスタ!$G$6:$G$405&lt;=EOMONTH($AQ610,0)))&gt;0)*(((職員マスタ!$H$6:$H$405="")+(職員マスタ!$H$6:$H$405&gt;=$AQ610))&gt;0)*(ROW(職員マスタ!$A$6:$A$405)-5))),IFERROR(MATCH($B610,職員マスタ!$A$6:$A$405,0),"")))</f>
        <v/>
      </c>
      <c r="AQ610" s="16">
        <f>IF(OR($B610="",$C610="",$D610=""),"",DATE($C610+2018,$D610,1))</f>
        <v/>
      </c>
    </row>
    <row r="611">
      <c r="A611" s="11" t="n"/>
      <c r="B611" s="12" t="n"/>
      <c r="C611" s="12" t="n"/>
      <c r="D611" s="12" t="n"/>
      <c r="E611" s="13" t="n"/>
      <c r="F611" s="12" t="n"/>
      <c r="G611" s="13" t="n"/>
      <c r="H611" s="12" t="n"/>
      <c r="I611" s="12" t="n"/>
      <c r="J611" s="12" t="n"/>
      <c r="K611" s="12" t="n"/>
      <c r="L611" s="11" t="n"/>
      <c r="M611" s="11" t="n"/>
      <c r="N611" s="11" t="n"/>
      <c r="O611" s="11" t="n"/>
      <c r="P611" s="12" t="n"/>
      <c r="Q611" s="11" t="n"/>
      <c r="R611" s="12" t="n"/>
      <c r="S611" s="11" t="n"/>
      <c r="T611" s="12" t="n"/>
      <c r="U611" s="12" t="n"/>
      <c r="V611" s="12" t="n"/>
      <c r="W611" s="13" t="n"/>
      <c r="X611" s="14">
        <f>IF($AP611="",IF($B611="","",$H611),IF(INDEX(職員マスタ!$B$6:$B$405,$AP611)="",$H611,INDEX(職員マスタ!$B$6:$B$405,$AP611)))</f>
        <v/>
      </c>
      <c r="Y611" s="14">
        <f>IF($AP611="",IF($B611="","",$R611),IF(INDEX(職員マスタ!$C$6:$C$405,$AP611)="",$R611,INDEX(職員マスタ!$C$6:$C$405,$AP611)))</f>
        <v/>
      </c>
      <c r="Z611" s="14">
        <f>IF($AQ611="","","R"&amp;$C611&amp;"."&amp;$D611)</f>
        <v/>
      </c>
      <c r="AA611" s="15">
        <f>IF(IF($AP611="",FALSE,INDEX(職員マスタ!$K$6:$K$405,$AP611)&lt;&gt;""),INDEX(職員マスタ!$K$6:$K$405,$AP611),IF(N($W611)&gt;0,$W611,""))</f>
        <v/>
      </c>
      <c r="AB611" s="14">
        <f>IF(OR($E611="",$AA611=""),"",IF($E611&gt;=$AA611,"×",IF($E611&gt;=$AA611*設定!$C$5,"△","○")))</f>
        <v/>
      </c>
      <c r="AC611" s="15">
        <f>IF($AB611="","",IF($AB611="×",0,IF($AB611="○",ROUNDDOWN($E611*設定!$C$4,0),ROUNDDOWN($E611*ROUND((9*$AA611-9*$E611)/(10*$E611),4),0))))</f>
        <v/>
      </c>
      <c r="AD611" s="13" t="n"/>
      <c r="AE611" s="15">
        <f>IF($B611="","",IF($AD611&lt;&gt;"",$AD611,IF($AC611="","",IF($AC611&lt;=設定!$C$3,0,$AC611))))</f>
        <v/>
      </c>
      <c r="AF611" s="14">
        <f>IF($B611="","",IF(AND($AG611&lt;&gt;"",$AI611="",$AL611=""),"保留中",IF($AL611&lt;&gt;"",IF(N($AE611)&gt;0,"支給済","不支給"),IF($AE611="","要確認",IF($AE611=0,"不支給","未処理")))))</f>
        <v/>
      </c>
      <c r="AG611" s="12" t="n"/>
      <c r="AH611" s="11" t="n"/>
      <c r="AI611" s="11" t="n"/>
      <c r="AJ611" s="11" t="n"/>
      <c r="AK611" s="14">
        <f>IF(AND($AF611="保留中",$AH611&lt;&gt;""),TODAY()-$AH611,"")</f>
        <v/>
      </c>
      <c r="AL611" s="12" t="n"/>
      <c r="AM611" s="14">
        <f>IF($B611="","",IF($AQ611="","対象年月が未入力／","")&amp;IF($B611="","",IF($AP611="","職員マスタに未登録の職員番号／",IF($AA611="","標準報酬月額が未登録／","")&amp;IF(AND($AQ611&lt;&gt;"",OR(AND(INDEX(職員マスタ!$G$6:$G$405,$AP611)&lt;&gt;"",INDEX(職員マスタ!$G$6:$G$405,$AP611)&gt;EOMONTH($AQ611,0)),AND(INDEX(職員マスタ!$H$6:$H$405,$AP611)&lt;&gt;"",INDEX(職員マスタ!$H$6:$H$405,$AP611)&lt;$AQ611))),"対象月が時短期間外／","")&amp;IF(AND(INDEX(職員マスタ!$K$6:$K$405,$AP611)&lt;&gt;"",N($W611)&gt;0,INDEX(職員マスタ!$K$6:$K$405,$AP611)&lt;&gt;$W611),"標準報酬月額が申請書と相違（台帳"&amp;TEXT(INDEX(職員マスタ!$K$6:$K$405,$AP611),"#,##0")&amp;"円／申請書"&amp;TEXT($W611,"#,##0")&amp;"円）／","")&amp;IF(AND(INDEX(職員マスタ!$F$6:$F$405,$AP611)&lt;&gt;"",$AQ611&lt;&gt;"",INDEX(職員マスタ!$F$6:$F$405,$AP611)&lt;$AQ611),"対象月に子が2歳到達済／","")&amp;IF(AND($H611&lt;&gt;"",INDEX(職員マスタ!$B$6:$B$405,$AP611)&lt;&gt;"",SUBSTITUTE(SUBSTITUTE($H611," ","")," ","")&lt;&gt;SUBSTITUTE(SUBSTITUTE(INDEX(職員マスタ!$B$6:$B$405,$AP611)," ","")," ","")),"氏名がマスタと相違／","")&amp;IF(AND($Q611&lt;&gt;"",INDEX(職員マスタ!$E$6:$E$405,$AP611)&lt;&gt;"",$Q611&lt;&gt;INDEX(職員マスタ!$E$6:$E$405,$AP611)),"子の生年月日がマスタと相違／","")&amp;IF(AND($L611&lt;&gt;"",INDEX(職員マスタ!$G$6:$G$405,$AP611)&lt;&gt;"",$L611&lt;&gt;INDEX(職員マスタ!$G$6:$G$405,$AP611)),"時短開始日がマスタと相違／","")&amp;IF(AND($M611&lt;&gt;"",INDEX(職員マスタ!$H$6:$H$405,$AP611)&lt;&gt;"",$M611&lt;&gt;INDEX(職員マスタ!$H$6:$H$405,$AP611)),"時短終了日がマスタと相違／","")))&amp;IF(AND($B611&lt;&gt;"",$E611=""),"報酬額が未入力／","")&amp;IF(N($U611)&gt;0,"申請書に入力エラーが残っています／","")&amp;IF(AND($B611&lt;&gt;"",$AQ611&lt;&gt;""),IF(COUNTIFS($B$6:$B$3005,$B611,$C$6:$C$3005,$C611,$D$6:$D$3005,$D611)&gt;1,"同じ月の請求が重複しています／",""),"")&amp;IF(AND(N($E611)&gt;0,$AB611&lt;&gt;"",$AB611&lt;&gt;"×",$AE611=0,$AD611=""),"計算額が下限以下のため不支給／",""))</f>
        <v/>
      </c>
      <c r="AN611" s="12" t="n"/>
      <c r="AO611" s="14">
        <f>IF($AF611="保留中",COUNTIF($AF$6:$AF611,"保留中"),"")</f>
        <v/>
      </c>
      <c r="AP611" s="14">
        <f>IF($AQ611="","",IF(SUMPRODUCT(MAX((職員マスタ!$A$6:$A$405=$B611)*(((職員マスタ!$G$6:$G$405="")+(職員マスタ!$G$6:$G$405&lt;=EOMONTH($AQ611,0)))&gt;0)*(((職員マスタ!$H$6:$H$405="")+(職員マスタ!$H$6:$H$405&gt;=$AQ611))&gt;0)*(ROW(職員マスタ!$A$6:$A$405)-5)))&gt;0,SUMPRODUCT(MAX((職員マスタ!$A$6:$A$405=$B611)*(((職員マスタ!$G$6:$G$405="")+(職員マスタ!$G$6:$G$405&lt;=EOMONTH($AQ611,0)))&gt;0)*(((職員マスタ!$H$6:$H$405="")+(職員マスタ!$H$6:$H$405&gt;=$AQ611))&gt;0)*(ROW(職員マスタ!$A$6:$A$405)-5))),IFERROR(MATCH($B611,職員マスタ!$A$6:$A$405,0),"")))</f>
        <v/>
      </c>
      <c r="AQ611" s="16">
        <f>IF(OR($B611="",$C611="",$D611=""),"",DATE($C611+2018,$D611,1))</f>
        <v/>
      </c>
    </row>
    <row r="612">
      <c r="A612" s="11" t="n"/>
      <c r="B612" s="12" t="n"/>
      <c r="C612" s="12" t="n"/>
      <c r="D612" s="12" t="n"/>
      <c r="E612" s="13" t="n"/>
      <c r="F612" s="12" t="n"/>
      <c r="G612" s="13" t="n"/>
      <c r="H612" s="12" t="n"/>
      <c r="I612" s="12" t="n"/>
      <c r="J612" s="12" t="n"/>
      <c r="K612" s="12" t="n"/>
      <c r="L612" s="11" t="n"/>
      <c r="M612" s="11" t="n"/>
      <c r="N612" s="11" t="n"/>
      <c r="O612" s="11" t="n"/>
      <c r="P612" s="12" t="n"/>
      <c r="Q612" s="11" t="n"/>
      <c r="R612" s="12" t="n"/>
      <c r="S612" s="11" t="n"/>
      <c r="T612" s="12" t="n"/>
      <c r="U612" s="12" t="n"/>
      <c r="V612" s="12" t="n"/>
      <c r="W612" s="13" t="n"/>
      <c r="X612" s="14">
        <f>IF($AP612="",IF($B612="","",$H612),IF(INDEX(職員マスタ!$B$6:$B$405,$AP612)="",$H612,INDEX(職員マスタ!$B$6:$B$405,$AP612)))</f>
        <v/>
      </c>
      <c r="Y612" s="14">
        <f>IF($AP612="",IF($B612="","",$R612),IF(INDEX(職員マスタ!$C$6:$C$405,$AP612)="",$R612,INDEX(職員マスタ!$C$6:$C$405,$AP612)))</f>
        <v/>
      </c>
      <c r="Z612" s="14">
        <f>IF($AQ612="","","R"&amp;$C612&amp;"."&amp;$D612)</f>
        <v/>
      </c>
      <c r="AA612" s="15">
        <f>IF(IF($AP612="",FALSE,INDEX(職員マスタ!$K$6:$K$405,$AP612)&lt;&gt;""),INDEX(職員マスタ!$K$6:$K$405,$AP612),IF(N($W612)&gt;0,$W612,""))</f>
        <v/>
      </c>
      <c r="AB612" s="14">
        <f>IF(OR($E612="",$AA612=""),"",IF($E612&gt;=$AA612,"×",IF($E612&gt;=$AA612*設定!$C$5,"△","○")))</f>
        <v/>
      </c>
      <c r="AC612" s="15">
        <f>IF($AB612="","",IF($AB612="×",0,IF($AB612="○",ROUNDDOWN($E612*設定!$C$4,0),ROUNDDOWN($E612*ROUND((9*$AA612-9*$E612)/(10*$E612),4),0))))</f>
        <v/>
      </c>
      <c r="AD612" s="13" t="n"/>
      <c r="AE612" s="15">
        <f>IF($B612="","",IF($AD612&lt;&gt;"",$AD612,IF($AC612="","",IF($AC612&lt;=設定!$C$3,0,$AC612))))</f>
        <v/>
      </c>
      <c r="AF612" s="14">
        <f>IF($B612="","",IF(AND($AG612&lt;&gt;"",$AI612="",$AL612=""),"保留中",IF($AL612&lt;&gt;"",IF(N($AE612)&gt;0,"支給済","不支給"),IF($AE612="","要確認",IF($AE612=0,"不支給","未処理")))))</f>
        <v/>
      </c>
      <c r="AG612" s="12" t="n"/>
      <c r="AH612" s="11" t="n"/>
      <c r="AI612" s="11" t="n"/>
      <c r="AJ612" s="11" t="n"/>
      <c r="AK612" s="14">
        <f>IF(AND($AF612="保留中",$AH612&lt;&gt;""),TODAY()-$AH612,"")</f>
        <v/>
      </c>
      <c r="AL612" s="12" t="n"/>
      <c r="AM612" s="14">
        <f>IF($B612="","",IF($AQ612="","対象年月が未入力／","")&amp;IF($B612="","",IF($AP612="","職員マスタに未登録の職員番号／",IF($AA612="","標準報酬月額が未登録／","")&amp;IF(AND($AQ612&lt;&gt;"",OR(AND(INDEX(職員マスタ!$G$6:$G$405,$AP612)&lt;&gt;"",INDEX(職員マスタ!$G$6:$G$405,$AP612)&gt;EOMONTH($AQ612,0)),AND(INDEX(職員マスタ!$H$6:$H$405,$AP612)&lt;&gt;"",INDEX(職員マスタ!$H$6:$H$405,$AP612)&lt;$AQ612))),"対象月が時短期間外／","")&amp;IF(AND(INDEX(職員マスタ!$K$6:$K$405,$AP612)&lt;&gt;"",N($W612)&gt;0,INDEX(職員マスタ!$K$6:$K$405,$AP612)&lt;&gt;$W612),"標準報酬月額が申請書と相違（台帳"&amp;TEXT(INDEX(職員マスタ!$K$6:$K$405,$AP612),"#,##0")&amp;"円／申請書"&amp;TEXT($W612,"#,##0")&amp;"円）／","")&amp;IF(AND(INDEX(職員マスタ!$F$6:$F$405,$AP612)&lt;&gt;"",$AQ612&lt;&gt;"",INDEX(職員マスタ!$F$6:$F$405,$AP612)&lt;$AQ612),"対象月に子が2歳到達済／","")&amp;IF(AND($H612&lt;&gt;"",INDEX(職員マスタ!$B$6:$B$405,$AP612)&lt;&gt;"",SUBSTITUTE(SUBSTITUTE($H612," ","")," ","")&lt;&gt;SUBSTITUTE(SUBSTITUTE(INDEX(職員マスタ!$B$6:$B$405,$AP612)," ","")," ","")),"氏名がマスタと相違／","")&amp;IF(AND($Q612&lt;&gt;"",INDEX(職員マスタ!$E$6:$E$405,$AP612)&lt;&gt;"",$Q612&lt;&gt;INDEX(職員マスタ!$E$6:$E$405,$AP612)),"子の生年月日がマスタと相違／","")&amp;IF(AND($L612&lt;&gt;"",INDEX(職員マスタ!$G$6:$G$405,$AP612)&lt;&gt;"",$L612&lt;&gt;INDEX(職員マスタ!$G$6:$G$405,$AP612)),"時短開始日がマスタと相違／","")&amp;IF(AND($M612&lt;&gt;"",INDEX(職員マスタ!$H$6:$H$405,$AP612)&lt;&gt;"",$M612&lt;&gt;INDEX(職員マスタ!$H$6:$H$405,$AP612)),"時短終了日がマスタと相違／","")))&amp;IF(AND($B612&lt;&gt;"",$E612=""),"報酬額が未入力／","")&amp;IF(N($U612)&gt;0,"申請書に入力エラーが残っています／","")&amp;IF(AND($B612&lt;&gt;"",$AQ612&lt;&gt;""),IF(COUNTIFS($B$6:$B$3005,$B612,$C$6:$C$3005,$C612,$D$6:$D$3005,$D612)&gt;1,"同じ月の請求が重複しています／",""),"")&amp;IF(AND(N($E612)&gt;0,$AB612&lt;&gt;"",$AB612&lt;&gt;"×",$AE612=0,$AD612=""),"計算額が下限以下のため不支給／",""))</f>
        <v/>
      </c>
      <c r="AN612" s="12" t="n"/>
      <c r="AO612" s="14">
        <f>IF($AF612="保留中",COUNTIF($AF$6:$AF612,"保留中"),"")</f>
        <v/>
      </c>
      <c r="AP612" s="14">
        <f>IF($AQ612="","",IF(SUMPRODUCT(MAX((職員マスタ!$A$6:$A$405=$B612)*(((職員マスタ!$G$6:$G$405="")+(職員マスタ!$G$6:$G$405&lt;=EOMONTH($AQ612,0)))&gt;0)*(((職員マスタ!$H$6:$H$405="")+(職員マスタ!$H$6:$H$405&gt;=$AQ612))&gt;0)*(ROW(職員マスタ!$A$6:$A$405)-5)))&gt;0,SUMPRODUCT(MAX((職員マスタ!$A$6:$A$405=$B612)*(((職員マスタ!$G$6:$G$405="")+(職員マスタ!$G$6:$G$405&lt;=EOMONTH($AQ612,0)))&gt;0)*(((職員マスタ!$H$6:$H$405="")+(職員マスタ!$H$6:$H$405&gt;=$AQ612))&gt;0)*(ROW(職員マスタ!$A$6:$A$405)-5))),IFERROR(MATCH($B612,職員マスタ!$A$6:$A$405,0),"")))</f>
        <v/>
      </c>
      <c r="AQ612" s="16">
        <f>IF(OR($B612="",$C612="",$D612=""),"",DATE($C612+2018,$D612,1))</f>
        <v/>
      </c>
    </row>
    <row r="613">
      <c r="A613" s="11" t="n"/>
      <c r="B613" s="12" t="n"/>
      <c r="C613" s="12" t="n"/>
      <c r="D613" s="12" t="n"/>
      <c r="E613" s="13" t="n"/>
      <c r="F613" s="12" t="n"/>
      <c r="G613" s="13" t="n"/>
      <c r="H613" s="12" t="n"/>
      <c r="I613" s="12" t="n"/>
      <c r="J613" s="12" t="n"/>
      <c r="K613" s="12" t="n"/>
      <c r="L613" s="11" t="n"/>
      <c r="M613" s="11" t="n"/>
      <c r="N613" s="11" t="n"/>
      <c r="O613" s="11" t="n"/>
      <c r="P613" s="12" t="n"/>
      <c r="Q613" s="11" t="n"/>
      <c r="R613" s="12" t="n"/>
      <c r="S613" s="11" t="n"/>
      <c r="T613" s="12" t="n"/>
      <c r="U613" s="12" t="n"/>
      <c r="V613" s="12" t="n"/>
      <c r="W613" s="13" t="n"/>
      <c r="X613" s="14">
        <f>IF($AP613="",IF($B613="","",$H613),IF(INDEX(職員マスタ!$B$6:$B$405,$AP613)="",$H613,INDEX(職員マスタ!$B$6:$B$405,$AP613)))</f>
        <v/>
      </c>
      <c r="Y613" s="14">
        <f>IF($AP613="",IF($B613="","",$R613),IF(INDEX(職員マスタ!$C$6:$C$405,$AP613)="",$R613,INDEX(職員マスタ!$C$6:$C$405,$AP613)))</f>
        <v/>
      </c>
      <c r="Z613" s="14">
        <f>IF($AQ613="","","R"&amp;$C613&amp;"."&amp;$D613)</f>
        <v/>
      </c>
      <c r="AA613" s="15">
        <f>IF(IF($AP613="",FALSE,INDEX(職員マスタ!$K$6:$K$405,$AP613)&lt;&gt;""),INDEX(職員マスタ!$K$6:$K$405,$AP613),IF(N($W613)&gt;0,$W613,""))</f>
        <v/>
      </c>
      <c r="AB613" s="14">
        <f>IF(OR($E613="",$AA613=""),"",IF($E613&gt;=$AA613,"×",IF($E613&gt;=$AA613*設定!$C$5,"△","○")))</f>
        <v/>
      </c>
      <c r="AC613" s="15">
        <f>IF($AB613="","",IF($AB613="×",0,IF($AB613="○",ROUNDDOWN($E613*設定!$C$4,0),ROUNDDOWN($E613*ROUND((9*$AA613-9*$E613)/(10*$E613),4),0))))</f>
        <v/>
      </c>
      <c r="AD613" s="13" t="n"/>
      <c r="AE613" s="15">
        <f>IF($B613="","",IF($AD613&lt;&gt;"",$AD613,IF($AC613="","",IF($AC613&lt;=設定!$C$3,0,$AC613))))</f>
        <v/>
      </c>
      <c r="AF613" s="14">
        <f>IF($B613="","",IF(AND($AG613&lt;&gt;"",$AI613="",$AL613=""),"保留中",IF($AL613&lt;&gt;"",IF(N($AE613)&gt;0,"支給済","不支給"),IF($AE613="","要確認",IF($AE613=0,"不支給","未処理")))))</f>
        <v/>
      </c>
      <c r="AG613" s="12" t="n"/>
      <c r="AH613" s="11" t="n"/>
      <c r="AI613" s="11" t="n"/>
      <c r="AJ613" s="11" t="n"/>
      <c r="AK613" s="14">
        <f>IF(AND($AF613="保留中",$AH613&lt;&gt;""),TODAY()-$AH613,"")</f>
        <v/>
      </c>
      <c r="AL613" s="12" t="n"/>
      <c r="AM613" s="14">
        <f>IF($B613="","",IF($AQ613="","対象年月が未入力／","")&amp;IF($B613="","",IF($AP613="","職員マスタに未登録の職員番号／",IF($AA613="","標準報酬月額が未登録／","")&amp;IF(AND($AQ613&lt;&gt;"",OR(AND(INDEX(職員マスタ!$G$6:$G$405,$AP613)&lt;&gt;"",INDEX(職員マスタ!$G$6:$G$405,$AP613)&gt;EOMONTH($AQ613,0)),AND(INDEX(職員マスタ!$H$6:$H$405,$AP613)&lt;&gt;"",INDEX(職員マスタ!$H$6:$H$405,$AP613)&lt;$AQ613))),"対象月が時短期間外／","")&amp;IF(AND(INDEX(職員マスタ!$K$6:$K$405,$AP613)&lt;&gt;"",N($W613)&gt;0,INDEX(職員マスタ!$K$6:$K$405,$AP613)&lt;&gt;$W613),"標準報酬月額が申請書と相違（台帳"&amp;TEXT(INDEX(職員マスタ!$K$6:$K$405,$AP613),"#,##0")&amp;"円／申請書"&amp;TEXT($W613,"#,##0")&amp;"円）／","")&amp;IF(AND(INDEX(職員マスタ!$F$6:$F$405,$AP613)&lt;&gt;"",$AQ613&lt;&gt;"",INDEX(職員マスタ!$F$6:$F$405,$AP613)&lt;$AQ613),"対象月に子が2歳到達済／","")&amp;IF(AND($H613&lt;&gt;"",INDEX(職員マスタ!$B$6:$B$405,$AP613)&lt;&gt;"",SUBSTITUTE(SUBSTITUTE($H613," ","")," ","")&lt;&gt;SUBSTITUTE(SUBSTITUTE(INDEX(職員マスタ!$B$6:$B$405,$AP613)," ","")," ","")),"氏名がマスタと相違／","")&amp;IF(AND($Q613&lt;&gt;"",INDEX(職員マスタ!$E$6:$E$405,$AP613)&lt;&gt;"",$Q613&lt;&gt;INDEX(職員マスタ!$E$6:$E$405,$AP613)),"子の生年月日がマスタと相違／","")&amp;IF(AND($L613&lt;&gt;"",INDEX(職員マスタ!$G$6:$G$405,$AP613)&lt;&gt;"",$L613&lt;&gt;INDEX(職員マスタ!$G$6:$G$405,$AP613)),"時短開始日がマスタと相違／","")&amp;IF(AND($M613&lt;&gt;"",INDEX(職員マスタ!$H$6:$H$405,$AP613)&lt;&gt;"",$M613&lt;&gt;INDEX(職員マスタ!$H$6:$H$405,$AP613)),"時短終了日がマスタと相違／","")))&amp;IF(AND($B613&lt;&gt;"",$E613=""),"報酬額が未入力／","")&amp;IF(N($U613)&gt;0,"申請書に入力エラーが残っています／","")&amp;IF(AND($B613&lt;&gt;"",$AQ613&lt;&gt;""),IF(COUNTIFS($B$6:$B$3005,$B613,$C$6:$C$3005,$C613,$D$6:$D$3005,$D613)&gt;1,"同じ月の請求が重複しています／",""),"")&amp;IF(AND(N($E613)&gt;0,$AB613&lt;&gt;"",$AB613&lt;&gt;"×",$AE613=0,$AD613=""),"計算額が下限以下のため不支給／",""))</f>
        <v/>
      </c>
      <c r="AN613" s="12" t="n"/>
      <c r="AO613" s="14">
        <f>IF($AF613="保留中",COUNTIF($AF$6:$AF613,"保留中"),"")</f>
        <v/>
      </c>
      <c r="AP613" s="14">
        <f>IF($AQ613="","",IF(SUMPRODUCT(MAX((職員マスタ!$A$6:$A$405=$B613)*(((職員マスタ!$G$6:$G$405="")+(職員マスタ!$G$6:$G$405&lt;=EOMONTH($AQ613,0)))&gt;0)*(((職員マスタ!$H$6:$H$405="")+(職員マスタ!$H$6:$H$405&gt;=$AQ613))&gt;0)*(ROW(職員マスタ!$A$6:$A$405)-5)))&gt;0,SUMPRODUCT(MAX((職員マスタ!$A$6:$A$405=$B613)*(((職員マスタ!$G$6:$G$405="")+(職員マスタ!$G$6:$G$405&lt;=EOMONTH($AQ613,0)))&gt;0)*(((職員マスタ!$H$6:$H$405="")+(職員マスタ!$H$6:$H$405&gt;=$AQ613))&gt;0)*(ROW(職員マスタ!$A$6:$A$405)-5))),IFERROR(MATCH($B613,職員マスタ!$A$6:$A$405,0),"")))</f>
        <v/>
      </c>
      <c r="AQ613" s="16">
        <f>IF(OR($B613="",$C613="",$D613=""),"",DATE($C613+2018,$D613,1))</f>
        <v/>
      </c>
    </row>
    <row r="614">
      <c r="A614" s="11" t="n"/>
      <c r="B614" s="12" t="n"/>
      <c r="C614" s="12" t="n"/>
      <c r="D614" s="12" t="n"/>
      <c r="E614" s="13" t="n"/>
      <c r="F614" s="12" t="n"/>
      <c r="G614" s="13" t="n"/>
      <c r="H614" s="12" t="n"/>
      <c r="I614" s="12" t="n"/>
      <c r="J614" s="12" t="n"/>
      <c r="K614" s="12" t="n"/>
      <c r="L614" s="11" t="n"/>
      <c r="M614" s="11" t="n"/>
      <c r="N614" s="11" t="n"/>
      <c r="O614" s="11" t="n"/>
      <c r="P614" s="12" t="n"/>
      <c r="Q614" s="11" t="n"/>
      <c r="R614" s="12" t="n"/>
      <c r="S614" s="11" t="n"/>
      <c r="T614" s="12" t="n"/>
      <c r="U614" s="12" t="n"/>
      <c r="V614" s="12" t="n"/>
      <c r="W614" s="13" t="n"/>
      <c r="X614" s="14">
        <f>IF($AP614="",IF($B614="","",$H614),IF(INDEX(職員マスタ!$B$6:$B$405,$AP614)="",$H614,INDEX(職員マスタ!$B$6:$B$405,$AP614)))</f>
        <v/>
      </c>
      <c r="Y614" s="14">
        <f>IF($AP614="",IF($B614="","",$R614),IF(INDEX(職員マスタ!$C$6:$C$405,$AP614)="",$R614,INDEX(職員マスタ!$C$6:$C$405,$AP614)))</f>
        <v/>
      </c>
      <c r="Z614" s="14">
        <f>IF($AQ614="","","R"&amp;$C614&amp;"."&amp;$D614)</f>
        <v/>
      </c>
      <c r="AA614" s="15">
        <f>IF(IF($AP614="",FALSE,INDEX(職員マスタ!$K$6:$K$405,$AP614)&lt;&gt;""),INDEX(職員マスタ!$K$6:$K$405,$AP614),IF(N($W614)&gt;0,$W614,""))</f>
        <v/>
      </c>
      <c r="AB614" s="14">
        <f>IF(OR($E614="",$AA614=""),"",IF($E614&gt;=$AA614,"×",IF($E614&gt;=$AA614*設定!$C$5,"△","○")))</f>
        <v/>
      </c>
      <c r="AC614" s="15">
        <f>IF($AB614="","",IF($AB614="×",0,IF($AB614="○",ROUNDDOWN($E614*設定!$C$4,0),ROUNDDOWN($E614*ROUND((9*$AA614-9*$E614)/(10*$E614),4),0))))</f>
        <v/>
      </c>
      <c r="AD614" s="13" t="n"/>
      <c r="AE614" s="15">
        <f>IF($B614="","",IF($AD614&lt;&gt;"",$AD614,IF($AC614="","",IF($AC614&lt;=設定!$C$3,0,$AC614))))</f>
        <v/>
      </c>
      <c r="AF614" s="14">
        <f>IF($B614="","",IF(AND($AG614&lt;&gt;"",$AI614="",$AL614=""),"保留中",IF($AL614&lt;&gt;"",IF(N($AE614)&gt;0,"支給済","不支給"),IF($AE614="","要確認",IF($AE614=0,"不支給","未処理")))))</f>
        <v/>
      </c>
      <c r="AG614" s="12" t="n"/>
      <c r="AH614" s="11" t="n"/>
      <c r="AI614" s="11" t="n"/>
      <c r="AJ614" s="11" t="n"/>
      <c r="AK614" s="14">
        <f>IF(AND($AF614="保留中",$AH614&lt;&gt;""),TODAY()-$AH614,"")</f>
        <v/>
      </c>
      <c r="AL614" s="12" t="n"/>
      <c r="AM614" s="14">
        <f>IF($B614="","",IF($AQ614="","対象年月が未入力／","")&amp;IF($B614="","",IF($AP614="","職員マスタに未登録の職員番号／",IF($AA614="","標準報酬月額が未登録／","")&amp;IF(AND($AQ614&lt;&gt;"",OR(AND(INDEX(職員マスタ!$G$6:$G$405,$AP614)&lt;&gt;"",INDEX(職員マスタ!$G$6:$G$405,$AP614)&gt;EOMONTH($AQ614,0)),AND(INDEX(職員マスタ!$H$6:$H$405,$AP614)&lt;&gt;"",INDEX(職員マスタ!$H$6:$H$405,$AP614)&lt;$AQ614))),"対象月が時短期間外／","")&amp;IF(AND(INDEX(職員マスタ!$K$6:$K$405,$AP614)&lt;&gt;"",N($W614)&gt;0,INDEX(職員マスタ!$K$6:$K$405,$AP614)&lt;&gt;$W614),"標準報酬月額が申請書と相違（台帳"&amp;TEXT(INDEX(職員マスタ!$K$6:$K$405,$AP614),"#,##0")&amp;"円／申請書"&amp;TEXT($W614,"#,##0")&amp;"円）／","")&amp;IF(AND(INDEX(職員マスタ!$F$6:$F$405,$AP614)&lt;&gt;"",$AQ614&lt;&gt;"",INDEX(職員マスタ!$F$6:$F$405,$AP614)&lt;$AQ614),"対象月に子が2歳到達済／","")&amp;IF(AND($H614&lt;&gt;"",INDEX(職員マスタ!$B$6:$B$405,$AP614)&lt;&gt;"",SUBSTITUTE(SUBSTITUTE($H614," ","")," ","")&lt;&gt;SUBSTITUTE(SUBSTITUTE(INDEX(職員マスタ!$B$6:$B$405,$AP614)," ","")," ","")),"氏名がマスタと相違／","")&amp;IF(AND($Q614&lt;&gt;"",INDEX(職員マスタ!$E$6:$E$405,$AP614)&lt;&gt;"",$Q614&lt;&gt;INDEX(職員マスタ!$E$6:$E$405,$AP614)),"子の生年月日がマスタと相違／","")&amp;IF(AND($L614&lt;&gt;"",INDEX(職員マスタ!$G$6:$G$405,$AP614)&lt;&gt;"",$L614&lt;&gt;INDEX(職員マスタ!$G$6:$G$405,$AP614)),"時短開始日がマスタと相違／","")&amp;IF(AND($M614&lt;&gt;"",INDEX(職員マスタ!$H$6:$H$405,$AP614)&lt;&gt;"",$M614&lt;&gt;INDEX(職員マスタ!$H$6:$H$405,$AP614)),"時短終了日がマスタと相違／","")))&amp;IF(AND($B614&lt;&gt;"",$E614=""),"報酬額が未入力／","")&amp;IF(N($U614)&gt;0,"申請書に入力エラーが残っています／","")&amp;IF(AND($B614&lt;&gt;"",$AQ614&lt;&gt;""),IF(COUNTIFS($B$6:$B$3005,$B614,$C$6:$C$3005,$C614,$D$6:$D$3005,$D614)&gt;1,"同じ月の請求が重複しています／",""),"")&amp;IF(AND(N($E614)&gt;0,$AB614&lt;&gt;"",$AB614&lt;&gt;"×",$AE614=0,$AD614=""),"計算額が下限以下のため不支給／",""))</f>
        <v/>
      </c>
      <c r="AN614" s="12" t="n"/>
      <c r="AO614" s="14">
        <f>IF($AF614="保留中",COUNTIF($AF$6:$AF614,"保留中"),"")</f>
        <v/>
      </c>
      <c r="AP614" s="14">
        <f>IF($AQ614="","",IF(SUMPRODUCT(MAX((職員マスタ!$A$6:$A$405=$B614)*(((職員マスタ!$G$6:$G$405="")+(職員マスタ!$G$6:$G$405&lt;=EOMONTH($AQ614,0)))&gt;0)*(((職員マスタ!$H$6:$H$405="")+(職員マスタ!$H$6:$H$405&gt;=$AQ614))&gt;0)*(ROW(職員マスタ!$A$6:$A$405)-5)))&gt;0,SUMPRODUCT(MAX((職員マスタ!$A$6:$A$405=$B614)*(((職員マスタ!$G$6:$G$405="")+(職員マスタ!$G$6:$G$405&lt;=EOMONTH($AQ614,0)))&gt;0)*(((職員マスタ!$H$6:$H$405="")+(職員マスタ!$H$6:$H$405&gt;=$AQ614))&gt;0)*(ROW(職員マスタ!$A$6:$A$405)-5))),IFERROR(MATCH($B614,職員マスタ!$A$6:$A$405,0),"")))</f>
        <v/>
      </c>
      <c r="AQ614" s="16">
        <f>IF(OR($B614="",$C614="",$D614=""),"",DATE($C614+2018,$D614,1))</f>
        <v/>
      </c>
    </row>
    <row r="615">
      <c r="A615" s="11" t="n"/>
      <c r="B615" s="12" t="n"/>
      <c r="C615" s="12" t="n"/>
      <c r="D615" s="12" t="n"/>
      <c r="E615" s="13" t="n"/>
      <c r="F615" s="12" t="n"/>
      <c r="G615" s="13" t="n"/>
      <c r="H615" s="12" t="n"/>
      <c r="I615" s="12" t="n"/>
      <c r="J615" s="12" t="n"/>
      <c r="K615" s="12" t="n"/>
      <c r="L615" s="11" t="n"/>
      <c r="M615" s="11" t="n"/>
      <c r="N615" s="11" t="n"/>
      <c r="O615" s="11" t="n"/>
      <c r="P615" s="12" t="n"/>
      <c r="Q615" s="11" t="n"/>
      <c r="R615" s="12" t="n"/>
      <c r="S615" s="11" t="n"/>
      <c r="T615" s="12" t="n"/>
      <c r="U615" s="12" t="n"/>
      <c r="V615" s="12" t="n"/>
      <c r="W615" s="13" t="n"/>
      <c r="X615" s="14">
        <f>IF($AP615="",IF($B615="","",$H615),IF(INDEX(職員マスタ!$B$6:$B$405,$AP615)="",$H615,INDEX(職員マスタ!$B$6:$B$405,$AP615)))</f>
        <v/>
      </c>
      <c r="Y615" s="14">
        <f>IF($AP615="",IF($B615="","",$R615),IF(INDEX(職員マスタ!$C$6:$C$405,$AP615)="",$R615,INDEX(職員マスタ!$C$6:$C$405,$AP615)))</f>
        <v/>
      </c>
      <c r="Z615" s="14">
        <f>IF($AQ615="","","R"&amp;$C615&amp;"."&amp;$D615)</f>
        <v/>
      </c>
      <c r="AA615" s="15">
        <f>IF(IF($AP615="",FALSE,INDEX(職員マスタ!$K$6:$K$405,$AP615)&lt;&gt;""),INDEX(職員マスタ!$K$6:$K$405,$AP615),IF(N($W615)&gt;0,$W615,""))</f>
        <v/>
      </c>
      <c r="AB615" s="14">
        <f>IF(OR($E615="",$AA615=""),"",IF($E615&gt;=$AA615,"×",IF($E615&gt;=$AA615*設定!$C$5,"△","○")))</f>
        <v/>
      </c>
      <c r="AC615" s="15">
        <f>IF($AB615="","",IF($AB615="×",0,IF($AB615="○",ROUNDDOWN($E615*設定!$C$4,0),ROUNDDOWN($E615*ROUND((9*$AA615-9*$E615)/(10*$E615),4),0))))</f>
        <v/>
      </c>
      <c r="AD615" s="13" t="n"/>
      <c r="AE615" s="15">
        <f>IF($B615="","",IF($AD615&lt;&gt;"",$AD615,IF($AC615="","",IF($AC615&lt;=設定!$C$3,0,$AC615))))</f>
        <v/>
      </c>
      <c r="AF615" s="14">
        <f>IF($B615="","",IF(AND($AG615&lt;&gt;"",$AI615="",$AL615=""),"保留中",IF($AL615&lt;&gt;"",IF(N($AE615)&gt;0,"支給済","不支給"),IF($AE615="","要確認",IF($AE615=0,"不支給","未処理")))))</f>
        <v/>
      </c>
      <c r="AG615" s="12" t="n"/>
      <c r="AH615" s="11" t="n"/>
      <c r="AI615" s="11" t="n"/>
      <c r="AJ615" s="11" t="n"/>
      <c r="AK615" s="14">
        <f>IF(AND($AF615="保留中",$AH615&lt;&gt;""),TODAY()-$AH615,"")</f>
        <v/>
      </c>
      <c r="AL615" s="12" t="n"/>
      <c r="AM615" s="14">
        <f>IF($B615="","",IF($AQ615="","対象年月が未入力／","")&amp;IF($B615="","",IF($AP615="","職員マスタに未登録の職員番号／",IF($AA615="","標準報酬月額が未登録／","")&amp;IF(AND($AQ615&lt;&gt;"",OR(AND(INDEX(職員マスタ!$G$6:$G$405,$AP615)&lt;&gt;"",INDEX(職員マスタ!$G$6:$G$405,$AP615)&gt;EOMONTH($AQ615,0)),AND(INDEX(職員マスタ!$H$6:$H$405,$AP615)&lt;&gt;"",INDEX(職員マスタ!$H$6:$H$405,$AP615)&lt;$AQ615))),"対象月が時短期間外／","")&amp;IF(AND(INDEX(職員マスタ!$K$6:$K$405,$AP615)&lt;&gt;"",N($W615)&gt;0,INDEX(職員マスタ!$K$6:$K$405,$AP615)&lt;&gt;$W615),"標準報酬月額が申請書と相違（台帳"&amp;TEXT(INDEX(職員マスタ!$K$6:$K$405,$AP615),"#,##0")&amp;"円／申請書"&amp;TEXT($W615,"#,##0")&amp;"円）／","")&amp;IF(AND(INDEX(職員マスタ!$F$6:$F$405,$AP615)&lt;&gt;"",$AQ615&lt;&gt;"",INDEX(職員マスタ!$F$6:$F$405,$AP615)&lt;$AQ615),"対象月に子が2歳到達済／","")&amp;IF(AND($H615&lt;&gt;"",INDEX(職員マスタ!$B$6:$B$405,$AP615)&lt;&gt;"",SUBSTITUTE(SUBSTITUTE($H615," ","")," ","")&lt;&gt;SUBSTITUTE(SUBSTITUTE(INDEX(職員マスタ!$B$6:$B$405,$AP615)," ","")," ","")),"氏名がマスタと相違／","")&amp;IF(AND($Q615&lt;&gt;"",INDEX(職員マスタ!$E$6:$E$405,$AP615)&lt;&gt;"",$Q615&lt;&gt;INDEX(職員マスタ!$E$6:$E$405,$AP615)),"子の生年月日がマスタと相違／","")&amp;IF(AND($L615&lt;&gt;"",INDEX(職員マスタ!$G$6:$G$405,$AP615)&lt;&gt;"",$L615&lt;&gt;INDEX(職員マスタ!$G$6:$G$405,$AP615)),"時短開始日がマスタと相違／","")&amp;IF(AND($M615&lt;&gt;"",INDEX(職員マスタ!$H$6:$H$405,$AP615)&lt;&gt;"",$M615&lt;&gt;INDEX(職員マスタ!$H$6:$H$405,$AP615)),"時短終了日がマスタと相違／","")))&amp;IF(AND($B615&lt;&gt;"",$E615=""),"報酬額が未入力／","")&amp;IF(N($U615)&gt;0,"申請書に入力エラーが残っています／","")&amp;IF(AND($B615&lt;&gt;"",$AQ615&lt;&gt;""),IF(COUNTIFS($B$6:$B$3005,$B615,$C$6:$C$3005,$C615,$D$6:$D$3005,$D615)&gt;1,"同じ月の請求が重複しています／",""),"")&amp;IF(AND(N($E615)&gt;0,$AB615&lt;&gt;"",$AB615&lt;&gt;"×",$AE615=0,$AD615=""),"計算額が下限以下のため不支給／",""))</f>
        <v/>
      </c>
      <c r="AN615" s="12" t="n"/>
      <c r="AO615" s="14">
        <f>IF($AF615="保留中",COUNTIF($AF$6:$AF615,"保留中"),"")</f>
        <v/>
      </c>
      <c r="AP615" s="14">
        <f>IF($AQ615="","",IF(SUMPRODUCT(MAX((職員マスタ!$A$6:$A$405=$B615)*(((職員マスタ!$G$6:$G$405="")+(職員マスタ!$G$6:$G$405&lt;=EOMONTH($AQ615,0)))&gt;0)*(((職員マスタ!$H$6:$H$405="")+(職員マスタ!$H$6:$H$405&gt;=$AQ615))&gt;0)*(ROW(職員マスタ!$A$6:$A$405)-5)))&gt;0,SUMPRODUCT(MAX((職員マスタ!$A$6:$A$405=$B615)*(((職員マスタ!$G$6:$G$405="")+(職員マスタ!$G$6:$G$405&lt;=EOMONTH($AQ615,0)))&gt;0)*(((職員マスタ!$H$6:$H$405="")+(職員マスタ!$H$6:$H$405&gt;=$AQ615))&gt;0)*(ROW(職員マスタ!$A$6:$A$405)-5))),IFERROR(MATCH($B615,職員マスタ!$A$6:$A$405,0),"")))</f>
        <v/>
      </c>
      <c r="AQ615" s="16">
        <f>IF(OR($B615="",$C615="",$D615=""),"",DATE($C615+2018,$D615,1))</f>
        <v/>
      </c>
    </row>
    <row r="616">
      <c r="A616" s="11" t="n"/>
      <c r="B616" s="12" t="n"/>
      <c r="C616" s="12" t="n"/>
      <c r="D616" s="12" t="n"/>
      <c r="E616" s="13" t="n"/>
      <c r="F616" s="12" t="n"/>
      <c r="G616" s="13" t="n"/>
      <c r="H616" s="12" t="n"/>
      <c r="I616" s="12" t="n"/>
      <c r="J616" s="12" t="n"/>
      <c r="K616" s="12" t="n"/>
      <c r="L616" s="11" t="n"/>
      <c r="M616" s="11" t="n"/>
      <c r="N616" s="11" t="n"/>
      <c r="O616" s="11" t="n"/>
      <c r="P616" s="12" t="n"/>
      <c r="Q616" s="11" t="n"/>
      <c r="R616" s="12" t="n"/>
      <c r="S616" s="11" t="n"/>
      <c r="T616" s="12" t="n"/>
      <c r="U616" s="12" t="n"/>
      <c r="V616" s="12" t="n"/>
      <c r="W616" s="13" t="n"/>
      <c r="X616" s="14">
        <f>IF($AP616="",IF($B616="","",$H616),IF(INDEX(職員マスタ!$B$6:$B$405,$AP616)="",$H616,INDEX(職員マスタ!$B$6:$B$405,$AP616)))</f>
        <v/>
      </c>
      <c r="Y616" s="14">
        <f>IF($AP616="",IF($B616="","",$R616),IF(INDEX(職員マスタ!$C$6:$C$405,$AP616)="",$R616,INDEX(職員マスタ!$C$6:$C$405,$AP616)))</f>
        <v/>
      </c>
      <c r="Z616" s="14">
        <f>IF($AQ616="","","R"&amp;$C616&amp;"."&amp;$D616)</f>
        <v/>
      </c>
      <c r="AA616" s="15">
        <f>IF(IF($AP616="",FALSE,INDEX(職員マスタ!$K$6:$K$405,$AP616)&lt;&gt;""),INDEX(職員マスタ!$K$6:$K$405,$AP616),IF(N($W616)&gt;0,$W616,""))</f>
        <v/>
      </c>
      <c r="AB616" s="14">
        <f>IF(OR($E616="",$AA616=""),"",IF($E616&gt;=$AA616,"×",IF($E616&gt;=$AA616*設定!$C$5,"△","○")))</f>
        <v/>
      </c>
      <c r="AC616" s="15">
        <f>IF($AB616="","",IF($AB616="×",0,IF($AB616="○",ROUNDDOWN($E616*設定!$C$4,0),ROUNDDOWN($E616*ROUND((9*$AA616-9*$E616)/(10*$E616),4),0))))</f>
        <v/>
      </c>
      <c r="AD616" s="13" t="n"/>
      <c r="AE616" s="15">
        <f>IF($B616="","",IF($AD616&lt;&gt;"",$AD616,IF($AC616="","",IF($AC616&lt;=設定!$C$3,0,$AC616))))</f>
        <v/>
      </c>
      <c r="AF616" s="14">
        <f>IF($B616="","",IF(AND($AG616&lt;&gt;"",$AI616="",$AL616=""),"保留中",IF($AL616&lt;&gt;"",IF(N($AE616)&gt;0,"支給済","不支給"),IF($AE616="","要確認",IF($AE616=0,"不支給","未処理")))))</f>
        <v/>
      </c>
      <c r="AG616" s="12" t="n"/>
      <c r="AH616" s="11" t="n"/>
      <c r="AI616" s="11" t="n"/>
      <c r="AJ616" s="11" t="n"/>
      <c r="AK616" s="14">
        <f>IF(AND($AF616="保留中",$AH616&lt;&gt;""),TODAY()-$AH616,"")</f>
        <v/>
      </c>
      <c r="AL616" s="12" t="n"/>
      <c r="AM616" s="14">
        <f>IF($B616="","",IF($AQ616="","対象年月が未入力／","")&amp;IF($B616="","",IF($AP616="","職員マスタに未登録の職員番号／",IF($AA616="","標準報酬月額が未登録／","")&amp;IF(AND($AQ616&lt;&gt;"",OR(AND(INDEX(職員マスタ!$G$6:$G$405,$AP616)&lt;&gt;"",INDEX(職員マスタ!$G$6:$G$405,$AP616)&gt;EOMONTH($AQ616,0)),AND(INDEX(職員マスタ!$H$6:$H$405,$AP616)&lt;&gt;"",INDEX(職員マスタ!$H$6:$H$405,$AP616)&lt;$AQ616))),"対象月が時短期間外／","")&amp;IF(AND(INDEX(職員マスタ!$K$6:$K$405,$AP616)&lt;&gt;"",N($W616)&gt;0,INDEX(職員マスタ!$K$6:$K$405,$AP616)&lt;&gt;$W616),"標準報酬月額が申請書と相違（台帳"&amp;TEXT(INDEX(職員マスタ!$K$6:$K$405,$AP616),"#,##0")&amp;"円／申請書"&amp;TEXT($W616,"#,##0")&amp;"円）／","")&amp;IF(AND(INDEX(職員マスタ!$F$6:$F$405,$AP616)&lt;&gt;"",$AQ616&lt;&gt;"",INDEX(職員マスタ!$F$6:$F$405,$AP616)&lt;$AQ616),"対象月に子が2歳到達済／","")&amp;IF(AND($H616&lt;&gt;"",INDEX(職員マスタ!$B$6:$B$405,$AP616)&lt;&gt;"",SUBSTITUTE(SUBSTITUTE($H616," ","")," ","")&lt;&gt;SUBSTITUTE(SUBSTITUTE(INDEX(職員マスタ!$B$6:$B$405,$AP616)," ","")," ","")),"氏名がマスタと相違／","")&amp;IF(AND($Q616&lt;&gt;"",INDEX(職員マスタ!$E$6:$E$405,$AP616)&lt;&gt;"",$Q616&lt;&gt;INDEX(職員マスタ!$E$6:$E$405,$AP616)),"子の生年月日がマスタと相違／","")&amp;IF(AND($L616&lt;&gt;"",INDEX(職員マスタ!$G$6:$G$405,$AP616)&lt;&gt;"",$L616&lt;&gt;INDEX(職員マスタ!$G$6:$G$405,$AP616)),"時短開始日がマスタと相違／","")&amp;IF(AND($M616&lt;&gt;"",INDEX(職員マスタ!$H$6:$H$405,$AP616)&lt;&gt;"",$M616&lt;&gt;INDEX(職員マスタ!$H$6:$H$405,$AP616)),"時短終了日がマスタと相違／","")))&amp;IF(AND($B616&lt;&gt;"",$E616=""),"報酬額が未入力／","")&amp;IF(N($U616)&gt;0,"申請書に入力エラーが残っています／","")&amp;IF(AND($B616&lt;&gt;"",$AQ616&lt;&gt;""),IF(COUNTIFS($B$6:$B$3005,$B616,$C$6:$C$3005,$C616,$D$6:$D$3005,$D616)&gt;1,"同じ月の請求が重複しています／",""),"")&amp;IF(AND(N($E616)&gt;0,$AB616&lt;&gt;"",$AB616&lt;&gt;"×",$AE616=0,$AD616=""),"計算額が下限以下のため不支給／",""))</f>
        <v/>
      </c>
      <c r="AN616" s="12" t="n"/>
      <c r="AO616" s="14">
        <f>IF($AF616="保留中",COUNTIF($AF$6:$AF616,"保留中"),"")</f>
        <v/>
      </c>
      <c r="AP616" s="14">
        <f>IF($AQ616="","",IF(SUMPRODUCT(MAX((職員マスタ!$A$6:$A$405=$B616)*(((職員マスタ!$G$6:$G$405="")+(職員マスタ!$G$6:$G$405&lt;=EOMONTH($AQ616,0)))&gt;0)*(((職員マスタ!$H$6:$H$405="")+(職員マスタ!$H$6:$H$405&gt;=$AQ616))&gt;0)*(ROW(職員マスタ!$A$6:$A$405)-5)))&gt;0,SUMPRODUCT(MAX((職員マスタ!$A$6:$A$405=$B616)*(((職員マスタ!$G$6:$G$405="")+(職員マスタ!$G$6:$G$405&lt;=EOMONTH($AQ616,0)))&gt;0)*(((職員マスタ!$H$6:$H$405="")+(職員マスタ!$H$6:$H$405&gt;=$AQ616))&gt;0)*(ROW(職員マスタ!$A$6:$A$405)-5))),IFERROR(MATCH($B616,職員マスタ!$A$6:$A$405,0),"")))</f>
        <v/>
      </c>
      <c r="AQ616" s="16">
        <f>IF(OR($B616="",$C616="",$D616=""),"",DATE($C616+2018,$D616,1))</f>
        <v/>
      </c>
    </row>
    <row r="617">
      <c r="A617" s="11" t="n"/>
      <c r="B617" s="12" t="n"/>
      <c r="C617" s="12" t="n"/>
      <c r="D617" s="12" t="n"/>
      <c r="E617" s="13" t="n"/>
      <c r="F617" s="12" t="n"/>
      <c r="G617" s="13" t="n"/>
      <c r="H617" s="12" t="n"/>
      <c r="I617" s="12" t="n"/>
      <c r="J617" s="12" t="n"/>
      <c r="K617" s="12" t="n"/>
      <c r="L617" s="11" t="n"/>
      <c r="M617" s="11" t="n"/>
      <c r="N617" s="11" t="n"/>
      <c r="O617" s="11" t="n"/>
      <c r="P617" s="12" t="n"/>
      <c r="Q617" s="11" t="n"/>
      <c r="R617" s="12" t="n"/>
      <c r="S617" s="11" t="n"/>
      <c r="T617" s="12" t="n"/>
      <c r="U617" s="12" t="n"/>
      <c r="V617" s="12" t="n"/>
      <c r="W617" s="13" t="n"/>
      <c r="X617" s="14">
        <f>IF($AP617="",IF($B617="","",$H617),IF(INDEX(職員マスタ!$B$6:$B$405,$AP617)="",$H617,INDEX(職員マスタ!$B$6:$B$405,$AP617)))</f>
        <v/>
      </c>
      <c r="Y617" s="14">
        <f>IF($AP617="",IF($B617="","",$R617),IF(INDEX(職員マスタ!$C$6:$C$405,$AP617)="",$R617,INDEX(職員マスタ!$C$6:$C$405,$AP617)))</f>
        <v/>
      </c>
      <c r="Z617" s="14">
        <f>IF($AQ617="","","R"&amp;$C617&amp;"."&amp;$D617)</f>
        <v/>
      </c>
      <c r="AA617" s="15">
        <f>IF(IF($AP617="",FALSE,INDEX(職員マスタ!$K$6:$K$405,$AP617)&lt;&gt;""),INDEX(職員マスタ!$K$6:$K$405,$AP617),IF(N($W617)&gt;0,$W617,""))</f>
        <v/>
      </c>
      <c r="AB617" s="14">
        <f>IF(OR($E617="",$AA617=""),"",IF($E617&gt;=$AA617,"×",IF($E617&gt;=$AA617*設定!$C$5,"△","○")))</f>
        <v/>
      </c>
      <c r="AC617" s="15">
        <f>IF($AB617="","",IF($AB617="×",0,IF($AB617="○",ROUNDDOWN($E617*設定!$C$4,0),ROUNDDOWN($E617*ROUND((9*$AA617-9*$E617)/(10*$E617),4),0))))</f>
        <v/>
      </c>
      <c r="AD617" s="13" t="n"/>
      <c r="AE617" s="15">
        <f>IF($B617="","",IF($AD617&lt;&gt;"",$AD617,IF($AC617="","",IF($AC617&lt;=設定!$C$3,0,$AC617))))</f>
        <v/>
      </c>
      <c r="AF617" s="14">
        <f>IF($B617="","",IF(AND($AG617&lt;&gt;"",$AI617="",$AL617=""),"保留中",IF($AL617&lt;&gt;"",IF(N($AE617)&gt;0,"支給済","不支給"),IF($AE617="","要確認",IF($AE617=0,"不支給","未処理")))))</f>
        <v/>
      </c>
      <c r="AG617" s="12" t="n"/>
      <c r="AH617" s="11" t="n"/>
      <c r="AI617" s="11" t="n"/>
      <c r="AJ617" s="11" t="n"/>
      <c r="AK617" s="14">
        <f>IF(AND($AF617="保留中",$AH617&lt;&gt;""),TODAY()-$AH617,"")</f>
        <v/>
      </c>
      <c r="AL617" s="12" t="n"/>
      <c r="AM617" s="14">
        <f>IF($B617="","",IF($AQ617="","対象年月が未入力／","")&amp;IF($B617="","",IF($AP617="","職員マスタに未登録の職員番号／",IF($AA617="","標準報酬月額が未登録／","")&amp;IF(AND($AQ617&lt;&gt;"",OR(AND(INDEX(職員マスタ!$G$6:$G$405,$AP617)&lt;&gt;"",INDEX(職員マスタ!$G$6:$G$405,$AP617)&gt;EOMONTH($AQ617,0)),AND(INDEX(職員マスタ!$H$6:$H$405,$AP617)&lt;&gt;"",INDEX(職員マスタ!$H$6:$H$405,$AP617)&lt;$AQ617))),"対象月が時短期間外／","")&amp;IF(AND(INDEX(職員マスタ!$K$6:$K$405,$AP617)&lt;&gt;"",N($W617)&gt;0,INDEX(職員マスタ!$K$6:$K$405,$AP617)&lt;&gt;$W617),"標準報酬月額が申請書と相違（台帳"&amp;TEXT(INDEX(職員マスタ!$K$6:$K$405,$AP617),"#,##0")&amp;"円／申請書"&amp;TEXT($W617,"#,##0")&amp;"円）／","")&amp;IF(AND(INDEX(職員マスタ!$F$6:$F$405,$AP617)&lt;&gt;"",$AQ617&lt;&gt;"",INDEX(職員マスタ!$F$6:$F$405,$AP617)&lt;$AQ617),"対象月に子が2歳到達済／","")&amp;IF(AND($H617&lt;&gt;"",INDEX(職員マスタ!$B$6:$B$405,$AP617)&lt;&gt;"",SUBSTITUTE(SUBSTITUTE($H617," ","")," ","")&lt;&gt;SUBSTITUTE(SUBSTITUTE(INDEX(職員マスタ!$B$6:$B$405,$AP617)," ","")," ","")),"氏名がマスタと相違／","")&amp;IF(AND($Q617&lt;&gt;"",INDEX(職員マスタ!$E$6:$E$405,$AP617)&lt;&gt;"",$Q617&lt;&gt;INDEX(職員マスタ!$E$6:$E$405,$AP617)),"子の生年月日がマスタと相違／","")&amp;IF(AND($L617&lt;&gt;"",INDEX(職員マスタ!$G$6:$G$405,$AP617)&lt;&gt;"",$L617&lt;&gt;INDEX(職員マスタ!$G$6:$G$405,$AP617)),"時短開始日がマスタと相違／","")&amp;IF(AND($M617&lt;&gt;"",INDEX(職員マスタ!$H$6:$H$405,$AP617)&lt;&gt;"",$M617&lt;&gt;INDEX(職員マスタ!$H$6:$H$405,$AP617)),"時短終了日がマスタと相違／","")))&amp;IF(AND($B617&lt;&gt;"",$E617=""),"報酬額が未入力／","")&amp;IF(N($U617)&gt;0,"申請書に入力エラーが残っています／","")&amp;IF(AND($B617&lt;&gt;"",$AQ617&lt;&gt;""),IF(COUNTIFS($B$6:$B$3005,$B617,$C$6:$C$3005,$C617,$D$6:$D$3005,$D617)&gt;1,"同じ月の請求が重複しています／",""),"")&amp;IF(AND(N($E617)&gt;0,$AB617&lt;&gt;"",$AB617&lt;&gt;"×",$AE617=0,$AD617=""),"計算額が下限以下のため不支給／",""))</f>
        <v/>
      </c>
      <c r="AN617" s="12" t="n"/>
      <c r="AO617" s="14">
        <f>IF($AF617="保留中",COUNTIF($AF$6:$AF617,"保留中"),"")</f>
        <v/>
      </c>
      <c r="AP617" s="14">
        <f>IF($AQ617="","",IF(SUMPRODUCT(MAX((職員マスタ!$A$6:$A$405=$B617)*(((職員マスタ!$G$6:$G$405="")+(職員マスタ!$G$6:$G$405&lt;=EOMONTH($AQ617,0)))&gt;0)*(((職員マスタ!$H$6:$H$405="")+(職員マスタ!$H$6:$H$405&gt;=$AQ617))&gt;0)*(ROW(職員マスタ!$A$6:$A$405)-5)))&gt;0,SUMPRODUCT(MAX((職員マスタ!$A$6:$A$405=$B617)*(((職員マスタ!$G$6:$G$405="")+(職員マスタ!$G$6:$G$405&lt;=EOMONTH($AQ617,0)))&gt;0)*(((職員マスタ!$H$6:$H$405="")+(職員マスタ!$H$6:$H$405&gt;=$AQ617))&gt;0)*(ROW(職員マスタ!$A$6:$A$405)-5))),IFERROR(MATCH($B617,職員マスタ!$A$6:$A$405,0),"")))</f>
        <v/>
      </c>
      <c r="AQ617" s="16">
        <f>IF(OR($B617="",$C617="",$D617=""),"",DATE($C617+2018,$D617,1))</f>
        <v/>
      </c>
    </row>
    <row r="618">
      <c r="A618" s="11" t="n"/>
      <c r="B618" s="12" t="n"/>
      <c r="C618" s="12" t="n"/>
      <c r="D618" s="12" t="n"/>
      <c r="E618" s="13" t="n"/>
      <c r="F618" s="12" t="n"/>
      <c r="G618" s="13" t="n"/>
      <c r="H618" s="12" t="n"/>
      <c r="I618" s="12" t="n"/>
      <c r="J618" s="12" t="n"/>
      <c r="K618" s="12" t="n"/>
      <c r="L618" s="11" t="n"/>
      <c r="M618" s="11" t="n"/>
      <c r="N618" s="11" t="n"/>
      <c r="O618" s="11" t="n"/>
      <c r="P618" s="12" t="n"/>
      <c r="Q618" s="11" t="n"/>
      <c r="R618" s="12" t="n"/>
      <c r="S618" s="11" t="n"/>
      <c r="T618" s="12" t="n"/>
      <c r="U618" s="12" t="n"/>
      <c r="V618" s="12" t="n"/>
      <c r="W618" s="13" t="n"/>
      <c r="X618" s="14">
        <f>IF($AP618="",IF($B618="","",$H618),IF(INDEX(職員マスタ!$B$6:$B$405,$AP618)="",$H618,INDEX(職員マスタ!$B$6:$B$405,$AP618)))</f>
        <v/>
      </c>
      <c r="Y618" s="14">
        <f>IF($AP618="",IF($B618="","",$R618),IF(INDEX(職員マスタ!$C$6:$C$405,$AP618)="",$R618,INDEX(職員マスタ!$C$6:$C$405,$AP618)))</f>
        <v/>
      </c>
      <c r="Z618" s="14">
        <f>IF($AQ618="","","R"&amp;$C618&amp;"."&amp;$D618)</f>
        <v/>
      </c>
      <c r="AA618" s="15">
        <f>IF(IF($AP618="",FALSE,INDEX(職員マスタ!$K$6:$K$405,$AP618)&lt;&gt;""),INDEX(職員マスタ!$K$6:$K$405,$AP618),IF(N($W618)&gt;0,$W618,""))</f>
        <v/>
      </c>
      <c r="AB618" s="14">
        <f>IF(OR($E618="",$AA618=""),"",IF($E618&gt;=$AA618,"×",IF($E618&gt;=$AA618*設定!$C$5,"△","○")))</f>
        <v/>
      </c>
      <c r="AC618" s="15">
        <f>IF($AB618="","",IF($AB618="×",0,IF($AB618="○",ROUNDDOWN($E618*設定!$C$4,0),ROUNDDOWN($E618*ROUND((9*$AA618-9*$E618)/(10*$E618),4),0))))</f>
        <v/>
      </c>
      <c r="AD618" s="13" t="n"/>
      <c r="AE618" s="15">
        <f>IF($B618="","",IF($AD618&lt;&gt;"",$AD618,IF($AC618="","",IF($AC618&lt;=設定!$C$3,0,$AC618))))</f>
        <v/>
      </c>
      <c r="AF618" s="14">
        <f>IF($B618="","",IF(AND($AG618&lt;&gt;"",$AI618="",$AL618=""),"保留中",IF($AL618&lt;&gt;"",IF(N($AE618)&gt;0,"支給済","不支給"),IF($AE618="","要確認",IF($AE618=0,"不支給","未処理")))))</f>
        <v/>
      </c>
      <c r="AG618" s="12" t="n"/>
      <c r="AH618" s="11" t="n"/>
      <c r="AI618" s="11" t="n"/>
      <c r="AJ618" s="11" t="n"/>
      <c r="AK618" s="14">
        <f>IF(AND($AF618="保留中",$AH618&lt;&gt;""),TODAY()-$AH618,"")</f>
        <v/>
      </c>
      <c r="AL618" s="12" t="n"/>
      <c r="AM618" s="14">
        <f>IF($B618="","",IF($AQ618="","対象年月が未入力／","")&amp;IF($B618="","",IF($AP618="","職員マスタに未登録の職員番号／",IF($AA618="","標準報酬月額が未登録／","")&amp;IF(AND($AQ618&lt;&gt;"",OR(AND(INDEX(職員マスタ!$G$6:$G$405,$AP618)&lt;&gt;"",INDEX(職員マスタ!$G$6:$G$405,$AP618)&gt;EOMONTH($AQ618,0)),AND(INDEX(職員マスタ!$H$6:$H$405,$AP618)&lt;&gt;"",INDEX(職員マスタ!$H$6:$H$405,$AP618)&lt;$AQ618))),"対象月が時短期間外／","")&amp;IF(AND(INDEX(職員マスタ!$K$6:$K$405,$AP618)&lt;&gt;"",N($W618)&gt;0,INDEX(職員マスタ!$K$6:$K$405,$AP618)&lt;&gt;$W618),"標準報酬月額が申請書と相違（台帳"&amp;TEXT(INDEX(職員マスタ!$K$6:$K$405,$AP618),"#,##0")&amp;"円／申請書"&amp;TEXT($W618,"#,##0")&amp;"円）／","")&amp;IF(AND(INDEX(職員マスタ!$F$6:$F$405,$AP618)&lt;&gt;"",$AQ618&lt;&gt;"",INDEX(職員マスタ!$F$6:$F$405,$AP618)&lt;$AQ618),"対象月に子が2歳到達済／","")&amp;IF(AND($H618&lt;&gt;"",INDEX(職員マスタ!$B$6:$B$405,$AP618)&lt;&gt;"",SUBSTITUTE(SUBSTITUTE($H618," ","")," ","")&lt;&gt;SUBSTITUTE(SUBSTITUTE(INDEX(職員マスタ!$B$6:$B$405,$AP618)," ","")," ","")),"氏名がマスタと相違／","")&amp;IF(AND($Q618&lt;&gt;"",INDEX(職員マスタ!$E$6:$E$405,$AP618)&lt;&gt;"",$Q618&lt;&gt;INDEX(職員マスタ!$E$6:$E$405,$AP618)),"子の生年月日がマスタと相違／","")&amp;IF(AND($L618&lt;&gt;"",INDEX(職員マスタ!$G$6:$G$405,$AP618)&lt;&gt;"",$L618&lt;&gt;INDEX(職員マスタ!$G$6:$G$405,$AP618)),"時短開始日がマスタと相違／","")&amp;IF(AND($M618&lt;&gt;"",INDEX(職員マスタ!$H$6:$H$405,$AP618)&lt;&gt;"",$M618&lt;&gt;INDEX(職員マスタ!$H$6:$H$405,$AP618)),"時短終了日がマスタと相違／","")))&amp;IF(AND($B618&lt;&gt;"",$E618=""),"報酬額が未入力／","")&amp;IF(N($U618)&gt;0,"申請書に入力エラーが残っています／","")&amp;IF(AND($B618&lt;&gt;"",$AQ618&lt;&gt;""),IF(COUNTIFS($B$6:$B$3005,$B618,$C$6:$C$3005,$C618,$D$6:$D$3005,$D618)&gt;1,"同じ月の請求が重複しています／",""),"")&amp;IF(AND(N($E618)&gt;0,$AB618&lt;&gt;"",$AB618&lt;&gt;"×",$AE618=0,$AD618=""),"計算額が下限以下のため不支給／",""))</f>
        <v/>
      </c>
      <c r="AN618" s="12" t="n"/>
      <c r="AO618" s="14">
        <f>IF($AF618="保留中",COUNTIF($AF$6:$AF618,"保留中"),"")</f>
        <v/>
      </c>
      <c r="AP618" s="14">
        <f>IF($AQ618="","",IF(SUMPRODUCT(MAX((職員マスタ!$A$6:$A$405=$B618)*(((職員マスタ!$G$6:$G$405="")+(職員マスタ!$G$6:$G$405&lt;=EOMONTH($AQ618,0)))&gt;0)*(((職員マスタ!$H$6:$H$405="")+(職員マスタ!$H$6:$H$405&gt;=$AQ618))&gt;0)*(ROW(職員マスタ!$A$6:$A$405)-5)))&gt;0,SUMPRODUCT(MAX((職員マスタ!$A$6:$A$405=$B618)*(((職員マスタ!$G$6:$G$405="")+(職員マスタ!$G$6:$G$405&lt;=EOMONTH($AQ618,0)))&gt;0)*(((職員マスタ!$H$6:$H$405="")+(職員マスタ!$H$6:$H$405&gt;=$AQ618))&gt;0)*(ROW(職員マスタ!$A$6:$A$405)-5))),IFERROR(MATCH($B618,職員マスタ!$A$6:$A$405,0),"")))</f>
        <v/>
      </c>
      <c r="AQ618" s="16">
        <f>IF(OR($B618="",$C618="",$D618=""),"",DATE($C618+2018,$D618,1))</f>
        <v/>
      </c>
    </row>
    <row r="619">
      <c r="A619" s="11" t="n"/>
      <c r="B619" s="12" t="n"/>
      <c r="C619" s="12" t="n"/>
      <c r="D619" s="12" t="n"/>
      <c r="E619" s="13" t="n"/>
      <c r="F619" s="12" t="n"/>
      <c r="G619" s="13" t="n"/>
      <c r="H619" s="12" t="n"/>
      <c r="I619" s="12" t="n"/>
      <c r="J619" s="12" t="n"/>
      <c r="K619" s="12" t="n"/>
      <c r="L619" s="11" t="n"/>
      <c r="M619" s="11" t="n"/>
      <c r="N619" s="11" t="n"/>
      <c r="O619" s="11" t="n"/>
      <c r="P619" s="12" t="n"/>
      <c r="Q619" s="11" t="n"/>
      <c r="R619" s="12" t="n"/>
      <c r="S619" s="11" t="n"/>
      <c r="T619" s="12" t="n"/>
      <c r="U619" s="12" t="n"/>
      <c r="V619" s="12" t="n"/>
      <c r="W619" s="13" t="n"/>
      <c r="X619" s="14">
        <f>IF($AP619="",IF($B619="","",$H619),IF(INDEX(職員マスタ!$B$6:$B$405,$AP619)="",$H619,INDEX(職員マスタ!$B$6:$B$405,$AP619)))</f>
        <v/>
      </c>
      <c r="Y619" s="14">
        <f>IF($AP619="",IF($B619="","",$R619),IF(INDEX(職員マスタ!$C$6:$C$405,$AP619)="",$R619,INDEX(職員マスタ!$C$6:$C$405,$AP619)))</f>
        <v/>
      </c>
      <c r="Z619" s="14">
        <f>IF($AQ619="","","R"&amp;$C619&amp;"."&amp;$D619)</f>
        <v/>
      </c>
      <c r="AA619" s="15">
        <f>IF(IF($AP619="",FALSE,INDEX(職員マスタ!$K$6:$K$405,$AP619)&lt;&gt;""),INDEX(職員マスタ!$K$6:$K$405,$AP619),IF(N($W619)&gt;0,$W619,""))</f>
        <v/>
      </c>
      <c r="AB619" s="14">
        <f>IF(OR($E619="",$AA619=""),"",IF($E619&gt;=$AA619,"×",IF($E619&gt;=$AA619*設定!$C$5,"△","○")))</f>
        <v/>
      </c>
      <c r="AC619" s="15">
        <f>IF($AB619="","",IF($AB619="×",0,IF($AB619="○",ROUNDDOWN($E619*設定!$C$4,0),ROUNDDOWN($E619*ROUND((9*$AA619-9*$E619)/(10*$E619),4),0))))</f>
        <v/>
      </c>
      <c r="AD619" s="13" t="n"/>
      <c r="AE619" s="15">
        <f>IF($B619="","",IF($AD619&lt;&gt;"",$AD619,IF($AC619="","",IF($AC619&lt;=設定!$C$3,0,$AC619))))</f>
        <v/>
      </c>
      <c r="AF619" s="14">
        <f>IF($B619="","",IF(AND($AG619&lt;&gt;"",$AI619="",$AL619=""),"保留中",IF($AL619&lt;&gt;"",IF(N($AE619)&gt;0,"支給済","不支給"),IF($AE619="","要確認",IF($AE619=0,"不支給","未処理")))))</f>
        <v/>
      </c>
      <c r="AG619" s="12" t="n"/>
      <c r="AH619" s="11" t="n"/>
      <c r="AI619" s="11" t="n"/>
      <c r="AJ619" s="11" t="n"/>
      <c r="AK619" s="14">
        <f>IF(AND($AF619="保留中",$AH619&lt;&gt;""),TODAY()-$AH619,"")</f>
        <v/>
      </c>
      <c r="AL619" s="12" t="n"/>
      <c r="AM619" s="14">
        <f>IF($B619="","",IF($AQ619="","対象年月が未入力／","")&amp;IF($B619="","",IF($AP619="","職員マスタに未登録の職員番号／",IF($AA619="","標準報酬月額が未登録／","")&amp;IF(AND($AQ619&lt;&gt;"",OR(AND(INDEX(職員マスタ!$G$6:$G$405,$AP619)&lt;&gt;"",INDEX(職員マスタ!$G$6:$G$405,$AP619)&gt;EOMONTH($AQ619,0)),AND(INDEX(職員マスタ!$H$6:$H$405,$AP619)&lt;&gt;"",INDEX(職員マスタ!$H$6:$H$405,$AP619)&lt;$AQ619))),"対象月が時短期間外／","")&amp;IF(AND(INDEX(職員マスタ!$K$6:$K$405,$AP619)&lt;&gt;"",N($W619)&gt;0,INDEX(職員マスタ!$K$6:$K$405,$AP619)&lt;&gt;$W619),"標準報酬月額が申請書と相違（台帳"&amp;TEXT(INDEX(職員マスタ!$K$6:$K$405,$AP619),"#,##0")&amp;"円／申請書"&amp;TEXT($W619,"#,##0")&amp;"円）／","")&amp;IF(AND(INDEX(職員マスタ!$F$6:$F$405,$AP619)&lt;&gt;"",$AQ619&lt;&gt;"",INDEX(職員マスタ!$F$6:$F$405,$AP619)&lt;$AQ619),"対象月に子が2歳到達済／","")&amp;IF(AND($H619&lt;&gt;"",INDEX(職員マスタ!$B$6:$B$405,$AP619)&lt;&gt;"",SUBSTITUTE(SUBSTITUTE($H619," ","")," ","")&lt;&gt;SUBSTITUTE(SUBSTITUTE(INDEX(職員マスタ!$B$6:$B$405,$AP619)," ","")," ","")),"氏名がマスタと相違／","")&amp;IF(AND($Q619&lt;&gt;"",INDEX(職員マスタ!$E$6:$E$405,$AP619)&lt;&gt;"",$Q619&lt;&gt;INDEX(職員マスタ!$E$6:$E$405,$AP619)),"子の生年月日がマスタと相違／","")&amp;IF(AND($L619&lt;&gt;"",INDEX(職員マスタ!$G$6:$G$405,$AP619)&lt;&gt;"",$L619&lt;&gt;INDEX(職員マスタ!$G$6:$G$405,$AP619)),"時短開始日がマスタと相違／","")&amp;IF(AND($M619&lt;&gt;"",INDEX(職員マスタ!$H$6:$H$405,$AP619)&lt;&gt;"",$M619&lt;&gt;INDEX(職員マスタ!$H$6:$H$405,$AP619)),"時短終了日がマスタと相違／","")))&amp;IF(AND($B619&lt;&gt;"",$E619=""),"報酬額が未入力／","")&amp;IF(N($U619)&gt;0,"申請書に入力エラーが残っています／","")&amp;IF(AND($B619&lt;&gt;"",$AQ619&lt;&gt;""),IF(COUNTIFS($B$6:$B$3005,$B619,$C$6:$C$3005,$C619,$D$6:$D$3005,$D619)&gt;1,"同じ月の請求が重複しています／",""),"")&amp;IF(AND(N($E619)&gt;0,$AB619&lt;&gt;"",$AB619&lt;&gt;"×",$AE619=0,$AD619=""),"計算額が下限以下のため不支給／",""))</f>
        <v/>
      </c>
      <c r="AN619" s="12" t="n"/>
      <c r="AO619" s="14">
        <f>IF($AF619="保留中",COUNTIF($AF$6:$AF619,"保留中"),"")</f>
        <v/>
      </c>
      <c r="AP619" s="14">
        <f>IF($AQ619="","",IF(SUMPRODUCT(MAX((職員マスタ!$A$6:$A$405=$B619)*(((職員マスタ!$G$6:$G$405="")+(職員マスタ!$G$6:$G$405&lt;=EOMONTH($AQ619,0)))&gt;0)*(((職員マスタ!$H$6:$H$405="")+(職員マスタ!$H$6:$H$405&gt;=$AQ619))&gt;0)*(ROW(職員マスタ!$A$6:$A$405)-5)))&gt;0,SUMPRODUCT(MAX((職員マスタ!$A$6:$A$405=$B619)*(((職員マスタ!$G$6:$G$405="")+(職員マスタ!$G$6:$G$405&lt;=EOMONTH($AQ619,0)))&gt;0)*(((職員マスタ!$H$6:$H$405="")+(職員マスタ!$H$6:$H$405&gt;=$AQ619))&gt;0)*(ROW(職員マスタ!$A$6:$A$405)-5))),IFERROR(MATCH($B619,職員マスタ!$A$6:$A$405,0),"")))</f>
        <v/>
      </c>
      <c r="AQ619" s="16">
        <f>IF(OR($B619="",$C619="",$D619=""),"",DATE($C619+2018,$D619,1))</f>
        <v/>
      </c>
    </row>
    <row r="620">
      <c r="A620" s="11" t="n"/>
      <c r="B620" s="12" t="n"/>
      <c r="C620" s="12" t="n"/>
      <c r="D620" s="12" t="n"/>
      <c r="E620" s="13" t="n"/>
      <c r="F620" s="12" t="n"/>
      <c r="G620" s="13" t="n"/>
      <c r="H620" s="12" t="n"/>
      <c r="I620" s="12" t="n"/>
      <c r="J620" s="12" t="n"/>
      <c r="K620" s="12" t="n"/>
      <c r="L620" s="11" t="n"/>
      <c r="M620" s="11" t="n"/>
      <c r="N620" s="11" t="n"/>
      <c r="O620" s="11" t="n"/>
      <c r="P620" s="12" t="n"/>
      <c r="Q620" s="11" t="n"/>
      <c r="R620" s="12" t="n"/>
      <c r="S620" s="11" t="n"/>
      <c r="T620" s="12" t="n"/>
      <c r="U620" s="12" t="n"/>
      <c r="V620" s="12" t="n"/>
      <c r="W620" s="13" t="n"/>
      <c r="X620" s="14">
        <f>IF($AP620="",IF($B620="","",$H620),IF(INDEX(職員マスタ!$B$6:$B$405,$AP620)="",$H620,INDEX(職員マスタ!$B$6:$B$405,$AP620)))</f>
        <v/>
      </c>
      <c r="Y620" s="14">
        <f>IF($AP620="",IF($B620="","",$R620),IF(INDEX(職員マスタ!$C$6:$C$405,$AP620)="",$R620,INDEX(職員マスタ!$C$6:$C$405,$AP620)))</f>
        <v/>
      </c>
      <c r="Z620" s="14">
        <f>IF($AQ620="","","R"&amp;$C620&amp;"."&amp;$D620)</f>
        <v/>
      </c>
      <c r="AA620" s="15">
        <f>IF(IF($AP620="",FALSE,INDEX(職員マスタ!$K$6:$K$405,$AP620)&lt;&gt;""),INDEX(職員マスタ!$K$6:$K$405,$AP620),IF(N($W620)&gt;0,$W620,""))</f>
        <v/>
      </c>
      <c r="AB620" s="14">
        <f>IF(OR($E620="",$AA620=""),"",IF($E620&gt;=$AA620,"×",IF($E620&gt;=$AA620*設定!$C$5,"△","○")))</f>
        <v/>
      </c>
      <c r="AC620" s="15">
        <f>IF($AB620="","",IF($AB620="×",0,IF($AB620="○",ROUNDDOWN($E620*設定!$C$4,0),ROUNDDOWN($E620*ROUND((9*$AA620-9*$E620)/(10*$E620),4),0))))</f>
        <v/>
      </c>
      <c r="AD620" s="13" t="n"/>
      <c r="AE620" s="15">
        <f>IF($B620="","",IF($AD620&lt;&gt;"",$AD620,IF($AC620="","",IF($AC620&lt;=設定!$C$3,0,$AC620))))</f>
        <v/>
      </c>
      <c r="AF620" s="14">
        <f>IF($B620="","",IF(AND($AG620&lt;&gt;"",$AI620="",$AL620=""),"保留中",IF($AL620&lt;&gt;"",IF(N($AE620)&gt;0,"支給済","不支給"),IF($AE620="","要確認",IF($AE620=0,"不支給","未処理")))))</f>
        <v/>
      </c>
      <c r="AG620" s="12" t="n"/>
      <c r="AH620" s="11" t="n"/>
      <c r="AI620" s="11" t="n"/>
      <c r="AJ620" s="11" t="n"/>
      <c r="AK620" s="14">
        <f>IF(AND($AF620="保留中",$AH620&lt;&gt;""),TODAY()-$AH620,"")</f>
        <v/>
      </c>
      <c r="AL620" s="12" t="n"/>
      <c r="AM620" s="14">
        <f>IF($B620="","",IF($AQ620="","対象年月が未入力／","")&amp;IF($B620="","",IF($AP620="","職員マスタに未登録の職員番号／",IF($AA620="","標準報酬月額が未登録／","")&amp;IF(AND($AQ620&lt;&gt;"",OR(AND(INDEX(職員マスタ!$G$6:$G$405,$AP620)&lt;&gt;"",INDEX(職員マスタ!$G$6:$G$405,$AP620)&gt;EOMONTH($AQ620,0)),AND(INDEX(職員マスタ!$H$6:$H$405,$AP620)&lt;&gt;"",INDEX(職員マスタ!$H$6:$H$405,$AP620)&lt;$AQ620))),"対象月が時短期間外／","")&amp;IF(AND(INDEX(職員マスタ!$K$6:$K$405,$AP620)&lt;&gt;"",N($W620)&gt;0,INDEX(職員マスタ!$K$6:$K$405,$AP620)&lt;&gt;$W620),"標準報酬月額が申請書と相違（台帳"&amp;TEXT(INDEX(職員マスタ!$K$6:$K$405,$AP620),"#,##0")&amp;"円／申請書"&amp;TEXT($W620,"#,##0")&amp;"円）／","")&amp;IF(AND(INDEX(職員マスタ!$F$6:$F$405,$AP620)&lt;&gt;"",$AQ620&lt;&gt;"",INDEX(職員マスタ!$F$6:$F$405,$AP620)&lt;$AQ620),"対象月に子が2歳到達済／","")&amp;IF(AND($H620&lt;&gt;"",INDEX(職員マスタ!$B$6:$B$405,$AP620)&lt;&gt;"",SUBSTITUTE(SUBSTITUTE($H620," ","")," ","")&lt;&gt;SUBSTITUTE(SUBSTITUTE(INDEX(職員マスタ!$B$6:$B$405,$AP620)," ","")," ","")),"氏名がマスタと相違／","")&amp;IF(AND($Q620&lt;&gt;"",INDEX(職員マスタ!$E$6:$E$405,$AP620)&lt;&gt;"",$Q620&lt;&gt;INDEX(職員マスタ!$E$6:$E$405,$AP620)),"子の生年月日がマスタと相違／","")&amp;IF(AND($L620&lt;&gt;"",INDEX(職員マスタ!$G$6:$G$405,$AP620)&lt;&gt;"",$L620&lt;&gt;INDEX(職員マスタ!$G$6:$G$405,$AP620)),"時短開始日がマスタと相違／","")&amp;IF(AND($M620&lt;&gt;"",INDEX(職員マスタ!$H$6:$H$405,$AP620)&lt;&gt;"",$M620&lt;&gt;INDEX(職員マスタ!$H$6:$H$405,$AP620)),"時短終了日がマスタと相違／","")))&amp;IF(AND($B620&lt;&gt;"",$E620=""),"報酬額が未入力／","")&amp;IF(N($U620)&gt;0,"申請書に入力エラーが残っています／","")&amp;IF(AND($B620&lt;&gt;"",$AQ620&lt;&gt;""),IF(COUNTIFS($B$6:$B$3005,$B620,$C$6:$C$3005,$C620,$D$6:$D$3005,$D620)&gt;1,"同じ月の請求が重複しています／",""),"")&amp;IF(AND(N($E620)&gt;0,$AB620&lt;&gt;"",$AB620&lt;&gt;"×",$AE620=0,$AD620=""),"計算額が下限以下のため不支給／",""))</f>
        <v/>
      </c>
      <c r="AN620" s="12" t="n"/>
      <c r="AO620" s="14">
        <f>IF($AF620="保留中",COUNTIF($AF$6:$AF620,"保留中"),"")</f>
        <v/>
      </c>
      <c r="AP620" s="14">
        <f>IF($AQ620="","",IF(SUMPRODUCT(MAX((職員マスタ!$A$6:$A$405=$B620)*(((職員マスタ!$G$6:$G$405="")+(職員マスタ!$G$6:$G$405&lt;=EOMONTH($AQ620,0)))&gt;0)*(((職員マスタ!$H$6:$H$405="")+(職員マスタ!$H$6:$H$405&gt;=$AQ620))&gt;0)*(ROW(職員マスタ!$A$6:$A$405)-5)))&gt;0,SUMPRODUCT(MAX((職員マスタ!$A$6:$A$405=$B620)*(((職員マスタ!$G$6:$G$405="")+(職員マスタ!$G$6:$G$405&lt;=EOMONTH($AQ620,0)))&gt;0)*(((職員マスタ!$H$6:$H$405="")+(職員マスタ!$H$6:$H$405&gt;=$AQ620))&gt;0)*(ROW(職員マスタ!$A$6:$A$405)-5))),IFERROR(MATCH($B620,職員マスタ!$A$6:$A$405,0),"")))</f>
        <v/>
      </c>
      <c r="AQ620" s="16">
        <f>IF(OR($B620="",$C620="",$D620=""),"",DATE($C620+2018,$D620,1))</f>
        <v/>
      </c>
    </row>
    <row r="621">
      <c r="A621" s="11" t="n"/>
      <c r="B621" s="12" t="n"/>
      <c r="C621" s="12" t="n"/>
      <c r="D621" s="12" t="n"/>
      <c r="E621" s="13" t="n"/>
      <c r="F621" s="12" t="n"/>
      <c r="G621" s="13" t="n"/>
      <c r="H621" s="12" t="n"/>
      <c r="I621" s="12" t="n"/>
      <c r="J621" s="12" t="n"/>
      <c r="K621" s="12" t="n"/>
      <c r="L621" s="11" t="n"/>
      <c r="M621" s="11" t="n"/>
      <c r="N621" s="11" t="n"/>
      <c r="O621" s="11" t="n"/>
      <c r="P621" s="12" t="n"/>
      <c r="Q621" s="11" t="n"/>
      <c r="R621" s="12" t="n"/>
      <c r="S621" s="11" t="n"/>
      <c r="T621" s="12" t="n"/>
      <c r="U621" s="12" t="n"/>
      <c r="V621" s="12" t="n"/>
      <c r="W621" s="13" t="n"/>
      <c r="X621" s="14">
        <f>IF($AP621="",IF($B621="","",$H621),IF(INDEX(職員マスタ!$B$6:$B$405,$AP621)="",$H621,INDEX(職員マスタ!$B$6:$B$405,$AP621)))</f>
        <v/>
      </c>
      <c r="Y621" s="14">
        <f>IF($AP621="",IF($B621="","",$R621),IF(INDEX(職員マスタ!$C$6:$C$405,$AP621)="",$R621,INDEX(職員マスタ!$C$6:$C$405,$AP621)))</f>
        <v/>
      </c>
      <c r="Z621" s="14">
        <f>IF($AQ621="","","R"&amp;$C621&amp;"."&amp;$D621)</f>
        <v/>
      </c>
      <c r="AA621" s="15">
        <f>IF(IF($AP621="",FALSE,INDEX(職員マスタ!$K$6:$K$405,$AP621)&lt;&gt;""),INDEX(職員マスタ!$K$6:$K$405,$AP621),IF(N($W621)&gt;0,$W621,""))</f>
        <v/>
      </c>
      <c r="AB621" s="14">
        <f>IF(OR($E621="",$AA621=""),"",IF($E621&gt;=$AA621,"×",IF($E621&gt;=$AA621*設定!$C$5,"△","○")))</f>
        <v/>
      </c>
      <c r="AC621" s="15">
        <f>IF($AB621="","",IF($AB621="×",0,IF($AB621="○",ROUNDDOWN($E621*設定!$C$4,0),ROUNDDOWN($E621*ROUND((9*$AA621-9*$E621)/(10*$E621),4),0))))</f>
        <v/>
      </c>
      <c r="AD621" s="13" t="n"/>
      <c r="AE621" s="15">
        <f>IF($B621="","",IF($AD621&lt;&gt;"",$AD621,IF($AC621="","",IF($AC621&lt;=設定!$C$3,0,$AC621))))</f>
        <v/>
      </c>
      <c r="AF621" s="14">
        <f>IF($B621="","",IF(AND($AG621&lt;&gt;"",$AI621="",$AL621=""),"保留中",IF($AL621&lt;&gt;"",IF(N($AE621)&gt;0,"支給済","不支給"),IF($AE621="","要確認",IF($AE621=0,"不支給","未処理")))))</f>
        <v/>
      </c>
      <c r="AG621" s="12" t="n"/>
      <c r="AH621" s="11" t="n"/>
      <c r="AI621" s="11" t="n"/>
      <c r="AJ621" s="11" t="n"/>
      <c r="AK621" s="14">
        <f>IF(AND($AF621="保留中",$AH621&lt;&gt;""),TODAY()-$AH621,"")</f>
        <v/>
      </c>
      <c r="AL621" s="12" t="n"/>
      <c r="AM621" s="14">
        <f>IF($B621="","",IF($AQ621="","対象年月が未入力／","")&amp;IF($B621="","",IF($AP621="","職員マスタに未登録の職員番号／",IF($AA621="","標準報酬月額が未登録／","")&amp;IF(AND($AQ621&lt;&gt;"",OR(AND(INDEX(職員マスタ!$G$6:$G$405,$AP621)&lt;&gt;"",INDEX(職員マスタ!$G$6:$G$405,$AP621)&gt;EOMONTH($AQ621,0)),AND(INDEX(職員マスタ!$H$6:$H$405,$AP621)&lt;&gt;"",INDEX(職員マスタ!$H$6:$H$405,$AP621)&lt;$AQ621))),"対象月が時短期間外／","")&amp;IF(AND(INDEX(職員マスタ!$K$6:$K$405,$AP621)&lt;&gt;"",N($W621)&gt;0,INDEX(職員マスタ!$K$6:$K$405,$AP621)&lt;&gt;$W621),"標準報酬月額が申請書と相違（台帳"&amp;TEXT(INDEX(職員マスタ!$K$6:$K$405,$AP621),"#,##0")&amp;"円／申請書"&amp;TEXT($W621,"#,##0")&amp;"円）／","")&amp;IF(AND(INDEX(職員マスタ!$F$6:$F$405,$AP621)&lt;&gt;"",$AQ621&lt;&gt;"",INDEX(職員マスタ!$F$6:$F$405,$AP621)&lt;$AQ621),"対象月に子が2歳到達済／","")&amp;IF(AND($H621&lt;&gt;"",INDEX(職員マスタ!$B$6:$B$405,$AP621)&lt;&gt;"",SUBSTITUTE(SUBSTITUTE($H621," ","")," ","")&lt;&gt;SUBSTITUTE(SUBSTITUTE(INDEX(職員マスタ!$B$6:$B$405,$AP621)," ","")," ","")),"氏名がマスタと相違／","")&amp;IF(AND($Q621&lt;&gt;"",INDEX(職員マスタ!$E$6:$E$405,$AP621)&lt;&gt;"",$Q621&lt;&gt;INDEX(職員マスタ!$E$6:$E$405,$AP621)),"子の生年月日がマスタと相違／","")&amp;IF(AND($L621&lt;&gt;"",INDEX(職員マスタ!$G$6:$G$405,$AP621)&lt;&gt;"",$L621&lt;&gt;INDEX(職員マスタ!$G$6:$G$405,$AP621)),"時短開始日がマスタと相違／","")&amp;IF(AND($M621&lt;&gt;"",INDEX(職員マスタ!$H$6:$H$405,$AP621)&lt;&gt;"",$M621&lt;&gt;INDEX(職員マスタ!$H$6:$H$405,$AP621)),"時短終了日がマスタと相違／","")))&amp;IF(AND($B621&lt;&gt;"",$E621=""),"報酬額が未入力／","")&amp;IF(N($U621)&gt;0,"申請書に入力エラーが残っています／","")&amp;IF(AND($B621&lt;&gt;"",$AQ621&lt;&gt;""),IF(COUNTIFS($B$6:$B$3005,$B621,$C$6:$C$3005,$C621,$D$6:$D$3005,$D621)&gt;1,"同じ月の請求が重複しています／",""),"")&amp;IF(AND(N($E621)&gt;0,$AB621&lt;&gt;"",$AB621&lt;&gt;"×",$AE621=0,$AD621=""),"計算額が下限以下のため不支給／",""))</f>
        <v/>
      </c>
      <c r="AN621" s="12" t="n"/>
      <c r="AO621" s="14">
        <f>IF($AF621="保留中",COUNTIF($AF$6:$AF621,"保留中"),"")</f>
        <v/>
      </c>
      <c r="AP621" s="14">
        <f>IF($AQ621="","",IF(SUMPRODUCT(MAX((職員マスタ!$A$6:$A$405=$B621)*(((職員マスタ!$G$6:$G$405="")+(職員マスタ!$G$6:$G$405&lt;=EOMONTH($AQ621,0)))&gt;0)*(((職員マスタ!$H$6:$H$405="")+(職員マスタ!$H$6:$H$405&gt;=$AQ621))&gt;0)*(ROW(職員マスタ!$A$6:$A$405)-5)))&gt;0,SUMPRODUCT(MAX((職員マスタ!$A$6:$A$405=$B621)*(((職員マスタ!$G$6:$G$405="")+(職員マスタ!$G$6:$G$405&lt;=EOMONTH($AQ621,0)))&gt;0)*(((職員マスタ!$H$6:$H$405="")+(職員マスタ!$H$6:$H$405&gt;=$AQ621))&gt;0)*(ROW(職員マスタ!$A$6:$A$405)-5))),IFERROR(MATCH($B621,職員マスタ!$A$6:$A$405,0),"")))</f>
        <v/>
      </c>
      <c r="AQ621" s="16">
        <f>IF(OR($B621="",$C621="",$D621=""),"",DATE($C621+2018,$D621,1))</f>
        <v/>
      </c>
    </row>
    <row r="622">
      <c r="A622" s="11" t="n"/>
      <c r="B622" s="12" t="n"/>
      <c r="C622" s="12" t="n"/>
      <c r="D622" s="12" t="n"/>
      <c r="E622" s="13" t="n"/>
      <c r="F622" s="12" t="n"/>
      <c r="G622" s="13" t="n"/>
      <c r="H622" s="12" t="n"/>
      <c r="I622" s="12" t="n"/>
      <c r="J622" s="12" t="n"/>
      <c r="K622" s="12" t="n"/>
      <c r="L622" s="11" t="n"/>
      <c r="M622" s="11" t="n"/>
      <c r="N622" s="11" t="n"/>
      <c r="O622" s="11" t="n"/>
      <c r="P622" s="12" t="n"/>
      <c r="Q622" s="11" t="n"/>
      <c r="R622" s="12" t="n"/>
      <c r="S622" s="11" t="n"/>
      <c r="T622" s="12" t="n"/>
      <c r="U622" s="12" t="n"/>
      <c r="V622" s="12" t="n"/>
      <c r="W622" s="13" t="n"/>
      <c r="X622" s="14">
        <f>IF($AP622="",IF($B622="","",$H622),IF(INDEX(職員マスタ!$B$6:$B$405,$AP622)="",$H622,INDEX(職員マスタ!$B$6:$B$405,$AP622)))</f>
        <v/>
      </c>
      <c r="Y622" s="14">
        <f>IF($AP622="",IF($B622="","",$R622),IF(INDEX(職員マスタ!$C$6:$C$405,$AP622)="",$R622,INDEX(職員マスタ!$C$6:$C$405,$AP622)))</f>
        <v/>
      </c>
      <c r="Z622" s="14">
        <f>IF($AQ622="","","R"&amp;$C622&amp;"."&amp;$D622)</f>
        <v/>
      </c>
      <c r="AA622" s="15">
        <f>IF(IF($AP622="",FALSE,INDEX(職員マスタ!$K$6:$K$405,$AP622)&lt;&gt;""),INDEX(職員マスタ!$K$6:$K$405,$AP622),IF(N($W622)&gt;0,$W622,""))</f>
        <v/>
      </c>
      <c r="AB622" s="14">
        <f>IF(OR($E622="",$AA622=""),"",IF($E622&gt;=$AA622,"×",IF($E622&gt;=$AA622*設定!$C$5,"△","○")))</f>
        <v/>
      </c>
      <c r="AC622" s="15">
        <f>IF($AB622="","",IF($AB622="×",0,IF($AB622="○",ROUNDDOWN($E622*設定!$C$4,0),ROUNDDOWN($E622*ROUND((9*$AA622-9*$E622)/(10*$E622),4),0))))</f>
        <v/>
      </c>
      <c r="AD622" s="13" t="n"/>
      <c r="AE622" s="15">
        <f>IF($B622="","",IF($AD622&lt;&gt;"",$AD622,IF($AC622="","",IF($AC622&lt;=設定!$C$3,0,$AC622))))</f>
        <v/>
      </c>
      <c r="AF622" s="14">
        <f>IF($B622="","",IF(AND($AG622&lt;&gt;"",$AI622="",$AL622=""),"保留中",IF($AL622&lt;&gt;"",IF(N($AE622)&gt;0,"支給済","不支給"),IF($AE622="","要確認",IF($AE622=0,"不支給","未処理")))))</f>
        <v/>
      </c>
      <c r="AG622" s="12" t="n"/>
      <c r="AH622" s="11" t="n"/>
      <c r="AI622" s="11" t="n"/>
      <c r="AJ622" s="11" t="n"/>
      <c r="AK622" s="14">
        <f>IF(AND($AF622="保留中",$AH622&lt;&gt;""),TODAY()-$AH622,"")</f>
        <v/>
      </c>
      <c r="AL622" s="12" t="n"/>
      <c r="AM622" s="14">
        <f>IF($B622="","",IF($AQ622="","対象年月が未入力／","")&amp;IF($B622="","",IF($AP622="","職員マスタに未登録の職員番号／",IF($AA622="","標準報酬月額が未登録／","")&amp;IF(AND($AQ622&lt;&gt;"",OR(AND(INDEX(職員マスタ!$G$6:$G$405,$AP622)&lt;&gt;"",INDEX(職員マスタ!$G$6:$G$405,$AP622)&gt;EOMONTH($AQ622,0)),AND(INDEX(職員マスタ!$H$6:$H$405,$AP622)&lt;&gt;"",INDEX(職員マスタ!$H$6:$H$405,$AP622)&lt;$AQ622))),"対象月が時短期間外／","")&amp;IF(AND(INDEX(職員マスタ!$K$6:$K$405,$AP622)&lt;&gt;"",N($W622)&gt;0,INDEX(職員マスタ!$K$6:$K$405,$AP622)&lt;&gt;$W622),"標準報酬月額が申請書と相違（台帳"&amp;TEXT(INDEX(職員マスタ!$K$6:$K$405,$AP622),"#,##0")&amp;"円／申請書"&amp;TEXT($W622,"#,##0")&amp;"円）／","")&amp;IF(AND(INDEX(職員マスタ!$F$6:$F$405,$AP622)&lt;&gt;"",$AQ622&lt;&gt;"",INDEX(職員マスタ!$F$6:$F$405,$AP622)&lt;$AQ622),"対象月に子が2歳到達済／","")&amp;IF(AND($H622&lt;&gt;"",INDEX(職員マスタ!$B$6:$B$405,$AP622)&lt;&gt;"",SUBSTITUTE(SUBSTITUTE($H622," ","")," ","")&lt;&gt;SUBSTITUTE(SUBSTITUTE(INDEX(職員マスタ!$B$6:$B$405,$AP622)," ","")," ","")),"氏名がマスタと相違／","")&amp;IF(AND($Q622&lt;&gt;"",INDEX(職員マスタ!$E$6:$E$405,$AP622)&lt;&gt;"",$Q622&lt;&gt;INDEX(職員マスタ!$E$6:$E$405,$AP622)),"子の生年月日がマスタと相違／","")&amp;IF(AND($L622&lt;&gt;"",INDEX(職員マスタ!$G$6:$G$405,$AP622)&lt;&gt;"",$L622&lt;&gt;INDEX(職員マスタ!$G$6:$G$405,$AP622)),"時短開始日がマスタと相違／","")&amp;IF(AND($M622&lt;&gt;"",INDEX(職員マスタ!$H$6:$H$405,$AP622)&lt;&gt;"",$M622&lt;&gt;INDEX(職員マスタ!$H$6:$H$405,$AP622)),"時短終了日がマスタと相違／","")))&amp;IF(AND($B622&lt;&gt;"",$E622=""),"報酬額が未入力／","")&amp;IF(N($U622)&gt;0,"申請書に入力エラーが残っています／","")&amp;IF(AND($B622&lt;&gt;"",$AQ622&lt;&gt;""),IF(COUNTIFS($B$6:$B$3005,$B622,$C$6:$C$3005,$C622,$D$6:$D$3005,$D622)&gt;1,"同じ月の請求が重複しています／",""),"")&amp;IF(AND(N($E622)&gt;0,$AB622&lt;&gt;"",$AB622&lt;&gt;"×",$AE622=0,$AD622=""),"計算額が下限以下のため不支給／",""))</f>
        <v/>
      </c>
      <c r="AN622" s="12" t="n"/>
      <c r="AO622" s="14">
        <f>IF($AF622="保留中",COUNTIF($AF$6:$AF622,"保留中"),"")</f>
        <v/>
      </c>
      <c r="AP622" s="14">
        <f>IF($AQ622="","",IF(SUMPRODUCT(MAX((職員マスタ!$A$6:$A$405=$B622)*(((職員マスタ!$G$6:$G$405="")+(職員マスタ!$G$6:$G$405&lt;=EOMONTH($AQ622,0)))&gt;0)*(((職員マスタ!$H$6:$H$405="")+(職員マスタ!$H$6:$H$405&gt;=$AQ622))&gt;0)*(ROW(職員マスタ!$A$6:$A$405)-5)))&gt;0,SUMPRODUCT(MAX((職員マスタ!$A$6:$A$405=$B622)*(((職員マスタ!$G$6:$G$405="")+(職員マスタ!$G$6:$G$405&lt;=EOMONTH($AQ622,0)))&gt;0)*(((職員マスタ!$H$6:$H$405="")+(職員マスタ!$H$6:$H$405&gt;=$AQ622))&gt;0)*(ROW(職員マスタ!$A$6:$A$405)-5))),IFERROR(MATCH($B622,職員マスタ!$A$6:$A$405,0),"")))</f>
        <v/>
      </c>
      <c r="AQ622" s="16">
        <f>IF(OR($B622="",$C622="",$D622=""),"",DATE($C622+2018,$D622,1))</f>
        <v/>
      </c>
    </row>
    <row r="623">
      <c r="A623" s="11" t="n"/>
      <c r="B623" s="12" t="n"/>
      <c r="C623" s="12" t="n"/>
      <c r="D623" s="12" t="n"/>
      <c r="E623" s="13" t="n"/>
      <c r="F623" s="12" t="n"/>
      <c r="G623" s="13" t="n"/>
      <c r="H623" s="12" t="n"/>
      <c r="I623" s="12" t="n"/>
      <c r="J623" s="12" t="n"/>
      <c r="K623" s="12" t="n"/>
      <c r="L623" s="11" t="n"/>
      <c r="M623" s="11" t="n"/>
      <c r="N623" s="11" t="n"/>
      <c r="O623" s="11" t="n"/>
      <c r="P623" s="12" t="n"/>
      <c r="Q623" s="11" t="n"/>
      <c r="R623" s="12" t="n"/>
      <c r="S623" s="11" t="n"/>
      <c r="T623" s="12" t="n"/>
      <c r="U623" s="12" t="n"/>
      <c r="V623" s="12" t="n"/>
      <c r="W623" s="13" t="n"/>
      <c r="X623" s="14">
        <f>IF($AP623="",IF($B623="","",$H623),IF(INDEX(職員マスタ!$B$6:$B$405,$AP623)="",$H623,INDEX(職員マスタ!$B$6:$B$405,$AP623)))</f>
        <v/>
      </c>
      <c r="Y623" s="14">
        <f>IF($AP623="",IF($B623="","",$R623),IF(INDEX(職員マスタ!$C$6:$C$405,$AP623)="",$R623,INDEX(職員マスタ!$C$6:$C$405,$AP623)))</f>
        <v/>
      </c>
      <c r="Z623" s="14">
        <f>IF($AQ623="","","R"&amp;$C623&amp;"."&amp;$D623)</f>
        <v/>
      </c>
      <c r="AA623" s="15">
        <f>IF(IF($AP623="",FALSE,INDEX(職員マスタ!$K$6:$K$405,$AP623)&lt;&gt;""),INDEX(職員マスタ!$K$6:$K$405,$AP623),IF(N($W623)&gt;0,$W623,""))</f>
        <v/>
      </c>
      <c r="AB623" s="14">
        <f>IF(OR($E623="",$AA623=""),"",IF($E623&gt;=$AA623,"×",IF($E623&gt;=$AA623*設定!$C$5,"△","○")))</f>
        <v/>
      </c>
      <c r="AC623" s="15">
        <f>IF($AB623="","",IF($AB623="×",0,IF($AB623="○",ROUNDDOWN($E623*設定!$C$4,0),ROUNDDOWN($E623*ROUND((9*$AA623-9*$E623)/(10*$E623),4),0))))</f>
        <v/>
      </c>
      <c r="AD623" s="13" t="n"/>
      <c r="AE623" s="15">
        <f>IF($B623="","",IF($AD623&lt;&gt;"",$AD623,IF($AC623="","",IF($AC623&lt;=設定!$C$3,0,$AC623))))</f>
        <v/>
      </c>
      <c r="AF623" s="14">
        <f>IF($B623="","",IF(AND($AG623&lt;&gt;"",$AI623="",$AL623=""),"保留中",IF($AL623&lt;&gt;"",IF(N($AE623)&gt;0,"支給済","不支給"),IF($AE623="","要確認",IF($AE623=0,"不支給","未処理")))))</f>
        <v/>
      </c>
      <c r="AG623" s="12" t="n"/>
      <c r="AH623" s="11" t="n"/>
      <c r="AI623" s="11" t="n"/>
      <c r="AJ623" s="11" t="n"/>
      <c r="AK623" s="14">
        <f>IF(AND($AF623="保留中",$AH623&lt;&gt;""),TODAY()-$AH623,"")</f>
        <v/>
      </c>
      <c r="AL623" s="12" t="n"/>
      <c r="AM623" s="14">
        <f>IF($B623="","",IF($AQ623="","対象年月が未入力／","")&amp;IF($B623="","",IF($AP623="","職員マスタに未登録の職員番号／",IF($AA623="","標準報酬月額が未登録／","")&amp;IF(AND($AQ623&lt;&gt;"",OR(AND(INDEX(職員マスタ!$G$6:$G$405,$AP623)&lt;&gt;"",INDEX(職員マスタ!$G$6:$G$405,$AP623)&gt;EOMONTH($AQ623,0)),AND(INDEX(職員マスタ!$H$6:$H$405,$AP623)&lt;&gt;"",INDEX(職員マスタ!$H$6:$H$405,$AP623)&lt;$AQ623))),"対象月が時短期間外／","")&amp;IF(AND(INDEX(職員マスタ!$K$6:$K$405,$AP623)&lt;&gt;"",N($W623)&gt;0,INDEX(職員マスタ!$K$6:$K$405,$AP623)&lt;&gt;$W623),"標準報酬月額が申請書と相違（台帳"&amp;TEXT(INDEX(職員マスタ!$K$6:$K$405,$AP623),"#,##0")&amp;"円／申請書"&amp;TEXT($W623,"#,##0")&amp;"円）／","")&amp;IF(AND(INDEX(職員マスタ!$F$6:$F$405,$AP623)&lt;&gt;"",$AQ623&lt;&gt;"",INDEX(職員マスタ!$F$6:$F$405,$AP623)&lt;$AQ623),"対象月に子が2歳到達済／","")&amp;IF(AND($H623&lt;&gt;"",INDEX(職員マスタ!$B$6:$B$405,$AP623)&lt;&gt;"",SUBSTITUTE(SUBSTITUTE($H623," ","")," ","")&lt;&gt;SUBSTITUTE(SUBSTITUTE(INDEX(職員マスタ!$B$6:$B$405,$AP623)," ","")," ","")),"氏名がマスタと相違／","")&amp;IF(AND($Q623&lt;&gt;"",INDEX(職員マスタ!$E$6:$E$405,$AP623)&lt;&gt;"",$Q623&lt;&gt;INDEX(職員マスタ!$E$6:$E$405,$AP623)),"子の生年月日がマスタと相違／","")&amp;IF(AND($L623&lt;&gt;"",INDEX(職員マスタ!$G$6:$G$405,$AP623)&lt;&gt;"",$L623&lt;&gt;INDEX(職員マスタ!$G$6:$G$405,$AP623)),"時短開始日がマスタと相違／","")&amp;IF(AND($M623&lt;&gt;"",INDEX(職員マスタ!$H$6:$H$405,$AP623)&lt;&gt;"",$M623&lt;&gt;INDEX(職員マスタ!$H$6:$H$405,$AP623)),"時短終了日がマスタと相違／","")))&amp;IF(AND($B623&lt;&gt;"",$E623=""),"報酬額が未入力／","")&amp;IF(N($U623)&gt;0,"申請書に入力エラーが残っています／","")&amp;IF(AND($B623&lt;&gt;"",$AQ623&lt;&gt;""),IF(COUNTIFS($B$6:$B$3005,$B623,$C$6:$C$3005,$C623,$D$6:$D$3005,$D623)&gt;1,"同じ月の請求が重複しています／",""),"")&amp;IF(AND(N($E623)&gt;0,$AB623&lt;&gt;"",$AB623&lt;&gt;"×",$AE623=0,$AD623=""),"計算額が下限以下のため不支給／",""))</f>
        <v/>
      </c>
      <c r="AN623" s="12" t="n"/>
      <c r="AO623" s="14">
        <f>IF($AF623="保留中",COUNTIF($AF$6:$AF623,"保留中"),"")</f>
        <v/>
      </c>
      <c r="AP623" s="14">
        <f>IF($AQ623="","",IF(SUMPRODUCT(MAX((職員マスタ!$A$6:$A$405=$B623)*(((職員マスタ!$G$6:$G$405="")+(職員マスタ!$G$6:$G$405&lt;=EOMONTH($AQ623,0)))&gt;0)*(((職員マスタ!$H$6:$H$405="")+(職員マスタ!$H$6:$H$405&gt;=$AQ623))&gt;0)*(ROW(職員マスタ!$A$6:$A$405)-5)))&gt;0,SUMPRODUCT(MAX((職員マスタ!$A$6:$A$405=$B623)*(((職員マスタ!$G$6:$G$405="")+(職員マスタ!$G$6:$G$405&lt;=EOMONTH($AQ623,0)))&gt;0)*(((職員マスタ!$H$6:$H$405="")+(職員マスタ!$H$6:$H$405&gt;=$AQ623))&gt;0)*(ROW(職員マスタ!$A$6:$A$405)-5))),IFERROR(MATCH($B623,職員マスタ!$A$6:$A$405,0),"")))</f>
        <v/>
      </c>
      <c r="AQ623" s="16">
        <f>IF(OR($B623="",$C623="",$D623=""),"",DATE($C623+2018,$D623,1))</f>
        <v/>
      </c>
    </row>
    <row r="624">
      <c r="A624" s="11" t="n"/>
      <c r="B624" s="12" t="n"/>
      <c r="C624" s="12" t="n"/>
      <c r="D624" s="12" t="n"/>
      <c r="E624" s="13" t="n"/>
      <c r="F624" s="12" t="n"/>
      <c r="G624" s="13" t="n"/>
      <c r="H624" s="12" t="n"/>
      <c r="I624" s="12" t="n"/>
      <c r="J624" s="12" t="n"/>
      <c r="K624" s="12" t="n"/>
      <c r="L624" s="11" t="n"/>
      <c r="M624" s="11" t="n"/>
      <c r="N624" s="11" t="n"/>
      <c r="O624" s="11" t="n"/>
      <c r="P624" s="12" t="n"/>
      <c r="Q624" s="11" t="n"/>
      <c r="R624" s="12" t="n"/>
      <c r="S624" s="11" t="n"/>
      <c r="T624" s="12" t="n"/>
      <c r="U624" s="12" t="n"/>
      <c r="V624" s="12" t="n"/>
      <c r="W624" s="13" t="n"/>
      <c r="X624" s="14">
        <f>IF($AP624="",IF($B624="","",$H624),IF(INDEX(職員マスタ!$B$6:$B$405,$AP624)="",$H624,INDEX(職員マスタ!$B$6:$B$405,$AP624)))</f>
        <v/>
      </c>
      <c r="Y624" s="14">
        <f>IF($AP624="",IF($B624="","",$R624),IF(INDEX(職員マスタ!$C$6:$C$405,$AP624)="",$R624,INDEX(職員マスタ!$C$6:$C$405,$AP624)))</f>
        <v/>
      </c>
      <c r="Z624" s="14">
        <f>IF($AQ624="","","R"&amp;$C624&amp;"."&amp;$D624)</f>
        <v/>
      </c>
      <c r="AA624" s="15">
        <f>IF(IF($AP624="",FALSE,INDEX(職員マスタ!$K$6:$K$405,$AP624)&lt;&gt;""),INDEX(職員マスタ!$K$6:$K$405,$AP624),IF(N($W624)&gt;0,$W624,""))</f>
        <v/>
      </c>
      <c r="AB624" s="14">
        <f>IF(OR($E624="",$AA624=""),"",IF($E624&gt;=$AA624,"×",IF($E624&gt;=$AA624*設定!$C$5,"△","○")))</f>
        <v/>
      </c>
      <c r="AC624" s="15">
        <f>IF($AB624="","",IF($AB624="×",0,IF($AB624="○",ROUNDDOWN($E624*設定!$C$4,0),ROUNDDOWN($E624*ROUND((9*$AA624-9*$E624)/(10*$E624),4),0))))</f>
        <v/>
      </c>
      <c r="AD624" s="13" t="n"/>
      <c r="AE624" s="15">
        <f>IF($B624="","",IF($AD624&lt;&gt;"",$AD624,IF($AC624="","",IF($AC624&lt;=設定!$C$3,0,$AC624))))</f>
        <v/>
      </c>
      <c r="AF624" s="14">
        <f>IF($B624="","",IF(AND($AG624&lt;&gt;"",$AI624="",$AL624=""),"保留中",IF($AL624&lt;&gt;"",IF(N($AE624)&gt;0,"支給済","不支給"),IF($AE624="","要確認",IF($AE624=0,"不支給","未処理")))))</f>
        <v/>
      </c>
      <c r="AG624" s="12" t="n"/>
      <c r="AH624" s="11" t="n"/>
      <c r="AI624" s="11" t="n"/>
      <c r="AJ624" s="11" t="n"/>
      <c r="AK624" s="14">
        <f>IF(AND($AF624="保留中",$AH624&lt;&gt;""),TODAY()-$AH624,"")</f>
        <v/>
      </c>
      <c r="AL624" s="12" t="n"/>
      <c r="AM624" s="14">
        <f>IF($B624="","",IF($AQ624="","対象年月が未入力／","")&amp;IF($B624="","",IF($AP624="","職員マスタに未登録の職員番号／",IF($AA624="","標準報酬月額が未登録／","")&amp;IF(AND($AQ624&lt;&gt;"",OR(AND(INDEX(職員マスタ!$G$6:$G$405,$AP624)&lt;&gt;"",INDEX(職員マスタ!$G$6:$G$405,$AP624)&gt;EOMONTH($AQ624,0)),AND(INDEX(職員マスタ!$H$6:$H$405,$AP624)&lt;&gt;"",INDEX(職員マスタ!$H$6:$H$405,$AP624)&lt;$AQ624))),"対象月が時短期間外／","")&amp;IF(AND(INDEX(職員マスタ!$K$6:$K$405,$AP624)&lt;&gt;"",N($W624)&gt;0,INDEX(職員マスタ!$K$6:$K$405,$AP624)&lt;&gt;$W624),"標準報酬月額が申請書と相違（台帳"&amp;TEXT(INDEX(職員マスタ!$K$6:$K$405,$AP624),"#,##0")&amp;"円／申請書"&amp;TEXT($W624,"#,##0")&amp;"円）／","")&amp;IF(AND(INDEX(職員マスタ!$F$6:$F$405,$AP624)&lt;&gt;"",$AQ624&lt;&gt;"",INDEX(職員マスタ!$F$6:$F$405,$AP624)&lt;$AQ624),"対象月に子が2歳到達済／","")&amp;IF(AND($H624&lt;&gt;"",INDEX(職員マスタ!$B$6:$B$405,$AP624)&lt;&gt;"",SUBSTITUTE(SUBSTITUTE($H624," ","")," ","")&lt;&gt;SUBSTITUTE(SUBSTITUTE(INDEX(職員マスタ!$B$6:$B$405,$AP624)," ","")," ","")),"氏名がマスタと相違／","")&amp;IF(AND($Q624&lt;&gt;"",INDEX(職員マスタ!$E$6:$E$405,$AP624)&lt;&gt;"",$Q624&lt;&gt;INDEX(職員マスタ!$E$6:$E$405,$AP624)),"子の生年月日がマスタと相違／","")&amp;IF(AND($L624&lt;&gt;"",INDEX(職員マスタ!$G$6:$G$405,$AP624)&lt;&gt;"",$L624&lt;&gt;INDEX(職員マスタ!$G$6:$G$405,$AP624)),"時短開始日がマスタと相違／","")&amp;IF(AND($M624&lt;&gt;"",INDEX(職員マスタ!$H$6:$H$405,$AP624)&lt;&gt;"",$M624&lt;&gt;INDEX(職員マスタ!$H$6:$H$405,$AP624)),"時短終了日がマスタと相違／","")))&amp;IF(AND($B624&lt;&gt;"",$E624=""),"報酬額が未入力／","")&amp;IF(N($U624)&gt;0,"申請書に入力エラーが残っています／","")&amp;IF(AND($B624&lt;&gt;"",$AQ624&lt;&gt;""),IF(COUNTIFS($B$6:$B$3005,$B624,$C$6:$C$3005,$C624,$D$6:$D$3005,$D624)&gt;1,"同じ月の請求が重複しています／",""),"")&amp;IF(AND(N($E624)&gt;0,$AB624&lt;&gt;"",$AB624&lt;&gt;"×",$AE624=0,$AD624=""),"計算額が下限以下のため不支給／",""))</f>
        <v/>
      </c>
      <c r="AN624" s="12" t="n"/>
      <c r="AO624" s="14">
        <f>IF($AF624="保留中",COUNTIF($AF$6:$AF624,"保留中"),"")</f>
        <v/>
      </c>
      <c r="AP624" s="14">
        <f>IF($AQ624="","",IF(SUMPRODUCT(MAX((職員マスタ!$A$6:$A$405=$B624)*(((職員マスタ!$G$6:$G$405="")+(職員マスタ!$G$6:$G$405&lt;=EOMONTH($AQ624,0)))&gt;0)*(((職員マスタ!$H$6:$H$405="")+(職員マスタ!$H$6:$H$405&gt;=$AQ624))&gt;0)*(ROW(職員マスタ!$A$6:$A$405)-5)))&gt;0,SUMPRODUCT(MAX((職員マスタ!$A$6:$A$405=$B624)*(((職員マスタ!$G$6:$G$405="")+(職員マスタ!$G$6:$G$405&lt;=EOMONTH($AQ624,0)))&gt;0)*(((職員マスタ!$H$6:$H$405="")+(職員マスタ!$H$6:$H$405&gt;=$AQ624))&gt;0)*(ROW(職員マスタ!$A$6:$A$405)-5))),IFERROR(MATCH($B624,職員マスタ!$A$6:$A$405,0),"")))</f>
        <v/>
      </c>
      <c r="AQ624" s="16">
        <f>IF(OR($B624="",$C624="",$D624=""),"",DATE($C624+2018,$D624,1))</f>
        <v/>
      </c>
    </row>
    <row r="625">
      <c r="A625" s="11" t="n"/>
      <c r="B625" s="12" t="n"/>
      <c r="C625" s="12" t="n"/>
      <c r="D625" s="12" t="n"/>
      <c r="E625" s="13" t="n"/>
      <c r="F625" s="12" t="n"/>
      <c r="G625" s="13" t="n"/>
      <c r="H625" s="12" t="n"/>
      <c r="I625" s="12" t="n"/>
      <c r="J625" s="12" t="n"/>
      <c r="K625" s="12" t="n"/>
      <c r="L625" s="11" t="n"/>
      <c r="M625" s="11" t="n"/>
      <c r="N625" s="11" t="n"/>
      <c r="O625" s="11" t="n"/>
      <c r="P625" s="12" t="n"/>
      <c r="Q625" s="11" t="n"/>
      <c r="R625" s="12" t="n"/>
      <c r="S625" s="11" t="n"/>
      <c r="T625" s="12" t="n"/>
      <c r="U625" s="12" t="n"/>
      <c r="V625" s="12" t="n"/>
      <c r="W625" s="13" t="n"/>
      <c r="X625" s="14">
        <f>IF($AP625="",IF($B625="","",$H625),IF(INDEX(職員マスタ!$B$6:$B$405,$AP625)="",$H625,INDEX(職員マスタ!$B$6:$B$405,$AP625)))</f>
        <v/>
      </c>
      <c r="Y625" s="14">
        <f>IF($AP625="",IF($B625="","",$R625),IF(INDEX(職員マスタ!$C$6:$C$405,$AP625)="",$R625,INDEX(職員マスタ!$C$6:$C$405,$AP625)))</f>
        <v/>
      </c>
      <c r="Z625" s="14">
        <f>IF($AQ625="","","R"&amp;$C625&amp;"."&amp;$D625)</f>
        <v/>
      </c>
      <c r="AA625" s="15">
        <f>IF(IF($AP625="",FALSE,INDEX(職員マスタ!$K$6:$K$405,$AP625)&lt;&gt;""),INDEX(職員マスタ!$K$6:$K$405,$AP625),IF(N($W625)&gt;0,$W625,""))</f>
        <v/>
      </c>
      <c r="AB625" s="14">
        <f>IF(OR($E625="",$AA625=""),"",IF($E625&gt;=$AA625,"×",IF($E625&gt;=$AA625*設定!$C$5,"△","○")))</f>
        <v/>
      </c>
      <c r="AC625" s="15">
        <f>IF($AB625="","",IF($AB625="×",0,IF($AB625="○",ROUNDDOWN($E625*設定!$C$4,0),ROUNDDOWN($E625*ROUND((9*$AA625-9*$E625)/(10*$E625),4),0))))</f>
        <v/>
      </c>
      <c r="AD625" s="13" t="n"/>
      <c r="AE625" s="15">
        <f>IF($B625="","",IF($AD625&lt;&gt;"",$AD625,IF($AC625="","",IF($AC625&lt;=設定!$C$3,0,$AC625))))</f>
        <v/>
      </c>
      <c r="AF625" s="14">
        <f>IF($B625="","",IF(AND($AG625&lt;&gt;"",$AI625="",$AL625=""),"保留中",IF($AL625&lt;&gt;"",IF(N($AE625)&gt;0,"支給済","不支給"),IF($AE625="","要確認",IF($AE625=0,"不支給","未処理")))))</f>
        <v/>
      </c>
      <c r="AG625" s="12" t="n"/>
      <c r="AH625" s="11" t="n"/>
      <c r="AI625" s="11" t="n"/>
      <c r="AJ625" s="11" t="n"/>
      <c r="AK625" s="14">
        <f>IF(AND($AF625="保留中",$AH625&lt;&gt;""),TODAY()-$AH625,"")</f>
        <v/>
      </c>
      <c r="AL625" s="12" t="n"/>
      <c r="AM625" s="14">
        <f>IF($B625="","",IF($AQ625="","対象年月が未入力／","")&amp;IF($B625="","",IF($AP625="","職員マスタに未登録の職員番号／",IF($AA625="","標準報酬月額が未登録／","")&amp;IF(AND($AQ625&lt;&gt;"",OR(AND(INDEX(職員マスタ!$G$6:$G$405,$AP625)&lt;&gt;"",INDEX(職員マスタ!$G$6:$G$405,$AP625)&gt;EOMONTH($AQ625,0)),AND(INDEX(職員マスタ!$H$6:$H$405,$AP625)&lt;&gt;"",INDEX(職員マスタ!$H$6:$H$405,$AP625)&lt;$AQ625))),"対象月が時短期間外／","")&amp;IF(AND(INDEX(職員マスタ!$K$6:$K$405,$AP625)&lt;&gt;"",N($W625)&gt;0,INDEX(職員マスタ!$K$6:$K$405,$AP625)&lt;&gt;$W625),"標準報酬月額が申請書と相違（台帳"&amp;TEXT(INDEX(職員マスタ!$K$6:$K$405,$AP625),"#,##0")&amp;"円／申請書"&amp;TEXT($W625,"#,##0")&amp;"円）／","")&amp;IF(AND(INDEX(職員マスタ!$F$6:$F$405,$AP625)&lt;&gt;"",$AQ625&lt;&gt;"",INDEX(職員マスタ!$F$6:$F$405,$AP625)&lt;$AQ625),"対象月に子が2歳到達済／","")&amp;IF(AND($H625&lt;&gt;"",INDEX(職員マスタ!$B$6:$B$405,$AP625)&lt;&gt;"",SUBSTITUTE(SUBSTITUTE($H625," ","")," ","")&lt;&gt;SUBSTITUTE(SUBSTITUTE(INDEX(職員マスタ!$B$6:$B$405,$AP625)," ","")," ","")),"氏名がマスタと相違／","")&amp;IF(AND($Q625&lt;&gt;"",INDEX(職員マスタ!$E$6:$E$405,$AP625)&lt;&gt;"",$Q625&lt;&gt;INDEX(職員マスタ!$E$6:$E$405,$AP625)),"子の生年月日がマスタと相違／","")&amp;IF(AND($L625&lt;&gt;"",INDEX(職員マスタ!$G$6:$G$405,$AP625)&lt;&gt;"",$L625&lt;&gt;INDEX(職員マスタ!$G$6:$G$405,$AP625)),"時短開始日がマスタと相違／","")&amp;IF(AND($M625&lt;&gt;"",INDEX(職員マスタ!$H$6:$H$405,$AP625)&lt;&gt;"",$M625&lt;&gt;INDEX(職員マスタ!$H$6:$H$405,$AP625)),"時短終了日がマスタと相違／","")))&amp;IF(AND($B625&lt;&gt;"",$E625=""),"報酬額が未入力／","")&amp;IF(N($U625)&gt;0,"申請書に入力エラーが残っています／","")&amp;IF(AND($B625&lt;&gt;"",$AQ625&lt;&gt;""),IF(COUNTIFS($B$6:$B$3005,$B625,$C$6:$C$3005,$C625,$D$6:$D$3005,$D625)&gt;1,"同じ月の請求が重複しています／",""),"")&amp;IF(AND(N($E625)&gt;0,$AB625&lt;&gt;"",$AB625&lt;&gt;"×",$AE625=0,$AD625=""),"計算額が下限以下のため不支給／",""))</f>
        <v/>
      </c>
      <c r="AN625" s="12" t="n"/>
      <c r="AO625" s="14">
        <f>IF($AF625="保留中",COUNTIF($AF$6:$AF625,"保留中"),"")</f>
        <v/>
      </c>
      <c r="AP625" s="14">
        <f>IF($AQ625="","",IF(SUMPRODUCT(MAX((職員マスタ!$A$6:$A$405=$B625)*(((職員マスタ!$G$6:$G$405="")+(職員マスタ!$G$6:$G$405&lt;=EOMONTH($AQ625,0)))&gt;0)*(((職員マスタ!$H$6:$H$405="")+(職員マスタ!$H$6:$H$405&gt;=$AQ625))&gt;0)*(ROW(職員マスタ!$A$6:$A$405)-5)))&gt;0,SUMPRODUCT(MAX((職員マスタ!$A$6:$A$405=$B625)*(((職員マスタ!$G$6:$G$405="")+(職員マスタ!$G$6:$G$405&lt;=EOMONTH($AQ625,0)))&gt;0)*(((職員マスタ!$H$6:$H$405="")+(職員マスタ!$H$6:$H$405&gt;=$AQ625))&gt;0)*(ROW(職員マスタ!$A$6:$A$405)-5))),IFERROR(MATCH($B625,職員マスタ!$A$6:$A$405,0),"")))</f>
        <v/>
      </c>
      <c r="AQ625" s="16">
        <f>IF(OR($B625="",$C625="",$D625=""),"",DATE($C625+2018,$D625,1))</f>
        <v/>
      </c>
    </row>
    <row r="626">
      <c r="A626" s="11" t="n"/>
      <c r="B626" s="12" t="n"/>
      <c r="C626" s="12" t="n"/>
      <c r="D626" s="12" t="n"/>
      <c r="E626" s="13" t="n"/>
      <c r="F626" s="12" t="n"/>
      <c r="G626" s="13" t="n"/>
      <c r="H626" s="12" t="n"/>
      <c r="I626" s="12" t="n"/>
      <c r="J626" s="12" t="n"/>
      <c r="K626" s="12" t="n"/>
      <c r="L626" s="11" t="n"/>
      <c r="M626" s="11" t="n"/>
      <c r="N626" s="11" t="n"/>
      <c r="O626" s="11" t="n"/>
      <c r="P626" s="12" t="n"/>
      <c r="Q626" s="11" t="n"/>
      <c r="R626" s="12" t="n"/>
      <c r="S626" s="11" t="n"/>
      <c r="T626" s="12" t="n"/>
      <c r="U626" s="12" t="n"/>
      <c r="V626" s="12" t="n"/>
      <c r="W626" s="13" t="n"/>
      <c r="X626" s="14">
        <f>IF($AP626="",IF($B626="","",$H626),IF(INDEX(職員マスタ!$B$6:$B$405,$AP626)="",$H626,INDEX(職員マスタ!$B$6:$B$405,$AP626)))</f>
        <v/>
      </c>
      <c r="Y626" s="14">
        <f>IF($AP626="",IF($B626="","",$R626),IF(INDEX(職員マスタ!$C$6:$C$405,$AP626)="",$R626,INDEX(職員マスタ!$C$6:$C$405,$AP626)))</f>
        <v/>
      </c>
      <c r="Z626" s="14">
        <f>IF($AQ626="","","R"&amp;$C626&amp;"."&amp;$D626)</f>
        <v/>
      </c>
      <c r="AA626" s="15">
        <f>IF(IF($AP626="",FALSE,INDEX(職員マスタ!$K$6:$K$405,$AP626)&lt;&gt;""),INDEX(職員マスタ!$K$6:$K$405,$AP626),IF(N($W626)&gt;0,$W626,""))</f>
        <v/>
      </c>
      <c r="AB626" s="14">
        <f>IF(OR($E626="",$AA626=""),"",IF($E626&gt;=$AA626,"×",IF($E626&gt;=$AA626*設定!$C$5,"△","○")))</f>
        <v/>
      </c>
      <c r="AC626" s="15">
        <f>IF($AB626="","",IF($AB626="×",0,IF($AB626="○",ROUNDDOWN($E626*設定!$C$4,0),ROUNDDOWN($E626*ROUND((9*$AA626-9*$E626)/(10*$E626),4),0))))</f>
        <v/>
      </c>
      <c r="AD626" s="13" t="n"/>
      <c r="AE626" s="15">
        <f>IF($B626="","",IF($AD626&lt;&gt;"",$AD626,IF($AC626="","",IF($AC626&lt;=設定!$C$3,0,$AC626))))</f>
        <v/>
      </c>
      <c r="AF626" s="14">
        <f>IF($B626="","",IF(AND($AG626&lt;&gt;"",$AI626="",$AL626=""),"保留中",IF($AL626&lt;&gt;"",IF(N($AE626)&gt;0,"支給済","不支給"),IF($AE626="","要確認",IF($AE626=0,"不支給","未処理")))))</f>
        <v/>
      </c>
      <c r="AG626" s="12" t="n"/>
      <c r="AH626" s="11" t="n"/>
      <c r="AI626" s="11" t="n"/>
      <c r="AJ626" s="11" t="n"/>
      <c r="AK626" s="14">
        <f>IF(AND($AF626="保留中",$AH626&lt;&gt;""),TODAY()-$AH626,"")</f>
        <v/>
      </c>
      <c r="AL626" s="12" t="n"/>
      <c r="AM626" s="14">
        <f>IF($B626="","",IF($AQ626="","対象年月が未入力／","")&amp;IF($B626="","",IF($AP626="","職員マスタに未登録の職員番号／",IF($AA626="","標準報酬月額が未登録／","")&amp;IF(AND($AQ626&lt;&gt;"",OR(AND(INDEX(職員マスタ!$G$6:$G$405,$AP626)&lt;&gt;"",INDEX(職員マスタ!$G$6:$G$405,$AP626)&gt;EOMONTH($AQ626,0)),AND(INDEX(職員マスタ!$H$6:$H$405,$AP626)&lt;&gt;"",INDEX(職員マスタ!$H$6:$H$405,$AP626)&lt;$AQ626))),"対象月が時短期間外／","")&amp;IF(AND(INDEX(職員マスタ!$K$6:$K$405,$AP626)&lt;&gt;"",N($W626)&gt;0,INDEX(職員マスタ!$K$6:$K$405,$AP626)&lt;&gt;$W626),"標準報酬月額が申請書と相違（台帳"&amp;TEXT(INDEX(職員マスタ!$K$6:$K$405,$AP626),"#,##0")&amp;"円／申請書"&amp;TEXT($W626,"#,##0")&amp;"円）／","")&amp;IF(AND(INDEX(職員マスタ!$F$6:$F$405,$AP626)&lt;&gt;"",$AQ626&lt;&gt;"",INDEX(職員マスタ!$F$6:$F$405,$AP626)&lt;$AQ626),"対象月に子が2歳到達済／","")&amp;IF(AND($H626&lt;&gt;"",INDEX(職員マスタ!$B$6:$B$405,$AP626)&lt;&gt;"",SUBSTITUTE(SUBSTITUTE($H626," ","")," ","")&lt;&gt;SUBSTITUTE(SUBSTITUTE(INDEX(職員マスタ!$B$6:$B$405,$AP626)," ","")," ","")),"氏名がマスタと相違／","")&amp;IF(AND($Q626&lt;&gt;"",INDEX(職員マスタ!$E$6:$E$405,$AP626)&lt;&gt;"",$Q626&lt;&gt;INDEX(職員マスタ!$E$6:$E$405,$AP626)),"子の生年月日がマスタと相違／","")&amp;IF(AND($L626&lt;&gt;"",INDEX(職員マスタ!$G$6:$G$405,$AP626)&lt;&gt;"",$L626&lt;&gt;INDEX(職員マスタ!$G$6:$G$405,$AP626)),"時短開始日がマスタと相違／","")&amp;IF(AND($M626&lt;&gt;"",INDEX(職員マスタ!$H$6:$H$405,$AP626)&lt;&gt;"",$M626&lt;&gt;INDEX(職員マスタ!$H$6:$H$405,$AP626)),"時短終了日がマスタと相違／","")))&amp;IF(AND($B626&lt;&gt;"",$E626=""),"報酬額が未入力／","")&amp;IF(N($U626)&gt;0,"申請書に入力エラーが残っています／","")&amp;IF(AND($B626&lt;&gt;"",$AQ626&lt;&gt;""),IF(COUNTIFS($B$6:$B$3005,$B626,$C$6:$C$3005,$C626,$D$6:$D$3005,$D626)&gt;1,"同じ月の請求が重複しています／",""),"")&amp;IF(AND(N($E626)&gt;0,$AB626&lt;&gt;"",$AB626&lt;&gt;"×",$AE626=0,$AD626=""),"計算額が下限以下のため不支給／",""))</f>
        <v/>
      </c>
      <c r="AN626" s="12" t="n"/>
      <c r="AO626" s="14">
        <f>IF($AF626="保留中",COUNTIF($AF$6:$AF626,"保留中"),"")</f>
        <v/>
      </c>
      <c r="AP626" s="14">
        <f>IF($AQ626="","",IF(SUMPRODUCT(MAX((職員マスタ!$A$6:$A$405=$B626)*(((職員マスタ!$G$6:$G$405="")+(職員マスタ!$G$6:$G$405&lt;=EOMONTH($AQ626,0)))&gt;0)*(((職員マスタ!$H$6:$H$405="")+(職員マスタ!$H$6:$H$405&gt;=$AQ626))&gt;0)*(ROW(職員マスタ!$A$6:$A$405)-5)))&gt;0,SUMPRODUCT(MAX((職員マスタ!$A$6:$A$405=$B626)*(((職員マスタ!$G$6:$G$405="")+(職員マスタ!$G$6:$G$405&lt;=EOMONTH($AQ626,0)))&gt;0)*(((職員マスタ!$H$6:$H$405="")+(職員マスタ!$H$6:$H$405&gt;=$AQ626))&gt;0)*(ROW(職員マスタ!$A$6:$A$405)-5))),IFERROR(MATCH($B626,職員マスタ!$A$6:$A$405,0),"")))</f>
        <v/>
      </c>
      <c r="AQ626" s="16">
        <f>IF(OR($B626="",$C626="",$D626=""),"",DATE($C626+2018,$D626,1))</f>
        <v/>
      </c>
    </row>
    <row r="627">
      <c r="A627" s="11" t="n"/>
      <c r="B627" s="12" t="n"/>
      <c r="C627" s="12" t="n"/>
      <c r="D627" s="12" t="n"/>
      <c r="E627" s="13" t="n"/>
      <c r="F627" s="12" t="n"/>
      <c r="G627" s="13" t="n"/>
      <c r="H627" s="12" t="n"/>
      <c r="I627" s="12" t="n"/>
      <c r="J627" s="12" t="n"/>
      <c r="K627" s="12" t="n"/>
      <c r="L627" s="11" t="n"/>
      <c r="M627" s="11" t="n"/>
      <c r="N627" s="11" t="n"/>
      <c r="O627" s="11" t="n"/>
      <c r="P627" s="12" t="n"/>
      <c r="Q627" s="11" t="n"/>
      <c r="R627" s="12" t="n"/>
      <c r="S627" s="11" t="n"/>
      <c r="T627" s="12" t="n"/>
      <c r="U627" s="12" t="n"/>
      <c r="V627" s="12" t="n"/>
      <c r="W627" s="13" t="n"/>
      <c r="X627" s="14">
        <f>IF($AP627="",IF($B627="","",$H627),IF(INDEX(職員マスタ!$B$6:$B$405,$AP627)="",$H627,INDEX(職員マスタ!$B$6:$B$405,$AP627)))</f>
        <v/>
      </c>
      <c r="Y627" s="14">
        <f>IF($AP627="",IF($B627="","",$R627),IF(INDEX(職員マスタ!$C$6:$C$405,$AP627)="",$R627,INDEX(職員マスタ!$C$6:$C$405,$AP627)))</f>
        <v/>
      </c>
      <c r="Z627" s="14">
        <f>IF($AQ627="","","R"&amp;$C627&amp;"."&amp;$D627)</f>
        <v/>
      </c>
      <c r="AA627" s="15">
        <f>IF(IF($AP627="",FALSE,INDEX(職員マスタ!$K$6:$K$405,$AP627)&lt;&gt;""),INDEX(職員マスタ!$K$6:$K$405,$AP627),IF(N($W627)&gt;0,$W627,""))</f>
        <v/>
      </c>
      <c r="AB627" s="14">
        <f>IF(OR($E627="",$AA627=""),"",IF($E627&gt;=$AA627,"×",IF($E627&gt;=$AA627*設定!$C$5,"△","○")))</f>
        <v/>
      </c>
      <c r="AC627" s="15">
        <f>IF($AB627="","",IF($AB627="×",0,IF($AB627="○",ROUNDDOWN($E627*設定!$C$4,0),ROUNDDOWN($E627*ROUND((9*$AA627-9*$E627)/(10*$E627),4),0))))</f>
        <v/>
      </c>
      <c r="AD627" s="13" t="n"/>
      <c r="AE627" s="15">
        <f>IF($B627="","",IF($AD627&lt;&gt;"",$AD627,IF($AC627="","",IF($AC627&lt;=設定!$C$3,0,$AC627))))</f>
        <v/>
      </c>
      <c r="AF627" s="14">
        <f>IF($B627="","",IF(AND($AG627&lt;&gt;"",$AI627="",$AL627=""),"保留中",IF($AL627&lt;&gt;"",IF(N($AE627)&gt;0,"支給済","不支給"),IF($AE627="","要確認",IF($AE627=0,"不支給","未処理")))))</f>
        <v/>
      </c>
      <c r="AG627" s="12" t="n"/>
      <c r="AH627" s="11" t="n"/>
      <c r="AI627" s="11" t="n"/>
      <c r="AJ627" s="11" t="n"/>
      <c r="AK627" s="14">
        <f>IF(AND($AF627="保留中",$AH627&lt;&gt;""),TODAY()-$AH627,"")</f>
        <v/>
      </c>
      <c r="AL627" s="12" t="n"/>
      <c r="AM627" s="14">
        <f>IF($B627="","",IF($AQ627="","対象年月が未入力／","")&amp;IF($B627="","",IF($AP627="","職員マスタに未登録の職員番号／",IF($AA627="","標準報酬月額が未登録／","")&amp;IF(AND($AQ627&lt;&gt;"",OR(AND(INDEX(職員マスタ!$G$6:$G$405,$AP627)&lt;&gt;"",INDEX(職員マスタ!$G$6:$G$405,$AP627)&gt;EOMONTH($AQ627,0)),AND(INDEX(職員マスタ!$H$6:$H$405,$AP627)&lt;&gt;"",INDEX(職員マスタ!$H$6:$H$405,$AP627)&lt;$AQ627))),"対象月が時短期間外／","")&amp;IF(AND(INDEX(職員マスタ!$K$6:$K$405,$AP627)&lt;&gt;"",N($W627)&gt;0,INDEX(職員マスタ!$K$6:$K$405,$AP627)&lt;&gt;$W627),"標準報酬月額が申請書と相違（台帳"&amp;TEXT(INDEX(職員マスタ!$K$6:$K$405,$AP627),"#,##0")&amp;"円／申請書"&amp;TEXT($W627,"#,##0")&amp;"円）／","")&amp;IF(AND(INDEX(職員マスタ!$F$6:$F$405,$AP627)&lt;&gt;"",$AQ627&lt;&gt;"",INDEX(職員マスタ!$F$6:$F$405,$AP627)&lt;$AQ627),"対象月に子が2歳到達済／","")&amp;IF(AND($H627&lt;&gt;"",INDEX(職員マスタ!$B$6:$B$405,$AP627)&lt;&gt;"",SUBSTITUTE(SUBSTITUTE($H627," ","")," ","")&lt;&gt;SUBSTITUTE(SUBSTITUTE(INDEX(職員マスタ!$B$6:$B$405,$AP627)," ","")," ","")),"氏名がマスタと相違／","")&amp;IF(AND($Q627&lt;&gt;"",INDEX(職員マスタ!$E$6:$E$405,$AP627)&lt;&gt;"",$Q627&lt;&gt;INDEX(職員マスタ!$E$6:$E$405,$AP627)),"子の生年月日がマスタと相違／","")&amp;IF(AND($L627&lt;&gt;"",INDEX(職員マスタ!$G$6:$G$405,$AP627)&lt;&gt;"",$L627&lt;&gt;INDEX(職員マスタ!$G$6:$G$405,$AP627)),"時短開始日がマスタと相違／","")&amp;IF(AND($M627&lt;&gt;"",INDEX(職員マスタ!$H$6:$H$405,$AP627)&lt;&gt;"",$M627&lt;&gt;INDEX(職員マスタ!$H$6:$H$405,$AP627)),"時短終了日がマスタと相違／","")))&amp;IF(AND($B627&lt;&gt;"",$E627=""),"報酬額が未入力／","")&amp;IF(N($U627)&gt;0,"申請書に入力エラーが残っています／","")&amp;IF(AND($B627&lt;&gt;"",$AQ627&lt;&gt;""),IF(COUNTIFS($B$6:$B$3005,$B627,$C$6:$C$3005,$C627,$D$6:$D$3005,$D627)&gt;1,"同じ月の請求が重複しています／",""),"")&amp;IF(AND(N($E627)&gt;0,$AB627&lt;&gt;"",$AB627&lt;&gt;"×",$AE627=0,$AD627=""),"計算額が下限以下のため不支給／",""))</f>
        <v/>
      </c>
      <c r="AN627" s="12" t="n"/>
      <c r="AO627" s="14">
        <f>IF($AF627="保留中",COUNTIF($AF$6:$AF627,"保留中"),"")</f>
        <v/>
      </c>
      <c r="AP627" s="14">
        <f>IF($AQ627="","",IF(SUMPRODUCT(MAX((職員マスタ!$A$6:$A$405=$B627)*(((職員マスタ!$G$6:$G$405="")+(職員マスタ!$G$6:$G$405&lt;=EOMONTH($AQ627,0)))&gt;0)*(((職員マスタ!$H$6:$H$405="")+(職員マスタ!$H$6:$H$405&gt;=$AQ627))&gt;0)*(ROW(職員マスタ!$A$6:$A$405)-5)))&gt;0,SUMPRODUCT(MAX((職員マスタ!$A$6:$A$405=$B627)*(((職員マスタ!$G$6:$G$405="")+(職員マスタ!$G$6:$G$405&lt;=EOMONTH($AQ627,0)))&gt;0)*(((職員マスタ!$H$6:$H$405="")+(職員マスタ!$H$6:$H$405&gt;=$AQ627))&gt;0)*(ROW(職員マスタ!$A$6:$A$405)-5))),IFERROR(MATCH($B627,職員マスタ!$A$6:$A$405,0),"")))</f>
        <v/>
      </c>
      <c r="AQ627" s="16">
        <f>IF(OR($B627="",$C627="",$D627=""),"",DATE($C627+2018,$D627,1))</f>
        <v/>
      </c>
    </row>
    <row r="628">
      <c r="A628" s="11" t="n"/>
      <c r="B628" s="12" t="n"/>
      <c r="C628" s="12" t="n"/>
      <c r="D628" s="12" t="n"/>
      <c r="E628" s="13" t="n"/>
      <c r="F628" s="12" t="n"/>
      <c r="G628" s="13" t="n"/>
      <c r="H628" s="12" t="n"/>
      <c r="I628" s="12" t="n"/>
      <c r="J628" s="12" t="n"/>
      <c r="K628" s="12" t="n"/>
      <c r="L628" s="11" t="n"/>
      <c r="M628" s="11" t="n"/>
      <c r="N628" s="11" t="n"/>
      <c r="O628" s="11" t="n"/>
      <c r="P628" s="12" t="n"/>
      <c r="Q628" s="11" t="n"/>
      <c r="R628" s="12" t="n"/>
      <c r="S628" s="11" t="n"/>
      <c r="T628" s="12" t="n"/>
      <c r="U628" s="12" t="n"/>
      <c r="V628" s="12" t="n"/>
      <c r="W628" s="13" t="n"/>
      <c r="X628" s="14">
        <f>IF($AP628="",IF($B628="","",$H628),IF(INDEX(職員マスタ!$B$6:$B$405,$AP628)="",$H628,INDEX(職員マスタ!$B$6:$B$405,$AP628)))</f>
        <v/>
      </c>
      <c r="Y628" s="14">
        <f>IF($AP628="",IF($B628="","",$R628),IF(INDEX(職員マスタ!$C$6:$C$405,$AP628)="",$R628,INDEX(職員マスタ!$C$6:$C$405,$AP628)))</f>
        <v/>
      </c>
      <c r="Z628" s="14">
        <f>IF($AQ628="","","R"&amp;$C628&amp;"."&amp;$D628)</f>
        <v/>
      </c>
      <c r="AA628" s="15">
        <f>IF(IF($AP628="",FALSE,INDEX(職員マスタ!$K$6:$K$405,$AP628)&lt;&gt;""),INDEX(職員マスタ!$K$6:$K$405,$AP628),IF(N($W628)&gt;0,$W628,""))</f>
        <v/>
      </c>
      <c r="AB628" s="14">
        <f>IF(OR($E628="",$AA628=""),"",IF($E628&gt;=$AA628,"×",IF($E628&gt;=$AA628*設定!$C$5,"△","○")))</f>
        <v/>
      </c>
      <c r="AC628" s="15">
        <f>IF($AB628="","",IF($AB628="×",0,IF($AB628="○",ROUNDDOWN($E628*設定!$C$4,0),ROUNDDOWN($E628*ROUND((9*$AA628-9*$E628)/(10*$E628),4),0))))</f>
        <v/>
      </c>
      <c r="AD628" s="13" t="n"/>
      <c r="AE628" s="15">
        <f>IF($B628="","",IF($AD628&lt;&gt;"",$AD628,IF($AC628="","",IF($AC628&lt;=設定!$C$3,0,$AC628))))</f>
        <v/>
      </c>
      <c r="AF628" s="14">
        <f>IF($B628="","",IF(AND($AG628&lt;&gt;"",$AI628="",$AL628=""),"保留中",IF($AL628&lt;&gt;"",IF(N($AE628)&gt;0,"支給済","不支給"),IF($AE628="","要確認",IF($AE628=0,"不支給","未処理")))))</f>
        <v/>
      </c>
      <c r="AG628" s="12" t="n"/>
      <c r="AH628" s="11" t="n"/>
      <c r="AI628" s="11" t="n"/>
      <c r="AJ628" s="11" t="n"/>
      <c r="AK628" s="14">
        <f>IF(AND($AF628="保留中",$AH628&lt;&gt;""),TODAY()-$AH628,"")</f>
        <v/>
      </c>
      <c r="AL628" s="12" t="n"/>
      <c r="AM628" s="14">
        <f>IF($B628="","",IF($AQ628="","対象年月が未入力／","")&amp;IF($B628="","",IF($AP628="","職員マスタに未登録の職員番号／",IF($AA628="","標準報酬月額が未登録／","")&amp;IF(AND($AQ628&lt;&gt;"",OR(AND(INDEX(職員マスタ!$G$6:$G$405,$AP628)&lt;&gt;"",INDEX(職員マスタ!$G$6:$G$405,$AP628)&gt;EOMONTH($AQ628,0)),AND(INDEX(職員マスタ!$H$6:$H$405,$AP628)&lt;&gt;"",INDEX(職員マスタ!$H$6:$H$405,$AP628)&lt;$AQ628))),"対象月が時短期間外／","")&amp;IF(AND(INDEX(職員マスタ!$K$6:$K$405,$AP628)&lt;&gt;"",N($W628)&gt;0,INDEX(職員マスタ!$K$6:$K$405,$AP628)&lt;&gt;$W628),"標準報酬月額が申請書と相違（台帳"&amp;TEXT(INDEX(職員マスタ!$K$6:$K$405,$AP628),"#,##0")&amp;"円／申請書"&amp;TEXT($W628,"#,##0")&amp;"円）／","")&amp;IF(AND(INDEX(職員マスタ!$F$6:$F$405,$AP628)&lt;&gt;"",$AQ628&lt;&gt;"",INDEX(職員マスタ!$F$6:$F$405,$AP628)&lt;$AQ628),"対象月に子が2歳到達済／","")&amp;IF(AND($H628&lt;&gt;"",INDEX(職員マスタ!$B$6:$B$405,$AP628)&lt;&gt;"",SUBSTITUTE(SUBSTITUTE($H628," ","")," ","")&lt;&gt;SUBSTITUTE(SUBSTITUTE(INDEX(職員マスタ!$B$6:$B$405,$AP628)," ","")," ","")),"氏名がマスタと相違／","")&amp;IF(AND($Q628&lt;&gt;"",INDEX(職員マスタ!$E$6:$E$405,$AP628)&lt;&gt;"",$Q628&lt;&gt;INDEX(職員マスタ!$E$6:$E$405,$AP628)),"子の生年月日がマスタと相違／","")&amp;IF(AND($L628&lt;&gt;"",INDEX(職員マスタ!$G$6:$G$405,$AP628)&lt;&gt;"",$L628&lt;&gt;INDEX(職員マスタ!$G$6:$G$405,$AP628)),"時短開始日がマスタと相違／","")&amp;IF(AND($M628&lt;&gt;"",INDEX(職員マスタ!$H$6:$H$405,$AP628)&lt;&gt;"",$M628&lt;&gt;INDEX(職員マスタ!$H$6:$H$405,$AP628)),"時短終了日がマスタと相違／","")))&amp;IF(AND($B628&lt;&gt;"",$E628=""),"報酬額が未入力／","")&amp;IF(N($U628)&gt;0,"申請書に入力エラーが残っています／","")&amp;IF(AND($B628&lt;&gt;"",$AQ628&lt;&gt;""),IF(COUNTIFS($B$6:$B$3005,$B628,$C$6:$C$3005,$C628,$D$6:$D$3005,$D628)&gt;1,"同じ月の請求が重複しています／",""),"")&amp;IF(AND(N($E628)&gt;0,$AB628&lt;&gt;"",$AB628&lt;&gt;"×",$AE628=0,$AD628=""),"計算額が下限以下のため不支給／",""))</f>
        <v/>
      </c>
      <c r="AN628" s="12" t="n"/>
      <c r="AO628" s="14">
        <f>IF($AF628="保留中",COUNTIF($AF$6:$AF628,"保留中"),"")</f>
        <v/>
      </c>
      <c r="AP628" s="14">
        <f>IF($AQ628="","",IF(SUMPRODUCT(MAX((職員マスタ!$A$6:$A$405=$B628)*(((職員マスタ!$G$6:$G$405="")+(職員マスタ!$G$6:$G$405&lt;=EOMONTH($AQ628,0)))&gt;0)*(((職員マスタ!$H$6:$H$405="")+(職員マスタ!$H$6:$H$405&gt;=$AQ628))&gt;0)*(ROW(職員マスタ!$A$6:$A$405)-5)))&gt;0,SUMPRODUCT(MAX((職員マスタ!$A$6:$A$405=$B628)*(((職員マスタ!$G$6:$G$405="")+(職員マスタ!$G$6:$G$405&lt;=EOMONTH($AQ628,0)))&gt;0)*(((職員マスタ!$H$6:$H$405="")+(職員マスタ!$H$6:$H$405&gt;=$AQ628))&gt;0)*(ROW(職員マスタ!$A$6:$A$405)-5))),IFERROR(MATCH($B628,職員マスタ!$A$6:$A$405,0),"")))</f>
        <v/>
      </c>
      <c r="AQ628" s="16">
        <f>IF(OR($B628="",$C628="",$D628=""),"",DATE($C628+2018,$D628,1))</f>
        <v/>
      </c>
    </row>
    <row r="629">
      <c r="A629" s="11" t="n"/>
      <c r="B629" s="12" t="n"/>
      <c r="C629" s="12" t="n"/>
      <c r="D629" s="12" t="n"/>
      <c r="E629" s="13" t="n"/>
      <c r="F629" s="12" t="n"/>
      <c r="G629" s="13" t="n"/>
      <c r="H629" s="12" t="n"/>
      <c r="I629" s="12" t="n"/>
      <c r="J629" s="12" t="n"/>
      <c r="K629" s="12" t="n"/>
      <c r="L629" s="11" t="n"/>
      <c r="M629" s="11" t="n"/>
      <c r="N629" s="11" t="n"/>
      <c r="O629" s="11" t="n"/>
      <c r="P629" s="12" t="n"/>
      <c r="Q629" s="11" t="n"/>
      <c r="R629" s="12" t="n"/>
      <c r="S629" s="11" t="n"/>
      <c r="T629" s="12" t="n"/>
      <c r="U629" s="12" t="n"/>
      <c r="V629" s="12" t="n"/>
      <c r="W629" s="13" t="n"/>
      <c r="X629" s="14">
        <f>IF($AP629="",IF($B629="","",$H629),IF(INDEX(職員マスタ!$B$6:$B$405,$AP629)="",$H629,INDEX(職員マスタ!$B$6:$B$405,$AP629)))</f>
        <v/>
      </c>
      <c r="Y629" s="14">
        <f>IF($AP629="",IF($B629="","",$R629),IF(INDEX(職員マスタ!$C$6:$C$405,$AP629)="",$R629,INDEX(職員マスタ!$C$6:$C$405,$AP629)))</f>
        <v/>
      </c>
      <c r="Z629" s="14">
        <f>IF($AQ629="","","R"&amp;$C629&amp;"."&amp;$D629)</f>
        <v/>
      </c>
      <c r="AA629" s="15">
        <f>IF(IF($AP629="",FALSE,INDEX(職員マスタ!$K$6:$K$405,$AP629)&lt;&gt;""),INDEX(職員マスタ!$K$6:$K$405,$AP629),IF(N($W629)&gt;0,$W629,""))</f>
        <v/>
      </c>
      <c r="AB629" s="14">
        <f>IF(OR($E629="",$AA629=""),"",IF($E629&gt;=$AA629,"×",IF($E629&gt;=$AA629*設定!$C$5,"△","○")))</f>
        <v/>
      </c>
      <c r="AC629" s="15">
        <f>IF($AB629="","",IF($AB629="×",0,IF($AB629="○",ROUNDDOWN($E629*設定!$C$4,0),ROUNDDOWN($E629*ROUND((9*$AA629-9*$E629)/(10*$E629),4),0))))</f>
        <v/>
      </c>
      <c r="AD629" s="13" t="n"/>
      <c r="AE629" s="15">
        <f>IF($B629="","",IF($AD629&lt;&gt;"",$AD629,IF($AC629="","",IF($AC629&lt;=設定!$C$3,0,$AC629))))</f>
        <v/>
      </c>
      <c r="AF629" s="14">
        <f>IF($B629="","",IF(AND($AG629&lt;&gt;"",$AI629="",$AL629=""),"保留中",IF($AL629&lt;&gt;"",IF(N($AE629)&gt;0,"支給済","不支給"),IF($AE629="","要確認",IF($AE629=0,"不支給","未処理")))))</f>
        <v/>
      </c>
      <c r="AG629" s="12" t="n"/>
      <c r="AH629" s="11" t="n"/>
      <c r="AI629" s="11" t="n"/>
      <c r="AJ629" s="11" t="n"/>
      <c r="AK629" s="14">
        <f>IF(AND($AF629="保留中",$AH629&lt;&gt;""),TODAY()-$AH629,"")</f>
        <v/>
      </c>
      <c r="AL629" s="12" t="n"/>
      <c r="AM629" s="14">
        <f>IF($B629="","",IF($AQ629="","対象年月が未入力／","")&amp;IF($B629="","",IF($AP629="","職員マスタに未登録の職員番号／",IF($AA629="","標準報酬月額が未登録／","")&amp;IF(AND($AQ629&lt;&gt;"",OR(AND(INDEX(職員マスタ!$G$6:$G$405,$AP629)&lt;&gt;"",INDEX(職員マスタ!$G$6:$G$405,$AP629)&gt;EOMONTH($AQ629,0)),AND(INDEX(職員マスタ!$H$6:$H$405,$AP629)&lt;&gt;"",INDEX(職員マスタ!$H$6:$H$405,$AP629)&lt;$AQ629))),"対象月が時短期間外／","")&amp;IF(AND(INDEX(職員マスタ!$K$6:$K$405,$AP629)&lt;&gt;"",N($W629)&gt;0,INDEX(職員マスタ!$K$6:$K$405,$AP629)&lt;&gt;$W629),"標準報酬月額が申請書と相違（台帳"&amp;TEXT(INDEX(職員マスタ!$K$6:$K$405,$AP629),"#,##0")&amp;"円／申請書"&amp;TEXT($W629,"#,##0")&amp;"円）／","")&amp;IF(AND(INDEX(職員マスタ!$F$6:$F$405,$AP629)&lt;&gt;"",$AQ629&lt;&gt;"",INDEX(職員マスタ!$F$6:$F$405,$AP629)&lt;$AQ629),"対象月に子が2歳到達済／","")&amp;IF(AND($H629&lt;&gt;"",INDEX(職員マスタ!$B$6:$B$405,$AP629)&lt;&gt;"",SUBSTITUTE(SUBSTITUTE($H629," ","")," ","")&lt;&gt;SUBSTITUTE(SUBSTITUTE(INDEX(職員マスタ!$B$6:$B$405,$AP629)," ","")," ","")),"氏名がマスタと相違／","")&amp;IF(AND($Q629&lt;&gt;"",INDEX(職員マスタ!$E$6:$E$405,$AP629)&lt;&gt;"",$Q629&lt;&gt;INDEX(職員マスタ!$E$6:$E$405,$AP629)),"子の生年月日がマスタと相違／","")&amp;IF(AND($L629&lt;&gt;"",INDEX(職員マスタ!$G$6:$G$405,$AP629)&lt;&gt;"",$L629&lt;&gt;INDEX(職員マスタ!$G$6:$G$405,$AP629)),"時短開始日がマスタと相違／","")&amp;IF(AND($M629&lt;&gt;"",INDEX(職員マスタ!$H$6:$H$405,$AP629)&lt;&gt;"",$M629&lt;&gt;INDEX(職員マスタ!$H$6:$H$405,$AP629)),"時短終了日がマスタと相違／","")))&amp;IF(AND($B629&lt;&gt;"",$E629=""),"報酬額が未入力／","")&amp;IF(N($U629)&gt;0,"申請書に入力エラーが残っています／","")&amp;IF(AND($B629&lt;&gt;"",$AQ629&lt;&gt;""),IF(COUNTIFS($B$6:$B$3005,$B629,$C$6:$C$3005,$C629,$D$6:$D$3005,$D629)&gt;1,"同じ月の請求が重複しています／",""),"")&amp;IF(AND(N($E629)&gt;0,$AB629&lt;&gt;"",$AB629&lt;&gt;"×",$AE629=0,$AD629=""),"計算額が下限以下のため不支給／",""))</f>
        <v/>
      </c>
      <c r="AN629" s="12" t="n"/>
      <c r="AO629" s="14">
        <f>IF($AF629="保留中",COUNTIF($AF$6:$AF629,"保留中"),"")</f>
        <v/>
      </c>
      <c r="AP629" s="14">
        <f>IF($AQ629="","",IF(SUMPRODUCT(MAX((職員マスタ!$A$6:$A$405=$B629)*(((職員マスタ!$G$6:$G$405="")+(職員マスタ!$G$6:$G$405&lt;=EOMONTH($AQ629,0)))&gt;0)*(((職員マスタ!$H$6:$H$405="")+(職員マスタ!$H$6:$H$405&gt;=$AQ629))&gt;0)*(ROW(職員マスタ!$A$6:$A$405)-5)))&gt;0,SUMPRODUCT(MAX((職員マスタ!$A$6:$A$405=$B629)*(((職員マスタ!$G$6:$G$405="")+(職員マスタ!$G$6:$G$405&lt;=EOMONTH($AQ629,0)))&gt;0)*(((職員マスタ!$H$6:$H$405="")+(職員マスタ!$H$6:$H$405&gt;=$AQ629))&gt;0)*(ROW(職員マスタ!$A$6:$A$405)-5))),IFERROR(MATCH($B629,職員マスタ!$A$6:$A$405,0),"")))</f>
        <v/>
      </c>
      <c r="AQ629" s="16">
        <f>IF(OR($B629="",$C629="",$D629=""),"",DATE($C629+2018,$D629,1))</f>
        <v/>
      </c>
    </row>
    <row r="630">
      <c r="A630" s="11" t="n"/>
      <c r="B630" s="12" t="n"/>
      <c r="C630" s="12" t="n"/>
      <c r="D630" s="12" t="n"/>
      <c r="E630" s="13" t="n"/>
      <c r="F630" s="12" t="n"/>
      <c r="G630" s="13" t="n"/>
      <c r="H630" s="12" t="n"/>
      <c r="I630" s="12" t="n"/>
      <c r="J630" s="12" t="n"/>
      <c r="K630" s="12" t="n"/>
      <c r="L630" s="11" t="n"/>
      <c r="M630" s="11" t="n"/>
      <c r="N630" s="11" t="n"/>
      <c r="O630" s="11" t="n"/>
      <c r="P630" s="12" t="n"/>
      <c r="Q630" s="11" t="n"/>
      <c r="R630" s="12" t="n"/>
      <c r="S630" s="11" t="n"/>
      <c r="T630" s="12" t="n"/>
      <c r="U630" s="12" t="n"/>
      <c r="V630" s="12" t="n"/>
      <c r="W630" s="13" t="n"/>
      <c r="X630" s="14">
        <f>IF($AP630="",IF($B630="","",$H630),IF(INDEX(職員マスタ!$B$6:$B$405,$AP630)="",$H630,INDEX(職員マスタ!$B$6:$B$405,$AP630)))</f>
        <v/>
      </c>
      <c r="Y630" s="14">
        <f>IF($AP630="",IF($B630="","",$R630),IF(INDEX(職員マスタ!$C$6:$C$405,$AP630)="",$R630,INDEX(職員マスタ!$C$6:$C$405,$AP630)))</f>
        <v/>
      </c>
      <c r="Z630" s="14">
        <f>IF($AQ630="","","R"&amp;$C630&amp;"."&amp;$D630)</f>
        <v/>
      </c>
      <c r="AA630" s="15">
        <f>IF(IF($AP630="",FALSE,INDEX(職員マスタ!$K$6:$K$405,$AP630)&lt;&gt;""),INDEX(職員マスタ!$K$6:$K$405,$AP630),IF(N($W630)&gt;0,$W630,""))</f>
        <v/>
      </c>
      <c r="AB630" s="14">
        <f>IF(OR($E630="",$AA630=""),"",IF($E630&gt;=$AA630,"×",IF($E630&gt;=$AA630*設定!$C$5,"△","○")))</f>
        <v/>
      </c>
      <c r="AC630" s="15">
        <f>IF($AB630="","",IF($AB630="×",0,IF($AB630="○",ROUNDDOWN($E630*設定!$C$4,0),ROUNDDOWN($E630*ROUND((9*$AA630-9*$E630)/(10*$E630),4),0))))</f>
        <v/>
      </c>
      <c r="AD630" s="13" t="n"/>
      <c r="AE630" s="15">
        <f>IF($B630="","",IF($AD630&lt;&gt;"",$AD630,IF($AC630="","",IF($AC630&lt;=設定!$C$3,0,$AC630))))</f>
        <v/>
      </c>
      <c r="AF630" s="14">
        <f>IF($B630="","",IF(AND($AG630&lt;&gt;"",$AI630="",$AL630=""),"保留中",IF($AL630&lt;&gt;"",IF(N($AE630)&gt;0,"支給済","不支給"),IF($AE630="","要確認",IF($AE630=0,"不支給","未処理")))))</f>
        <v/>
      </c>
      <c r="AG630" s="12" t="n"/>
      <c r="AH630" s="11" t="n"/>
      <c r="AI630" s="11" t="n"/>
      <c r="AJ630" s="11" t="n"/>
      <c r="AK630" s="14">
        <f>IF(AND($AF630="保留中",$AH630&lt;&gt;""),TODAY()-$AH630,"")</f>
        <v/>
      </c>
      <c r="AL630" s="12" t="n"/>
      <c r="AM630" s="14">
        <f>IF($B630="","",IF($AQ630="","対象年月が未入力／","")&amp;IF($B630="","",IF($AP630="","職員マスタに未登録の職員番号／",IF($AA630="","標準報酬月額が未登録／","")&amp;IF(AND($AQ630&lt;&gt;"",OR(AND(INDEX(職員マスタ!$G$6:$G$405,$AP630)&lt;&gt;"",INDEX(職員マスタ!$G$6:$G$405,$AP630)&gt;EOMONTH($AQ630,0)),AND(INDEX(職員マスタ!$H$6:$H$405,$AP630)&lt;&gt;"",INDEX(職員マスタ!$H$6:$H$405,$AP630)&lt;$AQ630))),"対象月が時短期間外／","")&amp;IF(AND(INDEX(職員マスタ!$K$6:$K$405,$AP630)&lt;&gt;"",N($W630)&gt;0,INDEX(職員マスタ!$K$6:$K$405,$AP630)&lt;&gt;$W630),"標準報酬月額が申請書と相違（台帳"&amp;TEXT(INDEX(職員マスタ!$K$6:$K$405,$AP630),"#,##0")&amp;"円／申請書"&amp;TEXT($W630,"#,##0")&amp;"円）／","")&amp;IF(AND(INDEX(職員マスタ!$F$6:$F$405,$AP630)&lt;&gt;"",$AQ630&lt;&gt;"",INDEX(職員マスタ!$F$6:$F$405,$AP630)&lt;$AQ630),"対象月に子が2歳到達済／","")&amp;IF(AND($H630&lt;&gt;"",INDEX(職員マスタ!$B$6:$B$405,$AP630)&lt;&gt;"",SUBSTITUTE(SUBSTITUTE($H630," ","")," ","")&lt;&gt;SUBSTITUTE(SUBSTITUTE(INDEX(職員マスタ!$B$6:$B$405,$AP630)," ","")," ","")),"氏名がマスタと相違／","")&amp;IF(AND($Q630&lt;&gt;"",INDEX(職員マスタ!$E$6:$E$405,$AP630)&lt;&gt;"",$Q630&lt;&gt;INDEX(職員マスタ!$E$6:$E$405,$AP630)),"子の生年月日がマスタと相違／","")&amp;IF(AND($L630&lt;&gt;"",INDEX(職員マスタ!$G$6:$G$405,$AP630)&lt;&gt;"",$L630&lt;&gt;INDEX(職員マスタ!$G$6:$G$405,$AP630)),"時短開始日がマスタと相違／","")&amp;IF(AND($M630&lt;&gt;"",INDEX(職員マスタ!$H$6:$H$405,$AP630)&lt;&gt;"",$M630&lt;&gt;INDEX(職員マスタ!$H$6:$H$405,$AP630)),"時短終了日がマスタと相違／","")))&amp;IF(AND($B630&lt;&gt;"",$E630=""),"報酬額が未入力／","")&amp;IF(N($U630)&gt;0,"申請書に入力エラーが残っています／","")&amp;IF(AND($B630&lt;&gt;"",$AQ630&lt;&gt;""),IF(COUNTIFS($B$6:$B$3005,$B630,$C$6:$C$3005,$C630,$D$6:$D$3005,$D630)&gt;1,"同じ月の請求が重複しています／",""),"")&amp;IF(AND(N($E630)&gt;0,$AB630&lt;&gt;"",$AB630&lt;&gt;"×",$AE630=0,$AD630=""),"計算額が下限以下のため不支給／",""))</f>
        <v/>
      </c>
      <c r="AN630" s="12" t="n"/>
      <c r="AO630" s="14">
        <f>IF($AF630="保留中",COUNTIF($AF$6:$AF630,"保留中"),"")</f>
        <v/>
      </c>
      <c r="AP630" s="14">
        <f>IF($AQ630="","",IF(SUMPRODUCT(MAX((職員マスタ!$A$6:$A$405=$B630)*(((職員マスタ!$G$6:$G$405="")+(職員マスタ!$G$6:$G$405&lt;=EOMONTH($AQ630,0)))&gt;0)*(((職員マスタ!$H$6:$H$405="")+(職員マスタ!$H$6:$H$405&gt;=$AQ630))&gt;0)*(ROW(職員マスタ!$A$6:$A$405)-5)))&gt;0,SUMPRODUCT(MAX((職員マスタ!$A$6:$A$405=$B630)*(((職員マスタ!$G$6:$G$405="")+(職員マスタ!$G$6:$G$405&lt;=EOMONTH($AQ630,0)))&gt;0)*(((職員マスタ!$H$6:$H$405="")+(職員マスタ!$H$6:$H$405&gt;=$AQ630))&gt;0)*(ROW(職員マスタ!$A$6:$A$405)-5))),IFERROR(MATCH($B630,職員マスタ!$A$6:$A$405,0),"")))</f>
        <v/>
      </c>
      <c r="AQ630" s="16">
        <f>IF(OR($B630="",$C630="",$D630=""),"",DATE($C630+2018,$D630,1))</f>
        <v/>
      </c>
    </row>
    <row r="631">
      <c r="A631" s="11" t="n"/>
      <c r="B631" s="12" t="n"/>
      <c r="C631" s="12" t="n"/>
      <c r="D631" s="12" t="n"/>
      <c r="E631" s="13" t="n"/>
      <c r="F631" s="12" t="n"/>
      <c r="G631" s="13" t="n"/>
      <c r="H631" s="12" t="n"/>
      <c r="I631" s="12" t="n"/>
      <c r="J631" s="12" t="n"/>
      <c r="K631" s="12" t="n"/>
      <c r="L631" s="11" t="n"/>
      <c r="M631" s="11" t="n"/>
      <c r="N631" s="11" t="n"/>
      <c r="O631" s="11" t="n"/>
      <c r="P631" s="12" t="n"/>
      <c r="Q631" s="11" t="n"/>
      <c r="R631" s="12" t="n"/>
      <c r="S631" s="11" t="n"/>
      <c r="T631" s="12" t="n"/>
      <c r="U631" s="12" t="n"/>
      <c r="V631" s="12" t="n"/>
      <c r="W631" s="13" t="n"/>
      <c r="X631" s="14">
        <f>IF($AP631="",IF($B631="","",$H631),IF(INDEX(職員マスタ!$B$6:$B$405,$AP631)="",$H631,INDEX(職員マスタ!$B$6:$B$405,$AP631)))</f>
        <v/>
      </c>
      <c r="Y631" s="14">
        <f>IF($AP631="",IF($B631="","",$R631),IF(INDEX(職員マスタ!$C$6:$C$405,$AP631)="",$R631,INDEX(職員マスタ!$C$6:$C$405,$AP631)))</f>
        <v/>
      </c>
      <c r="Z631" s="14">
        <f>IF($AQ631="","","R"&amp;$C631&amp;"."&amp;$D631)</f>
        <v/>
      </c>
      <c r="AA631" s="15">
        <f>IF(IF($AP631="",FALSE,INDEX(職員マスタ!$K$6:$K$405,$AP631)&lt;&gt;""),INDEX(職員マスタ!$K$6:$K$405,$AP631),IF(N($W631)&gt;0,$W631,""))</f>
        <v/>
      </c>
      <c r="AB631" s="14">
        <f>IF(OR($E631="",$AA631=""),"",IF($E631&gt;=$AA631,"×",IF($E631&gt;=$AA631*設定!$C$5,"△","○")))</f>
        <v/>
      </c>
      <c r="AC631" s="15">
        <f>IF($AB631="","",IF($AB631="×",0,IF($AB631="○",ROUNDDOWN($E631*設定!$C$4,0),ROUNDDOWN($E631*ROUND((9*$AA631-9*$E631)/(10*$E631),4),0))))</f>
        <v/>
      </c>
      <c r="AD631" s="13" t="n"/>
      <c r="AE631" s="15">
        <f>IF($B631="","",IF($AD631&lt;&gt;"",$AD631,IF($AC631="","",IF($AC631&lt;=設定!$C$3,0,$AC631))))</f>
        <v/>
      </c>
      <c r="AF631" s="14">
        <f>IF($B631="","",IF(AND($AG631&lt;&gt;"",$AI631="",$AL631=""),"保留中",IF($AL631&lt;&gt;"",IF(N($AE631)&gt;0,"支給済","不支給"),IF($AE631="","要確認",IF($AE631=0,"不支給","未処理")))))</f>
        <v/>
      </c>
      <c r="AG631" s="12" t="n"/>
      <c r="AH631" s="11" t="n"/>
      <c r="AI631" s="11" t="n"/>
      <c r="AJ631" s="11" t="n"/>
      <c r="AK631" s="14">
        <f>IF(AND($AF631="保留中",$AH631&lt;&gt;""),TODAY()-$AH631,"")</f>
        <v/>
      </c>
      <c r="AL631" s="12" t="n"/>
      <c r="AM631" s="14">
        <f>IF($B631="","",IF($AQ631="","対象年月が未入力／","")&amp;IF($B631="","",IF($AP631="","職員マスタに未登録の職員番号／",IF($AA631="","標準報酬月額が未登録／","")&amp;IF(AND($AQ631&lt;&gt;"",OR(AND(INDEX(職員マスタ!$G$6:$G$405,$AP631)&lt;&gt;"",INDEX(職員マスタ!$G$6:$G$405,$AP631)&gt;EOMONTH($AQ631,0)),AND(INDEX(職員マスタ!$H$6:$H$405,$AP631)&lt;&gt;"",INDEX(職員マスタ!$H$6:$H$405,$AP631)&lt;$AQ631))),"対象月が時短期間外／","")&amp;IF(AND(INDEX(職員マスタ!$K$6:$K$405,$AP631)&lt;&gt;"",N($W631)&gt;0,INDEX(職員マスタ!$K$6:$K$405,$AP631)&lt;&gt;$W631),"標準報酬月額が申請書と相違（台帳"&amp;TEXT(INDEX(職員マスタ!$K$6:$K$405,$AP631),"#,##0")&amp;"円／申請書"&amp;TEXT($W631,"#,##0")&amp;"円）／","")&amp;IF(AND(INDEX(職員マスタ!$F$6:$F$405,$AP631)&lt;&gt;"",$AQ631&lt;&gt;"",INDEX(職員マスタ!$F$6:$F$405,$AP631)&lt;$AQ631),"対象月に子が2歳到達済／","")&amp;IF(AND($H631&lt;&gt;"",INDEX(職員マスタ!$B$6:$B$405,$AP631)&lt;&gt;"",SUBSTITUTE(SUBSTITUTE($H631," ","")," ","")&lt;&gt;SUBSTITUTE(SUBSTITUTE(INDEX(職員マスタ!$B$6:$B$405,$AP631)," ","")," ","")),"氏名がマスタと相違／","")&amp;IF(AND($Q631&lt;&gt;"",INDEX(職員マスタ!$E$6:$E$405,$AP631)&lt;&gt;"",$Q631&lt;&gt;INDEX(職員マスタ!$E$6:$E$405,$AP631)),"子の生年月日がマスタと相違／","")&amp;IF(AND($L631&lt;&gt;"",INDEX(職員マスタ!$G$6:$G$405,$AP631)&lt;&gt;"",$L631&lt;&gt;INDEX(職員マスタ!$G$6:$G$405,$AP631)),"時短開始日がマスタと相違／","")&amp;IF(AND($M631&lt;&gt;"",INDEX(職員マスタ!$H$6:$H$405,$AP631)&lt;&gt;"",$M631&lt;&gt;INDEX(職員マスタ!$H$6:$H$405,$AP631)),"時短終了日がマスタと相違／","")))&amp;IF(AND($B631&lt;&gt;"",$E631=""),"報酬額が未入力／","")&amp;IF(N($U631)&gt;0,"申請書に入力エラーが残っています／","")&amp;IF(AND($B631&lt;&gt;"",$AQ631&lt;&gt;""),IF(COUNTIFS($B$6:$B$3005,$B631,$C$6:$C$3005,$C631,$D$6:$D$3005,$D631)&gt;1,"同じ月の請求が重複しています／",""),"")&amp;IF(AND(N($E631)&gt;0,$AB631&lt;&gt;"",$AB631&lt;&gt;"×",$AE631=0,$AD631=""),"計算額が下限以下のため不支給／",""))</f>
        <v/>
      </c>
      <c r="AN631" s="12" t="n"/>
      <c r="AO631" s="14">
        <f>IF($AF631="保留中",COUNTIF($AF$6:$AF631,"保留中"),"")</f>
        <v/>
      </c>
      <c r="AP631" s="14">
        <f>IF($AQ631="","",IF(SUMPRODUCT(MAX((職員マスタ!$A$6:$A$405=$B631)*(((職員マスタ!$G$6:$G$405="")+(職員マスタ!$G$6:$G$405&lt;=EOMONTH($AQ631,0)))&gt;0)*(((職員マスタ!$H$6:$H$405="")+(職員マスタ!$H$6:$H$405&gt;=$AQ631))&gt;0)*(ROW(職員マスタ!$A$6:$A$405)-5)))&gt;0,SUMPRODUCT(MAX((職員マスタ!$A$6:$A$405=$B631)*(((職員マスタ!$G$6:$G$405="")+(職員マスタ!$G$6:$G$405&lt;=EOMONTH($AQ631,0)))&gt;0)*(((職員マスタ!$H$6:$H$405="")+(職員マスタ!$H$6:$H$405&gt;=$AQ631))&gt;0)*(ROW(職員マスタ!$A$6:$A$405)-5))),IFERROR(MATCH($B631,職員マスタ!$A$6:$A$405,0),"")))</f>
        <v/>
      </c>
      <c r="AQ631" s="16">
        <f>IF(OR($B631="",$C631="",$D631=""),"",DATE($C631+2018,$D631,1))</f>
        <v/>
      </c>
    </row>
    <row r="632">
      <c r="A632" s="11" t="n"/>
      <c r="B632" s="12" t="n"/>
      <c r="C632" s="12" t="n"/>
      <c r="D632" s="12" t="n"/>
      <c r="E632" s="13" t="n"/>
      <c r="F632" s="12" t="n"/>
      <c r="G632" s="13" t="n"/>
      <c r="H632" s="12" t="n"/>
      <c r="I632" s="12" t="n"/>
      <c r="J632" s="12" t="n"/>
      <c r="K632" s="12" t="n"/>
      <c r="L632" s="11" t="n"/>
      <c r="M632" s="11" t="n"/>
      <c r="N632" s="11" t="n"/>
      <c r="O632" s="11" t="n"/>
      <c r="P632" s="12" t="n"/>
      <c r="Q632" s="11" t="n"/>
      <c r="R632" s="12" t="n"/>
      <c r="S632" s="11" t="n"/>
      <c r="T632" s="12" t="n"/>
      <c r="U632" s="12" t="n"/>
      <c r="V632" s="12" t="n"/>
      <c r="W632" s="13" t="n"/>
      <c r="X632" s="14">
        <f>IF($AP632="",IF($B632="","",$H632),IF(INDEX(職員マスタ!$B$6:$B$405,$AP632)="",$H632,INDEX(職員マスタ!$B$6:$B$405,$AP632)))</f>
        <v/>
      </c>
      <c r="Y632" s="14">
        <f>IF($AP632="",IF($B632="","",$R632),IF(INDEX(職員マスタ!$C$6:$C$405,$AP632)="",$R632,INDEX(職員マスタ!$C$6:$C$405,$AP632)))</f>
        <v/>
      </c>
      <c r="Z632" s="14">
        <f>IF($AQ632="","","R"&amp;$C632&amp;"."&amp;$D632)</f>
        <v/>
      </c>
      <c r="AA632" s="15">
        <f>IF(IF($AP632="",FALSE,INDEX(職員マスタ!$K$6:$K$405,$AP632)&lt;&gt;""),INDEX(職員マスタ!$K$6:$K$405,$AP632),IF(N($W632)&gt;0,$W632,""))</f>
        <v/>
      </c>
      <c r="AB632" s="14">
        <f>IF(OR($E632="",$AA632=""),"",IF($E632&gt;=$AA632,"×",IF($E632&gt;=$AA632*設定!$C$5,"△","○")))</f>
        <v/>
      </c>
      <c r="AC632" s="15">
        <f>IF($AB632="","",IF($AB632="×",0,IF($AB632="○",ROUNDDOWN($E632*設定!$C$4,0),ROUNDDOWN($E632*ROUND((9*$AA632-9*$E632)/(10*$E632),4),0))))</f>
        <v/>
      </c>
      <c r="AD632" s="13" t="n"/>
      <c r="AE632" s="15">
        <f>IF($B632="","",IF($AD632&lt;&gt;"",$AD632,IF($AC632="","",IF($AC632&lt;=設定!$C$3,0,$AC632))))</f>
        <v/>
      </c>
      <c r="AF632" s="14">
        <f>IF($B632="","",IF(AND($AG632&lt;&gt;"",$AI632="",$AL632=""),"保留中",IF($AL632&lt;&gt;"",IF(N($AE632)&gt;0,"支給済","不支給"),IF($AE632="","要確認",IF($AE632=0,"不支給","未処理")))))</f>
        <v/>
      </c>
      <c r="AG632" s="12" t="n"/>
      <c r="AH632" s="11" t="n"/>
      <c r="AI632" s="11" t="n"/>
      <c r="AJ632" s="11" t="n"/>
      <c r="AK632" s="14">
        <f>IF(AND($AF632="保留中",$AH632&lt;&gt;""),TODAY()-$AH632,"")</f>
        <v/>
      </c>
      <c r="AL632" s="12" t="n"/>
      <c r="AM632" s="14">
        <f>IF($B632="","",IF($AQ632="","対象年月が未入力／","")&amp;IF($B632="","",IF($AP632="","職員マスタに未登録の職員番号／",IF($AA632="","標準報酬月額が未登録／","")&amp;IF(AND($AQ632&lt;&gt;"",OR(AND(INDEX(職員マスタ!$G$6:$G$405,$AP632)&lt;&gt;"",INDEX(職員マスタ!$G$6:$G$405,$AP632)&gt;EOMONTH($AQ632,0)),AND(INDEX(職員マスタ!$H$6:$H$405,$AP632)&lt;&gt;"",INDEX(職員マスタ!$H$6:$H$405,$AP632)&lt;$AQ632))),"対象月が時短期間外／","")&amp;IF(AND(INDEX(職員マスタ!$K$6:$K$405,$AP632)&lt;&gt;"",N($W632)&gt;0,INDEX(職員マスタ!$K$6:$K$405,$AP632)&lt;&gt;$W632),"標準報酬月額が申請書と相違（台帳"&amp;TEXT(INDEX(職員マスタ!$K$6:$K$405,$AP632),"#,##0")&amp;"円／申請書"&amp;TEXT($W632,"#,##0")&amp;"円）／","")&amp;IF(AND(INDEX(職員マスタ!$F$6:$F$405,$AP632)&lt;&gt;"",$AQ632&lt;&gt;"",INDEX(職員マスタ!$F$6:$F$405,$AP632)&lt;$AQ632),"対象月に子が2歳到達済／","")&amp;IF(AND($H632&lt;&gt;"",INDEX(職員マスタ!$B$6:$B$405,$AP632)&lt;&gt;"",SUBSTITUTE(SUBSTITUTE($H632," ","")," ","")&lt;&gt;SUBSTITUTE(SUBSTITUTE(INDEX(職員マスタ!$B$6:$B$405,$AP632)," ","")," ","")),"氏名がマスタと相違／","")&amp;IF(AND($Q632&lt;&gt;"",INDEX(職員マスタ!$E$6:$E$405,$AP632)&lt;&gt;"",$Q632&lt;&gt;INDEX(職員マスタ!$E$6:$E$405,$AP632)),"子の生年月日がマスタと相違／","")&amp;IF(AND($L632&lt;&gt;"",INDEX(職員マスタ!$G$6:$G$405,$AP632)&lt;&gt;"",$L632&lt;&gt;INDEX(職員マスタ!$G$6:$G$405,$AP632)),"時短開始日がマスタと相違／","")&amp;IF(AND($M632&lt;&gt;"",INDEX(職員マスタ!$H$6:$H$405,$AP632)&lt;&gt;"",$M632&lt;&gt;INDEX(職員マスタ!$H$6:$H$405,$AP632)),"時短終了日がマスタと相違／","")))&amp;IF(AND($B632&lt;&gt;"",$E632=""),"報酬額が未入力／","")&amp;IF(N($U632)&gt;0,"申請書に入力エラーが残っています／","")&amp;IF(AND($B632&lt;&gt;"",$AQ632&lt;&gt;""),IF(COUNTIFS($B$6:$B$3005,$B632,$C$6:$C$3005,$C632,$D$6:$D$3005,$D632)&gt;1,"同じ月の請求が重複しています／",""),"")&amp;IF(AND(N($E632)&gt;0,$AB632&lt;&gt;"",$AB632&lt;&gt;"×",$AE632=0,$AD632=""),"計算額が下限以下のため不支給／",""))</f>
        <v/>
      </c>
      <c r="AN632" s="12" t="n"/>
      <c r="AO632" s="14">
        <f>IF($AF632="保留中",COUNTIF($AF$6:$AF632,"保留中"),"")</f>
        <v/>
      </c>
      <c r="AP632" s="14">
        <f>IF($AQ632="","",IF(SUMPRODUCT(MAX((職員マスタ!$A$6:$A$405=$B632)*(((職員マスタ!$G$6:$G$405="")+(職員マスタ!$G$6:$G$405&lt;=EOMONTH($AQ632,0)))&gt;0)*(((職員マスタ!$H$6:$H$405="")+(職員マスタ!$H$6:$H$405&gt;=$AQ632))&gt;0)*(ROW(職員マスタ!$A$6:$A$405)-5)))&gt;0,SUMPRODUCT(MAX((職員マスタ!$A$6:$A$405=$B632)*(((職員マスタ!$G$6:$G$405="")+(職員マスタ!$G$6:$G$405&lt;=EOMONTH($AQ632,0)))&gt;0)*(((職員マスタ!$H$6:$H$405="")+(職員マスタ!$H$6:$H$405&gt;=$AQ632))&gt;0)*(ROW(職員マスタ!$A$6:$A$405)-5))),IFERROR(MATCH($B632,職員マスタ!$A$6:$A$405,0),"")))</f>
        <v/>
      </c>
      <c r="AQ632" s="16">
        <f>IF(OR($B632="",$C632="",$D632=""),"",DATE($C632+2018,$D632,1))</f>
        <v/>
      </c>
    </row>
    <row r="633">
      <c r="A633" s="11" t="n"/>
      <c r="B633" s="12" t="n"/>
      <c r="C633" s="12" t="n"/>
      <c r="D633" s="12" t="n"/>
      <c r="E633" s="13" t="n"/>
      <c r="F633" s="12" t="n"/>
      <c r="G633" s="13" t="n"/>
      <c r="H633" s="12" t="n"/>
      <c r="I633" s="12" t="n"/>
      <c r="J633" s="12" t="n"/>
      <c r="K633" s="12" t="n"/>
      <c r="L633" s="11" t="n"/>
      <c r="M633" s="11" t="n"/>
      <c r="N633" s="11" t="n"/>
      <c r="O633" s="11" t="n"/>
      <c r="P633" s="12" t="n"/>
      <c r="Q633" s="11" t="n"/>
      <c r="R633" s="12" t="n"/>
      <c r="S633" s="11" t="n"/>
      <c r="T633" s="12" t="n"/>
      <c r="U633" s="12" t="n"/>
      <c r="V633" s="12" t="n"/>
      <c r="W633" s="13" t="n"/>
      <c r="X633" s="14">
        <f>IF($AP633="",IF($B633="","",$H633),IF(INDEX(職員マスタ!$B$6:$B$405,$AP633)="",$H633,INDEX(職員マスタ!$B$6:$B$405,$AP633)))</f>
        <v/>
      </c>
      <c r="Y633" s="14">
        <f>IF($AP633="",IF($B633="","",$R633),IF(INDEX(職員マスタ!$C$6:$C$405,$AP633)="",$R633,INDEX(職員マスタ!$C$6:$C$405,$AP633)))</f>
        <v/>
      </c>
      <c r="Z633" s="14">
        <f>IF($AQ633="","","R"&amp;$C633&amp;"."&amp;$D633)</f>
        <v/>
      </c>
      <c r="AA633" s="15">
        <f>IF(IF($AP633="",FALSE,INDEX(職員マスタ!$K$6:$K$405,$AP633)&lt;&gt;""),INDEX(職員マスタ!$K$6:$K$405,$AP633),IF(N($W633)&gt;0,$W633,""))</f>
        <v/>
      </c>
      <c r="AB633" s="14">
        <f>IF(OR($E633="",$AA633=""),"",IF($E633&gt;=$AA633,"×",IF($E633&gt;=$AA633*設定!$C$5,"△","○")))</f>
        <v/>
      </c>
      <c r="AC633" s="15">
        <f>IF($AB633="","",IF($AB633="×",0,IF($AB633="○",ROUNDDOWN($E633*設定!$C$4,0),ROUNDDOWN($E633*ROUND((9*$AA633-9*$E633)/(10*$E633),4),0))))</f>
        <v/>
      </c>
      <c r="AD633" s="13" t="n"/>
      <c r="AE633" s="15">
        <f>IF($B633="","",IF($AD633&lt;&gt;"",$AD633,IF($AC633="","",IF($AC633&lt;=設定!$C$3,0,$AC633))))</f>
        <v/>
      </c>
      <c r="AF633" s="14">
        <f>IF($B633="","",IF(AND($AG633&lt;&gt;"",$AI633="",$AL633=""),"保留中",IF($AL633&lt;&gt;"",IF(N($AE633)&gt;0,"支給済","不支給"),IF($AE633="","要確認",IF($AE633=0,"不支給","未処理")))))</f>
        <v/>
      </c>
      <c r="AG633" s="12" t="n"/>
      <c r="AH633" s="11" t="n"/>
      <c r="AI633" s="11" t="n"/>
      <c r="AJ633" s="11" t="n"/>
      <c r="AK633" s="14">
        <f>IF(AND($AF633="保留中",$AH633&lt;&gt;""),TODAY()-$AH633,"")</f>
        <v/>
      </c>
      <c r="AL633" s="12" t="n"/>
      <c r="AM633" s="14">
        <f>IF($B633="","",IF($AQ633="","対象年月が未入力／","")&amp;IF($B633="","",IF($AP633="","職員マスタに未登録の職員番号／",IF($AA633="","標準報酬月額が未登録／","")&amp;IF(AND($AQ633&lt;&gt;"",OR(AND(INDEX(職員マスタ!$G$6:$G$405,$AP633)&lt;&gt;"",INDEX(職員マスタ!$G$6:$G$405,$AP633)&gt;EOMONTH($AQ633,0)),AND(INDEX(職員マスタ!$H$6:$H$405,$AP633)&lt;&gt;"",INDEX(職員マスタ!$H$6:$H$405,$AP633)&lt;$AQ633))),"対象月が時短期間外／","")&amp;IF(AND(INDEX(職員マスタ!$K$6:$K$405,$AP633)&lt;&gt;"",N($W633)&gt;0,INDEX(職員マスタ!$K$6:$K$405,$AP633)&lt;&gt;$W633),"標準報酬月額が申請書と相違（台帳"&amp;TEXT(INDEX(職員マスタ!$K$6:$K$405,$AP633),"#,##0")&amp;"円／申請書"&amp;TEXT($W633,"#,##0")&amp;"円）／","")&amp;IF(AND(INDEX(職員マスタ!$F$6:$F$405,$AP633)&lt;&gt;"",$AQ633&lt;&gt;"",INDEX(職員マスタ!$F$6:$F$405,$AP633)&lt;$AQ633),"対象月に子が2歳到達済／","")&amp;IF(AND($H633&lt;&gt;"",INDEX(職員マスタ!$B$6:$B$405,$AP633)&lt;&gt;"",SUBSTITUTE(SUBSTITUTE($H633," ","")," ","")&lt;&gt;SUBSTITUTE(SUBSTITUTE(INDEX(職員マスタ!$B$6:$B$405,$AP633)," ","")," ","")),"氏名がマスタと相違／","")&amp;IF(AND($Q633&lt;&gt;"",INDEX(職員マスタ!$E$6:$E$405,$AP633)&lt;&gt;"",$Q633&lt;&gt;INDEX(職員マスタ!$E$6:$E$405,$AP633)),"子の生年月日がマスタと相違／","")&amp;IF(AND($L633&lt;&gt;"",INDEX(職員マスタ!$G$6:$G$405,$AP633)&lt;&gt;"",$L633&lt;&gt;INDEX(職員マスタ!$G$6:$G$405,$AP633)),"時短開始日がマスタと相違／","")&amp;IF(AND($M633&lt;&gt;"",INDEX(職員マスタ!$H$6:$H$405,$AP633)&lt;&gt;"",$M633&lt;&gt;INDEX(職員マスタ!$H$6:$H$405,$AP633)),"時短終了日がマスタと相違／","")))&amp;IF(AND($B633&lt;&gt;"",$E633=""),"報酬額が未入力／","")&amp;IF(N($U633)&gt;0,"申請書に入力エラーが残っています／","")&amp;IF(AND($B633&lt;&gt;"",$AQ633&lt;&gt;""),IF(COUNTIFS($B$6:$B$3005,$B633,$C$6:$C$3005,$C633,$D$6:$D$3005,$D633)&gt;1,"同じ月の請求が重複しています／",""),"")&amp;IF(AND(N($E633)&gt;0,$AB633&lt;&gt;"",$AB633&lt;&gt;"×",$AE633=0,$AD633=""),"計算額が下限以下のため不支給／",""))</f>
        <v/>
      </c>
      <c r="AN633" s="12" t="n"/>
      <c r="AO633" s="14">
        <f>IF($AF633="保留中",COUNTIF($AF$6:$AF633,"保留中"),"")</f>
        <v/>
      </c>
      <c r="AP633" s="14">
        <f>IF($AQ633="","",IF(SUMPRODUCT(MAX((職員マスタ!$A$6:$A$405=$B633)*(((職員マスタ!$G$6:$G$405="")+(職員マスタ!$G$6:$G$405&lt;=EOMONTH($AQ633,0)))&gt;0)*(((職員マスタ!$H$6:$H$405="")+(職員マスタ!$H$6:$H$405&gt;=$AQ633))&gt;0)*(ROW(職員マスタ!$A$6:$A$405)-5)))&gt;0,SUMPRODUCT(MAX((職員マスタ!$A$6:$A$405=$B633)*(((職員マスタ!$G$6:$G$405="")+(職員マスタ!$G$6:$G$405&lt;=EOMONTH($AQ633,0)))&gt;0)*(((職員マスタ!$H$6:$H$405="")+(職員マスタ!$H$6:$H$405&gt;=$AQ633))&gt;0)*(ROW(職員マスタ!$A$6:$A$405)-5))),IFERROR(MATCH($B633,職員マスタ!$A$6:$A$405,0),"")))</f>
        <v/>
      </c>
      <c r="AQ633" s="16">
        <f>IF(OR($B633="",$C633="",$D633=""),"",DATE($C633+2018,$D633,1))</f>
        <v/>
      </c>
    </row>
    <row r="634">
      <c r="A634" s="11" t="n"/>
      <c r="B634" s="12" t="n"/>
      <c r="C634" s="12" t="n"/>
      <c r="D634" s="12" t="n"/>
      <c r="E634" s="13" t="n"/>
      <c r="F634" s="12" t="n"/>
      <c r="G634" s="13" t="n"/>
      <c r="H634" s="12" t="n"/>
      <c r="I634" s="12" t="n"/>
      <c r="J634" s="12" t="n"/>
      <c r="K634" s="12" t="n"/>
      <c r="L634" s="11" t="n"/>
      <c r="M634" s="11" t="n"/>
      <c r="N634" s="11" t="n"/>
      <c r="O634" s="11" t="n"/>
      <c r="P634" s="12" t="n"/>
      <c r="Q634" s="11" t="n"/>
      <c r="R634" s="12" t="n"/>
      <c r="S634" s="11" t="n"/>
      <c r="T634" s="12" t="n"/>
      <c r="U634" s="12" t="n"/>
      <c r="V634" s="12" t="n"/>
      <c r="W634" s="13" t="n"/>
      <c r="X634" s="14">
        <f>IF($AP634="",IF($B634="","",$H634),IF(INDEX(職員マスタ!$B$6:$B$405,$AP634)="",$H634,INDEX(職員マスタ!$B$6:$B$405,$AP634)))</f>
        <v/>
      </c>
      <c r="Y634" s="14">
        <f>IF($AP634="",IF($B634="","",$R634),IF(INDEX(職員マスタ!$C$6:$C$405,$AP634)="",$R634,INDEX(職員マスタ!$C$6:$C$405,$AP634)))</f>
        <v/>
      </c>
      <c r="Z634" s="14">
        <f>IF($AQ634="","","R"&amp;$C634&amp;"."&amp;$D634)</f>
        <v/>
      </c>
      <c r="AA634" s="15">
        <f>IF(IF($AP634="",FALSE,INDEX(職員マスタ!$K$6:$K$405,$AP634)&lt;&gt;""),INDEX(職員マスタ!$K$6:$K$405,$AP634),IF(N($W634)&gt;0,$W634,""))</f>
        <v/>
      </c>
      <c r="AB634" s="14">
        <f>IF(OR($E634="",$AA634=""),"",IF($E634&gt;=$AA634,"×",IF($E634&gt;=$AA634*設定!$C$5,"△","○")))</f>
        <v/>
      </c>
      <c r="AC634" s="15">
        <f>IF($AB634="","",IF($AB634="×",0,IF($AB634="○",ROUNDDOWN($E634*設定!$C$4,0),ROUNDDOWN($E634*ROUND((9*$AA634-9*$E634)/(10*$E634),4),0))))</f>
        <v/>
      </c>
      <c r="AD634" s="13" t="n"/>
      <c r="AE634" s="15">
        <f>IF($B634="","",IF($AD634&lt;&gt;"",$AD634,IF($AC634="","",IF($AC634&lt;=設定!$C$3,0,$AC634))))</f>
        <v/>
      </c>
      <c r="AF634" s="14">
        <f>IF($B634="","",IF(AND($AG634&lt;&gt;"",$AI634="",$AL634=""),"保留中",IF($AL634&lt;&gt;"",IF(N($AE634)&gt;0,"支給済","不支給"),IF($AE634="","要確認",IF($AE634=0,"不支給","未処理")))))</f>
        <v/>
      </c>
      <c r="AG634" s="12" t="n"/>
      <c r="AH634" s="11" t="n"/>
      <c r="AI634" s="11" t="n"/>
      <c r="AJ634" s="11" t="n"/>
      <c r="AK634" s="14">
        <f>IF(AND($AF634="保留中",$AH634&lt;&gt;""),TODAY()-$AH634,"")</f>
        <v/>
      </c>
      <c r="AL634" s="12" t="n"/>
      <c r="AM634" s="14">
        <f>IF($B634="","",IF($AQ634="","対象年月が未入力／","")&amp;IF($B634="","",IF($AP634="","職員マスタに未登録の職員番号／",IF($AA634="","標準報酬月額が未登録／","")&amp;IF(AND($AQ634&lt;&gt;"",OR(AND(INDEX(職員マスタ!$G$6:$G$405,$AP634)&lt;&gt;"",INDEX(職員マスタ!$G$6:$G$405,$AP634)&gt;EOMONTH($AQ634,0)),AND(INDEX(職員マスタ!$H$6:$H$405,$AP634)&lt;&gt;"",INDEX(職員マスタ!$H$6:$H$405,$AP634)&lt;$AQ634))),"対象月が時短期間外／","")&amp;IF(AND(INDEX(職員マスタ!$K$6:$K$405,$AP634)&lt;&gt;"",N($W634)&gt;0,INDEX(職員マスタ!$K$6:$K$405,$AP634)&lt;&gt;$W634),"標準報酬月額が申請書と相違（台帳"&amp;TEXT(INDEX(職員マスタ!$K$6:$K$405,$AP634),"#,##0")&amp;"円／申請書"&amp;TEXT($W634,"#,##0")&amp;"円）／","")&amp;IF(AND(INDEX(職員マスタ!$F$6:$F$405,$AP634)&lt;&gt;"",$AQ634&lt;&gt;"",INDEX(職員マスタ!$F$6:$F$405,$AP634)&lt;$AQ634),"対象月に子が2歳到達済／","")&amp;IF(AND($H634&lt;&gt;"",INDEX(職員マスタ!$B$6:$B$405,$AP634)&lt;&gt;"",SUBSTITUTE(SUBSTITUTE($H634," ","")," ","")&lt;&gt;SUBSTITUTE(SUBSTITUTE(INDEX(職員マスタ!$B$6:$B$405,$AP634)," ","")," ","")),"氏名がマスタと相違／","")&amp;IF(AND($Q634&lt;&gt;"",INDEX(職員マスタ!$E$6:$E$405,$AP634)&lt;&gt;"",$Q634&lt;&gt;INDEX(職員マスタ!$E$6:$E$405,$AP634)),"子の生年月日がマスタと相違／","")&amp;IF(AND($L634&lt;&gt;"",INDEX(職員マスタ!$G$6:$G$405,$AP634)&lt;&gt;"",$L634&lt;&gt;INDEX(職員マスタ!$G$6:$G$405,$AP634)),"時短開始日がマスタと相違／","")&amp;IF(AND($M634&lt;&gt;"",INDEX(職員マスタ!$H$6:$H$405,$AP634)&lt;&gt;"",$M634&lt;&gt;INDEX(職員マスタ!$H$6:$H$405,$AP634)),"時短終了日がマスタと相違／","")))&amp;IF(AND($B634&lt;&gt;"",$E634=""),"報酬額が未入力／","")&amp;IF(N($U634)&gt;0,"申請書に入力エラーが残っています／","")&amp;IF(AND($B634&lt;&gt;"",$AQ634&lt;&gt;""),IF(COUNTIFS($B$6:$B$3005,$B634,$C$6:$C$3005,$C634,$D$6:$D$3005,$D634)&gt;1,"同じ月の請求が重複しています／",""),"")&amp;IF(AND(N($E634)&gt;0,$AB634&lt;&gt;"",$AB634&lt;&gt;"×",$AE634=0,$AD634=""),"計算額が下限以下のため不支給／",""))</f>
        <v/>
      </c>
      <c r="AN634" s="12" t="n"/>
      <c r="AO634" s="14">
        <f>IF($AF634="保留中",COUNTIF($AF$6:$AF634,"保留中"),"")</f>
        <v/>
      </c>
      <c r="AP634" s="14">
        <f>IF($AQ634="","",IF(SUMPRODUCT(MAX((職員マスタ!$A$6:$A$405=$B634)*(((職員マスタ!$G$6:$G$405="")+(職員マスタ!$G$6:$G$405&lt;=EOMONTH($AQ634,0)))&gt;0)*(((職員マスタ!$H$6:$H$405="")+(職員マスタ!$H$6:$H$405&gt;=$AQ634))&gt;0)*(ROW(職員マスタ!$A$6:$A$405)-5)))&gt;0,SUMPRODUCT(MAX((職員マスタ!$A$6:$A$405=$B634)*(((職員マスタ!$G$6:$G$405="")+(職員マスタ!$G$6:$G$405&lt;=EOMONTH($AQ634,0)))&gt;0)*(((職員マスタ!$H$6:$H$405="")+(職員マスタ!$H$6:$H$405&gt;=$AQ634))&gt;0)*(ROW(職員マスタ!$A$6:$A$405)-5))),IFERROR(MATCH($B634,職員マスタ!$A$6:$A$405,0),"")))</f>
        <v/>
      </c>
      <c r="AQ634" s="16">
        <f>IF(OR($B634="",$C634="",$D634=""),"",DATE($C634+2018,$D634,1))</f>
        <v/>
      </c>
    </row>
    <row r="635">
      <c r="A635" s="11" t="n"/>
      <c r="B635" s="12" t="n"/>
      <c r="C635" s="12" t="n"/>
      <c r="D635" s="12" t="n"/>
      <c r="E635" s="13" t="n"/>
      <c r="F635" s="12" t="n"/>
      <c r="G635" s="13" t="n"/>
      <c r="H635" s="12" t="n"/>
      <c r="I635" s="12" t="n"/>
      <c r="J635" s="12" t="n"/>
      <c r="K635" s="12" t="n"/>
      <c r="L635" s="11" t="n"/>
      <c r="M635" s="11" t="n"/>
      <c r="N635" s="11" t="n"/>
      <c r="O635" s="11" t="n"/>
      <c r="P635" s="12" t="n"/>
      <c r="Q635" s="11" t="n"/>
      <c r="R635" s="12" t="n"/>
      <c r="S635" s="11" t="n"/>
      <c r="T635" s="12" t="n"/>
      <c r="U635" s="12" t="n"/>
      <c r="V635" s="12" t="n"/>
      <c r="W635" s="13" t="n"/>
      <c r="X635" s="14">
        <f>IF($AP635="",IF($B635="","",$H635),IF(INDEX(職員マスタ!$B$6:$B$405,$AP635)="",$H635,INDEX(職員マスタ!$B$6:$B$405,$AP635)))</f>
        <v/>
      </c>
      <c r="Y635" s="14">
        <f>IF($AP635="",IF($B635="","",$R635),IF(INDEX(職員マスタ!$C$6:$C$405,$AP635)="",$R635,INDEX(職員マスタ!$C$6:$C$405,$AP635)))</f>
        <v/>
      </c>
      <c r="Z635" s="14">
        <f>IF($AQ635="","","R"&amp;$C635&amp;"."&amp;$D635)</f>
        <v/>
      </c>
      <c r="AA635" s="15">
        <f>IF(IF($AP635="",FALSE,INDEX(職員マスタ!$K$6:$K$405,$AP635)&lt;&gt;""),INDEX(職員マスタ!$K$6:$K$405,$AP635),IF(N($W635)&gt;0,$W635,""))</f>
        <v/>
      </c>
      <c r="AB635" s="14">
        <f>IF(OR($E635="",$AA635=""),"",IF($E635&gt;=$AA635,"×",IF($E635&gt;=$AA635*設定!$C$5,"△","○")))</f>
        <v/>
      </c>
      <c r="AC635" s="15">
        <f>IF($AB635="","",IF($AB635="×",0,IF($AB635="○",ROUNDDOWN($E635*設定!$C$4,0),ROUNDDOWN($E635*ROUND((9*$AA635-9*$E635)/(10*$E635),4),0))))</f>
        <v/>
      </c>
      <c r="AD635" s="13" t="n"/>
      <c r="AE635" s="15">
        <f>IF($B635="","",IF($AD635&lt;&gt;"",$AD635,IF($AC635="","",IF($AC635&lt;=設定!$C$3,0,$AC635))))</f>
        <v/>
      </c>
      <c r="AF635" s="14">
        <f>IF($B635="","",IF(AND($AG635&lt;&gt;"",$AI635="",$AL635=""),"保留中",IF($AL635&lt;&gt;"",IF(N($AE635)&gt;0,"支給済","不支給"),IF($AE635="","要確認",IF($AE635=0,"不支給","未処理")))))</f>
        <v/>
      </c>
      <c r="AG635" s="12" t="n"/>
      <c r="AH635" s="11" t="n"/>
      <c r="AI635" s="11" t="n"/>
      <c r="AJ635" s="11" t="n"/>
      <c r="AK635" s="14">
        <f>IF(AND($AF635="保留中",$AH635&lt;&gt;""),TODAY()-$AH635,"")</f>
        <v/>
      </c>
      <c r="AL635" s="12" t="n"/>
      <c r="AM635" s="14">
        <f>IF($B635="","",IF($AQ635="","対象年月が未入力／","")&amp;IF($B635="","",IF($AP635="","職員マスタに未登録の職員番号／",IF($AA635="","標準報酬月額が未登録／","")&amp;IF(AND($AQ635&lt;&gt;"",OR(AND(INDEX(職員マスタ!$G$6:$G$405,$AP635)&lt;&gt;"",INDEX(職員マスタ!$G$6:$G$405,$AP635)&gt;EOMONTH($AQ635,0)),AND(INDEX(職員マスタ!$H$6:$H$405,$AP635)&lt;&gt;"",INDEX(職員マスタ!$H$6:$H$405,$AP635)&lt;$AQ635))),"対象月が時短期間外／","")&amp;IF(AND(INDEX(職員マスタ!$K$6:$K$405,$AP635)&lt;&gt;"",N($W635)&gt;0,INDEX(職員マスタ!$K$6:$K$405,$AP635)&lt;&gt;$W635),"標準報酬月額が申請書と相違（台帳"&amp;TEXT(INDEX(職員マスタ!$K$6:$K$405,$AP635),"#,##0")&amp;"円／申請書"&amp;TEXT($W635,"#,##0")&amp;"円）／","")&amp;IF(AND(INDEX(職員マスタ!$F$6:$F$405,$AP635)&lt;&gt;"",$AQ635&lt;&gt;"",INDEX(職員マスタ!$F$6:$F$405,$AP635)&lt;$AQ635),"対象月に子が2歳到達済／","")&amp;IF(AND($H635&lt;&gt;"",INDEX(職員マスタ!$B$6:$B$405,$AP635)&lt;&gt;"",SUBSTITUTE(SUBSTITUTE($H635," ","")," ","")&lt;&gt;SUBSTITUTE(SUBSTITUTE(INDEX(職員マスタ!$B$6:$B$405,$AP635)," ","")," ","")),"氏名がマスタと相違／","")&amp;IF(AND($Q635&lt;&gt;"",INDEX(職員マスタ!$E$6:$E$405,$AP635)&lt;&gt;"",$Q635&lt;&gt;INDEX(職員マスタ!$E$6:$E$405,$AP635)),"子の生年月日がマスタと相違／","")&amp;IF(AND($L635&lt;&gt;"",INDEX(職員マスタ!$G$6:$G$405,$AP635)&lt;&gt;"",$L635&lt;&gt;INDEX(職員マスタ!$G$6:$G$405,$AP635)),"時短開始日がマスタと相違／","")&amp;IF(AND($M635&lt;&gt;"",INDEX(職員マスタ!$H$6:$H$405,$AP635)&lt;&gt;"",$M635&lt;&gt;INDEX(職員マスタ!$H$6:$H$405,$AP635)),"時短終了日がマスタと相違／","")))&amp;IF(AND($B635&lt;&gt;"",$E635=""),"報酬額が未入力／","")&amp;IF(N($U635)&gt;0,"申請書に入力エラーが残っています／","")&amp;IF(AND($B635&lt;&gt;"",$AQ635&lt;&gt;""),IF(COUNTIFS($B$6:$B$3005,$B635,$C$6:$C$3005,$C635,$D$6:$D$3005,$D635)&gt;1,"同じ月の請求が重複しています／",""),"")&amp;IF(AND(N($E635)&gt;0,$AB635&lt;&gt;"",$AB635&lt;&gt;"×",$AE635=0,$AD635=""),"計算額が下限以下のため不支給／",""))</f>
        <v/>
      </c>
      <c r="AN635" s="12" t="n"/>
      <c r="AO635" s="14">
        <f>IF($AF635="保留中",COUNTIF($AF$6:$AF635,"保留中"),"")</f>
        <v/>
      </c>
      <c r="AP635" s="14">
        <f>IF($AQ635="","",IF(SUMPRODUCT(MAX((職員マスタ!$A$6:$A$405=$B635)*(((職員マスタ!$G$6:$G$405="")+(職員マスタ!$G$6:$G$405&lt;=EOMONTH($AQ635,0)))&gt;0)*(((職員マスタ!$H$6:$H$405="")+(職員マスタ!$H$6:$H$405&gt;=$AQ635))&gt;0)*(ROW(職員マスタ!$A$6:$A$405)-5)))&gt;0,SUMPRODUCT(MAX((職員マスタ!$A$6:$A$405=$B635)*(((職員マスタ!$G$6:$G$405="")+(職員マスタ!$G$6:$G$405&lt;=EOMONTH($AQ635,0)))&gt;0)*(((職員マスタ!$H$6:$H$405="")+(職員マスタ!$H$6:$H$405&gt;=$AQ635))&gt;0)*(ROW(職員マスタ!$A$6:$A$405)-5))),IFERROR(MATCH($B635,職員マスタ!$A$6:$A$405,0),"")))</f>
        <v/>
      </c>
      <c r="AQ635" s="16">
        <f>IF(OR($B635="",$C635="",$D635=""),"",DATE($C635+2018,$D635,1))</f>
        <v/>
      </c>
    </row>
    <row r="636">
      <c r="A636" s="11" t="n"/>
      <c r="B636" s="12" t="n"/>
      <c r="C636" s="12" t="n"/>
      <c r="D636" s="12" t="n"/>
      <c r="E636" s="13" t="n"/>
      <c r="F636" s="12" t="n"/>
      <c r="G636" s="13" t="n"/>
      <c r="H636" s="12" t="n"/>
      <c r="I636" s="12" t="n"/>
      <c r="J636" s="12" t="n"/>
      <c r="K636" s="12" t="n"/>
      <c r="L636" s="11" t="n"/>
      <c r="M636" s="11" t="n"/>
      <c r="N636" s="11" t="n"/>
      <c r="O636" s="11" t="n"/>
      <c r="P636" s="12" t="n"/>
      <c r="Q636" s="11" t="n"/>
      <c r="R636" s="12" t="n"/>
      <c r="S636" s="11" t="n"/>
      <c r="T636" s="12" t="n"/>
      <c r="U636" s="12" t="n"/>
      <c r="V636" s="12" t="n"/>
      <c r="W636" s="13" t="n"/>
      <c r="X636" s="14">
        <f>IF($AP636="",IF($B636="","",$H636),IF(INDEX(職員マスタ!$B$6:$B$405,$AP636)="",$H636,INDEX(職員マスタ!$B$6:$B$405,$AP636)))</f>
        <v/>
      </c>
      <c r="Y636" s="14">
        <f>IF($AP636="",IF($B636="","",$R636),IF(INDEX(職員マスタ!$C$6:$C$405,$AP636)="",$R636,INDEX(職員マスタ!$C$6:$C$405,$AP636)))</f>
        <v/>
      </c>
      <c r="Z636" s="14">
        <f>IF($AQ636="","","R"&amp;$C636&amp;"."&amp;$D636)</f>
        <v/>
      </c>
      <c r="AA636" s="15">
        <f>IF(IF($AP636="",FALSE,INDEX(職員マスタ!$K$6:$K$405,$AP636)&lt;&gt;""),INDEX(職員マスタ!$K$6:$K$405,$AP636),IF(N($W636)&gt;0,$W636,""))</f>
        <v/>
      </c>
      <c r="AB636" s="14">
        <f>IF(OR($E636="",$AA636=""),"",IF($E636&gt;=$AA636,"×",IF($E636&gt;=$AA636*設定!$C$5,"△","○")))</f>
        <v/>
      </c>
      <c r="AC636" s="15">
        <f>IF($AB636="","",IF($AB636="×",0,IF($AB636="○",ROUNDDOWN($E636*設定!$C$4,0),ROUNDDOWN($E636*ROUND((9*$AA636-9*$E636)/(10*$E636),4),0))))</f>
        <v/>
      </c>
      <c r="AD636" s="13" t="n"/>
      <c r="AE636" s="15">
        <f>IF($B636="","",IF($AD636&lt;&gt;"",$AD636,IF($AC636="","",IF($AC636&lt;=設定!$C$3,0,$AC636))))</f>
        <v/>
      </c>
      <c r="AF636" s="14">
        <f>IF($B636="","",IF(AND($AG636&lt;&gt;"",$AI636="",$AL636=""),"保留中",IF($AL636&lt;&gt;"",IF(N($AE636)&gt;0,"支給済","不支給"),IF($AE636="","要確認",IF($AE636=0,"不支給","未処理")))))</f>
        <v/>
      </c>
      <c r="AG636" s="12" t="n"/>
      <c r="AH636" s="11" t="n"/>
      <c r="AI636" s="11" t="n"/>
      <c r="AJ636" s="11" t="n"/>
      <c r="AK636" s="14">
        <f>IF(AND($AF636="保留中",$AH636&lt;&gt;""),TODAY()-$AH636,"")</f>
        <v/>
      </c>
      <c r="AL636" s="12" t="n"/>
      <c r="AM636" s="14">
        <f>IF($B636="","",IF($AQ636="","対象年月が未入力／","")&amp;IF($B636="","",IF($AP636="","職員マスタに未登録の職員番号／",IF($AA636="","標準報酬月額が未登録／","")&amp;IF(AND($AQ636&lt;&gt;"",OR(AND(INDEX(職員マスタ!$G$6:$G$405,$AP636)&lt;&gt;"",INDEX(職員マスタ!$G$6:$G$405,$AP636)&gt;EOMONTH($AQ636,0)),AND(INDEX(職員マスタ!$H$6:$H$405,$AP636)&lt;&gt;"",INDEX(職員マスタ!$H$6:$H$405,$AP636)&lt;$AQ636))),"対象月が時短期間外／","")&amp;IF(AND(INDEX(職員マスタ!$K$6:$K$405,$AP636)&lt;&gt;"",N($W636)&gt;0,INDEX(職員マスタ!$K$6:$K$405,$AP636)&lt;&gt;$W636),"標準報酬月額が申請書と相違（台帳"&amp;TEXT(INDEX(職員マスタ!$K$6:$K$405,$AP636),"#,##0")&amp;"円／申請書"&amp;TEXT($W636,"#,##0")&amp;"円）／","")&amp;IF(AND(INDEX(職員マスタ!$F$6:$F$405,$AP636)&lt;&gt;"",$AQ636&lt;&gt;"",INDEX(職員マスタ!$F$6:$F$405,$AP636)&lt;$AQ636),"対象月に子が2歳到達済／","")&amp;IF(AND($H636&lt;&gt;"",INDEX(職員マスタ!$B$6:$B$405,$AP636)&lt;&gt;"",SUBSTITUTE(SUBSTITUTE($H636," ","")," ","")&lt;&gt;SUBSTITUTE(SUBSTITUTE(INDEX(職員マスタ!$B$6:$B$405,$AP636)," ","")," ","")),"氏名がマスタと相違／","")&amp;IF(AND($Q636&lt;&gt;"",INDEX(職員マスタ!$E$6:$E$405,$AP636)&lt;&gt;"",$Q636&lt;&gt;INDEX(職員マスタ!$E$6:$E$405,$AP636)),"子の生年月日がマスタと相違／","")&amp;IF(AND($L636&lt;&gt;"",INDEX(職員マスタ!$G$6:$G$405,$AP636)&lt;&gt;"",$L636&lt;&gt;INDEX(職員マスタ!$G$6:$G$405,$AP636)),"時短開始日がマスタと相違／","")&amp;IF(AND($M636&lt;&gt;"",INDEX(職員マスタ!$H$6:$H$405,$AP636)&lt;&gt;"",$M636&lt;&gt;INDEX(職員マスタ!$H$6:$H$405,$AP636)),"時短終了日がマスタと相違／","")))&amp;IF(AND($B636&lt;&gt;"",$E636=""),"報酬額が未入力／","")&amp;IF(N($U636)&gt;0,"申請書に入力エラーが残っています／","")&amp;IF(AND($B636&lt;&gt;"",$AQ636&lt;&gt;""),IF(COUNTIFS($B$6:$B$3005,$B636,$C$6:$C$3005,$C636,$D$6:$D$3005,$D636)&gt;1,"同じ月の請求が重複しています／",""),"")&amp;IF(AND(N($E636)&gt;0,$AB636&lt;&gt;"",$AB636&lt;&gt;"×",$AE636=0,$AD636=""),"計算額が下限以下のため不支給／",""))</f>
        <v/>
      </c>
      <c r="AN636" s="12" t="n"/>
      <c r="AO636" s="14">
        <f>IF($AF636="保留中",COUNTIF($AF$6:$AF636,"保留中"),"")</f>
        <v/>
      </c>
      <c r="AP636" s="14">
        <f>IF($AQ636="","",IF(SUMPRODUCT(MAX((職員マスタ!$A$6:$A$405=$B636)*(((職員マスタ!$G$6:$G$405="")+(職員マスタ!$G$6:$G$405&lt;=EOMONTH($AQ636,0)))&gt;0)*(((職員マスタ!$H$6:$H$405="")+(職員マスタ!$H$6:$H$405&gt;=$AQ636))&gt;0)*(ROW(職員マスタ!$A$6:$A$405)-5)))&gt;0,SUMPRODUCT(MAX((職員マスタ!$A$6:$A$405=$B636)*(((職員マスタ!$G$6:$G$405="")+(職員マスタ!$G$6:$G$405&lt;=EOMONTH($AQ636,0)))&gt;0)*(((職員マスタ!$H$6:$H$405="")+(職員マスタ!$H$6:$H$405&gt;=$AQ636))&gt;0)*(ROW(職員マスタ!$A$6:$A$405)-5))),IFERROR(MATCH($B636,職員マスタ!$A$6:$A$405,0),"")))</f>
        <v/>
      </c>
      <c r="AQ636" s="16">
        <f>IF(OR($B636="",$C636="",$D636=""),"",DATE($C636+2018,$D636,1))</f>
        <v/>
      </c>
    </row>
    <row r="637">
      <c r="A637" s="11" t="n"/>
      <c r="B637" s="12" t="n"/>
      <c r="C637" s="12" t="n"/>
      <c r="D637" s="12" t="n"/>
      <c r="E637" s="13" t="n"/>
      <c r="F637" s="12" t="n"/>
      <c r="G637" s="13" t="n"/>
      <c r="H637" s="12" t="n"/>
      <c r="I637" s="12" t="n"/>
      <c r="J637" s="12" t="n"/>
      <c r="K637" s="12" t="n"/>
      <c r="L637" s="11" t="n"/>
      <c r="M637" s="11" t="n"/>
      <c r="N637" s="11" t="n"/>
      <c r="O637" s="11" t="n"/>
      <c r="P637" s="12" t="n"/>
      <c r="Q637" s="11" t="n"/>
      <c r="R637" s="12" t="n"/>
      <c r="S637" s="11" t="n"/>
      <c r="T637" s="12" t="n"/>
      <c r="U637" s="12" t="n"/>
      <c r="V637" s="12" t="n"/>
      <c r="W637" s="13" t="n"/>
      <c r="X637" s="14">
        <f>IF($AP637="",IF($B637="","",$H637),IF(INDEX(職員マスタ!$B$6:$B$405,$AP637)="",$H637,INDEX(職員マスタ!$B$6:$B$405,$AP637)))</f>
        <v/>
      </c>
      <c r="Y637" s="14">
        <f>IF($AP637="",IF($B637="","",$R637),IF(INDEX(職員マスタ!$C$6:$C$405,$AP637)="",$R637,INDEX(職員マスタ!$C$6:$C$405,$AP637)))</f>
        <v/>
      </c>
      <c r="Z637" s="14">
        <f>IF($AQ637="","","R"&amp;$C637&amp;"."&amp;$D637)</f>
        <v/>
      </c>
      <c r="AA637" s="15">
        <f>IF(IF($AP637="",FALSE,INDEX(職員マスタ!$K$6:$K$405,$AP637)&lt;&gt;""),INDEX(職員マスタ!$K$6:$K$405,$AP637),IF(N($W637)&gt;0,$W637,""))</f>
        <v/>
      </c>
      <c r="AB637" s="14">
        <f>IF(OR($E637="",$AA637=""),"",IF($E637&gt;=$AA637,"×",IF($E637&gt;=$AA637*設定!$C$5,"△","○")))</f>
        <v/>
      </c>
      <c r="AC637" s="15">
        <f>IF($AB637="","",IF($AB637="×",0,IF($AB637="○",ROUNDDOWN($E637*設定!$C$4,0),ROUNDDOWN($E637*ROUND((9*$AA637-9*$E637)/(10*$E637),4),0))))</f>
        <v/>
      </c>
      <c r="AD637" s="13" t="n"/>
      <c r="AE637" s="15">
        <f>IF($B637="","",IF($AD637&lt;&gt;"",$AD637,IF($AC637="","",IF($AC637&lt;=設定!$C$3,0,$AC637))))</f>
        <v/>
      </c>
      <c r="AF637" s="14">
        <f>IF($B637="","",IF(AND($AG637&lt;&gt;"",$AI637="",$AL637=""),"保留中",IF($AL637&lt;&gt;"",IF(N($AE637)&gt;0,"支給済","不支給"),IF($AE637="","要確認",IF($AE637=0,"不支給","未処理")))))</f>
        <v/>
      </c>
      <c r="AG637" s="12" t="n"/>
      <c r="AH637" s="11" t="n"/>
      <c r="AI637" s="11" t="n"/>
      <c r="AJ637" s="11" t="n"/>
      <c r="AK637" s="14">
        <f>IF(AND($AF637="保留中",$AH637&lt;&gt;""),TODAY()-$AH637,"")</f>
        <v/>
      </c>
      <c r="AL637" s="12" t="n"/>
      <c r="AM637" s="14">
        <f>IF($B637="","",IF($AQ637="","対象年月が未入力／","")&amp;IF($B637="","",IF($AP637="","職員マスタに未登録の職員番号／",IF($AA637="","標準報酬月額が未登録／","")&amp;IF(AND($AQ637&lt;&gt;"",OR(AND(INDEX(職員マスタ!$G$6:$G$405,$AP637)&lt;&gt;"",INDEX(職員マスタ!$G$6:$G$405,$AP637)&gt;EOMONTH($AQ637,0)),AND(INDEX(職員マスタ!$H$6:$H$405,$AP637)&lt;&gt;"",INDEX(職員マスタ!$H$6:$H$405,$AP637)&lt;$AQ637))),"対象月が時短期間外／","")&amp;IF(AND(INDEX(職員マスタ!$K$6:$K$405,$AP637)&lt;&gt;"",N($W637)&gt;0,INDEX(職員マスタ!$K$6:$K$405,$AP637)&lt;&gt;$W637),"標準報酬月額が申請書と相違（台帳"&amp;TEXT(INDEX(職員マスタ!$K$6:$K$405,$AP637),"#,##0")&amp;"円／申請書"&amp;TEXT($W637,"#,##0")&amp;"円）／","")&amp;IF(AND(INDEX(職員マスタ!$F$6:$F$405,$AP637)&lt;&gt;"",$AQ637&lt;&gt;"",INDEX(職員マスタ!$F$6:$F$405,$AP637)&lt;$AQ637),"対象月に子が2歳到達済／","")&amp;IF(AND($H637&lt;&gt;"",INDEX(職員マスタ!$B$6:$B$405,$AP637)&lt;&gt;"",SUBSTITUTE(SUBSTITUTE($H637," ","")," ","")&lt;&gt;SUBSTITUTE(SUBSTITUTE(INDEX(職員マスタ!$B$6:$B$405,$AP637)," ","")," ","")),"氏名がマスタと相違／","")&amp;IF(AND($Q637&lt;&gt;"",INDEX(職員マスタ!$E$6:$E$405,$AP637)&lt;&gt;"",$Q637&lt;&gt;INDEX(職員マスタ!$E$6:$E$405,$AP637)),"子の生年月日がマスタと相違／","")&amp;IF(AND($L637&lt;&gt;"",INDEX(職員マスタ!$G$6:$G$405,$AP637)&lt;&gt;"",$L637&lt;&gt;INDEX(職員マスタ!$G$6:$G$405,$AP637)),"時短開始日がマスタと相違／","")&amp;IF(AND($M637&lt;&gt;"",INDEX(職員マスタ!$H$6:$H$405,$AP637)&lt;&gt;"",$M637&lt;&gt;INDEX(職員マスタ!$H$6:$H$405,$AP637)),"時短終了日がマスタと相違／","")))&amp;IF(AND($B637&lt;&gt;"",$E637=""),"報酬額が未入力／","")&amp;IF(N($U637)&gt;0,"申請書に入力エラーが残っています／","")&amp;IF(AND($B637&lt;&gt;"",$AQ637&lt;&gt;""),IF(COUNTIFS($B$6:$B$3005,$B637,$C$6:$C$3005,$C637,$D$6:$D$3005,$D637)&gt;1,"同じ月の請求が重複しています／",""),"")&amp;IF(AND(N($E637)&gt;0,$AB637&lt;&gt;"",$AB637&lt;&gt;"×",$AE637=0,$AD637=""),"計算額が下限以下のため不支給／",""))</f>
        <v/>
      </c>
      <c r="AN637" s="12" t="n"/>
      <c r="AO637" s="14">
        <f>IF($AF637="保留中",COUNTIF($AF$6:$AF637,"保留中"),"")</f>
        <v/>
      </c>
      <c r="AP637" s="14">
        <f>IF($AQ637="","",IF(SUMPRODUCT(MAX((職員マスタ!$A$6:$A$405=$B637)*(((職員マスタ!$G$6:$G$405="")+(職員マスタ!$G$6:$G$405&lt;=EOMONTH($AQ637,0)))&gt;0)*(((職員マスタ!$H$6:$H$405="")+(職員マスタ!$H$6:$H$405&gt;=$AQ637))&gt;0)*(ROW(職員マスタ!$A$6:$A$405)-5)))&gt;0,SUMPRODUCT(MAX((職員マスタ!$A$6:$A$405=$B637)*(((職員マスタ!$G$6:$G$405="")+(職員マスタ!$G$6:$G$405&lt;=EOMONTH($AQ637,0)))&gt;0)*(((職員マスタ!$H$6:$H$405="")+(職員マスタ!$H$6:$H$405&gt;=$AQ637))&gt;0)*(ROW(職員マスタ!$A$6:$A$405)-5))),IFERROR(MATCH($B637,職員マスタ!$A$6:$A$405,0),"")))</f>
        <v/>
      </c>
      <c r="AQ637" s="16">
        <f>IF(OR($B637="",$C637="",$D637=""),"",DATE($C637+2018,$D637,1))</f>
        <v/>
      </c>
    </row>
    <row r="638">
      <c r="A638" s="11" t="n"/>
      <c r="B638" s="12" t="n"/>
      <c r="C638" s="12" t="n"/>
      <c r="D638" s="12" t="n"/>
      <c r="E638" s="13" t="n"/>
      <c r="F638" s="12" t="n"/>
      <c r="G638" s="13" t="n"/>
      <c r="H638" s="12" t="n"/>
      <c r="I638" s="12" t="n"/>
      <c r="J638" s="12" t="n"/>
      <c r="K638" s="12" t="n"/>
      <c r="L638" s="11" t="n"/>
      <c r="M638" s="11" t="n"/>
      <c r="N638" s="11" t="n"/>
      <c r="O638" s="11" t="n"/>
      <c r="P638" s="12" t="n"/>
      <c r="Q638" s="11" t="n"/>
      <c r="R638" s="12" t="n"/>
      <c r="S638" s="11" t="n"/>
      <c r="T638" s="12" t="n"/>
      <c r="U638" s="12" t="n"/>
      <c r="V638" s="12" t="n"/>
      <c r="W638" s="13" t="n"/>
      <c r="X638" s="14">
        <f>IF($AP638="",IF($B638="","",$H638),IF(INDEX(職員マスタ!$B$6:$B$405,$AP638)="",$H638,INDEX(職員マスタ!$B$6:$B$405,$AP638)))</f>
        <v/>
      </c>
      <c r="Y638" s="14">
        <f>IF($AP638="",IF($B638="","",$R638),IF(INDEX(職員マスタ!$C$6:$C$405,$AP638)="",$R638,INDEX(職員マスタ!$C$6:$C$405,$AP638)))</f>
        <v/>
      </c>
      <c r="Z638" s="14">
        <f>IF($AQ638="","","R"&amp;$C638&amp;"."&amp;$D638)</f>
        <v/>
      </c>
      <c r="AA638" s="15">
        <f>IF(IF($AP638="",FALSE,INDEX(職員マスタ!$K$6:$K$405,$AP638)&lt;&gt;""),INDEX(職員マスタ!$K$6:$K$405,$AP638),IF(N($W638)&gt;0,$W638,""))</f>
        <v/>
      </c>
      <c r="AB638" s="14">
        <f>IF(OR($E638="",$AA638=""),"",IF($E638&gt;=$AA638,"×",IF($E638&gt;=$AA638*設定!$C$5,"△","○")))</f>
        <v/>
      </c>
      <c r="AC638" s="15">
        <f>IF($AB638="","",IF($AB638="×",0,IF($AB638="○",ROUNDDOWN($E638*設定!$C$4,0),ROUNDDOWN($E638*ROUND((9*$AA638-9*$E638)/(10*$E638),4),0))))</f>
        <v/>
      </c>
      <c r="AD638" s="13" t="n"/>
      <c r="AE638" s="15">
        <f>IF($B638="","",IF($AD638&lt;&gt;"",$AD638,IF($AC638="","",IF($AC638&lt;=設定!$C$3,0,$AC638))))</f>
        <v/>
      </c>
      <c r="AF638" s="14">
        <f>IF($B638="","",IF(AND($AG638&lt;&gt;"",$AI638="",$AL638=""),"保留中",IF($AL638&lt;&gt;"",IF(N($AE638)&gt;0,"支給済","不支給"),IF($AE638="","要確認",IF($AE638=0,"不支給","未処理")))))</f>
        <v/>
      </c>
      <c r="AG638" s="12" t="n"/>
      <c r="AH638" s="11" t="n"/>
      <c r="AI638" s="11" t="n"/>
      <c r="AJ638" s="11" t="n"/>
      <c r="AK638" s="14">
        <f>IF(AND($AF638="保留中",$AH638&lt;&gt;""),TODAY()-$AH638,"")</f>
        <v/>
      </c>
      <c r="AL638" s="12" t="n"/>
      <c r="AM638" s="14">
        <f>IF($B638="","",IF($AQ638="","対象年月が未入力／","")&amp;IF($B638="","",IF($AP638="","職員マスタに未登録の職員番号／",IF($AA638="","標準報酬月額が未登録／","")&amp;IF(AND($AQ638&lt;&gt;"",OR(AND(INDEX(職員マスタ!$G$6:$G$405,$AP638)&lt;&gt;"",INDEX(職員マスタ!$G$6:$G$405,$AP638)&gt;EOMONTH($AQ638,0)),AND(INDEX(職員マスタ!$H$6:$H$405,$AP638)&lt;&gt;"",INDEX(職員マスタ!$H$6:$H$405,$AP638)&lt;$AQ638))),"対象月が時短期間外／","")&amp;IF(AND(INDEX(職員マスタ!$K$6:$K$405,$AP638)&lt;&gt;"",N($W638)&gt;0,INDEX(職員マスタ!$K$6:$K$405,$AP638)&lt;&gt;$W638),"標準報酬月額が申請書と相違（台帳"&amp;TEXT(INDEX(職員マスタ!$K$6:$K$405,$AP638),"#,##0")&amp;"円／申請書"&amp;TEXT($W638,"#,##0")&amp;"円）／","")&amp;IF(AND(INDEX(職員マスタ!$F$6:$F$405,$AP638)&lt;&gt;"",$AQ638&lt;&gt;"",INDEX(職員マスタ!$F$6:$F$405,$AP638)&lt;$AQ638),"対象月に子が2歳到達済／","")&amp;IF(AND($H638&lt;&gt;"",INDEX(職員マスタ!$B$6:$B$405,$AP638)&lt;&gt;"",SUBSTITUTE(SUBSTITUTE($H638," ","")," ","")&lt;&gt;SUBSTITUTE(SUBSTITUTE(INDEX(職員マスタ!$B$6:$B$405,$AP638)," ","")," ","")),"氏名がマスタと相違／","")&amp;IF(AND($Q638&lt;&gt;"",INDEX(職員マスタ!$E$6:$E$405,$AP638)&lt;&gt;"",$Q638&lt;&gt;INDEX(職員マスタ!$E$6:$E$405,$AP638)),"子の生年月日がマスタと相違／","")&amp;IF(AND($L638&lt;&gt;"",INDEX(職員マスタ!$G$6:$G$405,$AP638)&lt;&gt;"",$L638&lt;&gt;INDEX(職員マスタ!$G$6:$G$405,$AP638)),"時短開始日がマスタと相違／","")&amp;IF(AND($M638&lt;&gt;"",INDEX(職員マスタ!$H$6:$H$405,$AP638)&lt;&gt;"",$M638&lt;&gt;INDEX(職員マスタ!$H$6:$H$405,$AP638)),"時短終了日がマスタと相違／","")))&amp;IF(AND($B638&lt;&gt;"",$E638=""),"報酬額が未入力／","")&amp;IF(N($U638)&gt;0,"申請書に入力エラーが残っています／","")&amp;IF(AND($B638&lt;&gt;"",$AQ638&lt;&gt;""),IF(COUNTIFS($B$6:$B$3005,$B638,$C$6:$C$3005,$C638,$D$6:$D$3005,$D638)&gt;1,"同じ月の請求が重複しています／",""),"")&amp;IF(AND(N($E638)&gt;0,$AB638&lt;&gt;"",$AB638&lt;&gt;"×",$AE638=0,$AD638=""),"計算額が下限以下のため不支給／",""))</f>
        <v/>
      </c>
      <c r="AN638" s="12" t="n"/>
      <c r="AO638" s="14">
        <f>IF($AF638="保留中",COUNTIF($AF$6:$AF638,"保留中"),"")</f>
        <v/>
      </c>
      <c r="AP638" s="14">
        <f>IF($AQ638="","",IF(SUMPRODUCT(MAX((職員マスタ!$A$6:$A$405=$B638)*(((職員マスタ!$G$6:$G$405="")+(職員マスタ!$G$6:$G$405&lt;=EOMONTH($AQ638,0)))&gt;0)*(((職員マスタ!$H$6:$H$405="")+(職員マスタ!$H$6:$H$405&gt;=$AQ638))&gt;0)*(ROW(職員マスタ!$A$6:$A$405)-5)))&gt;0,SUMPRODUCT(MAX((職員マスタ!$A$6:$A$405=$B638)*(((職員マスタ!$G$6:$G$405="")+(職員マスタ!$G$6:$G$405&lt;=EOMONTH($AQ638,0)))&gt;0)*(((職員マスタ!$H$6:$H$405="")+(職員マスタ!$H$6:$H$405&gt;=$AQ638))&gt;0)*(ROW(職員マスタ!$A$6:$A$405)-5))),IFERROR(MATCH($B638,職員マスタ!$A$6:$A$405,0),"")))</f>
        <v/>
      </c>
      <c r="AQ638" s="16">
        <f>IF(OR($B638="",$C638="",$D638=""),"",DATE($C638+2018,$D638,1))</f>
        <v/>
      </c>
    </row>
    <row r="639">
      <c r="A639" s="11" t="n"/>
      <c r="B639" s="12" t="n"/>
      <c r="C639" s="12" t="n"/>
      <c r="D639" s="12" t="n"/>
      <c r="E639" s="13" t="n"/>
      <c r="F639" s="12" t="n"/>
      <c r="G639" s="13" t="n"/>
      <c r="H639" s="12" t="n"/>
      <c r="I639" s="12" t="n"/>
      <c r="J639" s="12" t="n"/>
      <c r="K639" s="12" t="n"/>
      <c r="L639" s="11" t="n"/>
      <c r="M639" s="11" t="n"/>
      <c r="N639" s="11" t="n"/>
      <c r="O639" s="11" t="n"/>
      <c r="P639" s="12" t="n"/>
      <c r="Q639" s="11" t="n"/>
      <c r="R639" s="12" t="n"/>
      <c r="S639" s="11" t="n"/>
      <c r="T639" s="12" t="n"/>
      <c r="U639" s="12" t="n"/>
      <c r="V639" s="12" t="n"/>
      <c r="W639" s="13" t="n"/>
      <c r="X639" s="14">
        <f>IF($AP639="",IF($B639="","",$H639),IF(INDEX(職員マスタ!$B$6:$B$405,$AP639)="",$H639,INDEX(職員マスタ!$B$6:$B$405,$AP639)))</f>
        <v/>
      </c>
      <c r="Y639" s="14">
        <f>IF($AP639="",IF($B639="","",$R639),IF(INDEX(職員マスタ!$C$6:$C$405,$AP639)="",$R639,INDEX(職員マスタ!$C$6:$C$405,$AP639)))</f>
        <v/>
      </c>
      <c r="Z639" s="14">
        <f>IF($AQ639="","","R"&amp;$C639&amp;"."&amp;$D639)</f>
        <v/>
      </c>
      <c r="AA639" s="15">
        <f>IF(IF($AP639="",FALSE,INDEX(職員マスタ!$K$6:$K$405,$AP639)&lt;&gt;""),INDEX(職員マスタ!$K$6:$K$405,$AP639),IF(N($W639)&gt;0,$W639,""))</f>
        <v/>
      </c>
      <c r="AB639" s="14">
        <f>IF(OR($E639="",$AA639=""),"",IF($E639&gt;=$AA639,"×",IF($E639&gt;=$AA639*設定!$C$5,"△","○")))</f>
        <v/>
      </c>
      <c r="AC639" s="15">
        <f>IF($AB639="","",IF($AB639="×",0,IF($AB639="○",ROUNDDOWN($E639*設定!$C$4,0),ROUNDDOWN($E639*ROUND((9*$AA639-9*$E639)/(10*$E639),4),0))))</f>
        <v/>
      </c>
      <c r="AD639" s="13" t="n"/>
      <c r="AE639" s="15">
        <f>IF($B639="","",IF($AD639&lt;&gt;"",$AD639,IF($AC639="","",IF($AC639&lt;=設定!$C$3,0,$AC639))))</f>
        <v/>
      </c>
      <c r="AF639" s="14">
        <f>IF($B639="","",IF(AND($AG639&lt;&gt;"",$AI639="",$AL639=""),"保留中",IF($AL639&lt;&gt;"",IF(N($AE639)&gt;0,"支給済","不支給"),IF($AE639="","要確認",IF($AE639=0,"不支給","未処理")))))</f>
        <v/>
      </c>
      <c r="AG639" s="12" t="n"/>
      <c r="AH639" s="11" t="n"/>
      <c r="AI639" s="11" t="n"/>
      <c r="AJ639" s="11" t="n"/>
      <c r="AK639" s="14">
        <f>IF(AND($AF639="保留中",$AH639&lt;&gt;""),TODAY()-$AH639,"")</f>
        <v/>
      </c>
      <c r="AL639" s="12" t="n"/>
      <c r="AM639" s="14">
        <f>IF($B639="","",IF($AQ639="","対象年月が未入力／","")&amp;IF($B639="","",IF($AP639="","職員マスタに未登録の職員番号／",IF($AA639="","標準報酬月額が未登録／","")&amp;IF(AND($AQ639&lt;&gt;"",OR(AND(INDEX(職員マスタ!$G$6:$G$405,$AP639)&lt;&gt;"",INDEX(職員マスタ!$G$6:$G$405,$AP639)&gt;EOMONTH($AQ639,0)),AND(INDEX(職員マスタ!$H$6:$H$405,$AP639)&lt;&gt;"",INDEX(職員マスタ!$H$6:$H$405,$AP639)&lt;$AQ639))),"対象月が時短期間外／","")&amp;IF(AND(INDEX(職員マスタ!$K$6:$K$405,$AP639)&lt;&gt;"",N($W639)&gt;0,INDEX(職員マスタ!$K$6:$K$405,$AP639)&lt;&gt;$W639),"標準報酬月額が申請書と相違（台帳"&amp;TEXT(INDEX(職員マスタ!$K$6:$K$405,$AP639),"#,##0")&amp;"円／申請書"&amp;TEXT($W639,"#,##0")&amp;"円）／","")&amp;IF(AND(INDEX(職員マスタ!$F$6:$F$405,$AP639)&lt;&gt;"",$AQ639&lt;&gt;"",INDEX(職員マスタ!$F$6:$F$405,$AP639)&lt;$AQ639),"対象月に子が2歳到達済／","")&amp;IF(AND($H639&lt;&gt;"",INDEX(職員マスタ!$B$6:$B$405,$AP639)&lt;&gt;"",SUBSTITUTE(SUBSTITUTE($H639," ","")," ","")&lt;&gt;SUBSTITUTE(SUBSTITUTE(INDEX(職員マスタ!$B$6:$B$405,$AP639)," ","")," ","")),"氏名がマスタと相違／","")&amp;IF(AND($Q639&lt;&gt;"",INDEX(職員マスタ!$E$6:$E$405,$AP639)&lt;&gt;"",$Q639&lt;&gt;INDEX(職員マスタ!$E$6:$E$405,$AP639)),"子の生年月日がマスタと相違／","")&amp;IF(AND($L639&lt;&gt;"",INDEX(職員マスタ!$G$6:$G$405,$AP639)&lt;&gt;"",$L639&lt;&gt;INDEX(職員マスタ!$G$6:$G$405,$AP639)),"時短開始日がマスタと相違／","")&amp;IF(AND($M639&lt;&gt;"",INDEX(職員マスタ!$H$6:$H$405,$AP639)&lt;&gt;"",$M639&lt;&gt;INDEX(職員マスタ!$H$6:$H$405,$AP639)),"時短終了日がマスタと相違／","")))&amp;IF(AND($B639&lt;&gt;"",$E639=""),"報酬額が未入力／","")&amp;IF(N($U639)&gt;0,"申請書に入力エラーが残っています／","")&amp;IF(AND($B639&lt;&gt;"",$AQ639&lt;&gt;""),IF(COUNTIFS($B$6:$B$3005,$B639,$C$6:$C$3005,$C639,$D$6:$D$3005,$D639)&gt;1,"同じ月の請求が重複しています／",""),"")&amp;IF(AND(N($E639)&gt;0,$AB639&lt;&gt;"",$AB639&lt;&gt;"×",$AE639=0,$AD639=""),"計算額が下限以下のため不支給／",""))</f>
        <v/>
      </c>
      <c r="AN639" s="12" t="n"/>
      <c r="AO639" s="14">
        <f>IF($AF639="保留中",COUNTIF($AF$6:$AF639,"保留中"),"")</f>
        <v/>
      </c>
      <c r="AP639" s="14">
        <f>IF($AQ639="","",IF(SUMPRODUCT(MAX((職員マスタ!$A$6:$A$405=$B639)*(((職員マスタ!$G$6:$G$405="")+(職員マスタ!$G$6:$G$405&lt;=EOMONTH($AQ639,0)))&gt;0)*(((職員マスタ!$H$6:$H$405="")+(職員マスタ!$H$6:$H$405&gt;=$AQ639))&gt;0)*(ROW(職員マスタ!$A$6:$A$405)-5)))&gt;0,SUMPRODUCT(MAX((職員マスタ!$A$6:$A$405=$B639)*(((職員マスタ!$G$6:$G$405="")+(職員マスタ!$G$6:$G$405&lt;=EOMONTH($AQ639,0)))&gt;0)*(((職員マスタ!$H$6:$H$405="")+(職員マスタ!$H$6:$H$405&gt;=$AQ639))&gt;0)*(ROW(職員マスタ!$A$6:$A$405)-5))),IFERROR(MATCH($B639,職員マスタ!$A$6:$A$405,0),"")))</f>
        <v/>
      </c>
      <c r="AQ639" s="16">
        <f>IF(OR($B639="",$C639="",$D639=""),"",DATE($C639+2018,$D639,1))</f>
        <v/>
      </c>
    </row>
    <row r="640">
      <c r="A640" s="11" t="n"/>
      <c r="B640" s="12" t="n"/>
      <c r="C640" s="12" t="n"/>
      <c r="D640" s="12" t="n"/>
      <c r="E640" s="13" t="n"/>
      <c r="F640" s="12" t="n"/>
      <c r="G640" s="13" t="n"/>
      <c r="H640" s="12" t="n"/>
      <c r="I640" s="12" t="n"/>
      <c r="J640" s="12" t="n"/>
      <c r="K640" s="12" t="n"/>
      <c r="L640" s="11" t="n"/>
      <c r="M640" s="11" t="n"/>
      <c r="N640" s="11" t="n"/>
      <c r="O640" s="11" t="n"/>
      <c r="P640" s="12" t="n"/>
      <c r="Q640" s="11" t="n"/>
      <c r="R640" s="12" t="n"/>
      <c r="S640" s="11" t="n"/>
      <c r="T640" s="12" t="n"/>
      <c r="U640" s="12" t="n"/>
      <c r="V640" s="12" t="n"/>
      <c r="W640" s="13" t="n"/>
      <c r="X640" s="14">
        <f>IF($AP640="",IF($B640="","",$H640),IF(INDEX(職員マスタ!$B$6:$B$405,$AP640)="",$H640,INDEX(職員マスタ!$B$6:$B$405,$AP640)))</f>
        <v/>
      </c>
      <c r="Y640" s="14">
        <f>IF($AP640="",IF($B640="","",$R640),IF(INDEX(職員マスタ!$C$6:$C$405,$AP640)="",$R640,INDEX(職員マスタ!$C$6:$C$405,$AP640)))</f>
        <v/>
      </c>
      <c r="Z640" s="14">
        <f>IF($AQ640="","","R"&amp;$C640&amp;"."&amp;$D640)</f>
        <v/>
      </c>
      <c r="AA640" s="15">
        <f>IF(IF($AP640="",FALSE,INDEX(職員マスタ!$K$6:$K$405,$AP640)&lt;&gt;""),INDEX(職員マスタ!$K$6:$K$405,$AP640),IF(N($W640)&gt;0,$W640,""))</f>
        <v/>
      </c>
      <c r="AB640" s="14">
        <f>IF(OR($E640="",$AA640=""),"",IF($E640&gt;=$AA640,"×",IF($E640&gt;=$AA640*設定!$C$5,"△","○")))</f>
        <v/>
      </c>
      <c r="AC640" s="15">
        <f>IF($AB640="","",IF($AB640="×",0,IF($AB640="○",ROUNDDOWN($E640*設定!$C$4,0),ROUNDDOWN($E640*ROUND((9*$AA640-9*$E640)/(10*$E640),4),0))))</f>
        <v/>
      </c>
      <c r="AD640" s="13" t="n"/>
      <c r="AE640" s="15">
        <f>IF($B640="","",IF($AD640&lt;&gt;"",$AD640,IF($AC640="","",IF($AC640&lt;=設定!$C$3,0,$AC640))))</f>
        <v/>
      </c>
      <c r="AF640" s="14">
        <f>IF($B640="","",IF(AND($AG640&lt;&gt;"",$AI640="",$AL640=""),"保留中",IF($AL640&lt;&gt;"",IF(N($AE640)&gt;0,"支給済","不支給"),IF($AE640="","要確認",IF($AE640=0,"不支給","未処理")))))</f>
        <v/>
      </c>
      <c r="AG640" s="12" t="n"/>
      <c r="AH640" s="11" t="n"/>
      <c r="AI640" s="11" t="n"/>
      <c r="AJ640" s="11" t="n"/>
      <c r="AK640" s="14">
        <f>IF(AND($AF640="保留中",$AH640&lt;&gt;""),TODAY()-$AH640,"")</f>
        <v/>
      </c>
      <c r="AL640" s="12" t="n"/>
      <c r="AM640" s="14">
        <f>IF($B640="","",IF($AQ640="","対象年月が未入力／","")&amp;IF($B640="","",IF($AP640="","職員マスタに未登録の職員番号／",IF($AA640="","標準報酬月額が未登録／","")&amp;IF(AND($AQ640&lt;&gt;"",OR(AND(INDEX(職員マスタ!$G$6:$G$405,$AP640)&lt;&gt;"",INDEX(職員マスタ!$G$6:$G$405,$AP640)&gt;EOMONTH($AQ640,0)),AND(INDEX(職員マスタ!$H$6:$H$405,$AP640)&lt;&gt;"",INDEX(職員マスタ!$H$6:$H$405,$AP640)&lt;$AQ640))),"対象月が時短期間外／","")&amp;IF(AND(INDEX(職員マスタ!$K$6:$K$405,$AP640)&lt;&gt;"",N($W640)&gt;0,INDEX(職員マスタ!$K$6:$K$405,$AP640)&lt;&gt;$W640),"標準報酬月額が申請書と相違（台帳"&amp;TEXT(INDEX(職員マスタ!$K$6:$K$405,$AP640),"#,##0")&amp;"円／申請書"&amp;TEXT($W640,"#,##0")&amp;"円）／","")&amp;IF(AND(INDEX(職員マスタ!$F$6:$F$405,$AP640)&lt;&gt;"",$AQ640&lt;&gt;"",INDEX(職員マスタ!$F$6:$F$405,$AP640)&lt;$AQ640),"対象月に子が2歳到達済／","")&amp;IF(AND($H640&lt;&gt;"",INDEX(職員マスタ!$B$6:$B$405,$AP640)&lt;&gt;"",SUBSTITUTE(SUBSTITUTE($H640," ","")," ","")&lt;&gt;SUBSTITUTE(SUBSTITUTE(INDEX(職員マスタ!$B$6:$B$405,$AP640)," ","")," ","")),"氏名がマスタと相違／","")&amp;IF(AND($Q640&lt;&gt;"",INDEX(職員マスタ!$E$6:$E$405,$AP640)&lt;&gt;"",$Q640&lt;&gt;INDEX(職員マスタ!$E$6:$E$405,$AP640)),"子の生年月日がマスタと相違／","")&amp;IF(AND($L640&lt;&gt;"",INDEX(職員マスタ!$G$6:$G$405,$AP640)&lt;&gt;"",$L640&lt;&gt;INDEX(職員マスタ!$G$6:$G$405,$AP640)),"時短開始日がマスタと相違／","")&amp;IF(AND($M640&lt;&gt;"",INDEX(職員マスタ!$H$6:$H$405,$AP640)&lt;&gt;"",$M640&lt;&gt;INDEX(職員マスタ!$H$6:$H$405,$AP640)),"時短終了日がマスタと相違／","")))&amp;IF(AND($B640&lt;&gt;"",$E640=""),"報酬額が未入力／","")&amp;IF(N($U640)&gt;0,"申請書に入力エラーが残っています／","")&amp;IF(AND($B640&lt;&gt;"",$AQ640&lt;&gt;""),IF(COUNTIFS($B$6:$B$3005,$B640,$C$6:$C$3005,$C640,$D$6:$D$3005,$D640)&gt;1,"同じ月の請求が重複しています／",""),"")&amp;IF(AND(N($E640)&gt;0,$AB640&lt;&gt;"",$AB640&lt;&gt;"×",$AE640=0,$AD640=""),"計算額が下限以下のため不支給／",""))</f>
        <v/>
      </c>
      <c r="AN640" s="12" t="n"/>
      <c r="AO640" s="14">
        <f>IF($AF640="保留中",COUNTIF($AF$6:$AF640,"保留中"),"")</f>
        <v/>
      </c>
      <c r="AP640" s="14">
        <f>IF($AQ640="","",IF(SUMPRODUCT(MAX((職員マスタ!$A$6:$A$405=$B640)*(((職員マスタ!$G$6:$G$405="")+(職員マスタ!$G$6:$G$405&lt;=EOMONTH($AQ640,0)))&gt;0)*(((職員マスタ!$H$6:$H$405="")+(職員マスタ!$H$6:$H$405&gt;=$AQ640))&gt;0)*(ROW(職員マスタ!$A$6:$A$405)-5)))&gt;0,SUMPRODUCT(MAX((職員マスタ!$A$6:$A$405=$B640)*(((職員マスタ!$G$6:$G$405="")+(職員マスタ!$G$6:$G$405&lt;=EOMONTH($AQ640,0)))&gt;0)*(((職員マスタ!$H$6:$H$405="")+(職員マスタ!$H$6:$H$405&gt;=$AQ640))&gt;0)*(ROW(職員マスタ!$A$6:$A$405)-5))),IFERROR(MATCH($B640,職員マスタ!$A$6:$A$405,0),"")))</f>
        <v/>
      </c>
      <c r="AQ640" s="16">
        <f>IF(OR($B640="",$C640="",$D640=""),"",DATE($C640+2018,$D640,1))</f>
        <v/>
      </c>
    </row>
    <row r="641">
      <c r="A641" s="11" t="n"/>
      <c r="B641" s="12" t="n"/>
      <c r="C641" s="12" t="n"/>
      <c r="D641" s="12" t="n"/>
      <c r="E641" s="13" t="n"/>
      <c r="F641" s="12" t="n"/>
      <c r="G641" s="13" t="n"/>
      <c r="H641" s="12" t="n"/>
      <c r="I641" s="12" t="n"/>
      <c r="J641" s="12" t="n"/>
      <c r="K641" s="12" t="n"/>
      <c r="L641" s="11" t="n"/>
      <c r="M641" s="11" t="n"/>
      <c r="N641" s="11" t="n"/>
      <c r="O641" s="11" t="n"/>
      <c r="P641" s="12" t="n"/>
      <c r="Q641" s="11" t="n"/>
      <c r="R641" s="12" t="n"/>
      <c r="S641" s="11" t="n"/>
      <c r="T641" s="12" t="n"/>
      <c r="U641" s="12" t="n"/>
      <c r="V641" s="12" t="n"/>
      <c r="W641" s="13" t="n"/>
      <c r="X641" s="14">
        <f>IF($AP641="",IF($B641="","",$H641),IF(INDEX(職員マスタ!$B$6:$B$405,$AP641)="",$H641,INDEX(職員マスタ!$B$6:$B$405,$AP641)))</f>
        <v/>
      </c>
      <c r="Y641" s="14">
        <f>IF($AP641="",IF($B641="","",$R641),IF(INDEX(職員マスタ!$C$6:$C$405,$AP641)="",$R641,INDEX(職員マスタ!$C$6:$C$405,$AP641)))</f>
        <v/>
      </c>
      <c r="Z641" s="14">
        <f>IF($AQ641="","","R"&amp;$C641&amp;"."&amp;$D641)</f>
        <v/>
      </c>
      <c r="AA641" s="15">
        <f>IF(IF($AP641="",FALSE,INDEX(職員マスタ!$K$6:$K$405,$AP641)&lt;&gt;""),INDEX(職員マスタ!$K$6:$K$405,$AP641),IF(N($W641)&gt;0,$W641,""))</f>
        <v/>
      </c>
      <c r="AB641" s="14">
        <f>IF(OR($E641="",$AA641=""),"",IF($E641&gt;=$AA641,"×",IF($E641&gt;=$AA641*設定!$C$5,"△","○")))</f>
        <v/>
      </c>
      <c r="AC641" s="15">
        <f>IF($AB641="","",IF($AB641="×",0,IF($AB641="○",ROUNDDOWN($E641*設定!$C$4,0),ROUNDDOWN($E641*ROUND((9*$AA641-9*$E641)/(10*$E641),4),0))))</f>
        <v/>
      </c>
      <c r="AD641" s="13" t="n"/>
      <c r="AE641" s="15">
        <f>IF($B641="","",IF($AD641&lt;&gt;"",$AD641,IF($AC641="","",IF($AC641&lt;=設定!$C$3,0,$AC641))))</f>
        <v/>
      </c>
      <c r="AF641" s="14">
        <f>IF($B641="","",IF(AND($AG641&lt;&gt;"",$AI641="",$AL641=""),"保留中",IF($AL641&lt;&gt;"",IF(N($AE641)&gt;0,"支給済","不支給"),IF($AE641="","要確認",IF($AE641=0,"不支給","未処理")))))</f>
        <v/>
      </c>
      <c r="AG641" s="12" t="n"/>
      <c r="AH641" s="11" t="n"/>
      <c r="AI641" s="11" t="n"/>
      <c r="AJ641" s="11" t="n"/>
      <c r="AK641" s="14">
        <f>IF(AND($AF641="保留中",$AH641&lt;&gt;""),TODAY()-$AH641,"")</f>
        <v/>
      </c>
      <c r="AL641" s="12" t="n"/>
      <c r="AM641" s="14">
        <f>IF($B641="","",IF($AQ641="","対象年月が未入力／","")&amp;IF($B641="","",IF($AP641="","職員マスタに未登録の職員番号／",IF($AA641="","標準報酬月額が未登録／","")&amp;IF(AND($AQ641&lt;&gt;"",OR(AND(INDEX(職員マスタ!$G$6:$G$405,$AP641)&lt;&gt;"",INDEX(職員マスタ!$G$6:$G$405,$AP641)&gt;EOMONTH($AQ641,0)),AND(INDEX(職員マスタ!$H$6:$H$405,$AP641)&lt;&gt;"",INDEX(職員マスタ!$H$6:$H$405,$AP641)&lt;$AQ641))),"対象月が時短期間外／","")&amp;IF(AND(INDEX(職員マスタ!$K$6:$K$405,$AP641)&lt;&gt;"",N($W641)&gt;0,INDEX(職員マスタ!$K$6:$K$405,$AP641)&lt;&gt;$W641),"標準報酬月額が申請書と相違（台帳"&amp;TEXT(INDEX(職員マスタ!$K$6:$K$405,$AP641),"#,##0")&amp;"円／申請書"&amp;TEXT($W641,"#,##0")&amp;"円）／","")&amp;IF(AND(INDEX(職員マスタ!$F$6:$F$405,$AP641)&lt;&gt;"",$AQ641&lt;&gt;"",INDEX(職員マスタ!$F$6:$F$405,$AP641)&lt;$AQ641),"対象月に子が2歳到達済／","")&amp;IF(AND($H641&lt;&gt;"",INDEX(職員マスタ!$B$6:$B$405,$AP641)&lt;&gt;"",SUBSTITUTE(SUBSTITUTE($H641," ","")," ","")&lt;&gt;SUBSTITUTE(SUBSTITUTE(INDEX(職員マスタ!$B$6:$B$405,$AP641)," ","")," ","")),"氏名がマスタと相違／","")&amp;IF(AND($Q641&lt;&gt;"",INDEX(職員マスタ!$E$6:$E$405,$AP641)&lt;&gt;"",$Q641&lt;&gt;INDEX(職員マスタ!$E$6:$E$405,$AP641)),"子の生年月日がマスタと相違／","")&amp;IF(AND($L641&lt;&gt;"",INDEX(職員マスタ!$G$6:$G$405,$AP641)&lt;&gt;"",$L641&lt;&gt;INDEX(職員マスタ!$G$6:$G$405,$AP641)),"時短開始日がマスタと相違／","")&amp;IF(AND($M641&lt;&gt;"",INDEX(職員マスタ!$H$6:$H$405,$AP641)&lt;&gt;"",$M641&lt;&gt;INDEX(職員マスタ!$H$6:$H$405,$AP641)),"時短終了日がマスタと相違／","")))&amp;IF(AND($B641&lt;&gt;"",$E641=""),"報酬額が未入力／","")&amp;IF(N($U641)&gt;0,"申請書に入力エラーが残っています／","")&amp;IF(AND($B641&lt;&gt;"",$AQ641&lt;&gt;""),IF(COUNTIFS($B$6:$B$3005,$B641,$C$6:$C$3005,$C641,$D$6:$D$3005,$D641)&gt;1,"同じ月の請求が重複しています／",""),"")&amp;IF(AND(N($E641)&gt;0,$AB641&lt;&gt;"",$AB641&lt;&gt;"×",$AE641=0,$AD641=""),"計算額が下限以下のため不支給／",""))</f>
        <v/>
      </c>
      <c r="AN641" s="12" t="n"/>
      <c r="AO641" s="14">
        <f>IF($AF641="保留中",COUNTIF($AF$6:$AF641,"保留中"),"")</f>
        <v/>
      </c>
      <c r="AP641" s="14">
        <f>IF($AQ641="","",IF(SUMPRODUCT(MAX((職員マスタ!$A$6:$A$405=$B641)*(((職員マスタ!$G$6:$G$405="")+(職員マスタ!$G$6:$G$405&lt;=EOMONTH($AQ641,0)))&gt;0)*(((職員マスタ!$H$6:$H$405="")+(職員マスタ!$H$6:$H$405&gt;=$AQ641))&gt;0)*(ROW(職員マスタ!$A$6:$A$405)-5)))&gt;0,SUMPRODUCT(MAX((職員マスタ!$A$6:$A$405=$B641)*(((職員マスタ!$G$6:$G$405="")+(職員マスタ!$G$6:$G$405&lt;=EOMONTH($AQ641,0)))&gt;0)*(((職員マスタ!$H$6:$H$405="")+(職員マスタ!$H$6:$H$405&gt;=$AQ641))&gt;0)*(ROW(職員マスタ!$A$6:$A$405)-5))),IFERROR(MATCH($B641,職員マスタ!$A$6:$A$405,0),"")))</f>
        <v/>
      </c>
      <c r="AQ641" s="16">
        <f>IF(OR($B641="",$C641="",$D641=""),"",DATE($C641+2018,$D641,1))</f>
        <v/>
      </c>
    </row>
    <row r="642">
      <c r="A642" s="11" t="n"/>
      <c r="B642" s="12" t="n"/>
      <c r="C642" s="12" t="n"/>
      <c r="D642" s="12" t="n"/>
      <c r="E642" s="13" t="n"/>
      <c r="F642" s="12" t="n"/>
      <c r="G642" s="13" t="n"/>
      <c r="H642" s="12" t="n"/>
      <c r="I642" s="12" t="n"/>
      <c r="J642" s="12" t="n"/>
      <c r="K642" s="12" t="n"/>
      <c r="L642" s="11" t="n"/>
      <c r="M642" s="11" t="n"/>
      <c r="N642" s="11" t="n"/>
      <c r="O642" s="11" t="n"/>
      <c r="P642" s="12" t="n"/>
      <c r="Q642" s="11" t="n"/>
      <c r="R642" s="12" t="n"/>
      <c r="S642" s="11" t="n"/>
      <c r="T642" s="12" t="n"/>
      <c r="U642" s="12" t="n"/>
      <c r="V642" s="12" t="n"/>
      <c r="W642" s="13" t="n"/>
      <c r="X642" s="14">
        <f>IF($AP642="",IF($B642="","",$H642),IF(INDEX(職員マスタ!$B$6:$B$405,$AP642)="",$H642,INDEX(職員マスタ!$B$6:$B$405,$AP642)))</f>
        <v/>
      </c>
      <c r="Y642" s="14">
        <f>IF($AP642="",IF($B642="","",$R642),IF(INDEX(職員マスタ!$C$6:$C$405,$AP642)="",$R642,INDEX(職員マスタ!$C$6:$C$405,$AP642)))</f>
        <v/>
      </c>
      <c r="Z642" s="14">
        <f>IF($AQ642="","","R"&amp;$C642&amp;"."&amp;$D642)</f>
        <v/>
      </c>
      <c r="AA642" s="15">
        <f>IF(IF($AP642="",FALSE,INDEX(職員マスタ!$K$6:$K$405,$AP642)&lt;&gt;""),INDEX(職員マスタ!$K$6:$K$405,$AP642),IF(N($W642)&gt;0,$W642,""))</f>
        <v/>
      </c>
      <c r="AB642" s="14">
        <f>IF(OR($E642="",$AA642=""),"",IF($E642&gt;=$AA642,"×",IF($E642&gt;=$AA642*設定!$C$5,"△","○")))</f>
        <v/>
      </c>
      <c r="AC642" s="15">
        <f>IF($AB642="","",IF($AB642="×",0,IF($AB642="○",ROUNDDOWN($E642*設定!$C$4,0),ROUNDDOWN($E642*ROUND((9*$AA642-9*$E642)/(10*$E642),4),0))))</f>
        <v/>
      </c>
      <c r="AD642" s="13" t="n"/>
      <c r="AE642" s="15">
        <f>IF($B642="","",IF($AD642&lt;&gt;"",$AD642,IF($AC642="","",IF($AC642&lt;=設定!$C$3,0,$AC642))))</f>
        <v/>
      </c>
      <c r="AF642" s="14">
        <f>IF($B642="","",IF(AND($AG642&lt;&gt;"",$AI642="",$AL642=""),"保留中",IF($AL642&lt;&gt;"",IF(N($AE642)&gt;0,"支給済","不支給"),IF($AE642="","要確認",IF($AE642=0,"不支給","未処理")))))</f>
        <v/>
      </c>
      <c r="AG642" s="12" t="n"/>
      <c r="AH642" s="11" t="n"/>
      <c r="AI642" s="11" t="n"/>
      <c r="AJ642" s="11" t="n"/>
      <c r="AK642" s="14">
        <f>IF(AND($AF642="保留中",$AH642&lt;&gt;""),TODAY()-$AH642,"")</f>
        <v/>
      </c>
      <c r="AL642" s="12" t="n"/>
      <c r="AM642" s="14">
        <f>IF($B642="","",IF($AQ642="","対象年月が未入力／","")&amp;IF($B642="","",IF($AP642="","職員マスタに未登録の職員番号／",IF($AA642="","標準報酬月額が未登録／","")&amp;IF(AND($AQ642&lt;&gt;"",OR(AND(INDEX(職員マスタ!$G$6:$G$405,$AP642)&lt;&gt;"",INDEX(職員マスタ!$G$6:$G$405,$AP642)&gt;EOMONTH($AQ642,0)),AND(INDEX(職員マスタ!$H$6:$H$405,$AP642)&lt;&gt;"",INDEX(職員マスタ!$H$6:$H$405,$AP642)&lt;$AQ642))),"対象月が時短期間外／","")&amp;IF(AND(INDEX(職員マスタ!$K$6:$K$405,$AP642)&lt;&gt;"",N($W642)&gt;0,INDEX(職員マスタ!$K$6:$K$405,$AP642)&lt;&gt;$W642),"標準報酬月額が申請書と相違（台帳"&amp;TEXT(INDEX(職員マスタ!$K$6:$K$405,$AP642),"#,##0")&amp;"円／申請書"&amp;TEXT($W642,"#,##0")&amp;"円）／","")&amp;IF(AND(INDEX(職員マスタ!$F$6:$F$405,$AP642)&lt;&gt;"",$AQ642&lt;&gt;"",INDEX(職員マスタ!$F$6:$F$405,$AP642)&lt;$AQ642),"対象月に子が2歳到達済／","")&amp;IF(AND($H642&lt;&gt;"",INDEX(職員マスタ!$B$6:$B$405,$AP642)&lt;&gt;"",SUBSTITUTE(SUBSTITUTE($H642," ","")," ","")&lt;&gt;SUBSTITUTE(SUBSTITUTE(INDEX(職員マスタ!$B$6:$B$405,$AP642)," ","")," ","")),"氏名がマスタと相違／","")&amp;IF(AND($Q642&lt;&gt;"",INDEX(職員マスタ!$E$6:$E$405,$AP642)&lt;&gt;"",$Q642&lt;&gt;INDEX(職員マスタ!$E$6:$E$405,$AP642)),"子の生年月日がマスタと相違／","")&amp;IF(AND($L642&lt;&gt;"",INDEX(職員マスタ!$G$6:$G$405,$AP642)&lt;&gt;"",$L642&lt;&gt;INDEX(職員マスタ!$G$6:$G$405,$AP642)),"時短開始日がマスタと相違／","")&amp;IF(AND($M642&lt;&gt;"",INDEX(職員マスタ!$H$6:$H$405,$AP642)&lt;&gt;"",$M642&lt;&gt;INDEX(職員マスタ!$H$6:$H$405,$AP642)),"時短終了日がマスタと相違／","")))&amp;IF(AND($B642&lt;&gt;"",$E642=""),"報酬額が未入力／","")&amp;IF(N($U642)&gt;0,"申請書に入力エラーが残っています／","")&amp;IF(AND($B642&lt;&gt;"",$AQ642&lt;&gt;""),IF(COUNTIFS($B$6:$B$3005,$B642,$C$6:$C$3005,$C642,$D$6:$D$3005,$D642)&gt;1,"同じ月の請求が重複しています／",""),"")&amp;IF(AND(N($E642)&gt;0,$AB642&lt;&gt;"",$AB642&lt;&gt;"×",$AE642=0,$AD642=""),"計算額が下限以下のため不支給／",""))</f>
        <v/>
      </c>
      <c r="AN642" s="12" t="n"/>
      <c r="AO642" s="14">
        <f>IF($AF642="保留中",COUNTIF($AF$6:$AF642,"保留中"),"")</f>
        <v/>
      </c>
      <c r="AP642" s="14">
        <f>IF($AQ642="","",IF(SUMPRODUCT(MAX((職員マスタ!$A$6:$A$405=$B642)*(((職員マスタ!$G$6:$G$405="")+(職員マスタ!$G$6:$G$405&lt;=EOMONTH($AQ642,0)))&gt;0)*(((職員マスタ!$H$6:$H$405="")+(職員マスタ!$H$6:$H$405&gt;=$AQ642))&gt;0)*(ROW(職員マスタ!$A$6:$A$405)-5)))&gt;0,SUMPRODUCT(MAX((職員マスタ!$A$6:$A$405=$B642)*(((職員マスタ!$G$6:$G$405="")+(職員マスタ!$G$6:$G$405&lt;=EOMONTH($AQ642,0)))&gt;0)*(((職員マスタ!$H$6:$H$405="")+(職員マスタ!$H$6:$H$405&gt;=$AQ642))&gt;0)*(ROW(職員マスタ!$A$6:$A$405)-5))),IFERROR(MATCH($B642,職員マスタ!$A$6:$A$405,0),"")))</f>
        <v/>
      </c>
      <c r="AQ642" s="16">
        <f>IF(OR($B642="",$C642="",$D642=""),"",DATE($C642+2018,$D642,1))</f>
        <v/>
      </c>
    </row>
    <row r="643">
      <c r="A643" s="11" t="n"/>
      <c r="B643" s="12" t="n"/>
      <c r="C643" s="12" t="n"/>
      <c r="D643" s="12" t="n"/>
      <c r="E643" s="13" t="n"/>
      <c r="F643" s="12" t="n"/>
      <c r="G643" s="13" t="n"/>
      <c r="H643" s="12" t="n"/>
      <c r="I643" s="12" t="n"/>
      <c r="J643" s="12" t="n"/>
      <c r="K643" s="12" t="n"/>
      <c r="L643" s="11" t="n"/>
      <c r="M643" s="11" t="n"/>
      <c r="N643" s="11" t="n"/>
      <c r="O643" s="11" t="n"/>
      <c r="P643" s="12" t="n"/>
      <c r="Q643" s="11" t="n"/>
      <c r="R643" s="12" t="n"/>
      <c r="S643" s="11" t="n"/>
      <c r="T643" s="12" t="n"/>
      <c r="U643" s="12" t="n"/>
      <c r="V643" s="12" t="n"/>
      <c r="W643" s="13" t="n"/>
      <c r="X643" s="14">
        <f>IF($AP643="",IF($B643="","",$H643),IF(INDEX(職員マスタ!$B$6:$B$405,$AP643)="",$H643,INDEX(職員マスタ!$B$6:$B$405,$AP643)))</f>
        <v/>
      </c>
      <c r="Y643" s="14">
        <f>IF($AP643="",IF($B643="","",$R643),IF(INDEX(職員マスタ!$C$6:$C$405,$AP643)="",$R643,INDEX(職員マスタ!$C$6:$C$405,$AP643)))</f>
        <v/>
      </c>
      <c r="Z643" s="14">
        <f>IF($AQ643="","","R"&amp;$C643&amp;"."&amp;$D643)</f>
        <v/>
      </c>
      <c r="AA643" s="15">
        <f>IF(IF($AP643="",FALSE,INDEX(職員マスタ!$K$6:$K$405,$AP643)&lt;&gt;""),INDEX(職員マスタ!$K$6:$K$405,$AP643),IF(N($W643)&gt;0,$W643,""))</f>
        <v/>
      </c>
      <c r="AB643" s="14">
        <f>IF(OR($E643="",$AA643=""),"",IF($E643&gt;=$AA643,"×",IF($E643&gt;=$AA643*設定!$C$5,"△","○")))</f>
        <v/>
      </c>
      <c r="AC643" s="15">
        <f>IF($AB643="","",IF($AB643="×",0,IF($AB643="○",ROUNDDOWN($E643*設定!$C$4,0),ROUNDDOWN($E643*ROUND((9*$AA643-9*$E643)/(10*$E643),4),0))))</f>
        <v/>
      </c>
      <c r="AD643" s="13" t="n"/>
      <c r="AE643" s="15">
        <f>IF($B643="","",IF($AD643&lt;&gt;"",$AD643,IF($AC643="","",IF($AC643&lt;=設定!$C$3,0,$AC643))))</f>
        <v/>
      </c>
      <c r="AF643" s="14">
        <f>IF($B643="","",IF(AND($AG643&lt;&gt;"",$AI643="",$AL643=""),"保留中",IF($AL643&lt;&gt;"",IF(N($AE643)&gt;0,"支給済","不支給"),IF($AE643="","要確認",IF($AE643=0,"不支給","未処理")))))</f>
        <v/>
      </c>
      <c r="AG643" s="12" t="n"/>
      <c r="AH643" s="11" t="n"/>
      <c r="AI643" s="11" t="n"/>
      <c r="AJ643" s="11" t="n"/>
      <c r="AK643" s="14">
        <f>IF(AND($AF643="保留中",$AH643&lt;&gt;""),TODAY()-$AH643,"")</f>
        <v/>
      </c>
      <c r="AL643" s="12" t="n"/>
      <c r="AM643" s="14">
        <f>IF($B643="","",IF($AQ643="","対象年月が未入力／","")&amp;IF($B643="","",IF($AP643="","職員マスタに未登録の職員番号／",IF($AA643="","標準報酬月額が未登録／","")&amp;IF(AND($AQ643&lt;&gt;"",OR(AND(INDEX(職員マスタ!$G$6:$G$405,$AP643)&lt;&gt;"",INDEX(職員マスタ!$G$6:$G$405,$AP643)&gt;EOMONTH($AQ643,0)),AND(INDEX(職員マスタ!$H$6:$H$405,$AP643)&lt;&gt;"",INDEX(職員マスタ!$H$6:$H$405,$AP643)&lt;$AQ643))),"対象月が時短期間外／","")&amp;IF(AND(INDEX(職員マスタ!$K$6:$K$405,$AP643)&lt;&gt;"",N($W643)&gt;0,INDEX(職員マスタ!$K$6:$K$405,$AP643)&lt;&gt;$W643),"標準報酬月額が申請書と相違（台帳"&amp;TEXT(INDEX(職員マスタ!$K$6:$K$405,$AP643),"#,##0")&amp;"円／申請書"&amp;TEXT($W643,"#,##0")&amp;"円）／","")&amp;IF(AND(INDEX(職員マスタ!$F$6:$F$405,$AP643)&lt;&gt;"",$AQ643&lt;&gt;"",INDEX(職員マスタ!$F$6:$F$405,$AP643)&lt;$AQ643),"対象月に子が2歳到達済／","")&amp;IF(AND($H643&lt;&gt;"",INDEX(職員マスタ!$B$6:$B$405,$AP643)&lt;&gt;"",SUBSTITUTE(SUBSTITUTE($H643," ","")," ","")&lt;&gt;SUBSTITUTE(SUBSTITUTE(INDEX(職員マスタ!$B$6:$B$405,$AP643)," ","")," ","")),"氏名がマスタと相違／","")&amp;IF(AND($Q643&lt;&gt;"",INDEX(職員マスタ!$E$6:$E$405,$AP643)&lt;&gt;"",$Q643&lt;&gt;INDEX(職員マスタ!$E$6:$E$405,$AP643)),"子の生年月日がマスタと相違／","")&amp;IF(AND($L643&lt;&gt;"",INDEX(職員マスタ!$G$6:$G$405,$AP643)&lt;&gt;"",$L643&lt;&gt;INDEX(職員マスタ!$G$6:$G$405,$AP643)),"時短開始日がマスタと相違／","")&amp;IF(AND($M643&lt;&gt;"",INDEX(職員マスタ!$H$6:$H$405,$AP643)&lt;&gt;"",$M643&lt;&gt;INDEX(職員マスタ!$H$6:$H$405,$AP643)),"時短終了日がマスタと相違／","")))&amp;IF(AND($B643&lt;&gt;"",$E643=""),"報酬額が未入力／","")&amp;IF(N($U643)&gt;0,"申請書に入力エラーが残っています／","")&amp;IF(AND($B643&lt;&gt;"",$AQ643&lt;&gt;""),IF(COUNTIFS($B$6:$B$3005,$B643,$C$6:$C$3005,$C643,$D$6:$D$3005,$D643)&gt;1,"同じ月の請求が重複しています／",""),"")&amp;IF(AND(N($E643)&gt;0,$AB643&lt;&gt;"",$AB643&lt;&gt;"×",$AE643=0,$AD643=""),"計算額が下限以下のため不支給／",""))</f>
        <v/>
      </c>
      <c r="AN643" s="12" t="n"/>
      <c r="AO643" s="14">
        <f>IF($AF643="保留中",COUNTIF($AF$6:$AF643,"保留中"),"")</f>
        <v/>
      </c>
      <c r="AP643" s="14">
        <f>IF($AQ643="","",IF(SUMPRODUCT(MAX((職員マスタ!$A$6:$A$405=$B643)*(((職員マスタ!$G$6:$G$405="")+(職員マスタ!$G$6:$G$405&lt;=EOMONTH($AQ643,0)))&gt;0)*(((職員マスタ!$H$6:$H$405="")+(職員マスタ!$H$6:$H$405&gt;=$AQ643))&gt;0)*(ROW(職員マスタ!$A$6:$A$405)-5)))&gt;0,SUMPRODUCT(MAX((職員マスタ!$A$6:$A$405=$B643)*(((職員マスタ!$G$6:$G$405="")+(職員マスタ!$G$6:$G$405&lt;=EOMONTH($AQ643,0)))&gt;0)*(((職員マスタ!$H$6:$H$405="")+(職員マスタ!$H$6:$H$405&gt;=$AQ643))&gt;0)*(ROW(職員マスタ!$A$6:$A$405)-5))),IFERROR(MATCH($B643,職員マスタ!$A$6:$A$405,0),"")))</f>
        <v/>
      </c>
      <c r="AQ643" s="16">
        <f>IF(OR($B643="",$C643="",$D643=""),"",DATE($C643+2018,$D643,1))</f>
        <v/>
      </c>
    </row>
    <row r="644">
      <c r="A644" s="11" t="n"/>
      <c r="B644" s="12" t="n"/>
      <c r="C644" s="12" t="n"/>
      <c r="D644" s="12" t="n"/>
      <c r="E644" s="13" t="n"/>
      <c r="F644" s="12" t="n"/>
      <c r="G644" s="13" t="n"/>
      <c r="H644" s="12" t="n"/>
      <c r="I644" s="12" t="n"/>
      <c r="J644" s="12" t="n"/>
      <c r="K644" s="12" t="n"/>
      <c r="L644" s="11" t="n"/>
      <c r="M644" s="11" t="n"/>
      <c r="N644" s="11" t="n"/>
      <c r="O644" s="11" t="n"/>
      <c r="P644" s="12" t="n"/>
      <c r="Q644" s="11" t="n"/>
      <c r="R644" s="12" t="n"/>
      <c r="S644" s="11" t="n"/>
      <c r="T644" s="12" t="n"/>
      <c r="U644" s="12" t="n"/>
      <c r="V644" s="12" t="n"/>
      <c r="W644" s="13" t="n"/>
      <c r="X644" s="14">
        <f>IF($AP644="",IF($B644="","",$H644),IF(INDEX(職員マスタ!$B$6:$B$405,$AP644)="",$H644,INDEX(職員マスタ!$B$6:$B$405,$AP644)))</f>
        <v/>
      </c>
      <c r="Y644" s="14">
        <f>IF($AP644="",IF($B644="","",$R644),IF(INDEX(職員マスタ!$C$6:$C$405,$AP644)="",$R644,INDEX(職員マスタ!$C$6:$C$405,$AP644)))</f>
        <v/>
      </c>
      <c r="Z644" s="14">
        <f>IF($AQ644="","","R"&amp;$C644&amp;"."&amp;$D644)</f>
        <v/>
      </c>
      <c r="AA644" s="15">
        <f>IF(IF($AP644="",FALSE,INDEX(職員マスタ!$K$6:$K$405,$AP644)&lt;&gt;""),INDEX(職員マスタ!$K$6:$K$405,$AP644),IF(N($W644)&gt;0,$W644,""))</f>
        <v/>
      </c>
      <c r="AB644" s="14">
        <f>IF(OR($E644="",$AA644=""),"",IF($E644&gt;=$AA644,"×",IF($E644&gt;=$AA644*設定!$C$5,"△","○")))</f>
        <v/>
      </c>
      <c r="AC644" s="15">
        <f>IF($AB644="","",IF($AB644="×",0,IF($AB644="○",ROUNDDOWN($E644*設定!$C$4,0),ROUNDDOWN($E644*ROUND((9*$AA644-9*$E644)/(10*$E644),4),0))))</f>
        <v/>
      </c>
      <c r="AD644" s="13" t="n"/>
      <c r="AE644" s="15">
        <f>IF($B644="","",IF($AD644&lt;&gt;"",$AD644,IF($AC644="","",IF($AC644&lt;=設定!$C$3,0,$AC644))))</f>
        <v/>
      </c>
      <c r="AF644" s="14">
        <f>IF($B644="","",IF(AND($AG644&lt;&gt;"",$AI644="",$AL644=""),"保留中",IF($AL644&lt;&gt;"",IF(N($AE644)&gt;0,"支給済","不支給"),IF($AE644="","要確認",IF($AE644=0,"不支給","未処理")))))</f>
        <v/>
      </c>
      <c r="AG644" s="12" t="n"/>
      <c r="AH644" s="11" t="n"/>
      <c r="AI644" s="11" t="n"/>
      <c r="AJ644" s="11" t="n"/>
      <c r="AK644" s="14">
        <f>IF(AND($AF644="保留中",$AH644&lt;&gt;""),TODAY()-$AH644,"")</f>
        <v/>
      </c>
      <c r="AL644" s="12" t="n"/>
      <c r="AM644" s="14">
        <f>IF($B644="","",IF($AQ644="","対象年月が未入力／","")&amp;IF($B644="","",IF($AP644="","職員マスタに未登録の職員番号／",IF($AA644="","標準報酬月額が未登録／","")&amp;IF(AND($AQ644&lt;&gt;"",OR(AND(INDEX(職員マスタ!$G$6:$G$405,$AP644)&lt;&gt;"",INDEX(職員マスタ!$G$6:$G$405,$AP644)&gt;EOMONTH($AQ644,0)),AND(INDEX(職員マスタ!$H$6:$H$405,$AP644)&lt;&gt;"",INDEX(職員マスタ!$H$6:$H$405,$AP644)&lt;$AQ644))),"対象月が時短期間外／","")&amp;IF(AND(INDEX(職員マスタ!$K$6:$K$405,$AP644)&lt;&gt;"",N($W644)&gt;0,INDEX(職員マスタ!$K$6:$K$405,$AP644)&lt;&gt;$W644),"標準報酬月額が申請書と相違（台帳"&amp;TEXT(INDEX(職員マスタ!$K$6:$K$405,$AP644),"#,##0")&amp;"円／申請書"&amp;TEXT($W644,"#,##0")&amp;"円）／","")&amp;IF(AND(INDEX(職員マスタ!$F$6:$F$405,$AP644)&lt;&gt;"",$AQ644&lt;&gt;"",INDEX(職員マスタ!$F$6:$F$405,$AP644)&lt;$AQ644),"対象月に子が2歳到達済／","")&amp;IF(AND($H644&lt;&gt;"",INDEX(職員マスタ!$B$6:$B$405,$AP644)&lt;&gt;"",SUBSTITUTE(SUBSTITUTE($H644," ","")," ","")&lt;&gt;SUBSTITUTE(SUBSTITUTE(INDEX(職員マスタ!$B$6:$B$405,$AP644)," ","")," ","")),"氏名がマスタと相違／","")&amp;IF(AND($Q644&lt;&gt;"",INDEX(職員マスタ!$E$6:$E$405,$AP644)&lt;&gt;"",$Q644&lt;&gt;INDEX(職員マスタ!$E$6:$E$405,$AP644)),"子の生年月日がマスタと相違／","")&amp;IF(AND($L644&lt;&gt;"",INDEX(職員マスタ!$G$6:$G$405,$AP644)&lt;&gt;"",$L644&lt;&gt;INDEX(職員マスタ!$G$6:$G$405,$AP644)),"時短開始日がマスタと相違／","")&amp;IF(AND($M644&lt;&gt;"",INDEX(職員マスタ!$H$6:$H$405,$AP644)&lt;&gt;"",$M644&lt;&gt;INDEX(職員マスタ!$H$6:$H$405,$AP644)),"時短終了日がマスタと相違／","")))&amp;IF(AND($B644&lt;&gt;"",$E644=""),"報酬額が未入力／","")&amp;IF(N($U644)&gt;0,"申請書に入力エラーが残っています／","")&amp;IF(AND($B644&lt;&gt;"",$AQ644&lt;&gt;""),IF(COUNTIFS($B$6:$B$3005,$B644,$C$6:$C$3005,$C644,$D$6:$D$3005,$D644)&gt;1,"同じ月の請求が重複しています／",""),"")&amp;IF(AND(N($E644)&gt;0,$AB644&lt;&gt;"",$AB644&lt;&gt;"×",$AE644=0,$AD644=""),"計算額が下限以下のため不支給／",""))</f>
        <v/>
      </c>
      <c r="AN644" s="12" t="n"/>
      <c r="AO644" s="14">
        <f>IF($AF644="保留中",COUNTIF($AF$6:$AF644,"保留中"),"")</f>
        <v/>
      </c>
      <c r="AP644" s="14">
        <f>IF($AQ644="","",IF(SUMPRODUCT(MAX((職員マスタ!$A$6:$A$405=$B644)*(((職員マスタ!$G$6:$G$405="")+(職員マスタ!$G$6:$G$405&lt;=EOMONTH($AQ644,0)))&gt;0)*(((職員マスタ!$H$6:$H$405="")+(職員マスタ!$H$6:$H$405&gt;=$AQ644))&gt;0)*(ROW(職員マスタ!$A$6:$A$405)-5)))&gt;0,SUMPRODUCT(MAX((職員マスタ!$A$6:$A$405=$B644)*(((職員マスタ!$G$6:$G$405="")+(職員マスタ!$G$6:$G$405&lt;=EOMONTH($AQ644,0)))&gt;0)*(((職員マスタ!$H$6:$H$405="")+(職員マスタ!$H$6:$H$405&gt;=$AQ644))&gt;0)*(ROW(職員マスタ!$A$6:$A$405)-5))),IFERROR(MATCH($B644,職員マスタ!$A$6:$A$405,0),"")))</f>
        <v/>
      </c>
      <c r="AQ644" s="16">
        <f>IF(OR($B644="",$C644="",$D644=""),"",DATE($C644+2018,$D644,1))</f>
        <v/>
      </c>
    </row>
    <row r="645">
      <c r="A645" s="11" t="n"/>
      <c r="B645" s="12" t="n"/>
      <c r="C645" s="12" t="n"/>
      <c r="D645" s="12" t="n"/>
      <c r="E645" s="13" t="n"/>
      <c r="F645" s="12" t="n"/>
      <c r="G645" s="13" t="n"/>
      <c r="H645" s="12" t="n"/>
      <c r="I645" s="12" t="n"/>
      <c r="J645" s="12" t="n"/>
      <c r="K645" s="12" t="n"/>
      <c r="L645" s="11" t="n"/>
      <c r="M645" s="11" t="n"/>
      <c r="N645" s="11" t="n"/>
      <c r="O645" s="11" t="n"/>
      <c r="P645" s="12" t="n"/>
      <c r="Q645" s="11" t="n"/>
      <c r="R645" s="12" t="n"/>
      <c r="S645" s="11" t="n"/>
      <c r="T645" s="12" t="n"/>
      <c r="U645" s="12" t="n"/>
      <c r="V645" s="12" t="n"/>
      <c r="W645" s="13" t="n"/>
      <c r="X645" s="14">
        <f>IF($AP645="",IF($B645="","",$H645),IF(INDEX(職員マスタ!$B$6:$B$405,$AP645)="",$H645,INDEX(職員マスタ!$B$6:$B$405,$AP645)))</f>
        <v/>
      </c>
      <c r="Y645" s="14">
        <f>IF($AP645="",IF($B645="","",$R645),IF(INDEX(職員マスタ!$C$6:$C$405,$AP645)="",$R645,INDEX(職員マスタ!$C$6:$C$405,$AP645)))</f>
        <v/>
      </c>
      <c r="Z645" s="14">
        <f>IF($AQ645="","","R"&amp;$C645&amp;"."&amp;$D645)</f>
        <v/>
      </c>
      <c r="AA645" s="15">
        <f>IF(IF($AP645="",FALSE,INDEX(職員マスタ!$K$6:$K$405,$AP645)&lt;&gt;""),INDEX(職員マスタ!$K$6:$K$405,$AP645),IF(N($W645)&gt;0,$W645,""))</f>
        <v/>
      </c>
      <c r="AB645" s="14">
        <f>IF(OR($E645="",$AA645=""),"",IF($E645&gt;=$AA645,"×",IF($E645&gt;=$AA645*設定!$C$5,"△","○")))</f>
        <v/>
      </c>
      <c r="AC645" s="15">
        <f>IF($AB645="","",IF($AB645="×",0,IF($AB645="○",ROUNDDOWN($E645*設定!$C$4,0),ROUNDDOWN($E645*ROUND((9*$AA645-9*$E645)/(10*$E645),4),0))))</f>
        <v/>
      </c>
      <c r="AD645" s="13" t="n"/>
      <c r="AE645" s="15">
        <f>IF($B645="","",IF($AD645&lt;&gt;"",$AD645,IF($AC645="","",IF($AC645&lt;=設定!$C$3,0,$AC645))))</f>
        <v/>
      </c>
      <c r="AF645" s="14">
        <f>IF($B645="","",IF(AND($AG645&lt;&gt;"",$AI645="",$AL645=""),"保留中",IF($AL645&lt;&gt;"",IF(N($AE645)&gt;0,"支給済","不支給"),IF($AE645="","要確認",IF($AE645=0,"不支給","未処理")))))</f>
        <v/>
      </c>
      <c r="AG645" s="12" t="n"/>
      <c r="AH645" s="11" t="n"/>
      <c r="AI645" s="11" t="n"/>
      <c r="AJ645" s="11" t="n"/>
      <c r="AK645" s="14">
        <f>IF(AND($AF645="保留中",$AH645&lt;&gt;""),TODAY()-$AH645,"")</f>
        <v/>
      </c>
      <c r="AL645" s="12" t="n"/>
      <c r="AM645" s="14">
        <f>IF($B645="","",IF($AQ645="","対象年月が未入力／","")&amp;IF($B645="","",IF($AP645="","職員マスタに未登録の職員番号／",IF($AA645="","標準報酬月額が未登録／","")&amp;IF(AND($AQ645&lt;&gt;"",OR(AND(INDEX(職員マスタ!$G$6:$G$405,$AP645)&lt;&gt;"",INDEX(職員マスタ!$G$6:$G$405,$AP645)&gt;EOMONTH($AQ645,0)),AND(INDEX(職員マスタ!$H$6:$H$405,$AP645)&lt;&gt;"",INDEX(職員マスタ!$H$6:$H$405,$AP645)&lt;$AQ645))),"対象月が時短期間外／","")&amp;IF(AND(INDEX(職員マスタ!$K$6:$K$405,$AP645)&lt;&gt;"",N($W645)&gt;0,INDEX(職員マスタ!$K$6:$K$405,$AP645)&lt;&gt;$W645),"標準報酬月額が申請書と相違（台帳"&amp;TEXT(INDEX(職員マスタ!$K$6:$K$405,$AP645),"#,##0")&amp;"円／申請書"&amp;TEXT($W645,"#,##0")&amp;"円）／","")&amp;IF(AND(INDEX(職員マスタ!$F$6:$F$405,$AP645)&lt;&gt;"",$AQ645&lt;&gt;"",INDEX(職員マスタ!$F$6:$F$405,$AP645)&lt;$AQ645),"対象月に子が2歳到達済／","")&amp;IF(AND($H645&lt;&gt;"",INDEX(職員マスタ!$B$6:$B$405,$AP645)&lt;&gt;"",SUBSTITUTE(SUBSTITUTE($H645," ","")," ","")&lt;&gt;SUBSTITUTE(SUBSTITUTE(INDEX(職員マスタ!$B$6:$B$405,$AP645)," ","")," ","")),"氏名がマスタと相違／","")&amp;IF(AND($Q645&lt;&gt;"",INDEX(職員マスタ!$E$6:$E$405,$AP645)&lt;&gt;"",$Q645&lt;&gt;INDEX(職員マスタ!$E$6:$E$405,$AP645)),"子の生年月日がマスタと相違／","")&amp;IF(AND($L645&lt;&gt;"",INDEX(職員マスタ!$G$6:$G$405,$AP645)&lt;&gt;"",$L645&lt;&gt;INDEX(職員マスタ!$G$6:$G$405,$AP645)),"時短開始日がマスタと相違／","")&amp;IF(AND($M645&lt;&gt;"",INDEX(職員マスタ!$H$6:$H$405,$AP645)&lt;&gt;"",$M645&lt;&gt;INDEX(職員マスタ!$H$6:$H$405,$AP645)),"時短終了日がマスタと相違／","")))&amp;IF(AND($B645&lt;&gt;"",$E645=""),"報酬額が未入力／","")&amp;IF(N($U645)&gt;0,"申請書に入力エラーが残っています／","")&amp;IF(AND($B645&lt;&gt;"",$AQ645&lt;&gt;""),IF(COUNTIFS($B$6:$B$3005,$B645,$C$6:$C$3005,$C645,$D$6:$D$3005,$D645)&gt;1,"同じ月の請求が重複しています／",""),"")&amp;IF(AND(N($E645)&gt;0,$AB645&lt;&gt;"",$AB645&lt;&gt;"×",$AE645=0,$AD645=""),"計算額が下限以下のため不支給／",""))</f>
        <v/>
      </c>
      <c r="AN645" s="12" t="n"/>
      <c r="AO645" s="14">
        <f>IF($AF645="保留中",COUNTIF($AF$6:$AF645,"保留中"),"")</f>
        <v/>
      </c>
      <c r="AP645" s="14">
        <f>IF($AQ645="","",IF(SUMPRODUCT(MAX((職員マスタ!$A$6:$A$405=$B645)*(((職員マスタ!$G$6:$G$405="")+(職員マスタ!$G$6:$G$405&lt;=EOMONTH($AQ645,0)))&gt;0)*(((職員マスタ!$H$6:$H$405="")+(職員マスタ!$H$6:$H$405&gt;=$AQ645))&gt;0)*(ROW(職員マスタ!$A$6:$A$405)-5)))&gt;0,SUMPRODUCT(MAX((職員マスタ!$A$6:$A$405=$B645)*(((職員マスタ!$G$6:$G$405="")+(職員マスタ!$G$6:$G$405&lt;=EOMONTH($AQ645,0)))&gt;0)*(((職員マスタ!$H$6:$H$405="")+(職員マスタ!$H$6:$H$405&gt;=$AQ645))&gt;0)*(ROW(職員マスタ!$A$6:$A$405)-5))),IFERROR(MATCH($B645,職員マスタ!$A$6:$A$405,0),"")))</f>
        <v/>
      </c>
      <c r="AQ645" s="16">
        <f>IF(OR($B645="",$C645="",$D645=""),"",DATE($C645+2018,$D645,1))</f>
        <v/>
      </c>
    </row>
    <row r="646">
      <c r="A646" s="11" t="n"/>
      <c r="B646" s="12" t="n"/>
      <c r="C646" s="12" t="n"/>
      <c r="D646" s="12" t="n"/>
      <c r="E646" s="13" t="n"/>
      <c r="F646" s="12" t="n"/>
      <c r="G646" s="13" t="n"/>
      <c r="H646" s="12" t="n"/>
      <c r="I646" s="12" t="n"/>
      <c r="J646" s="12" t="n"/>
      <c r="K646" s="12" t="n"/>
      <c r="L646" s="11" t="n"/>
      <c r="M646" s="11" t="n"/>
      <c r="N646" s="11" t="n"/>
      <c r="O646" s="11" t="n"/>
      <c r="P646" s="12" t="n"/>
      <c r="Q646" s="11" t="n"/>
      <c r="R646" s="12" t="n"/>
      <c r="S646" s="11" t="n"/>
      <c r="T646" s="12" t="n"/>
      <c r="U646" s="12" t="n"/>
      <c r="V646" s="12" t="n"/>
      <c r="W646" s="13" t="n"/>
      <c r="X646" s="14">
        <f>IF($AP646="",IF($B646="","",$H646),IF(INDEX(職員マスタ!$B$6:$B$405,$AP646)="",$H646,INDEX(職員マスタ!$B$6:$B$405,$AP646)))</f>
        <v/>
      </c>
      <c r="Y646" s="14">
        <f>IF($AP646="",IF($B646="","",$R646),IF(INDEX(職員マスタ!$C$6:$C$405,$AP646)="",$R646,INDEX(職員マスタ!$C$6:$C$405,$AP646)))</f>
        <v/>
      </c>
      <c r="Z646" s="14">
        <f>IF($AQ646="","","R"&amp;$C646&amp;"."&amp;$D646)</f>
        <v/>
      </c>
      <c r="AA646" s="15">
        <f>IF(IF($AP646="",FALSE,INDEX(職員マスタ!$K$6:$K$405,$AP646)&lt;&gt;""),INDEX(職員マスタ!$K$6:$K$405,$AP646),IF(N($W646)&gt;0,$W646,""))</f>
        <v/>
      </c>
      <c r="AB646" s="14">
        <f>IF(OR($E646="",$AA646=""),"",IF($E646&gt;=$AA646,"×",IF($E646&gt;=$AA646*設定!$C$5,"△","○")))</f>
        <v/>
      </c>
      <c r="AC646" s="15">
        <f>IF($AB646="","",IF($AB646="×",0,IF($AB646="○",ROUNDDOWN($E646*設定!$C$4,0),ROUNDDOWN($E646*ROUND((9*$AA646-9*$E646)/(10*$E646),4),0))))</f>
        <v/>
      </c>
      <c r="AD646" s="13" t="n"/>
      <c r="AE646" s="15">
        <f>IF($B646="","",IF($AD646&lt;&gt;"",$AD646,IF($AC646="","",IF($AC646&lt;=設定!$C$3,0,$AC646))))</f>
        <v/>
      </c>
      <c r="AF646" s="14">
        <f>IF($B646="","",IF(AND($AG646&lt;&gt;"",$AI646="",$AL646=""),"保留中",IF($AL646&lt;&gt;"",IF(N($AE646)&gt;0,"支給済","不支給"),IF($AE646="","要確認",IF($AE646=0,"不支給","未処理")))))</f>
        <v/>
      </c>
      <c r="AG646" s="12" t="n"/>
      <c r="AH646" s="11" t="n"/>
      <c r="AI646" s="11" t="n"/>
      <c r="AJ646" s="11" t="n"/>
      <c r="AK646" s="14">
        <f>IF(AND($AF646="保留中",$AH646&lt;&gt;""),TODAY()-$AH646,"")</f>
        <v/>
      </c>
      <c r="AL646" s="12" t="n"/>
      <c r="AM646" s="14">
        <f>IF($B646="","",IF($AQ646="","対象年月が未入力／","")&amp;IF($B646="","",IF($AP646="","職員マスタに未登録の職員番号／",IF($AA646="","標準報酬月額が未登録／","")&amp;IF(AND($AQ646&lt;&gt;"",OR(AND(INDEX(職員マスタ!$G$6:$G$405,$AP646)&lt;&gt;"",INDEX(職員マスタ!$G$6:$G$405,$AP646)&gt;EOMONTH($AQ646,0)),AND(INDEX(職員マスタ!$H$6:$H$405,$AP646)&lt;&gt;"",INDEX(職員マスタ!$H$6:$H$405,$AP646)&lt;$AQ646))),"対象月が時短期間外／","")&amp;IF(AND(INDEX(職員マスタ!$K$6:$K$405,$AP646)&lt;&gt;"",N($W646)&gt;0,INDEX(職員マスタ!$K$6:$K$405,$AP646)&lt;&gt;$W646),"標準報酬月額が申請書と相違（台帳"&amp;TEXT(INDEX(職員マスタ!$K$6:$K$405,$AP646),"#,##0")&amp;"円／申請書"&amp;TEXT($W646,"#,##0")&amp;"円）／","")&amp;IF(AND(INDEX(職員マスタ!$F$6:$F$405,$AP646)&lt;&gt;"",$AQ646&lt;&gt;"",INDEX(職員マスタ!$F$6:$F$405,$AP646)&lt;$AQ646),"対象月に子が2歳到達済／","")&amp;IF(AND($H646&lt;&gt;"",INDEX(職員マスタ!$B$6:$B$405,$AP646)&lt;&gt;"",SUBSTITUTE(SUBSTITUTE($H646," ","")," ","")&lt;&gt;SUBSTITUTE(SUBSTITUTE(INDEX(職員マスタ!$B$6:$B$405,$AP646)," ","")," ","")),"氏名がマスタと相違／","")&amp;IF(AND($Q646&lt;&gt;"",INDEX(職員マスタ!$E$6:$E$405,$AP646)&lt;&gt;"",$Q646&lt;&gt;INDEX(職員マスタ!$E$6:$E$405,$AP646)),"子の生年月日がマスタと相違／","")&amp;IF(AND($L646&lt;&gt;"",INDEX(職員マスタ!$G$6:$G$405,$AP646)&lt;&gt;"",$L646&lt;&gt;INDEX(職員マスタ!$G$6:$G$405,$AP646)),"時短開始日がマスタと相違／","")&amp;IF(AND($M646&lt;&gt;"",INDEX(職員マスタ!$H$6:$H$405,$AP646)&lt;&gt;"",$M646&lt;&gt;INDEX(職員マスタ!$H$6:$H$405,$AP646)),"時短終了日がマスタと相違／","")))&amp;IF(AND($B646&lt;&gt;"",$E646=""),"報酬額が未入力／","")&amp;IF(N($U646)&gt;0,"申請書に入力エラーが残っています／","")&amp;IF(AND($B646&lt;&gt;"",$AQ646&lt;&gt;""),IF(COUNTIFS($B$6:$B$3005,$B646,$C$6:$C$3005,$C646,$D$6:$D$3005,$D646)&gt;1,"同じ月の請求が重複しています／",""),"")&amp;IF(AND(N($E646)&gt;0,$AB646&lt;&gt;"",$AB646&lt;&gt;"×",$AE646=0,$AD646=""),"計算額が下限以下のため不支給／",""))</f>
        <v/>
      </c>
      <c r="AN646" s="12" t="n"/>
      <c r="AO646" s="14">
        <f>IF($AF646="保留中",COUNTIF($AF$6:$AF646,"保留中"),"")</f>
        <v/>
      </c>
      <c r="AP646" s="14">
        <f>IF($AQ646="","",IF(SUMPRODUCT(MAX((職員マスタ!$A$6:$A$405=$B646)*(((職員マスタ!$G$6:$G$405="")+(職員マスタ!$G$6:$G$405&lt;=EOMONTH($AQ646,0)))&gt;0)*(((職員マスタ!$H$6:$H$405="")+(職員マスタ!$H$6:$H$405&gt;=$AQ646))&gt;0)*(ROW(職員マスタ!$A$6:$A$405)-5)))&gt;0,SUMPRODUCT(MAX((職員マスタ!$A$6:$A$405=$B646)*(((職員マスタ!$G$6:$G$405="")+(職員マスタ!$G$6:$G$405&lt;=EOMONTH($AQ646,0)))&gt;0)*(((職員マスタ!$H$6:$H$405="")+(職員マスタ!$H$6:$H$405&gt;=$AQ646))&gt;0)*(ROW(職員マスタ!$A$6:$A$405)-5))),IFERROR(MATCH($B646,職員マスタ!$A$6:$A$405,0),"")))</f>
        <v/>
      </c>
      <c r="AQ646" s="16">
        <f>IF(OR($B646="",$C646="",$D646=""),"",DATE($C646+2018,$D646,1))</f>
        <v/>
      </c>
    </row>
    <row r="647">
      <c r="A647" s="11" t="n"/>
      <c r="B647" s="12" t="n"/>
      <c r="C647" s="12" t="n"/>
      <c r="D647" s="12" t="n"/>
      <c r="E647" s="13" t="n"/>
      <c r="F647" s="12" t="n"/>
      <c r="G647" s="13" t="n"/>
      <c r="H647" s="12" t="n"/>
      <c r="I647" s="12" t="n"/>
      <c r="J647" s="12" t="n"/>
      <c r="K647" s="12" t="n"/>
      <c r="L647" s="11" t="n"/>
      <c r="M647" s="11" t="n"/>
      <c r="N647" s="11" t="n"/>
      <c r="O647" s="11" t="n"/>
      <c r="P647" s="12" t="n"/>
      <c r="Q647" s="11" t="n"/>
      <c r="R647" s="12" t="n"/>
      <c r="S647" s="11" t="n"/>
      <c r="T647" s="12" t="n"/>
      <c r="U647" s="12" t="n"/>
      <c r="V647" s="12" t="n"/>
      <c r="W647" s="13" t="n"/>
      <c r="X647" s="14">
        <f>IF($AP647="",IF($B647="","",$H647),IF(INDEX(職員マスタ!$B$6:$B$405,$AP647)="",$H647,INDEX(職員マスタ!$B$6:$B$405,$AP647)))</f>
        <v/>
      </c>
      <c r="Y647" s="14">
        <f>IF($AP647="",IF($B647="","",$R647),IF(INDEX(職員マスタ!$C$6:$C$405,$AP647)="",$R647,INDEX(職員マスタ!$C$6:$C$405,$AP647)))</f>
        <v/>
      </c>
      <c r="Z647" s="14">
        <f>IF($AQ647="","","R"&amp;$C647&amp;"."&amp;$D647)</f>
        <v/>
      </c>
      <c r="AA647" s="15">
        <f>IF(IF($AP647="",FALSE,INDEX(職員マスタ!$K$6:$K$405,$AP647)&lt;&gt;""),INDEX(職員マスタ!$K$6:$K$405,$AP647),IF(N($W647)&gt;0,$W647,""))</f>
        <v/>
      </c>
      <c r="AB647" s="14">
        <f>IF(OR($E647="",$AA647=""),"",IF($E647&gt;=$AA647,"×",IF($E647&gt;=$AA647*設定!$C$5,"△","○")))</f>
        <v/>
      </c>
      <c r="AC647" s="15">
        <f>IF($AB647="","",IF($AB647="×",0,IF($AB647="○",ROUNDDOWN($E647*設定!$C$4,0),ROUNDDOWN($E647*ROUND((9*$AA647-9*$E647)/(10*$E647),4),0))))</f>
        <v/>
      </c>
      <c r="AD647" s="13" t="n"/>
      <c r="AE647" s="15">
        <f>IF($B647="","",IF($AD647&lt;&gt;"",$AD647,IF($AC647="","",IF($AC647&lt;=設定!$C$3,0,$AC647))))</f>
        <v/>
      </c>
      <c r="AF647" s="14">
        <f>IF($B647="","",IF(AND($AG647&lt;&gt;"",$AI647="",$AL647=""),"保留中",IF($AL647&lt;&gt;"",IF(N($AE647)&gt;0,"支給済","不支給"),IF($AE647="","要確認",IF($AE647=0,"不支給","未処理")))))</f>
        <v/>
      </c>
      <c r="AG647" s="12" t="n"/>
      <c r="AH647" s="11" t="n"/>
      <c r="AI647" s="11" t="n"/>
      <c r="AJ647" s="11" t="n"/>
      <c r="AK647" s="14">
        <f>IF(AND($AF647="保留中",$AH647&lt;&gt;""),TODAY()-$AH647,"")</f>
        <v/>
      </c>
      <c r="AL647" s="12" t="n"/>
      <c r="AM647" s="14">
        <f>IF($B647="","",IF($AQ647="","対象年月が未入力／","")&amp;IF($B647="","",IF($AP647="","職員マスタに未登録の職員番号／",IF($AA647="","標準報酬月額が未登録／","")&amp;IF(AND($AQ647&lt;&gt;"",OR(AND(INDEX(職員マスタ!$G$6:$G$405,$AP647)&lt;&gt;"",INDEX(職員マスタ!$G$6:$G$405,$AP647)&gt;EOMONTH($AQ647,0)),AND(INDEX(職員マスタ!$H$6:$H$405,$AP647)&lt;&gt;"",INDEX(職員マスタ!$H$6:$H$405,$AP647)&lt;$AQ647))),"対象月が時短期間外／","")&amp;IF(AND(INDEX(職員マスタ!$K$6:$K$405,$AP647)&lt;&gt;"",N($W647)&gt;0,INDEX(職員マスタ!$K$6:$K$405,$AP647)&lt;&gt;$W647),"標準報酬月額が申請書と相違（台帳"&amp;TEXT(INDEX(職員マスタ!$K$6:$K$405,$AP647),"#,##0")&amp;"円／申請書"&amp;TEXT($W647,"#,##0")&amp;"円）／","")&amp;IF(AND(INDEX(職員マスタ!$F$6:$F$405,$AP647)&lt;&gt;"",$AQ647&lt;&gt;"",INDEX(職員マスタ!$F$6:$F$405,$AP647)&lt;$AQ647),"対象月に子が2歳到達済／","")&amp;IF(AND($H647&lt;&gt;"",INDEX(職員マスタ!$B$6:$B$405,$AP647)&lt;&gt;"",SUBSTITUTE(SUBSTITUTE($H647," ","")," ","")&lt;&gt;SUBSTITUTE(SUBSTITUTE(INDEX(職員マスタ!$B$6:$B$405,$AP647)," ","")," ","")),"氏名がマスタと相違／","")&amp;IF(AND($Q647&lt;&gt;"",INDEX(職員マスタ!$E$6:$E$405,$AP647)&lt;&gt;"",$Q647&lt;&gt;INDEX(職員マスタ!$E$6:$E$405,$AP647)),"子の生年月日がマスタと相違／","")&amp;IF(AND($L647&lt;&gt;"",INDEX(職員マスタ!$G$6:$G$405,$AP647)&lt;&gt;"",$L647&lt;&gt;INDEX(職員マスタ!$G$6:$G$405,$AP647)),"時短開始日がマスタと相違／","")&amp;IF(AND($M647&lt;&gt;"",INDEX(職員マスタ!$H$6:$H$405,$AP647)&lt;&gt;"",$M647&lt;&gt;INDEX(職員マスタ!$H$6:$H$405,$AP647)),"時短終了日がマスタと相違／","")))&amp;IF(AND($B647&lt;&gt;"",$E647=""),"報酬額が未入力／","")&amp;IF(N($U647)&gt;0,"申請書に入力エラーが残っています／","")&amp;IF(AND($B647&lt;&gt;"",$AQ647&lt;&gt;""),IF(COUNTIFS($B$6:$B$3005,$B647,$C$6:$C$3005,$C647,$D$6:$D$3005,$D647)&gt;1,"同じ月の請求が重複しています／",""),"")&amp;IF(AND(N($E647)&gt;0,$AB647&lt;&gt;"",$AB647&lt;&gt;"×",$AE647=0,$AD647=""),"計算額が下限以下のため不支給／",""))</f>
        <v/>
      </c>
      <c r="AN647" s="12" t="n"/>
      <c r="AO647" s="14">
        <f>IF($AF647="保留中",COUNTIF($AF$6:$AF647,"保留中"),"")</f>
        <v/>
      </c>
      <c r="AP647" s="14">
        <f>IF($AQ647="","",IF(SUMPRODUCT(MAX((職員マスタ!$A$6:$A$405=$B647)*(((職員マスタ!$G$6:$G$405="")+(職員マスタ!$G$6:$G$405&lt;=EOMONTH($AQ647,0)))&gt;0)*(((職員マスタ!$H$6:$H$405="")+(職員マスタ!$H$6:$H$405&gt;=$AQ647))&gt;0)*(ROW(職員マスタ!$A$6:$A$405)-5)))&gt;0,SUMPRODUCT(MAX((職員マスタ!$A$6:$A$405=$B647)*(((職員マスタ!$G$6:$G$405="")+(職員マスタ!$G$6:$G$405&lt;=EOMONTH($AQ647,0)))&gt;0)*(((職員マスタ!$H$6:$H$405="")+(職員マスタ!$H$6:$H$405&gt;=$AQ647))&gt;0)*(ROW(職員マスタ!$A$6:$A$405)-5))),IFERROR(MATCH($B647,職員マスタ!$A$6:$A$405,0),"")))</f>
        <v/>
      </c>
      <c r="AQ647" s="16">
        <f>IF(OR($B647="",$C647="",$D647=""),"",DATE($C647+2018,$D647,1))</f>
        <v/>
      </c>
    </row>
    <row r="648">
      <c r="A648" s="11" t="n"/>
      <c r="B648" s="12" t="n"/>
      <c r="C648" s="12" t="n"/>
      <c r="D648" s="12" t="n"/>
      <c r="E648" s="13" t="n"/>
      <c r="F648" s="12" t="n"/>
      <c r="G648" s="13" t="n"/>
      <c r="H648" s="12" t="n"/>
      <c r="I648" s="12" t="n"/>
      <c r="J648" s="12" t="n"/>
      <c r="K648" s="12" t="n"/>
      <c r="L648" s="11" t="n"/>
      <c r="M648" s="11" t="n"/>
      <c r="N648" s="11" t="n"/>
      <c r="O648" s="11" t="n"/>
      <c r="P648" s="12" t="n"/>
      <c r="Q648" s="11" t="n"/>
      <c r="R648" s="12" t="n"/>
      <c r="S648" s="11" t="n"/>
      <c r="T648" s="12" t="n"/>
      <c r="U648" s="12" t="n"/>
      <c r="V648" s="12" t="n"/>
      <c r="W648" s="13" t="n"/>
      <c r="X648" s="14">
        <f>IF($AP648="",IF($B648="","",$H648),IF(INDEX(職員マスタ!$B$6:$B$405,$AP648)="",$H648,INDEX(職員マスタ!$B$6:$B$405,$AP648)))</f>
        <v/>
      </c>
      <c r="Y648" s="14">
        <f>IF($AP648="",IF($B648="","",$R648),IF(INDEX(職員マスタ!$C$6:$C$405,$AP648)="",$R648,INDEX(職員マスタ!$C$6:$C$405,$AP648)))</f>
        <v/>
      </c>
      <c r="Z648" s="14">
        <f>IF($AQ648="","","R"&amp;$C648&amp;"."&amp;$D648)</f>
        <v/>
      </c>
      <c r="AA648" s="15">
        <f>IF(IF($AP648="",FALSE,INDEX(職員マスタ!$K$6:$K$405,$AP648)&lt;&gt;""),INDEX(職員マスタ!$K$6:$K$405,$AP648),IF(N($W648)&gt;0,$W648,""))</f>
        <v/>
      </c>
      <c r="AB648" s="14">
        <f>IF(OR($E648="",$AA648=""),"",IF($E648&gt;=$AA648,"×",IF($E648&gt;=$AA648*設定!$C$5,"△","○")))</f>
        <v/>
      </c>
      <c r="AC648" s="15">
        <f>IF($AB648="","",IF($AB648="×",0,IF($AB648="○",ROUNDDOWN($E648*設定!$C$4,0),ROUNDDOWN($E648*ROUND((9*$AA648-9*$E648)/(10*$E648),4),0))))</f>
        <v/>
      </c>
      <c r="AD648" s="13" t="n"/>
      <c r="AE648" s="15">
        <f>IF($B648="","",IF($AD648&lt;&gt;"",$AD648,IF($AC648="","",IF($AC648&lt;=設定!$C$3,0,$AC648))))</f>
        <v/>
      </c>
      <c r="AF648" s="14">
        <f>IF($B648="","",IF(AND($AG648&lt;&gt;"",$AI648="",$AL648=""),"保留中",IF($AL648&lt;&gt;"",IF(N($AE648)&gt;0,"支給済","不支給"),IF($AE648="","要確認",IF($AE648=0,"不支給","未処理")))))</f>
        <v/>
      </c>
      <c r="AG648" s="12" t="n"/>
      <c r="AH648" s="11" t="n"/>
      <c r="AI648" s="11" t="n"/>
      <c r="AJ648" s="11" t="n"/>
      <c r="AK648" s="14">
        <f>IF(AND($AF648="保留中",$AH648&lt;&gt;""),TODAY()-$AH648,"")</f>
        <v/>
      </c>
      <c r="AL648" s="12" t="n"/>
      <c r="AM648" s="14">
        <f>IF($B648="","",IF($AQ648="","対象年月が未入力／","")&amp;IF($B648="","",IF($AP648="","職員マスタに未登録の職員番号／",IF($AA648="","標準報酬月額が未登録／","")&amp;IF(AND($AQ648&lt;&gt;"",OR(AND(INDEX(職員マスタ!$G$6:$G$405,$AP648)&lt;&gt;"",INDEX(職員マスタ!$G$6:$G$405,$AP648)&gt;EOMONTH($AQ648,0)),AND(INDEX(職員マスタ!$H$6:$H$405,$AP648)&lt;&gt;"",INDEX(職員マスタ!$H$6:$H$405,$AP648)&lt;$AQ648))),"対象月が時短期間外／","")&amp;IF(AND(INDEX(職員マスタ!$K$6:$K$405,$AP648)&lt;&gt;"",N($W648)&gt;0,INDEX(職員マスタ!$K$6:$K$405,$AP648)&lt;&gt;$W648),"標準報酬月額が申請書と相違（台帳"&amp;TEXT(INDEX(職員マスタ!$K$6:$K$405,$AP648),"#,##0")&amp;"円／申請書"&amp;TEXT($W648,"#,##0")&amp;"円）／","")&amp;IF(AND(INDEX(職員マスタ!$F$6:$F$405,$AP648)&lt;&gt;"",$AQ648&lt;&gt;"",INDEX(職員マスタ!$F$6:$F$405,$AP648)&lt;$AQ648),"対象月に子が2歳到達済／","")&amp;IF(AND($H648&lt;&gt;"",INDEX(職員マスタ!$B$6:$B$405,$AP648)&lt;&gt;"",SUBSTITUTE(SUBSTITUTE($H648," ","")," ","")&lt;&gt;SUBSTITUTE(SUBSTITUTE(INDEX(職員マスタ!$B$6:$B$405,$AP648)," ","")," ","")),"氏名がマスタと相違／","")&amp;IF(AND($Q648&lt;&gt;"",INDEX(職員マスタ!$E$6:$E$405,$AP648)&lt;&gt;"",$Q648&lt;&gt;INDEX(職員マスタ!$E$6:$E$405,$AP648)),"子の生年月日がマスタと相違／","")&amp;IF(AND($L648&lt;&gt;"",INDEX(職員マスタ!$G$6:$G$405,$AP648)&lt;&gt;"",$L648&lt;&gt;INDEX(職員マスタ!$G$6:$G$405,$AP648)),"時短開始日がマスタと相違／","")&amp;IF(AND($M648&lt;&gt;"",INDEX(職員マスタ!$H$6:$H$405,$AP648)&lt;&gt;"",$M648&lt;&gt;INDEX(職員マスタ!$H$6:$H$405,$AP648)),"時短終了日がマスタと相違／","")))&amp;IF(AND($B648&lt;&gt;"",$E648=""),"報酬額が未入力／","")&amp;IF(N($U648)&gt;0,"申請書に入力エラーが残っています／","")&amp;IF(AND($B648&lt;&gt;"",$AQ648&lt;&gt;""),IF(COUNTIFS($B$6:$B$3005,$B648,$C$6:$C$3005,$C648,$D$6:$D$3005,$D648)&gt;1,"同じ月の請求が重複しています／",""),"")&amp;IF(AND(N($E648)&gt;0,$AB648&lt;&gt;"",$AB648&lt;&gt;"×",$AE648=0,$AD648=""),"計算額が下限以下のため不支給／",""))</f>
        <v/>
      </c>
      <c r="AN648" s="12" t="n"/>
      <c r="AO648" s="14">
        <f>IF($AF648="保留中",COUNTIF($AF$6:$AF648,"保留中"),"")</f>
        <v/>
      </c>
      <c r="AP648" s="14">
        <f>IF($AQ648="","",IF(SUMPRODUCT(MAX((職員マスタ!$A$6:$A$405=$B648)*(((職員マスタ!$G$6:$G$405="")+(職員マスタ!$G$6:$G$405&lt;=EOMONTH($AQ648,0)))&gt;0)*(((職員マスタ!$H$6:$H$405="")+(職員マスタ!$H$6:$H$405&gt;=$AQ648))&gt;0)*(ROW(職員マスタ!$A$6:$A$405)-5)))&gt;0,SUMPRODUCT(MAX((職員マスタ!$A$6:$A$405=$B648)*(((職員マスタ!$G$6:$G$405="")+(職員マスタ!$G$6:$G$405&lt;=EOMONTH($AQ648,0)))&gt;0)*(((職員マスタ!$H$6:$H$405="")+(職員マスタ!$H$6:$H$405&gt;=$AQ648))&gt;0)*(ROW(職員マスタ!$A$6:$A$405)-5))),IFERROR(MATCH($B648,職員マスタ!$A$6:$A$405,0),"")))</f>
        <v/>
      </c>
      <c r="AQ648" s="16">
        <f>IF(OR($B648="",$C648="",$D648=""),"",DATE($C648+2018,$D648,1))</f>
        <v/>
      </c>
    </row>
    <row r="649">
      <c r="A649" s="11" t="n"/>
      <c r="B649" s="12" t="n"/>
      <c r="C649" s="12" t="n"/>
      <c r="D649" s="12" t="n"/>
      <c r="E649" s="13" t="n"/>
      <c r="F649" s="12" t="n"/>
      <c r="G649" s="13" t="n"/>
      <c r="H649" s="12" t="n"/>
      <c r="I649" s="12" t="n"/>
      <c r="J649" s="12" t="n"/>
      <c r="K649" s="12" t="n"/>
      <c r="L649" s="11" t="n"/>
      <c r="M649" s="11" t="n"/>
      <c r="N649" s="11" t="n"/>
      <c r="O649" s="11" t="n"/>
      <c r="P649" s="12" t="n"/>
      <c r="Q649" s="11" t="n"/>
      <c r="R649" s="12" t="n"/>
      <c r="S649" s="11" t="n"/>
      <c r="T649" s="12" t="n"/>
      <c r="U649" s="12" t="n"/>
      <c r="V649" s="12" t="n"/>
      <c r="W649" s="13" t="n"/>
      <c r="X649" s="14">
        <f>IF($AP649="",IF($B649="","",$H649),IF(INDEX(職員マスタ!$B$6:$B$405,$AP649)="",$H649,INDEX(職員マスタ!$B$6:$B$405,$AP649)))</f>
        <v/>
      </c>
      <c r="Y649" s="14">
        <f>IF($AP649="",IF($B649="","",$R649),IF(INDEX(職員マスタ!$C$6:$C$405,$AP649)="",$R649,INDEX(職員マスタ!$C$6:$C$405,$AP649)))</f>
        <v/>
      </c>
      <c r="Z649" s="14">
        <f>IF($AQ649="","","R"&amp;$C649&amp;"."&amp;$D649)</f>
        <v/>
      </c>
      <c r="AA649" s="15">
        <f>IF(IF($AP649="",FALSE,INDEX(職員マスタ!$K$6:$K$405,$AP649)&lt;&gt;""),INDEX(職員マスタ!$K$6:$K$405,$AP649),IF(N($W649)&gt;0,$W649,""))</f>
        <v/>
      </c>
      <c r="AB649" s="14">
        <f>IF(OR($E649="",$AA649=""),"",IF($E649&gt;=$AA649,"×",IF($E649&gt;=$AA649*設定!$C$5,"△","○")))</f>
        <v/>
      </c>
      <c r="AC649" s="15">
        <f>IF($AB649="","",IF($AB649="×",0,IF($AB649="○",ROUNDDOWN($E649*設定!$C$4,0),ROUNDDOWN($E649*ROUND((9*$AA649-9*$E649)/(10*$E649),4),0))))</f>
        <v/>
      </c>
      <c r="AD649" s="13" t="n"/>
      <c r="AE649" s="15">
        <f>IF($B649="","",IF($AD649&lt;&gt;"",$AD649,IF($AC649="","",IF($AC649&lt;=設定!$C$3,0,$AC649))))</f>
        <v/>
      </c>
      <c r="AF649" s="14">
        <f>IF($B649="","",IF(AND($AG649&lt;&gt;"",$AI649="",$AL649=""),"保留中",IF($AL649&lt;&gt;"",IF(N($AE649)&gt;0,"支給済","不支給"),IF($AE649="","要確認",IF($AE649=0,"不支給","未処理")))))</f>
        <v/>
      </c>
      <c r="AG649" s="12" t="n"/>
      <c r="AH649" s="11" t="n"/>
      <c r="AI649" s="11" t="n"/>
      <c r="AJ649" s="11" t="n"/>
      <c r="AK649" s="14">
        <f>IF(AND($AF649="保留中",$AH649&lt;&gt;""),TODAY()-$AH649,"")</f>
        <v/>
      </c>
      <c r="AL649" s="12" t="n"/>
      <c r="AM649" s="14">
        <f>IF($B649="","",IF($AQ649="","対象年月が未入力／","")&amp;IF($B649="","",IF($AP649="","職員マスタに未登録の職員番号／",IF($AA649="","標準報酬月額が未登録／","")&amp;IF(AND($AQ649&lt;&gt;"",OR(AND(INDEX(職員マスタ!$G$6:$G$405,$AP649)&lt;&gt;"",INDEX(職員マスタ!$G$6:$G$405,$AP649)&gt;EOMONTH($AQ649,0)),AND(INDEX(職員マスタ!$H$6:$H$405,$AP649)&lt;&gt;"",INDEX(職員マスタ!$H$6:$H$405,$AP649)&lt;$AQ649))),"対象月が時短期間外／","")&amp;IF(AND(INDEX(職員マスタ!$K$6:$K$405,$AP649)&lt;&gt;"",N($W649)&gt;0,INDEX(職員マスタ!$K$6:$K$405,$AP649)&lt;&gt;$W649),"標準報酬月額が申請書と相違（台帳"&amp;TEXT(INDEX(職員マスタ!$K$6:$K$405,$AP649),"#,##0")&amp;"円／申請書"&amp;TEXT($W649,"#,##0")&amp;"円）／","")&amp;IF(AND(INDEX(職員マスタ!$F$6:$F$405,$AP649)&lt;&gt;"",$AQ649&lt;&gt;"",INDEX(職員マスタ!$F$6:$F$405,$AP649)&lt;$AQ649),"対象月に子が2歳到達済／","")&amp;IF(AND($H649&lt;&gt;"",INDEX(職員マスタ!$B$6:$B$405,$AP649)&lt;&gt;"",SUBSTITUTE(SUBSTITUTE($H649," ","")," ","")&lt;&gt;SUBSTITUTE(SUBSTITUTE(INDEX(職員マスタ!$B$6:$B$405,$AP649)," ","")," ","")),"氏名がマスタと相違／","")&amp;IF(AND($Q649&lt;&gt;"",INDEX(職員マスタ!$E$6:$E$405,$AP649)&lt;&gt;"",$Q649&lt;&gt;INDEX(職員マスタ!$E$6:$E$405,$AP649)),"子の生年月日がマスタと相違／","")&amp;IF(AND($L649&lt;&gt;"",INDEX(職員マスタ!$G$6:$G$405,$AP649)&lt;&gt;"",$L649&lt;&gt;INDEX(職員マスタ!$G$6:$G$405,$AP649)),"時短開始日がマスタと相違／","")&amp;IF(AND($M649&lt;&gt;"",INDEX(職員マスタ!$H$6:$H$405,$AP649)&lt;&gt;"",$M649&lt;&gt;INDEX(職員マスタ!$H$6:$H$405,$AP649)),"時短終了日がマスタと相違／","")))&amp;IF(AND($B649&lt;&gt;"",$E649=""),"報酬額が未入力／","")&amp;IF(N($U649)&gt;0,"申請書に入力エラーが残っています／","")&amp;IF(AND($B649&lt;&gt;"",$AQ649&lt;&gt;""),IF(COUNTIFS($B$6:$B$3005,$B649,$C$6:$C$3005,$C649,$D$6:$D$3005,$D649)&gt;1,"同じ月の請求が重複しています／",""),"")&amp;IF(AND(N($E649)&gt;0,$AB649&lt;&gt;"",$AB649&lt;&gt;"×",$AE649=0,$AD649=""),"計算額が下限以下のため不支給／",""))</f>
        <v/>
      </c>
      <c r="AN649" s="12" t="n"/>
      <c r="AO649" s="14">
        <f>IF($AF649="保留中",COUNTIF($AF$6:$AF649,"保留中"),"")</f>
        <v/>
      </c>
      <c r="AP649" s="14">
        <f>IF($AQ649="","",IF(SUMPRODUCT(MAX((職員マスタ!$A$6:$A$405=$B649)*(((職員マスタ!$G$6:$G$405="")+(職員マスタ!$G$6:$G$405&lt;=EOMONTH($AQ649,0)))&gt;0)*(((職員マスタ!$H$6:$H$405="")+(職員マスタ!$H$6:$H$405&gt;=$AQ649))&gt;0)*(ROW(職員マスタ!$A$6:$A$405)-5)))&gt;0,SUMPRODUCT(MAX((職員マスタ!$A$6:$A$405=$B649)*(((職員マスタ!$G$6:$G$405="")+(職員マスタ!$G$6:$G$405&lt;=EOMONTH($AQ649,0)))&gt;0)*(((職員マスタ!$H$6:$H$405="")+(職員マスタ!$H$6:$H$405&gt;=$AQ649))&gt;0)*(ROW(職員マスタ!$A$6:$A$405)-5))),IFERROR(MATCH($B649,職員マスタ!$A$6:$A$405,0),"")))</f>
        <v/>
      </c>
      <c r="AQ649" s="16">
        <f>IF(OR($B649="",$C649="",$D649=""),"",DATE($C649+2018,$D649,1))</f>
        <v/>
      </c>
    </row>
    <row r="650">
      <c r="A650" s="11" t="n"/>
      <c r="B650" s="12" t="n"/>
      <c r="C650" s="12" t="n"/>
      <c r="D650" s="12" t="n"/>
      <c r="E650" s="13" t="n"/>
      <c r="F650" s="12" t="n"/>
      <c r="G650" s="13" t="n"/>
      <c r="H650" s="12" t="n"/>
      <c r="I650" s="12" t="n"/>
      <c r="J650" s="12" t="n"/>
      <c r="K650" s="12" t="n"/>
      <c r="L650" s="11" t="n"/>
      <c r="M650" s="11" t="n"/>
      <c r="N650" s="11" t="n"/>
      <c r="O650" s="11" t="n"/>
      <c r="P650" s="12" t="n"/>
      <c r="Q650" s="11" t="n"/>
      <c r="R650" s="12" t="n"/>
      <c r="S650" s="11" t="n"/>
      <c r="T650" s="12" t="n"/>
      <c r="U650" s="12" t="n"/>
      <c r="V650" s="12" t="n"/>
      <c r="W650" s="13" t="n"/>
      <c r="X650" s="14">
        <f>IF($AP650="",IF($B650="","",$H650),IF(INDEX(職員マスタ!$B$6:$B$405,$AP650)="",$H650,INDEX(職員マスタ!$B$6:$B$405,$AP650)))</f>
        <v/>
      </c>
      <c r="Y650" s="14">
        <f>IF($AP650="",IF($B650="","",$R650),IF(INDEX(職員マスタ!$C$6:$C$405,$AP650)="",$R650,INDEX(職員マスタ!$C$6:$C$405,$AP650)))</f>
        <v/>
      </c>
      <c r="Z650" s="14">
        <f>IF($AQ650="","","R"&amp;$C650&amp;"."&amp;$D650)</f>
        <v/>
      </c>
      <c r="AA650" s="15">
        <f>IF(IF($AP650="",FALSE,INDEX(職員マスタ!$K$6:$K$405,$AP650)&lt;&gt;""),INDEX(職員マスタ!$K$6:$K$405,$AP650),IF(N($W650)&gt;0,$W650,""))</f>
        <v/>
      </c>
      <c r="AB650" s="14">
        <f>IF(OR($E650="",$AA650=""),"",IF($E650&gt;=$AA650,"×",IF($E650&gt;=$AA650*設定!$C$5,"△","○")))</f>
        <v/>
      </c>
      <c r="AC650" s="15">
        <f>IF($AB650="","",IF($AB650="×",0,IF($AB650="○",ROUNDDOWN($E650*設定!$C$4,0),ROUNDDOWN($E650*ROUND((9*$AA650-9*$E650)/(10*$E650),4),0))))</f>
        <v/>
      </c>
      <c r="AD650" s="13" t="n"/>
      <c r="AE650" s="15">
        <f>IF($B650="","",IF($AD650&lt;&gt;"",$AD650,IF($AC650="","",IF($AC650&lt;=設定!$C$3,0,$AC650))))</f>
        <v/>
      </c>
      <c r="AF650" s="14">
        <f>IF($B650="","",IF(AND($AG650&lt;&gt;"",$AI650="",$AL650=""),"保留中",IF($AL650&lt;&gt;"",IF(N($AE650)&gt;0,"支給済","不支給"),IF($AE650="","要確認",IF($AE650=0,"不支給","未処理")))))</f>
        <v/>
      </c>
      <c r="AG650" s="12" t="n"/>
      <c r="AH650" s="11" t="n"/>
      <c r="AI650" s="11" t="n"/>
      <c r="AJ650" s="11" t="n"/>
      <c r="AK650" s="14">
        <f>IF(AND($AF650="保留中",$AH650&lt;&gt;""),TODAY()-$AH650,"")</f>
        <v/>
      </c>
      <c r="AL650" s="12" t="n"/>
      <c r="AM650" s="14">
        <f>IF($B650="","",IF($AQ650="","対象年月が未入力／","")&amp;IF($B650="","",IF($AP650="","職員マスタに未登録の職員番号／",IF($AA650="","標準報酬月額が未登録／","")&amp;IF(AND($AQ650&lt;&gt;"",OR(AND(INDEX(職員マスタ!$G$6:$G$405,$AP650)&lt;&gt;"",INDEX(職員マスタ!$G$6:$G$405,$AP650)&gt;EOMONTH($AQ650,0)),AND(INDEX(職員マスタ!$H$6:$H$405,$AP650)&lt;&gt;"",INDEX(職員マスタ!$H$6:$H$405,$AP650)&lt;$AQ650))),"対象月が時短期間外／","")&amp;IF(AND(INDEX(職員マスタ!$K$6:$K$405,$AP650)&lt;&gt;"",N($W650)&gt;0,INDEX(職員マスタ!$K$6:$K$405,$AP650)&lt;&gt;$W650),"標準報酬月額が申請書と相違（台帳"&amp;TEXT(INDEX(職員マスタ!$K$6:$K$405,$AP650),"#,##0")&amp;"円／申請書"&amp;TEXT($W650,"#,##0")&amp;"円）／","")&amp;IF(AND(INDEX(職員マスタ!$F$6:$F$405,$AP650)&lt;&gt;"",$AQ650&lt;&gt;"",INDEX(職員マスタ!$F$6:$F$405,$AP650)&lt;$AQ650),"対象月に子が2歳到達済／","")&amp;IF(AND($H650&lt;&gt;"",INDEX(職員マスタ!$B$6:$B$405,$AP650)&lt;&gt;"",SUBSTITUTE(SUBSTITUTE($H650," ","")," ","")&lt;&gt;SUBSTITUTE(SUBSTITUTE(INDEX(職員マスタ!$B$6:$B$405,$AP650)," ","")," ","")),"氏名がマスタと相違／","")&amp;IF(AND($Q650&lt;&gt;"",INDEX(職員マスタ!$E$6:$E$405,$AP650)&lt;&gt;"",$Q650&lt;&gt;INDEX(職員マスタ!$E$6:$E$405,$AP650)),"子の生年月日がマスタと相違／","")&amp;IF(AND($L650&lt;&gt;"",INDEX(職員マスタ!$G$6:$G$405,$AP650)&lt;&gt;"",$L650&lt;&gt;INDEX(職員マスタ!$G$6:$G$405,$AP650)),"時短開始日がマスタと相違／","")&amp;IF(AND($M650&lt;&gt;"",INDEX(職員マスタ!$H$6:$H$405,$AP650)&lt;&gt;"",$M650&lt;&gt;INDEX(職員マスタ!$H$6:$H$405,$AP650)),"時短終了日がマスタと相違／","")))&amp;IF(AND($B650&lt;&gt;"",$E650=""),"報酬額が未入力／","")&amp;IF(N($U650)&gt;0,"申請書に入力エラーが残っています／","")&amp;IF(AND($B650&lt;&gt;"",$AQ650&lt;&gt;""),IF(COUNTIFS($B$6:$B$3005,$B650,$C$6:$C$3005,$C650,$D$6:$D$3005,$D650)&gt;1,"同じ月の請求が重複しています／",""),"")&amp;IF(AND(N($E650)&gt;0,$AB650&lt;&gt;"",$AB650&lt;&gt;"×",$AE650=0,$AD650=""),"計算額が下限以下のため不支給／",""))</f>
        <v/>
      </c>
      <c r="AN650" s="12" t="n"/>
      <c r="AO650" s="14">
        <f>IF($AF650="保留中",COUNTIF($AF$6:$AF650,"保留中"),"")</f>
        <v/>
      </c>
      <c r="AP650" s="14">
        <f>IF($AQ650="","",IF(SUMPRODUCT(MAX((職員マスタ!$A$6:$A$405=$B650)*(((職員マスタ!$G$6:$G$405="")+(職員マスタ!$G$6:$G$405&lt;=EOMONTH($AQ650,0)))&gt;0)*(((職員マスタ!$H$6:$H$405="")+(職員マスタ!$H$6:$H$405&gt;=$AQ650))&gt;0)*(ROW(職員マスタ!$A$6:$A$405)-5)))&gt;0,SUMPRODUCT(MAX((職員マスタ!$A$6:$A$405=$B650)*(((職員マスタ!$G$6:$G$405="")+(職員マスタ!$G$6:$G$405&lt;=EOMONTH($AQ650,0)))&gt;0)*(((職員マスタ!$H$6:$H$405="")+(職員マスタ!$H$6:$H$405&gt;=$AQ650))&gt;0)*(ROW(職員マスタ!$A$6:$A$405)-5))),IFERROR(MATCH($B650,職員マスタ!$A$6:$A$405,0),"")))</f>
        <v/>
      </c>
      <c r="AQ650" s="16">
        <f>IF(OR($B650="",$C650="",$D650=""),"",DATE($C650+2018,$D650,1))</f>
        <v/>
      </c>
    </row>
    <row r="651">
      <c r="A651" s="11" t="n"/>
      <c r="B651" s="12" t="n"/>
      <c r="C651" s="12" t="n"/>
      <c r="D651" s="12" t="n"/>
      <c r="E651" s="13" t="n"/>
      <c r="F651" s="12" t="n"/>
      <c r="G651" s="13" t="n"/>
      <c r="H651" s="12" t="n"/>
      <c r="I651" s="12" t="n"/>
      <c r="J651" s="12" t="n"/>
      <c r="K651" s="12" t="n"/>
      <c r="L651" s="11" t="n"/>
      <c r="M651" s="11" t="n"/>
      <c r="N651" s="11" t="n"/>
      <c r="O651" s="11" t="n"/>
      <c r="P651" s="12" t="n"/>
      <c r="Q651" s="11" t="n"/>
      <c r="R651" s="12" t="n"/>
      <c r="S651" s="11" t="n"/>
      <c r="T651" s="12" t="n"/>
      <c r="U651" s="12" t="n"/>
      <c r="V651" s="12" t="n"/>
      <c r="W651" s="13" t="n"/>
      <c r="X651" s="14">
        <f>IF($AP651="",IF($B651="","",$H651),IF(INDEX(職員マスタ!$B$6:$B$405,$AP651)="",$H651,INDEX(職員マスタ!$B$6:$B$405,$AP651)))</f>
        <v/>
      </c>
      <c r="Y651" s="14">
        <f>IF($AP651="",IF($B651="","",$R651),IF(INDEX(職員マスタ!$C$6:$C$405,$AP651)="",$R651,INDEX(職員マスタ!$C$6:$C$405,$AP651)))</f>
        <v/>
      </c>
      <c r="Z651" s="14">
        <f>IF($AQ651="","","R"&amp;$C651&amp;"."&amp;$D651)</f>
        <v/>
      </c>
      <c r="AA651" s="15">
        <f>IF(IF($AP651="",FALSE,INDEX(職員マスタ!$K$6:$K$405,$AP651)&lt;&gt;""),INDEX(職員マスタ!$K$6:$K$405,$AP651),IF(N($W651)&gt;0,$W651,""))</f>
        <v/>
      </c>
      <c r="AB651" s="14">
        <f>IF(OR($E651="",$AA651=""),"",IF($E651&gt;=$AA651,"×",IF($E651&gt;=$AA651*設定!$C$5,"△","○")))</f>
        <v/>
      </c>
      <c r="AC651" s="15">
        <f>IF($AB651="","",IF($AB651="×",0,IF($AB651="○",ROUNDDOWN($E651*設定!$C$4,0),ROUNDDOWN($E651*ROUND((9*$AA651-9*$E651)/(10*$E651),4),0))))</f>
        <v/>
      </c>
      <c r="AD651" s="13" t="n"/>
      <c r="AE651" s="15">
        <f>IF($B651="","",IF($AD651&lt;&gt;"",$AD651,IF($AC651="","",IF($AC651&lt;=設定!$C$3,0,$AC651))))</f>
        <v/>
      </c>
      <c r="AF651" s="14">
        <f>IF($B651="","",IF(AND($AG651&lt;&gt;"",$AI651="",$AL651=""),"保留中",IF($AL651&lt;&gt;"",IF(N($AE651)&gt;0,"支給済","不支給"),IF($AE651="","要確認",IF($AE651=0,"不支給","未処理")))))</f>
        <v/>
      </c>
      <c r="AG651" s="12" t="n"/>
      <c r="AH651" s="11" t="n"/>
      <c r="AI651" s="11" t="n"/>
      <c r="AJ651" s="11" t="n"/>
      <c r="AK651" s="14">
        <f>IF(AND($AF651="保留中",$AH651&lt;&gt;""),TODAY()-$AH651,"")</f>
        <v/>
      </c>
      <c r="AL651" s="12" t="n"/>
      <c r="AM651" s="14">
        <f>IF($B651="","",IF($AQ651="","対象年月が未入力／","")&amp;IF($B651="","",IF($AP651="","職員マスタに未登録の職員番号／",IF($AA651="","標準報酬月額が未登録／","")&amp;IF(AND($AQ651&lt;&gt;"",OR(AND(INDEX(職員マスタ!$G$6:$G$405,$AP651)&lt;&gt;"",INDEX(職員マスタ!$G$6:$G$405,$AP651)&gt;EOMONTH($AQ651,0)),AND(INDEX(職員マスタ!$H$6:$H$405,$AP651)&lt;&gt;"",INDEX(職員マスタ!$H$6:$H$405,$AP651)&lt;$AQ651))),"対象月が時短期間外／","")&amp;IF(AND(INDEX(職員マスタ!$K$6:$K$405,$AP651)&lt;&gt;"",N($W651)&gt;0,INDEX(職員マスタ!$K$6:$K$405,$AP651)&lt;&gt;$W651),"標準報酬月額が申請書と相違（台帳"&amp;TEXT(INDEX(職員マスタ!$K$6:$K$405,$AP651),"#,##0")&amp;"円／申請書"&amp;TEXT($W651,"#,##0")&amp;"円）／","")&amp;IF(AND(INDEX(職員マスタ!$F$6:$F$405,$AP651)&lt;&gt;"",$AQ651&lt;&gt;"",INDEX(職員マスタ!$F$6:$F$405,$AP651)&lt;$AQ651),"対象月に子が2歳到達済／","")&amp;IF(AND($H651&lt;&gt;"",INDEX(職員マスタ!$B$6:$B$405,$AP651)&lt;&gt;"",SUBSTITUTE(SUBSTITUTE($H651," ","")," ","")&lt;&gt;SUBSTITUTE(SUBSTITUTE(INDEX(職員マスタ!$B$6:$B$405,$AP651)," ","")," ","")),"氏名がマスタと相違／","")&amp;IF(AND($Q651&lt;&gt;"",INDEX(職員マスタ!$E$6:$E$405,$AP651)&lt;&gt;"",$Q651&lt;&gt;INDEX(職員マスタ!$E$6:$E$405,$AP651)),"子の生年月日がマスタと相違／","")&amp;IF(AND($L651&lt;&gt;"",INDEX(職員マスタ!$G$6:$G$405,$AP651)&lt;&gt;"",$L651&lt;&gt;INDEX(職員マスタ!$G$6:$G$405,$AP651)),"時短開始日がマスタと相違／","")&amp;IF(AND($M651&lt;&gt;"",INDEX(職員マスタ!$H$6:$H$405,$AP651)&lt;&gt;"",$M651&lt;&gt;INDEX(職員マスタ!$H$6:$H$405,$AP651)),"時短終了日がマスタと相違／","")))&amp;IF(AND($B651&lt;&gt;"",$E651=""),"報酬額が未入力／","")&amp;IF(N($U651)&gt;0,"申請書に入力エラーが残っています／","")&amp;IF(AND($B651&lt;&gt;"",$AQ651&lt;&gt;""),IF(COUNTIFS($B$6:$B$3005,$B651,$C$6:$C$3005,$C651,$D$6:$D$3005,$D651)&gt;1,"同じ月の請求が重複しています／",""),"")&amp;IF(AND(N($E651)&gt;0,$AB651&lt;&gt;"",$AB651&lt;&gt;"×",$AE651=0,$AD651=""),"計算額が下限以下のため不支給／",""))</f>
        <v/>
      </c>
      <c r="AN651" s="12" t="n"/>
      <c r="AO651" s="14">
        <f>IF($AF651="保留中",COUNTIF($AF$6:$AF651,"保留中"),"")</f>
        <v/>
      </c>
      <c r="AP651" s="14">
        <f>IF($AQ651="","",IF(SUMPRODUCT(MAX((職員マスタ!$A$6:$A$405=$B651)*(((職員マスタ!$G$6:$G$405="")+(職員マスタ!$G$6:$G$405&lt;=EOMONTH($AQ651,0)))&gt;0)*(((職員マスタ!$H$6:$H$405="")+(職員マスタ!$H$6:$H$405&gt;=$AQ651))&gt;0)*(ROW(職員マスタ!$A$6:$A$405)-5)))&gt;0,SUMPRODUCT(MAX((職員マスタ!$A$6:$A$405=$B651)*(((職員マスタ!$G$6:$G$405="")+(職員マスタ!$G$6:$G$405&lt;=EOMONTH($AQ651,0)))&gt;0)*(((職員マスタ!$H$6:$H$405="")+(職員マスタ!$H$6:$H$405&gt;=$AQ651))&gt;0)*(ROW(職員マスタ!$A$6:$A$405)-5))),IFERROR(MATCH($B651,職員マスタ!$A$6:$A$405,0),"")))</f>
        <v/>
      </c>
      <c r="AQ651" s="16">
        <f>IF(OR($B651="",$C651="",$D651=""),"",DATE($C651+2018,$D651,1))</f>
        <v/>
      </c>
    </row>
    <row r="652">
      <c r="A652" s="11" t="n"/>
      <c r="B652" s="12" t="n"/>
      <c r="C652" s="12" t="n"/>
      <c r="D652" s="12" t="n"/>
      <c r="E652" s="13" t="n"/>
      <c r="F652" s="12" t="n"/>
      <c r="G652" s="13" t="n"/>
      <c r="H652" s="12" t="n"/>
      <c r="I652" s="12" t="n"/>
      <c r="J652" s="12" t="n"/>
      <c r="K652" s="12" t="n"/>
      <c r="L652" s="11" t="n"/>
      <c r="M652" s="11" t="n"/>
      <c r="N652" s="11" t="n"/>
      <c r="O652" s="11" t="n"/>
      <c r="P652" s="12" t="n"/>
      <c r="Q652" s="11" t="n"/>
      <c r="R652" s="12" t="n"/>
      <c r="S652" s="11" t="n"/>
      <c r="T652" s="12" t="n"/>
      <c r="U652" s="12" t="n"/>
      <c r="V652" s="12" t="n"/>
      <c r="W652" s="13" t="n"/>
      <c r="X652" s="14">
        <f>IF($AP652="",IF($B652="","",$H652),IF(INDEX(職員マスタ!$B$6:$B$405,$AP652)="",$H652,INDEX(職員マスタ!$B$6:$B$405,$AP652)))</f>
        <v/>
      </c>
      <c r="Y652" s="14">
        <f>IF($AP652="",IF($B652="","",$R652),IF(INDEX(職員マスタ!$C$6:$C$405,$AP652)="",$R652,INDEX(職員マスタ!$C$6:$C$405,$AP652)))</f>
        <v/>
      </c>
      <c r="Z652" s="14">
        <f>IF($AQ652="","","R"&amp;$C652&amp;"."&amp;$D652)</f>
        <v/>
      </c>
      <c r="AA652" s="15">
        <f>IF(IF($AP652="",FALSE,INDEX(職員マスタ!$K$6:$K$405,$AP652)&lt;&gt;""),INDEX(職員マスタ!$K$6:$K$405,$AP652),IF(N($W652)&gt;0,$W652,""))</f>
        <v/>
      </c>
      <c r="AB652" s="14">
        <f>IF(OR($E652="",$AA652=""),"",IF($E652&gt;=$AA652,"×",IF($E652&gt;=$AA652*設定!$C$5,"△","○")))</f>
        <v/>
      </c>
      <c r="AC652" s="15">
        <f>IF($AB652="","",IF($AB652="×",0,IF($AB652="○",ROUNDDOWN($E652*設定!$C$4,0),ROUNDDOWN($E652*ROUND((9*$AA652-9*$E652)/(10*$E652),4),0))))</f>
        <v/>
      </c>
      <c r="AD652" s="13" t="n"/>
      <c r="AE652" s="15">
        <f>IF($B652="","",IF($AD652&lt;&gt;"",$AD652,IF($AC652="","",IF($AC652&lt;=設定!$C$3,0,$AC652))))</f>
        <v/>
      </c>
      <c r="AF652" s="14">
        <f>IF($B652="","",IF(AND($AG652&lt;&gt;"",$AI652="",$AL652=""),"保留中",IF($AL652&lt;&gt;"",IF(N($AE652)&gt;0,"支給済","不支給"),IF($AE652="","要確認",IF($AE652=0,"不支給","未処理")))))</f>
        <v/>
      </c>
      <c r="AG652" s="12" t="n"/>
      <c r="AH652" s="11" t="n"/>
      <c r="AI652" s="11" t="n"/>
      <c r="AJ652" s="11" t="n"/>
      <c r="AK652" s="14">
        <f>IF(AND($AF652="保留中",$AH652&lt;&gt;""),TODAY()-$AH652,"")</f>
        <v/>
      </c>
      <c r="AL652" s="12" t="n"/>
      <c r="AM652" s="14">
        <f>IF($B652="","",IF($AQ652="","対象年月が未入力／","")&amp;IF($B652="","",IF($AP652="","職員マスタに未登録の職員番号／",IF($AA652="","標準報酬月額が未登録／","")&amp;IF(AND($AQ652&lt;&gt;"",OR(AND(INDEX(職員マスタ!$G$6:$G$405,$AP652)&lt;&gt;"",INDEX(職員マスタ!$G$6:$G$405,$AP652)&gt;EOMONTH($AQ652,0)),AND(INDEX(職員マスタ!$H$6:$H$405,$AP652)&lt;&gt;"",INDEX(職員マスタ!$H$6:$H$405,$AP652)&lt;$AQ652))),"対象月が時短期間外／","")&amp;IF(AND(INDEX(職員マスタ!$K$6:$K$405,$AP652)&lt;&gt;"",N($W652)&gt;0,INDEX(職員マスタ!$K$6:$K$405,$AP652)&lt;&gt;$W652),"標準報酬月額が申請書と相違（台帳"&amp;TEXT(INDEX(職員マスタ!$K$6:$K$405,$AP652),"#,##0")&amp;"円／申請書"&amp;TEXT($W652,"#,##0")&amp;"円）／","")&amp;IF(AND(INDEX(職員マスタ!$F$6:$F$405,$AP652)&lt;&gt;"",$AQ652&lt;&gt;"",INDEX(職員マスタ!$F$6:$F$405,$AP652)&lt;$AQ652),"対象月に子が2歳到達済／","")&amp;IF(AND($H652&lt;&gt;"",INDEX(職員マスタ!$B$6:$B$405,$AP652)&lt;&gt;"",SUBSTITUTE(SUBSTITUTE($H652," ","")," ","")&lt;&gt;SUBSTITUTE(SUBSTITUTE(INDEX(職員マスタ!$B$6:$B$405,$AP652)," ","")," ","")),"氏名がマスタと相違／","")&amp;IF(AND($Q652&lt;&gt;"",INDEX(職員マスタ!$E$6:$E$405,$AP652)&lt;&gt;"",$Q652&lt;&gt;INDEX(職員マスタ!$E$6:$E$405,$AP652)),"子の生年月日がマスタと相違／","")&amp;IF(AND($L652&lt;&gt;"",INDEX(職員マスタ!$G$6:$G$405,$AP652)&lt;&gt;"",$L652&lt;&gt;INDEX(職員マスタ!$G$6:$G$405,$AP652)),"時短開始日がマスタと相違／","")&amp;IF(AND($M652&lt;&gt;"",INDEX(職員マスタ!$H$6:$H$405,$AP652)&lt;&gt;"",$M652&lt;&gt;INDEX(職員マスタ!$H$6:$H$405,$AP652)),"時短終了日がマスタと相違／","")))&amp;IF(AND($B652&lt;&gt;"",$E652=""),"報酬額が未入力／","")&amp;IF(N($U652)&gt;0,"申請書に入力エラーが残っています／","")&amp;IF(AND($B652&lt;&gt;"",$AQ652&lt;&gt;""),IF(COUNTIFS($B$6:$B$3005,$B652,$C$6:$C$3005,$C652,$D$6:$D$3005,$D652)&gt;1,"同じ月の請求が重複しています／",""),"")&amp;IF(AND(N($E652)&gt;0,$AB652&lt;&gt;"",$AB652&lt;&gt;"×",$AE652=0,$AD652=""),"計算額が下限以下のため不支給／",""))</f>
        <v/>
      </c>
      <c r="AN652" s="12" t="n"/>
      <c r="AO652" s="14">
        <f>IF($AF652="保留中",COUNTIF($AF$6:$AF652,"保留中"),"")</f>
        <v/>
      </c>
      <c r="AP652" s="14">
        <f>IF($AQ652="","",IF(SUMPRODUCT(MAX((職員マスタ!$A$6:$A$405=$B652)*(((職員マスタ!$G$6:$G$405="")+(職員マスタ!$G$6:$G$405&lt;=EOMONTH($AQ652,0)))&gt;0)*(((職員マスタ!$H$6:$H$405="")+(職員マスタ!$H$6:$H$405&gt;=$AQ652))&gt;0)*(ROW(職員マスタ!$A$6:$A$405)-5)))&gt;0,SUMPRODUCT(MAX((職員マスタ!$A$6:$A$405=$B652)*(((職員マスタ!$G$6:$G$405="")+(職員マスタ!$G$6:$G$405&lt;=EOMONTH($AQ652,0)))&gt;0)*(((職員マスタ!$H$6:$H$405="")+(職員マスタ!$H$6:$H$405&gt;=$AQ652))&gt;0)*(ROW(職員マスタ!$A$6:$A$405)-5))),IFERROR(MATCH($B652,職員マスタ!$A$6:$A$405,0),"")))</f>
        <v/>
      </c>
      <c r="AQ652" s="16">
        <f>IF(OR($B652="",$C652="",$D652=""),"",DATE($C652+2018,$D652,1))</f>
        <v/>
      </c>
    </row>
    <row r="653">
      <c r="A653" s="11" t="n"/>
      <c r="B653" s="12" t="n"/>
      <c r="C653" s="12" t="n"/>
      <c r="D653" s="12" t="n"/>
      <c r="E653" s="13" t="n"/>
      <c r="F653" s="12" t="n"/>
      <c r="G653" s="13" t="n"/>
      <c r="H653" s="12" t="n"/>
      <c r="I653" s="12" t="n"/>
      <c r="J653" s="12" t="n"/>
      <c r="K653" s="12" t="n"/>
      <c r="L653" s="11" t="n"/>
      <c r="M653" s="11" t="n"/>
      <c r="N653" s="11" t="n"/>
      <c r="O653" s="11" t="n"/>
      <c r="P653" s="12" t="n"/>
      <c r="Q653" s="11" t="n"/>
      <c r="R653" s="12" t="n"/>
      <c r="S653" s="11" t="n"/>
      <c r="T653" s="12" t="n"/>
      <c r="U653" s="12" t="n"/>
      <c r="V653" s="12" t="n"/>
      <c r="W653" s="13" t="n"/>
      <c r="X653" s="14">
        <f>IF($AP653="",IF($B653="","",$H653),IF(INDEX(職員マスタ!$B$6:$B$405,$AP653)="",$H653,INDEX(職員マスタ!$B$6:$B$405,$AP653)))</f>
        <v/>
      </c>
      <c r="Y653" s="14">
        <f>IF($AP653="",IF($B653="","",$R653),IF(INDEX(職員マスタ!$C$6:$C$405,$AP653)="",$R653,INDEX(職員マスタ!$C$6:$C$405,$AP653)))</f>
        <v/>
      </c>
      <c r="Z653" s="14">
        <f>IF($AQ653="","","R"&amp;$C653&amp;"."&amp;$D653)</f>
        <v/>
      </c>
      <c r="AA653" s="15">
        <f>IF(IF($AP653="",FALSE,INDEX(職員マスタ!$K$6:$K$405,$AP653)&lt;&gt;""),INDEX(職員マスタ!$K$6:$K$405,$AP653),IF(N($W653)&gt;0,$W653,""))</f>
        <v/>
      </c>
      <c r="AB653" s="14">
        <f>IF(OR($E653="",$AA653=""),"",IF($E653&gt;=$AA653,"×",IF($E653&gt;=$AA653*設定!$C$5,"△","○")))</f>
        <v/>
      </c>
      <c r="AC653" s="15">
        <f>IF($AB653="","",IF($AB653="×",0,IF($AB653="○",ROUNDDOWN($E653*設定!$C$4,0),ROUNDDOWN($E653*ROUND((9*$AA653-9*$E653)/(10*$E653),4),0))))</f>
        <v/>
      </c>
      <c r="AD653" s="13" t="n"/>
      <c r="AE653" s="15">
        <f>IF($B653="","",IF($AD653&lt;&gt;"",$AD653,IF($AC653="","",IF($AC653&lt;=設定!$C$3,0,$AC653))))</f>
        <v/>
      </c>
      <c r="AF653" s="14">
        <f>IF($B653="","",IF(AND($AG653&lt;&gt;"",$AI653="",$AL653=""),"保留中",IF($AL653&lt;&gt;"",IF(N($AE653)&gt;0,"支給済","不支給"),IF($AE653="","要確認",IF($AE653=0,"不支給","未処理")))))</f>
        <v/>
      </c>
      <c r="AG653" s="12" t="n"/>
      <c r="AH653" s="11" t="n"/>
      <c r="AI653" s="11" t="n"/>
      <c r="AJ653" s="11" t="n"/>
      <c r="AK653" s="14">
        <f>IF(AND($AF653="保留中",$AH653&lt;&gt;""),TODAY()-$AH653,"")</f>
        <v/>
      </c>
      <c r="AL653" s="12" t="n"/>
      <c r="AM653" s="14">
        <f>IF($B653="","",IF($AQ653="","対象年月が未入力／","")&amp;IF($B653="","",IF($AP653="","職員マスタに未登録の職員番号／",IF($AA653="","標準報酬月額が未登録／","")&amp;IF(AND($AQ653&lt;&gt;"",OR(AND(INDEX(職員マスタ!$G$6:$G$405,$AP653)&lt;&gt;"",INDEX(職員マスタ!$G$6:$G$405,$AP653)&gt;EOMONTH($AQ653,0)),AND(INDEX(職員マスタ!$H$6:$H$405,$AP653)&lt;&gt;"",INDEX(職員マスタ!$H$6:$H$405,$AP653)&lt;$AQ653))),"対象月が時短期間外／","")&amp;IF(AND(INDEX(職員マスタ!$K$6:$K$405,$AP653)&lt;&gt;"",N($W653)&gt;0,INDEX(職員マスタ!$K$6:$K$405,$AP653)&lt;&gt;$W653),"標準報酬月額が申請書と相違（台帳"&amp;TEXT(INDEX(職員マスタ!$K$6:$K$405,$AP653),"#,##0")&amp;"円／申請書"&amp;TEXT($W653,"#,##0")&amp;"円）／","")&amp;IF(AND(INDEX(職員マスタ!$F$6:$F$405,$AP653)&lt;&gt;"",$AQ653&lt;&gt;"",INDEX(職員マスタ!$F$6:$F$405,$AP653)&lt;$AQ653),"対象月に子が2歳到達済／","")&amp;IF(AND($H653&lt;&gt;"",INDEX(職員マスタ!$B$6:$B$405,$AP653)&lt;&gt;"",SUBSTITUTE(SUBSTITUTE($H653," ","")," ","")&lt;&gt;SUBSTITUTE(SUBSTITUTE(INDEX(職員マスタ!$B$6:$B$405,$AP653)," ","")," ","")),"氏名がマスタと相違／","")&amp;IF(AND($Q653&lt;&gt;"",INDEX(職員マスタ!$E$6:$E$405,$AP653)&lt;&gt;"",$Q653&lt;&gt;INDEX(職員マスタ!$E$6:$E$405,$AP653)),"子の生年月日がマスタと相違／","")&amp;IF(AND($L653&lt;&gt;"",INDEX(職員マスタ!$G$6:$G$405,$AP653)&lt;&gt;"",$L653&lt;&gt;INDEX(職員マスタ!$G$6:$G$405,$AP653)),"時短開始日がマスタと相違／","")&amp;IF(AND($M653&lt;&gt;"",INDEX(職員マスタ!$H$6:$H$405,$AP653)&lt;&gt;"",$M653&lt;&gt;INDEX(職員マスタ!$H$6:$H$405,$AP653)),"時短終了日がマスタと相違／","")))&amp;IF(AND($B653&lt;&gt;"",$E653=""),"報酬額が未入力／","")&amp;IF(N($U653)&gt;0,"申請書に入力エラーが残っています／","")&amp;IF(AND($B653&lt;&gt;"",$AQ653&lt;&gt;""),IF(COUNTIFS($B$6:$B$3005,$B653,$C$6:$C$3005,$C653,$D$6:$D$3005,$D653)&gt;1,"同じ月の請求が重複しています／",""),"")&amp;IF(AND(N($E653)&gt;0,$AB653&lt;&gt;"",$AB653&lt;&gt;"×",$AE653=0,$AD653=""),"計算額が下限以下のため不支給／",""))</f>
        <v/>
      </c>
      <c r="AN653" s="12" t="n"/>
      <c r="AO653" s="14">
        <f>IF($AF653="保留中",COUNTIF($AF$6:$AF653,"保留中"),"")</f>
        <v/>
      </c>
      <c r="AP653" s="14">
        <f>IF($AQ653="","",IF(SUMPRODUCT(MAX((職員マスタ!$A$6:$A$405=$B653)*(((職員マスタ!$G$6:$G$405="")+(職員マスタ!$G$6:$G$405&lt;=EOMONTH($AQ653,0)))&gt;0)*(((職員マスタ!$H$6:$H$405="")+(職員マスタ!$H$6:$H$405&gt;=$AQ653))&gt;0)*(ROW(職員マスタ!$A$6:$A$405)-5)))&gt;0,SUMPRODUCT(MAX((職員マスタ!$A$6:$A$405=$B653)*(((職員マスタ!$G$6:$G$405="")+(職員マスタ!$G$6:$G$405&lt;=EOMONTH($AQ653,0)))&gt;0)*(((職員マスタ!$H$6:$H$405="")+(職員マスタ!$H$6:$H$405&gt;=$AQ653))&gt;0)*(ROW(職員マスタ!$A$6:$A$405)-5))),IFERROR(MATCH($B653,職員マスタ!$A$6:$A$405,0),"")))</f>
        <v/>
      </c>
      <c r="AQ653" s="16">
        <f>IF(OR($B653="",$C653="",$D653=""),"",DATE($C653+2018,$D653,1))</f>
        <v/>
      </c>
    </row>
    <row r="654">
      <c r="A654" s="11" t="n"/>
      <c r="B654" s="12" t="n"/>
      <c r="C654" s="12" t="n"/>
      <c r="D654" s="12" t="n"/>
      <c r="E654" s="13" t="n"/>
      <c r="F654" s="12" t="n"/>
      <c r="G654" s="13" t="n"/>
      <c r="H654" s="12" t="n"/>
      <c r="I654" s="12" t="n"/>
      <c r="J654" s="12" t="n"/>
      <c r="K654" s="12" t="n"/>
      <c r="L654" s="11" t="n"/>
      <c r="M654" s="11" t="n"/>
      <c r="N654" s="11" t="n"/>
      <c r="O654" s="11" t="n"/>
      <c r="P654" s="12" t="n"/>
      <c r="Q654" s="11" t="n"/>
      <c r="R654" s="12" t="n"/>
      <c r="S654" s="11" t="n"/>
      <c r="T654" s="12" t="n"/>
      <c r="U654" s="12" t="n"/>
      <c r="V654" s="12" t="n"/>
      <c r="W654" s="13" t="n"/>
      <c r="X654" s="14">
        <f>IF($AP654="",IF($B654="","",$H654),IF(INDEX(職員マスタ!$B$6:$B$405,$AP654)="",$H654,INDEX(職員マスタ!$B$6:$B$405,$AP654)))</f>
        <v/>
      </c>
      <c r="Y654" s="14">
        <f>IF($AP654="",IF($B654="","",$R654),IF(INDEX(職員マスタ!$C$6:$C$405,$AP654)="",$R654,INDEX(職員マスタ!$C$6:$C$405,$AP654)))</f>
        <v/>
      </c>
      <c r="Z654" s="14">
        <f>IF($AQ654="","","R"&amp;$C654&amp;"."&amp;$D654)</f>
        <v/>
      </c>
      <c r="AA654" s="15">
        <f>IF(IF($AP654="",FALSE,INDEX(職員マスタ!$K$6:$K$405,$AP654)&lt;&gt;""),INDEX(職員マスタ!$K$6:$K$405,$AP654),IF(N($W654)&gt;0,$W654,""))</f>
        <v/>
      </c>
      <c r="AB654" s="14">
        <f>IF(OR($E654="",$AA654=""),"",IF($E654&gt;=$AA654,"×",IF($E654&gt;=$AA654*設定!$C$5,"△","○")))</f>
        <v/>
      </c>
      <c r="AC654" s="15">
        <f>IF($AB654="","",IF($AB654="×",0,IF($AB654="○",ROUNDDOWN($E654*設定!$C$4,0),ROUNDDOWN($E654*ROUND((9*$AA654-9*$E654)/(10*$E654),4),0))))</f>
        <v/>
      </c>
      <c r="AD654" s="13" t="n"/>
      <c r="AE654" s="15">
        <f>IF($B654="","",IF($AD654&lt;&gt;"",$AD654,IF($AC654="","",IF($AC654&lt;=設定!$C$3,0,$AC654))))</f>
        <v/>
      </c>
      <c r="AF654" s="14">
        <f>IF($B654="","",IF(AND($AG654&lt;&gt;"",$AI654="",$AL654=""),"保留中",IF($AL654&lt;&gt;"",IF(N($AE654)&gt;0,"支給済","不支給"),IF($AE654="","要確認",IF($AE654=0,"不支給","未処理")))))</f>
        <v/>
      </c>
      <c r="AG654" s="12" t="n"/>
      <c r="AH654" s="11" t="n"/>
      <c r="AI654" s="11" t="n"/>
      <c r="AJ654" s="11" t="n"/>
      <c r="AK654" s="14">
        <f>IF(AND($AF654="保留中",$AH654&lt;&gt;""),TODAY()-$AH654,"")</f>
        <v/>
      </c>
      <c r="AL654" s="12" t="n"/>
      <c r="AM654" s="14">
        <f>IF($B654="","",IF($AQ654="","対象年月が未入力／","")&amp;IF($B654="","",IF($AP654="","職員マスタに未登録の職員番号／",IF($AA654="","標準報酬月額が未登録／","")&amp;IF(AND($AQ654&lt;&gt;"",OR(AND(INDEX(職員マスタ!$G$6:$G$405,$AP654)&lt;&gt;"",INDEX(職員マスタ!$G$6:$G$405,$AP654)&gt;EOMONTH($AQ654,0)),AND(INDEX(職員マスタ!$H$6:$H$405,$AP654)&lt;&gt;"",INDEX(職員マスタ!$H$6:$H$405,$AP654)&lt;$AQ654))),"対象月が時短期間外／","")&amp;IF(AND(INDEX(職員マスタ!$K$6:$K$405,$AP654)&lt;&gt;"",N($W654)&gt;0,INDEX(職員マスタ!$K$6:$K$405,$AP654)&lt;&gt;$W654),"標準報酬月額が申請書と相違（台帳"&amp;TEXT(INDEX(職員マスタ!$K$6:$K$405,$AP654),"#,##0")&amp;"円／申請書"&amp;TEXT($W654,"#,##0")&amp;"円）／","")&amp;IF(AND(INDEX(職員マスタ!$F$6:$F$405,$AP654)&lt;&gt;"",$AQ654&lt;&gt;"",INDEX(職員マスタ!$F$6:$F$405,$AP654)&lt;$AQ654),"対象月に子が2歳到達済／","")&amp;IF(AND($H654&lt;&gt;"",INDEX(職員マスタ!$B$6:$B$405,$AP654)&lt;&gt;"",SUBSTITUTE(SUBSTITUTE($H654," ","")," ","")&lt;&gt;SUBSTITUTE(SUBSTITUTE(INDEX(職員マスタ!$B$6:$B$405,$AP654)," ","")," ","")),"氏名がマスタと相違／","")&amp;IF(AND($Q654&lt;&gt;"",INDEX(職員マスタ!$E$6:$E$405,$AP654)&lt;&gt;"",$Q654&lt;&gt;INDEX(職員マスタ!$E$6:$E$405,$AP654)),"子の生年月日がマスタと相違／","")&amp;IF(AND($L654&lt;&gt;"",INDEX(職員マスタ!$G$6:$G$405,$AP654)&lt;&gt;"",$L654&lt;&gt;INDEX(職員マスタ!$G$6:$G$405,$AP654)),"時短開始日がマスタと相違／","")&amp;IF(AND($M654&lt;&gt;"",INDEX(職員マスタ!$H$6:$H$405,$AP654)&lt;&gt;"",$M654&lt;&gt;INDEX(職員マスタ!$H$6:$H$405,$AP654)),"時短終了日がマスタと相違／","")))&amp;IF(AND($B654&lt;&gt;"",$E654=""),"報酬額が未入力／","")&amp;IF(N($U654)&gt;0,"申請書に入力エラーが残っています／","")&amp;IF(AND($B654&lt;&gt;"",$AQ654&lt;&gt;""),IF(COUNTIFS($B$6:$B$3005,$B654,$C$6:$C$3005,$C654,$D$6:$D$3005,$D654)&gt;1,"同じ月の請求が重複しています／",""),"")&amp;IF(AND(N($E654)&gt;0,$AB654&lt;&gt;"",$AB654&lt;&gt;"×",$AE654=0,$AD654=""),"計算額が下限以下のため不支給／",""))</f>
        <v/>
      </c>
      <c r="AN654" s="12" t="n"/>
      <c r="AO654" s="14">
        <f>IF($AF654="保留中",COUNTIF($AF$6:$AF654,"保留中"),"")</f>
        <v/>
      </c>
      <c r="AP654" s="14">
        <f>IF($AQ654="","",IF(SUMPRODUCT(MAX((職員マスタ!$A$6:$A$405=$B654)*(((職員マスタ!$G$6:$G$405="")+(職員マスタ!$G$6:$G$405&lt;=EOMONTH($AQ654,0)))&gt;0)*(((職員マスタ!$H$6:$H$405="")+(職員マスタ!$H$6:$H$405&gt;=$AQ654))&gt;0)*(ROW(職員マスタ!$A$6:$A$405)-5)))&gt;0,SUMPRODUCT(MAX((職員マスタ!$A$6:$A$405=$B654)*(((職員マスタ!$G$6:$G$405="")+(職員マスタ!$G$6:$G$405&lt;=EOMONTH($AQ654,0)))&gt;0)*(((職員マスタ!$H$6:$H$405="")+(職員マスタ!$H$6:$H$405&gt;=$AQ654))&gt;0)*(ROW(職員マスタ!$A$6:$A$405)-5))),IFERROR(MATCH($B654,職員マスタ!$A$6:$A$405,0),"")))</f>
        <v/>
      </c>
      <c r="AQ654" s="16">
        <f>IF(OR($B654="",$C654="",$D654=""),"",DATE($C654+2018,$D654,1))</f>
        <v/>
      </c>
    </row>
    <row r="655">
      <c r="A655" s="11" t="n"/>
      <c r="B655" s="12" t="n"/>
      <c r="C655" s="12" t="n"/>
      <c r="D655" s="12" t="n"/>
      <c r="E655" s="13" t="n"/>
      <c r="F655" s="12" t="n"/>
      <c r="G655" s="13" t="n"/>
      <c r="H655" s="12" t="n"/>
      <c r="I655" s="12" t="n"/>
      <c r="J655" s="12" t="n"/>
      <c r="K655" s="12" t="n"/>
      <c r="L655" s="11" t="n"/>
      <c r="M655" s="11" t="n"/>
      <c r="N655" s="11" t="n"/>
      <c r="O655" s="11" t="n"/>
      <c r="P655" s="12" t="n"/>
      <c r="Q655" s="11" t="n"/>
      <c r="R655" s="12" t="n"/>
      <c r="S655" s="11" t="n"/>
      <c r="T655" s="12" t="n"/>
      <c r="U655" s="12" t="n"/>
      <c r="V655" s="12" t="n"/>
      <c r="W655" s="13" t="n"/>
      <c r="X655" s="14">
        <f>IF($AP655="",IF($B655="","",$H655),IF(INDEX(職員マスタ!$B$6:$B$405,$AP655)="",$H655,INDEX(職員マスタ!$B$6:$B$405,$AP655)))</f>
        <v/>
      </c>
      <c r="Y655" s="14">
        <f>IF($AP655="",IF($B655="","",$R655),IF(INDEX(職員マスタ!$C$6:$C$405,$AP655)="",$R655,INDEX(職員マスタ!$C$6:$C$405,$AP655)))</f>
        <v/>
      </c>
      <c r="Z655" s="14">
        <f>IF($AQ655="","","R"&amp;$C655&amp;"."&amp;$D655)</f>
        <v/>
      </c>
      <c r="AA655" s="15">
        <f>IF(IF($AP655="",FALSE,INDEX(職員マスタ!$K$6:$K$405,$AP655)&lt;&gt;""),INDEX(職員マスタ!$K$6:$K$405,$AP655),IF(N($W655)&gt;0,$W655,""))</f>
        <v/>
      </c>
      <c r="AB655" s="14">
        <f>IF(OR($E655="",$AA655=""),"",IF($E655&gt;=$AA655,"×",IF($E655&gt;=$AA655*設定!$C$5,"△","○")))</f>
        <v/>
      </c>
      <c r="AC655" s="15">
        <f>IF($AB655="","",IF($AB655="×",0,IF($AB655="○",ROUNDDOWN($E655*設定!$C$4,0),ROUNDDOWN($E655*ROUND((9*$AA655-9*$E655)/(10*$E655),4),0))))</f>
        <v/>
      </c>
      <c r="AD655" s="13" t="n"/>
      <c r="AE655" s="15">
        <f>IF($B655="","",IF($AD655&lt;&gt;"",$AD655,IF($AC655="","",IF($AC655&lt;=設定!$C$3,0,$AC655))))</f>
        <v/>
      </c>
      <c r="AF655" s="14">
        <f>IF($B655="","",IF(AND($AG655&lt;&gt;"",$AI655="",$AL655=""),"保留中",IF($AL655&lt;&gt;"",IF(N($AE655)&gt;0,"支給済","不支給"),IF($AE655="","要確認",IF($AE655=0,"不支給","未処理")))))</f>
        <v/>
      </c>
      <c r="AG655" s="12" t="n"/>
      <c r="AH655" s="11" t="n"/>
      <c r="AI655" s="11" t="n"/>
      <c r="AJ655" s="11" t="n"/>
      <c r="AK655" s="14">
        <f>IF(AND($AF655="保留中",$AH655&lt;&gt;""),TODAY()-$AH655,"")</f>
        <v/>
      </c>
      <c r="AL655" s="12" t="n"/>
      <c r="AM655" s="14">
        <f>IF($B655="","",IF($AQ655="","対象年月が未入力／","")&amp;IF($B655="","",IF($AP655="","職員マスタに未登録の職員番号／",IF($AA655="","標準報酬月額が未登録／","")&amp;IF(AND($AQ655&lt;&gt;"",OR(AND(INDEX(職員マスタ!$G$6:$G$405,$AP655)&lt;&gt;"",INDEX(職員マスタ!$G$6:$G$405,$AP655)&gt;EOMONTH($AQ655,0)),AND(INDEX(職員マスタ!$H$6:$H$405,$AP655)&lt;&gt;"",INDEX(職員マスタ!$H$6:$H$405,$AP655)&lt;$AQ655))),"対象月が時短期間外／","")&amp;IF(AND(INDEX(職員マスタ!$K$6:$K$405,$AP655)&lt;&gt;"",N($W655)&gt;0,INDEX(職員マスタ!$K$6:$K$405,$AP655)&lt;&gt;$W655),"標準報酬月額が申請書と相違（台帳"&amp;TEXT(INDEX(職員マスタ!$K$6:$K$405,$AP655),"#,##0")&amp;"円／申請書"&amp;TEXT($W655,"#,##0")&amp;"円）／","")&amp;IF(AND(INDEX(職員マスタ!$F$6:$F$405,$AP655)&lt;&gt;"",$AQ655&lt;&gt;"",INDEX(職員マスタ!$F$6:$F$405,$AP655)&lt;$AQ655),"対象月に子が2歳到達済／","")&amp;IF(AND($H655&lt;&gt;"",INDEX(職員マスタ!$B$6:$B$405,$AP655)&lt;&gt;"",SUBSTITUTE(SUBSTITUTE($H655," ","")," ","")&lt;&gt;SUBSTITUTE(SUBSTITUTE(INDEX(職員マスタ!$B$6:$B$405,$AP655)," ","")," ","")),"氏名がマスタと相違／","")&amp;IF(AND($Q655&lt;&gt;"",INDEX(職員マスタ!$E$6:$E$405,$AP655)&lt;&gt;"",$Q655&lt;&gt;INDEX(職員マスタ!$E$6:$E$405,$AP655)),"子の生年月日がマスタと相違／","")&amp;IF(AND($L655&lt;&gt;"",INDEX(職員マスタ!$G$6:$G$405,$AP655)&lt;&gt;"",$L655&lt;&gt;INDEX(職員マスタ!$G$6:$G$405,$AP655)),"時短開始日がマスタと相違／","")&amp;IF(AND($M655&lt;&gt;"",INDEX(職員マスタ!$H$6:$H$405,$AP655)&lt;&gt;"",$M655&lt;&gt;INDEX(職員マスタ!$H$6:$H$405,$AP655)),"時短終了日がマスタと相違／","")))&amp;IF(AND($B655&lt;&gt;"",$E655=""),"報酬額が未入力／","")&amp;IF(N($U655)&gt;0,"申請書に入力エラーが残っています／","")&amp;IF(AND($B655&lt;&gt;"",$AQ655&lt;&gt;""),IF(COUNTIFS($B$6:$B$3005,$B655,$C$6:$C$3005,$C655,$D$6:$D$3005,$D655)&gt;1,"同じ月の請求が重複しています／",""),"")&amp;IF(AND(N($E655)&gt;0,$AB655&lt;&gt;"",$AB655&lt;&gt;"×",$AE655=0,$AD655=""),"計算額が下限以下のため不支給／",""))</f>
        <v/>
      </c>
      <c r="AN655" s="12" t="n"/>
      <c r="AO655" s="14">
        <f>IF($AF655="保留中",COUNTIF($AF$6:$AF655,"保留中"),"")</f>
        <v/>
      </c>
      <c r="AP655" s="14">
        <f>IF($AQ655="","",IF(SUMPRODUCT(MAX((職員マスタ!$A$6:$A$405=$B655)*(((職員マスタ!$G$6:$G$405="")+(職員マスタ!$G$6:$G$405&lt;=EOMONTH($AQ655,0)))&gt;0)*(((職員マスタ!$H$6:$H$405="")+(職員マスタ!$H$6:$H$405&gt;=$AQ655))&gt;0)*(ROW(職員マスタ!$A$6:$A$405)-5)))&gt;0,SUMPRODUCT(MAX((職員マスタ!$A$6:$A$405=$B655)*(((職員マスタ!$G$6:$G$405="")+(職員マスタ!$G$6:$G$405&lt;=EOMONTH($AQ655,0)))&gt;0)*(((職員マスタ!$H$6:$H$405="")+(職員マスタ!$H$6:$H$405&gt;=$AQ655))&gt;0)*(ROW(職員マスタ!$A$6:$A$405)-5))),IFERROR(MATCH($B655,職員マスタ!$A$6:$A$405,0),"")))</f>
        <v/>
      </c>
      <c r="AQ655" s="16">
        <f>IF(OR($B655="",$C655="",$D655=""),"",DATE($C655+2018,$D655,1))</f>
        <v/>
      </c>
    </row>
    <row r="656">
      <c r="A656" s="11" t="n"/>
      <c r="B656" s="12" t="n"/>
      <c r="C656" s="12" t="n"/>
      <c r="D656" s="12" t="n"/>
      <c r="E656" s="13" t="n"/>
      <c r="F656" s="12" t="n"/>
      <c r="G656" s="13" t="n"/>
      <c r="H656" s="12" t="n"/>
      <c r="I656" s="12" t="n"/>
      <c r="J656" s="12" t="n"/>
      <c r="K656" s="12" t="n"/>
      <c r="L656" s="11" t="n"/>
      <c r="M656" s="11" t="n"/>
      <c r="N656" s="11" t="n"/>
      <c r="O656" s="11" t="n"/>
      <c r="P656" s="12" t="n"/>
      <c r="Q656" s="11" t="n"/>
      <c r="R656" s="12" t="n"/>
      <c r="S656" s="11" t="n"/>
      <c r="T656" s="12" t="n"/>
      <c r="U656" s="12" t="n"/>
      <c r="V656" s="12" t="n"/>
      <c r="W656" s="13" t="n"/>
      <c r="X656" s="14">
        <f>IF($AP656="",IF($B656="","",$H656),IF(INDEX(職員マスタ!$B$6:$B$405,$AP656)="",$H656,INDEX(職員マスタ!$B$6:$B$405,$AP656)))</f>
        <v/>
      </c>
      <c r="Y656" s="14">
        <f>IF($AP656="",IF($B656="","",$R656),IF(INDEX(職員マスタ!$C$6:$C$405,$AP656)="",$R656,INDEX(職員マスタ!$C$6:$C$405,$AP656)))</f>
        <v/>
      </c>
      <c r="Z656" s="14">
        <f>IF($AQ656="","","R"&amp;$C656&amp;"."&amp;$D656)</f>
        <v/>
      </c>
      <c r="AA656" s="15">
        <f>IF(IF($AP656="",FALSE,INDEX(職員マスタ!$K$6:$K$405,$AP656)&lt;&gt;""),INDEX(職員マスタ!$K$6:$K$405,$AP656),IF(N($W656)&gt;0,$W656,""))</f>
        <v/>
      </c>
      <c r="AB656" s="14">
        <f>IF(OR($E656="",$AA656=""),"",IF($E656&gt;=$AA656,"×",IF($E656&gt;=$AA656*設定!$C$5,"△","○")))</f>
        <v/>
      </c>
      <c r="AC656" s="15">
        <f>IF($AB656="","",IF($AB656="×",0,IF($AB656="○",ROUNDDOWN($E656*設定!$C$4,0),ROUNDDOWN($E656*ROUND((9*$AA656-9*$E656)/(10*$E656),4),0))))</f>
        <v/>
      </c>
      <c r="AD656" s="13" t="n"/>
      <c r="AE656" s="15">
        <f>IF($B656="","",IF($AD656&lt;&gt;"",$AD656,IF($AC656="","",IF($AC656&lt;=設定!$C$3,0,$AC656))))</f>
        <v/>
      </c>
      <c r="AF656" s="14">
        <f>IF($B656="","",IF(AND($AG656&lt;&gt;"",$AI656="",$AL656=""),"保留中",IF($AL656&lt;&gt;"",IF(N($AE656)&gt;0,"支給済","不支給"),IF($AE656="","要確認",IF($AE656=0,"不支給","未処理")))))</f>
        <v/>
      </c>
      <c r="AG656" s="12" t="n"/>
      <c r="AH656" s="11" t="n"/>
      <c r="AI656" s="11" t="n"/>
      <c r="AJ656" s="11" t="n"/>
      <c r="AK656" s="14">
        <f>IF(AND($AF656="保留中",$AH656&lt;&gt;""),TODAY()-$AH656,"")</f>
        <v/>
      </c>
      <c r="AL656" s="12" t="n"/>
      <c r="AM656" s="14">
        <f>IF($B656="","",IF($AQ656="","対象年月が未入力／","")&amp;IF($B656="","",IF($AP656="","職員マスタに未登録の職員番号／",IF($AA656="","標準報酬月額が未登録／","")&amp;IF(AND($AQ656&lt;&gt;"",OR(AND(INDEX(職員マスタ!$G$6:$G$405,$AP656)&lt;&gt;"",INDEX(職員マスタ!$G$6:$G$405,$AP656)&gt;EOMONTH($AQ656,0)),AND(INDEX(職員マスタ!$H$6:$H$405,$AP656)&lt;&gt;"",INDEX(職員マスタ!$H$6:$H$405,$AP656)&lt;$AQ656))),"対象月が時短期間外／","")&amp;IF(AND(INDEX(職員マスタ!$K$6:$K$405,$AP656)&lt;&gt;"",N($W656)&gt;0,INDEX(職員マスタ!$K$6:$K$405,$AP656)&lt;&gt;$W656),"標準報酬月額が申請書と相違（台帳"&amp;TEXT(INDEX(職員マスタ!$K$6:$K$405,$AP656),"#,##0")&amp;"円／申請書"&amp;TEXT($W656,"#,##0")&amp;"円）／","")&amp;IF(AND(INDEX(職員マスタ!$F$6:$F$405,$AP656)&lt;&gt;"",$AQ656&lt;&gt;"",INDEX(職員マスタ!$F$6:$F$405,$AP656)&lt;$AQ656),"対象月に子が2歳到達済／","")&amp;IF(AND($H656&lt;&gt;"",INDEX(職員マスタ!$B$6:$B$405,$AP656)&lt;&gt;"",SUBSTITUTE(SUBSTITUTE($H656," ","")," ","")&lt;&gt;SUBSTITUTE(SUBSTITUTE(INDEX(職員マスタ!$B$6:$B$405,$AP656)," ","")," ","")),"氏名がマスタと相違／","")&amp;IF(AND($Q656&lt;&gt;"",INDEX(職員マスタ!$E$6:$E$405,$AP656)&lt;&gt;"",$Q656&lt;&gt;INDEX(職員マスタ!$E$6:$E$405,$AP656)),"子の生年月日がマスタと相違／","")&amp;IF(AND($L656&lt;&gt;"",INDEX(職員マスタ!$G$6:$G$405,$AP656)&lt;&gt;"",$L656&lt;&gt;INDEX(職員マスタ!$G$6:$G$405,$AP656)),"時短開始日がマスタと相違／","")&amp;IF(AND($M656&lt;&gt;"",INDEX(職員マスタ!$H$6:$H$405,$AP656)&lt;&gt;"",$M656&lt;&gt;INDEX(職員マスタ!$H$6:$H$405,$AP656)),"時短終了日がマスタと相違／","")))&amp;IF(AND($B656&lt;&gt;"",$E656=""),"報酬額が未入力／","")&amp;IF(N($U656)&gt;0,"申請書に入力エラーが残っています／","")&amp;IF(AND($B656&lt;&gt;"",$AQ656&lt;&gt;""),IF(COUNTIFS($B$6:$B$3005,$B656,$C$6:$C$3005,$C656,$D$6:$D$3005,$D656)&gt;1,"同じ月の請求が重複しています／",""),"")&amp;IF(AND(N($E656)&gt;0,$AB656&lt;&gt;"",$AB656&lt;&gt;"×",$AE656=0,$AD656=""),"計算額が下限以下のため不支給／",""))</f>
        <v/>
      </c>
      <c r="AN656" s="12" t="n"/>
      <c r="AO656" s="14">
        <f>IF($AF656="保留中",COUNTIF($AF$6:$AF656,"保留中"),"")</f>
        <v/>
      </c>
      <c r="AP656" s="14">
        <f>IF($AQ656="","",IF(SUMPRODUCT(MAX((職員マスタ!$A$6:$A$405=$B656)*(((職員マスタ!$G$6:$G$405="")+(職員マスタ!$G$6:$G$405&lt;=EOMONTH($AQ656,0)))&gt;0)*(((職員マスタ!$H$6:$H$405="")+(職員マスタ!$H$6:$H$405&gt;=$AQ656))&gt;0)*(ROW(職員マスタ!$A$6:$A$405)-5)))&gt;0,SUMPRODUCT(MAX((職員マスタ!$A$6:$A$405=$B656)*(((職員マスタ!$G$6:$G$405="")+(職員マスタ!$G$6:$G$405&lt;=EOMONTH($AQ656,0)))&gt;0)*(((職員マスタ!$H$6:$H$405="")+(職員マスタ!$H$6:$H$405&gt;=$AQ656))&gt;0)*(ROW(職員マスタ!$A$6:$A$405)-5))),IFERROR(MATCH($B656,職員マスタ!$A$6:$A$405,0),"")))</f>
        <v/>
      </c>
      <c r="AQ656" s="16">
        <f>IF(OR($B656="",$C656="",$D656=""),"",DATE($C656+2018,$D656,1))</f>
        <v/>
      </c>
    </row>
    <row r="657">
      <c r="A657" s="11" t="n"/>
      <c r="B657" s="12" t="n"/>
      <c r="C657" s="12" t="n"/>
      <c r="D657" s="12" t="n"/>
      <c r="E657" s="13" t="n"/>
      <c r="F657" s="12" t="n"/>
      <c r="G657" s="13" t="n"/>
      <c r="H657" s="12" t="n"/>
      <c r="I657" s="12" t="n"/>
      <c r="J657" s="12" t="n"/>
      <c r="K657" s="12" t="n"/>
      <c r="L657" s="11" t="n"/>
      <c r="M657" s="11" t="n"/>
      <c r="N657" s="11" t="n"/>
      <c r="O657" s="11" t="n"/>
      <c r="P657" s="12" t="n"/>
      <c r="Q657" s="11" t="n"/>
      <c r="R657" s="12" t="n"/>
      <c r="S657" s="11" t="n"/>
      <c r="T657" s="12" t="n"/>
      <c r="U657" s="12" t="n"/>
      <c r="V657" s="12" t="n"/>
      <c r="W657" s="13" t="n"/>
      <c r="X657" s="14">
        <f>IF($AP657="",IF($B657="","",$H657),IF(INDEX(職員マスタ!$B$6:$B$405,$AP657)="",$H657,INDEX(職員マスタ!$B$6:$B$405,$AP657)))</f>
        <v/>
      </c>
      <c r="Y657" s="14">
        <f>IF($AP657="",IF($B657="","",$R657),IF(INDEX(職員マスタ!$C$6:$C$405,$AP657)="",$R657,INDEX(職員マスタ!$C$6:$C$405,$AP657)))</f>
        <v/>
      </c>
      <c r="Z657" s="14">
        <f>IF($AQ657="","","R"&amp;$C657&amp;"."&amp;$D657)</f>
        <v/>
      </c>
      <c r="AA657" s="15">
        <f>IF(IF($AP657="",FALSE,INDEX(職員マスタ!$K$6:$K$405,$AP657)&lt;&gt;""),INDEX(職員マスタ!$K$6:$K$405,$AP657),IF(N($W657)&gt;0,$W657,""))</f>
        <v/>
      </c>
      <c r="AB657" s="14">
        <f>IF(OR($E657="",$AA657=""),"",IF($E657&gt;=$AA657,"×",IF($E657&gt;=$AA657*設定!$C$5,"△","○")))</f>
        <v/>
      </c>
      <c r="AC657" s="15">
        <f>IF($AB657="","",IF($AB657="×",0,IF($AB657="○",ROUNDDOWN($E657*設定!$C$4,0),ROUNDDOWN($E657*ROUND((9*$AA657-9*$E657)/(10*$E657),4),0))))</f>
        <v/>
      </c>
      <c r="AD657" s="13" t="n"/>
      <c r="AE657" s="15">
        <f>IF($B657="","",IF($AD657&lt;&gt;"",$AD657,IF($AC657="","",IF($AC657&lt;=設定!$C$3,0,$AC657))))</f>
        <v/>
      </c>
      <c r="AF657" s="14">
        <f>IF($B657="","",IF(AND($AG657&lt;&gt;"",$AI657="",$AL657=""),"保留中",IF($AL657&lt;&gt;"",IF(N($AE657)&gt;0,"支給済","不支給"),IF($AE657="","要確認",IF($AE657=0,"不支給","未処理")))))</f>
        <v/>
      </c>
      <c r="AG657" s="12" t="n"/>
      <c r="AH657" s="11" t="n"/>
      <c r="AI657" s="11" t="n"/>
      <c r="AJ657" s="11" t="n"/>
      <c r="AK657" s="14">
        <f>IF(AND($AF657="保留中",$AH657&lt;&gt;""),TODAY()-$AH657,"")</f>
        <v/>
      </c>
      <c r="AL657" s="12" t="n"/>
      <c r="AM657" s="14">
        <f>IF($B657="","",IF($AQ657="","対象年月が未入力／","")&amp;IF($B657="","",IF($AP657="","職員マスタに未登録の職員番号／",IF($AA657="","標準報酬月額が未登録／","")&amp;IF(AND($AQ657&lt;&gt;"",OR(AND(INDEX(職員マスタ!$G$6:$G$405,$AP657)&lt;&gt;"",INDEX(職員マスタ!$G$6:$G$405,$AP657)&gt;EOMONTH($AQ657,0)),AND(INDEX(職員マスタ!$H$6:$H$405,$AP657)&lt;&gt;"",INDEX(職員マスタ!$H$6:$H$405,$AP657)&lt;$AQ657))),"対象月が時短期間外／","")&amp;IF(AND(INDEX(職員マスタ!$K$6:$K$405,$AP657)&lt;&gt;"",N($W657)&gt;0,INDEX(職員マスタ!$K$6:$K$405,$AP657)&lt;&gt;$W657),"標準報酬月額が申請書と相違（台帳"&amp;TEXT(INDEX(職員マスタ!$K$6:$K$405,$AP657),"#,##0")&amp;"円／申請書"&amp;TEXT($W657,"#,##0")&amp;"円）／","")&amp;IF(AND(INDEX(職員マスタ!$F$6:$F$405,$AP657)&lt;&gt;"",$AQ657&lt;&gt;"",INDEX(職員マスタ!$F$6:$F$405,$AP657)&lt;$AQ657),"対象月に子が2歳到達済／","")&amp;IF(AND($H657&lt;&gt;"",INDEX(職員マスタ!$B$6:$B$405,$AP657)&lt;&gt;"",SUBSTITUTE(SUBSTITUTE($H657," ","")," ","")&lt;&gt;SUBSTITUTE(SUBSTITUTE(INDEX(職員マスタ!$B$6:$B$405,$AP657)," ","")," ","")),"氏名がマスタと相違／","")&amp;IF(AND($Q657&lt;&gt;"",INDEX(職員マスタ!$E$6:$E$405,$AP657)&lt;&gt;"",$Q657&lt;&gt;INDEX(職員マスタ!$E$6:$E$405,$AP657)),"子の生年月日がマスタと相違／","")&amp;IF(AND($L657&lt;&gt;"",INDEX(職員マスタ!$G$6:$G$405,$AP657)&lt;&gt;"",$L657&lt;&gt;INDEX(職員マスタ!$G$6:$G$405,$AP657)),"時短開始日がマスタと相違／","")&amp;IF(AND($M657&lt;&gt;"",INDEX(職員マスタ!$H$6:$H$405,$AP657)&lt;&gt;"",$M657&lt;&gt;INDEX(職員マスタ!$H$6:$H$405,$AP657)),"時短終了日がマスタと相違／","")))&amp;IF(AND($B657&lt;&gt;"",$E657=""),"報酬額が未入力／","")&amp;IF(N($U657)&gt;0,"申請書に入力エラーが残っています／","")&amp;IF(AND($B657&lt;&gt;"",$AQ657&lt;&gt;""),IF(COUNTIFS($B$6:$B$3005,$B657,$C$6:$C$3005,$C657,$D$6:$D$3005,$D657)&gt;1,"同じ月の請求が重複しています／",""),"")&amp;IF(AND(N($E657)&gt;0,$AB657&lt;&gt;"",$AB657&lt;&gt;"×",$AE657=0,$AD657=""),"計算額が下限以下のため不支給／",""))</f>
        <v/>
      </c>
      <c r="AN657" s="12" t="n"/>
      <c r="AO657" s="14">
        <f>IF($AF657="保留中",COUNTIF($AF$6:$AF657,"保留中"),"")</f>
        <v/>
      </c>
      <c r="AP657" s="14">
        <f>IF($AQ657="","",IF(SUMPRODUCT(MAX((職員マスタ!$A$6:$A$405=$B657)*(((職員マスタ!$G$6:$G$405="")+(職員マスタ!$G$6:$G$405&lt;=EOMONTH($AQ657,0)))&gt;0)*(((職員マスタ!$H$6:$H$405="")+(職員マスタ!$H$6:$H$405&gt;=$AQ657))&gt;0)*(ROW(職員マスタ!$A$6:$A$405)-5)))&gt;0,SUMPRODUCT(MAX((職員マスタ!$A$6:$A$405=$B657)*(((職員マスタ!$G$6:$G$405="")+(職員マスタ!$G$6:$G$405&lt;=EOMONTH($AQ657,0)))&gt;0)*(((職員マスタ!$H$6:$H$405="")+(職員マスタ!$H$6:$H$405&gt;=$AQ657))&gt;0)*(ROW(職員マスタ!$A$6:$A$405)-5))),IFERROR(MATCH($B657,職員マスタ!$A$6:$A$405,0),"")))</f>
        <v/>
      </c>
      <c r="AQ657" s="16">
        <f>IF(OR($B657="",$C657="",$D657=""),"",DATE($C657+2018,$D657,1))</f>
        <v/>
      </c>
    </row>
    <row r="658">
      <c r="A658" s="11" t="n"/>
      <c r="B658" s="12" t="n"/>
      <c r="C658" s="12" t="n"/>
      <c r="D658" s="12" t="n"/>
      <c r="E658" s="13" t="n"/>
      <c r="F658" s="12" t="n"/>
      <c r="G658" s="13" t="n"/>
      <c r="H658" s="12" t="n"/>
      <c r="I658" s="12" t="n"/>
      <c r="J658" s="12" t="n"/>
      <c r="K658" s="12" t="n"/>
      <c r="L658" s="11" t="n"/>
      <c r="M658" s="11" t="n"/>
      <c r="N658" s="11" t="n"/>
      <c r="O658" s="11" t="n"/>
      <c r="P658" s="12" t="n"/>
      <c r="Q658" s="11" t="n"/>
      <c r="R658" s="12" t="n"/>
      <c r="S658" s="11" t="n"/>
      <c r="T658" s="12" t="n"/>
      <c r="U658" s="12" t="n"/>
      <c r="V658" s="12" t="n"/>
      <c r="W658" s="13" t="n"/>
      <c r="X658" s="14">
        <f>IF($AP658="",IF($B658="","",$H658),IF(INDEX(職員マスタ!$B$6:$B$405,$AP658)="",$H658,INDEX(職員マスタ!$B$6:$B$405,$AP658)))</f>
        <v/>
      </c>
      <c r="Y658" s="14">
        <f>IF($AP658="",IF($B658="","",$R658),IF(INDEX(職員マスタ!$C$6:$C$405,$AP658)="",$R658,INDEX(職員マスタ!$C$6:$C$405,$AP658)))</f>
        <v/>
      </c>
      <c r="Z658" s="14">
        <f>IF($AQ658="","","R"&amp;$C658&amp;"."&amp;$D658)</f>
        <v/>
      </c>
      <c r="AA658" s="15">
        <f>IF(IF($AP658="",FALSE,INDEX(職員マスタ!$K$6:$K$405,$AP658)&lt;&gt;""),INDEX(職員マスタ!$K$6:$K$405,$AP658),IF(N($W658)&gt;0,$W658,""))</f>
        <v/>
      </c>
      <c r="AB658" s="14">
        <f>IF(OR($E658="",$AA658=""),"",IF($E658&gt;=$AA658,"×",IF($E658&gt;=$AA658*設定!$C$5,"△","○")))</f>
        <v/>
      </c>
      <c r="AC658" s="15">
        <f>IF($AB658="","",IF($AB658="×",0,IF($AB658="○",ROUNDDOWN($E658*設定!$C$4,0),ROUNDDOWN($E658*ROUND((9*$AA658-9*$E658)/(10*$E658),4),0))))</f>
        <v/>
      </c>
      <c r="AD658" s="13" t="n"/>
      <c r="AE658" s="15">
        <f>IF($B658="","",IF($AD658&lt;&gt;"",$AD658,IF($AC658="","",IF($AC658&lt;=設定!$C$3,0,$AC658))))</f>
        <v/>
      </c>
      <c r="AF658" s="14">
        <f>IF($B658="","",IF(AND($AG658&lt;&gt;"",$AI658="",$AL658=""),"保留中",IF($AL658&lt;&gt;"",IF(N($AE658)&gt;0,"支給済","不支給"),IF($AE658="","要確認",IF($AE658=0,"不支給","未処理")))))</f>
        <v/>
      </c>
      <c r="AG658" s="12" t="n"/>
      <c r="AH658" s="11" t="n"/>
      <c r="AI658" s="11" t="n"/>
      <c r="AJ658" s="11" t="n"/>
      <c r="AK658" s="14">
        <f>IF(AND($AF658="保留中",$AH658&lt;&gt;""),TODAY()-$AH658,"")</f>
        <v/>
      </c>
      <c r="AL658" s="12" t="n"/>
      <c r="AM658" s="14">
        <f>IF($B658="","",IF($AQ658="","対象年月が未入力／","")&amp;IF($B658="","",IF($AP658="","職員マスタに未登録の職員番号／",IF($AA658="","標準報酬月額が未登録／","")&amp;IF(AND($AQ658&lt;&gt;"",OR(AND(INDEX(職員マスタ!$G$6:$G$405,$AP658)&lt;&gt;"",INDEX(職員マスタ!$G$6:$G$405,$AP658)&gt;EOMONTH($AQ658,0)),AND(INDEX(職員マスタ!$H$6:$H$405,$AP658)&lt;&gt;"",INDEX(職員マスタ!$H$6:$H$405,$AP658)&lt;$AQ658))),"対象月が時短期間外／","")&amp;IF(AND(INDEX(職員マスタ!$K$6:$K$405,$AP658)&lt;&gt;"",N($W658)&gt;0,INDEX(職員マスタ!$K$6:$K$405,$AP658)&lt;&gt;$W658),"標準報酬月額が申請書と相違（台帳"&amp;TEXT(INDEX(職員マスタ!$K$6:$K$405,$AP658),"#,##0")&amp;"円／申請書"&amp;TEXT($W658,"#,##0")&amp;"円）／","")&amp;IF(AND(INDEX(職員マスタ!$F$6:$F$405,$AP658)&lt;&gt;"",$AQ658&lt;&gt;"",INDEX(職員マスタ!$F$6:$F$405,$AP658)&lt;$AQ658),"対象月に子が2歳到達済／","")&amp;IF(AND($H658&lt;&gt;"",INDEX(職員マスタ!$B$6:$B$405,$AP658)&lt;&gt;"",SUBSTITUTE(SUBSTITUTE($H658," ","")," ","")&lt;&gt;SUBSTITUTE(SUBSTITUTE(INDEX(職員マスタ!$B$6:$B$405,$AP658)," ","")," ","")),"氏名がマスタと相違／","")&amp;IF(AND($Q658&lt;&gt;"",INDEX(職員マスタ!$E$6:$E$405,$AP658)&lt;&gt;"",$Q658&lt;&gt;INDEX(職員マスタ!$E$6:$E$405,$AP658)),"子の生年月日がマスタと相違／","")&amp;IF(AND($L658&lt;&gt;"",INDEX(職員マスタ!$G$6:$G$405,$AP658)&lt;&gt;"",$L658&lt;&gt;INDEX(職員マスタ!$G$6:$G$405,$AP658)),"時短開始日がマスタと相違／","")&amp;IF(AND($M658&lt;&gt;"",INDEX(職員マスタ!$H$6:$H$405,$AP658)&lt;&gt;"",$M658&lt;&gt;INDEX(職員マスタ!$H$6:$H$405,$AP658)),"時短終了日がマスタと相違／","")))&amp;IF(AND($B658&lt;&gt;"",$E658=""),"報酬額が未入力／","")&amp;IF(N($U658)&gt;0,"申請書に入力エラーが残っています／","")&amp;IF(AND($B658&lt;&gt;"",$AQ658&lt;&gt;""),IF(COUNTIFS($B$6:$B$3005,$B658,$C$6:$C$3005,$C658,$D$6:$D$3005,$D658)&gt;1,"同じ月の請求が重複しています／",""),"")&amp;IF(AND(N($E658)&gt;0,$AB658&lt;&gt;"",$AB658&lt;&gt;"×",$AE658=0,$AD658=""),"計算額が下限以下のため不支給／",""))</f>
        <v/>
      </c>
      <c r="AN658" s="12" t="n"/>
      <c r="AO658" s="14">
        <f>IF($AF658="保留中",COUNTIF($AF$6:$AF658,"保留中"),"")</f>
        <v/>
      </c>
      <c r="AP658" s="14">
        <f>IF($AQ658="","",IF(SUMPRODUCT(MAX((職員マスタ!$A$6:$A$405=$B658)*(((職員マスタ!$G$6:$G$405="")+(職員マスタ!$G$6:$G$405&lt;=EOMONTH($AQ658,0)))&gt;0)*(((職員マスタ!$H$6:$H$405="")+(職員マスタ!$H$6:$H$405&gt;=$AQ658))&gt;0)*(ROW(職員マスタ!$A$6:$A$405)-5)))&gt;0,SUMPRODUCT(MAX((職員マスタ!$A$6:$A$405=$B658)*(((職員マスタ!$G$6:$G$405="")+(職員マスタ!$G$6:$G$405&lt;=EOMONTH($AQ658,0)))&gt;0)*(((職員マスタ!$H$6:$H$405="")+(職員マスタ!$H$6:$H$405&gt;=$AQ658))&gt;0)*(ROW(職員マスタ!$A$6:$A$405)-5))),IFERROR(MATCH($B658,職員マスタ!$A$6:$A$405,0),"")))</f>
        <v/>
      </c>
      <c r="AQ658" s="16">
        <f>IF(OR($B658="",$C658="",$D658=""),"",DATE($C658+2018,$D658,1))</f>
        <v/>
      </c>
    </row>
    <row r="659">
      <c r="A659" s="11" t="n"/>
      <c r="B659" s="12" t="n"/>
      <c r="C659" s="12" t="n"/>
      <c r="D659" s="12" t="n"/>
      <c r="E659" s="13" t="n"/>
      <c r="F659" s="12" t="n"/>
      <c r="G659" s="13" t="n"/>
      <c r="H659" s="12" t="n"/>
      <c r="I659" s="12" t="n"/>
      <c r="J659" s="12" t="n"/>
      <c r="K659" s="12" t="n"/>
      <c r="L659" s="11" t="n"/>
      <c r="M659" s="11" t="n"/>
      <c r="N659" s="11" t="n"/>
      <c r="O659" s="11" t="n"/>
      <c r="P659" s="12" t="n"/>
      <c r="Q659" s="11" t="n"/>
      <c r="R659" s="12" t="n"/>
      <c r="S659" s="11" t="n"/>
      <c r="T659" s="12" t="n"/>
      <c r="U659" s="12" t="n"/>
      <c r="V659" s="12" t="n"/>
      <c r="W659" s="13" t="n"/>
      <c r="X659" s="14">
        <f>IF($AP659="",IF($B659="","",$H659),IF(INDEX(職員マスタ!$B$6:$B$405,$AP659)="",$H659,INDEX(職員マスタ!$B$6:$B$405,$AP659)))</f>
        <v/>
      </c>
      <c r="Y659" s="14">
        <f>IF($AP659="",IF($B659="","",$R659),IF(INDEX(職員マスタ!$C$6:$C$405,$AP659)="",$R659,INDEX(職員マスタ!$C$6:$C$405,$AP659)))</f>
        <v/>
      </c>
      <c r="Z659" s="14">
        <f>IF($AQ659="","","R"&amp;$C659&amp;"."&amp;$D659)</f>
        <v/>
      </c>
      <c r="AA659" s="15">
        <f>IF(IF($AP659="",FALSE,INDEX(職員マスタ!$K$6:$K$405,$AP659)&lt;&gt;""),INDEX(職員マスタ!$K$6:$K$405,$AP659),IF(N($W659)&gt;0,$W659,""))</f>
        <v/>
      </c>
      <c r="AB659" s="14">
        <f>IF(OR($E659="",$AA659=""),"",IF($E659&gt;=$AA659,"×",IF($E659&gt;=$AA659*設定!$C$5,"△","○")))</f>
        <v/>
      </c>
      <c r="AC659" s="15">
        <f>IF($AB659="","",IF($AB659="×",0,IF($AB659="○",ROUNDDOWN($E659*設定!$C$4,0),ROUNDDOWN($E659*ROUND((9*$AA659-9*$E659)/(10*$E659),4),0))))</f>
        <v/>
      </c>
      <c r="AD659" s="13" t="n"/>
      <c r="AE659" s="15">
        <f>IF($B659="","",IF($AD659&lt;&gt;"",$AD659,IF($AC659="","",IF($AC659&lt;=設定!$C$3,0,$AC659))))</f>
        <v/>
      </c>
      <c r="AF659" s="14">
        <f>IF($B659="","",IF(AND($AG659&lt;&gt;"",$AI659="",$AL659=""),"保留中",IF($AL659&lt;&gt;"",IF(N($AE659)&gt;0,"支給済","不支給"),IF($AE659="","要確認",IF($AE659=0,"不支給","未処理")))))</f>
        <v/>
      </c>
      <c r="AG659" s="12" t="n"/>
      <c r="AH659" s="11" t="n"/>
      <c r="AI659" s="11" t="n"/>
      <c r="AJ659" s="11" t="n"/>
      <c r="AK659" s="14">
        <f>IF(AND($AF659="保留中",$AH659&lt;&gt;""),TODAY()-$AH659,"")</f>
        <v/>
      </c>
      <c r="AL659" s="12" t="n"/>
      <c r="AM659" s="14">
        <f>IF($B659="","",IF($AQ659="","対象年月が未入力／","")&amp;IF($B659="","",IF($AP659="","職員マスタに未登録の職員番号／",IF($AA659="","標準報酬月額が未登録／","")&amp;IF(AND($AQ659&lt;&gt;"",OR(AND(INDEX(職員マスタ!$G$6:$G$405,$AP659)&lt;&gt;"",INDEX(職員マスタ!$G$6:$G$405,$AP659)&gt;EOMONTH($AQ659,0)),AND(INDEX(職員マスタ!$H$6:$H$405,$AP659)&lt;&gt;"",INDEX(職員マスタ!$H$6:$H$405,$AP659)&lt;$AQ659))),"対象月が時短期間外／","")&amp;IF(AND(INDEX(職員マスタ!$K$6:$K$405,$AP659)&lt;&gt;"",N($W659)&gt;0,INDEX(職員マスタ!$K$6:$K$405,$AP659)&lt;&gt;$W659),"標準報酬月額が申請書と相違（台帳"&amp;TEXT(INDEX(職員マスタ!$K$6:$K$405,$AP659),"#,##0")&amp;"円／申請書"&amp;TEXT($W659,"#,##0")&amp;"円）／","")&amp;IF(AND(INDEX(職員マスタ!$F$6:$F$405,$AP659)&lt;&gt;"",$AQ659&lt;&gt;"",INDEX(職員マスタ!$F$6:$F$405,$AP659)&lt;$AQ659),"対象月に子が2歳到達済／","")&amp;IF(AND($H659&lt;&gt;"",INDEX(職員マスタ!$B$6:$B$405,$AP659)&lt;&gt;"",SUBSTITUTE(SUBSTITUTE($H659," ","")," ","")&lt;&gt;SUBSTITUTE(SUBSTITUTE(INDEX(職員マスタ!$B$6:$B$405,$AP659)," ","")," ","")),"氏名がマスタと相違／","")&amp;IF(AND($Q659&lt;&gt;"",INDEX(職員マスタ!$E$6:$E$405,$AP659)&lt;&gt;"",$Q659&lt;&gt;INDEX(職員マスタ!$E$6:$E$405,$AP659)),"子の生年月日がマスタと相違／","")&amp;IF(AND($L659&lt;&gt;"",INDEX(職員マスタ!$G$6:$G$405,$AP659)&lt;&gt;"",$L659&lt;&gt;INDEX(職員マスタ!$G$6:$G$405,$AP659)),"時短開始日がマスタと相違／","")&amp;IF(AND($M659&lt;&gt;"",INDEX(職員マスタ!$H$6:$H$405,$AP659)&lt;&gt;"",$M659&lt;&gt;INDEX(職員マスタ!$H$6:$H$405,$AP659)),"時短終了日がマスタと相違／","")))&amp;IF(AND($B659&lt;&gt;"",$E659=""),"報酬額が未入力／","")&amp;IF(N($U659)&gt;0,"申請書に入力エラーが残っています／","")&amp;IF(AND($B659&lt;&gt;"",$AQ659&lt;&gt;""),IF(COUNTIFS($B$6:$B$3005,$B659,$C$6:$C$3005,$C659,$D$6:$D$3005,$D659)&gt;1,"同じ月の請求が重複しています／",""),"")&amp;IF(AND(N($E659)&gt;0,$AB659&lt;&gt;"",$AB659&lt;&gt;"×",$AE659=0,$AD659=""),"計算額が下限以下のため不支給／",""))</f>
        <v/>
      </c>
      <c r="AN659" s="12" t="n"/>
      <c r="AO659" s="14">
        <f>IF($AF659="保留中",COUNTIF($AF$6:$AF659,"保留中"),"")</f>
        <v/>
      </c>
      <c r="AP659" s="14">
        <f>IF($AQ659="","",IF(SUMPRODUCT(MAX((職員マスタ!$A$6:$A$405=$B659)*(((職員マスタ!$G$6:$G$405="")+(職員マスタ!$G$6:$G$405&lt;=EOMONTH($AQ659,0)))&gt;0)*(((職員マスタ!$H$6:$H$405="")+(職員マスタ!$H$6:$H$405&gt;=$AQ659))&gt;0)*(ROW(職員マスタ!$A$6:$A$405)-5)))&gt;0,SUMPRODUCT(MAX((職員マスタ!$A$6:$A$405=$B659)*(((職員マスタ!$G$6:$G$405="")+(職員マスタ!$G$6:$G$405&lt;=EOMONTH($AQ659,0)))&gt;0)*(((職員マスタ!$H$6:$H$405="")+(職員マスタ!$H$6:$H$405&gt;=$AQ659))&gt;0)*(ROW(職員マスタ!$A$6:$A$405)-5))),IFERROR(MATCH($B659,職員マスタ!$A$6:$A$405,0),"")))</f>
        <v/>
      </c>
      <c r="AQ659" s="16">
        <f>IF(OR($B659="",$C659="",$D659=""),"",DATE($C659+2018,$D659,1))</f>
        <v/>
      </c>
    </row>
    <row r="660">
      <c r="A660" s="11" t="n"/>
      <c r="B660" s="12" t="n"/>
      <c r="C660" s="12" t="n"/>
      <c r="D660" s="12" t="n"/>
      <c r="E660" s="13" t="n"/>
      <c r="F660" s="12" t="n"/>
      <c r="G660" s="13" t="n"/>
      <c r="H660" s="12" t="n"/>
      <c r="I660" s="12" t="n"/>
      <c r="J660" s="12" t="n"/>
      <c r="K660" s="12" t="n"/>
      <c r="L660" s="11" t="n"/>
      <c r="M660" s="11" t="n"/>
      <c r="N660" s="11" t="n"/>
      <c r="O660" s="11" t="n"/>
      <c r="P660" s="12" t="n"/>
      <c r="Q660" s="11" t="n"/>
      <c r="R660" s="12" t="n"/>
      <c r="S660" s="11" t="n"/>
      <c r="T660" s="12" t="n"/>
      <c r="U660" s="12" t="n"/>
      <c r="V660" s="12" t="n"/>
      <c r="W660" s="13" t="n"/>
      <c r="X660" s="14">
        <f>IF($AP660="",IF($B660="","",$H660),IF(INDEX(職員マスタ!$B$6:$B$405,$AP660)="",$H660,INDEX(職員マスタ!$B$6:$B$405,$AP660)))</f>
        <v/>
      </c>
      <c r="Y660" s="14">
        <f>IF($AP660="",IF($B660="","",$R660),IF(INDEX(職員マスタ!$C$6:$C$405,$AP660)="",$R660,INDEX(職員マスタ!$C$6:$C$405,$AP660)))</f>
        <v/>
      </c>
      <c r="Z660" s="14">
        <f>IF($AQ660="","","R"&amp;$C660&amp;"."&amp;$D660)</f>
        <v/>
      </c>
      <c r="AA660" s="15">
        <f>IF(IF($AP660="",FALSE,INDEX(職員マスタ!$K$6:$K$405,$AP660)&lt;&gt;""),INDEX(職員マスタ!$K$6:$K$405,$AP660),IF(N($W660)&gt;0,$W660,""))</f>
        <v/>
      </c>
      <c r="AB660" s="14">
        <f>IF(OR($E660="",$AA660=""),"",IF($E660&gt;=$AA660,"×",IF($E660&gt;=$AA660*設定!$C$5,"△","○")))</f>
        <v/>
      </c>
      <c r="AC660" s="15">
        <f>IF($AB660="","",IF($AB660="×",0,IF($AB660="○",ROUNDDOWN($E660*設定!$C$4,0),ROUNDDOWN($E660*ROUND((9*$AA660-9*$E660)/(10*$E660),4),0))))</f>
        <v/>
      </c>
      <c r="AD660" s="13" t="n"/>
      <c r="AE660" s="15">
        <f>IF($B660="","",IF($AD660&lt;&gt;"",$AD660,IF($AC660="","",IF($AC660&lt;=設定!$C$3,0,$AC660))))</f>
        <v/>
      </c>
      <c r="AF660" s="14">
        <f>IF($B660="","",IF(AND($AG660&lt;&gt;"",$AI660="",$AL660=""),"保留中",IF($AL660&lt;&gt;"",IF(N($AE660)&gt;0,"支給済","不支給"),IF($AE660="","要確認",IF($AE660=0,"不支給","未処理")))))</f>
        <v/>
      </c>
      <c r="AG660" s="12" t="n"/>
      <c r="AH660" s="11" t="n"/>
      <c r="AI660" s="11" t="n"/>
      <c r="AJ660" s="11" t="n"/>
      <c r="AK660" s="14">
        <f>IF(AND($AF660="保留中",$AH660&lt;&gt;""),TODAY()-$AH660,"")</f>
        <v/>
      </c>
      <c r="AL660" s="12" t="n"/>
      <c r="AM660" s="14">
        <f>IF($B660="","",IF($AQ660="","対象年月が未入力／","")&amp;IF($B660="","",IF($AP660="","職員マスタに未登録の職員番号／",IF($AA660="","標準報酬月額が未登録／","")&amp;IF(AND($AQ660&lt;&gt;"",OR(AND(INDEX(職員マスタ!$G$6:$G$405,$AP660)&lt;&gt;"",INDEX(職員マスタ!$G$6:$G$405,$AP660)&gt;EOMONTH($AQ660,0)),AND(INDEX(職員マスタ!$H$6:$H$405,$AP660)&lt;&gt;"",INDEX(職員マスタ!$H$6:$H$405,$AP660)&lt;$AQ660))),"対象月が時短期間外／","")&amp;IF(AND(INDEX(職員マスタ!$K$6:$K$405,$AP660)&lt;&gt;"",N($W660)&gt;0,INDEX(職員マスタ!$K$6:$K$405,$AP660)&lt;&gt;$W660),"標準報酬月額が申請書と相違（台帳"&amp;TEXT(INDEX(職員マスタ!$K$6:$K$405,$AP660),"#,##0")&amp;"円／申請書"&amp;TEXT($W660,"#,##0")&amp;"円）／","")&amp;IF(AND(INDEX(職員マスタ!$F$6:$F$405,$AP660)&lt;&gt;"",$AQ660&lt;&gt;"",INDEX(職員マスタ!$F$6:$F$405,$AP660)&lt;$AQ660),"対象月に子が2歳到達済／","")&amp;IF(AND($H660&lt;&gt;"",INDEX(職員マスタ!$B$6:$B$405,$AP660)&lt;&gt;"",SUBSTITUTE(SUBSTITUTE($H660," ","")," ","")&lt;&gt;SUBSTITUTE(SUBSTITUTE(INDEX(職員マスタ!$B$6:$B$405,$AP660)," ","")," ","")),"氏名がマスタと相違／","")&amp;IF(AND($Q660&lt;&gt;"",INDEX(職員マスタ!$E$6:$E$405,$AP660)&lt;&gt;"",$Q660&lt;&gt;INDEX(職員マスタ!$E$6:$E$405,$AP660)),"子の生年月日がマスタと相違／","")&amp;IF(AND($L660&lt;&gt;"",INDEX(職員マスタ!$G$6:$G$405,$AP660)&lt;&gt;"",$L660&lt;&gt;INDEX(職員マスタ!$G$6:$G$405,$AP660)),"時短開始日がマスタと相違／","")&amp;IF(AND($M660&lt;&gt;"",INDEX(職員マスタ!$H$6:$H$405,$AP660)&lt;&gt;"",$M660&lt;&gt;INDEX(職員マスタ!$H$6:$H$405,$AP660)),"時短終了日がマスタと相違／","")))&amp;IF(AND($B660&lt;&gt;"",$E660=""),"報酬額が未入力／","")&amp;IF(N($U660)&gt;0,"申請書に入力エラーが残っています／","")&amp;IF(AND($B660&lt;&gt;"",$AQ660&lt;&gt;""),IF(COUNTIFS($B$6:$B$3005,$B660,$C$6:$C$3005,$C660,$D$6:$D$3005,$D660)&gt;1,"同じ月の請求が重複しています／",""),"")&amp;IF(AND(N($E660)&gt;0,$AB660&lt;&gt;"",$AB660&lt;&gt;"×",$AE660=0,$AD660=""),"計算額が下限以下のため不支給／",""))</f>
        <v/>
      </c>
      <c r="AN660" s="12" t="n"/>
      <c r="AO660" s="14">
        <f>IF($AF660="保留中",COUNTIF($AF$6:$AF660,"保留中"),"")</f>
        <v/>
      </c>
      <c r="AP660" s="14">
        <f>IF($AQ660="","",IF(SUMPRODUCT(MAX((職員マスタ!$A$6:$A$405=$B660)*(((職員マスタ!$G$6:$G$405="")+(職員マスタ!$G$6:$G$405&lt;=EOMONTH($AQ660,0)))&gt;0)*(((職員マスタ!$H$6:$H$405="")+(職員マスタ!$H$6:$H$405&gt;=$AQ660))&gt;0)*(ROW(職員マスタ!$A$6:$A$405)-5)))&gt;0,SUMPRODUCT(MAX((職員マスタ!$A$6:$A$405=$B660)*(((職員マスタ!$G$6:$G$405="")+(職員マスタ!$G$6:$G$405&lt;=EOMONTH($AQ660,0)))&gt;0)*(((職員マスタ!$H$6:$H$405="")+(職員マスタ!$H$6:$H$405&gt;=$AQ660))&gt;0)*(ROW(職員マスタ!$A$6:$A$405)-5))),IFERROR(MATCH($B660,職員マスタ!$A$6:$A$405,0),"")))</f>
        <v/>
      </c>
      <c r="AQ660" s="16">
        <f>IF(OR($B660="",$C660="",$D660=""),"",DATE($C660+2018,$D660,1))</f>
        <v/>
      </c>
    </row>
    <row r="661">
      <c r="A661" s="11" t="n"/>
      <c r="B661" s="12" t="n"/>
      <c r="C661" s="12" t="n"/>
      <c r="D661" s="12" t="n"/>
      <c r="E661" s="13" t="n"/>
      <c r="F661" s="12" t="n"/>
      <c r="G661" s="13" t="n"/>
      <c r="H661" s="12" t="n"/>
      <c r="I661" s="12" t="n"/>
      <c r="J661" s="12" t="n"/>
      <c r="K661" s="12" t="n"/>
      <c r="L661" s="11" t="n"/>
      <c r="M661" s="11" t="n"/>
      <c r="N661" s="11" t="n"/>
      <c r="O661" s="11" t="n"/>
      <c r="P661" s="12" t="n"/>
      <c r="Q661" s="11" t="n"/>
      <c r="R661" s="12" t="n"/>
      <c r="S661" s="11" t="n"/>
      <c r="T661" s="12" t="n"/>
      <c r="U661" s="12" t="n"/>
      <c r="V661" s="12" t="n"/>
      <c r="W661" s="13" t="n"/>
      <c r="X661" s="14">
        <f>IF($AP661="",IF($B661="","",$H661),IF(INDEX(職員マスタ!$B$6:$B$405,$AP661)="",$H661,INDEX(職員マスタ!$B$6:$B$405,$AP661)))</f>
        <v/>
      </c>
      <c r="Y661" s="14">
        <f>IF($AP661="",IF($B661="","",$R661),IF(INDEX(職員マスタ!$C$6:$C$405,$AP661)="",$R661,INDEX(職員マスタ!$C$6:$C$405,$AP661)))</f>
        <v/>
      </c>
      <c r="Z661" s="14">
        <f>IF($AQ661="","","R"&amp;$C661&amp;"."&amp;$D661)</f>
        <v/>
      </c>
      <c r="AA661" s="15">
        <f>IF(IF($AP661="",FALSE,INDEX(職員マスタ!$K$6:$K$405,$AP661)&lt;&gt;""),INDEX(職員マスタ!$K$6:$K$405,$AP661),IF(N($W661)&gt;0,$W661,""))</f>
        <v/>
      </c>
      <c r="AB661" s="14">
        <f>IF(OR($E661="",$AA661=""),"",IF($E661&gt;=$AA661,"×",IF($E661&gt;=$AA661*設定!$C$5,"△","○")))</f>
        <v/>
      </c>
      <c r="AC661" s="15">
        <f>IF($AB661="","",IF($AB661="×",0,IF($AB661="○",ROUNDDOWN($E661*設定!$C$4,0),ROUNDDOWN($E661*ROUND((9*$AA661-9*$E661)/(10*$E661),4),0))))</f>
        <v/>
      </c>
      <c r="AD661" s="13" t="n"/>
      <c r="AE661" s="15">
        <f>IF($B661="","",IF($AD661&lt;&gt;"",$AD661,IF($AC661="","",IF($AC661&lt;=設定!$C$3,0,$AC661))))</f>
        <v/>
      </c>
      <c r="AF661" s="14">
        <f>IF($B661="","",IF(AND($AG661&lt;&gt;"",$AI661="",$AL661=""),"保留中",IF($AL661&lt;&gt;"",IF(N($AE661)&gt;0,"支給済","不支給"),IF($AE661="","要確認",IF($AE661=0,"不支給","未処理")))))</f>
        <v/>
      </c>
      <c r="AG661" s="12" t="n"/>
      <c r="AH661" s="11" t="n"/>
      <c r="AI661" s="11" t="n"/>
      <c r="AJ661" s="11" t="n"/>
      <c r="AK661" s="14">
        <f>IF(AND($AF661="保留中",$AH661&lt;&gt;""),TODAY()-$AH661,"")</f>
        <v/>
      </c>
      <c r="AL661" s="12" t="n"/>
      <c r="AM661" s="14">
        <f>IF($B661="","",IF($AQ661="","対象年月が未入力／","")&amp;IF($B661="","",IF($AP661="","職員マスタに未登録の職員番号／",IF($AA661="","標準報酬月額が未登録／","")&amp;IF(AND($AQ661&lt;&gt;"",OR(AND(INDEX(職員マスタ!$G$6:$G$405,$AP661)&lt;&gt;"",INDEX(職員マスタ!$G$6:$G$405,$AP661)&gt;EOMONTH($AQ661,0)),AND(INDEX(職員マスタ!$H$6:$H$405,$AP661)&lt;&gt;"",INDEX(職員マスタ!$H$6:$H$405,$AP661)&lt;$AQ661))),"対象月が時短期間外／","")&amp;IF(AND(INDEX(職員マスタ!$K$6:$K$405,$AP661)&lt;&gt;"",N($W661)&gt;0,INDEX(職員マスタ!$K$6:$K$405,$AP661)&lt;&gt;$W661),"標準報酬月額が申請書と相違（台帳"&amp;TEXT(INDEX(職員マスタ!$K$6:$K$405,$AP661),"#,##0")&amp;"円／申請書"&amp;TEXT($W661,"#,##0")&amp;"円）／","")&amp;IF(AND(INDEX(職員マスタ!$F$6:$F$405,$AP661)&lt;&gt;"",$AQ661&lt;&gt;"",INDEX(職員マスタ!$F$6:$F$405,$AP661)&lt;$AQ661),"対象月に子が2歳到達済／","")&amp;IF(AND($H661&lt;&gt;"",INDEX(職員マスタ!$B$6:$B$405,$AP661)&lt;&gt;"",SUBSTITUTE(SUBSTITUTE($H661," ","")," ","")&lt;&gt;SUBSTITUTE(SUBSTITUTE(INDEX(職員マスタ!$B$6:$B$405,$AP661)," ","")," ","")),"氏名がマスタと相違／","")&amp;IF(AND($Q661&lt;&gt;"",INDEX(職員マスタ!$E$6:$E$405,$AP661)&lt;&gt;"",$Q661&lt;&gt;INDEX(職員マスタ!$E$6:$E$405,$AP661)),"子の生年月日がマスタと相違／","")&amp;IF(AND($L661&lt;&gt;"",INDEX(職員マスタ!$G$6:$G$405,$AP661)&lt;&gt;"",$L661&lt;&gt;INDEX(職員マスタ!$G$6:$G$405,$AP661)),"時短開始日がマスタと相違／","")&amp;IF(AND($M661&lt;&gt;"",INDEX(職員マスタ!$H$6:$H$405,$AP661)&lt;&gt;"",$M661&lt;&gt;INDEX(職員マスタ!$H$6:$H$405,$AP661)),"時短終了日がマスタと相違／","")))&amp;IF(AND($B661&lt;&gt;"",$E661=""),"報酬額が未入力／","")&amp;IF(N($U661)&gt;0,"申請書に入力エラーが残っています／","")&amp;IF(AND($B661&lt;&gt;"",$AQ661&lt;&gt;""),IF(COUNTIFS($B$6:$B$3005,$B661,$C$6:$C$3005,$C661,$D$6:$D$3005,$D661)&gt;1,"同じ月の請求が重複しています／",""),"")&amp;IF(AND(N($E661)&gt;0,$AB661&lt;&gt;"",$AB661&lt;&gt;"×",$AE661=0,$AD661=""),"計算額が下限以下のため不支給／",""))</f>
        <v/>
      </c>
      <c r="AN661" s="12" t="n"/>
      <c r="AO661" s="14">
        <f>IF($AF661="保留中",COUNTIF($AF$6:$AF661,"保留中"),"")</f>
        <v/>
      </c>
      <c r="AP661" s="14">
        <f>IF($AQ661="","",IF(SUMPRODUCT(MAX((職員マスタ!$A$6:$A$405=$B661)*(((職員マスタ!$G$6:$G$405="")+(職員マスタ!$G$6:$G$405&lt;=EOMONTH($AQ661,0)))&gt;0)*(((職員マスタ!$H$6:$H$405="")+(職員マスタ!$H$6:$H$405&gt;=$AQ661))&gt;0)*(ROW(職員マスタ!$A$6:$A$405)-5)))&gt;0,SUMPRODUCT(MAX((職員マスタ!$A$6:$A$405=$B661)*(((職員マスタ!$G$6:$G$405="")+(職員マスタ!$G$6:$G$405&lt;=EOMONTH($AQ661,0)))&gt;0)*(((職員マスタ!$H$6:$H$405="")+(職員マスタ!$H$6:$H$405&gt;=$AQ661))&gt;0)*(ROW(職員マスタ!$A$6:$A$405)-5))),IFERROR(MATCH($B661,職員マスタ!$A$6:$A$405,0),"")))</f>
        <v/>
      </c>
      <c r="AQ661" s="16">
        <f>IF(OR($B661="",$C661="",$D661=""),"",DATE($C661+2018,$D661,1))</f>
        <v/>
      </c>
    </row>
    <row r="662">
      <c r="A662" s="11" t="n"/>
      <c r="B662" s="12" t="n"/>
      <c r="C662" s="12" t="n"/>
      <c r="D662" s="12" t="n"/>
      <c r="E662" s="13" t="n"/>
      <c r="F662" s="12" t="n"/>
      <c r="G662" s="13" t="n"/>
      <c r="H662" s="12" t="n"/>
      <c r="I662" s="12" t="n"/>
      <c r="J662" s="12" t="n"/>
      <c r="K662" s="12" t="n"/>
      <c r="L662" s="11" t="n"/>
      <c r="M662" s="11" t="n"/>
      <c r="N662" s="11" t="n"/>
      <c r="O662" s="11" t="n"/>
      <c r="P662" s="12" t="n"/>
      <c r="Q662" s="11" t="n"/>
      <c r="R662" s="12" t="n"/>
      <c r="S662" s="11" t="n"/>
      <c r="T662" s="12" t="n"/>
      <c r="U662" s="12" t="n"/>
      <c r="V662" s="12" t="n"/>
      <c r="W662" s="13" t="n"/>
      <c r="X662" s="14">
        <f>IF($AP662="",IF($B662="","",$H662),IF(INDEX(職員マスタ!$B$6:$B$405,$AP662)="",$H662,INDEX(職員マスタ!$B$6:$B$405,$AP662)))</f>
        <v/>
      </c>
      <c r="Y662" s="14">
        <f>IF($AP662="",IF($B662="","",$R662),IF(INDEX(職員マスタ!$C$6:$C$405,$AP662)="",$R662,INDEX(職員マスタ!$C$6:$C$405,$AP662)))</f>
        <v/>
      </c>
      <c r="Z662" s="14">
        <f>IF($AQ662="","","R"&amp;$C662&amp;"."&amp;$D662)</f>
        <v/>
      </c>
      <c r="AA662" s="15">
        <f>IF(IF($AP662="",FALSE,INDEX(職員マスタ!$K$6:$K$405,$AP662)&lt;&gt;""),INDEX(職員マスタ!$K$6:$K$405,$AP662),IF(N($W662)&gt;0,$W662,""))</f>
        <v/>
      </c>
      <c r="AB662" s="14">
        <f>IF(OR($E662="",$AA662=""),"",IF($E662&gt;=$AA662,"×",IF($E662&gt;=$AA662*設定!$C$5,"△","○")))</f>
        <v/>
      </c>
      <c r="AC662" s="15">
        <f>IF($AB662="","",IF($AB662="×",0,IF($AB662="○",ROUNDDOWN($E662*設定!$C$4,0),ROUNDDOWN($E662*ROUND((9*$AA662-9*$E662)/(10*$E662),4),0))))</f>
        <v/>
      </c>
      <c r="AD662" s="13" t="n"/>
      <c r="AE662" s="15">
        <f>IF($B662="","",IF($AD662&lt;&gt;"",$AD662,IF($AC662="","",IF($AC662&lt;=設定!$C$3,0,$AC662))))</f>
        <v/>
      </c>
      <c r="AF662" s="14">
        <f>IF($B662="","",IF(AND($AG662&lt;&gt;"",$AI662="",$AL662=""),"保留中",IF($AL662&lt;&gt;"",IF(N($AE662)&gt;0,"支給済","不支給"),IF($AE662="","要確認",IF($AE662=0,"不支給","未処理")))))</f>
        <v/>
      </c>
      <c r="AG662" s="12" t="n"/>
      <c r="AH662" s="11" t="n"/>
      <c r="AI662" s="11" t="n"/>
      <c r="AJ662" s="11" t="n"/>
      <c r="AK662" s="14">
        <f>IF(AND($AF662="保留中",$AH662&lt;&gt;""),TODAY()-$AH662,"")</f>
        <v/>
      </c>
      <c r="AL662" s="12" t="n"/>
      <c r="AM662" s="14">
        <f>IF($B662="","",IF($AQ662="","対象年月が未入力／","")&amp;IF($B662="","",IF($AP662="","職員マスタに未登録の職員番号／",IF($AA662="","標準報酬月額が未登録／","")&amp;IF(AND($AQ662&lt;&gt;"",OR(AND(INDEX(職員マスタ!$G$6:$G$405,$AP662)&lt;&gt;"",INDEX(職員マスタ!$G$6:$G$405,$AP662)&gt;EOMONTH($AQ662,0)),AND(INDEX(職員マスタ!$H$6:$H$405,$AP662)&lt;&gt;"",INDEX(職員マスタ!$H$6:$H$405,$AP662)&lt;$AQ662))),"対象月が時短期間外／","")&amp;IF(AND(INDEX(職員マスタ!$K$6:$K$405,$AP662)&lt;&gt;"",N($W662)&gt;0,INDEX(職員マスタ!$K$6:$K$405,$AP662)&lt;&gt;$W662),"標準報酬月額が申請書と相違（台帳"&amp;TEXT(INDEX(職員マスタ!$K$6:$K$405,$AP662),"#,##0")&amp;"円／申請書"&amp;TEXT($W662,"#,##0")&amp;"円）／","")&amp;IF(AND(INDEX(職員マスタ!$F$6:$F$405,$AP662)&lt;&gt;"",$AQ662&lt;&gt;"",INDEX(職員マスタ!$F$6:$F$405,$AP662)&lt;$AQ662),"対象月に子が2歳到達済／","")&amp;IF(AND($H662&lt;&gt;"",INDEX(職員マスタ!$B$6:$B$405,$AP662)&lt;&gt;"",SUBSTITUTE(SUBSTITUTE($H662," ","")," ","")&lt;&gt;SUBSTITUTE(SUBSTITUTE(INDEX(職員マスタ!$B$6:$B$405,$AP662)," ","")," ","")),"氏名がマスタと相違／","")&amp;IF(AND($Q662&lt;&gt;"",INDEX(職員マスタ!$E$6:$E$405,$AP662)&lt;&gt;"",$Q662&lt;&gt;INDEX(職員マスタ!$E$6:$E$405,$AP662)),"子の生年月日がマスタと相違／","")&amp;IF(AND($L662&lt;&gt;"",INDEX(職員マスタ!$G$6:$G$405,$AP662)&lt;&gt;"",$L662&lt;&gt;INDEX(職員マスタ!$G$6:$G$405,$AP662)),"時短開始日がマスタと相違／","")&amp;IF(AND($M662&lt;&gt;"",INDEX(職員マスタ!$H$6:$H$405,$AP662)&lt;&gt;"",$M662&lt;&gt;INDEX(職員マスタ!$H$6:$H$405,$AP662)),"時短終了日がマスタと相違／","")))&amp;IF(AND($B662&lt;&gt;"",$E662=""),"報酬額が未入力／","")&amp;IF(N($U662)&gt;0,"申請書に入力エラーが残っています／","")&amp;IF(AND($B662&lt;&gt;"",$AQ662&lt;&gt;""),IF(COUNTIFS($B$6:$B$3005,$B662,$C$6:$C$3005,$C662,$D$6:$D$3005,$D662)&gt;1,"同じ月の請求が重複しています／",""),"")&amp;IF(AND(N($E662)&gt;0,$AB662&lt;&gt;"",$AB662&lt;&gt;"×",$AE662=0,$AD662=""),"計算額が下限以下のため不支給／",""))</f>
        <v/>
      </c>
      <c r="AN662" s="12" t="n"/>
      <c r="AO662" s="14">
        <f>IF($AF662="保留中",COUNTIF($AF$6:$AF662,"保留中"),"")</f>
        <v/>
      </c>
      <c r="AP662" s="14">
        <f>IF($AQ662="","",IF(SUMPRODUCT(MAX((職員マスタ!$A$6:$A$405=$B662)*(((職員マスタ!$G$6:$G$405="")+(職員マスタ!$G$6:$G$405&lt;=EOMONTH($AQ662,0)))&gt;0)*(((職員マスタ!$H$6:$H$405="")+(職員マスタ!$H$6:$H$405&gt;=$AQ662))&gt;0)*(ROW(職員マスタ!$A$6:$A$405)-5)))&gt;0,SUMPRODUCT(MAX((職員マスタ!$A$6:$A$405=$B662)*(((職員マスタ!$G$6:$G$405="")+(職員マスタ!$G$6:$G$405&lt;=EOMONTH($AQ662,0)))&gt;0)*(((職員マスタ!$H$6:$H$405="")+(職員マスタ!$H$6:$H$405&gt;=$AQ662))&gt;0)*(ROW(職員マスタ!$A$6:$A$405)-5))),IFERROR(MATCH($B662,職員マスタ!$A$6:$A$405,0),"")))</f>
        <v/>
      </c>
      <c r="AQ662" s="16">
        <f>IF(OR($B662="",$C662="",$D662=""),"",DATE($C662+2018,$D662,1))</f>
        <v/>
      </c>
    </row>
    <row r="663">
      <c r="A663" s="11" t="n"/>
      <c r="B663" s="12" t="n"/>
      <c r="C663" s="12" t="n"/>
      <c r="D663" s="12" t="n"/>
      <c r="E663" s="13" t="n"/>
      <c r="F663" s="12" t="n"/>
      <c r="G663" s="13" t="n"/>
      <c r="H663" s="12" t="n"/>
      <c r="I663" s="12" t="n"/>
      <c r="J663" s="12" t="n"/>
      <c r="K663" s="12" t="n"/>
      <c r="L663" s="11" t="n"/>
      <c r="M663" s="11" t="n"/>
      <c r="N663" s="11" t="n"/>
      <c r="O663" s="11" t="n"/>
      <c r="P663" s="12" t="n"/>
      <c r="Q663" s="11" t="n"/>
      <c r="R663" s="12" t="n"/>
      <c r="S663" s="11" t="n"/>
      <c r="T663" s="12" t="n"/>
      <c r="U663" s="12" t="n"/>
      <c r="V663" s="12" t="n"/>
      <c r="W663" s="13" t="n"/>
      <c r="X663" s="14">
        <f>IF($AP663="",IF($B663="","",$H663),IF(INDEX(職員マスタ!$B$6:$B$405,$AP663)="",$H663,INDEX(職員マスタ!$B$6:$B$405,$AP663)))</f>
        <v/>
      </c>
      <c r="Y663" s="14">
        <f>IF($AP663="",IF($B663="","",$R663),IF(INDEX(職員マスタ!$C$6:$C$405,$AP663)="",$R663,INDEX(職員マスタ!$C$6:$C$405,$AP663)))</f>
        <v/>
      </c>
      <c r="Z663" s="14">
        <f>IF($AQ663="","","R"&amp;$C663&amp;"."&amp;$D663)</f>
        <v/>
      </c>
      <c r="AA663" s="15">
        <f>IF(IF($AP663="",FALSE,INDEX(職員マスタ!$K$6:$K$405,$AP663)&lt;&gt;""),INDEX(職員マスタ!$K$6:$K$405,$AP663),IF(N($W663)&gt;0,$W663,""))</f>
        <v/>
      </c>
      <c r="AB663" s="14">
        <f>IF(OR($E663="",$AA663=""),"",IF($E663&gt;=$AA663,"×",IF($E663&gt;=$AA663*設定!$C$5,"△","○")))</f>
        <v/>
      </c>
      <c r="AC663" s="15">
        <f>IF($AB663="","",IF($AB663="×",0,IF($AB663="○",ROUNDDOWN($E663*設定!$C$4,0),ROUNDDOWN($E663*ROUND((9*$AA663-9*$E663)/(10*$E663),4),0))))</f>
        <v/>
      </c>
      <c r="AD663" s="13" t="n"/>
      <c r="AE663" s="15">
        <f>IF($B663="","",IF($AD663&lt;&gt;"",$AD663,IF($AC663="","",IF($AC663&lt;=設定!$C$3,0,$AC663))))</f>
        <v/>
      </c>
      <c r="AF663" s="14">
        <f>IF($B663="","",IF(AND($AG663&lt;&gt;"",$AI663="",$AL663=""),"保留中",IF($AL663&lt;&gt;"",IF(N($AE663)&gt;0,"支給済","不支給"),IF($AE663="","要確認",IF($AE663=0,"不支給","未処理")))))</f>
        <v/>
      </c>
      <c r="AG663" s="12" t="n"/>
      <c r="AH663" s="11" t="n"/>
      <c r="AI663" s="11" t="n"/>
      <c r="AJ663" s="11" t="n"/>
      <c r="AK663" s="14">
        <f>IF(AND($AF663="保留中",$AH663&lt;&gt;""),TODAY()-$AH663,"")</f>
        <v/>
      </c>
      <c r="AL663" s="12" t="n"/>
      <c r="AM663" s="14">
        <f>IF($B663="","",IF($AQ663="","対象年月が未入力／","")&amp;IF($B663="","",IF($AP663="","職員マスタに未登録の職員番号／",IF($AA663="","標準報酬月額が未登録／","")&amp;IF(AND($AQ663&lt;&gt;"",OR(AND(INDEX(職員マスタ!$G$6:$G$405,$AP663)&lt;&gt;"",INDEX(職員マスタ!$G$6:$G$405,$AP663)&gt;EOMONTH($AQ663,0)),AND(INDEX(職員マスタ!$H$6:$H$405,$AP663)&lt;&gt;"",INDEX(職員マスタ!$H$6:$H$405,$AP663)&lt;$AQ663))),"対象月が時短期間外／","")&amp;IF(AND(INDEX(職員マスタ!$K$6:$K$405,$AP663)&lt;&gt;"",N($W663)&gt;0,INDEX(職員マスタ!$K$6:$K$405,$AP663)&lt;&gt;$W663),"標準報酬月額が申請書と相違（台帳"&amp;TEXT(INDEX(職員マスタ!$K$6:$K$405,$AP663),"#,##0")&amp;"円／申請書"&amp;TEXT($W663,"#,##0")&amp;"円）／","")&amp;IF(AND(INDEX(職員マスタ!$F$6:$F$405,$AP663)&lt;&gt;"",$AQ663&lt;&gt;"",INDEX(職員マスタ!$F$6:$F$405,$AP663)&lt;$AQ663),"対象月に子が2歳到達済／","")&amp;IF(AND($H663&lt;&gt;"",INDEX(職員マスタ!$B$6:$B$405,$AP663)&lt;&gt;"",SUBSTITUTE(SUBSTITUTE($H663," ","")," ","")&lt;&gt;SUBSTITUTE(SUBSTITUTE(INDEX(職員マスタ!$B$6:$B$405,$AP663)," ","")," ","")),"氏名がマスタと相違／","")&amp;IF(AND($Q663&lt;&gt;"",INDEX(職員マスタ!$E$6:$E$405,$AP663)&lt;&gt;"",$Q663&lt;&gt;INDEX(職員マスタ!$E$6:$E$405,$AP663)),"子の生年月日がマスタと相違／","")&amp;IF(AND($L663&lt;&gt;"",INDEX(職員マスタ!$G$6:$G$405,$AP663)&lt;&gt;"",$L663&lt;&gt;INDEX(職員マスタ!$G$6:$G$405,$AP663)),"時短開始日がマスタと相違／","")&amp;IF(AND($M663&lt;&gt;"",INDEX(職員マスタ!$H$6:$H$405,$AP663)&lt;&gt;"",$M663&lt;&gt;INDEX(職員マスタ!$H$6:$H$405,$AP663)),"時短終了日がマスタと相違／","")))&amp;IF(AND($B663&lt;&gt;"",$E663=""),"報酬額が未入力／","")&amp;IF(N($U663)&gt;0,"申請書に入力エラーが残っています／","")&amp;IF(AND($B663&lt;&gt;"",$AQ663&lt;&gt;""),IF(COUNTIFS($B$6:$B$3005,$B663,$C$6:$C$3005,$C663,$D$6:$D$3005,$D663)&gt;1,"同じ月の請求が重複しています／",""),"")&amp;IF(AND(N($E663)&gt;0,$AB663&lt;&gt;"",$AB663&lt;&gt;"×",$AE663=0,$AD663=""),"計算額が下限以下のため不支給／",""))</f>
        <v/>
      </c>
      <c r="AN663" s="12" t="n"/>
      <c r="AO663" s="14">
        <f>IF($AF663="保留中",COUNTIF($AF$6:$AF663,"保留中"),"")</f>
        <v/>
      </c>
      <c r="AP663" s="14">
        <f>IF($AQ663="","",IF(SUMPRODUCT(MAX((職員マスタ!$A$6:$A$405=$B663)*(((職員マスタ!$G$6:$G$405="")+(職員マスタ!$G$6:$G$405&lt;=EOMONTH($AQ663,0)))&gt;0)*(((職員マスタ!$H$6:$H$405="")+(職員マスタ!$H$6:$H$405&gt;=$AQ663))&gt;0)*(ROW(職員マスタ!$A$6:$A$405)-5)))&gt;0,SUMPRODUCT(MAX((職員マスタ!$A$6:$A$405=$B663)*(((職員マスタ!$G$6:$G$405="")+(職員マスタ!$G$6:$G$405&lt;=EOMONTH($AQ663,0)))&gt;0)*(((職員マスタ!$H$6:$H$405="")+(職員マスタ!$H$6:$H$405&gt;=$AQ663))&gt;0)*(ROW(職員マスタ!$A$6:$A$405)-5))),IFERROR(MATCH($B663,職員マスタ!$A$6:$A$405,0),"")))</f>
        <v/>
      </c>
      <c r="AQ663" s="16">
        <f>IF(OR($B663="",$C663="",$D663=""),"",DATE($C663+2018,$D663,1))</f>
        <v/>
      </c>
    </row>
    <row r="664">
      <c r="A664" s="11" t="n"/>
      <c r="B664" s="12" t="n"/>
      <c r="C664" s="12" t="n"/>
      <c r="D664" s="12" t="n"/>
      <c r="E664" s="13" t="n"/>
      <c r="F664" s="12" t="n"/>
      <c r="G664" s="13" t="n"/>
      <c r="H664" s="12" t="n"/>
      <c r="I664" s="12" t="n"/>
      <c r="J664" s="12" t="n"/>
      <c r="K664" s="12" t="n"/>
      <c r="L664" s="11" t="n"/>
      <c r="M664" s="11" t="n"/>
      <c r="N664" s="11" t="n"/>
      <c r="O664" s="11" t="n"/>
      <c r="P664" s="12" t="n"/>
      <c r="Q664" s="11" t="n"/>
      <c r="R664" s="12" t="n"/>
      <c r="S664" s="11" t="n"/>
      <c r="T664" s="12" t="n"/>
      <c r="U664" s="12" t="n"/>
      <c r="V664" s="12" t="n"/>
      <c r="W664" s="13" t="n"/>
      <c r="X664" s="14">
        <f>IF($AP664="",IF($B664="","",$H664),IF(INDEX(職員マスタ!$B$6:$B$405,$AP664)="",$H664,INDEX(職員マスタ!$B$6:$B$405,$AP664)))</f>
        <v/>
      </c>
      <c r="Y664" s="14">
        <f>IF($AP664="",IF($B664="","",$R664),IF(INDEX(職員マスタ!$C$6:$C$405,$AP664)="",$R664,INDEX(職員マスタ!$C$6:$C$405,$AP664)))</f>
        <v/>
      </c>
      <c r="Z664" s="14">
        <f>IF($AQ664="","","R"&amp;$C664&amp;"."&amp;$D664)</f>
        <v/>
      </c>
      <c r="AA664" s="15">
        <f>IF(IF($AP664="",FALSE,INDEX(職員マスタ!$K$6:$K$405,$AP664)&lt;&gt;""),INDEX(職員マスタ!$K$6:$K$405,$AP664),IF(N($W664)&gt;0,$W664,""))</f>
        <v/>
      </c>
      <c r="AB664" s="14">
        <f>IF(OR($E664="",$AA664=""),"",IF($E664&gt;=$AA664,"×",IF($E664&gt;=$AA664*設定!$C$5,"△","○")))</f>
        <v/>
      </c>
      <c r="AC664" s="15">
        <f>IF($AB664="","",IF($AB664="×",0,IF($AB664="○",ROUNDDOWN($E664*設定!$C$4,0),ROUNDDOWN($E664*ROUND((9*$AA664-9*$E664)/(10*$E664),4),0))))</f>
        <v/>
      </c>
      <c r="AD664" s="13" t="n"/>
      <c r="AE664" s="15">
        <f>IF($B664="","",IF($AD664&lt;&gt;"",$AD664,IF($AC664="","",IF($AC664&lt;=設定!$C$3,0,$AC664))))</f>
        <v/>
      </c>
      <c r="AF664" s="14">
        <f>IF($B664="","",IF(AND($AG664&lt;&gt;"",$AI664="",$AL664=""),"保留中",IF($AL664&lt;&gt;"",IF(N($AE664)&gt;0,"支給済","不支給"),IF($AE664="","要確認",IF($AE664=0,"不支給","未処理")))))</f>
        <v/>
      </c>
      <c r="AG664" s="12" t="n"/>
      <c r="AH664" s="11" t="n"/>
      <c r="AI664" s="11" t="n"/>
      <c r="AJ664" s="11" t="n"/>
      <c r="AK664" s="14">
        <f>IF(AND($AF664="保留中",$AH664&lt;&gt;""),TODAY()-$AH664,"")</f>
        <v/>
      </c>
      <c r="AL664" s="12" t="n"/>
      <c r="AM664" s="14">
        <f>IF($B664="","",IF($AQ664="","対象年月が未入力／","")&amp;IF($B664="","",IF($AP664="","職員マスタに未登録の職員番号／",IF($AA664="","標準報酬月額が未登録／","")&amp;IF(AND($AQ664&lt;&gt;"",OR(AND(INDEX(職員マスタ!$G$6:$G$405,$AP664)&lt;&gt;"",INDEX(職員マスタ!$G$6:$G$405,$AP664)&gt;EOMONTH($AQ664,0)),AND(INDEX(職員マスタ!$H$6:$H$405,$AP664)&lt;&gt;"",INDEX(職員マスタ!$H$6:$H$405,$AP664)&lt;$AQ664))),"対象月が時短期間外／","")&amp;IF(AND(INDEX(職員マスタ!$K$6:$K$405,$AP664)&lt;&gt;"",N($W664)&gt;0,INDEX(職員マスタ!$K$6:$K$405,$AP664)&lt;&gt;$W664),"標準報酬月額が申請書と相違（台帳"&amp;TEXT(INDEX(職員マスタ!$K$6:$K$405,$AP664),"#,##0")&amp;"円／申請書"&amp;TEXT($W664,"#,##0")&amp;"円）／","")&amp;IF(AND(INDEX(職員マスタ!$F$6:$F$405,$AP664)&lt;&gt;"",$AQ664&lt;&gt;"",INDEX(職員マスタ!$F$6:$F$405,$AP664)&lt;$AQ664),"対象月に子が2歳到達済／","")&amp;IF(AND($H664&lt;&gt;"",INDEX(職員マスタ!$B$6:$B$405,$AP664)&lt;&gt;"",SUBSTITUTE(SUBSTITUTE($H664," ","")," ","")&lt;&gt;SUBSTITUTE(SUBSTITUTE(INDEX(職員マスタ!$B$6:$B$405,$AP664)," ","")," ","")),"氏名がマスタと相違／","")&amp;IF(AND($Q664&lt;&gt;"",INDEX(職員マスタ!$E$6:$E$405,$AP664)&lt;&gt;"",$Q664&lt;&gt;INDEX(職員マスタ!$E$6:$E$405,$AP664)),"子の生年月日がマスタと相違／","")&amp;IF(AND($L664&lt;&gt;"",INDEX(職員マスタ!$G$6:$G$405,$AP664)&lt;&gt;"",$L664&lt;&gt;INDEX(職員マスタ!$G$6:$G$405,$AP664)),"時短開始日がマスタと相違／","")&amp;IF(AND($M664&lt;&gt;"",INDEX(職員マスタ!$H$6:$H$405,$AP664)&lt;&gt;"",$M664&lt;&gt;INDEX(職員マスタ!$H$6:$H$405,$AP664)),"時短終了日がマスタと相違／","")))&amp;IF(AND($B664&lt;&gt;"",$E664=""),"報酬額が未入力／","")&amp;IF(N($U664)&gt;0,"申請書に入力エラーが残っています／","")&amp;IF(AND($B664&lt;&gt;"",$AQ664&lt;&gt;""),IF(COUNTIFS($B$6:$B$3005,$B664,$C$6:$C$3005,$C664,$D$6:$D$3005,$D664)&gt;1,"同じ月の請求が重複しています／",""),"")&amp;IF(AND(N($E664)&gt;0,$AB664&lt;&gt;"",$AB664&lt;&gt;"×",$AE664=0,$AD664=""),"計算額が下限以下のため不支給／",""))</f>
        <v/>
      </c>
      <c r="AN664" s="12" t="n"/>
      <c r="AO664" s="14">
        <f>IF($AF664="保留中",COUNTIF($AF$6:$AF664,"保留中"),"")</f>
        <v/>
      </c>
      <c r="AP664" s="14">
        <f>IF($AQ664="","",IF(SUMPRODUCT(MAX((職員マスタ!$A$6:$A$405=$B664)*(((職員マスタ!$G$6:$G$405="")+(職員マスタ!$G$6:$G$405&lt;=EOMONTH($AQ664,0)))&gt;0)*(((職員マスタ!$H$6:$H$405="")+(職員マスタ!$H$6:$H$405&gt;=$AQ664))&gt;0)*(ROW(職員マスタ!$A$6:$A$405)-5)))&gt;0,SUMPRODUCT(MAX((職員マスタ!$A$6:$A$405=$B664)*(((職員マスタ!$G$6:$G$405="")+(職員マスタ!$G$6:$G$405&lt;=EOMONTH($AQ664,0)))&gt;0)*(((職員マスタ!$H$6:$H$405="")+(職員マスタ!$H$6:$H$405&gt;=$AQ664))&gt;0)*(ROW(職員マスタ!$A$6:$A$405)-5))),IFERROR(MATCH($B664,職員マスタ!$A$6:$A$405,0),"")))</f>
        <v/>
      </c>
      <c r="AQ664" s="16">
        <f>IF(OR($B664="",$C664="",$D664=""),"",DATE($C664+2018,$D664,1))</f>
        <v/>
      </c>
    </row>
    <row r="665">
      <c r="A665" s="11" t="n"/>
      <c r="B665" s="12" t="n"/>
      <c r="C665" s="12" t="n"/>
      <c r="D665" s="12" t="n"/>
      <c r="E665" s="13" t="n"/>
      <c r="F665" s="12" t="n"/>
      <c r="G665" s="13" t="n"/>
      <c r="H665" s="12" t="n"/>
      <c r="I665" s="12" t="n"/>
      <c r="J665" s="12" t="n"/>
      <c r="K665" s="12" t="n"/>
      <c r="L665" s="11" t="n"/>
      <c r="M665" s="11" t="n"/>
      <c r="N665" s="11" t="n"/>
      <c r="O665" s="11" t="n"/>
      <c r="P665" s="12" t="n"/>
      <c r="Q665" s="11" t="n"/>
      <c r="R665" s="12" t="n"/>
      <c r="S665" s="11" t="n"/>
      <c r="T665" s="12" t="n"/>
      <c r="U665" s="12" t="n"/>
      <c r="V665" s="12" t="n"/>
      <c r="W665" s="13" t="n"/>
      <c r="X665" s="14">
        <f>IF($AP665="",IF($B665="","",$H665),IF(INDEX(職員マスタ!$B$6:$B$405,$AP665)="",$H665,INDEX(職員マスタ!$B$6:$B$405,$AP665)))</f>
        <v/>
      </c>
      <c r="Y665" s="14">
        <f>IF($AP665="",IF($B665="","",$R665),IF(INDEX(職員マスタ!$C$6:$C$405,$AP665)="",$R665,INDEX(職員マスタ!$C$6:$C$405,$AP665)))</f>
        <v/>
      </c>
      <c r="Z665" s="14">
        <f>IF($AQ665="","","R"&amp;$C665&amp;"."&amp;$D665)</f>
        <v/>
      </c>
      <c r="AA665" s="15">
        <f>IF(IF($AP665="",FALSE,INDEX(職員マスタ!$K$6:$K$405,$AP665)&lt;&gt;""),INDEX(職員マスタ!$K$6:$K$405,$AP665),IF(N($W665)&gt;0,$W665,""))</f>
        <v/>
      </c>
      <c r="AB665" s="14">
        <f>IF(OR($E665="",$AA665=""),"",IF($E665&gt;=$AA665,"×",IF($E665&gt;=$AA665*設定!$C$5,"△","○")))</f>
        <v/>
      </c>
      <c r="AC665" s="15">
        <f>IF($AB665="","",IF($AB665="×",0,IF($AB665="○",ROUNDDOWN($E665*設定!$C$4,0),ROUNDDOWN($E665*ROUND((9*$AA665-9*$E665)/(10*$E665),4),0))))</f>
        <v/>
      </c>
      <c r="AD665" s="13" t="n"/>
      <c r="AE665" s="15">
        <f>IF($B665="","",IF($AD665&lt;&gt;"",$AD665,IF($AC665="","",IF($AC665&lt;=設定!$C$3,0,$AC665))))</f>
        <v/>
      </c>
      <c r="AF665" s="14">
        <f>IF($B665="","",IF(AND($AG665&lt;&gt;"",$AI665="",$AL665=""),"保留中",IF($AL665&lt;&gt;"",IF(N($AE665)&gt;0,"支給済","不支給"),IF($AE665="","要確認",IF($AE665=0,"不支給","未処理")))))</f>
        <v/>
      </c>
      <c r="AG665" s="12" t="n"/>
      <c r="AH665" s="11" t="n"/>
      <c r="AI665" s="11" t="n"/>
      <c r="AJ665" s="11" t="n"/>
      <c r="AK665" s="14">
        <f>IF(AND($AF665="保留中",$AH665&lt;&gt;""),TODAY()-$AH665,"")</f>
        <v/>
      </c>
      <c r="AL665" s="12" t="n"/>
      <c r="AM665" s="14">
        <f>IF($B665="","",IF($AQ665="","対象年月が未入力／","")&amp;IF($B665="","",IF($AP665="","職員マスタに未登録の職員番号／",IF($AA665="","標準報酬月額が未登録／","")&amp;IF(AND($AQ665&lt;&gt;"",OR(AND(INDEX(職員マスタ!$G$6:$G$405,$AP665)&lt;&gt;"",INDEX(職員マスタ!$G$6:$G$405,$AP665)&gt;EOMONTH($AQ665,0)),AND(INDEX(職員マスタ!$H$6:$H$405,$AP665)&lt;&gt;"",INDEX(職員マスタ!$H$6:$H$405,$AP665)&lt;$AQ665))),"対象月が時短期間外／","")&amp;IF(AND(INDEX(職員マスタ!$K$6:$K$405,$AP665)&lt;&gt;"",N($W665)&gt;0,INDEX(職員マスタ!$K$6:$K$405,$AP665)&lt;&gt;$W665),"標準報酬月額が申請書と相違（台帳"&amp;TEXT(INDEX(職員マスタ!$K$6:$K$405,$AP665),"#,##0")&amp;"円／申請書"&amp;TEXT($W665,"#,##0")&amp;"円）／","")&amp;IF(AND(INDEX(職員マスタ!$F$6:$F$405,$AP665)&lt;&gt;"",$AQ665&lt;&gt;"",INDEX(職員マスタ!$F$6:$F$405,$AP665)&lt;$AQ665),"対象月に子が2歳到達済／","")&amp;IF(AND($H665&lt;&gt;"",INDEX(職員マスタ!$B$6:$B$405,$AP665)&lt;&gt;"",SUBSTITUTE(SUBSTITUTE($H665," ","")," ","")&lt;&gt;SUBSTITUTE(SUBSTITUTE(INDEX(職員マスタ!$B$6:$B$405,$AP665)," ","")," ","")),"氏名がマスタと相違／","")&amp;IF(AND($Q665&lt;&gt;"",INDEX(職員マスタ!$E$6:$E$405,$AP665)&lt;&gt;"",$Q665&lt;&gt;INDEX(職員マスタ!$E$6:$E$405,$AP665)),"子の生年月日がマスタと相違／","")&amp;IF(AND($L665&lt;&gt;"",INDEX(職員マスタ!$G$6:$G$405,$AP665)&lt;&gt;"",$L665&lt;&gt;INDEX(職員マスタ!$G$6:$G$405,$AP665)),"時短開始日がマスタと相違／","")&amp;IF(AND($M665&lt;&gt;"",INDEX(職員マスタ!$H$6:$H$405,$AP665)&lt;&gt;"",$M665&lt;&gt;INDEX(職員マスタ!$H$6:$H$405,$AP665)),"時短終了日がマスタと相違／","")))&amp;IF(AND($B665&lt;&gt;"",$E665=""),"報酬額が未入力／","")&amp;IF(N($U665)&gt;0,"申請書に入力エラーが残っています／","")&amp;IF(AND($B665&lt;&gt;"",$AQ665&lt;&gt;""),IF(COUNTIFS($B$6:$B$3005,$B665,$C$6:$C$3005,$C665,$D$6:$D$3005,$D665)&gt;1,"同じ月の請求が重複しています／",""),"")&amp;IF(AND(N($E665)&gt;0,$AB665&lt;&gt;"",$AB665&lt;&gt;"×",$AE665=0,$AD665=""),"計算額が下限以下のため不支給／",""))</f>
        <v/>
      </c>
      <c r="AN665" s="12" t="n"/>
      <c r="AO665" s="14">
        <f>IF($AF665="保留中",COUNTIF($AF$6:$AF665,"保留中"),"")</f>
        <v/>
      </c>
      <c r="AP665" s="14">
        <f>IF($AQ665="","",IF(SUMPRODUCT(MAX((職員マスタ!$A$6:$A$405=$B665)*(((職員マスタ!$G$6:$G$405="")+(職員マスタ!$G$6:$G$405&lt;=EOMONTH($AQ665,0)))&gt;0)*(((職員マスタ!$H$6:$H$405="")+(職員マスタ!$H$6:$H$405&gt;=$AQ665))&gt;0)*(ROW(職員マスタ!$A$6:$A$405)-5)))&gt;0,SUMPRODUCT(MAX((職員マスタ!$A$6:$A$405=$B665)*(((職員マスタ!$G$6:$G$405="")+(職員マスタ!$G$6:$G$405&lt;=EOMONTH($AQ665,0)))&gt;0)*(((職員マスタ!$H$6:$H$405="")+(職員マスタ!$H$6:$H$405&gt;=$AQ665))&gt;0)*(ROW(職員マスタ!$A$6:$A$405)-5))),IFERROR(MATCH($B665,職員マスタ!$A$6:$A$405,0),"")))</f>
        <v/>
      </c>
      <c r="AQ665" s="16">
        <f>IF(OR($B665="",$C665="",$D665=""),"",DATE($C665+2018,$D665,1))</f>
        <v/>
      </c>
    </row>
    <row r="666">
      <c r="A666" s="11" t="n"/>
      <c r="B666" s="12" t="n"/>
      <c r="C666" s="12" t="n"/>
      <c r="D666" s="12" t="n"/>
      <c r="E666" s="13" t="n"/>
      <c r="F666" s="12" t="n"/>
      <c r="G666" s="13" t="n"/>
      <c r="H666" s="12" t="n"/>
      <c r="I666" s="12" t="n"/>
      <c r="J666" s="12" t="n"/>
      <c r="K666" s="12" t="n"/>
      <c r="L666" s="11" t="n"/>
      <c r="M666" s="11" t="n"/>
      <c r="N666" s="11" t="n"/>
      <c r="O666" s="11" t="n"/>
      <c r="P666" s="12" t="n"/>
      <c r="Q666" s="11" t="n"/>
      <c r="R666" s="12" t="n"/>
      <c r="S666" s="11" t="n"/>
      <c r="T666" s="12" t="n"/>
      <c r="U666" s="12" t="n"/>
      <c r="V666" s="12" t="n"/>
      <c r="W666" s="13" t="n"/>
      <c r="X666" s="14">
        <f>IF($AP666="",IF($B666="","",$H666),IF(INDEX(職員マスタ!$B$6:$B$405,$AP666)="",$H666,INDEX(職員マスタ!$B$6:$B$405,$AP666)))</f>
        <v/>
      </c>
      <c r="Y666" s="14">
        <f>IF($AP666="",IF($B666="","",$R666),IF(INDEX(職員マスタ!$C$6:$C$405,$AP666)="",$R666,INDEX(職員マスタ!$C$6:$C$405,$AP666)))</f>
        <v/>
      </c>
      <c r="Z666" s="14">
        <f>IF($AQ666="","","R"&amp;$C666&amp;"."&amp;$D666)</f>
        <v/>
      </c>
      <c r="AA666" s="15">
        <f>IF(IF($AP666="",FALSE,INDEX(職員マスタ!$K$6:$K$405,$AP666)&lt;&gt;""),INDEX(職員マスタ!$K$6:$K$405,$AP666),IF(N($W666)&gt;0,$W666,""))</f>
        <v/>
      </c>
      <c r="AB666" s="14">
        <f>IF(OR($E666="",$AA666=""),"",IF($E666&gt;=$AA666,"×",IF($E666&gt;=$AA666*設定!$C$5,"△","○")))</f>
        <v/>
      </c>
      <c r="AC666" s="15">
        <f>IF($AB666="","",IF($AB666="×",0,IF($AB666="○",ROUNDDOWN($E666*設定!$C$4,0),ROUNDDOWN($E666*ROUND((9*$AA666-9*$E666)/(10*$E666),4),0))))</f>
        <v/>
      </c>
      <c r="AD666" s="13" t="n"/>
      <c r="AE666" s="15">
        <f>IF($B666="","",IF($AD666&lt;&gt;"",$AD666,IF($AC666="","",IF($AC666&lt;=設定!$C$3,0,$AC666))))</f>
        <v/>
      </c>
      <c r="AF666" s="14">
        <f>IF($B666="","",IF(AND($AG666&lt;&gt;"",$AI666="",$AL666=""),"保留中",IF($AL666&lt;&gt;"",IF(N($AE666)&gt;0,"支給済","不支給"),IF($AE666="","要確認",IF($AE666=0,"不支給","未処理")))))</f>
        <v/>
      </c>
      <c r="AG666" s="12" t="n"/>
      <c r="AH666" s="11" t="n"/>
      <c r="AI666" s="11" t="n"/>
      <c r="AJ666" s="11" t="n"/>
      <c r="AK666" s="14">
        <f>IF(AND($AF666="保留中",$AH666&lt;&gt;""),TODAY()-$AH666,"")</f>
        <v/>
      </c>
      <c r="AL666" s="12" t="n"/>
      <c r="AM666" s="14">
        <f>IF($B666="","",IF($AQ666="","対象年月が未入力／","")&amp;IF($B666="","",IF($AP666="","職員マスタに未登録の職員番号／",IF($AA666="","標準報酬月額が未登録／","")&amp;IF(AND($AQ666&lt;&gt;"",OR(AND(INDEX(職員マスタ!$G$6:$G$405,$AP666)&lt;&gt;"",INDEX(職員マスタ!$G$6:$G$405,$AP666)&gt;EOMONTH($AQ666,0)),AND(INDEX(職員マスタ!$H$6:$H$405,$AP666)&lt;&gt;"",INDEX(職員マスタ!$H$6:$H$405,$AP666)&lt;$AQ666))),"対象月が時短期間外／","")&amp;IF(AND(INDEX(職員マスタ!$K$6:$K$405,$AP666)&lt;&gt;"",N($W666)&gt;0,INDEX(職員マスタ!$K$6:$K$405,$AP666)&lt;&gt;$W666),"標準報酬月額が申請書と相違（台帳"&amp;TEXT(INDEX(職員マスタ!$K$6:$K$405,$AP666),"#,##0")&amp;"円／申請書"&amp;TEXT($W666,"#,##0")&amp;"円）／","")&amp;IF(AND(INDEX(職員マスタ!$F$6:$F$405,$AP666)&lt;&gt;"",$AQ666&lt;&gt;"",INDEX(職員マスタ!$F$6:$F$405,$AP666)&lt;$AQ666),"対象月に子が2歳到達済／","")&amp;IF(AND($H666&lt;&gt;"",INDEX(職員マスタ!$B$6:$B$405,$AP666)&lt;&gt;"",SUBSTITUTE(SUBSTITUTE($H666," ","")," ","")&lt;&gt;SUBSTITUTE(SUBSTITUTE(INDEX(職員マスタ!$B$6:$B$405,$AP666)," ","")," ","")),"氏名がマスタと相違／","")&amp;IF(AND($Q666&lt;&gt;"",INDEX(職員マスタ!$E$6:$E$405,$AP666)&lt;&gt;"",$Q666&lt;&gt;INDEX(職員マスタ!$E$6:$E$405,$AP666)),"子の生年月日がマスタと相違／","")&amp;IF(AND($L666&lt;&gt;"",INDEX(職員マスタ!$G$6:$G$405,$AP666)&lt;&gt;"",$L666&lt;&gt;INDEX(職員マスタ!$G$6:$G$405,$AP666)),"時短開始日がマスタと相違／","")&amp;IF(AND($M666&lt;&gt;"",INDEX(職員マスタ!$H$6:$H$405,$AP666)&lt;&gt;"",$M666&lt;&gt;INDEX(職員マスタ!$H$6:$H$405,$AP666)),"時短終了日がマスタと相違／","")))&amp;IF(AND($B666&lt;&gt;"",$E666=""),"報酬額が未入力／","")&amp;IF(N($U666)&gt;0,"申請書に入力エラーが残っています／","")&amp;IF(AND($B666&lt;&gt;"",$AQ666&lt;&gt;""),IF(COUNTIFS($B$6:$B$3005,$B666,$C$6:$C$3005,$C666,$D$6:$D$3005,$D666)&gt;1,"同じ月の請求が重複しています／",""),"")&amp;IF(AND(N($E666)&gt;0,$AB666&lt;&gt;"",$AB666&lt;&gt;"×",$AE666=0,$AD666=""),"計算額が下限以下のため不支給／",""))</f>
        <v/>
      </c>
      <c r="AN666" s="12" t="n"/>
      <c r="AO666" s="14">
        <f>IF($AF666="保留中",COUNTIF($AF$6:$AF666,"保留中"),"")</f>
        <v/>
      </c>
      <c r="AP666" s="14">
        <f>IF($AQ666="","",IF(SUMPRODUCT(MAX((職員マスタ!$A$6:$A$405=$B666)*(((職員マスタ!$G$6:$G$405="")+(職員マスタ!$G$6:$G$405&lt;=EOMONTH($AQ666,0)))&gt;0)*(((職員マスタ!$H$6:$H$405="")+(職員マスタ!$H$6:$H$405&gt;=$AQ666))&gt;0)*(ROW(職員マスタ!$A$6:$A$405)-5)))&gt;0,SUMPRODUCT(MAX((職員マスタ!$A$6:$A$405=$B666)*(((職員マスタ!$G$6:$G$405="")+(職員マスタ!$G$6:$G$405&lt;=EOMONTH($AQ666,0)))&gt;0)*(((職員マスタ!$H$6:$H$405="")+(職員マスタ!$H$6:$H$405&gt;=$AQ666))&gt;0)*(ROW(職員マスタ!$A$6:$A$405)-5))),IFERROR(MATCH($B666,職員マスタ!$A$6:$A$405,0),"")))</f>
        <v/>
      </c>
      <c r="AQ666" s="16">
        <f>IF(OR($B666="",$C666="",$D666=""),"",DATE($C666+2018,$D666,1))</f>
        <v/>
      </c>
    </row>
    <row r="667">
      <c r="A667" s="11" t="n"/>
      <c r="B667" s="12" t="n"/>
      <c r="C667" s="12" t="n"/>
      <c r="D667" s="12" t="n"/>
      <c r="E667" s="13" t="n"/>
      <c r="F667" s="12" t="n"/>
      <c r="G667" s="13" t="n"/>
      <c r="H667" s="12" t="n"/>
      <c r="I667" s="12" t="n"/>
      <c r="J667" s="12" t="n"/>
      <c r="K667" s="12" t="n"/>
      <c r="L667" s="11" t="n"/>
      <c r="M667" s="11" t="n"/>
      <c r="N667" s="11" t="n"/>
      <c r="O667" s="11" t="n"/>
      <c r="P667" s="12" t="n"/>
      <c r="Q667" s="11" t="n"/>
      <c r="R667" s="12" t="n"/>
      <c r="S667" s="11" t="n"/>
      <c r="T667" s="12" t="n"/>
      <c r="U667" s="12" t="n"/>
      <c r="V667" s="12" t="n"/>
      <c r="W667" s="13" t="n"/>
      <c r="X667" s="14">
        <f>IF($AP667="",IF($B667="","",$H667),IF(INDEX(職員マスタ!$B$6:$B$405,$AP667)="",$H667,INDEX(職員マスタ!$B$6:$B$405,$AP667)))</f>
        <v/>
      </c>
      <c r="Y667" s="14">
        <f>IF($AP667="",IF($B667="","",$R667),IF(INDEX(職員マスタ!$C$6:$C$405,$AP667)="",$R667,INDEX(職員マスタ!$C$6:$C$405,$AP667)))</f>
        <v/>
      </c>
      <c r="Z667" s="14">
        <f>IF($AQ667="","","R"&amp;$C667&amp;"."&amp;$D667)</f>
        <v/>
      </c>
      <c r="AA667" s="15">
        <f>IF(IF($AP667="",FALSE,INDEX(職員マスタ!$K$6:$K$405,$AP667)&lt;&gt;""),INDEX(職員マスタ!$K$6:$K$405,$AP667),IF(N($W667)&gt;0,$W667,""))</f>
        <v/>
      </c>
      <c r="AB667" s="14">
        <f>IF(OR($E667="",$AA667=""),"",IF($E667&gt;=$AA667,"×",IF($E667&gt;=$AA667*設定!$C$5,"△","○")))</f>
        <v/>
      </c>
      <c r="AC667" s="15">
        <f>IF($AB667="","",IF($AB667="×",0,IF($AB667="○",ROUNDDOWN($E667*設定!$C$4,0),ROUNDDOWN($E667*ROUND((9*$AA667-9*$E667)/(10*$E667),4),0))))</f>
        <v/>
      </c>
      <c r="AD667" s="13" t="n"/>
      <c r="AE667" s="15">
        <f>IF($B667="","",IF($AD667&lt;&gt;"",$AD667,IF($AC667="","",IF($AC667&lt;=設定!$C$3,0,$AC667))))</f>
        <v/>
      </c>
      <c r="AF667" s="14">
        <f>IF($B667="","",IF(AND($AG667&lt;&gt;"",$AI667="",$AL667=""),"保留中",IF($AL667&lt;&gt;"",IF(N($AE667)&gt;0,"支給済","不支給"),IF($AE667="","要確認",IF($AE667=0,"不支給","未処理")))))</f>
        <v/>
      </c>
      <c r="AG667" s="12" t="n"/>
      <c r="AH667" s="11" t="n"/>
      <c r="AI667" s="11" t="n"/>
      <c r="AJ667" s="11" t="n"/>
      <c r="AK667" s="14">
        <f>IF(AND($AF667="保留中",$AH667&lt;&gt;""),TODAY()-$AH667,"")</f>
        <v/>
      </c>
      <c r="AL667" s="12" t="n"/>
      <c r="AM667" s="14">
        <f>IF($B667="","",IF($AQ667="","対象年月が未入力／","")&amp;IF($B667="","",IF($AP667="","職員マスタに未登録の職員番号／",IF($AA667="","標準報酬月額が未登録／","")&amp;IF(AND($AQ667&lt;&gt;"",OR(AND(INDEX(職員マスタ!$G$6:$G$405,$AP667)&lt;&gt;"",INDEX(職員マスタ!$G$6:$G$405,$AP667)&gt;EOMONTH($AQ667,0)),AND(INDEX(職員マスタ!$H$6:$H$405,$AP667)&lt;&gt;"",INDEX(職員マスタ!$H$6:$H$405,$AP667)&lt;$AQ667))),"対象月が時短期間外／","")&amp;IF(AND(INDEX(職員マスタ!$K$6:$K$405,$AP667)&lt;&gt;"",N($W667)&gt;0,INDEX(職員マスタ!$K$6:$K$405,$AP667)&lt;&gt;$W667),"標準報酬月額が申請書と相違（台帳"&amp;TEXT(INDEX(職員マスタ!$K$6:$K$405,$AP667),"#,##0")&amp;"円／申請書"&amp;TEXT($W667,"#,##0")&amp;"円）／","")&amp;IF(AND(INDEX(職員マスタ!$F$6:$F$405,$AP667)&lt;&gt;"",$AQ667&lt;&gt;"",INDEX(職員マスタ!$F$6:$F$405,$AP667)&lt;$AQ667),"対象月に子が2歳到達済／","")&amp;IF(AND($H667&lt;&gt;"",INDEX(職員マスタ!$B$6:$B$405,$AP667)&lt;&gt;"",SUBSTITUTE(SUBSTITUTE($H667," ","")," ","")&lt;&gt;SUBSTITUTE(SUBSTITUTE(INDEX(職員マスタ!$B$6:$B$405,$AP667)," ","")," ","")),"氏名がマスタと相違／","")&amp;IF(AND($Q667&lt;&gt;"",INDEX(職員マスタ!$E$6:$E$405,$AP667)&lt;&gt;"",$Q667&lt;&gt;INDEX(職員マスタ!$E$6:$E$405,$AP667)),"子の生年月日がマスタと相違／","")&amp;IF(AND($L667&lt;&gt;"",INDEX(職員マスタ!$G$6:$G$405,$AP667)&lt;&gt;"",$L667&lt;&gt;INDEX(職員マスタ!$G$6:$G$405,$AP667)),"時短開始日がマスタと相違／","")&amp;IF(AND($M667&lt;&gt;"",INDEX(職員マスタ!$H$6:$H$405,$AP667)&lt;&gt;"",$M667&lt;&gt;INDEX(職員マスタ!$H$6:$H$405,$AP667)),"時短終了日がマスタと相違／","")))&amp;IF(AND($B667&lt;&gt;"",$E667=""),"報酬額が未入力／","")&amp;IF(N($U667)&gt;0,"申請書に入力エラーが残っています／","")&amp;IF(AND($B667&lt;&gt;"",$AQ667&lt;&gt;""),IF(COUNTIFS($B$6:$B$3005,$B667,$C$6:$C$3005,$C667,$D$6:$D$3005,$D667)&gt;1,"同じ月の請求が重複しています／",""),"")&amp;IF(AND(N($E667)&gt;0,$AB667&lt;&gt;"",$AB667&lt;&gt;"×",$AE667=0,$AD667=""),"計算額が下限以下のため不支給／",""))</f>
        <v/>
      </c>
      <c r="AN667" s="12" t="n"/>
      <c r="AO667" s="14">
        <f>IF($AF667="保留中",COUNTIF($AF$6:$AF667,"保留中"),"")</f>
        <v/>
      </c>
      <c r="AP667" s="14">
        <f>IF($AQ667="","",IF(SUMPRODUCT(MAX((職員マスタ!$A$6:$A$405=$B667)*(((職員マスタ!$G$6:$G$405="")+(職員マスタ!$G$6:$G$405&lt;=EOMONTH($AQ667,0)))&gt;0)*(((職員マスタ!$H$6:$H$405="")+(職員マスタ!$H$6:$H$405&gt;=$AQ667))&gt;0)*(ROW(職員マスタ!$A$6:$A$405)-5)))&gt;0,SUMPRODUCT(MAX((職員マスタ!$A$6:$A$405=$B667)*(((職員マスタ!$G$6:$G$405="")+(職員マスタ!$G$6:$G$405&lt;=EOMONTH($AQ667,0)))&gt;0)*(((職員マスタ!$H$6:$H$405="")+(職員マスタ!$H$6:$H$405&gt;=$AQ667))&gt;0)*(ROW(職員マスタ!$A$6:$A$405)-5))),IFERROR(MATCH($B667,職員マスタ!$A$6:$A$405,0),"")))</f>
        <v/>
      </c>
      <c r="AQ667" s="16">
        <f>IF(OR($B667="",$C667="",$D667=""),"",DATE($C667+2018,$D667,1))</f>
        <v/>
      </c>
    </row>
    <row r="668">
      <c r="A668" s="11" t="n"/>
      <c r="B668" s="12" t="n"/>
      <c r="C668" s="12" t="n"/>
      <c r="D668" s="12" t="n"/>
      <c r="E668" s="13" t="n"/>
      <c r="F668" s="12" t="n"/>
      <c r="G668" s="13" t="n"/>
      <c r="H668" s="12" t="n"/>
      <c r="I668" s="12" t="n"/>
      <c r="J668" s="12" t="n"/>
      <c r="K668" s="12" t="n"/>
      <c r="L668" s="11" t="n"/>
      <c r="M668" s="11" t="n"/>
      <c r="N668" s="11" t="n"/>
      <c r="O668" s="11" t="n"/>
      <c r="P668" s="12" t="n"/>
      <c r="Q668" s="11" t="n"/>
      <c r="R668" s="12" t="n"/>
      <c r="S668" s="11" t="n"/>
      <c r="T668" s="12" t="n"/>
      <c r="U668" s="12" t="n"/>
      <c r="V668" s="12" t="n"/>
      <c r="W668" s="13" t="n"/>
      <c r="X668" s="14">
        <f>IF($AP668="",IF($B668="","",$H668),IF(INDEX(職員マスタ!$B$6:$B$405,$AP668)="",$H668,INDEX(職員マスタ!$B$6:$B$405,$AP668)))</f>
        <v/>
      </c>
      <c r="Y668" s="14">
        <f>IF($AP668="",IF($B668="","",$R668),IF(INDEX(職員マスタ!$C$6:$C$405,$AP668)="",$R668,INDEX(職員マスタ!$C$6:$C$405,$AP668)))</f>
        <v/>
      </c>
      <c r="Z668" s="14">
        <f>IF($AQ668="","","R"&amp;$C668&amp;"."&amp;$D668)</f>
        <v/>
      </c>
      <c r="AA668" s="15">
        <f>IF(IF($AP668="",FALSE,INDEX(職員マスタ!$K$6:$K$405,$AP668)&lt;&gt;""),INDEX(職員マスタ!$K$6:$K$405,$AP668),IF(N($W668)&gt;0,$W668,""))</f>
        <v/>
      </c>
      <c r="AB668" s="14">
        <f>IF(OR($E668="",$AA668=""),"",IF($E668&gt;=$AA668,"×",IF($E668&gt;=$AA668*設定!$C$5,"△","○")))</f>
        <v/>
      </c>
      <c r="AC668" s="15">
        <f>IF($AB668="","",IF($AB668="×",0,IF($AB668="○",ROUNDDOWN($E668*設定!$C$4,0),ROUNDDOWN($E668*ROUND((9*$AA668-9*$E668)/(10*$E668),4),0))))</f>
        <v/>
      </c>
      <c r="AD668" s="13" t="n"/>
      <c r="AE668" s="15">
        <f>IF($B668="","",IF($AD668&lt;&gt;"",$AD668,IF($AC668="","",IF($AC668&lt;=設定!$C$3,0,$AC668))))</f>
        <v/>
      </c>
      <c r="AF668" s="14">
        <f>IF($B668="","",IF(AND($AG668&lt;&gt;"",$AI668="",$AL668=""),"保留中",IF($AL668&lt;&gt;"",IF(N($AE668)&gt;0,"支給済","不支給"),IF($AE668="","要確認",IF($AE668=0,"不支給","未処理")))))</f>
        <v/>
      </c>
      <c r="AG668" s="12" t="n"/>
      <c r="AH668" s="11" t="n"/>
      <c r="AI668" s="11" t="n"/>
      <c r="AJ668" s="11" t="n"/>
      <c r="AK668" s="14">
        <f>IF(AND($AF668="保留中",$AH668&lt;&gt;""),TODAY()-$AH668,"")</f>
        <v/>
      </c>
      <c r="AL668" s="12" t="n"/>
      <c r="AM668" s="14">
        <f>IF($B668="","",IF($AQ668="","対象年月が未入力／","")&amp;IF($B668="","",IF($AP668="","職員マスタに未登録の職員番号／",IF($AA668="","標準報酬月額が未登録／","")&amp;IF(AND($AQ668&lt;&gt;"",OR(AND(INDEX(職員マスタ!$G$6:$G$405,$AP668)&lt;&gt;"",INDEX(職員マスタ!$G$6:$G$405,$AP668)&gt;EOMONTH($AQ668,0)),AND(INDEX(職員マスタ!$H$6:$H$405,$AP668)&lt;&gt;"",INDEX(職員マスタ!$H$6:$H$405,$AP668)&lt;$AQ668))),"対象月が時短期間外／","")&amp;IF(AND(INDEX(職員マスタ!$K$6:$K$405,$AP668)&lt;&gt;"",N($W668)&gt;0,INDEX(職員マスタ!$K$6:$K$405,$AP668)&lt;&gt;$W668),"標準報酬月額が申請書と相違（台帳"&amp;TEXT(INDEX(職員マスタ!$K$6:$K$405,$AP668),"#,##0")&amp;"円／申請書"&amp;TEXT($W668,"#,##0")&amp;"円）／","")&amp;IF(AND(INDEX(職員マスタ!$F$6:$F$405,$AP668)&lt;&gt;"",$AQ668&lt;&gt;"",INDEX(職員マスタ!$F$6:$F$405,$AP668)&lt;$AQ668),"対象月に子が2歳到達済／","")&amp;IF(AND($H668&lt;&gt;"",INDEX(職員マスタ!$B$6:$B$405,$AP668)&lt;&gt;"",SUBSTITUTE(SUBSTITUTE($H668," ","")," ","")&lt;&gt;SUBSTITUTE(SUBSTITUTE(INDEX(職員マスタ!$B$6:$B$405,$AP668)," ","")," ","")),"氏名がマスタと相違／","")&amp;IF(AND($Q668&lt;&gt;"",INDEX(職員マスタ!$E$6:$E$405,$AP668)&lt;&gt;"",$Q668&lt;&gt;INDEX(職員マスタ!$E$6:$E$405,$AP668)),"子の生年月日がマスタと相違／","")&amp;IF(AND($L668&lt;&gt;"",INDEX(職員マスタ!$G$6:$G$405,$AP668)&lt;&gt;"",$L668&lt;&gt;INDEX(職員マスタ!$G$6:$G$405,$AP668)),"時短開始日がマスタと相違／","")&amp;IF(AND($M668&lt;&gt;"",INDEX(職員マスタ!$H$6:$H$405,$AP668)&lt;&gt;"",$M668&lt;&gt;INDEX(職員マスタ!$H$6:$H$405,$AP668)),"時短終了日がマスタと相違／","")))&amp;IF(AND($B668&lt;&gt;"",$E668=""),"報酬額が未入力／","")&amp;IF(N($U668)&gt;0,"申請書に入力エラーが残っています／","")&amp;IF(AND($B668&lt;&gt;"",$AQ668&lt;&gt;""),IF(COUNTIFS($B$6:$B$3005,$B668,$C$6:$C$3005,$C668,$D$6:$D$3005,$D668)&gt;1,"同じ月の請求が重複しています／",""),"")&amp;IF(AND(N($E668)&gt;0,$AB668&lt;&gt;"",$AB668&lt;&gt;"×",$AE668=0,$AD668=""),"計算額が下限以下のため不支給／",""))</f>
        <v/>
      </c>
      <c r="AN668" s="12" t="n"/>
      <c r="AO668" s="14">
        <f>IF($AF668="保留中",COUNTIF($AF$6:$AF668,"保留中"),"")</f>
        <v/>
      </c>
      <c r="AP668" s="14">
        <f>IF($AQ668="","",IF(SUMPRODUCT(MAX((職員マスタ!$A$6:$A$405=$B668)*(((職員マスタ!$G$6:$G$405="")+(職員マスタ!$G$6:$G$405&lt;=EOMONTH($AQ668,0)))&gt;0)*(((職員マスタ!$H$6:$H$405="")+(職員マスタ!$H$6:$H$405&gt;=$AQ668))&gt;0)*(ROW(職員マスタ!$A$6:$A$405)-5)))&gt;0,SUMPRODUCT(MAX((職員マスタ!$A$6:$A$405=$B668)*(((職員マスタ!$G$6:$G$405="")+(職員マスタ!$G$6:$G$405&lt;=EOMONTH($AQ668,0)))&gt;0)*(((職員マスタ!$H$6:$H$405="")+(職員マスタ!$H$6:$H$405&gt;=$AQ668))&gt;0)*(ROW(職員マスタ!$A$6:$A$405)-5))),IFERROR(MATCH($B668,職員マスタ!$A$6:$A$405,0),"")))</f>
        <v/>
      </c>
      <c r="AQ668" s="16">
        <f>IF(OR($B668="",$C668="",$D668=""),"",DATE($C668+2018,$D668,1))</f>
        <v/>
      </c>
    </row>
    <row r="669">
      <c r="A669" s="11" t="n"/>
      <c r="B669" s="12" t="n"/>
      <c r="C669" s="12" t="n"/>
      <c r="D669" s="12" t="n"/>
      <c r="E669" s="13" t="n"/>
      <c r="F669" s="12" t="n"/>
      <c r="G669" s="13" t="n"/>
      <c r="H669" s="12" t="n"/>
      <c r="I669" s="12" t="n"/>
      <c r="J669" s="12" t="n"/>
      <c r="K669" s="12" t="n"/>
      <c r="L669" s="11" t="n"/>
      <c r="M669" s="11" t="n"/>
      <c r="N669" s="11" t="n"/>
      <c r="O669" s="11" t="n"/>
      <c r="P669" s="12" t="n"/>
      <c r="Q669" s="11" t="n"/>
      <c r="R669" s="12" t="n"/>
      <c r="S669" s="11" t="n"/>
      <c r="T669" s="12" t="n"/>
      <c r="U669" s="12" t="n"/>
      <c r="V669" s="12" t="n"/>
      <c r="W669" s="13" t="n"/>
      <c r="X669" s="14">
        <f>IF($AP669="",IF($B669="","",$H669),IF(INDEX(職員マスタ!$B$6:$B$405,$AP669)="",$H669,INDEX(職員マスタ!$B$6:$B$405,$AP669)))</f>
        <v/>
      </c>
      <c r="Y669" s="14">
        <f>IF($AP669="",IF($B669="","",$R669),IF(INDEX(職員マスタ!$C$6:$C$405,$AP669)="",$R669,INDEX(職員マスタ!$C$6:$C$405,$AP669)))</f>
        <v/>
      </c>
      <c r="Z669" s="14">
        <f>IF($AQ669="","","R"&amp;$C669&amp;"."&amp;$D669)</f>
        <v/>
      </c>
      <c r="AA669" s="15">
        <f>IF(IF($AP669="",FALSE,INDEX(職員マスタ!$K$6:$K$405,$AP669)&lt;&gt;""),INDEX(職員マスタ!$K$6:$K$405,$AP669),IF(N($W669)&gt;0,$W669,""))</f>
        <v/>
      </c>
      <c r="AB669" s="14">
        <f>IF(OR($E669="",$AA669=""),"",IF($E669&gt;=$AA669,"×",IF($E669&gt;=$AA669*設定!$C$5,"△","○")))</f>
        <v/>
      </c>
      <c r="AC669" s="15">
        <f>IF($AB669="","",IF($AB669="×",0,IF($AB669="○",ROUNDDOWN($E669*設定!$C$4,0),ROUNDDOWN($E669*ROUND((9*$AA669-9*$E669)/(10*$E669),4),0))))</f>
        <v/>
      </c>
      <c r="AD669" s="13" t="n"/>
      <c r="AE669" s="15">
        <f>IF($B669="","",IF($AD669&lt;&gt;"",$AD669,IF($AC669="","",IF($AC669&lt;=設定!$C$3,0,$AC669))))</f>
        <v/>
      </c>
      <c r="AF669" s="14">
        <f>IF($B669="","",IF(AND($AG669&lt;&gt;"",$AI669="",$AL669=""),"保留中",IF($AL669&lt;&gt;"",IF(N($AE669)&gt;0,"支給済","不支給"),IF($AE669="","要確認",IF($AE669=0,"不支給","未処理")))))</f>
        <v/>
      </c>
      <c r="AG669" s="12" t="n"/>
      <c r="AH669" s="11" t="n"/>
      <c r="AI669" s="11" t="n"/>
      <c r="AJ669" s="11" t="n"/>
      <c r="AK669" s="14">
        <f>IF(AND($AF669="保留中",$AH669&lt;&gt;""),TODAY()-$AH669,"")</f>
        <v/>
      </c>
      <c r="AL669" s="12" t="n"/>
      <c r="AM669" s="14">
        <f>IF($B669="","",IF($AQ669="","対象年月が未入力／","")&amp;IF($B669="","",IF($AP669="","職員マスタに未登録の職員番号／",IF($AA669="","標準報酬月額が未登録／","")&amp;IF(AND($AQ669&lt;&gt;"",OR(AND(INDEX(職員マスタ!$G$6:$G$405,$AP669)&lt;&gt;"",INDEX(職員マスタ!$G$6:$G$405,$AP669)&gt;EOMONTH($AQ669,0)),AND(INDEX(職員マスタ!$H$6:$H$405,$AP669)&lt;&gt;"",INDEX(職員マスタ!$H$6:$H$405,$AP669)&lt;$AQ669))),"対象月が時短期間外／","")&amp;IF(AND(INDEX(職員マスタ!$K$6:$K$405,$AP669)&lt;&gt;"",N($W669)&gt;0,INDEX(職員マスタ!$K$6:$K$405,$AP669)&lt;&gt;$W669),"標準報酬月額が申請書と相違（台帳"&amp;TEXT(INDEX(職員マスタ!$K$6:$K$405,$AP669),"#,##0")&amp;"円／申請書"&amp;TEXT($W669,"#,##0")&amp;"円）／","")&amp;IF(AND(INDEX(職員マスタ!$F$6:$F$405,$AP669)&lt;&gt;"",$AQ669&lt;&gt;"",INDEX(職員マスタ!$F$6:$F$405,$AP669)&lt;$AQ669),"対象月に子が2歳到達済／","")&amp;IF(AND($H669&lt;&gt;"",INDEX(職員マスタ!$B$6:$B$405,$AP669)&lt;&gt;"",SUBSTITUTE(SUBSTITUTE($H669," ","")," ","")&lt;&gt;SUBSTITUTE(SUBSTITUTE(INDEX(職員マスタ!$B$6:$B$405,$AP669)," ","")," ","")),"氏名がマスタと相違／","")&amp;IF(AND($Q669&lt;&gt;"",INDEX(職員マスタ!$E$6:$E$405,$AP669)&lt;&gt;"",$Q669&lt;&gt;INDEX(職員マスタ!$E$6:$E$405,$AP669)),"子の生年月日がマスタと相違／","")&amp;IF(AND($L669&lt;&gt;"",INDEX(職員マスタ!$G$6:$G$405,$AP669)&lt;&gt;"",$L669&lt;&gt;INDEX(職員マスタ!$G$6:$G$405,$AP669)),"時短開始日がマスタと相違／","")&amp;IF(AND($M669&lt;&gt;"",INDEX(職員マスタ!$H$6:$H$405,$AP669)&lt;&gt;"",$M669&lt;&gt;INDEX(職員マスタ!$H$6:$H$405,$AP669)),"時短終了日がマスタと相違／","")))&amp;IF(AND($B669&lt;&gt;"",$E669=""),"報酬額が未入力／","")&amp;IF(N($U669)&gt;0,"申請書に入力エラーが残っています／","")&amp;IF(AND($B669&lt;&gt;"",$AQ669&lt;&gt;""),IF(COUNTIFS($B$6:$B$3005,$B669,$C$6:$C$3005,$C669,$D$6:$D$3005,$D669)&gt;1,"同じ月の請求が重複しています／",""),"")&amp;IF(AND(N($E669)&gt;0,$AB669&lt;&gt;"",$AB669&lt;&gt;"×",$AE669=0,$AD669=""),"計算額が下限以下のため不支給／",""))</f>
        <v/>
      </c>
      <c r="AN669" s="12" t="n"/>
      <c r="AO669" s="14">
        <f>IF($AF669="保留中",COUNTIF($AF$6:$AF669,"保留中"),"")</f>
        <v/>
      </c>
      <c r="AP669" s="14">
        <f>IF($AQ669="","",IF(SUMPRODUCT(MAX((職員マスタ!$A$6:$A$405=$B669)*(((職員マスタ!$G$6:$G$405="")+(職員マスタ!$G$6:$G$405&lt;=EOMONTH($AQ669,0)))&gt;0)*(((職員マスタ!$H$6:$H$405="")+(職員マスタ!$H$6:$H$405&gt;=$AQ669))&gt;0)*(ROW(職員マスタ!$A$6:$A$405)-5)))&gt;0,SUMPRODUCT(MAX((職員マスタ!$A$6:$A$405=$B669)*(((職員マスタ!$G$6:$G$405="")+(職員マスタ!$G$6:$G$405&lt;=EOMONTH($AQ669,0)))&gt;0)*(((職員マスタ!$H$6:$H$405="")+(職員マスタ!$H$6:$H$405&gt;=$AQ669))&gt;0)*(ROW(職員マスタ!$A$6:$A$405)-5))),IFERROR(MATCH($B669,職員マスタ!$A$6:$A$405,0),"")))</f>
        <v/>
      </c>
      <c r="AQ669" s="16">
        <f>IF(OR($B669="",$C669="",$D669=""),"",DATE($C669+2018,$D669,1))</f>
        <v/>
      </c>
    </row>
    <row r="670">
      <c r="A670" s="11" t="n"/>
      <c r="B670" s="12" t="n"/>
      <c r="C670" s="12" t="n"/>
      <c r="D670" s="12" t="n"/>
      <c r="E670" s="13" t="n"/>
      <c r="F670" s="12" t="n"/>
      <c r="G670" s="13" t="n"/>
      <c r="H670" s="12" t="n"/>
      <c r="I670" s="12" t="n"/>
      <c r="J670" s="12" t="n"/>
      <c r="K670" s="12" t="n"/>
      <c r="L670" s="11" t="n"/>
      <c r="M670" s="11" t="n"/>
      <c r="N670" s="11" t="n"/>
      <c r="O670" s="11" t="n"/>
      <c r="P670" s="12" t="n"/>
      <c r="Q670" s="11" t="n"/>
      <c r="R670" s="12" t="n"/>
      <c r="S670" s="11" t="n"/>
      <c r="T670" s="12" t="n"/>
      <c r="U670" s="12" t="n"/>
      <c r="V670" s="12" t="n"/>
      <c r="W670" s="13" t="n"/>
      <c r="X670" s="14">
        <f>IF($AP670="",IF($B670="","",$H670),IF(INDEX(職員マスタ!$B$6:$B$405,$AP670)="",$H670,INDEX(職員マスタ!$B$6:$B$405,$AP670)))</f>
        <v/>
      </c>
      <c r="Y670" s="14">
        <f>IF($AP670="",IF($B670="","",$R670),IF(INDEX(職員マスタ!$C$6:$C$405,$AP670)="",$R670,INDEX(職員マスタ!$C$6:$C$405,$AP670)))</f>
        <v/>
      </c>
      <c r="Z670" s="14">
        <f>IF($AQ670="","","R"&amp;$C670&amp;"."&amp;$D670)</f>
        <v/>
      </c>
      <c r="AA670" s="15">
        <f>IF(IF($AP670="",FALSE,INDEX(職員マスタ!$K$6:$K$405,$AP670)&lt;&gt;""),INDEX(職員マスタ!$K$6:$K$405,$AP670),IF(N($W670)&gt;0,$W670,""))</f>
        <v/>
      </c>
      <c r="AB670" s="14">
        <f>IF(OR($E670="",$AA670=""),"",IF($E670&gt;=$AA670,"×",IF($E670&gt;=$AA670*設定!$C$5,"△","○")))</f>
        <v/>
      </c>
      <c r="AC670" s="15">
        <f>IF($AB670="","",IF($AB670="×",0,IF($AB670="○",ROUNDDOWN($E670*設定!$C$4,0),ROUNDDOWN($E670*ROUND((9*$AA670-9*$E670)/(10*$E670),4),0))))</f>
        <v/>
      </c>
      <c r="AD670" s="13" t="n"/>
      <c r="AE670" s="15">
        <f>IF($B670="","",IF($AD670&lt;&gt;"",$AD670,IF($AC670="","",IF($AC670&lt;=設定!$C$3,0,$AC670))))</f>
        <v/>
      </c>
      <c r="AF670" s="14">
        <f>IF($B670="","",IF(AND($AG670&lt;&gt;"",$AI670="",$AL670=""),"保留中",IF($AL670&lt;&gt;"",IF(N($AE670)&gt;0,"支給済","不支給"),IF($AE670="","要確認",IF($AE670=0,"不支給","未処理")))))</f>
        <v/>
      </c>
      <c r="AG670" s="12" t="n"/>
      <c r="AH670" s="11" t="n"/>
      <c r="AI670" s="11" t="n"/>
      <c r="AJ670" s="11" t="n"/>
      <c r="AK670" s="14">
        <f>IF(AND($AF670="保留中",$AH670&lt;&gt;""),TODAY()-$AH670,"")</f>
        <v/>
      </c>
      <c r="AL670" s="12" t="n"/>
      <c r="AM670" s="14">
        <f>IF($B670="","",IF($AQ670="","対象年月が未入力／","")&amp;IF($B670="","",IF($AP670="","職員マスタに未登録の職員番号／",IF($AA670="","標準報酬月額が未登録／","")&amp;IF(AND($AQ670&lt;&gt;"",OR(AND(INDEX(職員マスタ!$G$6:$G$405,$AP670)&lt;&gt;"",INDEX(職員マスタ!$G$6:$G$405,$AP670)&gt;EOMONTH($AQ670,0)),AND(INDEX(職員マスタ!$H$6:$H$405,$AP670)&lt;&gt;"",INDEX(職員マスタ!$H$6:$H$405,$AP670)&lt;$AQ670))),"対象月が時短期間外／","")&amp;IF(AND(INDEX(職員マスタ!$K$6:$K$405,$AP670)&lt;&gt;"",N($W670)&gt;0,INDEX(職員マスタ!$K$6:$K$405,$AP670)&lt;&gt;$W670),"標準報酬月額が申請書と相違（台帳"&amp;TEXT(INDEX(職員マスタ!$K$6:$K$405,$AP670),"#,##0")&amp;"円／申請書"&amp;TEXT($W670,"#,##0")&amp;"円）／","")&amp;IF(AND(INDEX(職員マスタ!$F$6:$F$405,$AP670)&lt;&gt;"",$AQ670&lt;&gt;"",INDEX(職員マスタ!$F$6:$F$405,$AP670)&lt;$AQ670),"対象月に子が2歳到達済／","")&amp;IF(AND($H670&lt;&gt;"",INDEX(職員マスタ!$B$6:$B$405,$AP670)&lt;&gt;"",SUBSTITUTE(SUBSTITUTE($H670," ","")," ","")&lt;&gt;SUBSTITUTE(SUBSTITUTE(INDEX(職員マスタ!$B$6:$B$405,$AP670)," ","")," ","")),"氏名がマスタと相違／","")&amp;IF(AND($Q670&lt;&gt;"",INDEX(職員マスタ!$E$6:$E$405,$AP670)&lt;&gt;"",$Q670&lt;&gt;INDEX(職員マスタ!$E$6:$E$405,$AP670)),"子の生年月日がマスタと相違／","")&amp;IF(AND($L670&lt;&gt;"",INDEX(職員マスタ!$G$6:$G$405,$AP670)&lt;&gt;"",$L670&lt;&gt;INDEX(職員マスタ!$G$6:$G$405,$AP670)),"時短開始日がマスタと相違／","")&amp;IF(AND($M670&lt;&gt;"",INDEX(職員マスタ!$H$6:$H$405,$AP670)&lt;&gt;"",$M670&lt;&gt;INDEX(職員マスタ!$H$6:$H$405,$AP670)),"時短終了日がマスタと相違／","")))&amp;IF(AND($B670&lt;&gt;"",$E670=""),"報酬額が未入力／","")&amp;IF(N($U670)&gt;0,"申請書に入力エラーが残っています／","")&amp;IF(AND($B670&lt;&gt;"",$AQ670&lt;&gt;""),IF(COUNTIFS($B$6:$B$3005,$B670,$C$6:$C$3005,$C670,$D$6:$D$3005,$D670)&gt;1,"同じ月の請求が重複しています／",""),"")&amp;IF(AND(N($E670)&gt;0,$AB670&lt;&gt;"",$AB670&lt;&gt;"×",$AE670=0,$AD670=""),"計算額が下限以下のため不支給／",""))</f>
        <v/>
      </c>
      <c r="AN670" s="12" t="n"/>
      <c r="AO670" s="14">
        <f>IF($AF670="保留中",COUNTIF($AF$6:$AF670,"保留中"),"")</f>
        <v/>
      </c>
      <c r="AP670" s="14">
        <f>IF($AQ670="","",IF(SUMPRODUCT(MAX((職員マスタ!$A$6:$A$405=$B670)*(((職員マスタ!$G$6:$G$405="")+(職員マスタ!$G$6:$G$405&lt;=EOMONTH($AQ670,0)))&gt;0)*(((職員マスタ!$H$6:$H$405="")+(職員マスタ!$H$6:$H$405&gt;=$AQ670))&gt;0)*(ROW(職員マスタ!$A$6:$A$405)-5)))&gt;0,SUMPRODUCT(MAX((職員マスタ!$A$6:$A$405=$B670)*(((職員マスタ!$G$6:$G$405="")+(職員マスタ!$G$6:$G$405&lt;=EOMONTH($AQ670,0)))&gt;0)*(((職員マスタ!$H$6:$H$405="")+(職員マスタ!$H$6:$H$405&gt;=$AQ670))&gt;0)*(ROW(職員マスタ!$A$6:$A$405)-5))),IFERROR(MATCH($B670,職員マスタ!$A$6:$A$405,0),"")))</f>
        <v/>
      </c>
      <c r="AQ670" s="16">
        <f>IF(OR($B670="",$C670="",$D670=""),"",DATE($C670+2018,$D670,1))</f>
        <v/>
      </c>
    </row>
    <row r="671">
      <c r="A671" s="11" t="n"/>
      <c r="B671" s="12" t="n"/>
      <c r="C671" s="12" t="n"/>
      <c r="D671" s="12" t="n"/>
      <c r="E671" s="13" t="n"/>
      <c r="F671" s="12" t="n"/>
      <c r="G671" s="13" t="n"/>
      <c r="H671" s="12" t="n"/>
      <c r="I671" s="12" t="n"/>
      <c r="J671" s="12" t="n"/>
      <c r="K671" s="12" t="n"/>
      <c r="L671" s="11" t="n"/>
      <c r="M671" s="11" t="n"/>
      <c r="N671" s="11" t="n"/>
      <c r="O671" s="11" t="n"/>
      <c r="P671" s="12" t="n"/>
      <c r="Q671" s="11" t="n"/>
      <c r="R671" s="12" t="n"/>
      <c r="S671" s="11" t="n"/>
      <c r="T671" s="12" t="n"/>
      <c r="U671" s="12" t="n"/>
      <c r="V671" s="12" t="n"/>
      <c r="W671" s="13" t="n"/>
      <c r="X671" s="14">
        <f>IF($AP671="",IF($B671="","",$H671),IF(INDEX(職員マスタ!$B$6:$B$405,$AP671)="",$H671,INDEX(職員マスタ!$B$6:$B$405,$AP671)))</f>
        <v/>
      </c>
      <c r="Y671" s="14">
        <f>IF($AP671="",IF($B671="","",$R671),IF(INDEX(職員マスタ!$C$6:$C$405,$AP671)="",$R671,INDEX(職員マスタ!$C$6:$C$405,$AP671)))</f>
        <v/>
      </c>
      <c r="Z671" s="14">
        <f>IF($AQ671="","","R"&amp;$C671&amp;"."&amp;$D671)</f>
        <v/>
      </c>
      <c r="AA671" s="15">
        <f>IF(IF($AP671="",FALSE,INDEX(職員マスタ!$K$6:$K$405,$AP671)&lt;&gt;""),INDEX(職員マスタ!$K$6:$K$405,$AP671),IF(N($W671)&gt;0,$W671,""))</f>
        <v/>
      </c>
      <c r="AB671" s="14">
        <f>IF(OR($E671="",$AA671=""),"",IF($E671&gt;=$AA671,"×",IF($E671&gt;=$AA671*設定!$C$5,"△","○")))</f>
        <v/>
      </c>
      <c r="AC671" s="15">
        <f>IF($AB671="","",IF($AB671="×",0,IF($AB671="○",ROUNDDOWN($E671*設定!$C$4,0),ROUNDDOWN($E671*ROUND((9*$AA671-9*$E671)/(10*$E671),4),0))))</f>
        <v/>
      </c>
      <c r="AD671" s="13" t="n"/>
      <c r="AE671" s="15">
        <f>IF($B671="","",IF($AD671&lt;&gt;"",$AD671,IF($AC671="","",IF($AC671&lt;=設定!$C$3,0,$AC671))))</f>
        <v/>
      </c>
      <c r="AF671" s="14">
        <f>IF($B671="","",IF(AND($AG671&lt;&gt;"",$AI671="",$AL671=""),"保留中",IF($AL671&lt;&gt;"",IF(N($AE671)&gt;0,"支給済","不支給"),IF($AE671="","要確認",IF($AE671=0,"不支給","未処理")))))</f>
        <v/>
      </c>
      <c r="AG671" s="12" t="n"/>
      <c r="AH671" s="11" t="n"/>
      <c r="AI671" s="11" t="n"/>
      <c r="AJ671" s="11" t="n"/>
      <c r="AK671" s="14">
        <f>IF(AND($AF671="保留中",$AH671&lt;&gt;""),TODAY()-$AH671,"")</f>
        <v/>
      </c>
      <c r="AL671" s="12" t="n"/>
      <c r="AM671" s="14">
        <f>IF($B671="","",IF($AQ671="","対象年月が未入力／","")&amp;IF($B671="","",IF($AP671="","職員マスタに未登録の職員番号／",IF($AA671="","標準報酬月額が未登録／","")&amp;IF(AND($AQ671&lt;&gt;"",OR(AND(INDEX(職員マスタ!$G$6:$G$405,$AP671)&lt;&gt;"",INDEX(職員マスタ!$G$6:$G$405,$AP671)&gt;EOMONTH($AQ671,0)),AND(INDEX(職員マスタ!$H$6:$H$405,$AP671)&lt;&gt;"",INDEX(職員マスタ!$H$6:$H$405,$AP671)&lt;$AQ671))),"対象月が時短期間外／","")&amp;IF(AND(INDEX(職員マスタ!$K$6:$K$405,$AP671)&lt;&gt;"",N($W671)&gt;0,INDEX(職員マスタ!$K$6:$K$405,$AP671)&lt;&gt;$W671),"標準報酬月額が申請書と相違（台帳"&amp;TEXT(INDEX(職員マスタ!$K$6:$K$405,$AP671),"#,##0")&amp;"円／申請書"&amp;TEXT($W671,"#,##0")&amp;"円）／","")&amp;IF(AND(INDEX(職員マスタ!$F$6:$F$405,$AP671)&lt;&gt;"",$AQ671&lt;&gt;"",INDEX(職員マスタ!$F$6:$F$405,$AP671)&lt;$AQ671),"対象月に子が2歳到達済／","")&amp;IF(AND($H671&lt;&gt;"",INDEX(職員マスタ!$B$6:$B$405,$AP671)&lt;&gt;"",SUBSTITUTE(SUBSTITUTE($H671," ","")," ","")&lt;&gt;SUBSTITUTE(SUBSTITUTE(INDEX(職員マスタ!$B$6:$B$405,$AP671)," ","")," ","")),"氏名がマスタと相違／","")&amp;IF(AND($Q671&lt;&gt;"",INDEX(職員マスタ!$E$6:$E$405,$AP671)&lt;&gt;"",$Q671&lt;&gt;INDEX(職員マスタ!$E$6:$E$405,$AP671)),"子の生年月日がマスタと相違／","")&amp;IF(AND($L671&lt;&gt;"",INDEX(職員マスタ!$G$6:$G$405,$AP671)&lt;&gt;"",$L671&lt;&gt;INDEX(職員マスタ!$G$6:$G$405,$AP671)),"時短開始日がマスタと相違／","")&amp;IF(AND($M671&lt;&gt;"",INDEX(職員マスタ!$H$6:$H$405,$AP671)&lt;&gt;"",$M671&lt;&gt;INDEX(職員マスタ!$H$6:$H$405,$AP671)),"時短終了日がマスタと相違／","")))&amp;IF(AND($B671&lt;&gt;"",$E671=""),"報酬額が未入力／","")&amp;IF(N($U671)&gt;0,"申請書に入力エラーが残っています／","")&amp;IF(AND($B671&lt;&gt;"",$AQ671&lt;&gt;""),IF(COUNTIFS($B$6:$B$3005,$B671,$C$6:$C$3005,$C671,$D$6:$D$3005,$D671)&gt;1,"同じ月の請求が重複しています／",""),"")&amp;IF(AND(N($E671)&gt;0,$AB671&lt;&gt;"",$AB671&lt;&gt;"×",$AE671=0,$AD671=""),"計算額が下限以下のため不支給／",""))</f>
        <v/>
      </c>
      <c r="AN671" s="12" t="n"/>
      <c r="AO671" s="14">
        <f>IF($AF671="保留中",COUNTIF($AF$6:$AF671,"保留中"),"")</f>
        <v/>
      </c>
      <c r="AP671" s="14">
        <f>IF($AQ671="","",IF(SUMPRODUCT(MAX((職員マスタ!$A$6:$A$405=$B671)*(((職員マスタ!$G$6:$G$405="")+(職員マスタ!$G$6:$G$405&lt;=EOMONTH($AQ671,0)))&gt;0)*(((職員マスタ!$H$6:$H$405="")+(職員マスタ!$H$6:$H$405&gt;=$AQ671))&gt;0)*(ROW(職員マスタ!$A$6:$A$405)-5)))&gt;0,SUMPRODUCT(MAX((職員マスタ!$A$6:$A$405=$B671)*(((職員マスタ!$G$6:$G$405="")+(職員マスタ!$G$6:$G$405&lt;=EOMONTH($AQ671,0)))&gt;0)*(((職員マスタ!$H$6:$H$405="")+(職員マスタ!$H$6:$H$405&gt;=$AQ671))&gt;0)*(ROW(職員マスタ!$A$6:$A$405)-5))),IFERROR(MATCH($B671,職員マスタ!$A$6:$A$405,0),"")))</f>
        <v/>
      </c>
      <c r="AQ671" s="16">
        <f>IF(OR($B671="",$C671="",$D671=""),"",DATE($C671+2018,$D671,1))</f>
        <v/>
      </c>
    </row>
    <row r="672">
      <c r="A672" s="11" t="n"/>
      <c r="B672" s="12" t="n"/>
      <c r="C672" s="12" t="n"/>
      <c r="D672" s="12" t="n"/>
      <c r="E672" s="13" t="n"/>
      <c r="F672" s="12" t="n"/>
      <c r="G672" s="13" t="n"/>
      <c r="H672" s="12" t="n"/>
      <c r="I672" s="12" t="n"/>
      <c r="J672" s="12" t="n"/>
      <c r="K672" s="12" t="n"/>
      <c r="L672" s="11" t="n"/>
      <c r="M672" s="11" t="n"/>
      <c r="N672" s="11" t="n"/>
      <c r="O672" s="11" t="n"/>
      <c r="P672" s="12" t="n"/>
      <c r="Q672" s="11" t="n"/>
      <c r="R672" s="12" t="n"/>
      <c r="S672" s="11" t="n"/>
      <c r="T672" s="12" t="n"/>
      <c r="U672" s="12" t="n"/>
      <c r="V672" s="12" t="n"/>
      <c r="W672" s="13" t="n"/>
      <c r="X672" s="14">
        <f>IF($AP672="",IF($B672="","",$H672),IF(INDEX(職員マスタ!$B$6:$B$405,$AP672)="",$H672,INDEX(職員マスタ!$B$6:$B$405,$AP672)))</f>
        <v/>
      </c>
      <c r="Y672" s="14">
        <f>IF($AP672="",IF($B672="","",$R672),IF(INDEX(職員マスタ!$C$6:$C$405,$AP672)="",$R672,INDEX(職員マスタ!$C$6:$C$405,$AP672)))</f>
        <v/>
      </c>
      <c r="Z672" s="14">
        <f>IF($AQ672="","","R"&amp;$C672&amp;"."&amp;$D672)</f>
        <v/>
      </c>
      <c r="AA672" s="15">
        <f>IF(IF($AP672="",FALSE,INDEX(職員マスタ!$K$6:$K$405,$AP672)&lt;&gt;""),INDEX(職員マスタ!$K$6:$K$405,$AP672),IF(N($W672)&gt;0,$W672,""))</f>
        <v/>
      </c>
      <c r="AB672" s="14">
        <f>IF(OR($E672="",$AA672=""),"",IF($E672&gt;=$AA672,"×",IF($E672&gt;=$AA672*設定!$C$5,"△","○")))</f>
        <v/>
      </c>
      <c r="AC672" s="15">
        <f>IF($AB672="","",IF($AB672="×",0,IF($AB672="○",ROUNDDOWN($E672*設定!$C$4,0),ROUNDDOWN($E672*ROUND((9*$AA672-9*$E672)/(10*$E672),4),0))))</f>
        <v/>
      </c>
      <c r="AD672" s="13" t="n"/>
      <c r="AE672" s="15">
        <f>IF($B672="","",IF($AD672&lt;&gt;"",$AD672,IF($AC672="","",IF($AC672&lt;=設定!$C$3,0,$AC672))))</f>
        <v/>
      </c>
      <c r="AF672" s="14">
        <f>IF($B672="","",IF(AND($AG672&lt;&gt;"",$AI672="",$AL672=""),"保留中",IF($AL672&lt;&gt;"",IF(N($AE672)&gt;0,"支給済","不支給"),IF($AE672="","要確認",IF($AE672=0,"不支給","未処理")))))</f>
        <v/>
      </c>
      <c r="AG672" s="12" t="n"/>
      <c r="AH672" s="11" t="n"/>
      <c r="AI672" s="11" t="n"/>
      <c r="AJ672" s="11" t="n"/>
      <c r="AK672" s="14">
        <f>IF(AND($AF672="保留中",$AH672&lt;&gt;""),TODAY()-$AH672,"")</f>
        <v/>
      </c>
      <c r="AL672" s="12" t="n"/>
      <c r="AM672" s="14">
        <f>IF($B672="","",IF($AQ672="","対象年月が未入力／","")&amp;IF($B672="","",IF($AP672="","職員マスタに未登録の職員番号／",IF($AA672="","標準報酬月額が未登録／","")&amp;IF(AND($AQ672&lt;&gt;"",OR(AND(INDEX(職員マスタ!$G$6:$G$405,$AP672)&lt;&gt;"",INDEX(職員マスタ!$G$6:$G$405,$AP672)&gt;EOMONTH($AQ672,0)),AND(INDEX(職員マスタ!$H$6:$H$405,$AP672)&lt;&gt;"",INDEX(職員マスタ!$H$6:$H$405,$AP672)&lt;$AQ672))),"対象月が時短期間外／","")&amp;IF(AND(INDEX(職員マスタ!$K$6:$K$405,$AP672)&lt;&gt;"",N($W672)&gt;0,INDEX(職員マスタ!$K$6:$K$405,$AP672)&lt;&gt;$W672),"標準報酬月額が申請書と相違（台帳"&amp;TEXT(INDEX(職員マスタ!$K$6:$K$405,$AP672),"#,##0")&amp;"円／申請書"&amp;TEXT($W672,"#,##0")&amp;"円）／","")&amp;IF(AND(INDEX(職員マスタ!$F$6:$F$405,$AP672)&lt;&gt;"",$AQ672&lt;&gt;"",INDEX(職員マスタ!$F$6:$F$405,$AP672)&lt;$AQ672),"対象月に子が2歳到達済／","")&amp;IF(AND($H672&lt;&gt;"",INDEX(職員マスタ!$B$6:$B$405,$AP672)&lt;&gt;"",SUBSTITUTE(SUBSTITUTE($H672," ","")," ","")&lt;&gt;SUBSTITUTE(SUBSTITUTE(INDEX(職員マスタ!$B$6:$B$405,$AP672)," ","")," ","")),"氏名がマスタと相違／","")&amp;IF(AND($Q672&lt;&gt;"",INDEX(職員マスタ!$E$6:$E$405,$AP672)&lt;&gt;"",$Q672&lt;&gt;INDEX(職員マスタ!$E$6:$E$405,$AP672)),"子の生年月日がマスタと相違／","")&amp;IF(AND($L672&lt;&gt;"",INDEX(職員マスタ!$G$6:$G$405,$AP672)&lt;&gt;"",$L672&lt;&gt;INDEX(職員マスタ!$G$6:$G$405,$AP672)),"時短開始日がマスタと相違／","")&amp;IF(AND($M672&lt;&gt;"",INDEX(職員マスタ!$H$6:$H$405,$AP672)&lt;&gt;"",$M672&lt;&gt;INDEX(職員マスタ!$H$6:$H$405,$AP672)),"時短終了日がマスタと相違／","")))&amp;IF(AND($B672&lt;&gt;"",$E672=""),"報酬額が未入力／","")&amp;IF(N($U672)&gt;0,"申請書に入力エラーが残っています／","")&amp;IF(AND($B672&lt;&gt;"",$AQ672&lt;&gt;""),IF(COUNTIFS($B$6:$B$3005,$B672,$C$6:$C$3005,$C672,$D$6:$D$3005,$D672)&gt;1,"同じ月の請求が重複しています／",""),"")&amp;IF(AND(N($E672)&gt;0,$AB672&lt;&gt;"",$AB672&lt;&gt;"×",$AE672=0,$AD672=""),"計算額が下限以下のため不支給／",""))</f>
        <v/>
      </c>
      <c r="AN672" s="12" t="n"/>
      <c r="AO672" s="14">
        <f>IF($AF672="保留中",COUNTIF($AF$6:$AF672,"保留中"),"")</f>
        <v/>
      </c>
      <c r="AP672" s="14">
        <f>IF($AQ672="","",IF(SUMPRODUCT(MAX((職員マスタ!$A$6:$A$405=$B672)*(((職員マスタ!$G$6:$G$405="")+(職員マスタ!$G$6:$G$405&lt;=EOMONTH($AQ672,0)))&gt;0)*(((職員マスタ!$H$6:$H$405="")+(職員マスタ!$H$6:$H$405&gt;=$AQ672))&gt;0)*(ROW(職員マスタ!$A$6:$A$405)-5)))&gt;0,SUMPRODUCT(MAX((職員マスタ!$A$6:$A$405=$B672)*(((職員マスタ!$G$6:$G$405="")+(職員マスタ!$G$6:$G$405&lt;=EOMONTH($AQ672,0)))&gt;0)*(((職員マスタ!$H$6:$H$405="")+(職員マスタ!$H$6:$H$405&gt;=$AQ672))&gt;0)*(ROW(職員マスタ!$A$6:$A$405)-5))),IFERROR(MATCH($B672,職員マスタ!$A$6:$A$405,0),"")))</f>
        <v/>
      </c>
      <c r="AQ672" s="16">
        <f>IF(OR($B672="",$C672="",$D672=""),"",DATE($C672+2018,$D672,1))</f>
        <v/>
      </c>
    </row>
    <row r="673">
      <c r="A673" s="11" t="n"/>
      <c r="B673" s="12" t="n"/>
      <c r="C673" s="12" t="n"/>
      <c r="D673" s="12" t="n"/>
      <c r="E673" s="13" t="n"/>
      <c r="F673" s="12" t="n"/>
      <c r="G673" s="13" t="n"/>
      <c r="H673" s="12" t="n"/>
      <c r="I673" s="12" t="n"/>
      <c r="J673" s="12" t="n"/>
      <c r="K673" s="12" t="n"/>
      <c r="L673" s="11" t="n"/>
      <c r="M673" s="11" t="n"/>
      <c r="N673" s="11" t="n"/>
      <c r="O673" s="11" t="n"/>
      <c r="P673" s="12" t="n"/>
      <c r="Q673" s="11" t="n"/>
      <c r="R673" s="12" t="n"/>
      <c r="S673" s="11" t="n"/>
      <c r="T673" s="12" t="n"/>
      <c r="U673" s="12" t="n"/>
      <c r="V673" s="12" t="n"/>
      <c r="W673" s="13" t="n"/>
      <c r="X673" s="14">
        <f>IF($AP673="",IF($B673="","",$H673),IF(INDEX(職員マスタ!$B$6:$B$405,$AP673)="",$H673,INDEX(職員マスタ!$B$6:$B$405,$AP673)))</f>
        <v/>
      </c>
      <c r="Y673" s="14">
        <f>IF($AP673="",IF($B673="","",$R673),IF(INDEX(職員マスタ!$C$6:$C$405,$AP673)="",$R673,INDEX(職員マスタ!$C$6:$C$405,$AP673)))</f>
        <v/>
      </c>
      <c r="Z673" s="14">
        <f>IF($AQ673="","","R"&amp;$C673&amp;"."&amp;$D673)</f>
        <v/>
      </c>
      <c r="AA673" s="15">
        <f>IF(IF($AP673="",FALSE,INDEX(職員マスタ!$K$6:$K$405,$AP673)&lt;&gt;""),INDEX(職員マスタ!$K$6:$K$405,$AP673),IF(N($W673)&gt;0,$W673,""))</f>
        <v/>
      </c>
      <c r="AB673" s="14">
        <f>IF(OR($E673="",$AA673=""),"",IF($E673&gt;=$AA673,"×",IF($E673&gt;=$AA673*設定!$C$5,"△","○")))</f>
        <v/>
      </c>
      <c r="AC673" s="15">
        <f>IF($AB673="","",IF($AB673="×",0,IF($AB673="○",ROUNDDOWN($E673*設定!$C$4,0),ROUNDDOWN($E673*ROUND((9*$AA673-9*$E673)/(10*$E673),4),0))))</f>
        <v/>
      </c>
      <c r="AD673" s="13" t="n"/>
      <c r="AE673" s="15">
        <f>IF($B673="","",IF($AD673&lt;&gt;"",$AD673,IF($AC673="","",IF($AC673&lt;=設定!$C$3,0,$AC673))))</f>
        <v/>
      </c>
      <c r="AF673" s="14">
        <f>IF($B673="","",IF(AND($AG673&lt;&gt;"",$AI673="",$AL673=""),"保留中",IF($AL673&lt;&gt;"",IF(N($AE673)&gt;0,"支給済","不支給"),IF($AE673="","要確認",IF($AE673=0,"不支給","未処理")))))</f>
        <v/>
      </c>
      <c r="AG673" s="12" t="n"/>
      <c r="AH673" s="11" t="n"/>
      <c r="AI673" s="11" t="n"/>
      <c r="AJ673" s="11" t="n"/>
      <c r="AK673" s="14">
        <f>IF(AND($AF673="保留中",$AH673&lt;&gt;""),TODAY()-$AH673,"")</f>
        <v/>
      </c>
      <c r="AL673" s="12" t="n"/>
      <c r="AM673" s="14">
        <f>IF($B673="","",IF($AQ673="","対象年月が未入力／","")&amp;IF($B673="","",IF($AP673="","職員マスタに未登録の職員番号／",IF($AA673="","標準報酬月額が未登録／","")&amp;IF(AND($AQ673&lt;&gt;"",OR(AND(INDEX(職員マスタ!$G$6:$G$405,$AP673)&lt;&gt;"",INDEX(職員マスタ!$G$6:$G$405,$AP673)&gt;EOMONTH($AQ673,0)),AND(INDEX(職員マスタ!$H$6:$H$405,$AP673)&lt;&gt;"",INDEX(職員マスタ!$H$6:$H$405,$AP673)&lt;$AQ673))),"対象月が時短期間外／","")&amp;IF(AND(INDEX(職員マスタ!$K$6:$K$405,$AP673)&lt;&gt;"",N($W673)&gt;0,INDEX(職員マスタ!$K$6:$K$405,$AP673)&lt;&gt;$W673),"標準報酬月額が申請書と相違（台帳"&amp;TEXT(INDEX(職員マスタ!$K$6:$K$405,$AP673),"#,##0")&amp;"円／申請書"&amp;TEXT($W673,"#,##0")&amp;"円）／","")&amp;IF(AND(INDEX(職員マスタ!$F$6:$F$405,$AP673)&lt;&gt;"",$AQ673&lt;&gt;"",INDEX(職員マスタ!$F$6:$F$405,$AP673)&lt;$AQ673),"対象月に子が2歳到達済／","")&amp;IF(AND($H673&lt;&gt;"",INDEX(職員マスタ!$B$6:$B$405,$AP673)&lt;&gt;"",SUBSTITUTE(SUBSTITUTE($H673," ","")," ","")&lt;&gt;SUBSTITUTE(SUBSTITUTE(INDEX(職員マスタ!$B$6:$B$405,$AP673)," ","")," ","")),"氏名がマスタと相違／","")&amp;IF(AND($Q673&lt;&gt;"",INDEX(職員マスタ!$E$6:$E$405,$AP673)&lt;&gt;"",$Q673&lt;&gt;INDEX(職員マスタ!$E$6:$E$405,$AP673)),"子の生年月日がマスタと相違／","")&amp;IF(AND($L673&lt;&gt;"",INDEX(職員マスタ!$G$6:$G$405,$AP673)&lt;&gt;"",$L673&lt;&gt;INDEX(職員マスタ!$G$6:$G$405,$AP673)),"時短開始日がマスタと相違／","")&amp;IF(AND($M673&lt;&gt;"",INDEX(職員マスタ!$H$6:$H$405,$AP673)&lt;&gt;"",$M673&lt;&gt;INDEX(職員マスタ!$H$6:$H$405,$AP673)),"時短終了日がマスタと相違／","")))&amp;IF(AND($B673&lt;&gt;"",$E673=""),"報酬額が未入力／","")&amp;IF(N($U673)&gt;0,"申請書に入力エラーが残っています／","")&amp;IF(AND($B673&lt;&gt;"",$AQ673&lt;&gt;""),IF(COUNTIFS($B$6:$B$3005,$B673,$C$6:$C$3005,$C673,$D$6:$D$3005,$D673)&gt;1,"同じ月の請求が重複しています／",""),"")&amp;IF(AND(N($E673)&gt;0,$AB673&lt;&gt;"",$AB673&lt;&gt;"×",$AE673=0,$AD673=""),"計算額が下限以下のため不支給／",""))</f>
        <v/>
      </c>
      <c r="AN673" s="12" t="n"/>
      <c r="AO673" s="14">
        <f>IF($AF673="保留中",COUNTIF($AF$6:$AF673,"保留中"),"")</f>
        <v/>
      </c>
      <c r="AP673" s="14">
        <f>IF($AQ673="","",IF(SUMPRODUCT(MAX((職員マスタ!$A$6:$A$405=$B673)*(((職員マスタ!$G$6:$G$405="")+(職員マスタ!$G$6:$G$405&lt;=EOMONTH($AQ673,0)))&gt;0)*(((職員マスタ!$H$6:$H$405="")+(職員マスタ!$H$6:$H$405&gt;=$AQ673))&gt;0)*(ROW(職員マスタ!$A$6:$A$405)-5)))&gt;0,SUMPRODUCT(MAX((職員マスタ!$A$6:$A$405=$B673)*(((職員マスタ!$G$6:$G$405="")+(職員マスタ!$G$6:$G$405&lt;=EOMONTH($AQ673,0)))&gt;0)*(((職員マスタ!$H$6:$H$405="")+(職員マスタ!$H$6:$H$405&gt;=$AQ673))&gt;0)*(ROW(職員マスタ!$A$6:$A$405)-5))),IFERROR(MATCH($B673,職員マスタ!$A$6:$A$405,0),"")))</f>
        <v/>
      </c>
      <c r="AQ673" s="16">
        <f>IF(OR($B673="",$C673="",$D673=""),"",DATE($C673+2018,$D673,1))</f>
        <v/>
      </c>
    </row>
    <row r="674">
      <c r="A674" s="11" t="n"/>
      <c r="B674" s="12" t="n"/>
      <c r="C674" s="12" t="n"/>
      <c r="D674" s="12" t="n"/>
      <c r="E674" s="13" t="n"/>
      <c r="F674" s="12" t="n"/>
      <c r="G674" s="13" t="n"/>
      <c r="H674" s="12" t="n"/>
      <c r="I674" s="12" t="n"/>
      <c r="J674" s="12" t="n"/>
      <c r="K674" s="12" t="n"/>
      <c r="L674" s="11" t="n"/>
      <c r="M674" s="11" t="n"/>
      <c r="N674" s="11" t="n"/>
      <c r="O674" s="11" t="n"/>
      <c r="P674" s="12" t="n"/>
      <c r="Q674" s="11" t="n"/>
      <c r="R674" s="12" t="n"/>
      <c r="S674" s="11" t="n"/>
      <c r="T674" s="12" t="n"/>
      <c r="U674" s="12" t="n"/>
      <c r="V674" s="12" t="n"/>
      <c r="W674" s="13" t="n"/>
      <c r="X674" s="14">
        <f>IF($AP674="",IF($B674="","",$H674),IF(INDEX(職員マスタ!$B$6:$B$405,$AP674)="",$H674,INDEX(職員マスタ!$B$6:$B$405,$AP674)))</f>
        <v/>
      </c>
      <c r="Y674" s="14">
        <f>IF($AP674="",IF($B674="","",$R674),IF(INDEX(職員マスタ!$C$6:$C$405,$AP674)="",$R674,INDEX(職員マスタ!$C$6:$C$405,$AP674)))</f>
        <v/>
      </c>
      <c r="Z674" s="14">
        <f>IF($AQ674="","","R"&amp;$C674&amp;"."&amp;$D674)</f>
        <v/>
      </c>
      <c r="AA674" s="15">
        <f>IF(IF($AP674="",FALSE,INDEX(職員マスタ!$K$6:$K$405,$AP674)&lt;&gt;""),INDEX(職員マスタ!$K$6:$K$405,$AP674),IF(N($W674)&gt;0,$W674,""))</f>
        <v/>
      </c>
      <c r="AB674" s="14">
        <f>IF(OR($E674="",$AA674=""),"",IF($E674&gt;=$AA674,"×",IF($E674&gt;=$AA674*設定!$C$5,"△","○")))</f>
        <v/>
      </c>
      <c r="AC674" s="15">
        <f>IF($AB674="","",IF($AB674="×",0,IF($AB674="○",ROUNDDOWN($E674*設定!$C$4,0),ROUNDDOWN($E674*ROUND((9*$AA674-9*$E674)/(10*$E674),4),0))))</f>
        <v/>
      </c>
      <c r="AD674" s="13" t="n"/>
      <c r="AE674" s="15">
        <f>IF($B674="","",IF($AD674&lt;&gt;"",$AD674,IF($AC674="","",IF($AC674&lt;=設定!$C$3,0,$AC674))))</f>
        <v/>
      </c>
      <c r="AF674" s="14">
        <f>IF($B674="","",IF(AND($AG674&lt;&gt;"",$AI674="",$AL674=""),"保留中",IF($AL674&lt;&gt;"",IF(N($AE674)&gt;0,"支給済","不支給"),IF($AE674="","要確認",IF($AE674=0,"不支給","未処理")))))</f>
        <v/>
      </c>
      <c r="AG674" s="12" t="n"/>
      <c r="AH674" s="11" t="n"/>
      <c r="AI674" s="11" t="n"/>
      <c r="AJ674" s="11" t="n"/>
      <c r="AK674" s="14">
        <f>IF(AND($AF674="保留中",$AH674&lt;&gt;""),TODAY()-$AH674,"")</f>
        <v/>
      </c>
      <c r="AL674" s="12" t="n"/>
      <c r="AM674" s="14">
        <f>IF($B674="","",IF($AQ674="","対象年月が未入力／","")&amp;IF($B674="","",IF($AP674="","職員マスタに未登録の職員番号／",IF($AA674="","標準報酬月額が未登録／","")&amp;IF(AND($AQ674&lt;&gt;"",OR(AND(INDEX(職員マスタ!$G$6:$G$405,$AP674)&lt;&gt;"",INDEX(職員マスタ!$G$6:$G$405,$AP674)&gt;EOMONTH($AQ674,0)),AND(INDEX(職員マスタ!$H$6:$H$405,$AP674)&lt;&gt;"",INDEX(職員マスタ!$H$6:$H$405,$AP674)&lt;$AQ674))),"対象月が時短期間外／","")&amp;IF(AND(INDEX(職員マスタ!$K$6:$K$405,$AP674)&lt;&gt;"",N($W674)&gt;0,INDEX(職員マスタ!$K$6:$K$405,$AP674)&lt;&gt;$W674),"標準報酬月額が申請書と相違（台帳"&amp;TEXT(INDEX(職員マスタ!$K$6:$K$405,$AP674),"#,##0")&amp;"円／申請書"&amp;TEXT($W674,"#,##0")&amp;"円）／","")&amp;IF(AND(INDEX(職員マスタ!$F$6:$F$405,$AP674)&lt;&gt;"",$AQ674&lt;&gt;"",INDEX(職員マスタ!$F$6:$F$405,$AP674)&lt;$AQ674),"対象月に子が2歳到達済／","")&amp;IF(AND($H674&lt;&gt;"",INDEX(職員マスタ!$B$6:$B$405,$AP674)&lt;&gt;"",SUBSTITUTE(SUBSTITUTE($H674," ","")," ","")&lt;&gt;SUBSTITUTE(SUBSTITUTE(INDEX(職員マスタ!$B$6:$B$405,$AP674)," ","")," ","")),"氏名がマスタと相違／","")&amp;IF(AND($Q674&lt;&gt;"",INDEX(職員マスタ!$E$6:$E$405,$AP674)&lt;&gt;"",$Q674&lt;&gt;INDEX(職員マスタ!$E$6:$E$405,$AP674)),"子の生年月日がマスタと相違／","")&amp;IF(AND($L674&lt;&gt;"",INDEX(職員マスタ!$G$6:$G$405,$AP674)&lt;&gt;"",$L674&lt;&gt;INDEX(職員マスタ!$G$6:$G$405,$AP674)),"時短開始日がマスタと相違／","")&amp;IF(AND($M674&lt;&gt;"",INDEX(職員マスタ!$H$6:$H$405,$AP674)&lt;&gt;"",$M674&lt;&gt;INDEX(職員マスタ!$H$6:$H$405,$AP674)),"時短終了日がマスタと相違／","")))&amp;IF(AND($B674&lt;&gt;"",$E674=""),"報酬額が未入力／","")&amp;IF(N($U674)&gt;0,"申請書に入力エラーが残っています／","")&amp;IF(AND($B674&lt;&gt;"",$AQ674&lt;&gt;""),IF(COUNTIFS($B$6:$B$3005,$B674,$C$6:$C$3005,$C674,$D$6:$D$3005,$D674)&gt;1,"同じ月の請求が重複しています／",""),"")&amp;IF(AND(N($E674)&gt;0,$AB674&lt;&gt;"",$AB674&lt;&gt;"×",$AE674=0,$AD674=""),"計算額が下限以下のため不支給／",""))</f>
        <v/>
      </c>
      <c r="AN674" s="12" t="n"/>
      <c r="AO674" s="14">
        <f>IF($AF674="保留中",COUNTIF($AF$6:$AF674,"保留中"),"")</f>
        <v/>
      </c>
      <c r="AP674" s="14">
        <f>IF($AQ674="","",IF(SUMPRODUCT(MAX((職員マスタ!$A$6:$A$405=$B674)*(((職員マスタ!$G$6:$G$405="")+(職員マスタ!$G$6:$G$405&lt;=EOMONTH($AQ674,0)))&gt;0)*(((職員マスタ!$H$6:$H$405="")+(職員マスタ!$H$6:$H$405&gt;=$AQ674))&gt;0)*(ROW(職員マスタ!$A$6:$A$405)-5)))&gt;0,SUMPRODUCT(MAX((職員マスタ!$A$6:$A$405=$B674)*(((職員マスタ!$G$6:$G$405="")+(職員マスタ!$G$6:$G$405&lt;=EOMONTH($AQ674,0)))&gt;0)*(((職員マスタ!$H$6:$H$405="")+(職員マスタ!$H$6:$H$405&gt;=$AQ674))&gt;0)*(ROW(職員マスタ!$A$6:$A$405)-5))),IFERROR(MATCH($B674,職員マスタ!$A$6:$A$405,0),"")))</f>
        <v/>
      </c>
      <c r="AQ674" s="16">
        <f>IF(OR($B674="",$C674="",$D674=""),"",DATE($C674+2018,$D674,1))</f>
        <v/>
      </c>
    </row>
    <row r="675">
      <c r="A675" s="11" t="n"/>
      <c r="B675" s="12" t="n"/>
      <c r="C675" s="12" t="n"/>
      <c r="D675" s="12" t="n"/>
      <c r="E675" s="13" t="n"/>
      <c r="F675" s="12" t="n"/>
      <c r="G675" s="13" t="n"/>
      <c r="H675" s="12" t="n"/>
      <c r="I675" s="12" t="n"/>
      <c r="J675" s="12" t="n"/>
      <c r="K675" s="12" t="n"/>
      <c r="L675" s="11" t="n"/>
      <c r="M675" s="11" t="n"/>
      <c r="N675" s="11" t="n"/>
      <c r="O675" s="11" t="n"/>
      <c r="P675" s="12" t="n"/>
      <c r="Q675" s="11" t="n"/>
      <c r="R675" s="12" t="n"/>
      <c r="S675" s="11" t="n"/>
      <c r="T675" s="12" t="n"/>
      <c r="U675" s="12" t="n"/>
      <c r="V675" s="12" t="n"/>
      <c r="W675" s="13" t="n"/>
      <c r="X675" s="14">
        <f>IF($AP675="",IF($B675="","",$H675),IF(INDEX(職員マスタ!$B$6:$B$405,$AP675)="",$H675,INDEX(職員マスタ!$B$6:$B$405,$AP675)))</f>
        <v/>
      </c>
      <c r="Y675" s="14">
        <f>IF($AP675="",IF($B675="","",$R675),IF(INDEX(職員マスタ!$C$6:$C$405,$AP675)="",$R675,INDEX(職員マスタ!$C$6:$C$405,$AP675)))</f>
        <v/>
      </c>
      <c r="Z675" s="14">
        <f>IF($AQ675="","","R"&amp;$C675&amp;"."&amp;$D675)</f>
        <v/>
      </c>
      <c r="AA675" s="15">
        <f>IF(IF($AP675="",FALSE,INDEX(職員マスタ!$K$6:$K$405,$AP675)&lt;&gt;""),INDEX(職員マスタ!$K$6:$K$405,$AP675),IF(N($W675)&gt;0,$W675,""))</f>
        <v/>
      </c>
      <c r="AB675" s="14">
        <f>IF(OR($E675="",$AA675=""),"",IF($E675&gt;=$AA675,"×",IF($E675&gt;=$AA675*設定!$C$5,"△","○")))</f>
        <v/>
      </c>
      <c r="AC675" s="15">
        <f>IF($AB675="","",IF($AB675="×",0,IF($AB675="○",ROUNDDOWN($E675*設定!$C$4,0),ROUNDDOWN($E675*ROUND((9*$AA675-9*$E675)/(10*$E675),4),0))))</f>
        <v/>
      </c>
      <c r="AD675" s="13" t="n"/>
      <c r="AE675" s="15">
        <f>IF($B675="","",IF($AD675&lt;&gt;"",$AD675,IF($AC675="","",IF($AC675&lt;=設定!$C$3,0,$AC675))))</f>
        <v/>
      </c>
      <c r="AF675" s="14">
        <f>IF($B675="","",IF(AND($AG675&lt;&gt;"",$AI675="",$AL675=""),"保留中",IF($AL675&lt;&gt;"",IF(N($AE675)&gt;0,"支給済","不支給"),IF($AE675="","要確認",IF($AE675=0,"不支給","未処理")))))</f>
        <v/>
      </c>
      <c r="AG675" s="12" t="n"/>
      <c r="AH675" s="11" t="n"/>
      <c r="AI675" s="11" t="n"/>
      <c r="AJ675" s="11" t="n"/>
      <c r="AK675" s="14">
        <f>IF(AND($AF675="保留中",$AH675&lt;&gt;""),TODAY()-$AH675,"")</f>
        <v/>
      </c>
      <c r="AL675" s="12" t="n"/>
      <c r="AM675" s="14">
        <f>IF($B675="","",IF($AQ675="","対象年月が未入力／","")&amp;IF($B675="","",IF($AP675="","職員マスタに未登録の職員番号／",IF($AA675="","標準報酬月額が未登録／","")&amp;IF(AND($AQ675&lt;&gt;"",OR(AND(INDEX(職員マスタ!$G$6:$G$405,$AP675)&lt;&gt;"",INDEX(職員マスタ!$G$6:$G$405,$AP675)&gt;EOMONTH($AQ675,0)),AND(INDEX(職員マスタ!$H$6:$H$405,$AP675)&lt;&gt;"",INDEX(職員マスタ!$H$6:$H$405,$AP675)&lt;$AQ675))),"対象月が時短期間外／","")&amp;IF(AND(INDEX(職員マスタ!$K$6:$K$405,$AP675)&lt;&gt;"",N($W675)&gt;0,INDEX(職員マスタ!$K$6:$K$405,$AP675)&lt;&gt;$W675),"標準報酬月額が申請書と相違（台帳"&amp;TEXT(INDEX(職員マスタ!$K$6:$K$405,$AP675),"#,##0")&amp;"円／申請書"&amp;TEXT($W675,"#,##0")&amp;"円）／","")&amp;IF(AND(INDEX(職員マスタ!$F$6:$F$405,$AP675)&lt;&gt;"",$AQ675&lt;&gt;"",INDEX(職員マスタ!$F$6:$F$405,$AP675)&lt;$AQ675),"対象月に子が2歳到達済／","")&amp;IF(AND($H675&lt;&gt;"",INDEX(職員マスタ!$B$6:$B$405,$AP675)&lt;&gt;"",SUBSTITUTE(SUBSTITUTE($H675," ","")," ","")&lt;&gt;SUBSTITUTE(SUBSTITUTE(INDEX(職員マスタ!$B$6:$B$405,$AP675)," ","")," ","")),"氏名がマスタと相違／","")&amp;IF(AND($Q675&lt;&gt;"",INDEX(職員マスタ!$E$6:$E$405,$AP675)&lt;&gt;"",$Q675&lt;&gt;INDEX(職員マスタ!$E$6:$E$405,$AP675)),"子の生年月日がマスタと相違／","")&amp;IF(AND($L675&lt;&gt;"",INDEX(職員マスタ!$G$6:$G$405,$AP675)&lt;&gt;"",$L675&lt;&gt;INDEX(職員マスタ!$G$6:$G$405,$AP675)),"時短開始日がマスタと相違／","")&amp;IF(AND($M675&lt;&gt;"",INDEX(職員マスタ!$H$6:$H$405,$AP675)&lt;&gt;"",$M675&lt;&gt;INDEX(職員マスタ!$H$6:$H$405,$AP675)),"時短終了日がマスタと相違／","")))&amp;IF(AND($B675&lt;&gt;"",$E675=""),"報酬額が未入力／","")&amp;IF(N($U675)&gt;0,"申請書に入力エラーが残っています／","")&amp;IF(AND($B675&lt;&gt;"",$AQ675&lt;&gt;""),IF(COUNTIFS($B$6:$B$3005,$B675,$C$6:$C$3005,$C675,$D$6:$D$3005,$D675)&gt;1,"同じ月の請求が重複しています／",""),"")&amp;IF(AND(N($E675)&gt;0,$AB675&lt;&gt;"",$AB675&lt;&gt;"×",$AE675=0,$AD675=""),"計算額が下限以下のため不支給／",""))</f>
        <v/>
      </c>
      <c r="AN675" s="12" t="n"/>
      <c r="AO675" s="14">
        <f>IF($AF675="保留中",COUNTIF($AF$6:$AF675,"保留中"),"")</f>
        <v/>
      </c>
      <c r="AP675" s="14">
        <f>IF($AQ675="","",IF(SUMPRODUCT(MAX((職員マスタ!$A$6:$A$405=$B675)*(((職員マスタ!$G$6:$G$405="")+(職員マスタ!$G$6:$G$405&lt;=EOMONTH($AQ675,0)))&gt;0)*(((職員マスタ!$H$6:$H$405="")+(職員マスタ!$H$6:$H$405&gt;=$AQ675))&gt;0)*(ROW(職員マスタ!$A$6:$A$405)-5)))&gt;0,SUMPRODUCT(MAX((職員マスタ!$A$6:$A$405=$B675)*(((職員マスタ!$G$6:$G$405="")+(職員マスタ!$G$6:$G$405&lt;=EOMONTH($AQ675,0)))&gt;0)*(((職員マスタ!$H$6:$H$405="")+(職員マスタ!$H$6:$H$405&gt;=$AQ675))&gt;0)*(ROW(職員マスタ!$A$6:$A$405)-5))),IFERROR(MATCH($B675,職員マスタ!$A$6:$A$405,0),"")))</f>
        <v/>
      </c>
      <c r="AQ675" s="16">
        <f>IF(OR($B675="",$C675="",$D675=""),"",DATE($C675+2018,$D675,1))</f>
        <v/>
      </c>
    </row>
    <row r="676">
      <c r="A676" s="11" t="n"/>
      <c r="B676" s="12" t="n"/>
      <c r="C676" s="12" t="n"/>
      <c r="D676" s="12" t="n"/>
      <c r="E676" s="13" t="n"/>
      <c r="F676" s="12" t="n"/>
      <c r="G676" s="13" t="n"/>
      <c r="H676" s="12" t="n"/>
      <c r="I676" s="12" t="n"/>
      <c r="J676" s="12" t="n"/>
      <c r="K676" s="12" t="n"/>
      <c r="L676" s="11" t="n"/>
      <c r="M676" s="11" t="n"/>
      <c r="N676" s="11" t="n"/>
      <c r="O676" s="11" t="n"/>
      <c r="P676" s="12" t="n"/>
      <c r="Q676" s="11" t="n"/>
      <c r="R676" s="12" t="n"/>
      <c r="S676" s="11" t="n"/>
      <c r="T676" s="12" t="n"/>
      <c r="U676" s="12" t="n"/>
      <c r="V676" s="12" t="n"/>
      <c r="W676" s="13" t="n"/>
      <c r="X676" s="14">
        <f>IF($AP676="",IF($B676="","",$H676),IF(INDEX(職員マスタ!$B$6:$B$405,$AP676)="",$H676,INDEX(職員マスタ!$B$6:$B$405,$AP676)))</f>
        <v/>
      </c>
      <c r="Y676" s="14">
        <f>IF($AP676="",IF($B676="","",$R676),IF(INDEX(職員マスタ!$C$6:$C$405,$AP676)="",$R676,INDEX(職員マスタ!$C$6:$C$405,$AP676)))</f>
        <v/>
      </c>
      <c r="Z676" s="14">
        <f>IF($AQ676="","","R"&amp;$C676&amp;"."&amp;$D676)</f>
        <v/>
      </c>
      <c r="AA676" s="15">
        <f>IF(IF($AP676="",FALSE,INDEX(職員マスタ!$K$6:$K$405,$AP676)&lt;&gt;""),INDEX(職員マスタ!$K$6:$K$405,$AP676),IF(N($W676)&gt;0,$W676,""))</f>
        <v/>
      </c>
      <c r="AB676" s="14">
        <f>IF(OR($E676="",$AA676=""),"",IF($E676&gt;=$AA676,"×",IF($E676&gt;=$AA676*設定!$C$5,"△","○")))</f>
        <v/>
      </c>
      <c r="AC676" s="15">
        <f>IF($AB676="","",IF($AB676="×",0,IF($AB676="○",ROUNDDOWN($E676*設定!$C$4,0),ROUNDDOWN($E676*ROUND((9*$AA676-9*$E676)/(10*$E676),4),0))))</f>
        <v/>
      </c>
      <c r="AD676" s="13" t="n"/>
      <c r="AE676" s="15">
        <f>IF($B676="","",IF($AD676&lt;&gt;"",$AD676,IF($AC676="","",IF($AC676&lt;=設定!$C$3,0,$AC676))))</f>
        <v/>
      </c>
      <c r="AF676" s="14">
        <f>IF($B676="","",IF(AND($AG676&lt;&gt;"",$AI676="",$AL676=""),"保留中",IF($AL676&lt;&gt;"",IF(N($AE676)&gt;0,"支給済","不支給"),IF($AE676="","要確認",IF($AE676=0,"不支給","未処理")))))</f>
        <v/>
      </c>
      <c r="AG676" s="12" t="n"/>
      <c r="AH676" s="11" t="n"/>
      <c r="AI676" s="11" t="n"/>
      <c r="AJ676" s="11" t="n"/>
      <c r="AK676" s="14">
        <f>IF(AND($AF676="保留中",$AH676&lt;&gt;""),TODAY()-$AH676,"")</f>
        <v/>
      </c>
      <c r="AL676" s="12" t="n"/>
      <c r="AM676" s="14">
        <f>IF($B676="","",IF($AQ676="","対象年月が未入力／","")&amp;IF($B676="","",IF($AP676="","職員マスタに未登録の職員番号／",IF($AA676="","標準報酬月額が未登録／","")&amp;IF(AND($AQ676&lt;&gt;"",OR(AND(INDEX(職員マスタ!$G$6:$G$405,$AP676)&lt;&gt;"",INDEX(職員マスタ!$G$6:$G$405,$AP676)&gt;EOMONTH($AQ676,0)),AND(INDEX(職員マスタ!$H$6:$H$405,$AP676)&lt;&gt;"",INDEX(職員マスタ!$H$6:$H$405,$AP676)&lt;$AQ676))),"対象月が時短期間外／","")&amp;IF(AND(INDEX(職員マスタ!$K$6:$K$405,$AP676)&lt;&gt;"",N($W676)&gt;0,INDEX(職員マスタ!$K$6:$K$405,$AP676)&lt;&gt;$W676),"標準報酬月額が申請書と相違（台帳"&amp;TEXT(INDEX(職員マスタ!$K$6:$K$405,$AP676),"#,##0")&amp;"円／申請書"&amp;TEXT($W676,"#,##0")&amp;"円）／","")&amp;IF(AND(INDEX(職員マスタ!$F$6:$F$405,$AP676)&lt;&gt;"",$AQ676&lt;&gt;"",INDEX(職員マスタ!$F$6:$F$405,$AP676)&lt;$AQ676),"対象月に子が2歳到達済／","")&amp;IF(AND($H676&lt;&gt;"",INDEX(職員マスタ!$B$6:$B$405,$AP676)&lt;&gt;"",SUBSTITUTE(SUBSTITUTE($H676," ","")," ","")&lt;&gt;SUBSTITUTE(SUBSTITUTE(INDEX(職員マスタ!$B$6:$B$405,$AP676)," ","")," ","")),"氏名がマスタと相違／","")&amp;IF(AND($Q676&lt;&gt;"",INDEX(職員マスタ!$E$6:$E$405,$AP676)&lt;&gt;"",$Q676&lt;&gt;INDEX(職員マスタ!$E$6:$E$405,$AP676)),"子の生年月日がマスタと相違／","")&amp;IF(AND($L676&lt;&gt;"",INDEX(職員マスタ!$G$6:$G$405,$AP676)&lt;&gt;"",$L676&lt;&gt;INDEX(職員マスタ!$G$6:$G$405,$AP676)),"時短開始日がマスタと相違／","")&amp;IF(AND($M676&lt;&gt;"",INDEX(職員マスタ!$H$6:$H$405,$AP676)&lt;&gt;"",$M676&lt;&gt;INDEX(職員マスタ!$H$6:$H$405,$AP676)),"時短終了日がマスタと相違／","")))&amp;IF(AND($B676&lt;&gt;"",$E676=""),"報酬額が未入力／","")&amp;IF(N($U676)&gt;0,"申請書に入力エラーが残っています／","")&amp;IF(AND($B676&lt;&gt;"",$AQ676&lt;&gt;""),IF(COUNTIFS($B$6:$B$3005,$B676,$C$6:$C$3005,$C676,$D$6:$D$3005,$D676)&gt;1,"同じ月の請求が重複しています／",""),"")&amp;IF(AND(N($E676)&gt;0,$AB676&lt;&gt;"",$AB676&lt;&gt;"×",$AE676=0,$AD676=""),"計算額が下限以下のため不支給／",""))</f>
        <v/>
      </c>
      <c r="AN676" s="12" t="n"/>
      <c r="AO676" s="14">
        <f>IF($AF676="保留中",COUNTIF($AF$6:$AF676,"保留中"),"")</f>
        <v/>
      </c>
      <c r="AP676" s="14">
        <f>IF($AQ676="","",IF(SUMPRODUCT(MAX((職員マスタ!$A$6:$A$405=$B676)*(((職員マスタ!$G$6:$G$405="")+(職員マスタ!$G$6:$G$405&lt;=EOMONTH($AQ676,0)))&gt;0)*(((職員マスタ!$H$6:$H$405="")+(職員マスタ!$H$6:$H$405&gt;=$AQ676))&gt;0)*(ROW(職員マスタ!$A$6:$A$405)-5)))&gt;0,SUMPRODUCT(MAX((職員マスタ!$A$6:$A$405=$B676)*(((職員マスタ!$G$6:$G$405="")+(職員マスタ!$G$6:$G$405&lt;=EOMONTH($AQ676,0)))&gt;0)*(((職員マスタ!$H$6:$H$405="")+(職員マスタ!$H$6:$H$405&gt;=$AQ676))&gt;0)*(ROW(職員マスタ!$A$6:$A$405)-5))),IFERROR(MATCH($B676,職員マスタ!$A$6:$A$405,0),"")))</f>
        <v/>
      </c>
      <c r="AQ676" s="16">
        <f>IF(OR($B676="",$C676="",$D676=""),"",DATE($C676+2018,$D676,1))</f>
        <v/>
      </c>
    </row>
    <row r="677">
      <c r="A677" s="11" t="n"/>
      <c r="B677" s="12" t="n"/>
      <c r="C677" s="12" t="n"/>
      <c r="D677" s="12" t="n"/>
      <c r="E677" s="13" t="n"/>
      <c r="F677" s="12" t="n"/>
      <c r="G677" s="13" t="n"/>
      <c r="H677" s="12" t="n"/>
      <c r="I677" s="12" t="n"/>
      <c r="J677" s="12" t="n"/>
      <c r="K677" s="12" t="n"/>
      <c r="L677" s="11" t="n"/>
      <c r="M677" s="11" t="n"/>
      <c r="N677" s="11" t="n"/>
      <c r="O677" s="11" t="n"/>
      <c r="P677" s="12" t="n"/>
      <c r="Q677" s="11" t="n"/>
      <c r="R677" s="12" t="n"/>
      <c r="S677" s="11" t="n"/>
      <c r="T677" s="12" t="n"/>
      <c r="U677" s="12" t="n"/>
      <c r="V677" s="12" t="n"/>
      <c r="W677" s="13" t="n"/>
      <c r="X677" s="14">
        <f>IF($AP677="",IF($B677="","",$H677),IF(INDEX(職員マスタ!$B$6:$B$405,$AP677)="",$H677,INDEX(職員マスタ!$B$6:$B$405,$AP677)))</f>
        <v/>
      </c>
      <c r="Y677" s="14">
        <f>IF($AP677="",IF($B677="","",$R677),IF(INDEX(職員マスタ!$C$6:$C$405,$AP677)="",$R677,INDEX(職員マスタ!$C$6:$C$405,$AP677)))</f>
        <v/>
      </c>
      <c r="Z677" s="14">
        <f>IF($AQ677="","","R"&amp;$C677&amp;"."&amp;$D677)</f>
        <v/>
      </c>
      <c r="AA677" s="15">
        <f>IF(IF($AP677="",FALSE,INDEX(職員マスタ!$K$6:$K$405,$AP677)&lt;&gt;""),INDEX(職員マスタ!$K$6:$K$405,$AP677),IF(N($W677)&gt;0,$W677,""))</f>
        <v/>
      </c>
      <c r="AB677" s="14">
        <f>IF(OR($E677="",$AA677=""),"",IF($E677&gt;=$AA677,"×",IF($E677&gt;=$AA677*設定!$C$5,"△","○")))</f>
        <v/>
      </c>
      <c r="AC677" s="15">
        <f>IF($AB677="","",IF($AB677="×",0,IF($AB677="○",ROUNDDOWN($E677*設定!$C$4,0),ROUNDDOWN($E677*ROUND((9*$AA677-9*$E677)/(10*$E677),4),0))))</f>
        <v/>
      </c>
      <c r="AD677" s="13" t="n"/>
      <c r="AE677" s="15">
        <f>IF($B677="","",IF($AD677&lt;&gt;"",$AD677,IF($AC677="","",IF($AC677&lt;=設定!$C$3,0,$AC677))))</f>
        <v/>
      </c>
      <c r="AF677" s="14">
        <f>IF($B677="","",IF(AND($AG677&lt;&gt;"",$AI677="",$AL677=""),"保留中",IF($AL677&lt;&gt;"",IF(N($AE677)&gt;0,"支給済","不支給"),IF($AE677="","要確認",IF($AE677=0,"不支給","未処理")))))</f>
        <v/>
      </c>
      <c r="AG677" s="12" t="n"/>
      <c r="AH677" s="11" t="n"/>
      <c r="AI677" s="11" t="n"/>
      <c r="AJ677" s="11" t="n"/>
      <c r="AK677" s="14">
        <f>IF(AND($AF677="保留中",$AH677&lt;&gt;""),TODAY()-$AH677,"")</f>
        <v/>
      </c>
      <c r="AL677" s="12" t="n"/>
      <c r="AM677" s="14">
        <f>IF($B677="","",IF($AQ677="","対象年月が未入力／","")&amp;IF($B677="","",IF($AP677="","職員マスタに未登録の職員番号／",IF($AA677="","標準報酬月額が未登録／","")&amp;IF(AND($AQ677&lt;&gt;"",OR(AND(INDEX(職員マスタ!$G$6:$G$405,$AP677)&lt;&gt;"",INDEX(職員マスタ!$G$6:$G$405,$AP677)&gt;EOMONTH($AQ677,0)),AND(INDEX(職員マスタ!$H$6:$H$405,$AP677)&lt;&gt;"",INDEX(職員マスタ!$H$6:$H$405,$AP677)&lt;$AQ677))),"対象月が時短期間外／","")&amp;IF(AND(INDEX(職員マスタ!$K$6:$K$405,$AP677)&lt;&gt;"",N($W677)&gt;0,INDEX(職員マスタ!$K$6:$K$405,$AP677)&lt;&gt;$W677),"標準報酬月額が申請書と相違（台帳"&amp;TEXT(INDEX(職員マスタ!$K$6:$K$405,$AP677),"#,##0")&amp;"円／申請書"&amp;TEXT($W677,"#,##0")&amp;"円）／","")&amp;IF(AND(INDEX(職員マスタ!$F$6:$F$405,$AP677)&lt;&gt;"",$AQ677&lt;&gt;"",INDEX(職員マスタ!$F$6:$F$405,$AP677)&lt;$AQ677),"対象月に子が2歳到達済／","")&amp;IF(AND($H677&lt;&gt;"",INDEX(職員マスタ!$B$6:$B$405,$AP677)&lt;&gt;"",SUBSTITUTE(SUBSTITUTE($H677," ","")," ","")&lt;&gt;SUBSTITUTE(SUBSTITUTE(INDEX(職員マスタ!$B$6:$B$405,$AP677)," ","")," ","")),"氏名がマスタと相違／","")&amp;IF(AND($Q677&lt;&gt;"",INDEX(職員マスタ!$E$6:$E$405,$AP677)&lt;&gt;"",$Q677&lt;&gt;INDEX(職員マスタ!$E$6:$E$405,$AP677)),"子の生年月日がマスタと相違／","")&amp;IF(AND($L677&lt;&gt;"",INDEX(職員マスタ!$G$6:$G$405,$AP677)&lt;&gt;"",$L677&lt;&gt;INDEX(職員マスタ!$G$6:$G$405,$AP677)),"時短開始日がマスタと相違／","")&amp;IF(AND($M677&lt;&gt;"",INDEX(職員マスタ!$H$6:$H$405,$AP677)&lt;&gt;"",$M677&lt;&gt;INDEX(職員マスタ!$H$6:$H$405,$AP677)),"時短終了日がマスタと相違／","")))&amp;IF(AND($B677&lt;&gt;"",$E677=""),"報酬額が未入力／","")&amp;IF(N($U677)&gt;0,"申請書に入力エラーが残っています／","")&amp;IF(AND($B677&lt;&gt;"",$AQ677&lt;&gt;""),IF(COUNTIFS($B$6:$B$3005,$B677,$C$6:$C$3005,$C677,$D$6:$D$3005,$D677)&gt;1,"同じ月の請求が重複しています／",""),"")&amp;IF(AND(N($E677)&gt;0,$AB677&lt;&gt;"",$AB677&lt;&gt;"×",$AE677=0,$AD677=""),"計算額が下限以下のため不支給／",""))</f>
        <v/>
      </c>
      <c r="AN677" s="12" t="n"/>
      <c r="AO677" s="14">
        <f>IF($AF677="保留中",COUNTIF($AF$6:$AF677,"保留中"),"")</f>
        <v/>
      </c>
      <c r="AP677" s="14">
        <f>IF($AQ677="","",IF(SUMPRODUCT(MAX((職員マスタ!$A$6:$A$405=$B677)*(((職員マスタ!$G$6:$G$405="")+(職員マスタ!$G$6:$G$405&lt;=EOMONTH($AQ677,0)))&gt;0)*(((職員マスタ!$H$6:$H$405="")+(職員マスタ!$H$6:$H$405&gt;=$AQ677))&gt;0)*(ROW(職員マスタ!$A$6:$A$405)-5)))&gt;0,SUMPRODUCT(MAX((職員マスタ!$A$6:$A$405=$B677)*(((職員マスタ!$G$6:$G$405="")+(職員マスタ!$G$6:$G$405&lt;=EOMONTH($AQ677,0)))&gt;0)*(((職員マスタ!$H$6:$H$405="")+(職員マスタ!$H$6:$H$405&gt;=$AQ677))&gt;0)*(ROW(職員マスタ!$A$6:$A$405)-5))),IFERROR(MATCH($B677,職員マスタ!$A$6:$A$405,0),"")))</f>
        <v/>
      </c>
      <c r="AQ677" s="16">
        <f>IF(OR($B677="",$C677="",$D677=""),"",DATE($C677+2018,$D677,1))</f>
        <v/>
      </c>
    </row>
    <row r="678">
      <c r="A678" s="11" t="n"/>
      <c r="B678" s="12" t="n"/>
      <c r="C678" s="12" t="n"/>
      <c r="D678" s="12" t="n"/>
      <c r="E678" s="13" t="n"/>
      <c r="F678" s="12" t="n"/>
      <c r="G678" s="13" t="n"/>
      <c r="H678" s="12" t="n"/>
      <c r="I678" s="12" t="n"/>
      <c r="J678" s="12" t="n"/>
      <c r="K678" s="12" t="n"/>
      <c r="L678" s="11" t="n"/>
      <c r="M678" s="11" t="n"/>
      <c r="N678" s="11" t="n"/>
      <c r="O678" s="11" t="n"/>
      <c r="P678" s="12" t="n"/>
      <c r="Q678" s="11" t="n"/>
      <c r="R678" s="12" t="n"/>
      <c r="S678" s="11" t="n"/>
      <c r="T678" s="12" t="n"/>
      <c r="U678" s="12" t="n"/>
      <c r="V678" s="12" t="n"/>
      <c r="W678" s="13" t="n"/>
      <c r="X678" s="14">
        <f>IF($AP678="",IF($B678="","",$H678),IF(INDEX(職員マスタ!$B$6:$B$405,$AP678)="",$H678,INDEX(職員マスタ!$B$6:$B$405,$AP678)))</f>
        <v/>
      </c>
      <c r="Y678" s="14">
        <f>IF($AP678="",IF($B678="","",$R678),IF(INDEX(職員マスタ!$C$6:$C$405,$AP678)="",$R678,INDEX(職員マスタ!$C$6:$C$405,$AP678)))</f>
        <v/>
      </c>
      <c r="Z678" s="14">
        <f>IF($AQ678="","","R"&amp;$C678&amp;"."&amp;$D678)</f>
        <v/>
      </c>
      <c r="AA678" s="15">
        <f>IF(IF($AP678="",FALSE,INDEX(職員マスタ!$K$6:$K$405,$AP678)&lt;&gt;""),INDEX(職員マスタ!$K$6:$K$405,$AP678),IF(N($W678)&gt;0,$W678,""))</f>
        <v/>
      </c>
      <c r="AB678" s="14">
        <f>IF(OR($E678="",$AA678=""),"",IF($E678&gt;=$AA678,"×",IF($E678&gt;=$AA678*設定!$C$5,"△","○")))</f>
        <v/>
      </c>
      <c r="AC678" s="15">
        <f>IF($AB678="","",IF($AB678="×",0,IF($AB678="○",ROUNDDOWN($E678*設定!$C$4,0),ROUNDDOWN($E678*ROUND((9*$AA678-9*$E678)/(10*$E678),4),0))))</f>
        <v/>
      </c>
      <c r="AD678" s="13" t="n"/>
      <c r="AE678" s="15">
        <f>IF($B678="","",IF($AD678&lt;&gt;"",$AD678,IF($AC678="","",IF($AC678&lt;=設定!$C$3,0,$AC678))))</f>
        <v/>
      </c>
      <c r="AF678" s="14">
        <f>IF($B678="","",IF(AND($AG678&lt;&gt;"",$AI678="",$AL678=""),"保留中",IF($AL678&lt;&gt;"",IF(N($AE678)&gt;0,"支給済","不支給"),IF($AE678="","要確認",IF($AE678=0,"不支給","未処理")))))</f>
        <v/>
      </c>
      <c r="AG678" s="12" t="n"/>
      <c r="AH678" s="11" t="n"/>
      <c r="AI678" s="11" t="n"/>
      <c r="AJ678" s="11" t="n"/>
      <c r="AK678" s="14">
        <f>IF(AND($AF678="保留中",$AH678&lt;&gt;""),TODAY()-$AH678,"")</f>
        <v/>
      </c>
      <c r="AL678" s="12" t="n"/>
      <c r="AM678" s="14">
        <f>IF($B678="","",IF($AQ678="","対象年月が未入力／","")&amp;IF($B678="","",IF($AP678="","職員マスタに未登録の職員番号／",IF($AA678="","標準報酬月額が未登録／","")&amp;IF(AND($AQ678&lt;&gt;"",OR(AND(INDEX(職員マスタ!$G$6:$G$405,$AP678)&lt;&gt;"",INDEX(職員マスタ!$G$6:$G$405,$AP678)&gt;EOMONTH($AQ678,0)),AND(INDEX(職員マスタ!$H$6:$H$405,$AP678)&lt;&gt;"",INDEX(職員マスタ!$H$6:$H$405,$AP678)&lt;$AQ678))),"対象月が時短期間外／","")&amp;IF(AND(INDEX(職員マスタ!$K$6:$K$405,$AP678)&lt;&gt;"",N($W678)&gt;0,INDEX(職員マスタ!$K$6:$K$405,$AP678)&lt;&gt;$W678),"標準報酬月額が申請書と相違（台帳"&amp;TEXT(INDEX(職員マスタ!$K$6:$K$405,$AP678),"#,##0")&amp;"円／申請書"&amp;TEXT($W678,"#,##0")&amp;"円）／","")&amp;IF(AND(INDEX(職員マスタ!$F$6:$F$405,$AP678)&lt;&gt;"",$AQ678&lt;&gt;"",INDEX(職員マスタ!$F$6:$F$405,$AP678)&lt;$AQ678),"対象月に子が2歳到達済／","")&amp;IF(AND($H678&lt;&gt;"",INDEX(職員マスタ!$B$6:$B$405,$AP678)&lt;&gt;"",SUBSTITUTE(SUBSTITUTE($H678," ","")," ","")&lt;&gt;SUBSTITUTE(SUBSTITUTE(INDEX(職員マスタ!$B$6:$B$405,$AP678)," ","")," ","")),"氏名がマスタと相違／","")&amp;IF(AND($Q678&lt;&gt;"",INDEX(職員マスタ!$E$6:$E$405,$AP678)&lt;&gt;"",$Q678&lt;&gt;INDEX(職員マスタ!$E$6:$E$405,$AP678)),"子の生年月日がマスタと相違／","")&amp;IF(AND($L678&lt;&gt;"",INDEX(職員マスタ!$G$6:$G$405,$AP678)&lt;&gt;"",$L678&lt;&gt;INDEX(職員マスタ!$G$6:$G$405,$AP678)),"時短開始日がマスタと相違／","")&amp;IF(AND($M678&lt;&gt;"",INDEX(職員マスタ!$H$6:$H$405,$AP678)&lt;&gt;"",$M678&lt;&gt;INDEX(職員マスタ!$H$6:$H$405,$AP678)),"時短終了日がマスタと相違／","")))&amp;IF(AND($B678&lt;&gt;"",$E678=""),"報酬額が未入力／","")&amp;IF(N($U678)&gt;0,"申請書に入力エラーが残っています／","")&amp;IF(AND($B678&lt;&gt;"",$AQ678&lt;&gt;""),IF(COUNTIFS($B$6:$B$3005,$B678,$C$6:$C$3005,$C678,$D$6:$D$3005,$D678)&gt;1,"同じ月の請求が重複しています／",""),"")&amp;IF(AND(N($E678)&gt;0,$AB678&lt;&gt;"",$AB678&lt;&gt;"×",$AE678=0,$AD678=""),"計算額が下限以下のため不支給／",""))</f>
        <v/>
      </c>
      <c r="AN678" s="12" t="n"/>
      <c r="AO678" s="14">
        <f>IF($AF678="保留中",COUNTIF($AF$6:$AF678,"保留中"),"")</f>
        <v/>
      </c>
      <c r="AP678" s="14">
        <f>IF($AQ678="","",IF(SUMPRODUCT(MAX((職員マスタ!$A$6:$A$405=$B678)*(((職員マスタ!$G$6:$G$405="")+(職員マスタ!$G$6:$G$405&lt;=EOMONTH($AQ678,0)))&gt;0)*(((職員マスタ!$H$6:$H$405="")+(職員マスタ!$H$6:$H$405&gt;=$AQ678))&gt;0)*(ROW(職員マスタ!$A$6:$A$405)-5)))&gt;0,SUMPRODUCT(MAX((職員マスタ!$A$6:$A$405=$B678)*(((職員マスタ!$G$6:$G$405="")+(職員マスタ!$G$6:$G$405&lt;=EOMONTH($AQ678,0)))&gt;0)*(((職員マスタ!$H$6:$H$405="")+(職員マスタ!$H$6:$H$405&gt;=$AQ678))&gt;0)*(ROW(職員マスタ!$A$6:$A$405)-5))),IFERROR(MATCH($B678,職員マスタ!$A$6:$A$405,0),"")))</f>
        <v/>
      </c>
      <c r="AQ678" s="16">
        <f>IF(OR($B678="",$C678="",$D678=""),"",DATE($C678+2018,$D678,1))</f>
        <v/>
      </c>
    </row>
    <row r="679">
      <c r="A679" s="11" t="n"/>
      <c r="B679" s="12" t="n"/>
      <c r="C679" s="12" t="n"/>
      <c r="D679" s="12" t="n"/>
      <c r="E679" s="13" t="n"/>
      <c r="F679" s="12" t="n"/>
      <c r="G679" s="13" t="n"/>
      <c r="H679" s="12" t="n"/>
      <c r="I679" s="12" t="n"/>
      <c r="J679" s="12" t="n"/>
      <c r="K679" s="12" t="n"/>
      <c r="L679" s="11" t="n"/>
      <c r="M679" s="11" t="n"/>
      <c r="N679" s="11" t="n"/>
      <c r="O679" s="11" t="n"/>
      <c r="P679" s="12" t="n"/>
      <c r="Q679" s="11" t="n"/>
      <c r="R679" s="12" t="n"/>
      <c r="S679" s="11" t="n"/>
      <c r="T679" s="12" t="n"/>
      <c r="U679" s="12" t="n"/>
      <c r="V679" s="12" t="n"/>
      <c r="W679" s="13" t="n"/>
      <c r="X679" s="14">
        <f>IF($AP679="",IF($B679="","",$H679),IF(INDEX(職員マスタ!$B$6:$B$405,$AP679)="",$H679,INDEX(職員マスタ!$B$6:$B$405,$AP679)))</f>
        <v/>
      </c>
      <c r="Y679" s="14">
        <f>IF($AP679="",IF($B679="","",$R679),IF(INDEX(職員マスタ!$C$6:$C$405,$AP679)="",$R679,INDEX(職員マスタ!$C$6:$C$405,$AP679)))</f>
        <v/>
      </c>
      <c r="Z679" s="14">
        <f>IF($AQ679="","","R"&amp;$C679&amp;"."&amp;$D679)</f>
        <v/>
      </c>
      <c r="AA679" s="15">
        <f>IF(IF($AP679="",FALSE,INDEX(職員マスタ!$K$6:$K$405,$AP679)&lt;&gt;""),INDEX(職員マスタ!$K$6:$K$405,$AP679),IF(N($W679)&gt;0,$W679,""))</f>
        <v/>
      </c>
      <c r="AB679" s="14">
        <f>IF(OR($E679="",$AA679=""),"",IF($E679&gt;=$AA679,"×",IF($E679&gt;=$AA679*設定!$C$5,"△","○")))</f>
        <v/>
      </c>
      <c r="AC679" s="15">
        <f>IF($AB679="","",IF($AB679="×",0,IF($AB679="○",ROUNDDOWN($E679*設定!$C$4,0),ROUNDDOWN($E679*ROUND((9*$AA679-9*$E679)/(10*$E679),4),0))))</f>
        <v/>
      </c>
      <c r="AD679" s="13" t="n"/>
      <c r="AE679" s="15">
        <f>IF($B679="","",IF($AD679&lt;&gt;"",$AD679,IF($AC679="","",IF($AC679&lt;=設定!$C$3,0,$AC679))))</f>
        <v/>
      </c>
      <c r="AF679" s="14">
        <f>IF($B679="","",IF(AND($AG679&lt;&gt;"",$AI679="",$AL679=""),"保留中",IF($AL679&lt;&gt;"",IF(N($AE679)&gt;0,"支給済","不支給"),IF($AE679="","要確認",IF($AE679=0,"不支給","未処理")))))</f>
        <v/>
      </c>
      <c r="AG679" s="12" t="n"/>
      <c r="AH679" s="11" t="n"/>
      <c r="AI679" s="11" t="n"/>
      <c r="AJ679" s="11" t="n"/>
      <c r="AK679" s="14">
        <f>IF(AND($AF679="保留中",$AH679&lt;&gt;""),TODAY()-$AH679,"")</f>
        <v/>
      </c>
      <c r="AL679" s="12" t="n"/>
      <c r="AM679" s="14">
        <f>IF($B679="","",IF($AQ679="","対象年月が未入力／","")&amp;IF($B679="","",IF($AP679="","職員マスタに未登録の職員番号／",IF($AA679="","標準報酬月額が未登録／","")&amp;IF(AND($AQ679&lt;&gt;"",OR(AND(INDEX(職員マスタ!$G$6:$G$405,$AP679)&lt;&gt;"",INDEX(職員マスタ!$G$6:$G$405,$AP679)&gt;EOMONTH($AQ679,0)),AND(INDEX(職員マスタ!$H$6:$H$405,$AP679)&lt;&gt;"",INDEX(職員マスタ!$H$6:$H$405,$AP679)&lt;$AQ679))),"対象月が時短期間外／","")&amp;IF(AND(INDEX(職員マスタ!$K$6:$K$405,$AP679)&lt;&gt;"",N($W679)&gt;0,INDEX(職員マスタ!$K$6:$K$405,$AP679)&lt;&gt;$W679),"標準報酬月額が申請書と相違（台帳"&amp;TEXT(INDEX(職員マスタ!$K$6:$K$405,$AP679),"#,##0")&amp;"円／申請書"&amp;TEXT($W679,"#,##0")&amp;"円）／","")&amp;IF(AND(INDEX(職員マスタ!$F$6:$F$405,$AP679)&lt;&gt;"",$AQ679&lt;&gt;"",INDEX(職員マスタ!$F$6:$F$405,$AP679)&lt;$AQ679),"対象月に子が2歳到達済／","")&amp;IF(AND($H679&lt;&gt;"",INDEX(職員マスタ!$B$6:$B$405,$AP679)&lt;&gt;"",SUBSTITUTE(SUBSTITUTE($H679," ","")," ","")&lt;&gt;SUBSTITUTE(SUBSTITUTE(INDEX(職員マスタ!$B$6:$B$405,$AP679)," ","")," ","")),"氏名がマスタと相違／","")&amp;IF(AND($Q679&lt;&gt;"",INDEX(職員マスタ!$E$6:$E$405,$AP679)&lt;&gt;"",$Q679&lt;&gt;INDEX(職員マスタ!$E$6:$E$405,$AP679)),"子の生年月日がマスタと相違／","")&amp;IF(AND($L679&lt;&gt;"",INDEX(職員マスタ!$G$6:$G$405,$AP679)&lt;&gt;"",$L679&lt;&gt;INDEX(職員マスタ!$G$6:$G$405,$AP679)),"時短開始日がマスタと相違／","")&amp;IF(AND($M679&lt;&gt;"",INDEX(職員マスタ!$H$6:$H$405,$AP679)&lt;&gt;"",$M679&lt;&gt;INDEX(職員マスタ!$H$6:$H$405,$AP679)),"時短終了日がマスタと相違／","")))&amp;IF(AND($B679&lt;&gt;"",$E679=""),"報酬額が未入力／","")&amp;IF(N($U679)&gt;0,"申請書に入力エラーが残っています／","")&amp;IF(AND($B679&lt;&gt;"",$AQ679&lt;&gt;""),IF(COUNTIFS($B$6:$B$3005,$B679,$C$6:$C$3005,$C679,$D$6:$D$3005,$D679)&gt;1,"同じ月の請求が重複しています／",""),"")&amp;IF(AND(N($E679)&gt;0,$AB679&lt;&gt;"",$AB679&lt;&gt;"×",$AE679=0,$AD679=""),"計算額が下限以下のため不支給／",""))</f>
        <v/>
      </c>
      <c r="AN679" s="12" t="n"/>
      <c r="AO679" s="14">
        <f>IF($AF679="保留中",COUNTIF($AF$6:$AF679,"保留中"),"")</f>
        <v/>
      </c>
      <c r="AP679" s="14">
        <f>IF($AQ679="","",IF(SUMPRODUCT(MAX((職員マスタ!$A$6:$A$405=$B679)*(((職員マスタ!$G$6:$G$405="")+(職員マスタ!$G$6:$G$405&lt;=EOMONTH($AQ679,0)))&gt;0)*(((職員マスタ!$H$6:$H$405="")+(職員マスタ!$H$6:$H$405&gt;=$AQ679))&gt;0)*(ROW(職員マスタ!$A$6:$A$405)-5)))&gt;0,SUMPRODUCT(MAX((職員マスタ!$A$6:$A$405=$B679)*(((職員マスタ!$G$6:$G$405="")+(職員マスタ!$G$6:$G$405&lt;=EOMONTH($AQ679,0)))&gt;0)*(((職員マスタ!$H$6:$H$405="")+(職員マスタ!$H$6:$H$405&gt;=$AQ679))&gt;0)*(ROW(職員マスタ!$A$6:$A$405)-5))),IFERROR(MATCH($B679,職員マスタ!$A$6:$A$405,0),"")))</f>
        <v/>
      </c>
      <c r="AQ679" s="16">
        <f>IF(OR($B679="",$C679="",$D679=""),"",DATE($C679+2018,$D679,1))</f>
        <v/>
      </c>
    </row>
    <row r="680">
      <c r="A680" s="11" t="n"/>
      <c r="B680" s="12" t="n"/>
      <c r="C680" s="12" t="n"/>
      <c r="D680" s="12" t="n"/>
      <c r="E680" s="13" t="n"/>
      <c r="F680" s="12" t="n"/>
      <c r="G680" s="13" t="n"/>
      <c r="H680" s="12" t="n"/>
      <c r="I680" s="12" t="n"/>
      <c r="J680" s="12" t="n"/>
      <c r="K680" s="12" t="n"/>
      <c r="L680" s="11" t="n"/>
      <c r="M680" s="11" t="n"/>
      <c r="N680" s="11" t="n"/>
      <c r="O680" s="11" t="n"/>
      <c r="P680" s="12" t="n"/>
      <c r="Q680" s="11" t="n"/>
      <c r="R680" s="12" t="n"/>
      <c r="S680" s="11" t="n"/>
      <c r="T680" s="12" t="n"/>
      <c r="U680" s="12" t="n"/>
      <c r="V680" s="12" t="n"/>
      <c r="W680" s="13" t="n"/>
      <c r="X680" s="14">
        <f>IF($AP680="",IF($B680="","",$H680),IF(INDEX(職員マスタ!$B$6:$B$405,$AP680)="",$H680,INDEX(職員マスタ!$B$6:$B$405,$AP680)))</f>
        <v/>
      </c>
      <c r="Y680" s="14">
        <f>IF($AP680="",IF($B680="","",$R680),IF(INDEX(職員マスタ!$C$6:$C$405,$AP680)="",$R680,INDEX(職員マスタ!$C$6:$C$405,$AP680)))</f>
        <v/>
      </c>
      <c r="Z680" s="14">
        <f>IF($AQ680="","","R"&amp;$C680&amp;"."&amp;$D680)</f>
        <v/>
      </c>
      <c r="AA680" s="15">
        <f>IF(IF($AP680="",FALSE,INDEX(職員マスタ!$K$6:$K$405,$AP680)&lt;&gt;""),INDEX(職員マスタ!$K$6:$K$405,$AP680),IF(N($W680)&gt;0,$W680,""))</f>
        <v/>
      </c>
      <c r="AB680" s="14">
        <f>IF(OR($E680="",$AA680=""),"",IF($E680&gt;=$AA680,"×",IF($E680&gt;=$AA680*設定!$C$5,"△","○")))</f>
        <v/>
      </c>
      <c r="AC680" s="15">
        <f>IF($AB680="","",IF($AB680="×",0,IF($AB680="○",ROUNDDOWN($E680*設定!$C$4,0),ROUNDDOWN($E680*ROUND((9*$AA680-9*$E680)/(10*$E680),4),0))))</f>
        <v/>
      </c>
      <c r="AD680" s="13" t="n"/>
      <c r="AE680" s="15">
        <f>IF($B680="","",IF($AD680&lt;&gt;"",$AD680,IF($AC680="","",IF($AC680&lt;=設定!$C$3,0,$AC680))))</f>
        <v/>
      </c>
      <c r="AF680" s="14">
        <f>IF($B680="","",IF(AND($AG680&lt;&gt;"",$AI680="",$AL680=""),"保留中",IF($AL680&lt;&gt;"",IF(N($AE680)&gt;0,"支給済","不支給"),IF($AE680="","要確認",IF($AE680=0,"不支給","未処理")))))</f>
        <v/>
      </c>
      <c r="AG680" s="12" t="n"/>
      <c r="AH680" s="11" t="n"/>
      <c r="AI680" s="11" t="n"/>
      <c r="AJ680" s="11" t="n"/>
      <c r="AK680" s="14">
        <f>IF(AND($AF680="保留中",$AH680&lt;&gt;""),TODAY()-$AH680,"")</f>
        <v/>
      </c>
      <c r="AL680" s="12" t="n"/>
      <c r="AM680" s="14">
        <f>IF($B680="","",IF($AQ680="","対象年月が未入力／","")&amp;IF($B680="","",IF($AP680="","職員マスタに未登録の職員番号／",IF($AA680="","標準報酬月額が未登録／","")&amp;IF(AND($AQ680&lt;&gt;"",OR(AND(INDEX(職員マスタ!$G$6:$G$405,$AP680)&lt;&gt;"",INDEX(職員マスタ!$G$6:$G$405,$AP680)&gt;EOMONTH($AQ680,0)),AND(INDEX(職員マスタ!$H$6:$H$405,$AP680)&lt;&gt;"",INDEX(職員マスタ!$H$6:$H$405,$AP680)&lt;$AQ680))),"対象月が時短期間外／","")&amp;IF(AND(INDEX(職員マスタ!$K$6:$K$405,$AP680)&lt;&gt;"",N($W680)&gt;0,INDEX(職員マスタ!$K$6:$K$405,$AP680)&lt;&gt;$W680),"標準報酬月額が申請書と相違（台帳"&amp;TEXT(INDEX(職員マスタ!$K$6:$K$405,$AP680),"#,##0")&amp;"円／申請書"&amp;TEXT($W680,"#,##0")&amp;"円）／","")&amp;IF(AND(INDEX(職員マスタ!$F$6:$F$405,$AP680)&lt;&gt;"",$AQ680&lt;&gt;"",INDEX(職員マスタ!$F$6:$F$405,$AP680)&lt;$AQ680),"対象月に子が2歳到達済／","")&amp;IF(AND($H680&lt;&gt;"",INDEX(職員マスタ!$B$6:$B$405,$AP680)&lt;&gt;"",SUBSTITUTE(SUBSTITUTE($H680," ","")," ","")&lt;&gt;SUBSTITUTE(SUBSTITUTE(INDEX(職員マスタ!$B$6:$B$405,$AP680)," ","")," ","")),"氏名がマスタと相違／","")&amp;IF(AND($Q680&lt;&gt;"",INDEX(職員マスタ!$E$6:$E$405,$AP680)&lt;&gt;"",$Q680&lt;&gt;INDEX(職員マスタ!$E$6:$E$405,$AP680)),"子の生年月日がマスタと相違／","")&amp;IF(AND($L680&lt;&gt;"",INDEX(職員マスタ!$G$6:$G$405,$AP680)&lt;&gt;"",$L680&lt;&gt;INDEX(職員マスタ!$G$6:$G$405,$AP680)),"時短開始日がマスタと相違／","")&amp;IF(AND($M680&lt;&gt;"",INDEX(職員マスタ!$H$6:$H$405,$AP680)&lt;&gt;"",$M680&lt;&gt;INDEX(職員マスタ!$H$6:$H$405,$AP680)),"時短終了日がマスタと相違／","")))&amp;IF(AND($B680&lt;&gt;"",$E680=""),"報酬額が未入力／","")&amp;IF(N($U680)&gt;0,"申請書に入力エラーが残っています／","")&amp;IF(AND($B680&lt;&gt;"",$AQ680&lt;&gt;""),IF(COUNTIFS($B$6:$B$3005,$B680,$C$6:$C$3005,$C680,$D$6:$D$3005,$D680)&gt;1,"同じ月の請求が重複しています／",""),"")&amp;IF(AND(N($E680)&gt;0,$AB680&lt;&gt;"",$AB680&lt;&gt;"×",$AE680=0,$AD680=""),"計算額が下限以下のため不支給／",""))</f>
        <v/>
      </c>
      <c r="AN680" s="12" t="n"/>
      <c r="AO680" s="14">
        <f>IF($AF680="保留中",COUNTIF($AF$6:$AF680,"保留中"),"")</f>
        <v/>
      </c>
      <c r="AP680" s="14">
        <f>IF($AQ680="","",IF(SUMPRODUCT(MAX((職員マスタ!$A$6:$A$405=$B680)*(((職員マスタ!$G$6:$G$405="")+(職員マスタ!$G$6:$G$405&lt;=EOMONTH($AQ680,0)))&gt;0)*(((職員マスタ!$H$6:$H$405="")+(職員マスタ!$H$6:$H$405&gt;=$AQ680))&gt;0)*(ROW(職員マスタ!$A$6:$A$405)-5)))&gt;0,SUMPRODUCT(MAX((職員マスタ!$A$6:$A$405=$B680)*(((職員マスタ!$G$6:$G$405="")+(職員マスタ!$G$6:$G$405&lt;=EOMONTH($AQ680,0)))&gt;0)*(((職員マスタ!$H$6:$H$405="")+(職員マスタ!$H$6:$H$405&gt;=$AQ680))&gt;0)*(ROW(職員マスタ!$A$6:$A$405)-5))),IFERROR(MATCH($B680,職員マスタ!$A$6:$A$405,0),"")))</f>
        <v/>
      </c>
      <c r="AQ680" s="16">
        <f>IF(OR($B680="",$C680="",$D680=""),"",DATE($C680+2018,$D680,1))</f>
        <v/>
      </c>
    </row>
    <row r="681">
      <c r="A681" s="11" t="n"/>
      <c r="B681" s="12" t="n"/>
      <c r="C681" s="12" t="n"/>
      <c r="D681" s="12" t="n"/>
      <c r="E681" s="13" t="n"/>
      <c r="F681" s="12" t="n"/>
      <c r="G681" s="13" t="n"/>
      <c r="H681" s="12" t="n"/>
      <c r="I681" s="12" t="n"/>
      <c r="J681" s="12" t="n"/>
      <c r="K681" s="12" t="n"/>
      <c r="L681" s="11" t="n"/>
      <c r="M681" s="11" t="n"/>
      <c r="N681" s="11" t="n"/>
      <c r="O681" s="11" t="n"/>
      <c r="P681" s="12" t="n"/>
      <c r="Q681" s="11" t="n"/>
      <c r="R681" s="12" t="n"/>
      <c r="S681" s="11" t="n"/>
      <c r="T681" s="12" t="n"/>
      <c r="U681" s="12" t="n"/>
      <c r="V681" s="12" t="n"/>
      <c r="W681" s="13" t="n"/>
      <c r="X681" s="14">
        <f>IF($AP681="",IF($B681="","",$H681),IF(INDEX(職員マスタ!$B$6:$B$405,$AP681)="",$H681,INDEX(職員マスタ!$B$6:$B$405,$AP681)))</f>
        <v/>
      </c>
      <c r="Y681" s="14">
        <f>IF($AP681="",IF($B681="","",$R681),IF(INDEX(職員マスタ!$C$6:$C$405,$AP681)="",$R681,INDEX(職員マスタ!$C$6:$C$405,$AP681)))</f>
        <v/>
      </c>
      <c r="Z681" s="14">
        <f>IF($AQ681="","","R"&amp;$C681&amp;"."&amp;$D681)</f>
        <v/>
      </c>
      <c r="AA681" s="15">
        <f>IF(IF($AP681="",FALSE,INDEX(職員マスタ!$K$6:$K$405,$AP681)&lt;&gt;""),INDEX(職員マスタ!$K$6:$K$405,$AP681),IF(N($W681)&gt;0,$W681,""))</f>
        <v/>
      </c>
      <c r="AB681" s="14">
        <f>IF(OR($E681="",$AA681=""),"",IF($E681&gt;=$AA681,"×",IF($E681&gt;=$AA681*設定!$C$5,"△","○")))</f>
        <v/>
      </c>
      <c r="AC681" s="15">
        <f>IF($AB681="","",IF($AB681="×",0,IF($AB681="○",ROUNDDOWN($E681*設定!$C$4,0),ROUNDDOWN($E681*ROUND((9*$AA681-9*$E681)/(10*$E681),4),0))))</f>
        <v/>
      </c>
      <c r="AD681" s="13" t="n"/>
      <c r="AE681" s="15">
        <f>IF($B681="","",IF($AD681&lt;&gt;"",$AD681,IF($AC681="","",IF($AC681&lt;=設定!$C$3,0,$AC681))))</f>
        <v/>
      </c>
      <c r="AF681" s="14">
        <f>IF($B681="","",IF(AND($AG681&lt;&gt;"",$AI681="",$AL681=""),"保留中",IF($AL681&lt;&gt;"",IF(N($AE681)&gt;0,"支給済","不支給"),IF($AE681="","要確認",IF($AE681=0,"不支給","未処理")))))</f>
        <v/>
      </c>
      <c r="AG681" s="12" t="n"/>
      <c r="AH681" s="11" t="n"/>
      <c r="AI681" s="11" t="n"/>
      <c r="AJ681" s="11" t="n"/>
      <c r="AK681" s="14">
        <f>IF(AND($AF681="保留中",$AH681&lt;&gt;""),TODAY()-$AH681,"")</f>
        <v/>
      </c>
      <c r="AL681" s="12" t="n"/>
      <c r="AM681" s="14">
        <f>IF($B681="","",IF($AQ681="","対象年月が未入力／","")&amp;IF($B681="","",IF($AP681="","職員マスタに未登録の職員番号／",IF($AA681="","標準報酬月額が未登録／","")&amp;IF(AND($AQ681&lt;&gt;"",OR(AND(INDEX(職員マスタ!$G$6:$G$405,$AP681)&lt;&gt;"",INDEX(職員マスタ!$G$6:$G$405,$AP681)&gt;EOMONTH($AQ681,0)),AND(INDEX(職員マスタ!$H$6:$H$405,$AP681)&lt;&gt;"",INDEX(職員マスタ!$H$6:$H$405,$AP681)&lt;$AQ681))),"対象月が時短期間外／","")&amp;IF(AND(INDEX(職員マスタ!$K$6:$K$405,$AP681)&lt;&gt;"",N($W681)&gt;0,INDEX(職員マスタ!$K$6:$K$405,$AP681)&lt;&gt;$W681),"標準報酬月額が申請書と相違（台帳"&amp;TEXT(INDEX(職員マスタ!$K$6:$K$405,$AP681),"#,##0")&amp;"円／申請書"&amp;TEXT($W681,"#,##0")&amp;"円）／","")&amp;IF(AND(INDEX(職員マスタ!$F$6:$F$405,$AP681)&lt;&gt;"",$AQ681&lt;&gt;"",INDEX(職員マスタ!$F$6:$F$405,$AP681)&lt;$AQ681),"対象月に子が2歳到達済／","")&amp;IF(AND($H681&lt;&gt;"",INDEX(職員マスタ!$B$6:$B$405,$AP681)&lt;&gt;"",SUBSTITUTE(SUBSTITUTE($H681," ","")," ","")&lt;&gt;SUBSTITUTE(SUBSTITUTE(INDEX(職員マスタ!$B$6:$B$405,$AP681)," ","")," ","")),"氏名がマスタと相違／","")&amp;IF(AND($Q681&lt;&gt;"",INDEX(職員マスタ!$E$6:$E$405,$AP681)&lt;&gt;"",$Q681&lt;&gt;INDEX(職員マスタ!$E$6:$E$405,$AP681)),"子の生年月日がマスタと相違／","")&amp;IF(AND($L681&lt;&gt;"",INDEX(職員マスタ!$G$6:$G$405,$AP681)&lt;&gt;"",$L681&lt;&gt;INDEX(職員マスタ!$G$6:$G$405,$AP681)),"時短開始日がマスタと相違／","")&amp;IF(AND($M681&lt;&gt;"",INDEX(職員マスタ!$H$6:$H$405,$AP681)&lt;&gt;"",$M681&lt;&gt;INDEX(職員マスタ!$H$6:$H$405,$AP681)),"時短終了日がマスタと相違／","")))&amp;IF(AND($B681&lt;&gt;"",$E681=""),"報酬額が未入力／","")&amp;IF(N($U681)&gt;0,"申請書に入力エラーが残っています／","")&amp;IF(AND($B681&lt;&gt;"",$AQ681&lt;&gt;""),IF(COUNTIFS($B$6:$B$3005,$B681,$C$6:$C$3005,$C681,$D$6:$D$3005,$D681)&gt;1,"同じ月の請求が重複しています／",""),"")&amp;IF(AND(N($E681)&gt;0,$AB681&lt;&gt;"",$AB681&lt;&gt;"×",$AE681=0,$AD681=""),"計算額が下限以下のため不支給／",""))</f>
        <v/>
      </c>
      <c r="AN681" s="12" t="n"/>
      <c r="AO681" s="14">
        <f>IF($AF681="保留中",COUNTIF($AF$6:$AF681,"保留中"),"")</f>
        <v/>
      </c>
      <c r="AP681" s="14">
        <f>IF($AQ681="","",IF(SUMPRODUCT(MAX((職員マスタ!$A$6:$A$405=$B681)*(((職員マスタ!$G$6:$G$405="")+(職員マスタ!$G$6:$G$405&lt;=EOMONTH($AQ681,0)))&gt;0)*(((職員マスタ!$H$6:$H$405="")+(職員マスタ!$H$6:$H$405&gt;=$AQ681))&gt;0)*(ROW(職員マスタ!$A$6:$A$405)-5)))&gt;0,SUMPRODUCT(MAX((職員マスタ!$A$6:$A$405=$B681)*(((職員マスタ!$G$6:$G$405="")+(職員マスタ!$G$6:$G$405&lt;=EOMONTH($AQ681,0)))&gt;0)*(((職員マスタ!$H$6:$H$405="")+(職員マスタ!$H$6:$H$405&gt;=$AQ681))&gt;0)*(ROW(職員マスタ!$A$6:$A$405)-5))),IFERROR(MATCH($B681,職員マスタ!$A$6:$A$405,0),"")))</f>
        <v/>
      </c>
      <c r="AQ681" s="16">
        <f>IF(OR($B681="",$C681="",$D681=""),"",DATE($C681+2018,$D681,1))</f>
        <v/>
      </c>
    </row>
    <row r="682">
      <c r="A682" s="11" t="n"/>
      <c r="B682" s="12" t="n"/>
      <c r="C682" s="12" t="n"/>
      <c r="D682" s="12" t="n"/>
      <c r="E682" s="13" t="n"/>
      <c r="F682" s="12" t="n"/>
      <c r="G682" s="13" t="n"/>
      <c r="H682" s="12" t="n"/>
      <c r="I682" s="12" t="n"/>
      <c r="J682" s="12" t="n"/>
      <c r="K682" s="12" t="n"/>
      <c r="L682" s="11" t="n"/>
      <c r="M682" s="11" t="n"/>
      <c r="N682" s="11" t="n"/>
      <c r="O682" s="11" t="n"/>
      <c r="P682" s="12" t="n"/>
      <c r="Q682" s="11" t="n"/>
      <c r="R682" s="12" t="n"/>
      <c r="S682" s="11" t="n"/>
      <c r="T682" s="12" t="n"/>
      <c r="U682" s="12" t="n"/>
      <c r="V682" s="12" t="n"/>
      <c r="W682" s="13" t="n"/>
      <c r="X682" s="14">
        <f>IF($AP682="",IF($B682="","",$H682),IF(INDEX(職員マスタ!$B$6:$B$405,$AP682)="",$H682,INDEX(職員マスタ!$B$6:$B$405,$AP682)))</f>
        <v/>
      </c>
      <c r="Y682" s="14">
        <f>IF($AP682="",IF($B682="","",$R682),IF(INDEX(職員マスタ!$C$6:$C$405,$AP682)="",$R682,INDEX(職員マスタ!$C$6:$C$405,$AP682)))</f>
        <v/>
      </c>
      <c r="Z682" s="14">
        <f>IF($AQ682="","","R"&amp;$C682&amp;"."&amp;$D682)</f>
        <v/>
      </c>
      <c r="AA682" s="15">
        <f>IF(IF($AP682="",FALSE,INDEX(職員マスタ!$K$6:$K$405,$AP682)&lt;&gt;""),INDEX(職員マスタ!$K$6:$K$405,$AP682),IF(N($W682)&gt;0,$W682,""))</f>
        <v/>
      </c>
      <c r="AB682" s="14">
        <f>IF(OR($E682="",$AA682=""),"",IF($E682&gt;=$AA682,"×",IF($E682&gt;=$AA682*設定!$C$5,"△","○")))</f>
        <v/>
      </c>
      <c r="AC682" s="15">
        <f>IF($AB682="","",IF($AB682="×",0,IF($AB682="○",ROUNDDOWN($E682*設定!$C$4,0),ROUNDDOWN($E682*ROUND((9*$AA682-9*$E682)/(10*$E682),4),0))))</f>
        <v/>
      </c>
      <c r="AD682" s="13" t="n"/>
      <c r="AE682" s="15">
        <f>IF($B682="","",IF($AD682&lt;&gt;"",$AD682,IF($AC682="","",IF($AC682&lt;=設定!$C$3,0,$AC682))))</f>
        <v/>
      </c>
      <c r="AF682" s="14">
        <f>IF($B682="","",IF(AND($AG682&lt;&gt;"",$AI682="",$AL682=""),"保留中",IF($AL682&lt;&gt;"",IF(N($AE682)&gt;0,"支給済","不支給"),IF($AE682="","要確認",IF($AE682=0,"不支給","未処理")))))</f>
        <v/>
      </c>
      <c r="AG682" s="12" t="n"/>
      <c r="AH682" s="11" t="n"/>
      <c r="AI682" s="11" t="n"/>
      <c r="AJ682" s="11" t="n"/>
      <c r="AK682" s="14">
        <f>IF(AND($AF682="保留中",$AH682&lt;&gt;""),TODAY()-$AH682,"")</f>
        <v/>
      </c>
      <c r="AL682" s="12" t="n"/>
      <c r="AM682" s="14">
        <f>IF($B682="","",IF($AQ682="","対象年月が未入力／","")&amp;IF($B682="","",IF($AP682="","職員マスタに未登録の職員番号／",IF($AA682="","標準報酬月額が未登録／","")&amp;IF(AND($AQ682&lt;&gt;"",OR(AND(INDEX(職員マスタ!$G$6:$G$405,$AP682)&lt;&gt;"",INDEX(職員マスタ!$G$6:$G$405,$AP682)&gt;EOMONTH($AQ682,0)),AND(INDEX(職員マスタ!$H$6:$H$405,$AP682)&lt;&gt;"",INDEX(職員マスタ!$H$6:$H$405,$AP682)&lt;$AQ682))),"対象月が時短期間外／","")&amp;IF(AND(INDEX(職員マスタ!$K$6:$K$405,$AP682)&lt;&gt;"",N($W682)&gt;0,INDEX(職員マスタ!$K$6:$K$405,$AP682)&lt;&gt;$W682),"標準報酬月額が申請書と相違（台帳"&amp;TEXT(INDEX(職員マスタ!$K$6:$K$405,$AP682),"#,##0")&amp;"円／申請書"&amp;TEXT($W682,"#,##0")&amp;"円）／","")&amp;IF(AND(INDEX(職員マスタ!$F$6:$F$405,$AP682)&lt;&gt;"",$AQ682&lt;&gt;"",INDEX(職員マスタ!$F$6:$F$405,$AP682)&lt;$AQ682),"対象月に子が2歳到達済／","")&amp;IF(AND($H682&lt;&gt;"",INDEX(職員マスタ!$B$6:$B$405,$AP682)&lt;&gt;"",SUBSTITUTE(SUBSTITUTE($H682," ","")," ","")&lt;&gt;SUBSTITUTE(SUBSTITUTE(INDEX(職員マスタ!$B$6:$B$405,$AP682)," ","")," ","")),"氏名がマスタと相違／","")&amp;IF(AND($Q682&lt;&gt;"",INDEX(職員マスタ!$E$6:$E$405,$AP682)&lt;&gt;"",$Q682&lt;&gt;INDEX(職員マスタ!$E$6:$E$405,$AP682)),"子の生年月日がマスタと相違／","")&amp;IF(AND($L682&lt;&gt;"",INDEX(職員マスタ!$G$6:$G$405,$AP682)&lt;&gt;"",$L682&lt;&gt;INDEX(職員マスタ!$G$6:$G$405,$AP682)),"時短開始日がマスタと相違／","")&amp;IF(AND($M682&lt;&gt;"",INDEX(職員マスタ!$H$6:$H$405,$AP682)&lt;&gt;"",$M682&lt;&gt;INDEX(職員マスタ!$H$6:$H$405,$AP682)),"時短終了日がマスタと相違／","")))&amp;IF(AND($B682&lt;&gt;"",$E682=""),"報酬額が未入力／","")&amp;IF(N($U682)&gt;0,"申請書に入力エラーが残っています／","")&amp;IF(AND($B682&lt;&gt;"",$AQ682&lt;&gt;""),IF(COUNTIFS($B$6:$B$3005,$B682,$C$6:$C$3005,$C682,$D$6:$D$3005,$D682)&gt;1,"同じ月の請求が重複しています／",""),"")&amp;IF(AND(N($E682)&gt;0,$AB682&lt;&gt;"",$AB682&lt;&gt;"×",$AE682=0,$AD682=""),"計算額が下限以下のため不支給／",""))</f>
        <v/>
      </c>
      <c r="AN682" s="12" t="n"/>
      <c r="AO682" s="14">
        <f>IF($AF682="保留中",COUNTIF($AF$6:$AF682,"保留中"),"")</f>
        <v/>
      </c>
      <c r="AP682" s="14">
        <f>IF($AQ682="","",IF(SUMPRODUCT(MAX((職員マスタ!$A$6:$A$405=$B682)*(((職員マスタ!$G$6:$G$405="")+(職員マスタ!$G$6:$G$405&lt;=EOMONTH($AQ682,0)))&gt;0)*(((職員マスタ!$H$6:$H$405="")+(職員マスタ!$H$6:$H$405&gt;=$AQ682))&gt;0)*(ROW(職員マスタ!$A$6:$A$405)-5)))&gt;0,SUMPRODUCT(MAX((職員マスタ!$A$6:$A$405=$B682)*(((職員マスタ!$G$6:$G$405="")+(職員マスタ!$G$6:$G$405&lt;=EOMONTH($AQ682,0)))&gt;0)*(((職員マスタ!$H$6:$H$405="")+(職員マスタ!$H$6:$H$405&gt;=$AQ682))&gt;0)*(ROW(職員マスタ!$A$6:$A$405)-5))),IFERROR(MATCH($B682,職員マスタ!$A$6:$A$405,0),"")))</f>
        <v/>
      </c>
      <c r="AQ682" s="16">
        <f>IF(OR($B682="",$C682="",$D682=""),"",DATE($C682+2018,$D682,1))</f>
        <v/>
      </c>
    </row>
    <row r="683">
      <c r="A683" s="11" t="n"/>
      <c r="B683" s="12" t="n"/>
      <c r="C683" s="12" t="n"/>
      <c r="D683" s="12" t="n"/>
      <c r="E683" s="13" t="n"/>
      <c r="F683" s="12" t="n"/>
      <c r="G683" s="13" t="n"/>
      <c r="H683" s="12" t="n"/>
      <c r="I683" s="12" t="n"/>
      <c r="J683" s="12" t="n"/>
      <c r="K683" s="12" t="n"/>
      <c r="L683" s="11" t="n"/>
      <c r="M683" s="11" t="n"/>
      <c r="N683" s="11" t="n"/>
      <c r="O683" s="11" t="n"/>
      <c r="P683" s="12" t="n"/>
      <c r="Q683" s="11" t="n"/>
      <c r="R683" s="12" t="n"/>
      <c r="S683" s="11" t="n"/>
      <c r="T683" s="12" t="n"/>
      <c r="U683" s="12" t="n"/>
      <c r="V683" s="12" t="n"/>
      <c r="W683" s="13" t="n"/>
      <c r="X683" s="14">
        <f>IF($AP683="",IF($B683="","",$H683),IF(INDEX(職員マスタ!$B$6:$B$405,$AP683)="",$H683,INDEX(職員マスタ!$B$6:$B$405,$AP683)))</f>
        <v/>
      </c>
      <c r="Y683" s="14">
        <f>IF($AP683="",IF($B683="","",$R683),IF(INDEX(職員マスタ!$C$6:$C$405,$AP683)="",$R683,INDEX(職員マスタ!$C$6:$C$405,$AP683)))</f>
        <v/>
      </c>
      <c r="Z683" s="14">
        <f>IF($AQ683="","","R"&amp;$C683&amp;"."&amp;$D683)</f>
        <v/>
      </c>
      <c r="AA683" s="15">
        <f>IF(IF($AP683="",FALSE,INDEX(職員マスタ!$K$6:$K$405,$AP683)&lt;&gt;""),INDEX(職員マスタ!$K$6:$K$405,$AP683),IF(N($W683)&gt;0,$W683,""))</f>
        <v/>
      </c>
      <c r="AB683" s="14">
        <f>IF(OR($E683="",$AA683=""),"",IF($E683&gt;=$AA683,"×",IF($E683&gt;=$AA683*設定!$C$5,"△","○")))</f>
        <v/>
      </c>
      <c r="AC683" s="15">
        <f>IF($AB683="","",IF($AB683="×",0,IF($AB683="○",ROUNDDOWN($E683*設定!$C$4,0),ROUNDDOWN($E683*ROUND((9*$AA683-9*$E683)/(10*$E683),4),0))))</f>
        <v/>
      </c>
      <c r="AD683" s="13" t="n"/>
      <c r="AE683" s="15">
        <f>IF($B683="","",IF($AD683&lt;&gt;"",$AD683,IF($AC683="","",IF($AC683&lt;=設定!$C$3,0,$AC683))))</f>
        <v/>
      </c>
      <c r="AF683" s="14">
        <f>IF($B683="","",IF(AND($AG683&lt;&gt;"",$AI683="",$AL683=""),"保留中",IF($AL683&lt;&gt;"",IF(N($AE683)&gt;0,"支給済","不支給"),IF($AE683="","要確認",IF($AE683=0,"不支給","未処理")))))</f>
        <v/>
      </c>
      <c r="AG683" s="12" t="n"/>
      <c r="AH683" s="11" t="n"/>
      <c r="AI683" s="11" t="n"/>
      <c r="AJ683" s="11" t="n"/>
      <c r="AK683" s="14">
        <f>IF(AND($AF683="保留中",$AH683&lt;&gt;""),TODAY()-$AH683,"")</f>
        <v/>
      </c>
      <c r="AL683" s="12" t="n"/>
      <c r="AM683" s="14">
        <f>IF($B683="","",IF($AQ683="","対象年月が未入力／","")&amp;IF($B683="","",IF($AP683="","職員マスタに未登録の職員番号／",IF($AA683="","標準報酬月額が未登録／","")&amp;IF(AND($AQ683&lt;&gt;"",OR(AND(INDEX(職員マスタ!$G$6:$G$405,$AP683)&lt;&gt;"",INDEX(職員マスタ!$G$6:$G$405,$AP683)&gt;EOMONTH($AQ683,0)),AND(INDEX(職員マスタ!$H$6:$H$405,$AP683)&lt;&gt;"",INDEX(職員マスタ!$H$6:$H$405,$AP683)&lt;$AQ683))),"対象月が時短期間外／","")&amp;IF(AND(INDEX(職員マスタ!$K$6:$K$405,$AP683)&lt;&gt;"",N($W683)&gt;0,INDEX(職員マスタ!$K$6:$K$405,$AP683)&lt;&gt;$W683),"標準報酬月額が申請書と相違（台帳"&amp;TEXT(INDEX(職員マスタ!$K$6:$K$405,$AP683),"#,##0")&amp;"円／申請書"&amp;TEXT($W683,"#,##0")&amp;"円）／","")&amp;IF(AND(INDEX(職員マスタ!$F$6:$F$405,$AP683)&lt;&gt;"",$AQ683&lt;&gt;"",INDEX(職員マスタ!$F$6:$F$405,$AP683)&lt;$AQ683),"対象月に子が2歳到達済／","")&amp;IF(AND($H683&lt;&gt;"",INDEX(職員マスタ!$B$6:$B$405,$AP683)&lt;&gt;"",SUBSTITUTE(SUBSTITUTE($H683," ","")," ","")&lt;&gt;SUBSTITUTE(SUBSTITUTE(INDEX(職員マスタ!$B$6:$B$405,$AP683)," ","")," ","")),"氏名がマスタと相違／","")&amp;IF(AND($Q683&lt;&gt;"",INDEX(職員マスタ!$E$6:$E$405,$AP683)&lt;&gt;"",$Q683&lt;&gt;INDEX(職員マスタ!$E$6:$E$405,$AP683)),"子の生年月日がマスタと相違／","")&amp;IF(AND($L683&lt;&gt;"",INDEX(職員マスタ!$G$6:$G$405,$AP683)&lt;&gt;"",$L683&lt;&gt;INDEX(職員マスタ!$G$6:$G$405,$AP683)),"時短開始日がマスタと相違／","")&amp;IF(AND($M683&lt;&gt;"",INDEX(職員マスタ!$H$6:$H$405,$AP683)&lt;&gt;"",$M683&lt;&gt;INDEX(職員マスタ!$H$6:$H$405,$AP683)),"時短終了日がマスタと相違／","")))&amp;IF(AND($B683&lt;&gt;"",$E683=""),"報酬額が未入力／","")&amp;IF(N($U683)&gt;0,"申請書に入力エラーが残っています／","")&amp;IF(AND($B683&lt;&gt;"",$AQ683&lt;&gt;""),IF(COUNTIFS($B$6:$B$3005,$B683,$C$6:$C$3005,$C683,$D$6:$D$3005,$D683)&gt;1,"同じ月の請求が重複しています／",""),"")&amp;IF(AND(N($E683)&gt;0,$AB683&lt;&gt;"",$AB683&lt;&gt;"×",$AE683=0,$AD683=""),"計算額が下限以下のため不支給／",""))</f>
        <v/>
      </c>
      <c r="AN683" s="12" t="n"/>
      <c r="AO683" s="14">
        <f>IF($AF683="保留中",COUNTIF($AF$6:$AF683,"保留中"),"")</f>
        <v/>
      </c>
      <c r="AP683" s="14">
        <f>IF($AQ683="","",IF(SUMPRODUCT(MAX((職員マスタ!$A$6:$A$405=$B683)*(((職員マスタ!$G$6:$G$405="")+(職員マスタ!$G$6:$G$405&lt;=EOMONTH($AQ683,0)))&gt;0)*(((職員マスタ!$H$6:$H$405="")+(職員マスタ!$H$6:$H$405&gt;=$AQ683))&gt;0)*(ROW(職員マスタ!$A$6:$A$405)-5)))&gt;0,SUMPRODUCT(MAX((職員マスタ!$A$6:$A$405=$B683)*(((職員マスタ!$G$6:$G$405="")+(職員マスタ!$G$6:$G$405&lt;=EOMONTH($AQ683,0)))&gt;0)*(((職員マスタ!$H$6:$H$405="")+(職員マスタ!$H$6:$H$405&gt;=$AQ683))&gt;0)*(ROW(職員マスタ!$A$6:$A$405)-5))),IFERROR(MATCH($B683,職員マスタ!$A$6:$A$405,0),"")))</f>
        <v/>
      </c>
      <c r="AQ683" s="16">
        <f>IF(OR($B683="",$C683="",$D683=""),"",DATE($C683+2018,$D683,1))</f>
        <v/>
      </c>
    </row>
    <row r="684">
      <c r="A684" s="11" t="n"/>
      <c r="B684" s="12" t="n"/>
      <c r="C684" s="12" t="n"/>
      <c r="D684" s="12" t="n"/>
      <c r="E684" s="13" t="n"/>
      <c r="F684" s="12" t="n"/>
      <c r="G684" s="13" t="n"/>
      <c r="H684" s="12" t="n"/>
      <c r="I684" s="12" t="n"/>
      <c r="J684" s="12" t="n"/>
      <c r="K684" s="12" t="n"/>
      <c r="L684" s="11" t="n"/>
      <c r="M684" s="11" t="n"/>
      <c r="N684" s="11" t="n"/>
      <c r="O684" s="11" t="n"/>
      <c r="P684" s="12" t="n"/>
      <c r="Q684" s="11" t="n"/>
      <c r="R684" s="12" t="n"/>
      <c r="S684" s="11" t="n"/>
      <c r="T684" s="12" t="n"/>
      <c r="U684" s="12" t="n"/>
      <c r="V684" s="12" t="n"/>
      <c r="W684" s="13" t="n"/>
      <c r="X684" s="14">
        <f>IF($AP684="",IF($B684="","",$H684),IF(INDEX(職員マスタ!$B$6:$B$405,$AP684)="",$H684,INDEX(職員マスタ!$B$6:$B$405,$AP684)))</f>
        <v/>
      </c>
      <c r="Y684" s="14">
        <f>IF($AP684="",IF($B684="","",$R684),IF(INDEX(職員マスタ!$C$6:$C$405,$AP684)="",$R684,INDEX(職員マスタ!$C$6:$C$405,$AP684)))</f>
        <v/>
      </c>
      <c r="Z684" s="14">
        <f>IF($AQ684="","","R"&amp;$C684&amp;"."&amp;$D684)</f>
        <v/>
      </c>
      <c r="AA684" s="15">
        <f>IF(IF($AP684="",FALSE,INDEX(職員マスタ!$K$6:$K$405,$AP684)&lt;&gt;""),INDEX(職員マスタ!$K$6:$K$405,$AP684),IF(N($W684)&gt;0,$W684,""))</f>
        <v/>
      </c>
      <c r="AB684" s="14">
        <f>IF(OR($E684="",$AA684=""),"",IF($E684&gt;=$AA684,"×",IF($E684&gt;=$AA684*設定!$C$5,"△","○")))</f>
        <v/>
      </c>
      <c r="AC684" s="15">
        <f>IF($AB684="","",IF($AB684="×",0,IF($AB684="○",ROUNDDOWN($E684*設定!$C$4,0),ROUNDDOWN($E684*ROUND((9*$AA684-9*$E684)/(10*$E684),4),0))))</f>
        <v/>
      </c>
      <c r="AD684" s="13" t="n"/>
      <c r="AE684" s="15">
        <f>IF($B684="","",IF($AD684&lt;&gt;"",$AD684,IF($AC684="","",IF($AC684&lt;=設定!$C$3,0,$AC684))))</f>
        <v/>
      </c>
      <c r="AF684" s="14">
        <f>IF($B684="","",IF(AND($AG684&lt;&gt;"",$AI684="",$AL684=""),"保留中",IF($AL684&lt;&gt;"",IF(N($AE684)&gt;0,"支給済","不支給"),IF($AE684="","要確認",IF($AE684=0,"不支給","未処理")))))</f>
        <v/>
      </c>
      <c r="AG684" s="12" t="n"/>
      <c r="AH684" s="11" t="n"/>
      <c r="AI684" s="11" t="n"/>
      <c r="AJ684" s="11" t="n"/>
      <c r="AK684" s="14">
        <f>IF(AND($AF684="保留中",$AH684&lt;&gt;""),TODAY()-$AH684,"")</f>
        <v/>
      </c>
      <c r="AL684" s="12" t="n"/>
      <c r="AM684" s="14">
        <f>IF($B684="","",IF($AQ684="","対象年月が未入力／","")&amp;IF($B684="","",IF($AP684="","職員マスタに未登録の職員番号／",IF($AA684="","標準報酬月額が未登録／","")&amp;IF(AND($AQ684&lt;&gt;"",OR(AND(INDEX(職員マスタ!$G$6:$G$405,$AP684)&lt;&gt;"",INDEX(職員マスタ!$G$6:$G$405,$AP684)&gt;EOMONTH($AQ684,0)),AND(INDEX(職員マスタ!$H$6:$H$405,$AP684)&lt;&gt;"",INDEX(職員マスタ!$H$6:$H$405,$AP684)&lt;$AQ684))),"対象月が時短期間外／","")&amp;IF(AND(INDEX(職員マスタ!$K$6:$K$405,$AP684)&lt;&gt;"",N($W684)&gt;0,INDEX(職員マスタ!$K$6:$K$405,$AP684)&lt;&gt;$W684),"標準報酬月額が申請書と相違（台帳"&amp;TEXT(INDEX(職員マスタ!$K$6:$K$405,$AP684),"#,##0")&amp;"円／申請書"&amp;TEXT($W684,"#,##0")&amp;"円）／","")&amp;IF(AND(INDEX(職員マスタ!$F$6:$F$405,$AP684)&lt;&gt;"",$AQ684&lt;&gt;"",INDEX(職員マスタ!$F$6:$F$405,$AP684)&lt;$AQ684),"対象月に子が2歳到達済／","")&amp;IF(AND($H684&lt;&gt;"",INDEX(職員マスタ!$B$6:$B$405,$AP684)&lt;&gt;"",SUBSTITUTE(SUBSTITUTE($H684," ","")," ","")&lt;&gt;SUBSTITUTE(SUBSTITUTE(INDEX(職員マスタ!$B$6:$B$405,$AP684)," ","")," ","")),"氏名がマスタと相違／","")&amp;IF(AND($Q684&lt;&gt;"",INDEX(職員マスタ!$E$6:$E$405,$AP684)&lt;&gt;"",$Q684&lt;&gt;INDEX(職員マスタ!$E$6:$E$405,$AP684)),"子の生年月日がマスタと相違／","")&amp;IF(AND($L684&lt;&gt;"",INDEX(職員マスタ!$G$6:$G$405,$AP684)&lt;&gt;"",$L684&lt;&gt;INDEX(職員マスタ!$G$6:$G$405,$AP684)),"時短開始日がマスタと相違／","")&amp;IF(AND($M684&lt;&gt;"",INDEX(職員マスタ!$H$6:$H$405,$AP684)&lt;&gt;"",$M684&lt;&gt;INDEX(職員マスタ!$H$6:$H$405,$AP684)),"時短終了日がマスタと相違／","")))&amp;IF(AND($B684&lt;&gt;"",$E684=""),"報酬額が未入力／","")&amp;IF(N($U684)&gt;0,"申請書に入力エラーが残っています／","")&amp;IF(AND($B684&lt;&gt;"",$AQ684&lt;&gt;""),IF(COUNTIFS($B$6:$B$3005,$B684,$C$6:$C$3005,$C684,$D$6:$D$3005,$D684)&gt;1,"同じ月の請求が重複しています／",""),"")&amp;IF(AND(N($E684)&gt;0,$AB684&lt;&gt;"",$AB684&lt;&gt;"×",$AE684=0,$AD684=""),"計算額が下限以下のため不支給／",""))</f>
        <v/>
      </c>
      <c r="AN684" s="12" t="n"/>
      <c r="AO684" s="14">
        <f>IF($AF684="保留中",COUNTIF($AF$6:$AF684,"保留中"),"")</f>
        <v/>
      </c>
      <c r="AP684" s="14">
        <f>IF($AQ684="","",IF(SUMPRODUCT(MAX((職員マスタ!$A$6:$A$405=$B684)*(((職員マスタ!$G$6:$G$405="")+(職員マスタ!$G$6:$G$405&lt;=EOMONTH($AQ684,0)))&gt;0)*(((職員マスタ!$H$6:$H$405="")+(職員マスタ!$H$6:$H$405&gt;=$AQ684))&gt;0)*(ROW(職員マスタ!$A$6:$A$405)-5)))&gt;0,SUMPRODUCT(MAX((職員マスタ!$A$6:$A$405=$B684)*(((職員マスタ!$G$6:$G$405="")+(職員マスタ!$G$6:$G$405&lt;=EOMONTH($AQ684,0)))&gt;0)*(((職員マスタ!$H$6:$H$405="")+(職員マスタ!$H$6:$H$405&gt;=$AQ684))&gt;0)*(ROW(職員マスタ!$A$6:$A$405)-5))),IFERROR(MATCH($B684,職員マスタ!$A$6:$A$405,0),"")))</f>
        <v/>
      </c>
      <c r="AQ684" s="16">
        <f>IF(OR($B684="",$C684="",$D684=""),"",DATE($C684+2018,$D684,1))</f>
        <v/>
      </c>
    </row>
    <row r="685">
      <c r="A685" s="11" t="n"/>
      <c r="B685" s="12" t="n"/>
      <c r="C685" s="12" t="n"/>
      <c r="D685" s="12" t="n"/>
      <c r="E685" s="13" t="n"/>
      <c r="F685" s="12" t="n"/>
      <c r="G685" s="13" t="n"/>
      <c r="H685" s="12" t="n"/>
      <c r="I685" s="12" t="n"/>
      <c r="J685" s="12" t="n"/>
      <c r="K685" s="12" t="n"/>
      <c r="L685" s="11" t="n"/>
      <c r="M685" s="11" t="n"/>
      <c r="N685" s="11" t="n"/>
      <c r="O685" s="11" t="n"/>
      <c r="P685" s="12" t="n"/>
      <c r="Q685" s="11" t="n"/>
      <c r="R685" s="12" t="n"/>
      <c r="S685" s="11" t="n"/>
      <c r="T685" s="12" t="n"/>
      <c r="U685" s="12" t="n"/>
      <c r="V685" s="12" t="n"/>
      <c r="W685" s="13" t="n"/>
      <c r="X685" s="14">
        <f>IF($AP685="",IF($B685="","",$H685),IF(INDEX(職員マスタ!$B$6:$B$405,$AP685)="",$H685,INDEX(職員マスタ!$B$6:$B$405,$AP685)))</f>
        <v/>
      </c>
      <c r="Y685" s="14">
        <f>IF($AP685="",IF($B685="","",$R685),IF(INDEX(職員マスタ!$C$6:$C$405,$AP685)="",$R685,INDEX(職員マスタ!$C$6:$C$405,$AP685)))</f>
        <v/>
      </c>
      <c r="Z685" s="14">
        <f>IF($AQ685="","","R"&amp;$C685&amp;"."&amp;$D685)</f>
        <v/>
      </c>
      <c r="AA685" s="15">
        <f>IF(IF($AP685="",FALSE,INDEX(職員マスタ!$K$6:$K$405,$AP685)&lt;&gt;""),INDEX(職員マスタ!$K$6:$K$405,$AP685),IF(N($W685)&gt;0,$W685,""))</f>
        <v/>
      </c>
      <c r="AB685" s="14">
        <f>IF(OR($E685="",$AA685=""),"",IF($E685&gt;=$AA685,"×",IF($E685&gt;=$AA685*設定!$C$5,"△","○")))</f>
        <v/>
      </c>
      <c r="AC685" s="15">
        <f>IF($AB685="","",IF($AB685="×",0,IF($AB685="○",ROUNDDOWN($E685*設定!$C$4,0),ROUNDDOWN($E685*ROUND((9*$AA685-9*$E685)/(10*$E685),4),0))))</f>
        <v/>
      </c>
      <c r="AD685" s="13" t="n"/>
      <c r="AE685" s="15">
        <f>IF($B685="","",IF($AD685&lt;&gt;"",$AD685,IF($AC685="","",IF($AC685&lt;=設定!$C$3,0,$AC685))))</f>
        <v/>
      </c>
      <c r="AF685" s="14">
        <f>IF($B685="","",IF(AND($AG685&lt;&gt;"",$AI685="",$AL685=""),"保留中",IF($AL685&lt;&gt;"",IF(N($AE685)&gt;0,"支給済","不支給"),IF($AE685="","要確認",IF($AE685=0,"不支給","未処理")))))</f>
        <v/>
      </c>
      <c r="AG685" s="12" t="n"/>
      <c r="AH685" s="11" t="n"/>
      <c r="AI685" s="11" t="n"/>
      <c r="AJ685" s="11" t="n"/>
      <c r="AK685" s="14">
        <f>IF(AND($AF685="保留中",$AH685&lt;&gt;""),TODAY()-$AH685,"")</f>
        <v/>
      </c>
      <c r="AL685" s="12" t="n"/>
      <c r="AM685" s="14">
        <f>IF($B685="","",IF($AQ685="","対象年月が未入力／","")&amp;IF($B685="","",IF($AP685="","職員マスタに未登録の職員番号／",IF($AA685="","標準報酬月額が未登録／","")&amp;IF(AND($AQ685&lt;&gt;"",OR(AND(INDEX(職員マスタ!$G$6:$G$405,$AP685)&lt;&gt;"",INDEX(職員マスタ!$G$6:$G$405,$AP685)&gt;EOMONTH($AQ685,0)),AND(INDEX(職員マスタ!$H$6:$H$405,$AP685)&lt;&gt;"",INDEX(職員マスタ!$H$6:$H$405,$AP685)&lt;$AQ685))),"対象月が時短期間外／","")&amp;IF(AND(INDEX(職員マスタ!$K$6:$K$405,$AP685)&lt;&gt;"",N($W685)&gt;0,INDEX(職員マスタ!$K$6:$K$405,$AP685)&lt;&gt;$W685),"標準報酬月額が申請書と相違（台帳"&amp;TEXT(INDEX(職員マスタ!$K$6:$K$405,$AP685),"#,##0")&amp;"円／申請書"&amp;TEXT($W685,"#,##0")&amp;"円）／","")&amp;IF(AND(INDEX(職員マスタ!$F$6:$F$405,$AP685)&lt;&gt;"",$AQ685&lt;&gt;"",INDEX(職員マスタ!$F$6:$F$405,$AP685)&lt;$AQ685),"対象月に子が2歳到達済／","")&amp;IF(AND($H685&lt;&gt;"",INDEX(職員マスタ!$B$6:$B$405,$AP685)&lt;&gt;"",SUBSTITUTE(SUBSTITUTE($H685," ","")," ","")&lt;&gt;SUBSTITUTE(SUBSTITUTE(INDEX(職員マスタ!$B$6:$B$405,$AP685)," ","")," ","")),"氏名がマスタと相違／","")&amp;IF(AND($Q685&lt;&gt;"",INDEX(職員マスタ!$E$6:$E$405,$AP685)&lt;&gt;"",$Q685&lt;&gt;INDEX(職員マスタ!$E$6:$E$405,$AP685)),"子の生年月日がマスタと相違／","")&amp;IF(AND($L685&lt;&gt;"",INDEX(職員マスタ!$G$6:$G$405,$AP685)&lt;&gt;"",$L685&lt;&gt;INDEX(職員マスタ!$G$6:$G$405,$AP685)),"時短開始日がマスタと相違／","")&amp;IF(AND($M685&lt;&gt;"",INDEX(職員マスタ!$H$6:$H$405,$AP685)&lt;&gt;"",$M685&lt;&gt;INDEX(職員マスタ!$H$6:$H$405,$AP685)),"時短終了日がマスタと相違／","")))&amp;IF(AND($B685&lt;&gt;"",$E685=""),"報酬額が未入力／","")&amp;IF(N($U685)&gt;0,"申請書に入力エラーが残っています／","")&amp;IF(AND($B685&lt;&gt;"",$AQ685&lt;&gt;""),IF(COUNTIFS($B$6:$B$3005,$B685,$C$6:$C$3005,$C685,$D$6:$D$3005,$D685)&gt;1,"同じ月の請求が重複しています／",""),"")&amp;IF(AND(N($E685)&gt;0,$AB685&lt;&gt;"",$AB685&lt;&gt;"×",$AE685=0,$AD685=""),"計算額が下限以下のため不支給／",""))</f>
        <v/>
      </c>
      <c r="AN685" s="12" t="n"/>
      <c r="AO685" s="14">
        <f>IF($AF685="保留中",COUNTIF($AF$6:$AF685,"保留中"),"")</f>
        <v/>
      </c>
      <c r="AP685" s="14">
        <f>IF($AQ685="","",IF(SUMPRODUCT(MAX((職員マスタ!$A$6:$A$405=$B685)*(((職員マスタ!$G$6:$G$405="")+(職員マスタ!$G$6:$G$405&lt;=EOMONTH($AQ685,0)))&gt;0)*(((職員マスタ!$H$6:$H$405="")+(職員マスタ!$H$6:$H$405&gt;=$AQ685))&gt;0)*(ROW(職員マスタ!$A$6:$A$405)-5)))&gt;0,SUMPRODUCT(MAX((職員マスタ!$A$6:$A$405=$B685)*(((職員マスタ!$G$6:$G$405="")+(職員マスタ!$G$6:$G$405&lt;=EOMONTH($AQ685,0)))&gt;0)*(((職員マスタ!$H$6:$H$405="")+(職員マスタ!$H$6:$H$405&gt;=$AQ685))&gt;0)*(ROW(職員マスタ!$A$6:$A$405)-5))),IFERROR(MATCH($B685,職員マスタ!$A$6:$A$405,0),"")))</f>
        <v/>
      </c>
      <c r="AQ685" s="16">
        <f>IF(OR($B685="",$C685="",$D685=""),"",DATE($C685+2018,$D685,1))</f>
        <v/>
      </c>
    </row>
    <row r="686">
      <c r="A686" s="11" t="n"/>
      <c r="B686" s="12" t="n"/>
      <c r="C686" s="12" t="n"/>
      <c r="D686" s="12" t="n"/>
      <c r="E686" s="13" t="n"/>
      <c r="F686" s="12" t="n"/>
      <c r="G686" s="13" t="n"/>
      <c r="H686" s="12" t="n"/>
      <c r="I686" s="12" t="n"/>
      <c r="J686" s="12" t="n"/>
      <c r="K686" s="12" t="n"/>
      <c r="L686" s="11" t="n"/>
      <c r="M686" s="11" t="n"/>
      <c r="N686" s="11" t="n"/>
      <c r="O686" s="11" t="n"/>
      <c r="P686" s="12" t="n"/>
      <c r="Q686" s="11" t="n"/>
      <c r="R686" s="12" t="n"/>
      <c r="S686" s="11" t="n"/>
      <c r="T686" s="12" t="n"/>
      <c r="U686" s="12" t="n"/>
      <c r="V686" s="12" t="n"/>
      <c r="W686" s="13" t="n"/>
      <c r="X686" s="14">
        <f>IF($AP686="",IF($B686="","",$H686),IF(INDEX(職員マスタ!$B$6:$B$405,$AP686)="",$H686,INDEX(職員マスタ!$B$6:$B$405,$AP686)))</f>
        <v/>
      </c>
      <c r="Y686" s="14">
        <f>IF($AP686="",IF($B686="","",$R686),IF(INDEX(職員マスタ!$C$6:$C$405,$AP686)="",$R686,INDEX(職員マスタ!$C$6:$C$405,$AP686)))</f>
        <v/>
      </c>
      <c r="Z686" s="14">
        <f>IF($AQ686="","","R"&amp;$C686&amp;"."&amp;$D686)</f>
        <v/>
      </c>
      <c r="AA686" s="15">
        <f>IF(IF($AP686="",FALSE,INDEX(職員マスタ!$K$6:$K$405,$AP686)&lt;&gt;""),INDEX(職員マスタ!$K$6:$K$405,$AP686),IF(N($W686)&gt;0,$W686,""))</f>
        <v/>
      </c>
      <c r="AB686" s="14">
        <f>IF(OR($E686="",$AA686=""),"",IF($E686&gt;=$AA686,"×",IF($E686&gt;=$AA686*設定!$C$5,"△","○")))</f>
        <v/>
      </c>
      <c r="AC686" s="15">
        <f>IF($AB686="","",IF($AB686="×",0,IF($AB686="○",ROUNDDOWN($E686*設定!$C$4,0),ROUNDDOWN($E686*ROUND((9*$AA686-9*$E686)/(10*$E686),4),0))))</f>
        <v/>
      </c>
      <c r="AD686" s="13" t="n"/>
      <c r="AE686" s="15">
        <f>IF($B686="","",IF($AD686&lt;&gt;"",$AD686,IF($AC686="","",IF($AC686&lt;=設定!$C$3,0,$AC686))))</f>
        <v/>
      </c>
      <c r="AF686" s="14">
        <f>IF($B686="","",IF(AND($AG686&lt;&gt;"",$AI686="",$AL686=""),"保留中",IF($AL686&lt;&gt;"",IF(N($AE686)&gt;0,"支給済","不支給"),IF($AE686="","要確認",IF($AE686=0,"不支給","未処理")))))</f>
        <v/>
      </c>
      <c r="AG686" s="12" t="n"/>
      <c r="AH686" s="11" t="n"/>
      <c r="AI686" s="11" t="n"/>
      <c r="AJ686" s="11" t="n"/>
      <c r="AK686" s="14">
        <f>IF(AND($AF686="保留中",$AH686&lt;&gt;""),TODAY()-$AH686,"")</f>
        <v/>
      </c>
      <c r="AL686" s="12" t="n"/>
      <c r="AM686" s="14">
        <f>IF($B686="","",IF($AQ686="","対象年月が未入力／","")&amp;IF($B686="","",IF($AP686="","職員マスタに未登録の職員番号／",IF($AA686="","標準報酬月額が未登録／","")&amp;IF(AND($AQ686&lt;&gt;"",OR(AND(INDEX(職員マスタ!$G$6:$G$405,$AP686)&lt;&gt;"",INDEX(職員マスタ!$G$6:$G$405,$AP686)&gt;EOMONTH($AQ686,0)),AND(INDEX(職員マスタ!$H$6:$H$405,$AP686)&lt;&gt;"",INDEX(職員マスタ!$H$6:$H$405,$AP686)&lt;$AQ686))),"対象月が時短期間外／","")&amp;IF(AND(INDEX(職員マスタ!$K$6:$K$405,$AP686)&lt;&gt;"",N($W686)&gt;0,INDEX(職員マスタ!$K$6:$K$405,$AP686)&lt;&gt;$W686),"標準報酬月額が申請書と相違（台帳"&amp;TEXT(INDEX(職員マスタ!$K$6:$K$405,$AP686),"#,##0")&amp;"円／申請書"&amp;TEXT($W686,"#,##0")&amp;"円）／","")&amp;IF(AND(INDEX(職員マスタ!$F$6:$F$405,$AP686)&lt;&gt;"",$AQ686&lt;&gt;"",INDEX(職員マスタ!$F$6:$F$405,$AP686)&lt;$AQ686),"対象月に子が2歳到達済／","")&amp;IF(AND($H686&lt;&gt;"",INDEX(職員マスタ!$B$6:$B$405,$AP686)&lt;&gt;"",SUBSTITUTE(SUBSTITUTE($H686," ","")," ","")&lt;&gt;SUBSTITUTE(SUBSTITUTE(INDEX(職員マスタ!$B$6:$B$405,$AP686)," ","")," ","")),"氏名がマスタと相違／","")&amp;IF(AND($Q686&lt;&gt;"",INDEX(職員マスタ!$E$6:$E$405,$AP686)&lt;&gt;"",$Q686&lt;&gt;INDEX(職員マスタ!$E$6:$E$405,$AP686)),"子の生年月日がマスタと相違／","")&amp;IF(AND($L686&lt;&gt;"",INDEX(職員マスタ!$G$6:$G$405,$AP686)&lt;&gt;"",$L686&lt;&gt;INDEX(職員マスタ!$G$6:$G$405,$AP686)),"時短開始日がマスタと相違／","")&amp;IF(AND($M686&lt;&gt;"",INDEX(職員マスタ!$H$6:$H$405,$AP686)&lt;&gt;"",$M686&lt;&gt;INDEX(職員マスタ!$H$6:$H$405,$AP686)),"時短終了日がマスタと相違／","")))&amp;IF(AND($B686&lt;&gt;"",$E686=""),"報酬額が未入力／","")&amp;IF(N($U686)&gt;0,"申請書に入力エラーが残っています／","")&amp;IF(AND($B686&lt;&gt;"",$AQ686&lt;&gt;""),IF(COUNTIFS($B$6:$B$3005,$B686,$C$6:$C$3005,$C686,$D$6:$D$3005,$D686)&gt;1,"同じ月の請求が重複しています／",""),"")&amp;IF(AND(N($E686)&gt;0,$AB686&lt;&gt;"",$AB686&lt;&gt;"×",$AE686=0,$AD686=""),"計算額が下限以下のため不支給／",""))</f>
        <v/>
      </c>
      <c r="AN686" s="12" t="n"/>
      <c r="AO686" s="14">
        <f>IF($AF686="保留中",COUNTIF($AF$6:$AF686,"保留中"),"")</f>
        <v/>
      </c>
      <c r="AP686" s="14">
        <f>IF($AQ686="","",IF(SUMPRODUCT(MAX((職員マスタ!$A$6:$A$405=$B686)*(((職員マスタ!$G$6:$G$405="")+(職員マスタ!$G$6:$G$405&lt;=EOMONTH($AQ686,0)))&gt;0)*(((職員マスタ!$H$6:$H$405="")+(職員マスタ!$H$6:$H$405&gt;=$AQ686))&gt;0)*(ROW(職員マスタ!$A$6:$A$405)-5)))&gt;0,SUMPRODUCT(MAX((職員マスタ!$A$6:$A$405=$B686)*(((職員マスタ!$G$6:$G$405="")+(職員マスタ!$G$6:$G$405&lt;=EOMONTH($AQ686,0)))&gt;0)*(((職員マスタ!$H$6:$H$405="")+(職員マスタ!$H$6:$H$405&gt;=$AQ686))&gt;0)*(ROW(職員マスタ!$A$6:$A$405)-5))),IFERROR(MATCH($B686,職員マスタ!$A$6:$A$405,0),"")))</f>
        <v/>
      </c>
      <c r="AQ686" s="16">
        <f>IF(OR($B686="",$C686="",$D686=""),"",DATE($C686+2018,$D686,1))</f>
        <v/>
      </c>
    </row>
    <row r="687">
      <c r="A687" s="11" t="n"/>
      <c r="B687" s="12" t="n"/>
      <c r="C687" s="12" t="n"/>
      <c r="D687" s="12" t="n"/>
      <c r="E687" s="13" t="n"/>
      <c r="F687" s="12" t="n"/>
      <c r="G687" s="13" t="n"/>
      <c r="H687" s="12" t="n"/>
      <c r="I687" s="12" t="n"/>
      <c r="J687" s="12" t="n"/>
      <c r="K687" s="12" t="n"/>
      <c r="L687" s="11" t="n"/>
      <c r="M687" s="11" t="n"/>
      <c r="N687" s="11" t="n"/>
      <c r="O687" s="11" t="n"/>
      <c r="P687" s="12" t="n"/>
      <c r="Q687" s="11" t="n"/>
      <c r="R687" s="12" t="n"/>
      <c r="S687" s="11" t="n"/>
      <c r="T687" s="12" t="n"/>
      <c r="U687" s="12" t="n"/>
      <c r="V687" s="12" t="n"/>
      <c r="W687" s="13" t="n"/>
      <c r="X687" s="14">
        <f>IF($AP687="",IF($B687="","",$H687),IF(INDEX(職員マスタ!$B$6:$B$405,$AP687)="",$H687,INDEX(職員マスタ!$B$6:$B$405,$AP687)))</f>
        <v/>
      </c>
      <c r="Y687" s="14">
        <f>IF($AP687="",IF($B687="","",$R687),IF(INDEX(職員マスタ!$C$6:$C$405,$AP687)="",$R687,INDEX(職員マスタ!$C$6:$C$405,$AP687)))</f>
        <v/>
      </c>
      <c r="Z687" s="14">
        <f>IF($AQ687="","","R"&amp;$C687&amp;"."&amp;$D687)</f>
        <v/>
      </c>
      <c r="AA687" s="15">
        <f>IF(IF($AP687="",FALSE,INDEX(職員マスタ!$K$6:$K$405,$AP687)&lt;&gt;""),INDEX(職員マスタ!$K$6:$K$405,$AP687),IF(N($W687)&gt;0,$W687,""))</f>
        <v/>
      </c>
      <c r="AB687" s="14">
        <f>IF(OR($E687="",$AA687=""),"",IF($E687&gt;=$AA687,"×",IF($E687&gt;=$AA687*設定!$C$5,"△","○")))</f>
        <v/>
      </c>
      <c r="AC687" s="15">
        <f>IF($AB687="","",IF($AB687="×",0,IF($AB687="○",ROUNDDOWN($E687*設定!$C$4,0),ROUNDDOWN($E687*ROUND((9*$AA687-9*$E687)/(10*$E687),4),0))))</f>
        <v/>
      </c>
      <c r="AD687" s="13" t="n"/>
      <c r="AE687" s="15">
        <f>IF($B687="","",IF($AD687&lt;&gt;"",$AD687,IF($AC687="","",IF($AC687&lt;=設定!$C$3,0,$AC687))))</f>
        <v/>
      </c>
      <c r="AF687" s="14">
        <f>IF($B687="","",IF(AND($AG687&lt;&gt;"",$AI687="",$AL687=""),"保留中",IF($AL687&lt;&gt;"",IF(N($AE687)&gt;0,"支給済","不支給"),IF($AE687="","要確認",IF($AE687=0,"不支給","未処理")))))</f>
        <v/>
      </c>
      <c r="AG687" s="12" t="n"/>
      <c r="AH687" s="11" t="n"/>
      <c r="AI687" s="11" t="n"/>
      <c r="AJ687" s="11" t="n"/>
      <c r="AK687" s="14">
        <f>IF(AND($AF687="保留中",$AH687&lt;&gt;""),TODAY()-$AH687,"")</f>
        <v/>
      </c>
      <c r="AL687" s="12" t="n"/>
      <c r="AM687" s="14">
        <f>IF($B687="","",IF($AQ687="","対象年月が未入力／","")&amp;IF($B687="","",IF($AP687="","職員マスタに未登録の職員番号／",IF($AA687="","標準報酬月額が未登録／","")&amp;IF(AND($AQ687&lt;&gt;"",OR(AND(INDEX(職員マスタ!$G$6:$G$405,$AP687)&lt;&gt;"",INDEX(職員マスタ!$G$6:$G$405,$AP687)&gt;EOMONTH($AQ687,0)),AND(INDEX(職員マスタ!$H$6:$H$405,$AP687)&lt;&gt;"",INDEX(職員マスタ!$H$6:$H$405,$AP687)&lt;$AQ687))),"対象月が時短期間外／","")&amp;IF(AND(INDEX(職員マスタ!$K$6:$K$405,$AP687)&lt;&gt;"",N($W687)&gt;0,INDEX(職員マスタ!$K$6:$K$405,$AP687)&lt;&gt;$W687),"標準報酬月額が申請書と相違（台帳"&amp;TEXT(INDEX(職員マスタ!$K$6:$K$405,$AP687),"#,##0")&amp;"円／申請書"&amp;TEXT($W687,"#,##0")&amp;"円）／","")&amp;IF(AND(INDEX(職員マスタ!$F$6:$F$405,$AP687)&lt;&gt;"",$AQ687&lt;&gt;"",INDEX(職員マスタ!$F$6:$F$405,$AP687)&lt;$AQ687),"対象月に子が2歳到達済／","")&amp;IF(AND($H687&lt;&gt;"",INDEX(職員マスタ!$B$6:$B$405,$AP687)&lt;&gt;"",SUBSTITUTE(SUBSTITUTE($H687," ","")," ","")&lt;&gt;SUBSTITUTE(SUBSTITUTE(INDEX(職員マスタ!$B$6:$B$405,$AP687)," ","")," ","")),"氏名がマスタと相違／","")&amp;IF(AND($Q687&lt;&gt;"",INDEX(職員マスタ!$E$6:$E$405,$AP687)&lt;&gt;"",$Q687&lt;&gt;INDEX(職員マスタ!$E$6:$E$405,$AP687)),"子の生年月日がマスタと相違／","")&amp;IF(AND($L687&lt;&gt;"",INDEX(職員マスタ!$G$6:$G$405,$AP687)&lt;&gt;"",$L687&lt;&gt;INDEX(職員マスタ!$G$6:$G$405,$AP687)),"時短開始日がマスタと相違／","")&amp;IF(AND($M687&lt;&gt;"",INDEX(職員マスタ!$H$6:$H$405,$AP687)&lt;&gt;"",$M687&lt;&gt;INDEX(職員マスタ!$H$6:$H$405,$AP687)),"時短終了日がマスタと相違／","")))&amp;IF(AND($B687&lt;&gt;"",$E687=""),"報酬額が未入力／","")&amp;IF(N($U687)&gt;0,"申請書に入力エラーが残っています／","")&amp;IF(AND($B687&lt;&gt;"",$AQ687&lt;&gt;""),IF(COUNTIFS($B$6:$B$3005,$B687,$C$6:$C$3005,$C687,$D$6:$D$3005,$D687)&gt;1,"同じ月の請求が重複しています／",""),"")&amp;IF(AND(N($E687)&gt;0,$AB687&lt;&gt;"",$AB687&lt;&gt;"×",$AE687=0,$AD687=""),"計算額が下限以下のため不支給／",""))</f>
        <v/>
      </c>
      <c r="AN687" s="12" t="n"/>
      <c r="AO687" s="14">
        <f>IF($AF687="保留中",COUNTIF($AF$6:$AF687,"保留中"),"")</f>
        <v/>
      </c>
      <c r="AP687" s="14">
        <f>IF($AQ687="","",IF(SUMPRODUCT(MAX((職員マスタ!$A$6:$A$405=$B687)*(((職員マスタ!$G$6:$G$405="")+(職員マスタ!$G$6:$G$405&lt;=EOMONTH($AQ687,0)))&gt;0)*(((職員マスタ!$H$6:$H$405="")+(職員マスタ!$H$6:$H$405&gt;=$AQ687))&gt;0)*(ROW(職員マスタ!$A$6:$A$405)-5)))&gt;0,SUMPRODUCT(MAX((職員マスタ!$A$6:$A$405=$B687)*(((職員マスタ!$G$6:$G$405="")+(職員マスタ!$G$6:$G$405&lt;=EOMONTH($AQ687,0)))&gt;0)*(((職員マスタ!$H$6:$H$405="")+(職員マスタ!$H$6:$H$405&gt;=$AQ687))&gt;0)*(ROW(職員マスタ!$A$6:$A$405)-5))),IFERROR(MATCH($B687,職員マスタ!$A$6:$A$405,0),"")))</f>
        <v/>
      </c>
      <c r="AQ687" s="16">
        <f>IF(OR($B687="",$C687="",$D687=""),"",DATE($C687+2018,$D687,1))</f>
        <v/>
      </c>
    </row>
    <row r="688">
      <c r="A688" s="11" t="n"/>
      <c r="B688" s="12" t="n"/>
      <c r="C688" s="12" t="n"/>
      <c r="D688" s="12" t="n"/>
      <c r="E688" s="13" t="n"/>
      <c r="F688" s="12" t="n"/>
      <c r="G688" s="13" t="n"/>
      <c r="H688" s="12" t="n"/>
      <c r="I688" s="12" t="n"/>
      <c r="J688" s="12" t="n"/>
      <c r="K688" s="12" t="n"/>
      <c r="L688" s="11" t="n"/>
      <c r="M688" s="11" t="n"/>
      <c r="N688" s="11" t="n"/>
      <c r="O688" s="11" t="n"/>
      <c r="P688" s="12" t="n"/>
      <c r="Q688" s="11" t="n"/>
      <c r="R688" s="12" t="n"/>
      <c r="S688" s="11" t="n"/>
      <c r="T688" s="12" t="n"/>
      <c r="U688" s="12" t="n"/>
      <c r="V688" s="12" t="n"/>
      <c r="W688" s="13" t="n"/>
      <c r="X688" s="14">
        <f>IF($AP688="",IF($B688="","",$H688),IF(INDEX(職員マスタ!$B$6:$B$405,$AP688)="",$H688,INDEX(職員マスタ!$B$6:$B$405,$AP688)))</f>
        <v/>
      </c>
      <c r="Y688" s="14">
        <f>IF($AP688="",IF($B688="","",$R688),IF(INDEX(職員マスタ!$C$6:$C$405,$AP688)="",$R688,INDEX(職員マスタ!$C$6:$C$405,$AP688)))</f>
        <v/>
      </c>
      <c r="Z688" s="14">
        <f>IF($AQ688="","","R"&amp;$C688&amp;"."&amp;$D688)</f>
        <v/>
      </c>
      <c r="AA688" s="15">
        <f>IF(IF($AP688="",FALSE,INDEX(職員マスタ!$K$6:$K$405,$AP688)&lt;&gt;""),INDEX(職員マスタ!$K$6:$K$405,$AP688),IF(N($W688)&gt;0,$W688,""))</f>
        <v/>
      </c>
      <c r="AB688" s="14">
        <f>IF(OR($E688="",$AA688=""),"",IF($E688&gt;=$AA688,"×",IF($E688&gt;=$AA688*設定!$C$5,"△","○")))</f>
        <v/>
      </c>
      <c r="AC688" s="15">
        <f>IF($AB688="","",IF($AB688="×",0,IF($AB688="○",ROUNDDOWN($E688*設定!$C$4,0),ROUNDDOWN($E688*ROUND((9*$AA688-9*$E688)/(10*$E688),4),0))))</f>
        <v/>
      </c>
      <c r="AD688" s="13" t="n"/>
      <c r="AE688" s="15">
        <f>IF($B688="","",IF($AD688&lt;&gt;"",$AD688,IF($AC688="","",IF($AC688&lt;=設定!$C$3,0,$AC688))))</f>
        <v/>
      </c>
      <c r="AF688" s="14">
        <f>IF($B688="","",IF(AND($AG688&lt;&gt;"",$AI688="",$AL688=""),"保留中",IF($AL688&lt;&gt;"",IF(N($AE688)&gt;0,"支給済","不支給"),IF($AE688="","要確認",IF($AE688=0,"不支給","未処理")))))</f>
        <v/>
      </c>
      <c r="AG688" s="12" t="n"/>
      <c r="AH688" s="11" t="n"/>
      <c r="AI688" s="11" t="n"/>
      <c r="AJ688" s="11" t="n"/>
      <c r="AK688" s="14">
        <f>IF(AND($AF688="保留中",$AH688&lt;&gt;""),TODAY()-$AH688,"")</f>
        <v/>
      </c>
      <c r="AL688" s="12" t="n"/>
      <c r="AM688" s="14">
        <f>IF($B688="","",IF($AQ688="","対象年月が未入力／","")&amp;IF($B688="","",IF($AP688="","職員マスタに未登録の職員番号／",IF($AA688="","標準報酬月額が未登録／","")&amp;IF(AND($AQ688&lt;&gt;"",OR(AND(INDEX(職員マスタ!$G$6:$G$405,$AP688)&lt;&gt;"",INDEX(職員マスタ!$G$6:$G$405,$AP688)&gt;EOMONTH($AQ688,0)),AND(INDEX(職員マスタ!$H$6:$H$405,$AP688)&lt;&gt;"",INDEX(職員マスタ!$H$6:$H$405,$AP688)&lt;$AQ688))),"対象月が時短期間外／","")&amp;IF(AND(INDEX(職員マスタ!$K$6:$K$405,$AP688)&lt;&gt;"",N($W688)&gt;0,INDEX(職員マスタ!$K$6:$K$405,$AP688)&lt;&gt;$W688),"標準報酬月額が申請書と相違（台帳"&amp;TEXT(INDEX(職員マスタ!$K$6:$K$405,$AP688),"#,##0")&amp;"円／申請書"&amp;TEXT($W688,"#,##0")&amp;"円）／","")&amp;IF(AND(INDEX(職員マスタ!$F$6:$F$405,$AP688)&lt;&gt;"",$AQ688&lt;&gt;"",INDEX(職員マスタ!$F$6:$F$405,$AP688)&lt;$AQ688),"対象月に子が2歳到達済／","")&amp;IF(AND($H688&lt;&gt;"",INDEX(職員マスタ!$B$6:$B$405,$AP688)&lt;&gt;"",SUBSTITUTE(SUBSTITUTE($H688," ","")," ","")&lt;&gt;SUBSTITUTE(SUBSTITUTE(INDEX(職員マスタ!$B$6:$B$405,$AP688)," ","")," ","")),"氏名がマスタと相違／","")&amp;IF(AND($Q688&lt;&gt;"",INDEX(職員マスタ!$E$6:$E$405,$AP688)&lt;&gt;"",$Q688&lt;&gt;INDEX(職員マスタ!$E$6:$E$405,$AP688)),"子の生年月日がマスタと相違／","")&amp;IF(AND($L688&lt;&gt;"",INDEX(職員マスタ!$G$6:$G$405,$AP688)&lt;&gt;"",$L688&lt;&gt;INDEX(職員マスタ!$G$6:$G$405,$AP688)),"時短開始日がマスタと相違／","")&amp;IF(AND($M688&lt;&gt;"",INDEX(職員マスタ!$H$6:$H$405,$AP688)&lt;&gt;"",$M688&lt;&gt;INDEX(職員マスタ!$H$6:$H$405,$AP688)),"時短終了日がマスタと相違／","")))&amp;IF(AND($B688&lt;&gt;"",$E688=""),"報酬額が未入力／","")&amp;IF(N($U688)&gt;0,"申請書に入力エラーが残っています／","")&amp;IF(AND($B688&lt;&gt;"",$AQ688&lt;&gt;""),IF(COUNTIFS($B$6:$B$3005,$B688,$C$6:$C$3005,$C688,$D$6:$D$3005,$D688)&gt;1,"同じ月の請求が重複しています／",""),"")&amp;IF(AND(N($E688)&gt;0,$AB688&lt;&gt;"",$AB688&lt;&gt;"×",$AE688=0,$AD688=""),"計算額が下限以下のため不支給／",""))</f>
        <v/>
      </c>
      <c r="AN688" s="12" t="n"/>
      <c r="AO688" s="14">
        <f>IF($AF688="保留中",COUNTIF($AF$6:$AF688,"保留中"),"")</f>
        <v/>
      </c>
      <c r="AP688" s="14">
        <f>IF($AQ688="","",IF(SUMPRODUCT(MAX((職員マスタ!$A$6:$A$405=$B688)*(((職員マスタ!$G$6:$G$405="")+(職員マスタ!$G$6:$G$405&lt;=EOMONTH($AQ688,0)))&gt;0)*(((職員マスタ!$H$6:$H$405="")+(職員マスタ!$H$6:$H$405&gt;=$AQ688))&gt;0)*(ROW(職員マスタ!$A$6:$A$405)-5)))&gt;0,SUMPRODUCT(MAX((職員マスタ!$A$6:$A$405=$B688)*(((職員マスタ!$G$6:$G$405="")+(職員マスタ!$G$6:$G$405&lt;=EOMONTH($AQ688,0)))&gt;0)*(((職員マスタ!$H$6:$H$405="")+(職員マスタ!$H$6:$H$405&gt;=$AQ688))&gt;0)*(ROW(職員マスタ!$A$6:$A$405)-5))),IFERROR(MATCH($B688,職員マスタ!$A$6:$A$405,0),"")))</f>
        <v/>
      </c>
      <c r="AQ688" s="16">
        <f>IF(OR($B688="",$C688="",$D688=""),"",DATE($C688+2018,$D688,1))</f>
        <v/>
      </c>
    </row>
    <row r="689">
      <c r="A689" s="11" t="n"/>
      <c r="B689" s="12" t="n"/>
      <c r="C689" s="12" t="n"/>
      <c r="D689" s="12" t="n"/>
      <c r="E689" s="13" t="n"/>
      <c r="F689" s="12" t="n"/>
      <c r="G689" s="13" t="n"/>
      <c r="H689" s="12" t="n"/>
      <c r="I689" s="12" t="n"/>
      <c r="J689" s="12" t="n"/>
      <c r="K689" s="12" t="n"/>
      <c r="L689" s="11" t="n"/>
      <c r="M689" s="11" t="n"/>
      <c r="N689" s="11" t="n"/>
      <c r="O689" s="11" t="n"/>
      <c r="P689" s="12" t="n"/>
      <c r="Q689" s="11" t="n"/>
      <c r="R689" s="12" t="n"/>
      <c r="S689" s="11" t="n"/>
      <c r="T689" s="12" t="n"/>
      <c r="U689" s="12" t="n"/>
      <c r="V689" s="12" t="n"/>
      <c r="W689" s="13" t="n"/>
      <c r="X689" s="14">
        <f>IF($AP689="",IF($B689="","",$H689),IF(INDEX(職員マスタ!$B$6:$B$405,$AP689)="",$H689,INDEX(職員マスタ!$B$6:$B$405,$AP689)))</f>
        <v/>
      </c>
      <c r="Y689" s="14">
        <f>IF($AP689="",IF($B689="","",$R689),IF(INDEX(職員マスタ!$C$6:$C$405,$AP689)="",$R689,INDEX(職員マスタ!$C$6:$C$405,$AP689)))</f>
        <v/>
      </c>
      <c r="Z689" s="14">
        <f>IF($AQ689="","","R"&amp;$C689&amp;"."&amp;$D689)</f>
        <v/>
      </c>
      <c r="AA689" s="15">
        <f>IF(IF($AP689="",FALSE,INDEX(職員マスタ!$K$6:$K$405,$AP689)&lt;&gt;""),INDEX(職員マスタ!$K$6:$K$405,$AP689),IF(N($W689)&gt;0,$W689,""))</f>
        <v/>
      </c>
      <c r="AB689" s="14">
        <f>IF(OR($E689="",$AA689=""),"",IF($E689&gt;=$AA689,"×",IF($E689&gt;=$AA689*設定!$C$5,"△","○")))</f>
        <v/>
      </c>
      <c r="AC689" s="15">
        <f>IF($AB689="","",IF($AB689="×",0,IF($AB689="○",ROUNDDOWN($E689*設定!$C$4,0),ROUNDDOWN($E689*ROUND((9*$AA689-9*$E689)/(10*$E689),4),0))))</f>
        <v/>
      </c>
      <c r="AD689" s="13" t="n"/>
      <c r="AE689" s="15">
        <f>IF($B689="","",IF($AD689&lt;&gt;"",$AD689,IF($AC689="","",IF($AC689&lt;=設定!$C$3,0,$AC689))))</f>
        <v/>
      </c>
      <c r="AF689" s="14">
        <f>IF($B689="","",IF(AND($AG689&lt;&gt;"",$AI689="",$AL689=""),"保留中",IF($AL689&lt;&gt;"",IF(N($AE689)&gt;0,"支給済","不支給"),IF($AE689="","要確認",IF($AE689=0,"不支給","未処理")))))</f>
        <v/>
      </c>
      <c r="AG689" s="12" t="n"/>
      <c r="AH689" s="11" t="n"/>
      <c r="AI689" s="11" t="n"/>
      <c r="AJ689" s="11" t="n"/>
      <c r="AK689" s="14">
        <f>IF(AND($AF689="保留中",$AH689&lt;&gt;""),TODAY()-$AH689,"")</f>
        <v/>
      </c>
      <c r="AL689" s="12" t="n"/>
      <c r="AM689" s="14">
        <f>IF($B689="","",IF($AQ689="","対象年月が未入力／","")&amp;IF($B689="","",IF($AP689="","職員マスタに未登録の職員番号／",IF($AA689="","標準報酬月額が未登録／","")&amp;IF(AND($AQ689&lt;&gt;"",OR(AND(INDEX(職員マスタ!$G$6:$G$405,$AP689)&lt;&gt;"",INDEX(職員マスタ!$G$6:$G$405,$AP689)&gt;EOMONTH($AQ689,0)),AND(INDEX(職員マスタ!$H$6:$H$405,$AP689)&lt;&gt;"",INDEX(職員マスタ!$H$6:$H$405,$AP689)&lt;$AQ689))),"対象月が時短期間外／","")&amp;IF(AND(INDEX(職員マスタ!$K$6:$K$405,$AP689)&lt;&gt;"",N($W689)&gt;0,INDEX(職員マスタ!$K$6:$K$405,$AP689)&lt;&gt;$W689),"標準報酬月額が申請書と相違（台帳"&amp;TEXT(INDEX(職員マスタ!$K$6:$K$405,$AP689),"#,##0")&amp;"円／申請書"&amp;TEXT($W689,"#,##0")&amp;"円）／","")&amp;IF(AND(INDEX(職員マスタ!$F$6:$F$405,$AP689)&lt;&gt;"",$AQ689&lt;&gt;"",INDEX(職員マスタ!$F$6:$F$405,$AP689)&lt;$AQ689),"対象月に子が2歳到達済／","")&amp;IF(AND($H689&lt;&gt;"",INDEX(職員マスタ!$B$6:$B$405,$AP689)&lt;&gt;"",SUBSTITUTE(SUBSTITUTE($H689," ","")," ","")&lt;&gt;SUBSTITUTE(SUBSTITUTE(INDEX(職員マスタ!$B$6:$B$405,$AP689)," ","")," ","")),"氏名がマスタと相違／","")&amp;IF(AND($Q689&lt;&gt;"",INDEX(職員マスタ!$E$6:$E$405,$AP689)&lt;&gt;"",$Q689&lt;&gt;INDEX(職員マスタ!$E$6:$E$405,$AP689)),"子の生年月日がマスタと相違／","")&amp;IF(AND($L689&lt;&gt;"",INDEX(職員マスタ!$G$6:$G$405,$AP689)&lt;&gt;"",$L689&lt;&gt;INDEX(職員マスタ!$G$6:$G$405,$AP689)),"時短開始日がマスタと相違／","")&amp;IF(AND($M689&lt;&gt;"",INDEX(職員マスタ!$H$6:$H$405,$AP689)&lt;&gt;"",$M689&lt;&gt;INDEX(職員マスタ!$H$6:$H$405,$AP689)),"時短終了日がマスタと相違／","")))&amp;IF(AND($B689&lt;&gt;"",$E689=""),"報酬額が未入力／","")&amp;IF(N($U689)&gt;0,"申請書に入力エラーが残っています／","")&amp;IF(AND($B689&lt;&gt;"",$AQ689&lt;&gt;""),IF(COUNTIFS($B$6:$B$3005,$B689,$C$6:$C$3005,$C689,$D$6:$D$3005,$D689)&gt;1,"同じ月の請求が重複しています／",""),"")&amp;IF(AND(N($E689)&gt;0,$AB689&lt;&gt;"",$AB689&lt;&gt;"×",$AE689=0,$AD689=""),"計算額が下限以下のため不支給／",""))</f>
        <v/>
      </c>
      <c r="AN689" s="12" t="n"/>
      <c r="AO689" s="14">
        <f>IF($AF689="保留中",COUNTIF($AF$6:$AF689,"保留中"),"")</f>
        <v/>
      </c>
      <c r="AP689" s="14">
        <f>IF($AQ689="","",IF(SUMPRODUCT(MAX((職員マスタ!$A$6:$A$405=$B689)*(((職員マスタ!$G$6:$G$405="")+(職員マスタ!$G$6:$G$405&lt;=EOMONTH($AQ689,0)))&gt;0)*(((職員マスタ!$H$6:$H$405="")+(職員マスタ!$H$6:$H$405&gt;=$AQ689))&gt;0)*(ROW(職員マスタ!$A$6:$A$405)-5)))&gt;0,SUMPRODUCT(MAX((職員マスタ!$A$6:$A$405=$B689)*(((職員マスタ!$G$6:$G$405="")+(職員マスタ!$G$6:$G$405&lt;=EOMONTH($AQ689,0)))&gt;0)*(((職員マスタ!$H$6:$H$405="")+(職員マスタ!$H$6:$H$405&gt;=$AQ689))&gt;0)*(ROW(職員マスタ!$A$6:$A$405)-5))),IFERROR(MATCH($B689,職員マスタ!$A$6:$A$405,0),"")))</f>
        <v/>
      </c>
      <c r="AQ689" s="16">
        <f>IF(OR($B689="",$C689="",$D689=""),"",DATE($C689+2018,$D689,1))</f>
        <v/>
      </c>
    </row>
    <row r="690">
      <c r="A690" s="11" t="n"/>
      <c r="B690" s="12" t="n"/>
      <c r="C690" s="12" t="n"/>
      <c r="D690" s="12" t="n"/>
      <c r="E690" s="13" t="n"/>
      <c r="F690" s="12" t="n"/>
      <c r="G690" s="13" t="n"/>
      <c r="H690" s="12" t="n"/>
      <c r="I690" s="12" t="n"/>
      <c r="J690" s="12" t="n"/>
      <c r="K690" s="12" t="n"/>
      <c r="L690" s="11" t="n"/>
      <c r="M690" s="11" t="n"/>
      <c r="N690" s="11" t="n"/>
      <c r="O690" s="11" t="n"/>
      <c r="P690" s="12" t="n"/>
      <c r="Q690" s="11" t="n"/>
      <c r="R690" s="12" t="n"/>
      <c r="S690" s="11" t="n"/>
      <c r="T690" s="12" t="n"/>
      <c r="U690" s="12" t="n"/>
      <c r="V690" s="12" t="n"/>
      <c r="W690" s="13" t="n"/>
      <c r="X690" s="14">
        <f>IF($AP690="",IF($B690="","",$H690),IF(INDEX(職員マスタ!$B$6:$B$405,$AP690)="",$H690,INDEX(職員マスタ!$B$6:$B$405,$AP690)))</f>
        <v/>
      </c>
      <c r="Y690" s="14">
        <f>IF($AP690="",IF($B690="","",$R690),IF(INDEX(職員マスタ!$C$6:$C$405,$AP690)="",$R690,INDEX(職員マスタ!$C$6:$C$405,$AP690)))</f>
        <v/>
      </c>
      <c r="Z690" s="14">
        <f>IF($AQ690="","","R"&amp;$C690&amp;"."&amp;$D690)</f>
        <v/>
      </c>
      <c r="AA690" s="15">
        <f>IF(IF($AP690="",FALSE,INDEX(職員マスタ!$K$6:$K$405,$AP690)&lt;&gt;""),INDEX(職員マスタ!$K$6:$K$405,$AP690),IF(N($W690)&gt;0,$W690,""))</f>
        <v/>
      </c>
      <c r="AB690" s="14">
        <f>IF(OR($E690="",$AA690=""),"",IF($E690&gt;=$AA690,"×",IF($E690&gt;=$AA690*設定!$C$5,"△","○")))</f>
        <v/>
      </c>
      <c r="AC690" s="15">
        <f>IF($AB690="","",IF($AB690="×",0,IF($AB690="○",ROUNDDOWN($E690*設定!$C$4,0),ROUNDDOWN($E690*ROUND((9*$AA690-9*$E690)/(10*$E690),4),0))))</f>
        <v/>
      </c>
      <c r="AD690" s="13" t="n"/>
      <c r="AE690" s="15">
        <f>IF($B690="","",IF($AD690&lt;&gt;"",$AD690,IF($AC690="","",IF($AC690&lt;=設定!$C$3,0,$AC690))))</f>
        <v/>
      </c>
      <c r="AF690" s="14">
        <f>IF($B690="","",IF(AND($AG690&lt;&gt;"",$AI690="",$AL690=""),"保留中",IF($AL690&lt;&gt;"",IF(N($AE690)&gt;0,"支給済","不支給"),IF($AE690="","要確認",IF($AE690=0,"不支給","未処理")))))</f>
        <v/>
      </c>
      <c r="AG690" s="12" t="n"/>
      <c r="AH690" s="11" t="n"/>
      <c r="AI690" s="11" t="n"/>
      <c r="AJ690" s="11" t="n"/>
      <c r="AK690" s="14">
        <f>IF(AND($AF690="保留中",$AH690&lt;&gt;""),TODAY()-$AH690,"")</f>
        <v/>
      </c>
      <c r="AL690" s="12" t="n"/>
      <c r="AM690" s="14">
        <f>IF($B690="","",IF($AQ690="","対象年月が未入力／","")&amp;IF($B690="","",IF($AP690="","職員マスタに未登録の職員番号／",IF($AA690="","標準報酬月額が未登録／","")&amp;IF(AND($AQ690&lt;&gt;"",OR(AND(INDEX(職員マスタ!$G$6:$G$405,$AP690)&lt;&gt;"",INDEX(職員マスタ!$G$6:$G$405,$AP690)&gt;EOMONTH($AQ690,0)),AND(INDEX(職員マスタ!$H$6:$H$405,$AP690)&lt;&gt;"",INDEX(職員マスタ!$H$6:$H$405,$AP690)&lt;$AQ690))),"対象月が時短期間外／","")&amp;IF(AND(INDEX(職員マスタ!$K$6:$K$405,$AP690)&lt;&gt;"",N($W690)&gt;0,INDEX(職員マスタ!$K$6:$K$405,$AP690)&lt;&gt;$W690),"標準報酬月額が申請書と相違（台帳"&amp;TEXT(INDEX(職員マスタ!$K$6:$K$405,$AP690),"#,##0")&amp;"円／申請書"&amp;TEXT($W690,"#,##0")&amp;"円）／","")&amp;IF(AND(INDEX(職員マスタ!$F$6:$F$405,$AP690)&lt;&gt;"",$AQ690&lt;&gt;"",INDEX(職員マスタ!$F$6:$F$405,$AP690)&lt;$AQ690),"対象月に子が2歳到達済／","")&amp;IF(AND($H690&lt;&gt;"",INDEX(職員マスタ!$B$6:$B$405,$AP690)&lt;&gt;"",SUBSTITUTE(SUBSTITUTE($H690," ","")," ","")&lt;&gt;SUBSTITUTE(SUBSTITUTE(INDEX(職員マスタ!$B$6:$B$405,$AP690)," ","")," ","")),"氏名がマスタと相違／","")&amp;IF(AND($Q690&lt;&gt;"",INDEX(職員マスタ!$E$6:$E$405,$AP690)&lt;&gt;"",$Q690&lt;&gt;INDEX(職員マスタ!$E$6:$E$405,$AP690)),"子の生年月日がマスタと相違／","")&amp;IF(AND($L690&lt;&gt;"",INDEX(職員マスタ!$G$6:$G$405,$AP690)&lt;&gt;"",$L690&lt;&gt;INDEX(職員マスタ!$G$6:$G$405,$AP690)),"時短開始日がマスタと相違／","")&amp;IF(AND($M690&lt;&gt;"",INDEX(職員マスタ!$H$6:$H$405,$AP690)&lt;&gt;"",$M690&lt;&gt;INDEX(職員マスタ!$H$6:$H$405,$AP690)),"時短終了日がマスタと相違／","")))&amp;IF(AND($B690&lt;&gt;"",$E690=""),"報酬額が未入力／","")&amp;IF(N($U690)&gt;0,"申請書に入力エラーが残っています／","")&amp;IF(AND($B690&lt;&gt;"",$AQ690&lt;&gt;""),IF(COUNTIFS($B$6:$B$3005,$B690,$C$6:$C$3005,$C690,$D$6:$D$3005,$D690)&gt;1,"同じ月の請求が重複しています／",""),"")&amp;IF(AND(N($E690)&gt;0,$AB690&lt;&gt;"",$AB690&lt;&gt;"×",$AE690=0,$AD690=""),"計算額が下限以下のため不支給／",""))</f>
        <v/>
      </c>
      <c r="AN690" s="12" t="n"/>
      <c r="AO690" s="14">
        <f>IF($AF690="保留中",COUNTIF($AF$6:$AF690,"保留中"),"")</f>
        <v/>
      </c>
      <c r="AP690" s="14">
        <f>IF($AQ690="","",IF(SUMPRODUCT(MAX((職員マスタ!$A$6:$A$405=$B690)*(((職員マスタ!$G$6:$G$405="")+(職員マスタ!$G$6:$G$405&lt;=EOMONTH($AQ690,0)))&gt;0)*(((職員マスタ!$H$6:$H$405="")+(職員マスタ!$H$6:$H$405&gt;=$AQ690))&gt;0)*(ROW(職員マスタ!$A$6:$A$405)-5)))&gt;0,SUMPRODUCT(MAX((職員マスタ!$A$6:$A$405=$B690)*(((職員マスタ!$G$6:$G$405="")+(職員マスタ!$G$6:$G$405&lt;=EOMONTH($AQ690,0)))&gt;0)*(((職員マスタ!$H$6:$H$405="")+(職員マスタ!$H$6:$H$405&gt;=$AQ690))&gt;0)*(ROW(職員マスタ!$A$6:$A$405)-5))),IFERROR(MATCH($B690,職員マスタ!$A$6:$A$405,0),"")))</f>
        <v/>
      </c>
      <c r="AQ690" s="16">
        <f>IF(OR($B690="",$C690="",$D690=""),"",DATE($C690+2018,$D690,1))</f>
        <v/>
      </c>
    </row>
    <row r="691">
      <c r="A691" s="11" t="n"/>
      <c r="B691" s="12" t="n"/>
      <c r="C691" s="12" t="n"/>
      <c r="D691" s="12" t="n"/>
      <c r="E691" s="13" t="n"/>
      <c r="F691" s="12" t="n"/>
      <c r="G691" s="13" t="n"/>
      <c r="H691" s="12" t="n"/>
      <c r="I691" s="12" t="n"/>
      <c r="J691" s="12" t="n"/>
      <c r="K691" s="12" t="n"/>
      <c r="L691" s="11" t="n"/>
      <c r="M691" s="11" t="n"/>
      <c r="N691" s="11" t="n"/>
      <c r="O691" s="11" t="n"/>
      <c r="P691" s="12" t="n"/>
      <c r="Q691" s="11" t="n"/>
      <c r="R691" s="12" t="n"/>
      <c r="S691" s="11" t="n"/>
      <c r="T691" s="12" t="n"/>
      <c r="U691" s="12" t="n"/>
      <c r="V691" s="12" t="n"/>
      <c r="W691" s="13" t="n"/>
      <c r="X691" s="14">
        <f>IF($AP691="",IF($B691="","",$H691),IF(INDEX(職員マスタ!$B$6:$B$405,$AP691)="",$H691,INDEX(職員マスタ!$B$6:$B$405,$AP691)))</f>
        <v/>
      </c>
      <c r="Y691" s="14">
        <f>IF($AP691="",IF($B691="","",$R691),IF(INDEX(職員マスタ!$C$6:$C$405,$AP691)="",$R691,INDEX(職員マスタ!$C$6:$C$405,$AP691)))</f>
        <v/>
      </c>
      <c r="Z691" s="14">
        <f>IF($AQ691="","","R"&amp;$C691&amp;"."&amp;$D691)</f>
        <v/>
      </c>
      <c r="AA691" s="15">
        <f>IF(IF($AP691="",FALSE,INDEX(職員マスタ!$K$6:$K$405,$AP691)&lt;&gt;""),INDEX(職員マスタ!$K$6:$K$405,$AP691),IF(N($W691)&gt;0,$W691,""))</f>
        <v/>
      </c>
      <c r="AB691" s="14">
        <f>IF(OR($E691="",$AA691=""),"",IF($E691&gt;=$AA691,"×",IF($E691&gt;=$AA691*設定!$C$5,"△","○")))</f>
        <v/>
      </c>
      <c r="AC691" s="15">
        <f>IF($AB691="","",IF($AB691="×",0,IF($AB691="○",ROUNDDOWN($E691*設定!$C$4,0),ROUNDDOWN($E691*ROUND((9*$AA691-9*$E691)/(10*$E691),4),0))))</f>
        <v/>
      </c>
      <c r="AD691" s="13" t="n"/>
      <c r="AE691" s="15">
        <f>IF($B691="","",IF($AD691&lt;&gt;"",$AD691,IF($AC691="","",IF($AC691&lt;=設定!$C$3,0,$AC691))))</f>
        <v/>
      </c>
      <c r="AF691" s="14">
        <f>IF($B691="","",IF(AND($AG691&lt;&gt;"",$AI691="",$AL691=""),"保留中",IF($AL691&lt;&gt;"",IF(N($AE691)&gt;0,"支給済","不支給"),IF($AE691="","要確認",IF($AE691=0,"不支給","未処理")))))</f>
        <v/>
      </c>
      <c r="AG691" s="12" t="n"/>
      <c r="AH691" s="11" t="n"/>
      <c r="AI691" s="11" t="n"/>
      <c r="AJ691" s="11" t="n"/>
      <c r="AK691" s="14">
        <f>IF(AND($AF691="保留中",$AH691&lt;&gt;""),TODAY()-$AH691,"")</f>
        <v/>
      </c>
      <c r="AL691" s="12" t="n"/>
      <c r="AM691" s="14">
        <f>IF($B691="","",IF($AQ691="","対象年月が未入力／","")&amp;IF($B691="","",IF($AP691="","職員マスタに未登録の職員番号／",IF($AA691="","標準報酬月額が未登録／","")&amp;IF(AND($AQ691&lt;&gt;"",OR(AND(INDEX(職員マスタ!$G$6:$G$405,$AP691)&lt;&gt;"",INDEX(職員マスタ!$G$6:$G$405,$AP691)&gt;EOMONTH($AQ691,0)),AND(INDEX(職員マスタ!$H$6:$H$405,$AP691)&lt;&gt;"",INDEX(職員マスタ!$H$6:$H$405,$AP691)&lt;$AQ691))),"対象月が時短期間外／","")&amp;IF(AND(INDEX(職員マスタ!$K$6:$K$405,$AP691)&lt;&gt;"",N($W691)&gt;0,INDEX(職員マスタ!$K$6:$K$405,$AP691)&lt;&gt;$W691),"標準報酬月額が申請書と相違（台帳"&amp;TEXT(INDEX(職員マスタ!$K$6:$K$405,$AP691),"#,##0")&amp;"円／申請書"&amp;TEXT($W691,"#,##0")&amp;"円）／","")&amp;IF(AND(INDEX(職員マスタ!$F$6:$F$405,$AP691)&lt;&gt;"",$AQ691&lt;&gt;"",INDEX(職員マスタ!$F$6:$F$405,$AP691)&lt;$AQ691),"対象月に子が2歳到達済／","")&amp;IF(AND($H691&lt;&gt;"",INDEX(職員マスタ!$B$6:$B$405,$AP691)&lt;&gt;"",SUBSTITUTE(SUBSTITUTE($H691," ","")," ","")&lt;&gt;SUBSTITUTE(SUBSTITUTE(INDEX(職員マスタ!$B$6:$B$405,$AP691)," ","")," ","")),"氏名がマスタと相違／","")&amp;IF(AND($Q691&lt;&gt;"",INDEX(職員マスタ!$E$6:$E$405,$AP691)&lt;&gt;"",$Q691&lt;&gt;INDEX(職員マスタ!$E$6:$E$405,$AP691)),"子の生年月日がマスタと相違／","")&amp;IF(AND($L691&lt;&gt;"",INDEX(職員マスタ!$G$6:$G$405,$AP691)&lt;&gt;"",$L691&lt;&gt;INDEX(職員マスタ!$G$6:$G$405,$AP691)),"時短開始日がマスタと相違／","")&amp;IF(AND($M691&lt;&gt;"",INDEX(職員マスタ!$H$6:$H$405,$AP691)&lt;&gt;"",$M691&lt;&gt;INDEX(職員マスタ!$H$6:$H$405,$AP691)),"時短終了日がマスタと相違／","")))&amp;IF(AND($B691&lt;&gt;"",$E691=""),"報酬額が未入力／","")&amp;IF(N($U691)&gt;0,"申請書に入力エラーが残っています／","")&amp;IF(AND($B691&lt;&gt;"",$AQ691&lt;&gt;""),IF(COUNTIFS($B$6:$B$3005,$B691,$C$6:$C$3005,$C691,$D$6:$D$3005,$D691)&gt;1,"同じ月の請求が重複しています／",""),"")&amp;IF(AND(N($E691)&gt;0,$AB691&lt;&gt;"",$AB691&lt;&gt;"×",$AE691=0,$AD691=""),"計算額が下限以下のため不支給／",""))</f>
        <v/>
      </c>
      <c r="AN691" s="12" t="n"/>
      <c r="AO691" s="14">
        <f>IF($AF691="保留中",COUNTIF($AF$6:$AF691,"保留中"),"")</f>
        <v/>
      </c>
      <c r="AP691" s="14">
        <f>IF($AQ691="","",IF(SUMPRODUCT(MAX((職員マスタ!$A$6:$A$405=$B691)*(((職員マスタ!$G$6:$G$405="")+(職員マスタ!$G$6:$G$405&lt;=EOMONTH($AQ691,0)))&gt;0)*(((職員マスタ!$H$6:$H$405="")+(職員マスタ!$H$6:$H$405&gt;=$AQ691))&gt;0)*(ROW(職員マスタ!$A$6:$A$405)-5)))&gt;0,SUMPRODUCT(MAX((職員マスタ!$A$6:$A$405=$B691)*(((職員マスタ!$G$6:$G$405="")+(職員マスタ!$G$6:$G$405&lt;=EOMONTH($AQ691,0)))&gt;0)*(((職員マスタ!$H$6:$H$405="")+(職員マスタ!$H$6:$H$405&gt;=$AQ691))&gt;0)*(ROW(職員マスタ!$A$6:$A$405)-5))),IFERROR(MATCH($B691,職員マスタ!$A$6:$A$405,0),"")))</f>
        <v/>
      </c>
      <c r="AQ691" s="16">
        <f>IF(OR($B691="",$C691="",$D691=""),"",DATE($C691+2018,$D691,1))</f>
        <v/>
      </c>
    </row>
    <row r="692">
      <c r="A692" s="11" t="n"/>
      <c r="B692" s="12" t="n"/>
      <c r="C692" s="12" t="n"/>
      <c r="D692" s="12" t="n"/>
      <c r="E692" s="13" t="n"/>
      <c r="F692" s="12" t="n"/>
      <c r="G692" s="13" t="n"/>
      <c r="H692" s="12" t="n"/>
      <c r="I692" s="12" t="n"/>
      <c r="J692" s="12" t="n"/>
      <c r="K692" s="12" t="n"/>
      <c r="L692" s="11" t="n"/>
      <c r="M692" s="11" t="n"/>
      <c r="N692" s="11" t="n"/>
      <c r="O692" s="11" t="n"/>
      <c r="P692" s="12" t="n"/>
      <c r="Q692" s="11" t="n"/>
      <c r="R692" s="12" t="n"/>
      <c r="S692" s="11" t="n"/>
      <c r="T692" s="12" t="n"/>
      <c r="U692" s="12" t="n"/>
      <c r="V692" s="12" t="n"/>
      <c r="W692" s="13" t="n"/>
      <c r="X692" s="14">
        <f>IF($AP692="",IF($B692="","",$H692),IF(INDEX(職員マスタ!$B$6:$B$405,$AP692)="",$H692,INDEX(職員マスタ!$B$6:$B$405,$AP692)))</f>
        <v/>
      </c>
      <c r="Y692" s="14">
        <f>IF($AP692="",IF($B692="","",$R692),IF(INDEX(職員マスタ!$C$6:$C$405,$AP692)="",$R692,INDEX(職員マスタ!$C$6:$C$405,$AP692)))</f>
        <v/>
      </c>
      <c r="Z692" s="14">
        <f>IF($AQ692="","","R"&amp;$C692&amp;"."&amp;$D692)</f>
        <v/>
      </c>
      <c r="AA692" s="15">
        <f>IF(IF($AP692="",FALSE,INDEX(職員マスタ!$K$6:$K$405,$AP692)&lt;&gt;""),INDEX(職員マスタ!$K$6:$K$405,$AP692),IF(N($W692)&gt;0,$W692,""))</f>
        <v/>
      </c>
      <c r="AB692" s="14">
        <f>IF(OR($E692="",$AA692=""),"",IF($E692&gt;=$AA692,"×",IF($E692&gt;=$AA692*設定!$C$5,"△","○")))</f>
        <v/>
      </c>
      <c r="AC692" s="15">
        <f>IF($AB692="","",IF($AB692="×",0,IF($AB692="○",ROUNDDOWN($E692*設定!$C$4,0),ROUNDDOWN($E692*ROUND((9*$AA692-9*$E692)/(10*$E692),4),0))))</f>
        <v/>
      </c>
      <c r="AD692" s="13" t="n"/>
      <c r="AE692" s="15">
        <f>IF($B692="","",IF($AD692&lt;&gt;"",$AD692,IF($AC692="","",IF($AC692&lt;=設定!$C$3,0,$AC692))))</f>
        <v/>
      </c>
      <c r="AF692" s="14">
        <f>IF($B692="","",IF(AND($AG692&lt;&gt;"",$AI692="",$AL692=""),"保留中",IF($AL692&lt;&gt;"",IF(N($AE692)&gt;0,"支給済","不支給"),IF($AE692="","要確認",IF($AE692=0,"不支給","未処理")))))</f>
        <v/>
      </c>
      <c r="AG692" s="12" t="n"/>
      <c r="AH692" s="11" t="n"/>
      <c r="AI692" s="11" t="n"/>
      <c r="AJ692" s="11" t="n"/>
      <c r="AK692" s="14">
        <f>IF(AND($AF692="保留中",$AH692&lt;&gt;""),TODAY()-$AH692,"")</f>
        <v/>
      </c>
      <c r="AL692" s="12" t="n"/>
      <c r="AM692" s="14">
        <f>IF($B692="","",IF($AQ692="","対象年月が未入力／","")&amp;IF($B692="","",IF($AP692="","職員マスタに未登録の職員番号／",IF($AA692="","標準報酬月額が未登録／","")&amp;IF(AND($AQ692&lt;&gt;"",OR(AND(INDEX(職員マスタ!$G$6:$G$405,$AP692)&lt;&gt;"",INDEX(職員マスタ!$G$6:$G$405,$AP692)&gt;EOMONTH($AQ692,0)),AND(INDEX(職員マスタ!$H$6:$H$405,$AP692)&lt;&gt;"",INDEX(職員マスタ!$H$6:$H$405,$AP692)&lt;$AQ692))),"対象月が時短期間外／","")&amp;IF(AND(INDEX(職員マスタ!$K$6:$K$405,$AP692)&lt;&gt;"",N($W692)&gt;0,INDEX(職員マスタ!$K$6:$K$405,$AP692)&lt;&gt;$W692),"標準報酬月額が申請書と相違（台帳"&amp;TEXT(INDEX(職員マスタ!$K$6:$K$405,$AP692),"#,##0")&amp;"円／申請書"&amp;TEXT($W692,"#,##0")&amp;"円）／","")&amp;IF(AND(INDEX(職員マスタ!$F$6:$F$405,$AP692)&lt;&gt;"",$AQ692&lt;&gt;"",INDEX(職員マスタ!$F$6:$F$405,$AP692)&lt;$AQ692),"対象月に子が2歳到達済／","")&amp;IF(AND($H692&lt;&gt;"",INDEX(職員マスタ!$B$6:$B$405,$AP692)&lt;&gt;"",SUBSTITUTE(SUBSTITUTE($H692," ","")," ","")&lt;&gt;SUBSTITUTE(SUBSTITUTE(INDEX(職員マスタ!$B$6:$B$405,$AP692)," ","")," ","")),"氏名がマスタと相違／","")&amp;IF(AND($Q692&lt;&gt;"",INDEX(職員マスタ!$E$6:$E$405,$AP692)&lt;&gt;"",$Q692&lt;&gt;INDEX(職員マスタ!$E$6:$E$405,$AP692)),"子の生年月日がマスタと相違／","")&amp;IF(AND($L692&lt;&gt;"",INDEX(職員マスタ!$G$6:$G$405,$AP692)&lt;&gt;"",$L692&lt;&gt;INDEX(職員マスタ!$G$6:$G$405,$AP692)),"時短開始日がマスタと相違／","")&amp;IF(AND($M692&lt;&gt;"",INDEX(職員マスタ!$H$6:$H$405,$AP692)&lt;&gt;"",$M692&lt;&gt;INDEX(職員マスタ!$H$6:$H$405,$AP692)),"時短終了日がマスタと相違／","")))&amp;IF(AND($B692&lt;&gt;"",$E692=""),"報酬額が未入力／","")&amp;IF(N($U692)&gt;0,"申請書に入力エラーが残っています／","")&amp;IF(AND($B692&lt;&gt;"",$AQ692&lt;&gt;""),IF(COUNTIFS($B$6:$B$3005,$B692,$C$6:$C$3005,$C692,$D$6:$D$3005,$D692)&gt;1,"同じ月の請求が重複しています／",""),"")&amp;IF(AND(N($E692)&gt;0,$AB692&lt;&gt;"",$AB692&lt;&gt;"×",$AE692=0,$AD692=""),"計算額が下限以下のため不支給／",""))</f>
        <v/>
      </c>
      <c r="AN692" s="12" t="n"/>
      <c r="AO692" s="14">
        <f>IF($AF692="保留中",COUNTIF($AF$6:$AF692,"保留中"),"")</f>
        <v/>
      </c>
      <c r="AP692" s="14">
        <f>IF($AQ692="","",IF(SUMPRODUCT(MAX((職員マスタ!$A$6:$A$405=$B692)*(((職員マスタ!$G$6:$G$405="")+(職員マスタ!$G$6:$G$405&lt;=EOMONTH($AQ692,0)))&gt;0)*(((職員マスタ!$H$6:$H$405="")+(職員マスタ!$H$6:$H$405&gt;=$AQ692))&gt;0)*(ROW(職員マスタ!$A$6:$A$405)-5)))&gt;0,SUMPRODUCT(MAX((職員マスタ!$A$6:$A$405=$B692)*(((職員マスタ!$G$6:$G$405="")+(職員マスタ!$G$6:$G$405&lt;=EOMONTH($AQ692,0)))&gt;0)*(((職員マスタ!$H$6:$H$405="")+(職員マスタ!$H$6:$H$405&gt;=$AQ692))&gt;0)*(ROW(職員マスタ!$A$6:$A$405)-5))),IFERROR(MATCH($B692,職員マスタ!$A$6:$A$405,0),"")))</f>
        <v/>
      </c>
      <c r="AQ692" s="16">
        <f>IF(OR($B692="",$C692="",$D692=""),"",DATE($C692+2018,$D692,1))</f>
        <v/>
      </c>
    </row>
    <row r="693">
      <c r="A693" s="11" t="n"/>
      <c r="B693" s="12" t="n"/>
      <c r="C693" s="12" t="n"/>
      <c r="D693" s="12" t="n"/>
      <c r="E693" s="13" t="n"/>
      <c r="F693" s="12" t="n"/>
      <c r="G693" s="13" t="n"/>
      <c r="H693" s="12" t="n"/>
      <c r="I693" s="12" t="n"/>
      <c r="J693" s="12" t="n"/>
      <c r="K693" s="12" t="n"/>
      <c r="L693" s="11" t="n"/>
      <c r="M693" s="11" t="n"/>
      <c r="N693" s="11" t="n"/>
      <c r="O693" s="11" t="n"/>
      <c r="P693" s="12" t="n"/>
      <c r="Q693" s="11" t="n"/>
      <c r="R693" s="12" t="n"/>
      <c r="S693" s="11" t="n"/>
      <c r="T693" s="12" t="n"/>
      <c r="U693" s="12" t="n"/>
      <c r="V693" s="12" t="n"/>
      <c r="W693" s="13" t="n"/>
      <c r="X693" s="14">
        <f>IF($AP693="",IF($B693="","",$H693),IF(INDEX(職員マスタ!$B$6:$B$405,$AP693)="",$H693,INDEX(職員マスタ!$B$6:$B$405,$AP693)))</f>
        <v/>
      </c>
      <c r="Y693" s="14">
        <f>IF($AP693="",IF($B693="","",$R693),IF(INDEX(職員マスタ!$C$6:$C$405,$AP693)="",$R693,INDEX(職員マスタ!$C$6:$C$405,$AP693)))</f>
        <v/>
      </c>
      <c r="Z693" s="14">
        <f>IF($AQ693="","","R"&amp;$C693&amp;"."&amp;$D693)</f>
        <v/>
      </c>
      <c r="AA693" s="15">
        <f>IF(IF($AP693="",FALSE,INDEX(職員マスタ!$K$6:$K$405,$AP693)&lt;&gt;""),INDEX(職員マスタ!$K$6:$K$405,$AP693),IF(N($W693)&gt;0,$W693,""))</f>
        <v/>
      </c>
      <c r="AB693" s="14">
        <f>IF(OR($E693="",$AA693=""),"",IF($E693&gt;=$AA693,"×",IF($E693&gt;=$AA693*設定!$C$5,"△","○")))</f>
        <v/>
      </c>
      <c r="AC693" s="15">
        <f>IF($AB693="","",IF($AB693="×",0,IF($AB693="○",ROUNDDOWN($E693*設定!$C$4,0),ROUNDDOWN($E693*ROUND((9*$AA693-9*$E693)/(10*$E693),4),0))))</f>
        <v/>
      </c>
      <c r="AD693" s="13" t="n"/>
      <c r="AE693" s="15">
        <f>IF($B693="","",IF($AD693&lt;&gt;"",$AD693,IF($AC693="","",IF($AC693&lt;=設定!$C$3,0,$AC693))))</f>
        <v/>
      </c>
      <c r="AF693" s="14">
        <f>IF($B693="","",IF(AND($AG693&lt;&gt;"",$AI693="",$AL693=""),"保留中",IF($AL693&lt;&gt;"",IF(N($AE693)&gt;0,"支給済","不支給"),IF($AE693="","要確認",IF($AE693=0,"不支給","未処理")))))</f>
        <v/>
      </c>
      <c r="AG693" s="12" t="n"/>
      <c r="AH693" s="11" t="n"/>
      <c r="AI693" s="11" t="n"/>
      <c r="AJ693" s="11" t="n"/>
      <c r="AK693" s="14">
        <f>IF(AND($AF693="保留中",$AH693&lt;&gt;""),TODAY()-$AH693,"")</f>
        <v/>
      </c>
      <c r="AL693" s="12" t="n"/>
      <c r="AM693" s="14">
        <f>IF($B693="","",IF($AQ693="","対象年月が未入力／","")&amp;IF($B693="","",IF($AP693="","職員マスタに未登録の職員番号／",IF($AA693="","標準報酬月額が未登録／","")&amp;IF(AND($AQ693&lt;&gt;"",OR(AND(INDEX(職員マスタ!$G$6:$G$405,$AP693)&lt;&gt;"",INDEX(職員マスタ!$G$6:$G$405,$AP693)&gt;EOMONTH($AQ693,0)),AND(INDEX(職員マスタ!$H$6:$H$405,$AP693)&lt;&gt;"",INDEX(職員マスタ!$H$6:$H$405,$AP693)&lt;$AQ693))),"対象月が時短期間外／","")&amp;IF(AND(INDEX(職員マスタ!$K$6:$K$405,$AP693)&lt;&gt;"",N($W693)&gt;0,INDEX(職員マスタ!$K$6:$K$405,$AP693)&lt;&gt;$W693),"標準報酬月額が申請書と相違（台帳"&amp;TEXT(INDEX(職員マスタ!$K$6:$K$405,$AP693),"#,##0")&amp;"円／申請書"&amp;TEXT($W693,"#,##0")&amp;"円）／","")&amp;IF(AND(INDEX(職員マスタ!$F$6:$F$405,$AP693)&lt;&gt;"",$AQ693&lt;&gt;"",INDEX(職員マスタ!$F$6:$F$405,$AP693)&lt;$AQ693),"対象月に子が2歳到達済／","")&amp;IF(AND($H693&lt;&gt;"",INDEX(職員マスタ!$B$6:$B$405,$AP693)&lt;&gt;"",SUBSTITUTE(SUBSTITUTE($H693," ","")," ","")&lt;&gt;SUBSTITUTE(SUBSTITUTE(INDEX(職員マスタ!$B$6:$B$405,$AP693)," ","")," ","")),"氏名がマスタと相違／","")&amp;IF(AND($Q693&lt;&gt;"",INDEX(職員マスタ!$E$6:$E$405,$AP693)&lt;&gt;"",$Q693&lt;&gt;INDEX(職員マスタ!$E$6:$E$405,$AP693)),"子の生年月日がマスタと相違／","")&amp;IF(AND($L693&lt;&gt;"",INDEX(職員マスタ!$G$6:$G$405,$AP693)&lt;&gt;"",$L693&lt;&gt;INDEX(職員マスタ!$G$6:$G$405,$AP693)),"時短開始日がマスタと相違／","")&amp;IF(AND($M693&lt;&gt;"",INDEX(職員マスタ!$H$6:$H$405,$AP693)&lt;&gt;"",$M693&lt;&gt;INDEX(職員マスタ!$H$6:$H$405,$AP693)),"時短終了日がマスタと相違／","")))&amp;IF(AND($B693&lt;&gt;"",$E693=""),"報酬額が未入力／","")&amp;IF(N($U693)&gt;0,"申請書に入力エラーが残っています／","")&amp;IF(AND($B693&lt;&gt;"",$AQ693&lt;&gt;""),IF(COUNTIFS($B$6:$B$3005,$B693,$C$6:$C$3005,$C693,$D$6:$D$3005,$D693)&gt;1,"同じ月の請求が重複しています／",""),"")&amp;IF(AND(N($E693)&gt;0,$AB693&lt;&gt;"",$AB693&lt;&gt;"×",$AE693=0,$AD693=""),"計算額が下限以下のため不支給／",""))</f>
        <v/>
      </c>
      <c r="AN693" s="12" t="n"/>
      <c r="AO693" s="14">
        <f>IF($AF693="保留中",COUNTIF($AF$6:$AF693,"保留中"),"")</f>
        <v/>
      </c>
      <c r="AP693" s="14">
        <f>IF($AQ693="","",IF(SUMPRODUCT(MAX((職員マスタ!$A$6:$A$405=$B693)*(((職員マスタ!$G$6:$G$405="")+(職員マスタ!$G$6:$G$405&lt;=EOMONTH($AQ693,0)))&gt;0)*(((職員マスタ!$H$6:$H$405="")+(職員マスタ!$H$6:$H$405&gt;=$AQ693))&gt;0)*(ROW(職員マスタ!$A$6:$A$405)-5)))&gt;0,SUMPRODUCT(MAX((職員マスタ!$A$6:$A$405=$B693)*(((職員マスタ!$G$6:$G$405="")+(職員マスタ!$G$6:$G$405&lt;=EOMONTH($AQ693,0)))&gt;0)*(((職員マスタ!$H$6:$H$405="")+(職員マスタ!$H$6:$H$405&gt;=$AQ693))&gt;0)*(ROW(職員マスタ!$A$6:$A$405)-5))),IFERROR(MATCH($B693,職員マスタ!$A$6:$A$405,0),"")))</f>
        <v/>
      </c>
      <c r="AQ693" s="16">
        <f>IF(OR($B693="",$C693="",$D693=""),"",DATE($C693+2018,$D693,1))</f>
        <v/>
      </c>
    </row>
    <row r="694">
      <c r="A694" s="11" t="n"/>
      <c r="B694" s="12" t="n"/>
      <c r="C694" s="12" t="n"/>
      <c r="D694" s="12" t="n"/>
      <c r="E694" s="13" t="n"/>
      <c r="F694" s="12" t="n"/>
      <c r="G694" s="13" t="n"/>
      <c r="H694" s="12" t="n"/>
      <c r="I694" s="12" t="n"/>
      <c r="J694" s="12" t="n"/>
      <c r="K694" s="12" t="n"/>
      <c r="L694" s="11" t="n"/>
      <c r="M694" s="11" t="n"/>
      <c r="N694" s="11" t="n"/>
      <c r="O694" s="11" t="n"/>
      <c r="P694" s="12" t="n"/>
      <c r="Q694" s="11" t="n"/>
      <c r="R694" s="12" t="n"/>
      <c r="S694" s="11" t="n"/>
      <c r="T694" s="12" t="n"/>
      <c r="U694" s="12" t="n"/>
      <c r="V694" s="12" t="n"/>
      <c r="W694" s="13" t="n"/>
      <c r="X694" s="14">
        <f>IF($AP694="",IF($B694="","",$H694),IF(INDEX(職員マスタ!$B$6:$B$405,$AP694)="",$H694,INDEX(職員マスタ!$B$6:$B$405,$AP694)))</f>
        <v/>
      </c>
      <c r="Y694" s="14">
        <f>IF($AP694="",IF($B694="","",$R694),IF(INDEX(職員マスタ!$C$6:$C$405,$AP694)="",$R694,INDEX(職員マスタ!$C$6:$C$405,$AP694)))</f>
        <v/>
      </c>
      <c r="Z694" s="14">
        <f>IF($AQ694="","","R"&amp;$C694&amp;"."&amp;$D694)</f>
        <v/>
      </c>
      <c r="AA694" s="15">
        <f>IF(IF($AP694="",FALSE,INDEX(職員マスタ!$K$6:$K$405,$AP694)&lt;&gt;""),INDEX(職員マスタ!$K$6:$K$405,$AP694),IF(N($W694)&gt;0,$W694,""))</f>
        <v/>
      </c>
      <c r="AB694" s="14">
        <f>IF(OR($E694="",$AA694=""),"",IF($E694&gt;=$AA694,"×",IF($E694&gt;=$AA694*設定!$C$5,"△","○")))</f>
        <v/>
      </c>
      <c r="AC694" s="15">
        <f>IF($AB694="","",IF($AB694="×",0,IF($AB694="○",ROUNDDOWN($E694*設定!$C$4,0),ROUNDDOWN($E694*ROUND((9*$AA694-9*$E694)/(10*$E694),4),0))))</f>
        <v/>
      </c>
      <c r="AD694" s="13" t="n"/>
      <c r="AE694" s="15">
        <f>IF($B694="","",IF($AD694&lt;&gt;"",$AD694,IF($AC694="","",IF($AC694&lt;=設定!$C$3,0,$AC694))))</f>
        <v/>
      </c>
      <c r="AF694" s="14">
        <f>IF($B694="","",IF(AND($AG694&lt;&gt;"",$AI694="",$AL694=""),"保留中",IF($AL694&lt;&gt;"",IF(N($AE694)&gt;0,"支給済","不支給"),IF($AE694="","要確認",IF($AE694=0,"不支給","未処理")))))</f>
        <v/>
      </c>
      <c r="AG694" s="12" t="n"/>
      <c r="AH694" s="11" t="n"/>
      <c r="AI694" s="11" t="n"/>
      <c r="AJ694" s="11" t="n"/>
      <c r="AK694" s="14">
        <f>IF(AND($AF694="保留中",$AH694&lt;&gt;""),TODAY()-$AH694,"")</f>
        <v/>
      </c>
      <c r="AL694" s="12" t="n"/>
      <c r="AM694" s="14">
        <f>IF($B694="","",IF($AQ694="","対象年月が未入力／","")&amp;IF($B694="","",IF($AP694="","職員マスタに未登録の職員番号／",IF($AA694="","標準報酬月額が未登録／","")&amp;IF(AND($AQ694&lt;&gt;"",OR(AND(INDEX(職員マスタ!$G$6:$G$405,$AP694)&lt;&gt;"",INDEX(職員マスタ!$G$6:$G$405,$AP694)&gt;EOMONTH($AQ694,0)),AND(INDEX(職員マスタ!$H$6:$H$405,$AP694)&lt;&gt;"",INDEX(職員マスタ!$H$6:$H$405,$AP694)&lt;$AQ694))),"対象月が時短期間外／","")&amp;IF(AND(INDEX(職員マスタ!$K$6:$K$405,$AP694)&lt;&gt;"",N($W694)&gt;0,INDEX(職員マスタ!$K$6:$K$405,$AP694)&lt;&gt;$W694),"標準報酬月額が申請書と相違（台帳"&amp;TEXT(INDEX(職員マスタ!$K$6:$K$405,$AP694),"#,##0")&amp;"円／申請書"&amp;TEXT($W694,"#,##0")&amp;"円）／","")&amp;IF(AND(INDEX(職員マスタ!$F$6:$F$405,$AP694)&lt;&gt;"",$AQ694&lt;&gt;"",INDEX(職員マスタ!$F$6:$F$405,$AP694)&lt;$AQ694),"対象月に子が2歳到達済／","")&amp;IF(AND($H694&lt;&gt;"",INDEX(職員マスタ!$B$6:$B$405,$AP694)&lt;&gt;"",SUBSTITUTE(SUBSTITUTE($H694," ","")," ","")&lt;&gt;SUBSTITUTE(SUBSTITUTE(INDEX(職員マスタ!$B$6:$B$405,$AP694)," ","")," ","")),"氏名がマスタと相違／","")&amp;IF(AND($Q694&lt;&gt;"",INDEX(職員マスタ!$E$6:$E$405,$AP694)&lt;&gt;"",$Q694&lt;&gt;INDEX(職員マスタ!$E$6:$E$405,$AP694)),"子の生年月日がマスタと相違／","")&amp;IF(AND($L694&lt;&gt;"",INDEX(職員マスタ!$G$6:$G$405,$AP694)&lt;&gt;"",$L694&lt;&gt;INDEX(職員マスタ!$G$6:$G$405,$AP694)),"時短開始日がマスタと相違／","")&amp;IF(AND($M694&lt;&gt;"",INDEX(職員マスタ!$H$6:$H$405,$AP694)&lt;&gt;"",$M694&lt;&gt;INDEX(職員マスタ!$H$6:$H$405,$AP694)),"時短終了日がマスタと相違／","")))&amp;IF(AND($B694&lt;&gt;"",$E694=""),"報酬額が未入力／","")&amp;IF(N($U694)&gt;0,"申請書に入力エラーが残っています／","")&amp;IF(AND($B694&lt;&gt;"",$AQ694&lt;&gt;""),IF(COUNTIFS($B$6:$B$3005,$B694,$C$6:$C$3005,$C694,$D$6:$D$3005,$D694)&gt;1,"同じ月の請求が重複しています／",""),"")&amp;IF(AND(N($E694)&gt;0,$AB694&lt;&gt;"",$AB694&lt;&gt;"×",$AE694=0,$AD694=""),"計算額が下限以下のため不支給／",""))</f>
        <v/>
      </c>
      <c r="AN694" s="12" t="n"/>
      <c r="AO694" s="14">
        <f>IF($AF694="保留中",COUNTIF($AF$6:$AF694,"保留中"),"")</f>
        <v/>
      </c>
      <c r="AP694" s="14">
        <f>IF($AQ694="","",IF(SUMPRODUCT(MAX((職員マスタ!$A$6:$A$405=$B694)*(((職員マスタ!$G$6:$G$405="")+(職員マスタ!$G$6:$G$405&lt;=EOMONTH($AQ694,0)))&gt;0)*(((職員マスタ!$H$6:$H$405="")+(職員マスタ!$H$6:$H$405&gt;=$AQ694))&gt;0)*(ROW(職員マスタ!$A$6:$A$405)-5)))&gt;0,SUMPRODUCT(MAX((職員マスタ!$A$6:$A$405=$B694)*(((職員マスタ!$G$6:$G$405="")+(職員マスタ!$G$6:$G$405&lt;=EOMONTH($AQ694,0)))&gt;0)*(((職員マスタ!$H$6:$H$405="")+(職員マスタ!$H$6:$H$405&gt;=$AQ694))&gt;0)*(ROW(職員マスタ!$A$6:$A$405)-5))),IFERROR(MATCH($B694,職員マスタ!$A$6:$A$405,0),"")))</f>
        <v/>
      </c>
      <c r="AQ694" s="16">
        <f>IF(OR($B694="",$C694="",$D694=""),"",DATE($C694+2018,$D694,1))</f>
        <v/>
      </c>
    </row>
    <row r="695">
      <c r="A695" s="11" t="n"/>
      <c r="B695" s="12" t="n"/>
      <c r="C695" s="12" t="n"/>
      <c r="D695" s="12" t="n"/>
      <c r="E695" s="13" t="n"/>
      <c r="F695" s="12" t="n"/>
      <c r="G695" s="13" t="n"/>
      <c r="H695" s="12" t="n"/>
      <c r="I695" s="12" t="n"/>
      <c r="J695" s="12" t="n"/>
      <c r="K695" s="12" t="n"/>
      <c r="L695" s="11" t="n"/>
      <c r="M695" s="11" t="n"/>
      <c r="N695" s="11" t="n"/>
      <c r="O695" s="11" t="n"/>
      <c r="P695" s="12" t="n"/>
      <c r="Q695" s="11" t="n"/>
      <c r="R695" s="12" t="n"/>
      <c r="S695" s="11" t="n"/>
      <c r="T695" s="12" t="n"/>
      <c r="U695" s="12" t="n"/>
      <c r="V695" s="12" t="n"/>
      <c r="W695" s="13" t="n"/>
      <c r="X695" s="14">
        <f>IF($AP695="",IF($B695="","",$H695),IF(INDEX(職員マスタ!$B$6:$B$405,$AP695)="",$H695,INDEX(職員マスタ!$B$6:$B$405,$AP695)))</f>
        <v/>
      </c>
      <c r="Y695" s="14">
        <f>IF($AP695="",IF($B695="","",$R695),IF(INDEX(職員マスタ!$C$6:$C$405,$AP695)="",$R695,INDEX(職員マスタ!$C$6:$C$405,$AP695)))</f>
        <v/>
      </c>
      <c r="Z695" s="14">
        <f>IF($AQ695="","","R"&amp;$C695&amp;"."&amp;$D695)</f>
        <v/>
      </c>
      <c r="AA695" s="15">
        <f>IF(IF($AP695="",FALSE,INDEX(職員マスタ!$K$6:$K$405,$AP695)&lt;&gt;""),INDEX(職員マスタ!$K$6:$K$405,$AP695),IF(N($W695)&gt;0,$W695,""))</f>
        <v/>
      </c>
      <c r="AB695" s="14">
        <f>IF(OR($E695="",$AA695=""),"",IF($E695&gt;=$AA695,"×",IF($E695&gt;=$AA695*設定!$C$5,"△","○")))</f>
        <v/>
      </c>
      <c r="AC695" s="15">
        <f>IF($AB695="","",IF($AB695="×",0,IF($AB695="○",ROUNDDOWN($E695*設定!$C$4,0),ROUNDDOWN($E695*ROUND((9*$AA695-9*$E695)/(10*$E695),4),0))))</f>
        <v/>
      </c>
      <c r="AD695" s="13" t="n"/>
      <c r="AE695" s="15">
        <f>IF($B695="","",IF($AD695&lt;&gt;"",$AD695,IF($AC695="","",IF($AC695&lt;=設定!$C$3,0,$AC695))))</f>
        <v/>
      </c>
      <c r="AF695" s="14">
        <f>IF($B695="","",IF(AND($AG695&lt;&gt;"",$AI695="",$AL695=""),"保留中",IF($AL695&lt;&gt;"",IF(N($AE695)&gt;0,"支給済","不支給"),IF($AE695="","要確認",IF($AE695=0,"不支給","未処理")))))</f>
        <v/>
      </c>
      <c r="AG695" s="12" t="n"/>
      <c r="AH695" s="11" t="n"/>
      <c r="AI695" s="11" t="n"/>
      <c r="AJ695" s="11" t="n"/>
      <c r="AK695" s="14">
        <f>IF(AND($AF695="保留中",$AH695&lt;&gt;""),TODAY()-$AH695,"")</f>
        <v/>
      </c>
      <c r="AL695" s="12" t="n"/>
      <c r="AM695" s="14">
        <f>IF($B695="","",IF($AQ695="","対象年月が未入力／","")&amp;IF($B695="","",IF($AP695="","職員マスタに未登録の職員番号／",IF($AA695="","標準報酬月額が未登録／","")&amp;IF(AND($AQ695&lt;&gt;"",OR(AND(INDEX(職員マスタ!$G$6:$G$405,$AP695)&lt;&gt;"",INDEX(職員マスタ!$G$6:$G$405,$AP695)&gt;EOMONTH($AQ695,0)),AND(INDEX(職員マスタ!$H$6:$H$405,$AP695)&lt;&gt;"",INDEX(職員マスタ!$H$6:$H$405,$AP695)&lt;$AQ695))),"対象月が時短期間外／","")&amp;IF(AND(INDEX(職員マスタ!$K$6:$K$405,$AP695)&lt;&gt;"",N($W695)&gt;0,INDEX(職員マスタ!$K$6:$K$405,$AP695)&lt;&gt;$W695),"標準報酬月額が申請書と相違（台帳"&amp;TEXT(INDEX(職員マスタ!$K$6:$K$405,$AP695),"#,##0")&amp;"円／申請書"&amp;TEXT($W695,"#,##0")&amp;"円）／","")&amp;IF(AND(INDEX(職員マスタ!$F$6:$F$405,$AP695)&lt;&gt;"",$AQ695&lt;&gt;"",INDEX(職員マスタ!$F$6:$F$405,$AP695)&lt;$AQ695),"対象月に子が2歳到達済／","")&amp;IF(AND($H695&lt;&gt;"",INDEX(職員マスタ!$B$6:$B$405,$AP695)&lt;&gt;"",SUBSTITUTE(SUBSTITUTE($H695," ","")," ","")&lt;&gt;SUBSTITUTE(SUBSTITUTE(INDEX(職員マスタ!$B$6:$B$405,$AP695)," ","")," ","")),"氏名がマスタと相違／","")&amp;IF(AND($Q695&lt;&gt;"",INDEX(職員マスタ!$E$6:$E$405,$AP695)&lt;&gt;"",$Q695&lt;&gt;INDEX(職員マスタ!$E$6:$E$405,$AP695)),"子の生年月日がマスタと相違／","")&amp;IF(AND($L695&lt;&gt;"",INDEX(職員マスタ!$G$6:$G$405,$AP695)&lt;&gt;"",$L695&lt;&gt;INDEX(職員マスタ!$G$6:$G$405,$AP695)),"時短開始日がマスタと相違／","")&amp;IF(AND($M695&lt;&gt;"",INDEX(職員マスタ!$H$6:$H$405,$AP695)&lt;&gt;"",$M695&lt;&gt;INDEX(職員マスタ!$H$6:$H$405,$AP695)),"時短終了日がマスタと相違／","")))&amp;IF(AND($B695&lt;&gt;"",$E695=""),"報酬額が未入力／","")&amp;IF(N($U695)&gt;0,"申請書に入力エラーが残っています／","")&amp;IF(AND($B695&lt;&gt;"",$AQ695&lt;&gt;""),IF(COUNTIFS($B$6:$B$3005,$B695,$C$6:$C$3005,$C695,$D$6:$D$3005,$D695)&gt;1,"同じ月の請求が重複しています／",""),"")&amp;IF(AND(N($E695)&gt;0,$AB695&lt;&gt;"",$AB695&lt;&gt;"×",$AE695=0,$AD695=""),"計算額が下限以下のため不支給／",""))</f>
        <v/>
      </c>
      <c r="AN695" s="12" t="n"/>
      <c r="AO695" s="14">
        <f>IF($AF695="保留中",COUNTIF($AF$6:$AF695,"保留中"),"")</f>
        <v/>
      </c>
      <c r="AP695" s="14">
        <f>IF($AQ695="","",IF(SUMPRODUCT(MAX((職員マスタ!$A$6:$A$405=$B695)*(((職員マスタ!$G$6:$G$405="")+(職員マスタ!$G$6:$G$405&lt;=EOMONTH($AQ695,0)))&gt;0)*(((職員マスタ!$H$6:$H$405="")+(職員マスタ!$H$6:$H$405&gt;=$AQ695))&gt;0)*(ROW(職員マスタ!$A$6:$A$405)-5)))&gt;0,SUMPRODUCT(MAX((職員マスタ!$A$6:$A$405=$B695)*(((職員マスタ!$G$6:$G$405="")+(職員マスタ!$G$6:$G$405&lt;=EOMONTH($AQ695,0)))&gt;0)*(((職員マスタ!$H$6:$H$405="")+(職員マスタ!$H$6:$H$405&gt;=$AQ695))&gt;0)*(ROW(職員マスタ!$A$6:$A$405)-5))),IFERROR(MATCH($B695,職員マスタ!$A$6:$A$405,0),"")))</f>
        <v/>
      </c>
      <c r="AQ695" s="16">
        <f>IF(OR($B695="",$C695="",$D695=""),"",DATE($C695+2018,$D695,1))</f>
        <v/>
      </c>
    </row>
    <row r="696">
      <c r="A696" s="11" t="n"/>
      <c r="B696" s="12" t="n"/>
      <c r="C696" s="12" t="n"/>
      <c r="D696" s="12" t="n"/>
      <c r="E696" s="13" t="n"/>
      <c r="F696" s="12" t="n"/>
      <c r="G696" s="13" t="n"/>
      <c r="H696" s="12" t="n"/>
      <c r="I696" s="12" t="n"/>
      <c r="J696" s="12" t="n"/>
      <c r="K696" s="12" t="n"/>
      <c r="L696" s="11" t="n"/>
      <c r="M696" s="11" t="n"/>
      <c r="N696" s="11" t="n"/>
      <c r="O696" s="11" t="n"/>
      <c r="P696" s="12" t="n"/>
      <c r="Q696" s="11" t="n"/>
      <c r="R696" s="12" t="n"/>
      <c r="S696" s="11" t="n"/>
      <c r="T696" s="12" t="n"/>
      <c r="U696" s="12" t="n"/>
      <c r="V696" s="12" t="n"/>
      <c r="W696" s="13" t="n"/>
      <c r="X696" s="14">
        <f>IF($AP696="",IF($B696="","",$H696),IF(INDEX(職員マスタ!$B$6:$B$405,$AP696)="",$H696,INDEX(職員マスタ!$B$6:$B$405,$AP696)))</f>
        <v/>
      </c>
      <c r="Y696" s="14">
        <f>IF($AP696="",IF($B696="","",$R696),IF(INDEX(職員マスタ!$C$6:$C$405,$AP696)="",$R696,INDEX(職員マスタ!$C$6:$C$405,$AP696)))</f>
        <v/>
      </c>
      <c r="Z696" s="14">
        <f>IF($AQ696="","","R"&amp;$C696&amp;"."&amp;$D696)</f>
        <v/>
      </c>
      <c r="AA696" s="15">
        <f>IF(IF($AP696="",FALSE,INDEX(職員マスタ!$K$6:$K$405,$AP696)&lt;&gt;""),INDEX(職員マスタ!$K$6:$K$405,$AP696),IF(N($W696)&gt;0,$W696,""))</f>
        <v/>
      </c>
      <c r="AB696" s="14">
        <f>IF(OR($E696="",$AA696=""),"",IF($E696&gt;=$AA696,"×",IF($E696&gt;=$AA696*設定!$C$5,"△","○")))</f>
        <v/>
      </c>
      <c r="AC696" s="15">
        <f>IF($AB696="","",IF($AB696="×",0,IF($AB696="○",ROUNDDOWN($E696*設定!$C$4,0),ROUNDDOWN($E696*ROUND((9*$AA696-9*$E696)/(10*$E696),4),0))))</f>
        <v/>
      </c>
      <c r="AD696" s="13" t="n"/>
      <c r="AE696" s="15">
        <f>IF($B696="","",IF($AD696&lt;&gt;"",$AD696,IF($AC696="","",IF($AC696&lt;=設定!$C$3,0,$AC696))))</f>
        <v/>
      </c>
      <c r="AF696" s="14">
        <f>IF($B696="","",IF(AND($AG696&lt;&gt;"",$AI696="",$AL696=""),"保留中",IF($AL696&lt;&gt;"",IF(N($AE696)&gt;0,"支給済","不支給"),IF($AE696="","要確認",IF($AE696=0,"不支給","未処理")))))</f>
        <v/>
      </c>
      <c r="AG696" s="12" t="n"/>
      <c r="AH696" s="11" t="n"/>
      <c r="AI696" s="11" t="n"/>
      <c r="AJ696" s="11" t="n"/>
      <c r="AK696" s="14">
        <f>IF(AND($AF696="保留中",$AH696&lt;&gt;""),TODAY()-$AH696,"")</f>
        <v/>
      </c>
      <c r="AL696" s="12" t="n"/>
      <c r="AM696" s="14">
        <f>IF($B696="","",IF($AQ696="","対象年月が未入力／","")&amp;IF($B696="","",IF($AP696="","職員マスタに未登録の職員番号／",IF($AA696="","標準報酬月額が未登録／","")&amp;IF(AND($AQ696&lt;&gt;"",OR(AND(INDEX(職員マスタ!$G$6:$G$405,$AP696)&lt;&gt;"",INDEX(職員マスタ!$G$6:$G$405,$AP696)&gt;EOMONTH($AQ696,0)),AND(INDEX(職員マスタ!$H$6:$H$405,$AP696)&lt;&gt;"",INDEX(職員マスタ!$H$6:$H$405,$AP696)&lt;$AQ696))),"対象月が時短期間外／","")&amp;IF(AND(INDEX(職員マスタ!$K$6:$K$405,$AP696)&lt;&gt;"",N($W696)&gt;0,INDEX(職員マスタ!$K$6:$K$405,$AP696)&lt;&gt;$W696),"標準報酬月額が申請書と相違（台帳"&amp;TEXT(INDEX(職員マスタ!$K$6:$K$405,$AP696),"#,##0")&amp;"円／申請書"&amp;TEXT($W696,"#,##0")&amp;"円）／","")&amp;IF(AND(INDEX(職員マスタ!$F$6:$F$405,$AP696)&lt;&gt;"",$AQ696&lt;&gt;"",INDEX(職員マスタ!$F$6:$F$405,$AP696)&lt;$AQ696),"対象月に子が2歳到達済／","")&amp;IF(AND($H696&lt;&gt;"",INDEX(職員マスタ!$B$6:$B$405,$AP696)&lt;&gt;"",SUBSTITUTE(SUBSTITUTE($H696," ","")," ","")&lt;&gt;SUBSTITUTE(SUBSTITUTE(INDEX(職員マスタ!$B$6:$B$405,$AP696)," ","")," ","")),"氏名がマスタと相違／","")&amp;IF(AND($Q696&lt;&gt;"",INDEX(職員マスタ!$E$6:$E$405,$AP696)&lt;&gt;"",$Q696&lt;&gt;INDEX(職員マスタ!$E$6:$E$405,$AP696)),"子の生年月日がマスタと相違／","")&amp;IF(AND($L696&lt;&gt;"",INDEX(職員マスタ!$G$6:$G$405,$AP696)&lt;&gt;"",$L696&lt;&gt;INDEX(職員マスタ!$G$6:$G$405,$AP696)),"時短開始日がマスタと相違／","")&amp;IF(AND($M696&lt;&gt;"",INDEX(職員マスタ!$H$6:$H$405,$AP696)&lt;&gt;"",$M696&lt;&gt;INDEX(職員マスタ!$H$6:$H$405,$AP696)),"時短終了日がマスタと相違／","")))&amp;IF(AND($B696&lt;&gt;"",$E696=""),"報酬額が未入力／","")&amp;IF(N($U696)&gt;0,"申請書に入力エラーが残っています／","")&amp;IF(AND($B696&lt;&gt;"",$AQ696&lt;&gt;""),IF(COUNTIFS($B$6:$B$3005,$B696,$C$6:$C$3005,$C696,$D$6:$D$3005,$D696)&gt;1,"同じ月の請求が重複しています／",""),"")&amp;IF(AND(N($E696)&gt;0,$AB696&lt;&gt;"",$AB696&lt;&gt;"×",$AE696=0,$AD696=""),"計算額が下限以下のため不支給／",""))</f>
        <v/>
      </c>
      <c r="AN696" s="12" t="n"/>
      <c r="AO696" s="14">
        <f>IF($AF696="保留中",COUNTIF($AF$6:$AF696,"保留中"),"")</f>
        <v/>
      </c>
      <c r="AP696" s="14">
        <f>IF($AQ696="","",IF(SUMPRODUCT(MAX((職員マスタ!$A$6:$A$405=$B696)*(((職員マスタ!$G$6:$G$405="")+(職員マスタ!$G$6:$G$405&lt;=EOMONTH($AQ696,0)))&gt;0)*(((職員マスタ!$H$6:$H$405="")+(職員マスタ!$H$6:$H$405&gt;=$AQ696))&gt;0)*(ROW(職員マスタ!$A$6:$A$405)-5)))&gt;0,SUMPRODUCT(MAX((職員マスタ!$A$6:$A$405=$B696)*(((職員マスタ!$G$6:$G$405="")+(職員マスタ!$G$6:$G$405&lt;=EOMONTH($AQ696,0)))&gt;0)*(((職員マスタ!$H$6:$H$405="")+(職員マスタ!$H$6:$H$405&gt;=$AQ696))&gt;0)*(ROW(職員マスタ!$A$6:$A$405)-5))),IFERROR(MATCH($B696,職員マスタ!$A$6:$A$405,0),"")))</f>
        <v/>
      </c>
      <c r="AQ696" s="16">
        <f>IF(OR($B696="",$C696="",$D696=""),"",DATE($C696+2018,$D696,1))</f>
        <v/>
      </c>
    </row>
    <row r="697">
      <c r="A697" s="11" t="n"/>
      <c r="B697" s="12" t="n"/>
      <c r="C697" s="12" t="n"/>
      <c r="D697" s="12" t="n"/>
      <c r="E697" s="13" t="n"/>
      <c r="F697" s="12" t="n"/>
      <c r="G697" s="13" t="n"/>
      <c r="H697" s="12" t="n"/>
      <c r="I697" s="12" t="n"/>
      <c r="J697" s="12" t="n"/>
      <c r="K697" s="12" t="n"/>
      <c r="L697" s="11" t="n"/>
      <c r="M697" s="11" t="n"/>
      <c r="N697" s="11" t="n"/>
      <c r="O697" s="11" t="n"/>
      <c r="P697" s="12" t="n"/>
      <c r="Q697" s="11" t="n"/>
      <c r="R697" s="12" t="n"/>
      <c r="S697" s="11" t="n"/>
      <c r="T697" s="12" t="n"/>
      <c r="U697" s="12" t="n"/>
      <c r="V697" s="12" t="n"/>
      <c r="W697" s="13" t="n"/>
      <c r="X697" s="14">
        <f>IF($AP697="",IF($B697="","",$H697),IF(INDEX(職員マスタ!$B$6:$B$405,$AP697)="",$H697,INDEX(職員マスタ!$B$6:$B$405,$AP697)))</f>
        <v/>
      </c>
      <c r="Y697" s="14">
        <f>IF($AP697="",IF($B697="","",$R697),IF(INDEX(職員マスタ!$C$6:$C$405,$AP697)="",$R697,INDEX(職員マスタ!$C$6:$C$405,$AP697)))</f>
        <v/>
      </c>
      <c r="Z697" s="14">
        <f>IF($AQ697="","","R"&amp;$C697&amp;"."&amp;$D697)</f>
        <v/>
      </c>
      <c r="AA697" s="15">
        <f>IF(IF($AP697="",FALSE,INDEX(職員マスタ!$K$6:$K$405,$AP697)&lt;&gt;""),INDEX(職員マスタ!$K$6:$K$405,$AP697),IF(N($W697)&gt;0,$W697,""))</f>
        <v/>
      </c>
      <c r="AB697" s="14">
        <f>IF(OR($E697="",$AA697=""),"",IF($E697&gt;=$AA697,"×",IF($E697&gt;=$AA697*設定!$C$5,"△","○")))</f>
        <v/>
      </c>
      <c r="AC697" s="15">
        <f>IF($AB697="","",IF($AB697="×",0,IF($AB697="○",ROUNDDOWN($E697*設定!$C$4,0),ROUNDDOWN($E697*ROUND((9*$AA697-9*$E697)/(10*$E697),4),0))))</f>
        <v/>
      </c>
      <c r="AD697" s="13" t="n"/>
      <c r="AE697" s="15">
        <f>IF($B697="","",IF($AD697&lt;&gt;"",$AD697,IF($AC697="","",IF($AC697&lt;=設定!$C$3,0,$AC697))))</f>
        <v/>
      </c>
      <c r="AF697" s="14">
        <f>IF($B697="","",IF(AND($AG697&lt;&gt;"",$AI697="",$AL697=""),"保留中",IF($AL697&lt;&gt;"",IF(N($AE697)&gt;0,"支給済","不支給"),IF($AE697="","要確認",IF($AE697=0,"不支給","未処理")))))</f>
        <v/>
      </c>
      <c r="AG697" s="12" t="n"/>
      <c r="AH697" s="11" t="n"/>
      <c r="AI697" s="11" t="n"/>
      <c r="AJ697" s="11" t="n"/>
      <c r="AK697" s="14">
        <f>IF(AND($AF697="保留中",$AH697&lt;&gt;""),TODAY()-$AH697,"")</f>
        <v/>
      </c>
      <c r="AL697" s="12" t="n"/>
      <c r="AM697" s="14">
        <f>IF($B697="","",IF($AQ697="","対象年月が未入力／","")&amp;IF($B697="","",IF($AP697="","職員マスタに未登録の職員番号／",IF($AA697="","標準報酬月額が未登録／","")&amp;IF(AND($AQ697&lt;&gt;"",OR(AND(INDEX(職員マスタ!$G$6:$G$405,$AP697)&lt;&gt;"",INDEX(職員マスタ!$G$6:$G$405,$AP697)&gt;EOMONTH($AQ697,0)),AND(INDEX(職員マスタ!$H$6:$H$405,$AP697)&lt;&gt;"",INDEX(職員マスタ!$H$6:$H$405,$AP697)&lt;$AQ697))),"対象月が時短期間外／","")&amp;IF(AND(INDEX(職員マスタ!$K$6:$K$405,$AP697)&lt;&gt;"",N($W697)&gt;0,INDEX(職員マスタ!$K$6:$K$405,$AP697)&lt;&gt;$W697),"標準報酬月額が申請書と相違（台帳"&amp;TEXT(INDEX(職員マスタ!$K$6:$K$405,$AP697),"#,##0")&amp;"円／申請書"&amp;TEXT($W697,"#,##0")&amp;"円）／","")&amp;IF(AND(INDEX(職員マスタ!$F$6:$F$405,$AP697)&lt;&gt;"",$AQ697&lt;&gt;"",INDEX(職員マスタ!$F$6:$F$405,$AP697)&lt;$AQ697),"対象月に子が2歳到達済／","")&amp;IF(AND($H697&lt;&gt;"",INDEX(職員マスタ!$B$6:$B$405,$AP697)&lt;&gt;"",SUBSTITUTE(SUBSTITUTE($H697," ","")," ","")&lt;&gt;SUBSTITUTE(SUBSTITUTE(INDEX(職員マスタ!$B$6:$B$405,$AP697)," ","")," ","")),"氏名がマスタと相違／","")&amp;IF(AND($Q697&lt;&gt;"",INDEX(職員マスタ!$E$6:$E$405,$AP697)&lt;&gt;"",$Q697&lt;&gt;INDEX(職員マスタ!$E$6:$E$405,$AP697)),"子の生年月日がマスタと相違／","")&amp;IF(AND($L697&lt;&gt;"",INDEX(職員マスタ!$G$6:$G$405,$AP697)&lt;&gt;"",$L697&lt;&gt;INDEX(職員マスタ!$G$6:$G$405,$AP697)),"時短開始日がマスタと相違／","")&amp;IF(AND($M697&lt;&gt;"",INDEX(職員マスタ!$H$6:$H$405,$AP697)&lt;&gt;"",$M697&lt;&gt;INDEX(職員マスタ!$H$6:$H$405,$AP697)),"時短終了日がマスタと相違／","")))&amp;IF(AND($B697&lt;&gt;"",$E697=""),"報酬額が未入力／","")&amp;IF(N($U697)&gt;0,"申請書に入力エラーが残っています／","")&amp;IF(AND($B697&lt;&gt;"",$AQ697&lt;&gt;""),IF(COUNTIFS($B$6:$B$3005,$B697,$C$6:$C$3005,$C697,$D$6:$D$3005,$D697)&gt;1,"同じ月の請求が重複しています／",""),"")&amp;IF(AND(N($E697)&gt;0,$AB697&lt;&gt;"",$AB697&lt;&gt;"×",$AE697=0,$AD697=""),"計算額が下限以下のため不支給／",""))</f>
        <v/>
      </c>
      <c r="AN697" s="12" t="n"/>
      <c r="AO697" s="14">
        <f>IF($AF697="保留中",COUNTIF($AF$6:$AF697,"保留中"),"")</f>
        <v/>
      </c>
      <c r="AP697" s="14">
        <f>IF($AQ697="","",IF(SUMPRODUCT(MAX((職員マスタ!$A$6:$A$405=$B697)*(((職員マスタ!$G$6:$G$405="")+(職員マスタ!$G$6:$G$405&lt;=EOMONTH($AQ697,0)))&gt;0)*(((職員マスタ!$H$6:$H$405="")+(職員マスタ!$H$6:$H$405&gt;=$AQ697))&gt;0)*(ROW(職員マスタ!$A$6:$A$405)-5)))&gt;0,SUMPRODUCT(MAX((職員マスタ!$A$6:$A$405=$B697)*(((職員マスタ!$G$6:$G$405="")+(職員マスタ!$G$6:$G$405&lt;=EOMONTH($AQ697,0)))&gt;0)*(((職員マスタ!$H$6:$H$405="")+(職員マスタ!$H$6:$H$405&gt;=$AQ697))&gt;0)*(ROW(職員マスタ!$A$6:$A$405)-5))),IFERROR(MATCH($B697,職員マスタ!$A$6:$A$405,0),"")))</f>
        <v/>
      </c>
      <c r="AQ697" s="16">
        <f>IF(OR($B697="",$C697="",$D697=""),"",DATE($C697+2018,$D697,1))</f>
        <v/>
      </c>
    </row>
    <row r="698">
      <c r="A698" s="11" t="n"/>
      <c r="B698" s="12" t="n"/>
      <c r="C698" s="12" t="n"/>
      <c r="D698" s="12" t="n"/>
      <c r="E698" s="13" t="n"/>
      <c r="F698" s="12" t="n"/>
      <c r="G698" s="13" t="n"/>
      <c r="H698" s="12" t="n"/>
      <c r="I698" s="12" t="n"/>
      <c r="J698" s="12" t="n"/>
      <c r="K698" s="12" t="n"/>
      <c r="L698" s="11" t="n"/>
      <c r="M698" s="11" t="n"/>
      <c r="N698" s="11" t="n"/>
      <c r="O698" s="11" t="n"/>
      <c r="P698" s="12" t="n"/>
      <c r="Q698" s="11" t="n"/>
      <c r="R698" s="12" t="n"/>
      <c r="S698" s="11" t="n"/>
      <c r="T698" s="12" t="n"/>
      <c r="U698" s="12" t="n"/>
      <c r="V698" s="12" t="n"/>
      <c r="W698" s="13" t="n"/>
      <c r="X698" s="14">
        <f>IF($AP698="",IF($B698="","",$H698),IF(INDEX(職員マスタ!$B$6:$B$405,$AP698)="",$H698,INDEX(職員マスタ!$B$6:$B$405,$AP698)))</f>
        <v/>
      </c>
      <c r="Y698" s="14">
        <f>IF($AP698="",IF($B698="","",$R698),IF(INDEX(職員マスタ!$C$6:$C$405,$AP698)="",$R698,INDEX(職員マスタ!$C$6:$C$405,$AP698)))</f>
        <v/>
      </c>
      <c r="Z698" s="14">
        <f>IF($AQ698="","","R"&amp;$C698&amp;"."&amp;$D698)</f>
        <v/>
      </c>
      <c r="AA698" s="15">
        <f>IF(IF($AP698="",FALSE,INDEX(職員マスタ!$K$6:$K$405,$AP698)&lt;&gt;""),INDEX(職員マスタ!$K$6:$K$405,$AP698),IF(N($W698)&gt;0,$W698,""))</f>
        <v/>
      </c>
      <c r="AB698" s="14">
        <f>IF(OR($E698="",$AA698=""),"",IF($E698&gt;=$AA698,"×",IF($E698&gt;=$AA698*設定!$C$5,"△","○")))</f>
        <v/>
      </c>
      <c r="AC698" s="15">
        <f>IF($AB698="","",IF($AB698="×",0,IF($AB698="○",ROUNDDOWN($E698*設定!$C$4,0),ROUNDDOWN($E698*ROUND((9*$AA698-9*$E698)/(10*$E698),4),0))))</f>
        <v/>
      </c>
      <c r="AD698" s="13" t="n"/>
      <c r="AE698" s="15">
        <f>IF($B698="","",IF($AD698&lt;&gt;"",$AD698,IF($AC698="","",IF($AC698&lt;=設定!$C$3,0,$AC698))))</f>
        <v/>
      </c>
      <c r="AF698" s="14">
        <f>IF($B698="","",IF(AND($AG698&lt;&gt;"",$AI698="",$AL698=""),"保留中",IF($AL698&lt;&gt;"",IF(N($AE698)&gt;0,"支給済","不支給"),IF($AE698="","要確認",IF($AE698=0,"不支給","未処理")))))</f>
        <v/>
      </c>
      <c r="AG698" s="12" t="n"/>
      <c r="AH698" s="11" t="n"/>
      <c r="AI698" s="11" t="n"/>
      <c r="AJ698" s="11" t="n"/>
      <c r="AK698" s="14">
        <f>IF(AND($AF698="保留中",$AH698&lt;&gt;""),TODAY()-$AH698,"")</f>
        <v/>
      </c>
      <c r="AL698" s="12" t="n"/>
      <c r="AM698" s="14">
        <f>IF($B698="","",IF($AQ698="","対象年月が未入力／","")&amp;IF($B698="","",IF($AP698="","職員マスタに未登録の職員番号／",IF($AA698="","標準報酬月額が未登録／","")&amp;IF(AND($AQ698&lt;&gt;"",OR(AND(INDEX(職員マスタ!$G$6:$G$405,$AP698)&lt;&gt;"",INDEX(職員マスタ!$G$6:$G$405,$AP698)&gt;EOMONTH($AQ698,0)),AND(INDEX(職員マスタ!$H$6:$H$405,$AP698)&lt;&gt;"",INDEX(職員マスタ!$H$6:$H$405,$AP698)&lt;$AQ698))),"対象月が時短期間外／","")&amp;IF(AND(INDEX(職員マスタ!$K$6:$K$405,$AP698)&lt;&gt;"",N($W698)&gt;0,INDEX(職員マスタ!$K$6:$K$405,$AP698)&lt;&gt;$W698),"標準報酬月額が申請書と相違（台帳"&amp;TEXT(INDEX(職員マスタ!$K$6:$K$405,$AP698),"#,##0")&amp;"円／申請書"&amp;TEXT($W698,"#,##0")&amp;"円）／","")&amp;IF(AND(INDEX(職員マスタ!$F$6:$F$405,$AP698)&lt;&gt;"",$AQ698&lt;&gt;"",INDEX(職員マスタ!$F$6:$F$405,$AP698)&lt;$AQ698),"対象月に子が2歳到達済／","")&amp;IF(AND($H698&lt;&gt;"",INDEX(職員マスタ!$B$6:$B$405,$AP698)&lt;&gt;"",SUBSTITUTE(SUBSTITUTE($H698," ","")," ","")&lt;&gt;SUBSTITUTE(SUBSTITUTE(INDEX(職員マスタ!$B$6:$B$405,$AP698)," ","")," ","")),"氏名がマスタと相違／","")&amp;IF(AND($Q698&lt;&gt;"",INDEX(職員マスタ!$E$6:$E$405,$AP698)&lt;&gt;"",$Q698&lt;&gt;INDEX(職員マスタ!$E$6:$E$405,$AP698)),"子の生年月日がマスタと相違／","")&amp;IF(AND($L698&lt;&gt;"",INDEX(職員マスタ!$G$6:$G$405,$AP698)&lt;&gt;"",$L698&lt;&gt;INDEX(職員マスタ!$G$6:$G$405,$AP698)),"時短開始日がマスタと相違／","")&amp;IF(AND($M698&lt;&gt;"",INDEX(職員マスタ!$H$6:$H$405,$AP698)&lt;&gt;"",$M698&lt;&gt;INDEX(職員マスタ!$H$6:$H$405,$AP698)),"時短終了日がマスタと相違／","")))&amp;IF(AND($B698&lt;&gt;"",$E698=""),"報酬額が未入力／","")&amp;IF(N($U698)&gt;0,"申請書に入力エラーが残っています／","")&amp;IF(AND($B698&lt;&gt;"",$AQ698&lt;&gt;""),IF(COUNTIFS($B$6:$B$3005,$B698,$C$6:$C$3005,$C698,$D$6:$D$3005,$D698)&gt;1,"同じ月の請求が重複しています／",""),"")&amp;IF(AND(N($E698)&gt;0,$AB698&lt;&gt;"",$AB698&lt;&gt;"×",$AE698=0,$AD698=""),"計算額が下限以下のため不支給／",""))</f>
        <v/>
      </c>
      <c r="AN698" s="12" t="n"/>
      <c r="AO698" s="14">
        <f>IF($AF698="保留中",COUNTIF($AF$6:$AF698,"保留中"),"")</f>
        <v/>
      </c>
      <c r="AP698" s="14">
        <f>IF($AQ698="","",IF(SUMPRODUCT(MAX((職員マスタ!$A$6:$A$405=$B698)*(((職員マスタ!$G$6:$G$405="")+(職員マスタ!$G$6:$G$405&lt;=EOMONTH($AQ698,0)))&gt;0)*(((職員マスタ!$H$6:$H$405="")+(職員マスタ!$H$6:$H$405&gt;=$AQ698))&gt;0)*(ROW(職員マスタ!$A$6:$A$405)-5)))&gt;0,SUMPRODUCT(MAX((職員マスタ!$A$6:$A$405=$B698)*(((職員マスタ!$G$6:$G$405="")+(職員マスタ!$G$6:$G$405&lt;=EOMONTH($AQ698,0)))&gt;0)*(((職員マスタ!$H$6:$H$405="")+(職員マスタ!$H$6:$H$405&gt;=$AQ698))&gt;0)*(ROW(職員マスタ!$A$6:$A$405)-5))),IFERROR(MATCH($B698,職員マスタ!$A$6:$A$405,0),"")))</f>
        <v/>
      </c>
      <c r="AQ698" s="16">
        <f>IF(OR($B698="",$C698="",$D698=""),"",DATE($C698+2018,$D698,1))</f>
        <v/>
      </c>
    </row>
    <row r="699">
      <c r="A699" s="11" t="n"/>
      <c r="B699" s="12" t="n"/>
      <c r="C699" s="12" t="n"/>
      <c r="D699" s="12" t="n"/>
      <c r="E699" s="13" t="n"/>
      <c r="F699" s="12" t="n"/>
      <c r="G699" s="13" t="n"/>
      <c r="H699" s="12" t="n"/>
      <c r="I699" s="12" t="n"/>
      <c r="J699" s="12" t="n"/>
      <c r="K699" s="12" t="n"/>
      <c r="L699" s="11" t="n"/>
      <c r="M699" s="11" t="n"/>
      <c r="N699" s="11" t="n"/>
      <c r="O699" s="11" t="n"/>
      <c r="P699" s="12" t="n"/>
      <c r="Q699" s="11" t="n"/>
      <c r="R699" s="12" t="n"/>
      <c r="S699" s="11" t="n"/>
      <c r="T699" s="12" t="n"/>
      <c r="U699" s="12" t="n"/>
      <c r="V699" s="12" t="n"/>
      <c r="W699" s="13" t="n"/>
      <c r="X699" s="14">
        <f>IF($AP699="",IF($B699="","",$H699),IF(INDEX(職員マスタ!$B$6:$B$405,$AP699)="",$H699,INDEX(職員マスタ!$B$6:$B$405,$AP699)))</f>
        <v/>
      </c>
      <c r="Y699" s="14">
        <f>IF($AP699="",IF($B699="","",$R699),IF(INDEX(職員マスタ!$C$6:$C$405,$AP699)="",$R699,INDEX(職員マスタ!$C$6:$C$405,$AP699)))</f>
        <v/>
      </c>
      <c r="Z699" s="14">
        <f>IF($AQ699="","","R"&amp;$C699&amp;"."&amp;$D699)</f>
        <v/>
      </c>
      <c r="AA699" s="15">
        <f>IF(IF($AP699="",FALSE,INDEX(職員マスタ!$K$6:$K$405,$AP699)&lt;&gt;""),INDEX(職員マスタ!$K$6:$K$405,$AP699),IF(N($W699)&gt;0,$W699,""))</f>
        <v/>
      </c>
      <c r="AB699" s="14">
        <f>IF(OR($E699="",$AA699=""),"",IF($E699&gt;=$AA699,"×",IF($E699&gt;=$AA699*設定!$C$5,"△","○")))</f>
        <v/>
      </c>
      <c r="AC699" s="15">
        <f>IF($AB699="","",IF($AB699="×",0,IF($AB699="○",ROUNDDOWN($E699*設定!$C$4,0),ROUNDDOWN($E699*ROUND((9*$AA699-9*$E699)/(10*$E699),4),0))))</f>
        <v/>
      </c>
      <c r="AD699" s="13" t="n"/>
      <c r="AE699" s="15">
        <f>IF($B699="","",IF($AD699&lt;&gt;"",$AD699,IF($AC699="","",IF($AC699&lt;=設定!$C$3,0,$AC699))))</f>
        <v/>
      </c>
      <c r="AF699" s="14">
        <f>IF($B699="","",IF(AND($AG699&lt;&gt;"",$AI699="",$AL699=""),"保留中",IF($AL699&lt;&gt;"",IF(N($AE699)&gt;0,"支給済","不支給"),IF($AE699="","要確認",IF($AE699=0,"不支給","未処理")))))</f>
        <v/>
      </c>
      <c r="AG699" s="12" t="n"/>
      <c r="AH699" s="11" t="n"/>
      <c r="AI699" s="11" t="n"/>
      <c r="AJ699" s="11" t="n"/>
      <c r="AK699" s="14">
        <f>IF(AND($AF699="保留中",$AH699&lt;&gt;""),TODAY()-$AH699,"")</f>
        <v/>
      </c>
      <c r="AL699" s="12" t="n"/>
      <c r="AM699" s="14">
        <f>IF($B699="","",IF($AQ699="","対象年月が未入力／","")&amp;IF($B699="","",IF($AP699="","職員マスタに未登録の職員番号／",IF($AA699="","標準報酬月額が未登録／","")&amp;IF(AND($AQ699&lt;&gt;"",OR(AND(INDEX(職員マスタ!$G$6:$G$405,$AP699)&lt;&gt;"",INDEX(職員マスタ!$G$6:$G$405,$AP699)&gt;EOMONTH($AQ699,0)),AND(INDEX(職員マスタ!$H$6:$H$405,$AP699)&lt;&gt;"",INDEX(職員マスタ!$H$6:$H$405,$AP699)&lt;$AQ699))),"対象月が時短期間外／","")&amp;IF(AND(INDEX(職員マスタ!$K$6:$K$405,$AP699)&lt;&gt;"",N($W699)&gt;0,INDEX(職員マスタ!$K$6:$K$405,$AP699)&lt;&gt;$W699),"標準報酬月額が申請書と相違（台帳"&amp;TEXT(INDEX(職員マスタ!$K$6:$K$405,$AP699),"#,##0")&amp;"円／申請書"&amp;TEXT($W699,"#,##0")&amp;"円）／","")&amp;IF(AND(INDEX(職員マスタ!$F$6:$F$405,$AP699)&lt;&gt;"",$AQ699&lt;&gt;"",INDEX(職員マスタ!$F$6:$F$405,$AP699)&lt;$AQ699),"対象月に子が2歳到達済／","")&amp;IF(AND($H699&lt;&gt;"",INDEX(職員マスタ!$B$6:$B$405,$AP699)&lt;&gt;"",SUBSTITUTE(SUBSTITUTE($H699," ","")," ","")&lt;&gt;SUBSTITUTE(SUBSTITUTE(INDEX(職員マスタ!$B$6:$B$405,$AP699)," ","")," ","")),"氏名がマスタと相違／","")&amp;IF(AND($Q699&lt;&gt;"",INDEX(職員マスタ!$E$6:$E$405,$AP699)&lt;&gt;"",$Q699&lt;&gt;INDEX(職員マスタ!$E$6:$E$405,$AP699)),"子の生年月日がマスタと相違／","")&amp;IF(AND($L699&lt;&gt;"",INDEX(職員マスタ!$G$6:$G$405,$AP699)&lt;&gt;"",$L699&lt;&gt;INDEX(職員マスタ!$G$6:$G$405,$AP699)),"時短開始日がマスタと相違／","")&amp;IF(AND($M699&lt;&gt;"",INDEX(職員マスタ!$H$6:$H$405,$AP699)&lt;&gt;"",$M699&lt;&gt;INDEX(職員マスタ!$H$6:$H$405,$AP699)),"時短終了日がマスタと相違／","")))&amp;IF(AND($B699&lt;&gt;"",$E699=""),"報酬額が未入力／","")&amp;IF(N($U699)&gt;0,"申請書に入力エラーが残っています／","")&amp;IF(AND($B699&lt;&gt;"",$AQ699&lt;&gt;""),IF(COUNTIFS($B$6:$B$3005,$B699,$C$6:$C$3005,$C699,$D$6:$D$3005,$D699)&gt;1,"同じ月の請求が重複しています／",""),"")&amp;IF(AND(N($E699)&gt;0,$AB699&lt;&gt;"",$AB699&lt;&gt;"×",$AE699=0,$AD699=""),"計算額が下限以下のため不支給／",""))</f>
        <v/>
      </c>
      <c r="AN699" s="12" t="n"/>
      <c r="AO699" s="14">
        <f>IF($AF699="保留中",COUNTIF($AF$6:$AF699,"保留中"),"")</f>
        <v/>
      </c>
      <c r="AP699" s="14">
        <f>IF($AQ699="","",IF(SUMPRODUCT(MAX((職員マスタ!$A$6:$A$405=$B699)*(((職員マスタ!$G$6:$G$405="")+(職員マスタ!$G$6:$G$405&lt;=EOMONTH($AQ699,0)))&gt;0)*(((職員マスタ!$H$6:$H$405="")+(職員マスタ!$H$6:$H$405&gt;=$AQ699))&gt;0)*(ROW(職員マスタ!$A$6:$A$405)-5)))&gt;0,SUMPRODUCT(MAX((職員マスタ!$A$6:$A$405=$B699)*(((職員マスタ!$G$6:$G$405="")+(職員マスタ!$G$6:$G$405&lt;=EOMONTH($AQ699,0)))&gt;0)*(((職員マスタ!$H$6:$H$405="")+(職員マスタ!$H$6:$H$405&gt;=$AQ699))&gt;0)*(ROW(職員マスタ!$A$6:$A$405)-5))),IFERROR(MATCH($B699,職員マスタ!$A$6:$A$405,0),"")))</f>
        <v/>
      </c>
      <c r="AQ699" s="16">
        <f>IF(OR($B699="",$C699="",$D699=""),"",DATE($C699+2018,$D699,1))</f>
        <v/>
      </c>
    </row>
    <row r="700">
      <c r="A700" s="11" t="n"/>
      <c r="B700" s="12" t="n"/>
      <c r="C700" s="12" t="n"/>
      <c r="D700" s="12" t="n"/>
      <c r="E700" s="13" t="n"/>
      <c r="F700" s="12" t="n"/>
      <c r="G700" s="13" t="n"/>
      <c r="H700" s="12" t="n"/>
      <c r="I700" s="12" t="n"/>
      <c r="J700" s="12" t="n"/>
      <c r="K700" s="12" t="n"/>
      <c r="L700" s="11" t="n"/>
      <c r="M700" s="11" t="n"/>
      <c r="N700" s="11" t="n"/>
      <c r="O700" s="11" t="n"/>
      <c r="P700" s="12" t="n"/>
      <c r="Q700" s="11" t="n"/>
      <c r="R700" s="12" t="n"/>
      <c r="S700" s="11" t="n"/>
      <c r="T700" s="12" t="n"/>
      <c r="U700" s="12" t="n"/>
      <c r="V700" s="12" t="n"/>
      <c r="W700" s="13" t="n"/>
      <c r="X700" s="14">
        <f>IF($AP700="",IF($B700="","",$H700),IF(INDEX(職員マスタ!$B$6:$B$405,$AP700)="",$H700,INDEX(職員マスタ!$B$6:$B$405,$AP700)))</f>
        <v/>
      </c>
      <c r="Y700" s="14">
        <f>IF($AP700="",IF($B700="","",$R700),IF(INDEX(職員マスタ!$C$6:$C$405,$AP700)="",$R700,INDEX(職員マスタ!$C$6:$C$405,$AP700)))</f>
        <v/>
      </c>
      <c r="Z700" s="14">
        <f>IF($AQ700="","","R"&amp;$C700&amp;"."&amp;$D700)</f>
        <v/>
      </c>
      <c r="AA700" s="15">
        <f>IF(IF($AP700="",FALSE,INDEX(職員マスタ!$K$6:$K$405,$AP700)&lt;&gt;""),INDEX(職員マスタ!$K$6:$K$405,$AP700),IF(N($W700)&gt;0,$W700,""))</f>
        <v/>
      </c>
      <c r="AB700" s="14">
        <f>IF(OR($E700="",$AA700=""),"",IF($E700&gt;=$AA700,"×",IF($E700&gt;=$AA700*設定!$C$5,"△","○")))</f>
        <v/>
      </c>
      <c r="AC700" s="15">
        <f>IF($AB700="","",IF($AB700="×",0,IF($AB700="○",ROUNDDOWN($E700*設定!$C$4,0),ROUNDDOWN($E700*ROUND((9*$AA700-9*$E700)/(10*$E700),4),0))))</f>
        <v/>
      </c>
      <c r="AD700" s="13" t="n"/>
      <c r="AE700" s="15">
        <f>IF($B700="","",IF($AD700&lt;&gt;"",$AD700,IF($AC700="","",IF($AC700&lt;=設定!$C$3,0,$AC700))))</f>
        <v/>
      </c>
      <c r="AF700" s="14">
        <f>IF($B700="","",IF(AND($AG700&lt;&gt;"",$AI700="",$AL700=""),"保留中",IF($AL700&lt;&gt;"",IF(N($AE700)&gt;0,"支給済","不支給"),IF($AE700="","要確認",IF($AE700=0,"不支給","未処理")))))</f>
        <v/>
      </c>
      <c r="AG700" s="12" t="n"/>
      <c r="AH700" s="11" t="n"/>
      <c r="AI700" s="11" t="n"/>
      <c r="AJ700" s="11" t="n"/>
      <c r="AK700" s="14">
        <f>IF(AND($AF700="保留中",$AH700&lt;&gt;""),TODAY()-$AH700,"")</f>
        <v/>
      </c>
      <c r="AL700" s="12" t="n"/>
      <c r="AM700" s="14">
        <f>IF($B700="","",IF($AQ700="","対象年月が未入力／","")&amp;IF($B700="","",IF($AP700="","職員マスタに未登録の職員番号／",IF($AA700="","標準報酬月額が未登録／","")&amp;IF(AND($AQ700&lt;&gt;"",OR(AND(INDEX(職員マスタ!$G$6:$G$405,$AP700)&lt;&gt;"",INDEX(職員マスタ!$G$6:$G$405,$AP700)&gt;EOMONTH($AQ700,0)),AND(INDEX(職員マスタ!$H$6:$H$405,$AP700)&lt;&gt;"",INDEX(職員マスタ!$H$6:$H$405,$AP700)&lt;$AQ700))),"対象月が時短期間外／","")&amp;IF(AND(INDEX(職員マスタ!$K$6:$K$405,$AP700)&lt;&gt;"",N($W700)&gt;0,INDEX(職員マスタ!$K$6:$K$405,$AP700)&lt;&gt;$W700),"標準報酬月額が申請書と相違（台帳"&amp;TEXT(INDEX(職員マスタ!$K$6:$K$405,$AP700),"#,##0")&amp;"円／申請書"&amp;TEXT($W700,"#,##0")&amp;"円）／","")&amp;IF(AND(INDEX(職員マスタ!$F$6:$F$405,$AP700)&lt;&gt;"",$AQ700&lt;&gt;"",INDEX(職員マスタ!$F$6:$F$405,$AP700)&lt;$AQ700),"対象月に子が2歳到達済／","")&amp;IF(AND($H700&lt;&gt;"",INDEX(職員マスタ!$B$6:$B$405,$AP700)&lt;&gt;"",SUBSTITUTE(SUBSTITUTE($H700," ","")," ","")&lt;&gt;SUBSTITUTE(SUBSTITUTE(INDEX(職員マスタ!$B$6:$B$405,$AP700)," ","")," ","")),"氏名がマスタと相違／","")&amp;IF(AND($Q700&lt;&gt;"",INDEX(職員マスタ!$E$6:$E$405,$AP700)&lt;&gt;"",$Q700&lt;&gt;INDEX(職員マスタ!$E$6:$E$405,$AP700)),"子の生年月日がマスタと相違／","")&amp;IF(AND($L700&lt;&gt;"",INDEX(職員マスタ!$G$6:$G$405,$AP700)&lt;&gt;"",$L700&lt;&gt;INDEX(職員マスタ!$G$6:$G$405,$AP700)),"時短開始日がマスタと相違／","")&amp;IF(AND($M700&lt;&gt;"",INDEX(職員マスタ!$H$6:$H$405,$AP700)&lt;&gt;"",$M700&lt;&gt;INDEX(職員マスタ!$H$6:$H$405,$AP700)),"時短終了日がマスタと相違／","")))&amp;IF(AND($B700&lt;&gt;"",$E700=""),"報酬額が未入力／","")&amp;IF(N($U700)&gt;0,"申請書に入力エラーが残っています／","")&amp;IF(AND($B700&lt;&gt;"",$AQ700&lt;&gt;""),IF(COUNTIFS($B$6:$B$3005,$B700,$C$6:$C$3005,$C700,$D$6:$D$3005,$D700)&gt;1,"同じ月の請求が重複しています／",""),"")&amp;IF(AND(N($E700)&gt;0,$AB700&lt;&gt;"",$AB700&lt;&gt;"×",$AE700=0,$AD700=""),"計算額が下限以下のため不支給／",""))</f>
        <v/>
      </c>
      <c r="AN700" s="12" t="n"/>
      <c r="AO700" s="14">
        <f>IF($AF700="保留中",COUNTIF($AF$6:$AF700,"保留中"),"")</f>
        <v/>
      </c>
      <c r="AP700" s="14">
        <f>IF($AQ700="","",IF(SUMPRODUCT(MAX((職員マスタ!$A$6:$A$405=$B700)*(((職員マスタ!$G$6:$G$405="")+(職員マスタ!$G$6:$G$405&lt;=EOMONTH($AQ700,0)))&gt;0)*(((職員マスタ!$H$6:$H$405="")+(職員マスタ!$H$6:$H$405&gt;=$AQ700))&gt;0)*(ROW(職員マスタ!$A$6:$A$405)-5)))&gt;0,SUMPRODUCT(MAX((職員マスタ!$A$6:$A$405=$B700)*(((職員マスタ!$G$6:$G$405="")+(職員マスタ!$G$6:$G$405&lt;=EOMONTH($AQ700,0)))&gt;0)*(((職員マスタ!$H$6:$H$405="")+(職員マスタ!$H$6:$H$405&gt;=$AQ700))&gt;0)*(ROW(職員マスタ!$A$6:$A$405)-5))),IFERROR(MATCH($B700,職員マスタ!$A$6:$A$405,0),"")))</f>
        <v/>
      </c>
      <c r="AQ700" s="16">
        <f>IF(OR($B700="",$C700="",$D700=""),"",DATE($C700+2018,$D700,1))</f>
        <v/>
      </c>
    </row>
    <row r="701">
      <c r="A701" s="11" t="n"/>
      <c r="B701" s="12" t="n"/>
      <c r="C701" s="12" t="n"/>
      <c r="D701" s="12" t="n"/>
      <c r="E701" s="13" t="n"/>
      <c r="F701" s="12" t="n"/>
      <c r="G701" s="13" t="n"/>
      <c r="H701" s="12" t="n"/>
      <c r="I701" s="12" t="n"/>
      <c r="J701" s="12" t="n"/>
      <c r="K701" s="12" t="n"/>
      <c r="L701" s="11" t="n"/>
      <c r="M701" s="11" t="n"/>
      <c r="N701" s="11" t="n"/>
      <c r="O701" s="11" t="n"/>
      <c r="P701" s="12" t="n"/>
      <c r="Q701" s="11" t="n"/>
      <c r="R701" s="12" t="n"/>
      <c r="S701" s="11" t="n"/>
      <c r="T701" s="12" t="n"/>
      <c r="U701" s="12" t="n"/>
      <c r="V701" s="12" t="n"/>
      <c r="W701" s="13" t="n"/>
      <c r="X701" s="14">
        <f>IF($AP701="",IF($B701="","",$H701),IF(INDEX(職員マスタ!$B$6:$B$405,$AP701)="",$H701,INDEX(職員マスタ!$B$6:$B$405,$AP701)))</f>
        <v/>
      </c>
      <c r="Y701" s="14">
        <f>IF($AP701="",IF($B701="","",$R701),IF(INDEX(職員マスタ!$C$6:$C$405,$AP701)="",$R701,INDEX(職員マスタ!$C$6:$C$405,$AP701)))</f>
        <v/>
      </c>
      <c r="Z701" s="14">
        <f>IF($AQ701="","","R"&amp;$C701&amp;"."&amp;$D701)</f>
        <v/>
      </c>
      <c r="AA701" s="15">
        <f>IF(IF($AP701="",FALSE,INDEX(職員マスタ!$K$6:$K$405,$AP701)&lt;&gt;""),INDEX(職員マスタ!$K$6:$K$405,$AP701),IF(N($W701)&gt;0,$W701,""))</f>
        <v/>
      </c>
      <c r="AB701" s="14">
        <f>IF(OR($E701="",$AA701=""),"",IF($E701&gt;=$AA701,"×",IF($E701&gt;=$AA701*設定!$C$5,"△","○")))</f>
        <v/>
      </c>
      <c r="AC701" s="15">
        <f>IF($AB701="","",IF($AB701="×",0,IF($AB701="○",ROUNDDOWN($E701*設定!$C$4,0),ROUNDDOWN($E701*ROUND((9*$AA701-9*$E701)/(10*$E701),4),0))))</f>
        <v/>
      </c>
      <c r="AD701" s="13" t="n"/>
      <c r="AE701" s="15">
        <f>IF($B701="","",IF($AD701&lt;&gt;"",$AD701,IF($AC701="","",IF($AC701&lt;=設定!$C$3,0,$AC701))))</f>
        <v/>
      </c>
      <c r="AF701" s="14">
        <f>IF($B701="","",IF(AND($AG701&lt;&gt;"",$AI701="",$AL701=""),"保留中",IF($AL701&lt;&gt;"",IF(N($AE701)&gt;0,"支給済","不支給"),IF($AE701="","要確認",IF($AE701=0,"不支給","未処理")))))</f>
        <v/>
      </c>
      <c r="AG701" s="12" t="n"/>
      <c r="AH701" s="11" t="n"/>
      <c r="AI701" s="11" t="n"/>
      <c r="AJ701" s="11" t="n"/>
      <c r="AK701" s="14">
        <f>IF(AND($AF701="保留中",$AH701&lt;&gt;""),TODAY()-$AH701,"")</f>
        <v/>
      </c>
      <c r="AL701" s="12" t="n"/>
      <c r="AM701" s="14">
        <f>IF($B701="","",IF($AQ701="","対象年月が未入力／","")&amp;IF($B701="","",IF($AP701="","職員マスタに未登録の職員番号／",IF($AA701="","標準報酬月額が未登録／","")&amp;IF(AND($AQ701&lt;&gt;"",OR(AND(INDEX(職員マスタ!$G$6:$G$405,$AP701)&lt;&gt;"",INDEX(職員マスタ!$G$6:$G$405,$AP701)&gt;EOMONTH($AQ701,0)),AND(INDEX(職員マスタ!$H$6:$H$405,$AP701)&lt;&gt;"",INDEX(職員マスタ!$H$6:$H$405,$AP701)&lt;$AQ701))),"対象月が時短期間外／","")&amp;IF(AND(INDEX(職員マスタ!$K$6:$K$405,$AP701)&lt;&gt;"",N($W701)&gt;0,INDEX(職員マスタ!$K$6:$K$405,$AP701)&lt;&gt;$W701),"標準報酬月額が申請書と相違（台帳"&amp;TEXT(INDEX(職員マスタ!$K$6:$K$405,$AP701),"#,##0")&amp;"円／申請書"&amp;TEXT($W701,"#,##0")&amp;"円）／","")&amp;IF(AND(INDEX(職員マスタ!$F$6:$F$405,$AP701)&lt;&gt;"",$AQ701&lt;&gt;"",INDEX(職員マスタ!$F$6:$F$405,$AP701)&lt;$AQ701),"対象月に子が2歳到達済／","")&amp;IF(AND($H701&lt;&gt;"",INDEX(職員マスタ!$B$6:$B$405,$AP701)&lt;&gt;"",SUBSTITUTE(SUBSTITUTE($H701," ","")," ","")&lt;&gt;SUBSTITUTE(SUBSTITUTE(INDEX(職員マスタ!$B$6:$B$405,$AP701)," ","")," ","")),"氏名がマスタと相違／","")&amp;IF(AND($Q701&lt;&gt;"",INDEX(職員マスタ!$E$6:$E$405,$AP701)&lt;&gt;"",$Q701&lt;&gt;INDEX(職員マスタ!$E$6:$E$405,$AP701)),"子の生年月日がマスタと相違／","")&amp;IF(AND($L701&lt;&gt;"",INDEX(職員マスタ!$G$6:$G$405,$AP701)&lt;&gt;"",$L701&lt;&gt;INDEX(職員マスタ!$G$6:$G$405,$AP701)),"時短開始日がマスタと相違／","")&amp;IF(AND($M701&lt;&gt;"",INDEX(職員マスタ!$H$6:$H$405,$AP701)&lt;&gt;"",$M701&lt;&gt;INDEX(職員マスタ!$H$6:$H$405,$AP701)),"時短終了日がマスタと相違／","")))&amp;IF(AND($B701&lt;&gt;"",$E701=""),"報酬額が未入力／","")&amp;IF(N($U701)&gt;0,"申請書に入力エラーが残っています／","")&amp;IF(AND($B701&lt;&gt;"",$AQ701&lt;&gt;""),IF(COUNTIFS($B$6:$B$3005,$B701,$C$6:$C$3005,$C701,$D$6:$D$3005,$D701)&gt;1,"同じ月の請求が重複しています／",""),"")&amp;IF(AND(N($E701)&gt;0,$AB701&lt;&gt;"",$AB701&lt;&gt;"×",$AE701=0,$AD701=""),"計算額が下限以下のため不支給／",""))</f>
        <v/>
      </c>
      <c r="AN701" s="12" t="n"/>
      <c r="AO701" s="14">
        <f>IF($AF701="保留中",COUNTIF($AF$6:$AF701,"保留中"),"")</f>
        <v/>
      </c>
      <c r="AP701" s="14">
        <f>IF($AQ701="","",IF(SUMPRODUCT(MAX((職員マスタ!$A$6:$A$405=$B701)*(((職員マスタ!$G$6:$G$405="")+(職員マスタ!$G$6:$G$405&lt;=EOMONTH($AQ701,0)))&gt;0)*(((職員マスタ!$H$6:$H$405="")+(職員マスタ!$H$6:$H$405&gt;=$AQ701))&gt;0)*(ROW(職員マスタ!$A$6:$A$405)-5)))&gt;0,SUMPRODUCT(MAX((職員マスタ!$A$6:$A$405=$B701)*(((職員マスタ!$G$6:$G$405="")+(職員マスタ!$G$6:$G$405&lt;=EOMONTH($AQ701,0)))&gt;0)*(((職員マスタ!$H$6:$H$405="")+(職員マスタ!$H$6:$H$405&gt;=$AQ701))&gt;0)*(ROW(職員マスタ!$A$6:$A$405)-5))),IFERROR(MATCH($B701,職員マスタ!$A$6:$A$405,0),"")))</f>
        <v/>
      </c>
      <c r="AQ701" s="16">
        <f>IF(OR($B701="",$C701="",$D701=""),"",DATE($C701+2018,$D701,1))</f>
        <v/>
      </c>
    </row>
    <row r="702">
      <c r="A702" s="11" t="n"/>
      <c r="B702" s="12" t="n"/>
      <c r="C702" s="12" t="n"/>
      <c r="D702" s="12" t="n"/>
      <c r="E702" s="13" t="n"/>
      <c r="F702" s="12" t="n"/>
      <c r="G702" s="13" t="n"/>
      <c r="H702" s="12" t="n"/>
      <c r="I702" s="12" t="n"/>
      <c r="J702" s="12" t="n"/>
      <c r="K702" s="12" t="n"/>
      <c r="L702" s="11" t="n"/>
      <c r="M702" s="11" t="n"/>
      <c r="N702" s="11" t="n"/>
      <c r="O702" s="11" t="n"/>
      <c r="P702" s="12" t="n"/>
      <c r="Q702" s="11" t="n"/>
      <c r="R702" s="12" t="n"/>
      <c r="S702" s="11" t="n"/>
      <c r="T702" s="12" t="n"/>
      <c r="U702" s="12" t="n"/>
      <c r="V702" s="12" t="n"/>
      <c r="W702" s="13" t="n"/>
      <c r="X702" s="14">
        <f>IF($AP702="",IF($B702="","",$H702),IF(INDEX(職員マスタ!$B$6:$B$405,$AP702)="",$H702,INDEX(職員マスタ!$B$6:$B$405,$AP702)))</f>
        <v/>
      </c>
      <c r="Y702" s="14">
        <f>IF($AP702="",IF($B702="","",$R702),IF(INDEX(職員マスタ!$C$6:$C$405,$AP702)="",$R702,INDEX(職員マスタ!$C$6:$C$405,$AP702)))</f>
        <v/>
      </c>
      <c r="Z702" s="14">
        <f>IF($AQ702="","","R"&amp;$C702&amp;"."&amp;$D702)</f>
        <v/>
      </c>
      <c r="AA702" s="15">
        <f>IF(IF($AP702="",FALSE,INDEX(職員マスタ!$K$6:$K$405,$AP702)&lt;&gt;""),INDEX(職員マスタ!$K$6:$K$405,$AP702),IF(N($W702)&gt;0,$W702,""))</f>
        <v/>
      </c>
      <c r="AB702" s="14">
        <f>IF(OR($E702="",$AA702=""),"",IF($E702&gt;=$AA702,"×",IF($E702&gt;=$AA702*設定!$C$5,"△","○")))</f>
        <v/>
      </c>
      <c r="AC702" s="15">
        <f>IF($AB702="","",IF($AB702="×",0,IF($AB702="○",ROUNDDOWN($E702*設定!$C$4,0),ROUNDDOWN($E702*ROUND((9*$AA702-9*$E702)/(10*$E702),4),0))))</f>
        <v/>
      </c>
      <c r="AD702" s="13" t="n"/>
      <c r="AE702" s="15">
        <f>IF($B702="","",IF($AD702&lt;&gt;"",$AD702,IF($AC702="","",IF($AC702&lt;=設定!$C$3,0,$AC702))))</f>
        <v/>
      </c>
      <c r="AF702" s="14">
        <f>IF($B702="","",IF(AND($AG702&lt;&gt;"",$AI702="",$AL702=""),"保留中",IF($AL702&lt;&gt;"",IF(N($AE702)&gt;0,"支給済","不支給"),IF($AE702="","要確認",IF($AE702=0,"不支給","未処理")))))</f>
        <v/>
      </c>
      <c r="AG702" s="12" t="n"/>
      <c r="AH702" s="11" t="n"/>
      <c r="AI702" s="11" t="n"/>
      <c r="AJ702" s="11" t="n"/>
      <c r="AK702" s="14">
        <f>IF(AND($AF702="保留中",$AH702&lt;&gt;""),TODAY()-$AH702,"")</f>
        <v/>
      </c>
      <c r="AL702" s="12" t="n"/>
      <c r="AM702" s="14">
        <f>IF($B702="","",IF($AQ702="","対象年月が未入力／","")&amp;IF($B702="","",IF($AP702="","職員マスタに未登録の職員番号／",IF($AA702="","標準報酬月額が未登録／","")&amp;IF(AND($AQ702&lt;&gt;"",OR(AND(INDEX(職員マスタ!$G$6:$G$405,$AP702)&lt;&gt;"",INDEX(職員マスタ!$G$6:$G$405,$AP702)&gt;EOMONTH($AQ702,0)),AND(INDEX(職員マスタ!$H$6:$H$405,$AP702)&lt;&gt;"",INDEX(職員マスタ!$H$6:$H$405,$AP702)&lt;$AQ702))),"対象月が時短期間外／","")&amp;IF(AND(INDEX(職員マスタ!$K$6:$K$405,$AP702)&lt;&gt;"",N($W702)&gt;0,INDEX(職員マスタ!$K$6:$K$405,$AP702)&lt;&gt;$W702),"標準報酬月額が申請書と相違（台帳"&amp;TEXT(INDEX(職員マスタ!$K$6:$K$405,$AP702),"#,##0")&amp;"円／申請書"&amp;TEXT($W702,"#,##0")&amp;"円）／","")&amp;IF(AND(INDEX(職員マスタ!$F$6:$F$405,$AP702)&lt;&gt;"",$AQ702&lt;&gt;"",INDEX(職員マスタ!$F$6:$F$405,$AP702)&lt;$AQ702),"対象月に子が2歳到達済／","")&amp;IF(AND($H702&lt;&gt;"",INDEX(職員マスタ!$B$6:$B$405,$AP702)&lt;&gt;"",SUBSTITUTE(SUBSTITUTE($H702," ","")," ","")&lt;&gt;SUBSTITUTE(SUBSTITUTE(INDEX(職員マスタ!$B$6:$B$405,$AP702)," ","")," ","")),"氏名がマスタと相違／","")&amp;IF(AND($Q702&lt;&gt;"",INDEX(職員マスタ!$E$6:$E$405,$AP702)&lt;&gt;"",$Q702&lt;&gt;INDEX(職員マスタ!$E$6:$E$405,$AP702)),"子の生年月日がマスタと相違／","")&amp;IF(AND($L702&lt;&gt;"",INDEX(職員マスタ!$G$6:$G$405,$AP702)&lt;&gt;"",$L702&lt;&gt;INDEX(職員マスタ!$G$6:$G$405,$AP702)),"時短開始日がマスタと相違／","")&amp;IF(AND($M702&lt;&gt;"",INDEX(職員マスタ!$H$6:$H$405,$AP702)&lt;&gt;"",$M702&lt;&gt;INDEX(職員マスタ!$H$6:$H$405,$AP702)),"時短終了日がマスタと相違／","")))&amp;IF(AND($B702&lt;&gt;"",$E702=""),"報酬額が未入力／","")&amp;IF(N($U702)&gt;0,"申請書に入力エラーが残っています／","")&amp;IF(AND($B702&lt;&gt;"",$AQ702&lt;&gt;""),IF(COUNTIFS($B$6:$B$3005,$B702,$C$6:$C$3005,$C702,$D$6:$D$3005,$D702)&gt;1,"同じ月の請求が重複しています／",""),"")&amp;IF(AND(N($E702)&gt;0,$AB702&lt;&gt;"",$AB702&lt;&gt;"×",$AE702=0,$AD702=""),"計算額が下限以下のため不支給／",""))</f>
        <v/>
      </c>
      <c r="AN702" s="12" t="n"/>
      <c r="AO702" s="14">
        <f>IF($AF702="保留中",COUNTIF($AF$6:$AF702,"保留中"),"")</f>
        <v/>
      </c>
      <c r="AP702" s="14">
        <f>IF($AQ702="","",IF(SUMPRODUCT(MAX((職員マスタ!$A$6:$A$405=$B702)*(((職員マスタ!$G$6:$G$405="")+(職員マスタ!$G$6:$G$405&lt;=EOMONTH($AQ702,0)))&gt;0)*(((職員マスタ!$H$6:$H$405="")+(職員マスタ!$H$6:$H$405&gt;=$AQ702))&gt;0)*(ROW(職員マスタ!$A$6:$A$405)-5)))&gt;0,SUMPRODUCT(MAX((職員マスタ!$A$6:$A$405=$B702)*(((職員マスタ!$G$6:$G$405="")+(職員マスタ!$G$6:$G$405&lt;=EOMONTH($AQ702,0)))&gt;0)*(((職員マスタ!$H$6:$H$405="")+(職員マスタ!$H$6:$H$405&gt;=$AQ702))&gt;0)*(ROW(職員マスタ!$A$6:$A$405)-5))),IFERROR(MATCH($B702,職員マスタ!$A$6:$A$405,0),"")))</f>
        <v/>
      </c>
      <c r="AQ702" s="16">
        <f>IF(OR($B702="",$C702="",$D702=""),"",DATE($C702+2018,$D702,1))</f>
        <v/>
      </c>
    </row>
    <row r="703">
      <c r="A703" s="11" t="n"/>
      <c r="B703" s="12" t="n"/>
      <c r="C703" s="12" t="n"/>
      <c r="D703" s="12" t="n"/>
      <c r="E703" s="13" t="n"/>
      <c r="F703" s="12" t="n"/>
      <c r="G703" s="13" t="n"/>
      <c r="H703" s="12" t="n"/>
      <c r="I703" s="12" t="n"/>
      <c r="J703" s="12" t="n"/>
      <c r="K703" s="12" t="n"/>
      <c r="L703" s="11" t="n"/>
      <c r="M703" s="11" t="n"/>
      <c r="N703" s="11" t="n"/>
      <c r="O703" s="11" t="n"/>
      <c r="P703" s="12" t="n"/>
      <c r="Q703" s="11" t="n"/>
      <c r="R703" s="12" t="n"/>
      <c r="S703" s="11" t="n"/>
      <c r="T703" s="12" t="n"/>
      <c r="U703" s="12" t="n"/>
      <c r="V703" s="12" t="n"/>
      <c r="W703" s="13" t="n"/>
      <c r="X703" s="14">
        <f>IF($AP703="",IF($B703="","",$H703),IF(INDEX(職員マスタ!$B$6:$B$405,$AP703)="",$H703,INDEX(職員マスタ!$B$6:$B$405,$AP703)))</f>
        <v/>
      </c>
      <c r="Y703" s="14">
        <f>IF($AP703="",IF($B703="","",$R703),IF(INDEX(職員マスタ!$C$6:$C$405,$AP703)="",$R703,INDEX(職員マスタ!$C$6:$C$405,$AP703)))</f>
        <v/>
      </c>
      <c r="Z703" s="14">
        <f>IF($AQ703="","","R"&amp;$C703&amp;"."&amp;$D703)</f>
        <v/>
      </c>
      <c r="AA703" s="15">
        <f>IF(IF($AP703="",FALSE,INDEX(職員マスタ!$K$6:$K$405,$AP703)&lt;&gt;""),INDEX(職員マスタ!$K$6:$K$405,$AP703),IF(N($W703)&gt;0,$W703,""))</f>
        <v/>
      </c>
      <c r="AB703" s="14">
        <f>IF(OR($E703="",$AA703=""),"",IF($E703&gt;=$AA703,"×",IF($E703&gt;=$AA703*設定!$C$5,"△","○")))</f>
        <v/>
      </c>
      <c r="AC703" s="15">
        <f>IF($AB703="","",IF($AB703="×",0,IF($AB703="○",ROUNDDOWN($E703*設定!$C$4,0),ROUNDDOWN($E703*ROUND((9*$AA703-9*$E703)/(10*$E703),4),0))))</f>
        <v/>
      </c>
      <c r="AD703" s="13" t="n"/>
      <c r="AE703" s="15">
        <f>IF($B703="","",IF($AD703&lt;&gt;"",$AD703,IF($AC703="","",IF($AC703&lt;=設定!$C$3,0,$AC703))))</f>
        <v/>
      </c>
      <c r="AF703" s="14">
        <f>IF($B703="","",IF(AND($AG703&lt;&gt;"",$AI703="",$AL703=""),"保留中",IF($AL703&lt;&gt;"",IF(N($AE703)&gt;0,"支給済","不支給"),IF($AE703="","要確認",IF($AE703=0,"不支給","未処理")))))</f>
        <v/>
      </c>
      <c r="AG703" s="12" t="n"/>
      <c r="AH703" s="11" t="n"/>
      <c r="AI703" s="11" t="n"/>
      <c r="AJ703" s="11" t="n"/>
      <c r="AK703" s="14">
        <f>IF(AND($AF703="保留中",$AH703&lt;&gt;""),TODAY()-$AH703,"")</f>
        <v/>
      </c>
      <c r="AL703" s="12" t="n"/>
      <c r="AM703" s="14">
        <f>IF($B703="","",IF($AQ703="","対象年月が未入力／","")&amp;IF($B703="","",IF($AP703="","職員マスタに未登録の職員番号／",IF($AA703="","標準報酬月額が未登録／","")&amp;IF(AND($AQ703&lt;&gt;"",OR(AND(INDEX(職員マスタ!$G$6:$G$405,$AP703)&lt;&gt;"",INDEX(職員マスタ!$G$6:$G$405,$AP703)&gt;EOMONTH($AQ703,0)),AND(INDEX(職員マスタ!$H$6:$H$405,$AP703)&lt;&gt;"",INDEX(職員マスタ!$H$6:$H$405,$AP703)&lt;$AQ703))),"対象月が時短期間外／","")&amp;IF(AND(INDEX(職員マスタ!$K$6:$K$405,$AP703)&lt;&gt;"",N($W703)&gt;0,INDEX(職員マスタ!$K$6:$K$405,$AP703)&lt;&gt;$W703),"標準報酬月額が申請書と相違（台帳"&amp;TEXT(INDEX(職員マスタ!$K$6:$K$405,$AP703),"#,##0")&amp;"円／申請書"&amp;TEXT($W703,"#,##0")&amp;"円）／","")&amp;IF(AND(INDEX(職員マスタ!$F$6:$F$405,$AP703)&lt;&gt;"",$AQ703&lt;&gt;"",INDEX(職員マスタ!$F$6:$F$405,$AP703)&lt;$AQ703),"対象月に子が2歳到達済／","")&amp;IF(AND($H703&lt;&gt;"",INDEX(職員マスタ!$B$6:$B$405,$AP703)&lt;&gt;"",SUBSTITUTE(SUBSTITUTE($H703," ","")," ","")&lt;&gt;SUBSTITUTE(SUBSTITUTE(INDEX(職員マスタ!$B$6:$B$405,$AP703)," ","")," ","")),"氏名がマスタと相違／","")&amp;IF(AND($Q703&lt;&gt;"",INDEX(職員マスタ!$E$6:$E$405,$AP703)&lt;&gt;"",$Q703&lt;&gt;INDEX(職員マスタ!$E$6:$E$405,$AP703)),"子の生年月日がマスタと相違／","")&amp;IF(AND($L703&lt;&gt;"",INDEX(職員マスタ!$G$6:$G$405,$AP703)&lt;&gt;"",$L703&lt;&gt;INDEX(職員マスタ!$G$6:$G$405,$AP703)),"時短開始日がマスタと相違／","")&amp;IF(AND($M703&lt;&gt;"",INDEX(職員マスタ!$H$6:$H$405,$AP703)&lt;&gt;"",$M703&lt;&gt;INDEX(職員マスタ!$H$6:$H$405,$AP703)),"時短終了日がマスタと相違／","")))&amp;IF(AND($B703&lt;&gt;"",$E703=""),"報酬額が未入力／","")&amp;IF(N($U703)&gt;0,"申請書に入力エラーが残っています／","")&amp;IF(AND($B703&lt;&gt;"",$AQ703&lt;&gt;""),IF(COUNTIFS($B$6:$B$3005,$B703,$C$6:$C$3005,$C703,$D$6:$D$3005,$D703)&gt;1,"同じ月の請求が重複しています／",""),"")&amp;IF(AND(N($E703)&gt;0,$AB703&lt;&gt;"",$AB703&lt;&gt;"×",$AE703=0,$AD703=""),"計算額が下限以下のため不支給／",""))</f>
        <v/>
      </c>
      <c r="AN703" s="12" t="n"/>
      <c r="AO703" s="14">
        <f>IF($AF703="保留中",COUNTIF($AF$6:$AF703,"保留中"),"")</f>
        <v/>
      </c>
      <c r="AP703" s="14">
        <f>IF($AQ703="","",IF(SUMPRODUCT(MAX((職員マスタ!$A$6:$A$405=$B703)*(((職員マスタ!$G$6:$G$405="")+(職員マスタ!$G$6:$G$405&lt;=EOMONTH($AQ703,0)))&gt;0)*(((職員マスタ!$H$6:$H$405="")+(職員マスタ!$H$6:$H$405&gt;=$AQ703))&gt;0)*(ROW(職員マスタ!$A$6:$A$405)-5)))&gt;0,SUMPRODUCT(MAX((職員マスタ!$A$6:$A$405=$B703)*(((職員マスタ!$G$6:$G$405="")+(職員マスタ!$G$6:$G$405&lt;=EOMONTH($AQ703,0)))&gt;0)*(((職員マスタ!$H$6:$H$405="")+(職員マスタ!$H$6:$H$405&gt;=$AQ703))&gt;0)*(ROW(職員マスタ!$A$6:$A$405)-5))),IFERROR(MATCH($B703,職員マスタ!$A$6:$A$405,0),"")))</f>
        <v/>
      </c>
      <c r="AQ703" s="16">
        <f>IF(OR($B703="",$C703="",$D703=""),"",DATE($C703+2018,$D703,1))</f>
        <v/>
      </c>
    </row>
    <row r="704">
      <c r="A704" s="11" t="n"/>
      <c r="B704" s="12" t="n"/>
      <c r="C704" s="12" t="n"/>
      <c r="D704" s="12" t="n"/>
      <c r="E704" s="13" t="n"/>
      <c r="F704" s="12" t="n"/>
      <c r="G704" s="13" t="n"/>
      <c r="H704" s="12" t="n"/>
      <c r="I704" s="12" t="n"/>
      <c r="J704" s="12" t="n"/>
      <c r="K704" s="12" t="n"/>
      <c r="L704" s="11" t="n"/>
      <c r="M704" s="11" t="n"/>
      <c r="N704" s="11" t="n"/>
      <c r="O704" s="11" t="n"/>
      <c r="P704" s="12" t="n"/>
      <c r="Q704" s="11" t="n"/>
      <c r="R704" s="12" t="n"/>
      <c r="S704" s="11" t="n"/>
      <c r="T704" s="12" t="n"/>
      <c r="U704" s="12" t="n"/>
      <c r="V704" s="12" t="n"/>
      <c r="W704" s="13" t="n"/>
      <c r="X704" s="14">
        <f>IF($AP704="",IF($B704="","",$H704),IF(INDEX(職員マスタ!$B$6:$B$405,$AP704)="",$H704,INDEX(職員マスタ!$B$6:$B$405,$AP704)))</f>
        <v/>
      </c>
      <c r="Y704" s="14">
        <f>IF($AP704="",IF($B704="","",$R704),IF(INDEX(職員マスタ!$C$6:$C$405,$AP704)="",$R704,INDEX(職員マスタ!$C$6:$C$405,$AP704)))</f>
        <v/>
      </c>
      <c r="Z704" s="14">
        <f>IF($AQ704="","","R"&amp;$C704&amp;"."&amp;$D704)</f>
        <v/>
      </c>
      <c r="AA704" s="15">
        <f>IF(IF($AP704="",FALSE,INDEX(職員マスタ!$K$6:$K$405,$AP704)&lt;&gt;""),INDEX(職員マスタ!$K$6:$K$405,$AP704),IF(N($W704)&gt;0,$W704,""))</f>
        <v/>
      </c>
      <c r="AB704" s="14">
        <f>IF(OR($E704="",$AA704=""),"",IF($E704&gt;=$AA704,"×",IF($E704&gt;=$AA704*設定!$C$5,"△","○")))</f>
        <v/>
      </c>
      <c r="AC704" s="15">
        <f>IF($AB704="","",IF($AB704="×",0,IF($AB704="○",ROUNDDOWN($E704*設定!$C$4,0),ROUNDDOWN($E704*ROUND((9*$AA704-9*$E704)/(10*$E704),4),0))))</f>
        <v/>
      </c>
      <c r="AD704" s="13" t="n"/>
      <c r="AE704" s="15">
        <f>IF($B704="","",IF($AD704&lt;&gt;"",$AD704,IF($AC704="","",IF($AC704&lt;=設定!$C$3,0,$AC704))))</f>
        <v/>
      </c>
      <c r="AF704" s="14">
        <f>IF($B704="","",IF(AND($AG704&lt;&gt;"",$AI704="",$AL704=""),"保留中",IF($AL704&lt;&gt;"",IF(N($AE704)&gt;0,"支給済","不支給"),IF($AE704="","要確認",IF($AE704=0,"不支給","未処理")))))</f>
        <v/>
      </c>
      <c r="AG704" s="12" t="n"/>
      <c r="AH704" s="11" t="n"/>
      <c r="AI704" s="11" t="n"/>
      <c r="AJ704" s="11" t="n"/>
      <c r="AK704" s="14">
        <f>IF(AND($AF704="保留中",$AH704&lt;&gt;""),TODAY()-$AH704,"")</f>
        <v/>
      </c>
      <c r="AL704" s="12" t="n"/>
      <c r="AM704" s="14">
        <f>IF($B704="","",IF($AQ704="","対象年月が未入力／","")&amp;IF($B704="","",IF($AP704="","職員マスタに未登録の職員番号／",IF($AA704="","標準報酬月額が未登録／","")&amp;IF(AND($AQ704&lt;&gt;"",OR(AND(INDEX(職員マスタ!$G$6:$G$405,$AP704)&lt;&gt;"",INDEX(職員マスタ!$G$6:$G$405,$AP704)&gt;EOMONTH($AQ704,0)),AND(INDEX(職員マスタ!$H$6:$H$405,$AP704)&lt;&gt;"",INDEX(職員マスタ!$H$6:$H$405,$AP704)&lt;$AQ704))),"対象月が時短期間外／","")&amp;IF(AND(INDEX(職員マスタ!$K$6:$K$405,$AP704)&lt;&gt;"",N($W704)&gt;0,INDEX(職員マスタ!$K$6:$K$405,$AP704)&lt;&gt;$W704),"標準報酬月額が申請書と相違（台帳"&amp;TEXT(INDEX(職員マスタ!$K$6:$K$405,$AP704),"#,##0")&amp;"円／申請書"&amp;TEXT($W704,"#,##0")&amp;"円）／","")&amp;IF(AND(INDEX(職員マスタ!$F$6:$F$405,$AP704)&lt;&gt;"",$AQ704&lt;&gt;"",INDEX(職員マスタ!$F$6:$F$405,$AP704)&lt;$AQ704),"対象月に子が2歳到達済／","")&amp;IF(AND($H704&lt;&gt;"",INDEX(職員マスタ!$B$6:$B$405,$AP704)&lt;&gt;"",SUBSTITUTE(SUBSTITUTE($H704," ","")," ","")&lt;&gt;SUBSTITUTE(SUBSTITUTE(INDEX(職員マスタ!$B$6:$B$405,$AP704)," ","")," ","")),"氏名がマスタと相違／","")&amp;IF(AND($Q704&lt;&gt;"",INDEX(職員マスタ!$E$6:$E$405,$AP704)&lt;&gt;"",$Q704&lt;&gt;INDEX(職員マスタ!$E$6:$E$405,$AP704)),"子の生年月日がマスタと相違／","")&amp;IF(AND($L704&lt;&gt;"",INDEX(職員マスタ!$G$6:$G$405,$AP704)&lt;&gt;"",$L704&lt;&gt;INDEX(職員マスタ!$G$6:$G$405,$AP704)),"時短開始日がマスタと相違／","")&amp;IF(AND($M704&lt;&gt;"",INDEX(職員マスタ!$H$6:$H$405,$AP704)&lt;&gt;"",$M704&lt;&gt;INDEX(職員マスタ!$H$6:$H$405,$AP704)),"時短終了日がマスタと相違／","")))&amp;IF(AND($B704&lt;&gt;"",$E704=""),"報酬額が未入力／","")&amp;IF(N($U704)&gt;0,"申請書に入力エラーが残っています／","")&amp;IF(AND($B704&lt;&gt;"",$AQ704&lt;&gt;""),IF(COUNTIFS($B$6:$B$3005,$B704,$C$6:$C$3005,$C704,$D$6:$D$3005,$D704)&gt;1,"同じ月の請求が重複しています／",""),"")&amp;IF(AND(N($E704)&gt;0,$AB704&lt;&gt;"",$AB704&lt;&gt;"×",$AE704=0,$AD704=""),"計算額が下限以下のため不支給／",""))</f>
        <v/>
      </c>
      <c r="AN704" s="12" t="n"/>
      <c r="AO704" s="14">
        <f>IF($AF704="保留中",COUNTIF($AF$6:$AF704,"保留中"),"")</f>
        <v/>
      </c>
      <c r="AP704" s="14">
        <f>IF($AQ704="","",IF(SUMPRODUCT(MAX((職員マスタ!$A$6:$A$405=$B704)*(((職員マスタ!$G$6:$G$405="")+(職員マスタ!$G$6:$G$405&lt;=EOMONTH($AQ704,0)))&gt;0)*(((職員マスタ!$H$6:$H$405="")+(職員マスタ!$H$6:$H$405&gt;=$AQ704))&gt;0)*(ROW(職員マスタ!$A$6:$A$405)-5)))&gt;0,SUMPRODUCT(MAX((職員マスタ!$A$6:$A$405=$B704)*(((職員マスタ!$G$6:$G$405="")+(職員マスタ!$G$6:$G$405&lt;=EOMONTH($AQ704,0)))&gt;0)*(((職員マスタ!$H$6:$H$405="")+(職員マスタ!$H$6:$H$405&gt;=$AQ704))&gt;0)*(ROW(職員マスタ!$A$6:$A$405)-5))),IFERROR(MATCH($B704,職員マスタ!$A$6:$A$405,0),"")))</f>
        <v/>
      </c>
      <c r="AQ704" s="16">
        <f>IF(OR($B704="",$C704="",$D704=""),"",DATE($C704+2018,$D704,1))</f>
        <v/>
      </c>
    </row>
    <row r="705">
      <c r="A705" s="11" t="n"/>
      <c r="B705" s="12" t="n"/>
      <c r="C705" s="12" t="n"/>
      <c r="D705" s="12" t="n"/>
      <c r="E705" s="13" t="n"/>
      <c r="F705" s="12" t="n"/>
      <c r="G705" s="13" t="n"/>
      <c r="H705" s="12" t="n"/>
      <c r="I705" s="12" t="n"/>
      <c r="J705" s="12" t="n"/>
      <c r="K705" s="12" t="n"/>
      <c r="L705" s="11" t="n"/>
      <c r="M705" s="11" t="n"/>
      <c r="N705" s="11" t="n"/>
      <c r="O705" s="11" t="n"/>
      <c r="P705" s="12" t="n"/>
      <c r="Q705" s="11" t="n"/>
      <c r="R705" s="12" t="n"/>
      <c r="S705" s="11" t="n"/>
      <c r="T705" s="12" t="n"/>
      <c r="U705" s="12" t="n"/>
      <c r="V705" s="12" t="n"/>
      <c r="W705" s="13" t="n"/>
      <c r="X705" s="14">
        <f>IF($AP705="",IF($B705="","",$H705),IF(INDEX(職員マスタ!$B$6:$B$405,$AP705)="",$H705,INDEX(職員マスタ!$B$6:$B$405,$AP705)))</f>
        <v/>
      </c>
      <c r="Y705" s="14">
        <f>IF($AP705="",IF($B705="","",$R705),IF(INDEX(職員マスタ!$C$6:$C$405,$AP705)="",$R705,INDEX(職員マスタ!$C$6:$C$405,$AP705)))</f>
        <v/>
      </c>
      <c r="Z705" s="14">
        <f>IF($AQ705="","","R"&amp;$C705&amp;"."&amp;$D705)</f>
        <v/>
      </c>
      <c r="AA705" s="15">
        <f>IF(IF($AP705="",FALSE,INDEX(職員マスタ!$K$6:$K$405,$AP705)&lt;&gt;""),INDEX(職員マスタ!$K$6:$K$405,$AP705),IF(N($W705)&gt;0,$W705,""))</f>
        <v/>
      </c>
      <c r="AB705" s="14">
        <f>IF(OR($E705="",$AA705=""),"",IF($E705&gt;=$AA705,"×",IF($E705&gt;=$AA705*設定!$C$5,"△","○")))</f>
        <v/>
      </c>
      <c r="AC705" s="15">
        <f>IF($AB705="","",IF($AB705="×",0,IF($AB705="○",ROUNDDOWN($E705*設定!$C$4,0),ROUNDDOWN($E705*ROUND((9*$AA705-9*$E705)/(10*$E705),4),0))))</f>
        <v/>
      </c>
      <c r="AD705" s="13" t="n"/>
      <c r="AE705" s="15">
        <f>IF($B705="","",IF($AD705&lt;&gt;"",$AD705,IF($AC705="","",IF($AC705&lt;=設定!$C$3,0,$AC705))))</f>
        <v/>
      </c>
      <c r="AF705" s="14">
        <f>IF($B705="","",IF(AND($AG705&lt;&gt;"",$AI705="",$AL705=""),"保留中",IF($AL705&lt;&gt;"",IF(N($AE705)&gt;0,"支給済","不支給"),IF($AE705="","要確認",IF($AE705=0,"不支給","未処理")))))</f>
        <v/>
      </c>
      <c r="AG705" s="12" t="n"/>
      <c r="AH705" s="11" t="n"/>
      <c r="AI705" s="11" t="n"/>
      <c r="AJ705" s="11" t="n"/>
      <c r="AK705" s="14">
        <f>IF(AND($AF705="保留中",$AH705&lt;&gt;""),TODAY()-$AH705,"")</f>
        <v/>
      </c>
      <c r="AL705" s="12" t="n"/>
      <c r="AM705" s="14">
        <f>IF($B705="","",IF($AQ705="","対象年月が未入力／","")&amp;IF($B705="","",IF($AP705="","職員マスタに未登録の職員番号／",IF($AA705="","標準報酬月額が未登録／","")&amp;IF(AND($AQ705&lt;&gt;"",OR(AND(INDEX(職員マスタ!$G$6:$G$405,$AP705)&lt;&gt;"",INDEX(職員マスタ!$G$6:$G$405,$AP705)&gt;EOMONTH($AQ705,0)),AND(INDEX(職員マスタ!$H$6:$H$405,$AP705)&lt;&gt;"",INDEX(職員マスタ!$H$6:$H$405,$AP705)&lt;$AQ705))),"対象月が時短期間外／","")&amp;IF(AND(INDEX(職員マスタ!$K$6:$K$405,$AP705)&lt;&gt;"",N($W705)&gt;0,INDEX(職員マスタ!$K$6:$K$405,$AP705)&lt;&gt;$W705),"標準報酬月額が申請書と相違（台帳"&amp;TEXT(INDEX(職員マスタ!$K$6:$K$405,$AP705),"#,##0")&amp;"円／申請書"&amp;TEXT($W705,"#,##0")&amp;"円）／","")&amp;IF(AND(INDEX(職員マスタ!$F$6:$F$405,$AP705)&lt;&gt;"",$AQ705&lt;&gt;"",INDEX(職員マスタ!$F$6:$F$405,$AP705)&lt;$AQ705),"対象月に子が2歳到達済／","")&amp;IF(AND($H705&lt;&gt;"",INDEX(職員マスタ!$B$6:$B$405,$AP705)&lt;&gt;"",SUBSTITUTE(SUBSTITUTE($H705," ","")," ","")&lt;&gt;SUBSTITUTE(SUBSTITUTE(INDEX(職員マスタ!$B$6:$B$405,$AP705)," ","")," ","")),"氏名がマスタと相違／","")&amp;IF(AND($Q705&lt;&gt;"",INDEX(職員マスタ!$E$6:$E$405,$AP705)&lt;&gt;"",$Q705&lt;&gt;INDEX(職員マスタ!$E$6:$E$405,$AP705)),"子の生年月日がマスタと相違／","")&amp;IF(AND($L705&lt;&gt;"",INDEX(職員マスタ!$G$6:$G$405,$AP705)&lt;&gt;"",$L705&lt;&gt;INDEX(職員マスタ!$G$6:$G$405,$AP705)),"時短開始日がマスタと相違／","")&amp;IF(AND($M705&lt;&gt;"",INDEX(職員マスタ!$H$6:$H$405,$AP705)&lt;&gt;"",$M705&lt;&gt;INDEX(職員マスタ!$H$6:$H$405,$AP705)),"時短終了日がマスタと相違／","")))&amp;IF(AND($B705&lt;&gt;"",$E705=""),"報酬額が未入力／","")&amp;IF(N($U705)&gt;0,"申請書に入力エラーが残っています／","")&amp;IF(AND($B705&lt;&gt;"",$AQ705&lt;&gt;""),IF(COUNTIFS($B$6:$B$3005,$B705,$C$6:$C$3005,$C705,$D$6:$D$3005,$D705)&gt;1,"同じ月の請求が重複しています／",""),"")&amp;IF(AND(N($E705)&gt;0,$AB705&lt;&gt;"",$AB705&lt;&gt;"×",$AE705=0,$AD705=""),"計算額が下限以下のため不支給／",""))</f>
        <v/>
      </c>
      <c r="AN705" s="12" t="n"/>
      <c r="AO705" s="14">
        <f>IF($AF705="保留中",COUNTIF($AF$6:$AF705,"保留中"),"")</f>
        <v/>
      </c>
      <c r="AP705" s="14">
        <f>IF($AQ705="","",IF(SUMPRODUCT(MAX((職員マスタ!$A$6:$A$405=$B705)*(((職員マスタ!$G$6:$G$405="")+(職員マスタ!$G$6:$G$405&lt;=EOMONTH($AQ705,0)))&gt;0)*(((職員マスタ!$H$6:$H$405="")+(職員マスタ!$H$6:$H$405&gt;=$AQ705))&gt;0)*(ROW(職員マスタ!$A$6:$A$405)-5)))&gt;0,SUMPRODUCT(MAX((職員マスタ!$A$6:$A$405=$B705)*(((職員マスタ!$G$6:$G$405="")+(職員マスタ!$G$6:$G$405&lt;=EOMONTH($AQ705,0)))&gt;0)*(((職員マスタ!$H$6:$H$405="")+(職員マスタ!$H$6:$H$405&gt;=$AQ705))&gt;0)*(ROW(職員マスタ!$A$6:$A$405)-5))),IFERROR(MATCH($B705,職員マスタ!$A$6:$A$405,0),"")))</f>
        <v/>
      </c>
      <c r="AQ705" s="16">
        <f>IF(OR($B705="",$C705="",$D705=""),"",DATE($C705+2018,$D705,1))</f>
        <v/>
      </c>
    </row>
    <row r="706">
      <c r="A706" s="11" t="n"/>
      <c r="B706" s="12" t="n"/>
      <c r="C706" s="12" t="n"/>
      <c r="D706" s="12" t="n"/>
      <c r="E706" s="13" t="n"/>
      <c r="F706" s="12" t="n"/>
      <c r="G706" s="13" t="n"/>
      <c r="H706" s="12" t="n"/>
      <c r="I706" s="12" t="n"/>
      <c r="J706" s="12" t="n"/>
      <c r="K706" s="12" t="n"/>
      <c r="L706" s="11" t="n"/>
      <c r="M706" s="11" t="n"/>
      <c r="N706" s="11" t="n"/>
      <c r="O706" s="11" t="n"/>
      <c r="P706" s="12" t="n"/>
      <c r="Q706" s="11" t="n"/>
      <c r="R706" s="12" t="n"/>
      <c r="S706" s="11" t="n"/>
      <c r="T706" s="12" t="n"/>
      <c r="U706" s="12" t="n"/>
      <c r="V706" s="12" t="n"/>
      <c r="W706" s="13" t="n"/>
      <c r="X706" s="14">
        <f>IF($AP706="",IF($B706="","",$H706),IF(INDEX(職員マスタ!$B$6:$B$405,$AP706)="",$H706,INDEX(職員マスタ!$B$6:$B$405,$AP706)))</f>
        <v/>
      </c>
      <c r="Y706" s="14">
        <f>IF($AP706="",IF($B706="","",$R706),IF(INDEX(職員マスタ!$C$6:$C$405,$AP706)="",$R706,INDEX(職員マスタ!$C$6:$C$405,$AP706)))</f>
        <v/>
      </c>
      <c r="Z706" s="14">
        <f>IF($AQ706="","","R"&amp;$C706&amp;"."&amp;$D706)</f>
        <v/>
      </c>
      <c r="AA706" s="15">
        <f>IF(IF($AP706="",FALSE,INDEX(職員マスタ!$K$6:$K$405,$AP706)&lt;&gt;""),INDEX(職員マスタ!$K$6:$K$405,$AP706),IF(N($W706)&gt;0,$W706,""))</f>
        <v/>
      </c>
      <c r="AB706" s="14">
        <f>IF(OR($E706="",$AA706=""),"",IF($E706&gt;=$AA706,"×",IF($E706&gt;=$AA706*設定!$C$5,"△","○")))</f>
        <v/>
      </c>
      <c r="AC706" s="15">
        <f>IF($AB706="","",IF($AB706="×",0,IF($AB706="○",ROUNDDOWN($E706*設定!$C$4,0),ROUNDDOWN($E706*ROUND((9*$AA706-9*$E706)/(10*$E706),4),0))))</f>
        <v/>
      </c>
      <c r="AD706" s="13" t="n"/>
      <c r="AE706" s="15">
        <f>IF($B706="","",IF($AD706&lt;&gt;"",$AD706,IF($AC706="","",IF($AC706&lt;=設定!$C$3,0,$AC706))))</f>
        <v/>
      </c>
      <c r="AF706" s="14">
        <f>IF($B706="","",IF(AND($AG706&lt;&gt;"",$AI706="",$AL706=""),"保留中",IF($AL706&lt;&gt;"",IF(N($AE706)&gt;0,"支給済","不支給"),IF($AE706="","要確認",IF($AE706=0,"不支給","未処理")))))</f>
        <v/>
      </c>
      <c r="AG706" s="12" t="n"/>
      <c r="AH706" s="11" t="n"/>
      <c r="AI706" s="11" t="n"/>
      <c r="AJ706" s="11" t="n"/>
      <c r="AK706" s="14">
        <f>IF(AND($AF706="保留中",$AH706&lt;&gt;""),TODAY()-$AH706,"")</f>
        <v/>
      </c>
      <c r="AL706" s="12" t="n"/>
      <c r="AM706" s="14">
        <f>IF($B706="","",IF($AQ706="","対象年月が未入力／","")&amp;IF($B706="","",IF($AP706="","職員マスタに未登録の職員番号／",IF($AA706="","標準報酬月額が未登録／","")&amp;IF(AND($AQ706&lt;&gt;"",OR(AND(INDEX(職員マスタ!$G$6:$G$405,$AP706)&lt;&gt;"",INDEX(職員マスタ!$G$6:$G$405,$AP706)&gt;EOMONTH($AQ706,0)),AND(INDEX(職員マスタ!$H$6:$H$405,$AP706)&lt;&gt;"",INDEX(職員マスタ!$H$6:$H$405,$AP706)&lt;$AQ706))),"対象月が時短期間外／","")&amp;IF(AND(INDEX(職員マスタ!$K$6:$K$405,$AP706)&lt;&gt;"",N($W706)&gt;0,INDEX(職員マスタ!$K$6:$K$405,$AP706)&lt;&gt;$W706),"標準報酬月額が申請書と相違（台帳"&amp;TEXT(INDEX(職員マスタ!$K$6:$K$405,$AP706),"#,##0")&amp;"円／申請書"&amp;TEXT($W706,"#,##0")&amp;"円）／","")&amp;IF(AND(INDEX(職員マスタ!$F$6:$F$405,$AP706)&lt;&gt;"",$AQ706&lt;&gt;"",INDEX(職員マスタ!$F$6:$F$405,$AP706)&lt;$AQ706),"対象月に子が2歳到達済／","")&amp;IF(AND($H706&lt;&gt;"",INDEX(職員マスタ!$B$6:$B$405,$AP706)&lt;&gt;"",SUBSTITUTE(SUBSTITUTE($H706," ","")," ","")&lt;&gt;SUBSTITUTE(SUBSTITUTE(INDEX(職員マスタ!$B$6:$B$405,$AP706)," ","")," ","")),"氏名がマスタと相違／","")&amp;IF(AND($Q706&lt;&gt;"",INDEX(職員マスタ!$E$6:$E$405,$AP706)&lt;&gt;"",$Q706&lt;&gt;INDEX(職員マスタ!$E$6:$E$405,$AP706)),"子の生年月日がマスタと相違／","")&amp;IF(AND($L706&lt;&gt;"",INDEX(職員マスタ!$G$6:$G$405,$AP706)&lt;&gt;"",$L706&lt;&gt;INDEX(職員マスタ!$G$6:$G$405,$AP706)),"時短開始日がマスタと相違／","")&amp;IF(AND($M706&lt;&gt;"",INDEX(職員マスタ!$H$6:$H$405,$AP706)&lt;&gt;"",$M706&lt;&gt;INDEX(職員マスタ!$H$6:$H$405,$AP706)),"時短終了日がマスタと相違／","")))&amp;IF(AND($B706&lt;&gt;"",$E706=""),"報酬額が未入力／","")&amp;IF(N($U706)&gt;0,"申請書に入力エラーが残っています／","")&amp;IF(AND($B706&lt;&gt;"",$AQ706&lt;&gt;""),IF(COUNTIFS($B$6:$B$3005,$B706,$C$6:$C$3005,$C706,$D$6:$D$3005,$D706)&gt;1,"同じ月の請求が重複しています／",""),"")&amp;IF(AND(N($E706)&gt;0,$AB706&lt;&gt;"",$AB706&lt;&gt;"×",$AE706=0,$AD706=""),"計算額が下限以下のため不支給／",""))</f>
        <v/>
      </c>
      <c r="AN706" s="12" t="n"/>
      <c r="AO706" s="14">
        <f>IF($AF706="保留中",COUNTIF($AF$6:$AF706,"保留中"),"")</f>
        <v/>
      </c>
      <c r="AP706" s="14">
        <f>IF($AQ706="","",IF(SUMPRODUCT(MAX((職員マスタ!$A$6:$A$405=$B706)*(((職員マスタ!$G$6:$G$405="")+(職員マスタ!$G$6:$G$405&lt;=EOMONTH($AQ706,0)))&gt;0)*(((職員マスタ!$H$6:$H$405="")+(職員マスタ!$H$6:$H$405&gt;=$AQ706))&gt;0)*(ROW(職員マスタ!$A$6:$A$405)-5)))&gt;0,SUMPRODUCT(MAX((職員マスタ!$A$6:$A$405=$B706)*(((職員マスタ!$G$6:$G$405="")+(職員マスタ!$G$6:$G$405&lt;=EOMONTH($AQ706,0)))&gt;0)*(((職員マスタ!$H$6:$H$405="")+(職員マスタ!$H$6:$H$405&gt;=$AQ706))&gt;0)*(ROW(職員マスタ!$A$6:$A$405)-5))),IFERROR(MATCH($B706,職員マスタ!$A$6:$A$405,0),"")))</f>
        <v/>
      </c>
      <c r="AQ706" s="16">
        <f>IF(OR($B706="",$C706="",$D706=""),"",DATE($C706+2018,$D706,1))</f>
        <v/>
      </c>
    </row>
    <row r="707">
      <c r="A707" s="11" t="n"/>
      <c r="B707" s="12" t="n"/>
      <c r="C707" s="12" t="n"/>
      <c r="D707" s="12" t="n"/>
      <c r="E707" s="13" t="n"/>
      <c r="F707" s="12" t="n"/>
      <c r="G707" s="13" t="n"/>
      <c r="H707" s="12" t="n"/>
      <c r="I707" s="12" t="n"/>
      <c r="J707" s="12" t="n"/>
      <c r="K707" s="12" t="n"/>
      <c r="L707" s="11" t="n"/>
      <c r="M707" s="11" t="n"/>
      <c r="N707" s="11" t="n"/>
      <c r="O707" s="11" t="n"/>
      <c r="P707" s="12" t="n"/>
      <c r="Q707" s="11" t="n"/>
      <c r="R707" s="12" t="n"/>
      <c r="S707" s="11" t="n"/>
      <c r="T707" s="12" t="n"/>
      <c r="U707" s="12" t="n"/>
      <c r="V707" s="12" t="n"/>
      <c r="W707" s="13" t="n"/>
      <c r="X707" s="14">
        <f>IF($AP707="",IF($B707="","",$H707),IF(INDEX(職員マスタ!$B$6:$B$405,$AP707)="",$H707,INDEX(職員マスタ!$B$6:$B$405,$AP707)))</f>
        <v/>
      </c>
      <c r="Y707" s="14">
        <f>IF($AP707="",IF($B707="","",$R707),IF(INDEX(職員マスタ!$C$6:$C$405,$AP707)="",$R707,INDEX(職員マスタ!$C$6:$C$405,$AP707)))</f>
        <v/>
      </c>
      <c r="Z707" s="14">
        <f>IF($AQ707="","","R"&amp;$C707&amp;"."&amp;$D707)</f>
        <v/>
      </c>
      <c r="AA707" s="15">
        <f>IF(IF($AP707="",FALSE,INDEX(職員マスタ!$K$6:$K$405,$AP707)&lt;&gt;""),INDEX(職員マスタ!$K$6:$K$405,$AP707),IF(N($W707)&gt;0,$W707,""))</f>
        <v/>
      </c>
      <c r="AB707" s="14">
        <f>IF(OR($E707="",$AA707=""),"",IF($E707&gt;=$AA707,"×",IF($E707&gt;=$AA707*設定!$C$5,"△","○")))</f>
        <v/>
      </c>
      <c r="AC707" s="15">
        <f>IF($AB707="","",IF($AB707="×",0,IF($AB707="○",ROUNDDOWN($E707*設定!$C$4,0),ROUNDDOWN($E707*ROUND((9*$AA707-9*$E707)/(10*$E707),4),0))))</f>
        <v/>
      </c>
      <c r="AD707" s="13" t="n"/>
      <c r="AE707" s="15">
        <f>IF($B707="","",IF($AD707&lt;&gt;"",$AD707,IF($AC707="","",IF($AC707&lt;=設定!$C$3,0,$AC707))))</f>
        <v/>
      </c>
      <c r="AF707" s="14">
        <f>IF($B707="","",IF(AND($AG707&lt;&gt;"",$AI707="",$AL707=""),"保留中",IF($AL707&lt;&gt;"",IF(N($AE707)&gt;0,"支給済","不支給"),IF($AE707="","要確認",IF($AE707=0,"不支給","未処理")))))</f>
        <v/>
      </c>
      <c r="AG707" s="12" t="n"/>
      <c r="AH707" s="11" t="n"/>
      <c r="AI707" s="11" t="n"/>
      <c r="AJ707" s="11" t="n"/>
      <c r="AK707" s="14">
        <f>IF(AND($AF707="保留中",$AH707&lt;&gt;""),TODAY()-$AH707,"")</f>
        <v/>
      </c>
      <c r="AL707" s="12" t="n"/>
      <c r="AM707" s="14">
        <f>IF($B707="","",IF($AQ707="","対象年月が未入力／","")&amp;IF($B707="","",IF($AP707="","職員マスタに未登録の職員番号／",IF($AA707="","標準報酬月額が未登録／","")&amp;IF(AND($AQ707&lt;&gt;"",OR(AND(INDEX(職員マスタ!$G$6:$G$405,$AP707)&lt;&gt;"",INDEX(職員マスタ!$G$6:$G$405,$AP707)&gt;EOMONTH($AQ707,0)),AND(INDEX(職員マスタ!$H$6:$H$405,$AP707)&lt;&gt;"",INDEX(職員マスタ!$H$6:$H$405,$AP707)&lt;$AQ707))),"対象月が時短期間外／","")&amp;IF(AND(INDEX(職員マスタ!$K$6:$K$405,$AP707)&lt;&gt;"",N($W707)&gt;0,INDEX(職員マスタ!$K$6:$K$405,$AP707)&lt;&gt;$W707),"標準報酬月額が申請書と相違（台帳"&amp;TEXT(INDEX(職員マスタ!$K$6:$K$405,$AP707),"#,##0")&amp;"円／申請書"&amp;TEXT($W707,"#,##0")&amp;"円）／","")&amp;IF(AND(INDEX(職員マスタ!$F$6:$F$405,$AP707)&lt;&gt;"",$AQ707&lt;&gt;"",INDEX(職員マスタ!$F$6:$F$405,$AP707)&lt;$AQ707),"対象月に子が2歳到達済／","")&amp;IF(AND($H707&lt;&gt;"",INDEX(職員マスタ!$B$6:$B$405,$AP707)&lt;&gt;"",SUBSTITUTE(SUBSTITUTE($H707," ","")," ","")&lt;&gt;SUBSTITUTE(SUBSTITUTE(INDEX(職員マスタ!$B$6:$B$405,$AP707)," ","")," ","")),"氏名がマスタと相違／","")&amp;IF(AND($Q707&lt;&gt;"",INDEX(職員マスタ!$E$6:$E$405,$AP707)&lt;&gt;"",$Q707&lt;&gt;INDEX(職員マスタ!$E$6:$E$405,$AP707)),"子の生年月日がマスタと相違／","")&amp;IF(AND($L707&lt;&gt;"",INDEX(職員マスタ!$G$6:$G$405,$AP707)&lt;&gt;"",$L707&lt;&gt;INDEX(職員マスタ!$G$6:$G$405,$AP707)),"時短開始日がマスタと相違／","")&amp;IF(AND($M707&lt;&gt;"",INDEX(職員マスタ!$H$6:$H$405,$AP707)&lt;&gt;"",$M707&lt;&gt;INDEX(職員マスタ!$H$6:$H$405,$AP707)),"時短終了日がマスタと相違／","")))&amp;IF(AND($B707&lt;&gt;"",$E707=""),"報酬額が未入力／","")&amp;IF(N($U707)&gt;0,"申請書に入力エラーが残っています／","")&amp;IF(AND($B707&lt;&gt;"",$AQ707&lt;&gt;""),IF(COUNTIFS($B$6:$B$3005,$B707,$C$6:$C$3005,$C707,$D$6:$D$3005,$D707)&gt;1,"同じ月の請求が重複しています／",""),"")&amp;IF(AND(N($E707)&gt;0,$AB707&lt;&gt;"",$AB707&lt;&gt;"×",$AE707=0,$AD707=""),"計算額が下限以下のため不支給／",""))</f>
        <v/>
      </c>
      <c r="AN707" s="12" t="n"/>
      <c r="AO707" s="14">
        <f>IF($AF707="保留中",COUNTIF($AF$6:$AF707,"保留中"),"")</f>
        <v/>
      </c>
      <c r="AP707" s="14">
        <f>IF($AQ707="","",IF(SUMPRODUCT(MAX((職員マスタ!$A$6:$A$405=$B707)*(((職員マスタ!$G$6:$G$405="")+(職員マスタ!$G$6:$G$405&lt;=EOMONTH($AQ707,0)))&gt;0)*(((職員マスタ!$H$6:$H$405="")+(職員マスタ!$H$6:$H$405&gt;=$AQ707))&gt;0)*(ROW(職員マスタ!$A$6:$A$405)-5)))&gt;0,SUMPRODUCT(MAX((職員マスタ!$A$6:$A$405=$B707)*(((職員マスタ!$G$6:$G$405="")+(職員マスタ!$G$6:$G$405&lt;=EOMONTH($AQ707,0)))&gt;0)*(((職員マスタ!$H$6:$H$405="")+(職員マスタ!$H$6:$H$405&gt;=$AQ707))&gt;0)*(ROW(職員マスタ!$A$6:$A$405)-5))),IFERROR(MATCH($B707,職員マスタ!$A$6:$A$405,0),"")))</f>
        <v/>
      </c>
      <c r="AQ707" s="16">
        <f>IF(OR($B707="",$C707="",$D707=""),"",DATE($C707+2018,$D707,1))</f>
        <v/>
      </c>
    </row>
    <row r="708">
      <c r="A708" s="11" t="n"/>
      <c r="B708" s="12" t="n"/>
      <c r="C708" s="12" t="n"/>
      <c r="D708" s="12" t="n"/>
      <c r="E708" s="13" t="n"/>
      <c r="F708" s="12" t="n"/>
      <c r="G708" s="13" t="n"/>
      <c r="H708" s="12" t="n"/>
      <c r="I708" s="12" t="n"/>
      <c r="J708" s="12" t="n"/>
      <c r="K708" s="12" t="n"/>
      <c r="L708" s="11" t="n"/>
      <c r="M708" s="11" t="n"/>
      <c r="N708" s="11" t="n"/>
      <c r="O708" s="11" t="n"/>
      <c r="P708" s="12" t="n"/>
      <c r="Q708" s="11" t="n"/>
      <c r="R708" s="12" t="n"/>
      <c r="S708" s="11" t="n"/>
      <c r="T708" s="12" t="n"/>
      <c r="U708" s="12" t="n"/>
      <c r="V708" s="12" t="n"/>
      <c r="W708" s="13" t="n"/>
      <c r="X708" s="14">
        <f>IF($AP708="",IF($B708="","",$H708),IF(INDEX(職員マスタ!$B$6:$B$405,$AP708)="",$H708,INDEX(職員マスタ!$B$6:$B$405,$AP708)))</f>
        <v/>
      </c>
      <c r="Y708" s="14">
        <f>IF($AP708="",IF($B708="","",$R708),IF(INDEX(職員マスタ!$C$6:$C$405,$AP708)="",$R708,INDEX(職員マスタ!$C$6:$C$405,$AP708)))</f>
        <v/>
      </c>
      <c r="Z708" s="14">
        <f>IF($AQ708="","","R"&amp;$C708&amp;"."&amp;$D708)</f>
        <v/>
      </c>
      <c r="AA708" s="15">
        <f>IF(IF($AP708="",FALSE,INDEX(職員マスタ!$K$6:$K$405,$AP708)&lt;&gt;""),INDEX(職員マスタ!$K$6:$K$405,$AP708),IF(N($W708)&gt;0,$W708,""))</f>
        <v/>
      </c>
      <c r="AB708" s="14">
        <f>IF(OR($E708="",$AA708=""),"",IF($E708&gt;=$AA708,"×",IF($E708&gt;=$AA708*設定!$C$5,"△","○")))</f>
        <v/>
      </c>
      <c r="AC708" s="15">
        <f>IF($AB708="","",IF($AB708="×",0,IF($AB708="○",ROUNDDOWN($E708*設定!$C$4,0),ROUNDDOWN($E708*ROUND((9*$AA708-9*$E708)/(10*$E708),4),0))))</f>
        <v/>
      </c>
      <c r="AD708" s="13" t="n"/>
      <c r="AE708" s="15">
        <f>IF($B708="","",IF($AD708&lt;&gt;"",$AD708,IF($AC708="","",IF($AC708&lt;=設定!$C$3,0,$AC708))))</f>
        <v/>
      </c>
      <c r="AF708" s="14">
        <f>IF($B708="","",IF(AND($AG708&lt;&gt;"",$AI708="",$AL708=""),"保留中",IF($AL708&lt;&gt;"",IF(N($AE708)&gt;0,"支給済","不支給"),IF($AE708="","要確認",IF($AE708=0,"不支給","未処理")))))</f>
        <v/>
      </c>
      <c r="AG708" s="12" t="n"/>
      <c r="AH708" s="11" t="n"/>
      <c r="AI708" s="11" t="n"/>
      <c r="AJ708" s="11" t="n"/>
      <c r="AK708" s="14">
        <f>IF(AND($AF708="保留中",$AH708&lt;&gt;""),TODAY()-$AH708,"")</f>
        <v/>
      </c>
      <c r="AL708" s="12" t="n"/>
      <c r="AM708" s="14">
        <f>IF($B708="","",IF($AQ708="","対象年月が未入力／","")&amp;IF($B708="","",IF($AP708="","職員マスタに未登録の職員番号／",IF($AA708="","標準報酬月額が未登録／","")&amp;IF(AND($AQ708&lt;&gt;"",OR(AND(INDEX(職員マスタ!$G$6:$G$405,$AP708)&lt;&gt;"",INDEX(職員マスタ!$G$6:$G$405,$AP708)&gt;EOMONTH($AQ708,0)),AND(INDEX(職員マスタ!$H$6:$H$405,$AP708)&lt;&gt;"",INDEX(職員マスタ!$H$6:$H$405,$AP708)&lt;$AQ708))),"対象月が時短期間外／","")&amp;IF(AND(INDEX(職員マスタ!$K$6:$K$405,$AP708)&lt;&gt;"",N($W708)&gt;0,INDEX(職員マスタ!$K$6:$K$405,$AP708)&lt;&gt;$W708),"標準報酬月額が申請書と相違（台帳"&amp;TEXT(INDEX(職員マスタ!$K$6:$K$405,$AP708),"#,##0")&amp;"円／申請書"&amp;TEXT($W708,"#,##0")&amp;"円）／","")&amp;IF(AND(INDEX(職員マスタ!$F$6:$F$405,$AP708)&lt;&gt;"",$AQ708&lt;&gt;"",INDEX(職員マスタ!$F$6:$F$405,$AP708)&lt;$AQ708),"対象月に子が2歳到達済／","")&amp;IF(AND($H708&lt;&gt;"",INDEX(職員マスタ!$B$6:$B$405,$AP708)&lt;&gt;"",SUBSTITUTE(SUBSTITUTE($H708," ","")," ","")&lt;&gt;SUBSTITUTE(SUBSTITUTE(INDEX(職員マスタ!$B$6:$B$405,$AP708)," ","")," ","")),"氏名がマスタと相違／","")&amp;IF(AND($Q708&lt;&gt;"",INDEX(職員マスタ!$E$6:$E$405,$AP708)&lt;&gt;"",$Q708&lt;&gt;INDEX(職員マスタ!$E$6:$E$405,$AP708)),"子の生年月日がマスタと相違／","")&amp;IF(AND($L708&lt;&gt;"",INDEX(職員マスタ!$G$6:$G$405,$AP708)&lt;&gt;"",$L708&lt;&gt;INDEX(職員マスタ!$G$6:$G$405,$AP708)),"時短開始日がマスタと相違／","")&amp;IF(AND($M708&lt;&gt;"",INDEX(職員マスタ!$H$6:$H$405,$AP708)&lt;&gt;"",$M708&lt;&gt;INDEX(職員マスタ!$H$6:$H$405,$AP708)),"時短終了日がマスタと相違／","")))&amp;IF(AND($B708&lt;&gt;"",$E708=""),"報酬額が未入力／","")&amp;IF(N($U708)&gt;0,"申請書に入力エラーが残っています／","")&amp;IF(AND($B708&lt;&gt;"",$AQ708&lt;&gt;""),IF(COUNTIFS($B$6:$B$3005,$B708,$C$6:$C$3005,$C708,$D$6:$D$3005,$D708)&gt;1,"同じ月の請求が重複しています／",""),"")&amp;IF(AND(N($E708)&gt;0,$AB708&lt;&gt;"",$AB708&lt;&gt;"×",$AE708=0,$AD708=""),"計算額が下限以下のため不支給／",""))</f>
        <v/>
      </c>
      <c r="AN708" s="12" t="n"/>
      <c r="AO708" s="14">
        <f>IF($AF708="保留中",COUNTIF($AF$6:$AF708,"保留中"),"")</f>
        <v/>
      </c>
      <c r="AP708" s="14">
        <f>IF($AQ708="","",IF(SUMPRODUCT(MAX((職員マスタ!$A$6:$A$405=$B708)*(((職員マスタ!$G$6:$G$405="")+(職員マスタ!$G$6:$G$405&lt;=EOMONTH($AQ708,0)))&gt;0)*(((職員マスタ!$H$6:$H$405="")+(職員マスタ!$H$6:$H$405&gt;=$AQ708))&gt;0)*(ROW(職員マスタ!$A$6:$A$405)-5)))&gt;0,SUMPRODUCT(MAX((職員マスタ!$A$6:$A$405=$B708)*(((職員マスタ!$G$6:$G$405="")+(職員マスタ!$G$6:$G$405&lt;=EOMONTH($AQ708,0)))&gt;0)*(((職員マスタ!$H$6:$H$405="")+(職員マスタ!$H$6:$H$405&gt;=$AQ708))&gt;0)*(ROW(職員マスタ!$A$6:$A$405)-5))),IFERROR(MATCH($B708,職員マスタ!$A$6:$A$405,0),"")))</f>
        <v/>
      </c>
      <c r="AQ708" s="16">
        <f>IF(OR($B708="",$C708="",$D708=""),"",DATE($C708+2018,$D708,1))</f>
        <v/>
      </c>
    </row>
    <row r="709">
      <c r="A709" s="11" t="n"/>
      <c r="B709" s="12" t="n"/>
      <c r="C709" s="12" t="n"/>
      <c r="D709" s="12" t="n"/>
      <c r="E709" s="13" t="n"/>
      <c r="F709" s="12" t="n"/>
      <c r="G709" s="13" t="n"/>
      <c r="H709" s="12" t="n"/>
      <c r="I709" s="12" t="n"/>
      <c r="J709" s="12" t="n"/>
      <c r="K709" s="12" t="n"/>
      <c r="L709" s="11" t="n"/>
      <c r="M709" s="11" t="n"/>
      <c r="N709" s="11" t="n"/>
      <c r="O709" s="11" t="n"/>
      <c r="P709" s="12" t="n"/>
      <c r="Q709" s="11" t="n"/>
      <c r="R709" s="12" t="n"/>
      <c r="S709" s="11" t="n"/>
      <c r="T709" s="12" t="n"/>
      <c r="U709" s="12" t="n"/>
      <c r="V709" s="12" t="n"/>
      <c r="W709" s="13" t="n"/>
      <c r="X709" s="14">
        <f>IF($AP709="",IF($B709="","",$H709),IF(INDEX(職員マスタ!$B$6:$B$405,$AP709)="",$H709,INDEX(職員マスタ!$B$6:$B$405,$AP709)))</f>
        <v/>
      </c>
      <c r="Y709" s="14">
        <f>IF($AP709="",IF($B709="","",$R709),IF(INDEX(職員マスタ!$C$6:$C$405,$AP709)="",$R709,INDEX(職員マスタ!$C$6:$C$405,$AP709)))</f>
        <v/>
      </c>
      <c r="Z709" s="14">
        <f>IF($AQ709="","","R"&amp;$C709&amp;"."&amp;$D709)</f>
        <v/>
      </c>
      <c r="AA709" s="15">
        <f>IF(IF($AP709="",FALSE,INDEX(職員マスタ!$K$6:$K$405,$AP709)&lt;&gt;""),INDEX(職員マスタ!$K$6:$K$405,$AP709),IF(N($W709)&gt;0,$W709,""))</f>
        <v/>
      </c>
      <c r="AB709" s="14">
        <f>IF(OR($E709="",$AA709=""),"",IF($E709&gt;=$AA709,"×",IF($E709&gt;=$AA709*設定!$C$5,"△","○")))</f>
        <v/>
      </c>
      <c r="AC709" s="15">
        <f>IF($AB709="","",IF($AB709="×",0,IF($AB709="○",ROUNDDOWN($E709*設定!$C$4,0),ROUNDDOWN($E709*ROUND((9*$AA709-9*$E709)/(10*$E709),4),0))))</f>
        <v/>
      </c>
      <c r="AD709" s="13" t="n"/>
      <c r="AE709" s="15">
        <f>IF($B709="","",IF($AD709&lt;&gt;"",$AD709,IF($AC709="","",IF($AC709&lt;=設定!$C$3,0,$AC709))))</f>
        <v/>
      </c>
      <c r="AF709" s="14">
        <f>IF($B709="","",IF(AND($AG709&lt;&gt;"",$AI709="",$AL709=""),"保留中",IF($AL709&lt;&gt;"",IF(N($AE709)&gt;0,"支給済","不支給"),IF($AE709="","要確認",IF($AE709=0,"不支給","未処理")))))</f>
        <v/>
      </c>
      <c r="AG709" s="12" t="n"/>
      <c r="AH709" s="11" t="n"/>
      <c r="AI709" s="11" t="n"/>
      <c r="AJ709" s="11" t="n"/>
      <c r="AK709" s="14">
        <f>IF(AND($AF709="保留中",$AH709&lt;&gt;""),TODAY()-$AH709,"")</f>
        <v/>
      </c>
      <c r="AL709" s="12" t="n"/>
      <c r="AM709" s="14">
        <f>IF($B709="","",IF($AQ709="","対象年月が未入力／","")&amp;IF($B709="","",IF($AP709="","職員マスタに未登録の職員番号／",IF($AA709="","標準報酬月額が未登録／","")&amp;IF(AND($AQ709&lt;&gt;"",OR(AND(INDEX(職員マスタ!$G$6:$G$405,$AP709)&lt;&gt;"",INDEX(職員マスタ!$G$6:$G$405,$AP709)&gt;EOMONTH($AQ709,0)),AND(INDEX(職員マスタ!$H$6:$H$405,$AP709)&lt;&gt;"",INDEX(職員マスタ!$H$6:$H$405,$AP709)&lt;$AQ709))),"対象月が時短期間外／","")&amp;IF(AND(INDEX(職員マスタ!$K$6:$K$405,$AP709)&lt;&gt;"",N($W709)&gt;0,INDEX(職員マスタ!$K$6:$K$405,$AP709)&lt;&gt;$W709),"標準報酬月額が申請書と相違（台帳"&amp;TEXT(INDEX(職員マスタ!$K$6:$K$405,$AP709),"#,##0")&amp;"円／申請書"&amp;TEXT($W709,"#,##0")&amp;"円）／","")&amp;IF(AND(INDEX(職員マスタ!$F$6:$F$405,$AP709)&lt;&gt;"",$AQ709&lt;&gt;"",INDEX(職員マスタ!$F$6:$F$405,$AP709)&lt;$AQ709),"対象月に子が2歳到達済／","")&amp;IF(AND($H709&lt;&gt;"",INDEX(職員マスタ!$B$6:$B$405,$AP709)&lt;&gt;"",SUBSTITUTE(SUBSTITUTE($H709," ","")," ","")&lt;&gt;SUBSTITUTE(SUBSTITUTE(INDEX(職員マスタ!$B$6:$B$405,$AP709)," ","")," ","")),"氏名がマスタと相違／","")&amp;IF(AND($Q709&lt;&gt;"",INDEX(職員マスタ!$E$6:$E$405,$AP709)&lt;&gt;"",$Q709&lt;&gt;INDEX(職員マスタ!$E$6:$E$405,$AP709)),"子の生年月日がマスタと相違／","")&amp;IF(AND($L709&lt;&gt;"",INDEX(職員マスタ!$G$6:$G$405,$AP709)&lt;&gt;"",$L709&lt;&gt;INDEX(職員マスタ!$G$6:$G$405,$AP709)),"時短開始日がマスタと相違／","")&amp;IF(AND($M709&lt;&gt;"",INDEX(職員マスタ!$H$6:$H$405,$AP709)&lt;&gt;"",$M709&lt;&gt;INDEX(職員マスタ!$H$6:$H$405,$AP709)),"時短終了日がマスタと相違／","")))&amp;IF(AND($B709&lt;&gt;"",$E709=""),"報酬額が未入力／","")&amp;IF(N($U709)&gt;0,"申請書に入力エラーが残っています／","")&amp;IF(AND($B709&lt;&gt;"",$AQ709&lt;&gt;""),IF(COUNTIFS($B$6:$B$3005,$B709,$C$6:$C$3005,$C709,$D$6:$D$3005,$D709)&gt;1,"同じ月の請求が重複しています／",""),"")&amp;IF(AND(N($E709)&gt;0,$AB709&lt;&gt;"",$AB709&lt;&gt;"×",$AE709=0,$AD709=""),"計算額が下限以下のため不支給／",""))</f>
        <v/>
      </c>
      <c r="AN709" s="12" t="n"/>
      <c r="AO709" s="14">
        <f>IF($AF709="保留中",COUNTIF($AF$6:$AF709,"保留中"),"")</f>
        <v/>
      </c>
      <c r="AP709" s="14">
        <f>IF($AQ709="","",IF(SUMPRODUCT(MAX((職員マスタ!$A$6:$A$405=$B709)*(((職員マスタ!$G$6:$G$405="")+(職員マスタ!$G$6:$G$405&lt;=EOMONTH($AQ709,0)))&gt;0)*(((職員マスタ!$H$6:$H$405="")+(職員マスタ!$H$6:$H$405&gt;=$AQ709))&gt;0)*(ROW(職員マスタ!$A$6:$A$405)-5)))&gt;0,SUMPRODUCT(MAX((職員マスタ!$A$6:$A$405=$B709)*(((職員マスタ!$G$6:$G$405="")+(職員マスタ!$G$6:$G$405&lt;=EOMONTH($AQ709,0)))&gt;0)*(((職員マスタ!$H$6:$H$405="")+(職員マスタ!$H$6:$H$405&gt;=$AQ709))&gt;0)*(ROW(職員マスタ!$A$6:$A$405)-5))),IFERROR(MATCH($B709,職員マスタ!$A$6:$A$405,0),"")))</f>
        <v/>
      </c>
      <c r="AQ709" s="16">
        <f>IF(OR($B709="",$C709="",$D709=""),"",DATE($C709+2018,$D709,1))</f>
        <v/>
      </c>
    </row>
    <row r="710">
      <c r="A710" s="11" t="n"/>
      <c r="B710" s="12" t="n"/>
      <c r="C710" s="12" t="n"/>
      <c r="D710" s="12" t="n"/>
      <c r="E710" s="13" t="n"/>
      <c r="F710" s="12" t="n"/>
      <c r="G710" s="13" t="n"/>
      <c r="H710" s="12" t="n"/>
      <c r="I710" s="12" t="n"/>
      <c r="J710" s="12" t="n"/>
      <c r="K710" s="12" t="n"/>
      <c r="L710" s="11" t="n"/>
      <c r="M710" s="11" t="n"/>
      <c r="N710" s="11" t="n"/>
      <c r="O710" s="11" t="n"/>
      <c r="P710" s="12" t="n"/>
      <c r="Q710" s="11" t="n"/>
      <c r="R710" s="12" t="n"/>
      <c r="S710" s="11" t="n"/>
      <c r="T710" s="12" t="n"/>
      <c r="U710" s="12" t="n"/>
      <c r="V710" s="12" t="n"/>
      <c r="W710" s="13" t="n"/>
      <c r="X710" s="14">
        <f>IF($AP710="",IF($B710="","",$H710),IF(INDEX(職員マスタ!$B$6:$B$405,$AP710)="",$H710,INDEX(職員マスタ!$B$6:$B$405,$AP710)))</f>
        <v/>
      </c>
      <c r="Y710" s="14">
        <f>IF($AP710="",IF($B710="","",$R710),IF(INDEX(職員マスタ!$C$6:$C$405,$AP710)="",$R710,INDEX(職員マスタ!$C$6:$C$405,$AP710)))</f>
        <v/>
      </c>
      <c r="Z710" s="14">
        <f>IF($AQ710="","","R"&amp;$C710&amp;"."&amp;$D710)</f>
        <v/>
      </c>
      <c r="AA710" s="15">
        <f>IF(IF($AP710="",FALSE,INDEX(職員マスタ!$K$6:$K$405,$AP710)&lt;&gt;""),INDEX(職員マスタ!$K$6:$K$405,$AP710),IF(N($W710)&gt;0,$W710,""))</f>
        <v/>
      </c>
      <c r="AB710" s="14">
        <f>IF(OR($E710="",$AA710=""),"",IF($E710&gt;=$AA710,"×",IF($E710&gt;=$AA710*設定!$C$5,"△","○")))</f>
        <v/>
      </c>
      <c r="AC710" s="15">
        <f>IF($AB710="","",IF($AB710="×",0,IF($AB710="○",ROUNDDOWN($E710*設定!$C$4,0),ROUNDDOWN($E710*ROUND((9*$AA710-9*$E710)/(10*$E710),4),0))))</f>
        <v/>
      </c>
      <c r="AD710" s="13" t="n"/>
      <c r="AE710" s="15">
        <f>IF($B710="","",IF($AD710&lt;&gt;"",$AD710,IF($AC710="","",IF($AC710&lt;=設定!$C$3,0,$AC710))))</f>
        <v/>
      </c>
      <c r="AF710" s="14">
        <f>IF($B710="","",IF(AND($AG710&lt;&gt;"",$AI710="",$AL710=""),"保留中",IF($AL710&lt;&gt;"",IF(N($AE710)&gt;0,"支給済","不支給"),IF($AE710="","要確認",IF($AE710=0,"不支給","未処理")))))</f>
        <v/>
      </c>
      <c r="AG710" s="12" t="n"/>
      <c r="AH710" s="11" t="n"/>
      <c r="AI710" s="11" t="n"/>
      <c r="AJ710" s="11" t="n"/>
      <c r="AK710" s="14">
        <f>IF(AND($AF710="保留中",$AH710&lt;&gt;""),TODAY()-$AH710,"")</f>
        <v/>
      </c>
      <c r="AL710" s="12" t="n"/>
      <c r="AM710" s="14">
        <f>IF($B710="","",IF($AQ710="","対象年月が未入力／","")&amp;IF($B710="","",IF($AP710="","職員マスタに未登録の職員番号／",IF($AA710="","標準報酬月額が未登録／","")&amp;IF(AND($AQ710&lt;&gt;"",OR(AND(INDEX(職員マスタ!$G$6:$G$405,$AP710)&lt;&gt;"",INDEX(職員マスタ!$G$6:$G$405,$AP710)&gt;EOMONTH($AQ710,0)),AND(INDEX(職員マスタ!$H$6:$H$405,$AP710)&lt;&gt;"",INDEX(職員マスタ!$H$6:$H$405,$AP710)&lt;$AQ710))),"対象月が時短期間外／","")&amp;IF(AND(INDEX(職員マスタ!$K$6:$K$405,$AP710)&lt;&gt;"",N($W710)&gt;0,INDEX(職員マスタ!$K$6:$K$405,$AP710)&lt;&gt;$W710),"標準報酬月額が申請書と相違（台帳"&amp;TEXT(INDEX(職員マスタ!$K$6:$K$405,$AP710),"#,##0")&amp;"円／申請書"&amp;TEXT($W710,"#,##0")&amp;"円）／","")&amp;IF(AND(INDEX(職員マスタ!$F$6:$F$405,$AP710)&lt;&gt;"",$AQ710&lt;&gt;"",INDEX(職員マスタ!$F$6:$F$405,$AP710)&lt;$AQ710),"対象月に子が2歳到達済／","")&amp;IF(AND($H710&lt;&gt;"",INDEX(職員マスタ!$B$6:$B$405,$AP710)&lt;&gt;"",SUBSTITUTE(SUBSTITUTE($H710," ","")," ","")&lt;&gt;SUBSTITUTE(SUBSTITUTE(INDEX(職員マスタ!$B$6:$B$405,$AP710)," ","")," ","")),"氏名がマスタと相違／","")&amp;IF(AND($Q710&lt;&gt;"",INDEX(職員マスタ!$E$6:$E$405,$AP710)&lt;&gt;"",$Q710&lt;&gt;INDEX(職員マスタ!$E$6:$E$405,$AP710)),"子の生年月日がマスタと相違／","")&amp;IF(AND($L710&lt;&gt;"",INDEX(職員マスタ!$G$6:$G$405,$AP710)&lt;&gt;"",$L710&lt;&gt;INDEX(職員マスタ!$G$6:$G$405,$AP710)),"時短開始日がマスタと相違／","")&amp;IF(AND($M710&lt;&gt;"",INDEX(職員マスタ!$H$6:$H$405,$AP710)&lt;&gt;"",$M710&lt;&gt;INDEX(職員マスタ!$H$6:$H$405,$AP710)),"時短終了日がマスタと相違／","")))&amp;IF(AND($B710&lt;&gt;"",$E710=""),"報酬額が未入力／","")&amp;IF(N($U710)&gt;0,"申請書に入力エラーが残っています／","")&amp;IF(AND($B710&lt;&gt;"",$AQ710&lt;&gt;""),IF(COUNTIFS($B$6:$B$3005,$B710,$C$6:$C$3005,$C710,$D$6:$D$3005,$D710)&gt;1,"同じ月の請求が重複しています／",""),"")&amp;IF(AND(N($E710)&gt;0,$AB710&lt;&gt;"",$AB710&lt;&gt;"×",$AE710=0,$AD710=""),"計算額が下限以下のため不支給／",""))</f>
        <v/>
      </c>
      <c r="AN710" s="12" t="n"/>
      <c r="AO710" s="14">
        <f>IF($AF710="保留中",COUNTIF($AF$6:$AF710,"保留中"),"")</f>
        <v/>
      </c>
      <c r="AP710" s="14">
        <f>IF($AQ710="","",IF(SUMPRODUCT(MAX((職員マスタ!$A$6:$A$405=$B710)*(((職員マスタ!$G$6:$G$405="")+(職員マスタ!$G$6:$G$405&lt;=EOMONTH($AQ710,0)))&gt;0)*(((職員マスタ!$H$6:$H$405="")+(職員マスタ!$H$6:$H$405&gt;=$AQ710))&gt;0)*(ROW(職員マスタ!$A$6:$A$405)-5)))&gt;0,SUMPRODUCT(MAX((職員マスタ!$A$6:$A$405=$B710)*(((職員マスタ!$G$6:$G$405="")+(職員マスタ!$G$6:$G$405&lt;=EOMONTH($AQ710,0)))&gt;0)*(((職員マスタ!$H$6:$H$405="")+(職員マスタ!$H$6:$H$405&gt;=$AQ710))&gt;0)*(ROW(職員マスタ!$A$6:$A$405)-5))),IFERROR(MATCH($B710,職員マスタ!$A$6:$A$405,0),"")))</f>
        <v/>
      </c>
      <c r="AQ710" s="16">
        <f>IF(OR($B710="",$C710="",$D710=""),"",DATE($C710+2018,$D710,1))</f>
        <v/>
      </c>
    </row>
    <row r="711">
      <c r="A711" s="11" t="n"/>
      <c r="B711" s="12" t="n"/>
      <c r="C711" s="12" t="n"/>
      <c r="D711" s="12" t="n"/>
      <c r="E711" s="13" t="n"/>
      <c r="F711" s="12" t="n"/>
      <c r="G711" s="13" t="n"/>
      <c r="H711" s="12" t="n"/>
      <c r="I711" s="12" t="n"/>
      <c r="J711" s="12" t="n"/>
      <c r="K711" s="12" t="n"/>
      <c r="L711" s="11" t="n"/>
      <c r="M711" s="11" t="n"/>
      <c r="N711" s="11" t="n"/>
      <c r="O711" s="11" t="n"/>
      <c r="P711" s="12" t="n"/>
      <c r="Q711" s="11" t="n"/>
      <c r="R711" s="12" t="n"/>
      <c r="S711" s="11" t="n"/>
      <c r="T711" s="12" t="n"/>
      <c r="U711" s="12" t="n"/>
      <c r="V711" s="12" t="n"/>
      <c r="W711" s="13" t="n"/>
      <c r="X711" s="14">
        <f>IF($AP711="",IF($B711="","",$H711),IF(INDEX(職員マスタ!$B$6:$B$405,$AP711)="",$H711,INDEX(職員マスタ!$B$6:$B$405,$AP711)))</f>
        <v/>
      </c>
      <c r="Y711" s="14">
        <f>IF($AP711="",IF($B711="","",$R711),IF(INDEX(職員マスタ!$C$6:$C$405,$AP711)="",$R711,INDEX(職員マスタ!$C$6:$C$405,$AP711)))</f>
        <v/>
      </c>
      <c r="Z711" s="14">
        <f>IF($AQ711="","","R"&amp;$C711&amp;"."&amp;$D711)</f>
        <v/>
      </c>
      <c r="AA711" s="15">
        <f>IF(IF($AP711="",FALSE,INDEX(職員マスタ!$K$6:$K$405,$AP711)&lt;&gt;""),INDEX(職員マスタ!$K$6:$K$405,$AP711),IF(N($W711)&gt;0,$W711,""))</f>
        <v/>
      </c>
      <c r="AB711" s="14">
        <f>IF(OR($E711="",$AA711=""),"",IF($E711&gt;=$AA711,"×",IF($E711&gt;=$AA711*設定!$C$5,"△","○")))</f>
        <v/>
      </c>
      <c r="AC711" s="15">
        <f>IF($AB711="","",IF($AB711="×",0,IF($AB711="○",ROUNDDOWN($E711*設定!$C$4,0),ROUNDDOWN($E711*ROUND((9*$AA711-9*$E711)/(10*$E711),4),0))))</f>
        <v/>
      </c>
      <c r="AD711" s="13" t="n"/>
      <c r="AE711" s="15">
        <f>IF($B711="","",IF($AD711&lt;&gt;"",$AD711,IF($AC711="","",IF($AC711&lt;=設定!$C$3,0,$AC711))))</f>
        <v/>
      </c>
      <c r="AF711" s="14">
        <f>IF($B711="","",IF(AND($AG711&lt;&gt;"",$AI711="",$AL711=""),"保留中",IF($AL711&lt;&gt;"",IF(N($AE711)&gt;0,"支給済","不支給"),IF($AE711="","要確認",IF($AE711=0,"不支給","未処理")))))</f>
        <v/>
      </c>
      <c r="AG711" s="12" t="n"/>
      <c r="AH711" s="11" t="n"/>
      <c r="AI711" s="11" t="n"/>
      <c r="AJ711" s="11" t="n"/>
      <c r="AK711" s="14">
        <f>IF(AND($AF711="保留中",$AH711&lt;&gt;""),TODAY()-$AH711,"")</f>
        <v/>
      </c>
      <c r="AL711" s="12" t="n"/>
      <c r="AM711" s="14">
        <f>IF($B711="","",IF($AQ711="","対象年月が未入力／","")&amp;IF($B711="","",IF($AP711="","職員マスタに未登録の職員番号／",IF($AA711="","標準報酬月額が未登録／","")&amp;IF(AND($AQ711&lt;&gt;"",OR(AND(INDEX(職員マスタ!$G$6:$G$405,$AP711)&lt;&gt;"",INDEX(職員マスタ!$G$6:$G$405,$AP711)&gt;EOMONTH($AQ711,0)),AND(INDEX(職員マスタ!$H$6:$H$405,$AP711)&lt;&gt;"",INDEX(職員マスタ!$H$6:$H$405,$AP711)&lt;$AQ711))),"対象月が時短期間外／","")&amp;IF(AND(INDEX(職員マスタ!$K$6:$K$405,$AP711)&lt;&gt;"",N($W711)&gt;0,INDEX(職員マスタ!$K$6:$K$405,$AP711)&lt;&gt;$W711),"標準報酬月額が申請書と相違（台帳"&amp;TEXT(INDEX(職員マスタ!$K$6:$K$405,$AP711),"#,##0")&amp;"円／申請書"&amp;TEXT($W711,"#,##0")&amp;"円）／","")&amp;IF(AND(INDEX(職員マスタ!$F$6:$F$405,$AP711)&lt;&gt;"",$AQ711&lt;&gt;"",INDEX(職員マスタ!$F$6:$F$405,$AP711)&lt;$AQ711),"対象月に子が2歳到達済／","")&amp;IF(AND($H711&lt;&gt;"",INDEX(職員マスタ!$B$6:$B$405,$AP711)&lt;&gt;"",SUBSTITUTE(SUBSTITUTE($H711," ","")," ","")&lt;&gt;SUBSTITUTE(SUBSTITUTE(INDEX(職員マスタ!$B$6:$B$405,$AP711)," ","")," ","")),"氏名がマスタと相違／","")&amp;IF(AND($Q711&lt;&gt;"",INDEX(職員マスタ!$E$6:$E$405,$AP711)&lt;&gt;"",$Q711&lt;&gt;INDEX(職員マスタ!$E$6:$E$405,$AP711)),"子の生年月日がマスタと相違／","")&amp;IF(AND($L711&lt;&gt;"",INDEX(職員マスタ!$G$6:$G$405,$AP711)&lt;&gt;"",$L711&lt;&gt;INDEX(職員マスタ!$G$6:$G$405,$AP711)),"時短開始日がマスタと相違／","")&amp;IF(AND($M711&lt;&gt;"",INDEX(職員マスタ!$H$6:$H$405,$AP711)&lt;&gt;"",$M711&lt;&gt;INDEX(職員マスタ!$H$6:$H$405,$AP711)),"時短終了日がマスタと相違／","")))&amp;IF(AND($B711&lt;&gt;"",$E711=""),"報酬額が未入力／","")&amp;IF(N($U711)&gt;0,"申請書に入力エラーが残っています／","")&amp;IF(AND($B711&lt;&gt;"",$AQ711&lt;&gt;""),IF(COUNTIFS($B$6:$B$3005,$B711,$C$6:$C$3005,$C711,$D$6:$D$3005,$D711)&gt;1,"同じ月の請求が重複しています／",""),"")&amp;IF(AND(N($E711)&gt;0,$AB711&lt;&gt;"",$AB711&lt;&gt;"×",$AE711=0,$AD711=""),"計算額が下限以下のため不支給／",""))</f>
        <v/>
      </c>
      <c r="AN711" s="12" t="n"/>
      <c r="AO711" s="14">
        <f>IF($AF711="保留中",COUNTIF($AF$6:$AF711,"保留中"),"")</f>
        <v/>
      </c>
      <c r="AP711" s="14">
        <f>IF($AQ711="","",IF(SUMPRODUCT(MAX((職員マスタ!$A$6:$A$405=$B711)*(((職員マスタ!$G$6:$G$405="")+(職員マスタ!$G$6:$G$405&lt;=EOMONTH($AQ711,0)))&gt;0)*(((職員マスタ!$H$6:$H$405="")+(職員マスタ!$H$6:$H$405&gt;=$AQ711))&gt;0)*(ROW(職員マスタ!$A$6:$A$405)-5)))&gt;0,SUMPRODUCT(MAX((職員マスタ!$A$6:$A$405=$B711)*(((職員マスタ!$G$6:$G$405="")+(職員マスタ!$G$6:$G$405&lt;=EOMONTH($AQ711,0)))&gt;0)*(((職員マスタ!$H$6:$H$405="")+(職員マスタ!$H$6:$H$405&gt;=$AQ711))&gt;0)*(ROW(職員マスタ!$A$6:$A$405)-5))),IFERROR(MATCH($B711,職員マスタ!$A$6:$A$405,0),"")))</f>
        <v/>
      </c>
      <c r="AQ711" s="16">
        <f>IF(OR($B711="",$C711="",$D711=""),"",DATE($C711+2018,$D711,1))</f>
        <v/>
      </c>
    </row>
    <row r="712">
      <c r="A712" s="11" t="n"/>
      <c r="B712" s="12" t="n"/>
      <c r="C712" s="12" t="n"/>
      <c r="D712" s="12" t="n"/>
      <c r="E712" s="13" t="n"/>
      <c r="F712" s="12" t="n"/>
      <c r="G712" s="13" t="n"/>
      <c r="H712" s="12" t="n"/>
      <c r="I712" s="12" t="n"/>
      <c r="J712" s="12" t="n"/>
      <c r="K712" s="12" t="n"/>
      <c r="L712" s="11" t="n"/>
      <c r="M712" s="11" t="n"/>
      <c r="N712" s="11" t="n"/>
      <c r="O712" s="11" t="n"/>
      <c r="P712" s="12" t="n"/>
      <c r="Q712" s="11" t="n"/>
      <c r="R712" s="12" t="n"/>
      <c r="S712" s="11" t="n"/>
      <c r="T712" s="12" t="n"/>
      <c r="U712" s="12" t="n"/>
      <c r="V712" s="12" t="n"/>
      <c r="W712" s="13" t="n"/>
      <c r="X712" s="14">
        <f>IF($AP712="",IF($B712="","",$H712),IF(INDEX(職員マスタ!$B$6:$B$405,$AP712)="",$H712,INDEX(職員マスタ!$B$6:$B$405,$AP712)))</f>
        <v/>
      </c>
      <c r="Y712" s="14">
        <f>IF($AP712="",IF($B712="","",$R712),IF(INDEX(職員マスタ!$C$6:$C$405,$AP712)="",$R712,INDEX(職員マスタ!$C$6:$C$405,$AP712)))</f>
        <v/>
      </c>
      <c r="Z712" s="14">
        <f>IF($AQ712="","","R"&amp;$C712&amp;"."&amp;$D712)</f>
        <v/>
      </c>
      <c r="AA712" s="15">
        <f>IF(IF($AP712="",FALSE,INDEX(職員マスタ!$K$6:$K$405,$AP712)&lt;&gt;""),INDEX(職員マスタ!$K$6:$K$405,$AP712),IF(N($W712)&gt;0,$W712,""))</f>
        <v/>
      </c>
      <c r="AB712" s="14">
        <f>IF(OR($E712="",$AA712=""),"",IF($E712&gt;=$AA712,"×",IF($E712&gt;=$AA712*設定!$C$5,"△","○")))</f>
        <v/>
      </c>
      <c r="AC712" s="15">
        <f>IF($AB712="","",IF($AB712="×",0,IF($AB712="○",ROUNDDOWN($E712*設定!$C$4,0),ROUNDDOWN($E712*ROUND((9*$AA712-9*$E712)/(10*$E712),4),0))))</f>
        <v/>
      </c>
      <c r="AD712" s="13" t="n"/>
      <c r="AE712" s="15">
        <f>IF($B712="","",IF($AD712&lt;&gt;"",$AD712,IF($AC712="","",IF($AC712&lt;=設定!$C$3,0,$AC712))))</f>
        <v/>
      </c>
      <c r="AF712" s="14">
        <f>IF($B712="","",IF(AND($AG712&lt;&gt;"",$AI712="",$AL712=""),"保留中",IF($AL712&lt;&gt;"",IF(N($AE712)&gt;0,"支給済","不支給"),IF($AE712="","要確認",IF($AE712=0,"不支給","未処理")))))</f>
        <v/>
      </c>
      <c r="AG712" s="12" t="n"/>
      <c r="AH712" s="11" t="n"/>
      <c r="AI712" s="11" t="n"/>
      <c r="AJ712" s="11" t="n"/>
      <c r="AK712" s="14">
        <f>IF(AND($AF712="保留中",$AH712&lt;&gt;""),TODAY()-$AH712,"")</f>
        <v/>
      </c>
      <c r="AL712" s="12" t="n"/>
      <c r="AM712" s="14">
        <f>IF($B712="","",IF($AQ712="","対象年月が未入力／","")&amp;IF($B712="","",IF($AP712="","職員マスタに未登録の職員番号／",IF($AA712="","標準報酬月額が未登録／","")&amp;IF(AND($AQ712&lt;&gt;"",OR(AND(INDEX(職員マスタ!$G$6:$G$405,$AP712)&lt;&gt;"",INDEX(職員マスタ!$G$6:$G$405,$AP712)&gt;EOMONTH($AQ712,0)),AND(INDEX(職員マスタ!$H$6:$H$405,$AP712)&lt;&gt;"",INDEX(職員マスタ!$H$6:$H$405,$AP712)&lt;$AQ712))),"対象月が時短期間外／","")&amp;IF(AND(INDEX(職員マスタ!$K$6:$K$405,$AP712)&lt;&gt;"",N($W712)&gt;0,INDEX(職員マスタ!$K$6:$K$405,$AP712)&lt;&gt;$W712),"標準報酬月額が申請書と相違（台帳"&amp;TEXT(INDEX(職員マスタ!$K$6:$K$405,$AP712),"#,##0")&amp;"円／申請書"&amp;TEXT($W712,"#,##0")&amp;"円）／","")&amp;IF(AND(INDEX(職員マスタ!$F$6:$F$405,$AP712)&lt;&gt;"",$AQ712&lt;&gt;"",INDEX(職員マスタ!$F$6:$F$405,$AP712)&lt;$AQ712),"対象月に子が2歳到達済／","")&amp;IF(AND($H712&lt;&gt;"",INDEX(職員マスタ!$B$6:$B$405,$AP712)&lt;&gt;"",SUBSTITUTE(SUBSTITUTE($H712," ","")," ","")&lt;&gt;SUBSTITUTE(SUBSTITUTE(INDEX(職員マスタ!$B$6:$B$405,$AP712)," ","")," ","")),"氏名がマスタと相違／","")&amp;IF(AND($Q712&lt;&gt;"",INDEX(職員マスタ!$E$6:$E$405,$AP712)&lt;&gt;"",$Q712&lt;&gt;INDEX(職員マスタ!$E$6:$E$405,$AP712)),"子の生年月日がマスタと相違／","")&amp;IF(AND($L712&lt;&gt;"",INDEX(職員マスタ!$G$6:$G$405,$AP712)&lt;&gt;"",$L712&lt;&gt;INDEX(職員マスタ!$G$6:$G$405,$AP712)),"時短開始日がマスタと相違／","")&amp;IF(AND($M712&lt;&gt;"",INDEX(職員マスタ!$H$6:$H$405,$AP712)&lt;&gt;"",$M712&lt;&gt;INDEX(職員マスタ!$H$6:$H$405,$AP712)),"時短終了日がマスタと相違／","")))&amp;IF(AND($B712&lt;&gt;"",$E712=""),"報酬額が未入力／","")&amp;IF(N($U712)&gt;0,"申請書に入力エラーが残っています／","")&amp;IF(AND($B712&lt;&gt;"",$AQ712&lt;&gt;""),IF(COUNTIFS($B$6:$B$3005,$B712,$C$6:$C$3005,$C712,$D$6:$D$3005,$D712)&gt;1,"同じ月の請求が重複しています／",""),"")&amp;IF(AND(N($E712)&gt;0,$AB712&lt;&gt;"",$AB712&lt;&gt;"×",$AE712=0,$AD712=""),"計算額が下限以下のため不支給／",""))</f>
        <v/>
      </c>
      <c r="AN712" s="12" t="n"/>
      <c r="AO712" s="14">
        <f>IF($AF712="保留中",COUNTIF($AF$6:$AF712,"保留中"),"")</f>
        <v/>
      </c>
      <c r="AP712" s="14">
        <f>IF($AQ712="","",IF(SUMPRODUCT(MAX((職員マスタ!$A$6:$A$405=$B712)*(((職員マスタ!$G$6:$G$405="")+(職員マスタ!$G$6:$G$405&lt;=EOMONTH($AQ712,0)))&gt;0)*(((職員マスタ!$H$6:$H$405="")+(職員マスタ!$H$6:$H$405&gt;=$AQ712))&gt;0)*(ROW(職員マスタ!$A$6:$A$405)-5)))&gt;0,SUMPRODUCT(MAX((職員マスタ!$A$6:$A$405=$B712)*(((職員マスタ!$G$6:$G$405="")+(職員マスタ!$G$6:$G$405&lt;=EOMONTH($AQ712,0)))&gt;0)*(((職員マスタ!$H$6:$H$405="")+(職員マスタ!$H$6:$H$405&gt;=$AQ712))&gt;0)*(ROW(職員マスタ!$A$6:$A$405)-5))),IFERROR(MATCH($B712,職員マスタ!$A$6:$A$405,0),"")))</f>
        <v/>
      </c>
      <c r="AQ712" s="16">
        <f>IF(OR($B712="",$C712="",$D712=""),"",DATE($C712+2018,$D712,1))</f>
        <v/>
      </c>
    </row>
    <row r="713">
      <c r="A713" s="11" t="n"/>
      <c r="B713" s="12" t="n"/>
      <c r="C713" s="12" t="n"/>
      <c r="D713" s="12" t="n"/>
      <c r="E713" s="13" t="n"/>
      <c r="F713" s="12" t="n"/>
      <c r="G713" s="13" t="n"/>
      <c r="H713" s="12" t="n"/>
      <c r="I713" s="12" t="n"/>
      <c r="J713" s="12" t="n"/>
      <c r="K713" s="12" t="n"/>
      <c r="L713" s="11" t="n"/>
      <c r="M713" s="11" t="n"/>
      <c r="N713" s="11" t="n"/>
      <c r="O713" s="11" t="n"/>
      <c r="P713" s="12" t="n"/>
      <c r="Q713" s="11" t="n"/>
      <c r="R713" s="12" t="n"/>
      <c r="S713" s="11" t="n"/>
      <c r="T713" s="12" t="n"/>
      <c r="U713" s="12" t="n"/>
      <c r="V713" s="12" t="n"/>
      <c r="W713" s="13" t="n"/>
      <c r="X713" s="14">
        <f>IF($AP713="",IF($B713="","",$H713),IF(INDEX(職員マスタ!$B$6:$B$405,$AP713)="",$H713,INDEX(職員マスタ!$B$6:$B$405,$AP713)))</f>
        <v/>
      </c>
      <c r="Y713" s="14">
        <f>IF($AP713="",IF($B713="","",$R713),IF(INDEX(職員マスタ!$C$6:$C$405,$AP713)="",$R713,INDEX(職員マスタ!$C$6:$C$405,$AP713)))</f>
        <v/>
      </c>
      <c r="Z713" s="14">
        <f>IF($AQ713="","","R"&amp;$C713&amp;"."&amp;$D713)</f>
        <v/>
      </c>
      <c r="AA713" s="15">
        <f>IF(IF($AP713="",FALSE,INDEX(職員マスタ!$K$6:$K$405,$AP713)&lt;&gt;""),INDEX(職員マスタ!$K$6:$K$405,$AP713),IF(N($W713)&gt;0,$W713,""))</f>
        <v/>
      </c>
      <c r="AB713" s="14">
        <f>IF(OR($E713="",$AA713=""),"",IF($E713&gt;=$AA713,"×",IF($E713&gt;=$AA713*設定!$C$5,"△","○")))</f>
        <v/>
      </c>
      <c r="AC713" s="15">
        <f>IF($AB713="","",IF($AB713="×",0,IF($AB713="○",ROUNDDOWN($E713*設定!$C$4,0),ROUNDDOWN($E713*ROUND((9*$AA713-9*$E713)/(10*$E713),4),0))))</f>
        <v/>
      </c>
      <c r="AD713" s="13" t="n"/>
      <c r="AE713" s="15">
        <f>IF($B713="","",IF($AD713&lt;&gt;"",$AD713,IF($AC713="","",IF($AC713&lt;=設定!$C$3,0,$AC713))))</f>
        <v/>
      </c>
      <c r="AF713" s="14">
        <f>IF($B713="","",IF(AND($AG713&lt;&gt;"",$AI713="",$AL713=""),"保留中",IF($AL713&lt;&gt;"",IF(N($AE713)&gt;0,"支給済","不支給"),IF($AE713="","要確認",IF($AE713=0,"不支給","未処理")))))</f>
        <v/>
      </c>
      <c r="AG713" s="12" t="n"/>
      <c r="AH713" s="11" t="n"/>
      <c r="AI713" s="11" t="n"/>
      <c r="AJ713" s="11" t="n"/>
      <c r="AK713" s="14">
        <f>IF(AND($AF713="保留中",$AH713&lt;&gt;""),TODAY()-$AH713,"")</f>
        <v/>
      </c>
      <c r="AL713" s="12" t="n"/>
      <c r="AM713" s="14">
        <f>IF($B713="","",IF($AQ713="","対象年月が未入力／","")&amp;IF($B713="","",IF($AP713="","職員マスタに未登録の職員番号／",IF($AA713="","標準報酬月額が未登録／","")&amp;IF(AND($AQ713&lt;&gt;"",OR(AND(INDEX(職員マスタ!$G$6:$G$405,$AP713)&lt;&gt;"",INDEX(職員マスタ!$G$6:$G$405,$AP713)&gt;EOMONTH($AQ713,0)),AND(INDEX(職員マスタ!$H$6:$H$405,$AP713)&lt;&gt;"",INDEX(職員マスタ!$H$6:$H$405,$AP713)&lt;$AQ713))),"対象月が時短期間外／","")&amp;IF(AND(INDEX(職員マスタ!$K$6:$K$405,$AP713)&lt;&gt;"",N($W713)&gt;0,INDEX(職員マスタ!$K$6:$K$405,$AP713)&lt;&gt;$W713),"標準報酬月額が申請書と相違（台帳"&amp;TEXT(INDEX(職員マスタ!$K$6:$K$405,$AP713),"#,##0")&amp;"円／申請書"&amp;TEXT($W713,"#,##0")&amp;"円）／","")&amp;IF(AND(INDEX(職員マスタ!$F$6:$F$405,$AP713)&lt;&gt;"",$AQ713&lt;&gt;"",INDEX(職員マスタ!$F$6:$F$405,$AP713)&lt;$AQ713),"対象月に子が2歳到達済／","")&amp;IF(AND($H713&lt;&gt;"",INDEX(職員マスタ!$B$6:$B$405,$AP713)&lt;&gt;"",SUBSTITUTE(SUBSTITUTE($H713," ","")," ","")&lt;&gt;SUBSTITUTE(SUBSTITUTE(INDEX(職員マスタ!$B$6:$B$405,$AP713)," ","")," ","")),"氏名がマスタと相違／","")&amp;IF(AND($Q713&lt;&gt;"",INDEX(職員マスタ!$E$6:$E$405,$AP713)&lt;&gt;"",$Q713&lt;&gt;INDEX(職員マスタ!$E$6:$E$405,$AP713)),"子の生年月日がマスタと相違／","")&amp;IF(AND($L713&lt;&gt;"",INDEX(職員マスタ!$G$6:$G$405,$AP713)&lt;&gt;"",$L713&lt;&gt;INDEX(職員マスタ!$G$6:$G$405,$AP713)),"時短開始日がマスタと相違／","")&amp;IF(AND($M713&lt;&gt;"",INDEX(職員マスタ!$H$6:$H$405,$AP713)&lt;&gt;"",$M713&lt;&gt;INDEX(職員マスタ!$H$6:$H$405,$AP713)),"時短終了日がマスタと相違／","")))&amp;IF(AND($B713&lt;&gt;"",$E713=""),"報酬額が未入力／","")&amp;IF(N($U713)&gt;0,"申請書に入力エラーが残っています／","")&amp;IF(AND($B713&lt;&gt;"",$AQ713&lt;&gt;""),IF(COUNTIFS($B$6:$B$3005,$B713,$C$6:$C$3005,$C713,$D$6:$D$3005,$D713)&gt;1,"同じ月の請求が重複しています／",""),"")&amp;IF(AND(N($E713)&gt;0,$AB713&lt;&gt;"",$AB713&lt;&gt;"×",$AE713=0,$AD713=""),"計算額が下限以下のため不支給／",""))</f>
        <v/>
      </c>
      <c r="AN713" s="12" t="n"/>
      <c r="AO713" s="14">
        <f>IF($AF713="保留中",COUNTIF($AF$6:$AF713,"保留中"),"")</f>
        <v/>
      </c>
      <c r="AP713" s="14">
        <f>IF($AQ713="","",IF(SUMPRODUCT(MAX((職員マスタ!$A$6:$A$405=$B713)*(((職員マスタ!$G$6:$G$405="")+(職員マスタ!$G$6:$G$405&lt;=EOMONTH($AQ713,0)))&gt;0)*(((職員マスタ!$H$6:$H$405="")+(職員マスタ!$H$6:$H$405&gt;=$AQ713))&gt;0)*(ROW(職員マスタ!$A$6:$A$405)-5)))&gt;0,SUMPRODUCT(MAX((職員マスタ!$A$6:$A$405=$B713)*(((職員マスタ!$G$6:$G$405="")+(職員マスタ!$G$6:$G$405&lt;=EOMONTH($AQ713,0)))&gt;0)*(((職員マスタ!$H$6:$H$405="")+(職員マスタ!$H$6:$H$405&gt;=$AQ713))&gt;0)*(ROW(職員マスタ!$A$6:$A$405)-5))),IFERROR(MATCH($B713,職員マスタ!$A$6:$A$405,0),"")))</f>
        <v/>
      </c>
      <c r="AQ713" s="16">
        <f>IF(OR($B713="",$C713="",$D713=""),"",DATE($C713+2018,$D713,1))</f>
        <v/>
      </c>
    </row>
    <row r="714">
      <c r="A714" s="11" t="n"/>
      <c r="B714" s="12" t="n"/>
      <c r="C714" s="12" t="n"/>
      <c r="D714" s="12" t="n"/>
      <c r="E714" s="13" t="n"/>
      <c r="F714" s="12" t="n"/>
      <c r="G714" s="13" t="n"/>
      <c r="H714" s="12" t="n"/>
      <c r="I714" s="12" t="n"/>
      <c r="J714" s="12" t="n"/>
      <c r="K714" s="12" t="n"/>
      <c r="L714" s="11" t="n"/>
      <c r="M714" s="11" t="n"/>
      <c r="N714" s="11" t="n"/>
      <c r="O714" s="11" t="n"/>
      <c r="P714" s="12" t="n"/>
      <c r="Q714" s="11" t="n"/>
      <c r="R714" s="12" t="n"/>
      <c r="S714" s="11" t="n"/>
      <c r="T714" s="12" t="n"/>
      <c r="U714" s="12" t="n"/>
      <c r="V714" s="12" t="n"/>
      <c r="W714" s="13" t="n"/>
      <c r="X714" s="14">
        <f>IF($AP714="",IF($B714="","",$H714),IF(INDEX(職員マスタ!$B$6:$B$405,$AP714)="",$H714,INDEX(職員マスタ!$B$6:$B$405,$AP714)))</f>
        <v/>
      </c>
      <c r="Y714" s="14">
        <f>IF($AP714="",IF($B714="","",$R714),IF(INDEX(職員マスタ!$C$6:$C$405,$AP714)="",$R714,INDEX(職員マスタ!$C$6:$C$405,$AP714)))</f>
        <v/>
      </c>
      <c r="Z714" s="14">
        <f>IF($AQ714="","","R"&amp;$C714&amp;"."&amp;$D714)</f>
        <v/>
      </c>
      <c r="AA714" s="15">
        <f>IF(IF($AP714="",FALSE,INDEX(職員マスタ!$K$6:$K$405,$AP714)&lt;&gt;""),INDEX(職員マスタ!$K$6:$K$405,$AP714),IF(N($W714)&gt;0,$W714,""))</f>
        <v/>
      </c>
      <c r="AB714" s="14">
        <f>IF(OR($E714="",$AA714=""),"",IF($E714&gt;=$AA714,"×",IF($E714&gt;=$AA714*設定!$C$5,"△","○")))</f>
        <v/>
      </c>
      <c r="AC714" s="15">
        <f>IF($AB714="","",IF($AB714="×",0,IF($AB714="○",ROUNDDOWN($E714*設定!$C$4,0),ROUNDDOWN($E714*ROUND((9*$AA714-9*$E714)/(10*$E714),4),0))))</f>
        <v/>
      </c>
      <c r="AD714" s="13" t="n"/>
      <c r="AE714" s="15">
        <f>IF($B714="","",IF($AD714&lt;&gt;"",$AD714,IF($AC714="","",IF($AC714&lt;=設定!$C$3,0,$AC714))))</f>
        <v/>
      </c>
      <c r="AF714" s="14">
        <f>IF($B714="","",IF(AND($AG714&lt;&gt;"",$AI714="",$AL714=""),"保留中",IF($AL714&lt;&gt;"",IF(N($AE714)&gt;0,"支給済","不支給"),IF($AE714="","要確認",IF($AE714=0,"不支給","未処理")))))</f>
        <v/>
      </c>
      <c r="AG714" s="12" t="n"/>
      <c r="AH714" s="11" t="n"/>
      <c r="AI714" s="11" t="n"/>
      <c r="AJ714" s="11" t="n"/>
      <c r="AK714" s="14">
        <f>IF(AND($AF714="保留中",$AH714&lt;&gt;""),TODAY()-$AH714,"")</f>
        <v/>
      </c>
      <c r="AL714" s="12" t="n"/>
      <c r="AM714" s="14">
        <f>IF($B714="","",IF($AQ714="","対象年月が未入力／","")&amp;IF($B714="","",IF($AP714="","職員マスタに未登録の職員番号／",IF($AA714="","標準報酬月額が未登録／","")&amp;IF(AND($AQ714&lt;&gt;"",OR(AND(INDEX(職員マスタ!$G$6:$G$405,$AP714)&lt;&gt;"",INDEX(職員マスタ!$G$6:$G$405,$AP714)&gt;EOMONTH($AQ714,0)),AND(INDEX(職員マスタ!$H$6:$H$405,$AP714)&lt;&gt;"",INDEX(職員マスタ!$H$6:$H$405,$AP714)&lt;$AQ714))),"対象月が時短期間外／","")&amp;IF(AND(INDEX(職員マスタ!$K$6:$K$405,$AP714)&lt;&gt;"",N($W714)&gt;0,INDEX(職員マスタ!$K$6:$K$405,$AP714)&lt;&gt;$W714),"標準報酬月額が申請書と相違（台帳"&amp;TEXT(INDEX(職員マスタ!$K$6:$K$405,$AP714),"#,##0")&amp;"円／申請書"&amp;TEXT($W714,"#,##0")&amp;"円）／","")&amp;IF(AND(INDEX(職員マスタ!$F$6:$F$405,$AP714)&lt;&gt;"",$AQ714&lt;&gt;"",INDEX(職員マスタ!$F$6:$F$405,$AP714)&lt;$AQ714),"対象月に子が2歳到達済／","")&amp;IF(AND($H714&lt;&gt;"",INDEX(職員マスタ!$B$6:$B$405,$AP714)&lt;&gt;"",SUBSTITUTE(SUBSTITUTE($H714," ","")," ","")&lt;&gt;SUBSTITUTE(SUBSTITUTE(INDEX(職員マスタ!$B$6:$B$405,$AP714)," ","")," ","")),"氏名がマスタと相違／","")&amp;IF(AND($Q714&lt;&gt;"",INDEX(職員マスタ!$E$6:$E$405,$AP714)&lt;&gt;"",$Q714&lt;&gt;INDEX(職員マスタ!$E$6:$E$405,$AP714)),"子の生年月日がマスタと相違／","")&amp;IF(AND($L714&lt;&gt;"",INDEX(職員マスタ!$G$6:$G$405,$AP714)&lt;&gt;"",$L714&lt;&gt;INDEX(職員マスタ!$G$6:$G$405,$AP714)),"時短開始日がマスタと相違／","")&amp;IF(AND($M714&lt;&gt;"",INDEX(職員マスタ!$H$6:$H$405,$AP714)&lt;&gt;"",$M714&lt;&gt;INDEX(職員マスタ!$H$6:$H$405,$AP714)),"時短終了日がマスタと相違／","")))&amp;IF(AND($B714&lt;&gt;"",$E714=""),"報酬額が未入力／","")&amp;IF(N($U714)&gt;0,"申請書に入力エラーが残っています／","")&amp;IF(AND($B714&lt;&gt;"",$AQ714&lt;&gt;""),IF(COUNTIFS($B$6:$B$3005,$B714,$C$6:$C$3005,$C714,$D$6:$D$3005,$D714)&gt;1,"同じ月の請求が重複しています／",""),"")&amp;IF(AND(N($E714)&gt;0,$AB714&lt;&gt;"",$AB714&lt;&gt;"×",$AE714=0,$AD714=""),"計算額が下限以下のため不支給／",""))</f>
        <v/>
      </c>
      <c r="AN714" s="12" t="n"/>
      <c r="AO714" s="14">
        <f>IF($AF714="保留中",COUNTIF($AF$6:$AF714,"保留中"),"")</f>
        <v/>
      </c>
      <c r="AP714" s="14">
        <f>IF($AQ714="","",IF(SUMPRODUCT(MAX((職員マスタ!$A$6:$A$405=$B714)*(((職員マスタ!$G$6:$G$405="")+(職員マスタ!$G$6:$G$405&lt;=EOMONTH($AQ714,0)))&gt;0)*(((職員マスタ!$H$6:$H$405="")+(職員マスタ!$H$6:$H$405&gt;=$AQ714))&gt;0)*(ROW(職員マスタ!$A$6:$A$405)-5)))&gt;0,SUMPRODUCT(MAX((職員マスタ!$A$6:$A$405=$B714)*(((職員マスタ!$G$6:$G$405="")+(職員マスタ!$G$6:$G$405&lt;=EOMONTH($AQ714,0)))&gt;0)*(((職員マスタ!$H$6:$H$405="")+(職員マスタ!$H$6:$H$405&gt;=$AQ714))&gt;0)*(ROW(職員マスタ!$A$6:$A$405)-5))),IFERROR(MATCH($B714,職員マスタ!$A$6:$A$405,0),"")))</f>
        <v/>
      </c>
      <c r="AQ714" s="16">
        <f>IF(OR($B714="",$C714="",$D714=""),"",DATE($C714+2018,$D714,1))</f>
        <v/>
      </c>
    </row>
    <row r="715">
      <c r="A715" s="11" t="n"/>
      <c r="B715" s="12" t="n"/>
      <c r="C715" s="12" t="n"/>
      <c r="D715" s="12" t="n"/>
      <c r="E715" s="13" t="n"/>
      <c r="F715" s="12" t="n"/>
      <c r="G715" s="13" t="n"/>
      <c r="H715" s="12" t="n"/>
      <c r="I715" s="12" t="n"/>
      <c r="J715" s="12" t="n"/>
      <c r="K715" s="12" t="n"/>
      <c r="L715" s="11" t="n"/>
      <c r="M715" s="11" t="n"/>
      <c r="N715" s="11" t="n"/>
      <c r="O715" s="11" t="n"/>
      <c r="P715" s="12" t="n"/>
      <c r="Q715" s="11" t="n"/>
      <c r="R715" s="12" t="n"/>
      <c r="S715" s="11" t="n"/>
      <c r="T715" s="12" t="n"/>
      <c r="U715" s="12" t="n"/>
      <c r="V715" s="12" t="n"/>
      <c r="W715" s="13" t="n"/>
      <c r="X715" s="14">
        <f>IF($AP715="",IF($B715="","",$H715),IF(INDEX(職員マスタ!$B$6:$B$405,$AP715)="",$H715,INDEX(職員マスタ!$B$6:$B$405,$AP715)))</f>
        <v/>
      </c>
      <c r="Y715" s="14">
        <f>IF($AP715="",IF($B715="","",$R715),IF(INDEX(職員マスタ!$C$6:$C$405,$AP715)="",$R715,INDEX(職員マスタ!$C$6:$C$405,$AP715)))</f>
        <v/>
      </c>
      <c r="Z715" s="14">
        <f>IF($AQ715="","","R"&amp;$C715&amp;"."&amp;$D715)</f>
        <v/>
      </c>
      <c r="AA715" s="15">
        <f>IF(IF($AP715="",FALSE,INDEX(職員マスタ!$K$6:$K$405,$AP715)&lt;&gt;""),INDEX(職員マスタ!$K$6:$K$405,$AP715),IF(N($W715)&gt;0,$W715,""))</f>
        <v/>
      </c>
      <c r="AB715" s="14">
        <f>IF(OR($E715="",$AA715=""),"",IF($E715&gt;=$AA715,"×",IF($E715&gt;=$AA715*設定!$C$5,"△","○")))</f>
        <v/>
      </c>
      <c r="AC715" s="15">
        <f>IF($AB715="","",IF($AB715="×",0,IF($AB715="○",ROUNDDOWN($E715*設定!$C$4,0),ROUNDDOWN($E715*ROUND((9*$AA715-9*$E715)/(10*$E715),4),0))))</f>
        <v/>
      </c>
      <c r="AD715" s="13" t="n"/>
      <c r="AE715" s="15">
        <f>IF($B715="","",IF($AD715&lt;&gt;"",$AD715,IF($AC715="","",IF($AC715&lt;=設定!$C$3,0,$AC715))))</f>
        <v/>
      </c>
      <c r="AF715" s="14">
        <f>IF($B715="","",IF(AND($AG715&lt;&gt;"",$AI715="",$AL715=""),"保留中",IF($AL715&lt;&gt;"",IF(N($AE715)&gt;0,"支給済","不支給"),IF($AE715="","要確認",IF($AE715=0,"不支給","未処理")))))</f>
        <v/>
      </c>
      <c r="AG715" s="12" t="n"/>
      <c r="AH715" s="11" t="n"/>
      <c r="AI715" s="11" t="n"/>
      <c r="AJ715" s="11" t="n"/>
      <c r="AK715" s="14">
        <f>IF(AND($AF715="保留中",$AH715&lt;&gt;""),TODAY()-$AH715,"")</f>
        <v/>
      </c>
      <c r="AL715" s="12" t="n"/>
      <c r="AM715" s="14">
        <f>IF($B715="","",IF($AQ715="","対象年月が未入力／","")&amp;IF($B715="","",IF($AP715="","職員マスタに未登録の職員番号／",IF($AA715="","標準報酬月額が未登録／","")&amp;IF(AND($AQ715&lt;&gt;"",OR(AND(INDEX(職員マスタ!$G$6:$G$405,$AP715)&lt;&gt;"",INDEX(職員マスタ!$G$6:$G$405,$AP715)&gt;EOMONTH($AQ715,0)),AND(INDEX(職員マスタ!$H$6:$H$405,$AP715)&lt;&gt;"",INDEX(職員マスタ!$H$6:$H$405,$AP715)&lt;$AQ715))),"対象月が時短期間外／","")&amp;IF(AND(INDEX(職員マスタ!$K$6:$K$405,$AP715)&lt;&gt;"",N($W715)&gt;0,INDEX(職員マスタ!$K$6:$K$405,$AP715)&lt;&gt;$W715),"標準報酬月額が申請書と相違（台帳"&amp;TEXT(INDEX(職員マスタ!$K$6:$K$405,$AP715),"#,##0")&amp;"円／申請書"&amp;TEXT($W715,"#,##0")&amp;"円）／","")&amp;IF(AND(INDEX(職員マスタ!$F$6:$F$405,$AP715)&lt;&gt;"",$AQ715&lt;&gt;"",INDEX(職員マスタ!$F$6:$F$405,$AP715)&lt;$AQ715),"対象月に子が2歳到達済／","")&amp;IF(AND($H715&lt;&gt;"",INDEX(職員マスタ!$B$6:$B$405,$AP715)&lt;&gt;"",SUBSTITUTE(SUBSTITUTE($H715," ","")," ","")&lt;&gt;SUBSTITUTE(SUBSTITUTE(INDEX(職員マスタ!$B$6:$B$405,$AP715)," ","")," ","")),"氏名がマスタと相違／","")&amp;IF(AND($Q715&lt;&gt;"",INDEX(職員マスタ!$E$6:$E$405,$AP715)&lt;&gt;"",$Q715&lt;&gt;INDEX(職員マスタ!$E$6:$E$405,$AP715)),"子の生年月日がマスタと相違／","")&amp;IF(AND($L715&lt;&gt;"",INDEX(職員マスタ!$G$6:$G$405,$AP715)&lt;&gt;"",$L715&lt;&gt;INDEX(職員マスタ!$G$6:$G$405,$AP715)),"時短開始日がマスタと相違／","")&amp;IF(AND($M715&lt;&gt;"",INDEX(職員マスタ!$H$6:$H$405,$AP715)&lt;&gt;"",$M715&lt;&gt;INDEX(職員マスタ!$H$6:$H$405,$AP715)),"時短終了日がマスタと相違／","")))&amp;IF(AND($B715&lt;&gt;"",$E715=""),"報酬額が未入力／","")&amp;IF(N($U715)&gt;0,"申請書に入力エラーが残っています／","")&amp;IF(AND($B715&lt;&gt;"",$AQ715&lt;&gt;""),IF(COUNTIFS($B$6:$B$3005,$B715,$C$6:$C$3005,$C715,$D$6:$D$3005,$D715)&gt;1,"同じ月の請求が重複しています／",""),"")&amp;IF(AND(N($E715)&gt;0,$AB715&lt;&gt;"",$AB715&lt;&gt;"×",$AE715=0,$AD715=""),"計算額が下限以下のため不支給／",""))</f>
        <v/>
      </c>
      <c r="AN715" s="12" t="n"/>
      <c r="AO715" s="14">
        <f>IF($AF715="保留中",COUNTIF($AF$6:$AF715,"保留中"),"")</f>
        <v/>
      </c>
      <c r="AP715" s="14">
        <f>IF($AQ715="","",IF(SUMPRODUCT(MAX((職員マスタ!$A$6:$A$405=$B715)*(((職員マスタ!$G$6:$G$405="")+(職員マスタ!$G$6:$G$405&lt;=EOMONTH($AQ715,0)))&gt;0)*(((職員マスタ!$H$6:$H$405="")+(職員マスタ!$H$6:$H$405&gt;=$AQ715))&gt;0)*(ROW(職員マスタ!$A$6:$A$405)-5)))&gt;0,SUMPRODUCT(MAX((職員マスタ!$A$6:$A$405=$B715)*(((職員マスタ!$G$6:$G$405="")+(職員マスタ!$G$6:$G$405&lt;=EOMONTH($AQ715,0)))&gt;0)*(((職員マスタ!$H$6:$H$405="")+(職員マスタ!$H$6:$H$405&gt;=$AQ715))&gt;0)*(ROW(職員マスタ!$A$6:$A$405)-5))),IFERROR(MATCH($B715,職員マスタ!$A$6:$A$405,0),"")))</f>
        <v/>
      </c>
      <c r="AQ715" s="16">
        <f>IF(OR($B715="",$C715="",$D715=""),"",DATE($C715+2018,$D715,1))</f>
        <v/>
      </c>
    </row>
    <row r="716">
      <c r="A716" s="11" t="n"/>
      <c r="B716" s="12" t="n"/>
      <c r="C716" s="12" t="n"/>
      <c r="D716" s="12" t="n"/>
      <c r="E716" s="13" t="n"/>
      <c r="F716" s="12" t="n"/>
      <c r="G716" s="13" t="n"/>
      <c r="H716" s="12" t="n"/>
      <c r="I716" s="12" t="n"/>
      <c r="J716" s="12" t="n"/>
      <c r="K716" s="12" t="n"/>
      <c r="L716" s="11" t="n"/>
      <c r="M716" s="11" t="n"/>
      <c r="N716" s="11" t="n"/>
      <c r="O716" s="11" t="n"/>
      <c r="P716" s="12" t="n"/>
      <c r="Q716" s="11" t="n"/>
      <c r="R716" s="12" t="n"/>
      <c r="S716" s="11" t="n"/>
      <c r="T716" s="12" t="n"/>
      <c r="U716" s="12" t="n"/>
      <c r="V716" s="12" t="n"/>
      <c r="W716" s="13" t="n"/>
      <c r="X716" s="14">
        <f>IF($AP716="",IF($B716="","",$H716),IF(INDEX(職員マスタ!$B$6:$B$405,$AP716)="",$H716,INDEX(職員マスタ!$B$6:$B$405,$AP716)))</f>
        <v/>
      </c>
      <c r="Y716" s="14">
        <f>IF($AP716="",IF($B716="","",$R716),IF(INDEX(職員マスタ!$C$6:$C$405,$AP716)="",$R716,INDEX(職員マスタ!$C$6:$C$405,$AP716)))</f>
        <v/>
      </c>
      <c r="Z716" s="14">
        <f>IF($AQ716="","","R"&amp;$C716&amp;"."&amp;$D716)</f>
        <v/>
      </c>
      <c r="AA716" s="15">
        <f>IF(IF($AP716="",FALSE,INDEX(職員マスタ!$K$6:$K$405,$AP716)&lt;&gt;""),INDEX(職員マスタ!$K$6:$K$405,$AP716),IF(N($W716)&gt;0,$W716,""))</f>
        <v/>
      </c>
      <c r="AB716" s="14">
        <f>IF(OR($E716="",$AA716=""),"",IF($E716&gt;=$AA716,"×",IF($E716&gt;=$AA716*設定!$C$5,"△","○")))</f>
        <v/>
      </c>
      <c r="AC716" s="15">
        <f>IF($AB716="","",IF($AB716="×",0,IF($AB716="○",ROUNDDOWN($E716*設定!$C$4,0),ROUNDDOWN($E716*ROUND((9*$AA716-9*$E716)/(10*$E716),4),0))))</f>
        <v/>
      </c>
      <c r="AD716" s="13" t="n"/>
      <c r="AE716" s="15">
        <f>IF($B716="","",IF($AD716&lt;&gt;"",$AD716,IF($AC716="","",IF($AC716&lt;=設定!$C$3,0,$AC716))))</f>
        <v/>
      </c>
      <c r="AF716" s="14">
        <f>IF($B716="","",IF(AND($AG716&lt;&gt;"",$AI716="",$AL716=""),"保留中",IF($AL716&lt;&gt;"",IF(N($AE716)&gt;0,"支給済","不支給"),IF($AE716="","要確認",IF($AE716=0,"不支給","未処理")))))</f>
        <v/>
      </c>
      <c r="AG716" s="12" t="n"/>
      <c r="AH716" s="11" t="n"/>
      <c r="AI716" s="11" t="n"/>
      <c r="AJ716" s="11" t="n"/>
      <c r="AK716" s="14">
        <f>IF(AND($AF716="保留中",$AH716&lt;&gt;""),TODAY()-$AH716,"")</f>
        <v/>
      </c>
      <c r="AL716" s="12" t="n"/>
      <c r="AM716" s="14">
        <f>IF($B716="","",IF($AQ716="","対象年月が未入力／","")&amp;IF($B716="","",IF($AP716="","職員マスタに未登録の職員番号／",IF($AA716="","標準報酬月額が未登録／","")&amp;IF(AND($AQ716&lt;&gt;"",OR(AND(INDEX(職員マスタ!$G$6:$G$405,$AP716)&lt;&gt;"",INDEX(職員マスタ!$G$6:$G$405,$AP716)&gt;EOMONTH($AQ716,0)),AND(INDEX(職員マスタ!$H$6:$H$405,$AP716)&lt;&gt;"",INDEX(職員マスタ!$H$6:$H$405,$AP716)&lt;$AQ716))),"対象月が時短期間外／","")&amp;IF(AND(INDEX(職員マスタ!$K$6:$K$405,$AP716)&lt;&gt;"",N($W716)&gt;0,INDEX(職員マスタ!$K$6:$K$405,$AP716)&lt;&gt;$W716),"標準報酬月額が申請書と相違（台帳"&amp;TEXT(INDEX(職員マスタ!$K$6:$K$405,$AP716),"#,##0")&amp;"円／申請書"&amp;TEXT($W716,"#,##0")&amp;"円）／","")&amp;IF(AND(INDEX(職員マスタ!$F$6:$F$405,$AP716)&lt;&gt;"",$AQ716&lt;&gt;"",INDEX(職員マスタ!$F$6:$F$405,$AP716)&lt;$AQ716),"対象月に子が2歳到達済／","")&amp;IF(AND($H716&lt;&gt;"",INDEX(職員マスタ!$B$6:$B$405,$AP716)&lt;&gt;"",SUBSTITUTE(SUBSTITUTE($H716," ","")," ","")&lt;&gt;SUBSTITUTE(SUBSTITUTE(INDEX(職員マスタ!$B$6:$B$405,$AP716)," ","")," ","")),"氏名がマスタと相違／","")&amp;IF(AND($Q716&lt;&gt;"",INDEX(職員マスタ!$E$6:$E$405,$AP716)&lt;&gt;"",$Q716&lt;&gt;INDEX(職員マスタ!$E$6:$E$405,$AP716)),"子の生年月日がマスタと相違／","")&amp;IF(AND($L716&lt;&gt;"",INDEX(職員マスタ!$G$6:$G$405,$AP716)&lt;&gt;"",$L716&lt;&gt;INDEX(職員マスタ!$G$6:$G$405,$AP716)),"時短開始日がマスタと相違／","")&amp;IF(AND($M716&lt;&gt;"",INDEX(職員マスタ!$H$6:$H$405,$AP716)&lt;&gt;"",$M716&lt;&gt;INDEX(職員マスタ!$H$6:$H$405,$AP716)),"時短終了日がマスタと相違／","")))&amp;IF(AND($B716&lt;&gt;"",$E716=""),"報酬額が未入力／","")&amp;IF(N($U716)&gt;0,"申請書に入力エラーが残っています／","")&amp;IF(AND($B716&lt;&gt;"",$AQ716&lt;&gt;""),IF(COUNTIFS($B$6:$B$3005,$B716,$C$6:$C$3005,$C716,$D$6:$D$3005,$D716)&gt;1,"同じ月の請求が重複しています／",""),"")&amp;IF(AND(N($E716)&gt;0,$AB716&lt;&gt;"",$AB716&lt;&gt;"×",$AE716=0,$AD716=""),"計算額が下限以下のため不支給／",""))</f>
        <v/>
      </c>
      <c r="AN716" s="12" t="n"/>
      <c r="AO716" s="14">
        <f>IF($AF716="保留中",COUNTIF($AF$6:$AF716,"保留中"),"")</f>
        <v/>
      </c>
      <c r="AP716" s="14">
        <f>IF($AQ716="","",IF(SUMPRODUCT(MAX((職員マスタ!$A$6:$A$405=$B716)*(((職員マスタ!$G$6:$G$405="")+(職員マスタ!$G$6:$G$405&lt;=EOMONTH($AQ716,0)))&gt;0)*(((職員マスタ!$H$6:$H$405="")+(職員マスタ!$H$6:$H$405&gt;=$AQ716))&gt;0)*(ROW(職員マスタ!$A$6:$A$405)-5)))&gt;0,SUMPRODUCT(MAX((職員マスタ!$A$6:$A$405=$B716)*(((職員マスタ!$G$6:$G$405="")+(職員マスタ!$G$6:$G$405&lt;=EOMONTH($AQ716,0)))&gt;0)*(((職員マスタ!$H$6:$H$405="")+(職員マスタ!$H$6:$H$405&gt;=$AQ716))&gt;0)*(ROW(職員マスタ!$A$6:$A$405)-5))),IFERROR(MATCH($B716,職員マスタ!$A$6:$A$405,0),"")))</f>
        <v/>
      </c>
      <c r="AQ716" s="16">
        <f>IF(OR($B716="",$C716="",$D716=""),"",DATE($C716+2018,$D716,1))</f>
        <v/>
      </c>
    </row>
    <row r="717">
      <c r="A717" s="11" t="n"/>
      <c r="B717" s="12" t="n"/>
      <c r="C717" s="12" t="n"/>
      <c r="D717" s="12" t="n"/>
      <c r="E717" s="13" t="n"/>
      <c r="F717" s="12" t="n"/>
      <c r="G717" s="13" t="n"/>
      <c r="H717" s="12" t="n"/>
      <c r="I717" s="12" t="n"/>
      <c r="J717" s="12" t="n"/>
      <c r="K717" s="12" t="n"/>
      <c r="L717" s="11" t="n"/>
      <c r="M717" s="11" t="n"/>
      <c r="N717" s="11" t="n"/>
      <c r="O717" s="11" t="n"/>
      <c r="P717" s="12" t="n"/>
      <c r="Q717" s="11" t="n"/>
      <c r="R717" s="12" t="n"/>
      <c r="S717" s="11" t="n"/>
      <c r="T717" s="12" t="n"/>
      <c r="U717" s="12" t="n"/>
      <c r="V717" s="12" t="n"/>
      <c r="W717" s="13" t="n"/>
      <c r="X717" s="14">
        <f>IF($AP717="",IF($B717="","",$H717),IF(INDEX(職員マスタ!$B$6:$B$405,$AP717)="",$H717,INDEX(職員マスタ!$B$6:$B$405,$AP717)))</f>
        <v/>
      </c>
      <c r="Y717" s="14">
        <f>IF($AP717="",IF($B717="","",$R717),IF(INDEX(職員マスタ!$C$6:$C$405,$AP717)="",$R717,INDEX(職員マスタ!$C$6:$C$405,$AP717)))</f>
        <v/>
      </c>
      <c r="Z717" s="14">
        <f>IF($AQ717="","","R"&amp;$C717&amp;"."&amp;$D717)</f>
        <v/>
      </c>
      <c r="AA717" s="15">
        <f>IF(IF($AP717="",FALSE,INDEX(職員マスタ!$K$6:$K$405,$AP717)&lt;&gt;""),INDEX(職員マスタ!$K$6:$K$405,$AP717),IF(N($W717)&gt;0,$W717,""))</f>
        <v/>
      </c>
      <c r="AB717" s="14">
        <f>IF(OR($E717="",$AA717=""),"",IF($E717&gt;=$AA717,"×",IF($E717&gt;=$AA717*設定!$C$5,"△","○")))</f>
        <v/>
      </c>
      <c r="AC717" s="15">
        <f>IF($AB717="","",IF($AB717="×",0,IF($AB717="○",ROUNDDOWN($E717*設定!$C$4,0),ROUNDDOWN($E717*ROUND((9*$AA717-9*$E717)/(10*$E717),4),0))))</f>
        <v/>
      </c>
      <c r="AD717" s="13" t="n"/>
      <c r="AE717" s="15">
        <f>IF($B717="","",IF($AD717&lt;&gt;"",$AD717,IF($AC717="","",IF($AC717&lt;=設定!$C$3,0,$AC717))))</f>
        <v/>
      </c>
      <c r="AF717" s="14">
        <f>IF($B717="","",IF(AND($AG717&lt;&gt;"",$AI717="",$AL717=""),"保留中",IF($AL717&lt;&gt;"",IF(N($AE717)&gt;0,"支給済","不支給"),IF($AE717="","要確認",IF($AE717=0,"不支給","未処理")))))</f>
        <v/>
      </c>
      <c r="AG717" s="12" t="n"/>
      <c r="AH717" s="11" t="n"/>
      <c r="AI717" s="11" t="n"/>
      <c r="AJ717" s="11" t="n"/>
      <c r="AK717" s="14">
        <f>IF(AND($AF717="保留中",$AH717&lt;&gt;""),TODAY()-$AH717,"")</f>
        <v/>
      </c>
      <c r="AL717" s="12" t="n"/>
      <c r="AM717" s="14">
        <f>IF($B717="","",IF($AQ717="","対象年月が未入力／","")&amp;IF($B717="","",IF($AP717="","職員マスタに未登録の職員番号／",IF($AA717="","標準報酬月額が未登録／","")&amp;IF(AND($AQ717&lt;&gt;"",OR(AND(INDEX(職員マスタ!$G$6:$G$405,$AP717)&lt;&gt;"",INDEX(職員マスタ!$G$6:$G$405,$AP717)&gt;EOMONTH($AQ717,0)),AND(INDEX(職員マスタ!$H$6:$H$405,$AP717)&lt;&gt;"",INDEX(職員マスタ!$H$6:$H$405,$AP717)&lt;$AQ717))),"対象月が時短期間外／","")&amp;IF(AND(INDEX(職員マスタ!$K$6:$K$405,$AP717)&lt;&gt;"",N($W717)&gt;0,INDEX(職員マスタ!$K$6:$K$405,$AP717)&lt;&gt;$W717),"標準報酬月額が申請書と相違（台帳"&amp;TEXT(INDEX(職員マスタ!$K$6:$K$405,$AP717),"#,##0")&amp;"円／申請書"&amp;TEXT($W717,"#,##0")&amp;"円）／","")&amp;IF(AND(INDEX(職員マスタ!$F$6:$F$405,$AP717)&lt;&gt;"",$AQ717&lt;&gt;"",INDEX(職員マスタ!$F$6:$F$405,$AP717)&lt;$AQ717),"対象月に子が2歳到達済／","")&amp;IF(AND($H717&lt;&gt;"",INDEX(職員マスタ!$B$6:$B$405,$AP717)&lt;&gt;"",SUBSTITUTE(SUBSTITUTE($H717," ","")," ","")&lt;&gt;SUBSTITUTE(SUBSTITUTE(INDEX(職員マスタ!$B$6:$B$405,$AP717)," ","")," ","")),"氏名がマスタと相違／","")&amp;IF(AND($Q717&lt;&gt;"",INDEX(職員マスタ!$E$6:$E$405,$AP717)&lt;&gt;"",$Q717&lt;&gt;INDEX(職員マスタ!$E$6:$E$405,$AP717)),"子の生年月日がマスタと相違／","")&amp;IF(AND($L717&lt;&gt;"",INDEX(職員マスタ!$G$6:$G$405,$AP717)&lt;&gt;"",$L717&lt;&gt;INDEX(職員マスタ!$G$6:$G$405,$AP717)),"時短開始日がマスタと相違／","")&amp;IF(AND($M717&lt;&gt;"",INDEX(職員マスタ!$H$6:$H$405,$AP717)&lt;&gt;"",$M717&lt;&gt;INDEX(職員マスタ!$H$6:$H$405,$AP717)),"時短終了日がマスタと相違／","")))&amp;IF(AND($B717&lt;&gt;"",$E717=""),"報酬額が未入力／","")&amp;IF(N($U717)&gt;0,"申請書に入力エラーが残っています／","")&amp;IF(AND($B717&lt;&gt;"",$AQ717&lt;&gt;""),IF(COUNTIFS($B$6:$B$3005,$B717,$C$6:$C$3005,$C717,$D$6:$D$3005,$D717)&gt;1,"同じ月の請求が重複しています／",""),"")&amp;IF(AND(N($E717)&gt;0,$AB717&lt;&gt;"",$AB717&lt;&gt;"×",$AE717=0,$AD717=""),"計算額が下限以下のため不支給／",""))</f>
        <v/>
      </c>
      <c r="AN717" s="12" t="n"/>
      <c r="AO717" s="14">
        <f>IF($AF717="保留中",COUNTIF($AF$6:$AF717,"保留中"),"")</f>
        <v/>
      </c>
      <c r="AP717" s="14">
        <f>IF($AQ717="","",IF(SUMPRODUCT(MAX((職員マスタ!$A$6:$A$405=$B717)*(((職員マスタ!$G$6:$G$405="")+(職員マスタ!$G$6:$G$405&lt;=EOMONTH($AQ717,0)))&gt;0)*(((職員マスタ!$H$6:$H$405="")+(職員マスタ!$H$6:$H$405&gt;=$AQ717))&gt;0)*(ROW(職員マスタ!$A$6:$A$405)-5)))&gt;0,SUMPRODUCT(MAX((職員マスタ!$A$6:$A$405=$B717)*(((職員マスタ!$G$6:$G$405="")+(職員マスタ!$G$6:$G$405&lt;=EOMONTH($AQ717,0)))&gt;0)*(((職員マスタ!$H$6:$H$405="")+(職員マスタ!$H$6:$H$405&gt;=$AQ717))&gt;0)*(ROW(職員マスタ!$A$6:$A$405)-5))),IFERROR(MATCH($B717,職員マスタ!$A$6:$A$405,0),"")))</f>
        <v/>
      </c>
      <c r="AQ717" s="16">
        <f>IF(OR($B717="",$C717="",$D717=""),"",DATE($C717+2018,$D717,1))</f>
        <v/>
      </c>
    </row>
    <row r="718">
      <c r="A718" s="11" t="n"/>
      <c r="B718" s="12" t="n"/>
      <c r="C718" s="12" t="n"/>
      <c r="D718" s="12" t="n"/>
      <c r="E718" s="13" t="n"/>
      <c r="F718" s="12" t="n"/>
      <c r="G718" s="13" t="n"/>
      <c r="H718" s="12" t="n"/>
      <c r="I718" s="12" t="n"/>
      <c r="J718" s="12" t="n"/>
      <c r="K718" s="12" t="n"/>
      <c r="L718" s="11" t="n"/>
      <c r="M718" s="11" t="n"/>
      <c r="N718" s="11" t="n"/>
      <c r="O718" s="11" t="n"/>
      <c r="P718" s="12" t="n"/>
      <c r="Q718" s="11" t="n"/>
      <c r="R718" s="12" t="n"/>
      <c r="S718" s="11" t="n"/>
      <c r="T718" s="12" t="n"/>
      <c r="U718" s="12" t="n"/>
      <c r="V718" s="12" t="n"/>
      <c r="W718" s="13" t="n"/>
      <c r="X718" s="14">
        <f>IF($AP718="",IF($B718="","",$H718),IF(INDEX(職員マスタ!$B$6:$B$405,$AP718)="",$H718,INDEX(職員マスタ!$B$6:$B$405,$AP718)))</f>
        <v/>
      </c>
      <c r="Y718" s="14">
        <f>IF($AP718="",IF($B718="","",$R718),IF(INDEX(職員マスタ!$C$6:$C$405,$AP718)="",$R718,INDEX(職員マスタ!$C$6:$C$405,$AP718)))</f>
        <v/>
      </c>
      <c r="Z718" s="14">
        <f>IF($AQ718="","","R"&amp;$C718&amp;"."&amp;$D718)</f>
        <v/>
      </c>
      <c r="AA718" s="15">
        <f>IF(IF($AP718="",FALSE,INDEX(職員マスタ!$K$6:$K$405,$AP718)&lt;&gt;""),INDEX(職員マスタ!$K$6:$K$405,$AP718),IF(N($W718)&gt;0,$W718,""))</f>
        <v/>
      </c>
      <c r="AB718" s="14">
        <f>IF(OR($E718="",$AA718=""),"",IF($E718&gt;=$AA718,"×",IF($E718&gt;=$AA718*設定!$C$5,"△","○")))</f>
        <v/>
      </c>
      <c r="AC718" s="15">
        <f>IF($AB718="","",IF($AB718="×",0,IF($AB718="○",ROUNDDOWN($E718*設定!$C$4,0),ROUNDDOWN($E718*ROUND((9*$AA718-9*$E718)/(10*$E718),4),0))))</f>
        <v/>
      </c>
      <c r="AD718" s="13" t="n"/>
      <c r="AE718" s="15">
        <f>IF($B718="","",IF($AD718&lt;&gt;"",$AD718,IF($AC718="","",IF($AC718&lt;=設定!$C$3,0,$AC718))))</f>
        <v/>
      </c>
      <c r="AF718" s="14">
        <f>IF($B718="","",IF(AND($AG718&lt;&gt;"",$AI718="",$AL718=""),"保留中",IF($AL718&lt;&gt;"",IF(N($AE718)&gt;0,"支給済","不支給"),IF($AE718="","要確認",IF($AE718=0,"不支給","未処理")))))</f>
        <v/>
      </c>
      <c r="AG718" s="12" t="n"/>
      <c r="AH718" s="11" t="n"/>
      <c r="AI718" s="11" t="n"/>
      <c r="AJ718" s="11" t="n"/>
      <c r="AK718" s="14">
        <f>IF(AND($AF718="保留中",$AH718&lt;&gt;""),TODAY()-$AH718,"")</f>
        <v/>
      </c>
      <c r="AL718" s="12" t="n"/>
      <c r="AM718" s="14">
        <f>IF($B718="","",IF($AQ718="","対象年月が未入力／","")&amp;IF($B718="","",IF($AP718="","職員マスタに未登録の職員番号／",IF($AA718="","標準報酬月額が未登録／","")&amp;IF(AND($AQ718&lt;&gt;"",OR(AND(INDEX(職員マスタ!$G$6:$G$405,$AP718)&lt;&gt;"",INDEX(職員マスタ!$G$6:$G$405,$AP718)&gt;EOMONTH($AQ718,0)),AND(INDEX(職員マスタ!$H$6:$H$405,$AP718)&lt;&gt;"",INDEX(職員マスタ!$H$6:$H$405,$AP718)&lt;$AQ718))),"対象月が時短期間外／","")&amp;IF(AND(INDEX(職員マスタ!$K$6:$K$405,$AP718)&lt;&gt;"",N($W718)&gt;0,INDEX(職員マスタ!$K$6:$K$405,$AP718)&lt;&gt;$W718),"標準報酬月額が申請書と相違（台帳"&amp;TEXT(INDEX(職員マスタ!$K$6:$K$405,$AP718),"#,##0")&amp;"円／申請書"&amp;TEXT($W718,"#,##0")&amp;"円）／","")&amp;IF(AND(INDEX(職員マスタ!$F$6:$F$405,$AP718)&lt;&gt;"",$AQ718&lt;&gt;"",INDEX(職員マスタ!$F$6:$F$405,$AP718)&lt;$AQ718),"対象月に子が2歳到達済／","")&amp;IF(AND($H718&lt;&gt;"",INDEX(職員マスタ!$B$6:$B$405,$AP718)&lt;&gt;"",SUBSTITUTE(SUBSTITUTE($H718," ","")," ","")&lt;&gt;SUBSTITUTE(SUBSTITUTE(INDEX(職員マスタ!$B$6:$B$405,$AP718)," ","")," ","")),"氏名がマスタと相違／","")&amp;IF(AND($Q718&lt;&gt;"",INDEX(職員マスタ!$E$6:$E$405,$AP718)&lt;&gt;"",$Q718&lt;&gt;INDEX(職員マスタ!$E$6:$E$405,$AP718)),"子の生年月日がマスタと相違／","")&amp;IF(AND($L718&lt;&gt;"",INDEX(職員マスタ!$G$6:$G$405,$AP718)&lt;&gt;"",$L718&lt;&gt;INDEX(職員マスタ!$G$6:$G$405,$AP718)),"時短開始日がマスタと相違／","")&amp;IF(AND($M718&lt;&gt;"",INDEX(職員マスタ!$H$6:$H$405,$AP718)&lt;&gt;"",$M718&lt;&gt;INDEX(職員マスタ!$H$6:$H$405,$AP718)),"時短終了日がマスタと相違／","")))&amp;IF(AND($B718&lt;&gt;"",$E718=""),"報酬額が未入力／","")&amp;IF(N($U718)&gt;0,"申請書に入力エラーが残っています／","")&amp;IF(AND($B718&lt;&gt;"",$AQ718&lt;&gt;""),IF(COUNTIFS($B$6:$B$3005,$B718,$C$6:$C$3005,$C718,$D$6:$D$3005,$D718)&gt;1,"同じ月の請求が重複しています／",""),"")&amp;IF(AND(N($E718)&gt;0,$AB718&lt;&gt;"",$AB718&lt;&gt;"×",$AE718=0,$AD718=""),"計算額が下限以下のため不支給／",""))</f>
        <v/>
      </c>
      <c r="AN718" s="12" t="n"/>
      <c r="AO718" s="14">
        <f>IF($AF718="保留中",COUNTIF($AF$6:$AF718,"保留中"),"")</f>
        <v/>
      </c>
      <c r="AP718" s="14">
        <f>IF($AQ718="","",IF(SUMPRODUCT(MAX((職員マスタ!$A$6:$A$405=$B718)*(((職員マスタ!$G$6:$G$405="")+(職員マスタ!$G$6:$G$405&lt;=EOMONTH($AQ718,0)))&gt;0)*(((職員マスタ!$H$6:$H$405="")+(職員マスタ!$H$6:$H$405&gt;=$AQ718))&gt;0)*(ROW(職員マスタ!$A$6:$A$405)-5)))&gt;0,SUMPRODUCT(MAX((職員マスタ!$A$6:$A$405=$B718)*(((職員マスタ!$G$6:$G$405="")+(職員マスタ!$G$6:$G$405&lt;=EOMONTH($AQ718,0)))&gt;0)*(((職員マスタ!$H$6:$H$405="")+(職員マスタ!$H$6:$H$405&gt;=$AQ718))&gt;0)*(ROW(職員マスタ!$A$6:$A$405)-5))),IFERROR(MATCH($B718,職員マスタ!$A$6:$A$405,0),"")))</f>
        <v/>
      </c>
      <c r="AQ718" s="16">
        <f>IF(OR($B718="",$C718="",$D718=""),"",DATE($C718+2018,$D718,1))</f>
        <v/>
      </c>
    </row>
    <row r="719">
      <c r="A719" s="11" t="n"/>
      <c r="B719" s="12" t="n"/>
      <c r="C719" s="12" t="n"/>
      <c r="D719" s="12" t="n"/>
      <c r="E719" s="13" t="n"/>
      <c r="F719" s="12" t="n"/>
      <c r="G719" s="13" t="n"/>
      <c r="H719" s="12" t="n"/>
      <c r="I719" s="12" t="n"/>
      <c r="J719" s="12" t="n"/>
      <c r="K719" s="12" t="n"/>
      <c r="L719" s="11" t="n"/>
      <c r="M719" s="11" t="n"/>
      <c r="N719" s="11" t="n"/>
      <c r="O719" s="11" t="n"/>
      <c r="P719" s="12" t="n"/>
      <c r="Q719" s="11" t="n"/>
      <c r="R719" s="12" t="n"/>
      <c r="S719" s="11" t="n"/>
      <c r="T719" s="12" t="n"/>
      <c r="U719" s="12" t="n"/>
      <c r="V719" s="12" t="n"/>
      <c r="W719" s="13" t="n"/>
      <c r="X719" s="14">
        <f>IF($AP719="",IF($B719="","",$H719),IF(INDEX(職員マスタ!$B$6:$B$405,$AP719)="",$H719,INDEX(職員マスタ!$B$6:$B$405,$AP719)))</f>
        <v/>
      </c>
      <c r="Y719" s="14">
        <f>IF($AP719="",IF($B719="","",$R719),IF(INDEX(職員マスタ!$C$6:$C$405,$AP719)="",$R719,INDEX(職員マスタ!$C$6:$C$405,$AP719)))</f>
        <v/>
      </c>
      <c r="Z719" s="14">
        <f>IF($AQ719="","","R"&amp;$C719&amp;"."&amp;$D719)</f>
        <v/>
      </c>
      <c r="AA719" s="15">
        <f>IF(IF($AP719="",FALSE,INDEX(職員マスタ!$K$6:$K$405,$AP719)&lt;&gt;""),INDEX(職員マスタ!$K$6:$K$405,$AP719),IF(N($W719)&gt;0,$W719,""))</f>
        <v/>
      </c>
      <c r="AB719" s="14">
        <f>IF(OR($E719="",$AA719=""),"",IF($E719&gt;=$AA719,"×",IF($E719&gt;=$AA719*設定!$C$5,"△","○")))</f>
        <v/>
      </c>
      <c r="AC719" s="15">
        <f>IF($AB719="","",IF($AB719="×",0,IF($AB719="○",ROUNDDOWN($E719*設定!$C$4,0),ROUNDDOWN($E719*ROUND((9*$AA719-9*$E719)/(10*$E719),4),0))))</f>
        <v/>
      </c>
      <c r="AD719" s="13" t="n"/>
      <c r="AE719" s="15">
        <f>IF($B719="","",IF($AD719&lt;&gt;"",$AD719,IF($AC719="","",IF($AC719&lt;=設定!$C$3,0,$AC719))))</f>
        <v/>
      </c>
      <c r="AF719" s="14">
        <f>IF($B719="","",IF(AND($AG719&lt;&gt;"",$AI719="",$AL719=""),"保留中",IF($AL719&lt;&gt;"",IF(N($AE719)&gt;0,"支給済","不支給"),IF($AE719="","要確認",IF($AE719=0,"不支給","未処理")))))</f>
        <v/>
      </c>
      <c r="AG719" s="12" t="n"/>
      <c r="AH719" s="11" t="n"/>
      <c r="AI719" s="11" t="n"/>
      <c r="AJ719" s="11" t="n"/>
      <c r="AK719" s="14">
        <f>IF(AND($AF719="保留中",$AH719&lt;&gt;""),TODAY()-$AH719,"")</f>
        <v/>
      </c>
      <c r="AL719" s="12" t="n"/>
      <c r="AM719" s="14">
        <f>IF($B719="","",IF($AQ719="","対象年月が未入力／","")&amp;IF($B719="","",IF($AP719="","職員マスタに未登録の職員番号／",IF($AA719="","標準報酬月額が未登録／","")&amp;IF(AND($AQ719&lt;&gt;"",OR(AND(INDEX(職員マスタ!$G$6:$G$405,$AP719)&lt;&gt;"",INDEX(職員マスタ!$G$6:$G$405,$AP719)&gt;EOMONTH($AQ719,0)),AND(INDEX(職員マスタ!$H$6:$H$405,$AP719)&lt;&gt;"",INDEX(職員マスタ!$H$6:$H$405,$AP719)&lt;$AQ719))),"対象月が時短期間外／","")&amp;IF(AND(INDEX(職員マスタ!$K$6:$K$405,$AP719)&lt;&gt;"",N($W719)&gt;0,INDEX(職員マスタ!$K$6:$K$405,$AP719)&lt;&gt;$W719),"標準報酬月額が申請書と相違（台帳"&amp;TEXT(INDEX(職員マスタ!$K$6:$K$405,$AP719),"#,##0")&amp;"円／申請書"&amp;TEXT($W719,"#,##0")&amp;"円）／","")&amp;IF(AND(INDEX(職員マスタ!$F$6:$F$405,$AP719)&lt;&gt;"",$AQ719&lt;&gt;"",INDEX(職員マスタ!$F$6:$F$405,$AP719)&lt;$AQ719),"対象月に子が2歳到達済／","")&amp;IF(AND($H719&lt;&gt;"",INDEX(職員マスタ!$B$6:$B$405,$AP719)&lt;&gt;"",SUBSTITUTE(SUBSTITUTE($H719," ","")," ","")&lt;&gt;SUBSTITUTE(SUBSTITUTE(INDEX(職員マスタ!$B$6:$B$405,$AP719)," ","")," ","")),"氏名がマスタと相違／","")&amp;IF(AND($Q719&lt;&gt;"",INDEX(職員マスタ!$E$6:$E$405,$AP719)&lt;&gt;"",$Q719&lt;&gt;INDEX(職員マスタ!$E$6:$E$405,$AP719)),"子の生年月日がマスタと相違／","")&amp;IF(AND($L719&lt;&gt;"",INDEX(職員マスタ!$G$6:$G$405,$AP719)&lt;&gt;"",$L719&lt;&gt;INDEX(職員マスタ!$G$6:$G$405,$AP719)),"時短開始日がマスタと相違／","")&amp;IF(AND($M719&lt;&gt;"",INDEX(職員マスタ!$H$6:$H$405,$AP719)&lt;&gt;"",$M719&lt;&gt;INDEX(職員マスタ!$H$6:$H$405,$AP719)),"時短終了日がマスタと相違／","")))&amp;IF(AND($B719&lt;&gt;"",$E719=""),"報酬額が未入力／","")&amp;IF(N($U719)&gt;0,"申請書に入力エラーが残っています／","")&amp;IF(AND($B719&lt;&gt;"",$AQ719&lt;&gt;""),IF(COUNTIFS($B$6:$B$3005,$B719,$C$6:$C$3005,$C719,$D$6:$D$3005,$D719)&gt;1,"同じ月の請求が重複しています／",""),"")&amp;IF(AND(N($E719)&gt;0,$AB719&lt;&gt;"",$AB719&lt;&gt;"×",$AE719=0,$AD719=""),"計算額が下限以下のため不支給／",""))</f>
        <v/>
      </c>
      <c r="AN719" s="12" t="n"/>
      <c r="AO719" s="14">
        <f>IF($AF719="保留中",COUNTIF($AF$6:$AF719,"保留中"),"")</f>
        <v/>
      </c>
      <c r="AP719" s="14">
        <f>IF($AQ719="","",IF(SUMPRODUCT(MAX((職員マスタ!$A$6:$A$405=$B719)*(((職員マスタ!$G$6:$G$405="")+(職員マスタ!$G$6:$G$405&lt;=EOMONTH($AQ719,0)))&gt;0)*(((職員マスタ!$H$6:$H$405="")+(職員マスタ!$H$6:$H$405&gt;=$AQ719))&gt;0)*(ROW(職員マスタ!$A$6:$A$405)-5)))&gt;0,SUMPRODUCT(MAX((職員マスタ!$A$6:$A$405=$B719)*(((職員マスタ!$G$6:$G$405="")+(職員マスタ!$G$6:$G$405&lt;=EOMONTH($AQ719,0)))&gt;0)*(((職員マスタ!$H$6:$H$405="")+(職員マスタ!$H$6:$H$405&gt;=$AQ719))&gt;0)*(ROW(職員マスタ!$A$6:$A$405)-5))),IFERROR(MATCH($B719,職員マスタ!$A$6:$A$405,0),"")))</f>
        <v/>
      </c>
      <c r="AQ719" s="16">
        <f>IF(OR($B719="",$C719="",$D719=""),"",DATE($C719+2018,$D719,1))</f>
        <v/>
      </c>
    </row>
    <row r="720">
      <c r="A720" s="11" t="n"/>
      <c r="B720" s="12" t="n"/>
      <c r="C720" s="12" t="n"/>
      <c r="D720" s="12" t="n"/>
      <c r="E720" s="13" t="n"/>
      <c r="F720" s="12" t="n"/>
      <c r="G720" s="13" t="n"/>
      <c r="H720" s="12" t="n"/>
      <c r="I720" s="12" t="n"/>
      <c r="J720" s="12" t="n"/>
      <c r="K720" s="12" t="n"/>
      <c r="L720" s="11" t="n"/>
      <c r="M720" s="11" t="n"/>
      <c r="N720" s="11" t="n"/>
      <c r="O720" s="11" t="n"/>
      <c r="P720" s="12" t="n"/>
      <c r="Q720" s="11" t="n"/>
      <c r="R720" s="12" t="n"/>
      <c r="S720" s="11" t="n"/>
      <c r="T720" s="12" t="n"/>
      <c r="U720" s="12" t="n"/>
      <c r="V720" s="12" t="n"/>
      <c r="W720" s="13" t="n"/>
      <c r="X720" s="14">
        <f>IF($AP720="",IF($B720="","",$H720),IF(INDEX(職員マスタ!$B$6:$B$405,$AP720)="",$H720,INDEX(職員マスタ!$B$6:$B$405,$AP720)))</f>
        <v/>
      </c>
      <c r="Y720" s="14">
        <f>IF($AP720="",IF($B720="","",$R720),IF(INDEX(職員マスタ!$C$6:$C$405,$AP720)="",$R720,INDEX(職員マスタ!$C$6:$C$405,$AP720)))</f>
        <v/>
      </c>
      <c r="Z720" s="14">
        <f>IF($AQ720="","","R"&amp;$C720&amp;"."&amp;$D720)</f>
        <v/>
      </c>
      <c r="AA720" s="15">
        <f>IF(IF($AP720="",FALSE,INDEX(職員マスタ!$K$6:$K$405,$AP720)&lt;&gt;""),INDEX(職員マスタ!$K$6:$K$405,$AP720),IF(N($W720)&gt;0,$W720,""))</f>
        <v/>
      </c>
      <c r="AB720" s="14">
        <f>IF(OR($E720="",$AA720=""),"",IF($E720&gt;=$AA720,"×",IF($E720&gt;=$AA720*設定!$C$5,"△","○")))</f>
        <v/>
      </c>
      <c r="AC720" s="15">
        <f>IF($AB720="","",IF($AB720="×",0,IF($AB720="○",ROUNDDOWN($E720*設定!$C$4,0),ROUNDDOWN($E720*ROUND((9*$AA720-9*$E720)/(10*$E720),4),0))))</f>
        <v/>
      </c>
      <c r="AD720" s="13" t="n"/>
      <c r="AE720" s="15">
        <f>IF($B720="","",IF($AD720&lt;&gt;"",$AD720,IF($AC720="","",IF($AC720&lt;=設定!$C$3,0,$AC720))))</f>
        <v/>
      </c>
      <c r="AF720" s="14">
        <f>IF($B720="","",IF(AND($AG720&lt;&gt;"",$AI720="",$AL720=""),"保留中",IF($AL720&lt;&gt;"",IF(N($AE720)&gt;0,"支給済","不支給"),IF($AE720="","要確認",IF($AE720=0,"不支給","未処理")))))</f>
        <v/>
      </c>
      <c r="AG720" s="12" t="n"/>
      <c r="AH720" s="11" t="n"/>
      <c r="AI720" s="11" t="n"/>
      <c r="AJ720" s="11" t="n"/>
      <c r="AK720" s="14">
        <f>IF(AND($AF720="保留中",$AH720&lt;&gt;""),TODAY()-$AH720,"")</f>
        <v/>
      </c>
      <c r="AL720" s="12" t="n"/>
      <c r="AM720" s="14">
        <f>IF($B720="","",IF($AQ720="","対象年月が未入力／","")&amp;IF($B720="","",IF($AP720="","職員マスタに未登録の職員番号／",IF($AA720="","標準報酬月額が未登録／","")&amp;IF(AND($AQ720&lt;&gt;"",OR(AND(INDEX(職員マスタ!$G$6:$G$405,$AP720)&lt;&gt;"",INDEX(職員マスタ!$G$6:$G$405,$AP720)&gt;EOMONTH($AQ720,0)),AND(INDEX(職員マスタ!$H$6:$H$405,$AP720)&lt;&gt;"",INDEX(職員マスタ!$H$6:$H$405,$AP720)&lt;$AQ720))),"対象月が時短期間外／","")&amp;IF(AND(INDEX(職員マスタ!$K$6:$K$405,$AP720)&lt;&gt;"",N($W720)&gt;0,INDEX(職員マスタ!$K$6:$K$405,$AP720)&lt;&gt;$W720),"標準報酬月額が申請書と相違（台帳"&amp;TEXT(INDEX(職員マスタ!$K$6:$K$405,$AP720),"#,##0")&amp;"円／申請書"&amp;TEXT($W720,"#,##0")&amp;"円）／","")&amp;IF(AND(INDEX(職員マスタ!$F$6:$F$405,$AP720)&lt;&gt;"",$AQ720&lt;&gt;"",INDEX(職員マスタ!$F$6:$F$405,$AP720)&lt;$AQ720),"対象月に子が2歳到達済／","")&amp;IF(AND($H720&lt;&gt;"",INDEX(職員マスタ!$B$6:$B$405,$AP720)&lt;&gt;"",SUBSTITUTE(SUBSTITUTE($H720," ","")," ","")&lt;&gt;SUBSTITUTE(SUBSTITUTE(INDEX(職員マスタ!$B$6:$B$405,$AP720)," ","")," ","")),"氏名がマスタと相違／","")&amp;IF(AND($Q720&lt;&gt;"",INDEX(職員マスタ!$E$6:$E$405,$AP720)&lt;&gt;"",$Q720&lt;&gt;INDEX(職員マスタ!$E$6:$E$405,$AP720)),"子の生年月日がマスタと相違／","")&amp;IF(AND($L720&lt;&gt;"",INDEX(職員マスタ!$G$6:$G$405,$AP720)&lt;&gt;"",$L720&lt;&gt;INDEX(職員マスタ!$G$6:$G$405,$AP720)),"時短開始日がマスタと相違／","")&amp;IF(AND($M720&lt;&gt;"",INDEX(職員マスタ!$H$6:$H$405,$AP720)&lt;&gt;"",$M720&lt;&gt;INDEX(職員マスタ!$H$6:$H$405,$AP720)),"時短終了日がマスタと相違／","")))&amp;IF(AND($B720&lt;&gt;"",$E720=""),"報酬額が未入力／","")&amp;IF(N($U720)&gt;0,"申請書に入力エラーが残っています／","")&amp;IF(AND($B720&lt;&gt;"",$AQ720&lt;&gt;""),IF(COUNTIFS($B$6:$B$3005,$B720,$C$6:$C$3005,$C720,$D$6:$D$3005,$D720)&gt;1,"同じ月の請求が重複しています／",""),"")&amp;IF(AND(N($E720)&gt;0,$AB720&lt;&gt;"",$AB720&lt;&gt;"×",$AE720=0,$AD720=""),"計算額が下限以下のため不支給／",""))</f>
        <v/>
      </c>
      <c r="AN720" s="12" t="n"/>
      <c r="AO720" s="14">
        <f>IF($AF720="保留中",COUNTIF($AF$6:$AF720,"保留中"),"")</f>
        <v/>
      </c>
      <c r="AP720" s="14">
        <f>IF($AQ720="","",IF(SUMPRODUCT(MAX((職員マスタ!$A$6:$A$405=$B720)*(((職員マスタ!$G$6:$G$405="")+(職員マスタ!$G$6:$G$405&lt;=EOMONTH($AQ720,0)))&gt;0)*(((職員マスタ!$H$6:$H$405="")+(職員マスタ!$H$6:$H$405&gt;=$AQ720))&gt;0)*(ROW(職員マスタ!$A$6:$A$405)-5)))&gt;0,SUMPRODUCT(MAX((職員マスタ!$A$6:$A$405=$B720)*(((職員マスタ!$G$6:$G$405="")+(職員マスタ!$G$6:$G$405&lt;=EOMONTH($AQ720,0)))&gt;0)*(((職員マスタ!$H$6:$H$405="")+(職員マスタ!$H$6:$H$405&gt;=$AQ720))&gt;0)*(ROW(職員マスタ!$A$6:$A$405)-5))),IFERROR(MATCH($B720,職員マスタ!$A$6:$A$405,0),"")))</f>
        <v/>
      </c>
      <c r="AQ720" s="16">
        <f>IF(OR($B720="",$C720="",$D720=""),"",DATE($C720+2018,$D720,1))</f>
        <v/>
      </c>
    </row>
    <row r="721">
      <c r="A721" s="11" t="n"/>
      <c r="B721" s="12" t="n"/>
      <c r="C721" s="12" t="n"/>
      <c r="D721" s="12" t="n"/>
      <c r="E721" s="13" t="n"/>
      <c r="F721" s="12" t="n"/>
      <c r="G721" s="13" t="n"/>
      <c r="H721" s="12" t="n"/>
      <c r="I721" s="12" t="n"/>
      <c r="J721" s="12" t="n"/>
      <c r="K721" s="12" t="n"/>
      <c r="L721" s="11" t="n"/>
      <c r="M721" s="11" t="n"/>
      <c r="N721" s="11" t="n"/>
      <c r="O721" s="11" t="n"/>
      <c r="P721" s="12" t="n"/>
      <c r="Q721" s="11" t="n"/>
      <c r="R721" s="12" t="n"/>
      <c r="S721" s="11" t="n"/>
      <c r="T721" s="12" t="n"/>
      <c r="U721" s="12" t="n"/>
      <c r="V721" s="12" t="n"/>
      <c r="W721" s="13" t="n"/>
      <c r="X721" s="14">
        <f>IF($AP721="",IF($B721="","",$H721),IF(INDEX(職員マスタ!$B$6:$B$405,$AP721)="",$H721,INDEX(職員マスタ!$B$6:$B$405,$AP721)))</f>
        <v/>
      </c>
      <c r="Y721" s="14">
        <f>IF($AP721="",IF($B721="","",$R721),IF(INDEX(職員マスタ!$C$6:$C$405,$AP721)="",$R721,INDEX(職員マスタ!$C$6:$C$405,$AP721)))</f>
        <v/>
      </c>
      <c r="Z721" s="14">
        <f>IF($AQ721="","","R"&amp;$C721&amp;"."&amp;$D721)</f>
        <v/>
      </c>
      <c r="AA721" s="15">
        <f>IF(IF($AP721="",FALSE,INDEX(職員マスタ!$K$6:$K$405,$AP721)&lt;&gt;""),INDEX(職員マスタ!$K$6:$K$405,$AP721),IF(N($W721)&gt;0,$W721,""))</f>
        <v/>
      </c>
      <c r="AB721" s="14">
        <f>IF(OR($E721="",$AA721=""),"",IF($E721&gt;=$AA721,"×",IF($E721&gt;=$AA721*設定!$C$5,"△","○")))</f>
        <v/>
      </c>
      <c r="AC721" s="15">
        <f>IF($AB721="","",IF($AB721="×",0,IF($AB721="○",ROUNDDOWN($E721*設定!$C$4,0),ROUNDDOWN($E721*ROUND((9*$AA721-9*$E721)/(10*$E721),4),0))))</f>
        <v/>
      </c>
      <c r="AD721" s="13" t="n"/>
      <c r="AE721" s="15">
        <f>IF($B721="","",IF($AD721&lt;&gt;"",$AD721,IF($AC721="","",IF($AC721&lt;=設定!$C$3,0,$AC721))))</f>
        <v/>
      </c>
      <c r="AF721" s="14">
        <f>IF($B721="","",IF(AND($AG721&lt;&gt;"",$AI721="",$AL721=""),"保留中",IF($AL721&lt;&gt;"",IF(N($AE721)&gt;0,"支給済","不支給"),IF($AE721="","要確認",IF($AE721=0,"不支給","未処理")))))</f>
        <v/>
      </c>
      <c r="AG721" s="12" t="n"/>
      <c r="AH721" s="11" t="n"/>
      <c r="AI721" s="11" t="n"/>
      <c r="AJ721" s="11" t="n"/>
      <c r="AK721" s="14">
        <f>IF(AND($AF721="保留中",$AH721&lt;&gt;""),TODAY()-$AH721,"")</f>
        <v/>
      </c>
      <c r="AL721" s="12" t="n"/>
      <c r="AM721" s="14">
        <f>IF($B721="","",IF($AQ721="","対象年月が未入力／","")&amp;IF($B721="","",IF($AP721="","職員マスタに未登録の職員番号／",IF($AA721="","標準報酬月額が未登録／","")&amp;IF(AND($AQ721&lt;&gt;"",OR(AND(INDEX(職員マスタ!$G$6:$G$405,$AP721)&lt;&gt;"",INDEX(職員マスタ!$G$6:$G$405,$AP721)&gt;EOMONTH($AQ721,0)),AND(INDEX(職員マスタ!$H$6:$H$405,$AP721)&lt;&gt;"",INDEX(職員マスタ!$H$6:$H$405,$AP721)&lt;$AQ721))),"対象月が時短期間外／","")&amp;IF(AND(INDEX(職員マスタ!$K$6:$K$405,$AP721)&lt;&gt;"",N($W721)&gt;0,INDEX(職員マスタ!$K$6:$K$405,$AP721)&lt;&gt;$W721),"標準報酬月額が申請書と相違（台帳"&amp;TEXT(INDEX(職員マスタ!$K$6:$K$405,$AP721),"#,##0")&amp;"円／申請書"&amp;TEXT($W721,"#,##0")&amp;"円）／","")&amp;IF(AND(INDEX(職員マスタ!$F$6:$F$405,$AP721)&lt;&gt;"",$AQ721&lt;&gt;"",INDEX(職員マスタ!$F$6:$F$405,$AP721)&lt;$AQ721),"対象月に子が2歳到達済／","")&amp;IF(AND($H721&lt;&gt;"",INDEX(職員マスタ!$B$6:$B$405,$AP721)&lt;&gt;"",SUBSTITUTE(SUBSTITUTE($H721," ","")," ","")&lt;&gt;SUBSTITUTE(SUBSTITUTE(INDEX(職員マスタ!$B$6:$B$405,$AP721)," ","")," ","")),"氏名がマスタと相違／","")&amp;IF(AND($Q721&lt;&gt;"",INDEX(職員マスタ!$E$6:$E$405,$AP721)&lt;&gt;"",$Q721&lt;&gt;INDEX(職員マスタ!$E$6:$E$405,$AP721)),"子の生年月日がマスタと相違／","")&amp;IF(AND($L721&lt;&gt;"",INDEX(職員マスタ!$G$6:$G$405,$AP721)&lt;&gt;"",$L721&lt;&gt;INDEX(職員マスタ!$G$6:$G$405,$AP721)),"時短開始日がマスタと相違／","")&amp;IF(AND($M721&lt;&gt;"",INDEX(職員マスタ!$H$6:$H$405,$AP721)&lt;&gt;"",$M721&lt;&gt;INDEX(職員マスタ!$H$6:$H$405,$AP721)),"時短終了日がマスタと相違／","")))&amp;IF(AND($B721&lt;&gt;"",$E721=""),"報酬額が未入力／","")&amp;IF(N($U721)&gt;0,"申請書に入力エラーが残っています／","")&amp;IF(AND($B721&lt;&gt;"",$AQ721&lt;&gt;""),IF(COUNTIFS($B$6:$B$3005,$B721,$C$6:$C$3005,$C721,$D$6:$D$3005,$D721)&gt;1,"同じ月の請求が重複しています／",""),"")&amp;IF(AND(N($E721)&gt;0,$AB721&lt;&gt;"",$AB721&lt;&gt;"×",$AE721=0,$AD721=""),"計算額が下限以下のため不支給／",""))</f>
        <v/>
      </c>
      <c r="AN721" s="12" t="n"/>
      <c r="AO721" s="14">
        <f>IF($AF721="保留中",COUNTIF($AF$6:$AF721,"保留中"),"")</f>
        <v/>
      </c>
      <c r="AP721" s="14">
        <f>IF($AQ721="","",IF(SUMPRODUCT(MAX((職員マスタ!$A$6:$A$405=$B721)*(((職員マスタ!$G$6:$G$405="")+(職員マスタ!$G$6:$G$405&lt;=EOMONTH($AQ721,0)))&gt;0)*(((職員マスタ!$H$6:$H$405="")+(職員マスタ!$H$6:$H$405&gt;=$AQ721))&gt;0)*(ROW(職員マスタ!$A$6:$A$405)-5)))&gt;0,SUMPRODUCT(MAX((職員マスタ!$A$6:$A$405=$B721)*(((職員マスタ!$G$6:$G$405="")+(職員マスタ!$G$6:$G$405&lt;=EOMONTH($AQ721,0)))&gt;0)*(((職員マスタ!$H$6:$H$405="")+(職員マスタ!$H$6:$H$405&gt;=$AQ721))&gt;0)*(ROW(職員マスタ!$A$6:$A$405)-5))),IFERROR(MATCH($B721,職員マスタ!$A$6:$A$405,0),"")))</f>
        <v/>
      </c>
      <c r="AQ721" s="16">
        <f>IF(OR($B721="",$C721="",$D721=""),"",DATE($C721+2018,$D721,1))</f>
        <v/>
      </c>
    </row>
    <row r="722">
      <c r="A722" s="11" t="n"/>
      <c r="B722" s="12" t="n"/>
      <c r="C722" s="12" t="n"/>
      <c r="D722" s="12" t="n"/>
      <c r="E722" s="13" t="n"/>
      <c r="F722" s="12" t="n"/>
      <c r="G722" s="13" t="n"/>
      <c r="H722" s="12" t="n"/>
      <c r="I722" s="12" t="n"/>
      <c r="J722" s="12" t="n"/>
      <c r="K722" s="12" t="n"/>
      <c r="L722" s="11" t="n"/>
      <c r="M722" s="11" t="n"/>
      <c r="N722" s="11" t="n"/>
      <c r="O722" s="11" t="n"/>
      <c r="P722" s="12" t="n"/>
      <c r="Q722" s="11" t="n"/>
      <c r="R722" s="12" t="n"/>
      <c r="S722" s="11" t="n"/>
      <c r="T722" s="12" t="n"/>
      <c r="U722" s="12" t="n"/>
      <c r="V722" s="12" t="n"/>
      <c r="W722" s="13" t="n"/>
      <c r="X722" s="14">
        <f>IF($AP722="",IF($B722="","",$H722),IF(INDEX(職員マスタ!$B$6:$B$405,$AP722)="",$H722,INDEX(職員マスタ!$B$6:$B$405,$AP722)))</f>
        <v/>
      </c>
      <c r="Y722" s="14">
        <f>IF($AP722="",IF($B722="","",$R722),IF(INDEX(職員マスタ!$C$6:$C$405,$AP722)="",$R722,INDEX(職員マスタ!$C$6:$C$405,$AP722)))</f>
        <v/>
      </c>
      <c r="Z722" s="14">
        <f>IF($AQ722="","","R"&amp;$C722&amp;"."&amp;$D722)</f>
        <v/>
      </c>
      <c r="AA722" s="15">
        <f>IF(IF($AP722="",FALSE,INDEX(職員マスタ!$K$6:$K$405,$AP722)&lt;&gt;""),INDEX(職員マスタ!$K$6:$K$405,$AP722),IF(N($W722)&gt;0,$W722,""))</f>
        <v/>
      </c>
      <c r="AB722" s="14">
        <f>IF(OR($E722="",$AA722=""),"",IF($E722&gt;=$AA722,"×",IF($E722&gt;=$AA722*設定!$C$5,"△","○")))</f>
        <v/>
      </c>
      <c r="AC722" s="15">
        <f>IF($AB722="","",IF($AB722="×",0,IF($AB722="○",ROUNDDOWN($E722*設定!$C$4,0),ROUNDDOWN($E722*ROUND((9*$AA722-9*$E722)/(10*$E722),4),0))))</f>
        <v/>
      </c>
      <c r="AD722" s="13" t="n"/>
      <c r="AE722" s="15">
        <f>IF($B722="","",IF($AD722&lt;&gt;"",$AD722,IF($AC722="","",IF($AC722&lt;=設定!$C$3,0,$AC722))))</f>
        <v/>
      </c>
      <c r="AF722" s="14">
        <f>IF($B722="","",IF(AND($AG722&lt;&gt;"",$AI722="",$AL722=""),"保留中",IF($AL722&lt;&gt;"",IF(N($AE722)&gt;0,"支給済","不支給"),IF($AE722="","要確認",IF($AE722=0,"不支給","未処理")))))</f>
        <v/>
      </c>
      <c r="AG722" s="12" t="n"/>
      <c r="AH722" s="11" t="n"/>
      <c r="AI722" s="11" t="n"/>
      <c r="AJ722" s="11" t="n"/>
      <c r="AK722" s="14">
        <f>IF(AND($AF722="保留中",$AH722&lt;&gt;""),TODAY()-$AH722,"")</f>
        <v/>
      </c>
      <c r="AL722" s="12" t="n"/>
      <c r="AM722" s="14">
        <f>IF($B722="","",IF($AQ722="","対象年月が未入力／","")&amp;IF($B722="","",IF($AP722="","職員マスタに未登録の職員番号／",IF($AA722="","標準報酬月額が未登録／","")&amp;IF(AND($AQ722&lt;&gt;"",OR(AND(INDEX(職員マスタ!$G$6:$G$405,$AP722)&lt;&gt;"",INDEX(職員マスタ!$G$6:$G$405,$AP722)&gt;EOMONTH($AQ722,0)),AND(INDEX(職員マスタ!$H$6:$H$405,$AP722)&lt;&gt;"",INDEX(職員マスタ!$H$6:$H$405,$AP722)&lt;$AQ722))),"対象月が時短期間外／","")&amp;IF(AND(INDEX(職員マスタ!$K$6:$K$405,$AP722)&lt;&gt;"",N($W722)&gt;0,INDEX(職員マスタ!$K$6:$K$405,$AP722)&lt;&gt;$W722),"標準報酬月額が申請書と相違（台帳"&amp;TEXT(INDEX(職員マスタ!$K$6:$K$405,$AP722),"#,##0")&amp;"円／申請書"&amp;TEXT($W722,"#,##0")&amp;"円）／","")&amp;IF(AND(INDEX(職員マスタ!$F$6:$F$405,$AP722)&lt;&gt;"",$AQ722&lt;&gt;"",INDEX(職員マスタ!$F$6:$F$405,$AP722)&lt;$AQ722),"対象月に子が2歳到達済／","")&amp;IF(AND($H722&lt;&gt;"",INDEX(職員マスタ!$B$6:$B$405,$AP722)&lt;&gt;"",SUBSTITUTE(SUBSTITUTE($H722," ","")," ","")&lt;&gt;SUBSTITUTE(SUBSTITUTE(INDEX(職員マスタ!$B$6:$B$405,$AP722)," ","")," ","")),"氏名がマスタと相違／","")&amp;IF(AND($Q722&lt;&gt;"",INDEX(職員マスタ!$E$6:$E$405,$AP722)&lt;&gt;"",$Q722&lt;&gt;INDEX(職員マスタ!$E$6:$E$405,$AP722)),"子の生年月日がマスタと相違／","")&amp;IF(AND($L722&lt;&gt;"",INDEX(職員マスタ!$G$6:$G$405,$AP722)&lt;&gt;"",$L722&lt;&gt;INDEX(職員マスタ!$G$6:$G$405,$AP722)),"時短開始日がマスタと相違／","")&amp;IF(AND($M722&lt;&gt;"",INDEX(職員マスタ!$H$6:$H$405,$AP722)&lt;&gt;"",$M722&lt;&gt;INDEX(職員マスタ!$H$6:$H$405,$AP722)),"時短終了日がマスタと相違／","")))&amp;IF(AND($B722&lt;&gt;"",$E722=""),"報酬額が未入力／","")&amp;IF(N($U722)&gt;0,"申請書に入力エラーが残っています／","")&amp;IF(AND($B722&lt;&gt;"",$AQ722&lt;&gt;""),IF(COUNTIFS($B$6:$B$3005,$B722,$C$6:$C$3005,$C722,$D$6:$D$3005,$D722)&gt;1,"同じ月の請求が重複しています／",""),"")&amp;IF(AND(N($E722)&gt;0,$AB722&lt;&gt;"",$AB722&lt;&gt;"×",$AE722=0,$AD722=""),"計算額が下限以下のため不支給／",""))</f>
        <v/>
      </c>
      <c r="AN722" s="12" t="n"/>
      <c r="AO722" s="14">
        <f>IF($AF722="保留中",COUNTIF($AF$6:$AF722,"保留中"),"")</f>
        <v/>
      </c>
      <c r="AP722" s="14">
        <f>IF($AQ722="","",IF(SUMPRODUCT(MAX((職員マスタ!$A$6:$A$405=$B722)*(((職員マスタ!$G$6:$G$405="")+(職員マスタ!$G$6:$G$405&lt;=EOMONTH($AQ722,0)))&gt;0)*(((職員マスタ!$H$6:$H$405="")+(職員マスタ!$H$6:$H$405&gt;=$AQ722))&gt;0)*(ROW(職員マスタ!$A$6:$A$405)-5)))&gt;0,SUMPRODUCT(MAX((職員マスタ!$A$6:$A$405=$B722)*(((職員マスタ!$G$6:$G$405="")+(職員マスタ!$G$6:$G$405&lt;=EOMONTH($AQ722,0)))&gt;0)*(((職員マスタ!$H$6:$H$405="")+(職員マスタ!$H$6:$H$405&gt;=$AQ722))&gt;0)*(ROW(職員マスタ!$A$6:$A$405)-5))),IFERROR(MATCH($B722,職員マスタ!$A$6:$A$405,0),"")))</f>
        <v/>
      </c>
      <c r="AQ722" s="16">
        <f>IF(OR($B722="",$C722="",$D722=""),"",DATE($C722+2018,$D722,1))</f>
        <v/>
      </c>
    </row>
    <row r="723">
      <c r="A723" s="11" t="n"/>
      <c r="B723" s="12" t="n"/>
      <c r="C723" s="12" t="n"/>
      <c r="D723" s="12" t="n"/>
      <c r="E723" s="13" t="n"/>
      <c r="F723" s="12" t="n"/>
      <c r="G723" s="13" t="n"/>
      <c r="H723" s="12" t="n"/>
      <c r="I723" s="12" t="n"/>
      <c r="J723" s="12" t="n"/>
      <c r="K723" s="12" t="n"/>
      <c r="L723" s="11" t="n"/>
      <c r="M723" s="11" t="n"/>
      <c r="N723" s="11" t="n"/>
      <c r="O723" s="11" t="n"/>
      <c r="P723" s="12" t="n"/>
      <c r="Q723" s="11" t="n"/>
      <c r="R723" s="12" t="n"/>
      <c r="S723" s="11" t="n"/>
      <c r="T723" s="12" t="n"/>
      <c r="U723" s="12" t="n"/>
      <c r="V723" s="12" t="n"/>
      <c r="W723" s="13" t="n"/>
      <c r="X723" s="14">
        <f>IF($AP723="",IF($B723="","",$H723),IF(INDEX(職員マスタ!$B$6:$B$405,$AP723)="",$H723,INDEX(職員マスタ!$B$6:$B$405,$AP723)))</f>
        <v/>
      </c>
      <c r="Y723" s="14">
        <f>IF($AP723="",IF($B723="","",$R723),IF(INDEX(職員マスタ!$C$6:$C$405,$AP723)="",$R723,INDEX(職員マスタ!$C$6:$C$405,$AP723)))</f>
        <v/>
      </c>
      <c r="Z723" s="14">
        <f>IF($AQ723="","","R"&amp;$C723&amp;"."&amp;$D723)</f>
        <v/>
      </c>
      <c r="AA723" s="15">
        <f>IF(IF($AP723="",FALSE,INDEX(職員マスタ!$K$6:$K$405,$AP723)&lt;&gt;""),INDEX(職員マスタ!$K$6:$K$405,$AP723),IF(N($W723)&gt;0,$W723,""))</f>
        <v/>
      </c>
      <c r="AB723" s="14">
        <f>IF(OR($E723="",$AA723=""),"",IF($E723&gt;=$AA723,"×",IF($E723&gt;=$AA723*設定!$C$5,"△","○")))</f>
        <v/>
      </c>
      <c r="AC723" s="15">
        <f>IF($AB723="","",IF($AB723="×",0,IF($AB723="○",ROUNDDOWN($E723*設定!$C$4,0),ROUNDDOWN($E723*ROUND((9*$AA723-9*$E723)/(10*$E723),4),0))))</f>
        <v/>
      </c>
      <c r="AD723" s="13" t="n"/>
      <c r="AE723" s="15">
        <f>IF($B723="","",IF($AD723&lt;&gt;"",$AD723,IF($AC723="","",IF($AC723&lt;=設定!$C$3,0,$AC723))))</f>
        <v/>
      </c>
      <c r="AF723" s="14">
        <f>IF($B723="","",IF(AND($AG723&lt;&gt;"",$AI723="",$AL723=""),"保留中",IF($AL723&lt;&gt;"",IF(N($AE723)&gt;0,"支給済","不支給"),IF($AE723="","要確認",IF($AE723=0,"不支給","未処理")))))</f>
        <v/>
      </c>
      <c r="AG723" s="12" t="n"/>
      <c r="AH723" s="11" t="n"/>
      <c r="AI723" s="11" t="n"/>
      <c r="AJ723" s="11" t="n"/>
      <c r="AK723" s="14">
        <f>IF(AND($AF723="保留中",$AH723&lt;&gt;""),TODAY()-$AH723,"")</f>
        <v/>
      </c>
      <c r="AL723" s="12" t="n"/>
      <c r="AM723" s="14">
        <f>IF($B723="","",IF($AQ723="","対象年月が未入力／","")&amp;IF($B723="","",IF($AP723="","職員マスタに未登録の職員番号／",IF($AA723="","標準報酬月額が未登録／","")&amp;IF(AND($AQ723&lt;&gt;"",OR(AND(INDEX(職員マスタ!$G$6:$G$405,$AP723)&lt;&gt;"",INDEX(職員マスタ!$G$6:$G$405,$AP723)&gt;EOMONTH($AQ723,0)),AND(INDEX(職員マスタ!$H$6:$H$405,$AP723)&lt;&gt;"",INDEX(職員マスタ!$H$6:$H$405,$AP723)&lt;$AQ723))),"対象月が時短期間外／","")&amp;IF(AND(INDEX(職員マスタ!$K$6:$K$405,$AP723)&lt;&gt;"",N($W723)&gt;0,INDEX(職員マスタ!$K$6:$K$405,$AP723)&lt;&gt;$W723),"標準報酬月額が申請書と相違（台帳"&amp;TEXT(INDEX(職員マスタ!$K$6:$K$405,$AP723),"#,##0")&amp;"円／申請書"&amp;TEXT($W723,"#,##0")&amp;"円）／","")&amp;IF(AND(INDEX(職員マスタ!$F$6:$F$405,$AP723)&lt;&gt;"",$AQ723&lt;&gt;"",INDEX(職員マスタ!$F$6:$F$405,$AP723)&lt;$AQ723),"対象月に子が2歳到達済／","")&amp;IF(AND($H723&lt;&gt;"",INDEX(職員マスタ!$B$6:$B$405,$AP723)&lt;&gt;"",SUBSTITUTE(SUBSTITUTE($H723," ","")," ","")&lt;&gt;SUBSTITUTE(SUBSTITUTE(INDEX(職員マスタ!$B$6:$B$405,$AP723)," ","")," ","")),"氏名がマスタと相違／","")&amp;IF(AND($Q723&lt;&gt;"",INDEX(職員マスタ!$E$6:$E$405,$AP723)&lt;&gt;"",$Q723&lt;&gt;INDEX(職員マスタ!$E$6:$E$405,$AP723)),"子の生年月日がマスタと相違／","")&amp;IF(AND($L723&lt;&gt;"",INDEX(職員マスタ!$G$6:$G$405,$AP723)&lt;&gt;"",$L723&lt;&gt;INDEX(職員マスタ!$G$6:$G$405,$AP723)),"時短開始日がマスタと相違／","")&amp;IF(AND($M723&lt;&gt;"",INDEX(職員マスタ!$H$6:$H$405,$AP723)&lt;&gt;"",$M723&lt;&gt;INDEX(職員マスタ!$H$6:$H$405,$AP723)),"時短終了日がマスタと相違／","")))&amp;IF(AND($B723&lt;&gt;"",$E723=""),"報酬額が未入力／","")&amp;IF(N($U723)&gt;0,"申請書に入力エラーが残っています／","")&amp;IF(AND($B723&lt;&gt;"",$AQ723&lt;&gt;""),IF(COUNTIFS($B$6:$B$3005,$B723,$C$6:$C$3005,$C723,$D$6:$D$3005,$D723)&gt;1,"同じ月の請求が重複しています／",""),"")&amp;IF(AND(N($E723)&gt;0,$AB723&lt;&gt;"",$AB723&lt;&gt;"×",$AE723=0,$AD723=""),"計算額が下限以下のため不支給／",""))</f>
        <v/>
      </c>
      <c r="AN723" s="12" t="n"/>
      <c r="AO723" s="14">
        <f>IF($AF723="保留中",COUNTIF($AF$6:$AF723,"保留中"),"")</f>
        <v/>
      </c>
      <c r="AP723" s="14">
        <f>IF($AQ723="","",IF(SUMPRODUCT(MAX((職員マスタ!$A$6:$A$405=$B723)*(((職員マスタ!$G$6:$G$405="")+(職員マスタ!$G$6:$G$405&lt;=EOMONTH($AQ723,0)))&gt;0)*(((職員マスタ!$H$6:$H$405="")+(職員マスタ!$H$6:$H$405&gt;=$AQ723))&gt;0)*(ROW(職員マスタ!$A$6:$A$405)-5)))&gt;0,SUMPRODUCT(MAX((職員マスタ!$A$6:$A$405=$B723)*(((職員マスタ!$G$6:$G$405="")+(職員マスタ!$G$6:$G$405&lt;=EOMONTH($AQ723,0)))&gt;0)*(((職員マスタ!$H$6:$H$405="")+(職員マスタ!$H$6:$H$405&gt;=$AQ723))&gt;0)*(ROW(職員マスタ!$A$6:$A$405)-5))),IFERROR(MATCH($B723,職員マスタ!$A$6:$A$405,0),"")))</f>
        <v/>
      </c>
      <c r="AQ723" s="16">
        <f>IF(OR($B723="",$C723="",$D723=""),"",DATE($C723+2018,$D723,1))</f>
        <v/>
      </c>
    </row>
    <row r="724">
      <c r="A724" s="11" t="n"/>
      <c r="B724" s="12" t="n"/>
      <c r="C724" s="12" t="n"/>
      <c r="D724" s="12" t="n"/>
      <c r="E724" s="13" t="n"/>
      <c r="F724" s="12" t="n"/>
      <c r="G724" s="13" t="n"/>
      <c r="H724" s="12" t="n"/>
      <c r="I724" s="12" t="n"/>
      <c r="J724" s="12" t="n"/>
      <c r="K724" s="12" t="n"/>
      <c r="L724" s="11" t="n"/>
      <c r="M724" s="11" t="n"/>
      <c r="N724" s="11" t="n"/>
      <c r="O724" s="11" t="n"/>
      <c r="P724" s="12" t="n"/>
      <c r="Q724" s="11" t="n"/>
      <c r="R724" s="12" t="n"/>
      <c r="S724" s="11" t="n"/>
      <c r="T724" s="12" t="n"/>
      <c r="U724" s="12" t="n"/>
      <c r="V724" s="12" t="n"/>
      <c r="W724" s="13" t="n"/>
      <c r="X724" s="14">
        <f>IF($AP724="",IF($B724="","",$H724),IF(INDEX(職員マスタ!$B$6:$B$405,$AP724)="",$H724,INDEX(職員マスタ!$B$6:$B$405,$AP724)))</f>
        <v/>
      </c>
      <c r="Y724" s="14">
        <f>IF($AP724="",IF($B724="","",$R724),IF(INDEX(職員マスタ!$C$6:$C$405,$AP724)="",$R724,INDEX(職員マスタ!$C$6:$C$405,$AP724)))</f>
        <v/>
      </c>
      <c r="Z724" s="14">
        <f>IF($AQ724="","","R"&amp;$C724&amp;"."&amp;$D724)</f>
        <v/>
      </c>
      <c r="AA724" s="15">
        <f>IF(IF($AP724="",FALSE,INDEX(職員マスタ!$K$6:$K$405,$AP724)&lt;&gt;""),INDEX(職員マスタ!$K$6:$K$405,$AP724),IF(N($W724)&gt;0,$W724,""))</f>
        <v/>
      </c>
      <c r="AB724" s="14">
        <f>IF(OR($E724="",$AA724=""),"",IF($E724&gt;=$AA724,"×",IF($E724&gt;=$AA724*設定!$C$5,"△","○")))</f>
        <v/>
      </c>
      <c r="AC724" s="15">
        <f>IF($AB724="","",IF($AB724="×",0,IF($AB724="○",ROUNDDOWN($E724*設定!$C$4,0),ROUNDDOWN($E724*ROUND((9*$AA724-9*$E724)/(10*$E724),4),0))))</f>
        <v/>
      </c>
      <c r="AD724" s="13" t="n"/>
      <c r="AE724" s="15">
        <f>IF($B724="","",IF($AD724&lt;&gt;"",$AD724,IF($AC724="","",IF($AC724&lt;=設定!$C$3,0,$AC724))))</f>
        <v/>
      </c>
      <c r="AF724" s="14">
        <f>IF($B724="","",IF(AND($AG724&lt;&gt;"",$AI724="",$AL724=""),"保留中",IF($AL724&lt;&gt;"",IF(N($AE724)&gt;0,"支給済","不支給"),IF($AE724="","要確認",IF($AE724=0,"不支給","未処理")))))</f>
        <v/>
      </c>
      <c r="AG724" s="12" t="n"/>
      <c r="AH724" s="11" t="n"/>
      <c r="AI724" s="11" t="n"/>
      <c r="AJ724" s="11" t="n"/>
      <c r="AK724" s="14">
        <f>IF(AND($AF724="保留中",$AH724&lt;&gt;""),TODAY()-$AH724,"")</f>
        <v/>
      </c>
      <c r="AL724" s="12" t="n"/>
      <c r="AM724" s="14">
        <f>IF($B724="","",IF($AQ724="","対象年月が未入力／","")&amp;IF($B724="","",IF($AP724="","職員マスタに未登録の職員番号／",IF($AA724="","標準報酬月額が未登録／","")&amp;IF(AND($AQ724&lt;&gt;"",OR(AND(INDEX(職員マスタ!$G$6:$G$405,$AP724)&lt;&gt;"",INDEX(職員マスタ!$G$6:$G$405,$AP724)&gt;EOMONTH($AQ724,0)),AND(INDEX(職員マスタ!$H$6:$H$405,$AP724)&lt;&gt;"",INDEX(職員マスタ!$H$6:$H$405,$AP724)&lt;$AQ724))),"対象月が時短期間外／","")&amp;IF(AND(INDEX(職員マスタ!$K$6:$K$405,$AP724)&lt;&gt;"",N($W724)&gt;0,INDEX(職員マスタ!$K$6:$K$405,$AP724)&lt;&gt;$W724),"標準報酬月額が申請書と相違（台帳"&amp;TEXT(INDEX(職員マスタ!$K$6:$K$405,$AP724),"#,##0")&amp;"円／申請書"&amp;TEXT($W724,"#,##0")&amp;"円）／","")&amp;IF(AND(INDEX(職員マスタ!$F$6:$F$405,$AP724)&lt;&gt;"",$AQ724&lt;&gt;"",INDEX(職員マスタ!$F$6:$F$405,$AP724)&lt;$AQ724),"対象月に子が2歳到達済／","")&amp;IF(AND($H724&lt;&gt;"",INDEX(職員マスタ!$B$6:$B$405,$AP724)&lt;&gt;"",SUBSTITUTE(SUBSTITUTE($H724," ","")," ","")&lt;&gt;SUBSTITUTE(SUBSTITUTE(INDEX(職員マスタ!$B$6:$B$405,$AP724)," ","")," ","")),"氏名がマスタと相違／","")&amp;IF(AND($Q724&lt;&gt;"",INDEX(職員マスタ!$E$6:$E$405,$AP724)&lt;&gt;"",$Q724&lt;&gt;INDEX(職員マスタ!$E$6:$E$405,$AP724)),"子の生年月日がマスタと相違／","")&amp;IF(AND($L724&lt;&gt;"",INDEX(職員マスタ!$G$6:$G$405,$AP724)&lt;&gt;"",$L724&lt;&gt;INDEX(職員マスタ!$G$6:$G$405,$AP724)),"時短開始日がマスタと相違／","")&amp;IF(AND($M724&lt;&gt;"",INDEX(職員マスタ!$H$6:$H$405,$AP724)&lt;&gt;"",$M724&lt;&gt;INDEX(職員マスタ!$H$6:$H$405,$AP724)),"時短終了日がマスタと相違／","")))&amp;IF(AND($B724&lt;&gt;"",$E724=""),"報酬額が未入力／","")&amp;IF(N($U724)&gt;0,"申請書に入力エラーが残っています／","")&amp;IF(AND($B724&lt;&gt;"",$AQ724&lt;&gt;""),IF(COUNTIFS($B$6:$B$3005,$B724,$C$6:$C$3005,$C724,$D$6:$D$3005,$D724)&gt;1,"同じ月の請求が重複しています／",""),"")&amp;IF(AND(N($E724)&gt;0,$AB724&lt;&gt;"",$AB724&lt;&gt;"×",$AE724=0,$AD724=""),"計算額が下限以下のため不支給／",""))</f>
        <v/>
      </c>
      <c r="AN724" s="12" t="n"/>
      <c r="AO724" s="14">
        <f>IF($AF724="保留中",COUNTIF($AF$6:$AF724,"保留中"),"")</f>
        <v/>
      </c>
      <c r="AP724" s="14">
        <f>IF($AQ724="","",IF(SUMPRODUCT(MAX((職員マスタ!$A$6:$A$405=$B724)*(((職員マスタ!$G$6:$G$405="")+(職員マスタ!$G$6:$G$405&lt;=EOMONTH($AQ724,0)))&gt;0)*(((職員マスタ!$H$6:$H$405="")+(職員マスタ!$H$6:$H$405&gt;=$AQ724))&gt;0)*(ROW(職員マスタ!$A$6:$A$405)-5)))&gt;0,SUMPRODUCT(MAX((職員マスタ!$A$6:$A$405=$B724)*(((職員マスタ!$G$6:$G$405="")+(職員マスタ!$G$6:$G$405&lt;=EOMONTH($AQ724,0)))&gt;0)*(((職員マスタ!$H$6:$H$405="")+(職員マスタ!$H$6:$H$405&gt;=$AQ724))&gt;0)*(ROW(職員マスタ!$A$6:$A$405)-5))),IFERROR(MATCH($B724,職員マスタ!$A$6:$A$405,0),"")))</f>
        <v/>
      </c>
      <c r="AQ724" s="16">
        <f>IF(OR($B724="",$C724="",$D724=""),"",DATE($C724+2018,$D724,1))</f>
        <v/>
      </c>
    </row>
    <row r="725">
      <c r="A725" s="11" t="n"/>
      <c r="B725" s="12" t="n"/>
      <c r="C725" s="12" t="n"/>
      <c r="D725" s="12" t="n"/>
      <c r="E725" s="13" t="n"/>
      <c r="F725" s="12" t="n"/>
      <c r="G725" s="13" t="n"/>
      <c r="H725" s="12" t="n"/>
      <c r="I725" s="12" t="n"/>
      <c r="J725" s="12" t="n"/>
      <c r="K725" s="12" t="n"/>
      <c r="L725" s="11" t="n"/>
      <c r="M725" s="11" t="n"/>
      <c r="N725" s="11" t="n"/>
      <c r="O725" s="11" t="n"/>
      <c r="P725" s="12" t="n"/>
      <c r="Q725" s="11" t="n"/>
      <c r="R725" s="12" t="n"/>
      <c r="S725" s="11" t="n"/>
      <c r="T725" s="12" t="n"/>
      <c r="U725" s="12" t="n"/>
      <c r="V725" s="12" t="n"/>
      <c r="W725" s="13" t="n"/>
      <c r="X725" s="14">
        <f>IF($AP725="",IF($B725="","",$H725),IF(INDEX(職員マスタ!$B$6:$B$405,$AP725)="",$H725,INDEX(職員マスタ!$B$6:$B$405,$AP725)))</f>
        <v/>
      </c>
      <c r="Y725" s="14">
        <f>IF($AP725="",IF($B725="","",$R725),IF(INDEX(職員マスタ!$C$6:$C$405,$AP725)="",$R725,INDEX(職員マスタ!$C$6:$C$405,$AP725)))</f>
        <v/>
      </c>
      <c r="Z725" s="14">
        <f>IF($AQ725="","","R"&amp;$C725&amp;"."&amp;$D725)</f>
        <v/>
      </c>
      <c r="AA725" s="15">
        <f>IF(IF($AP725="",FALSE,INDEX(職員マスタ!$K$6:$K$405,$AP725)&lt;&gt;""),INDEX(職員マスタ!$K$6:$K$405,$AP725),IF(N($W725)&gt;0,$W725,""))</f>
        <v/>
      </c>
      <c r="AB725" s="14">
        <f>IF(OR($E725="",$AA725=""),"",IF($E725&gt;=$AA725,"×",IF($E725&gt;=$AA725*設定!$C$5,"△","○")))</f>
        <v/>
      </c>
      <c r="AC725" s="15">
        <f>IF($AB725="","",IF($AB725="×",0,IF($AB725="○",ROUNDDOWN($E725*設定!$C$4,0),ROUNDDOWN($E725*ROUND((9*$AA725-9*$E725)/(10*$E725),4),0))))</f>
        <v/>
      </c>
      <c r="AD725" s="13" t="n"/>
      <c r="AE725" s="15">
        <f>IF($B725="","",IF($AD725&lt;&gt;"",$AD725,IF($AC725="","",IF($AC725&lt;=設定!$C$3,0,$AC725))))</f>
        <v/>
      </c>
      <c r="AF725" s="14">
        <f>IF($B725="","",IF(AND($AG725&lt;&gt;"",$AI725="",$AL725=""),"保留中",IF($AL725&lt;&gt;"",IF(N($AE725)&gt;0,"支給済","不支給"),IF($AE725="","要確認",IF($AE725=0,"不支給","未処理")))))</f>
        <v/>
      </c>
      <c r="AG725" s="12" t="n"/>
      <c r="AH725" s="11" t="n"/>
      <c r="AI725" s="11" t="n"/>
      <c r="AJ725" s="11" t="n"/>
      <c r="AK725" s="14">
        <f>IF(AND($AF725="保留中",$AH725&lt;&gt;""),TODAY()-$AH725,"")</f>
        <v/>
      </c>
      <c r="AL725" s="12" t="n"/>
      <c r="AM725" s="14">
        <f>IF($B725="","",IF($AQ725="","対象年月が未入力／","")&amp;IF($B725="","",IF($AP725="","職員マスタに未登録の職員番号／",IF($AA725="","標準報酬月額が未登録／","")&amp;IF(AND($AQ725&lt;&gt;"",OR(AND(INDEX(職員マスタ!$G$6:$G$405,$AP725)&lt;&gt;"",INDEX(職員マスタ!$G$6:$G$405,$AP725)&gt;EOMONTH($AQ725,0)),AND(INDEX(職員マスタ!$H$6:$H$405,$AP725)&lt;&gt;"",INDEX(職員マスタ!$H$6:$H$405,$AP725)&lt;$AQ725))),"対象月が時短期間外／","")&amp;IF(AND(INDEX(職員マスタ!$K$6:$K$405,$AP725)&lt;&gt;"",N($W725)&gt;0,INDEX(職員マスタ!$K$6:$K$405,$AP725)&lt;&gt;$W725),"標準報酬月額が申請書と相違（台帳"&amp;TEXT(INDEX(職員マスタ!$K$6:$K$405,$AP725),"#,##0")&amp;"円／申請書"&amp;TEXT($W725,"#,##0")&amp;"円）／","")&amp;IF(AND(INDEX(職員マスタ!$F$6:$F$405,$AP725)&lt;&gt;"",$AQ725&lt;&gt;"",INDEX(職員マスタ!$F$6:$F$405,$AP725)&lt;$AQ725),"対象月に子が2歳到達済／","")&amp;IF(AND($H725&lt;&gt;"",INDEX(職員マスタ!$B$6:$B$405,$AP725)&lt;&gt;"",SUBSTITUTE(SUBSTITUTE($H725," ","")," ","")&lt;&gt;SUBSTITUTE(SUBSTITUTE(INDEX(職員マスタ!$B$6:$B$405,$AP725)," ","")," ","")),"氏名がマスタと相違／","")&amp;IF(AND($Q725&lt;&gt;"",INDEX(職員マスタ!$E$6:$E$405,$AP725)&lt;&gt;"",$Q725&lt;&gt;INDEX(職員マスタ!$E$6:$E$405,$AP725)),"子の生年月日がマスタと相違／","")&amp;IF(AND($L725&lt;&gt;"",INDEX(職員マスタ!$G$6:$G$405,$AP725)&lt;&gt;"",$L725&lt;&gt;INDEX(職員マスタ!$G$6:$G$405,$AP725)),"時短開始日がマスタと相違／","")&amp;IF(AND($M725&lt;&gt;"",INDEX(職員マスタ!$H$6:$H$405,$AP725)&lt;&gt;"",$M725&lt;&gt;INDEX(職員マスタ!$H$6:$H$405,$AP725)),"時短終了日がマスタと相違／","")))&amp;IF(AND($B725&lt;&gt;"",$E725=""),"報酬額が未入力／","")&amp;IF(N($U725)&gt;0,"申請書に入力エラーが残っています／","")&amp;IF(AND($B725&lt;&gt;"",$AQ725&lt;&gt;""),IF(COUNTIFS($B$6:$B$3005,$B725,$C$6:$C$3005,$C725,$D$6:$D$3005,$D725)&gt;1,"同じ月の請求が重複しています／",""),"")&amp;IF(AND(N($E725)&gt;0,$AB725&lt;&gt;"",$AB725&lt;&gt;"×",$AE725=0,$AD725=""),"計算額が下限以下のため不支給／",""))</f>
        <v/>
      </c>
      <c r="AN725" s="12" t="n"/>
      <c r="AO725" s="14">
        <f>IF($AF725="保留中",COUNTIF($AF$6:$AF725,"保留中"),"")</f>
        <v/>
      </c>
      <c r="AP725" s="14">
        <f>IF($AQ725="","",IF(SUMPRODUCT(MAX((職員マスタ!$A$6:$A$405=$B725)*(((職員マスタ!$G$6:$G$405="")+(職員マスタ!$G$6:$G$405&lt;=EOMONTH($AQ725,0)))&gt;0)*(((職員マスタ!$H$6:$H$405="")+(職員マスタ!$H$6:$H$405&gt;=$AQ725))&gt;0)*(ROW(職員マスタ!$A$6:$A$405)-5)))&gt;0,SUMPRODUCT(MAX((職員マスタ!$A$6:$A$405=$B725)*(((職員マスタ!$G$6:$G$405="")+(職員マスタ!$G$6:$G$405&lt;=EOMONTH($AQ725,0)))&gt;0)*(((職員マスタ!$H$6:$H$405="")+(職員マスタ!$H$6:$H$405&gt;=$AQ725))&gt;0)*(ROW(職員マスタ!$A$6:$A$405)-5))),IFERROR(MATCH($B725,職員マスタ!$A$6:$A$405,0),"")))</f>
        <v/>
      </c>
      <c r="AQ725" s="16">
        <f>IF(OR($B725="",$C725="",$D725=""),"",DATE($C725+2018,$D725,1))</f>
        <v/>
      </c>
    </row>
    <row r="726">
      <c r="A726" s="11" t="n"/>
      <c r="B726" s="12" t="n"/>
      <c r="C726" s="12" t="n"/>
      <c r="D726" s="12" t="n"/>
      <c r="E726" s="13" t="n"/>
      <c r="F726" s="12" t="n"/>
      <c r="G726" s="13" t="n"/>
      <c r="H726" s="12" t="n"/>
      <c r="I726" s="12" t="n"/>
      <c r="J726" s="12" t="n"/>
      <c r="K726" s="12" t="n"/>
      <c r="L726" s="11" t="n"/>
      <c r="M726" s="11" t="n"/>
      <c r="N726" s="11" t="n"/>
      <c r="O726" s="11" t="n"/>
      <c r="P726" s="12" t="n"/>
      <c r="Q726" s="11" t="n"/>
      <c r="R726" s="12" t="n"/>
      <c r="S726" s="11" t="n"/>
      <c r="T726" s="12" t="n"/>
      <c r="U726" s="12" t="n"/>
      <c r="V726" s="12" t="n"/>
      <c r="W726" s="13" t="n"/>
      <c r="X726" s="14">
        <f>IF($AP726="",IF($B726="","",$H726),IF(INDEX(職員マスタ!$B$6:$B$405,$AP726)="",$H726,INDEX(職員マスタ!$B$6:$B$405,$AP726)))</f>
        <v/>
      </c>
      <c r="Y726" s="14">
        <f>IF($AP726="",IF($B726="","",$R726),IF(INDEX(職員マスタ!$C$6:$C$405,$AP726)="",$R726,INDEX(職員マスタ!$C$6:$C$405,$AP726)))</f>
        <v/>
      </c>
      <c r="Z726" s="14">
        <f>IF($AQ726="","","R"&amp;$C726&amp;"."&amp;$D726)</f>
        <v/>
      </c>
      <c r="AA726" s="15">
        <f>IF(IF($AP726="",FALSE,INDEX(職員マスタ!$K$6:$K$405,$AP726)&lt;&gt;""),INDEX(職員マスタ!$K$6:$K$405,$AP726),IF(N($W726)&gt;0,$W726,""))</f>
        <v/>
      </c>
      <c r="AB726" s="14">
        <f>IF(OR($E726="",$AA726=""),"",IF($E726&gt;=$AA726,"×",IF($E726&gt;=$AA726*設定!$C$5,"△","○")))</f>
        <v/>
      </c>
      <c r="AC726" s="15">
        <f>IF($AB726="","",IF($AB726="×",0,IF($AB726="○",ROUNDDOWN($E726*設定!$C$4,0),ROUNDDOWN($E726*ROUND((9*$AA726-9*$E726)/(10*$E726),4),0))))</f>
        <v/>
      </c>
      <c r="AD726" s="13" t="n"/>
      <c r="AE726" s="15">
        <f>IF($B726="","",IF($AD726&lt;&gt;"",$AD726,IF($AC726="","",IF($AC726&lt;=設定!$C$3,0,$AC726))))</f>
        <v/>
      </c>
      <c r="AF726" s="14">
        <f>IF($B726="","",IF(AND($AG726&lt;&gt;"",$AI726="",$AL726=""),"保留中",IF($AL726&lt;&gt;"",IF(N($AE726)&gt;0,"支給済","不支給"),IF($AE726="","要確認",IF($AE726=0,"不支給","未処理")))))</f>
        <v/>
      </c>
      <c r="AG726" s="12" t="n"/>
      <c r="AH726" s="11" t="n"/>
      <c r="AI726" s="11" t="n"/>
      <c r="AJ726" s="11" t="n"/>
      <c r="AK726" s="14">
        <f>IF(AND($AF726="保留中",$AH726&lt;&gt;""),TODAY()-$AH726,"")</f>
        <v/>
      </c>
      <c r="AL726" s="12" t="n"/>
      <c r="AM726" s="14">
        <f>IF($B726="","",IF($AQ726="","対象年月が未入力／","")&amp;IF($B726="","",IF($AP726="","職員マスタに未登録の職員番号／",IF($AA726="","標準報酬月額が未登録／","")&amp;IF(AND($AQ726&lt;&gt;"",OR(AND(INDEX(職員マスタ!$G$6:$G$405,$AP726)&lt;&gt;"",INDEX(職員マスタ!$G$6:$G$405,$AP726)&gt;EOMONTH($AQ726,0)),AND(INDEX(職員マスタ!$H$6:$H$405,$AP726)&lt;&gt;"",INDEX(職員マスタ!$H$6:$H$405,$AP726)&lt;$AQ726))),"対象月が時短期間外／","")&amp;IF(AND(INDEX(職員マスタ!$K$6:$K$405,$AP726)&lt;&gt;"",N($W726)&gt;0,INDEX(職員マスタ!$K$6:$K$405,$AP726)&lt;&gt;$W726),"標準報酬月額が申請書と相違（台帳"&amp;TEXT(INDEX(職員マスタ!$K$6:$K$405,$AP726),"#,##0")&amp;"円／申請書"&amp;TEXT($W726,"#,##0")&amp;"円）／","")&amp;IF(AND(INDEX(職員マスタ!$F$6:$F$405,$AP726)&lt;&gt;"",$AQ726&lt;&gt;"",INDEX(職員マスタ!$F$6:$F$405,$AP726)&lt;$AQ726),"対象月に子が2歳到達済／","")&amp;IF(AND($H726&lt;&gt;"",INDEX(職員マスタ!$B$6:$B$405,$AP726)&lt;&gt;"",SUBSTITUTE(SUBSTITUTE($H726," ","")," ","")&lt;&gt;SUBSTITUTE(SUBSTITUTE(INDEX(職員マスタ!$B$6:$B$405,$AP726)," ","")," ","")),"氏名がマスタと相違／","")&amp;IF(AND($Q726&lt;&gt;"",INDEX(職員マスタ!$E$6:$E$405,$AP726)&lt;&gt;"",$Q726&lt;&gt;INDEX(職員マスタ!$E$6:$E$405,$AP726)),"子の生年月日がマスタと相違／","")&amp;IF(AND($L726&lt;&gt;"",INDEX(職員マスタ!$G$6:$G$405,$AP726)&lt;&gt;"",$L726&lt;&gt;INDEX(職員マスタ!$G$6:$G$405,$AP726)),"時短開始日がマスタと相違／","")&amp;IF(AND($M726&lt;&gt;"",INDEX(職員マスタ!$H$6:$H$405,$AP726)&lt;&gt;"",$M726&lt;&gt;INDEX(職員マスタ!$H$6:$H$405,$AP726)),"時短終了日がマスタと相違／","")))&amp;IF(AND($B726&lt;&gt;"",$E726=""),"報酬額が未入力／","")&amp;IF(N($U726)&gt;0,"申請書に入力エラーが残っています／","")&amp;IF(AND($B726&lt;&gt;"",$AQ726&lt;&gt;""),IF(COUNTIFS($B$6:$B$3005,$B726,$C$6:$C$3005,$C726,$D$6:$D$3005,$D726)&gt;1,"同じ月の請求が重複しています／",""),"")&amp;IF(AND(N($E726)&gt;0,$AB726&lt;&gt;"",$AB726&lt;&gt;"×",$AE726=0,$AD726=""),"計算額が下限以下のため不支給／",""))</f>
        <v/>
      </c>
      <c r="AN726" s="12" t="n"/>
      <c r="AO726" s="14">
        <f>IF($AF726="保留中",COUNTIF($AF$6:$AF726,"保留中"),"")</f>
        <v/>
      </c>
      <c r="AP726" s="14">
        <f>IF($AQ726="","",IF(SUMPRODUCT(MAX((職員マスタ!$A$6:$A$405=$B726)*(((職員マスタ!$G$6:$G$405="")+(職員マスタ!$G$6:$G$405&lt;=EOMONTH($AQ726,0)))&gt;0)*(((職員マスタ!$H$6:$H$405="")+(職員マスタ!$H$6:$H$405&gt;=$AQ726))&gt;0)*(ROW(職員マスタ!$A$6:$A$405)-5)))&gt;0,SUMPRODUCT(MAX((職員マスタ!$A$6:$A$405=$B726)*(((職員マスタ!$G$6:$G$405="")+(職員マスタ!$G$6:$G$405&lt;=EOMONTH($AQ726,0)))&gt;0)*(((職員マスタ!$H$6:$H$405="")+(職員マスタ!$H$6:$H$405&gt;=$AQ726))&gt;0)*(ROW(職員マスタ!$A$6:$A$405)-5))),IFERROR(MATCH($B726,職員マスタ!$A$6:$A$405,0),"")))</f>
        <v/>
      </c>
      <c r="AQ726" s="16">
        <f>IF(OR($B726="",$C726="",$D726=""),"",DATE($C726+2018,$D726,1))</f>
        <v/>
      </c>
    </row>
    <row r="727">
      <c r="A727" s="11" t="n"/>
      <c r="B727" s="12" t="n"/>
      <c r="C727" s="12" t="n"/>
      <c r="D727" s="12" t="n"/>
      <c r="E727" s="13" t="n"/>
      <c r="F727" s="12" t="n"/>
      <c r="G727" s="13" t="n"/>
      <c r="H727" s="12" t="n"/>
      <c r="I727" s="12" t="n"/>
      <c r="J727" s="12" t="n"/>
      <c r="K727" s="12" t="n"/>
      <c r="L727" s="11" t="n"/>
      <c r="M727" s="11" t="n"/>
      <c r="N727" s="11" t="n"/>
      <c r="O727" s="11" t="n"/>
      <c r="P727" s="12" t="n"/>
      <c r="Q727" s="11" t="n"/>
      <c r="R727" s="12" t="n"/>
      <c r="S727" s="11" t="n"/>
      <c r="T727" s="12" t="n"/>
      <c r="U727" s="12" t="n"/>
      <c r="V727" s="12" t="n"/>
      <c r="W727" s="13" t="n"/>
      <c r="X727" s="14">
        <f>IF($AP727="",IF($B727="","",$H727),IF(INDEX(職員マスタ!$B$6:$B$405,$AP727)="",$H727,INDEX(職員マスタ!$B$6:$B$405,$AP727)))</f>
        <v/>
      </c>
      <c r="Y727" s="14">
        <f>IF($AP727="",IF($B727="","",$R727),IF(INDEX(職員マスタ!$C$6:$C$405,$AP727)="",$R727,INDEX(職員マスタ!$C$6:$C$405,$AP727)))</f>
        <v/>
      </c>
      <c r="Z727" s="14">
        <f>IF($AQ727="","","R"&amp;$C727&amp;"."&amp;$D727)</f>
        <v/>
      </c>
      <c r="AA727" s="15">
        <f>IF(IF($AP727="",FALSE,INDEX(職員マスタ!$K$6:$K$405,$AP727)&lt;&gt;""),INDEX(職員マスタ!$K$6:$K$405,$AP727),IF(N($W727)&gt;0,$W727,""))</f>
        <v/>
      </c>
      <c r="AB727" s="14">
        <f>IF(OR($E727="",$AA727=""),"",IF($E727&gt;=$AA727,"×",IF($E727&gt;=$AA727*設定!$C$5,"△","○")))</f>
        <v/>
      </c>
      <c r="AC727" s="15">
        <f>IF($AB727="","",IF($AB727="×",0,IF($AB727="○",ROUNDDOWN($E727*設定!$C$4,0),ROUNDDOWN($E727*ROUND((9*$AA727-9*$E727)/(10*$E727),4),0))))</f>
        <v/>
      </c>
      <c r="AD727" s="13" t="n"/>
      <c r="AE727" s="15">
        <f>IF($B727="","",IF($AD727&lt;&gt;"",$AD727,IF($AC727="","",IF($AC727&lt;=設定!$C$3,0,$AC727))))</f>
        <v/>
      </c>
      <c r="AF727" s="14">
        <f>IF($B727="","",IF(AND($AG727&lt;&gt;"",$AI727="",$AL727=""),"保留中",IF($AL727&lt;&gt;"",IF(N($AE727)&gt;0,"支給済","不支給"),IF($AE727="","要確認",IF($AE727=0,"不支給","未処理")))))</f>
        <v/>
      </c>
      <c r="AG727" s="12" t="n"/>
      <c r="AH727" s="11" t="n"/>
      <c r="AI727" s="11" t="n"/>
      <c r="AJ727" s="11" t="n"/>
      <c r="AK727" s="14">
        <f>IF(AND($AF727="保留中",$AH727&lt;&gt;""),TODAY()-$AH727,"")</f>
        <v/>
      </c>
      <c r="AL727" s="12" t="n"/>
      <c r="AM727" s="14">
        <f>IF($B727="","",IF($AQ727="","対象年月が未入力／","")&amp;IF($B727="","",IF($AP727="","職員マスタに未登録の職員番号／",IF($AA727="","標準報酬月額が未登録／","")&amp;IF(AND($AQ727&lt;&gt;"",OR(AND(INDEX(職員マスタ!$G$6:$G$405,$AP727)&lt;&gt;"",INDEX(職員マスタ!$G$6:$G$405,$AP727)&gt;EOMONTH($AQ727,0)),AND(INDEX(職員マスタ!$H$6:$H$405,$AP727)&lt;&gt;"",INDEX(職員マスタ!$H$6:$H$405,$AP727)&lt;$AQ727))),"対象月が時短期間外／","")&amp;IF(AND(INDEX(職員マスタ!$K$6:$K$405,$AP727)&lt;&gt;"",N($W727)&gt;0,INDEX(職員マスタ!$K$6:$K$405,$AP727)&lt;&gt;$W727),"標準報酬月額が申請書と相違（台帳"&amp;TEXT(INDEX(職員マスタ!$K$6:$K$405,$AP727),"#,##0")&amp;"円／申請書"&amp;TEXT($W727,"#,##0")&amp;"円）／","")&amp;IF(AND(INDEX(職員マスタ!$F$6:$F$405,$AP727)&lt;&gt;"",$AQ727&lt;&gt;"",INDEX(職員マスタ!$F$6:$F$405,$AP727)&lt;$AQ727),"対象月に子が2歳到達済／","")&amp;IF(AND($H727&lt;&gt;"",INDEX(職員マスタ!$B$6:$B$405,$AP727)&lt;&gt;"",SUBSTITUTE(SUBSTITUTE($H727," ","")," ","")&lt;&gt;SUBSTITUTE(SUBSTITUTE(INDEX(職員マスタ!$B$6:$B$405,$AP727)," ","")," ","")),"氏名がマスタと相違／","")&amp;IF(AND($Q727&lt;&gt;"",INDEX(職員マスタ!$E$6:$E$405,$AP727)&lt;&gt;"",$Q727&lt;&gt;INDEX(職員マスタ!$E$6:$E$405,$AP727)),"子の生年月日がマスタと相違／","")&amp;IF(AND($L727&lt;&gt;"",INDEX(職員マスタ!$G$6:$G$405,$AP727)&lt;&gt;"",$L727&lt;&gt;INDEX(職員マスタ!$G$6:$G$405,$AP727)),"時短開始日がマスタと相違／","")&amp;IF(AND($M727&lt;&gt;"",INDEX(職員マスタ!$H$6:$H$405,$AP727)&lt;&gt;"",$M727&lt;&gt;INDEX(職員マスタ!$H$6:$H$405,$AP727)),"時短終了日がマスタと相違／","")))&amp;IF(AND($B727&lt;&gt;"",$E727=""),"報酬額が未入力／","")&amp;IF(N($U727)&gt;0,"申請書に入力エラーが残っています／","")&amp;IF(AND($B727&lt;&gt;"",$AQ727&lt;&gt;""),IF(COUNTIFS($B$6:$B$3005,$B727,$C$6:$C$3005,$C727,$D$6:$D$3005,$D727)&gt;1,"同じ月の請求が重複しています／",""),"")&amp;IF(AND(N($E727)&gt;0,$AB727&lt;&gt;"",$AB727&lt;&gt;"×",$AE727=0,$AD727=""),"計算額が下限以下のため不支給／",""))</f>
        <v/>
      </c>
      <c r="AN727" s="12" t="n"/>
      <c r="AO727" s="14">
        <f>IF($AF727="保留中",COUNTIF($AF$6:$AF727,"保留中"),"")</f>
        <v/>
      </c>
      <c r="AP727" s="14">
        <f>IF($AQ727="","",IF(SUMPRODUCT(MAX((職員マスタ!$A$6:$A$405=$B727)*(((職員マスタ!$G$6:$G$405="")+(職員マスタ!$G$6:$G$405&lt;=EOMONTH($AQ727,0)))&gt;0)*(((職員マスタ!$H$6:$H$405="")+(職員マスタ!$H$6:$H$405&gt;=$AQ727))&gt;0)*(ROW(職員マスタ!$A$6:$A$405)-5)))&gt;0,SUMPRODUCT(MAX((職員マスタ!$A$6:$A$405=$B727)*(((職員マスタ!$G$6:$G$405="")+(職員マスタ!$G$6:$G$405&lt;=EOMONTH($AQ727,0)))&gt;0)*(((職員マスタ!$H$6:$H$405="")+(職員マスタ!$H$6:$H$405&gt;=$AQ727))&gt;0)*(ROW(職員マスタ!$A$6:$A$405)-5))),IFERROR(MATCH($B727,職員マスタ!$A$6:$A$405,0),"")))</f>
        <v/>
      </c>
      <c r="AQ727" s="16">
        <f>IF(OR($B727="",$C727="",$D727=""),"",DATE($C727+2018,$D727,1))</f>
        <v/>
      </c>
    </row>
    <row r="728">
      <c r="A728" s="11" t="n"/>
      <c r="B728" s="12" t="n"/>
      <c r="C728" s="12" t="n"/>
      <c r="D728" s="12" t="n"/>
      <c r="E728" s="13" t="n"/>
      <c r="F728" s="12" t="n"/>
      <c r="G728" s="13" t="n"/>
      <c r="H728" s="12" t="n"/>
      <c r="I728" s="12" t="n"/>
      <c r="J728" s="12" t="n"/>
      <c r="K728" s="12" t="n"/>
      <c r="L728" s="11" t="n"/>
      <c r="M728" s="11" t="n"/>
      <c r="N728" s="11" t="n"/>
      <c r="O728" s="11" t="n"/>
      <c r="P728" s="12" t="n"/>
      <c r="Q728" s="11" t="n"/>
      <c r="R728" s="12" t="n"/>
      <c r="S728" s="11" t="n"/>
      <c r="T728" s="12" t="n"/>
      <c r="U728" s="12" t="n"/>
      <c r="V728" s="12" t="n"/>
      <c r="W728" s="13" t="n"/>
      <c r="X728" s="14">
        <f>IF($AP728="",IF($B728="","",$H728),IF(INDEX(職員マスタ!$B$6:$B$405,$AP728)="",$H728,INDEX(職員マスタ!$B$6:$B$405,$AP728)))</f>
        <v/>
      </c>
      <c r="Y728" s="14">
        <f>IF($AP728="",IF($B728="","",$R728),IF(INDEX(職員マスタ!$C$6:$C$405,$AP728)="",$R728,INDEX(職員マスタ!$C$6:$C$405,$AP728)))</f>
        <v/>
      </c>
      <c r="Z728" s="14">
        <f>IF($AQ728="","","R"&amp;$C728&amp;"."&amp;$D728)</f>
        <v/>
      </c>
      <c r="AA728" s="15">
        <f>IF(IF($AP728="",FALSE,INDEX(職員マスタ!$K$6:$K$405,$AP728)&lt;&gt;""),INDEX(職員マスタ!$K$6:$K$405,$AP728),IF(N($W728)&gt;0,$W728,""))</f>
        <v/>
      </c>
      <c r="AB728" s="14">
        <f>IF(OR($E728="",$AA728=""),"",IF($E728&gt;=$AA728,"×",IF($E728&gt;=$AA728*設定!$C$5,"△","○")))</f>
        <v/>
      </c>
      <c r="AC728" s="15">
        <f>IF($AB728="","",IF($AB728="×",0,IF($AB728="○",ROUNDDOWN($E728*設定!$C$4,0),ROUNDDOWN($E728*ROUND((9*$AA728-9*$E728)/(10*$E728),4),0))))</f>
        <v/>
      </c>
      <c r="AD728" s="13" t="n"/>
      <c r="AE728" s="15">
        <f>IF($B728="","",IF($AD728&lt;&gt;"",$AD728,IF($AC728="","",IF($AC728&lt;=設定!$C$3,0,$AC728))))</f>
        <v/>
      </c>
      <c r="AF728" s="14">
        <f>IF($B728="","",IF(AND($AG728&lt;&gt;"",$AI728="",$AL728=""),"保留中",IF($AL728&lt;&gt;"",IF(N($AE728)&gt;0,"支給済","不支給"),IF($AE728="","要確認",IF($AE728=0,"不支給","未処理")))))</f>
        <v/>
      </c>
      <c r="AG728" s="12" t="n"/>
      <c r="AH728" s="11" t="n"/>
      <c r="AI728" s="11" t="n"/>
      <c r="AJ728" s="11" t="n"/>
      <c r="AK728" s="14">
        <f>IF(AND($AF728="保留中",$AH728&lt;&gt;""),TODAY()-$AH728,"")</f>
        <v/>
      </c>
      <c r="AL728" s="12" t="n"/>
      <c r="AM728" s="14">
        <f>IF($B728="","",IF($AQ728="","対象年月が未入力／","")&amp;IF($B728="","",IF($AP728="","職員マスタに未登録の職員番号／",IF($AA728="","標準報酬月額が未登録／","")&amp;IF(AND($AQ728&lt;&gt;"",OR(AND(INDEX(職員マスタ!$G$6:$G$405,$AP728)&lt;&gt;"",INDEX(職員マスタ!$G$6:$G$405,$AP728)&gt;EOMONTH($AQ728,0)),AND(INDEX(職員マスタ!$H$6:$H$405,$AP728)&lt;&gt;"",INDEX(職員マスタ!$H$6:$H$405,$AP728)&lt;$AQ728))),"対象月が時短期間外／","")&amp;IF(AND(INDEX(職員マスタ!$K$6:$K$405,$AP728)&lt;&gt;"",N($W728)&gt;0,INDEX(職員マスタ!$K$6:$K$405,$AP728)&lt;&gt;$W728),"標準報酬月額が申請書と相違（台帳"&amp;TEXT(INDEX(職員マスタ!$K$6:$K$405,$AP728),"#,##0")&amp;"円／申請書"&amp;TEXT($W728,"#,##0")&amp;"円）／","")&amp;IF(AND(INDEX(職員マスタ!$F$6:$F$405,$AP728)&lt;&gt;"",$AQ728&lt;&gt;"",INDEX(職員マスタ!$F$6:$F$405,$AP728)&lt;$AQ728),"対象月に子が2歳到達済／","")&amp;IF(AND($H728&lt;&gt;"",INDEX(職員マスタ!$B$6:$B$405,$AP728)&lt;&gt;"",SUBSTITUTE(SUBSTITUTE($H728," ","")," ","")&lt;&gt;SUBSTITUTE(SUBSTITUTE(INDEX(職員マスタ!$B$6:$B$405,$AP728)," ","")," ","")),"氏名がマスタと相違／","")&amp;IF(AND($Q728&lt;&gt;"",INDEX(職員マスタ!$E$6:$E$405,$AP728)&lt;&gt;"",$Q728&lt;&gt;INDEX(職員マスタ!$E$6:$E$405,$AP728)),"子の生年月日がマスタと相違／","")&amp;IF(AND($L728&lt;&gt;"",INDEX(職員マスタ!$G$6:$G$405,$AP728)&lt;&gt;"",$L728&lt;&gt;INDEX(職員マスタ!$G$6:$G$405,$AP728)),"時短開始日がマスタと相違／","")&amp;IF(AND($M728&lt;&gt;"",INDEX(職員マスタ!$H$6:$H$405,$AP728)&lt;&gt;"",$M728&lt;&gt;INDEX(職員マスタ!$H$6:$H$405,$AP728)),"時短終了日がマスタと相違／","")))&amp;IF(AND($B728&lt;&gt;"",$E728=""),"報酬額が未入力／","")&amp;IF(N($U728)&gt;0,"申請書に入力エラーが残っています／","")&amp;IF(AND($B728&lt;&gt;"",$AQ728&lt;&gt;""),IF(COUNTIFS($B$6:$B$3005,$B728,$C$6:$C$3005,$C728,$D$6:$D$3005,$D728)&gt;1,"同じ月の請求が重複しています／",""),"")&amp;IF(AND(N($E728)&gt;0,$AB728&lt;&gt;"",$AB728&lt;&gt;"×",$AE728=0,$AD728=""),"計算額が下限以下のため不支給／",""))</f>
        <v/>
      </c>
      <c r="AN728" s="12" t="n"/>
      <c r="AO728" s="14">
        <f>IF($AF728="保留中",COUNTIF($AF$6:$AF728,"保留中"),"")</f>
        <v/>
      </c>
      <c r="AP728" s="14">
        <f>IF($AQ728="","",IF(SUMPRODUCT(MAX((職員マスタ!$A$6:$A$405=$B728)*(((職員マスタ!$G$6:$G$405="")+(職員マスタ!$G$6:$G$405&lt;=EOMONTH($AQ728,0)))&gt;0)*(((職員マスタ!$H$6:$H$405="")+(職員マスタ!$H$6:$H$405&gt;=$AQ728))&gt;0)*(ROW(職員マスタ!$A$6:$A$405)-5)))&gt;0,SUMPRODUCT(MAX((職員マスタ!$A$6:$A$405=$B728)*(((職員マスタ!$G$6:$G$405="")+(職員マスタ!$G$6:$G$405&lt;=EOMONTH($AQ728,0)))&gt;0)*(((職員マスタ!$H$6:$H$405="")+(職員マスタ!$H$6:$H$405&gt;=$AQ728))&gt;0)*(ROW(職員マスタ!$A$6:$A$405)-5))),IFERROR(MATCH($B728,職員マスタ!$A$6:$A$405,0),"")))</f>
        <v/>
      </c>
      <c r="AQ728" s="16">
        <f>IF(OR($B728="",$C728="",$D728=""),"",DATE($C728+2018,$D728,1))</f>
        <v/>
      </c>
    </row>
    <row r="729">
      <c r="A729" s="11" t="n"/>
      <c r="B729" s="12" t="n"/>
      <c r="C729" s="12" t="n"/>
      <c r="D729" s="12" t="n"/>
      <c r="E729" s="13" t="n"/>
      <c r="F729" s="12" t="n"/>
      <c r="G729" s="13" t="n"/>
      <c r="H729" s="12" t="n"/>
      <c r="I729" s="12" t="n"/>
      <c r="J729" s="12" t="n"/>
      <c r="K729" s="12" t="n"/>
      <c r="L729" s="11" t="n"/>
      <c r="M729" s="11" t="n"/>
      <c r="N729" s="11" t="n"/>
      <c r="O729" s="11" t="n"/>
      <c r="P729" s="12" t="n"/>
      <c r="Q729" s="11" t="n"/>
      <c r="R729" s="12" t="n"/>
      <c r="S729" s="11" t="n"/>
      <c r="T729" s="12" t="n"/>
      <c r="U729" s="12" t="n"/>
      <c r="V729" s="12" t="n"/>
      <c r="W729" s="13" t="n"/>
      <c r="X729" s="14">
        <f>IF($AP729="",IF($B729="","",$H729),IF(INDEX(職員マスタ!$B$6:$B$405,$AP729)="",$H729,INDEX(職員マスタ!$B$6:$B$405,$AP729)))</f>
        <v/>
      </c>
      <c r="Y729" s="14">
        <f>IF($AP729="",IF($B729="","",$R729),IF(INDEX(職員マスタ!$C$6:$C$405,$AP729)="",$R729,INDEX(職員マスタ!$C$6:$C$405,$AP729)))</f>
        <v/>
      </c>
      <c r="Z729" s="14">
        <f>IF($AQ729="","","R"&amp;$C729&amp;"."&amp;$D729)</f>
        <v/>
      </c>
      <c r="AA729" s="15">
        <f>IF(IF($AP729="",FALSE,INDEX(職員マスタ!$K$6:$K$405,$AP729)&lt;&gt;""),INDEX(職員マスタ!$K$6:$K$405,$AP729),IF(N($W729)&gt;0,$W729,""))</f>
        <v/>
      </c>
      <c r="AB729" s="14">
        <f>IF(OR($E729="",$AA729=""),"",IF($E729&gt;=$AA729,"×",IF($E729&gt;=$AA729*設定!$C$5,"△","○")))</f>
        <v/>
      </c>
      <c r="AC729" s="15">
        <f>IF($AB729="","",IF($AB729="×",0,IF($AB729="○",ROUNDDOWN($E729*設定!$C$4,0),ROUNDDOWN($E729*ROUND((9*$AA729-9*$E729)/(10*$E729),4),0))))</f>
        <v/>
      </c>
      <c r="AD729" s="13" t="n"/>
      <c r="AE729" s="15">
        <f>IF($B729="","",IF($AD729&lt;&gt;"",$AD729,IF($AC729="","",IF($AC729&lt;=設定!$C$3,0,$AC729))))</f>
        <v/>
      </c>
      <c r="AF729" s="14">
        <f>IF($B729="","",IF(AND($AG729&lt;&gt;"",$AI729="",$AL729=""),"保留中",IF($AL729&lt;&gt;"",IF(N($AE729)&gt;0,"支給済","不支給"),IF($AE729="","要確認",IF($AE729=0,"不支給","未処理")))))</f>
        <v/>
      </c>
      <c r="AG729" s="12" t="n"/>
      <c r="AH729" s="11" t="n"/>
      <c r="AI729" s="11" t="n"/>
      <c r="AJ729" s="11" t="n"/>
      <c r="AK729" s="14">
        <f>IF(AND($AF729="保留中",$AH729&lt;&gt;""),TODAY()-$AH729,"")</f>
        <v/>
      </c>
      <c r="AL729" s="12" t="n"/>
      <c r="AM729" s="14">
        <f>IF($B729="","",IF($AQ729="","対象年月が未入力／","")&amp;IF($B729="","",IF($AP729="","職員マスタに未登録の職員番号／",IF($AA729="","標準報酬月額が未登録／","")&amp;IF(AND($AQ729&lt;&gt;"",OR(AND(INDEX(職員マスタ!$G$6:$G$405,$AP729)&lt;&gt;"",INDEX(職員マスタ!$G$6:$G$405,$AP729)&gt;EOMONTH($AQ729,0)),AND(INDEX(職員マスタ!$H$6:$H$405,$AP729)&lt;&gt;"",INDEX(職員マスタ!$H$6:$H$405,$AP729)&lt;$AQ729))),"対象月が時短期間外／","")&amp;IF(AND(INDEX(職員マスタ!$K$6:$K$405,$AP729)&lt;&gt;"",N($W729)&gt;0,INDEX(職員マスタ!$K$6:$K$405,$AP729)&lt;&gt;$W729),"標準報酬月額が申請書と相違（台帳"&amp;TEXT(INDEX(職員マスタ!$K$6:$K$405,$AP729),"#,##0")&amp;"円／申請書"&amp;TEXT($W729,"#,##0")&amp;"円）／","")&amp;IF(AND(INDEX(職員マスタ!$F$6:$F$405,$AP729)&lt;&gt;"",$AQ729&lt;&gt;"",INDEX(職員マスタ!$F$6:$F$405,$AP729)&lt;$AQ729),"対象月に子が2歳到達済／","")&amp;IF(AND($H729&lt;&gt;"",INDEX(職員マスタ!$B$6:$B$405,$AP729)&lt;&gt;"",SUBSTITUTE(SUBSTITUTE($H729," ","")," ","")&lt;&gt;SUBSTITUTE(SUBSTITUTE(INDEX(職員マスタ!$B$6:$B$405,$AP729)," ","")," ","")),"氏名がマスタと相違／","")&amp;IF(AND($Q729&lt;&gt;"",INDEX(職員マスタ!$E$6:$E$405,$AP729)&lt;&gt;"",$Q729&lt;&gt;INDEX(職員マスタ!$E$6:$E$405,$AP729)),"子の生年月日がマスタと相違／","")&amp;IF(AND($L729&lt;&gt;"",INDEX(職員マスタ!$G$6:$G$405,$AP729)&lt;&gt;"",$L729&lt;&gt;INDEX(職員マスタ!$G$6:$G$405,$AP729)),"時短開始日がマスタと相違／","")&amp;IF(AND($M729&lt;&gt;"",INDEX(職員マスタ!$H$6:$H$405,$AP729)&lt;&gt;"",$M729&lt;&gt;INDEX(職員マスタ!$H$6:$H$405,$AP729)),"時短終了日がマスタと相違／","")))&amp;IF(AND($B729&lt;&gt;"",$E729=""),"報酬額が未入力／","")&amp;IF(N($U729)&gt;0,"申請書に入力エラーが残っています／","")&amp;IF(AND($B729&lt;&gt;"",$AQ729&lt;&gt;""),IF(COUNTIFS($B$6:$B$3005,$B729,$C$6:$C$3005,$C729,$D$6:$D$3005,$D729)&gt;1,"同じ月の請求が重複しています／",""),"")&amp;IF(AND(N($E729)&gt;0,$AB729&lt;&gt;"",$AB729&lt;&gt;"×",$AE729=0,$AD729=""),"計算額が下限以下のため不支給／",""))</f>
        <v/>
      </c>
      <c r="AN729" s="12" t="n"/>
      <c r="AO729" s="14">
        <f>IF($AF729="保留中",COUNTIF($AF$6:$AF729,"保留中"),"")</f>
        <v/>
      </c>
      <c r="AP729" s="14">
        <f>IF($AQ729="","",IF(SUMPRODUCT(MAX((職員マスタ!$A$6:$A$405=$B729)*(((職員マスタ!$G$6:$G$405="")+(職員マスタ!$G$6:$G$405&lt;=EOMONTH($AQ729,0)))&gt;0)*(((職員マスタ!$H$6:$H$405="")+(職員マスタ!$H$6:$H$405&gt;=$AQ729))&gt;0)*(ROW(職員マスタ!$A$6:$A$405)-5)))&gt;0,SUMPRODUCT(MAX((職員マスタ!$A$6:$A$405=$B729)*(((職員マスタ!$G$6:$G$405="")+(職員マスタ!$G$6:$G$405&lt;=EOMONTH($AQ729,0)))&gt;0)*(((職員マスタ!$H$6:$H$405="")+(職員マスタ!$H$6:$H$405&gt;=$AQ729))&gt;0)*(ROW(職員マスタ!$A$6:$A$405)-5))),IFERROR(MATCH($B729,職員マスタ!$A$6:$A$405,0),"")))</f>
        <v/>
      </c>
      <c r="AQ729" s="16">
        <f>IF(OR($B729="",$C729="",$D729=""),"",DATE($C729+2018,$D729,1))</f>
        <v/>
      </c>
    </row>
    <row r="730">
      <c r="A730" s="11" t="n"/>
      <c r="B730" s="12" t="n"/>
      <c r="C730" s="12" t="n"/>
      <c r="D730" s="12" t="n"/>
      <c r="E730" s="13" t="n"/>
      <c r="F730" s="12" t="n"/>
      <c r="G730" s="13" t="n"/>
      <c r="H730" s="12" t="n"/>
      <c r="I730" s="12" t="n"/>
      <c r="J730" s="12" t="n"/>
      <c r="K730" s="12" t="n"/>
      <c r="L730" s="11" t="n"/>
      <c r="M730" s="11" t="n"/>
      <c r="N730" s="11" t="n"/>
      <c r="O730" s="11" t="n"/>
      <c r="P730" s="12" t="n"/>
      <c r="Q730" s="11" t="n"/>
      <c r="R730" s="12" t="n"/>
      <c r="S730" s="11" t="n"/>
      <c r="T730" s="12" t="n"/>
      <c r="U730" s="12" t="n"/>
      <c r="V730" s="12" t="n"/>
      <c r="W730" s="13" t="n"/>
      <c r="X730" s="14">
        <f>IF($AP730="",IF($B730="","",$H730),IF(INDEX(職員マスタ!$B$6:$B$405,$AP730)="",$H730,INDEX(職員マスタ!$B$6:$B$405,$AP730)))</f>
        <v/>
      </c>
      <c r="Y730" s="14">
        <f>IF($AP730="",IF($B730="","",$R730),IF(INDEX(職員マスタ!$C$6:$C$405,$AP730)="",$R730,INDEX(職員マスタ!$C$6:$C$405,$AP730)))</f>
        <v/>
      </c>
      <c r="Z730" s="14">
        <f>IF($AQ730="","","R"&amp;$C730&amp;"."&amp;$D730)</f>
        <v/>
      </c>
      <c r="AA730" s="15">
        <f>IF(IF($AP730="",FALSE,INDEX(職員マスタ!$K$6:$K$405,$AP730)&lt;&gt;""),INDEX(職員マスタ!$K$6:$K$405,$AP730),IF(N($W730)&gt;0,$W730,""))</f>
        <v/>
      </c>
      <c r="AB730" s="14">
        <f>IF(OR($E730="",$AA730=""),"",IF($E730&gt;=$AA730,"×",IF($E730&gt;=$AA730*設定!$C$5,"△","○")))</f>
        <v/>
      </c>
      <c r="AC730" s="15">
        <f>IF($AB730="","",IF($AB730="×",0,IF($AB730="○",ROUNDDOWN($E730*設定!$C$4,0),ROUNDDOWN($E730*ROUND((9*$AA730-9*$E730)/(10*$E730),4),0))))</f>
        <v/>
      </c>
      <c r="AD730" s="13" t="n"/>
      <c r="AE730" s="15">
        <f>IF($B730="","",IF($AD730&lt;&gt;"",$AD730,IF($AC730="","",IF($AC730&lt;=設定!$C$3,0,$AC730))))</f>
        <v/>
      </c>
      <c r="AF730" s="14">
        <f>IF($B730="","",IF(AND($AG730&lt;&gt;"",$AI730="",$AL730=""),"保留中",IF($AL730&lt;&gt;"",IF(N($AE730)&gt;0,"支給済","不支給"),IF($AE730="","要確認",IF($AE730=0,"不支給","未処理")))))</f>
        <v/>
      </c>
      <c r="AG730" s="12" t="n"/>
      <c r="AH730" s="11" t="n"/>
      <c r="AI730" s="11" t="n"/>
      <c r="AJ730" s="11" t="n"/>
      <c r="AK730" s="14">
        <f>IF(AND($AF730="保留中",$AH730&lt;&gt;""),TODAY()-$AH730,"")</f>
        <v/>
      </c>
      <c r="AL730" s="12" t="n"/>
      <c r="AM730" s="14">
        <f>IF($B730="","",IF($AQ730="","対象年月が未入力／","")&amp;IF($B730="","",IF($AP730="","職員マスタに未登録の職員番号／",IF($AA730="","標準報酬月額が未登録／","")&amp;IF(AND($AQ730&lt;&gt;"",OR(AND(INDEX(職員マスタ!$G$6:$G$405,$AP730)&lt;&gt;"",INDEX(職員マスタ!$G$6:$G$405,$AP730)&gt;EOMONTH($AQ730,0)),AND(INDEX(職員マスタ!$H$6:$H$405,$AP730)&lt;&gt;"",INDEX(職員マスタ!$H$6:$H$405,$AP730)&lt;$AQ730))),"対象月が時短期間外／","")&amp;IF(AND(INDEX(職員マスタ!$K$6:$K$405,$AP730)&lt;&gt;"",N($W730)&gt;0,INDEX(職員マスタ!$K$6:$K$405,$AP730)&lt;&gt;$W730),"標準報酬月額が申請書と相違（台帳"&amp;TEXT(INDEX(職員マスタ!$K$6:$K$405,$AP730),"#,##0")&amp;"円／申請書"&amp;TEXT($W730,"#,##0")&amp;"円）／","")&amp;IF(AND(INDEX(職員マスタ!$F$6:$F$405,$AP730)&lt;&gt;"",$AQ730&lt;&gt;"",INDEX(職員マスタ!$F$6:$F$405,$AP730)&lt;$AQ730),"対象月に子が2歳到達済／","")&amp;IF(AND($H730&lt;&gt;"",INDEX(職員マスタ!$B$6:$B$405,$AP730)&lt;&gt;"",SUBSTITUTE(SUBSTITUTE($H730," ","")," ","")&lt;&gt;SUBSTITUTE(SUBSTITUTE(INDEX(職員マスタ!$B$6:$B$405,$AP730)," ","")," ","")),"氏名がマスタと相違／","")&amp;IF(AND($Q730&lt;&gt;"",INDEX(職員マスタ!$E$6:$E$405,$AP730)&lt;&gt;"",$Q730&lt;&gt;INDEX(職員マスタ!$E$6:$E$405,$AP730)),"子の生年月日がマスタと相違／","")&amp;IF(AND($L730&lt;&gt;"",INDEX(職員マスタ!$G$6:$G$405,$AP730)&lt;&gt;"",$L730&lt;&gt;INDEX(職員マスタ!$G$6:$G$405,$AP730)),"時短開始日がマスタと相違／","")&amp;IF(AND($M730&lt;&gt;"",INDEX(職員マスタ!$H$6:$H$405,$AP730)&lt;&gt;"",$M730&lt;&gt;INDEX(職員マスタ!$H$6:$H$405,$AP730)),"時短終了日がマスタと相違／","")))&amp;IF(AND($B730&lt;&gt;"",$E730=""),"報酬額が未入力／","")&amp;IF(N($U730)&gt;0,"申請書に入力エラーが残っています／","")&amp;IF(AND($B730&lt;&gt;"",$AQ730&lt;&gt;""),IF(COUNTIFS($B$6:$B$3005,$B730,$C$6:$C$3005,$C730,$D$6:$D$3005,$D730)&gt;1,"同じ月の請求が重複しています／",""),"")&amp;IF(AND(N($E730)&gt;0,$AB730&lt;&gt;"",$AB730&lt;&gt;"×",$AE730=0,$AD730=""),"計算額が下限以下のため不支給／",""))</f>
        <v/>
      </c>
      <c r="AN730" s="12" t="n"/>
      <c r="AO730" s="14">
        <f>IF($AF730="保留中",COUNTIF($AF$6:$AF730,"保留中"),"")</f>
        <v/>
      </c>
      <c r="AP730" s="14">
        <f>IF($AQ730="","",IF(SUMPRODUCT(MAX((職員マスタ!$A$6:$A$405=$B730)*(((職員マスタ!$G$6:$G$405="")+(職員マスタ!$G$6:$G$405&lt;=EOMONTH($AQ730,0)))&gt;0)*(((職員マスタ!$H$6:$H$405="")+(職員マスタ!$H$6:$H$405&gt;=$AQ730))&gt;0)*(ROW(職員マスタ!$A$6:$A$405)-5)))&gt;0,SUMPRODUCT(MAX((職員マスタ!$A$6:$A$405=$B730)*(((職員マスタ!$G$6:$G$405="")+(職員マスタ!$G$6:$G$405&lt;=EOMONTH($AQ730,0)))&gt;0)*(((職員マスタ!$H$6:$H$405="")+(職員マスタ!$H$6:$H$405&gt;=$AQ730))&gt;0)*(ROW(職員マスタ!$A$6:$A$405)-5))),IFERROR(MATCH($B730,職員マスタ!$A$6:$A$405,0),"")))</f>
        <v/>
      </c>
      <c r="AQ730" s="16">
        <f>IF(OR($B730="",$C730="",$D730=""),"",DATE($C730+2018,$D730,1))</f>
        <v/>
      </c>
    </row>
    <row r="731">
      <c r="A731" s="11" t="n"/>
      <c r="B731" s="12" t="n"/>
      <c r="C731" s="12" t="n"/>
      <c r="D731" s="12" t="n"/>
      <c r="E731" s="13" t="n"/>
      <c r="F731" s="12" t="n"/>
      <c r="G731" s="13" t="n"/>
      <c r="H731" s="12" t="n"/>
      <c r="I731" s="12" t="n"/>
      <c r="J731" s="12" t="n"/>
      <c r="K731" s="12" t="n"/>
      <c r="L731" s="11" t="n"/>
      <c r="M731" s="11" t="n"/>
      <c r="N731" s="11" t="n"/>
      <c r="O731" s="11" t="n"/>
      <c r="P731" s="12" t="n"/>
      <c r="Q731" s="11" t="n"/>
      <c r="R731" s="12" t="n"/>
      <c r="S731" s="11" t="n"/>
      <c r="T731" s="12" t="n"/>
      <c r="U731" s="12" t="n"/>
      <c r="V731" s="12" t="n"/>
      <c r="W731" s="13" t="n"/>
      <c r="X731" s="14">
        <f>IF($AP731="",IF($B731="","",$H731),IF(INDEX(職員マスタ!$B$6:$B$405,$AP731)="",$H731,INDEX(職員マスタ!$B$6:$B$405,$AP731)))</f>
        <v/>
      </c>
      <c r="Y731" s="14">
        <f>IF($AP731="",IF($B731="","",$R731),IF(INDEX(職員マスタ!$C$6:$C$405,$AP731)="",$R731,INDEX(職員マスタ!$C$6:$C$405,$AP731)))</f>
        <v/>
      </c>
      <c r="Z731" s="14">
        <f>IF($AQ731="","","R"&amp;$C731&amp;"."&amp;$D731)</f>
        <v/>
      </c>
      <c r="AA731" s="15">
        <f>IF(IF($AP731="",FALSE,INDEX(職員マスタ!$K$6:$K$405,$AP731)&lt;&gt;""),INDEX(職員マスタ!$K$6:$K$405,$AP731),IF(N($W731)&gt;0,$W731,""))</f>
        <v/>
      </c>
      <c r="AB731" s="14">
        <f>IF(OR($E731="",$AA731=""),"",IF($E731&gt;=$AA731,"×",IF($E731&gt;=$AA731*設定!$C$5,"△","○")))</f>
        <v/>
      </c>
      <c r="AC731" s="15">
        <f>IF($AB731="","",IF($AB731="×",0,IF($AB731="○",ROUNDDOWN($E731*設定!$C$4,0),ROUNDDOWN($E731*ROUND((9*$AA731-9*$E731)/(10*$E731),4),0))))</f>
        <v/>
      </c>
      <c r="AD731" s="13" t="n"/>
      <c r="AE731" s="15">
        <f>IF($B731="","",IF($AD731&lt;&gt;"",$AD731,IF($AC731="","",IF($AC731&lt;=設定!$C$3,0,$AC731))))</f>
        <v/>
      </c>
      <c r="AF731" s="14">
        <f>IF($B731="","",IF(AND($AG731&lt;&gt;"",$AI731="",$AL731=""),"保留中",IF($AL731&lt;&gt;"",IF(N($AE731)&gt;0,"支給済","不支給"),IF($AE731="","要確認",IF($AE731=0,"不支給","未処理")))))</f>
        <v/>
      </c>
      <c r="AG731" s="12" t="n"/>
      <c r="AH731" s="11" t="n"/>
      <c r="AI731" s="11" t="n"/>
      <c r="AJ731" s="11" t="n"/>
      <c r="AK731" s="14">
        <f>IF(AND($AF731="保留中",$AH731&lt;&gt;""),TODAY()-$AH731,"")</f>
        <v/>
      </c>
      <c r="AL731" s="12" t="n"/>
      <c r="AM731" s="14">
        <f>IF($B731="","",IF($AQ731="","対象年月が未入力／","")&amp;IF($B731="","",IF($AP731="","職員マスタに未登録の職員番号／",IF($AA731="","標準報酬月額が未登録／","")&amp;IF(AND($AQ731&lt;&gt;"",OR(AND(INDEX(職員マスタ!$G$6:$G$405,$AP731)&lt;&gt;"",INDEX(職員マスタ!$G$6:$G$405,$AP731)&gt;EOMONTH($AQ731,0)),AND(INDEX(職員マスタ!$H$6:$H$405,$AP731)&lt;&gt;"",INDEX(職員マスタ!$H$6:$H$405,$AP731)&lt;$AQ731))),"対象月が時短期間外／","")&amp;IF(AND(INDEX(職員マスタ!$K$6:$K$405,$AP731)&lt;&gt;"",N($W731)&gt;0,INDEX(職員マスタ!$K$6:$K$405,$AP731)&lt;&gt;$W731),"標準報酬月額が申請書と相違（台帳"&amp;TEXT(INDEX(職員マスタ!$K$6:$K$405,$AP731),"#,##0")&amp;"円／申請書"&amp;TEXT($W731,"#,##0")&amp;"円）／","")&amp;IF(AND(INDEX(職員マスタ!$F$6:$F$405,$AP731)&lt;&gt;"",$AQ731&lt;&gt;"",INDEX(職員マスタ!$F$6:$F$405,$AP731)&lt;$AQ731),"対象月に子が2歳到達済／","")&amp;IF(AND($H731&lt;&gt;"",INDEX(職員マスタ!$B$6:$B$405,$AP731)&lt;&gt;"",SUBSTITUTE(SUBSTITUTE($H731," ","")," ","")&lt;&gt;SUBSTITUTE(SUBSTITUTE(INDEX(職員マスタ!$B$6:$B$405,$AP731)," ","")," ","")),"氏名がマスタと相違／","")&amp;IF(AND($Q731&lt;&gt;"",INDEX(職員マスタ!$E$6:$E$405,$AP731)&lt;&gt;"",$Q731&lt;&gt;INDEX(職員マスタ!$E$6:$E$405,$AP731)),"子の生年月日がマスタと相違／","")&amp;IF(AND($L731&lt;&gt;"",INDEX(職員マスタ!$G$6:$G$405,$AP731)&lt;&gt;"",$L731&lt;&gt;INDEX(職員マスタ!$G$6:$G$405,$AP731)),"時短開始日がマスタと相違／","")&amp;IF(AND($M731&lt;&gt;"",INDEX(職員マスタ!$H$6:$H$405,$AP731)&lt;&gt;"",$M731&lt;&gt;INDEX(職員マスタ!$H$6:$H$405,$AP731)),"時短終了日がマスタと相違／","")))&amp;IF(AND($B731&lt;&gt;"",$E731=""),"報酬額が未入力／","")&amp;IF(N($U731)&gt;0,"申請書に入力エラーが残っています／","")&amp;IF(AND($B731&lt;&gt;"",$AQ731&lt;&gt;""),IF(COUNTIFS($B$6:$B$3005,$B731,$C$6:$C$3005,$C731,$D$6:$D$3005,$D731)&gt;1,"同じ月の請求が重複しています／",""),"")&amp;IF(AND(N($E731)&gt;0,$AB731&lt;&gt;"",$AB731&lt;&gt;"×",$AE731=0,$AD731=""),"計算額が下限以下のため不支給／",""))</f>
        <v/>
      </c>
      <c r="AN731" s="12" t="n"/>
      <c r="AO731" s="14">
        <f>IF($AF731="保留中",COUNTIF($AF$6:$AF731,"保留中"),"")</f>
        <v/>
      </c>
      <c r="AP731" s="14">
        <f>IF($AQ731="","",IF(SUMPRODUCT(MAX((職員マスタ!$A$6:$A$405=$B731)*(((職員マスタ!$G$6:$G$405="")+(職員マスタ!$G$6:$G$405&lt;=EOMONTH($AQ731,0)))&gt;0)*(((職員マスタ!$H$6:$H$405="")+(職員マスタ!$H$6:$H$405&gt;=$AQ731))&gt;0)*(ROW(職員マスタ!$A$6:$A$405)-5)))&gt;0,SUMPRODUCT(MAX((職員マスタ!$A$6:$A$405=$B731)*(((職員マスタ!$G$6:$G$405="")+(職員マスタ!$G$6:$G$405&lt;=EOMONTH($AQ731,0)))&gt;0)*(((職員マスタ!$H$6:$H$405="")+(職員マスタ!$H$6:$H$405&gt;=$AQ731))&gt;0)*(ROW(職員マスタ!$A$6:$A$405)-5))),IFERROR(MATCH($B731,職員マスタ!$A$6:$A$405,0),"")))</f>
        <v/>
      </c>
      <c r="AQ731" s="16">
        <f>IF(OR($B731="",$C731="",$D731=""),"",DATE($C731+2018,$D731,1))</f>
        <v/>
      </c>
    </row>
    <row r="732">
      <c r="A732" s="11" t="n"/>
      <c r="B732" s="12" t="n"/>
      <c r="C732" s="12" t="n"/>
      <c r="D732" s="12" t="n"/>
      <c r="E732" s="13" t="n"/>
      <c r="F732" s="12" t="n"/>
      <c r="G732" s="13" t="n"/>
      <c r="H732" s="12" t="n"/>
      <c r="I732" s="12" t="n"/>
      <c r="J732" s="12" t="n"/>
      <c r="K732" s="12" t="n"/>
      <c r="L732" s="11" t="n"/>
      <c r="M732" s="11" t="n"/>
      <c r="N732" s="11" t="n"/>
      <c r="O732" s="11" t="n"/>
      <c r="P732" s="12" t="n"/>
      <c r="Q732" s="11" t="n"/>
      <c r="R732" s="12" t="n"/>
      <c r="S732" s="11" t="n"/>
      <c r="T732" s="12" t="n"/>
      <c r="U732" s="12" t="n"/>
      <c r="V732" s="12" t="n"/>
      <c r="W732" s="13" t="n"/>
      <c r="X732" s="14">
        <f>IF($AP732="",IF($B732="","",$H732),IF(INDEX(職員マスタ!$B$6:$B$405,$AP732)="",$H732,INDEX(職員マスタ!$B$6:$B$405,$AP732)))</f>
        <v/>
      </c>
      <c r="Y732" s="14">
        <f>IF($AP732="",IF($B732="","",$R732),IF(INDEX(職員マスタ!$C$6:$C$405,$AP732)="",$R732,INDEX(職員マスタ!$C$6:$C$405,$AP732)))</f>
        <v/>
      </c>
      <c r="Z732" s="14">
        <f>IF($AQ732="","","R"&amp;$C732&amp;"."&amp;$D732)</f>
        <v/>
      </c>
      <c r="AA732" s="15">
        <f>IF(IF($AP732="",FALSE,INDEX(職員マスタ!$K$6:$K$405,$AP732)&lt;&gt;""),INDEX(職員マスタ!$K$6:$K$405,$AP732),IF(N($W732)&gt;0,$W732,""))</f>
        <v/>
      </c>
      <c r="AB732" s="14">
        <f>IF(OR($E732="",$AA732=""),"",IF($E732&gt;=$AA732,"×",IF($E732&gt;=$AA732*設定!$C$5,"△","○")))</f>
        <v/>
      </c>
      <c r="AC732" s="15">
        <f>IF($AB732="","",IF($AB732="×",0,IF($AB732="○",ROUNDDOWN($E732*設定!$C$4,0),ROUNDDOWN($E732*ROUND((9*$AA732-9*$E732)/(10*$E732),4),0))))</f>
        <v/>
      </c>
      <c r="AD732" s="13" t="n"/>
      <c r="AE732" s="15">
        <f>IF($B732="","",IF($AD732&lt;&gt;"",$AD732,IF($AC732="","",IF($AC732&lt;=設定!$C$3,0,$AC732))))</f>
        <v/>
      </c>
      <c r="AF732" s="14">
        <f>IF($B732="","",IF(AND($AG732&lt;&gt;"",$AI732="",$AL732=""),"保留中",IF($AL732&lt;&gt;"",IF(N($AE732)&gt;0,"支給済","不支給"),IF($AE732="","要確認",IF($AE732=0,"不支給","未処理")))))</f>
        <v/>
      </c>
      <c r="AG732" s="12" t="n"/>
      <c r="AH732" s="11" t="n"/>
      <c r="AI732" s="11" t="n"/>
      <c r="AJ732" s="11" t="n"/>
      <c r="AK732" s="14">
        <f>IF(AND($AF732="保留中",$AH732&lt;&gt;""),TODAY()-$AH732,"")</f>
        <v/>
      </c>
      <c r="AL732" s="12" t="n"/>
      <c r="AM732" s="14">
        <f>IF($B732="","",IF($AQ732="","対象年月が未入力／","")&amp;IF($B732="","",IF($AP732="","職員マスタに未登録の職員番号／",IF($AA732="","標準報酬月額が未登録／","")&amp;IF(AND($AQ732&lt;&gt;"",OR(AND(INDEX(職員マスタ!$G$6:$G$405,$AP732)&lt;&gt;"",INDEX(職員マスタ!$G$6:$G$405,$AP732)&gt;EOMONTH($AQ732,0)),AND(INDEX(職員マスタ!$H$6:$H$405,$AP732)&lt;&gt;"",INDEX(職員マスタ!$H$6:$H$405,$AP732)&lt;$AQ732))),"対象月が時短期間外／","")&amp;IF(AND(INDEX(職員マスタ!$K$6:$K$405,$AP732)&lt;&gt;"",N($W732)&gt;0,INDEX(職員マスタ!$K$6:$K$405,$AP732)&lt;&gt;$W732),"標準報酬月額が申請書と相違（台帳"&amp;TEXT(INDEX(職員マスタ!$K$6:$K$405,$AP732),"#,##0")&amp;"円／申請書"&amp;TEXT($W732,"#,##0")&amp;"円）／","")&amp;IF(AND(INDEX(職員マスタ!$F$6:$F$405,$AP732)&lt;&gt;"",$AQ732&lt;&gt;"",INDEX(職員マスタ!$F$6:$F$405,$AP732)&lt;$AQ732),"対象月に子が2歳到達済／","")&amp;IF(AND($H732&lt;&gt;"",INDEX(職員マスタ!$B$6:$B$405,$AP732)&lt;&gt;"",SUBSTITUTE(SUBSTITUTE($H732," ","")," ","")&lt;&gt;SUBSTITUTE(SUBSTITUTE(INDEX(職員マスタ!$B$6:$B$405,$AP732)," ","")," ","")),"氏名がマスタと相違／","")&amp;IF(AND($Q732&lt;&gt;"",INDEX(職員マスタ!$E$6:$E$405,$AP732)&lt;&gt;"",$Q732&lt;&gt;INDEX(職員マスタ!$E$6:$E$405,$AP732)),"子の生年月日がマスタと相違／","")&amp;IF(AND($L732&lt;&gt;"",INDEX(職員マスタ!$G$6:$G$405,$AP732)&lt;&gt;"",$L732&lt;&gt;INDEX(職員マスタ!$G$6:$G$405,$AP732)),"時短開始日がマスタと相違／","")&amp;IF(AND($M732&lt;&gt;"",INDEX(職員マスタ!$H$6:$H$405,$AP732)&lt;&gt;"",$M732&lt;&gt;INDEX(職員マスタ!$H$6:$H$405,$AP732)),"時短終了日がマスタと相違／","")))&amp;IF(AND($B732&lt;&gt;"",$E732=""),"報酬額が未入力／","")&amp;IF(N($U732)&gt;0,"申請書に入力エラーが残っています／","")&amp;IF(AND($B732&lt;&gt;"",$AQ732&lt;&gt;""),IF(COUNTIFS($B$6:$B$3005,$B732,$C$6:$C$3005,$C732,$D$6:$D$3005,$D732)&gt;1,"同じ月の請求が重複しています／",""),"")&amp;IF(AND(N($E732)&gt;0,$AB732&lt;&gt;"",$AB732&lt;&gt;"×",$AE732=0,$AD732=""),"計算額が下限以下のため不支給／",""))</f>
        <v/>
      </c>
      <c r="AN732" s="12" t="n"/>
      <c r="AO732" s="14">
        <f>IF($AF732="保留中",COUNTIF($AF$6:$AF732,"保留中"),"")</f>
        <v/>
      </c>
      <c r="AP732" s="14">
        <f>IF($AQ732="","",IF(SUMPRODUCT(MAX((職員マスタ!$A$6:$A$405=$B732)*(((職員マスタ!$G$6:$G$405="")+(職員マスタ!$G$6:$G$405&lt;=EOMONTH($AQ732,0)))&gt;0)*(((職員マスタ!$H$6:$H$405="")+(職員マスタ!$H$6:$H$405&gt;=$AQ732))&gt;0)*(ROW(職員マスタ!$A$6:$A$405)-5)))&gt;0,SUMPRODUCT(MAX((職員マスタ!$A$6:$A$405=$B732)*(((職員マスタ!$G$6:$G$405="")+(職員マスタ!$G$6:$G$405&lt;=EOMONTH($AQ732,0)))&gt;0)*(((職員マスタ!$H$6:$H$405="")+(職員マスタ!$H$6:$H$405&gt;=$AQ732))&gt;0)*(ROW(職員マスタ!$A$6:$A$405)-5))),IFERROR(MATCH($B732,職員マスタ!$A$6:$A$405,0),"")))</f>
        <v/>
      </c>
      <c r="AQ732" s="16">
        <f>IF(OR($B732="",$C732="",$D732=""),"",DATE($C732+2018,$D732,1))</f>
        <v/>
      </c>
    </row>
    <row r="733">
      <c r="A733" s="11" t="n"/>
      <c r="B733" s="12" t="n"/>
      <c r="C733" s="12" t="n"/>
      <c r="D733" s="12" t="n"/>
      <c r="E733" s="13" t="n"/>
      <c r="F733" s="12" t="n"/>
      <c r="G733" s="13" t="n"/>
      <c r="H733" s="12" t="n"/>
      <c r="I733" s="12" t="n"/>
      <c r="J733" s="12" t="n"/>
      <c r="K733" s="12" t="n"/>
      <c r="L733" s="11" t="n"/>
      <c r="M733" s="11" t="n"/>
      <c r="N733" s="11" t="n"/>
      <c r="O733" s="11" t="n"/>
      <c r="P733" s="12" t="n"/>
      <c r="Q733" s="11" t="n"/>
      <c r="R733" s="12" t="n"/>
      <c r="S733" s="11" t="n"/>
      <c r="T733" s="12" t="n"/>
      <c r="U733" s="12" t="n"/>
      <c r="V733" s="12" t="n"/>
      <c r="W733" s="13" t="n"/>
      <c r="X733" s="14">
        <f>IF($AP733="",IF($B733="","",$H733),IF(INDEX(職員マスタ!$B$6:$B$405,$AP733)="",$H733,INDEX(職員マスタ!$B$6:$B$405,$AP733)))</f>
        <v/>
      </c>
      <c r="Y733" s="14">
        <f>IF($AP733="",IF($B733="","",$R733),IF(INDEX(職員マスタ!$C$6:$C$405,$AP733)="",$R733,INDEX(職員マスタ!$C$6:$C$405,$AP733)))</f>
        <v/>
      </c>
      <c r="Z733" s="14">
        <f>IF($AQ733="","","R"&amp;$C733&amp;"."&amp;$D733)</f>
        <v/>
      </c>
      <c r="AA733" s="15">
        <f>IF(IF($AP733="",FALSE,INDEX(職員マスタ!$K$6:$K$405,$AP733)&lt;&gt;""),INDEX(職員マスタ!$K$6:$K$405,$AP733),IF(N($W733)&gt;0,$W733,""))</f>
        <v/>
      </c>
      <c r="AB733" s="14">
        <f>IF(OR($E733="",$AA733=""),"",IF($E733&gt;=$AA733,"×",IF($E733&gt;=$AA733*設定!$C$5,"△","○")))</f>
        <v/>
      </c>
      <c r="AC733" s="15">
        <f>IF($AB733="","",IF($AB733="×",0,IF($AB733="○",ROUNDDOWN($E733*設定!$C$4,0),ROUNDDOWN($E733*ROUND((9*$AA733-9*$E733)/(10*$E733),4),0))))</f>
        <v/>
      </c>
      <c r="AD733" s="13" t="n"/>
      <c r="AE733" s="15">
        <f>IF($B733="","",IF($AD733&lt;&gt;"",$AD733,IF($AC733="","",IF($AC733&lt;=設定!$C$3,0,$AC733))))</f>
        <v/>
      </c>
      <c r="AF733" s="14">
        <f>IF($B733="","",IF(AND($AG733&lt;&gt;"",$AI733="",$AL733=""),"保留中",IF($AL733&lt;&gt;"",IF(N($AE733)&gt;0,"支給済","不支給"),IF($AE733="","要確認",IF($AE733=0,"不支給","未処理")))))</f>
        <v/>
      </c>
      <c r="AG733" s="12" t="n"/>
      <c r="AH733" s="11" t="n"/>
      <c r="AI733" s="11" t="n"/>
      <c r="AJ733" s="11" t="n"/>
      <c r="AK733" s="14">
        <f>IF(AND($AF733="保留中",$AH733&lt;&gt;""),TODAY()-$AH733,"")</f>
        <v/>
      </c>
      <c r="AL733" s="12" t="n"/>
      <c r="AM733" s="14">
        <f>IF($B733="","",IF($AQ733="","対象年月が未入力／","")&amp;IF($B733="","",IF($AP733="","職員マスタに未登録の職員番号／",IF($AA733="","標準報酬月額が未登録／","")&amp;IF(AND($AQ733&lt;&gt;"",OR(AND(INDEX(職員マスタ!$G$6:$G$405,$AP733)&lt;&gt;"",INDEX(職員マスタ!$G$6:$G$405,$AP733)&gt;EOMONTH($AQ733,0)),AND(INDEX(職員マスタ!$H$6:$H$405,$AP733)&lt;&gt;"",INDEX(職員マスタ!$H$6:$H$405,$AP733)&lt;$AQ733))),"対象月が時短期間外／","")&amp;IF(AND(INDEX(職員マスタ!$K$6:$K$405,$AP733)&lt;&gt;"",N($W733)&gt;0,INDEX(職員マスタ!$K$6:$K$405,$AP733)&lt;&gt;$W733),"標準報酬月額が申請書と相違（台帳"&amp;TEXT(INDEX(職員マスタ!$K$6:$K$405,$AP733),"#,##0")&amp;"円／申請書"&amp;TEXT($W733,"#,##0")&amp;"円）／","")&amp;IF(AND(INDEX(職員マスタ!$F$6:$F$405,$AP733)&lt;&gt;"",$AQ733&lt;&gt;"",INDEX(職員マスタ!$F$6:$F$405,$AP733)&lt;$AQ733),"対象月に子が2歳到達済／","")&amp;IF(AND($H733&lt;&gt;"",INDEX(職員マスタ!$B$6:$B$405,$AP733)&lt;&gt;"",SUBSTITUTE(SUBSTITUTE($H733," ","")," ","")&lt;&gt;SUBSTITUTE(SUBSTITUTE(INDEX(職員マスタ!$B$6:$B$405,$AP733)," ","")," ","")),"氏名がマスタと相違／","")&amp;IF(AND($Q733&lt;&gt;"",INDEX(職員マスタ!$E$6:$E$405,$AP733)&lt;&gt;"",$Q733&lt;&gt;INDEX(職員マスタ!$E$6:$E$405,$AP733)),"子の生年月日がマスタと相違／","")&amp;IF(AND($L733&lt;&gt;"",INDEX(職員マスタ!$G$6:$G$405,$AP733)&lt;&gt;"",$L733&lt;&gt;INDEX(職員マスタ!$G$6:$G$405,$AP733)),"時短開始日がマスタと相違／","")&amp;IF(AND($M733&lt;&gt;"",INDEX(職員マスタ!$H$6:$H$405,$AP733)&lt;&gt;"",$M733&lt;&gt;INDEX(職員マスタ!$H$6:$H$405,$AP733)),"時短終了日がマスタと相違／","")))&amp;IF(AND($B733&lt;&gt;"",$E733=""),"報酬額が未入力／","")&amp;IF(N($U733)&gt;0,"申請書に入力エラーが残っています／","")&amp;IF(AND($B733&lt;&gt;"",$AQ733&lt;&gt;""),IF(COUNTIFS($B$6:$B$3005,$B733,$C$6:$C$3005,$C733,$D$6:$D$3005,$D733)&gt;1,"同じ月の請求が重複しています／",""),"")&amp;IF(AND(N($E733)&gt;0,$AB733&lt;&gt;"",$AB733&lt;&gt;"×",$AE733=0,$AD733=""),"計算額が下限以下のため不支給／",""))</f>
        <v/>
      </c>
      <c r="AN733" s="12" t="n"/>
      <c r="AO733" s="14">
        <f>IF($AF733="保留中",COUNTIF($AF$6:$AF733,"保留中"),"")</f>
        <v/>
      </c>
      <c r="AP733" s="14">
        <f>IF($AQ733="","",IF(SUMPRODUCT(MAX((職員マスタ!$A$6:$A$405=$B733)*(((職員マスタ!$G$6:$G$405="")+(職員マスタ!$G$6:$G$405&lt;=EOMONTH($AQ733,0)))&gt;0)*(((職員マスタ!$H$6:$H$405="")+(職員マスタ!$H$6:$H$405&gt;=$AQ733))&gt;0)*(ROW(職員マスタ!$A$6:$A$405)-5)))&gt;0,SUMPRODUCT(MAX((職員マスタ!$A$6:$A$405=$B733)*(((職員マスタ!$G$6:$G$405="")+(職員マスタ!$G$6:$G$405&lt;=EOMONTH($AQ733,0)))&gt;0)*(((職員マスタ!$H$6:$H$405="")+(職員マスタ!$H$6:$H$405&gt;=$AQ733))&gt;0)*(ROW(職員マスタ!$A$6:$A$405)-5))),IFERROR(MATCH($B733,職員マスタ!$A$6:$A$405,0),"")))</f>
        <v/>
      </c>
      <c r="AQ733" s="16">
        <f>IF(OR($B733="",$C733="",$D733=""),"",DATE($C733+2018,$D733,1))</f>
        <v/>
      </c>
    </row>
    <row r="734">
      <c r="A734" s="11" t="n"/>
      <c r="B734" s="12" t="n"/>
      <c r="C734" s="12" t="n"/>
      <c r="D734" s="12" t="n"/>
      <c r="E734" s="13" t="n"/>
      <c r="F734" s="12" t="n"/>
      <c r="G734" s="13" t="n"/>
      <c r="H734" s="12" t="n"/>
      <c r="I734" s="12" t="n"/>
      <c r="J734" s="12" t="n"/>
      <c r="K734" s="12" t="n"/>
      <c r="L734" s="11" t="n"/>
      <c r="M734" s="11" t="n"/>
      <c r="N734" s="11" t="n"/>
      <c r="O734" s="11" t="n"/>
      <c r="P734" s="12" t="n"/>
      <c r="Q734" s="11" t="n"/>
      <c r="R734" s="12" t="n"/>
      <c r="S734" s="11" t="n"/>
      <c r="T734" s="12" t="n"/>
      <c r="U734" s="12" t="n"/>
      <c r="V734" s="12" t="n"/>
      <c r="W734" s="13" t="n"/>
      <c r="X734" s="14">
        <f>IF($AP734="",IF($B734="","",$H734),IF(INDEX(職員マスタ!$B$6:$B$405,$AP734)="",$H734,INDEX(職員マスタ!$B$6:$B$405,$AP734)))</f>
        <v/>
      </c>
      <c r="Y734" s="14">
        <f>IF($AP734="",IF($B734="","",$R734),IF(INDEX(職員マスタ!$C$6:$C$405,$AP734)="",$R734,INDEX(職員マスタ!$C$6:$C$405,$AP734)))</f>
        <v/>
      </c>
      <c r="Z734" s="14">
        <f>IF($AQ734="","","R"&amp;$C734&amp;"."&amp;$D734)</f>
        <v/>
      </c>
      <c r="AA734" s="15">
        <f>IF(IF($AP734="",FALSE,INDEX(職員マスタ!$K$6:$K$405,$AP734)&lt;&gt;""),INDEX(職員マスタ!$K$6:$K$405,$AP734),IF(N($W734)&gt;0,$W734,""))</f>
        <v/>
      </c>
      <c r="AB734" s="14">
        <f>IF(OR($E734="",$AA734=""),"",IF($E734&gt;=$AA734,"×",IF($E734&gt;=$AA734*設定!$C$5,"△","○")))</f>
        <v/>
      </c>
      <c r="AC734" s="15">
        <f>IF($AB734="","",IF($AB734="×",0,IF($AB734="○",ROUNDDOWN($E734*設定!$C$4,0),ROUNDDOWN($E734*ROUND((9*$AA734-9*$E734)/(10*$E734),4),0))))</f>
        <v/>
      </c>
      <c r="AD734" s="13" t="n"/>
      <c r="AE734" s="15">
        <f>IF($B734="","",IF($AD734&lt;&gt;"",$AD734,IF($AC734="","",IF($AC734&lt;=設定!$C$3,0,$AC734))))</f>
        <v/>
      </c>
      <c r="AF734" s="14">
        <f>IF($B734="","",IF(AND($AG734&lt;&gt;"",$AI734="",$AL734=""),"保留中",IF($AL734&lt;&gt;"",IF(N($AE734)&gt;0,"支給済","不支給"),IF($AE734="","要確認",IF($AE734=0,"不支給","未処理")))))</f>
        <v/>
      </c>
      <c r="AG734" s="12" t="n"/>
      <c r="AH734" s="11" t="n"/>
      <c r="AI734" s="11" t="n"/>
      <c r="AJ734" s="11" t="n"/>
      <c r="AK734" s="14">
        <f>IF(AND($AF734="保留中",$AH734&lt;&gt;""),TODAY()-$AH734,"")</f>
        <v/>
      </c>
      <c r="AL734" s="12" t="n"/>
      <c r="AM734" s="14">
        <f>IF($B734="","",IF($AQ734="","対象年月が未入力／","")&amp;IF($B734="","",IF($AP734="","職員マスタに未登録の職員番号／",IF($AA734="","標準報酬月額が未登録／","")&amp;IF(AND($AQ734&lt;&gt;"",OR(AND(INDEX(職員マスタ!$G$6:$G$405,$AP734)&lt;&gt;"",INDEX(職員マスタ!$G$6:$G$405,$AP734)&gt;EOMONTH($AQ734,0)),AND(INDEX(職員マスタ!$H$6:$H$405,$AP734)&lt;&gt;"",INDEX(職員マスタ!$H$6:$H$405,$AP734)&lt;$AQ734))),"対象月が時短期間外／","")&amp;IF(AND(INDEX(職員マスタ!$K$6:$K$405,$AP734)&lt;&gt;"",N($W734)&gt;0,INDEX(職員マスタ!$K$6:$K$405,$AP734)&lt;&gt;$W734),"標準報酬月額が申請書と相違（台帳"&amp;TEXT(INDEX(職員マスタ!$K$6:$K$405,$AP734),"#,##0")&amp;"円／申請書"&amp;TEXT($W734,"#,##0")&amp;"円）／","")&amp;IF(AND(INDEX(職員マスタ!$F$6:$F$405,$AP734)&lt;&gt;"",$AQ734&lt;&gt;"",INDEX(職員マスタ!$F$6:$F$405,$AP734)&lt;$AQ734),"対象月に子が2歳到達済／","")&amp;IF(AND($H734&lt;&gt;"",INDEX(職員マスタ!$B$6:$B$405,$AP734)&lt;&gt;"",SUBSTITUTE(SUBSTITUTE($H734," ","")," ","")&lt;&gt;SUBSTITUTE(SUBSTITUTE(INDEX(職員マスタ!$B$6:$B$405,$AP734)," ","")," ","")),"氏名がマスタと相違／","")&amp;IF(AND($Q734&lt;&gt;"",INDEX(職員マスタ!$E$6:$E$405,$AP734)&lt;&gt;"",$Q734&lt;&gt;INDEX(職員マスタ!$E$6:$E$405,$AP734)),"子の生年月日がマスタと相違／","")&amp;IF(AND($L734&lt;&gt;"",INDEX(職員マスタ!$G$6:$G$405,$AP734)&lt;&gt;"",$L734&lt;&gt;INDEX(職員マスタ!$G$6:$G$405,$AP734)),"時短開始日がマスタと相違／","")&amp;IF(AND($M734&lt;&gt;"",INDEX(職員マスタ!$H$6:$H$405,$AP734)&lt;&gt;"",$M734&lt;&gt;INDEX(職員マスタ!$H$6:$H$405,$AP734)),"時短終了日がマスタと相違／","")))&amp;IF(AND($B734&lt;&gt;"",$E734=""),"報酬額が未入力／","")&amp;IF(N($U734)&gt;0,"申請書に入力エラーが残っています／","")&amp;IF(AND($B734&lt;&gt;"",$AQ734&lt;&gt;""),IF(COUNTIFS($B$6:$B$3005,$B734,$C$6:$C$3005,$C734,$D$6:$D$3005,$D734)&gt;1,"同じ月の請求が重複しています／",""),"")&amp;IF(AND(N($E734)&gt;0,$AB734&lt;&gt;"",$AB734&lt;&gt;"×",$AE734=0,$AD734=""),"計算額が下限以下のため不支給／",""))</f>
        <v/>
      </c>
      <c r="AN734" s="12" t="n"/>
      <c r="AO734" s="14">
        <f>IF($AF734="保留中",COUNTIF($AF$6:$AF734,"保留中"),"")</f>
        <v/>
      </c>
      <c r="AP734" s="14">
        <f>IF($AQ734="","",IF(SUMPRODUCT(MAX((職員マスタ!$A$6:$A$405=$B734)*(((職員マスタ!$G$6:$G$405="")+(職員マスタ!$G$6:$G$405&lt;=EOMONTH($AQ734,0)))&gt;0)*(((職員マスタ!$H$6:$H$405="")+(職員マスタ!$H$6:$H$405&gt;=$AQ734))&gt;0)*(ROW(職員マスタ!$A$6:$A$405)-5)))&gt;0,SUMPRODUCT(MAX((職員マスタ!$A$6:$A$405=$B734)*(((職員マスタ!$G$6:$G$405="")+(職員マスタ!$G$6:$G$405&lt;=EOMONTH($AQ734,0)))&gt;0)*(((職員マスタ!$H$6:$H$405="")+(職員マスタ!$H$6:$H$405&gt;=$AQ734))&gt;0)*(ROW(職員マスタ!$A$6:$A$405)-5))),IFERROR(MATCH($B734,職員マスタ!$A$6:$A$405,0),"")))</f>
        <v/>
      </c>
      <c r="AQ734" s="16">
        <f>IF(OR($B734="",$C734="",$D734=""),"",DATE($C734+2018,$D734,1))</f>
        <v/>
      </c>
    </row>
    <row r="735">
      <c r="A735" s="11" t="n"/>
      <c r="B735" s="12" t="n"/>
      <c r="C735" s="12" t="n"/>
      <c r="D735" s="12" t="n"/>
      <c r="E735" s="13" t="n"/>
      <c r="F735" s="12" t="n"/>
      <c r="G735" s="13" t="n"/>
      <c r="H735" s="12" t="n"/>
      <c r="I735" s="12" t="n"/>
      <c r="J735" s="12" t="n"/>
      <c r="K735" s="12" t="n"/>
      <c r="L735" s="11" t="n"/>
      <c r="M735" s="11" t="n"/>
      <c r="N735" s="11" t="n"/>
      <c r="O735" s="11" t="n"/>
      <c r="P735" s="12" t="n"/>
      <c r="Q735" s="11" t="n"/>
      <c r="R735" s="12" t="n"/>
      <c r="S735" s="11" t="n"/>
      <c r="T735" s="12" t="n"/>
      <c r="U735" s="12" t="n"/>
      <c r="V735" s="12" t="n"/>
      <c r="W735" s="13" t="n"/>
      <c r="X735" s="14">
        <f>IF($AP735="",IF($B735="","",$H735),IF(INDEX(職員マスタ!$B$6:$B$405,$AP735)="",$H735,INDEX(職員マスタ!$B$6:$B$405,$AP735)))</f>
        <v/>
      </c>
      <c r="Y735" s="14">
        <f>IF($AP735="",IF($B735="","",$R735),IF(INDEX(職員マスタ!$C$6:$C$405,$AP735)="",$R735,INDEX(職員マスタ!$C$6:$C$405,$AP735)))</f>
        <v/>
      </c>
      <c r="Z735" s="14">
        <f>IF($AQ735="","","R"&amp;$C735&amp;"."&amp;$D735)</f>
        <v/>
      </c>
      <c r="AA735" s="15">
        <f>IF(IF($AP735="",FALSE,INDEX(職員マスタ!$K$6:$K$405,$AP735)&lt;&gt;""),INDEX(職員マスタ!$K$6:$K$405,$AP735),IF(N($W735)&gt;0,$W735,""))</f>
        <v/>
      </c>
      <c r="AB735" s="14">
        <f>IF(OR($E735="",$AA735=""),"",IF($E735&gt;=$AA735,"×",IF($E735&gt;=$AA735*設定!$C$5,"△","○")))</f>
        <v/>
      </c>
      <c r="AC735" s="15">
        <f>IF($AB735="","",IF($AB735="×",0,IF($AB735="○",ROUNDDOWN($E735*設定!$C$4,0),ROUNDDOWN($E735*ROUND((9*$AA735-9*$E735)/(10*$E735),4),0))))</f>
        <v/>
      </c>
      <c r="AD735" s="13" t="n"/>
      <c r="AE735" s="15">
        <f>IF($B735="","",IF($AD735&lt;&gt;"",$AD735,IF($AC735="","",IF($AC735&lt;=設定!$C$3,0,$AC735))))</f>
        <v/>
      </c>
      <c r="AF735" s="14">
        <f>IF($B735="","",IF(AND($AG735&lt;&gt;"",$AI735="",$AL735=""),"保留中",IF($AL735&lt;&gt;"",IF(N($AE735)&gt;0,"支給済","不支給"),IF($AE735="","要確認",IF($AE735=0,"不支給","未処理")))))</f>
        <v/>
      </c>
      <c r="AG735" s="12" t="n"/>
      <c r="AH735" s="11" t="n"/>
      <c r="AI735" s="11" t="n"/>
      <c r="AJ735" s="11" t="n"/>
      <c r="AK735" s="14">
        <f>IF(AND($AF735="保留中",$AH735&lt;&gt;""),TODAY()-$AH735,"")</f>
        <v/>
      </c>
      <c r="AL735" s="12" t="n"/>
      <c r="AM735" s="14">
        <f>IF($B735="","",IF($AQ735="","対象年月が未入力／","")&amp;IF($B735="","",IF($AP735="","職員マスタに未登録の職員番号／",IF($AA735="","標準報酬月額が未登録／","")&amp;IF(AND($AQ735&lt;&gt;"",OR(AND(INDEX(職員マスタ!$G$6:$G$405,$AP735)&lt;&gt;"",INDEX(職員マスタ!$G$6:$G$405,$AP735)&gt;EOMONTH($AQ735,0)),AND(INDEX(職員マスタ!$H$6:$H$405,$AP735)&lt;&gt;"",INDEX(職員マスタ!$H$6:$H$405,$AP735)&lt;$AQ735))),"対象月が時短期間外／","")&amp;IF(AND(INDEX(職員マスタ!$K$6:$K$405,$AP735)&lt;&gt;"",N($W735)&gt;0,INDEX(職員マスタ!$K$6:$K$405,$AP735)&lt;&gt;$W735),"標準報酬月額が申請書と相違（台帳"&amp;TEXT(INDEX(職員マスタ!$K$6:$K$405,$AP735),"#,##0")&amp;"円／申請書"&amp;TEXT($W735,"#,##0")&amp;"円）／","")&amp;IF(AND(INDEX(職員マスタ!$F$6:$F$405,$AP735)&lt;&gt;"",$AQ735&lt;&gt;"",INDEX(職員マスタ!$F$6:$F$405,$AP735)&lt;$AQ735),"対象月に子が2歳到達済／","")&amp;IF(AND($H735&lt;&gt;"",INDEX(職員マスタ!$B$6:$B$405,$AP735)&lt;&gt;"",SUBSTITUTE(SUBSTITUTE($H735," ","")," ","")&lt;&gt;SUBSTITUTE(SUBSTITUTE(INDEX(職員マスタ!$B$6:$B$405,$AP735)," ","")," ","")),"氏名がマスタと相違／","")&amp;IF(AND($Q735&lt;&gt;"",INDEX(職員マスタ!$E$6:$E$405,$AP735)&lt;&gt;"",$Q735&lt;&gt;INDEX(職員マスタ!$E$6:$E$405,$AP735)),"子の生年月日がマスタと相違／","")&amp;IF(AND($L735&lt;&gt;"",INDEX(職員マスタ!$G$6:$G$405,$AP735)&lt;&gt;"",$L735&lt;&gt;INDEX(職員マスタ!$G$6:$G$405,$AP735)),"時短開始日がマスタと相違／","")&amp;IF(AND($M735&lt;&gt;"",INDEX(職員マスタ!$H$6:$H$405,$AP735)&lt;&gt;"",$M735&lt;&gt;INDEX(職員マスタ!$H$6:$H$405,$AP735)),"時短終了日がマスタと相違／","")))&amp;IF(AND($B735&lt;&gt;"",$E735=""),"報酬額が未入力／","")&amp;IF(N($U735)&gt;0,"申請書に入力エラーが残っています／","")&amp;IF(AND($B735&lt;&gt;"",$AQ735&lt;&gt;""),IF(COUNTIFS($B$6:$B$3005,$B735,$C$6:$C$3005,$C735,$D$6:$D$3005,$D735)&gt;1,"同じ月の請求が重複しています／",""),"")&amp;IF(AND(N($E735)&gt;0,$AB735&lt;&gt;"",$AB735&lt;&gt;"×",$AE735=0,$AD735=""),"計算額が下限以下のため不支給／",""))</f>
        <v/>
      </c>
      <c r="AN735" s="12" t="n"/>
      <c r="AO735" s="14">
        <f>IF($AF735="保留中",COUNTIF($AF$6:$AF735,"保留中"),"")</f>
        <v/>
      </c>
      <c r="AP735" s="14">
        <f>IF($AQ735="","",IF(SUMPRODUCT(MAX((職員マスタ!$A$6:$A$405=$B735)*(((職員マスタ!$G$6:$G$405="")+(職員マスタ!$G$6:$G$405&lt;=EOMONTH($AQ735,0)))&gt;0)*(((職員マスタ!$H$6:$H$405="")+(職員マスタ!$H$6:$H$405&gt;=$AQ735))&gt;0)*(ROW(職員マスタ!$A$6:$A$405)-5)))&gt;0,SUMPRODUCT(MAX((職員マスタ!$A$6:$A$405=$B735)*(((職員マスタ!$G$6:$G$405="")+(職員マスタ!$G$6:$G$405&lt;=EOMONTH($AQ735,0)))&gt;0)*(((職員マスタ!$H$6:$H$405="")+(職員マスタ!$H$6:$H$405&gt;=$AQ735))&gt;0)*(ROW(職員マスタ!$A$6:$A$405)-5))),IFERROR(MATCH($B735,職員マスタ!$A$6:$A$405,0),"")))</f>
        <v/>
      </c>
      <c r="AQ735" s="16">
        <f>IF(OR($B735="",$C735="",$D735=""),"",DATE($C735+2018,$D735,1))</f>
        <v/>
      </c>
    </row>
    <row r="736">
      <c r="A736" s="11" t="n"/>
      <c r="B736" s="12" t="n"/>
      <c r="C736" s="12" t="n"/>
      <c r="D736" s="12" t="n"/>
      <c r="E736" s="13" t="n"/>
      <c r="F736" s="12" t="n"/>
      <c r="G736" s="13" t="n"/>
      <c r="H736" s="12" t="n"/>
      <c r="I736" s="12" t="n"/>
      <c r="J736" s="12" t="n"/>
      <c r="K736" s="12" t="n"/>
      <c r="L736" s="11" t="n"/>
      <c r="M736" s="11" t="n"/>
      <c r="N736" s="11" t="n"/>
      <c r="O736" s="11" t="n"/>
      <c r="P736" s="12" t="n"/>
      <c r="Q736" s="11" t="n"/>
      <c r="R736" s="12" t="n"/>
      <c r="S736" s="11" t="n"/>
      <c r="T736" s="12" t="n"/>
      <c r="U736" s="12" t="n"/>
      <c r="V736" s="12" t="n"/>
      <c r="W736" s="13" t="n"/>
      <c r="X736" s="14">
        <f>IF($AP736="",IF($B736="","",$H736),IF(INDEX(職員マスタ!$B$6:$B$405,$AP736)="",$H736,INDEX(職員マスタ!$B$6:$B$405,$AP736)))</f>
        <v/>
      </c>
      <c r="Y736" s="14">
        <f>IF($AP736="",IF($B736="","",$R736),IF(INDEX(職員マスタ!$C$6:$C$405,$AP736)="",$R736,INDEX(職員マスタ!$C$6:$C$405,$AP736)))</f>
        <v/>
      </c>
      <c r="Z736" s="14">
        <f>IF($AQ736="","","R"&amp;$C736&amp;"."&amp;$D736)</f>
        <v/>
      </c>
      <c r="AA736" s="15">
        <f>IF(IF($AP736="",FALSE,INDEX(職員マスタ!$K$6:$K$405,$AP736)&lt;&gt;""),INDEX(職員マスタ!$K$6:$K$405,$AP736),IF(N($W736)&gt;0,$W736,""))</f>
        <v/>
      </c>
      <c r="AB736" s="14">
        <f>IF(OR($E736="",$AA736=""),"",IF($E736&gt;=$AA736,"×",IF($E736&gt;=$AA736*設定!$C$5,"△","○")))</f>
        <v/>
      </c>
      <c r="AC736" s="15">
        <f>IF($AB736="","",IF($AB736="×",0,IF($AB736="○",ROUNDDOWN($E736*設定!$C$4,0),ROUNDDOWN($E736*ROUND((9*$AA736-9*$E736)/(10*$E736),4),0))))</f>
        <v/>
      </c>
      <c r="AD736" s="13" t="n"/>
      <c r="AE736" s="15">
        <f>IF($B736="","",IF($AD736&lt;&gt;"",$AD736,IF($AC736="","",IF($AC736&lt;=設定!$C$3,0,$AC736))))</f>
        <v/>
      </c>
      <c r="AF736" s="14">
        <f>IF($B736="","",IF(AND($AG736&lt;&gt;"",$AI736="",$AL736=""),"保留中",IF($AL736&lt;&gt;"",IF(N($AE736)&gt;0,"支給済","不支給"),IF($AE736="","要確認",IF($AE736=0,"不支給","未処理")))))</f>
        <v/>
      </c>
      <c r="AG736" s="12" t="n"/>
      <c r="AH736" s="11" t="n"/>
      <c r="AI736" s="11" t="n"/>
      <c r="AJ736" s="11" t="n"/>
      <c r="AK736" s="14">
        <f>IF(AND($AF736="保留中",$AH736&lt;&gt;""),TODAY()-$AH736,"")</f>
        <v/>
      </c>
      <c r="AL736" s="12" t="n"/>
      <c r="AM736" s="14">
        <f>IF($B736="","",IF($AQ736="","対象年月が未入力／","")&amp;IF($B736="","",IF($AP736="","職員マスタに未登録の職員番号／",IF($AA736="","標準報酬月額が未登録／","")&amp;IF(AND($AQ736&lt;&gt;"",OR(AND(INDEX(職員マスタ!$G$6:$G$405,$AP736)&lt;&gt;"",INDEX(職員マスタ!$G$6:$G$405,$AP736)&gt;EOMONTH($AQ736,0)),AND(INDEX(職員マスタ!$H$6:$H$405,$AP736)&lt;&gt;"",INDEX(職員マスタ!$H$6:$H$405,$AP736)&lt;$AQ736))),"対象月が時短期間外／","")&amp;IF(AND(INDEX(職員マスタ!$K$6:$K$405,$AP736)&lt;&gt;"",N($W736)&gt;0,INDEX(職員マスタ!$K$6:$K$405,$AP736)&lt;&gt;$W736),"標準報酬月額が申請書と相違（台帳"&amp;TEXT(INDEX(職員マスタ!$K$6:$K$405,$AP736),"#,##0")&amp;"円／申請書"&amp;TEXT($W736,"#,##0")&amp;"円）／","")&amp;IF(AND(INDEX(職員マスタ!$F$6:$F$405,$AP736)&lt;&gt;"",$AQ736&lt;&gt;"",INDEX(職員マスタ!$F$6:$F$405,$AP736)&lt;$AQ736),"対象月に子が2歳到達済／","")&amp;IF(AND($H736&lt;&gt;"",INDEX(職員マスタ!$B$6:$B$405,$AP736)&lt;&gt;"",SUBSTITUTE(SUBSTITUTE($H736," ","")," ","")&lt;&gt;SUBSTITUTE(SUBSTITUTE(INDEX(職員マスタ!$B$6:$B$405,$AP736)," ","")," ","")),"氏名がマスタと相違／","")&amp;IF(AND($Q736&lt;&gt;"",INDEX(職員マスタ!$E$6:$E$405,$AP736)&lt;&gt;"",$Q736&lt;&gt;INDEX(職員マスタ!$E$6:$E$405,$AP736)),"子の生年月日がマスタと相違／","")&amp;IF(AND($L736&lt;&gt;"",INDEX(職員マスタ!$G$6:$G$405,$AP736)&lt;&gt;"",$L736&lt;&gt;INDEX(職員マスタ!$G$6:$G$405,$AP736)),"時短開始日がマスタと相違／","")&amp;IF(AND($M736&lt;&gt;"",INDEX(職員マスタ!$H$6:$H$405,$AP736)&lt;&gt;"",$M736&lt;&gt;INDEX(職員マスタ!$H$6:$H$405,$AP736)),"時短終了日がマスタと相違／","")))&amp;IF(AND($B736&lt;&gt;"",$E736=""),"報酬額が未入力／","")&amp;IF(N($U736)&gt;0,"申請書に入力エラーが残っています／","")&amp;IF(AND($B736&lt;&gt;"",$AQ736&lt;&gt;""),IF(COUNTIFS($B$6:$B$3005,$B736,$C$6:$C$3005,$C736,$D$6:$D$3005,$D736)&gt;1,"同じ月の請求が重複しています／",""),"")&amp;IF(AND(N($E736)&gt;0,$AB736&lt;&gt;"",$AB736&lt;&gt;"×",$AE736=0,$AD736=""),"計算額が下限以下のため不支給／",""))</f>
        <v/>
      </c>
      <c r="AN736" s="12" t="n"/>
      <c r="AO736" s="14">
        <f>IF($AF736="保留中",COUNTIF($AF$6:$AF736,"保留中"),"")</f>
        <v/>
      </c>
      <c r="AP736" s="14">
        <f>IF($AQ736="","",IF(SUMPRODUCT(MAX((職員マスタ!$A$6:$A$405=$B736)*(((職員マスタ!$G$6:$G$405="")+(職員マスタ!$G$6:$G$405&lt;=EOMONTH($AQ736,0)))&gt;0)*(((職員マスタ!$H$6:$H$405="")+(職員マスタ!$H$6:$H$405&gt;=$AQ736))&gt;0)*(ROW(職員マスタ!$A$6:$A$405)-5)))&gt;0,SUMPRODUCT(MAX((職員マスタ!$A$6:$A$405=$B736)*(((職員マスタ!$G$6:$G$405="")+(職員マスタ!$G$6:$G$405&lt;=EOMONTH($AQ736,0)))&gt;0)*(((職員マスタ!$H$6:$H$405="")+(職員マスタ!$H$6:$H$405&gt;=$AQ736))&gt;0)*(ROW(職員マスタ!$A$6:$A$405)-5))),IFERROR(MATCH($B736,職員マスタ!$A$6:$A$405,0),"")))</f>
        <v/>
      </c>
      <c r="AQ736" s="16">
        <f>IF(OR($B736="",$C736="",$D736=""),"",DATE($C736+2018,$D736,1))</f>
        <v/>
      </c>
    </row>
    <row r="737">
      <c r="A737" s="11" t="n"/>
      <c r="B737" s="12" t="n"/>
      <c r="C737" s="12" t="n"/>
      <c r="D737" s="12" t="n"/>
      <c r="E737" s="13" t="n"/>
      <c r="F737" s="12" t="n"/>
      <c r="G737" s="13" t="n"/>
      <c r="H737" s="12" t="n"/>
      <c r="I737" s="12" t="n"/>
      <c r="J737" s="12" t="n"/>
      <c r="K737" s="12" t="n"/>
      <c r="L737" s="11" t="n"/>
      <c r="M737" s="11" t="n"/>
      <c r="N737" s="11" t="n"/>
      <c r="O737" s="11" t="n"/>
      <c r="P737" s="12" t="n"/>
      <c r="Q737" s="11" t="n"/>
      <c r="R737" s="12" t="n"/>
      <c r="S737" s="11" t="n"/>
      <c r="T737" s="12" t="n"/>
      <c r="U737" s="12" t="n"/>
      <c r="V737" s="12" t="n"/>
      <c r="W737" s="13" t="n"/>
      <c r="X737" s="14">
        <f>IF($AP737="",IF($B737="","",$H737),IF(INDEX(職員マスタ!$B$6:$B$405,$AP737)="",$H737,INDEX(職員マスタ!$B$6:$B$405,$AP737)))</f>
        <v/>
      </c>
      <c r="Y737" s="14">
        <f>IF($AP737="",IF($B737="","",$R737),IF(INDEX(職員マスタ!$C$6:$C$405,$AP737)="",$R737,INDEX(職員マスタ!$C$6:$C$405,$AP737)))</f>
        <v/>
      </c>
      <c r="Z737" s="14">
        <f>IF($AQ737="","","R"&amp;$C737&amp;"."&amp;$D737)</f>
        <v/>
      </c>
      <c r="AA737" s="15">
        <f>IF(IF($AP737="",FALSE,INDEX(職員マスタ!$K$6:$K$405,$AP737)&lt;&gt;""),INDEX(職員マスタ!$K$6:$K$405,$AP737),IF(N($W737)&gt;0,$W737,""))</f>
        <v/>
      </c>
      <c r="AB737" s="14">
        <f>IF(OR($E737="",$AA737=""),"",IF($E737&gt;=$AA737,"×",IF($E737&gt;=$AA737*設定!$C$5,"△","○")))</f>
        <v/>
      </c>
      <c r="AC737" s="15">
        <f>IF($AB737="","",IF($AB737="×",0,IF($AB737="○",ROUNDDOWN($E737*設定!$C$4,0),ROUNDDOWN($E737*ROUND((9*$AA737-9*$E737)/(10*$E737),4),0))))</f>
        <v/>
      </c>
      <c r="AD737" s="13" t="n"/>
      <c r="AE737" s="15">
        <f>IF($B737="","",IF($AD737&lt;&gt;"",$AD737,IF($AC737="","",IF($AC737&lt;=設定!$C$3,0,$AC737))))</f>
        <v/>
      </c>
      <c r="AF737" s="14">
        <f>IF($B737="","",IF(AND($AG737&lt;&gt;"",$AI737="",$AL737=""),"保留中",IF($AL737&lt;&gt;"",IF(N($AE737)&gt;0,"支給済","不支給"),IF($AE737="","要確認",IF($AE737=0,"不支給","未処理")))))</f>
        <v/>
      </c>
      <c r="AG737" s="12" t="n"/>
      <c r="AH737" s="11" t="n"/>
      <c r="AI737" s="11" t="n"/>
      <c r="AJ737" s="11" t="n"/>
      <c r="AK737" s="14">
        <f>IF(AND($AF737="保留中",$AH737&lt;&gt;""),TODAY()-$AH737,"")</f>
        <v/>
      </c>
      <c r="AL737" s="12" t="n"/>
      <c r="AM737" s="14">
        <f>IF($B737="","",IF($AQ737="","対象年月が未入力／","")&amp;IF($B737="","",IF($AP737="","職員マスタに未登録の職員番号／",IF($AA737="","標準報酬月額が未登録／","")&amp;IF(AND($AQ737&lt;&gt;"",OR(AND(INDEX(職員マスタ!$G$6:$G$405,$AP737)&lt;&gt;"",INDEX(職員マスタ!$G$6:$G$405,$AP737)&gt;EOMONTH($AQ737,0)),AND(INDEX(職員マスタ!$H$6:$H$405,$AP737)&lt;&gt;"",INDEX(職員マスタ!$H$6:$H$405,$AP737)&lt;$AQ737))),"対象月が時短期間外／","")&amp;IF(AND(INDEX(職員マスタ!$K$6:$K$405,$AP737)&lt;&gt;"",N($W737)&gt;0,INDEX(職員マスタ!$K$6:$K$405,$AP737)&lt;&gt;$W737),"標準報酬月額が申請書と相違（台帳"&amp;TEXT(INDEX(職員マスタ!$K$6:$K$405,$AP737),"#,##0")&amp;"円／申請書"&amp;TEXT($W737,"#,##0")&amp;"円）／","")&amp;IF(AND(INDEX(職員マスタ!$F$6:$F$405,$AP737)&lt;&gt;"",$AQ737&lt;&gt;"",INDEX(職員マスタ!$F$6:$F$405,$AP737)&lt;$AQ737),"対象月に子が2歳到達済／","")&amp;IF(AND($H737&lt;&gt;"",INDEX(職員マスタ!$B$6:$B$405,$AP737)&lt;&gt;"",SUBSTITUTE(SUBSTITUTE($H737," ","")," ","")&lt;&gt;SUBSTITUTE(SUBSTITUTE(INDEX(職員マスタ!$B$6:$B$405,$AP737)," ","")," ","")),"氏名がマスタと相違／","")&amp;IF(AND($Q737&lt;&gt;"",INDEX(職員マスタ!$E$6:$E$405,$AP737)&lt;&gt;"",$Q737&lt;&gt;INDEX(職員マスタ!$E$6:$E$405,$AP737)),"子の生年月日がマスタと相違／","")&amp;IF(AND($L737&lt;&gt;"",INDEX(職員マスタ!$G$6:$G$405,$AP737)&lt;&gt;"",$L737&lt;&gt;INDEX(職員マスタ!$G$6:$G$405,$AP737)),"時短開始日がマスタと相違／","")&amp;IF(AND($M737&lt;&gt;"",INDEX(職員マスタ!$H$6:$H$405,$AP737)&lt;&gt;"",$M737&lt;&gt;INDEX(職員マスタ!$H$6:$H$405,$AP737)),"時短終了日がマスタと相違／","")))&amp;IF(AND($B737&lt;&gt;"",$E737=""),"報酬額が未入力／","")&amp;IF(N($U737)&gt;0,"申請書に入力エラーが残っています／","")&amp;IF(AND($B737&lt;&gt;"",$AQ737&lt;&gt;""),IF(COUNTIFS($B$6:$B$3005,$B737,$C$6:$C$3005,$C737,$D$6:$D$3005,$D737)&gt;1,"同じ月の請求が重複しています／",""),"")&amp;IF(AND(N($E737)&gt;0,$AB737&lt;&gt;"",$AB737&lt;&gt;"×",$AE737=0,$AD737=""),"計算額が下限以下のため不支給／",""))</f>
        <v/>
      </c>
      <c r="AN737" s="12" t="n"/>
      <c r="AO737" s="14">
        <f>IF($AF737="保留中",COUNTIF($AF$6:$AF737,"保留中"),"")</f>
        <v/>
      </c>
      <c r="AP737" s="14">
        <f>IF($AQ737="","",IF(SUMPRODUCT(MAX((職員マスタ!$A$6:$A$405=$B737)*(((職員マスタ!$G$6:$G$405="")+(職員マスタ!$G$6:$G$405&lt;=EOMONTH($AQ737,0)))&gt;0)*(((職員マスタ!$H$6:$H$405="")+(職員マスタ!$H$6:$H$405&gt;=$AQ737))&gt;0)*(ROW(職員マスタ!$A$6:$A$405)-5)))&gt;0,SUMPRODUCT(MAX((職員マスタ!$A$6:$A$405=$B737)*(((職員マスタ!$G$6:$G$405="")+(職員マスタ!$G$6:$G$405&lt;=EOMONTH($AQ737,0)))&gt;0)*(((職員マスタ!$H$6:$H$405="")+(職員マスタ!$H$6:$H$405&gt;=$AQ737))&gt;0)*(ROW(職員マスタ!$A$6:$A$405)-5))),IFERROR(MATCH($B737,職員マスタ!$A$6:$A$405,0),"")))</f>
        <v/>
      </c>
      <c r="AQ737" s="16">
        <f>IF(OR($B737="",$C737="",$D737=""),"",DATE($C737+2018,$D737,1))</f>
        <v/>
      </c>
    </row>
    <row r="738">
      <c r="A738" s="11" t="n"/>
      <c r="B738" s="12" t="n"/>
      <c r="C738" s="12" t="n"/>
      <c r="D738" s="12" t="n"/>
      <c r="E738" s="13" t="n"/>
      <c r="F738" s="12" t="n"/>
      <c r="G738" s="13" t="n"/>
      <c r="H738" s="12" t="n"/>
      <c r="I738" s="12" t="n"/>
      <c r="J738" s="12" t="n"/>
      <c r="K738" s="12" t="n"/>
      <c r="L738" s="11" t="n"/>
      <c r="M738" s="11" t="n"/>
      <c r="N738" s="11" t="n"/>
      <c r="O738" s="11" t="n"/>
      <c r="P738" s="12" t="n"/>
      <c r="Q738" s="11" t="n"/>
      <c r="R738" s="12" t="n"/>
      <c r="S738" s="11" t="n"/>
      <c r="T738" s="12" t="n"/>
      <c r="U738" s="12" t="n"/>
      <c r="V738" s="12" t="n"/>
      <c r="W738" s="13" t="n"/>
      <c r="X738" s="14">
        <f>IF($AP738="",IF($B738="","",$H738),IF(INDEX(職員マスタ!$B$6:$B$405,$AP738)="",$H738,INDEX(職員マスタ!$B$6:$B$405,$AP738)))</f>
        <v/>
      </c>
      <c r="Y738" s="14">
        <f>IF($AP738="",IF($B738="","",$R738),IF(INDEX(職員マスタ!$C$6:$C$405,$AP738)="",$R738,INDEX(職員マスタ!$C$6:$C$405,$AP738)))</f>
        <v/>
      </c>
      <c r="Z738" s="14">
        <f>IF($AQ738="","","R"&amp;$C738&amp;"."&amp;$D738)</f>
        <v/>
      </c>
      <c r="AA738" s="15">
        <f>IF(IF($AP738="",FALSE,INDEX(職員マスタ!$K$6:$K$405,$AP738)&lt;&gt;""),INDEX(職員マスタ!$K$6:$K$405,$AP738),IF(N($W738)&gt;0,$W738,""))</f>
        <v/>
      </c>
      <c r="AB738" s="14">
        <f>IF(OR($E738="",$AA738=""),"",IF($E738&gt;=$AA738,"×",IF($E738&gt;=$AA738*設定!$C$5,"△","○")))</f>
        <v/>
      </c>
      <c r="AC738" s="15">
        <f>IF($AB738="","",IF($AB738="×",0,IF($AB738="○",ROUNDDOWN($E738*設定!$C$4,0),ROUNDDOWN($E738*ROUND((9*$AA738-9*$E738)/(10*$E738),4),0))))</f>
        <v/>
      </c>
      <c r="AD738" s="13" t="n"/>
      <c r="AE738" s="15">
        <f>IF($B738="","",IF($AD738&lt;&gt;"",$AD738,IF($AC738="","",IF($AC738&lt;=設定!$C$3,0,$AC738))))</f>
        <v/>
      </c>
      <c r="AF738" s="14">
        <f>IF($B738="","",IF(AND($AG738&lt;&gt;"",$AI738="",$AL738=""),"保留中",IF($AL738&lt;&gt;"",IF(N($AE738)&gt;0,"支給済","不支給"),IF($AE738="","要確認",IF($AE738=0,"不支給","未処理")))))</f>
        <v/>
      </c>
      <c r="AG738" s="12" t="n"/>
      <c r="AH738" s="11" t="n"/>
      <c r="AI738" s="11" t="n"/>
      <c r="AJ738" s="11" t="n"/>
      <c r="AK738" s="14">
        <f>IF(AND($AF738="保留中",$AH738&lt;&gt;""),TODAY()-$AH738,"")</f>
        <v/>
      </c>
      <c r="AL738" s="12" t="n"/>
      <c r="AM738" s="14">
        <f>IF($B738="","",IF($AQ738="","対象年月が未入力／","")&amp;IF($B738="","",IF($AP738="","職員マスタに未登録の職員番号／",IF($AA738="","標準報酬月額が未登録／","")&amp;IF(AND($AQ738&lt;&gt;"",OR(AND(INDEX(職員マスタ!$G$6:$G$405,$AP738)&lt;&gt;"",INDEX(職員マスタ!$G$6:$G$405,$AP738)&gt;EOMONTH($AQ738,0)),AND(INDEX(職員マスタ!$H$6:$H$405,$AP738)&lt;&gt;"",INDEX(職員マスタ!$H$6:$H$405,$AP738)&lt;$AQ738))),"対象月が時短期間外／","")&amp;IF(AND(INDEX(職員マスタ!$K$6:$K$405,$AP738)&lt;&gt;"",N($W738)&gt;0,INDEX(職員マスタ!$K$6:$K$405,$AP738)&lt;&gt;$W738),"標準報酬月額が申請書と相違（台帳"&amp;TEXT(INDEX(職員マスタ!$K$6:$K$405,$AP738),"#,##0")&amp;"円／申請書"&amp;TEXT($W738,"#,##0")&amp;"円）／","")&amp;IF(AND(INDEX(職員マスタ!$F$6:$F$405,$AP738)&lt;&gt;"",$AQ738&lt;&gt;"",INDEX(職員マスタ!$F$6:$F$405,$AP738)&lt;$AQ738),"対象月に子が2歳到達済／","")&amp;IF(AND($H738&lt;&gt;"",INDEX(職員マスタ!$B$6:$B$405,$AP738)&lt;&gt;"",SUBSTITUTE(SUBSTITUTE($H738," ","")," ","")&lt;&gt;SUBSTITUTE(SUBSTITUTE(INDEX(職員マスタ!$B$6:$B$405,$AP738)," ","")," ","")),"氏名がマスタと相違／","")&amp;IF(AND($Q738&lt;&gt;"",INDEX(職員マスタ!$E$6:$E$405,$AP738)&lt;&gt;"",$Q738&lt;&gt;INDEX(職員マスタ!$E$6:$E$405,$AP738)),"子の生年月日がマスタと相違／","")&amp;IF(AND($L738&lt;&gt;"",INDEX(職員マスタ!$G$6:$G$405,$AP738)&lt;&gt;"",$L738&lt;&gt;INDEX(職員マスタ!$G$6:$G$405,$AP738)),"時短開始日がマスタと相違／","")&amp;IF(AND($M738&lt;&gt;"",INDEX(職員マスタ!$H$6:$H$405,$AP738)&lt;&gt;"",$M738&lt;&gt;INDEX(職員マスタ!$H$6:$H$405,$AP738)),"時短終了日がマスタと相違／","")))&amp;IF(AND($B738&lt;&gt;"",$E738=""),"報酬額が未入力／","")&amp;IF(N($U738)&gt;0,"申請書に入力エラーが残っています／","")&amp;IF(AND($B738&lt;&gt;"",$AQ738&lt;&gt;""),IF(COUNTIFS($B$6:$B$3005,$B738,$C$6:$C$3005,$C738,$D$6:$D$3005,$D738)&gt;1,"同じ月の請求が重複しています／",""),"")&amp;IF(AND(N($E738)&gt;0,$AB738&lt;&gt;"",$AB738&lt;&gt;"×",$AE738=0,$AD738=""),"計算額が下限以下のため不支給／",""))</f>
        <v/>
      </c>
      <c r="AN738" s="12" t="n"/>
      <c r="AO738" s="14">
        <f>IF($AF738="保留中",COUNTIF($AF$6:$AF738,"保留中"),"")</f>
        <v/>
      </c>
      <c r="AP738" s="14">
        <f>IF($AQ738="","",IF(SUMPRODUCT(MAX((職員マスタ!$A$6:$A$405=$B738)*(((職員マスタ!$G$6:$G$405="")+(職員マスタ!$G$6:$G$405&lt;=EOMONTH($AQ738,0)))&gt;0)*(((職員マスタ!$H$6:$H$405="")+(職員マスタ!$H$6:$H$405&gt;=$AQ738))&gt;0)*(ROW(職員マスタ!$A$6:$A$405)-5)))&gt;0,SUMPRODUCT(MAX((職員マスタ!$A$6:$A$405=$B738)*(((職員マスタ!$G$6:$G$405="")+(職員マスタ!$G$6:$G$405&lt;=EOMONTH($AQ738,0)))&gt;0)*(((職員マスタ!$H$6:$H$405="")+(職員マスタ!$H$6:$H$405&gt;=$AQ738))&gt;0)*(ROW(職員マスタ!$A$6:$A$405)-5))),IFERROR(MATCH($B738,職員マスタ!$A$6:$A$405,0),"")))</f>
        <v/>
      </c>
      <c r="AQ738" s="16">
        <f>IF(OR($B738="",$C738="",$D738=""),"",DATE($C738+2018,$D738,1))</f>
        <v/>
      </c>
    </row>
    <row r="739">
      <c r="A739" s="11" t="n"/>
      <c r="B739" s="12" t="n"/>
      <c r="C739" s="12" t="n"/>
      <c r="D739" s="12" t="n"/>
      <c r="E739" s="13" t="n"/>
      <c r="F739" s="12" t="n"/>
      <c r="G739" s="13" t="n"/>
      <c r="H739" s="12" t="n"/>
      <c r="I739" s="12" t="n"/>
      <c r="J739" s="12" t="n"/>
      <c r="K739" s="12" t="n"/>
      <c r="L739" s="11" t="n"/>
      <c r="M739" s="11" t="n"/>
      <c r="N739" s="11" t="n"/>
      <c r="O739" s="11" t="n"/>
      <c r="P739" s="12" t="n"/>
      <c r="Q739" s="11" t="n"/>
      <c r="R739" s="12" t="n"/>
      <c r="S739" s="11" t="n"/>
      <c r="T739" s="12" t="n"/>
      <c r="U739" s="12" t="n"/>
      <c r="V739" s="12" t="n"/>
      <c r="W739" s="13" t="n"/>
      <c r="X739" s="14">
        <f>IF($AP739="",IF($B739="","",$H739),IF(INDEX(職員マスタ!$B$6:$B$405,$AP739)="",$H739,INDEX(職員マスタ!$B$6:$B$405,$AP739)))</f>
        <v/>
      </c>
      <c r="Y739" s="14">
        <f>IF($AP739="",IF($B739="","",$R739),IF(INDEX(職員マスタ!$C$6:$C$405,$AP739)="",$R739,INDEX(職員マスタ!$C$6:$C$405,$AP739)))</f>
        <v/>
      </c>
      <c r="Z739" s="14">
        <f>IF($AQ739="","","R"&amp;$C739&amp;"."&amp;$D739)</f>
        <v/>
      </c>
      <c r="AA739" s="15">
        <f>IF(IF($AP739="",FALSE,INDEX(職員マスタ!$K$6:$K$405,$AP739)&lt;&gt;""),INDEX(職員マスタ!$K$6:$K$405,$AP739),IF(N($W739)&gt;0,$W739,""))</f>
        <v/>
      </c>
      <c r="AB739" s="14">
        <f>IF(OR($E739="",$AA739=""),"",IF($E739&gt;=$AA739,"×",IF($E739&gt;=$AA739*設定!$C$5,"△","○")))</f>
        <v/>
      </c>
      <c r="AC739" s="15">
        <f>IF($AB739="","",IF($AB739="×",0,IF($AB739="○",ROUNDDOWN($E739*設定!$C$4,0),ROUNDDOWN($E739*ROUND((9*$AA739-9*$E739)/(10*$E739),4),0))))</f>
        <v/>
      </c>
      <c r="AD739" s="13" t="n"/>
      <c r="AE739" s="15">
        <f>IF($B739="","",IF($AD739&lt;&gt;"",$AD739,IF($AC739="","",IF($AC739&lt;=設定!$C$3,0,$AC739))))</f>
        <v/>
      </c>
      <c r="AF739" s="14">
        <f>IF($B739="","",IF(AND($AG739&lt;&gt;"",$AI739="",$AL739=""),"保留中",IF($AL739&lt;&gt;"",IF(N($AE739)&gt;0,"支給済","不支給"),IF($AE739="","要確認",IF($AE739=0,"不支給","未処理")))))</f>
        <v/>
      </c>
      <c r="AG739" s="12" t="n"/>
      <c r="AH739" s="11" t="n"/>
      <c r="AI739" s="11" t="n"/>
      <c r="AJ739" s="11" t="n"/>
      <c r="AK739" s="14">
        <f>IF(AND($AF739="保留中",$AH739&lt;&gt;""),TODAY()-$AH739,"")</f>
        <v/>
      </c>
      <c r="AL739" s="12" t="n"/>
      <c r="AM739" s="14">
        <f>IF($B739="","",IF($AQ739="","対象年月が未入力／","")&amp;IF($B739="","",IF($AP739="","職員マスタに未登録の職員番号／",IF($AA739="","標準報酬月額が未登録／","")&amp;IF(AND($AQ739&lt;&gt;"",OR(AND(INDEX(職員マスタ!$G$6:$G$405,$AP739)&lt;&gt;"",INDEX(職員マスタ!$G$6:$G$405,$AP739)&gt;EOMONTH($AQ739,0)),AND(INDEX(職員マスタ!$H$6:$H$405,$AP739)&lt;&gt;"",INDEX(職員マスタ!$H$6:$H$405,$AP739)&lt;$AQ739))),"対象月が時短期間外／","")&amp;IF(AND(INDEX(職員マスタ!$K$6:$K$405,$AP739)&lt;&gt;"",N($W739)&gt;0,INDEX(職員マスタ!$K$6:$K$405,$AP739)&lt;&gt;$W739),"標準報酬月額が申請書と相違（台帳"&amp;TEXT(INDEX(職員マスタ!$K$6:$K$405,$AP739),"#,##0")&amp;"円／申請書"&amp;TEXT($W739,"#,##0")&amp;"円）／","")&amp;IF(AND(INDEX(職員マスタ!$F$6:$F$405,$AP739)&lt;&gt;"",$AQ739&lt;&gt;"",INDEX(職員マスタ!$F$6:$F$405,$AP739)&lt;$AQ739),"対象月に子が2歳到達済／","")&amp;IF(AND($H739&lt;&gt;"",INDEX(職員マスタ!$B$6:$B$405,$AP739)&lt;&gt;"",SUBSTITUTE(SUBSTITUTE($H739," ","")," ","")&lt;&gt;SUBSTITUTE(SUBSTITUTE(INDEX(職員マスタ!$B$6:$B$405,$AP739)," ","")," ","")),"氏名がマスタと相違／","")&amp;IF(AND($Q739&lt;&gt;"",INDEX(職員マスタ!$E$6:$E$405,$AP739)&lt;&gt;"",$Q739&lt;&gt;INDEX(職員マスタ!$E$6:$E$405,$AP739)),"子の生年月日がマスタと相違／","")&amp;IF(AND($L739&lt;&gt;"",INDEX(職員マスタ!$G$6:$G$405,$AP739)&lt;&gt;"",$L739&lt;&gt;INDEX(職員マスタ!$G$6:$G$405,$AP739)),"時短開始日がマスタと相違／","")&amp;IF(AND($M739&lt;&gt;"",INDEX(職員マスタ!$H$6:$H$405,$AP739)&lt;&gt;"",$M739&lt;&gt;INDEX(職員マスタ!$H$6:$H$405,$AP739)),"時短終了日がマスタと相違／","")))&amp;IF(AND($B739&lt;&gt;"",$E739=""),"報酬額が未入力／","")&amp;IF(N($U739)&gt;0,"申請書に入力エラーが残っています／","")&amp;IF(AND($B739&lt;&gt;"",$AQ739&lt;&gt;""),IF(COUNTIFS($B$6:$B$3005,$B739,$C$6:$C$3005,$C739,$D$6:$D$3005,$D739)&gt;1,"同じ月の請求が重複しています／",""),"")&amp;IF(AND(N($E739)&gt;0,$AB739&lt;&gt;"",$AB739&lt;&gt;"×",$AE739=0,$AD739=""),"計算額が下限以下のため不支給／",""))</f>
        <v/>
      </c>
      <c r="AN739" s="12" t="n"/>
      <c r="AO739" s="14">
        <f>IF($AF739="保留中",COUNTIF($AF$6:$AF739,"保留中"),"")</f>
        <v/>
      </c>
      <c r="AP739" s="14">
        <f>IF($AQ739="","",IF(SUMPRODUCT(MAX((職員マスタ!$A$6:$A$405=$B739)*(((職員マスタ!$G$6:$G$405="")+(職員マスタ!$G$6:$G$405&lt;=EOMONTH($AQ739,0)))&gt;0)*(((職員マスタ!$H$6:$H$405="")+(職員マスタ!$H$6:$H$405&gt;=$AQ739))&gt;0)*(ROW(職員マスタ!$A$6:$A$405)-5)))&gt;0,SUMPRODUCT(MAX((職員マスタ!$A$6:$A$405=$B739)*(((職員マスタ!$G$6:$G$405="")+(職員マスタ!$G$6:$G$405&lt;=EOMONTH($AQ739,0)))&gt;0)*(((職員マスタ!$H$6:$H$405="")+(職員マスタ!$H$6:$H$405&gt;=$AQ739))&gt;0)*(ROW(職員マスタ!$A$6:$A$405)-5))),IFERROR(MATCH($B739,職員マスタ!$A$6:$A$405,0),"")))</f>
        <v/>
      </c>
      <c r="AQ739" s="16">
        <f>IF(OR($B739="",$C739="",$D739=""),"",DATE($C739+2018,$D739,1))</f>
        <v/>
      </c>
    </row>
    <row r="740">
      <c r="A740" s="11" t="n"/>
      <c r="B740" s="12" t="n"/>
      <c r="C740" s="12" t="n"/>
      <c r="D740" s="12" t="n"/>
      <c r="E740" s="13" t="n"/>
      <c r="F740" s="12" t="n"/>
      <c r="G740" s="13" t="n"/>
      <c r="H740" s="12" t="n"/>
      <c r="I740" s="12" t="n"/>
      <c r="J740" s="12" t="n"/>
      <c r="K740" s="12" t="n"/>
      <c r="L740" s="11" t="n"/>
      <c r="M740" s="11" t="n"/>
      <c r="N740" s="11" t="n"/>
      <c r="O740" s="11" t="n"/>
      <c r="P740" s="12" t="n"/>
      <c r="Q740" s="11" t="n"/>
      <c r="R740" s="12" t="n"/>
      <c r="S740" s="11" t="n"/>
      <c r="T740" s="12" t="n"/>
      <c r="U740" s="12" t="n"/>
      <c r="V740" s="12" t="n"/>
      <c r="W740" s="13" t="n"/>
      <c r="X740" s="14">
        <f>IF($AP740="",IF($B740="","",$H740),IF(INDEX(職員マスタ!$B$6:$B$405,$AP740)="",$H740,INDEX(職員マスタ!$B$6:$B$405,$AP740)))</f>
        <v/>
      </c>
      <c r="Y740" s="14">
        <f>IF($AP740="",IF($B740="","",$R740),IF(INDEX(職員マスタ!$C$6:$C$405,$AP740)="",$R740,INDEX(職員マスタ!$C$6:$C$405,$AP740)))</f>
        <v/>
      </c>
      <c r="Z740" s="14">
        <f>IF($AQ740="","","R"&amp;$C740&amp;"."&amp;$D740)</f>
        <v/>
      </c>
      <c r="AA740" s="15">
        <f>IF(IF($AP740="",FALSE,INDEX(職員マスタ!$K$6:$K$405,$AP740)&lt;&gt;""),INDEX(職員マスタ!$K$6:$K$405,$AP740),IF(N($W740)&gt;0,$W740,""))</f>
        <v/>
      </c>
      <c r="AB740" s="14">
        <f>IF(OR($E740="",$AA740=""),"",IF($E740&gt;=$AA740,"×",IF($E740&gt;=$AA740*設定!$C$5,"△","○")))</f>
        <v/>
      </c>
      <c r="AC740" s="15">
        <f>IF($AB740="","",IF($AB740="×",0,IF($AB740="○",ROUNDDOWN($E740*設定!$C$4,0),ROUNDDOWN($E740*ROUND((9*$AA740-9*$E740)/(10*$E740),4),0))))</f>
        <v/>
      </c>
      <c r="AD740" s="13" t="n"/>
      <c r="AE740" s="15">
        <f>IF($B740="","",IF($AD740&lt;&gt;"",$AD740,IF($AC740="","",IF($AC740&lt;=設定!$C$3,0,$AC740))))</f>
        <v/>
      </c>
      <c r="AF740" s="14">
        <f>IF($B740="","",IF(AND($AG740&lt;&gt;"",$AI740="",$AL740=""),"保留中",IF($AL740&lt;&gt;"",IF(N($AE740)&gt;0,"支給済","不支給"),IF($AE740="","要確認",IF($AE740=0,"不支給","未処理")))))</f>
        <v/>
      </c>
      <c r="AG740" s="12" t="n"/>
      <c r="AH740" s="11" t="n"/>
      <c r="AI740" s="11" t="n"/>
      <c r="AJ740" s="11" t="n"/>
      <c r="AK740" s="14">
        <f>IF(AND($AF740="保留中",$AH740&lt;&gt;""),TODAY()-$AH740,"")</f>
        <v/>
      </c>
      <c r="AL740" s="12" t="n"/>
      <c r="AM740" s="14">
        <f>IF($B740="","",IF($AQ740="","対象年月が未入力／","")&amp;IF($B740="","",IF($AP740="","職員マスタに未登録の職員番号／",IF($AA740="","標準報酬月額が未登録／","")&amp;IF(AND($AQ740&lt;&gt;"",OR(AND(INDEX(職員マスタ!$G$6:$G$405,$AP740)&lt;&gt;"",INDEX(職員マスタ!$G$6:$G$405,$AP740)&gt;EOMONTH($AQ740,0)),AND(INDEX(職員マスタ!$H$6:$H$405,$AP740)&lt;&gt;"",INDEX(職員マスタ!$H$6:$H$405,$AP740)&lt;$AQ740))),"対象月が時短期間外／","")&amp;IF(AND(INDEX(職員マスタ!$K$6:$K$405,$AP740)&lt;&gt;"",N($W740)&gt;0,INDEX(職員マスタ!$K$6:$K$405,$AP740)&lt;&gt;$W740),"標準報酬月額が申請書と相違（台帳"&amp;TEXT(INDEX(職員マスタ!$K$6:$K$405,$AP740),"#,##0")&amp;"円／申請書"&amp;TEXT($W740,"#,##0")&amp;"円）／","")&amp;IF(AND(INDEX(職員マスタ!$F$6:$F$405,$AP740)&lt;&gt;"",$AQ740&lt;&gt;"",INDEX(職員マスタ!$F$6:$F$405,$AP740)&lt;$AQ740),"対象月に子が2歳到達済／","")&amp;IF(AND($H740&lt;&gt;"",INDEX(職員マスタ!$B$6:$B$405,$AP740)&lt;&gt;"",SUBSTITUTE(SUBSTITUTE($H740," ","")," ","")&lt;&gt;SUBSTITUTE(SUBSTITUTE(INDEX(職員マスタ!$B$6:$B$405,$AP740)," ","")," ","")),"氏名がマスタと相違／","")&amp;IF(AND($Q740&lt;&gt;"",INDEX(職員マスタ!$E$6:$E$405,$AP740)&lt;&gt;"",$Q740&lt;&gt;INDEX(職員マスタ!$E$6:$E$405,$AP740)),"子の生年月日がマスタと相違／","")&amp;IF(AND($L740&lt;&gt;"",INDEX(職員マスタ!$G$6:$G$405,$AP740)&lt;&gt;"",$L740&lt;&gt;INDEX(職員マスタ!$G$6:$G$405,$AP740)),"時短開始日がマスタと相違／","")&amp;IF(AND($M740&lt;&gt;"",INDEX(職員マスタ!$H$6:$H$405,$AP740)&lt;&gt;"",$M740&lt;&gt;INDEX(職員マスタ!$H$6:$H$405,$AP740)),"時短終了日がマスタと相違／","")))&amp;IF(AND($B740&lt;&gt;"",$E740=""),"報酬額が未入力／","")&amp;IF(N($U740)&gt;0,"申請書に入力エラーが残っています／","")&amp;IF(AND($B740&lt;&gt;"",$AQ740&lt;&gt;""),IF(COUNTIFS($B$6:$B$3005,$B740,$C$6:$C$3005,$C740,$D$6:$D$3005,$D740)&gt;1,"同じ月の請求が重複しています／",""),"")&amp;IF(AND(N($E740)&gt;0,$AB740&lt;&gt;"",$AB740&lt;&gt;"×",$AE740=0,$AD740=""),"計算額が下限以下のため不支給／",""))</f>
        <v/>
      </c>
      <c r="AN740" s="12" t="n"/>
      <c r="AO740" s="14">
        <f>IF($AF740="保留中",COUNTIF($AF$6:$AF740,"保留中"),"")</f>
        <v/>
      </c>
      <c r="AP740" s="14">
        <f>IF($AQ740="","",IF(SUMPRODUCT(MAX((職員マスタ!$A$6:$A$405=$B740)*(((職員マスタ!$G$6:$G$405="")+(職員マスタ!$G$6:$G$405&lt;=EOMONTH($AQ740,0)))&gt;0)*(((職員マスタ!$H$6:$H$405="")+(職員マスタ!$H$6:$H$405&gt;=$AQ740))&gt;0)*(ROW(職員マスタ!$A$6:$A$405)-5)))&gt;0,SUMPRODUCT(MAX((職員マスタ!$A$6:$A$405=$B740)*(((職員マスタ!$G$6:$G$405="")+(職員マスタ!$G$6:$G$405&lt;=EOMONTH($AQ740,0)))&gt;0)*(((職員マスタ!$H$6:$H$405="")+(職員マスタ!$H$6:$H$405&gt;=$AQ740))&gt;0)*(ROW(職員マスタ!$A$6:$A$405)-5))),IFERROR(MATCH($B740,職員マスタ!$A$6:$A$405,0),"")))</f>
        <v/>
      </c>
      <c r="AQ740" s="16">
        <f>IF(OR($B740="",$C740="",$D740=""),"",DATE($C740+2018,$D740,1))</f>
        <v/>
      </c>
    </row>
    <row r="741">
      <c r="A741" s="11" t="n"/>
      <c r="B741" s="12" t="n"/>
      <c r="C741" s="12" t="n"/>
      <c r="D741" s="12" t="n"/>
      <c r="E741" s="13" t="n"/>
      <c r="F741" s="12" t="n"/>
      <c r="G741" s="13" t="n"/>
      <c r="H741" s="12" t="n"/>
      <c r="I741" s="12" t="n"/>
      <c r="J741" s="12" t="n"/>
      <c r="K741" s="12" t="n"/>
      <c r="L741" s="11" t="n"/>
      <c r="M741" s="11" t="n"/>
      <c r="N741" s="11" t="n"/>
      <c r="O741" s="11" t="n"/>
      <c r="P741" s="12" t="n"/>
      <c r="Q741" s="11" t="n"/>
      <c r="R741" s="12" t="n"/>
      <c r="S741" s="11" t="n"/>
      <c r="T741" s="12" t="n"/>
      <c r="U741" s="12" t="n"/>
      <c r="V741" s="12" t="n"/>
      <c r="W741" s="13" t="n"/>
      <c r="X741" s="14">
        <f>IF($AP741="",IF($B741="","",$H741),IF(INDEX(職員マスタ!$B$6:$B$405,$AP741)="",$H741,INDEX(職員マスタ!$B$6:$B$405,$AP741)))</f>
        <v/>
      </c>
      <c r="Y741" s="14">
        <f>IF($AP741="",IF($B741="","",$R741),IF(INDEX(職員マスタ!$C$6:$C$405,$AP741)="",$R741,INDEX(職員マスタ!$C$6:$C$405,$AP741)))</f>
        <v/>
      </c>
      <c r="Z741" s="14">
        <f>IF($AQ741="","","R"&amp;$C741&amp;"."&amp;$D741)</f>
        <v/>
      </c>
      <c r="AA741" s="15">
        <f>IF(IF($AP741="",FALSE,INDEX(職員マスタ!$K$6:$K$405,$AP741)&lt;&gt;""),INDEX(職員マスタ!$K$6:$K$405,$AP741),IF(N($W741)&gt;0,$W741,""))</f>
        <v/>
      </c>
      <c r="AB741" s="14">
        <f>IF(OR($E741="",$AA741=""),"",IF($E741&gt;=$AA741,"×",IF($E741&gt;=$AA741*設定!$C$5,"△","○")))</f>
        <v/>
      </c>
      <c r="AC741" s="15">
        <f>IF($AB741="","",IF($AB741="×",0,IF($AB741="○",ROUNDDOWN($E741*設定!$C$4,0),ROUNDDOWN($E741*ROUND((9*$AA741-9*$E741)/(10*$E741),4),0))))</f>
        <v/>
      </c>
      <c r="AD741" s="13" t="n"/>
      <c r="AE741" s="15">
        <f>IF($B741="","",IF($AD741&lt;&gt;"",$AD741,IF($AC741="","",IF($AC741&lt;=設定!$C$3,0,$AC741))))</f>
        <v/>
      </c>
      <c r="AF741" s="14">
        <f>IF($B741="","",IF(AND($AG741&lt;&gt;"",$AI741="",$AL741=""),"保留中",IF($AL741&lt;&gt;"",IF(N($AE741)&gt;0,"支給済","不支給"),IF($AE741="","要確認",IF($AE741=0,"不支給","未処理")))))</f>
        <v/>
      </c>
      <c r="AG741" s="12" t="n"/>
      <c r="AH741" s="11" t="n"/>
      <c r="AI741" s="11" t="n"/>
      <c r="AJ741" s="11" t="n"/>
      <c r="AK741" s="14">
        <f>IF(AND($AF741="保留中",$AH741&lt;&gt;""),TODAY()-$AH741,"")</f>
        <v/>
      </c>
      <c r="AL741" s="12" t="n"/>
      <c r="AM741" s="14">
        <f>IF($B741="","",IF($AQ741="","対象年月が未入力／","")&amp;IF($B741="","",IF($AP741="","職員マスタに未登録の職員番号／",IF($AA741="","標準報酬月額が未登録／","")&amp;IF(AND($AQ741&lt;&gt;"",OR(AND(INDEX(職員マスタ!$G$6:$G$405,$AP741)&lt;&gt;"",INDEX(職員マスタ!$G$6:$G$405,$AP741)&gt;EOMONTH($AQ741,0)),AND(INDEX(職員マスタ!$H$6:$H$405,$AP741)&lt;&gt;"",INDEX(職員マスタ!$H$6:$H$405,$AP741)&lt;$AQ741))),"対象月が時短期間外／","")&amp;IF(AND(INDEX(職員マスタ!$K$6:$K$405,$AP741)&lt;&gt;"",N($W741)&gt;0,INDEX(職員マスタ!$K$6:$K$405,$AP741)&lt;&gt;$W741),"標準報酬月額が申請書と相違（台帳"&amp;TEXT(INDEX(職員マスタ!$K$6:$K$405,$AP741),"#,##0")&amp;"円／申請書"&amp;TEXT($W741,"#,##0")&amp;"円）／","")&amp;IF(AND(INDEX(職員マスタ!$F$6:$F$405,$AP741)&lt;&gt;"",$AQ741&lt;&gt;"",INDEX(職員マスタ!$F$6:$F$405,$AP741)&lt;$AQ741),"対象月に子が2歳到達済／","")&amp;IF(AND($H741&lt;&gt;"",INDEX(職員マスタ!$B$6:$B$405,$AP741)&lt;&gt;"",SUBSTITUTE(SUBSTITUTE($H741," ","")," ","")&lt;&gt;SUBSTITUTE(SUBSTITUTE(INDEX(職員マスタ!$B$6:$B$405,$AP741)," ","")," ","")),"氏名がマスタと相違／","")&amp;IF(AND($Q741&lt;&gt;"",INDEX(職員マスタ!$E$6:$E$405,$AP741)&lt;&gt;"",$Q741&lt;&gt;INDEX(職員マスタ!$E$6:$E$405,$AP741)),"子の生年月日がマスタと相違／","")&amp;IF(AND($L741&lt;&gt;"",INDEX(職員マスタ!$G$6:$G$405,$AP741)&lt;&gt;"",$L741&lt;&gt;INDEX(職員マスタ!$G$6:$G$405,$AP741)),"時短開始日がマスタと相違／","")&amp;IF(AND($M741&lt;&gt;"",INDEX(職員マスタ!$H$6:$H$405,$AP741)&lt;&gt;"",$M741&lt;&gt;INDEX(職員マスタ!$H$6:$H$405,$AP741)),"時短終了日がマスタと相違／","")))&amp;IF(AND($B741&lt;&gt;"",$E741=""),"報酬額が未入力／","")&amp;IF(N($U741)&gt;0,"申請書に入力エラーが残っています／","")&amp;IF(AND($B741&lt;&gt;"",$AQ741&lt;&gt;""),IF(COUNTIFS($B$6:$B$3005,$B741,$C$6:$C$3005,$C741,$D$6:$D$3005,$D741)&gt;1,"同じ月の請求が重複しています／",""),"")&amp;IF(AND(N($E741)&gt;0,$AB741&lt;&gt;"",$AB741&lt;&gt;"×",$AE741=0,$AD741=""),"計算額が下限以下のため不支給／",""))</f>
        <v/>
      </c>
      <c r="AN741" s="12" t="n"/>
      <c r="AO741" s="14">
        <f>IF($AF741="保留中",COUNTIF($AF$6:$AF741,"保留中"),"")</f>
        <v/>
      </c>
      <c r="AP741" s="14">
        <f>IF($AQ741="","",IF(SUMPRODUCT(MAX((職員マスタ!$A$6:$A$405=$B741)*(((職員マスタ!$G$6:$G$405="")+(職員マスタ!$G$6:$G$405&lt;=EOMONTH($AQ741,0)))&gt;0)*(((職員マスタ!$H$6:$H$405="")+(職員マスタ!$H$6:$H$405&gt;=$AQ741))&gt;0)*(ROW(職員マスタ!$A$6:$A$405)-5)))&gt;0,SUMPRODUCT(MAX((職員マスタ!$A$6:$A$405=$B741)*(((職員マスタ!$G$6:$G$405="")+(職員マスタ!$G$6:$G$405&lt;=EOMONTH($AQ741,0)))&gt;0)*(((職員マスタ!$H$6:$H$405="")+(職員マスタ!$H$6:$H$405&gt;=$AQ741))&gt;0)*(ROW(職員マスタ!$A$6:$A$405)-5))),IFERROR(MATCH($B741,職員マスタ!$A$6:$A$405,0),"")))</f>
        <v/>
      </c>
      <c r="AQ741" s="16">
        <f>IF(OR($B741="",$C741="",$D741=""),"",DATE($C741+2018,$D741,1))</f>
        <v/>
      </c>
    </row>
    <row r="742">
      <c r="A742" s="11" t="n"/>
      <c r="B742" s="12" t="n"/>
      <c r="C742" s="12" t="n"/>
      <c r="D742" s="12" t="n"/>
      <c r="E742" s="13" t="n"/>
      <c r="F742" s="12" t="n"/>
      <c r="G742" s="13" t="n"/>
      <c r="H742" s="12" t="n"/>
      <c r="I742" s="12" t="n"/>
      <c r="J742" s="12" t="n"/>
      <c r="K742" s="12" t="n"/>
      <c r="L742" s="11" t="n"/>
      <c r="M742" s="11" t="n"/>
      <c r="N742" s="11" t="n"/>
      <c r="O742" s="11" t="n"/>
      <c r="P742" s="12" t="n"/>
      <c r="Q742" s="11" t="n"/>
      <c r="R742" s="12" t="n"/>
      <c r="S742" s="11" t="n"/>
      <c r="T742" s="12" t="n"/>
      <c r="U742" s="12" t="n"/>
      <c r="V742" s="12" t="n"/>
      <c r="W742" s="13" t="n"/>
      <c r="X742" s="14">
        <f>IF($AP742="",IF($B742="","",$H742),IF(INDEX(職員マスタ!$B$6:$B$405,$AP742)="",$H742,INDEX(職員マスタ!$B$6:$B$405,$AP742)))</f>
        <v/>
      </c>
      <c r="Y742" s="14">
        <f>IF($AP742="",IF($B742="","",$R742),IF(INDEX(職員マスタ!$C$6:$C$405,$AP742)="",$R742,INDEX(職員マスタ!$C$6:$C$405,$AP742)))</f>
        <v/>
      </c>
      <c r="Z742" s="14">
        <f>IF($AQ742="","","R"&amp;$C742&amp;"."&amp;$D742)</f>
        <v/>
      </c>
      <c r="AA742" s="15">
        <f>IF(IF($AP742="",FALSE,INDEX(職員マスタ!$K$6:$K$405,$AP742)&lt;&gt;""),INDEX(職員マスタ!$K$6:$K$405,$AP742),IF(N($W742)&gt;0,$W742,""))</f>
        <v/>
      </c>
      <c r="AB742" s="14">
        <f>IF(OR($E742="",$AA742=""),"",IF($E742&gt;=$AA742,"×",IF($E742&gt;=$AA742*設定!$C$5,"△","○")))</f>
        <v/>
      </c>
      <c r="AC742" s="15">
        <f>IF($AB742="","",IF($AB742="×",0,IF($AB742="○",ROUNDDOWN($E742*設定!$C$4,0),ROUNDDOWN($E742*ROUND((9*$AA742-9*$E742)/(10*$E742),4),0))))</f>
        <v/>
      </c>
      <c r="AD742" s="13" t="n"/>
      <c r="AE742" s="15">
        <f>IF($B742="","",IF($AD742&lt;&gt;"",$AD742,IF($AC742="","",IF($AC742&lt;=設定!$C$3,0,$AC742))))</f>
        <v/>
      </c>
      <c r="AF742" s="14">
        <f>IF($B742="","",IF(AND($AG742&lt;&gt;"",$AI742="",$AL742=""),"保留中",IF($AL742&lt;&gt;"",IF(N($AE742)&gt;0,"支給済","不支給"),IF($AE742="","要確認",IF($AE742=0,"不支給","未処理")))))</f>
        <v/>
      </c>
      <c r="AG742" s="12" t="n"/>
      <c r="AH742" s="11" t="n"/>
      <c r="AI742" s="11" t="n"/>
      <c r="AJ742" s="11" t="n"/>
      <c r="AK742" s="14">
        <f>IF(AND($AF742="保留中",$AH742&lt;&gt;""),TODAY()-$AH742,"")</f>
        <v/>
      </c>
      <c r="AL742" s="12" t="n"/>
      <c r="AM742" s="14">
        <f>IF($B742="","",IF($AQ742="","対象年月が未入力／","")&amp;IF($B742="","",IF($AP742="","職員マスタに未登録の職員番号／",IF($AA742="","標準報酬月額が未登録／","")&amp;IF(AND($AQ742&lt;&gt;"",OR(AND(INDEX(職員マスタ!$G$6:$G$405,$AP742)&lt;&gt;"",INDEX(職員マスタ!$G$6:$G$405,$AP742)&gt;EOMONTH($AQ742,0)),AND(INDEX(職員マスタ!$H$6:$H$405,$AP742)&lt;&gt;"",INDEX(職員マスタ!$H$6:$H$405,$AP742)&lt;$AQ742))),"対象月が時短期間外／","")&amp;IF(AND(INDEX(職員マスタ!$K$6:$K$405,$AP742)&lt;&gt;"",N($W742)&gt;0,INDEX(職員マスタ!$K$6:$K$405,$AP742)&lt;&gt;$W742),"標準報酬月額が申請書と相違（台帳"&amp;TEXT(INDEX(職員マスタ!$K$6:$K$405,$AP742),"#,##0")&amp;"円／申請書"&amp;TEXT($W742,"#,##0")&amp;"円）／","")&amp;IF(AND(INDEX(職員マスタ!$F$6:$F$405,$AP742)&lt;&gt;"",$AQ742&lt;&gt;"",INDEX(職員マスタ!$F$6:$F$405,$AP742)&lt;$AQ742),"対象月に子が2歳到達済／","")&amp;IF(AND($H742&lt;&gt;"",INDEX(職員マスタ!$B$6:$B$405,$AP742)&lt;&gt;"",SUBSTITUTE(SUBSTITUTE($H742," ","")," ","")&lt;&gt;SUBSTITUTE(SUBSTITUTE(INDEX(職員マスタ!$B$6:$B$405,$AP742)," ","")," ","")),"氏名がマスタと相違／","")&amp;IF(AND($Q742&lt;&gt;"",INDEX(職員マスタ!$E$6:$E$405,$AP742)&lt;&gt;"",$Q742&lt;&gt;INDEX(職員マスタ!$E$6:$E$405,$AP742)),"子の生年月日がマスタと相違／","")&amp;IF(AND($L742&lt;&gt;"",INDEX(職員マスタ!$G$6:$G$405,$AP742)&lt;&gt;"",$L742&lt;&gt;INDEX(職員マスタ!$G$6:$G$405,$AP742)),"時短開始日がマスタと相違／","")&amp;IF(AND($M742&lt;&gt;"",INDEX(職員マスタ!$H$6:$H$405,$AP742)&lt;&gt;"",$M742&lt;&gt;INDEX(職員マスタ!$H$6:$H$405,$AP742)),"時短終了日がマスタと相違／","")))&amp;IF(AND($B742&lt;&gt;"",$E742=""),"報酬額が未入力／","")&amp;IF(N($U742)&gt;0,"申請書に入力エラーが残っています／","")&amp;IF(AND($B742&lt;&gt;"",$AQ742&lt;&gt;""),IF(COUNTIFS($B$6:$B$3005,$B742,$C$6:$C$3005,$C742,$D$6:$D$3005,$D742)&gt;1,"同じ月の請求が重複しています／",""),"")&amp;IF(AND(N($E742)&gt;0,$AB742&lt;&gt;"",$AB742&lt;&gt;"×",$AE742=0,$AD742=""),"計算額が下限以下のため不支給／",""))</f>
        <v/>
      </c>
      <c r="AN742" s="12" t="n"/>
      <c r="AO742" s="14">
        <f>IF($AF742="保留中",COUNTIF($AF$6:$AF742,"保留中"),"")</f>
        <v/>
      </c>
      <c r="AP742" s="14">
        <f>IF($AQ742="","",IF(SUMPRODUCT(MAX((職員マスタ!$A$6:$A$405=$B742)*(((職員マスタ!$G$6:$G$405="")+(職員マスタ!$G$6:$G$405&lt;=EOMONTH($AQ742,0)))&gt;0)*(((職員マスタ!$H$6:$H$405="")+(職員マスタ!$H$6:$H$405&gt;=$AQ742))&gt;0)*(ROW(職員マスタ!$A$6:$A$405)-5)))&gt;0,SUMPRODUCT(MAX((職員マスタ!$A$6:$A$405=$B742)*(((職員マスタ!$G$6:$G$405="")+(職員マスタ!$G$6:$G$405&lt;=EOMONTH($AQ742,0)))&gt;0)*(((職員マスタ!$H$6:$H$405="")+(職員マスタ!$H$6:$H$405&gt;=$AQ742))&gt;0)*(ROW(職員マスタ!$A$6:$A$405)-5))),IFERROR(MATCH($B742,職員マスタ!$A$6:$A$405,0),"")))</f>
        <v/>
      </c>
      <c r="AQ742" s="16">
        <f>IF(OR($B742="",$C742="",$D742=""),"",DATE($C742+2018,$D742,1))</f>
        <v/>
      </c>
    </row>
    <row r="743">
      <c r="A743" s="11" t="n"/>
      <c r="B743" s="12" t="n"/>
      <c r="C743" s="12" t="n"/>
      <c r="D743" s="12" t="n"/>
      <c r="E743" s="13" t="n"/>
      <c r="F743" s="12" t="n"/>
      <c r="G743" s="13" t="n"/>
      <c r="H743" s="12" t="n"/>
      <c r="I743" s="12" t="n"/>
      <c r="J743" s="12" t="n"/>
      <c r="K743" s="12" t="n"/>
      <c r="L743" s="11" t="n"/>
      <c r="M743" s="11" t="n"/>
      <c r="N743" s="11" t="n"/>
      <c r="O743" s="11" t="n"/>
      <c r="P743" s="12" t="n"/>
      <c r="Q743" s="11" t="n"/>
      <c r="R743" s="12" t="n"/>
      <c r="S743" s="11" t="n"/>
      <c r="T743" s="12" t="n"/>
      <c r="U743" s="12" t="n"/>
      <c r="V743" s="12" t="n"/>
      <c r="W743" s="13" t="n"/>
      <c r="X743" s="14">
        <f>IF($AP743="",IF($B743="","",$H743),IF(INDEX(職員マスタ!$B$6:$B$405,$AP743)="",$H743,INDEX(職員マスタ!$B$6:$B$405,$AP743)))</f>
        <v/>
      </c>
      <c r="Y743" s="14">
        <f>IF($AP743="",IF($B743="","",$R743),IF(INDEX(職員マスタ!$C$6:$C$405,$AP743)="",$R743,INDEX(職員マスタ!$C$6:$C$405,$AP743)))</f>
        <v/>
      </c>
      <c r="Z743" s="14">
        <f>IF($AQ743="","","R"&amp;$C743&amp;"."&amp;$D743)</f>
        <v/>
      </c>
      <c r="AA743" s="15">
        <f>IF(IF($AP743="",FALSE,INDEX(職員マスタ!$K$6:$K$405,$AP743)&lt;&gt;""),INDEX(職員マスタ!$K$6:$K$405,$AP743),IF(N($W743)&gt;0,$W743,""))</f>
        <v/>
      </c>
      <c r="AB743" s="14">
        <f>IF(OR($E743="",$AA743=""),"",IF($E743&gt;=$AA743,"×",IF($E743&gt;=$AA743*設定!$C$5,"△","○")))</f>
        <v/>
      </c>
      <c r="AC743" s="15">
        <f>IF($AB743="","",IF($AB743="×",0,IF($AB743="○",ROUNDDOWN($E743*設定!$C$4,0),ROUNDDOWN($E743*ROUND((9*$AA743-9*$E743)/(10*$E743),4),0))))</f>
        <v/>
      </c>
      <c r="AD743" s="13" t="n"/>
      <c r="AE743" s="15">
        <f>IF($B743="","",IF($AD743&lt;&gt;"",$AD743,IF($AC743="","",IF($AC743&lt;=設定!$C$3,0,$AC743))))</f>
        <v/>
      </c>
      <c r="AF743" s="14">
        <f>IF($B743="","",IF(AND($AG743&lt;&gt;"",$AI743="",$AL743=""),"保留中",IF($AL743&lt;&gt;"",IF(N($AE743)&gt;0,"支給済","不支給"),IF($AE743="","要確認",IF($AE743=0,"不支給","未処理")))))</f>
        <v/>
      </c>
      <c r="AG743" s="12" t="n"/>
      <c r="AH743" s="11" t="n"/>
      <c r="AI743" s="11" t="n"/>
      <c r="AJ743" s="11" t="n"/>
      <c r="AK743" s="14">
        <f>IF(AND($AF743="保留中",$AH743&lt;&gt;""),TODAY()-$AH743,"")</f>
        <v/>
      </c>
      <c r="AL743" s="12" t="n"/>
      <c r="AM743" s="14">
        <f>IF($B743="","",IF($AQ743="","対象年月が未入力／","")&amp;IF($B743="","",IF($AP743="","職員マスタに未登録の職員番号／",IF($AA743="","標準報酬月額が未登録／","")&amp;IF(AND($AQ743&lt;&gt;"",OR(AND(INDEX(職員マスタ!$G$6:$G$405,$AP743)&lt;&gt;"",INDEX(職員マスタ!$G$6:$G$405,$AP743)&gt;EOMONTH($AQ743,0)),AND(INDEX(職員マスタ!$H$6:$H$405,$AP743)&lt;&gt;"",INDEX(職員マスタ!$H$6:$H$405,$AP743)&lt;$AQ743))),"対象月が時短期間外／","")&amp;IF(AND(INDEX(職員マスタ!$K$6:$K$405,$AP743)&lt;&gt;"",N($W743)&gt;0,INDEX(職員マスタ!$K$6:$K$405,$AP743)&lt;&gt;$W743),"標準報酬月額が申請書と相違（台帳"&amp;TEXT(INDEX(職員マスタ!$K$6:$K$405,$AP743),"#,##0")&amp;"円／申請書"&amp;TEXT($W743,"#,##0")&amp;"円）／","")&amp;IF(AND(INDEX(職員マスタ!$F$6:$F$405,$AP743)&lt;&gt;"",$AQ743&lt;&gt;"",INDEX(職員マスタ!$F$6:$F$405,$AP743)&lt;$AQ743),"対象月に子が2歳到達済／","")&amp;IF(AND($H743&lt;&gt;"",INDEX(職員マスタ!$B$6:$B$405,$AP743)&lt;&gt;"",SUBSTITUTE(SUBSTITUTE($H743," ","")," ","")&lt;&gt;SUBSTITUTE(SUBSTITUTE(INDEX(職員マスタ!$B$6:$B$405,$AP743)," ","")," ","")),"氏名がマスタと相違／","")&amp;IF(AND($Q743&lt;&gt;"",INDEX(職員マスタ!$E$6:$E$405,$AP743)&lt;&gt;"",$Q743&lt;&gt;INDEX(職員マスタ!$E$6:$E$405,$AP743)),"子の生年月日がマスタと相違／","")&amp;IF(AND($L743&lt;&gt;"",INDEX(職員マスタ!$G$6:$G$405,$AP743)&lt;&gt;"",$L743&lt;&gt;INDEX(職員マスタ!$G$6:$G$405,$AP743)),"時短開始日がマスタと相違／","")&amp;IF(AND($M743&lt;&gt;"",INDEX(職員マスタ!$H$6:$H$405,$AP743)&lt;&gt;"",$M743&lt;&gt;INDEX(職員マスタ!$H$6:$H$405,$AP743)),"時短終了日がマスタと相違／","")))&amp;IF(AND($B743&lt;&gt;"",$E743=""),"報酬額が未入力／","")&amp;IF(N($U743)&gt;0,"申請書に入力エラーが残っています／","")&amp;IF(AND($B743&lt;&gt;"",$AQ743&lt;&gt;""),IF(COUNTIFS($B$6:$B$3005,$B743,$C$6:$C$3005,$C743,$D$6:$D$3005,$D743)&gt;1,"同じ月の請求が重複しています／",""),"")&amp;IF(AND(N($E743)&gt;0,$AB743&lt;&gt;"",$AB743&lt;&gt;"×",$AE743=0,$AD743=""),"計算額が下限以下のため不支給／",""))</f>
        <v/>
      </c>
      <c r="AN743" s="12" t="n"/>
      <c r="AO743" s="14">
        <f>IF($AF743="保留中",COUNTIF($AF$6:$AF743,"保留中"),"")</f>
        <v/>
      </c>
      <c r="AP743" s="14">
        <f>IF($AQ743="","",IF(SUMPRODUCT(MAX((職員マスタ!$A$6:$A$405=$B743)*(((職員マスタ!$G$6:$G$405="")+(職員マスタ!$G$6:$G$405&lt;=EOMONTH($AQ743,0)))&gt;0)*(((職員マスタ!$H$6:$H$405="")+(職員マスタ!$H$6:$H$405&gt;=$AQ743))&gt;0)*(ROW(職員マスタ!$A$6:$A$405)-5)))&gt;0,SUMPRODUCT(MAX((職員マスタ!$A$6:$A$405=$B743)*(((職員マスタ!$G$6:$G$405="")+(職員マスタ!$G$6:$G$405&lt;=EOMONTH($AQ743,0)))&gt;0)*(((職員マスタ!$H$6:$H$405="")+(職員マスタ!$H$6:$H$405&gt;=$AQ743))&gt;0)*(ROW(職員マスタ!$A$6:$A$405)-5))),IFERROR(MATCH($B743,職員マスタ!$A$6:$A$405,0),"")))</f>
        <v/>
      </c>
      <c r="AQ743" s="16">
        <f>IF(OR($B743="",$C743="",$D743=""),"",DATE($C743+2018,$D743,1))</f>
        <v/>
      </c>
    </row>
    <row r="744">
      <c r="A744" s="11" t="n"/>
      <c r="B744" s="12" t="n"/>
      <c r="C744" s="12" t="n"/>
      <c r="D744" s="12" t="n"/>
      <c r="E744" s="13" t="n"/>
      <c r="F744" s="12" t="n"/>
      <c r="G744" s="13" t="n"/>
      <c r="H744" s="12" t="n"/>
      <c r="I744" s="12" t="n"/>
      <c r="J744" s="12" t="n"/>
      <c r="K744" s="12" t="n"/>
      <c r="L744" s="11" t="n"/>
      <c r="M744" s="11" t="n"/>
      <c r="N744" s="11" t="n"/>
      <c r="O744" s="11" t="n"/>
      <c r="P744" s="12" t="n"/>
      <c r="Q744" s="11" t="n"/>
      <c r="R744" s="12" t="n"/>
      <c r="S744" s="11" t="n"/>
      <c r="T744" s="12" t="n"/>
      <c r="U744" s="12" t="n"/>
      <c r="V744" s="12" t="n"/>
      <c r="W744" s="13" t="n"/>
      <c r="X744" s="14">
        <f>IF($AP744="",IF($B744="","",$H744),IF(INDEX(職員マスタ!$B$6:$B$405,$AP744)="",$H744,INDEX(職員マスタ!$B$6:$B$405,$AP744)))</f>
        <v/>
      </c>
      <c r="Y744" s="14">
        <f>IF($AP744="",IF($B744="","",$R744),IF(INDEX(職員マスタ!$C$6:$C$405,$AP744)="",$R744,INDEX(職員マスタ!$C$6:$C$405,$AP744)))</f>
        <v/>
      </c>
      <c r="Z744" s="14">
        <f>IF($AQ744="","","R"&amp;$C744&amp;"."&amp;$D744)</f>
        <v/>
      </c>
      <c r="AA744" s="15">
        <f>IF(IF($AP744="",FALSE,INDEX(職員マスタ!$K$6:$K$405,$AP744)&lt;&gt;""),INDEX(職員マスタ!$K$6:$K$405,$AP744),IF(N($W744)&gt;0,$W744,""))</f>
        <v/>
      </c>
      <c r="AB744" s="14">
        <f>IF(OR($E744="",$AA744=""),"",IF($E744&gt;=$AA744,"×",IF($E744&gt;=$AA744*設定!$C$5,"△","○")))</f>
        <v/>
      </c>
      <c r="AC744" s="15">
        <f>IF($AB744="","",IF($AB744="×",0,IF($AB744="○",ROUNDDOWN($E744*設定!$C$4,0),ROUNDDOWN($E744*ROUND((9*$AA744-9*$E744)/(10*$E744),4),0))))</f>
        <v/>
      </c>
      <c r="AD744" s="13" t="n"/>
      <c r="AE744" s="15">
        <f>IF($B744="","",IF($AD744&lt;&gt;"",$AD744,IF($AC744="","",IF($AC744&lt;=設定!$C$3,0,$AC744))))</f>
        <v/>
      </c>
      <c r="AF744" s="14">
        <f>IF($B744="","",IF(AND($AG744&lt;&gt;"",$AI744="",$AL744=""),"保留中",IF($AL744&lt;&gt;"",IF(N($AE744)&gt;0,"支給済","不支給"),IF($AE744="","要確認",IF($AE744=0,"不支給","未処理")))))</f>
        <v/>
      </c>
      <c r="AG744" s="12" t="n"/>
      <c r="AH744" s="11" t="n"/>
      <c r="AI744" s="11" t="n"/>
      <c r="AJ744" s="11" t="n"/>
      <c r="AK744" s="14">
        <f>IF(AND($AF744="保留中",$AH744&lt;&gt;""),TODAY()-$AH744,"")</f>
        <v/>
      </c>
      <c r="AL744" s="12" t="n"/>
      <c r="AM744" s="14">
        <f>IF($B744="","",IF($AQ744="","対象年月が未入力／","")&amp;IF($B744="","",IF($AP744="","職員マスタに未登録の職員番号／",IF($AA744="","標準報酬月額が未登録／","")&amp;IF(AND($AQ744&lt;&gt;"",OR(AND(INDEX(職員マスタ!$G$6:$G$405,$AP744)&lt;&gt;"",INDEX(職員マスタ!$G$6:$G$405,$AP744)&gt;EOMONTH($AQ744,0)),AND(INDEX(職員マスタ!$H$6:$H$405,$AP744)&lt;&gt;"",INDEX(職員マスタ!$H$6:$H$405,$AP744)&lt;$AQ744))),"対象月が時短期間外／","")&amp;IF(AND(INDEX(職員マスタ!$K$6:$K$405,$AP744)&lt;&gt;"",N($W744)&gt;0,INDEX(職員マスタ!$K$6:$K$405,$AP744)&lt;&gt;$W744),"標準報酬月額が申請書と相違（台帳"&amp;TEXT(INDEX(職員マスタ!$K$6:$K$405,$AP744),"#,##0")&amp;"円／申請書"&amp;TEXT($W744,"#,##0")&amp;"円）／","")&amp;IF(AND(INDEX(職員マスタ!$F$6:$F$405,$AP744)&lt;&gt;"",$AQ744&lt;&gt;"",INDEX(職員マスタ!$F$6:$F$405,$AP744)&lt;$AQ744),"対象月に子が2歳到達済／","")&amp;IF(AND($H744&lt;&gt;"",INDEX(職員マスタ!$B$6:$B$405,$AP744)&lt;&gt;"",SUBSTITUTE(SUBSTITUTE($H744," ","")," ","")&lt;&gt;SUBSTITUTE(SUBSTITUTE(INDEX(職員マスタ!$B$6:$B$405,$AP744)," ","")," ","")),"氏名がマスタと相違／","")&amp;IF(AND($Q744&lt;&gt;"",INDEX(職員マスタ!$E$6:$E$405,$AP744)&lt;&gt;"",$Q744&lt;&gt;INDEX(職員マスタ!$E$6:$E$405,$AP744)),"子の生年月日がマスタと相違／","")&amp;IF(AND($L744&lt;&gt;"",INDEX(職員マスタ!$G$6:$G$405,$AP744)&lt;&gt;"",$L744&lt;&gt;INDEX(職員マスタ!$G$6:$G$405,$AP744)),"時短開始日がマスタと相違／","")&amp;IF(AND($M744&lt;&gt;"",INDEX(職員マスタ!$H$6:$H$405,$AP744)&lt;&gt;"",$M744&lt;&gt;INDEX(職員マスタ!$H$6:$H$405,$AP744)),"時短終了日がマスタと相違／","")))&amp;IF(AND($B744&lt;&gt;"",$E744=""),"報酬額が未入力／","")&amp;IF(N($U744)&gt;0,"申請書に入力エラーが残っています／","")&amp;IF(AND($B744&lt;&gt;"",$AQ744&lt;&gt;""),IF(COUNTIFS($B$6:$B$3005,$B744,$C$6:$C$3005,$C744,$D$6:$D$3005,$D744)&gt;1,"同じ月の請求が重複しています／",""),"")&amp;IF(AND(N($E744)&gt;0,$AB744&lt;&gt;"",$AB744&lt;&gt;"×",$AE744=0,$AD744=""),"計算額が下限以下のため不支給／",""))</f>
        <v/>
      </c>
      <c r="AN744" s="12" t="n"/>
      <c r="AO744" s="14">
        <f>IF($AF744="保留中",COUNTIF($AF$6:$AF744,"保留中"),"")</f>
        <v/>
      </c>
      <c r="AP744" s="14">
        <f>IF($AQ744="","",IF(SUMPRODUCT(MAX((職員マスタ!$A$6:$A$405=$B744)*(((職員マスタ!$G$6:$G$405="")+(職員マスタ!$G$6:$G$405&lt;=EOMONTH($AQ744,0)))&gt;0)*(((職員マスタ!$H$6:$H$405="")+(職員マスタ!$H$6:$H$405&gt;=$AQ744))&gt;0)*(ROW(職員マスタ!$A$6:$A$405)-5)))&gt;0,SUMPRODUCT(MAX((職員マスタ!$A$6:$A$405=$B744)*(((職員マスタ!$G$6:$G$405="")+(職員マスタ!$G$6:$G$405&lt;=EOMONTH($AQ744,0)))&gt;0)*(((職員マスタ!$H$6:$H$405="")+(職員マスタ!$H$6:$H$405&gt;=$AQ744))&gt;0)*(ROW(職員マスタ!$A$6:$A$405)-5))),IFERROR(MATCH($B744,職員マスタ!$A$6:$A$405,0),"")))</f>
        <v/>
      </c>
      <c r="AQ744" s="16">
        <f>IF(OR($B744="",$C744="",$D744=""),"",DATE($C744+2018,$D744,1))</f>
        <v/>
      </c>
    </row>
    <row r="745">
      <c r="A745" s="11" t="n"/>
      <c r="B745" s="12" t="n"/>
      <c r="C745" s="12" t="n"/>
      <c r="D745" s="12" t="n"/>
      <c r="E745" s="13" t="n"/>
      <c r="F745" s="12" t="n"/>
      <c r="G745" s="13" t="n"/>
      <c r="H745" s="12" t="n"/>
      <c r="I745" s="12" t="n"/>
      <c r="J745" s="12" t="n"/>
      <c r="K745" s="12" t="n"/>
      <c r="L745" s="11" t="n"/>
      <c r="M745" s="11" t="n"/>
      <c r="N745" s="11" t="n"/>
      <c r="O745" s="11" t="n"/>
      <c r="P745" s="12" t="n"/>
      <c r="Q745" s="11" t="n"/>
      <c r="R745" s="12" t="n"/>
      <c r="S745" s="11" t="n"/>
      <c r="T745" s="12" t="n"/>
      <c r="U745" s="12" t="n"/>
      <c r="V745" s="12" t="n"/>
      <c r="W745" s="13" t="n"/>
      <c r="X745" s="14">
        <f>IF($AP745="",IF($B745="","",$H745),IF(INDEX(職員マスタ!$B$6:$B$405,$AP745)="",$H745,INDEX(職員マスタ!$B$6:$B$405,$AP745)))</f>
        <v/>
      </c>
      <c r="Y745" s="14">
        <f>IF($AP745="",IF($B745="","",$R745),IF(INDEX(職員マスタ!$C$6:$C$405,$AP745)="",$R745,INDEX(職員マスタ!$C$6:$C$405,$AP745)))</f>
        <v/>
      </c>
      <c r="Z745" s="14">
        <f>IF($AQ745="","","R"&amp;$C745&amp;"."&amp;$D745)</f>
        <v/>
      </c>
      <c r="AA745" s="15">
        <f>IF(IF($AP745="",FALSE,INDEX(職員マスタ!$K$6:$K$405,$AP745)&lt;&gt;""),INDEX(職員マスタ!$K$6:$K$405,$AP745),IF(N($W745)&gt;0,$W745,""))</f>
        <v/>
      </c>
      <c r="AB745" s="14">
        <f>IF(OR($E745="",$AA745=""),"",IF($E745&gt;=$AA745,"×",IF($E745&gt;=$AA745*設定!$C$5,"△","○")))</f>
        <v/>
      </c>
      <c r="AC745" s="15">
        <f>IF($AB745="","",IF($AB745="×",0,IF($AB745="○",ROUNDDOWN($E745*設定!$C$4,0),ROUNDDOWN($E745*ROUND((9*$AA745-9*$E745)/(10*$E745),4),0))))</f>
        <v/>
      </c>
      <c r="AD745" s="13" t="n"/>
      <c r="AE745" s="15">
        <f>IF($B745="","",IF($AD745&lt;&gt;"",$AD745,IF($AC745="","",IF($AC745&lt;=設定!$C$3,0,$AC745))))</f>
        <v/>
      </c>
      <c r="AF745" s="14">
        <f>IF($B745="","",IF(AND($AG745&lt;&gt;"",$AI745="",$AL745=""),"保留中",IF($AL745&lt;&gt;"",IF(N($AE745)&gt;0,"支給済","不支給"),IF($AE745="","要確認",IF($AE745=0,"不支給","未処理")))))</f>
        <v/>
      </c>
      <c r="AG745" s="12" t="n"/>
      <c r="AH745" s="11" t="n"/>
      <c r="AI745" s="11" t="n"/>
      <c r="AJ745" s="11" t="n"/>
      <c r="AK745" s="14">
        <f>IF(AND($AF745="保留中",$AH745&lt;&gt;""),TODAY()-$AH745,"")</f>
        <v/>
      </c>
      <c r="AL745" s="12" t="n"/>
      <c r="AM745" s="14">
        <f>IF($B745="","",IF($AQ745="","対象年月が未入力／","")&amp;IF($B745="","",IF($AP745="","職員マスタに未登録の職員番号／",IF($AA745="","標準報酬月額が未登録／","")&amp;IF(AND($AQ745&lt;&gt;"",OR(AND(INDEX(職員マスタ!$G$6:$G$405,$AP745)&lt;&gt;"",INDEX(職員マスタ!$G$6:$G$405,$AP745)&gt;EOMONTH($AQ745,0)),AND(INDEX(職員マスタ!$H$6:$H$405,$AP745)&lt;&gt;"",INDEX(職員マスタ!$H$6:$H$405,$AP745)&lt;$AQ745))),"対象月が時短期間外／","")&amp;IF(AND(INDEX(職員マスタ!$K$6:$K$405,$AP745)&lt;&gt;"",N($W745)&gt;0,INDEX(職員マスタ!$K$6:$K$405,$AP745)&lt;&gt;$W745),"標準報酬月額が申請書と相違（台帳"&amp;TEXT(INDEX(職員マスタ!$K$6:$K$405,$AP745),"#,##0")&amp;"円／申請書"&amp;TEXT($W745,"#,##0")&amp;"円）／","")&amp;IF(AND(INDEX(職員マスタ!$F$6:$F$405,$AP745)&lt;&gt;"",$AQ745&lt;&gt;"",INDEX(職員マスタ!$F$6:$F$405,$AP745)&lt;$AQ745),"対象月に子が2歳到達済／","")&amp;IF(AND($H745&lt;&gt;"",INDEX(職員マスタ!$B$6:$B$405,$AP745)&lt;&gt;"",SUBSTITUTE(SUBSTITUTE($H745," ","")," ","")&lt;&gt;SUBSTITUTE(SUBSTITUTE(INDEX(職員マスタ!$B$6:$B$405,$AP745)," ","")," ","")),"氏名がマスタと相違／","")&amp;IF(AND($Q745&lt;&gt;"",INDEX(職員マスタ!$E$6:$E$405,$AP745)&lt;&gt;"",$Q745&lt;&gt;INDEX(職員マスタ!$E$6:$E$405,$AP745)),"子の生年月日がマスタと相違／","")&amp;IF(AND($L745&lt;&gt;"",INDEX(職員マスタ!$G$6:$G$405,$AP745)&lt;&gt;"",$L745&lt;&gt;INDEX(職員マスタ!$G$6:$G$405,$AP745)),"時短開始日がマスタと相違／","")&amp;IF(AND($M745&lt;&gt;"",INDEX(職員マスタ!$H$6:$H$405,$AP745)&lt;&gt;"",$M745&lt;&gt;INDEX(職員マスタ!$H$6:$H$405,$AP745)),"時短終了日がマスタと相違／","")))&amp;IF(AND($B745&lt;&gt;"",$E745=""),"報酬額が未入力／","")&amp;IF(N($U745)&gt;0,"申請書に入力エラーが残っています／","")&amp;IF(AND($B745&lt;&gt;"",$AQ745&lt;&gt;""),IF(COUNTIFS($B$6:$B$3005,$B745,$C$6:$C$3005,$C745,$D$6:$D$3005,$D745)&gt;1,"同じ月の請求が重複しています／",""),"")&amp;IF(AND(N($E745)&gt;0,$AB745&lt;&gt;"",$AB745&lt;&gt;"×",$AE745=0,$AD745=""),"計算額が下限以下のため不支給／",""))</f>
        <v/>
      </c>
      <c r="AN745" s="12" t="n"/>
      <c r="AO745" s="14">
        <f>IF($AF745="保留中",COUNTIF($AF$6:$AF745,"保留中"),"")</f>
        <v/>
      </c>
      <c r="AP745" s="14">
        <f>IF($AQ745="","",IF(SUMPRODUCT(MAX((職員マスタ!$A$6:$A$405=$B745)*(((職員マスタ!$G$6:$G$405="")+(職員マスタ!$G$6:$G$405&lt;=EOMONTH($AQ745,0)))&gt;0)*(((職員マスタ!$H$6:$H$405="")+(職員マスタ!$H$6:$H$405&gt;=$AQ745))&gt;0)*(ROW(職員マスタ!$A$6:$A$405)-5)))&gt;0,SUMPRODUCT(MAX((職員マスタ!$A$6:$A$405=$B745)*(((職員マスタ!$G$6:$G$405="")+(職員マスタ!$G$6:$G$405&lt;=EOMONTH($AQ745,0)))&gt;0)*(((職員マスタ!$H$6:$H$405="")+(職員マスタ!$H$6:$H$405&gt;=$AQ745))&gt;0)*(ROW(職員マスタ!$A$6:$A$405)-5))),IFERROR(MATCH($B745,職員マスタ!$A$6:$A$405,0),"")))</f>
        <v/>
      </c>
      <c r="AQ745" s="16">
        <f>IF(OR($B745="",$C745="",$D745=""),"",DATE($C745+2018,$D745,1))</f>
        <v/>
      </c>
    </row>
    <row r="746">
      <c r="A746" s="11" t="n"/>
      <c r="B746" s="12" t="n"/>
      <c r="C746" s="12" t="n"/>
      <c r="D746" s="12" t="n"/>
      <c r="E746" s="13" t="n"/>
      <c r="F746" s="12" t="n"/>
      <c r="G746" s="13" t="n"/>
      <c r="H746" s="12" t="n"/>
      <c r="I746" s="12" t="n"/>
      <c r="J746" s="12" t="n"/>
      <c r="K746" s="12" t="n"/>
      <c r="L746" s="11" t="n"/>
      <c r="M746" s="11" t="n"/>
      <c r="N746" s="11" t="n"/>
      <c r="O746" s="11" t="n"/>
      <c r="P746" s="12" t="n"/>
      <c r="Q746" s="11" t="n"/>
      <c r="R746" s="12" t="n"/>
      <c r="S746" s="11" t="n"/>
      <c r="T746" s="12" t="n"/>
      <c r="U746" s="12" t="n"/>
      <c r="V746" s="12" t="n"/>
      <c r="W746" s="13" t="n"/>
      <c r="X746" s="14">
        <f>IF($AP746="",IF($B746="","",$H746),IF(INDEX(職員マスタ!$B$6:$B$405,$AP746)="",$H746,INDEX(職員マスタ!$B$6:$B$405,$AP746)))</f>
        <v/>
      </c>
      <c r="Y746" s="14">
        <f>IF($AP746="",IF($B746="","",$R746),IF(INDEX(職員マスタ!$C$6:$C$405,$AP746)="",$R746,INDEX(職員マスタ!$C$6:$C$405,$AP746)))</f>
        <v/>
      </c>
      <c r="Z746" s="14">
        <f>IF($AQ746="","","R"&amp;$C746&amp;"."&amp;$D746)</f>
        <v/>
      </c>
      <c r="AA746" s="15">
        <f>IF(IF($AP746="",FALSE,INDEX(職員マスタ!$K$6:$K$405,$AP746)&lt;&gt;""),INDEX(職員マスタ!$K$6:$K$405,$AP746),IF(N($W746)&gt;0,$W746,""))</f>
        <v/>
      </c>
      <c r="AB746" s="14">
        <f>IF(OR($E746="",$AA746=""),"",IF($E746&gt;=$AA746,"×",IF($E746&gt;=$AA746*設定!$C$5,"△","○")))</f>
        <v/>
      </c>
      <c r="AC746" s="15">
        <f>IF($AB746="","",IF($AB746="×",0,IF($AB746="○",ROUNDDOWN($E746*設定!$C$4,0),ROUNDDOWN($E746*ROUND((9*$AA746-9*$E746)/(10*$E746),4),0))))</f>
        <v/>
      </c>
      <c r="AD746" s="13" t="n"/>
      <c r="AE746" s="15">
        <f>IF($B746="","",IF($AD746&lt;&gt;"",$AD746,IF($AC746="","",IF($AC746&lt;=設定!$C$3,0,$AC746))))</f>
        <v/>
      </c>
      <c r="AF746" s="14">
        <f>IF($B746="","",IF(AND($AG746&lt;&gt;"",$AI746="",$AL746=""),"保留中",IF($AL746&lt;&gt;"",IF(N($AE746)&gt;0,"支給済","不支給"),IF($AE746="","要確認",IF($AE746=0,"不支給","未処理")))))</f>
        <v/>
      </c>
      <c r="AG746" s="12" t="n"/>
      <c r="AH746" s="11" t="n"/>
      <c r="AI746" s="11" t="n"/>
      <c r="AJ746" s="11" t="n"/>
      <c r="AK746" s="14">
        <f>IF(AND($AF746="保留中",$AH746&lt;&gt;""),TODAY()-$AH746,"")</f>
        <v/>
      </c>
      <c r="AL746" s="12" t="n"/>
      <c r="AM746" s="14">
        <f>IF($B746="","",IF($AQ746="","対象年月が未入力／","")&amp;IF($B746="","",IF($AP746="","職員マスタに未登録の職員番号／",IF($AA746="","標準報酬月額が未登録／","")&amp;IF(AND($AQ746&lt;&gt;"",OR(AND(INDEX(職員マスタ!$G$6:$G$405,$AP746)&lt;&gt;"",INDEX(職員マスタ!$G$6:$G$405,$AP746)&gt;EOMONTH($AQ746,0)),AND(INDEX(職員マスタ!$H$6:$H$405,$AP746)&lt;&gt;"",INDEX(職員マスタ!$H$6:$H$405,$AP746)&lt;$AQ746))),"対象月が時短期間外／","")&amp;IF(AND(INDEX(職員マスタ!$K$6:$K$405,$AP746)&lt;&gt;"",N($W746)&gt;0,INDEX(職員マスタ!$K$6:$K$405,$AP746)&lt;&gt;$W746),"標準報酬月額が申請書と相違（台帳"&amp;TEXT(INDEX(職員マスタ!$K$6:$K$405,$AP746),"#,##0")&amp;"円／申請書"&amp;TEXT($W746,"#,##0")&amp;"円）／","")&amp;IF(AND(INDEX(職員マスタ!$F$6:$F$405,$AP746)&lt;&gt;"",$AQ746&lt;&gt;"",INDEX(職員マスタ!$F$6:$F$405,$AP746)&lt;$AQ746),"対象月に子が2歳到達済／","")&amp;IF(AND($H746&lt;&gt;"",INDEX(職員マスタ!$B$6:$B$405,$AP746)&lt;&gt;"",SUBSTITUTE(SUBSTITUTE($H746," ","")," ","")&lt;&gt;SUBSTITUTE(SUBSTITUTE(INDEX(職員マスタ!$B$6:$B$405,$AP746)," ","")," ","")),"氏名がマスタと相違／","")&amp;IF(AND($Q746&lt;&gt;"",INDEX(職員マスタ!$E$6:$E$405,$AP746)&lt;&gt;"",$Q746&lt;&gt;INDEX(職員マスタ!$E$6:$E$405,$AP746)),"子の生年月日がマスタと相違／","")&amp;IF(AND($L746&lt;&gt;"",INDEX(職員マスタ!$G$6:$G$405,$AP746)&lt;&gt;"",$L746&lt;&gt;INDEX(職員マスタ!$G$6:$G$405,$AP746)),"時短開始日がマスタと相違／","")&amp;IF(AND($M746&lt;&gt;"",INDEX(職員マスタ!$H$6:$H$405,$AP746)&lt;&gt;"",$M746&lt;&gt;INDEX(職員マスタ!$H$6:$H$405,$AP746)),"時短終了日がマスタと相違／","")))&amp;IF(AND($B746&lt;&gt;"",$E746=""),"報酬額が未入力／","")&amp;IF(N($U746)&gt;0,"申請書に入力エラーが残っています／","")&amp;IF(AND($B746&lt;&gt;"",$AQ746&lt;&gt;""),IF(COUNTIFS($B$6:$B$3005,$B746,$C$6:$C$3005,$C746,$D$6:$D$3005,$D746)&gt;1,"同じ月の請求が重複しています／",""),"")&amp;IF(AND(N($E746)&gt;0,$AB746&lt;&gt;"",$AB746&lt;&gt;"×",$AE746=0,$AD746=""),"計算額が下限以下のため不支給／",""))</f>
        <v/>
      </c>
      <c r="AN746" s="12" t="n"/>
      <c r="AO746" s="14">
        <f>IF($AF746="保留中",COUNTIF($AF$6:$AF746,"保留中"),"")</f>
        <v/>
      </c>
      <c r="AP746" s="14">
        <f>IF($AQ746="","",IF(SUMPRODUCT(MAX((職員マスタ!$A$6:$A$405=$B746)*(((職員マスタ!$G$6:$G$405="")+(職員マスタ!$G$6:$G$405&lt;=EOMONTH($AQ746,0)))&gt;0)*(((職員マスタ!$H$6:$H$405="")+(職員マスタ!$H$6:$H$405&gt;=$AQ746))&gt;0)*(ROW(職員マスタ!$A$6:$A$405)-5)))&gt;0,SUMPRODUCT(MAX((職員マスタ!$A$6:$A$405=$B746)*(((職員マスタ!$G$6:$G$405="")+(職員マスタ!$G$6:$G$405&lt;=EOMONTH($AQ746,0)))&gt;0)*(((職員マスタ!$H$6:$H$405="")+(職員マスタ!$H$6:$H$405&gt;=$AQ746))&gt;0)*(ROW(職員マスタ!$A$6:$A$405)-5))),IFERROR(MATCH($B746,職員マスタ!$A$6:$A$405,0),"")))</f>
        <v/>
      </c>
      <c r="AQ746" s="16">
        <f>IF(OR($B746="",$C746="",$D746=""),"",DATE($C746+2018,$D746,1))</f>
        <v/>
      </c>
    </row>
    <row r="747">
      <c r="A747" s="11" t="n"/>
      <c r="B747" s="12" t="n"/>
      <c r="C747" s="12" t="n"/>
      <c r="D747" s="12" t="n"/>
      <c r="E747" s="13" t="n"/>
      <c r="F747" s="12" t="n"/>
      <c r="G747" s="13" t="n"/>
      <c r="H747" s="12" t="n"/>
      <c r="I747" s="12" t="n"/>
      <c r="J747" s="12" t="n"/>
      <c r="K747" s="12" t="n"/>
      <c r="L747" s="11" t="n"/>
      <c r="M747" s="11" t="n"/>
      <c r="N747" s="11" t="n"/>
      <c r="O747" s="11" t="n"/>
      <c r="P747" s="12" t="n"/>
      <c r="Q747" s="11" t="n"/>
      <c r="R747" s="12" t="n"/>
      <c r="S747" s="11" t="n"/>
      <c r="T747" s="12" t="n"/>
      <c r="U747" s="12" t="n"/>
      <c r="V747" s="12" t="n"/>
      <c r="W747" s="13" t="n"/>
      <c r="X747" s="14">
        <f>IF($AP747="",IF($B747="","",$H747),IF(INDEX(職員マスタ!$B$6:$B$405,$AP747)="",$H747,INDEX(職員マスタ!$B$6:$B$405,$AP747)))</f>
        <v/>
      </c>
      <c r="Y747" s="14">
        <f>IF($AP747="",IF($B747="","",$R747),IF(INDEX(職員マスタ!$C$6:$C$405,$AP747)="",$R747,INDEX(職員マスタ!$C$6:$C$405,$AP747)))</f>
        <v/>
      </c>
      <c r="Z747" s="14">
        <f>IF($AQ747="","","R"&amp;$C747&amp;"."&amp;$D747)</f>
        <v/>
      </c>
      <c r="AA747" s="15">
        <f>IF(IF($AP747="",FALSE,INDEX(職員マスタ!$K$6:$K$405,$AP747)&lt;&gt;""),INDEX(職員マスタ!$K$6:$K$405,$AP747),IF(N($W747)&gt;0,$W747,""))</f>
        <v/>
      </c>
      <c r="AB747" s="14">
        <f>IF(OR($E747="",$AA747=""),"",IF($E747&gt;=$AA747,"×",IF($E747&gt;=$AA747*設定!$C$5,"△","○")))</f>
        <v/>
      </c>
      <c r="AC747" s="15">
        <f>IF($AB747="","",IF($AB747="×",0,IF($AB747="○",ROUNDDOWN($E747*設定!$C$4,0),ROUNDDOWN($E747*ROUND((9*$AA747-9*$E747)/(10*$E747),4),0))))</f>
        <v/>
      </c>
      <c r="AD747" s="13" t="n"/>
      <c r="AE747" s="15">
        <f>IF($B747="","",IF($AD747&lt;&gt;"",$AD747,IF($AC747="","",IF($AC747&lt;=設定!$C$3,0,$AC747))))</f>
        <v/>
      </c>
      <c r="AF747" s="14">
        <f>IF($B747="","",IF(AND($AG747&lt;&gt;"",$AI747="",$AL747=""),"保留中",IF($AL747&lt;&gt;"",IF(N($AE747)&gt;0,"支給済","不支給"),IF($AE747="","要確認",IF($AE747=0,"不支給","未処理")))))</f>
        <v/>
      </c>
      <c r="AG747" s="12" t="n"/>
      <c r="AH747" s="11" t="n"/>
      <c r="AI747" s="11" t="n"/>
      <c r="AJ747" s="11" t="n"/>
      <c r="AK747" s="14">
        <f>IF(AND($AF747="保留中",$AH747&lt;&gt;""),TODAY()-$AH747,"")</f>
        <v/>
      </c>
      <c r="AL747" s="12" t="n"/>
      <c r="AM747" s="14">
        <f>IF($B747="","",IF($AQ747="","対象年月が未入力／","")&amp;IF($B747="","",IF($AP747="","職員マスタに未登録の職員番号／",IF($AA747="","標準報酬月額が未登録／","")&amp;IF(AND($AQ747&lt;&gt;"",OR(AND(INDEX(職員マスタ!$G$6:$G$405,$AP747)&lt;&gt;"",INDEX(職員マスタ!$G$6:$G$405,$AP747)&gt;EOMONTH($AQ747,0)),AND(INDEX(職員マスタ!$H$6:$H$405,$AP747)&lt;&gt;"",INDEX(職員マスタ!$H$6:$H$405,$AP747)&lt;$AQ747))),"対象月が時短期間外／","")&amp;IF(AND(INDEX(職員マスタ!$K$6:$K$405,$AP747)&lt;&gt;"",N($W747)&gt;0,INDEX(職員マスタ!$K$6:$K$405,$AP747)&lt;&gt;$W747),"標準報酬月額が申請書と相違（台帳"&amp;TEXT(INDEX(職員マスタ!$K$6:$K$405,$AP747),"#,##0")&amp;"円／申請書"&amp;TEXT($W747,"#,##0")&amp;"円）／","")&amp;IF(AND(INDEX(職員マスタ!$F$6:$F$405,$AP747)&lt;&gt;"",$AQ747&lt;&gt;"",INDEX(職員マスタ!$F$6:$F$405,$AP747)&lt;$AQ747),"対象月に子が2歳到達済／","")&amp;IF(AND($H747&lt;&gt;"",INDEX(職員マスタ!$B$6:$B$405,$AP747)&lt;&gt;"",SUBSTITUTE(SUBSTITUTE($H747," ","")," ","")&lt;&gt;SUBSTITUTE(SUBSTITUTE(INDEX(職員マスタ!$B$6:$B$405,$AP747)," ","")," ","")),"氏名がマスタと相違／","")&amp;IF(AND($Q747&lt;&gt;"",INDEX(職員マスタ!$E$6:$E$405,$AP747)&lt;&gt;"",$Q747&lt;&gt;INDEX(職員マスタ!$E$6:$E$405,$AP747)),"子の生年月日がマスタと相違／","")&amp;IF(AND($L747&lt;&gt;"",INDEX(職員マスタ!$G$6:$G$405,$AP747)&lt;&gt;"",$L747&lt;&gt;INDEX(職員マスタ!$G$6:$G$405,$AP747)),"時短開始日がマスタと相違／","")&amp;IF(AND($M747&lt;&gt;"",INDEX(職員マスタ!$H$6:$H$405,$AP747)&lt;&gt;"",$M747&lt;&gt;INDEX(職員マスタ!$H$6:$H$405,$AP747)),"時短終了日がマスタと相違／","")))&amp;IF(AND($B747&lt;&gt;"",$E747=""),"報酬額が未入力／","")&amp;IF(N($U747)&gt;0,"申請書に入力エラーが残っています／","")&amp;IF(AND($B747&lt;&gt;"",$AQ747&lt;&gt;""),IF(COUNTIFS($B$6:$B$3005,$B747,$C$6:$C$3005,$C747,$D$6:$D$3005,$D747)&gt;1,"同じ月の請求が重複しています／",""),"")&amp;IF(AND(N($E747)&gt;0,$AB747&lt;&gt;"",$AB747&lt;&gt;"×",$AE747=0,$AD747=""),"計算額が下限以下のため不支給／",""))</f>
        <v/>
      </c>
      <c r="AN747" s="12" t="n"/>
      <c r="AO747" s="14">
        <f>IF($AF747="保留中",COUNTIF($AF$6:$AF747,"保留中"),"")</f>
        <v/>
      </c>
      <c r="AP747" s="14">
        <f>IF($AQ747="","",IF(SUMPRODUCT(MAX((職員マスタ!$A$6:$A$405=$B747)*(((職員マスタ!$G$6:$G$405="")+(職員マスタ!$G$6:$G$405&lt;=EOMONTH($AQ747,0)))&gt;0)*(((職員マスタ!$H$6:$H$405="")+(職員マスタ!$H$6:$H$405&gt;=$AQ747))&gt;0)*(ROW(職員マスタ!$A$6:$A$405)-5)))&gt;0,SUMPRODUCT(MAX((職員マスタ!$A$6:$A$405=$B747)*(((職員マスタ!$G$6:$G$405="")+(職員マスタ!$G$6:$G$405&lt;=EOMONTH($AQ747,0)))&gt;0)*(((職員マスタ!$H$6:$H$405="")+(職員マスタ!$H$6:$H$405&gt;=$AQ747))&gt;0)*(ROW(職員マスタ!$A$6:$A$405)-5))),IFERROR(MATCH($B747,職員マスタ!$A$6:$A$405,0),"")))</f>
        <v/>
      </c>
      <c r="AQ747" s="16">
        <f>IF(OR($B747="",$C747="",$D747=""),"",DATE($C747+2018,$D747,1))</f>
        <v/>
      </c>
    </row>
    <row r="748">
      <c r="A748" s="11" t="n"/>
      <c r="B748" s="12" t="n"/>
      <c r="C748" s="12" t="n"/>
      <c r="D748" s="12" t="n"/>
      <c r="E748" s="13" t="n"/>
      <c r="F748" s="12" t="n"/>
      <c r="G748" s="13" t="n"/>
      <c r="H748" s="12" t="n"/>
      <c r="I748" s="12" t="n"/>
      <c r="J748" s="12" t="n"/>
      <c r="K748" s="12" t="n"/>
      <c r="L748" s="11" t="n"/>
      <c r="M748" s="11" t="n"/>
      <c r="N748" s="11" t="n"/>
      <c r="O748" s="11" t="n"/>
      <c r="P748" s="12" t="n"/>
      <c r="Q748" s="11" t="n"/>
      <c r="R748" s="12" t="n"/>
      <c r="S748" s="11" t="n"/>
      <c r="T748" s="12" t="n"/>
      <c r="U748" s="12" t="n"/>
      <c r="V748" s="12" t="n"/>
      <c r="W748" s="13" t="n"/>
      <c r="X748" s="14">
        <f>IF($AP748="",IF($B748="","",$H748),IF(INDEX(職員マスタ!$B$6:$B$405,$AP748)="",$H748,INDEX(職員マスタ!$B$6:$B$405,$AP748)))</f>
        <v/>
      </c>
      <c r="Y748" s="14">
        <f>IF($AP748="",IF($B748="","",$R748),IF(INDEX(職員マスタ!$C$6:$C$405,$AP748)="",$R748,INDEX(職員マスタ!$C$6:$C$405,$AP748)))</f>
        <v/>
      </c>
      <c r="Z748" s="14">
        <f>IF($AQ748="","","R"&amp;$C748&amp;"."&amp;$D748)</f>
        <v/>
      </c>
      <c r="AA748" s="15">
        <f>IF(IF($AP748="",FALSE,INDEX(職員マスタ!$K$6:$K$405,$AP748)&lt;&gt;""),INDEX(職員マスタ!$K$6:$K$405,$AP748),IF(N($W748)&gt;0,$W748,""))</f>
        <v/>
      </c>
      <c r="AB748" s="14">
        <f>IF(OR($E748="",$AA748=""),"",IF($E748&gt;=$AA748,"×",IF($E748&gt;=$AA748*設定!$C$5,"△","○")))</f>
        <v/>
      </c>
      <c r="AC748" s="15">
        <f>IF($AB748="","",IF($AB748="×",0,IF($AB748="○",ROUNDDOWN($E748*設定!$C$4,0),ROUNDDOWN($E748*ROUND((9*$AA748-9*$E748)/(10*$E748),4),0))))</f>
        <v/>
      </c>
      <c r="AD748" s="13" t="n"/>
      <c r="AE748" s="15">
        <f>IF($B748="","",IF($AD748&lt;&gt;"",$AD748,IF($AC748="","",IF($AC748&lt;=設定!$C$3,0,$AC748))))</f>
        <v/>
      </c>
      <c r="AF748" s="14">
        <f>IF($B748="","",IF(AND($AG748&lt;&gt;"",$AI748="",$AL748=""),"保留中",IF($AL748&lt;&gt;"",IF(N($AE748)&gt;0,"支給済","不支給"),IF($AE748="","要確認",IF($AE748=0,"不支給","未処理")))))</f>
        <v/>
      </c>
      <c r="AG748" s="12" t="n"/>
      <c r="AH748" s="11" t="n"/>
      <c r="AI748" s="11" t="n"/>
      <c r="AJ748" s="11" t="n"/>
      <c r="AK748" s="14">
        <f>IF(AND($AF748="保留中",$AH748&lt;&gt;""),TODAY()-$AH748,"")</f>
        <v/>
      </c>
      <c r="AL748" s="12" t="n"/>
      <c r="AM748" s="14">
        <f>IF($B748="","",IF($AQ748="","対象年月が未入力／","")&amp;IF($B748="","",IF($AP748="","職員マスタに未登録の職員番号／",IF($AA748="","標準報酬月額が未登録／","")&amp;IF(AND($AQ748&lt;&gt;"",OR(AND(INDEX(職員マスタ!$G$6:$G$405,$AP748)&lt;&gt;"",INDEX(職員マスタ!$G$6:$G$405,$AP748)&gt;EOMONTH($AQ748,0)),AND(INDEX(職員マスタ!$H$6:$H$405,$AP748)&lt;&gt;"",INDEX(職員マスタ!$H$6:$H$405,$AP748)&lt;$AQ748))),"対象月が時短期間外／","")&amp;IF(AND(INDEX(職員マスタ!$K$6:$K$405,$AP748)&lt;&gt;"",N($W748)&gt;0,INDEX(職員マスタ!$K$6:$K$405,$AP748)&lt;&gt;$W748),"標準報酬月額が申請書と相違（台帳"&amp;TEXT(INDEX(職員マスタ!$K$6:$K$405,$AP748),"#,##0")&amp;"円／申請書"&amp;TEXT($W748,"#,##0")&amp;"円）／","")&amp;IF(AND(INDEX(職員マスタ!$F$6:$F$405,$AP748)&lt;&gt;"",$AQ748&lt;&gt;"",INDEX(職員マスタ!$F$6:$F$405,$AP748)&lt;$AQ748),"対象月に子が2歳到達済／","")&amp;IF(AND($H748&lt;&gt;"",INDEX(職員マスタ!$B$6:$B$405,$AP748)&lt;&gt;"",SUBSTITUTE(SUBSTITUTE($H748," ","")," ","")&lt;&gt;SUBSTITUTE(SUBSTITUTE(INDEX(職員マスタ!$B$6:$B$405,$AP748)," ","")," ","")),"氏名がマスタと相違／","")&amp;IF(AND($Q748&lt;&gt;"",INDEX(職員マスタ!$E$6:$E$405,$AP748)&lt;&gt;"",$Q748&lt;&gt;INDEX(職員マスタ!$E$6:$E$405,$AP748)),"子の生年月日がマスタと相違／","")&amp;IF(AND($L748&lt;&gt;"",INDEX(職員マスタ!$G$6:$G$405,$AP748)&lt;&gt;"",$L748&lt;&gt;INDEX(職員マスタ!$G$6:$G$405,$AP748)),"時短開始日がマスタと相違／","")&amp;IF(AND($M748&lt;&gt;"",INDEX(職員マスタ!$H$6:$H$405,$AP748)&lt;&gt;"",$M748&lt;&gt;INDEX(職員マスタ!$H$6:$H$405,$AP748)),"時短終了日がマスタと相違／","")))&amp;IF(AND($B748&lt;&gt;"",$E748=""),"報酬額が未入力／","")&amp;IF(N($U748)&gt;0,"申請書に入力エラーが残っています／","")&amp;IF(AND($B748&lt;&gt;"",$AQ748&lt;&gt;""),IF(COUNTIFS($B$6:$B$3005,$B748,$C$6:$C$3005,$C748,$D$6:$D$3005,$D748)&gt;1,"同じ月の請求が重複しています／",""),"")&amp;IF(AND(N($E748)&gt;0,$AB748&lt;&gt;"",$AB748&lt;&gt;"×",$AE748=0,$AD748=""),"計算額が下限以下のため不支給／",""))</f>
        <v/>
      </c>
      <c r="AN748" s="12" t="n"/>
      <c r="AO748" s="14">
        <f>IF($AF748="保留中",COUNTIF($AF$6:$AF748,"保留中"),"")</f>
        <v/>
      </c>
      <c r="AP748" s="14">
        <f>IF($AQ748="","",IF(SUMPRODUCT(MAX((職員マスタ!$A$6:$A$405=$B748)*(((職員マスタ!$G$6:$G$405="")+(職員マスタ!$G$6:$G$405&lt;=EOMONTH($AQ748,0)))&gt;0)*(((職員マスタ!$H$6:$H$405="")+(職員マスタ!$H$6:$H$405&gt;=$AQ748))&gt;0)*(ROW(職員マスタ!$A$6:$A$405)-5)))&gt;0,SUMPRODUCT(MAX((職員マスタ!$A$6:$A$405=$B748)*(((職員マスタ!$G$6:$G$405="")+(職員マスタ!$G$6:$G$405&lt;=EOMONTH($AQ748,0)))&gt;0)*(((職員マスタ!$H$6:$H$405="")+(職員マスタ!$H$6:$H$405&gt;=$AQ748))&gt;0)*(ROW(職員マスタ!$A$6:$A$405)-5))),IFERROR(MATCH($B748,職員マスタ!$A$6:$A$405,0),"")))</f>
        <v/>
      </c>
      <c r="AQ748" s="16">
        <f>IF(OR($B748="",$C748="",$D748=""),"",DATE($C748+2018,$D748,1))</f>
        <v/>
      </c>
    </row>
    <row r="749">
      <c r="A749" s="11" t="n"/>
      <c r="B749" s="12" t="n"/>
      <c r="C749" s="12" t="n"/>
      <c r="D749" s="12" t="n"/>
      <c r="E749" s="13" t="n"/>
      <c r="F749" s="12" t="n"/>
      <c r="G749" s="13" t="n"/>
      <c r="H749" s="12" t="n"/>
      <c r="I749" s="12" t="n"/>
      <c r="J749" s="12" t="n"/>
      <c r="K749" s="12" t="n"/>
      <c r="L749" s="11" t="n"/>
      <c r="M749" s="11" t="n"/>
      <c r="N749" s="11" t="n"/>
      <c r="O749" s="11" t="n"/>
      <c r="P749" s="12" t="n"/>
      <c r="Q749" s="11" t="n"/>
      <c r="R749" s="12" t="n"/>
      <c r="S749" s="11" t="n"/>
      <c r="T749" s="12" t="n"/>
      <c r="U749" s="12" t="n"/>
      <c r="V749" s="12" t="n"/>
      <c r="W749" s="13" t="n"/>
      <c r="X749" s="14">
        <f>IF($AP749="",IF($B749="","",$H749),IF(INDEX(職員マスタ!$B$6:$B$405,$AP749)="",$H749,INDEX(職員マスタ!$B$6:$B$405,$AP749)))</f>
        <v/>
      </c>
      <c r="Y749" s="14">
        <f>IF($AP749="",IF($B749="","",$R749),IF(INDEX(職員マスタ!$C$6:$C$405,$AP749)="",$R749,INDEX(職員マスタ!$C$6:$C$405,$AP749)))</f>
        <v/>
      </c>
      <c r="Z749" s="14">
        <f>IF($AQ749="","","R"&amp;$C749&amp;"."&amp;$D749)</f>
        <v/>
      </c>
      <c r="AA749" s="15">
        <f>IF(IF($AP749="",FALSE,INDEX(職員マスタ!$K$6:$K$405,$AP749)&lt;&gt;""),INDEX(職員マスタ!$K$6:$K$405,$AP749),IF(N($W749)&gt;0,$W749,""))</f>
        <v/>
      </c>
      <c r="AB749" s="14">
        <f>IF(OR($E749="",$AA749=""),"",IF($E749&gt;=$AA749,"×",IF($E749&gt;=$AA749*設定!$C$5,"△","○")))</f>
        <v/>
      </c>
      <c r="AC749" s="15">
        <f>IF($AB749="","",IF($AB749="×",0,IF($AB749="○",ROUNDDOWN($E749*設定!$C$4,0),ROUNDDOWN($E749*ROUND((9*$AA749-9*$E749)/(10*$E749),4),0))))</f>
        <v/>
      </c>
      <c r="AD749" s="13" t="n"/>
      <c r="AE749" s="15">
        <f>IF($B749="","",IF($AD749&lt;&gt;"",$AD749,IF($AC749="","",IF($AC749&lt;=設定!$C$3,0,$AC749))))</f>
        <v/>
      </c>
      <c r="AF749" s="14">
        <f>IF($B749="","",IF(AND($AG749&lt;&gt;"",$AI749="",$AL749=""),"保留中",IF($AL749&lt;&gt;"",IF(N($AE749)&gt;0,"支給済","不支給"),IF($AE749="","要確認",IF($AE749=0,"不支給","未処理")))))</f>
        <v/>
      </c>
      <c r="AG749" s="12" t="n"/>
      <c r="AH749" s="11" t="n"/>
      <c r="AI749" s="11" t="n"/>
      <c r="AJ749" s="11" t="n"/>
      <c r="AK749" s="14">
        <f>IF(AND($AF749="保留中",$AH749&lt;&gt;""),TODAY()-$AH749,"")</f>
        <v/>
      </c>
      <c r="AL749" s="12" t="n"/>
      <c r="AM749" s="14">
        <f>IF($B749="","",IF($AQ749="","対象年月が未入力／","")&amp;IF($B749="","",IF($AP749="","職員マスタに未登録の職員番号／",IF($AA749="","標準報酬月額が未登録／","")&amp;IF(AND($AQ749&lt;&gt;"",OR(AND(INDEX(職員マスタ!$G$6:$G$405,$AP749)&lt;&gt;"",INDEX(職員マスタ!$G$6:$G$405,$AP749)&gt;EOMONTH($AQ749,0)),AND(INDEX(職員マスタ!$H$6:$H$405,$AP749)&lt;&gt;"",INDEX(職員マスタ!$H$6:$H$405,$AP749)&lt;$AQ749))),"対象月が時短期間外／","")&amp;IF(AND(INDEX(職員マスタ!$K$6:$K$405,$AP749)&lt;&gt;"",N($W749)&gt;0,INDEX(職員マスタ!$K$6:$K$405,$AP749)&lt;&gt;$W749),"標準報酬月額が申請書と相違（台帳"&amp;TEXT(INDEX(職員マスタ!$K$6:$K$405,$AP749),"#,##0")&amp;"円／申請書"&amp;TEXT($W749,"#,##0")&amp;"円）／","")&amp;IF(AND(INDEX(職員マスタ!$F$6:$F$405,$AP749)&lt;&gt;"",$AQ749&lt;&gt;"",INDEX(職員マスタ!$F$6:$F$405,$AP749)&lt;$AQ749),"対象月に子が2歳到達済／","")&amp;IF(AND($H749&lt;&gt;"",INDEX(職員マスタ!$B$6:$B$405,$AP749)&lt;&gt;"",SUBSTITUTE(SUBSTITUTE($H749," ","")," ","")&lt;&gt;SUBSTITUTE(SUBSTITUTE(INDEX(職員マスタ!$B$6:$B$405,$AP749)," ","")," ","")),"氏名がマスタと相違／","")&amp;IF(AND($Q749&lt;&gt;"",INDEX(職員マスタ!$E$6:$E$405,$AP749)&lt;&gt;"",$Q749&lt;&gt;INDEX(職員マスタ!$E$6:$E$405,$AP749)),"子の生年月日がマスタと相違／","")&amp;IF(AND($L749&lt;&gt;"",INDEX(職員マスタ!$G$6:$G$405,$AP749)&lt;&gt;"",$L749&lt;&gt;INDEX(職員マスタ!$G$6:$G$405,$AP749)),"時短開始日がマスタと相違／","")&amp;IF(AND($M749&lt;&gt;"",INDEX(職員マスタ!$H$6:$H$405,$AP749)&lt;&gt;"",$M749&lt;&gt;INDEX(職員マスタ!$H$6:$H$405,$AP749)),"時短終了日がマスタと相違／","")))&amp;IF(AND($B749&lt;&gt;"",$E749=""),"報酬額が未入力／","")&amp;IF(N($U749)&gt;0,"申請書に入力エラーが残っています／","")&amp;IF(AND($B749&lt;&gt;"",$AQ749&lt;&gt;""),IF(COUNTIFS($B$6:$B$3005,$B749,$C$6:$C$3005,$C749,$D$6:$D$3005,$D749)&gt;1,"同じ月の請求が重複しています／",""),"")&amp;IF(AND(N($E749)&gt;0,$AB749&lt;&gt;"",$AB749&lt;&gt;"×",$AE749=0,$AD749=""),"計算額が下限以下のため不支給／",""))</f>
        <v/>
      </c>
      <c r="AN749" s="12" t="n"/>
      <c r="AO749" s="14">
        <f>IF($AF749="保留中",COUNTIF($AF$6:$AF749,"保留中"),"")</f>
        <v/>
      </c>
      <c r="AP749" s="14">
        <f>IF($AQ749="","",IF(SUMPRODUCT(MAX((職員マスタ!$A$6:$A$405=$B749)*(((職員マスタ!$G$6:$G$405="")+(職員マスタ!$G$6:$G$405&lt;=EOMONTH($AQ749,0)))&gt;0)*(((職員マスタ!$H$6:$H$405="")+(職員マスタ!$H$6:$H$405&gt;=$AQ749))&gt;0)*(ROW(職員マスタ!$A$6:$A$405)-5)))&gt;0,SUMPRODUCT(MAX((職員マスタ!$A$6:$A$405=$B749)*(((職員マスタ!$G$6:$G$405="")+(職員マスタ!$G$6:$G$405&lt;=EOMONTH($AQ749,0)))&gt;0)*(((職員マスタ!$H$6:$H$405="")+(職員マスタ!$H$6:$H$405&gt;=$AQ749))&gt;0)*(ROW(職員マスタ!$A$6:$A$405)-5))),IFERROR(MATCH($B749,職員マスタ!$A$6:$A$405,0),"")))</f>
        <v/>
      </c>
      <c r="AQ749" s="16">
        <f>IF(OR($B749="",$C749="",$D749=""),"",DATE($C749+2018,$D749,1))</f>
        <v/>
      </c>
    </row>
    <row r="750">
      <c r="A750" s="11" t="n"/>
      <c r="B750" s="12" t="n"/>
      <c r="C750" s="12" t="n"/>
      <c r="D750" s="12" t="n"/>
      <c r="E750" s="13" t="n"/>
      <c r="F750" s="12" t="n"/>
      <c r="G750" s="13" t="n"/>
      <c r="H750" s="12" t="n"/>
      <c r="I750" s="12" t="n"/>
      <c r="J750" s="12" t="n"/>
      <c r="K750" s="12" t="n"/>
      <c r="L750" s="11" t="n"/>
      <c r="M750" s="11" t="n"/>
      <c r="N750" s="11" t="n"/>
      <c r="O750" s="11" t="n"/>
      <c r="P750" s="12" t="n"/>
      <c r="Q750" s="11" t="n"/>
      <c r="R750" s="12" t="n"/>
      <c r="S750" s="11" t="n"/>
      <c r="T750" s="12" t="n"/>
      <c r="U750" s="12" t="n"/>
      <c r="V750" s="12" t="n"/>
      <c r="W750" s="13" t="n"/>
      <c r="X750" s="14">
        <f>IF($AP750="",IF($B750="","",$H750),IF(INDEX(職員マスタ!$B$6:$B$405,$AP750)="",$H750,INDEX(職員マスタ!$B$6:$B$405,$AP750)))</f>
        <v/>
      </c>
      <c r="Y750" s="14">
        <f>IF($AP750="",IF($B750="","",$R750),IF(INDEX(職員マスタ!$C$6:$C$405,$AP750)="",$R750,INDEX(職員マスタ!$C$6:$C$405,$AP750)))</f>
        <v/>
      </c>
      <c r="Z750" s="14">
        <f>IF($AQ750="","","R"&amp;$C750&amp;"."&amp;$D750)</f>
        <v/>
      </c>
      <c r="AA750" s="15">
        <f>IF(IF($AP750="",FALSE,INDEX(職員マスタ!$K$6:$K$405,$AP750)&lt;&gt;""),INDEX(職員マスタ!$K$6:$K$405,$AP750),IF(N($W750)&gt;0,$W750,""))</f>
        <v/>
      </c>
      <c r="AB750" s="14">
        <f>IF(OR($E750="",$AA750=""),"",IF($E750&gt;=$AA750,"×",IF($E750&gt;=$AA750*設定!$C$5,"△","○")))</f>
        <v/>
      </c>
      <c r="AC750" s="15">
        <f>IF($AB750="","",IF($AB750="×",0,IF($AB750="○",ROUNDDOWN($E750*設定!$C$4,0),ROUNDDOWN($E750*ROUND((9*$AA750-9*$E750)/(10*$E750),4),0))))</f>
        <v/>
      </c>
      <c r="AD750" s="13" t="n"/>
      <c r="AE750" s="15">
        <f>IF($B750="","",IF($AD750&lt;&gt;"",$AD750,IF($AC750="","",IF($AC750&lt;=設定!$C$3,0,$AC750))))</f>
        <v/>
      </c>
      <c r="AF750" s="14">
        <f>IF($B750="","",IF(AND($AG750&lt;&gt;"",$AI750="",$AL750=""),"保留中",IF($AL750&lt;&gt;"",IF(N($AE750)&gt;0,"支給済","不支給"),IF($AE750="","要確認",IF($AE750=0,"不支給","未処理")))))</f>
        <v/>
      </c>
      <c r="AG750" s="12" t="n"/>
      <c r="AH750" s="11" t="n"/>
      <c r="AI750" s="11" t="n"/>
      <c r="AJ750" s="11" t="n"/>
      <c r="AK750" s="14">
        <f>IF(AND($AF750="保留中",$AH750&lt;&gt;""),TODAY()-$AH750,"")</f>
        <v/>
      </c>
      <c r="AL750" s="12" t="n"/>
      <c r="AM750" s="14">
        <f>IF($B750="","",IF($AQ750="","対象年月が未入力／","")&amp;IF($B750="","",IF($AP750="","職員マスタに未登録の職員番号／",IF($AA750="","標準報酬月額が未登録／","")&amp;IF(AND($AQ750&lt;&gt;"",OR(AND(INDEX(職員マスタ!$G$6:$G$405,$AP750)&lt;&gt;"",INDEX(職員マスタ!$G$6:$G$405,$AP750)&gt;EOMONTH($AQ750,0)),AND(INDEX(職員マスタ!$H$6:$H$405,$AP750)&lt;&gt;"",INDEX(職員マスタ!$H$6:$H$405,$AP750)&lt;$AQ750))),"対象月が時短期間外／","")&amp;IF(AND(INDEX(職員マスタ!$K$6:$K$405,$AP750)&lt;&gt;"",N($W750)&gt;0,INDEX(職員マスタ!$K$6:$K$405,$AP750)&lt;&gt;$W750),"標準報酬月額が申請書と相違（台帳"&amp;TEXT(INDEX(職員マスタ!$K$6:$K$405,$AP750),"#,##0")&amp;"円／申請書"&amp;TEXT($W750,"#,##0")&amp;"円）／","")&amp;IF(AND(INDEX(職員マスタ!$F$6:$F$405,$AP750)&lt;&gt;"",$AQ750&lt;&gt;"",INDEX(職員マスタ!$F$6:$F$405,$AP750)&lt;$AQ750),"対象月に子が2歳到達済／","")&amp;IF(AND($H750&lt;&gt;"",INDEX(職員マスタ!$B$6:$B$405,$AP750)&lt;&gt;"",SUBSTITUTE(SUBSTITUTE($H750," ","")," ","")&lt;&gt;SUBSTITUTE(SUBSTITUTE(INDEX(職員マスタ!$B$6:$B$405,$AP750)," ","")," ","")),"氏名がマスタと相違／","")&amp;IF(AND($Q750&lt;&gt;"",INDEX(職員マスタ!$E$6:$E$405,$AP750)&lt;&gt;"",$Q750&lt;&gt;INDEX(職員マスタ!$E$6:$E$405,$AP750)),"子の生年月日がマスタと相違／","")&amp;IF(AND($L750&lt;&gt;"",INDEX(職員マスタ!$G$6:$G$405,$AP750)&lt;&gt;"",$L750&lt;&gt;INDEX(職員マスタ!$G$6:$G$405,$AP750)),"時短開始日がマスタと相違／","")&amp;IF(AND($M750&lt;&gt;"",INDEX(職員マスタ!$H$6:$H$405,$AP750)&lt;&gt;"",$M750&lt;&gt;INDEX(職員マスタ!$H$6:$H$405,$AP750)),"時短終了日がマスタと相違／","")))&amp;IF(AND($B750&lt;&gt;"",$E750=""),"報酬額が未入力／","")&amp;IF(N($U750)&gt;0,"申請書に入力エラーが残っています／","")&amp;IF(AND($B750&lt;&gt;"",$AQ750&lt;&gt;""),IF(COUNTIFS($B$6:$B$3005,$B750,$C$6:$C$3005,$C750,$D$6:$D$3005,$D750)&gt;1,"同じ月の請求が重複しています／",""),"")&amp;IF(AND(N($E750)&gt;0,$AB750&lt;&gt;"",$AB750&lt;&gt;"×",$AE750=0,$AD750=""),"計算額が下限以下のため不支給／",""))</f>
        <v/>
      </c>
      <c r="AN750" s="12" t="n"/>
      <c r="AO750" s="14">
        <f>IF($AF750="保留中",COUNTIF($AF$6:$AF750,"保留中"),"")</f>
        <v/>
      </c>
      <c r="AP750" s="14">
        <f>IF($AQ750="","",IF(SUMPRODUCT(MAX((職員マスタ!$A$6:$A$405=$B750)*(((職員マスタ!$G$6:$G$405="")+(職員マスタ!$G$6:$G$405&lt;=EOMONTH($AQ750,0)))&gt;0)*(((職員マスタ!$H$6:$H$405="")+(職員マスタ!$H$6:$H$405&gt;=$AQ750))&gt;0)*(ROW(職員マスタ!$A$6:$A$405)-5)))&gt;0,SUMPRODUCT(MAX((職員マスタ!$A$6:$A$405=$B750)*(((職員マスタ!$G$6:$G$405="")+(職員マスタ!$G$6:$G$405&lt;=EOMONTH($AQ750,0)))&gt;0)*(((職員マスタ!$H$6:$H$405="")+(職員マスタ!$H$6:$H$405&gt;=$AQ750))&gt;0)*(ROW(職員マスタ!$A$6:$A$405)-5))),IFERROR(MATCH($B750,職員マスタ!$A$6:$A$405,0),"")))</f>
        <v/>
      </c>
      <c r="AQ750" s="16">
        <f>IF(OR($B750="",$C750="",$D750=""),"",DATE($C750+2018,$D750,1))</f>
        <v/>
      </c>
    </row>
    <row r="751">
      <c r="A751" s="11" t="n"/>
      <c r="B751" s="12" t="n"/>
      <c r="C751" s="12" t="n"/>
      <c r="D751" s="12" t="n"/>
      <c r="E751" s="13" t="n"/>
      <c r="F751" s="12" t="n"/>
      <c r="G751" s="13" t="n"/>
      <c r="H751" s="12" t="n"/>
      <c r="I751" s="12" t="n"/>
      <c r="J751" s="12" t="n"/>
      <c r="K751" s="12" t="n"/>
      <c r="L751" s="11" t="n"/>
      <c r="M751" s="11" t="n"/>
      <c r="N751" s="11" t="n"/>
      <c r="O751" s="11" t="n"/>
      <c r="P751" s="12" t="n"/>
      <c r="Q751" s="11" t="n"/>
      <c r="R751" s="12" t="n"/>
      <c r="S751" s="11" t="n"/>
      <c r="T751" s="12" t="n"/>
      <c r="U751" s="12" t="n"/>
      <c r="V751" s="12" t="n"/>
      <c r="W751" s="13" t="n"/>
      <c r="X751" s="14">
        <f>IF($AP751="",IF($B751="","",$H751),IF(INDEX(職員マスタ!$B$6:$B$405,$AP751)="",$H751,INDEX(職員マスタ!$B$6:$B$405,$AP751)))</f>
        <v/>
      </c>
      <c r="Y751" s="14">
        <f>IF($AP751="",IF($B751="","",$R751),IF(INDEX(職員マスタ!$C$6:$C$405,$AP751)="",$R751,INDEX(職員マスタ!$C$6:$C$405,$AP751)))</f>
        <v/>
      </c>
      <c r="Z751" s="14">
        <f>IF($AQ751="","","R"&amp;$C751&amp;"."&amp;$D751)</f>
        <v/>
      </c>
      <c r="AA751" s="15">
        <f>IF(IF($AP751="",FALSE,INDEX(職員マスタ!$K$6:$K$405,$AP751)&lt;&gt;""),INDEX(職員マスタ!$K$6:$K$405,$AP751),IF(N($W751)&gt;0,$W751,""))</f>
        <v/>
      </c>
      <c r="AB751" s="14">
        <f>IF(OR($E751="",$AA751=""),"",IF($E751&gt;=$AA751,"×",IF($E751&gt;=$AA751*設定!$C$5,"△","○")))</f>
        <v/>
      </c>
      <c r="AC751" s="15">
        <f>IF($AB751="","",IF($AB751="×",0,IF($AB751="○",ROUNDDOWN($E751*設定!$C$4,0),ROUNDDOWN($E751*ROUND((9*$AA751-9*$E751)/(10*$E751),4),0))))</f>
        <v/>
      </c>
      <c r="AD751" s="13" t="n"/>
      <c r="AE751" s="15">
        <f>IF($B751="","",IF($AD751&lt;&gt;"",$AD751,IF($AC751="","",IF($AC751&lt;=設定!$C$3,0,$AC751))))</f>
        <v/>
      </c>
      <c r="AF751" s="14">
        <f>IF($B751="","",IF(AND($AG751&lt;&gt;"",$AI751="",$AL751=""),"保留中",IF($AL751&lt;&gt;"",IF(N($AE751)&gt;0,"支給済","不支給"),IF($AE751="","要確認",IF($AE751=0,"不支給","未処理")))))</f>
        <v/>
      </c>
      <c r="AG751" s="12" t="n"/>
      <c r="AH751" s="11" t="n"/>
      <c r="AI751" s="11" t="n"/>
      <c r="AJ751" s="11" t="n"/>
      <c r="AK751" s="14">
        <f>IF(AND($AF751="保留中",$AH751&lt;&gt;""),TODAY()-$AH751,"")</f>
        <v/>
      </c>
      <c r="AL751" s="12" t="n"/>
      <c r="AM751" s="14">
        <f>IF($B751="","",IF($AQ751="","対象年月が未入力／","")&amp;IF($B751="","",IF($AP751="","職員マスタに未登録の職員番号／",IF($AA751="","標準報酬月額が未登録／","")&amp;IF(AND($AQ751&lt;&gt;"",OR(AND(INDEX(職員マスタ!$G$6:$G$405,$AP751)&lt;&gt;"",INDEX(職員マスタ!$G$6:$G$405,$AP751)&gt;EOMONTH($AQ751,0)),AND(INDEX(職員マスタ!$H$6:$H$405,$AP751)&lt;&gt;"",INDEX(職員マスタ!$H$6:$H$405,$AP751)&lt;$AQ751))),"対象月が時短期間外／","")&amp;IF(AND(INDEX(職員マスタ!$K$6:$K$405,$AP751)&lt;&gt;"",N($W751)&gt;0,INDEX(職員マスタ!$K$6:$K$405,$AP751)&lt;&gt;$W751),"標準報酬月額が申請書と相違（台帳"&amp;TEXT(INDEX(職員マスタ!$K$6:$K$405,$AP751),"#,##0")&amp;"円／申請書"&amp;TEXT($W751,"#,##0")&amp;"円）／","")&amp;IF(AND(INDEX(職員マスタ!$F$6:$F$405,$AP751)&lt;&gt;"",$AQ751&lt;&gt;"",INDEX(職員マスタ!$F$6:$F$405,$AP751)&lt;$AQ751),"対象月に子が2歳到達済／","")&amp;IF(AND($H751&lt;&gt;"",INDEX(職員マスタ!$B$6:$B$405,$AP751)&lt;&gt;"",SUBSTITUTE(SUBSTITUTE($H751," ","")," ","")&lt;&gt;SUBSTITUTE(SUBSTITUTE(INDEX(職員マスタ!$B$6:$B$405,$AP751)," ","")," ","")),"氏名がマスタと相違／","")&amp;IF(AND($Q751&lt;&gt;"",INDEX(職員マスタ!$E$6:$E$405,$AP751)&lt;&gt;"",$Q751&lt;&gt;INDEX(職員マスタ!$E$6:$E$405,$AP751)),"子の生年月日がマスタと相違／","")&amp;IF(AND($L751&lt;&gt;"",INDEX(職員マスタ!$G$6:$G$405,$AP751)&lt;&gt;"",$L751&lt;&gt;INDEX(職員マスタ!$G$6:$G$405,$AP751)),"時短開始日がマスタと相違／","")&amp;IF(AND($M751&lt;&gt;"",INDEX(職員マスタ!$H$6:$H$405,$AP751)&lt;&gt;"",$M751&lt;&gt;INDEX(職員マスタ!$H$6:$H$405,$AP751)),"時短終了日がマスタと相違／","")))&amp;IF(AND($B751&lt;&gt;"",$E751=""),"報酬額が未入力／","")&amp;IF(N($U751)&gt;0,"申請書に入力エラーが残っています／","")&amp;IF(AND($B751&lt;&gt;"",$AQ751&lt;&gt;""),IF(COUNTIFS($B$6:$B$3005,$B751,$C$6:$C$3005,$C751,$D$6:$D$3005,$D751)&gt;1,"同じ月の請求が重複しています／",""),"")&amp;IF(AND(N($E751)&gt;0,$AB751&lt;&gt;"",$AB751&lt;&gt;"×",$AE751=0,$AD751=""),"計算額が下限以下のため不支給／",""))</f>
        <v/>
      </c>
      <c r="AN751" s="12" t="n"/>
      <c r="AO751" s="14">
        <f>IF($AF751="保留中",COUNTIF($AF$6:$AF751,"保留中"),"")</f>
        <v/>
      </c>
      <c r="AP751" s="14">
        <f>IF($AQ751="","",IF(SUMPRODUCT(MAX((職員マスタ!$A$6:$A$405=$B751)*(((職員マスタ!$G$6:$G$405="")+(職員マスタ!$G$6:$G$405&lt;=EOMONTH($AQ751,0)))&gt;0)*(((職員マスタ!$H$6:$H$405="")+(職員マスタ!$H$6:$H$405&gt;=$AQ751))&gt;0)*(ROW(職員マスタ!$A$6:$A$405)-5)))&gt;0,SUMPRODUCT(MAX((職員マスタ!$A$6:$A$405=$B751)*(((職員マスタ!$G$6:$G$405="")+(職員マスタ!$G$6:$G$405&lt;=EOMONTH($AQ751,0)))&gt;0)*(((職員マスタ!$H$6:$H$405="")+(職員マスタ!$H$6:$H$405&gt;=$AQ751))&gt;0)*(ROW(職員マスタ!$A$6:$A$405)-5))),IFERROR(MATCH($B751,職員マスタ!$A$6:$A$405,0),"")))</f>
        <v/>
      </c>
      <c r="AQ751" s="16">
        <f>IF(OR($B751="",$C751="",$D751=""),"",DATE($C751+2018,$D751,1))</f>
        <v/>
      </c>
    </row>
    <row r="752">
      <c r="A752" s="11" t="n"/>
      <c r="B752" s="12" t="n"/>
      <c r="C752" s="12" t="n"/>
      <c r="D752" s="12" t="n"/>
      <c r="E752" s="13" t="n"/>
      <c r="F752" s="12" t="n"/>
      <c r="G752" s="13" t="n"/>
      <c r="H752" s="12" t="n"/>
      <c r="I752" s="12" t="n"/>
      <c r="J752" s="12" t="n"/>
      <c r="K752" s="12" t="n"/>
      <c r="L752" s="11" t="n"/>
      <c r="M752" s="11" t="n"/>
      <c r="N752" s="11" t="n"/>
      <c r="O752" s="11" t="n"/>
      <c r="P752" s="12" t="n"/>
      <c r="Q752" s="11" t="n"/>
      <c r="R752" s="12" t="n"/>
      <c r="S752" s="11" t="n"/>
      <c r="T752" s="12" t="n"/>
      <c r="U752" s="12" t="n"/>
      <c r="V752" s="12" t="n"/>
      <c r="W752" s="13" t="n"/>
      <c r="X752" s="14">
        <f>IF($AP752="",IF($B752="","",$H752),IF(INDEX(職員マスタ!$B$6:$B$405,$AP752)="",$H752,INDEX(職員マスタ!$B$6:$B$405,$AP752)))</f>
        <v/>
      </c>
      <c r="Y752" s="14">
        <f>IF($AP752="",IF($B752="","",$R752),IF(INDEX(職員マスタ!$C$6:$C$405,$AP752)="",$R752,INDEX(職員マスタ!$C$6:$C$405,$AP752)))</f>
        <v/>
      </c>
      <c r="Z752" s="14">
        <f>IF($AQ752="","","R"&amp;$C752&amp;"."&amp;$D752)</f>
        <v/>
      </c>
      <c r="AA752" s="15">
        <f>IF(IF($AP752="",FALSE,INDEX(職員マスタ!$K$6:$K$405,$AP752)&lt;&gt;""),INDEX(職員マスタ!$K$6:$K$405,$AP752),IF(N($W752)&gt;0,$W752,""))</f>
        <v/>
      </c>
      <c r="AB752" s="14">
        <f>IF(OR($E752="",$AA752=""),"",IF($E752&gt;=$AA752,"×",IF($E752&gt;=$AA752*設定!$C$5,"△","○")))</f>
        <v/>
      </c>
      <c r="AC752" s="15">
        <f>IF($AB752="","",IF($AB752="×",0,IF($AB752="○",ROUNDDOWN($E752*設定!$C$4,0),ROUNDDOWN($E752*ROUND((9*$AA752-9*$E752)/(10*$E752),4),0))))</f>
        <v/>
      </c>
      <c r="AD752" s="13" t="n"/>
      <c r="AE752" s="15">
        <f>IF($B752="","",IF($AD752&lt;&gt;"",$AD752,IF($AC752="","",IF($AC752&lt;=設定!$C$3,0,$AC752))))</f>
        <v/>
      </c>
      <c r="AF752" s="14">
        <f>IF($B752="","",IF(AND($AG752&lt;&gt;"",$AI752="",$AL752=""),"保留中",IF($AL752&lt;&gt;"",IF(N($AE752)&gt;0,"支給済","不支給"),IF($AE752="","要確認",IF($AE752=0,"不支給","未処理")))))</f>
        <v/>
      </c>
      <c r="AG752" s="12" t="n"/>
      <c r="AH752" s="11" t="n"/>
      <c r="AI752" s="11" t="n"/>
      <c r="AJ752" s="11" t="n"/>
      <c r="AK752" s="14">
        <f>IF(AND($AF752="保留中",$AH752&lt;&gt;""),TODAY()-$AH752,"")</f>
        <v/>
      </c>
      <c r="AL752" s="12" t="n"/>
      <c r="AM752" s="14">
        <f>IF($B752="","",IF($AQ752="","対象年月が未入力／","")&amp;IF($B752="","",IF($AP752="","職員マスタに未登録の職員番号／",IF($AA752="","標準報酬月額が未登録／","")&amp;IF(AND($AQ752&lt;&gt;"",OR(AND(INDEX(職員マスタ!$G$6:$G$405,$AP752)&lt;&gt;"",INDEX(職員マスタ!$G$6:$G$405,$AP752)&gt;EOMONTH($AQ752,0)),AND(INDEX(職員マスタ!$H$6:$H$405,$AP752)&lt;&gt;"",INDEX(職員マスタ!$H$6:$H$405,$AP752)&lt;$AQ752))),"対象月が時短期間外／","")&amp;IF(AND(INDEX(職員マスタ!$K$6:$K$405,$AP752)&lt;&gt;"",N($W752)&gt;0,INDEX(職員マスタ!$K$6:$K$405,$AP752)&lt;&gt;$W752),"標準報酬月額が申請書と相違（台帳"&amp;TEXT(INDEX(職員マスタ!$K$6:$K$405,$AP752),"#,##0")&amp;"円／申請書"&amp;TEXT($W752,"#,##0")&amp;"円）／","")&amp;IF(AND(INDEX(職員マスタ!$F$6:$F$405,$AP752)&lt;&gt;"",$AQ752&lt;&gt;"",INDEX(職員マスタ!$F$6:$F$405,$AP752)&lt;$AQ752),"対象月に子が2歳到達済／","")&amp;IF(AND($H752&lt;&gt;"",INDEX(職員マスタ!$B$6:$B$405,$AP752)&lt;&gt;"",SUBSTITUTE(SUBSTITUTE($H752," ","")," ","")&lt;&gt;SUBSTITUTE(SUBSTITUTE(INDEX(職員マスタ!$B$6:$B$405,$AP752)," ","")," ","")),"氏名がマスタと相違／","")&amp;IF(AND($Q752&lt;&gt;"",INDEX(職員マスタ!$E$6:$E$405,$AP752)&lt;&gt;"",$Q752&lt;&gt;INDEX(職員マスタ!$E$6:$E$405,$AP752)),"子の生年月日がマスタと相違／","")&amp;IF(AND($L752&lt;&gt;"",INDEX(職員マスタ!$G$6:$G$405,$AP752)&lt;&gt;"",$L752&lt;&gt;INDEX(職員マスタ!$G$6:$G$405,$AP752)),"時短開始日がマスタと相違／","")&amp;IF(AND($M752&lt;&gt;"",INDEX(職員マスタ!$H$6:$H$405,$AP752)&lt;&gt;"",$M752&lt;&gt;INDEX(職員マスタ!$H$6:$H$405,$AP752)),"時短終了日がマスタと相違／","")))&amp;IF(AND($B752&lt;&gt;"",$E752=""),"報酬額が未入力／","")&amp;IF(N($U752)&gt;0,"申請書に入力エラーが残っています／","")&amp;IF(AND($B752&lt;&gt;"",$AQ752&lt;&gt;""),IF(COUNTIFS($B$6:$B$3005,$B752,$C$6:$C$3005,$C752,$D$6:$D$3005,$D752)&gt;1,"同じ月の請求が重複しています／",""),"")&amp;IF(AND(N($E752)&gt;0,$AB752&lt;&gt;"",$AB752&lt;&gt;"×",$AE752=0,$AD752=""),"計算額が下限以下のため不支給／",""))</f>
        <v/>
      </c>
      <c r="AN752" s="12" t="n"/>
      <c r="AO752" s="14">
        <f>IF($AF752="保留中",COUNTIF($AF$6:$AF752,"保留中"),"")</f>
        <v/>
      </c>
      <c r="AP752" s="14">
        <f>IF($AQ752="","",IF(SUMPRODUCT(MAX((職員マスタ!$A$6:$A$405=$B752)*(((職員マスタ!$G$6:$G$405="")+(職員マスタ!$G$6:$G$405&lt;=EOMONTH($AQ752,0)))&gt;0)*(((職員マスタ!$H$6:$H$405="")+(職員マスタ!$H$6:$H$405&gt;=$AQ752))&gt;0)*(ROW(職員マスタ!$A$6:$A$405)-5)))&gt;0,SUMPRODUCT(MAX((職員マスタ!$A$6:$A$405=$B752)*(((職員マスタ!$G$6:$G$405="")+(職員マスタ!$G$6:$G$405&lt;=EOMONTH($AQ752,0)))&gt;0)*(((職員マスタ!$H$6:$H$405="")+(職員マスタ!$H$6:$H$405&gt;=$AQ752))&gt;0)*(ROW(職員マスタ!$A$6:$A$405)-5))),IFERROR(MATCH($B752,職員マスタ!$A$6:$A$405,0),"")))</f>
        <v/>
      </c>
      <c r="AQ752" s="16">
        <f>IF(OR($B752="",$C752="",$D752=""),"",DATE($C752+2018,$D752,1))</f>
        <v/>
      </c>
    </row>
    <row r="753">
      <c r="A753" s="11" t="n"/>
      <c r="B753" s="12" t="n"/>
      <c r="C753" s="12" t="n"/>
      <c r="D753" s="12" t="n"/>
      <c r="E753" s="13" t="n"/>
      <c r="F753" s="12" t="n"/>
      <c r="G753" s="13" t="n"/>
      <c r="H753" s="12" t="n"/>
      <c r="I753" s="12" t="n"/>
      <c r="J753" s="12" t="n"/>
      <c r="K753" s="12" t="n"/>
      <c r="L753" s="11" t="n"/>
      <c r="M753" s="11" t="n"/>
      <c r="N753" s="11" t="n"/>
      <c r="O753" s="11" t="n"/>
      <c r="P753" s="12" t="n"/>
      <c r="Q753" s="11" t="n"/>
      <c r="R753" s="12" t="n"/>
      <c r="S753" s="11" t="n"/>
      <c r="T753" s="12" t="n"/>
      <c r="U753" s="12" t="n"/>
      <c r="V753" s="12" t="n"/>
      <c r="W753" s="13" t="n"/>
      <c r="X753" s="14">
        <f>IF($AP753="",IF($B753="","",$H753),IF(INDEX(職員マスタ!$B$6:$B$405,$AP753)="",$H753,INDEX(職員マスタ!$B$6:$B$405,$AP753)))</f>
        <v/>
      </c>
      <c r="Y753" s="14">
        <f>IF($AP753="",IF($B753="","",$R753),IF(INDEX(職員マスタ!$C$6:$C$405,$AP753)="",$R753,INDEX(職員マスタ!$C$6:$C$405,$AP753)))</f>
        <v/>
      </c>
      <c r="Z753" s="14">
        <f>IF($AQ753="","","R"&amp;$C753&amp;"."&amp;$D753)</f>
        <v/>
      </c>
      <c r="AA753" s="15">
        <f>IF(IF($AP753="",FALSE,INDEX(職員マスタ!$K$6:$K$405,$AP753)&lt;&gt;""),INDEX(職員マスタ!$K$6:$K$405,$AP753),IF(N($W753)&gt;0,$W753,""))</f>
        <v/>
      </c>
      <c r="AB753" s="14">
        <f>IF(OR($E753="",$AA753=""),"",IF($E753&gt;=$AA753,"×",IF($E753&gt;=$AA753*設定!$C$5,"△","○")))</f>
        <v/>
      </c>
      <c r="AC753" s="15">
        <f>IF($AB753="","",IF($AB753="×",0,IF($AB753="○",ROUNDDOWN($E753*設定!$C$4,0),ROUNDDOWN($E753*ROUND((9*$AA753-9*$E753)/(10*$E753),4),0))))</f>
        <v/>
      </c>
      <c r="AD753" s="13" t="n"/>
      <c r="AE753" s="15">
        <f>IF($B753="","",IF($AD753&lt;&gt;"",$AD753,IF($AC753="","",IF($AC753&lt;=設定!$C$3,0,$AC753))))</f>
        <v/>
      </c>
      <c r="AF753" s="14">
        <f>IF($B753="","",IF(AND($AG753&lt;&gt;"",$AI753="",$AL753=""),"保留中",IF($AL753&lt;&gt;"",IF(N($AE753)&gt;0,"支給済","不支給"),IF($AE753="","要確認",IF($AE753=0,"不支給","未処理")))))</f>
        <v/>
      </c>
      <c r="AG753" s="12" t="n"/>
      <c r="AH753" s="11" t="n"/>
      <c r="AI753" s="11" t="n"/>
      <c r="AJ753" s="11" t="n"/>
      <c r="AK753" s="14">
        <f>IF(AND($AF753="保留中",$AH753&lt;&gt;""),TODAY()-$AH753,"")</f>
        <v/>
      </c>
      <c r="AL753" s="12" t="n"/>
      <c r="AM753" s="14">
        <f>IF($B753="","",IF($AQ753="","対象年月が未入力／","")&amp;IF($B753="","",IF($AP753="","職員マスタに未登録の職員番号／",IF($AA753="","標準報酬月額が未登録／","")&amp;IF(AND($AQ753&lt;&gt;"",OR(AND(INDEX(職員マスタ!$G$6:$G$405,$AP753)&lt;&gt;"",INDEX(職員マスタ!$G$6:$G$405,$AP753)&gt;EOMONTH($AQ753,0)),AND(INDEX(職員マスタ!$H$6:$H$405,$AP753)&lt;&gt;"",INDEX(職員マスタ!$H$6:$H$405,$AP753)&lt;$AQ753))),"対象月が時短期間外／","")&amp;IF(AND(INDEX(職員マスタ!$K$6:$K$405,$AP753)&lt;&gt;"",N($W753)&gt;0,INDEX(職員マスタ!$K$6:$K$405,$AP753)&lt;&gt;$W753),"標準報酬月額が申請書と相違（台帳"&amp;TEXT(INDEX(職員マスタ!$K$6:$K$405,$AP753),"#,##0")&amp;"円／申請書"&amp;TEXT($W753,"#,##0")&amp;"円）／","")&amp;IF(AND(INDEX(職員マスタ!$F$6:$F$405,$AP753)&lt;&gt;"",$AQ753&lt;&gt;"",INDEX(職員マスタ!$F$6:$F$405,$AP753)&lt;$AQ753),"対象月に子が2歳到達済／","")&amp;IF(AND($H753&lt;&gt;"",INDEX(職員マスタ!$B$6:$B$405,$AP753)&lt;&gt;"",SUBSTITUTE(SUBSTITUTE($H753," ","")," ","")&lt;&gt;SUBSTITUTE(SUBSTITUTE(INDEX(職員マスタ!$B$6:$B$405,$AP753)," ","")," ","")),"氏名がマスタと相違／","")&amp;IF(AND($Q753&lt;&gt;"",INDEX(職員マスタ!$E$6:$E$405,$AP753)&lt;&gt;"",$Q753&lt;&gt;INDEX(職員マスタ!$E$6:$E$405,$AP753)),"子の生年月日がマスタと相違／","")&amp;IF(AND($L753&lt;&gt;"",INDEX(職員マスタ!$G$6:$G$405,$AP753)&lt;&gt;"",$L753&lt;&gt;INDEX(職員マスタ!$G$6:$G$405,$AP753)),"時短開始日がマスタと相違／","")&amp;IF(AND($M753&lt;&gt;"",INDEX(職員マスタ!$H$6:$H$405,$AP753)&lt;&gt;"",$M753&lt;&gt;INDEX(職員マスタ!$H$6:$H$405,$AP753)),"時短終了日がマスタと相違／","")))&amp;IF(AND($B753&lt;&gt;"",$E753=""),"報酬額が未入力／","")&amp;IF(N($U753)&gt;0,"申請書に入力エラーが残っています／","")&amp;IF(AND($B753&lt;&gt;"",$AQ753&lt;&gt;""),IF(COUNTIFS($B$6:$B$3005,$B753,$C$6:$C$3005,$C753,$D$6:$D$3005,$D753)&gt;1,"同じ月の請求が重複しています／",""),"")&amp;IF(AND(N($E753)&gt;0,$AB753&lt;&gt;"",$AB753&lt;&gt;"×",$AE753=0,$AD753=""),"計算額が下限以下のため不支給／",""))</f>
        <v/>
      </c>
      <c r="AN753" s="12" t="n"/>
      <c r="AO753" s="14">
        <f>IF($AF753="保留中",COUNTIF($AF$6:$AF753,"保留中"),"")</f>
        <v/>
      </c>
      <c r="AP753" s="14">
        <f>IF($AQ753="","",IF(SUMPRODUCT(MAX((職員マスタ!$A$6:$A$405=$B753)*(((職員マスタ!$G$6:$G$405="")+(職員マスタ!$G$6:$G$405&lt;=EOMONTH($AQ753,0)))&gt;0)*(((職員マスタ!$H$6:$H$405="")+(職員マスタ!$H$6:$H$405&gt;=$AQ753))&gt;0)*(ROW(職員マスタ!$A$6:$A$405)-5)))&gt;0,SUMPRODUCT(MAX((職員マスタ!$A$6:$A$405=$B753)*(((職員マスタ!$G$6:$G$405="")+(職員マスタ!$G$6:$G$405&lt;=EOMONTH($AQ753,0)))&gt;0)*(((職員マスタ!$H$6:$H$405="")+(職員マスタ!$H$6:$H$405&gt;=$AQ753))&gt;0)*(ROW(職員マスタ!$A$6:$A$405)-5))),IFERROR(MATCH($B753,職員マスタ!$A$6:$A$405,0),"")))</f>
        <v/>
      </c>
      <c r="AQ753" s="16">
        <f>IF(OR($B753="",$C753="",$D753=""),"",DATE($C753+2018,$D753,1))</f>
        <v/>
      </c>
    </row>
    <row r="754">
      <c r="A754" s="11" t="n"/>
      <c r="B754" s="12" t="n"/>
      <c r="C754" s="12" t="n"/>
      <c r="D754" s="12" t="n"/>
      <c r="E754" s="13" t="n"/>
      <c r="F754" s="12" t="n"/>
      <c r="G754" s="13" t="n"/>
      <c r="H754" s="12" t="n"/>
      <c r="I754" s="12" t="n"/>
      <c r="J754" s="12" t="n"/>
      <c r="K754" s="12" t="n"/>
      <c r="L754" s="11" t="n"/>
      <c r="M754" s="11" t="n"/>
      <c r="N754" s="11" t="n"/>
      <c r="O754" s="11" t="n"/>
      <c r="P754" s="12" t="n"/>
      <c r="Q754" s="11" t="n"/>
      <c r="R754" s="12" t="n"/>
      <c r="S754" s="11" t="n"/>
      <c r="T754" s="12" t="n"/>
      <c r="U754" s="12" t="n"/>
      <c r="V754" s="12" t="n"/>
      <c r="W754" s="13" t="n"/>
      <c r="X754" s="14">
        <f>IF($AP754="",IF($B754="","",$H754),IF(INDEX(職員マスタ!$B$6:$B$405,$AP754)="",$H754,INDEX(職員マスタ!$B$6:$B$405,$AP754)))</f>
        <v/>
      </c>
      <c r="Y754" s="14">
        <f>IF($AP754="",IF($B754="","",$R754),IF(INDEX(職員マスタ!$C$6:$C$405,$AP754)="",$R754,INDEX(職員マスタ!$C$6:$C$405,$AP754)))</f>
        <v/>
      </c>
      <c r="Z754" s="14">
        <f>IF($AQ754="","","R"&amp;$C754&amp;"."&amp;$D754)</f>
        <v/>
      </c>
      <c r="AA754" s="15">
        <f>IF(IF($AP754="",FALSE,INDEX(職員マスタ!$K$6:$K$405,$AP754)&lt;&gt;""),INDEX(職員マスタ!$K$6:$K$405,$AP754),IF(N($W754)&gt;0,$W754,""))</f>
        <v/>
      </c>
      <c r="AB754" s="14">
        <f>IF(OR($E754="",$AA754=""),"",IF($E754&gt;=$AA754,"×",IF($E754&gt;=$AA754*設定!$C$5,"△","○")))</f>
        <v/>
      </c>
      <c r="AC754" s="15">
        <f>IF($AB754="","",IF($AB754="×",0,IF($AB754="○",ROUNDDOWN($E754*設定!$C$4,0),ROUNDDOWN($E754*ROUND((9*$AA754-9*$E754)/(10*$E754),4),0))))</f>
        <v/>
      </c>
      <c r="AD754" s="13" t="n"/>
      <c r="AE754" s="15">
        <f>IF($B754="","",IF($AD754&lt;&gt;"",$AD754,IF($AC754="","",IF($AC754&lt;=設定!$C$3,0,$AC754))))</f>
        <v/>
      </c>
      <c r="AF754" s="14">
        <f>IF($B754="","",IF(AND($AG754&lt;&gt;"",$AI754="",$AL754=""),"保留中",IF($AL754&lt;&gt;"",IF(N($AE754)&gt;0,"支給済","不支給"),IF($AE754="","要確認",IF($AE754=0,"不支給","未処理")))))</f>
        <v/>
      </c>
      <c r="AG754" s="12" t="n"/>
      <c r="AH754" s="11" t="n"/>
      <c r="AI754" s="11" t="n"/>
      <c r="AJ754" s="11" t="n"/>
      <c r="AK754" s="14">
        <f>IF(AND($AF754="保留中",$AH754&lt;&gt;""),TODAY()-$AH754,"")</f>
        <v/>
      </c>
      <c r="AL754" s="12" t="n"/>
      <c r="AM754" s="14">
        <f>IF($B754="","",IF($AQ754="","対象年月が未入力／","")&amp;IF($B754="","",IF($AP754="","職員マスタに未登録の職員番号／",IF($AA754="","標準報酬月額が未登録／","")&amp;IF(AND($AQ754&lt;&gt;"",OR(AND(INDEX(職員マスタ!$G$6:$G$405,$AP754)&lt;&gt;"",INDEX(職員マスタ!$G$6:$G$405,$AP754)&gt;EOMONTH($AQ754,0)),AND(INDEX(職員マスタ!$H$6:$H$405,$AP754)&lt;&gt;"",INDEX(職員マスタ!$H$6:$H$405,$AP754)&lt;$AQ754))),"対象月が時短期間外／","")&amp;IF(AND(INDEX(職員マスタ!$K$6:$K$405,$AP754)&lt;&gt;"",N($W754)&gt;0,INDEX(職員マスタ!$K$6:$K$405,$AP754)&lt;&gt;$W754),"標準報酬月額が申請書と相違（台帳"&amp;TEXT(INDEX(職員マスタ!$K$6:$K$405,$AP754),"#,##0")&amp;"円／申請書"&amp;TEXT($W754,"#,##0")&amp;"円）／","")&amp;IF(AND(INDEX(職員マスタ!$F$6:$F$405,$AP754)&lt;&gt;"",$AQ754&lt;&gt;"",INDEX(職員マスタ!$F$6:$F$405,$AP754)&lt;$AQ754),"対象月に子が2歳到達済／","")&amp;IF(AND($H754&lt;&gt;"",INDEX(職員マスタ!$B$6:$B$405,$AP754)&lt;&gt;"",SUBSTITUTE(SUBSTITUTE($H754," ","")," ","")&lt;&gt;SUBSTITUTE(SUBSTITUTE(INDEX(職員マスタ!$B$6:$B$405,$AP754)," ","")," ","")),"氏名がマスタと相違／","")&amp;IF(AND($Q754&lt;&gt;"",INDEX(職員マスタ!$E$6:$E$405,$AP754)&lt;&gt;"",$Q754&lt;&gt;INDEX(職員マスタ!$E$6:$E$405,$AP754)),"子の生年月日がマスタと相違／","")&amp;IF(AND($L754&lt;&gt;"",INDEX(職員マスタ!$G$6:$G$405,$AP754)&lt;&gt;"",$L754&lt;&gt;INDEX(職員マスタ!$G$6:$G$405,$AP754)),"時短開始日がマスタと相違／","")&amp;IF(AND($M754&lt;&gt;"",INDEX(職員マスタ!$H$6:$H$405,$AP754)&lt;&gt;"",$M754&lt;&gt;INDEX(職員マスタ!$H$6:$H$405,$AP754)),"時短終了日がマスタと相違／","")))&amp;IF(AND($B754&lt;&gt;"",$E754=""),"報酬額が未入力／","")&amp;IF(N($U754)&gt;0,"申請書に入力エラーが残っています／","")&amp;IF(AND($B754&lt;&gt;"",$AQ754&lt;&gt;""),IF(COUNTIFS($B$6:$B$3005,$B754,$C$6:$C$3005,$C754,$D$6:$D$3005,$D754)&gt;1,"同じ月の請求が重複しています／",""),"")&amp;IF(AND(N($E754)&gt;0,$AB754&lt;&gt;"",$AB754&lt;&gt;"×",$AE754=0,$AD754=""),"計算額が下限以下のため不支給／",""))</f>
        <v/>
      </c>
      <c r="AN754" s="12" t="n"/>
      <c r="AO754" s="14">
        <f>IF($AF754="保留中",COUNTIF($AF$6:$AF754,"保留中"),"")</f>
        <v/>
      </c>
      <c r="AP754" s="14">
        <f>IF($AQ754="","",IF(SUMPRODUCT(MAX((職員マスタ!$A$6:$A$405=$B754)*(((職員マスタ!$G$6:$G$405="")+(職員マスタ!$G$6:$G$405&lt;=EOMONTH($AQ754,0)))&gt;0)*(((職員マスタ!$H$6:$H$405="")+(職員マスタ!$H$6:$H$405&gt;=$AQ754))&gt;0)*(ROW(職員マスタ!$A$6:$A$405)-5)))&gt;0,SUMPRODUCT(MAX((職員マスタ!$A$6:$A$405=$B754)*(((職員マスタ!$G$6:$G$405="")+(職員マスタ!$G$6:$G$405&lt;=EOMONTH($AQ754,0)))&gt;0)*(((職員マスタ!$H$6:$H$405="")+(職員マスタ!$H$6:$H$405&gt;=$AQ754))&gt;0)*(ROW(職員マスタ!$A$6:$A$405)-5))),IFERROR(MATCH($B754,職員マスタ!$A$6:$A$405,0),"")))</f>
        <v/>
      </c>
      <c r="AQ754" s="16">
        <f>IF(OR($B754="",$C754="",$D754=""),"",DATE($C754+2018,$D754,1))</f>
        <v/>
      </c>
    </row>
    <row r="755">
      <c r="A755" s="11" t="n"/>
      <c r="B755" s="12" t="n"/>
      <c r="C755" s="12" t="n"/>
      <c r="D755" s="12" t="n"/>
      <c r="E755" s="13" t="n"/>
      <c r="F755" s="12" t="n"/>
      <c r="G755" s="13" t="n"/>
      <c r="H755" s="12" t="n"/>
      <c r="I755" s="12" t="n"/>
      <c r="J755" s="12" t="n"/>
      <c r="K755" s="12" t="n"/>
      <c r="L755" s="11" t="n"/>
      <c r="M755" s="11" t="n"/>
      <c r="N755" s="11" t="n"/>
      <c r="O755" s="11" t="n"/>
      <c r="P755" s="12" t="n"/>
      <c r="Q755" s="11" t="n"/>
      <c r="R755" s="12" t="n"/>
      <c r="S755" s="11" t="n"/>
      <c r="T755" s="12" t="n"/>
      <c r="U755" s="12" t="n"/>
      <c r="V755" s="12" t="n"/>
      <c r="W755" s="13" t="n"/>
      <c r="X755" s="14">
        <f>IF($AP755="",IF($B755="","",$H755),IF(INDEX(職員マスタ!$B$6:$B$405,$AP755)="",$H755,INDEX(職員マスタ!$B$6:$B$405,$AP755)))</f>
        <v/>
      </c>
      <c r="Y755" s="14">
        <f>IF($AP755="",IF($B755="","",$R755),IF(INDEX(職員マスタ!$C$6:$C$405,$AP755)="",$R755,INDEX(職員マスタ!$C$6:$C$405,$AP755)))</f>
        <v/>
      </c>
      <c r="Z755" s="14">
        <f>IF($AQ755="","","R"&amp;$C755&amp;"."&amp;$D755)</f>
        <v/>
      </c>
      <c r="AA755" s="15">
        <f>IF(IF($AP755="",FALSE,INDEX(職員マスタ!$K$6:$K$405,$AP755)&lt;&gt;""),INDEX(職員マスタ!$K$6:$K$405,$AP755),IF(N($W755)&gt;0,$W755,""))</f>
        <v/>
      </c>
      <c r="AB755" s="14">
        <f>IF(OR($E755="",$AA755=""),"",IF($E755&gt;=$AA755,"×",IF($E755&gt;=$AA755*設定!$C$5,"△","○")))</f>
        <v/>
      </c>
      <c r="AC755" s="15">
        <f>IF($AB755="","",IF($AB755="×",0,IF($AB755="○",ROUNDDOWN($E755*設定!$C$4,0),ROUNDDOWN($E755*ROUND((9*$AA755-9*$E755)/(10*$E755),4),0))))</f>
        <v/>
      </c>
      <c r="AD755" s="13" t="n"/>
      <c r="AE755" s="15">
        <f>IF($B755="","",IF($AD755&lt;&gt;"",$AD755,IF($AC755="","",IF($AC755&lt;=設定!$C$3,0,$AC755))))</f>
        <v/>
      </c>
      <c r="AF755" s="14">
        <f>IF($B755="","",IF(AND($AG755&lt;&gt;"",$AI755="",$AL755=""),"保留中",IF($AL755&lt;&gt;"",IF(N($AE755)&gt;0,"支給済","不支給"),IF($AE755="","要確認",IF($AE755=0,"不支給","未処理")))))</f>
        <v/>
      </c>
      <c r="AG755" s="12" t="n"/>
      <c r="AH755" s="11" t="n"/>
      <c r="AI755" s="11" t="n"/>
      <c r="AJ755" s="11" t="n"/>
      <c r="AK755" s="14">
        <f>IF(AND($AF755="保留中",$AH755&lt;&gt;""),TODAY()-$AH755,"")</f>
        <v/>
      </c>
      <c r="AL755" s="12" t="n"/>
      <c r="AM755" s="14">
        <f>IF($B755="","",IF($AQ755="","対象年月が未入力／","")&amp;IF($B755="","",IF($AP755="","職員マスタに未登録の職員番号／",IF($AA755="","標準報酬月額が未登録／","")&amp;IF(AND($AQ755&lt;&gt;"",OR(AND(INDEX(職員マスタ!$G$6:$G$405,$AP755)&lt;&gt;"",INDEX(職員マスタ!$G$6:$G$405,$AP755)&gt;EOMONTH($AQ755,0)),AND(INDEX(職員マスタ!$H$6:$H$405,$AP755)&lt;&gt;"",INDEX(職員マスタ!$H$6:$H$405,$AP755)&lt;$AQ755))),"対象月が時短期間外／","")&amp;IF(AND(INDEX(職員マスタ!$K$6:$K$405,$AP755)&lt;&gt;"",N($W755)&gt;0,INDEX(職員マスタ!$K$6:$K$405,$AP755)&lt;&gt;$W755),"標準報酬月額が申請書と相違（台帳"&amp;TEXT(INDEX(職員マスタ!$K$6:$K$405,$AP755),"#,##0")&amp;"円／申請書"&amp;TEXT($W755,"#,##0")&amp;"円）／","")&amp;IF(AND(INDEX(職員マスタ!$F$6:$F$405,$AP755)&lt;&gt;"",$AQ755&lt;&gt;"",INDEX(職員マスタ!$F$6:$F$405,$AP755)&lt;$AQ755),"対象月に子が2歳到達済／","")&amp;IF(AND($H755&lt;&gt;"",INDEX(職員マスタ!$B$6:$B$405,$AP755)&lt;&gt;"",SUBSTITUTE(SUBSTITUTE($H755," ","")," ","")&lt;&gt;SUBSTITUTE(SUBSTITUTE(INDEX(職員マスタ!$B$6:$B$405,$AP755)," ","")," ","")),"氏名がマスタと相違／","")&amp;IF(AND($Q755&lt;&gt;"",INDEX(職員マスタ!$E$6:$E$405,$AP755)&lt;&gt;"",$Q755&lt;&gt;INDEX(職員マスタ!$E$6:$E$405,$AP755)),"子の生年月日がマスタと相違／","")&amp;IF(AND($L755&lt;&gt;"",INDEX(職員マスタ!$G$6:$G$405,$AP755)&lt;&gt;"",$L755&lt;&gt;INDEX(職員マスタ!$G$6:$G$405,$AP755)),"時短開始日がマスタと相違／","")&amp;IF(AND($M755&lt;&gt;"",INDEX(職員マスタ!$H$6:$H$405,$AP755)&lt;&gt;"",$M755&lt;&gt;INDEX(職員マスタ!$H$6:$H$405,$AP755)),"時短終了日がマスタと相違／","")))&amp;IF(AND($B755&lt;&gt;"",$E755=""),"報酬額が未入力／","")&amp;IF(N($U755)&gt;0,"申請書に入力エラーが残っています／","")&amp;IF(AND($B755&lt;&gt;"",$AQ755&lt;&gt;""),IF(COUNTIFS($B$6:$B$3005,$B755,$C$6:$C$3005,$C755,$D$6:$D$3005,$D755)&gt;1,"同じ月の請求が重複しています／",""),"")&amp;IF(AND(N($E755)&gt;0,$AB755&lt;&gt;"",$AB755&lt;&gt;"×",$AE755=0,$AD755=""),"計算額が下限以下のため不支給／",""))</f>
        <v/>
      </c>
      <c r="AN755" s="12" t="n"/>
      <c r="AO755" s="14">
        <f>IF($AF755="保留中",COUNTIF($AF$6:$AF755,"保留中"),"")</f>
        <v/>
      </c>
      <c r="AP755" s="14">
        <f>IF($AQ755="","",IF(SUMPRODUCT(MAX((職員マスタ!$A$6:$A$405=$B755)*(((職員マスタ!$G$6:$G$405="")+(職員マスタ!$G$6:$G$405&lt;=EOMONTH($AQ755,0)))&gt;0)*(((職員マスタ!$H$6:$H$405="")+(職員マスタ!$H$6:$H$405&gt;=$AQ755))&gt;0)*(ROW(職員マスタ!$A$6:$A$405)-5)))&gt;0,SUMPRODUCT(MAX((職員マスタ!$A$6:$A$405=$B755)*(((職員マスタ!$G$6:$G$405="")+(職員マスタ!$G$6:$G$405&lt;=EOMONTH($AQ755,0)))&gt;0)*(((職員マスタ!$H$6:$H$405="")+(職員マスタ!$H$6:$H$405&gt;=$AQ755))&gt;0)*(ROW(職員マスタ!$A$6:$A$405)-5))),IFERROR(MATCH($B755,職員マスタ!$A$6:$A$405,0),"")))</f>
        <v/>
      </c>
      <c r="AQ755" s="16">
        <f>IF(OR($B755="",$C755="",$D755=""),"",DATE($C755+2018,$D755,1))</f>
        <v/>
      </c>
    </row>
    <row r="756">
      <c r="A756" s="11" t="n"/>
      <c r="B756" s="12" t="n"/>
      <c r="C756" s="12" t="n"/>
      <c r="D756" s="12" t="n"/>
      <c r="E756" s="13" t="n"/>
      <c r="F756" s="12" t="n"/>
      <c r="G756" s="13" t="n"/>
      <c r="H756" s="12" t="n"/>
      <c r="I756" s="12" t="n"/>
      <c r="J756" s="12" t="n"/>
      <c r="K756" s="12" t="n"/>
      <c r="L756" s="11" t="n"/>
      <c r="M756" s="11" t="n"/>
      <c r="N756" s="11" t="n"/>
      <c r="O756" s="11" t="n"/>
      <c r="P756" s="12" t="n"/>
      <c r="Q756" s="11" t="n"/>
      <c r="R756" s="12" t="n"/>
      <c r="S756" s="11" t="n"/>
      <c r="T756" s="12" t="n"/>
      <c r="U756" s="12" t="n"/>
      <c r="V756" s="12" t="n"/>
      <c r="W756" s="13" t="n"/>
      <c r="X756" s="14">
        <f>IF($AP756="",IF($B756="","",$H756),IF(INDEX(職員マスタ!$B$6:$B$405,$AP756)="",$H756,INDEX(職員マスタ!$B$6:$B$405,$AP756)))</f>
        <v/>
      </c>
      <c r="Y756" s="14">
        <f>IF($AP756="",IF($B756="","",$R756),IF(INDEX(職員マスタ!$C$6:$C$405,$AP756)="",$R756,INDEX(職員マスタ!$C$6:$C$405,$AP756)))</f>
        <v/>
      </c>
      <c r="Z756" s="14">
        <f>IF($AQ756="","","R"&amp;$C756&amp;"."&amp;$D756)</f>
        <v/>
      </c>
      <c r="AA756" s="15">
        <f>IF(IF($AP756="",FALSE,INDEX(職員マスタ!$K$6:$K$405,$AP756)&lt;&gt;""),INDEX(職員マスタ!$K$6:$K$405,$AP756),IF(N($W756)&gt;0,$W756,""))</f>
        <v/>
      </c>
      <c r="AB756" s="14">
        <f>IF(OR($E756="",$AA756=""),"",IF($E756&gt;=$AA756,"×",IF($E756&gt;=$AA756*設定!$C$5,"△","○")))</f>
        <v/>
      </c>
      <c r="AC756" s="15">
        <f>IF($AB756="","",IF($AB756="×",0,IF($AB756="○",ROUNDDOWN($E756*設定!$C$4,0),ROUNDDOWN($E756*ROUND((9*$AA756-9*$E756)/(10*$E756),4),0))))</f>
        <v/>
      </c>
      <c r="AD756" s="13" t="n"/>
      <c r="AE756" s="15">
        <f>IF($B756="","",IF($AD756&lt;&gt;"",$AD756,IF($AC756="","",IF($AC756&lt;=設定!$C$3,0,$AC756))))</f>
        <v/>
      </c>
      <c r="AF756" s="14">
        <f>IF($B756="","",IF(AND($AG756&lt;&gt;"",$AI756="",$AL756=""),"保留中",IF($AL756&lt;&gt;"",IF(N($AE756)&gt;0,"支給済","不支給"),IF($AE756="","要確認",IF($AE756=0,"不支給","未処理")))))</f>
        <v/>
      </c>
      <c r="AG756" s="12" t="n"/>
      <c r="AH756" s="11" t="n"/>
      <c r="AI756" s="11" t="n"/>
      <c r="AJ756" s="11" t="n"/>
      <c r="AK756" s="14">
        <f>IF(AND($AF756="保留中",$AH756&lt;&gt;""),TODAY()-$AH756,"")</f>
        <v/>
      </c>
      <c r="AL756" s="12" t="n"/>
      <c r="AM756" s="14">
        <f>IF($B756="","",IF($AQ756="","対象年月が未入力／","")&amp;IF($B756="","",IF($AP756="","職員マスタに未登録の職員番号／",IF($AA756="","標準報酬月額が未登録／","")&amp;IF(AND($AQ756&lt;&gt;"",OR(AND(INDEX(職員マスタ!$G$6:$G$405,$AP756)&lt;&gt;"",INDEX(職員マスタ!$G$6:$G$405,$AP756)&gt;EOMONTH($AQ756,0)),AND(INDEX(職員マスタ!$H$6:$H$405,$AP756)&lt;&gt;"",INDEX(職員マスタ!$H$6:$H$405,$AP756)&lt;$AQ756))),"対象月が時短期間外／","")&amp;IF(AND(INDEX(職員マスタ!$K$6:$K$405,$AP756)&lt;&gt;"",N($W756)&gt;0,INDEX(職員マスタ!$K$6:$K$405,$AP756)&lt;&gt;$W756),"標準報酬月額が申請書と相違（台帳"&amp;TEXT(INDEX(職員マスタ!$K$6:$K$405,$AP756),"#,##0")&amp;"円／申請書"&amp;TEXT($W756,"#,##0")&amp;"円）／","")&amp;IF(AND(INDEX(職員マスタ!$F$6:$F$405,$AP756)&lt;&gt;"",$AQ756&lt;&gt;"",INDEX(職員マスタ!$F$6:$F$405,$AP756)&lt;$AQ756),"対象月に子が2歳到達済／","")&amp;IF(AND($H756&lt;&gt;"",INDEX(職員マスタ!$B$6:$B$405,$AP756)&lt;&gt;"",SUBSTITUTE(SUBSTITUTE($H756," ","")," ","")&lt;&gt;SUBSTITUTE(SUBSTITUTE(INDEX(職員マスタ!$B$6:$B$405,$AP756)," ","")," ","")),"氏名がマスタと相違／","")&amp;IF(AND($Q756&lt;&gt;"",INDEX(職員マスタ!$E$6:$E$405,$AP756)&lt;&gt;"",$Q756&lt;&gt;INDEX(職員マスタ!$E$6:$E$405,$AP756)),"子の生年月日がマスタと相違／","")&amp;IF(AND($L756&lt;&gt;"",INDEX(職員マスタ!$G$6:$G$405,$AP756)&lt;&gt;"",$L756&lt;&gt;INDEX(職員マスタ!$G$6:$G$405,$AP756)),"時短開始日がマスタと相違／","")&amp;IF(AND($M756&lt;&gt;"",INDEX(職員マスタ!$H$6:$H$405,$AP756)&lt;&gt;"",$M756&lt;&gt;INDEX(職員マスタ!$H$6:$H$405,$AP756)),"時短終了日がマスタと相違／","")))&amp;IF(AND($B756&lt;&gt;"",$E756=""),"報酬額が未入力／","")&amp;IF(N($U756)&gt;0,"申請書に入力エラーが残っています／","")&amp;IF(AND($B756&lt;&gt;"",$AQ756&lt;&gt;""),IF(COUNTIFS($B$6:$B$3005,$B756,$C$6:$C$3005,$C756,$D$6:$D$3005,$D756)&gt;1,"同じ月の請求が重複しています／",""),"")&amp;IF(AND(N($E756)&gt;0,$AB756&lt;&gt;"",$AB756&lt;&gt;"×",$AE756=0,$AD756=""),"計算額が下限以下のため不支給／",""))</f>
        <v/>
      </c>
      <c r="AN756" s="12" t="n"/>
      <c r="AO756" s="14">
        <f>IF($AF756="保留中",COUNTIF($AF$6:$AF756,"保留中"),"")</f>
        <v/>
      </c>
      <c r="AP756" s="14">
        <f>IF($AQ756="","",IF(SUMPRODUCT(MAX((職員マスタ!$A$6:$A$405=$B756)*(((職員マスタ!$G$6:$G$405="")+(職員マスタ!$G$6:$G$405&lt;=EOMONTH($AQ756,0)))&gt;0)*(((職員マスタ!$H$6:$H$405="")+(職員マスタ!$H$6:$H$405&gt;=$AQ756))&gt;0)*(ROW(職員マスタ!$A$6:$A$405)-5)))&gt;0,SUMPRODUCT(MAX((職員マスタ!$A$6:$A$405=$B756)*(((職員マスタ!$G$6:$G$405="")+(職員マスタ!$G$6:$G$405&lt;=EOMONTH($AQ756,0)))&gt;0)*(((職員マスタ!$H$6:$H$405="")+(職員マスタ!$H$6:$H$405&gt;=$AQ756))&gt;0)*(ROW(職員マスタ!$A$6:$A$405)-5))),IFERROR(MATCH($B756,職員マスタ!$A$6:$A$405,0),"")))</f>
        <v/>
      </c>
      <c r="AQ756" s="16">
        <f>IF(OR($B756="",$C756="",$D756=""),"",DATE($C756+2018,$D756,1))</f>
        <v/>
      </c>
    </row>
    <row r="757">
      <c r="A757" s="11" t="n"/>
      <c r="B757" s="12" t="n"/>
      <c r="C757" s="12" t="n"/>
      <c r="D757" s="12" t="n"/>
      <c r="E757" s="13" t="n"/>
      <c r="F757" s="12" t="n"/>
      <c r="G757" s="13" t="n"/>
      <c r="H757" s="12" t="n"/>
      <c r="I757" s="12" t="n"/>
      <c r="J757" s="12" t="n"/>
      <c r="K757" s="12" t="n"/>
      <c r="L757" s="11" t="n"/>
      <c r="M757" s="11" t="n"/>
      <c r="N757" s="11" t="n"/>
      <c r="O757" s="11" t="n"/>
      <c r="P757" s="12" t="n"/>
      <c r="Q757" s="11" t="n"/>
      <c r="R757" s="12" t="n"/>
      <c r="S757" s="11" t="n"/>
      <c r="T757" s="12" t="n"/>
      <c r="U757" s="12" t="n"/>
      <c r="V757" s="12" t="n"/>
      <c r="W757" s="13" t="n"/>
      <c r="X757" s="14">
        <f>IF($AP757="",IF($B757="","",$H757),IF(INDEX(職員マスタ!$B$6:$B$405,$AP757)="",$H757,INDEX(職員マスタ!$B$6:$B$405,$AP757)))</f>
        <v/>
      </c>
      <c r="Y757" s="14">
        <f>IF($AP757="",IF($B757="","",$R757),IF(INDEX(職員マスタ!$C$6:$C$405,$AP757)="",$R757,INDEX(職員マスタ!$C$6:$C$405,$AP757)))</f>
        <v/>
      </c>
      <c r="Z757" s="14">
        <f>IF($AQ757="","","R"&amp;$C757&amp;"."&amp;$D757)</f>
        <v/>
      </c>
      <c r="AA757" s="15">
        <f>IF(IF($AP757="",FALSE,INDEX(職員マスタ!$K$6:$K$405,$AP757)&lt;&gt;""),INDEX(職員マスタ!$K$6:$K$405,$AP757),IF(N($W757)&gt;0,$W757,""))</f>
        <v/>
      </c>
      <c r="AB757" s="14">
        <f>IF(OR($E757="",$AA757=""),"",IF($E757&gt;=$AA757,"×",IF($E757&gt;=$AA757*設定!$C$5,"△","○")))</f>
        <v/>
      </c>
      <c r="AC757" s="15">
        <f>IF($AB757="","",IF($AB757="×",0,IF($AB757="○",ROUNDDOWN($E757*設定!$C$4,0),ROUNDDOWN($E757*ROUND((9*$AA757-9*$E757)/(10*$E757),4),0))))</f>
        <v/>
      </c>
      <c r="AD757" s="13" t="n"/>
      <c r="AE757" s="15">
        <f>IF($B757="","",IF($AD757&lt;&gt;"",$AD757,IF($AC757="","",IF($AC757&lt;=設定!$C$3,0,$AC757))))</f>
        <v/>
      </c>
      <c r="AF757" s="14">
        <f>IF($B757="","",IF(AND($AG757&lt;&gt;"",$AI757="",$AL757=""),"保留中",IF($AL757&lt;&gt;"",IF(N($AE757)&gt;0,"支給済","不支給"),IF($AE757="","要確認",IF($AE757=0,"不支給","未処理")))))</f>
        <v/>
      </c>
      <c r="AG757" s="12" t="n"/>
      <c r="AH757" s="11" t="n"/>
      <c r="AI757" s="11" t="n"/>
      <c r="AJ757" s="11" t="n"/>
      <c r="AK757" s="14">
        <f>IF(AND($AF757="保留中",$AH757&lt;&gt;""),TODAY()-$AH757,"")</f>
        <v/>
      </c>
      <c r="AL757" s="12" t="n"/>
      <c r="AM757" s="14">
        <f>IF($B757="","",IF($AQ757="","対象年月が未入力／","")&amp;IF($B757="","",IF($AP757="","職員マスタに未登録の職員番号／",IF($AA757="","標準報酬月額が未登録／","")&amp;IF(AND($AQ757&lt;&gt;"",OR(AND(INDEX(職員マスタ!$G$6:$G$405,$AP757)&lt;&gt;"",INDEX(職員マスタ!$G$6:$G$405,$AP757)&gt;EOMONTH($AQ757,0)),AND(INDEX(職員マスタ!$H$6:$H$405,$AP757)&lt;&gt;"",INDEX(職員マスタ!$H$6:$H$405,$AP757)&lt;$AQ757))),"対象月が時短期間外／","")&amp;IF(AND(INDEX(職員マスタ!$K$6:$K$405,$AP757)&lt;&gt;"",N($W757)&gt;0,INDEX(職員マスタ!$K$6:$K$405,$AP757)&lt;&gt;$W757),"標準報酬月額が申請書と相違（台帳"&amp;TEXT(INDEX(職員マスタ!$K$6:$K$405,$AP757),"#,##0")&amp;"円／申請書"&amp;TEXT($W757,"#,##0")&amp;"円）／","")&amp;IF(AND(INDEX(職員マスタ!$F$6:$F$405,$AP757)&lt;&gt;"",$AQ757&lt;&gt;"",INDEX(職員マスタ!$F$6:$F$405,$AP757)&lt;$AQ757),"対象月に子が2歳到達済／","")&amp;IF(AND($H757&lt;&gt;"",INDEX(職員マスタ!$B$6:$B$405,$AP757)&lt;&gt;"",SUBSTITUTE(SUBSTITUTE($H757," ","")," ","")&lt;&gt;SUBSTITUTE(SUBSTITUTE(INDEX(職員マスタ!$B$6:$B$405,$AP757)," ","")," ","")),"氏名がマスタと相違／","")&amp;IF(AND($Q757&lt;&gt;"",INDEX(職員マスタ!$E$6:$E$405,$AP757)&lt;&gt;"",$Q757&lt;&gt;INDEX(職員マスタ!$E$6:$E$405,$AP757)),"子の生年月日がマスタと相違／","")&amp;IF(AND($L757&lt;&gt;"",INDEX(職員マスタ!$G$6:$G$405,$AP757)&lt;&gt;"",$L757&lt;&gt;INDEX(職員マスタ!$G$6:$G$405,$AP757)),"時短開始日がマスタと相違／","")&amp;IF(AND($M757&lt;&gt;"",INDEX(職員マスタ!$H$6:$H$405,$AP757)&lt;&gt;"",$M757&lt;&gt;INDEX(職員マスタ!$H$6:$H$405,$AP757)),"時短終了日がマスタと相違／","")))&amp;IF(AND($B757&lt;&gt;"",$E757=""),"報酬額が未入力／","")&amp;IF(N($U757)&gt;0,"申請書に入力エラーが残っています／","")&amp;IF(AND($B757&lt;&gt;"",$AQ757&lt;&gt;""),IF(COUNTIFS($B$6:$B$3005,$B757,$C$6:$C$3005,$C757,$D$6:$D$3005,$D757)&gt;1,"同じ月の請求が重複しています／",""),"")&amp;IF(AND(N($E757)&gt;0,$AB757&lt;&gt;"",$AB757&lt;&gt;"×",$AE757=0,$AD757=""),"計算額が下限以下のため不支給／",""))</f>
        <v/>
      </c>
      <c r="AN757" s="12" t="n"/>
      <c r="AO757" s="14">
        <f>IF($AF757="保留中",COUNTIF($AF$6:$AF757,"保留中"),"")</f>
        <v/>
      </c>
      <c r="AP757" s="14">
        <f>IF($AQ757="","",IF(SUMPRODUCT(MAX((職員マスタ!$A$6:$A$405=$B757)*(((職員マスタ!$G$6:$G$405="")+(職員マスタ!$G$6:$G$405&lt;=EOMONTH($AQ757,0)))&gt;0)*(((職員マスタ!$H$6:$H$405="")+(職員マスタ!$H$6:$H$405&gt;=$AQ757))&gt;0)*(ROW(職員マスタ!$A$6:$A$405)-5)))&gt;0,SUMPRODUCT(MAX((職員マスタ!$A$6:$A$405=$B757)*(((職員マスタ!$G$6:$G$405="")+(職員マスタ!$G$6:$G$405&lt;=EOMONTH($AQ757,0)))&gt;0)*(((職員マスタ!$H$6:$H$405="")+(職員マスタ!$H$6:$H$405&gt;=$AQ757))&gt;0)*(ROW(職員マスタ!$A$6:$A$405)-5))),IFERROR(MATCH($B757,職員マスタ!$A$6:$A$405,0),"")))</f>
        <v/>
      </c>
      <c r="AQ757" s="16">
        <f>IF(OR($B757="",$C757="",$D757=""),"",DATE($C757+2018,$D757,1))</f>
        <v/>
      </c>
    </row>
    <row r="758">
      <c r="A758" s="11" t="n"/>
      <c r="B758" s="12" t="n"/>
      <c r="C758" s="12" t="n"/>
      <c r="D758" s="12" t="n"/>
      <c r="E758" s="13" t="n"/>
      <c r="F758" s="12" t="n"/>
      <c r="G758" s="13" t="n"/>
      <c r="H758" s="12" t="n"/>
      <c r="I758" s="12" t="n"/>
      <c r="J758" s="12" t="n"/>
      <c r="K758" s="12" t="n"/>
      <c r="L758" s="11" t="n"/>
      <c r="M758" s="11" t="n"/>
      <c r="N758" s="11" t="n"/>
      <c r="O758" s="11" t="n"/>
      <c r="P758" s="12" t="n"/>
      <c r="Q758" s="11" t="n"/>
      <c r="R758" s="12" t="n"/>
      <c r="S758" s="11" t="n"/>
      <c r="T758" s="12" t="n"/>
      <c r="U758" s="12" t="n"/>
      <c r="V758" s="12" t="n"/>
      <c r="W758" s="13" t="n"/>
      <c r="X758" s="14">
        <f>IF($AP758="",IF($B758="","",$H758),IF(INDEX(職員マスタ!$B$6:$B$405,$AP758)="",$H758,INDEX(職員マスタ!$B$6:$B$405,$AP758)))</f>
        <v/>
      </c>
      <c r="Y758" s="14">
        <f>IF($AP758="",IF($B758="","",$R758),IF(INDEX(職員マスタ!$C$6:$C$405,$AP758)="",$R758,INDEX(職員マスタ!$C$6:$C$405,$AP758)))</f>
        <v/>
      </c>
      <c r="Z758" s="14">
        <f>IF($AQ758="","","R"&amp;$C758&amp;"."&amp;$D758)</f>
        <v/>
      </c>
      <c r="AA758" s="15">
        <f>IF(IF($AP758="",FALSE,INDEX(職員マスタ!$K$6:$K$405,$AP758)&lt;&gt;""),INDEX(職員マスタ!$K$6:$K$405,$AP758),IF(N($W758)&gt;0,$W758,""))</f>
        <v/>
      </c>
      <c r="AB758" s="14">
        <f>IF(OR($E758="",$AA758=""),"",IF($E758&gt;=$AA758,"×",IF($E758&gt;=$AA758*設定!$C$5,"△","○")))</f>
        <v/>
      </c>
      <c r="AC758" s="15">
        <f>IF($AB758="","",IF($AB758="×",0,IF($AB758="○",ROUNDDOWN($E758*設定!$C$4,0),ROUNDDOWN($E758*ROUND((9*$AA758-9*$E758)/(10*$E758),4),0))))</f>
        <v/>
      </c>
      <c r="AD758" s="13" t="n"/>
      <c r="AE758" s="15">
        <f>IF($B758="","",IF($AD758&lt;&gt;"",$AD758,IF($AC758="","",IF($AC758&lt;=設定!$C$3,0,$AC758))))</f>
        <v/>
      </c>
      <c r="AF758" s="14">
        <f>IF($B758="","",IF(AND($AG758&lt;&gt;"",$AI758="",$AL758=""),"保留中",IF($AL758&lt;&gt;"",IF(N($AE758)&gt;0,"支給済","不支給"),IF($AE758="","要確認",IF($AE758=0,"不支給","未処理")))))</f>
        <v/>
      </c>
      <c r="AG758" s="12" t="n"/>
      <c r="AH758" s="11" t="n"/>
      <c r="AI758" s="11" t="n"/>
      <c r="AJ758" s="11" t="n"/>
      <c r="AK758" s="14">
        <f>IF(AND($AF758="保留中",$AH758&lt;&gt;""),TODAY()-$AH758,"")</f>
        <v/>
      </c>
      <c r="AL758" s="12" t="n"/>
      <c r="AM758" s="14">
        <f>IF($B758="","",IF($AQ758="","対象年月が未入力／","")&amp;IF($B758="","",IF($AP758="","職員マスタに未登録の職員番号／",IF($AA758="","標準報酬月額が未登録／","")&amp;IF(AND($AQ758&lt;&gt;"",OR(AND(INDEX(職員マスタ!$G$6:$G$405,$AP758)&lt;&gt;"",INDEX(職員マスタ!$G$6:$G$405,$AP758)&gt;EOMONTH($AQ758,0)),AND(INDEX(職員マスタ!$H$6:$H$405,$AP758)&lt;&gt;"",INDEX(職員マスタ!$H$6:$H$405,$AP758)&lt;$AQ758))),"対象月が時短期間外／","")&amp;IF(AND(INDEX(職員マスタ!$K$6:$K$405,$AP758)&lt;&gt;"",N($W758)&gt;0,INDEX(職員マスタ!$K$6:$K$405,$AP758)&lt;&gt;$W758),"標準報酬月額が申請書と相違（台帳"&amp;TEXT(INDEX(職員マスタ!$K$6:$K$405,$AP758),"#,##0")&amp;"円／申請書"&amp;TEXT($W758,"#,##0")&amp;"円）／","")&amp;IF(AND(INDEX(職員マスタ!$F$6:$F$405,$AP758)&lt;&gt;"",$AQ758&lt;&gt;"",INDEX(職員マスタ!$F$6:$F$405,$AP758)&lt;$AQ758),"対象月に子が2歳到達済／","")&amp;IF(AND($H758&lt;&gt;"",INDEX(職員マスタ!$B$6:$B$405,$AP758)&lt;&gt;"",SUBSTITUTE(SUBSTITUTE($H758," ","")," ","")&lt;&gt;SUBSTITUTE(SUBSTITUTE(INDEX(職員マスタ!$B$6:$B$405,$AP758)," ","")," ","")),"氏名がマスタと相違／","")&amp;IF(AND($Q758&lt;&gt;"",INDEX(職員マスタ!$E$6:$E$405,$AP758)&lt;&gt;"",$Q758&lt;&gt;INDEX(職員マスタ!$E$6:$E$405,$AP758)),"子の生年月日がマスタと相違／","")&amp;IF(AND($L758&lt;&gt;"",INDEX(職員マスタ!$G$6:$G$405,$AP758)&lt;&gt;"",$L758&lt;&gt;INDEX(職員マスタ!$G$6:$G$405,$AP758)),"時短開始日がマスタと相違／","")&amp;IF(AND($M758&lt;&gt;"",INDEX(職員マスタ!$H$6:$H$405,$AP758)&lt;&gt;"",$M758&lt;&gt;INDEX(職員マスタ!$H$6:$H$405,$AP758)),"時短終了日がマスタと相違／","")))&amp;IF(AND($B758&lt;&gt;"",$E758=""),"報酬額が未入力／","")&amp;IF(N($U758)&gt;0,"申請書に入力エラーが残っています／","")&amp;IF(AND($B758&lt;&gt;"",$AQ758&lt;&gt;""),IF(COUNTIFS($B$6:$B$3005,$B758,$C$6:$C$3005,$C758,$D$6:$D$3005,$D758)&gt;1,"同じ月の請求が重複しています／",""),"")&amp;IF(AND(N($E758)&gt;0,$AB758&lt;&gt;"",$AB758&lt;&gt;"×",$AE758=0,$AD758=""),"計算額が下限以下のため不支給／",""))</f>
        <v/>
      </c>
      <c r="AN758" s="12" t="n"/>
      <c r="AO758" s="14">
        <f>IF($AF758="保留中",COUNTIF($AF$6:$AF758,"保留中"),"")</f>
        <v/>
      </c>
      <c r="AP758" s="14">
        <f>IF($AQ758="","",IF(SUMPRODUCT(MAX((職員マスタ!$A$6:$A$405=$B758)*(((職員マスタ!$G$6:$G$405="")+(職員マスタ!$G$6:$G$405&lt;=EOMONTH($AQ758,0)))&gt;0)*(((職員マスタ!$H$6:$H$405="")+(職員マスタ!$H$6:$H$405&gt;=$AQ758))&gt;0)*(ROW(職員マスタ!$A$6:$A$405)-5)))&gt;0,SUMPRODUCT(MAX((職員マスタ!$A$6:$A$405=$B758)*(((職員マスタ!$G$6:$G$405="")+(職員マスタ!$G$6:$G$405&lt;=EOMONTH($AQ758,0)))&gt;0)*(((職員マスタ!$H$6:$H$405="")+(職員マスタ!$H$6:$H$405&gt;=$AQ758))&gt;0)*(ROW(職員マスタ!$A$6:$A$405)-5))),IFERROR(MATCH($B758,職員マスタ!$A$6:$A$405,0),"")))</f>
        <v/>
      </c>
      <c r="AQ758" s="16">
        <f>IF(OR($B758="",$C758="",$D758=""),"",DATE($C758+2018,$D758,1))</f>
        <v/>
      </c>
    </row>
    <row r="759">
      <c r="A759" s="11" t="n"/>
      <c r="B759" s="12" t="n"/>
      <c r="C759" s="12" t="n"/>
      <c r="D759" s="12" t="n"/>
      <c r="E759" s="13" t="n"/>
      <c r="F759" s="12" t="n"/>
      <c r="G759" s="13" t="n"/>
      <c r="H759" s="12" t="n"/>
      <c r="I759" s="12" t="n"/>
      <c r="J759" s="12" t="n"/>
      <c r="K759" s="12" t="n"/>
      <c r="L759" s="11" t="n"/>
      <c r="M759" s="11" t="n"/>
      <c r="N759" s="11" t="n"/>
      <c r="O759" s="11" t="n"/>
      <c r="P759" s="12" t="n"/>
      <c r="Q759" s="11" t="n"/>
      <c r="R759" s="12" t="n"/>
      <c r="S759" s="11" t="n"/>
      <c r="T759" s="12" t="n"/>
      <c r="U759" s="12" t="n"/>
      <c r="V759" s="12" t="n"/>
      <c r="W759" s="13" t="n"/>
      <c r="X759" s="14">
        <f>IF($AP759="",IF($B759="","",$H759),IF(INDEX(職員マスタ!$B$6:$B$405,$AP759)="",$H759,INDEX(職員マスタ!$B$6:$B$405,$AP759)))</f>
        <v/>
      </c>
      <c r="Y759" s="14">
        <f>IF($AP759="",IF($B759="","",$R759),IF(INDEX(職員マスタ!$C$6:$C$405,$AP759)="",$R759,INDEX(職員マスタ!$C$6:$C$405,$AP759)))</f>
        <v/>
      </c>
      <c r="Z759" s="14">
        <f>IF($AQ759="","","R"&amp;$C759&amp;"."&amp;$D759)</f>
        <v/>
      </c>
      <c r="AA759" s="15">
        <f>IF(IF($AP759="",FALSE,INDEX(職員マスタ!$K$6:$K$405,$AP759)&lt;&gt;""),INDEX(職員マスタ!$K$6:$K$405,$AP759),IF(N($W759)&gt;0,$W759,""))</f>
        <v/>
      </c>
      <c r="AB759" s="14">
        <f>IF(OR($E759="",$AA759=""),"",IF($E759&gt;=$AA759,"×",IF($E759&gt;=$AA759*設定!$C$5,"△","○")))</f>
        <v/>
      </c>
      <c r="AC759" s="15">
        <f>IF($AB759="","",IF($AB759="×",0,IF($AB759="○",ROUNDDOWN($E759*設定!$C$4,0),ROUNDDOWN($E759*ROUND((9*$AA759-9*$E759)/(10*$E759),4),0))))</f>
        <v/>
      </c>
      <c r="AD759" s="13" t="n"/>
      <c r="AE759" s="15">
        <f>IF($B759="","",IF($AD759&lt;&gt;"",$AD759,IF($AC759="","",IF($AC759&lt;=設定!$C$3,0,$AC759))))</f>
        <v/>
      </c>
      <c r="AF759" s="14">
        <f>IF($B759="","",IF(AND($AG759&lt;&gt;"",$AI759="",$AL759=""),"保留中",IF($AL759&lt;&gt;"",IF(N($AE759)&gt;0,"支給済","不支給"),IF($AE759="","要確認",IF($AE759=0,"不支給","未処理")))))</f>
        <v/>
      </c>
      <c r="AG759" s="12" t="n"/>
      <c r="AH759" s="11" t="n"/>
      <c r="AI759" s="11" t="n"/>
      <c r="AJ759" s="11" t="n"/>
      <c r="AK759" s="14">
        <f>IF(AND($AF759="保留中",$AH759&lt;&gt;""),TODAY()-$AH759,"")</f>
        <v/>
      </c>
      <c r="AL759" s="12" t="n"/>
      <c r="AM759" s="14">
        <f>IF($B759="","",IF($AQ759="","対象年月が未入力／","")&amp;IF($B759="","",IF($AP759="","職員マスタに未登録の職員番号／",IF($AA759="","標準報酬月額が未登録／","")&amp;IF(AND($AQ759&lt;&gt;"",OR(AND(INDEX(職員マスタ!$G$6:$G$405,$AP759)&lt;&gt;"",INDEX(職員マスタ!$G$6:$G$405,$AP759)&gt;EOMONTH($AQ759,0)),AND(INDEX(職員マスタ!$H$6:$H$405,$AP759)&lt;&gt;"",INDEX(職員マスタ!$H$6:$H$405,$AP759)&lt;$AQ759))),"対象月が時短期間外／","")&amp;IF(AND(INDEX(職員マスタ!$K$6:$K$405,$AP759)&lt;&gt;"",N($W759)&gt;0,INDEX(職員マスタ!$K$6:$K$405,$AP759)&lt;&gt;$W759),"標準報酬月額が申請書と相違（台帳"&amp;TEXT(INDEX(職員マスタ!$K$6:$K$405,$AP759),"#,##0")&amp;"円／申請書"&amp;TEXT($W759,"#,##0")&amp;"円）／","")&amp;IF(AND(INDEX(職員マスタ!$F$6:$F$405,$AP759)&lt;&gt;"",$AQ759&lt;&gt;"",INDEX(職員マスタ!$F$6:$F$405,$AP759)&lt;$AQ759),"対象月に子が2歳到達済／","")&amp;IF(AND($H759&lt;&gt;"",INDEX(職員マスタ!$B$6:$B$405,$AP759)&lt;&gt;"",SUBSTITUTE(SUBSTITUTE($H759," ","")," ","")&lt;&gt;SUBSTITUTE(SUBSTITUTE(INDEX(職員マスタ!$B$6:$B$405,$AP759)," ","")," ","")),"氏名がマスタと相違／","")&amp;IF(AND($Q759&lt;&gt;"",INDEX(職員マスタ!$E$6:$E$405,$AP759)&lt;&gt;"",$Q759&lt;&gt;INDEX(職員マスタ!$E$6:$E$405,$AP759)),"子の生年月日がマスタと相違／","")&amp;IF(AND($L759&lt;&gt;"",INDEX(職員マスタ!$G$6:$G$405,$AP759)&lt;&gt;"",$L759&lt;&gt;INDEX(職員マスタ!$G$6:$G$405,$AP759)),"時短開始日がマスタと相違／","")&amp;IF(AND($M759&lt;&gt;"",INDEX(職員マスタ!$H$6:$H$405,$AP759)&lt;&gt;"",$M759&lt;&gt;INDEX(職員マスタ!$H$6:$H$405,$AP759)),"時短終了日がマスタと相違／","")))&amp;IF(AND($B759&lt;&gt;"",$E759=""),"報酬額が未入力／","")&amp;IF(N($U759)&gt;0,"申請書に入力エラーが残っています／","")&amp;IF(AND($B759&lt;&gt;"",$AQ759&lt;&gt;""),IF(COUNTIFS($B$6:$B$3005,$B759,$C$6:$C$3005,$C759,$D$6:$D$3005,$D759)&gt;1,"同じ月の請求が重複しています／",""),"")&amp;IF(AND(N($E759)&gt;0,$AB759&lt;&gt;"",$AB759&lt;&gt;"×",$AE759=0,$AD759=""),"計算額が下限以下のため不支給／",""))</f>
        <v/>
      </c>
      <c r="AN759" s="12" t="n"/>
      <c r="AO759" s="14">
        <f>IF($AF759="保留中",COUNTIF($AF$6:$AF759,"保留中"),"")</f>
        <v/>
      </c>
      <c r="AP759" s="14">
        <f>IF($AQ759="","",IF(SUMPRODUCT(MAX((職員マスタ!$A$6:$A$405=$B759)*(((職員マスタ!$G$6:$G$405="")+(職員マスタ!$G$6:$G$405&lt;=EOMONTH($AQ759,0)))&gt;0)*(((職員マスタ!$H$6:$H$405="")+(職員マスタ!$H$6:$H$405&gt;=$AQ759))&gt;0)*(ROW(職員マスタ!$A$6:$A$405)-5)))&gt;0,SUMPRODUCT(MAX((職員マスタ!$A$6:$A$405=$B759)*(((職員マスタ!$G$6:$G$405="")+(職員マスタ!$G$6:$G$405&lt;=EOMONTH($AQ759,0)))&gt;0)*(((職員マスタ!$H$6:$H$405="")+(職員マスタ!$H$6:$H$405&gt;=$AQ759))&gt;0)*(ROW(職員マスタ!$A$6:$A$405)-5))),IFERROR(MATCH($B759,職員マスタ!$A$6:$A$405,0),"")))</f>
        <v/>
      </c>
      <c r="AQ759" s="16">
        <f>IF(OR($B759="",$C759="",$D759=""),"",DATE($C759+2018,$D759,1))</f>
        <v/>
      </c>
    </row>
    <row r="760">
      <c r="A760" s="11" t="n"/>
      <c r="B760" s="12" t="n"/>
      <c r="C760" s="12" t="n"/>
      <c r="D760" s="12" t="n"/>
      <c r="E760" s="13" t="n"/>
      <c r="F760" s="12" t="n"/>
      <c r="G760" s="13" t="n"/>
      <c r="H760" s="12" t="n"/>
      <c r="I760" s="12" t="n"/>
      <c r="J760" s="12" t="n"/>
      <c r="K760" s="12" t="n"/>
      <c r="L760" s="11" t="n"/>
      <c r="M760" s="11" t="n"/>
      <c r="N760" s="11" t="n"/>
      <c r="O760" s="11" t="n"/>
      <c r="P760" s="12" t="n"/>
      <c r="Q760" s="11" t="n"/>
      <c r="R760" s="12" t="n"/>
      <c r="S760" s="11" t="n"/>
      <c r="T760" s="12" t="n"/>
      <c r="U760" s="12" t="n"/>
      <c r="V760" s="12" t="n"/>
      <c r="W760" s="13" t="n"/>
      <c r="X760" s="14">
        <f>IF($AP760="",IF($B760="","",$H760),IF(INDEX(職員マスタ!$B$6:$B$405,$AP760)="",$H760,INDEX(職員マスタ!$B$6:$B$405,$AP760)))</f>
        <v/>
      </c>
      <c r="Y760" s="14">
        <f>IF($AP760="",IF($B760="","",$R760),IF(INDEX(職員マスタ!$C$6:$C$405,$AP760)="",$R760,INDEX(職員マスタ!$C$6:$C$405,$AP760)))</f>
        <v/>
      </c>
      <c r="Z760" s="14">
        <f>IF($AQ760="","","R"&amp;$C760&amp;"."&amp;$D760)</f>
        <v/>
      </c>
      <c r="AA760" s="15">
        <f>IF(IF($AP760="",FALSE,INDEX(職員マスタ!$K$6:$K$405,$AP760)&lt;&gt;""),INDEX(職員マスタ!$K$6:$K$405,$AP760),IF(N($W760)&gt;0,$W760,""))</f>
        <v/>
      </c>
      <c r="AB760" s="14">
        <f>IF(OR($E760="",$AA760=""),"",IF($E760&gt;=$AA760,"×",IF($E760&gt;=$AA760*設定!$C$5,"△","○")))</f>
        <v/>
      </c>
      <c r="AC760" s="15">
        <f>IF($AB760="","",IF($AB760="×",0,IF($AB760="○",ROUNDDOWN($E760*設定!$C$4,0),ROUNDDOWN($E760*ROUND((9*$AA760-9*$E760)/(10*$E760),4),0))))</f>
        <v/>
      </c>
      <c r="AD760" s="13" t="n"/>
      <c r="AE760" s="15">
        <f>IF($B760="","",IF($AD760&lt;&gt;"",$AD760,IF($AC760="","",IF($AC760&lt;=設定!$C$3,0,$AC760))))</f>
        <v/>
      </c>
      <c r="AF760" s="14">
        <f>IF($B760="","",IF(AND($AG760&lt;&gt;"",$AI760="",$AL760=""),"保留中",IF($AL760&lt;&gt;"",IF(N($AE760)&gt;0,"支給済","不支給"),IF($AE760="","要確認",IF($AE760=0,"不支給","未処理")))))</f>
        <v/>
      </c>
      <c r="AG760" s="12" t="n"/>
      <c r="AH760" s="11" t="n"/>
      <c r="AI760" s="11" t="n"/>
      <c r="AJ760" s="11" t="n"/>
      <c r="AK760" s="14">
        <f>IF(AND($AF760="保留中",$AH760&lt;&gt;""),TODAY()-$AH760,"")</f>
        <v/>
      </c>
      <c r="AL760" s="12" t="n"/>
      <c r="AM760" s="14">
        <f>IF($B760="","",IF($AQ760="","対象年月が未入力／","")&amp;IF($B760="","",IF($AP760="","職員マスタに未登録の職員番号／",IF($AA760="","標準報酬月額が未登録／","")&amp;IF(AND($AQ760&lt;&gt;"",OR(AND(INDEX(職員マスタ!$G$6:$G$405,$AP760)&lt;&gt;"",INDEX(職員マスタ!$G$6:$G$405,$AP760)&gt;EOMONTH($AQ760,0)),AND(INDEX(職員マスタ!$H$6:$H$405,$AP760)&lt;&gt;"",INDEX(職員マスタ!$H$6:$H$405,$AP760)&lt;$AQ760))),"対象月が時短期間外／","")&amp;IF(AND(INDEX(職員マスタ!$K$6:$K$405,$AP760)&lt;&gt;"",N($W760)&gt;0,INDEX(職員マスタ!$K$6:$K$405,$AP760)&lt;&gt;$W760),"標準報酬月額が申請書と相違（台帳"&amp;TEXT(INDEX(職員マスタ!$K$6:$K$405,$AP760),"#,##0")&amp;"円／申請書"&amp;TEXT($W760,"#,##0")&amp;"円）／","")&amp;IF(AND(INDEX(職員マスタ!$F$6:$F$405,$AP760)&lt;&gt;"",$AQ760&lt;&gt;"",INDEX(職員マスタ!$F$6:$F$405,$AP760)&lt;$AQ760),"対象月に子が2歳到達済／","")&amp;IF(AND($H760&lt;&gt;"",INDEX(職員マスタ!$B$6:$B$405,$AP760)&lt;&gt;"",SUBSTITUTE(SUBSTITUTE($H760," ","")," ","")&lt;&gt;SUBSTITUTE(SUBSTITUTE(INDEX(職員マスタ!$B$6:$B$405,$AP760)," ","")," ","")),"氏名がマスタと相違／","")&amp;IF(AND($Q760&lt;&gt;"",INDEX(職員マスタ!$E$6:$E$405,$AP760)&lt;&gt;"",$Q760&lt;&gt;INDEX(職員マスタ!$E$6:$E$405,$AP760)),"子の生年月日がマスタと相違／","")&amp;IF(AND($L760&lt;&gt;"",INDEX(職員マスタ!$G$6:$G$405,$AP760)&lt;&gt;"",$L760&lt;&gt;INDEX(職員マスタ!$G$6:$G$405,$AP760)),"時短開始日がマスタと相違／","")&amp;IF(AND($M760&lt;&gt;"",INDEX(職員マスタ!$H$6:$H$405,$AP760)&lt;&gt;"",$M760&lt;&gt;INDEX(職員マスタ!$H$6:$H$405,$AP760)),"時短終了日がマスタと相違／","")))&amp;IF(AND($B760&lt;&gt;"",$E760=""),"報酬額が未入力／","")&amp;IF(N($U760)&gt;0,"申請書に入力エラーが残っています／","")&amp;IF(AND($B760&lt;&gt;"",$AQ760&lt;&gt;""),IF(COUNTIFS($B$6:$B$3005,$B760,$C$6:$C$3005,$C760,$D$6:$D$3005,$D760)&gt;1,"同じ月の請求が重複しています／",""),"")&amp;IF(AND(N($E760)&gt;0,$AB760&lt;&gt;"",$AB760&lt;&gt;"×",$AE760=0,$AD760=""),"計算額が下限以下のため不支給／",""))</f>
        <v/>
      </c>
      <c r="AN760" s="12" t="n"/>
      <c r="AO760" s="14">
        <f>IF($AF760="保留中",COUNTIF($AF$6:$AF760,"保留中"),"")</f>
        <v/>
      </c>
      <c r="AP760" s="14">
        <f>IF($AQ760="","",IF(SUMPRODUCT(MAX((職員マスタ!$A$6:$A$405=$B760)*(((職員マスタ!$G$6:$G$405="")+(職員マスタ!$G$6:$G$405&lt;=EOMONTH($AQ760,0)))&gt;0)*(((職員マスタ!$H$6:$H$405="")+(職員マスタ!$H$6:$H$405&gt;=$AQ760))&gt;0)*(ROW(職員マスタ!$A$6:$A$405)-5)))&gt;0,SUMPRODUCT(MAX((職員マスタ!$A$6:$A$405=$B760)*(((職員マスタ!$G$6:$G$405="")+(職員マスタ!$G$6:$G$405&lt;=EOMONTH($AQ760,0)))&gt;0)*(((職員マスタ!$H$6:$H$405="")+(職員マスタ!$H$6:$H$405&gt;=$AQ760))&gt;0)*(ROW(職員マスタ!$A$6:$A$405)-5))),IFERROR(MATCH($B760,職員マスタ!$A$6:$A$405,0),"")))</f>
        <v/>
      </c>
      <c r="AQ760" s="16">
        <f>IF(OR($B760="",$C760="",$D760=""),"",DATE($C760+2018,$D760,1))</f>
        <v/>
      </c>
    </row>
    <row r="761">
      <c r="A761" s="11" t="n"/>
      <c r="B761" s="12" t="n"/>
      <c r="C761" s="12" t="n"/>
      <c r="D761" s="12" t="n"/>
      <c r="E761" s="13" t="n"/>
      <c r="F761" s="12" t="n"/>
      <c r="G761" s="13" t="n"/>
      <c r="H761" s="12" t="n"/>
      <c r="I761" s="12" t="n"/>
      <c r="J761" s="12" t="n"/>
      <c r="K761" s="12" t="n"/>
      <c r="L761" s="11" t="n"/>
      <c r="M761" s="11" t="n"/>
      <c r="N761" s="11" t="n"/>
      <c r="O761" s="11" t="n"/>
      <c r="P761" s="12" t="n"/>
      <c r="Q761" s="11" t="n"/>
      <c r="R761" s="12" t="n"/>
      <c r="S761" s="11" t="n"/>
      <c r="T761" s="12" t="n"/>
      <c r="U761" s="12" t="n"/>
      <c r="V761" s="12" t="n"/>
      <c r="W761" s="13" t="n"/>
      <c r="X761" s="14">
        <f>IF($AP761="",IF($B761="","",$H761),IF(INDEX(職員マスタ!$B$6:$B$405,$AP761)="",$H761,INDEX(職員マスタ!$B$6:$B$405,$AP761)))</f>
        <v/>
      </c>
      <c r="Y761" s="14">
        <f>IF($AP761="",IF($B761="","",$R761),IF(INDEX(職員マスタ!$C$6:$C$405,$AP761)="",$R761,INDEX(職員マスタ!$C$6:$C$405,$AP761)))</f>
        <v/>
      </c>
      <c r="Z761" s="14">
        <f>IF($AQ761="","","R"&amp;$C761&amp;"."&amp;$D761)</f>
        <v/>
      </c>
      <c r="AA761" s="15">
        <f>IF(IF($AP761="",FALSE,INDEX(職員マスタ!$K$6:$K$405,$AP761)&lt;&gt;""),INDEX(職員マスタ!$K$6:$K$405,$AP761),IF(N($W761)&gt;0,$W761,""))</f>
        <v/>
      </c>
      <c r="AB761" s="14">
        <f>IF(OR($E761="",$AA761=""),"",IF($E761&gt;=$AA761,"×",IF($E761&gt;=$AA761*設定!$C$5,"△","○")))</f>
        <v/>
      </c>
      <c r="AC761" s="15">
        <f>IF($AB761="","",IF($AB761="×",0,IF($AB761="○",ROUNDDOWN($E761*設定!$C$4,0),ROUNDDOWN($E761*ROUND((9*$AA761-9*$E761)/(10*$E761),4),0))))</f>
        <v/>
      </c>
      <c r="AD761" s="13" t="n"/>
      <c r="AE761" s="15">
        <f>IF($B761="","",IF($AD761&lt;&gt;"",$AD761,IF($AC761="","",IF($AC761&lt;=設定!$C$3,0,$AC761))))</f>
        <v/>
      </c>
      <c r="AF761" s="14">
        <f>IF($B761="","",IF(AND($AG761&lt;&gt;"",$AI761="",$AL761=""),"保留中",IF($AL761&lt;&gt;"",IF(N($AE761)&gt;0,"支給済","不支給"),IF($AE761="","要確認",IF($AE761=0,"不支給","未処理")))))</f>
        <v/>
      </c>
      <c r="AG761" s="12" t="n"/>
      <c r="AH761" s="11" t="n"/>
      <c r="AI761" s="11" t="n"/>
      <c r="AJ761" s="11" t="n"/>
      <c r="AK761" s="14">
        <f>IF(AND($AF761="保留中",$AH761&lt;&gt;""),TODAY()-$AH761,"")</f>
        <v/>
      </c>
      <c r="AL761" s="12" t="n"/>
      <c r="AM761" s="14">
        <f>IF($B761="","",IF($AQ761="","対象年月が未入力／","")&amp;IF($B761="","",IF($AP761="","職員マスタに未登録の職員番号／",IF($AA761="","標準報酬月額が未登録／","")&amp;IF(AND($AQ761&lt;&gt;"",OR(AND(INDEX(職員マスタ!$G$6:$G$405,$AP761)&lt;&gt;"",INDEX(職員マスタ!$G$6:$G$405,$AP761)&gt;EOMONTH($AQ761,0)),AND(INDEX(職員マスタ!$H$6:$H$405,$AP761)&lt;&gt;"",INDEX(職員マスタ!$H$6:$H$405,$AP761)&lt;$AQ761))),"対象月が時短期間外／","")&amp;IF(AND(INDEX(職員マスタ!$K$6:$K$405,$AP761)&lt;&gt;"",N($W761)&gt;0,INDEX(職員マスタ!$K$6:$K$405,$AP761)&lt;&gt;$W761),"標準報酬月額が申請書と相違（台帳"&amp;TEXT(INDEX(職員マスタ!$K$6:$K$405,$AP761),"#,##0")&amp;"円／申請書"&amp;TEXT($W761,"#,##0")&amp;"円）／","")&amp;IF(AND(INDEX(職員マスタ!$F$6:$F$405,$AP761)&lt;&gt;"",$AQ761&lt;&gt;"",INDEX(職員マスタ!$F$6:$F$405,$AP761)&lt;$AQ761),"対象月に子が2歳到達済／","")&amp;IF(AND($H761&lt;&gt;"",INDEX(職員マスタ!$B$6:$B$405,$AP761)&lt;&gt;"",SUBSTITUTE(SUBSTITUTE($H761," ","")," ","")&lt;&gt;SUBSTITUTE(SUBSTITUTE(INDEX(職員マスタ!$B$6:$B$405,$AP761)," ","")," ","")),"氏名がマスタと相違／","")&amp;IF(AND($Q761&lt;&gt;"",INDEX(職員マスタ!$E$6:$E$405,$AP761)&lt;&gt;"",$Q761&lt;&gt;INDEX(職員マスタ!$E$6:$E$405,$AP761)),"子の生年月日がマスタと相違／","")&amp;IF(AND($L761&lt;&gt;"",INDEX(職員マスタ!$G$6:$G$405,$AP761)&lt;&gt;"",$L761&lt;&gt;INDEX(職員マスタ!$G$6:$G$405,$AP761)),"時短開始日がマスタと相違／","")&amp;IF(AND($M761&lt;&gt;"",INDEX(職員マスタ!$H$6:$H$405,$AP761)&lt;&gt;"",$M761&lt;&gt;INDEX(職員マスタ!$H$6:$H$405,$AP761)),"時短終了日がマスタと相違／","")))&amp;IF(AND($B761&lt;&gt;"",$E761=""),"報酬額が未入力／","")&amp;IF(N($U761)&gt;0,"申請書に入力エラーが残っています／","")&amp;IF(AND($B761&lt;&gt;"",$AQ761&lt;&gt;""),IF(COUNTIFS($B$6:$B$3005,$B761,$C$6:$C$3005,$C761,$D$6:$D$3005,$D761)&gt;1,"同じ月の請求が重複しています／",""),"")&amp;IF(AND(N($E761)&gt;0,$AB761&lt;&gt;"",$AB761&lt;&gt;"×",$AE761=0,$AD761=""),"計算額が下限以下のため不支給／",""))</f>
        <v/>
      </c>
      <c r="AN761" s="12" t="n"/>
      <c r="AO761" s="14">
        <f>IF($AF761="保留中",COUNTIF($AF$6:$AF761,"保留中"),"")</f>
        <v/>
      </c>
      <c r="AP761" s="14">
        <f>IF($AQ761="","",IF(SUMPRODUCT(MAX((職員マスタ!$A$6:$A$405=$B761)*(((職員マスタ!$G$6:$G$405="")+(職員マスタ!$G$6:$G$405&lt;=EOMONTH($AQ761,0)))&gt;0)*(((職員マスタ!$H$6:$H$405="")+(職員マスタ!$H$6:$H$405&gt;=$AQ761))&gt;0)*(ROW(職員マスタ!$A$6:$A$405)-5)))&gt;0,SUMPRODUCT(MAX((職員マスタ!$A$6:$A$405=$B761)*(((職員マスタ!$G$6:$G$405="")+(職員マスタ!$G$6:$G$405&lt;=EOMONTH($AQ761,0)))&gt;0)*(((職員マスタ!$H$6:$H$405="")+(職員マスタ!$H$6:$H$405&gt;=$AQ761))&gt;0)*(ROW(職員マスタ!$A$6:$A$405)-5))),IFERROR(MATCH($B761,職員マスタ!$A$6:$A$405,0),"")))</f>
        <v/>
      </c>
      <c r="AQ761" s="16">
        <f>IF(OR($B761="",$C761="",$D761=""),"",DATE($C761+2018,$D761,1))</f>
        <v/>
      </c>
    </row>
    <row r="762">
      <c r="A762" s="11" t="n"/>
      <c r="B762" s="12" t="n"/>
      <c r="C762" s="12" t="n"/>
      <c r="D762" s="12" t="n"/>
      <c r="E762" s="13" t="n"/>
      <c r="F762" s="12" t="n"/>
      <c r="G762" s="13" t="n"/>
      <c r="H762" s="12" t="n"/>
      <c r="I762" s="12" t="n"/>
      <c r="J762" s="12" t="n"/>
      <c r="K762" s="12" t="n"/>
      <c r="L762" s="11" t="n"/>
      <c r="M762" s="11" t="n"/>
      <c r="N762" s="11" t="n"/>
      <c r="O762" s="11" t="n"/>
      <c r="P762" s="12" t="n"/>
      <c r="Q762" s="11" t="n"/>
      <c r="R762" s="12" t="n"/>
      <c r="S762" s="11" t="n"/>
      <c r="T762" s="12" t="n"/>
      <c r="U762" s="12" t="n"/>
      <c r="V762" s="12" t="n"/>
      <c r="W762" s="13" t="n"/>
      <c r="X762" s="14">
        <f>IF($AP762="",IF($B762="","",$H762),IF(INDEX(職員マスタ!$B$6:$B$405,$AP762)="",$H762,INDEX(職員マスタ!$B$6:$B$405,$AP762)))</f>
        <v/>
      </c>
      <c r="Y762" s="14">
        <f>IF($AP762="",IF($B762="","",$R762),IF(INDEX(職員マスタ!$C$6:$C$405,$AP762)="",$R762,INDEX(職員マスタ!$C$6:$C$405,$AP762)))</f>
        <v/>
      </c>
      <c r="Z762" s="14">
        <f>IF($AQ762="","","R"&amp;$C762&amp;"."&amp;$D762)</f>
        <v/>
      </c>
      <c r="AA762" s="15">
        <f>IF(IF($AP762="",FALSE,INDEX(職員マスタ!$K$6:$K$405,$AP762)&lt;&gt;""),INDEX(職員マスタ!$K$6:$K$405,$AP762),IF(N($W762)&gt;0,$W762,""))</f>
        <v/>
      </c>
      <c r="AB762" s="14">
        <f>IF(OR($E762="",$AA762=""),"",IF($E762&gt;=$AA762,"×",IF($E762&gt;=$AA762*設定!$C$5,"△","○")))</f>
        <v/>
      </c>
      <c r="AC762" s="15">
        <f>IF($AB762="","",IF($AB762="×",0,IF($AB762="○",ROUNDDOWN($E762*設定!$C$4,0),ROUNDDOWN($E762*ROUND((9*$AA762-9*$E762)/(10*$E762),4),0))))</f>
        <v/>
      </c>
      <c r="AD762" s="13" t="n"/>
      <c r="AE762" s="15">
        <f>IF($B762="","",IF($AD762&lt;&gt;"",$AD762,IF($AC762="","",IF($AC762&lt;=設定!$C$3,0,$AC762))))</f>
        <v/>
      </c>
      <c r="AF762" s="14">
        <f>IF($B762="","",IF(AND($AG762&lt;&gt;"",$AI762="",$AL762=""),"保留中",IF($AL762&lt;&gt;"",IF(N($AE762)&gt;0,"支給済","不支給"),IF($AE762="","要確認",IF($AE762=0,"不支給","未処理")))))</f>
        <v/>
      </c>
      <c r="AG762" s="12" t="n"/>
      <c r="AH762" s="11" t="n"/>
      <c r="AI762" s="11" t="n"/>
      <c r="AJ762" s="11" t="n"/>
      <c r="AK762" s="14">
        <f>IF(AND($AF762="保留中",$AH762&lt;&gt;""),TODAY()-$AH762,"")</f>
        <v/>
      </c>
      <c r="AL762" s="12" t="n"/>
      <c r="AM762" s="14">
        <f>IF($B762="","",IF($AQ762="","対象年月が未入力／","")&amp;IF($B762="","",IF($AP762="","職員マスタに未登録の職員番号／",IF($AA762="","標準報酬月額が未登録／","")&amp;IF(AND($AQ762&lt;&gt;"",OR(AND(INDEX(職員マスタ!$G$6:$G$405,$AP762)&lt;&gt;"",INDEX(職員マスタ!$G$6:$G$405,$AP762)&gt;EOMONTH($AQ762,0)),AND(INDEX(職員マスタ!$H$6:$H$405,$AP762)&lt;&gt;"",INDEX(職員マスタ!$H$6:$H$405,$AP762)&lt;$AQ762))),"対象月が時短期間外／","")&amp;IF(AND(INDEX(職員マスタ!$K$6:$K$405,$AP762)&lt;&gt;"",N($W762)&gt;0,INDEX(職員マスタ!$K$6:$K$405,$AP762)&lt;&gt;$W762),"標準報酬月額が申請書と相違（台帳"&amp;TEXT(INDEX(職員マスタ!$K$6:$K$405,$AP762),"#,##0")&amp;"円／申請書"&amp;TEXT($W762,"#,##0")&amp;"円）／","")&amp;IF(AND(INDEX(職員マスタ!$F$6:$F$405,$AP762)&lt;&gt;"",$AQ762&lt;&gt;"",INDEX(職員マスタ!$F$6:$F$405,$AP762)&lt;$AQ762),"対象月に子が2歳到達済／","")&amp;IF(AND($H762&lt;&gt;"",INDEX(職員マスタ!$B$6:$B$405,$AP762)&lt;&gt;"",SUBSTITUTE(SUBSTITUTE($H762," ","")," ","")&lt;&gt;SUBSTITUTE(SUBSTITUTE(INDEX(職員マスタ!$B$6:$B$405,$AP762)," ","")," ","")),"氏名がマスタと相違／","")&amp;IF(AND($Q762&lt;&gt;"",INDEX(職員マスタ!$E$6:$E$405,$AP762)&lt;&gt;"",$Q762&lt;&gt;INDEX(職員マスタ!$E$6:$E$405,$AP762)),"子の生年月日がマスタと相違／","")&amp;IF(AND($L762&lt;&gt;"",INDEX(職員マスタ!$G$6:$G$405,$AP762)&lt;&gt;"",$L762&lt;&gt;INDEX(職員マスタ!$G$6:$G$405,$AP762)),"時短開始日がマスタと相違／","")&amp;IF(AND($M762&lt;&gt;"",INDEX(職員マスタ!$H$6:$H$405,$AP762)&lt;&gt;"",$M762&lt;&gt;INDEX(職員マスタ!$H$6:$H$405,$AP762)),"時短終了日がマスタと相違／","")))&amp;IF(AND($B762&lt;&gt;"",$E762=""),"報酬額が未入力／","")&amp;IF(N($U762)&gt;0,"申請書に入力エラーが残っています／","")&amp;IF(AND($B762&lt;&gt;"",$AQ762&lt;&gt;""),IF(COUNTIFS($B$6:$B$3005,$B762,$C$6:$C$3005,$C762,$D$6:$D$3005,$D762)&gt;1,"同じ月の請求が重複しています／",""),"")&amp;IF(AND(N($E762)&gt;0,$AB762&lt;&gt;"",$AB762&lt;&gt;"×",$AE762=0,$AD762=""),"計算額が下限以下のため不支給／",""))</f>
        <v/>
      </c>
      <c r="AN762" s="12" t="n"/>
      <c r="AO762" s="14">
        <f>IF($AF762="保留中",COUNTIF($AF$6:$AF762,"保留中"),"")</f>
        <v/>
      </c>
      <c r="AP762" s="14">
        <f>IF($AQ762="","",IF(SUMPRODUCT(MAX((職員マスタ!$A$6:$A$405=$B762)*(((職員マスタ!$G$6:$G$405="")+(職員マスタ!$G$6:$G$405&lt;=EOMONTH($AQ762,0)))&gt;0)*(((職員マスタ!$H$6:$H$405="")+(職員マスタ!$H$6:$H$405&gt;=$AQ762))&gt;0)*(ROW(職員マスタ!$A$6:$A$405)-5)))&gt;0,SUMPRODUCT(MAX((職員マスタ!$A$6:$A$405=$B762)*(((職員マスタ!$G$6:$G$405="")+(職員マスタ!$G$6:$G$405&lt;=EOMONTH($AQ762,0)))&gt;0)*(((職員マスタ!$H$6:$H$405="")+(職員マスタ!$H$6:$H$405&gt;=$AQ762))&gt;0)*(ROW(職員マスタ!$A$6:$A$405)-5))),IFERROR(MATCH($B762,職員マスタ!$A$6:$A$405,0),"")))</f>
        <v/>
      </c>
      <c r="AQ762" s="16">
        <f>IF(OR($B762="",$C762="",$D762=""),"",DATE($C762+2018,$D762,1))</f>
        <v/>
      </c>
    </row>
    <row r="763">
      <c r="A763" s="11" t="n"/>
      <c r="B763" s="12" t="n"/>
      <c r="C763" s="12" t="n"/>
      <c r="D763" s="12" t="n"/>
      <c r="E763" s="13" t="n"/>
      <c r="F763" s="12" t="n"/>
      <c r="G763" s="13" t="n"/>
      <c r="H763" s="12" t="n"/>
      <c r="I763" s="12" t="n"/>
      <c r="J763" s="12" t="n"/>
      <c r="K763" s="12" t="n"/>
      <c r="L763" s="11" t="n"/>
      <c r="M763" s="11" t="n"/>
      <c r="N763" s="11" t="n"/>
      <c r="O763" s="11" t="n"/>
      <c r="P763" s="12" t="n"/>
      <c r="Q763" s="11" t="n"/>
      <c r="R763" s="12" t="n"/>
      <c r="S763" s="11" t="n"/>
      <c r="T763" s="12" t="n"/>
      <c r="U763" s="12" t="n"/>
      <c r="V763" s="12" t="n"/>
      <c r="W763" s="13" t="n"/>
      <c r="X763" s="14">
        <f>IF($AP763="",IF($B763="","",$H763),IF(INDEX(職員マスタ!$B$6:$B$405,$AP763)="",$H763,INDEX(職員マスタ!$B$6:$B$405,$AP763)))</f>
        <v/>
      </c>
      <c r="Y763" s="14">
        <f>IF($AP763="",IF($B763="","",$R763),IF(INDEX(職員マスタ!$C$6:$C$405,$AP763)="",$R763,INDEX(職員マスタ!$C$6:$C$405,$AP763)))</f>
        <v/>
      </c>
      <c r="Z763" s="14">
        <f>IF($AQ763="","","R"&amp;$C763&amp;"."&amp;$D763)</f>
        <v/>
      </c>
      <c r="AA763" s="15">
        <f>IF(IF($AP763="",FALSE,INDEX(職員マスタ!$K$6:$K$405,$AP763)&lt;&gt;""),INDEX(職員マスタ!$K$6:$K$405,$AP763),IF(N($W763)&gt;0,$W763,""))</f>
        <v/>
      </c>
      <c r="AB763" s="14">
        <f>IF(OR($E763="",$AA763=""),"",IF($E763&gt;=$AA763,"×",IF($E763&gt;=$AA763*設定!$C$5,"△","○")))</f>
        <v/>
      </c>
      <c r="AC763" s="15">
        <f>IF($AB763="","",IF($AB763="×",0,IF($AB763="○",ROUNDDOWN($E763*設定!$C$4,0),ROUNDDOWN($E763*ROUND((9*$AA763-9*$E763)/(10*$E763),4),0))))</f>
        <v/>
      </c>
      <c r="AD763" s="13" t="n"/>
      <c r="AE763" s="15">
        <f>IF($B763="","",IF($AD763&lt;&gt;"",$AD763,IF($AC763="","",IF($AC763&lt;=設定!$C$3,0,$AC763))))</f>
        <v/>
      </c>
      <c r="AF763" s="14">
        <f>IF($B763="","",IF(AND($AG763&lt;&gt;"",$AI763="",$AL763=""),"保留中",IF($AL763&lt;&gt;"",IF(N($AE763)&gt;0,"支給済","不支給"),IF($AE763="","要確認",IF($AE763=0,"不支給","未処理")))))</f>
        <v/>
      </c>
      <c r="AG763" s="12" t="n"/>
      <c r="AH763" s="11" t="n"/>
      <c r="AI763" s="11" t="n"/>
      <c r="AJ763" s="11" t="n"/>
      <c r="AK763" s="14">
        <f>IF(AND($AF763="保留中",$AH763&lt;&gt;""),TODAY()-$AH763,"")</f>
        <v/>
      </c>
      <c r="AL763" s="12" t="n"/>
      <c r="AM763" s="14">
        <f>IF($B763="","",IF($AQ763="","対象年月が未入力／","")&amp;IF($B763="","",IF($AP763="","職員マスタに未登録の職員番号／",IF($AA763="","標準報酬月額が未登録／","")&amp;IF(AND($AQ763&lt;&gt;"",OR(AND(INDEX(職員マスタ!$G$6:$G$405,$AP763)&lt;&gt;"",INDEX(職員マスタ!$G$6:$G$405,$AP763)&gt;EOMONTH($AQ763,0)),AND(INDEX(職員マスタ!$H$6:$H$405,$AP763)&lt;&gt;"",INDEX(職員マスタ!$H$6:$H$405,$AP763)&lt;$AQ763))),"対象月が時短期間外／","")&amp;IF(AND(INDEX(職員マスタ!$K$6:$K$405,$AP763)&lt;&gt;"",N($W763)&gt;0,INDEX(職員マスタ!$K$6:$K$405,$AP763)&lt;&gt;$W763),"標準報酬月額が申請書と相違（台帳"&amp;TEXT(INDEX(職員マスタ!$K$6:$K$405,$AP763),"#,##0")&amp;"円／申請書"&amp;TEXT($W763,"#,##0")&amp;"円）／","")&amp;IF(AND(INDEX(職員マスタ!$F$6:$F$405,$AP763)&lt;&gt;"",$AQ763&lt;&gt;"",INDEX(職員マスタ!$F$6:$F$405,$AP763)&lt;$AQ763),"対象月に子が2歳到達済／","")&amp;IF(AND($H763&lt;&gt;"",INDEX(職員マスタ!$B$6:$B$405,$AP763)&lt;&gt;"",SUBSTITUTE(SUBSTITUTE($H763," ","")," ","")&lt;&gt;SUBSTITUTE(SUBSTITUTE(INDEX(職員マスタ!$B$6:$B$405,$AP763)," ","")," ","")),"氏名がマスタと相違／","")&amp;IF(AND($Q763&lt;&gt;"",INDEX(職員マスタ!$E$6:$E$405,$AP763)&lt;&gt;"",$Q763&lt;&gt;INDEX(職員マスタ!$E$6:$E$405,$AP763)),"子の生年月日がマスタと相違／","")&amp;IF(AND($L763&lt;&gt;"",INDEX(職員マスタ!$G$6:$G$405,$AP763)&lt;&gt;"",$L763&lt;&gt;INDEX(職員マスタ!$G$6:$G$405,$AP763)),"時短開始日がマスタと相違／","")&amp;IF(AND($M763&lt;&gt;"",INDEX(職員マスタ!$H$6:$H$405,$AP763)&lt;&gt;"",$M763&lt;&gt;INDEX(職員マスタ!$H$6:$H$405,$AP763)),"時短終了日がマスタと相違／","")))&amp;IF(AND($B763&lt;&gt;"",$E763=""),"報酬額が未入力／","")&amp;IF(N($U763)&gt;0,"申請書に入力エラーが残っています／","")&amp;IF(AND($B763&lt;&gt;"",$AQ763&lt;&gt;""),IF(COUNTIFS($B$6:$B$3005,$B763,$C$6:$C$3005,$C763,$D$6:$D$3005,$D763)&gt;1,"同じ月の請求が重複しています／",""),"")&amp;IF(AND(N($E763)&gt;0,$AB763&lt;&gt;"",$AB763&lt;&gt;"×",$AE763=0,$AD763=""),"計算額が下限以下のため不支給／",""))</f>
        <v/>
      </c>
      <c r="AN763" s="12" t="n"/>
      <c r="AO763" s="14">
        <f>IF($AF763="保留中",COUNTIF($AF$6:$AF763,"保留中"),"")</f>
        <v/>
      </c>
      <c r="AP763" s="14">
        <f>IF($AQ763="","",IF(SUMPRODUCT(MAX((職員マスタ!$A$6:$A$405=$B763)*(((職員マスタ!$G$6:$G$405="")+(職員マスタ!$G$6:$G$405&lt;=EOMONTH($AQ763,0)))&gt;0)*(((職員マスタ!$H$6:$H$405="")+(職員マスタ!$H$6:$H$405&gt;=$AQ763))&gt;0)*(ROW(職員マスタ!$A$6:$A$405)-5)))&gt;0,SUMPRODUCT(MAX((職員マスタ!$A$6:$A$405=$B763)*(((職員マスタ!$G$6:$G$405="")+(職員マスタ!$G$6:$G$405&lt;=EOMONTH($AQ763,0)))&gt;0)*(((職員マスタ!$H$6:$H$405="")+(職員マスタ!$H$6:$H$405&gt;=$AQ763))&gt;0)*(ROW(職員マスタ!$A$6:$A$405)-5))),IFERROR(MATCH($B763,職員マスタ!$A$6:$A$405,0),"")))</f>
        <v/>
      </c>
      <c r="AQ763" s="16">
        <f>IF(OR($B763="",$C763="",$D763=""),"",DATE($C763+2018,$D763,1))</f>
        <v/>
      </c>
    </row>
    <row r="764">
      <c r="A764" s="11" t="n"/>
      <c r="B764" s="12" t="n"/>
      <c r="C764" s="12" t="n"/>
      <c r="D764" s="12" t="n"/>
      <c r="E764" s="13" t="n"/>
      <c r="F764" s="12" t="n"/>
      <c r="G764" s="13" t="n"/>
      <c r="H764" s="12" t="n"/>
      <c r="I764" s="12" t="n"/>
      <c r="J764" s="12" t="n"/>
      <c r="K764" s="12" t="n"/>
      <c r="L764" s="11" t="n"/>
      <c r="M764" s="11" t="n"/>
      <c r="N764" s="11" t="n"/>
      <c r="O764" s="11" t="n"/>
      <c r="P764" s="12" t="n"/>
      <c r="Q764" s="11" t="n"/>
      <c r="R764" s="12" t="n"/>
      <c r="S764" s="11" t="n"/>
      <c r="T764" s="12" t="n"/>
      <c r="U764" s="12" t="n"/>
      <c r="V764" s="12" t="n"/>
      <c r="W764" s="13" t="n"/>
      <c r="X764" s="14">
        <f>IF($AP764="",IF($B764="","",$H764),IF(INDEX(職員マスタ!$B$6:$B$405,$AP764)="",$H764,INDEX(職員マスタ!$B$6:$B$405,$AP764)))</f>
        <v/>
      </c>
      <c r="Y764" s="14">
        <f>IF($AP764="",IF($B764="","",$R764),IF(INDEX(職員マスタ!$C$6:$C$405,$AP764)="",$R764,INDEX(職員マスタ!$C$6:$C$405,$AP764)))</f>
        <v/>
      </c>
      <c r="Z764" s="14">
        <f>IF($AQ764="","","R"&amp;$C764&amp;"."&amp;$D764)</f>
        <v/>
      </c>
      <c r="AA764" s="15">
        <f>IF(IF($AP764="",FALSE,INDEX(職員マスタ!$K$6:$K$405,$AP764)&lt;&gt;""),INDEX(職員マスタ!$K$6:$K$405,$AP764),IF(N($W764)&gt;0,$W764,""))</f>
        <v/>
      </c>
      <c r="AB764" s="14">
        <f>IF(OR($E764="",$AA764=""),"",IF($E764&gt;=$AA764,"×",IF($E764&gt;=$AA764*設定!$C$5,"△","○")))</f>
        <v/>
      </c>
      <c r="AC764" s="15">
        <f>IF($AB764="","",IF($AB764="×",0,IF($AB764="○",ROUNDDOWN($E764*設定!$C$4,0),ROUNDDOWN($E764*ROUND((9*$AA764-9*$E764)/(10*$E764),4),0))))</f>
        <v/>
      </c>
      <c r="AD764" s="13" t="n"/>
      <c r="AE764" s="15">
        <f>IF($B764="","",IF($AD764&lt;&gt;"",$AD764,IF($AC764="","",IF($AC764&lt;=設定!$C$3,0,$AC764))))</f>
        <v/>
      </c>
      <c r="AF764" s="14">
        <f>IF($B764="","",IF(AND($AG764&lt;&gt;"",$AI764="",$AL764=""),"保留中",IF($AL764&lt;&gt;"",IF(N($AE764)&gt;0,"支給済","不支給"),IF($AE764="","要確認",IF($AE764=0,"不支給","未処理")))))</f>
        <v/>
      </c>
      <c r="AG764" s="12" t="n"/>
      <c r="AH764" s="11" t="n"/>
      <c r="AI764" s="11" t="n"/>
      <c r="AJ764" s="11" t="n"/>
      <c r="AK764" s="14">
        <f>IF(AND($AF764="保留中",$AH764&lt;&gt;""),TODAY()-$AH764,"")</f>
        <v/>
      </c>
      <c r="AL764" s="12" t="n"/>
      <c r="AM764" s="14">
        <f>IF($B764="","",IF($AQ764="","対象年月が未入力／","")&amp;IF($B764="","",IF($AP764="","職員マスタに未登録の職員番号／",IF($AA764="","標準報酬月額が未登録／","")&amp;IF(AND($AQ764&lt;&gt;"",OR(AND(INDEX(職員マスタ!$G$6:$G$405,$AP764)&lt;&gt;"",INDEX(職員マスタ!$G$6:$G$405,$AP764)&gt;EOMONTH($AQ764,0)),AND(INDEX(職員マスタ!$H$6:$H$405,$AP764)&lt;&gt;"",INDEX(職員マスタ!$H$6:$H$405,$AP764)&lt;$AQ764))),"対象月が時短期間外／","")&amp;IF(AND(INDEX(職員マスタ!$K$6:$K$405,$AP764)&lt;&gt;"",N($W764)&gt;0,INDEX(職員マスタ!$K$6:$K$405,$AP764)&lt;&gt;$W764),"標準報酬月額が申請書と相違（台帳"&amp;TEXT(INDEX(職員マスタ!$K$6:$K$405,$AP764),"#,##0")&amp;"円／申請書"&amp;TEXT($W764,"#,##0")&amp;"円）／","")&amp;IF(AND(INDEX(職員マスタ!$F$6:$F$405,$AP764)&lt;&gt;"",$AQ764&lt;&gt;"",INDEX(職員マスタ!$F$6:$F$405,$AP764)&lt;$AQ764),"対象月に子が2歳到達済／","")&amp;IF(AND($H764&lt;&gt;"",INDEX(職員マスタ!$B$6:$B$405,$AP764)&lt;&gt;"",SUBSTITUTE(SUBSTITUTE($H764," ","")," ","")&lt;&gt;SUBSTITUTE(SUBSTITUTE(INDEX(職員マスタ!$B$6:$B$405,$AP764)," ","")," ","")),"氏名がマスタと相違／","")&amp;IF(AND($Q764&lt;&gt;"",INDEX(職員マスタ!$E$6:$E$405,$AP764)&lt;&gt;"",$Q764&lt;&gt;INDEX(職員マスタ!$E$6:$E$405,$AP764)),"子の生年月日がマスタと相違／","")&amp;IF(AND($L764&lt;&gt;"",INDEX(職員マスタ!$G$6:$G$405,$AP764)&lt;&gt;"",$L764&lt;&gt;INDEX(職員マスタ!$G$6:$G$405,$AP764)),"時短開始日がマスタと相違／","")&amp;IF(AND($M764&lt;&gt;"",INDEX(職員マスタ!$H$6:$H$405,$AP764)&lt;&gt;"",$M764&lt;&gt;INDEX(職員マスタ!$H$6:$H$405,$AP764)),"時短終了日がマスタと相違／","")))&amp;IF(AND($B764&lt;&gt;"",$E764=""),"報酬額が未入力／","")&amp;IF(N($U764)&gt;0,"申請書に入力エラーが残っています／","")&amp;IF(AND($B764&lt;&gt;"",$AQ764&lt;&gt;""),IF(COUNTIFS($B$6:$B$3005,$B764,$C$6:$C$3005,$C764,$D$6:$D$3005,$D764)&gt;1,"同じ月の請求が重複しています／",""),"")&amp;IF(AND(N($E764)&gt;0,$AB764&lt;&gt;"",$AB764&lt;&gt;"×",$AE764=0,$AD764=""),"計算額が下限以下のため不支給／",""))</f>
        <v/>
      </c>
      <c r="AN764" s="12" t="n"/>
      <c r="AO764" s="14">
        <f>IF($AF764="保留中",COUNTIF($AF$6:$AF764,"保留中"),"")</f>
        <v/>
      </c>
      <c r="AP764" s="14">
        <f>IF($AQ764="","",IF(SUMPRODUCT(MAX((職員マスタ!$A$6:$A$405=$B764)*(((職員マスタ!$G$6:$G$405="")+(職員マスタ!$G$6:$G$405&lt;=EOMONTH($AQ764,0)))&gt;0)*(((職員マスタ!$H$6:$H$405="")+(職員マスタ!$H$6:$H$405&gt;=$AQ764))&gt;0)*(ROW(職員マスタ!$A$6:$A$405)-5)))&gt;0,SUMPRODUCT(MAX((職員マスタ!$A$6:$A$405=$B764)*(((職員マスタ!$G$6:$G$405="")+(職員マスタ!$G$6:$G$405&lt;=EOMONTH($AQ764,0)))&gt;0)*(((職員マスタ!$H$6:$H$405="")+(職員マスタ!$H$6:$H$405&gt;=$AQ764))&gt;0)*(ROW(職員マスタ!$A$6:$A$405)-5))),IFERROR(MATCH($B764,職員マスタ!$A$6:$A$405,0),"")))</f>
        <v/>
      </c>
      <c r="AQ764" s="16">
        <f>IF(OR($B764="",$C764="",$D764=""),"",DATE($C764+2018,$D764,1))</f>
        <v/>
      </c>
    </row>
    <row r="765">
      <c r="A765" s="11" t="n"/>
      <c r="B765" s="12" t="n"/>
      <c r="C765" s="12" t="n"/>
      <c r="D765" s="12" t="n"/>
      <c r="E765" s="13" t="n"/>
      <c r="F765" s="12" t="n"/>
      <c r="G765" s="13" t="n"/>
      <c r="H765" s="12" t="n"/>
      <c r="I765" s="12" t="n"/>
      <c r="J765" s="12" t="n"/>
      <c r="K765" s="12" t="n"/>
      <c r="L765" s="11" t="n"/>
      <c r="M765" s="11" t="n"/>
      <c r="N765" s="11" t="n"/>
      <c r="O765" s="11" t="n"/>
      <c r="P765" s="12" t="n"/>
      <c r="Q765" s="11" t="n"/>
      <c r="R765" s="12" t="n"/>
      <c r="S765" s="11" t="n"/>
      <c r="T765" s="12" t="n"/>
      <c r="U765" s="12" t="n"/>
      <c r="V765" s="12" t="n"/>
      <c r="W765" s="13" t="n"/>
      <c r="X765" s="14">
        <f>IF($AP765="",IF($B765="","",$H765),IF(INDEX(職員マスタ!$B$6:$B$405,$AP765)="",$H765,INDEX(職員マスタ!$B$6:$B$405,$AP765)))</f>
        <v/>
      </c>
      <c r="Y765" s="14">
        <f>IF($AP765="",IF($B765="","",$R765),IF(INDEX(職員マスタ!$C$6:$C$405,$AP765)="",$R765,INDEX(職員マスタ!$C$6:$C$405,$AP765)))</f>
        <v/>
      </c>
      <c r="Z765" s="14">
        <f>IF($AQ765="","","R"&amp;$C765&amp;"."&amp;$D765)</f>
        <v/>
      </c>
      <c r="AA765" s="15">
        <f>IF(IF($AP765="",FALSE,INDEX(職員マスタ!$K$6:$K$405,$AP765)&lt;&gt;""),INDEX(職員マスタ!$K$6:$K$405,$AP765),IF(N($W765)&gt;0,$W765,""))</f>
        <v/>
      </c>
      <c r="AB765" s="14">
        <f>IF(OR($E765="",$AA765=""),"",IF($E765&gt;=$AA765,"×",IF($E765&gt;=$AA765*設定!$C$5,"△","○")))</f>
        <v/>
      </c>
      <c r="AC765" s="15">
        <f>IF($AB765="","",IF($AB765="×",0,IF($AB765="○",ROUNDDOWN($E765*設定!$C$4,0),ROUNDDOWN($E765*ROUND((9*$AA765-9*$E765)/(10*$E765),4),0))))</f>
        <v/>
      </c>
      <c r="AD765" s="13" t="n"/>
      <c r="AE765" s="15">
        <f>IF($B765="","",IF($AD765&lt;&gt;"",$AD765,IF($AC765="","",IF($AC765&lt;=設定!$C$3,0,$AC765))))</f>
        <v/>
      </c>
      <c r="AF765" s="14">
        <f>IF($B765="","",IF(AND($AG765&lt;&gt;"",$AI765="",$AL765=""),"保留中",IF($AL765&lt;&gt;"",IF(N($AE765)&gt;0,"支給済","不支給"),IF($AE765="","要確認",IF($AE765=0,"不支給","未処理")))))</f>
        <v/>
      </c>
      <c r="AG765" s="12" t="n"/>
      <c r="AH765" s="11" t="n"/>
      <c r="AI765" s="11" t="n"/>
      <c r="AJ765" s="11" t="n"/>
      <c r="AK765" s="14">
        <f>IF(AND($AF765="保留中",$AH765&lt;&gt;""),TODAY()-$AH765,"")</f>
        <v/>
      </c>
      <c r="AL765" s="12" t="n"/>
      <c r="AM765" s="14">
        <f>IF($B765="","",IF($AQ765="","対象年月が未入力／","")&amp;IF($B765="","",IF($AP765="","職員マスタに未登録の職員番号／",IF($AA765="","標準報酬月額が未登録／","")&amp;IF(AND($AQ765&lt;&gt;"",OR(AND(INDEX(職員マスタ!$G$6:$G$405,$AP765)&lt;&gt;"",INDEX(職員マスタ!$G$6:$G$405,$AP765)&gt;EOMONTH($AQ765,0)),AND(INDEX(職員マスタ!$H$6:$H$405,$AP765)&lt;&gt;"",INDEX(職員マスタ!$H$6:$H$405,$AP765)&lt;$AQ765))),"対象月が時短期間外／","")&amp;IF(AND(INDEX(職員マスタ!$K$6:$K$405,$AP765)&lt;&gt;"",N($W765)&gt;0,INDEX(職員マスタ!$K$6:$K$405,$AP765)&lt;&gt;$W765),"標準報酬月額が申請書と相違（台帳"&amp;TEXT(INDEX(職員マスタ!$K$6:$K$405,$AP765),"#,##0")&amp;"円／申請書"&amp;TEXT($W765,"#,##0")&amp;"円）／","")&amp;IF(AND(INDEX(職員マスタ!$F$6:$F$405,$AP765)&lt;&gt;"",$AQ765&lt;&gt;"",INDEX(職員マスタ!$F$6:$F$405,$AP765)&lt;$AQ765),"対象月に子が2歳到達済／","")&amp;IF(AND($H765&lt;&gt;"",INDEX(職員マスタ!$B$6:$B$405,$AP765)&lt;&gt;"",SUBSTITUTE(SUBSTITUTE($H765," ","")," ","")&lt;&gt;SUBSTITUTE(SUBSTITUTE(INDEX(職員マスタ!$B$6:$B$405,$AP765)," ","")," ","")),"氏名がマスタと相違／","")&amp;IF(AND($Q765&lt;&gt;"",INDEX(職員マスタ!$E$6:$E$405,$AP765)&lt;&gt;"",$Q765&lt;&gt;INDEX(職員マスタ!$E$6:$E$405,$AP765)),"子の生年月日がマスタと相違／","")&amp;IF(AND($L765&lt;&gt;"",INDEX(職員マスタ!$G$6:$G$405,$AP765)&lt;&gt;"",$L765&lt;&gt;INDEX(職員マスタ!$G$6:$G$405,$AP765)),"時短開始日がマスタと相違／","")&amp;IF(AND($M765&lt;&gt;"",INDEX(職員マスタ!$H$6:$H$405,$AP765)&lt;&gt;"",$M765&lt;&gt;INDEX(職員マスタ!$H$6:$H$405,$AP765)),"時短終了日がマスタと相違／","")))&amp;IF(AND($B765&lt;&gt;"",$E765=""),"報酬額が未入力／","")&amp;IF(N($U765)&gt;0,"申請書に入力エラーが残っています／","")&amp;IF(AND($B765&lt;&gt;"",$AQ765&lt;&gt;""),IF(COUNTIFS($B$6:$B$3005,$B765,$C$6:$C$3005,$C765,$D$6:$D$3005,$D765)&gt;1,"同じ月の請求が重複しています／",""),"")&amp;IF(AND(N($E765)&gt;0,$AB765&lt;&gt;"",$AB765&lt;&gt;"×",$AE765=0,$AD765=""),"計算額が下限以下のため不支給／",""))</f>
        <v/>
      </c>
      <c r="AN765" s="12" t="n"/>
      <c r="AO765" s="14">
        <f>IF($AF765="保留中",COUNTIF($AF$6:$AF765,"保留中"),"")</f>
        <v/>
      </c>
      <c r="AP765" s="14">
        <f>IF($AQ765="","",IF(SUMPRODUCT(MAX((職員マスタ!$A$6:$A$405=$B765)*(((職員マスタ!$G$6:$G$405="")+(職員マスタ!$G$6:$G$405&lt;=EOMONTH($AQ765,0)))&gt;0)*(((職員マスタ!$H$6:$H$405="")+(職員マスタ!$H$6:$H$405&gt;=$AQ765))&gt;0)*(ROW(職員マスタ!$A$6:$A$405)-5)))&gt;0,SUMPRODUCT(MAX((職員マスタ!$A$6:$A$405=$B765)*(((職員マスタ!$G$6:$G$405="")+(職員マスタ!$G$6:$G$405&lt;=EOMONTH($AQ765,0)))&gt;0)*(((職員マスタ!$H$6:$H$405="")+(職員マスタ!$H$6:$H$405&gt;=$AQ765))&gt;0)*(ROW(職員マスタ!$A$6:$A$405)-5))),IFERROR(MATCH($B765,職員マスタ!$A$6:$A$405,0),"")))</f>
        <v/>
      </c>
      <c r="AQ765" s="16">
        <f>IF(OR($B765="",$C765="",$D765=""),"",DATE($C765+2018,$D765,1))</f>
        <v/>
      </c>
    </row>
    <row r="766">
      <c r="A766" s="11" t="n"/>
      <c r="B766" s="12" t="n"/>
      <c r="C766" s="12" t="n"/>
      <c r="D766" s="12" t="n"/>
      <c r="E766" s="13" t="n"/>
      <c r="F766" s="12" t="n"/>
      <c r="G766" s="13" t="n"/>
      <c r="H766" s="12" t="n"/>
      <c r="I766" s="12" t="n"/>
      <c r="J766" s="12" t="n"/>
      <c r="K766" s="12" t="n"/>
      <c r="L766" s="11" t="n"/>
      <c r="M766" s="11" t="n"/>
      <c r="N766" s="11" t="n"/>
      <c r="O766" s="11" t="n"/>
      <c r="P766" s="12" t="n"/>
      <c r="Q766" s="11" t="n"/>
      <c r="R766" s="12" t="n"/>
      <c r="S766" s="11" t="n"/>
      <c r="T766" s="12" t="n"/>
      <c r="U766" s="12" t="n"/>
      <c r="V766" s="12" t="n"/>
      <c r="W766" s="13" t="n"/>
      <c r="X766" s="14">
        <f>IF($AP766="",IF($B766="","",$H766),IF(INDEX(職員マスタ!$B$6:$B$405,$AP766)="",$H766,INDEX(職員マスタ!$B$6:$B$405,$AP766)))</f>
        <v/>
      </c>
      <c r="Y766" s="14">
        <f>IF($AP766="",IF($B766="","",$R766),IF(INDEX(職員マスタ!$C$6:$C$405,$AP766)="",$R766,INDEX(職員マスタ!$C$6:$C$405,$AP766)))</f>
        <v/>
      </c>
      <c r="Z766" s="14">
        <f>IF($AQ766="","","R"&amp;$C766&amp;"."&amp;$D766)</f>
        <v/>
      </c>
      <c r="AA766" s="15">
        <f>IF(IF($AP766="",FALSE,INDEX(職員マスタ!$K$6:$K$405,$AP766)&lt;&gt;""),INDEX(職員マスタ!$K$6:$K$405,$AP766),IF(N($W766)&gt;0,$W766,""))</f>
        <v/>
      </c>
      <c r="AB766" s="14">
        <f>IF(OR($E766="",$AA766=""),"",IF($E766&gt;=$AA766,"×",IF($E766&gt;=$AA766*設定!$C$5,"△","○")))</f>
        <v/>
      </c>
      <c r="AC766" s="15">
        <f>IF($AB766="","",IF($AB766="×",0,IF($AB766="○",ROUNDDOWN($E766*設定!$C$4,0),ROUNDDOWN($E766*ROUND((9*$AA766-9*$E766)/(10*$E766),4),0))))</f>
        <v/>
      </c>
      <c r="AD766" s="13" t="n"/>
      <c r="AE766" s="15">
        <f>IF($B766="","",IF($AD766&lt;&gt;"",$AD766,IF($AC766="","",IF($AC766&lt;=設定!$C$3,0,$AC766))))</f>
        <v/>
      </c>
      <c r="AF766" s="14">
        <f>IF($B766="","",IF(AND($AG766&lt;&gt;"",$AI766="",$AL766=""),"保留中",IF($AL766&lt;&gt;"",IF(N($AE766)&gt;0,"支給済","不支給"),IF($AE766="","要確認",IF($AE766=0,"不支給","未処理")))))</f>
        <v/>
      </c>
      <c r="AG766" s="12" t="n"/>
      <c r="AH766" s="11" t="n"/>
      <c r="AI766" s="11" t="n"/>
      <c r="AJ766" s="11" t="n"/>
      <c r="AK766" s="14">
        <f>IF(AND($AF766="保留中",$AH766&lt;&gt;""),TODAY()-$AH766,"")</f>
        <v/>
      </c>
      <c r="AL766" s="12" t="n"/>
      <c r="AM766" s="14">
        <f>IF($B766="","",IF($AQ766="","対象年月が未入力／","")&amp;IF($B766="","",IF($AP766="","職員マスタに未登録の職員番号／",IF($AA766="","標準報酬月額が未登録／","")&amp;IF(AND($AQ766&lt;&gt;"",OR(AND(INDEX(職員マスタ!$G$6:$G$405,$AP766)&lt;&gt;"",INDEX(職員マスタ!$G$6:$G$405,$AP766)&gt;EOMONTH($AQ766,0)),AND(INDEX(職員マスタ!$H$6:$H$405,$AP766)&lt;&gt;"",INDEX(職員マスタ!$H$6:$H$405,$AP766)&lt;$AQ766))),"対象月が時短期間外／","")&amp;IF(AND(INDEX(職員マスタ!$K$6:$K$405,$AP766)&lt;&gt;"",N($W766)&gt;0,INDEX(職員マスタ!$K$6:$K$405,$AP766)&lt;&gt;$W766),"標準報酬月額が申請書と相違（台帳"&amp;TEXT(INDEX(職員マスタ!$K$6:$K$405,$AP766),"#,##0")&amp;"円／申請書"&amp;TEXT($W766,"#,##0")&amp;"円）／","")&amp;IF(AND(INDEX(職員マスタ!$F$6:$F$405,$AP766)&lt;&gt;"",$AQ766&lt;&gt;"",INDEX(職員マスタ!$F$6:$F$405,$AP766)&lt;$AQ766),"対象月に子が2歳到達済／","")&amp;IF(AND($H766&lt;&gt;"",INDEX(職員マスタ!$B$6:$B$405,$AP766)&lt;&gt;"",SUBSTITUTE(SUBSTITUTE($H766," ","")," ","")&lt;&gt;SUBSTITUTE(SUBSTITUTE(INDEX(職員マスタ!$B$6:$B$405,$AP766)," ","")," ","")),"氏名がマスタと相違／","")&amp;IF(AND($Q766&lt;&gt;"",INDEX(職員マスタ!$E$6:$E$405,$AP766)&lt;&gt;"",$Q766&lt;&gt;INDEX(職員マスタ!$E$6:$E$405,$AP766)),"子の生年月日がマスタと相違／","")&amp;IF(AND($L766&lt;&gt;"",INDEX(職員マスタ!$G$6:$G$405,$AP766)&lt;&gt;"",$L766&lt;&gt;INDEX(職員マスタ!$G$6:$G$405,$AP766)),"時短開始日がマスタと相違／","")&amp;IF(AND($M766&lt;&gt;"",INDEX(職員マスタ!$H$6:$H$405,$AP766)&lt;&gt;"",$M766&lt;&gt;INDEX(職員マスタ!$H$6:$H$405,$AP766)),"時短終了日がマスタと相違／","")))&amp;IF(AND($B766&lt;&gt;"",$E766=""),"報酬額が未入力／","")&amp;IF(N($U766)&gt;0,"申請書に入力エラーが残っています／","")&amp;IF(AND($B766&lt;&gt;"",$AQ766&lt;&gt;""),IF(COUNTIFS($B$6:$B$3005,$B766,$C$6:$C$3005,$C766,$D$6:$D$3005,$D766)&gt;1,"同じ月の請求が重複しています／",""),"")&amp;IF(AND(N($E766)&gt;0,$AB766&lt;&gt;"",$AB766&lt;&gt;"×",$AE766=0,$AD766=""),"計算額が下限以下のため不支給／",""))</f>
        <v/>
      </c>
      <c r="AN766" s="12" t="n"/>
      <c r="AO766" s="14">
        <f>IF($AF766="保留中",COUNTIF($AF$6:$AF766,"保留中"),"")</f>
        <v/>
      </c>
      <c r="AP766" s="14">
        <f>IF($AQ766="","",IF(SUMPRODUCT(MAX((職員マスタ!$A$6:$A$405=$B766)*(((職員マスタ!$G$6:$G$405="")+(職員マスタ!$G$6:$G$405&lt;=EOMONTH($AQ766,0)))&gt;0)*(((職員マスタ!$H$6:$H$405="")+(職員マスタ!$H$6:$H$405&gt;=$AQ766))&gt;0)*(ROW(職員マスタ!$A$6:$A$405)-5)))&gt;0,SUMPRODUCT(MAX((職員マスタ!$A$6:$A$405=$B766)*(((職員マスタ!$G$6:$G$405="")+(職員マスタ!$G$6:$G$405&lt;=EOMONTH($AQ766,0)))&gt;0)*(((職員マスタ!$H$6:$H$405="")+(職員マスタ!$H$6:$H$405&gt;=$AQ766))&gt;0)*(ROW(職員マスタ!$A$6:$A$405)-5))),IFERROR(MATCH($B766,職員マスタ!$A$6:$A$405,0),"")))</f>
        <v/>
      </c>
      <c r="AQ766" s="16">
        <f>IF(OR($B766="",$C766="",$D766=""),"",DATE($C766+2018,$D766,1))</f>
        <v/>
      </c>
    </row>
    <row r="767">
      <c r="A767" s="11" t="n"/>
      <c r="B767" s="12" t="n"/>
      <c r="C767" s="12" t="n"/>
      <c r="D767" s="12" t="n"/>
      <c r="E767" s="13" t="n"/>
      <c r="F767" s="12" t="n"/>
      <c r="G767" s="13" t="n"/>
      <c r="H767" s="12" t="n"/>
      <c r="I767" s="12" t="n"/>
      <c r="J767" s="12" t="n"/>
      <c r="K767" s="12" t="n"/>
      <c r="L767" s="11" t="n"/>
      <c r="M767" s="11" t="n"/>
      <c r="N767" s="11" t="n"/>
      <c r="O767" s="11" t="n"/>
      <c r="P767" s="12" t="n"/>
      <c r="Q767" s="11" t="n"/>
      <c r="R767" s="12" t="n"/>
      <c r="S767" s="11" t="n"/>
      <c r="T767" s="12" t="n"/>
      <c r="U767" s="12" t="n"/>
      <c r="V767" s="12" t="n"/>
      <c r="W767" s="13" t="n"/>
      <c r="X767" s="14">
        <f>IF($AP767="",IF($B767="","",$H767),IF(INDEX(職員マスタ!$B$6:$B$405,$AP767)="",$H767,INDEX(職員マスタ!$B$6:$B$405,$AP767)))</f>
        <v/>
      </c>
      <c r="Y767" s="14">
        <f>IF($AP767="",IF($B767="","",$R767),IF(INDEX(職員マスタ!$C$6:$C$405,$AP767)="",$R767,INDEX(職員マスタ!$C$6:$C$405,$AP767)))</f>
        <v/>
      </c>
      <c r="Z767" s="14">
        <f>IF($AQ767="","","R"&amp;$C767&amp;"."&amp;$D767)</f>
        <v/>
      </c>
      <c r="AA767" s="15">
        <f>IF(IF($AP767="",FALSE,INDEX(職員マスタ!$K$6:$K$405,$AP767)&lt;&gt;""),INDEX(職員マスタ!$K$6:$K$405,$AP767),IF(N($W767)&gt;0,$W767,""))</f>
        <v/>
      </c>
      <c r="AB767" s="14">
        <f>IF(OR($E767="",$AA767=""),"",IF($E767&gt;=$AA767,"×",IF($E767&gt;=$AA767*設定!$C$5,"△","○")))</f>
        <v/>
      </c>
      <c r="AC767" s="15">
        <f>IF($AB767="","",IF($AB767="×",0,IF($AB767="○",ROUNDDOWN($E767*設定!$C$4,0),ROUNDDOWN($E767*ROUND((9*$AA767-9*$E767)/(10*$E767),4),0))))</f>
        <v/>
      </c>
      <c r="AD767" s="13" t="n"/>
      <c r="AE767" s="15">
        <f>IF($B767="","",IF($AD767&lt;&gt;"",$AD767,IF($AC767="","",IF($AC767&lt;=設定!$C$3,0,$AC767))))</f>
        <v/>
      </c>
      <c r="AF767" s="14">
        <f>IF($B767="","",IF(AND($AG767&lt;&gt;"",$AI767="",$AL767=""),"保留中",IF($AL767&lt;&gt;"",IF(N($AE767)&gt;0,"支給済","不支給"),IF($AE767="","要確認",IF($AE767=0,"不支給","未処理")))))</f>
        <v/>
      </c>
      <c r="AG767" s="12" t="n"/>
      <c r="AH767" s="11" t="n"/>
      <c r="AI767" s="11" t="n"/>
      <c r="AJ767" s="11" t="n"/>
      <c r="AK767" s="14">
        <f>IF(AND($AF767="保留中",$AH767&lt;&gt;""),TODAY()-$AH767,"")</f>
        <v/>
      </c>
      <c r="AL767" s="12" t="n"/>
      <c r="AM767" s="14">
        <f>IF($B767="","",IF($AQ767="","対象年月が未入力／","")&amp;IF($B767="","",IF($AP767="","職員マスタに未登録の職員番号／",IF($AA767="","標準報酬月額が未登録／","")&amp;IF(AND($AQ767&lt;&gt;"",OR(AND(INDEX(職員マスタ!$G$6:$G$405,$AP767)&lt;&gt;"",INDEX(職員マスタ!$G$6:$G$405,$AP767)&gt;EOMONTH($AQ767,0)),AND(INDEX(職員マスタ!$H$6:$H$405,$AP767)&lt;&gt;"",INDEX(職員マスタ!$H$6:$H$405,$AP767)&lt;$AQ767))),"対象月が時短期間外／","")&amp;IF(AND(INDEX(職員マスタ!$K$6:$K$405,$AP767)&lt;&gt;"",N($W767)&gt;0,INDEX(職員マスタ!$K$6:$K$405,$AP767)&lt;&gt;$W767),"標準報酬月額が申請書と相違（台帳"&amp;TEXT(INDEX(職員マスタ!$K$6:$K$405,$AP767),"#,##0")&amp;"円／申請書"&amp;TEXT($W767,"#,##0")&amp;"円）／","")&amp;IF(AND(INDEX(職員マスタ!$F$6:$F$405,$AP767)&lt;&gt;"",$AQ767&lt;&gt;"",INDEX(職員マスタ!$F$6:$F$405,$AP767)&lt;$AQ767),"対象月に子が2歳到達済／","")&amp;IF(AND($H767&lt;&gt;"",INDEX(職員マスタ!$B$6:$B$405,$AP767)&lt;&gt;"",SUBSTITUTE(SUBSTITUTE($H767," ","")," ","")&lt;&gt;SUBSTITUTE(SUBSTITUTE(INDEX(職員マスタ!$B$6:$B$405,$AP767)," ","")," ","")),"氏名がマスタと相違／","")&amp;IF(AND($Q767&lt;&gt;"",INDEX(職員マスタ!$E$6:$E$405,$AP767)&lt;&gt;"",$Q767&lt;&gt;INDEX(職員マスタ!$E$6:$E$405,$AP767)),"子の生年月日がマスタと相違／","")&amp;IF(AND($L767&lt;&gt;"",INDEX(職員マスタ!$G$6:$G$405,$AP767)&lt;&gt;"",$L767&lt;&gt;INDEX(職員マスタ!$G$6:$G$405,$AP767)),"時短開始日がマスタと相違／","")&amp;IF(AND($M767&lt;&gt;"",INDEX(職員マスタ!$H$6:$H$405,$AP767)&lt;&gt;"",$M767&lt;&gt;INDEX(職員マスタ!$H$6:$H$405,$AP767)),"時短終了日がマスタと相違／","")))&amp;IF(AND($B767&lt;&gt;"",$E767=""),"報酬額が未入力／","")&amp;IF(N($U767)&gt;0,"申請書に入力エラーが残っています／","")&amp;IF(AND($B767&lt;&gt;"",$AQ767&lt;&gt;""),IF(COUNTIFS($B$6:$B$3005,$B767,$C$6:$C$3005,$C767,$D$6:$D$3005,$D767)&gt;1,"同じ月の請求が重複しています／",""),"")&amp;IF(AND(N($E767)&gt;0,$AB767&lt;&gt;"",$AB767&lt;&gt;"×",$AE767=0,$AD767=""),"計算額が下限以下のため不支給／",""))</f>
        <v/>
      </c>
      <c r="AN767" s="12" t="n"/>
      <c r="AO767" s="14">
        <f>IF($AF767="保留中",COUNTIF($AF$6:$AF767,"保留中"),"")</f>
        <v/>
      </c>
      <c r="AP767" s="14">
        <f>IF($AQ767="","",IF(SUMPRODUCT(MAX((職員マスタ!$A$6:$A$405=$B767)*(((職員マスタ!$G$6:$G$405="")+(職員マスタ!$G$6:$G$405&lt;=EOMONTH($AQ767,0)))&gt;0)*(((職員マスタ!$H$6:$H$405="")+(職員マスタ!$H$6:$H$405&gt;=$AQ767))&gt;0)*(ROW(職員マスタ!$A$6:$A$405)-5)))&gt;0,SUMPRODUCT(MAX((職員マスタ!$A$6:$A$405=$B767)*(((職員マスタ!$G$6:$G$405="")+(職員マスタ!$G$6:$G$405&lt;=EOMONTH($AQ767,0)))&gt;0)*(((職員マスタ!$H$6:$H$405="")+(職員マスタ!$H$6:$H$405&gt;=$AQ767))&gt;0)*(ROW(職員マスタ!$A$6:$A$405)-5))),IFERROR(MATCH($B767,職員マスタ!$A$6:$A$405,0),"")))</f>
        <v/>
      </c>
      <c r="AQ767" s="16">
        <f>IF(OR($B767="",$C767="",$D767=""),"",DATE($C767+2018,$D767,1))</f>
        <v/>
      </c>
    </row>
    <row r="768">
      <c r="A768" s="11" t="n"/>
      <c r="B768" s="12" t="n"/>
      <c r="C768" s="12" t="n"/>
      <c r="D768" s="12" t="n"/>
      <c r="E768" s="13" t="n"/>
      <c r="F768" s="12" t="n"/>
      <c r="G768" s="13" t="n"/>
      <c r="H768" s="12" t="n"/>
      <c r="I768" s="12" t="n"/>
      <c r="J768" s="12" t="n"/>
      <c r="K768" s="12" t="n"/>
      <c r="L768" s="11" t="n"/>
      <c r="M768" s="11" t="n"/>
      <c r="N768" s="11" t="n"/>
      <c r="O768" s="11" t="n"/>
      <c r="P768" s="12" t="n"/>
      <c r="Q768" s="11" t="n"/>
      <c r="R768" s="12" t="n"/>
      <c r="S768" s="11" t="n"/>
      <c r="T768" s="12" t="n"/>
      <c r="U768" s="12" t="n"/>
      <c r="V768" s="12" t="n"/>
      <c r="W768" s="13" t="n"/>
      <c r="X768" s="14">
        <f>IF($AP768="",IF($B768="","",$H768),IF(INDEX(職員マスタ!$B$6:$B$405,$AP768)="",$H768,INDEX(職員マスタ!$B$6:$B$405,$AP768)))</f>
        <v/>
      </c>
      <c r="Y768" s="14">
        <f>IF($AP768="",IF($B768="","",$R768),IF(INDEX(職員マスタ!$C$6:$C$405,$AP768)="",$R768,INDEX(職員マスタ!$C$6:$C$405,$AP768)))</f>
        <v/>
      </c>
      <c r="Z768" s="14">
        <f>IF($AQ768="","","R"&amp;$C768&amp;"."&amp;$D768)</f>
        <v/>
      </c>
      <c r="AA768" s="15">
        <f>IF(IF($AP768="",FALSE,INDEX(職員マスタ!$K$6:$K$405,$AP768)&lt;&gt;""),INDEX(職員マスタ!$K$6:$K$405,$AP768),IF(N($W768)&gt;0,$W768,""))</f>
        <v/>
      </c>
      <c r="AB768" s="14">
        <f>IF(OR($E768="",$AA768=""),"",IF($E768&gt;=$AA768,"×",IF($E768&gt;=$AA768*設定!$C$5,"△","○")))</f>
        <v/>
      </c>
      <c r="AC768" s="15">
        <f>IF($AB768="","",IF($AB768="×",0,IF($AB768="○",ROUNDDOWN($E768*設定!$C$4,0),ROUNDDOWN($E768*ROUND((9*$AA768-9*$E768)/(10*$E768),4),0))))</f>
        <v/>
      </c>
      <c r="AD768" s="13" t="n"/>
      <c r="AE768" s="15">
        <f>IF($B768="","",IF($AD768&lt;&gt;"",$AD768,IF($AC768="","",IF($AC768&lt;=設定!$C$3,0,$AC768))))</f>
        <v/>
      </c>
      <c r="AF768" s="14">
        <f>IF($B768="","",IF(AND($AG768&lt;&gt;"",$AI768="",$AL768=""),"保留中",IF($AL768&lt;&gt;"",IF(N($AE768)&gt;0,"支給済","不支給"),IF($AE768="","要確認",IF($AE768=0,"不支給","未処理")))))</f>
        <v/>
      </c>
      <c r="AG768" s="12" t="n"/>
      <c r="AH768" s="11" t="n"/>
      <c r="AI768" s="11" t="n"/>
      <c r="AJ768" s="11" t="n"/>
      <c r="AK768" s="14">
        <f>IF(AND($AF768="保留中",$AH768&lt;&gt;""),TODAY()-$AH768,"")</f>
        <v/>
      </c>
      <c r="AL768" s="12" t="n"/>
      <c r="AM768" s="14">
        <f>IF($B768="","",IF($AQ768="","対象年月が未入力／","")&amp;IF($B768="","",IF($AP768="","職員マスタに未登録の職員番号／",IF($AA768="","標準報酬月額が未登録／","")&amp;IF(AND($AQ768&lt;&gt;"",OR(AND(INDEX(職員マスタ!$G$6:$G$405,$AP768)&lt;&gt;"",INDEX(職員マスタ!$G$6:$G$405,$AP768)&gt;EOMONTH($AQ768,0)),AND(INDEX(職員マスタ!$H$6:$H$405,$AP768)&lt;&gt;"",INDEX(職員マスタ!$H$6:$H$405,$AP768)&lt;$AQ768))),"対象月が時短期間外／","")&amp;IF(AND(INDEX(職員マスタ!$K$6:$K$405,$AP768)&lt;&gt;"",N($W768)&gt;0,INDEX(職員マスタ!$K$6:$K$405,$AP768)&lt;&gt;$W768),"標準報酬月額が申請書と相違（台帳"&amp;TEXT(INDEX(職員マスタ!$K$6:$K$405,$AP768),"#,##0")&amp;"円／申請書"&amp;TEXT($W768,"#,##0")&amp;"円）／","")&amp;IF(AND(INDEX(職員マスタ!$F$6:$F$405,$AP768)&lt;&gt;"",$AQ768&lt;&gt;"",INDEX(職員マスタ!$F$6:$F$405,$AP768)&lt;$AQ768),"対象月に子が2歳到達済／","")&amp;IF(AND($H768&lt;&gt;"",INDEX(職員マスタ!$B$6:$B$405,$AP768)&lt;&gt;"",SUBSTITUTE(SUBSTITUTE($H768," ","")," ","")&lt;&gt;SUBSTITUTE(SUBSTITUTE(INDEX(職員マスタ!$B$6:$B$405,$AP768)," ","")," ","")),"氏名がマスタと相違／","")&amp;IF(AND($Q768&lt;&gt;"",INDEX(職員マスタ!$E$6:$E$405,$AP768)&lt;&gt;"",$Q768&lt;&gt;INDEX(職員マスタ!$E$6:$E$405,$AP768)),"子の生年月日がマスタと相違／","")&amp;IF(AND($L768&lt;&gt;"",INDEX(職員マスタ!$G$6:$G$405,$AP768)&lt;&gt;"",$L768&lt;&gt;INDEX(職員マスタ!$G$6:$G$405,$AP768)),"時短開始日がマスタと相違／","")&amp;IF(AND($M768&lt;&gt;"",INDEX(職員マスタ!$H$6:$H$405,$AP768)&lt;&gt;"",$M768&lt;&gt;INDEX(職員マスタ!$H$6:$H$405,$AP768)),"時短終了日がマスタと相違／","")))&amp;IF(AND($B768&lt;&gt;"",$E768=""),"報酬額が未入力／","")&amp;IF(N($U768)&gt;0,"申請書に入力エラーが残っています／","")&amp;IF(AND($B768&lt;&gt;"",$AQ768&lt;&gt;""),IF(COUNTIFS($B$6:$B$3005,$B768,$C$6:$C$3005,$C768,$D$6:$D$3005,$D768)&gt;1,"同じ月の請求が重複しています／",""),"")&amp;IF(AND(N($E768)&gt;0,$AB768&lt;&gt;"",$AB768&lt;&gt;"×",$AE768=0,$AD768=""),"計算額が下限以下のため不支給／",""))</f>
        <v/>
      </c>
      <c r="AN768" s="12" t="n"/>
      <c r="AO768" s="14">
        <f>IF($AF768="保留中",COUNTIF($AF$6:$AF768,"保留中"),"")</f>
        <v/>
      </c>
      <c r="AP768" s="14">
        <f>IF($AQ768="","",IF(SUMPRODUCT(MAX((職員マスタ!$A$6:$A$405=$B768)*(((職員マスタ!$G$6:$G$405="")+(職員マスタ!$G$6:$G$405&lt;=EOMONTH($AQ768,0)))&gt;0)*(((職員マスタ!$H$6:$H$405="")+(職員マスタ!$H$6:$H$405&gt;=$AQ768))&gt;0)*(ROW(職員マスタ!$A$6:$A$405)-5)))&gt;0,SUMPRODUCT(MAX((職員マスタ!$A$6:$A$405=$B768)*(((職員マスタ!$G$6:$G$405="")+(職員マスタ!$G$6:$G$405&lt;=EOMONTH($AQ768,0)))&gt;0)*(((職員マスタ!$H$6:$H$405="")+(職員マスタ!$H$6:$H$405&gt;=$AQ768))&gt;0)*(ROW(職員マスタ!$A$6:$A$405)-5))),IFERROR(MATCH($B768,職員マスタ!$A$6:$A$405,0),"")))</f>
        <v/>
      </c>
      <c r="AQ768" s="16">
        <f>IF(OR($B768="",$C768="",$D768=""),"",DATE($C768+2018,$D768,1))</f>
        <v/>
      </c>
    </row>
    <row r="769">
      <c r="A769" s="11" t="n"/>
      <c r="B769" s="12" t="n"/>
      <c r="C769" s="12" t="n"/>
      <c r="D769" s="12" t="n"/>
      <c r="E769" s="13" t="n"/>
      <c r="F769" s="12" t="n"/>
      <c r="G769" s="13" t="n"/>
      <c r="H769" s="12" t="n"/>
      <c r="I769" s="12" t="n"/>
      <c r="J769" s="12" t="n"/>
      <c r="K769" s="12" t="n"/>
      <c r="L769" s="11" t="n"/>
      <c r="M769" s="11" t="n"/>
      <c r="N769" s="11" t="n"/>
      <c r="O769" s="11" t="n"/>
      <c r="P769" s="12" t="n"/>
      <c r="Q769" s="11" t="n"/>
      <c r="R769" s="12" t="n"/>
      <c r="S769" s="11" t="n"/>
      <c r="T769" s="12" t="n"/>
      <c r="U769" s="12" t="n"/>
      <c r="V769" s="12" t="n"/>
      <c r="W769" s="13" t="n"/>
      <c r="X769" s="14">
        <f>IF($AP769="",IF($B769="","",$H769),IF(INDEX(職員マスタ!$B$6:$B$405,$AP769)="",$H769,INDEX(職員マスタ!$B$6:$B$405,$AP769)))</f>
        <v/>
      </c>
      <c r="Y769" s="14">
        <f>IF($AP769="",IF($B769="","",$R769),IF(INDEX(職員マスタ!$C$6:$C$405,$AP769)="",$R769,INDEX(職員マスタ!$C$6:$C$405,$AP769)))</f>
        <v/>
      </c>
      <c r="Z769" s="14">
        <f>IF($AQ769="","","R"&amp;$C769&amp;"."&amp;$D769)</f>
        <v/>
      </c>
      <c r="AA769" s="15">
        <f>IF(IF($AP769="",FALSE,INDEX(職員マスタ!$K$6:$K$405,$AP769)&lt;&gt;""),INDEX(職員マスタ!$K$6:$K$405,$AP769),IF(N($W769)&gt;0,$W769,""))</f>
        <v/>
      </c>
      <c r="AB769" s="14">
        <f>IF(OR($E769="",$AA769=""),"",IF($E769&gt;=$AA769,"×",IF($E769&gt;=$AA769*設定!$C$5,"△","○")))</f>
        <v/>
      </c>
      <c r="AC769" s="15">
        <f>IF($AB769="","",IF($AB769="×",0,IF($AB769="○",ROUNDDOWN($E769*設定!$C$4,0),ROUNDDOWN($E769*ROUND((9*$AA769-9*$E769)/(10*$E769),4),0))))</f>
        <v/>
      </c>
      <c r="AD769" s="13" t="n"/>
      <c r="AE769" s="15">
        <f>IF($B769="","",IF($AD769&lt;&gt;"",$AD769,IF($AC769="","",IF($AC769&lt;=設定!$C$3,0,$AC769))))</f>
        <v/>
      </c>
      <c r="AF769" s="14">
        <f>IF($B769="","",IF(AND($AG769&lt;&gt;"",$AI769="",$AL769=""),"保留中",IF($AL769&lt;&gt;"",IF(N($AE769)&gt;0,"支給済","不支給"),IF($AE769="","要確認",IF($AE769=0,"不支給","未処理")))))</f>
        <v/>
      </c>
      <c r="AG769" s="12" t="n"/>
      <c r="AH769" s="11" t="n"/>
      <c r="AI769" s="11" t="n"/>
      <c r="AJ769" s="11" t="n"/>
      <c r="AK769" s="14">
        <f>IF(AND($AF769="保留中",$AH769&lt;&gt;""),TODAY()-$AH769,"")</f>
        <v/>
      </c>
      <c r="AL769" s="12" t="n"/>
      <c r="AM769" s="14">
        <f>IF($B769="","",IF($AQ769="","対象年月が未入力／","")&amp;IF($B769="","",IF($AP769="","職員マスタに未登録の職員番号／",IF($AA769="","標準報酬月額が未登録／","")&amp;IF(AND($AQ769&lt;&gt;"",OR(AND(INDEX(職員マスタ!$G$6:$G$405,$AP769)&lt;&gt;"",INDEX(職員マスタ!$G$6:$G$405,$AP769)&gt;EOMONTH($AQ769,0)),AND(INDEX(職員マスタ!$H$6:$H$405,$AP769)&lt;&gt;"",INDEX(職員マスタ!$H$6:$H$405,$AP769)&lt;$AQ769))),"対象月が時短期間外／","")&amp;IF(AND(INDEX(職員マスタ!$K$6:$K$405,$AP769)&lt;&gt;"",N($W769)&gt;0,INDEX(職員マスタ!$K$6:$K$405,$AP769)&lt;&gt;$W769),"標準報酬月額が申請書と相違（台帳"&amp;TEXT(INDEX(職員マスタ!$K$6:$K$405,$AP769),"#,##0")&amp;"円／申請書"&amp;TEXT($W769,"#,##0")&amp;"円）／","")&amp;IF(AND(INDEX(職員マスタ!$F$6:$F$405,$AP769)&lt;&gt;"",$AQ769&lt;&gt;"",INDEX(職員マスタ!$F$6:$F$405,$AP769)&lt;$AQ769),"対象月に子が2歳到達済／","")&amp;IF(AND($H769&lt;&gt;"",INDEX(職員マスタ!$B$6:$B$405,$AP769)&lt;&gt;"",SUBSTITUTE(SUBSTITUTE($H769," ","")," ","")&lt;&gt;SUBSTITUTE(SUBSTITUTE(INDEX(職員マスタ!$B$6:$B$405,$AP769)," ","")," ","")),"氏名がマスタと相違／","")&amp;IF(AND($Q769&lt;&gt;"",INDEX(職員マスタ!$E$6:$E$405,$AP769)&lt;&gt;"",$Q769&lt;&gt;INDEX(職員マスタ!$E$6:$E$405,$AP769)),"子の生年月日がマスタと相違／","")&amp;IF(AND($L769&lt;&gt;"",INDEX(職員マスタ!$G$6:$G$405,$AP769)&lt;&gt;"",$L769&lt;&gt;INDEX(職員マスタ!$G$6:$G$405,$AP769)),"時短開始日がマスタと相違／","")&amp;IF(AND($M769&lt;&gt;"",INDEX(職員マスタ!$H$6:$H$405,$AP769)&lt;&gt;"",$M769&lt;&gt;INDEX(職員マスタ!$H$6:$H$405,$AP769)),"時短終了日がマスタと相違／","")))&amp;IF(AND($B769&lt;&gt;"",$E769=""),"報酬額が未入力／","")&amp;IF(N($U769)&gt;0,"申請書に入力エラーが残っています／","")&amp;IF(AND($B769&lt;&gt;"",$AQ769&lt;&gt;""),IF(COUNTIFS($B$6:$B$3005,$B769,$C$6:$C$3005,$C769,$D$6:$D$3005,$D769)&gt;1,"同じ月の請求が重複しています／",""),"")&amp;IF(AND(N($E769)&gt;0,$AB769&lt;&gt;"",$AB769&lt;&gt;"×",$AE769=0,$AD769=""),"計算額が下限以下のため不支給／",""))</f>
        <v/>
      </c>
      <c r="AN769" s="12" t="n"/>
      <c r="AO769" s="14">
        <f>IF($AF769="保留中",COUNTIF($AF$6:$AF769,"保留中"),"")</f>
        <v/>
      </c>
      <c r="AP769" s="14">
        <f>IF($AQ769="","",IF(SUMPRODUCT(MAX((職員マスタ!$A$6:$A$405=$B769)*(((職員マスタ!$G$6:$G$405="")+(職員マスタ!$G$6:$G$405&lt;=EOMONTH($AQ769,0)))&gt;0)*(((職員マスタ!$H$6:$H$405="")+(職員マスタ!$H$6:$H$405&gt;=$AQ769))&gt;0)*(ROW(職員マスタ!$A$6:$A$405)-5)))&gt;0,SUMPRODUCT(MAX((職員マスタ!$A$6:$A$405=$B769)*(((職員マスタ!$G$6:$G$405="")+(職員マスタ!$G$6:$G$405&lt;=EOMONTH($AQ769,0)))&gt;0)*(((職員マスタ!$H$6:$H$405="")+(職員マスタ!$H$6:$H$405&gt;=$AQ769))&gt;0)*(ROW(職員マスタ!$A$6:$A$405)-5))),IFERROR(MATCH($B769,職員マスタ!$A$6:$A$405,0),"")))</f>
        <v/>
      </c>
      <c r="AQ769" s="16">
        <f>IF(OR($B769="",$C769="",$D769=""),"",DATE($C769+2018,$D769,1))</f>
        <v/>
      </c>
    </row>
    <row r="770">
      <c r="A770" s="11" t="n"/>
      <c r="B770" s="12" t="n"/>
      <c r="C770" s="12" t="n"/>
      <c r="D770" s="12" t="n"/>
      <c r="E770" s="13" t="n"/>
      <c r="F770" s="12" t="n"/>
      <c r="G770" s="13" t="n"/>
      <c r="H770" s="12" t="n"/>
      <c r="I770" s="12" t="n"/>
      <c r="J770" s="12" t="n"/>
      <c r="K770" s="12" t="n"/>
      <c r="L770" s="11" t="n"/>
      <c r="M770" s="11" t="n"/>
      <c r="N770" s="11" t="n"/>
      <c r="O770" s="11" t="n"/>
      <c r="P770" s="12" t="n"/>
      <c r="Q770" s="11" t="n"/>
      <c r="R770" s="12" t="n"/>
      <c r="S770" s="11" t="n"/>
      <c r="T770" s="12" t="n"/>
      <c r="U770" s="12" t="n"/>
      <c r="V770" s="12" t="n"/>
      <c r="W770" s="13" t="n"/>
      <c r="X770" s="14">
        <f>IF($AP770="",IF($B770="","",$H770),IF(INDEX(職員マスタ!$B$6:$B$405,$AP770)="",$H770,INDEX(職員マスタ!$B$6:$B$405,$AP770)))</f>
        <v/>
      </c>
      <c r="Y770" s="14">
        <f>IF($AP770="",IF($B770="","",$R770),IF(INDEX(職員マスタ!$C$6:$C$405,$AP770)="",$R770,INDEX(職員マスタ!$C$6:$C$405,$AP770)))</f>
        <v/>
      </c>
      <c r="Z770" s="14">
        <f>IF($AQ770="","","R"&amp;$C770&amp;"."&amp;$D770)</f>
        <v/>
      </c>
      <c r="AA770" s="15">
        <f>IF(IF($AP770="",FALSE,INDEX(職員マスタ!$K$6:$K$405,$AP770)&lt;&gt;""),INDEX(職員マスタ!$K$6:$K$405,$AP770),IF(N($W770)&gt;0,$W770,""))</f>
        <v/>
      </c>
      <c r="AB770" s="14">
        <f>IF(OR($E770="",$AA770=""),"",IF($E770&gt;=$AA770,"×",IF($E770&gt;=$AA770*設定!$C$5,"△","○")))</f>
        <v/>
      </c>
      <c r="AC770" s="15">
        <f>IF($AB770="","",IF($AB770="×",0,IF($AB770="○",ROUNDDOWN($E770*設定!$C$4,0),ROUNDDOWN($E770*ROUND((9*$AA770-9*$E770)/(10*$E770),4),0))))</f>
        <v/>
      </c>
      <c r="AD770" s="13" t="n"/>
      <c r="AE770" s="15">
        <f>IF($B770="","",IF($AD770&lt;&gt;"",$AD770,IF($AC770="","",IF($AC770&lt;=設定!$C$3,0,$AC770))))</f>
        <v/>
      </c>
      <c r="AF770" s="14">
        <f>IF($B770="","",IF(AND($AG770&lt;&gt;"",$AI770="",$AL770=""),"保留中",IF($AL770&lt;&gt;"",IF(N($AE770)&gt;0,"支給済","不支給"),IF($AE770="","要確認",IF($AE770=0,"不支給","未処理")))))</f>
        <v/>
      </c>
      <c r="AG770" s="12" t="n"/>
      <c r="AH770" s="11" t="n"/>
      <c r="AI770" s="11" t="n"/>
      <c r="AJ770" s="11" t="n"/>
      <c r="AK770" s="14">
        <f>IF(AND($AF770="保留中",$AH770&lt;&gt;""),TODAY()-$AH770,"")</f>
        <v/>
      </c>
      <c r="AL770" s="12" t="n"/>
      <c r="AM770" s="14">
        <f>IF($B770="","",IF($AQ770="","対象年月が未入力／","")&amp;IF($B770="","",IF($AP770="","職員マスタに未登録の職員番号／",IF($AA770="","標準報酬月額が未登録／","")&amp;IF(AND($AQ770&lt;&gt;"",OR(AND(INDEX(職員マスタ!$G$6:$G$405,$AP770)&lt;&gt;"",INDEX(職員マスタ!$G$6:$G$405,$AP770)&gt;EOMONTH($AQ770,0)),AND(INDEX(職員マスタ!$H$6:$H$405,$AP770)&lt;&gt;"",INDEX(職員マスタ!$H$6:$H$405,$AP770)&lt;$AQ770))),"対象月が時短期間外／","")&amp;IF(AND(INDEX(職員マスタ!$K$6:$K$405,$AP770)&lt;&gt;"",N($W770)&gt;0,INDEX(職員マスタ!$K$6:$K$405,$AP770)&lt;&gt;$W770),"標準報酬月額が申請書と相違（台帳"&amp;TEXT(INDEX(職員マスタ!$K$6:$K$405,$AP770),"#,##0")&amp;"円／申請書"&amp;TEXT($W770,"#,##0")&amp;"円）／","")&amp;IF(AND(INDEX(職員マスタ!$F$6:$F$405,$AP770)&lt;&gt;"",$AQ770&lt;&gt;"",INDEX(職員マスタ!$F$6:$F$405,$AP770)&lt;$AQ770),"対象月に子が2歳到達済／","")&amp;IF(AND($H770&lt;&gt;"",INDEX(職員マスタ!$B$6:$B$405,$AP770)&lt;&gt;"",SUBSTITUTE(SUBSTITUTE($H770," ","")," ","")&lt;&gt;SUBSTITUTE(SUBSTITUTE(INDEX(職員マスタ!$B$6:$B$405,$AP770)," ","")," ","")),"氏名がマスタと相違／","")&amp;IF(AND($Q770&lt;&gt;"",INDEX(職員マスタ!$E$6:$E$405,$AP770)&lt;&gt;"",$Q770&lt;&gt;INDEX(職員マスタ!$E$6:$E$405,$AP770)),"子の生年月日がマスタと相違／","")&amp;IF(AND($L770&lt;&gt;"",INDEX(職員マスタ!$G$6:$G$405,$AP770)&lt;&gt;"",$L770&lt;&gt;INDEX(職員マスタ!$G$6:$G$405,$AP770)),"時短開始日がマスタと相違／","")&amp;IF(AND($M770&lt;&gt;"",INDEX(職員マスタ!$H$6:$H$405,$AP770)&lt;&gt;"",$M770&lt;&gt;INDEX(職員マスタ!$H$6:$H$405,$AP770)),"時短終了日がマスタと相違／","")))&amp;IF(AND($B770&lt;&gt;"",$E770=""),"報酬額が未入力／","")&amp;IF(N($U770)&gt;0,"申請書に入力エラーが残っています／","")&amp;IF(AND($B770&lt;&gt;"",$AQ770&lt;&gt;""),IF(COUNTIFS($B$6:$B$3005,$B770,$C$6:$C$3005,$C770,$D$6:$D$3005,$D770)&gt;1,"同じ月の請求が重複しています／",""),"")&amp;IF(AND(N($E770)&gt;0,$AB770&lt;&gt;"",$AB770&lt;&gt;"×",$AE770=0,$AD770=""),"計算額が下限以下のため不支給／",""))</f>
        <v/>
      </c>
      <c r="AN770" s="12" t="n"/>
      <c r="AO770" s="14">
        <f>IF($AF770="保留中",COUNTIF($AF$6:$AF770,"保留中"),"")</f>
        <v/>
      </c>
      <c r="AP770" s="14">
        <f>IF($AQ770="","",IF(SUMPRODUCT(MAX((職員マスタ!$A$6:$A$405=$B770)*(((職員マスタ!$G$6:$G$405="")+(職員マスタ!$G$6:$G$405&lt;=EOMONTH($AQ770,0)))&gt;0)*(((職員マスタ!$H$6:$H$405="")+(職員マスタ!$H$6:$H$405&gt;=$AQ770))&gt;0)*(ROW(職員マスタ!$A$6:$A$405)-5)))&gt;0,SUMPRODUCT(MAX((職員マスタ!$A$6:$A$405=$B770)*(((職員マスタ!$G$6:$G$405="")+(職員マスタ!$G$6:$G$405&lt;=EOMONTH($AQ770,0)))&gt;0)*(((職員マスタ!$H$6:$H$405="")+(職員マスタ!$H$6:$H$405&gt;=$AQ770))&gt;0)*(ROW(職員マスタ!$A$6:$A$405)-5))),IFERROR(MATCH($B770,職員マスタ!$A$6:$A$405,0),"")))</f>
        <v/>
      </c>
      <c r="AQ770" s="16">
        <f>IF(OR($B770="",$C770="",$D770=""),"",DATE($C770+2018,$D770,1))</f>
        <v/>
      </c>
    </row>
    <row r="771">
      <c r="A771" s="11" t="n"/>
      <c r="B771" s="12" t="n"/>
      <c r="C771" s="12" t="n"/>
      <c r="D771" s="12" t="n"/>
      <c r="E771" s="13" t="n"/>
      <c r="F771" s="12" t="n"/>
      <c r="G771" s="13" t="n"/>
      <c r="H771" s="12" t="n"/>
      <c r="I771" s="12" t="n"/>
      <c r="J771" s="12" t="n"/>
      <c r="K771" s="12" t="n"/>
      <c r="L771" s="11" t="n"/>
      <c r="M771" s="11" t="n"/>
      <c r="N771" s="11" t="n"/>
      <c r="O771" s="11" t="n"/>
      <c r="P771" s="12" t="n"/>
      <c r="Q771" s="11" t="n"/>
      <c r="R771" s="12" t="n"/>
      <c r="S771" s="11" t="n"/>
      <c r="T771" s="12" t="n"/>
      <c r="U771" s="12" t="n"/>
      <c r="V771" s="12" t="n"/>
      <c r="W771" s="13" t="n"/>
      <c r="X771" s="14">
        <f>IF($AP771="",IF($B771="","",$H771),IF(INDEX(職員マスタ!$B$6:$B$405,$AP771)="",$H771,INDEX(職員マスタ!$B$6:$B$405,$AP771)))</f>
        <v/>
      </c>
      <c r="Y771" s="14">
        <f>IF($AP771="",IF($B771="","",$R771),IF(INDEX(職員マスタ!$C$6:$C$405,$AP771)="",$R771,INDEX(職員マスタ!$C$6:$C$405,$AP771)))</f>
        <v/>
      </c>
      <c r="Z771" s="14">
        <f>IF($AQ771="","","R"&amp;$C771&amp;"."&amp;$D771)</f>
        <v/>
      </c>
      <c r="AA771" s="15">
        <f>IF(IF($AP771="",FALSE,INDEX(職員マスタ!$K$6:$K$405,$AP771)&lt;&gt;""),INDEX(職員マスタ!$K$6:$K$405,$AP771),IF(N($W771)&gt;0,$W771,""))</f>
        <v/>
      </c>
      <c r="AB771" s="14">
        <f>IF(OR($E771="",$AA771=""),"",IF($E771&gt;=$AA771,"×",IF($E771&gt;=$AA771*設定!$C$5,"△","○")))</f>
        <v/>
      </c>
      <c r="AC771" s="15">
        <f>IF($AB771="","",IF($AB771="×",0,IF($AB771="○",ROUNDDOWN($E771*設定!$C$4,0),ROUNDDOWN($E771*ROUND((9*$AA771-9*$E771)/(10*$E771),4),0))))</f>
        <v/>
      </c>
      <c r="AD771" s="13" t="n"/>
      <c r="AE771" s="15">
        <f>IF($B771="","",IF($AD771&lt;&gt;"",$AD771,IF($AC771="","",IF($AC771&lt;=設定!$C$3,0,$AC771))))</f>
        <v/>
      </c>
      <c r="AF771" s="14">
        <f>IF($B771="","",IF(AND($AG771&lt;&gt;"",$AI771="",$AL771=""),"保留中",IF($AL771&lt;&gt;"",IF(N($AE771)&gt;0,"支給済","不支給"),IF($AE771="","要確認",IF($AE771=0,"不支給","未処理")))))</f>
        <v/>
      </c>
      <c r="AG771" s="12" t="n"/>
      <c r="AH771" s="11" t="n"/>
      <c r="AI771" s="11" t="n"/>
      <c r="AJ771" s="11" t="n"/>
      <c r="AK771" s="14">
        <f>IF(AND($AF771="保留中",$AH771&lt;&gt;""),TODAY()-$AH771,"")</f>
        <v/>
      </c>
      <c r="AL771" s="12" t="n"/>
      <c r="AM771" s="14">
        <f>IF($B771="","",IF($AQ771="","対象年月が未入力／","")&amp;IF($B771="","",IF($AP771="","職員マスタに未登録の職員番号／",IF($AA771="","標準報酬月額が未登録／","")&amp;IF(AND($AQ771&lt;&gt;"",OR(AND(INDEX(職員マスタ!$G$6:$G$405,$AP771)&lt;&gt;"",INDEX(職員マスタ!$G$6:$G$405,$AP771)&gt;EOMONTH($AQ771,0)),AND(INDEX(職員マスタ!$H$6:$H$405,$AP771)&lt;&gt;"",INDEX(職員マスタ!$H$6:$H$405,$AP771)&lt;$AQ771))),"対象月が時短期間外／","")&amp;IF(AND(INDEX(職員マスタ!$K$6:$K$405,$AP771)&lt;&gt;"",N($W771)&gt;0,INDEX(職員マスタ!$K$6:$K$405,$AP771)&lt;&gt;$W771),"標準報酬月額が申請書と相違（台帳"&amp;TEXT(INDEX(職員マスタ!$K$6:$K$405,$AP771),"#,##0")&amp;"円／申請書"&amp;TEXT($W771,"#,##0")&amp;"円）／","")&amp;IF(AND(INDEX(職員マスタ!$F$6:$F$405,$AP771)&lt;&gt;"",$AQ771&lt;&gt;"",INDEX(職員マスタ!$F$6:$F$405,$AP771)&lt;$AQ771),"対象月に子が2歳到達済／","")&amp;IF(AND($H771&lt;&gt;"",INDEX(職員マスタ!$B$6:$B$405,$AP771)&lt;&gt;"",SUBSTITUTE(SUBSTITUTE($H771," ","")," ","")&lt;&gt;SUBSTITUTE(SUBSTITUTE(INDEX(職員マスタ!$B$6:$B$405,$AP771)," ","")," ","")),"氏名がマスタと相違／","")&amp;IF(AND($Q771&lt;&gt;"",INDEX(職員マスタ!$E$6:$E$405,$AP771)&lt;&gt;"",$Q771&lt;&gt;INDEX(職員マスタ!$E$6:$E$405,$AP771)),"子の生年月日がマスタと相違／","")&amp;IF(AND($L771&lt;&gt;"",INDEX(職員マスタ!$G$6:$G$405,$AP771)&lt;&gt;"",$L771&lt;&gt;INDEX(職員マスタ!$G$6:$G$405,$AP771)),"時短開始日がマスタと相違／","")&amp;IF(AND($M771&lt;&gt;"",INDEX(職員マスタ!$H$6:$H$405,$AP771)&lt;&gt;"",$M771&lt;&gt;INDEX(職員マスタ!$H$6:$H$405,$AP771)),"時短終了日がマスタと相違／","")))&amp;IF(AND($B771&lt;&gt;"",$E771=""),"報酬額が未入力／","")&amp;IF(N($U771)&gt;0,"申請書に入力エラーが残っています／","")&amp;IF(AND($B771&lt;&gt;"",$AQ771&lt;&gt;""),IF(COUNTIFS($B$6:$B$3005,$B771,$C$6:$C$3005,$C771,$D$6:$D$3005,$D771)&gt;1,"同じ月の請求が重複しています／",""),"")&amp;IF(AND(N($E771)&gt;0,$AB771&lt;&gt;"",$AB771&lt;&gt;"×",$AE771=0,$AD771=""),"計算額が下限以下のため不支給／",""))</f>
        <v/>
      </c>
      <c r="AN771" s="12" t="n"/>
      <c r="AO771" s="14">
        <f>IF($AF771="保留中",COUNTIF($AF$6:$AF771,"保留中"),"")</f>
        <v/>
      </c>
      <c r="AP771" s="14">
        <f>IF($AQ771="","",IF(SUMPRODUCT(MAX((職員マスタ!$A$6:$A$405=$B771)*(((職員マスタ!$G$6:$G$405="")+(職員マスタ!$G$6:$G$405&lt;=EOMONTH($AQ771,0)))&gt;0)*(((職員マスタ!$H$6:$H$405="")+(職員マスタ!$H$6:$H$405&gt;=$AQ771))&gt;0)*(ROW(職員マスタ!$A$6:$A$405)-5)))&gt;0,SUMPRODUCT(MAX((職員マスタ!$A$6:$A$405=$B771)*(((職員マスタ!$G$6:$G$405="")+(職員マスタ!$G$6:$G$405&lt;=EOMONTH($AQ771,0)))&gt;0)*(((職員マスタ!$H$6:$H$405="")+(職員マスタ!$H$6:$H$405&gt;=$AQ771))&gt;0)*(ROW(職員マスタ!$A$6:$A$405)-5))),IFERROR(MATCH($B771,職員マスタ!$A$6:$A$405,0),"")))</f>
        <v/>
      </c>
      <c r="AQ771" s="16">
        <f>IF(OR($B771="",$C771="",$D771=""),"",DATE($C771+2018,$D771,1))</f>
        <v/>
      </c>
    </row>
    <row r="772">
      <c r="A772" s="11" t="n"/>
      <c r="B772" s="12" t="n"/>
      <c r="C772" s="12" t="n"/>
      <c r="D772" s="12" t="n"/>
      <c r="E772" s="13" t="n"/>
      <c r="F772" s="12" t="n"/>
      <c r="G772" s="13" t="n"/>
      <c r="H772" s="12" t="n"/>
      <c r="I772" s="12" t="n"/>
      <c r="J772" s="12" t="n"/>
      <c r="K772" s="12" t="n"/>
      <c r="L772" s="11" t="n"/>
      <c r="M772" s="11" t="n"/>
      <c r="N772" s="11" t="n"/>
      <c r="O772" s="11" t="n"/>
      <c r="P772" s="12" t="n"/>
      <c r="Q772" s="11" t="n"/>
      <c r="R772" s="12" t="n"/>
      <c r="S772" s="11" t="n"/>
      <c r="T772" s="12" t="n"/>
      <c r="U772" s="12" t="n"/>
      <c r="V772" s="12" t="n"/>
      <c r="W772" s="13" t="n"/>
      <c r="X772" s="14">
        <f>IF($AP772="",IF($B772="","",$H772),IF(INDEX(職員マスタ!$B$6:$B$405,$AP772)="",$H772,INDEX(職員マスタ!$B$6:$B$405,$AP772)))</f>
        <v/>
      </c>
      <c r="Y772" s="14">
        <f>IF($AP772="",IF($B772="","",$R772),IF(INDEX(職員マスタ!$C$6:$C$405,$AP772)="",$R772,INDEX(職員マスタ!$C$6:$C$405,$AP772)))</f>
        <v/>
      </c>
      <c r="Z772" s="14">
        <f>IF($AQ772="","","R"&amp;$C772&amp;"."&amp;$D772)</f>
        <v/>
      </c>
      <c r="AA772" s="15">
        <f>IF(IF($AP772="",FALSE,INDEX(職員マスタ!$K$6:$K$405,$AP772)&lt;&gt;""),INDEX(職員マスタ!$K$6:$K$405,$AP772),IF(N($W772)&gt;0,$W772,""))</f>
        <v/>
      </c>
      <c r="AB772" s="14">
        <f>IF(OR($E772="",$AA772=""),"",IF($E772&gt;=$AA772,"×",IF($E772&gt;=$AA772*設定!$C$5,"△","○")))</f>
        <v/>
      </c>
      <c r="AC772" s="15">
        <f>IF($AB772="","",IF($AB772="×",0,IF($AB772="○",ROUNDDOWN($E772*設定!$C$4,0),ROUNDDOWN($E772*ROUND((9*$AA772-9*$E772)/(10*$E772),4),0))))</f>
        <v/>
      </c>
      <c r="AD772" s="13" t="n"/>
      <c r="AE772" s="15">
        <f>IF($B772="","",IF($AD772&lt;&gt;"",$AD772,IF($AC772="","",IF($AC772&lt;=設定!$C$3,0,$AC772))))</f>
        <v/>
      </c>
      <c r="AF772" s="14">
        <f>IF($B772="","",IF(AND($AG772&lt;&gt;"",$AI772="",$AL772=""),"保留中",IF($AL772&lt;&gt;"",IF(N($AE772)&gt;0,"支給済","不支給"),IF($AE772="","要確認",IF($AE772=0,"不支給","未処理")))))</f>
        <v/>
      </c>
      <c r="AG772" s="12" t="n"/>
      <c r="AH772" s="11" t="n"/>
      <c r="AI772" s="11" t="n"/>
      <c r="AJ772" s="11" t="n"/>
      <c r="AK772" s="14">
        <f>IF(AND($AF772="保留中",$AH772&lt;&gt;""),TODAY()-$AH772,"")</f>
        <v/>
      </c>
      <c r="AL772" s="12" t="n"/>
      <c r="AM772" s="14">
        <f>IF($B772="","",IF($AQ772="","対象年月が未入力／","")&amp;IF($B772="","",IF($AP772="","職員マスタに未登録の職員番号／",IF($AA772="","標準報酬月額が未登録／","")&amp;IF(AND($AQ772&lt;&gt;"",OR(AND(INDEX(職員マスタ!$G$6:$G$405,$AP772)&lt;&gt;"",INDEX(職員マスタ!$G$6:$G$405,$AP772)&gt;EOMONTH($AQ772,0)),AND(INDEX(職員マスタ!$H$6:$H$405,$AP772)&lt;&gt;"",INDEX(職員マスタ!$H$6:$H$405,$AP772)&lt;$AQ772))),"対象月が時短期間外／","")&amp;IF(AND(INDEX(職員マスタ!$K$6:$K$405,$AP772)&lt;&gt;"",N($W772)&gt;0,INDEX(職員マスタ!$K$6:$K$405,$AP772)&lt;&gt;$W772),"標準報酬月額が申請書と相違（台帳"&amp;TEXT(INDEX(職員マスタ!$K$6:$K$405,$AP772),"#,##0")&amp;"円／申請書"&amp;TEXT($W772,"#,##0")&amp;"円）／","")&amp;IF(AND(INDEX(職員マスタ!$F$6:$F$405,$AP772)&lt;&gt;"",$AQ772&lt;&gt;"",INDEX(職員マスタ!$F$6:$F$405,$AP772)&lt;$AQ772),"対象月に子が2歳到達済／","")&amp;IF(AND($H772&lt;&gt;"",INDEX(職員マスタ!$B$6:$B$405,$AP772)&lt;&gt;"",SUBSTITUTE(SUBSTITUTE($H772," ","")," ","")&lt;&gt;SUBSTITUTE(SUBSTITUTE(INDEX(職員マスタ!$B$6:$B$405,$AP772)," ","")," ","")),"氏名がマスタと相違／","")&amp;IF(AND($Q772&lt;&gt;"",INDEX(職員マスタ!$E$6:$E$405,$AP772)&lt;&gt;"",$Q772&lt;&gt;INDEX(職員マスタ!$E$6:$E$405,$AP772)),"子の生年月日がマスタと相違／","")&amp;IF(AND($L772&lt;&gt;"",INDEX(職員マスタ!$G$6:$G$405,$AP772)&lt;&gt;"",$L772&lt;&gt;INDEX(職員マスタ!$G$6:$G$405,$AP772)),"時短開始日がマスタと相違／","")&amp;IF(AND($M772&lt;&gt;"",INDEX(職員マスタ!$H$6:$H$405,$AP772)&lt;&gt;"",$M772&lt;&gt;INDEX(職員マスタ!$H$6:$H$405,$AP772)),"時短終了日がマスタと相違／","")))&amp;IF(AND($B772&lt;&gt;"",$E772=""),"報酬額が未入力／","")&amp;IF(N($U772)&gt;0,"申請書に入力エラーが残っています／","")&amp;IF(AND($B772&lt;&gt;"",$AQ772&lt;&gt;""),IF(COUNTIFS($B$6:$B$3005,$B772,$C$6:$C$3005,$C772,$D$6:$D$3005,$D772)&gt;1,"同じ月の請求が重複しています／",""),"")&amp;IF(AND(N($E772)&gt;0,$AB772&lt;&gt;"",$AB772&lt;&gt;"×",$AE772=0,$AD772=""),"計算額が下限以下のため不支給／",""))</f>
        <v/>
      </c>
      <c r="AN772" s="12" t="n"/>
      <c r="AO772" s="14">
        <f>IF($AF772="保留中",COUNTIF($AF$6:$AF772,"保留中"),"")</f>
        <v/>
      </c>
      <c r="AP772" s="14">
        <f>IF($AQ772="","",IF(SUMPRODUCT(MAX((職員マスタ!$A$6:$A$405=$B772)*(((職員マスタ!$G$6:$G$405="")+(職員マスタ!$G$6:$G$405&lt;=EOMONTH($AQ772,0)))&gt;0)*(((職員マスタ!$H$6:$H$405="")+(職員マスタ!$H$6:$H$405&gt;=$AQ772))&gt;0)*(ROW(職員マスタ!$A$6:$A$405)-5)))&gt;0,SUMPRODUCT(MAX((職員マスタ!$A$6:$A$405=$B772)*(((職員マスタ!$G$6:$G$405="")+(職員マスタ!$G$6:$G$405&lt;=EOMONTH($AQ772,0)))&gt;0)*(((職員マスタ!$H$6:$H$405="")+(職員マスタ!$H$6:$H$405&gt;=$AQ772))&gt;0)*(ROW(職員マスタ!$A$6:$A$405)-5))),IFERROR(MATCH($B772,職員マスタ!$A$6:$A$405,0),"")))</f>
        <v/>
      </c>
      <c r="AQ772" s="16">
        <f>IF(OR($B772="",$C772="",$D772=""),"",DATE($C772+2018,$D772,1))</f>
        <v/>
      </c>
    </row>
    <row r="773">
      <c r="A773" s="11" t="n"/>
      <c r="B773" s="12" t="n"/>
      <c r="C773" s="12" t="n"/>
      <c r="D773" s="12" t="n"/>
      <c r="E773" s="13" t="n"/>
      <c r="F773" s="12" t="n"/>
      <c r="G773" s="13" t="n"/>
      <c r="H773" s="12" t="n"/>
      <c r="I773" s="12" t="n"/>
      <c r="J773" s="12" t="n"/>
      <c r="K773" s="12" t="n"/>
      <c r="L773" s="11" t="n"/>
      <c r="M773" s="11" t="n"/>
      <c r="N773" s="11" t="n"/>
      <c r="O773" s="11" t="n"/>
      <c r="P773" s="12" t="n"/>
      <c r="Q773" s="11" t="n"/>
      <c r="R773" s="12" t="n"/>
      <c r="S773" s="11" t="n"/>
      <c r="T773" s="12" t="n"/>
      <c r="U773" s="12" t="n"/>
      <c r="V773" s="12" t="n"/>
      <c r="W773" s="13" t="n"/>
      <c r="X773" s="14">
        <f>IF($AP773="",IF($B773="","",$H773),IF(INDEX(職員マスタ!$B$6:$B$405,$AP773)="",$H773,INDEX(職員マスタ!$B$6:$B$405,$AP773)))</f>
        <v/>
      </c>
      <c r="Y773" s="14">
        <f>IF($AP773="",IF($B773="","",$R773),IF(INDEX(職員マスタ!$C$6:$C$405,$AP773)="",$R773,INDEX(職員マスタ!$C$6:$C$405,$AP773)))</f>
        <v/>
      </c>
      <c r="Z773" s="14">
        <f>IF($AQ773="","","R"&amp;$C773&amp;"."&amp;$D773)</f>
        <v/>
      </c>
      <c r="AA773" s="15">
        <f>IF(IF($AP773="",FALSE,INDEX(職員マスタ!$K$6:$K$405,$AP773)&lt;&gt;""),INDEX(職員マスタ!$K$6:$K$405,$AP773),IF(N($W773)&gt;0,$W773,""))</f>
        <v/>
      </c>
      <c r="AB773" s="14">
        <f>IF(OR($E773="",$AA773=""),"",IF($E773&gt;=$AA773,"×",IF($E773&gt;=$AA773*設定!$C$5,"△","○")))</f>
        <v/>
      </c>
      <c r="AC773" s="15">
        <f>IF($AB773="","",IF($AB773="×",0,IF($AB773="○",ROUNDDOWN($E773*設定!$C$4,0),ROUNDDOWN($E773*ROUND((9*$AA773-9*$E773)/(10*$E773),4),0))))</f>
        <v/>
      </c>
      <c r="AD773" s="13" t="n"/>
      <c r="AE773" s="15">
        <f>IF($B773="","",IF($AD773&lt;&gt;"",$AD773,IF($AC773="","",IF($AC773&lt;=設定!$C$3,0,$AC773))))</f>
        <v/>
      </c>
      <c r="AF773" s="14">
        <f>IF($B773="","",IF(AND($AG773&lt;&gt;"",$AI773="",$AL773=""),"保留中",IF($AL773&lt;&gt;"",IF(N($AE773)&gt;0,"支給済","不支給"),IF($AE773="","要確認",IF($AE773=0,"不支給","未処理")))))</f>
        <v/>
      </c>
      <c r="AG773" s="12" t="n"/>
      <c r="AH773" s="11" t="n"/>
      <c r="AI773" s="11" t="n"/>
      <c r="AJ773" s="11" t="n"/>
      <c r="AK773" s="14">
        <f>IF(AND($AF773="保留中",$AH773&lt;&gt;""),TODAY()-$AH773,"")</f>
        <v/>
      </c>
      <c r="AL773" s="12" t="n"/>
      <c r="AM773" s="14">
        <f>IF($B773="","",IF($AQ773="","対象年月が未入力／","")&amp;IF($B773="","",IF($AP773="","職員マスタに未登録の職員番号／",IF($AA773="","標準報酬月額が未登録／","")&amp;IF(AND($AQ773&lt;&gt;"",OR(AND(INDEX(職員マスタ!$G$6:$G$405,$AP773)&lt;&gt;"",INDEX(職員マスタ!$G$6:$G$405,$AP773)&gt;EOMONTH($AQ773,0)),AND(INDEX(職員マスタ!$H$6:$H$405,$AP773)&lt;&gt;"",INDEX(職員マスタ!$H$6:$H$405,$AP773)&lt;$AQ773))),"対象月が時短期間外／","")&amp;IF(AND(INDEX(職員マスタ!$K$6:$K$405,$AP773)&lt;&gt;"",N($W773)&gt;0,INDEX(職員マスタ!$K$6:$K$405,$AP773)&lt;&gt;$W773),"標準報酬月額が申請書と相違（台帳"&amp;TEXT(INDEX(職員マスタ!$K$6:$K$405,$AP773),"#,##0")&amp;"円／申請書"&amp;TEXT($W773,"#,##0")&amp;"円）／","")&amp;IF(AND(INDEX(職員マスタ!$F$6:$F$405,$AP773)&lt;&gt;"",$AQ773&lt;&gt;"",INDEX(職員マスタ!$F$6:$F$405,$AP773)&lt;$AQ773),"対象月に子が2歳到達済／","")&amp;IF(AND($H773&lt;&gt;"",INDEX(職員マスタ!$B$6:$B$405,$AP773)&lt;&gt;"",SUBSTITUTE(SUBSTITUTE($H773," ","")," ","")&lt;&gt;SUBSTITUTE(SUBSTITUTE(INDEX(職員マスタ!$B$6:$B$405,$AP773)," ","")," ","")),"氏名がマスタと相違／","")&amp;IF(AND($Q773&lt;&gt;"",INDEX(職員マスタ!$E$6:$E$405,$AP773)&lt;&gt;"",$Q773&lt;&gt;INDEX(職員マスタ!$E$6:$E$405,$AP773)),"子の生年月日がマスタと相違／","")&amp;IF(AND($L773&lt;&gt;"",INDEX(職員マスタ!$G$6:$G$405,$AP773)&lt;&gt;"",$L773&lt;&gt;INDEX(職員マスタ!$G$6:$G$405,$AP773)),"時短開始日がマスタと相違／","")&amp;IF(AND($M773&lt;&gt;"",INDEX(職員マスタ!$H$6:$H$405,$AP773)&lt;&gt;"",$M773&lt;&gt;INDEX(職員マスタ!$H$6:$H$405,$AP773)),"時短終了日がマスタと相違／","")))&amp;IF(AND($B773&lt;&gt;"",$E773=""),"報酬額が未入力／","")&amp;IF(N($U773)&gt;0,"申請書に入力エラーが残っています／","")&amp;IF(AND($B773&lt;&gt;"",$AQ773&lt;&gt;""),IF(COUNTIFS($B$6:$B$3005,$B773,$C$6:$C$3005,$C773,$D$6:$D$3005,$D773)&gt;1,"同じ月の請求が重複しています／",""),"")&amp;IF(AND(N($E773)&gt;0,$AB773&lt;&gt;"",$AB773&lt;&gt;"×",$AE773=0,$AD773=""),"計算額が下限以下のため不支給／",""))</f>
        <v/>
      </c>
      <c r="AN773" s="12" t="n"/>
      <c r="AO773" s="14">
        <f>IF($AF773="保留中",COUNTIF($AF$6:$AF773,"保留中"),"")</f>
        <v/>
      </c>
      <c r="AP773" s="14">
        <f>IF($AQ773="","",IF(SUMPRODUCT(MAX((職員マスタ!$A$6:$A$405=$B773)*(((職員マスタ!$G$6:$G$405="")+(職員マスタ!$G$6:$G$405&lt;=EOMONTH($AQ773,0)))&gt;0)*(((職員マスタ!$H$6:$H$405="")+(職員マスタ!$H$6:$H$405&gt;=$AQ773))&gt;0)*(ROW(職員マスタ!$A$6:$A$405)-5)))&gt;0,SUMPRODUCT(MAX((職員マスタ!$A$6:$A$405=$B773)*(((職員マスタ!$G$6:$G$405="")+(職員マスタ!$G$6:$G$405&lt;=EOMONTH($AQ773,0)))&gt;0)*(((職員マスタ!$H$6:$H$405="")+(職員マスタ!$H$6:$H$405&gt;=$AQ773))&gt;0)*(ROW(職員マスタ!$A$6:$A$405)-5))),IFERROR(MATCH($B773,職員マスタ!$A$6:$A$405,0),"")))</f>
        <v/>
      </c>
      <c r="AQ773" s="16">
        <f>IF(OR($B773="",$C773="",$D773=""),"",DATE($C773+2018,$D773,1))</f>
        <v/>
      </c>
    </row>
    <row r="774">
      <c r="A774" s="11" t="n"/>
      <c r="B774" s="12" t="n"/>
      <c r="C774" s="12" t="n"/>
      <c r="D774" s="12" t="n"/>
      <c r="E774" s="13" t="n"/>
      <c r="F774" s="12" t="n"/>
      <c r="G774" s="13" t="n"/>
      <c r="H774" s="12" t="n"/>
      <c r="I774" s="12" t="n"/>
      <c r="J774" s="12" t="n"/>
      <c r="K774" s="12" t="n"/>
      <c r="L774" s="11" t="n"/>
      <c r="M774" s="11" t="n"/>
      <c r="N774" s="11" t="n"/>
      <c r="O774" s="11" t="n"/>
      <c r="P774" s="12" t="n"/>
      <c r="Q774" s="11" t="n"/>
      <c r="R774" s="12" t="n"/>
      <c r="S774" s="11" t="n"/>
      <c r="T774" s="12" t="n"/>
      <c r="U774" s="12" t="n"/>
      <c r="V774" s="12" t="n"/>
      <c r="W774" s="13" t="n"/>
      <c r="X774" s="14">
        <f>IF($AP774="",IF($B774="","",$H774),IF(INDEX(職員マスタ!$B$6:$B$405,$AP774)="",$H774,INDEX(職員マスタ!$B$6:$B$405,$AP774)))</f>
        <v/>
      </c>
      <c r="Y774" s="14">
        <f>IF($AP774="",IF($B774="","",$R774),IF(INDEX(職員マスタ!$C$6:$C$405,$AP774)="",$R774,INDEX(職員マスタ!$C$6:$C$405,$AP774)))</f>
        <v/>
      </c>
      <c r="Z774" s="14">
        <f>IF($AQ774="","","R"&amp;$C774&amp;"."&amp;$D774)</f>
        <v/>
      </c>
      <c r="AA774" s="15">
        <f>IF(IF($AP774="",FALSE,INDEX(職員マスタ!$K$6:$K$405,$AP774)&lt;&gt;""),INDEX(職員マスタ!$K$6:$K$405,$AP774),IF(N($W774)&gt;0,$W774,""))</f>
        <v/>
      </c>
      <c r="AB774" s="14">
        <f>IF(OR($E774="",$AA774=""),"",IF($E774&gt;=$AA774,"×",IF($E774&gt;=$AA774*設定!$C$5,"△","○")))</f>
        <v/>
      </c>
      <c r="AC774" s="15">
        <f>IF($AB774="","",IF($AB774="×",0,IF($AB774="○",ROUNDDOWN($E774*設定!$C$4,0),ROUNDDOWN($E774*ROUND((9*$AA774-9*$E774)/(10*$E774),4),0))))</f>
        <v/>
      </c>
      <c r="AD774" s="13" t="n"/>
      <c r="AE774" s="15">
        <f>IF($B774="","",IF($AD774&lt;&gt;"",$AD774,IF($AC774="","",IF($AC774&lt;=設定!$C$3,0,$AC774))))</f>
        <v/>
      </c>
      <c r="AF774" s="14">
        <f>IF($B774="","",IF(AND($AG774&lt;&gt;"",$AI774="",$AL774=""),"保留中",IF($AL774&lt;&gt;"",IF(N($AE774)&gt;0,"支給済","不支給"),IF($AE774="","要確認",IF($AE774=0,"不支給","未処理")))))</f>
        <v/>
      </c>
      <c r="AG774" s="12" t="n"/>
      <c r="AH774" s="11" t="n"/>
      <c r="AI774" s="11" t="n"/>
      <c r="AJ774" s="11" t="n"/>
      <c r="AK774" s="14">
        <f>IF(AND($AF774="保留中",$AH774&lt;&gt;""),TODAY()-$AH774,"")</f>
        <v/>
      </c>
      <c r="AL774" s="12" t="n"/>
      <c r="AM774" s="14">
        <f>IF($B774="","",IF($AQ774="","対象年月が未入力／","")&amp;IF($B774="","",IF($AP774="","職員マスタに未登録の職員番号／",IF($AA774="","標準報酬月額が未登録／","")&amp;IF(AND($AQ774&lt;&gt;"",OR(AND(INDEX(職員マスタ!$G$6:$G$405,$AP774)&lt;&gt;"",INDEX(職員マスタ!$G$6:$G$405,$AP774)&gt;EOMONTH($AQ774,0)),AND(INDEX(職員マスタ!$H$6:$H$405,$AP774)&lt;&gt;"",INDEX(職員マスタ!$H$6:$H$405,$AP774)&lt;$AQ774))),"対象月が時短期間外／","")&amp;IF(AND(INDEX(職員マスタ!$K$6:$K$405,$AP774)&lt;&gt;"",N($W774)&gt;0,INDEX(職員マスタ!$K$6:$K$405,$AP774)&lt;&gt;$W774),"標準報酬月額が申請書と相違（台帳"&amp;TEXT(INDEX(職員マスタ!$K$6:$K$405,$AP774),"#,##0")&amp;"円／申請書"&amp;TEXT($W774,"#,##0")&amp;"円）／","")&amp;IF(AND(INDEX(職員マスタ!$F$6:$F$405,$AP774)&lt;&gt;"",$AQ774&lt;&gt;"",INDEX(職員マスタ!$F$6:$F$405,$AP774)&lt;$AQ774),"対象月に子が2歳到達済／","")&amp;IF(AND($H774&lt;&gt;"",INDEX(職員マスタ!$B$6:$B$405,$AP774)&lt;&gt;"",SUBSTITUTE(SUBSTITUTE($H774," ","")," ","")&lt;&gt;SUBSTITUTE(SUBSTITUTE(INDEX(職員マスタ!$B$6:$B$405,$AP774)," ","")," ","")),"氏名がマスタと相違／","")&amp;IF(AND($Q774&lt;&gt;"",INDEX(職員マスタ!$E$6:$E$405,$AP774)&lt;&gt;"",$Q774&lt;&gt;INDEX(職員マスタ!$E$6:$E$405,$AP774)),"子の生年月日がマスタと相違／","")&amp;IF(AND($L774&lt;&gt;"",INDEX(職員マスタ!$G$6:$G$405,$AP774)&lt;&gt;"",$L774&lt;&gt;INDEX(職員マスタ!$G$6:$G$405,$AP774)),"時短開始日がマスタと相違／","")&amp;IF(AND($M774&lt;&gt;"",INDEX(職員マスタ!$H$6:$H$405,$AP774)&lt;&gt;"",$M774&lt;&gt;INDEX(職員マスタ!$H$6:$H$405,$AP774)),"時短終了日がマスタと相違／","")))&amp;IF(AND($B774&lt;&gt;"",$E774=""),"報酬額が未入力／","")&amp;IF(N($U774)&gt;0,"申請書に入力エラーが残っています／","")&amp;IF(AND($B774&lt;&gt;"",$AQ774&lt;&gt;""),IF(COUNTIFS($B$6:$B$3005,$B774,$C$6:$C$3005,$C774,$D$6:$D$3005,$D774)&gt;1,"同じ月の請求が重複しています／",""),"")&amp;IF(AND(N($E774)&gt;0,$AB774&lt;&gt;"",$AB774&lt;&gt;"×",$AE774=0,$AD774=""),"計算額が下限以下のため不支給／",""))</f>
        <v/>
      </c>
      <c r="AN774" s="12" t="n"/>
      <c r="AO774" s="14">
        <f>IF($AF774="保留中",COUNTIF($AF$6:$AF774,"保留中"),"")</f>
        <v/>
      </c>
      <c r="AP774" s="14">
        <f>IF($AQ774="","",IF(SUMPRODUCT(MAX((職員マスタ!$A$6:$A$405=$B774)*(((職員マスタ!$G$6:$G$405="")+(職員マスタ!$G$6:$G$405&lt;=EOMONTH($AQ774,0)))&gt;0)*(((職員マスタ!$H$6:$H$405="")+(職員マスタ!$H$6:$H$405&gt;=$AQ774))&gt;0)*(ROW(職員マスタ!$A$6:$A$405)-5)))&gt;0,SUMPRODUCT(MAX((職員マスタ!$A$6:$A$405=$B774)*(((職員マスタ!$G$6:$G$405="")+(職員マスタ!$G$6:$G$405&lt;=EOMONTH($AQ774,0)))&gt;0)*(((職員マスタ!$H$6:$H$405="")+(職員マスタ!$H$6:$H$405&gt;=$AQ774))&gt;0)*(ROW(職員マスタ!$A$6:$A$405)-5))),IFERROR(MATCH($B774,職員マスタ!$A$6:$A$405,0),"")))</f>
        <v/>
      </c>
      <c r="AQ774" s="16">
        <f>IF(OR($B774="",$C774="",$D774=""),"",DATE($C774+2018,$D774,1))</f>
        <v/>
      </c>
    </row>
    <row r="775">
      <c r="A775" s="11" t="n"/>
      <c r="B775" s="12" t="n"/>
      <c r="C775" s="12" t="n"/>
      <c r="D775" s="12" t="n"/>
      <c r="E775" s="13" t="n"/>
      <c r="F775" s="12" t="n"/>
      <c r="G775" s="13" t="n"/>
      <c r="H775" s="12" t="n"/>
      <c r="I775" s="12" t="n"/>
      <c r="J775" s="12" t="n"/>
      <c r="K775" s="12" t="n"/>
      <c r="L775" s="11" t="n"/>
      <c r="M775" s="11" t="n"/>
      <c r="N775" s="11" t="n"/>
      <c r="O775" s="11" t="n"/>
      <c r="P775" s="12" t="n"/>
      <c r="Q775" s="11" t="n"/>
      <c r="R775" s="12" t="n"/>
      <c r="S775" s="11" t="n"/>
      <c r="T775" s="12" t="n"/>
      <c r="U775" s="12" t="n"/>
      <c r="V775" s="12" t="n"/>
      <c r="W775" s="13" t="n"/>
      <c r="X775" s="14">
        <f>IF($AP775="",IF($B775="","",$H775),IF(INDEX(職員マスタ!$B$6:$B$405,$AP775)="",$H775,INDEX(職員マスタ!$B$6:$B$405,$AP775)))</f>
        <v/>
      </c>
      <c r="Y775" s="14">
        <f>IF($AP775="",IF($B775="","",$R775),IF(INDEX(職員マスタ!$C$6:$C$405,$AP775)="",$R775,INDEX(職員マスタ!$C$6:$C$405,$AP775)))</f>
        <v/>
      </c>
      <c r="Z775" s="14">
        <f>IF($AQ775="","","R"&amp;$C775&amp;"."&amp;$D775)</f>
        <v/>
      </c>
      <c r="AA775" s="15">
        <f>IF(IF($AP775="",FALSE,INDEX(職員マスタ!$K$6:$K$405,$AP775)&lt;&gt;""),INDEX(職員マスタ!$K$6:$K$405,$AP775),IF(N($W775)&gt;0,$W775,""))</f>
        <v/>
      </c>
      <c r="AB775" s="14">
        <f>IF(OR($E775="",$AA775=""),"",IF($E775&gt;=$AA775,"×",IF($E775&gt;=$AA775*設定!$C$5,"△","○")))</f>
        <v/>
      </c>
      <c r="AC775" s="15">
        <f>IF($AB775="","",IF($AB775="×",0,IF($AB775="○",ROUNDDOWN($E775*設定!$C$4,0),ROUNDDOWN($E775*ROUND((9*$AA775-9*$E775)/(10*$E775),4),0))))</f>
        <v/>
      </c>
      <c r="AD775" s="13" t="n"/>
      <c r="AE775" s="15">
        <f>IF($B775="","",IF($AD775&lt;&gt;"",$AD775,IF($AC775="","",IF($AC775&lt;=設定!$C$3,0,$AC775))))</f>
        <v/>
      </c>
      <c r="AF775" s="14">
        <f>IF($B775="","",IF(AND($AG775&lt;&gt;"",$AI775="",$AL775=""),"保留中",IF($AL775&lt;&gt;"",IF(N($AE775)&gt;0,"支給済","不支給"),IF($AE775="","要確認",IF($AE775=0,"不支給","未処理")))))</f>
        <v/>
      </c>
      <c r="AG775" s="12" t="n"/>
      <c r="AH775" s="11" t="n"/>
      <c r="AI775" s="11" t="n"/>
      <c r="AJ775" s="11" t="n"/>
      <c r="AK775" s="14">
        <f>IF(AND($AF775="保留中",$AH775&lt;&gt;""),TODAY()-$AH775,"")</f>
        <v/>
      </c>
      <c r="AL775" s="12" t="n"/>
      <c r="AM775" s="14">
        <f>IF($B775="","",IF($AQ775="","対象年月が未入力／","")&amp;IF($B775="","",IF($AP775="","職員マスタに未登録の職員番号／",IF($AA775="","標準報酬月額が未登録／","")&amp;IF(AND($AQ775&lt;&gt;"",OR(AND(INDEX(職員マスタ!$G$6:$G$405,$AP775)&lt;&gt;"",INDEX(職員マスタ!$G$6:$G$405,$AP775)&gt;EOMONTH($AQ775,0)),AND(INDEX(職員マスタ!$H$6:$H$405,$AP775)&lt;&gt;"",INDEX(職員マスタ!$H$6:$H$405,$AP775)&lt;$AQ775))),"対象月が時短期間外／","")&amp;IF(AND(INDEX(職員マスタ!$K$6:$K$405,$AP775)&lt;&gt;"",N($W775)&gt;0,INDEX(職員マスタ!$K$6:$K$405,$AP775)&lt;&gt;$W775),"標準報酬月額が申請書と相違（台帳"&amp;TEXT(INDEX(職員マスタ!$K$6:$K$405,$AP775),"#,##0")&amp;"円／申請書"&amp;TEXT($W775,"#,##0")&amp;"円）／","")&amp;IF(AND(INDEX(職員マスタ!$F$6:$F$405,$AP775)&lt;&gt;"",$AQ775&lt;&gt;"",INDEX(職員マスタ!$F$6:$F$405,$AP775)&lt;$AQ775),"対象月に子が2歳到達済／","")&amp;IF(AND($H775&lt;&gt;"",INDEX(職員マスタ!$B$6:$B$405,$AP775)&lt;&gt;"",SUBSTITUTE(SUBSTITUTE($H775," ","")," ","")&lt;&gt;SUBSTITUTE(SUBSTITUTE(INDEX(職員マスタ!$B$6:$B$405,$AP775)," ","")," ","")),"氏名がマスタと相違／","")&amp;IF(AND($Q775&lt;&gt;"",INDEX(職員マスタ!$E$6:$E$405,$AP775)&lt;&gt;"",$Q775&lt;&gt;INDEX(職員マスタ!$E$6:$E$405,$AP775)),"子の生年月日がマスタと相違／","")&amp;IF(AND($L775&lt;&gt;"",INDEX(職員マスタ!$G$6:$G$405,$AP775)&lt;&gt;"",$L775&lt;&gt;INDEX(職員マスタ!$G$6:$G$405,$AP775)),"時短開始日がマスタと相違／","")&amp;IF(AND($M775&lt;&gt;"",INDEX(職員マスタ!$H$6:$H$405,$AP775)&lt;&gt;"",$M775&lt;&gt;INDEX(職員マスタ!$H$6:$H$405,$AP775)),"時短終了日がマスタと相違／","")))&amp;IF(AND($B775&lt;&gt;"",$E775=""),"報酬額が未入力／","")&amp;IF(N($U775)&gt;0,"申請書に入力エラーが残っています／","")&amp;IF(AND($B775&lt;&gt;"",$AQ775&lt;&gt;""),IF(COUNTIFS($B$6:$B$3005,$B775,$C$6:$C$3005,$C775,$D$6:$D$3005,$D775)&gt;1,"同じ月の請求が重複しています／",""),"")&amp;IF(AND(N($E775)&gt;0,$AB775&lt;&gt;"",$AB775&lt;&gt;"×",$AE775=0,$AD775=""),"計算額が下限以下のため不支給／",""))</f>
        <v/>
      </c>
      <c r="AN775" s="12" t="n"/>
      <c r="AO775" s="14">
        <f>IF($AF775="保留中",COUNTIF($AF$6:$AF775,"保留中"),"")</f>
        <v/>
      </c>
      <c r="AP775" s="14">
        <f>IF($AQ775="","",IF(SUMPRODUCT(MAX((職員マスタ!$A$6:$A$405=$B775)*(((職員マスタ!$G$6:$G$405="")+(職員マスタ!$G$6:$G$405&lt;=EOMONTH($AQ775,0)))&gt;0)*(((職員マスタ!$H$6:$H$405="")+(職員マスタ!$H$6:$H$405&gt;=$AQ775))&gt;0)*(ROW(職員マスタ!$A$6:$A$405)-5)))&gt;0,SUMPRODUCT(MAX((職員マスタ!$A$6:$A$405=$B775)*(((職員マスタ!$G$6:$G$405="")+(職員マスタ!$G$6:$G$405&lt;=EOMONTH($AQ775,0)))&gt;0)*(((職員マスタ!$H$6:$H$405="")+(職員マスタ!$H$6:$H$405&gt;=$AQ775))&gt;0)*(ROW(職員マスタ!$A$6:$A$405)-5))),IFERROR(MATCH($B775,職員マスタ!$A$6:$A$405,0),"")))</f>
        <v/>
      </c>
      <c r="AQ775" s="16">
        <f>IF(OR($B775="",$C775="",$D775=""),"",DATE($C775+2018,$D775,1))</f>
        <v/>
      </c>
    </row>
    <row r="776">
      <c r="A776" s="11" t="n"/>
      <c r="B776" s="12" t="n"/>
      <c r="C776" s="12" t="n"/>
      <c r="D776" s="12" t="n"/>
      <c r="E776" s="13" t="n"/>
      <c r="F776" s="12" t="n"/>
      <c r="G776" s="13" t="n"/>
      <c r="H776" s="12" t="n"/>
      <c r="I776" s="12" t="n"/>
      <c r="J776" s="12" t="n"/>
      <c r="K776" s="12" t="n"/>
      <c r="L776" s="11" t="n"/>
      <c r="M776" s="11" t="n"/>
      <c r="N776" s="11" t="n"/>
      <c r="O776" s="11" t="n"/>
      <c r="P776" s="12" t="n"/>
      <c r="Q776" s="11" t="n"/>
      <c r="R776" s="12" t="n"/>
      <c r="S776" s="11" t="n"/>
      <c r="T776" s="12" t="n"/>
      <c r="U776" s="12" t="n"/>
      <c r="V776" s="12" t="n"/>
      <c r="W776" s="13" t="n"/>
      <c r="X776" s="14">
        <f>IF($AP776="",IF($B776="","",$H776),IF(INDEX(職員マスタ!$B$6:$B$405,$AP776)="",$H776,INDEX(職員マスタ!$B$6:$B$405,$AP776)))</f>
        <v/>
      </c>
      <c r="Y776" s="14">
        <f>IF($AP776="",IF($B776="","",$R776),IF(INDEX(職員マスタ!$C$6:$C$405,$AP776)="",$R776,INDEX(職員マスタ!$C$6:$C$405,$AP776)))</f>
        <v/>
      </c>
      <c r="Z776" s="14">
        <f>IF($AQ776="","","R"&amp;$C776&amp;"."&amp;$D776)</f>
        <v/>
      </c>
      <c r="AA776" s="15">
        <f>IF(IF($AP776="",FALSE,INDEX(職員マスタ!$K$6:$K$405,$AP776)&lt;&gt;""),INDEX(職員マスタ!$K$6:$K$405,$AP776),IF(N($W776)&gt;0,$W776,""))</f>
        <v/>
      </c>
      <c r="AB776" s="14">
        <f>IF(OR($E776="",$AA776=""),"",IF($E776&gt;=$AA776,"×",IF($E776&gt;=$AA776*設定!$C$5,"△","○")))</f>
        <v/>
      </c>
      <c r="AC776" s="15">
        <f>IF($AB776="","",IF($AB776="×",0,IF($AB776="○",ROUNDDOWN($E776*設定!$C$4,0),ROUNDDOWN($E776*ROUND((9*$AA776-9*$E776)/(10*$E776),4),0))))</f>
        <v/>
      </c>
      <c r="AD776" s="13" t="n"/>
      <c r="AE776" s="15">
        <f>IF($B776="","",IF($AD776&lt;&gt;"",$AD776,IF($AC776="","",IF($AC776&lt;=設定!$C$3,0,$AC776))))</f>
        <v/>
      </c>
      <c r="AF776" s="14">
        <f>IF($B776="","",IF(AND($AG776&lt;&gt;"",$AI776="",$AL776=""),"保留中",IF($AL776&lt;&gt;"",IF(N($AE776)&gt;0,"支給済","不支給"),IF($AE776="","要確認",IF($AE776=0,"不支給","未処理")))))</f>
        <v/>
      </c>
      <c r="AG776" s="12" t="n"/>
      <c r="AH776" s="11" t="n"/>
      <c r="AI776" s="11" t="n"/>
      <c r="AJ776" s="11" t="n"/>
      <c r="AK776" s="14">
        <f>IF(AND($AF776="保留中",$AH776&lt;&gt;""),TODAY()-$AH776,"")</f>
        <v/>
      </c>
      <c r="AL776" s="12" t="n"/>
      <c r="AM776" s="14">
        <f>IF($B776="","",IF($AQ776="","対象年月が未入力／","")&amp;IF($B776="","",IF($AP776="","職員マスタに未登録の職員番号／",IF($AA776="","標準報酬月額が未登録／","")&amp;IF(AND($AQ776&lt;&gt;"",OR(AND(INDEX(職員マスタ!$G$6:$G$405,$AP776)&lt;&gt;"",INDEX(職員マスタ!$G$6:$G$405,$AP776)&gt;EOMONTH($AQ776,0)),AND(INDEX(職員マスタ!$H$6:$H$405,$AP776)&lt;&gt;"",INDEX(職員マスタ!$H$6:$H$405,$AP776)&lt;$AQ776))),"対象月が時短期間外／","")&amp;IF(AND(INDEX(職員マスタ!$K$6:$K$405,$AP776)&lt;&gt;"",N($W776)&gt;0,INDEX(職員マスタ!$K$6:$K$405,$AP776)&lt;&gt;$W776),"標準報酬月額が申請書と相違（台帳"&amp;TEXT(INDEX(職員マスタ!$K$6:$K$405,$AP776),"#,##0")&amp;"円／申請書"&amp;TEXT($W776,"#,##0")&amp;"円）／","")&amp;IF(AND(INDEX(職員マスタ!$F$6:$F$405,$AP776)&lt;&gt;"",$AQ776&lt;&gt;"",INDEX(職員マスタ!$F$6:$F$405,$AP776)&lt;$AQ776),"対象月に子が2歳到達済／","")&amp;IF(AND($H776&lt;&gt;"",INDEX(職員マスタ!$B$6:$B$405,$AP776)&lt;&gt;"",SUBSTITUTE(SUBSTITUTE($H776," ","")," ","")&lt;&gt;SUBSTITUTE(SUBSTITUTE(INDEX(職員マスタ!$B$6:$B$405,$AP776)," ","")," ","")),"氏名がマスタと相違／","")&amp;IF(AND($Q776&lt;&gt;"",INDEX(職員マスタ!$E$6:$E$405,$AP776)&lt;&gt;"",$Q776&lt;&gt;INDEX(職員マスタ!$E$6:$E$405,$AP776)),"子の生年月日がマスタと相違／","")&amp;IF(AND($L776&lt;&gt;"",INDEX(職員マスタ!$G$6:$G$405,$AP776)&lt;&gt;"",$L776&lt;&gt;INDEX(職員マスタ!$G$6:$G$405,$AP776)),"時短開始日がマスタと相違／","")&amp;IF(AND($M776&lt;&gt;"",INDEX(職員マスタ!$H$6:$H$405,$AP776)&lt;&gt;"",$M776&lt;&gt;INDEX(職員マスタ!$H$6:$H$405,$AP776)),"時短終了日がマスタと相違／","")))&amp;IF(AND($B776&lt;&gt;"",$E776=""),"報酬額が未入力／","")&amp;IF(N($U776)&gt;0,"申請書に入力エラーが残っています／","")&amp;IF(AND($B776&lt;&gt;"",$AQ776&lt;&gt;""),IF(COUNTIFS($B$6:$B$3005,$B776,$C$6:$C$3005,$C776,$D$6:$D$3005,$D776)&gt;1,"同じ月の請求が重複しています／",""),"")&amp;IF(AND(N($E776)&gt;0,$AB776&lt;&gt;"",$AB776&lt;&gt;"×",$AE776=0,$AD776=""),"計算額が下限以下のため不支給／",""))</f>
        <v/>
      </c>
      <c r="AN776" s="12" t="n"/>
      <c r="AO776" s="14">
        <f>IF($AF776="保留中",COUNTIF($AF$6:$AF776,"保留中"),"")</f>
        <v/>
      </c>
      <c r="AP776" s="14">
        <f>IF($AQ776="","",IF(SUMPRODUCT(MAX((職員マスタ!$A$6:$A$405=$B776)*(((職員マスタ!$G$6:$G$405="")+(職員マスタ!$G$6:$G$405&lt;=EOMONTH($AQ776,0)))&gt;0)*(((職員マスタ!$H$6:$H$405="")+(職員マスタ!$H$6:$H$405&gt;=$AQ776))&gt;0)*(ROW(職員マスタ!$A$6:$A$405)-5)))&gt;0,SUMPRODUCT(MAX((職員マスタ!$A$6:$A$405=$B776)*(((職員マスタ!$G$6:$G$405="")+(職員マスタ!$G$6:$G$405&lt;=EOMONTH($AQ776,0)))&gt;0)*(((職員マスタ!$H$6:$H$405="")+(職員マスタ!$H$6:$H$405&gt;=$AQ776))&gt;0)*(ROW(職員マスタ!$A$6:$A$405)-5))),IFERROR(MATCH($B776,職員マスタ!$A$6:$A$405,0),"")))</f>
        <v/>
      </c>
      <c r="AQ776" s="16">
        <f>IF(OR($B776="",$C776="",$D776=""),"",DATE($C776+2018,$D776,1))</f>
        <v/>
      </c>
    </row>
    <row r="777">
      <c r="A777" s="11" t="n"/>
      <c r="B777" s="12" t="n"/>
      <c r="C777" s="12" t="n"/>
      <c r="D777" s="12" t="n"/>
      <c r="E777" s="13" t="n"/>
      <c r="F777" s="12" t="n"/>
      <c r="G777" s="13" t="n"/>
      <c r="H777" s="12" t="n"/>
      <c r="I777" s="12" t="n"/>
      <c r="J777" s="12" t="n"/>
      <c r="K777" s="12" t="n"/>
      <c r="L777" s="11" t="n"/>
      <c r="M777" s="11" t="n"/>
      <c r="N777" s="11" t="n"/>
      <c r="O777" s="11" t="n"/>
      <c r="P777" s="12" t="n"/>
      <c r="Q777" s="11" t="n"/>
      <c r="R777" s="12" t="n"/>
      <c r="S777" s="11" t="n"/>
      <c r="T777" s="12" t="n"/>
      <c r="U777" s="12" t="n"/>
      <c r="V777" s="12" t="n"/>
      <c r="W777" s="13" t="n"/>
      <c r="X777" s="14">
        <f>IF($AP777="",IF($B777="","",$H777),IF(INDEX(職員マスタ!$B$6:$B$405,$AP777)="",$H777,INDEX(職員マスタ!$B$6:$B$405,$AP777)))</f>
        <v/>
      </c>
      <c r="Y777" s="14">
        <f>IF($AP777="",IF($B777="","",$R777),IF(INDEX(職員マスタ!$C$6:$C$405,$AP777)="",$R777,INDEX(職員マスタ!$C$6:$C$405,$AP777)))</f>
        <v/>
      </c>
      <c r="Z777" s="14">
        <f>IF($AQ777="","","R"&amp;$C777&amp;"."&amp;$D777)</f>
        <v/>
      </c>
      <c r="AA777" s="15">
        <f>IF(IF($AP777="",FALSE,INDEX(職員マスタ!$K$6:$K$405,$AP777)&lt;&gt;""),INDEX(職員マスタ!$K$6:$K$405,$AP777),IF(N($W777)&gt;0,$W777,""))</f>
        <v/>
      </c>
      <c r="AB777" s="14">
        <f>IF(OR($E777="",$AA777=""),"",IF($E777&gt;=$AA777,"×",IF($E777&gt;=$AA777*設定!$C$5,"△","○")))</f>
        <v/>
      </c>
      <c r="AC777" s="15">
        <f>IF($AB777="","",IF($AB777="×",0,IF($AB777="○",ROUNDDOWN($E777*設定!$C$4,0),ROUNDDOWN($E777*ROUND((9*$AA777-9*$E777)/(10*$E777),4),0))))</f>
        <v/>
      </c>
      <c r="AD777" s="13" t="n"/>
      <c r="AE777" s="15">
        <f>IF($B777="","",IF($AD777&lt;&gt;"",$AD777,IF($AC777="","",IF($AC777&lt;=設定!$C$3,0,$AC777))))</f>
        <v/>
      </c>
      <c r="AF777" s="14">
        <f>IF($B777="","",IF(AND($AG777&lt;&gt;"",$AI777="",$AL777=""),"保留中",IF($AL777&lt;&gt;"",IF(N($AE777)&gt;0,"支給済","不支給"),IF($AE777="","要確認",IF($AE777=0,"不支給","未処理")))))</f>
        <v/>
      </c>
      <c r="AG777" s="12" t="n"/>
      <c r="AH777" s="11" t="n"/>
      <c r="AI777" s="11" t="n"/>
      <c r="AJ777" s="11" t="n"/>
      <c r="AK777" s="14">
        <f>IF(AND($AF777="保留中",$AH777&lt;&gt;""),TODAY()-$AH777,"")</f>
        <v/>
      </c>
      <c r="AL777" s="12" t="n"/>
      <c r="AM777" s="14">
        <f>IF($B777="","",IF($AQ777="","対象年月が未入力／","")&amp;IF($B777="","",IF($AP777="","職員マスタに未登録の職員番号／",IF($AA777="","標準報酬月額が未登録／","")&amp;IF(AND($AQ777&lt;&gt;"",OR(AND(INDEX(職員マスタ!$G$6:$G$405,$AP777)&lt;&gt;"",INDEX(職員マスタ!$G$6:$G$405,$AP777)&gt;EOMONTH($AQ777,0)),AND(INDEX(職員マスタ!$H$6:$H$405,$AP777)&lt;&gt;"",INDEX(職員マスタ!$H$6:$H$405,$AP777)&lt;$AQ777))),"対象月が時短期間外／","")&amp;IF(AND(INDEX(職員マスタ!$K$6:$K$405,$AP777)&lt;&gt;"",N($W777)&gt;0,INDEX(職員マスタ!$K$6:$K$405,$AP777)&lt;&gt;$W777),"標準報酬月額が申請書と相違（台帳"&amp;TEXT(INDEX(職員マスタ!$K$6:$K$405,$AP777),"#,##0")&amp;"円／申請書"&amp;TEXT($W777,"#,##0")&amp;"円）／","")&amp;IF(AND(INDEX(職員マスタ!$F$6:$F$405,$AP777)&lt;&gt;"",$AQ777&lt;&gt;"",INDEX(職員マスタ!$F$6:$F$405,$AP777)&lt;$AQ777),"対象月に子が2歳到達済／","")&amp;IF(AND($H777&lt;&gt;"",INDEX(職員マスタ!$B$6:$B$405,$AP777)&lt;&gt;"",SUBSTITUTE(SUBSTITUTE($H777," ","")," ","")&lt;&gt;SUBSTITUTE(SUBSTITUTE(INDEX(職員マスタ!$B$6:$B$405,$AP777)," ","")," ","")),"氏名がマスタと相違／","")&amp;IF(AND($Q777&lt;&gt;"",INDEX(職員マスタ!$E$6:$E$405,$AP777)&lt;&gt;"",$Q777&lt;&gt;INDEX(職員マスタ!$E$6:$E$405,$AP777)),"子の生年月日がマスタと相違／","")&amp;IF(AND($L777&lt;&gt;"",INDEX(職員マスタ!$G$6:$G$405,$AP777)&lt;&gt;"",$L777&lt;&gt;INDEX(職員マスタ!$G$6:$G$405,$AP777)),"時短開始日がマスタと相違／","")&amp;IF(AND($M777&lt;&gt;"",INDEX(職員マスタ!$H$6:$H$405,$AP777)&lt;&gt;"",$M777&lt;&gt;INDEX(職員マスタ!$H$6:$H$405,$AP777)),"時短終了日がマスタと相違／","")))&amp;IF(AND($B777&lt;&gt;"",$E777=""),"報酬額が未入力／","")&amp;IF(N($U777)&gt;0,"申請書に入力エラーが残っています／","")&amp;IF(AND($B777&lt;&gt;"",$AQ777&lt;&gt;""),IF(COUNTIFS($B$6:$B$3005,$B777,$C$6:$C$3005,$C777,$D$6:$D$3005,$D777)&gt;1,"同じ月の請求が重複しています／",""),"")&amp;IF(AND(N($E777)&gt;0,$AB777&lt;&gt;"",$AB777&lt;&gt;"×",$AE777=0,$AD777=""),"計算額が下限以下のため不支給／",""))</f>
        <v/>
      </c>
      <c r="AN777" s="12" t="n"/>
      <c r="AO777" s="14">
        <f>IF($AF777="保留中",COUNTIF($AF$6:$AF777,"保留中"),"")</f>
        <v/>
      </c>
      <c r="AP777" s="14">
        <f>IF($AQ777="","",IF(SUMPRODUCT(MAX((職員マスタ!$A$6:$A$405=$B777)*(((職員マスタ!$G$6:$G$405="")+(職員マスタ!$G$6:$G$405&lt;=EOMONTH($AQ777,0)))&gt;0)*(((職員マスタ!$H$6:$H$405="")+(職員マスタ!$H$6:$H$405&gt;=$AQ777))&gt;0)*(ROW(職員マスタ!$A$6:$A$405)-5)))&gt;0,SUMPRODUCT(MAX((職員マスタ!$A$6:$A$405=$B777)*(((職員マスタ!$G$6:$G$405="")+(職員マスタ!$G$6:$G$405&lt;=EOMONTH($AQ777,0)))&gt;0)*(((職員マスタ!$H$6:$H$405="")+(職員マスタ!$H$6:$H$405&gt;=$AQ777))&gt;0)*(ROW(職員マスタ!$A$6:$A$405)-5))),IFERROR(MATCH($B777,職員マスタ!$A$6:$A$405,0),"")))</f>
        <v/>
      </c>
      <c r="AQ777" s="16">
        <f>IF(OR($B777="",$C777="",$D777=""),"",DATE($C777+2018,$D777,1))</f>
        <v/>
      </c>
    </row>
    <row r="778">
      <c r="A778" s="11" t="n"/>
      <c r="B778" s="12" t="n"/>
      <c r="C778" s="12" t="n"/>
      <c r="D778" s="12" t="n"/>
      <c r="E778" s="13" t="n"/>
      <c r="F778" s="12" t="n"/>
      <c r="G778" s="13" t="n"/>
      <c r="H778" s="12" t="n"/>
      <c r="I778" s="12" t="n"/>
      <c r="J778" s="12" t="n"/>
      <c r="K778" s="12" t="n"/>
      <c r="L778" s="11" t="n"/>
      <c r="M778" s="11" t="n"/>
      <c r="N778" s="11" t="n"/>
      <c r="O778" s="11" t="n"/>
      <c r="P778" s="12" t="n"/>
      <c r="Q778" s="11" t="n"/>
      <c r="R778" s="12" t="n"/>
      <c r="S778" s="11" t="n"/>
      <c r="T778" s="12" t="n"/>
      <c r="U778" s="12" t="n"/>
      <c r="V778" s="12" t="n"/>
      <c r="W778" s="13" t="n"/>
      <c r="X778" s="14">
        <f>IF($AP778="",IF($B778="","",$H778),IF(INDEX(職員マスタ!$B$6:$B$405,$AP778)="",$H778,INDEX(職員マスタ!$B$6:$B$405,$AP778)))</f>
        <v/>
      </c>
      <c r="Y778" s="14">
        <f>IF($AP778="",IF($B778="","",$R778),IF(INDEX(職員マスタ!$C$6:$C$405,$AP778)="",$R778,INDEX(職員マスタ!$C$6:$C$405,$AP778)))</f>
        <v/>
      </c>
      <c r="Z778" s="14">
        <f>IF($AQ778="","","R"&amp;$C778&amp;"."&amp;$D778)</f>
        <v/>
      </c>
      <c r="AA778" s="15">
        <f>IF(IF($AP778="",FALSE,INDEX(職員マスタ!$K$6:$K$405,$AP778)&lt;&gt;""),INDEX(職員マスタ!$K$6:$K$405,$AP778),IF(N($W778)&gt;0,$W778,""))</f>
        <v/>
      </c>
      <c r="AB778" s="14">
        <f>IF(OR($E778="",$AA778=""),"",IF($E778&gt;=$AA778,"×",IF($E778&gt;=$AA778*設定!$C$5,"△","○")))</f>
        <v/>
      </c>
      <c r="AC778" s="15">
        <f>IF($AB778="","",IF($AB778="×",0,IF($AB778="○",ROUNDDOWN($E778*設定!$C$4,0),ROUNDDOWN($E778*ROUND((9*$AA778-9*$E778)/(10*$E778),4),0))))</f>
        <v/>
      </c>
      <c r="AD778" s="13" t="n"/>
      <c r="AE778" s="15">
        <f>IF($B778="","",IF($AD778&lt;&gt;"",$AD778,IF($AC778="","",IF($AC778&lt;=設定!$C$3,0,$AC778))))</f>
        <v/>
      </c>
      <c r="AF778" s="14">
        <f>IF($B778="","",IF(AND($AG778&lt;&gt;"",$AI778="",$AL778=""),"保留中",IF($AL778&lt;&gt;"",IF(N($AE778)&gt;0,"支給済","不支給"),IF($AE778="","要確認",IF($AE778=0,"不支給","未処理")))))</f>
        <v/>
      </c>
      <c r="AG778" s="12" t="n"/>
      <c r="AH778" s="11" t="n"/>
      <c r="AI778" s="11" t="n"/>
      <c r="AJ778" s="11" t="n"/>
      <c r="AK778" s="14">
        <f>IF(AND($AF778="保留中",$AH778&lt;&gt;""),TODAY()-$AH778,"")</f>
        <v/>
      </c>
      <c r="AL778" s="12" t="n"/>
      <c r="AM778" s="14">
        <f>IF($B778="","",IF($AQ778="","対象年月が未入力／","")&amp;IF($B778="","",IF($AP778="","職員マスタに未登録の職員番号／",IF($AA778="","標準報酬月額が未登録／","")&amp;IF(AND($AQ778&lt;&gt;"",OR(AND(INDEX(職員マスタ!$G$6:$G$405,$AP778)&lt;&gt;"",INDEX(職員マスタ!$G$6:$G$405,$AP778)&gt;EOMONTH($AQ778,0)),AND(INDEX(職員マスタ!$H$6:$H$405,$AP778)&lt;&gt;"",INDEX(職員マスタ!$H$6:$H$405,$AP778)&lt;$AQ778))),"対象月が時短期間外／","")&amp;IF(AND(INDEX(職員マスタ!$K$6:$K$405,$AP778)&lt;&gt;"",N($W778)&gt;0,INDEX(職員マスタ!$K$6:$K$405,$AP778)&lt;&gt;$W778),"標準報酬月額が申請書と相違（台帳"&amp;TEXT(INDEX(職員マスタ!$K$6:$K$405,$AP778),"#,##0")&amp;"円／申請書"&amp;TEXT($W778,"#,##0")&amp;"円）／","")&amp;IF(AND(INDEX(職員マスタ!$F$6:$F$405,$AP778)&lt;&gt;"",$AQ778&lt;&gt;"",INDEX(職員マスタ!$F$6:$F$405,$AP778)&lt;$AQ778),"対象月に子が2歳到達済／","")&amp;IF(AND($H778&lt;&gt;"",INDEX(職員マスタ!$B$6:$B$405,$AP778)&lt;&gt;"",SUBSTITUTE(SUBSTITUTE($H778," ","")," ","")&lt;&gt;SUBSTITUTE(SUBSTITUTE(INDEX(職員マスタ!$B$6:$B$405,$AP778)," ","")," ","")),"氏名がマスタと相違／","")&amp;IF(AND($Q778&lt;&gt;"",INDEX(職員マスタ!$E$6:$E$405,$AP778)&lt;&gt;"",$Q778&lt;&gt;INDEX(職員マスタ!$E$6:$E$405,$AP778)),"子の生年月日がマスタと相違／","")&amp;IF(AND($L778&lt;&gt;"",INDEX(職員マスタ!$G$6:$G$405,$AP778)&lt;&gt;"",$L778&lt;&gt;INDEX(職員マスタ!$G$6:$G$405,$AP778)),"時短開始日がマスタと相違／","")&amp;IF(AND($M778&lt;&gt;"",INDEX(職員マスタ!$H$6:$H$405,$AP778)&lt;&gt;"",$M778&lt;&gt;INDEX(職員マスタ!$H$6:$H$405,$AP778)),"時短終了日がマスタと相違／","")))&amp;IF(AND($B778&lt;&gt;"",$E778=""),"報酬額が未入力／","")&amp;IF(N($U778)&gt;0,"申請書に入力エラーが残っています／","")&amp;IF(AND($B778&lt;&gt;"",$AQ778&lt;&gt;""),IF(COUNTIFS($B$6:$B$3005,$B778,$C$6:$C$3005,$C778,$D$6:$D$3005,$D778)&gt;1,"同じ月の請求が重複しています／",""),"")&amp;IF(AND(N($E778)&gt;0,$AB778&lt;&gt;"",$AB778&lt;&gt;"×",$AE778=0,$AD778=""),"計算額が下限以下のため不支給／",""))</f>
        <v/>
      </c>
      <c r="AN778" s="12" t="n"/>
      <c r="AO778" s="14">
        <f>IF($AF778="保留中",COUNTIF($AF$6:$AF778,"保留中"),"")</f>
        <v/>
      </c>
      <c r="AP778" s="14">
        <f>IF($AQ778="","",IF(SUMPRODUCT(MAX((職員マスタ!$A$6:$A$405=$B778)*(((職員マスタ!$G$6:$G$405="")+(職員マスタ!$G$6:$G$405&lt;=EOMONTH($AQ778,0)))&gt;0)*(((職員マスタ!$H$6:$H$405="")+(職員マスタ!$H$6:$H$405&gt;=$AQ778))&gt;0)*(ROW(職員マスタ!$A$6:$A$405)-5)))&gt;0,SUMPRODUCT(MAX((職員マスタ!$A$6:$A$405=$B778)*(((職員マスタ!$G$6:$G$405="")+(職員マスタ!$G$6:$G$405&lt;=EOMONTH($AQ778,0)))&gt;0)*(((職員マスタ!$H$6:$H$405="")+(職員マスタ!$H$6:$H$405&gt;=$AQ778))&gt;0)*(ROW(職員マスタ!$A$6:$A$405)-5))),IFERROR(MATCH($B778,職員マスタ!$A$6:$A$405,0),"")))</f>
        <v/>
      </c>
      <c r="AQ778" s="16">
        <f>IF(OR($B778="",$C778="",$D778=""),"",DATE($C778+2018,$D778,1))</f>
        <v/>
      </c>
    </row>
    <row r="779">
      <c r="A779" s="11" t="n"/>
      <c r="B779" s="12" t="n"/>
      <c r="C779" s="12" t="n"/>
      <c r="D779" s="12" t="n"/>
      <c r="E779" s="13" t="n"/>
      <c r="F779" s="12" t="n"/>
      <c r="G779" s="13" t="n"/>
      <c r="H779" s="12" t="n"/>
      <c r="I779" s="12" t="n"/>
      <c r="J779" s="12" t="n"/>
      <c r="K779" s="12" t="n"/>
      <c r="L779" s="11" t="n"/>
      <c r="M779" s="11" t="n"/>
      <c r="N779" s="11" t="n"/>
      <c r="O779" s="11" t="n"/>
      <c r="P779" s="12" t="n"/>
      <c r="Q779" s="11" t="n"/>
      <c r="R779" s="12" t="n"/>
      <c r="S779" s="11" t="n"/>
      <c r="T779" s="12" t="n"/>
      <c r="U779" s="12" t="n"/>
      <c r="V779" s="12" t="n"/>
      <c r="W779" s="13" t="n"/>
      <c r="X779" s="14">
        <f>IF($AP779="",IF($B779="","",$H779),IF(INDEX(職員マスタ!$B$6:$B$405,$AP779)="",$H779,INDEX(職員マスタ!$B$6:$B$405,$AP779)))</f>
        <v/>
      </c>
      <c r="Y779" s="14">
        <f>IF($AP779="",IF($B779="","",$R779),IF(INDEX(職員マスタ!$C$6:$C$405,$AP779)="",$R779,INDEX(職員マスタ!$C$6:$C$405,$AP779)))</f>
        <v/>
      </c>
      <c r="Z779" s="14">
        <f>IF($AQ779="","","R"&amp;$C779&amp;"."&amp;$D779)</f>
        <v/>
      </c>
      <c r="AA779" s="15">
        <f>IF(IF($AP779="",FALSE,INDEX(職員マスタ!$K$6:$K$405,$AP779)&lt;&gt;""),INDEX(職員マスタ!$K$6:$K$405,$AP779),IF(N($W779)&gt;0,$W779,""))</f>
        <v/>
      </c>
      <c r="AB779" s="14">
        <f>IF(OR($E779="",$AA779=""),"",IF($E779&gt;=$AA779,"×",IF($E779&gt;=$AA779*設定!$C$5,"△","○")))</f>
        <v/>
      </c>
      <c r="AC779" s="15">
        <f>IF($AB779="","",IF($AB779="×",0,IF($AB779="○",ROUNDDOWN($E779*設定!$C$4,0),ROUNDDOWN($E779*ROUND((9*$AA779-9*$E779)/(10*$E779),4),0))))</f>
        <v/>
      </c>
      <c r="AD779" s="13" t="n"/>
      <c r="AE779" s="15">
        <f>IF($B779="","",IF($AD779&lt;&gt;"",$AD779,IF($AC779="","",IF($AC779&lt;=設定!$C$3,0,$AC779))))</f>
        <v/>
      </c>
      <c r="AF779" s="14">
        <f>IF($B779="","",IF(AND($AG779&lt;&gt;"",$AI779="",$AL779=""),"保留中",IF($AL779&lt;&gt;"",IF(N($AE779)&gt;0,"支給済","不支給"),IF($AE779="","要確認",IF($AE779=0,"不支給","未処理")))))</f>
        <v/>
      </c>
      <c r="AG779" s="12" t="n"/>
      <c r="AH779" s="11" t="n"/>
      <c r="AI779" s="11" t="n"/>
      <c r="AJ779" s="11" t="n"/>
      <c r="AK779" s="14">
        <f>IF(AND($AF779="保留中",$AH779&lt;&gt;""),TODAY()-$AH779,"")</f>
        <v/>
      </c>
      <c r="AL779" s="12" t="n"/>
      <c r="AM779" s="14">
        <f>IF($B779="","",IF($AQ779="","対象年月が未入力／","")&amp;IF($B779="","",IF($AP779="","職員マスタに未登録の職員番号／",IF($AA779="","標準報酬月額が未登録／","")&amp;IF(AND($AQ779&lt;&gt;"",OR(AND(INDEX(職員マスタ!$G$6:$G$405,$AP779)&lt;&gt;"",INDEX(職員マスタ!$G$6:$G$405,$AP779)&gt;EOMONTH($AQ779,0)),AND(INDEX(職員マスタ!$H$6:$H$405,$AP779)&lt;&gt;"",INDEX(職員マスタ!$H$6:$H$405,$AP779)&lt;$AQ779))),"対象月が時短期間外／","")&amp;IF(AND(INDEX(職員マスタ!$K$6:$K$405,$AP779)&lt;&gt;"",N($W779)&gt;0,INDEX(職員マスタ!$K$6:$K$405,$AP779)&lt;&gt;$W779),"標準報酬月額が申請書と相違（台帳"&amp;TEXT(INDEX(職員マスタ!$K$6:$K$405,$AP779),"#,##0")&amp;"円／申請書"&amp;TEXT($W779,"#,##0")&amp;"円）／","")&amp;IF(AND(INDEX(職員マスタ!$F$6:$F$405,$AP779)&lt;&gt;"",$AQ779&lt;&gt;"",INDEX(職員マスタ!$F$6:$F$405,$AP779)&lt;$AQ779),"対象月に子が2歳到達済／","")&amp;IF(AND($H779&lt;&gt;"",INDEX(職員マスタ!$B$6:$B$405,$AP779)&lt;&gt;"",SUBSTITUTE(SUBSTITUTE($H779," ","")," ","")&lt;&gt;SUBSTITUTE(SUBSTITUTE(INDEX(職員マスタ!$B$6:$B$405,$AP779)," ","")," ","")),"氏名がマスタと相違／","")&amp;IF(AND($Q779&lt;&gt;"",INDEX(職員マスタ!$E$6:$E$405,$AP779)&lt;&gt;"",$Q779&lt;&gt;INDEX(職員マスタ!$E$6:$E$405,$AP779)),"子の生年月日がマスタと相違／","")&amp;IF(AND($L779&lt;&gt;"",INDEX(職員マスタ!$G$6:$G$405,$AP779)&lt;&gt;"",$L779&lt;&gt;INDEX(職員マスタ!$G$6:$G$405,$AP779)),"時短開始日がマスタと相違／","")&amp;IF(AND($M779&lt;&gt;"",INDEX(職員マスタ!$H$6:$H$405,$AP779)&lt;&gt;"",$M779&lt;&gt;INDEX(職員マスタ!$H$6:$H$405,$AP779)),"時短終了日がマスタと相違／","")))&amp;IF(AND($B779&lt;&gt;"",$E779=""),"報酬額が未入力／","")&amp;IF(N($U779)&gt;0,"申請書に入力エラーが残っています／","")&amp;IF(AND($B779&lt;&gt;"",$AQ779&lt;&gt;""),IF(COUNTIFS($B$6:$B$3005,$B779,$C$6:$C$3005,$C779,$D$6:$D$3005,$D779)&gt;1,"同じ月の請求が重複しています／",""),"")&amp;IF(AND(N($E779)&gt;0,$AB779&lt;&gt;"",$AB779&lt;&gt;"×",$AE779=0,$AD779=""),"計算額が下限以下のため不支給／",""))</f>
        <v/>
      </c>
      <c r="AN779" s="12" t="n"/>
      <c r="AO779" s="14">
        <f>IF($AF779="保留中",COUNTIF($AF$6:$AF779,"保留中"),"")</f>
        <v/>
      </c>
      <c r="AP779" s="14">
        <f>IF($AQ779="","",IF(SUMPRODUCT(MAX((職員マスタ!$A$6:$A$405=$B779)*(((職員マスタ!$G$6:$G$405="")+(職員マスタ!$G$6:$G$405&lt;=EOMONTH($AQ779,0)))&gt;0)*(((職員マスタ!$H$6:$H$405="")+(職員マスタ!$H$6:$H$405&gt;=$AQ779))&gt;0)*(ROW(職員マスタ!$A$6:$A$405)-5)))&gt;0,SUMPRODUCT(MAX((職員マスタ!$A$6:$A$405=$B779)*(((職員マスタ!$G$6:$G$405="")+(職員マスタ!$G$6:$G$405&lt;=EOMONTH($AQ779,0)))&gt;0)*(((職員マスタ!$H$6:$H$405="")+(職員マスタ!$H$6:$H$405&gt;=$AQ779))&gt;0)*(ROW(職員マスタ!$A$6:$A$405)-5))),IFERROR(MATCH($B779,職員マスタ!$A$6:$A$405,0),"")))</f>
        <v/>
      </c>
      <c r="AQ779" s="16">
        <f>IF(OR($B779="",$C779="",$D779=""),"",DATE($C779+2018,$D779,1))</f>
        <v/>
      </c>
    </row>
    <row r="780">
      <c r="A780" s="11" t="n"/>
      <c r="B780" s="12" t="n"/>
      <c r="C780" s="12" t="n"/>
      <c r="D780" s="12" t="n"/>
      <c r="E780" s="13" t="n"/>
      <c r="F780" s="12" t="n"/>
      <c r="G780" s="13" t="n"/>
      <c r="H780" s="12" t="n"/>
      <c r="I780" s="12" t="n"/>
      <c r="J780" s="12" t="n"/>
      <c r="K780" s="12" t="n"/>
      <c r="L780" s="11" t="n"/>
      <c r="M780" s="11" t="n"/>
      <c r="N780" s="11" t="n"/>
      <c r="O780" s="11" t="n"/>
      <c r="P780" s="12" t="n"/>
      <c r="Q780" s="11" t="n"/>
      <c r="R780" s="12" t="n"/>
      <c r="S780" s="11" t="n"/>
      <c r="T780" s="12" t="n"/>
      <c r="U780" s="12" t="n"/>
      <c r="V780" s="12" t="n"/>
      <c r="W780" s="13" t="n"/>
      <c r="X780" s="14">
        <f>IF($AP780="",IF($B780="","",$H780),IF(INDEX(職員マスタ!$B$6:$B$405,$AP780)="",$H780,INDEX(職員マスタ!$B$6:$B$405,$AP780)))</f>
        <v/>
      </c>
      <c r="Y780" s="14">
        <f>IF($AP780="",IF($B780="","",$R780),IF(INDEX(職員マスタ!$C$6:$C$405,$AP780)="",$R780,INDEX(職員マスタ!$C$6:$C$405,$AP780)))</f>
        <v/>
      </c>
      <c r="Z780" s="14">
        <f>IF($AQ780="","","R"&amp;$C780&amp;"."&amp;$D780)</f>
        <v/>
      </c>
      <c r="AA780" s="15">
        <f>IF(IF($AP780="",FALSE,INDEX(職員マスタ!$K$6:$K$405,$AP780)&lt;&gt;""),INDEX(職員マスタ!$K$6:$K$405,$AP780),IF(N($W780)&gt;0,$W780,""))</f>
        <v/>
      </c>
      <c r="AB780" s="14">
        <f>IF(OR($E780="",$AA780=""),"",IF($E780&gt;=$AA780,"×",IF($E780&gt;=$AA780*設定!$C$5,"△","○")))</f>
        <v/>
      </c>
      <c r="AC780" s="15">
        <f>IF($AB780="","",IF($AB780="×",0,IF($AB780="○",ROUNDDOWN($E780*設定!$C$4,0),ROUNDDOWN($E780*ROUND((9*$AA780-9*$E780)/(10*$E780),4),0))))</f>
        <v/>
      </c>
      <c r="AD780" s="13" t="n"/>
      <c r="AE780" s="15">
        <f>IF($B780="","",IF($AD780&lt;&gt;"",$AD780,IF($AC780="","",IF($AC780&lt;=設定!$C$3,0,$AC780))))</f>
        <v/>
      </c>
      <c r="AF780" s="14">
        <f>IF($B780="","",IF(AND($AG780&lt;&gt;"",$AI780="",$AL780=""),"保留中",IF($AL780&lt;&gt;"",IF(N($AE780)&gt;0,"支給済","不支給"),IF($AE780="","要確認",IF($AE780=0,"不支給","未処理")))))</f>
        <v/>
      </c>
      <c r="AG780" s="12" t="n"/>
      <c r="AH780" s="11" t="n"/>
      <c r="AI780" s="11" t="n"/>
      <c r="AJ780" s="11" t="n"/>
      <c r="AK780" s="14">
        <f>IF(AND($AF780="保留中",$AH780&lt;&gt;""),TODAY()-$AH780,"")</f>
        <v/>
      </c>
      <c r="AL780" s="12" t="n"/>
      <c r="AM780" s="14">
        <f>IF($B780="","",IF($AQ780="","対象年月が未入力／","")&amp;IF($B780="","",IF($AP780="","職員マスタに未登録の職員番号／",IF($AA780="","標準報酬月額が未登録／","")&amp;IF(AND($AQ780&lt;&gt;"",OR(AND(INDEX(職員マスタ!$G$6:$G$405,$AP780)&lt;&gt;"",INDEX(職員マスタ!$G$6:$G$405,$AP780)&gt;EOMONTH($AQ780,0)),AND(INDEX(職員マスタ!$H$6:$H$405,$AP780)&lt;&gt;"",INDEX(職員マスタ!$H$6:$H$405,$AP780)&lt;$AQ780))),"対象月が時短期間外／","")&amp;IF(AND(INDEX(職員マスタ!$K$6:$K$405,$AP780)&lt;&gt;"",N($W780)&gt;0,INDEX(職員マスタ!$K$6:$K$405,$AP780)&lt;&gt;$W780),"標準報酬月額が申請書と相違（台帳"&amp;TEXT(INDEX(職員マスタ!$K$6:$K$405,$AP780),"#,##0")&amp;"円／申請書"&amp;TEXT($W780,"#,##0")&amp;"円）／","")&amp;IF(AND(INDEX(職員マスタ!$F$6:$F$405,$AP780)&lt;&gt;"",$AQ780&lt;&gt;"",INDEX(職員マスタ!$F$6:$F$405,$AP780)&lt;$AQ780),"対象月に子が2歳到達済／","")&amp;IF(AND($H780&lt;&gt;"",INDEX(職員マスタ!$B$6:$B$405,$AP780)&lt;&gt;"",SUBSTITUTE(SUBSTITUTE($H780," ","")," ","")&lt;&gt;SUBSTITUTE(SUBSTITUTE(INDEX(職員マスタ!$B$6:$B$405,$AP780)," ","")," ","")),"氏名がマスタと相違／","")&amp;IF(AND($Q780&lt;&gt;"",INDEX(職員マスタ!$E$6:$E$405,$AP780)&lt;&gt;"",$Q780&lt;&gt;INDEX(職員マスタ!$E$6:$E$405,$AP780)),"子の生年月日がマスタと相違／","")&amp;IF(AND($L780&lt;&gt;"",INDEX(職員マスタ!$G$6:$G$405,$AP780)&lt;&gt;"",$L780&lt;&gt;INDEX(職員マスタ!$G$6:$G$405,$AP780)),"時短開始日がマスタと相違／","")&amp;IF(AND($M780&lt;&gt;"",INDEX(職員マスタ!$H$6:$H$405,$AP780)&lt;&gt;"",$M780&lt;&gt;INDEX(職員マスタ!$H$6:$H$405,$AP780)),"時短終了日がマスタと相違／","")))&amp;IF(AND($B780&lt;&gt;"",$E780=""),"報酬額が未入力／","")&amp;IF(N($U780)&gt;0,"申請書に入力エラーが残っています／","")&amp;IF(AND($B780&lt;&gt;"",$AQ780&lt;&gt;""),IF(COUNTIFS($B$6:$B$3005,$B780,$C$6:$C$3005,$C780,$D$6:$D$3005,$D780)&gt;1,"同じ月の請求が重複しています／",""),"")&amp;IF(AND(N($E780)&gt;0,$AB780&lt;&gt;"",$AB780&lt;&gt;"×",$AE780=0,$AD780=""),"計算額が下限以下のため不支給／",""))</f>
        <v/>
      </c>
      <c r="AN780" s="12" t="n"/>
      <c r="AO780" s="14">
        <f>IF($AF780="保留中",COUNTIF($AF$6:$AF780,"保留中"),"")</f>
        <v/>
      </c>
      <c r="AP780" s="14">
        <f>IF($AQ780="","",IF(SUMPRODUCT(MAX((職員マスタ!$A$6:$A$405=$B780)*(((職員マスタ!$G$6:$G$405="")+(職員マスタ!$G$6:$G$405&lt;=EOMONTH($AQ780,0)))&gt;0)*(((職員マスタ!$H$6:$H$405="")+(職員マスタ!$H$6:$H$405&gt;=$AQ780))&gt;0)*(ROW(職員マスタ!$A$6:$A$405)-5)))&gt;0,SUMPRODUCT(MAX((職員マスタ!$A$6:$A$405=$B780)*(((職員マスタ!$G$6:$G$405="")+(職員マスタ!$G$6:$G$405&lt;=EOMONTH($AQ780,0)))&gt;0)*(((職員マスタ!$H$6:$H$405="")+(職員マスタ!$H$6:$H$405&gt;=$AQ780))&gt;0)*(ROW(職員マスタ!$A$6:$A$405)-5))),IFERROR(MATCH($B780,職員マスタ!$A$6:$A$405,0),"")))</f>
        <v/>
      </c>
      <c r="AQ780" s="16">
        <f>IF(OR($B780="",$C780="",$D780=""),"",DATE($C780+2018,$D780,1))</f>
        <v/>
      </c>
    </row>
    <row r="781">
      <c r="A781" s="11" t="n"/>
      <c r="B781" s="12" t="n"/>
      <c r="C781" s="12" t="n"/>
      <c r="D781" s="12" t="n"/>
      <c r="E781" s="13" t="n"/>
      <c r="F781" s="12" t="n"/>
      <c r="G781" s="13" t="n"/>
      <c r="H781" s="12" t="n"/>
      <c r="I781" s="12" t="n"/>
      <c r="J781" s="12" t="n"/>
      <c r="K781" s="12" t="n"/>
      <c r="L781" s="11" t="n"/>
      <c r="M781" s="11" t="n"/>
      <c r="N781" s="11" t="n"/>
      <c r="O781" s="11" t="n"/>
      <c r="P781" s="12" t="n"/>
      <c r="Q781" s="11" t="n"/>
      <c r="R781" s="12" t="n"/>
      <c r="S781" s="11" t="n"/>
      <c r="T781" s="12" t="n"/>
      <c r="U781" s="12" t="n"/>
      <c r="V781" s="12" t="n"/>
      <c r="W781" s="13" t="n"/>
      <c r="X781" s="14">
        <f>IF($AP781="",IF($B781="","",$H781),IF(INDEX(職員マスタ!$B$6:$B$405,$AP781)="",$H781,INDEX(職員マスタ!$B$6:$B$405,$AP781)))</f>
        <v/>
      </c>
      <c r="Y781" s="14">
        <f>IF($AP781="",IF($B781="","",$R781),IF(INDEX(職員マスタ!$C$6:$C$405,$AP781)="",$R781,INDEX(職員マスタ!$C$6:$C$405,$AP781)))</f>
        <v/>
      </c>
      <c r="Z781" s="14">
        <f>IF($AQ781="","","R"&amp;$C781&amp;"."&amp;$D781)</f>
        <v/>
      </c>
      <c r="AA781" s="15">
        <f>IF(IF($AP781="",FALSE,INDEX(職員マスタ!$K$6:$K$405,$AP781)&lt;&gt;""),INDEX(職員マスタ!$K$6:$K$405,$AP781),IF(N($W781)&gt;0,$W781,""))</f>
        <v/>
      </c>
      <c r="AB781" s="14">
        <f>IF(OR($E781="",$AA781=""),"",IF($E781&gt;=$AA781,"×",IF($E781&gt;=$AA781*設定!$C$5,"△","○")))</f>
        <v/>
      </c>
      <c r="AC781" s="15">
        <f>IF($AB781="","",IF($AB781="×",0,IF($AB781="○",ROUNDDOWN($E781*設定!$C$4,0),ROUNDDOWN($E781*ROUND((9*$AA781-9*$E781)/(10*$E781),4),0))))</f>
        <v/>
      </c>
      <c r="AD781" s="13" t="n"/>
      <c r="AE781" s="15">
        <f>IF($B781="","",IF($AD781&lt;&gt;"",$AD781,IF($AC781="","",IF($AC781&lt;=設定!$C$3,0,$AC781))))</f>
        <v/>
      </c>
      <c r="AF781" s="14">
        <f>IF($B781="","",IF(AND($AG781&lt;&gt;"",$AI781="",$AL781=""),"保留中",IF($AL781&lt;&gt;"",IF(N($AE781)&gt;0,"支給済","不支給"),IF($AE781="","要確認",IF($AE781=0,"不支給","未処理")))))</f>
        <v/>
      </c>
      <c r="AG781" s="12" t="n"/>
      <c r="AH781" s="11" t="n"/>
      <c r="AI781" s="11" t="n"/>
      <c r="AJ781" s="11" t="n"/>
      <c r="AK781" s="14">
        <f>IF(AND($AF781="保留中",$AH781&lt;&gt;""),TODAY()-$AH781,"")</f>
        <v/>
      </c>
      <c r="AL781" s="12" t="n"/>
      <c r="AM781" s="14">
        <f>IF($B781="","",IF($AQ781="","対象年月が未入力／","")&amp;IF($B781="","",IF($AP781="","職員マスタに未登録の職員番号／",IF($AA781="","標準報酬月額が未登録／","")&amp;IF(AND($AQ781&lt;&gt;"",OR(AND(INDEX(職員マスタ!$G$6:$G$405,$AP781)&lt;&gt;"",INDEX(職員マスタ!$G$6:$G$405,$AP781)&gt;EOMONTH($AQ781,0)),AND(INDEX(職員マスタ!$H$6:$H$405,$AP781)&lt;&gt;"",INDEX(職員マスタ!$H$6:$H$405,$AP781)&lt;$AQ781))),"対象月が時短期間外／","")&amp;IF(AND(INDEX(職員マスタ!$K$6:$K$405,$AP781)&lt;&gt;"",N($W781)&gt;0,INDEX(職員マスタ!$K$6:$K$405,$AP781)&lt;&gt;$W781),"標準報酬月額が申請書と相違（台帳"&amp;TEXT(INDEX(職員マスタ!$K$6:$K$405,$AP781),"#,##0")&amp;"円／申請書"&amp;TEXT($W781,"#,##0")&amp;"円）／","")&amp;IF(AND(INDEX(職員マスタ!$F$6:$F$405,$AP781)&lt;&gt;"",$AQ781&lt;&gt;"",INDEX(職員マスタ!$F$6:$F$405,$AP781)&lt;$AQ781),"対象月に子が2歳到達済／","")&amp;IF(AND($H781&lt;&gt;"",INDEX(職員マスタ!$B$6:$B$405,$AP781)&lt;&gt;"",SUBSTITUTE(SUBSTITUTE($H781," ","")," ","")&lt;&gt;SUBSTITUTE(SUBSTITUTE(INDEX(職員マスタ!$B$6:$B$405,$AP781)," ","")," ","")),"氏名がマスタと相違／","")&amp;IF(AND($Q781&lt;&gt;"",INDEX(職員マスタ!$E$6:$E$405,$AP781)&lt;&gt;"",$Q781&lt;&gt;INDEX(職員マスタ!$E$6:$E$405,$AP781)),"子の生年月日がマスタと相違／","")&amp;IF(AND($L781&lt;&gt;"",INDEX(職員マスタ!$G$6:$G$405,$AP781)&lt;&gt;"",$L781&lt;&gt;INDEX(職員マスタ!$G$6:$G$405,$AP781)),"時短開始日がマスタと相違／","")&amp;IF(AND($M781&lt;&gt;"",INDEX(職員マスタ!$H$6:$H$405,$AP781)&lt;&gt;"",$M781&lt;&gt;INDEX(職員マスタ!$H$6:$H$405,$AP781)),"時短終了日がマスタと相違／","")))&amp;IF(AND($B781&lt;&gt;"",$E781=""),"報酬額が未入力／","")&amp;IF(N($U781)&gt;0,"申請書に入力エラーが残っています／","")&amp;IF(AND($B781&lt;&gt;"",$AQ781&lt;&gt;""),IF(COUNTIFS($B$6:$B$3005,$B781,$C$6:$C$3005,$C781,$D$6:$D$3005,$D781)&gt;1,"同じ月の請求が重複しています／",""),"")&amp;IF(AND(N($E781)&gt;0,$AB781&lt;&gt;"",$AB781&lt;&gt;"×",$AE781=0,$AD781=""),"計算額が下限以下のため不支給／",""))</f>
        <v/>
      </c>
      <c r="AN781" s="12" t="n"/>
      <c r="AO781" s="14">
        <f>IF($AF781="保留中",COUNTIF($AF$6:$AF781,"保留中"),"")</f>
        <v/>
      </c>
      <c r="AP781" s="14">
        <f>IF($AQ781="","",IF(SUMPRODUCT(MAX((職員マスタ!$A$6:$A$405=$B781)*(((職員マスタ!$G$6:$G$405="")+(職員マスタ!$G$6:$G$405&lt;=EOMONTH($AQ781,0)))&gt;0)*(((職員マスタ!$H$6:$H$405="")+(職員マスタ!$H$6:$H$405&gt;=$AQ781))&gt;0)*(ROW(職員マスタ!$A$6:$A$405)-5)))&gt;0,SUMPRODUCT(MAX((職員マスタ!$A$6:$A$405=$B781)*(((職員マスタ!$G$6:$G$405="")+(職員マスタ!$G$6:$G$405&lt;=EOMONTH($AQ781,0)))&gt;0)*(((職員マスタ!$H$6:$H$405="")+(職員マスタ!$H$6:$H$405&gt;=$AQ781))&gt;0)*(ROW(職員マスタ!$A$6:$A$405)-5))),IFERROR(MATCH($B781,職員マスタ!$A$6:$A$405,0),"")))</f>
        <v/>
      </c>
      <c r="AQ781" s="16">
        <f>IF(OR($B781="",$C781="",$D781=""),"",DATE($C781+2018,$D781,1))</f>
        <v/>
      </c>
    </row>
    <row r="782">
      <c r="A782" s="11" t="n"/>
      <c r="B782" s="12" t="n"/>
      <c r="C782" s="12" t="n"/>
      <c r="D782" s="12" t="n"/>
      <c r="E782" s="13" t="n"/>
      <c r="F782" s="12" t="n"/>
      <c r="G782" s="13" t="n"/>
      <c r="H782" s="12" t="n"/>
      <c r="I782" s="12" t="n"/>
      <c r="J782" s="12" t="n"/>
      <c r="K782" s="12" t="n"/>
      <c r="L782" s="11" t="n"/>
      <c r="M782" s="11" t="n"/>
      <c r="N782" s="11" t="n"/>
      <c r="O782" s="11" t="n"/>
      <c r="P782" s="12" t="n"/>
      <c r="Q782" s="11" t="n"/>
      <c r="R782" s="12" t="n"/>
      <c r="S782" s="11" t="n"/>
      <c r="T782" s="12" t="n"/>
      <c r="U782" s="12" t="n"/>
      <c r="V782" s="12" t="n"/>
      <c r="W782" s="13" t="n"/>
      <c r="X782" s="14">
        <f>IF($AP782="",IF($B782="","",$H782),IF(INDEX(職員マスタ!$B$6:$B$405,$AP782)="",$H782,INDEX(職員マスタ!$B$6:$B$405,$AP782)))</f>
        <v/>
      </c>
      <c r="Y782" s="14">
        <f>IF($AP782="",IF($B782="","",$R782),IF(INDEX(職員マスタ!$C$6:$C$405,$AP782)="",$R782,INDEX(職員マスタ!$C$6:$C$405,$AP782)))</f>
        <v/>
      </c>
      <c r="Z782" s="14">
        <f>IF($AQ782="","","R"&amp;$C782&amp;"."&amp;$D782)</f>
        <v/>
      </c>
      <c r="AA782" s="15">
        <f>IF(IF($AP782="",FALSE,INDEX(職員マスタ!$K$6:$K$405,$AP782)&lt;&gt;""),INDEX(職員マスタ!$K$6:$K$405,$AP782),IF(N($W782)&gt;0,$W782,""))</f>
        <v/>
      </c>
      <c r="AB782" s="14">
        <f>IF(OR($E782="",$AA782=""),"",IF($E782&gt;=$AA782,"×",IF($E782&gt;=$AA782*設定!$C$5,"△","○")))</f>
        <v/>
      </c>
      <c r="AC782" s="15">
        <f>IF($AB782="","",IF($AB782="×",0,IF($AB782="○",ROUNDDOWN($E782*設定!$C$4,0),ROUNDDOWN($E782*ROUND((9*$AA782-9*$E782)/(10*$E782),4),0))))</f>
        <v/>
      </c>
      <c r="AD782" s="13" t="n"/>
      <c r="AE782" s="15">
        <f>IF($B782="","",IF($AD782&lt;&gt;"",$AD782,IF($AC782="","",IF($AC782&lt;=設定!$C$3,0,$AC782))))</f>
        <v/>
      </c>
      <c r="AF782" s="14">
        <f>IF($B782="","",IF(AND($AG782&lt;&gt;"",$AI782="",$AL782=""),"保留中",IF($AL782&lt;&gt;"",IF(N($AE782)&gt;0,"支給済","不支給"),IF($AE782="","要確認",IF($AE782=0,"不支給","未処理")))))</f>
        <v/>
      </c>
      <c r="AG782" s="12" t="n"/>
      <c r="AH782" s="11" t="n"/>
      <c r="AI782" s="11" t="n"/>
      <c r="AJ782" s="11" t="n"/>
      <c r="AK782" s="14">
        <f>IF(AND($AF782="保留中",$AH782&lt;&gt;""),TODAY()-$AH782,"")</f>
        <v/>
      </c>
      <c r="AL782" s="12" t="n"/>
      <c r="AM782" s="14">
        <f>IF($B782="","",IF($AQ782="","対象年月が未入力／","")&amp;IF($B782="","",IF($AP782="","職員マスタに未登録の職員番号／",IF($AA782="","標準報酬月額が未登録／","")&amp;IF(AND($AQ782&lt;&gt;"",OR(AND(INDEX(職員マスタ!$G$6:$G$405,$AP782)&lt;&gt;"",INDEX(職員マスタ!$G$6:$G$405,$AP782)&gt;EOMONTH($AQ782,0)),AND(INDEX(職員マスタ!$H$6:$H$405,$AP782)&lt;&gt;"",INDEX(職員マスタ!$H$6:$H$405,$AP782)&lt;$AQ782))),"対象月が時短期間外／","")&amp;IF(AND(INDEX(職員マスタ!$K$6:$K$405,$AP782)&lt;&gt;"",N($W782)&gt;0,INDEX(職員マスタ!$K$6:$K$405,$AP782)&lt;&gt;$W782),"標準報酬月額が申請書と相違（台帳"&amp;TEXT(INDEX(職員マスタ!$K$6:$K$405,$AP782),"#,##0")&amp;"円／申請書"&amp;TEXT($W782,"#,##0")&amp;"円）／","")&amp;IF(AND(INDEX(職員マスタ!$F$6:$F$405,$AP782)&lt;&gt;"",$AQ782&lt;&gt;"",INDEX(職員マスタ!$F$6:$F$405,$AP782)&lt;$AQ782),"対象月に子が2歳到達済／","")&amp;IF(AND($H782&lt;&gt;"",INDEX(職員マスタ!$B$6:$B$405,$AP782)&lt;&gt;"",SUBSTITUTE(SUBSTITUTE($H782," ","")," ","")&lt;&gt;SUBSTITUTE(SUBSTITUTE(INDEX(職員マスタ!$B$6:$B$405,$AP782)," ","")," ","")),"氏名がマスタと相違／","")&amp;IF(AND($Q782&lt;&gt;"",INDEX(職員マスタ!$E$6:$E$405,$AP782)&lt;&gt;"",$Q782&lt;&gt;INDEX(職員マスタ!$E$6:$E$405,$AP782)),"子の生年月日がマスタと相違／","")&amp;IF(AND($L782&lt;&gt;"",INDEX(職員マスタ!$G$6:$G$405,$AP782)&lt;&gt;"",$L782&lt;&gt;INDEX(職員マスタ!$G$6:$G$405,$AP782)),"時短開始日がマスタと相違／","")&amp;IF(AND($M782&lt;&gt;"",INDEX(職員マスタ!$H$6:$H$405,$AP782)&lt;&gt;"",$M782&lt;&gt;INDEX(職員マスタ!$H$6:$H$405,$AP782)),"時短終了日がマスタと相違／","")))&amp;IF(AND($B782&lt;&gt;"",$E782=""),"報酬額が未入力／","")&amp;IF(N($U782)&gt;0,"申請書に入力エラーが残っています／","")&amp;IF(AND($B782&lt;&gt;"",$AQ782&lt;&gt;""),IF(COUNTIFS($B$6:$B$3005,$B782,$C$6:$C$3005,$C782,$D$6:$D$3005,$D782)&gt;1,"同じ月の請求が重複しています／",""),"")&amp;IF(AND(N($E782)&gt;0,$AB782&lt;&gt;"",$AB782&lt;&gt;"×",$AE782=0,$AD782=""),"計算額が下限以下のため不支給／",""))</f>
        <v/>
      </c>
      <c r="AN782" s="12" t="n"/>
      <c r="AO782" s="14">
        <f>IF($AF782="保留中",COUNTIF($AF$6:$AF782,"保留中"),"")</f>
        <v/>
      </c>
      <c r="AP782" s="14">
        <f>IF($AQ782="","",IF(SUMPRODUCT(MAX((職員マスタ!$A$6:$A$405=$B782)*(((職員マスタ!$G$6:$G$405="")+(職員マスタ!$G$6:$G$405&lt;=EOMONTH($AQ782,0)))&gt;0)*(((職員マスタ!$H$6:$H$405="")+(職員マスタ!$H$6:$H$405&gt;=$AQ782))&gt;0)*(ROW(職員マスタ!$A$6:$A$405)-5)))&gt;0,SUMPRODUCT(MAX((職員マスタ!$A$6:$A$405=$B782)*(((職員マスタ!$G$6:$G$405="")+(職員マスタ!$G$6:$G$405&lt;=EOMONTH($AQ782,0)))&gt;0)*(((職員マスタ!$H$6:$H$405="")+(職員マスタ!$H$6:$H$405&gt;=$AQ782))&gt;0)*(ROW(職員マスタ!$A$6:$A$405)-5))),IFERROR(MATCH($B782,職員マスタ!$A$6:$A$405,0),"")))</f>
        <v/>
      </c>
      <c r="AQ782" s="16">
        <f>IF(OR($B782="",$C782="",$D782=""),"",DATE($C782+2018,$D782,1))</f>
        <v/>
      </c>
    </row>
    <row r="783">
      <c r="A783" s="11" t="n"/>
      <c r="B783" s="12" t="n"/>
      <c r="C783" s="12" t="n"/>
      <c r="D783" s="12" t="n"/>
      <c r="E783" s="13" t="n"/>
      <c r="F783" s="12" t="n"/>
      <c r="G783" s="13" t="n"/>
      <c r="H783" s="12" t="n"/>
      <c r="I783" s="12" t="n"/>
      <c r="J783" s="12" t="n"/>
      <c r="K783" s="12" t="n"/>
      <c r="L783" s="11" t="n"/>
      <c r="M783" s="11" t="n"/>
      <c r="N783" s="11" t="n"/>
      <c r="O783" s="11" t="n"/>
      <c r="P783" s="12" t="n"/>
      <c r="Q783" s="11" t="n"/>
      <c r="R783" s="12" t="n"/>
      <c r="S783" s="11" t="n"/>
      <c r="T783" s="12" t="n"/>
      <c r="U783" s="12" t="n"/>
      <c r="V783" s="12" t="n"/>
      <c r="W783" s="13" t="n"/>
      <c r="X783" s="14">
        <f>IF($AP783="",IF($B783="","",$H783),IF(INDEX(職員マスタ!$B$6:$B$405,$AP783)="",$H783,INDEX(職員マスタ!$B$6:$B$405,$AP783)))</f>
        <v/>
      </c>
      <c r="Y783" s="14">
        <f>IF($AP783="",IF($B783="","",$R783),IF(INDEX(職員マスタ!$C$6:$C$405,$AP783)="",$R783,INDEX(職員マスタ!$C$6:$C$405,$AP783)))</f>
        <v/>
      </c>
      <c r="Z783" s="14">
        <f>IF($AQ783="","","R"&amp;$C783&amp;"."&amp;$D783)</f>
        <v/>
      </c>
      <c r="AA783" s="15">
        <f>IF(IF($AP783="",FALSE,INDEX(職員マスタ!$K$6:$K$405,$AP783)&lt;&gt;""),INDEX(職員マスタ!$K$6:$K$405,$AP783),IF(N($W783)&gt;0,$W783,""))</f>
        <v/>
      </c>
      <c r="AB783" s="14">
        <f>IF(OR($E783="",$AA783=""),"",IF($E783&gt;=$AA783,"×",IF($E783&gt;=$AA783*設定!$C$5,"△","○")))</f>
        <v/>
      </c>
      <c r="AC783" s="15">
        <f>IF($AB783="","",IF($AB783="×",0,IF($AB783="○",ROUNDDOWN($E783*設定!$C$4,0),ROUNDDOWN($E783*ROUND((9*$AA783-9*$E783)/(10*$E783),4),0))))</f>
        <v/>
      </c>
      <c r="AD783" s="13" t="n"/>
      <c r="AE783" s="15">
        <f>IF($B783="","",IF($AD783&lt;&gt;"",$AD783,IF($AC783="","",IF($AC783&lt;=設定!$C$3,0,$AC783))))</f>
        <v/>
      </c>
      <c r="AF783" s="14">
        <f>IF($B783="","",IF(AND($AG783&lt;&gt;"",$AI783="",$AL783=""),"保留中",IF($AL783&lt;&gt;"",IF(N($AE783)&gt;0,"支給済","不支給"),IF($AE783="","要確認",IF($AE783=0,"不支給","未処理")))))</f>
        <v/>
      </c>
      <c r="AG783" s="12" t="n"/>
      <c r="AH783" s="11" t="n"/>
      <c r="AI783" s="11" t="n"/>
      <c r="AJ783" s="11" t="n"/>
      <c r="AK783" s="14">
        <f>IF(AND($AF783="保留中",$AH783&lt;&gt;""),TODAY()-$AH783,"")</f>
        <v/>
      </c>
      <c r="AL783" s="12" t="n"/>
      <c r="AM783" s="14">
        <f>IF($B783="","",IF($AQ783="","対象年月が未入力／","")&amp;IF($B783="","",IF($AP783="","職員マスタに未登録の職員番号／",IF($AA783="","標準報酬月額が未登録／","")&amp;IF(AND($AQ783&lt;&gt;"",OR(AND(INDEX(職員マスタ!$G$6:$G$405,$AP783)&lt;&gt;"",INDEX(職員マスタ!$G$6:$G$405,$AP783)&gt;EOMONTH($AQ783,0)),AND(INDEX(職員マスタ!$H$6:$H$405,$AP783)&lt;&gt;"",INDEX(職員マスタ!$H$6:$H$405,$AP783)&lt;$AQ783))),"対象月が時短期間外／","")&amp;IF(AND(INDEX(職員マスタ!$K$6:$K$405,$AP783)&lt;&gt;"",N($W783)&gt;0,INDEX(職員マスタ!$K$6:$K$405,$AP783)&lt;&gt;$W783),"標準報酬月額が申請書と相違（台帳"&amp;TEXT(INDEX(職員マスタ!$K$6:$K$405,$AP783),"#,##0")&amp;"円／申請書"&amp;TEXT($W783,"#,##0")&amp;"円）／","")&amp;IF(AND(INDEX(職員マスタ!$F$6:$F$405,$AP783)&lt;&gt;"",$AQ783&lt;&gt;"",INDEX(職員マスタ!$F$6:$F$405,$AP783)&lt;$AQ783),"対象月に子が2歳到達済／","")&amp;IF(AND($H783&lt;&gt;"",INDEX(職員マスタ!$B$6:$B$405,$AP783)&lt;&gt;"",SUBSTITUTE(SUBSTITUTE($H783," ","")," ","")&lt;&gt;SUBSTITUTE(SUBSTITUTE(INDEX(職員マスタ!$B$6:$B$405,$AP783)," ","")," ","")),"氏名がマスタと相違／","")&amp;IF(AND($Q783&lt;&gt;"",INDEX(職員マスタ!$E$6:$E$405,$AP783)&lt;&gt;"",$Q783&lt;&gt;INDEX(職員マスタ!$E$6:$E$405,$AP783)),"子の生年月日がマスタと相違／","")&amp;IF(AND($L783&lt;&gt;"",INDEX(職員マスタ!$G$6:$G$405,$AP783)&lt;&gt;"",$L783&lt;&gt;INDEX(職員マスタ!$G$6:$G$405,$AP783)),"時短開始日がマスタと相違／","")&amp;IF(AND($M783&lt;&gt;"",INDEX(職員マスタ!$H$6:$H$405,$AP783)&lt;&gt;"",$M783&lt;&gt;INDEX(職員マスタ!$H$6:$H$405,$AP783)),"時短終了日がマスタと相違／","")))&amp;IF(AND($B783&lt;&gt;"",$E783=""),"報酬額が未入力／","")&amp;IF(N($U783)&gt;0,"申請書に入力エラーが残っています／","")&amp;IF(AND($B783&lt;&gt;"",$AQ783&lt;&gt;""),IF(COUNTIFS($B$6:$B$3005,$B783,$C$6:$C$3005,$C783,$D$6:$D$3005,$D783)&gt;1,"同じ月の請求が重複しています／",""),"")&amp;IF(AND(N($E783)&gt;0,$AB783&lt;&gt;"",$AB783&lt;&gt;"×",$AE783=0,$AD783=""),"計算額が下限以下のため不支給／",""))</f>
        <v/>
      </c>
      <c r="AN783" s="12" t="n"/>
      <c r="AO783" s="14">
        <f>IF($AF783="保留中",COUNTIF($AF$6:$AF783,"保留中"),"")</f>
        <v/>
      </c>
      <c r="AP783" s="14">
        <f>IF($AQ783="","",IF(SUMPRODUCT(MAX((職員マスタ!$A$6:$A$405=$B783)*(((職員マスタ!$G$6:$G$405="")+(職員マスタ!$G$6:$G$405&lt;=EOMONTH($AQ783,0)))&gt;0)*(((職員マスタ!$H$6:$H$405="")+(職員マスタ!$H$6:$H$405&gt;=$AQ783))&gt;0)*(ROW(職員マスタ!$A$6:$A$405)-5)))&gt;0,SUMPRODUCT(MAX((職員マスタ!$A$6:$A$405=$B783)*(((職員マスタ!$G$6:$G$405="")+(職員マスタ!$G$6:$G$405&lt;=EOMONTH($AQ783,0)))&gt;0)*(((職員マスタ!$H$6:$H$405="")+(職員マスタ!$H$6:$H$405&gt;=$AQ783))&gt;0)*(ROW(職員マスタ!$A$6:$A$405)-5))),IFERROR(MATCH($B783,職員マスタ!$A$6:$A$405,0),"")))</f>
        <v/>
      </c>
      <c r="AQ783" s="16">
        <f>IF(OR($B783="",$C783="",$D783=""),"",DATE($C783+2018,$D783,1))</f>
        <v/>
      </c>
    </row>
    <row r="784">
      <c r="A784" s="11" t="n"/>
      <c r="B784" s="12" t="n"/>
      <c r="C784" s="12" t="n"/>
      <c r="D784" s="12" t="n"/>
      <c r="E784" s="13" t="n"/>
      <c r="F784" s="12" t="n"/>
      <c r="G784" s="13" t="n"/>
      <c r="H784" s="12" t="n"/>
      <c r="I784" s="12" t="n"/>
      <c r="J784" s="12" t="n"/>
      <c r="K784" s="12" t="n"/>
      <c r="L784" s="11" t="n"/>
      <c r="M784" s="11" t="n"/>
      <c r="N784" s="11" t="n"/>
      <c r="O784" s="11" t="n"/>
      <c r="P784" s="12" t="n"/>
      <c r="Q784" s="11" t="n"/>
      <c r="R784" s="12" t="n"/>
      <c r="S784" s="11" t="n"/>
      <c r="T784" s="12" t="n"/>
      <c r="U784" s="12" t="n"/>
      <c r="V784" s="12" t="n"/>
      <c r="W784" s="13" t="n"/>
      <c r="X784" s="14">
        <f>IF($AP784="",IF($B784="","",$H784),IF(INDEX(職員マスタ!$B$6:$B$405,$AP784)="",$H784,INDEX(職員マスタ!$B$6:$B$405,$AP784)))</f>
        <v/>
      </c>
      <c r="Y784" s="14">
        <f>IF($AP784="",IF($B784="","",$R784),IF(INDEX(職員マスタ!$C$6:$C$405,$AP784)="",$R784,INDEX(職員マスタ!$C$6:$C$405,$AP784)))</f>
        <v/>
      </c>
      <c r="Z784" s="14">
        <f>IF($AQ784="","","R"&amp;$C784&amp;"."&amp;$D784)</f>
        <v/>
      </c>
      <c r="AA784" s="15">
        <f>IF(IF($AP784="",FALSE,INDEX(職員マスタ!$K$6:$K$405,$AP784)&lt;&gt;""),INDEX(職員マスタ!$K$6:$K$405,$AP784),IF(N($W784)&gt;0,$W784,""))</f>
        <v/>
      </c>
      <c r="AB784" s="14">
        <f>IF(OR($E784="",$AA784=""),"",IF($E784&gt;=$AA784,"×",IF($E784&gt;=$AA784*設定!$C$5,"△","○")))</f>
        <v/>
      </c>
      <c r="AC784" s="15">
        <f>IF($AB784="","",IF($AB784="×",0,IF($AB784="○",ROUNDDOWN($E784*設定!$C$4,0),ROUNDDOWN($E784*ROUND((9*$AA784-9*$E784)/(10*$E784),4),0))))</f>
        <v/>
      </c>
      <c r="AD784" s="13" t="n"/>
      <c r="AE784" s="15">
        <f>IF($B784="","",IF($AD784&lt;&gt;"",$AD784,IF($AC784="","",IF($AC784&lt;=設定!$C$3,0,$AC784))))</f>
        <v/>
      </c>
      <c r="AF784" s="14">
        <f>IF($B784="","",IF(AND($AG784&lt;&gt;"",$AI784="",$AL784=""),"保留中",IF($AL784&lt;&gt;"",IF(N($AE784)&gt;0,"支給済","不支給"),IF($AE784="","要確認",IF($AE784=0,"不支給","未処理")))))</f>
        <v/>
      </c>
      <c r="AG784" s="12" t="n"/>
      <c r="AH784" s="11" t="n"/>
      <c r="AI784" s="11" t="n"/>
      <c r="AJ784" s="11" t="n"/>
      <c r="AK784" s="14">
        <f>IF(AND($AF784="保留中",$AH784&lt;&gt;""),TODAY()-$AH784,"")</f>
        <v/>
      </c>
      <c r="AL784" s="12" t="n"/>
      <c r="AM784" s="14">
        <f>IF($B784="","",IF($AQ784="","対象年月が未入力／","")&amp;IF($B784="","",IF($AP784="","職員マスタに未登録の職員番号／",IF($AA784="","標準報酬月額が未登録／","")&amp;IF(AND($AQ784&lt;&gt;"",OR(AND(INDEX(職員マスタ!$G$6:$G$405,$AP784)&lt;&gt;"",INDEX(職員マスタ!$G$6:$G$405,$AP784)&gt;EOMONTH($AQ784,0)),AND(INDEX(職員マスタ!$H$6:$H$405,$AP784)&lt;&gt;"",INDEX(職員マスタ!$H$6:$H$405,$AP784)&lt;$AQ784))),"対象月が時短期間外／","")&amp;IF(AND(INDEX(職員マスタ!$K$6:$K$405,$AP784)&lt;&gt;"",N($W784)&gt;0,INDEX(職員マスタ!$K$6:$K$405,$AP784)&lt;&gt;$W784),"標準報酬月額が申請書と相違（台帳"&amp;TEXT(INDEX(職員マスタ!$K$6:$K$405,$AP784),"#,##0")&amp;"円／申請書"&amp;TEXT($W784,"#,##0")&amp;"円）／","")&amp;IF(AND(INDEX(職員マスタ!$F$6:$F$405,$AP784)&lt;&gt;"",$AQ784&lt;&gt;"",INDEX(職員マスタ!$F$6:$F$405,$AP784)&lt;$AQ784),"対象月に子が2歳到達済／","")&amp;IF(AND($H784&lt;&gt;"",INDEX(職員マスタ!$B$6:$B$405,$AP784)&lt;&gt;"",SUBSTITUTE(SUBSTITUTE($H784," ","")," ","")&lt;&gt;SUBSTITUTE(SUBSTITUTE(INDEX(職員マスタ!$B$6:$B$405,$AP784)," ","")," ","")),"氏名がマスタと相違／","")&amp;IF(AND($Q784&lt;&gt;"",INDEX(職員マスタ!$E$6:$E$405,$AP784)&lt;&gt;"",$Q784&lt;&gt;INDEX(職員マスタ!$E$6:$E$405,$AP784)),"子の生年月日がマスタと相違／","")&amp;IF(AND($L784&lt;&gt;"",INDEX(職員マスタ!$G$6:$G$405,$AP784)&lt;&gt;"",$L784&lt;&gt;INDEX(職員マスタ!$G$6:$G$405,$AP784)),"時短開始日がマスタと相違／","")&amp;IF(AND($M784&lt;&gt;"",INDEX(職員マスタ!$H$6:$H$405,$AP784)&lt;&gt;"",$M784&lt;&gt;INDEX(職員マスタ!$H$6:$H$405,$AP784)),"時短終了日がマスタと相違／","")))&amp;IF(AND($B784&lt;&gt;"",$E784=""),"報酬額が未入力／","")&amp;IF(N($U784)&gt;0,"申請書に入力エラーが残っています／","")&amp;IF(AND($B784&lt;&gt;"",$AQ784&lt;&gt;""),IF(COUNTIFS($B$6:$B$3005,$B784,$C$6:$C$3005,$C784,$D$6:$D$3005,$D784)&gt;1,"同じ月の請求が重複しています／",""),"")&amp;IF(AND(N($E784)&gt;0,$AB784&lt;&gt;"",$AB784&lt;&gt;"×",$AE784=0,$AD784=""),"計算額が下限以下のため不支給／",""))</f>
        <v/>
      </c>
      <c r="AN784" s="12" t="n"/>
      <c r="AO784" s="14">
        <f>IF($AF784="保留中",COUNTIF($AF$6:$AF784,"保留中"),"")</f>
        <v/>
      </c>
      <c r="AP784" s="14">
        <f>IF($AQ784="","",IF(SUMPRODUCT(MAX((職員マスタ!$A$6:$A$405=$B784)*(((職員マスタ!$G$6:$G$405="")+(職員マスタ!$G$6:$G$405&lt;=EOMONTH($AQ784,0)))&gt;0)*(((職員マスタ!$H$6:$H$405="")+(職員マスタ!$H$6:$H$405&gt;=$AQ784))&gt;0)*(ROW(職員マスタ!$A$6:$A$405)-5)))&gt;0,SUMPRODUCT(MAX((職員マスタ!$A$6:$A$405=$B784)*(((職員マスタ!$G$6:$G$405="")+(職員マスタ!$G$6:$G$405&lt;=EOMONTH($AQ784,0)))&gt;0)*(((職員マスタ!$H$6:$H$405="")+(職員マスタ!$H$6:$H$405&gt;=$AQ784))&gt;0)*(ROW(職員マスタ!$A$6:$A$405)-5))),IFERROR(MATCH($B784,職員マスタ!$A$6:$A$405,0),"")))</f>
        <v/>
      </c>
      <c r="AQ784" s="16">
        <f>IF(OR($B784="",$C784="",$D784=""),"",DATE($C784+2018,$D784,1))</f>
        <v/>
      </c>
    </row>
    <row r="785">
      <c r="A785" s="11" t="n"/>
      <c r="B785" s="12" t="n"/>
      <c r="C785" s="12" t="n"/>
      <c r="D785" s="12" t="n"/>
      <c r="E785" s="13" t="n"/>
      <c r="F785" s="12" t="n"/>
      <c r="G785" s="13" t="n"/>
      <c r="H785" s="12" t="n"/>
      <c r="I785" s="12" t="n"/>
      <c r="J785" s="12" t="n"/>
      <c r="K785" s="12" t="n"/>
      <c r="L785" s="11" t="n"/>
      <c r="M785" s="11" t="n"/>
      <c r="N785" s="11" t="n"/>
      <c r="O785" s="11" t="n"/>
      <c r="P785" s="12" t="n"/>
      <c r="Q785" s="11" t="n"/>
      <c r="R785" s="12" t="n"/>
      <c r="S785" s="11" t="n"/>
      <c r="T785" s="12" t="n"/>
      <c r="U785" s="12" t="n"/>
      <c r="V785" s="12" t="n"/>
      <c r="W785" s="13" t="n"/>
      <c r="X785" s="14">
        <f>IF($AP785="",IF($B785="","",$H785),IF(INDEX(職員マスタ!$B$6:$B$405,$AP785)="",$H785,INDEX(職員マスタ!$B$6:$B$405,$AP785)))</f>
        <v/>
      </c>
      <c r="Y785" s="14">
        <f>IF($AP785="",IF($B785="","",$R785),IF(INDEX(職員マスタ!$C$6:$C$405,$AP785)="",$R785,INDEX(職員マスタ!$C$6:$C$405,$AP785)))</f>
        <v/>
      </c>
      <c r="Z785" s="14">
        <f>IF($AQ785="","","R"&amp;$C785&amp;"."&amp;$D785)</f>
        <v/>
      </c>
      <c r="AA785" s="15">
        <f>IF(IF($AP785="",FALSE,INDEX(職員マスタ!$K$6:$K$405,$AP785)&lt;&gt;""),INDEX(職員マスタ!$K$6:$K$405,$AP785),IF(N($W785)&gt;0,$W785,""))</f>
        <v/>
      </c>
      <c r="AB785" s="14">
        <f>IF(OR($E785="",$AA785=""),"",IF($E785&gt;=$AA785,"×",IF($E785&gt;=$AA785*設定!$C$5,"△","○")))</f>
        <v/>
      </c>
      <c r="AC785" s="15">
        <f>IF($AB785="","",IF($AB785="×",0,IF($AB785="○",ROUNDDOWN($E785*設定!$C$4,0),ROUNDDOWN($E785*ROUND((9*$AA785-9*$E785)/(10*$E785),4),0))))</f>
        <v/>
      </c>
      <c r="AD785" s="13" t="n"/>
      <c r="AE785" s="15">
        <f>IF($B785="","",IF($AD785&lt;&gt;"",$AD785,IF($AC785="","",IF($AC785&lt;=設定!$C$3,0,$AC785))))</f>
        <v/>
      </c>
      <c r="AF785" s="14">
        <f>IF($B785="","",IF(AND($AG785&lt;&gt;"",$AI785="",$AL785=""),"保留中",IF($AL785&lt;&gt;"",IF(N($AE785)&gt;0,"支給済","不支給"),IF($AE785="","要確認",IF($AE785=0,"不支給","未処理")))))</f>
        <v/>
      </c>
      <c r="AG785" s="12" t="n"/>
      <c r="AH785" s="11" t="n"/>
      <c r="AI785" s="11" t="n"/>
      <c r="AJ785" s="11" t="n"/>
      <c r="AK785" s="14">
        <f>IF(AND($AF785="保留中",$AH785&lt;&gt;""),TODAY()-$AH785,"")</f>
        <v/>
      </c>
      <c r="AL785" s="12" t="n"/>
      <c r="AM785" s="14">
        <f>IF($B785="","",IF($AQ785="","対象年月が未入力／","")&amp;IF($B785="","",IF($AP785="","職員マスタに未登録の職員番号／",IF($AA785="","標準報酬月額が未登録／","")&amp;IF(AND($AQ785&lt;&gt;"",OR(AND(INDEX(職員マスタ!$G$6:$G$405,$AP785)&lt;&gt;"",INDEX(職員マスタ!$G$6:$G$405,$AP785)&gt;EOMONTH($AQ785,0)),AND(INDEX(職員マスタ!$H$6:$H$405,$AP785)&lt;&gt;"",INDEX(職員マスタ!$H$6:$H$405,$AP785)&lt;$AQ785))),"対象月が時短期間外／","")&amp;IF(AND(INDEX(職員マスタ!$K$6:$K$405,$AP785)&lt;&gt;"",N($W785)&gt;0,INDEX(職員マスタ!$K$6:$K$405,$AP785)&lt;&gt;$W785),"標準報酬月額が申請書と相違（台帳"&amp;TEXT(INDEX(職員マスタ!$K$6:$K$405,$AP785),"#,##0")&amp;"円／申請書"&amp;TEXT($W785,"#,##0")&amp;"円）／","")&amp;IF(AND(INDEX(職員マスタ!$F$6:$F$405,$AP785)&lt;&gt;"",$AQ785&lt;&gt;"",INDEX(職員マスタ!$F$6:$F$405,$AP785)&lt;$AQ785),"対象月に子が2歳到達済／","")&amp;IF(AND($H785&lt;&gt;"",INDEX(職員マスタ!$B$6:$B$405,$AP785)&lt;&gt;"",SUBSTITUTE(SUBSTITUTE($H785," ","")," ","")&lt;&gt;SUBSTITUTE(SUBSTITUTE(INDEX(職員マスタ!$B$6:$B$405,$AP785)," ","")," ","")),"氏名がマスタと相違／","")&amp;IF(AND($Q785&lt;&gt;"",INDEX(職員マスタ!$E$6:$E$405,$AP785)&lt;&gt;"",$Q785&lt;&gt;INDEX(職員マスタ!$E$6:$E$405,$AP785)),"子の生年月日がマスタと相違／","")&amp;IF(AND($L785&lt;&gt;"",INDEX(職員マスタ!$G$6:$G$405,$AP785)&lt;&gt;"",$L785&lt;&gt;INDEX(職員マスタ!$G$6:$G$405,$AP785)),"時短開始日がマスタと相違／","")&amp;IF(AND($M785&lt;&gt;"",INDEX(職員マスタ!$H$6:$H$405,$AP785)&lt;&gt;"",$M785&lt;&gt;INDEX(職員マスタ!$H$6:$H$405,$AP785)),"時短終了日がマスタと相違／","")))&amp;IF(AND($B785&lt;&gt;"",$E785=""),"報酬額が未入力／","")&amp;IF(N($U785)&gt;0,"申請書に入力エラーが残っています／","")&amp;IF(AND($B785&lt;&gt;"",$AQ785&lt;&gt;""),IF(COUNTIFS($B$6:$B$3005,$B785,$C$6:$C$3005,$C785,$D$6:$D$3005,$D785)&gt;1,"同じ月の請求が重複しています／",""),"")&amp;IF(AND(N($E785)&gt;0,$AB785&lt;&gt;"",$AB785&lt;&gt;"×",$AE785=0,$AD785=""),"計算額が下限以下のため不支給／",""))</f>
        <v/>
      </c>
      <c r="AN785" s="12" t="n"/>
      <c r="AO785" s="14">
        <f>IF($AF785="保留中",COUNTIF($AF$6:$AF785,"保留中"),"")</f>
        <v/>
      </c>
      <c r="AP785" s="14">
        <f>IF($AQ785="","",IF(SUMPRODUCT(MAX((職員マスタ!$A$6:$A$405=$B785)*(((職員マスタ!$G$6:$G$405="")+(職員マスタ!$G$6:$G$405&lt;=EOMONTH($AQ785,0)))&gt;0)*(((職員マスタ!$H$6:$H$405="")+(職員マスタ!$H$6:$H$405&gt;=$AQ785))&gt;0)*(ROW(職員マスタ!$A$6:$A$405)-5)))&gt;0,SUMPRODUCT(MAX((職員マスタ!$A$6:$A$405=$B785)*(((職員マスタ!$G$6:$G$405="")+(職員マスタ!$G$6:$G$405&lt;=EOMONTH($AQ785,0)))&gt;0)*(((職員マスタ!$H$6:$H$405="")+(職員マスタ!$H$6:$H$405&gt;=$AQ785))&gt;0)*(ROW(職員マスタ!$A$6:$A$405)-5))),IFERROR(MATCH($B785,職員マスタ!$A$6:$A$405,0),"")))</f>
        <v/>
      </c>
      <c r="AQ785" s="16">
        <f>IF(OR($B785="",$C785="",$D785=""),"",DATE($C785+2018,$D785,1))</f>
        <v/>
      </c>
    </row>
    <row r="786">
      <c r="A786" s="11" t="n"/>
      <c r="B786" s="12" t="n"/>
      <c r="C786" s="12" t="n"/>
      <c r="D786" s="12" t="n"/>
      <c r="E786" s="13" t="n"/>
      <c r="F786" s="12" t="n"/>
      <c r="G786" s="13" t="n"/>
      <c r="H786" s="12" t="n"/>
      <c r="I786" s="12" t="n"/>
      <c r="J786" s="12" t="n"/>
      <c r="K786" s="12" t="n"/>
      <c r="L786" s="11" t="n"/>
      <c r="M786" s="11" t="n"/>
      <c r="N786" s="11" t="n"/>
      <c r="O786" s="11" t="n"/>
      <c r="P786" s="12" t="n"/>
      <c r="Q786" s="11" t="n"/>
      <c r="R786" s="12" t="n"/>
      <c r="S786" s="11" t="n"/>
      <c r="T786" s="12" t="n"/>
      <c r="U786" s="12" t="n"/>
      <c r="V786" s="12" t="n"/>
      <c r="W786" s="13" t="n"/>
      <c r="X786" s="14">
        <f>IF($AP786="",IF($B786="","",$H786),IF(INDEX(職員マスタ!$B$6:$B$405,$AP786)="",$H786,INDEX(職員マスタ!$B$6:$B$405,$AP786)))</f>
        <v/>
      </c>
      <c r="Y786" s="14">
        <f>IF($AP786="",IF($B786="","",$R786),IF(INDEX(職員マスタ!$C$6:$C$405,$AP786)="",$R786,INDEX(職員マスタ!$C$6:$C$405,$AP786)))</f>
        <v/>
      </c>
      <c r="Z786" s="14">
        <f>IF($AQ786="","","R"&amp;$C786&amp;"."&amp;$D786)</f>
        <v/>
      </c>
      <c r="AA786" s="15">
        <f>IF(IF($AP786="",FALSE,INDEX(職員マスタ!$K$6:$K$405,$AP786)&lt;&gt;""),INDEX(職員マスタ!$K$6:$K$405,$AP786),IF(N($W786)&gt;0,$W786,""))</f>
        <v/>
      </c>
      <c r="AB786" s="14">
        <f>IF(OR($E786="",$AA786=""),"",IF($E786&gt;=$AA786,"×",IF($E786&gt;=$AA786*設定!$C$5,"△","○")))</f>
        <v/>
      </c>
      <c r="AC786" s="15">
        <f>IF($AB786="","",IF($AB786="×",0,IF($AB786="○",ROUNDDOWN($E786*設定!$C$4,0),ROUNDDOWN($E786*ROUND((9*$AA786-9*$E786)/(10*$E786),4),0))))</f>
        <v/>
      </c>
      <c r="AD786" s="13" t="n"/>
      <c r="AE786" s="15">
        <f>IF($B786="","",IF($AD786&lt;&gt;"",$AD786,IF($AC786="","",IF($AC786&lt;=設定!$C$3,0,$AC786))))</f>
        <v/>
      </c>
      <c r="AF786" s="14">
        <f>IF($B786="","",IF(AND($AG786&lt;&gt;"",$AI786="",$AL786=""),"保留中",IF($AL786&lt;&gt;"",IF(N($AE786)&gt;0,"支給済","不支給"),IF($AE786="","要確認",IF($AE786=0,"不支給","未処理")))))</f>
        <v/>
      </c>
      <c r="AG786" s="12" t="n"/>
      <c r="AH786" s="11" t="n"/>
      <c r="AI786" s="11" t="n"/>
      <c r="AJ786" s="11" t="n"/>
      <c r="AK786" s="14">
        <f>IF(AND($AF786="保留中",$AH786&lt;&gt;""),TODAY()-$AH786,"")</f>
        <v/>
      </c>
      <c r="AL786" s="12" t="n"/>
      <c r="AM786" s="14">
        <f>IF($B786="","",IF($AQ786="","対象年月が未入力／","")&amp;IF($B786="","",IF($AP786="","職員マスタに未登録の職員番号／",IF($AA786="","標準報酬月額が未登録／","")&amp;IF(AND($AQ786&lt;&gt;"",OR(AND(INDEX(職員マスタ!$G$6:$G$405,$AP786)&lt;&gt;"",INDEX(職員マスタ!$G$6:$G$405,$AP786)&gt;EOMONTH($AQ786,0)),AND(INDEX(職員マスタ!$H$6:$H$405,$AP786)&lt;&gt;"",INDEX(職員マスタ!$H$6:$H$405,$AP786)&lt;$AQ786))),"対象月が時短期間外／","")&amp;IF(AND(INDEX(職員マスタ!$K$6:$K$405,$AP786)&lt;&gt;"",N($W786)&gt;0,INDEX(職員マスタ!$K$6:$K$405,$AP786)&lt;&gt;$W786),"標準報酬月額が申請書と相違（台帳"&amp;TEXT(INDEX(職員マスタ!$K$6:$K$405,$AP786),"#,##0")&amp;"円／申請書"&amp;TEXT($W786,"#,##0")&amp;"円）／","")&amp;IF(AND(INDEX(職員マスタ!$F$6:$F$405,$AP786)&lt;&gt;"",$AQ786&lt;&gt;"",INDEX(職員マスタ!$F$6:$F$405,$AP786)&lt;$AQ786),"対象月に子が2歳到達済／","")&amp;IF(AND($H786&lt;&gt;"",INDEX(職員マスタ!$B$6:$B$405,$AP786)&lt;&gt;"",SUBSTITUTE(SUBSTITUTE($H786," ","")," ","")&lt;&gt;SUBSTITUTE(SUBSTITUTE(INDEX(職員マスタ!$B$6:$B$405,$AP786)," ","")," ","")),"氏名がマスタと相違／","")&amp;IF(AND($Q786&lt;&gt;"",INDEX(職員マスタ!$E$6:$E$405,$AP786)&lt;&gt;"",$Q786&lt;&gt;INDEX(職員マスタ!$E$6:$E$405,$AP786)),"子の生年月日がマスタと相違／","")&amp;IF(AND($L786&lt;&gt;"",INDEX(職員マスタ!$G$6:$G$405,$AP786)&lt;&gt;"",$L786&lt;&gt;INDEX(職員マスタ!$G$6:$G$405,$AP786)),"時短開始日がマスタと相違／","")&amp;IF(AND($M786&lt;&gt;"",INDEX(職員マスタ!$H$6:$H$405,$AP786)&lt;&gt;"",$M786&lt;&gt;INDEX(職員マスタ!$H$6:$H$405,$AP786)),"時短終了日がマスタと相違／","")))&amp;IF(AND($B786&lt;&gt;"",$E786=""),"報酬額が未入力／","")&amp;IF(N($U786)&gt;0,"申請書に入力エラーが残っています／","")&amp;IF(AND($B786&lt;&gt;"",$AQ786&lt;&gt;""),IF(COUNTIFS($B$6:$B$3005,$B786,$C$6:$C$3005,$C786,$D$6:$D$3005,$D786)&gt;1,"同じ月の請求が重複しています／",""),"")&amp;IF(AND(N($E786)&gt;0,$AB786&lt;&gt;"",$AB786&lt;&gt;"×",$AE786=0,$AD786=""),"計算額が下限以下のため不支給／",""))</f>
        <v/>
      </c>
      <c r="AN786" s="12" t="n"/>
      <c r="AO786" s="14">
        <f>IF($AF786="保留中",COUNTIF($AF$6:$AF786,"保留中"),"")</f>
        <v/>
      </c>
      <c r="AP786" s="14">
        <f>IF($AQ786="","",IF(SUMPRODUCT(MAX((職員マスタ!$A$6:$A$405=$B786)*(((職員マスタ!$G$6:$G$405="")+(職員マスタ!$G$6:$G$405&lt;=EOMONTH($AQ786,0)))&gt;0)*(((職員マスタ!$H$6:$H$405="")+(職員マスタ!$H$6:$H$405&gt;=$AQ786))&gt;0)*(ROW(職員マスタ!$A$6:$A$405)-5)))&gt;0,SUMPRODUCT(MAX((職員マスタ!$A$6:$A$405=$B786)*(((職員マスタ!$G$6:$G$405="")+(職員マスタ!$G$6:$G$405&lt;=EOMONTH($AQ786,0)))&gt;0)*(((職員マスタ!$H$6:$H$405="")+(職員マスタ!$H$6:$H$405&gt;=$AQ786))&gt;0)*(ROW(職員マスタ!$A$6:$A$405)-5))),IFERROR(MATCH($B786,職員マスタ!$A$6:$A$405,0),"")))</f>
        <v/>
      </c>
      <c r="AQ786" s="16">
        <f>IF(OR($B786="",$C786="",$D786=""),"",DATE($C786+2018,$D786,1))</f>
        <v/>
      </c>
    </row>
    <row r="787">
      <c r="A787" s="11" t="n"/>
      <c r="B787" s="12" t="n"/>
      <c r="C787" s="12" t="n"/>
      <c r="D787" s="12" t="n"/>
      <c r="E787" s="13" t="n"/>
      <c r="F787" s="12" t="n"/>
      <c r="G787" s="13" t="n"/>
      <c r="H787" s="12" t="n"/>
      <c r="I787" s="12" t="n"/>
      <c r="J787" s="12" t="n"/>
      <c r="K787" s="12" t="n"/>
      <c r="L787" s="11" t="n"/>
      <c r="M787" s="11" t="n"/>
      <c r="N787" s="11" t="n"/>
      <c r="O787" s="11" t="n"/>
      <c r="P787" s="12" t="n"/>
      <c r="Q787" s="11" t="n"/>
      <c r="R787" s="12" t="n"/>
      <c r="S787" s="11" t="n"/>
      <c r="T787" s="12" t="n"/>
      <c r="U787" s="12" t="n"/>
      <c r="V787" s="12" t="n"/>
      <c r="W787" s="13" t="n"/>
      <c r="X787" s="14">
        <f>IF($AP787="",IF($B787="","",$H787),IF(INDEX(職員マスタ!$B$6:$B$405,$AP787)="",$H787,INDEX(職員マスタ!$B$6:$B$405,$AP787)))</f>
        <v/>
      </c>
      <c r="Y787" s="14">
        <f>IF($AP787="",IF($B787="","",$R787),IF(INDEX(職員マスタ!$C$6:$C$405,$AP787)="",$R787,INDEX(職員マスタ!$C$6:$C$405,$AP787)))</f>
        <v/>
      </c>
      <c r="Z787" s="14">
        <f>IF($AQ787="","","R"&amp;$C787&amp;"."&amp;$D787)</f>
        <v/>
      </c>
      <c r="AA787" s="15">
        <f>IF(IF($AP787="",FALSE,INDEX(職員マスタ!$K$6:$K$405,$AP787)&lt;&gt;""),INDEX(職員マスタ!$K$6:$K$405,$AP787),IF(N($W787)&gt;0,$W787,""))</f>
        <v/>
      </c>
      <c r="AB787" s="14">
        <f>IF(OR($E787="",$AA787=""),"",IF($E787&gt;=$AA787,"×",IF($E787&gt;=$AA787*設定!$C$5,"△","○")))</f>
        <v/>
      </c>
      <c r="AC787" s="15">
        <f>IF($AB787="","",IF($AB787="×",0,IF($AB787="○",ROUNDDOWN($E787*設定!$C$4,0),ROUNDDOWN($E787*ROUND((9*$AA787-9*$E787)/(10*$E787),4),0))))</f>
        <v/>
      </c>
      <c r="AD787" s="13" t="n"/>
      <c r="AE787" s="15">
        <f>IF($B787="","",IF($AD787&lt;&gt;"",$AD787,IF($AC787="","",IF($AC787&lt;=設定!$C$3,0,$AC787))))</f>
        <v/>
      </c>
      <c r="AF787" s="14">
        <f>IF($B787="","",IF(AND($AG787&lt;&gt;"",$AI787="",$AL787=""),"保留中",IF($AL787&lt;&gt;"",IF(N($AE787)&gt;0,"支給済","不支給"),IF($AE787="","要確認",IF($AE787=0,"不支給","未処理")))))</f>
        <v/>
      </c>
      <c r="AG787" s="12" t="n"/>
      <c r="AH787" s="11" t="n"/>
      <c r="AI787" s="11" t="n"/>
      <c r="AJ787" s="11" t="n"/>
      <c r="AK787" s="14">
        <f>IF(AND($AF787="保留中",$AH787&lt;&gt;""),TODAY()-$AH787,"")</f>
        <v/>
      </c>
      <c r="AL787" s="12" t="n"/>
      <c r="AM787" s="14">
        <f>IF($B787="","",IF($AQ787="","対象年月が未入力／","")&amp;IF($B787="","",IF($AP787="","職員マスタに未登録の職員番号／",IF($AA787="","標準報酬月額が未登録／","")&amp;IF(AND($AQ787&lt;&gt;"",OR(AND(INDEX(職員マスタ!$G$6:$G$405,$AP787)&lt;&gt;"",INDEX(職員マスタ!$G$6:$G$405,$AP787)&gt;EOMONTH($AQ787,0)),AND(INDEX(職員マスタ!$H$6:$H$405,$AP787)&lt;&gt;"",INDEX(職員マスタ!$H$6:$H$405,$AP787)&lt;$AQ787))),"対象月が時短期間外／","")&amp;IF(AND(INDEX(職員マスタ!$K$6:$K$405,$AP787)&lt;&gt;"",N($W787)&gt;0,INDEX(職員マスタ!$K$6:$K$405,$AP787)&lt;&gt;$W787),"標準報酬月額が申請書と相違（台帳"&amp;TEXT(INDEX(職員マスタ!$K$6:$K$405,$AP787),"#,##0")&amp;"円／申請書"&amp;TEXT($W787,"#,##0")&amp;"円）／","")&amp;IF(AND(INDEX(職員マスタ!$F$6:$F$405,$AP787)&lt;&gt;"",$AQ787&lt;&gt;"",INDEX(職員マスタ!$F$6:$F$405,$AP787)&lt;$AQ787),"対象月に子が2歳到達済／","")&amp;IF(AND($H787&lt;&gt;"",INDEX(職員マスタ!$B$6:$B$405,$AP787)&lt;&gt;"",SUBSTITUTE(SUBSTITUTE($H787," ","")," ","")&lt;&gt;SUBSTITUTE(SUBSTITUTE(INDEX(職員マスタ!$B$6:$B$405,$AP787)," ","")," ","")),"氏名がマスタと相違／","")&amp;IF(AND($Q787&lt;&gt;"",INDEX(職員マスタ!$E$6:$E$405,$AP787)&lt;&gt;"",$Q787&lt;&gt;INDEX(職員マスタ!$E$6:$E$405,$AP787)),"子の生年月日がマスタと相違／","")&amp;IF(AND($L787&lt;&gt;"",INDEX(職員マスタ!$G$6:$G$405,$AP787)&lt;&gt;"",$L787&lt;&gt;INDEX(職員マスタ!$G$6:$G$405,$AP787)),"時短開始日がマスタと相違／","")&amp;IF(AND($M787&lt;&gt;"",INDEX(職員マスタ!$H$6:$H$405,$AP787)&lt;&gt;"",$M787&lt;&gt;INDEX(職員マスタ!$H$6:$H$405,$AP787)),"時短終了日がマスタと相違／","")))&amp;IF(AND($B787&lt;&gt;"",$E787=""),"報酬額が未入力／","")&amp;IF(N($U787)&gt;0,"申請書に入力エラーが残っています／","")&amp;IF(AND($B787&lt;&gt;"",$AQ787&lt;&gt;""),IF(COUNTIFS($B$6:$B$3005,$B787,$C$6:$C$3005,$C787,$D$6:$D$3005,$D787)&gt;1,"同じ月の請求が重複しています／",""),"")&amp;IF(AND(N($E787)&gt;0,$AB787&lt;&gt;"",$AB787&lt;&gt;"×",$AE787=0,$AD787=""),"計算額が下限以下のため不支給／",""))</f>
        <v/>
      </c>
      <c r="AN787" s="12" t="n"/>
      <c r="AO787" s="14">
        <f>IF($AF787="保留中",COUNTIF($AF$6:$AF787,"保留中"),"")</f>
        <v/>
      </c>
      <c r="AP787" s="14">
        <f>IF($AQ787="","",IF(SUMPRODUCT(MAX((職員マスタ!$A$6:$A$405=$B787)*(((職員マスタ!$G$6:$G$405="")+(職員マスタ!$G$6:$G$405&lt;=EOMONTH($AQ787,0)))&gt;0)*(((職員マスタ!$H$6:$H$405="")+(職員マスタ!$H$6:$H$405&gt;=$AQ787))&gt;0)*(ROW(職員マスタ!$A$6:$A$405)-5)))&gt;0,SUMPRODUCT(MAX((職員マスタ!$A$6:$A$405=$B787)*(((職員マスタ!$G$6:$G$405="")+(職員マスタ!$G$6:$G$405&lt;=EOMONTH($AQ787,0)))&gt;0)*(((職員マスタ!$H$6:$H$405="")+(職員マスタ!$H$6:$H$405&gt;=$AQ787))&gt;0)*(ROW(職員マスタ!$A$6:$A$405)-5))),IFERROR(MATCH($B787,職員マスタ!$A$6:$A$405,0),"")))</f>
        <v/>
      </c>
      <c r="AQ787" s="16">
        <f>IF(OR($B787="",$C787="",$D787=""),"",DATE($C787+2018,$D787,1))</f>
        <v/>
      </c>
    </row>
    <row r="788">
      <c r="A788" s="11" t="n"/>
      <c r="B788" s="12" t="n"/>
      <c r="C788" s="12" t="n"/>
      <c r="D788" s="12" t="n"/>
      <c r="E788" s="13" t="n"/>
      <c r="F788" s="12" t="n"/>
      <c r="G788" s="13" t="n"/>
      <c r="H788" s="12" t="n"/>
      <c r="I788" s="12" t="n"/>
      <c r="J788" s="12" t="n"/>
      <c r="K788" s="12" t="n"/>
      <c r="L788" s="11" t="n"/>
      <c r="M788" s="11" t="n"/>
      <c r="N788" s="11" t="n"/>
      <c r="O788" s="11" t="n"/>
      <c r="P788" s="12" t="n"/>
      <c r="Q788" s="11" t="n"/>
      <c r="R788" s="12" t="n"/>
      <c r="S788" s="11" t="n"/>
      <c r="T788" s="12" t="n"/>
      <c r="U788" s="12" t="n"/>
      <c r="V788" s="12" t="n"/>
      <c r="W788" s="13" t="n"/>
      <c r="X788" s="14">
        <f>IF($AP788="",IF($B788="","",$H788),IF(INDEX(職員マスタ!$B$6:$B$405,$AP788)="",$H788,INDEX(職員マスタ!$B$6:$B$405,$AP788)))</f>
        <v/>
      </c>
      <c r="Y788" s="14">
        <f>IF($AP788="",IF($B788="","",$R788),IF(INDEX(職員マスタ!$C$6:$C$405,$AP788)="",$R788,INDEX(職員マスタ!$C$6:$C$405,$AP788)))</f>
        <v/>
      </c>
      <c r="Z788" s="14">
        <f>IF($AQ788="","","R"&amp;$C788&amp;"."&amp;$D788)</f>
        <v/>
      </c>
      <c r="AA788" s="15">
        <f>IF(IF($AP788="",FALSE,INDEX(職員マスタ!$K$6:$K$405,$AP788)&lt;&gt;""),INDEX(職員マスタ!$K$6:$K$405,$AP788),IF(N($W788)&gt;0,$W788,""))</f>
        <v/>
      </c>
      <c r="AB788" s="14">
        <f>IF(OR($E788="",$AA788=""),"",IF($E788&gt;=$AA788,"×",IF($E788&gt;=$AA788*設定!$C$5,"△","○")))</f>
        <v/>
      </c>
      <c r="AC788" s="15">
        <f>IF($AB788="","",IF($AB788="×",0,IF($AB788="○",ROUNDDOWN($E788*設定!$C$4,0),ROUNDDOWN($E788*ROUND((9*$AA788-9*$E788)/(10*$E788),4),0))))</f>
        <v/>
      </c>
      <c r="AD788" s="13" t="n"/>
      <c r="AE788" s="15">
        <f>IF($B788="","",IF($AD788&lt;&gt;"",$AD788,IF($AC788="","",IF($AC788&lt;=設定!$C$3,0,$AC788))))</f>
        <v/>
      </c>
      <c r="AF788" s="14">
        <f>IF($B788="","",IF(AND($AG788&lt;&gt;"",$AI788="",$AL788=""),"保留中",IF($AL788&lt;&gt;"",IF(N($AE788)&gt;0,"支給済","不支給"),IF($AE788="","要確認",IF($AE788=0,"不支給","未処理")))))</f>
        <v/>
      </c>
      <c r="AG788" s="12" t="n"/>
      <c r="AH788" s="11" t="n"/>
      <c r="AI788" s="11" t="n"/>
      <c r="AJ788" s="11" t="n"/>
      <c r="AK788" s="14">
        <f>IF(AND($AF788="保留中",$AH788&lt;&gt;""),TODAY()-$AH788,"")</f>
        <v/>
      </c>
      <c r="AL788" s="12" t="n"/>
      <c r="AM788" s="14">
        <f>IF($B788="","",IF($AQ788="","対象年月が未入力／","")&amp;IF($B788="","",IF($AP788="","職員マスタに未登録の職員番号／",IF($AA788="","標準報酬月額が未登録／","")&amp;IF(AND($AQ788&lt;&gt;"",OR(AND(INDEX(職員マスタ!$G$6:$G$405,$AP788)&lt;&gt;"",INDEX(職員マスタ!$G$6:$G$405,$AP788)&gt;EOMONTH($AQ788,0)),AND(INDEX(職員マスタ!$H$6:$H$405,$AP788)&lt;&gt;"",INDEX(職員マスタ!$H$6:$H$405,$AP788)&lt;$AQ788))),"対象月が時短期間外／","")&amp;IF(AND(INDEX(職員マスタ!$K$6:$K$405,$AP788)&lt;&gt;"",N($W788)&gt;0,INDEX(職員マスタ!$K$6:$K$405,$AP788)&lt;&gt;$W788),"標準報酬月額が申請書と相違（台帳"&amp;TEXT(INDEX(職員マスタ!$K$6:$K$405,$AP788),"#,##0")&amp;"円／申請書"&amp;TEXT($W788,"#,##0")&amp;"円）／","")&amp;IF(AND(INDEX(職員マスタ!$F$6:$F$405,$AP788)&lt;&gt;"",$AQ788&lt;&gt;"",INDEX(職員マスタ!$F$6:$F$405,$AP788)&lt;$AQ788),"対象月に子が2歳到達済／","")&amp;IF(AND($H788&lt;&gt;"",INDEX(職員マスタ!$B$6:$B$405,$AP788)&lt;&gt;"",SUBSTITUTE(SUBSTITUTE($H788," ","")," ","")&lt;&gt;SUBSTITUTE(SUBSTITUTE(INDEX(職員マスタ!$B$6:$B$405,$AP788)," ","")," ","")),"氏名がマスタと相違／","")&amp;IF(AND($Q788&lt;&gt;"",INDEX(職員マスタ!$E$6:$E$405,$AP788)&lt;&gt;"",$Q788&lt;&gt;INDEX(職員マスタ!$E$6:$E$405,$AP788)),"子の生年月日がマスタと相違／","")&amp;IF(AND($L788&lt;&gt;"",INDEX(職員マスタ!$G$6:$G$405,$AP788)&lt;&gt;"",$L788&lt;&gt;INDEX(職員マスタ!$G$6:$G$405,$AP788)),"時短開始日がマスタと相違／","")&amp;IF(AND($M788&lt;&gt;"",INDEX(職員マスタ!$H$6:$H$405,$AP788)&lt;&gt;"",$M788&lt;&gt;INDEX(職員マスタ!$H$6:$H$405,$AP788)),"時短終了日がマスタと相違／","")))&amp;IF(AND($B788&lt;&gt;"",$E788=""),"報酬額が未入力／","")&amp;IF(N($U788)&gt;0,"申請書に入力エラーが残っています／","")&amp;IF(AND($B788&lt;&gt;"",$AQ788&lt;&gt;""),IF(COUNTIFS($B$6:$B$3005,$B788,$C$6:$C$3005,$C788,$D$6:$D$3005,$D788)&gt;1,"同じ月の請求が重複しています／",""),"")&amp;IF(AND(N($E788)&gt;0,$AB788&lt;&gt;"",$AB788&lt;&gt;"×",$AE788=0,$AD788=""),"計算額が下限以下のため不支給／",""))</f>
        <v/>
      </c>
      <c r="AN788" s="12" t="n"/>
      <c r="AO788" s="14">
        <f>IF($AF788="保留中",COUNTIF($AF$6:$AF788,"保留中"),"")</f>
        <v/>
      </c>
      <c r="AP788" s="14">
        <f>IF($AQ788="","",IF(SUMPRODUCT(MAX((職員マスタ!$A$6:$A$405=$B788)*(((職員マスタ!$G$6:$G$405="")+(職員マスタ!$G$6:$G$405&lt;=EOMONTH($AQ788,0)))&gt;0)*(((職員マスタ!$H$6:$H$405="")+(職員マスタ!$H$6:$H$405&gt;=$AQ788))&gt;0)*(ROW(職員マスタ!$A$6:$A$405)-5)))&gt;0,SUMPRODUCT(MAX((職員マスタ!$A$6:$A$405=$B788)*(((職員マスタ!$G$6:$G$405="")+(職員マスタ!$G$6:$G$405&lt;=EOMONTH($AQ788,0)))&gt;0)*(((職員マスタ!$H$6:$H$405="")+(職員マスタ!$H$6:$H$405&gt;=$AQ788))&gt;0)*(ROW(職員マスタ!$A$6:$A$405)-5))),IFERROR(MATCH($B788,職員マスタ!$A$6:$A$405,0),"")))</f>
        <v/>
      </c>
      <c r="AQ788" s="16">
        <f>IF(OR($B788="",$C788="",$D788=""),"",DATE($C788+2018,$D788,1))</f>
        <v/>
      </c>
    </row>
    <row r="789">
      <c r="A789" s="11" t="n"/>
      <c r="B789" s="12" t="n"/>
      <c r="C789" s="12" t="n"/>
      <c r="D789" s="12" t="n"/>
      <c r="E789" s="13" t="n"/>
      <c r="F789" s="12" t="n"/>
      <c r="G789" s="13" t="n"/>
      <c r="H789" s="12" t="n"/>
      <c r="I789" s="12" t="n"/>
      <c r="J789" s="12" t="n"/>
      <c r="K789" s="12" t="n"/>
      <c r="L789" s="11" t="n"/>
      <c r="M789" s="11" t="n"/>
      <c r="N789" s="11" t="n"/>
      <c r="O789" s="11" t="n"/>
      <c r="P789" s="12" t="n"/>
      <c r="Q789" s="11" t="n"/>
      <c r="R789" s="12" t="n"/>
      <c r="S789" s="11" t="n"/>
      <c r="T789" s="12" t="n"/>
      <c r="U789" s="12" t="n"/>
      <c r="V789" s="12" t="n"/>
      <c r="W789" s="13" t="n"/>
      <c r="X789" s="14">
        <f>IF($AP789="",IF($B789="","",$H789),IF(INDEX(職員マスタ!$B$6:$B$405,$AP789)="",$H789,INDEX(職員マスタ!$B$6:$B$405,$AP789)))</f>
        <v/>
      </c>
      <c r="Y789" s="14">
        <f>IF($AP789="",IF($B789="","",$R789),IF(INDEX(職員マスタ!$C$6:$C$405,$AP789)="",$R789,INDEX(職員マスタ!$C$6:$C$405,$AP789)))</f>
        <v/>
      </c>
      <c r="Z789" s="14">
        <f>IF($AQ789="","","R"&amp;$C789&amp;"."&amp;$D789)</f>
        <v/>
      </c>
      <c r="AA789" s="15">
        <f>IF(IF($AP789="",FALSE,INDEX(職員マスタ!$K$6:$K$405,$AP789)&lt;&gt;""),INDEX(職員マスタ!$K$6:$K$405,$AP789),IF(N($W789)&gt;0,$W789,""))</f>
        <v/>
      </c>
      <c r="AB789" s="14">
        <f>IF(OR($E789="",$AA789=""),"",IF($E789&gt;=$AA789,"×",IF($E789&gt;=$AA789*設定!$C$5,"△","○")))</f>
        <v/>
      </c>
      <c r="AC789" s="15">
        <f>IF($AB789="","",IF($AB789="×",0,IF($AB789="○",ROUNDDOWN($E789*設定!$C$4,0),ROUNDDOWN($E789*ROUND((9*$AA789-9*$E789)/(10*$E789),4),0))))</f>
        <v/>
      </c>
      <c r="AD789" s="13" t="n"/>
      <c r="AE789" s="15">
        <f>IF($B789="","",IF($AD789&lt;&gt;"",$AD789,IF($AC789="","",IF($AC789&lt;=設定!$C$3,0,$AC789))))</f>
        <v/>
      </c>
      <c r="AF789" s="14">
        <f>IF($B789="","",IF(AND($AG789&lt;&gt;"",$AI789="",$AL789=""),"保留中",IF($AL789&lt;&gt;"",IF(N($AE789)&gt;0,"支給済","不支給"),IF($AE789="","要確認",IF($AE789=0,"不支給","未処理")))))</f>
        <v/>
      </c>
      <c r="AG789" s="12" t="n"/>
      <c r="AH789" s="11" t="n"/>
      <c r="AI789" s="11" t="n"/>
      <c r="AJ789" s="11" t="n"/>
      <c r="AK789" s="14">
        <f>IF(AND($AF789="保留中",$AH789&lt;&gt;""),TODAY()-$AH789,"")</f>
        <v/>
      </c>
      <c r="AL789" s="12" t="n"/>
      <c r="AM789" s="14">
        <f>IF($B789="","",IF($AQ789="","対象年月が未入力／","")&amp;IF($B789="","",IF($AP789="","職員マスタに未登録の職員番号／",IF($AA789="","標準報酬月額が未登録／","")&amp;IF(AND($AQ789&lt;&gt;"",OR(AND(INDEX(職員マスタ!$G$6:$G$405,$AP789)&lt;&gt;"",INDEX(職員マスタ!$G$6:$G$405,$AP789)&gt;EOMONTH($AQ789,0)),AND(INDEX(職員マスタ!$H$6:$H$405,$AP789)&lt;&gt;"",INDEX(職員マスタ!$H$6:$H$405,$AP789)&lt;$AQ789))),"対象月が時短期間外／","")&amp;IF(AND(INDEX(職員マスタ!$K$6:$K$405,$AP789)&lt;&gt;"",N($W789)&gt;0,INDEX(職員マスタ!$K$6:$K$405,$AP789)&lt;&gt;$W789),"標準報酬月額が申請書と相違（台帳"&amp;TEXT(INDEX(職員マスタ!$K$6:$K$405,$AP789),"#,##0")&amp;"円／申請書"&amp;TEXT($W789,"#,##0")&amp;"円）／","")&amp;IF(AND(INDEX(職員マスタ!$F$6:$F$405,$AP789)&lt;&gt;"",$AQ789&lt;&gt;"",INDEX(職員マスタ!$F$6:$F$405,$AP789)&lt;$AQ789),"対象月に子が2歳到達済／","")&amp;IF(AND($H789&lt;&gt;"",INDEX(職員マスタ!$B$6:$B$405,$AP789)&lt;&gt;"",SUBSTITUTE(SUBSTITUTE($H789," ","")," ","")&lt;&gt;SUBSTITUTE(SUBSTITUTE(INDEX(職員マスタ!$B$6:$B$405,$AP789)," ","")," ","")),"氏名がマスタと相違／","")&amp;IF(AND($Q789&lt;&gt;"",INDEX(職員マスタ!$E$6:$E$405,$AP789)&lt;&gt;"",$Q789&lt;&gt;INDEX(職員マスタ!$E$6:$E$405,$AP789)),"子の生年月日がマスタと相違／","")&amp;IF(AND($L789&lt;&gt;"",INDEX(職員マスタ!$G$6:$G$405,$AP789)&lt;&gt;"",$L789&lt;&gt;INDEX(職員マスタ!$G$6:$G$405,$AP789)),"時短開始日がマスタと相違／","")&amp;IF(AND($M789&lt;&gt;"",INDEX(職員マスタ!$H$6:$H$405,$AP789)&lt;&gt;"",$M789&lt;&gt;INDEX(職員マスタ!$H$6:$H$405,$AP789)),"時短終了日がマスタと相違／","")))&amp;IF(AND($B789&lt;&gt;"",$E789=""),"報酬額が未入力／","")&amp;IF(N($U789)&gt;0,"申請書に入力エラーが残っています／","")&amp;IF(AND($B789&lt;&gt;"",$AQ789&lt;&gt;""),IF(COUNTIFS($B$6:$B$3005,$B789,$C$6:$C$3005,$C789,$D$6:$D$3005,$D789)&gt;1,"同じ月の請求が重複しています／",""),"")&amp;IF(AND(N($E789)&gt;0,$AB789&lt;&gt;"",$AB789&lt;&gt;"×",$AE789=0,$AD789=""),"計算額が下限以下のため不支給／",""))</f>
        <v/>
      </c>
      <c r="AN789" s="12" t="n"/>
      <c r="AO789" s="14">
        <f>IF($AF789="保留中",COUNTIF($AF$6:$AF789,"保留中"),"")</f>
        <v/>
      </c>
      <c r="AP789" s="14">
        <f>IF($AQ789="","",IF(SUMPRODUCT(MAX((職員マスタ!$A$6:$A$405=$B789)*(((職員マスタ!$G$6:$G$405="")+(職員マスタ!$G$6:$G$405&lt;=EOMONTH($AQ789,0)))&gt;0)*(((職員マスタ!$H$6:$H$405="")+(職員マスタ!$H$6:$H$405&gt;=$AQ789))&gt;0)*(ROW(職員マスタ!$A$6:$A$405)-5)))&gt;0,SUMPRODUCT(MAX((職員マスタ!$A$6:$A$405=$B789)*(((職員マスタ!$G$6:$G$405="")+(職員マスタ!$G$6:$G$405&lt;=EOMONTH($AQ789,0)))&gt;0)*(((職員マスタ!$H$6:$H$405="")+(職員マスタ!$H$6:$H$405&gt;=$AQ789))&gt;0)*(ROW(職員マスタ!$A$6:$A$405)-5))),IFERROR(MATCH($B789,職員マスタ!$A$6:$A$405,0),"")))</f>
        <v/>
      </c>
      <c r="AQ789" s="16">
        <f>IF(OR($B789="",$C789="",$D789=""),"",DATE($C789+2018,$D789,1))</f>
        <v/>
      </c>
    </row>
    <row r="790">
      <c r="A790" s="11" t="n"/>
      <c r="B790" s="12" t="n"/>
      <c r="C790" s="12" t="n"/>
      <c r="D790" s="12" t="n"/>
      <c r="E790" s="13" t="n"/>
      <c r="F790" s="12" t="n"/>
      <c r="G790" s="13" t="n"/>
      <c r="H790" s="12" t="n"/>
      <c r="I790" s="12" t="n"/>
      <c r="J790" s="12" t="n"/>
      <c r="K790" s="12" t="n"/>
      <c r="L790" s="11" t="n"/>
      <c r="M790" s="11" t="n"/>
      <c r="N790" s="11" t="n"/>
      <c r="O790" s="11" t="n"/>
      <c r="P790" s="12" t="n"/>
      <c r="Q790" s="11" t="n"/>
      <c r="R790" s="12" t="n"/>
      <c r="S790" s="11" t="n"/>
      <c r="T790" s="12" t="n"/>
      <c r="U790" s="12" t="n"/>
      <c r="V790" s="12" t="n"/>
      <c r="W790" s="13" t="n"/>
      <c r="X790" s="14">
        <f>IF($AP790="",IF($B790="","",$H790),IF(INDEX(職員マスタ!$B$6:$B$405,$AP790)="",$H790,INDEX(職員マスタ!$B$6:$B$405,$AP790)))</f>
        <v/>
      </c>
      <c r="Y790" s="14">
        <f>IF($AP790="",IF($B790="","",$R790),IF(INDEX(職員マスタ!$C$6:$C$405,$AP790)="",$R790,INDEX(職員マスタ!$C$6:$C$405,$AP790)))</f>
        <v/>
      </c>
      <c r="Z790" s="14">
        <f>IF($AQ790="","","R"&amp;$C790&amp;"."&amp;$D790)</f>
        <v/>
      </c>
      <c r="AA790" s="15">
        <f>IF(IF($AP790="",FALSE,INDEX(職員マスタ!$K$6:$K$405,$AP790)&lt;&gt;""),INDEX(職員マスタ!$K$6:$K$405,$AP790),IF(N($W790)&gt;0,$W790,""))</f>
        <v/>
      </c>
      <c r="AB790" s="14">
        <f>IF(OR($E790="",$AA790=""),"",IF($E790&gt;=$AA790,"×",IF($E790&gt;=$AA790*設定!$C$5,"△","○")))</f>
        <v/>
      </c>
      <c r="AC790" s="15">
        <f>IF($AB790="","",IF($AB790="×",0,IF($AB790="○",ROUNDDOWN($E790*設定!$C$4,0),ROUNDDOWN($E790*ROUND((9*$AA790-9*$E790)/(10*$E790),4),0))))</f>
        <v/>
      </c>
      <c r="AD790" s="13" t="n"/>
      <c r="AE790" s="15">
        <f>IF($B790="","",IF($AD790&lt;&gt;"",$AD790,IF($AC790="","",IF($AC790&lt;=設定!$C$3,0,$AC790))))</f>
        <v/>
      </c>
      <c r="AF790" s="14">
        <f>IF($B790="","",IF(AND($AG790&lt;&gt;"",$AI790="",$AL790=""),"保留中",IF($AL790&lt;&gt;"",IF(N($AE790)&gt;0,"支給済","不支給"),IF($AE790="","要確認",IF($AE790=0,"不支給","未処理")))))</f>
        <v/>
      </c>
      <c r="AG790" s="12" t="n"/>
      <c r="AH790" s="11" t="n"/>
      <c r="AI790" s="11" t="n"/>
      <c r="AJ790" s="11" t="n"/>
      <c r="AK790" s="14">
        <f>IF(AND($AF790="保留中",$AH790&lt;&gt;""),TODAY()-$AH790,"")</f>
        <v/>
      </c>
      <c r="AL790" s="12" t="n"/>
      <c r="AM790" s="14">
        <f>IF($B790="","",IF($AQ790="","対象年月が未入力／","")&amp;IF($B790="","",IF($AP790="","職員マスタに未登録の職員番号／",IF($AA790="","標準報酬月額が未登録／","")&amp;IF(AND($AQ790&lt;&gt;"",OR(AND(INDEX(職員マスタ!$G$6:$G$405,$AP790)&lt;&gt;"",INDEX(職員マスタ!$G$6:$G$405,$AP790)&gt;EOMONTH($AQ790,0)),AND(INDEX(職員マスタ!$H$6:$H$405,$AP790)&lt;&gt;"",INDEX(職員マスタ!$H$6:$H$405,$AP790)&lt;$AQ790))),"対象月が時短期間外／","")&amp;IF(AND(INDEX(職員マスタ!$K$6:$K$405,$AP790)&lt;&gt;"",N($W790)&gt;0,INDEX(職員マスタ!$K$6:$K$405,$AP790)&lt;&gt;$W790),"標準報酬月額が申請書と相違（台帳"&amp;TEXT(INDEX(職員マスタ!$K$6:$K$405,$AP790),"#,##0")&amp;"円／申請書"&amp;TEXT($W790,"#,##0")&amp;"円）／","")&amp;IF(AND(INDEX(職員マスタ!$F$6:$F$405,$AP790)&lt;&gt;"",$AQ790&lt;&gt;"",INDEX(職員マスタ!$F$6:$F$405,$AP790)&lt;$AQ790),"対象月に子が2歳到達済／","")&amp;IF(AND($H790&lt;&gt;"",INDEX(職員マスタ!$B$6:$B$405,$AP790)&lt;&gt;"",SUBSTITUTE(SUBSTITUTE($H790," ","")," ","")&lt;&gt;SUBSTITUTE(SUBSTITUTE(INDEX(職員マスタ!$B$6:$B$405,$AP790)," ","")," ","")),"氏名がマスタと相違／","")&amp;IF(AND($Q790&lt;&gt;"",INDEX(職員マスタ!$E$6:$E$405,$AP790)&lt;&gt;"",$Q790&lt;&gt;INDEX(職員マスタ!$E$6:$E$405,$AP790)),"子の生年月日がマスタと相違／","")&amp;IF(AND($L790&lt;&gt;"",INDEX(職員マスタ!$G$6:$G$405,$AP790)&lt;&gt;"",$L790&lt;&gt;INDEX(職員マスタ!$G$6:$G$405,$AP790)),"時短開始日がマスタと相違／","")&amp;IF(AND($M790&lt;&gt;"",INDEX(職員マスタ!$H$6:$H$405,$AP790)&lt;&gt;"",$M790&lt;&gt;INDEX(職員マスタ!$H$6:$H$405,$AP790)),"時短終了日がマスタと相違／","")))&amp;IF(AND($B790&lt;&gt;"",$E790=""),"報酬額が未入力／","")&amp;IF(N($U790)&gt;0,"申請書に入力エラーが残っています／","")&amp;IF(AND($B790&lt;&gt;"",$AQ790&lt;&gt;""),IF(COUNTIFS($B$6:$B$3005,$B790,$C$6:$C$3005,$C790,$D$6:$D$3005,$D790)&gt;1,"同じ月の請求が重複しています／",""),"")&amp;IF(AND(N($E790)&gt;0,$AB790&lt;&gt;"",$AB790&lt;&gt;"×",$AE790=0,$AD790=""),"計算額が下限以下のため不支給／",""))</f>
        <v/>
      </c>
      <c r="AN790" s="12" t="n"/>
      <c r="AO790" s="14">
        <f>IF($AF790="保留中",COUNTIF($AF$6:$AF790,"保留中"),"")</f>
        <v/>
      </c>
      <c r="AP790" s="14">
        <f>IF($AQ790="","",IF(SUMPRODUCT(MAX((職員マスタ!$A$6:$A$405=$B790)*(((職員マスタ!$G$6:$G$405="")+(職員マスタ!$G$6:$G$405&lt;=EOMONTH($AQ790,0)))&gt;0)*(((職員マスタ!$H$6:$H$405="")+(職員マスタ!$H$6:$H$405&gt;=$AQ790))&gt;0)*(ROW(職員マスタ!$A$6:$A$405)-5)))&gt;0,SUMPRODUCT(MAX((職員マスタ!$A$6:$A$405=$B790)*(((職員マスタ!$G$6:$G$405="")+(職員マスタ!$G$6:$G$405&lt;=EOMONTH($AQ790,0)))&gt;0)*(((職員マスタ!$H$6:$H$405="")+(職員マスタ!$H$6:$H$405&gt;=$AQ790))&gt;0)*(ROW(職員マスタ!$A$6:$A$405)-5))),IFERROR(MATCH($B790,職員マスタ!$A$6:$A$405,0),"")))</f>
        <v/>
      </c>
      <c r="AQ790" s="16">
        <f>IF(OR($B790="",$C790="",$D790=""),"",DATE($C790+2018,$D790,1))</f>
        <v/>
      </c>
    </row>
    <row r="791">
      <c r="A791" s="11" t="n"/>
      <c r="B791" s="12" t="n"/>
      <c r="C791" s="12" t="n"/>
      <c r="D791" s="12" t="n"/>
      <c r="E791" s="13" t="n"/>
      <c r="F791" s="12" t="n"/>
      <c r="G791" s="13" t="n"/>
      <c r="H791" s="12" t="n"/>
      <c r="I791" s="12" t="n"/>
      <c r="J791" s="12" t="n"/>
      <c r="K791" s="12" t="n"/>
      <c r="L791" s="11" t="n"/>
      <c r="M791" s="11" t="n"/>
      <c r="N791" s="11" t="n"/>
      <c r="O791" s="11" t="n"/>
      <c r="P791" s="12" t="n"/>
      <c r="Q791" s="11" t="n"/>
      <c r="R791" s="12" t="n"/>
      <c r="S791" s="11" t="n"/>
      <c r="T791" s="12" t="n"/>
      <c r="U791" s="12" t="n"/>
      <c r="V791" s="12" t="n"/>
      <c r="W791" s="13" t="n"/>
      <c r="X791" s="14">
        <f>IF($AP791="",IF($B791="","",$H791),IF(INDEX(職員マスタ!$B$6:$B$405,$AP791)="",$H791,INDEX(職員マスタ!$B$6:$B$405,$AP791)))</f>
        <v/>
      </c>
      <c r="Y791" s="14">
        <f>IF($AP791="",IF($B791="","",$R791),IF(INDEX(職員マスタ!$C$6:$C$405,$AP791)="",$R791,INDEX(職員マスタ!$C$6:$C$405,$AP791)))</f>
        <v/>
      </c>
      <c r="Z791" s="14">
        <f>IF($AQ791="","","R"&amp;$C791&amp;"."&amp;$D791)</f>
        <v/>
      </c>
      <c r="AA791" s="15">
        <f>IF(IF($AP791="",FALSE,INDEX(職員マスタ!$K$6:$K$405,$AP791)&lt;&gt;""),INDEX(職員マスタ!$K$6:$K$405,$AP791),IF(N($W791)&gt;0,$W791,""))</f>
        <v/>
      </c>
      <c r="AB791" s="14">
        <f>IF(OR($E791="",$AA791=""),"",IF($E791&gt;=$AA791,"×",IF($E791&gt;=$AA791*設定!$C$5,"△","○")))</f>
        <v/>
      </c>
      <c r="AC791" s="15">
        <f>IF($AB791="","",IF($AB791="×",0,IF($AB791="○",ROUNDDOWN($E791*設定!$C$4,0),ROUNDDOWN($E791*ROUND((9*$AA791-9*$E791)/(10*$E791),4),0))))</f>
        <v/>
      </c>
      <c r="AD791" s="13" t="n"/>
      <c r="AE791" s="15">
        <f>IF($B791="","",IF($AD791&lt;&gt;"",$AD791,IF($AC791="","",IF($AC791&lt;=設定!$C$3,0,$AC791))))</f>
        <v/>
      </c>
      <c r="AF791" s="14">
        <f>IF($B791="","",IF(AND($AG791&lt;&gt;"",$AI791="",$AL791=""),"保留中",IF($AL791&lt;&gt;"",IF(N($AE791)&gt;0,"支給済","不支給"),IF($AE791="","要確認",IF($AE791=0,"不支給","未処理")))))</f>
        <v/>
      </c>
      <c r="AG791" s="12" t="n"/>
      <c r="AH791" s="11" t="n"/>
      <c r="AI791" s="11" t="n"/>
      <c r="AJ791" s="11" t="n"/>
      <c r="AK791" s="14">
        <f>IF(AND($AF791="保留中",$AH791&lt;&gt;""),TODAY()-$AH791,"")</f>
        <v/>
      </c>
      <c r="AL791" s="12" t="n"/>
      <c r="AM791" s="14">
        <f>IF($B791="","",IF($AQ791="","対象年月が未入力／","")&amp;IF($B791="","",IF($AP791="","職員マスタに未登録の職員番号／",IF($AA791="","標準報酬月額が未登録／","")&amp;IF(AND($AQ791&lt;&gt;"",OR(AND(INDEX(職員マスタ!$G$6:$G$405,$AP791)&lt;&gt;"",INDEX(職員マスタ!$G$6:$G$405,$AP791)&gt;EOMONTH($AQ791,0)),AND(INDEX(職員マスタ!$H$6:$H$405,$AP791)&lt;&gt;"",INDEX(職員マスタ!$H$6:$H$405,$AP791)&lt;$AQ791))),"対象月が時短期間外／","")&amp;IF(AND(INDEX(職員マスタ!$K$6:$K$405,$AP791)&lt;&gt;"",N($W791)&gt;0,INDEX(職員マスタ!$K$6:$K$405,$AP791)&lt;&gt;$W791),"標準報酬月額が申請書と相違（台帳"&amp;TEXT(INDEX(職員マスタ!$K$6:$K$405,$AP791),"#,##0")&amp;"円／申請書"&amp;TEXT($W791,"#,##0")&amp;"円）／","")&amp;IF(AND(INDEX(職員マスタ!$F$6:$F$405,$AP791)&lt;&gt;"",$AQ791&lt;&gt;"",INDEX(職員マスタ!$F$6:$F$405,$AP791)&lt;$AQ791),"対象月に子が2歳到達済／","")&amp;IF(AND($H791&lt;&gt;"",INDEX(職員マスタ!$B$6:$B$405,$AP791)&lt;&gt;"",SUBSTITUTE(SUBSTITUTE($H791," ","")," ","")&lt;&gt;SUBSTITUTE(SUBSTITUTE(INDEX(職員マスタ!$B$6:$B$405,$AP791)," ","")," ","")),"氏名がマスタと相違／","")&amp;IF(AND($Q791&lt;&gt;"",INDEX(職員マスタ!$E$6:$E$405,$AP791)&lt;&gt;"",$Q791&lt;&gt;INDEX(職員マスタ!$E$6:$E$405,$AP791)),"子の生年月日がマスタと相違／","")&amp;IF(AND($L791&lt;&gt;"",INDEX(職員マスタ!$G$6:$G$405,$AP791)&lt;&gt;"",$L791&lt;&gt;INDEX(職員マスタ!$G$6:$G$405,$AP791)),"時短開始日がマスタと相違／","")&amp;IF(AND($M791&lt;&gt;"",INDEX(職員マスタ!$H$6:$H$405,$AP791)&lt;&gt;"",$M791&lt;&gt;INDEX(職員マスタ!$H$6:$H$405,$AP791)),"時短終了日がマスタと相違／","")))&amp;IF(AND($B791&lt;&gt;"",$E791=""),"報酬額が未入力／","")&amp;IF(N($U791)&gt;0,"申請書に入力エラーが残っています／","")&amp;IF(AND($B791&lt;&gt;"",$AQ791&lt;&gt;""),IF(COUNTIFS($B$6:$B$3005,$B791,$C$6:$C$3005,$C791,$D$6:$D$3005,$D791)&gt;1,"同じ月の請求が重複しています／",""),"")&amp;IF(AND(N($E791)&gt;0,$AB791&lt;&gt;"",$AB791&lt;&gt;"×",$AE791=0,$AD791=""),"計算額が下限以下のため不支給／",""))</f>
        <v/>
      </c>
      <c r="AN791" s="12" t="n"/>
      <c r="AO791" s="14">
        <f>IF($AF791="保留中",COUNTIF($AF$6:$AF791,"保留中"),"")</f>
        <v/>
      </c>
      <c r="AP791" s="14">
        <f>IF($AQ791="","",IF(SUMPRODUCT(MAX((職員マスタ!$A$6:$A$405=$B791)*(((職員マスタ!$G$6:$G$405="")+(職員マスタ!$G$6:$G$405&lt;=EOMONTH($AQ791,0)))&gt;0)*(((職員マスタ!$H$6:$H$405="")+(職員マスタ!$H$6:$H$405&gt;=$AQ791))&gt;0)*(ROW(職員マスタ!$A$6:$A$405)-5)))&gt;0,SUMPRODUCT(MAX((職員マスタ!$A$6:$A$405=$B791)*(((職員マスタ!$G$6:$G$405="")+(職員マスタ!$G$6:$G$405&lt;=EOMONTH($AQ791,0)))&gt;0)*(((職員マスタ!$H$6:$H$405="")+(職員マスタ!$H$6:$H$405&gt;=$AQ791))&gt;0)*(ROW(職員マスタ!$A$6:$A$405)-5))),IFERROR(MATCH($B791,職員マスタ!$A$6:$A$405,0),"")))</f>
        <v/>
      </c>
      <c r="AQ791" s="16">
        <f>IF(OR($B791="",$C791="",$D791=""),"",DATE($C791+2018,$D791,1))</f>
        <v/>
      </c>
    </row>
    <row r="792">
      <c r="A792" s="11" t="n"/>
      <c r="B792" s="12" t="n"/>
      <c r="C792" s="12" t="n"/>
      <c r="D792" s="12" t="n"/>
      <c r="E792" s="13" t="n"/>
      <c r="F792" s="12" t="n"/>
      <c r="G792" s="13" t="n"/>
      <c r="H792" s="12" t="n"/>
      <c r="I792" s="12" t="n"/>
      <c r="J792" s="12" t="n"/>
      <c r="K792" s="12" t="n"/>
      <c r="L792" s="11" t="n"/>
      <c r="M792" s="11" t="n"/>
      <c r="N792" s="11" t="n"/>
      <c r="O792" s="11" t="n"/>
      <c r="P792" s="12" t="n"/>
      <c r="Q792" s="11" t="n"/>
      <c r="R792" s="12" t="n"/>
      <c r="S792" s="11" t="n"/>
      <c r="T792" s="12" t="n"/>
      <c r="U792" s="12" t="n"/>
      <c r="V792" s="12" t="n"/>
      <c r="W792" s="13" t="n"/>
      <c r="X792" s="14">
        <f>IF($AP792="",IF($B792="","",$H792),IF(INDEX(職員マスタ!$B$6:$B$405,$AP792)="",$H792,INDEX(職員マスタ!$B$6:$B$405,$AP792)))</f>
        <v/>
      </c>
      <c r="Y792" s="14">
        <f>IF($AP792="",IF($B792="","",$R792),IF(INDEX(職員マスタ!$C$6:$C$405,$AP792)="",$R792,INDEX(職員マスタ!$C$6:$C$405,$AP792)))</f>
        <v/>
      </c>
      <c r="Z792" s="14">
        <f>IF($AQ792="","","R"&amp;$C792&amp;"."&amp;$D792)</f>
        <v/>
      </c>
      <c r="AA792" s="15">
        <f>IF(IF($AP792="",FALSE,INDEX(職員マスタ!$K$6:$K$405,$AP792)&lt;&gt;""),INDEX(職員マスタ!$K$6:$K$405,$AP792),IF(N($W792)&gt;0,$W792,""))</f>
        <v/>
      </c>
      <c r="AB792" s="14">
        <f>IF(OR($E792="",$AA792=""),"",IF($E792&gt;=$AA792,"×",IF($E792&gt;=$AA792*設定!$C$5,"△","○")))</f>
        <v/>
      </c>
      <c r="AC792" s="15">
        <f>IF($AB792="","",IF($AB792="×",0,IF($AB792="○",ROUNDDOWN($E792*設定!$C$4,0),ROUNDDOWN($E792*ROUND((9*$AA792-9*$E792)/(10*$E792),4),0))))</f>
        <v/>
      </c>
      <c r="AD792" s="13" t="n"/>
      <c r="AE792" s="15">
        <f>IF($B792="","",IF($AD792&lt;&gt;"",$AD792,IF($AC792="","",IF($AC792&lt;=設定!$C$3,0,$AC792))))</f>
        <v/>
      </c>
      <c r="AF792" s="14">
        <f>IF($B792="","",IF(AND($AG792&lt;&gt;"",$AI792="",$AL792=""),"保留中",IF($AL792&lt;&gt;"",IF(N($AE792)&gt;0,"支給済","不支給"),IF($AE792="","要確認",IF($AE792=0,"不支給","未処理")))))</f>
        <v/>
      </c>
      <c r="AG792" s="12" t="n"/>
      <c r="AH792" s="11" t="n"/>
      <c r="AI792" s="11" t="n"/>
      <c r="AJ792" s="11" t="n"/>
      <c r="AK792" s="14">
        <f>IF(AND($AF792="保留中",$AH792&lt;&gt;""),TODAY()-$AH792,"")</f>
        <v/>
      </c>
      <c r="AL792" s="12" t="n"/>
      <c r="AM792" s="14">
        <f>IF($B792="","",IF($AQ792="","対象年月が未入力／","")&amp;IF($B792="","",IF($AP792="","職員マスタに未登録の職員番号／",IF($AA792="","標準報酬月額が未登録／","")&amp;IF(AND($AQ792&lt;&gt;"",OR(AND(INDEX(職員マスタ!$G$6:$G$405,$AP792)&lt;&gt;"",INDEX(職員マスタ!$G$6:$G$405,$AP792)&gt;EOMONTH($AQ792,0)),AND(INDEX(職員マスタ!$H$6:$H$405,$AP792)&lt;&gt;"",INDEX(職員マスタ!$H$6:$H$405,$AP792)&lt;$AQ792))),"対象月が時短期間外／","")&amp;IF(AND(INDEX(職員マスタ!$K$6:$K$405,$AP792)&lt;&gt;"",N($W792)&gt;0,INDEX(職員マスタ!$K$6:$K$405,$AP792)&lt;&gt;$W792),"標準報酬月額が申請書と相違（台帳"&amp;TEXT(INDEX(職員マスタ!$K$6:$K$405,$AP792),"#,##0")&amp;"円／申請書"&amp;TEXT($W792,"#,##0")&amp;"円）／","")&amp;IF(AND(INDEX(職員マスタ!$F$6:$F$405,$AP792)&lt;&gt;"",$AQ792&lt;&gt;"",INDEX(職員マスタ!$F$6:$F$405,$AP792)&lt;$AQ792),"対象月に子が2歳到達済／","")&amp;IF(AND($H792&lt;&gt;"",INDEX(職員マスタ!$B$6:$B$405,$AP792)&lt;&gt;"",SUBSTITUTE(SUBSTITUTE($H792," ","")," ","")&lt;&gt;SUBSTITUTE(SUBSTITUTE(INDEX(職員マスタ!$B$6:$B$405,$AP792)," ","")," ","")),"氏名がマスタと相違／","")&amp;IF(AND($Q792&lt;&gt;"",INDEX(職員マスタ!$E$6:$E$405,$AP792)&lt;&gt;"",$Q792&lt;&gt;INDEX(職員マスタ!$E$6:$E$405,$AP792)),"子の生年月日がマスタと相違／","")&amp;IF(AND($L792&lt;&gt;"",INDEX(職員マスタ!$G$6:$G$405,$AP792)&lt;&gt;"",$L792&lt;&gt;INDEX(職員マスタ!$G$6:$G$405,$AP792)),"時短開始日がマスタと相違／","")&amp;IF(AND($M792&lt;&gt;"",INDEX(職員マスタ!$H$6:$H$405,$AP792)&lt;&gt;"",$M792&lt;&gt;INDEX(職員マスタ!$H$6:$H$405,$AP792)),"時短終了日がマスタと相違／","")))&amp;IF(AND($B792&lt;&gt;"",$E792=""),"報酬額が未入力／","")&amp;IF(N($U792)&gt;0,"申請書に入力エラーが残っています／","")&amp;IF(AND($B792&lt;&gt;"",$AQ792&lt;&gt;""),IF(COUNTIFS($B$6:$B$3005,$B792,$C$6:$C$3005,$C792,$D$6:$D$3005,$D792)&gt;1,"同じ月の請求が重複しています／",""),"")&amp;IF(AND(N($E792)&gt;0,$AB792&lt;&gt;"",$AB792&lt;&gt;"×",$AE792=0,$AD792=""),"計算額が下限以下のため不支給／",""))</f>
        <v/>
      </c>
      <c r="AN792" s="12" t="n"/>
      <c r="AO792" s="14">
        <f>IF($AF792="保留中",COUNTIF($AF$6:$AF792,"保留中"),"")</f>
        <v/>
      </c>
      <c r="AP792" s="14">
        <f>IF($AQ792="","",IF(SUMPRODUCT(MAX((職員マスタ!$A$6:$A$405=$B792)*(((職員マスタ!$G$6:$G$405="")+(職員マスタ!$G$6:$G$405&lt;=EOMONTH($AQ792,0)))&gt;0)*(((職員マスタ!$H$6:$H$405="")+(職員マスタ!$H$6:$H$405&gt;=$AQ792))&gt;0)*(ROW(職員マスタ!$A$6:$A$405)-5)))&gt;0,SUMPRODUCT(MAX((職員マスタ!$A$6:$A$405=$B792)*(((職員マスタ!$G$6:$G$405="")+(職員マスタ!$G$6:$G$405&lt;=EOMONTH($AQ792,0)))&gt;0)*(((職員マスタ!$H$6:$H$405="")+(職員マスタ!$H$6:$H$405&gt;=$AQ792))&gt;0)*(ROW(職員マスタ!$A$6:$A$405)-5))),IFERROR(MATCH($B792,職員マスタ!$A$6:$A$405,0),"")))</f>
        <v/>
      </c>
      <c r="AQ792" s="16">
        <f>IF(OR($B792="",$C792="",$D792=""),"",DATE($C792+2018,$D792,1))</f>
        <v/>
      </c>
    </row>
    <row r="793">
      <c r="A793" s="11" t="n"/>
      <c r="B793" s="12" t="n"/>
      <c r="C793" s="12" t="n"/>
      <c r="D793" s="12" t="n"/>
      <c r="E793" s="13" t="n"/>
      <c r="F793" s="12" t="n"/>
      <c r="G793" s="13" t="n"/>
      <c r="H793" s="12" t="n"/>
      <c r="I793" s="12" t="n"/>
      <c r="J793" s="12" t="n"/>
      <c r="K793" s="12" t="n"/>
      <c r="L793" s="11" t="n"/>
      <c r="M793" s="11" t="n"/>
      <c r="N793" s="11" t="n"/>
      <c r="O793" s="11" t="n"/>
      <c r="P793" s="12" t="n"/>
      <c r="Q793" s="11" t="n"/>
      <c r="R793" s="12" t="n"/>
      <c r="S793" s="11" t="n"/>
      <c r="T793" s="12" t="n"/>
      <c r="U793" s="12" t="n"/>
      <c r="V793" s="12" t="n"/>
      <c r="W793" s="13" t="n"/>
      <c r="X793" s="14">
        <f>IF($AP793="",IF($B793="","",$H793),IF(INDEX(職員マスタ!$B$6:$B$405,$AP793)="",$H793,INDEX(職員マスタ!$B$6:$B$405,$AP793)))</f>
        <v/>
      </c>
      <c r="Y793" s="14">
        <f>IF($AP793="",IF($B793="","",$R793),IF(INDEX(職員マスタ!$C$6:$C$405,$AP793)="",$R793,INDEX(職員マスタ!$C$6:$C$405,$AP793)))</f>
        <v/>
      </c>
      <c r="Z793" s="14">
        <f>IF($AQ793="","","R"&amp;$C793&amp;"."&amp;$D793)</f>
        <v/>
      </c>
      <c r="AA793" s="15">
        <f>IF(IF($AP793="",FALSE,INDEX(職員マスタ!$K$6:$K$405,$AP793)&lt;&gt;""),INDEX(職員マスタ!$K$6:$K$405,$AP793),IF(N($W793)&gt;0,$W793,""))</f>
        <v/>
      </c>
      <c r="AB793" s="14">
        <f>IF(OR($E793="",$AA793=""),"",IF($E793&gt;=$AA793,"×",IF($E793&gt;=$AA793*設定!$C$5,"△","○")))</f>
        <v/>
      </c>
      <c r="AC793" s="15">
        <f>IF($AB793="","",IF($AB793="×",0,IF($AB793="○",ROUNDDOWN($E793*設定!$C$4,0),ROUNDDOWN($E793*ROUND((9*$AA793-9*$E793)/(10*$E793),4),0))))</f>
        <v/>
      </c>
      <c r="AD793" s="13" t="n"/>
      <c r="AE793" s="15">
        <f>IF($B793="","",IF($AD793&lt;&gt;"",$AD793,IF($AC793="","",IF($AC793&lt;=設定!$C$3,0,$AC793))))</f>
        <v/>
      </c>
      <c r="AF793" s="14">
        <f>IF($B793="","",IF(AND($AG793&lt;&gt;"",$AI793="",$AL793=""),"保留中",IF($AL793&lt;&gt;"",IF(N($AE793)&gt;0,"支給済","不支給"),IF($AE793="","要確認",IF($AE793=0,"不支給","未処理")))))</f>
        <v/>
      </c>
      <c r="AG793" s="12" t="n"/>
      <c r="AH793" s="11" t="n"/>
      <c r="AI793" s="11" t="n"/>
      <c r="AJ793" s="11" t="n"/>
      <c r="AK793" s="14">
        <f>IF(AND($AF793="保留中",$AH793&lt;&gt;""),TODAY()-$AH793,"")</f>
        <v/>
      </c>
      <c r="AL793" s="12" t="n"/>
      <c r="AM793" s="14">
        <f>IF($B793="","",IF($AQ793="","対象年月が未入力／","")&amp;IF($B793="","",IF($AP793="","職員マスタに未登録の職員番号／",IF($AA793="","標準報酬月額が未登録／","")&amp;IF(AND($AQ793&lt;&gt;"",OR(AND(INDEX(職員マスタ!$G$6:$G$405,$AP793)&lt;&gt;"",INDEX(職員マスタ!$G$6:$G$405,$AP793)&gt;EOMONTH($AQ793,0)),AND(INDEX(職員マスタ!$H$6:$H$405,$AP793)&lt;&gt;"",INDEX(職員マスタ!$H$6:$H$405,$AP793)&lt;$AQ793))),"対象月が時短期間外／","")&amp;IF(AND(INDEX(職員マスタ!$K$6:$K$405,$AP793)&lt;&gt;"",N($W793)&gt;0,INDEX(職員マスタ!$K$6:$K$405,$AP793)&lt;&gt;$W793),"標準報酬月額が申請書と相違（台帳"&amp;TEXT(INDEX(職員マスタ!$K$6:$K$405,$AP793),"#,##0")&amp;"円／申請書"&amp;TEXT($W793,"#,##0")&amp;"円）／","")&amp;IF(AND(INDEX(職員マスタ!$F$6:$F$405,$AP793)&lt;&gt;"",$AQ793&lt;&gt;"",INDEX(職員マスタ!$F$6:$F$405,$AP793)&lt;$AQ793),"対象月に子が2歳到達済／","")&amp;IF(AND($H793&lt;&gt;"",INDEX(職員マスタ!$B$6:$B$405,$AP793)&lt;&gt;"",SUBSTITUTE(SUBSTITUTE($H793," ","")," ","")&lt;&gt;SUBSTITUTE(SUBSTITUTE(INDEX(職員マスタ!$B$6:$B$405,$AP793)," ","")," ","")),"氏名がマスタと相違／","")&amp;IF(AND($Q793&lt;&gt;"",INDEX(職員マスタ!$E$6:$E$405,$AP793)&lt;&gt;"",$Q793&lt;&gt;INDEX(職員マスタ!$E$6:$E$405,$AP793)),"子の生年月日がマスタと相違／","")&amp;IF(AND($L793&lt;&gt;"",INDEX(職員マスタ!$G$6:$G$405,$AP793)&lt;&gt;"",$L793&lt;&gt;INDEX(職員マスタ!$G$6:$G$405,$AP793)),"時短開始日がマスタと相違／","")&amp;IF(AND($M793&lt;&gt;"",INDEX(職員マスタ!$H$6:$H$405,$AP793)&lt;&gt;"",$M793&lt;&gt;INDEX(職員マスタ!$H$6:$H$405,$AP793)),"時短終了日がマスタと相違／","")))&amp;IF(AND($B793&lt;&gt;"",$E793=""),"報酬額が未入力／","")&amp;IF(N($U793)&gt;0,"申請書に入力エラーが残っています／","")&amp;IF(AND($B793&lt;&gt;"",$AQ793&lt;&gt;""),IF(COUNTIFS($B$6:$B$3005,$B793,$C$6:$C$3005,$C793,$D$6:$D$3005,$D793)&gt;1,"同じ月の請求が重複しています／",""),"")&amp;IF(AND(N($E793)&gt;0,$AB793&lt;&gt;"",$AB793&lt;&gt;"×",$AE793=0,$AD793=""),"計算額が下限以下のため不支給／",""))</f>
        <v/>
      </c>
      <c r="AN793" s="12" t="n"/>
      <c r="AO793" s="14">
        <f>IF($AF793="保留中",COUNTIF($AF$6:$AF793,"保留中"),"")</f>
        <v/>
      </c>
      <c r="AP793" s="14">
        <f>IF($AQ793="","",IF(SUMPRODUCT(MAX((職員マスタ!$A$6:$A$405=$B793)*(((職員マスタ!$G$6:$G$405="")+(職員マスタ!$G$6:$G$405&lt;=EOMONTH($AQ793,0)))&gt;0)*(((職員マスタ!$H$6:$H$405="")+(職員マスタ!$H$6:$H$405&gt;=$AQ793))&gt;0)*(ROW(職員マスタ!$A$6:$A$405)-5)))&gt;0,SUMPRODUCT(MAX((職員マスタ!$A$6:$A$405=$B793)*(((職員マスタ!$G$6:$G$405="")+(職員マスタ!$G$6:$G$405&lt;=EOMONTH($AQ793,0)))&gt;0)*(((職員マスタ!$H$6:$H$405="")+(職員マスタ!$H$6:$H$405&gt;=$AQ793))&gt;0)*(ROW(職員マスタ!$A$6:$A$405)-5))),IFERROR(MATCH($B793,職員マスタ!$A$6:$A$405,0),"")))</f>
        <v/>
      </c>
      <c r="AQ793" s="16">
        <f>IF(OR($B793="",$C793="",$D793=""),"",DATE($C793+2018,$D793,1))</f>
        <v/>
      </c>
    </row>
    <row r="794">
      <c r="A794" s="11" t="n"/>
      <c r="B794" s="12" t="n"/>
      <c r="C794" s="12" t="n"/>
      <c r="D794" s="12" t="n"/>
      <c r="E794" s="13" t="n"/>
      <c r="F794" s="12" t="n"/>
      <c r="G794" s="13" t="n"/>
      <c r="H794" s="12" t="n"/>
      <c r="I794" s="12" t="n"/>
      <c r="J794" s="12" t="n"/>
      <c r="K794" s="12" t="n"/>
      <c r="L794" s="11" t="n"/>
      <c r="M794" s="11" t="n"/>
      <c r="N794" s="11" t="n"/>
      <c r="O794" s="11" t="n"/>
      <c r="P794" s="12" t="n"/>
      <c r="Q794" s="11" t="n"/>
      <c r="R794" s="12" t="n"/>
      <c r="S794" s="11" t="n"/>
      <c r="T794" s="12" t="n"/>
      <c r="U794" s="12" t="n"/>
      <c r="V794" s="12" t="n"/>
      <c r="W794" s="13" t="n"/>
      <c r="X794" s="14">
        <f>IF($AP794="",IF($B794="","",$H794),IF(INDEX(職員マスタ!$B$6:$B$405,$AP794)="",$H794,INDEX(職員マスタ!$B$6:$B$405,$AP794)))</f>
        <v/>
      </c>
      <c r="Y794" s="14">
        <f>IF($AP794="",IF($B794="","",$R794),IF(INDEX(職員マスタ!$C$6:$C$405,$AP794)="",$R794,INDEX(職員マスタ!$C$6:$C$405,$AP794)))</f>
        <v/>
      </c>
      <c r="Z794" s="14">
        <f>IF($AQ794="","","R"&amp;$C794&amp;"."&amp;$D794)</f>
        <v/>
      </c>
      <c r="AA794" s="15">
        <f>IF(IF($AP794="",FALSE,INDEX(職員マスタ!$K$6:$K$405,$AP794)&lt;&gt;""),INDEX(職員マスタ!$K$6:$K$405,$AP794),IF(N($W794)&gt;0,$W794,""))</f>
        <v/>
      </c>
      <c r="AB794" s="14">
        <f>IF(OR($E794="",$AA794=""),"",IF($E794&gt;=$AA794,"×",IF($E794&gt;=$AA794*設定!$C$5,"△","○")))</f>
        <v/>
      </c>
      <c r="AC794" s="15">
        <f>IF($AB794="","",IF($AB794="×",0,IF($AB794="○",ROUNDDOWN($E794*設定!$C$4,0),ROUNDDOWN($E794*ROUND((9*$AA794-9*$E794)/(10*$E794),4),0))))</f>
        <v/>
      </c>
      <c r="AD794" s="13" t="n"/>
      <c r="AE794" s="15">
        <f>IF($B794="","",IF($AD794&lt;&gt;"",$AD794,IF($AC794="","",IF($AC794&lt;=設定!$C$3,0,$AC794))))</f>
        <v/>
      </c>
      <c r="AF794" s="14">
        <f>IF($B794="","",IF(AND($AG794&lt;&gt;"",$AI794="",$AL794=""),"保留中",IF($AL794&lt;&gt;"",IF(N($AE794)&gt;0,"支給済","不支給"),IF($AE794="","要確認",IF($AE794=0,"不支給","未処理")))))</f>
        <v/>
      </c>
      <c r="AG794" s="12" t="n"/>
      <c r="AH794" s="11" t="n"/>
      <c r="AI794" s="11" t="n"/>
      <c r="AJ794" s="11" t="n"/>
      <c r="AK794" s="14">
        <f>IF(AND($AF794="保留中",$AH794&lt;&gt;""),TODAY()-$AH794,"")</f>
        <v/>
      </c>
      <c r="AL794" s="12" t="n"/>
      <c r="AM794" s="14">
        <f>IF($B794="","",IF($AQ794="","対象年月が未入力／","")&amp;IF($B794="","",IF($AP794="","職員マスタに未登録の職員番号／",IF($AA794="","標準報酬月額が未登録／","")&amp;IF(AND($AQ794&lt;&gt;"",OR(AND(INDEX(職員マスタ!$G$6:$G$405,$AP794)&lt;&gt;"",INDEX(職員マスタ!$G$6:$G$405,$AP794)&gt;EOMONTH($AQ794,0)),AND(INDEX(職員マスタ!$H$6:$H$405,$AP794)&lt;&gt;"",INDEX(職員マスタ!$H$6:$H$405,$AP794)&lt;$AQ794))),"対象月が時短期間外／","")&amp;IF(AND(INDEX(職員マスタ!$K$6:$K$405,$AP794)&lt;&gt;"",N($W794)&gt;0,INDEX(職員マスタ!$K$6:$K$405,$AP794)&lt;&gt;$W794),"標準報酬月額が申請書と相違（台帳"&amp;TEXT(INDEX(職員マスタ!$K$6:$K$405,$AP794),"#,##0")&amp;"円／申請書"&amp;TEXT($W794,"#,##0")&amp;"円）／","")&amp;IF(AND(INDEX(職員マスタ!$F$6:$F$405,$AP794)&lt;&gt;"",$AQ794&lt;&gt;"",INDEX(職員マスタ!$F$6:$F$405,$AP794)&lt;$AQ794),"対象月に子が2歳到達済／","")&amp;IF(AND($H794&lt;&gt;"",INDEX(職員マスタ!$B$6:$B$405,$AP794)&lt;&gt;"",SUBSTITUTE(SUBSTITUTE($H794," ","")," ","")&lt;&gt;SUBSTITUTE(SUBSTITUTE(INDEX(職員マスタ!$B$6:$B$405,$AP794)," ","")," ","")),"氏名がマスタと相違／","")&amp;IF(AND($Q794&lt;&gt;"",INDEX(職員マスタ!$E$6:$E$405,$AP794)&lt;&gt;"",$Q794&lt;&gt;INDEX(職員マスタ!$E$6:$E$405,$AP794)),"子の生年月日がマスタと相違／","")&amp;IF(AND($L794&lt;&gt;"",INDEX(職員マスタ!$G$6:$G$405,$AP794)&lt;&gt;"",$L794&lt;&gt;INDEX(職員マスタ!$G$6:$G$405,$AP794)),"時短開始日がマスタと相違／","")&amp;IF(AND($M794&lt;&gt;"",INDEX(職員マスタ!$H$6:$H$405,$AP794)&lt;&gt;"",$M794&lt;&gt;INDEX(職員マスタ!$H$6:$H$405,$AP794)),"時短終了日がマスタと相違／","")))&amp;IF(AND($B794&lt;&gt;"",$E794=""),"報酬額が未入力／","")&amp;IF(N($U794)&gt;0,"申請書に入力エラーが残っています／","")&amp;IF(AND($B794&lt;&gt;"",$AQ794&lt;&gt;""),IF(COUNTIFS($B$6:$B$3005,$B794,$C$6:$C$3005,$C794,$D$6:$D$3005,$D794)&gt;1,"同じ月の請求が重複しています／",""),"")&amp;IF(AND(N($E794)&gt;0,$AB794&lt;&gt;"",$AB794&lt;&gt;"×",$AE794=0,$AD794=""),"計算額が下限以下のため不支給／",""))</f>
        <v/>
      </c>
      <c r="AN794" s="12" t="n"/>
      <c r="AO794" s="14">
        <f>IF($AF794="保留中",COUNTIF($AF$6:$AF794,"保留中"),"")</f>
        <v/>
      </c>
      <c r="AP794" s="14">
        <f>IF($AQ794="","",IF(SUMPRODUCT(MAX((職員マスタ!$A$6:$A$405=$B794)*(((職員マスタ!$G$6:$G$405="")+(職員マスタ!$G$6:$G$405&lt;=EOMONTH($AQ794,0)))&gt;0)*(((職員マスタ!$H$6:$H$405="")+(職員マスタ!$H$6:$H$405&gt;=$AQ794))&gt;0)*(ROW(職員マスタ!$A$6:$A$405)-5)))&gt;0,SUMPRODUCT(MAX((職員マスタ!$A$6:$A$405=$B794)*(((職員マスタ!$G$6:$G$405="")+(職員マスタ!$G$6:$G$405&lt;=EOMONTH($AQ794,0)))&gt;0)*(((職員マスタ!$H$6:$H$405="")+(職員マスタ!$H$6:$H$405&gt;=$AQ794))&gt;0)*(ROW(職員マスタ!$A$6:$A$405)-5))),IFERROR(MATCH($B794,職員マスタ!$A$6:$A$405,0),"")))</f>
        <v/>
      </c>
      <c r="AQ794" s="16">
        <f>IF(OR($B794="",$C794="",$D794=""),"",DATE($C794+2018,$D794,1))</f>
        <v/>
      </c>
    </row>
    <row r="795">
      <c r="A795" s="11" t="n"/>
      <c r="B795" s="12" t="n"/>
      <c r="C795" s="12" t="n"/>
      <c r="D795" s="12" t="n"/>
      <c r="E795" s="13" t="n"/>
      <c r="F795" s="12" t="n"/>
      <c r="G795" s="13" t="n"/>
      <c r="H795" s="12" t="n"/>
      <c r="I795" s="12" t="n"/>
      <c r="J795" s="12" t="n"/>
      <c r="K795" s="12" t="n"/>
      <c r="L795" s="11" t="n"/>
      <c r="M795" s="11" t="n"/>
      <c r="N795" s="11" t="n"/>
      <c r="O795" s="11" t="n"/>
      <c r="P795" s="12" t="n"/>
      <c r="Q795" s="11" t="n"/>
      <c r="R795" s="12" t="n"/>
      <c r="S795" s="11" t="n"/>
      <c r="T795" s="12" t="n"/>
      <c r="U795" s="12" t="n"/>
      <c r="V795" s="12" t="n"/>
      <c r="W795" s="13" t="n"/>
      <c r="X795" s="14">
        <f>IF($AP795="",IF($B795="","",$H795),IF(INDEX(職員マスタ!$B$6:$B$405,$AP795)="",$H795,INDEX(職員マスタ!$B$6:$B$405,$AP795)))</f>
        <v/>
      </c>
      <c r="Y795" s="14">
        <f>IF($AP795="",IF($B795="","",$R795),IF(INDEX(職員マスタ!$C$6:$C$405,$AP795)="",$R795,INDEX(職員マスタ!$C$6:$C$405,$AP795)))</f>
        <v/>
      </c>
      <c r="Z795" s="14">
        <f>IF($AQ795="","","R"&amp;$C795&amp;"."&amp;$D795)</f>
        <v/>
      </c>
      <c r="AA795" s="15">
        <f>IF(IF($AP795="",FALSE,INDEX(職員マスタ!$K$6:$K$405,$AP795)&lt;&gt;""),INDEX(職員マスタ!$K$6:$K$405,$AP795),IF(N($W795)&gt;0,$W795,""))</f>
        <v/>
      </c>
      <c r="AB795" s="14">
        <f>IF(OR($E795="",$AA795=""),"",IF($E795&gt;=$AA795,"×",IF($E795&gt;=$AA795*設定!$C$5,"△","○")))</f>
        <v/>
      </c>
      <c r="AC795" s="15">
        <f>IF($AB795="","",IF($AB795="×",0,IF($AB795="○",ROUNDDOWN($E795*設定!$C$4,0),ROUNDDOWN($E795*ROUND((9*$AA795-9*$E795)/(10*$E795),4),0))))</f>
        <v/>
      </c>
      <c r="AD795" s="13" t="n"/>
      <c r="AE795" s="15">
        <f>IF($B795="","",IF($AD795&lt;&gt;"",$AD795,IF($AC795="","",IF($AC795&lt;=設定!$C$3,0,$AC795))))</f>
        <v/>
      </c>
      <c r="AF795" s="14">
        <f>IF($B795="","",IF(AND($AG795&lt;&gt;"",$AI795="",$AL795=""),"保留中",IF($AL795&lt;&gt;"",IF(N($AE795)&gt;0,"支給済","不支給"),IF($AE795="","要確認",IF($AE795=0,"不支給","未処理")))))</f>
        <v/>
      </c>
      <c r="AG795" s="12" t="n"/>
      <c r="AH795" s="11" t="n"/>
      <c r="AI795" s="11" t="n"/>
      <c r="AJ795" s="11" t="n"/>
      <c r="AK795" s="14">
        <f>IF(AND($AF795="保留中",$AH795&lt;&gt;""),TODAY()-$AH795,"")</f>
        <v/>
      </c>
      <c r="AL795" s="12" t="n"/>
      <c r="AM795" s="14">
        <f>IF($B795="","",IF($AQ795="","対象年月が未入力／","")&amp;IF($B795="","",IF($AP795="","職員マスタに未登録の職員番号／",IF($AA795="","標準報酬月額が未登録／","")&amp;IF(AND($AQ795&lt;&gt;"",OR(AND(INDEX(職員マスタ!$G$6:$G$405,$AP795)&lt;&gt;"",INDEX(職員マスタ!$G$6:$G$405,$AP795)&gt;EOMONTH($AQ795,0)),AND(INDEX(職員マスタ!$H$6:$H$405,$AP795)&lt;&gt;"",INDEX(職員マスタ!$H$6:$H$405,$AP795)&lt;$AQ795))),"対象月が時短期間外／","")&amp;IF(AND(INDEX(職員マスタ!$K$6:$K$405,$AP795)&lt;&gt;"",N($W795)&gt;0,INDEX(職員マスタ!$K$6:$K$405,$AP795)&lt;&gt;$W795),"標準報酬月額が申請書と相違（台帳"&amp;TEXT(INDEX(職員マスタ!$K$6:$K$405,$AP795),"#,##0")&amp;"円／申請書"&amp;TEXT($W795,"#,##0")&amp;"円）／","")&amp;IF(AND(INDEX(職員マスタ!$F$6:$F$405,$AP795)&lt;&gt;"",$AQ795&lt;&gt;"",INDEX(職員マスタ!$F$6:$F$405,$AP795)&lt;$AQ795),"対象月に子が2歳到達済／","")&amp;IF(AND($H795&lt;&gt;"",INDEX(職員マスタ!$B$6:$B$405,$AP795)&lt;&gt;"",SUBSTITUTE(SUBSTITUTE($H795," ","")," ","")&lt;&gt;SUBSTITUTE(SUBSTITUTE(INDEX(職員マスタ!$B$6:$B$405,$AP795)," ","")," ","")),"氏名がマスタと相違／","")&amp;IF(AND($Q795&lt;&gt;"",INDEX(職員マスタ!$E$6:$E$405,$AP795)&lt;&gt;"",$Q795&lt;&gt;INDEX(職員マスタ!$E$6:$E$405,$AP795)),"子の生年月日がマスタと相違／","")&amp;IF(AND($L795&lt;&gt;"",INDEX(職員マスタ!$G$6:$G$405,$AP795)&lt;&gt;"",$L795&lt;&gt;INDEX(職員マスタ!$G$6:$G$405,$AP795)),"時短開始日がマスタと相違／","")&amp;IF(AND($M795&lt;&gt;"",INDEX(職員マスタ!$H$6:$H$405,$AP795)&lt;&gt;"",$M795&lt;&gt;INDEX(職員マスタ!$H$6:$H$405,$AP795)),"時短終了日がマスタと相違／","")))&amp;IF(AND($B795&lt;&gt;"",$E795=""),"報酬額が未入力／","")&amp;IF(N($U795)&gt;0,"申請書に入力エラーが残っています／","")&amp;IF(AND($B795&lt;&gt;"",$AQ795&lt;&gt;""),IF(COUNTIFS($B$6:$B$3005,$B795,$C$6:$C$3005,$C795,$D$6:$D$3005,$D795)&gt;1,"同じ月の請求が重複しています／",""),"")&amp;IF(AND(N($E795)&gt;0,$AB795&lt;&gt;"",$AB795&lt;&gt;"×",$AE795=0,$AD795=""),"計算額が下限以下のため不支給／",""))</f>
        <v/>
      </c>
      <c r="AN795" s="12" t="n"/>
      <c r="AO795" s="14">
        <f>IF($AF795="保留中",COUNTIF($AF$6:$AF795,"保留中"),"")</f>
        <v/>
      </c>
      <c r="AP795" s="14">
        <f>IF($AQ795="","",IF(SUMPRODUCT(MAX((職員マスタ!$A$6:$A$405=$B795)*(((職員マスタ!$G$6:$G$405="")+(職員マスタ!$G$6:$G$405&lt;=EOMONTH($AQ795,0)))&gt;0)*(((職員マスタ!$H$6:$H$405="")+(職員マスタ!$H$6:$H$405&gt;=$AQ795))&gt;0)*(ROW(職員マスタ!$A$6:$A$405)-5)))&gt;0,SUMPRODUCT(MAX((職員マスタ!$A$6:$A$405=$B795)*(((職員マスタ!$G$6:$G$405="")+(職員マスタ!$G$6:$G$405&lt;=EOMONTH($AQ795,0)))&gt;0)*(((職員マスタ!$H$6:$H$405="")+(職員マスタ!$H$6:$H$405&gt;=$AQ795))&gt;0)*(ROW(職員マスタ!$A$6:$A$405)-5))),IFERROR(MATCH($B795,職員マスタ!$A$6:$A$405,0),"")))</f>
        <v/>
      </c>
      <c r="AQ795" s="16">
        <f>IF(OR($B795="",$C795="",$D795=""),"",DATE($C795+2018,$D795,1))</f>
        <v/>
      </c>
    </row>
    <row r="796">
      <c r="A796" s="11" t="n"/>
      <c r="B796" s="12" t="n"/>
      <c r="C796" s="12" t="n"/>
      <c r="D796" s="12" t="n"/>
      <c r="E796" s="13" t="n"/>
      <c r="F796" s="12" t="n"/>
      <c r="G796" s="13" t="n"/>
      <c r="H796" s="12" t="n"/>
      <c r="I796" s="12" t="n"/>
      <c r="J796" s="12" t="n"/>
      <c r="K796" s="12" t="n"/>
      <c r="L796" s="11" t="n"/>
      <c r="M796" s="11" t="n"/>
      <c r="N796" s="11" t="n"/>
      <c r="O796" s="11" t="n"/>
      <c r="P796" s="12" t="n"/>
      <c r="Q796" s="11" t="n"/>
      <c r="R796" s="12" t="n"/>
      <c r="S796" s="11" t="n"/>
      <c r="T796" s="12" t="n"/>
      <c r="U796" s="12" t="n"/>
      <c r="V796" s="12" t="n"/>
      <c r="W796" s="13" t="n"/>
      <c r="X796" s="14">
        <f>IF($AP796="",IF($B796="","",$H796),IF(INDEX(職員マスタ!$B$6:$B$405,$AP796)="",$H796,INDEX(職員マスタ!$B$6:$B$405,$AP796)))</f>
        <v/>
      </c>
      <c r="Y796" s="14">
        <f>IF($AP796="",IF($B796="","",$R796),IF(INDEX(職員マスタ!$C$6:$C$405,$AP796)="",$R796,INDEX(職員マスタ!$C$6:$C$405,$AP796)))</f>
        <v/>
      </c>
      <c r="Z796" s="14">
        <f>IF($AQ796="","","R"&amp;$C796&amp;"."&amp;$D796)</f>
        <v/>
      </c>
      <c r="AA796" s="15">
        <f>IF(IF($AP796="",FALSE,INDEX(職員マスタ!$K$6:$K$405,$AP796)&lt;&gt;""),INDEX(職員マスタ!$K$6:$K$405,$AP796),IF(N($W796)&gt;0,$W796,""))</f>
        <v/>
      </c>
      <c r="AB796" s="14">
        <f>IF(OR($E796="",$AA796=""),"",IF($E796&gt;=$AA796,"×",IF($E796&gt;=$AA796*設定!$C$5,"△","○")))</f>
        <v/>
      </c>
      <c r="AC796" s="15">
        <f>IF($AB796="","",IF($AB796="×",0,IF($AB796="○",ROUNDDOWN($E796*設定!$C$4,0),ROUNDDOWN($E796*ROUND((9*$AA796-9*$E796)/(10*$E796),4),0))))</f>
        <v/>
      </c>
      <c r="AD796" s="13" t="n"/>
      <c r="AE796" s="15">
        <f>IF($B796="","",IF($AD796&lt;&gt;"",$AD796,IF($AC796="","",IF($AC796&lt;=設定!$C$3,0,$AC796))))</f>
        <v/>
      </c>
      <c r="AF796" s="14">
        <f>IF($B796="","",IF(AND($AG796&lt;&gt;"",$AI796="",$AL796=""),"保留中",IF($AL796&lt;&gt;"",IF(N($AE796)&gt;0,"支給済","不支給"),IF($AE796="","要確認",IF($AE796=0,"不支給","未処理")))))</f>
        <v/>
      </c>
      <c r="AG796" s="12" t="n"/>
      <c r="AH796" s="11" t="n"/>
      <c r="AI796" s="11" t="n"/>
      <c r="AJ796" s="11" t="n"/>
      <c r="AK796" s="14">
        <f>IF(AND($AF796="保留中",$AH796&lt;&gt;""),TODAY()-$AH796,"")</f>
        <v/>
      </c>
      <c r="AL796" s="12" t="n"/>
      <c r="AM796" s="14">
        <f>IF($B796="","",IF($AQ796="","対象年月が未入力／","")&amp;IF($B796="","",IF($AP796="","職員マスタに未登録の職員番号／",IF($AA796="","標準報酬月額が未登録／","")&amp;IF(AND($AQ796&lt;&gt;"",OR(AND(INDEX(職員マスタ!$G$6:$G$405,$AP796)&lt;&gt;"",INDEX(職員マスタ!$G$6:$G$405,$AP796)&gt;EOMONTH($AQ796,0)),AND(INDEX(職員マスタ!$H$6:$H$405,$AP796)&lt;&gt;"",INDEX(職員マスタ!$H$6:$H$405,$AP796)&lt;$AQ796))),"対象月が時短期間外／","")&amp;IF(AND(INDEX(職員マスタ!$K$6:$K$405,$AP796)&lt;&gt;"",N($W796)&gt;0,INDEX(職員マスタ!$K$6:$K$405,$AP796)&lt;&gt;$W796),"標準報酬月額が申請書と相違（台帳"&amp;TEXT(INDEX(職員マスタ!$K$6:$K$405,$AP796),"#,##0")&amp;"円／申請書"&amp;TEXT($W796,"#,##0")&amp;"円）／","")&amp;IF(AND(INDEX(職員マスタ!$F$6:$F$405,$AP796)&lt;&gt;"",$AQ796&lt;&gt;"",INDEX(職員マスタ!$F$6:$F$405,$AP796)&lt;$AQ796),"対象月に子が2歳到達済／","")&amp;IF(AND($H796&lt;&gt;"",INDEX(職員マスタ!$B$6:$B$405,$AP796)&lt;&gt;"",SUBSTITUTE(SUBSTITUTE($H796," ","")," ","")&lt;&gt;SUBSTITUTE(SUBSTITUTE(INDEX(職員マスタ!$B$6:$B$405,$AP796)," ","")," ","")),"氏名がマスタと相違／","")&amp;IF(AND($Q796&lt;&gt;"",INDEX(職員マスタ!$E$6:$E$405,$AP796)&lt;&gt;"",$Q796&lt;&gt;INDEX(職員マスタ!$E$6:$E$405,$AP796)),"子の生年月日がマスタと相違／","")&amp;IF(AND($L796&lt;&gt;"",INDEX(職員マスタ!$G$6:$G$405,$AP796)&lt;&gt;"",$L796&lt;&gt;INDEX(職員マスタ!$G$6:$G$405,$AP796)),"時短開始日がマスタと相違／","")&amp;IF(AND($M796&lt;&gt;"",INDEX(職員マスタ!$H$6:$H$405,$AP796)&lt;&gt;"",$M796&lt;&gt;INDEX(職員マスタ!$H$6:$H$405,$AP796)),"時短終了日がマスタと相違／","")))&amp;IF(AND($B796&lt;&gt;"",$E796=""),"報酬額が未入力／","")&amp;IF(N($U796)&gt;0,"申請書に入力エラーが残っています／","")&amp;IF(AND($B796&lt;&gt;"",$AQ796&lt;&gt;""),IF(COUNTIFS($B$6:$B$3005,$B796,$C$6:$C$3005,$C796,$D$6:$D$3005,$D796)&gt;1,"同じ月の請求が重複しています／",""),"")&amp;IF(AND(N($E796)&gt;0,$AB796&lt;&gt;"",$AB796&lt;&gt;"×",$AE796=0,$AD796=""),"計算額が下限以下のため不支給／",""))</f>
        <v/>
      </c>
      <c r="AN796" s="12" t="n"/>
      <c r="AO796" s="14">
        <f>IF($AF796="保留中",COUNTIF($AF$6:$AF796,"保留中"),"")</f>
        <v/>
      </c>
      <c r="AP796" s="14">
        <f>IF($AQ796="","",IF(SUMPRODUCT(MAX((職員マスタ!$A$6:$A$405=$B796)*(((職員マスタ!$G$6:$G$405="")+(職員マスタ!$G$6:$G$405&lt;=EOMONTH($AQ796,0)))&gt;0)*(((職員マスタ!$H$6:$H$405="")+(職員マスタ!$H$6:$H$405&gt;=$AQ796))&gt;0)*(ROW(職員マスタ!$A$6:$A$405)-5)))&gt;0,SUMPRODUCT(MAX((職員マスタ!$A$6:$A$405=$B796)*(((職員マスタ!$G$6:$G$405="")+(職員マスタ!$G$6:$G$405&lt;=EOMONTH($AQ796,0)))&gt;0)*(((職員マスタ!$H$6:$H$405="")+(職員マスタ!$H$6:$H$405&gt;=$AQ796))&gt;0)*(ROW(職員マスタ!$A$6:$A$405)-5))),IFERROR(MATCH($B796,職員マスタ!$A$6:$A$405,0),"")))</f>
        <v/>
      </c>
      <c r="AQ796" s="16">
        <f>IF(OR($B796="",$C796="",$D796=""),"",DATE($C796+2018,$D796,1))</f>
        <v/>
      </c>
    </row>
    <row r="797">
      <c r="A797" s="11" t="n"/>
      <c r="B797" s="12" t="n"/>
      <c r="C797" s="12" t="n"/>
      <c r="D797" s="12" t="n"/>
      <c r="E797" s="13" t="n"/>
      <c r="F797" s="12" t="n"/>
      <c r="G797" s="13" t="n"/>
      <c r="H797" s="12" t="n"/>
      <c r="I797" s="12" t="n"/>
      <c r="J797" s="12" t="n"/>
      <c r="K797" s="12" t="n"/>
      <c r="L797" s="11" t="n"/>
      <c r="M797" s="11" t="n"/>
      <c r="N797" s="11" t="n"/>
      <c r="O797" s="11" t="n"/>
      <c r="P797" s="12" t="n"/>
      <c r="Q797" s="11" t="n"/>
      <c r="R797" s="12" t="n"/>
      <c r="S797" s="11" t="n"/>
      <c r="T797" s="12" t="n"/>
      <c r="U797" s="12" t="n"/>
      <c r="V797" s="12" t="n"/>
      <c r="W797" s="13" t="n"/>
      <c r="X797" s="14">
        <f>IF($AP797="",IF($B797="","",$H797),IF(INDEX(職員マスタ!$B$6:$B$405,$AP797)="",$H797,INDEX(職員マスタ!$B$6:$B$405,$AP797)))</f>
        <v/>
      </c>
      <c r="Y797" s="14">
        <f>IF($AP797="",IF($B797="","",$R797),IF(INDEX(職員マスタ!$C$6:$C$405,$AP797)="",$R797,INDEX(職員マスタ!$C$6:$C$405,$AP797)))</f>
        <v/>
      </c>
      <c r="Z797" s="14">
        <f>IF($AQ797="","","R"&amp;$C797&amp;"."&amp;$D797)</f>
        <v/>
      </c>
      <c r="AA797" s="15">
        <f>IF(IF($AP797="",FALSE,INDEX(職員マスタ!$K$6:$K$405,$AP797)&lt;&gt;""),INDEX(職員マスタ!$K$6:$K$405,$AP797),IF(N($W797)&gt;0,$W797,""))</f>
        <v/>
      </c>
      <c r="AB797" s="14">
        <f>IF(OR($E797="",$AA797=""),"",IF($E797&gt;=$AA797,"×",IF($E797&gt;=$AA797*設定!$C$5,"△","○")))</f>
        <v/>
      </c>
      <c r="AC797" s="15">
        <f>IF($AB797="","",IF($AB797="×",0,IF($AB797="○",ROUNDDOWN($E797*設定!$C$4,0),ROUNDDOWN($E797*ROUND((9*$AA797-9*$E797)/(10*$E797),4),0))))</f>
        <v/>
      </c>
      <c r="AD797" s="13" t="n"/>
      <c r="AE797" s="15">
        <f>IF($B797="","",IF($AD797&lt;&gt;"",$AD797,IF($AC797="","",IF($AC797&lt;=設定!$C$3,0,$AC797))))</f>
        <v/>
      </c>
      <c r="AF797" s="14">
        <f>IF($B797="","",IF(AND($AG797&lt;&gt;"",$AI797="",$AL797=""),"保留中",IF($AL797&lt;&gt;"",IF(N($AE797)&gt;0,"支給済","不支給"),IF($AE797="","要確認",IF($AE797=0,"不支給","未処理")))))</f>
        <v/>
      </c>
      <c r="AG797" s="12" t="n"/>
      <c r="AH797" s="11" t="n"/>
      <c r="AI797" s="11" t="n"/>
      <c r="AJ797" s="11" t="n"/>
      <c r="AK797" s="14">
        <f>IF(AND($AF797="保留中",$AH797&lt;&gt;""),TODAY()-$AH797,"")</f>
        <v/>
      </c>
      <c r="AL797" s="12" t="n"/>
      <c r="AM797" s="14">
        <f>IF($B797="","",IF($AQ797="","対象年月が未入力／","")&amp;IF($B797="","",IF($AP797="","職員マスタに未登録の職員番号／",IF($AA797="","標準報酬月額が未登録／","")&amp;IF(AND($AQ797&lt;&gt;"",OR(AND(INDEX(職員マスタ!$G$6:$G$405,$AP797)&lt;&gt;"",INDEX(職員マスタ!$G$6:$G$405,$AP797)&gt;EOMONTH($AQ797,0)),AND(INDEX(職員マスタ!$H$6:$H$405,$AP797)&lt;&gt;"",INDEX(職員マスタ!$H$6:$H$405,$AP797)&lt;$AQ797))),"対象月が時短期間外／","")&amp;IF(AND(INDEX(職員マスタ!$K$6:$K$405,$AP797)&lt;&gt;"",N($W797)&gt;0,INDEX(職員マスタ!$K$6:$K$405,$AP797)&lt;&gt;$W797),"標準報酬月額が申請書と相違（台帳"&amp;TEXT(INDEX(職員マスタ!$K$6:$K$405,$AP797),"#,##0")&amp;"円／申請書"&amp;TEXT($W797,"#,##0")&amp;"円）／","")&amp;IF(AND(INDEX(職員マスタ!$F$6:$F$405,$AP797)&lt;&gt;"",$AQ797&lt;&gt;"",INDEX(職員マスタ!$F$6:$F$405,$AP797)&lt;$AQ797),"対象月に子が2歳到達済／","")&amp;IF(AND($H797&lt;&gt;"",INDEX(職員マスタ!$B$6:$B$405,$AP797)&lt;&gt;"",SUBSTITUTE(SUBSTITUTE($H797," ","")," ","")&lt;&gt;SUBSTITUTE(SUBSTITUTE(INDEX(職員マスタ!$B$6:$B$405,$AP797)," ","")," ","")),"氏名がマスタと相違／","")&amp;IF(AND($Q797&lt;&gt;"",INDEX(職員マスタ!$E$6:$E$405,$AP797)&lt;&gt;"",$Q797&lt;&gt;INDEX(職員マスタ!$E$6:$E$405,$AP797)),"子の生年月日がマスタと相違／","")&amp;IF(AND($L797&lt;&gt;"",INDEX(職員マスタ!$G$6:$G$405,$AP797)&lt;&gt;"",$L797&lt;&gt;INDEX(職員マスタ!$G$6:$G$405,$AP797)),"時短開始日がマスタと相違／","")&amp;IF(AND($M797&lt;&gt;"",INDEX(職員マスタ!$H$6:$H$405,$AP797)&lt;&gt;"",$M797&lt;&gt;INDEX(職員マスタ!$H$6:$H$405,$AP797)),"時短終了日がマスタと相違／","")))&amp;IF(AND($B797&lt;&gt;"",$E797=""),"報酬額が未入力／","")&amp;IF(N($U797)&gt;0,"申請書に入力エラーが残っています／","")&amp;IF(AND($B797&lt;&gt;"",$AQ797&lt;&gt;""),IF(COUNTIFS($B$6:$B$3005,$B797,$C$6:$C$3005,$C797,$D$6:$D$3005,$D797)&gt;1,"同じ月の請求が重複しています／",""),"")&amp;IF(AND(N($E797)&gt;0,$AB797&lt;&gt;"",$AB797&lt;&gt;"×",$AE797=0,$AD797=""),"計算額が下限以下のため不支給／",""))</f>
        <v/>
      </c>
      <c r="AN797" s="12" t="n"/>
      <c r="AO797" s="14">
        <f>IF($AF797="保留中",COUNTIF($AF$6:$AF797,"保留中"),"")</f>
        <v/>
      </c>
      <c r="AP797" s="14">
        <f>IF($AQ797="","",IF(SUMPRODUCT(MAX((職員マスタ!$A$6:$A$405=$B797)*(((職員マスタ!$G$6:$G$405="")+(職員マスタ!$G$6:$G$405&lt;=EOMONTH($AQ797,0)))&gt;0)*(((職員マスタ!$H$6:$H$405="")+(職員マスタ!$H$6:$H$405&gt;=$AQ797))&gt;0)*(ROW(職員マスタ!$A$6:$A$405)-5)))&gt;0,SUMPRODUCT(MAX((職員マスタ!$A$6:$A$405=$B797)*(((職員マスタ!$G$6:$G$405="")+(職員マスタ!$G$6:$G$405&lt;=EOMONTH($AQ797,0)))&gt;0)*(((職員マスタ!$H$6:$H$405="")+(職員マスタ!$H$6:$H$405&gt;=$AQ797))&gt;0)*(ROW(職員マスタ!$A$6:$A$405)-5))),IFERROR(MATCH($B797,職員マスタ!$A$6:$A$405,0),"")))</f>
        <v/>
      </c>
      <c r="AQ797" s="16">
        <f>IF(OR($B797="",$C797="",$D797=""),"",DATE($C797+2018,$D797,1))</f>
        <v/>
      </c>
    </row>
    <row r="798">
      <c r="A798" s="11" t="n"/>
      <c r="B798" s="12" t="n"/>
      <c r="C798" s="12" t="n"/>
      <c r="D798" s="12" t="n"/>
      <c r="E798" s="13" t="n"/>
      <c r="F798" s="12" t="n"/>
      <c r="G798" s="13" t="n"/>
      <c r="H798" s="12" t="n"/>
      <c r="I798" s="12" t="n"/>
      <c r="J798" s="12" t="n"/>
      <c r="K798" s="12" t="n"/>
      <c r="L798" s="11" t="n"/>
      <c r="M798" s="11" t="n"/>
      <c r="N798" s="11" t="n"/>
      <c r="O798" s="11" t="n"/>
      <c r="P798" s="12" t="n"/>
      <c r="Q798" s="11" t="n"/>
      <c r="R798" s="12" t="n"/>
      <c r="S798" s="11" t="n"/>
      <c r="T798" s="12" t="n"/>
      <c r="U798" s="12" t="n"/>
      <c r="V798" s="12" t="n"/>
      <c r="W798" s="13" t="n"/>
      <c r="X798" s="14">
        <f>IF($AP798="",IF($B798="","",$H798),IF(INDEX(職員マスタ!$B$6:$B$405,$AP798)="",$H798,INDEX(職員マスタ!$B$6:$B$405,$AP798)))</f>
        <v/>
      </c>
      <c r="Y798" s="14">
        <f>IF($AP798="",IF($B798="","",$R798),IF(INDEX(職員マスタ!$C$6:$C$405,$AP798)="",$R798,INDEX(職員マスタ!$C$6:$C$405,$AP798)))</f>
        <v/>
      </c>
      <c r="Z798" s="14">
        <f>IF($AQ798="","","R"&amp;$C798&amp;"."&amp;$D798)</f>
        <v/>
      </c>
      <c r="AA798" s="15">
        <f>IF(IF($AP798="",FALSE,INDEX(職員マスタ!$K$6:$K$405,$AP798)&lt;&gt;""),INDEX(職員マスタ!$K$6:$K$405,$AP798),IF(N($W798)&gt;0,$W798,""))</f>
        <v/>
      </c>
      <c r="AB798" s="14">
        <f>IF(OR($E798="",$AA798=""),"",IF($E798&gt;=$AA798,"×",IF($E798&gt;=$AA798*設定!$C$5,"△","○")))</f>
        <v/>
      </c>
      <c r="AC798" s="15">
        <f>IF($AB798="","",IF($AB798="×",0,IF($AB798="○",ROUNDDOWN($E798*設定!$C$4,0),ROUNDDOWN($E798*ROUND((9*$AA798-9*$E798)/(10*$E798),4),0))))</f>
        <v/>
      </c>
      <c r="AD798" s="13" t="n"/>
      <c r="AE798" s="15">
        <f>IF($B798="","",IF($AD798&lt;&gt;"",$AD798,IF($AC798="","",IF($AC798&lt;=設定!$C$3,0,$AC798))))</f>
        <v/>
      </c>
      <c r="AF798" s="14">
        <f>IF($B798="","",IF(AND($AG798&lt;&gt;"",$AI798="",$AL798=""),"保留中",IF($AL798&lt;&gt;"",IF(N($AE798)&gt;0,"支給済","不支給"),IF($AE798="","要確認",IF($AE798=0,"不支給","未処理")))))</f>
        <v/>
      </c>
      <c r="AG798" s="12" t="n"/>
      <c r="AH798" s="11" t="n"/>
      <c r="AI798" s="11" t="n"/>
      <c r="AJ798" s="11" t="n"/>
      <c r="AK798" s="14">
        <f>IF(AND($AF798="保留中",$AH798&lt;&gt;""),TODAY()-$AH798,"")</f>
        <v/>
      </c>
      <c r="AL798" s="12" t="n"/>
      <c r="AM798" s="14">
        <f>IF($B798="","",IF($AQ798="","対象年月が未入力／","")&amp;IF($B798="","",IF($AP798="","職員マスタに未登録の職員番号／",IF($AA798="","標準報酬月額が未登録／","")&amp;IF(AND($AQ798&lt;&gt;"",OR(AND(INDEX(職員マスタ!$G$6:$G$405,$AP798)&lt;&gt;"",INDEX(職員マスタ!$G$6:$G$405,$AP798)&gt;EOMONTH($AQ798,0)),AND(INDEX(職員マスタ!$H$6:$H$405,$AP798)&lt;&gt;"",INDEX(職員マスタ!$H$6:$H$405,$AP798)&lt;$AQ798))),"対象月が時短期間外／","")&amp;IF(AND(INDEX(職員マスタ!$K$6:$K$405,$AP798)&lt;&gt;"",N($W798)&gt;0,INDEX(職員マスタ!$K$6:$K$405,$AP798)&lt;&gt;$W798),"標準報酬月額が申請書と相違（台帳"&amp;TEXT(INDEX(職員マスタ!$K$6:$K$405,$AP798),"#,##0")&amp;"円／申請書"&amp;TEXT($W798,"#,##0")&amp;"円）／","")&amp;IF(AND(INDEX(職員マスタ!$F$6:$F$405,$AP798)&lt;&gt;"",$AQ798&lt;&gt;"",INDEX(職員マスタ!$F$6:$F$405,$AP798)&lt;$AQ798),"対象月に子が2歳到達済／","")&amp;IF(AND($H798&lt;&gt;"",INDEX(職員マスタ!$B$6:$B$405,$AP798)&lt;&gt;"",SUBSTITUTE(SUBSTITUTE($H798," ","")," ","")&lt;&gt;SUBSTITUTE(SUBSTITUTE(INDEX(職員マスタ!$B$6:$B$405,$AP798)," ","")," ","")),"氏名がマスタと相違／","")&amp;IF(AND($Q798&lt;&gt;"",INDEX(職員マスタ!$E$6:$E$405,$AP798)&lt;&gt;"",$Q798&lt;&gt;INDEX(職員マスタ!$E$6:$E$405,$AP798)),"子の生年月日がマスタと相違／","")&amp;IF(AND($L798&lt;&gt;"",INDEX(職員マスタ!$G$6:$G$405,$AP798)&lt;&gt;"",$L798&lt;&gt;INDEX(職員マスタ!$G$6:$G$405,$AP798)),"時短開始日がマスタと相違／","")&amp;IF(AND($M798&lt;&gt;"",INDEX(職員マスタ!$H$6:$H$405,$AP798)&lt;&gt;"",$M798&lt;&gt;INDEX(職員マスタ!$H$6:$H$405,$AP798)),"時短終了日がマスタと相違／","")))&amp;IF(AND($B798&lt;&gt;"",$E798=""),"報酬額が未入力／","")&amp;IF(N($U798)&gt;0,"申請書に入力エラーが残っています／","")&amp;IF(AND($B798&lt;&gt;"",$AQ798&lt;&gt;""),IF(COUNTIFS($B$6:$B$3005,$B798,$C$6:$C$3005,$C798,$D$6:$D$3005,$D798)&gt;1,"同じ月の請求が重複しています／",""),"")&amp;IF(AND(N($E798)&gt;0,$AB798&lt;&gt;"",$AB798&lt;&gt;"×",$AE798=0,$AD798=""),"計算額が下限以下のため不支給／",""))</f>
        <v/>
      </c>
      <c r="AN798" s="12" t="n"/>
      <c r="AO798" s="14">
        <f>IF($AF798="保留中",COUNTIF($AF$6:$AF798,"保留中"),"")</f>
        <v/>
      </c>
      <c r="AP798" s="14">
        <f>IF($AQ798="","",IF(SUMPRODUCT(MAX((職員マスタ!$A$6:$A$405=$B798)*(((職員マスタ!$G$6:$G$405="")+(職員マスタ!$G$6:$G$405&lt;=EOMONTH($AQ798,0)))&gt;0)*(((職員マスタ!$H$6:$H$405="")+(職員マスタ!$H$6:$H$405&gt;=$AQ798))&gt;0)*(ROW(職員マスタ!$A$6:$A$405)-5)))&gt;0,SUMPRODUCT(MAX((職員マスタ!$A$6:$A$405=$B798)*(((職員マスタ!$G$6:$G$405="")+(職員マスタ!$G$6:$G$405&lt;=EOMONTH($AQ798,0)))&gt;0)*(((職員マスタ!$H$6:$H$405="")+(職員マスタ!$H$6:$H$405&gt;=$AQ798))&gt;0)*(ROW(職員マスタ!$A$6:$A$405)-5))),IFERROR(MATCH($B798,職員マスタ!$A$6:$A$405,0),"")))</f>
        <v/>
      </c>
      <c r="AQ798" s="16">
        <f>IF(OR($B798="",$C798="",$D798=""),"",DATE($C798+2018,$D798,1))</f>
        <v/>
      </c>
    </row>
    <row r="799">
      <c r="A799" s="11" t="n"/>
      <c r="B799" s="12" t="n"/>
      <c r="C799" s="12" t="n"/>
      <c r="D799" s="12" t="n"/>
      <c r="E799" s="13" t="n"/>
      <c r="F799" s="12" t="n"/>
      <c r="G799" s="13" t="n"/>
      <c r="H799" s="12" t="n"/>
      <c r="I799" s="12" t="n"/>
      <c r="J799" s="12" t="n"/>
      <c r="K799" s="12" t="n"/>
      <c r="L799" s="11" t="n"/>
      <c r="M799" s="11" t="n"/>
      <c r="N799" s="11" t="n"/>
      <c r="O799" s="11" t="n"/>
      <c r="P799" s="12" t="n"/>
      <c r="Q799" s="11" t="n"/>
      <c r="R799" s="12" t="n"/>
      <c r="S799" s="11" t="n"/>
      <c r="T799" s="12" t="n"/>
      <c r="U799" s="12" t="n"/>
      <c r="V799" s="12" t="n"/>
      <c r="W799" s="13" t="n"/>
      <c r="X799" s="14">
        <f>IF($AP799="",IF($B799="","",$H799),IF(INDEX(職員マスタ!$B$6:$B$405,$AP799)="",$H799,INDEX(職員マスタ!$B$6:$B$405,$AP799)))</f>
        <v/>
      </c>
      <c r="Y799" s="14">
        <f>IF($AP799="",IF($B799="","",$R799),IF(INDEX(職員マスタ!$C$6:$C$405,$AP799)="",$R799,INDEX(職員マスタ!$C$6:$C$405,$AP799)))</f>
        <v/>
      </c>
      <c r="Z799" s="14">
        <f>IF($AQ799="","","R"&amp;$C799&amp;"."&amp;$D799)</f>
        <v/>
      </c>
      <c r="AA799" s="15">
        <f>IF(IF($AP799="",FALSE,INDEX(職員マスタ!$K$6:$K$405,$AP799)&lt;&gt;""),INDEX(職員マスタ!$K$6:$K$405,$AP799),IF(N($W799)&gt;0,$W799,""))</f>
        <v/>
      </c>
      <c r="AB799" s="14">
        <f>IF(OR($E799="",$AA799=""),"",IF($E799&gt;=$AA799,"×",IF($E799&gt;=$AA799*設定!$C$5,"△","○")))</f>
        <v/>
      </c>
      <c r="AC799" s="15">
        <f>IF($AB799="","",IF($AB799="×",0,IF($AB799="○",ROUNDDOWN($E799*設定!$C$4,0),ROUNDDOWN($E799*ROUND((9*$AA799-9*$E799)/(10*$E799),4),0))))</f>
        <v/>
      </c>
      <c r="AD799" s="13" t="n"/>
      <c r="AE799" s="15">
        <f>IF($B799="","",IF($AD799&lt;&gt;"",$AD799,IF($AC799="","",IF($AC799&lt;=設定!$C$3,0,$AC799))))</f>
        <v/>
      </c>
      <c r="AF799" s="14">
        <f>IF($B799="","",IF(AND($AG799&lt;&gt;"",$AI799="",$AL799=""),"保留中",IF($AL799&lt;&gt;"",IF(N($AE799)&gt;0,"支給済","不支給"),IF($AE799="","要確認",IF($AE799=0,"不支給","未処理")))))</f>
        <v/>
      </c>
      <c r="AG799" s="12" t="n"/>
      <c r="AH799" s="11" t="n"/>
      <c r="AI799" s="11" t="n"/>
      <c r="AJ799" s="11" t="n"/>
      <c r="AK799" s="14">
        <f>IF(AND($AF799="保留中",$AH799&lt;&gt;""),TODAY()-$AH799,"")</f>
        <v/>
      </c>
      <c r="AL799" s="12" t="n"/>
      <c r="AM799" s="14">
        <f>IF($B799="","",IF($AQ799="","対象年月が未入力／","")&amp;IF($B799="","",IF($AP799="","職員マスタに未登録の職員番号／",IF($AA799="","標準報酬月額が未登録／","")&amp;IF(AND($AQ799&lt;&gt;"",OR(AND(INDEX(職員マスタ!$G$6:$G$405,$AP799)&lt;&gt;"",INDEX(職員マスタ!$G$6:$G$405,$AP799)&gt;EOMONTH($AQ799,0)),AND(INDEX(職員マスタ!$H$6:$H$405,$AP799)&lt;&gt;"",INDEX(職員マスタ!$H$6:$H$405,$AP799)&lt;$AQ799))),"対象月が時短期間外／","")&amp;IF(AND(INDEX(職員マスタ!$K$6:$K$405,$AP799)&lt;&gt;"",N($W799)&gt;0,INDEX(職員マスタ!$K$6:$K$405,$AP799)&lt;&gt;$W799),"標準報酬月額が申請書と相違（台帳"&amp;TEXT(INDEX(職員マスタ!$K$6:$K$405,$AP799),"#,##0")&amp;"円／申請書"&amp;TEXT($W799,"#,##0")&amp;"円）／","")&amp;IF(AND(INDEX(職員マスタ!$F$6:$F$405,$AP799)&lt;&gt;"",$AQ799&lt;&gt;"",INDEX(職員マスタ!$F$6:$F$405,$AP799)&lt;$AQ799),"対象月に子が2歳到達済／","")&amp;IF(AND($H799&lt;&gt;"",INDEX(職員マスタ!$B$6:$B$405,$AP799)&lt;&gt;"",SUBSTITUTE(SUBSTITUTE($H799," ","")," ","")&lt;&gt;SUBSTITUTE(SUBSTITUTE(INDEX(職員マスタ!$B$6:$B$405,$AP799)," ","")," ","")),"氏名がマスタと相違／","")&amp;IF(AND($Q799&lt;&gt;"",INDEX(職員マスタ!$E$6:$E$405,$AP799)&lt;&gt;"",$Q799&lt;&gt;INDEX(職員マスタ!$E$6:$E$405,$AP799)),"子の生年月日がマスタと相違／","")&amp;IF(AND($L799&lt;&gt;"",INDEX(職員マスタ!$G$6:$G$405,$AP799)&lt;&gt;"",$L799&lt;&gt;INDEX(職員マスタ!$G$6:$G$405,$AP799)),"時短開始日がマスタと相違／","")&amp;IF(AND($M799&lt;&gt;"",INDEX(職員マスタ!$H$6:$H$405,$AP799)&lt;&gt;"",$M799&lt;&gt;INDEX(職員マスタ!$H$6:$H$405,$AP799)),"時短終了日がマスタと相違／","")))&amp;IF(AND($B799&lt;&gt;"",$E799=""),"報酬額が未入力／","")&amp;IF(N($U799)&gt;0,"申請書に入力エラーが残っています／","")&amp;IF(AND($B799&lt;&gt;"",$AQ799&lt;&gt;""),IF(COUNTIFS($B$6:$B$3005,$B799,$C$6:$C$3005,$C799,$D$6:$D$3005,$D799)&gt;1,"同じ月の請求が重複しています／",""),"")&amp;IF(AND(N($E799)&gt;0,$AB799&lt;&gt;"",$AB799&lt;&gt;"×",$AE799=0,$AD799=""),"計算額が下限以下のため不支給／",""))</f>
        <v/>
      </c>
      <c r="AN799" s="12" t="n"/>
      <c r="AO799" s="14">
        <f>IF($AF799="保留中",COUNTIF($AF$6:$AF799,"保留中"),"")</f>
        <v/>
      </c>
      <c r="AP799" s="14">
        <f>IF($AQ799="","",IF(SUMPRODUCT(MAX((職員マスタ!$A$6:$A$405=$B799)*(((職員マスタ!$G$6:$G$405="")+(職員マスタ!$G$6:$G$405&lt;=EOMONTH($AQ799,0)))&gt;0)*(((職員マスタ!$H$6:$H$405="")+(職員マスタ!$H$6:$H$405&gt;=$AQ799))&gt;0)*(ROW(職員マスタ!$A$6:$A$405)-5)))&gt;0,SUMPRODUCT(MAX((職員マスタ!$A$6:$A$405=$B799)*(((職員マスタ!$G$6:$G$405="")+(職員マスタ!$G$6:$G$405&lt;=EOMONTH($AQ799,0)))&gt;0)*(((職員マスタ!$H$6:$H$405="")+(職員マスタ!$H$6:$H$405&gt;=$AQ799))&gt;0)*(ROW(職員マスタ!$A$6:$A$405)-5))),IFERROR(MATCH($B799,職員マスタ!$A$6:$A$405,0),"")))</f>
        <v/>
      </c>
      <c r="AQ799" s="16">
        <f>IF(OR($B799="",$C799="",$D799=""),"",DATE($C799+2018,$D799,1))</f>
        <v/>
      </c>
    </row>
    <row r="800">
      <c r="A800" s="11" t="n"/>
      <c r="B800" s="12" t="n"/>
      <c r="C800" s="12" t="n"/>
      <c r="D800" s="12" t="n"/>
      <c r="E800" s="13" t="n"/>
      <c r="F800" s="12" t="n"/>
      <c r="G800" s="13" t="n"/>
      <c r="H800" s="12" t="n"/>
      <c r="I800" s="12" t="n"/>
      <c r="J800" s="12" t="n"/>
      <c r="K800" s="12" t="n"/>
      <c r="L800" s="11" t="n"/>
      <c r="M800" s="11" t="n"/>
      <c r="N800" s="11" t="n"/>
      <c r="O800" s="11" t="n"/>
      <c r="P800" s="12" t="n"/>
      <c r="Q800" s="11" t="n"/>
      <c r="R800" s="12" t="n"/>
      <c r="S800" s="11" t="n"/>
      <c r="T800" s="12" t="n"/>
      <c r="U800" s="12" t="n"/>
      <c r="V800" s="12" t="n"/>
      <c r="W800" s="13" t="n"/>
      <c r="X800" s="14">
        <f>IF($AP800="",IF($B800="","",$H800),IF(INDEX(職員マスタ!$B$6:$B$405,$AP800)="",$H800,INDEX(職員マスタ!$B$6:$B$405,$AP800)))</f>
        <v/>
      </c>
      <c r="Y800" s="14">
        <f>IF($AP800="",IF($B800="","",$R800),IF(INDEX(職員マスタ!$C$6:$C$405,$AP800)="",$R800,INDEX(職員マスタ!$C$6:$C$405,$AP800)))</f>
        <v/>
      </c>
      <c r="Z800" s="14">
        <f>IF($AQ800="","","R"&amp;$C800&amp;"."&amp;$D800)</f>
        <v/>
      </c>
      <c r="AA800" s="15">
        <f>IF(IF($AP800="",FALSE,INDEX(職員マスタ!$K$6:$K$405,$AP800)&lt;&gt;""),INDEX(職員マスタ!$K$6:$K$405,$AP800),IF(N($W800)&gt;0,$W800,""))</f>
        <v/>
      </c>
      <c r="AB800" s="14">
        <f>IF(OR($E800="",$AA800=""),"",IF($E800&gt;=$AA800,"×",IF($E800&gt;=$AA800*設定!$C$5,"△","○")))</f>
        <v/>
      </c>
      <c r="AC800" s="15">
        <f>IF($AB800="","",IF($AB800="×",0,IF($AB800="○",ROUNDDOWN($E800*設定!$C$4,0),ROUNDDOWN($E800*ROUND((9*$AA800-9*$E800)/(10*$E800),4),0))))</f>
        <v/>
      </c>
      <c r="AD800" s="13" t="n"/>
      <c r="AE800" s="15">
        <f>IF($B800="","",IF($AD800&lt;&gt;"",$AD800,IF($AC800="","",IF($AC800&lt;=設定!$C$3,0,$AC800))))</f>
        <v/>
      </c>
      <c r="AF800" s="14">
        <f>IF($B800="","",IF(AND($AG800&lt;&gt;"",$AI800="",$AL800=""),"保留中",IF($AL800&lt;&gt;"",IF(N($AE800)&gt;0,"支給済","不支給"),IF($AE800="","要確認",IF($AE800=0,"不支給","未処理")))))</f>
        <v/>
      </c>
      <c r="AG800" s="12" t="n"/>
      <c r="AH800" s="11" t="n"/>
      <c r="AI800" s="11" t="n"/>
      <c r="AJ800" s="11" t="n"/>
      <c r="AK800" s="14">
        <f>IF(AND($AF800="保留中",$AH800&lt;&gt;""),TODAY()-$AH800,"")</f>
        <v/>
      </c>
      <c r="AL800" s="12" t="n"/>
      <c r="AM800" s="14">
        <f>IF($B800="","",IF($AQ800="","対象年月が未入力／","")&amp;IF($B800="","",IF($AP800="","職員マスタに未登録の職員番号／",IF($AA800="","標準報酬月額が未登録／","")&amp;IF(AND($AQ800&lt;&gt;"",OR(AND(INDEX(職員マスタ!$G$6:$G$405,$AP800)&lt;&gt;"",INDEX(職員マスタ!$G$6:$G$405,$AP800)&gt;EOMONTH($AQ800,0)),AND(INDEX(職員マスタ!$H$6:$H$405,$AP800)&lt;&gt;"",INDEX(職員マスタ!$H$6:$H$405,$AP800)&lt;$AQ800))),"対象月が時短期間外／","")&amp;IF(AND(INDEX(職員マスタ!$K$6:$K$405,$AP800)&lt;&gt;"",N($W800)&gt;0,INDEX(職員マスタ!$K$6:$K$405,$AP800)&lt;&gt;$W800),"標準報酬月額が申請書と相違（台帳"&amp;TEXT(INDEX(職員マスタ!$K$6:$K$405,$AP800),"#,##0")&amp;"円／申請書"&amp;TEXT($W800,"#,##0")&amp;"円）／","")&amp;IF(AND(INDEX(職員マスタ!$F$6:$F$405,$AP800)&lt;&gt;"",$AQ800&lt;&gt;"",INDEX(職員マスタ!$F$6:$F$405,$AP800)&lt;$AQ800),"対象月に子が2歳到達済／","")&amp;IF(AND($H800&lt;&gt;"",INDEX(職員マスタ!$B$6:$B$405,$AP800)&lt;&gt;"",SUBSTITUTE(SUBSTITUTE($H800," ","")," ","")&lt;&gt;SUBSTITUTE(SUBSTITUTE(INDEX(職員マスタ!$B$6:$B$405,$AP800)," ","")," ","")),"氏名がマスタと相違／","")&amp;IF(AND($Q800&lt;&gt;"",INDEX(職員マスタ!$E$6:$E$405,$AP800)&lt;&gt;"",$Q800&lt;&gt;INDEX(職員マスタ!$E$6:$E$405,$AP800)),"子の生年月日がマスタと相違／","")&amp;IF(AND($L800&lt;&gt;"",INDEX(職員マスタ!$G$6:$G$405,$AP800)&lt;&gt;"",$L800&lt;&gt;INDEX(職員マスタ!$G$6:$G$405,$AP800)),"時短開始日がマスタと相違／","")&amp;IF(AND($M800&lt;&gt;"",INDEX(職員マスタ!$H$6:$H$405,$AP800)&lt;&gt;"",$M800&lt;&gt;INDEX(職員マスタ!$H$6:$H$405,$AP800)),"時短終了日がマスタと相違／","")))&amp;IF(AND($B800&lt;&gt;"",$E800=""),"報酬額が未入力／","")&amp;IF(N($U800)&gt;0,"申請書に入力エラーが残っています／","")&amp;IF(AND($B800&lt;&gt;"",$AQ800&lt;&gt;""),IF(COUNTIFS($B$6:$B$3005,$B800,$C$6:$C$3005,$C800,$D$6:$D$3005,$D800)&gt;1,"同じ月の請求が重複しています／",""),"")&amp;IF(AND(N($E800)&gt;0,$AB800&lt;&gt;"",$AB800&lt;&gt;"×",$AE800=0,$AD800=""),"計算額が下限以下のため不支給／",""))</f>
        <v/>
      </c>
      <c r="AN800" s="12" t="n"/>
      <c r="AO800" s="14">
        <f>IF($AF800="保留中",COUNTIF($AF$6:$AF800,"保留中"),"")</f>
        <v/>
      </c>
      <c r="AP800" s="14">
        <f>IF($AQ800="","",IF(SUMPRODUCT(MAX((職員マスタ!$A$6:$A$405=$B800)*(((職員マスタ!$G$6:$G$405="")+(職員マスタ!$G$6:$G$405&lt;=EOMONTH($AQ800,0)))&gt;0)*(((職員マスタ!$H$6:$H$405="")+(職員マスタ!$H$6:$H$405&gt;=$AQ800))&gt;0)*(ROW(職員マスタ!$A$6:$A$405)-5)))&gt;0,SUMPRODUCT(MAX((職員マスタ!$A$6:$A$405=$B800)*(((職員マスタ!$G$6:$G$405="")+(職員マスタ!$G$6:$G$405&lt;=EOMONTH($AQ800,0)))&gt;0)*(((職員マスタ!$H$6:$H$405="")+(職員マスタ!$H$6:$H$405&gt;=$AQ800))&gt;0)*(ROW(職員マスタ!$A$6:$A$405)-5))),IFERROR(MATCH($B800,職員マスタ!$A$6:$A$405,0),"")))</f>
        <v/>
      </c>
      <c r="AQ800" s="16">
        <f>IF(OR($B800="",$C800="",$D800=""),"",DATE($C800+2018,$D800,1))</f>
        <v/>
      </c>
    </row>
    <row r="801">
      <c r="A801" s="11" t="n"/>
      <c r="B801" s="12" t="n"/>
      <c r="C801" s="12" t="n"/>
      <c r="D801" s="12" t="n"/>
      <c r="E801" s="13" t="n"/>
      <c r="F801" s="12" t="n"/>
      <c r="G801" s="13" t="n"/>
      <c r="H801" s="12" t="n"/>
      <c r="I801" s="12" t="n"/>
      <c r="J801" s="12" t="n"/>
      <c r="K801" s="12" t="n"/>
      <c r="L801" s="11" t="n"/>
      <c r="M801" s="11" t="n"/>
      <c r="N801" s="11" t="n"/>
      <c r="O801" s="11" t="n"/>
      <c r="P801" s="12" t="n"/>
      <c r="Q801" s="11" t="n"/>
      <c r="R801" s="12" t="n"/>
      <c r="S801" s="11" t="n"/>
      <c r="T801" s="12" t="n"/>
      <c r="U801" s="12" t="n"/>
      <c r="V801" s="12" t="n"/>
      <c r="W801" s="13" t="n"/>
      <c r="X801" s="14">
        <f>IF($AP801="",IF($B801="","",$H801),IF(INDEX(職員マスタ!$B$6:$B$405,$AP801)="",$H801,INDEX(職員マスタ!$B$6:$B$405,$AP801)))</f>
        <v/>
      </c>
      <c r="Y801" s="14">
        <f>IF($AP801="",IF($B801="","",$R801),IF(INDEX(職員マスタ!$C$6:$C$405,$AP801)="",$R801,INDEX(職員マスタ!$C$6:$C$405,$AP801)))</f>
        <v/>
      </c>
      <c r="Z801" s="14">
        <f>IF($AQ801="","","R"&amp;$C801&amp;"."&amp;$D801)</f>
        <v/>
      </c>
      <c r="AA801" s="15">
        <f>IF(IF($AP801="",FALSE,INDEX(職員マスタ!$K$6:$K$405,$AP801)&lt;&gt;""),INDEX(職員マスタ!$K$6:$K$405,$AP801),IF(N($W801)&gt;0,$W801,""))</f>
        <v/>
      </c>
      <c r="AB801" s="14">
        <f>IF(OR($E801="",$AA801=""),"",IF($E801&gt;=$AA801,"×",IF($E801&gt;=$AA801*設定!$C$5,"△","○")))</f>
        <v/>
      </c>
      <c r="AC801" s="15">
        <f>IF($AB801="","",IF($AB801="×",0,IF($AB801="○",ROUNDDOWN($E801*設定!$C$4,0),ROUNDDOWN($E801*ROUND((9*$AA801-9*$E801)/(10*$E801),4),0))))</f>
        <v/>
      </c>
      <c r="AD801" s="13" t="n"/>
      <c r="AE801" s="15">
        <f>IF($B801="","",IF($AD801&lt;&gt;"",$AD801,IF($AC801="","",IF($AC801&lt;=設定!$C$3,0,$AC801))))</f>
        <v/>
      </c>
      <c r="AF801" s="14">
        <f>IF($B801="","",IF(AND($AG801&lt;&gt;"",$AI801="",$AL801=""),"保留中",IF($AL801&lt;&gt;"",IF(N($AE801)&gt;0,"支給済","不支給"),IF($AE801="","要確認",IF($AE801=0,"不支給","未処理")))))</f>
        <v/>
      </c>
      <c r="AG801" s="12" t="n"/>
      <c r="AH801" s="11" t="n"/>
      <c r="AI801" s="11" t="n"/>
      <c r="AJ801" s="11" t="n"/>
      <c r="AK801" s="14">
        <f>IF(AND($AF801="保留中",$AH801&lt;&gt;""),TODAY()-$AH801,"")</f>
        <v/>
      </c>
      <c r="AL801" s="12" t="n"/>
      <c r="AM801" s="14">
        <f>IF($B801="","",IF($AQ801="","対象年月が未入力／","")&amp;IF($B801="","",IF($AP801="","職員マスタに未登録の職員番号／",IF($AA801="","標準報酬月額が未登録／","")&amp;IF(AND($AQ801&lt;&gt;"",OR(AND(INDEX(職員マスタ!$G$6:$G$405,$AP801)&lt;&gt;"",INDEX(職員マスタ!$G$6:$G$405,$AP801)&gt;EOMONTH($AQ801,0)),AND(INDEX(職員マスタ!$H$6:$H$405,$AP801)&lt;&gt;"",INDEX(職員マスタ!$H$6:$H$405,$AP801)&lt;$AQ801))),"対象月が時短期間外／","")&amp;IF(AND(INDEX(職員マスタ!$K$6:$K$405,$AP801)&lt;&gt;"",N($W801)&gt;0,INDEX(職員マスタ!$K$6:$K$405,$AP801)&lt;&gt;$W801),"標準報酬月額が申請書と相違（台帳"&amp;TEXT(INDEX(職員マスタ!$K$6:$K$405,$AP801),"#,##0")&amp;"円／申請書"&amp;TEXT($W801,"#,##0")&amp;"円）／","")&amp;IF(AND(INDEX(職員マスタ!$F$6:$F$405,$AP801)&lt;&gt;"",$AQ801&lt;&gt;"",INDEX(職員マスタ!$F$6:$F$405,$AP801)&lt;$AQ801),"対象月に子が2歳到達済／","")&amp;IF(AND($H801&lt;&gt;"",INDEX(職員マスタ!$B$6:$B$405,$AP801)&lt;&gt;"",SUBSTITUTE(SUBSTITUTE($H801," ","")," ","")&lt;&gt;SUBSTITUTE(SUBSTITUTE(INDEX(職員マスタ!$B$6:$B$405,$AP801)," ","")," ","")),"氏名がマスタと相違／","")&amp;IF(AND($Q801&lt;&gt;"",INDEX(職員マスタ!$E$6:$E$405,$AP801)&lt;&gt;"",$Q801&lt;&gt;INDEX(職員マスタ!$E$6:$E$405,$AP801)),"子の生年月日がマスタと相違／","")&amp;IF(AND($L801&lt;&gt;"",INDEX(職員マスタ!$G$6:$G$405,$AP801)&lt;&gt;"",$L801&lt;&gt;INDEX(職員マスタ!$G$6:$G$405,$AP801)),"時短開始日がマスタと相違／","")&amp;IF(AND($M801&lt;&gt;"",INDEX(職員マスタ!$H$6:$H$405,$AP801)&lt;&gt;"",$M801&lt;&gt;INDEX(職員マスタ!$H$6:$H$405,$AP801)),"時短終了日がマスタと相違／","")))&amp;IF(AND($B801&lt;&gt;"",$E801=""),"報酬額が未入力／","")&amp;IF(N($U801)&gt;0,"申請書に入力エラーが残っています／","")&amp;IF(AND($B801&lt;&gt;"",$AQ801&lt;&gt;""),IF(COUNTIFS($B$6:$B$3005,$B801,$C$6:$C$3005,$C801,$D$6:$D$3005,$D801)&gt;1,"同じ月の請求が重複しています／",""),"")&amp;IF(AND(N($E801)&gt;0,$AB801&lt;&gt;"",$AB801&lt;&gt;"×",$AE801=0,$AD801=""),"計算額が下限以下のため不支給／",""))</f>
        <v/>
      </c>
      <c r="AN801" s="12" t="n"/>
      <c r="AO801" s="14">
        <f>IF($AF801="保留中",COUNTIF($AF$6:$AF801,"保留中"),"")</f>
        <v/>
      </c>
      <c r="AP801" s="14">
        <f>IF($AQ801="","",IF(SUMPRODUCT(MAX((職員マスタ!$A$6:$A$405=$B801)*(((職員マスタ!$G$6:$G$405="")+(職員マスタ!$G$6:$G$405&lt;=EOMONTH($AQ801,0)))&gt;0)*(((職員マスタ!$H$6:$H$405="")+(職員マスタ!$H$6:$H$405&gt;=$AQ801))&gt;0)*(ROW(職員マスタ!$A$6:$A$405)-5)))&gt;0,SUMPRODUCT(MAX((職員マスタ!$A$6:$A$405=$B801)*(((職員マスタ!$G$6:$G$405="")+(職員マスタ!$G$6:$G$405&lt;=EOMONTH($AQ801,0)))&gt;0)*(((職員マスタ!$H$6:$H$405="")+(職員マスタ!$H$6:$H$405&gt;=$AQ801))&gt;0)*(ROW(職員マスタ!$A$6:$A$405)-5))),IFERROR(MATCH($B801,職員マスタ!$A$6:$A$405,0),"")))</f>
        <v/>
      </c>
      <c r="AQ801" s="16">
        <f>IF(OR($B801="",$C801="",$D801=""),"",DATE($C801+2018,$D801,1))</f>
        <v/>
      </c>
    </row>
    <row r="802">
      <c r="A802" s="11" t="n"/>
      <c r="B802" s="12" t="n"/>
      <c r="C802" s="12" t="n"/>
      <c r="D802" s="12" t="n"/>
      <c r="E802" s="13" t="n"/>
      <c r="F802" s="12" t="n"/>
      <c r="G802" s="13" t="n"/>
      <c r="H802" s="12" t="n"/>
      <c r="I802" s="12" t="n"/>
      <c r="J802" s="12" t="n"/>
      <c r="K802" s="12" t="n"/>
      <c r="L802" s="11" t="n"/>
      <c r="M802" s="11" t="n"/>
      <c r="N802" s="11" t="n"/>
      <c r="O802" s="11" t="n"/>
      <c r="P802" s="12" t="n"/>
      <c r="Q802" s="11" t="n"/>
      <c r="R802" s="12" t="n"/>
      <c r="S802" s="11" t="n"/>
      <c r="T802" s="12" t="n"/>
      <c r="U802" s="12" t="n"/>
      <c r="V802" s="12" t="n"/>
      <c r="W802" s="13" t="n"/>
      <c r="X802" s="14">
        <f>IF($AP802="",IF($B802="","",$H802),IF(INDEX(職員マスタ!$B$6:$B$405,$AP802)="",$H802,INDEX(職員マスタ!$B$6:$B$405,$AP802)))</f>
        <v/>
      </c>
      <c r="Y802" s="14">
        <f>IF($AP802="",IF($B802="","",$R802),IF(INDEX(職員マスタ!$C$6:$C$405,$AP802)="",$R802,INDEX(職員マスタ!$C$6:$C$405,$AP802)))</f>
        <v/>
      </c>
      <c r="Z802" s="14">
        <f>IF($AQ802="","","R"&amp;$C802&amp;"."&amp;$D802)</f>
        <v/>
      </c>
      <c r="AA802" s="15">
        <f>IF(IF($AP802="",FALSE,INDEX(職員マスタ!$K$6:$K$405,$AP802)&lt;&gt;""),INDEX(職員マスタ!$K$6:$K$405,$AP802),IF(N($W802)&gt;0,$W802,""))</f>
        <v/>
      </c>
      <c r="AB802" s="14">
        <f>IF(OR($E802="",$AA802=""),"",IF($E802&gt;=$AA802,"×",IF($E802&gt;=$AA802*設定!$C$5,"△","○")))</f>
        <v/>
      </c>
      <c r="AC802" s="15">
        <f>IF($AB802="","",IF($AB802="×",0,IF($AB802="○",ROUNDDOWN($E802*設定!$C$4,0),ROUNDDOWN($E802*ROUND((9*$AA802-9*$E802)/(10*$E802),4),0))))</f>
        <v/>
      </c>
      <c r="AD802" s="13" t="n"/>
      <c r="AE802" s="15">
        <f>IF($B802="","",IF($AD802&lt;&gt;"",$AD802,IF($AC802="","",IF($AC802&lt;=設定!$C$3,0,$AC802))))</f>
        <v/>
      </c>
      <c r="AF802" s="14">
        <f>IF($B802="","",IF(AND($AG802&lt;&gt;"",$AI802="",$AL802=""),"保留中",IF($AL802&lt;&gt;"",IF(N($AE802)&gt;0,"支給済","不支給"),IF($AE802="","要確認",IF($AE802=0,"不支給","未処理")))))</f>
        <v/>
      </c>
      <c r="AG802" s="12" t="n"/>
      <c r="AH802" s="11" t="n"/>
      <c r="AI802" s="11" t="n"/>
      <c r="AJ802" s="11" t="n"/>
      <c r="AK802" s="14">
        <f>IF(AND($AF802="保留中",$AH802&lt;&gt;""),TODAY()-$AH802,"")</f>
        <v/>
      </c>
      <c r="AL802" s="12" t="n"/>
      <c r="AM802" s="14">
        <f>IF($B802="","",IF($AQ802="","対象年月が未入力／","")&amp;IF($B802="","",IF($AP802="","職員マスタに未登録の職員番号／",IF($AA802="","標準報酬月額が未登録／","")&amp;IF(AND($AQ802&lt;&gt;"",OR(AND(INDEX(職員マスタ!$G$6:$G$405,$AP802)&lt;&gt;"",INDEX(職員マスタ!$G$6:$G$405,$AP802)&gt;EOMONTH($AQ802,0)),AND(INDEX(職員マスタ!$H$6:$H$405,$AP802)&lt;&gt;"",INDEX(職員マスタ!$H$6:$H$405,$AP802)&lt;$AQ802))),"対象月が時短期間外／","")&amp;IF(AND(INDEX(職員マスタ!$K$6:$K$405,$AP802)&lt;&gt;"",N($W802)&gt;0,INDEX(職員マスタ!$K$6:$K$405,$AP802)&lt;&gt;$W802),"標準報酬月額が申請書と相違（台帳"&amp;TEXT(INDEX(職員マスタ!$K$6:$K$405,$AP802),"#,##0")&amp;"円／申請書"&amp;TEXT($W802,"#,##0")&amp;"円）／","")&amp;IF(AND(INDEX(職員マスタ!$F$6:$F$405,$AP802)&lt;&gt;"",$AQ802&lt;&gt;"",INDEX(職員マスタ!$F$6:$F$405,$AP802)&lt;$AQ802),"対象月に子が2歳到達済／","")&amp;IF(AND($H802&lt;&gt;"",INDEX(職員マスタ!$B$6:$B$405,$AP802)&lt;&gt;"",SUBSTITUTE(SUBSTITUTE($H802," ","")," ","")&lt;&gt;SUBSTITUTE(SUBSTITUTE(INDEX(職員マスタ!$B$6:$B$405,$AP802)," ","")," ","")),"氏名がマスタと相違／","")&amp;IF(AND($Q802&lt;&gt;"",INDEX(職員マスタ!$E$6:$E$405,$AP802)&lt;&gt;"",$Q802&lt;&gt;INDEX(職員マスタ!$E$6:$E$405,$AP802)),"子の生年月日がマスタと相違／","")&amp;IF(AND($L802&lt;&gt;"",INDEX(職員マスタ!$G$6:$G$405,$AP802)&lt;&gt;"",$L802&lt;&gt;INDEX(職員マスタ!$G$6:$G$405,$AP802)),"時短開始日がマスタと相違／","")&amp;IF(AND($M802&lt;&gt;"",INDEX(職員マスタ!$H$6:$H$405,$AP802)&lt;&gt;"",$M802&lt;&gt;INDEX(職員マスタ!$H$6:$H$405,$AP802)),"時短終了日がマスタと相違／","")))&amp;IF(AND($B802&lt;&gt;"",$E802=""),"報酬額が未入力／","")&amp;IF(N($U802)&gt;0,"申請書に入力エラーが残っています／","")&amp;IF(AND($B802&lt;&gt;"",$AQ802&lt;&gt;""),IF(COUNTIFS($B$6:$B$3005,$B802,$C$6:$C$3005,$C802,$D$6:$D$3005,$D802)&gt;1,"同じ月の請求が重複しています／",""),"")&amp;IF(AND(N($E802)&gt;0,$AB802&lt;&gt;"",$AB802&lt;&gt;"×",$AE802=0,$AD802=""),"計算額が下限以下のため不支給／",""))</f>
        <v/>
      </c>
      <c r="AN802" s="12" t="n"/>
      <c r="AO802" s="14">
        <f>IF($AF802="保留中",COUNTIF($AF$6:$AF802,"保留中"),"")</f>
        <v/>
      </c>
      <c r="AP802" s="14">
        <f>IF($AQ802="","",IF(SUMPRODUCT(MAX((職員マスタ!$A$6:$A$405=$B802)*(((職員マスタ!$G$6:$G$405="")+(職員マスタ!$G$6:$G$405&lt;=EOMONTH($AQ802,0)))&gt;0)*(((職員マスタ!$H$6:$H$405="")+(職員マスタ!$H$6:$H$405&gt;=$AQ802))&gt;0)*(ROW(職員マスタ!$A$6:$A$405)-5)))&gt;0,SUMPRODUCT(MAX((職員マスタ!$A$6:$A$405=$B802)*(((職員マスタ!$G$6:$G$405="")+(職員マスタ!$G$6:$G$405&lt;=EOMONTH($AQ802,0)))&gt;0)*(((職員マスタ!$H$6:$H$405="")+(職員マスタ!$H$6:$H$405&gt;=$AQ802))&gt;0)*(ROW(職員マスタ!$A$6:$A$405)-5))),IFERROR(MATCH($B802,職員マスタ!$A$6:$A$405,0),"")))</f>
        <v/>
      </c>
      <c r="AQ802" s="16">
        <f>IF(OR($B802="",$C802="",$D802=""),"",DATE($C802+2018,$D802,1))</f>
        <v/>
      </c>
    </row>
    <row r="803">
      <c r="A803" s="11" t="n"/>
      <c r="B803" s="12" t="n"/>
      <c r="C803" s="12" t="n"/>
      <c r="D803" s="12" t="n"/>
      <c r="E803" s="13" t="n"/>
      <c r="F803" s="12" t="n"/>
      <c r="G803" s="13" t="n"/>
      <c r="H803" s="12" t="n"/>
      <c r="I803" s="12" t="n"/>
      <c r="J803" s="12" t="n"/>
      <c r="K803" s="12" t="n"/>
      <c r="L803" s="11" t="n"/>
      <c r="M803" s="11" t="n"/>
      <c r="N803" s="11" t="n"/>
      <c r="O803" s="11" t="n"/>
      <c r="P803" s="12" t="n"/>
      <c r="Q803" s="11" t="n"/>
      <c r="R803" s="12" t="n"/>
      <c r="S803" s="11" t="n"/>
      <c r="T803" s="12" t="n"/>
      <c r="U803" s="12" t="n"/>
      <c r="V803" s="12" t="n"/>
      <c r="W803" s="13" t="n"/>
      <c r="X803" s="14">
        <f>IF($AP803="",IF($B803="","",$H803),IF(INDEX(職員マスタ!$B$6:$B$405,$AP803)="",$H803,INDEX(職員マスタ!$B$6:$B$405,$AP803)))</f>
        <v/>
      </c>
      <c r="Y803" s="14">
        <f>IF($AP803="",IF($B803="","",$R803),IF(INDEX(職員マスタ!$C$6:$C$405,$AP803)="",$R803,INDEX(職員マスタ!$C$6:$C$405,$AP803)))</f>
        <v/>
      </c>
      <c r="Z803" s="14">
        <f>IF($AQ803="","","R"&amp;$C803&amp;"."&amp;$D803)</f>
        <v/>
      </c>
      <c r="AA803" s="15">
        <f>IF(IF($AP803="",FALSE,INDEX(職員マスタ!$K$6:$K$405,$AP803)&lt;&gt;""),INDEX(職員マスタ!$K$6:$K$405,$AP803),IF(N($W803)&gt;0,$W803,""))</f>
        <v/>
      </c>
      <c r="AB803" s="14">
        <f>IF(OR($E803="",$AA803=""),"",IF($E803&gt;=$AA803,"×",IF($E803&gt;=$AA803*設定!$C$5,"△","○")))</f>
        <v/>
      </c>
      <c r="AC803" s="15">
        <f>IF($AB803="","",IF($AB803="×",0,IF($AB803="○",ROUNDDOWN($E803*設定!$C$4,0),ROUNDDOWN($E803*ROUND((9*$AA803-9*$E803)/(10*$E803),4),0))))</f>
        <v/>
      </c>
      <c r="AD803" s="13" t="n"/>
      <c r="AE803" s="15">
        <f>IF($B803="","",IF($AD803&lt;&gt;"",$AD803,IF($AC803="","",IF($AC803&lt;=設定!$C$3,0,$AC803))))</f>
        <v/>
      </c>
      <c r="AF803" s="14">
        <f>IF($B803="","",IF(AND($AG803&lt;&gt;"",$AI803="",$AL803=""),"保留中",IF($AL803&lt;&gt;"",IF(N($AE803)&gt;0,"支給済","不支給"),IF($AE803="","要確認",IF($AE803=0,"不支給","未処理")))))</f>
        <v/>
      </c>
      <c r="AG803" s="12" t="n"/>
      <c r="AH803" s="11" t="n"/>
      <c r="AI803" s="11" t="n"/>
      <c r="AJ803" s="11" t="n"/>
      <c r="AK803" s="14">
        <f>IF(AND($AF803="保留中",$AH803&lt;&gt;""),TODAY()-$AH803,"")</f>
        <v/>
      </c>
      <c r="AL803" s="12" t="n"/>
      <c r="AM803" s="14">
        <f>IF($B803="","",IF($AQ803="","対象年月が未入力／","")&amp;IF($B803="","",IF($AP803="","職員マスタに未登録の職員番号／",IF($AA803="","標準報酬月額が未登録／","")&amp;IF(AND($AQ803&lt;&gt;"",OR(AND(INDEX(職員マスタ!$G$6:$G$405,$AP803)&lt;&gt;"",INDEX(職員マスタ!$G$6:$G$405,$AP803)&gt;EOMONTH($AQ803,0)),AND(INDEX(職員マスタ!$H$6:$H$405,$AP803)&lt;&gt;"",INDEX(職員マスタ!$H$6:$H$405,$AP803)&lt;$AQ803))),"対象月が時短期間外／","")&amp;IF(AND(INDEX(職員マスタ!$K$6:$K$405,$AP803)&lt;&gt;"",N($W803)&gt;0,INDEX(職員マスタ!$K$6:$K$405,$AP803)&lt;&gt;$W803),"標準報酬月額が申請書と相違（台帳"&amp;TEXT(INDEX(職員マスタ!$K$6:$K$405,$AP803),"#,##0")&amp;"円／申請書"&amp;TEXT($W803,"#,##0")&amp;"円）／","")&amp;IF(AND(INDEX(職員マスタ!$F$6:$F$405,$AP803)&lt;&gt;"",$AQ803&lt;&gt;"",INDEX(職員マスタ!$F$6:$F$405,$AP803)&lt;$AQ803),"対象月に子が2歳到達済／","")&amp;IF(AND($H803&lt;&gt;"",INDEX(職員マスタ!$B$6:$B$405,$AP803)&lt;&gt;"",SUBSTITUTE(SUBSTITUTE($H803," ","")," ","")&lt;&gt;SUBSTITUTE(SUBSTITUTE(INDEX(職員マスタ!$B$6:$B$405,$AP803)," ","")," ","")),"氏名がマスタと相違／","")&amp;IF(AND($Q803&lt;&gt;"",INDEX(職員マスタ!$E$6:$E$405,$AP803)&lt;&gt;"",$Q803&lt;&gt;INDEX(職員マスタ!$E$6:$E$405,$AP803)),"子の生年月日がマスタと相違／","")&amp;IF(AND($L803&lt;&gt;"",INDEX(職員マスタ!$G$6:$G$405,$AP803)&lt;&gt;"",$L803&lt;&gt;INDEX(職員マスタ!$G$6:$G$405,$AP803)),"時短開始日がマスタと相違／","")&amp;IF(AND($M803&lt;&gt;"",INDEX(職員マスタ!$H$6:$H$405,$AP803)&lt;&gt;"",$M803&lt;&gt;INDEX(職員マスタ!$H$6:$H$405,$AP803)),"時短終了日がマスタと相違／","")))&amp;IF(AND($B803&lt;&gt;"",$E803=""),"報酬額が未入力／","")&amp;IF(N($U803)&gt;0,"申請書に入力エラーが残っています／","")&amp;IF(AND($B803&lt;&gt;"",$AQ803&lt;&gt;""),IF(COUNTIFS($B$6:$B$3005,$B803,$C$6:$C$3005,$C803,$D$6:$D$3005,$D803)&gt;1,"同じ月の請求が重複しています／",""),"")&amp;IF(AND(N($E803)&gt;0,$AB803&lt;&gt;"",$AB803&lt;&gt;"×",$AE803=0,$AD803=""),"計算額が下限以下のため不支給／",""))</f>
        <v/>
      </c>
      <c r="AN803" s="12" t="n"/>
      <c r="AO803" s="14">
        <f>IF($AF803="保留中",COUNTIF($AF$6:$AF803,"保留中"),"")</f>
        <v/>
      </c>
      <c r="AP803" s="14">
        <f>IF($AQ803="","",IF(SUMPRODUCT(MAX((職員マスタ!$A$6:$A$405=$B803)*(((職員マスタ!$G$6:$G$405="")+(職員マスタ!$G$6:$G$405&lt;=EOMONTH($AQ803,0)))&gt;0)*(((職員マスタ!$H$6:$H$405="")+(職員マスタ!$H$6:$H$405&gt;=$AQ803))&gt;0)*(ROW(職員マスタ!$A$6:$A$405)-5)))&gt;0,SUMPRODUCT(MAX((職員マスタ!$A$6:$A$405=$B803)*(((職員マスタ!$G$6:$G$405="")+(職員マスタ!$G$6:$G$405&lt;=EOMONTH($AQ803,0)))&gt;0)*(((職員マスタ!$H$6:$H$405="")+(職員マスタ!$H$6:$H$405&gt;=$AQ803))&gt;0)*(ROW(職員マスタ!$A$6:$A$405)-5))),IFERROR(MATCH($B803,職員マスタ!$A$6:$A$405,0),"")))</f>
        <v/>
      </c>
      <c r="AQ803" s="16">
        <f>IF(OR($B803="",$C803="",$D803=""),"",DATE($C803+2018,$D803,1))</f>
        <v/>
      </c>
    </row>
    <row r="804">
      <c r="A804" s="11" t="n"/>
      <c r="B804" s="12" t="n"/>
      <c r="C804" s="12" t="n"/>
      <c r="D804" s="12" t="n"/>
      <c r="E804" s="13" t="n"/>
      <c r="F804" s="12" t="n"/>
      <c r="G804" s="13" t="n"/>
      <c r="H804" s="12" t="n"/>
      <c r="I804" s="12" t="n"/>
      <c r="J804" s="12" t="n"/>
      <c r="K804" s="12" t="n"/>
      <c r="L804" s="11" t="n"/>
      <c r="M804" s="11" t="n"/>
      <c r="N804" s="11" t="n"/>
      <c r="O804" s="11" t="n"/>
      <c r="P804" s="12" t="n"/>
      <c r="Q804" s="11" t="n"/>
      <c r="R804" s="12" t="n"/>
      <c r="S804" s="11" t="n"/>
      <c r="T804" s="12" t="n"/>
      <c r="U804" s="12" t="n"/>
      <c r="V804" s="12" t="n"/>
      <c r="W804" s="13" t="n"/>
      <c r="X804" s="14">
        <f>IF($AP804="",IF($B804="","",$H804),IF(INDEX(職員マスタ!$B$6:$B$405,$AP804)="",$H804,INDEX(職員マスタ!$B$6:$B$405,$AP804)))</f>
        <v/>
      </c>
      <c r="Y804" s="14">
        <f>IF($AP804="",IF($B804="","",$R804),IF(INDEX(職員マスタ!$C$6:$C$405,$AP804)="",$R804,INDEX(職員マスタ!$C$6:$C$405,$AP804)))</f>
        <v/>
      </c>
      <c r="Z804" s="14">
        <f>IF($AQ804="","","R"&amp;$C804&amp;"."&amp;$D804)</f>
        <v/>
      </c>
      <c r="AA804" s="15">
        <f>IF(IF($AP804="",FALSE,INDEX(職員マスタ!$K$6:$K$405,$AP804)&lt;&gt;""),INDEX(職員マスタ!$K$6:$K$405,$AP804),IF(N($W804)&gt;0,$W804,""))</f>
        <v/>
      </c>
      <c r="AB804" s="14">
        <f>IF(OR($E804="",$AA804=""),"",IF($E804&gt;=$AA804,"×",IF($E804&gt;=$AA804*設定!$C$5,"△","○")))</f>
        <v/>
      </c>
      <c r="AC804" s="15">
        <f>IF($AB804="","",IF($AB804="×",0,IF($AB804="○",ROUNDDOWN($E804*設定!$C$4,0),ROUNDDOWN($E804*ROUND((9*$AA804-9*$E804)/(10*$E804),4),0))))</f>
        <v/>
      </c>
      <c r="AD804" s="13" t="n"/>
      <c r="AE804" s="15">
        <f>IF($B804="","",IF($AD804&lt;&gt;"",$AD804,IF($AC804="","",IF($AC804&lt;=設定!$C$3,0,$AC804))))</f>
        <v/>
      </c>
      <c r="AF804" s="14">
        <f>IF($B804="","",IF(AND($AG804&lt;&gt;"",$AI804="",$AL804=""),"保留中",IF($AL804&lt;&gt;"",IF(N($AE804)&gt;0,"支給済","不支給"),IF($AE804="","要確認",IF($AE804=0,"不支給","未処理")))))</f>
        <v/>
      </c>
      <c r="AG804" s="12" t="n"/>
      <c r="AH804" s="11" t="n"/>
      <c r="AI804" s="11" t="n"/>
      <c r="AJ804" s="11" t="n"/>
      <c r="AK804" s="14">
        <f>IF(AND($AF804="保留中",$AH804&lt;&gt;""),TODAY()-$AH804,"")</f>
        <v/>
      </c>
      <c r="AL804" s="12" t="n"/>
      <c r="AM804" s="14">
        <f>IF($B804="","",IF($AQ804="","対象年月が未入力／","")&amp;IF($B804="","",IF($AP804="","職員マスタに未登録の職員番号／",IF($AA804="","標準報酬月額が未登録／","")&amp;IF(AND($AQ804&lt;&gt;"",OR(AND(INDEX(職員マスタ!$G$6:$G$405,$AP804)&lt;&gt;"",INDEX(職員マスタ!$G$6:$G$405,$AP804)&gt;EOMONTH($AQ804,0)),AND(INDEX(職員マスタ!$H$6:$H$405,$AP804)&lt;&gt;"",INDEX(職員マスタ!$H$6:$H$405,$AP804)&lt;$AQ804))),"対象月が時短期間外／","")&amp;IF(AND(INDEX(職員マスタ!$K$6:$K$405,$AP804)&lt;&gt;"",N($W804)&gt;0,INDEX(職員マスタ!$K$6:$K$405,$AP804)&lt;&gt;$W804),"標準報酬月額が申請書と相違（台帳"&amp;TEXT(INDEX(職員マスタ!$K$6:$K$405,$AP804),"#,##0")&amp;"円／申請書"&amp;TEXT($W804,"#,##0")&amp;"円）／","")&amp;IF(AND(INDEX(職員マスタ!$F$6:$F$405,$AP804)&lt;&gt;"",$AQ804&lt;&gt;"",INDEX(職員マスタ!$F$6:$F$405,$AP804)&lt;$AQ804),"対象月に子が2歳到達済／","")&amp;IF(AND($H804&lt;&gt;"",INDEX(職員マスタ!$B$6:$B$405,$AP804)&lt;&gt;"",SUBSTITUTE(SUBSTITUTE($H804," ","")," ","")&lt;&gt;SUBSTITUTE(SUBSTITUTE(INDEX(職員マスタ!$B$6:$B$405,$AP804)," ","")," ","")),"氏名がマスタと相違／","")&amp;IF(AND($Q804&lt;&gt;"",INDEX(職員マスタ!$E$6:$E$405,$AP804)&lt;&gt;"",$Q804&lt;&gt;INDEX(職員マスタ!$E$6:$E$405,$AP804)),"子の生年月日がマスタと相違／","")&amp;IF(AND($L804&lt;&gt;"",INDEX(職員マスタ!$G$6:$G$405,$AP804)&lt;&gt;"",$L804&lt;&gt;INDEX(職員マスタ!$G$6:$G$405,$AP804)),"時短開始日がマスタと相違／","")&amp;IF(AND($M804&lt;&gt;"",INDEX(職員マスタ!$H$6:$H$405,$AP804)&lt;&gt;"",$M804&lt;&gt;INDEX(職員マスタ!$H$6:$H$405,$AP804)),"時短終了日がマスタと相違／","")))&amp;IF(AND($B804&lt;&gt;"",$E804=""),"報酬額が未入力／","")&amp;IF(N($U804)&gt;0,"申請書に入力エラーが残っています／","")&amp;IF(AND($B804&lt;&gt;"",$AQ804&lt;&gt;""),IF(COUNTIFS($B$6:$B$3005,$B804,$C$6:$C$3005,$C804,$D$6:$D$3005,$D804)&gt;1,"同じ月の請求が重複しています／",""),"")&amp;IF(AND(N($E804)&gt;0,$AB804&lt;&gt;"",$AB804&lt;&gt;"×",$AE804=0,$AD804=""),"計算額が下限以下のため不支給／",""))</f>
        <v/>
      </c>
      <c r="AN804" s="12" t="n"/>
      <c r="AO804" s="14">
        <f>IF($AF804="保留中",COUNTIF($AF$6:$AF804,"保留中"),"")</f>
        <v/>
      </c>
      <c r="AP804" s="14">
        <f>IF($AQ804="","",IF(SUMPRODUCT(MAX((職員マスタ!$A$6:$A$405=$B804)*(((職員マスタ!$G$6:$G$405="")+(職員マスタ!$G$6:$G$405&lt;=EOMONTH($AQ804,0)))&gt;0)*(((職員マスタ!$H$6:$H$405="")+(職員マスタ!$H$6:$H$405&gt;=$AQ804))&gt;0)*(ROW(職員マスタ!$A$6:$A$405)-5)))&gt;0,SUMPRODUCT(MAX((職員マスタ!$A$6:$A$405=$B804)*(((職員マスタ!$G$6:$G$405="")+(職員マスタ!$G$6:$G$405&lt;=EOMONTH($AQ804,0)))&gt;0)*(((職員マスタ!$H$6:$H$405="")+(職員マスタ!$H$6:$H$405&gt;=$AQ804))&gt;0)*(ROW(職員マスタ!$A$6:$A$405)-5))),IFERROR(MATCH($B804,職員マスタ!$A$6:$A$405,0),"")))</f>
        <v/>
      </c>
      <c r="AQ804" s="16">
        <f>IF(OR($B804="",$C804="",$D804=""),"",DATE($C804+2018,$D804,1))</f>
        <v/>
      </c>
    </row>
    <row r="805">
      <c r="A805" s="11" t="n"/>
      <c r="B805" s="12" t="n"/>
      <c r="C805" s="12" t="n"/>
      <c r="D805" s="12" t="n"/>
      <c r="E805" s="13" t="n"/>
      <c r="F805" s="12" t="n"/>
      <c r="G805" s="13" t="n"/>
      <c r="H805" s="12" t="n"/>
      <c r="I805" s="12" t="n"/>
      <c r="J805" s="12" t="n"/>
      <c r="K805" s="12" t="n"/>
      <c r="L805" s="11" t="n"/>
      <c r="M805" s="11" t="n"/>
      <c r="N805" s="11" t="n"/>
      <c r="O805" s="11" t="n"/>
      <c r="P805" s="12" t="n"/>
      <c r="Q805" s="11" t="n"/>
      <c r="R805" s="12" t="n"/>
      <c r="S805" s="11" t="n"/>
      <c r="T805" s="12" t="n"/>
      <c r="U805" s="12" t="n"/>
      <c r="V805" s="12" t="n"/>
      <c r="W805" s="13" t="n"/>
      <c r="X805" s="14">
        <f>IF($AP805="",IF($B805="","",$H805),IF(INDEX(職員マスタ!$B$6:$B$405,$AP805)="",$H805,INDEX(職員マスタ!$B$6:$B$405,$AP805)))</f>
        <v/>
      </c>
      <c r="Y805" s="14">
        <f>IF($AP805="",IF($B805="","",$R805),IF(INDEX(職員マスタ!$C$6:$C$405,$AP805)="",$R805,INDEX(職員マスタ!$C$6:$C$405,$AP805)))</f>
        <v/>
      </c>
      <c r="Z805" s="14">
        <f>IF($AQ805="","","R"&amp;$C805&amp;"."&amp;$D805)</f>
        <v/>
      </c>
      <c r="AA805" s="15">
        <f>IF(IF($AP805="",FALSE,INDEX(職員マスタ!$K$6:$K$405,$AP805)&lt;&gt;""),INDEX(職員マスタ!$K$6:$K$405,$AP805),IF(N($W805)&gt;0,$W805,""))</f>
        <v/>
      </c>
      <c r="AB805" s="14">
        <f>IF(OR($E805="",$AA805=""),"",IF($E805&gt;=$AA805,"×",IF($E805&gt;=$AA805*設定!$C$5,"△","○")))</f>
        <v/>
      </c>
      <c r="AC805" s="15">
        <f>IF($AB805="","",IF($AB805="×",0,IF($AB805="○",ROUNDDOWN($E805*設定!$C$4,0),ROUNDDOWN($E805*ROUND((9*$AA805-9*$E805)/(10*$E805),4),0))))</f>
        <v/>
      </c>
      <c r="AD805" s="13" t="n"/>
      <c r="AE805" s="15">
        <f>IF($B805="","",IF($AD805&lt;&gt;"",$AD805,IF($AC805="","",IF($AC805&lt;=設定!$C$3,0,$AC805))))</f>
        <v/>
      </c>
      <c r="AF805" s="14">
        <f>IF($B805="","",IF(AND($AG805&lt;&gt;"",$AI805="",$AL805=""),"保留中",IF($AL805&lt;&gt;"",IF(N($AE805)&gt;0,"支給済","不支給"),IF($AE805="","要確認",IF($AE805=0,"不支給","未処理")))))</f>
        <v/>
      </c>
      <c r="AG805" s="12" t="n"/>
      <c r="AH805" s="11" t="n"/>
      <c r="AI805" s="11" t="n"/>
      <c r="AJ805" s="11" t="n"/>
      <c r="AK805" s="14">
        <f>IF(AND($AF805="保留中",$AH805&lt;&gt;""),TODAY()-$AH805,"")</f>
        <v/>
      </c>
      <c r="AL805" s="12" t="n"/>
      <c r="AM805" s="14">
        <f>IF($B805="","",IF($AQ805="","対象年月が未入力／","")&amp;IF($B805="","",IF($AP805="","職員マスタに未登録の職員番号／",IF($AA805="","標準報酬月額が未登録／","")&amp;IF(AND($AQ805&lt;&gt;"",OR(AND(INDEX(職員マスタ!$G$6:$G$405,$AP805)&lt;&gt;"",INDEX(職員マスタ!$G$6:$G$405,$AP805)&gt;EOMONTH($AQ805,0)),AND(INDEX(職員マスタ!$H$6:$H$405,$AP805)&lt;&gt;"",INDEX(職員マスタ!$H$6:$H$405,$AP805)&lt;$AQ805))),"対象月が時短期間外／","")&amp;IF(AND(INDEX(職員マスタ!$K$6:$K$405,$AP805)&lt;&gt;"",N($W805)&gt;0,INDEX(職員マスタ!$K$6:$K$405,$AP805)&lt;&gt;$W805),"標準報酬月額が申請書と相違（台帳"&amp;TEXT(INDEX(職員マスタ!$K$6:$K$405,$AP805),"#,##0")&amp;"円／申請書"&amp;TEXT($W805,"#,##0")&amp;"円）／","")&amp;IF(AND(INDEX(職員マスタ!$F$6:$F$405,$AP805)&lt;&gt;"",$AQ805&lt;&gt;"",INDEX(職員マスタ!$F$6:$F$405,$AP805)&lt;$AQ805),"対象月に子が2歳到達済／","")&amp;IF(AND($H805&lt;&gt;"",INDEX(職員マスタ!$B$6:$B$405,$AP805)&lt;&gt;"",SUBSTITUTE(SUBSTITUTE($H805," ","")," ","")&lt;&gt;SUBSTITUTE(SUBSTITUTE(INDEX(職員マスタ!$B$6:$B$405,$AP805)," ","")," ","")),"氏名がマスタと相違／","")&amp;IF(AND($Q805&lt;&gt;"",INDEX(職員マスタ!$E$6:$E$405,$AP805)&lt;&gt;"",$Q805&lt;&gt;INDEX(職員マスタ!$E$6:$E$405,$AP805)),"子の生年月日がマスタと相違／","")&amp;IF(AND($L805&lt;&gt;"",INDEX(職員マスタ!$G$6:$G$405,$AP805)&lt;&gt;"",$L805&lt;&gt;INDEX(職員マスタ!$G$6:$G$405,$AP805)),"時短開始日がマスタと相違／","")&amp;IF(AND($M805&lt;&gt;"",INDEX(職員マスタ!$H$6:$H$405,$AP805)&lt;&gt;"",$M805&lt;&gt;INDEX(職員マスタ!$H$6:$H$405,$AP805)),"時短終了日がマスタと相違／","")))&amp;IF(AND($B805&lt;&gt;"",$E805=""),"報酬額が未入力／","")&amp;IF(N($U805)&gt;0,"申請書に入力エラーが残っています／","")&amp;IF(AND($B805&lt;&gt;"",$AQ805&lt;&gt;""),IF(COUNTIFS($B$6:$B$3005,$B805,$C$6:$C$3005,$C805,$D$6:$D$3005,$D805)&gt;1,"同じ月の請求が重複しています／",""),"")&amp;IF(AND(N($E805)&gt;0,$AB805&lt;&gt;"",$AB805&lt;&gt;"×",$AE805=0,$AD805=""),"計算額が下限以下のため不支給／",""))</f>
        <v/>
      </c>
      <c r="AN805" s="12" t="n"/>
      <c r="AO805" s="14">
        <f>IF($AF805="保留中",COUNTIF($AF$6:$AF805,"保留中"),"")</f>
        <v/>
      </c>
      <c r="AP805" s="14">
        <f>IF($AQ805="","",IF(SUMPRODUCT(MAX((職員マスタ!$A$6:$A$405=$B805)*(((職員マスタ!$G$6:$G$405="")+(職員マスタ!$G$6:$G$405&lt;=EOMONTH($AQ805,0)))&gt;0)*(((職員マスタ!$H$6:$H$405="")+(職員マスタ!$H$6:$H$405&gt;=$AQ805))&gt;0)*(ROW(職員マスタ!$A$6:$A$405)-5)))&gt;0,SUMPRODUCT(MAX((職員マスタ!$A$6:$A$405=$B805)*(((職員マスタ!$G$6:$G$405="")+(職員マスタ!$G$6:$G$405&lt;=EOMONTH($AQ805,0)))&gt;0)*(((職員マスタ!$H$6:$H$405="")+(職員マスタ!$H$6:$H$405&gt;=$AQ805))&gt;0)*(ROW(職員マスタ!$A$6:$A$405)-5))),IFERROR(MATCH($B805,職員マスタ!$A$6:$A$405,0),"")))</f>
        <v/>
      </c>
      <c r="AQ805" s="16">
        <f>IF(OR($B805="",$C805="",$D805=""),"",DATE($C805+2018,$D805,1))</f>
        <v/>
      </c>
    </row>
    <row r="806">
      <c r="A806" s="11" t="n"/>
      <c r="B806" s="12" t="n"/>
      <c r="C806" s="12" t="n"/>
      <c r="D806" s="12" t="n"/>
      <c r="E806" s="13" t="n"/>
      <c r="F806" s="12" t="n"/>
      <c r="G806" s="13" t="n"/>
      <c r="H806" s="12" t="n"/>
      <c r="I806" s="12" t="n"/>
      <c r="J806" s="12" t="n"/>
      <c r="K806" s="12" t="n"/>
      <c r="L806" s="11" t="n"/>
      <c r="M806" s="11" t="n"/>
      <c r="N806" s="11" t="n"/>
      <c r="O806" s="11" t="n"/>
      <c r="P806" s="12" t="n"/>
      <c r="Q806" s="11" t="n"/>
      <c r="R806" s="12" t="n"/>
      <c r="S806" s="11" t="n"/>
      <c r="T806" s="12" t="n"/>
      <c r="U806" s="12" t="n"/>
      <c r="V806" s="12" t="n"/>
      <c r="W806" s="13" t="n"/>
      <c r="X806" s="14">
        <f>IF($AP806="",IF($B806="","",$H806),IF(INDEX(職員マスタ!$B$6:$B$405,$AP806)="",$H806,INDEX(職員マスタ!$B$6:$B$405,$AP806)))</f>
        <v/>
      </c>
      <c r="Y806" s="14">
        <f>IF($AP806="",IF($B806="","",$R806),IF(INDEX(職員マスタ!$C$6:$C$405,$AP806)="",$R806,INDEX(職員マスタ!$C$6:$C$405,$AP806)))</f>
        <v/>
      </c>
      <c r="Z806" s="14">
        <f>IF($AQ806="","","R"&amp;$C806&amp;"."&amp;$D806)</f>
        <v/>
      </c>
      <c r="AA806" s="15">
        <f>IF(IF($AP806="",FALSE,INDEX(職員マスタ!$K$6:$K$405,$AP806)&lt;&gt;""),INDEX(職員マスタ!$K$6:$K$405,$AP806),IF(N($W806)&gt;0,$W806,""))</f>
        <v/>
      </c>
      <c r="AB806" s="14">
        <f>IF(OR($E806="",$AA806=""),"",IF($E806&gt;=$AA806,"×",IF($E806&gt;=$AA806*設定!$C$5,"△","○")))</f>
        <v/>
      </c>
      <c r="AC806" s="15">
        <f>IF($AB806="","",IF($AB806="×",0,IF($AB806="○",ROUNDDOWN($E806*設定!$C$4,0),ROUNDDOWN($E806*ROUND((9*$AA806-9*$E806)/(10*$E806),4),0))))</f>
        <v/>
      </c>
      <c r="AD806" s="13" t="n"/>
      <c r="AE806" s="15">
        <f>IF($B806="","",IF($AD806&lt;&gt;"",$AD806,IF($AC806="","",IF($AC806&lt;=設定!$C$3,0,$AC806))))</f>
        <v/>
      </c>
      <c r="AF806" s="14">
        <f>IF($B806="","",IF(AND($AG806&lt;&gt;"",$AI806="",$AL806=""),"保留中",IF($AL806&lt;&gt;"",IF(N($AE806)&gt;0,"支給済","不支給"),IF($AE806="","要確認",IF($AE806=0,"不支給","未処理")))))</f>
        <v/>
      </c>
      <c r="AG806" s="12" t="n"/>
      <c r="AH806" s="11" t="n"/>
      <c r="AI806" s="11" t="n"/>
      <c r="AJ806" s="11" t="n"/>
      <c r="AK806" s="14">
        <f>IF(AND($AF806="保留中",$AH806&lt;&gt;""),TODAY()-$AH806,"")</f>
        <v/>
      </c>
      <c r="AL806" s="12" t="n"/>
      <c r="AM806" s="14">
        <f>IF($B806="","",IF($AQ806="","対象年月が未入力／","")&amp;IF($B806="","",IF($AP806="","職員マスタに未登録の職員番号／",IF($AA806="","標準報酬月額が未登録／","")&amp;IF(AND($AQ806&lt;&gt;"",OR(AND(INDEX(職員マスタ!$G$6:$G$405,$AP806)&lt;&gt;"",INDEX(職員マスタ!$G$6:$G$405,$AP806)&gt;EOMONTH($AQ806,0)),AND(INDEX(職員マスタ!$H$6:$H$405,$AP806)&lt;&gt;"",INDEX(職員マスタ!$H$6:$H$405,$AP806)&lt;$AQ806))),"対象月が時短期間外／","")&amp;IF(AND(INDEX(職員マスタ!$K$6:$K$405,$AP806)&lt;&gt;"",N($W806)&gt;0,INDEX(職員マスタ!$K$6:$K$405,$AP806)&lt;&gt;$W806),"標準報酬月額が申請書と相違（台帳"&amp;TEXT(INDEX(職員マスタ!$K$6:$K$405,$AP806),"#,##0")&amp;"円／申請書"&amp;TEXT($W806,"#,##0")&amp;"円）／","")&amp;IF(AND(INDEX(職員マスタ!$F$6:$F$405,$AP806)&lt;&gt;"",$AQ806&lt;&gt;"",INDEX(職員マスタ!$F$6:$F$405,$AP806)&lt;$AQ806),"対象月に子が2歳到達済／","")&amp;IF(AND($H806&lt;&gt;"",INDEX(職員マスタ!$B$6:$B$405,$AP806)&lt;&gt;"",SUBSTITUTE(SUBSTITUTE($H806," ","")," ","")&lt;&gt;SUBSTITUTE(SUBSTITUTE(INDEX(職員マスタ!$B$6:$B$405,$AP806)," ","")," ","")),"氏名がマスタと相違／","")&amp;IF(AND($Q806&lt;&gt;"",INDEX(職員マスタ!$E$6:$E$405,$AP806)&lt;&gt;"",$Q806&lt;&gt;INDEX(職員マスタ!$E$6:$E$405,$AP806)),"子の生年月日がマスタと相違／","")&amp;IF(AND($L806&lt;&gt;"",INDEX(職員マスタ!$G$6:$G$405,$AP806)&lt;&gt;"",$L806&lt;&gt;INDEX(職員マスタ!$G$6:$G$405,$AP806)),"時短開始日がマスタと相違／","")&amp;IF(AND($M806&lt;&gt;"",INDEX(職員マスタ!$H$6:$H$405,$AP806)&lt;&gt;"",$M806&lt;&gt;INDEX(職員マスタ!$H$6:$H$405,$AP806)),"時短終了日がマスタと相違／","")))&amp;IF(AND($B806&lt;&gt;"",$E806=""),"報酬額が未入力／","")&amp;IF(N($U806)&gt;0,"申請書に入力エラーが残っています／","")&amp;IF(AND($B806&lt;&gt;"",$AQ806&lt;&gt;""),IF(COUNTIFS($B$6:$B$3005,$B806,$C$6:$C$3005,$C806,$D$6:$D$3005,$D806)&gt;1,"同じ月の請求が重複しています／",""),"")&amp;IF(AND(N($E806)&gt;0,$AB806&lt;&gt;"",$AB806&lt;&gt;"×",$AE806=0,$AD806=""),"計算額が下限以下のため不支給／",""))</f>
        <v/>
      </c>
      <c r="AN806" s="12" t="n"/>
      <c r="AO806" s="14">
        <f>IF($AF806="保留中",COUNTIF($AF$6:$AF806,"保留中"),"")</f>
        <v/>
      </c>
      <c r="AP806" s="14">
        <f>IF($AQ806="","",IF(SUMPRODUCT(MAX((職員マスタ!$A$6:$A$405=$B806)*(((職員マスタ!$G$6:$G$405="")+(職員マスタ!$G$6:$G$405&lt;=EOMONTH($AQ806,0)))&gt;0)*(((職員マスタ!$H$6:$H$405="")+(職員マスタ!$H$6:$H$405&gt;=$AQ806))&gt;0)*(ROW(職員マスタ!$A$6:$A$405)-5)))&gt;0,SUMPRODUCT(MAX((職員マスタ!$A$6:$A$405=$B806)*(((職員マスタ!$G$6:$G$405="")+(職員マスタ!$G$6:$G$405&lt;=EOMONTH($AQ806,0)))&gt;0)*(((職員マスタ!$H$6:$H$405="")+(職員マスタ!$H$6:$H$405&gt;=$AQ806))&gt;0)*(ROW(職員マスタ!$A$6:$A$405)-5))),IFERROR(MATCH($B806,職員マスタ!$A$6:$A$405,0),"")))</f>
        <v/>
      </c>
      <c r="AQ806" s="16">
        <f>IF(OR($B806="",$C806="",$D806=""),"",DATE($C806+2018,$D806,1))</f>
        <v/>
      </c>
    </row>
    <row r="807">
      <c r="A807" s="11" t="n"/>
      <c r="B807" s="12" t="n"/>
      <c r="C807" s="12" t="n"/>
      <c r="D807" s="12" t="n"/>
      <c r="E807" s="13" t="n"/>
      <c r="F807" s="12" t="n"/>
      <c r="G807" s="13" t="n"/>
      <c r="H807" s="12" t="n"/>
      <c r="I807" s="12" t="n"/>
      <c r="J807" s="12" t="n"/>
      <c r="K807" s="12" t="n"/>
      <c r="L807" s="11" t="n"/>
      <c r="M807" s="11" t="n"/>
      <c r="N807" s="11" t="n"/>
      <c r="O807" s="11" t="n"/>
      <c r="P807" s="12" t="n"/>
      <c r="Q807" s="11" t="n"/>
      <c r="R807" s="12" t="n"/>
      <c r="S807" s="11" t="n"/>
      <c r="T807" s="12" t="n"/>
      <c r="U807" s="12" t="n"/>
      <c r="V807" s="12" t="n"/>
      <c r="W807" s="13" t="n"/>
      <c r="X807" s="14">
        <f>IF($AP807="",IF($B807="","",$H807),IF(INDEX(職員マスタ!$B$6:$B$405,$AP807)="",$H807,INDEX(職員マスタ!$B$6:$B$405,$AP807)))</f>
        <v/>
      </c>
      <c r="Y807" s="14">
        <f>IF($AP807="",IF($B807="","",$R807),IF(INDEX(職員マスタ!$C$6:$C$405,$AP807)="",$R807,INDEX(職員マスタ!$C$6:$C$405,$AP807)))</f>
        <v/>
      </c>
      <c r="Z807" s="14">
        <f>IF($AQ807="","","R"&amp;$C807&amp;"."&amp;$D807)</f>
        <v/>
      </c>
      <c r="AA807" s="15">
        <f>IF(IF($AP807="",FALSE,INDEX(職員マスタ!$K$6:$K$405,$AP807)&lt;&gt;""),INDEX(職員マスタ!$K$6:$K$405,$AP807),IF(N($W807)&gt;0,$W807,""))</f>
        <v/>
      </c>
      <c r="AB807" s="14">
        <f>IF(OR($E807="",$AA807=""),"",IF($E807&gt;=$AA807,"×",IF($E807&gt;=$AA807*設定!$C$5,"△","○")))</f>
        <v/>
      </c>
      <c r="AC807" s="15">
        <f>IF($AB807="","",IF($AB807="×",0,IF($AB807="○",ROUNDDOWN($E807*設定!$C$4,0),ROUNDDOWN($E807*ROUND((9*$AA807-9*$E807)/(10*$E807),4),0))))</f>
        <v/>
      </c>
      <c r="AD807" s="13" t="n"/>
      <c r="AE807" s="15">
        <f>IF($B807="","",IF($AD807&lt;&gt;"",$AD807,IF($AC807="","",IF($AC807&lt;=設定!$C$3,0,$AC807))))</f>
        <v/>
      </c>
      <c r="AF807" s="14">
        <f>IF($B807="","",IF(AND($AG807&lt;&gt;"",$AI807="",$AL807=""),"保留中",IF($AL807&lt;&gt;"",IF(N($AE807)&gt;0,"支給済","不支給"),IF($AE807="","要確認",IF($AE807=0,"不支給","未処理")))))</f>
        <v/>
      </c>
      <c r="AG807" s="12" t="n"/>
      <c r="AH807" s="11" t="n"/>
      <c r="AI807" s="11" t="n"/>
      <c r="AJ807" s="11" t="n"/>
      <c r="AK807" s="14">
        <f>IF(AND($AF807="保留中",$AH807&lt;&gt;""),TODAY()-$AH807,"")</f>
        <v/>
      </c>
      <c r="AL807" s="12" t="n"/>
      <c r="AM807" s="14">
        <f>IF($B807="","",IF($AQ807="","対象年月が未入力／","")&amp;IF($B807="","",IF($AP807="","職員マスタに未登録の職員番号／",IF($AA807="","標準報酬月額が未登録／","")&amp;IF(AND($AQ807&lt;&gt;"",OR(AND(INDEX(職員マスタ!$G$6:$G$405,$AP807)&lt;&gt;"",INDEX(職員マスタ!$G$6:$G$405,$AP807)&gt;EOMONTH($AQ807,0)),AND(INDEX(職員マスタ!$H$6:$H$405,$AP807)&lt;&gt;"",INDEX(職員マスタ!$H$6:$H$405,$AP807)&lt;$AQ807))),"対象月が時短期間外／","")&amp;IF(AND(INDEX(職員マスタ!$K$6:$K$405,$AP807)&lt;&gt;"",N($W807)&gt;0,INDEX(職員マスタ!$K$6:$K$405,$AP807)&lt;&gt;$W807),"標準報酬月額が申請書と相違（台帳"&amp;TEXT(INDEX(職員マスタ!$K$6:$K$405,$AP807),"#,##0")&amp;"円／申請書"&amp;TEXT($W807,"#,##0")&amp;"円）／","")&amp;IF(AND(INDEX(職員マスタ!$F$6:$F$405,$AP807)&lt;&gt;"",$AQ807&lt;&gt;"",INDEX(職員マスタ!$F$6:$F$405,$AP807)&lt;$AQ807),"対象月に子が2歳到達済／","")&amp;IF(AND($H807&lt;&gt;"",INDEX(職員マスタ!$B$6:$B$405,$AP807)&lt;&gt;"",SUBSTITUTE(SUBSTITUTE($H807," ","")," ","")&lt;&gt;SUBSTITUTE(SUBSTITUTE(INDEX(職員マスタ!$B$6:$B$405,$AP807)," ","")," ","")),"氏名がマスタと相違／","")&amp;IF(AND($Q807&lt;&gt;"",INDEX(職員マスタ!$E$6:$E$405,$AP807)&lt;&gt;"",$Q807&lt;&gt;INDEX(職員マスタ!$E$6:$E$405,$AP807)),"子の生年月日がマスタと相違／","")&amp;IF(AND($L807&lt;&gt;"",INDEX(職員マスタ!$G$6:$G$405,$AP807)&lt;&gt;"",$L807&lt;&gt;INDEX(職員マスタ!$G$6:$G$405,$AP807)),"時短開始日がマスタと相違／","")&amp;IF(AND($M807&lt;&gt;"",INDEX(職員マスタ!$H$6:$H$405,$AP807)&lt;&gt;"",$M807&lt;&gt;INDEX(職員マスタ!$H$6:$H$405,$AP807)),"時短終了日がマスタと相違／","")))&amp;IF(AND($B807&lt;&gt;"",$E807=""),"報酬額が未入力／","")&amp;IF(N($U807)&gt;0,"申請書に入力エラーが残っています／","")&amp;IF(AND($B807&lt;&gt;"",$AQ807&lt;&gt;""),IF(COUNTIFS($B$6:$B$3005,$B807,$C$6:$C$3005,$C807,$D$6:$D$3005,$D807)&gt;1,"同じ月の請求が重複しています／",""),"")&amp;IF(AND(N($E807)&gt;0,$AB807&lt;&gt;"",$AB807&lt;&gt;"×",$AE807=0,$AD807=""),"計算額が下限以下のため不支給／",""))</f>
        <v/>
      </c>
      <c r="AN807" s="12" t="n"/>
      <c r="AO807" s="14">
        <f>IF($AF807="保留中",COUNTIF($AF$6:$AF807,"保留中"),"")</f>
        <v/>
      </c>
      <c r="AP807" s="14">
        <f>IF($AQ807="","",IF(SUMPRODUCT(MAX((職員マスタ!$A$6:$A$405=$B807)*(((職員マスタ!$G$6:$G$405="")+(職員マスタ!$G$6:$G$405&lt;=EOMONTH($AQ807,0)))&gt;0)*(((職員マスタ!$H$6:$H$405="")+(職員マスタ!$H$6:$H$405&gt;=$AQ807))&gt;0)*(ROW(職員マスタ!$A$6:$A$405)-5)))&gt;0,SUMPRODUCT(MAX((職員マスタ!$A$6:$A$405=$B807)*(((職員マスタ!$G$6:$G$405="")+(職員マスタ!$G$6:$G$405&lt;=EOMONTH($AQ807,0)))&gt;0)*(((職員マスタ!$H$6:$H$405="")+(職員マスタ!$H$6:$H$405&gt;=$AQ807))&gt;0)*(ROW(職員マスタ!$A$6:$A$405)-5))),IFERROR(MATCH($B807,職員マスタ!$A$6:$A$405,0),"")))</f>
        <v/>
      </c>
      <c r="AQ807" s="16">
        <f>IF(OR($B807="",$C807="",$D807=""),"",DATE($C807+2018,$D807,1))</f>
        <v/>
      </c>
    </row>
    <row r="808">
      <c r="A808" s="11" t="n"/>
      <c r="B808" s="12" t="n"/>
      <c r="C808" s="12" t="n"/>
      <c r="D808" s="12" t="n"/>
      <c r="E808" s="13" t="n"/>
      <c r="F808" s="12" t="n"/>
      <c r="G808" s="13" t="n"/>
      <c r="H808" s="12" t="n"/>
      <c r="I808" s="12" t="n"/>
      <c r="J808" s="12" t="n"/>
      <c r="K808" s="12" t="n"/>
      <c r="L808" s="11" t="n"/>
      <c r="M808" s="11" t="n"/>
      <c r="N808" s="11" t="n"/>
      <c r="O808" s="11" t="n"/>
      <c r="P808" s="12" t="n"/>
      <c r="Q808" s="11" t="n"/>
      <c r="R808" s="12" t="n"/>
      <c r="S808" s="11" t="n"/>
      <c r="T808" s="12" t="n"/>
      <c r="U808" s="12" t="n"/>
      <c r="V808" s="12" t="n"/>
      <c r="W808" s="13" t="n"/>
      <c r="X808" s="14">
        <f>IF($AP808="",IF($B808="","",$H808),IF(INDEX(職員マスタ!$B$6:$B$405,$AP808)="",$H808,INDEX(職員マスタ!$B$6:$B$405,$AP808)))</f>
        <v/>
      </c>
      <c r="Y808" s="14">
        <f>IF($AP808="",IF($B808="","",$R808),IF(INDEX(職員マスタ!$C$6:$C$405,$AP808)="",$R808,INDEX(職員マスタ!$C$6:$C$405,$AP808)))</f>
        <v/>
      </c>
      <c r="Z808" s="14">
        <f>IF($AQ808="","","R"&amp;$C808&amp;"."&amp;$D808)</f>
        <v/>
      </c>
      <c r="AA808" s="15">
        <f>IF(IF($AP808="",FALSE,INDEX(職員マスタ!$K$6:$K$405,$AP808)&lt;&gt;""),INDEX(職員マスタ!$K$6:$K$405,$AP808),IF(N($W808)&gt;0,$W808,""))</f>
        <v/>
      </c>
      <c r="AB808" s="14">
        <f>IF(OR($E808="",$AA808=""),"",IF($E808&gt;=$AA808,"×",IF($E808&gt;=$AA808*設定!$C$5,"△","○")))</f>
        <v/>
      </c>
      <c r="AC808" s="15">
        <f>IF($AB808="","",IF($AB808="×",0,IF($AB808="○",ROUNDDOWN($E808*設定!$C$4,0),ROUNDDOWN($E808*ROUND((9*$AA808-9*$E808)/(10*$E808),4),0))))</f>
        <v/>
      </c>
      <c r="AD808" s="13" t="n"/>
      <c r="AE808" s="15">
        <f>IF($B808="","",IF($AD808&lt;&gt;"",$AD808,IF($AC808="","",IF($AC808&lt;=設定!$C$3,0,$AC808))))</f>
        <v/>
      </c>
      <c r="AF808" s="14">
        <f>IF($B808="","",IF(AND($AG808&lt;&gt;"",$AI808="",$AL808=""),"保留中",IF($AL808&lt;&gt;"",IF(N($AE808)&gt;0,"支給済","不支給"),IF($AE808="","要確認",IF($AE808=0,"不支給","未処理")))))</f>
        <v/>
      </c>
      <c r="AG808" s="12" t="n"/>
      <c r="AH808" s="11" t="n"/>
      <c r="AI808" s="11" t="n"/>
      <c r="AJ808" s="11" t="n"/>
      <c r="AK808" s="14">
        <f>IF(AND($AF808="保留中",$AH808&lt;&gt;""),TODAY()-$AH808,"")</f>
        <v/>
      </c>
      <c r="AL808" s="12" t="n"/>
      <c r="AM808" s="14">
        <f>IF($B808="","",IF($AQ808="","対象年月が未入力／","")&amp;IF($B808="","",IF($AP808="","職員マスタに未登録の職員番号／",IF($AA808="","標準報酬月額が未登録／","")&amp;IF(AND($AQ808&lt;&gt;"",OR(AND(INDEX(職員マスタ!$G$6:$G$405,$AP808)&lt;&gt;"",INDEX(職員マスタ!$G$6:$G$405,$AP808)&gt;EOMONTH($AQ808,0)),AND(INDEX(職員マスタ!$H$6:$H$405,$AP808)&lt;&gt;"",INDEX(職員マスタ!$H$6:$H$405,$AP808)&lt;$AQ808))),"対象月が時短期間外／","")&amp;IF(AND(INDEX(職員マスタ!$K$6:$K$405,$AP808)&lt;&gt;"",N($W808)&gt;0,INDEX(職員マスタ!$K$6:$K$405,$AP808)&lt;&gt;$W808),"標準報酬月額が申請書と相違（台帳"&amp;TEXT(INDEX(職員マスタ!$K$6:$K$405,$AP808),"#,##0")&amp;"円／申請書"&amp;TEXT($W808,"#,##0")&amp;"円）／","")&amp;IF(AND(INDEX(職員マスタ!$F$6:$F$405,$AP808)&lt;&gt;"",$AQ808&lt;&gt;"",INDEX(職員マスタ!$F$6:$F$405,$AP808)&lt;$AQ808),"対象月に子が2歳到達済／","")&amp;IF(AND($H808&lt;&gt;"",INDEX(職員マスタ!$B$6:$B$405,$AP808)&lt;&gt;"",SUBSTITUTE(SUBSTITUTE($H808," ","")," ","")&lt;&gt;SUBSTITUTE(SUBSTITUTE(INDEX(職員マスタ!$B$6:$B$405,$AP808)," ","")," ","")),"氏名がマスタと相違／","")&amp;IF(AND($Q808&lt;&gt;"",INDEX(職員マスタ!$E$6:$E$405,$AP808)&lt;&gt;"",$Q808&lt;&gt;INDEX(職員マスタ!$E$6:$E$405,$AP808)),"子の生年月日がマスタと相違／","")&amp;IF(AND($L808&lt;&gt;"",INDEX(職員マスタ!$G$6:$G$405,$AP808)&lt;&gt;"",$L808&lt;&gt;INDEX(職員マスタ!$G$6:$G$405,$AP808)),"時短開始日がマスタと相違／","")&amp;IF(AND($M808&lt;&gt;"",INDEX(職員マスタ!$H$6:$H$405,$AP808)&lt;&gt;"",$M808&lt;&gt;INDEX(職員マスタ!$H$6:$H$405,$AP808)),"時短終了日がマスタと相違／","")))&amp;IF(AND($B808&lt;&gt;"",$E808=""),"報酬額が未入力／","")&amp;IF(N($U808)&gt;0,"申請書に入力エラーが残っています／","")&amp;IF(AND($B808&lt;&gt;"",$AQ808&lt;&gt;""),IF(COUNTIFS($B$6:$B$3005,$B808,$C$6:$C$3005,$C808,$D$6:$D$3005,$D808)&gt;1,"同じ月の請求が重複しています／",""),"")&amp;IF(AND(N($E808)&gt;0,$AB808&lt;&gt;"",$AB808&lt;&gt;"×",$AE808=0,$AD808=""),"計算額が下限以下のため不支給／",""))</f>
        <v/>
      </c>
      <c r="AN808" s="12" t="n"/>
      <c r="AO808" s="14">
        <f>IF($AF808="保留中",COUNTIF($AF$6:$AF808,"保留中"),"")</f>
        <v/>
      </c>
      <c r="AP808" s="14">
        <f>IF($AQ808="","",IF(SUMPRODUCT(MAX((職員マスタ!$A$6:$A$405=$B808)*(((職員マスタ!$G$6:$G$405="")+(職員マスタ!$G$6:$G$405&lt;=EOMONTH($AQ808,0)))&gt;0)*(((職員マスタ!$H$6:$H$405="")+(職員マスタ!$H$6:$H$405&gt;=$AQ808))&gt;0)*(ROW(職員マスタ!$A$6:$A$405)-5)))&gt;0,SUMPRODUCT(MAX((職員マスタ!$A$6:$A$405=$B808)*(((職員マスタ!$G$6:$G$405="")+(職員マスタ!$G$6:$G$405&lt;=EOMONTH($AQ808,0)))&gt;0)*(((職員マスタ!$H$6:$H$405="")+(職員マスタ!$H$6:$H$405&gt;=$AQ808))&gt;0)*(ROW(職員マスタ!$A$6:$A$405)-5))),IFERROR(MATCH($B808,職員マスタ!$A$6:$A$405,0),"")))</f>
        <v/>
      </c>
      <c r="AQ808" s="16">
        <f>IF(OR($B808="",$C808="",$D808=""),"",DATE($C808+2018,$D808,1))</f>
        <v/>
      </c>
    </row>
    <row r="809">
      <c r="A809" s="11" t="n"/>
      <c r="B809" s="12" t="n"/>
      <c r="C809" s="12" t="n"/>
      <c r="D809" s="12" t="n"/>
      <c r="E809" s="13" t="n"/>
      <c r="F809" s="12" t="n"/>
      <c r="G809" s="13" t="n"/>
      <c r="H809" s="12" t="n"/>
      <c r="I809" s="12" t="n"/>
      <c r="J809" s="12" t="n"/>
      <c r="K809" s="12" t="n"/>
      <c r="L809" s="11" t="n"/>
      <c r="M809" s="11" t="n"/>
      <c r="N809" s="11" t="n"/>
      <c r="O809" s="11" t="n"/>
      <c r="P809" s="12" t="n"/>
      <c r="Q809" s="11" t="n"/>
      <c r="R809" s="12" t="n"/>
      <c r="S809" s="11" t="n"/>
      <c r="T809" s="12" t="n"/>
      <c r="U809" s="12" t="n"/>
      <c r="V809" s="12" t="n"/>
      <c r="W809" s="13" t="n"/>
      <c r="X809" s="14">
        <f>IF($AP809="",IF($B809="","",$H809),IF(INDEX(職員マスタ!$B$6:$B$405,$AP809)="",$H809,INDEX(職員マスタ!$B$6:$B$405,$AP809)))</f>
        <v/>
      </c>
      <c r="Y809" s="14">
        <f>IF($AP809="",IF($B809="","",$R809),IF(INDEX(職員マスタ!$C$6:$C$405,$AP809)="",$R809,INDEX(職員マスタ!$C$6:$C$405,$AP809)))</f>
        <v/>
      </c>
      <c r="Z809" s="14">
        <f>IF($AQ809="","","R"&amp;$C809&amp;"."&amp;$D809)</f>
        <v/>
      </c>
      <c r="AA809" s="15">
        <f>IF(IF($AP809="",FALSE,INDEX(職員マスタ!$K$6:$K$405,$AP809)&lt;&gt;""),INDEX(職員マスタ!$K$6:$K$405,$AP809),IF(N($W809)&gt;0,$W809,""))</f>
        <v/>
      </c>
      <c r="AB809" s="14">
        <f>IF(OR($E809="",$AA809=""),"",IF($E809&gt;=$AA809,"×",IF($E809&gt;=$AA809*設定!$C$5,"△","○")))</f>
        <v/>
      </c>
      <c r="AC809" s="15">
        <f>IF($AB809="","",IF($AB809="×",0,IF($AB809="○",ROUNDDOWN($E809*設定!$C$4,0),ROUNDDOWN($E809*ROUND((9*$AA809-9*$E809)/(10*$E809),4),0))))</f>
        <v/>
      </c>
      <c r="AD809" s="13" t="n"/>
      <c r="AE809" s="15">
        <f>IF($B809="","",IF($AD809&lt;&gt;"",$AD809,IF($AC809="","",IF($AC809&lt;=設定!$C$3,0,$AC809))))</f>
        <v/>
      </c>
      <c r="AF809" s="14">
        <f>IF($B809="","",IF(AND($AG809&lt;&gt;"",$AI809="",$AL809=""),"保留中",IF($AL809&lt;&gt;"",IF(N($AE809)&gt;0,"支給済","不支給"),IF($AE809="","要確認",IF($AE809=0,"不支給","未処理")))))</f>
        <v/>
      </c>
      <c r="AG809" s="12" t="n"/>
      <c r="AH809" s="11" t="n"/>
      <c r="AI809" s="11" t="n"/>
      <c r="AJ809" s="11" t="n"/>
      <c r="AK809" s="14">
        <f>IF(AND($AF809="保留中",$AH809&lt;&gt;""),TODAY()-$AH809,"")</f>
        <v/>
      </c>
      <c r="AL809" s="12" t="n"/>
      <c r="AM809" s="14">
        <f>IF($B809="","",IF($AQ809="","対象年月が未入力／","")&amp;IF($B809="","",IF($AP809="","職員マスタに未登録の職員番号／",IF($AA809="","標準報酬月額が未登録／","")&amp;IF(AND($AQ809&lt;&gt;"",OR(AND(INDEX(職員マスタ!$G$6:$G$405,$AP809)&lt;&gt;"",INDEX(職員マスタ!$G$6:$G$405,$AP809)&gt;EOMONTH($AQ809,0)),AND(INDEX(職員マスタ!$H$6:$H$405,$AP809)&lt;&gt;"",INDEX(職員マスタ!$H$6:$H$405,$AP809)&lt;$AQ809))),"対象月が時短期間外／","")&amp;IF(AND(INDEX(職員マスタ!$K$6:$K$405,$AP809)&lt;&gt;"",N($W809)&gt;0,INDEX(職員マスタ!$K$6:$K$405,$AP809)&lt;&gt;$W809),"標準報酬月額が申請書と相違（台帳"&amp;TEXT(INDEX(職員マスタ!$K$6:$K$405,$AP809),"#,##0")&amp;"円／申請書"&amp;TEXT($W809,"#,##0")&amp;"円）／","")&amp;IF(AND(INDEX(職員マスタ!$F$6:$F$405,$AP809)&lt;&gt;"",$AQ809&lt;&gt;"",INDEX(職員マスタ!$F$6:$F$405,$AP809)&lt;$AQ809),"対象月に子が2歳到達済／","")&amp;IF(AND($H809&lt;&gt;"",INDEX(職員マスタ!$B$6:$B$405,$AP809)&lt;&gt;"",SUBSTITUTE(SUBSTITUTE($H809," ","")," ","")&lt;&gt;SUBSTITUTE(SUBSTITUTE(INDEX(職員マスタ!$B$6:$B$405,$AP809)," ","")," ","")),"氏名がマスタと相違／","")&amp;IF(AND($Q809&lt;&gt;"",INDEX(職員マスタ!$E$6:$E$405,$AP809)&lt;&gt;"",$Q809&lt;&gt;INDEX(職員マスタ!$E$6:$E$405,$AP809)),"子の生年月日がマスタと相違／","")&amp;IF(AND($L809&lt;&gt;"",INDEX(職員マスタ!$G$6:$G$405,$AP809)&lt;&gt;"",$L809&lt;&gt;INDEX(職員マスタ!$G$6:$G$405,$AP809)),"時短開始日がマスタと相違／","")&amp;IF(AND($M809&lt;&gt;"",INDEX(職員マスタ!$H$6:$H$405,$AP809)&lt;&gt;"",$M809&lt;&gt;INDEX(職員マスタ!$H$6:$H$405,$AP809)),"時短終了日がマスタと相違／","")))&amp;IF(AND($B809&lt;&gt;"",$E809=""),"報酬額が未入力／","")&amp;IF(N($U809)&gt;0,"申請書に入力エラーが残っています／","")&amp;IF(AND($B809&lt;&gt;"",$AQ809&lt;&gt;""),IF(COUNTIFS($B$6:$B$3005,$B809,$C$6:$C$3005,$C809,$D$6:$D$3005,$D809)&gt;1,"同じ月の請求が重複しています／",""),"")&amp;IF(AND(N($E809)&gt;0,$AB809&lt;&gt;"",$AB809&lt;&gt;"×",$AE809=0,$AD809=""),"計算額が下限以下のため不支給／",""))</f>
        <v/>
      </c>
      <c r="AN809" s="12" t="n"/>
      <c r="AO809" s="14">
        <f>IF($AF809="保留中",COUNTIF($AF$6:$AF809,"保留中"),"")</f>
        <v/>
      </c>
      <c r="AP809" s="14">
        <f>IF($AQ809="","",IF(SUMPRODUCT(MAX((職員マスタ!$A$6:$A$405=$B809)*(((職員マスタ!$G$6:$G$405="")+(職員マスタ!$G$6:$G$405&lt;=EOMONTH($AQ809,0)))&gt;0)*(((職員マスタ!$H$6:$H$405="")+(職員マスタ!$H$6:$H$405&gt;=$AQ809))&gt;0)*(ROW(職員マスタ!$A$6:$A$405)-5)))&gt;0,SUMPRODUCT(MAX((職員マスタ!$A$6:$A$405=$B809)*(((職員マスタ!$G$6:$G$405="")+(職員マスタ!$G$6:$G$405&lt;=EOMONTH($AQ809,0)))&gt;0)*(((職員マスタ!$H$6:$H$405="")+(職員マスタ!$H$6:$H$405&gt;=$AQ809))&gt;0)*(ROW(職員マスタ!$A$6:$A$405)-5))),IFERROR(MATCH($B809,職員マスタ!$A$6:$A$405,0),"")))</f>
        <v/>
      </c>
      <c r="AQ809" s="16">
        <f>IF(OR($B809="",$C809="",$D809=""),"",DATE($C809+2018,$D809,1))</f>
        <v/>
      </c>
    </row>
    <row r="810">
      <c r="A810" s="11" t="n"/>
      <c r="B810" s="12" t="n"/>
      <c r="C810" s="12" t="n"/>
      <c r="D810" s="12" t="n"/>
      <c r="E810" s="13" t="n"/>
      <c r="F810" s="12" t="n"/>
      <c r="G810" s="13" t="n"/>
      <c r="H810" s="12" t="n"/>
      <c r="I810" s="12" t="n"/>
      <c r="J810" s="12" t="n"/>
      <c r="K810" s="12" t="n"/>
      <c r="L810" s="11" t="n"/>
      <c r="M810" s="11" t="n"/>
      <c r="N810" s="11" t="n"/>
      <c r="O810" s="11" t="n"/>
      <c r="P810" s="12" t="n"/>
      <c r="Q810" s="11" t="n"/>
      <c r="R810" s="12" t="n"/>
      <c r="S810" s="11" t="n"/>
      <c r="T810" s="12" t="n"/>
      <c r="U810" s="12" t="n"/>
      <c r="V810" s="12" t="n"/>
      <c r="W810" s="13" t="n"/>
      <c r="X810" s="14">
        <f>IF($AP810="",IF($B810="","",$H810),IF(INDEX(職員マスタ!$B$6:$B$405,$AP810)="",$H810,INDEX(職員マスタ!$B$6:$B$405,$AP810)))</f>
        <v/>
      </c>
      <c r="Y810" s="14">
        <f>IF($AP810="",IF($B810="","",$R810),IF(INDEX(職員マスタ!$C$6:$C$405,$AP810)="",$R810,INDEX(職員マスタ!$C$6:$C$405,$AP810)))</f>
        <v/>
      </c>
      <c r="Z810" s="14">
        <f>IF($AQ810="","","R"&amp;$C810&amp;"."&amp;$D810)</f>
        <v/>
      </c>
      <c r="AA810" s="15">
        <f>IF(IF($AP810="",FALSE,INDEX(職員マスタ!$K$6:$K$405,$AP810)&lt;&gt;""),INDEX(職員マスタ!$K$6:$K$405,$AP810),IF(N($W810)&gt;0,$W810,""))</f>
        <v/>
      </c>
      <c r="AB810" s="14">
        <f>IF(OR($E810="",$AA810=""),"",IF($E810&gt;=$AA810,"×",IF($E810&gt;=$AA810*設定!$C$5,"△","○")))</f>
        <v/>
      </c>
      <c r="AC810" s="15">
        <f>IF($AB810="","",IF($AB810="×",0,IF($AB810="○",ROUNDDOWN($E810*設定!$C$4,0),ROUNDDOWN($E810*ROUND((9*$AA810-9*$E810)/(10*$E810),4),0))))</f>
        <v/>
      </c>
      <c r="AD810" s="13" t="n"/>
      <c r="AE810" s="15">
        <f>IF($B810="","",IF($AD810&lt;&gt;"",$AD810,IF($AC810="","",IF($AC810&lt;=設定!$C$3,0,$AC810))))</f>
        <v/>
      </c>
      <c r="AF810" s="14">
        <f>IF($B810="","",IF(AND($AG810&lt;&gt;"",$AI810="",$AL810=""),"保留中",IF($AL810&lt;&gt;"",IF(N($AE810)&gt;0,"支給済","不支給"),IF($AE810="","要確認",IF($AE810=0,"不支給","未処理")))))</f>
        <v/>
      </c>
      <c r="AG810" s="12" t="n"/>
      <c r="AH810" s="11" t="n"/>
      <c r="AI810" s="11" t="n"/>
      <c r="AJ810" s="11" t="n"/>
      <c r="AK810" s="14">
        <f>IF(AND($AF810="保留中",$AH810&lt;&gt;""),TODAY()-$AH810,"")</f>
        <v/>
      </c>
      <c r="AL810" s="12" t="n"/>
      <c r="AM810" s="14">
        <f>IF($B810="","",IF($AQ810="","対象年月が未入力／","")&amp;IF($B810="","",IF($AP810="","職員マスタに未登録の職員番号／",IF($AA810="","標準報酬月額が未登録／","")&amp;IF(AND($AQ810&lt;&gt;"",OR(AND(INDEX(職員マスタ!$G$6:$G$405,$AP810)&lt;&gt;"",INDEX(職員マスタ!$G$6:$G$405,$AP810)&gt;EOMONTH($AQ810,0)),AND(INDEX(職員マスタ!$H$6:$H$405,$AP810)&lt;&gt;"",INDEX(職員マスタ!$H$6:$H$405,$AP810)&lt;$AQ810))),"対象月が時短期間外／","")&amp;IF(AND(INDEX(職員マスタ!$K$6:$K$405,$AP810)&lt;&gt;"",N($W810)&gt;0,INDEX(職員マスタ!$K$6:$K$405,$AP810)&lt;&gt;$W810),"標準報酬月額が申請書と相違（台帳"&amp;TEXT(INDEX(職員マスタ!$K$6:$K$405,$AP810),"#,##0")&amp;"円／申請書"&amp;TEXT($W810,"#,##0")&amp;"円）／","")&amp;IF(AND(INDEX(職員マスタ!$F$6:$F$405,$AP810)&lt;&gt;"",$AQ810&lt;&gt;"",INDEX(職員マスタ!$F$6:$F$405,$AP810)&lt;$AQ810),"対象月に子が2歳到達済／","")&amp;IF(AND($H810&lt;&gt;"",INDEX(職員マスタ!$B$6:$B$405,$AP810)&lt;&gt;"",SUBSTITUTE(SUBSTITUTE($H810," ","")," ","")&lt;&gt;SUBSTITUTE(SUBSTITUTE(INDEX(職員マスタ!$B$6:$B$405,$AP810)," ","")," ","")),"氏名がマスタと相違／","")&amp;IF(AND($Q810&lt;&gt;"",INDEX(職員マスタ!$E$6:$E$405,$AP810)&lt;&gt;"",$Q810&lt;&gt;INDEX(職員マスタ!$E$6:$E$405,$AP810)),"子の生年月日がマスタと相違／","")&amp;IF(AND($L810&lt;&gt;"",INDEX(職員マスタ!$G$6:$G$405,$AP810)&lt;&gt;"",$L810&lt;&gt;INDEX(職員マスタ!$G$6:$G$405,$AP810)),"時短開始日がマスタと相違／","")&amp;IF(AND($M810&lt;&gt;"",INDEX(職員マスタ!$H$6:$H$405,$AP810)&lt;&gt;"",$M810&lt;&gt;INDEX(職員マスタ!$H$6:$H$405,$AP810)),"時短終了日がマスタと相違／","")))&amp;IF(AND($B810&lt;&gt;"",$E810=""),"報酬額が未入力／","")&amp;IF(N($U810)&gt;0,"申請書に入力エラーが残っています／","")&amp;IF(AND($B810&lt;&gt;"",$AQ810&lt;&gt;""),IF(COUNTIFS($B$6:$B$3005,$B810,$C$6:$C$3005,$C810,$D$6:$D$3005,$D810)&gt;1,"同じ月の請求が重複しています／",""),"")&amp;IF(AND(N($E810)&gt;0,$AB810&lt;&gt;"",$AB810&lt;&gt;"×",$AE810=0,$AD810=""),"計算額が下限以下のため不支給／",""))</f>
        <v/>
      </c>
      <c r="AN810" s="12" t="n"/>
      <c r="AO810" s="14">
        <f>IF($AF810="保留中",COUNTIF($AF$6:$AF810,"保留中"),"")</f>
        <v/>
      </c>
      <c r="AP810" s="14">
        <f>IF($AQ810="","",IF(SUMPRODUCT(MAX((職員マスタ!$A$6:$A$405=$B810)*(((職員マスタ!$G$6:$G$405="")+(職員マスタ!$G$6:$G$405&lt;=EOMONTH($AQ810,0)))&gt;0)*(((職員マスタ!$H$6:$H$405="")+(職員マスタ!$H$6:$H$405&gt;=$AQ810))&gt;0)*(ROW(職員マスタ!$A$6:$A$405)-5)))&gt;0,SUMPRODUCT(MAX((職員マスタ!$A$6:$A$405=$B810)*(((職員マスタ!$G$6:$G$405="")+(職員マスタ!$G$6:$G$405&lt;=EOMONTH($AQ810,0)))&gt;0)*(((職員マスタ!$H$6:$H$405="")+(職員マスタ!$H$6:$H$405&gt;=$AQ810))&gt;0)*(ROW(職員マスタ!$A$6:$A$405)-5))),IFERROR(MATCH($B810,職員マスタ!$A$6:$A$405,0),"")))</f>
        <v/>
      </c>
      <c r="AQ810" s="16">
        <f>IF(OR($B810="",$C810="",$D810=""),"",DATE($C810+2018,$D810,1))</f>
        <v/>
      </c>
    </row>
    <row r="811">
      <c r="A811" s="11" t="n"/>
      <c r="B811" s="12" t="n"/>
      <c r="C811" s="12" t="n"/>
      <c r="D811" s="12" t="n"/>
      <c r="E811" s="13" t="n"/>
      <c r="F811" s="12" t="n"/>
      <c r="G811" s="13" t="n"/>
      <c r="H811" s="12" t="n"/>
      <c r="I811" s="12" t="n"/>
      <c r="J811" s="12" t="n"/>
      <c r="K811" s="12" t="n"/>
      <c r="L811" s="11" t="n"/>
      <c r="M811" s="11" t="n"/>
      <c r="N811" s="11" t="n"/>
      <c r="O811" s="11" t="n"/>
      <c r="P811" s="12" t="n"/>
      <c r="Q811" s="11" t="n"/>
      <c r="R811" s="12" t="n"/>
      <c r="S811" s="11" t="n"/>
      <c r="T811" s="12" t="n"/>
      <c r="U811" s="12" t="n"/>
      <c r="V811" s="12" t="n"/>
      <c r="W811" s="13" t="n"/>
      <c r="X811" s="14">
        <f>IF($AP811="",IF($B811="","",$H811),IF(INDEX(職員マスタ!$B$6:$B$405,$AP811)="",$H811,INDEX(職員マスタ!$B$6:$B$405,$AP811)))</f>
        <v/>
      </c>
      <c r="Y811" s="14">
        <f>IF($AP811="",IF($B811="","",$R811),IF(INDEX(職員マスタ!$C$6:$C$405,$AP811)="",$R811,INDEX(職員マスタ!$C$6:$C$405,$AP811)))</f>
        <v/>
      </c>
      <c r="Z811" s="14">
        <f>IF($AQ811="","","R"&amp;$C811&amp;"."&amp;$D811)</f>
        <v/>
      </c>
      <c r="AA811" s="15">
        <f>IF(IF($AP811="",FALSE,INDEX(職員マスタ!$K$6:$K$405,$AP811)&lt;&gt;""),INDEX(職員マスタ!$K$6:$K$405,$AP811),IF(N($W811)&gt;0,$W811,""))</f>
        <v/>
      </c>
      <c r="AB811" s="14">
        <f>IF(OR($E811="",$AA811=""),"",IF($E811&gt;=$AA811,"×",IF($E811&gt;=$AA811*設定!$C$5,"△","○")))</f>
        <v/>
      </c>
      <c r="AC811" s="15">
        <f>IF($AB811="","",IF($AB811="×",0,IF($AB811="○",ROUNDDOWN($E811*設定!$C$4,0),ROUNDDOWN($E811*ROUND((9*$AA811-9*$E811)/(10*$E811),4),0))))</f>
        <v/>
      </c>
      <c r="AD811" s="13" t="n"/>
      <c r="AE811" s="15">
        <f>IF($B811="","",IF($AD811&lt;&gt;"",$AD811,IF($AC811="","",IF($AC811&lt;=設定!$C$3,0,$AC811))))</f>
        <v/>
      </c>
      <c r="AF811" s="14">
        <f>IF($B811="","",IF(AND($AG811&lt;&gt;"",$AI811="",$AL811=""),"保留中",IF($AL811&lt;&gt;"",IF(N($AE811)&gt;0,"支給済","不支給"),IF($AE811="","要確認",IF($AE811=0,"不支給","未処理")))))</f>
        <v/>
      </c>
      <c r="AG811" s="12" t="n"/>
      <c r="AH811" s="11" t="n"/>
      <c r="AI811" s="11" t="n"/>
      <c r="AJ811" s="11" t="n"/>
      <c r="AK811" s="14">
        <f>IF(AND($AF811="保留中",$AH811&lt;&gt;""),TODAY()-$AH811,"")</f>
        <v/>
      </c>
      <c r="AL811" s="12" t="n"/>
      <c r="AM811" s="14">
        <f>IF($B811="","",IF($AQ811="","対象年月が未入力／","")&amp;IF($B811="","",IF($AP811="","職員マスタに未登録の職員番号／",IF($AA811="","標準報酬月額が未登録／","")&amp;IF(AND($AQ811&lt;&gt;"",OR(AND(INDEX(職員マスタ!$G$6:$G$405,$AP811)&lt;&gt;"",INDEX(職員マスタ!$G$6:$G$405,$AP811)&gt;EOMONTH($AQ811,0)),AND(INDEX(職員マスタ!$H$6:$H$405,$AP811)&lt;&gt;"",INDEX(職員マスタ!$H$6:$H$405,$AP811)&lt;$AQ811))),"対象月が時短期間外／","")&amp;IF(AND(INDEX(職員マスタ!$K$6:$K$405,$AP811)&lt;&gt;"",N($W811)&gt;0,INDEX(職員マスタ!$K$6:$K$405,$AP811)&lt;&gt;$W811),"標準報酬月額が申請書と相違（台帳"&amp;TEXT(INDEX(職員マスタ!$K$6:$K$405,$AP811),"#,##0")&amp;"円／申請書"&amp;TEXT($W811,"#,##0")&amp;"円）／","")&amp;IF(AND(INDEX(職員マスタ!$F$6:$F$405,$AP811)&lt;&gt;"",$AQ811&lt;&gt;"",INDEX(職員マスタ!$F$6:$F$405,$AP811)&lt;$AQ811),"対象月に子が2歳到達済／","")&amp;IF(AND($H811&lt;&gt;"",INDEX(職員マスタ!$B$6:$B$405,$AP811)&lt;&gt;"",SUBSTITUTE(SUBSTITUTE($H811," ","")," ","")&lt;&gt;SUBSTITUTE(SUBSTITUTE(INDEX(職員マスタ!$B$6:$B$405,$AP811)," ","")," ","")),"氏名がマスタと相違／","")&amp;IF(AND($Q811&lt;&gt;"",INDEX(職員マスタ!$E$6:$E$405,$AP811)&lt;&gt;"",$Q811&lt;&gt;INDEX(職員マスタ!$E$6:$E$405,$AP811)),"子の生年月日がマスタと相違／","")&amp;IF(AND($L811&lt;&gt;"",INDEX(職員マスタ!$G$6:$G$405,$AP811)&lt;&gt;"",$L811&lt;&gt;INDEX(職員マスタ!$G$6:$G$405,$AP811)),"時短開始日がマスタと相違／","")&amp;IF(AND($M811&lt;&gt;"",INDEX(職員マスタ!$H$6:$H$405,$AP811)&lt;&gt;"",$M811&lt;&gt;INDEX(職員マスタ!$H$6:$H$405,$AP811)),"時短終了日がマスタと相違／","")))&amp;IF(AND($B811&lt;&gt;"",$E811=""),"報酬額が未入力／","")&amp;IF(N($U811)&gt;0,"申請書に入力エラーが残っています／","")&amp;IF(AND($B811&lt;&gt;"",$AQ811&lt;&gt;""),IF(COUNTIFS($B$6:$B$3005,$B811,$C$6:$C$3005,$C811,$D$6:$D$3005,$D811)&gt;1,"同じ月の請求が重複しています／",""),"")&amp;IF(AND(N($E811)&gt;0,$AB811&lt;&gt;"",$AB811&lt;&gt;"×",$AE811=0,$AD811=""),"計算額が下限以下のため不支給／",""))</f>
        <v/>
      </c>
      <c r="AN811" s="12" t="n"/>
      <c r="AO811" s="14">
        <f>IF($AF811="保留中",COUNTIF($AF$6:$AF811,"保留中"),"")</f>
        <v/>
      </c>
      <c r="AP811" s="14">
        <f>IF($AQ811="","",IF(SUMPRODUCT(MAX((職員マスタ!$A$6:$A$405=$B811)*(((職員マスタ!$G$6:$G$405="")+(職員マスタ!$G$6:$G$405&lt;=EOMONTH($AQ811,0)))&gt;0)*(((職員マスタ!$H$6:$H$405="")+(職員マスタ!$H$6:$H$405&gt;=$AQ811))&gt;0)*(ROW(職員マスタ!$A$6:$A$405)-5)))&gt;0,SUMPRODUCT(MAX((職員マスタ!$A$6:$A$405=$B811)*(((職員マスタ!$G$6:$G$405="")+(職員マスタ!$G$6:$G$405&lt;=EOMONTH($AQ811,0)))&gt;0)*(((職員マスタ!$H$6:$H$405="")+(職員マスタ!$H$6:$H$405&gt;=$AQ811))&gt;0)*(ROW(職員マスタ!$A$6:$A$405)-5))),IFERROR(MATCH($B811,職員マスタ!$A$6:$A$405,0),"")))</f>
        <v/>
      </c>
      <c r="AQ811" s="16">
        <f>IF(OR($B811="",$C811="",$D811=""),"",DATE($C811+2018,$D811,1))</f>
        <v/>
      </c>
    </row>
    <row r="812">
      <c r="A812" s="11" t="n"/>
      <c r="B812" s="12" t="n"/>
      <c r="C812" s="12" t="n"/>
      <c r="D812" s="12" t="n"/>
      <c r="E812" s="13" t="n"/>
      <c r="F812" s="12" t="n"/>
      <c r="G812" s="13" t="n"/>
      <c r="H812" s="12" t="n"/>
      <c r="I812" s="12" t="n"/>
      <c r="J812" s="12" t="n"/>
      <c r="K812" s="12" t="n"/>
      <c r="L812" s="11" t="n"/>
      <c r="M812" s="11" t="n"/>
      <c r="N812" s="11" t="n"/>
      <c r="O812" s="11" t="n"/>
      <c r="P812" s="12" t="n"/>
      <c r="Q812" s="11" t="n"/>
      <c r="R812" s="12" t="n"/>
      <c r="S812" s="11" t="n"/>
      <c r="T812" s="12" t="n"/>
      <c r="U812" s="12" t="n"/>
      <c r="V812" s="12" t="n"/>
      <c r="W812" s="13" t="n"/>
      <c r="X812" s="14">
        <f>IF($AP812="",IF($B812="","",$H812),IF(INDEX(職員マスタ!$B$6:$B$405,$AP812)="",$H812,INDEX(職員マスタ!$B$6:$B$405,$AP812)))</f>
        <v/>
      </c>
      <c r="Y812" s="14">
        <f>IF($AP812="",IF($B812="","",$R812),IF(INDEX(職員マスタ!$C$6:$C$405,$AP812)="",$R812,INDEX(職員マスタ!$C$6:$C$405,$AP812)))</f>
        <v/>
      </c>
      <c r="Z812" s="14">
        <f>IF($AQ812="","","R"&amp;$C812&amp;"."&amp;$D812)</f>
        <v/>
      </c>
      <c r="AA812" s="15">
        <f>IF(IF($AP812="",FALSE,INDEX(職員マスタ!$K$6:$K$405,$AP812)&lt;&gt;""),INDEX(職員マスタ!$K$6:$K$405,$AP812),IF(N($W812)&gt;0,$W812,""))</f>
        <v/>
      </c>
      <c r="AB812" s="14">
        <f>IF(OR($E812="",$AA812=""),"",IF($E812&gt;=$AA812,"×",IF($E812&gt;=$AA812*設定!$C$5,"△","○")))</f>
        <v/>
      </c>
      <c r="AC812" s="15">
        <f>IF($AB812="","",IF($AB812="×",0,IF($AB812="○",ROUNDDOWN($E812*設定!$C$4,0),ROUNDDOWN($E812*ROUND((9*$AA812-9*$E812)/(10*$E812),4),0))))</f>
        <v/>
      </c>
      <c r="AD812" s="13" t="n"/>
      <c r="AE812" s="15">
        <f>IF($B812="","",IF($AD812&lt;&gt;"",$AD812,IF($AC812="","",IF($AC812&lt;=設定!$C$3,0,$AC812))))</f>
        <v/>
      </c>
      <c r="AF812" s="14">
        <f>IF($B812="","",IF(AND($AG812&lt;&gt;"",$AI812="",$AL812=""),"保留中",IF($AL812&lt;&gt;"",IF(N($AE812)&gt;0,"支給済","不支給"),IF($AE812="","要確認",IF($AE812=0,"不支給","未処理")))))</f>
        <v/>
      </c>
      <c r="AG812" s="12" t="n"/>
      <c r="AH812" s="11" t="n"/>
      <c r="AI812" s="11" t="n"/>
      <c r="AJ812" s="11" t="n"/>
      <c r="AK812" s="14">
        <f>IF(AND($AF812="保留中",$AH812&lt;&gt;""),TODAY()-$AH812,"")</f>
        <v/>
      </c>
      <c r="AL812" s="12" t="n"/>
      <c r="AM812" s="14">
        <f>IF($B812="","",IF($AQ812="","対象年月が未入力／","")&amp;IF($B812="","",IF($AP812="","職員マスタに未登録の職員番号／",IF($AA812="","標準報酬月額が未登録／","")&amp;IF(AND($AQ812&lt;&gt;"",OR(AND(INDEX(職員マスタ!$G$6:$G$405,$AP812)&lt;&gt;"",INDEX(職員マスタ!$G$6:$G$405,$AP812)&gt;EOMONTH($AQ812,0)),AND(INDEX(職員マスタ!$H$6:$H$405,$AP812)&lt;&gt;"",INDEX(職員マスタ!$H$6:$H$405,$AP812)&lt;$AQ812))),"対象月が時短期間外／","")&amp;IF(AND(INDEX(職員マスタ!$K$6:$K$405,$AP812)&lt;&gt;"",N($W812)&gt;0,INDEX(職員マスタ!$K$6:$K$405,$AP812)&lt;&gt;$W812),"標準報酬月額が申請書と相違（台帳"&amp;TEXT(INDEX(職員マスタ!$K$6:$K$405,$AP812),"#,##0")&amp;"円／申請書"&amp;TEXT($W812,"#,##0")&amp;"円）／","")&amp;IF(AND(INDEX(職員マスタ!$F$6:$F$405,$AP812)&lt;&gt;"",$AQ812&lt;&gt;"",INDEX(職員マスタ!$F$6:$F$405,$AP812)&lt;$AQ812),"対象月に子が2歳到達済／","")&amp;IF(AND($H812&lt;&gt;"",INDEX(職員マスタ!$B$6:$B$405,$AP812)&lt;&gt;"",SUBSTITUTE(SUBSTITUTE($H812," ","")," ","")&lt;&gt;SUBSTITUTE(SUBSTITUTE(INDEX(職員マスタ!$B$6:$B$405,$AP812)," ","")," ","")),"氏名がマスタと相違／","")&amp;IF(AND($Q812&lt;&gt;"",INDEX(職員マスタ!$E$6:$E$405,$AP812)&lt;&gt;"",$Q812&lt;&gt;INDEX(職員マスタ!$E$6:$E$405,$AP812)),"子の生年月日がマスタと相違／","")&amp;IF(AND($L812&lt;&gt;"",INDEX(職員マスタ!$G$6:$G$405,$AP812)&lt;&gt;"",$L812&lt;&gt;INDEX(職員マスタ!$G$6:$G$405,$AP812)),"時短開始日がマスタと相違／","")&amp;IF(AND($M812&lt;&gt;"",INDEX(職員マスタ!$H$6:$H$405,$AP812)&lt;&gt;"",$M812&lt;&gt;INDEX(職員マスタ!$H$6:$H$405,$AP812)),"時短終了日がマスタと相違／","")))&amp;IF(AND($B812&lt;&gt;"",$E812=""),"報酬額が未入力／","")&amp;IF(N($U812)&gt;0,"申請書に入力エラーが残っています／","")&amp;IF(AND($B812&lt;&gt;"",$AQ812&lt;&gt;""),IF(COUNTIFS($B$6:$B$3005,$B812,$C$6:$C$3005,$C812,$D$6:$D$3005,$D812)&gt;1,"同じ月の請求が重複しています／",""),"")&amp;IF(AND(N($E812)&gt;0,$AB812&lt;&gt;"",$AB812&lt;&gt;"×",$AE812=0,$AD812=""),"計算額が下限以下のため不支給／",""))</f>
        <v/>
      </c>
      <c r="AN812" s="12" t="n"/>
      <c r="AO812" s="14">
        <f>IF($AF812="保留中",COUNTIF($AF$6:$AF812,"保留中"),"")</f>
        <v/>
      </c>
      <c r="AP812" s="14">
        <f>IF($AQ812="","",IF(SUMPRODUCT(MAX((職員マスタ!$A$6:$A$405=$B812)*(((職員マスタ!$G$6:$G$405="")+(職員マスタ!$G$6:$G$405&lt;=EOMONTH($AQ812,0)))&gt;0)*(((職員マスタ!$H$6:$H$405="")+(職員マスタ!$H$6:$H$405&gt;=$AQ812))&gt;0)*(ROW(職員マスタ!$A$6:$A$405)-5)))&gt;0,SUMPRODUCT(MAX((職員マスタ!$A$6:$A$405=$B812)*(((職員マスタ!$G$6:$G$405="")+(職員マスタ!$G$6:$G$405&lt;=EOMONTH($AQ812,0)))&gt;0)*(((職員マスタ!$H$6:$H$405="")+(職員マスタ!$H$6:$H$405&gt;=$AQ812))&gt;0)*(ROW(職員マスタ!$A$6:$A$405)-5))),IFERROR(MATCH($B812,職員マスタ!$A$6:$A$405,0),"")))</f>
        <v/>
      </c>
      <c r="AQ812" s="16">
        <f>IF(OR($B812="",$C812="",$D812=""),"",DATE($C812+2018,$D812,1))</f>
        <v/>
      </c>
    </row>
    <row r="813">
      <c r="A813" s="11" t="n"/>
      <c r="B813" s="12" t="n"/>
      <c r="C813" s="12" t="n"/>
      <c r="D813" s="12" t="n"/>
      <c r="E813" s="13" t="n"/>
      <c r="F813" s="12" t="n"/>
      <c r="G813" s="13" t="n"/>
      <c r="H813" s="12" t="n"/>
      <c r="I813" s="12" t="n"/>
      <c r="J813" s="12" t="n"/>
      <c r="K813" s="12" t="n"/>
      <c r="L813" s="11" t="n"/>
      <c r="M813" s="11" t="n"/>
      <c r="N813" s="11" t="n"/>
      <c r="O813" s="11" t="n"/>
      <c r="P813" s="12" t="n"/>
      <c r="Q813" s="11" t="n"/>
      <c r="R813" s="12" t="n"/>
      <c r="S813" s="11" t="n"/>
      <c r="T813" s="12" t="n"/>
      <c r="U813" s="12" t="n"/>
      <c r="V813" s="12" t="n"/>
      <c r="W813" s="13" t="n"/>
      <c r="X813" s="14">
        <f>IF($AP813="",IF($B813="","",$H813),IF(INDEX(職員マスタ!$B$6:$B$405,$AP813)="",$H813,INDEX(職員マスタ!$B$6:$B$405,$AP813)))</f>
        <v/>
      </c>
      <c r="Y813" s="14">
        <f>IF($AP813="",IF($B813="","",$R813),IF(INDEX(職員マスタ!$C$6:$C$405,$AP813)="",$R813,INDEX(職員マスタ!$C$6:$C$405,$AP813)))</f>
        <v/>
      </c>
      <c r="Z813" s="14">
        <f>IF($AQ813="","","R"&amp;$C813&amp;"."&amp;$D813)</f>
        <v/>
      </c>
      <c r="AA813" s="15">
        <f>IF(IF($AP813="",FALSE,INDEX(職員マスタ!$K$6:$K$405,$AP813)&lt;&gt;""),INDEX(職員マスタ!$K$6:$K$405,$AP813),IF(N($W813)&gt;0,$W813,""))</f>
        <v/>
      </c>
      <c r="AB813" s="14">
        <f>IF(OR($E813="",$AA813=""),"",IF($E813&gt;=$AA813,"×",IF($E813&gt;=$AA813*設定!$C$5,"△","○")))</f>
        <v/>
      </c>
      <c r="AC813" s="15">
        <f>IF($AB813="","",IF($AB813="×",0,IF($AB813="○",ROUNDDOWN($E813*設定!$C$4,0),ROUNDDOWN($E813*ROUND((9*$AA813-9*$E813)/(10*$E813),4),0))))</f>
        <v/>
      </c>
      <c r="AD813" s="13" t="n"/>
      <c r="AE813" s="15">
        <f>IF($B813="","",IF($AD813&lt;&gt;"",$AD813,IF($AC813="","",IF($AC813&lt;=設定!$C$3,0,$AC813))))</f>
        <v/>
      </c>
      <c r="AF813" s="14">
        <f>IF($B813="","",IF(AND($AG813&lt;&gt;"",$AI813="",$AL813=""),"保留中",IF($AL813&lt;&gt;"",IF(N($AE813)&gt;0,"支給済","不支給"),IF($AE813="","要確認",IF($AE813=0,"不支給","未処理")))))</f>
        <v/>
      </c>
      <c r="AG813" s="12" t="n"/>
      <c r="AH813" s="11" t="n"/>
      <c r="AI813" s="11" t="n"/>
      <c r="AJ813" s="11" t="n"/>
      <c r="AK813" s="14">
        <f>IF(AND($AF813="保留中",$AH813&lt;&gt;""),TODAY()-$AH813,"")</f>
        <v/>
      </c>
      <c r="AL813" s="12" t="n"/>
      <c r="AM813" s="14">
        <f>IF($B813="","",IF($AQ813="","対象年月が未入力／","")&amp;IF($B813="","",IF($AP813="","職員マスタに未登録の職員番号／",IF($AA813="","標準報酬月額が未登録／","")&amp;IF(AND($AQ813&lt;&gt;"",OR(AND(INDEX(職員マスタ!$G$6:$G$405,$AP813)&lt;&gt;"",INDEX(職員マスタ!$G$6:$G$405,$AP813)&gt;EOMONTH($AQ813,0)),AND(INDEX(職員マスタ!$H$6:$H$405,$AP813)&lt;&gt;"",INDEX(職員マスタ!$H$6:$H$405,$AP813)&lt;$AQ813))),"対象月が時短期間外／","")&amp;IF(AND(INDEX(職員マスタ!$K$6:$K$405,$AP813)&lt;&gt;"",N($W813)&gt;0,INDEX(職員マスタ!$K$6:$K$405,$AP813)&lt;&gt;$W813),"標準報酬月額が申請書と相違（台帳"&amp;TEXT(INDEX(職員マスタ!$K$6:$K$405,$AP813),"#,##0")&amp;"円／申請書"&amp;TEXT($W813,"#,##0")&amp;"円）／","")&amp;IF(AND(INDEX(職員マスタ!$F$6:$F$405,$AP813)&lt;&gt;"",$AQ813&lt;&gt;"",INDEX(職員マスタ!$F$6:$F$405,$AP813)&lt;$AQ813),"対象月に子が2歳到達済／","")&amp;IF(AND($H813&lt;&gt;"",INDEX(職員マスタ!$B$6:$B$405,$AP813)&lt;&gt;"",SUBSTITUTE(SUBSTITUTE($H813," ","")," ","")&lt;&gt;SUBSTITUTE(SUBSTITUTE(INDEX(職員マスタ!$B$6:$B$405,$AP813)," ","")," ","")),"氏名がマスタと相違／","")&amp;IF(AND($Q813&lt;&gt;"",INDEX(職員マスタ!$E$6:$E$405,$AP813)&lt;&gt;"",$Q813&lt;&gt;INDEX(職員マスタ!$E$6:$E$405,$AP813)),"子の生年月日がマスタと相違／","")&amp;IF(AND($L813&lt;&gt;"",INDEX(職員マスタ!$G$6:$G$405,$AP813)&lt;&gt;"",$L813&lt;&gt;INDEX(職員マスタ!$G$6:$G$405,$AP813)),"時短開始日がマスタと相違／","")&amp;IF(AND($M813&lt;&gt;"",INDEX(職員マスタ!$H$6:$H$405,$AP813)&lt;&gt;"",$M813&lt;&gt;INDEX(職員マスタ!$H$6:$H$405,$AP813)),"時短終了日がマスタと相違／","")))&amp;IF(AND($B813&lt;&gt;"",$E813=""),"報酬額が未入力／","")&amp;IF(N($U813)&gt;0,"申請書に入力エラーが残っています／","")&amp;IF(AND($B813&lt;&gt;"",$AQ813&lt;&gt;""),IF(COUNTIFS($B$6:$B$3005,$B813,$C$6:$C$3005,$C813,$D$6:$D$3005,$D813)&gt;1,"同じ月の請求が重複しています／",""),"")&amp;IF(AND(N($E813)&gt;0,$AB813&lt;&gt;"",$AB813&lt;&gt;"×",$AE813=0,$AD813=""),"計算額が下限以下のため不支給／",""))</f>
        <v/>
      </c>
      <c r="AN813" s="12" t="n"/>
      <c r="AO813" s="14">
        <f>IF($AF813="保留中",COUNTIF($AF$6:$AF813,"保留中"),"")</f>
        <v/>
      </c>
      <c r="AP813" s="14">
        <f>IF($AQ813="","",IF(SUMPRODUCT(MAX((職員マスタ!$A$6:$A$405=$B813)*(((職員マスタ!$G$6:$G$405="")+(職員マスタ!$G$6:$G$405&lt;=EOMONTH($AQ813,0)))&gt;0)*(((職員マスタ!$H$6:$H$405="")+(職員マスタ!$H$6:$H$405&gt;=$AQ813))&gt;0)*(ROW(職員マスタ!$A$6:$A$405)-5)))&gt;0,SUMPRODUCT(MAX((職員マスタ!$A$6:$A$405=$B813)*(((職員マスタ!$G$6:$G$405="")+(職員マスタ!$G$6:$G$405&lt;=EOMONTH($AQ813,0)))&gt;0)*(((職員マスタ!$H$6:$H$405="")+(職員マスタ!$H$6:$H$405&gt;=$AQ813))&gt;0)*(ROW(職員マスタ!$A$6:$A$405)-5))),IFERROR(MATCH($B813,職員マスタ!$A$6:$A$405,0),"")))</f>
        <v/>
      </c>
      <c r="AQ813" s="16">
        <f>IF(OR($B813="",$C813="",$D813=""),"",DATE($C813+2018,$D813,1))</f>
        <v/>
      </c>
    </row>
    <row r="814">
      <c r="A814" s="11" t="n"/>
      <c r="B814" s="12" t="n"/>
      <c r="C814" s="12" t="n"/>
      <c r="D814" s="12" t="n"/>
      <c r="E814" s="13" t="n"/>
      <c r="F814" s="12" t="n"/>
      <c r="G814" s="13" t="n"/>
      <c r="H814" s="12" t="n"/>
      <c r="I814" s="12" t="n"/>
      <c r="J814" s="12" t="n"/>
      <c r="K814" s="12" t="n"/>
      <c r="L814" s="11" t="n"/>
      <c r="M814" s="11" t="n"/>
      <c r="N814" s="11" t="n"/>
      <c r="O814" s="11" t="n"/>
      <c r="P814" s="12" t="n"/>
      <c r="Q814" s="11" t="n"/>
      <c r="R814" s="12" t="n"/>
      <c r="S814" s="11" t="n"/>
      <c r="T814" s="12" t="n"/>
      <c r="U814" s="12" t="n"/>
      <c r="V814" s="12" t="n"/>
      <c r="W814" s="13" t="n"/>
      <c r="X814" s="14">
        <f>IF($AP814="",IF($B814="","",$H814),IF(INDEX(職員マスタ!$B$6:$B$405,$AP814)="",$H814,INDEX(職員マスタ!$B$6:$B$405,$AP814)))</f>
        <v/>
      </c>
      <c r="Y814" s="14">
        <f>IF($AP814="",IF($B814="","",$R814),IF(INDEX(職員マスタ!$C$6:$C$405,$AP814)="",$R814,INDEX(職員マスタ!$C$6:$C$405,$AP814)))</f>
        <v/>
      </c>
      <c r="Z814" s="14">
        <f>IF($AQ814="","","R"&amp;$C814&amp;"."&amp;$D814)</f>
        <v/>
      </c>
      <c r="AA814" s="15">
        <f>IF(IF($AP814="",FALSE,INDEX(職員マスタ!$K$6:$K$405,$AP814)&lt;&gt;""),INDEX(職員マスタ!$K$6:$K$405,$AP814),IF(N($W814)&gt;0,$W814,""))</f>
        <v/>
      </c>
      <c r="AB814" s="14">
        <f>IF(OR($E814="",$AA814=""),"",IF($E814&gt;=$AA814,"×",IF($E814&gt;=$AA814*設定!$C$5,"△","○")))</f>
        <v/>
      </c>
      <c r="AC814" s="15">
        <f>IF($AB814="","",IF($AB814="×",0,IF($AB814="○",ROUNDDOWN($E814*設定!$C$4,0),ROUNDDOWN($E814*ROUND((9*$AA814-9*$E814)/(10*$E814),4),0))))</f>
        <v/>
      </c>
      <c r="AD814" s="13" t="n"/>
      <c r="AE814" s="15">
        <f>IF($B814="","",IF($AD814&lt;&gt;"",$AD814,IF($AC814="","",IF($AC814&lt;=設定!$C$3,0,$AC814))))</f>
        <v/>
      </c>
      <c r="AF814" s="14">
        <f>IF($B814="","",IF(AND($AG814&lt;&gt;"",$AI814="",$AL814=""),"保留中",IF($AL814&lt;&gt;"",IF(N($AE814)&gt;0,"支給済","不支給"),IF($AE814="","要確認",IF($AE814=0,"不支給","未処理")))))</f>
        <v/>
      </c>
      <c r="AG814" s="12" t="n"/>
      <c r="AH814" s="11" t="n"/>
      <c r="AI814" s="11" t="n"/>
      <c r="AJ814" s="11" t="n"/>
      <c r="AK814" s="14">
        <f>IF(AND($AF814="保留中",$AH814&lt;&gt;""),TODAY()-$AH814,"")</f>
        <v/>
      </c>
      <c r="AL814" s="12" t="n"/>
      <c r="AM814" s="14">
        <f>IF($B814="","",IF($AQ814="","対象年月が未入力／","")&amp;IF($B814="","",IF($AP814="","職員マスタに未登録の職員番号／",IF($AA814="","標準報酬月額が未登録／","")&amp;IF(AND($AQ814&lt;&gt;"",OR(AND(INDEX(職員マスタ!$G$6:$G$405,$AP814)&lt;&gt;"",INDEX(職員マスタ!$G$6:$G$405,$AP814)&gt;EOMONTH($AQ814,0)),AND(INDEX(職員マスタ!$H$6:$H$405,$AP814)&lt;&gt;"",INDEX(職員マスタ!$H$6:$H$405,$AP814)&lt;$AQ814))),"対象月が時短期間外／","")&amp;IF(AND(INDEX(職員マスタ!$K$6:$K$405,$AP814)&lt;&gt;"",N($W814)&gt;0,INDEX(職員マスタ!$K$6:$K$405,$AP814)&lt;&gt;$W814),"標準報酬月額が申請書と相違（台帳"&amp;TEXT(INDEX(職員マスタ!$K$6:$K$405,$AP814),"#,##0")&amp;"円／申請書"&amp;TEXT($W814,"#,##0")&amp;"円）／","")&amp;IF(AND(INDEX(職員マスタ!$F$6:$F$405,$AP814)&lt;&gt;"",$AQ814&lt;&gt;"",INDEX(職員マスタ!$F$6:$F$405,$AP814)&lt;$AQ814),"対象月に子が2歳到達済／","")&amp;IF(AND($H814&lt;&gt;"",INDEX(職員マスタ!$B$6:$B$405,$AP814)&lt;&gt;"",SUBSTITUTE(SUBSTITUTE($H814," ","")," ","")&lt;&gt;SUBSTITUTE(SUBSTITUTE(INDEX(職員マスタ!$B$6:$B$405,$AP814)," ","")," ","")),"氏名がマスタと相違／","")&amp;IF(AND($Q814&lt;&gt;"",INDEX(職員マスタ!$E$6:$E$405,$AP814)&lt;&gt;"",$Q814&lt;&gt;INDEX(職員マスタ!$E$6:$E$405,$AP814)),"子の生年月日がマスタと相違／","")&amp;IF(AND($L814&lt;&gt;"",INDEX(職員マスタ!$G$6:$G$405,$AP814)&lt;&gt;"",$L814&lt;&gt;INDEX(職員マスタ!$G$6:$G$405,$AP814)),"時短開始日がマスタと相違／","")&amp;IF(AND($M814&lt;&gt;"",INDEX(職員マスタ!$H$6:$H$405,$AP814)&lt;&gt;"",$M814&lt;&gt;INDEX(職員マスタ!$H$6:$H$405,$AP814)),"時短終了日がマスタと相違／","")))&amp;IF(AND($B814&lt;&gt;"",$E814=""),"報酬額が未入力／","")&amp;IF(N($U814)&gt;0,"申請書に入力エラーが残っています／","")&amp;IF(AND($B814&lt;&gt;"",$AQ814&lt;&gt;""),IF(COUNTIFS($B$6:$B$3005,$B814,$C$6:$C$3005,$C814,$D$6:$D$3005,$D814)&gt;1,"同じ月の請求が重複しています／",""),"")&amp;IF(AND(N($E814)&gt;0,$AB814&lt;&gt;"",$AB814&lt;&gt;"×",$AE814=0,$AD814=""),"計算額が下限以下のため不支給／",""))</f>
        <v/>
      </c>
      <c r="AN814" s="12" t="n"/>
      <c r="AO814" s="14">
        <f>IF($AF814="保留中",COUNTIF($AF$6:$AF814,"保留中"),"")</f>
        <v/>
      </c>
      <c r="AP814" s="14">
        <f>IF($AQ814="","",IF(SUMPRODUCT(MAX((職員マスタ!$A$6:$A$405=$B814)*(((職員マスタ!$G$6:$G$405="")+(職員マスタ!$G$6:$G$405&lt;=EOMONTH($AQ814,0)))&gt;0)*(((職員マスタ!$H$6:$H$405="")+(職員マスタ!$H$6:$H$405&gt;=$AQ814))&gt;0)*(ROW(職員マスタ!$A$6:$A$405)-5)))&gt;0,SUMPRODUCT(MAX((職員マスタ!$A$6:$A$405=$B814)*(((職員マスタ!$G$6:$G$405="")+(職員マスタ!$G$6:$G$405&lt;=EOMONTH($AQ814,0)))&gt;0)*(((職員マスタ!$H$6:$H$405="")+(職員マスタ!$H$6:$H$405&gt;=$AQ814))&gt;0)*(ROW(職員マスタ!$A$6:$A$405)-5))),IFERROR(MATCH($B814,職員マスタ!$A$6:$A$405,0),"")))</f>
        <v/>
      </c>
      <c r="AQ814" s="16">
        <f>IF(OR($B814="",$C814="",$D814=""),"",DATE($C814+2018,$D814,1))</f>
        <v/>
      </c>
    </row>
    <row r="815">
      <c r="A815" s="11" t="n"/>
      <c r="B815" s="12" t="n"/>
      <c r="C815" s="12" t="n"/>
      <c r="D815" s="12" t="n"/>
      <c r="E815" s="13" t="n"/>
      <c r="F815" s="12" t="n"/>
      <c r="G815" s="13" t="n"/>
      <c r="H815" s="12" t="n"/>
      <c r="I815" s="12" t="n"/>
      <c r="J815" s="12" t="n"/>
      <c r="K815" s="12" t="n"/>
      <c r="L815" s="11" t="n"/>
      <c r="M815" s="11" t="n"/>
      <c r="N815" s="11" t="n"/>
      <c r="O815" s="11" t="n"/>
      <c r="P815" s="12" t="n"/>
      <c r="Q815" s="11" t="n"/>
      <c r="R815" s="12" t="n"/>
      <c r="S815" s="11" t="n"/>
      <c r="T815" s="12" t="n"/>
      <c r="U815" s="12" t="n"/>
      <c r="V815" s="12" t="n"/>
      <c r="W815" s="13" t="n"/>
      <c r="X815" s="14">
        <f>IF($AP815="",IF($B815="","",$H815),IF(INDEX(職員マスタ!$B$6:$B$405,$AP815)="",$H815,INDEX(職員マスタ!$B$6:$B$405,$AP815)))</f>
        <v/>
      </c>
      <c r="Y815" s="14">
        <f>IF($AP815="",IF($B815="","",$R815),IF(INDEX(職員マスタ!$C$6:$C$405,$AP815)="",$R815,INDEX(職員マスタ!$C$6:$C$405,$AP815)))</f>
        <v/>
      </c>
      <c r="Z815" s="14">
        <f>IF($AQ815="","","R"&amp;$C815&amp;"."&amp;$D815)</f>
        <v/>
      </c>
      <c r="AA815" s="15">
        <f>IF(IF($AP815="",FALSE,INDEX(職員マスタ!$K$6:$K$405,$AP815)&lt;&gt;""),INDEX(職員マスタ!$K$6:$K$405,$AP815),IF(N($W815)&gt;0,$W815,""))</f>
        <v/>
      </c>
      <c r="AB815" s="14">
        <f>IF(OR($E815="",$AA815=""),"",IF($E815&gt;=$AA815,"×",IF($E815&gt;=$AA815*設定!$C$5,"△","○")))</f>
        <v/>
      </c>
      <c r="AC815" s="15">
        <f>IF($AB815="","",IF($AB815="×",0,IF($AB815="○",ROUNDDOWN($E815*設定!$C$4,0),ROUNDDOWN($E815*ROUND((9*$AA815-9*$E815)/(10*$E815),4),0))))</f>
        <v/>
      </c>
      <c r="AD815" s="13" t="n"/>
      <c r="AE815" s="15">
        <f>IF($B815="","",IF($AD815&lt;&gt;"",$AD815,IF($AC815="","",IF($AC815&lt;=設定!$C$3,0,$AC815))))</f>
        <v/>
      </c>
      <c r="AF815" s="14">
        <f>IF($B815="","",IF(AND($AG815&lt;&gt;"",$AI815="",$AL815=""),"保留中",IF($AL815&lt;&gt;"",IF(N($AE815)&gt;0,"支給済","不支給"),IF($AE815="","要確認",IF($AE815=0,"不支給","未処理")))))</f>
        <v/>
      </c>
      <c r="AG815" s="12" t="n"/>
      <c r="AH815" s="11" t="n"/>
      <c r="AI815" s="11" t="n"/>
      <c r="AJ815" s="11" t="n"/>
      <c r="AK815" s="14">
        <f>IF(AND($AF815="保留中",$AH815&lt;&gt;""),TODAY()-$AH815,"")</f>
        <v/>
      </c>
      <c r="AL815" s="12" t="n"/>
      <c r="AM815" s="14">
        <f>IF($B815="","",IF($AQ815="","対象年月が未入力／","")&amp;IF($B815="","",IF($AP815="","職員マスタに未登録の職員番号／",IF($AA815="","標準報酬月額が未登録／","")&amp;IF(AND($AQ815&lt;&gt;"",OR(AND(INDEX(職員マスタ!$G$6:$G$405,$AP815)&lt;&gt;"",INDEX(職員マスタ!$G$6:$G$405,$AP815)&gt;EOMONTH($AQ815,0)),AND(INDEX(職員マスタ!$H$6:$H$405,$AP815)&lt;&gt;"",INDEX(職員マスタ!$H$6:$H$405,$AP815)&lt;$AQ815))),"対象月が時短期間外／","")&amp;IF(AND(INDEX(職員マスタ!$K$6:$K$405,$AP815)&lt;&gt;"",N($W815)&gt;0,INDEX(職員マスタ!$K$6:$K$405,$AP815)&lt;&gt;$W815),"標準報酬月額が申請書と相違（台帳"&amp;TEXT(INDEX(職員マスタ!$K$6:$K$405,$AP815),"#,##0")&amp;"円／申請書"&amp;TEXT($W815,"#,##0")&amp;"円）／","")&amp;IF(AND(INDEX(職員マスタ!$F$6:$F$405,$AP815)&lt;&gt;"",$AQ815&lt;&gt;"",INDEX(職員マスタ!$F$6:$F$405,$AP815)&lt;$AQ815),"対象月に子が2歳到達済／","")&amp;IF(AND($H815&lt;&gt;"",INDEX(職員マスタ!$B$6:$B$405,$AP815)&lt;&gt;"",SUBSTITUTE(SUBSTITUTE($H815," ","")," ","")&lt;&gt;SUBSTITUTE(SUBSTITUTE(INDEX(職員マスタ!$B$6:$B$405,$AP815)," ","")," ","")),"氏名がマスタと相違／","")&amp;IF(AND($Q815&lt;&gt;"",INDEX(職員マスタ!$E$6:$E$405,$AP815)&lt;&gt;"",$Q815&lt;&gt;INDEX(職員マスタ!$E$6:$E$405,$AP815)),"子の生年月日がマスタと相違／","")&amp;IF(AND($L815&lt;&gt;"",INDEX(職員マスタ!$G$6:$G$405,$AP815)&lt;&gt;"",$L815&lt;&gt;INDEX(職員マスタ!$G$6:$G$405,$AP815)),"時短開始日がマスタと相違／","")&amp;IF(AND($M815&lt;&gt;"",INDEX(職員マスタ!$H$6:$H$405,$AP815)&lt;&gt;"",$M815&lt;&gt;INDEX(職員マスタ!$H$6:$H$405,$AP815)),"時短終了日がマスタと相違／","")))&amp;IF(AND($B815&lt;&gt;"",$E815=""),"報酬額が未入力／","")&amp;IF(N($U815)&gt;0,"申請書に入力エラーが残っています／","")&amp;IF(AND($B815&lt;&gt;"",$AQ815&lt;&gt;""),IF(COUNTIFS($B$6:$B$3005,$B815,$C$6:$C$3005,$C815,$D$6:$D$3005,$D815)&gt;1,"同じ月の請求が重複しています／",""),"")&amp;IF(AND(N($E815)&gt;0,$AB815&lt;&gt;"",$AB815&lt;&gt;"×",$AE815=0,$AD815=""),"計算額が下限以下のため不支給／",""))</f>
        <v/>
      </c>
      <c r="AN815" s="12" t="n"/>
      <c r="AO815" s="14">
        <f>IF($AF815="保留中",COUNTIF($AF$6:$AF815,"保留中"),"")</f>
        <v/>
      </c>
      <c r="AP815" s="14">
        <f>IF($AQ815="","",IF(SUMPRODUCT(MAX((職員マスタ!$A$6:$A$405=$B815)*(((職員マスタ!$G$6:$G$405="")+(職員マスタ!$G$6:$G$405&lt;=EOMONTH($AQ815,0)))&gt;0)*(((職員マスタ!$H$6:$H$405="")+(職員マスタ!$H$6:$H$405&gt;=$AQ815))&gt;0)*(ROW(職員マスタ!$A$6:$A$405)-5)))&gt;0,SUMPRODUCT(MAX((職員マスタ!$A$6:$A$405=$B815)*(((職員マスタ!$G$6:$G$405="")+(職員マスタ!$G$6:$G$405&lt;=EOMONTH($AQ815,0)))&gt;0)*(((職員マスタ!$H$6:$H$405="")+(職員マスタ!$H$6:$H$405&gt;=$AQ815))&gt;0)*(ROW(職員マスタ!$A$6:$A$405)-5))),IFERROR(MATCH($B815,職員マスタ!$A$6:$A$405,0),"")))</f>
        <v/>
      </c>
      <c r="AQ815" s="16">
        <f>IF(OR($B815="",$C815="",$D815=""),"",DATE($C815+2018,$D815,1))</f>
        <v/>
      </c>
    </row>
    <row r="816">
      <c r="A816" s="11" t="n"/>
      <c r="B816" s="12" t="n"/>
      <c r="C816" s="12" t="n"/>
      <c r="D816" s="12" t="n"/>
      <c r="E816" s="13" t="n"/>
      <c r="F816" s="12" t="n"/>
      <c r="G816" s="13" t="n"/>
      <c r="H816" s="12" t="n"/>
      <c r="I816" s="12" t="n"/>
      <c r="J816" s="12" t="n"/>
      <c r="K816" s="12" t="n"/>
      <c r="L816" s="11" t="n"/>
      <c r="M816" s="11" t="n"/>
      <c r="N816" s="11" t="n"/>
      <c r="O816" s="11" t="n"/>
      <c r="P816" s="12" t="n"/>
      <c r="Q816" s="11" t="n"/>
      <c r="R816" s="12" t="n"/>
      <c r="S816" s="11" t="n"/>
      <c r="T816" s="12" t="n"/>
      <c r="U816" s="12" t="n"/>
      <c r="V816" s="12" t="n"/>
      <c r="W816" s="13" t="n"/>
      <c r="X816" s="14">
        <f>IF($AP816="",IF($B816="","",$H816),IF(INDEX(職員マスタ!$B$6:$B$405,$AP816)="",$H816,INDEX(職員マスタ!$B$6:$B$405,$AP816)))</f>
        <v/>
      </c>
      <c r="Y816" s="14">
        <f>IF($AP816="",IF($B816="","",$R816),IF(INDEX(職員マスタ!$C$6:$C$405,$AP816)="",$R816,INDEX(職員マスタ!$C$6:$C$405,$AP816)))</f>
        <v/>
      </c>
      <c r="Z816" s="14">
        <f>IF($AQ816="","","R"&amp;$C816&amp;"."&amp;$D816)</f>
        <v/>
      </c>
      <c r="AA816" s="15">
        <f>IF(IF($AP816="",FALSE,INDEX(職員マスタ!$K$6:$K$405,$AP816)&lt;&gt;""),INDEX(職員マスタ!$K$6:$K$405,$AP816),IF(N($W816)&gt;0,$W816,""))</f>
        <v/>
      </c>
      <c r="AB816" s="14">
        <f>IF(OR($E816="",$AA816=""),"",IF($E816&gt;=$AA816,"×",IF($E816&gt;=$AA816*設定!$C$5,"△","○")))</f>
        <v/>
      </c>
      <c r="AC816" s="15">
        <f>IF($AB816="","",IF($AB816="×",0,IF($AB816="○",ROUNDDOWN($E816*設定!$C$4,0),ROUNDDOWN($E816*ROUND((9*$AA816-9*$E816)/(10*$E816),4),0))))</f>
        <v/>
      </c>
      <c r="AD816" s="13" t="n"/>
      <c r="AE816" s="15">
        <f>IF($B816="","",IF($AD816&lt;&gt;"",$AD816,IF($AC816="","",IF($AC816&lt;=設定!$C$3,0,$AC816))))</f>
        <v/>
      </c>
      <c r="AF816" s="14">
        <f>IF($B816="","",IF(AND($AG816&lt;&gt;"",$AI816="",$AL816=""),"保留中",IF($AL816&lt;&gt;"",IF(N($AE816)&gt;0,"支給済","不支給"),IF($AE816="","要確認",IF($AE816=0,"不支給","未処理")))))</f>
        <v/>
      </c>
      <c r="AG816" s="12" t="n"/>
      <c r="AH816" s="11" t="n"/>
      <c r="AI816" s="11" t="n"/>
      <c r="AJ816" s="11" t="n"/>
      <c r="AK816" s="14">
        <f>IF(AND($AF816="保留中",$AH816&lt;&gt;""),TODAY()-$AH816,"")</f>
        <v/>
      </c>
      <c r="AL816" s="12" t="n"/>
      <c r="AM816" s="14">
        <f>IF($B816="","",IF($AQ816="","対象年月が未入力／","")&amp;IF($B816="","",IF($AP816="","職員マスタに未登録の職員番号／",IF($AA816="","標準報酬月額が未登録／","")&amp;IF(AND($AQ816&lt;&gt;"",OR(AND(INDEX(職員マスタ!$G$6:$G$405,$AP816)&lt;&gt;"",INDEX(職員マスタ!$G$6:$G$405,$AP816)&gt;EOMONTH($AQ816,0)),AND(INDEX(職員マスタ!$H$6:$H$405,$AP816)&lt;&gt;"",INDEX(職員マスタ!$H$6:$H$405,$AP816)&lt;$AQ816))),"対象月が時短期間外／","")&amp;IF(AND(INDEX(職員マスタ!$K$6:$K$405,$AP816)&lt;&gt;"",N($W816)&gt;0,INDEX(職員マスタ!$K$6:$K$405,$AP816)&lt;&gt;$W816),"標準報酬月額が申請書と相違（台帳"&amp;TEXT(INDEX(職員マスタ!$K$6:$K$405,$AP816),"#,##0")&amp;"円／申請書"&amp;TEXT($W816,"#,##0")&amp;"円）／","")&amp;IF(AND(INDEX(職員マスタ!$F$6:$F$405,$AP816)&lt;&gt;"",$AQ816&lt;&gt;"",INDEX(職員マスタ!$F$6:$F$405,$AP816)&lt;$AQ816),"対象月に子が2歳到達済／","")&amp;IF(AND($H816&lt;&gt;"",INDEX(職員マスタ!$B$6:$B$405,$AP816)&lt;&gt;"",SUBSTITUTE(SUBSTITUTE($H816," ","")," ","")&lt;&gt;SUBSTITUTE(SUBSTITUTE(INDEX(職員マスタ!$B$6:$B$405,$AP816)," ","")," ","")),"氏名がマスタと相違／","")&amp;IF(AND($Q816&lt;&gt;"",INDEX(職員マスタ!$E$6:$E$405,$AP816)&lt;&gt;"",$Q816&lt;&gt;INDEX(職員マスタ!$E$6:$E$405,$AP816)),"子の生年月日がマスタと相違／","")&amp;IF(AND($L816&lt;&gt;"",INDEX(職員マスタ!$G$6:$G$405,$AP816)&lt;&gt;"",$L816&lt;&gt;INDEX(職員マスタ!$G$6:$G$405,$AP816)),"時短開始日がマスタと相違／","")&amp;IF(AND($M816&lt;&gt;"",INDEX(職員マスタ!$H$6:$H$405,$AP816)&lt;&gt;"",$M816&lt;&gt;INDEX(職員マスタ!$H$6:$H$405,$AP816)),"時短終了日がマスタと相違／","")))&amp;IF(AND($B816&lt;&gt;"",$E816=""),"報酬額が未入力／","")&amp;IF(N($U816)&gt;0,"申請書に入力エラーが残っています／","")&amp;IF(AND($B816&lt;&gt;"",$AQ816&lt;&gt;""),IF(COUNTIFS($B$6:$B$3005,$B816,$C$6:$C$3005,$C816,$D$6:$D$3005,$D816)&gt;1,"同じ月の請求が重複しています／",""),"")&amp;IF(AND(N($E816)&gt;0,$AB816&lt;&gt;"",$AB816&lt;&gt;"×",$AE816=0,$AD816=""),"計算額が下限以下のため不支給／",""))</f>
        <v/>
      </c>
      <c r="AN816" s="12" t="n"/>
      <c r="AO816" s="14">
        <f>IF($AF816="保留中",COUNTIF($AF$6:$AF816,"保留中"),"")</f>
        <v/>
      </c>
      <c r="AP816" s="14">
        <f>IF($AQ816="","",IF(SUMPRODUCT(MAX((職員マスタ!$A$6:$A$405=$B816)*(((職員マスタ!$G$6:$G$405="")+(職員マスタ!$G$6:$G$405&lt;=EOMONTH($AQ816,0)))&gt;0)*(((職員マスタ!$H$6:$H$405="")+(職員マスタ!$H$6:$H$405&gt;=$AQ816))&gt;0)*(ROW(職員マスタ!$A$6:$A$405)-5)))&gt;0,SUMPRODUCT(MAX((職員マスタ!$A$6:$A$405=$B816)*(((職員マスタ!$G$6:$G$405="")+(職員マスタ!$G$6:$G$405&lt;=EOMONTH($AQ816,0)))&gt;0)*(((職員マスタ!$H$6:$H$405="")+(職員マスタ!$H$6:$H$405&gt;=$AQ816))&gt;0)*(ROW(職員マスタ!$A$6:$A$405)-5))),IFERROR(MATCH($B816,職員マスタ!$A$6:$A$405,0),"")))</f>
        <v/>
      </c>
      <c r="AQ816" s="16">
        <f>IF(OR($B816="",$C816="",$D816=""),"",DATE($C816+2018,$D816,1))</f>
        <v/>
      </c>
    </row>
    <row r="817">
      <c r="A817" s="11" t="n"/>
      <c r="B817" s="12" t="n"/>
      <c r="C817" s="12" t="n"/>
      <c r="D817" s="12" t="n"/>
      <c r="E817" s="13" t="n"/>
      <c r="F817" s="12" t="n"/>
      <c r="G817" s="13" t="n"/>
      <c r="H817" s="12" t="n"/>
      <c r="I817" s="12" t="n"/>
      <c r="J817" s="12" t="n"/>
      <c r="K817" s="12" t="n"/>
      <c r="L817" s="11" t="n"/>
      <c r="M817" s="11" t="n"/>
      <c r="N817" s="11" t="n"/>
      <c r="O817" s="11" t="n"/>
      <c r="P817" s="12" t="n"/>
      <c r="Q817" s="11" t="n"/>
      <c r="R817" s="12" t="n"/>
      <c r="S817" s="11" t="n"/>
      <c r="T817" s="12" t="n"/>
      <c r="U817" s="12" t="n"/>
      <c r="V817" s="12" t="n"/>
      <c r="W817" s="13" t="n"/>
      <c r="X817" s="14">
        <f>IF($AP817="",IF($B817="","",$H817),IF(INDEX(職員マスタ!$B$6:$B$405,$AP817)="",$H817,INDEX(職員マスタ!$B$6:$B$405,$AP817)))</f>
        <v/>
      </c>
      <c r="Y817" s="14">
        <f>IF($AP817="",IF($B817="","",$R817),IF(INDEX(職員マスタ!$C$6:$C$405,$AP817)="",$R817,INDEX(職員マスタ!$C$6:$C$405,$AP817)))</f>
        <v/>
      </c>
      <c r="Z817" s="14">
        <f>IF($AQ817="","","R"&amp;$C817&amp;"."&amp;$D817)</f>
        <v/>
      </c>
      <c r="AA817" s="15">
        <f>IF(IF($AP817="",FALSE,INDEX(職員マスタ!$K$6:$K$405,$AP817)&lt;&gt;""),INDEX(職員マスタ!$K$6:$K$405,$AP817),IF(N($W817)&gt;0,$W817,""))</f>
        <v/>
      </c>
      <c r="AB817" s="14">
        <f>IF(OR($E817="",$AA817=""),"",IF($E817&gt;=$AA817,"×",IF($E817&gt;=$AA817*設定!$C$5,"△","○")))</f>
        <v/>
      </c>
      <c r="AC817" s="15">
        <f>IF($AB817="","",IF($AB817="×",0,IF($AB817="○",ROUNDDOWN($E817*設定!$C$4,0),ROUNDDOWN($E817*ROUND((9*$AA817-9*$E817)/(10*$E817),4),0))))</f>
        <v/>
      </c>
      <c r="AD817" s="13" t="n"/>
      <c r="AE817" s="15">
        <f>IF($B817="","",IF($AD817&lt;&gt;"",$AD817,IF($AC817="","",IF($AC817&lt;=設定!$C$3,0,$AC817))))</f>
        <v/>
      </c>
      <c r="AF817" s="14">
        <f>IF($B817="","",IF(AND($AG817&lt;&gt;"",$AI817="",$AL817=""),"保留中",IF($AL817&lt;&gt;"",IF(N($AE817)&gt;0,"支給済","不支給"),IF($AE817="","要確認",IF($AE817=0,"不支給","未処理")))))</f>
        <v/>
      </c>
      <c r="AG817" s="12" t="n"/>
      <c r="AH817" s="11" t="n"/>
      <c r="AI817" s="11" t="n"/>
      <c r="AJ817" s="11" t="n"/>
      <c r="AK817" s="14">
        <f>IF(AND($AF817="保留中",$AH817&lt;&gt;""),TODAY()-$AH817,"")</f>
        <v/>
      </c>
      <c r="AL817" s="12" t="n"/>
      <c r="AM817" s="14">
        <f>IF($B817="","",IF($AQ817="","対象年月が未入力／","")&amp;IF($B817="","",IF($AP817="","職員マスタに未登録の職員番号／",IF($AA817="","標準報酬月額が未登録／","")&amp;IF(AND($AQ817&lt;&gt;"",OR(AND(INDEX(職員マスタ!$G$6:$G$405,$AP817)&lt;&gt;"",INDEX(職員マスタ!$G$6:$G$405,$AP817)&gt;EOMONTH($AQ817,0)),AND(INDEX(職員マスタ!$H$6:$H$405,$AP817)&lt;&gt;"",INDEX(職員マスタ!$H$6:$H$405,$AP817)&lt;$AQ817))),"対象月が時短期間外／","")&amp;IF(AND(INDEX(職員マスタ!$K$6:$K$405,$AP817)&lt;&gt;"",N($W817)&gt;0,INDEX(職員マスタ!$K$6:$K$405,$AP817)&lt;&gt;$W817),"標準報酬月額が申請書と相違（台帳"&amp;TEXT(INDEX(職員マスタ!$K$6:$K$405,$AP817),"#,##0")&amp;"円／申請書"&amp;TEXT($W817,"#,##0")&amp;"円）／","")&amp;IF(AND(INDEX(職員マスタ!$F$6:$F$405,$AP817)&lt;&gt;"",$AQ817&lt;&gt;"",INDEX(職員マスタ!$F$6:$F$405,$AP817)&lt;$AQ817),"対象月に子が2歳到達済／","")&amp;IF(AND($H817&lt;&gt;"",INDEX(職員マスタ!$B$6:$B$405,$AP817)&lt;&gt;"",SUBSTITUTE(SUBSTITUTE($H817," ","")," ","")&lt;&gt;SUBSTITUTE(SUBSTITUTE(INDEX(職員マスタ!$B$6:$B$405,$AP817)," ","")," ","")),"氏名がマスタと相違／","")&amp;IF(AND($Q817&lt;&gt;"",INDEX(職員マスタ!$E$6:$E$405,$AP817)&lt;&gt;"",$Q817&lt;&gt;INDEX(職員マスタ!$E$6:$E$405,$AP817)),"子の生年月日がマスタと相違／","")&amp;IF(AND($L817&lt;&gt;"",INDEX(職員マスタ!$G$6:$G$405,$AP817)&lt;&gt;"",$L817&lt;&gt;INDEX(職員マスタ!$G$6:$G$405,$AP817)),"時短開始日がマスタと相違／","")&amp;IF(AND($M817&lt;&gt;"",INDEX(職員マスタ!$H$6:$H$405,$AP817)&lt;&gt;"",$M817&lt;&gt;INDEX(職員マスタ!$H$6:$H$405,$AP817)),"時短終了日がマスタと相違／","")))&amp;IF(AND($B817&lt;&gt;"",$E817=""),"報酬額が未入力／","")&amp;IF(N($U817)&gt;0,"申請書に入力エラーが残っています／","")&amp;IF(AND($B817&lt;&gt;"",$AQ817&lt;&gt;""),IF(COUNTIFS($B$6:$B$3005,$B817,$C$6:$C$3005,$C817,$D$6:$D$3005,$D817)&gt;1,"同じ月の請求が重複しています／",""),"")&amp;IF(AND(N($E817)&gt;0,$AB817&lt;&gt;"",$AB817&lt;&gt;"×",$AE817=0,$AD817=""),"計算額が下限以下のため不支給／",""))</f>
        <v/>
      </c>
      <c r="AN817" s="12" t="n"/>
      <c r="AO817" s="14">
        <f>IF($AF817="保留中",COUNTIF($AF$6:$AF817,"保留中"),"")</f>
        <v/>
      </c>
      <c r="AP817" s="14">
        <f>IF($AQ817="","",IF(SUMPRODUCT(MAX((職員マスタ!$A$6:$A$405=$B817)*(((職員マスタ!$G$6:$G$405="")+(職員マスタ!$G$6:$G$405&lt;=EOMONTH($AQ817,0)))&gt;0)*(((職員マスタ!$H$6:$H$405="")+(職員マスタ!$H$6:$H$405&gt;=$AQ817))&gt;0)*(ROW(職員マスタ!$A$6:$A$405)-5)))&gt;0,SUMPRODUCT(MAX((職員マスタ!$A$6:$A$405=$B817)*(((職員マスタ!$G$6:$G$405="")+(職員マスタ!$G$6:$G$405&lt;=EOMONTH($AQ817,0)))&gt;0)*(((職員マスタ!$H$6:$H$405="")+(職員マスタ!$H$6:$H$405&gt;=$AQ817))&gt;0)*(ROW(職員マスタ!$A$6:$A$405)-5))),IFERROR(MATCH($B817,職員マスタ!$A$6:$A$405,0),"")))</f>
        <v/>
      </c>
      <c r="AQ817" s="16">
        <f>IF(OR($B817="",$C817="",$D817=""),"",DATE($C817+2018,$D817,1))</f>
        <v/>
      </c>
    </row>
    <row r="818">
      <c r="A818" s="11" t="n"/>
      <c r="B818" s="12" t="n"/>
      <c r="C818" s="12" t="n"/>
      <c r="D818" s="12" t="n"/>
      <c r="E818" s="13" t="n"/>
      <c r="F818" s="12" t="n"/>
      <c r="G818" s="13" t="n"/>
      <c r="H818" s="12" t="n"/>
      <c r="I818" s="12" t="n"/>
      <c r="J818" s="12" t="n"/>
      <c r="K818" s="12" t="n"/>
      <c r="L818" s="11" t="n"/>
      <c r="M818" s="11" t="n"/>
      <c r="N818" s="11" t="n"/>
      <c r="O818" s="11" t="n"/>
      <c r="P818" s="12" t="n"/>
      <c r="Q818" s="11" t="n"/>
      <c r="R818" s="12" t="n"/>
      <c r="S818" s="11" t="n"/>
      <c r="T818" s="12" t="n"/>
      <c r="U818" s="12" t="n"/>
      <c r="V818" s="12" t="n"/>
      <c r="W818" s="13" t="n"/>
      <c r="X818" s="14">
        <f>IF($AP818="",IF($B818="","",$H818),IF(INDEX(職員マスタ!$B$6:$B$405,$AP818)="",$H818,INDEX(職員マスタ!$B$6:$B$405,$AP818)))</f>
        <v/>
      </c>
      <c r="Y818" s="14">
        <f>IF($AP818="",IF($B818="","",$R818),IF(INDEX(職員マスタ!$C$6:$C$405,$AP818)="",$R818,INDEX(職員マスタ!$C$6:$C$405,$AP818)))</f>
        <v/>
      </c>
      <c r="Z818" s="14">
        <f>IF($AQ818="","","R"&amp;$C818&amp;"."&amp;$D818)</f>
        <v/>
      </c>
      <c r="AA818" s="15">
        <f>IF(IF($AP818="",FALSE,INDEX(職員マスタ!$K$6:$K$405,$AP818)&lt;&gt;""),INDEX(職員マスタ!$K$6:$K$405,$AP818),IF(N($W818)&gt;0,$W818,""))</f>
        <v/>
      </c>
      <c r="AB818" s="14">
        <f>IF(OR($E818="",$AA818=""),"",IF($E818&gt;=$AA818,"×",IF($E818&gt;=$AA818*設定!$C$5,"△","○")))</f>
        <v/>
      </c>
      <c r="AC818" s="15">
        <f>IF($AB818="","",IF($AB818="×",0,IF($AB818="○",ROUNDDOWN($E818*設定!$C$4,0),ROUNDDOWN($E818*ROUND((9*$AA818-9*$E818)/(10*$E818),4),0))))</f>
        <v/>
      </c>
      <c r="AD818" s="13" t="n"/>
      <c r="AE818" s="15">
        <f>IF($B818="","",IF($AD818&lt;&gt;"",$AD818,IF($AC818="","",IF($AC818&lt;=設定!$C$3,0,$AC818))))</f>
        <v/>
      </c>
      <c r="AF818" s="14">
        <f>IF($B818="","",IF(AND($AG818&lt;&gt;"",$AI818="",$AL818=""),"保留中",IF($AL818&lt;&gt;"",IF(N($AE818)&gt;0,"支給済","不支給"),IF($AE818="","要確認",IF($AE818=0,"不支給","未処理")))))</f>
        <v/>
      </c>
      <c r="AG818" s="12" t="n"/>
      <c r="AH818" s="11" t="n"/>
      <c r="AI818" s="11" t="n"/>
      <c r="AJ818" s="11" t="n"/>
      <c r="AK818" s="14">
        <f>IF(AND($AF818="保留中",$AH818&lt;&gt;""),TODAY()-$AH818,"")</f>
        <v/>
      </c>
      <c r="AL818" s="12" t="n"/>
      <c r="AM818" s="14">
        <f>IF($B818="","",IF($AQ818="","対象年月が未入力／","")&amp;IF($B818="","",IF($AP818="","職員マスタに未登録の職員番号／",IF($AA818="","標準報酬月額が未登録／","")&amp;IF(AND($AQ818&lt;&gt;"",OR(AND(INDEX(職員マスタ!$G$6:$G$405,$AP818)&lt;&gt;"",INDEX(職員マスタ!$G$6:$G$405,$AP818)&gt;EOMONTH($AQ818,0)),AND(INDEX(職員マスタ!$H$6:$H$405,$AP818)&lt;&gt;"",INDEX(職員マスタ!$H$6:$H$405,$AP818)&lt;$AQ818))),"対象月が時短期間外／","")&amp;IF(AND(INDEX(職員マスタ!$K$6:$K$405,$AP818)&lt;&gt;"",N($W818)&gt;0,INDEX(職員マスタ!$K$6:$K$405,$AP818)&lt;&gt;$W818),"標準報酬月額が申請書と相違（台帳"&amp;TEXT(INDEX(職員マスタ!$K$6:$K$405,$AP818),"#,##0")&amp;"円／申請書"&amp;TEXT($W818,"#,##0")&amp;"円）／","")&amp;IF(AND(INDEX(職員マスタ!$F$6:$F$405,$AP818)&lt;&gt;"",$AQ818&lt;&gt;"",INDEX(職員マスタ!$F$6:$F$405,$AP818)&lt;$AQ818),"対象月に子が2歳到達済／","")&amp;IF(AND($H818&lt;&gt;"",INDEX(職員マスタ!$B$6:$B$405,$AP818)&lt;&gt;"",SUBSTITUTE(SUBSTITUTE($H818," ","")," ","")&lt;&gt;SUBSTITUTE(SUBSTITUTE(INDEX(職員マスタ!$B$6:$B$405,$AP818)," ","")," ","")),"氏名がマスタと相違／","")&amp;IF(AND($Q818&lt;&gt;"",INDEX(職員マスタ!$E$6:$E$405,$AP818)&lt;&gt;"",$Q818&lt;&gt;INDEX(職員マスタ!$E$6:$E$405,$AP818)),"子の生年月日がマスタと相違／","")&amp;IF(AND($L818&lt;&gt;"",INDEX(職員マスタ!$G$6:$G$405,$AP818)&lt;&gt;"",$L818&lt;&gt;INDEX(職員マスタ!$G$6:$G$405,$AP818)),"時短開始日がマスタと相違／","")&amp;IF(AND($M818&lt;&gt;"",INDEX(職員マスタ!$H$6:$H$405,$AP818)&lt;&gt;"",$M818&lt;&gt;INDEX(職員マスタ!$H$6:$H$405,$AP818)),"時短終了日がマスタと相違／","")))&amp;IF(AND($B818&lt;&gt;"",$E818=""),"報酬額が未入力／","")&amp;IF(N($U818)&gt;0,"申請書に入力エラーが残っています／","")&amp;IF(AND($B818&lt;&gt;"",$AQ818&lt;&gt;""),IF(COUNTIFS($B$6:$B$3005,$B818,$C$6:$C$3005,$C818,$D$6:$D$3005,$D818)&gt;1,"同じ月の請求が重複しています／",""),"")&amp;IF(AND(N($E818)&gt;0,$AB818&lt;&gt;"",$AB818&lt;&gt;"×",$AE818=0,$AD818=""),"計算額が下限以下のため不支給／",""))</f>
        <v/>
      </c>
      <c r="AN818" s="12" t="n"/>
      <c r="AO818" s="14">
        <f>IF($AF818="保留中",COUNTIF($AF$6:$AF818,"保留中"),"")</f>
        <v/>
      </c>
      <c r="AP818" s="14">
        <f>IF($AQ818="","",IF(SUMPRODUCT(MAX((職員マスタ!$A$6:$A$405=$B818)*(((職員マスタ!$G$6:$G$405="")+(職員マスタ!$G$6:$G$405&lt;=EOMONTH($AQ818,0)))&gt;0)*(((職員マスタ!$H$6:$H$405="")+(職員マスタ!$H$6:$H$405&gt;=$AQ818))&gt;0)*(ROW(職員マスタ!$A$6:$A$405)-5)))&gt;0,SUMPRODUCT(MAX((職員マスタ!$A$6:$A$405=$B818)*(((職員マスタ!$G$6:$G$405="")+(職員マスタ!$G$6:$G$405&lt;=EOMONTH($AQ818,0)))&gt;0)*(((職員マスタ!$H$6:$H$405="")+(職員マスタ!$H$6:$H$405&gt;=$AQ818))&gt;0)*(ROW(職員マスタ!$A$6:$A$405)-5))),IFERROR(MATCH($B818,職員マスタ!$A$6:$A$405,0),"")))</f>
        <v/>
      </c>
      <c r="AQ818" s="16">
        <f>IF(OR($B818="",$C818="",$D818=""),"",DATE($C818+2018,$D818,1))</f>
        <v/>
      </c>
    </row>
    <row r="819">
      <c r="A819" s="11" t="n"/>
      <c r="B819" s="12" t="n"/>
      <c r="C819" s="12" t="n"/>
      <c r="D819" s="12" t="n"/>
      <c r="E819" s="13" t="n"/>
      <c r="F819" s="12" t="n"/>
      <c r="G819" s="13" t="n"/>
      <c r="H819" s="12" t="n"/>
      <c r="I819" s="12" t="n"/>
      <c r="J819" s="12" t="n"/>
      <c r="K819" s="12" t="n"/>
      <c r="L819" s="11" t="n"/>
      <c r="M819" s="11" t="n"/>
      <c r="N819" s="11" t="n"/>
      <c r="O819" s="11" t="n"/>
      <c r="P819" s="12" t="n"/>
      <c r="Q819" s="11" t="n"/>
      <c r="R819" s="12" t="n"/>
      <c r="S819" s="11" t="n"/>
      <c r="T819" s="12" t="n"/>
      <c r="U819" s="12" t="n"/>
      <c r="V819" s="12" t="n"/>
      <c r="W819" s="13" t="n"/>
      <c r="X819" s="14">
        <f>IF($AP819="",IF($B819="","",$H819),IF(INDEX(職員マスタ!$B$6:$B$405,$AP819)="",$H819,INDEX(職員マスタ!$B$6:$B$405,$AP819)))</f>
        <v/>
      </c>
      <c r="Y819" s="14">
        <f>IF($AP819="",IF($B819="","",$R819),IF(INDEX(職員マスタ!$C$6:$C$405,$AP819)="",$R819,INDEX(職員マスタ!$C$6:$C$405,$AP819)))</f>
        <v/>
      </c>
      <c r="Z819" s="14">
        <f>IF($AQ819="","","R"&amp;$C819&amp;"."&amp;$D819)</f>
        <v/>
      </c>
      <c r="AA819" s="15">
        <f>IF(IF($AP819="",FALSE,INDEX(職員マスタ!$K$6:$K$405,$AP819)&lt;&gt;""),INDEX(職員マスタ!$K$6:$K$405,$AP819),IF(N($W819)&gt;0,$W819,""))</f>
        <v/>
      </c>
      <c r="AB819" s="14">
        <f>IF(OR($E819="",$AA819=""),"",IF($E819&gt;=$AA819,"×",IF($E819&gt;=$AA819*設定!$C$5,"△","○")))</f>
        <v/>
      </c>
      <c r="AC819" s="15">
        <f>IF($AB819="","",IF($AB819="×",0,IF($AB819="○",ROUNDDOWN($E819*設定!$C$4,0),ROUNDDOWN($E819*ROUND((9*$AA819-9*$E819)/(10*$E819),4),0))))</f>
        <v/>
      </c>
      <c r="AD819" s="13" t="n"/>
      <c r="AE819" s="15">
        <f>IF($B819="","",IF($AD819&lt;&gt;"",$AD819,IF($AC819="","",IF($AC819&lt;=設定!$C$3,0,$AC819))))</f>
        <v/>
      </c>
      <c r="AF819" s="14">
        <f>IF($B819="","",IF(AND($AG819&lt;&gt;"",$AI819="",$AL819=""),"保留中",IF($AL819&lt;&gt;"",IF(N($AE819)&gt;0,"支給済","不支給"),IF($AE819="","要確認",IF($AE819=0,"不支給","未処理")))))</f>
        <v/>
      </c>
      <c r="AG819" s="12" t="n"/>
      <c r="AH819" s="11" t="n"/>
      <c r="AI819" s="11" t="n"/>
      <c r="AJ819" s="11" t="n"/>
      <c r="AK819" s="14">
        <f>IF(AND($AF819="保留中",$AH819&lt;&gt;""),TODAY()-$AH819,"")</f>
        <v/>
      </c>
      <c r="AL819" s="12" t="n"/>
      <c r="AM819" s="14">
        <f>IF($B819="","",IF($AQ819="","対象年月が未入力／","")&amp;IF($B819="","",IF($AP819="","職員マスタに未登録の職員番号／",IF($AA819="","標準報酬月額が未登録／","")&amp;IF(AND($AQ819&lt;&gt;"",OR(AND(INDEX(職員マスタ!$G$6:$G$405,$AP819)&lt;&gt;"",INDEX(職員マスタ!$G$6:$G$405,$AP819)&gt;EOMONTH($AQ819,0)),AND(INDEX(職員マスタ!$H$6:$H$405,$AP819)&lt;&gt;"",INDEX(職員マスタ!$H$6:$H$405,$AP819)&lt;$AQ819))),"対象月が時短期間外／","")&amp;IF(AND(INDEX(職員マスタ!$K$6:$K$405,$AP819)&lt;&gt;"",N($W819)&gt;0,INDEX(職員マスタ!$K$6:$K$405,$AP819)&lt;&gt;$W819),"標準報酬月額が申請書と相違（台帳"&amp;TEXT(INDEX(職員マスタ!$K$6:$K$405,$AP819),"#,##0")&amp;"円／申請書"&amp;TEXT($W819,"#,##0")&amp;"円）／","")&amp;IF(AND(INDEX(職員マスタ!$F$6:$F$405,$AP819)&lt;&gt;"",$AQ819&lt;&gt;"",INDEX(職員マスタ!$F$6:$F$405,$AP819)&lt;$AQ819),"対象月に子が2歳到達済／","")&amp;IF(AND($H819&lt;&gt;"",INDEX(職員マスタ!$B$6:$B$405,$AP819)&lt;&gt;"",SUBSTITUTE(SUBSTITUTE($H819," ","")," ","")&lt;&gt;SUBSTITUTE(SUBSTITUTE(INDEX(職員マスタ!$B$6:$B$405,$AP819)," ","")," ","")),"氏名がマスタと相違／","")&amp;IF(AND($Q819&lt;&gt;"",INDEX(職員マスタ!$E$6:$E$405,$AP819)&lt;&gt;"",$Q819&lt;&gt;INDEX(職員マスタ!$E$6:$E$405,$AP819)),"子の生年月日がマスタと相違／","")&amp;IF(AND($L819&lt;&gt;"",INDEX(職員マスタ!$G$6:$G$405,$AP819)&lt;&gt;"",$L819&lt;&gt;INDEX(職員マスタ!$G$6:$G$405,$AP819)),"時短開始日がマスタと相違／","")&amp;IF(AND($M819&lt;&gt;"",INDEX(職員マスタ!$H$6:$H$405,$AP819)&lt;&gt;"",$M819&lt;&gt;INDEX(職員マスタ!$H$6:$H$405,$AP819)),"時短終了日がマスタと相違／","")))&amp;IF(AND($B819&lt;&gt;"",$E819=""),"報酬額が未入力／","")&amp;IF(N($U819)&gt;0,"申請書に入力エラーが残っています／","")&amp;IF(AND($B819&lt;&gt;"",$AQ819&lt;&gt;""),IF(COUNTIFS($B$6:$B$3005,$B819,$C$6:$C$3005,$C819,$D$6:$D$3005,$D819)&gt;1,"同じ月の請求が重複しています／",""),"")&amp;IF(AND(N($E819)&gt;0,$AB819&lt;&gt;"",$AB819&lt;&gt;"×",$AE819=0,$AD819=""),"計算額が下限以下のため不支給／",""))</f>
        <v/>
      </c>
      <c r="AN819" s="12" t="n"/>
      <c r="AO819" s="14">
        <f>IF($AF819="保留中",COUNTIF($AF$6:$AF819,"保留中"),"")</f>
        <v/>
      </c>
      <c r="AP819" s="14">
        <f>IF($AQ819="","",IF(SUMPRODUCT(MAX((職員マスタ!$A$6:$A$405=$B819)*(((職員マスタ!$G$6:$G$405="")+(職員マスタ!$G$6:$G$405&lt;=EOMONTH($AQ819,0)))&gt;0)*(((職員マスタ!$H$6:$H$405="")+(職員マスタ!$H$6:$H$405&gt;=$AQ819))&gt;0)*(ROW(職員マスタ!$A$6:$A$405)-5)))&gt;0,SUMPRODUCT(MAX((職員マスタ!$A$6:$A$405=$B819)*(((職員マスタ!$G$6:$G$405="")+(職員マスタ!$G$6:$G$405&lt;=EOMONTH($AQ819,0)))&gt;0)*(((職員マスタ!$H$6:$H$405="")+(職員マスタ!$H$6:$H$405&gt;=$AQ819))&gt;0)*(ROW(職員マスタ!$A$6:$A$405)-5))),IFERROR(MATCH($B819,職員マスタ!$A$6:$A$405,0),"")))</f>
        <v/>
      </c>
      <c r="AQ819" s="16">
        <f>IF(OR($B819="",$C819="",$D819=""),"",DATE($C819+2018,$D819,1))</f>
        <v/>
      </c>
    </row>
    <row r="820">
      <c r="A820" s="11" t="n"/>
      <c r="B820" s="12" t="n"/>
      <c r="C820" s="12" t="n"/>
      <c r="D820" s="12" t="n"/>
      <c r="E820" s="13" t="n"/>
      <c r="F820" s="12" t="n"/>
      <c r="G820" s="13" t="n"/>
      <c r="H820" s="12" t="n"/>
      <c r="I820" s="12" t="n"/>
      <c r="J820" s="12" t="n"/>
      <c r="K820" s="12" t="n"/>
      <c r="L820" s="11" t="n"/>
      <c r="M820" s="11" t="n"/>
      <c r="N820" s="11" t="n"/>
      <c r="O820" s="11" t="n"/>
      <c r="P820" s="12" t="n"/>
      <c r="Q820" s="11" t="n"/>
      <c r="R820" s="12" t="n"/>
      <c r="S820" s="11" t="n"/>
      <c r="T820" s="12" t="n"/>
      <c r="U820" s="12" t="n"/>
      <c r="V820" s="12" t="n"/>
      <c r="W820" s="13" t="n"/>
      <c r="X820" s="14">
        <f>IF($AP820="",IF($B820="","",$H820),IF(INDEX(職員マスタ!$B$6:$B$405,$AP820)="",$H820,INDEX(職員マスタ!$B$6:$B$405,$AP820)))</f>
        <v/>
      </c>
      <c r="Y820" s="14">
        <f>IF($AP820="",IF($B820="","",$R820),IF(INDEX(職員マスタ!$C$6:$C$405,$AP820)="",$R820,INDEX(職員マスタ!$C$6:$C$405,$AP820)))</f>
        <v/>
      </c>
      <c r="Z820" s="14">
        <f>IF($AQ820="","","R"&amp;$C820&amp;"."&amp;$D820)</f>
        <v/>
      </c>
      <c r="AA820" s="15">
        <f>IF(IF($AP820="",FALSE,INDEX(職員マスタ!$K$6:$K$405,$AP820)&lt;&gt;""),INDEX(職員マスタ!$K$6:$K$405,$AP820),IF(N($W820)&gt;0,$W820,""))</f>
        <v/>
      </c>
      <c r="AB820" s="14">
        <f>IF(OR($E820="",$AA820=""),"",IF($E820&gt;=$AA820,"×",IF($E820&gt;=$AA820*設定!$C$5,"△","○")))</f>
        <v/>
      </c>
      <c r="AC820" s="15">
        <f>IF($AB820="","",IF($AB820="×",0,IF($AB820="○",ROUNDDOWN($E820*設定!$C$4,0),ROUNDDOWN($E820*ROUND((9*$AA820-9*$E820)/(10*$E820),4),0))))</f>
        <v/>
      </c>
      <c r="AD820" s="13" t="n"/>
      <c r="AE820" s="15">
        <f>IF($B820="","",IF($AD820&lt;&gt;"",$AD820,IF($AC820="","",IF($AC820&lt;=設定!$C$3,0,$AC820))))</f>
        <v/>
      </c>
      <c r="AF820" s="14">
        <f>IF($B820="","",IF(AND($AG820&lt;&gt;"",$AI820="",$AL820=""),"保留中",IF($AL820&lt;&gt;"",IF(N($AE820)&gt;0,"支給済","不支給"),IF($AE820="","要確認",IF($AE820=0,"不支給","未処理")))))</f>
        <v/>
      </c>
      <c r="AG820" s="12" t="n"/>
      <c r="AH820" s="11" t="n"/>
      <c r="AI820" s="11" t="n"/>
      <c r="AJ820" s="11" t="n"/>
      <c r="AK820" s="14">
        <f>IF(AND($AF820="保留中",$AH820&lt;&gt;""),TODAY()-$AH820,"")</f>
        <v/>
      </c>
      <c r="AL820" s="12" t="n"/>
      <c r="AM820" s="14">
        <f>IF($B820="","",IF($AQ820="","対象年月が未入力／","")&amp;IF($B820="","",IF($AP820="","職員マスタに未登録の職員番号／",IF($AA820="","標準報酬月額が未登録／","")&amp;IF(AND($AQ820&lt;&gt;"",OR(AND(INDEX(職員マスタ!$G$6:$G$405,$AP820)&lt;&gt;"",INDEX(職員マスタ!$G$6:$G$405,$AP820)&gt;EOMONTH($AQ820,0)),AND(INDEX(職員マスタ!$H$6:$H$405,$AP820)&lt;&gt;"",INDEX(職員マスタ!$H$6:$H$405,$AP820)&lt;$AQ820))),"対象月が時短期間外／","")&amp;IF(AND(INDEX(職員マスタ!$K$6:$K$405,$AP820)&lt;&gt;"",N($W820)&gt;0,INDEX(職員マスタ!$K$6:$K$405,$AP820)&lt;&gt;$W820),"標準報酬月額が申請書と相違（台帳"&amp;TEXT(INDEX(職員マスタ!$K$6:$K$405,$AP820),"#,##0")&amp;"円／申請書"&amp;TEXT($W820,"#,##0")&amp;"円）／","")&amp;IF(AND(INDEX(職員マスタ!$F$6:$F$405,$AP820)&lt;&gt;"",$AQ820&lt;&gt;"",INDEX(職員マスタ!$F$6:$F$405,$AP820)&lt;$AQ820),"対象月に子が2歳到達済／","")&amp;IF(AND($H820&lt;&gt;"",INDEX(職員マスタ!$B$6:$B$405,$AP820)&lt;&gt;"",SUBSTITUTE(SUBSTITUTE($H820," ","")," ","")&lt;&gt;SUBSTITUTE(SUBSTITUTE(INDEX(職員マスタ!$B$6:$B$405,$AP820)," ","")," ","")),"氏名がマスタと相違／","")&amp;IF(AND($Q820&lt;&gt;"",INDEX(職員マスタ!$E$6:$E$405,$AP820)&lt;&gt;"",$Q820&lt;&gt;INDEX(職員マスタ!$E$6:$E$405,$AP820)),"子の生年月日がマスタと相違／","")&amp;IF(AND($L820&lt;&gt;"",INDEX(職員マスタ!$G$6:$G$405,$AP820)&lt;&gt;"",$L820&lt;&gt;INDEX(職員マスタ!$G$6:$G$405,$AP820)),"時短開始日がマスタと相違／","")&amp;IF(AND($M820&lt;&gt;"",INDEX(職員マスタ!$H$6:$H$405,$AP820)&lt;&gt;"",$M820&lt;&gt;INDEX(職員マスタ!$H$6:$H$405,$AP820)),"時短終了日がマスタと相違／","")))&amp;IF(AND($B820&lt;&gt;"",$E820=""),"報酬額が未入力／","")&amp;IF(N($U820)&gt;0,"申請書に入力エラーが残っています／","")&amp;IF(AND($B820&lt;&gt;"",$AQ820&lt;&gt;""),IF(COUNTIFS($B$6:$B$3005,$B820,$C$6:$C$3005,$C820,$D$6:$D$3005,$D820)&gt;1,"同じ月の請求が重複しています／",""),"")&amp;IF(AND(N($E820)&gt;0,$AB820&lt;&gt;"",$AB820&lt;&gt;"×",$AE820=0,$AD820=""),"計算額が下限以下のため不支給／",""))</f>
        <v/>
      </c>
      <c r="AN820" s="12" t="n"/>
      <c r="AO820" s="14">
        <f>IF($AF820="保留中",COUNTIF($AF$6:$AF820,"保留中"),"")</f>
        <v/>
      </c>
      <c r="AP820" s="14">
        <f>IF($AQ820="","",IF(SUMPRODUCT(MAX((職員マスタ!$A$6:$A$405=$B820)*(((職員マスタ!$G$6:$G$405="")+(職員マスタ!$G$6:$G$405&lt;=EOMONTH($AQ820,0)))&gt;0)*(((職員マスタ!$H$6:$H$405="")+(職員マスタ!$H$6:$H$405&gt;=$AQ820))&gt;0)*(ROW(職員マスタ!$A$6:$A$405)-5)))&gt;0,SUMPRODUCT(MAX((職員マスタ!$A$6:$A$405=$B820)*(((職員マスタ!$G$6:$G$405="")+(職員マスタ!$G$6:$G$405&lt;=EOMONTH($AQ820,0)))&gt;0)*(((職員マスタ!$H$6:$H$405="")+(職員マスタ!$H$6:$H$405&gt;=$AQ820))&gt;0)*(ROW(職員マスタ!$A$6:$A$405)-5))),IFERROR(MATCH($B820,職員マスタ!$A$6:$A$405,0),"")))</f>
        <v/>
      </c>
      <c r="AQ820" s="16">
        <f>IF(OR($B820="",$C820="",$D820=""),"",DATE($C820+2018,$D820,1))</f>
        <v/>
      </c>
    </row>
    <row r="821">
      <c r="A821" s="11" t="n"/>
      <c r="B821" s="12" t="n"/>
      <c r="C821" s="12" t="n"/>
      <c r="D821" s="12" t="n"/>
      <c r="E821" s="13" t="n"/>
      <c r="F821" s="12" t="n"/>
      <c r="G821" s="13" t="n"/>
      <c r="H821" s="12" t="n"/>
      <c r="I821" s="12" t="n"/>
      <c r="J821" s="12" t="n"/>
      <c r="K821" s="12" t="n"/>
      <c r="L821" s="11" t="n"/>
      <c r="M821" s="11" t="n"/>
      <c r="N821" s="11" t="n"/>
      <c r="O821" s="11" t="n"/>
      <c r="P821" s="12" t="n"/>
      <c r="Q821" s="11" t="n"/>
      <c r="R821" s="12" t="n"/>
      <c r="S821" s="11" t="n"/>
      <c r="T821" s="12" t="n"/>
      <c r="U821" s="12" t="n"/>
      <c r="V821" s="12" t="n"/>
      <c r="W821" s="13" t="n"/>
      <c r="X821" s="14">
        <f>IF($AP821="",IF($B821="","",$H821),IF(INDEX(職員マスタ!$B$6:$B$405,$AP821)="",$H821,INDEX(職員マスタ!$B$6:$B$405,$AP821)))</f>
        <v/>
      </c>
      <c r="Y821" s="14">
        <f>IF($AP821="",IF($B821="","",$R821),IF(INDEX(職員マスタ!$C$6:$C$405,$AP821)="",$R821,INDEX(職員マスタ!$C$6:$C$405,$AP821)))</f>
        <v/>
      </c>
      <c r="Z821" s="14">
        <f>IF($AQ821="","","R"&amp;$C821&amp;"."&amp;$D821)</f>
        <v/>
      </c>
      <c r="AA821" s="15">
        <f>IF(IF($AP821="",FALSE,INDEX(職員マスタ!$K$6:$K$405,$AP821)&lt;&gt;""),INDEX(職員マスタ!$K$6:$K$405,$AP821),IF(N($W821)&gt;0,$W821,""))</f>
        <v/>
      </c>
      <c r="AB821" s="14">
        <f>IF(OR($E821="",$AA821=""),"",IF($E821&gt;=$AA821,"×",IF($E821&gt;=$AA821*設定!$C$5,"△","○")))</f>
        <v/>
      </c>
      <c r="AC821" s="15">
        <f>IF($AB821="","",IF($AB821="×",0,IF($AB821="○",ROUNDDOWN($E821*設定!$C$4,0),ROUNDDOWN($E821*ROUND((9*$AA821-9*$E821)/(10*$E821),4),0))))</f>
        <v/>
      </c>
      <c r="AD821" s="13" t="n"/>
      <c r="AE821" s="15">
        <f>IF($B821="","",IF($AD821&lt;&gt;"",$AD821,IF($AC821="","",IF($AC821&lt;=設定!$C$3,0,$AC821))))</f>
        <v/>
      </c>
      <c r="AF821" s="14">
        <f>IF($B821="","",IF(AND($AG821&lt;&gt;"",$AI821="",$AL821=""),"保留中",IF($AL821&lt;&gt;"",IF(N($AE821)&gt;0,"支給済","不支給"),IF($AE821="","要確認",IF($AE821=0,"不支給","未処理")))))</f>
        <v/>
      </c>
      <c r="AG821" s="12" t="n"/>
      <c r="AH821" s="11" t="n"/>
      <c r="AI821" s="11" t="n"/>
      <c r="AJ821" s="11" t="n"/>
      <c r="AK821" s="14">
        <f>IF(AND($AF821="保留中",$AH821&lt;&gt;""),TODAY()-$AH821,"")</f>
        <v/>
      </c>
      <c r="AL821" s="12" t="n"/>
      <c r="AM821" s="14">
        <f>IF($B821="","",IF($AQ821="","対象年月が未入力／","")&amp;IF($B821="","",IF($AP821="","職員マスタに未登録の職員番号／",IF($AA821="","標準報酬月額が未登録／","")&amp;IF(AND($AQ821&lt;&gt;"",OR(AND(INDEX(職員マスタ!$G$6:$G$405,$AP821)&lt;&gt;"",INDEX(職員マスタ!$G$6:$G$405,$AP821)&gt;EOMONTH($AQ821,0)),AND(INDEX(職員マスタ!$H$6:$H$405,$AP821)&lt;&gt;"",INDEX(職員マスタ!$H$6:$H$405,$AP821)&lt;$AQ821))),"対象月が時短期間外／","")&amp;IF(AND(INDEX(職員マスタ!$K$6:$K$405,$AP821)&lt;&gt;"",N($W821)&gt;0,INDEX(職員マスタ!$K$6:$K$405,$AP821)&lt;&gt;$W821),"標準報酬月額が申請書と相違（台帳"&amp;TEXT(INDEX(職員マスタ!$K$6:$K$405,$AP821),"#,##0")&amp;"円／申請書"&amp;TEXT($W821,"#,##0")&amp;"円）／","")&amp;IF(AND(INDEX(職員マスタ!$F$6:$F$405,$AP821)&lt;&gt;"",$AQ821&lt;&gt;"",INDEX(職員マスタ!$F$6:$F$405,$AP821)&lt;$AQ821),"対象月に子が2歳到達済／","")&amp;IF(AND($H821&lt;&gt;"",INDEX(職員マスタ!$B$6:$B$405,$AP821)&lt;&gt;"",SUBSTITUTE(SUBSTITUTE($H821," ","")," ","")&lt;&gt;SUBSTITUTE(SUBSTITUTE(INDEX(職員マスタ!$B$6:$B$405,$AP821)," ","")," ","")),"氏名がマスタと相違／","")&amp;IF(AND($Q821&lt;&gt;"",INDEX(職員マスタ!$E$6:$E$405,$AP821)&lt;&gt;"",$Q821&lt;&gt;INDEX(職員マスタ!$E$6:$E$405,$AP821)),"子の生年月日がマスタと相違／","")&amp;IF(AND($L821&lt;&gt;"",INDEX(職員マスタ!$G$6:$G$405,$AP821)&lt;&gt;"",$L821&lt;&gt;INDEX(職員マスタ!$G$6:$G$405,$AP821)),"時短開始日がマスタと相違／","")&amp;IF(AND($M821&lt;&gt;"",INDEX(職員マスタ!$H$6:$H$405,$AP821)&lt;&gt;"",$M821&lt;&gt;INDEX(職員マスタ!$H$6:$H$405,$AP821)),"時短終了日がマスタと相違／","")))&amp;IF(AND($B821&lt;&gt;"",$E821=""),"報酬額が未入力／","")&amp;IF(N($U821)&gt;0,"申請書に入力エラーが残っています／","")&amp;IF(AND($B821&lt;&gt;"",$AQ821&lt;&gt;""),IF(COUNTIFS($B$6:$B$3005,$B821,$C$6:$C$3005,$C821,$D$6:$D$3005,$D821)&gt;1,"同じ月の請求が重複しています／",""),"")&amp;IF(AND(N($E821)&gt;0,$AB821&lt;&gt;"",$AB821&lt;&gt;"×",$AE821=0,$AD821=""),"計算額が下限以下のため不支給／",""))</f>
        <v/>
      </c>
      <c r="AN821" s="12" t="n"/>
      <c r="AO821" s="14">
        <f>IF($AF821="保留中",COUNTIF($AF$6:$AF821,"保留中"),"")</f>
        <v/>
      </c>
      <c r="AP821" s="14">
        <f>IF($AQ821="","",IF(SUMPRODUCT(MAX((職員マスタ!$A$6:$A$405=$B821)*(((職員マスタ!$G$6:$G$405="")+(職員マスタ!$G$6:$G$405&lt;=EOMONTH($AQ821,0)))&gt;0)*(((職員マスタ!$H$6:$H$405="")+(職員マスタ!$H$6:$H$405&gt;=$AQ821))&gt;0)*(ROW(職員マスタ!$A$6:$A$405)-5)))&gt;0,SUMPRODUCT(MAX((職員マスタ!$A$6:$A$405=$B821)*(((職員マスタ!$G$6:$G$405="")+(職員マスタ!$G$6:$G$405&lt;=EOMONTH($AQ821,0)))&gt;0)*(((職員マスタ!$H$6:$H$405="")+(職員マスタ!$H$6:$H$405&gt;=$AQ821))&gt;0)*(ROW(職員マスタ!$A$6:$A$405)-5))),IFERROR(MATCH($B821,職員マスタ!$A$6:$A$405,0),"")))</f>
        <v/>
      </c>
      <c r="AQ821" s="16">
        <f>IF(OR($B821="",$C821="",$D821=""),"",DATE($C821+2018,$D821,1))</f>
        <v/>
      </c>
    </row>
    <row r="822">
      <c r="A822" s="11" t="n"/>
      <c r="B822" s="12" t="n"/>
      <c r="C822" s="12" t="n"/>
      <c r="D822" s="12" t="n"/>
      <c r="E822" s="13" t="n"/>
      <c r="F822" s="12" t="n"/>
      <c r="G822" s="13" t="n"/>
      <c r="H822" s="12" t="n"/>
      <c r="I822" s="12" t="n"/>
      <c r="J822" s="12" t="n"/>
      <c r="K822" s="12" t="n"/>
      <c r="L822" s="11" t="n"/>
      <c r="M822" s="11" t="n"/>
      <c r="N822" s="11" t="n"/>
      <c r="O822" s="11" t="n"/>
      <c r="P822" s="12" t="n"/>
      <c r="Q822" s="11" t="n"/>
      <c r="R822" s="12" t="n"/>
      <c r="S822" s="11" t="n"/>
      <c r="T822" s="12" t="n"/>
      <c r="U822" s="12" t="n"/>
      <c r="V822" s="12" t="n"/>
      <c r="W822" s="13" t="n"/>
      <c r="X822" s="14">
        <f>IF($AP822="",IF($B822="","",$H822),IF(INDEX(職員マスタ!$B$6:$B$405,$AP822)="",$H822,INDEX(職員マスタ!$B$6:$B$405,$AP822)))</f>
        <v/>
      </c>
      <c r="Y822" s="14">
        <f>IF($AP822="",IF($B822="","",$R822),IF(INDEX(職員マスタ!$C$6:$C$405,$AP822)="",$R822,INDEX(職員マスタ!$C$6:$C$405,$AP822)))</f>
        <v/>
      </c>
      <c r="Z822" s="14">
        <f>IF($AQ822="","","R"&amp;$C822&amp;"."&amp;$D822)</f>
        <v/>
      </c>
      <c r="AA822" s="15">
        <f>IF(IF($AP822="",FALSE,INDEX(職員マスタ!$K$6:$K$405,$AP822)&lt;&gt;""),INDEX(職員マスタ!$K$6:$K$405,$AP822),IF(N($W822)&gt;0,$W822,""))</f>
        <v/>
      </c>
      <c r="AB822" s="14">
        <f>IF(OR($E822="",$AA822=""),"",IF($E822&gt;=$AA822,"×",IF($E822&gt;=$AA822*設定!$C$5,"△","○")))</f>
        <v/>
      </c>
      <c r="AC822" s="15">
        <f>IF($AB822="","",IF($AB822="×",0,IF($AB822="○",ROUNDDOWN($E822*設定!$C$4,0),ROUNDDOWN($E822*ROUND((9*$AA822-9*$E822)/(10*$E822),4),0))))</f>
        <v/>
      </c>
      <c r="AD822" s="13" t="n"/>
      <c r="AE822" s="15">
        <f>IF($B822="","",IF($AD822&lt;&gt;"",$AD822,IF($AC822="","",IF($AC822&lt;=設定!$C$3,0,$AC822))))</f>
        <v/>
      </c>
      <c r="AF822" s="14">
        <f>IF($B822="","",IF(AND($AG822&lt;&gt;"",$AI822="",$AL822=""),"保留中",IF($AL822&lt;&gt;"",IF(N($AE822)&gt;0,"支給済","不支給"),IF($AE822="","要確認",IF($AE822=0,"不支給","未処理")))))</f>
        <v/>
      </c>
      <c r="AG822" s="12" t="n"/>
      <c r="AH822" s="11" t="n"/>
      <c r="AI822" s="11" t="n"/>
      <c r="AJ822" s="11" t="n"/>
      <c r="AK822" s="14">
        <f>IF(AND($AF822="保留中",$AH822&lt;&gt;""),TODAY()-$AH822,"")</f>
        <v/>
      </c>
      <c r="AL822" s="12" t="n"/>
      <c r="AM822" s="14">
        <f>IF($B822="","",IF($AQ822="","対象年月が未入力／","")&amp;IF($B822="","",IF($AP822="","職員マスタに未登録の職員番号／",IF($AA822="","標準報酬月額が未登録／","")&amp;IF(AND($AQ822&lt;&gt;"",OR(AND(INDEX(職員マスタ!$G$6:$G$405,$AP822)&lt;&gt;"",INDEX(職員マスタ!$G$6:$G$405,$AP822)&gt;EOMONTH($AQ822,0)),AND(INDEX(職員マスタ!$H$6:$H$405,$AP822)&lt;&gt;"",INDEX(職員マスタ!$H$6:$H$405,$AP822)&lt;$AQ822))),"対象月が時短期間外／","")&amp;IF(AND(INDEX(職員マスタ!$K$6:$K$405,$AP822)&lt;&gt;"",N($W822)&gt;0,INDEX(職員マスタ!$K$6:$K$405,$AP822)&lt;&gt;$W822),"標準報酬月額が申請書と相違（台帳"&amp;TEXT(INDEX(職員マスタ!$K$6:$K$405,$AP822),"#,##0")&amp;"円／申請書"&amp;TEXT($W822,"#,##0")&amp;"円）／","")&amp;IF(AND(INDEX(職員マスタ!$F$6:$F$405,$AP822)&lt;&gt;"",$AQ822&lt;&gt;"",INDEX(職員マスタ!$F$6:$F$405,$AP822)&lt;$AQ822),"対象月に子が2歳到達済／","")&amp;IF(AND($H822&lt;&gt;"",INDEX(職員マスタ!$B$6:$B$405,$AP822)&lt;&gt;"",SUBSTITUTE(SUBSTITUTE($H822," ","")," ","")&lt;&gt;SUBSTITUTE(SUBSTITUTE(INDEX(職員マスタ!$B$6:$B$405,$AP822)," ","")," ","")),"氏名がマスタと相違／","")&amp;IF(AND($Q822&lt;&gt;"",INDEX(職員マスタ!$E$6:$E$405,$AP822)&lt;&gt;"",$Q822&lt;&gt;INDEX(職員マスタ!$E$6:$E$405,$AP822)),"子の生年月日がマスタと相違／","")&amp;IF(AND($L822&lt;&gt;"",INDEX(職員マスタ!$G$6:$G$405,$AP822)&lt;&gt;"",$L822&lt;&gt;INDEX(職員マスタ!$G$6:$G$405,$AP822)),"時短開始日がマスタと相違／","")&amp;IF(AND($M822&lt;&gt;"",INDEX(職員マスタ!$H$6:$H$405,$AP822)&lt;&gt;"",$M822&lt;&gt;INDEX(職員マスタ!$H$6:$H$405,$AP822)),"時短終了日がマスタと相違／","")))&amp;IF(AND($B822&lt;&gt;"",$E822=""),"報酬額が未入力／","")&amp;IF(N($U822)&gt;0,"申請書に入力エラーが残っています／","")&amp;IF(AND($B822&lt;&gt;"",$AQ822&lt;&gt;""),IF(COUNTIFS($B$6:$B$3005,$B822,$C$6:$C$3005,$C822,$D$6:$D$3005,$D822)&gt;1,"同じ月の請求が重複しています／",""),"")&amp;IF(AND(N($E822)&gt;0,$AB822&lt;&gt;"",$AB822&lt;&gt;"×",$AE822=0,$AD822=""),"計算額が下限以下のため不支給／",""))</f>
        <v/>
      </c>
      <c r="AN822" s="12" t="n"/>
      <c r="AO822" s="14">
        <f>IF($AF822="保留中",COUNTIF($AF$6:$AF822,"保留中"),"")</f>
        <v/>
      </c>
      <c r="AP822" s="14">
        <f>IF($AQ822="","",IF(SUMPRODUCT(MAX((職員マスタ!$A$6:$A$405=$B822)*(((職員マスタ!$G$6:$G$405="")+(職員マスタ!$G$6:$G$405&lt;=EOMONTH($AQ822,0)))&gt;0)*(((職員マスタ!$H$6:$H$405="")+(職員マスタ!$H$6:$H$405&gt;=$AQ822))&gt;0)*(ROW(職員マスタ!$A$6:$A$405)-5)))&gt;0,SUMPRODUCT(MAX((職員マスタ!$A$6:$A$405=$B822)*(((職員マスタ!$G$6:$G$405="")+(職員マスタ!$G$6:$G$405&lt;=EOMONTH($AQ822,0)))&gt;0)*(((職員マスタ!$H$6:$H$405="")+(職員マスタ!$H$6:$H$405&gt;=$AQ822))&gt;0)*(ROW(職員マスタ!$A$6:$A$405)-5))),IFERROR(MATCH($B822,職員マスタ!$A$6:$A$405,0),"")))</f>
        <v/>
      </c>
      <c r="AQ822" s="16">
        <f>IF(OR($B822="",$C822="",$D822=""),"",DATE($C822+2018,$D822,1))</f>
        <v/>
      </c>
    </row>
    <row r="823">
      <c r="A823" s="11" t="n"/>
      <c r="B823" s="12" t="n"/>
      <c r="C823" s="12" t="n"/>
      <c r="D823" s="12" t="n"/>
      <c r="E823" s="13" t="n"/>
      <c r="F823" s="12" t="n"/>
      <c r="G823" s="13" t="n"/>
      <c r="H823" s="12" t="n"/>
      <c r="I823" s="12" t="n"/>
      <c r="J823" s="12" t="n"/>
      <c r="K823" s="12" t="n"/>
      <c r="L823" s="11" t="n"/>
      <c r="M823" s="11" t="n"/>
      <c r="N823" s="11" t="n"/>
      <c r="O823" s="11" t="n"/>
      <c r="P823" s="12" t="n"/>
      <c r="Q823" s="11" t="n"/>
      <c r="R823" s="12" t="n"/>
      <c r="S823" s="11" t="n"/>
      <c r="T823" s="12" t="n"/>
      <c r="U823" s="12" t="n"/>
      <c r="V823" s="12" t="n"/>
      <c r="W823" s="13" t="n"/>
      <c r="X823" s="14">
        <f>IF($AP823="",IF($B823="","",$H823),IF(INDEX(職員マスタ!$B$6:$B$405,$AP823)="",$H823,INDEX(職員マスタ!$B$6:$B$405,$AP823)))</f>
        <v/>
      </c>
      <c r="Y823" s="14">
        <f>IF($AP823="",IF($B823="","",$R823),IF(INDEX(職員マスタ!$C$6:$C$405,$AP823)="",$R823,INDEX(職員マスタ!$C$6:$C$405,$AP823)))</f>
        <v/>
      </c>
      <c r="Z823" s="14">
        <f>IF($AQ823="","","R"&amp;$C823&amp;"."&amp;$D823)</f>
        <v/>
      </c>
      <c r="AA823" s="15">
        <f>IF(IF($AP823="",FALSE,INDEX(職員マスタ!$K$6:$K$405,$AP823)&lt;&gt;""),INDEX(職員マスタ!$K$6:$K$405,$AP823),IF(N($W823)&gt;0,$W823,""))</f>
        <v/>
      </c>
      <c r="AB823" s="14">
        <f>IF(OR($E823="",$AA823=""),"",IF($E823&gt;=$AA823,"×",IF($E823&gt;=$AA823*設定!$C$5,"△","○")))</f>
        <v/>
      </c>
      <c r="AC823" s="15">
        <f>IF($AB823="","",IF($AB823="×",0,IF($AB823="○",ROUNDDOWN($E823*設定!$C$4,0),ROUNDDOWN($E823*ROUND((9*$AA823-9*$E823)/(10*$E823),4),0))))</f>
        <v/>
      </c>
      <c r="AD823" s="13" t="n"/>
      <c r="AE823" s="15">
        <f>IF($B823="","",IF($AD823&lt;&gt;"",$AD823,IF($AC823="","",IF($AC823&lt;=設定!$C$3,0,$AC823))))</f>
        <v/>
      </c>
      <c r="AF823" s="14">
        <f>IF($B823="","",IF(AND($AG823&lt;&gt;"",$AI823="",$AL823=""),"保留中",IF($AL823&lt;&gt;"",IF(N($AE823)&gt;0,"支給済","不支給"),IF($AE823="","要確認",IF($AE823=0,"不支給","未処理")))))</f>
        <v/>
      </c>
      <c r="AG823" s="12" t="n"/>
      <c r="AH823" s="11" t="n"/>
      <c r="AI823" s="11" t="n"/>
      <c r="AJ823" s="11" t="n"/>
      <c r="AK823" s="14">
        <f>IF(AND($AF823="保留中",$AH823&lt;&gt;""),TODAY()-$AH823,"")</f>
        <v/>
      </c>
      <c r="AL823" s="12" t="n"/>
      <c r="AM823" s="14">
        <f>IF($B823="","",IF($AQ823="","対象年月が未入力／","")&amp;IF($B823="","",IF($AP823="","職員マスタに未登録の職員番号／",IF($AA823="","標準報酬月額が未登録／","")&amp;IF(AND($AQ823&lt;&gt;"",OR(AND(INDEX(職員マスタ!$G$6:$G$405,$AP823)&lt;&gt;"",INDEX(職員マスタ!$G$6:$G$405,$AP823)&gt;EOMONTH($AQ823,0)),AND(INDEX(職員マスタ!$H$6:$H$405,$AP823)&lt;&gt;"",INDEX(職員マスタ!$H$6:$H$405,$AP823)&lt;$AQ823))),"対象月が時短期間外／","")&amp;IF(AND(INDEX(職員マスタ!$K$6:$K$405,$AP823)&lt;&gt;"",N($W823)&gt;0,INDEX(職員マスタ!$K$6:$K$405,$AP823)&lt;&gt;$W823),"標準報酬月額が申請書と相違（台帳"&amp;TEXT(INDEX(職員マスタ!$K$6:$K$405,$AP823),"#,##0")&amp;"円／申請書"&amp;TEXT($W823,"#,##0")&amp;"円）／","")&amp;IF(AND(INDEX(職員マスタ!$F$6:$F$405,$AP823)&lt;&gt;"",$AQ823&lt;&gt;"",INDEX(職員マスタ!$F$6:$F$405,$AP823)&lt;$AQ823),"対象月に子が2歳到達済／","")&amp;IF(AND($H823&lt;&gt;"",INDEX(職員マスタ!$B$6:$B$405,$AP823)&lt;&gt;"",SUBSTITUTE(SUBSTITUTE($H823," ","")," ","")&lt;&gt;SUBSTITUTE(SUBSTITUTE(INDEX(職員マスタ!$B$6:$B$405,$AP823)," ","")," ","")),"氏名がマスタと相違／","")&amp;IF(AND($Q823&lt;&gt;"",INDEX(職員マスタ!$E$6:$E$405,$AP823)&lt;&gt;"",$Q823&lt;&gt;INDEX(職員マスタ!$E$6:$E$405,$AP823)),"子の生年月日がマスタと相違／","")&amp;IF(AND($L823&lt;&gt;"",INDEX(職員マスタ!$G$6:$G$405,$AP823)&lt;&gt;"",$L823&lt;&gt;INDEX(職員マスタ!$G$6:$G$405,$AP823)),"時短開始日がマスタと相違／","")&amp;IF(AND($M823&lt;&gt;"",INDEX(職員マスタ!$H$6:$H$405,$AP823)&lt;&gt;"",$M823&lt;&gt;INDEX(職員マスタ!$H$6:$H$405,$AP823)),"時短終了日がマスタと相違／","")))&amp;IF(AND($B823&lt;&gt;"",$E823=""),"報酬額が未入力／","")&amp;IF(N($U823)&gt;0,"申請書に入力エラーが残っています／","")&amp;IF(AND($B823&lt;&gt;"",$AQ823&lt;&gt;""),IF(COUNTIFS($B$6:$B$3005,$B823,$C$6:$C$3005,$C823,$D$6:$D$3005,$D823)&gt;1,"同じ月の請求が重複しています／",""),"")&amp;IF(AND(N($E823)&gt;0,$AB823&lt;&gt;"",$AB823&lt;&gt;"×",$AE823=0,$AD823=""),"計算額が下限以下のため不支給／",""))</f>
        <v/>
      </c>
      <c r="AN823" s="12" t="n"/>
      <c r="AO823" s="14">
        <f>IF($AF823="保留中",COUNTIF($AF$6:$AF823,"保留中"),"")</f>
        <v/>
      </c>
      <c r="AP823" s="14">
        <f>IF($AQ823="","",IF(SUMPRODUCT(MAX((職員マスタ!$A$6:$A$405=$B823)*(((職員マスタ!$G$6:$G$405="")+(職員マスタ!$G$6:$G$405&lt;=EOMONTH($AQ823,0)))&gt;0)*(((職員マスタ!$H$6:$H$405="")+(職員マスタ!$H$6:$H$405&gt;=$AQ823))&gt;0)*(ROW(職員マスタ!$A$6:$A$405)-5)))&gt;0,SUMPRODUCT(MAX((職員マスタ!$A$6:$A$405=$B823)*(((職員マスタ!$G$6:$G$405="")+(職員マスタ!$G$6:$G$405&lt;=EOMONTH($AQ823,0)))&gt;0)*(((職員マスタ!$H$6:$H$405="")+(職員マスタ!$H$6:$H$405&gt;=$AQ823))&gt;0)*(ROW(職員マスタ!$A$6:$A$405)-5))),IFERROR(MATCH($B823,職員マスタ!$A$6:$A$405,0),"")))</f>
        <v/>
      </c>
      <c r="AQ823" s="16">
        <f>IF(OR($B823="",$C823="",$D823=""),"",DATE($C823+2018,$D823,1))</f>
        <v/>
      </c>
    </row>
    <row r="824">
      <c r="A824" s="11" t="n"/>
      <c r="B824" s="12" t="n"/>
      <c r="C824" s="12" t="n"/>
      <c r="D824" s="12" t="n"/>
      <c r="E824" s="13" t="n"/>
      <c r="F824" s="12" t="n"/>
      <c r="G824" s="13" t="n"/>
      <c r="H824" s="12" t="n"/>
      <c r="I824" s="12" t="n"/>
      <c r="J824" s="12" t="n"/>
      <c r="K824" s="12" t="n"/>
      <c r="L824" s="11" t="n"/>
      <c r="M824" s="11" t="n"/>
      <c r="N824" s="11" t="n"/>
      <c r="O824" s="11" t="n"/>
      <c r="P824" s="12" t="n"/>
      <c r="Q824" s="11" t="n"/>
      <c r="R824" s="12" t="n"/>
      <c r="S824" s="11" t="n"/>
      <c r="T824" s="12" t="n"/>
      <c r="U824" s="12" t="n"/>
      <c r="V824" s="12" t="n"/>
      <c r="W824" s="13" t="n"/>
      <c r="X824" s="14">
        <f>IF($AP824="",IF($B824="","",$H824),IF(INDEX(職員マスタ!$B$6:$B$405,$AP824)="",$H824,INDEX(職員マスタ!$B$6:$B$405,$AP824)))</f>
        <v/>
      </c>
      <c r="Y824" s="14">
        <f>IF($AP824="",IF($B824="","",$R824),IF(INDEX(職員マスタ!$C$6:$C$405,$AP824)="",$R824,INDEX(職員マスタ!$C$6:$C$405,$AP824)))</f>
        <v/>
      </c>
      <c r="Z824" s="14">
        <f>IF($AQ824="","","R"&amp;$C824&amp;"."&amp;$D824)</f>
        <v/>
      </c>
      <c r="AA824" s="15">
        <f>IF(IF($AP824="",FALSE,INDEX(職員マスタ!$K$6:$K$405,$AP824)&lt;&gt;""),INDEX(職員マスタ!$K$6:$K$405,$AP824),IF(N($W824)&gt;0,$W824,""))</f>
        <v/>
      </c>
      <c r="AB824" s="14">
        <f>IF(OR($E824="",$AA824=""),"",IF($E824&gt;=$AA824,"×",IF($E824&gt;=$AA824*設定!$C$5,"△","○")))</f>
        <v/>
      </c>
      <c r="AC824" s="15">
        <f>IF($AB824="","",IF($AB824="×",0,IF($AB824="○",ROUNDDOWN($E824*設定!$C$4,0),ROUNDDOWN($E824*ROUND((9*$AA824-9*$E824)/(10*$E824),4),0))))</f>
        <v/>
      </c>
      <c r="AD824" s="13" t="n"/>
      <c r="AE824" s="15">
        <f>IF($B824="","",IF($AD824&lt;&gt;"",$AD824,IF($AC824="","",IF($AC824&lt;=設定!$C$3,0,$AC824))))</f>
        <v/>
      </c>
      <c r="AF824" s="14">
        <f>IF($B824="","",IF(AND($AG824&lt;&gt;"",$AI824="",$AL824=""),"保留中",IF($AL824&lt;&gt;"",IF(N($AE824)&gt;0,"支給済","不支給"),IF($AE824="","要確認",IF($AE824=0,"不支給","未処理")))))</f>
        <v/>
      </c>
      <c r="AG824" s="12" t="n"/>
      <c r="AH824" s="11" t="n"/>
      <c r="AI824" s="11" t="n"/>
      <c r="AJ824" s="11" t="n"/>
      <c r="AK824" s="14">
        <f>IF(AND($AF824="保留中",$AH824&lt;&gt;""),TODAY()-$AH824,"")</f>
        <v/>
      </c>
      <c r="AL824" s="12" t="n"/>
      <c r="AM824" s="14">
        <f>IF($B824="","",IF($AQ824="","対象年月が未入力／","")&amp;IF($B824="","",IF($AP824="","職員マスタに未登録の職員番号／",IF($AA824="","標準報酬月額が未登録／","")&amp;IF(AND($AQ824&lt;&gt;"",OR(AND(INDEX(職員マスタ!$G$6:$G$405,$AP824)&lt;&gt;"",INDEX(職員マスタ!$G$6:$G$405,$AP824)&gt;EOMONTH($AQ824,0)),AND(INDEX(職員マスタ!$H$6:$H$405,$AP824)&lt;&gt;"",INDEX(職員マスタ!$H$6:$H$405,$AP824)&lt;$AQ824))),"対象月が時短期間外／","")&amp;IF(AND(INDEX(職員マスタ!$K$6:$K$405,$AP824)&lt;&gt;"",N($W824)&gt;0,INDEX(職員マスタ!$K$6:$K$405,$AP824)&lt;&gt;$W824),"標準報酬月額が申請書と相違（台帳"&amp;TEXT(INDEX(職員マスタ!$K$6:$K$405,$AP824),"#,##0")&amp;"円／申請書"&amp;TEXT($W824,"#,##0")&amp;"円）／","")&amp;IF(AND(INDEX(職員マスタ!$F$6:$F$405,$AP824)&lt;&gt;"",$AQ824&lt;&gt;"",INDEX(職員マスタ!$F$6:$F$405,$AP824)&lt;$AQ824),"対象月に子が2歳到達済／","")&amp;IF(AND($H824&lt;&gt;"",INDEX(職員マスタ!$B$6:$B$405,$AP824)&lt;&gt;"",SUBSTITUTE(SUBSTITUTE($H824," ","")," ","")&lt;&gt;SUBSTITUTE(SUBSTITUTE(INDEX(職員マスタ!$B$6:$B$405,$AP824)," ","")," ","")),"氏名がマスタと相違／","")&amp;IF(AND($Q824&lt;&gt;"",INDEX(職員マスタ!$E$6:$E$405,$AP824)&lt;&gt;"",$Q824&lt;&gt;INDEX(職員マスタ!$E$6:$E$405,$AP824)),"子の生年月日がマスタと相違／","")&amp;IF(AND($L824&lt;&gt;"",INDEX(職員マスタ!$G$6:$G$405,$AP824)&lt;&gt;"",$L824&lt;&gt;INDEX(職員マスタ!$G$6:$G$405,$AP824)),"時短開始日がマスタと相違／","")&amp;IF(AND($M824&lt;&gt;"",INDEX(職員マスタ!$H$6:$H$405,$AP824)&lt;&gt;"",$M824&lt;&gt;INDEX(職員マスタ!$H$6:$H$405,$AP824)),"時短終了日がマスタと相違／","")))&amp;IF(AND($B824&lt;&gt;"",$E824=""),"報酬額が未入力／","")&amp;IF(N($U824)&gt;0,"申請書に入力エラーが残っています／","")&amp;IF(AND($B824&lt;&gt;"",$AQ824&lt;&gt;""),IF(COUNTIFS($B$6:$B$3005,$B824,$C$6:$C$3005,$C824,$D$6:$D$3005,$D824)&gt;1,"同じ月の請求が重複しています／",""),"")&amp;IF(AND(N($E824)&gt;0,$AB824&lt;&gt;"",$AB824&lt;&gt;"×",$AE824=0,$AD824=""),"計算額が下限以下のため不支給／",""))</f>
        <v/>
      </c>
      <c r="AN824" s="12" t="n"/>
      <c r="AO824" s="14">
        <f>IF($AF824="保留中",COUNTIF($AF$6:$AF824,"保留中"),"")</f>
        <v/>
      </c>
      <c r="AP824" s="14">
        <f>IF($AQ824="","",IF(SUMPRODUCT(MAX((職員マスタ!$A$6:$A$405=$B824)*(((職員マスタ!$G$6:$G$405="")+(職員マスタ!$G$6:$G$405&lt;=EOMONTH($AQ824,0)))&gt;0)*(((職員マスタ!$H$6:$H$405="")+(職員マスタ!$H$6:$H$405&gt;=$AQ824))&gt;0)*(ROW(職員マスタ!$A$6:$A$405)-5)))&gt;0,SUMPRODUCT(MAX((職員マスタ!$A$6:$A$405=$B824)*(((職員マスタ!$G$6:$G$405="")+(職員マスタ!$G$6:$G$405&lt;=EOMONTH($AQ824,0)))&gt;0)*(((職員マスタ!$H$6:$H$405="")+(職員マスタ!$H$6:$H$405&gt;=$AQ824))&gt;0)*(ROW(職員マスタ!$A$6:$A$405)-5))),IFERROR(MATCH($B824,職員マスタ!$A$6:$A$405,0),"")))</f>
        <v/>
      </c>
      <c r="AQ824" s="16">
        <f>IF(OR($B824="",$C824="",$D824=""),"",DATE($C824+2018,$D824,1))</f>
        <v/>
      </c>
    </row>
    <row r="825">
      <c r="A825" s="11" t="n"/>
      <c r="B825" s="12" t="n"/>
      <c r="C825" s="12" t="n"/>
      <c r="D825" s="12" t="n"/>
      <c r="E825" s="13" t="n"/>
      <c r="F825" s="12" t="n"/>
      <c r="G825" s="13" t="n"/>
      <c r="H825" s="12" t="n"/>
      <c r="I825" s="12" t="n"/>
      <c r="J825" s="12" t="n"/>
      <c r="K825" s="12" t="n"/>
      <c r="L825" s="11" t="n"/>
      <c r="M825" s="11" t="n"/>
      <c r="N825" s="11" t="n"/>
      <c r="O825" s="11" t="n"/>
      <c r="P825" s="12" t="n"/>
      <c r="Q825" s="11" t="n"/>
      <c r="R825" s="12" t="n"/>
      <c r="S825" s="11" t="n"/>
      <c r="T825" s="12" t="n"/>
      <c r="U825" s="12" t="n"/>
      <c r="V825" s="12" t="n"/>
      <c r="W825" s="13" t="n"/>
      <c r="X825" s="14">
        <f>IF($AP825="",IF($B825="","",$H825),IF(INDEX(職員マスタ!$B$6:$B$405,$AP825)="",$H825,INDEX(職員マスタ!$B$6:$B$405,$AP825)))</f>
        <v/>
      </c>
      <c r="Y825" s="14">
        <f>IF($AP825="",IF($B825="","",$R825),IF(INDEX(職員マスタ!$C$6:$C$405,$AP825)="",$R825,INDEX(職員マスタ!$C$6:$C$405,$AP825)))</f>
        <v/>
      </c>
      <c r="Z825" s="14">
        <f>IF($AQ825="","","R"&amp;$C825&amp;"."&amp;$D825)</f>
        <v/>
      </c>
      <c r="AA825" s="15">
        <f>IF(IF($AP825="",FALSE,INDEX(職員マスタ!$K$6:$K$405,$AP825)&lt;&gt;""),INDEX(職員マスタ!$K$6:$K$405,$AP825),IF(N($W825)&gt;0,$W825,""))</f>
        <v/>
      </c>
      <c r="AB825" s="14">
        <f>IF(OR($E825="",$AA825=""),"",IF($E825&gt;=$AA825,"×",IF($E825&gt;=$AA825*設定!$C$5,"△","○")))</f>
        <v/>
      </c>
      <c r="AC825" s="15">
        <f>IF($AB825="","",IF($AB825="×",0,IF($AB825="○",ROUNDDOWN($E825*設定!$C$4,0),ROUNDDOWN($E825*ROUND((9*$AA825-9*$E825)/(10*$E825),4),0))))</f>
        <v/>
      </c>
      <c r="AD825" s="13" t="n"/>
      <c r="AE825" s="15">
        <f>IF($B825="","",IF($AD825&lt;&gt;"",$AD825,IF($AC825="","",IF($AC825&lt;=設定!$C$3,0,$AC825))))</f>
        <v/>
      </c>
      <c r="AF825" s="14">
        <f>IF($B825="","",IF(AND($AG825&lt;&gt;"",$AI825="",$AL825=""),"保留中",IF($AL825&lt;&gt;"",IF(N($AE825)&gt;0,"支給済","不支給"),IF($AE825="","要確認",IF($AE825=0,"不支給","未処理")))))</f>
        <v/>
      </c>
      <c r="AG825" s="12" t="n"/>
      <c r="AH825" s="11" t="n"/>
      <c r="AI825" s="11" t="n"/>
      <c r="AJ825" s="11" t="n"/>
      <c r="AK825" s="14">
        <f>IF(AND($AF825="保留中",$AH825&lt;&gt;""),TODAY()-$AH825,"")</f>
        <v/>
      </c>
      <c r="AL825" s="12" t="n"/>
      <c r="AM825" s="14">
        <f>IF($B825="","",IF($AQ825="","対象年月が未入力／","")&amp;IF($B825="","",IF($AP825="","職員マスタに未登録の職員番号／",IF($AA825="","標準報酬月額が未登録／","")&amp;IF(AND($AQ825&lt;&gt;"",OR(AND(INDEX(職員マスタ!$G$6:$G$405,$AP825)&lt;&gt;"",INDEX(職員マスタ!$G$6:$G$405,$AP825)&gt;EOMONTH($AQ825,0)),AND(INDEX(職員マスタ!$H$6:$H$405,$AP825)&lt;&gt;"",INDEX(職員マスタ!$H$6:$H$405,$AP825)&lt;$AQ825))),"対象月が時短期間外／","")&amp;IF(AND(INDEX(職員マスタ!$K$6:$K$405,$AP825)&lt;&gt;"",N($W825)&gt;0,INDEX(職員マスタ!$K$6:$K$405,$AP825)&lt;&gt;$W825),"標準報酬月額が申請書と相違（台帳"&amp;TEXT(INDEX(職員マスタ!$K$6:$K$405,$AP825),"#,##0")&amp;"円／申請書"&amp;TEXT($W825,"#,##0")&amp;"円）／","")&amp;IF(AND(INDEX(職員マスタ!$F$6:$F$405,$AP825)&lt;&gt;"",$AQ825&lt;&gt;"",INDEX(職員マスタ!$F$6:$F$405,$AP825)&lt;$AQ825),"対象月に子が2歳到達済／","")&amp;IF(AND($H825&lt;&gt;"",INDEX(職員マスタ!$B$6:$B$405,$AP825)&lt;&gt;"",SUBSTITUTE(SUBSTITUTE($H825," ","")," ","")&lt;&gt;SUBSTITUTE(SUBSTITUTE(INDEX(職員マスタ!$B$6:$B$405,$AP825)," ","")," ","")),"氏名がマスタと相違／","")&amp;IF(AND($Q825&lt;&gt;"",INDEX(職員マスタ!$E$6:$E$405,$AP825)&lt;&gt;"",$Q825&lt;&gt;INDEX(職員マスタ!$E$6:$E$405,$AP825)),"子の生年月日がマスタと相違／","")&amp;IF(AND($L825&lt;&gt;"",INDEX(職員マスタ!$G$6:$G$405,$AP825)&lt;&gt;"",$L825&lt;&gt;INDEX(職員マスタ!$G$6:$G$405,$AP825)),"時短開始日がマスタと相違／","")&amp;IF(AND($M825&lt;&gt;"",INDEX(職員マスタ!$H$6:$H$405,$AP825)&lt;&gt;"",$M825&lt;&gt;INDEX(職員マスタ!$H$6:$H$405,$AP825)),"時短終了日がマスタと相違／","")))&amp;IF(AND($B825&lt;&gt;"",$E825=""),"報酬額が未入力／","")&amp;IF(N($U825)&gt;0,"申請書に入力エラーが残っています／","")&amp;IF(AND($B825&lt;&gt;"",$AQ825&lt;&gt;""),IF(COUNTIFS($B$6:$B$3005,$B825,$C$6:$C$3005,$C825,$D$6:$D$3005,$D825)&gt;1,"同じ月の請求が重複しています／",""),"")&amp;IF(AND(N($E825)&gt;0,$AB825&lt;&gt;"",$AB825&lt;&gt;"×",$AE825=0,$AD825=""),"計算額が下限以下のため不支給／",""))</f>
        <v/>
      </c>
      <c r="AN825" s="12" t="n"/>
      <c r="AO825" s="14">
        <f>IF($AF825="保留中",COUNTIF($AF$6:$AF825,"保留中"),"")</f>
        <v/>
      </c>
      <c r="AP825" s="14">
        <f>IF($AQ825="","",IF(SUMPRODUCT(MAX((職員マスタ!$A$6:$A$405=$B825)*(((職員マスタ!$G$6:$G$405="")+(職員マスタ!$G$6:$G$405&lt;=EOMONTH($AQ825,0)))&gt;0)*(((職員マスタ!$H$6:$H$405="")+(職員マスタ!$H$6:$H$405&gt;=$AQ825))&gt;0)*(ROW(職員マスタ!$A$6:$A$405)-5)))&gt;0,SUMPRODUCT(MAX((職員マスタ!$A$6:$A$405=$B825)*(((職員マスタ!$G$6:$G$405="")+(職員マスタ!$G$6:$G$405&lt;=EOMONTH($AQ825,0)))&gt;0)*(((職員マスタ!$H$6:$H$405="")+(職員マスタ!$H$6:$H$405&gt;=$AQ825))&gt;0)*(ROW(職員マスタ!$A$6:$A$405)-5))),IFERROR(MATCH($B825,職員マスタ!$A$6:$A$405,0),"")))</f>
        <v/>
      </c>
      <c r="AQ825" s="16">
        <f>IF(OR($B825="",$C825="",$D825=""),"",DATE($C825+2018,$D825,1))</f>
        <v/>
      </c>
    </row>
    <row r="826">
      <c r="A826" s="11" t="n"/>
      <c r="B826" s="12" t="n"/>
      <c r="C826" s="12" t="n"/>
      <c r="D826" s="12" t="n"/>
      <c r="E826" s="13" t="n"/>
      <c r="F826" s="12" t="n"/>
      <c r="G826" s="13" t="n"/>
      <c r="H826" s="12" t="n"/>
      <c r="I826" s="12" t="n"/>
      <c r="J826" s="12" t="n"/>
      <c r="K826" s="12" t="n"/>
      <c r="L826" s="11" t="n"/>
      <c r="M826" s="11" t="n"/>
      <c r="N826" s="11" t="n"/>
      <c r="O826" s="11" t="n"/>
      <c r="P826" s="12" t="n"/>
      <c r="Q826" s="11" t="n"/>
      <c r="R826" s="12" t="n"/>
      <c r="S826" s="11" t="n"/>
      <c r="T826" s="12" t="n"/>
      <c r="U826" s="12" t="n"/>
      <c r="V826" s="12" t="n"/>
      <c r="W826" s="13" t="n"/>
      <c r="X826" s="14">
        <f>IF($AP826="",IF($B826="","",$H826),IF(INDEX(職員マスタ!$B$6:$B$405,$AP826)="",$H826,INDEX(職員マスタ!$B$6:$B$405,$AP826)))</f>
        <v/>
      </c>
      <c r="Y826" s="14">
        <f>IF($AP826="",IF($B826="","",$R826),IF(INDEX(職員マスタ!$C$6:$C$405,$AP826)="",$R826,INDEX(職員マスタ!$C$6:$C$405,$AP826)))</f>
        <v/>
      </c>
      <c r="Z826" s="14">
        <f>IF($AQ826="","","R"&amp;$C826&amp;"."&amp;$D826)</f>
        <v/>
      </c>
      <c r="AA826" s="15">
        <f>IF(IF($AP826="",FALSE,INDEX(職員マスタ!$K$6:$K$405,$AP826)&lt;&gt;""),INDEX(職員マスタ!$K$6:$K$405,$AP826),IF(N($W826)&gt;0,$W826,""))</f>
        <v/>
      </c>
      <c r="AB826" s="14">
        <f>IF(OR($E826="",$AA826=""),"",IF($E826&gt;=$AA826,"×",IF($E826&gt;=$AA826*設定!$C$5,"△","○")))</f>
        <v/>
      </c>
      <c r="AC826" s="15">
        <f>IF($AB826="","",IF($AB826="×",0,IF($AB826="○",ROUNDDOWN($E826*設定!$C$4,0),ROUNDDOWN($E826*ROUND((9*$AA826-9*$E826)/(10*$E826),4),0))))</f>
        <v/>
      </c>
      <c r="AD826" s="13" t="n"/>
      <c r="AE826" s="15">
        <f>IF($B826="","",IF($AD826&lt;&gt;"",$AD826,IF($AC826="","",IF($AC826&lt;=設定!$C$3,0,$AC826))))</f>
        <v/>
      </c>
      <c r="AF826" s="14">
        <f>IF($B826="","",IF(AND($AG826&lt;&gt;"",$AI826="",$AL826=""),"保留中",IF($AL826&lt;&gt;"",IF(N($AE826)&gt;0,"支給済","不支給"),IF($AE826="","要確認",IF($AE826=0,"不支給","未処理")))))</f>
        <v/>
      </c>
      <c r="AG826" s="12" t="n"/>
      <c r="AH826" s="11" t="n"/>
      <c r="AI826" s="11" t="n"/>
      <c r="AJ826" s="11" t="n"/>
      <c r="AK826" s="14">
        <f>IF(AND($AF826="保留中",$AH826&lt;&gt;""),TODAY()-$AH826,"")</f>
        <v/>
      </c>
      <c r="AL826" s="12" t="n"/>
      <c r="AM826" s="14">
        <f>IF($B826="","",IF($AQ826="","対象年月が未入力／","")&amp;IF($B826="","",IF($AP826="","職員マスタに未登録の職員番号／",IF($AA826="","標準報酬月額が未登録／","")&amp;IF(AND($AQ826&lt;&gt;"",OR(AND(INDEX(職員マスタ!$G$6:$G$405,$AP826)&lt;&gt;"",INDEX(職員マスタ!$G$6:$G$405,$AP826)&gt;EOMONTH($AQ826,0)),AND(INDEX(職員マスタ!$H$6:$H$405,$AP826)&lt;&gt;"",INDEX(職員マスタ!$H$6:$H$405,$AP826)&lt;$AQ826))),"対象月が時短期間外／","")&amp;IF(AND(INDEX(職員マスタ!$K$6:$K$405,$AP826)&lt;&gt;"",N($W826)&gt;0,INDEX(職員マスタ!$K$6:$K$405,$AP826)&lt;&gt;$W826),"標準報酬月額が申請書と相違（台帳"&amp;TEXT(INDEX(職員マスタ!$K$6:$K$405,$AP826),"#,##0")&amp;"円／申請書"&amp;TEXT($W826,"#,##0")&amp;"円）／","")&amp;IF(AND(INDEX(職員マスタ!$F$6:$F$405,$AP826)&lt;&gt;"",$AQ826&lt;&gt;"",INDEX(職員マスタ!$F$6:$F$405,$AP826)&lt;$AQ826),"対象月に子が2歳到達済／","")&amp;IF(AND($H826&lt;&gt;"",INDEX(職員マスタ!$B$6:$B$405,$AP826)&lt;&gt;"",SUBSTITUTE(SUBSTITUTE($H826," ","")," ","")&lt;&gt;SUBSTITUTE(SUBSTITUTE(INDEX(職員マスタ!$B$6:$B$405,$AP826)," ","")," ","")),"氏名がマスタと相違／","")&amp;IF(AND($Q826&lt;&gt;"",INDEX(職員マスタ!$E$6:$E$405,$AP826)&lt;&gt;"",$Q826&lt;&gt;INDEX(職員マスタ!$E$6:$E$405,$AP826)),"子の生年月日がマスタと相違／","")&amp;IF(AND($L826&lt;&gt;"",INDEX(職員マスタ!$G$6:$G$405,$AP826)&lt;&gt;"",$L826&lt;&gt;INDEX(職員マスタ!$G$6:$G$405,$AP826)),"時短開始日がマスタと相違／","")&amp;IF(AND($M826&lt;&gt;"",INDEX(職員マスタ!$H$6:$H$405,$AP826)&lt;&gt;"",$M826&lt;&gt;INDEX(職員マスタ!$H$6:$H$405,$AP826)),"時短終了日がマスタと相違／","")))&amp;IF(AND($B826&lt;&gt;"",$E826=""),"報酬額が未入力／","")&amp;IF(N($U826)&gt;0,"申請書に入力エラーが残っています／","")&amp;IF(AND($B826&lt;&gt;"",$AQ826&lt;&gt;""),IF(COUNTIFS($B$6:$B$3005,$B826,$C$6:$C$3005,$C826,$D$6:$D$3005,$D826)&gt;1,"同じ月の請求が重複しています／",""),"")&amp;IF(AND(N($E826)&gt;0,$AB826&lt;&gt;"",$AB826&lt;&gt;"×",$AE826=0,$AD826=""),"計算額が下限以下のため不支給／",""))</f>
        <v/>
      </c>
      <c r="AN826" s="12" t="n"/>
      <c r="AO826" s="14">
        <f>IF($AF826="保留中",COUNTIF($AF$6:$AF826,"保留中"),"")</f>
        <v/>
      </c>
      <c r="AP826" s="14">
        <f>IF($AQ826="","",IF(SUMPRODUCT(MAX((職員マスタ!$A$6:$A$405=$B826)*(((職員マスタ!$G$6:$G$405="")+(職員マスタ!$G$6:$G$405&lt;=EOMONTH($AQ826,0)))&gt;0)*(((職員マスタ!$H$6:$H$405="")+(職員マスタ!$H$6:$H$405&gt;=$AQ826))&gt;0)*(ROW(職員マスタ!$A$6:$A$405)-5)))&gt;0,SUMPRODUCT(MAX((職員マスタ!$A$6:$A$405=$B826)*(((職員マスタ!$G$6:$G$405="")+(職員マスタ!$G$6:$G$405&lt;=EOMONTH($AQ826,0)))&gt;0)*(((職員マスタ!$H$6:$H$405="")+(職員マスタ!$H$6:$H$405&gt;=$AQ826))&gt;0)*(ROW(職員マスタ!$A$6:$A$405)-5))),IFERROR(MATCH($B826,職員マスタ!$A$6:$A$405,0),"")))</f>
        <v/>
      </c>
      <c r="AQ826" s="16">
        <f>IF(OR($B826="",$C826="",$D826=""),"",DATE($C826+2018,$D826,1))</f>
        <v/>
      </c>
    </row>
    <row r="827">
      <c r="A827" s="11" t="n"/>
      <c r="B827" s="12" t="n"/>
      <c r="C827" s="12" t="n"/>
      <c r="D827" s="12" t="n"/>
      <c r="E827" s="13" t="n"/>
      <c r="F827" s="12" t="n"/>
      <c r="G827" s="13" t="n"/>
      <c r="H827" s="12" t="n"/>
      <c r="I827" s="12" t="n"/>
      <c r="J827" s="12" t="n"/>
      <c r="K827" s="12" t="n"/>
      <c r="L827" s="11" t="n"/>
      <c r="M827" s="11" t="n"/>
      <c r="N827" s="11" t="n"/>
      <c r="O827" s="11" t="n"/>
      <c r="P827" s="12" t="n"/>
      <c r="Q827" s="11" t="n"/>
      <c r="R827" s="12" t="n"/>
      <c r="S827" s="11" t="n"/>
      <c r="T827" s="12" t="n"/>
      <c r="U827" s="12" t="n"/>
      <c r="V827" s="12" t="n"/>
      <c r="W827" s="13" t="n"/>
      <c r="X827" s="14">
        <f>IF($AP827="",IF($B827="","",$H827),IF(INDEX(職員マスタ!$B$6:$B$405,$AP827)="",$H827,INDEX(職員マスタ!$B$6:$B$405,$AP827)))</f>
        <v/>
      </c>
      <c r="Y827" s="14">
        <f>IF($AP827="",IF($B827="","",$R827),IF(INDEX(職員マスタ!$C$6:$C$405,$AP827)="",$R827,INDEX(職員マスタ!$C$6:$C$405,$AP827)))</f>
        <v/>
      </c>
      <c r="Z827" s="14">
        <f>IF($AQ827="","","R"&amp;$C827&amp;"."&amp;$D827)</f>
        <v/>
      </c>
      <c r="AA827" s="15">
        <f>IF(IF($AP827="",FALSE,INDEX(職員マスタ!$K$6:$K$405,$AP827)&lt;&gt;""),INDEX(職員マスタ!$K$6:$K$405,$AP827),IF(N($W827)&gt;0,$W827,""))</f>
        <v/>
      </c>
      <c r="AB827" s="14">
        <f>IF(OR($E827="",$AA827=""),"",IF($E827&gt;=$AA827,"×",IF($E827&gt;=$AA827*設定!$C$5,"△","○")))</f>
        <v/>
      </c>
      <c r="AC827" s="15">
        <f>IF($AB827="","",IF($AB827="×",0,IF($AB827="○",ROUNDDOWN($E827*設定!$C$4,0),ROUNDDOWN($E827*ROUND((9*$AA827-9*$E827)/(10*$E827),4),0))))</f>
        <v/>
      </c>
      <c r="AD827" s="13" t="n"/>
      <c r="AE827" s="15">
        <f>IF($B827="","",IF($AD827&lt;&gt;"",$AD827,IF($AC827="","",IF($AC827&lt;=設定!$C$3,0,$AC827))))</f>
        <v/>
      </c>
      <c r="AF827" s="14">
        <f>IF($B827="","",IF(AND($AG827&lt;&gt;"",$AI827="",$AL827=""),"保留中",IF($AL827&lt;&gt;"",IF(N($AE827)&gt;0,"支給済","不支給"),IF($AE827="","要確認",IF($AE827=0,"不支給","未処理")))))</f>
        <v/>
      </c>
      <c r="AG827" s="12" t="n"/>
      <c r="AH827" s="11" t="n"/>
      <c r="AI827" s="11" t="n"/>
      <c r="AJ827" s="11" t="n"/>
      <c r="AK827" s="14">
        <f>IF(AND($AF827="保留中",$AH827&lt;&gt;""),TODAY()-$AH827,"")</f>
        <v/>
      </c>
      <c r="AL827" s="12" t="n"/>
      <c r="AM827" s="14">
        <f>IF($B827="","",IF($AQ827="","対象年月が未入力／","")&amp;IF($B827="","",IF($AP827="","職員マスタに未登録の職員番号／",IF($AA827="","標準報酬月額が未登録／","")&amp;IF(AND($AQ827&lt;&gt;"",OR(AND(INDEX(職員マスタ!$G$6:$G$405,$AP827)&lt;&gt;"",INDEX(職員マスタ!$G$6:$G$405,$AP827)&gt;EOMONTH($AQ827,0)),AND(INDEX(職員マスタ!$H$6:$H$405,$AP827)&lt;&gt;"",INDEX(職員マスタ!$H$6:$H$405,$AP827)&lt;$AQ827))),"対象月が時短期間外／","")&amp;IF(AND(INDEX(職員マスタ!$K$6:$K$405,$AP827)&lt;&gt;"",N($W827)&gt;0,INDEX(職員マスタ!$K$6:$K$405,$AP827)&lt;&gt;$W827),"標準報酬月額が申請書と相違（台帳"&amp;TEXT(INDEX(職員マスタ!$K$6:$K$405,$AP827),"#,##0")&amp;"円／申請書"&amp;TEXT($W827,"#,##0")&amp;"円）／","")&amp;IF(AND(INDEX(職員マスタ!$F$6:$F$405,$AP827)&lt;&gt;"",$AQ827&lt;&gt;"",INDEX(職員マスタ!$F$6:$F$405,$AP827)&lt;$AQ827),"対象月に子が2歳到達済／","")&amp;IF(AND($H827&lt;&gt;"",INDEX(職員マスタ!$B$6:$B$405,$AP827)&lt;&gt;"",SUBSTITUTE(SUBSTITUTE($H827," ","")," ","")&lt;&gt;SUBSTITUTE(SUBSTITUTE(INDEX(職員マスタ!$B$6:$B$405,$AP827)," ","")," ","")),"氏名がマスタと相違／","")&amp;IF(AND($Q827&lt;&gt;"",INDEX(職員マスタ!$E$6:$E$405,$AP827)&lt;&gt;"",$Q827&lt;&gt;INDEX(職員マスタ!$E$6:$E$405,$AP827)),"子の生年月日がマスタと相違／","")&amp;IF(AND($L827&lt;&gt;"",INDEX(職員マスタ!$G$6:$G$405,$AP827)&lt;&gt;"",$L827&lt;&gt;INDEX(職員マスタ!$G$6:$G$405,$AP827)),"時短開始日がマスタと相違／","")&amp;IF(AND($M827&lt;&gt;"",INDEX(職員マスタ!$H$6:$H$405,$AP827)&lt;&gt;"",$M827&lt;&gt;INDEX(職員マスタ!$H$6:$H$405,$AP827)),"時短終了日がマスタと相違／","")))&amp;IF(AND($B827&lt;&gt;"",$E827=""),"報酬額が未入力／","")&amp;IF(N($U827)&gt;0,"申請書に入力エラーが残っています／","")&amp;IF(AND($B827&lt;&gt;"",$AQ827&lt;&gt;""),IF(COUNTIFS($B$6:$B$3005,$B827,$C$6:$C$3005,$C827,$D$6:$D$3005,$D827)&gt;1,"同じ月の請求が重複しています／",""),"")&amp;IF(AND(N($E827)&gt;0,$AB827&lt;&gt;"",$AB827&lt;&gt;"×",$AE827=0,$AD827=""),"計算額が下限以下のため不支給／",""))</f>
        <v/>
      </c>
      <c r="AN827" s="12" t="n"/>
      <c r="AO827" s="14">
        <f>IF($AF827="保留中",COUNTIF($AF$6:$AF827,"保留中"),"")</f>
        <v/>
      </c>
      <c r="AP827" s="14">
        <f>IF($AQ827="","",IF(SUMPRODUCT(MAX((職員マスタ!$A$6:$A$405=$B827)*(((職員マスタ!$G$6:$G$405="")+(職員マスタ!$G$6:$G$405&lt;=EOMONTH($AQ827,0)))&gt;0)*(((職員マスタ!$H$6:$H$405="")+(職員マスタ!$H$6:$H$405&gt;=$AQ827))&gt;0)*(ROW(職員マスタ!$A$6:$A$405)-5)))&gt;0,SUMPRODUCT(MAX((職員マスタ!$A$6:$A$405=$B827)*(((職員マスタ!$G$6:$G$405="")+(職員マスタ!$G$6:$G$405&lt;=EOMONTH($AQ827,0)))&gt;0)*(((職員マスタ!$H$6:$H$405="")+(職員マスタ!$H$6:$H$405&gt;=$AQ827))&gt;0)*(ROW(職員マスタ!$A$6:$A$405)-5))),IFERROR(MATCH($B827,職員マスタ!$A$6:$A$405,0),"")))</f>
        <v/>
      </c>
      <c r="AQ827" s="16">
        <f>IF(OR($B827="",$C827="",$D827=""),"",DATE($C827+2018,$D827,1))</f>
        <v/>
      </c>
    </row>
    <row r="828">
      <c r="A828" s="11" t="n"/>
      <c r="B828" s="12" t="n"/>
      <c r="C828" s="12" t="n"/>
      <c r="D828" s="12" t="n"/>
      <c r="E828" s="13" t="n"/>
      <c r="F828" s="12" t="n"/>
      <c r="G828" s="13" t="n"/>
      <c r="H828" s="12" t="n"/>
      <c r="I828" s="12" t="n"/>
      <c r="J828" s="12" t="n"/>
      <c r="K828" s="12" t="n"/>
      <c r="L828" s="11" t="n"/>
      <c r="M828" s="11" t="n"/>
      <c r="N828" s="11" t="n"/>
      <c r="O828" s="11" t="n"/>
      <c r="P828" s="12" t="n"/>
      <c r="Q828" s="11" t="n"/>
      <c r="R828" s="12" t="n"/>
      <c r="S828" s="11" t="n"/>
      <c r="T828" s="12" t="n"/>
      <c r="U828" s="12" t="n"/>
      <c r="V828" s="12" t="n"/>
      <c r="W828" s="13" t="n"/>
      <c r="X828" s="14">
        <f>IF($AP828="",IF($B828="","",$H828),IF(INDEX(職員マスタ!$B$6:$B$405,$AP828)="",$H828,INDEX(職員マスタ!$B$6:$B$405,$AP828)))</f>
        <v/>
      </c>
      <c r="Y828" s="14">
        <f>IF($AP828="",IF($B828="","",$R828),IF(INDEX(職員マスタ!$C$6:$C$405,$AP828)="",$R828,INDEX(職員マスタ!$C$6:$C$405,$AP828)))</f>
        <v/>
      </c>
      <c r="Z828" s="14">
        <f>IF($AQ828="","","R"&amp;$C828&amp;"."&amp;$D828)</f>
        <v/>
      </c>
      <c r="AA828" s="15">
        <f>IF(IF($AP828="",FALSE,INDEX(職員マスタ!$K$6:$K$405,$AP828)&lt;&gt;""),INDEX(職員マスタ!$K$6:$K$405,$AP828),IF(N($W828)&gt;0,$W828,""))</f>
        <v/>
      </c>
      <c r="AB828" s="14">
        <f>IF(OR($E828="",$AA828=""),"",IF($E828&gt;=$AA828,"×",IF($E828&gt;=$AA828*設定!$C$5,"△","○")))</f>
        <v/>
      </c>
      <c r="AC828" s="15">
        <f>IF($AB828="","",IF($AB828="×",0,IF($AB828="○",ROUNDDOWN($E828*設定!$C$4,0),ROUNDDOWN($E828*ROUND((9*$AA828-9*$E828)/(10*$E828),4),0))))</f>
        <v/>
      </c>
      <c r="AD828" s="13" t="n"/>
      <c r="AE828" s="15">
        <f>IF($B828="","",IF($AD828&lt;&gt;"",$AD828,IF($AC828="","",IF($AC828&lt;=設定!$C$3,0,$AC828))))</f>
        <v/>
      </c>
      <c r="AF828" s="14">
        <f>IF($B828="","",IF(AND($AG828&lt;&gt;"",$AI828="",$AL828=""),"保留中",IF($AL828&lt;&gt;"",IF(N($AE828)&gt;0,"支給済","不支給"),IF($AE828="","要確認",IF($AE828=0,"不支給","未処理")))))</f>
        <v/>
      </c>
      <c r="AG828" s="12" t="n"/>
      <c r="AH828" s="11" t="n"/>
      <c r="AI828" s="11" t="n"/>
      <c r="AJ828" s="11" t="n"/>
      <c r="AK828" s="14">
        <f>IF(AND($AF828="保留中",$AH828&lt;&gt;""),TODAY()-$AH828,"")</f>
        <v/>
      </c>
      <c r="AL828" s="12" t="n"/>
      <c r="AM828" s="14">
        <f>IF($B828="","",IF($AQ828="","対象年月が未入力／","")&amp;IF($B828="","",IF($AP828="","職員マスタに未登録の職員番号／",IF($AA828="","標準報酬月額が未登録／","")&amp;IF(AND($AQ828&lt;&gt;"",OR(AND(INDEX(職員マスタ!$G$6:$G$405,$AP828)&lt;&gt;"",INDEX(職員マスタ!$G$6:$G$405,$AP828)&gt;EOMONTH($AQ828,0)),AND(INDEX(職員マスタ!$H$6:$H$405,$AP828)&lt;&gt;"",INDEX(職員マスタ!$H$6:$H$405,$AP828)&lt;$AQ828))),"対象月が時短期間外／","")&amp;IF(AND(INDEX(職員マスタ!$K$6:$K$405,$AP828)&lt;&gt;"",N($W828)&gt;0,INDEX(職員マスタ!$K$6:$K$405,$AP828)&lt;&gt;$W828),"標準報酬月額が申請書と相違（台帳"&amp;TEXT(INDEX(職員マスタ!$K$6:$K$405,$AP828),"#,##0")&amp;"円／申請書"&amp;TEXT($W828,"#,##0")&amp;"円）／","")&amp;IF(AND(INDEX(職員マスタ!$F$6:$F$405,$AP828)&lt;&gt;"",$AQ828&lt;&gt;"",INDEX(職員マスタ!$F$6:$F$405,$AP828)&lt;$AQ828),"対象月に子が2歳到達済／","")&amp;IF(AND($H828&lt;&gt;"",INDEX(職員マスタ!$B$6:$B$405,$AP828)&lt;&gt;"",SUBSTITUTE(SUBSTITUTE($H828," ","")," ","")&lt;&gt;SUBSTITUTE(SUBSTITUTE(INDEX(職員マスタ!$B$6:$B$405,$AP828)," ","")," ","")),"氏名がマスタと相違／","")&amp;IF(AND($Q828&lt;&gt;"",INDEX(職員マスタ!$E$6:$E$405,$AP828)&lt;&gt;"",$Q828&lt;&gt;INDEX(職員マスタ!$E$6:$E$405,$AP828)),"子の生年月日がマスタと相違／","")&amp;IF(AND($L828&lt;&gt;"",INDEX(職員マスタ!$G$6:$G$405,$AP828)&lt;&gt;"",$L828&lt;&gt;INDEX(職員マスタ!$G$6:$G$405,$AP828)),"時短開始日がマスタと相違／","")&amp;IF(AND($M828&lt;&gt;"",INDEX(職員マスタ!$H$6:$H$405,$AP828)&lt;&gt;"",$M828&lt;&gt;INDEX(職員マスタ!$H$6:$H$405,$AP828)),"時短終了日がマスタと相違／","")))&amp;IF(AND($B828&lt;&gt;"",$E828=""),"報酬額が未入力／","")&amp;IF(N($U828)&gt;0,"申請書に入力エラーが残っています／","")&amp;IF(AND($B828&lt;&gt;"",$AQ828&lt;&gt;""),IF(COUNTIFS($B$6:$B$3005,$B828,$C$6:$C$3005,$C828,$D$6:$D$3005,$D828)&gt;1,"同じ月の請求が重複しています／",""),"")&amp;IF(AND(N($E828)&gt;0,$AB828&lt;&gt;"",$AB828&lt;&gt;"×",$AE828=0,$AD828=""),"計算額が下限以下のため不支給／",""))</f>
        <v/>
      </c>
      <c r="AN828" s="12" t="n"/>
      <c r="AO828" s="14">
        <f>IF($AF828="保留中",COUNTIF($AF$6:$AF828,"保留中"),"")</f>
        <v/>
      </c>
      <c r="AP828" s="14">
        <f>IF($AQ828="","",IF(SUMPRODUCT(MAX((職員マスタ!$A$6:$A$405=$B828)*(((職員マスタ!$G$6:$G$405="")+(職員マスタ!$G$6:$G$405&lt;=EOMONTH($AQ828,0)))&gt;0)*(((職員マスタ!$H$6:$H$405="")+(職員マスタ!$H$6:$H$405&gt;=$AQ828))&gt;0)*(ROW(職員マスタ!$A$6:$A$405)-5)))&gt;0,SUMPRODUCT(MAX((職員マスタ!$A$6:$A$405=$B828)*(((職員マスタ!$G$6:$G$405="")+(職員マスタ!$G$6:$G$405&lt;=EOMONTH($AQ828,0)))&gt;0)*(((職員マスタ!$H$6:$H$405="")+(職員マスタ!$H$6:$H$405&gt;=$AQ828))&gt;0)*(ROW(職員マスタ!$A$6:$A$405)-5))),IFERROR(MATCH($B828,職員マスタ!$A$6:$A$405,0),"")))</f>
        <v/>
      </c>
      <c r="AQ828" s="16">
        <f>IF(OR($B828="",$C828="",$D828=""),"",DATE($C828+2018,$D828,1))</f>
        <v/>
      </c>
    </row>
    <row r="829">
      <c r="A829" s="11" t="n"/>
      <c r="B829" s="12" t="n"/>
      <c r="C829" s="12" t="n"/>
      <c r="D829" s="12" t="n"/>
      <c r="E829" s="13" t="n"/>
      <c r="F829" s="12" t="n"/>
      <c r="G829" s="13" t="n"/>
      <c r="H829" s="12" t="n"/>
      <c r="I829" s="12" t="n"/>
      <c r="J829" s="12" t="n"/>
      <c r="K829" s="12" t="n"/>
      <c r="L829" s="11" t="n"/>
      <c r="M829" s="11" t="n"/>
      <c r="N829" s="11" t="n"/>
      <c r="O829" s="11" t="n"/>
      <c r="P829" s="12" t="n"/>
      <c r="Q829" s="11" t="n"/>
      <c r="R829" s="12" t="n"/>
      <c r="S829" s="11" t="n"/>
      <c r="T829" s="12" t="n"/>
      <c r="U829" s="12" t="n"/>
      <c r="V829" s="12" t="n"/>
      <c r="W829" s="13" t="n"/>
      <c r="X829" s="14">
        <f>IF($AP829="",IF($B829="","",$H829),IF(INDEX(職員マスタ!$B$6:$B$405,$AP829)="",$H829,INDEX(職員マスタ!$B$6:$B$405,$AP829)))</f>
        <v/>
      </c>
      <c r="Y829" s="14">
        <f>IF($AP829="",IF($B829="","",$R829),IF(INDEX(職員マスタ!$C$6:$C$405,$AP829)="",$R829,INDEX(職員マスタ!$C$6:$C$405,$AP829)))</f>
        <v/>
      </c>
      <c r="Z829" s="14">
        <f>IF($AQ829="","","R"&amp;$C829&amp;"."&amp;$D829)</f>
        <v/>
      </c>
      <c r="AA829" s="15">
        <f>IF(IF($AP829="",FALSE,INDEX(職員マスタ!$K$6:$K$405,$AP829)&lt;&gt;""),INDEX(職員マスタ!$K$6:$K$405,$AP829),IF(N($W829)&gt;0,$W829,""))</f>
        <v/>
      </c>
      <c r="AB829" s="14">
        <f>IF(OR($E829="",$AA829=""),"",IF($E829&gt;=$AA829,"×",IF($E829&gt;=$AA829*設定!$C$5,"△","○")))</f>
        <v/>
      </c>
      <c r="AC829" s="15">
        <f>IF($AB829="","",IF($AB829="×",0,IF($AB829="○",ROUNDDOWN($E829*設定!$C$4,0),ROUNDDOWN($E829*ROUND((9*$AA829-9*$E829)/(10*$E829),4),0))))</f>
        <v/>
      </c>
      <c r="AD829" s="13" t="n"/>
      <c r="AE829" s="15">
        <f>IF($B829="","",IF($AD829&lt;&gt;"",$AD829,IF($AC829="","",IF($AC829&lt;=設定!$C$3,0,$AC829))))</f>
        <v/>
      </c>
      <c r="AF829" s="14">
        <f>IF($B829="","",IF(AND($AG829&lt;&gt;"",$AI829="",$AL829=""),"保留中",IF($AL829&lt;&gt;"",IF(N($AE829)&gt;0,"支給済","不支給"),IF($AE829="","要確認",IF($AE829=0,"不支給","未処理")))))</f>
        <v/>
      </c>
      <c r="AG829" s="12" t="n"/>
      <c r="AH829" s="11" t="n"/>
      <c r="AI829" s="11" t="n"/>
      <c r="AJ829" s="11" t="n"/>
      <c r="AK829" s="14">
        <f>IF(AND($AF829="保留中",$AH829&lt;&gt;""),TODAY()-$AH829,"")</f>
        <v/>
      </c>
      <c r="AL829" s="12" t="n"/>
      <c r="AM829" s="14">
        <f>IF($B829="","",IF($AQ829="","対象年月が未入力／","")&amp;IF($B829="","",IF($AP829="","職員マスタに未登録の職員番号／",IF($AA829="","標準報酬月額が未登録／","")&amp;IF(AND($AQ829&lt;&gt;"",OR(AND(INDEX(職員マスタ!$G$6:$G$405,$AP829)&lt;&gt;"",INDEX(職員マスタ!$G$6:$G$405,$AP829)&gt;EOMONTH($AQ829,0)),AND(INDEX(職員マスタ!$H$6:$H$405,$AP829)&lt;&gt;"",INDEX(職員マスタ!$H$6:$H$405,$AP829)&lt;$AQ829))),"対象月が時短期間外／","")&amp;IF(AND(INDEX(職員マスタ!$K$6:$K$405,$AP829)&lt;&gt;"",N($W829)&gt;0,INDEX(職員マスタ!$K$6:$K$405,$AP829)&lt;&gt;$W829),"標準報酬月額が申請書と相違（台帳"&amp;TEXT(INDEX(職員マスタ!$K$6:$K$405,$AP829),"#,##0")&amp;"円／申請書"&amp;TEXT($W829,"#,##0")&amp;"円）／","")&amp;IF(AND(INDEX(職員マスタ!$F$6:$F$405,$AP829)&lt;&gt;"",$AQ829&lt;&gt;"",INDEX(職員マスタ!$F$6:$F$405,$AP829)&lt;$AQ829),"対象月に子が2歳到達済／","")&amp;IF(AND($H829&lt;&gt;"",INDEX(職員マスタ!$B$6:$B$405,$AP829)&lt;&gt;"",SUBSTITUTE(SUBSTITUTE($H829," ","")," ","")&lt;&gt;SUBSTITUTE(SUBSTITUTE(INDEX(職員マスタ!$B$6:$B$405,$AP829)," ","")," ","")),"氏名がマスタと相違／","")&amp;IF(AND($Q829&lt;&gt;"",INDEX(職員マスタ!$E$6:$E$405,$AP829)&lt;&gt;"",$Q829&lt;&gt;INDEX(職員マスタ!$E$6:$E$405,$AP829)),"子の生年月日がマスタと相違／","")&amp;IF(AND($L829&lt;&gt;"",INDEX(職員マスタ!$G$6:$G$405,$AP829)&lt;&gt;"",$L829&lt;&gt;INDEX(職員マスタ!$G$6:$G$405,$AP829)),"時短開始日がマスタと相違／","")&amp;IF(AND($M829&lt;&gt;"",INDEX(職員マスタ!$H$6:$H$405,$AP829)&lt;&gt;"",$M829&lt;&gt;INDEX(職員マスタ!$H$6:$H$405,$AP829)),"時短終了日がマスタと相違／","")))&amp;IF(AND($B829&lt;&gt;"",$E829=""),"報酬額が未入力／","")&amp;IF(N($U829)&gt;0,"申請書に入力エラーが残っています／","")&amp;IF(AND($B829&lt;&gt;"",$AQ829&lt;&gt;""),IF(COUNTIFS($B$6:$B$3005,$B829,$C$6:$C$3005,$C829,$D$6:$D$3005,$D829)&gt;1,"同じ月の請求が重複しています／",""),"")&amp;IF(AND(N($E829)&gt;0,$AB829&lt;&gt;"",$AB829&lt;&gt;"×",$AE829=0,$AD829=""),"計算額が下限以下のため不支給／",""))</f>
        <v/>
      </c>
      <c r="AN829" s="12" t="n"/>
      <c r="AO829" s="14">
        <f>IF($AF829="保留中",COUNTIF($AF$6:$AF829,"保留中"),"")</f>
        <v/>
      </c>
      <c r="AP829" s="14">
        <f>IF($AQ829="","",IF(SUMPRODUCT(MAX((職員マスタ!$A$6:$A$405=$B829)*(((職員マスタ!$G$6:$G$405="")+(職員マスタ!$G$6:$G$405&lt;=EOMONTH($AQ829,0)))&gt;0)*(((職員マスタ!$H$6:$H$405="")+(職員マスタ!$H$6:$H$405&gt;=$AQ829))&gt;0)*(ROW(職員マスタ!$A$6:$A$405)-5)))&gt;0,SUMPRODUCT(MAX((職員マスタ!$A$6:$A$405=$B829)*(((職員マスタ!$G$6:$G$405="")+(職員マスタ!$G$6:$G$405&lt;=EOMONTH($AQ829,0)))&gt;0)*(((職員マスタ!$H$6:$H$405="")+(職員マスタ!$H$6:$H$405&gt;=$AQ829))&gt;0)*(ROW(職員マスタ!$A$6:$A$405)-5))),IFERROR(MATCH($B829,職員マスタ!$A$6:$A$405,0),"")))</f>
        <v/>
      </c>
      <c r="AQ829" s="16">
        <f>IF(OR($B829="",$C829="",$D829=""),"",DATE($C829+2018,$D829,1))</f>
        <v/>
      </c>
    </row>
    <row r="830">
      <c r="A830" s="11" t="n"/>
      <c r="B830" s="12" t="n"/>
      <c r="C830" s="12" t="n"/>
      <c r="D830" s="12" t="n"/>
      <c r="E830" s="13" t="n"/>
      <c r="F830" s="12" t="n"/>
      <c r="G830" s="13" t="n"/>
      <c r="H830" s="12" t="n"/>
      <c r="I830" s="12" t="n"/>
      <c r="J830" s="12" t="n"/>
      <c r="K830" s="12" t="n"/>
      <c r="L830" s="11" t="n"/>
      <c r="M830" s="11" t="n"/>
      <c r="N830" s="11" t="n"/>
      <c r="O830" s="11" t="n"/>
      <c r="P830" s="12" t="n"/>
      <c r="Q830" s="11" t="n"/>
      <c r="R830" s="12" t="n"/>
      <c r="S830" s="11" t="n"/>
      <c r="T830" s="12" t="n"/>
      <c r="U830" s="12" t="n"/>
      <c r="V830" s="12" t="n"/>
      <c r="W830" s="13" t="n"/>
      <c r="X830" s="14">
        <f>IF($AP830="",IF($B830="","",$H830),IF(INDEX(職員マスタ!$B$6:$B$405,$AP830)="",$H830,INDEX(職員マスタ!$B$6:$B$405,$AP830)))</f>
        <v/>
      </c>
      <c r="Y830" s="14">
        <f>IF($AP830="",IF($B830="","",$R830),IF(INDEX(職員マスタ!$C$6:$C$405,$AP830)="",$R830,INDEX(職員マスタ!$C$6:$C$405,$AP830)))</f>
        <v/>
      </c>
      <c r="Z830" s="14">
        <f>IF($AQ830="","","R"&amp;$C830&amp;"."&amp;$D830)</f>
        <v/>
      </c>
      <c r="AA830" s="15">
        <f>IF(IF($AP830="",FALSE,INDEX(職員マスタ!$K$6:$K$405,$AP830)&lt;&gt;""),INDEX(職員マスタ!$K$6:$K$405,$AP830),IF(N($W830)&gt;0,$W830,""))</f>
        <v/>
      </c>
      <c r="AB830" s="14">
        <f>IF(OR($E830="",$AA830=""),"",IF($E830&gt;=$AA830,"×",IF($E830&gt;=$AA830*設定!$C$5,"△","○")))</f>
        <v/>
      </c>
      <c r="AC830" s="15">
        <f>IF($AB830="","",IF($AB830="×",0,IF($AB830="○",ROUNDDOWN($E830*設定!$C$4,0),ROUNDDOWN($E830*ROUND((9*$AA830-9*$E830)/(10*$E830),4),0))))</f>
        <v/>
      </c>
      <c r="AD830" s="13" t="n"/>
      <c r="AE830" s="15">
        <f>IF($B830="","",IF($AD830&lt;&gt;"",$AD830,IF($AC830="","",IF($AC830&lt;=設定!$C$3,0,$AC830))))</f>
        <v/>
      </c>
      <c r="AF830" s="14">
        <f>IF($B830="","",IF(AND($AG830&lt;&gt;"",$AI830="",$AL830=""),"保留中",IF($AL830&lt;&gt;"",IF(N($AE830)&gt;0,"支給済","不支給"),IF($AE830="","要確認",IF($AE830=0,"不支給","未処理")))))</f>
        <v/>
      </c>
      <c r="AG830" s="12" t="n"/>
      <c r="AH830" s="11" t="n"/>
      <c r="AI830" s="11" t="n"/>
      <c r="AJ830" s="11" t="n"/>
      <c r="AK830" s="14">
        <f>IF(AND($AF830="保留中",$AH830&lt;&gt;""),TODAY()-$AH830,"")</f>
        <v/>
      </c>
      <c r="AL830" s="12" t="n"/>
      <c r="AM830" s="14">
        <f>IF($B830="","",IF($AQ830="","対象年月が未入力／","")&amp;IF($B830="","",IF($AP830="","職員マスタに未登録の職員番号／",IF($AA830="","標準報酬月額が未登録／","")&amp;IF(AND($AQ830&lt;&gt;"",OR(AND(INDEX(職員マスタ!$G$6:$G$405,$AP830)&lt;&gt;"",INDEX(職員マスタ!$G$6:$G$405,$AP830)&gt;EOMONTH($AQ830,0)),AND(INDEX(職員マスタ!$H$6:$H$405,$AP830)&lt;&gt;"",INDEX(職員マスタ!$H$6:$H$405,$AP830)&lt;$AQ830))),"対象月が時短期間外／","")&amp;IF(AND(INDEX(職員マスタ!$K$6:$K$405,$AP830)&lt;&gt;"",N($W830)&gt;0,INDEX(職員マスタ!$K$6:$K$405,$AP830)&lt;&gt;$W830),"標準報酬月額が申請書と相違（台帳"&amp;TEXT(INDEX(職員マスタ!$K$6:$K$405,$AP830),"#,##0")&amp;"円／申請書"&amp;TEXT($W830,"#,##0")&amp;"円）／","")&amp;IF(AND(INDEX(職員マスタ!$F$6:$F$405,$AP830)&lt;&gt;"",$AQ830&lt;&gt;"",INDEX(職員マスタ!$F$6:$F$405,$AP830)&lt;$AQ830),"対象月に子が2歳到達済／","")&amp;IF(AND($H830&lt;&gt;"",INDEX(職員マスタ!$B$6:$B$405,$AP830)&lt;&gt;"",SUBSTITUTE(SUBSTITUTE($H830," ","")," ","")&lt;&gt;SUBSTITUTE(SUBSTITUTE(INDEX(職員マスタ!$B$6:$B$405,$AP830)," ","")," ","")),"氏名がマスタと相違／","")&amp;IF(AND($Q830&lt;&gt;"",INDEX(職員マスタ!$E$6:$E$405,$AP830)&lt;&gt;"",$Q830&lt;&gt;INDEX(職員マスタ!$E$6:$E$405,$AP830)),"子の生年月日がマスタと相違／","")&amp;IF(AND($L830&lt;&gt;"",INDEX(職員マスタ!$G$6:$G$405,$AP830)&lt;&gt;"",$L830&lt;&gt;INDEX(職員マスタ!$G$6:$G$405,$AP830)),"時短開始日がマスタと相違／","")&amp;IF(AND($M830&lt;&gt;"",INDEX(職員マスタ!$H$6:$H$405,$AP830)&lt;&gt;"",$M830&lt;&gt;INDEX(職員マスタ!$H$6:$H$405,$AP830)),"時短終了日がマスタと相違／","")))&amp;IF(AND($B830&lt;&gt;"",$E830=""),"報酬額が未入力／","")&amp;IF(N($U830)&gt;0,"申請書に入力エラーが残っています／","")&amp;IF(AND($B830&lt;&gt;"",$AQ830&lt;&gt;""),IF(COUNTIFS($B$6:$B$3005,$B830,$C$6:$C$3005,$C830,$D$6:$D$3005,$D830)&gt;1,"同じ月の請求が重複しています／",""),"")&amp;IF(AND(N($E830)&gt;0,$AB830&lt;&gt;"",$AB830&lt;&gt;"×",$AE830=0,$AD830=""),"計算額が下限以下のため不支給／",""))</f>
        <v/>
      </c>
      <c r="AN830" s="12" t="n"/>
      <c r="AO830" s="14">
        <f>IF($AF830="保留中",COUNTIF($AF$6:$AF830,"保留中"),"")</f>
        <v/>
      </c>
      <c r="AP830" s="14">
        <f>IF($AQ830="","",IF(SUMPRODUCT(MAX((職員マスタ!$A$6:$A$405=$B830)*(((職員マスタ!$G$6:$G$405="")+(職員マスタ!$G$6:$G$405&lt;=EOMONTH($AQ830,0)))&gt;0)*(((職員マスタ!$H$6:$H$405="")+(職員マスタ!$H$6:$H$405&gt;=$AQ830))&gt;0)*(ROW(職員マスタ!$A$6:$A$405)-5)))&gt;0,SUMPRODUCT(MAX((職員マスタ!$A$6:$A$405=$B830)*(((職員マスタ!$G$6:$G$405="")+(職員マスタ!$G$6:$G$405&lt;=EOMONTH($AQ830,0)))&gt;0)*(((職員マスタ!$H$6:$H$405="")+(職員マスタ!$H$6:$H$405&gt;=$AQ830))&gt;0)*(ROW(職員マスタ!$A$6:$A$405)-5))),IFERROR(MATCH($B830,職員マスタ!$A$6:$A$405,0),"")))</f>
        <v/>
      </c>
      <c r="AQ830" s="16">
        <f>IF(OR($B830="",$C830="",$D830=""),"",DATE($C830+2018,$D830,1))</f>
        <v/>
      </c>
    </row>
    <row r="831">
      <c r="A831" s="11" t="n"/>
      <c r="B831" s="12" t="n"/>
      <c r="C831" s="12" t="n"/>
      <c r="D831" s="12" t="n"/>
      <c r="E831" s="13" t="n"/>
      <c r="F831" s="12" t="n"/>
      <c r="G831" s="13" t="n"/>
      <c r="H831" s="12" t="n"/>
      <c r="I831" s="12" t="n"/>
      <c r="J831" s="12" t="n"/>
      <c r="K831" s="12" t="n"/>
      <c r="L831" s="11" t="n"/>
      <c r="M831" s="11" t="n"/>
      <c r="N831" s="11" t="n"/>
      <c r="O831" s="11" t="n"/>
      <c r="P831" s="12" t="n"/>
      <c r="Q831" s="11" t="n"/>
      <c r="R831" s="12" t="n"/>
      <c r="S831" s="11" t="n"/>
      <c r="T831" s="12" t="n"/>
      <c r="U831" s="12" t="n"/>
      <c r="V831" s="12" t="n"/>
      <c r="W831" s="13" t="n"/>
      <c r="X831" s="14">
        <f>IF($AP831="",IF($B831="","",$H831),IF(INDEX(職員マスタ!$B$6:$B$405,$AP831)="",$H831,INDEX(職員マスタ!$B$6:$B$405,$AP831)))</f>
        <v/>
      </c>
      <c r="Y831" s="14">
        <f>IF($AP831="",IF($B831="","",$R831),IF(INDEX(職員マスタ!$C$6:$C$405,$AP831)="",$R831,INDEX(職員マスタ!$C$6:$C$405,$AP831)))</f>
        <v/>
      </c>
      <c r="Z831" s="14">
        <f>IF($AQ831="","","R"&amp;$C831&amp;"."&amp;$D831)</f>
        <v/>
      </c>
      <c r="AA831" s="15">
        <f>IF(IF($AP831="",FALSE,INDEX(職員マスタ!$K$6:$K$405,$AP831)&lt;&gt;""),INDEX(職員マスタ!$K$6:$K$405,$AP831),IF(N($W831)&gt;0,$W831,""))</f>
        <v/>
      </c>
      <c r="AB831" s="14">
        <f>IF(OR($E831="",$AA831=""),"",IF($E831&gt;=$AA831,"×",IF($E831&gt;=$AA831*設定!$C$5,"△","○")))</f>
        <v/>
      </c>
      <c r="AC831" s="15">
        <f>IF($AB831="","",IF($AB831="×",0,IF($AB831="○",ROUNDDOWN($E831*設定!$C$4,0),ROUNDDOWN($E831*ROUND((9*$AA831-9*$E831)/(10*$E831),4),0))))</f>
        <v/>
      </c>
      <c r="AD831" s="13" t="n"/>
      <c r="AE831" s="15">
        <f>IF($B831="","",IF($AD831&lt;&gt;"",$AD831,IF($AC831="","",IF($AC831&lt;=設定!$C$3,0,$AC831))))</f>
        <v/>
      </c>
      <c r="AF831" s="14">
        <f>IF($B831="","",IF(AND($AG831&lt;&gt;"",$AI831="",$AL831=""),"保留中",IF($AL831&lt;&gt;"",IF(N($AE831)&gt;0,"支給済","不支給"),IF($AE831="","要確認",IF($AE831=0,"不支給","未処理")))))</f>
        <v/>
      </c>
      <c r="AG831" s="12" t="n"/>
      <c r="AH831" s="11" t="n"/>
      <c r="AI831" s="11" t="n"/>
      <c r="AJ831" s="11" t="n"/>
      <c r="AK831" s="14">
        <f>IF(AND($AF831="保留中",$AH831&lt;&gt;""),TODAY()-$AH831,"")</f>
        <v/>
      </c>
      <c r="AL831" s="12" t="n"/>
      <c r="AM831" s="14">
        <f>IF($B831="","",IF($AQ831="","対象年月が未入力／","")&amp;IF($B831="","",IF($AP831="","職員マスタに未登録の職員番号／",IF($AA831="","標準報酬月額が未登録／","")&amp;IF(AND($AQ831&lt;&gt;"",OR(AND(INDEX(職員マスタ!$G$6:$G$405,$AP831)&lt;&gt;"",INDEX(職員マスタ!$G$6:$G$405,$AP831)&gt;EOMONTH($AQ831,0)),AND(INDEX(職員マスタ!$H$6:$H$405,$AP831)&lt;&gt;"",INDEX(職員マスタ!$H$6:$H$405,$AP831)&lt;$AQ831))),"対象月が時短期間外／","")&amp;IF(AND(INDEX(職員マスタ!$K$6:$K$405,$AP831)&lt;&gt;"",N($W831)&gt;0,INDEX(職員マスタ!$K$6:$K$405,$AP831)&lt;&gt;$W831),"標準報酬月額が申請書と相違（台帳"&amp;TEXT(INDEX(職員マスタ!$K$6:$K$405,$AP831),"#,##0")&amp;"円／申請書"&amp;TEXT($W831,"#,##0")&amp;"円）／","")&amp;IF(AND(INDEX(職員マスタ!$F$6:$F$405,$AP831)&lt;&gt;"",$AQ831&lt;&gt;"",INDEX(職員マスタ!$F$6:$F$405,$AP831)&lt;$AQ831),"対象月に子が2歳到達済／","")&amp;IF(AND($H831&lt;&gt;"",INDEX(職員マスタ!$B$6:$B$405,$AP831)&lt;&gt;"",SUBSTITUTE(SUBSTITUTE($H831," ","")," ","")&lt;&gt;SUBSTITUTE(SUBSTITUTE(INDEX(職員マスタ!$B$6:$B$405,$AP831)," ","")," ","")),"氏名がマスタと相違／","")&amp;IF(AND($Q831&lt;&gt;"",INDEX(職員マスタ!$E$6:$E$405,$AP831)&lt;&gt;"",$Q831&lt;&gt;INDEX(職員マスタ!$E$6:$E$405,$AP831)),"子の生年月日がマスタと相違／","")&amp;IF(AND($L831&lt;&gt;"",INDEX(職員マスタ!$G$6:$G$405,$AP831)&lt;&gt;"",$L831&lt;&gt;INDEX(職員マスタ!$G$6:$G$405,$AP831)),"時短開始日がマスタと相違／","")&amp;IF(AND($M831&lt;&gt;"",INDEX(職員マスタ!$H$6:$H$405,$AP831)&lt;&gt;"",$M831&lt;&gt;INDEX(職員マスタ!$H$6:$H$405,$AP831)),"時短終了日がマスタと相違／","")))&amp;IF(AND($B831&lt;&gt;"",$E831=""),"報酬額が未入力／","")&amp;IF(N($U831)&gt;0,"申請書に入力エラーが残っています／","")&amp;IF(AND($B831&lt;&gt;"",$AQ831&lt;&gt;""),IF(COUNTIFS($B$6:$B$3005,$B831,$C$6:$C$3005,$C831,$D$6:$D$3005,$D831)&gt;1,"同じ月の請求が重複しています／",""),"")&amp;IF(AND(N($E831)&gt;0,$AB831&lt;&gt;"",$AB831&lt;&gt;"×",$AE831=0,$AD831=""),"計算額が下限以下のため不支給／",""))</f>
        <v/>
      </c>
      <c r="AN831" s="12" t="n"/>
      <c r="AO831" s="14">
        <f>IF($AF831="保留中",COUNTIF($AF$6:$AF831,"保留中"),"")</f>
        <v/>
      </c>
      <c r="AP831" s="14">
        <f>IF($AQ831="","",IF(SUMPRODUCT(MAX((職員マスタ!$A$6:$A$405=$B831)*(((職員マスタ!$G$6:$G$405="")+(職員マスタ!$G$6:$G$405&lt;=EOMONTH($AQ831,0)))&gt;0)*(((職員マスタ!$H$6:$H$405="")+(職員マスタ!$H$6:$H$405&gt;=$AQ831))&gt;0)*(ROW(職員マスタ!$A$6:$A$405)-5)))&gt;0,SUMPRODUCT(MAX((職員マスタ!$A$6:$A$405=$B831)*(((職員マスタ!$G$6:$G$405="")+(職員マスタ!$G$6:$G$405&lt;=EOMONTH($AQ831,0)))&gt;0)*(((職員マスタ!$H$6:$H$405="")+(職員マスタ!$H$6:$H$405&gt;=$AQ831))&gt;0)*(ROW(職員マスタ!$A$6:$A$405)-5))),IFERROR(MATCH($B831,職員マスタ!$A$6:$A$405,0),"")))</f>
        <v/>
      </c>
      <c r="AQ831" s="16">
        <f>IF(OR($B831="",$C831="",$D831=""),"",DATE($C831+2018,$D831,1))</f>
        <v/>
      </c>
    </row>
    <row r="832">
      <c r="A832" s="11" t="n"/>
      <c r="B832" s="12" t="n"/>
      <c r="C832" s="12" t="n"/>
      <c r="D832" s="12" t="n"/>
      <c r="E832" s="13" t="n"/>
      <c r="F832" s="12" t="n"/>
      <c r="G832" s="13" t="n"/>
      <c r="H832" s="12" t="n"/>
      <c r="I832" s="12" t="n"/>
      <c r="J832" s="12" t="n"/>
      <c r="K832" s="12" t="n"/>
      <c r="L832" s="11" t="n"/>
      <c r="M832" s="11" t="n"/>
      <c r="N832" s="11" t="n"/>
      <c r="O832" s="11" t="n"/>
      <c r="P832" s="12" t="n"/>
      <c r="Q832" s="11" t="n"/>
      <c r="R832" s="12" t="n"/>
      <c r="S832" s="11" t="n"/>
      <c r="T832" s="12" t="n"/>
      <c r="U832" s="12" t="n"/>
      <c r="V832" s="12" t="n"/>
      <c r="W832" s="13" t="n"/>
      <c r="X832" s="14">
        <f>IF($AP832="",IF($B832="","",$H832),IF(INDEX(職員マスタ!$B$6:$B$405,$AP832)="",$H832,INDEX(職員マスタ!$B$6:$B$405,$AP832)))</f>
        <v/>
      </c>
      <c r="Y832" s="14">
        <f>IF($AP832="",IF($B832="","",$R832),IF(INDEX(職員マスタ!$C$6:$C$405,$AP832)="",$R832,INDEX(職員マスタ!$C$6:$C$405,$AP832)))</f>
        <v/>
      </c>
      <c r="Z832" s="14">
        <f>IF($AQ832="","","R"&amp;$C832&amp;"."&amp;$D832)</f>
        <v/>
      </c>
      <c r="AA832" s="15">
        <f>IF(IF($AP832="",FALSE,INDEX(職員マスタ!$K$6:$K$405,$AP832)&lt;&gt;""),INDEX(職員マスタ!$K$6:$K$405,$AP832),IF(N($W832)&gt;0,$W832,""))</f>
        <v/>
      </c>
      <c r="AB832" s="14">
        <f>IF(OR($E832="",$AA832=""),"",IF($E832&gt;=$AA832,"×",IF($E832&gt;=$AA832*設定!$C$5,"△","○")))</f>
        <v/>
      </c>
      <c r="AC832" s="15">
        <f>IF($AB832="","",IF($AB832="×",0,IF($AB832="○",ROUNDDOWN($E832*設定!$C$4,0),ROUNDDOWN($E832*ROUND((9*$AA832-9*$E832)/(10*$E832),4),0))))</f>
        <v/>
      </c>
      <c r="AD832" s="13" t="n"/>
      <c r="AE832" s="15">
        <f>IF($B832="","",IF($AD832&lt;&gt;"",$AD832,IF($AC832="","",IF($AC832&lt;=設定!$C$3,0,$AC832))))</f>
        <v/>
      </c>
      <c r="AF832" s="14">
        <f>IF($B832="","",IF(AND($AG832&lt;&gt;"",$AI832="",$AL832=""),"保留中",IF($AL832&lt;&gt;"",IF(N($AE832)&gt;0,"支給済","不支給"),IF($AE832="","要確認",IF($AE832=0,"不支給","未処理")))))</f>
        <v/>
      </c>
      <c r="AG832" s="12" t="n"/>
      <c r="AH832" s="11" t="n"/>
      <c r="AI832" s="11" t="n"/>
      <c r="AJ832" s="11" t="n"/>
      <c r="AK832" s="14">
        <f>IF(AND($AF832="保留中",$AH832&lt;&gt;""),TODAY()-$AH832,"")</f>
        <v/>
      </c>
      <c r="AL832" s="12" t="n"/>
      <c r="AM832" s="14">
        <f>IF($B832="","",IF($AQ832="","対象年月が未入力／","")&amp;IF($B832="","",IF($AP832="","職員マスタに未登録の職員番号／",IF($AA832="","標準報酬月額が未登録／","")&amp;IF(AND($AQ832&lt;&gt;"",OR(AND(INDEX(職員マスタ!$G$6:$G$405,$AP832)&lt;&gt;"",INDEX(職員マスタ!$G$6:$G$405,$AP832)&gt;EOMONTH($AQ832,0)),AND(INDEX(職員マスタ!$H$6:$H$405,$AP832)&lt;&gt;"",INDEX(職員マスタ!$H$6:$H$405,$AP832)&lt;$AQ832))),"対象月が時短期間外／","")&amp;IF(AND(INDEX(職員マスタ!$K$6:$K$405,$AP832)&lt;&gt;"",N($W832)&gt;0,INDEX(職員マスタ!$K$6:$K$405,$AP832)&lt;&gt;$W832),"標準報酬月額が申請書と相違（台帳"&amp;TEXT(INDEX(職員マスタ!$K$6:$K$405,$AP832),"#,##0")&amp;"円／申請書"&amp;TEXT($W832,"#,##0")&amp;"円）／","")&amp;IF(AND(INDEX(職員マスタ!$F$6:$F$405,$AP832)&lt;&gt;"",$AQ832&lt;&gt;"",INDEX(職員マスタ!$F$6:$F$405,$AP832)&lt;$AQ832),"対象月に子が2歳到達済／","")&amp;IF(AND($H832&lt;&gt;"",INDEX(職員マスタ!$B$6:$B$405,$AP832)&lt;&gt;"",SUBSTITUTE(SUBSTITUTE($H832," ","")," ","")&lt;&gt;SUBSTITUTE(SUBSTITUTE(INDEX(職員マスタ!$B$6:$B$405,$AP832)," ","")," ","")),"氏名がマスタと相違／","")&amp;IF(AND($Q832&lt;&gt;"",INDEX(職員マスタ!$E$6:$E$405,$AP832)&lt;&gt;"",$Q832&lt;&gt;INDEX(職員マスタ!$E$6:$E$405,$AP832)),"子の生年月日がマスタと相違／","")&amp;IF(AND($L832&lt;&gt;"",INDEX(職員マスタ!$G$6:$G$405,$AP832)&lt;&gt;"",$L832&lt;&gt;INDEX(職員マスタ!$G$6:$G$405,$AP832)),"時短開始日がマスタと相違／","")&amp;IF(AND($M832&lt;&gt;"",INDEX(職員マスタ!$H$6:$H$405,$AP832)&lt;&gt;"",$M832&lt;&gt;INDEX(職員マスタ!$H$6:$H$405,$AP832)),"時短終了日がマスタと相違／","")))&amp;IF(AND($B832&lt;&gt;"",$E832=""),"報酬額が未入力／","")&amp;IF(N($U832)&gt;0,"申請書に入力エラーが残っています／","")&amp;IF(AND($B832&lt;&gt;"",$AQ832&lt;&gt;""),IF(COUNTIFS($B$6:$B$3005,$B832,$C$6:$C$3005,$C832,$D$6:$D$3005,$D832)&gt;1,"同じ月の請求が重複しています／",""),"")&amp;IF(AND(N($E832)&gt;0,$AB832&lt;&gt;"",$AB832&lt;&gt;"×",$AE832=0,$AD832=""),"計算額が下限以下のため不支給／",""))</f>
        <v/>
      </c>
      <c r="AN832" s="12" t="n"/>
      <c r="AO832" s="14">
        <f>IF($AF832="保留中",COUNTIF($AF$6:$AF832,"保留中"),"")</f>
        <v/>
      </c>
      <c r="AP832" s="14">
        <f>IF($AQ832="","",IF(SUMPRODUCT(MAX((職員マスタ!$A$6:$A$405=$B832)*(((職員マスタ!$G$6:$G$405="")+(職員マスタ!$G$6:$G$405&lt;=EOMONTH($AQ832,0)))&gt;0)*(((職員マスタ!$H$6:$H$405="")+(職員マスタ!$H$6:$H$405&gt;=$AQ832))&gt;0)*(ROW(職員マスタ!$A$6:$A$405)-5)))&gt;0,SUMPRODUCT(MAX((職員マスタ!$A$6:$A$405=$B832)*(((職員マスタ!$G$6:$G$405="")+(職員マスタ!$G$6:$G$405&lt;=EOMONTH($AQ832,0)))&gt;0)*(((職員マスタ!$H$6:$H$405="")+(職員マスタ!$H$6:$H$405&gt;=$AQ832))&gt;0)*(ROW(職員マスタ!$A$6:$A$405)-5))),IFERROR(MATCH($B832,職員マスタ!$A$6:$A$405,0),"")))</f>
        <v/>
      </c>
      <c r="AQ832" s="16">
        <f>IF(OR($B832="",$C832="",$D832=""),"",DATE($C832+2018,$D832,1))</f>
        <v/>
      </c>
    </row>
    <row r="833">
      <c r="A833" s="11" t="n"/>
      <c r="B833" s="12" t="n"/>
      <c r="C833" s="12" t="n"/>
      <c r="D833" s="12" t="n"/>
      <c r="E833" s="13" t="n"/>
      <c r="F833" s="12" t="n"/>
      <c r="G833" s="13" t="n"/>
      <c r="H833" s="12" t="n"/>
      <c r="I833" s="12" t="n"/>
      <c r="J833" s="12" t="n"/>
      <c r="K833" s="12" t="n"/>
      <c r="L833" s="11" t="n"/>
      <c r="M833" s="11" t="n"/>
      <c r="N833" s="11" t="n"/>
      <c r="O833" s="11" t="n"/>
      <c r="P833" s="12" t="n"/>
      <c r="Q833" s="11" t="n"/>
      <c r="R833" s="12" t="n"/>
      <c r="S833" s="11" t="n"/>
      <c r="T833" s="12" t="n"/>
      <c r="U833" s="12" t="n"/>
      <c r="V833" s="12" t="n"/>
      <c r="W833" s="13" t="n"/>
      <c r="X833" s="14">
        <f>IF($AP833="",IF($B833="","",$H833),IF(INDEX(職員マスタ!$B$6:$B$405,$AP833)="",$H833,INDEX(職員マスタ!$B$6:$B$405,$AP833)))</f>
        <v/>
      </c>
      <c r="Y833" s="14">
        <f>IF($AP833="",IF($B833="","",$R833),IF(INDEX(職員マスタ!$C$6:$C$405,$AP833)="",$R833,INDEX(職員マスタ!$C$6:$C$405,$AP833)))</f>
        <v/>
      </c>
      <c r="Z833" s="14">
        <f>IF($AQ833="","","R"&amp;$C833&amp;"."&amp;$D833)</f>
        <v/>
      </c>
      <c r="AA833" s="15">
        <f>IF(IF($AP833="",FALSE,INDEX(職員マスタ!$K$6:$K$405,$AP833)&lt;&gt;""),INDEX(職員マスタ!$K$6:$K$405,$AP833),IF(N($W833)&gt;0,$W833,""))</f>
        <v/>
      </c>
      <c r="AB833" s="14">
        <f>IF(OR($E833="",$AA833=""),"",IF($E833&gt;=$AA833,"×",IF($E833&gt;=$AA833*設定!$C$5,"△","○")))</f>
        <v/>
      </c>
      <c r="AC833" s="15">
        <f>IF($AB833="","",IF($AB833="×",0,IF($AB833="○",ROUNDDOWN($E833*設定!$C$4,0),ROUNDDOWN($E833*ROUND((9*$AA833-9*$E833)/(10*$E833),4),0))))</f>
        <v/>
      </c>
      <c r="AD833" s="13" t="n"/>
      <c r="AE833" s="15">
        <f>IF($B833="","",IF($AD833&lt;&gt;"",$AD833,IF($AC833="","",IF($AC833&lt;=設定!$C$3,0,$AC833))))</f>
        <v/>
      </c>
      <c r="AF833" s="14">
        <f>IF($B833="","",IF(AND($AG833&lt;&gt;"",$AI833="",$AL833=""),"保留中",IF($AL833&lt;&gt;"",IF(N($AE833)&gt;0,"支給済","不支給"),IF($AE833="","要確認",IF($AE833=0,"不支給","未処理")))))</f>
        <v/>
      </c>
      <c r="AG833" s="12" t="n"/>
      <c r="AH833" s="11" t="n"/>
      <c r="AI833" s="11" t="n"/>
      <c r="AJ833" s="11" t="n"/>
      <c r="AK833" s="14">
        <f>IF(AND($AF833="保留中",$AH833&lt;&gt;""),TODAY()-$AH833,"")</f>
        <v/>
      </c>
      <c r="AL833" s="12" t="n"/>
      <c r="AM833" s="14">
        <f>IF($B833="","",IF($AQ833="","対象年月が未入力／","")&amp;IF($B833="","",IF($AP833="","職員マスタに未登録の職員番号／",IF($AA833="","標準報酬月額が未登録／","")&amp;IF(AND($AQ833&lt;&gt;"",OR(AND(INDEX(職員マスタ!$G$6:$G$405,$AP833)&lt;&gt;"",INDEX(職員マスタ!$G$6:$G$405,$AP833)&gt;EOMONTH($AQ833,0)),AND(INDEX(職員マスタ!$H$6:$H$405,$AP833)&lt;&gt;"",INDEX(職員マスタ!$H$6:$H$405,$AP833)&lt;$AQ833))),"対象月が時短期間外／","")&amp;IF(AND(INDEX(職員マスタ!$K$6:$K$405,$AP833)&lt;&gt;"",N($W833)&gt;0,INDEX(職員マスタ!$K$6:$K$405,$AP833)&lt;&gt;$W833),"標準報酬月額が申請書と相違（台帳"&amp;TEXT(INDEX(職員マスタ!$K$6:$K$405,$AP833),"#,##0")&amp;"円／申請書"&amp;TEXT($W833,"#,##0")&amp;"円）／","")&amp;IF(AND(INDEX(職員マスタ!$F$6:$F$405,$AP833)&lt;&gt;"",$AQ833&lt;&gt;"",INDEX(職員マスタ!$F$6:$F$405,$AP833)&lt;$AQ833),"対象月に子が2歳到達済／","")&amp;IF(AND($H833&lt;&gt;"",INDEX(職員マスタ!$B$6:$B$405,$AP833)&lt;&gt;"",SUBSTITUTE(SUBSTITUTE($H833," ","")," ","")&lt;&gt;SUBSTITUTE(SUBSTITUTE(INDEX(職員マスタ!$B$6:$B$405,$AP833)," ","")," ","")),"氏名がマスタと相違／","")&amp;IF(AND($Q833&lt;&gt;"",INDEX(職員マスタ!$E$6:$E$405,$AP833)&lt;&gt;"",$Q833&lt;&gt;INDEX(職員マスタ!$E$6:$E$405,$AP833)),"子の生年月日がマスタと相違／","")&amp;IF(AND($L833&lt;&gt;"",INDEX(職員マスタ!$G$6:$G$405,$AP833)&lt;&gt;"",$L833&lt;&gt;INDEX(職員マスタ!$G$6:$G$405,$AP833)),"時短開始日がマスタと相違／","")&amp;IF(AND($M833&lt;&gt;"",INDEX(職員マスタ!$H$6:$H$405,$AP833)&lt;&gt;"",$M833&lt;&gt;INDEX(職員マスタ!$H$6:$H$405,$AP833)),"時短終了日がマスタと相違／","")))&amp;IF(AND($B833&lt;&gt;"",$E833=""),"報酬額が未入力／","")&amp;IF(N($U833)&gt;0,"申請書に入力エラーが残っています／","")&amp;IF(AND($B833&lt;&gt;"",$AQ833&lt;&gt;""),IF(COUNTIFS($B$6:$B$3005,$B833,$C$6:$C$3005,$C833,$D$6:$D$3005,$D833)&gt;1,"同じ月の請求が重複しています／",""),"")&amp;IF(AND(N($E833)&gt;0,$AB833&lt;&gt;"",$AB833&lt;&gt;"×",$AE833=0,$AD833=""),"計算額が下限以下のため不支給／",""))</f>
        <v/>
      </c>
      <c r="AN833" s="12" t="n"/>
      <c r="AO833" s="14">
        <f>IF($AF833="保留中",COUNTIF($AF$6:$AF833,"保留中"),"")</f>
        <v/>
      </c>
      <c r="AP833" s="14">
        <f>IF($AQ833="","",IF(SUMPRODUCT(MAX((職員マスタ!$A$6:$A$405=$B833)*(((職員マスタ!$G$6:$G$405="")+(職員マスタ!$G$6:$G$405&lt;=EOMONTH($AQ833,0)))&gt;0)*(((職員マスタ!$H$6:$H$405="")+(職員マスタ!$H$6:$H$405&gt;=$AQ833))&gt;0)*(ROW(職員マスタ!$A$6:$A$405)-5)))&gt;0,SUMPRODUCT(MAX((職員マスタ!$A$6:$A$405=$B833)*(((職員マスタ!$G$6:$G$405="")+(職員マスタ!$G$6:$G$405&lt;=EOMONTH($AQ833,0)))&gt;0)*(((職員マスタ!$H$6:$H$405="")+(職員マスタ!$H$6:$H$405&gt;=$AQ833))&gt;0)*(ROW(職員マスタ!$A$6:$A$405)-5))),IFERROR(MATCH($B833,職員マスタ!$A$6:$A$405,0),"")))</f>
        <v/>
      </c>
      <c r="AQ833" s="16">
        <f>IF(OR($B833="",$C833="",$D833=""),"",DATE($C833+2018,$D833,1))</f>
        <v/>
      </c>
    </row>
    <row r="834">
      <c r="A834" s="11" t="n"/>
      <c r="B834" s="12" t="n"/>
      <c r="C834" s="12" t="n"/>
      <c r="D834" s="12" t="n"/>
      <c r="E834" s="13" t="n"/>
      <c r="F834" s="12" t="n"/>
      <c r="G834" s="13" t="n"/>
      <c r="H834" s="12" t="n"/>
      <c r="I834" s="12" t="n"/>
      <c r="J834" s="12" t="n"/>
      <c r="K834" s="12" t="n"/>
      <c r="L834" s="11" t="n"/>
      <c r="M834" s="11" t="n"/>
      <c r="N834" s="11" t="n"/>
      <c r="O834" s="11" t="n"/>
      <c r="P834" s="12" t="n"/>
      <c r="Q834" s="11" t="n"/>
      <c r="R834" s="12" t="n"/>
      <c r="S834" s="11" t="n"/>
      <c r="T834" s="12" t="n"/>
      <c r="U834" s="12" t="n"/>
      <c r="V834" s="12" t="n"/>
      <c r="W834" s="13" t="n"/>
      <c r="X834" s="14">
        <f>IF($AP834="",IF($B834="","",$H834),IF(INDEX(職員マスタ!$B$6:$B$405,$AP834)="",$H834,INDEX(職員マスタ!$B$6:$B$405,$AP834)))</f>
        <v/>
      </c>
      <c r="Y834" s="14">
        <f>IF($AP834="",IF($B834="","",$R834),IF(INDEX(職員マスタ!$C$6:$C$405,$AP834)="",$R834,INDEX(職員マスタ!$C$6:$C$405,$AP834)))</f>
        <v/>
      </c>
      <c r="Z834" s="14">
        <f>IF($AQ834="","","R"&amp;$C834&amp;"."&amp;$D834)</f>
        <v/>
      </c>
      <c r="AA834" s="15">
        <f>IF(IF($AP834="",FALSE,INDEX(職員マスタ!$K$6:$K$405,$AP834)&lt;&gt;""),INDEX(職員マスタ!$K$6:$K$405,$AP834),IF(N($W834)&gt;0,$W834,""))</f>
        <v/>
      </c>
      <c r="AB834" s="14">
        <f>IF(OR($E834="",$AA834=""),"",IF($E834&gt;=$AA834,"×",IF($E834&gt;=$AA834*設定!$C$5,"△","○")))</f>
        <v/>
      </c>
      <c r="AC834" s="15">
        <f>IF($AB834="","",IF($AB834="×",0,IF($AB834="○",ROUNDDOWN($E834*設定!$C$4,0),ROUNDDOWN($E834*ROUND((9*$AA834-9*$E834)/(10*$E834),4),0))))</f>
        <v/>
      </c>
      <c r="AD834" s="13" t="n"/>
      <c r="AE834" s="15">
        <f>IF($B834="","",IF($AD834&lt;&gt;"",$AD834,IF($AC834="","",IF($AC834&lt;=設定!$C$3,0,$AC834))))</f>
        <v/>
      </c>
      <c r="AF834" s="14">
        <f>IF($B834="","",IF(AND($AG834&lt;&gt;"",$AI834="",$AL834=""),"保留中",IF($AL834&lt;&gt;"",IF(N($AE834)&gt;0,"支給済","不支給"),IF($AE834="","要確認",IF($AE834=0,"不支給","未処理")))))</f>
        <v/>
      </c>
      <c r="AG834" s="12" t="n"/>
      <c r="AH834" s="11" t="n"/>
      <c r="AI834" s="11" t="n"/>
      <c r="AJ834" s="11" t="n"/>
      <c r="AK834" s="14">
        <f>IF(AND($AF834="保留中",$AH834&lt;&gt;""),TODAY()-$AH834,"")</f>
        <v/>
      </c>
      <c r="AL834" s="12" t="n"/>
      <c r="AM834" s="14">
        <f>IF($B834="","",IF($AQ834="","対象年月が未入力／","")&amp;IF($B834="","",IF($AP834="","職員マスタに未登録の職員番号／",IF($AA834="","標準報酬月額が未登録／","")&amp;IF(AND($AQ834&lt;&gt;"",OR(AND(INDEX(職員マスタ!$G$6:$G$405,$AP834)&lt;&gt;"",INDEX(職員マスタ!$G$6:$G$405,$AP834)&gt;EOMONTH($AQ834,0)),AND(INDEX(職員マスタ!$H$6:$H$405,$AP834)&lt;&gt;"",INDEX(職員マスタ!$H$6:$H$405,$AP834)&lt;$AQ834))),"対象月が時短期間外／","")&amp;IF(AND(INDEX(職員マスタ!$K$6:$K$405,$AP834)&lt;&gt;"",N($W834)&gt;0,INDEX(職員マスタ!$K$6:$K$405,$AP834)&lt;&gt;$W834),"標準報酬月額が申請書と相違（台帳"&amp;TEXT(INDEX(職員マスタ!$K$6:$K$405,$AP834),"#,##0")&amp;"円／申請書"&amp;TEXT($W834,"#,##0")&amp;"円）／","")&amp;IF(AND(INDEX(職員マスタ!$F$6:$F$405,$AP834)&lt;&gt;"",$AQ834&lt;&gt;"",INDEX(職員マスタ!$F$6:$F$405,$AP834)&lt;$AQ834),"対象月に子が2歳到達済／","")&amp;IF(AND($H834&lt;&gt;"",INDEX(職員マスタ!$B$6:$B$405,$AP834)&lt;&gt;"",SUBSTITUTE(SUBSTITUTE($H834," ","")," ","")&lt;&gt;SUBSTITUTE(SUBSTITUTE(INDEX(職員マスタ!$B$6:$B$405,$AP834)," ","")," ","")),"氏名がマスタと相違／","")&amp;IF(AND($Q834&lt;&gt;"",INDEX(職員マスタ!$E$6:$E$405,$AP834)&lt;&gt;"",$Q834&lt;&gt;INDEX(職員マスタ!$E$6:$E$405,$AP834)),"子の生年月日がマスタと相違／","")&amp;IF(AND($L834&lt;&gt;"",INDEX(職員マスタ!$G$6:$G$405,$AP834)&lt;&gt;"",$L834&lt;&gt;INDEX(職員マスタ!$G$6:$G$405,$AP834)),"時短開始日がマスタと相違／","")&amp;IF(AND($M834&lt;&gt;"",INDEX(職員マスタ!$H$6:$H$405,$AP834)&lt;&gt;"",$M834&lt;&gt;INDEX(職員マスタ!$H$6:$H$405,$AP834)),"時短終了日がマスタと相違／","")))&amp;IF(AND($B834&lt;&gt;"",$E834=""),"報酬額が未入力／","")&amp;IF(N($U834)&gt;0,"申請書に入力エラーが残っています／","")&amp;IF(AND($B834&lt;&gt;"",$AQ834&lt;&gt;""),IF(COUNTIFS($B$6:$B$3005,$B834,$C$6:$C$3005,$C834,$D$6:$D$3005,$D834)&gt;1,"同じ月の請求が重複しています／",""),"")&amp;IF(AND(N($E834)&gt;0,$AB834&lt;&gt;"",$AB834&lt;&gt;"×",$AE834=0,$AD834=""),"計算額が下限以下のため不支給／",""))</f>
        <v/>
      </c>
      <c r="AN834" s="12" t="n"/>
      <c r="AO834" s="14">
        <f>IF($AF834="保留中",COUNTIF($AF$6:$AF834,"保留中"),"")</f>
        <v/>
      </c>
      <c r="AP834" s="14">
        <f>IF($AQ834="","",IF(SUMPRODUCT(MAX((職員マスタ!$A$6:$A$405=$B834)*(((職員マスタ!$G$6:$G$405="")+(職員マスタ!$G$6:$G$405&lt;=EOMONTH($AQ834,0)))&gt;0)*(((職員マスタ!$H$6:$H$405="")+(職員マスタ!$H$6:$H$405&gt;=$AQ834))&gt;0)*(ROW(職員マスタ!$A$6:$A$405)-5)))&gt;0,SUMPRODUCT(MAX((職員マスタ!$A$6:$A$405=$B834)*(((職員マスタ!$G$6:$G$405="")+(職員マスタ!$G$6:$G$405&lt;=EOMONTH($AQ834,0)))&gt;0)*(((職員マスタ!$H$6:$H$405="")+(職員マスタ!$H$6:$H$405&gt;=$AQ834))&gt;0)*(ROW(職員マスタ!$A$6:$A$405)-5))),IFERROR(MATCH($B834,職員マスタ!$A$6:$A$405,0),"")))</f>
        <v/>
      </c>
      <c r="AQ834" s="16">
        <f>IF(OR($B834="",$C834="",$D834=""),"",DATE($C834+2018,$D834,1))</f>
        <v/>
      </c>
    </row>
    <row r="835">
      <c r="A835" s="11" t="n"/>
      <c r="B835" s="12" t="n"/>
      <c r="C835" s="12" t="n"/>
      <c r="D835" s="12" t="n"/>
      <c r="E835" s="13" t="n"/>
      <c r="F835" s="12" t="n"/>
      <c r="G835" s="13" t="n"/>
      <c r="H835" s="12" t="n"/>
      <c r="I835" s="12" t="n"/>
      <c r="J835" s="12" t="n"/>
      <c r="K835" s="12" t="n"/>
      <c r="L835" s="11" t="n"/>
      <c r="M835" s="11" t="n"/>
      <c r="N835" s="11" t="n"/>
      <c r="O835" s="11" t="n"/>
      <c r="P835" s="12" t="n"/>
      <c r="Q835" s="11" t="n"/>
      <c r="R835" s="12" t="n"/>
      <c r="S835" s="11" t="n"/>
      <c r="T835" s="12" t="n"/>
      <c r="U835" s="12" t="n"/>
      <c r="V835" s="12" t="n"/>
      <c r="W835" s="13" t="n"/>
      <c r="X835" s="14">
        <f>IF($AP835="",IF($B835="","",$H835),IF(INDEX(職員マスタ!$B$6:$B$405,$AP835)="",$H835,INDEX(職員マスタ!$B$6:$B$405,$AP835)))</f>
        <v/>
      </c>
      <c r="Y835" s="14">
        <f>IF($AP835="",IF($B835="","",$R835),IF(INDEX(職員マスタ!$C$6:$C$405,$AP835)="",$R835,INDEX(職員マスタ!$C$6:$C$405,$AP835)))</f>
        <v/>
      </c>
      <c r="Z835" s="14">
        <f>IF($AQ835="","","R"&amp;$C835&amp;"."&amp;$D835)</f>
        <v/>
      </c>
      <c r="AA835" s="15">
        <f>IF(IF($AP835="",FALSE,INDEX(職員マスタ!$K$6:$K$405,$AP835)&lt;&gt;""),INDEX(職員マスタ!$K$6:$K$405,$AP835),IF(N($W835)&gt;0,$W835,""))</f>
        <v/>
      </c>
      <c r="AB835" s="14">
        <f>IF(OR($E835="",$AA835=""),"",IF($E835&gt;=$AA835,"×",IF($E835&gt;=$AA835*設定!$C$5,"△","○")))</f>
        <v/>
      </c>
      <c r="AC835" s="15">
        <f>IF($AB835="","",IF($AB835="×",0,IF($AB835="○",ROUNDDOWN($E835*設定!$C$4,0),ROUNDDOWN($E835*ROUND((9*$AA835-9*$E835)/(10*$E835),4),0))))</f>
        <v/>
      </c>
      <c r="AD835" s="13" t="n"/>
      <c r="AE835" s="15">
        <f>IF($B835="","",IF($AD835&lt;&gt;"",$AD835,IF($AC835="","",IF($AC835&lt;=設定!$C$3,0,$AC835))))</f>
        <v/>
      </c>
      <c r="AF835" s="14">
        <f>IF($B835="","",IF(AND($AG835&lt;&gt;"",$AI835="",$AL835=""),"保留中",IF($AL835&lt;&gt;"",IF(N($AE835)&gt;0,"支給済","不支給"),IF($AE835="","要確認",IF($AE835=0,"不支給","未処理")))))</f>
        <v/>
      </c>
      <c r="AG835" s="12" t="n"/>
      <c r="AH835" s="11" t="n"/>
      <c r="AI835" s="11" t="n"/>
      <c r="AJ835" s="11" t="n"/>
      <c r="AK835" s="14">
        <f>IF(AND($AF835="保留中",$AH835&lt;&gt;""),TODAY()-$AH835,"")</f>
        <v/>
      </c>
      <c r="AL835" s="12" t="n"/>
      <c r="AM835" s="14">
        <f>IF($B835="","",IF($AQ835="","対象年月が未入力／","")&amp;IF($B835="","",IF($AP835="","職員マスタに未登録の職員番号／",IF($AA835="","標準報酬月額が未登録／","")&amp;IF(AND($AQ835&lt;&gt;"",OR(AND(INDEX(職員マスタ!$G$6:$G$405,$AP835)&lt;&gt;"",INDEX(職員マスタ!$G$6:$G$405,$AP835)&gt;EOMONTH($AQ835,0)),AND(INDEX(職員マスタ!$H$6:$H$405,$AP835)&lt;&gt;"",INDEX(職員マスタ!$H$6:$H$405,$AP835)&lt;$AQ835))),"対象月が時短期間外／","")&amp;IF(AND(INDEX(職員マスタ!$K$6:$K$405,$AP835)&lt;&gt;"",N($W835)&gt;0,INDEX(職員マスタ!$K$6:$K$405,$AP835)&lt;&gt;$W835),"標準報酬月額が申請書と相違（台帳"&amp;TEXT(INDEX(職員マスタ!$K$6:$K$405,$AP835),"#,##0")&amp;"円／申請書"&amp;TEXT($W835,"#,##0")&amp;"円）／","")&amp;IF(AND(INDEX(職員マスタ!$F$6:$F$405,$AP835)&lt;&gt;"",$AQ835&lt;&gt;"",INDEX(職員マスタ!$F$6:$F$405,$AP835)&lt;$AQ835),"対象月に子が2歳到達済／","")&amp;IF(AND($H835&lt;&gt;"",INDEX(職員マスタ!$B$6:$B$405,$AP835)&lt;&gt;"",SUBSTITUTE(SUBSTITUTE($H835," ","")," ","")&lt;&gt;SUBSTITUTE(SUBSTITUTE(INDEX(職員マスタ!$B$6:$B$405,$AP835)," ","")," ","")),"氏名がマスタと相違／","")&amp;IF(AND($Q835&lt;&gt;"",INDEX(職員マスタ!$E$6:$E$405,$AP835)&lt;&gt;"",$Q835&lt;&gt;INDEX(職員マスタ!$E$6:$E$405,$AP835)),"子の生年月日がマスタと相違／","")&amp;IF(AND($L835&lt;&gt;"",INDEX(職員マスタ!$G$6:$G$405,$AP835)&lt;&gt;"",$L835&lt;&gt;INDEX(職員マスタ!$G$6:$G$405,$AP835)),"時短開始日がマスタと相違／","")&amp;IF(AND($M835&lt;&gt;"",INDEX(職員マスタ!$H$6:$H$405,$AP835)&lt;&gt;"",$M835&lt;&gt;INDEX(職員マスタ!$H$6:$H$405,$AP835)),"時短終了日がマスタと相違／","")))&amp;IF(AND($B835&lt;&gt;"",$E835=""),"報酬額が未入力／","")&amp;IF(N($U835)&gt;0,"申請書に入力エラーが残っています／","")&amp;IF(AND($B835&lt;&gt;"",$AQ835&lt;&gt;""),IF(COUNTIFS($B$6:$B$3005,$B835,$C$6:$C$3005,$C835,$D$6:$D$3005,$D835)&gt;1,"同じ月の請求が重複しています／",""),"")&amp;IF(AND(N($E835)&gt;0,$AB835&lt;&gt;"",$AB835&lt;&gt;"×",$AE835=0,$AD835=""),"計算額が下限以下のため不支給／",""))</f>
        <v/>
      </c>
      <c r="AN835" s="12" t="n"/>
      <c r="AO835" s="14">
        <f>IF($AF835="保留中",COUNTIF($AF$6:$AF835,"保留中"),"")</f>
        <v/>
      </c>
      <c r="AP835" s="14">
        <f>IF($AQ835="","",IF(SUMPRODUCT(MAX((職員マスタ!$A$6:$A$405=$B835)*(((職員マスタ!$G$6:$G$405="")+(職員マスタ!$G$6:$G$405&lt;=EOMONTH($AQ835,0)))&gt;0)*(((職員マスタ!$H$6:$H$405="")+(職員マスタ!$H$6:$H$405&gt;=$AQ835))&gt;0)*(ROW(職員マスタ!$A$6:$A$405)-5)))&gt;0,SUMPRODUCT(MAX((職員マスタ!$A$6:$A$405=$B835)*(((職員マスタ!$G$6:$G$405="")+(職員マスタ!$G$6:$G$405&lt;=EOMONTH($AQ835,0)))&gt;0)*(((職員マスタ!$H$6:$H$405="")+(職員マスタ!$H$6:$H$405&gt;=$AQ835))&gt;0)*(ROW(職員マスタ!$A$6:$A$405)-5))),IFERROR(MATCH($B835,職員マスタ!$A$6:$A$405,0),"")))</f>
        <v/>
      </c>
      <c r="AQ835" s="16">
        <f>IF(OR($B835="",$C835="",$D835=""),"",DATE($C835+2018,$D835,1))</f>
        <v/>
      </c>
    </row>
    <row r="836">
      <c r="A836" s="11" t="n"/>
      <c r="B836" s="12" t="n"/>
      <c r="C836" s="12" t="n"/>
      <c r="D836" s="12" t="n"/>
      <c r="E836" s="13" t="n"/>
      <c r="F836" s="12" t="n"/>
      <c r="G836" s="13" t="n"/>
      <c r="H836" s="12" t="n"/>
      <c r="I836" s="12" t="n"/>
      <c r="J836" s="12" t="n"/>
      <c r="K836" s="12" t="n"/>
      <c r="L836" s="11" t="n"/>
      <c r="M836" s="11" t="n"/>
      <c r="N836" s="11" t="n"/>
      <c r="O836" s="11" t="n"/>
      <c r="P836" s="12" t="n"/>
      <c r="Q836" s="11" t="n"/>
      <c r="R836" s="12" t="n"/>
      <c r="S836" s="11" t="n"/>
      <c r="T836" s="12" t="n"/>
      <c r="U836" s="12" t="n"/>
      <c r="V836" s="12" t="n"/>
      <c r="W836" s="13" t="n"/>
      <c r="X836" s="14">
        <f>IF($AP836="",IF($B836="","",$H836),IF(INDEX(職員マスタ!$B$6:$B$405,$AP836)="",$H836,INDEX(職員マスタ!$B$6:$B$405,$AP836)))</f>
        <v/>
      </c>
      <c r="Y836" s="14">
        <f>IF($AP836="",IF($B836="","",$R836),IF(INDEX(職員マスタ!$C$6:$C$405,$AP836)="",$R836,INDEX(職員マスタ!$C$6:$C$405,$AP836)))</f>
        <v/>
      </c>
      <c r="Z836" s="14">
        <f>IF($AQ836="","","R"&amp;$C836&amp;"."&amp;$D836)</f>
        <v/>
      </c>
      <c r="AA836" s="15">
        <f>IF(IF($AP836="",FALSE,INDEX(職員マスタ!$K$6:$K$405,$AP836)&lt;&gt;""),INDEX(職員マスタ!$K$6:$K$405,$AP836),IF(N($W836)&gt;0,$W836,""))</f>
        <v/>
      </c>
      <c r="AB836" s="14">
        <f>IF(OR($E836="",$AA836=""),"",IF($E836&gt;=$AA836,"×",IF($E836&gt;=$AA836*設定!$C$5,"△","○")))</f>
        <v/>
      </c>
      <c r="AC836" s="15">
        <f>IF($AB836="","",IF($AB836="×",0,IF($AB836="○",ROUNDDOWN($E836*設定!$C$4,0),ROUNDDOWN($E836*ROUND((9*$AA836-9*$E836)/(10*$E836),4),0))))</f>
        <v/>
      </c>
      <c r="AD836" s="13" t="n"/>
      <c r="AE836" s="15">
        <f>IF($B836="","",IF($AD836&lt;&gt;"",$AD836,IF($AC836="","",IF($AC836&lt;=設定!$C$3,0,$AC836))))</f>
        <v/>
      </c>
      <c r="AF836" s="14">
        <f>IF($B836="","",IF(AND($AG836&lt;&gt;"",$AI836="",$AL836=""),"保留中",IF($AL836&lt;&gt;"",IF(N($AE836)&gt;0,"支給済","不支給"),IF($AE836="","要確認",IF($AE836=0,"不支給","未処理")))))</f>
        <v/>
      </c>
      <c r="AG836" s="12" t="n"/>
      <c r="AH836" s="11" t="n"/>
      <c r="AI836" s="11" t="n"/>
      <c r="AJ836" s="11" t="n"/>
      <c r="AK836" s="14">
        <f>IF(AND($AF836="保留中",$AH836&lt;&gt;""),TODAY()-$AH836,"")</f>
        <v/>
      </c>
      <c r="AL836" s="12" t="n"/>
      <c r="AM836" s="14">
        <f>IF($B836="","",IF($AQ836="","対象年月が未入力／","")&amp;IF($B836="","",IF($AP836="","職員マスタに未登録の職員番号／",IF($AA836="","標準報酬月額が未登録／","")&amp;IF(AND($AQ836&lt;&gt;"",OR(AND(INDEX(職員マスタ!$G$6:$G$405,$AP836)&lt;&gt;"",INDEX(職員マスタ!$G$6:$G$405,$AP836)&gt;EOMONTH($AQ836,0)),AND(INDEX(職員マスタ!$H$6:$H$405,$AP836)&lt;&gt;"",INDEX(職員マスタ!$H$6:$H$405,$AP836)&lt;$AQ836))),"対象月が時短期間外／","")&amp;IF(AND(INDEX(職員マスタ!$K$6:$K$405,$AP836)&lt;&gt;"",N($W836)&gt;0,INDEX(職員マスタ!$K$6:$K$405,$AP836)&lt;&gt;$W836),"標準報酬月額が申請書と相違（台帳"&amp;TEXT(INDEX(職員マスタ!$K$6:$K$405,$AP836),"#,##0")&amp;"円／申請書"&amp;TEXT($W836,"#,##0")&amp;"円）／","")&amp;IF(AND(INDEX(職員マスタ!$F$6:$F$405,$AP836)&lt;&gt;"",$AQ836&lt;&gt;"",INDEX(職員マスタ!$F$6:$F$405,$AP836)&lt;$AQ836),"対象月に子が2歳到達済／","")&amp;IF(AND($H836&lt;&gt;"",INDEX(職員マスタ!$B$6:$B$405,$AP836)&lt;&gt;"",SUBSTITUTE(SUBSTITUTE($H836," ","")," ","")&lt;&gt;SUBSTITUTE(SUBSTITUTE(INDEX(職員マスタ!$B$6:$B$405,$AP836)," ","")," ","")),"氏名がマスタと相違／","")&amp;IF(AND($Q836&lt;&gt;"",INDEX(職員マスタ!$E$6:$E$405,$AP836)&lt;&gt;"",$Q836&lt;&gt;INDEX(職員マスタ!$E$6:$E$405,$AP836)),"子の生年月日がマスタと相違／","")&amp;IF(AND($L836&lt;&gt;"",INDEX(職員マスタ!$G$6:$G$405,$AP836)&lt;&gt;"",$L836&lt;&gt;INDEX(職員マスタ!$G$6:$G$405,$AP836)),"時短開始日がマスタと相違／","")&amp;IF(AND($M836&lt;&gt;"",INDEX(職員マスタ!$H$6:$H$405,$AP836)&lt;&gt;"",$M836&lt;&gt;INDEX(職員マスタ!$H$6:$H$405,$AP836)),"時短終了日がマスタと相違／","")))&amp;IF(AND($B836&lt;&gt;"",$E836=""),"報酬額が未入力／","")&amp;IF(N($U836)&gt;0,"申請書に入力エラーが残っています／","")&amp;IF(AND($B836&lt;&gt;"",$AQ836&lt;&gt;""),IF(COUNTIFS($B$6:$B$3005,$B836,$C$6:$C$3005,$C836,$D$6:$D$3005,$D836)&gt;1,"同じ月の請求が重複しています／",""),"")&amp;IF(AND(N($E836)&gt;0,$AB836&lt;&gt;"",$AB836&lt;&gt;"×",$AE836=0,$AD836=""),"計算額が下限以下のため不支給／",""))</f>
        <v/>
      </c>
      <c r="AN836" s="12" t="n"/>
      <c r="AO836" s="14">
        <f>IF($AF836="保留中",COUNTIF($AF$6:$AF836,"保留中"),"")</f>
        <v/>
      </c>
      <c r="AP836" s="14">
        <f>IF($AQ836="","",IF(SUMPRODUCT(MAX((職員マスタ!$A$6:$A$405=$B836)*(((職員マスタ!$G$6:$G$405="")+(職員マスタ!$G$6:$G$405&lt;=EOMONTH($AQ836,0)))&gt;0)*(((職員マスタ!$H$6:$H$405="")+(職員マスタ!$H$6:$H$405&gt;=$AQ836))&gt;0)*(ROW(職員マスタ!$A$6:$A$405)-5)))&gt;0,SUMPRODUCT(MAX((職員マスタ!$A$6:$A$405=$B836)*(((職員マスタ!$G$6:$G$405="")+(職員マスタ!$G$6:$G$405&lt;=EOMONTH($AQ836,0)))&gt;0)*(((職員マスタ!$H$6:$H$405="")+(職員マスタ!$H$6:$H$405&gt;=$AQ836))&gt;0)*(ROW(職員マスタ!$A$6:$A$405)-5))),IFERROR(MATCH($B836,職員マスタ!$A$6:$A$405,0),"")))</f>
        <v/>
      </c>
      <c r="AQ836" s="16">
        <f>IF(OR($B836="",$C836="",$D836=""),"",DATE($C836+2018,$D836,1))</f>
        <v/>
      </c>
    </row>
    <row r="837">
      <c r="A837" s="11" t="n"/>
      <c r="B837" s="12" t="n"/>
      <c r="C837" s="12" t="n"/>
      <c r="D837" s="12" t="n"/>
      <c r="E837" s="13" t="n"/>
      <c r="F837" s="12" t="n"/>
      <c r="G837" s="13" t="n"/>
      <c r="H837" s="12" t="n"/>
      <c r="I837" s="12" t="n"/>
      <c r="J837" s="12" t="n"/>
      <c r="K837" s="12" t="n"/>
      <c r="L837" s="11" t="n"/>
      <c r="M837" s="11" t="n"/>
      <c r="N837" s="11" t="n"/>
      <c r="O837" s="11" t="n"/>
      <c r="P837" s="12" t="n"/>
      <c r="Q837" s="11" t="n"/>
      <c r="R837" s="12" t="n"/>
      <c r="S837" s="11" t="n"/>
      <c r="T837" s="12" t="n"/>
      <c r="U837" s="12" t="n"/>
      <c r="V837" s="12" t="n"/>
      <c r="W837" s="13" t="n"/>
      <c r="X837" s="14">
        <f>IF($AP837="",IF($B837="","",$H837),IF(INDEX(職員マスタ!$B$6:$B$405,$AP837)="",$H837,INDEX(職員マスタ!$B$6:$B$405,$AP837)))</f>
        <v/>
      </c>
      <c r="Y837" s="14">
        <f>IF($AP837="",IF($B837="","",$R837),IF(INDEX(職員マスタ!$C$6:$C$405,$AP837)="",$R837,INDEX(職員マスタ!$C$6:$C$405,$AP837)))</f>
        <v/>
      </c>
      <c r="Z837" s="14">
        <f>IF($AQ837="","","R"&amp;$C837&amp;"."&amp;$D837)</f>
        <v/>
      </c>
      <c r="AA837" s="15">
        <f>IF(IF($AP837="",FALSE,INDEX(職員マスタ!$K$6:$K$405,$AP837)&lt;&gt;""),INDEX(職員マスタ!$K$6:$K$405,$AP837),IF(N($W837)&gt;0,$W837,""))</f>
        <v/>
      </c>
      <c r="AB837" s="14">
        <f>IF(OR($E837="",$AA837=""),"",IF($E837&gt;=$AA837,"×",IF($E837&gt;=$AA837*設定!$C$5,"△","○")))</f>
        <v/>
      </c>
      <c r="AC837" s="15">
        <f>IF($AB837="","",IF($AB837="×",0,IF($AB837="○",ROUNDDOWN($E837*設定!$C$4,0),ROUNDDOWN($E837*ROUND((9*$AA837-9*$E837)/(10*$E837),4),0))))</f>
        <v/>
      </c>
      <c r="AD837" s="13" t="n"/>
      <c r="AE837" s="15">
        <f>IF($B837="","",IF($AD837&lt;&gt;"",$AD837,IF($AC837="","",IF($AC837&lt;=設定!$C$3,0,$AC837))))</f>
        <v/>
      </c>
      <c r="AF837" s="14">
        <f>IF($B837="","",IF(AND($AG837&lt;&gt;"",$AI837="",$AL837=""),"保留中",IF($AL837&lt;&gt;"",IF(N($AE837)&gt;0,"支給済","不支給"),IF($AE837="","要確認",IF($AE837=0,"不支給","未処理")))))</f>
        <v/>
      </c>
      <c r="AG837" s="12" t="n"/>
      <c r="AH837" s="11" t="n"/>
      <c r="AI837" s="11" t="n"/>
      <c r="AJ837" s="11" t="n"/>
      <c r="AK837" s="14">
        <f>IF(AND($AF837="保留中",$AH837&lt;&gt;""),TODAY()-$AH837,"")</f>
        <v/>
      </c>
      <c r="AL837" s="12" t="n"/>
      <c r="AM837" s="14">
        <f>IF($B837="","",IF($AQ837="","対象年月が未入力／","")&amp;IF($B837="","",IF($AP837="","職員マスタに未登録の職員番号／",IF($AA837="","標準報酬月額が未登録／","")&amp;IF(AND($AQ837&lt;&gt;"",OR(AND(INDEX(職員マスタ!$G$6:$G$405,$AP837)&lt;&gt;"",INDEX(職員マスタ!$G$6:$G$405,$AP837)&gt;EOMONTH($AQ837,0)),AND(INDEX(職員マスタ!$H$6:$H$405,$AP837)&lt;&gt;"",INDEX(職員マスタ!$H$6:$H$405,$AP837)&lt;$AQ837))),"対象月が時短期間外／","")&amp;IF(AND(INDEX(職員マスタ!$K$6:$K$405,$AP837)&lt;&gt;"",N($W837)&gt;0,INDEX(職員マスタ!$K$6:$K$405,$AP837)&lt;&gt;$W837),"標準報酬月額が申請書と相違（台帳"&amp;TEXT(INDEX(職員マスタ!$K$6:$K$405,$AP837),"#,##0")&amp;"円／申請書"&amp;TEXT($W837,"#,##0")&amp;"円）／","")&amp;IF(AND(INDEX(職員マスタ!$F$6:$F$405,$AP837)&lt;&gt;"",$AQ837&lt;&gt;"",INDEX(職員マスタ!$F$6:$F$405,$AP837)&lt;$AQ837),"対象月に子が2歳到達済／","")&amp;IF(AND($H837&lt;&gt;"",INDEX(職員マスタ!$B$6:$B$405,$AP837)&lt;&gt;"",SUBSTITUTE(SUBSTITUTE($H837," ","")," ","")&lt;&gt;SUBSTITUTE(SUBSTITUTE(INDEX(職員マスタ!$B$6:$B$405,$AP837)," ","")," ","")),"氏名がマスタと相違／","")&amp;IF(AND($Q837&lt;&gt;"",INDEX(職員マスタ!$E$6:$E$405,$AP837)&lt;&gt;"",$Q837&lt;&gt;INDEX(職員マスタ!$E$6:$E$405,$AP837)),"子の生年月日がマスタと相違／","")&amp;IF(AND($L837&lt;&gt;"",INDEX(職員マスタ!$G$6:$G$405,$AP837)&lt;&gt;"",$L837&lt;&gt;INDEX(職員マスタ!$G$6:$G$405,$AP837)),"時短開始日がマスタと相違／","")&amp;IF(AND($M837&lt;&gt;"",INDEX(職員マスタ!$H$6:$H$405,$AP837)&lt;&gt;"",$M837&lt;&gt;INDEX(職員マスタ!$H$6:$H$405,$AP837)),"時短終了日がマスタと相違／","")))&amp;IF(AND($B837&lt;&gt;"",$E837=""),"報酬額が未入力／","")&amp;IF(N($U837)&gt;0,"申請書に入力エラーが残っています／","")&amp;IF(AND($B837&lt;&gt;"",$AQ837&lt;&gt;""),IF(COUNTIFS($B$6:$B$3005,$B837,$C$6:$C$3005,$C837,$D$6:$D$3005,$D837)&gt;1,"同じ月の請求が重複しています／",""),"")&amp;IF(AND(N($E837)&gt;0,$AB837&lt;&gt;"",$AB837&lt;&gt;"×",$AE837=0,$AD837=""),"計算額が下限以下のため不支給／",""))</f>
        <v/>
      </c>
      <c r="AN837" s="12" t="n"/>
      <c r="AO837" s="14">
        <f>IF($AF837="保留中",COUNTIF($AF$6:$AF837,"保留中"),"")</f>
        <v/>
      </c>
      <c r="AP837" s="14">
        <f>IF($AQ837="","",IF(SUMPRODUCT(MAX((職員マスタ!$A$6:$A$405=$B837)*(((職員マスタ!$G$6:$G$405="")+(職員マスタ!$G$6:$G$405&lt;=EOMONTH($AQ837,0)))&gt;0)*(((職員マスタ!$H$6:$H$405="")+(職員マスタ!$H$6:$H$405&gt;=$AQ837))&gt;0)*(ROW(職員マスタ!$A$6:$A$405)-5)))&gt;0,SUMPRODUCT(MAX((職員マスタ!$A$6:$A$405=$B837)*(((職員マスタ!$G$6:$G$405="")+(職員マスタ!$G$6:$G$405&lt;=EOMONTH($AQ837,0)))&gt;0)*(((職員マスタ!$H$6:$H$405="")+(職員マスタ!$H$6:$H$405&gt;=$AQ837))&gt;0)*(ROW(職員マスタ!$A$6:$A$405)-5))),IFERROR(MATCH($B837,職員マスタ!$A$6:$A$405,0),"")))</f>
        <v/>
      </c>
      <c r="AQ837" s="16">
        <f>IF(OR($B837="",$C837="",$D837=""),"",DATE($C837+2018,$D837,1))</f>
        <v/>
      </c>
    </row>
    <row r="838">
      <c r="A838" s="11" t="n"/>
      <c r="B838" s="12" t="n"/>
      <c r="C838" s="12" t="n"/>
      <c r="D838" s="12" t="n"/>
      <c r="E838" s="13" t="n"/>
      <c r="F838" s="12" t="n"/>
      <c r="G838" s="13" t="n"/>
      <c r="H838" s="12" t="n"/>
      <c r="I838" s="12" t="n"/>
      <c r="J838" s="12" t="n"/>
      <c r="K838" s="12" t="n"/>
      <c r="L838" s="11" t="n"/>
      <c r="M838" s="11" t="n"/>
      <c r="N838" s="11" t="n"/>
      <c r="O838" s="11" t="n"/>
      <c r="P838" s="12" t="n"/>
      <c r="Q838" s="11" t="n"/>
      <c r="R838" s="12" t="n"/>
      <c r="S838" s="11" t="n"/>
      <c r="T838" s="12" t="n"/>
      <c r="U838" s="12" t="n"/>
      <c r="V838" s="12" t="n"/>
      <c r="W838" s="13" t="n"/>
      <c r="X838" s="14">
        <f>IF($AP838="",IF($B838="","",$H838),IF(INDEX(職員マスタ!$B$6:$B$405,$AP838)="",$H838,INDEX(職員マスタ!$B$6:$B$405,$AP838)))</f>
        <v/>
      </c>
      <c r="Y838" s="14">
        <f>IF($AP838="",IF($B838="","",$R838),IF(INDEX(職員マスタ!$C$6:$C$405,$AP838)="",$R838,INDEX(職員マスタ!$C$6:$C$405,$AP838)))</f>
        <v/>
      </c>
      <c r="Z838" s="14">
        <f>IF($AQ838="","","R"&amp;$C838&amp;"."&amp;$D838)</f>
        <v/>
      </c>
      <c r="AA838" s="15">
        <f>IF(IF($AP838="",FALSE,INDEX(職員マスタ!$K$6:$K$405,$AP838)&lt;&gt;""),INDEX(職員マスタ!$K$6:$K$405,$AP838),IF(N($W838)&gt;0,$W838,""))</f>
        <v/>
      </c>
      <c r="AB838" s="14">
        <f>IF(OR($E838="",$AA838=""),"",IF($E838&gt;=$AA838,"×",IF($E838&gt;=$AA838*設定!$C$5,"△","○")))</f>
        <v/>
      </c>
      <c r="AC838" s="15">
        <f>IF($AB838="","",IF($AB838="×",0,IF($AB838="○",ROUNDDOWN($E838*設定!$C$4,0),ROUNDDOWN($E838*ROUND((9*$AA838-9*$E838)/(10*$E838),4),0))))</f>
        <v/>
      </c>
      <c r="AD838" s="13" t="n"/>
      <c r="AE838" s="15">
        <f>IF($B838="","",IF($AD838&lt;&gt;"",$AD838,IF($AC838="","",IF($AC838&lt;=設定!$C$3,0,$AC838))))</f>
        <v/>
      </c>
      <c r="AF838" s="14">
        <f>IF($B838="","",IF(AND($AG838&lt;&gt;"",$AI838="",$AL838=""),"保留中",IF($AL838&lt;&gt;"",IF(N($AE838)&gt;0,"支給済","不支給"),IF($AE838="","要確認",IF($AE838=0,"不支給","未処理")))))</f>
        <v/>
      </c>
      <c r="AG838" s="12" t="n"/>
      <c r="AH838" s="11" t="n"/>
      <c r="AI838" s="11" t="n"/>
      <c r="AJ838" s="11" t="n"/>
      <c r="AK838" s="14">
        <f>IF(AND($AF838="保留中",$AH838&lt;&gt;""),TODAY()-$AH838,"")</f>
        <v/>
      </c>
      <c r="AL838" s="12" t="n"/>
      <c r="AM838" s="14">
        <f>IF($B838="","",IF($AQ838="","対象年月が未入力／","")&amp;IF($B838="","",IF($AP838="","職員マスタに未登録の職員番号／",IF($AA838="","標準報酬月額が未登録／","")&amp;IF(AND($AQ838&lt;&gt;"",OR(AND(INDEX(職員マスタ!$G$6:$G$405,$AP838)&lt;&gt;"",INDEX(職員マスタ!$G$6:$G$405,$AP838)&gt;EOMONTH($AQ838,0)),AND(INDEX(職員マスタ!$H$6:$H$405,$AP838)&lt;&gt;"",INDEX(職員マスタ!$H$6:$H$405,$AP838)&lt;$AQ838))),"対象月が時短期間外／","")&amp;IF(AND(INDEX(職員マスタ!$K$6:$K$405,$AP838)&lt;&gt;"",N($W838)&gt;0,INDEX(職員マスタ!$K$6:$K$405,$AP838)&lt;&gt;$W838),"標準報酬月額が申請書と相違（台帳"&amp;TEXT(INDEX(職員マスタ!$K$6:$K$405,$AP838),"#,##0")&amp;"円／申請書"&amp;TEXT($W838,"#,##0")&amp;"円）／","")&amp;IF(AND(INDEX(職員マスタ!$F$6:$F$405,$AP838)&lt;&gt;"",$AQ838&lt;&gt;"",INDEX(職員マスタ!$F$6:$F$405,$AP838)&lt;$AQ838),"対象月に子が2歳到達済／","")&amp;IF(AND($H838&lt;&gt;"",INDEX(職員マスタ!$B$6:$B$405,$AP838)&lt;&gt;"",SUBSTITUTE(SUBSTITUTE($H838," ","")," ","")&lt;&gt;SUBSTITUTE(SUBSTITUTE(INDEX(職員マスタ!$B$6:$B$405,$AP838)," ","")," ","")),"氏名がマスタと相違／","")&amp;IF(AND($Q838&lt;&gt;"",INDEX(職員マスタ!$E$6:$E$405,$AP838)&lt;&gt;"",$Q838&lt;&gt;INDEX(職員マスタ!$E$6:$E$405,$AP838)),"子の生年月日がマスタと相違／","")&amp;IF(AND($L838&lt;&gt;"",INDEX(職員マスタ!$G$6:$G$405,$AP838)&lt;&gt;"",$L838&lt;&gt;INDEX(職員マスタ!$G$6:$G$405,$AP838)),"時短開始日がマスタと相違／","")&amp;IF(AND($M838&lt;&gt;"",INDEX(職員マスタ!$H$6:$H$405,$AP838)&lt;&gt;"",$M838&lt;&gt;INDEX(職員マスタ!$H$6:$H$405,$AP838)),"時短終了日がマスタと相違／","")))&amp;IF(AND($B838&lt;&gt;"",$E838=""),"報酬額が未入力／","")&amp;IF(N($U838)&gt;0,"申請書に入力エラーが残っています／","")&amp;IF(AND($B838&lt;&gt;"",$AQ838&lt;&gt;""),IF(COUNTIFS($B$6:$B$3005,$B838,$C$6:$C$3005,$C838,$D$6:$D$3005,$D838)&gt;1,"同じ月の請求が重複しています／",""),"")&amp;IF(AND(N($E838)&gt;0,$AB838&lt;&gt;"",$AB838&lt;&gt;"×",$AE838=0,$AD838=""),"計算額が下限以下のため不支給／",""))</f>
        <v/>
      </c>
      <c r="AN838" s="12" t="n"/>
      <c r="AO838" s="14">
        <f>IF($AF838="保留中",COUNTIF($AF$6:$AF838,"保留中"),"")</f>
        <v/>
      </c>
      <c r="AP838" s="14">
        <f>IF($AQ838="","",IF(SUMPRODUCT(MAX((職員マスタ!$A$6:$A$405=$B838)*(((職員マスタ!$G$6:$G$405="")+(職員マスタ!$G$6:$G$405&lt;=EOMONTH($AQ838,0)))&gt;0)*(((職員マスタ!$H$6:$H$405="")+(職員マスタ!$H$6:$H$405&gt;=$AQ838))&gt;0)*(ROW(職員マスタ!$A$6:$A$405)-5)))&gt;0,SUMPRODUCT(MAX((職員マスタ!$A$6:$A$405=$B838)*(((職員マスタ!$G$6:$G$405="")+(職員マスタ!$G$6:$G$405&lt;=EOMONTH($AQ838,0)))&gt;0)*(((職員マスタ!$H$6:$H$405="")+(職員マスタ!$H$6:$H$405&gt;=$AQ838))&gt;0)*(ROW(職員マスタ!$A$6:$A$405)-5))),IFERROR(MATCH($B838,職員マスタ!$A$6:$A$405,0),"")))</f>
        <v/>
      </c>
      <c r="AQ838" s="16">
        <f>IF(OR($B838="",$C838="",$D838=""),"",DATE($C838+2018,$D838,1))</f>
        <v/>
      </c>
    </row>
    <row r="839">
      <c r="A839" s="11" t="n"/>
      <c r="B839" s="12" t="n"/>
      <c r="C839" s="12" t="n"/>
      <c r="D839" s="12" t="n"/>
      <c r="E839" s="13" t="n"/>
      <c r="F839" s="12" t="n"/>
      <c r="G839" s="13" t="n"/>
      <c r="H839" s="12" t="n"/>
      <c r="I839" s="12" t="n"/>
      <c r="J839" s="12" t="n"/>
      <c r="K839" s="12" t="n"/>
      <c r="L839" s="11" t="n"/>
      <c r="M839" s="11" t="n"/>
      <c r="N839" s="11" t="n"/>
      <c r="O839" s="11" t="n"/>
      <c r="P839" s="12" t="n"/>
      <c r="Q839" s="11" t="n"/>
      <c r="R839" s="12" t="n"/>
      <c r="S839" s="11" t="n"/>
      <c r="T839" s="12" t="n"/>
      <c r="U839" s="12" t="n"/>
      <c r="V839" s="12" t="n"/>
      <c r="W839" s="13" t="n"/>
      <c r="X839" s="14">
        <f>IF($AP839="",IF($B839="","",$H839),IF(INDEX(職員マスタ!$B$6:$B$405,$AP839)="",$H839,INDEX(職員マスタ!$B$6:$B$405,$AP839)))</f>
        <v/>
      </c>
      <c r="Y839" s="14">
        <f>IF($AP839="",IF($B839="","",$R839),IF(INDEX(職員マスタ!$C$6:$C$405,$AP839)="",$R839,INDEX(職員マスタ!$C$6:$C$405,$AP839)))</f>
        <v/>
      </c>
      <c r="Z839" s="14">
        <f>IF($AQ839="","","R"&amp;$C839&amp;"."&amp;$D839)</f>
        <v/>
      </c>
      <c r="AA839" s="15">
        <f>IF(IF($AP839="",FALSE,INDEX(職員マスタ!$K$6:$K$405,$AP839)&lt;&gt;""),INDEX(職員マスタ!$K$6:$K$405,$AP839),IF(N($W839)&gt;0,$W839,""))</f>
        <v/>
      </c>
      <c r="AB839" s="14">
        <f>IF(OR($E839="",$AA839=""),"",IF($E839&gt;=$AA839,"×",IF($E839&gt;=$AA839*設定!$C$5,"△","○")))</f>
        <v/>
      </c>
      <c r="AC839" s="15">
        <f>IF($AB839="","",IF($AB839="×",0,IF($AB839="○",ROUNDDOWN($E839*設定!$C$4,0),ROUNDDOWN($E839*ROUND((9*$AA839-9*$E839)/(10*$E839),4),0))))</f>
        <v/>
      </c>
      <c r="AD839" s="13" t="n"/>
      <c r="AE839" s="15">
        <f>IF($B839="","",IF($AD839&lt;&gt;"",$AD839,IF($AC839="","",IF($AC839&lt;=設定!$C$3,0,$AC839))))</f>
        <v/>
      </c>
      <c r="AF839" s="14">
        <f>IF($B839="","",IF(AND($AG839&lt;&gt;"",$AI839="",$AL839=""),"保留中",IF($AL839&lt;&gt;"",IF(N($AE839)&gt;0,"支給済","不支給"),IF($AE839="","要確認",IF($AE839=0,"不支給","未処理")))))</f>
        <v/>
      </c>
      <c r="AG839" s="12" t="n"/>
      <c r="AH839" s="11" t="n"/>
      <c r="AI839" s="11" t="n"/>
      <c r="AJ839" s="11" t="n"/>
      <c r="AK839" s="14">
        <f>IF(AND($AF839="保留中",$AH839&lt;&gt;""),TODAY()-$AH839,"")</f>
        <v/>
      </c>
      <c r="AL839" s="12" t="n"/>
      <c r="AM839" s="14">
        <f>IF($B839="","",IF($AQ839="","対象年月が未入力／","")&amp;IF($B839="","",IF($AP839="","職員マスタに未登録の職員番号／",IF($AA839="","標準報酬月額が未登録／","")&amp;IF(AND($AQ839&lt;&gt;"",OR(AND(INDEX(職員マスタ!$G$6:$G$405,$AP839)&lt;&gt;"",INDEX(職員マスタ!$G$6:$G$405,$AP839)&gt;EOMONTH($AQ839,0)),AND(INDEX(職員マスタ!$H$6:$H$405,$AP839)&lt;&gt;"",INDEX(職員マスタ!$H$6:$H$405,$AP839)&lt;$AQ839))),"対象月が時短期間外／","")&amp;IF(AND(INDEX(職員マスタ!$K$6:$K$405,$AP839)&lt;&gt;"",N($W839)&gt;0,INDEX(職員マスタ!$K$6:$K$405,$AP839)&lt;&gt;$W839),"標準報酬月額が申請書と相違（台帳"&amp;TEXT(INDEX(職員マスタ!$K$6:$K$405,$AP839),"#,##0")&amp;"円／申請書"&amp;TEXT($W839,"#,##0")&amp;"円）／","")&amp;IF(AND(INDEX(職員マスタ!$F$6:$F$405,$AP839)&lt;&gt;"",$AQ839&lt;&gt;"",INDEX(職員マスタ!$F$6:$F$405,$AP839)&lt;$AQ839),"対象月に子が2歳到達済／","")&amp;IF(AND($H839&lt;&gt;"",INDEX(職員マスタ!$B$6:$B$405,$AP839)&lt;&gt;"",SUBSTITUTE(SUBSTITUTE($H839," ","")," ","")&lt;&gt;SUBSTITUTE(SUBSTITUTE(INDEX(職員マスタ!$B$6:$B$405,$AP839)," ","")," ","")),"氏名がマスタと相違／","")&amp;IF(AND($Q839&lt;&gt;"",INDEX(職員マスタ!$E$6:$E$405,$AP839)&lt;&gt;"",$Q839&lt;&gt;INDEX(職員マスタ!$E$6:$E$405,$AP839)),"子の生年月日がマスタと相違／","")&amp;IF(AND($L839&lt;&gt;"",INDEX(職員マスタ!$G$6:$G$405,$AP839)&lt;&gt;"",$L839&lt;&gt;INDEX(職員マスタ!$G$6:$G$405,$AP839)),"時短開始日がマスタと相違／","")&amp;IF(AND($M839&lt;&gt;"",INDEX(職員マスタ!$H$6:$H$405,$AP839)&lt;&gt;"",$M839&lt;&gt;INDEX(職員マスタ!$H$6:$H$405,$AP839)),"時短終了日がマスタと相違／","")))&amp;IF(AND($B839&lt;&gt;"",$E839=""),"報酬額が未入力／","")&amp;IF(N($U839)&gt;0,"申請書に入力エラーが残っています／","")&amp;IF(AND($B839&lt;&gt;"",$AQ839&lt;&gt;""),IF(COUNTIFS($B$6:$B$3005,$B839,$C$6:$C$3005,$C839,$D$6:$D$3005,$D839)&gt;1,"同じ月の請求が重複しています／",""),"")&amp;IF(AND(N($E839)&gt;0,$AB839&lt;&gt;"",$AB839&lt;&gt;"×",$AE839=0,$AD839=""),"計算額が下限以下のため不支給／",""))</f>
        <v/>
      </c>
      <c r="AN839" s="12" t="n"/>
      <c r="AO839" s="14">
        <f>IF($AF839="保留中",COUNTIF($AF$6:$AF839,"保留中"),"")</f>
        <v/>
      </c>
      <c r="AP839" s="14">
        <f>IF($AQ839="","",IF(SUMPRODUCT(MAX((職員マスタ!$A$6:$A$405=$B839)*(((職員マスタ!$G$6:$G$405="")+(職員マスタ!$G$6:$G$405&lt;=EOMONTH($AQ839,0)))&gt;0)*(((職員マスタ!$H$6:$H$405="")+(職員マスタ!$H$6:$H$405&gt;=$AQ839))&gt;0)*(ROW(職員マスタ!$A$6:$A$405)-5)))&gt;0,SUMPRODUCT(MAX((職員マスタ!$A$6:$A$405=$B839)*(((職員マスタ!$G$6:$G$405="")+(職員マスタ!$G$6:$G$405&lt;=EOMONTH($AQ839,0)))&gt;0)*(((職員マスタ!$H$6:$H$405="")+(職員マスタ!$H$6:$H$405&gt;=$AQ839))&gt;0)*(ROW(職員マスタ!$A$6:$A$405)-5))),IFERROR(MATCH($B839,職員マスタ!$A$6:$A$405,0),"")))</f>
        <v/>
      </c>
      <c r="AQ839" s="16">
        <f>IF(OR($B839="",$C839="",$D839=""),"",DATE($C839+2018,$D839,1))</f>
        <v/>
      </c>
    </row>
    <row r="840">
      <c r="A840" s="11" t="n"/>
      <c r="B840" s="12" t="n"/>
      <c r="C840" s="12" t="n"/>
      <c r="D840" s="12" t="n"/>
      <c r="E840" s="13" t="n"/>
      <c r="F840" s="12" t="n"/>
      <c r="G840" s="13" t="n"/>
      <c r="H840" s="12" t="n"/>
      <c r="I840" s="12" t="n"/>
      <c r="J840" s="12" t="n"/>
      <c r="K840" s="12" t="n"/>
      <c r="L840" s="11" t="n"/>
      <c r="M840" s="11" t="n"/>
      <c r="N840" s="11" t="n"/>
      <c r="O840" s="11" t="n"/>
      <c r="P840" s="12" t="n"/>
      <c r="Q840" s="11" t="n"/>
      <c r="R840" s="12" t="n"/>
      <c r="S840" s="11" t="n"/>
      <c r="T840" s="12" t="n"/>
      <c r="U840" s="12" t="n"/>
      <c r="V840" s="12" t="n"/>
      <c r="W840" s="13" t="n"/>
      <c r="X840" s="14">
        <f>IF($AP840="",IF($B840="","",$H840),IF(INDEX(職員マスタ!$B$6:$B$405,$AP840)="",$H840,INDEX(職員マスタ!$B$6:$B$405,$AP840)))</f>
        <v/>
      </c>
      <c r="Y840" s="14">
        <f>IF($AP840="",IF($B840="","",$R840),IF(INDEX(職員マスタ!$C$6:$C$405,$AP840)="",$R840,INDEX(職員マスタ!$C$6:$C$405,$AP840)))</f>
        <v/>
      </c>
      <c r="Z840" s="14">
        <f>IF($AQ840="","","R"&amp;$C840&amp;"."&amp;$D840)</f>
        <v/>
      </c>
      <c r="AA840" s="15">
        <f>IF(IF($AP840="",FALSE,INDEX(職員マスタ!$K$6:$K$405,$AP840)&lt;&gt;""),INDEX(職員マスタ!$K$6:$K$405,$AP840),IF(N($W840)&gt;0,$W840,""))</f>
        <v/>
      </c>
      <c r="AB840" s="14">
        <f>IF(OR($E840="",$AA840=""),"",IF($E840&gt;=$AA840,"×",IF($E840&gt;=$AA840*設定!$C$5,"△","○")))</f>
        <v/>
      </c>
      <c r="AC840" s="15">
        <f>IF($AB840="","",IF($AB840="×",0,IF($AB840="○",ROUNDDOWN($E840*設定!$C$4,0),ROUNDDOWN($E840*ROUND((9*$AA840-9*$E840)/(10*$E840),4),0))))</f>
        <v/>
      </c>
      <c r="AD840" s="13" t="n"/>
      <c r="AE840" s="15">
        <f>IF($B840="","",IF($AD840&lt;&gt;"",$AD840,IF($AC840="","",IF($AC840&lt;=設定!$C$3,0,$AC840))))</f>
        <v/>
      </c>
      <c r="AF840" s="14">
        <f>IF($B840="","",IF(AND($AG840&lt;&gt;"",$AI840="",$AL840=""),"保留中",IF($AL840&lt;&gt;"",IF(N($AE840)&gt;0,"支給済","不支給"),IF($AE840="","要確認",IF($AE840=0,"不支給","未処理")))))</f>
        <v/>
      </c>
      <c r="AG840" s="12" t="n"/>
      <c r="AH840" s="11" t="n"/>
      <c r="AI840" s="11" t="n"/>
      <c r="AJ840" s="11" t="n"/>
      <c r="AK840" s="14">
        <f>IF(AND($AF840="保留中",$AH840&lt;&gt;""),TODAY()-$AH840,"")</f>
        <v/>
      </c>
      <c r="AL840" s="12" t="n"/>
      <c r="AM840" s="14">
        <f>IF($B840="","",IF($AQ840="","対象年月が未入力／","")&amp;IF($B840="","",IF($AP840="","職員マスタに未登録の職員番号／",IF($AA840="","標準報酬月額が未登録／","")&amp;IF(AND($AQ840&lt;&gt;"",OR(AND(INDEX(職員マスタ!$G$6:$G$405,$AP840)&lt;&gt;"",INDEX(職員マスタ!$G$6:$G$405,$AP840)&gt;EOMONTH($AQ840,0)),AND(INDEX(職員マスタ!$H$6:$H$405,$AP840)&lt;&gt;"",INDEX(職員マスタ!$H$6:$H$405,$AP840)&lt;$AQ840))),"対象月が時短期間外／","")&amp;IF(AND(INDEX(職員マスタ!$K$6:$K$405,$AP840)&lt;&gt;"",N($W840)&gt;0,INDEX(職員マスタ!$K$6:$K$405,$AP840)&lt;&gt;$W840),"標準報酬月額が申請書と相違（台帳"&amp;TEXT(INDEX(職員マスタ!$K$6:$K$405,$AP840),"#,##0")&amp;"円／申請書"&amp;TEXT($W840,"#,##0")&amp;"円）／","")&amp;IF(AND(INDEX(職員マスタ!$F$6:$F$405,$AP840)&lt;&gt;"",$AQ840&lt;&gt;"",INDEX(職員マスタ!$F$6:$F$405,$AP840)&lt;$AQ840),"対象月に子が2歳到達済／","")&amp;IF(AND($H840&lt;&gt;"",INDEX(職員マスタ!$B$6:$B$405,$AP840)&lt;&gt;"",SUBSTITUTE(SUBSTITUTE($H840," ","")," ","")&lt;&gt;SUBSTITUTE(SUBSTITUTE(INDEX(職員マスタ!$B$6:$B$405,$AP840)," ","")," ","")),"氏名がマスタと相違／","")&amp;IF(AND($Q840&lt;&gt;"",INDEX(職員マスタ!$E$6:$E$405,$AP840)&lt;&gt;"",$Q840&lt;&gt;INDEX(職員マスタ!$E$6:$E$405,$AP840)),"子の生年月日がマスタと相違／","")&amp;IF(AND($L840&lt;&gt;"",INDEX(職員マスタ!$G$6:$G$405,$AP840)&lt;&gt;"",$L840&lt;&gt;INDEX(職員マスタ!$G$6:$G$405,$AP840)),"時短開始日がマスタと相違／","")&amp;IF(AND($M840&lt;&gt;"",INDEX(職員マスタ!$H$6:$H$405,$AP840)&lt;&gt;"",$M840&lt;&gt;INDEX(職員マスタ!$H$6:$H$405,$AP840)),"時短終了日がマスタと相違／","")))&amp;IF(AND($B840&lt;&gt;"",$E840=""),"報酬額が未入力／","")&amp;IF(N($U840)&gt;0,"申請書に入力エラーが残っています／","")&amp;IF(AND($B840&lt;&gt;"",$AQ840&lt;&gt;""),IF(COUNTIFS($B$6:$B$3005,$B840,$C$6:$C$3005,$C840,$D$6:$D$3005,$D840)&gt;1,"同じ月の請求が重複しています／",""),"")&amp;IF(AND(N($E840)&gt;0,$AB840&lt;&gt;"",$AB840&lt;&gt;"×",$AE840=0,$AD840=""),"計算額が下限以下のため不支給／",""))</f>
        <v/>
      </c>
      <c r="AN840" s="12" t="n"/>
      <c r="AO840" s="14">
        <f>IF($AF840="保留中",COUNTIF($AF$6:$AF840,"保留中"),"")</f>
        <v/>
      </c>
      <c r="AP840" s="14">
        <f>IF($AQ840="","",IF(SUMPRODUCT(MAX((職員マスタ!$A$6:$A$405=$B840)*(((職員マスタ!$G$6:$G$405="")+(職員マスタ!$G$6:$G$405&lt;=EOMONTH($AQ840,0)))&gt;0)*(((職員マスタ!$H$6:$H$405="")+(職員マスタ!$H$6:$H$405&gt;=$AQ840))&gt;0)*(ROW(職員マスタ!$A$6:$A$405)-5)))&gt;0,SUMPRODUCT(MAX((職員マスタ!$A$6:$A$405=$B840)*(((職員マスタ!$G$6:$G$405="")+(職員マスタ!$G$6:$G$405&lt;=EOMONTH($AQ840,0)))&gt;0)*(((職員マスタ!$H$6:$H$405="")+(職員マスタ!$H$6:$H$405&gt;=$AQ840))&gt;0)*(ROW(職員マスタ!$A$6:$A$405)-5))),IFERROR(MATCH($B840,職員マスタ!$A$6:$A$405,0),"")))</f>
        <v/>
      </c>
      <c r="AQ840" s="16">
        <f>IF(OR($B840="",$C840="",$D840=""),"",DATE($C840+2018,$D840,1))</f>
        <v/>
      </c>
    </row>
    <row r="841">
      <c r="A841" s="11" t="n"/>
      <c r="B841" s="12" t="n"/>
      <c r="C841" s="12" t="n"/>
      <c r="D841" s="12" t="n"/>
      <c r="E841" s="13" t="n"/>
      <c r="F841" s="12" t="n"/>
      <c r="G841" s="13" t="n"/>
      <c r="H841" s="12" t="n"/>
      <c r="I841" s="12" t="n"/>
      <c r="J841" s="12" t="n"/>
      <c r="K841" s="12" t="n"/>
      <c r="L841" s="11" t="n"/>
      <c r="M841" s="11" t="n"/>
      <c r="N841" s="11" t="n"/>
      <c r="O841" s="11" t="n"/>
      <c r="P841" s="12" t="n"/>
      <c r="Q841" s="11" t="n"/>
      <c r="R841" s="12" t="n"/>
      <c r="S841" s="11" t="n"/>
      <c r="T841" s="12" t="n"/>
      <c r="U841" s="12" t="n"/>
      <c r="V841" s="12" t="n"/>
      <c r="W841" s="13" t="n"/>
      <c r="X841" s="14">
        <f>IF($AP841="",IF($B841="","",$H841),IF(INDEX(職員マスタ!$B$6:$B$405,$AP841)="",$H841,INDEX(職員マスタ!$B$6:$B$405,$AP841)))</f>
        <v/>
      </c>
      <c r="Y841" s="14">
        <f>IF($AP841="",IF($B841="","",$R841),IF(INDEX(職員マスタ!$C$6:$C$405,$AP841)="",$R841,INDEX(職員マスタ!$C$6:$C$405,$AP841)))</f>
        <v/>
      </c>
      <c r="Z841" s="14">
        <f>IF($AQ841="","","R"&amp;$C841&amp;"."&amp;$D841)</f>
        <v/>
      </c>
      <c r="AA841" s="15">
        <f>IF(IF($AP841="",FALSE,INDEX(職員マスタ!$K$6:$K$405,$AP841)&lt;&gt;""),INDEX(職員マスタ!$K$6:$K$405,$AP841),IF(N($W841)&gt;0,$W841,""))</f>
        <v/>
      </c>
      <c r="AB841" s="14">
        <f>IF(OR($E841="",$AA841=""),"",IF($E841&gt;=$AA841,"×",IF($E841&gt;=$AA841*設定!$C$5,"△","○")))</f>
        <v/>
      </c>
      <c r="AC841" s="15">
        <f>IF($AB841="","",IF($AB841="×",0,IF($AB841="○",ROUNDDOWN($E841*設定!$C$4,0),ROUNDDOWN($E841*ROUND((9*$AA841-9*$E841)/(10*$E841),4),0))))</f>
        <v/>
      </c>
      <c r="AD841" s="13" t="n"/>
      <c r="AE841" s="15">
        <f>IF($B841="","",IF($AD841&lt;&gt;"",$AD841,IF($AC841="","",IF($AC841&lt;=設定!$C$3,0,$AC841))))</f>
        <v/>
      </c>
      <c r="AF841" s="14">
        <f>IF($B841="","",IF(AND($AG841&lt;&gt;"",$AI841="",$AL841=""),"保留中",IF($AL841&lt;&gt;"",IF(N($AE841)&gt;0,"支給済","不支給"),IF($AE841="","要確認",IF($AE841=0,"不支給","未処理")))))</f>
        <v/>
      </c>
      <c r="AG841" s="12" t="n"/>
      <c r="AH841" s="11" t="n"/>
      <c r="AI841" s="11" t="n"/>
      <c r="AJ841" s="11" t="n"/>
      <c r="AK841" s="14">
        <f>IF(AND($AF841="保留中",$AH841&lt;&gt;""),TODAY()-$AH841,"")</f>
        <v/>
      </c>
      <c r="AL841" s="12" t="n"/>
      <c r="AM841" s="14">
        <f>IF($B841="","",IF($AQ841="","対象年月が未入力／","")&amp;IF($B841="","",IF($AP841="","職員マスタに未登録の職員番号／",IF($AA841="","標準報酬月額が未登録／","")&amp;IF(AND($AQ841&lt;&gt;"",OR(AND(INDEX(職員マスタ!$G$6:$G$405,$AP841)&lt;&gt;"",INDEX(職員マスタ!$G$6:$G$405,$AP841)&gt;EOMONTH($AQ841,0)),AND(INDEX(職員マスタ!$H$6:$H$405,$AP841)&lt;&gt;"",INDEX(職員マスタ!$H$6:$H$405,$AP841)&lt;$AQ841))),"対象月が時短期間外／","")&amp;IF(AND(INDEX(職員マスタ!$K$6:$K$405,$AP841)&lt;&gt;"",N($W841)&gt;0,INDEX(職員マスタ!$K$6:$K$405,$AP841)&lt;&gt;$W841),"標準報酬月額が申請書と相違（台帳"&amp;TEXT(INDEX(職員マスタ!$K$6:$K$405,$AP841),"#,##0")&amp;"円／申請書"&amp;TEXT($W841,"#,##0")&amp;"円）／","")&amp;IF(AND(INDEX(職員マスタ!$F$6:$F$405,$AP841)&lt;&gt;"",$AQ841&lt;&gt;"",INDEX(職員マスタ!$F$6:$F$405,$AP841)&lt;$AQ841),"対象月に子が2歳到達済／","")&amp;IF(AND($H841&lt;&gt;"",INDEX(職員マスタ!$B$6:$B$405,$AP841)&lt;&gt;"",SUBSTITUTE(SUBSTITUTE($H841," ","")," ","")&lt;&gt;SUBSTITUTE(SUBSTITUTE(INDEX(職員マスタ!$B$6:$B$405,$AP841)," ","")," ","")),"氏名がマスタと相違／","")&amp;IF(AND($Q841&lt;&gt;"",INDEX(職員マスタ!$E$6:$E$405,$AP841)&lt;&gt;"",$Q841&lt;&gt;INDEX(職員マスタ!$E$6:$E$405,$AP841)),"子の生年月日がマスタと相違／","")&amp;IF(AND($L841&lt;&gt;"",INDEX(職員マスタ!$G$6:$G$405,$AP841)&lt;&gt;"",$L841&lt;&gt;INDEX(職員マスタ!$G$6:$G$405,$AP841)),"時短開始日がマスタと相違／","")&amp;IF(AND($M841&lt;&gt;"",INDEX(職員マスタ!$H$6:$H$405,$AP841)&lt;&gt;"",$M841&lt;&gt;INDEX(職員マスタ!$H$6:$H$405,$AP841)),"時短終了日がマスタと相違／","")))&amp;IF(AND($B841&lt;&gt;"",$E841=""),"報酬額が未入力／","")&amp;IF(N($U841)&gt;0,"申請書に入力エラーが残っています／","")&amp;IF(AND($B841&lt;&gt;"",$AQ841&lt;&gt;""),IF(COUNTIFS($B$6:$B$3005,$B841,$C$6:$C$3005,$C841,$D$6:$D$3005,$D841)&gt;1,"同じ月の請求が重複しています／",""),"")&amp;IF(AND(N($E841)&gt;0,$AB841&lt;&gt;"",$AB841&lt;&gt;"×",$AE841=0,$AD841=""),"計算額が下限以下のため不支給／",""))</f>
        <v/>
      </c>
      <c r="AN841" s="12" t="n"/>
      <c r="AO841" s="14">
        <f>IF($AF841="保留中",COUNTIF($AF$6:$AF841,"保留中"),"")</f>
        <v/>
      </c>
      <c r="AP841" s="14">
        <f>IF($AQ841="","",IF(SUMPRODUCT(MAX((職員マスタ!$A$6:$A$405=$B841)*(((職員マスタ!$G$6:$G$405="")+(職員マスタ!$G$6:$G$405&lt;=EOMONTH($AQ841,0)))&gt;0)*(((職員マスタ!$H$6:$H$405="")+(職員マスタ!$H$6:$H$405&gt;=$AQ841))&gt;0)*(ROW(職員マスタ!$A$6:$A$405)-5)))&gt;0,SUMPRODUCT(MAX((職員マスタ!$A$6:$A$405=$B841)*(((職員マスタ!$G$6:$G$405="")+(職員マスタ!$G$6:$G$405&lt;=EOMONTH($AQ841,0)))&gt;0)*(((職員マスタ!$H$6:$H$405="")+(職員マスタ!$H$6:$H$405&gt;=$AQ841))&gt;0)*(ROW(職員マスタ!$A$6:$A$405)-5))),IFERROR(MATCH($B841,職員マスタ!$A$6:$A$405,0),"")))</f>
        <v/>
      </c>
      <c r="AQ841" s="16">
        <f>IF(OR($B841="",$C841="",$D841=""),"",DATE($C841+2018,$D841,1))</f>
        <v/>
      </c>
    </row>
    <row r="842">
      <c r="A842" s="11" t="n"/>
      <c r="B842" s="12" t="n"/>
      <c r="C842" s="12" t="n"/>
      <c r="D842" s="12" t="n"/>
      <c r="E842" s="13" t="n"/>
      <c r="F842" s="12" t="n"/>
      <c r="G842" s="13" t="n"/>
      <c r="H842" s="12" t="n"/>
      <c r="I842" s="12" t="n"/>
      <c r="J842" s="12" t="n"/>
      <c r="K842" s="12" t="n"/>
      <c r="L842" s="11" t="n"/>
      <c r="M842" s="11" t="n"/>
      <c r="N842" s="11" t="n"/>
      <c r="O842" s="11" t="n"/>
      <c r="P842" s="12" t="n"/>
      <c r="Q842" s="11" t="n"/>
      <c r="R842" s="12" t="n"/>
      <c r="S842" s="11" t="n"/>
      <c r="T842" s="12" t="n"/>
      <c r="U842" s="12" t="n"/>
      <c r="V842" s="12" t="n"/>
      <c r="W842" s="13" t="n"/>
      <c r="X842" s="14">
        <f>IF($AP842="",IF($B842="","",$H842),IF(INDEX(職員マスタ!$B$6:$B$405,$AP842)="",$H842,INDEX(職員マスタ!$B$6:$B$405,$AP842)))</f>
        <v/>
      </c>
      <c r="Y842" s="14">
        <f>IF($AP842="",IF($B842="","",$R842),IF(INDEX(職員マスタ!$C$6:$C$405,$AP842)="",$R842,INDEX(職員マスタ!$C$6:$C$405,$AP842)))</f>
        <v/>
      </c>
      <c r="Z842" s="14">
        <f>IF($AQ842="","","R"&amp;$C842&amp;"."&amp;$D842)</f>
        <v/>
      </c>
      <c r="AA842" s="15">
        <f>IF(IF($AP842="",FALSE,INDEX(職員マスタ!$K$6:$K$405,$AP842)&lt;&gt;""),INDEX(職員マスタ!$K$6:$K$405,$AP842),IF(N($W842)&gt;0,$W842,""))</f>
        <v/>
      </c>
      <c r="AB842" s="14">
        <f>IF(OR($E842="",$AA842=""),"",IF($E842&gt;=$AA842,"×",IF($E842&gt;=$AA842*設定!$C$5,"△","○")))</f>
        <v/>
      </c>
      <c r="AC842" s="15">
        <f>IF($AB842="","",IF($AB842="×",0,IF($AB842="○",ROUNDDOWN($E842*設定!$C$4,0),ROUNDDOWN($E842*ROUND((9*$AA842-9*$E842)/(10*$E842),4),0))))</f>
        <v/>
      </c>
      <c r="AD842" s="13" t="n"/>
      <c r="AE842" s="15">
        <f>IF($B842="","",IF($AD842&lt;&gt;"",$AD842,IF($AC842="","",IF($AC842&lt;=設定!$C$3,0,$AC842))))</f>
        <v/>
      </c>
      <c r="AF842" s="14">
        <f>IF($B842="","",IF(AND($AG842&lt;&gt;"",$AI842="",$AL842=""),"保留中",IF($AL842&lt;&gt;"",IF(N($AE842)&gt;0,"支給済","不支給"),IF($AE842="","要確認",IF($AE842=0,"不支給","未処理")))))</f>
        <v/>
      </c>
      <c r="AG842" s="12" t="n"/>
      <c r="AH842" s="11" t="n"/>
      <c r="AI842" s="11" t="n"/>
      <c r="AJ842" s="11" t="n"/>
      <c r="AK842" s="14">
        <f>IF(AND($AF842="保留中",$AH842&lt;&gt;""),TODAY()-$AH842,"")</f>
        <v/>
      </c>
      <c r="AL842" s="12" t="n"/>
      <c r="AM842" s="14">
        <f>IF($B842="","",IF($AQ842="","対象年月が未入力／","")&amp;IF($B842="","",IF($AP842="","職員マスタに未登録の職員番号／",IF($AA842="","標準報酬月額が未登録／","")&amp;IF(AND($AQ842&lt;&gt;"",OR(AND(INDEX(職員マスタ!$G$6:$G$405,$AP842)&lt;&gt;"",INDEX(職員マスタ!$G$6:$G$405,$AP842)&gt;EOMONTH($AQ842,0)),AND(INDEX(職員マスタ!$H$6:$H$405,$AP842)&lt;&gt;"",INDEX(職員マスタ!$H$6:$H$405,$AP842)&lt;$AQ842))),"対象月が時短期間外／","")&amp;IF(AND(INDEX(職員マスタ!$K$6:$K$405,$AP842)&lt;&gt;"",N($W842)&gt;0,INDEX(職員マスタ!$K$6:$K$405,$AP842)&lt;&gt;$W842),"標準報酬月額が申請書と相違（台帳"&amp;TEXT(INDEX(職員マスタ!$K$6:$K$405,$AP842),"#,##0")&amp;"円／申請書"&amp;TEXT($W842,"#,##0")&amp;"円）／","")&amp;IF(AND(INDEX(職員マスタ!$F$6:$F$405,$AP842)&lt;&gt;"",$AQ842&lt;&gt;"",INDEX(職員マスタ!$F$6:$F$405,$AP842)&lt;$AQ842),"対象月に子が2歳到達済／","")&amp;IF(AND($H842&lt;&gt;"",INDEX(職員マスタ!$B$6:$B$405,$AP842)&lt;&gt;"",SUBSTITUTE(SUBSTITUTE($H842," ","")," ","")&lt;&gt;SUBSTITUTE(SUBSTITUTE(INDEX(職員マスタ!$B$6:$B$405,$AP842)," ","")," ","")),"氏名がマスタと相違／","")&amp;IF(AND($Q842&lt;&gt;"",INDEX(職員マスタ!$E$6:$E$405,$AP842)&lt;&gt;"",$Q842&lt;&gt;INDEX(職員マスタ!$E$6:$E$405,$AP842)),"子の生年月日がマスタと相違／","")&amp;IF(AND($L842&lt;&gt;"",INDEX(職員マスタ!$G$6:$G$405,$AP842)&lt;&gt;"",$L842&lt;&gt;INDEX(職員マスタ!$G$6:$G$405,$AP842)),"時短開始日がマスタと相違／","")&amp;IF(AND($M842&lt;&gt;"",INDEX(職員マスタ!$H$6:$H$405,$AP842)&lt;&gt;"",$M842&lt;&gt;INDEX(職員マスタ!$H$6:$H$405,$AP842)),"時短終了日がマスタと相違／","")))&amp;IF(AND($B842&lt;&gt;"",$E842=""),"報酬額が未入力／","")&amp;IF(N($U842)&gt;0,"申請書に入力エラーが残っています／","")&amp;IF(AND($B842&lt;&gt;"",$AQ842&lt;&gt;""),IF(COUNTIFS($B$6:$B$3005,$B842,$C$6:$C$3005,$C842,$D$6:$D$3005,$D842)&gt;1,"同じ月の請求が重複しています／",""),"")&amp;IF(AND(N($E842)&gt;0,$AB842&lt;&gt;"",$AB842&lt;&gt;"×",$AE842=0,$AD842=""),"計算額が下限以下のため不支給／",""))</f>
        <v/>
      </c>
      <c r="AN842" s="12" t="n"/>
      <c r="AO842" s="14">
        <f>IF($AF842="保留中",COUNTIF($AF$6:$AF842,"保留中"),"")</f>
        <v/>
      </c>
      <c r="AP842" s="14">
        <f>IF($AQ842="","",IF(SUMPRODUCT(MAX((職員マスタ!$A$6:$A$405=$B842)*(((職員マスタ!$G$6:$G$405="")+(職員マスタ!$G$6:$G$405&lt;=EOMONTH($AQ842,0)))&gt;0)*(((職員マスタ!$H$6:$H$405="")+(職員マスタ!$H$6:$H$405&gt;=$AQ842))&gt;0)*(ROW(職員マスタ!$A$6:$A$405)-5)))&gt;0,SUMPRODUCT(MAX((職員マスタ!$A$6:$A$405=$B842)*(((職員マスタ!$G$6:$G$405="")+(職員マスタ!$G$6:$G$405&lt;=EOMONTH($AQ842,0)))&gt;0)*(((職員マスタ!$H$6:$H$405="")+(職員マスタ!$H$6:$H$405&gt;=$AQ842))&gt;0)*(ROW(職員マスタ!$A$6:$A$405)-5))),IFERROR(MATCH($B842,職員マスタ!$A$6:$A$405,0),"")))</f>
        <v/>
      </c>
      <c r="AQ842" s="16">
        <f>IF(OR($B842="",$C842="",$D842=""),"",DATE($C842+2018,$D842,1))</f>
        <v/>
      </c>
    </row>
    <row r="843">
      <c r="A843" s="11" t="n"/>
      <c r="B843" s="12" t="n"/>
      <c r="C843" s="12" t="n"/>
      <c r="D843" s="12" t="n"/>
      <c r="E843" s="13" t="n"/>
      <c r="F843" s="12" t="n"/>
      <c r="G843" s="13" t="n"/>
      <c r="H843" s="12" t="n"/>
      <c r="I843" s="12" t="n"/>
      <c r="J843" s="12" t="n"/>
      <c r="K843" s="12" t="n"/>
      <c r="L843" s="11" t="n"/>
      <c r="M843" s="11" t="n"/>
      <c r="N843" s="11" t="n"/>
      <c r="O843" s="11" t="n"/>
      <c r="P843" s="12" t="n"/>
      <c r="Q843" s="11" t="n"/>
      <c r="R843" s="12" t="n"/>
      <c r="S843" s="11" t="n"/>
      <c r="T843" s="12" t="n"/>
      <c r="U843" s="12" t="n"/>
      <c r="V843" s="12" t="n"/>
      <c r="W843" s="13" t="n"/>
      <c r="X843" s="14">
        <f>IF($AP843="",IF($B843="","",$H843),IF(INDEX(職員マスタ!$B$6:$B$405,$AP843)="",$H843,INDEX(職員マスタ!$B$6:$B$405,$AP843)))</f>
        <v/>
      </c>
      <c r="Y843" s="14">
        <f>IF($AP843="",IF($B843="","",$R843),IF(INDEX(職員マスタ!$C$6:$C$405,$AP843)="",$R843,INDEX(職員マスタ!$C$6:$C$405,$AP843)))</f>
        <v/>
      </c>
      <c r="Z843" s="14">
        <f>IF($AQ843="","","R"&amp;$C843&amp;"."&amp;$D843)</f>
        <v/>
      </c>
      <c r="AA843" s="15">
        <f>IF(IF($AP843="",FALSE,INDEX(職員マスタ!$K$6:$K$405,$AP843)&lt;&gt;""),INDEX(職員マスタ!$K$6:$K$405,$AP843),IF(N($W843)&gt;0,$W843,""))</f>
        <v/>
      </c>
      <c r="AB843" s="14">
        <f>IF(OR($E843="",$AA843=""),"",IF($E843&gt;=$AA843,"×",IF($E843&gt;=$AA843*設定!$C$5,"△","○")))</f>
        <v/>
      </c>
      <c r="AC843" s="15">
        <f>IF($AB843="","",IF($AB843="×",0,IF($AB843="○",ROUNDDOWN($E843*設定!$C$4,0),ROUNDDOWN($E843*ROUND((9*$AA843-9*$E843)/(10*$E843),4),0))))</f>
        <v/>
      </c>
      <c r="AD843" s="13" t="n"/>
      <c r="AE843" s="15">
        <f>IF($B843="","",IF($AD843&lt;&gt;"",$AD843,IF($AC843="","",IF($AC843&lt;=設定!$C$3,0,$AC843))))</f>
        <v/>
      </c>
      <c r="AF843" s="14">
        <f>IF($B843="","",IF(AND($AG843&lt;&gt;"",$AI843="",$AL843=""),"保留中",IF($AL843&lt;&gt;"",IF(N($AE843)&gt;0,"支給済","不支給"),IF($AE843="","要確認",IF($AE843=0,"不支給","未処理")))))</f>
        <v/>
      </c>
      <c r="AG843" s="12" t="n"/>
      <c r="AH843" s="11" t="n"/>
      <c r="AI843" s="11" t="n"/>
      <c r="AJ843" s="11" t="n"/>
      <c r="AK843" s="14">
        <f>IF(AND($AF843="保留中",$AH843&lt;&gt;""),TODAY()-$AH843,"")</f>
        <v/>
      </c>
      <c r="AL843" s="12" t="n"/>
      <c r="AM843" s="14">
        <f>IF($B843="","",IF($AQ843="","対象年月が未入力／","")&amp;IF($B843="","",IF($AP843="","職員マスタに未登録の職員番号／",IF($AA843="","標準報酬月額が未登録／","")&amp;IF(AND($AQ843&lt;&gt;"",OR(AND(INDEX(職員マスタ!$G$6:$G$405,$AP843)&lt;&gt;"",INDEX(職員マスタ!$G$6:$G$405,$AP843)&gt;EOMONTH($AQ843,0)),AND(INDEX(職員マスタ!$H$6:$H$405,$AP843)&lt;&gt;"",INDEX(職員マスタ!$H$6:$H$405,$AP843)&lt;$AQ843))),"対象月が時短期間外／","")&amp;IF(AND(INDEX(職員マスタ!$K$6:$K$405,$AP843)&lt;&gt;"",N($W843)&gt;0,INDEX(職員マスタ!$K$6:$K$405,$AP843)&lt;&gt;$W843),"標準報酬月額が申請書と相違（台帳"&amp;TEXT(INDEX(職員マスタ!$K$6:$K$405,$AP843),"#,##0")&amp;"円／申請書"&amp;TEXT($W843,"#,##0")&amp;"円）／","")&amp;IF(AND(INDEX(職員マスタ!$F$6:$F$405,$AP843)&lt;&gt;"",$AQ843&lt;&gt;"",INDEX(職員マスタ!$F$6:$F$405,$AP843)&lt;$AQ843),"対象月に子が2歳到達済／","")&amp;IF(AND($H843&lt;&gt;"",INDEX(職員マスタ!$B$6:$B$405,$AP843)&lt;&gt;"",SUBSTITUTE(SUBSTITUTE($H843," ","")," ","")&lt;&gt;SUBSTITUTE(SUBSTITUTE(INDEX(職員マスタ!$B$6:$B$405,$AP843)," ","")," ","")),"氏名がマスタと相違／","")&amp;IF(AND($Q843&lt;&gt;"",INDEX(職員マスタ!$E$6:$E$405,$AP843)&lt;&gt;"",$Q843&lt;&gt;INDEX(職員マスタ!$E$6:$E$405,$AP843)),"子の生年月日がマスタと相違／","")&amp;IF(AND($L843&lt;&gt;"",INDEX(職員マスタ!$G$6:$G$405,$AP843)&lt;&gt;"",$L843&lt;&gt;INDEX(職員マスタ!$G$6:$G$405,$AP843)),"時短開始日がマスタと相違／","")&amp;IF(AND($M843&lt;&gt;"",INDEX(職員マスタ!$H$6:$H$405,$AP843)&lt;&gt;"",$M843&lt;&gt;INDEX(職員マスタ!$H$6:$H$405,$AP843)),"時短終了日がマスタと相違／","")))&amp;IF(AND($B843&lt;&gt;"",$E843=""),"報酬額が未入力／","")&amp;IF(N($U843)&gt;0,"申請書に入力エラーが残っています／","")&amp;IF(AND($B843&lt;&gt;"",$AQ843&lt;&gt;""),IF(COUNTIFS($B$6:$B$3005,$B843,$C$6:$C$3005,$C843,$D$6:$D$3005,$D843)&gt;1,"同じ月の請求が重複しています／",""),"")&amp;IF(AND(N($E843)&gt;0,$AB843&lt;&gt;"",$AB843&lt;&gt;"×",$AE843=0,$AD843=""),"計算額が下限以下のため不支給／",""))</f>
        <v/>
      </c>
      <c r="AN843" s="12" t="n"/>
      <c r="AO843" s="14">
        <f>IF($AF843="保留中",COUNTIF($AF$6:$AF843,"保留中"),"")</f>
        <v/>
      </c>
      <c r="AP843" s="14">
        <f>IF($AQ843="","",IF(SUMPRODUCT(MAX((職員マスタ!$A$6:$A$405=$B843)*(((職員マスタ!$G$6:$G$405="")+(職員マスタ!$G$6:$G$405&lt;=EOMONTH($AQ843,0)))&gt;0)*(((職員マスタ!$H$6:$H$405="")+(職員マスタ!$H$6:$H$405&gt;=$AQ843))&gt;0)*(ROW(職員マスタ!$A$6:$A$405)-5)))&gt;0,SUMPRODUCT(MAX((職員マスタ!$A$6:$A$405=$B843)*(((職員マスタ!$G$6:$G$405="")+(職員マスタ!$G$6:$G$405&lt;=EOMONTH($AQ843,0)))&gt;0)*(((職員マスタ!$H$6:$H$405="")+(職員マスタ!$H$6:$H$405&gt;=$AQ843))&gt;0)*(ROW(職員マスタ!$A$6:$A$405)-5))),IFERROR(MATCH($B843,職員マスタ!$A$6:$A$405,0),"")))</f>
        <v/>
      </c>
      <c r="AQ843" s="16">
        <f>IF(OR($B843="",$C843="",$D843=""),"",DATE($C843+2018,$D843,1))</f>
        <v/>
      </c>
    </row>
    <row r="844">
      <c r="A844" s="11" t="n"/>
      <c r="B844" s="12" t="n"/>
      <c r="C844" s="12" t="n"/>
      <c r="D844" s="12" t="n"/>
      <c r="E844" s="13" t="n"/>
      <c r="F844" s="12" t="n"/>
      <c r="G844" s="13" t="n"/>
      <c r="H844" s="12" t="n"/>
      <c r="I844" s="12" t="n"/>
      <c r="J844" s="12" t="n"/>
      <c r="K844" s="12" t="n"/>
      <c r="L844" s="11" t="n"/>
      <c r="M844" s="11" t="n"/>
      <c r="N844" s="11" t="n"/>
      <c r="O844" s="11" t="n"/>
      <c r="P844" s="12" t="n"/>
      <c r="Q844" s="11" t="n"/>
      <c r="R844" s="12" t="n"/>
      <c r="S844" s="11" t="n"/>
      <c r="T844" s="12" t="n"/>
      <c r="U844" s="12" t="n"/>
      <c r="V844" s="12" t="n"/>
      <c r="W844" s="13" t="n"/>
      <c r="X844" s="14">
        <f>IF($AP844="",IF($B844="","",$H844),IF(INDEX(職員マスタ!$B$6:$B$405,$AP844)="",$H844,INDEX(職員マスタ!$B$6:$B$405,$AP844)))</f>
        <v/>
      </c>
      <c r="Y844" s="14">
        <f>IF($AP844="",IF($B844="","",$R844),IF(INDEX(職員マスタ!$C$6:$C$405,$AP844)="",$R844,INDEX(職員マスタ!$C$6:$C$405,$AP844)))</f>
        <v/>
      </c>
      <c r="Z844" s="14">
        <f>IF($AQ844="","","R"&amp;$C844&amp;"."&amp;$D844)</f>
        <v/>
      </c>
      <c r="AA844" s="15">
        <f>IF(IF($AP844="",FALSE,INDEX(職員マスタ!$K$6:$K$405,$AP844)&lt;&gt;""),INDEX(職員マスタ!$K$6:$K$405,$AP844),IF(N($W844)&gt;0,$W844,""))</f>
        <v/>
      </c>
      <c r="AB844" s="14">
        <f>IF(OR($E844="",$AA844=""),"",IF($E844&gt;=$AA844,"×",IF($E844&gt;=$AA844*設定!$C$5,"△","○")))</f>
        <v/>
      </c>
      <c r="AC844" s="15">
        <f>IF($AB844="","",IF($AB844="×",0,IF($AB844="○",ROUNDDOWN($E844*設定!$C$4,0),ROUNDDOWN($E844*ROUND((9*$AA844-9*$E844)/(10*$E844),4),0))))</f>
        <v/>
      </c>
      <c r="AD844" s="13" t="n"/>
      <c r="AE844" s="15">
        <f>IF($B844="","",IF($AD844&lt;&gt;"",$AD844,IF($AC844="","",IF($AC844&lt;=設定!$C$3,0,$AC844))))</f>
        <v/>
      </c>
      <c r="AF844" s="14">
        <f>IF($B844="","",IF(AND($AG844&lt;&gt;"",$AI844="",$AL844=""),"保留中",IF($AL844&lt;&gt;"",IF(N($AE844)&gt;0,"支給済","不支給"),IF($AE844="","要確認",IF($AE844=0,"不支給","未処理")))))</f>
        <v/>
      </c>
      <c r="AG844" s="12" t="n"/>
      <c r="AH844" s="11" t="n"/>
      <c r="AI844" s="11" t="n"/>
      <c r="AJ844" s="11" t="n"/>
      <c r="AK844" s="14">
        <f>IF(AND($AF844="保留中",$AH844&lt;&gt;""),TODAY()-$AH844,"")</f>
        <v/>
      </c>
      <c r="AL844" s="12" t="n"/>
      <c r="AM844" s="14">
        <f>IF($B844="","",IF($AQ844="","対象年月が未入力／","")&amp;IF($B844="","",IF($AP844="","職員マスタに未登録の職員番号／",IF($AA844="","標準報酬月額が未登録／","")&amp;IF(AND($AQ844&lt;&gt;"",OR(AND(INDEX(職員マスタ!$G$6:$G$405,$AP844)&lt;&gt;"",INDEX(職員マスタ!$G$6:$G$405,$AP844)&gt;EOMONTH($AQ844,0)),AND(INDEX(職員マスタ!$H$6:$H$405,$AP844)&lt;&gt;"",INDEX(職員マスタ!$H$6:$H$405,$AP844)&lt;$AQ844))),"対象月が時短期間外／","")&amp;IF(AND(INDEX(職員マスタ!$K$6:$K$405,$AP844)&lt;&gt;"",N($W844)&gt;0,INDEX(職員マスタ!$K$6:$K$405,$AP844)&lt;&gt;$W844),"標準報酬月額が申請書と相違（台帳"&amp;TEXT(INDEX(職員マスタ!$K$6:$K$405,$AP844),"#,##0")&amp;"円／申請書"&amp;TEXT($W844,"#,##0")&amp;"円）／","")&amp;IF(AND(INDEX(職員マスタ!$F$6:$F$405,$AP844)&lt;&gt;"",$AQ844&lt;&gt;"",INDEX(職員マスタ!$F$6:$F$405,$AP844)&lt;$AQ844),"対象月に子が2歳到達済／","")&amp;IF(AND($H844&lt;&gt;"",INDEX(職員マスタ!$B$6:$B$405,$AP844)&lt;&gt;"",SUBSTITUTE(SUBSTITUTE($H844," ","")," ","")&lt;&gt;SUBSTITUTE(SUBSTITUTE(INDEX(職員マスタ!$B$6:$B$405,$AP844)," ","")," ","")),"氏名がマスタと相違／","")&amp;IF(AND($Q844&lt;&gt;"",INDEX(職員マスタ!$E$6:$E$405,$AP844)&lt;&gt;"",$Q844&lt;&gt;INDEX(職員マスタ!$E$6:$E$405,$AP844)),"子の生年月日がマスタと相違／","")&amp;IF(AND($L844&lt;&gt;"",INDEX(職員マスタ!$G$6:$G$405,$AP844)&lt;&gt;"",$L844&lt;&gt;INDEX(職員マスタ!$G$6:$G$405,$AP844)),"時短開始日がマスタと相違／","")&amp;IF(AND($M844&lt;&gt;"",INDEX(職員マスタ!$H$6:$H$405,$AP844)&lt;&gt;"",$M844&lt;&gt;INDEX(職員マスタ!$H$6:$H$405,$AP844)),"時短終了日がマスタと相違／","")))&amp;IF(AND($B844&lt;&gt;"",$E844=""),"報酬額が未入力／","")&amp;IF(N($U844)&gt;0,"申請書に入力エラーが残っています／","")&amp;IF(AND($B844&lt;&gt;"",$AQ844&lt;&gt;""),IF(COUNTIFS($B$6:$B$3005,$B844,$C$6:$C$3005,$C844,$D$6:$D$3005,$D844)&gt;1,"同じ月の請求が重複しています／",""),"")&amp;IF(AND(N($E844)&gt;0,$AB844&lt;&gt;"",$AB844&lt;&gt;"×",$AE844=0,$AD844=""),"計算額が下限以下のため不支給／",""))</f>
        <v/>
      </c>
      <c r="AN844" s="12" t="n"/>
      <c r="AO844" s="14">
        <f>IF($AF844="保留中",COUNTIF($AF$6:$AF844,"保留中"),"")</f>
        <v/>
      </c>
      <c r="AP844" s="14">
        <f>IF($AQ844="","",IF(SUMPRODUCT(MAX((職員マスタ!$A$6:$A$405=$B844)*(((職員マスタ!$G$6:$G$405="")+(職員マスタ!$G$6:$G$405&lt;=EOMONTH($AQ844,0)))&gt;0)*(((職員マスタ!$H$6:$H$405="")+(職員マスタ!$H$6:$H$405&gt;=$AQ844))&gt;0)*(ROW(職員マスタ!$A$6:$A$405)-5)))&gt;0,SUMPRODUCT(MAX((職員マスタ!$A$6:$A$405=$B844)*(((職員マスタ!$G$6:$G$405="")+(職員マスタ!$G$6:$G$405&lt;=EOMONTH($AQ844,0)))&gt;0)*(((職員マスタ!$H$6:$H$405="")+(職員マスタ!$H$6:$H$405&gt;=$AQ844))&gt;0)*(ROW(職員マスタ!$A$6:$A$405)-5))),IFERROR(MATCH($B844,職員マスタ!$A$6:$A$405,0),"")))</f>
        <v/>
      </c>
      <c r="AQ844" s="16">
        <f>IF(OR($B844="",$C844="",$D844=""),"",DATE($C844+2018,$D844,1))</f>
        <v/>
      </c>
    </row>
    <row r="845">
      <c r="A845" s="11" t="n"/>
      <c r="B845" s="12" t="n"/>
      <c r="C845" s="12" t="n"/>
      <c r="D845" s="12" t="n"/>
      <c r="E845" s="13" t="n"/>
      <c r="F845" s="12" t="n"/>
      <c r="G845" s="13" t="n"/>
      <c r="H845" s="12" t="n"/>
      <c r="I845" s="12" t="n"/>
      <c r="J845" s="12" t="n"/>
      <c r="K845" s="12" t="n"/>
      <c r="L845" s="11" t="n"/>
      <c r="M845" s="11" t="n"/>
      <c r="N845" s="11" t="n"/>
      <c r="O845" s="11" t="n"/>
      <c r="P845" s="12" t="n"/>
      <c r="Q845" s="11" t="n"/>
      <c r="R845" s="12" t="n"/>
      <c r="S845" s="11" t="n"/>
      <c r="T845" s="12" t="n"/>
      <c r="U845" s="12" t="n"/>
      <c r="V845" s="12" t="n"/>
      <c r="W845" s="13" t="n"/>
      <c r="X845" s="14">
        <f>IF($AP845="",IF($B845="","",$H845),IF(INDEX(職員マスタ!$B$6:$B$405,$AP845)="",$H845,INDEX(職員マスタ!$B$6:$B$405,$AP845)))</f>
        <v/>
      </c>
      <c r="Y845" s="14">
        <f>IF($AP845="",IF($B845="","",$R845),IF(INDEX(職員マスタ!$C$6:$C$405,$AP845)="",$R845,INDEX(職員マスタ!$C$6:$C$405,$AP845)))</f>
        <v/>
      </c>
      <c r="Z845" s="14">
        <f>IF($AQ845="","","R"&amp;$C845&amp;"."&amp;$D845)</f>
        <v/>
      </c>
      <c r="AA845" s="15">
        <f>IF(IF($AP845="",FALSE,INDEX(職員マスタ!$K$6:$K$405,$AP845)&lt;&gt;""),INDEX(職員マスタ!$K$6:$K$405,$AP845),IF(N($W845)&gt;0,$W845,""))</f>
        <v/>
      </c>
      <c r="AB845" s="14">
        <f>IF(OR($E845="",$AA845=""),"",IF($E845&gt;=$AA845,"×",IF($E845&gt;=$AA845*設定!$C$5,"△","○")))</f>
        <v/>
      </c>
      <c r="AC845" s="15">
        <f>IF($AB845="","",IF($AB845="×",0,IF($AB845="○",ROUNDDOWN($E845*設定!$C$4,0),ROUNDDOWN($E845*ROUND((9*$AA845-9*$E845)/(10*$E845),4),0))))</f>
        <v/>
      </c>
      <c r="AD845" s="13" t="n"/>
      <c r="AE845" s="15">
        <f>IF($B845="","",IF($AD845&lt;&gt;"",$AD845,IF($AC845="","",IF($AC845&lt;=設定!$C$3,0,$AC845))))</f>
        <v/>
      </c>
      <c r="AF845" s="14">
        <f>IF($B845="","",IF(AND($AG845&lt;&gt;"",$AI845="",$AL845=""),"保留中",IF($AL845&lt;&gt;"",IF(N($AE845)&gt;0,"支給済","不支給"),IF($AE845="","要確認",IF($AE845=0,"不支給","未処理")))))</f>
        <v/>
      </c>
      <c r="AG845" s="12" t="n"/>
      <c r="AH845" s="11" t="n"/>
      <c r="AI845" s="11" t="n"/>
      <c r="AJ845" s="11" t="n"/>
      <c r="AK845" s="14">
        <f>IF(AND($AF845="保留中",$AH845&lt;&gt;""),TODAY()-$AH845,"")</f>
        <v/>
      </c>
      <c r="AL845" s="12" t="n"/>
      <c r="AM845" s="14">
        <f>IF($B845="","",IF($AQ845="","対象年月が未入力／","")&amp;IF($B845="","",IF($AP845="","職員マスタに未登録の職員番号／",IF($AA845="","標準報酬月額が未登録／","")&amp;IF(AND($AQ845&lt;&gt;"",OR(AND(INDEX(職員マスタ!$G$6:$G$405,$AP845)&lt;&gt;"",INDEX(職員マスタ!$G$6:$G$405,$AP845)&gt;EOMONTH($AQ845,0)),AND(INDEX(職員マスタ!$H$6:$H$405,$AP845)&lt;&gt;"",INDEX(職員マスタ!$H$6:$H$405,$AP845)&lt;$AQ845))),"対象月が時短期間外／","")&amp;IF(AND(INDEX(職員マスタ!$K$6:$K$405,$AP845)&lt;&gt;"",N($W845)&gt;0,INDEX(職員マスタ!$K$6:$K$405,$AP845)&lt;&gt;$W845),"標準報酬月額が申請書と相違（台帳"&amp;TEXT(INDEX(職員マスタ!$K$6:$K$405,$AP845),"#,##0")&amp;"円／申請書"&amp;TEXT($W845,"#,##0")&amp;"円）／","")&amp;IF(AND(INDEX(職員マスタ!$F$6:$F$405,$AP845)&lt;&gt;"",$AQ845&lt;&gt;"",INDEX(職員マスタ!$F$6:$F$405,$AP845)&lt;$AQ845),"対象月に子が2歳到達済／","")&amp;IF(AND($H845&lt;&gt;"",INDEX(職員マスタ!$B$6:$B$405,$AP845)&lt;&gt;"",SUBSTITUTE(SUBSTITUTE($H845," ","")," ","")&lt;&gt;SUBSTITUTE(SUBSTITUTE(INDEX(職員マスタ!$B$6:$B$405,$AP845)," ","")," ","")),"氏名がマスタと相違／","")&amp;IF(AND($Q845&lt;&gt;"",INDEX(職員マスタ!$E$6:$E$405,$AP845)&lt;&gt;"",$Q845&lt;&gt;INDEX(職員マスタ!$E$6:$E$405,$AP845)),"子の生年月日がマスタと相違／","")&amp;IF(AND($L845&lt;&gt;"",INDEX(職員マスタ!$G$6:$G$405,$AP845)&lt;&gt;"",$L845&lt;&gt;INDEX(職員マスタ!$G$6:$G$405,$AP845)),"時短開始日がマスタと相違／","")&amp;IF(AND($M845&lt;&gt;"",INDEX(職員マスタ!$H$6:$H$405,$AP845)&lt;&gt;"",$M845&lt;&gt;INDEX(職員マスタ!$H$6:$H$405,$AP845)),"時短終了日がマスタと相違／","")))&amp;IF(AND($B845&lt;&gt;"",$E845=""),"報酬額が未入力／","")&amp;IF(N($U845)&gt;0,"申請書に入力エラーが残っています／","")&amp;IF(AND($B845&lt;&gt;"",$AQ845&lt;&gt;""),IF(COUNTIFS($B$6:$B$3005,$B845,$C$6:$C$3005,$C845,$D$6:$D$3005,$D845)&gt;1,"同じ月の請求が重複しています／",""),"")&amp;IF(AND(N($E845)&gt;0,$AB845&lt;&gt;"",$AB845&lt;&gt;"×",$AE845=0,$AD845=""),"計算額が下限以下のため不支給／",""))</f>
        <v/>
      </c>
      <c r="AN845" s="12" t="n"/>
      <c r="AO845" s="14">
        <f>IF($AF845="保留中",COUNTIF($AF$6:$AF845,"保留中"),"")</f>
        <v/>
      </c>
      <c r="AP845" s="14">
        <f>IF($AQ845="","",IF(SUMPRODUCT(MAX((職員マスタ!$A$6:$A$405=$B845)*(((職員マスタ!$G$6:$G$405="")+(職員マスタ!$G$6:$G$405&lt;=EOMONTH($AQ845,0)))&gt;0)*(((職員マスタ!$H$6:$H$405="")+(職員マスタ!$H$6:$H$405&gt;=$AQ845))&gt;0)*(ROW(職員マスタ!$A$6:$A$405)-5)))&gt;0,SUMPRODUCT(MAX((職員マスタ!$A$6:$A$405=$B845)*(((職員マスタ!$G$6:$G$405="")+(職員マスタ!$G$6:$G$405&lt;=EOMONTH($AQ845,0)))&gt;0)*(((職員マスタ!$H$6:$H$405="")+(職員マスタ!$H$6:$H$405&gt;=$AQ845))&gt;0)*(ROW(職員マスタ!$A$6:$A$405)-5))),IFERROR(MATCH($B845,職員マスタ!$A$6:$A$405,0),"")))</f>
        <v/>
      </c>
      <c r="AQ845" s="16">
        <f>IF(OR($B845="",$C845="",$D845=""),"",DATE($C845+2018,$D845,1))</f>
        <v/>
      </c>
    </row>
    <row r="846">
      <c r="A846" s="11" t="n"/>
      <c r="B846" s="12" t="n"/>
      <c r="C846" s="12" t="n"/>
      <c r="D846" s="12" t="n"/>
      <c r="E846" s="13" t="n"/>
      <c r="F846" s="12" t="n"/>
      <c r="G846" s="13" t="n"/>
      <c r="H846" s="12" t="n"/>
      <c r="I846" s="12" t="n"/>
      <c r="J846" s="12" t="n"/>
      <c r="K846" s="12" t="n"/>
      <c r="L846" s="11" t="n"/>
      <c r="M846" s="11" t="n"/>
      <c r="N846" s="11" t="n"/>
      <c r="O846" s="11" t="n"/>
      <c r="P846" s="12" t="n"/>
      <c r="Q846" s="11" t="n"/>
      <c r="R846" s="12" t="n"/>
      <c r="S846" s="11" t="n"/>
      <c r="T846" s="12" t="n"/>
      <c r="U846" s="12" t="n"/>
      <c r="V846" s="12" t="n"/>
      <c r="W846" s="13" t="n"/>
      <c r="X846" s="14">
        <f>IF($AP846="",IF($B846="","",$H846),IF(INDEX(職員マスタ!$B$6:$B$405,$AP846)="",$H846,INDEX(職員マスタ!$B$6:$B$405,$AP846)))</f>
        <v/>
      </c>
      <c r="Y846" s="14">
        <f>IF($AP846="",IF($B846="","",$R846),IF(INDEX(職員マスタ!$C$6:$C$405,$AP846)="",$R846,INDEX(職員マスタ!$C$6:$C$405,$AP846)))</f>
        <v/>
      </c>
      <c r="Z846" s="14">
        <f>IF($AQ846="","","R"&amp;$C846&amp;"."&amp;$D846)</f>
        <v/>
      </c>
      <c r="AA846" s="15">
        <f>IF(IF($AP846="",FALSE,INDEX(職員マスタ!$K$6:$K$405,$AP846)&lt;&gt;""),INDEX(職員マスタ!$K$6:$K$405,$AP846),IF(N($W846)&gt;0,$W846,""))</f>
        <v/>
      </c>
      <c r="AB846" s="14">
        <f>IF(OR($E846="",$AA846=""),"",IF($E846&gt;=$AA846,"×",IF($E846&gt;=$AA846*設定!$C$5,"△","○")))</f>
        <v/>
      </c>
      <c r="AC846" s="15">
        <f>IF($AB846="","",IF($AB846="×",0,IF($AB846="○",ROUNDDOWN($E846*設定!$C$4,0),ROUNDDOWN($E846*ROUND((9*$AA846-9*$E846)/(10*$E846),4),0))))</f>
        <v/>
      </c>
      <c r="AD846" s="13" t="n"/>
      <c r="AE846" s="15">
        <f>IF($B846="","",IF($AD846&lt;&gt;"",$AD846,IF($AC846="","",IF($AC846&lt;=設定!$C$3,0,$AC846))))</f>
        <v/>
      </c>
      <c r="AF846" s="14">
        <f>IF($B846="","",IF(AND($AG846&lt;&gt;"",$AI846="",$AL846=""),"保留中",IF($AL846&lt;&gt;"",IF(N($AE846)&gt;0,"支給済","不支給"),IF($AE846="","要確認",IF($AE846=0,"不支給","未処理")))))</f>
        <v/>
      </c>
      <c r="AG846" s="12" t="n"/>
      <c r="AH846" s="11" t="n"/>
      <c r="AI846" s="11" t="n"/>
      <c r="AJ846" s="11" t="n"/>
      <c r="AK846" s="14">
        <f>IF(AND($AF846="保留中",$AH846&lt;&gt;""),TODAY()-$AH846,"")</f>
        <v/>
      </c>
      <c r="AL846" s="12" t="n"/>
      <c r="AM846" s="14">
        <f>IF($B846="","",IF($AQ846="","対象年月が未入力／","")&amp;IF($B846="","",IF($AP846="","職員マスタに未登録の職員番号／",IF($AA846="","標準報酬月額が未登録／","")&amp;IF(AND($AQ846&lt;&gt;"",OR(AND(INDEX(職員マスタ!$G$6:$G$405,$AP846)&lt;&gt;"",INDEX(職員マスタ!$G$6:$G$405,$AP846)&gt;EOMONTH($AQ846,0)),AND(INDEX(職員マスタ!$H$6:$H$405,$AP846)&lt;&gt;"",INDEX(職員マスタ!$H$6:$H$405,$AP846)&lt;$AQ846))),"対象月が時短期間外／","")&amp;IF(AND(INDEX(職員マスタ!$K$6:$K$405,$AP846)&lt;&gt;"",N($W846)&gt;0,INDEX(職員マスタ!$K$6:$K$405,$AP846)&lt;&gt;$W846),"標準報酬月額が申請書と相違（台帳"&amp;TEXT(INDEX(職員マスタ!$K$6:$K$405,$AP846),"#,##0")&amp;"円／申請書"&amp;TEXT($W846,"#,##0")&amp;"円）／","")&amp;IF(AND(INDEX(職員マスタ!$F$6:$F$405,$AP846)&lt;&gt;"",$AQ846&lt;&gt;"",INDEX(職員マスタ!$F$6:$F$405,$AP846)&lt;$AQ846),"対象月に子が2歳到達済／","")&amp;IF(AND($H846&lt;&gt;"",INDEX(職員マスタ!$B$6:$B$405,$AP846)&lt;&gt;"",SUBSTITUTE(SUBSTITUTE($H846," ","")," ","")&lt;&gt;SUBSTITUTE(SUBSTITUTE(INDEX(職員マスタ!$B$6:$B$405,$AP846)," ","")," ","")),"氏名がマスタと相違／","")&amp;IF(AND($Q846&lt;&gt;"",INDEX(職員マスタ!$E$6:$E$405,$AP846)&lt;&gt;"",$Q846&lt;&gt;INDEX(職員マスタ!$E$6:$E$405,$AP846)),"子の生年月日がマスタと相違／","")&amp;IF(AND($L846&lt;&gt;"",INDEX(職員マスタ!$G$6:$G$405,$AP846)&lt;&gt;"",$L846&lt;&gt;INDEX(職員マスタ!$G$6:$G$405,$AP846)),"時短開始日がマスタと相違／","")&amp;IF(AND($M846&lt;&gt;"",INDEX(職員マスタ!$H$6:$H$405,$AP846)&lt;&gt;"",$M846&lt;&gt;INDEX(職員マスタ!$H$6:$H$405,$AP846)),"時短終了日がマスタと相違／","")))&amp;IF(AND($B846&lt;&gt;"",$E846=""),"報酬額が未入力／","")&amp;IF(N($U846)&gt;0,"申請書に入力エラーが残っています／","")&amp;IF(AND($B846&lt;&gt;"",$AQ846&lt;&gt;""),IF(COUNTIFS($B$6:$B$3005,$B846,$C$6:$C$3005,$C846,$D$6:$D$3005,$D846)&gt;1,"同じ月の請求が重複しています／",""),"")&amp;IF(AND(N($E846)&gt;0,$AB846&lt;&gt;"",$AB846&lt;&gt;"×",$AE846=0,$AD846=""),"計算額が下限以下のため不支給／",""))</f>
        <v/>
      </c>
      <c r="AN846" s="12" t="n"/>
      <c r="AO846" s="14">
        <f>IF($AF846="保留中",COUNTIF($AF$6:$AF846,"保留中"),"")</f>
        <v/>
      </c>
      <c r="AP846" s="14">
        <f>IF($AQ846="","",IF(SUMPRODUCT(MAX((職員マスタ!$A$6:$A$405=$B846)*(((職員マスタ!$G$6:$G$405="")+(職員マスタ!$G$6:$G$405&lt;=EOMONTH($AQ846,0)))&gt;0)*(((職員マスタ!$H$6:$H$405="")+(職員マスタ!$H$6:$H$405&gt;=$AQ846))&gt;0)*(ROW(職員マスタ!$A$6:$A$405)-5)))&gt;0,SUMPRODUCT(MAX((職員マスタ!$A$6:$A$405=$B846)*(((職員マスタ!$G$6:$G$405="")+(職員マスタ!$G$6:$G$405&lt;=EOMONTH($AQ846,0)))&gt;0)*(((職員マスタ!$H$6:$H$405="")+(職員マスタ!$H$6:$H$405&gt;=$AQ846))&gt;0)*(ROW(職員マスタ!$A$6:$A$405)-5))),IFERROR(MATCH($B846,職員マスタ!$A$6:$A$405,0),"")))</f>
        <v/>
      </c>
      <c r="AQ846" s="16">
        <f>IF(OR($B846="",$C846="",$D846=""),"",DATE($C846+2018,$D846,1))</f>
        <v/>
      </c>
    </row>
    <row r="847">
      <c r="A847" s="11" t="n"/>
      <c r="B847" s="12" t="n"/>
      <c r="C847" s="12" t="n"/>
      <c r="D847" s="12" t="n"/>
      <c r="E847" s="13" t="n"/>
      <c r="F847" s="12" t="n"/>
      <c r="G847" s="13" t="n"/>
      <c r="H847" s="12" t="n"/>
      <c r="I847" s="12" t="n"/>
      <c r="J847" s="12" t="n"/>
      <c r="K847" s="12" t="n"/>
      <c r="L847" s="11" t="n"/>
      <c r="M847" s="11" t="n"/>
      <c r="N847" s="11" t="n"/>
      <c r="O847" s="11" t="n"/>
      <c r="P847" s="12" t="n"/>
      <c r="Q847" s="11" t="n"/>
      <c r="R847" s="12" t="n"/>
      <c r="S847" s="11" t="n"/>
      <c r="T847" s="12" t="n"/>
      <c r="U847" s="12" t="n"/>
      <c r="V847" s="12" t="n"/>
      <c r="W847" s="13" t="n"/>
      <c r="X847" s="14">
        <f>IF($AP847="",IF($B847="","",$H847),IF(INDEX(職員マスタ!$B$6:$B$405,$AP847)="",$H847,INDEX(職員マスタ!$B$6:$B$405,$AP847)))</f>
        <v/>
      </c>
      <c r="Y847" s="14">
        <f>IF($AP847="",IF($B847="","",$R847),IF(INDEX(職員マスタ!$C$6:$C$405,$AP847)="",$R847,INDEX(職員マスタ!$C$6:$C$405,$AP847)))</f>
        <v/>
      </c>
      <c r="Z847" s="14">
        <f>IF($AQ847="","","R"&amp;$C847&amp;"."&amp;$D847)</f>
        <v/>
      </c>
      <c r="AA847" s="15">
        <f>IF(IF($AP847="",FALSE,INDEX(職員マスタ!$K$6:$K$405,$AP847)&lt;&gt;""),INDEX(職員マスタ!$K$6:$K$405,$AP847),IF(N($W847)&gt;0,$W847,""))</f>
        <v/>
      </c>
      <c r="AB847" s="14">
        <f>IF(OR($E847="",$AA847=""),"",IF($E847&gt;=$AA847,"×",IF($E847&gt;=$AA847*設定!$C$5,"△","○")))</f>
        <v/>
      </c>
      <c r="AC847" s="15">
        <f>IF($AB847="","",IF($AB847="×",0,IF($AB847="○",ROUNDDOWN($E847*設定!$C$4,0),ROUNDDOWN($E847*ROUND((9*$AA847-9*$E847)/(10*$E847),4),0))))</f>
        <v/>
      </c>
      <c r="AD847" s="13" t="n"/>
      <c r="AE847" s="15">
        <f>IF($B847="","",IF($AD847&lt;&gt;"",$AD847,IF($AC847="","",IF($AC847&lt;=設定!$C$3,0,$AC847))))</f>
        <v/>
      </c>
      <c r="AF847" s="14">
        <f>IF($B847="","",IF(AND($AG847&lt;&gt;"",$AI847="",$AL847=""),"保留中",IF($AL847&lt;&gt;"",IF(N($AE847)&gt;0,"支給済","不支給"),IF($AE847="","要確認",IF($AE847=0,"不支給","未処理")))))</f>
        <v/>
      </c>
      <c r="AG847" s="12" t="n"/>
      <c r="AH847" s="11" t="n"/>
      <c r="AI847" s="11" t="n"/>
      <c r="AJ847" s="11" t="n"/>
      <c r="AK847" s="14">
        <f>IF(AND($AF847="保留中",$AH847&lt;&gt;""),TODAY()-$AH847,"")</f>
        <v/>
      </c>
      <c r="AL847" s="12" t="n"/>
      <c r="AM847" s="14">
        <f>IF($B847="","",IF($AQ847="","対象年月が未入力／","")&amp;IF($B847="","",IF($AP847="","職員マスタに未登録の職員番号／",IF($AA847="","標準報酬月額が未登録／","")&amp;IF(AND($AQ847&lt;&gt;"",OR(AND(INDEX(職員マスタ!$G$6:$G$405,$AP847)&lt;&gt;"",INDEX(職員マスタ!$G$6:$G$405,$AP847)&gt;EOMONTH($AQ847,0)),AND(INDEX(職員マスタ!$H$6:$H$405,$AP847)&lt;&gt;"",INDEX(職員マスタ!$H$6:$H$405,$AP847)&lt;$AQ847))),"対象月が時短期間外／","")&amp;IF(AND(INDEX(職員マスタ!$K$6:$K$405,$AP847)&lt;&gt;"",N($W847)&gt;0,INDEX(職員マスタ!$K$6:$K$405,$AP847)&lt;&gt;$W847),"標準報酬月額が申請書と相違（台帳"&amp;TEXT(INDEX(職員マスタ!$K$6:$K$405,$AP847),"#,##0")&amp;"円／申請書"&amp;TEXT($W847,"#,##0")&amp;"円）／","")&amp;IF(AND(INDEX(職員マスタ!$F$6:$F$405,$AP847)&lt;&gt;"",$AQ847&lt;&gt;"",INDEX(職員マスタ!$F$6:$F$405,$AP847)&lt;$AQ847),"対象月に子が2歳到達済／","")&amp;IF(AND($H847&lt;&gt;"",INDEX(職員マスタ!$B$6:$B$405,$AP847)&lt;&gt;"",SUBSTITUTE(SUBSTITUTE($H847," ","")," ","")&lt;&gt;SUBSTITUTE(SUBSTITUTE(INDEX(職員マスタ!$B$6:$B$405,$AP847)," ","")," ","")),"氏名がマスタと相違／","")&amp;IF(AND($Q847&lt;&gt;"",INDEX(職員マスタ!$E$6:$E$405,$AP847)&lt;&gt;"",$Q847&lt;&gt;INDEX(職員マスタ!$E$6:$E$405,$AP847)),"子の生年月日がマスタと相違／","")&amp;IF(AND($L847&lt;&gt;"",INDEX(職員マスタ!$G$6:$G$405,$AP847)&lt;&gt;"",$L847&lt;&gt;INDEX(職員マスタ!$G$6:$G$405,$AP847)),"時短開始日がマスタと相違／","")&amp;IF(AND($M847&lt;&gt;"",INDEX(職員マスタ!$H$6:$H$405,$AP847)&lt;&gt;"",$M847&lt;&gt;INDEX(職員マスタ!$H$6:$H$405,$AP847)),"時短終了日がマスタと相違／","")))&amp;IF(AND($B847&lt;&gt;"",$E847=""),"報酬額が未入力／","")&amp;IF(N($U847)&gt;0,"申請書に入力エラーが残っています／","")&amp;IF(AND($B847&lt;&gt;"",$AQ847&lt;&gt;""),IF(COUNTIFS($B$6:$B$3005,$B847,$C$6:$C$3005,$C847,$D$6:$D$3005,$D847)&gt;1,"同じ月の請求が重複しています／",""),"")&amp;IF(AND(N($E847)&gt;0,$AB847&lt;&gt;"",$AB847&lt;&gt;"×",$AE847=0,$AD847=""),"計算額が下限以下のため不支給／",""))</f>
        <v/>
      </c>
      <c r="AN847" s="12" t="n"/>
      <c r="AO847" s="14">
        <f>IF($AF847="保留中",COUNTIF($AF$6:$AF847,"保留中"),"")</f>
        <v/>
      </c>
      <c r="AP847" s="14">
        <f>IF($AQ847="","",IF(SUMPRODUCT(MAX((職員マスタ!$A$6:$A$405=$B847)*(((職員マスタ!$G$6:$G$405="")+(職員マスタ!$G$6:$G$405&lt;=EOMONTH($AQ847,0)))&gt;0)*(((職員マスタ!$H$6:$H$405="")+(職員マスタ!$H$6:$H$405&gt;=$AQ847))&gt;0)*(ROW(職員マスタ!$A$6:$A$405)-5)))&gt;0,SUMPRODUCT(MAX((職員マスタ!$A$6:$A$405=$B847)*(((職員マスタ!$G$6:$G$405="")+(職員マスタ!$G$6:$G$405&lt;=EOMONTH($AQ847,0)))&gt;0)*(((職員マスタ!$H$6:$H$405="")+(職員マスタ!$H$6:$H$405&gt;=$AQ847))&gt;0)*(ROW(職員マスタ!$A$6:$A$405)-5))),IFERROR(MATCH($B847,職員マスタ!$A$6:$A$405,0),"")))</f>
        <v/>
      </c>
      <c r="AQ847" s="16">
        <f>IF(OR($B847="",$C847="",$D847=""),"",DATE($C847+2018,$D847,1))</f>
        <v/>
      </c>
    </row>
    <row r="848">
      <c r="A848" s="11" t="n"/>
      <c r="B848" s="12" t="n"/>
      <c r="C848" s="12" t="n"/>
      <c r="D848" s="12" t="n"/>
      <c r="E848" s="13" t="n"/>
      <c r="F848" s="12" t="n"/>
      <c r="G848" s="13" t="n"/>
      <c r="H848" s="12" t="n"/>
      <c r="I848" s="12" t="n"/>
      <c r="J848" s="12" t="n"/>
      <c r="K848" s="12" t="n"/>
      <c r="L848" s="11" t="n"/>
      <c r="M848" s="11" t="n"/>
      <c r="N848" s="11" t="n"/>
      <c r="O848" s="11" t="n"/>
      <c r="P848" s="12" t="n"/>
      <c r="Q848" s="11" t="n"/>
      <c r="R848" s="12" t="n"/>
      <c r="S848" s="11" t="n"/>
      <c r="T848" s="12" t="n"/>
      <c r="U848" s="12" t="n"/>
      <c r="V848" s="12" t="n"/>
      <c r="W848" s="13" t="n"/>
      <c r="X848" s="14">
        <f>IF($AP848="",IF($B848="","",$H848),IF(INDEX(職員マスタ!$B$6:$B$405,$AP848)="",$H848,INDEX(職員マスタ!$B$6:$B$405,$AP848)))</f>
        <v/>
      </c>
      <c r="Y848" s="14">
        <f>IF($AP848="",IF($B848="","",$R848),IF(INDEX(職員マスタ!$C$6:$C$405,$AP848)="",$R848,INDEX(職員マスタ!$C$6:$C$405,$AP848)))</f>
        <v/>
      </c>
      <c r="Z848" s="14">
        <f>IF($AQ848="","","R"&amp;$C848&amp;"."&amp;$D848)</f>
        <v/>
      </c>
      <c r="AA848" s="15">
        <f>IF(IF($AP848="",FALSE,INDEX(職員マスタ!$K$6:$K$405,$AP848)&lt;&gt;""),INDEX(職員マスタ!$K$6:$K$405,$AP848),IF(N($W848)&gt;0,$W848,""))</f>
        <v/>
      </c>
      <c r="AB848" s="14">
        <f>IF(OR($E848="",$AA848=""),"",IF($E848&gt;=$AA848,"×",IF($E848&gt;=$AA848*設定!$C$5,"△","○")))</f>
        <v/>
      </c>
      <c r="AC848" s="15">
        <f>IF($AB848="","",IF($AB848="×",0,IF($AB848="○",ROUNDDOWN($E848*設定!$C$4,0),ROUNDDOWN($E848*ROUND((9*$AA848-9*$E848)/(10*$E848),4),0))))</f>
        <v/>
      </c>
      <c r="AD848" s="13" t="n"/>
      <c r="AE848" s="15">
        <f>IF($B848="","",IF($AD848&lt;&gt;"",$AD848,IF($AC848="","",IF($AC848&lt;=設定!$C$3,0,$AC848))))</f>
        <v/>
      </c>
      <c r="AF848" s="14">
        <f>IF($B848="","",IF(AND($AG848&lt;&gt;"",$AI848="",$AL848=""),"保留中",IF($AL848&lt;&gt;"",IF(N($AE848)&gt;0,"支給済","不支給"),IF($AE848="","要確認",IF($AE848=0,"不支給","未処理")))))</f>
        <v/>
      </c>
      <c r="AG848" s="12" t="n"/>
      <c r="AH848" s="11" t="n"/>
      <c r="AI848" s="11" t="n"/>
      <c r="AJ848" s="11" t="n"/>
      <c r="AK848" s="14">
        <f>IF(AND($AF848="保留中",$AH848&lt;&gt;""),TODAY()-$AH848,"")</f>
        <v/>
      </c>
      <c r="AL848" s="12" t="n"/>
      <c r="AM848" s="14">
        <f>IF($B848="","",IF($AQ848="","対象年月が未入力／","")&amp;IF($B848="","",IF($AP848="","職員マスタに未登録の職員番号／",IF($AA848="","標準報酬月額が未登録／","")&amp;IF(AND($AQ848&lt;&gt;"",OR(AND(INDEX(職員マスタ!$G$6:$G$405,$AP848)&lt;&gt;"",INDEX(職員マスタ!$G$6:$G$405,$AP848)&gt;EOMONTH($AQ848,0)),AND(INDEX(職員マスタ!$H$6:$H$405,$AP848)&lt;&gt;"",INDEX(職員マスタ!$H$6:$H$405,$AP848)&lt;$AQ848))),"対象月が時短期間外／","")&amp;IF(AND(INDEX(職員マスタ!$K$6:$K$405,$AP848)&lt;&gt;"",N($W848)&gt;0,INDEX(職員マスタ!$K$6:$K$405,$AP848)&lt;&gt;$W848),"標準報酬月額が申請書と相違（台帳"&amp;TEXT(INDEX(職員マスタ!$K$6:$K$405,$AP848),"#,##0")&amp;"円／申請書"&amp;TEXT($W848,"#,##0")&amp;"円）／","")&amp;IF(AND(INDEX(職員マスタ!$F$6:$F$405,$AP848)&lt;&gt;"",$AQ848&lt;&gt;"",INDEX(職員マスタ!$F$6:$F$405,$AP848)&lt;$AQ848),"対象月に子が2歳到達済／","")&amp;IF(AND($H848&lt;&gt;"",INDEX(職員マスタ!$B$6:$B$405,$AP848)&lt;&gt;"",SUBSTITUTE(SUBSTITUTE($H848," ","")," ","")&lt;&gt;SUBSTITUTE(SUBSTITUTE(INDEX(職員マスタ!$B$6:$B$405,$AP848)," ","")," ","")),"氏名がマスタと相違／","")&amp;IF(AND($Q848&lt;&gt;"",INDEX(職員マスタ!$E$6:$E$405,$AP848)&lt;&gt;"",$Q848&lt;&gt;INDEX(職員マスタ!$E$6:$E$405,$AP848)),"子の生年月日がマスタと相違／","")&amp;IF(AND($L848&lt;&gt;"",INDEX(職員マスタ!$G$6:$G$405,$AP848)&lt;&gt;"",$L848&lt;&gt;INDEX(職員マスタ!$G$6:$G$405,$AP848)),"時短開始日がマスタと相違／","")&amp;IF(AND($M848&lt;&gt;"",INDEX(職員マスタ!$H$6:$H$405,$AP848)&lt;&gt;"",$M848&lt;&gt;INDEX(職員マスタ!$H$6:$H$405,$AP848)),"時短終了日がマスタと相違／","")))&amp;IF(AND($B848&lt;&gt;"",$E848=""),"報酬額が未入力／","")&amp;IF(N($U848)&gt;0,"申請書に入力エラーが残っています／","")&amp;IF(AND($B848&lt;&gt;"",$AQ848&lt;&gt;""),IF(COUNTIFS($B$6:$B$3005,$B848,$C$6:$C$3005,$C848,$D$6:$D$3005,$D848)&gt;1,"同じ月の請求が重複しています／",""),"")&amp;IF(AND(N($E848)&gt;0,$AB848&lt;&gt;"",$AB848&lt;&gt;"×",$AE848=0,$AD848=""),"計算額が下限以下のため不支給／",""))</f>
        <v/>
      </c>
      <c r="AN848" s="12" t="n"/>
      <c r="AO848" s="14">
        <f>IF($AF848="保留中",COUNTIF($AF$6:$AF848,"保留中"),"")</f>
        <v/>
      </c>
      <c r="AP848" s="14">
        <f>IF($AQ848="","",IF(SUMPRODUCT(MAX((職員マスタ!$A$6:$A$405=$B848)*(((職員マスタ!$G$6:$G$405="")+(職員マスタ!$G$6:$G$405&lt;=EOMONTH($AQ848,0)))&gt;0)*(((職員マスタ!$H$6:$H$405="")+(職員マスタ!$H$6:$H$405&gt;=$AQ848))&gt;0)*(ROW(職員マスタ!$A$6:$A$405)-5)))&gt;0,SUMPRODUCT(MAX((職員マスタ!$A$6:$A$405=$B848)*(((職員マスタ!$G$6:$G$405="")+(職員マスタ!$G$6:$G$405&lt;=EOMONTH($AQ848,0)))&gt;0)*(((職員マスタ!$H$6:$H$405="")+(職員マスタ!$H$6:$H$405&gt;=$AQ848))&gt;0)*(ROW(職員マスタ!$A$6:$A$405)-5))),IFERROR(MATCH($B848,職員マスタ!$A$6:$A$405,0),"")))</f>
        <v/>
      </c>
      <c r="AQ848" s="16">
        <f>IF(OR($B848="",$C848="",$D848=""),"",DATE($C848+2018,$D848,1))</f>
        <v/>
      </c>
    </row>
    <row r="849">
      <c r="A849" s="11" t="n"/>
      <c r="B849" s="12" t="n"/>
      <c r="C849" s="12" t="n"/>
      <c r="D849" s="12" t="n"/>
      <c r="E849" s="13" t="n"/>
      <c r="F849" s="12" t="n"/>
      <c r="G849" s="13" t="n"/>
      <c r="H849" s="12" t="n"/>
      <c r="I849" s="12" t="n"/>
      <c r="J849" s="12" t="n"/>
      <c r="K849" s="12" t="n"/>
      <c r="L849" s="11" t="n"/>
      <c r="M849" s="11" t="n"/>
      <c r="N849" s="11" t="n"/>
      <c r="O849" s="11" t="n"/>
      <c r="P849" s="12" t="n"/>
      <c r="Q849" s="11" t="n"/>
      <c r="R849" s="12" t="n"/>
      <c r="S849" s="11" t="n"/>
      <c r="T849" s="12" t="n"/>
      <c r="U849" s="12" t="n"/>
      <c r="V849" s="12" t="n"/>
      <c r="W849" s="13" t="n"/>
      <c r="X849" s="14">
        <f>IF($AP849="",IF($B849="","",$H849),IF(INDEX(職員マスタ!$B$6:$B$405,$AP849)="",$H849,INDEX(職員マスタ!$B$6:$B$405,$AP849)))</f>
        <v/>
      </c>
      <c r="Y849" s="14">
        <f>IF($AP849="",IF($B849="","",$R849),IF(INDEX(職員マスタ!$C$6:$C$405,$AP849)="",$R849,INDEX(職員マスタ!$C$6:$C$405,$AP849)))</f>
        <v/>
      </c>
      <c r="Z849" s="14">
        <f>IF($AQ849="","","R"&amp;$C849&amp;"."&amp;$D849)</f>
        <v/>
      </c>
      <c r="AA849" s="15">
        <f>IF(IF($AP849="",FALSE,INDEX(職員マスタ!$K$6:$K$405,$AP849)&lt;&gt;""),INDEX(職員マスタ!$K$6:$K$405,$AP849),IF(N($W849)&gt;0,$W849,""))</f>
        <v/>
      </c>
      <c r="AB849" s="14">
        <f>IF(OR($E849="",$AA849=""),"",IF($E849&gt;=$AA849,"×",IF($E849&gt;=$AA849*設定!$C$5,"△","○")))</f>
        <v/>
      </c>
      <c r="AC849" s="15">
        <f>IF($AB849="","",IF($AB849="×",0,IF($AB849="○",ROUNDDOWN($E849*設定!$C$4,0),ROUNDDOWN($E849*ROUND((9*$AA849-9*$E849)/(10*$E849),4),0))))</f>
        <v/>
      </c>
      <c r="AD849" s="13" t="n"/>
      <c r="AE849" s="15">
        <f>IF($B849="","",IF($AD849&lt;&gt;"",$AD849,IF($AC849="","",IF($AC849&lt;=設定!$C$3,0,$AC849))))</f>
        <v/>
      </c>
      <c r="AF849" s="14">
        <f>IF($B849="","",IF(AND($AG849&lt;&gt;"",$AI849="",$AL849=""),"保留中",IF($AL849&lt;&gt;"",IF(N($AE849)&gt;0,"支給済","不支給"),IF($AE849="","要確認",IF($AE849=0,"不支給","未処理")))))</f>
        <v/>
      </c>
      <c r="AG849" s="12" t="n"/>
      <c r="AH849" s="11" t="n"/>
      <c r="AI849" s="11" t="n"/>
      <c r="AJ849" s="11" t="n"/>
      <c r="AK849" s="14">
        <f>IF(AND($AF849="保留中",$AH849&lt;&gt;""),TODAY()-$AH849,"")</f>
        <v/>
      </c>
      <c r="AL849" s="12" t="n"/>
      <c r="AM849" s="14">
        <f>IF($B849="","",IF($AQ849="","対象年月が未入力／","")&amp;IF($B849="","",IF($AP849="","職員マスタに未登録の職員番号／",IF($AA849="","標準報酬月額が未登録／","")&amp;IF(AND($AQ849&lt;&gt;"",OR(AND(INDEX(職員マスタ!$G$6:$G$405,$AP849)&lt;&gt;"",INDEX(職員マスタ!$G$6:$G$405,$AP849)&gt;EOMONTH($AQ849,0)),AND(INDEX(職員マスタ!$H$6:$H$405,$AP849)&lt;&gt;"",INDEX(職員マスタ!$H$6:$H$405,$AP849)&lt;$AQ849))),"対象月が時短期間外／","")&amp;IF(AND(INDEX(職員マスタ!$K$6:$K$405,$AP849)&lt;&gt;"",N($W849)&gt;0,INDEX(職員マスタ!$K$6:$K$405,$AP849)&lt;&gt;$W849),"標準報酬月額が申請書と相違（台帳"&amp;TEXT(INDEX(職員マスタ!$K$6:$K$405,$AP849),"#,##0")&amp;"円／申請書"&amp;TEXT($W849,"#,##0")&amp;"円）／","")&amp;IF(AND(INDEX(職員マスタ!$F$6:$F$405,$AP849)&lt;&gt;"",$AQ849&lt;&gt;"",INDEX(職員マスタ!$F$6:$F$405,$AP849)&lt;$AQ849),"対象月に子が2歳到達済／","")&amp;IF(AND($H849&lt;&gt;"",INDEX(職員マスタ!$B$6:$B$405,$AP849)&lt;&gt;"",SUBSTITUTE(SUBSTITUTE($H849," ","")," ","")&lt;&gt;SUBSTITUTE(SUBSTITUTE(INDEX(職員マスタ!$B$6:$B$405,$AP849)," ","")," ","")),"氏名がマスタと相違／","")&amp;IF(AND($Q849&lt;&gt;"",INDEX(職員マスタ!$E$6:$E$405,$AP849)&lt;&gt;"",$Q849&lt;&gt;INDEX(職員マスタ!$E$6:$E$405,$AP849)),"子の生年月日がマスタと相違／","")&amp;IF(AND($L849&lt;&gt;"",INDEX(職員マスタ!$G$6:$G$405,$AP849)&lt;&gt;"",$L849&lt;&gt;INDEX(職員マスタ!$G$6:$G$405,$AP849)),"時短開始日がマスタと相違／","")&amp;IF(AND($M849&lt;&gt;"",INDEX(職員マスタ!$H$6:$H$405,$AP849)&lt;&gt;"",$M849&lt;&gt;INDEX(職員マスタ!$H$6:$H$405,$AP849)),"時短終了日がマスタと相違／","")))&amp;IF(AND($B849&lt;&gt;"",$E849=""),"報酬額が未入力／","")&amp;IF(N($U849)&gt;0,"申請書に入力エラーが残っています／","")&amp;IF(AND($B849&lt;&gt;"",$AQ849&lt;&gt;""),IF(COUNTIFS($B$6:$B$3005,$B849,$C$6:$C$3005,$C849,$D$6:$D$3005,$D849)&gt;1,"同じ月の請求が重複しています／",""),"")&amp;IF(AND(N($E849)&gt;0,$AB849&lt;&gt;"",$AB849&lt;&gt;"×",$AE849=0,$AD849=""),"計算額が下限以下のため不支給／",""))</f>
        <v/>
      </c>
      <c r="AN849" s="12" t="n"/>
      <c r="AO849" s="14">
        <f>IF($AF849="保留中",COUNTIF($AF$6:$AF849,"保留中"),"")</f>
        <v/>
      </c>
      <c r="AP849" s="14">
        <f>IF($AQ849="","",IF(SUMPRODUCT(MAX((職員マスタ!$A$6:$A$405=$B849)*(((職員マスタ!$G$6:$G$405="")+(職員マスタ!$G$6:$G$405&lt;=EOMONTH($AQ849,0)))&gt;0)*(((職員マスタ!$H$6:$H$405="")+(職員マスタ!$H$6:$H$405&gt;=$AQ849))&gt;0)*(ROW(職員マスタ!$A$6:$A$405)-5)))&gt;0,SUMPRODUCT(MAX((職員マスタ!$A$6:$A$405=$B849)*(((職員マスタ!$G$6:$G$405="")+(職員マスタ!$G$6:$G$405&lt;=EOMONTH($AQ849,0)))&gt;0)*(((職員マスタ!$H$6:$H$405="")+(職員マスタ!$H$6:$H$405&gt;=$AQ849))&gt;0)*(ROW(職員マスタ!$A$6:$A$405)-5))),IFERROR(MATCH($B849,職員マスタ!$A$6:$A$405,0),"")))</f>
        <v/>
      </c>
      <c r="AQ849" s="16">
        <f>IF(OR($B849="",$C849="",$D849=""),"",DATE($C849+2018,$D849,1))</f>
        <v/>
      </c>
    </row>
    <row r="850">
      <c r="A850" s="11" t="n"/>
      <c r="B850" s="12" t="n"/>
      <c r="C850" s="12" t="n"/>
      <c r="D850" s="12" t="n"/>
      <c r="E850" s="13" t="n"/>
      <c r="F850" s="12" t="n"/>
      <c r="G850" s="13" t="n"/>
      <c r="H850" s="12" t="n"/>
      <c r="I850" s="12" t="n"/>
      <c r="J850" s="12" t="n"/>
      <c r="K850" s="12" t="n"/>
      <c r="L850" s="11" t="n"/>
      <c r="M850" s="11" t="n"/>
      <c r="N850" s="11" t="n"/>
      <c r="O850" s="11" t="n"/>
      <c r="P850" s="12" t="n"/>
      <c r="Q850" s="11" t="n"/>
      <c r="R850" s="12" t="n"/>
      <c r="S850" s="11" t="n"/>
      <c r="T850" s="12" t="n"/>
      <c r="U850" s="12" t="n"/>
      <c r="V850" s="12" t="n"/>
      <c r="W850" s="13" t="n"/>
      <c r="X850" s="14">
        <f>IF($AP850="",IF($B850="","",$H850),IF(INDEX(職員マスタ!$B$6:$B$405,$AP850)="",$H850,INDEX(職員マスタ!$B$6:$B$405,$AP850)))</f>
        <v/>
      </c>
      <c r="Y850" s="14">
        <f>IF($AP850="",IF($B850="","",$R850),IF(INDEX(職員マスタ!$C$6:$C$405,$AP850)="",$R850,INDEX(職員マスタ!$C$6:$C$405,$AP850)))</f>
        <v/>
      </c>
      <c r="Z850" s="14">
        <f>IF($AQ850="","","R"&amp;$C850&amp;"."&amp;$D850)</f>
        <v/>
      </c>
      <c r="AA850" s="15">
        <f>IF(IF($AP850="",FALSE,INDEX(職員マスタ!$K$6:$K$405,$AP850)&lt;&gt;""),INDEX(職員マスタ!$K$6:$K$405,$AP850),IF(N($W850)&gt;0,$W850,""))</f>
        <v/>
      </c>
      <c r="AB850" s="14">
        <f>IF(OR($E850="",$AA850=""),"",IF($E850&gt;=$AA850,"×",IF($E850&gt;=$AA850*設定!$C$5,"△","○")))</f>
        <v/>
      </c>
      <c r="AC850" s="15">
        <f>IF($AB850="","",IF($AB850="×",0,IF($AB850="○",ROUNDDOWN($E850*設定!$C$4,0),ROUNDDOWN($E850*ROUND((9*$AA850-9*$E850)/(10*$E850),4),0))))</f>
        <v/>
      </c>
      <c r="AD850" s="13" t="n"/>
      <c r="AE850" s="15">
        <f>IF($B850="","",IF($AD850&lt;&gt;"",$AD850,IF($AC850="","",IF($AC850&lt;=設定!$C$3,0,$AC850))))</f>
        <v/>
      </c>
      <c r="AF850" s="14">
        <f>IF($B850="","",IF(AND($AG850&lt;&gt;"",$AI850="",$AL850=""),"保留中",IF($AL850&lt;&gt;"",IF(N($AE850)&gt;0,"支給済","不支給"),IF($AE850="","要確認",IF($AE850=0,"不支給","未処理")))))</f>
        <v/>
      </c>
      <c r="AG850" s="12" t="n"/>
      <c r="AH850" s="11" t="n"/>
      <c r="AI850" s="11" t="n"/>
      <c r="AJ850" s="11" t="n"/>
      <c r="AK850" s="14">
        <f>IF(AND($AF850="保留中",$AH850&lt;&gt;""),TODAY()-$AH850,"")</f>
        <v/>
      </c>
      <c r="AL850" s="12" t="n"/>
      <c r="AM850" s="14">
        <f>IF($B850="","",IF($AQ850="","対象年月が未入力／","")&amp;IF($B850="","",IF($AP850="","職員マスタに未登録の職員番号／",IF($AA850="","標準報酬月額が未登録／","")&amp;IF(AND($AQ850&lt;&gt;"",OR(AND(INDEX(職員マスタ!$G$6:$G$405,$AP850)&lt;&gt;"",INDEX(職員マスタ!$G$6:$G$405,$AP850)&gt;EOMONTH($AQ850,0)),AND(INDEX(職員マスタ!$H$6:$H$405,$AP850)&lt;&gt;"",INDEX(職員マスタ!$H$6:$H$405,$AP850)&lt;$AQ850))),"対象月が時短期間外／","")&amp;IF(AND(INDEX(職員マスタ!$K$6:$K$405,$AP850)&lt;&gt;"",N($W850)&gt;0,INDEX(職員マスタ!$K$6:$K$405,$AP850)&lt;&gt;$W850),"標準報酬月額が申請書と相違（台帳"&amp;TEXT(INDEX(職員マスタ!$K$6:$K$405,$AP850),"#,##0")&amp;"円／申請書"&amp;TEXT($W850,"#,##0")&amp;"円）／","")&amp;IF(AND(INDEX(職員マスタ!$F$6:$F$405,$AP850)&lt;&gt;"",$AQ850&lt;&gt;"",INDEX(職員マスタ!$F$6:$F$405,$AP850)&lt;$AQ850),"対象月に子が2歳到達済／","")&amp;IF(AND($H850&lt;&gt;"",INDEX(職員マスタ!$B$6:$B$405,$AP850)&lt;&gt;"",SUBSTITUTE(SUBSTITUTE($H850," ","")," ","")&lt;&gt;SUBSTITUTE(SUBSTITUTE(INDEX(職員マスタ!$B$6:$B$405,$AP850)," ","")," ","")),"氏名がマスタと相違／","")&amp;IF(AND($Q850&lt;&gt;"",INDEX(職員マスタ!$E$6:$E$405,$AP850)&lt;&gt;"",$Q850&lt;&gt;INDEX(職員マスタ!$E$6:$E$405,$AP850)),"子の生年月日がマスタと相違／","")&amp;IF(AND($L850&lt;&gt;"",INDEX(職員マスタ!$G$6:$G$405,$AP850)&lt;&gt;"",$L850&lt;&gt;INDEX(職員マスタ!$G$6:$G$405,$AP850)),"時短開始日がマスタと相違／","")&amp;IF(AND($M850&lt;&gt;"",INDEX(職員マスタ!$H$6:$H$405,$AP850)&lt;&gt;"",$M850&lt;&gt;INDEX(職員マスタ!$H$6:$H$405,$AP850)),"時短終了日がマスタと相違／","")))&amp;IF(AND($B850&lt;&gt;"",$E850=""),"報酬額が未入力／","")&amp;IF(N($U850)&gt;0,"申請書に入力エラーが残っています／","")&amp;IF(AND($B850&lt;&gt;"",$AQ850&lt;&gt;""),IF(COUNTIFS($B$6:$B$3005,$B850,$C$6:$C$3005,$C850,$D$6:$D$3005,$D850)&gt;1,"同じ月の請求が重複しています／",""),"")&amp;IF(AND(N($E850)&gt;0,$AB850&lt;&gt;"",$AB850&lt;&gt;"×",$AE850=0,$AD850=""),"計算額が下限以下のため不支給／",""))</f>
        <v/>
      </c>
      <c r="AN850" s="12" t="n"/>
      <c r="AO850" s="14">
        <f>IF($AF850="保留中",COUNTIF($AF$6:$AF850,"保留中"),"")</f>
        <v/>
      </c>
      <c r="AP850" s="14">
        <f>IF($AQ850="","",IF(SUMPRODUCT(MAX((職員マスタ!$A$6:$A$405=$B850)*(((職員マスタ!$G$6:$G$405="")+(職員マスタ!$G$6:$G$405&lt;=EOMONTH($AQ850,0)))&gt;0)*(((職員マスタ!$H$6:$H$405="")+(職員マスタ!$H$6:$H$405&gt;=$AQ850))&gt;0)*(ROW(職員マスタ!$A$6:$A$405)-5)))&gt;0,SUMPRODUCT(MAX((職員マスタ!$A$6:$A$405=$B850)*(((職員マスタ!$G$6:$G$405="")+(職員マスタ!$G$6:$G$405&lt;=EOMONTH($AQ850,0)))&gt;0)*(((職員マスタ!$H$6:$H$405="")+(職員マスタ!$H$6:$H$405&gt;=$AQ850))&gt;0)*(ROW(職員マスタ!$A$6:$A$405)-5))),IFERROR(MATCH($B850,職員マスタ!$A$6:$A$405,0),"")))</f>
        <v/>
      </c>
      <c r="AQ850" s="16">
        <f>IF(OR($B850="",$C850="",$D850=""),"",DATE($C850+2018,$D850,1))</f>
        <v/>
      </c>
    </row>
    <row r="851">
      <c r="A851" s="11" t="n"/>
      <c r="B851" s="12" t="n"/>
      <c r="C851" s="12" t="n"/>
      <c r="D851" s="12" t="n"/>
      <c r="E851" s="13" t="n"/>
      <c r="F851" s="12" t="n"/>
      <c r="G851" s="13" t="n"/>
      <c r="H851" s="12" t="n"/>
      <c r="I851" s="12" t="n"/>
      <c r="J851" s="12" t="n"/>
      <c r="K851" s="12" t="n"/>
      <c r="L851" s="11" t="n"/>
      <c r="M851" s="11" t="n"/>
      <c r="N851" s="11" t="n"/>
      <c r="O851" s="11" t="n"/>
      <c r="P851" s="12" t="n"/>
      <c r="Q851" s="11" t="n"/>
      <c r="R851" s="12" t="n"/>
      <c r="S851" s="11" t="n"/>
      <c r="T851" s="12" t="n"/>
      <c r="U851" s="12" t="n"/>
      <c r="V851" s="12" t="n"/>
      <c r="W851" s="13" t="n"/>
      <c r="X851" s="14">
        <f>IF($AP851="",IF($B851="","",$H851),IF(INDEX(職員マスタ!$B$6:$B$405,$AP851)="",$H851,INDEX(職員マスタ!$B$6:$B$405,$AP851)))</f>
        <v/>
      </c>
      <c r="Y851" s="14">
        <f>IF($AP851="",IF($B851="","",$R851),IF(INDEX(職員マスタ!$C$6:$C$405,$AP851)="",$R851,INDEX(職員マスタ!$C$6:$C$405,$AP851)))</f>
        <v/>
      </c>
      <c r="Z851" s="14">
        <f>IF($AQ851="","","R"&amp;$C851&amp;"."&amp;$D851)</f>
        <v/>
      </c>
      <c r="AA851" s="15">
        <f>IF(IF($AP851="",FALSE,INDEX(職員マスタ!$K$6:$K$405,$AP851)&lt;&gt;""),INDEX(職員マスタ!$K$6:$K$405,$AP851),IF(N($W851)&gt;0,$W851,""))</f>
        <v/>
      </c>
      <c r="AB851" s="14">
        <f>IF(OR($E851="",$AA851=""),"",IF($E851&gt;=$AA851,"×",IF($E851&gt;=$AA851*設定!$C$5,"△","○")))</f>
        <v/>
      </c>
      <c r="AC851" s="15">
        <f>IF($AB851="","",IF($AB851="×",0,IF($AB851="○",ROUNDDOWN($E851*設定!$C$4,0),ROUNDDOWN($E851*ROUND((9*$AA851-9*$E851)/(10*$E851),4),0))))</f>
        <v/>
      </c>
      <c r="AD851" s="13" t="n"/>
      <c r="AE851" s="15">
        <f>IF($B851="","",IF($AD851&lt;&gt;"",$AD851,IF($AC851="","",IF($AC851&lt;=設定!$C$3,0,$AC851))))</f>
        <v/>
      </c>
      <c r="AF851" s="14">
        <f>IF($B851="","",IF(AND($AG851&lt;&gt;"",$AI851="",$AL851=""),"保留中",IF($AL851&lt;&gt;"",IF(N($AE851)&gt;0,"支給済","不支給"),IF($AE851="","要確認",IF($AE851=0,"不支給","未処理")))))</f>
        <v/>
      </c>
      <c r="AG851" s="12" t="n"/>
      <c r="AH851" s="11" t="n"/>
      <c r="AI851" s="11" t="n"/>
      <c r="AJ851" s="11" t="n"/>
      <c r="AK851" s="14">
        <f>IF(AND($AF851="保留中",$AH851&lt;&gt;""),TODAY()-$AH851,"")</f>
        <v/>
      </c>
      <c r="AL851" s="12" t="n"/>
      <c r="AM851" s="14">
        <f>IF($B851="","",IF($AQ851="","対象年月が未入力／","")&amp;IF($B851="","",IF($AP851="","職員マスタに未登録の職員番号／",IF($AA851="","標準報酬月額が未登録／","")&amp;IF(AND($AQ851&lt;&gt;"",OR(AND(INDEX(職員マスタ!$G$6:$G$405,$AP851)&lt;&gt;"",INDEX(職員マスタ!$G$6:$G$405,$AP851)&gt;EOMONTH($AQ851,0)),AND(INDEX(職員マスタ!$H$6:$H$405,$AP851)&lt;&gt;"",INDEX(職員マスタ!$H$6:$H$405,$AP851)&lt;$AQ851))),"対象月が時短期間外／","")&amp;IF(AND(INDEX(職員マスタ!$K$6:$K$405,$AP851)&lt;&gt;"",N($W851)&gt;0,INDEX(職員マスタ!$K$6:$K$405,$AP851)&lt;&gt;$W851),"標準報酬月額が申請書と相違（台帳"&amp;TEXT(INDEX(職員マスタ!$K$6:$K$405,$AP851),"#,##0")&amp;"円／申請書"&amp;TEXT($W851,"#,##0")&amp;"円）／","")&amp;IF(AND(INDEX(職員マスタ!$F$6:$F$405,$AP851)&lt;&gt;"",$AQ851&lt;&gt;"",INDEX(職員マスタ!$F$6:$F$405,$AP851)&lt;$AQ851),"対象月に子が2歳到達済／","")&amp;IF(AND($H851&lt;&gt;"",INDEX(職員マスタ!$B$6:$B$405,$AP851)&lt;&gt;"",SUBSTITUTE(SUBSTITUTE($H851," ","")," ","")&lt;&gt;SUBSTITUTE(SUBSTITUTE(INDEX(職員マスタ!$B$6:$B$405,$AP851)," ","")," ","")),"氏名がマスタと相違／","")&amp;IF(AND($Q851&lt;&gt;"",INDEX(職員マスタ!$E$6:$E$405,$AP851)&lt;&gt;"",$Q851&lt;&gt;INDEX(職員マスタ!$E$6:$E$405,$AP851)),"子の生年月日がマスタと相違／","")&amp;IF(AND($L851&lt;&gt;"",INDEX(職員マスタ!$G$6:$G$405,$AP851)&lt;&gt;"",$L851&lt;&gt;INDEX(職員マスタ!$G$6:$G$405,$AP851)),"時短開始日がマスタと相違／","")&amp;IF(AND($M851&lt;&gt;"",INDEX(職員マスタ!$H$6:$H$405,$AP851)&lt;&gt;"",$M851&lt;&gt;INDEX(職員マスタ!$H$6:$H$405,$AP851)),"時短終了日がマスタと相違／","")))&amp;IF(AND($B851&lt;&gt;"",$E851=""),"報酬額が未入力／","")&amp;IF(N($U851)&gt;0,"申請書に入力エラーが残っています／","")&amp;IF(AND($B851&lt;&gt;"",$AQ851&lt;&gt;""),IF(COUNTIFS($B$6:$B$3005,$B851,$C$6:$C$3005,$C851,$D$6:$D$3005,$D851)&gt;1,"同じ月の請求が重複しています／",""),"")&amp;IF(AND(N($E851)&gt;0,$AB851&lt;&gt;"",$AB851&lt;&gt;"×",$AE851=0,$AD851=""),"計算額が下限以下のため不支給／",""))</f>
        <v/>
      </c>
      <c r="AN851" s="12" t="n"/>
      <c r="AO851" s="14">
        <f>IF($AF851="保留中",COUNTIF($AF$6:$AF851,"保留中"),"")</f>
        <v/>
      </c>
      <c r="AP851" s="14">
        <f>IF($AQ851="","",IF(SUMPRODUCT(MAX((職員マスタ!$A$6:$A$405=$B851)*(((職員マスタ!$G$6:$G$405="")+(職員マスタ!$G$6:$G$405&lt;=EOMONTH($AQ851,0)))&gt;0)*(((職員マスタ!$H$6:$H$405="")+(職員マスタ!$H$6:$H$405&gt;=$AQ851))&gt;0)*(ROW(職員マスタ!$A$6:$A$405)-5)))&gt;0,SUMPRODUCT(MAX((職員マスタ!$A$6:$A$405=$B851)*(((職員マスタ!$G$6:$G$405="")+(職員マスタ!$G$6:$G$405&lt;=EOMONTH($AQ851,0)))&gt;0)*(((職員マスタ!$H$6:$H$405="")+(職員マスタ!$H$6:$H$405&gt;=$AQ851))&gt;0)*(ROW(職員マスタ!$A$6:$A$405)-5))),IFERROR(MATCH($B851,職員マスタ!$A$6:$A$405,0),"")))</f>
        <v/>
      </c>
      <c r="AQ851" s="16">
        <f>IF(OR($B851="",$C851="",$D851=""),"",DATE($C851+2018,$D851,1))</f>
        <v/>
      </c>
    </row>
    <row r="852">
      <c r="A852" s="11" t="n"/>
      <c r="B852" s="12" t="n"/>
      <c r="C852" s="12" t="n"/>
      <c r="D852" s="12" t="n"/>
      <c r="E852" s="13" t="n"/>
      <c r="F852" s="12" t="n"/>
      <c r="G852" s="13" t="n"/>
      <c r="H852" s="12" t="n"/>
      <c r="I852" s="12" t="n"/>
      <c r="J852" s="12" t="n"/>
      <c r="K852" s="12" t="n"/>
      <c r="L852" s="11" t="n"/>
      <c r="M852" s="11" t="n"/>
      <c r="N852" s="11" t="n"/>
      <c r="O852" s="11" t="n"/>
      <c r="P852" s="12" t="n"/>
      <c r="Q852" s="11" t="n"/>
      <c r="R852" s="12" t="n"/>
      <c r="S852" s="11" t="n"/>
      <c r="T852" s="12" t="n"/>
      <c r="U852" s="12" t="n"/>
      <c r="V852" s="12" t="n"/>
      <c r="W852" s="13" t="n"/>
      <c r="X852" s="14">
        <f>IF($AP852="",IF($B852="","",$H852),IF(INDEX(職員マスタ!$B$6:$B$405,$AP852)="",$H852,INDEX(職員マスタ!$B$6:$B$405,$AP852)))</f>
        <v/>
      </c>
      <c r="Y852" s="14">
        <f>IF($AP852="",IF($B852="","",$R852),IF(INDEX(職員マスタ!$C$6:$C$405,$AP852)="",$R852,INDEX(職員マスタ!$C$6:$C$405,$AP852)))</f>
        <v/>
      </c>
      <c r="Z852" s="14">
        <f>IF($AQ852="","","R"&amp;$C852&amp;"."&amp;$D852)</f>
        <v/>
      </c>
      <c r="AA852" s="15">
        <f>IF(IF($AP852="",FALSE,INDEX(職員マスタ!$K$6:$K$405,$AP852)&lt;&gt;""),INDEX(職員マスタ!$K$6:$K$405,$AP852),IF(N($W852)&gt;0,$W852,""))</f>
        <v/>
      </c>
      <c r="AB852" s="14">
        <f>IF(OR($E852="",$AA852=""),"",IF($E852&gt;=$AA852,"×",IF($E852&gt;=$AA852*設定!$C$5,"△","○")))</f>
        <v/>
      </c>
      <c r="AC852" s="15">
        <f>IF($AB852="","",IF($AB852="×",0,IF($AB852="○",ROUNDDOWN($E852*設定!$C$4,0),ROUNDDOWN($E852*ROUND((9*$AA852-9*$E852)/(10*$E852),4),0))))</f>
        <v/>
      </c>
      <c r="AD852" s="13" t="n"/>
      <c r="AE852" s="15">
        <f>IF($B852="","",IF($AD852&lt;&gt;"",$AD852,IF($AC852="","",IF($AC852&lt;=設定!$C$3,0,$AC852))))</f>
        <v/>
      </c>
      <c r="AF852" s="14">
        <f>IF($B852="","",IF(AND($AG852&lt;&gt;"",$AI852="",$AL852=""),"保留中",IF($AL852&lt;&gt;"",IF(N($AE852)&gt;0,"支給済","不支給"),IF($AE852="","要確認",IF($AE852=0,"不支給","未処理")))))</f>
        <v/>
      </c>
      <c r="AG852" s="12" t="n"/>
      <c r="AH852" s="11" t="n"/>
      <c r="AI852" s="11" t="n"/>
      <c r="AJ852" s="11" t="n"/>
      <c r="AK852" s="14">
        <f>IF(AND($AF852="保留中",$AH852&lt;&gt;""),TODAY()-$AH852,"")</f>
        <v/>
      </c>
      <c r="AL852" s="12" t="n"/>
      <c r="AM852" s="14">
        <f>IF($B852="","",IF($AQ852="","対象年月が未入力／","")&amp;IF($B852="","",IF($AP852="","職員マスタに未登録の職員番号／",IF($AA852="","標準報酬月額が未登録／","")&amp;IF(AND($AQ852&lt;&gt;"",OR(AND(INDEX(職員マスタ!$G$6:$G$405,$AP852)&lt;&gt;"",INDEX(職員マスタ!$G$6:$G$405,$AP852)&gt;EOMONTH($AQ852,0)),AND(INDEX(職員マスタ!$H$6:$H$405,$AP852)&lt;&gt;"",INDEX(職員マスタ!$H$6:$H$405,$AP852)&lt;$AQ852))),"対象月が時短期間外／","")&amp;IF(AND(INDEX(職員マスタ!$K$6:$K$405,$AP852)&lt;&gt;"",N($W852)&gt;0,INDEX(職員マスタ!$K$6:$K$405,$AP852)&lt;&gt;$W852),"標準報酬月額が申請書と相違（台帳"&amp;TEXT(INDEX(職員マスタ!$K$6:$K$405,$AP852),"#,##0")&amp;"円／申請書"&amp;TEXT($W852,"#,##0")&amp;"円）／","")&amp;IF(AND(INDEX(職員マスタ!$F$6:$F$405,$AP852)&lt;&gt;"",$AQ852&lt;&gt;"",INDEX(職員マスタ!$F$6:$F$405,$AP852)&lt;$AQ852),"対象月に子が2歳到達済／","")&amp;IF(AND($H852&lt;&gt;"",INDEX(職員マスタ!$B$6:$B$405,$AP852)&lt;&gt;"",SUBSTITUTE(SUBSTITUTE($H852," ","")," ","")&lt;&gt;SUBSTITUTE(SUBSTITUTE(INDEX(職員マスタ!$B$6:$B$405,$AP852)," ","")," ","")),"氏名がマスタと相違／","")&amp;IF(AND($Q852&lt;&gt;"",INDEX(職員マスタ!$E$6:$E$405,$AP852)&lt;&gt;"",$Q852&lt;&gt;INDEX(職員マスタ!$E$6:$E$405,$AP852)),"子の生年月日がマスタと相違／","")&amp;IF(AND($L852&lt;&gt;"",INDEX(職員マスタ!$G$6:$G$405,$AP852)&lt;&gt;"",$L852&lt;&gt;INDEX(職員マスタ!$G$6:$G$405,$AP852)),"時短開始日がマスタと相違／","")&amp;IF(AND($M852&lt;&gt;"",INDEX(職員マスタ!$H$6:$H$405,$AP852)&lt;&gt;"",$M852&lt;&gt;INDEX(職員マスタ!$H$6:$H$405,$AP852)),"時短終了日がマスタと相違／","")))&amp;IF(AND($B852&lt;&gt;"",$E852=""),"報酬額が未入力／","")&amp;IF(N($U852)&gt;0,"申請書に入力エラーが残っています／","")&amp;IF(AND($B852&lt;&gt;"",$AQ852&lt;&gt;""),IF(COUNTIFS($B$6:$B$3005,$B852,$C$6:$C$3005,$C852,$D$6:$D$3005,$D852)&gt;1,"同じ月の請求が重複しています／",""),"")&amp;IF(AND(N($E852)&gt;0,$AB852&lt;&gt;"",$AB852&lt;&gt;"×",$AE852=0,$AD852=""),"計算額が下限以下のため不支給／",""))</f>
        <v/>
      </c>
      <c r="AN852" s="12" t="n"/>
      <c r="AO852" s="14">
        <f>IF($AF852="保留中",COUNTIF($AF$6:$AF852,"保留中"),"")</f>
        <v/>
      </c>
      <c r="AP852" s="14">
        <f>IF($AQ852="","",IF(SUMPRODUCT(MAX((職員マスタ!$A$6:$A$405=$B852)*(((職員マスタ!$G$6:$G$405="")+(職員マスタ!$G$6:$G$405&lt;=EOMONTH($AQ852,0)))&gt;0)*(((職員マスタ!$H$6:$H$405="")+(職員マスタ!$H$6:$H$405&gt;=$AQ852))&gt;0)*(ROW(職員マスタ!$A$6:$A$405)-5)))&gt;0,SUMPRODUCT(MAX((職員マスタ!$A$6:$A$405=$B852)*(((職員マスタ!$G$6:$G$405="")+(職員マスタ!$G$6:$G$405&lt;=EOMONTH($AQ852,0)))&gt;0)*(((職員マスタ!$H$6:$H$405="")+(職員マスタ!$H$6:$H$405&gt;=$AQ852))&gt;0)*(ROW(職員マスタ!$A$6:$A$405)-5))),IFERROR(MATCH($B852,職員マスタ!$A$6:$A$405,0),"")))</f>
        <v/>
      </c>
      <c r="AQ852" s="16">
        <f>IF(OR($B852="",$C852="",$D852=""),"",DATE($C852+2018,$D852,1))</f>
        <v/>
      </c>
    </row>
    <row r="853">
      <c r="A853" s="11" t="n"/>
      <c r="B853" s="12" t="n"/>
      <c r="C853" s="12" t="n"/>
      <c r="D853" s="12" t="n"/>
      <c r="E853" s="13" t="n"/>
      <c r="F853" s="12" t="n"/>
      <c r="G853" s="13" t="n"/>
      <c r="H853" s="12" t="n"/>
      <c r="I853" s="12" t="n"/>
      <c r="J853" s="12" t="n"/>
      <c r="K853" s="12" t="n"/>
      <c r="L853" s="11" t="n"/>
      <c r="M853" s="11" t="n"/>
      <c r="N853" s="11" t="n"/>
      <c r="O853" s="11" t="n"/>
      <c r="P853" s="12" t="n"/>
      <c r="Q853" s="11" t="n"/>
      <c r="R853" s="12" t="n"/>
      <c r="S853" s="11" t="n"/>
      <c r="T853" s="12" t="n"/>
      <c r="U853" s="12" t="n"/>
      <c r="V853" s="12" t="n"/>
      <c r="W853" s="13" t="n"/>
      <c r="X853" s="14">
        <f>IF($AP853="",IF($B853="","",$H853),IF(INDEX(職員マスタ!$B$6:$B$405,$AP853)="",$H853,INDEX(職員マスタ!$B$6:$B$405,$AP853)))</f>
        <v/>
      </c>
      <c r="Y853" s="14">
        <f>IF($AP853="",IF($B853="","",$R853),IF(INDEX(職員マスタ!$C$6:$C$405,$AP853)="",$R853,INDEX(職員マスタ!$C$6:$C$405,$AP853)))</f>
        <v/>
      </c>
      <c r="Z853" s="14">
        <f>IF($AQ853="","","R"&amp;$C853&amp;"."&amp;$D853)</f>
        <v/>
      </c>
      <c r="AA853" s="15">
        <f>IF(IF($AP853="",FALSE,INDEX(職員マスタ!$K$6:$K$405,$AP853)&lt;&gt;""),INDEX(職員マスタ!$K$6:$K$405,$AP853),IF(N($W853)&gt;0,$W853,""))</f>
        <v/>
      </c>
      <c r="AB853" s="14">
        <f>IF(OR($E853="",$AA853=""),"",IF($E853&gt;=$AA853,"×",IF($E853&gt;=$AA853*設定!$C$5,"△","○")))</f>
        <v/>
      </c>
      <c r="AC853" s="15">
        <f>IF($AB853="","",IF($AB853="×",0,IF($AB853="○",ROUNDDOWN($E853*設定!$C$4,0),ROUNDDOWN($E853*ROUND((9*$AA853-9*$E853)/(10*$E853),4),0))))</f>
        <v/>
      </c>
      <c r="AD853" s="13" t="n"/>
      <c r="AE853" s="15">
        <f>IF($B853="","",IF($AD853&lt;&gt;"",$AD853,IF($AC853="","",IF($AC853&lt;=設定!$C$3,0,$AC853))))</f>
        <v/>
      </c>
      <c r="AF853" s="14">
        <f>IF($B853="","",IF(AND($AG853&lt;&gt;"",$AI853="",$AL853=""),"保留中",IF($AL853&lt;&gt;"",IF(N($AE853)&gt;0,"支給済","不支給"),IF($AE853="","要確認",IF($AE853=0,"不支給","未処理")))))</f>
        <v/>
      </c>
      <c r="AG853" s="12" t="n"/>
      <c r="AH853" s="11" t="n"/>
      <c r="AI853" s="11" t="n"/>
      <c r="AJ853" s="11" t="n"/>
      <c r="AK853" s="14">
        <f>IF(AND($AF853="保留中",$AH853&lt;&gt;""),TODAY()-$AH853,"")</f>
        <v/>
      </c>
      <c r="AL853" s="12" t="n"/>
      <c r="AM853" s="14">
        <f>IF($B853="","",IF($AQ853="","対象年月が未入力／","")&amp;IF($B853="","",IF($AP853="","職員マスタに未登録の職員番号／",IF($AA853="","標準報酬月額が未登録／","")&amp;IF(AND($AQ853&lt;&gt;"",OR(AND(INDEX(職員マスタ!$G$6:$G$405,$AP853)&lt;&gt;"",INDEX(職員マスタ!$G$6:$G$405,$AP853)&gt;EOMONTH($AQ853,0)),AND(INDEX(職員マスタ!$H$6:$H$405,$AP853)&lt;&gt;"",INDEX(職員マスタ!$H$6:$H$405,$AP853)&lt;$AQ853))),"対象月が時短期間外／","")&amp;IF(AND(INDEX(職員マスタ!$K$6:$K$405,$AP853)&lt;&gt;"",N($W853)&gt;0,INDEX(職員マスタ!$K$6:$K$405,$AP853)&lt;&gt;$W853),"標準報酬月額が申請書と相違（台帳"&amp;TEXT(INDEX(職員マスタ!$K$6:$K$405,$AP853),"#,##0")&amp;"円／申請書"&amp;TEXT($W853,"#,##0")&amp;"円）／","")&amp;IF(AND(INDEX(職員マスタ!$F$6:$F$405,$AP853)&lt;&gt;"",$AQ853&lt;&gt;"",INDEX(職員マスタ!$F$6:$F$405,$AP853)&lt;$AQ853),"対象月に子が2歳到達済／","")&amp;IF(AND($H853&lt;&gt;"",INDEX(職員マスタ!$B$6:$B$405,$AP853)&lt;&gt;"",SUBSTITUTE(SUBSTITUTE($H853," ","")," ","")&lt;&gt;SUBSTITUTE(SUBSTITUTE(INDEX(職員マスタ!$B$6:$B$405,$AP853)," ","")," ","")),"氏名がマスタと相違／","")&amp;IF(AND($Q853&lt;&gt;"",INDEX(職員マスタ!$E$6:$E$405,$AP853)&lt;&gt;"",$Q853&lt;&gt;INDEX(職員マスタ!$E$6:$E$405,$AP853)),"子の生年月日がマスタと相違／","")&amp;IF(AND($L853&lt;&gt;"",INDEX(職員マスタ!$G$6:$G$405,$AP853)&lt;&gt;"",$L853&lt;&gt;INDEX(職員マスタ!$G$6:$G$405,$AP853)),"時短開始日がマスタと相違／","")&amp;IF(AND($M853&lt;&gt;"",INDEX(職員マスタ!$H$6:$H$405,$AP853)&lt;&gt;"",$M853&lt;&gt;INDEX(職員マスタ!$H$6:$H$405,$AP853)),"時短終了日がマスタと相違／","")))&amp;IF(AND($B853&lt;&gt;"",$E853=""),"報酬額が未入力／","")&amp;IF(N($U853)&gt;0,"申請書に入力エラーが残っています／","")&amp;IF(AND($B853&lt;&gt;"",$AQ853&lt;&gt;""),IF(COUNTIFS($B$6:$B$3005,$B853,$C$6:$C$3005,$C853,$D$6:$D$3005,$D853)&gt;1,"同じ月の請求が重複しています／",""),"")&amp;IF(AND(N($E853)&gt;0,$AB853&lt;&gt;"",$AB853&lt;&gt;"×",$AE853=0,$AD853=""),"計算額が下限以下のため不支給／",""))</f>
        <v/>
      </c>
      <c r="AN853" s="12" t="n"/>
      <c r="AO853" s="14">
        <f>IF($AF853="保留中",COUNTIF($AF$6:$AF853,"保留中"),"")</f>
        <v/>
      </c>
      <c r="AP853" s="14">
        <f>IF($AQ853="","",IF(SUMPRODUCT(MAX((職員マスタ!$A$6:$A$405=$B853)*(((職員マスタ!$G$6:$G$405="")+(職員マスタ!$G$6:$G$405&lt;=EOMONTH($AQ853,0)))&gt;0)*(((職員マスタ!$H$6:$H$405="")+(職員マスタ!$H$6:$H$405&gt;=$AQ853))&gt;0)*(ROW(職員マスタ!$A$6:$A$405)-5)))&gt;0,SUMPRODUCT(MAX((職員マスタ!$A$6:$A$405=$B853)*(((職員マスタ!$G$6:$G$405="")+(職員マスタ!$G$6:$G$405&lt;=EOMONTH($AQ853,0)))&gt;0)*(((職員マスタ!$H$6:$H$405="")+(職員マスタ!$H$6:$H$405&gt;=$AQ853))&gt;0)*(ROW(職員マスタ!$A$6:$A$405)-5))),IFERROR(MATCH($B853,職員マスタ!$A$6:$A$405,0),"")))</f>
        <v/>
      </c>
      <c r="AQ853" s="16">
        <f>IF(OR($B853="",$C853="",$D853=""),"",DATE($C853+2018,$D853,1))</f>
        <v/>
      </c>
    </row>
    <row r="854">
      <c r="A854" s="11" t="n"/>
      <c r="B854" s="12" t="n"/>
      <c r="C854" s="12" t="n"/>
      <c r="D854" s="12" t="n"/>
      <c r="E854" s="13" t="n"/>
      <c r="F854" s="12" t="n"/>
      <c r="G854" s="13" t="n"/>
      <c r="H854" s="12" t="n"/>
      <c r="I854" s="12" t="n"/>
      <c r="J854" s="12" t="n"/>
      <c r="K854" s="12" t="n"/>
      <c r="L854" s="11" t="n"/>
      <c r="M854" s="11" t="n"/>
      <c r="N854" s="11" t="n"/>
      <c r="O854" s="11" t="n"/>
      <c r="P854" s="12" t="n"/>
      <c r="Q854" s="11" t="n"/>
      <c r="R854" s="12" t="n"/>
      <c r="S854" s="11" t="n"/>
      <c r="T854" s="12" t="n"/>
      <c r="U854" s="12" t="n"/>
      <c r="V854" s="12" t="n"/>
      <c r="W854" s="13" t="n"/>
      <c r="X854" s="14">
        <f>IF($AP854="",IF($B854="","",$H854),IF(INDEX(職員マスタ!$B$6:$B$405,$AP854)="",$H854,INDEX(職員マスタ!$B$6:$B$405,$AP854)))</f>
        <v/>
      </c>
      <c r="Y854" s="14">
        <f>IF($AP854="",IF($B854="","",$R854),IF(INDEX(職員マスタ!$C$6:$C$405,$AP854)="",$R854,INDEX(職員マスタ!$C$6:$C$405,$AP854)))</f>
        <v/>
      </c>
      <c r="Z854" s="14">
        <f>IF($AQ854="","","R"&amp;$C854&amp;"."&amp;$D854)</f>
        <v/>
      </c>
      <c r="AA854" s="15">
        <f>IF(IF($AP854="",FALSE,INDEX(職員マスタ!$K$6:$K$405,$AP854)&lt;&gt;""),INDEX(職員マスタ!$K$6:$K$405,$AP854),IF(N($W854)&gt;0,$W854,""))</f>
        <v/>
      </c>
      <c r="AB854" s="14">
        <f>IF(OR($E854="",$AA854=""),"",IF($E854&gt;=$AA854,"×",IF($E854&gt;=$AA854*設定!$C$5,"△","○")))</f>
        <v/>
      </c>
      <c r="AC854" s="15">
        <f>IF($AB854="","",IF($AB854="×",0,IF($AB854="○",ROUNDDOWN($E854*設定!$C$4,0),ROUNDDOWN($E854*ROUND((9*$AA854-9*$E854)/(10*$E854),4),0))))</f>
        <v/>
      </c>
      <c r="AD854" s="13" t="n"/>
      <c r="AE854" s="15">
        <f>IF($B854="","",IF($AD854&lt;&gt;"",$AD854,IF($AC854="","",IF($AC854&lt;=設定!$C$3,0,$AC854))))</f>
        <v/>
      </c>
      <c r="AF854" s="14">
        <f>IF($B854="","",IF(AND($AG854&lt;&gt;"",$AI854="",$AL854=""),"保留中",IF($AL854&lt;&gt;"",IF(N($AE854)&gt;0,"支給済","不支給"),IF($AE854="","要確認",IF($AE854=0,"不支給","未処理")))))</f>
        <v/>
      </c>
      <c r="AG854" s="12" t="n"/>
      <c r="AH854" s="11" t="n"/>
      <c r="AI854" s="11" t="n"/>
      <c r="AJ854" s="11" t="n"/>
      <c r="AK854" s="14">
        <f>IF(AND($AF854="保留中",$AH854&lt;&gt;""),TODAY()-$AH854,"")</f>
        <v/>
      </c>
      <c r="AL854" s="12" t="n"/>
      <c r="AM854" s="14">
        <f>IF($B854="","",IF($AQ854="","対象年月が未入力／","")&amp;IF($B854="","",IF($AP854="","職員マスタに未登録の職員番号／",IF($AA854="","標準報酬月額が未登録／","")&amp;IF(AND($AQ854&lt;&gt;"",OR(AND(INDEX(職員マスタ!$G$6:$G$405,$AP854)&lt;&gt;"",INDEX(職員マスタ!$G$6:$G$405,$AP854)&gt;EOMONTH($AQ854,0)),AND(INDEX(職員マスタ!$H$6:$H$405,$AP854)&lt;&gt;"",INDEX(職員マスタ!$H$6:$H$405,$AP854)&lt;$AQ854))),"対象月が時短期間外／","")&amp;IF(AND(INDEX(職員マスタ!$K$6:$K$405,$AP854)&lt;&gt;"",N($W854)&gt;0,INDEX(職員マスタ!$K$6:$K$405,$AP854)&lt;&gt;$W854),"標準報酬月額が申請書と相違（台帳"&amp;TEXT(INDEX(職員マスタ!$K$6:$K$405,$AP854),"#,##0")&amp;"円／申請書"&amp;TEXT($W854,"#,##0")&amp;"円）／","")&amp;IF(AND(INDEX(職員マスタ!$F$6:$F$405,$AP854)&lt;&gt;"",$AQ854&lt;&gt;"",INDEX(職員マスタ!$F$6:$F$405,$AP854)&lt;$AQ854),"対象月に子が2歳到達済／","")&amp;IF(AND($H854&lt;&gt;"",INDEX(職員マスタ!$B$6:$B$405,$AP854)&lt;&gt;"",SUBSTITUTE(SUBSTITUTE($H854," ","")," ","")&lt;&gt;SUBSTITUTE(SUBSTITUTE(INDEX(職員マスタ!$B$6:$B$405,$AP854)," ","")," ","")),"氏名がマスタと相違／","")&amp;IF(AND($Q854&lt;&gt;"",INDEX(職員マスタ!$E$6:$E$405,$AP854)&lt;&gt;"",$Q854&lt;&gt;INDEX(職員マスタ!$E$6:$E$405,$AP854)),"子の生年月日がマスタと相違／","")&amp;IF(AND($L854&lt;&gt;"",INDEX(職員マスタ!$G$6:$G$405,$AP854)&lt;&gt;"",$L854&lt;&gt;INDEX(職員マスタ!$G$6:$G$405,$AP854)),"時短開始日がマスタと相違／","")&amp;IF(AND($M854&lt;&gt;"",INDEX(職員マスタ!$H$6:$H$405,$AP854)&lt;&gt;"",$M854&lt;&gt;INDEX(職員マスタ!$H$6:$H$405,$AP854)),"時短終了日がマスタと相違／","")))&amp;IF(AND($B854&lt;&gt;"",$E854=""),"報酬額が未入力／","")&amp;IF(N($U854)&gt;0,"申請書に入力エラーが残っています／","")&amp;IF(AND($B854&lt;&gt;"",$AQ854&lt;&gt;""),IF(COUNTIFS($B$6:$B$3005,$B854,$C$6:$C$3005,$C854,$D$6:$D$3005,$D854)&gt;1,"同じ月の請求が重複しています／",""),"")&amp;IF(AND(N($E854)&gt;0,$AB854&lt;&gt;"",$AB854&lt;&gt;"×",$AE854=0,$AD854=""),"計算額が下限以下のため不支給／",""))</f>
        <v/>
      </c>
      <c r="AN854" s="12" t="n"/>
      <c r="AO854" s="14">
        <f>IF($AF854="保留中",COUNTIF($AF$6:$AF854,"保留中"),"")</f>
        <v/>
      </c>
      <c r="AP854" s="14">
        <f>IF($AQ854="","",IF(SUMPRODUCT(MAX((職員マスタ!$A$6:$A$405=$B854)*(((職員マスタ!$G$6:$G$405="")+(職員マスタ!$G$6:$G$405&lt;=EOMONTH($AQ854,0)))&gt;0)*(((職員マスタ!$H$6:$H$405="")+(職員マスタ!$H$6:$H$405&gt;=$AQ854))&gt;0)*(ROW(職員マスタ!$A$6:$A$405)-5)))&gt;0,SUMPRODUCT(MAX((職員マスタ!$A$6:$A$405=$B854)*(((職員マスタ!$G$6:$G$405="")+(職員マスタ!$G$6:$G$405&lt;=EOMONTH($AQ854,0)))&gt;0)*(((職員マスタ!$H$6:$H$405="")+(職員マスタ!$H$6:$H$405&gt;=$AQ854))&gt;0)*(ROW(職員マスタ!$A$6:$A$405)-5))),IFERROR(MATCH($B854,職員マスタ!$A$6:$A$405,0),"")))</f>
        <v/>
      </c>
      <c r="AQ854" s="16">
        <f>IF(OR($B854="",$C854="",$D854=""),"",DATE($C854+2018,$D854,1))</f>
        <v/>
      </c>
    </row>
    <row r="855">
      <c r="A855" s="11" t="n"/>
      <c r="B855" s="12" t="n"/>
      <c r="C855" s="12" t="n"/>
      <c r="D855" s="12" t="n"/>
      <c r="E855" s="13" t="n"/>
      <c r="F855" s="12" t="n"/>
      <c r="G855" s="13" t="n"/>
      <c r="H855" s="12" t="n"/>
      <c r="I855" s="12" t="n"/>
      <c r="J855" s="12" t="n"/>
      <c r="K855" s="12" t="n"/>
      <c r="L855" s="11" t="n"/>
      <c r="M855" s="11" t="n"/>
      <c r="N855" s="11" t="n"/>
      <c r="O855" s="11" t="n"/>
      <c r="P855" s="12" t="n"/>
      <c r="Q855" s="11" t="n"/>
      <c r="R855" s="12" t="n"/>
      <c r="S855" s="11" t="n"/>
      <c r="T855" s="12" t="n"/>
      <c r="U855" s="12" t="n"/>
      <c r="V855" s="12" t="n"/>
      <c r="W855" s="13" t="n"/>
      <c r="X855" s="14">
        <f>IF($AP855="",IF($B855="","",$H855),IF(INDEX(職員マスタ!$B$6:$B$405,$AP855)="",$H855,INDEX(職員マスタ!$B$6:$B$405,$AP855)))</f>
        <v/>
      </c>
      <c r="Y855" s="14">
        <f>IF($AP855="",IF($B855="","",$R855),IF(INDEX(職員マスタ!$C$6:$C$405,$AP855)="",$R855,INDEX(職員マスタ!$C$6:$C$405,$AP855)))</f>
        <v/>
      </c>
      <c r="Z855" s="14">
        <f>IF($AQ855="","","R"&amp;$C855&amp;"."&amp;$D855)</f>
        <v/>
      </c>
      <c r="AA855" s="15">
        <f>IF(IF($AP855="",FALSE,INDEX(職員マスタ!$K$6:$K$405,$AP855)&lt;&gt;""),INDEX(職員マスタ!$K$6:$K$405,$AP855),IF(N($W855)&gt;0,$W855,""))</f>
        <v/>
      </c>
      <c r="AB855" s="14">
        <f>IF(OR($E855="",$AA855=""),"",IF($E855&gt;=$AA855,"×",IF($E855&gt;=$AA855*設定!$C$5,"△","○")))</f>
        <v/>
      </c>
      <c r="AC855" s="15">
        <f>IF($AB855="","",IF($AB855="×",0,IF($AB855="○",ROUNDDOWN($E855*設定!$C$4,0),ROUNDDOWN($E855*ROUND((9*$AA855-9*$E855)/(10*$E855),4),0))))</f>
        <v/>
      </c>
      <c r="AD855" s="13" t="n"/>
      <c r="AE855" s="15">
        <f>IF($B855="","",IF($AD855&lt;&gt;"",$AD855,IF($AC855="","",IF($AC855&lt;=設定!$C$3,0,$AC855))))</f>
        <v/>
      </c>
      <c r="AF855" s="14">
        <f>IF($B855="","",IF(AND($AG855&lt;&gt;"",$AI855="",$AL855=""),"保留中",IF($AL855&lt;&gt;"",IF(N($AE855)&gt;0,"支給済","不支給"),IF($AE855="","要確認",IF($AE855=0,"不支給","未処理")))))</f>
        <v/>
      </c>
      <c r="AG855" s="12" t="n"/>
      <c r="AH855" s="11" t="n"/>
      <c r="AI855" s="11" t="n"/>
      <c r="AJ855" s="11" t="n"/>
      <c r="AK855" s="14">
        <f>IF(AND($AF855="保留中",$AH855&lt;&gt;""),TODAY()-$AH855,"")</f>
        <v/>
      </c>
      <c r="AL855" s="12" t="n"/>
      <c r="AM855" s="14">
        <f>IF($B855="","",IF($AQ855="","対象年月が未入力／","")&amp;IF($B855="","",IF($AP855="","職員マスタに未登録の職員番号／",IF($AA855="","標準報酬月額が未登録／","")&amp;IF(AND($AQ855&lt;&gt;"",OR(AND(INDEX(職員マスタ!$G$6:$G$405,$AP855)&lt;&gt;"",INDEX(職員マスタ!$G$6:$G$405,$AP855)&gt;EOMONTH($AQ855,0)),AND(INDEX(職員マスタ!$H$6:$H$405,$AP855)&lt;&gt;"",INDEX(職員マスタ!$H$6:$H$405,$AP855)&lt;$AQ855))),"対象月が時短期間外／","")&amp;IF(AND(INDEX(職員マスタ!$K$6:$K$405,$AP855)&lt;&gt;"",N($W855)&gt;0,INDEX(職員マスタ!$K$6:$K$405,$AP855)&lt;&gt;$W855),"標準報酬月額が申請書と相違（台帳"&amp;TEXT(INDEX(職員マスタ!$K$6:$K$405,$AP855),"#,##0")&amp;"円／申請書"&amp;TEXT($W855,"#,##0")&amp;"円）／","")&amp;IF(AND(INDEX(職員マスタ!$F$6:$F$405,$AP855)&lt;&gt;"",$AQ855&lt;&gt;"",INDEX(職員マスタ!$F$6:$F$405,$AP855)&lt;$AQ855),"対象月に子が2歳到達済／","")&amp;IF(AND($H855&lt;&gt;"",INDEX(職員マスタ!$B$6:$B$405,$AP855)&lt;&gt;"",SUBSTITUTE(SUBSTITUTE($H855," ","")," ","")&lt;&gt;SUBSTITUTE(SUBSTITUTE(INDEX(職員マスタ!$B$6:$B$405,$AP855)," ","")," ","")),"氏名がマスタと相違／","")&amp;IF(AND($Q855&lt;&gt;"",INDEX(職員マスタ!$E$6:$E$405,$AP855)&lt;&gt;"",$Q855&lt;&gt;INDEX(職員マスタ!$E$6:$E$405,$AP855)),"子の生年月日がマスタと相違／","")&amp;IF(AND($L855&lt;&gt;"",INDEX(職員マスタ!$G$6:$G$405,$AP855)&lt;&gt;"",$L855&lt;&gt;INDEX(職員マスタ!$G$6:$G$405,$AP855)),"時短開始日がマスタと相違／","")&amp;IF(AND($M855&lt;&gt;"",INDEX(職員マスタ!$H$6:$H$405,$AP855)&lt;&gt;"",$M855&lt;&gt;INDEX(職員マスタ!$H$6:$H$405,$AP855)),"時短終了日がマスタと相違／","")))&amp;IF(AND($B855&lt;&gt;"",$E855=""),"報酬額が未入力／","")&amp;IF(N($U855)&gt;0,"申請書に入力エラーが残っています／","")&amp;IF(AND($B855&lt;&gt;"",$AQ855&lt;&gt;""),IF(COUNTIFS($B$6:$B$3005,$B855,$C$6:$C$3005,$C855,$D$6:$D$3005,$D855)&gt;1,"同じ月の請求が重複しています／",""),"")&amp;IF(AND(N($E855)&gt;0,$AB855&lt;&gt;"",$AB855&lt;&gt;"×",$AE855=0,$AD855=""),"計算額が下限以下のため不支給／",""))</f>
        <v/>
      </c>
      <c r="AN855" s="12" t="n"/>
      <c r="AO855" s="14">
        <f>IF($AF855="保留中",COUNTIF($AF$6:$AF855,"保留中"),"")</f>
        <v/>
      </c>
      <c r="AP855" s="14">
        <f>IF($AQ855="","",IF(SUMPRODUCT(MAX((職員マスタ!$A$6:$A$405=$B855)*(((職員マスタ!$G$6:$G$405="")+(職員マスタ!$G$6:$G$405&lt;=EOMONTH($AQ855,0)))&gt;0)*(((職員マスタ!$H$6:$H$405="")+(職員マスタ!$H$6:$H$405&gt;=$AQ855))&gt;0)*(ROW(職員マスタ!$A$6:$A$405)-5)))&gt;0,SUMPRODUCT(MAX((職員マスタ!$A$6:$A$405=$B855)*(((職員マスタ!$G$6:$G$405="")+(職員マスタ!$G$6:$G$405&lt;=EOMONTH($AQ855,0)))&gt;0)*(((職員マスタ!$H$6:$H$405="")+(職員マスタ!$H$6:$H$405&gt;=$AQ855))&gt;0)*(ROW(職員マスタ!$A$6:$A$405)-5))),IFERROR(MATCH($B855,職員マスタ!$A$6:$A$405,0),"")))</f>
        <v/>
      </c>
      <c r="AQ855" s="16">
        <f>IF(OR($B855="",$C855="",$D855=""),"",DATE($C855+2018,$D855,1))</f>
        <v/>
      </c>
    </row>
    <row r="856">
      <c r="A856" s="11" t="n"/>
      <c r="B856" s="12" t="n"/>
      <c r="C856" s="12" t="n"/>
      <c r="D856" s="12" t="n"/>
      <c r="E856" s="13" t="n"/>
      <c r="F856" s="12" t="n"/>
      <c r="G856" s="13" t="n"/>
      <c r="H856" s="12" t="n"/>
      <c r="I856" s="12" t="n"/>
      <c r="J856" s="12" t="n"/>
      <c r="K856" s="12" t="n"/>
      <c r="L856" s="11" t="n"/>
      <c r="M856" s="11" t="n"/>
      <c r="N856" s="11" t="n"/>
      <c r="O856" s="11" t="n"/>
      <c r="P856" s="12" t="n"/>
      <c r="Q856" s="11" t="n"/>
      <c r="R856" s="12" t="n"/>
      <c r="S856" s="11" t="n"/>
      <c r="T856" s="12" t="n"/>
      <c r="U856" s="12" t="n"/>
      <c r="V856" s="12" t="n"/>
      <c r="W856" s="13" t="n"/>
      <c r="X856" s="14">
        <f>IF($AP856="",IF($B856="","",$H856),IF(INDEX(職員マスタ!$B$6:$B$405,$AP856)="",$H856,INDEX(職員マスタ!$B$6:$B$405,$AP856)))</f>
        <v/>
      </c>
      <c r="Y856" s="14">
        <f>IF($AP856="",IF($B856="","",$R856),IF(INDEX(職員マスタ!$C$6:$C$405,$AP856)="",$R856,INDEX(職員マスタ!$C$6:$C$405,$AP856)))</f>
        <v/>
      </c>
      <c r="Z856" s="14">
        <f>IF($AQ856="","","R"&amp;$C856&amp;"."&amp;$D856)</f>
        <v/>
      </c>
      <c r="AA856" s="15">
        <f>IF(IF($AP856="",FALSE,INDEX(職員マスタ!$K$6:$K$405,$AP856)&lt;&gt;""),INDEX(職員マスタ!$K$6:$K$405,$AP856),IF(N($W856)&gt;0,$W856,""))</f>
        <v/>
      </c>
      <c r="AB856" s="14">
        <f>IF(OR($E856="",$AA856=""),"",IF($E856&gt;=$AA856,"×",IF($E856&gt;=$AA856*設定!$C$5,"△","○")))</f>
        <v/>
      </c>
      <c r="AC856" s="15">
        <f>IF($AB856="","",IF($AB856="×",0,IF($AB856="○",ROUNDDOWN($E856*設定!$C$4,0),ROUNDDOWN($E856*ROUND((9*$AA856-9*$E856)/(10*$E856),4),0))))</f>
        <v/>
      </c>
      <c r="AD856" s="13" t="n"/>
      <c r="AE856" s="15">
        <f>IF($B856="","",IF($AD856&lt;&gt;"",$AD856,IF($AC856="","",IF($AC856&lt;=設定!$C$3,0,$AC856))))</f>
        <v/>
      </c>
      <c r="AF856" s="14">
        <f>IF($B856="","",IF(AND($AG856&lt;&gt;"",$AI856="",$AL856=""),"保留中",IF($AL856&lt;&gt;"",IF(N($AE856)&gt;0,"支給済","不支給"),IF($AE856="","要確認",IF($AE856=0,"不支給","未処理")))))</f>
        <v/>
      </c>
      <c r="AG856" s="12" t="n"/>
      <c r="AH856" s="11" t="n"/>
      <c r="AI856" s="11" t="n"/>
      <c r="AJ856" s="11" t="n"/>
      <c r="AK856" s="14">
        <f>IF(AND($AF856="保留中",$AH856&lt;&gt;""),TODAY()-$AH856,"")</f>
        <v/>
      </c>
      <c r="AL856" s="12" t="n"/>
      <c r="AM856" s="14">
        <f>IF($B856="","",IF($AQ856="","対象年月が未入力／","")&amp;IF($B856="","",IF($AP856="","職員マスタに未登録の職員番号／",IF($AA856="","標準報酬月額が未登録／","")&amp;IF(AND($AQ856&lt;&gt;"",OR(AND(INDEX(職員マスタ!$G$6:$G$405,$AP856)&lt;&gt;"",INDEX(職員マスタ!$G$6:$G$405,$AP856)&gt;EOMONTH($AQ856,0)),AND(INDEX(職員マスタ!$H$6:$H$405,$AP856)&lt;&gt;"",INDEX(職員マスタ!$H$6:$H$405,$AP856)&lt;$AQ856))),"対象月が時短期間外／","")&amp;IF(AND(INDEX(職員マスタ!$K$6:$K$405,$AP856)&lt;&gt;"",N($W856)&gt;0,INDEX(職員マスタ!$K$6:$K$405,$AP856)&lt;&gt;$W856),"標準報酬月額が申請書と相違（台帳"&amp;TEXT(INDEX(職員マスタ!$K$6:$K$405,$AP856),"#,##0")&amp;"円／申請書"&amp;TEXT($W856,"#,##0")&amp;"円）／","")&amp;IF(AND(INDEX(職員マスタ!$F$6:$F$405,$AP856)&lt;&gt;"",$AQ856&lt;&gt;"",INDEX(職員マスタ!$F$6:$F$405,$AP856)&lt;$AQ856),"対象月に子が2歳到達済／","")&amp;IF(AND($H856&lt;&gt;"",INDEX(職員マスタ!$B$6:$B$405,$AP856)&lt;&gt;"",SUBSTITUTE(SUBSTITUTE($H856," ","")," ","")&lt;&gt;SUBSTITUTE(SUBSTITUTE(INDEX(職員マスタ!$B$6:$B$405,$AP856)," ","")," ","")),"氏名がマスタと相違／","")&amp;IF(AND($Q856&lt;&gt;"",INDEX(職員マスタ!$E$6:$E$405,$AP856)&lt;&gt;"",$Q856&lt;&gt;INDEX(職員マスタ!$E$6:$E$405,$AP856)),"子の生年月日がマスタと相違／","")&amp;IF(AND($L856&lt;&gt;"",INDEX(職員マスタ!$G$6:$G$405,$AP856)&lt;&gt;"",$L856&lt;&gt;INDEX(職員マスタ!$G$6:$G$405,$AP856)),"時短開始日がマスタと相違／","")&amp;IF(AND($M856&lt;&gt;"",INDEX(職員マスタ!$H$6:$H$405,$AP856)&lt;&gt;"",$M856&lt;&gt;INDEX(職員マスタ!$H$6:$H$405,$AP856)),"時短終了日がマスタと相違／","")))&amp;IF(AND($B856&lt;&gt;"",$E856=""),"報酬額が未入力／","")&amp;IF(N($U856)&gt;0,"申請書に入力エラーが残っています／","")&amp;IF(AND($B856&lt;&gt;"",$AQ856&lt;&gt;""),IF(COUNTIFS($B$6:$B$3005,$B856,$C$6:$C$3005,$C856,$D$6:$D$3005,$D856)&gt;1,"同じ月の請求が重複しています／",""),"")&amp;IF(AND(N($E856)&gt;0,$AB856&lt;&gt;"",$AB856&lt;&gt;"×",$AE856=0,$AD856=""),"計算額が下限以下のため不支給／",""))</f>
        <v/>
      </c>
      <c r="AN856" s="12" t="n"/>
      <c r="AO856" s="14">
        <f>IF($AF856="保留中",COUNTIF($AF$6:$AF856,"保留中"),"")</f>
        <v/>
      </c>
      <c r="AP856" s="14">
        <f>IF($AQ856="","",IF(SUMPRODUCT(MAX((職員マスタ!$A$6:$A$405=$B856)*(((職員マスタ!$G$6:$G$405="")+(職員マスタ!$G$6:$G$405&lt;=EOMONTH($AQ856,0)))&gt;0)*(((職員マスタ!$H$6:$H$405="")+(職員マスタ!$H$6:$H$405&gt;=$AQ856))&gt;0)*(ROW(職員マスタ!$A$6:$A$405)-5)))&gt;0,SUMPRODUCT(MAX((職員マスタ!$A$6:$A$405=$B856)*(((職員マスタ!$G$6:$G$405="")+(職員マスタ!$G$6:$G$405&lt;=EOMONTH($AQ856,0)))&gt;0)*(((職員マスタ!$H$6:$H$405="")+(職員マスタ!$H$6:$H$405&gt;=$AQ856))&gt;0)*(ROW(職員マスタ!$A$6:$A$405)-5))),IFERROR(MATCH($B856,職員マスタ!$A$6:$A$405,0),"")))</f>
        <v/>
      </c>
      <c r="AQ856" s="16">
        <f>IF(OR($B856="",$C856="",$D856=""),"",DATE($C856+2018,$D856,1))</f>
        <v/>
      </c>
    </row>
    <row r="857">
      <c r="A857" s="11" t="n"/>
      <c r="B857" s="12" t="n"/>
      <c r="C857" s="12" t="n"/>
      <c r="D857" s="12" t="n"/>
      <c r="E857" s="13" t="n"/>
      <c r="F857" s="12" t="n"/>
      <c r="G857" s="13" t="n"/>
      <c r="H857" s="12" t="n"/>
      <c r="I857" s="12" t="n"/>
      <c r="J857" s="12" t="n"/>
      <c r="K857" s="12" t="n"/>
      <c r="L857" s="11" t="n"/>
      <c r="M857" s="11" t="n"/>
      <c r="N857" s="11" t="n"/>
      <c r="O857" s="11" t="n"/>
      <c r="P857" s="12" t="n"/>
      <c r="Q857" s="11" t="n"/>
      <c r="R857" s="12" t="n"/>
      <c r="S857" s="11" t="n"/>
      <c r="T857" s="12" t="n"/>
      <c r="U857" s="12" t="n"/>
      <c r="V857" s="12" t="n"/>
      <c r="W857" s="13" t="n"/>
      <c r="X857" s="14">
        <f>IF($AP857="",IF($B857="","",$H857),IF(INDEX(職員マスタ!$B$6:$B$405,$AP857)="",$H857,INDEX(職員マスタ!$B$6:$B$405,$AP857)))</f>
        <v/>
      </c>
      <c r="Y857" s="14">
        <f>IF($AP857="",IF($B857="","",$R857),IF(INDEX(職員マスタ!$C$6:$C$405,$AP857)="",$R857,INDEX(職員マスタ!$C$6:$C$405,$AP857)))</f>
        <v/>
      </c>
      <c r="Z857" s="14">
        <f>IF($AQ857="","","R"&amp;$C857&amp;"."&amp;$D857)</f>
        <v/>
      </c>
      <c r="AA857" s="15">
        <f>IF(IF($AP857="",FALSE,INDEX(職員マスタ!$K$6:$K$405,$AP857)&lt;&gt;""),INDEX(職員マスタ!$K$6:$K$405,$AP857),IF(N($W857)&gt;0,$W857,""))</f>
        <v/>
      </c>
      <c r="AB857" s="14">
        <f>IF(OR($E857="",$AA857=""),"",IF($E857&gt;=$AA857,"×",IF($E857&gt;=$AA857*設定!$C$5,"△","○")))</f>
        <v/>
      </c>
      <c r="AC857" s="15">
        <f>IF($AB857="","",IF($AB857="×",0,IF($AB857="○",ROUNDDOWN($E857*設定!$C$4,0),ROUNDDOWN($E857*ROUND((9*$AA857-9*$E857)/(10*$E857),4),0))))</f>
        <v/>
      </c>
      <c r="AD857" s="13" t="n"/>
      <c r="AE857" s="15">
        <f>IF($B857="","",IF($AD857&lt;&gt;"",$AD857,IF($AC857="","",IF($AC857&lt;=設定!$C$3,0,$AC857))))</f>
        <v/>
      </c>
      <c r="AF857" s="14">
        <f>IF($B857="","",IF(AND($AG857&lt;&gt;"",$AI857="",$AL857=""),"保留中",IF($AL857&lt;&gt;"",IF(N($AE857)&gt;0,"支給済","不支給"),IF($AE857="","要確認",IF($AE857=0,"不支給","未処理")))))</f>
        <v/>
      </c>
      <c r="AG857" s="12" t="n"/>
      <c r="AH857" s="11" t="n"/>
      <c r="AI857" s="11" t="n"/>
      <c r="AJ857" s="11" t="n"/>
      <c r="AK857" s="14">
        <f>IF(AND($AF857="保留中",$AH857&lt;&gt;""),TODAY()-$AH857,"")</f>
        <v/>
      </c>
      <c r="AL857" s="12" t="n"/>
      <c r="AM857" s="14">
        <f>IF($B857="","",IF($AQ857="","対象年月が未入力／","")&amp;IF($B857="","",IF($AP857="","職員マスタに未登録の職員番号／",IF($AA857="","標準報酬月額が未登録／","")&amp;IF(AND($AQ857&lt;&gt;"",OR(AND(INDEX(職員マスタ!$G$6:$G$405,$AP857)&lt;&gt;"",INDEX(職員マスタ!$G$6:$G$405,$AP857)&gt;EOMONTH($AQ857,0)),AND(INDEX(職員マスタ!$H$6:$H$405,$AP857)&lt;&gt;"",INDEX(職員マスタ!$H$6:$H$405,$AP857)&lt;$AQ857))),"対象月が時短期間外／","")&amp;IF(AND(INDEX(職員マスタ!$K$6:$K$405,$AP857)&lt;&gt;"",N($W857)&gt;0,INDEX(職員マスタ!$K$6:$K$405,$AP857)&lt;&gt;$W857),"標準報酬月額が申請書と相違（台帳"&amp;TEXT(INDEX(職員マスタ!$K$6:$K$405,$AP857),"#,##0")&amp;"円／申請書"&amp;TEXT($W857,"#,##0")&amp;"円）／","")&amp;IF(AND(INDEX(職員マスタ!$F$6:$F$405,$AP857)&lt;&gt;"",$AQ857&lt;&gt;"",INDEX(職員マスタ!$F$6:$F$405,$AP857)&lt;$AQ857),"対象月に子が2歳到達済／","")&amp;IF(AND($H857&lt;&gt;"",INDEX(職員マスタ!$B$6:$B$405,$AP857)&lt;&gt;"",SUBSTITUTE(SUBSTITUTE($H857," ","")," ","")&lt;&gt;SUBSTITUTE(SUBSTITUTE(INDEX(職員マスタ!$B$6:$B$405,$AP857)," ","")," ","")),"氏名がマスタと相違／","")&amp;IF(AND($Q857&lt;&gt;"",INDEX(職員マスタ!$E$6:$E$405,$AP857)&lt;&gt;"",$Q857&lt;&gt;INDEX(職員マスタ!$E$6:$E$405,$AP857)),"子の生年月日がマスタと相違／","")&amp;IF(AND($L857&lt;&gt;"",INDEX(職員マスタ!$G$6:$G$405,$AP857)&lt;&gt;"",$L857&lt;&gt;INDEX(職員マスタ!$G$6:$G$405,$AP857)),"時短開始日がマスタと相違／","")&amp;IF(AND($M857&lt;&gt;"",INDEX(職員マスタ!$H$6:$H$405,$AP857)&lt;&gt;"",$M857&lt;&gt;INDEX(職員マスタ!$H$6:$H$405,$AP857)),"時短終了日がマスタと相違／","")))&amp;IF(AND($B857&lt;&gt;"",$E857=""),"報酬額が未入力／","")&amp;IF(N($U857)&gt;0,"申請書に入力エラーが残っています／","")&amp;IF(AND($B857&lt;&gt;"",$AQ857&lt;&gt;""),IF(COUNTIFS($B$6:$B$3005,$B857,$C$6:$C$3005,$C857,$D$6:$D$3005,$D857)&gt;1,"同じ月の請求が重複しています／",""),"")&amp;IF(AND(N($E857)&gt;0,$AB857&lt;&gt;"",$AB857&lt;&gt;"×",$AE857=0,$AD857=""),"計算額が下限以下のため不支給／",""))</f>
        <v/>
      </c>
      <c r="AN857" s="12" t="n"/>
      <c r="AO857" s="14">
        <f>IF($AF857="保留中",COUNTIF($AF$6:$AF857,"保留中"),"")</f>
        <v/>
      </c>
      <c r="AP857" s="14">
        <f>IF($AQ857="","",IF(SUMPRODUCT(MAX((職員マスタ!$A$6:$A$405=$B857)*(((職員マスタ!$G$6:$G$405="")+(職員マスタ!$G$6:$G$405&lt;=EOMONTH($AQ857,0)))&gt;0)*(((職員マスタ!$H$6:$H$405="")+(職員マスタ!$H$6:$H$405&gt;=$AQ857))&gt;0)*(ROW(職員マスタ!$A$6:$A$405)-5)))&gt;0,SUMPRODUCT(MAX((職員マスタ!$A$6:$A$405=$B857)*(((職員マスタ!$G$6:$G$405="")+(職員マスタ!$G$6:$G$405&lt;=EOMONTH($AQ857,0)))&gt;0)*(((職員マスタ!$H$6:$H$405="")+(職員マスタ!$H$6:$H$405&gt;=$AQ857))&gt;0)*(ROW(職員マスタ!$A$6:$A$405)-5))),IFERROR(MATCH($B857,職員マスタ!$A$6:$A$405,0),"")))</f>
        <v/>
      </c>
      <c r="AQ857" s="16">
        <f>IF(OR($B857="",$C857="",$D857=""),"",DATE($C857+2018,$D857,1))</f>
        <v/>
      </c>
    </row>
    <row r="858">
      <c r="A858" s="11" t="n"/>
      <c r="B858" s="12" t="n"/>
      <c r="C858" s="12" t="n"/>
      <c r="D858" s="12" t="n"/>
      <c r="E858" s="13" t="n"/>
      <c r="F858" s="12" t="n"/>
      <c r="G858" s="13" t="n"/>
      <c r="H858" s="12" t="n"/>
      <c r="I858" s="12" t="n"/>
      <c r="J858" s="12" t="n"/>
      <c r="K858" s="12" t="n"/>
      <c r="L858" s="11" t="n"/>
      <c r="M858" s="11" t="n"/>
      <c r="N858" s="11" t="n"/>
      <c r="O858" s="11" t="n"/>
      <c r="P858" s="12" t="n"/>
      <c r="Q858" s="11" t="n"/>
      <c r="R858" s="12" t="n"/>
      <c r="S858" s="11" t="n"/>
      <c r="T858" s="12" t="n"/>
      <c r="U858" s="12" t="n"/>
      <c r="V858" s="12" t="n"/>
      <c r="W858" s="13" t="n"/>
      <c r="X858" s="14">
        <f>IF($AP858="",IF($B858="","",$H858),IF(INDEX(職員マスタ!$B$6:$B$405,$AP858)="",$H858,INDEX(職員マスタ!$B$6:$B$405,$AP858)))</f>
        <v/>
      </c>
      <c r="Y858" s="14">
        <f>IF($AP858="",IF($B858="","",$R858),IF(INDEX(職員マスタ!$C$6:$C$405,$AP858)="",$R858,INDEX(職員マスタ!$C$6:$C$405,$AP858)))</f>
        <v/>
      </c>
      <c r="Z858" s="14">
        <f>IF($AQ858="","","R"&amp;$C858&amp;"."&amp;$D858)</f>
        <v/>
      </c>
      <c r="AA858" s="15">
        <f>IF(IF($AP858="",FALSE,INDEX(職員マスタ!$K$6:$K$405,$AP858)&lt;&gt;""),INDEX(職員マスタ!$K$6:$K$405,$AP858),IF(N($W858)&gt;0,$W858,""))</f>
        <v/>
      </c>
      <c r="AB858" s="14">
        <f>IF(OR($E858="",$AA858=""),"",IF($E858&gt;=$AA858,"×",IF($E858&gt;=$AA858*設定!$C$5,"△","○")))</f>
        <v/>
      </c>
      <c r="AC858" s="15">
        <f>IF($AB858="","",IF($AB858="×",0,IF($AB858="○",ROUNDDOWN($E858*設定!$C$4,0),ROUNDDOWN($E858*ROUND((9*$AA858-9*$E858)/(10*$E858),4),0))))</f>
        <v/>
      </c>
      <c r="AD858" s="13" t="n"/>
      <c r="AE858" s="15">
        <f>IF($B858="","",IF($AD858&lt;&gt;"",$AD858,IF($AC858="","",IF($AC858&lt;=設定!$C$3,0,$AC858))))</f>
        <v/>
      </c>
      <c r="AF858" s="14">
        <f>IF($B858="","",IF(AND($AG858&lt;&gt;"",$AI858="",$AL858=""),"保留中",IF($AL858&lt;&gt;"",IF(N($AE858)&gt;0,"支給済","不支給"),IF($AE858="","要確認",IF($AE858=0,"不支給","未処理")))))</f>
        <v/>
      </c>
      <c r="AG858" s="12" t="n"/>
      <c r="AH858" s="11" t="n"/>
      <c r="AI858" s="11" t="n"/>
      <c r="AJ858" s="11" t="n"/>
      <c r="AK858" s="14">
        <f>IF(AND($AF858="保留中",$AH858&lt;&gt;""),TODAY()-$AH858,"")</f>
        <v/>
      </c>
      <c r="AL858" s="12" t="n"/>
      <c r="AM858" s="14">
        <f>IF($B858="","",IF($AQ858="","対象年月が未入力／","")&amp;IF($B858="","",IF($AP858="","職員マスタに未登録の職員番号／",IF($AA858="","標準報酬月額が未登録／","")&amp;IF(AND($AQ858&lt;&gt;"",OR(AND(INDEX(職員マスタ!$G$6:$G$405,$AP858)&lt;&gt;"",INDEX(職員マスタ!$G$6:$G$405,$AP858)&gt;EOMONTH($AQ858,0)),AND(INDEX(職員マスタ!$H$6:$H$405,$AP858)&lt;&gt;"",INDEX(職員マスタ!$H$6:$H$405,$AP858)&lt;$AQ858))),"対象月が時短期間外／","")&amp;IF(AND(INDEX(職員マスタ!$K$6:$K$405,$AP858)&lt;&gt;"",N($W858)&gt;0,INDEX(職員マスタ!$K$6:$K$405,$AP858)&lt;&gt;$W858),"標準報酬月額が申請書と相違（台帳"&amp;TEXT(INDEX(職員マスタ!$K$6:$K$405,$AP858),"#,##0")&amp;"円／申請書"&amp;TEXT($W858,"#,##0")&amp;"円）／","")&amp;IF(AND(INDEX(職員マスタ!$F$6:$F$405,$AP858)&lt;&gt;"",$AQ858&lt;&gt;"",INDEX(職員マスタ!$F$6:$F$405,$AP858)&lt;$AQ858),"対象月に子が2歳到達済／","")&amp;IF(AND($H858&lt;&gt;"",INDEX(職員マスタ!$B$6:$B$405,$AP858)&lt;&gt;"",SUBSTITUTE(SUBSTITUTE($H858," ","")," ","")&lt;&gt;SUBSTITUTE(SUBSTITUTE(INDEX(職員マスタ!$B$6:$B$405,$AP858)," ","")," ","")),"氏名がマスタと相違／","")&amp;IF(AND($Q858&lt;&gt;"",INDEX(職員マスタ!$E$6:$E$405,$AP858)&lt;&gt;"",$Q858&lt;&gt;INDEX(職員マスタ!$E$6:$E$405,$AP858)),"子の生年月日がマスタと相違／","")&amp;IF(AND($L858&lt;&gt;"",INDEX(職員マスタ!$G$6:$G$405,$AP858)&lt;&gt;"",$L858&lt;&gt;INDEX(職員マスタ!$G$6:$G$405,$AP858)),"時短開始日がマスタと相違／","")&amp;IF(AND($M858&lt;&gt;"",INDEX(職員マスタ!$H$6:$H$405,$AP858)&lt;&gt;"",$M858&lt;&gt;INDEX(職員マスタ!$H$6:$H$405,$AP858)),"時短終了日がマスタと相違／","")))&amp;IF(AND($B858&lt;&gt;"",$E858=""),"報酬額が未入力／","")&amp;IF(N($U858)&gt;0,"申請書に入力エラーが残っています／","")&amp;IF(AND($B858&lt;&gt;"",$AQ858&lt;&gt;""),IF(COUNTIFS($B$6:$B$3005,$B858,$C$6:$C$3005,$C858,$D$6:$D$3005,$D858)&gt;1,"同じ月の請求が重複しています／",""),"")&amp;IF(AND(N($E858)&gt;0,$AB858&lt;&gt;"",$AB858&lt;&gt;"×",$AE858=0,$AD858=""),"計算額が下限以下のため不支給／",""))</f>
        <v/>
      </c>
      <c r="AN858" s="12" t="n"/>
      <c r="AO858" s="14">
        <f>IF($AF858="保留中",COUNTIF($AF$6:$AF858,"保留中"),"")</f>
        <v/>
      </c>
      <c r="AP858" s="14">
        <f>IF($AQ858="","",IF(SUMPRODUCT(MAX((職員マスタ!$A$6:$A$405=$B858)*(((職員マスタ!$G$6:$G$405="")+(職員マスタ!$G$6:$G$405&lt;=EOMONTH($AQ858,0)))&gt;0)*(((職員マスタ!$H$6:$H$405="")+(職員マスタ!$H$6:$H$405&gt;=$AQ858))&gt;0)*(ROW(職員マスタ!$A$6:$A$405)-5)))&gt;0,SUMPRODUCT(MAX((職員マスタ!$A$6:$A$405=$B858)*(((職員マスタ!$G$6:$G$405="")+(職員マスタ!$G$6:$G$405&lt;=EOMONTH($AQ858,0)))&gt;0)*(((職員マスタ!$H$6:$H$405="")+(職員マスタ!$H$6:$H$405&gt;=$AQ858))&gt;0)*(ROW(職員マスタ!$A$6:$A$405)-5))),IFERROR(MATCH($B858,職員マスタ!$A$6:$A$405,0),"")))</f>
        <v/>
      </c>
      <c r="AQ858" s="16">
        <f>IF(OR($B858="",$C858="",$D858=""),"",DATE($C858+2018,$D858,1))</f>
        <v/>
      </c>
    </row>
    <row r="859">
      <c r="A859" s="11" t="n"/>
      <c r="B859" s="12" t="n"/>
      <c r="C859" s="12" t="n"/>
      <c r="D859" s="12" t="n"/>
      <c r="E859" s="13" t="n"/>
      <c r="F859" s="12" t="n"/>
      <c r="G859" s="13" t="n"/>
      <c r="H859" s="12" t="n"/>
      <c r="I859" s="12" t="n"/>
      <c r="J859" s="12" t="n"/>
      <c r="K859" s="12" t="n"/>
      <c r="L859" s="11" t="n"/>
      <c r="M859" s="11" t="n"/>
      <c r="N859" s="11" t="n"/>
      <c r="O859" s="11" t="n"/>
      <c r="P859" s="12" t="n"/>
      <c r="Q859" s="11" t="n"/>
      <c r="R859" s="12" t="n"/>
      <c r="S859" s="11" t="n"/>
      <c r="T859" s="12" t="n"/>
      <c r="U859" s="12" t="n"/>
      <c r="V859" s="12" t="n"/>
      <c r="W859" s="13" t="n"/>
      <c r="X859" s="14">
        <f>IF($AP859="",IF($B859="","",$H859),IF(INDEX(職員マスタ!$B$6:$B$405,$AP859)="",$H859,INDEX(職員マスタ!$B$6:$B$405,$AP859)))</f>
        <v/>
      </c>
      <c r="Y859" s="14">
        <f>IF($AP859="",IF($B859="","",$R859),IF(INDEX(職員マスタ!$C$6:$C$405,$AP859)="",$R859,INDEX(職員マスタ!$C$6:$C$405,$AP859)))</f>
        <v/>
      </c>
      <c r="Z859" s="14">
        <f>IF($AQ859="","","R"&amp;$C859&amp;"."&amp;$D859)</f>
        <v/>
      </c>
      <c r="AA859" s="15">
        <f>IF(IF($AP859="",FALSE,INDEX(職員マスタ!$K$6:$K$405,$AP859)&lt;&gt;""),INDEX(職員マスタ!$K$6:$K$405,$AP859),IF(N($W859)&gt;0,$W859,""))</f>
        <v/>
      </c>
      <c r="AB859" s="14">
        <f>IF(OR($E859="",$AA859=""),"",IF($E859&gt;=$AA859,"×",IF($E859&gt;=$AA859*設定!$C$5,"△","○")))</f>
        <v/>
      </c>
      <c r="AC859" s="15">
        <f>IF($AB859="","",IF($AB859="×",0,IF($AB859="○",ROUNDDOWN($E859*設定!$C$4,0),ROUNDDOWN($E859*ROUND((9*$AA859-9*$E859)/(10*$E859),4),0))))</f>
        <v/>
      </c>
      <c r="AD859" s="13" t="n"/>
      <c r="AE859" s="15">
        <f>IF($B859="","",IF($AD859&lt;&gt;"",$AD859,IF($AC859="","",IF($AC859&lt;=設定!$C$3,0,$AC859))))</f>
        <v/>
      </c>
      <c r="AF859" s="14">
        <f>IF($B859="","",IF(AND($AG859&lt;&gt;"",$AI859="",$AL859=""),"保留中",IF($AL859&lt;&gt;"",IF(N($AE859)&gt;0,"支給済","不支給"),IF($AE859="","要確認",IF($AE859=0,"不支給","未処理")))))</f>
        <v/>
      </c>
      <c r="AG859" s="12" t="n"/>
      <c r="AH859" s="11" t="n"/>
      <c r="AI859" s="11" t="n"/>
      <c r="AJ859" s="11" t="n"/>
      <c r="AK859" s="14">
        <f>IF(AND($AF859="保留中",$AH859&lt;&gt;""),TODAY()-$AH859,"")</f>
        <v/>
      </c>
      <c r="AL859" s="12" t="n"/>
      <c r="AM859" s="14">
        <f>IF($B859="","",IF($AQ859="","対象年月が未入力／","")&amp;IF($B859="","",IF($AP859="","職員マスタに未登録の職員番号／",IF($AA859="","標準報酬月額が未登録／","")&amp;IF(AND($AQ859&lt;&gt;"",OR(AND(INDEX(職員マスタ!$G$6:$G$405,$AP859)&lt;&gt;"",INDEX(職員マスタ!$G$6:$G$405,$AP859)&gt;EOMONTH($AQ859,0)),AND(INDEX(職員マスタ!$H$6:$H$405,$AP859)&lt;&gt;"",INDEX(職員マスタ!$H$6:$H$405,$AP859)&lt;$AQ859))),"対象月が時短期間外／","")&amp;IF(AND(INDEX(職員マスタ!$K$6:$K$405,$AP859)&lt;&gt;"",N($W859)&gt;0,INDEX(職員マスタ!$K$6:$K$405,$AP859)&lt;&gt;$W859),"標準報酬月額が申請書と相違（台帳"&amp;TEXT(INDEX(職員マスタ!$K$6:$K$405,$AP859),"#,##0")&amp;"円／申請書"&amp;TEXT($W859,"#,##0")&amp;"円）／","")&amp;IF(AND(INDEX(職員マスタ!$F$6:$F$405,$AP859)&lt;&gt;"",$AQ859&lt;&gt;"",INDEX(職員マスタ!$F$6:$F$405,$AP859)&lt;$AQ859),"対象月に子が2歳到達済／","")&amp;IF(AND($H859&lt;&gt;"",INDEX(職員マスタ!$B$6:$B$405,$AP859)&lt;&gt;"",SUBSTITUTE(SUBSTITUTE($H859," ","")," ","")&lt;&gt;SUBSTITUTE(SUBSTITUTE(INDEX(職員マスタ!$B$6:$B$405,$AP859)," ","")," ","")),"氏名がマスタと相違／","")&amp;IF(AND($Q859&lt;&gt;"",INDEX(職員マスタ!$E$6:$E$405,$AP859)&lt;&gt;"",$Q859&lt;&gt;INDEX(職員マスタ!$E$6:$E$405,$AP859)),"子の生年月日がマスタと相違／","")&amp;IF(AND($L859&lt;&gt;"",INDEX(職員マスタ!$G$6:$G$405,$AP859)&lt;&gt;"",$L859&lt;&gt;INDEX(職員マスタ!$G$6:$G$405,$AP859)),"時短開始日がマスタと相違／","")&amp;IF(AND($M859&lt;&gt;"",INDEX(職員マスタ!$H$6:$H$405,$AP859)&lt;&gt;"",$M859&lt;&gt;INDEX(職員マスタ!$H$6:$H$405,$AP859)),"時短終了日がマスタと相違／","")))&amp;IF(AND($B859&lt;&gt;"",$E859=""),"報酬額が未入力／","")&amp;IF(N($U859)&gt;0,"申請書に入力エラーが残っています／","")&amp;IF(AND($B859&lt;&gt;"",$AQ859&lt;&gt;""),IF(COUNTIFS($B$6:$B$3005,$B859,$C$6:$C$3005,$C859,$D$6:$D$3005,$D859)&gt;1,"同じ月の請求が重複しています／",""),"")&amp;IF(AND(N($E859)&gt;0,$AB859&lt;&gt;"",$AB859&lt;&gt;"×",$AE859=0,$AD859=""),"計算額が下限以下のため不支給／",""))</f>
        <v/>
      </c>
      <c r="AN859" s="12" t="n"/>
      <c r="AO859" s="14">
        <f>IF($AF859="保留中",COUNTIF($AF$6:$AF859,"保留中"),"")</f>
        <v/>
      </c>
      <c r="AP859" s="14">
        <f>IF($AQ859="","",IF(SUMPRODUCT(MAX((職員マスタ!$A$6:$A$405=$B859)*(((職員マスタ!$G$6:$G$405="")+(職員マスタ!$G$6:$G$405&lt;=EOMONTH($AQ859,0)))&gt;0)*(((職員マスタ!$H$6:$H$405="")+(職員マスタ!$H$6:$H$405&gt;=$AQ859))&gt;0)*(ROW(職員マスタ!$A$6:$A$405)-5)))&gt;0,SUMPRODUCT(MAX((職員マスタ!$A$6:$A$405=$B859)*(((職員マスタ!$G$6:$G$405="")+(職員マスタ!$G$6:$G$405&lt;=EOMONTH($AQ859,0)))&gt;0)*(((職員マスタ!$H$6:$H$405="")+(職員マスタ!$H$6:$H$405&gt;=$AQ859))&gt;0)*(ROW(職員マスタ!$A$6:$A$405)-5))),IFERROR(MATCH($B859,職員マスタ!$A$6:$A$405,0),"")))</f>
        <v/>
      </c>
      <c r="AQ859" s="16">
        <f>IF(OR($B859="",$C859="",$D859=""),"",DATE($C859+2018,$D859,1))</f>
        <v/>
      </c>
    </row>
    <row r="860">
      <c r="A860" s="11" t="n"/>
      <c r="B860" s="12" t="n"/>
      <c r="C860" s="12" t="n"/>
      <c r="D860" s="12" t="n"/>
      <c r="E860" s="13" t="n"/>
      <c r="F860" s="12" t="n"/>
      <c r="G860" s="13" t="n"/>
      <c r="H860" s="12" t="n"/>
      <c r="I860" s="12" t="n"/>
      <c r="J860" s="12" t="n"/>
      <c r="K860" s="12" t="n"/>
      <c r="L860" s="11" t="n"/>
      <c r="M860" s="11" t="n"/>
      <c r="N860" s="11" t="n"/>
      <c r="O860" s="11" t="n"/>
      <c r="P860" s="12" t="n"/>
      <c r="Q860" s="11" t="n"/>
      <c r="R860" s="12" t="n"/>
      <c r="S860" s="11" t="n"/>
      <c r="T860" s="12" t="n"/>
      <c r="U860" s="12" t="n"/>
      <c r="V860" s="12" t="n"/>
      <c r="W860" s="13" t="n"/>
      <c r="X860" s="14">
        <f>IF($AP860="",IF($B860="","",$H860),IF(INDEX(職員マスタ!$B$6:$B$405,$AP860)="",$H860,INDEX(職員マスタ!$B$6:$B$405,$AP860)))</f>
        <v/>
      </c>
      <c r="Y860" s="14">
        <f>IF($AP860="",IF($B860="","",$R860),IF(INDEX(職員マスタ!$C$6:$C$405,$AP860)="",$R860,INDEX(職員マスタ!$C$6:$C$405,$AP860)))</f>
        <v/>
      </c>
      <c r="Z860" s="14">
        <f>IF($AQ860="","","R"&amp;$C860&amp;"."&amp;$D860)</f>
        <v/>
      </c>
      <c r="AA860" s="15">
        <f>IF(IF($AP860="",FALSE,INDEX(職員マスタ!$K$6:$K$405,$AP860)&lt;&gt;""),INDEX(職員マスタ!$K$6:$K$405,$AP860),IF(N($W860)&gt;0,$W860,""))</f>
        <v/>
      </c>
      <c r="AB860" s="14">
        <f>IF(OR($E860="",$AA860=""),"",IF($E860&gt;=$AA860,"×",IF($E860&gt;=$AA860*設定!$C$5,"△","○")))</f>
        <v/>
      </c>
      <c r="AC860" s="15">
        <f>IF($AB860="","",IF($AB860="×",0,IF($AB860="○",ROUNDDOWN($E860*設定!$C$4,0),ROUNDDOWN($E860*ROUND((9*$AA860-9*$E860)/(10*$E860),4),0))))</f>
        <v/>
      </c>
      <c r="AD860" s="13" t="n"/>
      <c r="AE860" s="15">
        <f>IF($B860="","",IF($AD860&lt;&gt;"",$AD860,IF($AC860="","",IF($AC860&lt;=設定!$C$3,0,$AC860))))</f>
        <v/>
      </c>
      <c r="AF860" s="14">
        <f>IF($B860="","",IF(AND($AG860&lt;&gt;"",$AI860="",$AL860=""),"保留中",IF($AL860&lt;&gt;"",IF(N($AE860)&gt;0,"支給済","不支給"),IF($AE860="","要確認",IF($AE860=0,"不支給","未処理")))))</f>
        <v/>
      </c>
      <c r="AG860" s="12" t="n"/>
      <c r="AH860" s="11" t="n"/>
      <c r="AI860" s="11" t="n"/>
      <c r="AJ860" s="11" t="n"/>
      <c r="AK860" s="14">
        <f>IF(AND($AF860="保留中",$AH860&lt;&gt;""),TODAY()-$AH860,"")</f>
        <v/>
      </c>
      <c r="AL860" s="12" t="n"/>
      <c r="AM860" s="14">
        <f>IF($B860="","",IF($AQ860="","対象年月が未入力／","")&amp;IF($B860="","",IF($AP860="","職員マスタに未登録の職員番号／",IF($AA860="","標準報酬月額が未登録／","")&amp;IF(AND($AQ860&lt;&gt;"",OR(AND(INDEX(職員マスタ!$G$6:$G$405,$AP860)&lt;&gt;"",INDEX(職員マスタ!$G$6:$G$405,$AP860)&gt;EOMONTH($AQ860,0)),AND(INDEX(職員マスタ!$H$6:$H$405,$AP860)&lt;&gt;"",INDEX(職員マスタ!$H$6:$H$405,$AP860)&lt;$AQ860))),"対象月が時短期間外／","")&amp;IF(AND(INDEX(職員マスタ!$K$6:$K$405,$AP860)&lt;&gt;"",N($W860)&gt;0,INDEX(職員マスタ!$K$6:$K$405,$AP860)&lt;&gt;$W860),"標準報酬月額が申請書と相違（台帳"&amp;TEXT(INDEX(職員マスタ!$K$6:$K$405,$AP860),"#,##0")&amp;"円／申請書"&amp;TEXT($W860,"#,##0")&amp;"円）／","")&amp;IF(AND(INDEX(職員マスタ!$F$6:$F$405,$AP860)&lt;&gt;"",$AQ860&lt;&gt;"",INDEX(職員マスタ!$F$6:$F$405,$AP860)&lt;$AQ860),"対象月に子が2歳到達済／","")&amp;IF(AND($H860&lt;&gt;"",INDEX(職員マスタ!$B$6:$B$405,$AP860)&lt;&gt;"",SUBSTITUTE(SUBSTITUTE($H860," ","")," ","")&lt;&gt;SUBSTITUTE(SUBSTITUTE(INDEX(職員マスタ!$B$6:$B$405,$AP860)," ","")," ","")),"氏名がマスタと相違／","")&amp;IF(AND($Q860&lt;&gt;"",INDEX(職員マスタ!$E$6:$E$405,$AP860)&lt;&gt;"",$Q860&lt;&gt;INDEX(職員マスタ!$E$6:$E$405,$AP860)),"子の生年月日がマスタと相違／","")&amp;IF(AND($L860&lt;&gt;"",INDEX(職員マスタ!$G$6:$G$405,$AP860)&lt;&gt;"",$L860&lt;&gt;INDEX(職員マスタ!$G$6:$G$405,$AP860)),"時短開始日がマスタと相違／","")&amp;IF(AND($M860&lt;&gt;"",INDEX(職員マスタ!$H$6:$H$405,$AP860)&lt;&gt;"",$M860&lt;&gt;INDEX(職員マスタ!$H$6:$H$405,$AP860)),"時短終了日がマスタと相違／","")))&amp;IF(AND($B860&lt;&gt;"",$E860=""),"報酬額が未入力／","")&amp;IF(N($U860)&gt;0,"申請書に入力エラーが残っています／","")&amp;IF(AND($B860&lt;&gt;"",$AQ860&lt;&gt;""),IF(COUNTIFS($B$6:$B$3005,$B860,$C$6:$C$3005,$C860,$D$6:$D$3005,$D860)&gt;1,"同じ月の請求が重複しています／",""),"")&amp;IF(AND(N($E860)&gt;0,$AB860&lt;&gt;"",$AB860&lt;&gt;"×",$AE860=0,$AD860=""),"計算額が下限以下のため不支給／",""))</f>
        <v/>
      </c>
      <c r="AN860" s="12" t="n"/>
      <c r="AO860" s="14">
        <f>IF($AF860="保留中",COUNTIF($AF$6:$AF860,"保留中"),"")</f>
        <v/>
      </c>
      <c r="AP860" s="14">
        <f>IF($AQ860="","",IF(SUMPRODUCT(MAX((職員マスタ!$A$6:$A$405=$B860)*(((職員マスタ!$G$6:$G$405="")+(職員マスタ!$G$6:$G$405&lt;=EOMONTH($AQ860,0)))&gt;0)*(((職員マスタ!$H$6:$H$405="")+(職員マスタ!$H$6:$H$405&gt;=$AQ860))&gt;0)*(ROW(職員マスタ!$A$6:$A$405)-5)))&gt;0,SUMPRODUCT(MAX((職員マスタ!$A$6:$A$405=$B860)*(((職員マスタ!$G$6:$G$405="")+(職員マスタ!$G$6:$G$405&lt;=EOMONTH($AQ860,0)))&gt;0)*(((職員マスタ!$H$6:$H$405="")+(職員マスタ!$H$6:$H$405&gt;=$AQ860))&gt;0)*(ROW(職員マスタ!$A$6:$A$405)-5))),IFERROR(MATCH($B860,職員マスタ!$A$6:$A$405,0),"")))</f>
        <v/>
      </c>
      <c r="AQ860" s="16">
        <f>IF(OR($B860="",$C860="",$D860=""),"",DATE($C860+2018,$D860,1))</f>
        <v/>
      </c>
    </row>
    <row r="861">
      <c r="A861" s="11" t="n"/>
      <c r="B861" s="12" t="n"/>
      <c r="C861" s="12" t="n"/>
      <c r="D861" s="12" t="n"/>
      <c r="E861" s="13" t="n"/>
      <c r="F861" s="12" t="n"/>
      <c r="G861" s="13" t="n"/>
      <c r="H861" s="12" t="n"/>
      <c r="I861" s="12" t="n"/>
      <c r="J861" s="12" t="n"/>
      <c r="K861" s="12" t="n"/>
      <c r="L861" s="11" t="n"/>
      <c r="M861" s="11" t="n"/>
      <c r="N861" s="11" t="n"/>
      <c r="O861" s="11" t="n"/>
      <c r="P861" s="12" t="n"/>
      <c r="Q861" s="11" t="n"/>
      <c r="R861" s="12" t="n"/>
      <c r="S861" s="11" t="n"/>
      <c r="T861" s="12" t="n"/>
      <c r="U861" s="12" t="n"/>
      <c r="V861" s="12" t="n"/>
      <c r="W861" s="13" t="n"/>
      <c r="X861" s="14">
        <f>IF($AP861="",IF($B861="","",$H861),IF(INDEX(職員マスタ!$B$6:$B$405,$AP861)="",$H861,INDEX(職員マスタ!$B$6:$B$405,$AP861)))</f>
        <v/>
      </c>
      <c r="Y861" s="14">
        <f>IF($AP861="",IF($B861="","",$R861),IF(INDEX(職員マスタ!$C$6:$C$405,$AP861)="",$R861,INDEX(職員マスタ!$C$6:$C$405,$AP861)))</f>
        <v/>
      </c>
      <c r="Z861" s="14">
        <f>IF($AQ861="","","R"&amp;$C861&amp;"."&amp;$D861)</f>
        <v/>
      </c>
      <c r="AA861" s="15">
        <f>IF(IF($AP861="",FALSE,INDEX(職員マスタ!$K$6:$K$405,$AP861)&lt;&gt;""),INDEX(職員マスタ!$K$6:$K$405,$AP861),IF(N($W861)&gt;0,$W861,""))</f>
        <v/>
      </c>
      <c r="AB861" s="14">
        <f>IF(OR($E861="",$AA861=""),"",IF($E861&gt;=$AA861,"×",IF($E861&gt;=$AA861*設定!$C$5,"△","○")))</f>
        <v/>
      </c>
      <c r="AC861" s="15">
        <f>IF($AB861="","",IF($AB861="×",0,IF($AB861="○",ROUNDDOWN($E861*設定!$C$4,0),ROUNDDOWN($E861*ROUND((9*$AA861-9*$E861)/(10*$E861),4),0))))</f>
        <v/>
      </c>
      <c r="AD861" s="13" t="n"/>
      <c r="AE861" s="15">
        <f>IF($B861="","",IF($AD861&lt;&gt;"",$AD861,IF($AC861="","",IF($AC861&lt;=設定!$C$3,0,$AC861))))</f>
        <v/>
      </c>
      <c r="AF861" s="14">
        <f>IF($B861="","",IF(AND($AG861&lt;&gt;"",$AI861="",$AL861=""),"保留中",IF($AL861&lt;&gt;"",IF(N($AE861)&gt;0,"支給済","不支給"),IF($AE861="","要確認",IF($AE861=0,"不支給","未処理")))))</f>
        <v/>
      </c>
      <c r="AG861" s="12" t="n"/>
      <c r="AH861" s="11" t="n"/>
      <c r="AI861" s="11" t="n"/>
      <c r="AJ861" s="11" t="n"/>
      <c r="AK861" s="14">
        <f>IF(AND($AF861="保留中",$AH861&lt;&gt;""),TODAY()-$AH861,"")</f>
        <v/>
      </c>
      <c r="AL861" s="12" t="n"/>
      <c r="AM861" s="14">
        <f>IF($B861="","",IF($AQ861="","対象年月が未入力／","")&amp;IF($B861="","",IF($AP861="","職員マスタに未登録の職員番号／",IF($AA861="","標準報酬月額が未登録／","")&amp;IF(AND($AQ861&lt;&gt;"",OR(AND(INDEX(職員マスタ!$G$6:$G$405,$AP861)&lt;&gt;"",INDEX(職員マスタ!$G$6:$G$405,$AP861)&gt;EOMONTH($AQ861,0)),AND(INDEX(職員マスタ!$H$6:$H$405,$AP861)&lt;&gt;"",INDEX(職員マスタ!$H$6:$H$405,$AP861)&lt;$AQ861))),"対象月が時短期間外／","")&amp;IF(AND(INDEX(職員マスタ!$K$6:$K$405,$AP861)&lt;&gt;"",N($W861)&gt;0,INDEX(職員マスタ!$K$6:$K$405,$AP861)&lt;&gt;$W861),"標準報酬月額が申請書と相違（台帳"&amp;TEXT(INDEX(職員マスタ!$K$6:$K$405,$AP861),"#,##0")&amp;"円／申請書"&amp;TEXT($W861,"#,##0")&amp;"円）／","")&amp;IF(AND(INDEX(職員マスタ!$F$6:$F$405,$AP861)&lt;&gt;"",$AQ861&lt;&gt;"",INDEX(職員マスタ!$F$6:$F$405,$AP861)&lt;$AQ861),"対象月に子が2歳到達済／","")&amp;IF(AND($H861&lt;&gt;"",INDEX(職員マスタ!$B$6:$B$405,$AP861)&lt;&gt;"",SUBSTITUTE(SUBSTITUTE($H861," ","")," ","")&lt;&gt;SUBSTITUTE(SUBSTITUTE(INDEX(職員マスタ!$B$6:$B$405,$AP861)," ","")," ","")),"氏名がマスタと相違／","")&amp;IF(AND($Q861&lt;&gt;"",INDEX(職員マスタ!$E$6:$E$405,$AP861)&lt;&gt;"",$Q861&lt;&gt;INDEX(職員マスタ!$E$6:$E$405,$AP861)),"子の生年月日がマスタと相違／","")&amp;IF(AND($L861&lt;&gt;"",INDEX(職員マスタ!$G$6:$G$405,$AP861)&lt;&gt;"",$L861&lt;&gt;INDEX(職員マスタ!$G$6:$G$405,$AP861)),"時短開始日がマスタと相違／","")&amp;IF(AND($M861&lt;&gt;"",INDEX(職員マスタ!$H$6:$H$405,$AP861)&lt;&gt;"",$M861&lt;&gt;INDEX(職員マスタ!$H$6:$H$405,$AP861)),"時短終了日がマスタと相違／","")))&amp;IF(AND($B861&lt;&gt;"",$E861=""),"報酬額が未入力／","")&amp;IF(N($U861)&gt;0,"申請書に入力エラーが残っています／","")&amp;IF(AND($B861&lt;&gt;"",$AQ861&lt;&gt;""),IF(COUNTIFS($B$6:$B$3005,$B861,$C$6:$C$3005,$C861,$D$6:$D$3005,$D861)&gt;1,"同じ月の請求が重複しています／",""),"")&amp;IF(AND(N($E861)&gt;0,$AB861&lt;&gt;"",$AB861&lt;&gt;"×",$AE861=0,$AD861=""),"計算額が下限以下のため不支給／",""))</f>
        <v/>
      </c>
      <c r="AN861" s="12" t="n"/>
      <c r="AO861" s="14">
        <f>IF($AF861="保留中",COUNTIF($AF$6:$AF861,"保留中"),"")</f>
        <v/>
      </c>
      <c r="AP861" s="14">
        <f>IF($AQ861="","",IF(SUMPRODUCT(MAX((職員マスタ!$A$6:$A$405=$B861)*(((職員マスタ!$G$6:$G$405="")+(職員マスタ!$G$6:$G$405&lt;=EOMONTH($AQ861,0)))&gt;0)*(((職員マスタ!$H$6:$H$405="")+(職員マスタ!$H$6:$H$405&gt;=$AQ861))&gt;0)*(ROW(職員マスタ!$A$6:$A$405)-5)))&gt;0,SUMPRODUCT(MAX((職員マスタ!$A$6:$A$405=$B861)*(((職員マスタ!$G$6:$G$405="")+(職員マスタ!$G$6:$G$405&lt;=EOMONTH($AQ861,0)))&gt;0)*(((職員マスタ!$H$6:$H$405="")+(職員マスタ!$H$6:$H$405&gt;=$AQ861))&gt;0)*(ROW(職員マスタ!$A$6:$A$405)-5))),IFERROR(MATCH($B861,職員マスタ!$A$6:$A$405,0),"")))</f>
        <v/>
      </c>
      <c r="AQ861" s="16">
        <f>IF(OR($B861="",$C861="",$D861=""),"",DATE($C861+2018,$D861,1))</f>
        <v/>
      </c>
    </row>
    <row r="862">
      <c r="A862" s="11" t="n"/>
      <c r="B862" s="12" t="n"/>
      <c r="C862" s="12" t="n"/>
      <c r="D862" s="12" t="n"/>
      <c r="E862" s="13" t="n"/>
      <c r="F862" s="12" t="n"/>
      <c r="G862" s="13" t="n"/>
      <c r="H862" s="12" t="n"/>
      <c r="I862" s="12" t="n"/>
      <c r="J862" s="12" t="n"/>
      <c r="K862" s="12" t="n"/>
      <c r="L862" s="11" t="n"/>
      <c r="M862" s="11" t="n"/>
      <c r="N862" s="11" t="n"/>
      <c r="O862" s="11" t="n"/>
      <c r="P862" s="12" t="n"/>
      <c r="Q862" s="11" t="n"/>
      <c r="R862" s="12" t="n"/>
      <c r="S862" s="11" t="n"/>
      <c r="T862" s="12" t="n"/>
      <c r="U862" s="12" t="n"/>
      <c r="V862" s="12" t="n"/>
      <c r="W862" s="13" t="n"/>
      <c r="X862" s="14">
        <f>IF($AP862="",IF($B862="","",$H862),IF(INDEX(職員マスタ!$B$6:$B$405,$AP862)="",$H862,INDEX(職員マスタ!$B$6:$B$405,$AP862)))</f>
        <v/>
      </c>
      <c r="Y862" s="14">
        <f>IF($AP862="",IF($B862="","",$R862),IF(INDEX(職員マスタ!$C$6:$C$405,$AP862)="",$R862,INDEX(職員マスタ!$C$6:$C$405,$AP862)))</f>
        <v/>
      </c>
      <c r="Z862" s="14">
        <f>IF($AQ862="","","R"&amp;$C862&amp;"."&amp;$D862)</f>
        <v/>
      </c>
      <c r="AA862" s="15">
        <f>IF(IF($AP862="",FALSE,INDEX(職員マスタ!$K$6:$K$405,$AP862)&lt;&gt;""),INDEX(職員マスタ!$K$6:$K$405,$AP862),IF(N($W862)&gt;0,$W862,""))</f>
        <v/>
      </c>
      <c r="AB862" s="14">
        <f>IF(OR($E862="",$AA862=""),"",IF($E862&gt;=$AA862,"×",IF($E862&gt;=$AA862*設定!$C$5,"△","○")))</f>
        <v/>
      </c>
      <c r="AC862" s="15">
        <f>IF($AB862="","",IF($AB862="×",0,IF($AB862="○",ROUNDDOWN($E862*設定!$C$4,0),ROUNDDOWN($E862*ROUND((9*$AA862-9*$E862)/(10*$E862),4),0))))</f>
        <v/>
      </c>
      <c r="AD862" s="13" t="n"/>
      <c r="AE862" s="15">
        <f>IF($B862="","",IF($AD862&lt;&gt;"",$AD862,IF($AC862="","",IF($AC862&lt;=設定!$C$3,0,$AC862))))</f>
        <v/>
      </c>
      <c r="AF862" s="14">
        <f>IF($B862="","",IF(AND($AG862&lt;&gt;"",$AI862="",$AL862=""),"保留中",IF($AL862&lt;&gt;"",IF(N($AE862)&gt;0,"支給済","不支給"),IF($AE862="","要確認",IF($AE862=0,"不支給","未処理")))))</f>
        <v/>
      </c>
      <c r="AG862" s="12" t="n"/>
      <c r="AH862" s="11" t="n"/>
      <c r="AI862" s="11" t="n"/>
      <c r="AJ862" s="11" t="n"/>
      <c r="AK862" s="14">
        <f>IF(AND($AF862="保留中",$AH862&lt;&gt;""),TODAY()-$AH862,"")</f>
        <v/>
      </c>
      <c r="AL862" s="12" t="n"/>
      <c r="AM862" s="14">
        <f>IF($B862="","",IF($AQ862="","対象年月が未入力／","")&amp;IF($B862="","",IF($AP862="","職員マスタに未登録の職員番号／",IF($AA862="","標準報酬月額が未登録／","")&amp;IF(AND($AQ862&lt;&gt;"",OR(AND(INDEX(職員マスタ!$G$6:$G$405,$AP862)&lt;&gt;"",INDEX(職員マスタ!$G$6:$G$405,$AP862)&gt;EOMONTH($AQ862,0)),AND(INDEX(職員マスタ!$H$6:$H$405,$AP862)&lt;&gt;"",INDEX(職員マスタ!$H$6:$H$405,$AP862)&lt;$AQ862))),"対象月が時短期間外／","")&amp;IF(AND(INDEX(職員マスタ!$K$6:$K$405,$AP862)&lt;&gt;"",N($W862)&gt;0,INDEX(職員マスタ!$K$6:$K$405,$AP862)&lt;&gt;$W862),"標準報酬月額が申請書と相違（台帳"&amp;TEXT(INDEX(職員マスタ!$K$6:$K$405,$AP862),"#,##0")&amp;"円／申請書"&amp;TEXT($W862,"#,##0")&amp;"円）／","")&amp;IF(AND(INDEX(職員マスタ!$F$6:$F$405,$AP862)&lt;&gt;"",$AQ862&lt;&gt;"",INDEX(職員マスタ!$F$6:$F$405,$AP862)&lt;$AQ862),"対象月に子が2歳到達済／","")&amp;IF(AND($H862&lt;&gt;"",INDEX(職員マスタ!$B$6:$B$405,$AP862)&lt;&gt;"",SUBSTITUTE(SUBSTITUTE($H862," ","")," ","")&lt;&gt;SUBSTITUTE(SUBSTITUTE(INDEX(職員マスタ!$B$6:$B$405,$AP862)," ","")," ","")),"氏名がマスタと相違／","")&amp;IF(AND($Q862&lt;&gt;"",INDEX(職員マスタ!$E$6:$E$405,$AP862)&lt;&gt;"",$Q862&lt;&gt;INDEX(職員マスタ!$E$6:$E$405,$AP862)),"子の生年月日がマスタと相違／","")&amp;IF(AND($L862&lt;&gt;"",INDEX(職員マスタ!$G$6:$G$405,$AP862)&lt;&gt;"",$L862&lt;&gt;INDEX(職員マスタ!$G$6:$G$405,$AP862)),"時短開始日がマスタと相違／","")&amp;IF(AND($M862&lt;&gt;"",INDEX(職員マスタ!$H$6:$H$405,$AP862)&lt;&gt;"",$M862&lt;&gt;INDEX(職員マスタ!$H$6:$H$405,$AP862)),"時短終了日がマスタと相違／","")))&amp;IF(AND($B862&lt;&gt;"",$E862=""),"報酬額が未入力／","")&amp;IF(N($U862)&gt;0,"申請書に入力エラーが残っています／","")&amp;IF(AND($B862&lt;&gt;"",$AQ862&lt;&gt;""),IF(COUNTIFS($B$6:$B$3005,$B862,$C$6:$C$3005,$C862,$D$6:$D$3005,$D862)&gt;1,"同じ月の請求が重複しています／",""),"")&amp;IF(AND(N($E862)&gt;0,$AB862&lt;&gt;"",$AB862&lt;&gt;"×",$AE862=0,$AD862=""),"計算額が下限以下のため不支給／",""))</f>
        <v/>
      </c>
      <c r="AN862" s="12" t="n"/>
      <c r="AO862" s="14">
        <f>IF($AF862="保留中",COUNTIF($AF$6:$AF862,"保留中"),"")</f>
        <v/>
      </c>
      <c r="AP862" s="14">
        <f>IF($AQ862="","",IF(SUMPRODUCT(MAX((職員マスタ!$A$6:$A$405=$B862)*(((職員マスタ!$G$6:$G$405="")+(職員マスタ!$G$6:$G$405&lt;=EOMONTH($AQ862,0)))&gt;0)*(((職員マスタ!$H$6:$H$405="")+(職員マスタ!$H$6:$H$405&gt;=$AQ862))&gt;0)*(ROW(職員マスタ!$A$6:$A$405)-5)))&gt;0,SUMPRODUCT(MAX((職員マスタ!$A$6:$A$405=$B862)*(((職員マスタ!$G$6:$G$405="")+(職員マスタ!$G$6:$G$405&lt;=EOMONTH($AQ862,0)))&gt;0)*(((職員マスタ!$H$6:$H$405="")+(職員マスタ!$H$6:$H$405&gt;=$AQ862))&gt;0)*(ROW(職員マスタ!$A$6:$A$405)-5))),IFERROR(MATCH($B862,職員マスタ!$A$6:$A$405,0),"")))</f>
        <v/>
      </c>
      <c r="AQ862" s="16">
        <f>IF(OR($B862="",$C862="",$D862=""),"",DATE($C862+2018,$D862,1))</f>
        <v/>
      </c>
    </row>
    <row r="863">
      <c r="A863" s="11" t="n"/>
      <c r="B863" s="12" t="n"/>
      <c r="C863" s="12" t="n"/>
      <c r="D863" s="12" t="n"/>
      <c r="E863" s="13" t="n"/>
      <c r="F863" s="12" t="n"/>
      <c r="G863" s="13" t="n"/>
      <c r="H863" s="12" t="n"/>
      <c r="I863" s="12" t="n"/>
      <c r="J863" s="12" t="n"/>
      <c r="K863" s="12" t="n"/>
      <c r="L863" s="11" t="n"/>
      <c r="M863" s="11" t="n"/>
      <c r="N863" s="11" t="n"/>
      <c r="O863" s="11" t="n"/>
      <c r="P863" s="12" t="n"/>
      <c r="Q863" s="11" t="n"/>
      <c r="R863" s="12" t="n"/>
      <c r="S863" s="11" t="n"/>
      <c r="T863" s="12" t="n"/>
      <c r="U863" s="12" t="n"/>
      <c r="V863" s="12" t="n"/>
      <c r="W863" s="13" t="n"/>
      <c r="X863" s="14">
        <f>IF($AP863="",IF($B863="","",$H863),IF(INDEX(職員マスタ!$B$6:$B$405,$AP863)="",$H863,INDEX(職員マスタ!$B$6:$B$405,$AP863)))</f>
        <v/>
      </c>
      <c r="Y863" s="14">
        <f>IF($AP863="",IF($B863="","",$R863),IF(INDEX(職員マスタ!$C$6:$C$405,$AP863)="",$R863,INDEX(職員マスタ!$C$6:$C$405,$AP863)))</f>
        <v/>
      </c>
      <c r="Z863" s="14">
        <f>IF($AQ863="","","R"&amp;$C863&amp;"."&amp;$D863)</f>
        <v/>
      </c>
      <c r="AA863" s="15">
        <f>IF(IF($AP863="",FALSE,INDEX(職員マスタ!$K$6:$K$405,$AP863)&lt;&gt;""),INDEX(職員マスタ!$K$6:$K$405,$AP863),IF(N($W863)&gt;0,$W863,""))</f>
        <v/>
      </c>
      <c r="AB863" s="14">
        <f>IF(OR($E863="",$AA863=""),"",IF($E863&gt;=$AA863,"×",IF($E863&gt;=$AA863*設定!$C$5,"△","○")))</f>
        <v/>
      </c>
      <c r="AC863" s="15">
        <f>IF($AB863="","",IF($AB863="×",0,IF($AB863="○",ROUNDDOWN($E863*設定!$C$4,0),ROUNDDOWN($E863*ROUND((9*$AA863-9*$E863)/(10*$E863),4),0))))</f>
        <v/>
      </c>
      <c r="AD863" s="13" t="n"/>
      <c r="AE863" s="15">
        <f>IF($B863="","",IF($AD863&lt;&gt;"",$AD863,IF($AC863="","",IF($AC863&lt;=設定!$C$3,0,$AC863))))</f>
        <v/>
      </c>
      <c r="AF863" s="14">
        <f>IF($B863="","",IF(AND($AG863&lt;&gt;"",$AI863="",$AL863=""),"保留中",IF($AL863&lt;&gt;"",IF(N($AE863)&gt;0,"支給済","不支給"),IF($AE863="","要確認",IF($AE863=0,"不支給","未処理")))))</f>
        <v/>
      </c>
      <c r="AG863" s="12" t="n"/>
      <c r="AH863" s="11" t="n"/>
      <c r="AI863" s="11" t="n"/>
      <c r="AJ863" s="11" t="n"/>
      <c r="AK863" s="14">
        <f>IF(AND($AF863="保留中",$AH863&lt;&gt;""),TODAY()-$AH863,"")</f>
        <v/>
      </c>
      <c r="AL863" s="12" t="n"/>
      <c r="AM863" s="14">
        <f>IF($B863="","",IF($AQ863="","対象年月が未入力／","")&amp;IF($B863="","",IF($AP863="","職員マスタに未登録の職員番号／",IF($AA863="","標準報酬月額が未登録／","")&amp;IF(AND($AQ863&lt;&gt;"",OR(AND(INDEX(職員マスタ!$G$6:$G$405,$AP863)&lt;&gt;"",INDEX(職員マスタ!$G$6:$G$405,$AP863)&gt;EOMONTH($AQ863,0)),AND(INDEX(職員マスタ!$H$6:$H$405,$AP863)&lt;&gt;"",INDEX(職員マスタ!$H$6:$H$405,$AP863)&lt;$AQ863))),"対象月が時短期間外／","")&amp;IF(AND(INDEX(職員マスタ!$K$6:$K$405,$AP863)&lt;&gt;"",N($W863)&gt;0,INDEX(職員マスタ!$K$6:$K$405,$AP863)&lt;&gt;$W863),"標準報酬月額が申請書と相違（台帳"&amp;TEXT(INDEX(職員マスタ!$K$6:$K$405,$AP863),"#,##0")&amp;"円／申請書"&amp;TEXT($W863,"#,##0")&amp;"円）／","")&amp;IF(AND(INDEX(職員マスタ!$F$6:$F$405,$AP863)&lt;&gt;"",$AQ863&lt;&gt;"",INDEX(職員マスタ!$F$6:$F$405,$AP863)&lt;$AQ863),"対象月に子が2歳到達済／","")&amp;IF(AND($H863&lt;&gt;"",INDEX(職員マスタ!$B$6:$B$405,$AP863)&lt;&gt;"",SUBSTITUTE(SUBSTITUTE($H863," ","")," ","")&lt;&gt;SUBSTITUTE(SUBSTITUTE(INDEX(職員マスタ!$B$6:$B$405,$AP863)," ","")," ","")),"氏名がマスタと相違／","")&amp;IF(AND($Q863&lt;&gt;"",INDEX(職員マスタ!$E$6:$E$405,$AP863)&lt;&gt;"",$Q863&lt;&gt;INDEX(職員マスタ!$E$6:$E$405,$AP863)),"子の生年月日がマスタと相違／","")&amp;IF(AND($L863&lt;&gt;"",INDEX(職員マスタ!$G$6:$G$405,$AP863)&lt;&gt;"",$L863&lt;&gt;INDEX(職員マスタ!$G$6:$G$405,$AP863)),"時短開始日がマスタと相違／","")&amp;IF(AND($M863&lt;&gt;"",INDEX(職員マスタ!$H$6:$H$405,$AP863)&lt;&gt;"",$M863&lt;&gt;INDEX(職員マスタ!$H$6:$H$405,$AP863)),"時短終了日がマスタと相違／","")))&amp;IF(AND($B863&lt;&gt;"",$E863=""),"報酬額が未入力／","")&amp;IF(N($U863)&gt;0,"申請書に入力エラーが残っています／","")&amp;IF(AND($B863&lt;&gt;"",$AQ863&lt;&gt;""),IF(COUNTIFS($B$6:$B$3005,$B863,$C$6:$C$3005,$C863,$D$6:$D$3005,$D863)&gt;1,"同じ月の請求が重複しています／",""),"")&amp;IF(AND(N($E863)&gt;0,$AB863&lt;&gt;"",$AB863&lt;&gt;"×",$AE863=0,$AD863=""),"計算額が下限以下のため不支給／",""))</f>
        <v/>
      </c>
      <c r="AN863" s="12" t="n"/>
      <c r="AO863" s="14">
        <f>IF($AF863="保留中",COUNTIF($AF$6:$AF863,"保留中"),"")</f>
        <v/>
      </c>
      <c r="AP863" s="14">
        <f>IF($AQ863="","",IF(SUMPRODUCT(MAX((職員マスタ!$A$6:$A$405=$B863)*(((職員マスタ!$G$6:$G$405="")+(職員マスタ!$G$6:$G$405&lt;=EOMONTH($AQ863,0)))&gt;0)*(((職員マスタ!$H$6:$H$405="")+(職員マスタ!$H$6:$H$405&gt;=$AQ863))&gt;0)*(ROW(職員マスタ!$A$6:$A$405)-5)))&gt;0,SUMPRODUCT(MAX((職員マスタ!$A$6:$A$405=$B863)*(((職員マスタ!$G$6:$G$405="")+(職員マスタ!$G$6:$G$405&lt;=EOMONTH($AQ863,0)))&gt;0)*(((職員マスタ!$H$6:$H$405="")+(職員マスタ!$H$6:$H$405&gt;=$AQ863))&gt;0)*(ROW(職員マスタ!$A$6:$A$405)-5))),IFERROR(MATCH($B863,職員マスタ!$A$6:$A$405,0),"")))</f>
        <v/>
      </c>
      <c r="AQ863" s="16">
        <f>IF(OR($B863="",$C863="",$D863=""),"",DATE($C863+2018,$D863,1))</f>
        <v/>
      </c>
    </row>
    <row r="864">
      <c r="A864" s="11" t="n"/>
      <c r="B864" s="12" t="n"/>
      <c r="C864" s="12" t="n"/>
      <c r="D864" s="12" t="n"/>
      <c r="E864" s="13" t="n"/>
      <c r="F864" s="12" t="n"/>
      <c r="G864" s="13" t="n"/>
      <c r="H864" s="12" t="n"/>
      <c r="I864" s="12" t="n"/>
      <c r="J864" s="12" t="n"/>
      <c r="K864" s="12" t="n"/>
      <c r="L864" s="11" t="n"/>
      <c r="M864" s="11" t="n"/>
      <c r="N864" s="11" t="n"/>
      <c r="O864" s="11" t="n"/>
      <c r="P864" s="12" t="n"/>
      <c r="Q864" s="11" t="n"/>
      <c r="R864" s="12" t="n"/>
      <c r="S864" s="11" t="n"/>
      <c r="T864" s="12" t="n"/>
      <c r="U864" s="12" t="n"/>
      <c r="V864" s="12" t="n"/>
      <c r="W864" s="13" t="n"/>
      <c r="X864" s="14">
        <f>IF($AP864="",IF($B864="","",$H864),IF(INDEX(職員マスタ!$B$6:$B$405,$AP864)="",$H864,INDEX(職員マスタ!$B$6:$B$405,$AP864)))</f>
        <v/>
      </c>
      <c r="Y864" s="14">
        <f>IF($AP864="",IF($B864="","",$R864),IF(INDEX(職員マスタ!$C$6:$C$405,$AP864)="",$R864,INDEX(職員マスタ!$C$6:$C$405,$AP864)))</f>
        <v/>
      </c>
      <c r="Z864" s="14">
        <f>IF($AQ864="","","R"&amp;$C864&amp;"."&amp;$D864)</f>
        <v/>
      </c>
      <c r="AA864" s="15">
        <f>IF(IF($AP864="",FALSE,INDEX(職員マスタ!$K$6:$K$405,$AP864)&lt;&gt;""),INDEX(職員マスタ!$K$6:$K$405,$AP864),IF(N($W864)&gt;0,$W864,""))</f>
        <v/>
      </c>
      <c r="AB864" s="14">
        <f>IF(OR($E864="",$AA864=""),"",IF($E864&gt;=$AA864,"×",IF($E864&gt;=$AA864*設定!$C$5,"△","○")))</f>
        <v/>
      </c>
      <c r="AC864" s="15">
        <f>IF($AB864="","",IF($AB864="×",0,IF($AB864="○",ROUNDDOWN($E864*設定!$C$4,0),ROUNDDOWN($E864*ROUND((9*$AA864-9*$E864)/(10*$E864),4),0))))</f>
        <v/>
      </c>
      <c r="AD864" s="13" t="n"/>
      <c r="AE864" s="15">
        <f>IF($B864="","",IF($AD864&lt;&gt;"",$AD864,IF($AC864="","",IF($AC864&lt;=設定!$C$3,0,$AC864))))</f>
        <v/>
      </c>
      <c r="AF864" s="14">
        <f>IF($B864="","",IF(AND($AG864&lt;&gt;"",$AI864="",$AL864=""),"保留中",IF($AL864&lt;&gt;"",IF(N($AE864)&gt;0,"支給済","不支給"),IF($AE864="","要確認",IF($AE864=0,"不支給","未処理")))))</f>
        <v/>
      </c>
      <c r="AG864" s="12" t="n"/>
      <c r="AH864" s="11" t="n"/>
      <c r="AI864" s="11" t="n"/>
      <c r="AJ864" s="11" t="n"/>
      <c r="AK864" s="14">
        <f>IF(AND($AF864="保留中",$AH864&lt;&gt;""),TODAY()-$AH864,"")</f>
        <v/>
      </c>
      <c r="AL864" s="12" t="n"/>
      <c r="AM864" s="14">
        <f>IF($B864="","",IF($AQ864="","対象年月が未入力／","")&amp;IF($B864="","",IF($AP864="","職員マスタに未登録の職員番号／",IF($AA864="","標準報酬月額が未登録／","")&amp;IF(AND($AQ864&lt;&gt;"",OR(AND(INDEX(職員マスタ!$G$6:$G$405,$AP864)&lt;&gt;"",INDEX(職員マスタ!$G$6:$G$405,$AP864)&gt;EOMONTH($AQ864,0)),AND(INDEX(職員マスタ!$H$6:$H$405,$AP864)&lt;&gt;"",INDEX(職員マスタ!$H$6:$H$405,$AP864)&lt;$AQ864))),"対象月が時短期間外／","")&amp;IF(AND(INDEX(職員マスタ!$K$6:$K$405,$AP864)&lt;&gt;"",N($W864)&gt;0,INDEX(職員マスタ!$K$6:$K$405,$AP864)&lt;&gt;$W864),"標準報酬月額が申請書と相違（台帳"&amp;TEXT(INDEX(職員マスタ!$K$6:$K$405,$AP864),"#,##0")&amp;"円／申請書"&amp;TEXT($W864,"#,##0")&amp;"円）／","")&amp;IF(AND(INDEX(職員マスタ!$F$6:$F$405,$AP864)&lt;&gt;"",$AQ864&lt;&gt;"",INDEX(職員マスタ!$F$6:$F$405,$AP864)&lt;$AQ864),"対象月に子が2歳到達済／","")&amp;IF(AND($H864&lt;&gt;"",INDEX(職員マスタ!$B$6:$B$405,$AP864)&lt;&gt;"",SUBSTITUTE(SUBSTITUTE($H864," ","")," ","")&lt;&gt;SUBSTITUTE(SUBSTITUTE(INDEX(職員マスタ!$B$6:$B$405,$AP864)," ","")," ","")),"氏名がマスタと相違／","")&amp;IF(AND($Q864&lt;&gt;"",INDEX(職員マスタ!$E$6:$E$405,$AP864)&lt;&gt;"",$Q864&lt;&gt;INDEX(職員マスタ!$E$6:$E$405,$AP864)),"子の生年月日がマスタと相違／","")&amp;IF(AND($L864&lt;&gt;"",INDEX(職員マスタ!$G$6:$G$405,$AP864)&lt;&gt;"",$L864&lt;&gt;INDEX(職員マスタ!$G$6:$G$405,$AP864)),"時短開始日がマスタと相違／","")&amp;IF(AND($M864&lt;&gt;"",INDEX(職員マスタ!$H$6:$H$405,$AP864)&lt;&gt;"",$M864&lt;&gt;INDEX(職員マスタ!$H$6:$H$405,$AP864)),"時短終了日がマスタと相違／","")))&amp;IF(AND($B864&lt;&gt;"",$E864=""),"報酬額が未入力／","")&amp;IF(N($U864)&gt;0,"申請書に入力エラーが残っています／","")&amp;IF(AND($B864&lt;&gt;"",$AQ864&lt;&gt;""),IF(COUNTIFS($B$6:$B$3005,$B864,$C$6:$C$3005,$C864,$D$6:$D$3005,$D864)&gt;1,"同じ月の請求が重複しています／",""),"")&amp;IF(AND(N($E864)&gt;0,$AB864&lt;&gt;"",$AB864&lt;&gt;"×",$AE864=0,$AD864=""),"計算額が下限以下のため不支給／",""))</f>
        <v/>
      </c>
      <c r="AN864" s="12" t="n"/>
      <c r="AO864" s="14">
        <f>IF($AF864="保留中",COUNTIF($AF$6:$AF864,"保留中"),"")</f>
        <v/>
      </c>
      <c r="AP864" s="14">
        <f>IF($AQ864="","",IF(SUMPRODUCT(MAX((職員マスタ!$A$6:$A$405=$B864)*(((職員マスタ!$G$6:$G$405="")+(職員マスタ!$G$6:$G$405&lt;=EOMONTH($AQ864,0)))&gt;0)*(((職員マスタ!$H$6:$H$405="")+(職員マスタ!$H$6:$H$405&gt;=$AQ864))&gt;0)*(ROW(職員マスタ!$A$6:$A$405)-5)))&gt;0,SUMPRODUCT(MAX((職員マスタ!$A$6:$A$405=$B864)*(((職員マスタ!$G$6:$G$405="")+(職員マスタ!$G$6:$G$405&lt;=EOMONTH($AQ864,0)))&gt;0)*(((職員マスタ!$H$6:$H$405="")+(職員マスタ!$H$6:$H$405&gt;=$AQ864))&gt;0)*(ROW(職員マスタ!$A$6:$A$405)-5))),IFERROR(MATCH($B864,職員マスタ!$A$6:$A$405,0),"")))</f>
        <v/>
      </c>
      <c r="AQ864" s="16">
        <f>IF(OR($B864="",$C864="",$D864=""),"",DATE($C864+2018,$D864,1))</f>
        <v/>
      </c>
    </row>
    <row r="865">
      <c r="A865" s="11" t="n"/>
      <c r="B865" s="12" t="n"/>
      <c r="C865" s="12" t="n"/>
      <c r="D865" s="12" t="n"/>
      <c r="E865" s="13" t="n"/>
      <c r="F865" s="12" t="n"/>
      <c r="G865" s="13" t="n"/>
      <c r="H865" s="12" t="n"/>
      <c r="I865" s="12" t="n"/>
      <c r="J865" s="12" t="n"/>
      <c r="K865" s="12" t="n"/>
      <c r="L865" s="11" t="n"/>
      <c r="M865" s="11" t="n"/>
      <c r="N865" s="11" t="n"/>
      <c r="O865" s="11" t="n"/>
      <c r="P865" s="12" t="n"/>
      <c r="Q865" s="11" t="n"/>
      <c r="R865" s="12" t="n"/>
      <c r="S865" s="11" t="n"/>
      <c r="T865" s="12" t="n"/>
      <c r="U865" s="12" t="n"/>
      <c r="V865" s="12" t="n"/>
      <c r="W865" s="13" t="n"/>
      <c r="X865" s="14">
        <f>IF($AP865="",IF($B865="","",$H865),IF(INDEX(職員マスタ!$B$6:$B$405,$AP865)="",$H865,INDEX(職員マスタ!$B$6:$B$405,$AP865)))</f>
        <v/>
      </c>
      <c r="Y865" s="14">
        <f>IF($AP865="",IF($B865="","",$R865),IF(INDEX(職員マスタ!$C$6:$C$405,$AP865)="",$R865,INDEX(職員マスタ!$C$6:$C$405,$AP865)))</f>
        <v/>
      </c>
      <c r="Z865" s="14">
        <f>IF($AQ865="","","R"&amp;$C865&amp;"."&amp;$D865)</f>
        <v/>
      </c>
      <c r="AA865" s="15">
        <f>IF(IF($AP865="",FALSE,INDEX(職員マスタ!$K$6:$K$405,$AP865)&lt;&gt;""),INDEX(職員マスタ!$K$6:$K$405,$AP865),IF(N($W865)&gt;0,$W865,""))</f>
        <v/>
      </c>
      <c r="AB865" s="14">
        <f>IF(OR($E865="",$AA865=""),"",IF($E865&gt;=$AA865,"×",IF($E865&gt;=$AA865*設定!$C$5,"△","○")))</f>
        <v/>
      </c>
      <c r="AC865" s="15">
        <f>IF($AB865="","",IF($AB865="×",0,IF($AB865="○",ROUNDDOWN($E865*設定!$C$4,0),ROUNDDOWN($E865*ROUND((9*$AA865-9*$E865)/(10*$E865),4),0))))</f>
        <v/>
      </c>
      <c r="AD865" s="13" t="n"/>
      <c r="AE865" s="15">
        <f>IF($B865="","",IF($AD865&lt;&gt;"",$AD865,IF($AC865="","",IF($AC865&lt;=設定!$C$3,0,$AC865))))</f>
        <v/>
      </c>
      <c r="AF865" s="14">
        <f>IF($B865="","",IF(AND($AG865&lt;&gt;"",$AI865="",$AL865=""),"保留中",IF($AL865&lt;&gt;"",IF(N($AE865)&gt;0,"支給済","不支給"),IF($AE865="","要確認",IF($AE865=0,"不支給","未処理")))))</f>
        <v/>
      </c>
      <c r="AG865" s="12" t="n"/>
      <c r="AH865" s="11" t="n"/>
      <c r="AI865" s="11" t="n"/>
      <c r="AJ865" s="11" t="n"/>
      <c r="AK865" s="14">
        <f>IF(AND($AF865="保留中",$AH865&lt;&gt;""),TODAY()-$AH865,"")</f>
        <v/>
      </c>
      <c r="AL865" s="12" t="n"/>
      <c r="AM865" s="14">
        <f>IF($B865="","",IF($AQ865="","対象年月が未入力／","")&amp;IF($B865="","",IF($AP865="","職員マスタに未登録の職員番号／",IF($AA865="","標準報酬月額が未登録／","")&amp;IF(AND($AQ865&lt;&gt;"",OR(AND(INDEX(職員マスタ!$G$6:$G$405,$AP865)&lt;&gt;"",INDEX(職員マスタ!$G$6:$G$405,$AP865)&gt;EOMONTH($AQ865,0)),AND(INDEX(職員マスタ!$H$6:$H$405,$AP865)&lt;&gt;"",INDEX(職員マスタ!$H$6:$H$405,$AP865)&lt;$AQ865))),"対象月が時短期間外／","")&amp;IF(AND(INDEX(職員マスタ!$K$6:$K$405,$AP865)&lt;&gt;"",N($W865)&gt;0,INDEX(職員マスタ!$K$6:$K$405,$AP865)&lt;&gt;$W865),"標準報酬月額が申請書と相違（台帳"&amp;TEXT(INDEX(職員マスタ!$K$6:$K$405,$AP865),"#,##0")&amp;"円／申請書"&amp;TEXT($W865,"#,##0")&amp;"円）／","")&amp;IF(AND(INDEX(職員マスタ!$F$6:$F$405,$AP865)&lt;&gt;"",$AQ865&lt;&gt;"",INDEX(職員マスタ!$F$6:$F$405,$AP865)&lt;$AQ865),"対象月に子が2歳到達済／","")&amp;IF(AND($H865&lt;&gt;"",INDEX(職員マスタ!$B$6:$B$405,$AP865)&lt;&gt;"",SUBSTITUTE(SUBSTITUTE($H865," ","")," ","")&lt;&gt;SUBSTITUTE(SUBSTITUTE(INDEX(職員マスタ!$B$6:$B$405,$AP865)," ","")," ","")),"氏名がマスタと相違／","")&amp;IF(AND($Q865&lt;&gt;"",INDEX(職員マスタ!$E$6:$E$405,$AP865)&lt;&gt;"",$Q865&lt;&gt;INDEX(職員マスタ!$E$6:$E$405,$AP865)),"子の生年月日がマスタと相違／","")&amp;IF(AND($L865&lt;&gt;"",INDEX(職員マスタ!$G$6:$G$405,$AP865)&lt;&gt;"",$L865&lt;&gt;INDEX(職員マスタ!$G$6:$G$405,$AP865)),"時短開始日がマスタと相違／","")&amp;IF(AND($M865&lt;&gt;"",INDEX(職員マスタ!$H$6:$H$405,$AP865)&lt;&gt;"",$M865&lt;&gt;INDEX(職員マスタ!$H$6:$H$405,$AP865)),"時短終了日がマスタと相違／","")))&amp;IF(AND($B865&lt;&gt;"",$E865=""),"報酬額が未入力／","")&amp;IF(N($U865)&gt;0,"申請書に入力エラーが残っています／","")&amp;IF(AND($B865&lt;&gt;"",$AQ865&lt;&gt;""),IF(COUNTIFS($B$6:$B$3005,$B865,$C$6:$C$3005,$C865,$D$6:$D$3005,$D865)&gt;1,"同じ月の請求が重複しています／",""),"")&amp;IF(AND(N($E865)&gt;0,$AB865&lt;&gt;"",$AB865&lt;&gt;"×",$AE865=0,$AD865=""),"計算額が下限以下のため不支給／",""))</f>
        <v/>
      </c>
      <c r="AN865" s="12" t="n"/>
      <c r="AO865" s="14">
        <f>IF($AF865="保留中",COUNTIF($AF$6:$AF865,"保留中"),"")</f>
        <v/>
      </c>
      <c r="AP865" s="14">
        <f>IF($AQ865="","",IF(SUMPRODUCT(MAX((職員マスタ!$A$6:$A$405=$B865)*(((職員マスタ!$G$6:$G$405="")+(職員マスタ!$G$6:$G$405&lt;=EOMONTH($AQ865,0)))&gt;0)*(((職員マスタ!$H$6:$H$405="")+(職員マスタ!$H$6:$H$405&gt;=$AQ865))&gt;0)*(ROW(職員マスタ!$A$6:$A$405)-5)))&gt;0,SUMPRODUCT(MAX((職員マスタ!$A$6:$A$405=$B865)*(((職員マスタ!$G$6:$G$405="")+(職員マスタ!$G$6:$G$405&lt;=EOMONTH($AQ865,0)))&gt;0)*(((職員マスタ!$H$6:$H$405="")+(職員マスタ!$H$6:$H$405&gt;=$AQ865))&gt;0)*(ROW(職員マスタ!$A$6:$A$405)-5))),IFERROR(MATCH($B865,職員マスタ!$A$6:$A$405,0),"")))</f>
        <v/>
      </c>
      <c r="AQ865" s="16">
        <f>IF(OR($B865="",$C865="",$D865=""),"",DATE($C865+2018,$D865,1))</f>
        <v/>
      </c>
    </row>
    <row r="866">
      <c r="A866" s="11" t="n"/>
      <c r="B866" s="12" t="n"/>
      <c r="C866" s="12" t="n"/>
      <c r="D866" s="12" t="n"/>
      <c r="E866" s="13" t="n"/>
      <c r="F866" s="12" t="n"/>
      <c r="G866" s="13" t="n"/>
      <c r="H866" s="12" t="n"/>
      <c r="I866" s="12" t="n"/>
      <c r="J866" s="12" t="n"/>
      <c r="K866" s="12" t="n"/>
      <c r="L866" s="11" t="n"/>
      <c r="M866" s="11" t="n"/>
      <c r="N866" s="11" t="n"/>
      <c r="O866" s="11" t="n"/>
      <c r="P866" s="12" t="n"/>
      <c r="Q866" s="11" t="n"/>
      <c r="R866" s="12" t="n"/>
      <c r="S866" s="11" t="n"/>
      <c r="T866" s="12" t="n"/>
      <c r="U866" s="12" t="n"/>
      <c r="V866" s="12" t="n"/>
      <c r="W866" s="13" t="n"/>
      <c r="X866" s="14">
        <f>IF($AP866="",IF($B866="","",$H866),IF(INDEX(職員マスタ!$B$6:$B$405,$AP866)="",$H866,INDEX(職員マスタ!$B$6:$B$405,$AP866)))</f>
        <v/>
      </c>
      <c r="Y866" s="14">
        <f>IF($AP866="",IF($B866="","",$R866),IF(INDEX(職員マスタ!$C$6:$C$405,$AP866)="",$R866,INDEX(職員マスタ!$C$6:$C$405,$AP866)))</f>
        <v/>
      </c>
      <c r="Z866" s="14">
        <f>IF($AQ866="","","R"&amp;$C866&amp;"."&amp;$D866)</f>
        <v/>
      </c>
      <c r="AA866" s="15">
        <f>IF(IF($AP866="",FALSE,INDEX(職員マスタ!$K$6:$K$405,$AP866)&lt;&gt;""),INDEX(職員マスタ!$K$6:$K$405,$AP866),IF(N($W866)&gt;0,$W866,""))</f>
        <v/>
      </c>
      <c r="AB866" s="14">
        <f>IF(OR($E866="",$AA866=""),"",IF($E866&gt;=$AA866,"×",IF($E866&gt;=$AA866*設定!$C$5,"△","○")))</f>
        <v/>
      </c>
      <c r="AC866" s="15">
        <f>IF($AB866="","",IF($AB866="×",0,IF($AB866="○",ROUNDDOWN($E866*設定!$C$4,0),ROUNDDOWN($E866*ROUND((9*$AA866-9*$E866)/(10*$E866),4),0))))</f>
        <v/>
      </c>
      <c r="AD866" s="13" t="n"/>
      <c r="AE866" s="15">
        <f>IF($B866="","",IF($AD866&lt;&gt;"",$AD866,IF($AC866="","",IF($AC866&lt;=設定!$C$3,0,$AC866))))</f>
        <v/>
      </c>
      <c r="AF866" s="14">
        <f>IF($B866="","",IF(AND($AG866&lt;&gt;"",$AI866="",$AL866=""),"保留中",IF($AL866&lt;&gt;"",IF(N($AE866)&gt;0,"支給済","不支給"),IF($AE866="","要確認",IF($AE866=0,"不支給","未処理")))))</f>
        <v/>
      </c>
      <c r="AG866" s="12" t="n"/>
      <c r="AH866" s="11" t="n"/>
      <c r="AI866" s="11" t="n"/>
      <c r="AJ866" s="11" t="n"/>
      <c r="AK866" s="14">
        <f>IF(AND($AF866="保留中",$AH866&lt;&gt;""),TODAY()-$AH866,"")</f>
        <v/>
      </c>
      <c r="AL866" s="12" t="n"/>
      <c r="AM866" s="14">
        <f>IF($B866="","",IF($AQ866="","対象年月が未入力／","")&amp;IF($B866="","",IF($AP866="","職員マスタに未登録の職員番号／",IF($AA866="","標準報酬月額が未登録／","")&amp;IF(AND($AQ866&lt;&gt;"",OR(AND(INDEX(職員マスタ!$G$6:$G$405,$AP866)&lt;&gt;"",INDEX(職員マスタ!$G$6:$G$405,$AP866)&gt;EOMONTH($AQ866,0)),AND(INDEX(職員マスタ!$H$6:$H$405,$AP866)&lt;&gt;"",INDEX(職員マスタ!$H$6:$H$405,$AP866)&lt;$AQ866))),"対象月が時短期間外／","")&amp;IF(AND(INDEX(職員マスタ!$K$6:$K$405,$AP866)&lt;&gt;"",N($W866)&gt;0,INDEX(職員マスタ!$K$6:$K$405,$AP866)&lt;&gt;$W866),"標準報酬月額が申請書と相違（台帳"&amp;TEXT(INDEX(職員マスタ!$K$6:$K$405,$AP866),"#,##0")&amp;"円／申請書"&amp;TEXT($W866,"#,##0")&amp;"円）／","")&amp;IF(AND(INDEX(職員マスタ!$F$6:$F$405,$AP866)&lt;&gt;"",$AQ866&lt;&gt;"",INDEX(職員マスタ!$F$6:$F$405,$AP866)&lt;$AQ866),"対象月に子が2歳到達済／","")&amp;IF(AND($H866&lt;&gt;"",INDEX(職員マスタ!$B$6:$B$405,$AP866)&lt;&gt;"",SUBSTITUTE(SUBSTITUTE($H866," ","")," ","")&lt;&gt;SUBSTITUTE(SUBSTITUTE(INDEX(職員マスタ!$B$6:$B$405,$AP866)," ","")," ","")),"氏名がマスタと相違／","")&amp;IF(AND($Q866&lt;&gt;"",INDEX(職員マスタ!$E$6:$E$405,$AP866)&lt;&gt;"",$Q866&lt;&gt;INDEX(職員マスタ!$E$6:$E$405,$AP866)),"子の生年月日がマスタと相違／","")&amp;IF(AND($L866&lt;&gt;"",INDEX(職員マスタ!$G$6:$G$405,$AP866)&lt;&gt;"",$L866&lt;&gt;INDEX(職員マスタ!$G$6:$G$405,$AP866)),"時短開始日がマスタと相違／","")&amp;IF(AND($M866&lt;&gt;"",INDEX(職員マスタ!$H$6:$H$405,$AP866)&lt;&gt;"",$M866&lt;&gt;INDEX(職員マスタ!$H$6:$H$405,$AP866)),"時短終了日がマスタと相違／","")))&amp;IF(AND($B866&lt;&gt;"",$E866=""),"報酬額が未入力／","")&amp;IF(N($U866)&gt;0,"申請書に入力エラーが残っています／","")&amp;IF(AND($B866&lt;&gt;"",$AQ866&lt;&gt;""),IF(COUNTIFS($B$6:$B$3005,$B866,$C$6:$C$3005,$C866,$D$6:$D$3005,$D866)&gt;1,"同じ月の請求が重複しています／",""),"")&amp;IF(AND(N($E866)&gt;0,$AB866&lt;&gt;"",$AB866&lt;&gt;"×",$AE866=0,$AD866=""),"計算額が下限以下のため不支給／",""))</f>
        <v/>
      </c>
      <c r="AN866" s="12" t="n"/>
      <c r="AO866" s="14">
        <f>IF($AF866="保留中",COUNTIF($AF$6:$AF866,"保留中"),"")</f>
        <v/>
      </c>
      <c r="AP866" s="14">
        <f>IF($AQ866="","",IF(SUMPRODUCT(MAX((職員マスタ!$A$6:$A$405=$B866)*(((職員マスタ!$G$6:$G$405="")+(職員マスタ!$G$6:$G$405&lt;=EOMONTH($AQ866,0)))&gt;0)*(((職員マスタ!$H$6:$H$405="")+(職員マスタ!$H$6:$H$405&gt;=$AQ866))&gt;0)*(ROW(職員マスタ!$A$6:$A$405)-5)))&gt;0,SUMPRODUCT(MAX((職員マスタ!$A$6:$A$405=$B866)*(((職員マスタ!$G$6:$G$405="")+(職員マスタ!$G$6:$G$405&lt;=EOMONTH($AQ866,0)))&gt;0)*(((職員マスタ!$H$6:$H$405="")+(職員マスタ!$H$6:$H$405&gt;=$AQ866))&gt;0)*(ROW(職員マスタ!$A$6:$A$405)-5))),IFERROR(MATCH($B866,職員マスタ!$A$6:$A$405,0),"")))</f>
        <v/>
      </c>
      <c r="AQ866" s="16">
        <f>IF(OR($B866="",$C866="",$D866=""),"",DATE($C866+2018,$D866,1))</f>
        <v/>
      </c>
    </row>
    <row r="867">
      <c r="A867" s="11" t="n"/>
      <c r="B867" s="12" t="n"/>
      <c r="C867" s="12" t="n"/>
      <c r="D867" s="12" t="n"/>
      <c r="E867" s="13" t="n"/>
      <c r="F867" s="12" t="n"/>
      <c r="G867" s="13" t="n"/>
      <c r="H867" s="12" t="n"/>
      <c r="I867" s="12" t="n"/>
      <c r="J867" s="12" t="n"/>
      <c r="K867" s="12" t="n"/>
      <c r="L867" s="11" t="n"/>
      <c r="M867" s="11" t="n"/>
      <c r="N867" s="11" t="n"/>
      <c r="O867" s="11" t="n"/>
      <c r="P867" s="12" t="n"/>
      <c r="Q867" s="11" t="n"/>
      <c r="R867" s="12" t="n"/>
      <c r="S867" s="11" t="n"/>
      <c r="T867" s="12" t="n"/>
      <c r="U867" s="12" t="n"/>
      <c r="V867" s="12" t="n"/>
      <c r="W867" s="13" t="n"/>
      <c r="X867" s="14">
        <f>IF($AP867="",IF($B867="","",$H867),IF(INDEX(職員マスタ!$B$6:$B$405,$AP867)="",$H867,INDEX(職員マスタ!$B$6:$B$405,$AP867)))</f>
        <v/>
      </c>
      <c r="Y867" s="14">
        <f>IF($AP867="",IF($B867="","",$R867),IF(INDEX(職員マスタ!$C$6:$C$405,$AP867)="",$R867,INDEX(職員マスタ!$C$6:$C$405,$AP867)))</f>
        <v/>
      </c>
      <c r="Z867" s="14">
        <f>IF($AQ867="","","R"&amp;$C867&amp;"."&amp;$D867)</f>
        <v/>
      </c>
      <c r="AA867" s="15">
        <f>IF(IF($AP867="",FALSE,INDEX(職員マスタ!$K$6:$K$405,$AP867)&lt;&gt;""),INDEX(職員マスタ!$K$6:$K$405,$AP867),IF(N($W867)&gt;0,$W867,""))</f>
        <v/>
      </c>
      <c r="AB867" s="14">
        <f>IF(OR($E867="",$AA867=""),"",IF($E867&gt;=$AA867,"×",IF($E867&gt;=$AA867*設定!$C$5,"△","○")))</f>
        <v/>
      </c>
      <c r="AC867" s="15">
        <f>IF($AB867="","",IF($AB867="×",0,IF($AB867="○",ROUNDDOWN($E867*設定!$C$4,0),ROUNDDOWN($E867*ROUND((9*$AA867-9*$E867)/(10*$E867),4),0))))</f>
        <v/>
      </c>
      <c r="AD867" s="13" t="n"/>
      <c r="AE867" s="15">
        <f>IF($B867="","",IF($AD867&lt;&gt;"",$AD867,IF($AC867="","",IF($AC867&lt;=設定!$C$3,0,$AC867))))</f>
        <v/>
      </c>
      <c r="AF867" s="14">
        <f>IF($B867="","",IF(AND($AG867&lt;&gt;"",$AI867="",$AL867=""),"保留中",IF($AL867&lt;&gt;"",IF(N($AE867)&gt;0,"支給済","不支給"),IF($AE867="","要確認",IF($AE867=0,"不支給","未処理")))))</f>
        <v/>
      </c>
      <c r="AG867" s="12" t="n"/>
      <c r="AH867" s="11" t="n"/>
      <c r="AI867" s="11" t="n"/>
      <c r="AJ867" s="11" t="n"/>
      <c r="AK867" s="14">
        <f>IF(AND($AF867="保留中",$AH867&lt;&gt;""),TODAY()-$AH867,"")</f>
        <v/>
      </c>
      <c r="AL867" s="12" t="n"/>
      <c r="AM867" s="14">
        <f>IF($B867="","",IF($AQ867="","対象年月が未入力／","")&amp;IF($B867="","",IF($AP867="","職員マスタに未登録の職員番号／",IF($AA867="","標準報酬月額が未登録／","")&amp;IF(AND($AQ867&lt;&gt;"",OR(AND(INDEX(職員マスタ!$G$6:$G$405,$AP867)&lt;&gt;"",INDEX(職員マスタ!$G$6:$G$405,$AP867)&gt;EOMONTH($AQ867,0)),AND(INDEX(職員マスタ!$H$6:$H$405,$AP867)&lt;&gt;"",INDEX(職員マスタ!$H$6:$H$405,$AP867)&lt;$AQ867))),"対象月が時短期間外／","")&amp;IF(AND(INDEX(職員マスタ!$K$6:$K$405,$AP867)&lt;&gt;"",N($W867)&gt;0,INDEX(職員マスタ!$K$6:$K$405,$AP867)&lt;&gt;$W867),"標準報酬月額が申請書と相違（台帳"&amp;TEXT(INDEX(職員マスタ!$K$6:$K$405,$AP867),"#,##0")&amp;"円／申請書"&amp;TEXT($W867,"#,##0")&amp;"円）／","")&amp;IF(AND(INDEX(職員マスタ!$F$6:$F$405,$AP867)&lt;&gt;"",$AQ867&lt;&gt;"",INDEX(職員マスタ!$F$6:$F$405,$AP867)&lt;$AQ867),"対象月に子が2歳到達済／","")&amp;IF(AND($H867&lt;&gt;"",INDEX(職員マスタ!$B$6:$B$405,$AP867)&lt;&gt;"",SUBSTITUTE(SUBSTITUTE($H867," ","")," ","")&lt;&gt;SUBSTITUTE(SUBSTITUTE(INDEX(職員マスタ!$B$6:$B$405,$AP867)," ","")," ","")),"氏名がマスタと相違／","")&amp;IF(AND($Q867&lt;&gt;"",INDEX(職員マスタ!$E$6:$E$405,$AP867)&lt;&gt;"",$Q867&lt;&gt;INDEX(職員マスタ!$E$6:$E$405,$AP867)),"子の生年月日がマスタと相違／","")&amp;IF(AND($L867&lt;&gt;"",INDEX(職員マスタ!$G$6:$G$405,$AP867)&lt;&gt;"",$L867&lt;&gt;INDEX(職員マスタ!$G$6:$G$405,$AP867)),"時短開始日がマスタと相違／","")&amp;IF(AND($M867&lt;&gt;"",INDEX(職員マスタ!$H$6:$H$405,$AP867)&lt;&gt;"",$M867&lt;&gt;INDEX(職員マスタ!$H$6:$H$405,$AP867)),"時短終了日がマスタと相違／","")))&amp;IF(AND($B867&lt;&gt;"",$E867=""),"報酬額が未入力／","")&amp;IF(N($U867)&gt;0,"申請書に入力エラーが残っています／","")&amp;IF(AND($B867&lt;&gt;"",$AQ867&lt;&gt;""),IF(COUNTIFS($B$6:$B$3005,$B867,$C$6:$C$3005,$C867,$D$6:$D$3005,$D867)&gt;1,"同じ月の請求が重複しています／",""),"")&amp;IF(AND(N($E867)&gt;0,$AB867&lt;&gt;"",$AB867&lt;&gt;"×",$AE867=0,$AD867=""),"計算額が下限以下のため不支給／",""))</f>
        <v/>
      </c>
      <c r="AN867" s="12" t="n"/>
      <c r="AO867" s="14">
        <f>IF($AF867="保留中",COUNTIF($AF$6:$AF867,"保留中"),"")</f>
        <v/>
      </c>
      <c r="AP867" s="14">
        <f>IF($AQ867="","",IF(SUMPRODUCT(MAX((職員マスタ!$A$6:$A$405=$B867)*(((職員マスタ!$G$6:$G$405="")+(職員マスタ!$G$6:$G$405&lt;=EOMONTH($AQ867,0)))&gt;0)*(((職員マスタ!$H$6:$H$405="")+(職員マスタ!$H$6:$H$405&gt;=$AQ867))&gt;0)*(ROW(職員マスタ!$A$6:$A$405)-5)))&gt;0,SUMPRODUCT(MAX((職員マスタ!$A$6:$A$405=$B867)*(((職員マスタ!$G$6:$G$405="")+(職員マスタ!$G$6:$G$405&lt;=EOMONTH($AQ867,0)))&gt;0)*(((職員マスタ!$H$6:$H$405="")+(職員マスタ!$H$6:$H$405&gt;=$AQ867))&gt;0)*(ROW(職員マスタ!$A$6:$A$405)-5))),IFERROR(MATCH($B867,職員マスタ!$A$6:$A$405,0),"")))</f>
        <v/>
      </c>
      <c r="AQ867" s="16">
        <f>IF(OR($B867="",$C867="",$D867=""),"",DATE($C867+2018,$D867,1))</f>
        <v/>
      </c>
    </row>
    <row r="868">
      <c r="A868" s="11" t="n"/>
      <c r="B868" s="12" t="n"/>
      <c r="C868" s="12" t="n"/>
      <c r="D868" s="12" t="n"/>
      <c r="E868" s="13" t="n"/>
      <c r="F868" s="12" t="n"/>
      <c r="G868" s="13" t="n"/>
      <c r="H868" s="12" t="n"/>
      <c r="I868" s="12" t="n"/>
      <c r="J868" s="12" t="n"/>
      <c r="K868" s="12" t="n"/>
      <c r="L868" s="11" t="n"/>
      <c r="M868" s="11" t="n"/>
      <c r="N868" s="11" t="n"/>
      <c r="O868" s="11" t="n"/>
      <c r="P868" s="12" t="n"/>
      <c r="Q868" s="11" t="n"/>
      <c r="R868" s="12" t="n"/>
      <c r="S868" s="11" t="n"/>
      <c r="T868" s="12" t="n"/>
      <c r="U868" s="12" t="n"/>
      <c r="V868" s="12" t="n"/>
      <c r="W868" s="13" t="n"/>
      <c r="X868" s="14">
        <f>IF($AP868="",IF($B868="","",$H868),IF(INDEX(職員マスタ!$B$6:$B$405,$AP868)="",$H868,INDEX(職員マスタ!$B$6:$B$405,$AP868)))</f>
        <v/>
      </c>
      <c r="Y868" s="14">
        <f>IF($AP868="",IF($B868="","",$R868),IF(INDEX(職員マスタ!$C$6:$C$405,$AP868)="",$R868,INDEX(職員マスタ!$C$6:$C$405,$AP868)))</f>
        <v/>
      </c>
      <c r="Z868" s="14">
        <f>IF($AQ868="","","R"&amp;$C868&amp;"."&amp;$D868)</f>
        <v/>
      </c>
      <c r="AA868" s="15">
        <f>IF(IF($AP868="",FALSE,INDEX(職員マスタ!$K$6:$K$405,$AP868)&lt;&gt;""),INDEX(職員マスタ!$K$6:$K$405,$AP868),IF(N($W868)&gt;0,$W868,""))</f>
        <v/>
      </c>
      <c r="AB868" s="14">
        <f>IF(OR($E868="",$AA868=""),"",IF($E868&gt;=$AA868,"×",IF($E868&gt;=$AA868*設定!$C$5,"△","○")))</f>
        <v/>
      </c>
      <c r="AC868" s="15">
        <f>IF($AB868="","",IF($AB868="×",0,IF($AB868="○",ROUNDDOWN($E868*設定!$C$4,0),ROUNDDOWN($E868*ROUND((9*$AA868-9*$E868)/(10*$E868),4),0))))</f>
        <v/>
      </c>
      <c r="AD868" s="13" t="n"/>
      <c r="AE868" s="15">
        <f>IF($B868="","",IF($AD868&lt;&gt;"",$AD868,IF($AC868="","",IF($AC868&lt;=設定!$C$3,0,$AC868))))</f>
        <v/>
      </c>
      <c r="AF868" s="14">
        <f>IF($B868="","",IF(AND($AG868&lt;&gt;"",$AI868="",$AL868=""),"保留中",IF($AL868&lt;&gt;"",IF(N($AE868)&gt;0,"支給済","不支給"),IF($AE868="","要確認",IF($AE868=0,"不支給","未処理")))))</f>
        <v/>
      </c>
      <c r="AG868" s="12" t="n"/>
      <c r="AH868" s="11" t="n"/>
      <c r="AI868" s="11" t="n"/>
      <c r="AJ868" s="11" t="n"/>
      <c r="AK868" s="14">
        <f>IF(AND($AF868="保留中",$AH868&lt;&gt;""),TODAY()-$AH868,"")</f>
        <v/>
      </c>
      <c r="AL868" s="12" t="n"/>
      <c r="AM868" s="14">
        <f>IF($B868="","",IF($AQ868="","対象年月が未入力／","")&amp;IF($B868="","",IF($AP868="","職員マスタに未登録の職員番号／",IF($AA868="","標準報酬月額が未登録／","")&amp;IF(AND($AQ868&lt;&gt;"",OR(AND(INDEX(職員マスタ!$G$6:$G$405,$AP868)&lt;&gt;"",INDEX(職員マスタ!$G$6:$G$405,$AP868)&gt;EOMONTH($AQ868,0)),AND(INDEX(職員マスタ!$H$6:$H$405,$AP868)&lt;&gt;"",INDEX(職員マスタ!$H$6:$H$405,$AP868)&lt;$AQ868))),"対象月が時短期間外／","")&amp;IF(AND(INDEX(職員マスタ!$K$6:$K$405,$AP868)&lt;&gt;"",N($W868)&gt;0,INDEX(職員マスタ!$K$6:$K$405,$AP868)&lt;&gt;$W868),"標準報酬月額が申請書と相違（台帳"&amp;TEXT(INDEX(職員マスタ!$K$6:$K$405,$AP868),"#,##0")&amp;"円／申請書"&amp;TEXT($W868,"#,##0")&amp;"円）／","")&amp;IF(AND(INDEX(職員マスタ!$F$6:$F$405,$AP868)&lt;&gt;"",$AQ868&lt;&gt;"",INDEX(職員マスタ!$F$6:$F$405,$AP868)&lt;$AQ868),"対象月に子が2歳到達済／","")&amp;IF(AND($H868&lt;&gt;"",INDEX(職員マスタ!$B$6:$B$405,$AP868)&lt;&gt;"",SUBSTITUTE(SUBSTITUTE($H868," ","")," ","")&lt;&gt;SUBSTITUTE(SUBSTITUTE(INDEX(職員マスタ!$B$6:$B$405,$AP868)," ","")," ","")),"氏名がマスタと相違／","")&amp;IF(AND($Q868&lt;&gt;"",INDEX(職員マスタ!$E$6:$E$405,$AP868)&lt;&gt;"",$Q868&lt;&gt;INDEX(職員マスタ!$E$6:$E$405,$AP868)),"子の生年月日がマスタと相違／","")&amp;IF(AND($L868&lt;&gt;"",INDEX(職員マスタ!$G$6:$G$405,$AP868)&lt;&gt;"",$L868&lt;&gt;INDEX(職員マスタ!$G$6:$G$405,$AP868)),"時短開始日がマスタと相違／","")&amp;IF(AND($M868&lt;&gt;"",INDEX(職員マスタ!$H$6:$H$405,$AP868)&lt;&gt;"",$M868&lt;&gt;INDEX(職員マスタ!$H$6:$H$405,$AP868)),"時短終了日がマスタと相違／","")))&amp;IF(AND($B868&lt;&gt;"",$E868=""),"報酬額が未入力／","")&amp;IF(N($U868)&gt;0,"申請書に入力エラーが残っています／","")&amp;IF(AND($B868&lt;&gt;"",$AQ868&lt;&gt;""),IF(COUNTIFS($B$6:$B$3005,$B868,$C$6:$C$3005,$C868,$D$6:$D$3005,$D868)&gt;1,"同じ月の請求が重複しています／",""),"")&amp;IF(AND(N($E868)&gt;0,$AB868&lt;&gt;"",$AB868&lt;&gt;"×",$AE868=0,$AD868=""),"計算額が下限以下のため不支給／",""))</f>
        <v/>
      </c>
      <c r="AN868" s="12" t="n"/>
      <c r="AO868" s="14">
        <f>IF($AF868="保留中",COUNTIF($AF$6:$AF868,"保留中"),"")</f>
        <v/>
      </c>
      <c r="AP868" s="14">
        <f>IF($AQ868="","",IF(SUMPRODUCT(MAX((職員マスタ!$A$6:$A$405=$B868)*(((職員マスタ!$G$6:$G$405="")+(職員マスタ!$G$6:$G$405&lt;=EOMONTH($AQ868,0)))&gt;0)*(((職員マスタ!$H$6:$H$405="")+(職員マスタ!$H$6:$H$405&gt;=$AQ868))&gt;0)*(ROW(職員マスタ!$A$6:$A$405)-5)))&gt;0,SUMPRODUCT(MAX((職員マスタ!$A$6:$A$405=$B868)*(((職員マスタ!$G$6:$G$405="")+(職員マスタ!$G$6:$G$405&lt;=EOMONTH($AQ868,0)))&gt;0)*(((職員マスタ!$H$6:$H$405="")+(職員マスタ!$H$6:$H$405&gt;=$AQ868))&gt;0)*(ROW(職員マスタ!$A$6:$A$405)-5))),IFERROR(MATCH($B868,職員マスタ!$A$6:$A$405,0),"")))</f>
        <v/>
      </c>
      <c r="AQ868" s="16">
        <f>IF(OR($B868="",$C868="",$D868=""),"",DATE($C868+2018,$D868,1))</f>
        <v/>
      </c>
    </row>
    <row r="869">
      <c r="A869" s="11" t="n"/>
      <c r="B869" s="12" t="n"/>
      <c r="C869" s="12" t="n"/>
      <c r="D869" s="12" t="n"/>
      <c r="E869" s="13" t="n"/>
      <c r="F869" s="12" t="n"/>
      <c r="G869" s="13" t="n"/>
      <c r="H869" s="12" t="n"/>
      <c r="I869" s="12" t="n"/>
      <c r="J869" s="12" t="n"/>
      <c r="K869" s="12" t="n"/>
      <c r="L869" s="11" t="n"/>
      <c r="M869" s="11" t="n"/>
      <c r="N869" s="11" t="n"/>
      <c r="O869" s="11" t="n"/>
      <c r="P869" s="12" t="n"/>
      <c r="Q869" s="11" t="n"/>
      <c r="R869" s="12" t="n"/>
      <c r="S869" s="11" t="n"/>
      <c r="T869" s="12" t="n"/>
      <c r="U869" s="12" t="n"/>
      <c r="V869" s="12" t="n"/>
      <c r="W869" s="13" t="n"/>
      <c r="X869" s="14">
        <f>IF($AP869="",IF($B869="","",$H869),IF(INDEX(職員マスタ!$B$6:$B$405,$AP869)="",$H869,INDEX(職員マスタ!$B$6:$B$405,$AP869)))</f>
        <v/>
      </c>
      <c r="Y869" s="14">
        <f>IF($AP869="",IF($B869="","",$R869),IF(INDEX(職員マスタ!$C$6:$C$405,$AP869)="",$R869,INDEX(職員マスタ!$C$6:$C$405,$AP869)))</f>
        <v/>
      </c>
      <c r="Z869" s="14">
        <f>IF($AQ869="","","R"&amp;$C869&amp;"."&amp;$D869)</f>
        <v/>
      </c>
      <c r="AA869" s="15">
        <f>IF(IF($AP869="",FALSE,INDEX(職員マスタ!$K$6:$K$405,$AP869)&lt;&gt;""),INDEX(職員マスタ!$K$6:$K$405,$AP869),IF(N($W869)&gt;0,$W869,""))</f>
        <v/>
      </c>
      <c r="AB869" s="14">
        <f>IF(OR($E869="",$AA869=""),"",IF($E869&gt;=$AA869,"×",IF($E869&gt;=$AA869*設定!$C$5,"△","○")))</f>
        <v/>
      </c>
      <c r="AC869" s="15">
        <f>IF($AB869="","",IF($AB869="×",0,IF($AB869="○",ROUNDDOWN($E869*設定!$C$4,0),ROUNDDOWN($E869*ROUND((9*$AA869-9*$E869)/(10*$E869),4),0))))</f>
        <v/>
      </c>
      <c r="AD869" s="13" t="n"/>
      <c r="AE869" s="15">
        <f>IF($B869="","",IF($AD869&lt;&gt;"",$AD869,IF($AC869="","",IF($AC869&lt;=設定!$C$3,0,$AC869))))</f>
        <v/>
      </c>
      <c r="AF869" s="14">
        <f>IF($B869="","",IF(AND($AG869&lt;&gt;"",$AI869="",$AL869=""),"保留中",IF($AL869&lt;&gt;"",IF(N($AE869)&gt;0,"支給済","不支給"),IF($AE869="","要確認",IF($AE869=0,"不支給","未処理")))))</f>
        <v/>
      </c>
      <c r="AG869" s="12" t="n"/>
      <c r="AH869" s="11" t="n"/>
      <c r="AI869" s="11" t="n"/>
      <c r="AJ869" s="11" t="n"/>
      <c r="AK869" s="14">
        <f>IF(AND($AF869="保留中",$AH869&lt;&gt;""),TODAY()-$AH869,"")</f>
        <v/>
      </c>
      <c r="AL869" s="12" t="n"/>
      <c r="AM869" s="14">
        <f>IF($B869="","",IF($AQ869="","対象年月が未入力／","")&amp;IF($B869="","",IF($AP869="","職員マスタに未登録の職員番号／",IF($AA869="","標準報酬月額が未登録／","")&amp;IF(AND($AQ869&lt;&gt;"",OR(AND(INDEX(職員マスタ!$G$6:$G$405,$AP869)&lt;&gt;"",INDEX(職員マスタ!$G$6:$G$405,$AP869)&gt;EOMONTH($AQ869,0)),AND(INDEX(職員マスタ!$H$6:$H$405,$AP869)&lt;&gt;"",INDEX(職員マスタ!$H$6:$H$405,$AP869)&lt;$AQ869))),"対象月が時短期間外／","")&amp;IF(AND(INDEX(職員マスタ!$K$6:$K$405,$AP869)&lt;&gt;"",N($W869)&gt;0,INDEX(職員マスタ!$K$6:$K$405,$AP869)&lt;&gt;$W869),"標準報酬月額が申請書と相違（台帳"&amp;TEXT(INDEX(職員マスタ!$K$6:$K$405,$AP869),"#,##0")&amp;"円／申請書"&amp;TEXT($W869,"#,##0")&amp;"円）／","")&amp;IF(AND(INDEX(職員マスタ!$F$6:$F$405,$AP869)&lt;&gt;"",$AQ869&lt;&gt;"",INDEX(職員マスタ!$F$6:$F$405,$AP869)&lt;$AQ869),"対象月に子が2歳到達済／","")&amp;IF(AND($H869&lt;&gt;"",INDEX(職員マスタ!$B$6:$B$405,$AP869)&lt;&gt;"",SUBSTITUTE(SUBSTITUTE($H869," ","")," ","")&lt;&gt;SUBSTITUTE(SUBSTITUTE(INDEX(職員マスタ!$B$6:$B$405,$AP869)," ","")," ","")),"氏名がマスタと相違／","")&amp;IF(AND($Q869&lt;&gt;"",INDEX(職員マスタ!$E$6:$E$405,$AP869)&lt;&gt;"",$Q869&lt;&gt;INDEX(職員マスタ!$E$6:$E$405,$AP869)),"子の生年月日がマスタと相違／","")&amp;IF(AND($L869&lt;&gt;"",INDEX(職員マスタ!$G$6:$G$405,$AP869)&lt;&gt;"",$L869&lt;&gt;INDEX(職員マスタ!$G$6:$G$405,$AP869)),"時短開始日がマスタと相違／","")&amp;IF(AND($M869&lt;&gt;"",INDEX(職員マスタ!$H$6:$H$405,$AP869)&lt;&gt;"",$M869&lt;&gt;INDEX(職員マスタ!$H$6:$H$405,$AP869)),"時短終了日がマスタと相違／","")))&amp;IF(AND($B869&lt;&gt;"",$E869=""),"報酬額が未入力／","")&amp;IF(N($U869)&gt;0,"申請書に入力エラーが残っています／","")&amp;IF(AND($B869&lt;&gt;"",$AQ869&lt;&gt;""),IF(COUNTIFS($B$6:$B$3005,$B869,$C$6:$C$3005,$C869,$D$6:$D$3005,$D869)&gt;1,"同じ月の請求が重複しています／",""),"")&amp;IF(AND(N($E869)&gt;0,$AB869&lt;&gt;"",$AB869&lt;&gt;"×",$AE869=0,$AD869=""),"計算額が下限以下のため不支給／",""))</f>
        <v/>
      </c>
      <c r="AN869" s="12" t="n"/>
      <c r="AO869" s="14">
        <f>IF($AF869="保留中",COUNTIF($AF$6:$AF869,"保留中"),"")</f>
        <v/>
      </c>
      <c r="AP869" s="14">
        <f>IF($AQ869="","",IF(SUMPRODUCT(MAX((職員マスタ!$A$6:$A$405=$B869)*(((職員マスタ!$G$6:$G$405="")+(職員マスタ!$G$6:$G$405&lt;=EOMONTH($AQ869,0)))&gt;0)*(((職員マスタ!$H$6:$H$405="")+(職員マスタ!$H$6:$H$405&gt;=$AQ869))&gt;0)*(ROW(職員マスタ!$A$6:$A$405)-5)))&gt;0,SUMPRODUCT(MAX((職員マスタ!$A$6:$A$405=$B869)*(((職員マスタ!$G$6:$G$405="")+(職員マスタ!$G$6:$G$405&lt;=EOMONTH($AQ869,0)))&gt;0)*(((職員マスタ!$H$6:$H$405="")+(職員マスタ!$H$6:$H$405&gt;=$AQ869))&gt;0)*(ROW(職員マスタ!$A$6:$A$405)-5))),IFERROR(MATCH($B869,職員マスタ!$A$6:$A$405,0),"")))</f>
        <v/>
      </c>
      <c r="AQ869" s="16">
        <f>IF(OR($B869="",$C869="",$D869=""),"",DATE($C869+2018,$D869,1))</f>
        <v/>
      </c>
    </row>
    <row r="870">
      <c r="A870" s="11" t="n"/>
      <c r="B870" s="12" t="n"/>
      <c r="C870" s="12" t="n"/>
      <c r="D870" s="12" t="n"/>
      <c r="E870" s="13" t="n"/>
      <c r="F870" s="12" t="n"/>
      <c r="G870" s="13" t="n"/>
      <c r="H870" s="12" t="n"/>
      <c r="I870" s="12" t="n"/>
      <c r="J870" s="12" t="n"/>
      <c r="K870" s="12" t="n"/>
      <c r="L870" s="11" t="n"/>
      <c r="M870" s="11" t="n"/>
      <c r="N870" s="11" t="n"/>
      <c r="O870" s="11" t="n"/>
      <c r="P870" s="12" t="n"/>
      <c r="Q870" s="11" t="n"/>
      <c r="R870" s="12" t="n"/>
      <c r="S870" s="11" t="n"/>
      <c r="T870" s="12" t="n"/>
      <c r="U870" s="12" t="n"/>
      <c r="V870" s="12" t="n"/>
      <c r="W870" s="13" t="n"/>
      <c r="X870" s="14">
        <f>IF($AP870="",IF($B870="","",$H870),IF(INDEX(職員マスタ!$B$6:$B$405,$AP870)="",$H870,INDEX(職員マスタ!$B$6:$B$405,$AP870)))</f>
        <v/>
      </c>
      <c r="Y870" s="14">
        <f>IF($AP870="",IF($B870="","",$R870),IF(INDEX(職員マスタ!$C$6:$C$405,$AP870)="",$R870,INDEX(職員マスタ!$C$6:$C$405,$AP870)))</f>
        <v/>
      </c>
      <c r="Z870" s="14">
        <f>IF($AQ870="","","R"&amp;$C870&amp;"."&amp;$D870)</f>
        <v/>
      </c>
      <c r="AA870" s="15">
        <f>IF(IF($AP870="",FALSE,INDEX(職員マスタ!$K$6:$K$405,$AP870)&lt;&gt;""),INDEX(職員マスタ!$K$6:$K$405,$AP870),IF(N($W870)&gt;0,$W870,""))</f>
        <v/>
      </c>
      <c r="AB870" s="14">
        <f>IF(OR($E870="",$AA870=""),"",IF($E870&gt;=$AA870,"×",IF($E870&gt;=$AA870*設定!$C$5,"△","○")))</f>
        <v/>
      </c>
      <c r="AC870" s="15">
        <f>IF($AB870="","",IF($AB870="×",0,IF($AB870="○",ROUNDDOWN($E870*設定!$C$4,0),ROUNDDOWN($E870*ROUND((9*$AA870-9*$E870)/(10*$E870),4),0))))</f>
        <v/>
      </c>
      <c r="AD870" s="13" t="n"/>
      <c r="AE870" s="15">
        <f>IF($B870="","",IF($AD870&lt;&gt;"",$AD870,IF($AC870="","",IF($AC870&lt;=設定!$C$3,0,$AC870))))</f>
        <v/>
      </c>
      <c r="AF870" s="14">
        <f>IF($B870="","",IF(AND($AG870&lt;&gt;"",$AI870="",$AL870=""),"保留中",IF($AL870&lt;&gt;"",IF(N($AE870)&gt;0,"支給済","不支給"),IF($AE870="","要確認",IF($AE870=0,"不支給","未処理")))))</f>
        <v/>
      </c>
      <c r="AG870" s="12" t="n"/>
      <c r="AH870" s="11" t="n"/>
      <c r="AI870" s="11" t="n"/>
      <c r="AJ870" s="11" t="n"/>
      <c r="AK870" s="14">
        <f>IF(AND($AF870="保留中",$AH870&lt;&gt;""),TODAY()-$AH870,"")</f>
        <v/>
      </c>
      <c r="AL870" s="12" t="n"/>
      <c r="AM870" s="14">
        <f>IF($B870="","",IF($AQ870="","対象年月が未入力／","")&amp;IF($B870="","",IF($AP870="","職員マスタに未登録の職員番号／",IF($AA870="","標準報酬月額が未登録／","")&amp;IF(AND($AQ870&lt;&gt;"",OR(AND(INDEX(職員マスタ!$G$6:$G$405,$AP870)&lt;&gt;"",INDEX(職員マスタ!$G$6:$G$405,$AP870)&gt;EOMONTH($AQ870,0)),AND(INDEX(職員マスタ!$H$6:$H$405,$AP870)&lt;&gt;"",INDEX(職員マスタ!$H$6:$H$405,$AP870)&lt;$AQ870))),"対象月が時短期間外／","")&amp;IF(AND(INDEX(職員マスタ!$K$6:$K$405,$AP870)&lt;&gt;"",N($W870)&gt;0,INDEX(職員マスタ!$K$6:$K$405,$AP870)&lt;&gt;$W870),"標準報酬月額が申請書と相違（台帳"&amp;TEXT(INDEX(職員マスタ!$K$6:$K$405,$AP870),"#,##0")&amp;"円／申請書"&amp;TEXT($W870,"#,##0")&amp;"円）／","")&amp;IF(AND(INDEX(職員マスタ!$F$6:$F$405,$AP870)&lt;&gt;"",$AQ870&lt;&gt;"",INDEX(職員マスタ!$F$6:$F$405,$AP870)&lt;$AQ870),"対象月に子が2歳到達済／","")&amp;IF(AND($H870&lt;&gt;"",INDEX(職員マスタ!$B$6:$B$405,$AP870)&lt;&gt;"",SUBSTITUTE(SUBSTITUTE($H870," ","")," ","")&lt;&gt;SUBSTITUTE(SUBSTITUTE(INDEX(職員マスタ!$B$6:$B$405,$AP870)," ","")," ","")),"氏名がマスタと相違／","")&amp;IF(AND($Q870&lt;&gt;"",INDEX(職員マスタ!$E$6:$E$405,$AP870)&lt;&gt;"",$Q870&lt;&gt;INDEX(職員マスタ!$E$6:$E$405,$AP870)),"子の生年月日がマスタと相違／","")&amp;IF(AND($L870&lt;&gt;"",INDEX(職員マスタ!$G$6:$G$405,$AP870)&lt;&gt;"",$L870&lt;&gt;INDEX(職員マスタ!$G$6:$G$405,$AP870)),"時短開始日がマスタと相違／","")&amp;IF(AND($M870&lt;&gt;"",INDEX(職員マスタ!$H$6:$H$405,$AP870)&lt;&gt;"",$M870&lt;&gt;INDEX(職員マスタ!$H$6:$H$405,$AP870)),"時短終了日がマスタと相違／","")))&amp;IF(AND($B870&lt;&gt;"",$E870=""),"報酬額が未入力／","")&amp;IF(N($U870)&gt;0,"申請書に入力エラーが残っています／","")&amp;IF(AND($B870&lt;&gt;"",$AQ870&lt;&gt;""),IF(COUNTIFS($B$6:$B$3005,$B870,$C$6:$C$3005,$C870,$D$6:$D$3005,$D870)&gt;1,"同じ月の請求が重複しています／",""),"")&amp;IF(AND(N($E870)&gt;0,$AB870&lt;&gt;"",$AB870&lt;&gt;"×",$AE870=0,$AD870=""),"計算額が下限以下のため不支給／",""))</f>
        <v/>
      </c>
      <c r="AN870" s="12" t="n"/>
      <c r="AO870" s="14">
        <f>IF($AF870="保留中",COUNTIF($AF$6:$AF870,"保留中"),"")</f>
        <v/>
      </c>
      <c r="AP870" s="14">
        <f>IF($AQ870="","",IF(SUMPRODUCT(MAX((職員マスタ!$A$6:$A$405=$B870)*(((職員マスタ!$G$6:$G$405="")+(職員マスタ!$G$6:$G$405&lt;=EOMONTH($AQ870,0)))&gt;0)*(((職員マスタ!$H$6:$H$405="")+(職員マスタ!$H$6:$H$405&gt;=$AQ870))&gt;0)*(ROW(職員マスタ!$A$6:$A$405)-5)))&gt;0,SUMPRODUCT(MAX((職員マスタ!$A$6:$A$405=$B870)*(((職員マスタ!$G$6:$G$405="")+(職員マスタ!$G$6:$G$405&lt;=EOMONTH($AQ870,0)))&gt;0)*(((職員マスタ!$H$6:$H$405="")+(職員マスタ!$H$6:$H$405&gt;=$AQ870))&gt;0)*(ROW(職員マスタ!$A$6:$A$405)-5))),IFERROR(MATCH($B870,職員マスタ!$A$6:$A$405,0),"")))</f>
        <v/>
      </c>
      <c r="AQ870" s="16">
        <f>IF(OR($B870="",$C870="",$D870=""),"",DATE($C870+2018,$D870,1))</f>
        <v/>
      </c>
    </row>
    <row r="871">
      <c r="A871" s="11" t="n"/>
      <c r="B871" s="12" t="n"/>
      <c r="C871" s="12" t="n"/>
      <c r="D871" s="12" t="n"/>
      <c r="E871" s="13" t="n"/>
      <c r="F871" s="12" t="n"/>
      <c r="G871" s="13" t="n"/>
      <c r="H871" s="12" t="n"/>
      <c r="I871" s="12" t="n"/>
      <c r="J871" s="12" t="n"/>
      <c r="K871" s="12" t="n"/>
      <c r="L871" s="11" t="n"/>
      <c r="M871" s="11" t="n"/>
      <c r="N871" s="11" t="n"/>
      <c r="O871" s="11" t="n"/>
      <c r="P871" s="12" t="n"/>
      <c r="Q871" s="11" t="n"/>
      <c r="R871" s="12" t="n"/>
      <c r="S871" s="11" t="n"/>
      <c r="T871" s="12" t="n"/>
      <c r="U871" s="12" t="n"/>
      <c r="V871" s="12" t="n"/>
      <c r="W871" s="13" t="n"/>
      <c r="X871" s="14">
        <f>IF($AP871="",IF($B871="","",$H871),IF(INDEX(職員マスタ!$B$6:$B$405,$AP871)="",$H871,INDEX(職員マスタ!$B$6:$B$405,$AP871)))</f>
        <v/>
      </c>
      <c r="Y871" s="14">
        <f>IF($AP871="",IF($B871="","",$R871),IF(INDEX(職員マスタ!$C$6:$C$405,$AP871)="",$R871,INDEX(職員マスタ!$C$6:$C$405,$AP871)))</f>
        <v/>
      </c>
      <c r="Z871" s="14">
        <f>IF($AQ871="","","R"&amp;$C871&amp;"."&amp;$D871)</f>
        <v/>
      </c>
      <c r="AA871" s="15">
        <f>IF(IF($AP871="",FALSE,INDEX(職員マスタ!$K$6:$K$405,$AP871)&lt;&gt;""),INDEX(職員マスタ!$K$6:$K$405,$AP871),IF(N($W871)&gt;0,$W871,""))</f>
        <v/>
      </c>
      <c r="AB871" s="14">
        <f>IF(OR($E871="",$AA871=""),"",IF($E871&gt;=$AA871,"×",IF($E871&gt;=$AA871*設定!$C$5,"△","○")))</f>
        <v/>
      </c>
      <c r="AC871" s="15">
        <f>IF($AB871="","",IF($AB871="×",0,IF($AB871="○",ROUNDDOWN($E871*設定!$C$4,0),ROUNDDOWN($E871*ROUND((9*$AA871-9*$E871)/(10*$E871),4),0))))</f>
        <v/>
      </c>
      <c r="AD871" s="13" t="n"/>
      <c r="AE871" s="15">
        <f>IF($B871="","",IF($AD871&lt;&gt;"",$AD871,IF($AC871="","",IF($AC871&lt;=設定!$C$3,0,$AC871))))</f>
        <v/>
      </c>
      <c r="AF871" s="14">
        <f>IF($B871="","",IF(AND($AG871&lt;&gt;"",$AI871="",$AL871=""),"保留中",IF($AL871&lt;&gt;"",IF(N($AE871)&gt;0,"支給済","不支給"),IF($AE871="","要確認",IF($AE871=0,"不支給","未処理")))))</f>
        <v/>
      </c>
      <c r="AG871" s="12" t="n"/>
      <c r="AH871" s="11" t="n"/>
      <c r="AI871" s="11" t="n"/>
      <c r="AJ871" s="11" t="n"/>
      <c r="AK871" s="14">
        <f>IF(AND($AF871="保留中",$AH871&lt;&gt;""),TODAY()-$AH871,"")</f>
        <v/>
      </c>
      <c r="AL871" s="12" t="n"/>
      <c r="AM871" s="14">
        <f>IF($B871="","",IF($AQ871="","対象年月が未入力／","")&amp;IF($B871="","",IF($AP871="","職員マスタに未登録の職員番号／",IF($AA871="","標準報酬月額が未登録／","")&amp;IF(AND($AQ871&lt;&gt;"",OR(AND(INDEX(職員マスタ!$G$6:$G$405,$AP871)&lt;&gt;"",INDEX(職員マスタ!$G$6:$G$405,$AP871)&gt;EOMONTH($AQ871,0)),AND(INDEX(職員マスタ!$H$6:$H$405,$AP871)&lt;&gt;"",INDEX(職員マスタ!$H$6:$H$405,$AP871)&lt;$AQ871))),"対象月が時短期間外／","")&amp;IF(AND(INDEX(職員マスタ!$K$6:$K$405,$AP871)&lt;&gt;"",N($W871)&gt;0,INDEX(職員マスタ!$K$6:$K$405,$AP871)&lt;&gt;$W871),"標準報酬月額が申請書と相違（台帳"&amp;TEXT(INDEX(職員マスタ!$K$6:$K$405,$AP871),"#,##0")&amp;"円／申請書"&amp;TEXT($W871,"#,##0")&amp;"円）／","")&amp;IF(AND(INDEX(職員マスタ!$F$6:$F$405,$AP871)&lt;&gt;"",$AQ871&lt;&gt;"",INDEX(職員マスタ!$F$6:$F$405,$AP871)&lt;$AQ871),"対象月に子が2歳到達済／","")&amp;IF(AND($H871&lt;&gt;"",INDEX(職員マスタ!$B$6:$B$405,$AP871)&lt;&gt;"",SUBSTITUTE(SUBSTITUTE($H871," ","")," ","")&lt;&gt;SUBSTITUTE(SUBSTITUTE(INDEX(職員マスタ!$B$6:$B$405,$AP871)," ","")," ","")),"氏名がマスタと相違／","")&amp;IF(AND($Q871&lt;&gt;"",INDEX(職員マスタ!$E$6:$E$405,$AP871)&lt;&gt;"",$Q871&lt;&gt;INDEX(職員マスタ!$E$6:$E$405,$AP871)),"子の生年月日がマスタと相違／","")&amp;IF(AND($L871&lt;&gt;"",INDEX(職員マスタ!$G$6:$G$405,$AP871)&lt;&gt;"",$L871&lt;&gt;INDEX(職員マスタ!$G$6:$G$405,$AP871)),"時短開始日がマスタと相違／","")&amp;IF(AND($M871&lt;&gt;"",INDEX(職員マスタ!$H$6:$H$405,$AP871)&lt;&gt;"",$M871&lt;&gt;INDEX(職員マスタ!$H$6:$H$405,$AP871)),"時短終了日がマスタと相違／","")))&amp;IF(AND($B871&lt;&gt;"",$E871=""),"報酬額が未入力／","")&amp;IF(N($U871)&gt;0,"申請書に入力エラーが残っています／","")&amp;IF(AND($B871&lt;&gt;"",$AQ871&lt;&gt;""),IF(COUNTIFS($B$6:$B$3005,$B871,$C$6:$C$3005,$C871,$D$6:$D$3005,$D871)&gt;1,"同じ月の請求が重複しています／",""),"")&amp;IF(AND(N($E871)&gt;0,$AB871&lt;&gt;"",$AB871&lt;&gt;"×",$AE871=0,$AD871=""),"計算額が下限以下のため不支給／",""))</f>
        <v/>
      </c>
      <c r="AN871" s="12" t="n"/>
      <c r="AO871" s="14">
        <f>IF($AF871="保留中",COUNTIF($AF$6:$AF871,"保留中"),"")</f>
        <v/>
      </c>
      <c r="AP871" s="14">
        <f>IF($AQ871="","",IF(SUMPRODUCT(MAX((職員マスタ!$A$6:$A$405=$B871)*(((職員マスタ!$G$6:$G$405="")+(職員マスタ!$G$6:$G$405&lt;=EOMONTH($AQ871,0)))&gt;0)*(((職員マスタ!$H$6:$H$405="")+(職員マスタ!$H$6:$H$405&gt;=$AQ871))&gt;0)*(ROW(職員マスタ!$A$6:$A$405)-5)))&gt;0,SUMPRODUCT(MAX((職員マスタ!$A$6:$A$405=$B871)*(((職員マスタ!$G$6:$G$405="")+(職員マスタ!$G$6:$G$405&lt;=EOMONTH($AQ871,0)))&gt;0)*(((職員マスタ!$H$6:$H$405="")+(職員マスタ!$H$6:$H$405&gt;=$AQ871))&gt;0)*(ROW(職員マスタ!$A$6:$A$405)-5))),IFERROR(MATCH($B871,職員マスタ!$A$6:$A$405,0),"")))</f>
        <v/>
      </c>
      <c r="AQ871" s="16">
        <f>IF(OR($B871="",$C871="",$D871=""),"",DATE($C871+2018,$D871,1))</f>
        <v/>
      </c>
    </row>
    <row r="872">
      <c r="A872" s="11" t="n"/>
      <c r="B872" s="12" t="n"/>
      <c r="C872" s="12" t="n"/>
      <c r="D872" s="12" t="n"/>
      <c r="E872" s="13" t="n"/>
      <c r="F872" s="12" t="n"/>
      <c r="G872" s="13" t="n"/>
      <c r="H872" s="12" t="n"/>
      <c r="I872" s="12" t="n"/>
      <c r="J872" s="12" t="n"/>
      <c r="K872" s="12" t="n"/>
      <c r="L872" s="11" t="n"/>
      <c r="M872" s="11" t="n"/>
      <c r="N872" s="11" t="n"/>
      <c r="O872" s="11" t="n"/>
      <c r="P872" s="12" t="n"/>
      <c r="Q872" s="11" t="n"/>
      <c r="R872" s="12" t="n"/>
      <c r="S872" s="11" t="n"/>
      <c r="T872" s="12" t="n"/>
      <c r="U872" s="12" t="n"/>
      <c r="V872" s="12" t="n"/>
      <c r="W872" s="13" t="n"/>
      <c r="X872" s="14">
        <f>IF($AP872="",IF($B872="","",$H872),IF(INDEX(職員マスタ!$B$6:$B$405,$AP872)="",$H872,INDEX(職員マスタ!$B$6:$B$405,$AP872)))</f>
        <v/>
      </c>
      <c r="Y872" s="14">
        <f>IF($AP872="",IF($B872="","",$R872),IF(INDEX(職員マスタ!$C$6:$C$405,$AP872)="",$R872,INDEX(職員マスタ!$C$6:$C$405,$AP872)))</f>
        <v/>
      </c>
      <c r="Z872" s="14">
        <f>IF($AQ872="","","R"&amp;$C872&amp;"."&amp;$D872)</f>
        <v/>
      </c>
      <c r="AA872" s="15">
        <f>IF(IF($AP872="",FALSE,INDEX(職員マスタ!$K$6:$K$405,$AP872)&lt;&gt;""),INDEX(職員マスタ!$K$6:$K$405,$AP872),IF(N($W872)&gt;0,$W872,""))</f>
        <v/>
      </c>
      <c r="AB872" s="14">
        <f>IF(OR($E872="",$AA872=""),"",IF($E872&gt;=$AA872,"×",IF($E872&gt;=$AA872*設定!$C$5,"△","○")))</f>
        <v/>
      </c>
      <c r="AC872" s="15">
        <f>IF($AB872="","",IF($AB872="×",0,IF($AB872="○",ROUNDDOWN($E872*設定!$C$4,0),ROUNDDOWN($E872*ROUND((9*$AA872-9*$E872)/(10*$E872),4),0))))</f>
        <v/>
      </c>
      <c r="AD872" s="13" t="n"/>
      <c r="AE872" s="15">
        <f>IF($B872="","",IF($AD872&lt;&gt;"",$AD872,IF($AC872="","",IF($AC872&lt;=設定!$C$3,0,$AC872))))</f>
        <v/>
      </c>
      <c r="AF872" s="14">
        <f>IF($B872="","",IF(AND($AG872&lt;&gt;"",$AI872="",$AL872=""),"保留中",IF($AL872&lt;&gt;"",IF(N($AE872)&gt;0,"支給済","不支給"),IF($AE872="","要確認",IF($AE872=0,"不支給","未処理")))))</f>
        <v/>
      </c>
      <c r="AG872" s="12" t="n"/>
      <c r="AH872" s="11" t="n"/>
      <c r="AI872" s="11" t="n"/>
      <c r="AJ872" s="11" t="n"/>
      <c r="AK872" s="14">
        <f>IF(AND($AF872="保留中",$AH872&lt;&gt;""),TODAY()-$AH872,"")</f>
        <v/>
      </c>
      <c r="AL872" s="12" t="n"/>
      <c r="AM872" s="14">
        <f>IF($B872="","",IF($AQ872="","対象年月が未入力／","")&amp;IF($B872="","",IF($AP872="","職員マスタに未登録の職員番号／",IF($AA872="","標準報酬月額が未登録／","")&amp;IF(AND($AQ872&lt;&gt;"",OR(AND(INDEX(職員マスタ!$G$6:$G$405,$AP872)&lt;&gt;"",INDEX(職員マスタ!$G$6:$G$405,$AP872)&gt;EOMONTH($AQ872,0)),AND(INDEX(職員マスタ!$H$6:$H$405,$AP872)&lt;&gt;"",INDEX(職員マスタ!$H$6:$H$405,$AP872)&lt;$AQ872))),"対象月が時短期間外／","")&amp;IF(AND(INDEX(職員マスタ!$K$6:$K$405,$AP872)&lt;&gt;"",N($W872)&gt;0,INDEX(職員マスタ!$K$6:$K$405,$AP872)&lt;&gt;$W872),"標準報酬月額が申請書と相違（台帳"&amp;TEXT(INDEX(職員マスタ!$K$6:$K$405,$AP872),"#,##0")&amp;"円／申請書"&amp;TEXT($W872,"#,##0")&amp;"円）／","")&amp;IF(AND(INDEX(職員マスタ!$F$6:$F$405,$AP872)&lt;&gt;"",$AQ872&lt;&gt;"",INDEX(職員マスタ!$F$6:$F$405,$AP872)&lt;$AQ872),"対象月に子が2歳到達済／","")&amp;IF(AND($H872&lt;&gt;"",INDEX(職員マスタ!$B$6:$B$405,$AP872)&lt;&gt;"",SUBSTITUTE(SUBSTITUTE($H872," ","")," ","")&lt;&gt;SUBSTITUTE(SUBSTITUTE(INDEX(職員マスタ!$B$6:$B$405,$AP872)," ","")," ","")),"氏名がマスタと相違／","")&amp;IF(AND($Q872&lt;&gt;"",INDEX(職員マスタ!$E$6:$E$405,$AP872)&lt;&gt;"",$Q872&lt;&gt;INDEX(職員マスタ!$E$6:$E$405,$AP872)),"子の生年月日がマスタと相違／","")&amp;IF(AND($L872&lt;&gt;"",INDEX(職員マスタ!$G$6:$G$405,$AP872)&lt;&gt;"",$L872&lt;&gt;INDEX(職員マスタ!$G$6:$G$405,$AP872)),"時短開始日がマスタと相違／","")&amp;IF(AND($M872&lt;&gt;"",INDEX(職員マスタ!$H$6:$H$405,$AP872)&lt;&gt;"",$M872&lt;&gt;INDEX(職員マスタ!$H$6:$H$405,$AP872)),"時短終了日がマスタと相違／","")))&amp;IF(AND($B872&lt;&gt;"",$E872=""),"報酬額が未入力／","")&amp;IF(N($U872)&gt;0,"申請書に入力エラーが残っています／","")&amp;IF(AND($B872&lt;&gt;"",$AQ872&lt;&gt;""),IF(COUNTIFS($B$6:$B$3005,$B872,$C$6:$C$3005,$C872,$D$6:$D$3005,$D872)&gt;1,"同じ月の請求が重複しています／",""),"")&amp;IF(AND(N($E872)&gt;0,$AB872&lt;&gt;"",$AB872&lt;&gt;"×",$AE872=0,$AD872=""),"計算額が下限以下のため不支給／",""))</f>
        <v/>
      </c>
      <c r="AN872" s="12" t="n"/>
      <c r="AO872" s="14">
        <f>IF($AF872="保留中",COUNTIF($AF$6:$AF872,"保留中"),"")</f>
        <v/>
      </c>
      <c r="AP872" s="14">
        <f>IF($AQ872="","",IF(SUMPRODUCT(MAX((職員マスタ!$A$6:$A$405=$B872)*(((職員マスタ!$G$6:$G$405="")+(職員マスタ!$G$6:$G$405&lt;=EOMONTH($AQ872,0)))&gt;0)*(((職員マスタ!$H$6:$H$405="")+(職員マスタ!$H$6:$H$405&gt;=$AQ872))&gt;0)*(ROW(職員マスタ!$A$6:$A$405)-5)))&gt;0,SUMPRODUCT(MAX((職員マスタ!$A$6:$A$405=$B872)*(((職員マスタ!$G$6:$G$405="")+(職員マスタ!$G$6:$G$405&lt;=EOMONTH($AQ872,0)))&gt;0)*(((職員マスタ!$H$6:$H$405="")+(職員マスタ!$H$6:$H$405&gt;=$AQ872))&gt;0)*(ROW(職員マスタ!$A$6:$A$405)-5))),IFERROR(MATCH($B872,職員マスタ!$A$6:$A$405,0),"")))</f>
        <v/>
      </c>
      <c r="AQ872" s="16">
        <f>IF(OR($B872="",$C872="",$D872=""),"",DATE($C872+2018,$D872,1))</f>
        <v/>
      </c>
    </row>
    <row r="873">
      <c r="A873" s="11" t="n"/>
      <c r="B873" s="12" t="n"/>
      <c r="C873" s="12" t="n"/>
      <c r="D873" s="12" t="n"/>
      <c r="E873" s="13" t="n"/>
      <c r="F873" s="12" t="n"/>
      <c r="G873" s="13" t="n"/>
      <c r="H873" s="12" t="n"/>
      <c r="I873" s="12" t="n"/>
      <c r="J873" s="12" t="n"/>
      <c r="K873" s="12" t="n"/>
      <c r="L873" s="11" t="n"/>
      <c r="M873" s="11" t="n"/>
      <c r="N873" s="11" t="n"/>
      <c r="O873" s="11" t="n"/>
      <c r="P873" s="12" t="n"/>
      <c r="Q873" s="11" t="n"/>
      <c r="R873" s="12" t="n"/>
      <c r="S873" s="11" t="n"/>
      <c r="T873" s="12" t="n"/>
      <c r="U873" s="12" t="n"/>
      <c r="V873" s="12" t="n"/>
      <c r="W873" s="13" t="n"/>
      <c r="X873" s="14">
        <f>IF($AP873="",IF($B873="","",$H873),IF(INDEX(職員マスタ!$B$6:$B$405,$AP873)="",$H873,INDEX(職員マスタ!$B$6:$B$405,$AP873)))</f>
        <v/>
      </c>
      <c r="Y873" s="14">
        <f>IF($AP873="",IF($B873="","",$R873),IF(INDEX(職員マスタ!$C$6:$C$405,$AP873)="",$R873,INDEX(職員マスタ!$C$6:$C$405,$AP873)))</f>
        <v/>
      </c>
      <c r="Z873" s="14">
        <f>IF($AQ873="","","R"&amp;$C873&amp;"."&amp;$D873)</f>
        <v/>
      </c>
      <c r="AA873" s="15">
        <f>IF(IF($AP873="",FALSE,INDEX(職員マスタ!$K$6:$K$405,$AP873)&lt;&gt;""),INDEX(職員マスタ!$K$6:$K$405,$AP873),IF(N($W873)&gt;0,$W873,""))</f>
        <v/>
      </c>
      <c r="AB873" s="14">
        <f>IF(OR($E873="",$AA873=""),"",IF($E873&gt;=$AA873,"×",IF($E873&gt;=$AA873*設定!$C$5,"△","○")))</f>
        <v/>
      </c>
      <c r="AC873" s="15">
        <f>IF($AB873="","",IF($AB873="×",0,IF($AB873="○",ROUNDDOWN($E873*設定!$C$4,0),ROUNDDOWN($E873*ROUND((9*$AA873-9*$E873)/(10*$E873),4),0))))</f>
        <v/>
      </c>
      <c r="AD873" s="13" t="n"/>
      <c r="AE873" s="15">
        <f>IF($B873="","",IF($AD873&lt;&gt;"",$AD873,IF($AC873="","",IF($AC873&lt;=設定!$C$3,0,$AC873))))</f>
        <v/>
      </c>
      <c r="AF873" s="14">
        <f>IF($B873="","",IF(AND($AG873&lt;&gt;"",$AI873="",$AL873=""),"保留中",IF($AL873&lt;&gt;"",IF(N($AE873)&gt;0,"支給済","不支給"),IF($AE873="","要確認",IF($AE873=0,"不支給","未処理")))))</f>
        <v/>
      </c>
      <c r="AG873" s="12" t="n"/>
      <c r="AH873" s="11" t="n"/>
      <c r="AI873" s="11" t="n"/>
      <c r="AJ873" s="11" t="n"/>
      <c r="AK873" s="14">
        <f>IF(AND($AF873="保留中",$AH873&lt;&gt;""),TODAY()-$AH873,"")</f>
        <v/>
      </c>
      <c r="AL873" s="12" t="n"/>
      <c r="AM873" s="14">
        <f>IF($B873="","",IF($AQ873="","対象年月が未入力／","")&amp;IF($B873="","",IF($AP873="","職員マスタに未登録の職員番号／",IF($AA873="","標準報酬月額が未登録／","")&amp;IF(AND($AQ873&lt;&gt;"",OR(AND(INDEX(職員マスタ!$G$6:$G$405,$AP873)&lt;&gt;"",INDEX(職員マスタ!$G$6:$G$405,$AP873)&gt;EOMONTH($AQ873,0)),AND(INDEX(職員マスタ!$H$6:$H$405,$AP873)&lt;&gt;"",INDEX(職員マスタ!$H$6:$H$405,$AP873)&lt;$AQ873))),"対象月が時短期間外／","")&amp;IF(AND(INDEX(職員マスタ!$K$6:$K$405,$AP873)&lt;&gt;"",N($W873)&gt;0,INDEX(職員マスタ!$K$6:$K$405,$AP873)&lt;&gt;$W873),"標準報酬月額が申請書と相違（台帳"&amp;TEXT(INDEX(職員マスタ!$K$6:$K$405,$AP873),"#,##0")&amp;"円／申請書"&amp;TEXT($W873,"#,##0")&amp;"円）／","")&amp;IF(AND(INDEX(職員マスタ!$F$6:$F$405,$AP873)&lt;&gt;"",$AQ873&lt;&gt;"",INDEX(職員マスタ!$F$6:$F$405,$AP873)&lt;$AQ873),"対象月に子が2歳到達済／","")&amp;IF(AND($H873&lt;&gt;"",INDEX(職員マスタ!$B$6:$B$405,$AP873)&lt;&gt;"",SUBSTITUTE(SUBSTITUTE($H873," ","")," ","")&lt;&gt;SUBSTITUTE(SUBSTITUTE(INDEX(職員マスタ!$B$6:$B$405,$AP873)," ","")," ","")),"氏名がマスタと相違／","")&amp;IF(AND($Q873&lt;&gt;"",INDEX(職員マスタ!$E$6:$E$405,$AP873)&lt;&gt;"",$Q873&lt;&gt;INDEX(職員マスタ!$E$6:$E$405,$AP873)),"子の生年月日がマスタと相違／","")&amp;IF(AND($L873&lt;&gt;"",INDEX(職員マスタ!$G$6:$G$405,$AP873)&lt;&gt;"",$L873&lt;&gt;INDEX(職員マスタ!$G$6:$G$405,$AP873)),"時短開始日がマスタと相違／","")&amp;IF(AND($M873&lt;&gt;"",INDEX(職員マスタ!$H$6:$H$405,$AP873)&lt;&gt;"",$M873&lt;&gt;INDEX(職員マスタ!$H$6:$H$405,$AP873)),"時短終了日がマスタと相違／","")))&amp;IF(AND($B873&lt;&gt;"",$E873=""),"報酬額が未入力／","")&amp;IF(N($U873)&gt;0,"申請書に入力エラーが残っています／","")&amp;IF(AND($B873&lt;&gt;"",$AQ873&lt;&gt;""),IF(COUNTIFS($B$6:$B$3005,$B873,$C$6:$C$3005,$C873,$D$6:$D$3005,$D873)&gt;1,"同じ月の請求が重複しています／",""),"")&amp;IF(AND(N($E873)&gt;0,$AB873&lt;&gt;"",$AB873&lt;&gt;"×",$AE873=0,$AD873=""),"計算額が下限以下のため不支給／",""))</f>
        <v/>
      </c>
      <c r="AN873" s="12" t="n"/>
      <c r="AO873" s="14">
        <f>IF($AF873="保留中",COUNTIF($AF$6:$AF873,"保留中"),"")</f>
        <v/>
      </c>
      <c r="AP873" s="14">
        <f>IF($AQ873="","",IF(SUMPRODUCT(MAX((職員マスタ!$A$6:$A$405=$B873)*(((職員マスタ!$G$6:$G$405="")+(職員マスタ!$G$6:$G$405&lt;=EOMONTH($AQ873,0)))&gt;0)*(((職員マスタ!$H$6:$H$405="")+(職員マスタ!$H$6:$H$405&gt;=$AQ873))&gt;0)*(ROW(職員マスタ!$A$6:$A$405)-5)))&gt;0,SUMPRODUCT(MAX((職員マスタ!$A$6:$A$405=$B873)*(((職員マスタ!$G$6:$G$405="")+(職員マスタ!$G$6:$G$405&lt;=EOMONTH($AQ873,0)))&gt;0)*(((職員マスタ!$H$6:$H$405="")+(職員マスタ!$H$6:$H$405&gt;=$AQ873))&gt;0)*(ROW(職員マスタ!$A$6:$A$405)-5))),IFERROR(MATCH($B873,職員マスタ!$A$6:$A$405,0),"")))</f>
        <v/>
      </c>
      <c r="AQ873" s="16">
        <f>IF(OR($B873="",$C873="",$D873=""),"",DATE($C873+2018,$D873,1))</f>
        <v/>
      </c>
    </row>
    <row r="874">
      <c r="A874" s="11" t="n"/>
      <c r="B874" s="12" t="n"/>
      <c r="C874" s="12" t="n"/>
      <c r="D874" s="12" t="n"/>
      <c r="E874" s="13" t="n"/>
      <c r="F874" s="12" t="n"/>
      <c r="G874" s="13" t="n"/>
      <c r="H874" s="12" t="n"/>
      <c r="I874" s="12" t="n"/>
      <c r="J874" s="12" t="n"/>
      <c r="K874" s="12" t="n"/>
      <c r="L874" s="11" t="n"/>
      <c r="M874" s="11" t="n"/>
      <c r="N874" s="11" t="n"/>
      <c r="O874" s="11" t="n"/>
      <c r="P874" s="12" t="n"/>
      <c r="Q874" s="11" t="n"/>
      <c r="R874" s="12" t="n"/>
      <c r="S874" s="11" t="n"/>
      <c r="T874" s="12" t="n"/>
      <c r="U874" s="12" t="n"/>
      <c r="V874" s="12" t="n"/>
      <c r="W874" s="13" t="n"/>
      <c r="X874" s="14">
        <f>IF($AP874="",IF($B874="","",$H874),IF(INDEX(職員マスタ!$B$6:$B$405,$AP874)="",$H874,INDEX(職員マスタ!$B$6:$B$405,$AP874)))</f>
        <v/>
      </c>
      <c r="Y874" s="14">
        <f>IF($AP874="",IF($B874="","",$R874),IF(INDEX(職員マスタ!$C$6:$C$405,$AP874)="",$R874,INDEX(職員マスタ!$C$6:$C$405,$AP874)))</f>
        <v/>
      </c>
      <c r="Z874" s="14">
        <f>IF($AQ874="","","R"&amp;$C874&amp;"."&amp;$D874)</f>
        <v/>
      </c>
      <c r="AA874" s="15">
        <f>IF(IF($AP874="",FALSE,INDEX(職員マスタ!$K$6:$K$405,$AP874)&lt;&gt;""),INDEX(職員マスタ!$K$6:$K$405,$AP874),IF(N($W874)&gt;0,$W874,""))</f>
        <v/>
      </c>
      <c r="AB874" s="14">
        <f>IF(OR($E874="",$AA874=""),"",IF($E874&gt;=$AA874,"×",IF($E874&gt;=$AA874*設定!$C$5,"△","○")))</f>
        <v/>
      </c>
      <c r="AC874" s="15">
        <f>IF($AB874="","",IF($AB874="×",0,IF($AB874="○",ROUNDDOWN($E874*設定!$C$4,0),ROUNDDOWN($E874*ROUND((9*$AA874-9*$E874)/(10*$E874),4),0))))</f>
        <v/>
      </c>
      <c r="AD874" s="13" t="n"/>
      <c r="AE874" s="15">
        <f>IF($B874="","",IF($AD874&lt;&gt;"",$AD874,IF($AC874="","",IF($AC874&lt;=設定!$C$3,0,$AC874))))</f>
        <v/>
      </c>
      <c r="AF874" s="14">
        <f>IF($B874="","",IF(AND($AG874&lt;&gt;"",$AI874="",$AL874=""),"保留中",IF($AL874&lt;&gt;"",IF(N($AE874)&gt;0,"支給済","不支給"),IF($AE874="","要確認",IF($AE874=0,"不支給","未処理")))))</f>
        <v/>
      </c>
      <c r="AG874" s="12" t="n"/>
      <c r="AH874" s="11" t="n"/>
      <c r="AI874" s="11" t="n"/>
      <c r="AJ874" s="11" t="n"/>
      <c r="AK874" s="14">
        <f>IF(AND($AF874="保留中",$AH874&lt;&gt;""),TODAY()-$AH874,"")</f>
        <v/>
      </c>
      <c r="AL874" s="12" t="n"/>
      <c r="AM874" s="14">
        <f>IF($B874="","",IF($AQ874="","対象年月が未入力／","")&amp;IF($B874="","",IF($AP874="","職員マスタに未登録の職員番号／",IF($AA874="","標準報酬月額が未登録／","")&amp;IF(AND($AQ874&lt;&gt;"",OR(AND(INDEX(職員マスタ!$G$6:$G$405,$AP874)&lt;&gt;"",INDEX(職員マスタ!$G$6:$G$405,$AP874)&gt;EOMONTH($AQ874,0)),AND(INDEX(職員マスタ!$H$6:$H$405,$AP874)&lt;&gt;"",INDEX(職員マスタ!$H$6:$H$405,$AP874)&lt;$AQ874))),"対象月が時短期間外／","")&amp;IF(AND(INDEX(職員マスタ!$K$6:$K$405,$AP874)&lt;&gt;"",N($W874)&gt;0,INDEX(職員マスタ!$K$6:$K$405,$AP874)&lt;&gt;$W874),"標準報酬月額が申請書と相違（台帳"&amp;TEXT(INDEX(職員マスタ!$K$6:$K$405,$AP874),"#,##0")&amp;"円／申請書"&amp;TEXT($W874,"#,##0")&amp;"円）／","")&amp;IF(AND(INDEX(職員マスタ!$F$6:$F$405,$AP874)&lt;&gt;"",$AQ874&lt;&gt;"",INDEX(職員マスタ!$F$6:$F$405,$AP874)&lt;$AQ874),"対象月に子が2歳到達済／","")&amp;IF(AND($H874&lt;&gt;"",INDEX(職員マスタ!$B$6:$B$405,$AP874)&lt;&gt;"",SUBSTITUTE(SUBSTITUTE($H874," ","")," ","")&lt;&gt;SUBSTITUTE(SUBSTITUTE(INDEX(職員マスタ!$B$6:$B$405,$AP874)," ","")," ","")),"氏名がマスタと相違／","")&amp;IF(AND($Q874&lt;&gt;"",INDEX(職員マスタ!$E$6:$E$405,$AP874)&lt;&gt;"",$Q874&lt;&gt;INDEX(職員マスタ!$E$6:$E$405,$AP874)),"子の生年月日がマスタと相違／","")&amp;IF(AND($L874&lt;&gt;"",INDEX(職員マスタ!$G$6:$G$405,$AP874)&lt;&gt;"",$L874&lt;&gt;INDEX(職員マスタ!$G$6:$G$405,$AP874)),"時短開始日がマスタと相違／","")&amp;IF(AND($M874&lt;&gt;"",INDEX(職員マスタ!$H$6:$H$405,$AP874)&lt;&gt;"",$M874&lt;&gt;INDEX(職員マスタ!$H$6:$H$405,$AP874)),"時短終了日がマスタと相違／","")))&amp;IF(AND($B874&lt;&gt;"",$E874=""),"報酬額が未入力／","")&amp;IF(N($U874)&gt;0,"申請書に入力エラーが残っています／","")&amp;IF(AND($B874&lt;&gt;"",$AQ874&lt;&gt;""),IF(COUNTIFS($B$6:$B$3005,$B874,$C$6:$C$3005,$C874,$D$6:$D$3005,$D874)&gt;1,"同じ月の請求が重複しています／",""),"")&amp;IF(AND(N($E874)&gt;0,$AB874&lt;&gt;"",$AB874&lt;&gt;"×",$AE874=0,$AD874=""),"計算額が下限以下のため不支給／",""))</f>
        <v/>
      </c>
      <c r="AN874" s="12" t="n"/>
      <c r="AO874" s="14">
        <f>IF($AF874="保留中",COUNTIF($AF$6:$AF874,"保留中"),"")</f>
        <v/>
      </c>
      <c r="AP874" s="14">
        <f>IF($AQ874="","",IF(SUMPRODUCT(MAX((職員マスタ!$A$6:$A$405=$B874)*(((職員マスタ!$G$6:$G$405="")+(職員マスタ!$G$6:$G$405&lt;=EOMONTH($AQ874,0)))&gt;0)*(((職員マスタ!$H$6:$H$405="")+(職員マスタ!$H$6:$H$405&gt;=$AQ874))&gt;0)*(ROW(職員マスタ!$A$6:$A$405)-5)))&gt;0,SUMPRODUCT(MAX((職員マスタ!$A$6:$A$405=$B874)*(((職員マスタ!$G$6:$G$405="")+(職員マスタ!$G$6:$G$405&lt;=EOMONTH($AQ874,0)))&gt;0)*(((職員マスタ!$H$6:$H$405="")+(職員マスタ!$H$6:$H$405&gt;=$AQ874))&gt;0)*(ROW(職員マスタ!$A$6:$A$405)-5))),IFERROR(MATCH($B874,職員マスタ!$A$6:$A$405,0),"")))</f>
        <v/>
      </c>
      <c r="AQ874" s="16">
        <f>IF(OR($B874="",$C874="",$D874=""),"",DATE($C874+2018,$D874,1))</f>
        <v/>
      </c>
    </row>
    <row r="875">
      <c r="A875" s="11" t="n"/>
      <c r="B875" s="12" t="n"/>
      <c r="C875" s="12" t="n"/>
      <c r="D875" s="12" t="n"/>
      <c r="E875" s="13" t="n"/>
      <c r="F875" s="12" t="n"/>
      <c r="G875" s="13" t="n"/>
      <c r="H875" s="12" t="n"/>
      <c r="I875" s="12" t="n"/>
      <c r="J875" s="12" t="n"/>
      <c r="K875" s="12" t="n"/>
      <c r="L875" s="11" t="n"/>
      <c r="M875" s="11" t="n"/>
      <c r="N875" s="11" t="n"/>
      <c r="O875" s="11" t="n"/>
      <c r="P875" s="12" t="n"/>
      <c r="Q875" s="11" t="n"/>
      <c r="R875" s="12" t="n"/>
      <c r="S875" s="11" t="n"/>
      <c r="T875" s="12" t="n"/>
      <c r="U875" s="12" t="n"/>
      <c r="V875" s="12" t="n"/>
      <c r="W875" s="13" t="n"/>
      <c r="X875" s="14">
        <f>IF($AP875="",IF($B875="","",$H875),IF(INDEX(職員マスタ!$B$6:$B$405,$AP875)="",$H875,INDEX(職員マスタ!$B$6:$B$405,$AP875)))</f>
        <v/>
      </c>
      <c r="Y875" s="14">
        <f>IF($AP875="",IF($B875="","",$R875),IF(INDEX(職員マスタ!$C$6:$C$405,$AP875)="",$R875,INDEX(職員マスタ!$C$6:$C$405,$AP875)))</f>
        <v/>
      </c>
      <c r="Z875" s="14">
        <f>IF($AQ875="","","R"&amp;$C875&amp;"."&amp;$D875)</f>
        <v/>
      </c>
      <c r="AA875" s="15">
        <f>IF(IF($AP875="",FALSE,INDEX(職員マスタ!$K$6:$K$405,$AP875)&lt;&gt;""),INDEX(職員マスタ!$K$6:$K$405,$AP875),IF(N($W875)&gt;0,$W875,""))</f>
        <v/>
      </c>
      <c r="AB875" s="14">
        <f>IF(OR($E875="",$AA875=""),"",IF($E875&gt;=$AA875,"×",IF($E875&gt;=$AA875*設定!$C$5,"△","○")))</f>
        <v/>
      </c>
      <c r="AC875" s="15">
        <f>IF($AB875="","",IF($AB875="×",0,IF($AB875="○",ROUNDDOWN($E875*設定!$C$4,0),ROUNDDOWN($E875*ROUND((9*$AA875-9*$E875)/(10*$E875),4),0))))</f>
        <v/>
      </c>
      <c r="AD875" s="13" t="n"/>
      <c r="AE875" s="15">
        <f>IF($B875="","",IF($AD875&lt;&gt;"",$AD875,IF($AC875="","",IF($AC875&lt;=設定!$C$3,0,$AC875))))</f>
        <v/>
      </c>
      <c r="AF875" s="14">
        <f>IF($B875="","",IF(AND($AG875&lt;&gt;"",$AI875="",$AL875=""),"保留中",IF($AL875&lt;&gt;"",IF(N($AE875)&gt;0,"支給済","不支給"),IF($AE875="","要確認",IF($AE875=0,"不支給","未処理")))))</f>
        <v/>
      </c>
      <c r="AG875" s="12" t="n"/>
      <c r="AH875" s="11" t="n"/>
      <c r="AI875" s="11" t="n"/>
      <c r="AJ875" s="11" t="n"/>
      <c r="AK875" s="14">
        <f>IF(AND($AF875="保留中",$AH875&lt;&gt;""),TODAY()-$AH875,"")</f>
        <v/>
      </c>
      <c r="AL875" s="12" t="n"/>
      <c r="AM875" s="14">
        <f>IF($B875="","",IF($AQ875="","対象年月が未入力／","")&amp;IF($B875="","",IF($AP875="","職員マスタに未登録の職員番号／",IF($AA875="","標準報酬月額が未登録／","")&amp;IF(AND($AQ875&lt;&gt;"",OR(AND(INDEX(職員マスタ!$G$6:$G$405,$AP875)&lt;&gt;"",INDEX(職員マスタ!$G$6:$G$405,$AP875)&gt;EOMONTH($AQ875,0)),AND(INDEX(職員マスタ!$H$6:$H$405,$AP875)&lt;&gt;"",INDEX(職員マスタ!$H$6:$H$405,$AP875)&lt;$AQ875))),"対象月が時短期間外／","")&amp;IF(AND(INDEX(職員マスタ!$K$6:$K$405,$AP875)&lt;&gt;"",N($W875)&gt;0,INDEX(職員マスタ!$K$6:$K$405,$AP875)&lt;&gt;$W875),"標準報酬月額が申請書と相違（台帳"&amp;TEXT(INDEX(職員マスタ!$K$6:$K$405,$AP875),"#,##0")&amp;"円／申請書"&amp;TEXT($W875,"#,##0")&amp;"円）／","")&amp;IF(AND(INDEX(職員マスタ!$F$6:$F$405,$AP875)&lt;&gt;"",$AQ875&lt;&gt;"",INDEX(職員マスタ!$F$6:$F$405,$AP875)&lt;$AQ875),"対象月に子が2歳到達済／","")&amp;IF(AND($H875&lt;&gt;"",INDEX(職員マスタ!$B$6:$B$405,$AP875)&lt;&gt;"",SUBSTITUTE(SUBSTITUTE($H875," ","")," ","")&lt;&gt;SUBSTITUTE(SUBSTITUTE(INDEX(職員マスタ!$B$6:$B$405,$AP875)," ","")," ","")),"氏名がマスタと相違／","")&amp;IF(AND($Q875&lt;&gt;"",INDEX(職員マスタ!$E$6:$E$405,$AP875)&lt;&gt;"",$Q875&lt;&gt;INDEX(職員マスタ!$E$6:$E$405,$AP875)),"子の生年月日がマスタと相違／","")&amp;IF(AND($L875&lt;&gt;"",INDEX(職員マスタ!$G$6:$G$405,$AP875)&lt;&gt;"",$L875&lt;&gt;INDEX(職員マスタ!$G$6:$G$405,$AP875)),"時短開始日がマスタと相違／","")&amp;IF(AND($M875&lt;&gt;"",INDEX(職員マスタ!$H$6:$H$405,$AP875)&lt;&gt;"",$M875&lt;&gt;INDEX(職員マスタ!$H$6:$H$405,$AP875)),"時短終了日がマスタと相違／","")))&amp;IF(AND($B875&lt;&gt;"",$E875=""),"報酬額が未入力／","")&amp;IF(N($U875)&gt;0,"申請書に入力エラーが残っています／","")&amp;IF(AND($B875&lt;&gt;"",$AQ875&lt;&gt;""),IF(COUNTIFS($B$6:$B$3005,$B875,$C$6:$C$3005,$C875,$D$6:$D$3005,$D875)&gt;1,"同じ月の請求が重複しています／",""),"")&amp;IF(AND(N($E875)&gt;0,$AB875&lt;&gt;"",$AB875&lt;&gt;"×",$AE875=0,$AD875=""),"計算額が下限以下のため不支給／",""))</f>
        <v/>
      </c>
      <c r="AN875" s="12" t="n"/>
      <c r="AO875" s="14">
        <f>IF($AF875="保留中",COUNTIF($AF$6:$AF875,"保留中"),"")</f>
        <v/>
      </c>
      <c r="AP875" s="14">
        <f>IF($AQ875="","",IF(SUMPRODUCT(MAX((職員マスタ!$A$6:$A$405=$B875)*(((職員マスタ!$G$6:$G$405="")+(職員マスタ!$G$6:$G$405&lt;=EOMONTH($AQ875,0)))&gt;0)*(((職員マスタ!$H$6:$H$405="")+(職員マスタ!$H$6:$H$405&gt;=$AQ875))&gt;0)*(ROW(職員マスタ!$A$6:$A$405)-5)))&gt;0,SUMPRODUCT(MAX((職員マスタ!$A$6:$A$405=$B875)*(((職員マスタ!$G$6:$G$405="")+(職員マスタ!$G$6:$G$405&lt;=EOMONTH($AQ875,0)))&gt;0)*(((職員マスタ!$H$6:$H$405="")+(職員マスタ!$H$6:$H$405&gt;=$AQ875))&gt;0)*(ROW(職員マスタ!$A$6:$A$405)-5))),IFERROR(MATCH($B875,職員マスタ!$A$6:$A$405,0),"")))</f>
        <v/>
      </c>
      <c r="AQ875" s="16">
        <f>IF(OR($B875="",$C875="",$D875=""),"",DATE($C875+2018,$D875,1))</f>
        <v/>
      </c>
    </row>
    <row r="876">
      <c r="A876" s="11" t="n"/>
      <c r="B876" s="12" t="n"/>
      <c r="C876" s="12" t="n"/>
      <c r="D876" s="12" t="n"/>
      <c r="E876" s="13" t="n"/>
      <c r="F876" s="12" t="n"/>
      <c r="G876" s="13" t="n"/>
      <c r="H876" s="12" t="n"/>
      <c r="I876" s="12" t="n"/>
      <c r="J876" s="12" t="n"/>
      <c r="K876" s="12" t="n"/>
      <c r="L876" s="11" t="n"/>
      <c r="M876" s="11" t="n"/>
      <c r="N876" s="11" t="n"/>
      <c r="O876" s="11" t="n"/>
      <c r="P876" s="12" t="n"/>
      <c r="Q876" s="11" t="n"/>
      <c r="R876" s="12" t="n"/>
      <c r="S876" s="11" t="n"/>
      <c r="T876" s="12" t="n"/>
      <c r="U876" s="12" t="n"/>
      <c r="V876" s="12" t="n"/>
      <c r="W876" s="13" t="n"/>
      <c r="X876" s="14">
        <f>IF($AP876="",IF($B876="","",$H876),IF(INDEX(職員マスタ!$B$6:$B$405,$AP876)="",$H876,INDEX(職員マスタ!$B$6:$B$405,$AP876)))</f>
        <v/>
      </c>
      <c r="Y876" s="14">
        <f>IF($AP876="",IF($B876="","",$R876),IF(INDEX(職員マスタ!$C$6:$C$405,$AP876)="",$R876,INDEX(職員マスタ!$C$6:$C$405,$AP876)))</f>
        <v/>
      </c>
      <c r="Z876" s="14">
        <f>IF($AQ876="","","R"&amp;$C876&amp;"."&amp;$D876)</f>
        <v/>
      </c>
      <c r="AA876" s="15">
        <f>IF(IF($AP876="",FALSE,INDEX(職員マスタ!$K$6:$K$405,$AP876)&lt;&gt;""),INDEX(職員マスタ!$K$6:$K$405,$AP876),IF(N($W876)&gt;0,$W876,""))</f>
        <v/>
      </c>
      <c r="AB876" s="14">
        <f>IF(OR($E876="",$AA876=""),"",IF($E876&gt;=$AA876,"×",IF($E876&gt;=$AA876*設定!$C$5,"△","○")))</f>
        <v/>
      </c>
      <c r="AC876" s="15">
        <f>IF($AB876="","",IF($AB876="×",0,IF($AB876="○",ROUNDDOWN($E876*設定!$C$4,0),ROUNDDOWN($E876*ROUND((9*$AA876-9*$E876)/(10*$E876),4),0))))</f>
        <v/>
      </c>
      <c r="AD876" s="13" t="n"/>
      <c r="AE876" s="15">
        <f>IF($B876="","",IF($AD876&lt;&gt;"",$AD876,IF($AC876="","",IF($AC876&lt;=設定!$C$3,0,$AC876))))</f>
        <v/>
      </c>
      <c r="AF876" s="14">
        <f>IF($B876="","",IF(AND($AG876&lt;&gt;"",$AI876="",$AL876=""),"保留中",IF($AL876&lt;&gt;"",IF(N($AE876)&gt;0,"支給済","不支給"),IF($AE876="","要確認",IF($AE876=0,"不支給","未処理")))))</f>
        <v/>
      </c>
      <c r="AG876" s="12" t="n"/>
      <c r="AH876" s="11" t="n"/>
      <c r="AI876" s="11" t="n"/>
      <c r="AJ876" s="11" t="n"/>
      <c r="AK876" s="14">
        <f>IF(AND($AF876="保留中",$AH876&lt;&gt;""),TODAY()-$AH876,"")</f>
        <v/>
      </c>
      <c r="AL876" s="12" t="n"/>
      <c r="AM876" s="14">
        <f>IF($B876="","",IF($AQ876="","対象年月が未入力／","")&amp;IF($B876="","",IF($AP876="","職員マスタに未登録の職員番号／",IF($AA876="","標準報酬月額が未登録／","")&amp;IF(AND($AQ876&lt;&gt;"",OR(AND(INDEX(職員マスタ!$G$6:$G$405,$AP876)&lt;&gt;"",INDEX(職員マスタ!$G$6:$G$405,$AP876)&gt;EOMONTH($AQ876,0)),AND(INDEX(職員マスタ!$H$6:$H$405,$AP876)&lt;&gt;"",INDEX(職員マスタ!$H$6:$H$405,$AP876)&lt;$AQ876))),"対象月が時短期間外／","")&amp;IF(AND(INDEX(職員マスタ!$K$6:$K$405,$AP876)&lt;&gt;"",N($W876)&gt;0,INDEX(職員マスタ!$K$6:$K$405,$AP876)&lt;&gt;$W876),"標準報酬月額が申請書と相違（台帳"&amp;TEXT(INDEX(職員マスタ!$K$6:$K$405,$AP876),"#,##0")&amp;"円／申請書"&amp;TEXT($W876,"#,##0")&amp;"円）／","")&amp;IF(AND(INDEX(職員マスタ!$F$6:$F$405,$AP876)&lt;&gt;"",$AQ876&lt;&gt;"",INDEX(職員マスタ!$F$6:$F$405,$AP876)&lt;$AQ876),"対象月に子が2歳到達済／","")&amp;IF(AND($H876&lt;&gt;"",INDEX(職員マスタ!$B$6:$B$405,$AP876)&lt;&gt;"",SUBSTITUTE(SUBSTITUTE($H876," ","")," ","")&lt;&gt;SUBSTITUTE(SUBSTITUTE(INDEX(職員マスタ!$B$6:$B$405,$AP876)," ","")," ","")),"氏名がマスタと相違／","")&amp;IF(AND($Q876&lt;&gt;"",INDEX(職員マスタ!$E$6:$E$405,$AP876)&lt;&gt;"",$Q876&lt;&gt;INDEX(職員マスタ!$E$6:$E$405,$AP876)),"子の生年月日がマスタと相違／","")&amp;IF(AND($L876&lt;&gt;"",INDEX(職員マスタ!$G$6:$G$405,$AP876)&lt;&gt;"",$L876&lt;&gt;INDEX(職員マスタ!$G$6:$G$405,$AP876)),"時短開始日がマスタと相違／","")&amp;IF(AND($M876&lt;&gt;"",INDEX(職員マスタ!$H$6:$H$405,$AP876)&lt;&gt;"",$M876&lt;&gt;INDEX(職員マスタ!$H$6:$H$405,$AP876)),"時短終了日がマスタと相違／","")))&amp;IF(AND($B876&lt;&gt;"",$E876=""),"報酬額が未入力／","")&amp;IF(N($U876)&gt;0,"申請書に入力エラーが残っています／","")&amp;IF(AND($B876&lt;&gt;"",$AQ876&lt;&gt;""),IF(COUNTIFS($B$6:$B$3005,$B876,$C$6:$C$3005,$C876,$D$6:$D$3005,$D876)&gt;1,"同じ月の請求が重複しています／",""),"")&amp;IF(AND(N($E876)&gt;0,$AB876&lt;&gt;"",$AB876&lt;&gt;"×",$AE876=0,$AD876=""),"計算額が下限以下のため不支給／",""))</f>
        <v/>
      </c>
      <c r="AN876" s="12" t="n"/>
      <c r="AO876" s="14">
        <f>IF($AF876="保留中",COUNTIF($AF$6:$AF876,"保留中"),"")</f>
        <v/>
      </c>
      <c r="AP876" s="14">
        <f>IF($AQ876="","",IF(SUMPRODUCT(MAX((職員マスタ!$A$6:$A$405=$B876)*(((職員マスタ!$G$6:$G$405="")+(職員マスタ!$G$6:$G$405&lt;=EOMONTH($AQ876,0)))&gt;0)*(((職員マスタ!$H$6:$H$405="")+(職員マスタ!$H$6:$H$405&gt;=$AQ876))&gt;0)*(ROW(職員マスタ!$A$6:$A$405)-5)))&gt;0,SUMPRODUCT(MAX((職員マスタ!$A$6:$A$405=$B876)*(((職員マスタ!$G$6:$G$405="")+(職員マスタ!$G$6:$G$405&lt;=EOMONTH($AQ876,0)))&gt;0)*(((職員マスタ!$H$6:$H$405="")+(職員マスタ!$H$6:$H$405&gt;=$AQ876))&gt;0)*(ROW(職員マスタ!$A$6:$A$405)-5))),IFERROR(MATCH($B876,職員マスタ!$A$6:$A$405,0),"")))</f>
        <v/>
      </c>
      <c r="AQ876" s="16">
        <f>IF(OR($B876="",$C876="",$D876=""),"",DATE($C876+2018,$D876,1))</f>
        <v/>
      </c>
    </row>
    <row r="877">
      <c r="A877" s="11" t="n"/>
      <c r="B877" s="12" t="n"/>
      <c r="C877" s="12" t="n"/>
      <c r="D877" s="12" t="n"/>
      <c r="E877" s="13" t="n"/>
      <c r="F877" s="12" t="n"/>
      <c r="G877" s="13" t="n"/>
      <c r="H877" s="12" t="n"/>
      <c r="I877" s="12" t="n"/>
      <c r="J877" s="12" t="n"/>
      <c r="K877" s="12" t="n"/>
      <c r="L877" s="11" t="n"/>
      <c r="M877" s="11" t="n"/>
      <c r="N877" s="11" t="n"/>
      <c r="O877" s="11" t="n"/>
      <c r="P877" s="12" t="n"/>
      <c r="Q877" s="11" t="n"/>
      <c r="R877" s="12" t="n"/>
      <c r="S877" s="11" t="n"/>
      <c r="T877" s="12" t="n"/>
      <c r="U877" s="12" t="n"/>
      <c r="V877" s="12" t="n"/>
      <c r="W877" s="13" t="n"/>
      <c r="X877" s="14">
        <f>IF($AP877="",IF($B877="","",$H877),IF(INDEX(職員マスタ!$B$6:$B$405,$AP877)="",$H877,INDEX(職員マスタ!$B$6:$B$405,$AP877)))</f>
        <v/>
      </c>
      <c r="Y877" s="14">
        <f>IF($AP877="",IF($B877="","",$R877),IF(INDEX(職員マスタ!$C$6:$C$405,$AP877)="",$R877,INDEX(職員マスタ!$C$6:$C$405,$AP877)))</f>
        <v/>
      </c>
      <c r="Z877" s="14">
        <f>IF($AQ877="","","R"&amp;$C877&amp;"."&amp;$D877)</f>
        <v/>
      </c>
      <c r="AA877" s="15">
        <f>IF(IF($AP877="",FALSE,INDEX(職員マスタ!$K$6:$K$405,$AP877)&lt;&gt;""),INDEX(職員マスタ!$K$6:$K$405,$AP877),IF(N($W877)&gt;0,$W877,""))</f>
        <v/>
      </c>
      <c r="AB877" s="14">
        <f>IF(OR($E877="",$AA877=""),"",IF($E877&gt;=$AA877,"×",IF($E877&gt;=$AA877*設定!$C$5,"△","○")))</f>
        <v/>
      </c>
      <c r="AC877" s="15">
        <f>IF($AB877="","",IF($AB877="×",0,IF($AB877="○",ROUNDDOWN($E877*設定!$C$4,0),ROUNDDOWN($E877*ROUND((9*$AA877-9*$E877)/(10*$E877),4),0))))</f>
        <v/>
      </c>
      <c r="AD877" s="13" t="n"/>
      <c r="AE877" s="15">
        <f>IF($B877="","",IF($AD877&lt;&gt;"",$AD877,IF($AC877="","",IF($AC877&lt;=設定!$C$3,0,$AC877))))</f>
        <v/>
      </c>
      <c r="AF877" s="14">
        <f>IF($B877="","",IF(AND($AG877&lt;&gt;"",$AI877="",$AL877=""),"保留中",IF($AL877&lt;&gt;"",IF(N($AE877)&gt;0,"支給済","不支給"),IF($AE877="","要確認",IF($AE877=0,"不支給","未処理")))))</f>
        <v/>
      </c>
      <c r="AG877" s="12" t="n"/>
      <c r="AH877" s="11" t="n"/>
      <c r="AI877" s="11" t="n"/>
      <c r="AJ877" s="11" t="n"/>
      <c r="AK877" s="14">
        <f>IF(AND($AF877="保留中",$AH877&lt;&gt;""),TODAY()-$AH877,"")</f>
        <v/>
      </c>
      <c r="AL877" s="12" t="n"/>
      <c r="AM877" s="14">
        <f>IF($B877="","",IF($AQ877="","対象年月が未入力／","")&amp;IF($B877="","",IF($AP877="","職員マスタに未登録の職員番号／",IF($AA877="","標準報酬月額が未登録／","")&amp;IF(AND($AQ877&lt;&gt;"",OR(AND(INDEX(職員マスタ!$G$6:$G$405,$AP877)&lt;&gt;"",INDEX(職員マスタ!$G$6:$G$405,$AP877)&gt;EOMONTH($AQ877,0)),AND(INDEX(職員マスタ!$H$6:$H$405,$AP877)&lt;&gt;"",INDEX(職員マスタ!$H$6:$H$405,$AP877)&lt;$AQ877))),"対象月が時短期間外／","")&amp;IF(AND(INDEX(職員マスタ!$K$6:$K$405,$AP877)&lt;&gt;"",N($W877)&gt;0,INDEX(職員マスタ!$K$6:$K$405,$AP877)&lt;&gt;$W877),"標準報酬月額が申請書と相違（台帳"&amp;TEXT(INDEX(職員マスタ!$K$6:$K$405,$AP877),"#,##0")&amp;"円／申請書"&amp;TEXT($W877,"#,##0")&amp;"円）／","")&amp;IF(AND(INDEX(職員マスタ!$F$6:$F$405,$AP877)&lt;&gt;"",$AQ877&lt;&gt;"",INDEX(職員マスタ!$F$6:$F$405,$AP877)&lt;$AQ877),"対象月に子が2歳到達済／","")&amp;IF(AND($H877&lt;&gt;"",INDEX(職員マスタ!$B$6:$B$405,$AP877)&lt;&gt;"",SUBSTITUTE(SUBSTITUTE($H877," ","")," ","")&lt;&gt;SUBSTITUTE(SUBSTITUTE(INDEX(職員マスタ!$B$6:$B$405,$AP877)," ","")," ","")),"氏名がマスタと相違／","")&amp;IF(AND($Q877&lt;&gt;"",INDEX(職員マスタ!$E$6:$E$405,$AP877)&lt;&gt;"",$Q877&lt;&gt;INDEX(職員マスタ!$E$6:$E$405,$AP877)),"子の生年月日がマスタと相違／","")&amp;IF(AND($L877&lt;&gt;"",INDEX(職員マスタ!$G$6:$G$405,$AP877)&lt;&gt;"",$L877&lt;&gt;INDEX(職員マスタ!$G$6:$G$405,$AP877)),"時短開始日がマスタと相違／","")&amp;IF(AND($M877&lt;&gt;"",INDEX(職員マスタ!$H$6:$H$405,$AP877)&lt;&gt;"",$M877&lt;&gt;INDEX(職員マスタ!$H$6:$H$405,$AP877)),"時短終了日がマスタと相違／","")))&amp;IF(AND($B877&lt;&gt;"",$E877=""),"報酬額が未入力／","")&amp;IF(N($U877)&gt;0,"申請書に入力エラーが残っています／","")&amp;IF(AND($B877&lt;&gt;"",$AQ877&lt;&gt;""),IF(COUNTIFS($B$6:$B$3005,$B877,$C$6:$C$3005,$C877,$D$6:$D$3005,$D877)&gt;1,"同じ月の請求が重複しています／",""),"")&amp;IF(AND(N($E877)&gt;0,$AB877&lt;&gt;"",$AB877&lt;&gt;"×",$AE877=0,$AD877=""),"計算額が下限以下のため不支給／",""))</f>
        <v/>
      </c>
      <c r="AN877" s="12" t="n"/>
      <c r="AO877" s="14">
        <f>IF($AF877="保留中",COUNTIF($AF$6:$AF877,"保留中"),"")</f>
        <v/>
      </c>
      <c r="AP877" s="14">
        <f>IF($AQ877="","",IF(SUMPRODUCT(MAX((職員マスタ!$A$6:$A$405=$B877)*(((職員マスタ!$G$6:$G$405="")+(職員マスタ!$G$6:$G$405&lt;=EOMONTH($AQ877,0)))&gt;0)*(((職員マスタ!$H$6:$H$405="")+(職員マスタ!$H$6:$H$405&gt;=$AQ877))&gt;0)*(ROW(職員マスタ!$A$6:$A$405)-5)))&gt;0,SUMPRODUCT(MAX((職員マスタ!$A$6:$A$405=$B877)*(((職員マスタ!$G$6:$G$405="")+(職員マスタ!$G$6:$G$405&lt;=EOMONTH($AQ877,0)))&gt;0)*(((職員マスタ!$H$6:$H$405="")+(職員マスタ!$H$6:$H$405&gt;=$AQ877))&gt;0)*(ROW(職員マスタ!$A$6:$A$405)-5))),IFERROR(MATCH($B877,職員マスタ!$A$6:$A$405,0),"")))</f>
        <v/>
      </c>
      <c r="AQ877" s="16">
        <f>IF(OR($B877="",$C877="",$D877=""),"",DATE($C877+2018,$D877,1))</f>
        <v/>
      </c>
    </row>
    <row r="878">
      <c r="A878" s="11" t="n"/>
      <c r="B878" s="12" t="n"/>
      <c r="C878" s="12" t="n"/>
      <c r="D878" s="12" t="n"/>
      <c r="E878" s="13" t="n"/>
      <c r="F878" s="12" t="n"/>
      <c r="G878" s="13" t="n"/>
      <c r="H878" s="12" t="n"/>
      <c r="I878" s="12" t="n"/>
      <c r="J878" s="12" t="n"/>
      <c r="K878" s="12" t="n"/>
      <c r="L878" s="11" t="n"/>
      <c r="M878" s="11" t="n"/>
      <c r="N878" s="11" t="n"/>
      <c r="O878" s="11" t="n"/>
      <c r="P878" s="12" t="n"/>
      <c r="Q878" s="11" t="n"/>
      <c r="R878" s="12" t="n"/>
      <c r="S878" s="11" t="n"/>
      <c r="T878" s="12" t="n"/>
      <c r="U878" s="12" t="n"/>
      <c r="V878" s="12" t="n"/>
      <c r="W878" s="13" t="n"/>
      <c r="X878" s="14">
        <f>IF($AP878="",IF($B878="","",$H878),IF(INDEX(職員マスタ!$B$6:$B$405,$AP878)="",$H878,INDEX(職員マスタ!$B$6:$B$405,$AP878)))</f>
        <v/>
      </c>
      <c r="Y878" s="14">
        <f>IF($AP878="",IF($B878="","",$R878),IF(INDEX(職員マスタ!$C$6:$C$405,$AP878)="",$R878,INDEX(職員マスタ!$C$6:$C$405,$AP878)))</f>
        <v/>
      </c>
      <c r="Z878" s="14">
        <f>IF($AQ878="","","R"&amp;$C878&amp;"."&amp;$D878)</f>
        <v/>
      </c>
      <c r="AA878" s="15">
        <f>IF(IF($AP878="",FALSE,INDEX(職員マスタ!$K$6:$K$405,$AP878)&lt;&gt;""),INDEX(職員マスタ!$K$6:$K$405,$AP878),IF(N($W878)&gt;0,$W878,""))</f>
        <v/>
      </c>
      <c r="AB878" s="14">
        <f>IF(OR($E878="",$AA878=""),"",IF($E878&gt;=$AA878,"×",IF($E878&gt;=$AA878*設定!$C$5,"△","○")))</f>
        <v/>
      </c>
      <c r="AC878" s="15">
        <f>IF($AB878="","",IF($AB878="×",0,IF($AB878="○",ROUNDDOWN($E878*設定!$C$4,0),ROUNDDOWN($E878*ROUND((9*$AA878-9*$E878)/(10*$E878),4),0))))</f>
        <v/>
      </c>
      <c r="AD878" s="13" t="n"/>
      <c r="AE878" s="15">
        <f>IF($B878="","",IF($AD878&lt;&gt;"",$AD878,IF($AC878="","",IF($AC878&lt;=設定!$C$3,0,$AC878))))</f>
        <v/>
      </c>
      <c r="AF878" s="14">
        <f>IF($B878="","",IF(AND($AG878&lt;&gt;"",$AI878="",$AL878=""),"保留中",IF($AL878&lt;&gt;"",IF(N($AE878)&gt;0,"支給済","不支給"),IF($AE878="","要確認",IF($AE878=0,"不支給","未処理")))))</f>
        <v/>
      </c>
      <c r="AG878" s="12" t="n"/>
      <c r="AH878" s="11" t="n"/>
      <c r="AI878" s="11" t="n"/>
      <c r="AJ878" s="11" t="n"/>
      <c r="AK878" s="14">
        <f>IF(AND($AF878="保留中",$AH878&lt;&gt;""),TODAY()-$AH878,"")</f>
        <v/>
      </c>
      <c r="AL878" s="12" t="n"/>
      <c r="AM878" s="14">
        <f>IF($B878="","",IF($AQ878="","対象年月が未入力／","")&amp;IF($B878="","",IF($AP878="","職員マスタに未登録の職員番号／",IF($AA878="","標準報酬月額が未登録／","")&amp;IF(AND($AQ878&lt;&gt;"",OR(AND(INDEX(職員マスタ!$G$6:$G$405,$AP878)&lt;&gt;"",INDEX(職員マスタ!$G$6:$G$405,$AP878)&gt;EOMONTH($AQ878,0)),AND(INDEX(職員マスタ!$H$6:$H$405,$AP878)&lt;&gt;"",INDEX(職員マスタ!$H$6:$H$405,$AP878)&lt;$AQ878))),"対象月が時短期間外／","")&amp;IF(AND(INDEX(職員マスタ!$K$6:$K$405,$AP878)&lt;&gt;"",N($W878)&gt;0,INDEX(職員マスタ!$K$6:$K$405,$AP878)&lt;&gt;$W878),"標準報酬月額が申請書と相違（台帳"&amp;TEXT(INDEX(職員マスタ!$K$6:$K$405,$AP878),"#,##0")&amp;"円／申請書"&amp;TEXT($W878,"#,##0")&amp;"円）／","")&amp;IF(AND(INDEX(職員マスタ!$F$6:$F$405,$AP878)&lt;&gt;"",$AQ878&lt;&gt;"",INDEX(職員マスタ!$F$6:$F$405,$AP878)&lt;$AQ878),"対象月に子が2歳到達済／","")&amp;IF(AND($H878&lt;&gt;"",INDEX(職員マスタ!$B$6:$B$405,$AP878)&lt;&gt;"",SUBSTITUTE(SUBSTITUTE($H878," ","")," ","")&lt;&gt;SUBSTITUTE(SUBSTITUTE(INDEX(職員マスタ!$B$6:$B$405,$AP878)," ","")," ","")),"氏名がマスタと相違／","")&amp;IF(AND($Q878&lt;&gt;"",INDEX(職員マスタ!$E$6:$E$405,$AP878)&lt;&gt;"",$Q878&lt;&gt;INDEX(職員マスタ!$E$6:$E$405,$AP878)),"子の生年月日がマスタと相違／","")&amp;IF(AND($L878&lt;&gt;"",INDEX(職員マスタ!$G$6:$G$405,$AP878)&lt;&gt;"",$L878&lt;&gt;INDEX(職員マスタ!$G$6:$G$405,$AP878)),"時短開始日がマスタと相違／","")&amp;IF(AND($M878&lt;&gt;"",INDEX(職員マスタ!$H$6:$H$405,$AP878)&lt;&gt;"",$M878&lt;&gt;INDEX(職員マスタ!$H$6:$H$405,$AP878)),"時短終了日がマスタと相違／","")))&amp;IF(AND($B878&lt;&gt;"",$E878=""),"報酬額が未入力／","")&amp;IF(N($U878)&gt;0,"申請書に入力エラーが残っています／","")&amp;IF(AND($B878&lt;&gt;"",$AQ878&lt;&gt;""),IF(COUNTIFS($B$6:$B$3005,$B878,$C$6:$C$3005,$C878,$D$6:$D$3005,$D878)&gt;1,"同じ月の請求が重複しています／",""),"")&amp;IF(AND(N($E878)&gt;0,$AB878&lt;&gt;"",$AB878&lt;&gt;"×",$AE878=0,$AD878=""),"計算額が下限以下のため不支給／",""))</f>
        <v/>
      </c>
      <c r="AN878" s="12" t="n"/>
      <c r="AO878" s="14">
        <f>IF($AF878="保留中",COUNTIF($AF$6:$AF878,"保留中"),"")</f>
        <v/>
      </c>
      <c r="AP878" s="14">
        <f>IF($AQ878="","",IF(SUMPRODUCT(MAX((職員マスタ!$A$6:$A$405=$B878)*(((職員マスタ!$G$6:$G$405="")+(職員マスタ!$G$6:$G$405&lt;=EOMONTH($AQ878,0)))&gt;0)*(((職員マスタ!$H$6:$H$405="")+(職員マスタ!$H$6:$H$405&gt;=$AQ878))&gt;0)*(ROW(職員マスタ!$A$6:$A$405)-5)))&gt;0,SUMPRODUCT(MAX((職員マスタ!$A$6:$A$405=$B878)*(((職員マスタ!$G$6:$G$405="")+(職員マスタ!$G$6:$G$405&lt;=EOMONTH($AQ878,0)))&gt;0)*(((職員マスタ!$H$6:$H$405="")+(職員マスタ!$H$6:$H$405&gt;=$AQ878))&gt;0)*(ROW(職員マスタ!$A$6:$A$405)-5))),IFERROR(MATCH($B878,職員マスタ!$A$6:$A$405,0),"")))</f>
        <v/>
      </c>
      <c r="AQ878" s="16">
        <f>IF(OR($B878="",$C878="",$D878=""),"",DATE($C878+2018,$D878,1))</f>
        <v/>
      </c>
    </row>
    <row r="879">
      <c r="A879" s="11" t="n"/>
      <c r="B879" s="12" t="n"/>
      <c r="C879" s="12" t="n"/>
      <c r="D879" s="12" t="n"/>
      <c r="E879" s="13" t="n"/>
      <c r="F879" s="12" t="n"/>
      <c r="G879" s="13" t="n"/>
      <c r="H879" s="12" t="n"/>
      <c r="I879" s="12" t="n"/>
      <c r="J879" s="12" t="n"/>
      <c r="K879" s="12" t="n"/>
      <c r="L879" s="11" t="n"/>
      <c r="M879" s="11" t="n"/>
      <c r="N879" s="11" t="n"/>
      <c r="O879" s="11" t="n"/>
      <c r="P879" s="12" t="n"/>
      <c r="Q879" s="11" t="n"/>
      <c r="R879" s="12" t="n"/>
      <c r="S879" s="11" t="n"/>
      <c r="T879" s="12" t="n"/>
      <c r="U879" s="12" t="n"/>
      <c r="V879" s="12" t="n"/>
      <c r="W879" s="13" t="n"/>
      <c r="X879" s="14">
        <f>IF($AP879="",IF($B879="","",$H879),IF(INDEX(職員マスタ!$B$6:$B$405,$AP879)="",$H879,INDEX(職員マスタ!$B$6:$B$405,$AP879)))</f>
        <v/>
      </c>
      <c r="Y879" s="14">
        <f>IF($AP879="",IF($B879="","",$R879),IF(INDEX(職員マスタ!$C$6:$C$405,$AP879)="",$R879,INDEX(職員マスタ!$C$6:$C$405,$AP879)))</f>
        <v/>
      </c>
      <c r="Z879" s="14">
        <f>IF($AQ879="","","R"&amp;$C879&amp;"."&amp;$D879)</f>
        <v/>
      </c>
      <c r="AA879" s="15">
        <f>IF(IF($AP879="",FALSE,INDEX(職員マスタ!$K$6:$K$405,$AP879)&lt;&gt;""),INDEX(職員マスタ!$K$6:$K$405,$AP879),IF(N($W879)&gt;0,$W879,""))</f>
        <v/>
      </c>
      <c r="AB879" s="14">
        <f>IF(OR($E879="",$AA879=""),"",IF($E879&gt;=$AA879,"×",IF($E879&gt;=$AA879*設定!$C$5,"△","○")))</f>
        <v/>
      </c>
      <c r="AC879" s="15">
        <f>IF($AB879="","",IF($AB879="×",0,IF($AB879="○",ROUNDDOWN($E879*設定!$C$4,0),ROUNDDOWN($E879*ROUND((9*$AA879-9*$E879)/(10*$E879),4),0))))</f>
        <v/>
      </c>
      <c r="AD879" s="13" t="n"/>
      <c r="AE879" s="15">
        <f>IF($B879="","",IF($AD879&lt;&gt;"",$AD879,IF($AC879="","",IF($AC879&lt;=設定!$C$3,0,$AC879))))</f>
        <v/>
      </c>
      <c r="AF879" s="14">
        <f>IF($B879="","",IF(AND($AG879&lt;&gt;"",$AI879="",$AL879=""),"保留中",IF($AL879&lt;&gt;"",IF(N($AE879)&gt;0,"支給済","不支給"),IF($AE879="","要確認",IF($AE879=0,"不支給","未処理")))))</f>
        <v/>
      </c>
      <c r="AG879" s="12" t="n"/>
      <c r="AH879" s="11" t="n"/>
      <c r="AI879" s="11" t="n"/>
      <c r="AJ879" s="11" t="n"/>
      <c r="AK879" s="14">
        <f>IF(AND($AF879="保留中",$AH879&lt;&gt;""),TODAY()-$AH879,"")</f>
        <v/>
      </c>
      <c r="AL879" s="12" t="n"/>
      <c r="AM879" s="14">
        <f>IF($B879="","",IF($AQ879="","対象年月が未入力／","")&amp;IF($B879="","",IF($AP879="","職員マスタに未登録の職員番号／",IF($AA879="","標準報酬月額が未登録／","")&amp;IF(AND($AQ879&lt;&gt;"",OR(AND(INDEX(職員マスタ!$G$6:$G$405,$AP879)&lt;&gt;"",INDEX(職員マスタ!$G$6:$G$405,$AP879)&gt;EOMONTH($AQ879,0)),AND(INDEX(職員マスタ!$H$6:$H$405,$AP879)&lt;&gt;"",INDEX(職員マスタ!$H$6:$H$405,$AP879)&lt;$AQ879))),"対象月が時短期間外／","")&amp;IF(AND(INDEX(職員マスタ!$K$6:$K$405,$AP879)&lt;&gt;"",N($W879)&gt;0,INDEX(職員マスタ!$K$6:$K$405,$AP879)&lt;&gt;$W879),"標準報酬月額が申請書と相違（台帳"&amp;TEXT(INDEX(職員マスタ!$K$6:$K$405,$AP879),"#,##0")&amp;"円／申請書"&amp;TEXT($W879,"#,##0")&amp;"円）／","")&amp;IF(AND(INDEX(職員マスタ!$F$6:$F$405,$AP879)&lt;&gt;"",$AQ879&lt;&gt;"",INDEX(職員マスタ!$F$6:$F$405,$AP879)&lt;$AQ879),"対象月に子が2歳到達済／","")&amp;IF(AND($H879&lt;&gt;"",INDEX(職員マスタ!$B$6:$B$405,$AP879)&lt;&gt;"",SUBSTITUTE(SUBSTITUTE($H879," ","")," ","")&lt;&gt;SUBSTITUTE(SUBSTITUTE(INDEX(職員マスタ!$B$6:$B$405,$AP879)," ","")," ","")),"氏名がマスタと相違／","")&amp;IF(AND($Q879&lt;&gt;"",INDEX(職員マスタ!$E$6:$E$405,$AP879)&lt;&gt;"",$Q879&lt;&gt;INDEX(職員マスタ!$E$6:$E$405,$AP879)),"子の生年月日がマスタと相違／","")&amp;IF(AND($L879&lt;&gt;"",INDEX(職員マスタ!$G$6:$G$405,$AP879)&lt;&gt;"",$L879&lt;&gt;INDEX(職員マスタ!$G$6:$G$405,$AP879)),"時短開始日がマスタと相違／","")&amp;IF(AND($M879&lt;&gt;"",INDEX(職員マスタ!$H$6:$H$405,$AP879)&lt;&gt;"",$M879&lt;&gt;INDEX(職員マスタ!$H$6:$H$405,$AP879)),"時短終了日がマスタと相違／","")))&amp;IF(AND($B879&lt;&gt;"",$E879=""),"報酬額が未入力／","")&amp;IF(N($U879)&gt;0,"申請書に入力エラーが残っています／","")&amp;IF(AND($B879&lt;&gt;"",$AQ879&lt;&gt;""),IF(COUNTIFS($B$6:$B$3005,$B879,$C$6:$C$3005,$C879,$D$6:$D$3005,$D879)&gt;1,"同じ月の請求が重複しています／",""),"")&amp;IF(AND(N($E879)&gt;0,$AB879&lt;&gt;"",$AB879&lt;&gt;"×",$AE879=0,$AD879=""),"計算額が下限以下のため不支給／",""))</f>
        <v/>
      </c>
      <c r="AN879" s="12" t="n"/>
      <c r="AO879" s="14">
        <f>IF($AF879="保留中",COUNTIF($AF$6:$AF879,"保留中"),"")</f>
        <v/>
      </c>
      <c r="AP879" s="14">
        <f>IF($AQ879="","",IF(SUMPRODUCT(MAX((職員マスタ!$A$6:$A$405=$B879)*(((職員マスタ!$G$6:$G$405="")+(職員マスタ!$G$6:$G$405&lt;=EOMONTH($AQ879,0)))&gt;0)*(((職員マスタ!$H$6:$H$405="")+(職員マスタ!$H$6:$H$405&gt;=$AQ879))&gt;0)*(ROW(職員マスタ!$A$6:$A$405)-5)))&gt;0,SUMPRODUCT(MAX((職員マスタ!$A$6:$A$405=$B879)*(((職員マスタ!$G$6:$G$405="")+(職員マスタ!$G$6:$G$405&lt;=EOMONTH($AQ879,0)))&gt;0)*(((職員マスタ!$H$6:$H$405="")+(職員マスタ!$H$6:$H$405&gt;=$AQ879))&gt;0)*(ROW(職員マスタ!$A$6:$A$405)-5))),IFERROR(MATCH($B879,職員マスタ!$A$6:$A$405,0),"")))</f>
        <v/>
      </c>
      <c r="AQ879" s="16">
        <f>IF(OR($B879="",$C879="",$D879=""),"",DATE($C879+2018,$D879,1))</f>
        <v/>
      </c>
    </row>
    <row r="880">
      <c r="A880" s="11" t="n"/>
      <c r="B880" s="12" t="n"/>
      <c r="C880" s="12" t="n"/>
      <c r="D880" s="12" t="n"/>
      <c r="E880" s="13" t="n"/>
      <c r="F880" s="12" t="n"/>
      <c r="G880" s="13" t="n"/>
      <c r="H880" s="12" t="n"/>
      <c r="I880" s="12" t="n"/>
      <c r="J880" s="12" t="n"/>
      <c r="K880" s="12" t="n"/>
      <c r="L880" s="11" t="n"/>
      <c r="M880" s="11" t="n"/>
      <c r="N880" s="11" t="n"/>
      <c r="O880" s="11" t="n"/>
      <c r="P880" s="12" t="n"/>
      <c r="Q880" s="11" t="n"/>
      <c r="R880" s="12" t="n"/>
      <c r="S880" s="11" t="n"/>
      <c r="T880" s="12" t="n"/>
      <c r="U880" s="12" t="n"/>
      <c r="V880" s="12" t="n"/>
      <c r="W880" s="13" t="n"/>
      <c r="X880" s="14">
        <f>IF($AP880="",IF($B880="","",$H880),IF(INDEX(職員マスタ!$B$6:$B$405,$AP880)="",$H880,INDEX(職員マスタ!$B$6:$B$405,$AP880)))</f>
        <v/>
      </c>
      <c r="Y880" s="14">
        <f>IF($AP880="",IF($B880="","",$R880),IF(INDEX(職員マスタ!$C$6:$C$405,$AP880)="",$R880,INDEX(職員マスタ!$C$6:$C$405,$AP880)))</f>
        <v/>
      </c>
      <c r="Z880" s="14">
        <f>IF($AQ880="","","R"&amp;$C880&amp;"."&amp;$D880)</f>
        <v/>
      </c>
      <c r="AA880" s="15">
        <f>IF(IF($AP880="",FALSE,INDEX(職員マスタ!$K$6:$K$405,$AP880)&lt;&gt;""),INDEX(職員マスタ!$K$6:$K$405,$AP880),IF(N($W880)&gt;0,$W880,""))</f>
        <v/>
      </c>
      <c r="AB880" s="14">
        <f>IF(OR($E880="",$AA880=""),"",IF($E880&gt;=$AA880,"×",IF($E880&gt;=$AA880*設定!$C$5,"△","○")))</f>
        <v/>
      </c>
      <c r="AC880" s="15">
        <f>IF($AB880="","",IF($AB880="×",0,IF($AB880="○",ROUNDDOWN($E880*設定!$C$4,0),ROUNDDOWN($E880*ROUND((9*$AA880-9*$E880)/(10*$E880),4),0))))</f>
        <v/>
      </c>
      <c r="AD880" s="13" t="n"/>
      <c r="AE880" s="15">
        <f>IF($B880="","",IF($AD880&lt;&gt;"",$AD880,IF($AC880="","",IF($AC880&lt;=設定!$C$3,0,$AC880))))</f>
        <v/>
      </c>
      <c r="AF880" s="14">
        <f>IF($B880="","",IF(AND($AG880&lt;&gt;"",$AI880="",$AL880=""),"保留中",IF($AL880&lt;&gt;"",IF(N($AE880)&gt;0,"支給済","不支給"),IF($AE880="","要確認",IF($AE880=0,"不支給","未処理")))))</f>
        <v/>
      </c>
      <c r="AG880" s="12" t="n"/>
      <c r="AH880" s="11" t="n"/>
      <c r="AI880" s="11" t="n"/>
      <c r="AJ880" s="11" t="n"/>
      <c r="AK880" s="14">
        <f>IF(AND($AF880="保留中",$AH880&lt;&gt;""),TODAY()-$AH880,"")</f>
        <v/>
      </c>
      <c r="AL880" s="12" t="n"/>
      <c r="AM880" s="14">
        <f>IF($B880="","",IF($AQ880="","対象年月が未入力／","")&amp;IF($B880="","",IF($AP880="","職員マスタに未登録の職員番号／",IF($AA880="","標準報酬月額が未登録／","")&amp;IF(AND($AQ880&lt;&gt;"",OR(AND(INDEX(職員マスタ!$G$6:$G$405,$AP880)&lt;&gt;"",INDEX(職員マスタ!$G$6:$G$405,$AP880)&gt;EOMONTH($AQ880,0)),AND(INDEX(職員マスタ!$H$6:$H$405,$AP880)&lt;&gt;"",INDEX(職員マスタ!$H$6:$H$405,$AP880)&lt;$AQ880))),"対象月が時短期間外／","")&amp;IF(AND(INDEX(職員マスタ!$K$6:$K$405,$AP880)&lt;&gt;"",N($W880)&gt;0,INDEX(職員マスタ!$K$6:$K$405,$AP880)&lt;&gt;$W880),"標準報酬月額が申請書と相違（台帳"&amp;TEXT(INDEX(職員マスタ!$K$6:$K$405,$AP880),"#,##0")&amp;"円／申請書"&amp;TEXT($W880,"#,##0")&amp;"円）／","")&amp;IF(AND(INDEX(職員マスタ!$F$6:$F$405,$AP880)&lt;&gt;"",$AQ880&lt;&gt;"",INDEX(職員マスタ!$F$6:$F$405,$AP880)&lt;$AQ880),"対象月に子が2歳到達済／","")&amp;IF(AND($H880&lt;&gt;"",INDEX(職員マスタ!$B$6:$B$405,$AP880)&lt;&gt;"",SUBSTITUTE(SUBSTITUTE($H880," ","")," ","")&lt;&gt;SUBSTITUTE(SUBSTITUTE(INDEX(職員マスタ!$B$6:$B$405,$AP880)," ","")," ","")),"氏名がマスタと相違／","")&amp;IF(AND($Q880&lt;&gt;"",INDEX(職員マスタ!$E$6:$E$405,$AP880)&lt;&gt;"",$Q880&lt;&gt;INDEX(職員マスタ!$E$6:$E$405,$AP880)),"子の生年月日がマスタと相違／","")&amp;IF(AND($L880&lt;&gt;"",INDEX(職員マスタ!$G$6:$G$405,$AP880)&lt;&gt;"",$L880&lt;&gt;INDEX(職員マスタ!$G$6:$G$405,$AP880)),"時短開始日がマスタと相違／","")&amp;IF(AND($M880&lt;&gt;"",INDEX(職員マスタ!$H$6:$H$405,$AP880)&lt;&gt;"",$M880&lt;&gt;INDEX(職員マスタ!$H$6:$H$405,$AP880)),"時短終了日がマスタと相違／","")))&amp;IF(AND($B880&lt;&gt;"",$E880=""),"報酬額が未入力／","")&amp;IF(N($U880)&gt;0,"申請書に入力エラーが残っています／","")&amp;IF(AND($B880&lt;&gt;"",$AQ880&lt;&gt;""),IF(COUNTIFS($B$6:$B$3005,$B880,$C$6:$C$3005,$C880,$D$6:$D$3005,$D880)&gt;1,"同じ月の請求が重複しています／",""),"")&amp;IF(AND(N($E880)&gt;0,$AB880&lt;&gt;"",$AB880&lt;&gt;"×",$AE880=0,$AD880=""),"計算額が下限以下のため不支給／",""))</f>
        <v/>
      </c>
      <c r="AN880" s="12" t="n"/>
      <c r="AO880" s="14">
        <f>IF($AF880="保留中",COUNTIF($AF$6:$AF880,"保留中"),"")</f>
        <v/>
      </c>
      <c r="AP880" s="14">
        <f>IF($AQ880="","",IF(SUMPRODUCT(MAX((職員マスタ!$A$6:$A$405=$B880)*(((職員マスタ!$G$6:$G$405="")+(職員マスタ!$G$6:$G$405&lt;=EOMONTH($AQ880,0)))&gt;0)*(((職員マスタ!$H$6:$H$405="")+(職員マスタ!$H$6:$H$405&gt;=$AQ880))&gt;0)*(ROW(職員マスタ!$A$6:$A$405)-5)))&gt;0,SUMPRODUCT(MAX((職員マスタ!$A$6:$A$405=$B880)*(((職員マスタ!$G$6:$G$405="")+(職員マスタ!$G$6:$G$405&lt;=EOMONTH($AQ880,0)))&gt;0)*(((職員マスタ!$H$6:$H$405="")+(職員マスタ!$H$6:$H$405&gt;=$AQ880))&gt;0)*(ROW(職員マスタ!$A$6:$A$405)-5))),IFERROR(MATCH($B880,職員マスタ!$A$6:$A$405,0),"")))</f>
        <v/>
      </c>
      <c r="AQ880" s="16">
        <f>IF(OR($B880="",$C880="",$D880=""),"",DATE($C880+2018,$D880,1))</f>
        <v/>
      </c>
    </row>
    <row r="881">
      <c r="A881" s="11" t="n"/>
      <c r="B881" s="12" t="n"/>
      <c r="C881" s="12" t="n"/>
      <c r="D881" s="12" t="n"/>
      <c r="E881" s="13" t="n"/>
      <c r="F881" s="12" t="n"/>
      <c r="G881" s="13" t="n"/>
      <c r="H881" s="12" t="n"/>
      <c r="I881" s="12" t="n"/>
      <c r="J881" s="12" t="n"/>
      <c r="K881" s="12" t="n"/>
      <c r="L881" s="11" t="n"/>
      <c r="M881" s="11" t="n"/>
      <c r="N881" s="11" t="n"/>
      <c r="O881" s="11" t="n"/>
      <c r="P881" s="12" t="n"/>
      <c r="Q881" s="11" t="n"/>
      <c r="R881" s="12" t="n"/>
      <c r="S881" s="11" t="n"/>
      <c r="T881" s="12" t="n"/>
      <c r="U881" s="12" t="n"/>
      <c r="V881" s="12" t="n"/>
      <c r="W881" s="13" t="n"/>
      <c r="X881" s="14">
        <f>IF($AP881="",IF($B881="","",$H881),IF(INDEX(職員マスタ!$B$6:$B$405,$AP881)="",$H881,INDEX(職員マスタ!$B$6:$B$405,$AP881)))</f>
        <v/>
      </c>
      <c r="Y881" s="14">
        <f>IF($AP881="",IF($B881="","",$R881),IF(INDEX(職員マスタ!$C$6:$C$405,$AP881)="",$R881,INDEX(職員マスタ!$C$6:$C$405,$AP881)))</f>
        <v/>
      </c>
      <c r="Z881" s="14">
        <f>IF($AQ881="","","R"&amp;$C881&amp;"."&amp;$D881)</f>
        <v/>
      </c>
      <c r="AA881" s="15">
        <f>IF(IF($AP881="",FALSE,INDEX(職員マスタ!$K$6:$K$405,$AP881)&lt;&gt;""),INDEX(職員マスタ!$K$6:$K$405,$AP881),IF(N($W881)&gt;0,$W881,""))</f>
        <v/>
      </c>
      <c r="AB881" s="14">
        <f>IF(OR($E881="",$AA881=""),"",IF($E881&gt;=$AA881,"×",IF($E881&gt;=$AA881*設定!$C$5,"△","○")))</f>
        <v/>
      </c>
      <c r="AC881" s="15">
        <f>IF($AB881="","",IF($AB881="×",0,IF($AB881="○",ROUNDDOWN($E881*設定!$C$4,0),ROUNDDOWN($E881*ROUND((9*$AA881-9*$E881)/(10*$E881),4),0))))</f>
        <v/>
      </c>
      <c r="AD881" s="13" t="n"/>
      <c r="AE881" s="15">
        <f>IF($B881="","",IF($AD881&lt;&gt;"",$AD881,IF($AC881="","",IF($AC881&lt;=設定!$C$3,0,$AC881))))</f>
        <v/>
      </c>
      <c r="AF881" s="14">
        <f>IF($B881="","",IF(AND($AG881&lt;&gt;"",$AI881="",$AL881=""),"保留中",IF($AL881&lt;&gt;"",IF(N($AE881)&gt;0,"支給済","不支給"),IF($AE881="","要確認",IF($AE881=0,"不支給","未処理")))))</f>
        <v/>
      </c>
      <c r="AG881" s="12" t="n"/>
      <c r="AH881" s="11" t="n"/>
      <c r="AI881" s="11" t="n"/>
      <c r="AJ881" s="11" t="n"/>
      <c r="AK881" s="14">
        <f>IF(AND($AF881="保留中",$AH881&lt;&gt;""),TODAY()-$AH881,"")</f>
        <v/>
      </c>
      <c r="AL881" s="12" t="n"/>
      <c r="AM881" s="14">
        <f>IF($B881="","",IF($AQ881="","対象年月が未入力／","")&amp;IF($B881="","",IF($AP881="","職員マスタに未登録の職員番号／",IF($AA881="","標準報酬月額が未登録／","")&amp;IF(AND($AQ881&lt;&gt;"",OR(AND(INDEX(職員マスタ!$G$6:$G$405,$AP881)&lt;&gt;"",INDEX(職員マスタ!$G$6:$G$405,$AP881)&gt;EOMONTH($AQ881,0)),AND(INDEX(職員マスタ!$H$6:$H$405,$AP881)&lt;&gt;"",INDEX(職員マスタ!$H$6:$H$405,$AP881)&lt;$AQ881))),"対象月が時短期間外／","")&amp;IF(AND(INDEX(職員マスタ!$K$6:$K$405,$AP881)&lt;&gt;"",N($W881)&gt;0,INDEX(職員マスタ!$K$6:$K$405,$AP881)&lt;&gt;$W881),"標準報酬月額が申請書と相違（台帳"&amp;TEXT(INDEX(職員マスタ!$K$6:$K$405,$AP881),"#,##0")&amp;"円／申請書"&amp;TEXT($W881,"#,##0")&amp;"円）／","")&amp;IF(AND(INDEX(職員マスタ!$F$6:$F$405,$AP881)&lt;&gt;"",$AQ881&lt;&gt;"",INDEX(職員マスタ!$F$6:$F$405,$AP881)&lt;$AQ881),"対象月に子が2歳到達済／","")&amp;IF(AND($H881&lt;&gt;"",INDEX(職員マスタ!$B$6:$B$405,$AP881)&lt;&gt;"",SUBSTITUTE(SUBSTITUTE($H881," ","")," ","")&lt;&gt;SUBSTITUTE(SUBSTITUTE(INDEX(職員マスタ!$B$6:$B$405,$AP881)," ","")," ","")),"氏名がマスタと相違／","")&amp;IF(AND($Q881&lt;&gt;"",INDEX(職員マスタ!$E$6:$E$405,$AP881)&lt;&gt;"",$Q881&lt;&gt;INDEX(職員マスタ!$E$6:$E$405,$AP881)),"子の生年月日がマスタと相違／","")&amp;IF(AND($L881&lt;&gt;"",INDEX(職員マスタ!$G$6:$G$405,$AP881)&lt;&gt;"",$L881&lt;&gt;INDEX(職員マスタ!$G$6:$G$405,$AP881)),"時短開始日がマスタと相違／","")&amp;IF(AND($M881&lt;&gt;"",INDEX(職員マスタ!$H$6:$H$405,$AP881)&lt;&gt;"",$M881&lt;&gt;INDEX(職員マスタ!$H$6:$H$405,$AP881)),"時短終了日がマスタと相違／","")))&amp;IF(AND($B881&lt;&gt;"",$E881=""),"報酬額が未入力／","")&amp;IF(N($U881)&gt;0,"申請書に入力エラーが残っています／","")&amp;IF(AND($B881&lt;&gt;"",$AQ881&lt;&gt;""),IF(COUNTIFS($B$6:$B$3005,$B881,$C$6:$C$3005,$C881,$D$6:$D$3005,$D881)&gt;1,"同じ月の請求が重複しています／",""),"")&amp;IF(AND(N($E881)&gt;0,$AB881&lt;&gt;"",$AB881&lt;&gt;"×",$AE881=0,$AD881=""),"計算額が下限以下のため不支給／",""))</f>
        <v/>
      </c>
      <c r="AN881" s="12" t="n"/>
      <c r="AO881" s="14">
        <f>IF($AF881="保留中",COUNTIF($AF$6:$AF881,"保留中"),"")</f>
        <v/>
      </c>
      <c r="AP881" s="14">
        <f>IF($AQ881="","",IF(SUMPRODUCT(MAX((職員マスタ!$A$6:$A$405=$B881)*(((職員マスタ!$G$6:$G$405="")+(職員マスタ!$G$6:$G$405&lt;=EOMONTH($AQ881,0)))&gt;0)*(((職員マスタ!$H$6:$H$405="")+(職員マスタ!$H$6:$H$405&gt;=$AQ881))&gt;0)*(ROW(職員マスタ!$A$6:$A$405)-5)))&gt;0,SUMPRODUCT(MAX((職員マスタ!$A$6:$A$405=$B881)*(((職員マスタ!$G$6:$G$405="")+(職員マスタ!$G$6:$G$405&lt;=EOMONTH($AQ881,0)))&gt;0)*(((職員マスタ!$H$6:$H$405="")+(職員マスタ!$H$6:$H$405&gt;=$AQ881))&gt;0)*(ROW(職員マスタ!$A$6:$A$405)-5))),IFERROR(MATCH($B881,職員マスタ!$A$6:$A$405,0),"")))</f>
        <v/>
      </c>
      <c r="AQ881" s="16">
        <f>IF(OR($B881="",$C881="",$D881=""),"",DATE($C881+2018,$D881,1))</f>
        <v/>
      </c>
    </row>
    <row r="882">
      <c r="A882" s="11" t="n"/>
      <c r="B882" s="12" t="n"/>
      <c r="C882" s="12" t="n"/>
      <c r="D882" s="12" t="n"/>
      <c r="E882" s="13" t="n"/>
      <c r="F882" s="12" t="n"/>
      <c r="G882" s="13" t="n"/>
      <c r="H882" s="12" t="n"/>
      <c r="I882" s="12" t="n"/>
      <c r="J882" s="12" t="n"/>
      <c r="K882" s="12" t="n"/>
      <c r="L882" s="11" t="n"/>
      <c r="M882" s="11" t="n"/>
      <c r="N882" s="11" t="n"/>
      <c r="O882" s="11" t="n"/>
      <c r="P882" s="12" t="n"/>
      <c r="Q882" s="11" t="n"/>
      <c r="R882" s="12" t="n"/>
      <c r="S882" s="11" t="n"/>
      <c r="T882" s="12" t="n"/>
      <c r="U882" s="12" t="n"/>
      <c r="V882" s="12" t="n"/>
      <c r="W882" s="13" t="n"/>
      <c r="X882" s="14">
        <f>IF($AP882="",IF($B882="","",$H882),IF(INDEX(職員マスタ!$B$6:$B$405,$AP882)="",$H882,INDEX(職員マスタ!$B$6:$B$405,$AP882)))</f>
        <v/>
      </c>
      <c r="Y882" s="14">
        <f>IF($AP882="",IF($B882="","",$R882),IF(INDEX(職員マスタ!$C$6:$C$405,$AP882)="",$R882,INDEX(職員マスタ!$C$6:$C$405,$AP882)))</f>
        <v/>
      </c>
      <c r="Z882" s="14">
        <f>IF($AQ882="","","R"&amp;$C882&amp;"."&amp;$D882)</f>
        <v/>
      </c>
      <c r="AA882" s="15">
        <f>IF(IF($AP882="",FALSE,INDEX(職員マスタ!$K$6:$K$405,$AP882)&lt;&gt;""),INDEX(職員マスタ!$K$6:$K$405,$AP882),IF(N($W882)&gt;0,$W882,""))</f>
        <v/>
      </c>
      <c r="AB882" s="14">
        <f>IF(OR($E882="",$AA882=""),"",IF($E882&gt;=$AA882,"×",IF($E882&gt;=$AA882*設定!$C$5,"△","○")))</f>
        <v/>
      </c>
      <c r="AC882" s="15">
        <f>IF($AB882="","",IF($AB882="×",0,IF($AB882="○",ROUNDDOWN($E882*設定!$C$4,0),ROUNDDOWN($E882*ROUND((9*$AA882-9*$E882)/(10*$E882),4),0))))</f>
        <v/>
      </c>
      <c r="AD882" s="13" t="n"/>
      <c r="AE882" s="15">
        <f>IF($B882="","",IF($AD882&lt;&gt;"",$AD882,IF($AC882="","",IF($AC882&lt;=設定!$C$3,0,$AC882))))</f>
        <v/>
      </c>
      <c r="AF882" s="14">
        <f>IF($B882="","",IF(AND($AG882&lt;&gt;"",$AI882="",$AL882=""),"保留中",IF($AL882&lt;&gt;"",IF(N($AE882)&gt;0,"支給済","不支給"),IF($AE882="","要確認",IF($AE882=0,"不支給","未処理")))))</f>
        <v/>
      </c>
      <c r="AG882" s="12" t="n"/>
      <c r="AH882" s="11" t="n"/>
      <c r="AI882" s="11" t="n"/>
      <c r="AJ882" s="11" t="n"/>
      <c r="AK882" s="14">
        <f>IF(AND($AF882="保留中",$AH882&lt;&gt;""),TODAY()-$AH882,"")</f>
        <v/>
      </c>
      <c r="AL882" s="12" t="n"/>
      <c r="AM882" s="14">
        <f>IF($B882="","",IF($AQ882="","対象年月が未入力／","")&amp;IF($B882="","",IF($AP882="","職員マスタに未登録の職員番号／",IF($AA882="","標準報酬月額が未登録／","")&amp;IF(AND($AQ882&lt;&gt;"",OR(AND(INDEX(職員マスタ!$G$6:$G$405,$AP882)&lt;&gt;"",INDEX(職員マスタ!$G$6:$G$405,$AP882)&gt;EOMONTH($AQ882,0)),AND(INDEX(職員マスタ!$H$6:$H$405,$AP882)&lt;&gt;"",INDEX(職員マスタ!$H$6:$H$405,$AP882)&lt;$AQ882))),"対象月が時短期間外／","")&amp;IF(AND(INDEX(職員マスタ!$K$6:$K$405,$AP882)&lt;&gt;"",N($W882)&gt;0,INDEX(職員マスタ!$K$6:$K$405,$AP882)&lt;&gt;$W882),"標準報酬月額が申請書と相違（台帳"&amp;TEXT(INDEX(職員マスタ!$K$6:$K$405,$AP882),"#,##0")&amp;"円／申請書"&amp;TEXT($W882,"#,##0")&amp;"円）／","")&amp;IF(AND(INDEX(職員マスタ!$F$6:$F$405,$AP882)&lt;&gt;"",$AQ882&lt;&gt;"",INDEX(職員マスタ!$F$6:$F$405,$AP882)&lt;$AQ882),"対象月に子が2歳到達済／","")&amp;IF(AND($H882&lt;&gt;"",INDEX(職員マスタ!$B$6:$B$405,$AP882)&lt;&gt;"",SUBSTITUTE(SUBSTITUTE($H882," ","")," ","")&lt;&gt;SUBSTITUTE(SUBSTITUTE(INDEX(職員マスタ!$B$6:$B$405,$AP882)," ","")," ","")),"氏名がマスタと相違／","")&amp;IF(AND($Q882&lt;&gt;"",INDEX(職員マスタ!$E$6:$E$405,$AP882)&lt;&gt;"",$Q882&lt;&gt;INDEX(職員マスタ!$E$6:$E$405,$AP882)),"子の生年月日がマスタと相違／","")&amp;IF(AND($L882&lt;&gt;"",INDEX(職員マスタ!$G$6:$G$405,$AP882)&lt;&gt;"",$L882&lt;&gt;INDEX(職員マスタ!$G$6:$G$405,$AP882)),"時短開始日がマスタと相違／","")&amp;IF(AND($M882&lt;&gt;"",INDEX(職員マスタ!$H$6:$H$405,$AP882)&lt;&gt;"",$M882&lt;&gt;INDEX(職員マスタ!$H$6:$H$405,$AP882)),"時短終了日がマスタと相違／","")))&amp;IF(AND($B882&lt;&gt;"",$E882=""),"報酬額が未入力／","")&amp;IF(N($U882)&gt;0,"申請書に入力エラーが残っています／","")&amp;IF(AND($B882&lt;&gt;"",$AQ882&lt;&gt;""),IF(COUNTIFS($B$6:$B$3005,$B882,$C$6:$C$3005,$C882,$D$6:$D$3005,$D882)&gt;1,"同じ月の請求が重複しています／",""),"")&amp;IF(AND(N($E882)&gt;0,$AB882&lt;&gt;"",$AB882&lt;&gt;"×",$AE882=0,$AD882=""),"計算額が下限以下のため不支給／",""))</f>
        <v/>
      </c>
      <c r="AN882" s="12" t="n"/>
      <c r="AO882" s="14">
        <f>IF($AF882="保留中",COUNTIF($AF$6:$AF882,"保留中"),"")</f>
        <v/>
      </c>
      <c r="AP882" s="14">
        <f>IF($AQ882="","",IF(SUMPRODUCT(MAX((職員マスタ!$A$6:$A$405=$B882)*(((職員マスタ!$G$6:$G$405="")+(職員マスタ!$G$6:$G$405&lt;=EOMONTH($AQ882,0)))&gt;0)*(((職員マスタ!$H$6:$H$405="")+(職員マスタ!$H$6:$H$405&gt;=$AQ882))&gt;0)*(ROW(職員マスタ!$A$6:$A$405)-5)))&gt;0,SUMPRODUCT(MAX((職員マスタ!$A$6:$A$405=$B882)*(((職員マスタ!$G$6:$G$405="")+(職員マスタ!$G$6:$G$405&lt;=EOMONTH($AQ882,0)))&gt;0)*(((職員マスタ!$H$6:$H$405="")+(職員マスタ!$H$6:$H$405&gt;=$AQ882))&gt;0)*(ROW(職員マスタ!$A$6:$A$405)-5))),IFERROR(MATCH($B882,職員マスタ!$A$6:$A$405,0),"")))</f>
        <v/>
      </c>
      <c r="AQ882" s="16">
        <f>IF(OR($B882="",$C882="",$D882=""),"",DATE($C882+2018,$D882,1))</f>
        <v/>
      </c>
    </row>
    <row r="883">
      <c r="A883" s="11" t="n"/>
      <c r="B883" s="12" t="n"/>
      <c r="C883" s="12" t="n"/>
      <c r="D883" s="12" t="n"/>
      <c r="E883" s="13" t="n"/>
      <c r="F883" s="12" t="n"/>
      <c r="G883" s="13" t="n"/>
      <c r="H883" s="12" t="n"/>
      <c r="I883" s="12" t="n"/>
      <c r="J883" s="12" t="n"/>
      <c r="K883" s="12" t="n"/>
      <c r="L883" s="11" t="n"/>
      <c r="M883" s="11" t="n"/>
      <c r="N883" s="11" t="n"/>
      <c r="O883" s="11" t="n"/>
      <c r="P883" s="12" t="n"/>
      <c r="Q883" s="11" t="n"/>
      <c r="R883" s="12" t="n"/>
      <c r="S883" s="11" t="n"/>
      <c r="T883" s="12" t="n"/>
      <c r="U883" s="12" t="n"/>
      <c r="V883" s="12" t="n"/>
      <c r="W883" s="13" t="n"/>
      <c r="X883" s="14">
        <f>IF($AP883="",IF($B883="","",$H883),IF(INDEX(職員マスタ!$B$6:$B$405,$AP883)="",$H883,INDEX(職員マスタ!$B$6:$B$405,$AP883)))</f>
        <v/>
      </c>
      <c r="Y883" s="14">
        <f>IF($AP883="",IF($B883="","",$R883),IF(INDEX(職員マスタ!$C$6:$C$405,$AP883)="",$R883,INDEX(職員マスタ!$C$6:$C$405,$AP883)))</f>
        <v/>
      </c>
      <c r="Z883" s="14">
        <f>IF($AQ883="","","R"&amp;$C883&amp;"."&amp;$D883)</f>
        <v/>
      </c>
      <c r="AA883" s="15">
        <f>IF(IF($AP883="",FALSE,INDEX(職員マスタ!$K$6:$K$405,$AP883)&lt;&gt;""),INDEX(職員マスタ!$K$6:$K$405,$AP883),IF(N($W883)&gt;0,$W883,""))</f>
        <v/>
      </c>
      <c r="AB883" s="14">
        <f>IF(OR($E883="",$AA883=""),"",IF($E883&gt;=$AA883,"×",IF($E883&gt;=$AA883*設定!$C$5,"△","○")))</f>
        <v/>
      </c>
      <c r="AC883" s="15">
        <f>IF($AB883="","",IF($AB883="×",0,IF($AB883="○",ROUNDDOWN($E883*設定!$C$4,0),ROUNDDOWN($E883*ROUND((9*$AA883-9*$E883)/(10*$E883),4),0))))</f>
        <v/>
      </c>
      <c r="AD883" s="13" t="n"/>
      <c r="AE883" s="15">
        <f>IF($B883="","",IF($AD883&lt;&gt;"",$AD883,IF($AC883="","",IF($AC883&lt;=設定!$C$3,0,$AC883))))</f>
        <v/>
      </c>
      <c r="AF883" s="14">
        <f>IF($B883="","",IF(AND($AG883&lt;&gt;"",$AI883="",$AL883=""),"保留中",IF($AL883&lt;&gt;"",IF(N($AE883)&gt;0,"支給済","不支給"),IF($AE883="","要確認",IF($AE883=0,"不支給","未処理")))))</f>
        <v/>
      </c>
      <c r="AG883" s="12" t="n"/>
      <c r="AH883" s="11" t="n"/>
      <c r="AI883" s="11" t="n"/>
      <c r="AJ883" s="11" t="n"/>
      <c r="AK883" s="14">
        <f>IF(AND($AF883="保留中",$AH883&lt;&gt;""),TODAY()-$AH883,"")</f>
        <v/>
      </c>
      <c r="AL883" s="12" t="n"/>
      <c r="AM883" s="14">
        <f>IF($B883="","",IF($AQ883="","対象年月が未入力／","")&amp;IF($B883="","",IF($AP883="","職員マスタに未登録の職員番号／",IF($AA883="","標準報酬月額が未登録／","")&amp;IF(AND($AQ883&lt;&gt;"",OR(AND(INDEX(職員マスタ!$G$6:$G$405,$AP883)&lt;&gt;"",INDEX(職員マスタ!$G$6:$G$405,$AP883)&gt;EOMONTH($AQ883,0)),AND(INDEX(職員マスタ!$H$6:$H$405,$AP883)&lt;&gt;"",INDEX(職員マスタ!$H$6:$H$405,$AP883)&lt;$AQ883))),"対象月が時短期間外／","")&amp;IF(AND(INDEX(職員マスタ!$K$6:$K$405,$AP883)&lt;&gt;"",N($W883)&gt;0,INDEX(職員マスタ!$K$6:$K$405,$AP883)&lt;&gt;$W883),"標準報酬月額が申請書と相違（台帳"&amp;TEXT(INDEX(職員マスタ!$K$6:$K$405,$AP883),"#,##0")&amp;"円／申請書"&amp;TEXT($W883,"#,##0")&amp;"円）／","")&amp;IF(AND(INDEX(職員マスタ!$F$6:$F$405,$AP883)&lt;&gt;"",$AQ883&lt;&gt;"",INDEX(職員マスタ!$F$6:$F$405,$AP883)&lt;$AQ883),"対象月に子が2歳到達済／","")&amp;IF(AND($H883&lt;&gt;"",INDEX(職員マスタ!$B$6:$B$405,$AP883)&lt;&gt;"",SUBSTITUTE(SUBSTITUTE($H883," ","")," ","")&lt;&gt;SUBSTITUTE(SUBSTITUTE(INDEX(職員マスタ!$B$6:$B$405,$AP883)," ","")," ","")),"氏名がマスタと相違／","")&amp;IF(AND($Q883&lt;&gt;"",INDEX(職員マスタ!$E$6:$E$405,$AP883)&lt;&gt;"",$Q883&lt;&gt;INDEX(職員マスタ!$E$6:$E$405,$AP883)),"子の生年月日がマスタと相違／","")&amp;IF(AND($L883&lt;&gt;"",INDEX(職員マスタ!$G$6:$G$405,$AP883)&lt;&gt;"",$L883&lt;&gt;INDEX(職員マスタ!$G$6:$G$405,$AP883)),"時短開始日がマスタと相違／","")&amp;IF(AND($M883&lt;&gt;"",INDEX(職員マスタ!$H$6:$H$405,$AP883)&lt;&gt;"",$M883&lt;&gt;INDEX(職員マスタ!$H$6:$H$405,$AP883)),"時短終了日がマスタと相違／","")))&amp;IF(AND($B883&lt;&gt;"",$E883=""),"報酬額が未入力／","")&amp;IF(N($U883)&gt;0,"申請書に入力エラーが残っています／","")&amp;IF(AND($B883&lt;&gt;"",$AQ883&lt;&gt;""),IF(COUNTIFS($B$6:$B$3005,$B883,$C$6:$C$3005,$C883,$D$6:$D$3005,$D883)&gt;1,"同じ月の請求が重複しています／",""),"")&amp;IF(AND(N($E883)&gt;0,$AB883&lt;&gt;"",$AB883&lt;&gt;"×",$AE883=0,$AD883=""),"計算額が下限以下のため不支給／",""))</f>
        <v/>
      </c>
      <c r="AN883" s="12" t="n"/>
      <c r="AO883" s="14">
        <f>IF($AF883="保留中",COUNTIF($AF$6:$AF883,"保留中"),"")</f>
        <v/>
      </c>
      <c r="AP883" s="14">
        <f>IF($AQ883="","",IF(SUMPRODUCT(MAX((職員マスタ!$A$6:$A$405=$B883)*(((職員マスタ!$G$6:$G$405="")+(職員マスタ!$G$6:$G$405&lt;=EOMONTH($AQ883,0)))&gt;0)*(((職員マスタ!$H$6:$H$405="")+(職員マスタ!$H$6:$H$405&gt;=$AQ883))&gt;0)*(ROW(職員マスタ!$A$6:$A$405)-5)))&gt;0,SUMPRODUCT(MAX((職員マスタ!$A$6:$A$405=$B883)*(((職員マスタ!$G$6:$G$405="")+(職員マスタ!$G$6:$G$405&lt;=EOMONTH($AQ883,0)))&gt;0)*(((職員マスタ!$H$6:$H$405="")+(職員マスタ!$H$6:$H$405&gt;=$AQ883))&gt;0)*(ROW(職員マスタ!$A$6:$A$405)-5))),IFERROR(MATCH($B883,職員マスタ!$A$6:$A$405,0),"")))</f>
        <v/>
      </c>
      <c r="AQ883" s="16">
        <f>IF(OR($B883="",$C883="",$D883=""),"",DATE($C883+2018,$D883,1))</f>
        <v/>
      </c>
    </row>
    <row r="884">
      <c r="A884" s="11" t="n"/>
      <c r="B884" s="12" t="n"/>
      <c r="C884" s="12" t="n"/>
      <c r="D884" s="12" t="n"/>
      <c r="E884" s="13" t="n"/>
      <c r="F884" s="12" t="n"/>
      <c r="G884" s="13" t="n"/>
      <c r="H884" s="12" t="n"/>
      <c r="I884" s="12" t="n"/>
      <c r="J884" s="12" t="n"/>
      <c r="K884" s="12" t="n"/>
      <c r="L884" s="11" t="n"/>
      <c r="M884" s="11" t="n"/>
      <c r="N884" s="11" t="n"/>
      <c r="O884" s="11" t="n"/>
      <c r="P884" s="12" t="n"/>
      <c r="Q884" s="11" t="n"/>
      <c r="R884" s="12" t="n"/>
      <c r="S884" s="11" t="n"/>
      <c r="T884" s="12" t="n"/>
      <c r="U884" s="12" t="n"/>
      <c r="V884" s="12" t="n"/>
      <c r="W884" s="13" t="n"/>
      <c r="X884" s="14">
        <f>IF($AP884="",IF($B884="","",$H884),IF(INDEX(職員マスタ!$B$6:$B$405,$AP884)="",$H884,INDEX(職員マスタ!$B$6:$B$405,$AP884)))</f>
        <v/>
      </c>
      <c r="Y884" s="14">
        <f>IF($AP884="",IF($B884="","",$R884),IF(INDEX(職員マスタ!$C$6:$C$405,$AP884)="",$R884,INDEX(職員マスタ!$C$6:$C$405,$AP884)))</f>
        <v/>
      </c>
      <c r="Z884" s="14">
        <f>IF($AQ884="","","R"&amp;$C884&amp;"."&amp;$D884)</f>
        <v/>
      </c>
      <c r="AA884" s="15">
        <f>IF(IF($AP884="",FALSE,INDEX(職員マスタ!$K$6:$K$405,$AP884)&lt;&gt;""),INDEX(職員マスタ!$K$6:$K$405,$AP884),IF(N($W884)&gt;0,$W884,""))</f>
        <v/>
      </c>
      <c r="AB884" s="14">
        <f>IF(OR($E884="",$AA884=""),"",IF($E884&gt;=$AA884,"×",IF($E884&gt;=$AA884*設定!$C$5,"△","○")))</f>
        <v/>
      </c>
      <c r="AC884" s="15">
        <f>IF($AB884="","",IF($AB884="×",0,IF($AB884="○",ROUNDDOWN($E884*設定!$C$4,0),ROUNDDOWN($E884*ROUND((9*$AA884-9*$E884)/(10*$E884),4),0))))</f>
        <v/>
      </c>
      <c r="AD884" s="13" t="n"/>
      <c r="AE884" s="15">
        <f>IF($B884="","",IF($AD884&lt;&gt;"",$AD884,IF($AC884="","",IF($AC884&lt;=設定!$C$3,0,$AC884))))</f>
        <v/>
      </c>
      <c r="AF884" s="14">
        <f>IF($B884="","",IF(AND($AG884&lt;&gt;"",$AI884="",$AL884=""),"保留中",IF($AL884&lt;&gt;"",IF(N($AE884)&gt;0,"支給済","不支給"),IF($AE884="","要確認",IF($AE884=0,"不支給","未処理")))))</f>
        <v/>
      </c>
      <c r="AG884" s="12" t="n"/>
      <c r="AH884" s="11" t="n"/>
      <c r="AI884" s="11" t="n"/>
      <c r="AJ884" s="11" t="n"/>
      <c r="AK884" s="14">
        <f>IF(AND($AF884="保留中",$AH884&lt;&gt;""),TODAY()-$AH884,"")</f>
        <v/>
      </c>
      <c r="AL884" s="12" t="n"/>
      <c r="AM884" s="14">
        <f>IF($B884="","",IF($AQ884="","対象年月が未入力／","")&amp;IF($B884="","",IF($AP884="","職員マスタに未登録の職員番号／",IF($AA884="","標準報酬月額が未登録／","")&amp;IF(AND($AQ884&lt;&gt;"",OR(AND(INDEX(職員マスタ!$G$6:$G$405,$AP884)&lt;&gt;"",INDEX(職員マスタ!$G$6:$G$405,$AP884)&gt;EOMONTH($AQ884,0)),AND(INDEX(職員マスタ!$H$6:$H$405,$AP884)&lt;&gt;"",INDEX(職員マスタ!$H$6:$H$405,$AP884)&lt;$AQ884))),"対象月が時短期間外／","")&amp;IF(AND(INDEX(職員マスタ!$K$6:$K$405,$AP884)&lt;&gt;"",N($W884)&gt;0,INDEX(職員マスタ!$K$6:$K$405,$AP884)&lt;&gt;$W884),"標準報酬月額が申請書と相違（台帳"&amp;TEXT(INDEX(職員マスタ!$K$6:$K$405,$AP884),"#,##0")&amp;"円／申請書"&amp;TEXT($W884,"#,##0")&amp;"円）／","")&amp;IF(AND(INDEX(職員マスタ!$F$6:$F$405,$AP884)&lt;&gt;"",$AQ884&lt;&gt;"",INDEX(職員マスタ!$F$6:$F$405,$AP884)&lt;$AQ884),"対象月に子が2歳到達済／","")&amp;IF(AND($H884&lt;&gt;"",INDEX(職員マスタ!$B$6:$B$405,$AP884)&lt;&gt;"",SUBSTITUTE(SUBSTITUTE($H884," ","")," ","")&lt;&gt;SUBSTITUTE(SUBSTITUTE(INDEX(職員マスタ!$B$6:$B$405,$AP884)," ","")," ","")),"氏名がマスタと相違／","")&amp;IF(AND($Q884&lt;&gt;"",INDEX(職員マスタ!$E$6:$E$405,$AP884)&lt;&gt;"",$Q884&lt;&gt;INDEX(職員マスタ!$E$6:$E$405,$AP884)),"子の生年月日がマスタと相違／","")&amp;IF(AND($L884&lt;&gt;"",INDEX(職員マスタ!$G$6:$G$405,$AP884)&lt;&gt;"",$L884&lt;&gt;INDEX(職員マスタ!$G$6:$G$405,$AP884)),"時短開始日がマスタと相違／","")&amp;IF(AND($M884&lt;&gt;"",INDEX(職員マスタ!$H$6:$H$405,$AP884)&lt;&gt;"",$M884&lt;&gt;INDEX(職員マスタ!$H$6:$H$405,$AP884)),"時短終了日がマスタと相違／","")))&amp;IF(AND($B884&lt;&gt;"",$E884=""),"報酬額が未入力／","")&amp;IF(N($U884)&gt;0,"申請書に入力エラーが残っています／","")&amp;IF(AND($B884&lt;&gt;"",$AQ884&lt;&gt;""),IF(COUNTIFS($B$6:$B$3005,$B884,$C$6:$C$3005,$C884,$D$6:$D$3005,$D884)&gt;1,"同じ月の請求が重複しています／",""),"")&amp;IF(AND(N($E884)&gt;0,$AB884&lt;&gt;"",$AB884&lt;&gt;"×",$AE884=0,$AD884=""),"計算額が下限以下のため不支給／",""))</f>
        <v/>
      </c>
      <c r="AN884" s="12" t="n"/>
      <c r="AO884" s="14">
        <f>IF($AF884="保留中",COUNTIF($AF$6:$AF884,"保留中"),"")</f>
        <v/>
      </c>
      <c r="AP884" s="14">
        <f>IF($AQ884="","",IF(SUMPRODUCT(MAX((職員マスタ!$A$6:$A$405=$B884)*(((職員マスタ!$G$6:$G$405="")+(職員マスタ!$G$6:$G$405&lt;=EOMONTH($AQ884,0)))&gt;0)*(((職員マスタ!$H$6:$H$405="")+(職員マスタ!$H$6:$H$405&gt;=$AQ884))&gt;0)*(ROW(職員マスタ!$A$6:$A$405)-5)))&gt;0,SUMPRODUCT(MAX((職員マスタ!$A$6:$A$405=$B884)*(((職員マスタ!$G$6:$G$405="")+(職員マスタ!$G$6:$G$405&lt;=EOMONTH($AQ884,0)))&gt;0)*(((職員マスタ!$H$6:$H$405="")+(職員マスタ!$H$6:$H$405&gt;=$AQ884))&gt;0)*(ROW(職員マスタ!$A$6:$A$405)-5))),IFERROR(MATCH($B884,職員マスタ!$A$6:$A$405,0),"")))</f>
        <v/>
      </c>
      <c r="AQ884" s="16">
        <f>IF(OR($B884="",$C884="",$D884=""),"",DATE($C884+2018,$D884,1))</f>
        <v/>
      </c>
    </row>
    <row r="885">
      <c r="A885" s="11" t="n"/>
      <c r="B885" s="12" t="n"/>
      <c r="C885" s="12" t="n"/>
      <c r="D885" s="12" t="n"/>
      <c r="E885" s="13" t="n"/>
      <c r="F885" s="12" t="n"/>
      <c r="G885" s="13" t="n"/>
      <c r="H885" s="12" t="n"/>
      <c r="I885" s="12" t="n"/>
      <c r="J885" s="12" t="n"/>
      <c r="K885" s="12" t="n"/>
      <c r="L885" s="11" t="n"/>
      <c r="M885" s="11" t="n"/>
      <c r="N885" s="11" t="n"/>
      <c r="O885" s="11" t="n"/>
      <c r="P885" s="12" t="n"/>
      <c r="Q885" s="11" t="n"/>
      <c r="R885" s="12" t="n"/>
      <c r="S885" s="11" t="n"/>
      <c r="T885" s="12" t="n"/>
      <c r="U885" s="12" t="n"/>
      <c r="V885" s="12" t="n"/>
      <c r="W885" s="13" t="n"/>
      <c r="X885" s="14">
        <f>IF($AP885="",IF($B885="","",$H885),IF(INDEX(職員マスタ!$B$6:$B$405,$AP885)="",$H885,INDEX(職員マスタ!$B$6:$B$405,$AP885)))</f>
        <v/>
      </c>
      <c r="Y885" s="14">
        <f>IF($AP885="",IF($B885="","",$R885),IF(INDEX(職員マスタ!$C$6:$C$405,$AP885)="",$R885,INDEX(職員マスタ!$C$6:$C$405,$AP885)))</f>
        <v/>
      </c>
      <c r="Z885" s="14">
        <f>IF($AQ885="","","R"&amp;$C885&amp;"."&amp;$D885)</f>
        <v/>
      </c>
      <c r="AA885" s="15">
        <f>IF(IF($AP885="",FALSE,INDEX(職員マスタ!$K$6:$K$405,$AP885)&lt;&gt;""),INDEX(職員マスタ!$K$6:$K$405,$AP885),IF(N($W885)&gt;0,$W885,""))</f>
        <v/>
      </c>
      <c r="AB885" s="14">
        <f>IF(OR($E885="",$AA885=""),"",IF($E885&gt;=$AA885,"×",IF($E885&gt;=$AA885*設定!$C$5,"△","○")))</f>
        <v/>
      </c>
      <c r="AC885" s="15">
        <f>IF($AB885="","",IF($AB885="×",0,IF($AB885="○",ROUNDDOWN($E885*設定!$C$4,0),ROUNDDOWN($E885*ROUND((9*$AA885-9*$E885)/(10*$E885),4),0))))</f>
        <v/>
      </c>
      <c r="AD885" s="13" t="n"/>
      <c r="AE885" s="15">
        <f>IF($B885="","",IF($AD885&lt;&gt;"",$AD885,IF($AC885="","",IF($AC885&lt;=設定!$C$3,0,$AC885))))</f>
        <v/>
      </c>
      <c r="AF885" s="14">
        <f>IF($B885="","",IF(AND($AG885&lt;&gt;"",$AI885="",$AL885=""),"保留中",IF($AL885&lt;&gt;"",IF(N($AE885)&gt;0,"支給済","不支給"),IF($AE885="","要確認",IF($AE885=0,"不支給","未処理")))))</f>
        <v/>
      </c>
      <c r="AG885" s="12" t="n"/>
      <c r="AH885" s="11" t="n"/>
      <c r="AI885" s="11" t="n"/>
      <c r="AJ885" s="11" t="n"/>
      <c r="AK885" s="14">
        <f>IF(AND($AF885="保留中",$AH885&lt;&gt;""),TODAY()-$AH885,"")</f>
        <v/>
      </c>
      <c r="AL885" s="12" t="n"/>
      <c r="AM885" s="14">
        <f>IF($B885="","",IF($AQ885="","対象年月が未入力／","")&amp;IF($B885="","",IF($AP885="","職員マスタに未登録の職員番号／",IF($AA885="","標準報酬月額が未登録／","")&amp;IF(AND($AQ885&lt;&gt;"",OR(AND(INDEX(職員マスタ!$G$6:$G$405,$AP885)&lt;&gt;"",INDEX(職員マスタ!$G$6:$G$405,$AP885)&gt;EOMONTH($AQ885,0)),AND(INDEX(職員マスタ!$H$6:$H$405,$AP885)&lt;&gt;"",INDEX(職員マスタ!$H$6:$H$405,$AP885)&lt;$AQ885))),"対象月が時短期間外／","")&amp;IF(AND(INDEX(職員マスタ!$K$6:$K$405,$AP885)&lt;&gt;"",N($W885)&gt;0,INDEX(職員マスタ!$K$6:$K$405,$AP885)&lt;&gt;$W885),"標準報酬月額が申請書と相違（台帳"&amp;TEXT(INDEX(職員マスタ!$K$6:$K$405,$AP885),"#,##0")&amp;"円／申請書"&amp;TEXT($W885,"#,##0")&amp;"円）／","")&amp;IF(AND(INDEX(職員マスタ!$F$6:$F$405,$AP885)&lt;&gt;"",$AQ885&lt;&gt;"",INDEX(職員マスタ!$F$6:$F$405,$AP885)&lt;$AQ885),"対象月に子が2歳到達済／","")&amp;IF(AND($H885&lt;&gt;"",INDEX(職員マスタ!$B$6:$B$405,$AP885)&lt;&gt;"",SUBSTITUTE(SUBSTITUTE($H885," ","")," ","")&lt;&gt;SUBSTITUTE(SUBSTITUTE(INDEX(職員マスタ!$B$6:$B$405,$AP885)," ","")," ","")),"氏名がマスタと相違／","")&amp;IF(AND($Q885&lt;&gt;"",INDEX(職員マスタ!$E$6:$E$405,$AP885)&lt;&gt;"",$Q885&lt;&gt;INDEX(職員マスタ!$E$6:$E$405,$AP885)),"子の生年月日がマスタと相違／","")&amp;IF(AND($L885&lt;&gt;"",INDEX(職員マスタ!$G$6:$G$405,$AP885)&lt;&gt;"",$L885&lt;&gt;INDEX(職員マスタ!$G$6:$G$405,$AP885)),"時短開始日がマスタと相違／","")&amp;IF(AND($M885&lt;&gt;"",INDEX(職員マスタ!$H$6:$H$405,$AP885)&lt;&gt;"",$M885&lt;&gt;INDEX(職員マスタ!$H$6:$H$405,$AP885)),"時短終了日がマスタと相違／","")))&amp;IF(AND($B885&lt;&gt;"",$E885=""),"報酬額が未入力／","")&amp;IF(N($U885)&gt;0,"申請書に入力エラーが残っています／","")&amp;IF(AND($B885&lt;&gt;"",$AQ885&lt;&gt;""),IF(COUNTIFS($B$6:$B$3005,$B885,$C$6:$C$3005,$C885,$D$6:$D$3005,$D885)&gt;1,"同じ月の請求が重複しています／",""),"")&amp;IF(AND(N($E885)&gt;0,$AB885&lt;&gt;"",$AB885&lt;&gt;"×",$AE885=0,$AD885=""),"計算額が下限以下のため不支給／",""))</f>
        <v/>
      </c>
      <c r="AN885" s="12" t="n"/>
      <c r="AO885" s="14">
        <f>IF($AF885="保留中",COUNTIF($AF$6:$AF885,"保留中"),"")</f>
        <v/>
      </c>
      <c r="AP885" s="14">
        <f>IF($AQ885="","",IF(SUMPRODUCT(MAX((職員マスタ!$A$6:$A$405=$B885)*(((職員マスタ!$G$6:$G$405="")+(職員マスタ!$G$6:$G$405&lt;=EOMONTH($AQ885,0)))&gt;0)*(((職員マスタ!$H$6:$H$405="")+(職員マスタ!$H$6:$H$405&gt;=$AQ885))&gt;0)*(ROW(職員マスタ!$A$6:$A$405)-5)))&gt;0,SUMPRODUCT(MAX((職員マスタ!$A$6:$A$405=$B885)*(((職員マスタ!$G$6:$G$405="")+(職員マスタ!$G$6:$G$405&lt;=EOMONTH($AQ885,0)))&gt;0)*(((職員マスタ!$H$6:$H$405="")+(職員マスタ!$H$6:$H$405&gt;=$AQ885))&gt;0)*(ROW(職員マスタ!$A$6:$A$405)-5))),IFERROR(MATCH($B885,職員マスタ!$A$6:$A$405,0),"")))</f>
        <v/>
      </c>
      <c r="AQ885" s="16">
        <f>IF(OR($B885="",$C885="",$D885=""),"",DATE($C885+2018,$D885,1))</f>
        <v/>
      </c>
    </row>
    <row r="886">
      <c r="A886" s="11" t="n"/>
      <c r="B886" s="12" t="n"/>
      <c r="C886" s="12" t="n"/>
      <c r="D886" s="12" t="n"/>
      <c r="E886" s="13" t="n"/>
      <c r="F886" s="12" t="n"/>
      <c r="G886" s="13" t="n"/>
      <c r="H886" s="12" t="n"/>
      <c r="I886" s="12" t="n"/>
      <c r="J886" s="12" t="n"/>
      <c r="K886" s="12" t="n"/>
      <c r="L886" s="11" t="n"/>
      <c r="M886" s="11" t="n"/>
      <c r="N886" s="11" t="n"/>
      <c r="O886" s="11" t="n"/>
      <c r="P886" s="12" t="n"/>
      <c r="Q886" s="11" t="n"/>
      <c r="R886" s="12" t="n"/>
      <c r="S886" s="11" t="n"/>
      <c r="T886" s="12" t="n"/>
      <c r="U886" s="12" t="n"/>
      <c r="V886" s="12" t="n"/>
      <c r="W886" s="13" t="n"/>
      <c r="X886" s="14">
        <f>IF($AP886="",IF($B886="","",$H886),IF(INDEX(職員マスタ!$B$6:$B$405,$AP886)="",$H886,INDEX(職員マスタ!$B$6:$B$405,$AP886)))</f>
        <v/>
      </c>
      <c r="Y886" s="14">
        <f>IF($AP886="",IF($B886="","",$R886),IF(INDEX(職員マスタ!$C$6:$C$405,$AP886)="",$R886,INDEX(職員マスタ!$C$6:$C$405,$AP886)))</f>
        <v/>
      </c>
      <c r="Z886" s="14">
        <f>IF($AQ886="","","R"&amp;$C886&amp;"."&amp;$D886)</f>
        <v/>
      </c>
      <c r="AA886" s="15">
        <f>IF(IF($AP886="",FALSE,INDEX(職員マスタ!$K$6:$K$405,$AP886)&lt;&gt;""),INDEX(職員マスタ!$K$6:$K$405,$AP886),IF(N($W886)&gt;0,$W886,""))</f>
        <v/>
      </c>
      <c r="AB886" s="14">
        <f>IF(OR($E886="",$AA886=""),"",IF($E886&gt;=$AA886,"×",IF($E886&gt;=$AA886*設定!$C$5,"△","○")))</f>
        <v/>
      </c>
      <c r="AC886" s="15">
        <f>IF($AB886="","",IF($AB886="×",0,IF($AB886="○",ROUNDDOWN($E886*設定!$C$4,0),ROUNDDOWN($E886*ROUND((9*$AA886-9*$E886)/(10*$E886),4),0))))</f>
        <v/>
      </c>
      <c r="AD886" s="13" t="n"/>
      <c r="AE886" s="15">
        <f>IF($B886="","",IF($AD886&lt;&gt;"",$AD886,IF($AC886="","",IF($AC886&lt;=設定!$C$3,0,$AC886))))</f>
        <v/>
      </c>
      <c r="AF886" s="14">
        <f>IF($B886="","",IF(AND($AG886&lt;&gt;"",$AI886="",$AL886=""),"保留中",IF($AL886&lt;&gt;"",IF(N($AE886)&gt;0,"支給済","不支給"),IF($AE886="","要確認",IF($AE886=0,"不支給","未処理")))))</f>
        <v/>
      </c>
      <c r="AG886" s="12" t="n"/>
      <c r="AH886" s="11" t="n"/>
      <c r="AI886" s="11" t="n"/>
      <c r="AJ886" s="11" t="n"/>
      <c r="AK886" s="14">
        <f>IF(AND($AF886="保留中",$AH886&lt;&gt;""),TODAY()-$AH886,"")</f>
        <v/>
      </c>
      <c r="AL886" s="12" t="n"/>
      <c r="AM886" s="14">
        <f>IF($B886="","",IF($AQ886="","対象年月が未入力／","")&amp;IF($B886="","",IF($AP886="","職員マスタに未登録の職員番号／",IF($AA886="","標準報酬月額が未登録／","")&amp;IF(AND($AQ886&lt;&gt;"",OR(AND(INDEX(職員マスタ!$G$6:$G$405,$AP886)&lt;&gt;"",INDEX(職員マスタ!$G$6:$G$405,$AP886)&gt;EOMONTH($AQ886,0)),AND(INDEX(職員マスタ!$H$6:$H$405,$AP886)&lt;&gt;"",INDEX(職員マスタ!$H$6:$H$405,$AP886)&lt;$AQ886))),"対象月が時短期間外／","")&amp;IF(AND(INDEX(職員マスタ!$K$6:$K$405,$AP886)&lt;&gt;"",N($W886)&gt;0,INDEX(職員マスタ!$K$6:$K$405,$AP886)&lt;&gt;$W886),"標準報酬月額が申請書と相違（台帳"&amp;TEXT(INDEX(職員マスタ!$K$6:$K$405,$AP886),"#,##0")&amp;"円／申請書"&amp;TEXT($W886,"#,##0")&amp;"円）／","")&amp;IF(AND(INDEX(職員マスタ!$F$6:$F$405,$AP886)&lt;&gt;"",$AQ886&lt;&gt;"",INDEX(職員マスタ!$F$6:$F$405,$AP886)&lt;$AQ886),"対象月に子が2歳到達済／","")&amp;IF(AND($H886&lt;&gt;"",INDEX(職員マスタ!$B$6:$B$405,$AP886)&lt;&gt;"",SUBSTITUTE(SUBSTITUTE($H886," ","")," ","")&lt;&gt;SUBSTITUTE(SUBSTITUTE(INDEX(職員マスタ!$B$6:$B$405,$AP886)," ","")," ","")),"氏名がマスタと相違／","")&amp;IF(AND($Q886&lt;&gt;"",INDEX(職員マスタ!$E$6:$E$405,$AP886)&lt;&gt;"",$Q886&lt;&gt;INDEX(職員マスタ!$E$6:$E$405,$AP886)),"子の生年月日がマスタと相違／","")&amp;IF(AND($L886&lt;&gt;"",INDEX(職員マスタ!$G$6:$G$405,$AP886)&lt;&gt;"",$L886&lt;&gt;INDEX(職員マスタ!$G$6:$G$405,$AP886)),"時短開始日がマスタと相違／","")&amp;IF(AND($M886&lt;&gt;"",INDEX(職員マスタ!$H$6:$H$405,$AP886)&lt;&gt;"",$M886&lt;&gt;INDEX(職員マスタ!$H$6:$H$405,$AP886)),"時短終了日がマスタと相違／","")))&amp;IF(AND($B886&lt;&gt;"",$E886=""),"報酬額が未入力／","")&amp;IF(N($U886)&gt;0,"申請書に入力エラーが残っています／","")&amp;IF(AND($B886&lt;&gt;"",$AQ886&lt;&gt;""),IF(COUNTIFS($B$6:$B$3005,$B886,$C$6:$C$3005,$C886,$D$6:$D$3005,$D886)&gt;1,"同じ月の請求が重複しています／",""),"")&amp;IF(AND(N($E886)&gt;0,$AB886&lt;&gt;"",$AB886&lt;&gt;"×",$AE886=0,$AD886=""),"計算額が下限以下のため不支給／",""))</f>
        <v/>
      </c>
      <c r="AN886" s="12" t="n"/>
      <c r="AO886" s="14">
        <f>IF($AF886="保留中",COUNTIF($AF$6:$AF886,"保留中"),"")</f>
        <v/>
      </c>
      <c r="AP886" s="14">
        <f>IF($AQ886="","",IF(SUMPRODUCT(MAX((職員マスタ!$A$6:$A$405=$B886)*(((職員マスタ!$G$6:$G$405="")+(職員マスタ!$G$6:$G$405&lt;=EOMONTH($AQ886,0)))&gt;0)*(((職員マスタ!$H$6:$H$405="")+(職員マスタ!$H$6:$H$405&gt;=$AQ886))&gt;0)*(ROW(職員マスタ!$A$6:$A$405)-5)))&gt;0,SUMPRODUCT(MAX((職員マスタ!$A$6:$A$405=$B886)*(((職員マスタ!$G$6:$G$405="")+(職員マスタ!$G$6:$G$405&lt;=EOMONTH($AQ886,0)))&gt;0)*(((職員マスタ!$H$6:$H$405="")+(職員マスタ!$H$6:$H$405&gt;=$AQ886))&gt;0)*(ROW(職員マスタ!$A$6:$A$405)-5))),IFERROR(MATCH($B886,職員マスタ!$A$6:$A$405,0),"")))</f>
        <v/>
      </c>
      <c r="AQ886" s="16">
        <f>IF(OR($B886="",$C886="",$D886=""),"",DATE($C886+2018,$D886,1))</f>
        <v/>
      </c>
    </row>
    <row r="887">
      <c r="A887" s="11" t="n"/>
      <c r="B887" s="12" t="n"/>
      <c r="C887" s="12" t="n"/>
      <c r="D887" s="12" t="n"/>
      <c r="E887" s="13" t="n"/>
      <c r="F887" s="12" t="n"/>
      <c r="G887" s="13" t="n"/>
      <c r="H887" s="12" t="n"/>
      <c r="I887" s="12" t="n"/>
      <c r="J887" s="12" t="n"/>
      <c r="K887" s="12" t="n"/>
      <c r="L887" s="11" t="n"/>
      <c r="M887" s="11" t="n"/>
      <c r="N887" s="11" t="n"/>
      <c r="O887" s="11" t="n"/>
      <c r="P887" s="12" t="n"/>
      <c r="Q887" s="11" t="n"/>
      <c r="R887" s="12" t="n"/>
      <c r="S887" s="11" t="n"/>
      <c r="T887" s="12" t="n"/>
      <c r="U887" s="12" t="n"/>
      <c r="V887" s="12" t="n"/>
      <c r="W887" s="13" t="n"/>
      <c r="X887" s="14">
        <f>IF($AP887="",IF($B887="","",$H887),IF(INDEX(職員マスタ!$B$6:$B$405,$AP887)="",$H887,INDEX(職員マスタ!$B$6:$B$405,$AP887)))</f>
        <v/>
      </c>
      <c r="Y887" s="14">
        <f>IF($AP887="",IF($B887="","",$R887),IF(INDEX(職員マスタ!$C$6:$C$405,$AP887)="",$R887,INDEX(職員マスタ!$C$6:$C$405,$AP887)))</f>
        <v/>
      </c>
      <c r="Z887" s="14">
        <f>IF($AQ887="","","R"&amp;$C887&amp;"."&amp;$D887)</f>
        <v/>
      </c>
      <c r="AA887" s="15">
        <f>IF(IF($AP887="",FALSE,INDEX(職員マスタ!$K$6:$K$405,$AP887)&lt;&gt;""),INDEX(職員マスタ!$K$6:$K$405,$AP887),IF(N($W887)&gt;0,$W887,""))</f>
        <v/>
      </c>
      <c r="AB887" s="14">
        <f>IF(OR($E887="",$AA887=""),"",IF($E887&gt;=$AA887,"×",IF($E887&gt;=$AA887*設定!$C$5,"△","○")))</f>
        <v/>
      </c>
      <c r="AC887" s="15">
        <f>IF($AB887="","",IF($AB887="×",0,IF($AB887="○",ROUNDDOWN($E887*設定!$C$4,0),ROUNDDOWN($E887*ROUND((9*$AA887-9*$E887)/(10*$E887),4),0))))</f>
        <v/>
      </c>
      <c r="AD887" s="13" t="n"/>
      <c r="AE887" s="15">
        <f>IF($B887="","",IF($AD887&lt;&gt;"",$AD887,IF($AC887="","",IF($AC887&lt;=設定!$C$3,0,$AC887))))</f>
        <v/>
      </c>
      <c r="AF887" s="14">
        <f>IF($B887="","",IF(AND($AG887&lt;&gt;"",$AI887="",$AL887=""),"保留中",IF($AL887&lt;&gt;"",IF(N($AE887)&gt;0,"支給済","不支給"),IF($AE887="","要確認",IF($AE887=0,"不支給","未処理")))))</f>
        <v/>
      </c>
      <c r="AG887" s="12" t="n"/>
      <c r="AH887" s="11" t="n"/>
      <c r="AI887" s="11" t="n"/>
      <c r="AJ887" s="11" t="n"/>
      <c r="AK887" s="14">
        <f>IF(AND($AF887="保留中",$AH887&lt;&gt;""),TODAY()-$AH887,"")</f>
        <v/>
      </c>
      <c r="AL887" s="12" t="n"/>
      <c r="AM887" s="14">
        <f>IF($B887="","",IF($AQ887="","対象年月が未入力／","")&amp;IF($B887="","",IF($AP887="","職員マスタに未登録の職員番号／",IF($AA887="","標準報酬月額が未登録／","")&amp;IF(AND($AQ887&lt;&gt;"",OR(AND(INDEX(職員マスタ!$G$6:$G$405,$AP887)&lt;&gt;"",INDEX(職員マスタ!$G$6:$G$405,$AP887)&gt;EOMONTH($AQ887,0)),AND(INDEX(職員マスタ!$H$6:$H$405,$AP887)&lt;&gt;"",INDEX(職員マスタ!$H$6:$H$405,$AP887)&lt;$AQ887))),"対象月が時短期間外／","")&amp;IF(AND(INDEX(職員マスタ!$K$6:$K$405,$AP887)&lt;&gt;"",N($W887)&gt;0,INDEX(職員マスタ!$K$6:$K$405,$AP887)&lt;&gt;$W887),"標準報酬月額が申請書と相違（台帳"&amp;TEXT(INDEX(職員マスタ!$K$6:$K$405,$AP887),"#,##0")&amp;"円／申請書"&amp;TEXT($W887,"#,##0")&amp;"円）／","")&amp;IF(AND(INDEX(職員マスタ!$F$6:$F$405,$AP887)&lt;&gt;"",$AQ887&lt;&gt;"",INDEX(職員マスタ!$F$6:$F$405,$AP887)&lt;$AQ887),"対象月に子が2歳到達済／","")&amp;IF(AND($H887&lt;&gt;"",INDEX(職員マスタ!$B$6:$B$405,$AP887)&lt;&gt;"",SUBSTITUTE(SUBSTITUTE($H887," ","")," ","")&lt;&gt;SUBSTITUTE(SUBSTITUTE(INDEX(職員マスタ!$B$6:$B$405,$AP887)," ","")," ","")),"氏名がマスタと相違／","")&amp;IF(AND($Q887&lt;&gt;"",INDEX(職員マスタ!$E$6:$E$405,$AP887)&lt;&gt;"",$Q887&lt;&gt;INDEX(職員マスタ!$E$6:$E$405,$AP887)),"子の生年月日がマスタと相違／","")&amp;IF(AND($L887&lt;&gt;"",INDEX(職員マスタ!$G$6:$G$405,$AP887)&lt;&gt;"",$L887&lt;&gt;INDEX(職員マスタ!$G$6:$G$405,$AP887)),"時短開始日がマスタと相違／","")&amp;IF(AND($M887&lt;&gt;"",INDEX(職員マスタ!$H$6:$H$405,$AP887)&lt;&gt;"",$M887&lt;&gt;INDEX(職員マスタ!$H$6:$H$405,$AP887)),"時短終了日がマスタと相違／","")))&amp;IF(AND($B887&lt;&gt;"",$E887=""),"報酬額が未入力／","")&amp;IF(N($U887)&gt;0,"申請書に入力エラーが残っています／","")&amp;IF(AND($B887&lt;&gt;"",$AQ887&lt;&gt;""),IF(COUNTIFS($B$6:$B$3005,$B887,$C$6:$C$3005,$C887,$D$6:$D$3005,$D887)&gt;1,"同じ月の請求が重複しています／",""),"")&amp;IF(AND(N($E887)&gt;0,$AB887&lt;&gt;"",$AB887&lt;&gt;"×",$AE887=0,$AD887=""),"計算額が下限以下のため不支給／",""))</f>
        <v/>
      </c>
      <c r="AN887" s="12" t="n"/>
      <c r="AO887" s="14">
        <f>IF($AF887="保留中",COUNTIF($AF$6:$AF887,"保留中"),"")</f>
        <v/>
      </c>
      <c r="AP887" s="14">
        <f>IF($AQ887="","",IF(SUMPRODUCT(MAX((職員マスタ!$A$6:$A$405=$B887)*(((職員マスタ!$G$6:$G$405="")+(職員マスタ!$G$6:$G$405&lt;=EOMONTH($AQ887,0)))&gt;0)*(((職員マスタ!$H$6:$H$405="")+(職員マスタ!$H$6:$H$405&gt;=$AQ887))&gt;0)*(ROW(職員マスタ!$A$6:$A$405)-5)))&gt;0,SUMPRODUCT(MAX((職員マスタ!$A$6:$A$405=$B887)*(((職員マスタ!$G$6:$G$405="")+(職員マスタ!$G$6:$G$405&lt;=EOMONTH($AQ887,0)))&gt;0)*(((職員マスタ!$H$6:$H$405="")+(職員マスタ!$H$6:$H$405&gt;=$AQ887))&gt;0)*(ROW(職員マスタ!$A$6:$A$405)-5))),IFERROR(MATCH($B887,職員マスタ!$A$6:$A$405,0),"")))</f>
        <v/>
      </c>
      <c r="AQ887" s="16">
        <f>IF(OR($B887="",$C887="",$D887=""),"",DATE($C887+2018,$D887,1))</f>
        <v/>
      </c>
    </row>
    <row r="888">
      <c r="A888" s="11" t="n"/>
      <c r="B888" s="12" t="n"/>
      <c r="C888" s="12" t="n"/>
      <c r="D888" s="12" t="n"/>
      <c r="E888" s="13" t="n"/>
      <c r="F888" s="12" t="n"/>
      <c r="G888" s="13" t="n"/>
      <c r="H888" s="12" t="n"/>
      <c r="I888" s="12" t="n"/>
      <c r="J888" s="12" t="n"/>
      <c r="K888" s="12" t="n"/>
      <c r="L888" s="11" t="n"/>
      <c r="M888" s="11" t="n"/>
      <c r="N888" s="11" t="n"/>
      <c r="O888" s="11" t="n"/>
      <c r="P888" s="12" t="n"/>
      <c r="Q888" s="11" t="n"/>
      <c r="R888" s="12" t="n"/>
      <c r="S888" s="11" t="n"/>
      <c r="T888" s="12" t="n"/>
      <c r="U888" s="12" t="n"/>
      <c r="V888" s="12" t="n"/>
      <c r="W888" s="13" t="n"/>
      <c r="X888" s="14">
        <f>IF($AP888="",IF($B888="","",$H888),IF(INDEX(職員マスタ!$B$6:$B$405,$AP888)="",$H888,INDEX(職員マスタ!$B$6:$B$405,$AP888)))</f>
        <v/>
      </c>
      <c r="Y888" s="14">
        <f>IF($AP888="",IF($B888="","",$R888),IF(INDEX(職員マスタ!$C$6:$C$405,$AP888)="",$R888,INDEX(職員マスタ!$C$6:$C$405,$AP888)))</f>
        <v/>
      </c>
      <c r="Z888" s="14">
        <f>IF($AQ888="","","R"&amp;$C888&amp;"."&amp;$D888)</f>
        <v/>
      </c>
      <c r="AA888" s="15">
        <f>IF(IF($AP888="",FALSE,INDEX(職員マスタ!$K$6:$K$405,$AP888)&lt;&gt;""),INDEX(職員マスタ!$K$6:$K$405,$AP888),IF(N($W888)&gt;0,$W888,""))</f>
        <v/>
      </c>
      <c r="AB888" s="14">
        <f>IF(OR($E888="",$AA888=""),"",IF($E888&gt;=$AA888,"×",IF($E888&gt;=$AA888*設定!$C$5,"△","○")))</f>
        <v/>
      </c>
      <c r="AC888" s="15">
        <f>IF($AB888="","",IF($AB888="×",0,IF($AB888="○",ROUNDDOWN($E888*設定!$C$4,0),ROUNDDOWN($E888*ROUND((9*$AA888-9*$E888)/(10*$E888),4),0))))</f>
        <v/>
      </c>
      <c r="AD888" s="13" t="n"/>
      <c r="AE888" s="15">
        <f>IF($B888="","",IF($AD888&lt;&gt;"",$AD888,IF($AC888="","",IF($AC888&lt;=設定!$C$3,0,$AC888))))</f>
        <v/>
      </c>
      <c r="AF888" s="14">
        <f>IF($B888="","",IF(AND($AG888&lt;&gt;"",$AI888="",$AL888=""),"保留中",IF($AL888&lt;&gt;"",IF(N($AE888)&gt;0,"支給済","不支給"),IF($AE888="","要確認",IF($AE888=0,"不支給","未処理")))))</f>
        <v/>
      </c>
      <c r="AG888" s="12" t="n"/>
      <c r="AH888" s="11" t="n"/>
      <c r="AI888" s="11" t="n"/>
      <c r="AJ888" s="11" t="n"/>
      <c r="AK888" s="14">
        <f>IF(AND($AF888="保留中",$AH888&lt;&gt;""),TODAY()-$AH888,"")</f>
        <v/>
      </c>
      <c r="AL888" s="12" t="n"/>
      <c r="AM888" s="14">
        <f>IF($B888="","",IF($AQ888="","対象年月が未入力／","")&amp;IF($B888="","",IF($AP888="","職員マスタに未登録の職員番号／",IF($AA888="","標準報酬月額が未登録／","")&amp;IF(AND($AQ888&lt;&gt;"",OR(AND(INDEX(職員マスタ!$G$6:$G$405,$AP888)&lt;&gt;"",INDEX(職員マスタ!$G$6:$G$405,$AP888)&gt;EOMONTH($AQ888,0)),AND(INDEX(職員マスタ!$H$6:$H$405,$AP888)&lt;&gt;"",INDEX(職員マスタ!$H$6:$H$405,$AP888)&lt;$AQ888))),"対象月が時短期間外／","")&amp;IF(AND(INDEX(職員マスタ!$K$6:$K$405,$AP888)&lt;&gt;"",N($W888)&gt;0,INDEX(職員マスタ!$K$6:$K$405,$AP888)&lt;&gt;$W888),"標準報酬月額が申請書と相違（台帳"&amp;TEXT(INDEX(職員マスタ!$K$6:$K$405,$AP888),"#,##0")&amp;"円／申請書"&amp;TEXT($W888,"#,##0")&amp;"円）／","")&amp;IF(AND(INDEX(職員マスタ!$F$6:$F$405,$AP888)&lt;&gt;"",$AQ888&lt;&gt;"",INDEX(職員マスタ!$F$6:$F$405,$AP888)&lt;$AQ888),"対象月に子が2歳到達済／","")&amp;IF(AND($H888&lt;&gt;"",INDEX(職員マスタ!$B$6:$B$405,$AP888)&lt;&gt;"",SUBSTITUTE(SUBSTITUTE($H888," ","")," ","")&lt;&gt;SUBSTITUTE(SUBSTITUTE(INDEX(職員マスタ!$B$6:$B$405,$AP888)," ","")," ","")),"氏名がマスタと相違／","")&amp;IF(AND($Q888&lt;&gt;"",INDEX(職員マスタ!$E$6:$E$405,$AP888)&lt;&gt;"",$Q888&lt;&gt;INDEX(職員マスタ!$E$6:$E$405,$AP888)),"子の生年月日がマスタと相違／","")&amp;IF(AND($L888&lt;&gt;"",INDEX(職員マスタ!$G$6:$G$405,$AP888)&lt;&gt;"",$L888&lt;&gt;INDEX(職員マスタ!$G$6:$G$405,$AP888)),"時短開始日がマスタと相違／","")&amp;IF(AND($M888&lt;&gt;"",INDEX(職員マスタ!$H$6:$H$405,$AP888)&lt;&gt;"",$M888&lt;&gt;INDEX(職員マスタ!$H$6:$H$405,$AP888)),"時短終了日がマスタと相違／","")))&amp;IF(AND($B888&lt;&gt;"",$E888=""),"報酬額が未入力／","")&amp;IF(N($U888)&gt;0,"申請書に入力エラーが残っています／","")&amp;IF(AND($B888&lt;&gt;"",$AQ888&lt;&gt;""),IF(COUNTIFS($B$6:$B$3005,$B888,$C$6:$C$3005,$C888,$D$6:$D$3005,$D888)&gt;1,"同じ月の請求が重複しています／",""),"")&amp;IF(AND(N($E888)&gt;0,$AB888&lt;&gt;"",$AB888&lt;&gt;"×",$AE888=0,$AD888=""),"計算額が下限以下のため不支給／",""))</f>
        <v/>
      </c>
      <c r="AN888" s="12" t="n"/>
      <c r="AO888" s="14">
        <f>IF($AF888="保留中",COUNTIF($AF$6:$AF888,"保留中"),"")</f>
        <v/>
      </c>
      <c r="AP888" s="14">
        <f>IF($AQ888="","",IF(SUMPRODUCT(MAX((職員マスタ!$A$6:$A$405=$B888)*(((職員マスタ!$G$6:$G$405="")+(職員マスタ!$G$6:$G$405&lt;=EOMONTH($AQ888,0)))&gt;0)*(((職員マスタ!$H$6:$H$405="")+(職員マスタ!$H$6:$H$405&gt;=$AQ888))&gt;0)*(ROW(職員マスタ!$A$6:$A$405)-5)))&gt;0,SUMPRODUCT(MAX((職員マスタ!$A$6:$A$405=$B888)*(((職員マスタ!$G$6:$G$405="")+(職員マスタ!$G$6:$G$405&lt;=EOMONTH($AQ888,0)))&gt;0)*(((職員マスタ!$H$6:$H$405="")+(職員マスタ!$H$6:$H$405&gt;=$AQ888))&gt;0)*(ROW(職員マスタ!$A$6:$A$405)-5))),IFERROR(MATCH($B888,職員マスタ!$A$6:$A$405,0),"")))</f>
        <v/>
      </c>
      <c r="AQ888" s="16">
        <f>IF(OR($B888="",$C888="",$D888=""),"",DATE($C888+2018,$D888,1))</f>
        <v/>
      </c>
    </row>
    <row r="889">
      <c r="A889" s="11" t="n"/>
      <c r="B889" s="12" t="n"/>
      <c r="C889" s="12" t="n"/>
      <c r="D889" s="12" t="n"/>
      <c r="E889" s="13" t="n"/>
      <c r="F889" s="12" t="n"/>
      <c r="G889" s="13" t="n"/>
      <c r="H889" s="12" t="n"/>
      <c r="I889" s="12" t="n"/>
      <c r="J889" s="12" t="n"/>
      <c r="K889" s="12" t="n"/>
      <c r="L889" s="11" t="n"/>
      <c r="M889" s="11" t="n"/>
      <c r="N889" s="11" t="n"/>
      <c r="O889" s="11" t="n"/>
      <c r="P889" s="12" t="n"/>
      <c r="Q889" s="11" t="n"/>
      <c r="R889" s="12" t="n"/>
      <c r="S889" s="11" t="n"/>
      <c r="T889" s="12" t="n"/>
      <c r="U889" s="12" t="n"/>
      <c r="V889" s="12" t="n"/>
      <c r="W889" s="13" t="n"/>
      <c r="X889" s="14">
        <f>IF($AP889="",IF($B889="","",$H889),IF(INDEX(職員マスタ!$B$6:$B$405,$AP889)="",$H889,INDEX(職員マスタ!$B$6:$B$405,$AP889)))</f>
        <v/>
      </c>
      <c r="Y889" s="14">
        <f>IF($AP889="",IF($B889="","",$R889),IF(INDEX(職員マスタ!$C$6:$C$405,$AP889)="",$R889,INDEX(職員マスタ!$C$6:$C$405,$AP889)))</f>
        <v/>
      </c>
      <c r="Z889" s="14">
        <f>IF($AQ889="","","R"&amp;$C889&amp;"."&amp;$D889)</f>
        <v/>
      </c>
      <c r="AA889" s="15">
        <f>IF(IF($AP889="",FALSE,INDEX(職員マスタ!$K$6:$K$405,$AP889)&lt;&gt;""),INDEX(職員マスタ!$K$6:$K$405,$AP889),IF(N($W889)&gt;0,$W889,""))</f>
        <v/>
      </c>
      <c r="AB889" s="14">
        <f>IF(OR($E889="",$AA889=""),"",IF($E889&gt;=$AA889,"×",IF($E889&gt;=$AA889*設定!$C$5,"△","○")))</f>
        <v/>
      </c>
      <c r="AC889" s="15">
        <f>IF($AB889="","",IF($AB889="×",0,IF($AB889="○",ROUNDDOWN($E889*設定!$C$4,0),ROUNDDOWN($E889*ROUND((9*$AA889-9*$E889)/(10*$E889),4),0))))</f>
        <v/>
      </c>
      <c r="AD889" s="13" t="n"/>
      <c r="AE889" s="15">
        <f>IF($B889="","",IF($AD889&lt;&gt;"",$AD889,IF($AC889="","",IF($AC889&lt;=設定!$C$3,0,$AC889))))</f>
        <v/>
      </c>
      <c r="AF889" s="14">
        <f>IF($B889="","",IF(AND($AG889&lt;&gt;"",$AI889="",$AL889=""),"保留中",IF($AL889&lt;&gt;"",IF(N($AE889)&gt;0,"支給済","不支給"),IF($AE889="","要確認",IF($AE889=0,"不支給","未処理")))))</f>
        <v/>
      </c>
      <c r="AG889" s="12" t="n"/>
      <c r="AH889" s="11" t="n"/>
      <c r="AI889" s="11" t="n"/>
      <c r="AJ889" s="11" t="n"/>
      <c r="AK889" s="14">
        <f>IF(AND($AF889="保留中",$AH889&lt;&gt;""),TODAY()-$AH889,"")</f>
        <v/>
      </c>
      <c r="AL889" s="12" t="n"/>
      <c r="AM889" s="14">
        <f>IF($B889="","",IF($AQ889="","対象年月が未入力／","")&amp;IF($B889="","",IF($AP889="","職員マスタに未登録の職員番号／",IF($AA889="","標準報酬月額が未登録／","")&amp;IF(AND($AQ889&lt;&gt;"",OR(AND(INDEX(職員マスタ!$G$6:$G$405,$AP889)&lt;&gt;"",INDEX(職員マスタ!$G$6:$G$405,$AP889)&gt;EOMONTH($AQ889,0)),AND(INDEX(職員マスタ!$H$6:$H$405,$AP889)&lt;&gt;"",INDEX(職員マスタ!$H$6:$H$405,$AP889)&lt;$AQ889))),"対象月が時短期間外／","")&amp;IF(AND(INDEX(職員マスタ!$K$6:$K$405,$AP889)&lt;&gt;"",N($W889)&gt;0,INDEX(職員マスタ!$K$6:$K$405,$AP889)&lt;&gt;$W889),"標準報酬月額が申請書と相違（台帳"&amp;TEXT(INDEX(職員マスタ!$K$6:$K$405,$AP889),"#,##0")&amp;"円／申請書"&amp;TEXT($W889,"#,##0")&amp;"円）／","")&amp;IF(AND(INDEX(職員マスタ!$F$6:$F$405,$AP889)&lt;&gt;"",$AQ889&lt;&gt;"",INDEX(職員マスタ!$F$6:$F$405,$AP889)&lt;$AQ889),"対象月に子が2歳到達済／","")&amp;IF(AND($H889&lt;&gt;"",INDEX(職員マスタ!$B$6:$B$405,$AP889)&lt;&gt;"",SUBSTITUTE(SUBSTITUTE($H889," ","")," ","")&lt;&gt;SUBSTITUTE(SUBSTITUTE(INDEX(職員マスタ!$B$6:$B$405,$AP889)," ","")," ","")),"氏名がマスタと相違／","")&amp;IF(AND($Q889&lt;&gt;"",INDEX(職員マスタ!$E$6:$E$405,$AP889)&lt;&gt;"",$Q889&lt;&gt;INDEX(職員マスタ!$E$6:$E$405,$AP889)),"子の生年月日がマスタと相違／","")&amp;IF(AND($L889&lt;&gt;"",INDEX(職員マスタ!$G$6:$G$405,$AP889)&lt;&gt;"",$L889&lt;&gt;INDEX(職員マスタ!$G$6:$G$405,$AP889)),"時短開始日がマスタと相違／","")&amp;IF(AND($M889&lt;&gt;"",INDEX(職員マスタ!$H$6:$H$405,$AP889)&lt;&gt;"",$M889&lt;&gt;INDEX(職員マスタ!$H$6:$H$405,$AP889)),"時短終了日がマスタと相違／","")))&amp;IF(AND($B889&lt;&gt;"",$E889=""),"報酬額が未入力／","")&amp;IF(N($U889)&gt;0,"申請書に入力エラーが残っています／","")&amp;IF(AND($B889&lt;&gt;"",$AQ889&lt;&gt;""),IF(COUNTIFS($B$6:$B$3005,$B889,$C$6:$C$3005,$C889,$D$6:$D$3005,$D889)&gt;1,"同じ月の請求が重複しています／",""),"")&amp;IF(AND(N($E889)&gt;0,$AB889&lt;&gt;"",$AB889&lt;&gt;"×",$AE889=0,$AD889=""),"計算額が下限以下のため不支給／",""))</f>
        <v/>
      </c>
      <c r="AN889" s="12" t="n"/>
      <c r="AO889" s="14">
        <f>IF($AF889="保留中",COUNTIF($AF$6:$AF889,"保留中"),"")</f>
        <v/>
      </c>
      <c r="AP889" s="14">
        <f>IF($AQ889="","",IF(SUMPRODUCT(MAX((職員マスタ!$A$6:$A$405=$B889)*(((職員マスタ!$G$6:$G$405="")+(職員マスタ!$G$6:$G$405&lt;=EOMONTH($AQ889,0)))&gt;0)*(((職員マスタ!$H$6:$H$405="")+(職員マスタ!$H$6:$H$405&gt;=$AQ889))&gt;0)*(ROW(職員マスタ!$A$6:$A$405)-5)))&gt;0,SUMPRODUCT(MAX((職員マスタ!$A$6:$A$405=$B889)*(((職員マスタ!$G$6:$G$405="")+(職員マスタ!$G$6:$G$405&lt;=EOMONTH($AQ889,0)))&gt;0)*(((職員マスタ!$H$6:$H$405="")+(職員マスタ!$H$6:$H$405&gt;=$AQ889))&gt;0)*(ROW(職員マスタ!$A$6:$A$405)-5))),IFERROR(MATCH($B889,職員マスタ!$A$6:$A$405,0),"")))</f>
        <v/>
      </c>
      <c r="AQ889" s="16">
        <f>IF(OR($B889="",$C889="",$D889=""),"",DATE($C889+2018,$D889,1))</f>
        <v/>
      </c>
    </row>
    <row r="890">
      <c r="A890" s="11" t="n"/>
      <c r="B890" s="12" t="n"/>
      <c r="C890" s="12" t="n"/>
      <c r="D890" s="12" t="n"/>
      <c r="E890" s="13" t="n"/>
      <c r="F890" s="12" t="n"/>
      <c r="G890" s="13" t="n"/>
      <c r="H890" s="12" t="n"/>
      <c r="I890" s="12" t="n"/>
      <c r="J890" s="12" t="n"/>
      <c r="K890" s="12" t="n"/>
      <c r="L890" s="11" t="n"/>
      <c r="M890" s="11" t="n"/>
      <c r="N890" s="11" t="n"/>
      <c r="O890" s="11" t="n"/>
      <c r="P890" s="12" t="n"/>
      <c r="Q890" s="11" t="n"/>
      <c r="R890" s="12" t="n"/>
      <c r="S890" s="11" t="n"/>
      <c r="T890" s="12" t="n"/>
      <c r="U890" s="12" t="n"/>
      <c r="V890" s="12" t="n"/>
      <c r="W890" s="13" t="n"/>
      <c r="X890" s="14">
        <f>IF($AP890="",IF($B890="","",$H890),IF(INDEX(職員マスタ!$B$6:$B$405,$AP890)="",$H890,INDEX(職員マスタ!$B$6:$B$405,$AP890)))</f>
        <v/>
      </c>
      <c r="Y890" s="14">
        <f>IF($AP890="",IF($B890="","",$R890),IF(INDEX(職員マスタ!$C$6:$C$405,$AP890)="",$R890,INDEX(職員マスタ!$C$6:$C$405,$AP890)))</f>
        <v/>
      </c>
      <c r="Z890" s="14">
        <f>IF($AQ890="","","R"&amp;$C890&amp;"."&amp;$D890)</f>
        <v/>
      </c>
      <c r="AA890" s="15">
        <f>IF(IF($AP890="",FALSE,INDEX(職員マスタ!$K$6:$K$405,$AP890)&lt;&gt;""),INDEX(職員マスタ!$K$6:$K$405,$AP890),IF(N($W890)&gt;0,$W890,""))</f>
        <v/>
      </c>
      <c r="AB890" s="14">
        <f>IF(OR($E890="",$AA890=""),"",IF($E890&gt;=$AA890,"×",IF($E890&gt;=$AA890*設定!$C$5,"△","○")))</f>
        <v/>
      </c>
      <c r="AC890" s="15">
        <f>IF($AB890="","",IF($AB890="×",0,IF($AB890="○",ROUNDDOWN($E890*設定!$C$4,0),ROUNDDOWN($E890*ROUND((9*$AA890-9*$E890)/(10*$E890),4),0))))</f>
        <v/>
      </c>
      <c r="AD890" s="13" t="n"/>
      <c r="AE890" s="15">
        <f>IF($B890="","",IF($AD890&lt;&gt;"",$AD890,IF($AC890="","",IF($AC890&lt;=設定!$C$3,0,$AC890))))</f>
        <v/>
      </c>
      <c r="AF890" s="14">
        <f>IF($B890="","",IF(AND($AG890&lt;&gt;"",$AI890="",$AL890=""),"保留中",IF($AL890&lt;&gt;"",IF(N($AE890)&gt;0,"支給済","不支給"),IF($AE890="","要確認",IF($AE890=0,"不支給","未処理")))))</f>
        <v/>
      </c>
      <c r="AG890" s="12" t="n"/>
      <c r="AH890" s="11" t="n"/>
      <c r="AI890" s="11" t="n"/>
      <c r="AJ890" s="11" t="n"/>
      <c r="AK890" s="14">
        <f>IF(AND($AF890="保留中",$AH890&lt;&gt;""),TODAY()-$AH890,"")</f>
        <v/>
      </c>
      <c r="AL890" s="12" t="n"/>
      <c r="AM890" s="14">
        <f>IF($B890="","",IF($AQ890="","対象年月が未入力／","")&amp;IF($B890="","",IF($AP890="","職員マスタに未登録の職員番号／",IF($AA890="","標準報酬月額が未登録／","")&amp;IF(AND($AQ890&lt;&gt;"",OR(AND(INDEX(職員マスタ!$G$6:$G$405,$AP890)&lt;&gt;"",INDEX(職員マスタ!$G$6:$G$405,$AP890)&gt;EOMONTH($AQ890,0)),AND(INDEX(職員マスタ!$H$6:$H$405,$AP890)&lt;&gt;"",INDEX(職員マスタ!$H$6:$H$405,$AP890)&lt;$AQ890))),"対象月が時短期間外／","")&amp;IF(AND(INDEX(職員マスタ!$K$6:$K$405,$AP890)&lt;&gt;"",N($W890)&gt;0,INDEX(職員マスタ!$K$6:$K$405,$AP890)&lt;&gt;$W890),"標準報酬月額が申請書と相違（台帳"&amp;TEXT(INDEX(職員マスタ!$K$6:$K$405,$AP890),"#,##0")&amp;"円／申請書"&amp;TEXT($W890,"#,##0")&amp;"円）／","")&amp;IF(AND(INDEX(職員マスタ!$F$6:$F$405,$AP890)&lt;&gt;"",$AQ890&lt;&gt;"",INDEX(職員マスタ!$F$6:$F$405,$AP890)&lt;$AQ890),"対象月に子が2歳到達済／","")&amp;IF(AND($H890&lt;&gt;"",INDEX(職員マスタ!$B$6:$B$405,$AP890)&lt;&gt;"",SUBSTITUTE(SUBSTITUTE($H890," ","")," ","")&lt;&gt;SUBSTITUTE(SUBSTITUTE(INDEX(職員マスタ!$B$6:$B$405,$AP890)," ","")," ","")),"氏名がマスタと相違／","")&amp;IF(AND($Q890&lt;&gt;"",INDEX(職員マスタ!$E$6:$E$405,$AP890)&lt;&gt;"",$Q890&lt;&gt;INDEX(職員マスタ!$E$6:$E$405,$AP890)),"子の生年月日がマスタと相違／","")&amp;IF(AND($L890&lt;&gt;"",INDEX(職員マスタ!$G$6:$G$405,$AP890)&lt;&gt;"",$L890&lt;&gt;INDEX(職員マスタ!$G$6:$G$405,$AP890)),"時短開始日がマスタと相違／","")&amp;IF(AND($M890&lt;&gt;"",INDEX(職員マスタ!$H$6:$H$405,$AP890)&lt;&gt;"",$M890&lt;&gt;INDEX(職員マスタ!$H$6:$H$405,$AP890)),"時短終了日がマスタと相違／","")))&amp;IF(AND($B890&lt;&gt;"",$E890=""),"報酬額が未入力／","")&amp;IF(N($U890)&gt;0,"申請書に入力エラーが残っています／","")&amp;IF(AND($B890&lt;&gt;"",$AQ890&lt;&gt;""),IF(COUNTIFS($B$6:$B$3005,$B890,$C$6:$C$3005,$C890,$D$6:$D$3005,$D890)&gt;1,"同じ月の請求が重複しています／",""),"")&amp;IF(AND(N($E890)&gt;0,$AB890&lt;&gt;"",$AB890&lt;&gt;"×",$AE890=0,$AD890=""),"計算額が下限以下のため不支給／",""))</f>
        <v/>
      </c>
      <c r="AN890" s="12" t="n"/>
      <c r="AO890" s="14">
        <f>IF($AF890="保留中",COUNTIF($AF$6:$AF890,"保留中"),"")</f>
        <v/>
      </c>
      <c r="AP890" s="14">
        <f>IF($AQ890="","",IF(SUMPRODUCT(MAX((職員マスタ!$A$6:$A$405=$B890)*(((職員マスタ!$G$6:$G$405="")+(職員マスタ!$G$6:$G$405&lt;=EOMONTH($AQ890,0)))&gt;0)*(((職員マスタ!$H$6:$H$405="")+(職員マスタ!$H$6:$H$405&gt;=$AQ890))&gt;0)*(ROW(職員マスタ!$A$6:$A$405)-5)))&gt;0,SUMPRODUCT(MAX((職員マスタ!$A$6:$A$405=$B890)*(((職員マスタ!$G$6:$G$405="")+(職員マスタ!$G$6:$G$405&lt;=EOMONTH($AQ890,0)))&gt;0)*(((職員マスタ!$H$6:$H$405="")+(職員マスタ!$H$6:$H$405&gt;=$AQ890))&gt;0)*(ROW(職員マスタ!$A$6:$A$405)-5))),IFERROR(MATCH($B890,職員マスタ!$A$6:$A$405,0),"")))</f>
        <v/>
      </c>
      <c r="AQ890" s="16">
        <f>IF(OR($B890="",$C890="",$D890=""),"",DATE($C890+2018,$D890,1))</f>
        <v/>
      </c>
    </row>
    <row r="891">
      <c r="A891" s="11" t="n"/>
      <c r="B891" s="12" t="n"/>
      <c r="C891" s="12" t="n"/>
      <c r="D891" s="12" t="n"/>
      <c r="E891" s="13" t="n"/>
      <c r="F891" s="12" t="n"/>
      <c r="G891" s="13" t="n"/>
      <c r="H891" s="12" t="n"/>
      <c r="I891" s="12" t="n"/>
      <c r="J891" s="12" t="n"/>
      <c r="K891" s="12" t="n"/>
      <c r="L891" s="11" t="n"/>
      <c r="M891" s="11" t="n"/>
      <c r="N891" s="11" t="n"/>
      <c r="O891" s="11" t="n"/>
      <c r="P891" s="12" t="n"/>
      <c r="Q891" s="11" t="n"/>
      <c r="R891" s="12" t="n"/>
      <c r="S891" s="11" t="n"/>
      <c r="T891" s="12" t="n"/>
      <c r="U891" s="12" t="n"/>
      <c r="V891" s="12" t="n"/>
      <c r="W891" s="13" t="n"/>
      <c r="X891" s="14">
        <f>IF($AP891="",IF($B891="","",$H891),IF(INDEX(職員マスタ!$B$6:$B$405,$AP891)="",$H891,INDEX(職員マスタ!$B$6:$B$405,$AP891)))</f>
        <v/>
      </c>
      <c r="Y891" s="14">
        <f>IF($AP891="",IF($B891="","",$R891),IF(INDEX(職員マスタ!$C$6:$C$405,$AP891)="",$R891,INDEX(職員マスタ!$C$6:$C$405,$AP891)))</f>
        <v/>
      </c>
      <c r="Z891" s="14">
        <f>IF($AQ891="","","R"&amp;$C891&amp;"."&amp;$D891)</f>
        <v/>
      </c>
      <c r="AA891" s="15">
        <f>IF(IF($AP891="",FALSE,INDEX(職員マスタ!$K$6:$K$405,$AP891)&lt;&gt;""),INDEX(職員マスタ!$K$6:$K$405,$AP891),IF(N($W891)&gt;0,$W891,""))</f>
        <v/>
      </c>
      <c r="AB891" s="14">
        <f>IF(OR($E891="",$AA891=""),"",IF($E891&gt;=$AA891,"×",IF($E891&gt;=$AA891*設定!$C$5,"△","○")))</f>
        <v/>
      </c>
      <c r="AC891" s="15">
        <f>IF($AB891="","",IF($AB891="×",0,IF($AB891="○",ROUNDDOWN($E891*設定!$C$4,0),ROUNDDOWN($E891*ROUND((9*$AA891-9*$E891)/(10*$E891),4),0))))</f>
        <v/>
      </c>
      <c r="AD891" s="13" t="n"/>
      <c r="AE891" s="15">
        <f>IF($B891="","",IF($AD891&lt;&gt;"",$AD891,IF($AC891="","",IF($AC891&lt;=設定!$C$3,0,$AC891))))</f>
        <v/>
      </c>
      <c r="AF891" s="14">
        <f>IF($B891="","",IF(AND($AG891&lt;&gt;"",$AI891="",$AL891=""),"保留中",IF($AL891&lt;&gt;"",IF(N($AE891)&gt;0,"支給済","不支給"),IF($AE891="","要確認",IF($AE891=0,"不支給","未処理")))))</f>
        <v/>
      </c>
      <c r="AG891" s="12" t="n"/>
      <c r="AH891" s="11" t="n"/>
      <c r="AI891" s="11" t="n"/>
      <c r="AJ891" s="11" t="n"/>
      <c r="AK891" s="14">
        <f>IF(AND($AF891="保留中",$AH891&lt;&gt;""),TODAY()-$AH891,"")</f>
        <v/>
      </c>
      <c r="AL891" s="12" t="n"/>
      <c r="AM891" s="14">
        <f>IF($B891="","",IF($AQ891="","対象年月が未入力／","")&amp;IF($B891="","",IF($AP891="","職員マスタに未登録の職員番号／",IF($AA891="","標準報酬月額が未登録／","")&amp;IF(AND($AQ891&lt;&gt;"",OR(AND(INDEX(職員マスタ!$G$6:$G$405,$AP891)&lt;&gt;"",INDEX(職員マスタ!$G$6:$G$405,$AP891)&gt;EOMONTH($AQ891,0)),AND(INDEX(職員マスタ!$H$6:$H$405,$AP891)&lt;&gt;"",INDEX(職員マスタ!$H$6:$H$405,$AP891)&lt;$AQ891))),"対象月が時短期間外／","")&amp;IF(AND(INDEX(職員マスタ!$K$6:$K$405,$AP891)&lt;&gt;"",N($W891)&gt;0,INDEX(職員マスタ!$K$6:$K$405,$AP891)&lt;&gt;$W891),"標準報酬月額が申請書と相違（台帳"&amp;TEXT(INDEX(職員マスタ!$K$6:$K$405,$AP891),"#,##0")&amp;"円／申請書"&amp;TEXT($W891,"#,##0")&amp;"円）／","")&amp;IF(AND(INDEX(職員マスタ!$F$6:$F$405,$AP891)&lt;&gt;"",$AQ891&lt;&gt;"",INDEX(職員マスタ!$F$6:$F$405,$AP891)&lt;$AQ891),"対象月に子が2歳到達済／","")&amp;IF(AND($H891&lt;&gt;"",INDEX(職員マスタ!$B$6:$B$405,$AP891)&lt;&gt;"",SUBSTITUTE(SUBSTITUTE($H891," ","")," ","")&lt;&gt;SUBSTITUTE(SUBSTITUTE(INDEX(職員マスタ!$B$6:$B$405,$AP891)," ","")," ","")),"氏名がマスタと相違／","")&amp;IF(AND($Q891&lt;&gt;"",INDEX(職員マスタ!$E$6:$E$405,$AP891)&lt;&gt;"",$Q891&lt;&gt;INDEX(職員マスタ!$E$6:$E$405,$AP891)),"子の生年月日がマスタと相違／","")&amp;IF(AND($L891&lt;&gt;"",INDEX(職員マスタ!$G$6:$G$405,$AP891)&lt;&gt;"",$L891&lt;&gt;INDEX(職員マスタ!$G$6:$G$405,$AP891)),"時短開始日がマスタと相違／","")&amp;IF(AND($M891&lt;&gt;"",INDEX(職員マスタ!$H$6:$H$405,$AP891)&lt;&gt;"",$M891&lt;&gt;INDEX(職員マスタ!$H$6:$H$405,$AP891)),"時短終了日がマスタと相違／","")))&amp;IF(AND($B891&lt;&gt;"",$E891=""),"報酬額が未入力／","")&amp;IF(N($U891)&gt;0,"申請書に入力エラーが残っています／","")&amp;IF(AND($B891&lt;&gt;"",$AQ891&lt;&gt;""),IF(COUNTIFS($B$6:$B$3005,$B891,$C$6:$C$3005,$C891,$D$6:$D$3005,$D891)&gt;1,"同じ月の請求が重複しています／",""),"")&amp;IF(AND(N($E891)&gt;0,$AB891&lt;&gt;"",$AB891&lt;&gt;"×",$AE891=0,$AD891=""),"計算額が下限以下のため不支給／",""))</f>
        <v/>
      </c>
      <c r="AN891" s="12" t="n"/>
      <c r="AO891" s="14">
        <f>IF($AF891="保留中",COUNTIF($AF$6:$AF891,"保留中"),"")</f>
        <v/>
      </c>
      <c r="AP891" s="14">
        <f>IF($AQ891="","",IF(SUMPRODUCT(MAX((職員マスタ!$A$6:$A$405=$B891)*(((職員マスタ!$G$6:$G$405="")+(職員マスタ!$G$6:$G$405&lt;=EOMONTH($AQ891,0)))&gt;0)*(((職員マスタ!$H$6:$H$405="")+(職員マスタ!$H$6:$H$405&gt;=$AQ891))&gt;0)*(ROW(職員マスタ!$A$6:$A$405)-5)))&gt;0,SUMPRODUCT(MAX((職員マスタ!$A$6:$A$405=$B891)*(((職員マスタ!$G$6:$G$405="")+(職員マスタ!$G$6:$G$405&lt;=EOMONTH($AQ891,0)))&gt;0)*(((職員マスタ!$H$6:$H$405="")+(職員マスタ!$H$6:$H$405&gt;=$AQ891))&gt;0)*(ROW(職員マスタ!$A$6:$A$405)-5))),IFERROR(MATCH($B891,職員マスタ!$A$6:$A$405,0),"")))</f>
        <v/>
      </c>
      <c r="AQ891" s="16">
        <f>IF(OR($B891="",$C891="",$D891=""),"",DATE($C891+2018,$D891,1))</f>
        <v/>
      </c>
    </row>
    <row r="892">
      <c r="A892" s="11" t="n"/>
      <c r="B892" s="12" t="n"/>
      <c r="C892" s="12" t="n"/>
      <c r="D892" s="12" t="n"/>
      <c r="E892" s="13" t="n"/>
      <c r="F892" s="12" t="n"/>
      <c r="G892" s="13" t="n"/>
      <c r="H892" s="12" t="n"/>
      <c r="I892" s="12" t="n"/>
      <c r="J892" s="12" t="n"/>
      <c r="K892" s="12" t="n"/>
      <c r="L892" s="11" t="n"/>
      <c r="M892" s="11" t="n"/>
      <c r="N892" s="11" t="n"/>
      <c r="O892" s="11" t="n"/>
      <c r="P892" s="12" t="n"/>
      <c r="Q892" s="11" t="n"/>
      <c r="R892" s="12" t="n"/>
      <c r="S892" s="11" t="n"/>
      <c r="T892" s="12" t="n"/>
      <c r="U892" s="12" t="n"/>
      <c r="V892" s="12" t="n"/>
      <c r="W892" s="13" t="n"/>
      <c r="X892" s="14">
        <f>IF($AP892="",IF($B892="","",$H892),IF(INDEX(職員マスタ!$B$6:$B$405,$AP892)="",$H892,INDEX(職員マスタ!$B$6:$B$405,$AP892)))</f>
        <v/>
      </c>
      <c r="Y892" s="14">
        <f>IF($AP892="",IF($B892="","",$R892),IF(INDEX(職員マスタ!$C$6:$C$405,$AP892)="",$R892,INDEX(職員マスタ!$C$6:$C$405,$AP892)))</f>
        <v/>
      </c>
      <c r="Z892" s="14">
        <f>IF($AQ892="","","R"&amp;$C892&amp;"."&amp;$D892)</f>
        <v/>
      </c>
      <c r="AA892" s="15">
        <f>IF(IF($AP892="",FALSE,INDEX(職員マスタ!$K$6:$K$405,$AP892)&lt;&gt;""),INDEX(職員マスタ!$K$6:$K$405,$AP892),IF(N($W892)&gt;0,$W892,""))</f>
        <v/>
      </c>
      <c r="AB892" s="14">
        <f>IF(OR($E892="",$AA892=""),"",IF($E892&gt;=$AA892,"×",IF($E892&gt;=$AA892*設定!$C$5,"△","○")))</f>
        <v/>
      </c>
      <c r="AC892" s="15">
        <f>IF($AB892="","",IF($AB892="×",0,IF($AB892="○",ROUNDDOWN($E892*設定!$C$4,0),ROUNDDOWN($E892*ROUND((9*$AA892-9*$E892)/(10*$E892),4),0))))</f>
        <v/>
      </c>
      <c r="AD892" s="13" t="n"/>
      <c r="AE892" s="15">
        <f>IF($B892="","",IF($AD892&lt;&gt;"",$AD892,IF($AC892="","",IF($AC892&lt;=設定!$C$3,0,$AC892))))</f>
        <v/>
      </c>
      <c r="AF892" s="14">
        <f>IF($B892="","",IF(AND($AG892&lt;&gt;"",$AI892="",$AL892=""),"保留中",IF($AL892&lt;&gt;"",IF(N($AE892)&gt;0,"支給済","不支給"),IF($AE892="","要確認",IF($AE892=0,"不支給","未処理")))))</f>
        <v/>
      </c>
      <c r="AG892" s="12" t="n"/>
      <c r="AH892" s="11" t="n"/>
      <c r="AI892" s="11" t="n"/>
      <c r="AJ892" s="11" t="n"/>
      <c r="AK892" s="14">
        <f>IF(AND($AF892="保留中",$AH892&lt;&gt;""),TODAY()-$AH892,"")</f>
        <v/>
      </c>
      <c r="AL892" s="12" t="n"/>
      <c r="AM892" s="14">
        <f>IF($B892="","",IF($AQ892="","対象年月が未入力／","")&amp;IF($B892="","",IF($AP892="","職員マスタに未登録の職員番号／",IF($AA892="","標準報酬月額が未登録／","")&amp;IF(AND($AQ892&lt;&gt;"",OR(AND(INDEX(職員マスタ!$G$6:$G$405,$AP892)&lt;&gt;"",INDEX(職員マスタ!$G$6:$G$405,$AP892)&gt;EOMONTH($AQ892,0)),AND(INDEX(職員マスタ!$H$6:$H$405,$AP892)&lt;&gt;"",INDEX(職員マスタ!$H$6:$H$405,$AP892)&lt;$AQ892))),"対象月が時短期間外／","")&amp;IF(AND(INDEX(職員マスタ!$K$6:$K$405,$AP892)&lt;&gt;"",N($W892)&gt;0,INDEX(職員マスタ!$K$6:$K$405,$AP892)&lt;&gt;$W892),"標準報酬月額が申請書と相違（台帳"&amp;TEXT(INDEX(職員マスタ!$K$6:$K$405,$AP892),"#,##0")&amp;"円／申請書"&amp;TEXT($W892,"#,##0")&amp;"円）／","")&amp;IF(AND(INDEX(職員マスタ!$F$6:$F$405,$AP892)&lt;&gt;"",$AQ892&lt;&gt;"",INDEX(職員マスタ!$F$6:$F$405,$AP892)&lt;$AQ892),"対象月に子が2歳到達済／","")&amp;IF(AND($H892&lt;&gt;"",INDEX(職員マスタ!$B$6:$B$405,$AP892)&lt;&gt;"",SUBSTITUTE(SUBSTITUTE($H892," ","")," ","")&lt;&gt;SUBSTITUTE(SUBSTITUTE(INDEX(職員マスタ!$B$6:$B$405,$AP892)," ","")," ","")),"氏名がマスタと相違／","")&amp;IF(AND($Q892&lt;&gt;"",INDEX(職員マスタ!$E$6:$E$405,$AP892)&lt;&gt;"",$Q892&lt;&gt;INDEX(職員マスタ!$E$6:$E$405,$AP892)),"子の生年月日がマスタと相違／","")&amp;IF(AND($L892&lt;&gt;"",INDEX(職員マスタ!$G$6:$G$405,$AP892)&lt;&gt;"",$L892&lt;&gt;INDEX(職員マスタ!$G$6:$G$405,$AP892)),"時短開始日がマスタと相違／","")&amp;IF(AND($M892&lt;&gt;"",INDEX(職員マスタ!$H$6:$H$405,$AP892)&lt;&gt;"",$M892&lt;&gt;INDEX(職員マスタ!$H$6:$H$405,$AP892)),"時短終了日がマスタと相違／","")))&amp;IF(AND($B892&lt;&gt;"",$E892=""),"報酬額が未入力／","")&amp;IF(N($U892)&gt;0,"申請書に入力エラーが残っています／","")&amp;IF(AND($B892&lt;&gt;"",$AQ892&lt;&gt;""),IF(COUNTIFS($B$6:$B$3005,$B892,$C$6:$C$3005,$C892,$D$6:$D$3005,$D892)&gt;1,"同じ月の請求が重複しています／",""),"")&amp;IF(AND(N($E892)&gt;0,$AB892&lt;&gt;"",$AB892&lt;&gt;"×",$AE892=0,$AD892=""),"計算額が下限以下のため不支給／",""))</f>
        <v/>
      </c>
      <c r="AN892" s="12" t="n"/>
      <c r="AO892" s="14">
        <f>IF($AF892="保留中",COUNTIF($AF$6:$AF892,"保留中"),"")</f>
        <v/>
      </c>
      <c r="AP892" s="14">
        <f>IF($AQ892="","",IF(SUMPRODUCT(MAX((職員マスタ!$A$6:$A$405=$B892)*(((職員マスタ!$G$6:$G$405="")+(職員マスタ!$G$6:$G$405&lt;=EOMONTH($AQ892,0)))&gt;0)*(((職員マスタ!$H$6:$H$405="")+(職員マスタ!$H$6:$H$405&gt;=$AQ892))&gt;0)*(ROW(職員マスタ!$A$6:$A$405)-5)))&gt;0,SUMPRODUCT(MAX((職員マスタ!$A$6:$A$405=$B892)*(((職員マスタ!$G$6:$G$405="")+(職員マスタ!$G$6:$G$405&lt;=EOMONTH($AQ892,0)))&gt;0)*(((職員マスタ!$H$6:$H$405="")+(職員マスタ!$H$6:$H$405&gt;=$AQ892))&gt;0)*(ROW(職員マスタ!$A$6:$A$405)-5))),IFERROR(MATCH($B892,職員マスタ!$A$6:$A$405,0),"")))</f>
        <v/>
      </c>
      <c r="AQ892" s="16">
        <f>IF(OR($B892="",$C892="",$D892=""),"",DATE($C892+2018,$D892,1))</f>
        <v/>
      </c>
    </row>
    <row r="893">
      <c r="A893" s="11" t="n"/>
      <c r="B893" s="12" t="n"/>
      <c r="C893" s="12" t="n"/>
      <c r="D893" s="12" t="n"/>
      <c r="E893" s="13" t="n"/>
      <c r="F893" s="12" t="n"/>
      <c r="G893" s="13" t="n"/>
      <c r="H893" s="12" t="n"/>
      <c r="I893" s="12" t="n"/>
      <c r="J893" s="12" t="n"/>
      <c r="K893" s="12" t="n"/>
      <c r="L893" s="11" t="n"/>
      <c r="M893" s="11" t="n"/>
      <c r="N893" s="11" t="n"/>
      <c r="O893" s="11" t="n"/>
      <c r="P893" s="12" t="n"/>
      <c r="Q893" s="11" t="n"/>
      <c r="R893" s="12" t="n"/>
      <c r="S893" s="11" t="n"/>
      <c r="T893" s="12" t="n"/>
      <c r="U893" s="12" t="n"/>
      <c r="V893" s="12" t="n"/>
      <c r="W893" s="13" t="n"/>
      <c r="X893" s="14">
        <f>IF($AP893="",IF($B893="","",$H893),IF(INDEX(職員マスタ!$B$6:$B$405,$AP893)="",$H893,INDEX(職員マスタ!$B$6:$B$405,$AP893)))</f>
        <v/>
      </c>
      <c r="Y893" s="14">
        <f>IF($AP893="",IF($B893="","",$R893),IF(INDEX(職員マスタ!$C$6:$C$405,$AP893)="",$R893,INDEX(職員マスタ!$C$6:$C$405,$AP893)))</f>
        <v/>
      </c>
      <c r="Z893" s="14">
        <f>IF($AQ893="","","R"&amp;$C893&amp;"."&amp;$D893)</f>
        <v/>
      </c>
      <c r="AA893" s="15">
        <f>IF(IF($AP893="",FALSE,INDEX(職員マスタ!$K$6:$K$405,$AP893)&lt;&gt;""),INDEX(職員マスタ!$K$6:$K$405,$AP893),IF(N($W893)&gt;0,$W893,""))</f>
        <v/>
      </c>
      <c r="AB893" s="14">
        <f>IF(OR($E893="",$AA893=""),"",IF($E893&gt;=$AA893,"×",IF($E893&gt;=$AA893*設定!$C$5,"△","○")))</f>
        <v/>
      </c>
      <c r="AC893" s="15">
        <f>IF($AB893="","",IF($AB893="×",0,IF($AB893="○",ROUNDDOWN($E893*設定!$C$4,0),ROUNDDOWN($E893*ROUND((9*$AA893-9*$E893)/(10*$E893),4),0))))</f>
        <v/>
      </c>
      <c r="AD893" s="13" t="n"/>
      <c r="AE893" s="15">
        <f>IF($B893="","",IF($AD893&lt;&gt;"",$AD893,IF($AC893="","",IF($AC893&lt;=設定!$C$3,0,$AC893))))</f>
        <v/>
      </c>
      <c r="AF893" s="14">
        <f>IF($B893="","",IF(AND($AG893&lt;&gt;"",$AI893="",$AL893=""),"保留中",IF($AL893&lt;&gt;"",IF(N($AE893)&gt;0,"支給済","不支給"),IF($AE893="","要確認",IF($AE893=0,"不支給","未処理")))))</f>
        <v/>
      </c>
      <c r="AG893" s="12" t="n"/>
      <c r="AH893" s="11" t="n"/>
      <c r="AI893" s="11" t="n"/>
      <c r="AJ893" s="11" t="n"/>
      <c r="AK893" s="14">
        <f>IF(AND($AF893="保留中",$AH893&lt;&gt;""),TODAY()-$AH893,"")</f>
        <v/>
      </c>
      <c r="AL893" s="12" t="n"/>
      <c r="AM893" s="14">
        <f>IF($B893="","",IF($AQ893="","対象年月が未入力／","")&amp;IF($B893="","",IF($AP893="","職員マスタに未登録の職員番号／",IF($AA893="","標準報酬月額が未登録／","")&amp;IF(AND($AQ893&lt;&gt;"",OR(AND(INDEX(職員マスタ!$G$6:$G$405,$AP893)&lt;&gt;"",INDEX(職員マスタ!$G$6:$G$405,$AP893)&gt;EOMONTH($AQ893,0)),AND(INDEX(職員マスタ!$H$6:$H$405,$AP893)&lt;&gt;"",INDEX(職員マスタ!$H$6:$H$405,$AP893)&lt;$AQ893))),"対象月が時短期間外／","")&amp;IF(AND(INDEX(職員マスタ!$K$6:$K$405,$AP893)&lt;&gt;"",N($W893)&gt;0,INDEX(職員マスタ!$K$6:$K$405,$AP893)&lt;&gt;$W893),"標準報酬月額が申請書と相違（台帳"&amp;TEXT(INDEX(職員マスタ!$K$6:$K$405,$AP893),"#,##0")&amp;"円／申請書"&amp;TEXT($W893,"#,##0")&amp;"円）／","")&amp;IF(AND(INDEX(職員マスタ!$F$6:$F$405,$AP893)&lt;&gt;"",$AQ893&lt;&gt;"",INDEX(職員マスタ!$F$6:$F$405,$AP893)&lt;$AQ893),"対象月に子が2歳到達済／","")&amp;IF(AND($H893&lt;&gt;"",INDEX(職員マスタ!$B$6:$B$405,$AP893)&lt;&gt;"",SUBSTITUTE(SUBSTITUTE($H893," ","")," ","")&lt;&gt;SUBSTITUTE(SUBSTITUTE(INDEX(職員マスタ!$B$6:$B$405,$AP893)," ","")," ","")),"氏名がマスタと相違／","")&amp;IF(AND($Q893&lt;&gt;"",INDEX(職員マスタ!$E$6:$E$405,$AP893)&lt;&gt;"",$Q893&lt;&gt;INDEX(職員マスタ!$E$6:$E$405,$AP893)),"子の生年月日がマスタと相違／","")&amp;IF(AND($L893&lt;&gt;"",INDEX(職員マスタ!$G$6:$G$405,$AP893)&lt;&gt;"",$L893&lt;&gt;INDEX(職員マスタ!$G$6:$G$405,$AP893)),"時短開始日がマスタと相違／","")&amp;IF(AND($M893&lt;&gt;"",INDEX(職員マスタ!$H$6:$H$405,$AP893)&lt;&gt;"",$M893&lt;&gt;INDEX(職員マスタ!$H$6:$H$405,$AP893)),"時短終了日がマスタと相違／","")))&amp;IF(AND($B893&lt;&gt;"",$E893=""),"報酬額が未入力／","")&amp;IF(N($U893)&gt;0,"申請書に入力エラーが残っています／","")&amp;IF(AND($B893&lt;&gt;"",$AQ893&lt;&gt;""),IF(COUNTIFS($B$6:$B$3005,$B893,$C$6:$C$3005,$C893,$D$6:$D$3005,$D893)&gt;1,"同じ月の請求が重複しています／",""),"")&amp;IF(AND(N($E893)&gt;0,$AB893&lt;&gt;"",$AB893&lt;&gt;"×",$AE893=0,$AD893=""),"計算額が下限以下のため不支給／",""))</f>
        <v/>
      </c>
      <c r="AN893" s="12" t="n"/>
      <c r="AO893" s="14">
        <f>IF($AF893="保留中",COUNTIF($AF$6:$AF893,"保留中"),"")</f>
        <v/>
      </c>
      <c r="AP893" s="14">
        <f>IF($AQ893="","",IF(SUMPRODUCT(MAX((職員マスタ!$A$6:$A$405=$B893)*(((職員マスタ!$G$6:$G$405="")+(職員マスタ!$G$6:$G$405&lt;=EOMONTH($AQ893,0)))&gt;0)*(((職員マスタ!$H$6:$H$405="")+(職員マスタ!$H$6:$H$405&gt;=$AQ893))&gt;0)*(ROW(職員マスタ!$A$6:$A$405)-5)))&gt;0,SUMPRODUCT(MAX((職員マスタ!$A$6:$A$405=$B893)*(((職員マスタ!$G$6:$G$405="")+(職員マスタ!$G$6:$G$405&lt;=EOMONTH($AQ893,0)))&gt;0)*(((職員マスタ!$H$6:$H$405="")+(職員マスタ!$H$6:$H$405&gt;=$AQ893))&gt;0)*(ROW(職員マスタ!$A$6:$A$405)-5))),IFERROR(MATCH($B893,職員マスタ!$A$6:$A$405,0),"")))</f>
        <v/>
      </c>
      <c r="AQ893" s="16">
        <f>IF(OR($B893="",$C893="",$D893=""),"",DATE($C893+2018,$D893,1))</f>
        <v/>
      </c>
    </row>
    <row r="894">
      <c r="A894" s="11" t="n"/>
      <c r="B894" s="12" t="n"/>
      <c r="C894" s="12" t="n"/>
      <c r="D894" s="12" t="n"/>
      <c r="E894" s="13" t="n"/>
      <c r="F894" s="12" t="n"/>
      <c r="G894" s="13" t="n"/>
      <c r="H894" s="12" t="n"/>
      <c r="I894" s="12" t="n"/>
      <c r="J894" s="12" t="n"/>
      <c r="K894" s="12" t="n"/>
      <c r="L894" s="11" t="n"/>
      <c r="M894" s="11" t="n"/>
      <c r="N894" s="11" t="n"/>
      <c r="O894" s="11" t="n"/>
      <c r="P894" s="12" t="n"/>
      <c r="Q894" s="11" t="n"/>
      <c r="R894" s="12" t="n"/>
      <c r="S894" s="11" t="n"/>
      <c r="T894" s="12" t="n"/>
      <c r="U894" s="12" t="n"/>
      <c r="V894" s="12" t="n"/>
      <c r="W894" s="13" t="n"/>
      <c r="X894" s="14">
        <f>IF($AP894="",IF($B894="","",$H894),IF(INDEX(職員マスタ!$B$6:$B$405,$AP894)="",$H894,INDEX(職員マスタ!$B$6:$B$405,$AP894)))</f>
        <v/>
      </c>
      <c r="Y894" s="14">
        <f>IF($AP894="",IF($B894="","",$R894),IF(INDEX(職員マスタ!$C$6:$C$405,$AP894)="",$R894,INDEX(職員マスタ!$C$6:$C$405,$AP894)))</f>
        <v/>
      </c>
      <c r="Z894" s="14">
        <f>IF($AQ894="","","R"&amp;$C894&amp;"."&amp;$D894)</f>
        <v/>
      </c>
      <c r="AA894" s="15">
        <f>IF(IF($AP894="",FALSE,INDEX(職員マスタ!$K$6:$K$405,$AP894)&lt;&gt;""),INDEX(職員マスタ!$K$6:$K$405,$AP894),IF(N($W894)&gt;0,$W894,""))</f>
        <v/>
      </c>
      <c r="AB894" s="14">
        <f>IF(OR($E894="",$AA894=""),"",IF($E894&gt;=$AA894,"×",IF($E894&gt;=$AA894*設定!$C$5,"△","○")))</f>
        <v/>
      </c>
      <c r="AC894" s="15">
        <f>IF($AB894="","",IF($AB894="×",0,IF($AB894="○",ROUNDDOWN($E894*設定!$C$4,0),ROUNDDOWN($E894*ROUND((9*$AA894-9*$E894)/(10*$E894),4),0))))</f>
        <v/>
      </c>
      <c r="AD894" s="13" t="n"/>
      <c r="AE894" s="15">
        <f>IF($B894="","",IF($AD894&lt;&gt;"",$AD894,IF($AC894="","",IF($AC894&lt;=設定!$C$3,0,$AC894))))</f>
        <v/>
      </c>
      <c r="AF894" s="14">
        <f>IF($B894="","",IF(AND($AG894&lt;&gt;"",$AI894="",$AL894=""),"保留中",IF($AL894&lt;&gt;"",IF(N($AE894)&gt;0,"支給済","不支給"),IF($AE894="","要確認",IF($AE894=0,"不支給","未処理")))))</f>
        <v/>
      </c>
      <c r="AG894" s="12" t="n"/>
      <c r="AH894" s="11" t="n"/>
      <c r="AI894" s="11" t="n"/>
      <c r="AJ894" s="11" t="n"/>
      <c r="AK894" s="14">
        <f>IF(AND($AF894="保留中",$AH894&lt;&gt;""),TODAY()-$AH894,"")</f>
        <v/>
      </c>
      <c r="AL894" s="12" t="n"/>
      <c r="AM894" s="14">
        <f>IF($B894="","",IF($AQ894="","対象年月が未入力／","")&amp;IF($B894="","",IF($AP894="","職員マスタに未登録の職員番号／",IF($AA894="","標準報酬月額が未登録／","")&amp;IF(AND($AQ894&lt;&gt;"",OR(AND(INDEX(職員マスタ!$G$6:$G$405,$AP894)&lt;&gt;"",INDEX(職員マスタ!$G$6:$G$405,$AP894)&gt;EOMONTH($AQ894,0)),AND(INDEX(職員マスタ!$H$6:$H$405,$AP894)&lt;&gt;"",INDEX(職員マスタ!$H$6:$H$405,$AP894)&lt;$AQ894))),"対象月が時短期間外／","")&amp;IF(AND(INDEX(職員マスタ!$K$6:$K$405,$AP894)&lt;&gt;"",N($W894)&gt;0,INDEX(職員マスタ!$K$6:$K$405,$AP894)&lt;&gt;$W894),"標準報酬月額が申請書と相違（台帳"&amp;TEXT(INDEX(職員マスタ!$K$6:$K$405,$AP894),"#,##0")&amp;"円／申請書"&amp;TEXT($W894,"#,##0")&amp;"円）／","")&amp;IF(AND(INDEX(職員マスタ!$F$6:$F$405,$AP894)&lt;&gt;"",$AQ894&lt;&gt;"",INDEX(職員マスタ!$F$6:$F$405,$AP894)&lt;$AQ894),"対象月に子が2歳到達済／","")&amp;IF(AND($H894&lt;&gt;"",INDEX(職員マスタ!$B$6:$B$405,$AP894)&lt;&gt;"",SUBSTITUTE(SUBSTITUTE($H894," ","")," ","")&lt;&gt;SUBSTITUTE(SUBSTITUTE(INDEX(職員マスタ!$B$6:$B$405,$AP894)," ","")," ","")),"氏名がマスタと相違／","")&amp;IF(AND($Q894&lt;&gt;"",INDEX(職員マスタ!$E$6:$E$405,$AP894)&lt;&gt;"",$Q894&lt;&gt;INDEX(職員マスタ!$E$6:$E$405,$AP894)),"子の生年月日がマスタと相違／","")&amp;IF(AND($L894&lt;&gt;"",INDEX(職員マスタ!$G$6:$G$405,$AP894)&lt;&gt;"",$L894&lt;&gt;INDEX(職員マスタ!$G$6:$G$405,$AP894)),"時短開始日がマスタと相違／","")&amp;IF(AND($M894&lt;&gt;"",INDEX(職員マスタ!$H$6:$H$405,$AP894)&lt;&gt;"",$M894&lt;&gt;INDEX(職員マスタ!$H$6:$H$405,$AP894)),"時短終了日がマスタと相違／","")))&amp;IF(AND($B894&lt;&gt;"",$E894=""),"報酬額が未入力／","")&amp;IF(N($U894)&gt;0,"申請書に入力エラーが残っています／","")&amp;IF(AND($B894&lt;&gt;"",$AQ894&lt;&gt;""),IF(COUNTIFS($B$6:$B$3005,$B894,$C$6:$C$3005,$C894,$D$6:$D$3005,$D894)&gt;1,"同じ月の請求が重複しています／",""),"")&amp;IF(AND(N($E894)&gt;0,$AB894&lt;&gt;"",$AB894&lt;&gt;"×",$AE894=0,$AD894=""),"計算額が下限以下のため不支給／",""))</f>
        <v/>
      </c>
      <c r="AN894" s="12" t="n"/>
      <c r="AO894" s="14">
        <f>IF($AF894="保留中",COUNTIF($AF$6:$AF894,"保留中"),"")</f>
        <v/>
      </c>
      <c r="AP894" s="14">
        <f>IF($AQ894="","",IF(SUMPRODUCT(MAX((職員マスタ!$A$6:$A$405=$B894)*(((職員マスタ!$G$6:$G$405="")+(職員マスタ!$G$6:$G$405&lt;=EOMONTH($AQ894,0)))&gt;0)*(((職員マスタ!$H$6:$H$405="")+(職員マスタ!$H$6:$H$405&gt;=$AQ894))&gt;0)*(ROW(職員マスタ!$A$6:$A$405)-5)))&gt;0,SUMPRODUCT(MAX((職員マスタ!$A$6:$A$405=$B894)*(((職員マスタ!$G$6:$G$405="")+(職員マスタ!$G$6:$G$405&lt;=EOMONTH($AQ894,0)))&gt;0)*(((職員マスタ!$H$6:$H$405="")+(職員マスタ!$H$6:$H$405&gt;=$AQ894))&gt;0)*(ROW(職員マスタ!$A$6:$A$405)-5))),IFERROR(MATCH($B894,職員マスタ!$A$6:$A$405,0),"")))</f>
        <v/>
      </c>
      <c r="AQ894" s="16">
        <f>IF(OR($B894="",$C894="",$D894=""),"",DATE($C894+2018,$D894,1))</f>
        <v/>
      </c>
    </row>
    <row r="895">
      <c r="A895" s="11" t="n"/>
      <c r="B895" s="12" t="n"/>
      <c r="C895" s="12" t="n"/>
      <c r="D895" s="12" t="n"/>
      <c r="E895" s="13" t="n"/>
      <c r="F895" s="12" t="n"/>
      <c r="G895" s="13" t="n"/>
      <c r="H895" s="12" t="n"/>
      <c r="I895" s="12" t="n"/>
      <c r="J895" s="12" t="n"/>
      <c r="K895" s="12" t="n"/>
      <c r="L895" s="11" t="n"/>
      <c r="M895" s="11" t="n"/>
      <c r="N895" s="11" t="n"/>
      <c r="O895" s="11" t="n"/>
      <c r="P895" s="12" t="n"/>
      <c r="Q895" s="11" t="n"/>
      <c r="R895" s="12" t="n"/>
      <c r="S895" s="11" t="n"/>
      <c r="T895" s="12" t="n"/>
      <c r="U895" s="12" t="n"/>
      <c r="V895" s="12" t="n"/>
      <c r="W895" s="13" t="n"/>
      <c r="X895" s="14">
        <f>IF($AP895="",IF($B895="","",$H895),IF(INDEX(職員マスタ!$B$6:$B$405,$AP895)="",$H895,INDEX(職員マスタ!$B$6:$B$405,$AP895)))</f>
        <v/>
      </c>
      <c r="Y895" s="14">
        <f>IF($AP895="",IF($B895="","",$R895),IF(INDEX(職員マスタ!$C$6:$C$405,$AP895)="",$R895,INDEX(職員マスタ!$C$6:$C$405,$AP895)))</f>
        <v/>
      </c>
      <c r="Z895" s="14">
        <f>IF($AQ895="","","R"&amp;$C895&amp;"."&amp;$D895)</f>
        <v/>
      </c>
      <c r="AA895" s="15">
        <f>IF(IF($AP895="",FALSE,INDEX(職員マスタ!$K$6:$K$405,$AP895)&lt;&gt;""),INDEX(職員マスタ!$K$6:$K$405,$AP895),IF(N($W895)&gt;0,$W895,""))</f>
        <v/>
      </c>
      <c r="AB895" s="14">
        <f>IF(OR($E895="",$AA895=""),"",IF($E895&gt;=$AA895,"×",IF($E895&gt;=$AA895*設定!$C$5,"△","○")))</f>
        <v/>
      </c>
      <c r="AC895" s="15">
        <f>IF($AB895="","",IF($AB895="×",0,IF($AB895="○",ROUNDDOWN($E895*設定!$C$4,0),ROUNDDOWN($E895*ROUND((9*$AA895-9*$E895)/(10*$E895),4),0))))</f>
        <v/>
      </c>
      <c r="AD895" s="13" t="n"/>
      <c r="AE895" s="15">
        <f>IF($B895="","",IF($AD895&lt;&gt;"",$AD895,IF($AC895="","",IF($AC895&lt;=設定!$C$3,0,$AC895))))</f>
        <v/>
      </c>
      <c r="AF895" s="14">
        <f>IF($B895="","",IF(AND($AG895&lt;&gt;"",$AI895="",$AL895=""),"保留中",IF($AL895&lt;&gt;"",IF(N($AE895)&gt;0,"支給済","不支給"),IF($AE895="","要確認",IF($AE895=0,"不支給","未処理")))))</f>
        <v/>
      </c>
      <c r="AG895" s="12" t="n"/>
      <c r="AH895" s="11" t="n"/>
      <c r="AI895" s="11" t="n"/>
      <c r="AJ895" s="11" t="n"/>
      <c r="AK895" s="14">
        <f>IF(AND($AF895="保留中",$AH895&lt;&gt;""),TODAY()-$AH895,"")</f>
        <v/>
      </c>
      <c r="AL895" s="12" t="n"/>
      <c r="AM895" s="14">
        <f>IF($B895="","",IF($AQ895="","対象年月が未入力／","")&amp;IF($B895="","",IF($AP895="","職員マスタに未登録の職員番号／",IF($AA895="","標準報酬月額が未登録／","")&amp;IF(AND($AQ895&lt;&gt;"",OR(AND(INDEX(職員マスタ!$G$6:$G$405,$AP895)&lt;&gt;"",INDEX(職員マスタ!$G$6:$G$405,$AP895)&gt;EOMONTH($AQ895,0)),AND(INDEX(職員マスタ!$H$6:$H$405,$AP895)&lt;&gt;"",INDEX(職員マスタ!$H$6:$H$405,$AP895)&lt;$AQ895))),"対象月が時短期間外／","")&amp;IF(AND(INDEX(職員マスタ!$K$6:$K$405,$AP895)&lt;&gt;"",N($W895)&gt;0,INDEX(職員マスタ!$K$6:$K$405,$AP895)&lt;&gt;$W895),"標準報酬月額が申請書と相違（台帳"&amp;TEXT(INDEX(職員マスタ!$K$6:$K$405,$AP895),"#,##0")&amp;"円／申請書"&amp;TEXT($W895,"#,##0")&amp;"円）／","")&amp;IF(AND(INDEX(職員マスタ!$F$6:$F$405,$AP895)&lt;&gt;"",$AQ895&lt;&gt;"",INDEX(職員マスタ!$F$6:$F$405,$AP895)&lt;$AQ895),"対象月に子が2歳到達済／","")&amp;IF(AND($H895&lt;&gt;"",INDEX(職員マスタ!$B$6:$B$405,$AP895)&lt;&gt;"",SUBSTITUTE(SUBSTITUTE($H895," ","")," ","")&lt;&gt;SUBSTITUTE(SUBSTITUTE(INDEX(職員マスタ!$B$6:$B$405,$AP895)," ","")," ","")),"氏名がマスタと相違／","")&amp;IF(AND($Q895&lt;&gt;"",INDEX(職員マスタ!$E$6:$E$405,$AP895)&lt;&gt;"",$Q895&lt;&gt;INDEX(職員マスタ!$E$6:$E$405,$AP895)),"子の生年月日がマスタと相違／","")&amp;IF(AND($L895&lt;&gt;"",INDEX(職員マスタ!$G$6:$G$405,$AP895)&lt;&gt;"",$L895&lt;&gt;INDEX(職員マスタ!$G$6:$G$405,$AP895)),"時短開始日がマスタと相違／","")&amp;IF(AND($M895&lt;&gt;"",INDEX(職員マスタ!$H$6:$H$405,$AP895)&lt;&gt;"",$M895&lt;&gt;INDEX(職員マスタ!$H$6:$H$405,$AP895)),"時短終了日がマスタと相違／","")))&amp;IF(AND($B895&lt;&gt;"",$E895=""),"報酬額が未入力／","")&amp;IF(N($U895)&gt;0,"申請書に入力エラーが残っています／","")&amp;IF(AND($B895&lt;&gt;"",$AQ895&lt;&gt;""),IF(COUNTIFS($B$6:$B$3005,$B895,$C$6:$C$3005,$C895,$D$6:$D$3005,$D895)&gt;1,"同じ月の請求が重複しています／",""),"")&amp;IF(AND(N($E895)&gt;0,$AB895&lt;&gt;"",$AB895&lt;&gt;"×",$AE895=0,$AD895=""),"計算額が下限以下のため不支給／",""))</f>
        <v/>
      </c>
      <c r="AN895" s="12" t="n"/>
      <c r="AO895" s="14">
        <f>IF($AF895="保留中",COUNTIF($AF$6:$AF895,"保留中"),"")</f>
        <v/>
      </c>
      <c r="AP895" s="14">
        <f>IF($AQ895="","",IF(SUMPRODUCT(MAX((職員マスタ!$A$6:$A$405=$B895)*(((職員マスタ!$G$6:$G$405="")+(職員マスタ!$G$6:$G$405&lt;=EOMONTH($AQ895,0)))&gt;0)*(((職員マスタ!$H$6:$H$405="")+(職員マスタ!$H$6:$H$405&gt;=$AQ895))&gt;0)*(ROW(職員マスタ!$A$6:$A$405)-5)))&gt;0,SUMPRODUCT(MAX((職員マスタ!$A$6:$A$405=$B895)*(((職員マスタ!$G$6:$G$405="")+(職員マスタ!$G$6:$G$405&lt;=EOMONTH($AQ895,0)))&gt;0)*(((職員マスタ!$H$6:$H$405="")+(職員マスタ!$H$6:$H$405&gt;=$AQ895))&gt;0)*(ROW(職員マスタ!$A$6:$A$405)-5))),IFERROR(MATCH($B895,職員マスタ!$A$6:$A$405,0),"")))</f>
        <v/>
      </c>
      <c r="AQ895" s="16">
        <f>IF(OR($B895="",$C895="",$D895=""),"",DATE($C895+2018,$D895,1))</f>
        <v/>
      </c>
    </row>
    <row r="896">
      <c r="A896" s="11" t="n"/>
      <c r="B896" s="12" t="n"/>
      <c r="C896" s="12" t="n"/>
      <c r="D896" s="12" t="n"/>
      <c r="E896" s="13" t="n"/>
      <c r="F896" s="12" t="n"/>
      <c r="G896" s="13" t="n"/>
      <c r="H896" s="12" t="n"/>
      <c r="I896" s="12" t="n"/>
      <c r="J896" s="12" t="n"/>
      <c r="K896" s="12" t="n"/>
      <c r="L896" s="11" t="n"/>
      <c r="M896" s="11" t="n"/>
      <c r="N896" s="11" t="n"/>
      <c r="O896" s="11" t="n"/>
      <c r="P896" s="12" t="n"/>
      <c r="Q896" s="11" t="n"/>
      <c r="R896" s="12" t="n"/>
      <c r="S896" s="11" t="n"/>
      <c r="T896" s="12" t="n"/>
      <c r="U896" s="12" t="n"/>
      <c r="V896" s="12" t="n"/>
      <c r="W896" s="13" t="n"/>
      <c r="X896" s="14">
        <f>IF($AP896="",IF($B896="","",$H896),IF(INDEX(職員マスタ!$B$6:$B$405,$AP896)="",$H896,INDEX(職員マスタ!$B$6:$B$405,$AP896)))</f>
        <v/>
      </c>
      <c r="Y896" s="14">
        <f>IF($AP896="",IF($B896="","",$R896),IF(INDEX(職員マスタ!$C$6:$C$405,$AP896)="",$R896,INDEX(職員マスタ!$C$6:$C$405,$AP896)))</f>
        <v/>
      </c>
      <c r="Z896" s="14">
        <f>IF($AQ896="","","R"&amp;$C896&amp;"."&amp;$D896)</f>
        <v/>
      </c>
      <c r="AA896" s="15">
        <f>IF(IF($AP896="",FALSE,INDEX(職員マスタ!$K$6:$K$405,$AP896)&lt;&gt;""),INDEX(職員マスタ!$K$6:$K$405,$AP896),IF(N($W896)&gt;0,$W896,""))</f>
        <v/>
      </c>
      <c r="AB896" s="14">
        <f>IF(OR($E896="",$AA896=""),"",IF($E896&gt;=$AA896,"×",IF($E896&gt;=$AA896*設定!$C$5,"△","○")))</f>
        <v/>
      </c>
      <c r="AC896" s="15">
        <f>IF($AB896="","",IF($AB896="×",0,IF($AB896="○",ROUNDDOWN($E896*設定!$C$4,0),ROUNDDOWN($E896*ROUND((9*$AA896-9*$E896)/(10*$E896),4),0))))</f>
        <v/>
      </c>
      <c r="AD896" s="13" t="n"/>
      <c r="AE896" s="15">
        <f>IF($B896="","",IF($AD896&lt;&gt;"",$AD896,IF($AC896="","",IF($AC896&lt;=設定!$C$3,0,$AC896))))</f>
        <v/>
      </c>
      <c r="AF896" s="14">
        <f>IF($B896="","",IF(AND($AG896&lt;&gt;"",$AI896="",$AL896=""),"保留中",IF($AL896&lt;&gt;"",IF(N($AE896)&gt;0,"支給済","不支給"),IF($AE896="","要確認",IF($AE896=0,"不支給","未処理")))))</f>
        <v/>
      </c>
      <c r="AG896" s="12" t="n"/>
      <c r="AH896" s="11" t="n"/>
      <c r="AI896" s="11" t="n"/>
      <c r="AJ896" s="11" t="n"/>
      <c r="AK896" s="14">
        <f>IF(AND($AF896="保留中",$AH896&lt;&gt;""),TODAY()-$AH896,"")</f>
        <v/>
      </c>
      <c r="AL896" s="12" t="n"/>
      <c r="AM896" s="14">
        <f>IF($B896="","",IF($AQ896="","対象年月が未入力／","")&amp;IF($B896="","",IF($AP896="","職員マスタに未登録の職員番号／",IF($AA896="","標準報酬月額が未登録／","")&amp;IF(AND($AQ896&lt;&gt;"",OR(AND(INDEX(職員マスタ!$G$6:$G$405,$AP896)&lt;&gt;"",INDEX(職員マスタ!$G$6:$G$405,$AP896)&gt;EOMONTH($AQ896,0)),AND(INDEX(職員マスタ!$H$6:$H$405,$AP896)&lt;&gt;"",INDEX(職員マスタ!$H$6:$H$405,$AP896)&lt;$AQ896))),"対象月が時短期間外／","")&amp;IF(AND(INDEX(職員マスタ!$K$6:$K$405,$AP896)&lt;&gt;"",N($W896)&gt;0,INDEX(職員マスタ!$K$6:$K$405,$AP896)&lt;&gt;$W896),"標準報酬月額が申請書と相違（台帳"&amp;TEXT(INDEX(職員マスタ!$K$6:$K$405,$AP896),"#,##0")&amp;"円／申請書"&amp;TEXT($W896,"#,##0")&amp;"円）／","")&amp;IF(AND(INDEX(職員マスタ!$F$6:$F$405,$AP896)&lt;&gt;"",$AQ896&lt;&gt;"",INDEX(職員マスタ!$F$6:$F$405,$AP896)&lt;$AQ896),"対象月に子が2歳到達済／","")&amp;IF(AND($H896&lt;&gt;"",INDEX(職員マスタ!$B$6:$B$405,$AP896)&lt;&gt;"",SUBSTITUTE(SUBSTITUTE($H896," ","")," ","")&lt;&gt;SUBSTITUTE(SUBSTITUTE(INDEX(職員マスタ!$B$6:$B$405,$AP896)," ","")," ","")),"氏名がマスタと相違／","")&amp;IF(AND($Q896&lt;&gt;"",INDEX(職員マスタ!$E$6:$E$405,$AP896)&lt;&gt;"",$Q896&lt;&gt;INDEX(職員マスタ!$E$6:$E$405,$AP896)),"子の生年月日がマスタと相違／","")&amp;IF(AND($L896&lt;&gt;"",INDEX(職員マスタ!$G$6:$G$405,$AP896)&lt;&gt;"",$L896&lt;&gt;INDEX(職員マスタ!$G$6:$G$405,$AP896)),"時短開始日がマスタと相違／","")&amp;IF(AND($M896&lt;&gt;"",INDEX(職員マスタ!$H$6:$H$405,$AP896)&lt;&gt;"",$M896&lt;&gt;INDEX(職員マスタ!$H$6:$H$405,$AP896)),"時短終了日がマスタと相違／","")))&amp;IF(AND($B896&lt;&gt;"",$E896=""),"報酬額が未入力／","")&amp;IF(N($U896)&gt;0,"申請書に入力エラーが残っています／","")&amp;IF(AND($B896&lt;&gt;"",$AQ896&lt;&gt;""),IF(COUNTIFS($B$6:$B$3005,$B896,$C$6:$C$3005,$C896,$D$6:$D$3005,$D896)&gt;1,"同じ月の請求が重複しています／",""),"")&amp;IF(AND(N($E896)&gt;0,$AB896&lt;&gt;"",$AB896&lt;&gt;"×",$AE896=0,$AD896=""),"計算額が下限以下のため不支給／",""))</f>
        <v/>
      </c>
      <c r="AN896" s="12" t="n"/>
      <c r="AO896" s="14">
        <f>IF($AF896="保留中",COUNTIF($AF$6:$AF896,"保留中"),"")</f>
        <v/>
      </c>
      <c r="AP896" s="14">
        <f>IF($AQ896="","",IF(SUMPRODUCT(MAX((職員マスタ!$A$6:$A$405=$B896)*(((職員マスタ!$G$6:$G$405="")+(職員マスタ!$G$6:$G$405&lt;=EOMONTH($AQ896,0)))&gt;0)*(((職員マスタ!$H$6:$H$405="")+(職員マスタ!$H$6:$H$405&gt;=$AQ896))&gt;0)*(ROW(職員マスタ!$A$6:$A$405)-5)))&gt;0,SUMPRODUCT(MAX((職員マスタ!$A$6:$A$405=$B896)*(((職員マスタ!$G$6:$G$405="")+(職員マスタ!$G$6:$G$405&lt;=EOMONTH($AQ896,0)))&gt;0)*(((職員マスタ!$H$6:$H$405="")+(職員マスタ!$H$6:$H$405&gt;=$AQ896))&gt;0)*(ROW(職員マスタ!$A$6:$A$405)-5))),IFERROR(MATCH($B896,職員マスタ!$A$6:$A$405,0),"")))</f>
        <v/>
      </c>
      <c r="AQ896" s="16">
        <f>IF(OR($B896="",$C896="",$D896=""),"",DATE($C896+2018,$D896,1))</f>
        <v/>
      </c>
    </row>
    <row r="897">
      <c r="A897" s="11" t="n"/>
      <c r="B897" s="12" t="n"/>
      <c r="C897" s="12" t="n"/>
      <c r="D897" s="12" t="n"/>
      <c r="E897" s="13" t="n"/>
      <c r="F897" s="12" t="n"/>
      <c r="G897" s="13" t="n"/>
      <c r="H897" s="12" t="n"/>
      <c r="I897" s="12" t="n"/>
      <c r="J897" s="12" t="n"/>
      <c r="K897" s="12" t="n"/>
      <c r="L897" s="11" t="n"/>
      <c r="M897" s="11" t="n"/>
      <c r="N897" s="11" t="n"/>
      <c r="O897" s="11" t="n"/>
      <c r="P897" s="12" t="n"/>
      <c r="Q897" s="11" t="n"/>
      <c r="R897" s="12" t="n"/>
      <c r="S897" s="11" t="n"/>
      <c r="T897" s="12" t="n"/>
      <c r="U897" s="12" t="n"/>
      <c r="V897" s="12" t="n"/>
      <c r="W897" s="13" t="n"/>
      <c r="X897" s="14">
        <f>IF($AP897="",IF($B897="","",$H897),IF(INDEX(職員マスタ!$B$6:$B$405,$AP897)="",$H897,INDEX(職員マスタ!$B$6:$B$405,$AP897)))</f>
        <v/>
      </c>
      <c r="Y897" s="14">
        <f>IF($AP897="",IF($B897="","",$R897),IF(INDEX(職員マスタ!$C$6:$C$405,$AP897)="",$R897,INDEX(職員マスタ!$C$6:$C$405,$AP897)))</f>
        <v/>
      </c>
      <c r="Z897" s="14">
        <f>IF($AQ897="","","R"&amp;$C897&amp;"."&amp;$D897)</f>
        <v/>
      </c>
      <c r="AA897" s="15">
        <f>IF(IF($AP897="",FALSE,INDEX(職員マスタ!$K$6:$K$405,$AP897)&lt;&gt;""),INDEX(職員マスタ!$K$6:$K$405,$AP897),IF(N($W897)&gt;0,$W897,""))</f>
        <v/>
      </c>
      <c r="AB897" s="14">
        <f>IF(OR($E897="",$AA897=""),"",IF($E897&gt;=$AA897,"×",IF($E897&gt;=$AA897*設定!$C$5,"△","○")))</f>
        <v/>
      </c>
      <c r="AC897" s="15">
        <f>IF($AB897="","",IF($AB897="×",0,IF($AB897="○",ROUNDDOWN($E897*設定!$C$4,0),ROUNDDOWN($E897*ROUND((9*$AA897-9*$E897)/(10*$E897),4),0))))</f>
        <v/>
      </c>
      <c r="AD897" s="13" t="n"/>
      <c r="AE897" s="15">
        <f>IF($B897="","",IF($AD897&lt;&gt;"",$AD897,IF($AC897="","",IF($AC897&lt;=設定!$C$3,0,$AC897))))</f>
        <v/>
      </c>
      <c r="AF897" s="14">
        <f>IF($B897="","",IF(AND($AG897&lt;&gt;"",$AI897="",$AL897=""),"保留中",IF($AL897&lt;&gt;"",IF(N($AE897)&gt;0,"支給済","不支給"),IF($AE897="","要確認",IF($AE897=0,"不支給","未処理")))))</f>
        <v/>
      </c>
      <c r="AG897" s="12" t="n"/>
      <c r="AH897" s="11" t="n"/>
      <c r="AI897" s="11" t="n"/>
      <c r="AJ897" s="11" t="n"/>
      <c r="AK897" s="14">
        <f>IF(AND($AF897="保留中",$AH897&lt;&gt;""),TODAY()-$AH897,"")</f>
        <v/>
      </c>
      <c r="AL897" s="12" t="n"/>
      <c r="AM897" s="14">
        <f>IF($B897="","",IF($AQ897="","対象年月が未入力／","")&amp;IF($B897="","",IF($AP897="","職員マスタに未登録の職員番号／",IF($AA897="","標準報酬月額が未登録／","")&amp;IF(AND($AQ897&lt;&gt;"",OR(AND(INDEX(職員マスタ!$G$6:$G$405,$AP897)&lt;&gt;"",INDEX(職員マスタ!$G$6:$G$405,$AP897)&gt;EOMONTH($AQ897,0)),AND(INDEX(職員マスタ!$H$6:$H$405,$AP897)&lt;&gt;"",INDEX(職員マスタ!$H$6:$H$405,$AP897)&lt;$AQ897))),"対象月が時短期間外／","")&amp;IF(AND(INDEX(職員マスタ!$K$6:$K$405,$AP897)&lt;&gt;"",N($W897)&gt;0,INDEX(職員マスタ!$K$6:$K$405,$AP897)&lt;&gt;$W897),"標準報酬月額が申請書と相違（台帳"&amp;TEXT(INDEX(職員マスタ!$K$6:$K$405,$AP897),"#,##0")&amp;"円／申請書"&amp;TEXT($W897,"#,##0")&amp;"円）／","")&amp;IF(AND(INDEX(職員マスタ!$F$6:$F$405,$AP897)&lt;&gt;"",$AQ897&lt;&gt;"",INDEX(職員マスタ!$F$6:$F$405,$AP897)&lt;$AQ897),"対象月に子が2歳到達済／","")&amp;IF(AND($H897&lt;&gt;"",INDEX(職員マスタ!$B$6:$B$405,$AP897)&lt;&gt;"",SUBSTITUTE(SUBSTITUTE($H897," ","")," ","")&lt;&gt;SUBSTITUTE(SUBSTITUTE(INDEX(職員マスタ!$B$6:$B$405,$AP897)," ","")," ","")),"氏名がマスタと相違／","")&amp;IF(AND($Q897&lt;&gt;"",INDEX(職員マスタ!$E$6:$E$405,$AP897)&lt;&gt;"",$Q897&lt;&gt;INDEX(職員マスタ!$E$6:$E$405,$AP897)),"子の生年月日がマスタと相違／","")&amp;IF(AND($L897&lt;&gt;"",INDEX(職員マスタ!$G$6:$G$405,$AP897)&lt;&gt;"",$L897&lt;&gt;INDEX(職員マスタ!$G$6:$G$405,$AP897)),"時短開始日がマスタと相違／","")&amp;IF(AND($M897&lt;&gt;"",INDEX(職員マスタ!$H$6:$H$405,$AP897)&lt;&gt;"",$M897&lt;&gt;INDEX(職員マスタ!$H$6:$H$405,$AP897)),"時短終了日がマスタと相違／","")))&amp;IF(AND($B897&lt;&gt;"",$E897=""),"報酬額が未入力／","")&amp;IF(N($U897)&gt;0,"申請書に入力エラーが残っています／","")&amp;IF(AND($B897&lt;&gt;"",$AQ897&lt;&gt;""),IF(COUNTIFS($B$6:$B$3005,$B897,$C$6:$C$3005,$C897,$D$6:$D$3005,$D897)&gt;1,"同じ月の請求が重複しています／",""),"")&amp;IF(AND(N($E897)&gt;0,$AB897&lt;&gt;"",$AB897&lt;&gt;"×",$AE897=0,$AD897=""),"計算額が下限以下のため不支給／",""))</f>
        <v/>
      </c>
      <c r="AN897" s="12" t="n"/>
      <c r="AO897" s="14">
        <f>IF($AF897="保留中",COUNTIF($AF$6:$AF897,"保留中"),"")</f>
        <v/>
      </c>
      <c r="AP897" s="14">
        <f>IF($AQ897="","",IF(SUMPRODUCT(MAX((職員マスタ!$A$6:$A$405=$B897)*(((職員マスタ!$G$6:$G$405="")+(職員マスタ!$G$6:$G$405&lt;=EOMONTH($AQ897,0)))&gt;0)*(((職員マスタ!$H$6:$H$405="")+(職員マスタ!$H$6:$H$405&gt;=$AQ897))&gt;0)*(ROW(職員マスタ!$A$6:$A$405)-5)))&gt;0,SUMPRODUCT(MAX((職員マスタ!$A$6:$A$405=$B897)*(((職員マスタ!$G$6:$G$405="")+(職員マスタ!$G$6:$G$405&lt;=EOMONTH($AQ897,0)))&gt;0)*(((職員マスタ!$H$6:$H$405="")+(職員マスタ!$H$6:$H$405&gt;=$AQ897))&gt;0)*(ROW(職員マスタ!$A$6:$A$405)-5))),IFERROR(MATCH($B897,職員マスタ!$A$6:$A$405,0),"")))</f>
        <v/>
      </c>
      <c r="AQ897" s="16">
        <f>IF(OR($B897="",$C897="",$D897=""),"",DATE($C897+2018,$D897,1))</f>
        <v/>
      </c>
    </row>
    <row r="898">
      <c r="A898" s="11" t="n"/>
      <c r="B898" s="12" t="n"/>
      <c r="C898" s="12" t="n"/>
      <c r="D898" s="12" t="n"/>
      <c r="E898" s="13" t="n"/>
      <c r="F898" s="12" t="n"/>
      <c r="G898" s="13" t="n"/>
      <c r="H898" s="12" t="n"/>
      <c r="I898" s="12" t="n"/>
      <c r="J898" s="12" t="n"/>
      <c r="K898" s="12" t="n"/>
      <c r="L898" s="11" t="n"/>
      <c r="M898" s="11" t="n"/>
      <c r="N898" s="11" t="n"/>
      <c r="O898" s="11" t="n"/>
      <c r="P898" s="12" t="n"/>
      <c r="Q898" s="11" t="n"/>
      <c r="R898" s="12" t="n"/>
      <c r="S898" s="11" t="n"/>
      <c r="T898" s="12" t="n"/>
      <c r="U898" s="12" t="n"/>
      <c r="V898" s="12" t="n"/>
      <c r="W898" s="13" t="n"/>
      <c r="X898" s="14">
        <f>IF($AP898="",IF($B898="","",$H898),IF(INDEX(職員マスタ!$B$6:$B$405,$AP898)="",$H898,INDEX(職員マスタ!$B$6:$B$405,$AP898)))</f>
        <v/>
      </c>
      <c r="Y898" s="14">
        <f>IF($AP898="",IF($B898="","",$R898),IF(INDEX(職員マスタ!$C$6:$C$405,$AP898)="",$R898,INDEX(職員マスタ!$C$6:$C$405,$AP898)))</f>
        <v/>
      </c>
      <c r="Z898" s="14">
        <f>IF($AQ898="","","R"&amp;$C898&amp;"."&amp;$D898)</f>
        <v/>
      </c>
      <c r="AA898" s="15">
        <f>IF(IF($AP898="",FALSE,INDEX(職員マスタ!$K$6:$K$405,$AP898)&lt;&gt;""),INDEX(職員マスタ!$K$6:$K$405,$AP898),IF(N($W898)&gt;0,$W898,""))</f>
        <v/>
      </c>
      <c r="AB898" s="14">
        <f>IF(OR($E898="",$AA898=""),"",IF($E898&gt;=$AA898,"×",IF($E898&gt;=$AA898*設定!$C$5,"△","○")))</f>
        <v/>
      </c>
      <c r="AC898" s="15">
        <f>IF($AB898="","",IF($AB898="×",0,IF($AB898="○",ROUNDDOWN($E898*設定!$C$4,0),ROUNDDOWN($E898*ROUND((9*$AA898-9*$E898)/(10*$E898),4),0))))</f>
        <v/>
      </c>
      <c r="AD898" s="13" t="n"/>
      <c r="AE898" s="15">
        <f>IF($B898="","",IF($AD898&lt;&gt;"",$AD898,IF($AC898="","",IF($AC898&lt;=設定!$C$3,0,$AC898))))</f>
        <v/>
      </c>
      <c r="AF898" s="14">
        <f>IF($B898="","",IF(AND($AG898&lt;&gt;"",$AI898="",$AL898=""),"保留中",IF($AL898&lt;&gt;"",IF(N($AE898)&gt;0,"支給済","不支給"),IF($AE898="","要確認",IF($AE898=0,"不支給","未処理")))))</f>
        <v/>
      </c>
      <c r="AG898" s="12" t="n"/>
      <c r="AH898" s="11" t="n"/>
      <c r="AI898" s="11" t="n"/>
      <c r="AJ898" s="11" t="n"/>
      <c r="AK898" s="14">
        <f>IF(AND($AF898="保留中",$AH898&lt;&gt;""),TODAY()-$AH898,"")</f>
        <v/>
      </c>
      <c r="AL898" s="12" t="n"/>
      <c r="AM898" s="14">
        <f>IF($B898="","",IF($AQ898="","対象年月が未入力／","")&amp;IF($B898="","",IF($AP898="","職員マスタに未登録の職員番号／",IF($AA898="","標準報酬月額が未登録／","")&amp;IF(AND($AQ898&lt;&gt;"",OR(AND(INDEX(職員マスタ!$G$6:$G$405,$AP898)&lt;&gt;"",INDEX(職員マスタ!$G$6:$G$405,$AP898)&gt;EOMONTH($AQ898,0)),AND(INDEX(職員マスタ!$H$6:$H$405,$AP898)&lt;&gt;"",INDEX(職員マスタ!$H$6:$H$405,$AP898)&lt;$AQ898))),"対象月が時短期間外／","")&amp;IF(AND(INDEX(職員マスタ!$K$6:$K$405,$AP898)&lt;&gt;"",N($W898)&gt;0,INDEX(職員マスタ!$K$6:$K$405,$AP898)&lt;&gt;$W898),"標準報酬月額が申請書と相違（台帳"&amp;TEXT(INDEX(職員マスタ!$K$6:$K$405,$AP898),"#,##0")&amp;"円／申請書"&amp;TEXT($W898,"#,##0")&amp;"円）／","")&amp;IF(AND(INDEX(職員マスタ!$F$6:$F$405,$AP898)&lt;&gt;"",$AQ898&lt;&gt;"",INDEX(職員マスタ!$F$6:$F$405,$AP898)&lt;$AQ898),"対象月に子が2歳到達済／","")&amp;IF(AND($H898&lt;&gt;"",INDEX(職員マスタ!$B$6:$B$405,$AP898)&lt;&gt;"",SUBSTITUTE(SUBSTITUTE($H898," ","")," ","")&lt;&gt;SUBSTITUTE(SUBSTITUTE(INDEX(職員マスタ!$B$6:$B$405,$AP898)," ","")," ","")),"氏名がマスタと相違／","")&amp;IF(AND($Q898&lt;&gt;"",INDEX(職員マスタ!$E$6:$E$405,$AP898)&lt;&gt;"",$Q898&lt;&gt;INDEX(職員マスタ!$E$6:$E$405,$AP898)),"子の生年月日がマスタと相違／","")&amp;IF(AND($L898&lt;&gt;"",INDEX(職員マスタ!$G$6:$G$405,$AP898)&lt;&gt;"",$L898&lt;&gt;INDEX(職員マスタ!$G$6:$G$405,$AP898)),"時短開始日がマスタと相違／","")&amp;IF(AND($M898&lt;&gt;"",INDEX(職員マスタ!$H$6:$H$405,$AP898)&lt;&gt;"",$M898&lt;&gt;INDEX(職員マスタ!$H$6:$H$405,$AP898)),"時短終了日がマスタと相違／","")))&amp;IF(AND($B898&lt;&gt;"",$E898=""),"報酬額が未入力／","")&amp;IF(N($U898)&gt;0,"申請書に入力エラーが残っています／","")&amp;IF(AND($B898&lt;&gt;"",$AQ898&lt;&gt;""),IF(COUNTIFS($B$6:$B$3005,$B898,$C$6:$C$3005,$C898,$D$6:$D$3005,$D898)&gt;1,"同じ月の請求が重複しています／",""),"")&amp;IF(AND(N($E898)&gt;0,$AB898&lt;&gt;"",$AB898&lt;&gt;"×",$AE898=0,$AD898=""),"計算額が下限以下のため不支給／",""))</f>
        <v/>
      </c>
      <c r="AN898" s="12" t="n"/>
      <c r="AO898" s="14">
        <f>IF($AF898="保留中",COUNTIF($AF$6:$AF898,"保留中"),"")</f>
        <v/>
      </c>
      <c r="AP898" s="14">
        <f>IF($AQ898="","",IF(SUMPRODUCT(MAX((職員マスタ!$A$6:$A$405=$B898)*(((職員マスタ!$G$6:$G$405="")+(職員マスタ!$G$6:$G$405&lt;=EOMONTH($AQ898,0)))&gt;0)*(((職員マスタ!$H$6:$H$405="")+(職員マスタ!$H$6:$H$405&gt;=$AQ898))&gt;0)*(ROW(職員マスタ!$A$6:$A$405)-5)))&gt;0,SUMPRODUCT(MAX((職員マスタ!$A$6:$A$405=$B898)*(((職員マスタ!$G$6:$G$405="")+(職員マスタ!$G$6:$G$405&lt;=EOMONTH($AQ898,0)))&gt;0)*(((職員マスタ!$H$6:$H$405="")+(職員マスタ!$H$6:$H$405&gt;=$AQ898))&gt;0)*(ROW(職員マスタ!$A$6:$A$405)-5))),IFERROR(MATCH($B898,職員マスタ!$A$6:$A$405,0),"")))</f>
        <v/>
      </c>
      <c r="AQ898" s="16">
        <f>IF(OR($B898="",$C898="",$D898=""),"",DATE($C898+2018,$D898,1))</f>
        <v/>
      </c>
    </row>
    <row r="899">
      <c r="A899" s="11" t="n"/>
      <c r="B899" s="12" t="n"/>
      <c r="C899" s="12" t="n"/>
      <c r="D899" s="12" t="n"/>
      <c r="E899" s="13" t="n"/>
      <c r="F899" s="12" t="n"/>
      <c r="G899" s="13" t="n"/>
      <c r="H899" s="12" t="n"/>
      <c r="I899" s="12" t="n"/>
      <c r="J899" s="12" t="n"/>
      <c r="K899" s="12" t="n"/>
      <c r="L899" s="11" t="n"/>
      <c r="M899" s="11" t="n"/>
      <c r="N899" s="11" t="n"/>
      <c r="O899" s="11" t="n"/>
      <c r="P899" s="12" t="n"/>
      <c r="Q899" s="11" t="n"/>
      <c r="R899" s="12" t="n"/>
      <c r="S899" s="11" t="n"/>
      <c r="T899" s="12" t="n"/>
      <c r="U899" s="12" t="n"/>
      <c r="V899" s="12" t="n"/>
      <c r="W899" s="13" t="n"/>
      <c r="X899" s="14">
        <f>IF($AP899="",IF($B899="","",$H899),IF(INDEX(職員マスタ!$B$6:$B$405,$AP899)="",$H899,INDEX(職員マスタ!$B$6:$B$405,$AP899)))</f>
        <v/>
      </c>
      <c r="Y899" s="14">
        <f>IF($AP899="",IF($B899="","",$R899),IF(INDEX(職員マスタ!$C$6:$C$405,$AP899)="",$R899,INDEX(職員マスタ!$C$6:$C$405,$AP899)))</f>
        <v/>
      </c>
      <c r="Z899" s="14">
        <f>IF($AQ899="","","R"&amp;$C899&amp;"."&amp;$D899)</f>
        <v/>
      </c>
      <c r="AA899" s="15">
        <f>IF(IF($AP899="",FALSE,INDEX(職員マスタ!$K$6:$K$405,$AP899)&lt;&gt;""),INDEX(職員マスタ!$K$6:$K$405,$AP899),IF(N($W899)&gt;0,$W899,""))</f>
        <v/>
      </c>
      <c r="AB899" s="14">
        <f>IF(OR($E899="",$AA899=""),"",IF($E899&gt;=$AA899,"×",IF($E899&gt;=$AA899*設定!$C$5,"△","○")))</f>
        <v/>
      </c>
      <c r="AC899" s="15">
        <f>IF($AB899="","",IF($AB899="×",0,IF($AB899="○",ROUNDDOWN($E899*設定!$C$4,0),ROUNDDOWN($E899*ROUND((9*$AA899-9*$E899)/(10*$E899),4),0))))</f>
        <v/>
      </c>
      <c r="AD899" s="13" t="n"/>
      <c r="AE899" s="15">
        <f>IF($B899="","",IF($AD899&lt;&gt;"",$AD899,IF($AC899="","",IF($AC899&lt;=設定!$C$3,0,$AC899))))</f>
        <v/>
      </c>
      <c r="AF899" s="14">
        <f>IF($B899="","",IF(AND($AG899&lt;&gt;"",$AI899="",$AL899=""),"保留中",IF($AL899&lt;&gt;"",IF(N($AE899)&gt;0,"支給済","不支給"),IF($AE899="","要確認",IF($AE899=0,"不支給","未処理")))))</f>
        <v/>
      </c>
      <c r="AG899" s="12" t="n"/>
      <c r="AH899" s="11" t="n"/>
      <c r="AI899" s="11" t="n"/>
      <c r="AJ899" s="11" t="n"/>
      <c r="AK899" s="14">
        <f>IF(AND($AF899="保留中",$AH899&lt;&gt;""),TODAY()-$AH899,"")</f>
        <v/>
      </c>
      <c r="AL899" s="12" t="n"/>
      <c r="AM899" s="14">
        <f>IF($B899="","",IF($AQ899="","対象年月が未入力／","")&amp;IF($B899="","",IF($AP899="","職員マスタに未登録の職員番号／",IF($AA899="","標準報酬月額が未登録／","")&amp;IF(AND($AQ899&lt;&gt;"",OR(AND(INDEX(職員マスタ!$G$6:$G$405,$AP899)&lt;&gt;"",INDEX(職員マスタ!$G$6:$G$405,$AP899)&gt;EOMONTH($AQ899,0)),AND(INDEX(職員マスタ!$H$6:$H$405,$AP899)&lt;&gt;"",INDEX(職員マスタ!$H$6:$H$405,$AP899)&lt;$AQ899))),"対象月が時短期間外／","")&amp;IF(AND(INDEX(職員マスタ!$K$6:$K$405,$AP899)&lt;&gt;"",N($W899)&gt;0,INDEX(職員マスタ!$K$6:$K$405,$AP899)&lt;&gt;$W899),"標準報酬月額が申請書と相違（台帳"&amp;TEXT(INDEX(職員マスタ!$K$6:$K$405,$AP899),"#,##0")&amp;"円／申請書"&amp;TEXT($W899,"#,##0")&amp;"円）／","")&amp;IF(AND(INDEX(職員マスタ!$F$6:$F$405,$AP899)&lt;&gt;"",$AQ899&lt;&gt;"",INDEX(職員マスタ!$F$6:$F$405,$AP899)&lt;$AQ899),"対象月に子が2歳到達済／","")&amp;IF(AND($H899&lt;&gt;"",INDEX(職員マスタ!$B$6:$B$405,$AP899)&lt;&gt;"",SUBSTITUTE(SUBSTITUTE($H899," ","")," ","")&lt;&gt;SUBSTITUTE(SUBSTITUTE(INDEX(職員マスタ!$B$6:$B$405,$AP899)," ","")," ","")),"氏名がマスタと相違／","")&amp;IF(AND($Q899&lt;&gt;"",INDEX(職員マスタ!$E$6:$E$405,$AP899)&lt;&gt;"",$Q899&lt;&gt;INDEX(職員マスタ!$E$6:$E$405,$AP899)),"子の生年月日がマスタと相違／","")&amp;IF(AND($L899&lt;&gt;"",INDEX(職員マスタ!$G$6:$G$405,$AP899)&lt;&gt;"",$L899&lt;&gt;INDEX(職員マスタ!$G$6:$G$405,$AP899)),"時短開始日がマスタと相違／","")&amp;IF(AND($M899&lt;&gt;"",INDEX(職員マスタ!$H$6:$H$405,$AP899)&lt;&gt;"",$M899&lt;&gt;INDEX(職員マスタ!$H$6:$H$405,$AP899)),"時短終了日がマスタと相違／","")))&amp;IF(AND($B899&lt;&gt;"",$E899=""),"報酬額が未入力／","")&amp;IF(N($U899)&gt;0,"申請書に入力エラーが残っています／","")&amp;IF(AND($B899&lt;&gt;"",$AQ899&lt;&gt;""),IF(COUNTIFS($B$6:$B$3005,$B899,$C$6:$C$3005,$C899,$D$6:$D$3005,$D899)&gt;1,"同じ月の請求が重複しています／",""),"")&amp;IF(AND(N($E899)&gt;0,$AB899&lt;&gt;"",$AB899&lt;&gt;"×",$AE899=0,$AD899=""),"計算額が下限以下のため不支給／",""))</f>
        <v/>
      </c>
      <c r="AN899" s="12" t="n"/>
      <c r="AO899" s="14">
        <f>IF($AF899="保留中",COUNTIF($AF$6:$AF899,"保留中"),"")</f>
        <v/>
      </c>
      <c r="AP899" s="14">
        <f>IF($AQ899="","",IF(SUMPRODUCT(MAX((職員マスタ!$A$6:$A$405=$B899)*(((職員マスタ!$G$6:$G$405="")+(職員マスタ!$G$6:$G$405&lt;=EOMONTH($AQ899,0)))&gt;0)*(((職員マスタ!$H$6:$H$405="")+(職員マスタ!$H$6:$H$405&gt;=$AQ899))&gt;0)*(ROW(職員マスタ!$A$6:$A$405)-5)))&gt;0,SUMPRODUCT(MAX((職員マスタ!$A$6:$A$405=$B899)*(((職員マスタ!$G$6:$G$405="")+(職員マスタ!$G$6:$G$405&lt;=EOMONTH($AQ899,0)))&gt;0)*(((職員マスタ!$H$6:$H$405="")+(職員マスタ!$H$6:$H$405&gt;=$AQ899))&gt;0)*(ROW(職員マスタ!$A$6:$A$405)-5))),IFERROR(MATCH($B899,職員マスタ!$A$6:$A$405,0),"")))</f>
        <v/>
      </c>
      <c r="AQ899" s="16">
        <f>IF(OR($B899="",$C899="",$D899=""),"",DATE($C899+2018,$D899,1))</f>
        <v/>
      </c>
    </row>
    <row r="900">
      <c r="A900" s="11" t="n"/>
      <c r="B900" s="12" t="n"/>
      <c r="C900" s="12" t="n"/>
      <c r="D900" s="12" t="n"/>
      <c r="E900" s="13" t="n"/>
      <c r="F900" s="12" t="n"/>
      <c r="G900" s="13" t="n"/>
      <c r="H900" s="12" t="n"/>
      <c r="I900" s="12" t="n"/>
      <c r="J900" s="12" t="n"/>
      <c r="K900" s="12" t="n"/>
      <c r="L900" s="11" t="n"/>
      <c r="M900" s="11" t="n"/>
      <c r="N900" s="11" t="n"/>
      <c r="O900" s="11" t="n"/>
      <c r="P900" s="12" t="n"/>
      <c r="Q900" s="11" t="n"/>
      <c r="R900" s="12" t="n"/>
      <c r="S900" s="11" t="n"/>
      <c r="T900" s="12" t="n"/>
      <c r="U900" s="12" t="n"/>
      <c r="V900" s="12" t="n"/>
      <c r="W900" s="13" t="n"/>
      <c r="X900" s="14">
        <f>IF($AP900="",IF($B900="","",$H900),IF(INDEX(職員マスタ!$B$6:$B$405,$AP900)="",$H900,INDEX(職員マスタ!$B$6:$B$405,$AP900)))</f>
        <v/>
      </c>
      <c r="Y900" s="14">
        <f>IF($AP900="",IF($B900="","",$R900),IF(INDEX(職員マスタ!$C$6:$C$405,$AP900)="",$R900,INDEX(職員マスタ!$C$6:$C$405,$AP900)))</f>
        <v/>
      </c>
      <c r="Z900" s="14">
        <f>IF($AQ900="","","R"&amp;$C900&amp;"."&amp;$D900)</f>
        <v/>
      </c>
      <c r="AA900" s="15">
        <f>IF(IF($AP900="",FALSE,INDEX(職員マスタ!$K$6:$K$405,$AP900)&lt;&gt;""),INDEX(職員マスタ!$K$6:$K$405,$AP900),IF(N($W900)&gt;0,$W900,""))</f>
        <v/>
      </c>
      <c r="AB900" s="14">
        <f>IF(OR($E900="",$AA900=""),"",IF($E900&gt;=$AA900,"×",IF($E900&gt;=$AA900*設定!$C$5,"△","○")))</f>
        <v/>
      </c>
      <c r="AC900" s="15">
        <f>IF($AB900="","",IF($AB900="×",0,IF($AB900="○",ROUNDDOWN($E900*設定!$C$4,0),ROUNDDOWN($E900*ROUND((9*$AA900-9*$E900)/(10*$E900),4),0))))</f>
        <v/>
      </c>
      <c r="AD900" s="13" t="n"/>
      <c r="AE900" s="15">
        <f>IF($B900="","",IF($AD900&lt;&gt;"",$AD900,IF($AC900="","",IF($AC900&lt;=設定!$C$3,0,$AC900))))</f>
        <v/>
      </c>
      <c r="AF900" s="14">
        <f>IF($B900="","",IF(AND($AG900&lt;&gt;"",$AI900="",$AL900=""),"保留中",IF($AL900&lt;&gt;"",IF(N($AE900)&gt;0,"支給済","不支給"),IF($AE900="","要確認",IF($AE900=0,"不支給","未処理")))))</f>
        <v/>
      </c>
      <c r="AG900" s="12" t="n"/>
      <c r="AH900" s="11" t="n"/>
      <c r="AI900" s="11" t="n"/>
      <c r="AJ900" s="11" t="n"/>
      <c r="AK900" s="14">
        <f>IF(AND($AF900="保留中",$AH900&lt;&gt;""),TODAY()-$AH900,"")</f>
        <v/>
      </c>
      <c r="AL900" s="12" t="n"/>
      <c r="AM900" s="14">
        <f>IF($B900="","",IF($AQ900="","対象年月が未入力／","")&amp;IF($B900="","",IF($AP900="","職員マスタに未登録の職員番号／",IF($AA900="","標準報酬月額が未登録／","")&amp;IF(AND($AQ900&lt;&gt;"",OR(AND(INDEX(職員マスタ!$G$6:$G$405,$AP900)&lt;&gt;"",INDEX(職員マスタ!$G$6:$G$405,$AP900)&gt;EOMONTH($AQ900,0)),AND(INDEX(職員マスタ!$H$6:$H$405,$AP900)&lt;&gt;"",INDEX(職員マスタ!$H$6:$H$405,$AP900)&lt;$AQ900))),"対象月が時短期間外／","")&amp;IF(AND(INDEX(職員マスタ!$K$6:$K$405,$AP900)&lt;&gt;"",N($W900)&gt;0,INDEX(職員マスタ!$K$6:$K$405,$AP900)&lt;&gt;$W900),"標準報酬月額が申請書と相違（台帳"&amp;TEXT(INDEX(職員マスタ!$K$6:$K$405,$AP900),"#,##0")&amp;"円／申請書"&amp;TEXT($W900,"#,##0")&amp;"円）／","")&amp;IF(AND(INDEX(職員マスタ!$F$6:$F$405,$AP900)&lt;&gt;"",$AQ900&lt;&gt;"",INDEX(職員マスタ!$F$6:$F$405,$AP900)&lt;$AQ900),"対象月に子が2歳到達済／","")&amp;IF(AND($H900&lt;&gt;"",INDEX(職員マスタ!$B$6:$B$405,$AP900)&lt;&gt;"",SUBSTITUTE(SUBSTITUTE($H900," ","")," ","")&lt;&gt;SUBSTITUTE(SUBSTITUTE(INDEX(職員マスタ!$B$6:$B$405,$AP900)," ","")," ","")),"氏名がマスタと相違／","")&amp;IF(AND($Q900&lt;&gt;"",INDEX(職員マスタ!$E$6:$E$405,$AP900)&lt;&gt;"",$Q900&lt;&gt;INDEX(職員マスタ!$E$6:$E$405,$AP900)),"子の生年月日がマスタと相違／","")&amp;IF(AND($L900&lt;&gt;"",INDEX(職員マスタ!$G$6:$G$405,$AP900)&lt;&gt;"",$L900&lt;&gt;INDEX(職員マスタ!$G$6:$G$405,$AP900)),"時短開始日がマスタと相違／","")&amp;IF(AND($M900&lt;&gt;"",INDEX(職員マスタ!$H$6:$H$405,$AP900)&lt;&gt;"",$M900&lt;&gt;INDEX(職員マスタ!$H$6:$H$405,$AP900)),"時短終了日がマスタと相違／","")))&amp;IF(AND($B900&lt;&gt;"",$E900=""),"報酬額が未入力／","")&amp;IF(N($U900)&gt;0,"申請書に入力エラーが残っています／","")&amp;IF(AND($B900&lt;&gt;"",$AQ900&lt;&gt;""),IF(COUNTIFS($B$6:$B$3005,$B900,$C$6:$C$3005,$C900,$D$6:$D$3005,$D900)&gt;1,"同じ月の請求が重複しています／",""),"")&amp;IF(AND(N($E900)&gt;0,$AB900&lt;&gt;"",$AB900&lt;&gt;"×",$AE900=0,$AD900=""),"計算額が下限以下のため不支給／",""))</f>
        <v/>
      </c>
      <c r="AN900" s="12" t="n"/>
      <c r="AO900" s="14">
        <f>IF($AF900="保留中",COUNTIF($AF$6:$AF900,"保留中"),"")</f>
        <v/>
      </c>
      <c r="AP900" s="14">
        <f>IF($AQ900="","",IF(SUMPRODUCT(MAX((職員マスタ!$A$6:$A$405=$B900)*(((職員マスタ!$G$6:$G$405="")+(職員マスタ!$G$6:$G$405&lt;=EOMONTH($AQ900,0)))&gt;0)*(((職員マスタ!$H$6:$H$405="")+(職員マスタ!$H$6:$H$405&gt;=$AQ900))&gt;0)*(ROW(職員マスタ!$A$6:$A$405)-5)))&gt;0,SUMPRODUCT(MAX((職員マスタ!$A$6:$A$405=$B900)*(((職員マスタ!$G$6:$G$405="")+(職員マスタ!$G$6:$G$405&lt;=EOMONTH($AQ900,0)))&gt;0)*(((職員マスタ!$H$6:$H$405="")+(職員マスタ!$H$6:$H$405&gt;=$AQ900))&gt;0)*(ROW(職員マスタ!$A$6:$A$405)-5))),IFERROR(MATCH($B900,職員マスタ!$A$6:$A$405,0),"")))</f>
        <v/>
      </c>
      <c r="AQ900" s="16">
        <f>IF(OR($B900="",$C900="",$D900=""),"",DATE($C900+2018,$D900,1))</f>
        <v/>
      </c>
    </row>
    <row r="901">
      <c r="A901" s="11" t="n"/>
      <c r="B901" s="12" t="n"/>
      <c r="C901" s="12" t="n"/>
      <c r="D901" s="12" t="n"/>
      <c r="E901" s="13" t="n"/>
      <c r="F901" s="12" t="n"/>
      <c r="G901" s="13" t="n"/>
      <c r="H901" s="12" t="n"/>
      <c r="I901" s="12" t="n"/>
      <c r="J901" s="12" t="n"/>
      <c r="K901" s="12" t="n"/>
      <c r="L901" s="11" t="n"/>
      <c r="M901" s="11" t="n"/>
      <c r="N901" s="11" t="n"/>
      <c r="O901" s="11" t="n"/>
      <c r="P901" s="12" t="n"/>
      <c r="Q901" s="11" t="n"/>
      <c r="R901" s="12" t="n"/>
      <c r="S901" s="11" t="n"/>
      <c r="T901" s="12" t="n"/>
      <c r="U901" s="12" t="n"/>
      <c r="V901" s="12" t="n"/>
      <c r="W901" s="13" t="n"/>
      <c r="X901" s="14">
        <f>IF($AP901="",IF($B901="","",$H901),IF(INDEX(職員マスタ!$B$6:$B$405,$AP901)="",$H901,INDEX(職員マスタ!$B$6:$B$405,$AP901)))</f>
        <v/>
      </c>
      <c r="Y901" s="14">
        <f>IF($AP901="",IF($B901="","",$R901),IF(INDEX(職員マスタ!$C$6:$C$405,$AP901)="",$R901,INDEX(職員マスタ!$C$6:$C$405,$AP901)))</f>
        <v/>
      </c>
      <c r="Z901" s="14">
        <f>IF($AQ901="","","R"&amp;$C901&amp;"."&amp;$D901)</f>
        <v/>
      </c>
      <c r="AA901" s="15">
        <f>IF(IF($AP901="",FALSE,INDEX(職員マスタ!$K$6:$K$405,$AP901)&lt;&gt;""),INDEX(職員マスタ!$K$6:$K$405,$AP901),IF(N($W901)&gt;0,$W901,""))</f>
        <v/>
      </c>
      <c r="AB901" s="14">
        <f>IF(OR($E901="",$AA901=""),"",IF($E901&gt;=$AA901,"×",IF($E901&gt;=$AA901*設定!$C$5,"△","○")))</f>
        <v/>
      </c>
      <c r="AC901" s="15">
        <f>IF($AB901="","",IF($AB901="×",0,IF($AB901="○",ROUNDDOWN($E901*設定!$C$4,0),ROUNDDOWN($E901*ROUND((9*$AA901-9*$E901)/(10*$E901),4),0))))</f>
        <v/>
      </c>
      <c r="AD901" s="13" t="n"/>
      <c r="AE901" s="15">
        <f>IF($B901="","",IF($AD901&lt;&gt;"",$AD901,IF($AC901="","",IF($AC901&lt;=設定!$C$3,0,$AC901))))</f>
        <v/>
      </c>
      <c r="AF901" s="14">
        <f>IF($B901="","",IF(AND($AG901&lt;&gt;"",$AI901="",$AL901=""),"保留中",IF($AL901&lt;&gt;"",IF(N($AE901)&gt;0,"支給済","不支給"),IF($AE901="","要確認",IF($AE901=0,"不支給","未処理")))))</f>
        <v/>
      </c>
      <c r="AG901" s="12" t="n"/>
      <c r="AH901" s="11" t="n"/>
      <c r="AI901" s="11" t="n"/>
      <c r="AJ901" s="11" t="n"/>
      <c r="AK901" s="14">
        <f>IF(AND($AF901="保留中",$AH901&lt;&gt;""),TODAY()-$AH901,"")</f>
        <v/>
      </c>
      <c r="AL901" s="12" t="n"/>
      <c r="AM901" s="14">
        <f>IF($B901="","",IF($AQ901="","対象年月が未入力／","")&amp;IF($B901="","",IF($AP901="","職員マスタに未登録の職員番号／",IF($AA901="","標準報酬月額が未登録／","")&amp;IF(AND($AQ901&lt;&gt;"",OR(AND(INDEX(職員マスタ!$G$6:$G$405,$AP901)&lt;&gt;"",INDEX(職員マスタ!$G$6:$G$405,$AP901)&gt;EOMONTH($AQ901,0)),AND(INDEX(職員マスタ!$H$6:$H$405,$AP901)&lt;&gt;"",INDEX(職員マスタ!$H$6:$H$405,$AP901)&lt;$AQ901))),"対象月が時短期間外／","")&amp;IF(AND(INDEX(職員マスタ!$K$6:$K$405,$AP901)&lt;&gt;"",N($W901)&gt;0,INDEX(職員マスタ!$K$6:$K$405,$AP901)&lt;&gt;$W901),"標準報酬月額が申請書と相違（台帳"&amp;TEXT(INDEX(職員マスタ!$K$6:$K$405,$AP901),"#,##0")&amp;"円／申請書"&amp;TEXT($W901,"#,##0")&amp;"円）／","")&amp;IF(AND(INDEX(職員マスタ!$F$6:$F$405,$AP901)&lt;&gt;"",$AQ901&lt;&gt;"",INDEX(職員マスタ!$F$6:$F$405,$AP901)&lt;$AQ901),"対象月に子が2歳到達済／","")&amp;IF(AND($H901&lt;&gt;"",INDEX(職員マスタ!$B$6:$B$405,$AP901)&lt;&gt;"",SUBSTITUTE(SUBSTITUTE($H901," ","")," ","")&lt;&gt;SUBSTITUTE(SUBSTITUTE(INDEX(職員マスタ!$B$6:$B$405,$AP901)," ","")," ","")),"氏名がマスタと相違／","")&amp;IF(AND($Q901&lt;&gt;"",INDEX(職員マスタ!$E$6:$E$405,$AP901)&lt;&gt;"",$Q901&lt;&gt;INDEX(職員マスタ!$E$6:$E$405,$AP901)),"子の生年月日がマスタと相違／","")&amp;IF(AND($L901&lt;&gt;"",INDEX(職員マスタ!$G$6:$G$405,$AP901)&lt;&gt;"",$L901&lt;&gt;INDEX(職員マスタ!$G$6:$G$405,$AP901)),"時短開始日がマスタと相違／","")&amp;IF(AND($M901&lt;&gt;"",INDEX(職員マスタ!$H$6:$H$405,$AP901)&lt;&gt;"",$M901&lt;&gt;INDEX(職員マスタ!$H$6:$H$405,$AP901)),"時短終了日がマスタと相違／","")))&amp;IF(AND($B901&lt;&gt;"",$E901=""),"報酬額が未入力／","")&amp;IF(N($U901)&gt;0,"申請書に入力エラーが残っています／","")&amp;IF(AND($B901&lt;&gt;"",$AQ901&lt;&gt;""),IF(COUNTIFS($B$6:$B$3005,$B901,$C$6:$C$3005,$C901,$D$6:$D$3005,$D901)&gt;1,"同じ月の請求が重複しています／",""),"")&amp;IF(AND(N($E901)&gt;0,$AB901&lt;&gt;"",$AB901&lt;&gt;"×",$AE901=0,$AD901=""),"計算額が下限以下のため不支給／",""))</f>
        <v/>
      </c>
      <c r="AN901" s="12" t="n"/>
      <c r="AO901" s="14">
        <f>IF($AF901="保留中",COUNTIF($AF$6:$AF901,"保留中"),"")</f>
        <v/>
      </c>
      <c r="AP901" s="14">
        <f>IF($AQ901="","",IF(SUMPRODUCT(MAX((職員マスタ!$A$6:$A$405=$B901)*(((職員マスタ!$G$6:$G$405="")+(職員マスタ!$G$6:$G$405&lt;=EOMONTH($AQ901,0)))&gt;0)*(((職員マスタ!$H$6:$H$405="")+(職員マスタ!$H$6:$H$405&gt;=$AQ901))&gt;0)*(ROW(職員マスタ!$A$6:$A$405)-5)))&gt;0,SUMPRODUCT(MAX((職員マスタ!$A$6:$A$405=$B901)*(((職員マスタ!$G$6:$G$405="")+(職員マスタ!$G$6:$G$405&lt;=EOMONTH($AQ901,0)))&gt;0)*(((職員マスタ!$H$6:$H$405="")+(職員マスタ!$H$6:$H$405&gt;=$AQ901))&gt;0)*(ROW(職員マスタ!$A$6:$A$405)-5))),IFERROR(MATCH($B901,職員マスタ!$A$6:$A$405,0),"")))</f>
        <v/>
      </c>
      <c r="AQ901" s="16">
        <f>IF(OR($B901="",$C901="",$D901=""),"",DATE($C901+2018,$D901,1))</f>
        <v/>
      </c>
    </row>
    <row r="902">
      <c r="A902" s="11" t="n"/>
      <c r="B902" s="12" t="n"/>
      <c r="C902" s="12" t="n"/>
      <c r="D902" s="12" t="n"/>
      <c r="E902" s="13" t="n"/>
      <c r="F902" s="12" t="n"/>
      <c r="G902" s="13" t="n"/>
      <c r="H902" s="12" t="n"/>
      <c r="I902" s="12" t="n"/>
      <c r="J902" s="12" t="n"/>
      <c r="K902" s="12" t="n"/>
      <c r="L902" s="11" t="n"/>
      <c r="M902" s="11" t="n"/>
      <c r="N902" s="11" t="n"/>
      <c r="O902" s="11" t="n"/>
      <c r="P902" s="12" t="n"/>
      <c r="Q902" s="11" t="n"/>
      <c r="R902" s="12" t="n"/>
      <c r="S902" s="11" t="n"/>
      <c r="T902" s="12" t="n"/>
      <c r="U902" s="12" t="n"/>
      <c r="V902" s="12" t="n"/>
      <c r="W902" s="13" t="n"/>
      <c r="X902" s="14">
        <f>IF($AP902="",IF($B902="","",$H902),IF(INDEX(職員マスタ!$B$6:$B$405,$AP902)="",$H902,INDEX(職員マスタ!$B$6:$B$405,$AP902)))</f>
        <v/>
      </c>
      <c r="Y902" s="14">
        <f>IF($AP902="",IF($B902="","",$R902),IF(INDEX(職員マスタ!$C$6:$C$405,$AP902)="",$R902,INDEX(職員マスタ!$C$6:$C$405,$AP902)))</f>
        <v/>
      </c>
      <c r="Z902" s="14">
        <f>IF($AQ902="","","R"&amp;$C902&amp;"."&amp;$D902)</f>
        <v/>
      </c>
      <c r="AA902" s="15">
        <f>IF(IF($AP902="",FALSE,INDEX(職員マスタ!$K$6:$K$405,$AP902)&lt;&gt;""),INDEX(職員マスタ!$K$6:$K$405,$AP902),IF(N($W902)&gt;0,$W902,""))</f>
        <v/>
      </c>
      <c r="AB902" s="14">
        <f>IF(OR($E902="",$AA902=""),"",IF($E902&gt;=$AA902,"×",IF($E902&gt;=$AA902*設定!$C$5,"△","○")))</f>
        <v/>
      </c>
      <c r="AC902" s="15">
        <f>IF($AB902="","",IF($AB902="×",0,IF($AB902="○",ROUNDDOWN($E902*設定!$C$4,0),ROUNDDOWN($E902*ROUND((9*$AA902-9*$E902)/(10*$E902),4),0))))</f>
        <v/>
      </c>
      <c r="AD902" s="13" t="n"/>
      <c r="AE902" s="15">
        <f>IF($B902="","",IF($AD902&lt;&gt;"",$AD902,IF($AC902="","",IF($AC902&lt;=設定!$C$3,0,$AC902))))</f>
        <v/>
      </c>
      <c r="AF902" s="14">
        <f>IF($B902="","",IF(AND($AG902&lt;&gt;"",$AI902="",$AL902=""),"保留中",IF($AL902&lt;&gt;"",IF(N($AE902)&gt;0,"支給済","不支給"),IF($AE902="","要確認",IF($AE902=0,"不支給","未処理")))))</f>
        <v/>
      </c>
      <c r="AG902" s="12" t="n"/>
      <c r="AH902" s="11" t="n"/>
      <c r="AI902" s="11" t="n"/>
      <c r="AJ902" s="11" t="n"/>
      <c r="AK902" s="14">
        <f>IF(AND($AF902="保留中",$AH902&lt;&gt;""),TODAY()-$AH902,"")</f>
        <v/>
      </c>
      <c r="AL902" s="12" t="n"/>
      <c r="AM902" s="14">
        <f>IF($B902="","",IF($AQ902="","対象年月が未入力／","")&amp;IF($B902="","",IF($AP902="","職員マスタに未登録の職員番号／",IF($AA902="","標準報酬月額が未登録／","")&amp;IF(AND($AQ902&lt;&gt;"",OR(AND(INDEX(職員マスタ!$G$6:$G$405,$AP902)&lt;&gt;"",INDEX(職員マスタ!$G$6:$G$405,$AP902)&gt;EOMONTH($AQ902,0)),AND(INDEX(職員マスタ!$H$6:$H$405,$AP902)&lt;&gt;"",INDEX(職員マスタ!$H$6:$H$405,$AP902)&lt;$AQ902))),"対象月が時短期間外／","")&amp;IF(AND(INDEX(職員マスタ!$K$6:$K$405,$AP902)&lt;&gt;"",N($W902)&gt;0,INDEX(職員マスタ!$K$6:$K$405,$AP902)&lt;&gt;$W902),"標準報酬月額が申請書と相違（台帳"&amp;TEXT(INDEX(職員マスタ!$K$6:$K$405,$AP902),"#,##0")&amp;"円／申請書"&amp;TEXT($W902,"#,##0")&amp;"円）／","")&amp;IF(AND(INDEX(職員マスタ!$F$6:$F$405,$AP902)&lt;&gt;"",$AQ902&lt;&gt;"",INDEX(職員マスタ!$F$6:$F$405,$AP902)&lt;$AQ902),"対象月に子が2歳到達済／","")&amp;IF(AND($H902&lt;&gt;"",INDEX(職員マスタ!$B$6:$B$405,$AP902)&lt;&gt;"",SUBSTITUTE(SUBSTITUTE($H902," ","")," ","")&lt;&gt;SUBSTITUTE(SUBSTITUTE(INDEX(職員マスタ!$B$6:$B$405,$AP902)," ","")," ","")),"氏名がマスタと相違／","")&amp;IF(AND($Q902&lt;&gt;"",INDEX(職員マスタ!$E$6:$E$405,$AP902)&lt;&gt;"",$Q902&lt;&gt;INDEX(職員マスタ!$E$6:$E$405,$AP902)),"子の生年月日がマスタと相違／","")&amp;IF(AND($L902&lt;&gt;"",INDEX(職員マスタ!$G$6:$G$405,$AP902)&lt;&gt;"",$L902&lt;&gt;INDEX(職員マスタ!$G$6:$G$405,$AP902)),"時短開始日がマスタと相違／","")&amp;IF(AND($M902&lt;&gt;"",INDEX(職員マスタ!$H$6:$H$405,$AP902)&lt;&gt;"",$M902&lt;&gt;INDEX(職員マスタ!$H$6:$H$405,$AP902)),"時短終了日がマスタと相違／","")))&amp;IF(AND($B902&lt;&gt;"",$E902=""),"報酬額が未入力／","")&amp;IF(N($U902)&gt;0,"申請書に入力エラーが残っています／","")&amp;IF(AND($B902&lt;&gt;"",$AQ902&lt;&gt;""),IF(COUNTIFS($B$6:$B$3005,$B902,$C$6:$C$3005,$C902,$D$6:$D$3005,$D902)&gt;1,"同じ月の請求が重複しています／",""),"")&amp;IF(AND(N($E902)&gt;0,$AB902&lt;&gt;"",$AB902&lt;&gt;"×",$AE902=0,$AD902=""),"計算額が下限以下のため不支給／",""))</f>
        <v/>
      </c>
      <c r="AN902" s="12" t="n"/>
      <c r="AO902" s="14">
        <f>IF($AF902="保留中",COUNTIF($AF$6:$AF902,"保留中"),"")</f>
        <v/>
      </c>
      <c r="AP902" s="14">
        <f>IF($AQ902="","",IF(SUMPRODUCT(MAX((職員マスタ!$A$6:$A$405=$B902)*(((職員マスタ!$G$6:$G$405="")+(職員マスタ!$G$6:$G$405&lt;=EOMONTH($AQ902,0)))&gt;0)*(((職員マスタ!$H$6:$H$405="")+(職員マスタ!$H$6:$H$405&gt;=$AQ902))&gt;0)*(ROW(職員マスタ!$A$6:$A$405)-5)))&gt;0,SUMPRODUCT(MAX((職員マスタ!$A$6:$A$405=$B902)*(((職員マスタ!$G$6:$G$405="")+(職員マスタ!$G$6:$G$405&lt;=EOMONTH($AQ902,0)))&gt;0)*(((職員マスタ!$H$6:$H$405="")+(職員マスタ!$H$6:$H$405&gt;=$AQ902))&gt;0)*(ROW(職員マスタ!$A$6:$A$405)-5))),IFERROR(MATCH($B902,職員マスタ!$A$6:$A$405,0),"")))</f>
        <v/>
      </c>
      <c r="AQ902" s="16">
        <f>IF(OR($B902="",$C902="",$D902=""),"",DATE($C902+2018,$D902,1))</f>
        <v/>
      </c>
    </row>
    <row r="903">
      <c r="A903" s="11" t="n"/>
      <c r="B903" s="12" t="n"/>
      <c r="C903" s="12" t="n"/>
      <c r="D903" s="12" t="n"/>
      <c r="E903" s="13" t="n"/>
      <c r="F903" s="12" t="n"/>
      <c r="G903" s="13" t="n"/>
      <c r="H903" s="12" t="n"/>
      <c r="I903" s="12" t="n"/>
      <c r="J903" s="12" t="n"/>
      <c r="K903" s="12" t="n"/>
      <c r="L903" s="11" t="n"/>
      <c r="M903" s="11" t="n"/>
      <c r="N903" s="11" t="n"/>
      <c r="O903" s="11" t="n"/>
      <c r="P903" s="12" t="n"/>
      <c r="Q903" s="11" t="n"/>
      <c r="R903" s="12" t="n"/>
      <c r="S903" s="11" t="n"/>
      <c r="T903" s="12" t="n"/>
      <c r="U903" s="12" t="n"/>
      <c r="V903" s="12" t="n"/>
      <c r="W903" s="13" t="n"/>
      <c r="X903" s="14">
        <f>IF($AP903="",IF($B903="","",$H903),IF(INDEX(職員マスタ!$B$6:$B$405,$AP903)="",$H903,INDEX(職員マスタ!$B$6:$B$405,$AP903)))</f>
        <v/>
      </c>
      <c r="Y903" s="14">
        <f>IF($AP903="",IF($B903="","",$R903),IF(INDEX(職員マスタ!$C$6:$C$405,$AP903)="",$R903,INDEX(職員マスタ!$C$6:$C$405,$AP903)))</f>
        <v/>
      </c>
      <c r="Z903" s="14">
        <f>IF($AQ903="","","R"&amp;$C903&amp;"."&amp;$D903)</f>
        <v/>
      </c>
      <c r="AA903" s="15">
        <f>IF(IF($AP903="",FALSE,INDEX(職員マスタ!$K$6:$K$405,$AP903)&lt;&gt;""),INDEX(職員マスタ!$K$6:$K$405,$AP903),IF(N($W903)&gt;0,$W903,""))</f>
        <v/>
      </c>
      <c r="AB903" s="14">
        <f>IF(OR($E903="",$AA903=""),"",IF($E903&gt;=$AA903,"×",IF($E903&gt;=$AA903*設定!$C$5,"△","○")))</f>
        <v/>
      </c>
      <c r="AC903" s="15">
        <f>IF($AB903="","",IF($AB903="×",0,IF($AB903="○",ROUNDDOWN($E903*設定!$C$4,0),ROUNDDOWN($E903*ROUND((9*$AA903-9*$E903)/(10*$E903),4),0))))</f>
        <v/>
      </c>
      <c r="AD903" s="13" t="n"/>
      <c r="AE903" s="15">
        <f>IF($B903="","",IF($AD903&lt;&gt;"",$AD903,IF($AC903="","",IF($AC903&lt;=設定!$C$3,0,$AC903))))</f>
        <v/>
      </c>
      <c r="AF903" s="14">
        <f>IF($B903="","",IF(AND($AG903&lt;&gt;"",$AI903="",$AL903=""),"保留中",IF($AL903&lt;&gt;"",IF(N($AE903)&gt;0,"支給済","不支給"),IF($AE903="","要確認",IF($AE903=0,"不支給","未処理")))))</f>
        <v/>
      </c>
      <c r="AG903" s="12" t="n"/>
      <c r="AH903" s="11" t="n"/>
      <c r="AI903" s="11" t="n"/>
      <c r="AJ903" s="11" t="n"/>
      <c r="AK903" s="14">
        <f>IF(AND($AF903="保留中",$AH903&lt;&gt;""),TODAY()-$AH903,"")</f>
        <v/>
      </c>
      <c r="AL903" s="12" t="n"/>
      <c r="AM903" s="14">
        <f>IF($B903="","",IF($AQ903="","対象年月が未入力／","")&amp;IF($B903="","",IF($AP903="","職員マスタに未登録の職員番号／",IF($AA903="","標準報酬月額が未登録／","")&amp;IF(AND($AQ903&lt;&gt;"",OR(AND(INDEX(職員マスタ!$G$6:$G$405,$AP903)&lt;&gt;"",INDEX(職員マスタ!$G$6:$G$405,$AP903)&gt;EOMONTH($AQ903,0)),AND(INDEX(職員マスタ!$H$6:$H$405,$AP903)&lt;&gt;"",INDEX(職員マスタ!$H$6:$H$405,$AP903)&lt;$AQ903))),"対象月が時短期間外／","")&amp;IF(AND(INDEX(職員マスタ!$K$6:$K$405,$AP903)&lt;&gt;"",N($W903)&gt;0,INDEX(職員マスタ!$K$6:$K$405,$AP903)&lt;&gt;$W903),"標準報酬月額が申請書と相違（台帳"&amp;TEXT(INDEX(職員マスタ!$K$6:$K$405,$AP903),"#,##0")&amp;"円／申請書"&amp;TEXT($W903,"#,##0")&amp;"円）／","")&amp;IF(AND(INDEX(職員マスタ!$F$6:$F$405,$AP903)&lt;&gt;"",$AQ903&lt;&gt;"",INDEX(職員マスタ!$F$6:$F$405,$AP903)&lt;$AQ903),"対象月に子が2歳到達済／","")&amp;IF(AND($H903&lt;&gt;"",INDEX(職員マスタ!$B$6:$B$405,$AP903)&lt;&gt;"",SUBSTITUTE(SUBSTITUTE($H903," ","")," ","")&lt;&gt;SUBSTITUTE(SUBSTITUTE(INDEX(職員マスタ!$B$6:$B$405,$AP903)," ","")," ","")),"氏名がマスタと相違／","")&amp;IF(AND($Q903&lt;&gt;"",INDEX(職員マスタ!$E$6:$E$405,$AP903)&lt;&gt;"",$Q903&lt;&gt;INDEX(職員マスタ!$E$6:$E$405,$AP903)),"子の生年月日がマスタと相違／","")&amp;IF(AND($L903&lt;&gt;"",INDEX(職員マスタ!$G$6:$G$405,$AP903)&lt;&gt;"",$L903&lt;&gt;INDEX(職員マスタ!$G$6:$G$405,$AP903)),"時短開始日がマスタと相違／","")&amp;IF(AND($M903&lt;&gt;"",INDEX(職員マスタ!$H$6:$H$405,$AP903)&lt;&gt;"",$M903&lt;&gt;INDEX(職員マスタ!$H$6:$H$405,$AP903)),"時短終了日がマスタと相違／","")))&amp;IF(AND($B903&lt;&gt;"",$E903=""),"報酬額が未入力／","")&amp;IF(N($U903)&gt;0,"申請書に入力エラーが残っています／","")&amp;IF(AND($B903&lt;&gt;"",$AQ903&lt;&gt;""),IF(COUNTIFS($B$6:$B$3005,$B903,$C$6:$C$3005,$C903,$D$6:$D$3005,$D903)&gt;1,"同じ月の請求が重複しています／",""),"")&amp;IF(AND(N($E903)&gt;0,$AB903&lt;&gt;"",$AB903&lt;&gt;"×",$AE903=0,$AD903=""),"計算額が下限以下のため不支給／",""))</f>
        <v/>
      </c>
      <c r="AN903" s="12" t="n"/>
      <c r="AO903" s="14">
        <f>IF($AF903="保留中",COUNTIF($AF$6:$AF903,"保留中"),"")</f>
        <v/>
      </c>
      <c r="AP903" s="14">
        <f>IF($AQ903="","",IF(SUMPRODUCT(MAX((職員マスタ!$A$6:$A$405=$B903)*(((職員マスタ!$G$6:$G$405="")+(職員マスタ!$G$6:$G$405&lt;=EOMONTH($AQ903,0)))&gt;0)*(((職員マスタ!$H$6:$H$405="")+(職員マスタ!$H$6:$H$405&gt;=$AQ903))&gt;0)*(ROW(職員マスタ!$A$6:$A$405)-5)))&gt;0,SUMPRODUCT(MAX((職員マスタ!$A$6:$A$405=$B903)*(((職員マスタ!$G$6:$G$405="")+(職員マスタ!$G$6:$G$405&lt;=EOMONTH($AQ903,0)))&gt;0)*(((職員マスタ!$H$6:$H$405="")+(職員マスタ!$H$6:$H$405&gt;=$AQ903))&gt;0)*(ROW(職員マスタ!$A$6:$A$405)-5))),IFERROR(MATCH($B903,職員マスタ!$A$6:$A$405,0),"")))</f>
        <v/>
      </c>
      <c r="AQ903" s="16">
        <f>IF(OR($B903="",$C903="",$D903=""),"",DATE($C903+2018,$D903,1))</f>
        <v/>
      </c>
    </row>
    <row r="904">
      <c r="A904" s="11" t="n"/>
      <c r="B904" s="12" t="n"/>
      <c r="C904" s="12" t="n"/>
      <c r="D904" s="12" t="n"/>
      <c r="E904" s="13" t="n"/>
      <c r="F904" s="12" t="n"/>
      <c r="G904" s="13" t="n"/>
      <c r="H904" s="12" t="n"/>
      <c r="I904" s="12" t="n"/>
      <c r="J904" s="12" t="n"/>
      <c r="K904" s="12" t="n"/>
      <c r="L904" s="11" t="n"/>
      <c r="M904" s="11" t="n"/>
      <c r="N904" s="11" t="n"/>
      <c r="O904" s="11" t="n"/>
      <c r="P904" s="12" t="n"/>
      <c r="Q904" s="11" t="n"/>
      <c r="R904" s="12" t="n"/>
      <c r="S904" s="11" t="n"/>
      <c r="T904" s="12" t="n"/>
      <c r="U904" s="12" t="n"/>
      <c r="V904" s="12" t="n"/>
      <c r="W904" s="13" t="n"/>
      <c r="X904" s="14">
        <f>IF($AP904="",IF($B904="","",$H904),IF(INDEX(職員マスタ!$B$6:$B$405,$AP904)="",$H904,INDEX(職員マスタ!$B$6:$B$405,$AP904)))</f>
        <v/>
      </c>
      <c r="Y904" s="14">
        <f>IF($AP904="",IF($B904="","",$R904),IF(INDEX(職員マスタ!$C$6:$C$405,$AP904)="",$R904,INDEX(職員マスタ!$C$6:$C$405,$AP904)))</f>
        <v/>
      </c>
      <c r="Z904" s="14">
        <f>IF($AQ904="","","R"&amp;$C904&amp;"."&amp;$D904)</f>
        <v/>
      </c>
      <c r="AA904" s="15">
        <f>IF(IF($AP904="",FALSE,INDEX(職員マスタ!$K$6:$K$405,$AP904)&lt;&gt;""),INDEX(職員マスタ!$K$6:$K$405,$AP904),IF(N($W904)&gt;0,$W904,""))</f>
        <v/>
      </c>
      <c r="AB904" s="14">
        <f>IF(OR($E904="",$AA904=""),"",IF($E904&gt;=$AA904,"×",IF($E904&gt;=$AA904*設定!$C$5,"△","○")))</f>
        <v/>
      </c>
      <c r="AC904" s="15">
        <f>IF($AB904="","",IF($AB904="×",0,IF($AB904="○",ROUNDDOWN($E904*設定!$C$4,0),ROUNDDOWN($E904*ROUND((9*$AA904-9*$E904)/(10*$E904),4),0))))</f>
        <v/>
      </c>
      <c r="AD904" s="13" t="n"/>
      <c r="AE904" s="15">
        <f>IF($B904="","",IF($AD904&lt;&gt;"",$AD904,IF($AC904="","",IF($AC904&lt;=設定!$C$3,0,$AC904))))</f>
        <v/>
      </c>
      <c r="AF904" s="14">
        <f>IF($B904="","",IF(AND($AG904&lt;&gt;"",$AI904="",$AL904=""),"保留中",IF($AL904&lt;&gt;"",IF(N($AE904)&gt;0,"支給済","不支給"),IF($AE904="","要確認",IF($AE904=0,"不支給","未処理")))))</f>
        <v/>
      </c>
      <c r="AG904" s="12" t="n"/>
      <c r="AH904" s="11" t="n"/>
      <c r="AI904" s="11" t="n"/>
      <c r="AJ904" s="11" t="n"/>
      <c r="AK904" s="14">
        <f>IF(AND($AF904="保留中",$AH904&lt;&gt;""),TODAY()-$AH904,"")</f>
        <v/>
      </c>
      <c r="AL904" s="12" t="n"/>
      <c r="AM904" s="14">
        <f>IF($B904="","",IF($AQ904="","対象年月が未入力／","")&amp;IF($B904="","",IF($AP904="","職員マスタに未登録の職員番号／",IF($AA904="","標準報酬月額が未登録／","")&amp;IF(AND($AQ904&lt;&gt;"",OR(AND(INDEX(職員マスタ!$G$6:$G$405,$AP904)&lt;&gt;"",INDEX(職員マスタ!$G$6:$G$405,$AP904)&gt;EOMONTH($AQ904,0)),AND(INDEX(職員マスタ!$H$6:$H$405,$AP904)&lt;&gt;"",INDEX(職員マスタ!$H$6:$H$405,$AP904)&lt;$AQ904))),"対象月が時短期間外／","")&amp;IF(AND(INDEX(職員マスタ!$K$6:$K$405,$AP904)&lt;&gt;"",N($W904)&gt;0,INDEX(職員マスタ!$K$6:$K$405,$AP904)&lt;&gt;$W904),"標準報酬月額が申請書と相違（台帳"&amp;TEXT(INDEX(職員マスタ!$K$6:$K$405,$AP904),"#,##0")&amp;"円／申請書"&amp;TEXT($W904,"#,##0")&amp;"円）／","")&amp;IF(AND(INDEX(職員マスタ!$F$6:$F$405,$AP904)&lt;&gt;"",$AQ904&lt;&gt;"",INDEX(職員マスタ!$F$6:$F$405,$AP904)&lt;$AQ904),"対象月に子が2歳到達済／","")&amp;IF(AND($H904&lt;&gt;"",INDEX(職員マスタ!$B$6:$B$405,$AP904)&lt;&gt;"",SUBSTITUTE(SUBSTITUTE($H904," ","")," ","")&lt;&gt;SUBSTITUTE(SUBSTITUTE(INDEX(職員マスタ!$B$6:$B$405,$AP904)," ","")," ","")),"氏名がマスタと相違／","")&amp;IF(AND($Q904&lt;&gt;"",INDEX(職員マスタ!$E$6:$E$405,$AP904)&lt;&gt;"",$Q904&lt;&gt;INDEX(職員マスタ!$E$6:$E$405,$AP904)),"子の生年月日がマスタと相違／","")&amp;IF(AND($L904&lt;&gt;"",INDEX(職員マスタ!$G$6:$G$405,$AP904)&lt;&gt;"",$L904&lt;&gt;INDEX(職員マスタ!$G$6:$G$405,$AP904)),"時短開始日がマスタと相違／","")&amp;IF(AND($M904&lt;&gt;"",INDEX(職員マスタ!$H$6:$H$405,$AP904)&lt;&gt;"",$M904&lt;&gt;INDEX(職員マスタ!$H$6:$H$405,$AP904)),"時短終了日がマスタと相違／","")))&amp;IF(AND($B904&lt;&gt;"",$E904=""),"報酬額が未入力／","")&amp;IF(N($U904)&gt;0,"申請書に入力エラーが残っています／","")&amp;IF(AND($B904&lt;&gt;"",$AQ904&lt;&gt;""),IF(COUNTIFS($B$6:$B$3005,$B904,$C$6:$C$3005,$C904,$D$6:$D$3005,$D904)&gt;1,"同じ月の請求が重複しています／",""),"")&amp;IF(AND(N($E904)&gt;0,$AB904&lt;&gt;"",$AB904&lt;&gt;"×",$AE904=0,$AD904=""),"計算額が下限以下のため不支給／",""))</f>
        <v/>
      </c>
      <c r="AN904" s="12" t="n"/>
      <c r="AO904" s="14">
        <f>IF($AF904="保留中",COUNTIF($AF$6:$AF904,"保留中"),"")</f>
        <v/>
      </c>
      <c r="AP904" s="14">
        <f>IF($AQ904="","",IF(SUMPRODUCT(MAX((職員マスタ!$A$6:$A$405=$B904)*(((職員マスタ!$G$6:$G$405="")+(職員マスタ!$G$6:$G$405&lt;=EOMONTH($AQ904,0)))&gt;0)*(((職員マスタ!$H$6:$H$405="")+(職員マスタ!$H$6:$H$405&gt;=$AQ904))&gt;0)*(ROW(職員マスタ!$A$6:$A$405)-5)))&gt;0,SUMPRODUCT(MAX((職員マスタ!$A$6:$A$405=$B904)*(((職員マスタ!$G$6:$G$405="")+(職員マスタ!$G$6:$G$405&lt;=EOMONTH($AQ904,0)))&gt;0)*(((職員マスタ!$H$6:$H$405="")+(職員マスタ!$H$6:$H$405&gt;=$AQ904))&gt;0)*(ROW(職員マスタ!$A$6:$A$405)-5))),IFERROR(MATCH($B904,職員マスタ!$A$6:$A$405,0),"")))</f>
        <v/>
      </c>
      <c r="AQ904" s="16">
        <f>IF(OR($B904="",$C904="",$D904=""),"",DATE($C904+2018,$D904,1))</f>
        <v/>
      </c>
    </row>
    <row r="905">
      <c r="A905" s="11" t="n"/>
      <c r="B905" s="12" t="n"/>
      <c r="C905" s="12" t="n"/>
      <c r="D905" s="12" t="n"/>
      <c r="E905" s="13" t="n"/>
      <c r="F905" s="12" t="n"/>
      <c r="G905" s="13" t="n"/>
      <c r="H905" s="12" t="n"/>
      <c r="I905" s="12" t="n"/>
      <c r="J905" s="12" t="n"/>
      <c r="K905" s="12" t="n"/>
      <c r="L905" s="11" t="n"/>
      <c r="M905" s="11" t="n"/>
      <c r="N905" s="11" t="n"/>
      <c r="O905" s="11" t="n"/>
      <c r="P905" s="12" t="n"/>
      <c r="Q905" s="11" t="n"/>
      <c r="R905" s="12" t="n"/>
      <c r="S905" s="11" t="n"/>
      <c r="T905" s="12" t="n"/>
      <c r="U905" s="12" t="n"/>
      <c r="V905" s="12" t="n"/>
      <c r="W905" s="13" t="n"/>
      <c r="X905" s="14">
        <f>IF($AP905="",IF($B905="","",$H905),IF(INDEX(職員マスタ!$B$6:$B$405,$AP905)="",$H905,INDEX(職員マスタ!$B$6:$B$405,$AP905)))</f>
        <v/>
      </c>
      <c r="Y905" s="14">
        <f>IF($AP905="",IF($B905="","",$R905),IF(INDEX(職員マスタ!$C$6:$C$405,$AP905)="",$R905,INDEX(職員マスタ!$C$6:$C$405,$AP905)))</f>
        <v/>
      </c>
      <c r="Z905" s="14">
        <f>IF($AQ905="","","R"&amp;$C905&amp;"."&amp;$D905)</f>
        <v/>
      </c>
      <c r="AA905" s="15">
        <f>IF(IF($AP905="",FALSE,INDEX(職員マスタ!$K$6:$K$405,$AP905)&lt;&gt;""),INDEX(職員マスタ!$K$6:$K$405,$AP905),IF(N($W905)&gt;0,$W905,""))</f>
        <v/>
      </c>
      <c r="AB905" s="14">
        <f>IF(OR($E905="",$AA905=""),"",IF($E905&gt;=$AA905,"×",IF($E905&gt;=$AA905*設定!$C$5,"△","○")))</f>
        <v/>
      </c>
      <c r="AC905" s="15">
        <f>IF($AB905="","",IF($AB905="×",0,IF($AB905="○",ROUNDDOWN($E905*設定!$C$4,0),ROUNDDOWN($E905*ROUND((9*$AA905-9*$E905)/(10*$E905),4),0))))</f>
        <v/>
      </c>
      <c r="AD905" s="13" t="n"/>
      <c r="AE905" s="15">
        <f>IF($B905="","",IF($AD905&lt;&gt;"",$AD905,IF($AC905="","",IF($AC905&lt;=設定!$C$3,0,$AC905))))</f>
        <v/>
      </c>
      <c r="AF905" s="14">
        <f>IF($B905="","",IF(AND($AG905&lt;&gt;"",$AI905="",$AL905=""),"保留中",IF($AL905&lt;&gt;"",IF(N($AE905)&gt;0,"支給済","不支給"),IF($AE905="","要確認",IF($AE905=0,"不支給","未処理")))))</f>
        <v/>
      </c>
      <c r="AG905" s="12" t="n"/>
      <c r="AH905" s="11" t="n"/>
      <c r="AI905" s="11" t="n"/>
      <c r="AJ905" s="11" t="n"/>
      <c r="AK905" s="14">
        <f>IF(AND($AF905="保留中",$AH905&lt;&gt;""),TODAY()-$AH905,"")</f>
        <v/>
      </c>
      <c r="AL905" s="12" t="n"/>
      <c r="AM905" s="14">
        <f>IF($B905="","",IF($AQ905="","対象年月が未入力／","")&amp;IF($B905="","",IF($AP905="","職員マスタに未登録の職員番号／",IF($AA905="","標準報酬月額が未登録／","")&amp;IF(AND($AQ905&lt;&gt;"",OR(AND(INDEX(職員マスタ!$G$6:$G$405,$AP905)&lt;&gt;"",INDEX(職員マスタ!$G$6:$G$405,$AP905)&gt;EOMONTH($AQ905,0)),AND(INDEX(職員マスタ!$H$6:$H$405,$AP905)&lt;&gt;"",INDEX(職員マスタ!$H$6:$H$405,$AP905)&lt;$AQ905))),"対象月が時短期間外／","")&amp;IF(AND(INDEX(職員マスタ!$K$6:$K$405,$AP905)&lt;&gt;"",N($W905)&gt;0,INDEX(職員マスタ!$K$6:$K$405,$AP905)&lt;&gt;$W905),"標準報酬月額が申請書と相違（台帳"&amp;TEXT(INDEX(職員マスタ!$K$6:$K$405,$AP905),"#,##0")&amp;"円／申請書"&amp;TEXT($W905,"#,##0")&amp;"円）／","")&amp;IF(AND(INDEX(職員マスタ!$F$6:$F$405,$AP905)&lt;&gt;"",$AQ905&lt;&gt;"",INDEX(職員マスタ!$F$6:$F$405,$AP905)&lt;$AQ905),"対象月に子が2歳到達済／","")&amp;IF(AND($H905&lt;&gt;"",INDEX(職員マスタ!$B$6:$B$405,$AP905)&lt;&gt;"",SUBSTITUTE(SUBSTITUTE($H905," ","")," ","")&lt;&gt;SUBSTITUTE(SUBSTITUTE(INDEX(職員マスタ!$B$6:$B$405,$AP905)," ","")," ","")),"氏名がマスタと相違／","")&amp;IF(AND($Q905&lt;&gt;"",INDEX(職員マスタ!$E$6:$E$405,$AP905)&lt;&gt;"",$Q905&lt;&gt;INDEX(職員マスタ!$E$6:$E$405,$AP905)),"子の生年月日がマスタと相違／","")&amp;IF(AND($L905&lt;&gt;"",INDEX(職員マスタ!$G$6:$G$405,$AP905)&lt;&gt;"",$L905&lt;&gt;INDEX(職員マスタ!$G$6:$G$405,$AP905)),"時短開始日がマスタと相違／","")&amp;IF(AND($M905&lt;&gt;"",INDEX(職員マスタ!$H$6:$H$405,$AP905)&lt;&gt;"",$M905&lt;&gt;INDEX(職員マスタ!$H$6:$H$405,$AP905)),"時短終了日がマスタと相違／","")))&amp;IF(AND($B905&lt;&gt;"",$E905=""),"報酬額が未入力／","")&amp;IF(N($U905)&gt;0,"申請書に入力エラーが残っています／","")&amp;IF(AND($B905&lt;&gt;"",$AQ905&lt;&gt;""),IF(COUNTIFS($B$6:$B$3005,$B905,$C$6:$C$3005,$C905,$D$6:$D$3005,$D905)&gt;1,"同じ月の請求が重複しています／",""),"")&amp;IF(AND(N($E905)&gt;0,$AB905&lt;&gt;"",$AB905&lt;&gt;"×",$AE905=0,$AD905=""),"計算額が下限以下のため不支給／",""))</f>
        <v/>
      </c>
      <c r="AN905" s="12" t="n"/>
      <c r="AO905" s="14">
        <f>IF($AF905="保留中",COUNTIF($AF$6:$AF905,"保留中"),"")</f>
        <v/>
      </c>
      <c r="AP905" s="14">
        <f>IF($AQ905="","",IF(SUMPRODUCT(MAX((職員マスタ!$A$6:$A$405=$B905)*(((職員マスタ!$G$6:$G$405="")+(職員マスタ!$G$6:$G$405&lt;=EOMONTH($AQ905,0)))&gt;0)*(((職員マスタ!$H$6:$H$405="")+(職員マスタ!$H$6:$H$405&gt;=$AQ905))&gt;0)*(ROW(職員マスタ!$A$6:$A$405)-5)))&gt;0,SUMPRODUCT(MAX((職員マスタ!$A$6:$A$405=$B905)*(((職員マスタ!$G$6:$G$405="")+(職員マスタ!$G$6:$G$405&lt;=EOMONTH($AQ905,0)))&gt;0)*(((職員マスタ!$H$6:$H$405="")+(職員マスタ!$H$6:$H$405&gt;=$AQ905))&gt;0)*(ROW(職員マスタ!$A$6:$A$405)-5))),IFERROR(MATCH($B905,職員マスタ!$A$6:$A$405,0),"")))</f>
        <v/>
      </c>
      <c r="AQ905" s="16">
        <f>IF(OR($B905="",$C905="",$D905=""),"",DATE($C905+2018,$D905,1))</f>
        <v/>
      </c>
    </row>
    <row r="906">
      <c r="A906" s="11" t="n"/>
      <c r="B906" s="12" t="n"/>
      <c r="C906" s="12" t="n"/>
      <c r="D906" s="12" t="n"/>
      <c r="E906" s="13" t="n"/>
      <c r="F906" s="12" t="n"/>
      <c r="G906" s="13" t="n"/>
      <c r="H906" s="12" t="n"/>
      <c r="I906" s="12" t="n"/>
      <c r="J906" s="12" t="n"/>
      <c r="K906" s="12" t="n"/>
      <c r="L906" s="11" t="n"/>
      <c r="M906" s="11" t="n"/>
      <c r="N906" s="11" t="n"/>
      <c r="O906" s="11" t="n"/>
      <c r="P906" s="12" t="n"/>
      <c r="Q906" s="11" t="n"/>
      <c r="R906" s="12" t="n"/>
      <c r="S906" s="11" t="n"/>
      <c r="T906" s="12" t="n"/>
      <c r="U906" s="12" t="n"/>
      <c r="V906" s="12" t="n"/>
      <c r="W906" s="13" t="n"/>
      <c r="X906" s="14">
        <f>IF($AP906="",IF($B906="","",$H906),IF(INDEX(職員マスタ!$B$6:$B$405,$AP906)="",$H906,INDEX(職員マスタ!$B$6:$B$405,$AP906)))</f>
        <v/>
      </c>
      <c r="Y906" s="14">
        <f>IF($AP906="",IF($B906="","",$R906),IF(INDEX(職員マスタ!$C$6:$C$405,$AP906)="",$R906,INDEX(職員マスタ!$C$6:$C$405,$AP906)))</f>
        <v/>
      </c>
      <c r="Z906" s="14">
        <f>IF($AQ906="","","R"&amp;$C906&amp;"."&amp;$D906)</f>
        <v/>
      </c>
      <c r="AA906" s="15">
        <f>IF(IF($AP906="",FALSE,INDEX(職員マスタ!$K$6:$K$405,$AP906)&lt;&gt;""),INDEX(職員マスタ!$K$6:$K$405,$AP906),IF(N($W906)&gt;0,$W906,""))</f>
        <v/>
      </c>
      <c r="AB906" s="14">
        <f>IF(OR($E906="",$AA906=""),"",IF($E906&gt;=$AA906,"×",IF($E906&gt;=$AA906*設定!$C$5,"△","○")))</f>
        <v/>
      </c>
      <c r="AC906" s="15">
        <f>IF($AB906="","",IF($AB906="×",0,IF($AB906="○",ROUNDDOWN($E906*設定!$C$4,0),ROUNDDOWN($E906*ROUND((9*$AA906-9*$E906)/(10*$E906),4),0))))</f>
        <v/>
      </c>
      <c r="AD906" s="13" t="n"/>
      <c r="AE906" s="15">
        <f>IF($B906="","",IF($AD906&lt;&gt;"",$AD906,IF($AC906="","",IF($AC906&lt;=設定!$C$3,0,$AC906))))</f>
        <v/>
      </c>
      <c r="AF906" s="14">
        <f>IF($B906="","",IF(AND($AG906&lt;&gt;"",$AI906="",$AL906=""),"保留中",IF($AL906&lt;&gt;"",IF(N($AE906)&gt;0,"支給済","不支給"),IF($AE906="","要確認",IF($AE906=0,"不支給","未処理")))))</f>
        <v/>
      </c>
      <c r="AG906" s="12" t="n"/>
      <c r="AH906" s="11" t="n"/>
      <c r="AI906" s="11" t="n"/>
      <c r="AJ906" s="11" t="n"/>
      <c r="AK906" s="14">
        <f>IF(AND($AF906="保留中",$AH906&lt;&gt;""),TODAY()-$AH906,"")</f>
        <v/>
      </c>
      <c r="AL906" s="12" t="n"/>
      <c r="AM906" s="14">
        <f>IF($B906="","",IF($AQ906="","対象年月が未入力／","")&amp;IF($B906="","",IF($AP906="","職員マスタに未登録の職員番号／",IF($AA906="","標準報酬月額が未登録／","")&amp;IF(AND($AQ906&lt;&gt;"",OR(AND(INDEX(職員マスタ!$G$6:$G$405,$AP906)&lt;&gt;"",INDEX(職員マスタ!$G$6:$G$405,$AP906)&gt;EOMONTH($AQ906,0)),AND(INDEX(職員マスタ!$H$6:$H$405,$AP906)&lt;&gt;"",INDEX(職員マスタ!$H$6:$H$405,$AP906)&lt;$AQ906))),"対象月が時短期間外／","")&amp;IF(AND(INDEX(職員マスタ!$K$6:$K$405,$AP906)&lt;&gt;"",N($W906)&gt;0,INDEX(職員マスタ!$K$6:$K$405,$AP906)&lt;&gt;$W906),"標準報酬月額が申請書と相違（台帳"&amp;TEXT(INDEX(職員マスタ!$K$6:$K$405,$AP906),"#,##0")&amp;"円／申請書"&amp;TEXT($W906,"#,##0")&amp;"円）／","")&amp;IF(AND(INDEX(職員マスタ!$F$6:$F$405,$AP906)&lt;&gt;"",$AQ906&lt;&gt;"",INDEX(職員マスタ!$F$6:$F$405,$AP906)&lt;$AQ906),"対象月に子が2歳到達済／","")&amp;IF(AND($H906&lt;&gt;"",INDEX(職員マスタ!$B$6:$B$405,$AP906)&lt;&gt;"",SUBSTITUTE(SUBSTITUTE($H906," ","")," ","")&lt;&gt;SUBSTITUTE(SUBSTITUTE(INDEX(職員マスタ!$B$6:$B$405,$AP906)," ","")," ","")),"氏名がマスタと相違／","")&amp;IF(AND($Q906&lt;&gt;"",INDEX(職員マスタ!$E$6:$E$405,$AP906)&lt;&gt;"",$Q906&lt;&gt;INDEX(職員マスタ!$E$6:$E$405,$AP906)),"子の生年月日がマスタと相違／","")&amp;IF(AND($L906&lt;&gt;"",INDEX(職員マスタ!$G$6:$G$405,$AP906)&lt;&gt;"",$L906&lt;&gt;INDEX(職員マスタ!$G$6:$G$405,$AP906)),"時短開始日がマスタと相違／","")&amp;IF(AND($M906&lt;&gt;"",INDEX(職員マスタ!$H$6:$H$405,$AP906)&lt;&gt;"",$M906&lt;&gt;INDEX(職員マスタ!$H$6:$H$405,$AP906)),"時短終了日がマスタと相違／","")))&amp;IF(AND($B906&lt;&gt;"",$E906=""),"報酬額が未入力／","")&amp;IF(N($U906)&gt;0,"申請書に入力エラーが残っています／","")&amp;IF(AND($B906&lt;&gt;"",$AQ906&lt;&gt;""),IF(COUNTIFS($B$6:$B$3005,$B906,$C$6:$C$3005,$C906,$D$6:$D$3005,$D906)&gt;1,"同じ月の請求が重複しています／",""),"")&amp;IF(AND(N($E906)&gt;0,$AB906&lt;&gt;"",$AB906&lt;&gt;"×",$AE906=0,$AD906=""),"計算額が下限以下のため不支給／",""))</f>
        <v/>
      </c>
      <c r="AN906" s="12" t="n"/>
      <c r="AO906" s="14">
        <f>IF($AF906="保留中",COUNTIF($AF$6:$AF906,"保留中"),"")</f>
        <v/>
      </c>
      <c r="AP906" s="14">
        <f>IF($AQ906="","",IF(SUMPRODUCT(MAX((職員マスタ!$A$6:$A$405=$B906)*(((職員マスタ!$G$6:$G$405="")+(職員マスタ!$G$6:$G$405&lt;=EOMONTH($AQ906,0)))&gt;0)*(((職員マスタ!$H$6:$H$405="")+(職員マスタ!$H$6:$H$405&gt;=$AQ906))&gt;0)*(ROW(職員マスタ!$A$6:$A$405)-5)))&gt;0,SUMPRODUCT(MAX((職員マスタ!$A$6:$A$405=$B906)*(((職員マスタ!$G$6:$G$405="")+(職員マスタ!$G$6:$G$405&lt;=EOMONTH($AQ906,0)))&gt;0)*(((職員マスタ!$H$6:$H$405="")+(職員マスタ!$H$6:$H$405&gt;=$AQ906))&gt;0)*(ROW(職員マスタ!$A$6:$A$405)-5))),IFERROR(MATCH($B906,職員マスタ!$A$6:$A$405,0),"")))</f>
        <v/>
      </c>
      <c r="AQ906" s="16">
        <f>IF(OR($B906="",$C906="",$D906=""),"",DATE($C906+2018,$D906,1))</f>
        <v/>
      </c>
    </row>
    <row r="907">
      <c r="A907" s="11" t="n"/>
      <c r="B907" s="12" t="n"/>
      <c r="C907" s="12" t="n"/>
      <c r="D907" s="12" t="n"/>
      <c r="E907" s="13" t="n"/>
      <c r="F907" s="12" t="n"/>
      <c r="G907" s="13" t="n"/>
      <c r="H907" s="12" t="n"/>
      <c r="I907" s="12" t="n"/>
      <c r="J907" s="12" t="n"/>
      <c r="K907" s="12" t="n"/>
      <c r="L907" s="11" t="n"/>
      <c r="M907" s="11" t="n"/>
      <c r="N907" s="11" t="n"/>
      <c r="O907" s="11" t="n"/>
      <c r="P907" s="12" t="n"/>
      <c r="Q907" s="11" t="n"/>
      <c r="R907" s="12" t="n"/>
      <c r="S907" s="11" t="n"/>
      <c r="T907" s="12" t="n"/>
      <c r="U907" s="12" t="n"/>
      <c r="V907" s="12" t="n"/>
      <c r="W907" s="13" t="n"/>
      <c r="X907" s="14">
        <f>IF($AP907="",IF($B907="","",$H907),IF(INDEX(職員マスタ!$B$6:$B$405,$AP907)="",$H907,INDEX(職員マスタ!$B$6:$B$405,$AP907)))</f>
        <v/>
      </c>
      <c r="Y907" s="14">
        <f>IF($AP907="",IF($B907="","",$R907),IF(INDEX(職員マスタ!$C$6:$C$405,$AP907)="",$R907,INDEX(職員マスタ!$C$6:$C$405,$AP907)))</f>
        <v/>
      </c>
      <c r="Z907" s="14">
        <f>IF($AQ907="","","R"&amp;$C907&amp;"."&amp;$D907)</f>
        <v/>
      </c>
      <c r="AA907" s="15">
        <f>IF(IF($AP907="",FALSE,INDEX(職員マスタ!$K$6:$K$405,$AP907)&lt;&gt;""),INDEX(職員マスタ!$K$6:$K$405,$AP907),IF(N($W907)&gt;0,$W907,""))</f>
        <v/>
      </c>
      <c r="AB907" s="14">
        <f>IF(OR($E907="",$AA907=""),"",IF($E907&gt;=$AA907,"×",IF($E907&gt;=$AA907*設定!$C$5,"△","○")))</f>
        <v/>
      </c>
      <c r="AC907" s="15">
        <f>IF($AB907="","",IF($AB907="×",0,IF($AB907="○",ROUNDDOWN($E907*設定!$C$4,0),ROUNDDOWN($E907*ROUND((9*$AA907-9*$E907)/(10*$E907),4),0))))</f>
        <v/>
      </c>
      <c r="AD907" s="13" t="n"/>
      <c r="AE907" s="15">
        <f>IF($B907="","",IF($AD907&lt;&gt;"",$AD907,IF($AC907="","",IF($AC907&lt;=設定!$C$3,0,$AC907))))</f>
        <v/>
      </c>
      <c r="AF907" s="14">
        <f>IF($B907="","",IF(AND($AG907&lt;&gt;"",$AI907="",$AL907=""),"保留中",IF($AL907&lt;&gt;"",IF(N($AE907)&gt;0,"支給済","不支給"),IF($AE907="","要確認",IF($AE907=0,"不支給","未処理")))))</f>
        <v/>
      </c>
      <c r="AG907" s="12" t="n"/>
      <c r="AH907" s="11" t="n"/>
      <c r="AI907" s="11" t="n"/>
      <c r="AJ907" s="11" t="n"/>
      <c r="AK907" s="14">
        <f>IF(AND($AF907="保留中",$AH907&lt;&gt;""),TODAY()-$AH907,"")</f>
        <v/>
      </c>
      <c r="AL907" s="12" t="n"/>
      <c r="AM907" s="14">
        <f>IF($B907="","",IF($AQ907="","対象年月が未入力／","")&amp;IF($B907="","",IF($AP907="","職員マスタに未登録の職員番号／",IF($AA907="","標準報酬月額が未登録／","")&amp;IF(AND($AQ907&lt;&gt;"",OR(AND(INDEX(職員マスタ!$G$6:$G$405,$AP907)&lt;&gt;"",INDEX(職員マスタ!$G$6:$G$405,$AP907)&gt;EOMONTH($AQ907,0)),AND(INDEX(職員マスタ!$H$6:$H$405,$AP907)&lt;&gt;"",INDEX(職員マスタ!$H$6:$H$405,$AP907)&lt;$AQ907))),"対象月が時短期間外／","")&amp;IF(AND(INDEX(職員マスタ!$K$6:$K$405,$AP907)&lt;&gt;"",N($W907)&gt;0,INDEX(職員マスタ!$K$6:$K$405,$AP907)&lt;&gt;$W907),"標準報酬月額が申請書と相違（台帳"&amp;TEXT(INDEX(職員マスタ!$K$6:$K$405,$AP907),"#,##0")&amp;"円／申請書"&amp;TEXT($W907,"#,##0")&amp;"円）／","")&amp;IF(AND(INDEX(職員マスタ!$F$6:$F$405,$AP907)&lt;&gt;"",$AQ907&lt;&gt;"",INDEX(職員マスタ!$F$6:$F$405,$AP907)&lt;$AQ907),"対象月に子が2歳到達済／","")&amp;IF(AND($H907&lt;&gt;"",INDEX(職員マスタ!$B$6:$B$405,$AP907)&lt;&gt;"",SUBSTITUTE(SUBSTITUTE($H907," ","")," ","")&lt;&gt;SUBSTITUTE(SUBSTITUTE(INDEX(職員マスタ!$B$6:$B$405,$AP907)," ","")," ","")),"氏名がマスタと相違／","")&amp;IF(AND($Q907&lt;&gt;"",INDEX(職員マスタ!$E$6:$E$405,$AP907)&lt;&gt;"",$Q907&lt;&gt;INDEX(職員マスタ!$E$6:$E$405,$AP907)),"子の生年月日がマスタと相違／","")&amp;IF(AND($L907&lt;&gt;"",INDEX(職員マスタ!$G$6:$G$405,$AP907)&lt;&gt;"",$L907&lt;&gt;INDEX(職員マスタ!$G$6:$G$405,$AP907)),"時短開始日がマスタと相違／","")&amp;IF(AND($M907&lt;&gt;"",INDEX(職員マスタ!$H$6:$H$405,$AP907)&lt;&gt;"",$M907&lt;&gt;INDEX(職員マスタ!$H$6:$H$405,$AP907)),"時短終了日がマスタと相違／","")))&amp;IF(AND($B907&lt;&gt;"",$E907=""),"報酬額が未入力／","")&amp;IF(N($U907)&gt;0,"申請書に入力エラーが残っています／","")&amp;IF(AND($B907&lt;&gt;"",$AQ907&lt;&gt;""),IF(COUNTIFS($B$6:$B$3005,$B907,$C$6:$C$3005,$C907,$D$6:$D$3005,$D907)&gt;1,"同じ月の請求が重複しています／",""),"")&amp;IF(AND(N($E907)&gt;0,$AB907&lt;&gt;"",$AB907&lt;&gt;"×",$AE907=0,$AD907=""),"計算額が下限以下のため不支給／",""))</f>
        <v/>
      </c>
      <c r="AN907" s="12" t="n"/>
      <c r="AO907" s="14">
        <f>IF($AF907="保留中",COUNTIF($AF$6:$AF907,"保留中"),"")</f>
        <v/>
      </c>
      <c r="AP907" s="14">
        <f>IF($AQ907="","",IF(SUMPRODUCT(MAX((職員マスタ!$A$6:$A$405=$B907)*(((職員マスタ!$G$6:$G$405="")+(職員マスタ!$G$6:$G$405&lt;=EOMONTH($AQ907,0)))&gt;0)*(((職員マスタ!$H$6:$H$405="")+(職員マスタ!$H$6:$H$405&gt;=$AQ907))&gt;0)*(ROW(職員マスタ!$A$6:$A$405)-5)))&gt;0,SUMPRODUCT(MAX((職員マスタ!$A$6:$A$405=$B907)*(((職員マスタ!$G$6:$G$405="")+(職員マスタ!$G$6:$G$405&lt;=EOMONTH($AQ907,0)))&gt;0)*(((職員マスタ!$H$6:$H$405="")+(職員マスタ!$H$6:$H$405&gt;=$AQ907))&gt;0)*(ROW(職員マスタ!$A$6:$A$405)-5))),IFERROR(MATCH($B907,職員マスタ!$A$6:$A$405,0),"")))</f>
        <v/>
      </c>
      <c r="AQ907" s="16">
        <f>IF(OR($B907="",$C907="",$D907=""),"",DATE($C907+2018,$D907,1))</f>
        <v/>
      </c>
    </row>
    <row r="908">
      <c r="A908" s="11" t="n"/>
      <c r="B908" s="12" t="n"/>
      <c r="C908" s="12" t="n"/>
      <c r="D908" s="12" t="n"/>
      <c r="E908" s="13" t="n"/>
      <c r="F908" s="12" t="n"/>
      <c r="G908" s="13" t="n"/>
      <c r="H908" s="12" t="n"/>
      <c r="I908" s="12" t="n"/>
      <c r="J908" s="12" t="n"/>
      <c r="K908" s="12" t="n"/>
      <c r="L908" s="11" t="n"/>
      <c r="M908" s="11" t="n"/>
      <c r="N908" s="11" t="n"/>
      <c r="O908" s="11" t="n"/>
      <c r="P908" s="12" t="n"/>
      <c r="Q908" s="11" t="n"/>
      <c r="R908" s="12" t="n"/>
      <c r="S908" s="11" t="n"/>
      <c r="T908" s="12" t="n"/>
      <c r="U908" s="12" t="n"/>
      <c r="V908" s="12" t="n"/>
      <c r="W908" s="13" t="n"/>
      <c r="X908" s="14">
        <f>IF($AP908="",IF($B908="","",$H908),IF(INDEX(職員マスタ!$B$6:$B$405,$AP908)="",$H908,INDEX(職員マスタ!$B$6:$B$405,$AP908)))</f>
        <v/>
      </c>
      <c r="Y908" s="14">
        <f>IF($AP908="",IF($B908="","",$R908),IF(INDEX(職員マスタ!$C$6:$C$405,$AP908)="",$R908,INDEX(職員マスタ!$C$6:$C$405,$AP908)))</f>
        <v/>
      </c>
      <c r="Z908" s="14">
        <f>IF($AQ908="","","R"&amp;$C908&amp;"."&amp;$D908)</f>
        <v/>
      </c>
      <c r="AA908" s="15">
        <f>IF(IF($AP908="",FALSE,INDEX(職員マスタ!$K$6:$K$405,$AP908)&lt;&gt;""),INDEX(職員マスタ!$K$6:$K$405,$AP908),IF(N($W908)&gt;0,$W908,""))</f>
        <v/>
      </c>
      <c r="AB908" s="14">
        <f>IF(OR($E908="",$AA908=""),"",IF($E908&gt;=$AA908,"×",IF($E908&gt;=$AA908*設定!$C$5,"△","○")))</f>
        <v/>
      </c>
      <c r="AC908" s="15">
        <f>IF($AB908="","",IF($AB908="×",0,IF($AB908="○",ROUNDDOWN($E908*設定!$C$4,0),ROUNDDOWN($E908*ROUND((9*$AA908-9*$E908)/(10*$E908),4),0))))</f>
        <v/>
      </c>
      <c r="AD908" s="13" t="n"/>
      <c r="AE908" s="15">
        <f>IF($B908="","",IF($AD908&lt;&gt;"",$AD908,IF($AC908="","",IF($AC908&lt;=設定!$C$3,0,$AC908))))</f>
        <v/>
      </c>
      <c r="AF908" s="14">
        <f>IF($B908="","",IF(AND($AG908&lt;&gt;"",$AI908="",$AL908=""),"保留中",IF($AL908&lt;&gt;"",IF(N($AE908)&gt;0,"支給済","不支給"),IF($AE908="","要確認",IF($AE908=0,"不支給","未処理")))))</f>
        <v/>
      </c>
      <c r="AG908" s="12" t="n"/>
      <c r="AH908" s="11" t="n"/>
      <c r="AI908" s="11" t="n"/>
      <c r="AJ908" s="11" t="n"/>
      <c r="AK908" s="14">
        <f>IF(AND($AF908="保留中",$AH908&lt;&gt;""),TODAY()-$AH908,"")</f>
        <v/>
      </c>
      <c r="AL908" s="12" t="n"/>
      <c r="AM908" s="14">
        <f>IF($B908="","",IF($AQ908="","対象年月が未入力／","")&amp;IF($B908="","",IF($AP908="","職員マスタに未登録の職員番号／",IF($AA908="","標準報酬月額が未登録／","")&amp;IF(AND($AQ908&lt;&gt;"",OR(AND(INDEX(職員マスタ!$G$6:$G$405,$AP908)&lt;&gt;"",INDEX(職員マスタ!$G$6:$G$405,$AP908)&gt;EOMONTH($AQ908,0)),AND(INDEX(職員マスタ!$H$6:$H$405,$AP908)&lt;&gt;"",INDEX(職員マスタ!$H$6:$H$405,$AP908)&lt;$AQ908))),"対象月が時短期間外／","")&amp;IF(AND(INDEX(職員マスタ!$K$6:$K$405,$AP908)&lt;&gt;"",N($W908)&gt;0,INDEX(職員マスタ!$K$6:$K$405,$AP908)&lt;&gt;$W908),"標準報酬月額が申請書と相違（台帳"&amp;TEXT(INDEX(職員マスタ!$K$6:$K$405,$AP908),"#,##0")&amp;"円／申請書"&amp;TEXT($W908,"#,##0")&amp;"円）／","")&amp;IF(AND(INDEX(職員マスタ!$F$6:$F$405,$AP908)&lt;&gt;"",$AQ908&lt;&gt;"",INDEX(職員マスタ!$F$6:$F$405,$AP908)&lt;$AQ908),"対象月に子が2歳到達済／","")&amp;IF(AND($H908&lt;&gt;"",INDEX(職員マスタ!$B$6:$B$405,$AP908)&lt;&gt;"",SUBSTITUTE(SUBSTITUTE($H908," ","")," ","")&lt;&gt;SUBSTITUTE(SUBSTITUTE(INDEX(職員マスタ!$B$6:$B$405,$AP908)," ","")," ","")),"氏名がマスタと相違／","")&amp;IF(AND($Q908&lt;&gt;"",INDEX(職員マスタ!$E$6:$E$405,$AP908)&lt;&gt;"",$Q908&lt;&gt;INDEX(職員マスタ!$E$6:$E$405,$AP908)),"子の生年月日がマスタと相違／","")&amp;IF(AND($L908&lt;&gt;"",INDEX(職員マスタ!$G$6:$G$405,$AP908)&lt;&gt;"",$L908&lt;&gt;INDEX(職員マスタ!$G$6:$G$405,$AP908)),"時短開始日がマスタと相違／","")&amp;IF(AND($M908&lt;&gt;"",INDEX(職員マスタ!$H$6:$H$405,$AP908)&lt;&gt;"",$M908&lt;&gt;INDEX(職員マスタ!$H$6:$H$405,$AP908)),"時短終了日がマスタと相違／","")))&amp;IF(AND($B908&lt;&gt;"",$E908=""),"報酬額が未入力／","")&amp;IF(N($U908)&gt;0,"申請書に入力エラーが残っています／","")&amp;IF(AND($B908&lt;&gt;"",$AQ908&lt;&gt;""),IF(COUNTIFS($B$6:$B$3005,$B908,$C$6:$C$3005,$C908,$D$6:$D$3005,$D908)&gt;1,"同じ月の請求が重複しています／",""),"")&amp;IF(AND(N($E908)&gt;0,$AB908&lt;&gt;"",$AB908&lt;&gt;"×",$AE908=0,$AD908=""),"計算額が下限以下のため不支給／",""))</f>
        <v/>
      </c>
      <c r="AN908" s="12" t="n"/>
      <c r="AO908" s="14">
        <f>IF($AF908="保留中",COUNTIF($AF$6:$AF908,"保留中"),"")</f>
        <v/>
      </c>
      <c r="AP908" s="14">
        <f>IF($AQ908="","",IF(SUMPRODUCT(MAX((職員マスタ!$A$6:$A$405=$B908)*(((職員マスタ!$G$6:$G$405="")+(職員マスタ!$G$6:$G$405&lt;=EOMONTH($AQ908,0)))&gt;0)*(((職員マスタ!$H$6:$H$405="")+(職員マスタ!$H$6:$H$405&gt;=$AQ908))&gt;0)*(ROW(職員マスタ!$A$6:$A$405)-5)))&gt;0,SUMPRODUCT(MAX((職員マスタ!$A$6:$A$405=$B908)*(((職員マスタ!$G$6:$G$405="")+(職員マスタ!$G$6:$G$405&lt;=EOMONTH($AQ908,0)))&gt;0)*(((職員マスタ!$H$6:$H$405="")+(職員マスタ!$H$6:$H$405&gt;=$AQ908))&gt;0)*(ROW(職員マスタ!$A$6:$A$405)-5))),IFERROR(MATCH($B908,職員マスタ!$A$6:$A$405,0),"")))</f>
        <v/>
      </c>
      <c r="AQ908" s="16">
        <f>IF(OR($B908="",$C908="",$D908=""),"",DATE($C908+2018,$D908,1))</f>
        <v/>
      </c>
    </row>
    <row r="909">
      <c r="A909" s="11" t="n"/>
      <c r="B909" s="12" t="n"/>
      <c r="C909" s="12" t="n"/>
      <c r="D909" s="12" t="n"/>
      <c r="E909" s="13" t="n"/>
      <c r="F909" s="12" t="n"/>
      <c r="G909" s="13" t="n"/>
      <c r="H909" s="12" t="n"/>
      <c r="I909" s="12" t="n"/>
      <c r="J909" s="12" t="n"/>
      <c r="K909" s="12" t="n"/>
      <c r="L909" s="11" t="n"/>
      <c r="M909" s="11" t="n"/>
      <c r="N909" s="11" t="n"/>
      <c r="O909" s="11" t="n"/>
      <c r="P909" s="12" t="n"/>
      <c r="Q909" s="11" t="n"/>
      <c r="R909" s="12" t="n"/>
      <c r="S909" s="11" t="n"/>
      <c r="T909" s="12" t="n"/>
      <c r="U909" s="12" t="n"/>
      <c r="V909" s="12" t="n"/>
      <c r="W909" s="13" t="n"/>
      <c r="X909" s="14">
        <f>IF($AP909="",IF($B909="","",$H909),IF(INDEX(職員マスタ!$B$6:$B$405,$AP909)="",$H909,INDEX(職員マスタ!$B$6:$B$405,$AP909)))</f>
        <v/>
      </c>
      <c r="Y909" s="14">
        <f>IF($AP909="",IF($B909="","",$R909),IF(INDEX(職員マスタ!$C$6:$C$405,$AP909)="",$R909,INDEX(職員マスタ!$C$6:$C$405,$AP909)))</f>
        <v/>
      </c>
      <c r="Z909" s="14">
        <f>IF($AQ909="","","R"&amp;$C909&amp;"."&amp;$D909)</f>
        <v/>
      </c>
      <c r="AA909" s="15">
        <f>IF(IF($AP909="",FALSE,INDEX(職員マスタ!$K$6:$K$405,$AP909)&lt;&gt;""),INDEX(職員マスタ!$K$6:$K$405,$AP909),IF(N($W909)&gt;0,$W909,""))</f>
        <v/>
      </c>
      <c r="AB909" s="14">
        <f>IF(OR($E909="",$AA909=""),"",IF($E909&gt;=$AA909,"×",IF($E909&gt;=$AA909*設定!$C$5,"△","○")))</f>
        <v/>
      </c>
      <c r="AC909" s="15">
        <f>IF($AB909="","",IF($AB909="×",0,IF($AB909="○",ROUNDDOWN($E909*設定!$C$4,0),ROUNDDOWN($E909*ROUND((9*$AA909-9*$E909)/(10*$E909),4),0))))</f>
        <v/>
      </c>
      <c r="AD909" s="13" t="n"/>
      <c r="AE909" s="15">
        <f>IF($B909="","",IF($AD909&lt;&gt;"",$AD909,IF($AC909="","",IF($AC909&lt;=設定!$C$3,0,$AC909))))</f>
        <v/>
      </c>
      <c r="AF909" s="14">
        <f>IF($B909="","",IF(AND($AG909&lt;&gt;"",$AI909="",$AL909=""),"保留中",IF($AL909&lt;&gt;"",IF(N($AE909)&gt;0,"支給済","不支給"),IF($AE909="","要確認",IF($AE909=0,"不支給","未処理")))))</f>
        <v/>
      </c>
      <c r="AG909" s="12" t="n"/>
      <c r="AH909" s="11" t="n"/>
      <c r="AI909" s="11" t="n"/>
      <c r="AJ909" s="11" t="n"/>
      <c r="AK909" s="14">
        <f>IF(AND($AF909="保留中",$AH909&lt;&gt;""),TODAY()-$AH909,"")</f>
        <v/>
      </c>
      <c r="AL909" s="12" t="n"/>
      <c r="AM909" s="14">
        <f>IF($B909="","",IF($AQ909="","対象年月が未入力／","")&amp;IF($B909="","",IF($AP909="","職員マスタに未登録の職員番号／",IF($AA909="","標準報酬月額が未登録／","")&amp;IF(AND($AQ909&lt;&gt;"",OR(AND(INDEX(職員マスタ!$G$6:$G$405,$AP909)&lt;&gt;"",INDEX(職員マスタ!$G$6:$G$405,$AP909)&gt;EOMONTH($AQ909,0)),AND(INDEX(職員マスタ!$H$6:$H$405,$AP909)&lt;&gt;"",INDEX(職員マスタ!$H$6:$H$405,$AP909)&lt;$AQ909))),"対象月が時短期間外／","")&amp;IF(AND(INDEX(職員マスタ!$K$6:$K$405,$AP909)&lt;&gt;"",N($W909)&gt;0,INDEX(職員マスタ!$K$6:$K$405,$AP909)&lt;&gt;$W909),"標準報酬月額が申請書と相違（台帳"&amp;TEXT(INDEX(職員マスタ!$K$6:$K$405,$AP909),"#,##0")&amp;"円／申請書"&amp;TEXT($W909,"#,##0")&amp;"円）／","")&amp;IF(AND(INDEX(職員マスタ!$F$6:$F$405,$AP909)&lt;&gt;"",$AQ909&lt;&gt;"",INDEX(職員マスタ!$F$6:$F$405,$AP909)&lt;$AQ909),"対象月に子が2歳到達済／","")&amp;IF(AND($H909&lt;&gt;"",INDEX(職員マスタ!$B$6:$B$405,$AP909)&lt;&gt;"",SUBSTITUTE(SUBSTITUTE($H909," ","")," ","")&lt;&gt;SUBSTITUTE(SUBSTITUTE(INDEX(職員マスタ!$B$6:$B$405,$AP909)," ","")," ","")),"氏名がマスタと相違／","")&amp;IF(AND($Q909&lt;&gt;"",INDEX(職員マスタ!$E$6:$E$405,$AP909)&lt;&gt;"",$Q909&lt;&gt;INDEX(職員マスタ!$E$6:$E$405,$AP909)),"子の生年月日がマスタと相違／","")&amp;IF(AND($L909&lt;&gt;"",INDEX(職員マスタ!$G$6:$G$405,$AP909)&lt;&gt;"",$L909&lt;&gt;INDEX(職員マスタ!$G$6:$G$405,$AP909)),"時短開始日がマスタと相違／","")&amp;IF(AND($M909&lt;&gt;"",INDEX(職員マスタ!$H$6:$H$405,$AP909)&lt;&gt;"",$M909&lt;&gt;INDEX(職員マスタ!$H$6:$H$405,$AP909)),"時短終了日がマスタと相違／","")))&amp;IF(AND($B909&lt;&gt;"",$E909=""),"報酬額が未入力／","")&amp;IF(N($U909)&gt;0,"申請書に入力エラーが残っています／","")&amp;IF(AND($B909&lt;&gt;"",$AQ909&lt;&gt;""),IF(COUNTIFS($B$6:$B$3005,$B909,$C$6:$C$3005,$C909,$D$6:$D$3005,$D909)&gt;1,"同じ月の請求が重複しています／",""),"")&amp;IF(AND(N($E909)&gt;0,$AB909&lt;&gt;"",$AB909&lt;&gt;"×",$AE909=0,$AD909=""),"計算額が下限以下のため不支給／",""))</f>
        <v/>
      </c>
      <c r="AN909" s="12" t="n"/>
      <c r="AO909" s="14">
        <f>IF($AF909="保留中",COUNTIF($AF$6:$AF909,"保留中"),"")</f>
        <v/>
      </c>
      <c r="AP909" s="14">
        <f>IF($AQ909="","",IF(SUMPRODUCT(MAX((職員マスタ!$A$6:$A$405=$B909)*(((職員マスタ!$G$6:$G$405="")+(職員マスタ!$G$6:$G$405&lt;=EOMONTH($AQ909,0)))&gt;0)*(((職員マスタ!$H$6:$H$405="")+(職員マスタ!$H$6:$H$405&gt;=$AQ909))&gt;0)*(ROW(職員マスタ!$A$6:$A$405)-5)))&gt;0,SUMPRODUCT(MAX((職員マスタ!$A$6:$A$405=$B909)*(((職員マスタ!$G$6:$G$405="")+(職員マスタ!$G$6:$G$405&lt;=EOMONTH($AQ909,0)))&gt;0)*(((職員マスタ!$H$6:$H$405="")+(職員マスタ!$H$6:$H$405&gt;=$AQ909))&gt;0)*(ROW(職員マスタ!$A$6:$A$405)-5))),IFERROR(MATCH($B909,職員マスタ!$A$6:$A$405,0),"")))</f>
        <v/>
      </c>
      <c r="AQ909" s="16">
        <f>IF(OR($B909="",$C909="",$D909=""),"",DATE($C909+2018,$D909,1))</f>
        <v/>
      </c>
    </row>
    <row r="910">
      <c r="A910" s="11" t="n"/>
      <c r="B910" s="12" t="n"/>
      <c r="C910" s="12" t="n"/>
      <c r="D910" s="12" t="n"/>
      <c r="E910" s="13" t="n"/>
      <c r="F910" s="12" t="n"/>
      <c r="G910" s="13" t="n"/>
      <c r="H910" s="12" t="n"/>
      <c r="I910" s="12" t="n"/>
      <c r="J910" s="12" t="n"/>
      <c r="K910" s="12" t="n"/>
      <c r="L910" s="11" t="n"/>
      <c r="M910" s="11" t="n"/>
      <c r="N910" s="11" t="n"/>
      <c r="O910" s="11" t="n"/>
      <c r="P910" s="12" t="n"/>
      <c r="Q910" s="11" t="n"/>
      <c r="R910" s="12" t="n"/>
      <c r="S910" s="11" t="n"/>
      <c r="T910" s="12" t="n"/>
      <c r="U910" s="12" t="n"/>
      <c r="V910" s="12" t="n"/>
      <c r="W910" s="13" t="n"/>
      <c r="X910" s="14">
        <f>IF($AP910="",IF($B910="","",$H910),IF(INDEX(職員マスタ!$B$6:$B$405,$AP910)="",$H910,INDEX(職員マスタ!$B$6:$B$405,$AP910)))</f>
        <v/>
      </c>
      <c r="Y910" s="14">
        <f>IF($AP910="",IF($B910="","",$R910),IF(INDEX(職員マスタ!$C$6:$C$405,$AP910)="",$R910,INDEX(職員マスタ!$C$6:$C$405,$AP910)))</f>
        <v/>
      </c>
      <c r="Z910" s="14">
        <f>IF($AQ910="","","R"&amp;$C910&amp;"."&amp;$D910)</f>
        <v/>
      </c>
      <c r="AA910" s="15">
        <f>IF(IF($AP910="",FALSE,INDEX(職員マスタ!$K$6:$K$405,$AP910)&lt;&gt;""),INDEX(職員マスタ!$K$6:$K$405,$AP910),IF(N($W910)&gt;0,$W910,""))</f>
        <v/>
      </c>
      <c r="AB910" s="14">
        <f>IF(OR($E910="",$AA910=""),"",IF($E910&gt;=$AA910,"×",IF($E910&gt;=$AA910*設定!$C$5,"△","○")))</f>
        <v/>
      </c>
      <c r="AC910" s="15">
        <f>IF($AB910="","",IF($AB910="×",0,IF($AB910="○",ROUNDDOWN($E910*設定!$C$4,0),ROUNDDOWN($E910*ROUND((9*$AA910-9*$E910)/(10*$E910),4),0))))</f>
        <v/>
      </c>
      <c r="AD910" s="13" t="n"/>
      <c r="AE910" s="15">
        <f>IF($B910="","",IF($AD910&lt;&gt;"",$AD910,IF($AC910="","",IF($AC910&lt;=設定!$C$3,0,$AC910))))</f>
        <v/>
      </c>
      <c r="AF910" s="14">
        <f>IF($B910="","",IF(AND($AG910&lt;&gt;"",$AI910="",$AL910=""),"保留中",IF($AL910&lt;&gt;"",IF(N($AE910)&gt;0,"支給済","不支給"),IF($AE910="","要確認",IF($AE910=0,"不支給","未処理")))))</f>
        <v/>
      </c>
      <c r="AG910" s="12" t="n"/>
      <c r="AH910" s="11" t="n"/>
      <c r="AI910" s="11" t="n"/>
      <c r="AJ910" s="11" t="n"/>
      <c r="AK910" s="14">
        <f>IF(AND($AF910="保留中",$AH910&lt;&gt;""),TODAY()-$AH910,"")</f>
        <v/>
      </c>
      <c r="AL910" s="12" t="n"/>
      <c r="AM910" s="14">
        <f>IF($B910="","",IF($AQ910="","対象年月が未入力／","")&amp;IF($B910="","",IF($AP910="","職員マスタに未登録の職員番号／",IF($AA910="","標準報酬月額が未登録／","")&amp;IF(AND($AQ910&lt;&gt;"",OR(AND(INDEX(職員マスタ!$G$6:$G$405,$AP910)&lt;&gt;"",INDEX(職員マスタ!$G$6:$G$405,$AP910)&gt;EOMONTH($AQ910,0)),AND(INDEX(職員マスタ!$H$6:$H$405,$AP910)&lt;&gt;"",INDEX(職員マスタ!$H$6:$H$405,$AP910)&lt;$AQ910))),"対象月が時短期間外／","")&amp;IF(AND(INDEX(職員マスタ!$K$6:$K$405,$AP910)&lt;&gt;"",N($W910)&gt;0,INDEX(職員マスタ!$K$6:$K$405,$AP910)&lt;&gt;$W910),"標準報酬月額が申請書と相違（台帳"&amp;TEXT(INDEX(職員マスタ!$K$6:$K$405,$AP910),"#,##0")&amp;"円／申請書"&amp;TEXT($W910,"#,##0")&amp;"円）／","")&amp;IF(AND(INDEX(職員マスタ!$F$6:$F$405,$AP910)&lt;&gt;"",$AQ910&lt;&gt;"",INDEX(職員マスタ!$F$6:$F$405,$AP910)&lt;$AQ910),"対象月に子が2歳到達済／","")&amp;IF(AND($H910&lt;&gt;"",INDEX(職員マスタ!$B$6:$B$405,$AP910)&lt;&gt;"",SUBSTITUTE(SUBSTITUTE($H910," ","")," ","")&lt;&gt;SUBSTITUTE(SUBSTITUTE(INDEX(職員マスタ!$B$6:$B$405,$AP910)," ","")," ","")),"氏名がマスタと相違／","")&amp;IF(AND($Q910&lt;&gt;"",INDEX(職員マスタ!$E$6:$E$405,$AP910)&lt;&gt;"",$Q910&lt;&gt;INDEX(職員マスタ!$E$6:$E$405,$AP910)),"子の生年月日がマスタと相違／","")&amp;IF(AND($L910&lt;&gt;"",INDEX(職員マスタ!$G$6:$G$405,$AP910)&lt;&gt;"",$L910&lt;&gt;INDEX(職員マスタ!$G$6:$G$405,$AP910)),"時短開始日がマスタと相違／","")&amp;IF(AND($M910&lt;&gt;"",INDEX(職員マスタ!$H$6:$H$405,$AP910)&lt;&gt;"",$M910&lt;&gt;INDEX(職員マスタ!$H$6:$H$405,$AP910)),"時短終了日がマスタと相違／","")))&amp;IF(AND($B910&lt;&gt;"",$E910=""),"報酬額が未入力／","")&amp;IF(N($U910)&gt;0,"申請書に入力エラーが残っています／","")&amp;IF(AND($B910&lt;&gt;"",$AQ910&lt;&gt;""),IF(COUNTIFS($B$6:$B$3005,$B910,$C$6:$C$3005,$C910,$D$6:$D$3005,$D910)&gt;1,"同じ月の請求が重複しています／",""),"")&amp;IF(AND(N($E910)&gt;0,$AB910&lt;&gt;"",$AB910&lt;&gt;"×",$AE910=0,$AD910=""),"計算額が下限以下のため不支給／",""))</f>
        <v/>
      </c>
      <c r="AN910" s="12" t="n"/>
      <c r="AO910" s="14">
        <f>IF($AF910="保留中",COUNTIF($AF$6:$AF910,"保留中"),"")</f>
        <v/>
      </c>
      <c r="AP910" s="14">
        <f>IF($AQ910="","",IF(SUMPRODUCT(MAX((職員マスタ!$A$6:$A$405=$B910)*(((職員マスタ!$G$6:$G$405="")+(職員マスタ!$G$6:$G$405&lt;=EOMONTH($AQ910,0)))&gt;0)*(((職員マスタ!$H$6:$H$405="")+(職員マスタ!$H$6:$H$405&gt;=$AQ910))&gt;0)*(ROW(職員マスタ!$A$6:$A$405)-5)))&gt;0,SUMPRODUCT(MAX((職員マスタ!$A$6:$A$405=$B910)*(((職員マスタ!$G$6:$G$405="")+(職員マスタ!$G$6:$G$405&lt;=EOMONTH($AQ910,0)))&gt;0)*(((職員マスタ!$H$6:$H$405="")+(職員マスタ!$H$6:$H$405&gt;=$AQ910))&gt;0)*(ROW(職員マスタ!$A$6:$A$405)-5))),IFERROR(MATCH($B910,職員マスタ!$A$6:$A$405,0),"")))</f>
        <v/>
      </c>
      <c r="AQ910" s="16">
        <f>IF(OR($B910="",$C910="",$D910=""),"",DATE($C910+2018,$D910,1))</f>
        <v/>
      </c>
    </row>
    <row r="911">
      <c r="A911" s="11" t="n"/>
      <c r="B911" s="12" t="n"/>
      <c r="C911" s="12" t="n"/>
      <c r="D911" s="12" t="n"/>
      <c r="E911" s="13" t="n"/>
      <c r="F911" s="12" t="n"/>
      <c r="G911" s="13" t="n"/>
      <c r="H911" s="12" t="n"/>
      <c r="I911" s="12" t="n"/>
      <c r="J911" s="12" t="n"/>
      <c r="K911" s="12" t="n"/>
      <c r="L911" s="11" t="n"/>
      <c r="M911" s="11" t="n"/>
      <c r="N911" s="11" t="n"/>
      <c r="O911" s="11" t="n"/>
      <c r="P911" s="12" t="n"/>
      <c r="Q911" s="11" t="n"/>
      <c r="R911" s="12" t="n"/>
      <c r="S911" s="11" t="n"/>
      <c r="T911" s="12" t="n"/>
      <c r="U911" s="12" t="n"/>
      <c r="V911" s="12" t="n"/>
      <c r="W911" s="13" t="n"/>
      <c r="X911" s="14">
        <f>IF($AP911="",IF($B911="","",$H911),IF(INDEX(職員マスタ!$B$6:$B$405,$AP911)="",$H911,INDEX(職員マスタ!$B$6:$B$405,$AP911)))</f>
        <v/>
      </c>
      <c r="Y911" s="14">
        <f>IF($AP911="",IF($B911="","",$R911),IF(INDEX(職員マスタ!$C$6:$C$405,$AP911)="",$R911,INDEX(職員マスタ!$C$6:$C$405,$AP911)))</f>
        <v/>
      </c>
      <c r="Z911" s="14">
        <f>IF($AQ911="","","R"&amp;$C911&amp;"."&amp;$D911)</f>
        <v/>
      </c>
      <c r="AA911" s="15">
        <f>IF(IF($AP911="",FALSE,INDEX(職員マスタ!$K$6:$K$405,$AP911)&lt;&gt;""),INDEX(職員マスタ!$K$6:$K$405,$AP911),IF(N($W911)&gt;0,$W911,""))</f>
        <v/>
      </c>
      <c r="AB911" s="14">
        <f>IF(OR($E911="",$AA911=""),"",IF($E911&gt;=$AA911,"×",IF($E911&gt;=$AA911*設定!$C$5,"△","○")))</f>
        <v/>
      </c>
      <c r="AC911" s="15">
        <f>IF($AB911="","",IF($AB911="×",0,IF($AB911="○",ROUNDDOWN($E911*設定!$C$4,0),ROUNDDOWN($E911*ROUND((9*$AA911-9*$E911)/(10*$E911),4),0))))</f>
        <v/>
      </c>
      <c r="AD911" s="13" t="n"/>
      <c r="AE911" s="15">
        <f>IF($B911="","",IF($AD911&lt;&gt;"",$AD911,IF($AC911="","",IF($AC911&lt;=設定!$C$3,0,$AC911))))</f>
        <v/>
      </c>
      <c r="AF911" s="14">
        <f>IF($B911="","",IF(AND($AG911&lt;&gt;"",$AI911="",$AL911=""),"保留中",IF($AL911&lt;&gt;"",IF(N($AE911)&gt;0,"支給済","不支給"),IF($AE911="","要確認",IF($AE911=0,"不支給","未処理")))))</f>
        <v/>
      </c>
      <c r="AG911" s="12" t="n"/>
      <c r="AH911" s="11" t="n"/>
      <c r="AI911" s="11" t="n"/>
      <c r="AJ911" s="11" t="n"/>
      <c r="AK911" s="14">
        <f>IF(AND($AF911="保留中",$AH911&lt;&gt;""),TODAY()-$AH911,"")</f>
        <v/>
      </c>
      <c r="AL911" s="12" t="n"/>
      <c r="AM911" s="14">
        <f>IF($B911="","",IF($AQ911="","対象年月が未入力／","")&amp;IF($B911="","",IF($AP911="","職員マスタに未登録の職員番号／",IF($AA911="","標準報酬月額が未登録／","")&amp;IF(AND($AQ911&lt;&gt;"",OR(AND(INDEX(職員マスタ!$G$6:$G$405,$AP911)&lt;&gt;"",INDEX(職員マスタ!$G$6:$G$405,$AP911)&gt;EOMONTH($AQ911,0)),AND(INDEX(職員マスタ!$H$6:$H$405,$AP911)&lt;&gt;"",INDEX(職員マスタ!$H$6:$H$405,$AP911)&lt;$AQ911))),"対象月が時短期間外／","")&amp;IF(AND(INDEX(職員マスタ!$K$6:$K$405,$AP911)&lt;&gt;"",N($W911)&gt;0,INDEX(職員マスタ!$K$6:$K$405,$AP911)&lt;&gt;$W911),"標準報酬月額が申請書と相違（台帳"&amp;TEXT(INDEX(職員マスタ!$K$6:$K$405,$AP911),"#,##0")&amp;"円／申請書"&amp;TEXT($W911,"#,##0")&amp;"円）／","")&amp;IF(AND(INDEX(職員マスタ!$F$6:$F$405,$AP911)&lt;&gt;"",$AQ911&lt;&gt;"",INDEX(職員マスタ!$F$6:$F$405,$AP911)&lt;$AQ911),"対象月に子が2歳到達済／","")&amp;IF(AND($H911&lt;&gt;"",INDEX(職員マスタ!$B$6:$B$405,$AP911)&lt;&gt;"",SUBSTITUTE(SUBSTITUTE($H911," ","")," ","")&lt;&gt;SUBSTITUTE(SUBSTITUTE(INDEX(職員マスタ!$B$6:$B$405,$AP911)," ","")," ","")),"氏名がマスタと相違／","")&amp;IF(AND($Q911&lt;&gt;"",INDEX(職員マスタ!$E$6:$E$405,$AP911)&lt;&gt;"",$Q911&lt;&gt;INDEX(職員マスタ!$E$6:$E$405,$AP911)),"子の生年月日がマスタと相違／","")&amp;IF(AND($L911&lt;&gt;"",INDEX(職員マスタ!$G$6:$G$405,$AP911)&lt;&gt;"",$L911&lt;&gt;INDEX(職員マスタ!$G$6:$G$405,$AP911)),"時短開始日がマスタと相違／","")&amp;IF(AND($M911&lt;&gt;"",INDEX(職員マスタ!$H$6:$H$405,$AP911)&lt;&gt;"",$M911&lt;&gt;INDEX(職員マスタ!$H$6:$H$405,$AP911)),"時短終了日がマスタと相違／","")))&amp;IF(AND($B911&lt;&gt;"",$E911=""),"報酬額が未入力／","")&amp;IF(N($U911)&gt;0,"申請書に入力エラーが残っています／","")&amp;IF(AND($B911&lt;&gt;"",$AQ911&lt;&gt;""),IF(COUNTIFS($B$6:$B$3005,$B911,$C$6:$C$3005,$C911,$D$6:$D$3005,$D911)&gt;1,"同じ月の請求が重複しています／",""),"")&amp;IF(AND(N($E911)&gt;0,$AB911&lt;&gt;"",$AB911&lt;&gt;"×",$AE911=0,$AD911=""),"計算額が下限以下のため不支給／",""))</f>
        <v/>
      </c>
      <c r="AN911" s="12" t="n"/>
      <c r="AO911" s="14">
        <f>IF($AF911="保留中",COUNTIF($AF$6:$AF911,"保留中"),"")</f>
        <v/>
      </c>
      <c r="AP911" s="14">
        <f>IF($AQ911="","",IF(SUMPRODUCT(MAX((職員マスタ!$A$6:$A$405=$B911)*(((職員マスタ!$G$6:$G$405="")+(職員マスタ!$G$6:$G$405&lt;=EOMONTH($AQ911,0)))&gt;0)*(((職員マスタ!$H$6:$H$405="")+(職員マスタ!$H$6:$H$405&gt;=$AQ911))&gt;0)*(ROW(職員マスタ!$A$6:$A$405)-5)))&gt;0,SUMPRODUCT(MAX((職員マスタ!$A$6:$A$405=$B911)*(((職員マスタ!$G$6:$G$405="")+(職員マスタ!$G$6:$G$405&lt;=EOMONTH($AQ911,0)))&gt;0)*(((職員マスタ!$H$6:$H$405="")+(職員マスタ!$H$6:$H$405&gt;=$AQ911))&gt;0)*(ROW(職員マスタ!$A$6:$A$405)-5))),IFERROR(MATCH($B911,職員マスタ!$A$6:$A$405,0),"")))</f>
        <v/>
      </c>
      <c r="AQ911" s="16">
        <f>IF(OR($B911="",$C911="",$D911=""),"",DATE($C911+2018,$D911,1))</f>
        <v/>
      </c>
    </row>
    <row r="912">
      <c r="A912" s="11" t="n"/>
      <c r="B912" s="12" t="n"/>
      <c r="C912" s="12" t="n"/>
      <c r="D912" s="12" t="n"/>
      <c r="E912" s="13" t="n"/>
      <c r="F912" s="12" t="n"/>
      <c r="G912" s="13" t="n"/>
      <c r="H912" s="12" t="n"/>
      <c r="I912" s="12" t="n"/>
      <c r="J912" s="12" t="n"/>
      <c r="K912" s="12" t="n"/>
      <c r="L912" s="11" t="n"/>
      <c r="M912" s="11" t="n"/>
      <c r="N912" s="11" t="n"/>
      <c r="O912" s="11" t="n"/>
      <c r="P912" s="12" t="n"/>
      <c r="Q912" s="11" t="n"/>
      <c r="R912" s="12" t="n"/>
      <c r="S912" s="11" t="n"/>
      <c r="T912" s="12" t="n"/>
      <c r="U912" s="12" t="n"/>
      <c r="V912" s="12" t="n"/>
      <c r="W912" s="13" t="n"/>
      <c r="X912" s="14">
        <f>IF($AP912="",IF($B912="","",$H912),IF(INDEX(職員マスタ!$B$6:$B$405,$AP912)="",$H912,INDEX(職員マスタ!$B$6:$B$405,$AP912)))</f>
        <v/>
      </c>
      <c r="Y912" s="14">
        <f>IF($AP912="",IF($B912="","",$R912),IF(INDEX(職員マスタ!$C$6:$C$405,$AP912)="",$R912,INDEX(職員マスタ!$C$6:$C$405,$AP912)))</f>
        <v/>
      </c>
      <c r="Z912" s="14">
        <f>IF($AQ912="","","R"&amp;$C912&amp;"."&amp;$D912)</f>
        <v/>
      </c>
      <c r="AA912" s="15">
        <f>IF(IF($AP912="",FALSE,INDEX(職員マスタ!$K$6:$K$405,$AP912)&lt;&gt;""),INDEX(職員マスタ!$K$6:$K$405,$AP912),IF(N($W912)&gt;0,$W912,""))</f>
        <v/>
      </c>
      <c r="AB912" s="14">
        <f>IF(OR($E912="",$AA912=""),"",IF($E912&gt;=$AA912,"×",IF($E912&gt;=$AA912*設定!$C$5,"△","○")))</f>
        <v/>
      </c>
      <c r="AC912" s="15">
        <f>IF($AB912="","",IF($AB912="×",0,IF($AB912="○",ROUNDDOWN($E912*設定!$C$4,0),ROUNDDOWN($E912*ROUND((9*$AA912-9*$E912)/(10*$E912),4),0))))</f>
        <v/>
      </c>
      <c r="AD912" s="13" t="n"/>
      <c r="AE912" s="15">
        <f>IF($B912="","",IF($AD912&lt;&gt;"",$AD912,IF($AC912="","",IF($AC912&lt;=設定!$C$3,0,$AC912))))</f>
        <v/>
      </c>
      <c r="AF912" s="14">
        <f>IF($B912="","",IF(AND($AG912&lt;&gt;"",$AI912="",$AL912=""),"保留中",IF($AL912&lt;&gt;"",IF(N($AE912)&gt;0,"支給済","不支給"),IF($AE912="","要確認",IF($AE912=0,"不支給","未処理")))))</f>
        <v/>
      </c>
      <c r="AG912" s="12" t="n"/>
      <c r="AH912" s="11" t="n"/>
      <c r="AI912" s="11" t="n"/>
      <c r="AJ912" s="11" t="n"/>
      <c r="AK912" s="14">
        <f>IF(AND($AF912="保留中",$AH912&lt;&gt;""),TODAY()-$AH912,"")</f>
        <v/>
      </c>
      <c r="AL912" s="12" t="n"/>
      <c r="AM912" s="14">
        <f>IF($B912="","",IF($AQ912="","対象年月が未入力／","")&amp;IF($B912="","",IF($AP912="","職員マスタに未登録の職員番号／",IF($AA912="","標準報酬月額が未登録／","")&amp;IF(AND($AQ912&lt;&gt;"",OR(AND(INDEX(職員マスタ!$G$6:$G$405,$AP912)&lt;&gt;"",INDEX(職員マスタ!$G$6:$G$405,$AP912)&gt;EOMONTH($AQ912,0)),AND(INDEX(職員マスタ!$H$6:$H$405,$AP912)&lt;&gt;"",INDEX(職員マスタ!$H$6:$H$405,$AP912)&lt;$AQ912))),"対象月が時短期間外／","")&amp;IF(AND(INDEX(職員マスタ!$K$6:$K$405,$AP912)&lt;&gt;"",N($W912)&gt;0,INDEX(職員マスタ!$K$6:$K$405,$AP912)&lt;&gt;$W912),"標準報酬月額が申請書と相違（台帳"&amp;TEXT(INDEX(職員マスタ!$K$6:$K$405,$AP912),"#,##0")&amp;"円／申請書"&amp;TEXT($W912,"#,##0")&amp;"円）／","")&amp;IF(AND(INDEX(職員マスタ!$F$6:$F$405,$AP912)&lt;&gt;"",$AQ912&lt;&gt;"",INDEX(職員マスタ!$F$6:$F$405,$AP912)&lt;$AQ912),"対象月に子が2歳到達済／","")&amp;IF(AND($H912&lt;&gt;"",INDEX(職員マスタ!$B$6:$B$405,$AP912)&lt;&gt;"",SUBSTITUTE(SUBSTITUTE($H912," ","")," ","")&lt;&gt;SUBSTITUTE(SUBSTITUTE(INDEX(職員マスタ!$B$6:$B$405,$AP912)," ","")," ","")),"氏名がマスタと相違／","")&amp;IF(AND($Q912&lt;&gt;"",INDEX(職員マスタ!$E$6:$E$405,$AP912)&lt;&gt;"",$Q912&lt;&gt;INDEX(職員マスタ!$E$6:$E$405,$AP912)),"子の生年月日がマスタと相違／","")&amp;IF(AND($L912&lt;&gt;"",INDEX(職員マスタ!$G$6:$G$405,$AP912)&lt;&gt;"",$L912&lt;&gt;INDEX(職員マスタ!$G$6:$G$405,$AP912)),"時短開始日がマスタと相違／","")&amp;IF(AND($M912&lt;&gt;"",INDEX(職員マスタ!$H$6:$H$405,$AP912)&lt;&gt;"",$M912&lt;&gt;INDEX(職員マスタ!$H$6:$H$405,$AP912)),"時短終了日がマスタと相違／","")))&amp;IF(AND($B912&lt;&gt;"",$E912=""),"報酬額が未入力／","")&amp;IF(N($U912)&gt;0,"申請書に入力エラーが残っています／","")&amp;IF(AND($B912&lt;&gt;"",$AQ912&lt;&gt;""),IF(COUNTIFS($B$6:$B$3005,$B912,$C$6:$C$3005,$C912,$D$6:$D$3005,$D912)&gt;1,"同じ月の請求が重複しています／",""),"")&amp;IF(AND(N($E912)&gt;0,$AB912&lt;&gt;"",$AB912&lt;&gt;"×",$AE912=0,$AD912=""),"計算額が下限以下のため不支給／",""))</f>
        <v/>
      </c>
      <c r="AN912" s="12" t="n"/>
      <c r="AO912" s="14">
        <f>IF($AF912="保留中",COUNTIF($AF$6:$AF912,"保留中"),"")</f>
        <v/>
      </c>
      <c r="AP912" s="14">
        <f>IF($AQ912="","",IF(SUMPRODUCT(MAX((職員マスタ!$A$6:$A$405=$B912)*(((職員マスタ!$G$6:$G$405="")+(職員マスタ!$G$6:$G$405&lt;=EOMONTH($AQ912,0)))&gt;0)*(((職員マスタ!$H$6:$H$405="")+(職員マスタ!$H$6:$H$405&gt;=$AQ912))&gt;0)*(ROW(職員マスタ!$A$6:$A$405)-5)))&gt;0,SUMPRODUCT(MAX((職員マスタ!$A$6:$A$405=$B912)*(((職員マスタ!$G$6:$G$405="")+(職員マスタ!$G$6:$G$405&lt;=EOMONTH($AQ912,0)))&gt;0)*(((職員マスタ!$H$6:$H$405="")+(職員マスタ!$H$6:$H$405&gt;=$AQ912))&gt;0)*(ROW(職員マスタ!$A$6:$A$405)-5))),IFERROR(MATCH($B912,職員マスタ!$A$6:$A$405,0),"")))</f>
        <v/>
      </c>
      <c r="AQ912" s="16">
        <f>IF(OR($B912="",$C912="",$D912=""),"",DATE($C912+2018,$D912,1))</f>
        <v/>
      </c>
    </row>
    <row r="913">
      <c r="A913" s="11" t="n"/>
      <c r="B913" s="12" t="n"/>
      <c r="C913" s="12" t="n"/>
      <c r="D913" s="12" t="n"/>
      <c r="E913" s="13" t="n"/>
      <c r="F913" s="12" t="n"/>
      <c r="G913" s="13" t="n"/>
      <c r="H913" s="12" t="n"/>
      <c r="I913" s="12" t="n"/>
      <c r="J913" s="12" t="n"/>
      <c r="K913" s="12" t="n"/>
      <c r="L913" s="11" t="n"/>
      <c r="M913" s="11" t="n"/>
      <c r="N913" s="11" t="n"/>
      <c r="O913" s="11" t="n"/>
      <c r="P913" s="12" t="n"/>
      <c r="Q913" s="11" t="n"/>
      <c r="R913" s="12" t="n"/>
      <c r="S913" s="11" t="n"/>
      <c r="T913" s="12" t="n"/>
      <c r="U913" s="12" t="n"/>
      <c r="V913" s="12" t="n"/>
      <c r="W913" s="13" t="n"/>
      <c r="X913" s="14">
        <f>IF($AP913="",IF($B913="","",$H913),IF(INDEX(職員マスタ!$B$6:$B$405,$AP913)="",$H913,INDEX(職員マスタ!$B$6:$B$405,$AP913)))</f>
        <v/>
      </c>
      <c r="Y913" s="14">
        <f>IF($AP913="",IF($B913="","",$R913),IF(INDEX(職員マスタ!$C$6:$C$405,$AP913)="",$R913,INDEX(職員マスタ!$C$6:$C$405,$AP913)))</f>
        <v/>
      </c>
      <c r="Z913" s="14">
        <f>IF($AQ913="","","R"&amp;$C913&amp;"."&amp;$D913)</f>
        <v/>
      </c>
      <c r="AA913" s="15">
        <f>IF(IF($AP913="",FALSE,INDEX(職員マスタ!$K$6:$K$405,$AP913)&lt;&gt;""),INDEX(職員マスタ!$K$6:$K$405,$AP913),IF(N($W913)&gt;0,$W913,""))</f>
        <v/>
      </c>
      <c r="AB913" s="14">
        <f>IF(OR($E913="",$AA913=""),"",IF($E913&gt;=$AA913,"×",IF($E913&gt;=$AA913*設定!$C$5,"△","○")))</f>
        <v/>
      </c>
      <c r="AC913" s="15">
        <f>IF($AB913="","",IF($AB913="×",0,IF($AB913="○",ROUNDDOWN($E913*設定!$C$4,0),ROUNDDOWN($E913*ROUND((9*$AA913-9*$E913)/(10*$E913),4),0))))</f>
        <v/>
      </c>
      <c r="AD913" s="13" t="n"/>
      <c r="AE913" s="15">
        <f>IF($B913="","",IF($AD913&lt;&gt;"",$AD913,IF($AC913="","",IF($AC913&lt;=設定!$C$3,0,$AC913))))</f>
        <v/>
      </c>
      <c r="AF913" s="14">
        <f>IF($B913="","",IF(AND($AG913&lt;&gt;"",$AI913="",$AL913=""),"保留中",IF($AL913&lt;&gt;"",IF(N($AE913)&gt;0,"支給済","不支給"),IF($AE913="","要確認",IF($AE913=0,"不支給","未処理")))))</f>
        <v/>
      </c>
      <c r="AG913" s="12" t="n"/>
      <c r="AH913" s="11" t="n"/>
      <c r="AI913" s="11" t="n"/>
      <c r="AJ913" s="11" t="n"/>
      <c r="AK913" s="14">
        <f>IF(AND($AF913="保留中",$AH913&lt;&gt;""),TODAY()-$AH913,"")</f>
        <v/>
      </c>
      <c r="AL913" s="12" t="n"/>
      <c r="AM913" s="14">
        <f>IF($B913="","",IF($AQ913="","対象年月が未入力／","")&amp;IF($B913="","",IF($AP913="","職員マスタに未登録の職員番号／",IF($AA913="","標準報酬月額が未登録／","")&amp;IF(AND($AQ913&lt;&gt;"",OR(AND(INDEX(職員マスタ!$G$6:$G$405,$AP913)&lt;&gt;"",INDEX(職員マスタ!$G$6:$G$405,$AP913)&gt;EOMONTH($AQ913,0)),AND(INDEX(職員マスタ!$H$6:$H$405,$AP913)&lt;&gt;"",INDEX(職員マスタ!$H$6:$H$405,$AP913)&lt;$AQ913))),"対象月が時短期間外／","")&amp;IF(AND(INDEX(職員マスタ!$K$6:$K$405,$AP913)&lt;&gt;"",N($W913)&gt;0,INDEX(職員マスタ!$K$6:$K$405,$AP913)&lt;&gt;$W913),"標準報酬月額が申請書と相違（台帳"&amp;TEXT(INDEX(職員マスタ!$K$6:$K$405,$AP913),"#,##0")&amp;"円／申請書"&amp;TEXT($W913,"#,##0")&amp;"円）／","")&amp;IF(AND(INDEX(職員マスタ!$F$6:$F$405,$AP913)&lt;&gt;"",$AQ913&lt;&gt;"",INDEX(職員マスタ!$F$6:$F$405,$AP913)&lt;$AQ913),"対象月に子が2歳到達済／","")&amp;IF(AND($H913&lt;&gt;"",INDEX(職員マスタ!$B$6:$B$405,$AP913)&lt;&gt;"",SUBSTITUTE(SUBSTITUTE($H913," ","")," ","")&lt;&gt;SUBSTITUTE(SUBSTITUTE(INDEX(職員マスタ!$B$6:$B$405,$AP913)," ","")," ","")),"氏名がマスタと相違／","")&amp;IF(AND($Q913&lt;&gt;"",INDEX(職員マスタ!$E$6:$E$405,$AP913)&lt;&gt;"",$Q913&lt;&gt;INDEX(職員マスタ!$E$6:$E$405,$AP913)),"子の生年月日がマスタと相違／","")&amp;IF(AND($L913&lt;&gt;"",INDEX(職員マスタ!$G$6:$G$405,$AP913)&lt;&gt;"",$L913&lt;&gt;INDEX(職員マスタ!$G$6:$G$405,$AP913)),"時短開始日がマスタと相違／","")&amp;IF(AND($M913&lt;&gt;"",INDEX(職員マスタ!$H$6:$H$405,$AP913)&lt;&gt;"",$M913&lt;&gt;INDEX(職員マスタ!$H$6:$H$405,$AP913)),"時短終了日がマスタと相違／","")))&amp;IF(AND($B913&lt;&gt;"",$E913=""),"報酬額が未入力／","")&amp;IF(N($U913)&gt;0,"申請書に入力エラーが残っています／","")&amp;IF(AND($B913&lt;&gt;"",$AQ913&lt;&gt;""),IF(COUNTIFS($B$6:$B$3005,$B913,$C$6:$C$3005,$C913,$D$6:$D$3005,$D913)&gt;1,"同じ月の請求が重複しています／",""),"")&amp;IF(AND(N($E913)&gt;0,$AB913&lt;&gt;"",$AB913&lt;&gt;"×",$AE913=0,$AD913=""),"計算額が下限以下のため不支給／",""))</f>
        <v/>
      </c>
      <c r="AN913" s="12" t="n"/>
      <c r="AO913" s="14">
        <f>IF($AF913="保留中",COUNTIF($AF$6:$AF913,"保留中"),"")</f>
        <v/>
      </c>
      <c r="AP913" s="14">
        <f>IF($AQ913="","",IF(SUMPRODUCT(MAX((職員マスタ!$A$6:$A$405=$B913)*(((職員マスタ!$G$6:$G$405="")+(職員マスタ!$G$6:$G$405&lt;=EOMONTH($AQ913,0)))&gt;0)*(((職員マスタ!$H$6:$H$405="")+(職員マスタ!$H$6:$H$405&gt;=$AQ913))&gt;0)*(ROW(職員マスタ!$A$6:$A$405)-5)))&gt;0,SUMPRODUCT(MAX((職員マスタ!$A$6:$A$405=$B913)*(((職員マスタ!$G$6:$G$405="")+(職員マスタ!$G$6:$G$405&lt;=EOMONTH($AQ913,0)))&gt;0)*(((職員マスタ!$H$6:$H$405="")+(職員マスタ!$H$6:$H$405&gt;=$AQ913))&gt;0)*(ROW(職員マスタ!$A$6:$A$405)-5))),IFERROR(MATCH($B913,職員マスタ!$A$6:$A$405,0),"")))</f>
        <v/>
      </c>
      <c r="AQ913" s="16">
        <f>IF(OR($B913="",$C913="",$D913=""),"",DATE($C913+2018,$D913,1))</f>
        <v/>
      </c>
    </row>
    <row r="914">
      <c r="A914" s="11" t="n"/>
      <c r="B914" s="12" t="n"/>
      <c r="C914" s="12" t="n"/>
      <c r="D914" s="12" t="n"/>
      <c r="E914" s="13" t="n"/>
      <c r="F914" s="12" t="n"/>
      <c r="G914" s="13" t="n"/>
      <c r="H914" s="12" t="n"/>
      <c r="I914" s="12" t="n"/>
      <c r="J914" s="12" t="n"/>
      <c r="K914" s="12" t="n"/>
      <c r="L914" s="11" t="n"/>
      <c r="M914" s="11" t="n"/>
      <c r="N914" s="11" t="n"/>
      <c r="O914" s="11" t="n"/>
      <c r="P914" s="12" t="n"/>
      <c r="Q914" s="11" t="n"/>
      <c r="R914" s="12" t="n"/>
      <c r="S914" s="11" t="n"/>
      <c r="T914" s="12" t="n"/>
      <c r="U914" s="12" t="n"/>
      <c r="V914" s="12" t="n"/>
      <c r="W914" s="13" t="n"/>
      <c r="X914" s="14">
        <f>IF($AP914="",IF($B914="","",$H914),IF(INDEX(職員マスタ!$B$6:$B$405,$AP914)="",$H914,INDEX(職員マスタ!$B$6:$B$405,$AP914)))</f>
        <v/>
      </c>
      <c r="Y914" s="14">
        <f>IF($AP914="",IF($B914="","",$R914),IF(INDEX(職員マスタ!$C$6:$C$405,$AP914)="",$R914,INDEX(職員マスタ!$C$6:$C$405,$AP914)))</f>
        <v/>
      </c>
      <c r="Z914" s="14">
        <f>IF($AQ914="","","R"&amp;$C914&amp;"."&amp;$D914)</f>
        <v/>
      </c>
      <c r="AA914" s="15">
        <f>IF(IF($AP914="",FALSE,INDEX(職員マスタ!$K$6:$K$405,$AP914)&lt;&gt;""),INDEX(職員マスタ!$K$6:$K$405,$AP914),IF(N($W914)&gt;0,$W914,""))</f>
        <v/>
      </c>
      <c r="AB914" s="14">
        <f>IF(OR($E914="",$AA914=""),"",IF($E914&gt;=$AA914,"×",IF($E914&gt;=$AA914*設定!$C$5,"△","○")))</f>
        <v/>
      </c>
      <c r="AC914" s="15">
        <f>IF($AB914="","",IF($AB914="×",0,IF($AB914="○",ROUNDDOWN($E914*設定!$C$4,0),ROUNDDOWN($E914*ROUND((9*$AA914-9*$E914)/(10*$E914),4),0))))</f>
        <v/>
      </c>
      <c r="AD914" s="13" t="n"/>
      <c r="AE914" s="15">
        <f>IF($B914="","",IF($AD914&lt;&gt;"",$AD914,IF($AC914="","",IF($AC914&lt;=設定!$C$3,0,$AC914))))</f>
        <v/>
      </c>
      <c r="AF914" s="14">
        <f>IF($B914="","",IF(AND($AG914&lt;&gt;"",$AI914="",$AL914=""),"保留中",IF($AL914&lt;&gt;"",IF(N($AE914)&gt;0,"支給済","不支給"),IF($AE914="","要確認",IF($AE914=0,"不支給","未処理")))))</f>
        <v/>
      </c>
      <c r="AG914" s="12" t="n"/>
      <c r="AH914" s="11" t="n"/>
      <c r="AI914" s="11" t="n"/>
      <c r="AJ914" s="11" t="n"/>
      <c r="AK914" s="14">
        <f>IF(AND($AF914="保留中",$AH914&lt;&gt;""),TODAY()-$AH914,"")</f>
        <v/>
      </c>
      <c r="AL914" s="12" t="n"/>
      <c r="AM914" s="14">
        <f>IF($B914="","",IF($AQ914="","対象年月が未入力／","")&amp;IF($B914="","",IF($AP914="","職員マスタに未登録の職員番号／",IF($AA914="","標準報酬月額が未登録／","")&amp;IF(AND($AQ914&lt;&gt;"",OR(AND(INDEX(職員マスタ!$G$6:$G$405,$AP914)&lt;&gt;"",INDEX(職員マスタ!$G$6:$G$405,$AP914)&gt;EOMONTH($AQ914,0)),AND(INDEX(職員マスタ!$H$6:$H$405,$AP914)&lt;&gt;"",INDEX(職員マスタ!$H$6:$H$405,$AP914)&lt;$AQ914))),"対象月が時短期間外／","")&amp;IF(AND(INDEX(職員マスタ!$K$6:$K$405,$AP914)&lt;&gt;"",N($W914)&gt;0,INDEX(職員マスタ!$K$6:$K$405,$AP914)&lt;&gt;$W914),"標準報酬月額が申請書と相違（台帳"&amp;TEXT(INDEX(職員マスタ!$K$6:$K$405,$AP914),"#,##0")&amp;"円／申請書"&amp;TEXT($W914,"#,##0")&amp;"円）／","")&amp;IF(AND(INDEX(職員マスタ!$F$6:$F$405,$AP914)&lt;&gt;"",$AQ914&lt;&gt;"",INDEX(職員マスタ!$F$6:$F$405,$AP914)&lt;$AQ914),"対象月に子が2歳到達済／","")&amp;IF(AND($H914&lt;&gt;"",INDEX(職員マスタ!$B$6:$B$405,$AP914)&lt;&gt;"",SUBSTITUTE(SUBSTITUTE($H914," ","")," ","")&lt;&gt;SUBSTITUTE(SUBSTITUTE(INDEX(職員マスタ!$B$6:$B$405,$AP914)," ","")," ","")),"氏名がマスタと相違／","")&amp;IF(AND($Q914&lt;&gt;"",INDEX(職員マスタ!$E$6:$E$405,$AP914)&lt;&gt;"",$Q914&lt;&gt;INDEX(職員マスタ!$E$6:$E$405,$AP914)),"子の生年月日がマスタと相違／","")&amp;IF(AND($L914&lt;&gt;"",INDEX(職員マスタ!$G$6:$G$405,$AP914)&lt;&gt;"",$L914&lt;&gt;INDEX(職員マスタ!$G$6:$G$405,$AP914)),"時短開始日がマスタと相違／","")&amp;IF(AND($M914&lt;&gt;"",INDEX(職員マスタ!$H$6:$H$405,$AP914)&lt;&gt;"",$M914&lt;&gt;INDEX(職員マスタ!$H$6:$H$405,$AP914)),"時短終了日がマスタと相違／","")))&amp;IF(AND($B914&lt;&gt;"",$E914=""),"報酬額が未入力／","")&amp;IF(N($U914)&gt;0,"申請書に入力エラーが残っています／","")&amp;IF(AND($B914&lt;&gt;"",$AQ914&lt;&gt;""),IF(COUNTIFS($B$6:$B$3005,$B914,$C$6:$C$3005,$C914,$D$6:$D$3005,$D914)&gt;1,"同じ月の請求が重複しています／",""),"")&amp;IF(AND(N($E914)&gt;0,$AB914&lt;&gt;"",$AB914&lt;&gt;"×",$AE914=0,$AD914=""),"計算額が下限以下のため不支給／",""))</f>
        <v/>
      </c>
      <c r="AN914" s="12" t="n"/>
      <c r="AO914" s="14">
        <f>IF($AF914="保留中",COUNTIF($AF$6:$AF914,"保留中"),"")</f>
        <v/>
      </c>
      <c r="AP914" s="14">
        <f>IF($AQ914="","",IF(SUMPRODUCT(MAX((職員マスタ!$A$6:$A$405=$B914)*(((職員マスタ!$G$6:$G$405="")+(職員マスタ!$G$6:$G$405&lt;=EOMONTH($AQ914,0)))&gt;0)*(((職員マスタ!$H$6:$H$405="")+(職員マスタ!$H$6:$H$405&gt;=$AQ914))&gt;0)*(ROW(職員マスタ!$A$6:$A$405)-5)))&gt;0,SUMPRODUCT(MAX((職員マスタ!$A$6:$A$405=$B914)*(((職員マスタ!$G$6:$G$405="")+(職員マスタ!$G$6:$G$405&lt;=EOMONTH($AQ914,0)))&gt;0)*(((職員マスタ!$H$6:$H$405="")+(職員マスタ!$H$6:$H$405&gt;=$AQ914))&gt;0)*(ROW(職員マスタ!$A$6:$A$405)-5))),IFERROR(MATCH($B914,職員マスタ!$A$6:$A$405,0),"")))</f>
        <v/>
      </c>
      <c r="AQ914" s="16">
        <f>IF(OR($B914="",$C914="",$D914=""),"",DATE($C914+2018,$D914,1))</f>
        <v/>
      </c>
    </row>
    <row r="915">
      <c r="A915" s="11" t="n"/>
      <c r="B915" s="12" t="n"/>
      <c r="C915" s="12" t="n"/>
      <c r="D915" s="12" t="n"/>
      <c r="E915" s="13" t="n"/>
      <c r="F915" s="12" t="n"/>
      <c r="G915" s="13" t="n"/>
      <c r="H915" s="12" t="n"/>
      <c r="I915" s="12" t="n"/>
      <c r="J915" s="12" t="n"/>
      <c r="K915" s="12" t="n"/>
      <c r="L915" s="11" t="n"/>
      <c r="M915" s="11" t="n"/>
      <c r="N915" s="11" t="n"/>
      <c r="O915" s="11" t="n"/>
      <c r="P915" s="12" t="n"/>
      <c r="Q915" s="11" t="n"/>
      <c r="R915" s="12" t="n"/>
      <c r="S915" s="11" t="n"/>
      <c r="T915" s="12" t="n"/>
      <c r="U915" s="12" t="n"/>
      <c r="V915" s="12" t="n"/>
      <c r="W915" s="13" t="n"/>
      <c r="X915" s="14">
        <f>IF($AP915="",IF($B915="","",$H915),IF(INDEX(職員マスタ!$B$6:$B$405,$AP915)="",$H915,INDEX(職員マスタ!$B$6:$B$405,$AP915)))</f>
        <v/>
      </c>
      <c r="Y915" s="14">
        <f>IF($AP915="",IF($B915="","",$R915),IF(INDEX(職員マスタ!$C$6:$C$405,$AP915)="",$R915,INDEX(職員マスタ!$C$6:$C$405,$AP915)))</f>
        <v/>
      </c>
      <c r="Z915" s="14">
        <f>IF($AQ915="","","R"&amp;$C915&amp;"."&amp;$D915)</f>
        <v/>
      </c>
      <c r="AA915" s="15">
        <f>IF(IF($AP915="",FALSE,INDEX(職員マスタ!$K$6:$K$405,$AP915)&lt;&gt;""),INDEX(職員マスタ!$K$6:$K$405,$AP915),IF(N($W915)&gt;0,$W915,""))</f>
        <v/>
      </c>
      <c r="AB915" s="14">
        <f>IF(OR($E915="",$AA915=""),"",IF($E915&gt;=$AA915,"×",IF($E915&gt;=$AA915*設定!$C$5,"△","○")))</f>
        <v/>
      </c>
      <c r="AC915" s="15">
        <f>IF($AB915="","",IF($AB915="×",0,IF($AB915="○",ROUNDDOWN($E915*設定!$C$4,0),ROUNDDOWN($E915*ROUND((9*$AA915-9*$E915)/(10*$E915),4),0))))</f>
        <v/>
      </c>
      <c r="AD915" s="13" t="n"/>
      <c r="AE915" s="15">
        <f>IF($B915="","",IF($AD915&lt;&gt;"",$AD915,IF($AC915="","",IF($AC915&lt;=設定!$C$3,0,$AC915))))</f>
        <v/>
      </c>
      <c r="AF915" s="14">
        <f>IF($B915="","",IF(AND($AG915&lt;&gt;"",$AI915="",$AL915=""),"保留中",IF($AL915&lt;&gt;"",IF(N($AE915)&gt;0,"支給済","不支給"),IF($AE915="","要確認",IF($AE915=0,"不支給","未処理")))))</f>
        <v/>
      </c>
      <c r="AG915" s="12" t="n"/>
      <c r="AH915" s="11" t="n"/>
      <c r="AI915" s="11" t="n"/>
      <c r="AJ915" s="11" t="n"/>
      <c r="AK915" s="14">
        <f>IF(AND($AF915="保留中",$AH915&lt;&gt;""),TODAY()-$AH915,"")</f>
        <v/>
      </c>
      <c r="AL915" s="12" t="n"/>
      <c r="AM915" s="14">
        <f>IF($B915="","",IF($AQ915="","対象年月が未入力／","")&amp;IF($B915="","",IF($AP915="","職員マスタに未登録の職員番号／",IF($AA915="","標準報酬月額が未登録／","")&amp;IF(AND($AQ915&lt;&gt;"",OR(AND(INDEX(職員マスタ!$G$6:$G$405,$AP915)&lt;&gt;"",INDEX(職員マスタ!$G$6:$G$405,$AP915)&gt;EOMONTH($AQ915,0)),AND(INDEX(職員マスタ!$H$6:$H$405,$AP915)&lt;&gt;"",INDEX(職員マスタ!$H$6:$H$405,$AP915)&lt;$AQ915))),"対象月が時短期間外／","")&amp;IF(AND(INDEX(職員マスタ!$K$6:$K$405,$AP915)&lt;&gt;"",N($W915)&gt;0,INDEX(職員マスタ!$K$6:$K$405,$AP915)&lt;&gt;$W915),"標準報酬月額が申請書と相違（台帳"&amp;TEXT(INDEX(職員マスタ!$K$6:$K$405,$AP915),"#,##0")&amp;"円／申請書"&amp;TEXT($W915,"#,##0")&amp;"円）／","")&amp;IF(AND(INDEX(職員マスタ!$F$6:$F$405,$AP915)&lt;&gt;"",$AQ915&lt;&gt;"",INDEX(職員マスタ!$F$6:$F$405,$AP915)&lt;$AQ915),"対象月に子が2歳到達済／","")&amp;IF(AND($H915&lt;&gt;"",INDEX(職員マスタ!$B$6:$B$405,$AP915)&lt;&gt;"",SUBSTITUTE(SUBSTITUTE($H915," ","")," ","")&lt;&gt;SUBSTITUTE(SUBSTITUTE(INDEX(職員マスタ!$B$6:$B$405,$AP915)," ","")," ","")),"氏名がマスタと相違／","")&amp;IF(AND($Q915&lt;&gt;"",INDEX(職員マスタ!$E$6:$E$405,$AP915)&lt;&gt;"",$Q915&lt;&gt;INDEX(職員マスタ!$E$6:$E$405,$AP915)),"子の生年月日がマスタと相違／","")&amp;IF(AND($L915&lt;&gt;"",INDEX(職員マスタ!$G$6:$G$405,$AP915)&lt;&gt;"",$L915&lt;&gt;INDEX(職員マスタ!$G$6:$G$405,$AP915)),"時短開始日がマスタと相違／","")&amp;IF(AND($M915&lt;&gt;"",INDEX(職員マスタ!$H$6:$H$405,$AP915)&lt;&gt;"",$M915&lt;&gt;INDEX(職員マスタ!$H$6:$H$405,$AP915)),"時短終了日がマスタと相違／","")))&amp;IF(AND($B915&lt;&gt;"",$E915=""),"報酬額が未入力／","")&amp;IF(N($U915)&gt;0,"申請書に入力エラーが残っています／","")&amp;IF(AND($B915&lt;&gt;"",$AQ915&lt;&gt;""),IF(COUNTIFS($B$6:$B$3005,$B915,$C$6:$C$3005,$C915,$D$6:$D$3005,$D915)&gt;1,"同じ月の請求が重複しています／",""),"")&amp;IF(AND(N($E915)&gt;0,$AB915&lt;&gt;"",$AB915&lt;&gt;"×",$AE915=0,$AD915=""),"計算額が下限以下のため不支給／",""))</f>
        <v/>
      </c>
      <c r="AN915" s="12" t="n"/>
      <c r="AO915" s="14">
        <f>IF($AF915="保留中",COUNTIF($AF$6:$AF915,"保留中"),"")</f>
        <v/>
      </c>
      <c r="AP915" s="14">
        <f>IF($AQ915="","",IF(SUMPRODUCT(MAX((職員マスタ!$A$6:$A$405=$B915)*(((職員マスタ!$G$6:$G$405="")+(職員マスタ!$G$6:$G$405&lt;=EOMONTH($AQ915,0)))&gt;0)*(((職員マスタ!$H$6:$H$405="")+(職員マスタ!$H$6:$H$405&gt;=$AQ915))&gt;0)*(ROW(職員マスタ!$A$6:$A$405)-5)))&gt;0,SUMPRODUCT(MAX((職員マスタ!$A$6:$A$405=$B915)*(((職員マスタ!$G$6:$G$405="")+(職員マスタ!$G$6:$G$405&lt;=EOMONTH($AQ915,0)))&gt;0)*(((職員マスタ!$H$6:$H$405="")+(職員マスタ!$H$6:$H$405&gt;=$AQ915))&gt;0)*(ROW(職員マスタ!$A$6:$A$405)-5))),IFERROR(MATCH($B915,職員マスタ!$A$6:$A$405,0),"")))</f>
        <v/>
      </c>
      <c r="AQ915" s="16">
        <f>IF(OR($B915="",$C915="",$D915=""),"",DATE($C915+2018,$D915,1))</f>
        <v/>
      </c>
    </row>
    <row r="916">
      <c r="A916" s="11" t="n"/>
      <c r="B916" s="12" t="n"/>
      <c r="C916" s="12" t="n"/>
      <c r="D916" s="12" t="n"/>
      <c r="E916" s="13" t="n"/>
      <c r="F916" s="12" t="n"/>
      <c r="G916" s="13" t="n"/>
      <c r="H916" s="12" t="n"/>
      <c r="I916" s="12" t="n"/>
      <c r="J916" s="12" t="n"/>
      <c r="K916" s="12" t="n"/>
      <c r="L916" s="11" t="n"/>
      <c r="M916" s="11" t="n"/>
      <c r="N916" s="11" t="n"/>
      <c r="O916" s="11" t="n"/>
      <c r="P916" s="12" t="n"/>
      <c r="Q916" s="11" t="n"/>
      <c r="R916" s="12" t="n"/>
      <c r="S916" s="11" t="n"/>
      <c r="T916" s="12" t="n"/>
      <c r="U916" s="12" t="n"/>
      <c r="V916" s="12" t="n"/>
      <c r="W916" s="13" t="n"/>
      <c r="X916" s="14">
        <f>IF($AP916="",IF($B916="","",$H916),IF(INDEX(職員マスタ!$B$6:$B$405,$AP916)="",$H916,INDEX(職員マスタ!$B$6:$B$405,$AP916)))</f>
        <v/>
      </c>
      <c r="Y916" s="14">
        <f>IF($AP916="",IF($B916="","",$R916),IF(INDEX(職員マスタ!$C$6:$C$405,$AP916)="",$R916,INDEX(職員マスタ!$C$6:$C$405,$AP916)))</f>
        <v/>
      </c>
      <c r="Z916" s="14">
        <f>IF($AQ916="","","R"&amp;$C916&amp;"."&amp;$D916)</f>
        <v/>
      </c>
      <c r="AA916" s="15">
        <f>IF(IF($AP916="",FALSE,INDEX(職員マスタ!$K$6:$K$405,$AP916)&lt;&gt;""),INDEX(職員マスタ!$K$6:$K$405,$AP916),IF(N($W916)&gt;0,$W916,""))</f>
        <v/>
      </c>
      <c r="AB916" s="14">
        <f>IF(OR($E916="",$AA916=""),"",IF($E916&gt;=$AA916,"×",IF($E916&gt;=$AA916*設定!$C$5,"△","○")))</f>
        <v/>
      </c>
      <c r="AC916" s="15">
        <f>IF($AB916="","",IF($AB916="×",0,IF($AB916="○",ROUNDDOWN($E916*設定!$C$4,0),ROUNDDOWN($E916*ROUND((9*$AA916-9*$E916)/(10*$E916),4),0))))</f>
        <v/>
      </c>
      <c r="AD916" s="13" t="n"/>
      <c r="AE916" s="15">
        <f>IF($B916="","",IF($AD916&lt;&gt;"",$AD916,IF($AC916="","",IF($AC916&lt;=設定!$C$3,0,$AC916))))</f>
        <v/>
      </c>
      <c r="AF916" s="14">
        <f>IF($B916="","",IF(AND($AG916&lt;&gt;"",$AI916="",$AL916=""),"保留中",IF($AL916&lt;&gt;"",IF(N($AE916)&gt;0,"支給済","不支給"),IF($AE916="","要確認",IF($AE916=0,"不支給","未処理")))))</f>
        <v/>
      </c>
      <c r="AG916" s="12" t="n"/>
      <c r="AH916" s="11" t="n"/>
      <c r="AI916" s="11" t="n"/>
      <c r="AJ916" s="11" t="n"/>
      <c r="AK916" s="14">
        <f>IF(AND($AF916="保留中",$AH916&lt;&gt;""),TODAY()-$AH916,"")</f>
        <v/>
      </c>
      <c r="AL916" s="12" t="n"/>
      <c r="AM916" s="14">
        <f>IF($B916="","",IF($AQ916="","対象年月が未入力／","")&amp;IF($B916="","",IF($AP916="","職員マスタに未登録の職員番号／",IF($AA916="","標準報酬月額が未登録／","")&amp;IF(AND($AQ916&lt;&gt;"",OR(AND(INDEX(職員マスタ!$G$6:$G$405,$AP916)&lt;&gt;"",INDEX(職員マスタ!$G$6:$G$405,$AP916)&gt;EOMONTH($AQ916,0)),AND(INDEX(職員マスタ!$H$6:$H$405,$AP916)&lt;&gt;"",INDEX(職員マスタ!$H$6:$H$405,$AP916)&lt;$AQ916))),"対象月が時短期間外／","")&amp;IF(AND(INDEX(職員マスタ!$K$6:$K$405,$AP916)&lt;&gt;"",N($W916)&gt;0,INDEX(職員マスタ!$K$6:$K$405,$AP916)&lt;&gt;$W916),"標準報酬月額が申請書と相違（台帳"&amp;TEXT(INDEX(職員マスタ!$K$6:$K$405,$AP916),"#,##0")&amp;"円／申請書"&amp;TEXT($W916,"#,##0")&amp;"円）／","")&amp;IF(AND(INDEX(職員マスタ!$F$6:$F$405,$AP916)&lt;&gt;"",$AQ916&lt;&gt;"",INDEX(職員マスタ!$F$6:$F$405,$AP916)&lt;$AQ916),"対象月に子が2歳到達済／","")&amp;IF(AND($H916&lt;&gt;"",INDEX(職員マスタ!$B$6:$B$405,$AP916)&lt;&gt;"",SUBSTITUTE(SUBSTITUTE($H916," ","")," ","")&lt;&gt;SUBSTITUTE(SUBSTITUTE(INDEX(職員マスタ!$B$6:$B$405,$AP916)," ","")," ","")),"氏名がマスタと相違／","")&amp;IF(AND($Q916&lt;&gt;"",INDEX(職員マスタ!$E$6:$E$405,$AP916)&lt;&gt;"",$Q916&lt;&gt;INDEX(職員マスタ!$E$6:$E$405,$AP916)),"子の生年月日がマスタと相違／","")&amp;IF(AND($L916&lt;&gt;"",INDEX(職員マスタ!$G$6:$G$405,$AP916)&lt;&gt;"",$L916&lt;&gt;INDEX(職員マスタ!$G$6:$G$405,$AP916)),"時短開始日がマスタと相違／","")&amp;IF(AND($M916&lt;&gt;"",INDEX(職員マスタ!$H$6:$H$405,$AP916)&lt;&gt;"",$M916&lt;&gt;INDEX(職員マスタ!$H$6:$H$405,$AP916)),"時短終了日がマスタと相違／","")))&amp;IF(AND($B916&lt;&gt;"",$E916=""),"報酬額が未入力／","")&amp;IF(N($U916)&gt;0,"申請書に入力エラーが残っています／","")&amp;IF(AND($B916&lt;&gt;"",$AQ916&lt;&gt;""),IF(COUNTIFS($B$6:$B$3005,$B916,$C$6:$C$3005,$C916,$D$6:$D$3005,$D916)&gt;1,"同じ月の請求が重複しています／",""),"")&amp;IF(AND(N($E916)&gt;0,$AB916&lt;&gt;"",$AB916&lt;&gt;"×",$AE916=0,$AD916=""),"計算額が下限以下のため不支給／",""))</f>
        <v/>
      </c>
      <c r="AN916" s="12" t="n"/>
      <c r="AO916" s="14">
        <f>IF($AF916="保留中",COUNTIF($AF$6:$AF916,"保留中"),"")</f>
        <v/>
      </c>
      <c r="AP916" s="14">
        <f>IF($AQ916="","",IF(SUMPRODUCT(MAX((職員マスタ!$A$6:$A$405=$B916)*(((職員マスタ!$G$6:$G$405="")+(職員マスタ!$G$6:$G$405&lt;=EOMONTH($AQ916,0)))&gt;0)*(((職員マスタ!$H$6:$H$405="")+(職員マスタ!$H$6:$H$405&gt;=$AQ916))&gt;0)*(ROW(職員マスタ!$A$6:$A$405)-5)))&gt;0,SUMPRODUCT(MAX((職員マスタ!$A$6:$A$405=$B916)*(((職員マスタ!$G$6:$G$405="")+(職員マスタ!$G$6:$G$405&lt;=EOMONTH($AQ916,0)))&gt;0)*(((職員マスタ!$H$6:$H$405="")+(職員マスタ!$H$6:$H$405&gt;=$AQ916))&gt;0)*(ROW(職員マスタ!$A$6:$A$405)-5))),IFERROR(MATCH($B916,職員マスタ!$A$6:$A$405,0),"")))</f>
        <v/>
      </c>
      <c r="AQ916" s="16">
        <f>IF(OR($B916="",$C916="",$D916=""),"",DATE($C916+2018,$D916,1))</f>
        <v/>
      </c>
    </row>
    <row r="917">
      <c r="A917" s="11" t="n"/>
      <c r="B917" s="12" t="n"/>
      <c r="C917" s="12" t="n"/>
      <c r="D917" s="12" t="n"/>
      <c r="E917" s="13" t="n"/>
      <c r="F917" s="12" t="n"/>
      <c r="G917" s="13" t="n"/>
      <c r="H917" s="12" t="n"/>
      <c r="I917" s="12" t="n"/>
      <c r="J917" s="12" t="n"/>
      <c r="K917" s="12" t="n"/>
      <c r="L917" s="11" t="n"/>
      <c r="M917" s="11" t="n"/>
      <c r="N917" s="11" t="n"/>
      <c r="O917" s="11" t="n"/>
      <c r="P917" s="12" t="n"/>
      <c r="Q917" s="11" t="n"/>
      <c r="R917" s="12" t="n"/>
      <c r="S917" s="11" t="n"/>
      <c r="T917" s="12" t="n"/>
      <c r="U917" s="12" t="n"/>
      <c r="V917" s="12" t="n"/>
      <c r="W917" s="13" t="n"/>
      <c r="X917" s="14">
        <f>IF($AP917="",IF($B917="","",$H917),IF(INDEX(職員マスタ!$B$6:$B$405,$AP917)="",$H917,INDEX(職員マスタ!$B$6:$B$405,$AP917)))</f>
        <v/>
      </c>
      <c r="Y917" s="14">
        <f>IF($AP917="",IF($B917="","",$R917),IF(INDEX(職員マスタ!$C$6:$C$405,$AP917)="",$R917,INDEX(職員マスタ!$C$6:$C$405,$AP917)))</f>
        <v/>
      </c>
      <c r="Z917" s="14">
        <f>IF($AQ917="","","R"&amp;$C917&amp;"."&amp;$D917)</f>
        <v/>
      </c>
      <c r="AA917" s="15">
        <f>IF(IF($AP917="",FALSE,INDEX(職員マスタ!$K$6:$K$405,$AP917)&lt;&gt;""),INDEX(職員マスタ!$K$6:$K$405,$AP917),IF(N($W917)&gt;0,$W917,""))</f>
        <v/>
      </c>
      <c r="AB917" s="14">
        <f>IF(OR($E917="",$AA917=""),"",IF($E917&gt;=$AA917,"×",IF($E917&gt;=$AA917*設定!$C$5,"△","○")))</f>
        <v/>
      </c>
      <c r="AC917" s="15">
        <f>IF($AB917="","",IF($AB917="×",0,IF($AB917="○",ROUNDDOWN($E917*設定!$C$4,0),ROUNDDOWN($E917*ROUND((9*$AA917-9*$E917)/(10*$E917),4),0))))</f>
        <v/>
      </c>
      <c r="AD917" s="13" t="n"/>
      <c r="AE917" s="15">
        <f>IF($B917="","",IF($AD917&lt;&gt;"",$AD917,IF($AC917="","",IF($AC917&lt;=設定!$C$3,0,$AC917))))</f>
        <v/>
      </c>
      <c r="AF917" s="14">
        <f>IF($B917="","",IF(AND($AG917&lt;&gt;"",$AI917="",$AL917=""),"保留中",IF($AL917&lt;&gt;"",IF(N($AE917)&gt;0,"支給済","不支給"),IF($AE917="","要確認",IF($AE917=0,"不支給","未処理")))))</f>
        <v/>
      </c>
      <c r="AG917" s="12" t="n"/>
      <c r="AH917" s="11" t="n"/>
      <c r="AI917" s="11" t="n"/>
      <c r="AJ917" s="11" t="n"/>
      <c r="AK917" s="14">
        <f>IF(AND($AF917="保留中",$AH917&lt;&gt;""),TODAY()-$AH917,"")</f>
        <v/>
      </c>
      <c r="AL917" s="12" t="n"/>
      <c r="AM917" s="14">
        <f>IF($B917="","",IF($AQ917="","対象年月が未入力／","")&amp;IF($B917="","",IF($AP917="","職員マスタに未登録の職員番号／",IF($AA917="","標準報酬月額が未登録／","")&amp;IF(AND($AQ917&lt;&gt;"",OR(AND(INDEX(職員マスタ!$G$6:$G$405,$AP917)&lt;&gt;"",INDEX(職員マスタ!$G$6:$G$405,$AP917)&gt;EOMONTH($AQ917,0)),AND(INDEX(職員マスタ!$H$6:$H$405,$AP917)&lt;&gt;"",INDEX(職員マスタ!$H$6:$H$405,$AP917)&lt;$AQ917))),"対象月が時短期間外／","")&amp;IF(AND(INDEX(職員マスタ!$K$6:$K$405,$AP917)&lt;&gt;"",N($W917)&gt;0,INDEX(職員マスタ!$K$6:$K$405,$AP917)&lt;&gt;$W917),"標準報酬月額が申請書と相違（台帳"&amp;TEXT(INDEX(職員マスタ!$K$6:$K$405,$AP917),"#,##0")&amp;"円／申請書"&amp;TEXT($W917,"#,##0")&amp;"円）／","")&amp;IF(AND(INDEX(職員マスタ!$F$6:$F$405,$AP917)&lt;&gt;"",$AQ917&lt;&gt;"",INDEX(職員マスタ!$F$6:$F$405,$AP917)&lt;$AQ917),"対象月に子が2歳到達済／","")&amp;IF(AND($H917&lt;&gt;"",INDEX(職員マスタ!$B$6:$B$405,$AP917)&lt;&gt;"",SUBSTITUTE(SUBSTITUTE($H917," ","")," ","")&lt;&gt;SUBSTITUTE(SUBSTITUTE(INDEX(職員マスタ!$B$6:$B$405,$AP917)," ","")," ","")),"氏名がマスタと相違／","")&amp;IF(AND($Q917&lt;&gt;"",INDEX(職員マスタ!$E$6:$E$405,$AP917)&lt;&gt;"",$Q917&lt;&gt;INDEX(職員マスタ!$E$6:$E$405,$AP917)),"子の生年月日がマスタと相違／","")&amp;IF(AND($L917&lt;&gt;"",INDEX(職員マスタ!$G$6:$G$405,$AP917)&lt;&gt;"",$L917&lt;&gt;INDEX(職員マスタ!$G$6:$G$405,$AP917)),"時短開始日がマスタと相違／","")&amp;IF(AND($M917&lt;&gt;"",INDEX(職員マスタ!$H$6:$H$405,$AP917)&lt;&gt;"",$M917&lt;&gt;INDEX(職員マスタ!$H$6:$H$405,$AP917)),"時短終了日がマスタと相違／","")))&amp;IF(AND($B917&lt;&gt;"",$E917=""),"報酬額が未入力／","")&amp;IF(N($U917)&gt;0,"申請書に入力エラーが残っています／","")&amp;IF(AND($B917&lt;&gt;"",$AQ917&lt;&gt;""),IF(COUNTIFS($B$6:$B$3005,$B917,$C$6:$C$3005,$C917,$D$6:$D$3005,$D917)&gt;1,"同じ月の請求が重複しています／",""),"")&amp;IF(AND(N($E917)&gt;0,$AB917&lt;&gt;"",$AB917&lt;&gt;"×",$AE917=0,$AD917=""),"計算額が下限以下のため不支給／",""))</f>
        <v/>
      </c>
      <c r="AN917" s="12" t="n"/>
      <c r="AO917" s="14">
        <f>IF($AF917="保留中",COUNTIF($AF$6:$AF917,"保留中"),"")</f>
        <v/>
      </c>
      <c r="AP917" s="14">
        <f>IF($AQ917="","",IF(SUMPRODUCT(MAX((職員マスタ!$A$6:$A$405=$B917)*(((職員マスタ!$G$6:$G$405="")+(職員マスタ!$G$6:$G$405&lt;=EOMONTH($AQ917,0)))&gt;0)*(((職員マスタ!$H$6:$H$405="")+(職員マスタ!$H$6:$H$405&gt;=$AQ917))&gt;0)*(ROW(職員マスタ!$A$6:$A$405)-5)))&gt;0,SUMPRODUCT(MAX((職員マスタ!$A$6:$A$405=$B917)*(((職員マスタ!$G$6:$G$405="")+(職員マスタ!$G$6:$G$405&lt;=EOMONTH($AQ917,0)))&gt;0)*(((職員マスタ!$H$6:$H$405="")+(職員マスタ!$H$6:$H$405&gt;=$AQ917))&gt;0)*(ROW(職員マスタ!$A$6:$A$405)-5))),IFERROR(MATCH($B917,職員マスタ!$A$6:$A$405,0),"")))</f>
        <v/>
      </c>
      <c r="AQ917" s="16">
        <f>IF(OR($B917="",$C917="",$D917=""),"",DATE($C917+2018,$D917,1))</f>
        <v/>
      </c>
    </row>
    <row r="918">
      <c r="A918" s="11" t="n"/>
      <c r="B918" s="12" t="n"/>
      <c r="C918" s="12" t="n"/>
      <c r="D918" s="12" t="n"/>
      <c r="E918" s="13" t="n"/>
      <c r="F918" s="12" t="n"/>
      <c r="G918" s="13" t="n"/>
      <c r="H918" s="12" t="n"/>
      <c r="I918" s="12" t="n"/>
      <c r="J918" s="12" t="n"/>
      <c r="K918" s="12" t="n"/>
      <c r="L918" s="11" t="n"/>
      <c r="M918" s="11" t="n"/>
      <c r="N918" s="11" t="n"/>
      <c r="O918" s="11" t="n"/>
      <c r="P918" s="12" t="n"/>
      <c r="Q918" s="11" t="n"/>
      <c r="R918" s="12" t="n"/>
      <c r="S918" s="11" t="n"/>
      <c r="T918" s="12" t="n"/>
      <c r="U918" s="12" t="n"/>
      <c r="V918" s="12" t="n"/>
      <c r="W918" s="13" t="n"/>
      <c r="X918" s="14">
        <f>IF($AP918="",IF($B918="","",$H918),IF(INDEX(職員マスタ!$B$6:$B$405,$AP918)="",$H918,INDEX(職員マスタ!$B$6:$B$405,$AP918)))</f>
        <v/>
      </c>
      <c r="Y918" s="14">
        <f>IF($AP918="",IF($B918="","",$R918),IF(INDEX(職員マスタ!$C$6:$C$405,$AP918)="",$R918,INDEX(職員マスタ!$C$6:$C$405,$AP918)))</f>
        <v/>
      </c>
      <c r="Z918" s="14">
        <f>IF($AQ918="","","R"&amp;$C918&amp;"."&amp;$D918)</f>
        <v/>
      </c>
      <c r="AA918" s="15">
        <f>IF(IF($AP918="",FALSE,INDEX(職員マスタ!$K$6:$K$405,$AP918)&lt;&gt;""),INDEX(職員マスタ!$K$6:$K$405,$AP918),IF(N($W918)&gt;0,$W918,""))</f>
        <v/>
      </c>
      <c r="AB918" s="14">
        <f>IF(OR($E918="",$AA918=""),"",IF($E918&gt;=$AA918,"×",IF($E918&gt;=$AA918*設定!$C$5,"△","○")))</f>
        <v/>
      </c>
      <c r="AC918" s="15">
        <f>IF($AB918="","",IF($AB918="×",0,IF($AB918="○",ROUNDDOWN($E918*設定!$C$4,0),ROUNDDOWN($E918*ROUND((9*$AA918-9*$E918)/(10*$E918),4),0))))</f>
        <v/>
      </c>
      <c r="AD918" s="13" t="n"/>
      <c r="AE918" s="15">
        <f>IF($B918="","",IF($AD918&lt;&gt;"",$AD918,IF($AC918="","",IF($AC918&lt;=設定!$C$3,0,$AC918))))</f>
        <v/>
      </c>
      <c r="AF918" s="14">
        <f>IF($B918="","",IF(AND($AG918&lt;&gt;"",$AI918="",$AL918=""),"保留中",IF($AL918&lt;&gt;"",IF(N($AE918)&gt;0,"支給済","不支給"),IF($AE918="","要確認",IF($AE918=0,"不支給","未処理")))))</f>
        <v/>
      </c>
      <c r="AG918" s="12" t="n"/>
      <c r="AH918" s="11" t="n"/>
      <c r="AI918" s="11" t="n"/>
      <c r="AJ918" s="11" t="n"/>
      <c r="AK918" s="14">
        <f>IF(AND($AF918="保留中",$AH918&lt;&gt;""),TODAY()-$AH918,"")</f>
        <v/>
      </c>
      <c r="AL918" s="12" t="n"/>
      <c r="AM918" s="14">
        <f>IF($B918="","",IF($AQ918="","対象年月が未入力／","")&amp;IF($B918="","",IF($AP918="","職員マスタに未登録の職員番号／",IF($AA918="","標準報酬月額が未登録／","")&amp;IF(AND($AQ918&lt;&gt;"",OR(AND(INDEX(職員マスタ!$G$6:$G$405,$AP918)&lt;&gt;"",INDEX(職員マスタ!$G$6:$G$405,$AP918)&gt;EOMONTH($AQ918,0)),AND(INDEX(職員マスタ!$H$6:$H$405,$AP918)&lt;&gt;"",INDEX(職員マスタ!$H$6:$H$405,$AP918)&lt;$AQ918))),"対象月が時短期間外／","")&amp;IF(AND(INDEX(職員マスタ!$K$6:$K$405,$AP918)&lt;&gt;"",N($W918)&gt;0,INDEX(職員マスタ!$K$6:$K$405,$AP918)&lt;&gt;$W918),"標準報酬月額が申請書と相違（台帳"&amp;TEXT(INDEX(職員マスタ!$K$6:$K$405,$AP918),"#,##0")&amp;"円／申請書"&amp;TEXT($W918,"#,##0")&amp;"円）／","")&amp;IF(AND(INDEX(職員マスタ!$F$6:$F$405,$AP918)&lt;&gt;"",$AQ918&lt;&gt;"",INDEX(職員マスタ!$F$6:$F$405,$AP918)&lt;$AQ918),"対象月に子が2歳到達済／","")&amp;IF(AND($H918&lt;&gt;"",INDEX(職員マスタ!$B$6:$B$405,$AP918)&lt;&gt;"",SUBSTITUTE(SUBSTITUTE($H918," ","")," ","")&lt;&gt;SUBSTITUTE(SUBSTITUTE(INDEX(職員マスタ!$B$6:$B$405,$AP918)," ","")," ","")),"氏名がマスタと相違／","")&amp;IF(AND($Q918&lt;&gt;"",INDEX(職員マスタ!$E$6:$E$405,$AP918)&lt;&gt;"",$Q918&lt;&gt;INDEX(職員マスタ!$E$6:$E$405,$AP918)),"子の生年月日がマスタと相違／","")&amp;IF(AND($L918&lt;&gt;"",INDEX(職員マスタ!$G$6:$G$405,$AP918)&lt;&gt;"",$L918&lt;&gt;INDEX(職員マスタ!$G$6:$G$405,$AP918)),"時短開始日がマスタと相違／","")&amp;IF(AND($M918&lt;&gt;"",INDEX(職員マスタ!$H$6:$H$405,$AP918)&lt;&gt;"",$M918&lt;&gt;INDEX(職員マスタ!$H$6:$H$405,$AP918)),"時短終了日がマスタと相違／","")))&amp;IF(AND($B918&lt;&gt;"",$E918=""),"報酬額が未入力／","")&amp;IF(N($U918)&gt;0,"申請書に入力エラーが残っています／","")&amp;IF(AND($B918&lt;&gt;"",$AQ918&lt;&gt;""),IF(COUNTIFS($B$6:$B$3005,$B918,$C$6:$C$3005,$C918,$D$6:$D$3005,$D918)&gt;1,"同じ月の請求が重複しています／",""),"")&amp;IF(AND(N($E918)&gt;0,$AB918&lt;&gt;"",$AB918&lt;&gt;"×",$AE918=0,$AD918=""),"計算額が下限以下のため不支給／",""))</f>
        <v/>
      </c>
      <c r="AN918" s="12" t="n"/>
      <c r="AO918" s="14">
        <f>IF($AF918="保留中",COUNTIF($AF$6:$AF918,"保留中"),"")</f>
        <v/>
      </c>
      <c r="AP918" s="14">
        <f>IF($AQ918="","",IF(SUMPRODUCT(MAX((職員マスタ!$A$6:$A$405=$B918)*(((職員マスタ!$G$6:$G$405="")+(職員マスタ!$G$6:$G$405&lt;=EOMONTH($AQ918,0)))&gt;0)*(((職員マスタ!$H$6:$H$405="")+(職員マスタ!$H$6:$H$405&gt;=$AQ918))&gt;0)*(ROW(職員マスタ!$A$6:$A$405)-5)))&gt;0,SUMPRODUCT(MAX((職員マスタ!$A$6:$A$405=$B918)*(((職員マスタ!$G$6:$G$405="")+(職員マスタ!$G$6:$G$405&lt;=EOMONTH($AQ918,0)))&gt;0)*(((職員マスタ!$H$6:$H$405="")+(職員マスタ!$H$6:$H$405&gt;=$AQ918))&gt;0)*(ROW(職員マスタ!$A$6:$A$405)-5))),IFERROR(MATCH($B918,職員マスタ!$A$6:$A$405,0),"")))</f>
        <v/>
      </c>
      <c r="AQ918" s="16">
        <f>IF(OR($B918="",$C918="",$D918=""),"",DATE($C918+2018,$D918,1))</f>
        <v/>
      </c>
    </row>
    <row r="919">
      <c r="A919" s="11" t="n"/>
      <c r="B919" s="12" t="n"/>
      <c r="C919" s="12" t="n"/>
      <c r="D919" s="12" t="n"/>
      <c r="E919" s="13" t="n"/>
      <c r="F919" s="12" t="n"/>
      <c r="G919" s="13" t="n"/>
      <c r="H919" s="12" t="n"/>
      <c r="I919" s="12" t="n"/>
      <c r="J919" s="12" t="n"/>
      <c r="K919" s="12" t="n"/>
      <c r="L919" s="11" t="n"/>
      <c r="M919" s="11" t="n"/>
      <c r="N919" s="11" t="n"/>
      <c r="O919" s="11" t="n"/>
      <c r="P919" s="12" t="n"/>
      <c r="Q919" s="11" t="n"/>
      <c r="R919" s="12" t="n"/>
      <c r="S919" s="11" t="n"/>
      <c r="T919" s="12" t="n"/>
      <c r="U919" s="12" t="n"/>
      <c r="V919" s="12" t="n"/>
      <c r="W919" s="13" t="n"/>
      <c r="X919" s="14">
        <f>IF($AP919="",IF($B919="","",$H919),IF(INDEX(職員マスタ!$B$6:$B$405,$AP919)="",$H919,INDEX(職員マスタ!$B$6:$B$405,$AP919)))</f>
        <v/>
      </c>
      <c r="Y919" s="14">
        <f>IF($AP919="",IF($B919="","",$R919),IF(INDEX(職員マスタ!$C$6:$C$405,$AP919)="",$R919,INDEX(職員マスタ!$C$6:$C$405,$AP919)))</f>
        <v/>
      </c>
      <c r="Z919" s="14">
        <f>IF($AQ919="","","R"&amp;$C919&amp;"."&amp;$D919)</f>
        <v/>
      </c>
      <c r="AA919" s="15">
        <f>IF(IF($AP919="",FALSE,INDEX(職員マスタ!$K$6:$K$405,$AP919)&lt;&gt;""),INDEX(職員マスタ!$K$6:$K$405,$AP919),IF(N($W919)&gt;0,$W919,""))</f>
        <v/>
      </c>
      <c r="AB919" s="14">
        <f>IF(OR($E919="",$AA919=""),"",IF($E919&gt;=$AA919,"×",IF($E919&gt;=$AA919*設定!$C$5,"△","○")))</f>
        <v/>
      </c>
      <c r="AC919" s="15">
        <f>IF($AB919="","",IF($AB919="×",0,IF($AB919="○",ROUNDDOWN($E919*設定!$C$4,0),ROUNDDOWN($E919*ROUND((9*$AA919-9*$E919)/(10*$E919),4),0))))</f>
        <v/>
      </c>
      <c r="AD919" s="13" t="n"/>
      <c r="AE919" s="15">
        <f>IF($B919="","",IF($AD919&lt;&gt;"",$AD919,IF($AC919="","",IF($AC919&lt;=設定!$C$3,0,$AC919))))</f>
        <v/>
      </c>
      <c r="AF919" s="14">
        <f>IF($B919="","",IF(AND($AG919&lt;&gt;"",$AI919="",$AL919=""),"保留中",IF($AL919&lt;&gt;"",IF(N($AE919)&gt;0,"支給済","不支給"),IF($AE919="","要確認",IF($AE919=0,"不支給","未処理")))))</f>
        <v/>
      </c>
      <c r="AG919" s="12" t="n"/>
      <c r="AH919" s="11" t="n"/>
      <c r="AI919" s="11" t="n"/>
      <c r="AJ919" s="11" t="n"/>
      <c r="AK919" s="14">
        <f>IF(AND($AF919="保留中",$AH919&lt;&gt;""),TODAY()-$AH919,"")</f>
        <v/>
      </c>
      <c r="AL919" s="12" t="n"/>
      <c r="AM919" s="14">
        <f>IF($B919="","",IF($AQ919="","対象年月が未入力／","")&amp;IF($B919="","",IF($AP919="","職員マスタに未登録の職員番号／",IF($AA919="","標準報酬月額が未登録／","")&amp;IF(AND($AQ919&lt;&gt;"",OR(AND(INDEX(職員マスタ!$G$6:$G$405,$AP919)&lt;&gt;"",INDEX(職員マスタ!$G$6:$G$405,$AP919)&gt;EOMONTH($AQ919,0)),AND(INDEX(職員マスタ!$H$6:$H$405,$AP919)&lt;&gt;"",INDEX(職員マスタ!$H$6:$H$405,$AP919)&lt;$AQ919))),"対象月が時短期間外／","")&amp;IF(AND(INDEX(職員マスタ!$K$6:$K$405,$AP919)&lt;&gt;"",N($W919)&gt;0,INDEX(職員マスタ!$K$6:$K$405,$AP919)&lt;&gt;$W919),"標準報酬月額が申請書と相違（台帳"&amp;TEXT(INDEX(職員マスタ!$K$6:$K$405,$AP919),"#,##0")&amp;"円／申請書"&amp;TEXT($W919,"#,##0")&amp;"円）／","")&amp;IF(AND(INDEX(職員マスタ!$F$6:$F$405,$AP919)&lt;&gt;"",$AQ919&lt;&gt;"",INDEX(職員マスタ!$F$6:$F$405,$AP919)&lt;$AQ919),"対象月に子が2歳到達済／","")&amp;IF(AND($H919&lt;&gt;"",INDEX(職員マスタ!$B$6:$B$405,$AP919)&lt;&gt;"",SUBSTITUTE(SUBSTITUTE($H919," ","")," ","")&lt;&gt;SUBSTITUTE(SUBSTITUTE(INDEX(職員マスタ!$B$6:$B$405,$AP919)," ","")," ","")),"氏名がマスタと相違／","")&amp;IF(AND($Q919&lt;&gt;"",INDEX(職員マスタ!$E$6:$E$405,$AP919)&lt;&gt;"",$Q919&lt;&gt;INDEX(職員マスタ!$E$6:$E$405,$AP919)),"子の生年月日がマスタと相違／","")&amp;IF(AND($L919&lt;&gt;"",INDEX(職員マスタ!$G$6:$G$405,$AP919)&lt;&gt;"",$L919&lt;&gt;INDEX(職員マスタ!$G$6:$G$405,$AP919)),"時短開始日がマスタと相違／","")&amp;IF(AND($M919&lt;&gt;"",INDEX(職員マスタ!$H$6:$H$405,$AP919)&lt;&gt;"",$M919&lt;&gt;INDEX(職員マスタ!$H$6:$H$405,$AP919)),"時短終了日がマスタと相違／","")))&amp;IF(AND($B919&lt;&gt;"",$E919=""),"報酬額が未入力／","")&amp;IF(N($U919)&gt;0,"申請書に入力エラーが残っています／","")&amp;IF(AND($B919&lt;&gt;"",$AQ919&lt;&gt;""),IF(COUNTIFS($B$6:$B$3005,$B919,$C$6:$C$3005,$C919,$D$6:$D$3005,$D919)&gt;1,"同じ月の請求が重複しています／",""),"")&amp;IF(AND(N($E919)&gt;0,$AB919&lt;&gt;"",$AB919&lt;&gt;"×",$AE919=0,$AD919=""),"計算額が下限以下のため不支給／",""))</f>
        <v/>
      </c>
      <c r="AN919" s="12" t="n"/>
      <c r="AO919" s="14">
        <f>IF($AF919="保留中",COUNTIF($AF$6:$AF919,"保留中"),"")</f>
        <v/>
      </c>
      <c r="AP919" s="14">
        <f>IF($AQ919="","",IF(SUMPRODUCT(MAX((職員マスタ!$A$6:$A$405=$B919)*(((職員マスタ!$G$6:$G$405="")+(職員マスタ!$G$6:$G$405&lt;=EOMONTH($AQ919,0)))&gt;0)*(((職員マスタ!$H$6:$H$405="")+(職員マスタ!$H$6:$H$405&gt;=$AQ919))&gt;0)*(ROW(職員マスタ!$A$6:$A$405)-5)))&gt;0,SUMPRODUCT(MAX((職員マスタ!$A$6:$A$405=$B919)*(((職員マスタ!$G$6:$G$405="")+(職員マスタ!$G$6:$G$405&lt;=EOMONTH($AQ919,0)))&gt;0)*(((職員マスタ!$H$6:$H$405="")+(職員マスタ!$H$6:$H$405&gt;=$AQ919))&gt;0)*(ROW(職員マスタ!$A$6:$A$405)-5))),IFERROR(MATCH($B919,職員マスタ!$A$6:$A$405,0),"")))</f>
        <v/>
      </c>
      <c r="AQ919" s="16">
        <f>IF(OR($B919="",$C919="",$D919=""),"",DATE($C919+2018,$D919,1))</f>
        <v/>
      </c>
    </row>
    <row r="920">
      <c r="A920" s="11" t="n"/>
      <c r="B920" s="12" t="n"/>
      <c r="C920" s="12" t="n"/>
      <c r="D920" s="12" t="n"/>
      <c r="E920" s="13" t="n"/>
      <c r="F920" s="12" t="n"/>
      <c r="G920" s="13" t="n"/>
      <c r="H920" s="12" t="n"/>
      <c r="I920" s="12" t="n"/>
      <c r="J920" s="12" t="n"/>
      <c r="K920" s="12" t="n"/>
      <c r="L920" s="11" t="n"/>
      <c r="M920" s="11" t="n"/>
      <c r="N920" s="11" t="n"/>
      <c r="O920" s="11" t="n"/>
      <c r="P920" s="12" t="n"/>
      <c r="Q920" s="11" t="n"/>
      <c r="R920" s="12" t="n"/>
      <c r="S920" s="11" t="n"/>
      <c r="T920" s="12" t="n"/>
      <c r="U920" s="12" t="n"/>
      <c r="V920" s="12" t="n"/>
      <c r="W920" s="13" t="n"/>
      <c r="X920" s="14">
        <f>IF($AP920="",IF($B920="","",$H920),IF(INDEX(職員マスタ!$B$6:$B$405,$AP920)="",$H920,INDEX(職員マスタ!$B$6:$B$405,$AP920)))</f>
        <v/>
      </c>
      <c r="Y920" s="14">
        <f>IF($AP920="",IF($B920="","",$R920),IF(INDEX(職員マスタ!$C$6:$C$405,$AP920)="",$R920,INDEX(職員マスタ!$C$6:$C$405,$AP920)))</f>
        <v/>
      </c>
      <c r="Z920" s="14">
        <f>IF($AQ920="","","R"&amp;$C920&amp;"."&amp;$D920)</f>
        <v/>
      </c>
      <c r="AA920" s="15">
        <f>IF(IF($AP920="",FALSE,INDEX(職員マスタ!$K$6:$K$405,$AP920)&lt;&gt;""),INDEX(職員マスタ!$K$6:$K$405,$AP920),IF(N($W920)&gt;0,$W920,""))</f>
        <v/>
      </c>
      <c r="AB920" s="14">
        <f>IF(OR($E920="",$AA920=""),"",IF($E920&gt;=$AA920,"×",IF($E920&gt;=$AA920*設定!$C$5,"△","○")))</f>
        <v/>
      </c>
      <c r="AC920" s="15">
        <f>IF($AB920="","",IF($AB920="×",0,IF($AB920="○",ROUNDDOWN($E920*設定!$C$4,0),ROUNDDOWN($E920*ROUND((9*$AA920-9*$E920)/(10*$E920),4),0))))</f>
        <v/>
      </c>
      <c r="AD920" s="13" t="n"/>
      <c r="AE920" s="15">
        <f>IF($B920="","",IF($AD920&lt;&gt;"",$AD920,IF($AC920="","",IF($AC920&lt;=設定!$C$3,0,$AC920))))</f>
        <v/>
      </c>
      <c r="AF920" s="14">
        <f>IF($B920="","",IF(AND($AG920&lt;&gt;"",$AI920="",$AL920=""),"保留中",IF($AL920&lt;&gt;"",IF(N($AE920)&gt;0,"支給済","不支給"),IF($AE920="","要確認",IF($AE920=0,"不支給","未処理")))))</f>
        <v/>
      </c>
      <c r="AG920" s="12" t="n"/>
      <c r="AH920" s="11" t="n"/>
      <c r="AI920" s="11" t="n"/>
      <c r="AJ920" s="11" t="n"/>
      <c r="AK920" s="14">
        <f>IF(AND($AF920="保留中",$AH920&lt;&gt;""),TODAY()-$AH920,"")</f>
        <v/>
      </c>
      <c r="AL920" s="12" t="n"/>
      <c r="AM920" s="14">
        <f>IF($B920="","",IF($AQ920="","対象年月が未入力／","")&amp;IF($B920="","",IF($AP920="","職員マスタに未登録の職員番号／",IF($AA920="","標準報酬月額が未登録／","")&amp;IF(AND($AQ920&lt;&gt;"",OR(AND(INDEX(職員マスタ!$G$6:$G$405,$AP920)&lt;&gt;"",INDEX(職員マスタ!$G$6:$G$405,$AP920)&gt;EOMONTH($AQ920,0)),AND(INDEX(職員マスタ!$H$6:$H$405,$AP920)&lt;&gt;"",INDEX(職員マスタ!$H$6:$H$405,$AP920)&lt;$AQ920))),"対象月が時短期間外／","")&amp;IF(AND(INDEX(職員マスタ!$K$6:$K$405,$AP920)&lt;&gt;"",N($W920)&gt;0,INDEX(職員マスタ!$K$6:$K$405,$AP920)&lt;&gt;$W920),"標準報酬月額が申請書と相違（台帳"&amp;TEXT(INDEX(職員マスタ!$K$6:$K$405,$AP920),"#,##0")&amp;"円／申請書"&amp;TEXT($W920,"#,##0")&amp;"円）／","")&amp;IF(AND(INDEX(職員マスタ!$F$6:$F$405,$AP920)&lt;&gt;"",$AQ920&lt;&gt;"",INDEX(職員マスタ!$F$6:$F$405,$AP920)&lt;$AQ920),"対象月に子が2歳到達済／","")&amp;IF(AND($H920&lt;&gt;"",INDEX(職員マスタ!$B$6:$B$405,$AP920)&lt;&gt;"",SUBSTITUTE(SUBSTITUTE($H920," ","")," ","")&lt;&gt;SUBSTITUTE(SUBSTITUTE(INDEX(職員マスタ!$B$6:$B$405,$AP920)," ","")," ","")),"氏名がマスタと相違／","")&amp;IF(AND($Q920&lt;&gt;"",INDEX(職員マスタ!$E$6:$E$405,$AP920)&lt;&gt;"",$Q920&lt;&gt;INDEX(職員マスタ!$E$6:$E$405,$AP920)),"子の生年月日がマスタと相違／","")&amp;IF(AND($L920&lt;&gt;"",INDEX(職員マスタ!$G$6:$G$405,$AP920)&lt;&gt;"",$L920&lt;&gt;INDEX(職員マスタ!$G$6:$G$405,$AP920)),"時短開始日がマスタと相違／","")&amp;IF(AND($M920&lt;&gt;"",INDEX(職員マスタ!$H$6:$H$405,$AP920)&lt;&gt;"",$M920&lt;&gt;INDEX(職員マスタ!$H$6:$H$405,$AP920)),"時短終了日がマスタと相違／","")))&amp;IF(AND($B920&lt;&gt;"",$E920=""),"報酬額が未入力／","")&amp;IF(N($U920)&gt;0,"申請書に入力エラーが残っています／","")&amp;IF(AND($B920&lt;&gt;"",$AQ920&lt;&gt;""),IF(COUNTIFS($B$6:$B$3005,$B920,$C$6:$C$3005,$C920,$D$6:$D$3005,$D920)&gt;1,"同じ月の請求が重複しています／",""),"")&amp;IF(AND(N($E920)&gt;0,$AB920&lt;&gt;"",$AB920&lt;&gt;"×",$AE920=0,$AD920=""),"計算額が下限以下のため不支給／",""))</f>
        <v/>
      </c>
      <c r="AN920" s="12" t="n"/>
      <c r="AO920" s="14">
        <f>IF($AF920="保留中",COUNTIF($AF$6:$AF920,"保留中"),"")</f>
        <v/>
      </c>
      <c r="AP920" s="14">
        <f>IF($AQ920="","",IF(SUMPRODUCT(MAX((職員マスタ!$A$6:$A$405=$B920)*(((職員マスタ!$G$6:$G$405="")+(職員マスタ!$G$6:$G$405&lt;=EOMONTH($AQ920,0)))&gt;0)*(((職員マスタ!$H$6:$H$405="")+(職員マスタ!$H$6:$H$405&gt;=$AQ920))&gt;0)*(ROW(職員マスタ!$A$6:$A$405)-5)))&gt;0,SUMPRODUCT(MAX((職員マスタ!$A$6:$A$405=$B920)*(((職員マスタ!$G$6:$G$405="")+(職員マスタ!$G$6:$G$405&lt;=EOMONTH($AQ920,0)))&gt;0)*(((職員マスタ!$H$6:$H$405="")+(職員マスタ!$H$6:$H$405&gt;=$AQ920))&gt;0)*(ROW(職員マスタ!$A$6:$A$405)-5))),IFERROR(MATCH($B920,職員マスタ!$A$6:$A$405,0),"")))</f>
        <v/>
      </c>
      <c r="AQ920" s="16">
        <f>IF(OR($B920="",$C920="",$D920=""),"",DATE($C920+2018,$D920,1))</f>
        <v/>
      </c>
    </row>
    <row r="921">
      <c r="A921" s="11" t="n"/>
      <c r="B921" s="12" t="n"/>
      <c r="C921" s="12" t="n"/>
      <c r="D921" s="12" t="n"/>
      <c r="E921" s="13" t="n"/>
      <c r="F921" s="12" t="n"/>
      <c r="G921" s="13" t="n"/>
      <c r="H921" s="12" t="n"/>
      <c r="I921" s="12" t="n"/>
      <c r="J921" s="12" t="n"/>
      <c r="K921" s="12" t="n"/>
      <c r="L921" s="11" t="n"/>
      <c r="M921" s="11" t="n"/>
      <c r="N921" s="11" t="n"/>
      <c r="O921" s="11" t="n"/>
      <c r="P921" s="12" t="n"/>
      <c r="Q921" s="11" t="n"/>
      <c r="R921" s="12" t="n"/>
      <c r="S921" s="11" t="n"/>
      <c r="T921" s="12" t="n"/>
      <c r="U921" s="12" t="n"/>
      <c r="V921" s="12" t="n"/>
      <c r="W921" s="13" t="n"/>
      <c r="X921" s="14">
        <f>IF($AP921="",IF($B921="","",$H921),IF(INDEX(職員マスタ!$B$6:$B$405,$AP921)="",$H921,INDEX(職員マスタ!$B$6:$B$405,$AP921)))</f>
        <v/>
      </c>
      <c r="Y921" s="14">
        <f>IF($AP921="",IF($B921="","",$R921),IF(INDEX(職員マスタ!$C$6:$C$405,$AP921)="",$R921,INDEX(職員マスタ!$C$6:$C$405,$AP921)))</f>
        <v/>
      </c>
      <c r="Z921" s="14">
        <f>IF($AQ921="","","R"&amp;$C921&amp;"."&amp;$D921)</f>
        <v/>
      </c>
      <c r="AA921" s="15">
        <f>IF(IF($AP921="",FALSE,INDEX(職員マスタ!$K$6:$K$405,$AP921)&lt;&gt;""),INDEX(職員マスタ!$K$6:$K$405,$AP921),IF(N($W921)&gt;0,$W921,""))</f>
        <v/>
      </c>
      <c r="AB921" s="14">
        <f>IF(OR($E921="",$AA921=""),"",IF($E921&gt;=$AA921,"×",IF($E921&gt;=$AA921*設定!$C$5,"△","○")))</f>
        <v/>
      </c>
      <c r="AC921" s="15">
        <f>IF($AB921="","",IF($AB921="×",0,IF($AB921="○",ROUNDDOWN($E921*設定!$C$4,0),ROUNDDOWN($E921*ROUND((9*$AA921-9*$E921)/(10*$E921),4),0))))</f>
        <v/>
      </c>
      <c r="AD921" s="13" t="n"/>
      <c r="AE921" s="15">
        <f>IF($B921="","",IF($AD921&lt;&gt;"",$AD921,IF($AC921="","",IF($AC921&lt;=設定!$C$3,0,$AC921))))</f>
        <v/>
      </c>
      <c r="AF921" s="14">
        <f>IF($B921="","",IF(AND($AG921&lt;&gt;"",$AI921="",$AL921=""),"保留中",IF($AL921&lt;&gt;"",IF(N($AE921)&gt;0,"支給済","不支給"),IF($AE921="","要確認",IF($AE921=0,"不支給","未処理")))))</f>
        <v/>
      </c>
      <c r="AG921" s="12" t="n"/>
      <c r="AH921" s="11" t="n"/>
      <c r="AI921" s="11" t="n"/>
      <c r="AJ921" s="11" t="n"/>
      <c r="AK921" s="14">
        <f>IF(AND($AF921="保留中",$AH921&lt;&gt;""),TODAY()-$AH921,"")</f>
        <v/>
      </c>
      <c r="AL921" s="12" t="n"/>
      <c r="AM921" s="14">
        <f>IF($B921="","",IF($AQ921="","対象年月が未入力／","")&amp;IF($B921="","",IF($AP921="","職員マスタに未登録の職員番号／",IF($AA921="","標準報酬月額が未登録／","")&amp;IF(AND($AQ921&lt;&gt;"",OR(AND(INDEX(職員マスタ!$G$6:$G$405,$AP921)&lt;&gt;"",INDEX(職員マスタ!$G$6:$G$405,$AP921)&gt;EOMONTH($AQ921,0)),AND(INDEX(職員マスタ!$H$6:$H$405,$AP921)&lt;&gt;"",INDEX(職員マスタ!$H$6:$H$405,$AP921)&lt;$AQ921))),"対象月が時短期間外／","")&amp;IF(AND(INDEX(職員マスタ!$K$6:$K$405,$AP921)&lt;&gt;"",N($W921)&gt;0,INDEX(職員マスタ!$K$6:$K$405,$AP921)&lt;&gt;$W921),"標準報酬月額が申請書と相違（台帳"&amp;TEXT(INDEX(職員マスタ!$K$6:$K$405,$AP921),"#,##0")&amp;"円／申請書"&amp;TEXT($W921,"#,##0")&amp;"円）／","")&amp;IF(AND(INDEX(職員マスタ!$F$6:$F$405,$AP921)&lt;&gt;"",$AQ921&lt;&gt;"",INDEX(職員マスタ!$F$6:$F$405,$AP921)&lt;$AQ921),"対象月に子が2歳到達済／","")&amp;IF(AND($H921&lt;&gt;"",INDEX(職員マスタ!$B$6:$B$405,$AP921)&lt;&gt;"",SUBSTITUTE(SUBSTITUTE($H921," ","")," ","")&lt;&gt;SUBSTITUTE(SUBSTITUTE(INDEX(職員マスタ!$B$6:$B$405,$AP921)," ","")," ","")),"氏名がマスタと相違／","")&amp;IF(AND($Q921&lt;&gt;"",INDEX(職員マスタ!$E$6:$E$405,$AP921)&lt;&gt;"",$Q921&lt;&gt;INDEX(職員マスタ!$E$6:$E$405,$AP921)),"子の生年月日がマスタと相違／","")&amp;IF(AND($L921&lt;&gt;"",INDEX(職員マスタ!$G$6:$G$405,$AP921)&lt;&gt;"",$L921&lt;&gt;INDEX(職員マスタ!$G$6:$G$405,$AP921)),"時短開始日がマスタと相違／","")&amp;IF(AND($M921&lt;&gt;"",INDEX(職員マスタ!$H$6:$H$405,$AP921)&lt;&gt;"",$M921&lt;&gt;INDEX(職員マスタ!$H$6:$H$405,$AP921)),"時短終了日がマスタと相違／","")))&amp;IF(AND($B921&lt;&gt;"",$E921=""),"報酬額が未入力／","")&amp;IF(N($U921)&gt;0,"申請書に入力エラーが残っています／","")&amp;IF(AND($B921&lt;&gt;"",$AQ921&lt;&gt;""),IF(COUNTIFS($B$6:$B$3005,$B921,$C$6:$C$3005,$C921,$D$6:$D$3005,$D921)&gt;1,"同じ月の請求が重複しています／",""),"")&amp;IF(AND(N($E921)&gt;0,$AB921&lt;&gt;"",$AB921&lt;&gt;"×",$AE921=0,$AD921=""),"計算額が下限以下のため不支給／",""))</f>
        <v/>
      </c>
      <c r="AN921" s="12" t="n"/>
      <c r="AO921" s="14">
        <f>IF($AF921="保留中",COUNTIF($AF$6:$AF921,"保留中"),"")</f>
        <v/>
      </c>
      <c r="AP921" s="14">
        <f>IF($AQ921="","",IF(SUMPRODUCT(MAX((職員マスタ!$A$6:$A$405=$B921)*(((職員マスタ!$G$6:$G$405="")+(職員マスタ!$G$6:$G$405&lt;=EOMONTH($AQ921,0)))&gt;0)*(((職員マスタ!$H$6:$H$405="")+(職員マスタ!$H$6:$H$405&gt;=$AQ921))&gt;0)*(ROW(職員マスタ!$A$6:$A$405)-5)))&gt;0,SUMPRODUCT(MAX((職員マスタ!$A$6:$A$405=$B921)*(((職員マスタ!$G$6:$G$405="")+(職員マスタ!$G$6:$G$405&lt;=EOMONTH($AQ921,0)))&gt;0)*(((職員マスタ!$H$6:$H$405="")+(職員マスタ!$H$6:$H$405&gt;=$AQ921))&gt;0)*(ROW(職員マスタ!$A$6:$A$405)-5))),IFERROR(MATCH($B921,職員マスタ!$A$6:$A$405,0),"")))</f>
        <v/>
      </c>
      <c r="AQ921" s="16">
        <f>IF(OR($B921="",$C921="",$D921=""),"",DATE($C921+2018,$D921,1))</f>
        <v/>
      </c>
    </row>
    <row r="922">
      <c r="A922" s="11" t="n"/>
      <c r="B922" s="12" t="n"/>
      <c r="C922" s="12" t="n"/>
      <c r="D922" s="12" t="n"/>
      <c r="E922" s="13" t="n"/>
      <c r="F922" s="12" t="n"/>
      <c r="G922" s="13" t="n"/>
      <c r="H922" s="12" t="n"/>
      <c r="I922" s="12" t="n"/>
      <c r="J922" s="12" t="n"/>
      <c r="K922" s="12" t="n"/>
      <c r="L922" s="11" t="n"/>
      <c r="M922" s="11" t="n"/>
      <c r="N922" s="11" t="n"/>
      <c r="O922" s="11" t="n"/>
      <c r="P922" s="12" t="n"/>
      <c r="Q922" s="11" t="n"/>
      <c r="R922" s="12" t="n"/>
      <c r="S922" s="11" t="n"/>
      <c r="T922" s="12" t="n"/>
      <c r="U922" s="12" t="n"/>
      <c r="V922" s="12" t="n"/>
      <c r="W922" s="13" t="n"/>
      <c r="X922" s="14">
        <f>IF($AP922="",IF($B922="","",$H922),IF(INDEX(職員マスタ!$B$6:$B$405,$AP922)="",$H922,INDEX(職員マスタ!$B$6:$B$405,$AP922)))</f>
        <v/>
      </c>
      <c r="Y922" s="14">
        <f>IF($AP922="",IF($B922="","",$R922),IF(INDEX(職員マスタ!$C$6:$C$405,$AP922)="",$R922,INDEX(職員マスタ!$C$6:$C$405,$AP922)))</f>
        <v/>
      </c>
      <c r="Z922" s="14">
        <f>IF($AQ922="","","R"&amp;$C922&amp;"."&amp;$D922)</f>
        <v/>
      </c>
      <c r="AA922" s="15">
        <f>IF(IF($AP922="",FALSE,INDEX(職員マスタ!$K$6:$K$405,$AP922)&lt;&gt;""),INDEX(職員マスタ!$K$6:$K$405,$AP922),IF(N($W922)&gt;0,$W922,""))</f>
        <v/>
      </c>
      <c r="AB922" s="14">
        <f>IF(OR($E922="",$AA922=""),"",IF($E922&gt;=$AA922,"×",IF($E922&gt;=$AA922*設定!$C$5,"△","○")))</f>
        <v/>
      </c>
      <c r="AC922" s="15">
        <f>IF($AB922="","",IF($AB922="×",0,IF($AB922="○",ROUNDDOWN($E922*設定!$C$4,0),ROUNDDOWN($E922*ROUND((9*$AA922-9*$E922)/(10*$E922),4),0))))</f>
        <v/>
      </c>
      <c r="AD922" s="13" t="n"/>
      <c r="AE922" s="15">
        <f>IF($B922="","",IF($AD922&lt;&gt;"",$AD922,IF($AC922="","",IF($AC922&lt;=設定!$C$3,0,$AC922))))</f>
        <v/>
      </c>
      <c r="AF922" s="14">
        <f>IF($B922="","",IF(AND($AG922&lt;&gt;"",$AI922="",$AL922=""),"保留中",IF($AL922&lt;&gt;"",IF(N($AE922)&gt;0,"支給済","不支給"),IF($AE922="","要確認",IF($AE922=0,"不支給","未処理")))))</f>
        <v/>
      </c>
      <c r="AG922" s="12" t="n"/>
      <c r="AH922" s="11" t="n"/>
      <c r="AI922" s="11" t="n"/>
      <c r="AJ922" s="11" t="n"/>
      <c r="AK922" s="14">
        <f>IF(AND($AF922="保留中",$AH922&lt;&gt;""),TODAY()-$AH922,"")</f>
        <v/>
      </c>
      <c r="AL922" s="12" t="n"/>
      <c r="AM922" s="14">
        <f>IF($B922="","",IF($AQ922="","対象年月が未入力／","")&amp;IF($B922="","",IF($AP922="","職員マスタに未登録の職員番号／",IF($AA922="","標準報酬月額が未登録／","")&amp;IF(AND($AQ922&lt;&gt;"",OR(AND(INDEX(職員マスタ!$G$6:$G$405,$AP922)&lt;&gt;"",INDEX(職員マスタ!$G$6:$G$405,$AP922)&gt;EOMONTH($AQ922,0)),AND(INDEX(職員マスタ!$H$6:$H$405,$AP922)&lt;&gt;"",INDEX(職員マスタ!$H$6:$H$405,$AP922)&lt;$AQ922))),"対象月が時短期間外／","")&amp;IF(AND(INDEX(職員マスタ!$K$6:$K$405,$AP922)&lt;&gt;"",N($W922)&gt;0,INDEX(職員マスタ!$K$6:$K$405,$AP922)&lt;&gt;$W922),"標準報酬月額が申請書と相違（台帳"&amp;TEXT(INDEX(職員マスタ!$K$6:$K$405,$AP922),"#,##0")&amp;"円／申請書"&amp;TEXT($W922,"#,##0")&amp;"円）／","")&amp;IF(AND(INDEX(職員マスタ!$F$6:$F$405,$AP922)&lt;&gt;"",$AQ922&lt;&gt;"",INDEX(職員マスタ!$F$6:$F$405,$AP922)&lt;$AQ922),"対象月に子が2歳到達済／","")&amp;IF(AND($H922&lt;&gt;"",INDEX(職員マスタ!$B$6:$B$405,$AP922)&lt;&gt;"",SUBSTITUTE(SUBSTITUTE($H922," ","")," ","")&lt;&gt;SUBSTITUTE(SUBSTITUTE(INDEX(職員マスタ!$B$6:$B$405,$AP922)," ","")," ","")),"氏名がマスタと相違／","")&amp;IF(AND($Q922&lt;&gt;"",INDEX(職員マスタ!$E$6:$E$405,$AP922)&lt;&gt;"",$Q922&lt;&gt;INDEX(職員マスタ!$E$6:$E$405,$AP922)),"子の生年月日がマスタと相違／","")&amp;IF(AND($L922&lt;&gt;"",INDEX(職員マスタ!$G$6:$G$405,$AP922)&lt;&gt;"",$L922&lt;&gt;INDEX(職員マスタ!$G$6:$G$405,$AP922)),"時短開始日がマスタと相違／","")&amp;IF(AND($M922&lt;&gt;"",INDEX(職員マスタ!$H$6:$H$405,$AP922)&lt;&gt;"",$M922&lt;&gt;INDEX(職員マスタ!$H$6:$H$405,$AP922)),"時短終了日がマスタと相違／","")))&amp;IF(AND($B922&lt;&gt;"",$E922=""),"報酬額が未入力／","")&amp;IF(N($U922)&gt;0,"申請書に入力エラーが残っています／","")&amp;IF(AND($B922&lt;&gt;"",$AQ922&lt;&gt;""),IF(COUNTIFS($B$6:$B$3005,$B922,$C$6:$C$3005,$C922,$D$6:$D$3005,$D922)&gt;1,"同じ月の請求が重複しています／",""),"")&amp;IF(AND(N($E922)&gt;0,$AB922&lt;&gt;"",$AB922&lt;&gt;"×",$AE922=0,$AD922=""),"計算額が下限以下のため不支給／",""))</f>
        <v/>
      </c>
      <c r="AN922" s="12" t="n"/>
      <c r="AO922" s="14">
        <f>IF($AF922="保留中",COUNTIF($AF$6:$AF922,"保留中"),"")</f>
        <v/>
      </c>
      <c r="AP922" s="14">
        <f>IF($AQ922="","",IF(SUMPRODUCT(MAX((職員マスタ!$A$6:$A$405=$B922)*(((職員マスタ!$G$6:$G$405="")+(職員マスタ!$G$6:$G$405&lt;=EOMONTH($AQ922,0)))&gt;0)*(((職員マスタ!$H$6:$H$405="")+(職員マスタ!$H$6:$H$405&gt;=$AQ922))&gt;0)*(ROW(職員マスタ!$A$6:$A$405)-5)))&gt;0,SUMPRODUCT(MAX((職員マスタ!$A$6:$A$405=$B922)*(((職員マスタ!$G$6:$G$405="")+(職員マスタ!$G$6:$G$405&lt;=EOMONTH($AQ922,0)))&gt;0)*(((職員マスタ!$H$6:$H$405="")+(職員マスタ!$H$6:$H$405&gt;=$AQ922))&gt;0)*(ROW(職員マスタ!$A$6:$A$405)-5))),IFERROR(MATCH($B922,職員マスタ!$A$6:$A$405,0),"")))</f>
        <v/>
      </c>
      <c r="AQ922" s="16">
        <f>IF(OR($B922="",$C922="",$D922=""),"",DATE($C922+2018,$D922,1))</f>
        <v/>
      </c>
    </row>
    <row r="923">
      <c r="A923" s="11" t="n"/>
      <c r="B923" s="12" t="n"/>
      <c r="C923" s="12" t="n"/>
      <c r="D923" s="12" t="n"/>
      <c r="E923" s="13" t="n"/>
      <c r="F923" s="12" t="n"/>
      <c r="G923" s="13" t="n"/>
      <c r="H923" s="12" t="n"/>
      <c r="I923" s="12" t="n"/>
      <c r="J923" s="12" t="n"/>
      <c r="K923" s="12" t="n"/>
      <c r="L923" s="11" t="n"/>
      <c r="M923" s="11" t="n"/>
      <c r="N923" s="11" t="n"/>
      <c r="O923" s="11" t="n"/>
      <c r="P923" s="12" t="n"/>
      <c r="Q923" s="11" t="n"/>
      <c r="R923" s="12" t="n"/>
      <c r="S923" s="11" t="n"/>
      <c r="T923" s="12" t="n"/>
      <c r="U923" s="12" t="n"/>
      <c r="V923" s="12" t="n"/>
      <c r="W923" s="13" t="n"/>
      <c r="X923" s="14">
        <f>IF($AP923="",IF($B923="","",$H923),IF(INDEX(職員マスタ!$B$6:$B$405,$AP923)="",$H923,INDEX(職員マスタ!$B$6:$B$405,$AP923)))</f>
        <v/>
      </c>
      <c r="Y923" s="14">
        <f>IF($AP923="",IF($B923="","",$R923),IF(INDEX(職員マスタ!$C$6:$C$405,$AP923)="",$R923,INDEX(職員マスタ!$C$6:$C$405,$AP923)))</f>
        <v/>
      </c>
      <c r="Z923" s="14">
        <f>IF($AQ923="","","R"&amp;$C923&amp;"."&amp;$D923)</f>
        <v/>
      </c>
      <c r="AA923" s="15">
        <f>IF(IF($AP923="",FALSE,INDEX(職員マスタ!$K$6:$K$405,$AP923)&lt;&gt;""),INDEX(職員マスタ!$K$6:$K$405,$AP923),IF(N($W923)&gt;0,$W923,""))</f>
        <v/>
      </c>
      <c r="AB923" s="14">
        <f>IF(OR($E923="",$AA923=""),"",IF($E923&gt;=$AA923,"×",IF($E923&gt;=$AA923*設定!$C$5,"△","○")))</f>
        <v/>
      </c>
      <c r="AC923" s="15">
        <f>IF($AB923="","",IF($AB923="×",0,IF($AB923="○",ROUNDDOWN($E923*設定!$C$4,0),ROUNDDOWN($E923*ROUND((9*$AA923-9*$E923)/(10*$E923),4),0))))</f>
        <v/>
      </c>
      <c r="AD923" s="13" t="n"/>
      <c r="AE923" s="15">
        <f>IF($B923="","",IF($AD923&lt;&gt;"",$AD923,IF($AC923="","",IF($AC923&lt;=設定!$C$3,0,$AC923))))</f>
        <v/>
      </c>
      <c r="AF923" s="14">
        <f>IF($B923="","",IF(AND($AG923&lt;&gt;"",$AI923="",$AL923=""),"保留中",IF($AL923&lt;&gt;"",IF(N($AE923)&gt;0,"支給済","不支給"),IF($AE923="","要確認",IF($AE923=0,"不支給","未処理")))))</f>
        <v/>
      </c>
      <c r="AG923" s="12" t="n"/>
      <c r="AH923" s="11" t="n"/>
      <c r="AI923" s="11" t="n"/>
      <c r="AJ923" s="11" t="n"/>
      <c r="AK923" s="14">
        <f>IF(AND($AF923="保留中",$AH923&lt;&gt;""),TODAY()-$AH923,"")</f>
        <v/>
      </c>
      <c r="AL923" s="12" t="n"/>
      <c r="AM923" s="14">
        <f>IF($B923="","",IF($AQ923="","対象年月が未入力／","")&amp;IF($B923="","",IF($AP923="","職員マスタに未登録の職員番号／",IF($AA923="","標準報酬月額が未登録／","")&amp;IF(AND($AQ923&lt;&gt;"",OR(AND(INDEX(職員マスタ!$G$6:$G$405,$AP923)&lt;&gt;"",INDEX(職員マスタ!$G$6:$G$405,$AP923)&gt;EOMONTH($AQ923,0)),AND(INDEX(職員マスタ!$H$6:$H$405,$AP923)&lt;&gt;"",INDEX(職員マスタ!$H$6:$H$405,$AP923)&lt;$AQ923))),"対象月が時短期間外／","")&amp;IF(AND(INDEX(職員マスタ!$K$6:$K$405,$AP923)&lt;&gt;"",N($W923)&gt;0,INDEX(職員マスタ!$K$6:$K$405,$AP923)&lt;&gt;$W923),"標準報酬月額が申請書と相違（台帳"&amp;TEXT(INDEX(職員マスタ!$K$6:$K$405,$AP923),"#,##0")&amp;"円／申請書"&amp;TEXT($W923,"#,##0")&amp;"円）／","")&amp;IF(AND(INDEX(職員マスタ!$F$6:$F$405,$AP923)&lt;&gt;"",$AQ923&lt;&gt;"",INDEX(職員マスタ!$F$6:$F$405,$AP923)&lt;$AQ923),"対象月に子が2歳到達済／","")&amp;IF(AND($H923&lt;&gt;"",INDEX(職員マスタ!$B$6:$B$405,$AP923)&lt;&gt;"",SUBSTITUTE(SUBSTITUTE($H923," ","")," ","")&lt;&gt;SUBSTITUTE(SUBSTITUTE(INDEX(職員マスタ!$B$6:$B$405,$AP923)," ","")," ","")),"氏名がマスタと相違／","")&amp;IF(AND($Q923&lt;&gt;"",INDEX(職員マスタ!$E$6:$E$405,$AP923)&lt;&gt;"",$Q923&lt;&gt;INDEX(職員マスタ!$E$6:$E$405,$AP923)),"子の生年月日がマスタと相違／","")&amp;IF(AND($L923&lt;&gt;"",INDEX(職員マスタ!$G$6:$G$405,$AP923)&lt;&gt;"",$L923&lt;&gt;INDEX(職員マスタ!$G$6:$G$405,$AP923)),"時短開始日がマスタと相違／","")&amp;IF(AND($M923&lt;&gt;"",INDEX(職員マスタ!$H$6:$H$405,$AP923)&lt;&gt;"",$M923&lt;&gt;INDEX(職員マスタ!$H$6:$H$405,$AP923)),"時短終了日がマスタと相違／","")))&amp;IF(AND($B923&lt;&gt;"",$E923=""),"報酬額が未入力／","")&amp;IF(N($U923)&gt;0,"申請書に入力エラーが残っています／","")&amp;IF(AND($B923&lt;&gt;"",$AQ923&lt;&gt;""),IF(COUNTIFS($B$6:$B$3005,$B923,$C$6:$C$3005,$C923,$D$6:$D$3005,$D923)&gt;1,"同じ月の請求が重複しています／",""),"")&amp;IF(AND(N($E923)&gt;0,$AB923&lt;&gt;"",$AB923&lt;&gt;"×",$AE923=0,$AD923=""),"計算額が下限以下のため不支給／",""))</f>
        <v/>
      </c>
      <c r="AN923" s="12" t="n"/>
      <c r="AO923" s="14">
        <f>IF($AF923="保留中",COUNTIF($AF$6:$AF923,"保留中"),"")</f>
        <v/>
      </c>
      <c r="AP923" s="14">
        <f>IF($AQ923="","",IF(SUMPRODUCT(MAX((職員マスタ!$A$6:$A$405=$B923)*(((職員マスタ!$G$6:$G$405="")+(職員マスタ!$G$6:$G$405&lt;=EOMONTH($AQ923,0)))&gt;0)*(((職員マスタ!$H$6:$H$405="")+(職員マスタ!$H$6:$H$405&gt;=$AQ923))&gt;0)*(ROW(職員マスタ!$A$6:$A$405)-5)))&gt;0,SUMPRODUCT(MAX((職員マスタ!$A$6:$A$405=$B923)*(((職員マスタ!$G$6:$G$405="")+(職員マスタ!$G$6:$G$405&lt;=EOMONTH($AQ923,0)))&gt;0)*(((職員マスタ!$H$6:$H$405="")+(職員マスタ!$H$6:$H$405&gt;=$AQ923))&gt;0)*(ROW(職員マスタ!$A$6:$A$405)-5))),IFERROR(MATCH($B923,職員マスタ!$A$6:$A$405,0),"")))</f>
        <v/>
      </c>
      <c r="AQ923" s="16">
        <f>IF(OR($B923="",$C923="",$D923=""),"",DATE($C923+2018,$D923,1))</f>
        <v/>
      </c>
    </row>
    <row r="924">
      <c r="A924" s="11" t="n"/>
      <c r="B924" s="12" t="n"/>
      <c r="C924" s="12" t="n"/>
      <c r="D924" s="12" t="n"/>
      <c r="E924" s="13" t="n"/>
      <c r="F924" s="12" t="n"/>
      <c r="G924" s="13" t="n"/>
      <c r="H924" s="12" t="n"/>
      <c r="I924" s="12" t="n"/>
      <c r="J924" s="12" t="n"/>
      <c r="K924" s="12" t="n"/>
      <c r="L924" s="11" t="n"/>
      <c r="M924" s="11" t="n"/>
      <c r="N924" s="11" t="n"/>
      <c r="O924" s="11" t="n"/>
      <c r="P924" s="12" t="n"/>
      <c r="Q924" s="11" t="n"/>
      <c r="R924" s="12" t="n"/>
      <c r="S924" s="11" t="n"/>
      <c r="T924" s="12" t="n"/>
      <c r="U924" s="12" t="n"/>
      <c r="V924" s="12" t="n"/>
      <c r="W924" s="13" t="n"/>
      <c r="X924" s="14">
        <f>IF($AP924="",IF($B924="","",$H924),IF(INDEX(職員マスタ!$B$6:$B$405,$AP924)="",$H924,INDEX(職員マスタ!$B$6:$B$405,$AP924)))</f>
        <v/>
      </c>
      <c r="Y924" s="14">
        <f>IF($AP924="",IF($B924="","",$R924),IF(INDEX(職員マスタ!$C$6:$C$405,$AP924)="",$R924,INDEX(職員マスタ!$C$6:$C$405,$AP924)))</f>
        <v/>
      </c>
      <c r="Z924" s="14">
        <f>IF($AQ924="","","R"&amp;$C924&amp;"."&amp;$D924)</f>
        <v/>
      </c>
      <c r="AA924" s="15">
        <f>IF(IF($AP924="",FALSE,INDEX(職員マスタ!$K$6:$K$405,$AP924)&lt;&gt;""),INDEX(職員マスタ!$K$6:$K$405,$AP924),IF(N($W924)&gt;0,$W924,""))</f>
        <v/>
      </c>
      <c r="AB924" s="14">
        <f>IF(OR($E924="",$AA924=""),"",IF($E924&gt;=$AA924,"×",IF($E924&gt;=$AA924*設定!$C$5,"△","○")))</f>
        <v/>
      </c>
      <c r="AC924" s="15">
        <f>IF($AB924="","",IF($AB924="×",0,IF($AB924="○",ROUNDDOWN($E924*設定!$C$4,0),ROUNDDOWN($E924*ROUND((9*$AA924-9*$E924)/(10*$E924),4),0))))</f>
        <v/>
      </c>
      <c r="AD924" s="13" t="n"/>
      <c r="AE924" s="15">
        <f>IF($B924="","",IF($AD924&lt;&gt;"",$AD924,IF($AC924="","",IF($AC924&lt;=設定!$C$3,0,$AC924))))</f>
        <v/>
      </c>
      <c r="AF924" s="14">
        <f>IF($B924="","",IF(AND($AG924&lt;&gt;"",$AI924="",$AL924=""),"保留中",IF($AL924&lt;&gt;"",IF(N($AE924)&gt;0,"支給済","不支給"),IF($AE924="","要確認",IF($AE924=0,"不支給","未処理")))))</f>
        <v/>
      </c>
      <c r="AG924" s="12" t="n"/>
      <c r="AH924" s="11" t="n"/>
      <c r="AI924" s="11" t="n"/>
      <c r="AJ924" s="11" t="n"/>
      <c r="AK924" s="14">
        <f>IF(AND($AF924="保留中",$AH924&lt;&gt;""),TODAY()-$AH924,"")</f>
        <v/>
      </c>
      <c r="AL924" s="12" t="n"/>
      <c r="AM924" s="14">
        <f>IF($B924="","",IF($AQ924="","対象年月が未入力／","")&amp;IF($B924="","",IF($AP924="","職員マスタに未登録の職員番号／",IF($AA924="","標準報酬月額が未登録／","")&amp;IF(AND($AQ924&lt;&gt;"",OR(AND(INDEX(職員マスタ!$G$6:$G$405,$AP924)&lt;&gt;"",INDEX(職員マスタ!$G$6:$G$405,$AP924)&gt;EOMONTH($AQ924,0)),AND(INDEX(職員マスタ!$H$6:$H$405,$AP924)&lt;&gt;"",INDEX(職員マスタ!$H$6:$H$405,$AP924)&lt;$AQ924))),"対象月が時短期間外／","")&amp;IF(AND(INDEX(職員マスタ!$K$6:$K$405,$AP924)&lt;&gt;"",N($W924)&gt;0,INDEX(職員マスタ!$K$6:$K$405,$AP924)&lt;&gt;$W924),"標準報酬月額が申請書と相違（台帳"&amp;TEXT(INDEX(職員マスタ!$K$6:$K$405,$AP924),"#,##0")&amp;"円／申請書"&amp;TEXT($W924,"#,##0")&amp;"円）／","")&amp;IF(AND(INDEX(職員マスタ!$F$6:$F$405,$AP924)&lt;&gt;"",$AQ924&lt;&gt;"",INDEX(職員マスタ!$F$6:$F$405,$AP924)&lt;$AQ924),"対象月に子が2歳到達済／","")&amp;IF(AND($H924&lt;&gt;"",INDEX(職員マスタ!$B$6:$B$405,$AP924)&lt;&gt;"",SUBSTITUTE(SUBSTITUTE($H924," ","")," ","")&lt;&gt;SUBSTITUTE(SUBSTITUTE(INDEX(職員マスタ!$B$6:$B$405,$AP924)," ","")," ","")),"氏名がマスタと相違／","")&amp;IF(AND($Q924&lt;&gt;"",INDEX(職員マスタ!$E$6:$E$405,$AP924)&lt;&gt;"",$Q924&lt;&gt;INDEX(職員マスタ!$E$6:$E$405,$AP924)),"子の生年月日がマスタと相違／","")&amp;IF(AND($L924&lt;&gt;"",INDEX(職員マスタ!$G$6:$G$405,$AP924)&lt;&gt;"",$L924&lt;&gt;INDEX(職員マスタ!$G$6:$G$405,$AP924)),"時短開始日がマスタと相違／","")&amp;IF(AND($M924&lt;&gt;"",INDEX(職員マスタ!$H$6:$H$405,$AP924)&lt;&gt;"",$M924&lt;&gt;INDEX(職員マスタ!$H$6:$H$405,$AP924)),"時短終了日がマスタと相違／","")))&amp;IF(AND($B924&lt;&gt;"",$E924=""),"報酬額が未入力／","")&amp;IF(N($U924)&gt;0,"申請書に入力エラーが残っています／","")&amp;IF(AND($B924&lt;&gt;"",$AQ924&lt;&gt;""),IF(COUNTIFS($B$6:$B$3005,$B924,$C$6:$C$3005,$C924,$D$6:$D$3005,$D924)&gt;1,"同じ月の請求が重複しています／",""),"")&amp;IF(AND(N($E924)&gt;0,$AB924&lt;&gt;"",$AB924&lt;&gt;"×",$AE924=0,$AD924=""),"計算額が下限以下のため不支給／",""))</f>
        <v/>
      </c>
      <c r="AN924" s="12" t="n"/>
      <c r="AO924" s="14">
        <f>IF($AF924="保留中",COUNTIF($AF$6:$AF924,"保留中"),"")</f>
        <v/>
      </c>
      <c r="AP924" s="14">
        <f>IF($AQ924="","",IF(SUMPRODUCT(MAX((職員マスタ!$A$6:$A$405=$B924)*(((職員マスタ!$G$6:$G$405="")+(職員マスタ!$G$6:$G$405&lt;=EOMONTH($AQ924,0)))&gt;0)*(((職員マスタ!$H$6:$H$405="")+(職員マスタ!$H$6:$H$405&gt;=$AQ924))&gt;0)*(ROW(職員マスタ!$A$6:$A$405)-5)))&gt;0,SUMPRODUCT(MAX((職員マスタ!$A$6:$A$405=$B924)*(((職員マスタ!$G$6:$G$405="")+(職員マスタ!$G$6:$G$405&lt;=EOMONTH($AQ924,0)))&gt;0)*(((職員マスタ!$H$6:$H$405="")+(職員マスタ!$H$6:$H$405&gt;=$AQ924))&gt;0)*(ROW(職員マスタ!$A$6:$A$405)-5))),IFERROR(MATCH($B924,職員マスタ!$A$6:$A$405,0),"")))</f>
        <v/>
      </c>
      <c r="AQ924" s="16">
        <f>IF(OR($B924="",$C924="",$D924=""),"",DATE($C924+2018,$D924,1))</f>
        <v/>
      </c>
    </row>
    <row r="925">
      <c r="A925" s="11" t="n"/>
      <c r="B925" s="12" t="n"/>
      <c r="C925" s="12" t="n"/>
      <c r="D925" s="12" t="n"/>
      <c r="E925" s="13" t="n"/>
      <c r="F925" s="12" t="n"/>
      <c r="G925" s="13" t="n"/>
      <c r="H925" s="12" t="n"/>
      <c r="I925" s="12" t="n"/>
      <c r="J925" s="12" t="n"/>
      <c r="K925" s="12" t="n"/>
      <c r="L925" s="11" t="n"/>
      <c r="M925" s="11" t="n"/>
      <c r="N925" s="11" t="n"/>
      <c r="O925" s="11" t="n"/>
      <c r="P925" s="12" t="n"/>
      <c r="Q925" s="11" t="n"/>
      <c r="R925" s="12" t="n"/>
      <c r="S925" s="11" t="n"/>
      <c r="T925" s="12" t="n"/>
      <c r="U925" s="12" t="n"/>
      <c r="V925" s="12" t="n"/>
      <c r="W925" s="13" t="n"/>
      <c r="X925" s="14">
        <f>IF($AP925="",IF($B925="","",$H925),IF(INDEX(職員マスタ!$B$6:$B$405,$AP925)="",$H925,INDEX(職員マスタ!$B$6:$B$405,$AP925)))</f>
        <v/>
      </c>
      <c r="Y925" s="14">
        <f>IF($AP925="",IF($B925="","",$R925),IF(INDEX(職員マスタ!$C$6:$C$405,$AP925)="",$R925,INDEX(職員マスタ!$C$6:$C$405,$AP925)))</f>
        <v/>
      </c>
      <c r="Z925" s="14">
        <f>IF($AQ925="","","R"&amp;$C925&amp;"."&amp;$D925)</f>
        <v/>
      </c>
      <c r="AA925" s="15">
        <f>IF(IF($AP925="",FALSE,INDEX(職員マスタ!$K$6:$K$405,$AP925)&lt;&gt;""),INDEX(職員マスタ!$K$6:$K$405,$AP925),IF(N($W925)&gt;0,$W925,""))</f>
        <v/>
      </c>
      <c r="AB925" s="14">
        <f>IF(OR($E925="",$AA925=""),"",IF($E925&gt;=$AA925,"×",IF($E925&gt;=$AA925*設定!$C$5,"△","○")))</f>
        <v/>
      </c>
      <c r="AC925" s="15">
        <f>IF($AB925="","",IF($AB925="×",0,IF($AB925="○",ROUNDDOWN($E925*設定!$C$4,0),ROUNDDOWN($E925*ROUND((9*$AA925-9*$E925)/(10*$E925),4),0))))</f>
        <v/>
      </c>
      <c r="AD925" s="13" t="n"/>
      <c r="AE925" s="15">
        <f>IF($B925="","",IF($AD925&lt;&gt;"",$AD925,IF($AC925="","",IF($AC925&lt;=設定!$C$3,0,$AC925))))</f>
        <v/>
      </c>
      <c r="AF925" s="14">
        <f>IF($B925="","",IF(AND($AG925&lt;&gt;"",$AI925="",$AL925=""),"保留中",IF($AL925&lt;&gt;"",IF(N($AE925)&gt;0,"支給済","不支給"),IF($AE925="","要確認",IF($AE925=0,"不支給","未処理")))))</f>
        <v/>
      </c>
      <c r="AG925" s="12" t="n"/>
      <c r="AH925" s="11" t="n"/>
      <c r="AI925" s="11" t="n"/>
      <c r="AJ925" s="11" t="n"/>
      <c r="AK925" s="14">
        <f>IF(AND($AF925="保留中",$AH925&lt;&gt;""),TODAY()-$AH925,"")</f>
        <v/>
      </c>
      <c r="AL925" s="12" t="n"/>
      <c r="AM925" s="14">
        <f>IF($B925="","",IF($AQ925="","対象年月が未入力／","")&amp;IF($B925="","",IF($AP925="","職員マスタに未登録の職員番号／",IF($AA925="","標準報酬月額が未登録／","")&amp;IF(AND($AQ925&lt;&gt;"",OR(AND(INDEX(職員マスタ!$G$6:$G$405,$AP925)&lt;&gt;"",INDEX(職員マスタ!$G$6:$G$405,$AP925)&gt;EOMONTH($AQ925,0)),AND(INDEX(職員マスタ!$H$6:$H$405,$AP925)&lt;&gt;"",INDEX(職員マスタ!$H$6:$H$405,$AP925)&lt;$AQ925))),"対象月が時短期間外／","")&amp;IF(AND(INDEX(職員マスタ!$K$6:$K$405,$AP925)&lt;&gt;"",N($W925)&gt;0,INDEX(職員マスタ!$K$6:$K$405,$AP925)&lt;&gt;$W925),"標準報酬月額が申請書と相違（台帳"&amp;TEXT(INDEX(職員マスタ!$K$6:$K$405,$AP925),"#,##0")&amp;"円／申請書"&amp;TEXT($W925,"#,##0")&amp;"円）／","")&amp;IF(AND(INDEX(職員マスタ!$F$6:$F$405,$AP925)&lt;&gt;"",$AQ925&lt;&gt;"",INDEX(職員マスタ!$F$6:$F$405,$AP925)&lt;$AQ925),"対象月に子が2歳到達済／","")&amp;IF(AND($H925&lt;&gt;"",INDEX(職員マスタ!$B$6:$B$405,$AP925)&lt;&gt;"",SUBSTITUTE(SUBSTITUTE($H925," ","")," ","")&lt;&gt;SUBSTITUTE(SUBSTITUTE(INDEX(職員マスタ!$B$6:$B$405,$AP925)," ","")," ","")),"氏名がマスタと相違／","")&amp;IF(AND($Q925&lt;&gt;"",INDEX(職員マスタ!$E$6:$E$405,$AP925)&lt;&gt;"",$Q925&lt;&gt;INDEX(職員マスタ!$E$6:$E$405,$AP925)),"子の生年月日がマスタと相違／","")&amp;IF(AND($L925&lt;&gt;"",INDEX(職員マスタ!$G$6:$G$405,$AP925)&lt;&gt;"",$L925&lt;&gt;INDEX(職員マスタ!$G$6:$G$405,$AP925)),"時短開始日がマスタと相違／","")&amp;IF(AND($M925&lt;&gt;"",INDEX(職員マスタ!$H$6:$H$405,$AP925)&lt;&gt;"",$M925&lt;&gt;INDEX(職員マスタ!$H$6:$H$405,$AP925)),"時短終了日がマスタと相違／","")))&amp;IF(AND($B925&lt;&gt;"",$E925=""),"報酬額が未入力／","")&amp;IF(N($U925)&gt;0,"申請書に入力エラーが残っています／","")&amp;IF(AND($B925&lt;&gt;"",$AQ925&lt;&gt;""),IF(COUNTIFS($B$6:$B$3005,$B925,$C$6:$C$3005,$C925,$D$6:$D$3005,$D925)&gt;1,"同じ月の請求が重複しています／",""),"")&amp;IF(AND(N($E925)&gt;0,$AB925&lt;&gt;"",$AB925&lt;&gt;"×",$AE925=0,$AD925=""),"計算額が下限以下のため不支給／",""))</f>
        <v/>
      </c>
      <c r="AN925" s="12" t="n"/>
      <c r="AO925" s="14">
        <f>IF($AF925="保留中",COUNTIF($AF$6:$AF925,"保留中"),"")</f>
        <v/>
      </c>
      <c r="AP925" s="14">
        <f>IF($AQ925="","",IF(SUMPRODUCT(MAX((職員マスタ!$A$6:$A$405=$B925)*(((職員マスタ!$G$6:$G$405="")+(職員マスタ!$G$6:$G$405&lt;=EOMONTH($AQ925,0)))&gt;0)*(((職員マスタ!$H$6:$H$405="")+(職員マスタ!$H$6:$H$405&gt;=$AQ925))&gt;0)*(ROW(職員マスタ!$A$6:$A$405)-5)))&gt;0,SUMPRODUCT(MAX((職員マスタ!$A$6:$A$405=$B925)*(((職員マスタ!$G$6:$G$405="")+(職員マスタ!$G$6:$G$405&lt;=EOMONTH($AQ925,0)))&gt;0)*(((職員マスタ!$H$6:$H$405="")+(職員マスタ!$H$6:$H$405&gt;=$AQ925))&gt;0)*(ROW(職員マスタ!$A$6:$A$405)-5))),IFERROR(MATCH($B925,職員マスタ!$A$6:$A$405,0),"")))</f>
        <v/>
      </c>
      <c r="AQ925" s="16">
        <f>IF(OR($B925="",$C925="",$D925=""),"",DATE($C925+2018,$D925,1))</f>
        <v/>
      </c>
    </row>
    <row r="926">
      <c r="A926" s="11" t="n"/>
      <c r="B926" s="12" t="n"/>
      <c r="C926" s="12" t="n"/>
      <c r="D926" s="12" t="n"/>
      <c r="E926" s="13" t="n"/>
      <c r="F926" s="12" t="n"/>
      <c r="G926" s="13" t="n"/>
      <c r="H926" s="12" t="n"/>
      <c r="I926" s="12" t="n"/>
      <c r="J926" s="12" t="n"/>
      <c r="K926" s="12" t="n"/>
      <c r="L926" s="11" t="n"/>
      <c r="M926" s="11" t="n"/>
      <c r="N926" s="11" t="n"/>
      <c r="O926" s="11" t="n"/>
      <c r="P926" s="12" t="n"/>
      <c r="Q926" s="11" t="n"/>
      <c r="R926" s="12" t="n"/>
      <c r="S926" s="11" t="n"/>
      <c r="T926" s="12" t="n"/>
      <c r="U926" s="12" t="n"/>
      <c r="V926" s="12" t="n"/>
      <c r="W926" s="13" t="n"/>
      <c r="X926" s="14">
        <f>IF($AP926="",IF($B926="","",$H926),IF(INDEX(職員マスタ!$B$6:$B$405,$AP926)="",$H926,INDEX(職員マスタ!$B$6:$B$405,$AP926)))</f>
        <v/>
      </c>
      <c r="Y926" s="14">
        <f>IF($AP926="",IF($B926="","",$R926),IF(INDEX(職員マスタ!$C$6:$C$405,$AP926)="",$R926,INDEX(職員マスタ!$C$6:$C$405,$AP926)))</f>
        <v/>
      </c>
      <c r="Z926" s="14">
        <f>IF($AQ926="","","R"&amp;$C926&amp;"."&amp;$D926)</f>
        <v/>
      </c>
      <c r="AA926" s="15">
        <f>IF(IF($AP926="",FALSE,INDEX(職員マスタ!$K$6:$K$405,$AP926)&lt;&gt;""),INDEX(職員マスタ!$K$6:$K$405,$AP926),IF(N($W926)&gt;0,$W926,""))</f>
        <v/>
      </c>
      <c r="AB926" s="14">
        <f>IF(OR($E926="",$AA926=""),"",IF($E926&gt;=$AA926,"×",IF($E926&gt;=$AA926*設定!$C$5,"△","○")))</f>
        <v/>
      </c>
      <c r="AC926" s="15">
        <f>IF($AB926="","",IF($AB926="×",0,IF($AB926="○",ROUNDDOWN($E926*設定!$C$4,0),ROUNDDOWN($E926*ROUND((9*$AA926-9*$E926)/(10*$E926),4),0))))</f>
        <v/>
      </c>
      <c r="AD926" s="13" t="n"/>
      <c r="AE926" s="15">
        <f>IF($B926="","",IF($AD926&lt;&gt;"",$AD926,IF($AC926="","",IF($AC926&lt;=設定!$C$3,0,$AC926))))</f>
        <v/>
      </c>
      <c r="AF926" s="14">
        <f>IF($B926="","",IF(AND($AG926&lt;&gt;"",$AI926="",$AL926=""),"保留中",IF($AL926&lt;&gt;"",IF(N($AE926)&gt;0,"支給済","不支給"),IF($AE926="","要確認",IF($AE926=0,"不支給","未処理")))))</f>
        <v/>
      </c>
      <c r="AG926" s="12" t="n"/>
      <c r="AH926" s="11" t="n"/>
      <c r="AI926" s="11" t="n"/>
      <c r="AJ926" s="11" t="n"/>
      <c r="AK926" s="14">
        <f>IF(AND($AF926="保留中",$AH926&lt;&gt;""),TODAY()-$AH926,"")</f>
        <v/>
      </c>
      <c r="AL926" s="12" t="n"/>
      <c r="AM926" s="14">
        <f>IF($B926="","",IF($AQ926="","対象年月が未入力／","")&amp;IF($B926="","",IF($AP926="","職員マスタに未登録の職員番号／",IF($AA926="","標準報酬月額が未登録／","")&amp;IF(AND($AQ926&lt;&gt;"",OR(AND(INDEX(職員マスタ!$G$6:$G$405,$AP926)&lt;&gt;"",INDEX(職員マスタ!$G$6:$G$405,$AP926)&gt;EOMONTH($AQ926,0)),AND(INDEX(職員マスタ!$H$6:$H$405,$AP926)&lt;&gt;"",INDEX(職員マスタ!$H$6:$H$405,$AP926)&lt;$AQ926))),"対象月が時短期間外／","")&amp;IF(AND(INDEX(職員マスタ!$K$6:$K$405,$AP926)&lt;&gt;"",N($W926)&gt;0,INDEX(職員マスタ!$K$6:$K$405,$AP926)&lt;&gt;$W926),"標準報酬月額が申請書と相違（台帳"&amp;TEXT(INDEX(職員マスタ!$K$6:$K$405,$AP926),"#,##0")&amp;"円／申請書"&amp;TEXT($W926,"#,##0")&amp;"円）／","")&amp;IF(AND(INDEX(職員マスタ!$F$6:$F$405,$AP926)&lt;&gt;"",$AQ926&lt;&gt;"",INDEX(職員マスタ!$F$6:$F$405,$AP926)&lt;$AQ926),"対象月に子が2歳到達済／","")&amp;IF(AND($H926&lt;&gt;"",INDEX(職員マスタ!$B$6:$B$405,$AP926)&lt;&gt;"",SUBSTITUTE(SUBSTITUTE($H926," ","")," ","")&lt;&gt;SUBSTITUTE(SUBSTITUTE(INDEX(職員マスタ!$B$6:$B$405,$AP926)," ","")," ","")),"氏名がマスタと相違／","")&amp;IF(AND($Q926&lt;&gt;"",INDEX(職員マスタ!$E$6:$E$405,$AP926)&lt;&gt;"",$Q926&lt;&gt;INDEX(職員マスタ!$E$6:$E$405,$AP926)),"子の生年月日がマスタと相違／","")&amp;IF(AND($L926&lt;&gt;"",INDEX(職員マスタ!$G$6:$G$405,$AP926)&lt;&gt;"",$L926&lt;&gt;INDEX(職員マスタ!$G$6:$G$405,$AP926)),"時短開始日がマスタと相違／","")&amp;IF(AND($M926&lt;&gt;"",INDEX(職員マスタ!$H$6:$H$405,$AP926)&lt;&gt;"",$M926&lt;&gt;INDEX(職員マスタ!$H$6:$H$405,$AP926)),"時短終了日がマスタと相違／","")))&amp;IF(AND($B926&lt;&gt;"",$E926=""),"報酬額が未入力／","")&amp;IF(N($U926)&gt;0,"申請書に入力エラーが残っています／","")&amp;IF(AND($B926&lt;&gt;"",$AQ926&lt;&gt;""),IF(COUNTIFS($B$6:$B$3005,$B926,$C$6:$C$3005,$C926,$D$6:$D$3005,$D926)&gt;1,"同じ月の請求が重複しています／",""),"")&amp;IF(AND(N($E926)&gt;0,$AB926&lt;&gt;"",$AB926&lt;&gt;"×",$AE926=0,$AD926=""),"計算額が下限以下のため不支給／",""))</f>
        <v/>
      </c>
      <c r="AN926" s="12" t="n"/>
      <c r="AO926" s="14">
        <f>IF($AF926="保留中",COUNTIF($AF$6:$AF926,"保留中"),"")</f>
        <v/>
      </c>
      <c r="AP926" s="14">
        <f>IF($AQ926="","",IF(SUMPRODUCT(MAX((職員マスタ!$A$6:$A$405=$B926)*(((職員マスタ!$G$6:$G$405="")+(職員マスタ!$G$6:$G$405&lt;=EOMONTH($AQ926,0)))&gt;0)*(((職員マスタ!$H$6:$H$405="")+(職員マスタ!$H$6:$H$405&gt;=$AQ926))&gt;0)*(ROW(職員マスタ!$A$6:$A$405)-5)))&gt;0,SUMPRODUCT(MAX((職員マスタ!$A$6:$A$405=$B926)*(((職員マスタ!$G$6:$G$405="")+(職員マスタ!$G$6:$G$405&lt;=EOMONTH($AQ926,0)))&gt;0)*(((職員マスタ!$H$6:$H$405="")+(職員マスタ!$H$6:$H$405&gt;=$AQ926))&gt;0)*(ROW(職員マスタ!$A$6:$A$405)-5))),IFERROR(MATCH($B926,職員マスタ!$A$6:$A$405,0),"")))</f>
        <v/>
      </c>
      <c r="AQ926" s="16">
        <f>IF(OR($B926="",$C926="",$D926=""),"",DATE($C926+2018,$D926,1))</f>
        <v/>
      </c>
    </row>
    <row r="927">
      <c r="A927" s="11" t="n"/>
      <c r="B927" s="12" t="n"/>
      <c r="C927" s="12" t="n"/>
      <c r="D927" s="12" t="n"/>
      <c r="E927" s="13" t="n"/>
      <c r="F927" s="12" t="n"/>
      <c r="G927" s="13" t="n"/>
      <c r="H927" s="12" t="n"/>
      <c r="I927" s="12" t="n"/>
      <c r="J927" s="12" t="n"/>
      <c r="K927" s="12" t="n"/>
      <c r="L927" s="11" t="n"/>
      <c r="M927" s="11" t="n"/>
      <c r="N927" s="11" t="n"/>
      <c r="O927" s="11" t="n"/>
      <c r="P927" s="12" t="n"/>
      <c r="Q927" s="11" t="n"/>
      <c r="R927" s="12" t="n"/>
      <c r="S927" s="11" t="n"/>
      <c r="T927" s="12" t="n"/>
      <c r="U927" s="12" t="n"/>
      <c r="V927" s="12" t="n"/>
      <c r="W927" s="13" t="n"/>
      <c r="X927" s="14">
        <f>IF($AP927="",IF($B927="","",$H927),IF(INDEX(職員マスタ!$B$6:$B$405,$AP927)="",$H927,INDEX(職員マスタ!$B$6:$B$405,$AP927)))</f>
        <v/>
      </c>
      <c r="Y927" s="14">
        <f>IF($AP927="",IF($B927="","",$R927),IF(INDEX(職員マスタ!$C$6:$C$405,$AP927)="",$R927,INDEX(職員マスタ!$C$6:$C$405,$AP927)))</f>
        <v/>
      </c>
      <c r="Z927" s="14">
        <f>IF($AQ927="","","R"&amp;$C927&amp;"."&amp;$D927)</f>
        <v/>
      </c>
      <c r="AA927" s="15">
        <f>IF(IF($AP927="",FALSE,INDEX(職員マスタ!$K$6:$K$405,$AP927)&lt;&gt;""),INDEX(職員マスタ!$K$6:$K$405,$AP927),IF(N($W927)&gt;0,$W927,""))</f>
        <v/>
      </c>
      <c r="AB927" s="14">
        <f>IF(OR($E927="",$AA927=""),"",IF($E927&gt;=$AA927,"×",IF($E927&gt;=$AA927*設定!$C$5,"△","○")))</f>
        <v/>
      </c>
      <c r="AC927" s="15">
        <f>IF($AB927="","",IF($AB927="×",0,IF($AB927="○",ROUNDDOWN($E927*設定!$C$4,0),ROUNDDOWN($E927*ROUND((9*$AA927-9*$E927)/(10*$E927),4),0))))</f>
        <v/>
      </c>
      <c r="AD927" s="13" t="n"/>
      <c r="AE927" s="15">
        <f>IF($B927="","",IF($AD927&lt;&gt;"",$AD927,IF($AC927="","",IF($AC927&lt;=設定!$C$3,0,$AC927))))</f>
        <v/>
      </c>
      <c r="AF927" s="14">
        <f>IF($B927="","",IF(AND($AG927&lt;&gt;"",$AI927="",$AL927=""),"保留中",IF($AL927&lt;&gt;"",IF(N($AE927)&gt;0,"支給済","不支給"),IF($AE927="","要確認",IF($AE927=0,"不支給","未処理")))))</f>
        <v/>
      </c>
      <c r="AG927" s="12" t="n"/>
      <c r="AH927" s="11" t="n"/>
      <c r="AI927" s="11" t="n"/>
      <c r="AJ927" s="11" t="n"/>
      <c r="AK927" s="14">
        <f>IF(AND($AF927="保留中",$AH927&lt;&gt;""),TODAY()-$AH927,"")</f>
        <v/>
      </c>
      <c r="AL927" s="12" t="n"/>
      <c r="AM927" s="14">
        <f>IF($B927="","",IF($AQ927="","対象年月が未入力／","")&amp;IF($B927="","",IF($AP927="","職員マスタに未登録の職員番号／",IF($AA927="","標準報酬月額が未登録／","")&amp;IF(AND($AQ927&lt;&gt;"",OR(AND(INDEX(職員マスタ!$G$6:$G$405,$AP927)&lt;&gt;"",INDEX(職員マスタ!$G$6:$G$405,$AP927)&gt;EOMONTH($AQ927,0)),AND(INDEX(職員マスタ!$H$6:$H$405,$AP927)&lt;&gt;"",INDEX(職員マスタ!$H$6:$H$405,$AP927)&lt;$AQ927))),"対象月が時短期間外／","")&amp;IF(AND(INDEX(職員マスタ!$K$6:$K$405,$AP927)&lt;&gt;"",N($W927)&gt;0,INDEX(職員マスタ!$K$6:$K$405,$AP927)&lt;&gt;$W927),"標準報酬月額が申請書と相違（台帳"&amp;TEXT(INDEX(職員マスタ!$K$6:$K$405,$AP927),"#,##0")&amp;"円／申請書"&amp;TEXT($W927,"#,##0")&amp;"円）／","")&amp;IF(AND(INDEX(職員マスタ!$F$6:$F$405,$AP927)&lt;&gt;"",$AQ927&lt;&gt;"",INDEX(職員マスタ!$F$6:$F$405,$AP927)&lt;$AQ927),"対象月に子が2歳到達済／","")&amp;IF(AND($H927&lt;&gt;"",INDEX(職員マスタ!$B$6:$B$405,$AP927)&lt;&gt;"",SUBSTITUTE(SUBSTITUTE($H927," ","")," ","")&lt;&gt;SUBSTITUTE(SUBSTITUTE(INDEX(職員マスタ!$B$6:$B$405,$AP927)," ","")," ","")),"氏名がマスタと相違／","")&amp;IF(AND($Q927&lt;&gt;"",INDEX(職員マスタ!$E$6:$E$405,$AP927)&lt;&gt;"",$Q927&lt;&gt;INDEX(職員マスタ!$E$6:$E$405,$AP927)),"子の生年月日がマスタと相違／","")&amp;IF(AND($L927&lt;&gt;"",INDEX(職員マスタ!$G$6:$G$405,$AP927)&lt;&gt;"",$L927&lt;&gt;INDEX(職員マスタ!$G$6:$G$405,$AP927)),"時短開始日がマスタと相違／","")&amp;IF(AND($M927&lt;&gt;"",INDEX(職員マスタ!$H$6:$H$405,$AP927)&lt;&gt;"",$M927&lt;&gt;INDEX(職員マスタ!$H$6:$H$405,$AP927)),"時短終了日がマスタと相違／","")))&amp;IF(AND($B927&lt;&gt;"",$E927=""),"報酬額が未入力／","")&amp;IF(N($U927)&gt;0,"申請書に入力エラーが残っています／","")&amp;IF(AND($B927&lt;&gt;"",$AQ927&lt;&gt;""),IF(COUNTIFS($B$6:$B$3005,$B927,$C$6:$C$3005,$C927,$D$6:$D$3005,$D927)&gt;1,"同じ月の請求が重複しています／",""),"")&amp;IF(AND(N($E927)&gt;0,$AB927&lt;&gt;"",$AB927&lt;&gt;"×",$AE927=0,$AD927=""),"計算額が下限以下のため不支給／",""))</f>
        <v/>
      </c>
      <c r="AN927" s="12" t="n"/>
      <c r="AO927" s="14">
        <f>IF($AF927="保留中",COUNTIF($AF$6:$AF927,"保留中"),"")</f>
        <v/>
      </c>
      <c r="AP927" s="14">
        <f>IF($AQ927="","",IF(SUMPRODUCT(MAX((職員マスタ!$A$6:$A$405=$B927)*(((職員マスタ!$G$6:$G$405="")+(職員マスタ!$G$6:$G$405&lt;=EOMONTH($AQ927,0)))&gt;0)*(((職員マスタ!$H$6:$H$405="")+(職員マスタ!$H$6:$H$405&gt;=$AQ927))&gt;0)*(ROW(職員マスタ!$A$6:$A$405)-5)))&gt;0,SUMPRODUCT(MAX((職員マスタ!$A$6:$A$405=$B927)*(((職員マスタ!$G$6:$G$405="")+(職員マスタ!$G$6:$G$405&lt;=EOMONTH($AQ927,0)))&gt;0)*(((職員マスタ!$H$6:$H$405="")+(職員マスタ!$H$6:$H$405&gt;=$AQ927))&gt;0)*(ROW(職員マスタ!$A$6:$A$405)-5))),IFERROR(MATCH($B927,職員マスタ!$A$6:$A$405,0),"")))</f>
        <v/>
      </c>
      <c r="AQ927" s="16">
        <f>IF(OR($B927="",$C927="",$D927=""),"",DATE($C927+2018,$D927,1))</f>
        <v/>
      </c>
    </row>
    <row r="928">
      <c r="A928" s="11" t="n"/>
      <c r="B928" s="12" t="n"/>
      <c r="C928" s="12" t="n"/>
      <c r="D928" s="12" t="n"/>
      <c r="E928" s="13" t="n"/>
      <c r="F928" s="12" t="n"/>
      <c r="G928" s="13" t="n"/>
      <c r="H928" s="12" t="n"/>
      <c r="I928" s="12" t="n"/>
      <c r="J928" s="12" t="n"/>
      <c r="K928" s="12" t="n"/>
      <c r="L928" s="11" t="n"/>
      <c r="M928" s="11" t="n"/>
      <c r="N928" s="11" t="n"/>
      <c r="O928" s="11" t="n"/>
      <c r="P928" s="12" t="n"/>
      <c r="Q928" s="11" t="n"/>
      <c r="R928" s="12" t="n"/>
      <c r="S928" s="11" t="n"/>
      <c r="T928" s="12" t="n"/>
      <c r="U928" s="12" t="n"/>
      <c r="V928" s="12" t="n"/>
      <c r="W928" s="13" t="n"/>
      <c r="X928" s="14">
        <f>IF($AP928="",IF($B928="","",$H928),IF(INDEX(職員マスタ!$B$6:$B$405,$AP928)="",$H928,INDEX(職員マスタ!$B$6:$B$405,$AP928)))</f>
        <v/>
      </c>
      <c r="Y928" s="14">
        <f>IF($AP928="",IF($B928="","",$R928),IF(INDEX(職員マスタ!$C$6:$C$405,$AP928)="",$R928,INDEX(職員マスタ!$C$6:$C$405,$AP928)))</f>
        <v/>
      </c>
      <c r="Z928" s="14">
        <f>IF($AQ928="","","R"&amp;$C928&amp;"."&amp;$D928)</f>
        <v/>
      </c>
      <c r="AA928" s="15">
        <f>IF(IF($AP928="",FALSE,INDEX(職員マスタ!$K$6:$K$405,$AP928)&lt;&gt;""),INDEX(職員マスタ!$K$6:$K$405,$AP928),IF(N($W928)&gt;0,$W928,""))</f>
        <v/>
      </c>
      <c r="AB928" s="14">
        <f>IF(OR($E928="",$AA928=""),"",IF($E928&gt;=$AA928,"×",IF($E928&gt;=$AA928*設定!$C$5,"△","○")))</f>
        <v/>
      </c>
      <c r="AC928" s="15">
        <f>IF($AB928="","",IF($AB928="×",0,IF($AB928="○",ROUNDDOWN($E928*設定!$C$4,0),ROUNDDOWN($E928*ROUND((9*$AA928-9*$E928)/(10*$E928),4),0))))</f>
        <v/>
      </c>
      <c r="AD928" s="13" t="n"/>
      <c r="AE928" s="15">
        <f>IF($B928="","",IF($AD928&lt;&gt;"",$AD928,IF($AC928="","",IF($AC928&lt;=設定!$C$3,0,$AC928))))</f>
        <v/>
      </c>
      <c r="AF928" s="14">
        <f>IF($B928="","",IF(AND($AG928&lt;&gt;"",$AI928="",$AL928=""),"保留中",IF($AL928&lt;&gt;"",IF(N($AE928)&gt;0,"支給済","不支給"),IF($AE928="","要確認",IF($AE928=0,"不支給","未処理")))))</f>
        <v/>
      </c>
      <c r="AG928" s="12" t="n"/>
      <c r="AH928" s="11" t="n"/>
      <c r="AI928" s="11" t="n"/>
      <c r="AJ928" s="11" t="n"/>
      <c r="AK928" s="14">
        <f>IF(AND($AF928="保留中",$AH928&lt;&gt;""),TODAY()-$AH928,"")</f>
        <v/>
      </c>
      <c r="AL928" s="12" t="n"/>
      <c r="AM928" s="14">
        <f>IF($B928="","",IF($AQ928="","対象年月が未入力／","")&amp;IF($B928="","",IF($AP928="","職員マスタに未登録の職員番号／",IF($AA928="","標準報酬月額が未登録／","")&amp;IF(AND($AQ928&lt;&gt;"",OR(AND(INDEX(職員マスタ!$G$6:$G$405,$AP928)&lt;&gt;"",INDEX(職員マスタ!$G$6:$G$405,$AP928)&gt;EOMONTH($AQ928,0)),AND(INDEX(職員マスタ!$H$6:$H$405,$AP928)&lt;&gt;"",INDEX(職員マスタ!$H$6:$H$405,$AP928)&lt;$AQ928))),"対象月が時短期間外／","")&amp;IF(AND(INDEX(職員マスタ!$K$6:$K$405,$AP928)&lt;&gt;"",N($W928)&gt;0,INDEX(職員マスタ!$K$6:$K$405,$AP928)&lt;&gt;$W928),"標準報酬月額が申請書と相違（台帳"&amp;TEXT(INDEX(職員マスタ!$K$6:$K$405,$AP928),"#,##0")&amp;"円／申請書"&amp;TEXT($W928,"#,##0")&amp;"円）／","")&amp;IF(AND(INDEX(職員マスタ!$F$6:$F$405,$AP928)&lt;&gt;"",$AQ928&lt;&gt;"",INDEX(職員マスタ!$F$6:$F$405,$AP928)&lt;$AQ928),"対象月に子が2歳到達済／","")&amp;IF(AND($H928&lt;&gt;"",INDEX(職員マスタ!$B$6:$B$405,$AP928)&lt;&gt;"",SUBSTITUTE(SUBSTITUTE($H928," ","")," ","")&lt;&gt;SUBSTITUTE(SUBSTITUTE(INDEX(職員マスタ!$B$6:$B$405,$AP928)," ","")," ","")),"氏名がマスタと相違／","")&amp;IF(AND($Q928&lt;&gt;"",INDEX(職員マスタ!$E$6:$E$405,$AP928)&lt;&gt;"",$Q928&lt;&gt;INDEX(職員マスタ!$E$6:$E$405,$AP928)),"子の生年月日がマスタと相違／","")&amp;IF(AND($L928&lt;&gt;"",INDEX(職員マスタ!$G$6:$G$405,$AP928)&lt;&gt;"",$L928&lt;&gt;INDEX(職員マスタ!$G$6:$G$405,$AP928)),"時短開始日がマスタと相違／","")&amp;IF(AND($M928&lt;&gt;"",INDEX(職員マスタ!$H$6:$H$405,$AP928)&lt;&gt;"",$M928&lt;&gt;INDEX(職員マスタ!$H$6:$H$405,$AP928)),"時短終了日がマスタと相違／","")))&amp;IF(AND($B928&lt;&gt;"",$E928=""),"報酬額が未入力／","")&amp;IF(N($U928)&gt;0,"申請書に入力エラーが残っています／","")&amp;IF(AND($B928&lt;&gt;"",$AQ928&lt;&gt;""),IF(COUNTIFS($B$6:$B$3005,$B928,$C$6:$C$3005,$C928,$D$6:$D$3005,$D928)&gt;1,"同じ月の請求が重複しています／",""),"")&amp;IF(AND(N($E928)&gt;0,$AB928&lt;&gt;"",$AB928&lt;&gt;"×",$AE928=0,$AD928=""),"計算額が下限以下のため不支給／",""))</f>
        <v/>
      </c>
      <c r="AN928" s="12" t="n"/>
      <c r="AO928" s="14">
        <f>IF($AF928="保留中",COUNTIF($AF$6:$AF928,"保留中"),"")</f>
        <v/>
      </c>
      <c r="AP928" s="14">
        <f>IF($AQ928="","",IF(SUMPRODUCT(MAX((職員マスタ!$A$6:$A$405=$B928)*(((職員マスタ!$G$6:$G$405="")+(職員マスタ!$G$6:$G$405&lt;=EOMONTH($AQ928,0)))&gt;0)*(((職員マスタ!$H$6:$H$405="")+(職員マスタ!$H$6:$H$405&gt;=$AQ928))&gt;0)*(ROW(職員マスタ!$A$6:$A$405)-5)))&gt;0,SUMPRODUCT(MAX((職員マスタ!$A$6:$A$405=$B928)*(((職員マスタ!$G$6:$G$405="")+(職員マスタ!$G$6:$G$405&lt;=EOMONTH($AQ928,0)))&gt;0)*(((職員マスタ!$H$6:$H$405="")+(職員マスタ!$H$6:$H$405&gt;=$AQ928))&gt;0)*(ROW(職員マスタ!$A$6:$A$405)-5))),IFERROR(MATCH($B928,職員マスタ!$A$6:$A$405,0),"")))</f>
        <v/>
      </c>
      <c r="AQ928" s="16">
        <f>IF(OR($B928="",$C928="",$D928=""),"",DATE($C928+2018,$D928,1))</f>
        <v/>
      </c>
    </row>
    <row r="929">
      <c r="A929" s="11" t="n"/>
      <c r="B929" s="12" t="n"/>
      <c r="C929" s="12" t="n"/>
      <c r="D929" s="12" t="n"/>
      <c r="E929" s="13" t="n"/>
      <c r="F929" s="12" t="n"/>
      <c r="G929" s="13" t="n"/>
      <c r="H929" s="12" t="n"/>
      <c r="I929" s="12" t="n"/>
      <c r="J929" s="12" t="n"/>
      <c r="K929" s="12" t="n"/>
      <c r="L929" s="11" t="n"/>
      <c r="M929" s="11" t="n"/>
      <c r="N929" s="11" t="n"/>
      <c r="O929" s="11" t="n"/>
      <c r="P929" s="12" t="n"/>
      <c r="Q929" s="11" t="n"/>
      <c r="R929" s="12" t="n"/>
      <c r="S929" s="11" t="n"/>
      <c r="T929" s="12" t="n"/>
      <c r="U929" s="12" t="n"/>
      <c r="V929" s="12" t="n"/>
      <c r="W929" s="13" t="n"/>
      <c r="X929" s="14">
        <f>IF($AP929="",IF($B929="","",$H929),IF(INDEX(職員マスタ!$B$6:$B$405,$AP929)="",$H929,INDEX(職員マスタ!$B$6:$B$405,$AP929)))</f>
        <v/>
      </c>
      <c r="Y929" s="14">
        <f>IF($AP929="",IF($B929="","",$R929),IF(INDEX(職員マスタ!$C$6:$C$405,$AP929)="",$R929,INDEX(職員マスタ!$C$6:$C$405,$AP929)))</f>
        <v/>
      </c>
      <c r="Z929" s="14">
        <f>IF($AQ929="","","R"&amp;$C929&amp;"."&amp;$D929)</f>
        <v/>
      </c>
      <c r="AA929" s="15">
        <f>IF(IF($AP929="",FALSE,INDEX(職員マスタ!$K$6:$K$405,$AP929)&lt;&gt;""),INDEX(職員マスタ!$K$6:$K$405,$AP929),IF(N($W929)&gt;0,$W929,""))</f>
        <v/>
      </c>
      <c r="AB929" s="14">
        <f>IF(OR($E929="",$AA929=""),"",IF($E929&gt;=$AA929,"×",IF($E929&gt;=$AA929*設定!$C$5,"△","○")))</f>
        <v/>
      </c>
      <c r="AC929" s="15">
        <f>IF($AB929="","",IF($AB929="×",0,IF($AB929="○",ROUNDDOWN($E929*設定!$C$4,0),ROUNDDOWN($E929*ROUND((9*$AA929-9*$E929)/(10*$E929),4),0))))</f>
        <v/>
      </c>
      <c r="AD929" s="13" t="n"/>
      <c r="AE929" s="15">
        <f>IF($B929="","",IF($AD929&lt;&gt;"",$AD929,IF($AC929="","",IF($AC929&lt;=設定!$C$3,0,$AC929))))</f>
        <v/>
      </c>
      <c r="AF929" s="14">
        <f>IF($B929="","",IF(AND($AG929&lt;&gt;"",$AI929="",$AL929=""),"保留中",IF($AL929&lt;&gt;"",IF(N($AE929)&gt;0,"支給済","不支給"),IF($AE929="","要確認",IF($AE929=0,"不支給","未処理")))))</f>
        <v/>
      </c>
      <c r="AG929" s="12" t="n"/>
      <c r="AH929" s="11" t="n"/>
      <c r="AI929" s="11" t="n"/>
      <c r="AJ929" s="11" t="n"/>
      <c r="AK929" s="14">
        <f>IF(AND($AF929="保留中",$AH929&lt;&gt;""),TODAY()-$AH929,"")</f>
        <v/>
      </c>
      <c r="AL929" s="12" t="n"/>
      <c r="AM929" s="14">
        <f>IF($B929="","",IF($AQ929="","対象年月が未入力／","")&amp;IF($B929="","",IF($AP929="","職員マスタに未登録の職員番号／",IF($AA929="","標準報酬月額が未登録／","")&amp;IF(AND($AQ929&lt;&gt;"",OR(AND(INDEX(職員マスタ!$G$6:$G$405,$AP929)&lt;&gt;"",INDEX(職員マスタ!$G$6:$G$405,$AP929)&gt;EOMONTH($AQ929,0)),AND(INDEX(職員マスタ!$H$6:$H$405,$AP929)&lt;&gt;"",INDEX(職員マスタ!$H$6:$H$405,$AP929)&lt;$AQ929))),"対象月が時短期間外／","")&amp;IF(AND(INDEX(職員マスタ!$K$6:$K$405,$AP929)&lt;&gt;"",N($W929)&gt;0,INDEX(職員マスタ!$K$6:$K$405,$AP929)&lt;&gt;$W929),"標準報酬月額が申請書と相違（台帳"&amp;TEXT(INDEX(職員マスタ!$K$6:$K$405,$AP929),"#,##0")&amp;"円／申請書"&amp;TEXT($W929,"#,##0")&amp;"円）／","")&amp;IF(AND(INDEX(職員マスタ!$F$6:$F$405,$AP929)&lt;&gt;"",$AQ929&lt;&gt;"",INDEX(職員マスタ!$F$6:$F$405,$AP929)&lt;$AQ929),"対象月に子が2歳到達済／","")&amp;IF(AND($H929&lt;&gt;"",INDEX(職員マスタ!$B$6:$B$405,$AP929)&lt;&gt;"",SUBSTITUTE(SUBSTITUTE($H929," ","")," ","")&lt;&gt;SUBSTITUTE(SUBSTITUTE(INDEX(職員マスタ!$B$6:$B$405,$AP929)," ","")," ","")),"氏名がマスタと相違／","")&amp;IF(AND($Q929&lt;&gt;"",INDEX(職員マスタ!$E$6:$E$405,$AP929)&lt;&gt;"",$Q929&lt;&gt;INDEX(職員マスタ!$E$6:$E$405,$AP929)),"子の生年月日がマスタと相違／","")&amp;IF(AND($L929&lt;&gt;"",INDEX(職員マスタ!$G$6:$G$405,$AP929)&lt;&gt;"",$L929&lt;&gt;INDEX(職員マスタ!$G$6:$G$405,$AP929)),"時短開始日がマスタと相違／","")&amp;IF(AND($M929&lt;&gt;"",INDEX(職員マスタ!$H$6:$H$405,$AP929)&lt;&gt;"",$M929&lt;&gt;INDEX(職員マスタ!$H$6:$H$405,$AP929)),"時短終了日がマスタと相違／","")))&amp;IF(AND($B929&lt;&gt;"",$E929=""),"報酬額が未入力／","")&amp;IF(N($U929)&gt;0,"申請書に入力エラーが残っています／","")&amp;IF(AND($B929&lt;&gt;"",$AQ929&lt;&gt;""),IF(COUNTIFS($B$6:$B$3005,$B929,$C$6:$C$3005,$C929,$D$6:$D$3005,$D929)&gt;1,"同じ月の請求が重複しています／",""),"")&amp;IF(AND(N($E929)&gt;0,$AB929&lt;&gt;"",$AB929&lt;&gt;"×",$AE929=0,$AD929=""),"計算額が下限以下のため不支給／",""))</f>
        <v/>
      </c>
      <c r="AN929" s="12" t="n"/>
      <c r="AO929" s="14">
        <f>IF($AF929="保留中",COUNTIF($AF$6:$AF929,"保留中"),"")</f>
        <v/>
      </c>
      <c r="AP929" s="14">
        <f>IF($AQ929="","",IF(SUMPRODUCT(MAX((職員マスタ!$A$6:$A$405=$B929)*(((職員マスタ!$G$6:$G$405="")+(職員マスタ!$G$6:$G$405&lt;=EOMONTH($AQ929,0)))&gt;0)*(((職員マスタ!$H$6:$H$405="")+(職員マスタ!$H$6:$H$405&gt;=$AQ929))&gt;0)*(ROW(職員マスタ!$A$6:$A$405)-5)))&gt;0,SUMPRODUCT(MAX((職員マスタ!$A$6:$A$405=$B929)*(((職員マスタ!$G$6:$G$405="")+(職員マスタ!$G$6:$G$405&lt;=EOMONTH($AQ929,0)))&gt;0)*(((職員マスタ!$H$6:$H$405="")+(職員マスタ!$H$6:$H$405&gt;=$AQ929))&gt;0)*(ROW(職員マスタ!$A$6:$A$405)-5))),IFERROR(MATCH($B929,職員マスタ!$A$6:$A$405,0),"")))</f>
        <v/>
      </c>
      <c r="AQ929" s="16">
        <f>IF(OR($B929="",$C929="",$D929=""),"",DATE($C929+2018,$D929,1))</f>
        <v/>
      </c>
    </row>
    <row r="930">
      <c r="A930" s="11" t="n"/>
      <c r="B930" s="12" t="n"/>
      <c r="C930" s="12" t="n"/>
      <c r="D930" s="12" t="n"/>
      <c r="E930" s="13" t="n"/>
      <c r="F930" s="12" t="n"/>
      <c r="G930" s="13" t="n"/>
      <c r="H930" s="12" t="n"/>
      <c r="I930" s="12" t="n"/>
      <c r="J930" s="12" t="n"/>
      <c r="K930" s="12" t="n"/>
      <c r="L930" s="11" t="n"/>
      <c r="M930" s="11" t="n"/>
      <c r="N930" s="11" t="n"/>
      <c r="O930" s="11" t="n"/>
      <c r="P930" s="12" t="n"/>
      <c r="Q930" s="11" t="n"/>
      <c r="R930" s="12" t="n"/>
      <c r="S930" s="11" t="n"/>
      <c r="T930" s="12" t="n"/>
      <c r="U930" s="12" t="n"/>
      <c r="V930" s="12" t="n"/>
      <c r="W930" s="13" t="n"/>
      <c r="X930" s="14">
        <f>IF($AP930="",IF($B930="","",$H930),IF(INDEX(職員マスタ!$B$6:$B$405,$AP930)="",$H930,INDEX(職員マスタ!$B$6:$B$405,$AP930)))</f>
        <v/>
      </c>
      <c r="Y930" s="14">
        <f>IF($AP930="",IF($B930="","",$R930),IF(INDEX(職員マスタ!$C$6:$C$405,$AP930)="",$R930,INDEX(職員マスタ!$C$6:$C$405,$AP930)))</f>
        <v/>
      </c>
      <c r="Z930" s="14">
        <f>IF($AQ930="","","R"&amp;$C930&amp;"."&amp;$D930)</f>
        <v/>
      </c>
      <c r="AA930" s="15">
        <f>IF(IF($AP930="",FALSE,INDEX(職員マスタ!$K$6:$K$405,$AP930)&lt;&gt;""),INDEX(職員マスタ!$K$6:$K$405,$AP930),IF(N($W930)&gt;0,$W930,""))</f>
        <v/>
      </c>
      <c r="AB930" s="14">
        <f>IF(OR($E930="",$AA930=""),"",IF($E930&gt;=$AA930,"×",IF($E930&gt;=$AA930*設定!$C$5,"△","○")))</f>
        <v/>
      </c>
      <c r="AC930" s="15">
        <f>IF($AB930="","",IF($AB930="×",0,IF($AB930="○",ROUNDDOWN($E930*設定!$C$4,0),ROUNDDOWN($E930*ROUND((9*$AA930-9*$E930)/(10*$E930),4),0))))</f>
        <v/>
      </c>
      <c r="AD930" s="13" t="n"/>
      <c r="AE930" s="15">
        <f>IF($B930="","",IF($AD930&lt;&gt;"",$AD930,IF($AC930="","",IF($AC930&lt;=設定!$C$3,0,$AC930))))</f>
        <v/>
      </c>
      <c r="AF930" s="14">
        <f>IF($B930="","",IF(AND($AG930&lt;&gt;"",$AI930="",$AL930=""),"保留中",IF($AL930&lt;&gt;"",IF(N($AE930)&gt;0,"支給済","不支給"),IF($AE930="","要確認",IF($AE930=0,"不支給","未処理")))))</f>
        <v/>
      </c>
      <c r="AG930" s="12" t="n"/>
      <c r="AH930" s="11" t="n"/>
      <c r="AI930" s="11" t="n"/>
      <c r="AJ930" s="11" t="n"/>
      <c r="AK930" s="14">
        <f>IF(AND($AF930="保留中",$AH930&lt;&gt;""),TODAY()-$AH930,"")</f>
        <v/>
      </c>
      <c r="AL930" s="12" t="n"/>
      <c r="AM930" s="14">
        <f>IF($B930="","",IF($AQ930="","対象年月が未入力／","")&amp;IF($B930="","",IF($AP930="","職員マスタに未登録の職員番号／",IF($AA930="","標準報酬月額が未登録／","")&amp;IF(AND($AQ930&lt;&gt;"",OR(AND(INDEX(職員マスタ!$G$6:$G$405,$AP930)&lt;&gt;"",INDEX(職員マスタ!$G$6:$G$405,$AP930)&gt;EOMONTH($AQ930,0)),AND(INDEX(職員マスタ!$H$6:$H$405,$AP930)&lt;&gt;"",INDEX(職員マスタ!$H$6:$H$405,$AP930)&lt;$AQ930))),"対象月が時短期間外／","")&amp;IF(AND(INDEX(職員マスタ!$K$6:$K$405,$AP930)&lt;&gt;"",N($W930)&gt;0,INDEX(職員マスタ!$K$6:$K$405,$AP930)&lt;&gt;$W930),"標準報酬月額が申請書と相違（台帳"&amp;TEXT(INDEX(職員マスタ!$K$6:$K$405,$AP930),"#,##0")&amp;"円／申請書"&amp;TEXT($W930,"#,##0")&amp;"円）／","")&amp;IF(AND(INDEX(職員マスタ!$F$6:$F$405,$AP930)&lt;&gt;"",$AQ930&lt;&gt;"",INDEX(職員マスタ!$F$6:$F$405,$AP930)&lt;$AQ930),"対象月に子が2歳到達済／","")&amp;IF(AND($H930&lt;&gt;"",INDEX(職員マスタ!$B$6:$B$405,$AP930)&lt;&gt;"",SUBSTITUTE(SUBSTITUTE($H930," ","")," ","")&lt;&gt;SUBSTITUTE(SUBSTITUTE(INDEX(職員マスタ!$B$6:$B$405,$AP930)," ","")," ","")),"氏名がマスタと相違／","")&amp;IF(AND($Q930&lt;&gt;"",INDEX(職員マスタ!$E$6:$E$405,$AP930)&lt;&gt;"",$Q930&lt;&gt;INDEX(職員マスタ!$E$6:$E$405,$AP930)),"子の生年月日がマスタと相違／","")&amp;IF(AND($L930&lt;&gt;"",INDEX(職員マスタ!$G$6:$G$405,$AP930)&lt;&gt;"",$L930&lt;&gt;INDEX(職員マスタ!$G$6:$G$405,$AP930)),"時短開始日がマスタと相違／","")&amp;IF(AND($M930&lt;&gt;"",INDEX(職員マスタ!$H$6:$H$405,$AP930)&lt;&gt;"",$M930&lt;&gt;INDEX(職員マスタ!$H$6:$H$405,$AP930)),"時短終了日がマスタと相違／","")))&amp;IF(AND($B930&lt;&gt;"",$E930=""),"報酬額が未入力／","")&amp;IF(N($U930)&gt;0,"申請書に入力エラーが残っています／","")&amp;IF(AND($B930&lt;&gt;"",$AQ930&lt;&gt;""),IF(COUNTIFS($B$6:$B$3005,$B930,$C$6:$C$3005,$C930,$D$6:$D$3005,$D930)&gt;1,"同じ月の請求が重複しています／",""),"")&amp;IF(AND(N($E930)&gt;0,$AB930&lt;&gt;"",$AB930&lt;&gt;"×",$AE930=0,$AD930=""),"計算額が下限以下のため不支給／",""))</f>
        <v/>
      </c>
      <c r="AN930" s="12" t="n"/>
      <c r="AO930" s="14">
        <f>IF($AF930="保留中",COUNTIF($AF$6:$AF930,"保留中"),"")</f>
        <v/>
      </c>
      <c r="AP930" s="14">
        <f>IF($AQ930="","",IF(SUMPRODUCT(MAX((職員マスタ!$A$6:$A$405=$B930)*(((職員マスタ!$G$6:$G$405="")+(職員マスタ!$G$6:$G$405&lt;=EOMONTH($AQ930,0)))&gt;0)*(((職員マスタ!$H$6:$H$405="")+(職員マスタ!$H$6:$H$405&gt;=$AQ930))&gt;0)*(ROW(職員マスタ!$A$6:$A$405)-5)))&gt;0,SUMPRODUCT(MAX((職員マスタ!$A$6:$A$405=$B930)*(((職員マスタ!$G$6:$G$405="")+(職員マスタ!$G$6:$G$405&lt;=EOMONTH($AQ930,0)))&gt;0)*(((職員マスタ!$H$6:$H$405="")+(職員マスタ!$H$6:$H$405&gt;=$AQ930))&gt;0)*(ROW(職員マスタ!$A$6:$A$405)-5))),IFERROR(MATCH($B930,職員マスタ!$A$6:$A$405,0),"")))</f>
        <v/>
      </c>
      <c r="AQ930" s="16">
        <f>IF(OR($B930="",$C930="",$D930=""),"",DATE($C930+2018,$D930,1))</f>
        <v/>
      </c>
    </row>
    <row r="931">
      <c r="A931" s="11" t="n"/>
      <c r="B931" s="12" t="n"/>
      <c r="C931" s="12" t="n"/>
      <c r="D931" s="12" t="n"/>
      <c r="E931" s="13" t="n"/>
      <c r="F931" s="12" t="n"/>
      <c r="G931" s="13" t="n"/>
      <c r="H931" s="12" t="n"/>
      <c r="I931" s="12" t="n"/>
      <c r="J931" s="12" t="n"/>
      <c r="K931" s="12" t="n"/>
      <c r="L931" s="11" t="n"/>
      <c r="M931" s="11" t="n"/>
      <c r="N931" s="11" t="n"/>
      <c r="O931" s="11" t="n"/>
      <c r="P931" s="12" t="n"/>
      <c r="Q931" s="11" t="n"/>
      <c r="R931" s="12" t="n"/>
      <c r="S931" s="11" t="n"/>
      <c r="T931" s="12" t="n"/>
      <c r="U931" s="12" t="n"/>
      <c r="V931" s="12" t="n"/>
      <c r="W931" s="13" t="n"/>
      <c r="X931" s="14">
        <f>IF($AP931="",IF($B931="","",$H931),IF(INDEX(職員マスタ!$B$6:$B$405,$AP931)="",$H931,INDEX(職員マスタ!$B$6:$B$405,$AP931)))</f>
        <v/>
      </c>
      <c r="Y931" s="14">
        <f>IF($AP931="",IF($B931="","",$R931),IF(INDEX(職員マスタ!$C$6:$C$405,$AP931)="",$R931,INDEX(職員マスタ!$C$6:$C$405,$AP931)))</f>
        <v/>
      </c>
      <c r="Z931" s="14">
        <f>IF($AQ931="","","R"&amp;$C931&amp;"."&amp;$D931)</f>
        <v/>
      </c>
      <c r="AA931" s="15">
        <f>IF(IF($AP931="",FALSE,INDEX(職員マスタ!$K$6:$K$405,$AP931)&lt;&gt;""),INDEX(職員マスタ!$K$6:$K$405,$AP931),IF(N($W931)&gt;0,$W931,""))</f>
        <v/>
      </c>
      <c r="AB931" s="14">
        <f>IF(OR($E931="",$AA931=""),"",IF($E931&gt;=$AA931,"×",IF($E931&gt;=$AA931*設定!$C$5,"△","○")))</f>
        <v/>
      </c>
      <c r="AC931" s="15">
        <f>IF($AB931="","",IF($AB931="×",0,IF($AB931="○",ROUNDDOWN($E931*設定!$C$4,0),ROUNDDOWN($E931*ROUND((9*$AA931-9*$E931)/(10*$E931),4),0))))</f>
        <v/>
      </c>
      <c r="AD931" s="13" t="n"/>
      <c r="AE931" s="15">
        <f>IF($B931="","",IF($AD931&lt;&gt;"",$AD931,IF($AC931="","",IF($AC931&lt;=設定!$C$3,0,$AC931))))</f>
        <v/>
      </c>
      <c r="AF931" s="14">
        <f>IF($B931="","",IF(AND($AG931&lt;&gt;"",$AI931="",$AL931=""),"保留中",IF($AL931&lt;&gt;"",IF(N($AE931)&gt;0,"支給済","不支給"),IF($AE931="","要確認",IF($AE931=0,"不支給","未処理")))))</f>
        <v/>
      </c>
      <c r="AG931" s="12" t="n"/>
      <c r="AH931" s="11" t="n"/>
      <c r="AI931" s="11" t="n"/>
      <c r="AJ931" s="11" t="n"/>
      <c r="AK931" s="14">
        <f>IF(AND($AF931="保留中",$AH931&lt;&gt;""),TODAY()-$AH931,"")</f>
        <v/>
      </c>
      <c r="AL931" s="12" t="n"/>
      <c r="AM931" s="14">
        <f>IF($B931="","",IF($AQ931="","対象年月が未入力／","")&amp;IF($B931="","",IF($AP931="","職員マスタに未登録の職員番号／",IF($AA931="","標準報酬月額が未登録／","")&amp;IF(AND($AQ931&lt;&gt;"",OR(AND(INDEX(職員マスタ!$G$6:$G$405,$AP931)&lt;&gt;"",INDEX(職員マスタ!$G$6:$G$405,$AP931)&gt;EOMONTH($AQ931,0)),AND(INDEX(職員マスタ!$H$6:$H$405,$AP931)&lt;&gt;"",INDEX(職員マスタ!$H$6:$H$405,$AP931)&lt;$AQ931))),"対象月が時短期間外／","")&amp;IF(AND(INDEX(職員マスタ!$K$6:$K$405,$AP931)&lt;&gt;"",N($W931)&gt;0,INDEX(職員マスタ!$K$6:$K$405,$AP931)&lt;&gt;$W931),"標準報酬月額が申請書と相違（台帳"&amp;TEXT(INDEX(職員マスタ!$K$6:$K$405,$AP931),"#,##0")&amp;"円／申請書"&amp;TEXT($W931,"#,##0")&amp;"円）／","")&amp;IF(AND(INDEX(職員マスタ!$F$6:$F$405,$AP931)&lt;&gt;"",$AQ931&lt;&gt;"",INDEX(職員マスタ!$F$6:$F$405,$AP931)&lt;$AQ931),"対象月に子が2歳到達済／","")&amp;IF(AND($H931&lt;&gt;"",INDEX(職員マスタ!$B$6:$B$405,$AP931)&lt;&gt;"",SUBSTITUTE(SUBSTITUTE($H931," ","")," ","")&lt;&gt;SUBSTITUTE(SUBSTITUTE(INDEX(職員マスタ!$B$6:$B$405,$AP931)," ","")," ","")),"氏名がマスタと相違／","")&amp;IF(AND($Q931&lt;&gt;"",INDEX(職員マスタ!$E$6:$E$405,$AP931)&lt;&gt;"",$Q931&lt;&gt;INDEX(職員マスタ!$E$6:$E$405,$AP931)),"子の生年月日がマスタと相違／","")&amp;IF(AND($L931&lt;&gt;"",INDEX(職員マスタ!$G$6:$G$405,$AP931)&lt;&gt;"",$L931&lt;&gt;INDEX(職員マスタ!$G$6:$G$405,$AP931)),"時短開始日がマスタと相違／","")&amp;IF(AND($M931&lt;&gt;"",INDEX(職員マスタ!$H$6:$H$405,$AP931)&lt;&gt;"",$M931&lt;&gt;INDEX(職員マスタ!$H$6:$H$405,$AP931)),"時短終了日がマスタと相違／","")))&amp;IF(AND($B931&lt;&gt;"",$E931=""),"報酬額が未入力／","")&amp;IF(N($U931)&gt;0,"申請書に入力エラーが残っています／","")&amp;IF(AND($B931&lt;&gt;"",$AQ931&lt;&gt;""),IF(COUNTIFS($B$6:$B$3005,$B931,$C$6:$C$3005,$C931,$D$6:$D$3005,$D931)&gt;1,"同じ月の請求が重複しています／",""),"")&amp;IF(AND(N($E931)&gt;0,$AB931&lt;&gt;"",$AB931&lt;&gt;"×",$AE931=0,$AD931=""),"計算額が下限以下のため不支給／",""))</f>
        <v/>
      </c>
      <c r="AN931" s="12" t="n"/>
      <c r="AO931" s="14">
        <f>IF($AF931="保留中",COUNTIF($AF$6:$AF931,"保留中"),"")</f>
        <v/>
      </c>
      <c r="AP931" s="14">
        <f>IF($AQ931="","",IF(SUMPRODUCT(MAX((職員マスタ!$A$6:$A$405=$B931)*(((職員マスタ!$G$6:$G$405="")+(職員マスタ!$G$6:$G$405&lt;=EOMONTH($AQ931,0)))&gt;0)*(((職員マスタ!$H$6:$H$405="")+(職員マスタ!$H$6:$H$405&gt;=$AQ931))&gt;0)*(ROW(職員マスタ!$A$6:$A$405)-5)))&gt;0,SUMPRODUCT(MAX((職員マスタ!$A$6:$A$405=$B931)*(((職員マスタ!$G$6:$G$405="")+(職員マスタ!$G$6:$G$405&lt;=EOMONTH($AQ931,0)))&gt;0)*(((職員マスタ!$H$6:$H$405="")+(職員マスタ!$H$6:$H$405&gt;=$AQ931))&gt;0)*(ROW(職員マスタ!$A$6:$A$405)-5))),IFERROR(MATCH($B931,職員マスタ!$A$6:$A$405,0),"")))</f>
        <v/>
      </c>
      <c r="AQ931" s="16">
        <f>IF(OR($B931="",$C931="",$D931=""),"",DATE($C931+2018,$D931,1))</f>
        <v/>
      </c>
    </row>
    <row r="932">
      <c r="A932" s="11" t="n"/>
      <c r="B932" s="12" t="n"/>
      <c r="C932" s="12" t="n"/>
      <c r="D932" s="12" t="n"/>
      <c r="E932" s="13" t="n"/>
      <c r="F932" s="12" t="n"/>
      <c r="G932" s="13" t="n"/>
      <c r="H932" s="12" t="n"/>
      <c r="I932" s="12" t="n"/>
      <c r="J932" s="12" t="n"/>
      <c r="K932" s="12" t="n"/>
      <c r="L932" s="11" t="n"/>
      <c r="M932" s="11" t="n"/>
      <c r="N932" s="11" t="n"/>
      <c r="O932" s="11" t="n"/>
      <c r="P932" s="12" t="n"/>
      <c r="Q932" s="11" t="n"/>
      <c r="R932" s="12" t="n"/>
      <c r="S932" s="11" t="n"/>
      <c r="T932" s="12" t="n"/>
      <c r="U932" s="12" t="n"/>
      <c r="V932" s="12" t="n"/>
      <c r="W932" s="13" t="n"/>
      <c r="X932" s="14">
        <f>IF($AP932="",IF($B932="","",$H932),IF(INDEX(職員マスタ!$B$6:$B$405,$AP932)="",$H932,INDEX(職員マスタ!$B$6:$B$405,$AP932)))</f>
        <v/>
      </c>
      <c r="Y932" s="14">
        <f>IF($AP932="",IF($B932="","",$R932),IF(INDEX(職員マスタ!$C$6:$C$405,$AP932)="",$R932,INDEX(職員マスタ!$C$6:$C$405,$AP932)))</f>
        <v/>
      </c>
      <c r="Z932" s="14">
        <f>IF($AQ932="","","R"&amp;$C932&amp;"."&amp;$D932)</f>
        <v/>
      </c>
      <c r="AA932" s="15">
        <f>IF(IF($AP932="",FALSE,INDEX(職員マスタ!$K$6:$K$405,$AP932)&lt;&gt;""),INDEX(職員マスタ!$K$6:$K$405,$AP932),IF(N($W932)&gt;0,$W932,""))</f>
        <v/>
      </c>
      <c r="AB932" s="14">
        <f>IF(OR($E932="",$AA932=""),"",IF($E932&gt;=$AA932,"×",IF($E932&gt;=$AA932*設定!$C$5,"△","○")))</f>
        <v/>
      </c>
      <c r="AC932" s="15">
        <f>IF($AB932="","",IF($AB932="×",0,IF($AB932="○",ROUNDDOWN($E932*設定!$C$4,0),ROUNDDOWN($E932*ROUND((9*$AA932-9*$E932)/(10*$E932),4),0))))</f>
        <v/>
      </c>
      <c r="AD932" s="13" t="n"/>
      <c r="AE932" s="15">
        <f>IF($B932="","",IF($AD932&lt;&gt;"",$AD932,IF($AC932="","",IF($AC932&lt;=設定!$C$3,0,$AC932))))</f>
        <v/>
      </c>
      <c r="AF932" s="14">
        <f>IF($B932="","",IF(AND($AG932&lt;&gt;"",$AI932="",$AL932=""),"保留中",IF($AL932&lt;&gt;"",IF(N($AE932)&gt;0,"支給済","不支給"),IF($AE932="","要確認",IF($AE932=0,"不支給","未処理")))))</f>
        <v/>
      </c>
      <c r="AG932" s="12" t="n"/>
      <c r="AH932" s="11" t="n"/>
      <c r="AI932" s="11" t="n"/>
      <c r="AJ932" s="11" t="n"/>
      <c r="AK932" s="14">
        <f>IF(AND($AF932="保留中",$AH932&lt;&gt;""),TODAY()-$AH932,"")</f>
        <v/>
      </c>
      <c r="AL932" s="12" t="n"/>
      <c r="AM932" s="14">
        <f>IF($B932="","",IF($AQ932="","対象年月が未入力／","")&amp;IF($B932="","",IF($AP932="","職員マスタに未登録の職員番号／",IF($AA932="","標準報酬月額が未登録／","")&amp;IF(AND($AQ932&lt;&gt;"",OR(AND(INDEX(職員マスタ!$G$6:$G$405,$AP932)&lt;&gt;"",INDEX(職員マスタ!$G$6:$G$405,$AP932)&gt;EOMONTH($AQ932,0)),AND(INDEX(職員マスタ!$H$6:$H$405,$AP932)&lt;&gt;"",INDEX(職員マスタ!$H$6:$H$405,$AP932)&lt;$AQ932))),"対象月が時短期間外／","")&amp;IF(AND(INDEX(職員マスタ!$K$6:$K$405,$AP932)&lt;&gt;"",N($W932)&gt;0,INDEX(職員マスタ!$K$6:$K$405,$AP932)&lt;&gt;$W932),"標準報酬月額が申請書と相違（台帳"&amp;TEXT(INDEX(職員マスタ!$K$6:$K$405,$AP932),"#,##0")&amp;"円／申請書"&amp;TEXT($W932,"#,##0")&amp;"円）／","")&amp;IF(AND(INDEX(職員マスタ!$F$6:$F$405,$AP932)&lt;&gt;"",$AQ932&lt;&gt;"",INDEX(職員マスタ!$F$6:$F$405,$AP932)&lt;$AQ932),"対象月に子が2歳到達済／","")&amp;IF(AND($H932&lt;&gt;"",INDEX(職員マスタ!$B$6:$B$405,$AP932)&lt;&gt;"",SUBSTITUTE(SUBSTITUTE($H932," ","")," ","")&lt;&gt;SUBSTITUTE(SUBSTITUTE(INDEX(職員マスタ!$B$6:$B$405,$AP932)," ","")," ","")),"氏名がマスタと相違／","")&amp;IF(AND($Q932&lt;&gt;"",INDEX(職員マスタ!$E$6:$E$405,$AP932)&lt;&gt;"",$Q932&lt;&gt;INDEX(職員マスタ!$E$6:$E$405,$AP932)),"子の生年月日がマスタと相違／","")&amp;IF(AND($L932&lt;&gt;"",INDEX(職員マスタ!$G$6:$G$405,$AP932)&lt;&gt;"",$L932&lt;&gt;INDEX(職員マスタ!$G$6:$G$405,$AP932)),"時短開始日がマスタと相違／","")&amp;IF(AND($M932&lt;&gt;"",INDEX(職員マスタ!$H$6:$H$405,$AP932)&lt;&gt;"",$M932&lt;&gt;INDEX(職員マスタ!$H$6:$H$405,$AP932)),"時短終了日がマスタと相違／","")))&amp;IF(AND($B932&lt;&gt;"",$E932=""),"報酬額が未入力／","")&amp;IF(N($U932)&gt;0,"申請書に入力エラーが残っています／","")&amp;IF(AND($B932&lt;&gt;"",$AQ932&lt;&gt;""),IF(COUNTIFS($B$6:$B$3005,$B932,$C$6:$C$3005,$C932,$D$6:$D$3005,$D932)&gt;1,"同じ月の請求が重複しています／",""),"")&amp;IF(AND(N($E932)&gt;0,$AB932&lt;&gt;"",$AB932&lt;&gt;"×",$AE932=0,$AD932=""),"計算額が下限以下のため不支給／",""))</f>
        <v/>
      </c>
      <c r="AN932" s="12" t="n"/>
      <c r="AO932" s="14">
        <f>IF($AF932="保留中",COUNTIF($AF$6:$AF932,"保留中"),"")</f>
        <v/>
      </c>
      <c r="AP932" s="14">
        <f>IF($AQ932="","",IF(SUMPRODUCT(MAX((職員マスタ!$A$6:$A$405=$B932)*(((職員マスタ!$G$6:$G$405="")+(職員マスタ!$G$6:$G$405&lt;=EOMONTH($AQ932,0)))&gt;0)*(((職員マスタ!$H$6:$H$405="")+(職員マスタ!$H$6:$H$405&gt;=$AQ932))&gt;0)*(ROW(職員マスタ!$A$6:$A$405)-5)))&gt;0,SUMPRODUCT(MAX((職員マスタ!$A$6:$A$405=$B932)*(((職員マスタ!$G$6:$G$405="")+(職員マスタ!$G$6:$G$405&lt;=EOMONTH($AQ932,0)))&gt;0)*(((職員マスタ!$H$6:$H$405="")+(職員マスタ!$H$6:$H$405&gt;=$AQ932))&gt;0)*(ROW(職員マスタ!$A$6:$A$405)-5))),IFERROR(MATCH($B932,職員マスタ!$A$6:$A$405,0),"")))</f>
        <v/>
      </c>
      <c r="AQ932" s="16">
        <f>IF(OR($B932="",$C932="",$D932=""),"",DATE($C932+2018,$D932,1))</f>
        <v/>
      </c>
    </row>
    <row r="933">
      <c r="A933" s="11" t="n"/>
      <c r="B933" s="12" t="n"/>
      <c r="C933" s="12" t="n"/>
      <c r="D933" s="12" t="n"/>
      <c r="E933" s="13" t="n"/>
      <c r="F933" s="12" t="n"/>
      <c r="G933" s="13" t="n"/>
      <c r="H933" s="12" t="n"/>
      <c r="I933" s="12" t="n"/>
      <c r="J933" s="12" t="n"/>
      <c r="K933" s="12" t="n"/>
      <c r="L933" s="11" t="n"/>
      <c r="M933" s="11" t="n"/>
      <c r="N933" s="11" t="n"/>
      <c r="O933" s="11" t="n"/>
      <c r="P933" s="12" t="n"/>
      <c r="Q933" s="11" t="n"/>
      <c r="R933" s="12" t="n"/>
      <c r="S933" s="11" t="n"/>
      <c r="T933" s="12" t="n"/>
      <c r="U933" s="12" t="n"/>
      <c r="V933" s="12" t="n"/>
      <c r="W933" s="13" t="n"/>
      <c r="X933" s="14">
        <f>IF($AP933="",IF($B933="","",$H933),IF(INDEX(職員マスタ!$B$6:$B$405,$AP933)="",$H933,INDEX(職員マスタ!$B$6:$B$405,$AP933)))</f>
        <v/>
      </c>
      <c r="Y933" s="14">
        <f>IF($AP933="",IF($B933="","",$R933),IF(INDEX(職員マスタ!$C$6:$C$405,$AP933)="",$R933,INDEX(職員マスタ!$C$6:$C$405,$AP933)))</f>
        <v/>
      </c>
      <c r="Z933" s="14">
        <f>IF($AQ933="","","R"&amp;$C933&amp;"."&amp;$D933)</f>
        <v/>
      </c>
      <c r="AA933" s="15">
        <f>IF(IF($AP933="",FALSE,INDEX(職員マスタ!$K$6:$K$405,$AP933)&lt;&gt;""),INDEX(職員マスタ!$K$6:$K$405,$AP933),IF(N($W933)&gt;0,$W933,""))</f>
        <v/>
      </c>
      <c r="AB933" s="14">
        <f>IF(OR($E933="",$AA933=""),"",IF($E933&gt;=$AA933,"×",IF($E933&gt;=$AA933*設定!$C$5,"△","○")))</f>
        <v/>
      </c>
      <c r="AC933" s="15">
        <f>IF($AB933="","",IF($AB933="×",0,IF($AB933="○",ROUNDDOWN($E933*設定!$C$4,0),ROUNDDOWN($E933*ROUND((9*$AA933-9*$E933)/(10*$E933),4),0))))</f>
        <v/>
      </c>
      <c r="AD933" s="13" t="n"/>
      <c r="AE933" s="15">
        <f>IF($B933="","",IF($AD933&lt;&gt;"",$AD933,IF($AC933="","",IF($AC933&lt;=設定!$C$3,0,$AC933))))</f>
        <v/>
      </c>
      <c r="AF933" s="14">
        <f>IF($B933="","",IF(AND($AG933&lt;&gt;"",$AI933="",$AL933=""),"保留中",IF($AL933&lt;&gt;"",IF(N($AE933)&gt;0,"支給済","不支給"),IF($AE933="","要確認",IF($AE933=0,"不支給","未処理")))))</f>
        <v/>
      </c>
      <c r="AG933" s="12" t="n"/>
      <c r="AH933" s="11" t="n"/>
      <c r="AI933" s="11" t="n"/>
      <c r="AJ933" s="11" t="n"/>
      <c r="AK933" s="14">
        <f>IF(AND($AF933="保留中",$AH933&lt;&gt;""),TODAY()-$AH933,"")</f>
        <v/>
      </c>
      <c r="AL933" s="12" t="n"/>
      <c r="AM933" s="14">
        <f>IF($B933="","",IF($AQ933="","対象年月が未入力／","")&amp;IF($B933="","",IF($AP933="","職員マスタに未登録の職員番号／",IF($AA933="","標準報酬月額が未登録／","")&amp;IF(AND($AQ933&lt;&gt;"",OR(AND(INDEX(職員マスタ!$G$6:$G$405,$AP933)&lt;&gt;"",INDEX(職員マスタ!$G$6:$G$405,$AP933)&gt;EOMONTH($AQ933,0)),AND(INDEX(職員マスタ!$H$6:$H$405,$AP933)&lt;&gt;"",INDEX(職員マスタ!$H$6:$H$405,$AP933)&lt;$AQ933))),"対象月が時短期間外／","")&amp;IF(AND(INDEX(職員マスタ!$K$6:$K$405,$AP933)&lt;&gt;"",N($W933)&gt;0,INDEX(職員マスタ!$K$6:$K$405,$AP933)&lt;&gt;$W933),"標準報酬月額が申請書と相違（台帳"&amp;TEXT(INDEX(職員マスタ!$K$6:$K$405,$AP933),"#,##0")&amp;"円／申請書"&amp;TEXT($W933,"#,##0")&amp;"円）／","")&amp;IF(AND(INDEX(職員マスタ!$F$6:$F$405,$AP933)&lt;&gt;"",$AQ933&lt;&gt;"",INDEX(職員マスタ!$F$6:$F$405,$AP933)&lt;$AQ933),"対象月に子が2歳到達済／","")&amp;IF(AND($H933&lt;&gt;"",INDEX(職員マスタ!$B$6:$B$405,$AP933)&lt;&gt;"",SUBSTITUTE(SUBSTITUTE($H933," ","")," ","")&lt;&gt;SUBSTITUTE(SUBSTITUTE(INDEX(職員マスタ!$B$6:$B$405,$AP933)," ","")," ","")),"氏名がマスタと相違／","")&amp;IF(AND($Q933&lt;&gt;"",INDEX(職員マスタ!$E$6:$E$405,$AP933)&lt;&gt;"",$Q933&lt;&gt;INDEX(職員マスタ!$E$6:$E$405,$AP933)),"子の生年月日がマスタと相違／","")&amp;IF(AND($L933&lt;&gt;"",INDEX(職員マスタ!$G$6:$G$405,$AP933)&lt;&gt;"",$L933&lt;&gt;INDEX(職員マスタ!$G$6:$G$405,$AP933)),"時短開始日がマスタと相違／","")&amp;IF(AND($M933&lt;&gt;"",INDEX(職員マスタ!$H$6:$H$405,$AP933)&lt;&gt;"",$M933&lt;&gt;INDEX(職員マスタ!$H$6:$H$405,$AP933)),"時短終了日がマスタと相違／","")))&amp;IF(AND($B933&lt;&gt;"",$E933=""),"報酬額が未入力／","")&amp;IF(N($U933)&gt;0,"申請書に入力エラーが残っています／","")&amp;IF(AND($B933&lt;&gt;"",$AQ933&lt;&gt;""),IF(COUNTIFS($B$6:$B$3005,$B933,$C$6:$C$3005,$C933,$D$6:$D$3005,$D933)&gt;1,"同じ月の請求が重複しています／",""),"")&amp;IF(AND(N($E933)&gt;0,$AB933&lt;&gt;"",$AB933&lt;&gt;"×",$AE933=0,$AD933=""),"計算額が下限以下のため不支給／",""))</f>
        <v/>
      </c>
      <c r="AN933" s="12" t="n"/>
      <c r="AO933" s="14">
        <f>IF($AF933="保留中",COUNTIF($AF$6:$AF933,"保留中"),"")</f>
        <v/>
      </c>
      <c r="AP933" s="14">
        <f>IF($AQ933="","",IF(SUMPRODUCT(MAX((職員マスタ!$A$6:$A$405=$B933)*(((職員マスタ!$G$6:$G$405="")+(職員マスタ!$G$6:$G$405&lt;=EOMONTH($AQ933,0)))&gt;0)*(((職員マスタ!$H$6:$H$405="")+(職員マスタ!$H$6:$H$405&gt;=$AQ933))&gt;0)*(ROW(職員マスタ!$A$6:$A$405)-5)))&gt;0,SUMPRODUCT(MAX((職員マスタ!$A$6:$A$405=$B933)*(((職員マスタ!$G$6:$G$405="")+(職員マスタ!$G$6:$G$405&lt;=EOMONTH($AQ933,0)))&gt;0)*(((職員マスタ!$H$6:$H$405="")+(職員マスタ!$H$6:$H$405&gt;=$AQ933))&gt;0)*(ROW(職員マスタ!$A$6:$A$405)-5))),IFERROR(MATCH($B933,職員マスタ!$A$6:$A$405,0),"")))</f>
        <v/>
      </c>
      <c r="AQ933" s="16">
        <f>IF(OR($B933="",$C933="",$D933=""),"",DATE($C933+2018,$D933,1))</f>
        <v/>
      </c>
    </row>
    <row r="934">
      <c r="A934" s="11" t="n"/>
      <c r="B934" s="12" t="n"/>
      <c r="C934" s="12" t="n"/>
      <c r="D934" s="12" t="n"/>
      <c r="E934" s="13" t="n"/>
      <c r="F934" s="12" t="n"/>
      <c r="G934" s="13" t="n"/>
      <c r="H934" s="12" t="n"/>
      <c r="I934" s="12" t="n"/>
      <c r="J934" s="12" t="n"/>
      <c r="K934" s="12" t="n"/>
      <c r="L934" s="11" t="n"/>
      <c r="M934" s="11" t="n"/>
      <c r="N934" s="11" t="n"/>
      <c r="O934" s="11" t="n"/>
      <c r="P934" s="12" t="n"/>
      <c r="Q934" s="11" t="n"/>
      <c r="R934" s="12" t="n"/>
      <c r="S934" s="11" t="n"/>
      <c r="T934" s="12" t="n"/>
      <c r="U934" s="12" t="n"/>
      <c r="V934" s="12" t="n"/>
      <c r="W934" s="13" t="n"/>
      <c r="X934" s="14">
        <f>IF($AP934="",IF($B934="","",$H934),IF(INDEX(職員マスタ!$B$6:$B$405,$AP934)="",$H934,INDEX(職員マスタ!$B$6:$B$405,$AP934)))</f>
        <v/>
      </c>
      <c r="Y934" s="14">
        <f>IF($AP934="",IF($B934="","",$R934),IF(INDEX(職員マスタ!$C$6:$C$405,$AP934)="",$R934,INDEX(職員マスタ!$C$6:$C$405,$AP934)))</f>
        <v/>
      </c>
      <c r="Z934" s="14">
        <f>IF($AQ934="","","R"&amp;$C934&amp;"."&amp;$D934)</f>
        <v/>
      </c>
      <c r="AA934" s="15">
        <f>IF(IF($AP934="",FALSE,INDEX(職員マスタ!$K$6:$K$405,$AP934)&lt;&gt;""),INDEX(職員マスタ!$K$6:$K$405,$AP934),IF(N($W934)&gt;0,$W934,""))</f>
        <v/>
      </c>
      <c r="AB934" s="14">
        <f>IF(OR($E934="",$AA934=""),"",IF($E934&gt;=$AA934,"×",IF($E934&gt;=$AA934*設定!$C$5,"△","○")))</f>
        <v/>
      </c>
      <c r="AC934" s="15">
        <f>IF($AB934="","",IF($AB934="×",0,IF($AB934="○",ROUNDDOWN($E934*設定!$C$4,0),ROUNDDOWN($E934*ROUND((9*$AA934-9*$E934)/(10*$E934),4),0))))</f>
        <v/>
      </c>
      <c r="AD934" s="13" t="n"/>
      <c r="AE934" s="15">
        <f>IF($B934="","",IF($AD934&lt;&gt;"",$AD934,IF($AC934="","",IF($AC934&lt;=設定!$C$3,0,$AC934))))</f>
        <v/>
      </c>
      <c r="AF934" s="14">
        <f>IF($B934="","",IF(AND($AG934&lt;&gt;"",$AI934="",$AL934=""),"保留中",IF($AL934&lt;&gt;"",IF(N($AE934)&gt;0,"支給済","不支給"),IF($AE934="","要確認",IF($AE934=0,"不支給","未処理")))))</f>
        <v/>
      </c>
      <c r="AG934" s="12" t="n"/>
      <c r="AH934" s="11" t="n"/>
      <c r="AI934" s="11" t="n"/>
      <c r="AJ934" s="11" t="n"/>
      <c r="AK934" s="14">
        <f>IF(AND($AF934="保留中",$AH934&lt;&gt;""),TODAY()-$AH934,"")</f>
        <v/>
      </c>
      <c r="AL934" s="12" t="n"/>
      <c r="AM934" s="14">
        <f>IF($B934="","",IF($AQ934="","対象年月が未入力／","")&amp;IF($B934="","",IF($AP934="","職員マスタに未登録の職員番号／",IF($AA934="","標準報酬月額が未登録／","")&amp;IF(AND($AQ934&lt;&gt;"",OR(AND(INDEX(職員マスタ!$G$6:$G$405,$AP934)&lt;&gt;"",INDEX(職員マスタ!$G$6:$G$405,$AP934)&gt;EOMONTH($AQ934,0)),AND(INDEX(職員マスタ!$H$6:$H$405,$AP934)&lt;&gt;"",INDEX(職員マスタ!$H$6:$H$405,$AP934)&lt;$AQ934))),"対象月が時短期間外／","")&amp;IF(AND(INDEX(職員マスタ!$K$6:$K$405,$AP934)&lt;&gt;"",N($W934)&gt;0,INDEX(職員マスタ!$K$6:$K$405,$AP934)&lt;&gt;$W934),"標準報酬月額が申請書と相違（台帳"&amp;TEXT(INDEX(職員マスタ!$K$6:$K$405,$AP934),"#,##0")&amp;"円／申請書"&amp;TEXT($W934,"#,##0")&amp;"円）／","")&amp;IF(AND(INDEX(職員マスタ!$F$6:$F$405,$AP934)&lt;&gt;"",$AQ934&lt;&gt;"",INDEX(職員マスタ!$F$6:$F$405,$AP934)&lt;$AQ934),"対象月に子が2歳到達済／","")&amp;IF(AND($H934&lt;&gt;"",INDEX(職員マスタ!$B$6:$B$405,$AP934)&lt;&gt;"",SUBSTITUTE(SUBSTITUTE($H934," ","")," ","")&lt;&gt;SUBSTITUTE(SUBSTITUTE(INDEX(職員マスタ!$B$6:$B$405,$AP934)," ","")," ","")),"氏名がマスタと相違／","")&amp;IF(AND($Q934&lt;&gt;"",INDEX(職員マスタ!$E$6:$E$405,$AP934)&lt;&gt;"",$Q934&lt;&gt;INDEX(職員マスタ!$E$6:$E$405,$AP934)),"子の生年月日がマスタと相違／","")&amp;IF(AND($L934&lt;&gt;"",INDEX(職員マスタ!$G$6:$G$405,$AP934)&lt;&gt;"",$L934&lt;&gt;INDEX(職員マスタ!$G$6:$G$405,$AP934)),"時短開始日がマスタと相違／","")&amp;IF(AND($M934&lt;&gt;"",INDEX(職員マスタ!$H$6:$H$405,$AP934)&lt;&gt;"",$M934&lt;&gt;INDEX(職員マスタ!$H$6:$H$405,$AP934)),"時短終了日がマスタと相違／","")))&amp;IF(AND($B934&lt;&gt;"",$E934=""),"報酬額が未入力／","")&amp;IF(N($U934)&gt;0,"申請書に入力エラーが残っています／","")&amp;IF(AND($B934&lt;&gt;"",$AQ934&lt;&gt;""),IF(COUNTIFS($B$6:$B$3005,$B934,$C$6:$C$3005,$C934,$D$6:$D$3005,$D934)&gt;1,"同じ月の請求が重複しています／",""),"")&amp;IF(AND(N($E934)&gt;0,$AB934&lt;&gt;"",$AB934&lt;&gt;"×",$AE934=0,$AD934=""),"計算額が下限以下のため不支給／",""))</f>
        <v/>
      </c>
      <c r="AN934" s="12" t="n"/>
      <c r="AO934" s="14">
        <f>IF($AF934="保留中",COUNTIF($AF$6:$AF934,"保留中"),"")</f>
        <v/>
      </c>
      <c r="AP934" s="14">
        <f>IF($AQ934="","",IF(SUMPRODUCT(MAX((職員マスタ!$A$6:$A$405=$B934)*(((職員マスタ!$G$6:$G$405="")+(職員マスタ!$G$6:$G$405&lt;=EOMONTH($AQ934,0)))&gt;0)*(((職員マスタ!$H$6:$H$405="")+(職員マスタ!$H$6:$H$405&gt;=$AQ934))&gt;0)*(ROW(職員マスタ!$A$6:$A$405)-5)))&gt;0,SUMPRODUCT(MAX((職員マスタ!$A$6:$A$405=$B934)*(((職員マスタ!$G$6:$G$405="")+(職員マスタ!$G$6:$G$405&lt;=EOMONTH($AQ934,0)))&gt;0)*(((職員マスタ!$H$6:$H$405="")+(職員マスタ!$H$6:$H$405&gt;=$AQ934))&gt;0)*(ROW(職員マスタ!$A$6:$A$405)-5))),IFERROR(MATCH($B934,職員マスタ!$A$6:$A$405,0),"")))</f>
        <v/>
      </c>
      <c r="AQ934" s="16">
        <f>IF(OR($B934="",$C934="",$D934=""),"",DATE($C934+2018,$D934,1))</f>
        <v/>
      </c>
    </row>
    <row r="935">
      <c r="A935" s="11" t="n"/>
      <c r="B935" s="12" t="n"/>
      <c r="C935" s="12" t="n"/>
      <c r="D935" s="12" t="n"/>
      <c r="E935" s="13" t="n"/>
      <c r="F935" s="12" t="n"/>
      <c r="G935" s="13" t="n"/>
      <c r="H935" s="12" t="n"/>
      <c r="I935" s="12" t="n"/>
      <c r="J935" s="12" t="n"/>
      <c r="K935" s="12" t="n"/>
      <c r="L935" s="11" t="n"/>
      <c r="M935" s="11" t="n"/>
      <c r="N935" s="11" t="n"/>
      <c r="O935" s="11" t="n"/>
      <c r="P935" s="12" t="n"/>
      <c r="Q935" s="11" t="n"/>
      <c r="R935" s="12" t="n"/>
      <c r="S935" s="11" t="n"/>
      <c r="T935" s="12" t="n"/>
      <c r="U935" s="12" t="n"/>
      <c r="V935" s="12" t="n"/>
      <c r="W935" s="13" t="n"/>
      <c r="X935" s="14">
        <f>IF($AP935="",IF($B935="","",$H935),IF(INDEX(職員マスタ!$B$6:$B$405,$AP935)="",$H935,INDEX(職員マスタ!$B$6:$B$405,$AP935)))</f>
        <v/>
      </c>
      <c r="Y935" s="14">
        <f>IF($AP935="",IF($B935="","",$R935),IF(INDEX(職員マスタ!$C$6:$C$405,$AP935)="",$R935,INDEX(職員マスタ!$C$6:$C$405,$AP935)))</f>
        <v/>
      </c>
      <c r="Z935" s="14">
        <f>IF($AQ935="","","R"&amp;$C935&amp;"."&amp;$D935)</f>
        <v/>
      </c>
      <c r="AA935" s="15">
        <f>IF(IF($AP935="",FALSE,INDEX(職員マスタ!$K$6:$K$405,$AP935)&lt;&gt;""),INDEX(職員マスタ!$K$6:$K$405,$AP935),IF(N($W935)&gt;0,$W935,""))</f>
        <v/>
      </c>
      <c r="AB935" s="14">
        <f>IF(OR($E935="",$AA935=""),"",IF($E935&gt;=$AA935,"×",IF($E935&gt;=$AA935*設定!$C$5,"△","○")))</f>
        <v/>
      </c>
      <c r="AC935" s="15">
        <f>IF($AB935="","",IF($AB935="×",0,IF($AB935="○",ROUNDDOWN($E935*設定!$C$4,0),ROUNDDOWN($E935*ROUND((9*$AA935-9*$E935)/(10*$E935),4),0))))</f>
        <v/>
      </c>
      <c r="AD935" s="13" t="n"/>
      <c r="AE935" s="15">
        <f>IF($B935="","",IF($AD935&lt;&gt;"",$AD935,IF($AC935="","",IF($AC935&lt;=設定!$C$3,0,$AC935))))</f>
        <v/>
      </c>
      <c r="AF935" s="14">
        <f>IF($B935="","",IF(AND($AG935&lt;&gt;"",$AI935="",$AL935=""),"保留中",IF($AL935&lt;&gt;"",IF(N($AE935)&gt;0,"支給済","不支給"),IF($AE935="","要確認",IF($AE935=0,"不支給","未処理")))))</f>
        <v/>
      </c>
      <c r="AG935" s="12" t="n"/>
      <c r="AH935" s="11" t="n"/>
      <c r="AI935" s="11" t="n"/>
      <c r="AJ935" s="11" t="n"/>
      <c r="AK935" s="14">
        <f>IF(AND($AF935="保留中",$AH935&lt;&gt;""),TODAY()-$AH935,"")</f>
        <v/>
      </c>
      <c r="AL935" s="12" t="n"/>
      <c r="AM935" s="14">
        <f>IF($B935="","",IF($AQ935="","対象年月が未入力／","")&amp;IF($B935="","",IF($AP935="","職員マスタに未登録の職員番号／",IF($AA935="","標準報酬月額が未登録／","")&amp;IF(AND($AQ935&lt;&gt;"",OR(AND(INDEX(職員マスタ!$G$6:$G$405,$AP935)&lt;&gt;"",INDEX(職員マスタ!$G$6:$G$405,$AP935)&gt;EOMONTH($AQ935,0)),AND(INDEX(職員マスタ!$H$6:$H$405,$AP935)&lt;&gt;"",INDEX(職員マスタ!$H$6:$H$405,$AP935)&lt;$AQ935))),"対象月が時短期間外／","")&amp;IF(AND(INDEX(職員マスタ!$K$6:$K$405,$AP935)&lt;&gt;"",N($W935)&gt;0,INDEX(職員マスタ!$K$6:$K$405,$AP935)&lt;&gt;$W935),"標準報酬月額が申請書と相違（台帳"&amp;TEXT(INDEX(職員マスタ!$K$6:$K$405,$AP935),"#,##0")&amp;"円／申請書"&amp;TEXT($W935,"#,##0")&amp;"円）／","")&amp;IF(AND(INDEX(職員マスタ!$F$6:$F$405,$AP935)&lt;&gt;"",$AQ935&lt;&gt;"",INDEX(職員マスタ!$F$6:$F$405,$AP935)&lt;$AQ935),"対象月に子が2歳到達済／","")&amp;IF(AND($H935&lt;&gt;"",INDEX(職員マスタ!$B$6:$B$405,$AP935)&lt;&gt;"",SUBSTITUTE(SUBSTITUTE($H935," ","")," ","")&lt;&gt;SUBSTITUTE(SUBSTITUTE(INDEX(職員マスタ!$B$6:$B$405,$AP935)," ","")," ","")),"氏名がマスタと相違／","")&amp;IF(AND($Q935&lt;&gt;"",INDEX(職員マスタ!$E$6:$E$405,$AP935)&lt;&gt;"",$Q935&lt;&gt;INDEX(職員マスタ!$E$6:$E$405,$AP935)),"子の生年月日がマスタと相違／","")&amp;IF(AND($L935&lt;&gt;"",INDEX(職員マスタ!$G$6:$G$405,$AP935)&lt;&gt;"",$L935&lt;&gt;INDEX(職員マスタ!$G$6:$G$405,$AP935)),"時短開始日がマスタと相違／","")&amp;IF(AND($M935&lt;&gt;"",INDEX(職員マスタ!$H$6:$H$405,$AP935)&lt;&gt;"",$M935&lt;&gt;INDEX(職員マスタ!$H$6:$H$405,$AP935)),"時短終了日がマスタと相違／","")))&amp;IF(AND($B935&lt;&gt;"",$E935=""),"報酬額が未入力／","")&amp;IF(N($U935)&gt;0,"申請書に入力エラーが残っています／","")&amp;IF(AND($B935&lt;&gt;"",$AQ935&lt;&gt;""),IF(COUNTIFS($B$6:$B$3005,$B935,$C$6:$C$3005,$C935,$D$6:$D$3005,$D935)&gt;1,"同じ月の請求が重複しています／",""),"")&amp;IF(AND(N($E935)&gt;0,$AB935&lt;&gt;"",$AB935&lt;&gt;"×",$AE935=0,$AD935=""),"計算額が下限以下のため不支給／",""))</f>
        <v/>
      </c>
      <c r="AN935" s="12" t="n"/>
      <c r="AO935" s="14">
        <f>IF($AF935="保留中",COUNTIF($AF$6:$AF935,"保留中"),"")</f>
        <v/>
      </c>
      <c r="AP935" s="14">
        <f>IF($AQ935="","",IF(SUMPRODUCT(MAX((職員マスタ!$A$6:$A$405=$B935)*(((職員マスタ!$G$6:$G$405="")+(職員マスタ!$G$6:$G$405&lt;=EOMONTH($AQ935,0)))&gt;0)*(((職員マスタ!$H$6:$H$405="")+(職員マスタ!$H$6:$H$405&gt;=$AQ935))&gt;0)*(ROW(職員マスタ!$A$6:$A$405)-5)))&gt;0,SUMPRODUCT(MAX((職員マスタ!$A$6:$A$405=$B935)*(((職員マスタ!$G$6:$G$405="")+(職員マスタ!$G$6:$G$405&lt;=EOMONTH($AQ935,0)))&gt;0)*(((職員マスタ!$H$6:$H$405="")+(職員マスタ!$H$6:$H$405&gt;=$AQ935))&gt;0)*(ROW(職員マスタ!$A$6:$A$405)-5))),IFERROR(MATCH($B935,職員マスタ!$A$6:$A$405,0),"")))</f>
        <v/>
      </c>
      <c r="AQ935" s="16">
        <f>IF(OR($B935="",$C935="",$D935=""),"",DATE($C935+2018,$D935,1))</f>
        <v/>
      </c>
    </row>
    <row r="936">
      <c r="A936" s="11" t="n"/>
      <c r="B936" s="12" t="n"/>
      <c r="C936" s="12" t="n"/>
      <c r="D936" s="12" t="n"/>
      <c r="E936" s="13" t="n"/>
      <c r="F936" s="12" t="n"/>
      <c r="G936" s="13" t="n"/>
      <c r="H936" s="12" t="n"/>
      <c r="I936" s="12" t="n"/>
      <c r="J936" s="12" t="n"/>
      <c r="K936" s="12" t="n"/>
      <c r="L936" s="11" t="n"/>
      <c r="M936" s="11" t="n"/>
      <c r="N936" s="11" t="n"/>
      <c r="O936" s="11" t="n"/>
      <c r="P936" s="12" t="n"/>
      <c r="Q936" s="11" t="n"/>
      <c r="R936" s="12" t="n"/>
      <c r="S936" s="11" t="n"/>
      <c r="T936" s="12" t="n"/>
      <c r="U936" s="12" t="n"/>
      <c r="V936" s="12" t="n"/>
      <c r="W936" s="13" t="n"/>
      <c r="X936" s="14">
        <f>IF($AP936="",IF($B936="","",$H936),IF(INDEX(職員マスタ!$B$6:$B$405,$AP936)="",$H936,INDEX(職員マスタ!$B$6:$B$405,$AP936)))</f>
        <v/>
      </c>
      <c r="Y936" s="14">
        <f>IF($AP936="",IF($B936="","",$R936),IF(INDEX(職員マスタ!$C$6:$C$405,$AP936)="",$R936,INDEX(職員マスタ!$C$6:$C$405,$AP936)))</f>
        <v/>
      </c>
      <c r="Z936" s="14">
        <f>IF($AQ936="","","R"&amp;$C936&amp;"."&amp;$D936)</f>
        <v/>
      </c>
      <c r="AA936" s="15">
        <f>IF(IF($AP936="",FALSE,INDEX(職員マスタ!$K$6:$K$405,$AP936)&lt;&gt;""),INDEX(職員マスタ!$K$6:$K$405,$AP936),IF(N($W936)&gt;0,$W936,""))</f>
        <v/>
      </c>
      <c r="AB936" s="14">
        <f>IF(OR($E936="",$AA936=""),"",IF($E936&gt;=$AA936,"×",IF($E936&gt;=$AA936*設定!$C$5,"△","○")))</f>
        <v/>
      </c>
      <c r="AC936" s="15">
        <f>IF($AB936="","",IF($AB936="×",0,IF($AB936="○",ROUNDDOWN($E936*設定!$C$4,0),ROUNDDOWN($E936*ROUND((9*$AA936-9*$E936)/(10*$E936),4),0))))</f>
        <v/>
      </c>
      <c r="AD936" s="13" t="n"/>
      <c r="AE936" s="15">
        <f>IF($B936="","",IF($AD936&lt;&gt;"",$AD936,IF($AC936="","",IF($AC936&lt;=設定!$C$3,0,$AC936))))</f>
        <v/>
      </c>
      <c r="AF936" s="14">
        <f>IF($B936="","",IF(AND($AG936&lt;&gt;"",$AI936="",$AL936=""),"保留中",IF($AL936&lt;&gt;"",IF(N($AE936)&gt;0,"支給済","不支給"),IF($AE936="","要確認",IF($AE936=0,"不支給","未処理")))))</f>
        <v/>
      </c>
      <c r="AG936" s="12" t="n"/>
      <c r="AH936" s="11" t="n"/>
      <c r="AI936" s="11" t="n"/>
      <c r="AJ936" s="11" t="n"/>
      <c r="AK936" s="14">
        <f>IF(AND($AF936="保留中",$AH936&lt;&gt;""),TODAY()-$AH936,"")</f>
        <v/>
      </c>
      <c r="AL936" s="12" t="n"/>
      <c r="AM936" s="14">
        <f>IF($B936="","",IF($AQ936="","対象年月が未入力／","")&amp;IF($B936="","",IF($AP936="","職員マスタに未登録の職員番号／",IF($AA936="","標準報酬月額が未登録／","")&amp;IF(AND($AQ936&lt;&gt;"",OR(AND(INDEX(職員マスタ!$G$6:$G$405,$AP936)&lt;&gt;"",INDEX(職員マスタ!$G$6:$G$405,$AP936)&gt;EOMONTH($AQ936,0)),AND(INDEX(職員マスタ!$H$6:$H$405,$AP936)&lt;&gt;"",INDEX(職員マスタ!$H$6:$H$405,$AP936)&lt;$AQ936))),"対象月が時短期間外／","")&amp;IF(AND(INDEX(職員マスタ!$K$6:$K$405,$AP936)&lt;&gt;"",N($W936)&gt;0,INDEX(職員マスタ!$K$6:$K$405,$AP936)&lt;&gt;$W936),"標準報酬月額が申請書と相違（台帳"&amp;TEXT(INDEX(職員マスタ!$K$6:$K$405,$AP936),"#,##0")&amp;"円／申請書"&amp;TEXT($W936,"#,##0")&amp;"円）／","")&amp;IF(AND(INDEX(職員マスタ!$F$6:$F$405,$AP936)&lt;&gt;"",$AQ936&lt;&gt;"",INDEX(職員マスタ!$F$6:$F$405,$AP936)&lt;$AQ936),"対象月に子が2歳到達済／","")&amp;IF(AND($H936&lt;&gt;"",INDEX(職員マスタ!$B$6:$B$405,$AP936)&lt;&gt;"",SUBSTITUTE(SUBSTITUTE($H936," ","")," ","")&lt;&gt;SUBSTITUTE(SUBSTITUTE(INDEX(職員マスタ!$B$6:$B$405,$AP936)," ","")," ","")),"氏名がマスタと相違／","")&amp;IF(AND($Q936&lt;&gt;"",INDEX(職員マスタ!$E$6:$E$405,$AP936)&lt;&gt;"",$Q936&lt;&gt;INDEX(職員マスタ!$E$6:$E$405,$AP936)),"子の生年月日がマスタと相違／","")&amp;IF(AND($L936&lt;&gt;"",INDEX(職員マスタ!$G$6:$G$405,$AP936)&lt;&gt;"",$L936&lt;&gt;INDEX(職員マスタ!$G$6:$G$405,$AP936)),"時短開始日がマスタと相違／","")&amp;IF(AND($M936&lt;&gt;"",INDEX(職員マスタ!$H$6:$H$405,$AP936)&lt;&gt;"",$M936&lt;&gt;INDEX(職員マスタ!$H$6:$H$405,$AP936)),"時短終了日がマスタと相違／","")))&amp;IF(AND($B936&lt;&gt;"",$E936=""),"報酬額が未入力／","")&amp;IF(N($U936)&gt;0,"申請書に入力エラーが残っています／","")&amp;IF(AND($B936&lt;&gt;"",$AQ936&lt;&gt;""),IF(COUNTIFS($B$6:$B$3005,$B936,$C$6:$C$3005,$C936,$D$6:$D$3005,$D936)&gt;1,"同じ月の請求が重複しています／",""),"")&amp;IF(AND(N($E936)&gt;0,$AB936&lt;&gt;"",$AB936&lt;&gt;"×",$AE936=0,$AD936=""),"計算額が下限以下のため不支給／",""))</f>
        <v/>
      </c>
      <c r="AN936" s="12" t="n"/>
      <c r="AO936" s="14">
        <f>IF($AF936="保留中",COUNTIF($AF$6:$AF936,"保留中"),"")</f>
        <v/>
      </c>
      <c r="AP936" s="14">
        <f>IF($AQ936="","",IF(SUMPRODUCT(MAX((職員マスタ!$A$6:$A$405=$B936)*(((職員マスタ!$G$6:$G$405="")+(職員マスタ!$G$6:$G$405&lt;=EOMONTH($AQ936,0)))&gt;0)*(((職員マスタ!$H$6:$H$405="")+(職員マスタ!$H$6:$H$405&gt;=$AQ936))&gt;0)*(ROW(職員マスタ!$A$6:$A$405)-5)))&gt;0,SUMPRODUCT(MAX((職員マスタ!$A$6:$A$405=$B936)*(((職員マスタ!$G$6:$G$405="")+(職員マスタ!$G$6:$G$405&lt;=EOMONTH($AQ936,0)))&gt;0)*(((職員マスタ!$H$6:$H$405="")+(職員マスタ!$H$6:$H$405&gt;=$AQ936))&gt;0)*(ROW(職員マスタ!$A$6:$A$405)-5))),IFERROR(MATCH($B936,職員マスタ!$A$6:$A$405,0),"")))</f>
        <v/>
      </c>
      <c r="AQ936" s="16">
        <f>IF(OR($B936="",$C936="",$D936=""),"",DATE($C936+2018,$D936,1))</f>
        <v/>
      </c>
    </row>
    <row r="937">
      <c r="A937" s="11" t="n"/>
      <c r="B937" s="12" t="n"/>
      <c r="C937" s="12" t="n"/>
      <c r="D937" s="12" t="n"/>
      <c r="E937" s="13" t="n"/>
      <c r="F937" s="12" t="n"/>
      <c r="G937" s="13" t="n"/>
      <c r="H937" s="12" t="n"/>
      <c r="I937" s="12" t="n"/>
      <c r="J937" s="12" t="n"/>
      <c r="K937" s="12" t="n"/>
      <c r="L937" s="11" t="n"/>
      <c r="M937" s="11" t="n"/>
      <c r="N937" s="11" t="n"/>
      <c r="O937" s="11" t="n"/>
      <c r="P937" s="12" t="n"/>
      <c r="Q937" s="11" t="n"/>
      <c r="R937" s="12" t="n"/>
      <c r="S937" s="11" t="n"/>
      <c r="T937" s="12" t="n"/>
      <c r="U937" s="12" t="n"/>
      <c r="V937" s="12" t="n"/>
      <c r="W937" s="13" t="n"/>
      <c r="X937" s="14">
        <f>IF($AP937="",IF($B937="","",$H937),IF(INDEX(職員マスタ!$B$6:$B$405,$AP937)="",$H937,INDEX(職員マスタ!$B$6:$B$405,$AP937)))</f>
        <v/>
      </c>
      <c r="Y937" s="14">
        <f>IF($AP937="",IF($B937="","",$R937),IF(INDEX(職員マスタ!$C$6:$C$405,$AP937)="",$R937,INDEX(職員マスタ!$C$6:$C$405,$AP937)))</f>
        <v/>
      </c>
      <c r="Z937" s="14">
        <f>IF($AQ937="","","R"&amp;$C937&amp;"."&amp;$D937)</f>
        <v/>
      </c>
      <c r="AA937" s="15">
        <f>IF(IF($AP937="",FALSE,INDEX(職員マスタ!$K$6:$K$405,$AP937)&lt;&gt;""),INDEX(職員マスタ!$K$6:$K$405,$AP937),IF(N($W937)&gt;0,$W937,""))</f>
        <v/>
      </c>
      <c r="AB937" s="14">
        <f>IF(OR($E937="",$AA937=""),"",IF($E937&gt;=$AA937,"×",IF($E937&gt;=$AA937*設定!$C$5,"△","○")))</f>
        <v/>
      </c>
      <c r="AC937" s="15">
        <f>IF($AB937="","",IF($AB937="×",0,IF($AB937="○",ROUNDDOWN($E937*設定!$C$4,0),ROUNDDOWN($E937*ROUND((9*$AA937-9*$E937)/(10*$E937),4),0))))</f>
        <v/>
      </c>
      <c r="AD937" s="13" t="n"/>
      <c r="AE937" s="15">
        <f>IF($B937="","",IF($AD937&lt;&gt;"",$AD937,IF($AC937="","",IF($AC937&lt;=設定!$C$3,0,$AC937))))</f>
        <v/>
      </c>
      <c r="AF937" s="14">
        <f>IF($B937="","",IF(AND($AG937&lt;&gt;"",$AI937="",$AL937=""),"保留中",IF($AL937&lt;&gt;"",IF(N($AE937)&gt;0,"支給済","不支給"),IF($AE937="","要確認",IF($AE937=0,"不支給","未処理")))))</f>
        <v/>
      </c>
      <c r="AG937" s="12" t="n"/>
      <c r="AH937" s="11" t="n"/>
      <c r="AI937" s="11" t="n"/>
      <c r="AJ937" s="11" t="n"/>
      <c r="AK937" s="14">
        <f>IF(AND($AF937="保留中",$AH937&lt;&gt;""),TODAY()-$AH937,"")</f>
        <v/>
      </c>
      <c r="AL937" s="12" t="n"/>
      <c r="AM937" s="14">
        <f>IF($B937="","",IF($AQ937="","対象年月が未入力／","")&amp;IF($B937="","",IF($AP937="","職員マスタに未登録の職員番号／",IF($AA937="","標準報酬月額が未登録／","")&amp;IF(AND($AQ937&lt;&gt;"",OR(AND(INDEX(職員マスタ!$G$6:$G$405,$AP937)&lt;&gt;"",INDEX(職員マスタ!$G$6:$G$405,$AP937)&gt;EOMONTH($AQ937,0)),AND(INDEX(職員マスタ!$H$6:$H$405,$AP937)&lt;&gt;"",INDEX(職員マスタ!$H$6:$H$405,$AP937)&lt;$AQ937))),"対象月が時短期間外／","")&amp;IF(AND(INDEX(職員マスタ!$K$6:$K$405,$AP937)&lt;&gt;"",N($W937)&gt;0,INDEX(職員マスタ!$K$6:$K$405,$AP937)&lt;&gt;$W937),"標準報酬月額が申請書と相違（台帳"&amp;TEXT(INDEX(職員マスタ!$K$6:$K$405,$AP937),"#,##0")&amp;"円／申請書"&amp;TEXT($W937,"#,##0")&amp;"円）／","")&amp;IF(AND(INDEX(職員マスタ!$F$6:$F$405,$AP937)&lt;&gt;"",$AQ937&lt;&gt;"",INDEX(職員マスタ!$F$6:$F$405,$AP937)&lt;$AQ937),"対象月に子が2歳到達済／","")&amp;IF(AND($H937&lt;&gt;"",INDEX(職員マスタ!$B$6:$B$405,$AP937)&lt;&gt;"",SUBSTITUTE(SUBSTITUTE($H937," ","")," ","")&lt;&gt;SUBSTITUTE(SUBSTITUTE(INDEX(職員マスタ!$B$6:$B$405,$AP937)," ","")," ","")),"氏名がマスタと相違／","")&amp;IF(AND($Q937&lt;&gt;"",INDEX(職員マスタ!$E$6:$E$405,$AP937)&lt;&gt;"",$Q937&lt;&gt;INDEX(職員マスタ!$E$6:$E$405,$AP937)),"子の生年月日がマスタと相違／","")&amp;IF(AND($L937&lt;&gt;"",INDEX(職員マスタ!$G$6:$G$405,$AP937)&lt;&gt;"",$L937&lt;&gt;INDEX(職員マスタ!$G$6:$G$405,$AP937)),"時短開始日がマスタと相違／","")&amp;IF(AND($M937&lt;&gt;"",INDEX(職員マスタ!$H$6:$H$405,$AP937)&lt;&gt;"",$M937&lt;&gt;INDEX(職員マスタ!$H$6:$H$405,$AP937)),"時短終了日がマスタと相違／","")))&amp;IF(AND($B937&lt;&gt;"",$E937=""),"報酬額が未入力／","")&amp;IF(N($U937)&gt;0,"申請書に入力エラーが残っています／","")&amp;IF(AND($B937&lt;&gt;"",$AQ937&lt;&gt;""),IF(COUNTIFS($B$6:$B$3005,$B937,$C$6:$C$3005,$C937,$D$6:$D$3005,$D937)&gt;1,"同じ月の請求が重複しています／",""),"")&amp;IF(AND(N($E937)&gt;0,$AB937&lt;&gt;"",$AB937&lt;&gt;"×",$AE937=0,$AD937=""),"計算額が下限以下のため不支給／",""))</f>
        <v/>
      </c>
      <c r="AN937" s="12" t="n"/>
      <c r="AO937" s="14">
        <f>IF($AF937="保留中",COUNTIF($AF$6:$AF937,"保留中"),"")</f>
        <v/>
      </c>
      <c r="AP937" s="14">
        <f>IF($AQ937="","",IF(SUMPRODUCT(MAX((職員マスタ!$A$6:$A$405=$B937)*(((職員マスタ!$G$6:$G$405="")+(職員マスタ!$G$6:$G$405&lt;=EOMONTH($AQ937,0)))&gt;0)*(((職員マスタ!$H$6:$H$405="")+(職員マスタ!$H$6:$H$405&gt;=$AQ937))&gt;0)*(ROW(職員マスタ!$A$6:$A$405)-5)))&gt;0,SUMPRODUCT(MAX((職員マスタ!$A$6:$A$405=$B937)*(((職員マスタ!$G$6:$G$405="")+(職員マスタ!$G$6:$G$405&lt;=EOMONTH($AQ937,0)))&gt;0)*(((職員マスタ!$H$6:$H$405="")+(職員マスタ!$H$6:$H$405&gt;=$AQ937))&gt;0)*(ROW(職員マスタ!$A$6:$A$405)-5))),IFERROR(MATCH($B937,職員マスタ!$A$6:$A$405,0),"")))</f>
        <v/>
      </c>
      <c r="AQ937" s="16">
        <f>IF(OR($B937="",$C937="",$D937=""),"",DATE($C937+2018,$D937,1))</f>
        <v/>
      </c>
    </row>
    <row r="938">
      <c r="A938" s="11" t="n"/>
      <c r="B938" s="12" t="n"/>
      <c r="C938" s="12" t="n"/>
      <c r="D938" s="12" t="n"/>
      <c r="E938" s="13" t="n"/>
      <c r="F938" s="12" t="n"/>
      <c r="G938" s="13" t="n"/>
      <c r="H938" s="12" t="n"/>
      <c r="I938" s="12" t="n"/>
      <c r="J938" s="12" t="n"/>
      <c r="K938" s="12" t="n"/>
      <c r="L938" s="11" t="n"/>
      <c r="M938" s="11" t="n"/>
      <c r="N938" s="11" t="n"/>
      <c r="O938" s="11" t="n"/>
      <c r="P938" s="12" t="n"/>
      <c r="Q938" s="11" t="n"/>
      <c r="R938" s="12" t="n"/>
      <c r="S938" s="11" t="n"/>
      <c r="T938" s="12" t="n"/>
      <c r="U938" s="12" t="n"/>
      <c r="V938" s="12" t="n"/>
      <c r="W938" s="13" t="n"/>
      <c r="X938" s="14">
        <f>IF($AP938="",IF($B938="","",$H938),IF(INDEX(職員マスタ!$B$6:$B$405,$AP938)="",$H938,INDEX(職員マスタ!$B$6:$B$405,$AP938)))</f>
        <v/>
      </c>
      <c r="Y938" s="14">
        <f>IF($AP938="",IF($B938="","",$R938),IF(INDEX(職員マスタ!$C$6:$C$405,$AP938)="",$R938,INDEX(職員マスタ!$C$6:$C$405,$AP938)))</f>
        <v/>
      </c>
      <c r="Z938" s="14">
        <f>IF($AQ938="","","R"&amp;$C938&amp;"."&amp;$D938)</f>
        <v/>
      </c>
      <c r="AA938" s="15">
        <f>IF(IF($AP938="",FALSE,INDEX(職員マスタ!$K$6:$K$405,$AP938)&lt;&gt;""),INDEX(職員マスタ!$K$6:$K$405,$AP938),IF(N($W938)&gt;0,$W938,""))</f>
        <v/>
      </c>
      <c r="AB938" s="14">
        <f>IF(OR($E938="",$AA938=""),"",IF($E938&gt;=$AA938,"×",IF($E938&gt;=$AA938*設定!$C$5,"△","○")))</f>
        <v/>
      </c>
      <c r="AC938" s="15">
        <f>IF($AB938="","",IF($AB938="×",0,IF($AB938="○",ROUNDDOWN($E938*設定!$C$4,0),ROUNDDOWN($E938*ROUND((9*$AA938-9*$E938)/(10*$E938),4),0))))</f>
        <v/>
      </c>
      <c r="AD938" s="13" t="n"/>
      <c r="AE938" s="15">
        <f>IF($B938="","",IF($AD938&lt;&gt;"",$AD938,IF($AC938="","",IF($AC938&lt;=設定!$C$3,0,$AC938))))</f>
        <v/>
      </c>
      <c r="AF938" s="14">
        <f>IF($B938="","",IF(AND($AG938&lt;&gt;"",$AI938="",$AL938=""),"保留中",IF($AL938&lt;&gt;"",IF(N($AE938)&gt;0,"支給済","不支給"),IF($AE938="","要確認",IF($AE938=0,"不支給","未処理")))))</f>
        <v/>
      </c>
      <c r="AG938" s="12" t="n"/>
      <c r="AH938" s="11" t="n"/>
      <c r="AI938" s="11" t="n"/>
      <c r="AJ938" s="11" t="n"/>
      <c r="AK938" s="14">
        <f>IF(AND($AF938="保留中",$AH938&lt;&gt;""),TODAY()-$AH938,"")</f>
        <v/>
      </c>
      <c r="AL938" s="12" t="n"/>
      <c r="AM938" s="14">
        <f>IF($B938="","",IF($AQ938="","対象年月が未入力／","")&amp;IF($B938="","",IF($AP938="","職員マスタに未登録の職員番号／",IF($AA938="","標準報酬月額が未登録／","")&amp;IF(AND($AQ938&lt;&gt;"",OR(AND(INDEX(職員マスタ!$G$6:$G$405,$AP938)&lt;&gt;"",INDEX(職員マスタ!$G$6:$G$405,$AP938)&gt;EOMONTH($AQ938,0)),AND(INDEX(職員マスタ!$H$6:$H$405,$AP938)&lt;&gt;"",INDEX(職員マスタ!$H$6:$H$405,$AP938)&lt;$AQ938))),"対象月が時短期間外／","")&amp;IF(AND(INDEX(職員マスタ!$K$6:$K$405,$AP938)&lt;&gt;"",N($W938)&gt;0,INDEX(職員マスタ!$K$6:$K$405,$AP938)&lt;&gt;$W938),"標準報酬月額が申請書と相違（台帳"&amp;TEXT(INDEX(職員マスタ!$K$6:$K$405,$AP938),"#,##0")&amp;"円／申請書"&amp;TEXT($W938,"#,##0")&amp;"円）／","")&amp;IF(AND(INDEX(職員マスタ!$F$6:$F$405,$AP938)&lt;&gt;"",$AQ938&lt;&gt;"",INDEX(職員マスタ!$F$6:$F$405,$AP938)&lt;$AQ938),"対象月に子が2歳到達済／","")&amp;IF(AND($H938&lt;&gt;"",INDEX(職員マスタ!$B$6:$B$405,$AP938)&lt;&gt;"",SUBSTITUTE(SUBSTITUTE($H938," ","")," ","")&lt;&gt;SUBSTITUTE(SUBSTITUTE(INDEX(職員マスタ!$B$6:$B$405,$AP938)," ","")," ","")),"氏名がマスタと相違／","")&amp;IF(AND($Q938&lt;&gt;"",INDEX(職員マスタ!$E$6:$E$405,$AP938)&lt;&gt;"",$Q938&lt;&gt;INDEX(職員マスタ!$E$6:$E$405,$AP938)),"子の生年月日がマスタと相違／","")&amp;IF(AND($L938&lt;&gt;"",INDEX(職員マスタ!$G$6:$G$405,$AP938)&lt;&gt;"",$L938&lt;&gt;INDEX(職員マスタ!$G$6:$G$405,$AP938)),"時短開始日がマスタと相違／","")&amp;IF(AND($M938&lt;&gt;"",INDEX(職員マスタ!$H$6:$H$405,$AP938)&lt;&gt;"",$M938&lt;&gt;INDEX(職員マスタ!$H$6:$H$405,$AP938)),"時短終了日がマスタと相違／","")))&amp;IF(AND($B938&lt;&gt;"",$E938=""),"報酬額が未入力／","")&amp;IF(N($U938)&gt;0,"申請書に入力エラーが残っています／","")&amp;IF(AND($B938&lt;&gt;"",$AQ938&lt;&gt;""),IF(COUNTIFS($B$6:$B$3005,$B938,$C$6:$C$3005,$C938,$D$6:$D$3005,$D938)&gt;1,"同じ月の請求が重複しています／",""),"")&amp;IF(AND(N($E938)&gt;0,$AB938&lt;&gt;"",$AB938&lt;&gt;"×",$AE938=0,$AD938=""),"計算額が下限以下のため不支給／",""))</f>
        <v/>
      </c>
      <c r="AN938" s="12" t="n"/>
      <c r="AO938" s="14">
        <f>IF($AF938="保留中",COUNTIF($AF$6:$AF938,"保留中"),"")</f>
        <v/>
      </c>
      <c r="AP938" s="14">
        <f>IF($AQ938="","",IF(SUMPRODUCT(MAX((職員マスタ!$A$6:$A$405=$B938)*(((職員マスタ!$G$6:$G$405="")+(職員マスタ!$G$6:$G$405&lt;=EOMONTH($AQ938,0)))&gt;0)*(((職員マスタ!$H$6:$H$405="")+(職員マスタ!$H$6:$H$405&gt;=$AQ938))&gt;0)*(ROW(職員マスタ!$A$6:$A$405)-5)))&gt;0,SUMPRODUCT(MAX((職員マスタ!$A$6:$A$405=$B938)*(((職員マスタ!$G$6:$G$405="")+(職員マスタ!$G$6:$G$405&lt;=EOMONTH($AQ938,0)))&gt;0)*(((職員マスタ!$H$6:$H$405="")+(職員マスタ!$H$6:$H$405&gt;=$AQ938))&gt;0)*(ROW(職員マスタ!$A$6:$A$405)-5))),IFERROR(MATCH($B938,職員マスタ!$A$6:$A$405,0),"")))</f>
        <v/>
      </c>
      <c r="AQ938" s="16">
        <f>IF(OR($B938="",$C938="",$D938=""),"",DATE($C938+2018,$D938,1))</f>
        <v/>
      </c>
    </row>
    <row r="939">
      <c r="A939" s="11" t="n"/>
      <c r="B939" s="12" t="n"/>
      <c r="C939" s="12" t="n"/>
      <c r="D939" s="12" t="n"/>
      <c r="E939" s="13" t="n"/>
      <c r="F939" s="12" t="n"/>
      <c r="G939" s="13" t="n"/>
      <c r="H939" s="12" t="n"/>
      <c r="I939" s="12" t="n"/>
      <c r="J939" s="12" t="n"/>
      <c r="K939" s="12" t="n"/>
      <c r="L939" s="11" t="n"/>
      <c r="M939" s="11" t="n"/>
      <c r="N939" s="11" t="n"/>
      <c r="O939" s="11" t="n"/>
      <c r="P939" s="12" t="n"/>
      <c r="Q939" s="11" t="n"/>
      <c r="R939" s="12" t="n"/>
      <c r="S939" s="11" t="n"/>
      <c r="T939" s="12" t="n"/>
      <c r="U939" s="12" t="n"/>
      <c r="V939" s="12" t="n"/>
      <c r="W939" s="13" t="n"/>
      <c r="X939" s="14">
        <f>IF($AP939="",IF($B939="","",$H939),IF(INDEX(職員マスタ!$B$6:$B$405,$AP939)="",$H939,INDEX(職員マスタ!$B$6:$B$405,$AP939)))</f>
        <v/>
      </c>
      <c r="Y939" s="14">
        <f>IF($AP939="",IF($B939="","",$R939),IF(INDEX(職員マスタ!$C$6:$C$405,$AP939)="",$R939,INDEX(職員マスタ!$C$6:$C$405,$AP939)))</f>
        <v/>
      </c>
      <c r="Z939" s="14">
        <f>IF($AQ939="","","R"&amp;$C939&amp;"."&amp;$D939)</f>
        <v/>
      </c>
      <c r="AA939" s="15">
        <f>IF(IF($AP939="",FALSE,INDEX(職員マスタ!$K$6:$K$405,$AP939)&lt;&gt;""),INDEX(職員マスタ!$K$6:$K$405,$AP939),IF(N($W939)&gt;0,$W939,""))</f>
        <v/>
      </c>
      <c r="AB939" s="14">
        <f>IF(OR($E939="",$AA939=""),"",IF($E939&gt;=$AA939,"×",IF($E939&gt;=$AA939*設定!$C$5,"△","○")))</f>
        <v/>
      </c>
      <c r="AC939" s="15">
        <f>IF($AB939="","",IF($AB939="×",0,IF($AB939="○",ROUNDDOWN($E939*設定!$C$4,0),ROUNDDOWN($E939*ROUND((9*$AA939-9*$E939)/(10*$E939),4),0))))</f>
        <v/>
      </c>
      <c r="AD939" s="13" t="n"/>
      <c r="AE939" s="15">
        <f>IF($B939="","",IF($AD939&lt;&gt;"",$AD939,IF($AC939="","",IF($AC939&lt;=設定!$C$3,0,$AC939))))</f>
        <v/>
      </c>
      <c r="AF939" s="14">
        <f>IF($B939="","",IF(AND($AG939&lt;&gt;"",$AI939="",$AL939=""),"保留中",IF($AL939&lt;&gt;"",IF(N($AE939)&gt;0,"支給済","不支給"),IF($AE939="","要確認",IF($AE939=0,"不支給","未処理")))))</f>
        <v/>
      </c>
      <c r="AG939" s="12" t="n"/>
      <c r="AH939" s="11" t="n"/>
      <c r="AI939" s="11" t="n"/>
      <c r="AJ939" s="11" t="n"/>
      <c r="AK939" s="14">
        <f>IF(AND($AF939="保留中",$AH939&lt;&gt;""),TODAY()-$AH939,"")</f>
        <v/>
      </c>
      <c r="AL939" s="12" t="n"/>
      <c r="AM939" s="14">
        <f>IF($B939="","",IF($AQ939="","対象年月が未入力／","")&amp;IF($B939="","",IF($AP939="","職員マスタに未登録の職員番号／",IF($AA939="","標準報酬月額が未登録／","")&amp;IF(AND($AQ939&lt;&gt;"",OR(AND(INDEX(職員マスタ!$G$6:$G$405,$AP939)&lt;&gt;"",INDEX(職員マスタ!$G$6:$G$405,$AP939)&gt;EOMONTH($AQ939,0)),AND(INDEX(職員マスタ!$H$6:$H$405,$AP939)&lt;&gt;"",INDEX(職員マスタ!$H$6:$H$405,$AP939)&lt;$AQ939))),"対象月が時短期間外／","")&amp;IF(AND(INDEX(職員マスタ!$K$6:$K$405,$AP939)&lt;&gt;"",N($W939)&gt;0,INDEX(職員マスタ!$K$6:$K$405,$AP939)&lt;&gt;$W939),"標準報酬月額が申請書と相違（台帳"&amp;TEXT(INDEX(職員マスタ!$K$6:$K$405,$AP939),"#,##0")&amp;"円／申請書"&amp;TEXT($W939,"#,##0")&amp;"円）／","")&amp;IF(AND(INDEX(職員マスタ!$F$6:$F$405,$AP939)&lt;&gt;"",$AQ939&lt;&gt;"",INDEX(職員マスタ!$F$6:$F$405,$AP939)&lt;$AQ939),"対象月に子が2歳到達済／","")&amp;IF(AND($H939&lt;&gt;"",INDEX(職員マスタ!$B$6:$B$405,$AP939)&lt;&gt;"",SUBSTITUTE(SUBSTITUTE($H939," ","")," ","")&lt;&gt;SUBSTITUTE(SUBSTITUTE(INDEX(職員マスタ!$B$6:$B$405,$AP939)," ","")," ","")),"氏名がマスタと相違／","")&amp;IF(AND($Q939&lt;&gt;"",INDEX(職員マスタ!$E$6:$E$405,$AP939)&lt;&gt;"",$Q939&lt;&gt;INDEX(職員マスタ!$E$6:$E$405,$AP939)),"子の生年月日がマスタと相違／","")&amp;IF(AND($L939&lt;&gt;"",INDEX(職員マスタ!$G$6:$G$405,$AP939)&lt;&gt;"",$L939&lt;&gt;INDEX(職員マスタ!$G$6:$G$405,$AP939)),"時短開始日がマスタと相違／","")&amp;IF(AND($M939&lt;&gt;"",INDEX(職員マスタ!$H$6:$H$405,$AP939)&lt;&gt;"",$M939&lt;&gt;INDEX(職員マスタ!$H$6:$H$405,$AP939)),"時短終了日がマスタと相違／","")))&amp;IF(AND($B939&lt;&gt;"",$E939=""),"報酬額が未入力／","")&amp;IF(N($U939)&gt;0,"申請書に入力エラーが残っています／","")&amp;IF(AND($B939&lt;&gt;"",$AQ939&lt;&gt;""),IF(COUNTIFS($B$6:$B$3005,$B939,$C$6:$C$3005,$C939,$D$6:$D$3005,$D939)&gt;1,"同じ月の請求が重複しています／",""),"")&amp;IF(AND(N($E939)&gt;0,$AB939&lt;&gt;"",$AB939&lt;&gt;"×",$AE939=0,$AD939=""),"計算額が下限以下のため不支給／",""))</f>
        <v/>
      </c>
      <c r="AN939" s="12" t="n"/>
      <c r="AO939" s="14">
        <f>IF($AF939="保留中",COUNTIF($AF$6:$AF939,"保留中"),"")</f>
        <v/>
      </c>
      <c r="AP939" s="14">
        <f>IF($AQ939="","",IF(SUMPRODUCT(MAX((職員マスタ!$A$6:$A$405=$B939)*(((職員マスタ!$G$6:$G$405="")+(職員マスタ!$G$6:$G$405&lt;=EOMONTH($AQ939,0)))&gt;0)*(((職員マスタ!$H$6:$H$405="")+(職員マスタ!$H$6:$H$405&gt;=$AQ939))&gt;0)*(ROW(職員マスタ!$A$6:$A$405)-5)))&gt;0,SUMPRODUCT(MAX((職員マスタ!$A$6:$A$405=$B939)*(((職員マスタ!$G$6:$G$405="")+(職員マスタ!$G$6:$G$405&lt;=EOMONTH($AQ939,0)))&gt;0)*(((職員マスタ!$H$6:$H$405="")+(職員マスタ!$H$6:$H$405&gt;=$AQ939))&gt;0)*(ROW(職員マスタ!$A$6:$A$405)-5))),IFERROR(MATCH($B939,職員マスタ!$A$6:$A$405,0),"")))</f>
        <v/>
      </c>
      <c r="AQ939" s="16">
        <f>IF(OR($B939="",$C939="",$D939=""),"",DATE($C939+2018,$D939,1))</f>
        <v/>
      </c>
    </row>
    <row r="940">
      <c r="A940" s="11" t="n"/>
      <c r="B940" s="12" t="n"/>
      <c r="C940" s="12" t="n"/>
      <c r="D940" s="12" t="n"/>
      <c r="E940" s="13" t="n"/>
      <c r="F940" s="12" t="n"/>
      <c r="G940" s="13" t="n"/>
      <c r="H940" s="12" t="n"/>
      <c r="I940" s="12" t="n"/>
      <c r="J940" s="12" t="n"/>
      <c r="K940" s="12" t="n"/>
      <c r="L940" s="11" t="n"/>
      <c r="M940" s="11" t="n"/>
      <c r="N940" s="11" t="n"/>
      <c r="O940" s="11" t="n"/>
      <c r="P940" s="12" t="n"/>
      <c r="Q940" s="11" t="n"/>
      <c r="R940" s="12" t="n"/>
      <c r="S940" s="11" t="n"/>
      <c r="T940" s="12" t="n"/>
      <c r="U940" s="12" t="n"/>
      <c r="V940" s="12" t="n"/>
      <c r="W940" s="13" t="n"/>
      <c r="X940" s="14">
        <f>IF($AP940="",IF($B940="","",$H940),IF(INDEX(職員マスタ!$B$6:$B$405,$AP940)="",$H940,INDEX(職員マスタ!$B$6:$B$405,$AP940)))</f>
        <v/>
      </c>
      <c r="Y940" s="14">
        <f>IF($AP940="",IF($B940="","",$R940),IF(INDEX(職員マスタ!$C$6:$C$405,$AP940)="",$R940,INDEX(職員マスタ!$C$6:$C$405,$AP940)))</f>
        <v/>
      </c>
      <c r="Z940" s="14">
        <f>IF($AQ940="","","R"&amp;$C940&amp;"."&amp;$D940)</f>
        <v/>
      </c>
      <c r="AA940" s="15">
        <f>IF(IF($AP940="",FALSE,INDEX(職員マスタ!$K$6:$K$405,$AP940)&lt;&gt;""),INDEX(職員マスタ!$K$6:$K$405,$AP940),IF(N($W940)&gt;0,$W940,""))</f>
        <v/>
      </c>
      <c r="AB940" s="14">
        <f>IF(OR($E940="",$AA940=""),"",IF($E940&gt;=$AA940,"×",IF($E940&gt;=$AA940*設定!$C$5,"△","○")))</f>
        <v/>
      </c>
      <c r="AC940" s="15">
        <f>IF($AB940="","",IF($AB940="×",0,IF($AB940="○",ROUNDDOWN($E940*設定!$C$4,0),ROUNDDOWN($E940*ROUND((9*$AA940-9*$E940)/(10*$E940),4),0))))</f>
        <v/>
      </c>
      <c r="AD940" s="13" t="n"/>
      <c r="AE940" s="15">
        <f>IF($B940="","",IF($AD940&lt;&gt;"",$AD940,IF($AC940="","",IF($AC940&lt;=設定!$C$3,0,$AC940))))</f>
        <v/>
      </c>
      <c r="AF940" s="14">
        <f>IF($B940="","",IF(AND($AG940&lt;&gt;"",$AI940="",$AL940=""),"保留中",IF($AL940&lt;&gt;"",IF(N($AE940)&gt;0,"支給済","不支給"),IF($AE940="","要確認",IF($AE940=0,"不支給","未処理")))))</f>
        <v/>
      </c>
      <c r="AG940" s="12" t="n"/>
      <c r="AH940" s="11" t="n"/>
      <c r="AI940" s="11" t="n"/>
      <c r="AJ940" s="11" t="n"/>
      <c r="AK940" s="14">
        <f>IF(AND($AF940="保留中",$AH940&lt;&gt;""),TODAY()-$AH940,"")</f>
        <v/>
      </c>
      <c r="AL940" s="12" t="n"/>
      <c r="AM940" s="14">
        <f>IF($B940="","",IF($AQ940="","対象年月が未入力／","")&amp;IF($B940="","",IF($AP940="","職員マスタに未登録の職員番号／",IF($AA940="","標準報酬月額が未登録／","")&amp;IF(AND($AQ940&lt;&gt;"",OR(AND(INDEX(職員マスタ!$G$6:$G$405,$AP940)&lt;&gt;"",INDEX(職員マスタ!$G$6:$G$405,$AP940)&gt;EOMONTH($AQ940,0)),AND(INDEX(職員マスタ!$H$6:$H$405,$AP940)&lt;&gt;"",INDEX(職員マスタ!$H$6:$H$405,$AP940)&lt;$AQ940))),"対象月が時短期間外／","")&amp;IF(AND(INDEX(職員マスタ!$K$6:$K$405,$AP940)&lt;&gt;"",N($W940)&gt;0,INDEX(職員マスタ!$K$6:$K$405,$AP940)&lt;&gt;$W940),"標準報酬月額が申請書と相違（台帳"&amp;TEXT(INDEX(職員マスタ!$K$6:$K$405,$AP940),"#,##0")&amp;"円／申請書"&amp;TEXT($W940,"#,##0")&amp;"円）／","")&amp;IF(AND(INDEX(職員マスタ!$F$6:$F$405,$AP940)&lt;&gt;"",$AQ940&lt;&gt;"",INDEX(職員マスタ!$F$6:$F$405,$AP940)&lt;$AQ940),"対象月に子が2歳到達済／","")&amp;IF(AND($H940&lt;&gt;"",INDEX(職員マスタ!$B$6:$B$405,$AP940)&lt;&gt;"",SUBSTITUTE(SUBSTITUTE($H940," ","")," ","")&lt;&gt;SUBSTITUTE(SUBSTITUTE(INDEX(職員マスタ!$B$6:$B$405,$AP940)," ","")," ","")),"氏名がマスタと相違／","")&amp;IF(AND($Q940&lt;&gt;"",INDEX(職員マスタ!$E$6:$E$405,$AP940)&lt;&gt;"",$Q940&lt;&gt;INDEX(職員マスタ!$E$6:$E$405,$AP940)),"子の生年月日がマスタと相違／","")&amp;IF(AND($L940&lt;&gt;"",INDEX(職員マスタ!$G$6:$G$405,$AP940)&lt;&gt;"",$L940&lt;&gt;INDEX(職員マスタ!$G$6:$G$405,$AP940)),"時短開始日がマスタと相違／","")&amp;IF(AND($M940&lt;&gt;"",INDEX(職員マスタ!$H$6:$H$405,$AP940)&lt;&gt;"",$M940&lt;&gt;INDEX(職員マスタ!$H$6:$H$405,$AP940)),"時短終了日がマスタと相違／","")))&amp;IF(AND($B940&lt;&gt;"",$E940=""),"報酬額が未入力／","")&amp;IF(N($U940)&gt;0,"申請書に入力エラーが残っています／","")&amp;IF(AND($B940&lt;&gt;"",$AQ940&lt;&gt;""),IF(COUNTIFS($B$6:$B$3005,$B940,$C$6:$C$3005,$C940,$D$6:$D$3005,$D940)&gt;1,"同じ月の請求が重複しています／",""),"")&amp;IF(AND(N($E940)&gt;0,$AB940&lt;&gt;"",$AB940&lt;&gt;"×",$AE940=0,$AD940=""),"計算額が下限以下のため不支給／",""))</f>
        <v/>
      </c>
      <c r="AN940" s="12" t="n"/>
      <c r="AO940" s="14">
        <f>IF($AF940="保留中",COUNTIF($AF$6:$AF940,"保留中"),"")</f>
        <v/>
      </c>
      <c r="AP940" s="14">
        <f>IF($AQ940="","",IF(SUMPRODUCT(MAX((職員マスタ!$A$6:$A$405=$B940)*(((職員マスタ!$G$6:$G$405="")+(職員マスタ!$G$6:$G$405&lt;=EOMONTH($AQ940,0)))&gt;0)*(((職員マスタ!$H$6:$H$405="")+(職員マスタ!$H$6:$H$405&gt;=$AQ940))&gt;0)*(ROW(職員マスタ!$A$6:$A$405)-5)))&gt;0,SUMPRODUCT(MAX((職員マスタ!$A$6:$A$405=$B940)*(((職員マスタ!$G$6:$G$405="")+(職員マスタ!$G$6:$G$405&lt;=EOMONTH($AQ940,0)))&gt;0)*(((職員マスタ!$H$6:$H$405="")+(職員マスタ!$H$6:$H$405&gt;=$AQ940))&gt;0)*(ROW(職員マスタ!$A$6:$A$405)-5))),IFERROR(MATCH($B940,職員マスタ!$A$6:$A$405,0),"")))</f>
        <v/>
      </c>
      <c r="AQ940" s="16">
        <f>IF(OR($B940="",$C940="",$D940=""),"",DATE($C940+2018,$D940,1))</f>
        <v/>
      </c>
    </row>
    <row r="941">
      <c r="A941" s="11" t="n"/>
      <c r="B941" s="12" t="n"/>
      <c r="C941" s="12" t="n"/>
      <c r="D941" s="12" t="n"/>
      <c r="E941" s="13" t="n"/>
      <c r="F941" s="12" t="n"/>
      <c r="G941" s="13" t="n"/>
      <c r="H941" s="12" t="n"/>
      <c r="I941" s="12" t="n"/>
      <c r="J941" s="12" t="n"/>
      <c r="K941" s="12" t="n"/>
      <c r="L941" s="11" t="n"/>
      <c r="M941" s="11" t="n"/>
      <c r="N941" s="11" t="n"/>
      <c r="O941" s="11" t="n"/>
      <c r="P941" s="12" t="n"/>
      <c r="Q941" s="11" t="n"/>
      <c r="R941" s="12" t="n"/>
      <c r="S941" s="11" t="n"/>
      <c r="T941" s="12" t="n"/>
      <c r="U941" s="12" t="n"/>
      <c r="V941" s="12" t="n"/>
      <c r="W941" s="13" t="n"/>
      <c r="X941" s="14">
        <f>IF($AP941="",IF($B941="","",$H941),IF(INDEX(職員マスタ!$B$6:$B$405,$AP941)="",$H941,INDEX(職員マスタ!$B$6:$B$405,$AP941)))</f>
        <v/>
      </c>
      <c r="Y941" s="14">
        <f>IF($AP941="",IF($B941="","",$R941),IF(INDEX(職員マスタ!$C$6:$C$405,$AP941)="",$R941,INDEX(職員マスタ!$C$6:$C$405,$AP941)))</f>
        <v/>
      </c>
      <c r="Z941" s="14">
        <f>IF($AQ941="","","R"&amp;$C941&amp;"."&amp;$D941)</f>
        <v/>
      </c>
      <c r="AA941" s="15">
        <f>IF(IF($AP941="",FALSE,INDEX(職員マスタ!$K$6:$K$405,$AP941)&lt;&gt;""),INDEX(職員マスタ!$K$6:$K$405,$AP941),IF(N($W941)&gt;0,$W941,""))</f>
        <v/>
      </c>
      <c r="AB941" s="14">
        <f>IF(OR($E941="",$AA941=""),"",IF($E941&gt;=$AA941,"×",IF($E941&gt;=$AA941*設定!$C$5,"△","○")))</f>
        <v/>
      </c>
      <c r="AC941" s="15">
        <f>IF($AB941="","",IF($AB941="×",0,IF($AB941="○",ROUNDDOWN($E941*設定!$C$4,0),ROUNDDOWN($E941*ROUND((9*$AA941-9*$E941)/(10*$E941),4),0))))</f>
        <v/>
      </c>
      <c r="AD941" s="13" t="n"/>
      <c r="AE941" s="15">
        <f>IF($B941="","",IF($AD941&lt;&gt;"",$AD941,IF($AC941="","",IF($AC941&lt;=設定!$C$3,0,$AC941))))</f>
        <v/>
      </c>
      <c r="AF941" s="14">
        <f>IF($B941="","",IF(AND($AG941&lt;&gt;"",$AI941="",$AL941=""),"保留中",IF($AL941&lt;&gt;"",IF(N($AE941)&gt;0,"支給済","不支給"),IF($AE941="","要確認",IF($AE941=0,"不支給","未処理")))))</f>
        <v/>
      </c>
      <c r="AG941" s="12" t="n"/>
      <c r="AH941" s="11" t="n"/>
      <c r="AI941" s="11" t="n"/>
      <c r="AJ941" s="11" t="n"/>
      <c r="AK941" s="14">
        <f>IF(AND($AF941="保留中",$AH941&lt;&gt;""),TODAY()-$AH941,"")</f>
        <v/>
      </c>
      <c r="AL941" s="12" t="n"/>
      <c r="AM941" s="14">
        <f>IF($B941="","",IF($AQ941="","対象年月が未入力／","")&amp;IF($B941="","",IF($AP941="","職員マスタに未登録の職員番号／",IF($AA941="","標準報酬月額が未登録／","")&amp;IF(AND($AQ941&lt;&gt;"",OR(AND(INDEX(職員マスタ!$G$6:$G$405,$AP941)&lt;&gt;"",INDEX(職員マスタ!$G$6:$G$405,$AP941)&gt;EOMONTH($AQ941,0)),AND(INDEX(職員マスタ!$H$6:$H$405,$AP941)&lt;&gt;"",INDEX(職員マスタ!$H$6:$H$405,$AP941)&lt;$AQ941))),"対象月が時短期間外／","")&amp;IF(AND(INDEX(職員マスタ!$K$6:$K$405,$AP941)&lt;&gt;"",N($W941)&gt;0,INDEX(職員マスタ!$K$6:$K$405,$AP941)&lt;&gt;$W941),"標準報酬月額が申請書と相違（台帳"&amp;TEXT(INDEX(職員マスタ!$K$6:$K$405,$AP941),"#,##0")&amp;"円／申請書"&amp;TEXT($W941,"#,##0")&amp;"円）／","")&amp;IF(AND(INDEX(職員マスタ!$F$6:$F$405,$AP941)&lt;&gt;"",$AQ941&lt;&gt;"",INDEX(職員マスタ!$F$6:$F$405,$AP941)&lt;$AQ941),"対象月に子が2歳到達済／","")&amp;IF(AND($H941&lt;&gt;"",INDEX(職員マスタ!$B$6:$B$405,$AP941)&lt;&gt;"",SUBSTITUTE(SUBSTITUTE($H941," ","")," ","")&lt;&gt;SUBSTITUTE(SUBSTITUTE(INDEX(職員マスタ!$B$6:$B$405,$AP941)," ","")," ","")),"氏名がマスタと相違／","")&amp;IF(AND($Q941&lt;&gt;"",INDEX(職員マスタ!$E$6:$E$405,$AP941)&lt;&gt;"",$Q941&lt;&gt;INDEX(職員マスタ!$E$6:$E$405,$AP941)),"子の生年月日がマスタと相違／","")&amp;IF(AND($L941&lt;&gt;"",INDEX(職員マスタ!$G$6:$G$405,$AP941)&lt;&gt;"",$L941&lt;&gt;INDEX(職員マスタ!$G$6:$G$405,$AP941)),"時短開始日がマスタと相違／","")&amp;IF(AND($M941&lt;&gt;"",INDEX(職員マスタ!$H$6:$H$405,$AP941)&lt;&gt;"",$M941&lt;&gt;INDEX(職員マスタ!$H$6:$H$405,$AP941)),"時短終了日がマスタと相違／","")))&amp;IF(AND($B941&lt;&gt;"",$E941=""),"報酬額が未入力／","")&amp;IF(N($U941)&gt;0,"申請書に入力エラーが残っています／","")&amp;IF(AND($B941&lt;&gt;"",$AQ941&lt;&gt;""),IF(COUNTIFS($B$6:$B$3005,$B941,$C$6:$C$3005,$C941,$D$6:$D$3005,$D941)&gt;1,"同じ月の請求が重複しています／",""),"")&amp;IF(AND(N($E941)&gt;0,$AB941&lt;&gt;"",$AB941&lt;&gt;"×",$AE941=0,$AD941=""),"計算額が下限以下のため不支給／",""))</f>
        <v/>
      </c>
      <c r="AN941" s="12" t="n"/>
      <c r="AO941" s="14">
        <f>IF($AF941="保留中",COUNTIF($AF$6:$AF941,"保留中"),"")</f>
        <v/>
      </c>
      <c r="AP941" s="14">
        <f>IF($AQ941="","",IF(SUMPRODUCT(MAX((職員マスタ!$A$6:$A$405=$B941)*(((職員マスタ!$G$6:$G$405="")+(職員マスタ!$G$6:$G$405&lt;=EOMONTH($AQ941,0)))&gt;0)*(((職員マスタ!$H$6:$H$405="")+(職員マスタ!$H$6:$H$405&gt;=$AQ941))&gt;0)*(ROW(職員マスタ!$A$6:$A$405)-5)))&gt;0,SUMPRODUCT(MAX((職員マスタ!$A$6:$A$405=$B941)*(((職員マスタ!$G$6:$G$405="")+(職員マスタ!$G$6:$G$405&lt;=EOMONTH($AQ941,0)))&gt;0)*(((職員マスタ!$H$6:$H$405="")+(職員マスタ!$H$6:$H$405&gt;=$AQ941))&gt;0)*(ROW(職員マスタ!$A$6:$A$405)-5))),IFERROR(MATCH($B941,職員マスタ!$A$6:$A$405,0),"")))</f>
        <v/>
      </c>
      <c r="AQ941" s="16">
        <f>IF(OR($B941="",$C941="",$D941=""),"",DATE($C941+2018,$D941,1))</f>
        <v/>
      </c>
    </row>
    <row r="942">
      <c r="A942" s="11" t="n"/>
      <c r="B942" s="12" t="n"/>
      <c r="C942" s="12" t="n"/>
      <c r="D942" s="12" t="n"/>
      <c r="E942" s="13" t="n"/>
      <c r="F942" s="12" t="n"/>
      <c r="G942" s="13" t="n"/>
      <c r="H942" s="12" t="n"/>
      <c r="I942" s="12" t="n"/>
      <c r="J942" s="12" t="n"/>
      <c r="K942" s="12" t="n"/>
      <c r="L942" s="11" t="n"/>
      <c r="M942" s="11" t="n"/>
      <c r="N942" s="11" t="n"/>
      <c r="O942" s="11" t="n"/>
      <c r="P942" s="12" t="n"/>
      <c r="Q942" s="11" t="n"/>
      <c r="R942" s="12" t="n"/>
      <c r="S942" s="11" t="n"/>
      <c r="T942" s="12" t="n"/>
      <c r="U942" s="12" t="n"/>
      <c r="V942" s="12" t="n"/>
      <c r="W942" s="13" t="n"/>
      <c r="X942" s="14">
        <f>IF($AP942="",IF($B942="","",$H942),IF(INDEX(職員マスタ!$B$6:$B$405,$AP942)="",$H942,INDEX(職員マスタ!$B$6:$B$405,$AP942)))</f>
        <v/>
      </c>
      <c r="Y942" s="14">
        <f>IF($AP942="",IF($B942="","",$R942),IF(INDEX(職員マスタ!$C$6:$C$405,$AP942)="",$R942,INDEX(職員マスタ!$C$6:$C$405,$AP942)))</f>
        <v/>
      </c>
      <c r="Z942" s="14">
        <f>IF($AQ942="","","R"&amp;$C942&amp;"."&amp;$D942)</f>
        <v/>
      </c>
      <c r="AA942" s="15">
        <f>IF(IF($AP942="",FALSE,INDEX(職員マスタ!$K$6:$K$405,$AP942)&lt;&gt;""),INDEX(職員マスタ!$K$6:$K$405,$AP942),IF(N($W942)&gt;0,$W942,""))</f>
        <v/>
      </c>
      <c r="AB942" s="14">
        <f>IF(OR($E942="",$AA942=""),"",IF($E942&gt;=$AA942,"×",IF($E942&gt;=$AA942*設定!$C$5,"△","○")))</f>
        <v/>
      </c>
      <c r="AC942" s="15">
        <f>IF($AB942="","",IF($AB942="×",0,IF($AB942="○",ROUNDDOWN($E942*設定!$C$4,0),ROUNDDOWN($E942*ROUND((9*$AA942-9*$E942)/(10*$E942),4),0))))</f>
        <v/>
      </c>
      <c r="AD942" s="13" t="n"/>
      <c r="AE942" s="15">
        <f>IF($B942="","",IF($AD942&lt;&gt;"",$AD942,IF($AC942="","",IF($AC942&lt;=設定!$C$3,0,$AC942))))</f>
        <v/>
      </c>
      <c r="AF942" s="14">
        <f>IF($B942="","",IF(AND($AG942&lt;&gt;"",$AI942="",$AL942=""),"保留中",IF($AL942&lt;&gt;"",IF(N($AE942)&gt;0,"支給済","不支給"),IF($AE942="","要確認",IF($AE942=0,"不支給","未処理")))))</f>
        <v/>
      </c>
      <c r="AG942" s="12" t="n"/>
      <c r="AH942" s="11" t="n"/>
      <c r="AI942" s="11" t="n"/>
      <c r="AJ942" s="11" t="n"/>
      <c r="AK942" s="14">
        <f>IF(AND($AF942="保留中",$AH942&lt;&gt;""),TODAY()-$AH942,"")</f>
        <v/>
      </c>
      <c r="AL942" s="12" t="n"/>
      <c r="AM942" s="14">
        <f>IF($B942="","",IF($AQ942="","対象年月が未入力／","")&amp;IF($B942="","",IF($AP942="","職員マスタに未登録の職員番号／",IF($AA942="","標準報酬月額が未登録／","")&amp;IF(AND($AQ942&lt;&gt;"",OR(AND(INDEX(職員マスタ!$G$6:$G$405,$AP942)&lt;&gt;"",INDEX(職員マスタ!$G$6:$G$405,$AP942)&gt;EOMONTH($AQ942,0)),AND(INDEX(職員マスタ!$H$6:$H$405,$AP942)&lt;&gt;"",INDEX(職員マスタ!$H$6:$H$405,$AP942)&lt;$AQ942))),"対象月が時短期間外／","")&amp;IF(AND(INDEX(職員マスタ!$K$6:$K$405,$AP942)&lt;&gt;"",N($W942)&gt;0,INDEX(職員マスタ!$K$6:$K$405,$AP942)&lt;&gt;$W942),"標準報酬月額が申請書と相違（台帳"&amp;TEXT(INDEX(職員マスタ!$K$6:$K$405,$AP942),"#,##0")&amp;"円／申請書"&amp;TEXT($W942,"#,##0")&amp;"円）／","")&amp;IF(AND(INDEX(職員マスタ!$F$6:$F$405,$AP942)&lt;&gt;"",$AQ942&lt;&gt;"",INDEX(職員マスタ!$F$6:$F$405,$AP942)&lt;$AQ942),"対象月に子が2歳到達済／","")&amp;IF(AND($H942&lt;&gt;"",INDEX(職員マスタ!$B$6:$B$405,$AP942)&lt;&gt;"",SUBSTITUTE(SUBSTITUTE($H942," ","")," ","")&lt;&gt;SUBSTITUTE(SUBSTITUTE(INDEX(職員マスタ!$B$6:$B$405,$AP942)," ","")," ","")),"氏名がマスタと相違／","")&amp;IF(AND($Q942&lt;&gt;"",INDEX(職員マスタ!$E$6:$E$405,$AP942)&lt;&gt;"",$Q942&lt;&gt;INDEX(職員マスタ!$E$6:$E$405,$AP942)),"子の生年月日がマスタと相違／","")&amp;IF(AND($L942&lt;&gt;"",INDEX(職員マスタ!$G$6:$G$405,$AP942)&lt;&gt;"",$L942&lt;&gt;INDEX(職員マスタ!$G$6:$G$405,$AP942)),"時短開始日がマスタと相違／","")&amp;IF(AND($M942&lt;&gt;"",INDEX(職員マスタ!$H$6:$H$405,$AP942)&lt;&gt;"",$M942&lt;&gt;INDEX(職員マスタ!$H$6:$H$405,$AP942)),"時短終了日がマスタと相違／","")))&amp;IF(AND($B942&lt;&gt;"",$E942=""),"報酬額が未入力／","")&amp;IF(N($U942)&gt;0,"申請書に入力エラーが残っています／","")&amp;IF(AND($B942&lt;&gt;"",$AQ942&lt;&gt;""),IF(COUNTIFS($B$6:$B$3005,$B942,$C$6:$C$3005,$C942,$D$6:$D$3005,$D942)&gt;1,"同じ月の請求が重複しています／",""),"")&amp;IF(AND(N($E942)&gt;0,$AB942&lt;&gt;"",$AB942&lt;&gt;"×",$AE942=0,$AD942=""),"計算額が下限以下のため不支給／",""))</f>
        <v/>
      </c>
      <c r="AN942" s="12" t="n"/>
      <c r="AO942" s="14">
        <f>IF($AF942="保留中",COUNTIF($AF$6:$AF942,"保留中"),"")</f>
        <v/>
      </c>
      <c r="AP942" s="14">
        <f>IF($AQ942="","",IF(SUMPRODUCT(MAX((職員マスタ!$A$6:$A$405=$B942)*(((職員マスタ!$G$6:$G$405="")+(職員マスタ!$G$6:$G$405&lt;=EOMONTH($AQ942,0)))&gt;0)*(((職員マスタ!$H$6:$H$405="")+(職員マスタ!$H$6:$H$405&gt;=$AQ942))&gt;0)*(ROW(職員マスタ!$A$6:$A$405)-5)))&gt;0,SUMPRODUCT(MAX((職員マスタ!$A$6:$A$405=$B942)*(((職員マスタ!$G$6:$G$405="")+(職員マスタ!$G$6:$G$405&lt;=EOMONTH($AQ942,0)))&gt;0)*(((職員マスタ!$H$6:$H$405="")+(職員マスタ!$H$6:$H$405&gt;=$AQ942))&gt;0)*(ROW(職員マスタ!$A$6:$A$405)-5))),IFERROR(MATCH($B942,職員マスタ!$A$6:$A$405,0),"")))</f>
        <v/>
      </c>
      <c r="AQ942" s="16">
        <f>IF(OR($B942="",$C942="",$D942=""),"",DATE($C942+2018,$D942,1))</f>
        <v/>
      </c>
    </row>
    <row r="943">
      <c r="A943" s="11" t="n"/>
      <c r="B943" s="12" t="n"/>
      <c r="C943" s="12" t="n"/>
      <c r="D943" s="12" t="n"/>
      <c r="E943" s="13" t="n"/>
      <c r="F943" s="12" t="n"/>
      <c r="G943" s="13" t="n"/>
      <c r="H943" s="12" t="n"/>
      <c r="I943" s="12" t="n"/>
      <c r="J943" s="12" t="n"/>
      <c r="K943" s="12" t="n"/>
      <c r="L943" s="11" t="n"/>
      <c r="M943" s="11" t="n"/>
      <c r="N943" s="11" t="n"/>
      <c r="O943" s="11" t="n"/>
      <c r="P943" s="12" t="n"/>
      <c r="Q943" s="11" t="n"/>
      <c r="R943" s="12" t="n"/>
      <c r="S943" s="11" t="n"/>
      <c r="T943" s="12" t="n"/>
      <c r="U943" s="12" t="n"/>
      <c r="V943" s="12" t="n"/>
      <c r="W943" s="13" t="n"/>
      <c r="X943" s="14">
        <f>IF($AP943="",IF($B943="","",$H943),IF(INDEX(職員マスタ!$B$6:$B$405,$AP943)="",$H943,INDEX(職員マスタ!$B$6:$B$405,$AP943)))</f>
        <v/>
      </c>
      <c r="Y943" s="14">
        <f>IF($AP943="",IF($B943="","",$R943),IF(INDEX(職員マスタ!$C$6:$C$405,$AP943)="",$R943,INDEX(職員マスタ!$C$6:$C$405,$AP943)))</f>
        <v/>
      </c>
      <c r="Z943" s="14">
        <f>IF($AQ943="","","R"&amp;$C943&amp;"."&amp;$D943)</f>
        <v/>
      </c>
      <c r="AA943" s="15">
        <f>IF(IF($AP943="",FALSE,INDEX(職員マスタ!$K$6:$K$405,$AP943)&lt;&gt;""),INDEX(職員マスタ!$K$6:$K$405,$AP943),IF(N($W943)&gt;0,$W943,""))</f>
        <v/>
      </c>
      <c r="AB943" s="14">
        <f>IF(OR($E943="",$AA943=""),"",IF($E943&gt;=$AA943,"×",IF($E943&gt;=$AA943*設定!$C$5,"△","○")))</f>
        <v/>
      </c>
      <c r="AC943" s="15">
        <f>IF($AB943="","",IF($AB943="×",0,IF($AB943="○",ROUNDDOWN($E943*設定!$C$4,0),ROUNDDOWN($E943*ROUND((9*$AA943-9*$E943)/(10*$E943),4),0))))</f>
        <v/>
      </c>
      <c r="AD943" s="13" t="n"/>
      <c r="AE943" s="15">
        <f>IF($B943="","",IF($AD943&lt;&gt;"",$AD943,IF($AC943="","",IF($AC943&lt;=設定!$C$3,0,$AC943))))</f>
        <v/>
      </c>
      <c r="AF943" s="14">
        <f>IF($B943="","",IF(AND($AG943&lt;&gt;"",$AI943="",$AL943=""),"保留中",IF($AL943&lt;&gt;"",IF(N($AE943)&gt;0,"支給済","不支給"),IF($AE943="","要確認",IF($AE943=0,"不支給","未処理")))))</f>
        <v/>
      </c>
      <c r="AG943" s="12" t="n"/>
      <c r="AH943" s="11" t="n"/>
      <c r="AI943" s="11" t="n"/>
      <c r="AJ943" s="11" t="n"/>
      <c r="AK943" s="14">
        <f>IF(AND($AF943="保留中",$AH943&lt;&gt;""),TODAY()-$AH943,"")</f>
        <v/>
      </c>
      <c r="AL943" s="12" t="n"/>
      <c r="AM943" s="14">
        <f>IF($B943="","",IF($AQ943="","対象年月が未入力／","")&amp;IF($B943="","",IF($AP943="","職員マスタに未登録の職員番号／",IF($AA943="","標準報酬月額が未登録／","")&amp;IF(AND($AQ943&lt;&gt;"",OR(AND(INDEX(職員マスタ!$G$6:$G$405,$AP943)&lt;&gt;"",INDEX(職員マスタ!$G$6:$G$405,$AP943)&gt;EOMONTH($AQ943,0)),AND(INDEX(職員マスタ!$H$6:$H$405,$AP943)&lt;&gt;"",INDEX(職員マスタ!$H$6:$H$405,$AP943)&lt;$AQ943))),"対象月が時短期間外／","")&amp;IF(AND(INDEX(職員マスタ!$K$6:$K$405,$AP943)&lt;&gt;"",N($W943)&gt;0,INDEX(職員マスタ!$K$6:$K$405,$AP943)&lt;&gt;$W943),"標準報酬月額が申請書と相違（台帳"&amp;TEXT(INDEX(職員マスタ!$K$6:$K$405,$AP943),"#,##0")&amp;"円／申請書"&amp;TEXT($W943,"#,##0")&amp;"円）／","")&amp;IF(AND(INDEX(職員マスタ!$F$6:$F$405,$AP943)&lt;&gt;"",$AQ943&lt;&gt;"",INDEX(職員マスタ!$F$6:$F$405,$AP943)&lt;$AQ943),"対象月に子が2歳到達済／","")&amp;IF(AND($H943&lt;&gt;"",INDEX(職員マスタ!$B$6:$B$405,$AP943)&lt;&gt;"",SUBSTITUTE(SUBSTITUTE($H943," ","")," ","")&lt;&gt;SUBSTITUTE(SUBSTITUTE(INDEX(職員マスタ!$B$6:$B$405,$AP943)," ","")," ","")),"氏名がマスタと相違／","")&amp;IF(AND($Q943&lt;&gt;"",INDEX(職員マスタ!$E$6:$E$405,$AP943)&lt;&gt;"",$Q943&lt;&gt;INDEX(職員マスタ!$E$6:$E$405,$AP943)),"子の生年月日がマスタと相違／","")&amp;IF(AND($L943&lt;&gt;"",INDEX(職員マスタ!$G$6:$G$405,$AP943)&lt;&gt;"",$L943&lt;&gt;INDEX(職員マスタ!$G$6:$G$405,$AP943)),"時短開始日がマスタと相違／","")&amp;IF(AND($M943&lt;&gt;"",INDEX(職員マスタ!$H$6:$H$405,$AP943)&lt;&gt;"",$M943&lt;&gt;INDEX(職員マスタ!$H$6:$H$405,$AP943)),"時短終了日がマスタと相違／","")))&amp;IF(AND($B943&lt;&gt;"",$E943=""),"報酬額が未入力／","")&amp;IF(N($U943)&gt;0,"申請書に入力エラーが残っています／","")&amp;IF(AND($B943&lt;&gt;"",$AQ943&lt;&gt;""),IF(COUNTIFS($B$6:$B$3005,$B943,$C$6:$C$3005,$C943,$D$6:$D$3005,$D943)&gt;1,"同じ月の請求が重複しています／",""),"")&amp;IF(AND(N($E943)&gt;0,$AB943&lt;&gt;"",$AB943&lt;&gt;"×",$AE943=0,$AD943=""),"計算額が下限以下のため不支給／",""))</f>
        <v/>
      </c>
      <c r="AN943" s="12" t="n"/>
      <c r="AO943" s="14">
        <f>IF($AF943="保留中",COUNTIF($AF$6:$AF943,"保留中"),"")</f>
        <v/>
      </c>
      <c r="AP943" s="14">
        <f>IF($AQ943="","",IF(SUMPRODUCT(MAX((職員マスタ!$A$6:$A$405=$B943)*(((職員マスタ!$G$6:$G$405="")+(職員マスタ!$G$6:$G$405&lt;=EOMONTH($AQ943,0)))&gt;0)*(((職員マスタ!$H$6:$H$405="")+(職員マスタ!$H$6:$H$405&gt;=$AQ943))&gt;0)*(ROW(職員マスタ!$A$6:$A$405)-5)))&gt;0,SUMPRODUCT(MAX((職員マスタ!$A$6:$A$405=$B943)*(((職員マスタ!$G$6:$G$405="")+(職員マスタ!$G$6:$G$405&lt;=EOMONTH($AQ943,0)))&gt;0)*(((職員マスタ!$H$6:$H$405="")+(職員マスタ!$H$6:$H$405&gt;=$AQ943))&gt;0)*(ROW(職員マスタ!$A$6:$A$405)-5))),IFERROR(MATCH($B943,職員マスタ!$A$6:$A$405,0),"")))</f>
        <v/>
      </c>
      <c r="AQ943" s="16">
        <f>IF(OR($B943="",$C943="",$D943=""),"",DATE($C943+2018,$D943,1))</f>
        <v/>
      </c>
    </row>
    <row r="944">
      <c r="A944" s="11" t="n"/>
      <c r="B944" s="12" t="n"/>
      <c r="C944" s="12" t="n"/>
      <c r="D944" s="12" t="n"/>
      <c r="E944" s="13" t="n"/>
      <c r="F944" s="12" t="n"/>
      <c r="G944" s="13" t="n"/>
      <c r="H944" s="12" t="n"/>
      <c r="I944" s="12" t="n"/>
      <c r="J944" s="12" t="n"/>
      <c r="K944" s="12" t="n"/>
      <c r="L944" s="11" t="n"/>
      <c r="M944" s="11" t="n"/>
      <c r="N944" s="11" t="n"/>
      <c r="O944" s="11" t="n"/>
      <c r="P944" s="12" t="n"/>
      <c r="Q944" s="11" t="n"/>
      <c r="R944" s="12" t="n"/>
      <c r="S944" s="11" t="n"/>
      <c r="T944" s="12" t="n"/>
      <c r="U944" s="12" t="n"/>
      <c r="V944" s="12" t="n"/>
      <c r="W944" s="13" t="n"/>
      <c r="X944" s="14">
        <f>IF($AP944="",IF($B944="","",$H944),IF(INDEX(職員マスタ!$B$6:$B$405,$AP944)="",$H944,INDEX(職員マスタ!$B$6:$B$405,$AP944)))</f>
        <v/>
      </c>
      <c r="Y944" s="14">
        <f>IF($AP944="",IF($B944="","",$R944),IF(INDEX(職員マスタ!$C$6:$C$405,$AP944)="",$R944,INDEX(職員マスタ!$C$6:$C$405,$AP944)))</f>
        <v/>
      </c>
      <c r="Z944" s="14">
        <f>IF($AQ944="","","R"&amp;$C944&amp;"."&amp;$D944)</f>
        <v/>
      </c>
      <c r="AA944" s="15">
        <f>IF(IF($AP944="",FALSE,INDEX(職員マスタ!$K$6:$K$405,$AP944)&lt;&gt;""),INDEX(職員マスタ!$K$6:$K$405,$AP944),IF(N($W944)&gt;0,$W944,""))</f>
        <v/>
      </c>
      <c r="AB944" s="14">
        <f>IF(OR($E944="",$AA944=""),"",IF($E944&gt;=$AA944,"×",IF($E944&gt;=$AA944*設定!$C$5,"△","○")))</f>
        <v/>
      </c>
      <c r="AC944" s="15">
        <f>IF($AB944="","",IF($AB944="×",0,IF($AB944="○",ROUNDDOWN($E944*設定!$C$4,0),ROUNDDOWN($E944*ROUND((9*$AA944-9*$E944)/(10*$E944),4),0))))</f>
        <v/>
      </c>
      <c r="AD944" s="13" t="n"/>
      <c r="AE944" s="15">
        <f>IF($B944="","",IF($AD944&lt;&gt;"",$AD944,IF($AC944="","",IF($AC944&lt;=設定!$C$3,0,$AC944))))</f>
        <v/>
      </c>
      <c r="AF944" s="14">
        <f>IF($B944="","",IF(AND($AG944&lt;&gt;"",$AI944="",$AL944=""),"保留中",IF($AL944&lt;&gt;"",IF(N($AE944)&gt;0,"支給済","不支給"),IF($AE944="","要確認",IF($AE944=0,"不支給","未処理")))))</f>
        <v/>
      </c>
      <c r="AG944" s="12" t="n"/>
      <c r="AH944" s="11" t="n"/>
      <c r="AI944" s="11" t="n"/>
      <c r="AJ944" s="11" t="n"/>
      <c r="AK944" s="14">
        <f>IF(AND($AF944="保留中",$AH944&lt;&gt;""),TODAY()-$AH944,"")</f>
        <v/>
      </c>
      <c r="AL944" s="12" t="n"/>
      <c r="AM944" s="14">
        <f>IF($B944="","",IF($AQ944="","対象年月が未入力／","")&amp;IF($B944="","",IF($AP944="","職員マスタに未登録の職員番号／",IF($AA944="","標準報酬月額が未登録／","")&amp;IF(AND($AQ944&lt;&gt;"",OR(AND(INDEX(職員マスタ!$G$6:$G$405,$AP944)&lt;&gt;"",INDEX(職員マスタ!$G$6:$G$405,$AP944)&gt;EOMONTH($AQ944,0)),AND(INDEX(職員マスタ!$H$6:$H$405,$AP944)&lt;&gt;"",INDEX(職員マスタ!$H$6:$H$405,$AP944)&lt;$AQ944))),"対象月が時短期間外／","")&amp;IF(AND(INDEX(職員マスタ!$K$6:$K$405,$AP944)&lt;&gt;"",N($W944)&gt;0,INDEX(職員マスタ!$K$6:$K$405,$AP944)&lt;&gt;$W944),"標準報酬月額が申請書と相違（台帳"&amp;TEXT(INDEX(職員マスタ!$K$6:$K$405,$AP944),"#,##0")&amp;"円／申請書"&amp;TEXT($W944,"#,##0")&amp;"円）／","")&amp;IF(AND(INDEX(職員マスタ!$F$6:$F$405,$AP944)&lt;&gt;"",$AQ944&lt;&gt;"",INDEX(職員マスタ!$F$6:$F$405,$AP944)&lt;$AQ944),"対象月に子が2歳到達済／","")&amp;IF(AND($H944&lt;&gt;"",INDEX(職員マスタ!$B$6:$B$405,$AP944)&lt;&gt;"",SUBSTITUTE(SUBSTITUTE($H944," ","")," ","")&lt;&gt;SUBSTITUTE(SUBSTITUTE(INDEX(職員マスタ!$B$6:$B$405,$AP944)," ","")," ","")),"氏名がマスタと相違／","")&amp;IF(AND($Q944&lt;&gt;"",INDEX(職員マスタ!$E$6:$E$405,$AP944)&lt;&gt;"",$Q944&lt;&gt;INDEX(職員マスタ!$E$6:$E$405,$AP944)),"子の生年月日がマスタと相違／","")&amp;IF(AND($L944&lt;&gt;"",INDEX(職員マスタ!$G$6:$G$405,$AP944)&lt;&gt;"",$L944&lt;&gt;INDEX(職員マスタ!$G$6:$G$405,$AP944)),"時短開始日がマスタと相違／","")&amp;IF(AND($M944&lt;&gt;"",INDEX(職員マスタ!$H$6:$H$405,$AP944)&lt;&gt;"",$M944&lt;&gt;INDEX(職員マスタ!$H$6:$H$405,$AP944)),"時短終了日がマスタと相違／","")))&amp;IF(AND($B944&lt;&gt;"",$E944=""),"報酬額が未入力／","")&amp;IF(N($U944)&gt;0,"申請書に入力エラーが残っています／","")&amp;IF(AND($B944&lt;&gt;"",$AQ944&lt;&gt;""),IF(COUNTIFS($B$6:$B$3005,$B944,$C$6:$C$3005,$C944,$D$6:$D$3005,$D944)&gt;1,"同じ月の請求が重複しています／",""),"")&amp;IF(AND(N($E944)&gt;0,$AB944&lt;&gt;"",$AB944&lt;&gt;"×",$AE944=0,$AD944=""),"計算額が下限以下のため不支給／",""))</f>
        <v/>
      </c>
      <c r="AN944" s="12" t="n"/>
      <c r="AO944" s="14">
        <f>IF($AF944="保留中",COUNTIF($AF$6:$AF944,"保留中"),"")</f>
        <v/>
      </c>
      <c r="AP944" s="14">
        <f>IF($AQ944="","",IF(SUMPRODUCT(MAX((職員マスタ!$A$6:$A$405=$B944)*(((職員マスタ!$G$6:$G$405="")+(職員マスタ!$G$6:$G$405&lt;=EOMONTH($AQ944,0)))&gt;0)*(((職員マスタ!$H$6:$H$405="")+(職員マスタ!$H$6:$H$405&gt;=$AQ944))&gt;0)*(ROW(職員マスタ!$A$6:$A$405)-5)))&gt;0,SUMPRODUCT(MAX((職員マスタ!$A$6:$A$405=$B944)*(((職員マスタ!$G$6:$G$405="")+(職員マスタ!$G$6:$G$405&lt;=EOMONTH($AQ944,0)))&gt;0)*(((職員マスタ!$H$6:$H$405="")+(職員マスタ!$H$6:$H$405&gt;=$AQ944))&gt;0)*(ROW(職員マスタ!$A$6:$A$405)-5))),IFERROR(MATCH($B944,職員マスタ!$A$6:$A$405,0),"")))</f>
        <v/>
      </c>
      <c r="AQ944" s="16">
        <f>IF(OR($B944="",$C944="",$D944=""),"",DATE($C944+2018,$D944,1))</f>
        <v/>
      </c>
    </row>
    <row r="945">
      <c r="A945" s="11" t="n"/>
      <c r="B945" s="12" t="n"/>
      <c r="C945" s="12" t="n"/>
      <c r="D945" s="12" t="n"/>
      <c r="E945" s="13" t="n"/>
      <c r="F945" s="12" t="n"/>
      <c r="G945" s="13" t="n"/>
      <c r="H945" s="12" t="n"/>
      <c r="I945" s="12" t="n"/>
      <c r="J945" s="12" t="n"/>
      <c r="K945" s="12" t="n"/>
      <c r="L945" s="11" t="n"/>
      <c r="M945" s="11" t="n"/>
      <c r="N945" s="11" t="n"/>
      <c r="O945" s="11" t="n"/>
      <c r="P945" s="12" t="n"/>
      <c r="Q945" s="11" t="n"/>
      <c r="R945" s="12" t="n"/>
      <c r="S945" s="11" t="n"/>
      <c r="T945" s="12" t="n"/>
      <c r="U945" s="12" t="n"/>
      <c r="V945" s="12" t="n"/>
      <c r="W945" s="13" t="n"/>
      <c r="X945" s="14">
        <f>IF($AP945="",IF($B945="","",$H945),IF(INDEX(職員マスタ!$B$6:$B$405,$AP945)="",$H945,INDEX(職員マスタ!$B$6:$B$405,$AP945)))</f>
        <v/>
      </c>
      <c r="Y945" s="14">
        <f>IF($AP945="",IF($B945="","",$R945),IF(INDEX(職員マスタ!$C$6:$C$405,$AP945)="",$R945,INDEX(職員マスタ!$C$6:$C$405,$AP945)))</f>
        <v/>
      </c>
      <c r="Z945" s="14">
        <f>IF($AQ945="","","R"&amp;$C945&amp;"."&amp;$D945)</f>
        <v/>
      </c>
      <c r="AA945" s="15">
        <f>IF(IF($AP945="",FALSE,INDEX(職員マスタ!$K$6:$K$405,$AP945)&lt;&gt;""),INDEX(職員マスタ!$K$6:$K$405,$AP945),IF(N($W945)&gt;0,$W945,""))</f>
        <v/>
      </c>
      <c r="AB945" s="14">
        <f>IF(OR($E945="",$AA945=""),"",IF($E945&gt;=$AA945,"×",IF($E945&gt;=$AA945*設定!$C$5,"△","○")))</f>
        <v/>
      </c>
      <c r="AC945" s="15">
        <f>IF($AB945="","",IF($AB945="×",0,IF($AB945="○",ROUNDDOWN($E945*設定!$C$4,0),ROUNDDOWN($E945*ROUND((9*$AA945-9*$E945)/(10*$E945),4),0))))</f>
        <v/>
      </c>
      <c r="AD945" s="13" t="n"/>
      <c r="AE945" s="15">
        <f>IF($B945="","",IF($AD945&lt;&gt;"",$AD945,IF($AC945="","",IF($AC945&lt;=設定!$C$3,0,$AC945))))</f>
        <v/>
      </c>
      <c r="AF945" s="14">
        <f>IF($B945="","",IF(AND($AG945&lt;&gt;"",$AI945="",$AL945=""),"保留中",IF($AL945&lt;&gt;"",IF(N($AE945)&gt;0,"支給済","不支給"),IF($AE945="","要確認",IF($AE945=0,"不支給","未処理")))))</f>
        <v/>
      </c>
      <c r="AG945" s="12" t="n"/>
      <c r="AH945" s="11" t="n"/>
      <c r="AI945" s="11" t="n"/>
      <c r="AJ945" s="11" t="n"/>
      <c r="AK945" s="14">
        <f>IF(AND($AF945="保留中",$AH945&lt;&gt;""),TODAY()-$AH945,"")</f>
        <v/>
      </c>
      <c r="AL945" s="12" t="n"/>
      <c r="AM945" s="14">
        <f>IF($B945="","",IF($AQ945="","対象年月が未入力／","")&amp;IF($B945="","",IF($AP945="","職員マスタに未登録の職員番号／",IF($AA945="","標準報酬月額が未登録／","")&amp;IF(AND($AQ945&lt;&gt;"",OR(AND(INDEX(職員マスタ!$G$6:$G$405,$AP945)&lt;&gt;"",INDEX(職員マスタ!$G$6:$G$405,$AP945)&gt;EOMONTH($AQ945,0)),AND(INDEX(職員マスタ!$H$6:$H$405,$AP945)&lt;&gt;"",INDEX(職員マスタ!$H$6:$H$405,$AP945)&lt;$AQ945))),"対象月が時短期間外／","")&amp;IF(AND(INDEX(職員マスタ!$K$6:$K$405,$AP945)&lt;&gt;"",N($W945)&gt;0,INDEX(職員マスタ!$K$6:$K$405,$AP945)&lt;&gt;$W945),"標準報酬月額が申請書と相違（台帳"&amp;TEXT(INDEX(職員マスタ!$K$6:$K$405,$AP945),"#,##0")&amp;"円／申請書"&amp;TEXT($W945,"#,##0")&amp;"円）／","")&amp;IF(AND(INDEX(職員マスタ!$F$6:$F$405,$AP945)&lt;&gt;"",$AQ945&lt;&gt;"",INDEX(職員マスタ!$F$6:$F$405,$AP945)&lt;$AQ945),"対象月に子が2歳到達済／","")&amp;IF(AND($H945&lt;&gt;"",INDEX(職員マスタ!$B$6:$B$405,$AP945)&lt;&gt;"",SUBSTITUTE(SUBSTITUTE($H945," ","")," ","")&lt;&gt;SUBSTITUTE(SUBSTITUTE(INDEX(職員マスタ!$B$6:$B$405,$AP945)," ","")," ","")),"氏名がマスタと相違／","")&amp;IF(AND($Q945&lt;&gt;"",INDEX(職員マスタ!$E$6:$E$405,$AP945)&lt;&gt;"",$Q945&lt;&gt;INDEX(職員マスタ!$E$6:$E$405,$AP945)),"子の生年月日がマスタと相違／","")&amp;IF(AND($L945&lt;&gt;"",INDEX(職員マスタ!$G$6:$G$405,$AP945)&lt;&gt;"",$L945&lt;&gt;INDEX(職員マスタ!$G$6:$G$405,$AP945)),"時短開始日がマスタと相違／","")&amp;IF(AND($M945&lt;&gt;"",INDEX(職員マスタ!$H$6:$H$405,$AP945)&lt;&gt;"",$M945&lt;&gt;INDEX(職員マスタ!$H$6:$H$405,$AP945)),"時短終了日がマスタと相違／","")))&amp;IF(AND($B945&lt;&gt;"",$E945=""),"報酬額が未入力／","")&amp;IF(N($U945)&gt;0,"申請書に入力エラーが残っています／","")&amp;IF(AND($B945&lt;&gt;"",$AQ945&lt;&gt;""),IF(COUNTIFS($B$6:$B$3005,$B945,$C$6:$C$3005,$C945,$D$6:$D$3005,$D945)&gt;1,"同じ月の請求が重複しています／",""),"")&amp;IF(AND(N($E945)&gt;0,$AB945&lt;&gt;"",$AB945&lt;&gt;"×",$AE945=0,$AD945=""),"計算額が下限以下のため不支給／",""))</f>
        <v/>
      </c>
      <c r="AN945" s="12" t="n"/>
      <c r="AO945" s="14">
        <f>IF($AF945="保留中",COUNTIF($AF$6:$AF945,"保留中"),"")</f>
        <v/>
      </c>
      <c r="AP945" s="14">
        <f>IF($AQ945="","",IF(SUMPRODUCT(MAX((職員マスタ!$A$6:$A$405=$B945)*(((職員マスタ!$G$6:$G$405="")+(職員マスタ!$G$6:$G$405&lt;=EOMONTH($AQ945,0)))&gt;0)*(((職員マスタ!$H$6:$H$405="")+(職員マスタ!$H$6:$H$405&gt;=$AQ945))&gt;0)*(ROW(職員マスタ!$A$6:$A$405)-5)))&gt;0,SUMPRODUCT(MAX((職員マスタ!$A$6:$A$405=$B945)*(((職員マスタ!$G$6:$G$405="")+(職員マスタ!$G$6:$G$405&lt;=EOMONTH($AQ945,0)))&gt;0)*(((職員マスタ!$H$6:$H$405="")+(職員マスタ!$H$6:$H$405&gt;=$AQ945))&gt;0)*(ROW(職員マスタ!$A$6:$A$405)-5))),IFERROR(MATCH($B945,職員マスタ!$A$6:$A$405,0),"")))</f>
        <v/>
      </c>
      <c r="AQ945" s="16">
        <f>IF(OR($B945="",$C945="",$D945=""),"",DATE($C945+2018,$D945,1))</f>
        <v/>
      </c>
    </row>
    <row r="946">
      <c r="A946" s="11" t="n"/>
      <c r="B946" s="12" t="n"/>
      <c r="C946" s="12" t="n"/>
      <c r="D946" s="12" t="n"/>
      <c r="E946" s="13" t="n"/>
      <c r="F946" s="12" t="n"/>
      <c r="G946" s="13" t="n"/>
      <c r="H946" s="12" t="n"/>
      <c r="I946" s="12" t="n"/>
      <c r="J946" s="12" t="n"/>
      <c r="K946" s="12" t="n"/>
      <c r="L946" s="11" t="n"/>
      <c r="M946" s="11" t="n"/>
      <c r="N946" s="11" t="n"/>
      <c r="O946" s="11" t="n"/>
      <c r="P946" s="12" t="n"/>
      <c r="Q946" s="11" t="n"/>
      <c r="R946" s="12" t="n"/>
      <c r="S946" s="11" t="n"/>
      <c r="T946" s="12" t="n"/>
      <c r="U946" s="12" t="n"/>
      <c r="V946" s="12" t="n"/>
      <c r="W946" s="13" t="n"/>
      <c r="X946" s="14">
        <f>IF($AP946="",IF($B946="","",$H946),IF(INDEX(職員マスタ!$B$6:$B$405,$AP946)="",$H946,INDEX(職員マスタ!$B$6:$B$405,$AP946)))</f>
        <v/>
      </c>
      <c r="Y946" s="14">
        <f>IF($AP946="",IF($B946="","",$R946),IF(INDEX(職員マスタ!$C$6:$C$405,$AP946)="",$R946,INDEX(職員マスタ!$C$6:$C$405,$AP946)))</f>
        <v/>
      </c>
      <c r="Z946" s="14">
        <f>IF($AQ946="","","R"&amp;$C946&amp;"."&amp;$D946)</f>
        <v/>
      </c>
      <c r="AA946" s="15">
        <f>IF(IF($AP946="",FALSE,INDEX(職員マスタ!$K$6:$K$405,$AP946)&lt;&gt;""),INDEX(職員マスタ!$K$6:$K$405,$AP946),IF(N($W946)&gt;0,$W946,""))</f>
        <v/>
      </c>
      <c r="AB946" s="14">
        <f>IF(OR($E946="",$AA946=""),"",IF($E946&gt;=$AA946,"×",IF($E946&gt;=$AA946*設定!$C$5,"△","○")))</f>
        <v/>
      </c>
      <c r="AC946" s="15">
        <f>IF($AB946="","",IF($AB946="×",0,IF($AB946="○",ROUNDDOWN($E946*設定!$C$4,0),ROUNDDOWN($E946*ROUND((9*$AA946-9*$E946)/(10*$E946),4),0))))</f>
        <v/>
      </c>
      <c r="AD946" s="13" t="n"/>
      <c r="AE946" s="15">
        <f>IF($B946="","",IF($AD946&lt;&gt;"",$AD946,IF($AC946="","",IF($AC946&lt;=設定!$C$3,0,$AC946))))</f>
        <v/>
      </c>
      <c r="AF946" s="14">
        <f>IF($B946="","",IF(AND($AG946&lt;&gt;"",$AI946="",$AL946=""),"保留中",IF($AL946&lt;&gt;"",IF(N($AE946)&gt;0,"支給済","不支給"),IF($AE946="","要確認",IF($AE946=0,"不支給","未処理")))))</f>
        <v/>
      </c>
      <c r="AG946" s="12" t="n"/>
      <c r="AH946" s="11" t="n"/>
      <c r="AI946" s="11" t="n"/>
      <c r="AJ946" s="11" t="n"/>
      <c r="AK946" s="14">
        <f>IF(AND($AF946="保留中",$AH946&lt;&gt;""),TODAY()-$AH946,"")</f>
        <v/>
      </c>
      <c r="AL946" s="12" t="n"/>
      <c r="AM946" s="14">
        <f>IF($B946="","",IF($AQ946="","対象年月が未入力／","")&amp;IF($B946="","",IF($AP946="","職員マスタに未登録の職員番号／",IF($AA946="","標準報酬月額が未登録／","")&amp;IF(AND($AQ946&lt;&gt;"",OR(AND(INDEX(職員マスタ!$G$6:$G$405,$AP946)&lt;&gt;"",INDEX(職員マスタ!$G$6:$G$405,$AP946)&gt;EOMONTH($AQ946,0)),AND(INDEX(職員マスタ!$H$6:$H$405,$AP946)&lt;&gt;"",INDEX(職員マスタ!$H$6:$H$405,$AP946)&lt;$AQ946))),"対象月が時短期間外／","")&amp;IF(AND(INDEX(職員マスタ!$K$6:$K$405,$AP946)&lt;&gt;"",N($W946)&gt;0,INDEX(職員マスタ!$K$6:$K$405,$AP946)&lt;&gt;$W946),"標準報酬月額が申請書と相違（台帳"&amp;TEXT(INDEX(職員マスタ!$K$6:$K$405,$AP946),"#,##0")&amp;"円／申請書"&amp;TEXT($W946,"#,##0")&amp;"円）／","")&amp;IF(AND(INDEX(職員マスタ!$F$6:$F$405,$AP946)&lt;&gt;"",$AQ946&lt;&gt;"",INDEX(職員マスタ!$F$6:$F$405,$AP946)&lt;$AQ946),"対象月に子が2歳到達済／","")&amp;IF(AND($H946&lt;&gt;"",INDEX(職員マスタ!$B$6:$B$405,$AP946)&lt;&gt;"",SUBSTITUTE(SUBSTITUTE($H946," ","")," ","")&lt;&gt;SUBSTITUTE(SUBSTITUTE(INDEX(職員マスタ!$B$6:$B$405,$AP946)," ","")," ","")),"氏名がマスタと相違／","")&amp;IF(AND($Q946&lt;&gt;"",INDEX(職員マスタ!$E$6:$E$405,$AP946)&lt;&gt;"",$Q946&lt;&gt;INDEX(職員マスタ!$E$6:$E$405,$AP946)),"子の生年月日がマスタと相違／","")&amp;IF(AND($L946&lt;&gt;"",INDEX(職員マスタ!$G$6:$G$405,$AP946)&lt;&gt;"",$L946&lt;&gt;INDEX(職員マスタ!$G$6:$G$405,$AP946)),"時短開始日がマスタと相違／","")&amp;IF(AND($M946&lt;&gt;"",INDEX(職員マスタ!$H$6:$H$405,$AP946)&lt;&gt;"",$M946&lt;&gt;INDEX(職員マスタ!$H$6:$H$405,$AP946)),"時短終了日がマスタと相違／","")))&amp;IF(AND($B946&lt;&gt;"",$E946=""),"報酬額が未入力／","")&amp;IF(N($U946)&gt;0,"申請書に入力エラーが残っています／","")&amp;IF(AND($B946&lt;&gt;"",$AQ946&lt;&gt;""),IF(COUNTIFS($B$6:$B$3005,$B946,$C$6:$C$3005,$C946,$D$6:$D$3005,$D946)&gt;1,"同じ月の請求が重複しています／",""),"")&amp;IF(AND(N($E946)&gt;0,$AB946&lt;&gt;"",$AB946&lt;&gt;"×",$AE946=0,$AD946=""),"計算額が下限以下のため不支給／",""))</f>
        <v/>
      </c>
      <c r="AN946" s="12" t="n"/>
      <c r="AO946" s="14">
        <f>IF($AF946="保留中",COUNTIF($AF$6:$AF946,"保留中"),"")</f>
        <v/>
      </c>
      <c r="AP946" s="14">
        <f>IF($AQ946="","",IF(SUMPRODUCT(MAX((職員マスタ!$A$6:$A$405=$B946)*(((職員マスタ!$G$6:$G$405="")+(職員マスタ!$G$6:$G$405&lt;=EOMONTH($AQ946,0)))&gt;0)*(((職員マスタ!$H$6:$H$405="")+(職員マスタ!$H$6:$H$405&gt;=$AQ946))&gt;0)*(ROW(職員マスタ!$A$6:$A$405)-5)))&gt;0,SUMPRODUCT(MAX((職員マスタ!$A$6:$A$405=$B946)*(((職員マスタ!$G$6:$G$405="")+(職員マスタ!$G$6:$G$405&lt;=EOMONTH($AQ946,0)))&gt;0)*(((職員マスタ!$H$6:$H$405="")+(職員マスタ!$H$6:$H$405&gt;=$AQ946))&gt;0)*(ROW(職員マスタ!$A$6:$A$405)-5))),IFERROR(MATCH($B946,職員マスタ!$A$6:$A$405,0),"")))</f>
        <v/>
      </c>
      <c r="AQ946" s="16">
        <f>IF(OR($B946="",$C946="",$D946=""),"",DATE($C946+2018,$D946,1))</f>
        <v/>
      </c>
    </row>
    <row r="947">
      <c r="A947" s="11" t="n"/>
      <c r="B947" s="12" t="n"/>
      <c r="C947" s="12" t="n"/>
      <c r="D947" s="12" t="n"/>
      <c r="E947" s="13" t="n"/>
      <c r="F947" s="12" t="n"/>
      <c r="G947" s="13" t="n"/>
      <c r="H947" s="12" t="n"/>
      <c r="I947" s="12" t="n"/>
      <c r="J947" s="12" t="n"/>
      <c r="K947" s="12" t="n"/>
      <c r="L947" s="11" t="n"/>
      <c r="M947" s="11" t="n"/>
      <c r="N947" s="11" t="n"/>
      <c r="O947" s="11" t="n"/>
      <c r="P947" s="12" t="n"/>
      <c r="Q947" s="11" t="n"/>
      <c r="R947" s="12" t="n"/>
      <c r="S947" s="11" t="n"/>
      <c r="T947" s="12" t="n"/>
      <c r="U947" s="12" t="n"/>
      <c r="V947" s="12" t="n"/>
      <c r="W947" s="13" t="n"/>
      <c r="X947" s="14">
        <f>IF($AP947="",IF($B947="","",$H947),IF(INDEX(職員マスタ!$B$6:$B$405,$AP947)="",$H947,INDEX(職員マスタ!$B$6:$B$405,$AP947)))</f>
        <v/>
      </c>
      <c r="Y947" s="14">
        <f>IF($AP947="",IF($B947="","",$R947),IF(INDEX(職員マスタ!$C$6:$C$405,$AP947)="",$R947,INDEX(職員マスタ!$C$6:$C$405,$AP947)))</f>
        <v/>
      </c>
      <c r="Z947" s="14">
        <f>IF($AQ947="","","R"&amp;$C947&amp;"."&amp;$D947)</f>
        <v/>
      </c>
      <c r="AA947" s="15">
        <f>IF(IF($AP947="",FALSE,INDEX(職員マスタ!$K$6:$K$405,$AP947)&lt;&gt;""),INDEX(職員マスタ!$K$6:$K$405,$AP947),IF(N($W947)&gt;0,$W947,""))</f>
        <v/>
      </c>
      <c r="AB947" s="14">
        <f>IF(OR($E947="",$AA947=""),"",IF($E947&gt;=$AA947,"×",IF($E947&gt;=$AA947*設定!$C$5,"△","○")))</f>
        <v/>
      </c>
      <c r="AC947" s="15">
        <f>IF($AB947="","",IF($AB947="×",0,IF($AB947="○",ROUNDDOWN($E947*設定!$C$4,0),ROUNDDOWN($E947*ROUND((9*$AA947-9*$E947)/(10*$E947),4),0))))</f>
        <v/>
      </c>
      <c r="AD947" s="13" t="n"/>
      <c r="AE947" s="15">
        <f>IF($B947="","",IF($AD947&lt;&gt;"",$AD947,IF($AC947="","",IF($AC947&lt;=設定!$C$3,0,$AC947))))</f>
        <v/>
      </c>
      <c r="AF947" s="14">
        <f>IF($B947="","",IF(AND($AG947&lt;&gt;"",$AI947="",$AL947=""),"保留中",IF($AL947&lt;&gt;"",IF(N($AE947)&gt;0,"支給済","不支給"),IF($AE947="","要確認",IF($AE947=0,"不支給","未処理")))))</f>
        <v/>
      </c>
      <c r="AG947" s="12" t="n"/>
      <c r="AH947" s="11" t="n"/>
      <c r="AI947" s="11" t="n"/>
      <c r="AJ947" s="11" t="n"/>
      <c r="AK947" s="14">
        <f>IF(AND($AF947="保留中",$AH947&lt;&gt;""),TODAY()-$AH947,"")</f>
        <v/>
      </c>
      <c r="AL947" s="12" t="n"/>
      <c r="AM947" s="14">
        <f>IF($B947="","",IF($AQ947="","対象年月が未入力／","")&amp;IF($B947="","",IF($AP947="","職員マスタに未登録の職員番号／",IF($AA947="","標準報酬月額が未登録／","")&amp;IF(AND($AQ947&lt;&gt;"",OR(AND(INDEX(職員マスタ!$G$6:$G$405,$AP947)&lt;&gt;"",INDEX(職員マスタ!$G$6:$G$405,$AP947)&gt;EOMONTH($AQ947,0)),AND(INDEX(職員マスタ!$H$6:$H$405,$AP947)&lt;&gt;"",INDEX(職員マスタ!$H$6:$H$405,$AP947)&lt;$AQ947))),"対象月が時短期間外／","")&amp;IF(AND(INDEX(職員マスタ!$K$6:$K$405,$AP947)&lt;&gt;"",N($W947)&gt;0,INDEX(職員マスタ!$K$6:$K$405,$AP947)&lt;&gt;$W947),"標準報酬月額が申請書と相違（台帳"&amp;TEXT(INDEX(職員マスタ!$K$6:$K$405,$AP947),"#,##0")&amp;"円／申請書"&amp;TEXT($W947,"#,##0")&amp;"円）／","")&amp;IF(AND(INDEX(職員マスタ!$F$6:$F$405,$AP947)&lt;&gt;"",$AQ947&lt;&gt;"",INDEX(職員マスタ!$F$6:$F$405,$AP947)&lt;$AQ947),"対象月に子が2歳到達済／","")&amp;IF(AND($H947&lt;&gt;"",INDEX(職員マスタ!$B$6:$B$405,$AP947)&lt;&gt;"",SUBSTITUTE(SUBSTITUTE($H947," ","")," ","")&lt;&gt;SUBSTITUTE(SUBSTITUTE(INDEX(職員マスタ!$B$6:$B$405,$AP947)," ","")," ","")),"氏名がマスタと相違／","")&amp;IF(AND($Q947&lt;&gt;"",INDEX(職員マスタ!$E$6:$E$405,$AP947)&lt;&gt;"",$Q947&lt;&gt;INDEX(職員マスタ!$E$6:$E$405,$AP947)),"子の生年月日がマスタと相違／","")&amp;IF(AND($L947&lt;&gt;"",INDEX(職員マスタ!$G$6:$G$405,$AP947)&lt;&gt;"",$L947&lt;&gt;INDEX(職員マスタ!$G$6:$G$405,$AP947)),"時短開始日がマスタと相違／","")&amp;IF(AND($M947&lt;&gt;"",INDEX(職員マスタ!$H$6:$H$405,$AP947)&lt;&gt;"",$M947&lt;&gt;INDEX(職員マスタ!$H$6:$H$405,$AP947)),"時短終了日がマスタと相違／","")))&amp;IF(AND($B947&lt;&gt;"",$E947=""),"報酬額が未入力／","")&amp;IF(N($U947)&gt;0,"申請書に入力エラーが残っています／","")&amp;IF(AND($B947&lt;&gt;"",$AQ947&lt;&gt;""),IF(COUNTIFS($B$6:$B$3005,$B947,$C$6:$C$3005,$C947,$D$6:$D$3005,$D947)&gt;1,"同じ月の請求が重複しています／",""),"")&amp;IF(AND(N($E947)&gt;0,$AB947&lt;&gt;"",$AB947&lt;&gt;"×",$AE947=0,$AD947=""),"計算額が下限以下のため不支給／",""))</f>
        <v/>
      </c>
      <c r="AN947" s="12" t="n"/>
      <c r="AO947" s="14">
        <f>IF($AF947="保留中",COUNTIF($AF$6:$AF947,"保留中"),"")</f>
        <v/>
      </c>
      <c r="AP947" s="14">
        <f>IF($AQ947="","",IF(SUMPRODUCT(MAX((職員マスタ!$A$6:$A$405=$B947)*(((職員マスタ!$G$6:$G$405="")+(職員マスタ!$G$6:$G$405&lt;=EOMONTH($AQ947,0)))&gt;0)*(((職員マスタ!$H$6:$H$405="")+(職員マスタ!$H$6:$H$405&gt;=$AQ947))&gt;0)*(ROW(職員マスタ!$A$6:$A$405)-5)))&gt;0,SUMPRODUCT(MAX((職員マスタ!$A$6:$A$405=$B947)*(((職員マスタ!$G$6:$G$405="")+(職員マスタ!$G$6:$G$405&lt;=EOMONTH($AQ947,0)))&gt;0)*(((職員マスタ!$H$6:$H$405="")+(職員マスタ!$H$6:$H$405&gt;=$AQ947))&gt;0)*(ROW(職員マスタ!$A$6:$A$405)-5))),IFERROR(MATCH($B947,職員マスタ!$A$6:$A$405,0),"")))</f>
        <v/>
      </c>
      <c r="AQ947" s="16">
        <f>IF(OR($B947="",$C947="",$D947=""),"",DATE($C947+2018,$D947,1))</f>
        <v/>
      </c>
    </row>
    <row r="948">
      <c r="A948" s="11" t="n"/>
      <c r="B948" s="12" t="n"/>
      <c r="C948" s="12" t="n"/>
      <c r="D948" s="12" t="n"/>
      <c r="E948" s="13" t="n"/>
      <c r="F948" s="12" t="n"/>
      <c r="G948" s="13" t="n"/>
      <c r="H948" s="12" t="n"/>
      <c r="I948" s="12" t="n"/>
      <c r="J948" s="12" t="n"/>
      <c r="K948" s="12" t="n"/>
      <c r="L948" s="11" t="n"/>
      <c r="M948" s="11" t="n"/>
      <c r="N948" s="11" t="n"/>
      <c r="O948" s="11" t="n"/>
      <c r="P948" s="12" t="n"/>
      <c r="Q948" s="11" t="n"/>
      <c r="R948" s="12" t="n"/>
      <c r="S948" s="11" t="n"/>
      <c r="T948" s="12" t="n"/>
      <c r="U948" s="12" t="n"/>
      <c r="V948" s="12" t="n"/>
      <c r="W948" s="13" t="n"/>
      <c r="X948" s="14">
        <f>IF($AP948="",IF($B948="","",$H948),IF(INDEX(職員マスタ!$B$6:$B$405,$AP948)="",$H948,INDEX(職員マスタ!$B$6:$B$405,$AP948)))</f>
        <v/>
      </c>
      <c r="Y948" s="14">
        <f>IF($AP948="",IF($B948="","",$R948),IF(INDEX(職員マスタ!$C$6:$C$405,$AP948)="",$R948,INDEX(職員マスタ!$C$6:$C$405,$AP948)))</f>
        <v/>
      </c>
      <c r="Z948" s="14">
        <f>IF($AQ948="","","R"&amp;$C948&amp;"."&amp;$D948)</f>
        <v/>
      </c>
      <c r="AA948" s="15">
        <f>IF(IF($AP948="",FALSE,INDEX(職員マスタ!$K$6:$K$405,$AP948)&lt;&gt;""),INDEX(職員マスタ!$K$6:$K$405,$AP948),IF(N($W948)&gt;0,$W948,""))</f>
        <v/>
      </c>
      <c r="AB948" s="14">
        <f>IF(OR($E948="",$AA948=""),"",IF($E948&gt;=$AA948,"×",IF($E948&gt;=$AA948*設定!$C$5,"△","○")))</f>
        <v/>
      </c>
      <c r="AC948" s="15">
        <f>IF($AB948="","",IF($AB948="×",0,IF($AB948="○",ROUNDDOWN($E948*設定!$C$4,0),ROUNDDOWN($E948*ROUND((9*$AA948-9*$E948)/(10*$E948),4),0))))</f>
        <v/>
      </c>
      <c r="AD948" s="13" t="n"/>
      <c r="AE948" s="15">
        <f>IF($B948="","",IF($AD948&lt;&gt;"",$AD948,IF($AC948="","",IF($AC948&lt;=設定!$C$3,0,$AC948))))</f>
        <v/>
      </c>
      <c r="AF948" s="14">
        <f>IF($B948="","",IF(AND($AG948&lt;&gt;"",$AI948="",$AL948=""),"保留中",IF($AL948&lt;&gt;"",IF(N($AE948)&gt;0,"支給済","不支給"),IF($AE948="","要確認",IF($AE948=0,"不支給","未処理")))))</f>
        <v/>
      </c>
      <c r="AG948" s="12" t="n"/>
      <c r="AH948" s="11" t="n"/>
      <c r="AI948" s="11" t="n"/>
      <c r="AJ948" s="11" t="n"/>
      <c r="AK948" s="14">
        <f>IF(AND($AF948="保留中",$AH948&lt;&gt;""),TODAY()-$AH948,"")</f>
        <v/>
      </c>
      <c r="AL948" s="12" t="n"/>
      <c r="AM948" s="14">
        <f>IF($B948="","",IF($AQ948="","対象年月が未入力／","")&amp;IF($B948="","",IF($AP948="","職員マスタに未登録の職員番号／",IF($AA948="","標準報酬月額が未登録／","")&amp;IF(AND($AQ948&lt;&gt;"",OR(AND(INDEX(職員マスタ!$G$6:$G$405,$AP948)&lt;&gt;"",INDEX(職員マスタ!$G$6:$G$405,$AP948)&gt;EOMONTH($AQ948,0)),AND(INDEX(職員マスタ!$H$6:$H$405,$AP948)&lt;&gt;"",INDEX(職員マスタ!$H$6:$H$405,$AP948)&lt;$AQ948))),"対象月が時短期間外／","")&amp;IF(AND(INDEX(職員マスタ!$K$6:$K$405,$AP948)&lt;&gt;"",N($W948)&gt;0,INDEX(職員マスタ!$K$6:$K$405,$AP948)&lt;&gt;$W948),"標準報酬月額が申請書と相違（台帳"&amp;TEXT(INDEX(職員マスタ!$K$6:$K$405,$AP948),"#,##0")&amp;"円／申請書"&amp;TEXT($W948,"#,##0")&amp;"円）／","")&amp;IF(AND(INDEX(職員マスタ!$F$6:$F$405,$AP948)&lt;&gt;"",$AQ948&lt;&gt;"",INDEX(職員マスタ!$F$6:$F$405,$AP948)&lt;$AQ948),"対象月に子が2歳到達済／","")&amp;IF(AND($H948&lt;&gt;"",INDEX(職員マスタ!$B$6:$B$405,$AP948)&lt;&gt;"",SUBSTITUTE(SUBSTITUTE($H948," ","")," ","")&lt;&gt;SUBSTITUTE(SUBSTITUTE(INDEX(職員マスタ!$B$6:$B$405,$AP948)," ","")," ","")),"氏名がマスタと相違／","")&amp;IF(AND($Q948&lt;&gt;"",INDEX(職員マスタ!$E$6:$E$405,$AP948)&lt;&gt;"",$Q948&lt;&gt;INDEX(職員マスタ!$E$6:$E$405,$AP948)),"子の生年月日がマスタと相違／","")&amp;IF(AND($L948&lt;&gt;"",INDEX(職員マスタ!$G$6:$G$405,$AP948)&lt;&gt;"",$L948&lt;&gt;INDEX(職員マスタ!$G$6:$G$405,$AP948)),"時短開始日がマスタと相違／","")&amp;IF(AND($M948&lt;&gt;"",INDEX(職員マスタ!$H$6:$H$405,$AP948)&lt;&gt;"",$M948&lt;&gt;INDEX(職員マスタ!$H$6:$H$405,$AP948)),"時短終了日がマスタと相違／","")))&amp;IF(AND($B948&lt;&gt;"",$E948=""),"報酬額が未入力／","")&amp;IF(N($U948)&gt;0,"申請書に入力エラーが残っています／","")&amp;IF(AND($B948&lt;&gt;"",$AQ948&lt;&gt;""),IF(COUNTIFS($B$6:$B$3005,$B948,$C$6:$C$3005,$C948,$D$6:$D$3005,$D948)&gt;1,"同じ月の請求が重複しています／",""),"")&amp;IF(AND(N($E948)&gt;0,$AB948&lt;&gt;"",$AB948&lt;&gt;"×",$AE948=0,$AD948=""),"計算額が下限以下のため不支給／",""))</f>
        <v/>
      </c>
      <c r="AN948" s="12" t="n"/>
      <c r="AO948" s="14">
        <f>IF($AF948="保留中",COUNTIF($AF$6:$AF948,"保留中"),"")</f>
        <v/>
      </c>
      <c r="AP948" s="14">
        <f>IF($AQ948="","",IF(SUMPRODUCT(MAX((職員マスタ!$A$6:$A$405=$B948)*(((職員マスタ!$G$6:$G$405="")+(職員マスタ!$G$6:$G$405&lt;=EOMONTH($AQ948,0)))&gt;0)*(((職員マスタ!$H$6:$H$405="")+(職員マスタ!$H$6:$H$405&gt;=$AQ948))&gt;0)*(ROW(職員マスタ!$A$6:$A$405)-5)))&gt;0,SUMPRODUCT(MAX((職員マスタ!$A$6:$A$405=$B948)*(((職員マスタ!$G$6:$G$405="")+(職員マスタ!$G$6:$G$405&lt;=EOMONTH($AQ948,0)))&gt;0)*(((職員マスタ!$H$6:$H$405="")+(職員マスタ!$H$6:$H$405&gt;=$AQ948))&gt;0)*(ROW(職員マスタ!$A$6:$A$405)-5))),IFERROR(MATCH($B948,職員マスタ!$A$6:$A$405,0),"")))</f>
        <v/>
      </c>
      <c r="AQ948" s="16">
        <f>IF(OR($B948="",$C948="",$D948=""),"",DATE($C948+2018,$D948,1))</f>
        <v/>
      </c>
    </row>
    <row r="949">
      <c r="A949" s="11" t="n"/>
      <c r="B949" s="12" t="n"/>
      <c r="C949" s="12" t="n"/>
      <c r="D949" s="12" t="n"/>
      <c r="E949" s="13" t="n"/>
      <c r="F949" s="12" t="n"/>
      <c r="G949" s="13" t="n"/>
      <c r="H949" s="12" t="n"/>
      <c r="I949" s="12" t="n"/>
      <c r="J949" s="12" t="n"/>
      <c r="K949" s="12" t="n"/>
      <c r="L949" s="11" t="n"/>
      <c r="M949" s="11" t="n"/>
      <c r="N949" s="11" t="n"/>
      <c r="O949" s="11" t="n"/>
      <c r="P949" s="12" t="n"/>
      <c r="Q949" s="11" t="n"/>
      <c r="R949" s="12" t="n"/>
      <c r="S949" s="11" t="n"/>
      <c r="T949" s="12" t="n"/>
      <c r="U949" s="12" t="n"/>
      <c r="V949" s="12" t="n"/>
      <c r="W949" s="13" t="n"/>
      <c r="X949" s="14">
        <f>IF($AP949="",IF($B949="","",$H949),IF(INDEX(職員マスタ!$B$6:$B$405,$AP949)="",$H949,INDEX(職員マスタ!$B$6:$B$405,$AP949)))</f>
        <v/>
      </c>
      <c r="Y949" s="14">
        <f>IF($AP949="",IF($B949="","",$R949),IF(INDEX(職員マスタ!$C$6:$C$405,$AP949)="",$R949,INDEX(職員マスタ!$C$6:$C$405,$AP949)))</f>
        <v/>
      </c>
      <c r="Z949" s="14">
        <f>IF($AQ949="","","R"&amp;$C949&amp;"."&amp;$D949)</f>
        <v/>
      </c>
      <c r="AA949" s="15">
        <f>IF(IF($AP949="",FALSE,INDEX(職員マスタ!$K$6:$K$405,$AP949)&lt;&gt;""),INDEX(職員マスタ!$K$6:$K$405,$AP949),IF(N($W949)&gt;0,$W949,""))</f>
        <v/>
      </c>
      <c r="AB949" s="14">
        <f>IF(OR($E949="",$AA949=""),"",IF($E949&gt;=$AA949,"×",IF($E949&gt;=$AA949*設定!$C$5,"△","○")))</f>
        <v/>
      </c>
      <c r="AC949" s="15">
        <f>IF($AB949="","",IF($AB949="×",0,IF($AB949="○",ROUNDDOWN($E949*設定!$C$4,0),ROUNDDOWN($E949*ROUND((9*$AA949-9*$E949)/(10*$E949),4),0))))</f>
        <v/>
      </c>
      <c r="AD949" s="13" t="n"/>
      <c r="AE949" s="15">
        <f>IF($B949="","",IF($AD949&lt;&gt;"",$AD949,IF($AC949="","",IF($AC949&lt;=設定!$C$3,0,$AC949))))</f>
        <v/>
      </c>
      <c r="AF949" s="14">
        <f>IF($B949="","",IF(AND($AG949&lt;&gt;"",$AI949="",$AL949=""),"保留中",IF($AL949&lt;&gt;"",IF(N($AE949)&gt;0,"支給済","不支給"),IF($AE949="","要確認",IF($AE949=0,"不支給","未処理")))))</f>
        <v/>
      </c>
      <c r="AG949" s="12" t="n"/>
      <c r="AH949" s="11" t="n"/>
      <c r="AI949" s="11" t="n"/>
      <c r="AJ949" s="11" t="n"/>
      <c r="AK949" s="14">
        <f>IF(AND($AF949="保留中",$AH949&lt;&gt;""),TODAY()-$AH949,"")</f>
        <v/>
      </c>
      <c r="AL949" s="12" t="n"/>
      <c r="AM949" s="14">
        <f>IF($B949="","",IF($AQ949="","対象年月が未入力／","")&amp;IF($B949="","",IF($AP949="","職員マスタに未登録の職員番号／",IF($AA949="","標準報酬月額が未登録／","")&amp;IF(AND($AQ949&lt;&gt;"",OR(AND(INDEX(職員マスタ!$G$6:$G$405,$AP949)&lt;&gt;"",INDEX(職員マスタ!$G$6:$G$405,$AP949)&gt;EOMONTH($AQ949,0)),AND(INDEX(職員マスタ!$H$6:$H$405,$AP949)&lt;&gt;"",INDEX(職員マスタ!$H$6:$H$405,$AP949)&lt;$AQ949))),"対象月が時短期間外／","")&amp;IF(AND(INDEX(職員マスタ!$K$6:$K$405,$AP949)&lt;&gt;"",N($W949)&gt;0,INDEX(職員マスタ!$K$6:$K$405,$AP949)&lt;&gt;$W949),"標準報酬月額が申請書と相違（台帳"&amp;TEXT(INDEX(職員マスタ!$K$6:$K$405,$AP949),"#,##0")&amp;"円／申請書"&amp;TEXT($W949,"#,##0")&amp;"円）／","")&amp;IF(AND(INDEX(職員マスタ!$F$6:$F$405,$AP949)&lt;&gt;"",$AQ949&lt;&gt;"",INDEX(職員マスタ!$F$6:$F$405,$AP949)&lt;$AQ949),"対象月に子が2歳到達済／","")&amp;IF(AND($H949&lt;&gt;"",INDEX(職員マスタ!$B$6:$B$405,$AP949)&lt;&gt;"",SUBSTITUTE(SUBSTITUTE($H949," ","")," ","")&lt;&gt;SUBSTITUTE(SUBSTITUTE(INDEX(職員マスタ!$B$6:$B$405,$AP949)," ","")," ","")),"氏名がマスタと相違／","")&amp;IF(AND($Q949&lt;&gt;"",INDEX(職員マスタ!$E$6:$E$405,$AP949)&lt;&gt;"",$Q949&lt;&gt;INDEX(職員マスタ!$E$6:$E$405,$AP949)),"子の生年月日がマスタと相違／","")&amp;IF(AND($L949&lt;&gt;"",INDEX(職員マスタ!$G$6:$G$405,$AP949)&lt;&gt;"",$L949&lt;&gt;INDEX(職員マスタ!$G$6:$G$405,$AP949)),"時短開始日がマスタと相違／","")&amp;IF(AND($M949&lt;&gt;"",INDEX(職員マスタ!$H$6:$H$405,$AP949)&lt;&gt;"",$M949&lt;&gt;INDEX(職員マスタ!$H$6:$H$405,$AP949)),"時短終了日がマスタと相違／","")))&amp;IF(AND($B949&lt;&gt;"",$E949=""),"報酬額が未入力／","")&amp;IF(N($U949)&gt;0,"申請書に入力エラーが残っています／","")&amp;IF(AND($B949&lt;&gt;"",$AQ949&lt;&gt;""),IF(COUNTIFS($B$6:$B$3005,$B949,$C$6:$C$3005,$C949,$D$6:$D$3005,$D949)&gt;1,"同じ月の請求が重複しています／",""),"")&amp;IF(AND(N($E949)&gt;0,$AB949&lt;&gt;"",$AB949&lt;&gt;"×",$AE949=0,$AD949=""),"計算額が下限以下のため不支給／",""))</f>
        <v/>
      </c>
      <c r="AN949" s="12" t="n"/>
      <c r="AO949" s="14">
        <f>IF($AF949="保留中",COUNTIF($AF$6:$AF949,"保留中"),"")</f>
        <v/>
      </c>
      <c r="AP949" s="14">
        <f>IF($AQ949="","",IF(SUMPRODUCT(MAX((職員マスタ!$A$6:$A$405=$B949)*(((職員マスタ!$G$6:$G$405="")+(職員マスタ!$G$6:$G$405&lt;=EOMONTH($AQ949,0)))&gt;0)*(((職員マスタ!$H$6:$H$405="")+(職員マスタ!$H$6:$H$405&gt;=$AQ949))&gt;0)*(ROW(職員マスタ!$A$6:$A$405)-5)))&gt;0,SUMPRODUCT(MAX((職員マスタ!$A$6:$A$405=$B949)*(((職員マスタ!$G$6:$G$405="")+(職員マスタ!$G$6:$G$405&lt;=EOMONTH($AQ949,0)))&gt;0)*(((職員マスタ!$H$6:$H$405="")+(職員マスタ!$H$6:$H$405&gt;=$AQ949))&gt;0)*(ROW(職員マスタ!$A$6:$A$405)-5))),IFERROR(MATCH($B949,職員マスタ!$A$6:$A$405,0),"")))</f>
        <v/>
      </c>
      <c r="AQ949" s="16">
        <f>IF(OR($B949="",$C949="",$D949=""),"",DATE($C949+2018,$D949,1))</f>
        <v/>
      </c>
    </row>
    <row r="950">
      <c r="A950" s="11" t="n"/>
      <c r="B950" s="12" t="n"/>
      <c r="C950" s="12" t="n"/>
      <c r="D950" s="12" t="n"/>
      <c r="E950" s="13" t="n"/>
      <c r="F950" s="12" t="n"/>
      <c r="G950" s="13" t="n"/>
      <c r="H950" s="12" t="n"/>
      <c r="I950" s="12" t="n"/>
      <c r="J950" s="12" t="n"/>
      <c r="K950" s="12" t="n"/>
      <c r="L950" s="11" t="n"/>
      <c r="M950" s="11" t="n"/>
      <c r="N950" s="11" t="n"/>
      <c r="O950" s="11" t="n"/>
      <c r="P950" s="12" t="n"/>
      <c r="Q950" s="11" t="n"/>
      <c r="R950" s="12" t="n"/>
      <c r="S950" s="11" t="n"/>
      <c r="T950" s="12" t="n"/>
      <c r="U950" s="12" t="n"/>
      <c r="V950" s="12" t="n"/>
      <c r="W950" s="13" t="n"/>
      <c r="X950" s="14">
        <f>IF($AP950="",IF($B950="","",$H950),IF(INDEX(職員マスタ!$B$6:$B$405,$AP950)="",$H950,INDEX(職員マスタ!$B$6:$B$405,$AP950)))</f>
        <v/>
      </c>
      <c r="Y950" s="14">
        <f>IF($AP950="",IF($B950="","",$R950),IF(INDEX(職員マスタ!$C$6:$C$405,$AP950)="",$R950,INDEX(職員マスタ!$C$6:$C$405,$AP950)))</f>
        <v/>
      </c>
      <c r="Z950" s="14">
        <f>IF($AQ950="","","R"&amp;$C950&amp;"."&amp;$D950)</f>
        <v/>
      </c>
      <c r="AA950" s="15">
        <f>IF(IF($AP950="",FALSE,INDEX(職員マスタ!$K$6:$K$405,$AP950)&lt;&gt;""),INDEX(職員マスタ!$K$6:$K$405,$AP950),IF(N($W950)&gt;0,$W950,""))</f>
        <v/>
      </c>
      <c r="AB950" s="14">
        <f>IF(OR($E950="",$AA950=""),"",IF($E950&gt;=$AA950,"×",IF($E950&gt;=$AA950*設定!$C$5,"△","○")))</f>
        <v/>
      </c>
      <c r="AC950" s="15">
        <f>IF($AB950="","",IF($AB950="×",0,IF($AB950="○",ROUNDDOWN($E950*設定!$C$4,0),ROUNDDOWN($E950*ROUND((9*$AA950-9*$E950)/(10*$E950),4),0))))</f>
        <v/>
      </c>
      <c r="AD950" s="13" t="n"/>
      <c r="AE950" s="15">
        <f>IF($B950="","",IF($AD950&lt;&gt;"",$AD950,IF($AC950="","",IF($AC950&lt;=設定!$C$3,0,$AC950))))</f>
        <v/>
      </c>
      <c r="AF950" s="14">
        <f>IF($B950="","",IF(AND($AG950&lt;&gt;"",$AI950="",$AL950=""),"保留中",IF($AL950&lt;&gt;"",IF(N($AE950)&gt;0,"支給済","不支給"),IF($AE950="","要確認",IF($AE950=0,"不支給","未処理")))))</f>
        <v/>
      </c>
      <c r="AG950" s="12" t="n"/>
      <c r="AH950" s="11" t="n"/>
      <c r="AI950" s="11" t="n"/>
      <c r="AJ950" s="11" t="n"/>
      <c r="AK950" s="14">
        <f>IF(AND($AF950="保留中",$AH950&lt;&gt;""),TODAY()-$AH950,"")</f>
        <v/>
      </c>
      <c r="AL950" s="12" t="n"/>
      <c r="AM950" s="14">
        <f>IF($B950="","",IF($AQ950="","対象年月が未入力／","")&amp;IF($B950="","",IF($AP950="","職員マスタに未登録の職員番号／",IF($AA950="","標準報酬月額が未登録／","")&amp;IF(AND($AQ950&lt;&gt;"",OR(AND(INDEX(職員マスタ!$G$6:$G$405,$AP950)&lt;&gt;"",INDEX(職員マスタ!$G$6:$G$405,$AP950)&gt;EOMONTH($AQ950,0)),AND(INDEX(職員マスタ!$H$6:$H$405,$AP950)&lt;&gt;"",INDEX(職員マスタ!$H$6:$H$405,$AP950)&lt;$AQ950))),"対象月が時短期間外／","")&amp;IF(AND(INDEX(職員マスタ!$K$6:$K$405,$AP950)&lt;&gt;"",N($W950)&gt;0,INDEX(職員マスタ!$K$6:$K$405,$AP950)&lt;&gt;$W950),"標準報酬月額が申請書と相違（台帳"&amp;TEXT(INDEX(職員マスタ!$K$6:$K$405,$AP950),"#,##0")&amp;"円／申請書"&amp;TEXT($W950,"#,##0")&amp;"円）／","")&amp;IF(AND(INDEX(職員マスタ!$F$6:$F$405,$AP950)&lt;&gt;"",$AQ950&lt;&gt;"",INDEX(職員マスタ!$F$6:$F$405,$AP950)&lt;$AQ950),"対象月に子が2歳到達済／","")&amp;IF(AND($H950&lt;&gt;"",INDEX(職員マスタ!$B$6:$B$405,$AP950)&lt;&gt;"",SUBSTITUTE(SUBSTITUTE($H950," ","")," ","")&lt;&gt;SUBSTITUTE(SUBSTITUTE(INDEX(職員マスタ!$B$6:$B$405,$AP950)," ","")," ","")),"氏名がマスタと相違／","")&amp;IF(AND($Q950&lt;&gt;"",INDEX(職員マスタ!$E$6:$E$405,$AP950)&lt;&gt;"",$Q950&lt;&gt;INDEX(職員マスタ!$E$6:$E$405,$AP950)),"子の生年月日がマスタと相違／","")&amp;IF(AND($L950&lt;&gt;"",INDEX(職員マスタ!$G$6:$G$405,$AP950)&lt;&gt;"",$L950&lt;&gt;INDEX(職員マスタ!$G$6:$G$405,$AP950)),"時短開始日がマスタと相違／","")&amp;IF(AND($M950&lt;&gt;"",INDEX(職員マスタ!$H$6:$H$405,$AP950)&lt;&gt;"",$M950&lt;&gt;INDEX(職員マスタ!$H$6:$H$405,$AP950)),"時短終了日がマスタと相違／","")))&amp;IF(AND($B950&lt;&gt;"",$E950=""),"報酬額が未入力／","")&amp;IF(N($U950)&gt;0,"申請書に入力エラーが残っています／","")&amp;IF(AND($B950&lt;&gt;"",$AQ950&lt;&gt;""),IF(COUNTIFS($B$6:$B$3005,$B950,$C$6:$C$3005,$C950,$D$6:$D$3005,$D950)&gt;1,"同じ月の請求が重複しています／",""),"")&amp;IF(AND(N($E950)&gt;0,$AB950&lt;&gt;"",$AB950&lt;&gt;"×",$AE950=0,$AD950=""),"計算額が下限以下のため不支給／",""))</f>
        <v/>
      </c>
      <c r="AN950" s="12" t="n"/>
      <c r="AO950" s="14">
        <f>IF($AF950="保留中",COUNTIF($AF$6:$AF950,"保留中"),"")</f>
        <v/>
      </c>
      <c r="AP950" s="14">
        <f>IF($AQ950="","",IF(SUMPRODUCT(MAX((職員マスタ!$A$6:$A$405=$B950)*(((職員マスタ!$G$6:$G$405="")+(職員マスタ!$G$6:$G$405&lt;=EOMONTH($AQ950,0)))&gt;0)*(((職員マスタ!$H$6:$H$405="")+(職員マスタ!$H$6:$H$405&gt;=$AQ950))&gt;0)*(ROW(職員マスタ!$A$6:$A$405)-5)))&gt;0,SUMPRODUCT(MAX((職員マスタ!$A$6:$A$405=$B950)*(((職員マスタ!$G$6:$G$405="")+(職員マスタ!$G$6:$G$405&lt;=EOMONTH($AQ950,0)))&gt;0)*(((職員マスタ!$H$6:$H$405="")+(職員マスタ!$H$6:$H$405&gt;=$AQ950))&gt;0)*(ROW(職員マスタ!$A$6:$A$405)-5))),IFERROR(MATCH($B950,職員マスタ!$A$6:$A$405,0),"")))</f>
        <v/>
      </c>
      <c r="AQ950" s="16">
        <f>IF(OR($B950="",$C950="",$D950=""),"",DATE($C950+2018,$D950,1))</f>
        <v/>
      </c>
    </row>
    <row r="951">
      <c r="A951" s="11" t="n"/>
      <c r="B951" s="12" t="n"/>
      <c r="C951" s="12" t="n"/>
      <c r="D951" s="12" t="n"/>
      <c r="E951" s="13" t="n"/>
      <c r="F951" s="12" t="n"/>
      <c r="G951" s="13" t="n"/>
      <c r="H951" s="12" t="n"/>
      <c r="I951" s="12" t="n"/>
      <c r="J951" s="12" t="n"/>
      <c r="K951" s="12" t="n"/>
      <c r="L951" s="11" t="n"/>
      <c r="M951" s="11" t="n"/>
      <c r="N951" s="11" t="n"/>
      <c r="O951" s="11" t="n"/>
      <c r="P951" s="12" t="n"/>
      <c r="Q951" s="11" t="n"/>
      <c r="R951" s="12" t="n"/>
      <c r="S951" s="11" t="n"/>
      <c r="T951" s="12" t="n"/>
      <c r="U951" s="12" t="n"/>
      <c r="V951" s="12" t="n"/>
      <c r="W951" s="13" t="n"/>
      <c r="X951" s="14">
        <f>IF($AP951="",IF($B951="","",$H951),IF(INDEX(職員マスタ!$B$6:$B$405,$AP951)="",$H951,INDEX(職員マスタ!$B$6:$B$405,$AP951)))</f>
        <v/>
      </c>
      <c r="Y951" s="14">
        <f>IF($AP951="",IF($B951="","",$R951),IF(INDEX(職員マスタ!$C$6:$C$405,$AP951)="",$R951,INDEX(職員マスタ!$C$6:$C$405,$AP951)))</f>
        <v/>
      </c>
      <c r="Z951" s="14">
        <f>IF($AQ951="","","R"&amp;$C951&amp;"."&amp;$D951)</f>
        <v/>
      </c>
      <c r="AA951" s="15">
        <f>IF(IF($AP951="",FALSE,INDEX(職員マスタ!$K$6:$K$405,$AP951)&lt;&gt;""),INDEX(職員マスタ!$K$6:$K$405,$AP951),IF(N($W951)&gt;0,$W951,""))</f>
        <v/>
      </c>
      <c r="AB951" s="14">
        <f>IF(OR($E951="",$AA951=""),"",IF($E951&gt;=$AA951,"×",IF($E951&gt;=$AA951*設定!$C$5,"△","○")))</f>
        <v/>
      </c>
      <c r="AC951" s="15">
        <f>IF($AB951="","",IF($AB951="×",0,IF($AB951="○",ROUNDDOWN($E951*設定!$C$4,0),ROUNDDOWN($E951*ROUND((9*$AA951-9*$E951)/(10*$E951),4),0))))</f>
        <v/>
      </c>
      <c r="AD951" s="13" t="n"/>
      <c r="AE951" s="15">
        <f>IF($B951="","",IF($AD951&lt;&gt;"",$AD951,IF($AC951="","",IF($AC951&lt;=設定!$C$3,0,$AC951))))</f>
        <v/>
      </c>
      <c r="AF951" s="14">
        <f>IF($B951="","",IF(AND($AG951&lt;&gt;"",$AI951="",$AL951=""),"保留中",IF($AL951&lt;&gt;"",IF(N($AE951)&gt;0,"支給済","不支給"),IF($AE951="","要確認",IF($AE951=0,"不支給","未処理")))))</f>
        <v/>
      </c>
      <c r="AG951" s="12" t="n"/>
      <c r="AH951" s="11" t="n"/>
      <c r="AI951" s="11" t="n"/>
      <c r="AJ951" s="11" t="n"/>
      <c r="AK951" s="14">
        <f>IF(AND($AF951="保留中",$AH951&lt;&gt;""),TODAY()-$AH951,"")</f>
        <v/>
      </c>
      <c r="AL951" s="12" t="n"/>
      <c r="AM951" s="14">
        <f>IF($B951="","",IF($AQ951="","対象年月が未入力／","")&amp;IF($B951="","",IF($AP951="","職員マスタに未登録の職員番号／",IF($AA951="","標準報酬月額が未登録／","")&amp;IF(AND($AQ951&lt;&gt;"",OR(AND(INDEX(職員マスタ!$G$6:$G$405,$AP951)&lt;&gt;"",INDEX(職員マスタ!$G$6:$G$405,$AP951)&gt;EOMONTH($AQ951,0)),AND(INDEX(職員マスタ!$H$6:$H$405,$AP951)&lt;&gt;"",INDEX(職員マスタ!$H$6:$H$405,$AP951)&lt;$AQ951))),"対象月が時短期間外／","")&amp;IF(AND(INDEX(職員マスタ!$K$6:$K$405,$AP951)&lt;&gt;"",N($W951)&gt;0,INDEX(職員マスタ!$K$6:$K$405,$AP951)&lt;&gt;$W951),"標準報酬月額が申請書と相違（台帳"&amp;TEXT(INDEX(職員マスタ!$K$6:$K$405,$AP951),"#,##0")&amp;"円／申請書"&amp;TEXT($W951,"#,##0")&amp;"円）／","")&amp;IF(AND(INDEX(職員マスタ!$F$6:$F$405,$AP951)&lt;&gt;"",$AQ951&lt;&gt;"",INDEX(職員マスタ!$F$6:$F$405,$AP951)&lt;$AQ951),"対象月に子が2歳到達済／","")&amp;IF(AND($H951&lt;&gt;"",INDEX(職員マスタ!$B$6:$B$405,$AP951)&lt;&gt;"",SUBSTITUTE(SUBSTITUTE($H951," ","")," ","")&lt;&gt;SUBSTITUTE(SUBSTITUTE(INDEX(職員マスタ!$B$6:$B$405,$AP951)," ","")," ","")),"氏名がマスタと相違／","")&amp;IF(AND($Q951&lt;&gt;"",INDEX(職員マスタ!$E$6:$E$405,$AP951)&lt;&gt;"",$Q951&lt;&gt;INDEX(職員マスタ!$E$6:$E$405,$AP951)),"子の生年月日がマスタと相違／","")&amp;IF(AND($L951&lt;&gt;"",INDEX(職員マスタ!$G$6:$G$405,$AP951)&lt;&gt;"",$L951&lt;&gt;INDEX(職員マスタ!$G$6:$G$405,$AP951)),"時短開始日がマスタと相違／","")&amp;IF(AND($M951&lt;&gt;"",INDEX(職員マスタ!$H$6:$H$405,$AP951)&lt;&gt;"",$M951&lt;&gt;INDEX(職員マスタ!$H$6:$H$405,$AP951)),"時短終了日がマスタと相違／","")))&amp;IF(AND($B951&lt;&gt;"",$E951=""),"報酬額が未入力／","")&amp;IF(N($U951)&gt;0,"申請書に入力エラーが残っています／","")&amp;IF(AND($B951&lt;&gt;"",$AQ951&lt;&gt;""),IF(COUNTIFS($B$6:$B$3005,$B951,$C$6:$C$3005,$C951,$D$6:$D$3005,$D951)&gt;1,"同じ月の請求が重複しています／",""),"")&amp;IF(AND(N($E951)&gt;0,$AB951&lt;&gt;"",$AB951&lt;&gt;"×",$AE951=0,$AD951=""),"計算額が下限以下のため不支給／",""))</f>
        <v/>
      </c>
      <c r="AN951" s="12" t="n"/>
      <c r="AO951" s="14">
        <f>IF($AF951="保留中",COUNTIF($AF$6:$AF951,"保留中"),"")</f>
        <v/>
      </c>
      <c r="AP951" s="14">
        <f>IF($AQ951="","",IF(SUMPRODUCT(MAX((職員マスタ!$A$6:$A$405=$B951)*(((職員マスタ!$G$6:$G$405="")+(職員マスタ!$G$6:$G$405&lt;=EOMONTH($AQ951,0)))&gt;0)*(((職員マスタ!$H$6:$H$405="")+(職員マスタ!$H$6:$H$405&gt;=$AQ951))&gt;0)*(ROW(職員マスタ!$A$6:$A$405)-5)))&gt;0,SUMPRODUCT(MAX((職員マスタ!$A$6:$A$405=$B951)*(((職員マスタ!$G$6:$G$405="")+(職員マスタ!$G$6:$G$405&lt;=EOMONTH($AQ951,0)))&gt;0)*(((職員マスタ!$H$6:$H$405="")+(職員マスタ!$H$6:$H$405&gt;=$AQ951))&gt;0)*(ROW(職員マスタ!$A$6:$A$405)-5))),IFERROR(MATCH($B951,職員マスタ!$A$6:$A$405,0),"")))</f>
        <v/>
      </c>
      <c r="AQ951" s="16">
        <f>IF(OR($B951="",$C951="",$D951=""),"",DATE($C951+2018,$D951,1))</f>
        <v/>
      </c>
    </row>
    <row r="952">
      <c r="A952" s="11" t="n"/>
      <c r="B952" s="12" t="n"/>
      <c r="C952" s="12" t="n"/>
      <c r="D952" s="12" t="n"/>
      <c r="E952" s="13" t="n"/>
      <c r="F952" s="12" t="n"/>
      <c r="G952" s="13" t="n"/>
      <c r="H952" s="12" t="n"/>
      <c r="I952" s="12" t="n"/>
      <c r="J952" s="12" t="n"/>
      <c r="K952" s="12" t="n"/>
      <c r="L952" s="11" t="n"/>
      <c r="M952" s="11" t="n"/>
      <c r="N952" s="11" t="n"/>
      <c r="O952" s="11" t="n"/>
      <c r="P952" s="12" t="n"/>
      <c r="Q952" s="11" t="n"/>
      <c r="R952" s="12" t="n"/>
      <c r="S952" s="11" t="n"/>
      <c r="T952" s="12" t="n"/>
      <c r="U952" s="12" t="n"/>
      <c r="V952" s="12" t="n"/>
      <c r="W952" s="13" t="n"/>
      <c r="X952" s="14">
        <f>IF($AP952="",IF($B952="","",$H952),IF(INDEX(職員マスタ!$B$6:$B$405,$AP952)="",$H952,INDEX(職員マスタ!$B$6:$B$405,$AP952)))</f>
        <v/>
      </c>
      <c r="Y952" s="14">
        <f>IF($AP952="",IF($B952="","",$R952),IF(INDEX(職員マスタ!$C$6:$C$405,$AP952)="",$R952,INDEX(職員マスタ!$C$6:$C$405,$AP952)))</f>
        <v/>
      </c>
      <c r="Z952" s="14">
        <f>IF($AQ952="","","R"&amp;$C952&amp;"."&amp;$D952)</f>
        <v/>
      </c>
      <c r="AA952" s="15">
        <f>IF(IF($AP952="",FALSE,INDEX(職員マスタ!$K$6:$K$405,$AP952)&lt;&gt;""),INDEX(職員マスタ!$K$6:$K$405,$AP952),IF(N($W952)&gt;0,$W952,""))</f>
        <v/>
      </c>
      <c r="AB952" s="14">
        <f>IF(OR($E952="",$AA952=""),"",IF($E952&gt;=$AA952,"×",IF($E952&gt;=$AA952*設定!$C$5,"△","○")))</f>
        <v/>
      </c>
      <c r="AC952" s="15">
        <f>IF($AB952="","",IF($AB952="×",0,IF($AB952="○",ROUNDDOWN($E952*設定!$C$4,0),ROUNDDOWN($E952*ROUND((9*$AA952-9*$E952)/(10*$E952),4),0))))</f>
        <v/>
      </c>
      <c r="AD952" s="13" t="n"/>
      <c r="AE952" s="15">
        <f>IF($B952="","",IF($AD952&lt;&gt;"",$AD952,IF($AC952="","",IF($AC952&lt;=設定!$C$3,0,$AC952))))</f>
        <v/>
      </c>
      <c r="AF952" s="14">
        <f>IF($B952="","",IF(AND($AG952&lt;&gt;"",$AI952="",$AL952=""),"保留中",IF($AL952&lt;&gt;"",IF(N($AE952)&gt;0,"支給済","不支給"),IF($AE952="","要確認",IF($AE952=0,"不支給","未処理")))))</f>
        <v/>
      </c>
      <c r="AG952" s="12" t="n"/>
      <c r="AH952" s="11" t="n"/>
      <c r="AI952" s="11" t="n"/>
      <c r="AJ952" s="11" t="n"/>
      <c r="AK952" s="14">
        <f>IF(AND($AF952="保留中",$AH952&lt;&gt;""),TODAY()-$AH952,"")</f>
        <v/>
      </c>
      <c r="AL952" s="12" t="n"/>
      <c r="AM952" s="14">
        <f>IF($B952="","",IF($AQ952="","対象年月が未入力／","")&amp;IF($B952="","",IF($AP952="","職員マスタに未登録の職員番号／",IF($AA952="","標準報酬月額が未登録／","")&amp;IF(AND($AQ952&lt;&gt;"",OR(AND(INDEX(職員マスタ!$G$6:$G$405,$AP952)&lt;&gt;"",INDEX(職員マスタ!$G$6:$G$405,$AP952)&gt;EOMONTH($AQ952,0)),AND(INDEX(職員マスタ!$H$6:$H$405,$AP952)&lt;&gt;"",INDEX(職員マスタ!$H$6:$H$405,$AP952)&lt;$AQ952))),"対象月が時短期間外／","")&amp;IF(AND(INDEX(職員マスタ!$K$6:$K$405,$AP952)&lt;&gt;"",N($W952)&gt;0,INDEX(職員マスタ!$K$6:$K$405,$AP952)&lt;&gt;$W952),"標準報酬月額が申請書と相違（台帳"&amp;TEXT(INDEX(職員マスタ!$K$6:$K$405,$AP952),"#,##0")&amp;"円／申請書"&amp;TEXT($W952,"#,##0")&amp;"円）／","")&amp;IF(AND(INDEX(職員マスタ!$F$6:$F$405,$AP952)&lt;&gt;"",$AQ952&lt;&gt;"",INDEX(職員マスタ!$F$6:$F$405,$AP952)&lt;$AQ952),"対象月に子が2歳到達済／","")&amp;IF(AND($H952&lt;&gt;"",INDEX(職員マスタ!$B$6:$B$405,$AP952)&lt;&gt;"",SUBSTITUTE(SUBSTITUTE($H952," ","")," ","")&lt;&gt;SUBSTITUTE(SUBSTITUTE(INDEX(職員マスタ!$B$6:$B$405,$AP952)," ","")," ","")),"氏名がマスタと相違／","")&amp;IF(AND($Q952&lt;&gt;"",INDEX(職員マスタ!$E$6:$E$405,$AP952)&lt;&gt;"",$Q952&lt;&gt;INDEX(職員マスタ!$E$6:$E$405,$AP952)),"子の生年月日がマスタと相違／","")&amp;IF(AND($L952&lt;&gt;"",INDEX(職員マスタ!$G$6:$G$405,$AP952)&lt;&gt;"",$L952&lt;&gt;INDEX(職員マスタ!$G$6:$G$405,$AP952)),"時短開始日がマスタと相違／","")&amp;IF(AND($M952&lt;&gt;"",INDEX(職員マスタ!$H$6:$H$405,$AP952)&lt;&gt;"",$M952&lt;&gt;INDEX(職員マスタ!$H$6:$H$405,$AP952)),"時短終了日がマスタと相違／","")))&amp;IF(AND($B952&lt;&gt;"",$E952=""),"報酬額が未入力／","")&amp;IF(N($U952)&gt;0,"申請書に入力エラーが残っています／","")&amp;IF(AND($B952&lt;&gt;"",$AQ952&lt;&gt;""),IF(COUNTIFS($B$6:$B$3005,$B952,$C$6:$C$3005,$C952,$D$6:$D$3005,$D952)&gt;1,"同じ月の請求が重複しています／",""),"")&amp;IF(AND(N($E952)&gt;0,$AB952&lt;&gt;"",$AB952&lt;&gt;"×",$AE952=0,$AD952=""),"計算額が下限以下のため不支給／",""))</f>
        <v/>
      </c>
      <c r="AN952" s="12" t="n"/>
      <c r="AO952" s="14">
        <f>IF($AF952="保留中",COUNTIF($AF$6:$AF952,"保留中"),"")</f>
        <v/>
      </c>
      <c r="AP952" s="14">
        <f>IF($AQ952="","",IF(SUMPRODUCT(MAX((職員マスタ!$A$6:$A$405=$B952)*(((職員マスタ!$G$6:$G$405="")+(職員マスタ!$G$6:$G$405&lt;=EOMONTH($AQ952,0)))&gt;0)*(((職員マスタ!$H$6:$H$405="")+(職員マスタ!$H$6:$H$405&gt;=$AQ952))&gt;0)*(ROW(職員マスタ!$A$6:$A$405)-5)))&gt;0,SUMPRODUCT(MAX((職員マスタ!$A$6:$A$405=$B952)*(((職員マスタ!$G$6:$G$405="")+(職員マスタ!$G$6:$G$405&lt;=EOMONTH($AQ952,0)))&gt;0)*(((職員マスタ!$H$6:$H$405="")+(職員マスタ!$H$6:$H$405&gt;=$AQ952))&gt;0)*(ROW(職員マスタ!$A$6:$A$405)-5))),IFERROR(MATCH($B952,職員マスタ!$A$6:$A$405,0),"")))</f>
        <v/>
      </c>
      <c r="AQ952" s="16">
        <f>IF(OR($B952="",$C952="",$D952=""),"",DATE($C952+2018,$D952,1))</f>
        <v/>
      </c>
    </row>
    <row r="953">
      <c r="A953" s="11" t="n"/>
      <c r="B953" s="12" t="n"/>
      <c r="C953" s="12" t="n"/>
      <c r="D953" s="12" t="n"/>
      <c r="E953" s="13" t="n"/>
      <c r="F953" s="12" t="n"/>
      <c r="G953" s="13" t="n"/>
      <c r="H953" s="12" t="n"/>
      <c r="I953" s="12" t="n"/>
      <c r="J953" s="12" t="n"/>
      <c r="K953" s="12" t="n"/>
      <c r="L953" s="11" t="n"/>
      <c r="M953" s="11" t="n"/>
      <c r="N953" s="11" t="n"/>
      <c r="O953" s="11" t="n"/>
      <c r="P953" s="12" t="n"/>
      <c r="Q953" s="11" t="n"/>
      <c r="R953" s="12" t="n"/>
      <c r="S953" s="11" t="n"/>
      <c r="T953" s="12" t="n"/>
      <c r="U953" s="12" t="n"/>
      <c r="V953" s="12" t="n"/>
      <c r="W953" s="13" t="n"/>
      <c r="X953" s="14">
        <f>IF($AP953="",IF($B953="","",$H953),IF(INDEX(職員マスタ!$B$6:$B$405,$AP953)="",$H953,INDEX(職員マスタ!$B$6:$B$405,$AP953)))</f>
        <v/>
      </c>
      <c r="Y953" s="14">
        <f>IF($AP953="",IF($B953="","",$R953),IF(INDEX(職員マスタ!$C$6:$C$405,$AP953)="",$R953,INDEX(職員マスタ!$C$6:$C$405,$AP953)))</f>
        <v/>
      </c>
      <c r="Z953" s="14">
        <f>IF($AQ953="","","R"&amp;$C953&amp;"."&amp;$D953)</f>
        <v/>
      </c>
      <c r="AA953" s="15">
        <f>IF(IF($AP953="",FALSE,INDEX(職員マスタ!$K$6:$K$405,$AP953)&lt;&gt;""),INDEX(職員マスタ!$K$6:$K$405,$AP953),IF(N($W953)&gt;0,$W953,""))</f>
        <v/>
      </c>
      <c r="AB953" s="14">
        <f>IF(OR($E953="",$AA953=""),"",IF($E953&gt;=$AA953,"×",IF($E953&gt;=$AA953*設定!$C$5,"△","○")))</f>
        <v/>
      </c>
      <c r="AC953" s="15">
        <f>IF($AB953="","",IF($AB953="×",0,IF($AB953="○",ROUNDDOWN($E953*設定!$C$4,0),ROUNDDOWN($E953*ROUND((9*$AA953-9*$E953)/(10*$E953),4),0))))</f>
        <v/>
      </c>
      <c r="AD953" s="13" t="n"/>
      <c r="AE953" s="15">
        <f>IF($B953="","",IF($AD953&lt;&gt;"",$AD953,IF($AC953="","",IF($AC953&lt;=設定!$C$3,0,$AC953))))</f>
        <v/>
      </c>
      <c r="AF953" s="14">
        <f>IF($B953="","",IF(AND($AG953&lt;&gt;"",$AI953="",$AL953=""),"保留中",IF($AL953&lt;&gt;"",IF(N($AE953)&gt;0,"支給済","不支給"),IF($AE953="","要確認",IF($AE953=0,"不支給","未処理")))))</f>
        <v/>
      </c>
      <c r="AG953" s="12" t="n"/>
      <c r="AH953" s="11" t="n"/>
      <c r="AI953" s="11" t="n"/>
      <c r="AJ953" s="11" t="n"/>
      <c r="AK953" s="14">
        <f>IF(AND($AF953="保留中",$AH953&lt;&gt;""),TODAY()-$AH953,"")</f>
        <v/>
      </c>
      <c r="AL953" s="12" t="n"/>
      <c r="AM953" s="14">
        <f>IF($B953="","",IF($AQ953="","対象年月が未入力／","")&amp;IF($B953="","",IF($AP953="","職員マスタに未登録の職員番号／",IF($AA953="","標準報酬月額が未登録／","")&amp;IF(AND($AQ953&lt;&gt;"",OR(AND(INDEX(職員マスタ!$G$6:$G$405,$AP953)&lt;&gt;"",INDEX(職員マスタ!$G$6:$G$405,$AP953)&gt;EOMONTH($AQ953,0)),AND(INDEX(職員マスタ!$H$6:$H$405,$AP953)&lt;&gt;"",INDEX(職員マスタ!$H$6:$H$405,$AP953)&lt;$AQ953))),"対象月が時短期間外／","")&amp;IF(AND(INDEX(職員マスタ!$K$6:$K$405,$AP953)&lt;&gt;"",N($W953)&gt;0,INDEX(職員マスタ!$K$6:$K$405,$AP953)&lt;&gt;$W953),"標準報酬月額が申請書と相違（台帳"&amp;TEXT(INDEX(職員マスタ!$K$6:$K$405,$AP953),"#,##0")&amp;"円／申請書"&amp;TEXT($W953,"#,##0")&amp;"円）／","")&amp;IF(AND(INDEX(職員マスタ!$F$6:$F$405,$AP953)&lt;&gt;"",$AQ953&lt;&gt;"",INDEX(職員マスタ!$F$6:$F$405,$AP953)&lt;$AQ953),"対象月に子が2歳到達済／","")&amp;IF(AND($H953&lt;&gt;"",INDEX(職員マスタ!$B$6:$B$405,$AP953)&lt;&gt;"",SUBSTITUTE(SUBSTITUTE($H953," ","")," ","")&lt;&gt;SUBSTITUTE(SUBSTITUTE(INDEX(職員マスタ!$B$6:$B$405,$AP953)," ","")," ","")),"氏名がマスタと相違／","")&amp;IF(AND($Q953&lt;&gt;"",INDEX(職員マスタ!$E$6:$E$405,$AP953)&lt;&gt;"",$Q953&lt;&gt;INDEX(職員マスタ!$E$6:$E$405,$AP953)),"子の生年月日がマスタと相違／","")&amp;IF(AND($L953&lt;&gt;"",INDEX(職員マスタ!$G$6:$G$405,$AP953)&lt;&gt;"",$L953&lt;&gt;INDEX(職員マスタ!$G$6:$G$405,$AP953)),"時短開始日がマスタと相違／","")&amp;IF(AND($M953&lt;&gt;"",INDEX(職員マスタ!$H$6:$H$405,$AP953)&lt;&gt;"",$M953&lt;&gt;INDEX(職員マスタ!$H$6:$H$405,$AP953)),"時短終了日がマスタと相違／","")))&amp;IF(AND($B953&lt;&gt;"",$E953=""),"報酬額が未入力／","")&amp;IF(N($U953)&gt;0,"申請書に入力エラーが残っています／","")&amp;IF(AND($B953&lt;&gt;"",$AQ953&lt;&gt;""),IF(COUNTIFS($B$6:$B$3005,$B953,$C$6:$C$3005,$C953,$D$6:$D$3005,$D953)&gt;1,"同じ月の請求が重複しています／",""),"")&amp;IF(AND(N($E953)&gt;0,$AB953&lt;&gt;"",$AB953&lt;&gt;"×",$AE953=0,$AD953=""),"計算額が下限以下のため不支給／",""))</f>
        <v/>
      </c>
      <c r="AN953" s="12" t="n"/>
      <c r="AO953" s="14">
        <f>IF($AF953="保留中",COUNTIF($AF$6:$AF953,"保留中"),"")</f>
        <v/>
      </c>
      <c r="AP953" s="14">
        <f>IF($AQ953="","",IF(SUMPRODUCT(MAX((職員マスタ!$A$6:$A$405=$B953)*(((職員マスタ!$G$6:$G$405="")+(職員マスタ!$G$6:$G$405&lt;=EOMONTH($AQ953,0)))&gt;0)*(((職員マスタ!$H$6:$H$405="")+(職員マスタ!$H$6:$H$405&gt;=$AQ953))&gt;0)*(ROW(職員マスタ!$A$6:$A$405)-5)))&gt;0,SUMPRODUCT(MAX((職員マスタ!$A$6:$A$405=$B953)*(((職員マスタ!$G$6:$G$405="")+(職員マスタ!$G$6:$G$405&lt;=EOMONTH($AQ953,0)))&gt;0)*(((職員マスタ!$H$6:$H$405="")+(職員マスタ!$H$6:$H$405&gt;=$AQ953))&gt;0)*(ROW(職員マスタ!$A$6:$A$405)-5))),IFERROR(MATCH($B953,職員マスタ!$A$6:$A$405,0),"")))</f>
        <v/>
      </c>
      <c r="AQ953" s="16">
        <f>IF(OR($B953="",$C953="",$D953=""),"",DATE($C953+2018,$D953,1))</f>
        <v/>
      </c>
    </row>
    <row r="954">
      <c r="A954" s="11" t="n"/>
      <c r="B954" s="12" t="n"/>
      <c r="C954" s="12" t="n"/>
      <c r="D954" s="12" t="n"/>
      <c r="E954" s="13" t="n"/>
      <c r="F954" s="12" t="n"/>
      <c r="G954" s="13" t="n"/>
      <c r="H954" s="12" t="n"/>
      <c r="I954" s="12" t="n"/>
      <c r="J954" s="12" t="n"/>
      <c r="K954" s="12" t="n"/>
      <c r="L954" s="11" t="n"/>
      <c r="M954" s="11" t="n"/>
      <c r="N954" s="11" t="n"/>
      <c r="O954" s="11" t="n"/>
      <c r="P954" s="12" t="n"/>
      <c r="Q954" s="11" t="n"/>
      <c r="R954" s="12" t="n"/>
      <c r="S954" s="11" t="n"/>
      <c r="T954" s="12" t="n"/>
      <c r="U954" s="12" t="n"/>
      <c r="V954" s="12" t="n"/>
      <c r="W954" s="13" t="n"/>
      <c r="X954" s="14">
        <f>IF($AP954="",IF($B954="","",$H954),IF(INDEX(職員マスタ!$B$6:$B$405,$AP954)="",$H954,INDEX(職員マスタ!$B$6:$B$405,$AP954)))</f>
        <v/>
      </c>
      <c r="Y954" s="14">
        <f>IF($AP954="",IF($B954="","",$R954),IF(INDEX(職員マスタ!$C$6:$C$405,$AP954)="",$R954,INDEX(職員マスタ!$C$6:$C$405,$AP954)))</f>
        <v/>
      </c>
      <c r="Z954" s="14">
        <f>IF($AQ954="","","R"&amp;$C954&amp;"."&amp;$D954)</f>
        <v/>
      </c>
      <c r="AA954" s="15">
        <f>IF(IF($AP954="",FALSE,INDEX(職員マスタ!$K$6:$K$405,$AP954)&lt;&gt;""),INDEX(職員マスタ!$K$6:$K$405,$AP954),IF(N($W954)&gt;0,$W954,""))</f>
        <v/>
      </c>
      <c r="AB954" s="14">
        <f>IF(OR($E954="",$AA954=""),"",IF($E954&gt;=$AA954,"×",IF($E954&gt;=$AA954*設定!$C$5,"△","○")))</f>
        <v/>
      </c>
      <c r="AC954" s="15">
        <f>IF($AB954="","",IF($AB954="×",0,IF($AB954="○",ROUNDDOWN($E954*設定!$C$4,0),ROUNDDOWN($E954*ROUND((9*$AA954-9*$E954)/(10*$E954),4),0))))</f>
        <v/>
      </c>
      <c r="AD954" s="13" t="n"/>
      <c r="AE954" s="15">
        <f>IF($B954="","",IF($AD954&lt;&gt;"",$AD954,IF($AC954="","",IF($AC954&lt;=設定!$C$3,0,$AC954))))</f>
        <v/>
      </c>
      <c r="AF954" s="14">
        <f>IF($B954="","",IF(AND($AG954&lt;&gt;"",$AI954="",$AL954=""),"保留中",IF($AL954&lt;&gt;"",IF(N($AE954)&gt;0,"支給済","不支給"),IF($AE954="","要確認",IF($AE954=0,"不支給","未処理")))))</f>
        <v/>
      </c>
      <c r="AG954" s="12" t="n"/>
      <c r="AH954" s="11" t="n"/>
      <c r="AI954" s="11" t="n"/>
      <c r="AJ954" s="11" t="n"/>
      <c r="AK954" s="14">
        <f>IF(AND($AF954="保留中",$AH954&lt;&gt;""),TODAY()-$AH954,"")</f>
        <v/>
      </c>
      <c r="AL954" s="12" t="n"/>
      <c r="AM954" s="14">
        <f>IF($B954="","",IF($AQ954="","対象年月が未入力／","")&amp;IF($B954="","",IF($AP954="","職員マスタに未登録の職員番号／",IF($AA954="","標準報酬月額が未登録／","")&amp;IF(AND($AQ954&lt;&gt;"",OR(AND(INDEX(職員マスタ!$G$6:$G$405,$AP954)&lt;&gt;"",INDEX(職員マスタ!$G$6:$G$405,$AP954)&gt;EOMONTH($AQ954,0)),AND(INDEX(職員マスタ!$H$6:$H$405,$AP954)&lt;&gt;"",INDEX(職員マスタ!$H$6:$H$405,$AP954)&lt;$AQ954))),"対象月が時短期間外／","")&amp;IF(AND(INDEX(職員マスタ!$K$6:$K$405,$AP954)&lt;&gt;"",N($W954)&gt;0,INDEX(職員マスタ!$K$6:$K$405,$AP954)&lt;&gt;$W954),"標準報酬月額が申請書と相違（台帳"&amp;TEXT(INDEX(職員マスタ!$K$6:$K$405,$AP954),"#,##0")&amp;"円／申請書"&amp;TEXT($W954,"#,##0")&amp;"円）／","")&amp;IF(AND(INDEX(職員マスタ!$F$6:$F$405,$AP954)&lt;&gt;"",$AQ954&lt;&gt;"",INDEX(職員マスタ!$F$6:$F$405,$AP954)&lt;$AQ954),"対象月に子が2歳到達済／","")&amp;IF(AND($H954&lt;&gt;"",INDEX(職員マスタ!$B$6:$B$405,$AP954)&lt;&gt;"",SUBSTITUTE(SUBSTITUTE($H954," ","")," ","")&lt;&gt;SUBSTITUTE(SUBSTITUTE(INDEX(職員マスタ!$B$6:$B$405,$AP954)," ","")," ","")),"氏名がマスタと相違／","")&amp;IF(AND($Q954&lt;&gt;"",INDEX(職員マスタ!$E$6:$E$405,$AP954)&lt;&gt;"",$Q954&lt;&gt;INDEX(職員マスタ!$E$6:$E$405,$AP954)),"子の生年月日がマスタと相違／","")&amp;IF(AND($L954&lt;&gt;"",INDEX(職員マスタ!$G$6:$G$405,$AP954)&lt;&gt;"",$L954&lt;&gt;INDEX(職員マスタ!$G$6:$G$405,$AP954)),"時短開始日がマスタと相違／","")&amp;IF(AND($M954&lt;&gt;"",INDEX(職員マスタ!$H$6:$H$405,$AP954)&lt;&gt;"",$M954&lt;&gt;INDEX(職員マスタ!$H$6:$H$405,$AP954)),"時短終了日がマスタと相違／","")))&amp;IF(AND($B954&lt;&gt;"",$E954=""),"報酬額が未入力／","")&amp;IF(N($U954)&gt;0,"申請書に入力エラーが残っています／","")&amp;IF(AND($B954&lt;&gt;"",$AQ954&lt;&gt;""),IF(COUNTIFS($B$6:$B$3005,$B954,$C$6:$C$3005,$C954,$D$6:$D$3005,$D954)&gt;1,"同じ月の請求が重複しています／",""),"")&amp;IF(AND(N($E954)&gt;0,$AB954&lt;&gt;"",$AB954&lt;&gt;"×",$AE954=0,$AD954=""),"計算額が下限以下のため不支給／",""))</f>
        <v/>
      </c>
      <c r="AN954" s="12" t="n"/>
      <c r="AO954" s="14">
        <f>IF($AF954="保留中",COUNTIF($AF$6:$AF954,"保留中"),"")</f>
        <v/>
      </c>
      <c r="AP954" s="14">
        <f>IF($AQ954="","",IF(SUMPRODUCT(MAX((職員マスタ!$A$6:$A$405=$B954)*(((職員マスタ!$G$6:$G$405="")+(職員マスタ!$G$6:$G$405&lt;=EOMONTH($AQ954,0)))&gt;0)*(((職員マスタ!$H$6:$H$405="")+(職員マスタ!$H$6:$H$405&gt;=$AQ954))&gt;0)*(ROW(職員マスタ!$A$6:$A$405)-5)))&gt;0,SUMPRODUCT(MAX((職員マスタ!$A$6:$A$405=$B954)*(((職員マスタ!$G$6:$G$405="")+(職員マスタ!$G$6:$G$405&lt;=EOMONTH($AQ954,0)))&gt;0)*(((職員マスタ!$H$6:$H$405="")+(職員マスタ!$H$6:$H$405&gt;=$AQ954))&gt;0)*(ROW(職員マスタ!$A$6:$A$405)-5))),IFERROR(MATCH($B954,職員マスタ!$A$6:$A$405,0),"")))</f>
        <v/>
      </c>
      <c r="AQ954" s="16">
        <f>IF(OR($B954="",$C954="",$D954=""),"",DATE($C954+2018,$D954,1))</f>
        <v/>
      </c>
    </row>
    <row r="955">
      <c r="A955" s="11" t="n"/>
      <c r="B955" s="12" t="n"/>
      <c r="C955" s="12" t="n"/>
      <c r="D955" s="12" t="n"/>
      <c r="E955" s="13" t="n"/>
      <c r="F955" s="12" t="n"/>
      <c r="G955" s="13" t="n"/>
      <c r="H955" s="12" t="n"/>
      <c r="I955" s="12" t="n"/>
      <c r="J955" s="12" t="n"/>
      <c r="K955" s="12" t="n"/>
      <c r="L955" s="11" t="n"/>
      <c r="M955" s="11" t="n"/>
      <c r="N955" s="11" t="n"/>
      <c r="O955" s="11" t="n"/>
      <c r="P955" s="12" t="n"/>
      <c r="Q955" s="11" t="n"/>
      <c r="R955" s="12" t="n"/>
      <c r="S955" s="11" t="n"/>
      <c r="T955" s="12" t="n"/>
      <c r="U955" s="12" t="n"/>
      <c r="V955" s="12" t="n"/>
      <c r="W955" s="13" t="n"/>
      <c r="X955" s="14">
        <f>IF($AP955="",IF($B955="","",$H955),IF(INDEX(職員マスタ!$B$6:$B$405,$AP955)="",$H955,INDEX(職員マスタ!$B$6:$B$405,$AP955)))</f>
        <v/>
      </c>
      <c r="Y955" s="14">
        <f>IF($AP955="",IF($B955="","",$R955),IF(INDEX(職員マスタ!$C$6:$C$405,$AP955)="",$R955,INDEX(職員マスタ!$C$6:$C$405,$AP955)))</f>
        <v/>
      </c>
      <c r="Z955" s="14">
        <f>IF($AQ955="","","R"&amp;$C955&amp;"."&amp;$D955)</f>
        <v/>
      </c>
      <c r="AA955" s="15">
        <f>IF(IF($AP955="",FALSE,INDEX(職員マスタ!$K$6:$K$405,$AP955)&lt;&gt;""),INDEX(職員マスタ!$K$6:$K$405,$AP955),IF(N($W955)&gt;0,$W955,""))</f>
        <v/>
      </c>
      <c r="AB955" s="14">
        <f>IF(OR($E955="",$AA955=""),"",IF($E955&gt;=$AA955,"×",IF($E955&gt;=$AA955*設定!$C$5,"△","○")))</f>
        <v/>
      </c>
      <c r="AC955" s="15">
        <f>IF($AB955="","",IF($AB955="×",0,IF($AB955="○",ROUNDDOWN($E955*設定!$C$4,0),ROUNDDOWN($E955*ROUND((9*$AA955-9*$E955)/(10*$E955),4),0))))</f>
        <v/>
      </c>
      <c r="AD955" s="13" t="n"/>
      <c r="AE955" s="15">
        <f>IF($B955="","",IF($AD955&lt;&gt;"",$AD955,IF($AC955="","",IF($AC955&lt;=設定!$C$3,0,$AC955))))</f>
        <v/>
      </c>
      <c r="AF955" s="14">
        <f>IF($B955="","",IF(AND($AG955&lt;&gt;"",$AI955="",$AL955=""),"保留中",IF($AL955&lt;&gt;"",IF(N($AE955)&gt;0,"支給済","不支給"),IF($AE955="","要確認",IF($AE955=0,"不支給","未処理")))))</f>
        <v/>
      </c>
      <c r="AG955" s="12" t="n"/>
      <c r="AH955" s="11" t="n"/>
      <c r="AI955" s="11" t="n"/>
      <c r="AJ955" s="11" t="n"/>
      <c r="AK955" s="14">
        <f>IF(AND($AF955="保留中",$AH955&lt;&gt;""),TODAY()-$AH955,"")</f>
        <v/>
      </c>
      <c r="AL955" s="12" t="n"/>
      <c r="AM955" s="14">
        <f>IF($B955="","",IF($AQ955="","対象年月が未入力／","")&amp;IF($B955="","",IF($AP955="","職員マスタに未登録の職員番号／",IF($AA955="","標準報酬月額が未登録／","")&amp;IF(AND($AQ955&lt;&gt;"",OR(AND(INDEX(職員マスタ!$G$6:$G$405,$AP955)&lt;&gt;"",INDEX(職員マスタ!$G$6:$G$405,$AP955)&gt;EOMONTH($AQ955,0)),AND(INDEX(職員マスタ!$H$6:$H$405,$AP955)&lt;&gt;"",INDEX(職員マスタ!$H$6:$H$405,$AP955)&lt;$AQ955))),"対象月が時短期間外／","")&amp;IF(AND(INDEX(職員マスタ!$K$6:$K$405,$AP955)&lt;&gt;"",N($W955)&gt;0,INDEX(職員マスタ!$K$6:$K$405,$AP955)&lt;&gt;$W955),"標準報酬月額が申請書と相違（台帳"&amp;TEXT(INDEX(職員マスタ!$K$6:$K$405,$AP955),"#,##0")&amp;"円／申請書"&amp;TEXT($W955,"#,##0")&amp;"円）／","")&amp;IF(AND(INDEX(職員マスタ!$F$6:$F$405,$AP955)&lt;&gt;"",$AQ955&lt;&gt;"",INDEX(職員マスタ!$F$6:$F$405,$AP955)&lt;$AQ955),"対象月に子が2歳到達済／","")&amp;IF(AND($H955&lt;&gt;"",INDEX(職員マスタ!$B$6:$B$405,$AP955)&lt;&gt;"",SUBSTITUTE(SUBSTITUTE($H955," ","")," ","")&lt;&gt;SUBSTITUTE(SUBSTITUTE(INDEX(職員マスタ!$B$6:$B$405,$AP955)," ","")," ","")),"氏名がマスタと相違／","")&amp;IF(AND($Q955&lt;&gt;"",INDEX(職員マスタ!$E$6:$E$405,$AP955)&lt;&gt;"",$Q955&lt;&gt;INDEX(職員マスタ!$E$6:$E$405,$AP955)),"子の生年月日がマスタと相違／","")&amp;IF(AND($L955&lt;&gt;"",INDEX(職員マスタ!$G$6:$G$405,$AP955)&lt;&gt;"",$L955&lt;&gt;INDEX(職員マスタ!$G$6:$G$405,$AP955)),"時短開始日がマスタと相違／","")&amp;IF(AND($M955&lt;&gt;"",INDEX(職員マスタ!$H$6:$H$405,$AP955)&lt;&gt;"",$M955&lt;&gt;INDEX(職員マスタ!$H$6:$H$405,$AP955)),"時短終了日がマスタと相違／","")))&amp;IF(AND($B955&lt;&gt;"",$E955=""),"報酬額が未入力／","")&amp;IF(N($U955)&gt;0,"申請書に入力エラーが残っています／","")&amp;IF(AND($B955&lt;&gt;"",$AQ955&lt;&gt;""),IF(COUNTIFS($B$6:$B$3005,$B955,$C$6:$C$3005,$C955,$D$6:$D$3005,$D955)&gt;1,"同じ月の請求が重複しています／",""),"")&amp;IF(AND(N($E955)&gt;0,$AB955&lt;&gt;"",$AB955&lt;&gt;"×",$AE955=0,$AD955=""),"計算額が下限以下のため不支給／",""))</f>
        <v/>
      </c>
      <c r="AN955" s="12" t="n"/>
      <c r="AO955" s="14">
        <f>IF($AF955="保留中",COUNTIF($AF$6:$AF955,"保留中"),"")</f>
        <v/>
      </c>
      <c r="AP955" s="14">
        <f>IF($AQ955="","",IF(SUMPRODUCT(MAX((職員マスタ!$A$6:$A$405=$B955)*(((職員マスタ!$G$6:$G$405="")+(職員マスタ!$G$6:$G$405&lt;=EOMONTH($AQ955,0)))&gt;0)*(((職員マスタ!$H$6:$H$405="")+(職員マスタ!$H$6:$H$405&gt;=$AQ955))&gt;0)*(ROW(職員マスタ!$A$6:$A$405)-5)))&gt;0,SUMPRODUCT(MAX((職員マスタ!$A$6:$A$405=$B955)*(((職員マスタ!$G$6:$G$405="")+(職員マスタ!$G$6:$G$405&lt;=EOMONTH($AQ955,0)))&gt;0)*(((職員マスタ!$H$6:$H$405="")+(職員マスタ!$H$6:$H$405&gt;=$AQ955))&gt;0)*(ROW(職員マスタ!$A$6:$A$405)-5))),IFERROR(MATCH($B955,職員マスタ!$A$6:$A$405,0),"")))</f>
        <v/>
      </c>
      <c r="AQ955" s="16">
        <f>IF(OR($B955="",$C955="",$D955=""),"",DATE($C955+2018,$D955,1))</f>
        <v/>
      </c>
    </row>
    <row r="956">
      <c r="A956" s="11" t="n"/>
      <c r="B956" s="12" t="n"/>
      <c r="C956" s="12" t="n"/>
      <c r="D956" s="12" t="n"/>
      <c r="E956" s="13" t="n"/>
      <c r="F956" s="12" t="n"/>
      <c r="G956" s="13" t="n"/>
      <c r="H956" s="12" t="n"/>
      <c r="I956" s="12" t="n"/>
      <c r="J956" s="12" t="n"/>
      <c r="K956" s="12" t="n"/>
      <c r="L956" s="11" t="n"/>
      <c r="M956" s="11" t="n"/>
      <c r="N956" s="11" t="n"/>
      <c r="O956" s="11" t="n"/>
      <c r="P956" s="12" t="n"/>
      <c r="Q956" s="11" t="n"/>
      <c r="R956" s="12" t="n"/>
      <c r="S956" s="11" t="n"/>
      <c r="T956" s="12" t="n"/>
      <c r="U956" s="12" t="n"/>
      <c r="V956" s="12" t="n"/>
      <c r="W956" s="13" t="n"/>
      <c r="X956" s="14">
        <f>IF($AP956="",IF($B956="","",$H956),IF(INDEX(職員マスタ!$B$6:$B$405,$AP956)="",$H956,INDEX(職員マスタ!$B$6:$B$405,$AP956)))</f>
        <v/>
      </c>
      <c r="Y956" s="14">
        <f>IF($AP956="",IF($B956="","",$R956),IF(INDEX(職員マスタ!$C$6:$C$405,$AP956)="",$R956,INDEX(職員マスタ!$C$6:$C$405,$AP956)))</f>
        <v/>
      </c>
      <c r="Z956" s="14">
        <f>IF($AQ956="","","R"&amp;$C956&amp;"."&amp;$D956)</f>
        <v/>
      </c>
      <c r="AA956" s="15">
        <f>IF(IF($AP956="",FALSE,INDEX(職員マスタ!$K$6:$K$405,$AP956)&lt;&gt;""),INDEX(職員マスタ!$K$6:$K$405,$AP956),IF(N($W956)&gt;0,$W956,""))</f>
        <v/>
      </c>
      <c r="AB956" s="14">
        <f>IF(OR($E956="",$AA956=""),"",IF($E956&gt;=$AA956,"×",IF($E956&gt;=$AA956*設定!$C$5,"△","○")))</f>
        <v/>
      </c>
      <c r="AC956" s="15">
        <f>IF($AB956="","",IF($AB956="×",0,IF($AB956="○",ROUNDDOWN($E956*設定!$C$4,0),ROUNDDOWN($E956*ROUND((9*$AA956-9*$E956)/(10*$E956),4),0))))</f>
        <v/>
      </c>
      <c r="AD956" s="13" t="n"/>
      <c r="AE956" s="15">
        <f>IF($B956="","",IF($AD956&lt;&gt;"",$AD956,IF($AC956="","",IF($AC956&lt;=設定!$C$3,0,$AC956))))</f>
        <v/>
      </c>
      <c r="AF956" s="14">
        <f>IF($B956="","",IF(AND($AG956&lt;&gt;"",$AI956="",$AL956=""),"保留中",IF($AL956&lt;&gt;"",IF(N($AE956)&gt;0,"支給済","不支給"),IF($AE956="","要確認",IF($AE956=0,"不支給","未処理")))))</f>
        <v/>
      </c>
      <c r="AG956" s="12" t="n"/>
      <c r="AH956" s="11" t="n"/>
      <c r="AI956" s="11" t="n"/>
      <c r="AJ956" s="11" t="n"/>
      <c r="AK956" s="14">
        <f>IF(AND($AF956="保留中",$AH956&lt;&gt;""),TODAY()-$AH956,"")</f>
        <v/>
      </c>
      <c r="AL956" s="12" t="n"/>
      <c r="AM956" s="14">
        <f>IF($B956="","",IF($AQ956="","対象年月が未入力／","")&amp;IF($B956="","",IF($AP956="","職員マスタに未登録の職員番号／",IF($AA956="","標準報酬月額が未登録／","")&amp;IF(AND($AQ956&lt;&gt;"",OR(AND(INDEX(職員マスタ!$G$6:$G$405,$AP956)&lt;&gt;"",INDEX(職員マスタ!$G$6:$G$405,$AP956)&gt;EOMONTH($AQ956,0)),AND(INDEX(職員マスタ!$H$6:$H$405,$AP956)&lt;&gt;"",INDEX(職員マスタ!$H$6:$H$405,$AP956)&lt;$AQ956))),"対象月が時短期間外／","")&amp;IF(AND(INDEX(職員マスタ!$K$6:$K$405,$AP956)&lt;&gt;"",N($W956)&gt;0,INDEX(職員マスタ!$K$6:$K$405,$AP956)&lt;&gt;$W956),"標準報酬月額が申請書と相違（台帳"&amp;TEXT(INDEX(職員マスタ!$K$6:$K$405,$AP956),"#,##0")&amp;"円／申請書"&amp;TEXT($W956,"#,##0")&amp;"円）／","")&amp;IF(AND(INDEX(職員マスタ!$F$6:$F$405,$AP956)&lt;&gt;"",$AQ956&lt;&gt;"",INDEX(職員マスタ!$F$6:$F$405,$AP956)&lt;$AQ956),"対象月に子が2歳到達済／","")&amp;IF(AND($H956&lt;&gt;"",INDEX(職員マスタ!$B$6:$B$405,$AP956)&lt;&gt;"",SUBSTITUTE(SUBSTITUTE($H956," ","")," ","")&lt;&gt;SUBSTITUTE(SUBSTITUTE(INDEX(職員マスタ!$B$6:$B$405,$AP956)," ","")," ","")),"氏名がマスタと相違／","")&amp;IF(AND($Q956&lt;&gt;"",INDEX(職員マスタ!$E$6:$E$405,$AP956)&lt;&gt;"",$Q956&lt;&gt;INDEX(職員マスタ!$E$6:$E$405,$AP956)),"子の生年月日がマスタと相違／","")&amp;IF(AND($L956&lt;&gt;"",INDEX(職員マスタ!$G$6:$G$405,$AP956)&lt;&gt;"",$L956&lt;&gt;INDEX(職員マスタ!$G$6:$G$405,$AP956)),"時短開始日がマスタと相違／","")&amp;IF(AND($M956&lt;&gt;"",INDEX(職員マスタ!$H$6:$H$405,$AP956)&lt;&gt;"",$M956&lt;&gt;INDEX(職員マスタ!$H$6:$H$405,$AP956)),"時短終了日がマスタと相違／","")))&amp;IF(AND($B956&lt;&gt;"",$E956=""),"報酬額が未入力／","")&amp;IF(N($U956)&gt;0,"申請書に入力エラーが残っています／","")&amp;IF(AND($B956&lt;&gt;"",$AQ956&lt;&gt;""),IF(COUNTIFS($B$6:$B$3005,$B956,$C$6:$C$3005,$C956,$D$6:$D$3005,$D956)&gt;1,"同じ月の請求が重複しています／",""),"")&amp;IF(AND(N($E956)&gt;0,$AB956&lt;&gt;"",$AB956&lt;&gt;"×",$AE956=0,$AD956=""),"計算額が下限以下のため不支給／",""))</f>
        <v/>
      </c>
      <c r="AN956" s="12" t="n"/>
      <c r="AO956" s="14">
        <f>IF($AF956="保留中",COUNTIF($AF$6:$AF956,"保留中"),"")</f>
        <v/>
      </c>
      <c r="AP956" s="14">
        <f>IF($AQ956="","",IF(SUMPRODUCT(MAX((職員マスタ!$A$6:$A$405=$B956)*(((職員マスタ!$G$6:$G$405="")+(職員マスタ!$G$6:$G$405&lt;=EOMONTH($AQ956,0)))&gt;0)*(((職員マスタ!$H$6:$H$405="")+(職員マスタ!$H$6:$H$405&gt;=$AQ956))&gt;0)*(ROW(職員マスタ!$A$6:$A$405)-5)))&gt;0,SUMPRODUCT(MAX((職員マスタ!$A$6:$A$405=$B956)*(((職員マスタ!$G$6:$G$405="")+(職員マスタ!$G$6:$G$405&lt;=EOMONTH($AQ956,0)))&gt;0)*(((職員マスタ!$H$6:$H$405="")+(職員マスタ!$H$6:$H$405&gt;=$AQ956))&gt;0)*(ROW(職員マスタ!$A$6:$A$405)-5))),IFERROR(MATCH($B956,職員マスタ!$A$6:$A$405,0),"")))</f>
        <v/>
      </c>
      <c r="AQ956" s="16">
        <f>IF(OR($B956="",$C956="",$D956=""),"",DATE($C956+2018,$D956,1))</f>
        <v/>
      </c>
    </row>
    <row r="957">
      <c r="A957" s="11" t="n"/>
      <c r="B957" s="12" t="n"/>
      <c r="C957" s="12" t="n"/>
      <c r="D957" s="12" t="n"/>
      <c r="E957" s="13" t="n"/>
      <c r="F957" s="12" t="n"/>
      <c r="G957" s="13" t="n"/>
      <c r="H957" s="12" t="n"/>
      <c r="I957" s="12" t="n"/>
      <c r="J957" s="12" t="n"/>
      <c r="K957" s="12" t="n"/>
      <c r="L957" s="11" t="n"/>
      <c r="M957" s="11" t="n"/>
      <c r="N957" s="11" t="n"/>
      <c r="O957" s="11" t="n"/>
      <c r="P957" s="12" t="n"/>
      <c r="Q957" s="11" t="n"/>
      <c r="R957" s="12" t="n"/>
      <c r="S957" s="11" t="n"/>
      <c r="T957" s="12" t="n"/>
      <c r="U957" s="12" t="n"/>
      <c r="V957" s="12" t="n"/>
      <c r="W957" s="13" t="n"/>
      <c r="X957" s="14">
        <f>IF($AP957="",IF($B957="","",$H957),IF(INDEX(職員マスタ!$B$6:$B$405,$AP957)="",$H957,INDEX(職員マスタ!$B$6:$B$405,$AP957)))</f>
        <v/>
      </c>
      <c r="Y957" s="14">
        <f>IF($AP957="",IF($B957="","",$R957),IF(INDEX(職員マスタ!$C$6:$C$405,$AP957)="",$R957,INDEX(職員マスタ!$C$6:$C$405,$AP957)))</f>
        <v/>
      </c>
      <c r="Z957" s="14">
        <f>IF($AQ957="","","R"&amp;$C957&amp;"."&amp;$D957)</f>
        <v/>
      </c>
      <c r="AA957" s="15">
        <f>IF(IF($AP957="",FALSE,INDEX(職員マスタ!$K$6:$K$405,$AP957)&lt;&gt;""),INDEX(職員マスタ!$K$6:$K$405,$AP957),IF(N($W957)&gt;0,$W957,""))</f>
        <v/>
      </c>
      <c r="AB957" s="14">
        <f>IF(OR($E957="",$AA957=""),"",IF($E957&gt;=$AA957,"×",IF($E957&gt;=$AA957*設定!$C$5,"△","○")))</f>
        <v/>
      </c>
      <c r="AC957" s="15">
        <f>IF($AB957="","",IF($AB957="×",0,IF($AB957="○",ROUNDDOWN($E957*設定!$C$4,0),ROUNDDOWN($E957*ROUND((9*$AA957-9*$E957)/(10*$E957),4),0))))</f>
        <v/>
      </c>
      <c r="AD957" s="13" t="n"/>
      <c r="AE957" s="15">
        <f>IF($B957="","",IF($AD957&lt;&gt;"",$AD957,IF($AC957="","",IF($AC957&lt;=設定!$C$3,0,$AC957))))</f>
        <v/>
      </c>
      <c r="AF957" s="14">
        <f>IF($B957="","",IF(AND($AG957&lt;&gt;"",$AI957="",$AL957=""),"保留中",IF($AL957&lt;&gt;"",IF(N($AE957)&gt;0,"支給済","不支給"),IF($AE957="","要確認",IF($AE957=0,"不支給","未処理")))))</f>
        <v/>
      </c>
      <c r="AG957" s="12" t="n"/>
      <c r="AH957" s="11" t="n"/>
      <c r="AI957" s="11" t="n"/>
      <c r="AJ957" s="11" t="n"/>
      <c r="AK957" s="14">
        <f>IF(AND($AF957="保留中",$AH957&lt;&gt;""),TODAY()-$AH957,"")</f>
        <v/>
      </c>
      <c r="AL957" s="12" t="n"/>
      <c r="AM957" s="14">
        <f>IF($B957="","",IF($AQ957="","対象年月が未入力／","")&amp;IF($B957="","",IF($AP957="","職員マスタに未登録の職員番号／",IF($AA957="","標準報酬月額が未登録／","")&amp;IF(AND($AQ957&lt;&gt;"",OR(AND(INDEX(職員マスタ!$G$6:$G$405,$AP957)&lt;&gt;"",INDEX(職員マスタ!$G$6:$G$405,$AP957)&gt;EOMONTH($AQ957,0)),AND(INDEX(職員マスタ!$H$6:$H$405,$AP957)&lt;&gt;"",INDEX(職員マスタ!$H$6:$H$405,$AP957)&lt;$AQ957))),"対象月が時短期間外／","")&amp;IF(AND(INDEX(職員マスタ!$K$6:$K$405,$AP957)&lt;&gt;"",N($W957)&gt;0,INDEX(職員マスタ!$K$6:$K$405,$AP957)&lt;&gt;$W957),"標準報酬月額が申請書と相違（台帳"&amp;TEXT(INDEX(職員マスタ!$K$6:$K$405,$AP957),"#,##0")&amp;"円／申請書"&amp;TEXT($W957,"#,##0")&amp;"円）／","")&amp;IF(AND(INDEX(職員マスタ!$F$6:$F$405,$AP957)&lt;&gt;"",$AQ957&lt;&gt;"",INDEX(職員マスタ!$F$6:$F$405,$AP957)&lt;$AQ957),"対象月に子が2歳到達済／","")&amp;IF(AND($H957&lt;&gt;"",INDEX(職員マスタ!$B$6:$B$405,$AP957)&lt;&gt;"",SUBSTITUTE(SUBSTITUTE($H957," ","")," ","")&lt;&gt;SUBSTITUTE(SUBSTITUTE(INDEX(職員マスタ!$B$6:$B$405,$AP957)," ","")," ","")),"氏名がマスタと相違／","")&amp;IF(AND($Q957&lt;&gt;"",INDEX(職員マスタ!$E$6:$E$405,$AP957)&lt;&gt;"",$Q957&lt;&gt;INDEX(職員マスタ!$E$6:$E$405,$AP957)),"子の生年月日がマスタと相違／","")&amp;IF(AND($L957&lt;&gt;"",INDEX(職員マスタ!$G$6:$G$405,$AP957)&lt;&gt;"",$L957&lt;&gt;INDEX(職員マスタ!$G$6:$G$405,$AP957)),"時短開始日がマスタと相違／","")&amp;IF(AND($M957&lt;&gt;"",INDEX(職員マスタ!$H$6:$H$405,$AP957)&lt;&gt;"",$M957&lt;&gt;INDEX(職員マスタ!$H$6:$H$405,$AP957)),"時短終了日がマスタと相違／","")))&amp;IF(AND($B957&lt;&gt;"",$E957=""),"報酬額が未入力／","")&amp;IF(N($U957)&gt;0,"申請書に入力エラーが残っています／","")&amp;IF(AND($B957&lt;&gt;"",$AQ957&lt;&gt;""),IF(COUNTIFS($B$6:$B$3005,$B957,$C$6:$C$3005,$C957,$D$6:$D$3005,$D957)&gt;1,"同じ月の請求が重複しています／",""),"")&amp;IF(AND(N($E957)&gt;0,$AB957&lt;&gt;"",$AB957&lt;&gt;"×",$AE957=0,$AD957=""),"計算額が下限以下のため不支給／",""))</f>
        <v/>
      </c>
      <c r="AN957" s="12" t="n"/>
      <c r="AO957" s="14">
        <f>IF($AF957="保留中",COUNTIF($AF$6:$AF957,"保留中"),"")</f>
        <v/>
      </c>
      <c r="AP957" s="14">
        <f>IF($AQ957="","",IF(SUMPRODUCT(MAX((職員マスタ!$A$6:$A$405=$B957)*(((職員マスタ!$G$6:$G$405="")+(職員マスタ!$G$6:$G$405&lt;=EOMONTH($AQ957,0)))&gt;0)*(((職員マスタ!$H$6:$H$405="")+(職員マスタ!$H$6:$H$405&gt;=$AQ957))&gt;0)*(ROW(職員マスタ!$A$6:$A$405)-5)))&gt;0,SUMPRODUCT(MAX((職員マスタ!$A$6:$A$405=$B957)*(((職員マスタ!$G$6:$G$405="")+(職員マスタ!$G$6:$G$405&lt;=EOMONTH($AQ957,0)))&gt;0)*(((職員マスタ!$H$6:$H$405="")+(職員マスタ!$H$6:$H$405&gt;=$AQ957))&gt;0)*(ROW(職員マスタ!$A$6:$A$405)-5))),IFERROR(MATCH($B957,職員マスタ!$A$6:$A$405,0),"")))</f>
        <v/>
      </c>
      <c r="AQ957" s="16">
        <f>IF(OR($B957="",$C957="",$D957=""),"",DATE($C957+2018,$D957,1))</f>
        <v/>
      </c>
    </row>
    <row r="958">
      <c r="A958" s="11" t="n"/>
      <c r="B958" s="12" t="n"/>
      <c r="C958" s="12" t="n"/>
      <c r="D958" s="12" t="n"/>
      <c r="E958" s="13" t="n"/>
      <c r="F958" s="12" t="n"/>
      <c r="G958" s="13" t="n"/>
      <c r="H958" s="12" t="n"/>
      <c r="I958" s="12" t="n"/>
      <c r="J958" s="12" t="n"/>
      <c r="K958" s="12" t="n"/>
      <c r="L958" s="11" t="n"/>
      <c r="M958" s="11" t="n"/>
      <c r="N958" s="11" t="n"/>
      <c r="O958" s="11" t="n"/>
      <c r="P958" s="12" t="n"/>
      <c r="Q958" s="11" t="n"/>
      <c r="R958" s="12" t="n"/>
      <c r="S958" s="11" t="n"/>
      <c r="T958" s="12" t="n"/>
      <c r="U958" s="12" t="n"/>
      <c r="V958" s="12" t="n"/>
      <c r="W958" s="13" t="n"/>
      <c r="X958" s="14">
        <f>IF($AP958="",IF($B958="","",$H958),IF(INDEX(職員マスタ!$B$6:$B$405,$AP958)="",$H958,INDEX(職員マスタ!$B$6:$B$405,$AP958)))</f>
        <v/>
      </c>
      <c r="Y958" s="14">
        <f>IF($AP958="",IF($B958="","",$R958),IF(INDEX(職員マスタ!$C$6:$C$405,$AP958)="",$R958,INDEX(職員マスタ!$C$6:$C$405,$AP958)))</f>
        <v/>
      </c>
      <c r="Z958" s="14">
        <f>IF($AQ958="","","R"&amp;$C958&amp;"."&amp;$D958)</f>
        <v/>
      </c>
      <c r="AA958" s="15">
        <f>IF(IF($AP958="",FALSE,INDEX(職員マスタ!$K$6:$K$405,$AP958)&lt;&gt;""),INDEX(職員マスタ!$K$6:$K$405,$AP958),IF(N($W958)&gt;0,$W958,""))</f>
        <v/>
      </c>
      <c r="AB958" s="14">
        <f>IF(OR($E958="",$AA958=""),"",IF($E958&gt;=$AA958,"×",IF($E958&gt;=$AA958*設定!$C$5,"△","○")))</f>
        <v/>
      </c>
      <c r="AC958" s="15">
        <f>IF($AB958="","",IF($AB958="×",0,IF($AB958="○",ROUNDDOWN($E958*設定!$C$4,0),ROUNDDOWN($E958*ROUND((9*$AA958-9*$E958)/(10*$E958),4),0))))</f>
        <v/>
      </c>
      <c r="AD958" s="13" t="n"/>
      <c r="AE958" s="15">
        <f>IF($B958="","",IF($AD958&lt;&gt;"",$AD958,IF($AC958="","",IF($AC958&lt;=設定!$C$3,0,$AC958))))</f>
        <v/>
      </c>
      <c r="AF958" s="14">
        <f>IF($B958="","",IF(AND($AG958&lt;&gt;"",$AI958="",$AL958=""),"保留中",IF($AL958&lt;&gt;"",IF(N($AE958)&gt;0,"支給済","不支給"),IF($AE958="","要確認",IF($AE958=0,"不支給","未処理")))))</f>
        <v/>
      </c>
      <c r="AG958" s="12" t="n"/>
      <c r="AH958" s="11" t="n"/>
      <c r="AI958" s="11" t="n"/>
      <c r="AJ958" s="11" t="n"/>
      <c r="AK958" s="14">
        <f>IF(AND($AF958="保留中",$AH958&lt;&gt;""),TODAY()-$AH958,"")</f>
        <v/>
      </c>
      <c r="AL958" s="12" t="n"/>
      <c r="AM958" s="14">
        <f>IF($B958="","",IF($AQ958="","対象年月が未入力／","")&amp;IF($B958="","",IF($AP958="","職員マスタに未登録の職員番号／",IF($AA958="","標準報酬月額が未登録／","")&amp;IF(AND($AQ958&lt;&gt;"",OR(AND(INDEX(職員マスタ!$G$6:$G$405,$AP958)&lt;&gt;"",INDEX(職員マスタ!$G$6:$G$405,$AP958)&gt;EOMONTH($AQ958,0)),AND(INDEX(職員マスタ!$H$6:$H$405,$AP958)&lt;&gt;"",INDEX(職員マスタ!$H$6:$H$405,$AP958)&lt;$AQ958))),"対象月が時短期間外／","")&amp;IF(AND(INDEX(職員マスタ!$K$6:$K$405,$AP958)&lt;&gt;"",N($W958)&gt;0,INDEX(職員マスタ!$K$6:$K$405,$AP958)&lt;&gt;$W958),"標準報酬月額が申請書と相違（台帳"&amp;TEXT(INDEX(職員マスタ!$K$6:$K$405,$AP958),"#,##0")&amp;"円／申請書"&amp;TEXT($W958,"#,##0")&amp;"円）／","")&amp;IF(AND(INDEX(職員マスタ!$F$6:$F$405,$AP958)&lt;&gt;"",$AQ958&lt;&gt;"",INDEX(職員マスタ!$F$6:$F$405,$AP958)&lt;$AQ958),"対象月に子が2歳到達済／","")&amp;IF(AND($H958&lt;&gt;"",INDEX(職員マスタ!$B$6:$B$405,$AP958)&lt;&gt;"",SUBSTITUTE(SUBSTITUTE($H958," ","")," ","")&lt;&gt;SUBSTITUTE(SUBSTITUTE(INDEX(職員マスタ!$B$6:$B$405,$AP958)," ","")," ","")),"氏名がマスタと相違／","")&amp;IF(AND($Q958&lt;&gt;"",INDEX(職員マスタ!$E$6:$E$405,$AP958)&lt;&gt;"",$Q958&lt;&gt;INDEX(職員マスタ!$E$6:$E$405,$AP958)),"子の生年月日がマスタと相違／","")&amp;IF(AND($L958&lt;&gt;"",INDEX(職員マスタ!$G$6:$G$405,$AP958)&lt;&gt;"",$L958&lt;&gt;INDEX(職員マスタ!$G$6:$G$405,$AP958)),"時短開始日がマスタと相違／","")&amp;IF(AND($M958&lt;&gt;"",INDEX(職員マスタ!$H$6:$H$405,$AP958)&lt;&gt;"",$M958&lt;&gt;INDEX(職員マスタ!$H$6:$H$405,$AP958)),"時短終了日がマスタと相違／","")))&amp;IF(AND($B958&lt;&gt;"",$E958=""),"報酬額が未入力／","")&amp;IF(N($U958)&gt;0,"申請書に入力エラーが残っています／","")&amp;IF(AND($B958&lt;&gt;"",$AQ958&lt;&gt;""),IF(COUNTIFS($B$6:$B$3005,$B958,$C$6:$C$3005,$C958,$D$6:$D$3005,$D958)&gt;1,"同じ月の請求が重複しています／",""),"")&amp;IF(AND(N($E958)&gt;0,$AB958&lt;&gt;"",$AB958&lt;&gt;"×",$AE958=0,$AD958=""),"計算額が下限以下のため不支給／",""))</f>
        <v/>
      </c>
      <c r="AN958" s="12" t="n"/>
      <c r="AO958" s="14">
        <f>IF($AF958="保留中",COUNTIF($AF$6:$AF958,"保留中"),"")</f>
        <v/>
      </c>
      <c r="AP958" s="14">
        <f>IF($AQ958="","",IF(SUMPRODUCT(MAX((職員マスタ!$A$6:$A$405=$B958)*(((職員マスタ!$G$6:$G$405="")+(職員マスタ!$G$6:$G$405&lt;=EOMONTH($AQ958,0)))&gt;0)*(((職員マスタ!$H$6:$H$405="")+(職員マスタ!$H$6:$H$405&gt;=$AQ958))&gt;0)*(ROW(職員マスタ!$A$6:$A$405)-5)))&gt;0,SUMPRODUCT(MAX((職員マスタ!$A$6:$A$405=$B958)*(((職員マスタ!$G$6:$G$405="")+(職員マスタ!$G$6:$G$405&lt;=EOMONTH($AQ958,0)))&gt;0)*(((職員マスタ!$H$6:$H$405="")+(職員マスタ!$H$6:$H$405&gt;=$AQ958))&gt;0)*(ROW(職員マスタ!$A$6:$A$405)-5))),IFERROR(MATCH($B958,職員マスタ!$A$6:$A$405,0),"")))</f>
        <v/>
      </c>
      <c r="AQ958" s="16">
        <f>IF(OR($B958="",$C958="",$D958=""),"",DATE($C958+2018,$D958,1))</f>
        <v/>
      </c>
    </row>
    <row r="959">
      <c r="A959" s="11" t="n"/>
      <c r="B959" s="12" t="n"/>
      <c r="C959" s="12" t="n"/>
      <c r="D959" s="12" t="n"/>
      <c r="E959" s="13" t="n"/>
      <c r="F959" s="12" t="n"/>
      <c r="G959" s="13" t="n"/>
      <c r="H959" s="12" t="n"/>
      <c r="I959" s="12" t="n"/>
      <c r="J959" s="12" t="n"/>
      <c r="K959" s="12" t="n"/>
      <c r="L959" s="11" t="n"/>
      <c r="M959" s="11" t="n"/>
      <c r="N959" s="11" t="n"/>
      <c r="O959" s="11" t="n"/>
      <c r="P959" s="12" t="n"/>
      <c r="Q959" s="11" t="n"/>
      <c r="R959" s="12" t="n"/>
      <c r="S959" s="11" t="n"/>
      <c r="T959" s="12" t="n"/>
      <c r="U959" s="12" t="n"/>
      <c r="V959" s="12" t="n"/>
      <c r="W959" s="13" t="n"/>
      <c r="X959" s="14">
        <f>IF($AP959="",IF($B959="","",$H959),IF(INDEX(職員マスタ!$B$6:$B$405,$AP959)="",$H959,INDEX(職員マスタ!$B$6:$B$405,$AP959)))</f>
        <v/>
      </c>
      <c r="Y959" s="14">
        <f>IF($AP959="",IF($B959="","",$R959),IF(INDEX(職員マスタ!$C$6:$C$405,$AP959)="",$R959,INDEX(職員マスタ!$C$6:$C$405,$AP959)))</f>
        <v/>
      </c>
      <c r="Z959" s="14">
        <f>IF($AQ959="","","R"&amp;$C959&amp;"."&amp;$D959)</f>
        <v/>
      </c>
      <c r="AA959" s="15">
        <f>IF(IF($AP959="",FALSE,INDEX(職員マスタ!$K$6:$K$405,$AP959)&lt;&gt;""),INDEX(職員マスタ!$K$6:$K$405,$AP959),IF(N($W959)&gt;0,$W959,""))</f>
        <v/>
      </c>
      <c r="AB959" s="14">
        <f>IF(OR($E959="",$AA959=""),"",IF($E959&gt;=$AA959,"×",IF($E959&gt;=$AA959*設定!$C$5,"△","○")))</f>
        <v/>
      </c>
      <c r="AC959" s="15">
        <f>IF($AB959="","",IF($AB959="×",0,IF($AB959="○",ROUNDDOWN($E959*設定!$C$4,0),ROUNDDOWN($E959*ROUND((9*$AA959-9*$E959)/(10*$E959),4),0))))</f>
        <v/>
      </c>
      <c r="AD959" s="13" t="n"/>
      <c r="AE959" s="15">
        <f>IF($B959="","",IF($AD959&lt;&gt;"",$AD959,IF($AC959="","",IF($AC959&lt;=設定!$C$3,0,$AC959))))</f>
        <v/>
      </c>
      <c r="AF959" s="14">
        <f>IF($B959="","",IF(AND($AG959&lt;&gt;"",$AI959="",$AL959=""),"保留中",IF($AL959&lt;&gt;"",IF(N($AE959)&gt;0,"支給済","不支給"),IF($AE959="","要確認",IF($AE959=0,"不支給","未処理")))))</f>
        <v/>
      </c>
      <c r="AG959" s="12" t="n"/>
      <c r="AH959" s="11" t="n"/>
      <c r="AI959" s="11" t="n"/>
      <c r="AJ959" s="11" t="n"/>
      <c r="AK959" s="14">
        <f>IF(AND($AF959="保留中",$AH959&lt;&gt;""),TODAY()-$AH959,"")</f>
        <v/>
      </c>
      <c r="AL959" s="12" t="n"/>
      <c r="AM959" s="14">
        <f>IF($B959="","",IF($AQ959="","対象年月が未入力／","")&amp;IF($B959="","",IF($AP959="","職員マスタに未登録の職員番号／",IF($AA959="","標準報酬月額が未登録／","")&amp;IF(AND($AQ959&lt;&gt;"",OR(AND(INDEX(職員マスタ!$G$6:$G$405,$AP959)&lt;&gt;"",INDEX(職員マスタ!$G$6:$G$405,$AP959)&gt;EOMONTH($AQ959,0)),AND(INDEX(職員マスタ!$H$6:$H$405,$AP959)&lt;&gt;"",INDEX(職員マスタ!$H$6:$H$405,$AP959)&lt;$AQ959))),"対象月が時短期間外／","")&amp;IF(AND(INDEX(職員マスタ!$K$6:$K$405,$AP959)&lt;&gt;"",N($W959)&gt;0,INDEX(職員マスタ!$K$6:$K$405,$AP959)&lt;&gt;$W959),"標準報酬月額が申請書と相違（台帳"&amp;TEXT(INDEX(職員マスタ!$K$6:$K$405,$AP959),"#,##0")&amp;"円／申請書"&amp;TEXT($W959,"#,##0")&amp;"円）／","")&amp;IF(AND(INDEX(職員マスタ!$F$6:$F$405,$AP959)&lt;&gt;"",$AQ959&lt;&gt;"",INDEX(職員マスタ!$F$6:$F$405,$AP959)&lt;$AQ959),"対象月に子が2歳到達済／","")&amp;IF(AND($H959&lt;&gt;"",INDEX(職員マスタ!$B$6:$B$405,$AP959)&lt;&gt;"",SUBSTITUTE(SUBSTITUTE($H959," ","")," ","")&lt;&gt;SUBSTITUTE(SUBSTITUTE(INDEX(職員マスタ!$B$6:$B$405,$AP959)," ","")," ","")),"氏名がマスタと相違／","")&amp;IF(AND($Q959&lt;&gt;"",INDEX(職員マスタ!$E$6:$E$405,$AP959)&lt;&gt;"",$Q959&lt;&gt;INDEX(職員マスタ!$E$6:$E$405,$AP959)),"子の生年月日がマスタと相違／","")&amp;IF(AND($L959&lt;&gt;"",INDEX(職員マスタ!$G$6:$G$405,$AP959)&lt;&gt;"",$L959&lt;&gt;INDEX(職員マスタ!$G$6:$G$405,$AP959)),"時短開始日がマスタと相違／","")&amp;IF(AND($M959&lt;&gt;"",INDEX(職員マスタ!$H$6:$H$405,$AP959)&lt;&gt;"",$M959&lt;&gt;INDEX(職員マスタ!$H$6:$H$405,$AP959)),"時短終了日がマスタと相違／","")))&amp;IF(AND($B959&lt;&gt;"",$E959=""),"報酬額が未入力／","")&amp;IF(N($U959)&gt;0,"申請書に入力エラーが残っています／","")&amp;IF(AND($B959&lt;&gt;"",$AQ959&lt;&gt;""),IF(COUNTIFS($B$6:$B$3005,$B959,$C$6:$C$3005,$C959,$D$6:$D$3005,$D959)&gt;1,"同じ月の請求が重複しています／",""),"")&amp;IF(AND(N($E959)&gt;0,$AB959&lt;&gt;"",$AB959&lt;&gt;"×",$AE959=0,$AD959=""),"計算額が下限以下のため不支給／",""))</f>
        <v/>
      </c>
      <c r="AN959" s="12" t="n"/>
      <c r="AO959" s="14">
        <f>IF($AF959="保留中",COUNTIF($AF$6:$AF959,"保留中"),"")</f>
        <v/>
      </c>
      <c r="AP959" s="14">
        <f>IF($AQ959="","",IF(SUMPRODUCT(MAX((職員マスタ!$A$6:$A$405=$B959)*(((職員マスタ!$G$6:$G$405="")+(職員マスタ!$G$6:$G$405&lt;=EOMONTH($AQ959,0)))&gt;0)*(((職員マスタ!$H$6:$H$405="")+(職員マスタ!$H$6:$H$405&gt;=$AQ959))&gt;0)*(ROW(職員マスタ!$A$6:$A$405)-5)))&gt;0,SUMPRODUCT(MAX((職員マスタ!$A$6:$A$405=$B959)*(((職員マスタ!$G$6:$G$405="")+(職員マスタ!$G$6:$G$405&lt;=EOMONTH($AQ959,0)))&gt;0)*(((職員マスタ!$H$6:$H$405="")+(職員マスタ!$H$6:$H$405&gt;=$AQ959))&gt;0)*(ROW(職員マスタ!$A$6:$A$405)-5))),IFERROR(MATCH($B959,職員マスタ!$A$6:$A$405,0),"")))</f>
        <v/>
      </c>
      <c r="AQ959" s="16">
        <f>IF(OR($B959="",$C959="",$D959=""),"",DATE($C959+2018,$D959,1))</f>
        <v/>
      </c>
    </row>
    <row r="960">
      <c r="A960" s="11" t="n"/>
      <c r="B960" s="12" t="n"/>
      <c r="C960" s="12" t="n"/>
      <c r="D960" s="12" t="n"/>
      <c r="E960" s="13" t="n"/>
      <c r="F960" s="12" t="n"/>
      <c r="G960" s="13" t="n"/>
      <c r="H960" s="12" t="n"/>
      <c r="I960" s="12" t="n"/>
      <c r="J960" s="12" t="n"/>
      <c r="K960" s="12" t="n"/>
      <c r="L960" s="11" t="n"/>
      <c r="M960" s="11" t="n"/>
      <c r="N960" s="11" t="n"/>
      <c r="O960" s="11" t="n"/>
      <c r="P960" s="12" t="n"/>
      <c r="Q960" s="11" t="n"/>
      <c r="R960" s="12" t="n"/>
      <c r="S960" s="11" t="n"/>
      <c r="T960" s="12" t="n"/>
      <c r="U960" s="12" t="n"/>
      <c r="V960" s="12" t="n"/>
      <c r="W960" s="13" t="n"/>
      <c r="X960" s="14">
        <f>IF($AP960="",IF($B960="","",$H960),IF(INDEX(職員マスタ!$B$6:$B$405,$AP960)="",$H960,INDEX(職員マスタ!$B$6:$B$405,$AP960)))</f>
        <v/>
      </c>
      <c r="Y960" s="14">
        <f>IF($AP960="",IF($B960="","",$R960),IF(INDEX(職員マスタ!$C$6:$C$405,$AP960)="",$R960,INDEX(職員マスタ!$C$6:$C$405,$AP960)))</f>
        <v/>
      </c>
      <c r="Z960" s="14">
        <f>IF($AQ960="","","R"&amp;$C960&amp;"."&amp;$D960)</f>
        <v/>
      </c>
      <c r="AA960" s="15">
        <f>IF(IF($AP960="",FALSE,INDEX(職員マスタ!$K$6:$K$405,$AP960)&lt;&gt;""),INDEX(職員マスタ!$K$6:$K$405,$AP960),IF(N($W960)&gt;0,$W960,""))</f>
        <v/>
      </c>
      <c r="AB960" s="14">
        <f>IF(OR($E960="",$AA960=""),"",IF($E960&gt;=$AA960,"×",IF($E960&gt;=$AA960*設定!$C$5,"△","○")))</f>
        <v/>
      </c>
      <c r="AC960" s="15">
        <f>IF($AB960="","",IF($AB960="×",0,IF($AB960="○",ROUNDDOWN($E960*設定!$C$4,0),ROUNDDOWN($E960*ROUND((9*$AA960-9*$E960)/(10*$E960),4),0))))</f>
        <v/>
      </c>
      <c r="AD960" s="13" t="n"/>
      <c r="AE960" s="15">
        <f>IF($B960="","",IF($AD960&lt;&gt;"",$AD960,IF($AC960="","",IF($AC960&lt;=設定!$C$3,0,$AC960))))</f>
        <v/>
      </c>
      <c r="AF960" s="14">
        <f>IF($B960="","",IF(AND($AG960&lt;&gt;"",$AI960="",$AL960=""),"保留中",IF($AL960&lt;&gt;"",IF(N($AE960)&gt;0,"支給済","不支給"),IF($AE960="","要確認",IF($AE960=0,"不支給","未処理")))))</f>
        <v/>
      </c>
      <c r="AG960" s="12" t="n"/>
      <c r="AH960" s="11" t="n"/>
      <c r="AI960" s="11" t="n"/>
      <c r="AJ960" s="11" t="n"/>
      <c r="AK960" s="14">
        <f>IF(AND($AF960="保留中",$AH960&lt;&gt;""),TODAY()-$AH960,"")</f>
        <v/>
      </c>
      <c r="AL960" s="12" t="n"/>
      <c r="AM960" s="14">
        <f>IF($B960="","",IF($AQ960="","対象年月が未入力／","")&amp;IF($B960="","",IF($AP960="","職員マスタに未登録の職員番号／",IF($AA960="","標準報酬月額が未登録／","")&amp;IF(AND($AQ960&lt;&gt;"",OR(AND(INDEX(職員マスタ!$G$6:$G$405,$AP960)&lt;&gt;"",INDEX(職員マスタ!$G$6:$G$405,$AP960)&gt;EOMONTH($AQ960,0)),AND(INDEX(職員マスタ!$H$6:$H$405,$AP960)&lt;&gt;"",INDEX(職員マスタ!$H$6:$H$405,$AP960)&lt;$AQ960))),"対象月が時短期間外／","")&amp;IF(AND(INDEX(職員マスタ!$K$6:$K$405,$AP960)&lt;&gt;"",N($W960)&gt;0,INDEX(職員マスタ!$K$6:$K$405,$AP960)&lt;&gt;$W960),"標準報酬月額が申請書と相違（台帳"&amp;TEXT(INDEX(職員マスタ!$K$6:$K$405,$AP960),"#,##0")&amp;"円／申請書"&amp;TEXT($W960,"#,##0")&amp;"円）／","")&amp;IF(AND(INDEX(職員マスタ!$F$6:$F$405,$AP960)&lt;&gt;"",$AQ960&lt;&gt;"",INDEX(職員マスタ!$F$6:$F$405,$AP960)&lt;$AQ960),"対象月に子が2歳到達済／","")&amp;IF(AND($H960&lt;&gt;"",INDEX(職員マスタ!$B$6:$B$405,$AP960)&lt;&gt;"",SUBSTITUTE(SUBSTITUTE($H960," ","")," ","")&lt;&gt;SUBSTITUTE(SUBSTITUTE(INDEX(職員マスタ!$B$6:$B$405,$AP960)," ","")," ","")),"氏名がマスタと相違／","")&amp;IF(AND($Q960&lt;&gt;"",INDEX(職員マスタ!$E$6:$E$405,$AP960)&lt;&gt;"",$Q960&lt;&gt;INDEX(職員マスタ!$E$6:$E$405,$AP960)),"子の生年月日がマスタと相違／","")&amp;IF(AND($L960&lt;&gt;"",INDEX(職員マスタ!$G$6:$G$405,$AP960)&lt;&gt;"",$L960&lt;&gt;INDEX(職員マスタ!$G$6:$G$405,$AP960)),"時短開始日がマスタと相違／","")&amp;IF(AND($M960&lt;&gt;"",INDEX(職員マスタ!$H$6:$H$405,$AP960)&lt;&gt;"",$M960&lt;&gt;INDEX(職員マスタ!$H$6:$H$405,$AP960)),"時短終了日がマスタと相違／","")))&amp;IF(AND($B960&lt;&gt;"",$E960=""),"報酬額が未入力／","")&amp;IF(N($U960)&gt;0,"申請書に入力エラーが残っています／","")&amp;IF(AND($B960&lt;&gt;"",$AQ960&lt;&gt;""),IF(COUNTIFS($B$6:$B$3005,$B960,$C$6:$C$3005,$C960,$D$6:$D$3005,$D960)&gt;1,"同じ月の請求が重複しています／",""),"")&amp;IF(AND(N($E960)&gt;0,$AB960&lt;&gt;"",$AB960&lt;&gt;"×",$AE960=0,$AD960=""),"計算額が下限以下のため不支給／",""))</f>
        <v/>
      </c>
      <c r="AN960" s="12" t="n"/>
      <c r="AO960" s="14">
        <f>IF($AF960="保留中",COUNTIF($AF$6:$AF960,"保留中"),"")</f>
        <v/>
      </c>
      <c r="AP960" s="14">
        <f>IF($AQ960="","",IF(SUMPRODUCT(MAX((職員マスタ!$A$6:$A$405=$B960)*(((職員マスタ!$G$6:$G$405="")+(職員マスタ!$G$6:$G$405&lt;=EOMONTH($AQ960,0)))&gt;0)*(((職員マスタ!$H$6:$H$405="")+(職員マスタ!$H$6:$H$405&gt;=$AQ960))&gt;0)*(ROW(職員マスタ!$A$6:$A$405)-5)))&gt;0,SUMPRODUCT(MAX((職員マスタ!$A$6:$A$405=$B960)*(((職員マスタ!$G$6:$G$405="")+(職員マスタ!$G$6:$G$405&lt;=EOMONTH($AQ960,0)))&gt;0)*(((職員マスタ!$H$6:$H$405="")+(職員マスタ!$H$6:$H$405&gt;=$AQ960))&gt;0)*(ROW(職員マスタ!$A$6:$A$405)-5))),IFERROR(MATCH($B960,職員マスタ!$A$6:$A$405,0),"")))</f>
        <v/>
      </c>
      <c r="AQ960" s="16">
        <f>IF(OR($B960="",$C960="",$D960=""),"",DATE($C960+2018,$D960,1))</f>
        <v/>
      </c>
    </row>
    <row r="961">
      <c r="A961" s="11" t="n"/>
      <c r="B961" s="12" t="n"/>
      <c r="C961" s="12" t="n"/>
      <c r="D961" s="12" t="n"/>
      <c r="E961" s="13" t="n"/>
      <c r="F961" s="12" t="n"/>
      <c r="G961" s="13" t="n"/>
      <c r="H961" s="12" t="n"/>
      <c r="I961" s="12" t="n"/>
      <c r="J961" s="12" t="n"/>
      <c r="K961" s="12" t="n"/>
      <c r="L961" s="11" t="n"/>
      <c r="M961" s="11" t="n"/>
      <c r="N961" s="11" t="n"/>
      <c r="O961" s="11" t="n"/>
      <c r="P961" s="12" t="n"/>
      <c r="Q961" s="11" t="n"/>
      <c r="R961" s="12" t="n"/>
      <c r="S961" s="11" t="n"/>
      <c r="T961" s="12" t="n"/>
      <c r="U961" s="12" t="n"/>
      <c r="V961" s="12" t="n"/>
      <c r="W961" s="13" t="n"/>
      <c r="X961" s="14">
        <f>IF($AP961="",IF($B961="","",$H961),IF(INDEX(職員マスタ!$B$6:$B$405,$AP961)="",$H961,INDEX(職員マスタ!$B$6:$B$405,$AP961)))</f>
        <v/>
      </c>
      <c r="Y961" s="14">
        <f>IF($AP961="",IF($B961="","",$R961),IF(INDEX(職員マスタ!$C$6:$C$405,$AP961)="",$R961,INDEX(職員マスタ!$C$6:$C$405,$AP961)))</f>
        <v/>
      </c>
      <c r="Z961" s="14">
        <f>IF($AQ961="","","R"&amp;$C961&amp;"."&amp;$D961)</f>
        <v/>
      </c>
      <c r="AA961" s="15">
        <f>IF(IF($AP961="",FALSE,INDEX(職員マスタ!$K$6:$K$405,$AP961)&lt;&gt;""),INDEX(職員マスタ!$K$6:$K$405,$AP961),IF(N($W961)&gt;0,$W961,""))</f>
        <v/>
      </c>
      <c r="AB961" s="14">
        <f>IF(OR($E961="",$AA961=""),"",IF($E961&gt;=$AA961,"×",IF($E961&gt;=$AA961*設定!$C$5,"△","○")))</f>
        <v/>
      </c>
      <c r="AC961" s="15">
        <f>IF($AB961="","",IF($AB961="×",0,IF($AB961="○",ROUNDDOWN($E961*設定!$C$4,0),ROUNDDOWN($E961*ROUND((9*$AA961-9*$E961)/(10*$E961),4),0))))</f>
        <v/>
      </c>
      <c r="AD961" s="13" t="n"/>
      <c r="AE961" s="15">
        <f>IF($B961="","",IF($AD961&lt;&gt;"",$AD961,IF($AC961="","",IF($AC961&lt;=設定!$C$3,0,$AC961))))</f>
        <v/>
      </c>
      <c r="AF961" s="14">
        <f>IF($B961="","",IF(AND($AG961&lt;&gt;"",$AI961="",$AL961=""),"保留中",IF($AL961&lt;&gt;"",IF(N($AE961)&gt;0,"支給済","不支給"),IF($AE961="","要確認",IF($AE961=0,"不支給","未処理")))))</f>
        <v/>
      </c>
      <c r="AG961" s="12" t="n"/>
      <c r="AH961" s="11" t="n"/>
      <c r="AI961" s="11" t="n"/>
      <c r="AJ961" s="11" t="n"/>
      <c r="AK961" s="14">
        <f>IF(AND($AF961="保留中",$AH961&lt;&gt;""),TODAY()-$AH961,"")</f>
        <v/>
      </c>
      <c r="AL961" s="12" t="n"/>
      <c r="AM961" s="14">
        <f>IF($B961="","",IF($AQ961="","対象年月が未入力／","")&amp;IF($B961="","",IF($AP961="","職員マスタに未登録の職員番号／",IF($AA961="","標準報酬月額が未登録／","")&amp;IF(AND($AQ961&lt;&gt;"",OR(AND(INDEX(職員マスタ!$G$6:$G$405,$AP961)&lt;&gt;"",INDEX(職員マスタ!$G$6:$G$405,$AP961)&gt;EOMONTH($AQ961,0)),AND(INDEX(職員マスタ!$H$6:$H$405,$AP961)&lt;&gt;"",INDEX(職員マスタ!$H$6:$H$405,$AP961)&lt;$AQ961))),"対象月が時短期間外／","")&amp;IF(AND(INDEX(職員マスタ!$K$6:$K$405,$AP961)&lt;&gt;"",N($W961)&gt;0,INDEX(職員マスタ!$K$6:$K$405,$AP961)&lt;&gt;$W961),"標準報酬月額が申請書と相違（台帳"&amp;TEXT(INDEX(職員マスタ!$K$6:$K$405,$AP961),"#,##0")&amp;"円／申請書"&amp;TEXT($W961,"#,##0")&amp;"円）／","")&amp;IF(AND(INDEX(職員マスタ!$F$6:$F$405,$AP961)&lt;&gt;"",$AQ961&lt;&gt;"",INDEX(職員マスタ!$F$6:$F$405,$AP961)&lt;$AQ961),"対象月に子が2歳到達済／","")&amp;IF(AND($H961&lt;&gt;"",INDEX(職員マスタ!$B$6:$B$405,$AP961)&lt;&gt;"",SUBSTITUTE(SUBSTITUTE($H961," ","")," ","")&lt;&gt;SUBSTITUTE(SUBSTITUTE(INDEX(職員マスタ!$B$6:$B$405,$AP961)," ","")," ","")),"氏名がマスタと相違／","")&amp;IF(AND($Q961&lt;&gt;"",INDEX(職員マスタ!$E$6:$E$405,$AP961)&lt;&gt;"",$Q961&lt;&gt;INDEX(職員マスタ!$E$6:$E$405,$AP961)),"子の生年月日がマスタと相違／","")&amp;IF(AND($L961&lt;&gt;"",INDEX(職員マスタ!$G$6:$G$405,$AP961)&lt;&gt;"",$L961&lt;&gt;INDEX(職員マスタ!$G$6:$G$405,$AP961)),"時短開始日がマスタと相違／","")&amp;IF(AND($M961&lt;&gt;"",INDEX(職員マスタ!$H$6:$H$405,$AP961)&lt;&gt;"",$M961&lt;&gt;INDEX(職員マスタ!$H$6:$H$405,$AP961)),"時短終了日がマスタと相違／","")))&amp;IF(AND($B961&lt;&gt;"",$E961=""),"報酬額が未入力／","")&amp;IF(N($U961)&gt;0,"申請書に入力エラーが残っています／","")&amp;IF(AND($B961&lt;&gt;"",$AQ961&lt;&gt;""),IF(COUNTIFS($B$6:$B$3005,$B961,$C$6:$C$3005,$C961,$D$6:$D$3005,$D961)&gt;1,"同じ月の請求が重複しています／",""),"")&amp;IF(AND(N($E961)&gt;0,$AB961&lt;&gt;"",$AB961&lt;&gt;"×",$AE961=0,$AD961=""),"計算額が下限以下のため不支給／",""))</f>
        <v/>
      </c>
      <c r="AN961" s="12" t="n"/>
      <c r="AO961" s="14">
        <f>IF($AF961="保留中",COUNTIF($AF$6:$AF961,"保留中"),"")</f>
        <v/>
      </c>
      <c r="AP961" s="14">
        <f>IF($AQ961="","",IF(SUMPRODUCT(MAX((職員マスタ!$A$6:$A$405=$B961)*(((職員マスタ!$G$6:$G$405="")+(職員マスタ!$G$6:$G$405&lt;=EOMONTH($AQ961,0)))&gt;0)*(((職員マスタ!$H$6:$H$405="")+(職員マスタ!$H$6:$H$405&gt;=$AQ961))&gt;0)*(ROW(職員マスタ!$A$6:$A$405)-5)))&gt;0,SUMPRODUCT(MAX((職員マスタ!$A$6:$A$405=$B961)*(((職員マスタ!$G$6:$G$405="")+(職員マスタ!$G$6:$G$405&lt;=EOMONTH($AQ961,0)))&gt;0)*(((職員マスタ!$H$6:$H$405="")+(職員マスタ!$H$6:$H$405&gt;=$AQ961))&gt;0)*(ROW(職員マスタ!$A$6:$A$405)-5))),IFERROR(MATCH($B961,職員マスタ!$A$6:$A$405,0),"")))</f>
        <v/>
      </c>
      <c r="AQ961" s="16">
        <f>IF(OR($B961="",$C961="",$D961=""),"",DATE($C961+2018,$D961,1))</f>
        <v/>
      </c>
    </row>
    <row r="962">
      <c r="A962" s="11" t="n"/>
      <c r="B962" s="12" t="n"/>
      <c r="C962" s="12" t="n"/>
      <c r="D962" s="12" t="n"/>
      <c r="E962" s="13" t="n"/>
      <c r="F962" s="12" t="n"/>
      <c r="G962" s="13" t="n"/>
      <c r="H962" s="12" t="n"/>
      <c r="I962" s="12" t="n"/>
      <c r="J962" s="12" t="n"/>
      <c r="K962" s="12" t="n"/>
      <c r="L962" s="11" t="n"/>
      <c r="M962" s="11" t="n"/>
      <c r="N962" s="11" t="n"/>
      <c r="O962" s="11" t="n"/>
      <c r="P962" s="12" t="n"/>
      <c r="Q962" s="11" t="n"/>
      <c r="R962" s="12" t="n"/>
      <c r="S962" s="11" t="n"/>
      <c r="T962" s="12" t="n"/>
      <c r="U962" s="12" t="n"/>
      <c r="V962" s="12" t="n"/>
      <c r="W962" s="13" t="n"/>
      <c r="X962" s="14">
        <f>IF($AP962="",IF($B962="","",$H962),IF(INDEX(職員マスタ!$B$6:$B$405,$AP962)="",$H962,INDEX(職員マスタ!$B$6:$B$405,$AP962)))</f>
        <v/>
      </c>
      <c r="Y962" s="14">
        <f>IF($AP962="",IF($B962="","",$R962),IF(INDEX(職員マスタ!$C$6:$C$405,$AP962)="",$R962,INDEX(職員マスタ!$C$6:$C$405,$AP962)))</f>
        <v/>
      </c>
      <c r="Z962" s="14">
        <f>IF($AQ962="","","R"&amp;$C962&amp;"."&amp;$D962)</f>
        <v/>
      </c>
      <c r="AA962" s="15">
        <f>IF(IF($AP962="",FALSE,INDEX(職員マスタ!$K$6:$K$405,$AP962)&lt;&gt;""),INDEX(職員マスタ!$K$6:$K$405,$AP962),IF(N($W962)&gt;0,$W962,""))</f>
        <v/>
      </c>
      <c r="AB962" s="14">
        <f>IF(OR($E962="",$AA962=""),"",IF($E962&gt;=$AA962,"×",IF($E962&gt;=$AA962*設定!$C$5,"△","○")))</f>
        <v/>
      </c>
      <c r="AC962" s="15">
        <f>IF($AB962="","",IF($AB962="×",0,IF($AB962="○",ROUNDDOWN($E962*設定!$C$4,0),ROUNDDOWN($E962*ROUND((9*$AA962-9*$E962)/(10*$E962),4),0))))</f>
        <v/>
      </c>
      <c r="AD962" s="13" t="n"/>
      <c r="AE962" s="15">
        <f>IF($B962="","",IF($AD962&lt;&gt;"",$AD962,IF($AC962="","",IF($AC962&lt;=設定!$C$3,0,$AC962))))</f>
        <v/>
      </c>
      <c r="AF962" s="14">
        <f>IF($B962="","",IF(AND($AG962&lt;&gt;"",$AI962="",$AL962=""),"保留中",IF($AL962&lt;&gt;"",IF(N($AE962)&gt;0,"支給済","不支給"),IF($AE962="","要確認",IF($AE962=0,"不支給","未処理")))))</f>
        <v/>
      </c>
      <c r="AG962" s="12" t="n"/>
      <c r="AH962" s="11" t="n"/>
      <c r="AI962" s="11" t="n"/>
      <c r="AJ962" s="11" t="n"/>
      <c r="AK962" s="14">
        <f>IF(AND($AF962="保留中",$AH962&lt;&gt;""),TODAY()-$AH962,"")</f>
        <v/>
      </c>
      <c r="AL962" s="12" t="n"/>
      <c r="AM962" s="14">
        <f>IF($B962="","",IF($AQ962="","対象年月が未入力／","")&amp;IF($B962="","",IF($AP962="","職員マスタに未登録の職員番号／",IF($AA962="","標準報酬月額が未登録／","")&amp;IF(AND($AQ962&lt;&gt;"",OR(AND(INDEX(職員マスタ!$G$6:$G$405,$AP962)&lt;&gt;"",INDEX(職員マスタ!$G$6:$G$405,$AP962)&gt;EOMONTH($AQ962,0)),AND(INDEX(職員マスタ!$H$6:$H$405,$AP962)&lt;&gt;"",INDEX(職員マスタ!$H$6:$H$405,$AP962)&lt;$AQ962))),"対象月が時短期間外／","")&amp;IF(AND(INDEX(職員マスタ!$K$6:$K$405,$AP962)&lt;&gt;"",N($W962)&gt;0,INDEX(職員マスタ!$K$6:$K$405,$AP962)&lt;&gt;$W962),"標準報酬月額が申請書と相違（台帳"&amp;TEXT(INDEX(職員マスタ!$K$6:$K$405,$AP962),"#,##0")&amp;"円／申請書"&amp;TEXT($W962,"#,##0")&amp;"円）／","")&amp;IF(AND(INDEX(職員マスタ!$F$6:$F$405,$AP962)&lt;&gt;"",$AQ962&lt;&gt;"",INDEX(職員マスタ!$F$6:$F$405,$AP962)&lt;$AQ962),"対象月に子が2歳到達済／","")&amp;IF(AND($H962&lt;&gt;"",INDEX(職員マスタ!$B$6:$B$405,$AP962)&lt;&gt;"",SUBSTITUTE(SUBSTITUTE($H962," ","")," ","")&lt;&gt;SUBSTITUTE(SUBSTITUTE(INDEX(職員マスタ!$B$6:$B$405,$AP962)," ","")," ","")),"氏名がマスタと相違／","")&amp;IF(AND($Q962&lt;&gt;"",INDEX(職員マスタ!$E$6:$E$405,$AP962)&lt;&gt;"",$Q962&lt;&gt;INDEX(職員マスタ!$E$6:$E$405,$AP962)),"子の生年月日がマスタと相違／","")&amp;IF(AND($L962&lt;&gt;"",INDEX(職員マスタ!$G$6:$G$405,$AP962)&lt;&gt;"",$L962&lt;&gt;INDEX(職員マスタ!$G$6:$G$405,$AP962)),"時短開始日がマスタと相違／","")&amp;IF(AND($M962&lt;&gt;"",INDEX(職員マスタ!$H$6:$H$405,$AP962)&lt;&gt;"",$M962&lt;&gt;INDEX(職員マスタ!$H$6:$H$405,$AP962)),"時短終了日がマスタと相違／","")))&amp;IF(AND($B962&lt;&gt;"",$E962=""),"報酬額が未入力／","")&amp;IF(N($U962)&gt;0,"申請書に入力エラーが残っています／","")&amp;IF(AND($B962&lt;&gt;"",$AQ962&lt;&gt;""),IF(COUNTIFS($B$6:$B$3005,$B962,$C$6:$C$3005,$C962,$D$6:$D$3005,$D962)&gt;1,"同じ月の請求が重複しています／",""),"")&amp;IF(AND(N($E962)&gt;0,$AB962&lt;&gt;"",$AB962&lt;&gt;"×",$AE962=0,$AD962=""),"計算額が下限以下のため不支給／",""))</f>
        <v/>
      </c>
      <c r="AN962" s="12" t="n"/>
      <c r="AO962" s="14">
        <f>IF($AF962="保留中",COUNTIF($AF$6:$AF962,"保留中"),"")</f>
        <v/>
      </c>
      <c r="AP962" s="14">
        <f>IF($AQ962="","",IF(SUMPRODUCT(MAX((職員マスタ!$A$6:$A$405=$B962)*(((職員マスタ!$G$6:$G$405="")+(職員マスタ!$G$6:$G$405&lt;=EOMONTH($AQ962,0)))&gt;0)*(((職員マスタ!$H$6:$H$405="")+(職員マスタ!$H$6:$H$405&gt;=$AQ962))&gt;0)*(ROW(職員マスタ!$A$6:$A$405)-5)))&gt;0,SUMPRODUCT(MAX((職員マスタ!$A$6:$A$405=$B962)*(((職員マスタ!$G$6:$G$405="")+(職員マスタ!$G$6:$G$405&lt;=EOMONTH($AQ962,0)))&gt;0)*(((職員マスタ!$H$6:$H$405="")+(職員マスタ!$H$6:$H$405&gt;=$AQ962))&gt;0)*(ROW(職員マスタ!$A$6:$A$405)-5))),IFERROR(MATCH($B962,職員マスタ!$A$6:$A$405,0),"")))</f>
        <v/>
      </c>
      <c r="AQ962" s="16">
        <f>IF(OR($B962="",$C962="",$D962=""),"",DATE($C962+2018,$D962,1))</f>
        <v/>
      </c>
    </row>
    <row r="963">
      <c r="A963" s="11" t="n"/>
      <c r="B963" s="12" t="n"/>
      <c r="C963" s="12" t="n"/>
      <c r="D963" s="12" t="n"/>
      <c r="E963" s="13" t="n"/>
      <c r="F963" s="12" t="n"/>
      <c r="G963" s="13" t="n"/>
      <c r="H963" s="12" t="n"/>
      <c r="I963" s="12" t="n"/>
      <c r="J963" s="12" t="n"/>
      <c r="K963" s="12" t="n"/>
      <c r="L963" s="11" t="n"/>
      <c r="M963" s="11" t="n"/>
      <c r="N963" s="11" t="n"/>
      <c r="O963" s="11" t="n"/>
      <c r="P963" s="12" t="n"/>
      <c r="Q963" s="11" t="n"/>
      <c r="R963" s="12" t="n"/>
      <c r="S963" s="11" t="n"/>
      <c r="T963" s="12" t="n"/>
      <c r="U963" s="12" t="n"/>
      <c r="V963" s="12" t="n"/>
      <c r="W963" s="13" t="n"/>
      <c r="X963" s="14">
        <f>IF($AP963="",IF($B963="","",$H963),IF(INDEX(職員マスタ!$B$6:$B$405,$AP963)="",$H963,INDEX(職員マスタ!$B$6:$B$405,$AP963)))</f>
        <v/>
      </c>
      <c r="Y963" s="14">
        <f>IF($AP963="",IF($B963="","",$R963),IF(INDEX(職員マスタ!$C$6:$C$405,$AP963)="",$R963,INDEX(職員マスタ!$C$6:$C$405,$AP963)))</f>
        <v/>
      </c>
      <c r="Z963" s="14">
        <f>IF($AQ963="","","R"&amp;$C963&amp;"."&amp;$D963)</f>
        <v/>
      </c>
      <c r="AA963" s="15">
        <f>IF(IF($AP963="",FALSE,INDEX(職員マスタ!$K$6:$K$405,$AP963)&lt;&gt;""),INDEX(職員マスタ!$K$6:$K$405,$AP963),IF(N($W963)&gt;0,$W963,""))</f>
        <v/>
      </c>
      <c r="AB963" s="14">
        <f>IF(OR($E963="",$AA963=""),"",IF($E963&gt;=$AA963,"×",IF($E963&gt;=$AA963*設定!$C$5,"△","○")))</f>
        <v/>
      </c>
      <c r="AC963" s="15">
        <f>IF($AB963="","",IF($AB963="×",0,IF($AB963="○",ROUNDDOWN($E963*設定!$C$4,0),ROUNDDOWN($E963*ROUND((9*$AA963-9*$E963)/(10*$E963),4),0))))</f>
        <v/>
      </c>
      <c r="AD963" s="13" t="n"/>
      <c r="AE963" s="15">
        <f>IF($B963="","",IF($AD963&lt;&gt;"",$AD963,IF($AC963="","",IF($AC963&lt;=設定!$C$3,0,$AC963))))</f>
        <v/>
      </c>
      <c r="AF963" s="14">
        <f>IF($B963="","",IF(AND($AG963&lt;&gt;"",$AI963="",$AL963=""),"保留中",IF($AL963&lt;&gt;"",IF(N($AE963)&gt;0,"支給済","不支給"),IF($AE963="","要確認",IF($AE963=0,"不支給","未処理")))))</f>
        <v/>
      </c>
      <c r="AG963" s="12" t="n"/>
      <c r="AH963" s="11" t="n"/>
      <c r="AI963" s="11" t="n"/>
      <c r="AJ963" s="11" t="n"/>
      <c r="AK963" s="14">
        <f>IF(AND($AF963="保留中",$AH963&lt;&gt;""),TODAY()-$AH963,"")</f>
        <v/>
      </c>
      <c r="AL963" s="12" t="n"/>
      <c r="AM963" s="14">
        <f>IF($B963="","",IF($AQ963="","対象年月が未入力／","")&amp;IF($B963="","",IF($AP963="","職員マスタに未登録の職員番号／",IF($AA963="","標準報酬月額が未登録／","")&amp;IF(AND($AQ963&lt;&gt;"",OR(AND(INDEX(職員マスタ!$G$6:$G$405,$AP963)&lt;&gt;"",INDEX(職員マスタ!$G$6:$G$405,$AP963)&gt;EOMONTH($AQ963,0)),AND(INDEX(職員マスタ!$H$6:$H$405,$AP963)&lt;&gt;"",INDEX(職員マスタ!$H$6:$H$405,$AP963)&lt;$AQ963))),"対象月が時短期間外／","")&amp;IF(AND(INDEX(職員マスタ!$K$6:$K$405,$AP963)&lt;&gt;"",N($W963)&gt;0,INDEX(職員マスタ!$K$6:$K$405,$AP963)&lt;&gt;$W963),"標準報酬月額が申請書と相違（台帳"&amp;TEXT(INDEX(職員マスタ!$K$6:$K$405,$AP963),"#,##0")&amp;"円／申請書"&amp;TEXT($W963,"#,##0")&amp;"円）／","")&amp;IF(AND(INDEX(職員マスタ!$F$6:$F$405,$AP963)&lt;&gt;"",$AQ963&lt;&gt;"",INDEX(職員マスタ!$F$6:$F$405,$AP963)&lt;$AQ963),"対象月に子が2歳到達済／","")&amp;IF(AND($H963&lt;&gt;"",INDEX(職員マスタ!$B$6:$B$405,$AP963)&lt;&gt;"",SUBSTITUTE(SUBSTITUTE($H963," ","")," ","")&lt;&gt;SUBSTITUTE(SUBSTITUTE(INDEX(職員マスタ!$B$6:$B$405,$AP963)," ","")," ","")),"氏名がマスタと相違／","")&amp;IF(AND($Q963&lt;&gt;"",INDEX(職員マスタ!$E$6:$E$405,$AP963)&lt;&gt;"",$Q963&lt;&gt;INDEX(職員マスタ!$E$6:$E$405,$AP963)),"子の生年月日がマスタと相違／","")&amp;IF(AND($L963&lt;&gt;"",INDEX(職員マスタ!$G$6:$G$405,$AP963)&lt;&gt;"",$L963&lt;&gt;INDEX(職員マスタ!$G$6:$G$405,$AP963)),"時短開始日がマスタと相違／","")&amp;IF(AND($M963&lt;&gt;"",INDEX(職員マスタ!$H$6:$H$405,$AP963)&lt;&gt;"",$M963&lt;&gt;INDEX(職員マスタ!$H$6:$H$405,$AP963)),"時短終了日がマスタと相違／","")))&amp;IF(AND($B963&lt;&gt;"",$E963=""),"報酬額が未入力／","")&amp;IF(N($U963)&gt;0,"申請書に入力エラーが残っています／","")&amp;IF(AND($B963&lt;&gt;"",$AQ963&lt;&gt;""),IF(COUNTIFS($B$6:$B$3005,$B963,$C$6:$C$3005,$C963,$D$6:$D$3005,$D963)&gt;1,"同じ月の請求が重複しています／",""),"")&amp;IF(AND(N($E963)&gt;0,$AB963&lt;&gt;"",$AB963&lt;&gt;"×",$AE963=0,$AD963=""),"計算額が下限以下のため不支給／",""))</f>
        <v/>
      </c>
      <c r="AN963" s="12" t="n"/>
      <c r="AO963" s="14">
        <f>IF($AF963="保留中",COUNTIF($AF$6:$AF963,"保留中"),"")</f>
        <v/>
      </c>
      <c r="AP963" s="14">
        <f>IF($AQ963="","",IF(SUMPRODUCT(MAX((職員マスタ!$A$6:$A$405=$B963)*(((職員マスタ!$G$6:$G$405="")+(職員マスタ!$G$6:$G$405&lt;=EOMONTH($AQ963,0)))&gt;0)*(((職員マスタ!$H$6:$H$405="")+(職員マスタ!$H$6:$H$405&gt;=$AQ963))&gt;0)*(ROW(職員マスタ!$A$6:$A$405)-5)))&gt;0,SUMPRODUCT(MAX((職員マスタ!$A$6:$A$405=$B963)*(((職員マスタ!$G$6:$G$405="")+(職員マスタ!$G$6:$G$405&lt;=EOMONTH($AQ963,0)))&gt;0)*(((職員マスタ!$H$6:$H$405="")+(職員マスタ!$H$6:$H$405&gt;=$AQ963))&gt;0)*(ROW(職員マスタ!$A$6:$A$405)-5))),IFERROR(MATCH($B963,職員マスタ!$A$6:$A$405,0),"")))</f>
        <v/>
      </c>
      <c r="AQ963" s="16">
        <f>IF(OR($B963="",$C963="",$D963=""),"",DATE($C963+2018,$D963,1))</f>
        <v/>
      </c>
    </row>
    <row r="964">
      <c r="A964" s="11" t="n"/>
      <c r="B964" s="12" t="n"/>
      <c r="C964" s="12" t="n"/>
      <c r="D964" s="12" t="n"/>
      <c r="E964" s="13" t="n"/>
      <c r="F964" s="12" t="n"/>
      <c r="G964" s="13" t="n"/>
      <c r="H964" s="12" t="n"/>
      <c r="I964" s="12" t="n"/>
      <c r="J964" s="12" t="n"/>
      <c r="K964" s="12" t="n"/>
      <c r="L964" s="11" t="n"/>
      <c r="M964" s="11" t="n"/>
      <c r="N964" s="11" t="n"/>
      <c r="O964" s="11" t="n"/>
      <c r="P964" s="12" t="n"/>
      <c r="Q964" s="11" t="n"/>
      <c r="R964" s="12" t="n"/>
      <c r="S964" s="11" t="n"/>
      <c r="T964" s="12" t="n"/>
      <c r="U964" s="12" t="n"/>
      <c r="V964" s="12" t="n"/>
      <c r="W964" s="13" t="n"/>
      <c r="X964" s="14">
        <f>IF($AP964="",IF($B964="","",$H964),IF(INDEX(職員マスタ!$B$6:$B$405,$AP964)="",$H964,INDEX(職員マスタ!$B$6:$B$405,$AP964)))</f>
        <v/>
      </c>
      <c r="Y964" s="14">
        <f>IF($AP964="",IF($B964="","",$R964),IF(INDEX(職員マスタ!$C$6:$C$405,$AP964)="",$R964,INDEX(職員マスタ!$C$6:$C$405,$AP964)))</f>
        <v/>
      </c>
      <c r="Z964" s="14">
        <f>IF($AQ964="","","R"&amp;$C964&amp;"."&amp;$D964)</f>
        <v/>
      </c>
      <c r="AA964" s="15">
        <f>IF(IF($AP964="",FALSE,INDEX(職員マスタ!$K$6:$K$405,$AP964)&lt;&gt;""),INDEX(職員マスタ!$K$6:$K$405,$AP964),IF(N($W964)&gt;0,$W964,""))</f>
        <v/>
      </c>
      <c r="AB964" s="14">
        <f>IF(OR($E964="",$AA964=""),"",IF($E964&gt;=$AA964,"×",IF($E964&gt;=$AA964*設定!$C$5,"△","○")))</f>
        <v/>
      </c>
      <c r="AC964" s="15">
        <f>IF($AB964="","",IF($AB964="×",0,IF($AB964="○",ROUNDDOWN($E964*設定!$C$4,0),ROUNDDOWN($E964*ROUND((9*$AA964-9*$E964)/(10*$E964),4),0))))</f>
        <v/>
      </c>
      <c r="AD964" s="13" t="n"/>
      <c r="AE964" s="15">
        <f>IF($B964="","",IF($AD964&lt;&gt;"",$AD964,IF($AC964="","",IF($AC964&lt;=設定!$C$3,0,$AC964))))</f>
        <v/>
      </c>
      <c r="AF964" s="14">
        <f>IF($B964="","",IF(AND($AG964&lt;&gt;"",$AI964="",$AL964=""),"保留中",IF($AL964&lt;&gt;"",IF(N($AE964)&gt;0,"支給済","不支給"),IF($AE964="","要確認",IF($AE964=0,"不支給","未処理")))))</f>
        <v/>
      </c>
      <c r="AG964" s="12" t="n"/>
      <c r="AH964" s="11" t="n"/>
      <c r="AI964" s="11" t="n"/>
      <c r="AJ964" s="11" t="n"/>
      <c r="AK964" s="14">
        <f>IF(AND($AF964="保留中",$AH964&lt;&gt;""),TODAY()-$AH964,"")</f>
        <v/>
      </c>
      <c r="AL964" s="12" t="n"/>
      <c r="AM964" s="14">
        <f>IF($B964="","",IF($AQ964="","対象年月が未入力／","")&amp;IF($B964="","",IF($AP964="","職員マスタに未登録の職員番号／",IF($AA964="","標準報酬月額が未登録／","")&amp;IF(AND($AQ964&lt;&gt;"",OR(AND(INDEX(職員マスタ!$G$6:$G$405,$AP964)&lt;&gt;"",INDEX(職員マスタ!$G$6:$G$405,$AP964)&gt;EOMONTH($AQ964,0)),AND(INDEX(職員マスタ!$H$6:$H$405,$AP964)&lt;&gt;"",INDEX(職員マスタ!$H$6:$H$405,$AP964)&lt;$AQ964))),"対象月が時短期間外／","")&amp;IF(AND(INDEX(職員マスタ!$K$6:$K$405,$AP964)&lt;&gt;"",N($W964)&gt;0,INDEX(職員マスタ!$K$6:$K$405,$AP964)&lt;&gt;$W964),"標準報酬月額が申請書と相違（台帳"&amp;TEXT(INDEX(職員マスタ!$K$6:$K$405,$AP964),"#,##0")&amp;"円／申請書"&amp;TEXT($W964,"#,##0")&amp;"円）／","")&amp;IF(AND(INDEX(職員マスタ!$F$6:$F$405,$AP964)&lt;&gt;"",$AQ964&lt;&gt;"",INDEX(職員マスタ!$F$6:$F$405,$AP964)&lt;$AQ964),"対象月に子が2歳到達済／","")&amp;IF(AND($H964&lt;&gt;"",INDEX(職員マスタ!$B$6:$B$405,$AP964)&lt;&gt;"",SUBSTITUTE(SUBSTITUTE($H964," ","")," ","")&lt;&gt;SUBSTITUTE(SUBSTITUTE(INDEX(職員マスタ!$B$6:$B$405,$AP964)," ","")," ","")),"氏名がマスタと相違／","")&amp;IF(AND($Q964&lt;&gt;"",INDEX(職員マスタ!$E$6:$E$405,$AP964)&lt;&gt;"",$Q964&lt;&gt;INDEX(職員マスタ!$E$6:$E$405,$AP964)),"子の生年月日がマスタと相違／","")&amp;IF(AND($L964&lt;&gt;"",INDEX(職員マスタ!$G$6:$G$405,$AP964)&lt;&gt;"",$L964&lt;&gt;INDEX(職員マスタ!$G$6:$G$405,$AP964)),"時短開始日がマスタと相違／","")&amp;IF(AND($M964&lt;&gt;"",INDEX(職員マスタ!$H$6:$H$405,$AP964)&lt;&gt;"",$M964&lt;&gt;INDEX(職員マスタ!$H$6:$H$405,$AP964)),"時短終了日がマスタと相違／","")))&amp;IF(AND($B964&lt;&gt;"",$E964=""),"報酬額が未入力／","")&amp;IF(N($U964)&gt;0,"申請書に入力エラーが残っています／","")&amp;IF(AND($B964&lt;&gt;"",$AQ964&lt;&gt;""),IF(COUNTIFS($B$6:$B$3005,$B964,$C$6:$C$3005,$C964,$D$6:$D$3005,$D964)&gt;1,"同じ月の請求が重複しています／",""),"")&amp;IF(AND(N($E964)&gt;0,$AB964&lt;&gt;"",$AB964&lt;&gt;"×",$AE964=0,$AD964=""),"計算額が下限以下のため不支給／",""))</f>
        <v/>
      </c>
      <c r="AN964" s="12" t="n"/>
      <c r="AO964" s="14">
        <f>IF($AF964="保留中",COUNTIF($AF$6:$AF964,"保留中"),"")</f>
        <v/>
      </c>
      <c r="AP964" s="14">
        <f>IF($AQ964="","",IF(SUMPRODUCT(MAX((職員マスタ!$A$6:$A$405=$B964)*(((職員マスタ!$G$6:$G$405="")+(職員マスタ!$G$6:$G$405&lt;=EOMONTH($AQ964,0)))&gt;0)*(((職員マスタ!$H$6:$H$405="")+(職員マスタ!$H$6:$H$405&gt;=$AQ964))&gt;0)*(ROW(職員マスタ!$A$6:$A$405)-5)))&gt;0,SUMPRODUCT(MAX((職員マスタ!$A$6:$A$405=$B964)*(((職員マスタ!$G$6:$G$405="")+(職員マスタ!$G$6:$G$405&lt;=EOMONTH($AQ964,0)))&gt;0)*(((職員マスタ!$H$6:$H$405="")+(職員マスタ!$H$6:$H$405&gt;=$AQ964))&gt;0)*(ROW(職員マスタ!$A$6:$A$405)-5))),IFERROR(MATCH($B964,職員マスタ!$A$6:$A$405,0),"")))</f>
        <v/>
      </c>
      <c r="AQ964" s="16">
        <f>IF(OR($B964="",$C964="",$D964=""),"",DATE($C964+2018,$D964,1))</f>
        <v/>
      </c>
    </row>
    <row r="965">
      <c r="A965" s="11" t="n"/>
      <c r="B965" s="12" t="n"/>
      <c r="C965" s="12" t="n"/>
      <c r="D965" s="12" t="n"/>
      <c r="E965" s="13" t="n"/>
      <c r="F965" s="12" t="n"/>
      <c r="G965" s="13" t="n"/>
      <c r="H965" s="12" t="n"/>
      <c r="I965" s="12" t="n"/>
      <c r="J965" s="12" t="n"/>
      <c r="K965" s="12" t="n"/>
      <c r="L965" s="11" t="n"/>
      <c r="M965" s="11" t="n"/>
      <c r="N965" s="11" t="n"/>
      <c r="O965" s="11" t="n"/>
      <c r="P965" s="12" t="n"/>
      <c r="Q965" s="11" t="n"/>
      <c r="R965" s="12" t="n"/>
      <c r="S965" s="11" t="n"/>
      <c r="T965" s="12" t="n"/>
      <c r="U965" s="12" t="n"/>
      <c r="V965" s="12" t="n"/>
      <c r="W965" s="13" t="n"/>
      <c r="X965" s="14">
        <f>IF($AP965="",IF($B965="","",$H965),IF(INDEX(職員マスタ!$B$6:$B$405,$AP965)="",$H965,INDEX(職員マスタ!$B$6:$B$405,$AP965)))</f>
        <v/>
      </c>
      <c r="Y965" s="14">
        <f>IF($AP965="",IF($B965="","",$R965),IF(INDEX(職員マスタ!$C$6:$C$405,$AP965)="",$R965,INDEX(職員マスタ!$C$6:$C$405,$AP965)))</f>
        <v/>
      </c>
      <c r="Z965" s="14">
        <f>IF($AQ965="","","R"&amp;$C965&amp;"."&amp;$D965)</f>
        <v/>
      </c>
      <c r="AA965" s="15">
        <f>IF(IF($AP965="",FALSE,INDEX(職員マスタ!$K$6:$K$405,$AP965)&lt;&gt;""),INDEX(職員マスタ!$K$6:$K$405,$AP965),IF(N($W965)&gt;0,$W965,""))</f>
        <v/>
      </c>
      <c r="AB965" s="14">
        <f>IF(OR($E965="",$AA965=""),"",IF($E965&gt;=$AA965,"×",IF($E965&gt;=$AA965*設定!$C$5,"△","○")))</f>
        <v/>
      </c>
      <c r="AC965" s="15">
        <f>IF($AB965="","",IF($AB965="×",0,IF($AB965="○",ROUNDDOWN($E965*設定!$C$4,0),ROUNDDOWN($E965*ROUND((9*$AA965-9*$E965)/(10*$E965),4),0))))</f>
        <v/>
      </c>
      <c r="AD965" s="13" t="n"/>
      <c r="AE965" s="15">
        <f>IF($B965="","",IF($AD965&lt;&gt;"",$AD965,IF($AC965="","",IF($AC965&lt;=設定!$C$3,0,$AC965))))</f>
        <v/>
      </c>
      <c r="AF965" s="14">
        <f>IF($B965="","",IF(AND($AG965&lt;&gt;"",$AI965="",$AL965=""),"保留中",IF($AL965&lt;&gt;"",IF(N($AE965)&gt;0,"支給済","不支給"),IF($AE965="","要確認",IF($AE965=0,"不支給","未処理")))))</f>
        <v/>
      </c>
      <c r="AG965" s="12" t="n"/>
      <c r="AH965" s="11" t="n"/>
      <c r="AI965" s="11" t="n"/>
      <c r="AJ965" s="11" t="n"/>
      <c r="AK965" s="14">
        <f>IF(AND($AF965="保留中",$AH965&lt;&gt;""),TODAY()-$AH965,"")</f>
        <v/>
      </c>
      <c r="AL965" s="12" t="n"/>
      <c r="AM965" s="14">
        <f>IF($B965="","",IF($AQ965="","対象年月が未入力／","")&amp;IF($B965="","",IF($AP965="","職員マスタに未登録の職員番号／",IF($AA965="","標準報酬月額が未登録／","")&amp;IF(AND($AQ965&lt;&gt;"",OR(AND(INDEX(職員マスタ!$G$6:$G$405,$AP965)&lt;&gt;"",INDEX(職員マスタ!$G$6:$G$405,$AP965)&gt;EOMONTH($AQ965,0)),AND(INDEX(職員マスタ!$H$6:$H$405,$AP965)&lt;&gt;"",INDEX(職員マスタ!$H$6:$H$405,$AP965)&lt;$AQ965))),"対象月が時短期間外／","")&amp;IF(AND(INDEX(職員マスタ!$K$6:$K$405,$AP965)&lt;&gt;"",N($W965)&gt;0,INDEX(職員マスタ!$K$6:$K$405,$AP965)&lt;&gt;$W965),"標準報酬月額が申請書と相違（台帳"&amp;TEXT(INDEX(職員マスタ!$K$6:$K$405,$AP965),"#,##0")&amp;"円／申請書"&amp;TEXT($W965,"#,##0")&amp;"円）／","")&amp;IF(AND(INDEX(職員マスタ!$F$6:$F$405,$AP965)&lt;&gt;"",$AQ965&lt;&gt;"",INDEX(職員マスタ!$F$6:$F$405,$AP965)&lt;$AQ965),"対象月に子が2歳到達済／","")&amp;IF(AND($H965&lt;&gt;"",INDEX(職員マスタ!$B$6:$B$405,$AP965)&lt;&gt;"",SUBSTITUTE(SUBSTITUTE($H965," ","")," ","")&lt;&gt;SUBSTITUTE(SUBSTITUTE(INDEX(職員マスタ!$B$6:$B$405,$AP965)," ","")," ","")),"氏名がマスタと相違／","")&amp;IF(AND($Q965&lt;&gt;"",INDEX(職員マスタ!$E$6:$E$405,$AP965)&lt;&gt;"",$Q965&lt;&gt;INDEX(職員マスタ!$E$6:$E$405,$AP965)),"子の生年月日がマスタと相違／","")&amp;IF(AND($L965&lt;&gt;"",INDEX(職員マスタ!$G$6:$G$405,$AP965)&lt;&gt;"",$L965&lt;&gt;INDEX(職員マスタ!$G$6:$G$405,$AP965)),"時短開始日がマスタと相違／","")&amp;IF(AND($M965&lt;&gt;"",INDEX(職員マスタ!$H$6:$H$405,$AP965)&lt;&gt;"",$M965&lt;&gt;INDEX(職員マスタ!$H$6:$H$405,$AP965)),"時短終了日がマスタと相違／","")))&amp;IF(AND($B965&lt;&gt;"",$E965=""),"報酬額が未入力／","")&amp;IF(N($U965)&gt;0,"申請書に入力エラーが残っています／","")&amp;IF(AND($B965&lt;&gt;"",$AQ965&lt;&gt;""),IF(COUNTIFS($B$6:$B$3005,$B965,$C$6:$C$3005,$C965,$D$6:$D$3005,$D965)&gt;1,"同じ月の請求が重複しています／",""),"")&amp;IF(AND(N($E965)&gt;0,$AB965&lt;&gt;"",$AB965&lt;&gt;"×",$AE965=0,$AD965=""),"計算額が下限以下のため不支給／",""))</f>
        <v/>
      </c>
      <c r="AN965" s="12" t="n"/>
      <c r="AO965" s="14">
        <f>IF($AF965="保留中",COUNTIF($AF$6:$AF965,"保留中"),"")</f>
        <v/>
      </c>
      <c r="AP965" s="14">
        <f>IF($AQ965="","",IF(SUMPRODUCT(MAX((職員マスタ!$A$6:$A$405=$B965)*(((職員マスタ!$G$6:$G$405="")+(職員マスタ!$G$6:$G$405&lt;=EOMONTH($AQ965,0)))&gt;0)*(((職員マスタ!$H$6:$H$405="")+(職員マスタ!$H$6:$H$405&gt;=$AQ965))&gt;0)*(ROW(職員マスタ!$A$6:$A$405)-5)))&gt;0,SUMPRODUCT(MAX((職員マスタ!$A$6:$A$405=$B965)*(((職員マスタ!$G$6:$G$405="")+(職員マスタ!$G$6:$G$405&lt;=EOMONTH($AQ965,0)))&gt;0)*(((職員マスタ!$H$6:$H$405="")+(職員マスタ!$H$6:$H$405&gt;=$AQ965))&gt;0)*(ROW(職員マスタ!$A$6:$A$405)-5))),IFERROR(MATCH($B965,職員マスタ!$A$6:$A$405,0),"")))</f>
        <v/>
      </c>
      <c r="AQ965" s="16">
        <f>IF(OR($B965="",$C965="",$D965=""),"",DATE($C965+2018,$D965,1))</f>
        <v/>
      </c>
    </row>
    <row r="966">
      <c r="A966" s="11" t="n"/>
      <c r="B966" s="12" t="n"/>
      <c r="C966" s="12" t="n"/>
      <c r="D966" s="12" t="n"/>
      <c r="E966" s="13" t="n"/>
      <c r="F966" s="12" t="n"/>
      <c r="G966" s="13" t="n"/>
      <c r="H966" s="12" t="n"/>
      <c r="I966" s="12" t="n"/>
      <c r="J966" s="12" t="n"/>
      <c r="K966" s="12" t="n"/>
      <c r="L966" s="11" t="n"/>
      <c r="M966" s="11" t="n"/>
      <c r="N966" s="11" t="n"/>
      <c r="O966" s="11" t="n"/>
      <c r="P966" s="12" t="n"/>
      <c r="Q966" s="11" t="n"/>
      <c r="R966" s="12" t="n"/>
      <c r="S966" s="11" t="n"/>
      <c r="T966" s="12" t="n"/>
      <c r="U966" s="12" t="n"/>
      <c r="V966" s="12" t="n"/>
      <c r="W966" s="13" t="n"/>
      <c r="X966" s="14">
        <f>IF($AP966="",IF($B966="","",$H966),IF(INDEX(職員マスタ!$B$6:$B$405,$AP966)="",$H966,INDEX(職員マスタ!$B$6:$B$405,$AP966)))</f>
        <v/>
      </c>
      <c r="Y966" s="14">
        <f>IF($AP966="",IF($B966="","",$R966),IF(INDEX(職員マスタ!$C$6:$C$405,$AP966)="",$R966,INDEX(職員マスタ!$C$6:$C$405,$AP966)))</f>
        <v/>
      </c>
      <c r="Z966" s="14">
        <f>IF($AQ966="","","R"&amp;$C966&amp;"."&amp;$D966)</f>
        <v/>
      </c>
      <c r="AA966" s="15">
        <f>IF(IF($AP966="",FALSE,INDEX(職員マスタ!$K$6:$K$405,$AP966)&lt;&gt;""),INDEX(職員マスタ!$K$6:$K$405,$AP966),IF(N($W966)&gt;0,$W966,""))</f>
        <v/>
      </c>
      <c r="AB966" s="14">
        <f>IF(OR($E966="",$AA966=""),"",IF($E966&gt;=$AA966,"×",IF($E966&gt;=$AA966*設定!$C$5,"△","○")))</f>
        <v/>
      </c>
      <c r="AC966" s="15">
        <f>IF($AB966="","",IF($AB966="×",0,IF($AB966="○",ROUNDDOWN($E966*設定!$C$4,0),ROUNDDOWN($E966*ROUND((9*$AA966-9*$E966)/(10*$E966),4),0))))</f>
        <v/>
      </c>
      <c r="AD966" s="13" t="n"/>
      <c r="AE966" s="15">
        <f>IF($B966="","",IF($AD966&lt;&gt;"",$AD966,IF($AC966="","",IF($AC966&lt;=設定!$C$3,0,$AC966))))</f>
        <v/>
      </c>
      <c r="AF966" s="14">
        <f>IF($B966="","",IF(AND($AG966&lt;&gt;"",$AI966="",$AL966=""),"保留中",IF($AL966&lt;&gt;"",IF(N($AE966)&gt;0,"支給済","不支給"),IF($AE966="","要確認",IF($AE966=0,"不支給","未処理")))))</f>
        <v/>
      </c>
      <c r="AG966" s="12" t="n"/>
      <c r="AH966" s="11" t="n"/>
      <c r="AI966" s="11" t="n"/>
      <c r="AJ966" s="11" t="n"/>
      <c r="AK966" s="14">
        <f>IF(AND($AF966="保留中",$AH966&lt;&gt;""),TODAY()-$AH966,"")</f>
        <v/>
      </c>
      <c r="AL966" s="12" t="n"/>
      <c r="AM966" s="14">
        <f>IF($B966="","",IF($AQ966="","対象年月が未入力／","")&amp;IF($B966="","",IF($AP966="","職員マスタに未登録の職員番号／",IF($AA966="","標準報酬月額が未登録／","")&amp;IF(AND($AQ966&lt;&gt;"",OR(AND(INDEX(職員マスタ!$G$6:$G$405,$AP966)&lt;&gt;"",INDEX(職員マスタ!$G$6:$G$405,$AP966)&gt;EOMONTH($AQ966,0)),AND(INDEX(職員マスタ!$H$6:$H$405,$AP966)&lt;&gt;"",INDEX(職員マスタ!$H$6:$H$405,$AP966)&lt;$AQ966))),"対象月が時短期間外／","")&amp;IF(AND(INDEX(職員マスタ!$K$6:$K$405,$AP966)&lt;&gt;"",N($W966)&gt;0,INDEX(職員マスタ!$K$6:$K$405,$AP966)&lt;&gt;$W966),"標準報酬月額が申請書と相違（台帳"&amp;TEXT(INDEX(職員マスタ!$K$6:$K$405,$AP966),"#,##0")&amp;"円／申請書"&amp;TEXT($W966,"#,##0")&amp;"円）／","")&amp;IF(AND(INDEX(職員マスタ!$F$6:$F$405,$AP966)&lt;&gt;"",$AQ966&lt;&gt;"",INDEX(職員マスタ!$F$6:$F$405,$AP966)&lt;$AQ966),"対象月に子が2歳到達済／","")&amp;IF(AND($H966&lt;&gt;"",INDEX(職員マスタ!$B$6:$B$405,$AP966)&lt;&gt;"",SUBSTITUTE(SUBSTITUTE($H966," ","")," ","")&lt;&gt;SUBSTITUTE(SUBSTITUTE(INDEX(職員マスタ!$B$6:$B$405,$AP966)," ","")," ","")),"氏名がマスタと相違／","")&amp;IF(AND($Q966&lt;&gt;"",INDEX(職員マスタ!$E$6:$E$405,$AP966)&lt;&gt;"",$Q966&lt;&gt;INDEX(職員マスタ!$E$6:$E$405,$AP966)),"子の生年月日がマスタと相違／","")&amp;IF(AND($L966&lt;&gt;"",INDEX(職員マスタ!$G$6:$G$405,$AP966)&lt;&gt;"",$L966&lt;&gt;INDEX(職員マスタ!$G$6:$G$405,$AP966)),"時短開始日がマスタと相違／","")&amp;IF(AND($M966&lt;&gt;"",INDEX(職員マスタ!$H$6:$H$405,$AP966)&lt;&gt;"",$M966&lt;&gt;INDEX(職員マスタ!$H$6:$H$405,$AP966)),"時短終了日がマスタと相違／","")))&amp;IF(AND($B966&lt;&gt;"",$E966=""),"報酬額が未入力／","")&amp;IF(N($U966)&gt;0,"申請書に入力エラーが残っています／","")&amp;IF(AND($B966&lt;&gt;"",$AQ966&lt;&gt;""),IF(COUNTIFS($B$6:$B$3005,$B966,$C$6:$C$3005,$C966,$D$6:$D$3005,$D966)&gt;1,"同じ月の請求が重複しています／",""),"")&amp;IF(AND(N($E966)&gt;0,$AB966&lt;&gt;"",$AB966&lt;&gt;"×",$AE966=0,$AD966=""),"計算額が下限以下のため不支給／",""))</f>
        <v/>
      </c>
      <c r="AN966" s="12" t="n"/>
      <c r="AO966" s="14">
        <f>IF($AF966="保留中",COUNTIF($AF$6:$AF966,"保留中"),"")</f>
        <v/>
      </c>
      <c r="AP966" s="14">
        <f>IF($AQ966="","",IF(SUMPRODUCT(MAX((職員マスタ!$A$6:$A$405=$B966)*(((職員マスタ!$G$6:$G$405="")+(職員マスタ!$G$6:$G$405&lt;=EOMONTH($AQ966,0)))&gt;0)*(((職員マスタ!$H$6:$H$405="")+(職員マスタ!$H$6:$H$405&gt;=$AQ966))&gt;0)*(ROW(職員マスタ!$A$6:$A$405)-5)))&gt;0,SUMPRODUCT(MAX((職員マスタ!$A$6:$A$405=$B966)*(((職員マスタ!$G$6:$G$405="")+(職員マスタ!$G$6:$G$405&lt;=EOMONTH($AQ966,0)))&gt;0)*(((職員マスタ!$H$6:$H$405="")+(職員マスタ!$H$6:$H$405&gt;=$AQ966))&gt;0)*(ROW(職員マスタ!$A$6:$A$405)-5))),IFERROR(MATCH($B966,職員マスタ!$A$6:$A$405,0),"")))</f>
        <v/>
      </c>
      <c r="AQ966" s="16">
        <f>IF(OR($B966="",$C966="",$D966=""),"",DATE($C966+2018,$D966,1))</f>
        <v/>
      </c>
    </row>
    <row r="967">
      <c r="A967" s="11" t="n"/>
      <c r="B967" s="12" t="n"/>
      <c r="C967" s="12" t="n"/>
      <c r="D967" s="12" t="n"/>
      <c r="E967" s="13" t="n"/>
      <c r="F967" s="12" t="n"/>
      <c r="G967" s="13" t="n"/>
      <c r="H967" s="12" t="n"/>
      <c r="I967" s="12" t="n"/>
      <c r="J967" s="12" t="n"/>
      <c r="K967" s="12" t="n"/>
      <c r="L967" s="11" t="n"/>
      <c r="M967" s="11" t="n"/>
      <c r="N967" s="11" t="n"/>
      <c r="O967" s="11" t="n"/>
      <c r="P967" s="12" t="n"/>
      <c r="Q967" s="11" t="n"/>
      <c r="R967" s="12" t="n"/>
      <c r="S967" s="11" t="n"/>
      <c r="T967" s="12" t="n"/>
      <c r="U967" s="12" t="n"/>
      <c r="V967" s="12" t="n"/>
      <c r="W967" s="13" t="n"/>
      <c r="X967" s="14">
        <f>IF($AP967="",IF($B967="","",$H967),IF(INDEX(職員マスタ!$B$6:$B$405,$AP967)="",$H967,INDEX(職員マスタ!$B$6:$B$405,$AP967)))</f>
        <v/>
      </c>
      <c r="Y967" s="14">
        <f>IF($AP967="",IF($B967="","",$R967),IF(INDEX(職員マスタ!$C$6:$C$405,$AP967)="",$R967,INDEX(職員マスタ!$C$6:$C$405,$AP967)))</f>
        <v/>
      </c>
      <c r="Z967" s="14">
        <f>IF($AQ967="","","R"&amp;$C967&amp;"."&amp;$D967)</f>
        <v/>
      </c>
      <c r="AA967" s="15">
        <f>IF(IF($AP967="",FALSE,INDEX(職員マスタ!$K$6:$K$405,$AP967)&lt;&gt;""),INDEX(職員マスタ!$K$6:$K$405,$AP967),IF(N($W967)&gt;0,$W967,""))</f>
        <v/>
      </c>
      <c r="AB967" s="14">
        <f>IF(OR($E967="",$AA967=""),"",IF($E967&gt;=$AA967,"×",IF($E967&gt;=$AA967*設定!$C$5,"△","○")))</f>
        <v/>
      </c>
      <c r="AC967" s="15">
        <f>IF($AB967="","",IF($AB967="×",0,IF($AB967="○",ROUNDDOWN($E967*設定!$C$4,0),ROUNDDOWN($E967*ROUND((9*$AA967-9*$E967)/(10*$E967),4),0))))</f>
        <v/>
      </c>
      <c r="AD967" s="13" t="n"/>
      <c r="AE967" s="15">
        <f>IF($B967="","",IF($AD967&lt;&gt;"",$AD967,IF($AC967="","",IF($AC967&lt;=設定!$C$3,0,$AC967))))</f>
        <v/>
      </c>
      <c r="AF967" s="14">
        <f>IF($B967="","",IF(AND($AG967&lt;&gt;"",$AI967="",$AL967=""),"保留中",IF($AL967&lt;&gt;"",IF(N($AE967)&gt;0,"支給済","不支給"),IF($AE967="","要確認",IF($AE967=0,"不支給","未処理")))))</f>
        <v/>
      </c>
      <c r="AG967" s="12" t="n"/>
      <c r="AH967" s="11" t="n"/>
      <c r="AI967" s="11" t="n"/>
      <c r="AJ967" s="11" t="n"/>
      <c r="AK967" s="14">
        <f>IF(AND($AF967="保留中",$AH967&lt;&gt;""),TODAY()-$AH967,"")</f>
        <v/>
      </c>
      <c r="AL967" s="12" t="n"/>
      <c r="AM967" s="14">
        <f>IF($B967="","",IF($AQ967="","対象年月が未入力／","")&amp;IF($B967="","",IF($AP967="","職員マスタに未登録の職員番号／",IF($AA967="","標準報酬月額が未登録／","")&amp;IF(AND($AQ967&lt;&gt;"",OR(AND(INDEX(職員マスタ!$G$6:$G$405,$AP967)&lt;&gt;"",INDEX(職員マスタ!$G$6:$G$405,$AP967)&gt;EOMONTH($AQ967,0)),AND(INDEX(職員マスタ!$H$6:$H$405,$AP967)&lt;&gt;"",INDEX(職員マスタ!$H$6:$H$405,$AP967)&lt;$AQ967))),"対象月が時短期間外／","")&amp;IF(AND(INDEX(職員マスタ!$K$6:$K$405,$AP967)&lt;&gt;"",N($W967)&gt;0,INDEX(職員マスタ!$K$6:$K$405,$AP967)&lt;&gt;$W967),"標準報酬月額が申請書と相違（台帳"&amp;TEXT(INDEX(職員マスタ!$K$6:$K$405,$AP967),"#,##0")&amp;"円／申請書"&amp;TEXT($W967,"#,##0")&amp;"円）／","")&amp;IF(AND(INDEX(職員マスタ!$F$6:$F$405,$AP967)&lt;&gt;"",$AQ967&lt;&gt;"",INDEX(職員マスタ!$F$6:$F$405,$AP967)&lt;$AQ967),"対象月に子が2歳到達済／","")&amp;IF(AND($H967&lt;&gt;"",INDEX(職員マスタ!$B$6:$B$405,$AP967)&lt;&gt;"",SUBSTITUTE(SUBSTITUTE($H967," ","")," ","")&lt;&gt;SUBSTITUTE(SUBSTITUTE(INDEX(職員マスタ!$B$6:$B$405,$AP967)," ","")," ","")),"氏名がマスタと相違／","")&amp;IF(AND($Q967&lt;&gt;"",INDEX(職員マスタ!$E$6:$E$405,$AP967)&lt;&gt;"",$Q967&lt;&gt;INDEX(職員マスタ!$E$6:$E$405,$AP967)),"子の生年月日がマスタと相違／","")&amp;IF(AND($L967&lt;&gt;"",INDEX(職員マスタ!$G$6:$G$405,$AP967)&lt;&gt;"",$L967&lt;&gt;INDEX(職員マスタ!$G$6:$G$405,$AP967)),"時短開始日がマスタと相違／","")&amp;IF(AND($M967&lt;&gt;"",INDEX(職員マスタ!$H$6:$H$405,$AP967)&lt;&gt;"",$M967&lt;&gt;INDEX(職員マスタ!$H$6:$H$405,$AP967)),"時短終了日がマスタと相違／","")))&amp;IF(AND($B967&lt;&gt;"",$E967=""),"報酬額が未入力／","")&amp;IF(N($U967)&gt;0,"申請書に入力エラーが残っています／","")&amp;IF(AND($B967&lt;&gt;"",$AQ967&lt;&gt;""),IF(COUNTIFS($B$6:$B$3005,$B967,$C$6:$C$3005,$C967,$D$6:$D$3005,$D967)&gt;1,"同じ月の請求が重複しています／",""),"")&amp;IF(AND(N($E967)&gt;0,$AB967&lt;&gt;"",$AB967&lt;&gt;"×",$AE967=0,$AD967=""),"計算額が下限以下のため不支給／",""))</f>
        <v/>
      </c>
      <c r="AN967" s="12" t="n"/>
      <c r="AO967" s="14">
        <f>IF($AF967="保留中",COUNTIF($AF$6:$AF967,"保留中"),"")</f>
        <v/>
      </c>
      <c r="AP967" s="14">
        <f>IF($AQ967="","",IF(SUMPRODUCT(MAX((職員マスタ!$A$6:$A$405=$B967)*(((職員マスタ!$G$6:$G$405="")+(職員マスタ!$G$6:$G$405&lt;=EOMONTH($AQ967,0)))&gt;0)*(((職員マスタ!$H$6:$H$405="")+(職員マスタ!$H$6:$H$405&gt;=$AQ967))&gt;0)*(ROW(職員マスタ!$A$6:$A$405)-5)))&gt;0,SUMPRODUCT(MAX((職員マスタ!$A$6:$A$405=$B967)*(((職員マスタ!$G$6:$G$405="")+(職員マスタ!$G$6:$G$405&lt;=EOMONTH($AQ967,0)))&gt;0)*(((職員マスタ!$H$6:$H$405="")+(職員マスタ!$H$6:$H$405&gt;=$AQ967))&gt;0)*(ROW(職員マスタ!$A$6:$A$405)-5))),IFERROR(MATCH($B967,職員マスタ!$A$6:$A$405,0),"")))</f>
        <v/>
      </c>
      <c r="AQ967" s="16">
        <f>IF(OR($B967="",$C967="",$D967=""),"",DATE($C967+2018,$D967,1))</f>
        <v/>
      </c>
    </row>
    <row r="968">
      <c r="A968" s="11" t="n"/>
      <c r="B968" s="12" t="n"/>
      <c r="C968" s="12" t="n"/>
      <c r="D968" s="12" t="n"/>
      <c r="E968" s="13" t="n"/>
      <c r="F968" s="12" t="n"/>
      <c r="G968" s="13" t="n"/>
      <c r="H968" s="12" t="n"/>
      <c r="I968" s="12" t="n"/>
      <c r="J968" s="12" t="n"/>
      <c r="K968" s="12" t="n"/>
      <c r="L968" s="11" t="n"/>
      <c r="M968" s="11" t="n"/>
      <c r="N968" s="11" t="n"/>
      <c r="O968" s="11" t="n"/>
      <c r="P968" s="12" t="n"/>
      <c r="Q968" s="11" t="n"/>
      <c r="R968" s="12" t="n"/>
      <c r="S968" s="11" t="n"/>
      <c r="T968" s="12" t="n"/>
      <c r="U968" s="12" t="n"/>
      <c r="V968" s="12" t="n"/>
      <c r="W968" s="13" t="n"/>
      <c r="X968" s="14">
        <f>IF($AP968="",IF($B968="","",$H968),IF(INDEX(職員マスタ!$B$6:$B$405,$AP968)="",$H968,INDEX(職員マスタ!$B$6:$B$405,$AP968)))</f>
        <v/>
      </c>
      <c r="Y968" s="14">
        <f>IF($AP968="",IF($B968="","",$R968),IF(INDEX(職員マスタ!$C$6:$C$405,$AP968)="",$R968,INDEX(職員マスタ!$C$6:$C$405,$AP968)))</f>
        <v/>
      </c>
      <c r="Z968" s="14">
        <f>IF($AQ968="","","R"&amp;$C968&amp;"."&amp;$D968)</f>
        <v/>
      </c>
      <c r="AA968" s="15">
        <f>IF(IF($AP968="",FALSE,INDEX(職員マスタ!$K$6:$K$405,$AP968)&lt;&gt;""),INDEX(職員マスタ!$K$6:$K$405,$AP968),IF(N($W968)&gt;0,$W968,""))</f>
        <v/>
      </c>
      <c r="AB968" s="14">
        <f>IF(OR($E968="",$AA968=""),"",IF($E968&gt;=$AA968,"×",IF($E968&gt;=$AA968*設定!$C$5,"△","○")))</f>
        <v/>
      </c>
      <c r="AC968" s="15">
        <f>IF($AB968="","",IF($AB968="×",0,IF($AB968="○",ROUNDDOWN($E968*設定!$C$4,0),ROUNDDOWN($E968*ROUND((9*$AA968-9*$E968)/(10*$E968),4),0))))</f>
        <v/>
      </c>
      <c r="AD968" s="13" t="n"/>
      <c r="AE968" s="15">
        <f>IF($B968="","",IF($AD968&lt;&gt;"",$AD968,IF($AC968="","",IF($AC968&lt;=設定!$C$3,0,$AC968))))</f>
        <v/>
      </c>
      <c r="AF968" s="14">
        <f>IF($B968="","",IF(AND($AG968&lt;&gt;"",$AI968="",$AL968=""),"保留中",IF($AL968&lt;&gt;"",IF(N($AE968)&gt;0,"支給済","不支給"),IF($AE968="","要確認",IF($AE968=0,"不支給","未処理")))))</f>
        <v/>
      </c>
      <c r="AG968" s="12" t="n"/>
      <c r="AH968" s="11" t="n"/>
      <c r="AI968" s="11" t="n"/>
      <c r="AJ968" s="11" t="n"/>
      <c r="AK968" s="14">
        <f>IF(AND($AF968="保留中",$AH968&lt;&gt;""),TODAY()-$AH968,"")</f>
        <v/>
      </c>
      <c r="AL968" s="12" t="n"/>
      <c r="AM968" s="14">
        <f>IF($B968="","",IF($AQ968="","対象年月が未入力／","")&amp;IF($B968="","",IF($AP968="","職員マスタに未登録の職員番号／",IF($AA968="","標準報酬月額が未登録／","")&amp;IF(AND($AQ968&lt;&gt;"",OR(AND(INDEX(職員マスタ!$G$6:$G$405,$AP968)&lt;&gt;"",INDEX(職員マスタ!$G$6:$G$405,$AP968)&gt;EOMONTH($AQ968,0)),AND(INDEX(職員マスタ!$H$6:$H$405,$AP968)&lt;&gt;"",INDEX(職員マスタ!$H$6:$H$405,$AP968)&lt;$AQ968))),"対象月が時短期間外／","")&amp;IF(AND(INDEX(職員マスタ!$K$6:$K$405,$AP968)&lt;&gt;"",N($W968)&gt;0,INDEX(職員マスタ!$K$6:$K$405,$AP968)&lt;&gt;$W968),"標準報酬月額が申請書と相違（台帳"&amp;TEXT(INDEX(職員マスタ!$K$6:$K$405,$AP968),"#,##0")&amp;"円／申請書"&amp;TEXT($W968,"#,##0")&amp;"円）／","")&amp;IF(AND(INDEX(職員マスタ!$F$6:$F$405,$AP968)&lt;&gt;"",$AQ968&lt;&gt;"",INDEX(職員マスタ!$F$6:$F$405,$AP968)&lt;$AQ968),"対象月に子が2歳到達済／","")&amp;IF(AND($H968&lt;&gt;"",INDEX(職員マスタ!$B$6:$B$405,$AP968)&lt;&gt;"",SUBSTITUTE(SUBSTITUTE($H968," ","")," ","")&lt;&gt;SUBSTITUTE(SUBSTITUTE(INDEX(職員マスタ!$B$6:$B$405,$AP968)," ","")," ","")),"氏名がマスタと相違／","")&amp;IF(AND($Q968&lt;&gt;"",INDEX(職員マスタ!$E$6:$E$405,$AP968)&lt;&gt;"",$Q968&lt;&gt;INDEX(職員マスタ!$E$6:$E$405,$AP968)),"子の生年月日がマスタと相違／","")&amp;IF(AND($L968&lt;&gt;"",INDEX(職員マスタ!$G$6:$G$405,$AP968)&lt;&gt;"",$L968&lt;&gt;INDEX(職員マスタ!$G$6:$G$405,$AP968)),"時短開始日がマスタと相違／","")&amp;IF(AND($M968&lt;&gt;"",INDEX(職員マスタ!$H$6:$H$405,$AP968)&lt;&gt;"",$M968&lt;&gt;INDEX(職員マスタ!$H$6:$H$405,$AP968)),"時短終了日がマスタと相違／","")))&amp;IF(AND($B968&lt;&gt;"",$E968=""),"報酬額が未入力／","")&amp;IF(N($U968)&gt;0,"申請書に入力エラーが残っています／","")&amp;IF(AND($B968&lt;&gt;"",$AQ968&lt;&gt;""),IF(COUNTIFS($B$6:$B$3005,$B968,$C$6:$C$3005,$C968,$D$6:$D$3005,$D968)&gt;1,"同じ月の請求が重複しています／",""),"")&amp;IF(AND(N($E968)&gt;0,$AB968&lt;&gt;"",$AB968&lt;&gt;"×",$AE968=0,$AD968=""),"計算額が下限以下のため不支給／",""))</f>
        <v/>
      </c>
      <c r="AN968" s="12" t="n"/>
      <c r="AO968" s="14">
        <f>IF($AF968="保留中",COUNTIF($AF$6:$AF968,"保留中"),"")</f>
        <v/>
      </c>
      <c r="AP968" s="14">
        <f>IF($AQ968="","",IF(SUMPRODUCT(MAX((職員マスタ!$A$6:$A$405=$B968)*(((職員マスタ!$G$6:$G$405="")+(職員マスタ!$G$6:$G$405&lt;=EOMONTH($AQ968,0)))&gt;0)*(((職員マスタ!$H$6:$H$405="")+(職員マスタ!$H$6:$H$405&gt;=$AQ968))&gt;0)*(ROW(職員マスタ!$A$6:$A$405)-5)))&gt;0,SUMPRODUCT(MAX((職員マスタ!$A$6:$A$405=$B968)*(((職員マスタ!$G$6:$G$405="")+(職員マスタ!$G$6:$G$405&lt;=EOMONTH($AQ968,0)))&gt;0)*(((職員マスタ!$H$6:$H$405="")+(職員マスタ!$H$6:$H$405&gt;=$AQ968))&gt;0)*(ROW(職員マスタ!$A$6:$A$405)-5))),IFERROR(MATCH($B968,職員マスタ!$A$6:$A$405,0),"")))</f>
        <v/>
      </c>
      <c r="AQ968" s="16">
        <f>IF(OR($B968="",$C968="",$D968=""),"",DATE($C968+2018,$D968,1))</f>
        <v/>
      </c>
    </row>
    <row r="969">
      <c r="A969" s="11" t="n"/>
      <c r="B969" s="12" t="n"/>
      <c r="C969" s="12" t="n"/>
      <c r="D969" s="12" t="n"/>
      <c r="E969" s="13" t="n"/>
      <c r="F969" s="12" t="n"/>
      <c r="G969" s="13" t="n"/>
      <c r="H969" s="12" t="n"/>
      <c r="I969" s="12" t="n"/>
      <c r="J969" s="12" t="n"/>
      <c r="K969" s="12" t="n"/>
      <c r="L969" s="11" t="n"/>
      <c r="M969" s="11" t="n"/>
      <c r="N969" s="11" t="n"/>
      <c r="O969" s="11" t="n"/>
      <c r="P969" s="12" t="n"/>
      <c r="Q969" s="11" t="n"/>
      <c r="R969" s="12" t="n"/>
      <c r="S969" s="11" t="n"/>
      <c r="T969" s="12" t="n"/>
      <c r="U969" s="12" t="n"/>
      <c r="V969" s="12" t="n"/>
      <c r="W969" s="13" t="n"/>
      <c r="X969" s="14">
        <f>IF($AP969="",IF($B969="","",$H969),IF(INDEX(職員マスタ!$B$6:$B$405,$AP969)="",$H969,INDEX(職員マスタ!$B$6:$B$405,$AP969)))</f>
        <v/>
      </c>
      <c r="Y969" s="14">
        <f>IF($AP969="",IF($B969="","",$R969),IF(INDEX(職員マスタ!$C$6:$C$405,$AP969)="",$R969,INDEX(職員マスタ!$C$6:$C$405,$AP969)))</f>
        <v/>
      </c>
      <c r="Z969" s="14">
        <f>IF($AQ969="","","R"&amp;$C969&amp;"."&amp;$D969)</f>
        <v/>
      </c>
      <c r="AA969" s="15">
        <f>IF(IF($AP969="",FALSE,INDEX(職員マスタ!$K$6:$K$405,$AP969)&lt;&gt;""),INDEX(職員マスタ!$K$6:$K$405,$AP969),IF(N($W969)&gt;0,$W969,""))</f>
        <v/>
      </c>
      <c r="AB969" s="14">
        <f>IF(OR($E969="",$AA969=""),"",IF($E969&gt;=$AA969,"×",IF($E969&gt;=$AA969*設定!$C$5,"△","○")))</f>
        <v/>
      </c>
      <c r="AC969" s="15">
        <f>IF($AB969="","",IF($AB969="×",0,IF($AB969="○",ROUNDDOWN($E969*設定!$C$4,0),ROUNDDOWN($E969*ROUND((9*$AA969-9*$E969)/(10*$E969),4),0))))</f>
        <v/>
      </c>
      <c r="AD969" s="13" t="n"/>
      <c r="AE969" s="15">
        <f>IF($B969="","",IF($AD969&lt;&gt;"",$AD969,IF($AC969="","",IF($AC969&lt;=設定!$C$3,0,$AC969))))</f>
        <v/>
      </c>
      <c r="AF969" s="14">
        <f>IF($B969="","",IF(AND($AG969&lt;&gt;"",$AI969="",$AL969=""),"保留中",IF($AL969&lt;&gt;"",IF(N($AE969)&gt;0,"支給済","不支給"),IF($AE969="","要確認",IF($AE969=0,"不支給","未処理")))))</f>
        <v/>
      </c>
      <c r="AG969" s="12" t="n"/>
      <c r="AH969" s="11" t="n"/>
      <c r="AI969" s="11" t="n"/>
      <c r="AJ969" s="11" t="n"/>
      <c r="AK969" s="14">
        <f>IF(AND($AF969="保留中",$AH969&lt;&gt;""),TODAY()-$AH969,"")</f>
        <v/>
      </c>
      <c r="AL969" s="12" t="n"/>
      <c r="AM969" s="14">
        <f>IF($B969="","",IF($AQ969="","対象年月が未入力／","")&amp;IF($B969="","",IF($AP969="","職員マスタに未登録の職員番号／",IF($AA969="","標準報酬月額が未登録／","")&amp;IF(AND($AQ969&lt;&gt;"",OR(AND(INDEX(職員マスタ!$G$6:$G$405,$AP969)&lt;&gt;"",INDEX(職員マスタ!$G$6:$G$405,$AP969)&gt;EOMONTH($AQ969,0)),AND(INDEX(職員マスタ!$H$6:$H$405,$AP969)&lt;&gt;"",INDEX(職員マスタ!$H$6:$H$405,$AP969)&lt;$AQ969))),"対象月が時短期間外／","")&amp;IF(AND(INDEX(職員マスタ!$K$6:$K$405,$AP969)&lt;&gt;"",N($W969)&gt;0,INDEX(職員マスタ!$K$6:$K$405,$AP969)&lt;&gt;$W969),"標準報酬月額が申請書と相違（台帳"&amp;TEXT(INDEX(職員マスタ!$K$6:$K$405,$AP969),"#,##0")&amp;"円／申請書"&amp;TEXT($W969,"#,##0")&amp;"円）／","")&amp;IF(AND(INDEX(職員マスタ!$F$6:$F$405,$AP969)&lt;&gt;"",$AQ969&lt;&gt;"",INDEX(職員マスタ!$F$6:$F$405,$AP969)&lt;$AQ969),"対象月に子が2歳到達済／","")&amp;IF(AND($H969&lt;&gt;"",INDEX(職員マスタ!$B$6:$B$405,$AP969)&lt;&gt;"",SUBSTITUTE(SUBSTITUTE($H969," ","")," ","")&lt;&gt;SUBSTITUTE(SUBSTITUTE(INDEX(職員マスタ!$B$6:$B$405,$AP969)," ","")," ","")),"氏名がマスタと相違／","")&amp;IF(AND($Q969&lt;&gt;"",INDEX(職員マスタ!$E$6:$E$405,$AP969)&lt;&gt;"",$Q969&lt;&gt;INDEX(職員マスタ!$E$6:$E$405,$AP969)),"子の生年月日がマスタと相違／","")&amp;IF(AND($L969&lt;&gt;"",INDEX(職員マスタ!$G$6:$G$405,$AP969)&lt;&gt;"",$L969&lt;&gt;INDEX(職員マスタ!$G$6:$G$405,$AP969)),"時短開始日がマスタと相違／","")&amp;IF(AND($M969&lt;&gt;"",INDEX(職員マスタ!$H$6:$H$405,$AP969)&lt;&gt;"",$M969&lt;&gt;INDEX(職員マスタ!$H$6:$H$405,$AP969)),"時短終了日がマスタと相違／","")))&amp;IF(AND($B969&lt;&gt;"",$E969=""),"報酬額が未入力／","")&amp;IF(N($U969)&gt;0,"申請書に入力エラーが残っています／","")&amp;IF(AND($B969&lt;&gt;"",$AQ969&lt;&gt;""),IF(COUNTIFS($B$6:$B$3005,$B969,$C$6:$C$3005,$C969,$D$6:$D$3005,$D969)&gt;1,"同じ月の請求が重複しています／",""),"")&amp;IF(AND(N($E969)&gt;0,$AB969&lt;&gt;"",$AB969&lt;&gt;"×",$AE969=0,$AD969=""),"計算額が下限以下のため不支給／",""))</f>
        <v/>
      </c>
      <c r="AN969" s="12" t="n"/>
      <c r="AO969" s="14">
        <f>IF($AF969="保留中",COUNTIF($AF$6:$AF969,"保留中"),"")</f>
        <v/>
      </c>
      <c r="AP969" s="14">
        <f>IF($AQ969="","",IF(SUMPRODUCT(MAX((職員マスタ!$A$6:$A$405=$B969)*(((職員マスタ!$G$6:$G$405="")+(職員マスタ!$G$6:$G$405&lt;=EOMONTH($AQ969,0)))&gt;0)*(((職員マスタ!$H$6:$H$405="")+(職員マスタ!$H$6:$H$405&gt;=$AQ969))&gt;0)*(ROW(職員マスタ!$A$6:$A$405)-5)))&gt;0,SUMPRODUCT(MAX((職員マスタ!$A$6:$A$405=$B969)*(((職員マスタ!$G$6:$G$405="")+(職員マスタ!$G$6:$G$405&lt;=EOMONTH($AQ969,0)))&gt;0)*(((職員マスタ!$H$6:$H$405="")+(職員マスタ!$H$6:$H$405&gt;=$AQ969))&gt;0)*(ROW(職員マスタ!$A$6:$A$405)-5))),IFERROR(MATCH($B969,職員マスタ!$A$6:$A$405,0),"")))</f>
        <v/>
      </c>
      <c r="AQ969" s="16">
        <f>IF(OR($B969="",$C969="",$D969=""),"",DATE($C969+2018,$D969,1))</f>
        <v/>
      </c>
    </row>
    <row r="970">
      <c r="A970" s="11" t="n"/>
      <c r="B970" s="12" t="n"/>
      <c r="C970" s="12" t="n"/>
      <c r="D970" s="12" t="n"/>
      <c r="E970" s="13" t="n"/>
      <c r="F970" s="12" t="n"/>
      <c r="G970" s="13" t="n"/>
      <c r="H970" s="12" t="n"/>
      <c r="I970" s="12" t="n"/>
      <c r="J970" s="12" t="n"/>
      <c r="K970" s="12" t="n"/>
      <c r="L970" s="11" t="n"/>
      <c r="M970" s="11" t="n"/>
      <c r="N970" s="11" t="n"/>
      <c r="O970" s="11" t="n"/>
      <c r="P970" s="12" t="n"/>
      <c r="Q970" s="11" t="n"/>
      <c r="R970" s="12" t="n"/>
      <c r="S970" s="11" t="n"/>
      <c r="T970" s="12" t="n"/>
      <c r="U970" s="12" t="n"/>
      <c r="V970" s="12" t="n"/>
      <c r="W970" s="13" t="n"/>
      <c r="X970" s="14">
        <f>IF($AP970="",IF($B970="","",$H970),IF(INDEX(職員マスタ!$B$6:$B$405,$AP970)="",$H970,INDEX(職員マスタ!$B$6:$B$405,$AP970)))</f>
        <v/>
      </c>
      <c r="Y970" s="14">
        <f>IF($AP970="",IF($B970="","",$R970),IF(INDEX(職員マスタ!$C$6:$C$405,$AP970)="",$R970,INDEX(職員マスタ!$C$6:$C$405,$AP970)))</f>
        <v/>
      </c>
      <c r="Z970" s="14">
        <f>IF($AQ970="","","R"&amp;$C970&amp;"."&amp;$D970)</f>
        <v/>
      </c>
      <c r="AA970" s="15">
        <f>IF(IF($AP970="",FALSE,INDEX(職員マスタ!$K$6:$K$405,$AP970)&lt;&gt;""),INDEX(職員マスタ!$K$6:$K$405,$AP970),IF(N($W970)&gt;0,$W970,""))</f>
        <v/>
      </c>
      <c r="AB970" s="14">
        <f>IF(OR($E970="",$AA970=""),"",IF($E970&gt;=$AA970,"×",IF($E970&gt;=$AA970*設定!$C$5,"△","○")))</f>
        <v/>
      </c>
      <c r="AC970" s="15">
        <f>IF($AB970="","",IF($AB970="×",0,IF($AB970="○",ROUNDDOWN($E970*設定!$C$4,0),ROUNDDOWN($E970*ROUND((9*$AA970-9*$E970)/(10*$E970),4),0))))</f>
        <v/>
      </c>
      <c r="AD970" s="13" t="n"/>
      <c r="AE970" s="15">
        <f>IF($B970="","",IF($AD970&lt;&gt;"",$AD970,IF($AC970="","",IF($AC970&lt;=設定!$C$3,0,$AC970))))</f>
        <v/>
      </c>
      <c r="AF970" s="14">
        <f>IF($B970="","",IF(AND($AG970&lt;&gt;"",$AI970="",$AL970=""),"保留中",IF($AL970&lt;&gt;"",IF(N($AE970)&gt;0,"支給済","不支給"),IF($AE970="","要確認",IF($AE970=0,"不支給","未処理")))))</f>
        <v/>
      </c>
      <c r="AG970" s="12" t="n"/>
      <c r="AH970" s="11" t="n"/>
      <c r="AI970" s="11" t="n"/>
      <c r="AJ970" s="11" t="n"/>
      <c r="AK970" s="14">
        <f>IF(AND($AF970="保留中",$AH970&lt;&gt;""),TODAY()-$AH970,"")</f>
        <v/>
      </c>
      <c r="AL970" s="12" t="n"/>
      <c r="AM970" s="14">
        <f>IF($B970="","",IF($AQ970="","対象年月が未入力／","")&amp;IF($B970="","",IF($AP970="","職員マスタに未登録の職員番号／",IF($AA970="","標準報酬月額が未登録／","")&amp;IF(AND($AQ970&lt;&gt;"",OR(AND(INDEX(職員マスタ!$G$6:$G$405,$AP970)&lt;&gt;"",INDEX(職員マスタ!$G$6:$G$405,$AP970)&gt;EOMONTH($AQ970,0)),AND(INDEX(職員マスタ!$H$6:$H$405,$AP970)&lt;&gt;"",INDEX(職員マスタ!$H$6:$H$405,$AP970)&lt;$AQ970))),"対象月が時短期間外／","")&amp;IF(AND(INDEX(職員マスタ!$K$6:$K$405,$AP970)&lt;&gt;"",N($W970)&gt;0,INDEX(職員マスタ!$K$6:$K$405,$AP970)&lt;&gt;$W970),"標準報酬月額が申請書と相違（台帳"&amp;TEXT(INDEX(職員マスタ!$K$6:$K$405,$AP970),"#,##0")&amp;"円／申請書"&amp;TEXT($W970,"#,##0")&amp;"円）／","")&amp;IF(AND(INDEX(職員マスタ!$F$6:$F$405,$AP970)&lt;&gt;"",$AQ970&lt;&gt;"",INDEX(職員マスタ!$F$6:$F$405,$AP970)&lt;$AQ970),"対象月に子が2歳到達済／","")&amp;IF(AND($H970&lt;&gt;"",INDEX(職員マスタ!$B$6:$B$405,$AP970)&lt;&gt;"",SUBSTITUTE(SUBSTITUTE($H970," ","")," ","")&lt;&gt;SUBSTITUTE(SUBSTITUTE(INDEX(職員マスタ!$B$6:$B$405,$AP970)," ","")," ","")),"氏名がマスタと相違／","")&amp;IF(AND($Q970&lt;&gt;"",INDEX(職員マスタ!$E$6:$E$405,$AP970)&lt;&gt;"",$Q970&lt;&gt;INDEX(職員マスタ!$E$6:$E$405,$AP970)),"子の生年月日がマスタと相違／","")&amp;IF(AND($L970&lt;&gt;"",INDEX(職員マスタ!$G$6:$G$405,$AP970)&lt;&gt;"",$L970&lt;&gt;INDEX(職員マスタ!$G$6:$G$405,$AP970)),"時短開始日がマスタと相違／","")&amp;IF(AND($M970&lt;&gt;"",INDEX(職員マスタ!$H$6:$H$405,$AP970)&lt;&gt;"",$M970&lt;&gt;INDEX(職員マスタ!$H$6:$H$405,$AP970)),"時短終了日がマスタと相違／","")))&amp;IF(AND($B970&lt;&gt;"",$E970=""),"報酬額が未入力／","")&amp;IF(N($U970)&gt;0,"申請書に入力エラーが残っています／","")&amp;IF(AND($B970&lt;&gt;"",$AQ970&lt;&gt;""),IF(COUNTIFS($B$6:$B$3005,$B970,$C$6:$C$3005,$C970,$D$6:$D$3005,$D970)&gt;1,"同じ月の請求が重複しています／",""),"")&amp;IF(AND(N($E970)&gt;0,$AB970&lt;&gt;"",$AB970&lt;&gt;"×",$AE970=0,$AD970=""),"計算額が下限以下のため不支給／",""))</f>
        <v/>
      </c>
      <c r="AN970" s="12" t="n"/>
      <c r="AO970" s="14">
        <f>IF($AF970="保留中",COUNTIF($AF$6:$AF970,"保留中"),"")</f>
        <v/>
      </c>
      <c r="AP970" s="14">
        <f>IF($AQ970="","",IF(SUMPRODUCT(MAX((職員マスタ!$A$6:$A$405=$B970)*(((職員マスタ!$G$6:$G$405="")+(職員マスタ!$G$6:$G$405&lt;=EOMONTH($AQ970,0)))&gt;0)*(((職員マスタ!$H$6:$H$405="")+(職員マスタ!$H$6:$H$405&gt;=$AQ970))&gt;0)*(ROW(職員マスタ!$A$6:$A$405)-5)))&gt;0,SUMPRODUCT(MAX((職員マスタ!$A$6:$A$405=$B970)*(((職員マスタ!$G$6:$G$405="")+(職員マスタ!$G$6:$G$405&lt;=EOMONTH($AQ970,0)))&gt;0)*(((職員マスタ!$H$6:$H$405="")+(職員マスタ!$H$6:$H$405&gt;=$AQ970))&gt;0)*(ROW(職員マスタ!$A$6:$A$405)-5))),IFERROR(MATCH($B970,職員マスタ!$A$6:$A$405,0),"")))</f>
        <v/>
      </c>
      <c r="AQ970" s="16">
        <f>IF(OR($B970="",$C970="",$D970=""),"",DATE($C970+2018,$D970,1))</f>
        <v/>
      </c>
    </row>
    <row r="971">
      <c r="A971" s="11" t="n"/>
      <c r="B971" s="12" t="n"/>
      <c r="C971" s="12" t="n"/>
      <c r="D971" s="12" t="n"/>
      <c r="E971" s="13" t="n"/>
      <c r="F971" s="12" t="n"/>
      <c r="G971" s="13" t="n"/>
      <c r="H971" s="12" t="n"/>
      <c r="I971" s="12" t="n"/>
      <c r="J971" s="12" t="n"/>
      <c r="K971" s="12" t="n"/>
      <c r="L971" s="11" t="n"/>
      <c r="M971" s="11" t="n"/>
      <c r="N971" s="11" t="n"/>
      <c r="O971" s="11" t="n"/>
      <c r="P971" s="12" t="n"/>
      <c r="Q971" s="11" t="n"/>
      <c r="R971" s="12" t="n"/>
      <c r="S971" s="11" t="n"/>
      <c r="T971" s="12" t="n"/>
      <c r="U971" s="12" t="n"/>
      <c r="V971" s="12" t="n"/>
      <c r="W971" s="13" t="n"/>
      <c r="X971" s="14">
        <f>IF($AP971="",IF($B971="","",$H971),IF(INDEX(職員マスタ!$B$6:$B$405,$AP971)="",$H971,INDEX(職員マスタ!$B$6:$B$405,$AP971)))</f>
        <v/>
      </c>
      <c r="Y971" s="14">
        <f>IF($AP971="",IF($B971="","",$R971),IF(INDEX(職員マスタ!$C$6:$C$405,$AP971)="",$R971,INDEX(職員マスタ!$C$6:$C$405,$AP971)))</f>
        <v/>
      </c>
      <c r="Z971" s="14">
        <f>IF($AQ971="","","R"&amp;$C971&amp;"."&amp;$D971)</f>
        <v/>
      </c>
      <c r="AA971" s="15">
        <f>IF(IF($AP971="",FALSE,INDEX(職員マスタ!$K$6:$K$405,$AP971)&lt;&gt;""),INDEX(職員マスタ!$K$6:$K$405,$AP971),IF(N($W971)&gt;0,$W971,""))</f>
        <v/>
      </c>
      <c r="AB971" s="14">
        <f>IF(OR($E971="",$AA971=""),"",IF($E971&gt;=$AA971,"×",IF($E971&gt;=$AA971*設定!$C$5,"△","○")))</f>
        <v/>
      </c>
      <c r="AC971" s="15">
        <f>IF($AB971="","",IF($AB971="×",0,IF($AB971="○",ROUNDDOWN($E971*設定!$C$4,0),ROUNDDOWN($E971*ROUND((9*$AA971-9*$E971)/(10*$E971),4),0))))</f>
        <v/>
      </c>
      <c r="AD971" s="13" t="n"/>
      <c r="AE971" s="15">
        <f>IF($B971="","",IF($AD971&lt;&gt;"",$AD971,IF($AC971="","",IF($AC971&lt;=設定!$C$3,0,$AC971))))</f>
        <v/>
      </c>
      <c r="AF971" s="14">
        <f>IF($B971="","",IF(AND($AG971&lt;&gt;"",$AI971="",$AL971=""),"保留中",IF($AL971&lt;&gt;"",IF(N($AE971)&gt;0,"支給済","不支給"),IF($AE971="","要確認",IF($AE971=0,"不支給","未処理")))))</f>
        <v/>
      </c>
      <c r="AG971" s="12" t="n"/>
      <c r="AH971" s="11" t="n"/>
      <c r="AI971" s="11" t="n"/>
      <c r="AJ971" s="11" t="n"/>
      <c r="AK971" s="14">
        <f>IF(AND($AF971="保留中",$AH971&lt;&gt;""),TODAY()-$AH971,"")</f>
        <v/>
      </c>
      <c r="AL971" s="12" t="n"/>
      <c r="AM971" s="14">
        <f>IF($B971="","",IF($AQ971="","対象年月が未入力／","")&amp;IF($B971="","",IF($AP971="","職員マスタに未登録の職員番号／",IF($AA971="","標準報酬月額が未登録／","")&amp;IF(AND($AQ971&lt;&gt;"",OR(AND(INDEX(職員マスタ!$G$6:$G$405,$AP971)&lt;&gt;"",INDEX(職員マスタ!$G$6:$G$405,$AP971)&gt;EOMONTH($AQ971,0)),AND(INDEX(職員マスタ!$H$6:$H$405,$AP971)&lt;&gt;"",INDEX(職員マスタ!$H$6:$H$405,$AP971)&lt;$AQ971))),"対象月が時短期間外／","")&amp;IF(AND(INDEX(職員マスタ!$K$6:$K$405,$AP971)&lt;&gt;"",N($W971)&gt;0,INDEX(職員マスタ!$K$6:$K$405,$AP971)&lt;&gt;$W971),"標準報酬月額が申請書と相違（台帳"&amp;TEXT(INDEX(職員マスタ!$K$6:$K$405,$AP971),"#,##0")&amp;"円／申請書"&amp;TEXT($W971,"#,##0")&amp;"円）／","")&amp;IF(AND(INDEX(職員マスタ!$F$6:$F$405,$AP971)&lt;&gt;"",$AQ971&lt;&gt;"",INDEX(職員マスタ!$F$6:$F$405,$AP971)&lt;$AQ971),"対象月に子が2歳到達済／","")&amp;IF(AND($H971&lt;&gt;"",INDEX(職員マスタ!$B$6:$B$405,$AP971)&lt;&gt;"",SUBSTITUTE(SUBSTITUTE($H971," ","")," ","")&lt;&gt;SUBSTITUTE(SUBSTITUTE(INDEX(職員マスタ!$B$6:$B$405,$AP971)," ","")," ","")),"氏名がマスタと相違／","")&amp;IF(AND($Q971&lt;&gt;"",INDEX(職員マスタ!$E$6:$E$405,$AP971)&lt;&gt;"",$Q971&lt;&gt;INDEX(職員マスタ!$E$6:$E$405,$AP971)),"子の生年月日がマスタと相違／","")&amp;IF(AND($L971&lt;&gt;"",INDEX(職員マスタ!$G$6:$G$405,$AP971)&lt;&gt;"",$L971&lt;&gt;INDEX(職員マスタ!$G$6:$G$405,$AP971)),"時短開始日がマスタと相違／","")&amp;IF(AND($M971&lt;&gt;"",INDEX(職員マスタ!$H$6:$H$405,$AP971)&lt;&gt;"",$M971&lt;&gt;INDEX(職員マスタ!$H$6:$H$405,$AP971)),"時短終了日がマスタと相違／","")))&amp;IF(AND($B971&lt;&gt;"",$E971=""),"報酬額が未入力／","")&amp;IF(N($U971)&gt;0,"申請書に入力エラーが残っています／","")&amp;IF(AND($B971&lt;&gt;"",$AQ971&lt;&gt;""),IF(COUNTIFS($B$6:$B$3005,$B971,$C$6:$C$3005,$C971,$D$6:$D$3005,$D971)&gt;1,"同じ月の請求が重複しています／",""),"")&amp;IF(AND(N($E971)&gt;0,$AB971&lt;&gt;"",$AB971&lt;&gt;"×",$AE971=0,$AD971=""),"計算額が下限以下のため不支給／",""))</f>
        <v/>
      </c>
      <c r="AN971" s="12" t="n"/>
      <c r="AO971" s="14">
        <f>IF($AF971="保留中",COUNTIF($AF$6:$AF971,"保留中"),"")</f>
        <v/>
      </c>
      <c r="AP971" s="14">
        <f>IF($AQ971="","",IF(SUMPRODUCT(MAX((職員マスタ!$A$6:$A$405=$B971)*(((職員マスタ!$G$6:$G$405="")+(職員マスタ!$G$6:$G$405&lt;=EOMONTH($AQ971,0)))&gt;0)*(((職員マスタ!$H$6:$H$405="")+(職員マスタ!$H$6:$H$405&gt;=$AQ971))&gt;0)*(ROW(職員マスタ!$A$6:$A$405)-5)))&gt;0,SUMPRODUCT(MAX((職員マスタ!$A$6:$A$405=$B971)*(((職員マスタ!$G$6:$G$405="")+(職員マスタ!$G$6:$G$405&lt;=EOMONTH($AQ971,0)))&gt;0)*(((職員マスタ!$H$6:$H$405="")+(職員マスタ!$H$6:$H$405&gt;=$AQ971))&gt;0)*(ROW(職員マスタ!$A$6:$A$405)-5))),IFERROR(MATCH($B971,職員マスタ!$A$6:$A$405,0),"")))</f>
        <v/>
      </c>
      <c r="AQ971" s="16">
        <f>IF(OR($B971="",$C971="",$D971=""),"",DATE($C971+2018,$D971,1))</f>
        <v/>
      </c>
    </row>
    <row r="972">
      <c r="A972" s="11" t="n"/>
      <c r="B972" s="12" t="n"/>
      <c r="C972" s="12" t="n"/>
      <c r="D972" s="12" t="n"/>
      <c r="E972" s="13" t="n"/>
      <c r="F972" s="12" t="n"/>
      <c r="G972" s="13" t="n"/>
      <c r="H972" s="12" t="n"/>
      <c r="I972" s="12" t="n"/>
      <c r="J972" s="12" t="n"/>
      <c r="K972" s="12" t="n"/>
      <c r="L972" s="11" t="n"/>
      <c r="M972" s="11" t="n"/>
      <c r="N972" s="11" t="n"/>
      <c r="O972" s="11" t="n"/>
      <c r="P972" s="12" t="n"/>
      <c r="Q972" s="11" t="n"/>
      <c r="R972" s="12" t="n"/>
      <c r="S972" s="11" t="n"/>
      <c r="T972" s="12" t="n"/>
      <c r="U972" s="12" t="n"/>
      <c r="V972" s="12" t="n"/>
      <c r="W972" s="13" t="n"/>
      <c r="X972" s="14">
        <f>IF($AP972="",IF($B972="","",$H972),IF(INDEX(職員マスタ!$B$6:$B$405,$AP972)="",$H972,INDEX(職員マスタ!$B$6:$B$405,$AP972)))</f>
        <v/>
      </c>
      <c r="Y972" s="14">
        <f>IF($AP972="",IF($B972="","",$R972),IF(INDEX(職員マスタ!$C$6:$C$405,$AP972)="",$R972,INDEX(職員マスタ!$C$6:$C$405,$AP972)))</f>
        <v/>
      </c>
      <c r="Z972" s="14">
        <f>IF($AQ972="","","R"&amp;$C972&amp;"."&amp;$D972)</f>
        <v/>
      </c>
      <c r="AA972" s="15">
        <f>IF(IF($AP972="",FALSE,INDEX(職員マスタ!$K$6:$K$405,$AP972)&lt;&gt;""),INDEX(職員マスタ!$K$6:$K$405,$AP972),IF(N($W972)&gt;0,$W972,""))</f>
        <v/>
      </c>
      <c r="AB972" s="14">
        <f>IF(OR($E972="",$AA972=""),"",IF($E972&gt;=$AA972,"×",IF($E972&gt;=$AA972*設定!$C$5,"△","○")))</f>
        <v/>
      </c>
      <c r="AC972" s="15">
        <f>IF($AB972="","",IF($AB972="×",0,IF($AB972="○",ROUNDDOWN($E972*設定!$C$4,0),ROUNDDOWN($E972*ROUND((9*$AA972-9*$E972)/(10*$E972),4),0))))</f>
        <v/>
      </c>
      <c r="AD972" s="13" t="n"/>
      <c r="AE972" s="15">
        <f>IF($B972="","",IF($AD972&lt;&gt;"",$AD972,IF($AC972="","",IF($AC972&lt;=設定!$C$3,0,$AC972))))</f>
        <v/>
      </c>
      <c r="AF972" s="14">
        <f>IF($B972="","",IF(AND($AG972&lt;&gt;"",$AI972="",$AL972=""),"保留中",IF($AL972&lt;&gt;"",IF(N($AE972)&gt;0,"支給済","不支給"),IF($AE972="","要確認",IF($AE972=0,"不支給","未処理")))))</f>
        <v/>
      </c>
      <c r="AG972" s="12" t="n"/>
      <c r="AH972" s="11" t="n"/>
      <c r="AI972" s="11" t="n"/>
      <c r="AJ972" s="11" t="n"/>
      <c r="AK972" s="14">
        <f>IF(AND($AF972="保留中",$AH972&lt;&gt;""),TODAY()-$AH972,"")</f>
        <v/>
      </c>
      <c r="AL972" s="12" t="n"/>
      <c r="AM972" s="14">
        <f>IF($B972="","",IF($AQ972="","対象年月が未入力／","")&amp;IF($B972="","",IF($AP972="","職員マスタに未登録の職員番号／",IF($AA972="","標準報酬月額が未登録／","")&amp;IF(AND($AQ972&lt;&gt;"",OR(AND(INDEX(職員マスタ!$G$6:$G$405,$AP972)&lt;&gt;"",INDEX(職員マスタ!$G$6:$G$405,$AP972)&gt;EOMONTH($AQ972,0)),AND(INDEX(職員マスタ!$H$6:$H$405,$AP972)&lt;&gt;"",INDEX(職員マスタ!$H$6:$H$405,$AP972)&lt;$AQ972))),"対象月が時短期間外／","")&amp;IF(AND(INDEX(職員マスタ!$K$6:$K$405,$AP972)&lt;&gt;"",N($W972)&gt;0,INDEX(職員マスタ!$K$6:$K$405,$AP972)&lt;&gt;$W972),"標準報酬月額が申請書と相違（台帳"&amp;TEXT(INDEX(職員マスタ!$K$6:$K$405,$AP972),"#,##0")&amp;"円／申請書"&amp;TEXT($W972,"#,##0")&amp;"円）／","")&amp;IF(AND(INDEX(職員マスタ!$F$6:$F$405,$AP972)&lt;&gt;"",$AQ972&lt;&gt;"",INDEX(職員マスタ!$F$6:$F$405,$AP972)&lt;$AQ972),"対象月に子が2歳到達済／","")&amp;IF(AND($H972&lt;&gt;"",INDEX(職員マスタ!$B$6:$B$405,$AP972)&lt;&gt;"",SUBSTITUTE(SUBSTITUTE($H972," ","")," ","")&lt;&gt;SUBSTITUTE(SUBSTITUTE(INDEX(職員マスタ!$B$6:$B$405,$AP972)," ","")," ","")),"氏名がマスタと相違／","")&amp;IF(AND($Q972&lt;&gt;"",INDEX(職員マスタ!$E$6:$E$405,$AP972)&lt;&gt;"",$Q972&lt;&gt;INDEX(職員マスタ!$E$6:$E$405,$AP972)),"子の生年月日がマスタと相違／","")&amp;IF(AND($L972&lt;&gt;"",INDEX(職員マスタ!$G$6:$G$405,$AP972)&lt;&gt;"",$L972&lt;&gt;INDEX(職員マスタ!$G$6:$G$405,$AP972)),"時短開始日がマスタと相違／","")&amp;IF(AND($M972&lt;&gt;"",INDEX(職員マスタ!$H$6:$H$405,$AP972)&lt;&gt;"",$M972&lt;&gt;INDEX(職員マスタ!$H$6:$H$405,$AP972)),"時短終了日がマスタと相違／","")))&amp;IF(AND($B972&lt;&gt;"",$E972=""),"報酬額が未入力／","")&amp;IF(N($U972)&gt;0,"申請書に入力エラーが残っています／","")&amp;IF(AND($B972&lt;&gt;"",$AQ972&lt;&gt;""),IF(COUNTIFS($B$6:$B$3005,$B972,$C$6:$C$3005,$C972,$D$6:$D$3005,$D972)&gt;1,"同じ月の請求が重複しています／",""),"")&amp;IF(AND(N($E972)&gt;0,$AB972&lt;&gt;"",$AB972&lt;&gt;"×",$AE972=0,$AD972=""),"計算額が下限以下のため不支給／",""))</f>
        <v/>
      </c>
      <c r="AN972" s="12" t="n"/>
      <c r="AO972" s="14">
        <f>IF($AF972="保留中",COUNTIF($AF$6:$AF972,"保留中"),"")</f>
        <v/>
      </c>
      <c r="AP972" s="14">
        <f>IF($AQ972="","",IF(SUMPRODUCT(MAX((職員マスタ!$A$6:$A$405=$B972)*(((職員マスタ!$G$6:$G$405="")+(職員マスタ!$G$6:$G$405&lt;=EOMONTH($AQ972,0)))&gt;0)*(((職員マスタ!$H$6:$H$405="")+(職員マスタ!$H$6:$H$405&gt;=$AQ972))&gt;0)*(ROW(職員マスタ!$A$6:$A$405)-5)))&gt;0,SUMPRODUCT(MAX((職員マスタ!$A$6:$A$405=$B972)*(((職員マスタ!$G$6:$G$405="")+(職員マスタ!$G$6:$G$405&lt;=EOMONTH($AQ972,0)))&gt;0)*(((職員マスタ!$H$6:$H$405="")+(職員マスタ!$H$6:$H$405&gt;=$AQ972))&gt;0)*(ROW(職員マスタ!$A$6:$A$405)-5))),IFERROR(MATCH($B972,職員マスタ!$A$6:$A$405,0),"")))</f>
        <v/>
      </c>
      <c r="AQ972" s="16">
        <f>IF(OR($B972="",$C972="",$D972=""),"",DATE($C972+2018,$D972,1))</f>
        <v/>
      </c>
    </row>
    <row r="973">
      <c r="A973" s="11" t="n"/>
      <c r="B973" s="12" t="n"/>
      <c r="C973" s="12" t="n"/>
      <c r="D973" s="12" t="n"/>
      <c r="E973" s="13" t="n"/>
      <c r="F973" s="12" t="n"/>
      <c r="G973" s="13" t="n"/>
      <c r="H973" s="12" t="n"/>
      <c r="I973" s="12" t="n"/>
      <c r="J973" s="12" t="n"/>
      <c r="K973" s="12" t="n"/>
      <c r="L973" s="11" t="n"/>
      <c r="M973" s="11" t="n"/>
      <c r="N973" s="11" t="n"/>
      <c r="O973" s="11" t="n"/>
      <c r="P973" s="12" t="n"/>
      <c r="Q973" s="11" t="n"/>
      <c r="R973" s="12" t="n"/>
      <c r="S973" s="11" t="n"/>
      <c r="T973" s="12" t="n"/>
      <c r="U973" s="12" t="n"/>
      <c r="V973" s="12" t="n"/>
      <c r="W973" s="13" t="n"/>
      <c r="X973" s="14">
        <f>IF($AP973="",IF($B973="","",$H973),IF(INDEX(職員マスタ!$B$6:$B$405,$AP973)="",$H973,INDEX(職員マスタ!$B$6:$B$405,$AP973)))</f>
        <v/>
      </c>
      <c r="Y973" s="14">
        <f>IF($AP973="",IF($B973="","",$R973),IF(INDEX(職員マスタ!$C$6:$C$405,$AP973)="",$R973,INDEX(職員マスタ!$C$6:$C$405,$AP973)))</f>
        <v/>
      </c>
      <c r="Z973" s="14">
        <f>IF($AQ973="","","R"&amp;$C973&amp;"."&amp;$D973)</f>
        <v/>
      </c>
      <c r="AA973" s="15">
        <f>IF(IF($AP973="",FALSE,INDEX(職員マスタ!$K$6:$K$405,$AP973)&lt;&gt;""),INDEX(職員マスタ!$K$6:$K$405,$AP973),IF(N($W973)&gt;0,$W973,""))</f>
        <v/>
      </c>
      <c r="AB973" s="14">
        <f>IF(OR($E973="",$AA973=""),"",IF($E973&gt;=$AA973,"×",IF($E973&gt;=$AA973*設定!$C$5,"△","○")))</f>
        <v/>
      </c>
      <c r="AC973" s="15">
        <f>IF($AB973="","",IF($AB973="×",0,IF($AB973="○",ROUNDDOWN($E973*設定!$C$4,0),ROUNDDOWN($E973*ROUND((9*$AA973-9*$E973)/(10*$E973),4),0))))</f>
        <v/>
      </c>
      <c r="AD973" s="13" t="n"/>
      <c r="AE973" s="15">
        <f>IF($B973="","",IF($AD973&lt;&gt;"",$AD973,IF($AC973="","",IF($AC973&lt;=設定!$C$3,0,$AC973))))</f>
        <v/>
      </c>
      <c r="AF973" s="14">
        <f>IF($B973="","",IF(AND($AG973&lt;&gt;"",$AI973="",$AL973=""),"保留中",IF($AL973&lt;&gt;"",IF(N($AE973)&gt;0,"支給済","不支給"),IF($AE973="","要確認",IF($AE973=0,"不支給","未処理")))))</f>
        <v/>
      </c>
      <c r="AG973" s="12" t="n"/>
      <c r="AH973" s="11" t="n"/>
      <c r="AI973" s="11" t="n"/>
      <c r="AJ973" s="11" t="n"/>
      <c r="AK973" s="14">
        <f>IF(AND($AF973="保留中",$AH973&lt;&gt;""),TODAY()-$AH973,"")</f>
        <v/>
      </c>
      <c r="AL973" s="12" t="n"/>
      <c r="AM973" s="14">
        <f>IF($B973="","",IF($AQ973="","対象年月が未入力／","")&amp;IF($B973="","",IF($AP973="","職員マスタに未登録の職員番号／",IF($AA973="","標準報酬月額が未登録／","")&amp;IF(AND($AQ973&lt;&gt;"",OR(AND(INDEX(職員マスタ!$G$6:$G$405,$AP973)&lt;&gt;"",INDEX(職員マスタ!$G$6:$G$405,$AP973)&gt;EOMONTH($AQ973,0)),AND(INDEX(職員マスタ!$H$6:$H$405,$AP973)&lt;&gt;"",INDEX(職員マスタ!$H$6:$H$405,$AP973)&lt;$AQ973))),"対象月が時短期間外／","")&amp;IF(AND(INDEX(職員マスタ!$K$6:$K$405,$AP973)&lt;&gt;"",N($W973)&gt;0,INDEX(職員マスタ!$K$6:$K$405,$AP973)&lt;&gt;$W973),"標準報酬月額が申請書と相違（台帳"&amp;TEXT(INDEX(職員マスタ!$K$6:$K$405,$AP973),"#,##0")&amp;"円／申請書"&amp;TEXT($W973,"#,##0")&amp;"円）／","")&amp;IF(AND(INDEX(職員マスタ!$F$6:$F$405,$AP973)&lt;&gt;"",$AQ973&lt;&gt;"",INDEX(職員マスタ!$F$6:$F$405,$AP973)&lt;$AQ973),"対象月に子が2歳到達済／","")&amp;IF(AND($H973&lt;&gt;"",INDEX(職員マスタ!$B$6:$B$405,$AP973)&lt;&gt;"",SUBSTITUTE(SUBSTITUTE($H973," ","")," ","")&lt;&gt;SUBSTITUTE(SUBSTITUTE(INDEX(職員マスタ!$B$6:$B$405,$AP973)," ","")," ","")),"氏名がマスタと相違／","")&amp;IF(AND($Q973&lt;&gt;"",INDEX(職員マスタ!$E$6:$E$405,$AP973)&lt;&gt;"",$Q973&lt;&gt;INDEX(職員マスタ!$E$6:$E$405,$AP973)),"子の生年月日がマスタと相違／","")&amp;IF(AND($L973&lt;&gt;"",INDEX(職員マスタ!$G$6:$G$405,$AP973)&lt;&gt;"",$L973&lt;&gt;INDEX(職員マスタ!$G$6:$G$405,$AP973)),"時短開始日がマスタと相違／","")&amp;IF(AND($M973&lt;&gt;"",INDEX(職員マスタ!$H$6:$H$405,$AP973)&lt;&gt;"",$M973&lt;&gt;INDEX(職員マスタ!$H$6:$H$405,$AP973)),"時短終了日がマスタと相違／","")))&amp;IF(AND($B973&lt;&gt;"",$E973=""),"報酬額が未入力／","")&amp;IF(N($U973)&gt;0,"申請書に入力エラーが残っています／","")&amp;IF(AND($B973&lt;&gt;"",$AQ973&lt;&gt;""),IF(COUNTIFS($B$6:$B$3005,$B973,$C$6:$C$3005,$C973,$D$6:$D$3005,$D973)&gt;1,"同じ月の請求が重複しています／",""),"")&amp;IF(AND(N($E973)&gt;0,$AB973&lt;&gt;"",$AB973&lt;&gt;"×",$AE973=0,$AD973=""),"計算額が下限以下のため不支給／",""))</f>
        <v/>
      </c>
      <c r="AN973" s="12" t="n"/>
      <c r="AO973" s="14">
        <f>IF($AF973="保留中",COUNTIF($AF$6:$AF973,"保留中"),"")</f>
        <v/>
      </c>
      <c r="AP973" s="14">
        <f>IF($AQ973="","",IF(SUMPRODUCT(MAX((職員マスタ!$A$6:$A$405=$B973)*(((職員マスタ!$G$6:$G$405="")+(職員マスタ!$G$6:$G$405&lt;=EOMONTH($AQ973,0)))&gt;0)*(((職員マスタ!$H$6:$H$405="")+(職員マスタ!$H$6:$H$405&gt;=$AQ973))&gt;0)*(ROW(職員マスタ!$A$6:$A$405)-5)))&gt;0,SUMPRODUCT(MAX((職員マスタ!$A$6:$A$405=$B973)*(((職員マスタ!$G$6:$G$405="")+(職員マスタ!$G$6:$G$405&lt;=EOMONTH($AQ973,0)))&gt;0)*(((職員マスタ!$H$6:$H$405="")+(職員マスタ!$H$6:$H$405&gt;=$AQ973))&gt;0)*(ROW(職員マスタ!$A$6:$A$405)-5))),IFERROR(MATCH($B973,職員マスタ!$A$6:$A$405,0),"")))</f>
        <v/>
      </c>
      <c r="AQ973" s="16">
        <f>IF(OR($B973="",$C973="",$D973=""),"",DATE($C973+2018,$D973,1))</f>
        <v/>
      </c>
    </row>
    <row r="974">
      <c r="A974" s="11" t="n"/>
      <c r="B974" s="12" t="n"/>
      <c r="C974" s="12" t="n"/>
      <c r="D974" s="12" t="n"/>
      <c r="E974" s="13" t="n"/>
      <c r="F974" s="12" t="n"/>
      <c r="G974" s="13" t="n"/>
      <c r="H974" s="12" t="n"/>
      <c r="I974" s="12" t="n"/>
      <c r="J974" s="12" t="n"/>
      <c r="K974" s="12" t="n"/>
      <c r="L974" s="11" t="n"/>
      <c r="M974" s="11" t="n"/>
      <c r="N974" s="11" t="n"/>
      <c r="O974" s="11" t="n"/>
      <c r="P974" s="12" t="n"/>
      <c r="Q974" s="11" t="n"/>
      <c r="R974" s="12" t="n"/>
      <c r="S974" s="11" t="n"/>
      <c r="T974" s="12" t="n"/>
      <c r="U974" s="12" t="n"/>
      <c r="V974" s="12" t="n"/>
      <c r="W974" s="13" t="n"/>
      <c r="X974" s="14">
        <f>IF($AP974="",IF($B974="","",$H974),IF(INDEX(職員マスタ!$B$6:$B$405,$AP974)="",$H974,INDEX(職員マスタ!$B$6:$B$405,$AP974)))</f>
        <v/>
      </c>
      <c r="Y974" s="14">
        <f>IF($AP974="",IF($B974="","",$R974),IF(INDEX(職員マスタ!$C$6:$C$405,$AP974)="",$R974,INDEX(職員マスタ!$C$6:$C$405,$AP974)))</f>
        <v/>
      </c>
      <c r="Z974" s="14">
        <f>IF($AQ974="","","R"&amp;$C974&amp;"."&amp;$D974)</f>
        <v/>
      </c>
      <c r="AA974" s="15">
        <f>IF(IF($AP974="",FALSE,INDEX(職員マスタ!$K$6:$K$405,$AP974)&lt;&gt;""),INDEX(職員マスタ!$K$6:$K$405,$AP974),IF(N($W974)&gt;0,$W974,""))</f>
        <v/>
      </c>
      <c r="AB974" s="14">
        <f>IF(OR($E974="",$AA974=""),"",IF($E974&gt;=$AA974,"×",IF($E974&gt;=$AA974*設定!$C$5,"△","○")))</f>
        <v/>
      </c>
      <c r="AC974" s="15">
        <f>IF($AB974="","",IF($AB974="×",0,IF($AB974="○",ROUNDDOWN($E974*設定!$C$4,0),ROUNDDOWN($E974*ROUND((9*$AA974-9*$E974)/(10*$E974),4),0))))</f>
        <v/>
      </c>
      <c r="AD974" s="13" t="n"/>
      <c r="AE974" s="15">
        <f>IF($B974="","",IF($AD974&lt;&gt;"",$AD974,IF($AC974="","",IF($AC974&lt;=設定!$C$3,0,$AC974))))</f>
        <v/>
      </c>
      <c r="AF974" s="14">
        <f>IF($B974="","",IF(AND($AG974&lt;&gt;"",$AI974="",$AL974=""),"保留中",IF($AL974&lt;&gt;"",IF(N($AE974)&gt;0,"支給済","不支給"),IF($AE974="","要確認",IF($AE974=0,"不支給","未処理")))))</f>
        <v/>
      </c>
      <c r="AG974" s="12" t="n"/>
      <c r="AH974" s="11" t="n"/>
      <c r="AI974" s="11" t="n"/>
      <c r="AJ974" s="11" t="n"/>
      <c r="AK974" s="14">
        <f>IF(AND($AF974="保留中",$AH974&lt;&gt;""),TODAY()-$AH974,"")</f>
        <v/>
      </c>
      <c r="AL974" s="12" t="n"/>
      <c r="AM974" s="14">
        <f>IF($B974="","",IF($AQ974="","対象年月が未入力／","")&amp;IF($B974="","",IF($AP974="","職員マスタに未登録の職員番号／",IF($AA974="","標準報酬月額が未登録／","")&amp;IF(AND($AQ974&lt;&gt;"",OR(AND(INDEX(職員マスタ!$G$6:$G$405,$AP974)&lt;&gt;"",INDEX(職員マスタ!$G$6:$G$405,$AP974)&gt;EOMONTH($AQ974,0)),AND(INDEX(職員マスタ!$H$6:$H$405,$AP974)&lt;&gt;"",INDEX(職員マスタ!$H$6:$H$405,$AP974)&lt;$AQ974))),"対象月が時短期間外／","")&amp;IF(AND(INDEX(職員マスタ!$K$6:$K$405,$AP974)&lt;&gt;"",N($W974)&gt;0,INDEX(職員マスタ!$K$6:$K$405,$AP974)&lt;&gt;$W974),"標準報酬月額が申請書と相違（台帳"&amp;TEXT(INDEX(職員マスタ!$K$6:$K$405,$AP974),"#,##0")&amp;"円／申請書"&amp;TEXT($W974,"#,##0")&amp;"円）／","")&amp;IF(AND(INDEX(職員マスタ!$F$6:$F$405,$AP974)&lt;&gt;"",$AQ974&lt;&gt;"",INDEX(職員マスタ!$F$6:$F$405,$AP974)&lt;$AQ974),"対象月に子が2歳到達済／","")&amp;IF(AND($H974&lt;&gt;"",INDEX(職員マスタ!$B$6:$B$405,$AP974)&lt;&gt;"",SUBSTITUTE(SUBSTITUTE($H974," ","")," ","")&lt;&gt;SUBSTITUTE(SUBSTITUTE(INDEX(職員マスタ!$B$6:$B$405,$AP974)," ","")," ","")),"氏名がマスタと相違／","")&amp;IF(AND($Q974&lt;&gt;"",INDEX(職員マスタ!$E$6:$E$405,$AP974)&lt;&gt;"",$Q974&lt;&gt;INDEX(職員マスタ!$E$6:$E$405,$AP974)),"子の生年月日がマスタと相違／","")&amp;IF(AND($L974&lt;&gt;"",INDEX(職員マスタ!$G$6:$G$405,$AP974)&lt;&gt;"",$L974&lt;&gt;INDEX(職員マスタ!$G$6:$G$405,$AP974)),"時短開始日がマスタと相違／","")&amp;IF(AND($M974&lt;&gt;"",INDEX(職員マスタ!$H$6:$H$405,$AP974)&lt;&gt;"",$M974&lt;&gt;INDEX(職員マスタ!$H$6:$H$405,$AP974)),"時短終了日がマスタと相違／","")))&amp;IF(AND($B974&lt;&gt;"",$E974=""),"報酬額が未入力／","")&amp;IF(N($U974)&gt;0,"申請書に入力エラーが残っています／","")&amp;IF(AND($B974&lt;&gt;"",$AQ974&lt;&gt;""),IF(COUNTIFS($B$6:$B$3005,$B974,$C$6:$C$3005,$C974,$D$6:$D$3005,$D974)&gt;1,"同じ月の請求が重複しています／",""),"")&amp;IF(AND(N($E974)&gt;0,$AB974&lt;&gt;"",$AB974&lt;&gt;"×",$AE974=0,$AD974=""),"計算額が下限以下のため不支給／",""))</f>
        <v/>
      </c>
      <c r="AN974" s="12" t="n"/>
      <c r="AO974" s="14">
        <f>IF($AF974="保留中",COUNTIF($AF$6:$AF974,"保留中"),"")</f>
        <v/>
      </c>
      <c r="AP974" s="14">
        <f>IF($AQ974="","",IF(SUMPRODUCT(MAX((職員マスタ!$A$6:$A$405=$B974)*(((職員マスタ!$G$6:$G$405="")+(職員マスタ!$G$6:$G$405&lt;=EOMONTH($AQ974,0)))&gt;0)*(((職員マスタ!$H$6:$H$405="")+(職員マスタ!$H$6:$H$405&gt;=$AQ974))&gt;0)*(ROW(職員マスタ!$A$6:$A$405)-5)))&gt;0,SUMPRODUCT(MAX((職員マスタ!$A$6:$A$405=$B974)*(((職員マスタ!$G$6:$G$405="")+(職員マスタ!$G$6:$G$405&lt;=EOMONTH($AQ974,0)))&gt;0)*(((職員マスタ!$H$6:$H$405="")+(職員マスタ!$H$6:$H$405&gt;=$AQ974))&gt;0)*(ROW(職員マスタ!$A$6:$A$405)-5))),IFERROR(MATCH($B974,職員マスタ!$A$6:$A$405,0),"")))</f>
        <v/>
      </c>
      <c r="AQ974" s="16">
        <f>IF(OR($B974="",$C974="",$D974=""),"",DATE($C974+2018,$D974,1))</f>
        <v/>
      </c>
    </row>
    <row r="975">
      <c r="A975" s="11" t="n"/>
      <c r="B975" s="12" t="n"/>
      <c r="C975" s="12" t="n"/>
      <c r="D975" s="12" t="n"/>
      <c r="E975" s="13" t="n"/>
      <c r="F975" s="12" t="n"/>
      <c r="G975" s="13" t="n"/>
      <c r="H975" s="12" t="n"/>
      <c r="I975" s="12" t="n"/>
      <c r="J975" s="12" t="n"/>
      <c r="K975" s="12" t="n"/>
      <c r="L975" s="11" t="n"/>
      <c r="M975" s="11" t="n"/>
      <c r="N975" s="11" t="n"/>
      <c r="O975" s="11" t="n"/>
      <c r="P975" s="12" t="n"/>
      <c r="Q975" s="11" t="n"/>
      <c r="R975" s="12" t="n"/>
      <c r="S975" s="11" t="n"/>
      <c r="T975" s="12" t="n"/>
      <c r="U975" s="12" t="n"/>
      <c r="V975" s="12" t="n"/>
      <c r="W975" s="13" t="n"/>
      <c r="X975" s="14">
        <f>IF($AP975="",IF($B975="","",$H975),IF(INDEX(職員マスタ!$B$6:$B$405,$AP975)="",$H975,INDEX(職員マスタ!$B$6:$B$405,$AP975)))</f>
        <v/>
      </c>
      <c r="Y975" s="14">
        <f>IF($AP975="",IF($B975="","",$R975),IF(INDEX(職員マスタ!$C$6:$C$405,$AP975)="",$R975,INDEX(職員マスタ!$C$6:$C$405,$AP975)))</f>
        <v/>
      </c>
      <c r="Z975" s="14">
        <f>IF($AQ975="","","R"&amp;$C975&amp;"."&amp;$D975)</f>
        <v/>
      </c>
      <c r="AA975" s="15">
        <f>IF(IF($AP975="",FALSE,INDEX(職員マスタ!$K$6:$K$405,$AP975)&lt;&gt;""),INDEX(職員マスタ!$K$6:$K$405,$AP975),IF(N($W975)&gt;0,$W975,""))</f>
        <v/>
      </c>
      <c r="AB975" s="14">
        <f>IF(OR($E975="",$AA975=""),"",IF($E975&gt;=$AA975,"×",IF($E975&gt;=$AA975*設定!$C$5,"△","○")))</f>
        <v/>
      </c>
      <c r="AC975" s="15">
        <f>IF($AB975="","",IF($AB975="×",0,IF($AB975="○",ROUNDDOWN($E975*設定!$C$4,0),ROUNDDOWN($E975*ROUND((9*$AA975-9*$E975)/(10*$E975),4),0))))</f>
        <v/>
      </c>
      <c r="AD975" s="13" t="n"/>
      <c r="AE975" s="15">
        <f>IF($B975="","",IF($AD975&lt;&gt;"",$AD975,IF($AC975="","",IF($AC975&lt;=設定!$C$3,0,$AC975))))</f>
        <v/>
      </c>
      <c r="AF975" s="14">
        <f>IF($B975="","",IF(AND($AG975&lt;&gt;"",$AI975="",$AL975=""),"保留中",IF($AL975&lt;&gt;"",IF(N($AE975)&gt;0,"支給済","不支給"),IF($AE975="","要確認",IF($AE975=0,"不支給","未処理")))))</f>
        <v/>
      </c>
      <c r="AG975" s="12" t="n"/>
      <c r="AH975" s="11" t="n"/>
      <c r="AI975" s="11" t="n"/>
      <c r="AJ975" s="11" t="n"/>
      <c r="AK975" s="14">
        <f>IF(AND($AF975="保留中",$AH975&lt;&gt;""),TODAY()-$AH975,"")</f>
        <v/>
      </c>
      <c r="AL975" s="12" t="n"/>
      <c r="AM975" s="14">
        <f>IF($B975="","",IF($AQ975="","対象年月が未入力／","")&amp;IF($B975="","",IF($AP975="","職員マスタに未登録の職員番号／",IF($AA975="","標準報酬月額が未登録／","")&amp;IF(AND($AQ975&lt;&gt;"",OR(AND(INDEX(職員マスタ!$G$6:$G$405,$AP975)&lt;&gt;"",INDEX(職員マスタ!$G$6:$G$405,$AP975)&gt;EOMONTH($AQ975,0)),AND(INDEX(職員マスタ!$H$6:$H$405,$AP975)&lt;&gt;"",INDEX(職員マスタ!$H$6:$H$405,$AP975)&lt;$AQ975))),"対象月が時短期間外／","")&amp;IF(AND(INDEX(職員マスタ!$K$6:$K$405,$AP975)&lt;&gt;"",N($W975)&gt;0,INDEX(職員マスタ!$K$6:$K$405,$AP975)&lt;&gt;$W975),"標準報酬月額が申請書と相違（台帳"&amp;TEXT(INDEX(職員マスタ!$K$6:$K$405,$AP975),"#,##0")&amp;"円／申請書"&amp;TEXT($W975,"#,##0")&amp;"円）／","")&amp;IF(AND(INDEX(職員マスタ!$F$6:$F$405,$AP975)&lt;&gt;"",$AQ975&lt;&gt;"",INDEX(職員マスタ!$F$6:$F$405,$AP975)&lt;$AQ975),"対象月に子が2歳到達済／","")&amp;IF(AND($H975&lt;&gt;"",INDEX(職員マスタ!$B$6:$B$405,$AP975)&lt;&gt;"",SUBSTITUTE(SUBSTITUTE($H975," ","")," ","")&lt;&gt;SUBSTITUTE(SUBSTITUTE(INDEX(職員マスタ!$B$6:$B$405,$AP975)," ","")," ","")),"氏名がマスタと相違／","")&amp;IF(AND($Q975&lt;&gt;"",INDEX(職員マスタ!$E$6:$E$405,$AP975)&lt;&gt;"",$Q975&lt;&gt;INDEX(職員マスタ!$E$6:$E$405,$AP975)),"子の生年月日がマスタと相違／","")&amp;IF(AND($L975&lt;&gt;"",INDEX(職員マスタ!$G$6:$G$405,$AP975)&lt;&gt;"",$L975&lt;&gt;INDEX(職員マスタ!$G$6:$G$405,$AP975)),"時短開始日がマスタと相違／","")&amp;IF(AND($M975&lt;&gt;"",INDEX(職員マスタ!$H$6:$H$405,$AP975)&lt;&gt;"",$M975&lt;&gt;INDEX(職員マスタ!$H$6:$H$405,$AP975)),"時短終了日がマスタと相違／","")))&amp;IF(AND($B975&lt;&gt;"",$E975=""),"報酬額が未入力／","")&amp;IF(N($U975)&gt;0,"申請書に入力エラーが残っています／","")&amp;IF(AND($B975&lt;&gt;"",$AQ975&lt;&gt;""),IF(COUNTIFS($B$6:$B$3005,$B975,$C$6:$C$3005,$C975,$D$6:$D$3005,$D975)&gt;1,"同じ月の請求が重複しています／",""),"")&amp;IF(AND(N($E975)&gt;0,$AB975&lt;&gt;"",$AB975&lt;&gt;"×",$AE975=0,$AD975=""),"計算額が下限以下のため不支給／",""))</f>
        <v/>
      </c>
      <c r="AN975" s="12" t="n"/>
      <c r="AO975" s="14">
        <f>IF($AF975="保留中",COUNTIF($AF$6:$AF975,"保留中"),"")</f>
        <v/>
      </c>
      <c r="AP975" s="14">
        <f>IF($AQ975="","",IF(SUMPRODUCT(MAX((職員マスタ!$A$6:$A$405=$B975)*(((職員マスタ!$G$6:$G$405="")+(職員マスタ!$G$6:$G$405&lt;=EOMONTH($AQ975,0)))&gt;0)*(((職員マスタ!$H$6:$H$405="")+(職員マスタ!$H$6:$H$405&gt;=$AQ975))&gt;0)*(ROW(職員マスタ!$A$6:$A$405)-5)))&gt;0,SUMPRODUCT(MAX((職員マスタ!$A$6:$A$405=$B975)*(((職員マスタ!$G$6:$G$405="")+(職員マスタ!$G$6:$G$405&lt;=EOMONTH($AQ975,0)))&gt;0)*(((職員マスタ!$H$6:$H$405="")+(職員マスタ!$H$6:$H$405&gt;=$AQ975))&gt;0)*(ROW(職員マスタ!$A$6:$A$405)-5))),IFERROR(MATCH($B975,職員マスタ!$A$6:$A$405,0),"")))</f>
        <v/>
      </c>
      <c r="AQ975" s="16">
        <f>IF(OR($B975="",$C975="",$D975=""),"",DATE($C975+2018,$D975,1))</f>
        <v/>
      </c>
    </row>
    <row r="976">
      <c r="A976" s="11" t="n"/>
      <c r="B976" s="12" t="n"/>
      <c r="C976" s="12" t="n"/>
      <c r="D976" s="12" t="n"/>
      <c r="E976" s="13" t="n"/>
      <c r="F976" s="12" t="n"/>
      <c r="G976" s="13" t="n"/>
      <c r="H976" s="12" t="n"/>
      <c r="I976" s="12" t="n"/>
      <c r="J976" s="12" t="n"/>
      <c r="K976" s="12" t="n"/>
      <c r="L976" s="11" t="n"/>
      <c r="M976" s="11" t="n"/>
      <c r="N976" s="11" t="n"/>
      <c r="O976" s="11" t="n"/>
      <c r="P976" s="12" t="n"/>
      <c r="Q976" s="11" t="n"/>
      <c r="R976" s="12" t="n"/>
      <c r="S976" s="11" t="n"/>
      <c r="T976" s="12" t="n"/>
      <c r="U976" s="12" t="n"/>
      <c r="V976" s="12" t="n"/>
      <c r="W976" s="13" t="n"/>
      <c r="X976" s="14">
        <f>IF($AP976="",IF($B976="","",$H976),IF(INDEX(職員マスタ!$B$6:$B$405,$AP976)="",$H976,INDEX(職員マスタ!$B$6:$B$405,$AP976)))</f>
        <v/>
      </c>
      <c r="Y976" s="14">
        <f>IF($AP976="",IF($B976="","",$R976),IF(INDEX(職員マスタ!$C$6:$C$405,$AP976)="",$R976,INDEX(職員マスタ!$C$6:$C$405,$AP976)))</f>
        <v/>
      </c>
      <c r="Z976" s="14">
        <f>IF($AQ976="","","R"&amp;$C976&amp;"."&amp;$D976)</f>
        <v/>
      </c>
      <c r="AA976" s="15">
        <f>IF(IF($AP976="",FALSE,INDEX(職員マスタ!$K$6:$K$405,$AP976)&lt;&gt;""),INDEX(職員マスタ!$K$6:$K$405,$AP976),IF(N($W976)&gt;0,$W976,""))</f>
        <v/>
      </c>
      <c r="AB976" s="14">
        <f>IF(OR($E976="",$AA976=""),"",IF($E976&gt;=$AA976,"×",IF($E976&gt;=$AA976*設定!$C$5,"△","○")))</f>
        <v/>
      </c>
      <c r="AC976" s="15">
        <f>IF($AB976="","",IF($AB976="×",0,IF($AB976="○",ROUNDDOWN($E976*設定!$C$4,0),ROUNDDOWN($E976*ROUND((9*$AA976-9*$E976)/(10*$E976),4),0))))</f>
        <v/>
      </c>
      <c r="AD976" s="13" t="n"/>
      <c r="AE976" s="15">
        <f>IF($B976="","",IF($AD976&lt;&gt;"",$AD976,IF($AC976="","",IF($AC976&lt;=設定!$C$3,0,$AC976))))</f>
        <v/>
      </c>
      <c r="AF976" s="14">
        <f>IF($B976="","",IF(AND($AG976&lt;&gt;"",$AI976="",$AL976=""),"保留中",IF($AL976&lt;&gt;"",IF(N($AE976)&gt;0,"支給済","不支給"),IF($AE976="","要確認",IF($AE976=0,"不支給","未処理")))))</f>
        <v/>
      </c>
      <c r="AG976" s="12" t="n"/>
      <c r="AH976" s="11" t="n"/>
      <c r="AI976" s="11" t="n"/>
      <c r="AJ976" s="11" t="n"/>
      <c r="AK976" s="14">
        <f>IF(AND($AF976="保留中",$AH976&lt;&gt;""),TODAY()-$AH976,"")</f>
        <v/>
      </c>
      <c r="AL976" s="12" t="n"/>
      <c r="AM976" s="14">
        <f>IF($B976="","",IF($AQ976="","対象年月が未入力／","")&amp;IF($B976="","",IF($AP976="","職員マスタに未登録の職員番号／",IF($AA976="","標準報酬月額が未登録／","")&amp;IF(AND($AQ976&lt;&gt;"",OR(AND(INDEX(職員マスタ!$G$6:$G$405,$AP976)&lt;&gt;"",INDEX(職員マスタ!$G$6:$G$405,$AP976)&gt;EOMONTH($AQ976,0)),AND(INDEX(職員マスタ!$H$6:$H$405,$AP976)&lt;&gt;"",INDEX(職員マスタ!$H$6:$H$405,$AP976)&lt;$AQ976))),"対象月が時短期間外／","")&amp;IF(AND(INDEX(職員マスタ!$K$6:$K$405,$AP976)&lt;&gt;"",N($W976)&gt;0,INDEX(職員マスタ!$K$6:$K$405,$AP976)&lt;&gt;$W976),"標準報酬月額が申請書と相違（台帳"&amp;TEXT(INDEX(職員マスタ!$K$6:$K$405,$AP976),"#,##0")&amp;"円／申請書"&amp;TEXT($W976,"#,##0")&amp;"円）／","")&amp;IF(AND(INDEX(職員マスタ!$F$6:$F$405,$AP976)&lt;&gt;"",$AQ976&lt;&gt;"",INDEX(職員マスタ!$F$6:$F$405,$AP976)&lt;$AQ976),"対象月に子が2歳到達済／","")&amp;IF(AND($H976&lt;&gt;"",INDEX(職員マスタ!$B$6:$B$405,$AP976)&lt;&gt;"",SUBSTITUTE(SUBSTITUTE($H976," ","")," ","")&lt;&gt;SUBSTITUTE(SUBSTITUTE(INDEX(職員マスタ!$B$6:$B$405,$AP976)," ","")," ","")),"氏名がマスタと相違／","")&amp;IF(AND($Q976&lt;&gt;"",INDEX(職員マスタ!$E$6:$E$405,$AP976)&lt;&gt;"",$Q976&lt;&gt;INDEX(職員マスタ!$E$6:$E$405,$AP976)),"子の生年月日がマスタと相違／","")&amp;IF(AND($L976&lt;&gt;"",INDEX(職員マスタ!$G$6:$G$405,$AP976)&lt;&gt;"",$L976&lt;&gt;INDEX(職員マスタ!$G$6:$G$405,$AP976)),"時短開始日がマスタと相違／","")&amp;IF(AND($M976&lt;&gt;"",INDEX(職員マスタ!$H$6:$H$405,$AP976)&lt;&gt;"",$M976&lt;&gt;INDEX(職員マスタ!$H$6:$H$405,$AP976)),"時短終了日がマスタと相違／","")))&amp;IF(AND($B976&lt;&gt;"",$E976=""),"報酬額が未入力／","")&amp;IF(N($U976)&gt;0,"申請書に入力エラーが残っています／","")&amp;IF(AND($B976&lt;&gt;"",$AQ976&lt;&gt;""),IF(COUNTIFS($B$6:$B$3005,$B976,$C$6:$C$3005,$C976,$D$6:$D$3005,$D976)&gt;1,"同じ月の請求が重複しています／",""),"")&amp;IF(AND(N($E976)&gt;0,$AB976&lt;&gt;"",$AB976&lt;&gt;"×",$AE976=0,$AD976=""),"計算額が下限以下のため不支給／",""))</f>
        <v/>
      </c>
      <c r="AN976" s="12" t="n"/>
      <c r="AO976" s="14">
        <f>IF($AF976="保留中",COUNTIF($AF$6:$AF976,"保留中"),"")</f>
        <v/>
      </c>
      <c r="AP976" s="14">
        <f>IF($AQ976="","",IF(SUMPRODUCT(MAX((職員マスタ!$A$6:$A$405=$B976)*(((職員マスタ!$G$6:$G$405="")+(職員マスタ!$G$6:$G$405&lt;=EOMONTH($AQ976,0)))&gt;0)*(((職員マスタ!$H$6:$H$405="")+(職員マスタ!$H$6:$H$405&gt;=$AQ976))&gt;0)*(ROW(職員マスタ!$A$6:$A$405)-5)))&gt;0,SUMPRODUCT(MAX((職員マスタ!$A$6:$A$405=$B976)*(((職員マスタ!$G$6:$G$405="")+(職員マスタ!$G$6:$G$405&lt;=EOMONTH($AQ976,0)))&gt;0)*(((職員マスタ!$H$6:$H$405="")+(職員マスタ!$H$6:$H$405&gt;=$AQ976))&gt;0)*(ROW(職員マスタ!$A$6:$A$405)-5))),IFERROR(MATCH($B976,職員マスタ!$A$6:$A$405,0),"")))</f>
        <v/>
      </c>
      <c r="AQ976" s="16">
        <f>IF(OR($B976="",$C976="",$D976=""),"",DATE($C976+2018,$D976,1))</f>
        <v/>
      </c>
    </row>
    <row r="977">
      <c r="A977" s="11" t="n"/>
      <c r="B977" s="12" t="n"/>
      <c r="C977" s="12" t="n"/>
      <c r="D977" s="12" t="n"/>
      <c r="E977" s="13" t="n"/>
      <c r="F977" s="12" t="n"/>
      <c r="G977" s="13" t="n"/>
      <c r="H977" s="12" t="n"/>
      <c r="I977" s="12" t="n"/>
      <c r="J977" s="12" t="n"/>
      <c r="K977" s="12" t="n"/>
      <c r="L977" s="11" t="n"/>
      <c r="M977" s="11" t="n"/>
      <c r="N977" s="11" t="n"/>
      <c r="O977" s="11" t="n"/>
      <c r="P977" s="12" t="n"/>
      <c r="Q977" s="11" t="n"/>
      <c r="R977" s="12" t="n"/>
      <c r="S977" s="11" t="n"/>
      <c r="T977" s="12" t="n"/>
      <c r="U977" s="12" t="n"/>
      <c r="V977" s="12" t="n"/>
      <c r="W977" s="13" t="n"/>
      <c r="X977" s="14">
        <f>IF($AP977="",IF($B977="","",$H977),IF(INDEX(職員マスタ!$B$6:$B$405,$AP977)="",$H977,INDEX(職員マスタ!$B$6:$B$405,$AP977)))</f>
        <v/>
      </c>
      <c r="Y977" s="14">
        <f>IF($AP977="",IF($B977="","",$R977),IF(INDEX(職員マスタ!$C$6:$C$405,$AP977)="",$R977,INDEX(職員マスタ!$C$6:$C$405,$AP977)))</f>
        <v/>
      </c>
      <c r="Z977" s="14">
        <f>IF($AQ977="","","R"&amp;$C977&amp;"."&amp;$D977)</f>
        <v/>
      </c>
      <c r="AA977" s="15">
        <f>IF(IF($AP977="",FALSE,INDEX(職員マスタ!$K$6:$K$405,$AP977)&lt;&gt;""),INDEX(職員マスタ!$K$6:$K$405,$AP977),IF(N($W977)&gt;0,$W977,""))</f>
        <v/>
      </c>
      <c r="AB977" s="14">
        <f>IF(OR($E977="",$AA977=""),"",IF($E977&gt;=$AA977,"×",IF($E977&gt;=$AA977*設定!$C$5,"△","○")))</f>
        <v/>
      </c>
      <c r="AC977" s="15">
        <f>IF($AB977="","",IF($AB977="×",0,IF($AB977="○",ROUNDDOWN($E977*設定!$C$4,0),ROUNDDOWN($E977*ROUND((9*$AA977-9*$E977)/(10*$E977),4),0))))</f>
        <v/>
      </c>
      <c r="AD977" s="13" t="n"/>
      <c r="AE977" s="15">
        <f>IF($B977="","",IF($AD977&lt;&gt;"",$AD977,IF($AC977="","",IF($AC977&lt;=設定!$C$3,0,$AC977))))</f>
        <v/>
      </c>
      <c r="AF977" s="14">
        <f>IF($B977="","",IF(AND($AG977&lt;&gt;"",$AI977="",$AL977=""),"保留中",IF($AL977&lt;&gt;"",IF(N($AE977)&gt;0,"支給済","不支給"),IF($AE977="","要確認",IF($AE977=0,"不支給","未処理")))))</f>
        <v/>
      </c>
      <c r="AG977" s="12" t="n"/>
      <c r="AH977" s="11" t="n"/>
      <c r="AI977" s="11" t="n"/>
      <c r="AJ977" s="11" t="n"/>
      <c r="AK977" s="14">
        <f>IF(AND($AF977="保留中",$AH977&lt;&gt;""),TODAY()-$AH977,"")</f>
        <v/>
      </c>
      <c r="AL977" s="12" t="n"/>
      <c r="AM977" s="14">
        <f>IF($B977="","",IF($AQ977="","対象年月が未入力／","")&amp;IF($B977="","",IF($AP977="","職員マスタに未登録の職員番号／",IF($AA977="","標準報酬月額が未登録／","")&amp;IF(AND($AQ977&lt;&gt;"",OR(AND(INDEX(職員マスタ!$G$6:$G$405,$AP977)&lt;&gt;"",INDEX(職員マスタ!$G$6:$G$405,$AP977)&gt;EOMONTH($AQ977,0)),AND(INDEX(職員マスタ!$H$6:$H$405,$AP977)&lt;&gt;"",INDEX(職員マスタ!$H$6:$H$405,$AP977)&lt;$AQ977))),"対象月が時短期間外／","")&amp;IF(AND(INDEX(職員マスタ!$K$6:$K$405,$AP977)&lt;&gt;"",N($W977)&gt;0,INDEX(職員マスタ!$K$6:$K$405,$AP977)&lt;&gt;$W977),"標準報酬月額が申請書と相違（台帳"&amp;TEXT(INDEX(職員マスタ!$K$6:$K$405,$AP977),"#,##0")&amp;"円／申請書"&amp;TEXT($W977,"#,##0")&amp;"円）／","")&amp;IF(AND(INDEX(職員マスタ!$F$6:$F$405,$AP977)&lt;&gt;"",$AQ977&lt;&gt;"",INDEX(職員マスタ!$F$6:$F$405,$AP977)&lt;$AQ977),"対象月に子が2歳到達済／","")&amp;IF(AND($H977&lt;&gt;"",INDEX(職員マスタ!$B$6:$B$405,$AP977)&lt;&gt;"",SUBSTITUTE(SUBSTITUTE($H977," ","")," ","")&lt;&gt;SUBSTITUTE(SUBSTITUTE(INDEX(職員マスタ!$B$6:$B$405,$AP977)," ","")," ","")),"氏名がマスタと相違／","")&amp;IF(AND($Q977&lt;&gt;"",INDEX(職員マスタ!$E$6:$E$405,$AP977)&lt;&gt;"",$Q977&lt;&gt;INDEX(職員マスタ!$E$6:$E$405,$AP977)),"子の生年月日がマスタと相違／","")&amp;IF(AND($L977&lt;&gt;"",INDEX(職員マスタ!$G$6:$G$405,$AP977)&lt;&gt;"",$L977&lt;&gt;INDEX(職員マスタ!$G$6:$G$405,$AP977)),"時短開始日がマスタと相違／","")&amp;IF(AND($M977&lt;&gt;"",INDEX(職員マスタ!$H$6:$H$405,$AP977)&lt;&gt;"",$M977&lt;&gt;INDEX(職員マスタ!$H$6:$H$405,$AP977)),"時短終了日がマスタと相違／","")))&amp;IF(AND($B977&lt;&gt;"",$E977=""),"報酬額が未入力／","")&amp;IF(N($U977)&gt;0,"申請書に入力エラーが残っています／","")&amp;IF(AND($B977&lt;&gt;"",$AQ977&lt;&gt;""),IF(COUNTIFS($B$6:$B$3005,$B977,$C$6:$C$3005,$C977,$D$6:$D$3005,$D977)&gt;1,"同じ月の請求が重複しています／",""),"")&amp;IF(AND(N($E977)&gt;0,$AB977&lt;&gt;"",$AB977&lt;&gt;"×",$AE977=0,$AD977=""),"計算額が下限以下のため不支給／",""))</f>
        <v/>
      </c>
      <c r="AN977" s="12" t="n"/>
      <c r="AO977" s="14">
        <f>IF($AF977="保留中",COUNTIF($AF$6:$AF977,"保留中"),"")</f>
        <v/>
      </c>
      <c r="AP977" s="14">
        <f>IF($AQ977="","",IF(SUMPRODUCT(MAX((職員マスタ!$A$6:$A$405=$B977)*(((職員マスタ!$G$6:$G$405="")+(職員マスタ!$G$6:$G$405&lt;=EOMONTH($AQ977,0)))&gt;0)*(((職員マスタ!$H$6:$H$405="")+(職員マスタ!$H$6:$H$405&gt;=$AQ977))&gt;0)*(ROW(職員マスタ!$A$6:$A$405)-5)))&gt;0,SUMPRODUCT(MAX((職員マスタ!$A$6:$A$405=$B977)*(((職員マスタ!$G$6:$G$405="")+(職員マスタ!$G$6:$G$405&lt;=EOMONTH($AQ977,0)))&gt;0)*(((職員マスタ!$H$6:$H$405="")+(職員マスタ!$H$6:$H$405&gt;=$AQ977))&gt;0)*(ROW(職員マスタ!$A$6:$A$405)-5))),IFERROR(MATCH($B977,職員マスタ!$A$6:$A$405,0),"")))</f>
        <v/>
      </c>
      <c r="AQ977" s="16">
        <f>IF(OR($B977="",$C977="",$D977=""),"",DATE($C977+2018,$D977,1))</f>
        <v/>
      </c>
    </row>
    <row r="978">
      <c r="A978" s="11" t="n"/>
      <c r="B978" s="12" t="n"/>
      <c r="C978" s="12" t="n"/>
      <c r="D978" s="12" t="n"/>
      <c r="E978" s="13" t="n"/>
      <c r="F978" s="12" t="n"/>
      <c r="G978" s="13" t="n"/>
      <c r="H978" s="12" t="n"/>
      <c r="I978" s="12" t="n"/>
      <c r="J978" s="12" t="n"/>
      <c r="K978" s="12" t="n"/>
      <c r="L978" s="11" t="n"/>
      <c r="M978" s="11" t="n"/>
      <c r="N978" s="11" t="n"/>
      <c r="O978" s="11" t="n"/>
      <c r="P978" s="12" t="n"/>
      <c r="Q978" s="11" t="n"/>
      <c r="R978" s="12" t="n"/>
      <c r="S978" s="11" t="n"/>
      <c r="T978" s="12" t="n"/>
      <c r="U978" s="12" t="n"/>
      <c r="V978" s="12" t="n"/>
      <c r="W978" s="13" t="n"/>
      <c r="X978" s="14">
        <f>IF($AP978="",IF($B978="","",$H978),IF(INDEX(職員マスタ!$B$6:$B$405,$AP978)="",$H978,INDEX(職員マスタ!$B$6:$B$405,$AP978)))</f>
        <v/>
      </c>
      <c r="Y978" s="14">
        <f>IF($AP978="",IF($B978="","",$R978),IF(INDEX(職員マスタ!$C$6:$C$405,$AP978)="",$R978,INDEX(職員マスタ!$C$6:$C$405,$AP978)))</f>
        <v/>
      </c>
      <c r="Z978" s="14">
        <f>IF($AQ978="","","R"&amp;$C978&amp;"."&amp;$D978)</f>
        <v/>
      </c>
      <c r="AA978" s="15">
        <f>IF(IF($AP978="",FALSE,INDEX(職員マスタ!$K$6:$K$405,$AP978)&lt;&gt;""),INDEX(職員マスタ!$K$6:$K$405,$AP978),IF(N($W978)&gt;0,$W978,""))</f>
        <v/>
      </c>
      <c r="AB978" s="14">
        <f>IF(OR($E978="",$AA978=""),"",IF($E978&gt;=$AA978,"×",IF($E978&gt;=$AA978*設定!$C$5,"△","○")))</f>
        <v/>
      </c>
      <c r="AC978" s="15">
        <f>IF($AB978="","",IF($AB978="×",0,IF($AB978="○",ROUNDDOWN($E978*設定!$C$4,0),ROUNDDOWN($E978*ROUND((9*$AA978-9*$E978)/(10*$E978),4),0))))</f>
        <v/>
      </c>
      <c r="AD978" s="13" t="n"/>
      <c r="AE978" s="15">
        <f>IF($B978="","",IF($AD978&lt;&gt;"",$AD978,IF($AC978="","",IF($AC978&lt;=設定!$C$3,0,$AC978))))</f>
        <v/>
      </c>
      <c r="AF978" s="14">
        <f>IF($B978="","",IF(AND($AG978&lt;&gt;"",$AI978="",$AL978=""),"保留中",IF($AL978&lt;&gt;"",IF(N($AE978)&gt;0,"支給済","不支給"),IF($AE978="","要確認",IF($AE978=0,"不支給","未処理")))))</f>
        <v/>
      </c>
      <c r="AG978" s="12" t="n"/>
      <c r="AH978" s="11" t="n"/>
      <c r="AI978" s="11" t="n"/>
      <c r="AJ978" s="11" t="n"/>
      <c r="AK978" s="14">
        <f>IF(AND($AF978="保留中",$AH978&lt;&gt;""),TODAY()-$AH978,"")</f>
        <v/>
      </c>
      <c r="AL978" s="12" t="n"/>
      <c r="AM978" s="14">
        <f>IF($B978="","",IF($AQ978="","対象年月が未入力／","")&amp;IF($B978="","",IF($AP978="","職員マスタに未登録の職員番号／",IF($AA978="","標準報酬月額が未登録／","")&amp;IF(AND($AQ978&lt;&gt;"",OR(AND(INDEX(職員マスタ!$G$6:$G$405,$AP978)&lt;&gt;"",INDEX(職員マスタ!$G$6:$G$405,$AP978)&gt;EOMONTH($AQ978,0)),AND(INDEX(職員マスタ!$H$6:$H$405,$AP978)&lt;&gt;"",INDEX(職員マスタ!$H$6:$H$405,$AP978)&lt;$AQ978))),"対象月が時短期間外／","")&amp;IF(AND(INDEX(職員マスタ!$K$6:$K$405,$AP978)&lt;&gt;"",N($W978)&gt;0,INDEX(職員マスタ!$K$6:$K$405,$AP978)&lt;&gt;$W978),"標準報酬月額が申請書と相違（台帳"&amp;TEXT(INDEX(職員マスタ!$K$6:$K$405,$AP978),"#,##0")&amp;"円／申請書"&amp;TEXT($W978,"#,##0")&amp;"円）／","")&amp;IF(AND(INDEX(職員マスタ!$F$6:$F$405,$AP978)&lt;&gt;"",$AQ978&lt;&gt;"",INDEX(職員マスタ!$F$6:$F$405,$AP978)&lt;$AQ978),"対象月に子が2歳到達済／","")&amp;IF(AND($H978&lt;&gt;"",INDEX(職員マスタ!$B$6:$B$405,$AP978)&lt;&gt;"",SUBSTITUTE(SUBSTITUTE($H978," ","")," ","")&lt;&gt;SUBSTITUTE(SUBSTITUTE(INDEX(職員マスタ!$B$6:$B$405,$AP978)," ","")," ","")),"氏名がマスタと相違／","")&amp;IF(AND($Q978&lt;&gt;"",INDEX(職員マスタ!$E$6:$E$405,$AP978)&lt;&gt;"",$Q978&lt;&gt;INDEX(職員マスタ!$E$6:$E$405,$AP978)),"子の生年月日がマスタと相違／","")&amp;IF(AND($L978&lt;&gt;"",INDEX(職員マスタ!$G$6:$G$405,$AP978)&lt;&gt;"",$L978&lt;&gt;INDEX(職員マスタ!$G$6:$G$405,$AP978)),"時短開始日がマスタと相違／","")&amp;IF(AND($M978&lt;&gt;"",INDEX(職員マスタ!$H$6:$H$405,$AP978)&lt;&gt;"",$M978&lt;&gt;INDEX(職員マスタ!$H$6:$H$405,$AP978)),"時短終了日がマスタと相違／","")))&amp;IF(AND($B978&lt;&gt;"",$E978=""),"報酬額が未入力／","")&amp;IF(N($U978)&gt;0,"申請書に入力エラーが残っています／","")&amp;IF(AND($B978&lt;&gt;"",$AQ978&lt;&gt;""),IF(COUNTIFS($B$6:$B$3005,$B978,$C$6:$C$3005,$C978,$D$6:$D$3005,$D978)&gt;1,"同じ月の請求が重複しています／",""),"")&amp;IF(AND(N($E978)&gt;0,$AB978&lt;&gt;"",$AB978&lt;&gt;"×",$AE978=0,$AD978=""),"計算額が下限以下のため不支給／",""))</f>
        <v/>
      </c>
      <c r="AN978" s="12" t="n"/>
      <c r="AO978" s="14">
        <f>IF($AF978="保留中",COUNTIF($AF$6:$AF978,"保留中"),"")</f>
        <v/>
      </c>
      <c r="AP978" s="14">
        <f>IF($AQ978="","",IF(SUMPRODUCT(MAX((職員マスタ!$A$6:$A$405=$B978)*(((職員マスタ!$G$6:$G$405="")+(職員マスタ!$G$6:$G$405&lt;=EOMONTH($AQ978,0)))&gt;0)*(((職員マスタ!$H$6:$H$405="")+(職員マスタ!$H$6:$H$405&gt;=$AQ978))&gt;0)*(ROW(職員マスタ!$A$6:$A$405)-5)))&gt;0,SUMPRODUCT(MAX((職員マスタ!$A$6:$A$405=$B978)*(((職員マスタ!$G$6:$G$405="")+(職員マスタ!$G$6:$G$405&lt;=EOMONTH($AQ978,0)))&gt;0)*(((職員マスタ!$H$6:$H$405="")+(職員マスタ!$H$6:$H$405&gt;=$AQ978))&gt;0)*(ROW(職員マスタ!$A$6:$A$405)-5))),IFERROR(MATCH($B978,職員マスタ!$A$6:$A$405,0),"")))</f>
        <v/>
      </c>
      <c r="AQ978" s="16">
        <f>IF(OR($B978="",$C978="",$D978=""),"",DATE($C978+2018,$D978,1))</f>
        <v/>
      </c>
    </row>
    <row r="979">
      <c r="A979" s="11" t="n"/>
      <c r="B979" s="12" t="n"/>
      <c r="C979" s="12" t="n"/>
      <c r="D979" s="12" t="n"/>
      <c r="E979" s="13" t="n"/>
      <c r="F979" s="12" t="n"/>
      <c r="G979" s="13" t="n"/>
      <c r="H979" s="12" t="n"/>
      <c r="I979" s="12" t="n"/>
      <c r="J979" s="12" t="n"/>
      <c r="K979" s="12" t="n"/>
      <c r="L979" s="11" t="n"/>
      <c r="M979" s="11" t="n"/>
      <c r="N979" s="11" t="n"/>
      <c r="O979" s="11" t="n"/>
      <c r="P979" s="12" t="n"/>
      <c r="Q979" s="11" t="n"/>
      <c r="R979" s="12" t="n"/>
      <c r="S979" s="11" t="n"/>
      <c r="T979" s="12" t="n"/>
      <c r="U979" s="12" t="n"/>
      <c r="V979" s="12" t="n"/>
      <c r="W979" s="13" t="n"/>
      <c r="X979" s="14">
        <f>IF($AP979="",IF($B979="","",$H979),IF(INDEX(職員マスタ!$B$6:$B$405,$AP979)="",$H979,INDEX(職員マスタ!$B$6:$B$405,$AP979)))</f>
        <v/>
      </c>
      <c r="Y979" s="14">
        <f>IF($AP979="",IF($B979="","",$R979),IF(INDEX(職員マスタ!$C$6:$C$405,$AP979)="",$R979,INDEX(職員マスタ!$C$6:$C$405,$AP979)))</f>
        <v/>
      </c>
      <c r="Z979" s="14">
        <f>IF($AQ979="","","R"&amp;$C979&amp;"."&amp;$D979)</f>
        <v/>
      </c>
      <c r="AA979" s="15">
        <f>IF(IF($AP979="",FALSE,INDEX(職員マスタ!$K$6:$K$405,$AP979)&lt;&gt;""),INDEX(職員マスタ!$K$6:$K$405,$AP979),IF(N($W979)&gt;0,$W979,""))</f>
        <v/>
      </c>
      <c r="AB979" s="14">
        <f>IF(OR($E979="",$AA979=""),"",IF($E979&gt;=$AA979,"×",IF($E979&gt;=$AA979*設定!$C$5,"△","○")))</f>
        <v/>
      </c>
      <c r="AC979" s="15">
        <f>IF($AB979="","",IF($AB979="×",0,IF($AB979="○",ROUNDDOWN($E979*設定!$C$4,0),ROUNDDOWN($E979*ROUND((9*$AA979-9*$E979)/(10*$E979),4),0))))</f>
        <v/>
      </c>
      <c r="AD979" s="13" t="n"/>
      <c r="AE979" s="15">
        <f>IF($B979="","",IF($AD979&lt;&gt;"",$AD979,IF($AC979="","",IF($AC979&lt;=設定!$C$3,0,$AC979))))</f>
        <v/>
      </c>
      <c r="AF979" s="14">
        <f>IF($B979="","",IF(AND($AG979&lt;&gt;"",$AI979="",$AL979=""),"保留中",IF($AL979&lt;&gt;"",IF(N($AE979)&gt;0,"支給済","不支給"),IF($AE979="","要確認",IF($AE979=0,"不支給","未処理")))))</f>
        <v/>
      </c>
      <c r="AG979" s="12" t="n"/>
      <c r="AH979" s="11" t="n"/>
      <c r="AI979" s="11" t="n"/>
      <c r="AJ979" s="11" t="n"/>
      <c r="AK979" s="14">
        <f>IF(AND($AF979="保留中",$AH979&lt;&gt;""),TODAY()-$AH979,"")</f>
        <v/>
      </c>
      <c r="AL979" s="12" t="n"/>
      <c r="AM979" s="14">
        <f>IF($B979="","",IF($AQ979="","対象年月が未入力／","")&amp;IF($B979="","",IF($AP979="","職員マスタに未登録の職員番号／",IF($AA979="","標準報酬月額が未登録／","")&amp;IF(AND($AQ979&lt;&gt;"",OR(AND(INDEX(職員マスタ!$G$6:$G$405,$AP979)&lt;&gt;"",INDEX(職員マスタ!$G$6:$G$405,$AP979)&gt;EOMONTH($AQ979,0)),AND(INDEX(職員マスタ!$H$6:$H$405,$AP979)&lt;&gt;"",INDEX(職員マスタ!$H$6:$H$405,$AP979)&lt;$AQ979))),"対象月が時短期間外／","")&amp;IF(AND(INDEX(職員マスタ!$K$6:$K$405,$AP979)&lt;&gt;"",N($W979)&gt;0,INDEX(職員マスタ!$K$6:$K$405,$AP979)&lt;&gt;$W979),"標準報酬月額が申請書と相違（台帳"&amp;TEXT(INDEX(職員マスタ!$K$6:$K$405,$AP979),"#,##0")&amp;"円／申請書"&amp;TEXT($W979,"#,##0")&amp;"円）／","")&amp;IF(AND(INDEX(職員マスタ!$F$6:$F$405,$AP979)&lt;&gt;"",$AQ979&lt;&gt;"",INDEX(職員マスタ!$F$6:$F$405,$AP979)&lt;$AQ979),"対象月に子が2歳到達済／","")&amp;IF(AND($H979&lt;&gt;"",INDEX(職員マスタ!$B$6:$B$405,$AP979)&lt;&gt;"",SUBSTITUTE(SUBSTITUTE($H979," ","")," ","")&lt;&gt;SUBSTITUTE(SUBSTITUTE(INDEX(職員マスタ!$B$6:$B$405,$AP979)," ","")," ","")),"氏名がマスタと相違／","")&amp;IF(AND($Q979&lt;&gt;"",INDEX(職員マスタ!$E$6:$E$405,$AP979)&lt;&gt;"",$Q979&lt;&gt;INDEX(職員マスタ!$E$6:$E$405,$AP979)),"子の生年月日がマスタと相違／","")&amp;IF(AND($L979&lt;&gt;"",INDEX(職員マスタ!$G$6:$G$405,$AP979)&lt;&gt;"",$L979&lt;&gt;INDEX(職員マスタ!$G$6:$G$405,$AP979)),"時短開始日がマスタと相違／","")&amp;IF(AND($M979&lt;&gt;"",INDEX(職員マスタ!$H$6:$H$405,$AP979)&lt;&gt;"",$M979&lt;&gt;INDEX(職員マスタ!$H$6:$H$405,$AP979)),"時短終了日がマスタと相違／","")))&amp;IF(AND($B979&lt;&gt;"",$E979=""),"報酬額が未入力／","")&amp;IF(N($U979)&gt;0,"申請書に入力エラーが残っています／","")&amp;IF(AND($B979&lt;&gt;"",$AQ979&lt;&gt;""),IF(COUNTIFS($B$6:$B$3005,$B979,$C$6:$C$3005,$C979,$D$6:$D$3005,$D979)&gt;1,"同じ月の請求が重複しています／",""),"")&amp;IF(AND(N($E979)&gt;0,$AB979&lt;&gt;"",$AB979&lt;&gt;"×",$AE979=0,$AD979=""),"計算額が下限以下のため不支給／",""))</f>
        <v/>
      </c>
      <c r="AN979" s="12" t="n"/>
      <c r="AO979" s="14">
        <f>IF($AF979="保留中",COUNTIF($AF$6:$AF979,"保留中"),"")</f>
        <v/>
      </c>
      <c r="AP979" s="14">
        <f>IF($AQ979="","",IF(SUMPRODUCT(MAX((職員マスタ!$A$6:$A$405=$B979)*(((職員マスタ!$G$6:$G$405="")+(職員マスタ!$G$6:$G$405&lt;=EOMONTH($AQ979,0)))&gt;0)*(((職員マスタ!$H$6:$H$405="")+(職員マスタ!$H$6:$H$405&gt;=$AQ979))&gt;0)*(ROW(職員マスタ!$A$6:$A$405)-5)))&gt;0,SUMPRODUCT(MAX((職員マスタ!$A$6:$A$405=$B979)*(((職員マスタ!$G$6:$G$405="")+(職員マスタ!$G$6:$G$405&lt;=EOMONTH($AQ979,0)))&gt;0)*(((職員マスタ!$H$6:$H$405="")+(職員マスタ!$H$6:$H$405&gt;=$AQ979))&gt;0)*(ROW(職員マスタ!$A$6:$A$405)-5))),IFERROR(MATCH($B979,職員マスタ!$A$6:$A$405,0),"")))</f>
        <v/>
      </c>
      <c r="AQ979" s="16">
        <f>IF(OR($B979="",$C979="",$D979=""),"",DATE($C979+2018,$D979,1))</f>
        <v/>
      </c>
    </row>
    <row r="980">
      <c r="A980" s="11" t="n"/>
      <c r="B980" s="12" t="n"/>
      <c r="C980" s="12" t="n"/>
      <c r="D980" s="12" t="n"/>
      <c r="E980" s="13" t="n"/>
      <c r="F980" s="12" t="n"/>
      <c r="G980" s="13" t="n"/>
      <c r="H980" s="12" t="n"/>
      <c r="I980" s="12" t="n"/>
      <c r="J980" s="12" t="n"/>
      <c r="K980" s="12" t="n"/>
      <c r="L980" s="11" t="n"/>
      <c r="M980" s="11" t="n"/>
      <c r="N980" s="11" t="n"/>
      <c r="O980" s="11" t="n"/>
      <c r="P980" s="12" t="n"/>
      <c r="Q980" s="11" t="n"/>
      <c r="R980" s="12" t="n"/>
      <c r="S980" s="11" t="n"/>
      <c r="T980" s="12" t="n"/>
      <c r="U980" s="12" t="n"/>
      <c r="V980" s="12" t="n"/>
      <c r="W980" s="13" t="n"/>
      <c r="X980" s="14">
        <f>IF($AP980="",IF($B980="","",$H980),IF(INDEX(職員マスタ!$B$6:$B$405,$AP980)="",$H980,INDEX(職員マスタ!$B$6:$B$405,$AP980)))</f>
        <v/>
      </c>
      <c r="Y980" s="14">
        <f>IF($AP980="",IF($B980="","",$R980),IF(INDEX(職員マスタ!$C$6:$C$405,$AP980)="",$R980,INDEX(職員マスタ!$C$6:$C$405,$AP980)))</f>
        <v/>
      </c>
      <c r="Z980" s="14">
        <f>IF($AQ980="","","R"&amp;$C980&amp;"."&amp;$D980)</f>
        <v/>
      </c>
      <c r="AA980" s="15">
        <f>IF(IF($AP980="",FALSE,INDEX(職員マスタ!$K$6:$K$405,$AP980)&lt;&gt;""),INDEX(職員マスタ!$K$6:$K$405,$AP980),IF(N($W980)&gt;0,$W980,""))</f>
        <v/>
      </c>
      <c r="AB980" s="14">
        <f>IF(OR($E980="",$AA980=""),"",IF($E980&gt;=$AA980,"×",IF($E980&gt;=$AA980*設定!$C$5,"△","○")))</f>
        <v/>
      </c>
      <c r="AC980" s="15">
        <f>IF($AB980="","",IF($AB980="×",0,IF($AB980="○",ROUNDDOWN($E980*設定!$C$4,0),ROUNDDOWN($E980*ROUND((9*$AA980-9*$E980)/(10*$E980),4),0))))</f>
        <v/>
      </c>
      <c r="AD980" s="13" t="n"/>
      <c r="AE980" s="15">
        <f>IF($B980="","",IF($AD980&lt;&gt;"",$AD980,IF($AC980="","",IF($AC980&lt;=設定!$C$3,0,$AC980))))</f>
        <v/>
      </c>
      <c r="AF980" s="14">
        <f>IF($B980="","",IF(AND($AG980&lt;&gt;"",$AI980="",$AL980=""),"保留中",IF($AL980&lt;&gt;"",IF(N($AE980)&gt;0,"支給済","不支給"),IF($AE980="","要確認",IF($AE980=0,"不支給","未処理")))))</f>
        <v/>
      </c>
      <c r="AG980" s="12" t="n"/>
      <c r="AH980" s="11" t="n"/>
      <c r="AI980" s="11" t="n"/>
      <c r="AJ980" s="11" t="n"/>
      <c r="AK980" s="14">
        <f>IF(AND($AF980="保留中",$AH980&lt;&gt;""),TODAY()-$AH980,"")</f>
        <v/>
      </c>
      <c r="AL980" s="12" t="n"/>
      <c r="AM980" s="14">
        <f>IF($B980="","",IF($AQ980="","対象年月が未入力／","")&amp;IF($B980="","",IF($AP980="","職員マスタに未登録の職員番号／",IF($AA980="","標準報酬月額が未登録／","")&amp;IF(AND($AQ980&lt;&gt;"",OR(AND(INDEX(職員マスタ!$G$6:$G$405,$AP980)&lt;&gt;"",INDEX(職員マスタ!$G$6:$G$405,$AP980)&gt;EOMONTH($AQ980,0)),AND(INDEX(職員マスタ!$H$6:$H$405,$AP980)&lt;&gt;"",INDEX(職員マスタ!$H$6:$H$405,$AP980)&lt;$AQ980))),"対象月が時短期間外／","")&amp;IF(AND(INDEX(職員マスタ!$K$6:$K$405,$AP980)&lt;&gt;"",N($W980)&gt;0,INDEX(職員マスタ!$K$6:$K$405,$AP980)&lt;&gt;$W980),"標準報酬月額が申請書と相違（台帳"&amp;TEXT(INDEX(職員マスタ!$K$6:$K$405,$AP980),"#,##0")&amp;"円／申請書"&amp;TEXT($W980,"#,##0")&amp;"円）／","")&amp;IF(AND(INDEX(職員マスタ!$F$6:$F$405,$AP980)&lt;&gt;"",$AQ980&lt;&gt;"",INDEX(職員マスタ!$F$6:$F$405,$AP980)&lt;$AQ980),"対象月に子が2歳到達済／","")&amp;IF(AND($H980&lt;&gt;"",INDEX(職員マスタ!$B$6:$B$405,$AP980)&lt;&gt;"",SUBSTITUTE(SUBSTITUTE($H980," ","")," ","")&lt;&gt;SUBSTITUTE(SUBSTITUTE(INDEX(職員マスタ!$B$6:$B$405,$AP980)," ","")," ","")),"氏名がマスタと相違／","")&amp;IF(AND($Q980&lt;&gt;"",INDEX(職員マスタ!$E$6:$E$405,$AP980)&lt;&gt;"",$Q980&lt;&gt;INDEX(職員マスタ!$E$6:$E$405,$AP980)),"子の生年月日がマスタと相違／","")&amp;IF(AND($L980&lt;&gt;"",INDEX(職員マスタ!$G$6:$G$405,$AP980)&lt;&gt;"",$L980&lt;&gt;INDEX(職員マスタ!$G$6:$G$405,$AP980)),"時短開始日がマスタと相違／","")&amp;IF(AND($M980&lt;&gt;"",INDEX(職員マスタ!$H$6:$H$405,$AP980)&lt;&gt;"",$M980&lt;&gt;INDEX(職員マスタ!$H$6:$H$405,$AP980)),"時短終了日がマスタと相違／","")))&amp;IF(AND($B980&lt;&gt;"",$E980=""),"報酬額が未入力／","")&amp;IF(N($U980)&gt;0,"申請書に入力エラーが残っています／","")&amp;IF(AND($B980&lt;&gt;"",$AQ980&lt;&gt;""),IF(COUNTIFS($B$6:$B$3005,$B980,$C$6:$C$3005,$C980,$D$6:$D$3005,$D980)&gt;1,"同じ月の請求が重複しています／",""),"")&amp;IF(AND(N($E980)&gt;0,$AB980&lt;&gt;"",$AB980&lt;&gt;"×",$AE980=0,$AD980=""),"計算額が下限以下のため不支給／",""))</f>
        <v/>
      </c>
      <c r="AN980" s="12" t="n"/>
      <c r="AO980" s="14">
        <f>IF($AF980="保留中",COUNTIF($AF$6:$AF980,"保留中"),"")</f>
        <v/>
      </c>
      <c r="AP980" s="14">
        <f>IF($AQ980="","",IF(SUMPRODUCT(MAX((職員マスタ!$A$6:$A$405=$B980)*(((職員マスタ!$G$6:$G$405="")+(職員マスタ!$G$6:$G$405&lt;=EOMONTH($AQ980,0)))&gt;0)*(((職員マスタ!$H$6:$H$405="")+(職員マスタ!$H$6:$H$405&gt;=$AQ980))&gt;0)*(ROW(職員マスタ!$A$6:$A$405)-5)))&gt;0,SUMPRODUCT(MAX((職員マスタ!$A$6:$A$405=$B980)*(((職員マスタ!$G$6:$G$405="")+(職員マスタ!$G$6:$G$405&lt;=EOMONTH($AQ980,0)))&gt;0)*(((職員マスタ!$H$6:$H$405="")+(職員マスタ!$H$6:$H$405&gt;=$AQ980))&gt;0)*(ROW(職員マスタ!$A$6:$A$405)-5))),IFERROR(MATCH($B980,職員マスタ!$A$6:$A$405,0),"")))</f>
        <v/>
      </c>
      <c r="AQ980" s="16">
        <f>IF(OR($B980="",$C980="",$D980=""),"",DATE($C980+2018,$D980,1))</f>
        <v/>
      </c>
    </row>
    <row r="981">
      <c r="A981" s="11" t="n"/>
      <c r="B981" s="12" t="n"/>
      <c r="C981" s="12" t="n"/>
      <c r="D981" s="12" t="n"/>
      <c r="E981" s="13" t="n"/>
      <c r="F981" s="12" t="n"/>
      <c r="G981" s="13" t="n"/>
      <c r="H981" s="12" t="n"/>
      <c r="I981" s="12" t="n"/>
      <c r="J981" s="12" t="n"/>
      <c r="K981" s="12" t="n"/>
      <c r="L981" s="11" t="n"/>
      <c r="M981" s="11" t="n"/>
      <c r="N981" s="11" t="n"/>
      <c r="O981" s="11" t="n"/>
      <c r="P981" s="12" t="n"/>
      <c r="Q981" s="11" t="n"/>
      <c r="R981" s="12" t="n"/>
      <c r="S981" s="11" t="n"/>
      <c r="T981" s="12" t="n"/>
      <c r="U981" s="12" t="n"/>
      <c r="V981" s="12" t="n"/>
      <c r="W981" s="13" t="n"/>
      <c r="X981" s="14">
        <f>IF($AP981="",IF($B981="","",$H981),IF(INDEX(職員マスタ!$B$6:$B$405,$AP981)="",$H981,INDEX(職員マスタ!$B$6:$B$405,$AP981)))</f>
        <v/>
      </c>
      <c r="Y981" s="14">
        <f>IF($AP981="",IF($B981="","",$R981),IF(INDEX(職員マスタ!$C$6:$C$405,$AP981)="",$R981,INDEX(職員マスタ!$C$6:$C$405,$AP981)))</f>
        <v/>
      </c>
      <c r="Z981" s="14">
        <f>IF($AQ981="","","R"&amp;$C981&amp;"."&amp;$D981)</f>
        <v/>
      </c>
      <c r="AA981" s="15">
        <f>IF(IF($AP981="",FALSE,INDEX(職員マスタ!$K$6:$K$405,$AP981)&lt;&gt;""),INDEX(職員マスタ!$K$6:$K$405,$AP981),IF(N($W981)&gt;0,$W981,""))</f>
        <v/>
      </c>
      <c r="AB981" s="14">
        <f>IF(OR($E981="",$AA981=""),"",IF($E981&gt;=$AA981,"×",IF($E981&gt;=$AA981*設定!$C$5,"△","○")))</f>
        <v/>
      </c>
      <c r="AC981" s="15">
        <f>IF($AB981="","",IF($AB981="×",0,IF($AB981="○",ROUNDDOWN($E981*設定!$C$4,0),ROUNDDOWN($E981*ROUND((9*$AA981-9*$E981)/(10*$E981),4),0))))</f>
        <v/>
      </c>
      <c r="AD981" s="13" t="n"/>
      <c r="AE981" s="15">
        <f>IF($B981="","",IF($AD981&lt;&gt;"",$AD981,IF($AC981="","",IF($AC981&lt;=設定!$C$3,0,$AC981))))</f>
        <v/>
      </c>
      <c r="AF981" s="14">
        <f>IF($B981="","",IF(AND($AG981&lt;&gt;"",$AI981="",$AL981=""),"保留中",IF($AL981&lt;&gt;"",IF(N($AE981)&gt;0,"支給済","不支給"),IF($AE981="","要確認",IF($AE981=0,"不支給","未処理")))))</f>
        <v/>
      </c>
      <c r="AG981" s="12" t="n"/>
      <c r="AH981" s="11" t="n"/>
      <c r="AI981" s="11" t="n"/>
      <c r="AJ981" s="11" t="n"/>
      <c r="AK981" s="14">
        <f>IF(AND($AF981="保留中",$AH981&lt;&gt;""),TODAY()-$AH981,"")</f>
        <v/>
      </c>
      <c r="AL981" s="12" t="n"/>
      <c r="AM981" s="14">
        <f>IF($B981="","",IF($AQ981="","対象年月が未入力／","")&amp;IF($B981="","",IF($AP981="","職員マスタに未登録の職員番号／",IF($AA981="","標準報酬月額が未登録／","")&amp;IF(AND($AQ981&lt;&gt;"",OR(AND(INDEX(職員マスタ!$G$6:$G$405,$AP981)&lt;&gt;"",INDEX(職員マスタ!$G$6:$G$405,$AP981)&gt;EOMONTH($AQ981,0)),AND(INDEX(職員マスタ!$H$6:$H$405,$AP981)&lt;&gt;"",INDEX(職員マスタ!$H$6:$H$405,$AP981)&lt;$AQ981))),"対象月が時短期間外／","")&amp;IF(AND(INDEX(職員マスタ!$K$6:$K$405,$AP981)&lt;&gt;"",N($W981)&gt;0,INDEX(職員マスタ!$K$6:$K$405,$AP981)&lt;&gt;$W981),"標準報酬月額が申請書と相違（台帳"&amp;TEXT(INDEX(職員マスタ!$K$6:$K$405,$AP981),"#,##0")&amp;"円／申請書"&amp;TEXT($W981,"#,##0")&amp;"円）／","")&amp;IF(AND(INDEX(職員マスタ!$F$6:$F$405,$AP981)&lt;&gt;"",$AQ981&lt;&gt;"",INDEX(職員マスタ!$F$6:$F$405,$AP981)&lt;$AQ981),"対象月に子が2歳到達済／","")&amp;IF(AND($H981&lt;&gt;"",INDEX(職員マスタ!$B$6:$B$405,$AP981)&lt;&gt;"",SUBSTITUTE(SUBSTITUTE($H981," ","")," ","")&lt;&gt;SUBSTITUTE(SUBSTITUTE(INDEX(職員マスタ!$B$6:$B$405,$AP981)," ","")," ","")),"氏名がマスタと相違／","")&amp;IF(AND($Q981&lt;&gt;"",INDEX(職員マスタ!$E$6:$E$405,$AP981)&lt;&gt;"",$Q981&lt;&gt;INDEX(職員マスタ!$E$6:$E$405,$AP981)),"子の生年月日がマスタと相違／","")&amp;IF(AND($L981&lt;&gt;"",INDEX(職員マスタ!$G$6:$G$405,$AP981)&lt;&gt;"",$L981&lt;&gt;INDEX(職員マスタ!$G$6:$G$405,$AP981)),"時短開始日がマスタと相違／","")&amp;IF(AND($M981&lt;&gt;"",INDEX(職員マスタ!$H$6:$H$405,$AP981)&lt;&gt;"",$M981&lt;&gt;INDEX(職員マスタ!$H$6:$H$405,$AP981)),"時短終了日がマスタと相違／","")))&amp;IF(AND($B981&lt;&gt;"",$E981=""),"報酬額が未入力／","")&amp;IF(N($U981)&gt;0,"申請書に入力エラーが残っています／","")&amp;IF(AND($B981&lt;&gt;"",$AQ981&lt;&gt;""),IF(COUNTIFS($B$6:$B$3005,$B981,$C$6:$C$3005,$C981,$D$6:$D$3005,$D981)&gt;1,"同じ月の請求が重複しています／",""),"")&amp;IF(AND(N($E981)&gt;0,$AB981&lt;&gt;"",$AB981&lt;&gt;"×",$AE981=0,$AD981=""),"計算額が下限以下のため不支給／",""))</f>
        <v/>
      </c>
      <c r="AN981" s="12" t="n"/>
      <c r="AO981" s="14">
        <f>IF($AF981="保留中",COUNTIF($AF$6:$AF981,"保留中"),"")</f>
        <v/>
      </c>
      <c r="AP981" s="14">
        <f>IF($AQ981="","",IF(SUMPRODUCT(MAX((職員マスタ!$A$6:$A$405=$B981)*(((職員マスタ!$G$6:$G$405="")+(職員マスタ!$G$6:$G$405&lt;=EOMONTH($AQ981,0)))&gt;0)*(((職員マスタ!$H$6:$H$405="")+(職員マスタ!$H$6:$H$405&gt;=$AQ981))&gt;0)*(ROW(職員マスタ!$A$6:$A$405)-5)))&gt;0,SUMPRODUCT(MAX((職員マスタ!$A$6:$A$405=$B981)*(((職員マスタ!$G$6:$G$405="")+(職員マスタ!$G$6:$G$405&lt;=EOMONTH($AQ981,0)))&gt;0)*(((職員マスタ!$H$6:$H$405="")+(職員マスタ!$H$6:$H$405&gt;=$AQ981))&gt;0)*(ROW(職員マスタ!$A$6:$A$405)-5))),IFERROR(MATCH($B981,職員マスタ!$A$6:$A$405,0),"")))</f>
        <v/>
      </c>
      <c r="AQ981" s="16">
        <f>IF(OR($B981="",$C981="",$D981=""),"",DATE($C981+2018,$D981,1))</f>
        <v/>
      </c>
    </row>
    <row r="982">
      <c r="A982" s="11" t="n"/>
      <c r="B982" s="12" t="n"/>
      <c r="C982" s="12" t="n"/>
      <c r="D982" s="12" t="n"/>
      <c r="E982" s="13" t="n"/>
      <c r="F982" s="12" t="n"/>
      <c r="G982" s="13" t="n"/>
      <c r="H982" s="12" t="n"/>
      <c r="I982" s="12" t="n"/>
      <c r="J982" s="12" t="n"/>
      <c r="K982" s="12" t="n"/>
      <c r="L982" s="11" t="n"/>
      <c r="M982" s="11" t="n"/>
      <c r="N982" s="11" t="n"/>
      <c r="O982" s="11" t="n"/>
      <c r="P982" s="12" t="n"/>
      <c r="Q982" s="11" t="n"/>
      <c r="R982" s="12" t="n"/>
      <c r="S982" s="11" t="n"/>
      <c r="T982" s="12" t="n"/>
      <c r="U982" s="12" t="n"/>
      <c r="V982" s="12" t="n"/>
      <c r="W982" s="13" t="n"/>
      <c r="X982" s="14">
        <f>IF($AP982="",IF($B982="","",$H982),IF(INDEX(職員マスタ!$B$6:$B$405,$AP982)="",$H982,INDEX(職員マスタ!$B$6:$B$405,$AP982)))</f>
        <v/>
      </c>
      <c r="Y982" s="14">
        <f>IF($AP982="",IF($B982="","",$R982),IF(INDEX(職員マスタ!$C$6:$C$405,$AP982)="",$R982,INDEX(職員マスタ!$C$6:$C$405,$AP982)))</f>
        <v/>
      </c>
      <c r="Z982" s="14">
        <f>IF($AQ982="","","R"&amp;$C982&amp;"."&amp;$D982)</f>
        <v/>
      </c>
      <c r="AA982" s="15">
        <f>IF(IF($AP982="",FALSE,INDEX(職員マスタ!$K$6:$K$405,$AP982)&lt;&gt;""),INDEX(職員マスタ!$K$6:$K$405,$AP982),IF(N($W982)&gt;0,$W982,""))</f>
        <v/>
      </c>
      <c r="AB982" s="14">
        <f>IF(OR($E982="",$AA982=""),"",IF($E982&gt;=$AA982,"×",IF($E982&gt;=$AA982*設定!$C$5,"△","○")))</f>
        <v/>
      </c>
      <c r="AC982" s="15">
        <f>IF($AB982="","",IF($AB982="×",0,IF($AB982="○",ROUNDDOWN($E982*設定!$C$4,0),ROUNDDOWN($E982*ROUND((9*$AA982-9*$E982)/(10*$E982),4),0))))</f>
        <v/>
      </c>
      <c r="AD982" s="13" t="n"/>
      <c r="AE982" s="15">
        <f>IF($B982="","",IF($AD982&lt;&gt;"",$AD982,IF($AC982="","",IF($AC982&lt;=設定!$C$3,0,$AC982))))</f>
        <v/>
      </c>
      <c r="AF982" s="14">
        <f>IF($B982="","",IF(AND($AG982&lt;&gt;"",$AI982="",$AL982=""),"保留中",IF($AL982&lt;&gt;"",IF(N($AE982)&gt;0,"支給済","不支給"),IF($AE982="","要確認",IF($AE982=0,"不支給","未処理")))))</f>
        <v/>
      </c>
      <c r="AG982" s="12" t="n"/>
      <c r="AH982" s="11" t="n"/>
      <c r="AI982" s="11" t="n"/>
      <c r="AJ982" s="11" t="n"/>
      <c r="AK982" s="14">
        <f>IF(AND($AF982="保留中",$AH982&lt;&gt;""),TODAY()-$AH982,"")</f>
        <v/>
      </c>
      <c r="AL982" s="12" t="n"/>
      <c r="AM982" s="14">
        <f>IF($B982="","",IF($AQ982="","対象年月が未入力／","")&amp;IF($B982="","",IF($AP982="","職員マスタに未登録の職員番号／",IF($AA982="","標準報酬月額が未登録／","")&amp;IF(AND($AQ982&lt;&gt;"",OR(AND(INDEX(職員マスタ!$G$6:$G$405,$AP982)&lt;&gt;"",INDEX(職員マスタ!$G$6:$G$405,$AP982)&gt;EOMONTH($AQ982,0)),AND(INDEX(職員マスタ!$H$6:$H$405,$AP982)&lt;&gt;"",INDEX(職員マスタ!$H$6:$H$405,$AP982)&lt;$AQ982))),"対象月が時短期間外／","")&amp;IF(AND(INDEX(職員マスタ!$K$6:$K$405,$AP982)&lt;&gt;"",N($W982)&gt;0,INDEX(職員マスタ!$K$6:$K$405,$AP982)&lt;&gt;$W982),"標準報酬月額が申請書と相違（台帳"&amp;TEXT(INDEX(職員マスタ!$K$6:$K$405,$AP982),"#,##0")&amp;"円／申請書"&amp;TEXT($W982,"#,##0")&amp;"円）／","")&amp;IF(AND(INDEX(職員マスタ!$F$6:$F$405,$AP982)&lt;&gt;"",$AQ982&lt;&gt;"",INDEX(職員マスタ!$F$6:$F$405,$AP982)&lt;$AQ982),"対象月に子が2歳到達済／","")&amp;IF(AND($H982&lt;&gt;"",INDEX(職員マスタ!$B$6:$B$405,$AP982)&lt;&gt;"",SUBSTITUTE(SUBSTITUTE($H982," ","")," ","")&lt;&gt;SUBSTITUTE(SUBSTITUTE(INDEX(職員マスタ!$B$6:$B$405,$AP982)," ","")," ","")),"氏名がマスタと相違／","")&amp;IF(AND($Q982&lt;&gt;"",INDEX(職員マスタ!$E$6:$E$405,$AP982)&lt;&gt;"",$Q982&lt;&gt;INDEX(職員マスタ!$E$6:$E$405,$AP982)),"子の生年月日がマスタと相違／","")&amp;IF(AND($L982&lt;&gt;"",INDEX(職員マスタ!$G$6:$G$405,$AP982)&lt;&gt;"",$L982&lt;&gt;INDEX(職員マスタ!$G$6:$G$405,$AP982)),"時短開始日がマスタと相違／","")&amp;IF(AND($M982&lt;&gt;"",INDEX(職員マスタ!$H$6:$H$405,$AP982)&lt;&gt;"",$M982&lt;&gt;INDEX(職員マスタ!$H$6:$H$405,$AP982)),"時短終了日がマスタと相違／","")))&amp;IF(AND($B982&lt;&gt;"",$E982=""),"報酬額が未入力／","")&amp;IF(N($U982)&gt;0,"申請書に入力エラーが残っています／","")&amp;IF(AND($B982&lt;&gt;"",$AQ982&lt;&gt;""),IF(COUNTIFS($B$6:$B$3005,$B982,$C$6:$C$3005,$C982,$D$6:$D$3005,$D982)&gt;1,"同じ月の請求が重複しています／",""),"")&amp;IF(AND(N($E982)&gt;0,$AB982&lt;&gt;"",$AB982&lt;&gt;"×",$AE982=0,$AD982=""),"計算額が下限以下のため不支給／",""))</f>
        <v/>
      </c>
      <c r="AN982" s="12" t="n"/>
      <c r="AO982" s="14">
        <f>IF($AF982="保留中",COUNTIF($AF$6:$AF982,"保留中"),"")</f>
        <v/>
      </c>
      <c r="AP982" s="14">
        <f>IF($AQ982="","",IF(SUMPRODUCT(MAX((職員マスタ!$A$6:$A$405=$B982)*(((職員マスタ!$G$6:$G$405="")+(職員マスタ!$G$6:$G$405&lt;=EOMONTH($AQ982,0)))&gt;0)*(((職員マスタ!$H$6:$H$405="")+(職員マスタ!$H$6:$H$405&gt;=$AQ982))&gt;0)*(ROW(職員マスタ!$A$6:$A$405)-5)))&gt;0,SUMPRODUCT(MAX((職員マスタ!$A$6:$A$405=$B982)*(((職員マスタ!$G$6:$G$405="")+(職員マスタ!$G$6:$G$405&lt;=EOMONTH($AQ982,0)))&gt;0)*(((職員マスタ!$H$6:$H$405="")+(職員マスタ!$H$6:$H$405&gt;=$AQ982))&gt;0)*(ROW(職員マスタ!$A$6:$A$405)-5))),IFERROR(MATCH($B982,職員マスタ!$A$6:$A$405,0),"")))</f>
        <v/>
      </c>
      <c r="AQ982" s="16">
        <f>IF(OR($B982="",$C982="",$D982=""),"",DATE($C982+2018,$D982,1))</f>
        <v/>
      </c>
    </row>
    <row r="983">
      <c r="A983" s="11" t="n"/>
      <c r="B983" s="12" t="n"/>
      <c r="C983" s="12" t="n"/>
      <c r="D983" s="12" t="n"/>
      <c r="E983" s="13" t="n"/>
      <c r="F983" s="12" t="n"/>
      <c r="G983" s="13" t="n"/>
      <c r="H983" s="12" t="n"/>
      <c r="I983" s="12" t="n"/>
      <c r="J983" s="12" t="n"/>
      <c r="K983" s="12" t="n"/>
      <c r="L983" s="11" t="n"/>
      <c r="M983" s="11" t="n"/>
      <c r="N983" s="11" t="n"/>
      <c r="O983" s="11" t="n"/>
      <c r="P983" s="12" t="n"/>
      <c r="Q983" s="11" t="n"/>
      <c r="R983" s="12" t="n"/>
      <c r="S983" s="11" t="n"/>
      <c r="T983" s="12" t="n"/>
      <c r="U983" s="12" t="n"/>
      <c r="V983" s="12" t="n"/>
      <c r="W983" s="13" t="n"/>
      <c r="X983" s="14">
        <f>IF($AP983="",IF($B983="","",$H983),IF(INDEX(職員マスタ!$B$6:$B$405,$AP983)="",$H983,INDEX(職員マスタ!$B$6:$B$405,$AP983)))</f>
        <v/>
      </c>
      <c r="Y983" s="14">
        <f>IF($AP983="",IF($B983="","",$R983),IF(INDEX(職員マスタ!$C$6:$C$405,$AP983)="",$R983,INDEX(職員マスタ!$C$6:$C$405,$AP983)))</f>
        <v/>
      </c>
      <c r="Z983" s="14">
        <f>IF($AQ983="","","R"&amp;$C983&amp;"."&amp;$D983)</f>
        <v/>
      </c>
      <c r="AA983" s="15">
        <f>IF(IF($AP983="",FALSE,INDEX(職員マスタ!$K$6:$K$405,$AP983)&lt;&gt;""),INDEX(職員マスタ!$K$6:$K$405,$AP983),IF(N($W983)&gt;0,$W983,""))</f>
        <v/>
      </c>
      <c r="AB983" s="14">
        <f>IF(OR($E983="",$AA983=""),"",IF($E983&gt;=$AA983,"×",IF($E983&gt;=$AA983*設定!$C$5,"△","○")))</f>
        <v/>
      </c>
      <c r="AC983" s="15">
        <f>IF($AB983="","",IF($AB983="×",0,IF($AB983="○",ROUNDDOWN($E983*設定!$C$4,0),ROUNDDOWN($E983*ROUND((9*$AA983-9*$E983)/(10*$E983),4),0))))</f>
        <v/>
      </c>
      <c r="AD983" s="13" t="n"/>
      <c r="AE983" s="15">
        <f>IF($B983="","",IF($AD983&lt;&gt;"",$AD983,IF($AC983="","",IF($AC983&lt;=設定!$C$3,0,$AC983))))</f>
        <v/>
      </c>
      <c r="AF983" s="14">
        <f>IF($B983="","",IF(AND($AG983&lt;&gt;"",$AI983="",$AL983=""),"保留中",IF($AL983&lt;&gt;"",IF(N($AE983)&gt;0,"支給済","不支給"),IF($AE983="","要確認",IF($AE983=0,"不支給","未処理")))))</f>
        <v/>
      </c>
      <c r="AG983" s="12" t="n"/>
      <c r="AH983" s="11" t="n"/>
      <c r="AI983" s="11" t="n"/>
      <c r="AJ983" s="11" t="n"/>
      <c r="AK983" s="14">
        <f>IF(AND($AF983="保留中",$AH983&lt;&gt;""),TODAY()-$AH983,"")</f>
        <v/>
      </c>
      <c r="AL983" s="12" t="n"/>
      <c r="AM983" s="14">
        <f>IF($B983="","",IF($AQ983="","対象年月が未入力／","")&amp;IF($B983="","",IF($AP983="","職員マスタに未登録の職員番号／",IF($AA983="","標準報酬月額が未登録／","")&amp;IF(AND($AQ983&lt;&gt;"",OR(AND(INDEX(職員マスタ!$G$6:$G$405,$AP983)&lt;&gt;"",INDEX(職員マスタ!$G$6:$G$405,$AP983)&gt;EOMONTH($AQ983,0)),AND(INDEX(職員マスタ!$H$6:$H$405,$AP983)&lt;&gt;"",INDEX(職員マスタ!$H$6:$H$405,$AP983)&lt;$AQ983))),"対象月が時短期間外／","")&amp;IF(AND(INDEX(職員マスタ!$K$6:$K$405,$AP983)&lt;&gt;"",N($W983)&gt;0,INDEX(職員マスタ!$K$6:$K$405,$AP983)&lt;&gt;$W983),"標準報酬月額が申請書と相違（台帳"&amp;TEXT(INDEX(職員マスタ!$K$6:$K$405,$AP983),"#,##0")&amp;"円／申請書"&amp;TEXT($W983,"#,##0")&amp;"円）／","")&amp;IF(AND(INDEX(職員マスタ!$F$6:$F$405,$AP983)&lt;&gt;"",$AQ983&lt;&gt;"",INDEX(職員マスタ!$F$6:$F$405,$AP983)&lt;$AQ983),"対象月に子が2歳到達済／","")&amp;IF(AND($H983&lt;&gt;"",INDEX(職員マスタ!$B$6:$B$405,$AP983)&lt;&gt;"",SUBSTITUTE(SUBSTITUTE($H983," ","")," ","")&lt;&gt;SUBSTITUTE(SUBSTITUTE(INDEX(職員マスタ!$B$6:$B$405,$AP983)," ","")," ","")),"氏名がマスタと相違／","")&amp;IF(AND($Q983&lt;&gt;"",INDEX(職員マスタ!$E$6:$E$405,$AP983)&lt;&gt;"",$Q983&lt;&gt;INDEX(職員マスタ!$E$6:$E$405,$AP983)),"子の生年月日がマスタと相違／","")&amp;IF(AND($L983&lt;&gt;"",INDEX(職員マスタ!$G$6:$G$405,$AP983)&lt;&gt;"",$L983&lt;&gt;INDEX(職員マスタ!$G$6:$G$405,$AP983)),"時短開始日がマスタと相違／","")&amp;IF(AND($M983&lt;&gt;"",INDEX(職員マスタ!$H$6:$H$405,$AP983)&lt;&gt;"",$M983&lt;&gt;INDEX(職員マスタ!$H$6:$H$405,$AP983)),"時短終了日がマスタと相違／","")))&amp;IF(AND($B983&lt;&gt;"",$E983=""),"報酬額が未入力／","")&amp;IF(N($U983)&gt;0,"申請書に入力エラーが残っています／","")&amp;IF(AND($B983&lt;&gt;"",$AQ983&lt;&gt;""),IF(COUNTIFS($B$6:$B$3005,$B983,$C$6:$C$3005,$C983,$D$6:$D$3005,$D983)&gt;1,"同じ月の請求が重複しています／",""),"")&amp;IF(AND(N($E983)&gt;0,$AB983&lt;&gt;"",$AB983&lt;&gt;"×",$AE983=0,$AD983=""),"計算額が下限以下のため不支給／",""))</f>
        <v/>
      </c>
      <c r="AN983" s="12" t="n"/>
      <c r="AO983" s="14">
        <f>IF($AF983="保留中",COUNTIF($AF$6:$AF983,"保留中"),"")</f>
        <v/>
      </c>
      <c r="AP983" s="14">
        <f>IF($AQ983="","",IF(SUMPRODUCT(MAX((職員マスタ!$A$6:$A$405=$B983)*(((職員マスタ!$G$6:$G$405="")+(職員マスタ!$G$6:$G$405&lt;=EOMONTH($AQ983,0)))&gt;0)*(((職員マスタ!$H$6:$H$405="")+(職員マスタ!$H$6:$H$405&gt;=$AQ983))&gt;0)*(ROW(職員マスタ!$A$6:$A$405)-5)))&gt;0,SUMPRODUCT(MAX((職員マスタ!$A$6:$A$405=$B983)*(((職員マスタ!$G$6:$G$405="")+(職員マスタ!$G$6:$G$405&lt;=EOMONTH($AQ983,0)))&gt;0)*(((職員マスタ!$H$6:$H$405="")+(職員マスタ!$H$6:$H$405&gt;=$AQ983))&gt;0)*(ROW(職員マスタ!$A$6:$A$405)-5))),IFERROR(MATCH($B983,職員マスタ!$A$6:$A$405,0),"")))</f>
        <v/>
      </c>
      <c r="AQ983" s="16">
        <f>IF(OR($B983="",$C983="",$D983=""),"",DATE($C983+2018,$D983,1))</f>
        <v/>
      </c>
    </row>
    <row r="984">
      <c r="A984" s="11" t="n"/>
      <c r="B984" s="12" t="n"/>
      <c r="C984" s="12" t="n"/>
      <c r="D984" s="12" t="n"/>
      <c r="E984" s="13" t="n"/>
      <c r="F984" s="12" t="n"/>
      <c r="G984" s="13" t="n"/>
      <c r="H984" s="12" t="n"/>
      <c r="I984" s="12" t="n"/>
      <c r="J984" s="12" t="n"/>
      <c r="K984" s="12" t="n"/>
      <c r="L984" s="11" t="n"/>
      <c r="M984" s="11" t="n"/>
      <c r="N984" s="11" t="n"/>
      <c r="O984" s="11" t="n"/>
      <c r="P984" s="12" t="n"/>
      <c r="Q984" s="11" t="n"/>
      <c r="R984" s="12" t="n"/>
      <c r="S984" s="11" t="n"/>
      <c r="T984" s="12" t="n"/>
      <c r="U984" s="12" t="n"/>
      <c r="V984" s="12" t="n"/>
      <c r="W984" s="13" t="n"/>
      <c r="X984" s="14">
        <f>IF($AP984="",IF($B984="","",$H984),IF(INDEX(職員マスタ!$B$6:$B$405,$AP984)="",$H984,INDEX(職員マスタ!$B$6:$B$405,$AP984)))</f>
        <v/>
      </c>
      <c r="Y984" s="14">
        <f>IF($AP984="",IF($B984="","",$R984),IF(INDEX(職員マスタ!$C$6:$C$405,$AP984)="",$R984,INDEX(職員マスタ!$C$6:$C$405,$AP984)))</f>
        <v/>
      </c>
      <c r="Z984" s="14">
        <f>IF($AQ984="","","R"&amp;$C984&amp;"."&amp;$D984)</f>
        <v/>
      </c>
      <c r="AA984" s="15">
        <f>IF(IF($AP984="",FALSE,INDEX(職員マスタ!$K$6:$K$405,$AP984)&lt;&gt;""),INDEX(職員マスタ!$K$6:$K$405,$AP984),IF(N($W984)&gt;0,$W984,""))</f>
        <v/>
      </c>
      <c r="AB984" s="14">
        <f>IF(OR($E984="",$AA984=""),"",IF($E984&gt;=$AA984,"×",IF($E984&gt;=$AA984*設定!$C$5,"△","○")))</f>
        <v/>
      </c>
      <c r="AC984" s="15">
        <f>IF($AB984="","",IF($AB984="×",0,IF($AB984="○",ROUNDDOWN($E984*設定!$C$4,0),ROUNDDOWN($E984*ROUND((9*$AA984-9*$E984)/(10*$E984),4),0))))</f>
        <v/>
      </c>
      <c r="AD984" s="13" t="n"/>
      <c r="AE984" s="15">
        <f>IF($B984="","",IF($AD984&lt;&gt;"",$AD984,IF($AC984="","",IF($AC984&lt;=設定!$C$3,0,$AC984))))</f>
        <v/>
      </c>
      <c r="AF984" s="14">
        <f>IF($B984="","",IF(AND($AG984&lt;&gt;"",$AI984="",$AL984=""),"保留中",IF($AL984&lt;&gt;"",IF(N($AE984)&gt;0,"支給済","不支給"),IF($AE984="","要確認",IF($AE984=0,"不支給","未処理")))))</f>
        <v/>
      </c>
      <c r="AG984" s="12" t="n"/>
      <c r="AH984" s="11" t="n"/>
      <c r="AI984" s="11" t="n"/>
      <c r="AJ984" s="11" t="n"/>
      <c r="AK984" s="14">
        <f>IF(AND($AF984="保留中",$AH984&lt;&gt;""),TODAY()-$AH984,"")</f>
        <v/>
      </c>
      <c r="AL984" s="12" t="n"/>
      <c r="AM984" s="14">
        <f>IF($B984="","",IF($AQ984="","対象年月が未入力／","")&amp;IF($B984="","",IF($AP984="","職員マスタに未登録の職員番号／",IF($AA984="","標準報酬月額が未登録／","")&amp;IF(AND($AQ984&lt;&gt;"",OR(AND(INDEX(職員マスタ!$G$6:$G$405,$AP984)&lt;&gt;"",INDEX(職員マスタ!$G$6:$G$405,$AP984)&gt;EOMONTH($AQ984,0)),AND(INDEX(職員マスタ!$H$6:$H$405,$AP984)&lt;&gt;"",INDEX(職員マスタ!$H$6:$H$405,$AP984)&lt;$AQ984))),"対象月が時短期間外／","")&amp;IF(AND(INDEX(職員マスタ!$K$6:$K$405,$AP984)&lt;&gt;"",N($W984)&gt;0,INDEX(職員マスタ!$K$6:$K$405,$AP984)&lt;&gt;$W984),"標準報酬月額が申請書と相違（台帳"&amp;TEXT(INDEX(職員マスタ!$K$6:$K$405,$AP984),"#,##0")&amp;"円／申請書"&amp;TEXT($W984,"#,##0")&amp;"円）／","")&amp;IF(AND(INDEX(職員マスタ!$F$6:$F$405,$AP984)&lt;&gt;"",$AQ984&lt;&gt;"",INDEX(職員マスタ!$F$6:$F$405,$AP984)&lt;$AQ984),"対象月に子が2歳到達済／","")&amp;IF(AND($H984&lt;&gt;"",INDEX(職員マスタ!$B$6:$B$405,$AP984)&lt;&gt;"",SUBSTITUTE(SUBSTITUTE($H984," ","")," ","")&lt;&gt;SUBSTITUTE(SUBSTITUTE(INDEX(職員マスタ!$B$6:$B$405,$AP984)," ","")," ","")),"氏名がマスタと相違／","")&amp;IF(AND($Q984&lt;&gt;"",INDEX(職員マスタ!$E$6:$E$405,$AP984)&lt;&gt;"",$Q984&lt;&gt;INDEX(職員マスタ!$E$6:$E$405,$AP984)),"子の生年月日がマスタと相違／","")&amp;IF(AND($L984&lt;&gt;"",INDEX(職員マスタ!$G$6:$G$405,$AP984)&lt;&gt;"",$L984&lt;&gt;INDEX(職員マスタ!$G$6:$G$405,$AP984)),"時短開始日がマスタと相違／","")&amp;IF(AND($M984&lt;&gt;"",INDEX(職員マスタ!$H$6:$H$405,$AP984)&lt;&gt;"",$M984&lt;&gt;INDEX(職員マスタ!$H$6:$H$405,$AP984)),"時短終了日がマスタと相違／","")))&amp;IF(AND($B984&lt;&gt;"",$E984=""),"報酬額が未入力／","")&amp;IF(N($U984)&gt;0,"申請書に入力エラーが残っています／","")&amp;IF(AND($B984&lt;&gt;"",$AQ984&lt;&gt;""),IF(COUNTIFS($B$6:$B$3005,$B984,$C$6:$C$3005,$C984,$D$6:$D$3005,$D984)&gt;1,"同じ月の請求が重複しています／",""),"")&amp;IF(AND(N($E984)&gt;0,$AB984&lt;&gt;"",$AB984&lt;&gt;"×",$AE984=0,$AD984=""),"計算額が下限以下のため不支給／",""))</f>
        <v/>
      </c>
      <c r="AN984" s="12" t="n"/>
      <c r="AO984" s="14">
        <f>IF($AF984="保留中",COUNTIF($AF$6:$AF984,"保留中"),"")</f>
        <v/>
      </c>
      <c r="AP984" s="14">
        <f>IF($AQ984="","",IF(SUMPRODUCT(MAX((職員マスタ!$A$6:$A$405=$B984)*(((職員マスタ!$G$6:$G$405="")+(職員マスタ!$G$6:$G$405&lt;=EOMONTH($AQ984,0)))&gt;0)*(((職員マスタ!$H$6:$H$405="")+(職員マスタ!$H$6:$H$405&gt;=$AQ984))&gt;0)*(ROW(職員マスタ!$A$6:$A$405)-5)))&gt;0,SUMPRODUCT(MAX((職員マスタ!$A$6:$A$405=$B984)*(((職員マスタ!$G$6:$G$405="")+(職員マスタ!$G$6:$G$405&lt;=EOMONTH($AQ984,0)))&gt;0)*(((職員マスタ!$H$6:$H$405="")+(職員マスタ!$H$6:$H$405&gt;=$AQ984))&gt;0)*(ROW(職員マスタ!$A$6:$A$405)-5))),IFERROR(MATCH($B984,職員マスタ!$A$6:$A$405,0),"")))</f>
        <v/>
      </c>
      <c r="AQ984" s="16">
        <f>IF(OR($B984="",$C984="",$D984=""),"",DATE($C984+2018,$D984,1))</f>
        <v/>
      </c>
    </row>
    <row r="985">
      <c r="A985" s="11" t="n"/>
      <c r="B985" s="12" t="n"/>
      <c r="C985" s="12" t="n"/>
      <c r="D985" s="12" t="n"/>
      <c r="E985" s="13" t="n"/>
      <c r="F985" s="12" t="n"/>
      <c r="G985" s="13" t="n"/>
      <c r="H985" s="12" t="n"/>
      <c r="I985" s="12" t="n"/>
      <c r="J985" s="12" t="n"/>
      <c r="K985" s="12" t="n"/>
      <c r="L985" s="11" t="n"/>
      <c r="M985" s="11" t="n"/>
      <c r="N985" s="11" t="n"/>
      <c r="O985" s="11" t="n"/>
      <c r="P985" s="12" t="n"/>
      <c r="Q985" s="11" t="n"/>
      <c r="R985" s="12" t="n"/>
      <c r="S985" s="11" t="n"/>
      <c r="T985" s="12" t="n"/>
      <c r="U985" s="12" t="n"/>
      <c r="V985" s="12" t="n"/>
      <c r="W985" s="13" t="n"/>
      <c r="X985" s="14">
        <f>IF($AP985="",IF($B985="","",$H985),IF(INDEX(職員マスタ!$B$6:$B$405,$AP985)="",$H985,INDEX(職員マスタ!$B$6:$B$405,$AP985)))</f>
        <v/>
      </c>
      <c r="Y985" s="14">
        <f>IF($AP985="",IF($B985="","",$R985),IF(INDEX(職員マスタ!$C$6:$C$405,$AP985)="",$R985,INDEX(職員マスタ!$C$6:$C$405,$AP985)))</f>
        <v/>
      </c>
      <c r="Z985" s="14">
        <f>IF($AQ985="","","R"&amp;$C985&amp;"."&amp;$D985)</f>
        <v/>
      </c>
      <c r="AA985" s="15">
        <f>IF(IF($AP985="",FALSE,INDEX(職員マスタ!$K$6:$K$405,$AP985)&lt;&gt;""),INDEX(職員マスタ!$K$6:$K$405,$AP985),IF(N($W985)&gt;0,$W985,""))</f>
        <v/>
      </c>
      <c r="AB985" s="14">
        <f>IF(OR($E985="",$AA985=""),"",IF($E985&gt;=$AA985,"×",IF($E985&gt;=$AA985*設定!$C$5,"△","○")))</f>
        <v/>
      </c>
      <c r="AC985" s="15">
        <f>IF($AB985="","",IF($AB985="×",0,IF($AB985="○",ROUNDDOWN($E985*設定!$C$4,0),ROUNDDOWN($E985*ROUND((9*$AA985-9*$E985)/(10*$E985),4),0))))</f>
        <v/>
      </c>
      <c r="AD985" s="13" t="n"/>
      <c r="AE985" s="15">
        <f>IF($B985="","",IF($AD985&lt;&gt;"",$AD985,IF($AC985="","",IF($AC985&lt;=設定!$C$3,0,$AC985))))</f>
        <v/>
      </c>
      <c r="AF985" s="14">
        <f>IF($B985="","",IF(AND($AG985&lt;&gt;"",$AI985="",$AL985=""),"保留中",IF($AL985&lt;&gt;"",IF(N($AE985)&gt;0,"支給済","不支給"),IF($AE985="","要確認",IF($AE985=0,"不支給","未処理")))))</f>
        <v/>
      </c>
      <c r="AG985" s="12" t="n"/>
      <c r="AH985" s="11" t="n"/>
      <c r="AI985" s="11" t="n"/>
      <c r="AJ985" s="11" t="n"/>
      <c r="AK985" s="14">
        <f>IF(AND($AF985="保留中",$AH985&lt;&gt;""),TODAY()-$AH985,"")</f>
        <v/>
      </c>
      <c r="AL985" s="12" t="n"/>
      <c r="AM985" s="14">
        <f>IF($B985="","",IF($AQ985="","対象年月が未入力／","")&amp;IF($B985="","",IF($AP985="","職員マスタに未登録の職員番号／",IF($AA985="","標準報酬月額が未登録／","")&amp;IF(AND($AQ985&lt;&gt;"",OR(AND(INDEX(職員マスタ!$G$6:$G$405,$AP985)&lt;&gt;"",INDEX(職員マスタ!$G$6:$G$405,$AP985)&gt;EOMONTH($AQ985,0)),AND(INDEX(職員マスタ!$H$6:$H$405,$AP985)&lt;&gt;"",INDEX(職員マスタ!$H$6:$H$405,$AP985)&lt;$AQ985))),"対象月が時短期間外／","")&amp;IF(AND(INDEX(職員マスタ!$K$6:$K$405,$AP985)&lt;&gt;"",N($W985)&gt;0,INDEX(職員マスタ!$K$6:$K$405,$AP985)&lt;&gt;$W985),"標準報酬月額が申請書と相違（台帳"&amp;TEXT(INDEX(職員マスタ!$K$6:$K$405,$AP985),"#,##0")&amp;"円／申請書"&amp;TEXT($W985,"#,##0")&amp;"円）／","")&amp;IF(AND(INDEX(職員マスタ!$F$6:$F$405,$AP985)&lt;&gt;"",$AQ985&lt;&gt;"",INDEX(職員マスタ!$F$6:$F$405,$AP985)&lt;$AQ985),"対象月に子が2歳到達済／","")&amp;IF(AND($H985&lt;&gt;"",INDEX(職員マスタ!$B$6:$B$405,$AP985)&lt;&gt;"",SUBSTITUTE(SUBSTITUTE($H985," ","")," ","")&lt;&gt;SUBSTITUTE(SUBSTITUTE(INDEX(職員マスタ!$B$6:$B$405,$AP985)," ","")," ","")),"氏名がマスタと相違／","")&amp;IF(AND($Q985&lt;&gt;"",INDEX(職員マスタ!$E$6:$E$405,$AP985)&lt;&gt;"",$Q985&lt;&gt;INDEX(職員マスタ!$E$6:$E$405,$AP985)),"子の生年月日がマスタと相違／","")&amp;IF(AND($L985&lt;&gt;"",INDEX(職員マスタ!$G$6:$G$405,$AP985)&lt;&gt;"",$L985&lt;&gt;INDEX(職員マスタ!$G$6:$G$405,$AP985)),"時短開始日がマスタと相違／","")&amp;IF(AND($M985&lt;&gt;"",INDEX(職員マスタ!$H$6:$H$405,$AP985)&lt;&gt;"",$M985&lt;&gt;INDEX(職員マスタ!$H$6:$H$405,$AP985)),"時短終了日がマスタと相違／","")))&amp;IF(AND($B985&lt;&gt;"",$E985=""),"報酬額が未入力／","")&amp;IF(N($U985)&gt;0,"申請書に入力エラーが残っています／","")&amp;IF(AND($B985&lt;&gt;"",$AQ985&lt;&gt;""),IF(COUNTIFS($B$6:$B$3005,$B985,$C$6:$C$3005,$C985,$D$6:$D$3005,$D985)&gt;1,"同じ月の請求が重複しています／",""),"")&amp;IF(AND(N($E985)&gt;0,$AB985&lt;&gt;"",$AB985&lt;&gt;"×",$AE985=0,$AD985=""),"計算額が下限以下のため不支給／",""))</f>
        <v/>
      </c>
      <c r="AN985" s="12" t="n"/>
      <c r="AO985" s="14">
        <f>IF($AF985="保留中",COUNTIF($AF$6:$AF985,"保留中"),"")</f>
        <v/>
      </c>
      <c r="AP985" s="14">
        <f>IF($AQ985="","",IF(SUMPRODUCT(MAX((職員マスタ!$A$6:$A$405=$B985)*(((職員マスタ!$G$6:$G$405="")+(職員マスタ!$G$6:$G$405&lt;=EOMONTH($AQ985,0)))&gt;0)*(((職員マスタ!$H$6:$H$405="")+(職員マスタ!$H$6:$H$405&gt;=$AQ985))&gt;0)*(ROW(職員マスタ!$A$6:$A$405)-5)))&gt;0,SUMPRODUCT(MAX((職員マスタ!$A$6:$A$405=$B985)*(((職員マスタ!$G$6:$G$405="")+(職員マスタ!$G$6:$G$405&lt;=EOMONTH($AQ985,0)))&gt;0)*(((職員マスタ!$H$6:$H$405="")+(職員マスタ!$H$6:$H$405&gt;=$AQ985))&gt;0)*(ROW(職員マスタ!$A$6:$A$405)-5))),IFERROR(MATCH($B985,職員マスタ!$A$6:$A$405,0),"")))</f>
        <v/>
      </c>
      <c r="AQ985" s="16">
        <f>IF(OR($B985="",$C985="",$D985=""),"",DATE($C985+2018,$D985,1))</f>
        <v/>
      </c>
    </row>
    <row r="986">
      <c r="A986" s="11" t="n"/>
      <c r="B986" s="12" t="n"/>
      <c r="C986" s="12" t="n"/>
      <c r="D986" s="12" t="n"/>
      <c r="E986" s="13" t="n"/>
      <c r="F986" s="12" t="n"/>
      <c r="G986" s="13" t="n"/>
      <c r="H986" s="12" t="n"/>
      <c r="I986" s="12" t="n"/>
      <c r="J986" s="12" t="n"/>
      <c r="K986" s="12" t="n"/>
      <c r="L986" s="11" t="n"/>
      <c r="M986" s="11" t="n"/>
      <c r="N986" s="11" t="n"/>
      <c r="O986" s="11" t="n"/>
      <c r="P986" s="12" t="n"/>
      <c r="Q986" s="11" t="n"/>
      <c r="R986" s="12" t="n"/>
      <c r="S986" s="11" t="n"/>
      <c r="T986" s="12" t="n"/>
      <c r="U986" s="12" t="n"/>
      <c r="V986" s="12" t="n"/>
      <c r="W986" s="13" t="n"/>
      <c r="X986" s="14">
        <f>IF($AP986="",IF($B986="","",$H986),IF(INDEX(職員マスタ!$B$6:$B$405,$AP986)="",$H986,INDEX(職員マスタ!$B$6:$B$405,$AP986)))</f>
        <v/>
      </c>
      <c r="Y986" s="14">
        <f>IF($AP986="",IF($B986="","",$R986),IF(INDEX(職員マスタ!$C$6:$C$405,$AP986)="",$R986,INDEX(職員マスタ!$C$6:$C$405,$AP986)))</f>
        <v/>
      </c>
      <c r="Z986" s="14">
        <f>IF($AQ986="","","R"&amp;$C986&amp;"."&amp;$D986)</f>
        <v/>
      </c>
      <c r="AA986" s="15">
        <f>IF(IF($AP986="",FALSE,INDEX(職員マスタ!$K$6:$K$405,$AP986)&lt;&gt;""),INDEX(職員マスタ!$K$6:$K$405,$AP986),IF(N($W986)&gt;0,$W986,""))</f>
        <v/>
      </c>
      <c r="AB986" s="14">
        <f>IF(OR($E986="",$AA986=""),"",IF($E986&gt;=$AA986,"×",IF($E986&gt;=$AA986*設定!$C$5,"△","○")))</f>
        <v/>
      </c>
      <c r="AC986" s="15">
        <f>IF($AB986="","",IF($AB986="×",0,IF($AB986="○",ROUNDDOWN($E986*設定!$C$4,0),ROUNDDOWN($E986*ROUND((9*$AA986-9*$E986)/(10*$E986),4),0))))</f>
        <v/>
      </c>
      <c r="AD986" s="13" t="n"/>
      <c r="AE986" s="15">
        <f>IF($B986="","",IF($AD986&lt;&gt;"",$AD986,IF($AC986="","",IF($AC986&lt;=設定!$C$3,0,$AC986))))</f>
        <v/>
      </c>
      <c r="AF986" s="14">
        <f>IF($B986="","",IF(AND($AG986&lt;&gt;"",$AI986="",$AL986=""),"保留中",IF($AL986&lt;&gt;"",IF(N($AE986)&gt;0,"支給済","不支給"),IF($AE986="","要確認",IF($AE986=0,"不支給","未処理")))))</f>
        <v/>
      </c>
      <c r="AG986" s="12" t="n"/>
      <c r="AH986" s="11" t="n"/>
      <c r="AI986" s="11" t="n"/>
      <c r="AJ986" s="11" t="n"/>
      <c r="AK986" s="14">
        <f>IF(AND($AF986="保留中",$AH986&lt;&gt;""),TODAY()-$AH986,"")</f>
        <v/>
      </c>
      <c r="AL986" s="12" t="n"/>
      <c r="AM986" s="14">
        <f>IF($B986="","",IF($AQ986="","対象年月が未入力／","")&amp;IF($B986="","",IF($AP986="","職員マスタに未登録の職員番号／",IF($AA986="","標準報酬月額が未登録／","")&amp;IF(AND($AQ986&lt;&gt;"",OR(AND(INDEX(職員マスタ!$G$6:$G$405,$AP986)&lt;&gt;"",INDEX(職員マスタ!$G$6:$G$405,$AP986)&gt;EOMONTH($AQ986,0)),AND(INDEX(職員マスタ!$H$6:$H$405,$AP986)&lt;&gt;"",INDEX(職員マスタ!$H$6:$H$405,$AP986)&lt;$AQ986))),"対象月が時短期間外／","")&amp;IF(AND(INDEX(職員マスタ!$K$6:$K$405,$AP986)&lt;&gt;"",N($W986)&gt;0,INDEX(職員マスタ!$K$6:$K$405,$AP986)&lt;&gt;$W986),"標準報酬月額が申請書と相違（台帳"&amp;TEXT(INDEX(職員マスタ!$K$6:$K$405,$AP986),"#,##0")&amp;"円／申請書"&amp;TEXT($W986,"#,##0")&amp;"円）／","")&amp;IF(AND(INDEX(職員マスタ!$F$6:$F$405,$AP986)&lt;&gt;"",$AQ986&lt;&gt;"",INDEX(職員マスタ!$F$6:$F$405,$AP986)&lt;$AQ986),"対象月に子が2歳到達済／","")&amp;IF(AND($H986&lt;&gt;"",INDEX(職員マスタ!$B$6:$B$405,$AP986)&lt;&gt;"",SUBSTITUTE(SUBSTITUTE($H986," ","")," ","")&lt;&gt;SUBSTITUTE(SUBSTITUTE(INDEX(職員マスタ!$B$6:$B$405,$AP986)," ","")," ","")),"氏名がマスタと相違／","")&amp;IF(AND($Q986&lt;&gt;"",INDEX(職員マスタ!$E$6:$E$405,$AP986)&lt;&gt;"",$Q986&lt;&gt;INDEX(職員マスタ!$E$6:$E$405,$AP986)),"子の生年月日がマスタと相違／","")&amp;IF(AND($L986&lt;&gt;"",INDEX(職員マスタ!$G$6:$G$405,$AP986)&lt;&gt;"",$L986&lt;&gt;INDEX(職員マスタ!$G$6:$G$405,$AP986)),"時短開始日がマスタと相違／","")&amp;IF(AND($M986&lt;&gt;"",INDEX(職員マスタ!$H$6:$H$405,$AP986)&lt;&gt;"",$M986&lt;&gt;INDEX(職員マスタ!$H$6:$H$405,$AP986)),"時短終了日がマスタと相違／","")))&amp;IF(AND($B986&lt;&gt;"",$E986=""),"報酬額が未入力／","")&amp;IF(N($U986)&gt;0,"申請書に入力エラーが残っています／","")&amp;IF(AND($B986&lt;&gt;"",$AQ986&lt;&gt;""),IF(COUNTIFS($B$6:$B$3005,$B986,$C$6:$C$3005,$C986,$D$6:$D$3005,$D986)&gt;1,"同じ月の請求が重複しています／",""),"")&amp;IF(AND(N($E986)&gt;0,$AB986&lt;&gt;"",$AB986&lt;&gt;"×",$AE986=0,$AD986=""),"計算額が下限以下のため不支給／",""))</f>
        <v/>
      </c>
      <c r="AN986" s="12" t="n"/>
      <c r="AO986" s="14">
        <f>IF($AF986="保留中",COUNTIF($AF$6:$AF986,"保留中"),"")</f>
        <v/>
      </c>
      <c r="AP986" s="14">
        <f>IF($AQ986="","",IF(SUMPRODUCT(MAX((職員マスタ!$A$6:$A$405=$B986)*(((職員マスタ!$G$6:$G$405="")+(職員マスタ!$G$6:$G$405&lt;=EOMONTH($AQ986,0)))&gt;0)*(((職員マスタ!$H$6:$H$405="")+(職員マスタ!$H$6:$H$405&gt;=$AQ986))&gt;0)*(ROW(職員マスタ!$A$6:$A$405)-5)))&gt;0,SUMPRODUCT(MAX((職員マスタ!$A$6:$A$405=$B986)*(((職員マスタ!$G$6:$G$405="")+(職員マスタ!$G$6:$G$405&lt;=EOMONTH($AQ986,0)))&gt;0)*(((職員マスタ!$H$6:$H$405="")+(職員マスタ!$H$6:$H$405&gt;=$AQ986))&gt;0)*(ROW(職員マスタ!$A$6:$A$405)-5))),IFERROR(MATCH($B986,職員マスタ!$A$6:$A$405,0),"")))</f>
        <v/>
      </c>
      <c r="AQ986" s="16">
        <f>IF(OR($B986="",$C986="",$D986=""),"",DATE($C986+2018,$D986,1))</f>
        <v/>
      </c>
    </row>
    <row r="987">
      <c r="A987" s="11" t="n"/>
      <c r="B987" s="12" t="n"/>
      <c r="C987" s="12" t="n"/>
      <c r="D987" s="12" t="n"/>
      <c r="E987" s="13" t="n"/>
      <c r="F987" s="12" t="n"/>
      <c r="G987" s="13" t="n"/>
      <c r="H987" s="12" t="n"/>
      <c r="I987" s="12" t="n"/>
      <c r="J987" s="12" t="n"/>
      <c r="K987" s="12" t="n"/>
      <c r="L987" s="11" t="n"/>
      <c r="M987" s="11" t="n"/>
      <c r="N987" s="11" t="n"/>
      <c r="O987" s="11" t="n"/>
      <c r="P987" s="12" t="n"/>
      <c r="Q987" s="11" t="n"/>
      <c r="R987" s="12" t="n"/>
      <c r="S987" s="11" t="n"/>
      <c r="T987" s="12" t="n"/>
      <c r="U987" s="12" t="n"/>
      <c r="V987" s="12" t="n"/>
      <c r="W987" s="13" t="n"/>
      <c r="X987" s="14">
        <f>IF($AP987="",IF($B987="","",$H987),IF(INDEX(職員マスタ!$B$6:$B$405,$AP987)="",$H987,INDEX(職員マスタ!$B$6:$B$405,$AP987)))</f>
        <v/>
      </c>
      <c r="Y987" s="14">
        <f>IF($AP987="",IF($B987="","",$R987),IF(INDEX(職員マスタ!$C$6:$C$405,$AP987)="",$R987,INDEX(職員マスタ!$C$6:$C$405,$AP987)))</f>
        <v/>
      </c>
      <c r="Z987" s="14">
        <f>IF($AQ987="","","R"&amp;$C987&amp;"."&amp;$D987)</f>
        <v/>
      </c>
      <c r="AA987" s="15">
        <f>IF(IF($AP987="",FALSE,INDEX(職員マスタ!$K$6:$K$405,$AP987)&lt;&gt;""),INDEX(職員マスタ!$K$6:$K$405,$AP987),IF(N($W987)&gt;0,$W987,""))</f>
        <v/>
      </c>
      <c r="AB987" s="14">
        <f>IF(OR($E987="",$AA987=""),"",IF($E987&gt;=$AA987,"×",IF($E987&gt;=$AA987*設定!$C$5,"△","○")))</f>
        <v/>
      </c>
      <c r="AC987" s="15">
        <f>IF($AB987="","",IF($AB987="×",0,IF($AB987="○",ROUNDDOWN($E987*設定!$C$4,0),ROUNDDOWN($E987*ROUND((9*$AA987-9*$E987)/(10*$E987),4),0))))</f>
        <v/>
      </c>
      <c r="AD987" s="13" t="n"/>
      <c r="AE987" s="15">
        <f>IF($B987="","",IF($AD987&lt;&gt;"",$AD987,IF($AC987="","",IF($AC987&lt;=設定!$C$3,0,$AC987))))</f>
        <v/>
      </c>
      <c r="AF987" s="14">
        <f>IF($B987="","",IF(AND($AG987&lt;&gt;"",$AI987="",$AL987=""),"保留中",IF($AL987&lt;&gt;"",IF(N($AE987)&gt;0,"支給済","不支給"),IF($AE987="","要確認",IF($AE987=0,"不支給","未処理")))))</f>
        <v/>
      </c>
      <c r="AG987" s="12" t="n"/>
      <c r="AH987" s="11" t="n"/>
      <c r="AI987" s="11" t="n"/>
      <c r="AJ987" s="11" t="n"/>
      <c r="AK987" s="14">
        <f>IF(AND($AF987="保留中",$AH987&lt;&gt;""),TODAY()-$AH987,"")</f>
        <v/>
      </c>
      <c r="AL987" s="12" t="n"/>
      <c r="AM987" s="14">
        <f>IF($B987="","",IF($AQ987="","対象年月が未入力／","")&amp;IF($B987="","",IF($AP987="","職員マスタに未登録の職員番号／",IF($AA987="","標準報酬月額が未登録／","")&amp;IF(AND($AQ987&lt;&gt;"",OR(AND(INDEX(職員マスタ!$G$6:$G$405,$AP987)&lt;&gt;"",INDEX(職員マスタ!$G$6:$G$405,$AP987)&gt;EOMONTH($AQ987,0)),AND(INDEX(職員マスタ!$H$6:$H$405,$AP987)&lt;&gt;"",INDEX(職員マスタ!$H$6:$H$405,$AP987)&lt;$AQ987))),"対象月が時短期間外／","")&amp;IF(AND(INDEX(職員マスタ!$K$6:$K$405,$AP987)&lt;&gt;"",N($W987)&gt;0,INDEX(職員マスタ!$K$6:$K$405,$AP987)&lt;&gt;$W987),"標準報酬月額が申請書と相違（台帳"&amp;TEXT(INDEX(職員マスタ!$K$6:$K$405,$AP987),"#,##0")&amp;"円／申請書"&amp;TEXT($W987,"#,##0")&amp;"円）／","")&amp;IF(AND(INDEX(職員マスタ!$F$6:$F$405,$AP987)&lt;&gt;"",$AQ987&lt;&gt;"",INDEX(職員マスタ!$F$6:$F$405,$AP987)&lt;$AQ987),"対象月に子が2歳到達済／","")&amp;IF(AND($H987&lt;&gt;"",INDEX(職員マスタ!$B$6:$B$405,$AP987)&lt;&gt;"",SUBSTITUTE(SUBSTITUTE($H987," ","")," ","")&lt;&gt;SUBSTITUTE(SUBSTITUTE(INDEX(職員マスタ!$B$6:$B$405,$AP987)," ","")," ","")),"氏名がマスタと相違／","")&amp;IF(AND($Q987&lt;&gt;"",INDEX(職員マスタ!$E$6:$E$405,$AP987)&lt;&gt;"",$Q987&lt;&gt;INDEX(職員マスタ!$E$6:$E$405,$AP987)),"子の生年月日がマスタと相違／","")&amp;IF(AND($L987&lt;&gt;"",INDEX(職員マスタ!$G$6:$G$405,$AP987)&lt;&gt;"",$L987&lt;&gt;INDEX(職員マスタ!$G$6:$G$405,$AP987)),"時短開始日がマスタと相違／","")&amp;IF(AND($M987&lt;&gt;"",INDEX(職員マスタ!$H$6:$H$405,$AP987)&lt;&gt;"",$M987&lt;&gt;INDEX(職員マスタ!$H$6:$H$405,$AP987)),"時短終了日がマスタと相違／","")))&amp;IF(AND($B987&lt;&gt;"",$E987=""),"報酬額が未入力／","")&amp;IF(N($U987)&gt;0,"申請書に入力エラーが残っています／","")&amp;IF(AND($B987&lt;&gt;"",$AQ987&lt;&gt;""),IF(COUNTIFS($B$6:$B$3005,$B987,$C$6:$C$3005,$C987,$D$6:$D$3005,$D987)&gt;1,"同じ月の請求が重複しています／",""),"")&amp;IF(AND(N($E987)&gt;0,$AB987&lt;&gt;"",$AB987&lt;&gt;"×",$AE987=0,$AD987=""),"計算額が下限以下のため不支給／",""))</f>
        <v/>
      </c>
      <c r="AN987" s="12" t="n"/>
      <c r="AO987" s="14">
        <f>IF($AF987="保留中",COUNTIF($AF$6:$AF987,"保留中"),"")</f>
        <v/>
      </c>
      <c r="AP987" s="14">
        <f>IF($AQ987="","",IF(SUMPRODUCT(MAX((職員マスタ!$A$6:$A$405=$B987)*(((職員マスタ!$G$6:$G$405="")+(職員マスタ!$G$6:$G$405&lt;=EOMONTH($AQ987,0)))&gt;0)*(((職員マスタ!$H$6:$H$405="")+(職員マスタ!$H$6:$H$405&gt;=$AQ987))&gt;0)*(ROW(職員マスタ!$A$6:$A$405)-5)))&gt;0,SUMPRODUCT(MAX((職員マスタ!$A$6:$A$405=$B987)*(((職員マスタ!$G$6:$G$405="")+(職員マスタ!$G$6:$G$405&lt;=EOMONTH($AQ987,0)))&gt;0)*(((職員マスタ!$H$6:$H$405="")+(職員マスタ!$H$6:$H$405&gt;=$AQ987))&gt;0)*(ROW(職員マスタ!$A$6:$A$405)-5))),IFERROR(MATCH($B987,職員マスタ!$A$6:$A$405,0),"")))</f>
        <v/>
      </c>
      <c r="AQ987" s="16">
        <f>IF(OR($B987="",$C987="",$D987=""),"",DATE($C987+2018,$D987,1))</f>
        <v/>
      </c>
    </row>
    <row r="988">
      <c r="A988" s="11" t="n"/>
      <c r="B988" s="12" t="n"/>
      <c r="C988" s="12" t="n"/>
      <c r="D988" s="12" t="n"/>
      <c r="E988" s="13" t="n"/>
      <c r="F988" s="12" t="n"/>
      <c r="G988" s="13" t="n"/>
      <c r="H988" s="12" t="n"/>
      <c r="I988" s="12" t="n"/>
      <c r="J988" s="12" t="n"/>
      <c r="K988" s="12" t="n"/>
      <c r="L988" s="11" t="n"/>
      <c r="M988" s="11" t="n"/>
      <c r="N988" s="11" t="n"/>
      <c r="O988" s="11" t="n"/>
      <c r="P988" s="12" t="n"/>
      <c r="Q988" s="11" t="n"/>
      <c r="R988" s="12" t="n"/>
      <c r="S988" s="11" t="n"/>
      <c r="T988" s="12" t="n"/>
      <c r="U988" s="12" t="n"/>
      <c r="V988" s="12" t="n"/>
      <c r="W988" s="13" t="n"/>
      <c r="X988" s="14">
        <f>IF($AP988="",IF($B988="","",$H988),IF(INDEX(職員マスタ!$B$6:$B$405,$AP988)="",$H988,INDEX(職員マスタ!$B$6:$B$405,$AP988)))</f>
        <v/>
      </c>
      <c r="Y988" s="14">
        <f>IF($AP988="",IF($B988="","",$R988),IF(INDEX(職員マスタ!$C$6:$C$405,$AP988)="",$R988,INDEX(職員マスタ!$C$6:$C$405,$AP988)))</f>
        <v/>
      </c>
      <c r="Z988" s="14">
        <f>IF($AQ988="","","R"&amp;$C988&amp;"."&amp;$D988)</f>
        <v/>
      </c>
      <c r="AA988" s="15">
        <f>IF(IF($AP988="",FALSE,INDEX(職員マスタ!$K$6:$K$405,$AP988)&lt;&gt;""),INDEX(職員マスタ!$K$6:$K$405,$AP988),IF(N($W988)&gt;0,$W988,""))</f>
        <v/>
      </c>
      <c r="AB988" s="14">
        <f>IF(OR($E988="",$AA988=""),"",IF($E988&gt;=$AA988,"×",IF($E988&gt;=$AA988*設定!$C$5,"△","○")))</f>
        <v/>
      </c>
      <c r="AC988" s="15">
        <f>IF($AB988="","",IF($AB988="×",0,IF($AB988="○",ROUNDDOWN($E988*設定!$C$4,0),ROUNDDOWN($E988*ROUND((9*$AA988-9*$E988)/(10*$E988),4),0))))</f>
        <v/>
      </c>
      <c r="AD988" s="13" t="n"/>
      <c r="AE988" s="15">
        <f>IF($B988="","",IF($AD988&lt;&gt;"",$AD988,IF($AC988="","",IF($AC988&lt;=設定!$C$3,0,$AC988))))</f>
        <v/>
      </c>
      <c r="AF988" s="14">
        <f>IF($B988="","",IF(AND($AG988&lt;&gt;"",$AI988="",$AL988=""),"保留中",IF($AL988&lt;&gt;"",IF(N($AE988)&gt;0,"支給済","不支給"),IF($AE988="","要確認",IF($AE988=0,"不支給","未処理")))))</f>
        <v/>
      </c>
      <c r="AG988" s="12" t="n"/>
      <c r="AH988" s="11" t="n"/>
      <c r="AI988" s="11" t="n"/>
      <c r="AJ988" s="11" t="n"/>
      <c r="AK988" s="14">
        <f>IF(AND($AF988="保留中",$AH988&lt;&gt;""),TODAY()-$AH988,"")</f>
        <v/>
      </c>
      <c r="AL988" s="12" t="n"/>
      <c r="AM988" s="14">
        <f>IF($B988="","",IF($AQ988="","対象年月が未入力／","")&amp;IF($B988="","",IF($AP988="","職員マスタに未登録の職員番号／",IF($AA988="","標準報酬月額が未登録／","")&amp;IF(AND($AQ988&lt;&gt;"",OR(AND(INDEX(職員マスタ!$G$6:$G$405,$AP988)&lt;&gt;"",INDEX(職員マスタ!$G$6:$G$405,$AP988)&gt;EOMONTH($AQ988,0)),AND(INDEX(職員マスタ!$H$6:$H$405,$AP988)&lt;&gt;"",INDEX(職員マスタ!$H$6:$H$405,$AP988)&lt;$AQ988))),"対象月が時短期間外／","")&amp;IF(AND(INDEX(職員マスタ!$K$6:$K$405,$AP988)&lt;&gt;"",N($W988)&gt;0,INDEX(職員マスタ!$K$6:$K$405,$AP988)&lt;&gt;$W988),"標準報酬月額が申請書と相違（台帳"&amp;TEXT(INDEX(職員マスタ!$K$6:$K$405,$AP988),"#,##0")&amp;"円／申請書"&amp;TEXT($W988,"#,##0")&amp;"円）／","")&amp;IF(AND(INDEX(職員マスタ!$F$6:$F$405,$AP988)&lt;&gt;"",$AQ988&lt;&gt;"",INDEX(職員マスタ!$F$6:$F$405,$AP988)&lt;$AQ988),"対象月に子が2歳到達済／","")&amp;IF(AND($H988&lt;&gt;"",INDEX(職員マスタ!$B$6:$B$405,$AP988)&lt;&gt;"",SUBSTITUTE(SUBSTITUTE($H988," ","")," ","")&lt;&gt;SUBSTITUTE(SUBSTITUTE(INDEX(職員マスタ!$B$6:$B$405,$AP988)," ","")," ","")),"氏名がマスタと相違／","")&amp;IF(AND($Q988&lt;&gt;"",INDEX(職員マスタ!$E$6:$E$405,$AP988)&lt;&gt;"",$Q988&lt;&gt;INDEX(職員マスタ!$E$6:$E$405,$AP988)),"子の生年月日がマスタと相違／","")&amp;IF(AND($L988&lt;&gt;"",INDEX(職員マスタ!$G$6:$G$405,$AP988)&lt;&gt;"",$L988&lt;&gt;INDEX(職員マスタ!$G$6:$G$405,$AP988)),"時短開始日がマスタと相違／","")&amp;IF(AND($M988&lt;&gt;"",INDEX(職員マスタ!$H$6:$H$405,$AP988)&lt;&gt;"",$M988&lt;&gt;INDEX(職員マスタ!$H$6:$H$405,$AP988)),"時短終了日がマスタと相違／","")))&amp;IF(AND($B988&lt;&gt;"",$E988=""),"報酬額が未入力／","")&amp;IF(N($U988)&gt;0,"申請書に入力エラーが残っています／","")&amp;IF(AND($B988&lt;&gt;"",$AQ988&lt;&gt;""),IF(COUNTIFS($B$6:$B$3005,$B988,$C$6:$C$3005,$C988,$D$6:$D$3005,$D988)&gt;1,"同じ月の請求が重複しています／",""),"")&amp;IF(AND(N($E988)&gt;0,$AB988&lt;&gt;"",$AB988&lt;&gt;"×",$AE988=0,$AD988=""),"計算額が下限以下のため不支給／",""))</f>
        <v/>
      </c>
      <c r="AN988" s="12" t="n"/>
      <c r="AO988" s="14">
        <f>IF($AF988="保留中",COUNTIF($AF$6:$AF988,"保留中"),"")</f>
        <v/>
      </c>
      <c r="AP988" s="14">
        <f>IF($AQ988="","",IF(SUMPRODUCT(MAX((職員マスタ!$A$6:$A$405=$B988)*(((職員マスタ!$G$6:$G$405="")+(職員マスタ!$G$6:$G$405&lt;=EOMONTH($AQ988,0)))&gt;0)*(((職員マスタ!$H$6:$H$405="")+(職員マスタ!$H$6:$H$405&gt;=$AQ988))&gt;0)*(ROW(職員マスタ!$A$6:$A$405)-5)))&gt;0,SUMPRODUCT(MAX((職員マスタ!$A$6:$A$405=$B988)*(((職員マスタ!$G$6:$G$405="")+(職員マスタ!$G$6:$G$405&lt;=EOMONTH($AQ988,0)))&gt;0)*(((職員マスタ!$H$6:$H$405="")+(職員マスタ!$H$6:$H$405&gt;=$AQ988))&gt;0)*(ROW(職員マスタ!$A$6:$A$405)-5))),IFERROR(MATCH($B988,職員マスタ!$A$6:$A$405,0),"")))</f>
        <v/>
      </c>
      <c r="AQ988" s="16">
        <f>IF(OR($B988="",$C988="",$D988=""),"",DATE($C988+2018,$D988,1))</f>
        <v/>
      </c>
    </row>
    <row r="989">
      <c r="A989" s="11" t="n"/>
      <c r="B989" s="12" t="n"/>
      <c r="C989" s="12" t="n"/>
      <c r="D989" s="12" t="n"/>
      <c r="E989" s="13" t="n"/>
      <c r="F989" s="12" t="n"/>
      <c r="G989" s="13" t="n"/>
      <c r="H989" s="12" t="n"/>
      <c r="I989" s="12" t="n"/>
      <c r="J989" s="12" t="n"/>
      <c r="K989" s="12" t="n"/>
      <c r="L989" s="11" t="n"/>
      <c r="M989" s="11" t="n"/>
      <c r="N989" s="11" t="n"/>
      <c r="O989" s="11" t="n"/>
      <c r="P989" s="12" t="n"/>
      <c r="Q989" s="11" t="n"/>
      <c r="R989" s="12" t="n"/>
      <c r="S989" s="11" t="n"/>
      <c r="T989" s="12" t="n"/>
      <c r="U989" s="12" t="n"/>
      <c r="V989" s="12" t="n"/>
      <c r="W989" s="13" t="n"/>
      <c r="X989" s="14">
        <f>IF($AP989="",IF($B989="","",$H989),IF(INDEX(職員マスタ!$B$6:$B$405,$AP989)="",$H989,INDEX(職員マスタ!$B$6:$B$405,$AP989)))</f>
        <v/>
      </c>
      <c r="Y989" s="14">
        <f>IF($AP989="",IF($B989="","",$R989),IF(INDEX(職員マスタ!$C$6:$C$405,$AP989)="",$R989,INDEX(職員マスタ!$C$6:$C$405,$AP989)))</f>
        <v/>
      </c>
      <c r="Z989" s="14">
        <f>IF($AQ989="","","R"&amp;$C989&amp;"."&amp;$D989)</f>
        <v/>
      </c>
      <c r="AA989" s="15">
        <f>IF(IF($AP989="",FALSE,INDEX(職員マスタ!$K$6:$K$405,$AP989)&lt;&gt;""),INDEX(職員マスタ!$K$6:$K$405,$AP989),IF(N($W989)&gt;0,$W989,""))</f>
        <v/>
      </c>
      <c r="AB989" s="14">
        <f>IF(OR($E989="",$AA989=""),"",IF($E989&gt;=$AA989,"×",IF($E989&gt;=$AA989*設定!$C$5,"△","○")))</f>
        <v/>
      </c>
      <c r="AC989" s="15">
        <f>IF($AB989="","",IF($AB989="×",0,IF($AB989="○",ROUNDDOWN($E989*設定!$C$4,0),ROUNDDOWN($E989*ROUND((9*$AA989-9*$E989)/(10*$E989),4),0))))</f>
        <v/>
      </c>
      <c r="AD989" s="13" t="n"/>
      <c r="AE989" s="15">
        <f>IF($B989="","",IF($AD989&lt;&gt;"",$AD989,IF($AC989="","",IF($AC989&lt;=設定!$C$3,0,$AC989))))</f>
        <v/>
      </c>
      <c r="AF989" s="14">
        <f>IF($B989="","",IF(AND($AG989&lt;&gt;"",$AI989="",$AL989=""),"保留中",IF($AL989&lt;&gt;"",IF(N($AE989)&gt;0,"支給済","不支給"),IF($AE989="","要確認",IF($AE989=0,"不支給","未処理")))))</f>
        <v/>
      </c>
      <c r="AG989" s="12" t="n"/>
      <c r="AH989" s="11" t="n"/>
      <c r="AI989" s="11" t="n"/>
      <c r="AJ989" s="11" t="n"/>
      <c r="AK989" s="14">
        <f>IF(AND($AF989="保留中",$AH989&lt;&gt;""),TODAY()-$AH989,"")</f>
        <v/>
      </c>
      <c r="AL989" s="12" t="n"/>
      <c r="AM989" s="14">
        <f>IF($B989="","",IF($AQ989="","対象年月が未入力／","")&amp;IF($B989="","",IF($AP989="","職員マスタに未登録の職員番号／",IF($AA989="","標準報酬月額が未登録／","")&amp;IF(AND($AQ989&lt;&gt;"",OR(AND(INDEX(職員マスタ!$G$6:$G$405,$AP989)&lt;&gt;"",INDEX(職員マスタ!$G$6:$G$405,$AP989)&gt;EOMONTH($AQ989,0)),AND(INDEX(職員マスタ!$H$6:$H$405,$AP989)&lt;&gt;"",INDEX(職員マスタ!$H$6:$H$405,$AP989)&lt;$AQ989))),"対象月が時短期間外／","")&amp;IF(AND(INDEX(職員マスタ!$K$6:$K$405,$AP989)&lt;&gt;"",N($W989)&gt;0,INDEX(職員マスタ!$K$6:$K$405,$AP989)&lt;&gt;$W989),"標準報酬月額が申請書と相違（台帳"&amp;TEXT(INDEX(職員マスタ!$K$6:$K$405,$AP989),"#,##0")&amp;"円／申請書"&amp;TEXT($W989,"#,##0")&amp;"円）／","")&amp;IF(AND(INDEX(職員マスタ!$F$6:$F$405,$AP989)&lt;&gt;"",$AQ989&lt;&gt;"",INDEX(職員マスタ!$F$6:$F$405,$AP989)&lt;$AQ989),"対象月に子が2歳到達済／","")&amp;IF(AND($H989&lt;&gt;"",INDEX(職員マスタ!$B$6:$B$405,$AP989)&lt;&gt;"",SUBSTITUTE(SUBSTITUTE($H989," ","")," ","")&lt;&gt;SUBSTITUTE(SUBSTITUTE(INDEX(職員マスタ!$B$6:$B$405,$AP989)," ","")," ","")),"氏名がマスタと相違／","")&amp;IF(AND($Q989&lt;&gt;"",INDEX(職員マスタ!$E$6:$E$405,$AP989)&lt;&gt;"",$Q989&lt;&gt;INDEX(職員マスタ!$E$6:$E$405,$AP989)),"子の生年月日がマスタと相違／","")&amp;IF(AND($L989&lt;&gt;"",INDEX(職員マスタ!$G$6:$G$405,$AP989)&lt;&gt;"",$L989&lt;&gt;INDEX(職員マスタ!$G$6:$G$405,$AP989)),"時短開始日がマスタと相違／","")&amp;IF(AND($M989&lt;&gt;"",INDEX(職員マスタ!$H$6:$H$405,$AP989)&lt;&gt;"",$M989&lt;&gt;INDEX(職員マスタ!$H$6:$H$405,$AP989)),"時短終了日がマスタと相違／","")))&amp;IF(AND($B989&lt;&gt;"",$E989=""),"報酬額が未入力／","")&amp;IF(N($U989)&gt;0,"申請書に入力エラーが残っています／","")&amp;IF(AND($B989&lt;&gt;"",$AQ989&lt;&gt;""),IF(COUNTIFS($B$6:$B$3005,$B989,$C$6:$C$3005,$C989,$D$6:$D$3005,$D989)&gt;1,"同じ月の請求が重複しています／",""),"")&amp;IF(AND(N($E989)&gt;0,$AB989&lt;&gt;"",$AB989&lt;&gt;"×",$AE989=0,$AD989=""),"計算額が下限以下のため不支給／",""))</f>
        <v/>
      </c>
      <c r="AN989" s="12" t="n"/>
      <c r="AO989" s="14">
        <f>IF($AF989="保留中",COUNTIF($AF$6:$AF989,"保留中"),"")</f>
        <v/>
      </c>
      <c r="AP989" s="14">
        <f>IF($AQ989="","",IF(SUMPRODUCT(MAX((職員マスタ!$A$6:$A$405=$B989)*(((職員マスタ!$G$6:$G$405="")+(職員マスタ!$G$6:$G$405&lt;=EOMONTH($AQ989,0)))&gt;0)*(((職員マスタ!$H$6:$H$405="")+(職員マスタ!$H$6:$H$405&gt;=$AQ989))&gt;0)*(ROW(職員マスタ!$A$6:$A$405)-5)))&gt;0,SUMPRODUCT(MAX((職員マスタ!$A$6:$A$405=$B989)*(((職員マスタ!$G$6:$G$405="")+(職員マスタ!$G$6:$G$405&lt;=EOMONTH($AQ989,0)))&gt;0)*(((職員マスタ!$H$6:$H$405="")+(職員マスタ!$H$6:$H$405&gt;=$AQ989))&gt;0)*(ROW(職員マスタ!$A$6:$A$405)-5))),IFERROR(MATCH($B989,職員マスタ!$A$6:$A$405,0),"")))</f>
        <v/>
      </c>
      <c r="AQ989" s="16">
        <f>IF(OR($B989="",$C989="",$D989=""),"",DATE($C989+2018,$D989,1))</f>
        <v/>
      </c>
    </row>
    <row r="990">
      <c r="A990" s="11" t="n"/>
      <c r="B990" s="12" t="n"/>
      <c r="C990" s="12" t="n"/>
      <c r="D990" s="12" t="n"/>
      <c r="E990" s="13" t="n"/>
      <c r="F990" s="12" t="n"/>
      <c r="G990" s="13" t="n"/>
      <c r="H990" s="12" t="n"/>
      <c r="I990" s="12" t="n"/>
      <c r="J990" s="12" t="n"/>
      <c r="K990" s="12" t="n"/>
      <c r="L990" s="11" t="n"/>
      <c r="M990" s="11" t="n"/>
      <c r="N990" s="11" t="n"/>
      <c r="O990" s="11" t="n"/>
      <c r="P990" s="12" t="n"/>
      <c r="Q990" s="11" t="n"/>
      <c r="R990" s="12" t="n"/>
      <c r="S990" s="11" t="n"/>
      <c r="T990" s="12" t="n"/>
      <c r="U990" s="12" t="n"/>
      <c r="V990" s="12" t="n"/>
      <c r="W990" s="13" t="n"/>
      <c r="X990" s="14">
        <f>IF($AP990="",IF($B990="","",$H990),IF(INDEX(職員マスタ!$B$6:$B$405,$AP990)="",$H990,INDEX(職員マスタ!$B$6:$B$405,$AP990)))</f>
        <v/>
      </c>
      <c r="Y990" s="14">
        <f>IF($AP990="",IF($B990="","",$R990),IF(INDEX(職員マスタ!$C$6:$C$405,$AP990)="",$R990,INDEX(職員マスタ!$C$6:$C$405,$AP990)))</f>
        <v/>
      </c>
      <c r="Z990" s="14">
        <f>IF($AQ990="","","R"&amp;$C990&amp;"."&amp;$D990)</f>
        <v/>
      </c>
      <c r="AA990" s="15">
        <f>IF(IF($AP990="",FALSE,INDEX(職員マスタ!$K$6:$K$405,$AP990)&lt;&gt;""),INDEX(職員マスタ!$K$6:$K$405,$AP990),IF(N($W990)&gt;0,$W990,""))</f>
        <v/>
      </c>
      <c r="AB990" s="14">
        <f>IF(OR($E990="",$AA990=""),"",IF($E990&gt;=$AA990,"×",IF($E990&gt;=$AA990*設定!$C$5,"△","○")))</f>
        <v/>
      </c>
      <c r="AC990" s="15">
        <f>IF($AB990="","",IF($AB990="×",0,IF($AB990="○",ROUNDDOWN($E990*設定!$C$4,0),ROUNDDOWN($E990*ROUND((9*$AA990-9*$E990)/(10*$E990),4),0))))</f>
        <v/>
      </c>
      <c r="AD990" s="13" t="n"/>
      <c r="AE990" s="15">
        <f>IF($B990="","",IF($AD990&lt;&gt;"",$AD990,IF($AC990="","",IF($AC990&lt;=設定!$C$3,0,$AC990))))</f>
        <v/>
      </c>
      <c r="AF990" s="14">
        <f>IF($B990="","",IF(AND($AG990&lt;&gt;"",$AI990="",$AL990=""),"保留中",IF($AL990&lt;&gt;"",IF(N($AE990)&gt;0,"支給済","不支給"),IF($AE990="","要確認",IF($AE990=0,"不支給","未処理")))))</f>
        <v/>
      </c>
      <c r="AG990" s="12" t="n"/>
      <c r="AH990" s="11" t="n"/>
      <c r="AI990" s="11" t="n"/>
      <c r="AJ990" s="11" t="n"/>
      <c r="AK990" s="14">
        <f>IF(AND($AF990="保留中",$AH990&lt;&gt;""),TODAY()-$AH990,"")</f>
        <v/>
      </c>
      <c r="AL990" s="12" t="n"/>
      <c r="AM990" s="14">
        <f>IF($B990="","",IF($AQ990="","対象年月が未入力／","")&amp;IF($B990="","",IF($AP990="","職員マスタに未登録の職員番号／",IF($AA990="","標準報酬月額が未登録／","")&amp;IF(AND($AQ990&lt;&gt;"",OR(AND(INDEX(職員マスタ!$G$6:$G$405,$AP990)&lt;&gt;"",INDEX(職員マスタ!$G$6:$G$405,$AP990)&gt;EOMONTH($AQ990,0)),AND(INDEX(職員マスタ!$H$6:$H$405,$AP990)&lt;&gt;"",INDEX(職員マスタ!$H$6:$H$405,$AP990)&lt;$AQ990))),"対象月が時短期間外／","")&amp;IF(AND(INDEX(職員マスタ!$K$6:$K$405,$AP990)&lt;&gt;"",N($W990)&gt;0,INDEX(職員マスタ!$K$6:$K$405,$AP990)&lt;&gt;$W990),"標準報酬月額が申請書と相違（台帳"&amp;TEXT(INDEX(職員マスタ!$K$6:$K$405,$AP990),"#,##0")&amp;"円／申請書"&amp;TEXT($W990,"#,##0")&amp;"円）／","")&amp;IF(AND(INDEX(職員マスタ!$F$6:$F$405,$AP990)&lt;&gt;"",$AQ990&lt;&gt;"",INDEX(職員マスタ!$F$6:$F$405,$AP990)&lt;$AQ990),"対象月に子が2歳到達済／","")&amp;IF(AND($H990&lt;&gt;"",INDEX(職員マスタ!$B$6:$B$405,$AP990)&lt;&gt;"",SUBSTITUTE(SUBSTITUTE($H990," ","")," ","")&lt;&gt;SUBSTITUTE(SUBSTITUTE(INDEX(職員マスタ!$B$6:$B$405,$AP990)," ","")," ","")),"氏名がマスタと相違／","")&amp;IF(AND($Q990&lt;&gt;"",INDEX(職員マスタ!$E$6:$E$405,$AP990)&lt;&gt;"",$Q990&lt;&gt;INDEX(職員マスタ!$E$6:$E$405,$AP990)),"子の生年月日がマスタと相違／","")&amp;IF(AND($L990&lt;&gt;"",INDEX(職員マスタ!$G$6:$G$405,$AP990)&lt;&gt;"",$L990&lt;&gt;INDEX(職員マスタ!$G$6:$G$405,$AP990)),"時短開始日がマスタと相違／","")&amp;IF(AND($M990&lt;&gt;"",INDEX(職員マスタ!$H$6:$H$405,$AP990)&lt;&gt;"",$M990&lt;&gt;INDEX(職員マスタ!$H$6:$H$405,$AP990)),"時短終了日がマスタと相違／","")))&amp;IF(AND($B990&lt;&gt;"",$E990=""),"報酬額が未入力／","")&amp;IF(N($U990)&gt;0,"申請書に入力エラーが残っています／","")&amp;IF(AND($B990&lt;&gt;"",$AQ990&lt;&gt;""),IF(COUNTIFS($B$6:$B$3005,$B990,$C$6:$C$3005,$C990,$D$6:$D$3005,$D990)&gt;1,"同じ月の請求が重複しています／",""),"")&amp;IF(AND(N($E990)&gt;0,$AB990&lt;&gt;"",$AB990&lt;&gt;"×",$AE990=0,$AD990=""),"計算額が下限以下のため不支給／",""))</f>
        <v/>
      </c>
      <c r="AN990" s="12" t="n"/>
      <c r="AO990" s="14">
        <f>IF($AF990="保留中",COUNTIF($AF$6:$AF990,"保留中"),"")</f>
        <v/>
      </c>
      <c r="AP990" s="14">
        <f>IF($AQ990="","",IF(SUMPRODUCT(MAX((職員マスタ!$A$6:$A$405=$B990)*(((職員マスタ!$G$6:$G$405="")+(職員マスタ!$G$6:$G$405&lt;=EOMONTH($AQ990,0)))&gt;0)*(((職員マスタ!$H$6:$H$405="")+(職員マスタ!$H$6:$H$405&gt;=$AQ990))&gt;0)*(ROW(職員マスタ!$A$6:$A$405)-5)))&gt;0,SUMPRODUCT(MAX((職員マスタ!$A$6:$A$405=$B990)*(((職員マスタ!$G$6:$G$405="")+(職員マスタ!$G$6:$G$405&lt;=EOMONTH($AQ990,0)))&gt;0)*(((職員マスタ!$H$6:$H$405="")+(職員マスタ!$H$6:$H$405&gt;=$AQ990))&gt;0)*(ROW(職員マスタ!$A$6:$A$405)-5))),IFERROR(MATCH($B990,職員マスタ!$A$6:$A$405,0),"")))</f>
        <v/>
      </c>
      <c r="AQ990" s="16">
        <f>IF(OR($B990="",$C990="",$D990=""),"",DATE($C990+2018,$D990,1))</f>
        <v/>
      </c>
    </row>
    <row r="991">
      <c r="A991" s="11" t="n"/>
      <c r="B991" s="12" t="n"/>
      <c r="C991" s="12" t="n"/>
      <c r="D991" s="12" t="n"/>
      <c r="E991" s="13" t="n"/>
      <c r="F991" s="12" t="n"/>
      <c r="G991" s="13" t="n"/>
      <c r="H991" s="12" t="n"/>
      <c r="I991" s="12" t="n"/>
      <c r="J991" s="12" t="n"/>
      <c r="K991" s="12" t="n"/>
      <c r="L991" s="11" t="n"/>
      <c r="M991" s="11" t="n"/>
      <c r="N991" s="11" t="n"/>
      <c r="O991" s="11" t="n"/>
      <c r="P991" s="12" t="n"/>
      <c r="Q991" s="11" t="n"/>
      <c r="R991" s="12" t="n"/>
      <c r="S991" s="11" t="n"/>
      <c r="T991" s="12" t="n"/>
      <c r="U991" s="12" t="n"/>
      <c r="V991" s="12" t="n"/>
      <c r="W991" s="13" t="n"/>
      <c r="X991" s="14">
        <f>IF($AP991="",IF($B991="","",$H991),IF(INDEX(職員マスタ!$B$6:$B$405,$AP991)="",$H991,INDEX(職員マスタ!$B$6:$B$405,$AP991)))</f>
        <v/>
      </c>
      <c r="Y991" s="14">
        <f>IF($AP991="",IF($B991="","",$R991),IF(INDEX(職員マスタ!$C$6:$C$405,$AP991)="",$R991,INDEX(職員マスタ!$C$6:$C$405,$AP991)))</f>
        <v/>
      </c>
      <c r="Z991" s="14">
        <f>IF($AQ991="","","R"&amp;$C991&amp;"."&amp;$D991)</f>
        <v/>
      </c>
      <c r="AA991" s="15">
        <f>IF(IF($AP991="",FALSE,INDEX(職員マスタ!$K$6:$K$405,$AP991)&lt;&gt;""),INDEX(職員マスタ!$K$6:$K$405,$AP991),IF(N($W991)&gt;0,$W991,""))</f>
        <v/>
      </c>
      <c r="AB991" s="14">
        <f>IF(OR($E991="",$AA991=""),"",IF($E991&gt;=$AA991,"×",IF($E991&gt;=$AA991*設定!$C$5,"△","○")))</f>
        <v/>
      </c>
      <c r="AC991" s="15">
        <f>IF($AB991="","",IF($AB991="×",0,IF($AB991="○",ROUNDDOWN($E991*設定!$C$4,0),ROUNDDOWN($E991*ROUND((9*$AA991-9*$E991)/(10*$E991),4),0))))</f>
        <v/>
      </c>
      <c r="AD991" s="13" t="n"/>
      <c r="AE991" s="15">
        <f>IF($B991="","",IF($AD991&lt;&gt;"",$AD991,IF($AC991="","",IF($AC991&lt;=設定!$C$3,0,$AC991))))</f>
        <v/>
      </c>
      <c r="AF991" s="14">
        <f>IF($B991="","",IF(AND($AG991&lt;&gt;"",$AI991="",$AL991=""),"保留中",IF($AL991&lt;&gt;"",IF(N($AE991)&gt;0,"支給済","不支給"),IF($AE991="","要確認",IF($AE991=0,"不支給","未処理")))))</f>
        <v/>
      </c>
      <c r="AG991" s="12" t="n"/>
      <c r="AH991" s="11" t="n"/>
      <c r="AI991" s="11" t="n"/>
      <c r="AJ991" s="11" t="n"/>
      <c r="AK991" s="14">
        <f>IF(AND($AF991="保留中",$AH991&lt;&gt;""),TODAY()-$AH991,"")</f>
        <v/>
      </c>
      <c r="AL991" s="12" t="n"/>
      <c r="AM991" s="14">
        <f>IF($B991="","",IF($AQ991="","対象年月が未入力／","")&amp;IF($B991="","",IF($AP991="","職員マスタに未登録の職員番号／",IF($AA991="","標準報酬月額が未登録／","")&amp;IF(AND($AQ991&lt;&gt;"",OR(AND(INDEX(職員マスタ!$G$6:$G$405,$AP991)&lt;&gt;"",INDEX(職員マスタ!$G$6:$G$405,$AP991)&gt;EOMONTH($AQ991,0)),AND(INDEX(職員マスタ!$H$6:$H$405,$AP991)&lt;&gt;"",INDEX(職員マスタ!$H$6:$H$405,$AP991)&lt;$AQ991))),"対象月が時短期間外／","")&amp;IF(AND(INDEX(職員マスタ!$K$6:$K$405,$AP991)&lt;&gt;"",N($W991)&gt;0,INDEX(職員マスタ!$K$6:$K$405,$AP991)&lt;&gt;$W991),"標準報酬月額が申請書と相違（台帳"&amp;TEXT(INDEX(職員マスタ!$K$6:$K$405,$AP991),"#,##0")&amp;"円／申請書"&amp;TEXT($W991,"#,##0")&amp;"円）／","")&amp;IF(AND(INDEX(職員マスタ!$F$6:$F$405,$AP991)&lt;&gt;"",$AQ991&lt;&gt;"",INDEX(職員マスタ!$F$6:$F$405,$AP991)&lt;$AQ991),"対象月に子が2歳到達済／","")&amp;IF(AND($H991&lt;&gt;"",INDEX(職員マスタ!$B$6:$B$405,$AP991)&lt;&gt;"",SUBSTITUTE(SUBSTITUTE($H991," ","")," ","")&lt;&gt;SUBSTITUTE(SUBSTITUTE(INDEX(職員マスタ!$B$6:$B$405,$AP991)," ","")," ","")),"氏名がマスタと相違／","")&amp;IF(AND($Q991&lt;&gt;"",INDEX(職員マスタ!$E$6:$E$405,$AP991)&lt;&gt;"",$Q991&lt;&gt;INDEX(職員マスタ!$E$6:$E$405,$AP991)),"子の生年月日がマスタと相違／","")&amp;IF(AND($L991&lt;&gt;"",INDEX(職員マスタ!$G$6:$G$405,$AP991)&lt;&gt;"",$L991&lt;&gt;INDEX(職員マスタ!$G$6:$G$405,$AP991)),"時短開始日がマスタと相違／","")&amp;IF(AND($M991&lt;&gt;"",INDEX(職員マスタ!$H$6:$H$405,$AP991)&lt;&gt;"",$M991&lt;&gt;INDEX(職員マスタ!$H$6:$H$405,$AP991)),"時短終了日がマスタと相違／","")))&amp;IF(AND($B991&lt;&gt;"",$E991=""),"報酬額が未入力／","")&amp;IF(N($U991)&gt;0,"申請書に入力エラーが残っています／","")&amp;IF(AND($B991&lt;&gt;"",$AQ991&lt;&gt;""),IF(COUNTIFS($B$6:$B$3005,$B991,$C$6:$C$3005,$C991,$D$6:$D$3005,$D991)&gt;1,"同じ月の請求が重複しています／",""),"")&amp;IF(AND(N($E991)&gt;0,$AB991&lt;&gt;"",$AB991&lt;&gt;"×",$AE991=0,$AD991=""),"計算額が下限以下のため不支給／",""))</f>
        <v/>
      </c>
      <c r="AN991" s="12" t="n"/>
      <c r="AO991" s="14">
        <f>IF($AF991="保留中",COUNTIF($AF$6:$AF991,"保留中"),"")</f>
        <v/>
      </c>
      <c r="AP991" s="14">
        <f>IF($AQ991="","",IF(SUMPRODUCT(MAX((職員マスタ!$A$6:$A$405=$B991)*(((職員マスタ!$G$6:$G$405="")+(職員マスタ!$G$6:$G$405&lt;=EOMONTH($AQ991,0)))&gt;0)*(((職員マスタ!$H$6:$H$405="")+(職員マスタ!$H$6:$H$405&gt;=$AQ991))&gt;0)*(ROW(職員マスタ!$A$6:$A$405)-5)))&gt;0,SUMPRODUCT(MAX((職員マスタ!$A$6:$A$405=$B991)*(((職員マスタ!$G$6:$G$405="")+(職員マスタ!$G$6:$G$405&lt;=EOMONTH($AQ991,0)))&gt;0)*(((職員マスタ!$H$6:$H$405="")+(職員マスタ!$H$6:$H$405&gt;=$AQ991))&gt;0)*(ROW(職員マスタ!$A$6:$A$405)-5))),IFERROR(MATCH($B991,職員マスタ!$A$6:$A$405,0),"")))</f>
        <v/>
      </c>
      <c r="AQ991" s="16">
        <f>IF(OR($B991="",$C991="",$D991=""),"",DATE($C991+2018,$D991,1))</f>
        <v/>
      </c>
    </row>
    <row r="992">
      <c r="A992" s="11" t="n"/>
      <c r="B992" s="12" t="n"/>
      <c r="C992" s="12" t="n"/>
      <c r="D992" s="12" t="n"/>
      <c r="E992" s="13" t="n"/>
      <c r="F992" s="12" t="n"/>
      <c r="G992" s="13" t="n"/>
      <c r="H992" s="12" t="n"/>
      <c r="I992" s="12" t="n"/>
      <c r="J992" s="12" t="n"/>
      <c r="K992" s="12" t="n"/>
      <c r="L992" s="11" t="n"/>
      <c r="M992" s="11" t="n"/>
      <c r="N992" s="11" t="n"/>
      <c r="O992" s="11" t="n"/>
      <c r="P992" s="12" t="n"/>
      <c r="Q992" s="11" t="n"/>
      <c r="R992" s="12" t="n"/>
      <c r="S992" s="11" t="n"/>
      <c r="T992" s="12" t="n"/>
      <c r="U992" s="12" t="n"/>
      <c r="V992" s="12" t="n"/>
      <c r="W992" s="13" t="n"/>
      <c r="X992" s="14">
        <f>IF($AP992="",IF($B992="","",$H992),IF(INDEX(職員マスタ!$B$6:$B$405,$AP992)="",$H992,INDEX(職員マスタ!$B$6:$B$405,$AP992)))</f>
        <v/>
      </c>
      <c r="Y992" s="14">
        <f>IF($AP992="",IF($B992="","",$R992),IF(INDEX(職員マスタ!$C$6:$C$405,$AP992)="",$R992,INDEX(職員マスタ!$C$6:$C$405,$AP992)))</f>
        <v/>
      </c>
      <c r="Z992" s="14">
        <f>IF($AQ992="","","R"&amp;$C992&amp;"."&amp;$D992)</f>
        <v/>
      </c>
      <c r="AA992" s="15">
        <f>IF(IF($AP992="",FALSE,INDEX(職員マスタ!$K$6:$K$405,$AP992)&lt;&gt;""),INDEX(職員マスタ!$K$6:$K$405,$AP992),IF(N($W992)&gt;0,$W992,""))</f>
        <v/>
      </c>
      <c r="AB992" s="14">
        <f>IF(OR($E992="",$AA992=""),"",IF($E992&gt;=$AA992,"×",IF($E992&gt;=$AA992*設定!$C$5,"△","○")))</f>
        <v/>
      </c>
      <c r="AC992" s="15">
        <f>IF($AB992="","",IF($AB992="×",0,IF($AB992="○",ROUNDDOWN($E992*設定!$C$4,0),ROUNDDOWN($E992*ROUND((9*$AA992-9*$E992)/(10*$E992),4),0))))</f>
        <v/>
      </c>
      <c r="AD992" s="13" t="n"/>
      <c r="AE992" s="15">
        <f>IF($B992="","",IF($AD992&lt;&gt;"",$AD992,IF($AC992="","",IF($AC992&lt;=設定!$C$3,0,$AC992))))</f>
        <v/>
      </c>
      <c r="AF992" s="14">
        <f>IF($B992="","",IF(AND($AG992&lt;&gt;"",$AI992="",$AL992=""),"保留中",IF($AL992&lt;&gt;"",IF(N($AE992)&gt;0,"支給済","不支給"),IF($AE992="","要確認",IF($AE992=0,"不支給","未処理")))))</f>
        <v/>
      </c>
      <c r="AG992" s="12" t="n"/>
      <c r="AH992" s="11" t="n"/>
      <c r="AI992" s="11" t="n"/>
      <c r="AJ992" s="11" t="n"/>
      <c r="AK992" s="14">
        <f>IF(AND($AF992="保留中",$AH992&lt;&gt;""),TODAY()-$AH992,"")</f>
        <v/>
      </c>
      <c r="AL992" s="12" t="n"/>
      <c r="AM992" s="14">
        <f>IF($B992="","",IF($AQ992="","対象年月が未入力／","")&amp;IF($B992="","",IF($AP992="","職員マスタに未登録の職員番号／",IF($AA992="","標準報酬月額が未登録／","")&amp;IF(AND($AQ992&lt;&gt;"",OR(AND(INDEX(職員マスタ!$G$6:$G$405,$AP992)&lt;&gt;"",INDEX(職員マスタ!$G$6:$G$405,$AP992)&gt;EOMONTH($AQ992,0)),AND(INDEX(職員マスタ!$H$6:$H$405,$AP992)&lt;&gt;"",INDEX(職員マスタ!$H$6:$H$405,$AP992)&lt;$AQ992))),"対象月が時短期間外／","")&amp;IF(AND(INDEX(職員マスタ!$K$6:$K$405,$AP992)&lt;&gt;"",N($W992)&gt;0,INDEX(職員マスタ!$K$6:$K$405,$AP992)&lt;&gt;$W992),"標準報酬月額が申請書と相違（台帳"&amp;TEXT(INDEX(職員マスタ!$K$6:$K$405,$AP992),"#,##0")&amp;"円／申請書"&amp;TEXT($W992,"#,##0")&amp;"円）／","")&amp;IF(AND(INDEX(職員マスタ!$F$6:$F$405,$AP992)&lt;&gt;"",$AQ992&lt;&gt;"",INDEX(職員マスタ!$F$6:$F$405,$AP992)&lt;$AQ992),"対象月に子が2歳到達済／","")&amp;IF(AND($H992&lt;&gt;"",INDEX(職員マスタ!$B$6:$B$405,$AP992)&lt;&gt;"",SUBSTITUTE(SUBSTITUTE($H992," ","")," ","")&lt;&gt;SUBSTITUTE(SUBSTITUTE(INDEX(職員マスタ!$B$6:$B$405,$AP992)," ","")," ","")),"氏名がマスタと相違／","")&amp;IF(AND($Q992&lt;&gt;"",INDEX(職員マスタ!$E$6:$E$405,$AP992)&lt;&gt;"",$Q992&lt;&gt;INDEX(職員マスタ!$E$6:$E$405,$AP992)),"子の生年月日がマスタと相違／","")&amp;IF(AND($L992&lt;&gt;"",INDEX(職員マスタ!$G$6:$G$405,$AP992)&lt;&gt;"",$L992&lt;&gt;INDEX(職員マスタ!$G$6:$G$405,$AP992)),"時短開始日がマスタと相違／","")&amp;IF(AND($M992&lt;&gt;"",INDEX(職員マスタ!$H$6:$H$405,$AP992)&lt;&gt;"",$M992&lt;&gt;INDEX(職員マスタ!$H$6:$H$405,$AP992)),"時短終了日がマスタと相違／","")))&amp;IF(AND($B992&lt;&gt;"",$E992=""),"報酬額が未入力／","")&amp;IF(N($U992)&gt;0,"申請書に入力エラーが残っています／","")&amp;IF(AND($B992&lt;&gt;"",$AQ992&lt;&gt;""),IF(COUNTIFS($B$6:$B$3005,$B992,$C$6:$C$3005,$C992,$D$6:$D$3005,$D992)&gt;1,"同じ月の請求が重複しています／",""),"")&amp;IF(AND(N($E992)&gt;0,$AB992&lt;&gt;"",$AB992&lt;&gt;"×",$AE992=0,$AD992=""),"計算額が下限以下のため不支給／",""))</f>
        <v/>
      </c>
      <c r="AN992" s="12" t="n"/>
      <c r="AO992" s="14">
        <f>IF($AF992="保留中",COUNTIF($AF$6:$AF992,"保留中"),"")</f>
        <v/>
      </c>
      <c r="AP992" s="14">
        <f>IF($AQ992="","",IF(SUMPRODUCT(MAX((職員マスタ!$A$6:$A$405=$B992)*(((職員マスタ!$G$6:$G$405="")+(職員マスタ!$G$6:$G$405&lt;=EOMONTH($AQ992,0)))&gt;0)*(((職員マスタ!$H$6:$H$405="")+(職員マスタ!$H$6:$H$405&gt;=$AQ992))&gt;0)*(ROW(職員マスタ!$A$6:$A$405)-5)))&gt;0,SUMPRODUCT(MAX((職員マスタ!$A$6:$A$405=$B992)*(((職員マスタ!$G$6:$G$405="")+(職員マスタ!$G$6:$G$405&lt;=EOMONTH($AQ992,0)))&gt;0)*(((職員マスタ!$H$6:$H$405="")+(職員マスタ!$H$6:$H$405&gt;=$AQ992))&gt;0)*(ROW(職員マスタ!$A$6:$A$405)-5))),IFERROR(MATCH($B992,職員マスタ!$A$6:$A$405,0),"")))</f>
        <v/>
      </c>
      <c r="AQ992" s="16">
        <f>IF(OR($B992="",$C992="",$D992=""),"",DATE($C992+2018,$D992,1))</f>
        <v/>
      </c>
    </row>
    <row r="993">
      <c r="A993" s="11" t="n"/>
      <c r="B993" s="12" t="n"/>
      <c r="C993" s="12" t="n"/>
      <c r="D993" s="12" t="n"/>
      <c r="E993" s="13" t="n"/>
      <c r="F993" s="12" t="n"/>
      <c r="G993" s="13" t="n"/>
      <c r="H993" s="12" t="n"/>
      <c r="I993" s="12" t="n"/>
      <c r="J993" s="12" t="n"/>
      <c r="K993" s="12" t="n"/>
      <c r="L993" s="11" t="n"/>
      <c r="M993" s="11" t="n"/>
      <c r="N993" s="11" t="n"/>
      <c r="O993" s="11" t="n"/>
      <c r="P993" s="12" t="n"/>
      <c r="Q993" s="11" t="n"/>
      <c r="R993" s="12" t="n"/>
      <c r="S993" s="11" t="n"/>
      <c r="T993" s="12" t="n"/>
      <c r="U993" s="12" t="n"/>
      <c r="V993" s="12" t="n"/>
      <c r="W993" s="13" t="n"/>
      <c r="X993" s="14">
        <f>IF($AP993="",IF($B993="","",$H993),IF(INDEX(職員マスタ!$B$6:$B$405,$AP993)="",$H993,INDEX(職員マスタ!$B$6:$B$405,$AP993)))</f>
        <v/>
      </c>
      <c r="Y993" s="14">
        <f>IF($AP993="",IF($B993="","",$R993),IF(INDEX(職員マスタ!$C$6:$C$405,$AP993)="",$R993,INDEX(職員マスタ!$C$6:$C$405,$AP993)))</f>
        <v/>
      </c>
      <c r="Z993" s="14">
        <f>IF($AQ993="","","R"&amp;$C993&amp;"."&amp;$D993)</f>
        <v/>
      </c>
      <c r="AA993" s="15">
        <f>IF(IF($AP993="",FALSE,INDEX(職員マスタ!$K$6:$K$405,$AP993)&lt;&gt;""),INDEX(職員マスタ!$K$6:$K$405,$AP993),IF(N($W993)&gt;0,$W993,""))</f>
        <v/>
      </c>
      <c r="AB993" s="14">
        <f>IF(OR($E993="",$AA993=""),"",IF($E993&gt;=$AA993,"×",IF($E993&gt;=$AA993*設定!$C$5,"△","○")))</f>
        <v/>
      </c>
      <c r="AC993" s="15">
        <f>IF($AB993="","",IF($AB993="×",0,IF($AB993="○",ROUNDDOWN($E993*設定!$C$4,0),ROUNDDOWN($E993*ROUND((9*$AA993-9*$E993)/(10*$E993),4),0))))</f>
        <v/>
      </c>
      <c r="AD993" s="13" t="n"/>
      <c r="AE993" s="15">
        <f>IF($B993="","",IF($AD993&lt;&gt;"",$AD993,IF($AC993="","",IF($AC993&lt;=設定!$C$3,0,$AC993))))</f>
        <v/>
      </c>
      <c r="AF993" s="14">
        <f>IF($B993="","",IF(AND($AG993&lt;&gt;"",$AI993="",$AL993=""),"保留中",IF($AL993&lt;&gt;"",IF(N($AE993)&gt;0,"支給済","不支給"),IF($AE993="","要確認",IF($AE993=0,"不支給","未処理")))))</f>
        <v/>
      </c>
      <c r="AG993" s="12" t="n"/>
      <c r="AH993" s="11" t="n"/>
      <c r="AI993" s="11" t="n"/>
      <c r="AJ993" s="11" t="n"/>
      <c r="AK993" s="14">
        <f>IF(AND($AF993="保留中",$AH993&lt;&gt;""),TODAY()-$AH993,"")</f>
        <v/>
      </c>
      <c r="AL993" s="12" t="n"/>
      <c r="AM993" s="14">
        <f>IF($B993="","",IF($AQ993="","対象年月が未入力／","")&amp;IF($B993="","",IF($AP993="","職員マスタに未登録の職員番号／",IF($AA993="","標準報酬月額が未登録／","")&amp;IF(AND($AQ993&lt;&gt;"",OR(AND(INDEX(職員マスタ!$G$6:$G$405,$AP993)&lt;&gt;"",INDEX(職員マスタ!$G$6:$G$405,$AP993)&gt;EOMONTH($AQ993,0)),AND(INDEX(職員マスタ!$H$6:$H$405,$AP993)&lt;&gt;"",INDEX(職員マスタ!$H$6:$H$405,$AP993)&lt;$AQ993))),"対象月が時短期間外／","")&amp;IF(AND(INDEX(職員マスタ!$K$6:$K$405,$AP993)&lt;&gt;"",N($W993)&gt;0,INDEX(職員マスタ!$K$6:$K$405,$AP993)&lt;&gt;$W993),"標準報酬月額が申請書と相違（台帳"&amp;TEXT(INDEX(職員マスタ!$K$6:$K$405,$AP993),"#,##0")&amp;"円／申請書"&amp;TEXT($W993,"#,##0")&amp;"円）／","")&amp;IF(AND(INDEX(職員マスタ!$F$6:$F$405,$AP993)&lt;&gt;"",$AQ993&lt;&gt;"",INDEX(職員マスタ!$F$6:$F$405,$AP993)&lt;$AQ993),"対象月に子が2歳到達済／","")&amp;IF(AND($H993&lt;&gt;"",INDEX(職員マスタ!$B$6:$B$405,$AP993)&lt;&gt;"",SUBSTITUTE(SUBSTITUTE($H993," ","")," ","")&lt;&gt;SUBSTITUTE(SUBSTITUTE(INDEX(職員マスタ!$B$6:$B$405,$AP993)," ","")," ","")),"氏名がマスタと相違／","")&amp;IF(AND($Q993&lt;&gt;"",INDEX(職員マスタ!$E$6:$E$405,$AP993)&lt;&gt;"",$Q993&lt;&gt;INDEX(職員マスタ!$E$6:$E$405,$AP993)),"子の生年月日がマスタと相違／","")&amp;IF(AND($L993&lt;&gt;"",INDEX(職員マスタ!$G$6:$G$405,$AP993)&lt;&gt;"",$L993&lt;&gt;INDEX(職員マスタ!$G$6:$G$405,$AP993)),"時短開始日がマスタと相違／","")&amp;IF(AND($M993&lt;&gt;"",INDEX(職員マスタ!$H$6:$H$405,$AP993)&lt;&gt;"",$M993&lt;&gt;INDEX(職員マスタ!$H$6:$H$405,$AP993)),"時短終了日がマスタと相違／","")))&amp;IF(AND($B993&lt;&gt;"",$E993=""),"報酬額が未入力／","")&amp;IF(N($U993)&gt;0,"申請書に入力エラーが残っています／","")&amp;IF(AND($B993&lt;&gt;"",$AQ993&lt;&gt;""),IF(COUNTIFS($B$6:$B$3005,$B993,$C$6:$C$3005,$C993,$D$6:$D$3005,$D993)&gt;1,"同じ月の請求が重複しています／",""),"")&amp;IF(AND(N($E993)&gt;0,$AB993&lt;&gt;"",$AB993&lt;&gt;"×",$AE993=0,$AD993=""),"計算額が下限以下のため不支給／",""))</f>
        <v/>
      </c>
      <c r="AN993" s="12" t="n"/>
      <c r="AO993" s="14">
        <f>IF($AF993="保留中",COUNTIF($AF$6:$AF993,"保留中"),"")</f>
        <v/>
      </c>
      <c r="AP993" s="14">
        <f>IF($AQ993="","",IF(SUMPRODUCT(MAX((職員マスタ!$A$6:$A$405=$B993)*(((職員マスタ!$G$6:$G$405="")+(職員マスタ!$G$6:$G$405&lt;=EOMONTH($AQ993,0)))&gt;0)*(((職員マスタ!$H$6:$H$405="")+(職員マスタ!$H$6:$H$405&gt;=$AQ993))&gt;0)*(ROW(職員マスタ!$A$6:$A$405)-5)))&gt;0,SUMPRODUCT(MAX((職員マスタ!$A$6:$A$405=$B993)*(((職員マスタ!$G$6:$G$405="")+(職員マスタ!$G$6:$G$405&lt;=EOMONTH($AQ993,0)))&gt;0)*(((職員マスタ!$H$6:$H$405="")+(職員マスタ!$H$6:$H$405&gt;=$AQ993))&gt;0)*(ROW(職員マスタ!$A$6:$A$405)-5))),IFERROR(MATCH($B993,職員マスタ!$A$6:$A$405,0),"")))</f>
        <v/>
      </c>
      <c r="AQ993" s="16">
        <f>IF(OR($B993="",$C993="",$D993=""),"",DATE($C993+2018,$D993,1))</f>
        <v/>
      </c>
    </row>
    <row r="994">
      <c r="A994" s="11" t="n"/>
      <c r="B994" s="12" t="n"/>
      <c r="C994" s="12" t="n"/>
      <c r="D994" s="12" t="n"/>
      <c r="E994" s="13" t="n"/>
      <c r="F994" s="12" t="n"/>
      <c r="G994" s="13" t="n"/>
      <c r="H994" s="12" t="n"/>
      <c r="I994" s="12" t="n"/>
      <c r="J994" s="12" t="n"/>
      <c r="K994" s="12" t="n"/>
      <c r="L994" s="11" t="n"/>
      <c r="M994" s="11" t="n"/>
      <c r="N994" s="11" t="n"/>
      <c r="O994" s="11" t="n"/>
      <c r="P994" s="12" t="n"/>
      <c r="Q994" s="11" t="n"/>
      <c r="R994" s="12" t="n"/>
      <c r="S994" s="11" t="n"/>
      <c r="T994" s="12" t="n"/>
      <c r="U994" s="12" t="n"/>
      <c r="V994" s="12" t="n"/>
      <c r="W994" s="13" t="n"/>
      <c r="X994" s="14">
        <f>IF($AP994="",IF($B994="","",$H994),IF(INDEX(職員マスタ!$B$6:$B$405,$AP994)="",$H994,INDEX(職員マスタ!$B$6:$B$405,$AP994)))</f>
        <v/>
      </c>
      <c r="Y994" s="14">
        <f>IF($AP994="",IF($B994="","",$R994),IF(INDEX(職員マスタ!$C$6:$C$405,$AP994)="",$R994,INDEX(職員マスタ!$C$6:$C$405,$AP994)))</f>
        <v/>
      </c>
      <c r="Z994" s="14">
        <f>IF($AQ994="","","R"&amp;$C994&amp;"."&amp;$D994)</f>
        <v/>
      </c>
      <c r="AA994" s="15">
        <f>IF(IF($AP994="",FALSE,INDEX(職員マスタ!$K$6:$K$405,$AP994)&lt;&gt;""),INDEX(職員マスタ!$K$6:$K$405,$AP994),IF(N($W994)&gt;0,$W994,""))</f>
        <v/>
      </c>
      <c r="AB994" s="14">
        <f>IF(OR($E994="",$AA994=""),"",IF($E994&gt;=$AA994,"×",IF($E994&gt;=$AA994*設定!$C$5,"△","○")))</f>
        <v/>
      </c>
      <c r="AC994" s="15">
        <f>IF($AB994="","",IF($AB994="×",0,IF($AB994="○",ROUNDDOWN($E994*設定!$C$4,0),ROUNDDOWN($E994*ROUND((9*$AA994-9*$E994)/(10*$E994),4),0))))</f>
        <v/>
      </c>
      <c r="AD994" s="13" t="n"/>
      <c r="AE994" s="15">
        <f>IF($B994="","",IF($AD994&lt;&gt;"",$AD994,IF($AC994="","",IF($AC994&lt;=設定!$C$3,0,$AC994))))</f>
        <v/>
      </c>
      <c r="AF994" s="14">
        <f>IF($B994="","",IF(AND($AG994&lt;&gt;"",$AI994="",$AL994=""),"保留中",IF($AL994&lt;&gt;"",IF(N($AE994)&gt;0,"支給済","不支給"),IF($AE994="","要確認",IF($AE994=0,"不支給","未処理")))))</f>
        <v/>
      </c>
      <c r="AG994" s="12" t="n"/>
      <c r="AH994" s="11" t="n"/>
      <c r="AI994" s="11" t="n"/>
      <c r="AJ994" s="11" t="n"/>
      <c r="AK994" s="14">
        <f>IF(AND($AF994="保留中",$AH994&lt;&gt;""),TODAY()-$AH994,"")</f>
        <v/>
      </c>
      <c r="AL994" s="12" t="n"/>
      <c r="AM994" s="14">
        <f>IF($B994="","",IF($AQ994="","対象年月が未入力／","")&amp;IF($B994="","",IF($AP994="","職員マスタに未登録の職員番号／",IF($AA994="","標準報酬月額が未登録／","")&amp;IF(AND($AQ994&lt;&gt;"",OR(AND(INDEX(職員マスタ!$G$6:$G$405,$AP994)&lt;&gt;"",INDEX(職員マスタ!$G$6:$G$405,$AP994)&gt;EOMONTH($AQ994,0)),AND(INDEX(職員マスタ!$H$6:$H$405,$AP994)&lt;&gt;"",INDEX(職員マスタ!$H$6:$H$405,$AP994)&lt;$AQ994))),"対象月が時短期間外／","")&amp;IF(AND(INDEX(職員マスタ!$K$6:$K$405,$AP994)&lt;&gt;"",N($W994)&gt;0,INDEX(職員マスタ!$K$6:$K$405,$AP994)&lt;&gt;$W994),"標準報酬月額が申請書と相違（台帳"&amp;TEXT(INDEX(職員マスタ!$K$6:$K$405,$AP994),"#,##0")&amp;"円／申請書"&amp;TEXT($W994,"#,##0")&amp;"円）／","")&amp;IF(AND(INDEX(職員マスタ!$F$6:$F$405,$AP994)&lt;&gt;"",$AQ994&lt;&gt;"",INDEX(職員マスタ!$F$6:$F$405,$AP994)&lt;$AQ994),"対象月に子が2歳到達済／","")&amp;IF(AND($H994&lt;&gt;"",INDEX(職員マスタ!$B$6:$B$405,$AP994)&lt;&gt;"",SUBSTITUTE(SUBSTITUTE($H994," ","")," ","")&lt;&gt;SUBSTITUTE(SUBSTITUTE(INDEX(職員マスタ!$B$6:$B$405,$AP994)," ","")," ","")),"氏名がマスタと相違／","")&amp;IF(AND($Q994&lt;&gt;"",INDEX(職員マスタ!$E$6:$E$405,$AP994)&lt;&gt;"",$Q994&lt;&gt;INDEX(職員マスタ!$E$6:$E$405,$AP994)),"子の生年月日がマスタと相違／","")&amp;IF(AND($L994&lt;&gt;"",INDEX(職員マスタ!$G$6:$G$405,$AP994)&lt;&gt;"",$L994&lt;&gt;INDEX(職員マスタ!$G$6:$G$405,$AP994)),"時短開始日がマスタと相違／","")&amp;IF(AND($M994&lt;&gt;"",INDEX(職員マスタ!$H$6:$H$405,$AP994)&lt;&gt;"",$M994&lt;&gt;INDEX(職員マスタ!$H$6:$H$405,$AP994)),"時短終了日がマスタと相違／","")))&amp;IF(AND($B994&lt;&gt;"",$E994=""),"報酬額が未入力／","")&amp;IF(N($U994)&gt;0,"申請書に入力エラーが残っています／","")&amp;IF(AND($B994&lt;&gt;"",$AQ994&lt;&gt;""),IF(COUNTIFS($B$6:$B$3005,$B994,$C$6:$C$3005,$C994,$D$6:$D$3005,$D994)&gt;1,"同じ月の請求が重複しています／",""),"")&amp;IF(AND(N($E994)&gt;0,$AB994&lt;&gt;"",$AB994&lt;&gt;"×",$AE994=0,$AD994=""),"計算額が下限以下のため不支給／",""))</f>
        <v/>
      </c>
      <c r="AN994" s="12" t="n"/>
      <c r="AO994" s="14">
        <f>IF($AF994="保留中",COUNTIF($AF$6:$AF994,"保留中"),"")</f>
        <v/>
      </c>
      <c r="AP994" s="14">
        <f>IF($AQ994="","",IF(SUMPRODUCT(MAX((職員マスタ!$A$6:$A$405=$B994)*(((職員マスタ!$G$6:$G$405="")+(職員マスタ!$G$6:$G$405&lt;=EOMONTH($AQ994,0)))&gt;0)*(((職員マスタ!$H$6:$H$405="")+(職員マスタ!$H$6:$H$405&gt;=$AQ994))&gt;0)*(ROW(職員マスタ!$A$6:$A$405)-5)))&gt;0,SUMPRODUCT(MAX((職員マスタ!$A$6:$A$405=$B994)*(((職員マスタ!$G$6:$G$405="")+(職員マスタ!$G$6:$G$405&lt;=EOMONTH($AQ994,0)))&gt;0)*(((職員マスタ!$H$6:$H$405="")+(職員マスタ!$H$6:$H$405&gt;=$AQ994))&gt;0)*(ROW(職員マスタ!$A$6:$A$405)-5))),IFERROR(MATCH($B994,職員マスタ!$A$6:$A$405,0),"")))</f>
        <v/>
      </c>
      <c r="AQ994" s="16">
        <f>IF(OR($B994="",$C994="",$D994=""),"",DATE($C994+2018,$D994,1))</f>
        <v/>
      </c>
    </row>
    <row r="995">
      <c r="A995" s="11" t="n"/>
      <c r="B995" s="12" t="n"/>
      <c r="C995" s="12" t="n"/>
      <c r="D995" s="12" t="n"/>
      <c r="E995" s="13" t="n"/>
      <c r="F995" s="12" t="n"/>
      <c r="G995" s="13" t="n"/>
      <c r="H995" s="12" t="n"/>
      <c r="I995" s="12" t="n"/>
      <c r="J995" s="12" t="n"/>
      <c r="K995" s="12" t="n"/>
      <c r="L995" s="11" t="n"/>
      <c r="M995" s="11" t="n"/>
      <c r="N995" s="11" t="n"/>
      <c r="O995" s="11" t="n"/>
      <c r="P995" s="12" t="n"/>
      <c r="Q995" s="11" t="n"/>
      <c r="R995" s="12" t="n"/>
      <c r="S995" s="11" t="n"/>
      <c r="T995" s="12" t="n"/>
      <c r="U995" s="12" t="n"/>
      <c r="V995" s="12" t="n"/>
      <c r="W995" s="13" t="n"/>
      <c r="X995" s="14">
        <f>IF($AP995="",IF($B995="","",$H995),IF(INDEX(職員マスタ!$B$6:$B$405,$AP995)="",$H995,INDEX(職員マスタ!$B$6:$B$405,$AP995)))</f>
        <v/>
      </c>
      <c r="Y995" s="14">
        <f>IF($AP995="",IF($B995="","",$R995),IF(INDEX(職員マスタ!$C$6:$C$405,$AP995)="",$R995,INDEX(職員マスタ!$C$6:$C$405,$AP995)))</f>
        <v/>
      </c>
      <c r="Z995" s="14">
        <f>IF($AQ995="","","R"&amp;$C995&amp;"."&amp;$D995)</f>
        <v/>
      </c>
      <c r="AA995" s="15">
        <f>IF(IF($AP995="",FALSE,INDEX(職員マスタ!$K$6:$K$405,$AP995)&lt;&gt;""),INDEX(職員マスタ!$K$6:$K$405,$AP995),IF(N($W995)&gt;0,$W995,""))</f>
        <v/>
      </c>
      <c r="AB995" s="14">
        <f>IF(OR($E995="",$AA995=""),"",IF($E995&gt;=$AA995,"×",IF($E995&gt;=$AA995*設定!$C$5,"△","○")))</f>
        <v/>
      </c>
      <c r="AC995" s="15">
        <f>IF($AB995="","",IF($AB995="×",0,IF($AB995="○",ROUNDDOWN($E995*設定!$C$4,0),ROUNDDOWN($E995*ROUND((9*$AA995-9*$E995)/(10*$E995),4),0))))</f>
        <v/>
      </c>
      <c r="AD995" s="13" t="n"/>
      <c r="AE995" s="15">
        <f>IF($B995="","",IF($AD995&lt;&gt;"",$AD995,IF($AC995="","",IF($AC995&lt;=設定!$C$3,0,$AC995))))</f>
        <v/>
      </c>
      <c r="AF995" s="14">
        <f>IF($B995="","",IF(AND($AG995&lt;&gt;"",$AI995="",$AL995=""),"保留中",IF($AL995&lt;&gt;"",IF(N($AE995)&gt;0,"支給済","不支給"),IF($AE995="","要確認",IF($AE995=0,"不支給","未処理")))))</f>
        <v/>
      </c>
      <c r="AG995" s="12" t="n"/>
      <c r="AH995" s="11" t="n"/>
      <c r="AI995" s="11" t="n"/>
      <c r="AJ995" s="11" t="n"/>
      <c r="AK995" s="14">
        <f>IF(AND($AF995="保留中",$AH995&lt;&gt;""),TODAY()-$AH995,"")</f>
        <v/>
      </c>
      <c r="AL995" s="12" t="n"/>
      <c r="AM995" s="14">
        <f>IF($B995="","",IF($AQ995="","対象年月が未入力／","")&amp;IF($B995="","",IF($AP995="","職員マスタに未登録の職員番号／",IF($AA995="","標準報酬月額が未登録／","")&amp;IF(AND($AQ995&lt;&gt;"",OR(AND(INDEX(職員マスタ!$G$6:$G$405,$AP995)&lt;&gt;"",INDEX(職員マスタ!$G$6:$G$405,$AP995)&gt;EOMONTH($AQ995,0)),AND(INDEX(職員マスタ!$H$6:$H$405,$AP995)&lt;&gt;"",INDEX(職員マスタ!$H$6:$H$405,$AP995)&lt;$AQ995))),"対象月が時短期間外／","")&amp;IF(AND(INDEX(職員マスタ!$K$6:$K$405,$AP995)&lt;&gt;"",N($W995)&gt;0,INDEX(職員マスタ!$K$6:$K$405,$AP995)&lt;&gt;$W995),"標準報酬月額が申請書と相違（台帳"&amp;TEXT(INDEX(職員マスタ!$K$6:$K$405,$AP995),"#,##0")&amp;"円／申請書"&amp;TEXT($W995,"#,##0")&amp;"円）／","")&amp;IF(AND(INDEX(職員マスタ!$F$6:$F$405,$AP995)&lt;&gt;"",$AQ995&lt;&gt;"",INDEX(職員マスタ!$F$6:$F$405,$AP995)&lt;$AQ995),"対象月に子が2歳到達済／","")&amp;IF(AND($H995&lt;&gt;"",INDEX(職員マスタ!$B$6:$B$405,$AP995)&lt;&gt;"",SUBSTITUTE(SUBSTITUTE($H995," ","")," ","")&lt;&gt;SUBSTITUTE(SUBSTITUTE(INDEX(職員マスタ!$B$6:$B$405,$AP995)," ","")," ","")),"氏名がマスタと相違／","")&amp;IF(AND($Q995&lt;&gt;"",INDEX(職員マスタ!$E$6:$E$405,$AP995)&lt;&gt;"",$Q995&lt;&gt;INDEX(職員マスタ!$E$6:$E$405,$AP995)),"子の生年月日がマスタと相違／","")&amp;IF(AND($L995&lt;&gt;"",INDEX(職員マスタ!$G$6:$G$405,$AP995)&lt;&gt;"",$L995&lt;&gt;INDEX(職員マスタ!$G$6:$G$405,$AP995)),"時短開始日がマスタと相違／","")&amp;IF(AND($M995&lt;&gt;"",INDEX(職員マスタ!$H$6:$H$405,$AP995)&lt;&gt;"",$M995&lt;&gt;INDEX(職員マスタ!$H$6:$H$405,$AP995)),"時短終了日がマスタと相違／","")))&amp;IF(AND($B995&lt;&gt;"",$E995=""),"報酬額が未入力／","")&amp;IF(N($U995)&gt;0,"申請書に入力エラーが残っています／","")&amp;IF(AND($B995&lt;&gt;"",$AQ995&lt;&gt;""),IF(COUNTIFS($B$6:$B$3005,$B995,$C$6:$C$3005,$C995,$D$6:$D$3005,$D995)&gt;1,"同じ月の請求が重複しています／",""),"")&amp;IF(AND(N($E995)&gt;0,$AB995&lt;&gt;"",$AB995&lt;&gt;"×",$AE995=0,$AD995=""),"計算額が下限以下のため不支給／",""))</f>
        <v/>
      </c>
      <c r="AN995" s="12" t="n"/>
      <c r="AO995" s="14">
        <f>IF($AF995="保留中",COUNTIF($AF$6:$AF995,"保留中"),"")</f>
        <v/>
      </c>
      <c r="AP995" s="14">
        <f>IF($AQ995="","",IF(SUMPRODUCT(MAX((職員マスタ!$A$6:$A$405=$B995)*(((職員マスタ!$G$6:$G$405="")+(職員マスタ!$G$6:$G$405&lt;=EOMONTH($AQ995,0)))&gt;0)*(((職員マスタ!$H$6:$H$405="")+(職員マスタ!$H$6:$H$405&gt;=$AQ995))&gt;0)*(ROW(職員マスタ!$A$6:$A$405)-5)))&gt;0,SUMPRODUCT(MAX((職員マスタ!$A$6:$A$405=$B995)*(((職員マスタ!$G$6:$G$405="")+(職員マスタ!$G$6:$G$405&lt;=EOMONTH($AQ995,0)))&gt;0)*(((職員マスタ!$H$6:$H$405="")+(職員マスタ!$H$6:$H$405&gt;=$AQ995))&gt;0)*(ROW(職員マスタ!$A$6:$A$405)-5))),IFERROR(MATCH($B995,職員マスタ!$A$6:$A$405,0),"")))</f>
        <v/>
      </c>
      <c r="AQ995" s="16">
        <f>IF(OR($B995="",$C995="",$D995=""),"",DATE($C995+2018,$D995,1))</f>
        <v/>
      </c>
    </row>
    <row r="996">
      <c r="A996" s="11" t="n"/>
      <c r="B996" s="12" t="n"/>
      <c r="C996" s="12" t="n"/>
      <c r="D996" s="12" t="n"/>
      <c r="E996" s="13" t="n"/>
      <c r="F996" s="12" t="n"/>
      <c r="G996" s="13" t="n"/>
      <c r="H996" s="12" t="n"/>
      <c r="I996" s="12" t="n"/>
      <c r="J996" s="12" t="n"/>
      <c r="K996" s="12" t="n"/>
      <c r="L996" s="11" t="n"/>
      <c r="M996" s="11" t="n"/>
      <c r="N996" s="11" t="n"/>
      <c r="O996" s="11" t="n"/>
      <c r="P996" s="12" t="n"/>
      <c r="Q996" s="11" t="n"/>
      <c r="R996" s="12" t="n"/>
      <c r="S996" s="11" t="n"/>
      <c r="T996" s="12" t="n"/>
      <c r="U996" s="12" t="n"/>
      <c r="V996" s="12" t="n"/>
      <c r="W996" s="13" t="n"/>
      <c r="X996" s="14">
        <f>IF($AP996="",IF($B996="","",$H996),IF(INDEX(職員マスタ!$B$6:$B$405,$AP996)="",$H996,INDEX(職員マスタ!$B$6:$B$405,$AP996)))</f>
        <v/>
      </c>
      <c r="Y996" s="14">
        <f>IF($AP996="",IF($B996="","",$R996),IF(INDEX(職員マスタ!$C$6:$C$405,$AP996)="",$R996,INDEX(職員マスタ!$C$6:$C$405,$AP996)))</f>
        <v/>
      </c>
      <c r="Z996" s="14">
        <f>IF($AQ996="","","R"&amp;$C996&amp;"."&amp;$D996)</f>
        <v/>
      </c>
      <c r="AA996" s="15">
        <f>IF(IF($AP996="",FALSE,INDEX(職員マスタ!$K$6:$K$405,$AP996)&lt;&gt;""),INDEX(職員マスタ!$K$6:$K$405,$AP996),IF(N($W996)&gt;0,$W996,""))</f>
        <v/>
      </c>
      <c r="AB996" s="14">
        <f>IF(OR($E996="",$AA996=""),"",IF($E996&gt;=$AA996,"×",IF($E996&gt;=$AA996*設定!$C$5,"△","○")))</f>
        <v/>
      </c>
      <c r="AC996" s="15">
        <f>IF($AB996="","",IF($AB996="×",0,IF($AB996="○",ROUNDDOWN($E996*設定!$C$4,0),ROUNDDOWN($E996*ROUND((9*$AA996-9*$E996)/(10*$E996),4),0))))</f>
        <v/>
      </c>
      <c r="AD996" s="13" t="n"/>
      <c r="AE996" s="15">
        <f>IF($B996="","",IF($AD996&lt;&gt;"",$AD996,IF($AC996="","",IF($AC996&lt;=設定!$C$3,0,$AC996))))</f>
        <v/>
      </c>
      <c r="AF996" s="14">
        <f>IF($B996="","",IF(AND($AG996&lt;&gt;"",$AI996="",$AL996=""),"保留中",IF($AL996&lt;&gt;"",IF(N($AE996)&gt;0,"支給済","不支給"),IF($AE996="","要確認",IF($AE996=0,"不支給","未処理")))))</f>
        <v/>
      </c>
      <c r="AG996" s="12" t="n"/>
      <c r="AH996" s="11" t="n"/>
      <c r="AI996" s="11" t="n"/>
      <c r="AJ996" s="11" t="n"/>
      <c r="AK996" s="14">
        <f>IF(AND($AF996="保留中",$AH996&lt;&gt;""),TODAY()-$AH996,"")</f>
        <v/>
      </c>
      <c r="AL996" s="12" t="n"/>
      <c r="AM996" s="14">
        <f>IF($B996="","",IF($AQ996="","対象年月が未入力／","")&amp;IF($B996="","",IF($AP996="","職員マスタに未登録の職員番号／",IF($AA996="","標準報酬月額が未登録／","")&amp;IF(AND($AQ996&lt;&gt;"",OR(AND(INDEX(職員マスタ!$G$6:$G$405,$AP996)&lt;&gt;"",INDEX(職員マスタ!$G$6:$G$405,$AP996)&gt;EOMONTH($AQ996,0)),AND(INDEX(職員マスタ!$H$6:$H$405,$AP996)&lt;&gt;"",INDEX(職員マスタ!$H$6:$H$405,$AP996)&lt;$AQ996))),"対象月が時短期間外／","")&amp;IF(AND(INDEX(職員マスタ!$K$6:$K$405,$AP996)&lt;&gt;"",N($W996)&gt;0,INDEX(職員マスタ!$K$6:$K$405,$AP996)&lt;&gt;$W996),"標準報酬月額が申請書と相違（台帳"&amp;TEXT(INDEX(職員マスタ!$K$6:$K$405,$AP996),"#,##0")&amp;"円／申請書"&amp;TEXT($W996,"#,##0")&amp;"円）／","")&amp;IF(AND(INDEX(職員マスタ!$F$6:$F$405,$AP996)&lt;&gt;"",$AQ996&lt;&gt;"",INDEX(職員マスタ!$F$6:$F$405,$AP996)&lt;$AQ996),"対象月に子が2歳到達済／","")&amp;IF(AND($H996&lt;&gt;"",INDEX(職員マスタ!$B$6:$B$405,$AP996)&lt;&gt;"",SUBSTITUTE(SUBSTITUTE($H996," ","")," ","")&lt;&gt;SUBSTITUTE(SUBSTITUTE(INDEX(職員マスタ!$B$6:$B$405,$AP996)," ","")," ","")),"氏名がマスタと相違／","")&amp;IF(AND($Q996&lt;&gt;"",INDEX(職員マスタ!$E$6:$E$405,$AP996)&lt;&gt;"",$Q996&lt;&gt;INDEX(職員マスタ!$E$6:$E$405,$AP996)),"子の生年月日がマスタと相違／","")&amp;IF(AND($L996&lt;&gt;"",INDEX(職員マスタ!$G$6:$G$405,$AP996)&lt;&gt;"",$L996&lt;&gt;INDEX(職員マスタ!$G$6:$G$405,$AP996)),"時短開始日がマスタと相違／","")&amp;IF(AND($M996&lt;&gt;"",INDEX(職員マスタ!$H$6:$H$405,$AP996)&lt;&gt;"",$M996&lt;&gt;INDEX(職員マスタ!$H$6:$H$405,$AP996)),"時短終了日がマスタと相違／","")))&amp;IF(AND($B996&lt;&gt;"",$E996=""),"報酬額が未入力／","")&amp;IF(N($U996)&gt;0,"申請書に入力エラーが残っています／","")&amp;IF(AND($B996&lt;&gt;"",$AQ996&lt;&gt;""),IF(COUNTIFS($B$6:$B$3005,$B996,$C$6:$C$3005,$C996,$D$6:$D$3005,$D996)&gt;1,"同じ月の請求が重複しています／",""),"")&amp;IF(AND(N($E996)&gt;0,$AB996&lt;&gt;"",$AB996&lt;&gt;"×",$AE996=0,$AD996=""),"計算額が下限以下のため不支給／",""))</f>
        <v/>
      </c>
      <c r="AN996" s="12" t="n"/>
      <c r="AO996" s="14">
        <f>IF($AF996="保留中",COUNTIF($AF$6:$AF996,"保留中"),"")</f>
        <v/>
      </c>
      <c r="AP996" s="14">
        <f>IF($AQ996="","",IF(SUMPRODUCT(MAX((職員マスタ!$A$6:$A$405=$B996)*(((職員マスタ!$G$6:$G$405="")+(職員マスタ!$G$6:$G$405&lt;=EOMONTH($AQ996,0)))&gt;0)*(((職員マスタ!$H$6:$H$405="")+(職員マスタ!$H$6:$H$405&gt;=$AQ996))&gt;0)*(ROW(職員マスタ!$A$6:$A$405)-5)))&gt;0,SUMPRODUCT(MAX((職員マスタ!$A$6:$A$405=$B996)*(((職員マスタ!$G$6:$G$405="")+(職員マスタ!$G$6:$G$405&lt;=EOMONTH($AQ996,0)))&gt;0)*(((職員マスタ!$H$6:$H$405="")+(職員マスタ!$H$6:$H$405&gt;=$AQ996))&gt;0)*(ROW(職員マスタ!$A$6:$A$405)-5))),IFERROR(MATCH($B996,職員マスタ!$A$6:$A$405,0),"")))</f>
        <v/>
      </c>
      <c r="AQ996" s="16">
        <f>IF(OR($B996="",$C996="",$D996=""),"",DATE($C996+2018,$D996,1))</f>
        <v/>
      </c>
    </row>
    <row r="997">
      <c r="A997" s="11" t="n"/>
      <c r="B997" s="12" t="n"/>
      <c r="C997" s="12" t="n"/>
      <c r="D997" s="12" t="n"/>
      <c r="E997" s="13" t="n"/>
      <c r="F997" s="12" t="n"/>
      <c r="G997" s="13" t="n"/>
      <c r="H997" s="12" t="n"/>
      <c r="I997" s="12" t="n"/>
      <c r="J997" s="12" t="n"/>
      <c r="K997" s="12" t="n"/>
      <c r="L997" s="11" t="n"/>
      <c r="M997" s="11" t="n"/>
      <c r="N997" s="11" t="n"/>
      <c r="O997" s="11" t="n"/>
      <c r="P997" s="12" t="n"/>
      <c r="Q997" s="11" t="n"/>
      <c r="R997" s="12" t="n"/>
      <c r="S997" s="11" t="n"/>
      <c r="T997" s="12" t="n"/>
      <c r="U997" s="12" t="n"/>
      <c r="V997" s="12" t="n"/>
      <c r="W997" s="13" t="n"/>
      <c r="X997" s="14">
        <f>IF($AP997="",IF($B997="","",$H997),IF(INDEX(職員マスタ!$B$6:$B$405,$AP997)="",$H997,INDEX(職員マスタ!$B$6:$B$405,$AP997)))</f>
        <v/>
      </c>
      <c r="Y997" s="14">
        <f>IF($AP997="",IF($B997="","",$R997),IF(INDEX(職員マスタ!$C$6:$C$405,$AP997)="",$R997,INDEX(職員マスタ!$C$6:$C$405,$AP997)))</f>
        <v/>
      </c>
      <c r="Z997" s="14">
        <f>IF($AQ997="","","R"&amp;$C997&amp;"."&amp;$D997)</f>
        <v/>
      </c>
      <c r="AA997" s="15">
        <f>IF(IF($AP997="",FALSE,INDEX(職員マスタ!$K$6:$K$405,$AP997)&lt;&gt;""),INDEX(職員マスタ!$K$6:$K$405,$AP997),IF(N($W997)&gt;0,$W997,""))</f>
        <v/>
      </c>
      <c r="AB997" s="14">
        <f>IF(OR($E997="",$AA997=""),"",IF($E997&gt;=$AA997,"×",IF($E997&gt;=$AA997*設定!$C$5,"△","○")))</f>
        <v/>
      </c>
      <c r="AC997" s="15">
        <f>IF($AB997="","",IF($AB997="×",0,IF($AB997="○",ROUNDDOWN($E997*設定!$C$4,0),ROUNDDOWN($E997*ROUND((9*$AA997-9*$E997)/(10*$E997),4),0))))</f>
        <v/>
      </c>
      <c r="AD997" s="13" t="n"/>
      <c r="AE997" s="15">
        <f>IF($B997="","",IF($AD997&lt;&gt;"",$AD997,IF($AC997="","",IF($AC997&lt;=設定!$C$3,0,$AC997))))</f>
        <v/>
      </c>
      <c r="AF997" s="14">
        <f>IF($B997="","",IF(AND($AG997&lt;&gt;"",$AI997="",$AL997=""),"保留中",IF($AL997&lt;&gt;"",IF(N($AE997)&gt;0,"支給済","不支給"),IF($AE997="","要確認",IF($AE997=0,"不支給","未処理")))))</f>
        <v/>
      </c>
      <c r="AG997" s="12" t="n"/>
      <c r="AH997" s="11" t="n"/>
      <c r="AI997" s="11" t="n"/>
      <c r="AJ997" s="11" t="n"/>
      <c r="AK997" s="14">
        <f>IF(AND($AF997="保留中",$AH997&lt;&gt;""),TODAY()-$AH997,"")</f>
        <v/>
      </c>
      <c r="AL997" s="12" t="n"/>
      <c r="AM997" s="14">
        <f>IF($B997="","",IF($AQ997="","対象年月が未入力／","")&amp;IF($B997="","",IF($AP997="","職員マスタに未登録の職員番号／",IF($AA997="","標準報酬月額が未登録／","")&amp;IF(AND($AQ997&lt;&gt;"",OR(AND(INDEX(職員マスタ!$G$6:$G$405,$AP997)&lt;&gt;"",INDEX(職員マスタ!$G$6:$G$405,$AP997)&gt;EOMONTH($AQ997,0)),AND(INDEX(職員マスタ!$H$6:$H$405,$AP997)&lt;&gt;"",INDEX(職員マスタ!$H$6:$H$405,$AP997)&lt;$AQ997))),"対象月が時短期間外／","")&amp;IF(AND(INDEX(職員マスタ!$K$6:$K$405,$AP997)&lt;&gt;"",N($W997)&gt;0,INDEX(職員マスタ!$K$6:$K$405,$AP997)&lt;&gt;$W997),"標準報酬月額が申請書と相違（台帳"&amp;TEXT(INDEX(職員マスタ!$K$6:$K$405,$AP997),"#,##0")&amp;"円／申請書"&amp;TEXT($W997,"#,##0")&amp;"円）／","")&amp;IF(AND(INDEX(職員マスタ!$F$6:$F$405,$AP997)&lt;&gt;"",$AQ997&lt;&gt;"",INDEX(職員マスタ!$F$6:$F$405,$AP997)&lt;$AQ997),"対象月に子が2歳到達済／","")&amp;IF(AND($H997&lt;&gt;"",INDEX(職員マスタ!$B$6:$B$405,$AP997)&lt;&gt;"",SUBSTITUTE(SUBSTITUTE($H997," ","")," ","")&lt;&gt;SUBSTITUTE(SUBSTITUTE(INDEX(職員マスタ!$B$6:$B$405,$AP997)," ","")," ","")),"氏名がマスタと相違／","")&amp;IF(AND($Q997&lt;&gt;"",INDEX(職員マスタ!$E$6:$E$405,$AP997)&lt;&gt;"",$Q997&lt;&gt;INDEX(職員マスタ!$E$6:$E$405,$AP997)),"子の生年月日がマスタと相違／","")&amp;IF(AND($L997&lt;&gt;"",INDEX(職員マスタ!$G$6:$G$405,$AP997)&lt;&gt;"",$L997&lt;&gt;INDEX(職員マスタ!$G$6:$G$405,$AP997)),"時短開始日がマスタと相違／","")&amp;IF(AND($M997&lt;&gt;"",INDEX(職員マスタ!$H$6:$H$405,$AP997)&lt;&gt;"",$M997&lt;&gt;INDEX(職員マスタ!$H$6:$H$405,$AP997)),"時短終了日がマスタと相違／","")))&amp;IF(AND($B997&lt;&gt;"",$E997=""),"報酬額が未入力／","")&amp;IF(N($U997)&gt;0,"申請書に入力エラーが残っています／","")&amp;IF(AND($B997&lt;&gt;"",$AQ997&lt;&gt;""),IF(COUNTIFS($B$6:$B$3005,$B997,$C$6:$C$3005,$C997,$D$6:$D$3005,$D997)&gt;1,"同じ月の請求が重複しています／",""),"")&amp;IF(AND(N($E997)&gt;0,$AB997&lt;&gt;"",$AB997&lt;&gt;"×",$AE997=0,$AD997=""),"計算額が下限以下のため不支給／",""))</f>
        <v/>
      </c>
      <c r="AN997" s="12" t="n"/>
      <c r="AO997" s="14">
        <f>IF($AF997="保留中",COUNTIF($AF$6:$AF997,"保留中"),"")</f>
        <v/>
      </c>
      <c r="AP997" s="14">
        <f>IF($AQ997="","",IF(SUMPRODUCT(MAX((職員マスタ!$A$6:$A$405=$B997)*(((職員マスタ!$G$6:$G$405="")+(職員マスタ!$G$6:$G$405&lt;=EOMONTH($AQ997,0)))&gt;0)*(((職員マスタ!$H$6:$H$405="")+(職員マスタ!$H$6:$H$405&gt;=$AQ997))&gt;0)*(ROW(職員マスタ!$A$6:$A$405)-5)))&gt;0,SUMPRODUCT(MAX((職員マスタ!$A$6:$A$405=$B997)*(((職員マスタ!$G$6:$G$405="")+(職員マスタ!$G$6:$G$405&lt;=EOMONTH($AQ997,0)))&gt;0)*(((職員マスタ!$H$6:$H$405="")+(職員マスタ!$H$6:$H$405&gt;=$AQ997))&gt;0)*(ROW(職員マスタ!$A$6:$A$405)-5))),IFERROR(MATCH($B997,職員マスタ!$A$6:$A$405,0),"")))</f>
        <v/>
      </c>
      <c r="AQ997" s="16">
        <f>IF(OR($B997="",$C997="",$D997=""),"",DATE($C997+2018,$D997,1))</f>
        <v/>
      </c>
    </row>
    <row r="998">
      <c r="A998" s="11" t="n"/>
      <c r="B998" s="12" t="n"/>
      <c r="C998" s="12" t="n"/>
      <c r="D998" s="12" t="n"/>
      <c r="E998" s="13" t="n"/>
      <c r="F998" s="12" t="n"/>
      <c r="G998" s="13" t="n"/>
      <c r="H998" s="12" t="n"/>
      <c r="I998" s="12" t="n"/>
      <c r="J998" s="12" t="n"/>
      <c r="K998" s="12" t="n"/>
      <c r="L998" s="11" t="n"/>
      <c r="M998" s="11" t="n"/>
      <c r="N998" s="11" t="n"/>
      <c r="O998" s="11" t="n"/>
      <c r="P998" s="12" t="n"/>
      <c r="Q998" s="11" t="n"/>
      <c r="R998" s="12" t="n"/>
      <c r="S998" s="11" t="n"/>
      <c r="T998" s="12" t="n"/>
      <c r="U998" s="12" t="n"/>
      <c r="V998" s="12" t="n"/>
      <c r="W998" s="13" t="n"/>
      <c r="X998" s="14">
        <f>IF($AP998="",IF($B998="","",$H998),IF(INDEX(職員マスタ!$B$6:$B$405,$AP998)="",$H998,INDEX(職員マスタ!$B$6:$B$405,$AP998)))</f>
        <v/>
      </c>
      <c r="Y998" s="14">
        <f>IF($AP998="",IF($B998="","",$R998),IF(INDEX(職員マスタ!$C$6:$C$405,$AP998)="",$R998,INDEX(職員マスタ!$C$6:$C$405,$AP998)))</f>
        <v/>
      </c>
      <c r="Z998" s="14">
        <f>IF($AQ998="","","R"&amp;$C998&amp;"."&amp;$D998)</f>
        <v/>
      </c>
      <c r="AA998" s="15">
        <f>IF(IF($AP998="",FALSE,INDEX(職員マスタ!$K$6:$K$405,$AP998)&lt;&gt;""),INDEX(職員マスタ!$K$6:$K$405,$AP998),IF(N($W998)&gt;0,$W998,""))</f>
        <v/>
      </c>
      <c r="AB998" s="14">
        <f>IF(OR($E998="",$AA998=""),"",IF($E998&gt;=$AA998,"×",IF($E998&gt;=$AA998*設定!$C$5,"△","○")))</f>
        <v/>
      </c>
      <c r="AC998" s="15">
        <f>IF($AB998="","",IF($AB998="×",0,IF($AB998="○",ROUNDDOWN($E998*設定!$C$4,0),ROUNDDOWN($E998*ROUND((9*$AA998-9*$E998)/(10*$E998),4),0))))</f>
        <v/>
      </c>
      <c r="AD998" s="13" t="n"/>
      <c r="AE998" s="15">
        <f>IF($B998="","",IF($AD998&lt;&gt;"",$AD998,IF($AC998="","",IF($AC998&lt;=設定!$C$3,0,$AC998))))</f>
        <v/>
      </c>
      <c r="AF998" s="14">
        <f>IF($B998="","",IF(AND($AG998&lt;&gt;"",$AI998="",$AL998=""),"保留中",IF($AL998&lt;&gt;"",IF(N($AE998)&gt;0,"支給済","不支給"),IF($AE998="","要確認",IF($AE998=0,"不支給","未処理")))))</f>
        <v/>
      </c>
      <c r="AG998" s="12" t="n"/>
      <c r="AH998" s="11" t="n"/>
      <c r="AI998" s="11" t="n"/>
      <c r="AJ998" s="11" t="n"/>
      <c r="AK998" s="14">
        <f>IF(AND($AF998="保留中",$AH998&lt;&gt;""),TODAY()-$AH998,"")</f>
        <v/>
      </c>
      <c r="AL998" s="12" t="n"/>
      <c r="AM998" s="14">
        <f>IF($B998="","",IF($AQ998="","対象年月が未入力／","")&amp;IF($B998="","",IF($AP998="","職員マスタに未登録の職員番号／",IF($AA998="","標準報酬月額が未登録／","")&amp;IF(AND($AQ998&lt;&gt;"",OR(AND(INDEX(職員マスタ!$G$6:$G$405,$AP998)&lt;&gt;"",INDEX(職員マスタ!$G$6:$G$405,$AP998)&gt;EOMONTH($AQ998,0)),AND(INDEX(職員マスタ!$H$6:$H$405,$AP998)&lt;&gt;"",INDEX(職員マスタ!$H$6:$H$405,$AP998)&lt;$AQ998))),"対象月が時短期間外／","")&amp;IF(AND(INDEX(職員マスタ!$K$6:$K$405,$AP998)&lt;&gt;"",N($W998)&gt;0,INDEX(職員マスタ!$K$6:$K$405,$AP998)&lt;&gt;$W998),"標準報酬月額が申請書と相違（台帳"&amp;TEXT(INDEX(職員マスタ!$K$6:$K$405,$AP998),"#,##0")&amp;"円／申請書"&amp;TEXT($W998,"#,##0")&amp;"円）／","")&amp;IF(AND(INDEX(職員マスタ!$F$6:$F$405,$AP998)&lt;&gt;"",$AQ998&lt;&gt;"",INDEX(職員マスタ!$F$6:$F$405,$AP998)&lt;$AQ998),"対象月に子が2歳到達済／","")&amp;IF(AND($H998&lt;&gt;"",INDEX(職員マスタ!$B$6:$B$405,$AP998)&lt;&gt;"",SUBSTITUTE(SUBSTITUTE($H998," ","")," ","")&lt;&gt;SUBSTITUTE(SUBSTITUTE(INDEX(職員マスタ!$B$6:$B$405,$AP998)," ","")," ","")),"氏名がマスタと相違／","")&amp;IF(AND($Q998&lt;&gt;"",INDEX(職員マスタ!$E$6:$E$405,$AP998)&lt;&gt;"",$Q998&lt;&gt;INDEX(職員マスタ!$E$6:$E$405,$AP998)),"子の生年月日がマスタと相違／","")&amp;IF(AND($L998&lt;&gt;"",INDEX(職員マスタ!$G$6:$G$405,$AP998)&lt;&gt;"",$L998&lt;&gt;INDEX(職員マスタ!$G$6:$G$405,$AP998)),"時短開始日がマスタと相違／","")&amp;IF(AND($M998&lt;&gt;"",INDEX(職員マスタ!$H$6:$H$405,$AP998)&lt;&gt;"",$M998&lt;&gt;INDEX(職員マスタ!$H$6:$H$405,$AP998)),"時短終了日がマスタと相違／","")))&amp;IF(AND($B998&lt;&gt;"",$E998=""),"報酬額が未入力／","")&amp;IF(N($U998)&gt;0,"申請書に入力エラーが残っています／","")&amp;IF(AND($B998&lt;&gt;"",$AQ998&lt;&gt;""),IF(COUNTIFS($B$6:$B$3005,$B998,$C$6:$C$3005,$C998,$D$6:$D$3005,$D998)&gt;1,"同じ月の請求が重複しています／",""),"")&amp;IF(AND(N($E998)&gt;0,$AB998&lt;&gt;"",$AB998&lt;&gt;"×",$AE998=0,$AD998=""),"計算額が下限以下のため不支給／",""))</f>
        <v/>
      </c>
      <c r="AN998" s="12" t="n"/>
      <c r="AO998" s="14">
        <f>IF($AF998="保留中",COUNTIF($AF$6:$AF998,"保留中"),"")</f>
        <v/>
      </c>
      <c r="AP998" s="14">
        <f>IF($AQ998="","",IF(SUMPRODUCT(MAX((職員マスタ!$A$6:$A$405=$B998)*(((職員マスタ!$G$6:$G$405="")+(職員マスタ!$G$6:$G$405&lt;=EOMONTH($AQ998,0)))&gt;0)*(((職員マスタ!$H$6:$H$405="")+(職員マスタ!$H$6:$H$405&gt;=$AQ998))&gt;0)*(ROW(職員マスタ!$A$6:$A$405)-5)))&gt;0,SUMPRODUCT(MAX((職員マスタ!$A$6:$A$405=$B998)*(((職員マスタ!$G$6:$G$405="")+(職員マスタ!$G$6:$G$405&lt;=EOMONTH($AQ998,0)))&gt;0)*(((職員マスタ!$H$6:$H$405="")+(職員マスタ!$H$6:$H$405&gt;=$AQ998))&gt;0)*(ROW(職員マスタ!$A$6:$A$405)-5))),IFERROR(MATCH($B998,職員マスタ!$A$6:$A$405,0),"")))</f>
        <v/>
      </c>
      <c r="AQ998" s="16">
        <f>IF(OR($B998="",$C998="",$D998=""),"",DATE($C998+2018,$D998,1))</f>
        <v/>
      </c>
    </row>
    <row r="999">
      <c r="A999" s="11" t="n"/>
      <c r="B999" s="12" t="n"/>
      <c r="C999" s="12" t="n"/>
      <c r="D999" s="12" t="n"/>
      <c r="E999" s="13" t="n"/>
      <c r="F999" s="12" t="n"/>
      <c r="G999" s="13" t="n"/>
      <c r="H999" s="12" t="n"/>
      <c r="I999" s="12" t="n"/>
      <c r="J999" s="12" t="n"/>
      <c r="K999" s="12" t="n"/>
      <c r="L999" s="11" t="n"/>
      <c r="M999" s="11" t="n"/>
      <c r="N999" s="11" t="n"/>
      <c r="O999" s="11" t="n"/>
      <c r="P999" s="12" t="n"/>
      <c r="Q999" s="11" t="n"/>
      <c r="R999" s="12" t="n"/>
      <c r="S999" s="11" t="n"/>
      <c r="T999" s="12" t="n"/>
      <c r="U999" s="12" t="n"/>
      <c r="V999" s="12" t="n"/>
      <c r="W999" s="13" t="n"/>
      <c r="X999" s="14">
        <f>IF($AP999="",IF($B999="","",$H999),IF(INDEX(職員マスタ!$B$6:$B$405,$AP999)="",$H999,INDEX(職員マスタ!$B$6:$B$405,$AP999)))</f>
        <v/>
      </c>
      <c r="Y999" s="14">
        <f>IF($AP999="",IF($B999="","",$R999),IF(INDEX(職員マスタ!$C$6:$C$405,$AP999)="",$R999,INDEX(職員マスタ!$C$6:$C$405,$AP999)))</f>
        <v/>
      </c>
      <c r="Z999" s="14">
        <f>IF($AQ999="","","R"&amp;$C999&amp;"."&amp;$D999)</f>
        <v/>
      </c>
      <c r="AA999" s="15">
        <f>IF(IF($AP999="",FALSE,INDEX(職員マスタ!$K$6:$K$405,$AP999)&lt;&gt;""),INDEX(職員マスタ!$K$6:$K$405,$AP999),IF(N($W999)&gt;0,$W999,""))</f>
        <v/>
      </c>
      <c r="AB999" s="14">
        <f>IF(OR($E999="",$AA999=""),"",IF($E999&gt;=$AA999,"×",IF($E999&gt;=$AA999*設定!$C$5,"△","○")))</f>
        <v/>
      </c>
      <c r="AC999" s="15">
        <f>IF($AB999="","",IF($AB999="×",0,IF($AB999="○",ROUNDDOWN($E999*設定!$C$4,0),ROUNDDOWN($E999*ROUND((9*$AA999-9*$E999)/(10*$E999),4),0))))</f>
        <v/>
      </c>
      <c r="AD999" s="13" t="n"/>
      <c r="AE999" s="15">
        <f>IF($B999="","",IF($AD999&lt;&gt;"",$AD999,IF($AC999="","",IF($AC999&lt;=設定!$C$3,0,$AC999))))</f>
        <v/>
      </c>
      <c r="AF999" s="14">
        <f>IF($B999="","",IF(AND($AG999&lt;&gt;"",$AI999="",$AL999=""),"保留中",IF($AL999&lt;&gt;"",IF(N($AE999)&gt;0,"支給済","不支給"),IF($AE999="","要確認",IF($AE999=0,"不支給","未処理")))))</f>
        <v/>
      </c>
      <c r="AG999" s="12" t="n"/>
      <c r="AH999" s="11" t="n"/>
      <c r="AI999" s="11" t="n"/>
      <c r="AJ999" s="11" t="n"/>
      <c r="AK999" s="14">
        <f>IF(AND($AF999="保留中",$AH999&lt;&gt;""),TODAY()-$AH999,"")</f>
        <v/>
      </c>
      <c r="AL999" s="12" t="n"/>
      <c r="AM999" s="14">
        <f>IF($B999="","",IF($AQ999="","対象年月が未入力／","")&amp;IF($B999="","",IF($AP999="","職員マスタに未登録の職員番号／",IF($AA999="","標準報酬月額が未登録／","")&amp;IF(AND($AQ999&lt;&gt;"",OR(AND(INDEX(職員マスタ!$G$6:$G$405,$AP999)&lt;&gt;"",INDEX(職員マスタ!$G$6:$G$405,$AP999)&gt;EOMONTH($AQ999,0)),AND(INDEX(職員マスタ!$H$6:$H$405,$AP999)&lt;&gt;"",INDEX(職員マスタ!$H$6:$H$405,$AP999)&lt;$AQ999))),"対象月が時短期間外／","")&amp;IF(AND(INDEX(職員マスタ!$K$6:$K$405,$AP999)&lt;&gt;"",N($W999)&gt;0,INDEX(職員マスタ!$K$6:$K$405,$AP999)&lt;&gt;$W999),"標準報酬月額が申請書と相違（台帳"&amp;TEXT(INDEX(職員マスタ!$K$6:$K$405,$AP999),"#,##0")&amp;"円／申請書"&amp;TEXT($W999,"#,##0")&amp;"円）／","")&amp;IF(AND(INDEX(職員マスタ!$F$6:$F$405,$AP999)&lt;&gt;"",$AQ999&lt;&gt;"",INDEX(職員マスタ!$F$6:$F$405,$AP999)&lt;$AQ999),"対象月に子が2歳到達済／","")&amp;IF(AND($H999&lt;&gt;"",INDEX(職員マスタ!$B$6:$B$405,$AP999)&lt;&gt;"",SUBSTITUTE(SUBSTITUTE($H999," ","")," ","")&lt;&gt;SUBSTITUTE(SUBSTITUTE(INDEX(職員マスタ!$B$6:$B$405,$AP999)," ","")," ","")),"氏名がマスタと相違／","")&amp;IF(AND($Q999&lt;&gt;"",INDEX(職員マスタ!$E$6:$E$405,$AP999)&lt;&gt;"",$Q999&lt;&gt;INDEX(職員マスタ!$E$6:$E$405,$AP999)),"子の生年月日がマスタと相違／","")&amp;IF(AND($L999&lt;&gt;"",INDEX(職員マスタ!$G$6:$G$405,$AP999)&lt;&gt;"",$L999&lt;&gt;INDEX(職員マスタ!$G$6:$G$405,$AP999)),"時短開始日がマスタと相違／","")&amp;IF(AND($M999&lt;&gt;"",INDEX(職員マスタ!$H$6:$H$405,$AP999)&lt;&gt;"",$M999&lt;&gt;INDEX(職員マスタ!$H$6:$H$405,$AP999)),"時短終了日がマスタと相違／","")))&amp;IF(AND($B999&lt;&gt;"",$E999=""),"報酬額が未入力／","")&amp;IF(N($U999)&gt;0,"申請書に入力エラーが残っています／","")&amp;IF(AND($B999&lt;&gt;"",$AQ999&lt;&gt;""),IF(COUNTIFS($B$6:$B$3005,$B999,$C$6:$C$3005,$C999,$D$6:$D$3005,$D999)&gt;1,"同じ月の請求が重複しています／",""),"")&amp;IF(AND(N($E999)&gt;0,$AB999&lt;&gt;"",$AB999&lt;&gt;"×",$AE999=0,$AD999=""),"計算額が下限以下のため不支給／",""))</f>
        <v/>
      </c>
      <c r="AN999" s="12" t="n"/>
      <c r="AO999" s="14">
        <f>IF($AF999="保留中",COUNTIF($AF$6:$AF999,"保留中"),"")</f>
        <v/>
      </c>
      <c r="AP999" s="14">
        <f>IF($AQ999="","",IF(SUMPRODUCT(MAX((職員マスタ!$A$6:$A$405=$B999)*(((職員マスタ!$G$6:$G$405="")+(職員マスタ!$G$6:$G$405&lt;=EOMONTH($AQ999,0)))&gt;0)*(((職員マスタ!$H$6:$H$405="")+(職員マスタ!$H$6:$H$405&gt;=$AQ999))&gt;0)*(ROW(職員マスタ!$A$6:$A$405)-5)))&gt;0,SUMPRODUCT(MAX((職員マスタ!$A$6:$A$405=$B999)*(((職員マスタ!$G$6:$G$405="")+(職員マスタ!$G$6:$G$405&lt;=EOMONTH($AQ999,0)))&gt;0)*(((職員マスタ!$H$6:$H$405="")+(職員マスタ!$H$6:$H$405&gt;=$AQ999))&gt;0)*(ROW(職員マスタ!$A$6:$A$405)-5))),IFERROR(MATCH($B999,職員マスタ!$A$6:$A$405,0),"")))</f>
        <v/>
      </c>
      <c r="AQ999" s="16">
        <f>IF(OR($B999="",$C999="",$D999=""),"",DATE($C999+2018,$D999,1))</f>
        <v/>
      </c>
    </row>
    <row r="1000">
      <c r="A1000" s="11" t="n"/>
      <c r="B1000" s="12" t="n"/>
      <c r="C1000" s="12" t="n"/>
      <c r="D1000" s="12" t="n"/>
      <c r="E1000" s="13" t="n"/>
      <c r="F1000" s="12" t="n"/>
      <c r="G1000" s="13" t="n"/>
      <c r="H1000" s="12" t="n"/>
      <c r="I1000" s="12" t="n"/>
      <c r="J1000" s="12" t="n"/>
      <c r="K1000" s="12" t="n"/>
      <c r="L1000" s="11" t="n"/>
      <c r="M1000" s="11" t="n"/>
      <c r="N1000" s="11" t="n"/>
      <c r="O1000" s="11" t="n"/>
      <c r="P1000" s="12" t="n"/>
      <c r="Q1000" s="11" t="n"/>
      <c r="R1000" s="12" t="n"/>
      <c r="S1000" s="11" t="n"/>
      <c r="T1000" s="12" t="n"/>
      <c r="U1000" s="12" t="n"/>
      <c r="V1000" s="12" t="n"/>
      <c r="W1000" s="13" t="n"/>
      <c r="X1000" s="14">
        <f>IF($AP1000="",IF($B1000="","",$H1000),IF(INDEX(職員マスタ!$B$6:$B$405,$AP1000)="",$H1000,INDEX(職員マスタ!$B$6:$B$405,$AP1000)))</f>
        <v/>
      </c>
      <c r="Y1000" s="14">
        <f>IF($AP1000="",IF($B1000="","",$R1000),IF(INDEX(職員マスタ!$C$6:$C$405,$AP1000)="",$R1000,INDEX(職員マスタ!$C$6:$C$405,$AP1000)))</f>
        <v/>
      </c>
      <c r="Z1000" s="14">
        <f>IF($AQ1000="","","R"&amp;$C1000&amp;"."&amp;$D1000)</f>
        <v/>
      </c>
      <c r="AA1000" s="15">
        <f>IF(IF($AP1000="",FALSE,INDEX(職員マスタ!$K$6:$K$405,$AP1000)&lt;&gt;""),INDEX(職員マスタ!$K$6:$K$405,$AP1000),IF(N($W1000)&gt;0,$W1000,""))</f>
        <v/>
      </c>
      <c r="AB1000" s="14">
        <f>IF(OR($E1000="",$AA1000=""),"",IF($E1000&gt;=$AA1000,"×",IF($E1000&gt;=$AA1000*設定!$C$5,"△","○")))</f>
        <v/>
      </c>
      <c r="AC1000" s="15">
        <f>IF($AB1000="","",IF($AB1000="×",0,IF($AB1000="○",ROUNDDOWN($E1000*設定!$C$4,0),ROUNDDOWN($E1000*ROUND((9*$AA1000-9*$E1000)/(10*$E1000),4),0))))</f>
        <v/>
      </c>
      <c r="AD1000" s="13" t="n"/>
      <c r="AE1000" s="15">
        <f>IF($B1000="","",IF($AD1000&lt;&gt;"",$AD1000,IF($AC1000="","",IF($AC1000&lt;=設定!$C$3,0,$AC1000))))</f>
        <v/>
      </c>
      <c r="AF1000" s="14">
        <f>IF($B1000="","",IF(AND($AG1000&lt;&gt;"",$AI1000="",$AL1000=""),"保留中",IF($AL1000&lt;&gt;"",IF(N($AE1000)&gt;0,"支給済","不支給"),IF($AE1000="","要確認",IF($AE1000=0,"不支給","未処理")))))</f>
        <v/>
      </c>
      <c r="AG1000" s="12" t="n"/>
      <c r="AH1000" s="11" t="n"/>
      <c r="AI1000" s="11" t="n"/>
      <c r="AJ1000" s="11" t="n"/>
      <c r="AK1000" s="14">
        <f>IF(AND($AF1000="保留中",$AH1000&lt;&gt;""),TODAY()-$AH1000,"")</f>
        <v/>
      </c>
      <c r="AL1000" s="12" t="n"/>
      <c r="AM1000" s="14">
        <f>IF($B1000="","",IF($AQ1000="","対象年月が未入力／","")&amp;IF($B1000="","",IF($AP1000="","職員マスタに未登録の職員番号／",IF($AA1000="","標準報酬月額が未登録／","")&amp;IF(AND($AQ1000&lt;&gt;"",OR(AND(INDEX(職員マスタ!$G$6:$G$405,$AP1000)&lt;&gt;"",INDEX(職員マスタ!$G$6:$G$405,$AP1000)&gt;EOMONTH($AQ1000,0)),AND(INDEX(職員マスタ!$H$6:$H$405,$AP1000)&lt;&gt;"",INDEX(職員マスタ!$H$6:$H$405,$AP1000)&lt;$AQ1000))),"対象月が時短期間外／","")&amp;IF(AND(INDEX(職員マスタ!$K$6:$K$405,$AP1000)&lt;&gt;"",N($W1000)&gt;0,INDEX(職員マスタ!$K$6:$K$405,$AP1000)&lt;&gt;$W1000),"標準報酬月額が申請書と相違（台帳"&amp;TEXT(INDEX(職員マスタ!$K$6:$K$405,$AP1000),"#,##0")&amp;"円／申請書"&amp;TEXT($W1000,"#,##0")&amp;"円）／","")&amp;IF(AND(INDEX(職員マスタ!$F$6:$F$405,$AP1000)&lt;&gt;"",$AQ1000&lt;&gt;"",INDEX(職員マスタ!$F$6:$F$405,$AP1000)&lt;$AQ1000),"対象月に子が2歳到達済／","")&amp;IF(AND($H1000&lt;&gt;"",INDEX(職員マスタ!$B$6:$B$405,$AP1000)&lt;&gt;"",SUBSTITUTE(SUBSTITUTE($H1000," ","")," ","")&lt;&gt;SUBSTITUTE(SUBSTITUTE(INDEX(職員マスタ!$B$6:$B$405,$AP1000)," ","")," ","")),"氏名がマスタと相違／","")&amp;IF(AND($Q1000&lt;&gt;"",INDEX(職員マスタ!$E$6:$E$405,$AP1000)&lt;&gt;"",$Q1000&lt;&gt;INDEX(職員マスタ!$E$6:$E$405,$AP1000)),"子の生年月日がマスタと相違／","")&amp;IF(AND($L1000&lt;&gt;"",INDEX(職員マスタ!$G$6:$G$405,$AP1000)&lt;&gt;"",$L1000&lt;&gt;INDEX(職員マスタ!$G$6:$G$405,$AP1000)),"時短開始日がマスタと相違／","")&amp;IF(AND($M1000&lt;&gt;"",INDEX(職員マスタ!$H$6:$H$405,$AP1000)&lt;&gt;"",$M1000&lt;&gt;INDEX(職員マスタ!$H$6:$H$405,$AP1000)),"時短終了日がマスタと相違／","")))&amp;IF(AND($B1000&lt;&gt;"",$E1000=""),"報酬額が未入力／","")&amp;IF(N($U1000)&gt;0,"申請書に入力エラーが残っています／","")&amp;IF(AND($B1000&lt;&gt;"",$AQ1000&lt;&gt;""),IF(COUNTIFS($B$6:$B$3005,$B1000,$C$6:$C$3005,$C1000,$D$6:$D$3005,$D1000)&gt;1,"同じ月の請求が重複しています／",""),"")&amp;IF(AND(N($E1000)&gt;0,$AB1000&lt;&gt;"",$AB1000&lt;&gt;"×",$AE1000=0,$AD1000=""),"計算額が下限以下のため不支給／",""))</f>
        <v/>
      </c>
      <c r="AN1000" s="12" t="n"/>
      <c r="AO1000" s="14">
        <f>IF($AF1000="保留中",COUNTIF($AF$6:$AF1000,"保留中"),"")</f>
        <v/>
      </c>
      <c r="AP1000" s="14">
        <f>IF($AQ1000="","",IF(SUMPRODUCT(MAX((職員マスタ!$A$6:$A$405=$B1000)*(((職員マスタ!$G$6:$G$405="")+(職員マスタ!$G$6:$G$405&lt;=EOMONTH($AQ1000,0)))&gt;0)*(((職員マスタ!$H$6:$H$405="")+(職員マスタ!$H$6:$H$405&gt;=$AQ1000))&gt;0)*(ROW(職員マスタ!$A$6:$A$405)-5)))&gt;0,SUMPRODUCT(MAX((職員マスタ!$A$6:$A$405=$B1000)*(((職員マスタ!$G$6:$G$405="")+(職員マスタ!$G$6:$G$405&lt;=EOMONTH($AQ1000,0)))&gt;0)*(((職員マスタ!$H$6:$H$405="")+(職員マスタ!$H$6:$H$405&gt;=$AQ1000))&gt;0)*(ROW(職員マスタ!$A$6:$A$405)-5))),IFERROR(MATCH($B1000,職員マスタ!$A$6:$A$405,0),"")))</f>
        <v/>
      </c>
      <c r="AQ1000" s="16">
        <f>IF(OR($B1000="",$C1000="",$D1000=""),"",DATE($C1000+2018,$D1000,1))</f>
        <v/>
      </c>
    </row>
    <row r="1001">
      <c r="A1001" s="11" t="n"/>
      <c r="B1001" s="12" t="n"/>
      <c r="C1001" s="12" t="n"/>
      <c r="D1001" s="12" t="n"/>
      <c r="E1001" s="13" t="n"/>
      <c r="F1001" s="12" t="n"/>
      <c r="G1001" s="13" t="n"/>
      <c r="H1001" s="12" t="n"/>
      <c r="I1001" s="12" t="n"/>
      <c r="J1001" s="12" t="n"/>
      <c r="K1001" s="12" t="n"/>
      <c r="L1001" s="11" t="n"/>
      <c r="M1001" s="11" t="n"/>
      <c r="N1001" s="11" t="n"/>
      <c r="O1001" s="11" t="n"/>
      <c r="P1001" s="12" t="n"/>
      <c r="Q1001" s="11" t="n"/>
      <c r="R1001" s="12" t="n"/>
      <c r="S1001" s="11" t="n"/>
      <c r="T1001" s="12" t="n"/>
      <c r="U1001" s="12" t="n"/>
      <c r="V1001" s="12" t="n"/>
      <c r="W1001" s="13" t="n"/>
      <c r="X1001" s="14">
        <f>IF($AP1001="",IF($B1001="","",$H1001),IF(INDEX(職員マスタ!$B$6:$B$405,$AP1001)="",$H1001,INDEX(職員マスタ!$B$6:$B$405,$AP1001)))</f>
        <v/>
      </c>
      <c r="Y1001" s="14">
        <f>IF($AP1001="",IF($B1001="","",$R1001),IF(INDEX(職員マスタ!$C$6:$C$405,$AP1001)="",$R1001,INDEX(職員マスタ!$C$6:$C$405,$AP1001)))</f>
        <v/>
      </c>
      <c r="Z1001" s="14">
        <f>IF($AQ1001="","","R"&amp;$C1001&amp;"."&amp;$D1001)</f>
        <v/>
      </c>
      <c r="AA1001" s="15">
        <f>IF(IF($AP1001="",FALSE,INDEX(職員マスタ!$K$6:$K$405,$AP1001)&lt;&gt;""),INDEX(職員マスタ!$K$6:$K$405,$AP1001),IF(N($W1001)&gt;0,$W1001,""))</f>
        <v/>
      </c>
      <c r="AB1001" s="14">
        <f>IF(OR($E1001="",$AA1001=""),"",IF($E1001&gt;=$AA1001,"×",IF($E1001&gt;=$AA1001*設定!$C$5,"△","○")))</f>
        <v/>
      </c>
      <c r="AC1001" s="15">
        <f>IF($AB1001="","",IF($AB1001="×",0,IF($AB1001="○",ROUNDDOWN($E1001*設定!$C$4,0),ROUNDDOWN($E1001*ROUND((9*$AA1001-9*$E1001)/(10*$E1001),4),0))))</f>
        <v/>
      </c>
      <c r="AD1001" s="13" t="n"/>
      <c r="AE1001" s="15">
        <f>IF($B1001="","",IF($AD1001&lt;&gt;"",$AD1001,IF($AC1001="","",IF($AC1001&lt;=設定!$C$3,0,$AC1001))))</f>
        <v/>
      </c>
      <c r="AF1001" s="14">
        <f>IF($B1001="","",IF(AND($AG1001&lt;&gt;"",$AI1001="",$AL1001=""),"保留中",IF($AL1001&lt;&gt;"",IF(N($AE1001)&gt;0,"支給済","不支給"),IF($AE1001="","要確認",IF($AE1001=0,"不支給","未処理")))))</f>
        <v/>
      </c>
      <c r="AG1001" s="12" t="n"/>
      <c r="AH1001" s="11" t="n"/>
      <c r="AI1001" s="11" t="n"/>
      <c r="AJ1001" s="11" t="n"/>
      <c r="AK1001" s="14">
        <f>IF(AND($AF1001="保留中",$AH1001&lt;&gt;""),TODAY()-$AH1001,"")</f>
        <v/>
      </c>
      <c r="AL1001" s="12" t="n"/>
      <c r="AM1001" s="14">
        <f>IF($B1001="","",IF($AQ1001="","対象年月が未入力／","")&amp;IF($B1001="","",IF($AP1001="","職員マスタに未登録の職員番号／",IF($AA1001="","標準報酬月額が未登録／","")&amp;IF(AND($AQ1001&lt;&gt;"",OR(AND(INDEX(職員マスタ!$G$6:$G$405,$AP1001)&lt;&gt;"",INDEX(職員マスタ!$G$6:$G$405,$AP1001)&gt;EOMONTH($AQ1001,0)),AND(INDEX(職員マスタ!$H$6:$H$405,$AP1001)&lt;&gt;"",INDEX(職員マスタ!$H$6:$H$405,$AP1001)&lt;$AQ1001))),"対象月が時短期間外／","")&amp;IF(AND(INDEX(職員マスタ!$K$6:$K$405,$AP1001)&lt;&gt;"",N($W1001)&gt;0,INDEX(職員マスタ!$K$6:$K$405,$AP1001)&lt;&gt;$W1001),"標準報酬月額が申請書と相違（台帳"&amp;TEXT(INDEX(職員マスタ!$K$6:$K$405,$AP1001),"#,##0")&amp;"円／申請書"&amp;TEXT($W1001,"#,##0")&amp;"円）／","")&amp;IF(AND(INDEX(職員マスタ!$F$6:$F$405,$AP1001)&lt;&gt;"",$AQ1001&lt;&gt;"",INDEX(職員マスタ!$F$6:$F$405,$AP1001)&lt;$AQ1001),"対象月に子が2歳到達済／","")&amp;IF(AND($H1001&lt;&gt;"",INDEX(職員マスタ!$B$6:$B$405,$AP1001)&lt;&gt;"",SUBSTITUTE(SUBSTITUTE($H1001," ","")," ","")&lt;&gt;SUBSTITUTE(SUBSTITUTE(INDEX(職員マスタ!$B$6:$B$405,$AP1001)," ","")," ","")),"氏名がマスタと相違／","")&amp;IF(AND($Q1001&lt;&gt;"",INDEX(職員マスタ!$E$6:$E$405,$AP1001)&lt;&gt;"",$Q1001&lt;&gt;INDEX(職員マスタ!$E$6:$E$405,$AP1001)),"子の生年月日がマスタと相違／","")&amp;IF(AND($L1001&lt;&gt;"",INDEX(職員マスタ!$G$6:$G$405,$AP1001)&lt;&gt;"",$L1001&lt;&gt;INDEX(職員マスタ!$G$6:$G$405,$AP1001)),"時短開始日がマスタと相違／","")&amp;IF(AND($M1001&lt;&gt;"",INDEX(職員マスタ!$H$6:$H$405,$AP1001)&lt;&gt;"",$M1001&lt;&gt;INDEX(職員マスタ!$H$6:$H$405,$AP1001)),"時短終了日がマスタと相違／","")))&amp;IF(AND($B1001&lt;&gt;"",$E1001=""),"報酬額が未入力／","")&amp;IF(N($U1001)&gt;0,"申請書に入力エラーが残っています／","")&amp;IF(AND($B1001&lt;&gt;"",$AQ1001&lt;&gt;""),IF(COUNTIFS($B$6:$B$3005,$B1001,$C$6:$C$3005,$C1001,$D$6:$D$3005,$D1001)&gt;1,"同じ月の請求が重複しています／",""),"")&amp;IF(AND(N($E1001)&gt;0,$AB1001&lt;&gt;"",$AB1001&lt;&gt;"×",$AE1001=0,$AD1001=""),"計算額が下限以下のため不支給／",""))</f>
        <v/>
      </c>
      <c r="AN1001" s="12" t="n"/>
      <c r="AO1001" s="14">
        <f>IF($AF1001="保留中",COUNTIF($AF$6:$AF1001,"保留中"),"")</f>
        <v/>
      </c>
      <c r="AP1001" s="14">
        <f>IF($AQ1001="","",IF(SUMPRODUCT(MAX((職員マスタ!$A$6:$A$405=$B1001)*(((職員マスタ!$G$6:$G$405="")+(職員マスタ!$G$6:$G$405&lt;=EOMONTH($AQ1001,0)))&gt;0)*(((職員マスタ!$H$6:$H$405="")+(職員マスタ!$H$6:$H$405&gt;=$AQ1001))&gt;0)*(ROW(職員マスタ!$A$6:$A$405)-5)))&gt;0,SUMPRODUCT(MAX((職員マスタ!$A$6:$A$405=$B1001)*(((職員マスタ!$G$6:$G$405="")+(職員マスタ!$G$6:$G$405&lt;=EOMONTH($AQ1001,0)))&gt;0)*(((職員マスタ!$H$6:$H$405="")+(職員マスタ!$H$6:$H$405&gt;=$AQ1001))&gt;0)*(ROW(職員マスタ!$A$6:$A$405)-5))),IFERROR(MATCH($B1001,職員マスタ!$A$6:$A$405,0),"")))</f>
        <v/>
      </c>
      <c r="AQ1001" s="16">
        <f>IF(OR($B1001="",$C1001="",$D1001=""),"",DATE($C1001+2018,$D1001,1))</f>
        <v/>
      </c>
    </row>
    <row r="1002">
      <c r="A1002" s="11" t="n"/>
      <c r="B1002" s="12" t="n"/>
      <c r="C1002" s="12" t="n"/>
      <c r="D1002" s="12" t="n"/>
      <c r="E1002" s="13" t="n"/>
      <c r="F1002" s="12" t="n"/>
      <c r="G1002" s="13" t="n"/>
      <c r="H1002" s="12" t="n"/>
      <c r="I1002" s="12" t="n"/>
      <c r="J1002" s="12" t="n"/>
      <c r="K1002" s="12" t="n"/>
      <c r="L1002" s="11" t="n"/>
      <c r="M1002" s="11" t="n"/>
      <c r="N1002" s="11" t="n"/>
      <c r="O1002" s="11" t="n"/>
      <c r="P1002" s="12" t="n"/>
      <c r="Q1002" s="11" t="n"/>
      <c r="R1002" s="12" t="n"/>
      <c r="S1002" s="11" t="n"/>
      <c r="T1002" s="12" t="n"/>
      <c r="U1002" s="12" t="n"/>
      <c r="V1002" s="12" t="n"/>
      <c r="W1002" s="13" t="n"/>
      <c r="X1002" s="14">
        <f>IF($AP1002="",IF($B1002="","",$H1002),IF(INDEX(職員マスタ!$B$6:$B$405,$AP1002)="",$H1002,INDEX(職員マスタ!$B$6:$B$405,$AP1002)))</f>
        <v/>
      </c>
      <c r="Y1002" s="14">
        <f>IF($AP1002="",IF($B1002="","",$R1002),IF(INDEX(職員マスタ!$C$6:$C$405,$AP1002)="",$R1002,INDEX(職員マスタ!$C$6:$C$405,$AP1002)))</f>
        <v/>
      </c>
      <c r="Z1002" s="14">
        <f>IF($AQ1002="","","R"&amp;$C1002&amp;"."&amp;$D1002)</f>
        <v/>
      </c>
      <c r="AA1002" s="15">
        <f>IF(IF($AP1002="",FALSE,INDEX(職員マスタ!$K$6:$K$405,$AP1002)&lt;&gt;""),INDEX(職員マスタ!$K$6:$K$405,$AP1002),IF(N($W1002)&gt;0,$W1002,""))</f>
        <v/>
      </c>
      <c r="AB1002" s="14">
        <f>IF(OR($E1002="",$AA1002=""),"",IF($E1002&gt;=$AA1002,"×",IF($E1002&gt;=$AA1002*設定!$C$5,"△","○")))</f>
        <v/>
      </c>
      <c r="AC1002" s="15">
        <f>IF($AB1002="","",IF($AB1002="×",0,IF($AB1002="○",ROUNDDOWN($E1002*設定!$C$4,0),ROUNDDOWN($E1002*ROUND((9*$AA1002-9*$E1002)/(10*$E1002),4),0))))</f>
        <v/>
      </c>
      <c r="AD1002" s="13" t="n"/>
      <c r="AE1002" s="15">
        <f>IF($B1002="","",IF($AD1002&lt;&gt;"",$AD1002,IF($AC1002="","",IF($AC1002&lt;=設定!$C$3,0,$AC1002))))</f>
        <v/>
      </c>
      <c r="AF1002" s="14">
        <f>IF($B1002="","",IF(AND($AG1002&lt;&gt;"",$AI1002="",$AL1002=""),"保留中",IF($AL1002&lt;&gt;"",IF(N($AE1002)&gt;0,"支給済","不支給"),IF($AE1002="","要確認",IF($AE1002=0,"不支給","未処理")))))</f>
        <v/>
      </c>
      <c r="AG1002" s="12" t="n"/>
      <c r="AH1002" s="11" t="n"/>
      <c r="AI1002" s="11" t="n"/>
      <c r="AJ1002" s="11" t="n"/>
      <c r="AK1002" s="14">
        <f>IF(AND($AF1002="保留中",$AH1002&lt;&gt;""),TODAY()-$AH1002,"")</f>
        <v/>
      </c>
      <c r="AL1002" s="12" t="n"/>
      <c r="AM1002" s="14">
        <f>IF($B1002="","",IF($AQ1002="","対象年月が未入力／","")&amp;IF($B1002="","",IF($AP1002="","職員マスタに未登録の職員番号／",IF($AA1002="","標準報酬月額が未登録／","")&amp;IF(AND($AQ1002&lt;&gt;"",OR(AND(INDEX(職員マスタ!$G$6:$G$405,$AP1002)&lt;&gt;"",INDEX(職員マスタ!$G$6:$G$405,$AP1002)&gt;EOMONTH($AQ1002,0)),AND(INDEX(職員マスタ!$H$6:$H$405,$AP1002)&lt;&gt;"",INDEX(職員マスタ!$H$6:$H$405,$AP1002)&lt;$AQ1002))),"対象月が時短期間外／","")&amp;IF(AND(INDEX(職員マスタ!$K$6:$K$405,$AP1002)&lt;&gt;"",N($W1002)&gt;0,INDEX(職員マスタ!$K$6:$K$405,$AP1002)&lt;&gt;$W1002),"標準報酬月額が申請書と相違（台帳"&amp;TEXT(INDEX(職員マスタ!$K$6:$K$405,$AP1002),"#,##0")&amp;"円／申請書"&amp;TEXT($W1002,"#,##0")&amp;"円）／","")&amp;IF(AND(INDEX(職員マスタ!$F$6:$F$405,$AP1002)&lt;&gt;"",$AQ1002&lt;&gt;"",INDEX(職員マスタ!$F$6:$F$405,$AP1002)&lt;$AQ1002),"対象月に子が2歳到達済／","")&amp;IF(AND($H1002&lt;&gt;"",INDEX(職員マスタ!$B$6:$B$405,$AP1002)&lt;&gt;"",SUBSTITUTE(SUBSTITUTE($H1002," ","")," ","")&lt;&gt;SUBSTITUTE(SUBSTITUTE(INDEX(職員マスタ!$B$6:$B$405,$AP1002)," ","")," ","")),"氏名がマスタと相違／","")&amp;IF(AND($Q1002&lt;&gt;"",INDEX(職員マスタ!$E$6:$E$405,$AP1002)&lt;&gt;"",$Q1002&lt;&gt;INDEX(職員マスタ!$E$6:$E$405,$AP1002)),"子の生年月日がマスタと相違／","")&amp;IF(AND($L1002&lt;&gt;"",INDEX(職員マスタ!$G$6:$G$405,$AP1002)&lt;&gt;"",$L1002&lt;&gt;INDEX(職員マスタ!$G$6:$G$405,$AP1002)),"時短開始日がマスタと相違／","")&amp;IF(AND($M1002&lt;&gt;"",INDEX(職員マスタ!$H$6:$H$405,$AP1002)&lt;&gt;"",$M1002&lt;&gt;INDEX(職員マスタ!$H$6:$H$405,$AP1002)),"時短終了日がマスタと相違／","")))&amp;IF(AND($B1002&lt;&gt;"",$E1002=""),"報酬額が未入力／","")&amp;IF(N($U1002)&gt;0,"申請書に入力エラーが残っています／","")&amp;IF(AND($B1002&lt;&gt;"",$AQ1002&lt;&gt;""),IF(COUNTIFS($B$6:$B$3005,$B1002,$C$6:$C$3005,$C1002,$D$6:$D$3005,$D1002)&gt;1,"同じ月の請求が重複しています／",""),"")&amp;IF(AND(N($E1002)&gt;0,$AB1002&lt;&gt;"",$AB1002&lt;&gt;"×",$AE1002=0,$AD1002=""),"計算額が下限以下のため不支給／",""))</f>
        <v/>
      </c>
      <c r="AN1002" s="12" t="n"/>
      <c r="AO1002" s="14">
        <f>IF($AF1002="保留中",COUNTIF($AF$6:$AF1002,"保留中"),"")</f>
        <v/>
      </c>
      <c r="AP1002" s="14">
        <f>IF($AQ1002="","",IF(SUMPRODUCT(MAX((職員マスタ!$A$6:$A$405=$B1002)*(((職員マスタ!$G$6:$G$405="")+(職員マスタ!$G$6:$G$405&lt;=EOMONTH($AQ1002,0)))&gt;0)*(((職員マスタ!$H$6:$H$405="")+(職員マスタ!$H$6:$H$405&gt;=$AQ1002))&gt;0)*(ROW(職員マスタ!$A$6:$A$405)-5)))&gt;0,SUMPRODUCT(MAX((職員マスタ!$A$6:$A$405=$B1002)*(((職員マスタ!$G$6:$G$405="")+(職員マスタ!$G$6:$G$405&lt;=EOMONTH($AQ1002,0)))&gt;0)*(((職員マスタ!$H$6:$H$405="")+(職員マスタ!$H$6:$H$405&gt;=$AQ1002))&gt;0)*(ROW(職員マスタ!$A$6:$A$405)-5))),IFERROR(MATCH($B1002,職員マスタ!$A$6:$A$405,0),"")))</f>
        <v/>
      </c>
      <c r="AQ1002" s="16">
        <f>IF(OR($B1002="",$C1002="",$D1002=""),"",DATE($C1002+2018,$D1002,1))</f>
        <v/>
      </c>
    </row>
    <row r="1003">
      <c r="A1003" s="11" t="n"/>
      <c r="B1003" s="12" t="n"/>
      <c r="C1003" s="12" t="n"/>
      <c r="D1003" s="12" t="n"/>
      <c r="E1003" s="13" t="n"/>
      <c r="F1003" s="12" t="n"/>
      <c r="G1003" s="13" t="n"/>
      <c r="H1003" s="12" t="n"/>
      <c r="I1003" s="12" t="n"/>
      <c r="J1003" s="12" t="n"/>
      <c r="K1003" s="12" t="n"/>
      <c r="L1003" s="11" t="n"/>
      <c r="M1003" s="11" t="n"/>
      <c r="N1003" s="11" t="n"/>
      <c r="O1003" s="11" t="n"/>
      <c r="P1003" s="12" t="n"/>
      <c r="Q1003" s="11" t="n"/>
      <c r="R1003" s="12" t="n"/>
      <c r="S1003" s="11" t="n"/>
      <c r="T1003" s="12" t="n"/>
      <c r="U1003" s="12" t="n"/>
      <c r="V1003" s="12" t="n"/>
      <c r="W1003" s="13" t="n"/>
      <c r="X1003" s="14">
        <f>IF($AP1003="",IF($B1003="","",$H1003),IF(INDEX(職員マスタ!$B$6:$B$405,$AP1003)="",$H1003,INDEX(職員マスタ!$B$6:$B$405,$AP1003)))</f>
        <v/>
      </c>
      <c r="Y1003" s="14">
        <f>IF($AP1003="",IF($B1003="","",$R1003),IF(INDEX(職員マスタ!$C$6:$C$405,$AP1003)="",$R1003,INDEX(職員マスタ!$C$6:$C$405,$AP1003)))</f>
        <v/>
      </c>
      <c r="Z1003" s="14">
        <f>IF($AQ1003="","","R"&amp;$C1003&amp;"."&amp;$D1003)</f>
        <v/>
      </c>
      <c r="AA1003" s="15">
        <f>IF(IF($AP1003="",FALSE,INDEX(職員マスタ!$K$6:$K$405,$AP1003)&lt;&gt;""),INDEX(職員マスタ!$K$6:$K$405,$AP1003),IF(N($W1003)&gt;0,$W1003,""))</f>
        <v/>
      </c>
      <c r="AB1003" s="14">
        <f>IF(OR($E1003="",$AA1003=""),"",IF($E1003&gt;=$AA1003,"×",IF($E1003&gt;=$AA1003*設定!$C$5,"△","○")))</f>
        <v/>
      </c>
      <c r="AC1003" s="15">
        <f>IF($AB1003="","",IF($AB1003="×",0,IF($AB1003="○",ROUNDDOWN($E1003*設定!$C$4,0),ROUNDDOWN($E1003*ROUND((9*$AA1003-9*$E1003)/(10*$E1003),4),0))))</f>
        <v/>
      </c>
      <c r="AD1003" s="13" t="n"/>
      <c r="AE1003" s="15">
        <f>IF($B1003="","",IF($AD1003&lt;&gt;"",$AD1003,IF($AC1003="","",IF($AC1003&lt;=設定!$C$3,0,$AC1003))))</f>
        <v/>
      </c>
      <c r="AF1003" s="14">
        <f>IF($B1003="","",IF(AND($AG1003&lt;&gt;"",$AI1003="",$AL1003=""),"保留中",IF($AL1003&lt;&gt;"",IF(N($AE1003)&gt;0,"支給済","不支給"),IF($AE1003="","要確認",IF($AE1003=0,"不支給","未処理")))))</f>
        <v/>
      </c>
      <c r="AG1003" s="12" t="n"/>
      <c r="AH1003" s="11" t="n"/>
      <c r="AI1003" s="11" t="n"/>
      <c r="AJ1003" s="11" t="n"/>
      <c r="AK1003" s="14">
        <f>IF(AND($AF1003="保留中",$AH1003&lt;&gt;""),TODAY()-$AH1003,"")</f>
        <v/>
      </c>
      <c r="AL1003" s="12" t="n"/>
      <c r="AM1003" s="14">
        <f>IF($B1003="","",IF($AQ1003="","対象年月が未入力／","")&amp;IF($B1003="","",IF($AP1003="","職員マスタに未登録の職員番号／",IF($AA1003="","標準報酬月額が未登録／","")&amp;IF(AND($AQ1003&lt;&gt;"",OR(AND(INDEX(職員マスタ!$G$6:$G$405,$AP1003)&lt;&gt;"",INDEX(職員マスタ!$G$6:$G$405,$AP1003)&gt;EOMONTH($AQ1003,0)),AND(INDEX(職員マスタ!$H$6:$H$405,$AP1003)&lt;&gt;"",INDEX(職員マスタ!$H$6:$H$405,$AP1003)&lt;$AQ1003))),"対象月が時短期間外／","")&amp;IF(AND(INDEX(職員マスタ!$K$6:$K$405,$AP1003)&lt;&gt;"",N($W1003)&gt;0,INDEX(職員マスタ!$K$6:$K$405,$AP1003)&lt;&gt;$W1003),"標準報酬月額が申請書と相違（台帳"&amp;TEXT(INDEX(職員マスタ!$K$6:$K$405,$AP1003),"#,##0")&amp;"円／申請書"&amp;TEXT($W1003,"#,##0")&amp;"円）／","")&amp;IF(AND(INDEX(職員マスタ!$F$6:$F$405,$AP1003)&lt;&gt;"",$AQ1003&lt;&gt;"",INDEX(職員マスタ!$F$6:$F$405,$AP1003)&lt;$AQ1003),"対象月に子が2歳到達済／","")&amp;IF(AND($H1003&lt;&gt;"",INDEX(職員マスタ!$B$6:$B$405,$AP1003)&lt;&gt;"",SUBSTITUTE(SUBSTITUTE($H1003," ","")," ","")&lt;&gt;SUBSTITUTE(SUBSTITUTE(INDEX(職員マスタ!$B$6:$B$405,$AP1003)," ","")," ","")),"氏名がマスタと相違／","")&amp;IF(AND($Q1003&lt;&gt;"",INDEX(職員マスタ!$E$6:$E$405,$AP1003)&lt;&gt;"",$Q1003&lt;&gt;INDEX(職員マスタ!$E$6:$E$405,$AP1003)),"子の生年月日がマスタと相違／","")&amp;IF(AND($L1003&lt;&gt;"",INDEX(職員マスタ!$G$6:$G$405,$AP1003)&lt;&gt;"",$L1003&lt;&gt;INDEX(職員マスタ!$G$6:$G$405,$AP1003)),"時短開始日がマスタと相違／","")&amp;IF(AND($M1003&lt;&gt;"",INDEX(職員マスタ!$H$6:$H$405,$AP1003)&lt;&gt;"",$M1003&lt;&gt;INDEX(職員マスタ!$H$6:$H$405,$AP1003)),"時短終了日がマスタと相違／","")))&amp;IF(AND($B1003&lt;&gt;"",$E1003=""),"報酬額が未入力／","")&amp;IF(N($U1003)&gt;0,"申請書に入力エラーが残っています／","")&amp;IF(AND($B1003&lt;&gt;"",$AQ1003&lt;&gt;""),IF(COUNTIFS($B$6:$B$3005,$B1003,$C$6:$C$3005,$C1003,$D$6:$D$3005,$D1003)&gt;1,"同じ月の請求が重複しています／",""),"")&amp;IF(AND(N($E1003)&gt;0,$AB1003&lt;&gt;"",$AB1003&lt;&gt;"×",$AE1003=0,$AD1003=""),"計算額が下限以下のため不支給／",""))</f>
        <v/>
      </c>
      <c r="AN1003" s="12" t="n"/>
      <c r="AO1003" s="14">
        <f>IF($AF1003="保留中",COUNTIF($AF$6:$AF1003,"保留中"),"")</f>
        <v/>
      </c>
      <c r="AP1003" s="14">
        <f>IF($AQ1003="","",IF(SUMPRODUCT(MAX((職員マスタ!$A$6:$A$405=$B1003)*(((職員マスタ!$G$6:$G$405="")+(職員マスタ!$G$6:$G$405&lt;=EOMONTH($AQ1003,0)))&gt;0)*(((職員マスタ!$H$6:$H$405="")+(職員マスタ!$H$6:$H$405&gt;=$AQ1003))&gt;0)*(ROW(職員マスタ!$A$6:$A$405)-5)))&gt;0,SUMPRODUCT(MAX((職員マスタ!$A$6:$A$405=$B1003)*(((職員マスタ!$G$6:$G$405="")+(職員マスタ!$G$6:$G$405&lt;=EOMONTH($AQ1003,0)))&gt;0)*(((職員マスタ!$H$6:$H$405="")+(職員マスタ!$H$6:$H$405&gt;=$AQ1003))&gt;0)*(ROW(職員マスタ!$A$6:$A$405)-5))),IFERROR(MATCH($B1003,職員マスタ!$A$6:$A$405,0),"")))</f>
        <v/>
      </c>
      <c r="AQ1003" s="16">
        <f>IF(OR($B1003="",$C1003="",$D1003=""),"",DATE($C1003+2018,$D1003,1))</f>
        <v/>
      </c>
    </row>
    <row r="1004">
      <c r="A1004" s="11" t="n"/>
      <c r="B1004" s="12" t="n"/>
      <c r="C1004" s="12" t="n"/>
      <c r="D1004" s="12" t="n"/>
      <c r="E1004" s="13" t="n"/>
      <c r="F1004" s="12" t="n"/>
      <c r="G1004" s="13" t="n"/>
      <c r="H1004" s="12" t="n"/>
      <c r="I1004" s="12" t="n"/>
      <c r="J1004" s="12" t="n"/>
      <c r="K1004" s="12" t="n"/>
      <c r="L1004" s="11" t="n"/>
      <c r="M1004" s="11" t="n"/>
      <c r="N1004" s="11" t="n"/>
      <c r="O1004" s="11" t="n"/>
      <c r="P1004" s="12" t="n"/>
      <c r="Q1004" s="11" t="n"/>
      <c r="R1004" s="12" t="n"/>
      <c r="S1004" s="11" t="n"/>
      <c r="T1004" s="12" t="n"/>
      <c r="U1004" s="12" t="n"/>
      <c r="V1004" s="12" t="n"/>
      <c r="W1004" s="13" t="n"/>
      <c r="X1004" s="14">
        <f>IF($AP1004="",IF($B1004="","",$H1004),IF(INDEX(職員マスタ!$B$6:$B$405,$AP1004)="",$H1004,INDEX(職員マスタ!$B$6:$B$405,$AP1004)))</f>
        <v/>
      </c>
      <c r="Y1004" s="14">
        <f>IF($AP1004="",IF($B1004="","",$R1004),IF(INDEX(職員マスタ!$C$6:$C$405,$AP1004)="",$R1004,INDEX(職員マスタ!$C$6:$C$405,$AP1004)))</f>
        <v/>
      </c>
      <c r="Z1004" s="14">
        <f>IF($AQ1004="","","R"&amp;$C1004&amp;"."&amp;$D1004)</f>
        <v/>
      </c>
      <c r="AA1004" s="15">
        <f>IF(IF($AP1004="",FALSE,INDEX(職員マスタ!$K$6:$K$405,$AP1004)&lt;&gt;""),INDEX(職員マスタ!$K$6:$K$405,$AP1004),IF(N($W1004)&gt;0,$W1004,""))</f>
        <v/>
      </c>
      <c r="AB1004" s="14">
        <f>IF(OR($E1004="",$AA1004=""),"",IF($E1004&gt;=$AA1004,"×",IF($E1004&gt;=$AA1004*設定!$C$5,"△","○")))</f>
        <v/>
      </c>
      <c r="AC1004" s="15">
        <f>IF($AB1004="","",IF($AB1004="×",0,IF($AB1004="○",ROUNDDOWN($E1004*設定!$C$4,0),ROUNDDOWN($E1004*ROUND((9*$AA1004-9*$E1004)/(10*$E1004),4),0))))</f>
        <v/>
      </c>
      <c r="AD1004" s="13" t="n"/>
      <c r="AE1004" s="15">
        <f>IF($B1004="","",IF($AD1004&lt;&gt;"",$AD1004,IF($AC1004="","",IF($AC1004&lt;=設定!$C$3,0,$AC1004))))</f>
        <v/>
      </c>
      <c r="AF1004" s="14">
        <f>IF($B1004="","",IF(AND($AG1004&lt;&gt;"",$AI1004="",$AL1004=""),"保留中",IF($AL1004&lt;&gt;"",IF(N($AE1004)&gt;0,"支給済","不支給"),IF($AE1004="","要確認",IF($AE1004=0,"不支給","未処理")))))</f>
        <v/>
      </c>
      <c r="AG1004" s="12" t="n"/>
      <c r="AH1004" s="11" t="n"/>
      <c r="AI1004" s="11" t="n"/>
      <c r="AJ1004" s="11" t="n"/>
      <c r="AK1004" s="14">
        <f>IF(AND($AF1004="保留中",$AH1004&lt;&gt;""),TODAY()-$AH1004,"")</f>
        <v/>
      </c>
      <c r="AL1004" s="12" t="n"/>
      <c r="AM1004" s="14">
        <f>IF($B1004="","",IF($AQ1004="","対象年月が未入力／","")&amp;IF($B1004="","",IF($AP1004="","職員マスタに未登録の職員番号／",IF($AA1004="","標準報酬月額が未登録／","")&amp;IF(AND($AQ1004&lt;&gt;"",OR(AND(INDEX(職員マスタ!$G$6:$G$405,$AP1004)&lt;&gt;"",INDEX(職員マスタ!$G$6:$G$405,$AP1004)&gt;EOMONTH($AQ1004,0)),AND(INDEX(職員マスタ!$H$6:$H$405,$AP1004)&lt;&gt;"",INDEX(職員マスタ!$H$6:$H$405,$AP1004)&lt;$AQ1004))),"対象月が時短期間外／","")&amp;IF(AND(INDEX(職員マスタ!$K$6:$K$405,$AP1004)&lt;&gt;"",N($W1004)&gt;0,INDEX(職員マスタ!$K$6:$K$405,$AP1004)&lt;&gt;$W1004),"標準報酬月額が申請書と相違（台帳"&amp;TEXT(INDEX(職員マスタ!$K$6:$K$405,$AP1004),"#,##0")&amp;"円／申請書"&amp;TEXT($W1004,"#,##0")&amp;"円）／","")&amp;IF(AND(INDEX(職員マスタ!$F$6:$F$405,$AP1004)&lt;&gt;"",$AQ1004&lt;&gt;"",INDEX(職員マスタ!$F$6:$F$405,$AP1004)&lt;$AQ1004),"対象月に子が2歳到達済／","")&amp;IF(AND($H1004&lt;&gt;"",INDEX(職員マスタ!$B$6:$B$405,$AP1004)&lt;&gt;"",SUBSTITUTE(SUBSTITUTE($H1004," ","")," ","")&lt;&gt;SUBSTITUTE(SUBSTITUTE(INDEX(職員マスタ!$B$6:$B$405,$AP1004)," ","")," ","")),"氏名がマスタと相違／","")&amp;IF(AND($Q1004&lt;&gt;"",INDEX(職員マスタ!$E$6:$E$405,$AP1004)&lt;&gt;"",$Q1004&lt;&gt;INDEX(職員マスタ!$E$6:$E$405,$AP1004)),"子の生年月日がマスタと相違／","")&amp;IF(AND($L1004&lt;&gt;"",INDEX(職員マスタ!$G$6:$G$405,$AP1004)&lt;&gt;"",$L1004&lt;&gt;INDEX(職員マスタ!$G$6:$G$405,$AP1004)),"時短開始日がマスタと相違／","")&amp;IF(AND($M1004&lt;&gt;"",INDEX(職員マスタ!$H$6:$H$405,$AP1004)&lt;&gt;"",$M1004&lt;&gt;INDEX(職員マスタ!$H$6:$H$405,$AP1004)),"時短終了日がマスタと相違／","")))&amp;IF(AND($B1004&lt;&gt;"",$E1004=""),"報酬額が未入力／","")&amp;IF(N($U1004)&gt;0,"申請書に入力エラーが残っています／","")&amp;IF(AND($B1004&lt;&gt;"",$AQ1004&lt;&gt;""),IF(COUNTIFS($B$6:$B$3005,$B1004,$C$6:$C$3005,$C1004,$D$6:$D$3005,$D1004)&gt;1,"同じ月の請求が重複しています／",""),"")&amp;IF(AND(N($E1004)&gt;0,$AB1004&lt;&gt;"",$AB1004&lt;&gt;"×",$AE1004=0,$AD1004=""),"計算額が下限以下のため不支給／",""))</f>
        <v/>
      </c>
      <c r="AN1004" s="12" t="n"/>
      <c r="AO1004" s="14">
        <f>IF($AF1004="保留中",COUNTIF($AF$6:$AF1004,"保留中"),"")</f>
        <v/>
      </c>
      <c r="AP1004" s="14">
        <f>IF($AQ1004="","",IF(SUMPRODUCT(MAX((職員マスタ!$A$6:$A$405=$B1004)*(((職員マスタ!$G$6:$G$405="")+(職員マスタ!$G$6:$G$405&lt;=EOMONTH($AQ1004,0)))&gt;0)*(((職員マスタ!$H$6:$H$405="")+(職員マスタ!$H$6:$H$405&gt;=$AQ1004))&gt;0)*(ROW(職員マスタ!$A$6:$A$405)-5)))&gt;0,SUMPRODUCT(MAX((職員マスタ!$A$6:$A$405=$B1004)*(((職員マスタ!$G$6:$G$405="")+(職員マスタ!$G$6:$G$405&lt;=EOMONTH($AQ1004,0)))&gt;0)*(((職員マスタ!$H$6:$H$405="")+(職員マスタ!$H$6:$H$405&gt;=$AQ1004))&gt;0)*(ROW(職員マスタ!$A$6:$A$405)-5))),IFERROR(MATCH($B1004,職員マスタ!$A$6:$A$405,0),"")))</f>
        <v/>
      </c>
      <c r="AQ1004" s="16">
        <f>IF(OR($B1004="",$C1004="",$D1004=""),"",DATE($C1004+2018,$D1004,1))</f>
        <v/>
      </c>
    </row>
    <row r="1005">
      <c r="A1005" s="11" t="n"/>
      <c r="B1005" s="12" t="n"/>
      <c r="C1005" s="12" t="n"/>
      <c r="D1005" s="12" t="n"/>
      <c r="E1005" s="13" t="n"/>
      <c r="F1005" s="12" t="n"/>
      <c r="G1005" s="13" t="n"/>
      <c r="H1005" s="12" t="n"/>
      <c r="I1005" s="12" t="n"/>
      <c r="J1005" s="12" t="n"/>
      <c r="K1005" s="12" t="n"/>
      <c r="L1005" s="11" t="n"/>
      <c r="M1005" s="11" t="n"/>
      <c r="N1005" s="11" t="n"/>
      <c r="O1005" s="11" t="n"/>
      <c r="P1005" s="12" t="n"/>
      <c r="Q1005" s="11" t="n"/>
      <c r="R1005" s="12" t="n"/>
      <c r="S1005" s="11" t="n"/>
      <c r="T1005" s="12" t="n"/>
      <c r="U1005" s="12" t="n"/>
      <c r="V1005" s="12" t="n"/>
      <c r="W1005" s="13" t="n"/>
      <c r="X1005" s="14">
        <f>IF($AP1005="",IF($B1005="","",$H1005),IF(INDEX(職員マスタ!$B$6:$B$405,$AP1005)="",$H1005,INDEX(職員マスタ!$B$6:$B$405,$AP1005)))</f>
        <v/>
      </c>
      <c r="Y1005" s="14">
        <f>IF($AP1005="",IF($B1005="","",$R1005),IF(INDEX(職員マスタ!$C$6:$C$405,$AP1005)="",$R1005,INDEX(職員マスタ!$C$6:$C$405,$AP1005)))</f>
        <v/>
      </c>
      <c r="Z1005" s="14">
        <f>IF($AQ1005="","","R"&amp;$C1005&amp;"."&amp;$D1005)</f>
        <v/>
      </c>
      <c r="AA1005" s="15">
        <f>IF(IF($AP1005="",FALSE,INDEX(職員マスタ!$K$6:$K$405,$AP1005)&lt;&gt;""),INDEX(職員マスタ!$K$6:$K$405,$AP1005),IF(N($W1005)&gt;0,$W1005,""))</f>
        <v/>
      </c>
      <c r="AB1005" s="14">
        <f>IF(OR($E1005="",$AA1005=""),"",IF($E1005&gt;=$AA1005,"×",IF($E1005&gt;=$AA1005*設定!$C$5,"△","○")))</f>
        <v/>
      </c>
      <c r="AC1005" s="15">
        <f>IF($AB1005="","",IF($AB1005="×",0,IF($AB1005="○",ROUNDDOWN($E1005*設定!$C$4,0),ROUNDDOWN($E1005*ROUND((9*$AA1005-9*$E1005)/(10*$E1005),4),0))))</f>
        <v/>
      </c>
      <c r="AD1005" s="13" t="n"/>
      <c r="AE1005" s="15">
        <f>IF($B1005="","",IF($AD1005&lt;&gt;"",$AD1005,IF($AC1005="","",IF($AC1005&lt;=設定!$C$3,0,$AC1005))))</f>
        <v/>
      </c>
      <c r="AF1005" s="14">
        <f>IF($B1005="","",IF(AND($AG1005&lt;&gt;"",$AI1005="",$AL1005=""),"保留中",IF($AL1005&lt;&gt;"",IF(N($AE1005)&gt;0,"支給済","不支給"),IF($AE1005="","要確認",IF($AE1005=0,"不支給","未処理")))))</f>
        <v/>
      </c>
      <c r="AG1005" s="12" t="n"/>
      <c r="AH1005" s="11" t="n"/>
      <c r="AI1005" s="11" t="n"/>
      <c r="AJ1005" s="11" t="n"/>
      <c r="AK1005" s="14">
        <f>IF(AND($AF1005="保留中",$AH1005&lt;&gt;""),TODAY()-$AH1005,"")</f>
        <v/>
      </c>
      <c r="AL1005" s="12" t="n"/>
      <c r="AM1005" s="14">
        <f>IF($B1005="","",IF($AQ1005="","対象年月が未入力／","")&amp;IF($B1005="","",IF($AP1005="","職員マスタに未登録の職員番号／",IF($AA1005="","標準報酬月額が未登録／","")&amp;IF(AND($AQ1005&lt;&gt;"",OR(AND(INDEX(職員マスタ!$G$6:$G$405,$AP1005)&lt;&gt;"",INDEX(職員マスタ!$G$6:$G$405,$AP1005)&gt;EOMONTH($AQ1005,0)),AND(INDEX(職員マスタ!$H$6:$H$405,$AP1005)&lt;&gt;"",INDEX(職員マスタ!$H$6:$H$405,$AP1005)&lt;$AQ1005))),"対象月が時短期間外／","")&amp;IF(AND(INDEX(職員マスタ!$K$6:$K$405,$AP1005)&lt;&gt;"",N($W1005)&gt;0,INDEX(職員マスタ!$K$6:$K$405,$AP1005)&lt;&gt;$W1005),"標準報酬月額が申請書と相違（台帳"&amp;TEXT(INDEX(職員マスタ!$K$6:$K$405,$AP1005),"#,##0")&amp;"円／申請書"&amp;TEXT($W1005,"#,##0")&amp;"円）／","")&amp;IF(AND(INDEX(職員マスタ!$F$6:$F$405,$AP1005)&lt;&gt;"",$AQ1005&lt;&gt;"",INDEX(職員マスタ!$F$6:$F$405,$AP1005)&lt;$AQ1005),"対象月に子が2歳到達済／","")&amp;IF(AND($H1005&lt;&gt;"",INDEX(職員マスタ!$B$6:$B$405,$AP1005)&lt;&gt;"",SUBSTITUTE(SUBSTITUTE($H1005," ","")," ","")&lt;&gt;SUBSTITUTE(SUBSTITUTE(INDEX(職員マスタ!$B$6:$B$405,$AP1005)," ","")," ","")),"氏名がマスタと相違／","")&amp;IF(AND($Q1005&lt;&gt;"",INDEX(職員マスタ!$E$6:$E$405,$AP1005)&lt;&gt;"",$Q1005&lt;&gt;INDEX(職員マスタ!$E$6:$E$405,$AP1005)),"子の生年月日がマスタと相違／","")&amp;IF(AND($L1005&lt;&gt;"",INDEX(職員マスタ!$G$6:$G$405,$AP1005)&lt;&gt;"",$L1005&lt;&gt;INDEX(職員マスタ!$G$6:$G$405,$AP1005)),"時短開始日がマスタと相違／","")&amp;IF(AND($M1005&lt;&gt;"",INDEX(職員マスタ!$H$6:$H$405,$AP1005)&lt;&gt;"",$M1005&lt;&gt;INDEX(職員マスタ!$H$6:$H$405,$AP1005)),"時短終了日がマスタと相違／","")))&amp;IF(AND($B1005&lt;&gt;"",$E1005=""),"報酬額が未入力／","")&amp;IF(N($U1005)&gt;0,"申請書に入力エラーが残っています／","")&amp;IF(AND($B1005&lt;&gt;"",$AQ1005&lt;&gt;""),IF(COUNTIFS($B$6:$B$3005,$B1005,$C$6:$C$3005,$C1005,$D$6:$D$3005,$D1005)&gt;1,"同じ月の請求が重複しています／",""),"")&amp;IF(AND(N($E1005)&gt;0,$AB1005&lt;&gt;"",$AB1005&lt;&gt;"×",$AE1005=0,$AD1005=""),"計算額が下限以下のため不支給／",""))</f>
        <v/>
      </c>
      <c r="AN1005" s="12" t="n"/>
      <c r="AO1005" s="14">
        <f>IF($AF1005="保留中",COUNTIF($AF$6:$AF1005,"保留中"),"")</f>
        <v/>
      </c>
      <c r="AP1005" s="14">
        <f>IF($AQ1005="","",IF(SUMPRODUCT(MAX((職員マスタ!$A$6:$A$405=$B1005)*(((職員マスタ!$G$6:$G$405="")+(職員マスタ!$G$6:$G$405&lt;=EOMONTH($AQ1005,0)))&gt;0)*(((職員マスタ!$H$6:$H$405="")+(職員マスタ!$H$6:$H$405&gt;=$AQ1005))&gt;0)*(ROW(職員マスタ!$A$6:$A$405)-5)))&gt;0,SUMPRODUCT(MAX((職員マスタ!$A$6:$A$405=$B1005)*(((職員マスタ!$G$6:$G$405="")+(職員マスタ!$G$6:$G$405&lt;=EOMONTH($AQ1005,0)))&gt;0)*(((職員マスタ!$H$6:$H$405="")+(職員マスタ!$H$6:$H$405&gt;=$AQ1005))&gt;0)*(ROW(職員マスタ!$A$6:$A$405)-5))),IFERROR(MATCH($B1005,職員マスタ!$A$6:$A$405,0),"")))</f>
        <v/>
      </c>
      <c r="AQ1005" s="16">
        <f>IF(OR($B1005="",$C1005="",$D1005=""),"",DATE($C1005+2018,$D1005,1))</f>
        <v/>
      </c>
    </row>
    <row r="1006">
      <c r="A1006" s="11" t="n"/>
      <c r="B1006" s="12" t="n"/>
      <c r="C1006" s="12" t="n"/>
      <c r="D1006" s="12" t="n"/>
      <c r="E1006" s="13" t="n"/>
      <c r="F1006" s="12" t="n"/>
      <c r="G1006" s="13" t="n"/>
      <c r="H1006" s="12" t="n"/>
      <c r="I1006" s="12" t="n"/>
      <c r="J1006" s="12" t="n"/>
      <c r="K1006" s="12" t="n"/>
      <c r="L1006" s="11" t="n"/>
      <c r="M1006" s="11" t="n"/>
      <c r="N1006" s="11" t="n"/>
      <c r="O1006" s="11" t="n"/>
      <c r="P1006" s="12" t="n"/>
      <c r="Q1006" s="11" t="n"/>
      <c r="R1006" s="12" t="n"/>
      <c r="S1006" s="11" t="n"/>
      <c r="T1006" s="12" t="n"/>
      <c r="U1006" s="12" t="n"/>
      <c r="V1006" s="12" t="n"/>
      <c r="W1006" s="13" t="n"/>
      <c r="X1006" s="14">
        <f>IF($AP1006="",IF($B1006="","",$H1006),IF(INDEX(職員マスタ!$B$6:$B$405,$AP1006)="",$H1006,INDEX(職員マスタ!$B$6:$B$405,$AP1006)))</f>
        <v/>
      </c>
      <c r="Y1006" s="14">
        <f>IF($AP1006="",IF($B1006="","",$R1006),IF(INDEX(職員マスタ!$C$6:$C$405,$AP1006)="",$R1006,INDEX(職員マスタ!$C$6:$C$405,$AP1006)))</f>
        <v/>
      </c>
      <c r="Z1006" s="14">
        <f>IF($AQ1006="","","R"&amp;$C1006&amp;"."&amp;$D1006)</f>
        <v/>
      </c>
      <c r="AA1006" s="15">
        <f>IF(IF($AP1006="",FALSE,INDEX(職員マスタ!$K$6:$K$405,$AP1006)&lt;&gt;""),INDEX(職員マスタ!$K$6:$K$405,$AP1006),IF(N($W1006)&gt;0,$W1006,""))</f>
        <v/>
      </c>
      <c r="AB1006" s="14">
        <f>IF(OR($E1006="",$AA1006=""),"",IF($E1006&gt;=$AA1006,"×",IF($E1006&gt;=$AA1006*設定!$C$5,"△","○")))</f>
        <v/>
      </c>
      <c r="AC1006" s="15">
        <f>IF($AB1006="","",IF($AB1006="×",0,IF($AB1006="○",ROUNDDOWN($E1006*設定!$C$4,0),ROUNDDOWN($E1006*ROUND((9*$AA1006-9*$E1006)/(10*$E1006),4),0))))</f>
        <v/>
      </c>
      <c r="AD1006" s="13" t="n"/>
      <c r="AE1006" s="15">
        <f>IF($B1006="","",IF($AD1006&lt;&gt;"",$AD1006,IF($AC1006="","",IF($AC1006&lt;=設定!$C$3,0,$AC1006))))</f>
        <v/>
      </c>
      <c r="AF1006" s="14">
        <f>IF($B1006="","",IF(AND($AG1006&lt;&gt;"",$AI1006="",$AL1006=""),"保留中",IF($AL1006&lt;&gt;"",IF(N($AE1006)&gt;0,"支給済","不支給"),IF($AE1006="","要確認",IF($AE1006=0,"不支給","未処理")))))</f>
        <v/>
      </c>
      <c r="AG1006" s="12" t="n"/>
      <c r="AH1006" s="11" t="n"/>
      <c r="AI1006" s="11" t="n"/>
      <c r="AJ1006" s="11" t="n"/>
      <c r="AK1006" s="14">
        <f>IF(AND($AF1006="保留中",$AH1006&lt;&gt;""),TODAY()-$AH1006,"")</f>
        <v/>
      </c>
      <c r="AL1006" s="12" t="n"/>
      <c r="AM1006" s="14">
        <f>IF($B1006="","",IF($AQ1006="","対象年月が未入力／","")&amp;IF($B1006="","",IF($AP1006="","職員マスタに未登録の職員番号／",IF($AA1006="","標準報酬月額が未登録／","")&amp;IF(AND($AQ1006&lt;&gt;"",OR(AND(INDEX(職員マスタ!$G$6:$G$405,$AP1006)&lt;&gt;"",INDEX(職員マスタ!$G$6:$G$405,$AP1006)&gt;EOMONTH($AQ1006,0)),AND(INDEX(職員マスタ!$H$6:$H$405,$AP1006)&lt;&gt;"",INDEX(職員マスタ!$H$6:$H$405,$AP1006)&lt;$AQ1006))),"対象月が時短期間外／","")&amp;IF(AND(INDEX(職員マスタ!$K$6:$K$405,$AP1006)&lt;&gt;"",N($W1006)&gt;0,INDEX(職員マスタ!$K$6:$K$405,$AP1006)&lt;&gt;$W1006),"標準報酬月額が申請書と相違（台帳"&amp;TEXT(INDEX(職員マスタ!$K$6:$K$405,$AP1006),"#,##0")&amp;"円／申請書"&amp;TEXT($W1006,"#,##0")&amp;"円）／","")&amp;IF(AND(INDEX(職員マスタ!$F$6:$F$405,$AP1006)&lt;&gt;"",$AQ1006&lt;&gt;"",INDEX(職員マスタ!$F$6:$F$405,$AP1006)&lt;$AQ1006),"対象月に子が2歳到達済／","")&amp;IF(AND($H1006&lt;&gt;"",INDEX(職員マスタ!$B$6:$B$405,$AP1006)&lt;&gt;"",SUBSTITUTE(SUBSTITUTE($H1006," ","")," ","")&lt;&gt;SUBSTITUTE(SUBSTITUTE(INDEX(職員マスタ!$B$6:$B$405,$AP1006)," ","")," ","")),"氏名がマスタと相違／","")&amp;IF(AND($Q1006&lt;&gt;"",INDEX(職員マスタ!$E$6:$E$405,$AP1006)&lt;&gt;"",$Q1006&lt;&gt;INDEX(職員マスタ!$E$6:$E$405,$AP1006)),"子の生年月日がマスタと相違／","")&amp;IF(AND($L1006&lt;&gt;"",INDEX(職員マスタ!$G$6:$G$405,$AP1006)&lt;&gt;"",$L1006&lt;&gt;INDEX(職員マスタ!$G$6:$G$405,$AP1006)),"時短開始日がマスタと相違／","")&amp;IF(AND($M1006&lt;&gt;"",INDEX(職員マスタ!$H$6:$H$405,$AP1006)&lt;&gt;"",$M1006&lt;&gt;INDEX(職員マスタ!$H$6:$H$405,$AP1006)),"時短終了日がマスタと相違／","")))&amp;IF(AND($B1006&lt;&gt;"",$E1006=""),"報酬額が未入力／","")&amp;IF(N($U1006)&gt;0,"申請書に入力エラーが残っています／","")&amp;IF(AND($B1006&lt;&gt;"",$AQ1006&lt;&gt;""),IF(COUNTIFS($B$6:$B$3005,$B1006,$C$6:$C$3005,$C1006,$D$6:$D$3005,$D1006)&gt;1,"同じ月の請求が重複しています／",""),"")&amp;IF(AND(N($E1006)&gt;0,$AB1006&lt;&gt;"",$AB1006&lt;&gt;"×",$AE1006=0,$AD1006=""),"計算額が下限以下のため不支給／",""))</f>
        <v/>
      </c>
      <c r="AN1006" s="12" t="n"/>
      <c r="AO1006" s="14">
        <f>IF($AF1006="保留中",COUNTIF($AF$6:$AF1006,"保留中"),"")</f>
        <v/>
      </c>
      <c r="AP1006" s="14">
        <f>IF($AQ1006="","",IF(SUMPRODUCT(MAX((職員マスタ!$A$6:$A$405=$B1006)*(((職員マスタ!$G$6:$G$405="")+(職員マスタ!$G$6:$G$405&lt;=EOMONTH($AQ1006,0)))&gt;0)*(((職員マスタ!$H$6:$H$405="")+(職員マスタ!$H$6:$H$405&gt;=$AQ1006))&gt;0)*(ROW(職員マスタ!$A$6:$A$405)-5)))&gt;0,SUMPRODUCT(MAX((職員マスタ!$A$6:$A$405=$B1006)*(((職員マスタ!$G$6:$G$405="")+(職員マスタ!$G$6:$G$405&lt;=EOMONTH($AQ1006,0)))&gt;0)*(((職員マスタ!$H$6:$H$405="")+(職員マスタ!$H$6:$H$405&gt;=$AQ1006))&gt;0)*(ROW(職員マスタ!$A$6:$A$405)-5))),IFERROR(MATCH($B1006,職員マスタ!$A$6:$A$405,0),"")))</f>
        <v/>
      </c>
      <c r="AQ1006" s="16">
        <f>IF(OR($B1006="",$C1006="",$D1006=""),"",DATE($C1006+2018,$D1006,1))</f>
        <v/>
      </c>
    </row>
    <row r="1007">
      <c r="A1007" s="11" t="n"/>
      <c r="B1007" s="12" t="n"/>
      <c r="C1007" s="12" t="n"/>
      <c r="D1007" s="12" t="n"/>
      <c r="E1007" s="13" t="n"/>
      <c r="F1007" s="12" t="n"/>
      <c r="G1007" s="13" t="n"/>
      <c r="H1007" s="12" t="n"/>
      <c r="I1007" s="12" t="n"/>
      <c r="J1007" s="12" t="n"/>
      <c r="K1007" s="12" t="n"/>
      <c r="L1007" s="11" t="n"/>
      <c r="M1007" s="11" t="n"/>
      <c r="N1007" s="11" t="n"/>
      <c r="O1007" s="11" t="n"/>
      <c r="P1007" s="12" t="n"/>
      <c r="Q1007" s="11" t="n"/>
      <c r="R1007" s="12" t="n"/>
      <c r="S1007" s="11" t="n"/>
      <c r="T1007" s="12" t="n"/>
      <c r="U1007" s="12" t="n"/>
      <c r="V1007" s="12" t="n"/>
      <c r="W1007" s="13" t="n"/>
      <c r="X1007" s="14">
        <f>IF($AP1007="",IF($B1007="","",$H1007),IF(INDEX(職員マスタ!$B$6:$B$405,$AP1007)="",$H1007,INDEX(職員マスタ!$B$6:$B$405,$AP1007)))</f>
        <v/>
      </c>
      <c r="Y1007" s="14">
        <f>IF($AP1007="",IF($B1007="","",$R1007),IF(INDEX(職員マスタ!$C$6:$C$405,$AP1007)="",$R1007,INDEX(職員マスタ!$C$6:$C$405,$AP1007)))</f>
        <v/>
      </c>
      <c r="Z1007" s="14">
        <f>IF($AQ1007="","","R"&amp;$C1007&amp;"."&amp;$D1007)</f>
        <v/>
      </c>
      <c r="AA1007" s="15">
        <f>IF(IF($AP1007="",FALSE,INDEX(職員マスタ!$K$6:$K$405,$AP1007)&lt;&gt;""),INDEX(職員マスタ!$K$6:$K$405,$AP1007),IF(N($W1007)&gt;0,$W1007,""))</f>
        <v/>
      </c>
      <c r="AB1007" s="14">
        <f>IF(OR($E1007="",$AA1007=""),"",IF($E1007&gt;=$AA1007,"×",IF($E1007&gt;=$AA1007*設定!$C$5,"△","○")))</f>
        <v/>
      </c>
      <c r="AC1007" s="15">
        <f>IF($AB1007="","",IF($AB1007="×",0,IF($AB1007="○",ROUNDDOWN($E1007*設定!$C$4,0),ROUNDDOWN($E1007*ROUND((9*$AA1007-9*$E1007)/(10*$E1007),4),0))))</f>
        <v/>
      </c>
      <c r="AD1007" s="13" t="n"/>
      <c r="AE1007" s="15">
        <f>IF($B1007="","",IF($AD1007&lt;&gt;"",$AD1007,IF($AC1007="","",IF($AC1007&lt;=設定!$C$3,0,$AC1007))))</f>
        <v/>
      </c>
      <c r="AF1007" s="14">
        <f>IF($B1007="","",IF(AND($AG1007&lt;&gt;"",$AI1007="",$AL1007=""),"保留中",IF($AL1007&lt;&gt;"",IF(N($AE1007)&gt;0,"支給済","不支給"),IF($AE1007="","要確認",IF($AE1007=0,"不支給","未処理")))))</f>
        <v/>
      </c>
      <c r="AG1007" s="12" t="n"/>
      <c r="AH1007" s="11" t="n"/>
      <c r="AI1007" s="11" t="n"/>
      <c r="AJ1007" s="11" t="n"/>
      <c r="AK1007" s="14">
        <f>IF(AND($AF1007="保留中",$AH1007&lt;&gt;""),TODAY()-$AH1007,"")</f>
        <v/>
      </c>
      <c r="AL1007" s="12" t="n"/>
      <c r="AM1007" s="14">
        <f>IF($B1007="","",IF($AQ1007="","対象年月が未入力／","")&amp;IF($B1007="","",IF($AP1007="","職員マスタに未登録の職員番号／",IF($AA1007="","標準報酬月額が未登録／","")&amp;IF(AND($AQ1007&lt;&gt;"",OR(AND(INDEX(職員マスタ!$G$6:$G$405,$AP1007)&lt;&gt;"",INDEX(職員マスタ!$G$6:$G$405,$AP1007)&gt;EOMONTH($AQ1007,0)),AND(INDEX(職員マスタ!$H$6:$H$405,$AP1007)&lt;&gt;"",INDEX(職員マスタ!$H$6:$H$405,$AP1007)&lt;$AQ1007))),"対象月が時短期間外／","")&amp;IF(AND(INDEX(職員マスタ!$K$6:$K$405,$AP1007)&lt;&gt;"",N($W1007)&gt;0,INDEX(職員マスタ!$K$6:$K$405,$AP1007)&lt;&gt;$W1007),"標準報酬月額が申請書と相違（台帳"&amp;TEXT(INDEX(職員マスタ!$K$6:$K$405,$AP1007),"#,##0")&amp;"円／申請書"&amp;TEXT($W1007,"#,##0")&amp;"円）／","")&amp;IF(AND(INDEX(職員マスタ!$F$6:$F$405,$AP1007)&lt;&gt;"",$AQ1007&lt;&gt;"",INDEX(職員マスタ!$F$6:$F$405,$AP1007)&lt;$AQ1007),"対象月に子が2歳到達済／","")&amp;IF(AND($H1007&lt;&gt;"",INDEX(職員マスタ!$B$6:$B$405,$AP1007)&lt;&gt;"",SUBSTITUTE(SUBSTITUTE($H1007," ","")," ","")&lt;&gt;SUBSTITUTE(SUBSTITUTE(INDEX(職員マスタ!$B$6:$B$405,$AP1007)," ","")," ","")),"氏名がマスタと相違／","")&amp;IF(AND($Q1007&lt;&gt;"",INDEX(職員マスタ!$E$6:$E$405,$AP1007)&lt;&gt;"",$Q1007&lt;&gt;INDEX(職員マスタ!$E$6:$E$405,$AP1007)),"子の生年月日がマスタと相違／","")&amp;IF(AND($L1007&lt;&gt;"",INDEX(職員マスタ!$G$6:$G$405,$AP1007)&lt;&gt;"",$L1007&lt;&gt;INDEX(職員マスタ!$G$6:$G$405,$AP1007)),"時短開始日がマスタと相違／","")&amp;IF(AND($M1007&lt;&gt;"",INDEX(職員マスタ!$H$6:$H$405,$AP1007)&lt;&gt;"",$M1007&lt;&gt;INDEX(職員マスタ!$H$6:$H$405,$AP1007)),"時短終了日がマスタと相違／","")))&amp;IF(AND($B1007&lt;&gt;"",$E1007=""),"報酬額が未入力／","")&amp;IF(N($U1007)&gt;0,"申請書に入力エラーが残っています／","")&amp;IF(AND($B1007&lt;&gt;"",$AQ1007&lt;&gt;""),IF(COUNTIFS($B$6:$B$3005,$B1007,$C$6:$C$3005,$C1007,$D$6:$D$3005,$D1007)&gt;1,"同じ月の請求が重複しています／",""),"")&amp;IF(AND(N($E1007)&gt;0,$AB1007&lt;&gt;"",$AB1007&lt;&gt;"×",$AE1007=0,$AD1007=""),"計算額が下限以下のため不支給／",""))</f>
        <v/>
      </c>
      <c r="AN1007" s="12" t="n"/>
      <c r="AO1007" s="14">
        <f>IF($AF1007="保留中",COUNTIF($AF$6:$AF1007,"保留中"),"")</f>
        <v/>
      </c>
      <c r="AP1007" s="14">
        <f>IF($AQ1007="","",IF(SUMPRODUCT(MAX((職員マスタ!$A$6:$A$405=$B1007)*(((職員マスタ!$G$6:$G$405="")+(職員マスタ!$G$6:$G$405&lt;=EOMONTH($AQ1007,0)))&gt;0)*(((職員マスタ!$H$6:$H$405="")+(職員マスタ!$H$6:$H$405&gt;=$AQ1007))&gt;0)*(ROW(職員マスタ!$A$6:$A$405)-5)))&gt;0,SUMPRODUCT(MAX((職員マスタ!$A$6:$A$405=$B1007)*(((職員マスタ!$G$6:$G$405="")+(職員マスタ!$G$6:$G$405&lt;=EOMONTH($AQ1007,0)))&gt;0)*(((職員マスタ!$H$6:$H$405="")+(職員マスタ!$H$6:$H$405&gt;=$AQ1007))&gt;0)*(ROW(職員マスタ!$A$6:$A$405)-5))),IFERROR(MATCH($B1007,職員マスタ!$A$6:$A$405,0),"")))</f>
        <v/>
      </c>
      <c r="AQ1007" s="16">
        <f>IF(OR($B1007="",$C1007="",$D1007=""),"",DATE($C1007+2018,$D1007,1))</f>
        <v/>
      </c>
    </row>
    <row r="1008">
      <c r="A1008" s="11" t="n"/>
      <c r="B1008" s="12" t="n"/>
      <c r="C1008" s="12" t="n"/>
      <c r="D1008" s="12" t="n"/>
      <c r="E1008" s="13" t="n"/>
      <c r="F1008" s="12" t="n"/>
      <c r="G1008" s="13" t="n"/>
      <c r="H1008" s="12" t="n"/>
      <c r="I1008" s="12" t="n"/>
      <c r="J1008" s="12" t="n"/>
      <c r="K1008" s="12" t="n"/>
      <c r="L1008" s="11" t="n"/>
      <c r="M1008" s="11" t="n"/>
      <c r="N1008" s="11" t="n"/>
      <c r="O1008" s="11" t="n"/>
      <c r="P1008" s="12" t="n"/>
      <c r="Q1008" s="11" t="n"/>
      <c r="R1008" s="12" t="n"/>
      <c r="S1008" s="11" t="n"/>
      <c r="T1008" s="12" t="n"/>
      <c r="U1008" s="12" t="n"/>
      <c r="V1008" s="12" t="n"/>
      <c r="W1008" s="13" t="n"/>
      <c r="X1008" s="14">
        <f>IF($AP1008="",IF($B1008="","",$H1008),IF(INDEX(職員マスタ!$B$6:$B$405,$AP1008)="",$H1008,INDEX(職員マスタ!$B$6:$B$405,$AP1008)))</f>
        <v/>
      </c>
      <c r="Y1008" s="14">
        <f>IF($AP1008="",IF($B1008="","",$R1008),IF(INDEX(職員マスタ!$C$6:$C$405,$AP1008)="",$R1008,INDEX(職員マスタ!$C$6:$C$405,$AP1008)))</f>
        <v/>
      </c>
      <c r="Z1008" s="14">
        <f>IF($AQ1008="","","R"&amp;$C1008&amp;"."&amp;$D1008)</f>
        <v/>
      </c>
      <c r="AA1008" s="15">
        <f>IF(IF($AP1008="",FALSE,INDEX(職員マスタ!$K$6:$K$405,$AP1008)&lt;&gt;""),INDEX(職員マスタ!$K$6:$K$405,$AP1008),IF(N($W1008)&gt;0,$W1008,""))</f>
        <v/>
      </c>
      <c r="AB1008" s="14">
        <f>IF(OR($E1008="",$AA1008=""),"",IF($E1008&gt;=$AA1008,"×",IF($E1008&gt;=$AA1008*設定!$C$5,"△","○")))</f>
        <v/>
      </c>
      <c r="AC1008" s="15">
        <f>IF($AB1008="","",IF($AB1008="×",0,IF($AB1008="○",ROUNDDOWN($E1008*設定!$C$4,0),ROUNDDOWN($E1008*ROUND((9*$AA1008-9*$E1008)/(10*$E1008),4),0))))</f>
        <v/>
      </c>
      <c r="AD1008" s="13" t="n"/>
      <c r="AE1008" s="15">
        <f>IF($B1008="","",IF($AD1008&lt;&gt;"",$AD1008,IF($AC1008="","",IF($AC1008&lt;=設定!$C$3,0,$AC1008))))</f>
        <v/>
      </c>
      <c r="AF1008" s="14">
        <f>IF($B1008="","",IF(AND($AG1008&lt;&gt;"",$AI1008="",$AL1008=""),"保留中",IF($AL1008&lt;&gt;"",IF(N($AE1008)&gt;0,"支給済","不支給"),IF($AE1008="","要確認",IF($AE1008=0,"不支給","未処理")))))</f>
        <v/>
      </c>
      <c r="AG1008" s="12" t="n"/>
      <c r="AH1008" s="11" t="n"/>
      <c r="AI1008" s="11" t="n"/>
      <c r="AJ1008" s="11" t="n"/>
      <c r="AK1008" s="14">
        <f>IF(AND($AF1008="保留中",$AH1008&lt;&gt;""),TODAY()-$AH1008,"")</f>
        <v/>
      </c>
      <c r="AL1008" s="12" t="n"/>
      <c r="AM1008" s="14">
        <f>IF($B1008="","",IF($AQ1008="","対象年月が未入力／","")&amp;IF($B1008="","",IF($AP1008="","職員マスタに未登録の職員番号／",IF($AA1008="","標準報酬月額が未登録／","")&amp;IF(AND($AQ1008&lt;&gt;"",OR(AND(INDEX(職員マスタ!$G$6:$G$405,$AP1008)&lt;&gt;"",INDEX(職員マスタ!$G$6:$G$405,$AP1008)&gt;EOMONTH($AQ1008,0)),AND(INDEX(職員マスタ!$H$6:$H$405,$AP1008)&lt;&gt;"",INDEX(職員マスタ!$H$6:$H$405,$AP1008)&lt;$AQ1008))),"対象月が時短期間外／","")&amp;IF(AND(INDEX(職員マスタ!$K$6:$K$405,$AP1008)&lt;&gt;"",N($W1008)&gt;0,INDEX(職員マスタ!$K$6:$K$405,$AP1008)&lt;&gt;$W1008),"標準報酬月額が申請書と相違（台帳"&amp;TEXT(INDEX(職員マスタ!$K$6:$K$405,$AP1008),"#,##0")&amp;"円／申請書"&amp;TEXT($W1008,"#,##0")&amp;"円）／","")&amp;IF(AND(INDEX(職員マスタ!$F$6:$F$405,$AP1008)&lt;&gt;"",$AQ1008&lt;&gt;"",INDEX(職員マスタ!$F$6:$F$405,$AP1008)&lt;$AQ1008),"対象月に子が2歳到達済／","")&amp;IF(AND($H1008&lt;&gt;"",INDEX(職員マスタ!$B$6:$B$405,$AP1008)&lt;&gt;"",SUBSTITUTE(SUBSTITUTE($H1008," ","")," ","")&lt;&gt;SUBSTITUTE(SUBSTITUTE(INDEX(職員マスタ!$B$6:$B$405,$AP1008)," ","")," ","")),"氏名がマスタと相違／","")&amp;IF(AND($Q1008&lt;&gt;"",INDEX(職員マスタ!$E$6:$E$405,$AP1008)&lt;&gt;"",$Q1008&lt;&gt;INDEX(職員マスタ!$E$6:$E$405,$AP1008)),"子の生年月日がマスタと相違／","")&amp;IF(AND($L1008&lt;&gt;"",INDEX(職員マスタ!$G$6:$G$405,$AP1008)&lt;&gt;"",$L1008&lt;&gt;INDEX(職員マスタ!$G$6:$G$405,$AP1008)),"時短開始日がマスタと相違／","")&amp;IF(AND($M1008&lt;&gt;"",INDEX(職員マスタ!$H$6:$H$405,$AP1008)&lt;&gt;"",$M1008&lt;&gt;INDEX(職員マスタ!$H$6:$H$405,$AP1008)),"時短終了日がマスタと相違／","")))&amp;IF(AND($B1008&lt;&gt;"",$E1008=""),"報酬額が未入力／","")&amp;IF(N($U1008)&gt;0,"申請書に入力エラーが残っています／","")&amp;IF(AND($B1008&lt;&gt;"",$AQ1008&lt;&gt;""),IF(COUNTIFS($B$6:$B$3005,$B1008,$C$6:$C$3005,$C1008,$D$6:$D$3005,$D1008)&gt;1,"同じ月の請求が重複しています／",""),"")&amp;IF(AND(N($E1008)&gt;0,$AB1008&lt;&gt;"",$AB1008&lt;&gt;"×",$AE1008=0,$AD1008=""),"計算額が下限以下のため不支給／",""))</f>
        <v/>
      </c>
      <c r="AN1008" s="12" t="n"/>
      <c r="AO1008" s="14">
        <f>IF($AF1008="保留中",COUNTIF($AF$6:$AF1008,"保留中"),"")</f>
        <v/>
      </c>
      <c r="AP1008" s="14">
        <f>IF($AQ1008="","",IF(SUMPRODUCT(MAX((職員マスタ!$A$6:$A$405=$B1008)*(((職員マスタ!$G$6:$G$405="")+(職員マスタ!$G$6:$G$405&lt;=EOMONTH($AQ1008,0)))&gt;0)*(((職員マスタ!$H$6:$H$405="")+(職員マスタ!$H$6:$H$405&gt;=$AQ1008))&gt;0)*(ROW(職員マスタ!$A$6:$A$405)-5)))&gt;0,SUMPRODUCT(MAX((職員マスタ!$A$6:$A$405=$B1008)*(((職員マスタ!$G$6:$G$405="")+(職員マスタ!$G$6:$G$405&lt;=EOMONTH($AQ1008,0)))&gt;0)*(((職員マスタ!$H$6:$H$405="")+(職員マスタ!$H$6:$H$405&gt;=$AQ1008))&gt;0)*(ROW(職員マスタ!$A$6:$A$405)-5))),IFERROR(MATCH($B1008,職員マスタ!$A$6:$A$405,0),"")))</f>
        <v/>
      </c>
      <c r="AQ1008" s="16">
        <f>IF(OR($B1008="",$C1008="",$D1008=""),"",DATE($C1008+2018,$D1008,1))</f>
        <v/>
      </c>
    </row>
    <row r="1009">
      <c r="A1009" s="11" t="n"/>
      <c r="B1009" s="12" t="n"/>
      <c r="C1009" s="12" t="n"/>
      <c r="D1009" s="12" t="n"/>
      <c r="E1009" s="13" t="n"/>
      <c r="F1009" s="12" t="n"/>
      <c r="G1009" s="13" t="n"/>
      <c r="H1009" s="12" t="n"/>
      <c r="I1009" s="12" t="n"/>
      <c r="J1009" s="12" t="n"/>
      <c r="K1009" s="12" t="n"/>
      <c r="L1009" s="11" t="n"/>
      <c r="M1009" s="11" t="n"/>
      <c r="N1009" s="11" t="n"/>
      <c r="O1009" s="11" t="n"/>
      <c r="P1009" s="12" t="n"/>
      <c r="Q1009" s="11" t="n"/>
      <c r="R1009" s="12" t="n"/>
      <c r="S1009" s="11" t="n"/>
      <c r="T1009" s="12" t="n"/>
      <c r="U1009" s="12" t="n"/>
      <c r="V1009" s="12" t="n"/>
      <c r="W1009" s="13" t="n"/>
      <c r="X1009" s="14">
        <f>IF($AP1009="",IF($B1009="","",$H1009),IF(INDEX(職員マスタ!$B$6:$B$405,$AP1009)="",$H1009,INDEX(職員マスタ!$B$6:$B$405,$AP1009)))</f>
        <v/>
      </c>
      <c r="Y1009" s="14">
        <f>IF($AP1009="",IF($B1009="","",$R1009),IF(INDEX(職員マスタ!$C$6:$C$405,$AP1009)="",$R1009,INDEX(職員マスタ!$C$6:$C$405,$AP1009)))</f>
        <v/>
      </c>
      <c r="Z1009" s="14">
        <f>IF($AQ1009="","","R"&amp;$C1009&amp;"."&amp;$D1009)</f>
        <v/>
      </c>
      <c r="AA1009" s="15">
        <f>IF(IF($AP1009="",FALSE,INDEX(職員マスタ!$K$6:$K$405,$AP1009)&lt;&gt;""),INDEX(職員マスタ!$K$6:$K$405,$AP1009),IF(N($W1009)&gt;0,$W1009,""))</f>
        <v/>
      </c>
      <c r="AB1009" s="14">
        <f>IF(OR($E1009="",$AA1009=""),"",IF($E1009&gt;=$AA1009,"×",IF($E1009&gt;=$AA1009*設定!$C$5,"△","○")))</f>
        <v/>
      </c>
      <c r="AC1009" s="15">
        <f>IF($AB1009="","",IF($AB1009="×",0,IF($AB1009="○",ROUNDDOWN($E1009*設定!$C$4,0),ROUNDDOWN($E1009*ROUND((9*$AA1009-9*$E1009)/(10*$E1009),4),0))))</f>
        <v/>
      </c>
      <c r="AD1009" s="13" t="n"/>
      <c r="AE1009" s="15">
        <f>IF($B1009="","",IF($AD1009&lt;&gt;"",$AD1009,IF($AC1009="","",IF($AC1009&lt;=設定!$C$3,0,$AC1009))))</f>
        <v/>
      </c>
      <c r="AF1009" s="14">
        <f>IF($B1009="","",IF(AND($AG1009&lt;&gt;"",$AI1009="",$AL1009=""),"保留中",IF($AL1009&lt;&gt;"",IF(N($AE1009)&gt;0,"支給済","不支給"),IF($AE1009="","要確認",IF($AE1009=0,"不支給","未処理")))))</f>
        <v/>
      </c>
      <c r="AG1009" s="12" t="n"/>
      <c r="AH1009" s="11" t="n"/>
      <c r="AI1009" s="11" t="n"/>
      <c r="AJ1009" s="11" t="n"/>
      <c r="AK1009" s="14">
        <f>IF(AND($AF1009="保留中",$AH1009&lt;&gt;""),TODAY()-$AH1009,"")</f>
        <v/>
      </c>
      <c r="AL1009" s="12" t="n"/>
      <c r="AM1009" s="14">
        <f>IF($B1009="","",IF($AQ1009="","対象年月が未入力／","")&amp;IF($B1009="","",IF($AP1009="","職員マスタに未登録の職員番号／",IF($AA1009="","標準報酬月額が未登録／","")&amp;IF(AND($AQ1009&lt;&gt;"",OR(AND(INDEX(職員マスタ!$G$6:$G$405,$AP1009)&lt;&gt;"",INDEX(職員マスタ!$G$6:$G$405,$AP1009)&gt;EOMONTH($AQ1009,0)),AND(INDEX(職員マスタ!$H$6:$H$405,$AP1009)&lt;&gt;"",INDEX(職員マスタ!$H$6:$H$405,$AP1009)&lt;$AQ1009))),"対象月が時短期間外／","")&amp;IF(AND(INDEX(職員マスタ!$K$6:$K$405,$AP1009)&lt;&gt;"",N($W1009)&gt;0,INDEX(職員マスタ!$K$6:$K$405,$AP1009)&lt;&gt;$W1009),"標準報酬月額が申請書と相違（台帳"&amp;TEXT(INDEX(職員マスタ!$K$6:$K$405,$AP1009),"#,##0")&amp;"円／申請書"&amp;TEXT($W1009,"#,##0")&amp;"円）／","")&amp;IF(AND(INDEX(職員マスタ!$F$6:$F$405,$AP1009)&lt;&gt;"",$AQ1009&lt;&gt;"",INDEX(職員マスタ!$F$6:$F$405,$AP1009)&lt;$AQ1009),"対象月に子が2歳到達済／","")&amp;IF(AND($H1009&lt;&gt;"",INDEX(職員マスタ!$B$6:$B$405,$AP1009)&lt;&gt;"",SUBSTITUTE(SUBSTITUTE($H1009," ","")," ","")&lt;&gt;SUBSTITUTE(SUBSTITUTE(INDEX(職員マスタ!$B$6:$B$405,$AP1009)," ","")," ","")),"氏名がマスタと相違／","")&amp;IF(AND($Q1009&lt;&gt;"",INDEX(職員マスタ!$E$6:$E$405,$AP1009)&lt;&gt;"",$Q1009&lt;&gt;INDEX(職員マスタ!$E$6:$E$405,$AP1009)),"子の生年月日がマスタと相違／","")&amp;IF(AND($L1009&lt;&gt;"",INDEX(職員マスタ!$G$6:$G$405,$AP1009)&lt;&gt;"",$L1009&lt;&gt;INDEX(職員マスタ!$G$6:$G$405,$AP1009)),"時短開始日がマスタと相違／","")&amp;IF(AND($M1009&lt;&gt;"",INDEX(職員マスタ!$H$6:$H$405,$AP1009)&lt;&gt;"",$M1009&lt;&gt;INDEX(職員マスタ!$H$6:$H$405,$AP1009)),"時短終了日がマスタと相違／","")))&amp;IF(AND($B1009&lt;&gt;"",$E1009=""),"報酬額が未入力／","")&amp;IF(N($U1009)&gt;0,"申請書に入力エラーが残っています／","")&amp;IF(AND($B1009&lt;&gt;"",$AQ1009&lt;&gt;""),IF(COUNTIFS($B$6:$B$3005,$B1009,$C$6:$C$3005,$C1009,$D$6:$D$3005,$D1009)&gt;1,"同じ月の請求が重複しています／",""),"")&amp;IF(AND(N($E1009)&gt;0,$AB1009&lt;&gt;"",$AB1009&lt;&gt;"×",$AE1009=0,$AD1009=""),"計算額が下限以下のため不支給／",""))</f>
        <v/>
      </c>
      <c r="AN1009" s="12" t="n"/>
      <c r="AO1009" s="14">
        <f>IF($AF1009="保留中",COUNTIF($AF$6:$AF1009,"保留中"),"")</f>
        <v/>
      </c>
      <c r="AP1009" s="14">
        <f>IF($AQ1009="","",IF(SUMPRODUCT(MAX((職員マスタ!$A$6:$A$405=$B1009)*(((職員マスタ!$G$6:$G$405="")+(職員マスタ!$G$6:$G$405&lt;=EOMONTH($AQ1009,0)))&gt;0)*(((職員マスタ!$H$6:$H$405="")+(職員マスタ!$H$6:$H$405&gt;=$AQ1009))&gt;0)*(ROW(職員マスタ!$A$6:$A$405)-5)))&gt;0,SUMPRODUCT(MAX((職員マスタ!$A$6:$A$405=$B1009)*(((職員マスタ!$G$6:$G$405="")+(職員マスタ!$G$6:$G$405&lt;=EOMONTH($AQ1009,0)))&gt;0)*(((職員マスタ!$H$6:$H$405="")+(職員マスタ!$H$6:$H$405&gt;=$AQ1009))&gt;0)*(ROW(職員マスタ!$A$6:$A$405)-5))),IFERROR(MATCH($B1009,職員マスタ!$A$6:$A$405,0),"")))</f>
        <v/>
      </c>
      <c r="AQ1009" s="16">
        <f>IF(OR($B1009="",$C1009="",$D1009=""),"",DATE($C1009+2018,$D1009,1))</f>
        <v/>
      </c>
    </row>
    <row r="1010">
      <c r="A1010" s="11" t="n"/>
      <c r="B1010" s="12" t="n"/>
      <c r="C1010" s="12" t="n"/>
      <c r="D1010" s="12" t="n"/>
      <c r="E1010" s="13" t="n"/>
      <c r="F1010" s="12" t="n"/>
      <c r="G1010" s="13" t="n"/>
      <c r="H1010" s="12" t="n"/>
      <c r="I1010" s="12" t="n"/>
      <c r="J1010" s="12" t="n"/>
      <c r="K1010" s="12" t="n"/>
      <c r="L1010" s="11" t="n"/>
      <c r="M1010" s="11" t="n"/>
      <c r="N1010" s="11" t="n"/>
      <c r="O1010" s="11" t="n"/>
      <c r="P1010" s="12" t="n"/>
      <c r="Q1010" s="11" t="n"/>
      <c r="R1010" s="12" t="n"/>
      <c r="S1010" s="11" t="n"/>
      <c r="T1010" s="12" t="n"/>
      <c r="U1010" s="12" t="n"/>
      <c r="V1010" s="12" t="n"/>
      <c r="W1010" s="13" t="n"/>
      <c r="X1010" s="14">
        <f>IF($AP1010="",IF($B1010="","",$H1010),IF(INDEX(職員マスタ!$B$6:$B$405,$AP1010)="",$H1010,INDEX(職員マスタ!$B$6:$B$405,$AP1010)))</f>
        <v/>
      </c>
      <c r="Y1010" s="14">
        <f>IF($AP1010="",IF($B1010="","",$R1010),IF(INDEX(職員マスタ!$C$6:$C$405,$AP1010)="",$R1010,INDEX(職員マスタ!$C$6:$C$405,$AP1010)))</f>
        <v/>
      </c>
      <c r="Z1010" s="14">
        <f>IF($AQ1010="","","R"&amp;$C1010&amp;"."&amp;$D1010)</f>
        <v/>
      </c>
      <c r="AA1010" s="15">
        <f>IF(IF($AP1010="",FALSE,INDEX(職員マスタ!$K$6:$K$405,$AP1010)&lt;&gt;""),INDEX(職員マスタ!$K$6:$K$405,$AP1010),IF(N($W1010)&gt;0,$W1010,""))</f>
        <v/>
      </c>
      <c r="AB1010" s="14">
        <f>IF(OR($E1010="",$AA1010=""),"",IF($E1010&gt;=$AA1010,"×",IF($E1010&gt;=$AA1010*設定!$C$5,"△","○")))</f>
        <v/>
      </c>
      <c r="AC1010" s="15">
        <f>IF($AB1010="","",IF($AB1010="×",0,IF($AB1010="○",ROUNDDOWN($E1010*設定!$C$4,0),ROUNDDOWN($E1010*ROUND((9*$AA1010-9*$E1010)/(10*$E1010),4),0))))</f>
        <v/>
      </c>
      <c r="AD1010" s="13" t="n"/>
      <c r="AE1010" s="15">
        <f>IF($B1010="","",IF($AD1010&lt;&gt;"",$AD1010,IF($AC1010="","",IF($AC1010&lt;=設定!$C$3,0,$AC1010))))</f>
        <v/>
      </c>
      <c r="AF1010" s="14">
        <f>IF($B1010="","",IF(AND($AG1010&lt;&gt;"",$AI1010="",$AL1010=""),"保留中",IF($AL1010&lt;&gt;"",IF(N($AE1010)&gt;0,"支給済","不支給"),IF($AE1010="","要確認",IF($AE1010=0,"不支給","未処理")))))</f>
        <v/>
      </c>
      <c r="AG1010" s="12" t="n"/>
      <c r="AH1010" s="11" t="n"/>
      <c r="AI1010" s="11" t="n"/>
      <c r="AJ1010" s="11" t="n"/>
      <c r="AK1010" s="14">
        <f>IF(AND($AF1010="保留中",$AH1010&lt;&gt;""),TODAY()-$AH1010,"")</f>
        <v/>
      </c>
      <c r="AL1010" s="12" t="n"/>
      <c r="AM1010" s="14">
        <f>IF($B1010="","",IF($AQ1010="","対象年月が未入力／","")&amp;IF($B1010="","",IF($AP1010="","職員マスタに未登録の職員番号／",IF($AA1010="","標準報酬月額が未登録／","")&amp;IF(AND($AQ1010&lt;&gt;"",OR(AND(INDEX(職員マスタ!$G$6:$G$405,$AP1010)&lt;&gt;"",INDEX(職員マスタ!$G$6:$G$405,$AP1010)&gt;EOMONTH($AQ1010,0)),AND(INDEX(職員マスタ!$H$6:$H$405,$AP1010)&lt;&gt;"",INDEX(職員マスタ!$H$6:$H$405,$AP1010)&lt;$AQ1010))),"対象月が時短期間外／","")&amp;IF(AND(INDEX(職員マスタ!$K$6:$K$405,$AP1010)&lt;&gt;"",N($W1010)&gt;0,INDEX(職員マスタ!$K$6:$K$405,$AP1010)&lt;&gt;$W1010),"標準報酬月額が申請書と相違（台帳"&amp;TEXT(INDEX(職員マスタ!$K$6:$K$405,$AP1010),"#,##0")&amp;"円／申請書"&amp;TEXT($W1010,"#,##0")&amp;"円）／","")&amp;IF(AND(INDEX(職員マスタ!$F$6:$F$405,$AP1010)&lt;&gt;"",$AQ1010&lt;&gt;"",INDEX(職員マスタ!$F$6:$F$405,$AP1010)&lt;$AQ1010),"対象月に子が2歳到達済／","")&amp;IF(AND($H1010&lt;&gt;"",INDEX(職員マスタ!$B$6:$B$405,$AP1010)&lt;&gt;"",SUBSTITUTE(SUBSTITUTE($H1010," ","")," ","")&lt;&gt;SUBSTITUTE(SUBSTITUTE(INDEX(職員マスタ!$B$6:$B$405,$AP1010)," ","")," ","")),"氏名がマスタと相違／","")&amp;IF(AND($Q1010&lt;&gt;"",INDEX(職員マスタ!$E$6:$E$405,$AP1010)&lt;&gt;"",$Q1010&lt;&gt;INDEX(職員マスタ!$E$6:$E$405,$AP1010)),"子の生年月日がマスタと相違／","")&amp;IF(AND($L1010&lt;&gt;"",INDEX(職員マスタ!$G$6:$G$405,$AP1010)&lt;&gt;"",$L1010&lt;&gt;INDEX(職員マスタ!$G$6:$G$405,$AP1010)),"時短開始日がマスタと相違／","")&amp;IF(AND($M1010&lt;&gt;"",INDEX(職員マスタ!$H$6:$H$405,$AP1010)&lt;&gt;"",$M1010&lt;&gt;INDEX(職員マスタ!$H$6:$H$405,$AP1010)),"時短終了日がマスタと相違／","")))&amp;IF(AND($B1010&lt;&gt;"",$E1010=""),"報酬額が未入力／","")&amp;IF(N($U1010)&gt;0,"申請書に入力エラーが残っています／","")&amp;IF(AND($B1010&lt;&gt;"",$AQ1010&lt;&gt;""),IF(COUNTIFS($B$6:$B$3005,$B1010,$C$6:$C$3005,$C1010,$D$6:$D$3005,$D1010)&gt;1,"同じ月の請求が重複しています／",""),"")&amp;IF(AND(N($E1010)&gt;0,$AB1010&lt;&gt;"",$AB1010&lt;&gt;"×",$AE1010=0,$AD1010=""),"計算額が下限以下のため不支給／",""))</f>
        <v/>
      </c>
      <c r="AN1010" s="12" t="n"/>
      <c r="AO1010" s="14">
        <f>IF($AF1010="保留中",COUNTIF($AF$6:$AF1010,"保留中"),"")</f>
        <v/>
      </c>
      <c r="AP1010" s="14">
        <f>IF($AQ1010="","",IF(SUMPRODUCT(MAX((職員マスタ!$A$6:$A$405=$B1010)*(((職員マスタ!$G$6:$G$405="")+(職員マスタ!$G$6:$G$405&lt;=EOMONTH($AQ1010,0)))&gt;0)*(((職員マスタ!$H$6:$H$405="")+(職員マスタ!$H$6:$H$405&gt;=$AQ1010))&gt;0)*(ROW(職員マスタ!$A$6:$A$405)-5)))&gt;0,SUMPRODUCT(MAX((職員マスタ!$A$6:$A$405=$B1010)*(((職員マスタ!$G$6:$G$405="")+(職員マスタ!$G$6:$G$405&lt;=EOMONTH($AQ1010,0)))&gt;0)*(((職員マスタ!$H$6:$H$405="")+(職員マスタ!$H$6:$H$405&gt;=$AQ1010))&gt;0)*(ROW(職員マスタ!$A$6:$A$405)-5))),IFERROR(MATCH($B1010,職員マスタ!$A$6:$A$405,0),"")))</f>
        <v/>
      </c>
      <c r="AQ1010" s="16">
        <f>IF(OR($B1010="",$C1010="",$D1010=""),"",DATE($C1010+2018,$D1010,1))</f>
        <v/>
      </c>
    </row>
    <row r="1011">
      <c r="A1011" s="11" t="n"/>
      <c r="B1011" s="12" t="n"/>
      <c r="C1011" s="12" t="n"/>
      <c r="D1011" s="12" t="n"/>
      <c r="E1011" s="13" t="n"/>
      <c r="F1011" s="12" t="n"/>
      <c r="G1011" s="13" t="n"/>
      <c r="H1011" s="12" t="n"/>
      <c r="I1011" s="12" t="n"/>
      <c r="J1011" s="12" t="n"/>
      <c r="K1011" s="12" t="n"/>
      <c r="L1011" s="11" t="n"/>
      <c r="M1011" s="11" t="n"/>
      <c r="N1011" s="11" t="n"/>
      <c r="O1011" s="11" t="n"/>
      <c r="P1011" s="12" t="n"/>
      <c r="Q1011" s="11" t="n"/>
      <c r="R1011" s="12" t="n"/>
      <c r="S1011" s="11" t="n"/>
      <c r="T1011" s="12" t="n"/>
      <c r="U1011" s="12" t="n"/>
      <c r="V1011" s="12" t="n"/>
      <c r="W1011" s="13" t="n"/>
      <c r="X1011" s="14">
        <f>IF($AP1011="",IF($B1011="","",$H1011),IF(INDEX(職員マスタ!$B$6:$B$405,$AP1011)="",$H1011,INDEX(職員マスタ!$B$6:$B$405,$AP1011)))</f>
        <v/>
      </c>
      <c r="Y1011" s="14">
        <f>IF($AP1011="",IF($B1011="","",$R1011),IF(INDEX(職員マスタ!$C$6:$C$405,$AP1011)="",$R1011,INDEX(職員マスタ!$C$6:$C$405,$AP1011)))</f>
        <v/>
      </c>
      <c r="Z1011" s="14">
        <f>IF($AQ1011="","","R"&amp;$C1011&amp;"."&amp;$D1011)</f>
        <v/>
      </c>
      <c r="AA1011" s="15">
        <f>IF(IF($AP1011="",FALSE,INDEX(職員マスタ!$K$6:$K$405,$AP1011)&lt;&gt;""),INDEX(職員マスタ!$K$6:$K$405,$AP1011),IF(N($W1011)&gt;0,$W1011,""))</f>
        <v/>
      </c>
      <c r="AB1011" s="14">
        <f>IF(OR($E1011="",$AA1011=""),"",IF($E1011&gt;=$AA1011,"×",IF($E1011&gt;=$AA1011*設定!$C$5,"△","○")))</f>
        <v/>
      </c>
      <c r="AC1011" s="15">
        <f>IF($AB1011="","",IF($AB1011="×",0,IF($AB1011="○",ROUNDDOWN($E1011*設定!$C$4,0),ROUNDDOWN($E1011*ROUND((9*$AA1011-9*$E1011)/(10*$E1011),4),0))))</f>
        <v/>
      </c>
      <c r="AD1011" s="13" t="n"/>
      <c r="AE1011" s="15">
        <f>IF($B1011="","",IF($AD1011&lt;&gt;"",$AD1011,IF($AC1011="","",IF($AC1011&lt;=設定!$C$3,0,$AC1011))))</f>
        <v/>
      </c>
      <c r="AF1011" s="14">
        <f>IF($B1011="","",IF(AND($AG1011&lt;&gt;"",$AI1011="",$AL1011=""),"保留中",IF($AL1011&lt;&gt;"",IF(N($AE1011)&gt;0,"支給済","不支給"),IF($AE1011="","要確認",IF($AE1011=0,"不支給","未処理")))))</f>
        <v/>
      </c>
      <c r="AG1011" s="12" t="n"/>
      <c r="AH1011" s="11" t="n"/>
      <c r="AI1011" s="11" t="n"/>
      <c r="AJ1011" s="11" t="n"/>
      <c r="AK1011" s="14">
        <f>IF(AND($AF1011="保留中",$AH1011&lt;&gt;""),TODAY()-$AH1011,"")</f>
        <v/>
      </c>
      <c r="AL1011" s="12" t="n"/>
      <c r="AM1011" s="14">
        <f>IF($B1011="","",IF($AQ1011="","対象年月が未入力／","")&amp;IF($B1011="","",IF($AP1011="","職員マスタに未登録の職員番号／",IF($AA1011="","標準報酬月額が未登録／","")&amp;IF(AND($AQ1011&lt;&gt;"",OR(AND(INDEX(職員マスタ!$G$6:$G$405,$AP1011)&lt;&gt;"",INDEX(職員マスタ!$G$6:$G$405,$AP1011)&gt;EOMONTH($AQ1011,0)),AND(INDEX(職員マスタ!$H$6:$H$405,$AP1011)&lt;&gt;"",INDEX(職員マスタ!$H$6:$H$405,$AP1011)&lt;$AQ1011))),"対象月が時短期間外／","")&amp;IF(AND(INDEX(職員マスタ!$K$6:$K$405,$AP1011)&lt;&gt;"",N($W1011)&gt;0,INDEX(職員マスタ!$K$6:$K$405,$AP1011)&lt;&gt;$W1011),"標準報酬月額が申請書と相違（台帳"&amp;TEXT(INDEX(職員マスタ!$K$6:$K$405,$AP1011),"#,##0")&amp;"円／申請書"&amp;TEXT($W1011,"#,##0")&amp;"円）／","")&amp;IF(AND(INDEX(職員マスタ!$F$6:$F$405,$AP1011)&lt;&gt;"",$AQ1011&lt;&gt;"",INDEX(職員マスタ!$F$6:$F$405,$AP1011)&lt;$AQ1011),"対象月に子が2歳到達済／","")&amp;IF(AND($H1011&lt;&gt;"",INDEX(職員マスタ!$B$6:$B$405,$AP1011)&lt;&gt;"",SUBSTITUTE(SUBSTITUTE($H1011," ","")," ","")&lt;&gt;SUBSTITUTE(SUBSTITUTE(INDEX(職員マスタ!$B$6:$B$405,$AP1011)," ","")," ","")),"氏名がマスタと相違／","")&amp;IF(AND($Q1011&lt;&gt;"",INDEX(職員マスタ!$E$6:$E$405,$AP1011)&lt;&gt;"",$Q1011&lt;&gt;INDEX(職員マスタ!$E$6:$E$405,$AP1011)),"子の生年月日がマスタと相違／","")&amp;IF(AND($L1011&lt;&gt;"",INDEX(職員マスタ!$G$6:$G$405,$AP1011)&lt;&gt;"",$L1011&lt;&gt;INDEX(職員マスタ!$G$6:$G$405,$AP1011)),"時短開始日がマスタと相違／","")&amp;IF(AND($M1011&lt;&gt;"",INDEX(職員マスタ!$H$6:$H$405,$AP1011)&lt;&gt;"",$M1011&lt;&gt;INDEX(職員マスタ!$H$6:$H$405,$AP1011)),"時短終了日がマスタと相違／","")))&amp;IF(AND($B1011&lt;&gt;"",$E1011=""),"報酬額が未入力／","")&amp;IF(N($U1011)&gt;0,"申請書に入力エラーが残っています／","")&amp;IF(AND($B1011&lt;&gt;"",$AQ1011&lt;&gt;""),IF(COUNTIFS($B$6:$B$3005,$B1011,$C$6:$C$3005,$C1011,$D$6:$D$3005,$D1011)&gt;1,"同じ月の請求が重複しています／",""),"")&amp;IF(AND(N($E1011)&gt;0,$AB1011&lt;&gt;"",$AB1011&lt;&gt;"×",$AE1011=0,$AD1011=""),"計算額が下限以下のため不支給／",""))</f>
        <v/>
      </c>
      <c r="AN1011" s="12" t="n"/>
      <c r="AO1011" s="14">
        <f>IF($AF1011="保留中",COUNTIF($AF$6:$AF1011,"保留中"),"")</f>
        <v/>
      </c>
      <c r="AP1011" s="14">
        <f>IF($AQ1011="","",IF(SUMPRODUCT(MAX((職員マスタ!$A$6:$A$405=$B1011)*(((職員マスタ!$G$6:$G$405="")+(職員マスタ!$G$6:$G$405&lt;=EOMONTH($AQ1011,0)))&gt;0)*(((職員マスタ!$H$6:$H$405="")+(職員マスタ!$H$6:$H$405&gt;=$AQ1011))&gt;0)*(ROW(職員マスタ!$A$6:$A$405)-5)))&gt;0,SUMPRODUCT(MAX((職員マスタ!$A$6:$A$405=$B1011)*(((職員マスタ!$G$6:$G$405="")+(職員マスタ!$G$6:$G$405&lt;=EOMONTH($AQ1011,0)))&gt;0)*(((職員マスタ!$H$6:$H$405="")+(職員マスタ!$H$6:$H$405&gt;=$AQ1011))&gt;0)*(ROW(職員マスタ!$A$6:$A$405)-5))),IFERROR(MATCH($B1011,職員マスタ!$A$6:$A$405,0),"")))</f>
        <v/>
      </c>
      <c r="AQ1011" s="16">
        <f>IF(OR($B1011="",$C1011="",$D1011=""),"",DATE($C1011+2018,$D1011,1))</f>
        <v/>
      </c>
    </row>
    <row r="1012">
      <c r="A1012" s="11" t="n"/>
      <c r="B1012" s="12" t="n"/>
      <c r="C1012" s="12" t="n"/>
      <c r="D1012" s="12" t="n"/>
      <c r="E1012" s="13" t="n"/>
      <c r="F1012" s="12" t="n"/>
      <c r="G1012" s="13" t="n"/>
      <c r="H1012" s="12" t="n"/>
      <c r="I1012" s="12" t="n"/>
      <c r="J1012" s="12" t="n"/>
      <c r="K1012" s="12" t="n"/>
      <c r="L1012" s="11" t="n"/>
      <c r="M1012" s="11" t="n"/>
      <c r="N1012" s="11" t="n"/>
      <c r="O1012" s="11" t="n"/>
      <c r="P1012" s="12" t="n"/>
      <c r="Q1012" s="11" t="n"/>
      <c r="R1012" s="12" t="n"/>
      <c r="S1012" s="11" t="n"/>
      <c r="T1012" s="12" t="n"/>
      <c r="U1012" s="12" t="n"/>
      <c r="V1012" s="12" t="n"/>
      <c r="W1012" s="13" t="n"/>
      <c r="X1012" s="14">
        <f>IF($AP1012="",IF($B1012="","",$H1012),IF(INDEX(職員マスタ!$B$6:$B$405,$AP1012)="",$H1012,INDEX(職員マスタ!$B$6:$B$405,$AP1012)))</f>
        <v/>
      </c>
      <c r="Y1012" s="14">
        <f>IF($AP1012="",IF($B1012="","",$R1012),IF(INDEX(職員マスタ!$C$6:$C$405,$AP1012)="",$R1012,INDEX(職員マスタ!$C$6:$C$405,$AP1012)))</f>
        <v/>
      </c>
      <c r="Z1012" s="14">
        <f>IF($AQ1012="","","R"&amp;$C1012&amp;"."&amp;$D1012)</f>
        <v/>
      </c>
      <c r="AA1012" s="15">
        <f>IF(IF($AP1012="",FALSE,INDEX(職員マスタ!$K$6:$K$405,$AP1012)&lt;&gt;""),INDEX(職員マスタ!$K$6:$K$405,$AP1012),IF(N($W1012)&gt;0,$W1012,""))</f>
        <v/>
      </c>
      <c r="AB1012" s="14">
        <f>IF(OR($E1012="",$AA1012=""),"",IF($E1012&gt;=$AA1012,"×",IF($E1012&gt;=$AA1012*設定!$C$5,"△","○")))</f>
        <v/>
      </c>
      <c r="AC1012" s="15">
        <f>IF($AB1012="","",IF($AB1012="×",0,IF($AB1012="○",ROUNDDOWN($E1012*設定!$C$4,0),ROUNDDOWN($E1012*ROUND((9*$AA1012-9*$E1012)/(10*$E1012),4),0))))</f>
        <v/>
      </c>
      <c r="AD1012" s="13" t="n"/>
      <c r="AE1012" s="15">
        <f>IF($B1012="","",IF($AD1012&lt;&gt;"",$AD1012,IF($AC1012="","",IF($AC1012&lt;=設定!$C$3,0,$AC1012))))</f>
        <v/>
      </c>
      <c r="AF1012" s="14">
        <f>IF($B1012="","",IF(AND($AG1012&lt;&gt;"",$AI1012="",$AL1012=""),"保留中",IF($AL1012&lt;&gt;"",IF(N($AE1012)&gt;0,"支給済","不支給"),IF($AE1012="","要確認",IF($AE1012=0,"不支給","未処理")))))</f>
        <v/>
      </c>
      <c r="AG1012" s="12" t="n"/>
      <c r="AH1012" s="11" t="n"/>
      <c r="AI1012" s="11" t="n"/>
      <c r="AJ1012" s="11" t="n"/>
      <c r="AK1012" s="14">
        <f>IF(AND($AF1012="保留中",$AH1012&lt;&gt;""),TODAY()-$AH1012,"")</f>
        <v/>
      </c>
      <c r="AL1012" s="12" t="n"/>
      <c r="AM1012" s="14">
        <f>IF($B1012="","",IF($AQ1012="","対象年月が未入力／","")&amp;IF($B1012="","",IF($AP1012="","職員マスタに未登録の職員番号／",IF($AA1012="","標準報酬月額が未登録／","")&amp;IF(AND($AQ1012&lt;&gt;"",OR(AND(INDEX(職員マスタ!$G$6:$G$405,$AP1012)&lt;&gt;"",INDEX(職員マスタ!$G$6:$G$405,$AP1012)&gt;EOMONTH($AQ1012,0)),AND(INDEX(職員マスタ!$H$6:$H$405,$AP1012)&lt;&gt;"",INDEX(職員マスタ!$H$6:$H$405,$AP1012)&lt;$AQ1012))),"対象月が時短期間外／","")&amp;IF(AND(INDEX(職員マスタ!$K$6:$K$405,$AP1012)&lt;&gt;"",N($W1012)&gt;0,INDEX(職員マスタ!$K$6:$K$405,$AP1012)&lt;&gt;$W1012),"標準報酬月額が申請書と相違（台帳"&amp;TEXT(INDEX(職員マスタ!$K$6:$K$405,$AP1012),"#,##0")&amp;"円／申請書"&amp;TEXT($W1012,"#,##0")&amp;"円）／","")&amp;IF(AND(INDEX(職員マスタ!$F$6:$F$405,$AP1012)&lt;&gt;"",$AQ1012&lt;&gt;"",INDEX(職員マスタ!$F$6:$F$405,$AP1012)&lt;$AQ1012),"対象月に子が2歳到達済／","")&amp;IF(AND($H1012&lt;&gt;"",INDEX(職員マスタ!$B$6:$B$405,$AP1012)&lt;&gt;"",SUBSTITUTE(SUBSTITUTE($H1012," ","")," ","")&lt;&gt;SUBSTITUTE(SUBSTITUTE(INDEX(職員マスタ!$B$6:$B$405,$AP1012)," ","")," ","")),"氏名がマスタと相違／","")&amp;IF(AND($Q1012&lt;&gt;"",INDEX(職員マスタ!$E$6:$E$405,$AP1012)&lt;&gt;"",$Q1012&lt;&gt;INDEX(職員マスタ!$E$6:$E$405,$AP1012)),"子の生年月日がマスタと相違／","")&amp;IF(AND($L1012&lt;&gt;"",INDEX(職員マスタ!$G$6:$G$405,$AP1012)&lt;&gt;"",$L1012&lt;&gt;INDEX(職員マスタ!$G$6:$G$405,$AP1012)),"時短開始日がマスタと相違／","")&amp;IF(AND($M1012&lt;&gt;"",INDEX(職員マスタ!$H$6:$H$405,$AP1012)&lt;&gt;"",$M1012&lt;&gt;INDEX(職員マスタ!$H$6:$H$405,$AP1012)),"時短終了日がマスタと相違／","")))&amp;IF(AND($B1012&lt;&gt;"",$E1012=""),"報酬額が未入力／","")&amp;IF(N($U1012)&gt;0,"申請書に入力エラーが残っています／","")&amp;IF(AND($B1012&lt;&gt;"",$AQ1012&lt;&gt;""),IF(COUNTIFS($B$6:$B$3005,$B1012,$C$6:$C$3005,$C1012,$D$6:$D$3005,$D1012)&gt;1,"同じ月の請求が重複しています／",""),"")&amp;IF(AND(N($E1012)&gt;0,$AB1012&lt;&gt;"",$AB1012&lt;&gt;"×",$AE1012=0,$AD1012=""),"計算額が下限以下のため不支給／",""))</f>
        <v/>
      </c>
      <c r="AN1012" s="12" t="n"/>
      <c r="AO1012" s="14">
        <f>IF($AF1012="保留中",COUNTIF($AF$6:$AF1012,"保留中"),"")</f>
        <v/>
      </c>
      <c r="AP1012" s="14">
        <f>IF($AQ1012="","",IF(SUMPRODUCT(MAX((職員マスタ!$A$6:$A$405=$B1012)*(((職員マスタ!$G$6:$G$405="")+(職員マスタ!$G$6:$G$405&lt;=EOMONTH($AQ1012,0)))&gt;0)*(((職員マスタ!$H$6:$H$405="")+(職員マスタ!$H$6:$H$405&gt;=$AQ1012))&gt;0)*(ROW(職員マスタ!$A$6:$A$405)-5)))&gt;0,SUMPRODUCT(MAX((職員マスタ!$A$6:$A$405=$B1012)*(((職員マスタ!$G$6:$G$405="")+(職員マスタ!$G$6:$G$405&lt;=EOMONTH($AQ1012,0)))&gt;0)*(((職員マスタ!$H$6:$H$405="")+(職員マスタ!$H$6:$H$405&gt;=$AQ1012))&gt;0)*(ROW(職員マスタ!$A$6:$A$405)-5))),IFERROR(MATCH($B1012,職員マスタ!$A$6:$A$405,0),"")))</f>
        <v/>
      </c>
      <c r="AQ1012" s="16">
        <f>IF(OR($B1012="",$C1012="",$D1012=""),"",DATE($C1012+2018,$D1012,1))</f>
        <v/>
      </c>
    </row>
    <row r="1013">
      <c r="A1013" s="11" t="n"/>
      <c r="B1013" s="12" t="n"/>
      <c r="C1013" s="12" t="n"/>
      <c r="D1013" s="12" t="n"/>
      <c r="E1013" s="13" t="n"/>
      <c r="F1013" s="12" t="n"/>
      <c r="G1013" s="13" t="n"/>
      <c r="H1013" s="12" t="n"/>
      <c r="I1013" s="12" t="n"/>
      <c r="J1013" s="12" t="n"/>
      <c r="K1013" s="12" t="n"/>
      <c r="L1013" s="11" t="n"/>
      <c r="M1013" s="11" t="n"/>
      <c r="N1013" s="11" t="n"/>
      <c r="O1013" s="11" t="n"/>
      <c r="P1013" s="12" t="n"/>
      <c r="Q1013" s="11" t="n"/>
      <c r="R1013" s="12" t="n"/>
      <c r="S1013" s="11" t="n"/>
      <c r="T1013" s="12" t="n"/>
      <c r="U1013" s="12" t="n"/>
      <c r="V1013" s="12" t="n"/>
      <c r="W1013" s="13" t="n"/>
      <c r="X1013" s="14">
        <f>IF($AP1013="",IF($B1013="","",$H1013),IF(INDEX(職員マスタ!$B$6:$B$405,$AP1013)="",$H1013,INDEX(職員マスタ!$B$6:$B$405,$AP1013)))</f>
        <v/>
      </c>
      <c r="Y1013" s="14">
        <f>IF($AP1013="",IF($B1013="","",$R1013),IF(INDEX(職員マスタ!$C$6:$C$405,$AP1013)="",$R1013,INDEX(職員マスタ!$C$6:$C$405,$AP1013)))</f>
        <v/>
      </c>
      <c r="Z1013" s="14">
        <f>IF($AQ1013="","","R"&amp;$C1013&amp;"."&amp;$D1013)</f>
        <v/>
      </c>
      <c r="AA1013" s="15">
        <f>IF(IF($AP1013="",FALSE,INDEX(職員マスタ!$K$6:$K$405,$AP1013)&lt;&gt;""),INDEX(職員マスタ!$K$6:$K$405,$AP1013),IF(N($W1013)&gt;0,$W1013,""))</f>
        <v/>
      </c>
      <c r="AB1013" s="14">
        <f>IF(OR($E1013="",$AA1013=""),"",IF($E1013&gt;=$AA1013,"×",IF($E1013&gt;=$AA1013*設定!$C$5,"△","○")))</f>
        <v/>
      </c>
      <c r="AC1013" s="15">
        <f>IF($AB1013="","",IF($AB1013="×",0,IF($AB1013="○",ROUNDDOWN($E1013*設定!$C$4,0),ROUNDDOWN($E1013*ROUND((9*$AA1013-9*$E1013)/(10*$E1013),4),0))))</f>
        <v/>
      </c>
      <c r="AD1013" s="13" t="n"/>
      <c r="AE1013" s="15">
        <f>IF($B1013="","",IF($AD1013&lt;&gt;"",$AD1013,IF($AC1013="","",IF($AC1013&lt;=設定!$C$3,0,$AC1013))))</f>
        <v/>
      </c>
      <c r="AF1013" s="14">
        <f>IF($B1013="","",IF(AND($AG1013&lt;&gt;"",$AI1013="",$AL1013=""),"保留中",IF($AL1013&lt;&gt;"",IF(N($AE1013)&gt;0,"支給済","不支給"),IF($AE1013="","要確認",IF($AE1013=0,"不支給","未処理")))))</f>
        <v/>
      </c>
      <c r="AG1013" s="12" t="n"/>
      <c r="AH1013" s="11" t="n"/>
      <c r="AI1013" s="11" t="n"/>
      <c r="AJ1013" s="11" t="n"/>
      <c r="AK1013" s="14">
        <f>IF(AND($AF1013="保留中",$AH1013&lt;&gt;""),TODAY()-$AH1013,"")</f>
        <v/>
      </c>
      <c r="AL1013" s="12" t="n"/>
      <c r="AM1013" s="14">
        <f>IF($B1013="","",IF($AQ1013="","対象年月が未入力／","")&amp;IF($B1013="","",IF($AP1013="","職員マスタに未登録の職員番号／",IF($AA1013="","標準報酬月額が未登録／","")&amp;IF(AND($AQ1013&lt;&gt;"",OR(AND(INDEX(職員マスタ!$G$6:$G$405,$AP1013)&lt;&gt;"",INDEX(職員マスタ!$G$6:$G$405,$AP1013)&gt;EOMONTH($AQ1013,0)),AND(INDEX(職員マスタ!$H$6:$H$405,$AP1013)&lt;&gt;"",INDEX(職員マスタ!$H$6:$H$405,$AP1013)&lt;$AQ1013))),"対象月が時短期間外／","")&amp;IF(AND(INDEX(職員マスタ!$K$6:$K$405,$AP1013)&lt;&gt;"",N($W1013)&gt;0,INDEX(職員マスタ!$K$6:$K$405,$AP1013)&lt;&gt;$W1013),"標準報酬月額が申請書と相違（台帳"&amp;TEXT(INDEX(職員マスタ!$K$6:$K$405,$AP1013),"#,##0")&amp;"円／申請書"&amp;TEXT($W1013,"#,##0")&amp;"円）／","")&amp;IF(AND(INDEX(職員マスタ!$F$6:$F$405,$AP1013)&lt;&gt;"",$AQ1013&lt;&gt;"",INDEX(職員マスタ!$F$6:$F$405,$AP1013)&lt;$AQ1013),"対象月に子が2歳到達済／","")&amp;IF(AND($H1013&lt;&gt;"",INDEX(職員マスタ!$B$6:$B$405,$AP1013)&lt;&gt;"",SUBSTITUTE(SUBSTITUTE($H1013," ","")," ","")&lt;&gt;SUBSTITUTE(SUBSTITUTE(INDEX(職員マスタ!$B$6:$B$405,$AP1013)," ","")," ","")),"氏名がマスタと相違／","")&amp;IF(AND($Q1013&lt;&gt;"",INDEX(職員マスタ!$E$6:$E$405,$AP1013)&lt;&gt;"",$Q1013&lt;&gt;INDEX(職員マスタ!$E$6:$E$405,$AP1013)),"子の生年月日がマスタと相違／","")&amp;IF(AND($L1013&lt;&gt;"",INDEX(職員マスタ!$G$6:$G$405,$AP1013)&lt;&gt;"",$L1013&lt;&gt;INDEX(職員マスタ!$G$6:$G$405,$AP1013)),"時短開始日がマスタと相違／","")&amp;IF(AND($M1013&lt;&gt;"",INDEX(職員マスタ!$H$6:$H$405,$AP1013)&lt;&gt;"",$M1013&lt;&gt;INDEX(職員マスタ!$H$6:$H$405,$AP1013)),"時短終了日がマスタと相違／","")))&amp;IF(AND($B1013&lt;&gt;"",$E1013=""),"報酬額が未入力／","")&amp;IF(N($U1013)&gt;0,"申請書に入力エラーが残っています／","")&amp;IF(AND($B1013&lt;&gt;"",$AQ1013&lt;&gt;""),IF(COUNTIFS($B$6:$B$3005,$B1013,$C$6:$C$3005,$C1013,$D$6:$D$3005,$D1013)&gt;1,"同じ月の請求が重複しています／",""),"")&amp;IF(AND(N($E1013)&gt;0,$AB1013&lt;&gt;"",$AB1013&lt;&gt;"×",$AE1013=0,$AD1013=""),"計算額が下限以下のため不支給／",""))</f>
        <v/>
      </c>
      <c r="AN1013" s="12" t="n"/>
      <c r="AO1013" s="14">
        <f>IF($AF1013="保留中",COUNTIF($AF$6:$AF1013,"保留中"),"")</f>
        <v/>
      </c>
      <c r="AP1013" s="14">
        <f>IF($AQ1013="","",IF(SUMPRODUCT(MAX((職員マスタ!$A$6:$A$405=$B1013)*(((職員マスタ!$G$6:$G$405="")+(職員マスタ!$G$6:$G$405&lt;=EOMONTH($AQ1013,0)))&gt;0)*(((職員マスタ!$H$6:$H$405="")+(職員マスタ!$H$6:$H$405&gt;=$AQ1013))&gt;0)*(ROW(職員マスタ!$A$6:$A$405)-5)))&gt;0,SUMPRODUCT(MAX((職員マスタ!$A$6:$A$405=$B1013)*(((職員マスタ!$G$6:$G$405="")+(職員マスタ!$G$6:$G$405&lt;=EOMONTH($AQ1013,0)))&gt;0)*(((職員マスタ!$H$6:$H$405="")+(職員マスタ!$H$6:$H$405&gt;=$AQ1013))&gt;0)*(ROW(職員マスタ!$A$6:$A$405)-5))),IFERROR(MATCH($B1013,職員マスタ!$A$6:$A$405,0),"")))</f>
        <v/>
      </c>
      <c r="AQ1013" s="16">
        <f>IF(OR($B1013="",$C1013="",$D1013=""),"",DATE($C1013+2018,$D1013,1))</f>
        <v/>
      </c>
    </row>
    <row r="1014">
      <c r="A1014" s="11" t="n"/>
      <c r="B1014" s="12" t="n"/>
      <c r="C1014" s="12" t="n"/>
      <c r="D1014" s="12" t="n"/>
      <c r="E1014" s="13" t="n"/>
      <c r="F1014" s="12" t="n"/>
      <c r="G1014" s="13" t="n"/>
      <c r="H1014" s="12" t="n"/>
      <c r="I1014" s="12" t="n"/>
      <c r="J1014" s="12" t="n"/>
      <c r="K1014" s="12" t="n"/>
      <c r="L1014" s="11" t="n"/>
      <c r="M1014" s="11" t="n"/>
      <c r="N1014" s="11" t="n"/>
      <c r="O1014" s="11" t="n"/>
      <c r="P1014" s="12" t="n"/>
      <c r="Q1014" s="11" t="n"/>
      <c r="R1014" s="12" t="n"/>
      <c r="S1014" s="11" t="n"/>
      <c r="T1014" s="12" t="n"/>
      <c r="U1014" s="12" t="n"/>
      <c r="V1014" s="12" t="n"/>
      <c r="W1014" s="13" t="n"/>
      <c r="X1014" s="14">
        <f>IF($AP1014="",IF($B1014="","",$H1014),IF(INDEX(職員マスタ!$B$6:$B$405,$AP1014)="",$H1014,INDEX(職員マスタ!$B$6:$B$405,$AP1014)))</f>
        <v/>
      </c>
      <c r="Y1014" s="14">
        <f>IF($AP1014="",IF($B1014="","",$R1014),IF(INDEX(職員マスタ!$C$6:$C$405,$AP1014)="",$R1014,INDEX(職員マスタ!$C$6:$C$405,$AP1014)))</f>
        <v/>
      </c>
      <c r="Z1014" s="14">
        <f>IF($AQ1014="","","R"&amp;$C1014&amp;"."&amp;$D1014)</f>
        <v/>
      </c>
      <c r="AA1014" s="15">
        <f>IF(IF($AP1014="",FALSE,INDEX(職員マスタ!$K$6:$K$405,$AP1014)&lt;&gt;""),INDEX(職員マスタ!$K$6:$K$405,$AP1014),IF(N($W1014)&gt;0,$W1014,""))</f>
        <v/>
      </c>
      <c r="AB1014" s="14">
        <f>IF(OR($E1014="",$AA1014=""),"",IF($E1014&gt;=$AA1014,"×",IF($E1014&gt;=$AA1014*設定!$C$5,"△","○")))</f>
        <v/>
      </c>
      <c r="AC1014" s="15">
        <f>IF($AB1014="","",IF($AB1014="×",0,IF($AB1014="○",ROUNDDOWN($E1014*設定!$C$4,0),ROUNDDOWN($E1014*ROUND((9*$AA1014-9*$E1014)/(10*$E1014),4),0))))</f>
        <v/>
      </c>
      <c r="AD1014" s="13" t="n"/>
      <c r="AE1014" s="15">
        <f>IF($B1014="","",IF($AD1014&lt;&gt;"",$AD1014,IF($AC1014="","",IF($AC1014&lt;=設定!$C$3,0,$AC1014))))</f>
        <v/>
      </c>
      <c r="AF1014" s="14">
        <f>IF($B1014="","",IF(AND($AG1014&lt;&gt;"",$AI1014="",$AL1014=""),"保留中",IF($AL1014&lt;&gt;"",IF(N($AE1014)&gt;0,"支給済","不支給"),IF($AE1014="","要確認",IF($AE1014=0,"不支給","未処理")))))</f>
        <v/>
      </c>
      <c r="AG1014" s="12" t="n"/>
      <c r="AH1014" s="11" t="n"/>
      <c r="AI1014" s="11" t="n"/>
      <c r="AJ1014" s="11" t="n"/>
      <c r="AK1014" s="14">
        <f>IF(AND($AF1014="保留中",$AH1014&lt;&gt;""),TODAY()-$AH1014,"")</f>
        <v/>
      </c>
      <c r="AL1014" s="12" t="n"/>
      <c r="AM1014" s="14">
        <f>IF($B1014="","",IF($AQ1014="","対象年月が未入力／","")&amp;IF($B1014="","",IF($AP1014="","職員マスタに未登録の職員番号／",IF($AA1014="","標準報酬月額が未登録／","")&amp;IF(AND($AQ1014&lt;&gt;"",OR(AND(INDEX(職員マスタ!$G$6:$G$405,$AP1014)&lt;&gt;"",INDEX(職員マスタ!$G$6:$G$405,$AP1014)&gt;EOMONTH($AQ1014,0)),AND(INDEX(職員マスタ!$H$6:$H$405,$AP1014)&lt;&gt;"",INDEX(職員マスタ!$H$6:$H$405,$AP1014)&lt;$AQ1014))),"対象月が時短期間外／","")&amp;IF(AND(INDEX(職員マスタ!$K$6:$K$405,$AP1014)&lt;&gt;"",N($W1014)&gt;0,INDEX(職員マスタ!$K$6:$K$405,$AP1014)&lt;&gt;$W1014),"標準報酬月額が申請書と相違（台帳"&amp;TEXT(INDEX(職員マスタ!$K$6:$K$405,$AP1014),"#,##0")&amp;"円／申請書"&amp;TEXT($W1014,"#,##0")&amp;"円）／","")&amp;IF(AND(INDEX(職員マスタ!$F$6:$F$405,$AP1014)&lt;&gt;"",$AQ1014&lt;&gt;"",INDEX(職員マスタ!$F$6:$F$405,$AP1014)&lt;$AQ1014),"対象月に子が2歳到達済／","")&amp;IF(AND($H1014&lt;&gt;"",INDEX(職員マスタ!$B$6:$B$405,$AP1014)&lt;&gt;"",SUBSTITUTE(SUBSTITUTE($H1014," ","")," ","")&lt;&gt;SUBSTITUTE(SUBSTITUTE(INDEX(職員マスタ!$B$6:$B$405,$AP1014)," ","")," ","")),"氏名がマスタと相違／","")&amp;IF(AND($Q1014&lt;&gt;"",INDEX(職員マスタ!$E$6:$E$405,$AP1014)&lt;&gt;"",$Q1014&lt;&gt;INDEX(職員マスタ!$E$6:$E$405,$AP1014)),"子の生年月日がマスタと相違／","")&amp;IF(AND($L1014&lt;&gt;"",INDEX(職員マスタ!$G$6:$G$405,$AP1014)&lt;&gt;"",$L1014&lt;&gt;INDEX(職員マスタ!$G$6:$G$405,$AP1014)),"時短開始日がマスタと相違／","")&amp;IF(AND($M1014&lt;&gt;"",INDEX(職員マスタ!$H$6:$H$405,$AP1014)&lt;&gt;"",$M1014&lt;&gt;INDEX(職員マスタ!$H$6:$H$405,$AP1014)),"時短終了日がマスタと相違／","")))&amp;IF(AND($B1014&lt;&gt;"",$E1014=""),"報酬額が未入力／","")&amp;IF(N($U1014)&gt;0,"申請書に入力エラーが残っています／","")&amp;IF(AND($B1014&lt;&gt;"",$AQ1014&lt;&gt;""),IF(COUNTIFS($B$6:$B$3005,$B1014,$C$6:$C$3005,$C1014,$D$6:$D$3005,$D1014)&gt;1,"同じ月の請求が重複しています／",""),"")&amp;IF(AND(N($E1014)&gt;0,$AB1014&lt;&gt;"",$AB1014&lt;&gt;"×",$AE1014=0,$AD1014=""),"計算額が下限以下のため不支給／",""))</f>
        <v/>
      </c>
      <c r="AN1014" s="12" t="n"/>
      <c r="AO1014" s="14">
        <f>IF($AF1014="保留中",COUNTIF($AF$6:$AF1014,"保留中"),"")</f>
        <v/>
      </c>
      <c r="AP1014" s="14">
        <f>IF($AQ1014="","",IF(SUMPRODUCT(MAX((職員マスタ!$A$6:$A$405=$B1014)*(((職員マスタ!$G$6:$G$405="")+(職員マスタ!$G$6:$G$405&lt;=EOMONTH($AQ1014,0)))&gt;0)*(((職員マスタ!$H$6:$H$405="")+(職員マスタ!$H$6:$H$405&gt;=$AQ1014))&gt;0)*(ROW(職員マスタ!$A$6:$A$405)-5)))&gt;0,SUMPRODUCT(MAX((職員マスタ!$A$6:$A$405=$B1014)*(((職員マスタ!$G$6:$G$405="")+(職員マスタ!$G$6:$G$405&lt;=EOMONTH($AQ1014,0)))&gt;0)*(((職員マスタ!$H$6:$H$405="")+(職員マスタ!$H$6:$H$405&gt;=$AQ1014))&gt;0)*(ROW(職員マスタ!$A$6:$A$405)-5))),IFERROR(MATCH($B1014,職員マスタ!$A$6:$A$405,0),"")))</f>
        <v/>
      </c>
      <c r="AQ1014" s="16">
        <f>IF(OR($B1014="",$C1014="",$D1014=""),"",DATE($C1014+2018,$D1014,1))</f>
        <v/>
      </c>
    </row>
    <row r="1015">
      <c r="A1015" s="11" t="n"/>
      <c r="B1015" s="12" t="n"/>
      <c r="C1015" s="12" t="n"/>
      <c r="D1015" s="12" t="n"/>
      <c r="E1015" s="13" t="n"/>
      <c r="F1015" s="12" t="n"/>
      <c r="G1015" s="13" t="n"/>
      <c r="H1015" s="12" t="n"/>
      <c r="I1015" s="12" t="n"/>
      <c r="J1015" s="12" t="n"/>
      <c r="K1015" s="12" t="n"/>
      <c r="L1015" s="11" t="n"/>
      <c r="M1015" s="11" t="n"/>
      <c r="N1015" s="11" t="n"/>
      <c r="O1015" s="11" t="n"/>
      <c r="P1015" s="12" t="n"/>
      <c r="Q1015" s="11" t="n"/>
      <c r="R1015" s="12" t="n"/>
      <c r="S1015" s="11" t="n"/>
      <c r="T1015" s="12" t="n"/>
      <c r="U1015" s="12" t="n"/>
      <c r="V1015" s="12" t="n"/>
      <c r="W1015" s="13" t="n"/>
      <c r="X1015" s="14">
        <f>IF($AP1015="",IF($B1015="","",$H1015),IF(INDEX(職員マスタ!$B$6:$B$405,$AP1015)="",$H1015,INDEX(職員マスタ!$B$6:$B$405,$AP1015)))</f>
        <v/>
      </c>
      <c r="Y1015" s="14">
        <f>IF($AP1015="",IF($B1015="","",$R1015),IF(INDEX(職員マスタ!$C$6:$C$405,$AP1015)="",$R1015,INDEX(職員マスタ!$C$6:$C$405,$AP1015)))</f>
        <v/>
      </c>
      <c r="Z1015" s="14">
        <f>IF($AQ1015="","","R"&amp;$C1015&amp;"."&amp;$D1015)</f>
        <v/>
      </c>
      <c r="AA1015" s="15">
        <f>IF(IF($AP1015="",FALSE,INDEX(職員マスタ!$K$6:$K$405,$AP1015)&lt;&gt;""),INDEX(職員マスタ!$K$6:$K$405,$AP1015),IF(N($W1015)&gt;0,$W1015,""))</f>
        <v/>
      </c>
      <c r="AB1015" s="14">
        <f>IF(OR($E1015="",$AA1015=""),"",IF($E1015&gt;=$AA1015,"×",IF($E1015&gt;=$AA1015*設定!$C$5,"△","○")))</f>
        <v/>
      </c>
      <c r="AC1015" s="15">
        <f>IF($AB1015="","",IF($AB1015="×",0,IF($AB1015="○",ROUNDDOWN($E1015*設定!$C$4,0),ROUNDDOWN($E1015*ROUND((9*$AA1015-9*$E1015)/(10*$E1015),4),0))))</f>
        <v/>
      </c>
      <c r="AD1015" s="13" t="n"/>
      <c r="AE1015" s="15">
        <f>IF($B1015="","",IF($AD1015&lt;&gt;"",$AD1015,IF($AC1015="","",IF($AC1015&lt;=設定!$C$3,0,$AC1015))))</f>
        <v/>
      </c>
      <c r="AF1015" s="14">
        <f>IF($B1015="","",IF(AND($AG1015&lt;&gt;"",$AI1015="",$AL1015=""),"保留中",IF($AL1015&lt;&gt;"",IF(N($AE1015)&gt;0,"支給済","不支給"),IF($AE1015="","要確認",IF($AE1015=0,"不支給","未処理")))))</f>
        <v/>
      </c>
      <c r="AG1015" s="12" t="n"/>
      <c r="AH1015" s="11" t="n"/>
      <c r="AI1015" s="11" t="n"/>
      <c r="AJ1015" s="11" t="n"/>
      <c r="AK1015" s="14">
        <f>IF(AND($AF1015="保留中",$AH1015&lt;&gt;""),TODAY()-$AH1015,"")</f>
        <v/>
      </c>
      <c r="AL1015" s="12" t="n"/>
      <c r="AM1015" s="14">
        <f>IF($B1015="","",IF($AQ1015="","対象年月が未入力／","")&amp;IF($B1015="","",IF($AP1015="","職員マスタに未登録の職員番号／",IF($AA1015="","標準報酬月額が未登録／","")&amp;IF(AND($AQ1015&lt;&gt;"",OR(AND(INDEX(職員マスタ!$G$6:$G$405,$AP1015)&lt;&gt;"",INDEX(職員マスタ!$G$6:$G$405,$AP1015)&gt;EOMONTH($AQ1015,0)),AND(INDEX(職員マスタ!$H$6:$H$405,$AP1015)&lt;&gt;"",INDEX(職員マスタ!$H$6:$H$405,$AP1015)&lt;$AQ1015))),"対象月が時短期間外／","")&amp;IF(AND(INDEX(職員マスタ!$K$6:$K$405,$AP1015)&lt;&gt;"",N($W1015)&gt;0,INDEX(職員マスタ!$K$6:$K$405,$AP1015)&lt;&gt;$W1015),"標準報酬月額が申請書と相違（台帳"&amp;TEXT(INDEX(職員マスタ!$K$6:$K$405,$AP1015),"#,##0")&amp;"円／申請書"&amp;TEXT($W1015,"#,##0")&amp;"円）／","")&amp;IF(AND(INDEX(職員マスタ!$F$6:$F$405,$AP1015)&lt;&gt;"",$AQ1015&lt;&gt;"",INDEX(職員マスタ!$F$6:$F$405,$AP1015)&lt;$AQ1015),"対象月に子が2歳到達済／","")&amp;IF(AND($H1015&lt;&gt;"",INDEX(職員マスタ!$B$6:$B$405,$AP1015)&lt;&gt;"",SUBSTITUTE(SUBSTITUTE($H1015," ","")," ","")&lt;&gt;SUBSTITUTE(SUBSTITUTE(INDEX(職員マスタ!$B$6:$B$405,$AP1015)," ","")," ","")),"氏名がマスタと相違／","")&amp;IF(AND($Q1015&lt;&gt;"",INDEX(職員マスタ!$E$6:$E$405,$AP1015)&lt;&gt;"",$Q1015&lt;&gt;INDEX(職員マスタ!$E$6:$E$405,$AP1015)),"子の生年月日がマスタと相違／","")&amp;IF(AND($L1015&lt;&gt;"",INDEX(職員マスタ!$G$6:$G$405,$AP1015)&lt;&gt;"",$L1015&lt;&gt;INDEX(職員マスタ!$G$6:$G$405,$AP1015)),"時短開始日がマスタと相違／","")&amp;IF(AND($M1015&lt;&gt;"",INDEX(職員マスタ!$H$6:$H$405,$AP1015)&lt;&gt;"",$M1015&lt;&gt;INDEX(職員マスタ!$H$6:$H$405,$AP1015)),"時短終了日がマスタと相違／","")))&amp;IF(AND($B1015&lt;&gt;"",$E1015=""),"報酬額が未入力／","")&amp;IF(N($U1015)&gt;0,"申請書に入力エラーが残っています／","")&amp;IF(AND($B1015&lt;&gt;"",$AQ1015&lt;&gt;""),IF(COUNTIFS($B$6:$B$3005,$B1015,$C$6:$C$3005,$C1015,$D$6:$D$3005,$D1015)&gt;1,"同じ月の請求が重複しています／",""),"")&amp;IF(AND(N($E1015)&gt;0,$AB1015&lt;&gt;"",$AB1015&lt;&gt;"×",$AE1015=0,$AD1015=""),"計算額が下限以下のため不支給／",""))</f>
        <v/>
      </c>
      <c r="AN1015" s="12" t="n"/>
      <c r="AO1015" s="14">
        <f>IF($AF1015="保留中",COUNTIF($AF$6:$AF1015,"保留中"),"")</f>
        <v/>
      </c>
      <c r="AP1015" s="14">
        <f>IF($AQ1015="","",IF(SUMPRODUCT(MAX((職員マスタ!$A$6:$A$405=$B1015)*(((職員マスタ!$G$6:$G$405="")+(職員マスタ!$G$6:$G$405&lt;=EOMONTH($AQ1015,0)))&gt;0)*(((職員マスタ!$H$6:$H$405="")+(職員マスタ!$H$6:$H$405&gt;=$AQ1015))&gt;0)*(ROW(職員マスタ!$A$6:$A$405)-5)))&gt;0,SUMPRODUCT(MAX((職員マスタ!$A$6:$A$405=$B1015)*(((職員マスタ!$G$6:$G$405="")+(職員マスタ!$G$6:$G$405&lt;=EOMONTH($AQ1015,0)))&gt;0)*(((職員マスタ!$H$6:$H$405="")+(職員マスタ!$H$6:$H$405&gt;=$AQ1015))&gt;0)*(ROW(職員マスタ!$A$6:$A$405)-5))),IFERROR(MATCH($B1015,職員マスタ!$A$6:$A$405,0),"")))</f>
        <v/>
      </c>
      <c r="AQ1015" s="16">
        <f>IF(OR($B1015="",$C1015="",$D1015=""),"",DATE($C1015+2018,$D1015,1))</f>
        <v/>
      </c>
    </row>
    <row r="1016">
      <c r="A1016" s="11" t="n"/>
      <c r="B1016" s="12" t="n"/>
      <c r="C1016" s="12" t="n"/>
      <c r="D1016" s="12" t="n"/>
      <c r="E1016" s="13" t="n"/>
      <c r="F1016" s="12" t="n"/>
      <c r="G1016" s="13" t="n"/>
      <c r="H1016" s="12" t="n"/>
      <c r="I1016" s="12" t="n"/>
      <c r="J1016" s="12" t="n"/>
      <c r="K1016" s="12" t="n"/>
      <c r="L1016" s="11" t="n"/>
      <c r="M1016" s="11" t="n"/>
      <c r="N1016" s="11" t="n"/>
      <c r="O1016" s="11" t="n"/>
      <c r="P1016" s="12" t="n"/>
      <c r="Q1016" s="11" t="n"/>
      <c r="R1016" s="12" t="n"/>
      <c r="S1016" s="11" t="n"/>
      <c r="T1016" s="12" t="n"/>
      <c r="U1016" s="12" t="n"/>
      <c r="V1016" s="12" t="n"/>
      <c r="W1016" s="13" t="n"/>
      <c r="X1016" s="14">
        <f>IF($AP1016="",IF($B1016="","",$H1016),IF(INDEX(職員マスタ!$B$6:$B$405,$AP1016)="",$H1016,INDEX(職員マスタ!$B$6:$B$405,$AP1016)))</f>
        <v/>
      </c>
      <c r="Y1016" s="14">
        <f>IF($AP1016="",IF($B1016="","",$R1016),IF(INDEX(職員マスタ!$C$6:$C$405,$AP1016)="",$R1016,INDEX(職員マスタ!$C$6:$C$405,$AP1016)))</f>
        <v/>
      </c>
      <c r="Z1016" s="14">
        <f>IF($AQ1016="","","R"&amp;$C1016&amp;"."&amp;$D1016)</f>
        <v/>
      </c>
      <c r="AA1016" s="15">
        <f>IF(IF($AP1016="",FALSE,INDEX(職員マスタ!$K$6:$K$405,$AP1016)&lt;&gt;""),INDEX(職員マスタ!$K$6:$K$405,$AP1016),IF(N($W1016)&gt;0,$W1016,""))</f>
        <v/>
      </c>
      <c r="AB1016" s="14">
        <f>IF(OR($E1016="",$AA1016=""),"",IF($E1016&gt;=$AA1016,"×",IF($E1016&gt;=$AA1016*設定!$C$5,"△","○")))</f>
        <v/>
      </c>
      <c r="AC1016" s="15">
        <f>IF($AB1016="","",IF($AB1016="×",0,IF($AB1016="○",ROUNDDOWN($E1016*設定!$C$4,0),ROUNDDOWN($E1016*ROUND((9*$AA1016-9*$E1016)/(10*$E1016),4),0))))</f>
        <v/>
      </c>
      <c r="AD1016" s="13" t="n"/>
      <c r="AE1016" s="15">
        <f>IF($B1016="","",IF($AD1016&lt;&gt;"",$AD1016,IF($AC1016="","",IF($AC1016&lt;=設定!$C$3,0,$AC1016))))</f>
        <v/>
      </c>
      <c r="AF1016" s="14">
        <f>IF($B1016="","",IF(AND($AG1016&lt;&gt;"",$AI1016="",$AL1016=""),"保留中",IF($AL1016&lt;&gt;"",IF(N($AE1016)&gt;0,"支給済","不支給"),IF($AE1016="","要確認",IF($AE1016=0,"不支給","未処理")))))</f>
        <v/>
      </c>
      <c r="AG1016" s="12" t="n"/>
      <c r="AH1016" s="11" t="n"/>
      <c r="AI1016" s="11" t="n"/>
      <c r="AJ1016" s="11" t="n"/>
      <c r="AK1016" s="14">
        <f>IF(AND($AF1016="保留中",$AH1016&lt;&gt;""),TODAY()-$AH1016,"")</f>
        <v/>
      </c>
      <c r="AL1016" s="12" t="n"/>
      <c r="AM1016" s="14">
        <f>IF($B1016="","",IF($AQ1016="","対象年月が未入力／","")&amp;IF($B1016="","",IF($AP1016="","職員マスタに未登録の職員番号／",IF($AA1016="","標準報酬月額が未登録／","")&amp;IF(AND($AQ1016&lt;&gt;"",OR(AND(INDEX(職員マスタ!$G$6:$G$405,$AP1016)&lt;&gt;"",INDEX(職員マスタ!$G$6:$G$405,$AP1016)&gt;EOMONTH($AQ1016,0)),AND(INDEX(職員マスタ!$H$6:$H$405,$AP1016)&lt;&gt;"",INDEX(職員マスタ!$H$6:$H$405,$AP1016)&lt;$AQ1016))),"対象月が時短期間外／","")&amp;IF(AND(INDEX(職員マスタ!$K$6:$K$405,$AP1016)&lt;&gt;"",N($W1016)&gt;0,INDEX(職員マスタ!$K$6:$K$405,$AP1016)&lt;&gt;$W1016),"標準報酬月額が申請書と相違（台帳"&amp;TEXT(INDEX(職員マスタ!$K$6:$K$405,$AP1016),"#,##0")&amp;"円／申請書"&amp;TEXT($W1016,"#,##0")&amp;"円）／","")&amp;IF(AND(INDEX(職員マスタ!$F$6:$F$405,$AP1016)&lt;&gt;"",$AQ1016&lt;&gt;"",INDEX(職員マスタ!$F$6:$F$405,$AP1016)&lt;$AQ1016),"対象月に子が2歳到達済／","")&amp;IF(AND($H1016&lt;&gt;"",INDEX(職員マスタ!$B$6:$B$405,$AP1016)&lt;&gt;"",SUBSTITUTE(SUBSTITUTE($H1016," ","")," ","")&lt;&gt;SUBSTITUTE(SUBSTITUTE(INDEX(職員マスタ!$B$6:$B$405,$AP1016)," ","")," ","")),"氏名がマスタと相違／","")&amp;IF(AND($Q1016&lt;&gt;"",INDEX(職員マスタ!$E$6:$E$405,$AP1016)&lt;&gt;"",$Q1016&lt;&gt;INDEX(職員マスタ!$E$6:$E$405,$AP1016)),"子の生年月日がマスタと相違／","")&amp;IF(AND($L1016&lt;&gt;"",INDEX(職員マスタ!$G$6:$G$405,$AP1016)&lt;&gt;"",$L1016&lt;&gt;INDEX(職員マスタ!$G$6:$G$405,$AP1016)),"時短開始日がマスタと相違／","")&amp;IF(AND($M1016&lt;&gt;"",INDEX(職員マスタ!$H$6:$H$405,$AP1016)&lt;&gt;"",$M1016&lt;&gt;INDEX(職員マスタ!$H$6:$H$405,$AP1016)),"時短終了日がマスタと相違／","")))&amp;IF(AND($B1016&lt;&gt;"",$E1016=""),"報酬額が未入力／","")&amp;IF(N($U1016)&gt;0,"申請書に入力エラーが残っています／","")&amp;IF(AND($B1016&lt;&gt;"",$AQ1016&lt;&gt;""),IF(COUNTIFS($B$6:$B$3005,$B1016,$C$6:$C$3005,$C1016,$D$6:$D$3005,$D1016)&gt;1,"同じ月の請求が重複しています／",""),"")&amp;IF(AND(N($E1016)&gt;0,$AB1016&lt;&gt;"",$AB1016&lt;&gt;"×",$AE1016=0,$AD1016=""),"計算額が下限以下のため不支給／",""))</f>
        <v/>
      </c>
      <c r="AN1016" s="12" t="n"/>
      <c r="AO1016" s="14">
        <f>IF($AF1016="保留中",COUNTIF($AF$6:$AF1016,"保留中"),"")</f>
        <v/>
      </c>
      <c r="AP1016" s="14">
        <f>IF($AQ1016="","",IF(SUMPRODUCT(MAX((職員マスタ!$A$6:$A$405=$B1016)*(((職員マスタ!$G$6:$G$405="")+(職員マスタ!$G$6:$G$405&lt;=EOMONTH($AQ1016,0)))&gt;0)*(((職員マスタ!$H$6:$H$405="")+(職員マスタ!$H$6:$H$405&gt;=$AQ1016))&gt;0)*(ROW(職員マスタ!$A$6:$A$405)-5)))&gt;0,SUMPRODUCT(MAX((職員マスタ!$A$6:$A$405=$B1016)*(((職員マスタ!$G$6:$G$405="")+(職員マスタ!$G$6:$G$405&lt;=EOMONTH($AQ1016,0)))&gt;0)*(((職員マスタ!$H$6:$H$405="")+(職員マスタ!$H$6:$H$405&gt;=$AQ1016))&gt;0)*(ROW(職員マスタ!$A$6:$A$405)-5))),IFERROR(MATCH($B1016,職員マスタ!$A$6:$A$405,0),"")))</f>
        <v/>
      </c>
      <c r="AQ1016" s="16">
        <f>IF(OR($B1016="",$C1016="",$D1016=""),"",DATE($C1016+2018,$D1016,1))</f>
        <v/>
      </c>
    </row>
    <row r="1017">
      <c r="A1017" s="11" t="n"/>
      <c r="B1017" s="12" t="n"/>
      <c r="C1017" s="12" t="n"/>
      <c r="D1017" s="12" t="n"/>
      <c r="E1017" s="13" t="n"/>
      <c r="F1017" s="12" t="n"/>
      <c r="G1017" s="13" t="n"/>
      <c r="H1017" s="12" t="n"/>
      <c r="I1017" s="12" t="n"/>
      <c r="J1017" s="12" t="n"/>
      <c r="K1017" s="12" t="n"/>
      <c r="L1017" s="11" t="n"/>
      <c r="M1017" s="11" t="n"/>
      <c r="N1017" s="11" t="n"/>
      <c r="O1017" s="11" t="n"/>
      <c r="P1017" s="12" t="n"/>
      <c r="Q1017" s="11" t="n"/>
      <c r="R1017" s="12" t="n"/>
      <c r="S1017" s="11" t="n"/>
      <c r="T1017" s="12" t="n"/>
      <c r="U1017" s="12" t="n"/>
      <c r="V1017" s="12" t="n"/>
      <c r="W1017" s="13" t="n"/>
      <c r="X1017" s="14">
        <f>IF($AP1017="",IF($B1017="","",$H1017),IF(INDEX(職員マスタ!$B$6:$B$405,$AP1017)="",$H1017,INDEX(職員マスタ!$B$6:$B$405,$AP1017)))</f>
        <v/>
      </c>
      <c r="Y1017" s="14">
        <f>IF($AP1017="",IF($B1017="","",$R1017),IF(INDEX(職員マスタ!$C$6:$C$405,$AP1017)="",$R1017,INDEX(職員マスタ!$C$6:$C$405,$AP1017)))</f>
        <v/>
      </c>
      <c r="Z1017" s="14">
        <f>IF($AQ1017="","","R"&amp;$C1017&amp;"."&amp;$D1017)</f>
        <v/>
      </c>
      <c r="AA1017" s="15">
        <f>IF(IF($AP1017="",FALSE,INDEX(職員マスタ!$K$6:$K$405,$AP1017)&lt;&gt;""),INDEX(職員マスタ!$K$6:$K$405,$AP1017),IF(N($W1017)&gt;0,$W1017,""))</f>
        <v/>
      </c>
      <c r="AB1017" s="14">
        <f>IF(OR($E1017="",$AA1017=""),"",IF($E1017&gt;=$AA1017,"×",IF($E1017&gt;=$AA1017*設定!$C$5,"△","○")))</f>
        <v/>
      </c>
      <c r="AC1017" s="15">
        <f>IF($AB1017="","",IF($AB1017="×",0,IF($AB1017="○",ROUNDDOWN($E1017*設定!$C$4,0),ROUNDDOWN($E1017*ROUND((9*$AA1017-9*$E1017)/(10*$E1017),4),0))))</f>
        <v/>
      </c>
      <c r="AD1017" s="13" t="n"/>
      <c r="AE1017" s="15">
        <f>IF($B1017="","",IF($AD1017&lt;&gt;"",$AD1017,IF($AC1017="","",IF($AC1017&lt;=設定!$C$3,0,$AC1017))))</f>
        <v/>
      </c>
      <c r="AF1017" s="14">
        <f>IF($B1017="","",IF(AND($AG1017&lt;&gt;"",$AI1017="",$AL1017=""),"保留中",IF($AL1017&lt;&gt;"",IF(N($AE1017)&gt;0,"支給済","不支給"),IF($AE1017="","要確認",IF($AE1017=0,"不支給","未処理")))))</f>
        <v/>
      </c>
      <c r="AG1017" s="12" t="n"/>
      <c r="AH1017" s="11" t="n"/>
      <c r="AI1017" s="11" t="n"/>
      <c r="AJ1017" s="11" t="n"/>
      <c r="AK1017" s="14">
        <f>IF(AND($AF1017="保留中",$AH1017&lt;&gt;""),TODAY()-$AH1017,"")</f>
        <v/>
      </c>
      <c r="AL1017" s="12" t="n"/>
      <c r="AM1017" s="14">
        <f>IF($B1017="","",IF($AQ1017="","対象年月が未入力／","")&amp;IF($B1017="","",IF($AP1017="","職員マスタに未登録の職員番号／",IF($AA1017="","標準報酬月額が未登録／","")&amp;IF(AND($AQ1017&lt;&gt;"",OR(AND(INDEX(職員マスタ!$G$6:$G$405,$AP1017)&lt;&gt;"",INDEX(職員マスタ!$G$6:$G$405,$AP1017)&gt;EOMONTH($AQ1017,0)),AND(INDEX(職員マスタ!$H$6:$H$405,$AP1017)&lt;&gt;"",INDEX(職員マスタ!$H$6:$H$405,$AP1017)&lt;$AQ1017))),"対象月が時短期間外／","")&amp;IF(AND(INDEX(職員マスタ!$K$6:$K$405,$AP1017)&lt;&gt;"",N($W1017)&gt;0,INDEX(職員マスタ!$K$6:$K$405,$AP1017)&lt;&gt;$W1017),"標準報酬月額が申請書と相違（台帳"&amp;TEXT(INDEX(職員マスタ!$K$6:$K$405,$AP1017),"#,##0")&amp;"円／申請書"&amp;TEXT($W1017,"#,##0")&amp;"円）／","")&amp;IF(AND(INDEX(職員マスタ!$F$6:$F$405,$AP1017)&lt;&gt;"",$AQ1017&lt;&gt;"",INDEX(職員マスタ!$F$6:$F$405,$AP1017)&lt;$AQ1017),"対象月に子が2歳到達済／","")&amp;IF(AND($H1017&lt;&gt;"",INDEX(職員マスタ!$B$6:$B$405,$AP1017)&lt;&gt;"",SUBSTITUTE(SUBSTITUTE($H1017," ","")," ","")&lt;&gt;SUBSTITUTE(SUBSTITUTE(INDEX(職員マスタ!$B$6:$B$405,$AP1017)," ","")," ","")),"氏名がマスタと相違／","")&amp;IF(AND($Q1017&lt;&gt;"",INDEX(職員マスタ!$E$6:$E$405,$AP1017)&lt;&gt;"",$Q1017&lt;&gt;INDEX(職員マスタ!$E$6:$E$405,$AP1017)),"子の生年月日がマスタと相違／","")&amp;IF(AND($L1017&lt;&gt;"",INDEX(職員マスタ!$G$6:$G$405,$AP1017)&lt;&gt;"",$L1017&lt;&gt;INDEX(職員マスタ!$G$6:$G$405,$AP1017)),"時短開始日がマスタと相違／","")&amp;IF(AND($M1017&lt;&gt;"",INDEX(職員マスタ!$H$6:$H$405,$AP1017)&lt;&gt;"",$M1017&lt;&gt;INDEX(職員マスタ!$H$6:$H$405,$AP1017)),"時短終了日がマスタと相違／","")))&amp;IF(AND($B1017&lt;&gt;"",$E1017=""),"報酬額が未入力／","")&amp;IF(N($U1017)&gt;0,"申請書に入力エラーが残っています／","")&amp;IF(AND($B1017&lt;&gt;"",$AQ1017&lt;&gt;""),IF(COUNTIFS($B$6:$B$3005,$B1017,$C$6:$C$3005,$C1017,$D$6:$D$3005,$D1017)&gt;1,"同じ月の請求が重複しています／",""),"")&amp;IF(AND(N($E1017)&gt;0,$AB1017&lt;&gt;"",$AB1017&lt;&gt;"×",$AE1017=0,$AD1017=""),"計算額が下限以下のため不支給／",""))</f>
        <v/>
      </c>
      <c r="AN1017" s="12" t="n"/>
      <c r="AO1017" s="14">
        <f>IF($AF1017="保留中",COUNTIF($AF$6:$AF1017,"保留中"),"")</f>
        <v/>
      </c>
      <c r="AP1017" s="14">
        <f>IF($AQ1017="","",IF(SUMPRODUCT(MAX((職員マスタ!$A$6:$A$405=$B1017)*(((職員マスタ!$G$6:$G$405="")+(職員マスタ!$G$6:$G$405&lt;=EOMONTH($AQ1017,0)))&gt;0)*(((職員マスタ!$H$6:$H$405="")+(職員マスタ!$H$6:$H$405&gt;=$AQ1017))&gt;0)*(ROW(職員マスタ!$A$6:$A$405)-5)))&gt;0,SUMPRODUCT(MAX((職員マスタ!$A$6:$A$405=$B1017)*(((職員マスタ!$G$6:$G$405="")+(職員マスタ!$G$6:$G$405&lt;=EOMONTH($AQ1017,0)))&gt;0)*(((職員マスタ!$H$6:$H$405="")+(職員マスタ!$H$6:$H$405&gt;=$AQ1017))&gt;0)*(ROW(職員マスタ!$A$6:$A$405)-5))),IFERROR(MATCH($B1017,職員マスタ!$A$6:$A$405,0),"")))</f>
        <v/>
      </c>
      <c r="AQ1017" s="16">
        <f>IF(OR($B1017="",$C1017="",$D1017=""),"",DATE($C1017+2018,$D1017,1))</f>
        <v/>
      </c>
    </row>
    <row r="1018">
      <c r="A1018" s="11" t="n"/>
      <c r="B1018" s="12" t="n"/>
      <c r="C1018" s="12" t="n"/>
      <c r="D1018" s="12" t="n"/>
      <c r="E1018" s="13" t="n"/>
      <c r="F1018" s="12" t="n"/>
      <c r="G1018" s="13" t="n"/>
      <c r="H1018" s="12" t="n"/>
      <c r="I1018" s="12" t="n"/>
      <c r="J1018" s="12" t="n"/>
      <c r="K1018" s="12" t="n"/>
      <c r="L1018" s="11" t="n"/>
      <c r="M1018" s="11" t="n"/>
      <c r="N1018" s="11" t="n"/>
      <c r="O1018" s="11" t="n"/>
      <c r="P1018" s="12" t="n"/>
      <c r="Q1018" s="11" t="n"/>
      <c r="R1018" s="12" t="n"/>
      <c r="S1018" s="11" t="n"/>
      <c r="T1018" s="12" t="n"/>
      <c r="U1018" s="12" t="n"/>
      <c r="V1018" s="12" t="n"/>
      <c r="W1018" s="13" t="n"/>
      <c r="X1018" s="14">
        <f>IF($AP1018="",IF($B1018="","",$H1018),IF(INDEX(職員マスタ!$B$6:$B$405,$AP1018)="",$H1018,INDEX(職員マスタ!$B$6:$B$405,$AP1018)))</f>
        <v/>
      </c>
      <c r="Y1018" s="14">
        <f>IF($AP1018="",IF($B1018="","",$R1018),IF(INDEX(職員マスタ!$C$6:$C$405,$AP1018)="",$R1018,INDEX(職員マスタ!$C$6:$C$405,$AP1018)))</f>
        <v/>
      </c>
      <c r="Z1018" s="14">
        <f>IF($AQ1018="","","R"&amp;$C1018&amp;"."&amp;$D1018)</f>
        <v/>
      </c>
      <c r="AA1018" s="15">
        <f>IF(IF($AP1018="",FALSE,INDEX(職員マスタ!$K$6:$K$405,$AP1018)&lt;&gt;""),INDEX(職員マスタ!$K$6:$K$405,$AP1018),IF(N($W1018)&gt;0,$W1018,""))</f>
        <v/>
      </c>
      <c r="AB1018" s="14">
        <f>IF(OR($E1018="",$AA1018=""),"",IF($E1018&gt;=$AA1018,"×",IF($E1018&gt;=$AA1018*設定!$C$5,"△","○")))</f>
        <v/>
      </c>
      <c r="AC1018" s="15">
        <f>IF($AB1018="","",IF($AB1018="×",0,IF($AB1018="○",ROUNDDOWN($E1018*設定!$C$4,0),ROUNDDOWN($E1018*ROUND((9*$AA1018-9*$E1018)/(10*$E1018),4),0))))</f>
        <v/>
      </c>
      <c r="AD1018" s="13" t="n"/>
      <c r="AE1018" s="15">
        <f>IF($B1018="","",IF($AD1018&lt;&gt;"",$AD1018,IF($AC1018="","",IF($AC1018&lt;=設定!$C$3,0,$AC1018))))</f>
        <v/>
      </c>
      <c r="AF1018" s="14">
        <f>IF($B1018="","",IF(AND($AG1018&lt;&gt;"",$AI1018="",$AL1018=""),"保留中",IF($AL1018&lt;&gt;"",IF(N($AE1018)&gt;0,"支給済","不支給"),IF($AE1018="","要確認",IF($AE1018=0,"不支給","未処理")))))</f>
        <v/>
      </c>
      <c r="AG1018" s="12" t="n"/>
      <c r="AH1018" s="11" t="n"/>
      <c r="AI1018" s="11" t="n"/>
      <c r="AJ1018" s="11" t="n"/>
      <c r="AK1018" s="14">
        <f>IF(AND($AF1018="保留中",$AH1018&lt;&gt;""),TODAY()-$AH1018,"")</f>
        <v/>
      </c>
      <c r="AL1018" s="12" t="n"/>
      <c r="AM1018" s="14">
        <f>IF($B1018="","",IF($AQ1018="","対象年月が未入力／","")&amp;IF($B1018="","",IF($AP1018="","職員マスタに未登録の職員番号／",IF($AA1018="","標準報酬月額が未登録／","")&amp;IF(AND($AQ1018&lt;&gt;"",OR(AND(INDEX(職員マスタ!$G$6:$G$405,$AP1018)&lt;&gt;"",INDEX(職員マスタ!$G$6:$G$405,$AP1018)&gt;EOMONTH($AQ1018,0)),AND(INDEX(職員マスタ!$H$6:$H$405,$AP1018)&lt;&gt;"",INDEX(職員マスタ!$H$6:$H$405,$AP1018)&lt;$AQ1018))),"対象月が時短期間外／","")&amp;IF(AND(INDEX(職員マスタ!$K$6:$K$405,$AP1018)&lt;&gt;"",N($W1018)&gt;0,INDEX(職員マスタ!$K$6:$K$405,$AP1018)&lt;&gt;$W1018),"標準報酬月額が申請書と相違（台帳"&amp;TEXT(INDEX(職員マスタ!$K$6:$K$405,$AP1018),"#,##0")&amp;"円／申請書"&amp;TEXT($W1018,"#,##0")&amp;"円）／","")&amp;IF(AND(INDEX(職員マスタ!$F$6:$F$405,$AP1018)&lt;&gt;"",$AQ1018&lt;&gt;"",INDEX(職員マスタ!$F$6:$F$405,$AP1018)&lt;$AQ1018),"対象月に子が2歳到達済／","")&amp;IF(AND($H1018&lt;&gt;"",INDEX(職員マスタ!$B$6:$B$405,$AP1018)&lt;&gt;"",SUBSTITUTE(SUBSTITUTE($H1018," ","")," ","")&lt;&gt;SUBSTITUTE(SUBSTITUTE(INDEX(職員マスタ!$B$6:$B$405,$AP1018)," ","")," ","")),"氏名がマスタと相違／","")&amp;IF(AND($Q1018&lt;&gt;"",INDEX(職員マスタ!$E$6:$E$405,$AP1018)&lt;&gt;"",$Q1018&lt;&gt;INDEX(職員マスタ!$E$6:$E$405,$AP1018)),"子の生年月日がマスタと相違／","")&amp;IF(AND($L1018&lt;&gt;"",INDEX(職員マスタ!$G$6:$G$405,$AP1018)&lt;&gt;"",$L1018&lt;&gt;INDEX(職員マスタ!$G$6:$G$405,$AP1018)),"時短開始日がマスタと相違／","")&amp;IF(AND($M1018&lt;&gt;"",INDEX(職員マスタ!$H$6:$H$405,$AP1018)&lt;&gt;"",$M1018&lt;&gt;INDEX(職員マスタ!$H$6:$H$405,$AP1018)),"時短終了日がマスタと相違／","")))&amp;IF(AND($B1018&lt;&gt;"",$E1018=""),"報酬額が未入力／","")&amp;IF(N($U1018)&gt;0,"申請書に入力エラーが残っています／","")&amp;IF(AND($B1018&lt;&gt;"",$AQ1018&lt;&gt;""),IF(COUNTIFS($B$6:$B$3005,$B1018,$C$6:$C$3005,$C1018,$D$6:$D$3005,$D1018)&gt;1,"同じ月の請求が重複しています／",""),"")&amp;IF(AND(N($E1018)&gt;0,$AB1018&lt;&gt;"",$AB1018&lt;&gt;"×",$AE1018=0,$AD1018=""),"計算額が下限以下のため不支給／",""))</f>
        <v/>
      </c>
      <c r="AN1018" s="12" t="n"/>
      <c r="AO1018" s="14">
        <f>IF($AF1018="保留中",COUNTIF($AF$6:$AF1018,"保留中"),"")</f>
        <v/>
      </c>
      <c r="AP1018" s="14">
        <f>IF($AQ1018="","",IF(SUMPRODUCT(MAX((職員マスタ!$A$6:$A$405=$B1018)*(((職員マスタ!$G$6:$G$405="")+(職員マスタ!$G$6:$G$405&lt;=EOMONTH($AQ1018,0)))&gt;0)*(((職員マスタ!$H$6:$H$405="")+(職員マスタ!$H$6:$H$405&gt;=$AQ1018))&gt;0)*(ROW(職員マスタ!$A$6:$A$405)-5)))&gt;0,SUMPRODUCT(MAX((職員マスタ!$A$6:$A$405=$B1018)*(((職員マスタ!$G$6:$G$405="")+(職員マスタ!$G$6:$G$405&lt;=EOMONTH($AQ1018,0)))&gt;0)*(((職員マスタ!$H$6:$H$405="")+(職員マスタ!$H$6:$H$405&gt;=$AQ1018))&gt;0)*(ROW(職員マスタ!$A$6:$A$405)-5))),IFERROR(MATCH($B1018,職員マスタ!$A$6:$A$405,0),"")))</f>
        <v/>
      </c>
      <c r="AQ1018" s="16">
        <f>IF(OR($B1018="",$C1018="",$D1018=""),"",DATE($C1018+2018,$D1018,1))</f>
        <v/>
      </c>
    </row>
    <row r="1019">
      <c r="A1019" s="11" t="n"/>
      <c r="B1019" s="12" t="n"/>
      <c r="C1019" s="12" t="n"/>
      <c r="D1019" s="12" t="n"/>
      <c r="E1019" s="13" t="n"/>
      <c r="F1019" s="12" t="n"/>
      <c r="G1019" s="13" t="n"/>
      <c r="H1019" s="12" t="n"/>
      <c r="I1019" s="12" t="n"/>
      <c r="J1019" s="12" t="n"/>
      <c r="K1019" s="12" t="n"/>
      <c r="L1019" s="11" t="n"/>
      <c r="M1019" s="11" t="n"/>
      <c r="N1019" s="11" t="n"/>
      <c r="O1019" s="11" t="n"/>
      <c r="P1019" s="12" t="n"/>
      <c r="Q1019" s="11" t="n"/>
      <c r="R1019" s="12" t="n"/>
      <c r="S1019" s="11" t="n"/>
      <c r="T1019" s="12" t="n"/>
      <c r="U1019" s="12" t="n"/>
      <c r="V1019" s="12" t="n"/>
      <c r="W1019" s="13" t="n"/>
      <c r="X1019" s="14">
        <f>IF($AP1019="",IF($B1019="","",$H1019),IF(INDEX(職員マスタ!$B$6:$B$405,$AP1019)="",$H1019,INDEX(職員マスタ!$B$6:$B$405,$AP1019)))</f>
        <v/>
      </c>
      <c r="Y1019" s="14">
        <f>IF($AP1019="",IF($B1019="","",$R1019),IF(INDEX(職員マスタ!$C$6:$C$405,$AP1019)="",$R1019,INDEX(職員マスタ!$C$6:$C$405,$AP1019)))</f>
        <v/>
      </c>
      <c r="Z1019" s="14">
        <f>IF($AQ1019="","","R"&amp;$C1019&amp;"."&amp;$D1019)</f>
        <v/>
      </c>
      <c r="AA1019" s="15">
        <f>IF(IF($AP1019="",FALSE,INDEX(職員マスタ!$K$6:$K$405,$AP1019)&lt;&gt;""),INDEX(職員マスタ!$K$6:$K$405,$AP1019),IF(N($W1019)&gt;0,$W1019,""))</f>
        <v/>
      </c>
      <c r="AB1019" s="14">
        <f>IF(OR($E1019="",$AA1019=""),"",IF($E1019&gt;=$AA1019,"×",IF($E1019&gt;=$AA1019*設定!$C$5,"△","○")))</f>
        <v/>
      </c>
      <c r="AC1019" s="15">
        <f>IF($AB1019="","",IF($AB1019="×",0,IF($AB1019="○",ROUNDDOWN($E1019*設定!$C$4,0),ROUNDDOWN($E1019*ROUND((9*$AA1019-9*$E1019)/(10*$E1019),4),0))))</f>
        <v/>
      </c>
      <c r="AD1019" s="13" t="n"/>
      <c r="AE1019" s="15">
        <f>IF($B1019="","",IF($AD1019&lt;&gt;"",$AD1019,IF($AC1019="","",IF($AC1019&lt;=設定!$C$3,0,$AC1019))))</f>
        <v/>
      </c>
      <c r="AF1019" s="14">
        <f>IF($B1019="","",IF(AND($AG1019&lt;&gt;"",$AI1019="",$AL1019=""),"保留中",IF($AL1019&lt;&gt;"",IF(N($AE1019)&gt;0,"支給済","不支給"),IF($AE1019="","要確認",IF($AE1019=0,"不支給","未処理")))))</f>
        <v/>
      </c>
      <c r="AG1019" s="12" t="n"/>
      <c r="AH1019" s="11" t="n"/>
      <c r="AI1019" s="11" t="n"/>
      <c r="AJ1019" s="11" t="n"/>
      <c r="AK1019" s="14">
        <f>IF(AND($AF1019="保留中",$AH1019&lt;&gt;""),TODAY()-$AH1019,"")</f>
        <v/>
      </c>
      <c r="AL1019" s="12" t="n"/>
      <c r="AM1019" s="14">
        <f>IF($B1019="","",IF($AQ1019="","対象年月が未入力／","")&amp;IF($B1019="","",IF($AP1019="","職員マスタに未登録の職員番号／",IF($AA1019="","標準報酬月額が未登録／","")&amp;IF(AND($AQ1019&lt;&gt;"",OR(AND(INDEX(職員マスタ!$G$6:$G$405,$AP1019)&lt;&gt;"",INDEX(職員マスタ!$G$6:$G$405,$AP1019)&gt;EOMONTH($AQ1019,0)),AND(INDEX(職員マスタ!$H$6:$H$405,$AP1019)&lt;&gt;"",INDEX(職員マスタ!$H$6:$H$405,$AP1019)&lt;$AQ1019))),"対象月が時短期間外／","")&amp;IF(AND(INDEX(職員マスタ!$K$6:$K$405,$AP1019)&lt;&gt;"",N($W1019)&gt;0,INDEX(職員マスタ!$K$6:$K$405,$AP1019)&lt;&gt;$W1019),"標準報酬月額が申請書と相違（台帳"&amp;TEXT(INDEX(職員マスタ!$K$6:$K$405,$AP1019),"#,##0")&amp;"円／申請書"&amp;TEXT($W1019,"#,##0")&amp;"円）／","")&amp;IF(AND(INDEX(職員マスタ!$F$6:$F$405,$AP1019)&lt;&gt;"",$AQ1019&lt;&gt;"",INDEX(職員マスタ!$F$6:$F$405,$AP1019)&lt;$AQ1019),"対象月に子が2歳到達済／","")&amp;IF(AND($H1019&lt;&gt;"",INDEX(職員マスタ!$B$6:$B$405,$AP1019)&lt;&gt;"",SUBSTITUTE(SUBSTITUTE($H1019," ","")," ","")&lt;&gt;SUBSTITUTE(SUBSTITUTE(INDEX(職員マスタ!$B$6:$B$405,$AP1019)," ","")," ","")),"氏名がマスタと相違／","")&amp;IF(AND($Q1019&lt;&gt;"",INDEX(職員マスタ!$E$6:$E$405,$AP1019)&lt;&gt;"",$Q1019&lt;&gt;INDEX(職員マスタ!$E$6:$E$405,$AP1019)),"子の生年月日がマスタと相違／","")&amp;IF(AND($L1019&lt;&gt;"",INDEX(職員マスタ!$G$6:$G$405,$AP1019)&lt;&gt;"",$L1019&lt;&gt;INDEX(職員マスタ!$G$6:$G$405,$AP1019)),"時短開始日がマスタと相違／","")&amp;IF(AND($M1019&lt;&gt;"",INDEX(職員マスタ!$H$6:$H$405,$AP1019)&lt;&gt;"",$M1019&lt;&gt;INDEX(職員マスタ!$H$6:$H$405,$AP1019)),"時短終了日がマスタと相違／","")))&amp;IF(AND($B1019&lt;&gt;"",$E1019=""),"報酬額が未入力／","")&amp;IF(N($U1019)&gt;0,"申請書に入力エラーが残っています／","")&amp;IF(AND($B1019&lt;&gt;"",$AQ1019&lt;&gt;""),IF(COUNTIFS($B$6:$B$3005,$B1019,$C$6:$C$3005,$C1019,$D$6:$D$3005,$D1019)&gt;1,"同じ月の請求が重複しています／",""),"")&amp;IF(AND(N($E1019)&gt;0,$AB1019&lt;&gt;"",$AB1019&lt;&gt;"×",$AE1019=0,$AD1019=""),"計算額が下限以下のため不支給／",""))</f>
        <v/>
      </c>
      <c r="AN1019" s="12" t="n"/>
      <c r="AO1019" s="14">
        <f>IF($AF1019="保留中",COUNTIF($AF$6:$AF1019,"保留中"),"")</f>
        <v/>
      </c>
      <c r="AP1019" s="14">
        <f>IF($AQ1019="","",IF(SUMPRODUCT(MAX((職員マスタ!$A$6:$A$405=$B1019)*(((職員マスタ!$G$6:$G$405="")+(職員マスタ!$G$6:$G$405&lt;=EOMONTH($AQ1019,0)))&gt;0)*(((職員マスタ!$H$6:$H$405="")+(職員マスタ!$H$6:$H$405&gt;=$AQ1019))&gt;0)*(ROW(職員マスタ!$A$6:$A$405)-5)))&gt;0,SUMPRODUCT(MAX((職員マスタ!$A$6:$A$405=$B1019)*(((職員マスタ!$G$6:$G$405="")+(職員マスタ!$G$6:$G$405&lt;=EOMONTH($AQ1019,0)))&gt;0)*(((職員マスタ!$H$6:$H$405="")+(職員マスタ!$H$6:$H$405&gt;=$AQ1019))&gt;0)*(ROW(職員マスタ!$A$6:$A$405)-5))),IFERROR(MATCH($B1019,職員マスタ!$A$6:$A$405,0),"")))</f>
        <v/>
      </c>
      <c r="AQ1019" s="16">
        <f>IF(OR($B1019="",$C1019="",$D1019=""),"",DATE($C1019+2018,$D1019,1))</f>
        <v/>
      </c>
    </row>
    <row r="1020">
      <c r="A1020" s="11" t="n"/>
      <c r="B1020" s="12" t="n"/>
      <c r="C1020" s="12" t="n"/>
      <c r="D1020" s="12" t="n"/>
      <c r="E1020" s="13" t="n"/>
      <c r="F1020" s="12" t="n"/>
      <c r="G1020" s="13" t="n"/>
      <c r="H1020" s="12" t="n"/>
      <c r="I1020" s="12" t="n"/>
      <c r="J1020" s="12" t="n"/>
      <c r="K1020" s="12" t="n"/>
      <c r="L1020" s="11" t="n"/>
      <c r="M1020" s="11" t="n"/>
      <c r="N1020" s="11" t="n"/>
      <c r="O1020" s="11" t="n"/>
      <c r="P1020" s="12" t="n"/>
      <c r="Q1020" s="11" t="n"/>
      <c r="R1020" s="12" t="n"/>
      <c r="S1020" s="11" t="n"/>
      <c r="T1020" s="12" t="n"/>
      <c r="U1020" s="12" t="n"/>
      <c r="V1020" s="12" t="n"/>
      <c r="W1020" s="13" t="n"/>
      <c r="X1020" s="14">
        <f>IF($AP1020="",IF($B1020="","",$H1020),IF(INDEX(職員マスタ!$B$6:$B$405,$AP1020)="",$H1020,INDEX(職員マスタ!$B$6:$B$405,$AP1020)))</f>
        <v/>
      </c>
      <c r="Y1020" s="14">
        <f>IF($AP1020="",IF($B1020="","",$R1020),IF(INDEX(職員マスタ!$C$6:$C$405,$AP1020)="",$R1020,INDEX(職員マスタ!$C$6:$C$405,$AP1020)))</f>
        <v/>
      </c>
      <c r="Z1020" s="14">
        <f>IF($AQ1020="","","R"&amp;$C1020&amp;"."&amp;$D1020)</f>
        <v/>
      </c>
      <c r="AA1020" s="15">
        <f>IF(IF($AP1020="",FALSE,INDEX(職員マスタ!$K$6:$K$405,$AP1020)&lt;&gt;""),INDEX(職員マスタ!$K$6:$K$405,$AP1020),IF(N($W1020)&gt;0,$W1020,""))</f>
        <v/>
      </c>
      <c r="AB1020" s="14">
        <f>IF(OR($E1020="",$AA1020=""),"",IF($E1020&gt;=$AA1020,"×",IF($E1020&gt;=$AA1020*設定!$C$5,"△","○")))</f>
        <v/>
      </c>
      <c r="AC1020" s="15">
        <f>IF($AB1020="","",IF($AB1020="×",0,IF($AB1020="○",ROUNDDOWN($E1020*設定!$C$4,0),ROUNDDOWN($E1020*ROUND((9*$AA1020-9*$E1020)/(10*$E1020),4),0))))</f>
        <v/>
      </c>
      <c r="AD1020" s="13" t="n"/>
      <c r="AE1020" s="15">
        <f>IF($B1020="","",IF($AD1020&lt;&gt;"",$AD1020,IF($AC1020="","",IF($AC1020&lt;=設定!$C$3,0,$AC1020))))</f>
        <v/>
      </c>
      <c r="AF1020" s="14">
        <f>IF($B1020="","",IF(AND($AG1020&lt;&gt;"",$AI1020="",$AL1020=""),"保留中",IF($AL1020&lt;&gt;"",IF(N($AE1020)&gt;0,"支給済","不支給"),IF($AE1020="","要確認",IF($AE1020=0,"不支給","未処理")))))</f>
        <v/>
      </c>
      <c r="AG1020" s="12" t="n"/>
      <c r="AH1020" s="11" t="n"/>
      <c r="AI1020" s="11" t="n"/>
      <c r="AJ1020" s="11" t="n"/>
      <c r="AK1020" s="14">
        <f>IF(AND($AF1020="保留中",$AH1020&lt;&gt;""),TODAY()-$AH1020,"")</f>
        <v/>
      </c>
      <c r="AL1020" s="12" t="n"/>
      <c r="AM1020" s="14">
        <f>IF($B1020="","",IF($AQ1020="","対象年月が未入力／","")&amp;IF($B1020="","",IF($AP1020="","職員マスタに未登録の職員番号／",IF($AA1020="","標準報酬月額が未登録／","")&amp;IF(AND($AQ1020&lt;&gt;"",OR(AND(INDEX(職員マスタ!$G$6:$G$405,$AP1020)&lt;&gt;"",INDEX(職員マスタ!$G$6:$G$405,$AP1020)&gt;EOMONTH($AQ1020,0)),AND(INDEX(職員マスタ!$H$6:$H$405,$AP1020)&lt;&gt;"",INDEX(職員マスタ!$H$6:$H$405,$AP1020)&lt;$AQ1020))),"対象月が時短期間外／","")&amp;IF(AND(INDEX(職員マスタ!$K$6:$K$405,$AP1020)&lt;&gt;"",N($W1020)&gt;0,INDEX(職員マスタ!$K$6:$K$405,$AP1020)&lt;&gt;$W1020),"標準報酬月額が申請書と相違（台帳"&amp;TEXT(INDEX(職員マスタ!$K$6:$K$405,$AP1020),"#,##0")&amp;"円／申請書"&amp;TEXT($W1020,"#,##0")&amp;"円）／","")&amp;IF(AND(INDEX(職員マスタ!$F$6:$F$405,$AP1020)&lt;&gt;"",$AQ1020&lt;&gt;"",INDEX(職員マスタ!$F$6:$F$405,$AP1020)&lt;$AQ1020),"対象月に子が2歳到達済／","")&amp;IF(AND($H1020&lt;&gt;"",INDEX(職員マスタ!$B$6:$B$405,$AP1020)&lt;&gt;"",SUBSTITUTE(SUBSTITUTE($H1020," ","")," ","")&lt;&gt;SUBSTITUTE(SUBSTITUTE(INDEX(職員マスタ!$B$6:$B$405,$AP1020)," ","")," ","")),"氏名がマスタと相違／","")&amp;IF(AND($Q1020&lt;&gt;"",INDEX(職員マスタ!$E$6:$E$405,$AP1020)&lt;&gt;"",$Q1020&lt;&gt;INDEX(職員マスタ!$E$6:$E$405,$AP1020)),"子の生年月日がマスタと相違／","")&amp;IF(AND($L1020&lt;&gt;"",INDEX(職員マスタ!$G$6:$G$405,$AP1020)&lt;&gt;"",$L1020&lt;&gt;INDEX(職員マスタ!$G$6:$G$405,$AP1020)),"時短開始日がマスタと相違／","")&amp;IF(AND($M1020&lt;&gt;"",INDEX(職員マスタ!$H$6:$H$405,$AP1020)&lt;&gt;"",$M1020&lt;&gt;INDEX(職員マスタ!$H$6:$H$405,$AP1020)),"時短終了日がマスタと相違／","")))&amp;IF(AND($B1020&lt;&gt;"",$E1020=""),"報酬額が未入力／","")&amp;IF(N($U1020)&gt;0,"申請書に入力エラーが残っています／","")&amp;IF(AND($B1020&lt;&gt;"",$AQ1020&lt;&gt;""),IF(COUNTIFS($B$6:$B$3005,$B1020,$C$6:$C$3005,$C1020,$D$6:$D$3005,$D1020)&gt;1,"同じ月の請求が重複しています／",""),"")&amp;IF(AND(N($E1020)&gt;0,$AB1020&lt;&gt;"",$AB1020&lt;&gt;"×",$AE1020=0,$AD1020=""),"計算額が下限以下のため不支給／",""))</f>
        <v/>
      </c>
      <c r="AN1020" s="12" t="n"/>
      <c r="AO1020" s="14">
        <f>IF($AF1020="保留中",COUNTIF($AF$6:$AF1020,"保留中"),"")</f>
        <v/>
      </c>
      <c r="AP1020" s="14">
        <f>IF($AQ1020="","",IF(SUMPRODUCT(MAX((職員マスタ!$A$6:$A$405=$B1020)*(((職員マスタ!$G$6:$G$405="")+(職員マスタ!$G$6:$G$405&lt;=EOMONTH($AQ1020,0)))&gt;0)*(((職員マスタ!$H$6:$H$405="")+(職員マスタ!$H$6:$H$405&gt;=$AQ1020))&gt;0)*(ROW(職員マスタ!$A$6:$A$405)-5)))&gt;0,SUMPRODUCT(MAX((職員マスタ!$A$6:$A$405=$B1020)*(((職員マスタ!$G$6:$G$405="")+(職員マスタ!$G$6:$G$405&lt;=EOMONTH($AQ1020,0)))&gt;0)*(((職員マスタ!$H$6:$H$405="")+(職員マスタ!$H$6:$H$405&gt;=$AQ1020))&gt;0)*(ROW(職員マスタ!$A$6:$A$405)-5))),IFERROR(MATCH($B1020,職員マスタ!$A$6:$A$405,0),"")))</f>
        <v/>
      </c>
      <c r="AQ1020" s="16">
        <f>IF(OR($B1020="",$C1020="",$D1020=""),"",DATE($C1020+2018,$D1020,1))</f>
        <v/>
      </c>
    </row>
    <row r="1021">
      <c r="A1021" s="11" t="n"/>
      <c r="B1021" s="12" t="n"/>
      <c r="C1021" s="12" t="n"/>
      <c r="D1021" s="12" t="n"/>
      <c r="E1021" s="13" t="n"/>
      <c r="F1021" s="12" t="n"/>
      <c r="G1021" s="13" t="n"/>
      <c r="H1021" s="12" t="n"/>
      <c r="I1021" s="12" t="n"/>
      <c r="J1021" s="12" t="n"/>
      <c r="K1021" s="12" t="n"/>
      <c r="L1021" s="11" t="n"/>
      <c r="M1021" s="11" t="n"/>
      <c r="N1021" s="11" t="n"/>
      <c r="O1021" s="11" t="n"/>
      <c r="P1021" s="12" t="n"/>
      <c r="Q1021" s="11" t="n"/>
      <c r="R1021" s="12" t="n"/>
      <c r="S1021" s="11" t="n"/>
      <c r="T1021" s="12" t="n"/>
      <c r="U1021" s="12" t="n"/>
      <c r="V1021" s="12" t="n"/>
      <c r="W1021" s="13" t="n"/>
      <c r="X1021" s="14">
        <f>IF($AP1021="",IF($B1021="","",$H1021),IF(INDEX(職員マスタ!$B$6:$B$405,$AP1021)="",$H1021,INDEX(職員マスタ!$B$6:$B$405,$AP1021)))</f>
        <v/>
      </c>
      <c r="Y1021" s="14">
        <f>IF($AP1021="",IF($B1021="","",$R1021),IF(INDEX(職員マスタ!$C$6:$C$405,$AP1021)="",$R1021,INDEX(職員マスタ!$C$6:$C$405,$AP1021)))</f>
        <v/>
      </c>
      <c r="Z1021" s="14">
        <f>IF($AQ1021="","","R"&amp;$C1021&amp;"."&amp;$D1021)</f>
        <v/>
      </c>
      <c r="AA1021" s="15">
        <f>IF(IF($AP1021="",FALSE,INDEX(職員マスタ!$K$6:$K$405,$AP1021)&lt;&gt;""),INDEX(職員マスタ!$K$6:$K$405,$AP1021),IF(N($W1021)&gt;0,$W1021,""))</f>
        <v/>
      </c>
      <c r="AB1021" s="14">
        <f>IF(OR($E1021="",$AA1021=""),"",IF($E1021&gt;=$AA1021,"×",IF($E1021&gt;=$AA1021*設定!$C$5,"△","○")))</f>
        <v/>
      </c>
      <c r="AC1021" s="15">
        <f>IF($AB1021="","",IF($AB1021="×",0,IF($AB1021="○",ROUNDDOWN($E1021*設定!$C$4,0),ROUNDDOWN($E1021*ROUND((9*$AA1021-9*$E1021)/(10*$E1021),4),0))))</f>
        <v/>
      </c>
      <c r="AD1021" s="13" t="n"/>
      <c r="AE1021" s="15">
        <f>IF($B1021="","",IF($AD1021&lt;&gt;"",$AD1021,IF($AC1021="","",IF($AC1021&lt;=設定!$C$3,0,$AC1021))))</f>
        <v/>
      </c>
      <c r="AF1021" s="14">
        <f>IF($B1021="","",IF(AND($AG1021&lt;&gt;"",$AI1021="",$AL1021=""),"保留中",IF($AL1021&lt;&gt;"",IF(N($AE1021)&gt;0,"支給済","不支給"),IF($AE1021="","要確認",IF($AE1021=0,"不支給","未処理")))))</f>
        <v/>
      </c>
      <c r="AG1021" s="12" t="n"/>
      <c r="AH1021" s="11" t="n"/>
      <c r="AI1021" s="11" t="n"/>
      <c r="AJ1021" s="11" t="n"/>
      <c r="AK1021" s="14">
        <f>IF(AND($AF1021="保留中",$AH1021&lt;&gt;""),TODAY()-$AH1021,"")</f>
        <v/>
      </c>
      <c r="AL1021" s="12" t="n"/>
      <c r="AM1021" s="14">
        <f>IF($B1021="","",IF($AQ1021="","対象年月が未入力／","")&amp;IF($B1021="","",IF($AP1021="","職員マスタに未登録の職員番号／",IF($AA1021="","標準報酬月額が未登録／","")&amp;IF(AND($AQ1021&lt;&gt;"",OR(AND(INDEX(職員マスタ!$G$6:$G$405,$AP1021)&lt;&gt;"",INDEX(職員マスタ!$G$6:$G$405,$AP1021)&gt;EOMONTH($AQ1021,0)),AND(INDEX(職員マスタ!$H$6:$H$405,$AP1021)&lt;&gt;"",INDEX(職員マスタ!$H$6:$H$405,$AP1021)&lt;$AQ1021))),"対象月が時短期間外／","")&amp;IF(AND(INDEX(職員マスタ!$K$6:$K$405,$AP1021)&lt;&gt;"",N($W1021)&gt;0,INDEX(職員マスタ!$K$6:$K$405,$AP1021)&lt;&gt;$W1021),"標準報酬月額が申請書と相違（台帳"&amp;TEXT(INDEX(職員マスタ!$K$6:$K$405,$AP1021),"#,##0")&amp;"円／申請書"&amp;TEXT($W1021,"#,##0")&amp;"円）／","")&amp;IF(AND(INDEX(職員マスタ!$F$6:$F$405,$AP1021)&lt;&gt;"",$AQ1021&lt;&gt;"",INDEX(職員マスタ!$F$6:$F$405,$AP1021)&lt;$AQ1021),"対象月に子が2歳到達済／","")&amp;IF(AND($H1021&lt;&gt;"",INDEX(職員マスタ!$B$6:$B$405,$AP1021)&lt;&gt;"",SUBSTITUTE(SUBSTITUTE($H1021," ","")," ","")&lt;&gt;SUBSTITUTE(SUBSTITUTE(INDEX(職員マスタ!$B$6:$B$405,$AP1021)," ","")," ","")),"氏名がマスタと相違／","")&amp;IF(AND($Q1021&lt;&gt;"",INDEX(職員マスタ!$E$6:$E$405,$AP1021)&lt;&gt;"",$Q1021&lt;&gt;INDEX(職員マスタ!$E$6:$E$405,$AP1021)),"子の生年月日がマスタと相違／","")&amp;IF(AND($L1021&lt;&gt;"",INDEX(職員マスタ!$G$6:$G$405,$AP1021)&lt;&gt;"",$L1021&lt;&gt;INDEX(職員マスタ!$G$6:$G$405,$AP1021)),"時短開始日がマスタと相違／","")&amp;IF(AND($M1021&lt;&gt;"",INDEX(職員マスタ!$H$6:$H$405,$AP1021)&lt;&gt;"",$M1021&lt;&gt;INDEX(職員マスタ!$H$6:$H$405,$AP1021)),"時短終了日がマスタと相違／","")))&amp;IF(AND($B1021&lt;&gt;"",$E1021=""),"報酬額が未入力／","")&amp;IF(N($U1021)&gt;0,"申請書に入力エラーが残っています／","")&amp;IF(AND($B1021&lt;&gt;"",$AQ1021&lt;&gt;""),IF(COUNTIFS($B$6:$B$3005,$B1021,$C$6:$C$3005,$C1021,$D$6:$D$3005,$D1021)&gt;1,"同じ月の請求が重複しています／",""),"")&amp;IF(AND(N($E1021)&gt;0,$AB1021&lt;&gt;"",$AB1021&lt;&gt;"×",$AE1021=0,$AD1021=""),"計算額が下限以下のため不支給／",""))</f>
        <v/>
      </c>
      <c r="AN1021" s="12" t="n"/>
      <c r="AO1021" s="14">
        <f>IF($AF1021="保留中",COUNTIF($AF$6:$AF1021,"保留中"),"")</f>
        <v/>
      </c>
      <c r="AP1021" s="14">
        <f>IF($AQ1021="","",IF(SUMPRODUCT(MAX((職員マスタ!$A$6:$A$405=$B1021)*(((職員マスタ!$G$6:$G$405="")+(職員マスタ!$G$6:$G$405&lt;=EOMONTH($AQ1021,0)))&gt;0)*(((職員マスタ!$H$6:$H$405="")+(職員マスタ!$H$6:$H$405&gt;=$AQ1021))&gt;0)*(ROW(職員マスタ!$A$6:$A$405)-5)))&gt;0,SUMPRODUCT(MAX((職員マスタ!$A$6:$A$405=$B1021)*(((職員マスタ!$G$6:$G$405="")+(職員マスタ!$G$6:$G$405&lt;=EOMONTH($AQ1021,0)))&gt;0)*(((職員マスタ!$H$6:$H$405="")+(職員マスタ!$H$6:$H$405&gt;=$AQ1021))&gt;0)*(ROW(職員マスタ!$A$6:$A$405)-5))),IFERROR(MATCH($B1021,職員マスタ!$A$6:$A$405,0),"")))</f>
        <v/>
      </c>
      <c r="AQ1021" s="16">
        <f>IF(OR($B1021="",$C1021="",$D1021=""),"",DATE($C1021+2018,$D1021,1))</f>
        <v/>
      </c>
    </row>
    <row r="1022">
      <c r="A1022" s="11" t="n"/>
      <c r="B1022" s="12" t="n"/>
      <c r="C1022" s="12" t="n"/>
      <c r="D1022" s="12" t="n"/>
      <c r="E1022" s="13" t="n"/>
      <c r="F1022" s="12" t="n"/>
      <c r="G1022" s="13" t="n"/>
      <c r="H1022" s="12" t="n"/>
      <c r="I1022" s="12" t="n"/>
      <c r="J1022" s="12" t="n"/>
      <c r="K1022" s="12" t="n"/>
      <c r="L1022" s="11" t="n"/>
      <c r="M1022" s="11" t="n"/>
      <c r="N1022" s="11" t="n"/>
      <c r="O1022" s="11" t="n"/>
      <c r="P1022" s="12" t="n"/>
      <c r="Q1022" s="11" t="n"/>
      <c r="R1022" s="12" t="n"/>
      <c r="S1022" s="11" t="n"/>
      <c r="T1022" s="12" t="n"/>
      <c r="U1022" s="12" t="n"/>
      <c r="V1022" s="12" t="n"/>
      <c r="W1022" s="13" t="n"/>
      <c r="X1022" s="14">
        <f>IF($AP1022="",IF($B1022="","",$H1022),IF(INDEX(職員マスタ!$B$6:$B$405,$AP1022)="",$H1022,INDEX(職員マスタ!$B$6:$B$405,$AP1022)))</f>
        <v/>
      </c>
      <c r="Y1022" s="14">
        <f>IF($AP1022="",IF($B1022="","",$R1022),IF(INDEX(職員マスタ!$C$6:$C$405,$AP1022)="",$R1022,INDEX(職員マスタ!$C$6:$C$405,$AP1022)))</f>
        <v/>
      </c>
      <c r="Z1022" s="14">
        <f>IF($AQ1022="","","R"&amp;$C1022&amp;"."&amp;$D1022)</f>
        <v/>
      </c>
      <c r="AA1022" s="15">
        <f>IF(IF($AP1022="",FALSE,INDEX(職員マスタ!$K$6:$K$405,$AP1022)&lt;&gt;""),INDEX(職員マスタ!$K$6:$K$405,$AP1022),IF(N($W1022)&gt;0,$W1022,""))</f>
        <v/>
      </c>
      <c r="AB1022" s="14">
        <f>IF(OR($E1022="",$AA1022=""),"",IF($E1022&gt;=$AA1022,"×",IF($E1022&gt;=$AA1022*設定!$C$5,"△","○")))</f>
        <v/>
      </c>
      <c r="AC1022" s="15">
        <f>IF($AB1022="","",IF($AB1022="×",0,IF($AB1022="○",ROUNDDOWN($E1022*設定!$C$4,0),ROUNDDOWN($E1022*ROUND((9*$AA1022-9*$E1022)/(10*$E1022),4),0))))</f>
        <v/>
      </c>
      <c r="AD1022" s="13" t="n"/>
      <c r="AE1022" s="15">
        <f>IF($B1022="","",IF($AD1022&lt;&gt;"",$AD1022,IF($AC1022="","",IF($AC1022&lt;=設定!$C$3,0,$AC1022))))</f>
        <v/>
      </c>
      <c r="AF1022" s="14">
        <f>IF($B1022="","",IF(AND($AG1022&lt;&gt;"",$AI1022="",$AL1022=""),"保留中",IF($AL1022&lt;&gt;"",IF(N($AE1022)&gt;0,"支給済","不支給"),IF($AE1022="","要確認",IF($AE1022=0,"不支給","未処理")))))</f>
        <v/>
      </c>
      <c r="AG1022" s="12" t="n"/>
      <c r="AH1022" s="11" t="n"/>
      <c r="AI1022" s="11" t="n"/>
      <c r="AJ1022" s="11" t="n"/>
      <c r="AK1022" s="14">
        <f>IF(AND($AF1022="保留中",$AH1022&lt;&gt;""),TODAY()-$AH1022,"")</f>
        <v/>
      </c>
      <c r="AL1022" s="12" t="n"/>
      <c r="AM1022" s="14">
        <f>IF($B1022="","",IF($AQ1022="","対象年月が未入力／","")&amp;IF($B1022="","",IF($AP1022="","職員マスタに未登録の職員番号／",IF($AA1022="","標準報酬月額が未登録／","")&amp;IF(AND($AQ1022&lt;&gt;"",OR(AND(INDEX(職員マスタ!$G$6:$G$405,$AP1022)&lt;&gt;"",INDEX(職員マスタ!$G$6:$G$405,$AP1022)&gt;EOMONTH($AQ1022,0)),AND(INDEX(職員マスタ!$H$6:$H$405,$AP1022)&lt;&gt;"",INDEX(職員マスタ!$H$6:$H$405,$AP1022)&lt;$AQ1022))),"対象月が時短期間外／","")&amp;IF(AND(INDEX(職員マスタ!$K$6:$K$405,$AP1022)&lt;&gt;"",N($W1022)&gt;0,INDEX(職員マスタ!$K$6:$K$405,$AP1022)&lt;&gt;$W1022),"標準報酬月額が申請書と相違（台帳"&amp;TEXT(INDEX(職員マスタ!$K$6:$K$405,$AP1022),"#,##0")&amp;"円／申請書"&amp;TEXT($W1022,"#,##0")&amp;"円）／","")&amp;IF(AND(INDEX(職員マスタ!$F$6:$F$405,$AP1022)&lt;&gt;"",$AQ1022&lt;&gt;"",INDEX(職員マスタ!$F$6:$F$405,$AP1022)&lt;$AQ1022),"対象月に子が2歳到達済／","")&amp;IF(AND($H1022&lt;&gt;"",INDEX(職員マスタ!$B$6:$B$405,$AP1022)&lt;&gt;"",SUBSTITUTE(SUBSTITUTE($H1022," ","")," ","")&lt;&gt;SUBSTITUTE(SUBSTITUTE(INDEX(職員マスタ!$B$6:$B$405,$AP1022)," ","")," ","")),"氏名がマスタと相違／","")&amp;IF(AND($Q1022&lt;&gt;"",INDEX(職員マスタ!$E$6:$E$405,$AP1022)&lt;&gt;"",$Q1022&lt;&gt;INDEX(職員マスタ!$E$6:$E$405,$AP1022)),"子の生年月日がマスタと相違／","")&amp;IF(AND($L1022&lt;&gt;"",INDEX(職員マスタ!$G$6:$G$405,$AP1022)&lt;&gt;"",$L1022&lt;&gt;INDEX(職員マスタ!$G$6:$G$405,$AP1022)),"時短開始日がマスタと相違／","")&amp;IF(AND($M1022&lt;&gt;"",INDEX(職員マスタ!$H$6:$H$405,$AP1022)&lt;&gt;"",$M1022&lt;&gt;INDEX(職員マスタ!$H$6:$H$405,$AP1022)),"時短終了日がマスタと相違／","")))&amp;IF(AND($B1022&lt;&gt;"",$E1022=""),"報酬額が未入力／","")&amp;IF(N($U1022)&gt;0,"申請書に入力エラーが残っています／","")&amp;IF(AND($B1022&lt;&gt;"",$AQ1022&lt;&gt;""),IF(COUNTIFS($B$6:$B$3005,$B1022,$C$6:$C$3005,$C1022,$D$6:$D$3005,$D1022)&gt;1,"同じ月の請求が重複しています／",""),"")&amp;IF(AND(N($E1022)&gt;0,$AB1022&lt;&gt;"",$AB1022&lt;&gt;"×",$AE1022=0,$AD1022=""),"計算額が下限以下のため不支給／",""))</f>
        <v/>
      </c>
      <c r="AN1022" s="12" t="n"/>
      <c r="AO1022" s="14">
        <f>IF($AF1022="保留中",COUNTIF($AF$6:$AF1022,"保留中"),"")</f>
        <v/>
      </c>
      <c r="AP1022" s="14">
        <f>IF($AQ1022="","",IF(SUMPRODUCT(MAX((職員マスタ!$A$6:$A$405=$B1022)*(((職員マスタ!$G$6:$G$405="")+(職員マスタ!$G$6:$G$405&lt;=EOMONTH($AQ1022,0)))&gt;0)*(((職員マスタ!$H$6:$H$405="")+(職員マスタ!$H$6:$H$405&gt;=$AQ1022))&gt;0)*(ROW(職員マスタ!$A$6:$A$405)-5)))&gt;0,SUMPRODUCT(MAX((職員マスタ!$A$6:$A$405=$B1022)*(((職員マスタ!$G$6:$G$405="")+(職員マスタ!$G$6:$G$405&lt;=EOMONTH($AQ1022,0)))&gt;0)*(((職員マスタ!$H$6:$H$405="")+(職員マスタ!$H$6:$H$405&gt;=$AQ1022))&gt;0)*(ROW(職員マスタ!$A$6:$A$405)-5))),IFERROR(MATCH($B1022,職員マスタ!$A$6:$A$405,0),"")))</f>
        <v/>
      </c>
      <c r="AQ1022" s="16">
        <f>IF(OR($B1022="",$C1022="",$D1022=""),"",DATE($C1022+2018,$D1022,1))</f>
        <v/>
      </c>
    </row>
    <row r="1023">
      <c r="A1023" s="11" t="n"/>
      <c r="B1023" s="12" t="n"/>
      <c r="C1023" s="12" t="n"/>
      <c r="D1023" s="12" t="n"/>
      <c r="E1023" s="13" t="n"/>
      <c r="F1023" s="12" t="n"/>
      <c r="G1023" s="13" t="n"/>
      <c r="H1023" s="12" t="n"/>
      <c r="I1023" s="12" t="n"/>
      <c r="J1023" s="12" t="n"/>
      <c r="K1023" s="12" t="n"/>
      <c r="L1023" s="11" t="n"/>
      <c r="M1023" s="11" t="n"/>
      <c r="N1023" s="11" t="n"/>
      <c r="O1023" s="11" t="n"/>
      <c r="P1023" s="12" t="n"/>
      <c r="Q1023" s="11" t="n"/>
      <c r="R1023" s="12" t="n"/>
      <c r="S1023" s="11" t="n"/>
      <c r="T1023" s="12" t="n"/>
      <c r="U1023" s="12" t="n"/>
      <c r="V1023" s="12" t="n"/>
      <c r="W1023" s="13" t="n"/>
      <c r="X1023" s="14">
        <f>IF($AP1023="",IF($B1023="","",$H1023),IF(INDEX(職員マスタ!$B$6:$B$405,$AP1023)="",$H1023,INDEX(職員マスタ!$B$6:$B$405,$AP1023)))</f>
        <v/>
      </c>
      <c r="Y1023" s="14">
        <f>IF($AP1023="",IF($B1023="","",$R1023),IF(INDEX(職員マスタ!$C$6:$C$405,$AP1023)="",$R1023,INDEX(職員マスタ!$C$6:$C$405,$AP1023)))</f>
        <v/>
      </c>
      <c r="Z1023" s="14">
        <f>IF($AQ1023="","","R"&amp;$C1023&amp;"."&amp;$D1023)</f>
        <v/>
      </c>
      <c r="AA1023" s="15">
        <f>IF(IF($AP1023="",FALSE,INDEX(職員マスタ!$K$6:$K$405,$AP1023)&lt;&gt;""),INDEX(職員マスタ!$K$6:$K$405,$AP1023),IF(N($W1023)&gt;0,$W1023,""))</f>
        <v/>
      </c>
      <c r="AB1023" s="14">
        <f>IF(OR($E1023="",$AA1023=""),"",IF($E1023&gt;=$AA1023,"×",IF($E1023&gt;=$AA1023*設定!$C$5,"△","○")))</f>
        <v/>
      </c>
      <c r="AC1023" s="15">
        <f>IF($AB1023="","",IF($AB1023="×",0,IF($AB1023="○",ROUNDDOWN($E1023*設定!$C$4,0),ROUNDDOWN($E1023*ROUND((9*$AA1023-9*$E1023)/(10*$E1023),4),0))))</f>
        <v/>
      </c>
      <c r="AD1023" s="13" t="n"/>
      <c r="AE1023" s="15">
        <f>IF($B1023="","",IF($AD1023&lt;&gt;"",$AD1023,IF($AC1023="","",IF($AC1023&lt;=設定!$C$3,0,$AC1023))))</f>
        <v/>
      </c>
      <c r="AF1023" s="14">
        <f>IF($B1023="","",IF(AND($AG1023&lt;&gt;"",$AI1023="",$AL1023=""),"保留中",IF($AL1023&lt;&gt;"",IF(N($AE1023)&gt;0,"支給済","不支給"),IF($AE1023="","要確認",IF($AE1023=0,"不支給","未処理")))))</f>
        <v/>
      </c>
      <c r="AG1023" s="12" t="n"/>
      <c r="AH1023" s="11" t="n"/>
      <c r="AI1023" s="11" t="n"/>
      <c r="AJ1023" s="11" t="n"/>
      <c r="AK1023" s="14">
        <f>IF(AND($AF1023="保留中",$AH1023&lt;&gt;""),TODAY()-$AH1023,"")</f>
        <v/>
      </c>
      <c r="AL1023" s="12" t="n"/>
      <c r="AM1023" s="14">
        <f>IF($B1023="","",IF($AQ1023="","対象年月が未入力／","")&amp;IF($B1023="","",IF($AP1023="","職員マスタに未登録の職員番号／",IF($AA1023="","標準報酬月額が未登録／","")&amp;IF(AND($AQ1023&lt;&gt;"",OR(AND(INDEX(職員マスタ!$G$6:$G$405,$AP1023)&lt;&gt;"",INDEX(職員マスタ!$G$6:$G$405,$AP1023)&gt;EOMONTH($AQ1023,0)),AND(INDEX(職員マスタ!$H$6:$H$405,$AP1023)&lt;&gt;"",INDEX(職員マスタ!$H$6:$H$405,$AP1023)&lt;$AQ1023))),"対象月が時短期間外／","")&amp;IF(AND(INDEX(職員マスタ!$K$6:$K$405,$AP1023)&lt;&gt;"",N($W1023)&gt;0,INDEX(職員マスタ!$K$6:$K$405,$AP1023)&lt;&gt;$W1023),"標準報酬月額が申請書と相違（台帳"&amp;TEXT(INDEX(職員マスタ!$K$6:$K$405,$AP1023),"#,##0")&amp;"円／申請書"&amp;TEXT($W1023,"#,##0")&amp;"円）／","")&amp;IF(AND(INDEX(職員マスタ!$F$6:$F$405,$AP1023)&lt;&gt;"",$AQ1023&lt;&gt;"",INDEX(職員マスタ!$F$6:$F$405,$AP1023)&lt;$AQ1023),"対象月に子が2歳到達済／","")&amp;IF(AND($H1023&lt;&gt;"",INDEX(職員マスタ!$B$6:$B$405,$AP1023)&lt;&gt;"",SUBSTITUTE(SUBSTITUTE($H1023," ","")," ","")&lt;&gt;SUBSTITUTE(SUBSTITUTE(INDEX(職員マスタ!$B$6:$B$405,$AP1023)," ","")," ","")),"氏名がマスタと相違／","")&amp;IF(AND($Q1023&lt;&gt;"",INDEX(職員マスタ!$E$6:$E$405,$AP1023)&lt;&gt;"",$Q1023&lt;&gt;INDEX(職員マスタ!$E$6:$E$405,$AP1023)),"子の生年月日がマスタと相違／","")&amp;IF(AND($L1023&lt;&gt;"",INDEX(職員マスタ!$G$6:$G$405,$AP1023)&lt;&gt;"",$L1023&lt;&gt;INDEX(職員マスタ!$G$6:$G$405,$AP1023)),"時短開始日がマスタと相違／","")&amp;IF(AND($M1023&lt;&gt;"",INDEX(職員マスタ!$H$6:$H$405,$AP1023)&lt;&gt;"",$M1023&lt;&gt;INDEX(職員マスタ!$H$6:$H$405,$AP1023)),"時短終了日がマスタと相違／","")))&amp;IF(AND($B1023&lt;&gt;"",$E1023=""),"報酬額が未入力／","")&amp;IF(N($U1023)&gt;0,"申請書に入力エラーが残っています／","")&amp;IF(AND($B1023&lt;&gt;"",$AQ1023&lt;&gt;""),IF(COUNTIFS($B$6:$B$3005,$B1023,$C$6:$C$3005,$C1023,$D$6:$D$3005,$D1023)&gt;1,"同じ月の請求が重複しています／",""),"")&amp;IF(AND(N($E1023)&gt;0,$AB1023&lt;&gt;"",$AB1023&lt;&gt;"×",$AE1023=0,$AD1023=""),"計算額が下限以下のため不支給／",""))</f>
        <v/>
      </c>
      <c r="AN1023" s="12" t="n"/>
      <c r="AO1023" s="14">
        <f>IF($AF1023="保留中",COUNTIF($AF$6:$AF1023,"保留中"),"")</f>
        <v/>
      </c>
      <c r="AP1023" s="14">
        <f>IF($AQ1023="","",IF(SUMPRODUCT(MAX((職員マスタ!$A$6:$A$405=$B1023)*(((職員マスタ!$G$6:$G$405="")+(職員マスタ!$G$6:$G$405&lt;=EOMONTH($AQ1023,0)))&gt;0)*(((職員マスタ!$H$6:$H$405="")+(職員マスタ!$H$6:$H$405&gt;=$AQ1023))&gt;0)*(ROW(職員マスタ!$A$6:$A$405)-5)))&gt;0,SUMPRODUCT(MAX((職員マスタ!$A$6:$A$405=$B1023)*(((職員マスタ!$G$6:$G$405="")+(職員マスタ!$G$6:$G$405&lt;=EOMONTH($AQ1023,0)))&gt;0)*(((職員マスタ!$H$6:$H$405="")+(職員マスタ!$H$6:$H$405&gt;=$AQ1023))&gt;0)*(ROW(職員マスタ!$A$6:$A$405)-5))),IFERROR(MATCH($B1023,職員マスタ!$A$6:$A$405,0),"")))</f>
        <v/>
      </c>
      <c r="AQ1023" s="16">
        <f>IF(OR($B1023="",$C1023="",$D1023=""),"",DATE($C1023+2018,$D1023,1))</f>
        <v/>
      </c>
    </row>
    <row r="1024">
      <c r="A1024" s="11" t="n"/>
      <c r="B1024" s="12" t="n"/>
      <c r="C1024" s="12" t="n"/>
      <c r="D1024" s="12" t="n"/>
      <c r="E1024" s="13" t="n"/>
      <c r="F1024" s="12" t="n"/>
      <c r="G1024" s="13" t="n"/>
      <c r="H1024" s="12" t="n"/>
      <c r="I1024" s="12" t="n"/>
      <c r="J1024" s="12" t="n"/>
      <c r="K1024" s="12" t="n"/>
      <c r="L1024" s="11" t="n"/>
      <c r="M1024" s="11" t="n"/>
      <c r="N1024" s="11" t="n"/>
      <c r="O1024" s="11" t="n"/>
      <c r="P1024" s="12" t="n"/>
      <c r="Q1024" s="11" t="n"/>
      <c r="R1024" s="12" t="n"/>
      <c r="S1024" s="11" t="n"/>
      <c r="T1024" s="12" t="n"/>
      <c r="U1024" s="12" t="n"/>
      <c r="V1024" s="12" t="n"/>
      <c r="W1024" s="13" t="n"/>
      <c r="X1024" s="14">
        <f>IF($AP1024="",IF($B1024="","",$H1024),IF(INDEX(職員マスタ!$B$6:$B$405,$AP1024)="",$H1024,INDEX(職員マスタ!$B$6:$B$405,$AP1024)))</f>
        <v/>
      </c>
      <c r="Y1024" s="14">
        <f>IF($AP1024="",IF($B1024="","",$R1024),IF(INDEX(職員マスタ!$C$6:$C$405,$AP1024)="",$R1024,INDEX(職員マスタ!$C$6:$C$405,$AP1024)))</f>
        <v/>
      </c>
      <c r="Z1024" s="14">
        <f>IF($AQ1024="","","R"&amp;$C1024&amp;"."&amp;$D1024)</f>
        <v/>
      </c>
      <c r="AA1024" s="15">
        <f>IF(IF($AP1024="",FALSE,INDEX(職員マスタ!$K$6:$K$405,$AP1024)&lt;&gt;""),INDEX(職員マスタ!$K$6:$K$405,$AP1024),IF(N($W1024)&gt;0,$W1024,""))</f>
        <v/>
      </c>
      <c r="AB1024" s="14">
        <f>IF(OR($E1024="",$AA1024=""),"",IF($E1024&gt;=$AA1024,"×",IF($E1024&gt;=$AA1024*設定!$C$5,"△","○")))</f>
        <v/>
      </c>
      <c r="AC1024" s="15">
        <f>IF($AB1024="","",IF($AB1024="×",0,IF($AB1024="○",ROUNDDOWN($E1024*設定!$C$4,0),ROUNDDOWN($E1024*ROUND((9*$AA1024-9*$E1024)/(10*$E1024),4),0))))</f>
        <v/>
      </c>
      <c r="AD1024" s="13" t="n"/>
      <c r="AE1024" s="15">
        <f>IF($B1024="","",IF($AD1024&lt;&gt;"",$AD1024,IF($AC1024="","",IF($AC1024&lt;=設定!$C$3,0,$AC1024))))</f>
        <v/>
      </c>
      <c r="AF1024" s="14">
        <f>IF($B1024="","",IF(AND($AG1024&lt;&gt;"",$AI1024="",$AL1024=""),"保留中",IF($AL1024&lt;&gt;"",IF(N($AE1024)&gt;0,"支給済","不支給"),IF($AE1024="","要確認",IF($AE1024=0,"不支給","未処理")))))</f>
        <v/>
      </c>
      <c r="AG1024" s="12" t="n"/>
      <c r="AH1024" s="11" t="n"/>
      <c r="AI1024" s="11" t="n"/>
      <c r="AJ1024" s="11" t="n"/>
      <c r="AK1024" s="14">
        <f>IF(AND($AF1024="保留中",$AH1024&lt;&gt;""),TODAY()-$AH1024,"")</f>
        <v/>
      </c>
      <c r="AL1024" s="12" t="n"/>
      <c r="AM1024" s="14">
        <f>IF($B1024="","",IF($AQ1024="","対象年月が未入力／","")&amp;IF($B1024="","",IF($AP1024="","職員マスタに未登録の職員番号／",IF($AA1024="","標準報酬月額が未登録／","")&amp;IF(AND($AQ1024&lt;&gt;"",OR(AND(INDEX(職員マスタ!$G$6:$G$405,$AP1024)&lt;&gt;"",INDEX(職員マスタ!$G$6:$G$405,$AP1024)&gt;EOMONTH($AQ1024,0)),AND(INDEX(職員マスタ!$H$6:$H$405,$AP1024)&lt;&gt;"",INDEX(職員マスタ!$H$6:$H$405,$AP1024)&lt;$AQ1024))),"対象月が時短期間外／","")&amp;IF(AND(INDEX(職員マスタ!$K$6:$K$405,$AP1024)&lt;&gt;"",N($W1024)&gt;0,INDEX(職員マスタ!$K$6:$K$405,$AP1024)&lt;&gt;$W1024),"標準報酬月額が申請書と相違（台帳"&amp;TEXT(INDEX(職員マスタ!$K$6:$K$405,$AP1024),"#,##0")&amp;"円／申請書"&amp;TEXT($W1024,"#,##0")&amp;"円）／","")&amp;IF(AND(INDEX(職員マスタ!$F$6:$F$405,$AP1024)&lt;&gt;"",$AQ1024&lt;&gt;"",INDEX(職員マスタ!$F$6:$F$405,$AP1024)&lt;$AQ1024),"対象月に子が2歳到達済／","")&amp;IF(AND($H1024&lt;&gt;"",INDEX(職員マスタ!$B$6:$B$405,$AP1024)&lt;&gt;"",SUBSTITUTE(SUBSTITUTE($H1024," ","")," ","")&lt;&gt;SUBSTITUTE(SUBSTITUTE(INDEX(職員マスタ!$B$6:$B$405,$AP1024)," ","")," ","")),"氏名がマスタと相違／","")&amp;IF(AND($Q1024&lt;&gt;"",INDEX(職員マスタ!$E$6:$E$405,$AP1024)&lt;&gt;"",$Q1024&lt;&gt;INDEX(職員マスタ!$E$6:$E$405,$AP1024)),"子の生年月日がマスタと相違／","")&amp;IF(AND($L1024&lt;&gt;"",INDEX(職員マスタ!$G$6:$G$405,$AP1024)&lt;&gt;"",$L1024&lt;&gt;INDEX(職員マスタ!$G$6:$G$405,$AP1024)),"時短開始日がマスタと相違／","")&amp;IF(AND($M1024&lt;&gt;"",INDEX(職員マスタ!$H$6:$H$405,$AP1024)&lt;&gt;"",$M1024&lt;&gt;INDEX(職員マスタ!$H$6:$H$405,$AP1024)),"時短終了日がマスタと相違／","")))&amp;IF(AND($B1024&lt;&gt;"",$E1024=""),"報酬額が未入力／","")&amp;IF(N($U1024)&gt;0,"申請書に入力エラーが残っています／","")&amp;IF(AND($B1024&lt;&gt;"",$AQ1024&lt;&gt;""),IF(COUNTIFS($B$6:$B$3005,$B1024,$C$6:$C$3005,$C1024,$D$6:$D$3005,$D1024)&gt;1,"同じ月の請求が重複しています／",""),"")&amp;IF(AND(N($E1024)&gt;0,$AB1024&lt;&gt;"",$AB1024&lt;&gt;"×",$AE1024=0,$AD1024=""),"計算額が下限以下のため不支給／",""))</f>
        <v/>
      </c>
      <c r="AN1024" s="12" t="n"/>
      <c r="AO1024" s="14">
        <f>IF($AF1024="保留中",COUNTIF($AF$6:$AF1024,"保留中"),"")</f>
        <v/>
      </c>
      <c r="AP1024" s="14">
        <f>IF($AQ1024="","",IF(SUMPRODUCT(MAX((職員マスタ!$A$6:$A$405=$B1024)*(((職員マスタ!$G$6:$G$405="")+(職員マスタ!$G$6:$G$405&lt;=EOMONTH($AQ1024,0)))&gt;0)*(((職員マスタ!$H$6:$H$405="")+(職員マスタ!$H$6:$H$405&gt;=$AQ1024))&gt;0)*(ROW(職員マスタ!$A$6:$A$405)-5)))&gt;0,SUMPRODUCT(MAX((職員マスタ!$A$6:$A$405=$B1024)*(((職員マスタ!$G$6:$G$405="")+(職員マスタ!$G$6:$G$405&lt;=EOMONTH($AQ1024,0)))&gt;0)*(((職員マスタ!$H$6:$H$405="")+(職員マスタ!$H$6:$H$405&gt;=$AQ1024))&gt;0)*(ROW(職員マスタ!$A$6:$A$405)-5))),IFERROR(MATCH($B1024,職員マスタ!$A$6:$A$405,0),"")))</f>
        <v/>
      </c>
      <c r="AQ1024" s="16">
        <f>IF(OR($B1024="",$C1024="",$D1024=""),"",DATE($C1024+2018,$D1024,1))</f>
        <v/>
      </c>
    </row>
    <row r="1025">
      <c r="A1025" s="11" t="n"/>
      <c r="B1025" s="12" t="n"/>
      <c r="C1025" s="12" t="n"/>
      <c r="D1025" s="12" t="n"/>
      <c r="E1025" s="13" t="n"/>
      <c r="F1025" s="12" t="n"/>
      <c r="G1025" s="13" t="n"/>
      <c r="H1025" s="12" t="n"/>
      <c r="I1025" s="12" t="n"/>
      <c r="J1025" s="12" t="n"/>
      <c r="K1025" s="12" t="n"/>
      <c r="L1025" s="11" t="n"/>
      <c r="M1025" s="11" t="n"/>
      <c r="N1025" s="11" t="n"/>
      <c r="O1025" s="11" t="n"/>
      <c r="P1025" s="12" t="n"/>
      <c r="Q1025" s="11" t="n"/>
      <c r="R1025" s="12" t="n"/>
      <c r="S1025" s="11" t="n"/>
      <c r="T1025" s="12" t="n"/>
      <c r="U1025" s="12" t="n"/>
      <c r="V1025" s="12" t="n"/>
      <c r="W1025" s="13" t="n"/>
      <c r="X1025" s="14">
        <f>IF($AP1025="",IF($B1025="","",$H1025),IF(INDEX(職員マスタ!$B$6:$B$405,$AP1025)="",$H1025,INDEX(職員マスタ!$B$6:$B$405,$AP1025)))</f>
        <v/>
      </c>
      <c r="Y1025" s="14">
        <f>IF($AP1025="",IF($B1025="","",$R1025),IF(INDEX(職員マスタ!$C$6:$C$405,$AP1025)="",$R1025,INDEX(職員マスタ!$C$6:$C$405,$AP1025)))</f>
        <v/>
      </c>
      <c r="Z1025" s="14">
        <f>IF($AQ1025="","","R"&amp;$C1025&amp;"."&amp;$D1025)</f>
        <v/>
      </c>
      <c r="AA1025" s="15">
        <f>IF(IF($AP1025="",FALSE,INDEX(職員マスタ!$K$6:$K$405,$AP1025)&lt;&gt;""),INDEX(職員マスタ!$K$6:$K$405,$AP1025),IF(N($W1025)&gt;0,$W1025,""))</f>
        <v/>
      </c>
      <c r="AB1025" s="14">
        <f>IF(OR($E1025="",$AA1025=""),"",IF($E1025&gt;=$AA1025,"×",IF($E1025&gt;=$AA1025*設定!$C$5,"△","○")))</f>
        <v/>
      </c>
      <c r="AC1025" s="15">
        <f>IF($AB1025="","",IF($AB1025="×",0,IF($AB1025="○",ROUNDDOWN($E1025*設定!$C$4,0),ROUNDDOWN($E1025*ROUND((9*$AA1025-9*$E1025)/(10*$E1025),4),0))))</f>
        <v/>
      </c>
      <c r="AD1025" s="13" t="n"/>
      <c r="AE1025" s="15">
        <f>IF($B1025="","",IF($AD1025&lt;&gt;"",$AD1025,IF($AC1025="","",IF($AC1025&lt;=設定!$C$3,0,$AC1025))))</f>
        <v/>
      </c>
      <c r="AF1025" s="14">
        <f>IF($B1025="","",IF(AND($AG1025&lt;&gt;"",$AI1025="",$AL1025=""),"保留中",IF($AL1025&lt;&gt;"",IF(N($AE1025)&gt;0,"支給済","不支給"),IF($AE1025="","要確認",IF($AE1025=0,"不支給","未処理")))))</f>
        <v/>
      </c>
      <c r="AG1025" s="12" t="n"/>
      <c r="AH1025" s="11" t="n"/>
      <c r="AI1025" s="11" t="n"/>
      <c r="AJ1025" s="11" t="n"/>
      <c r="AK1025" s="14">
        <f>IF(AND($AF1025="保留中",$AH1025&lt;&gt;""),TODAY()-$AH1025,"")</f>
        <v/>
      </c>
      <c r="AL1025" s="12" t="n"/>
      <c r="AM1025" s="14">
        <f>IF($B1025="","",IF($AQ1025="","対象年月が未入力／","")&amp;IF($B1025="","",IF($AP1025="","職員マスタに未登録の職員番号／",IF($AA1025="","標準報酬月額が未登録／","")&amp;IF(AND($AQ1025&lt;&gt;"",OR(AND(INDEX(職員マスタ!$G$6:$G$405,$AP1025)&lt;&gt;"",INDEX(職員マスタ!$G$6:$G$405,$AP1025)&gt;EOMONTH($AQ1025,0)),AND(INDEX(職員マスタ!$H$6:$H$405,$AP1025)&lt;&gt;"",INDEX(職員マスタ!$H$6:$H$405,$AP1025)&lt;$AQ1025))),"対象月が時短期間外／","")&amp;IF(AND(INDEX(職員マスタ!$K$6:$K$405,$AP1025)&lt;&gt;"",N($W1025)&gt;0,INDEX(職員マスタ!$K$6:$K$405,$AP1025)&lt;&gt;$W1025),"標準報酬月額が申請書と相違（台帳"&amp;TEXT(INDEX(職員マスタ!$K$6:$K$405,$AP1025),"#,##0")&amp;"円／申請書"&amp;TEXT($W1025,"#,##0")&amp;"円）／","")&amp;IF(AND(INDEX(職員マスタ!$F$6:$F$405,$AP1025)&lt;&gt;"",$AQ1025&lt;&gt;"",INDEX(職員マスタ!$F$6:$F$405,$AP1025)&lt;$AQ1025),"対象月に子が2歳到達済／","")&amp;IF(AND($H1025&lt;&gt;"",INDEX(職員マスタ!$B$6:$B$405,$AP1025)&lt;&gt;"",SUBSTITUTE(SUBSTITUTE($H1025," ","")," ","")&lt;&gt;SUBSTITUTE(SUBSTITUTE(INDEX(職員マスタ!$B$6:$B$405,$AP1025)," ","")," ","")),"氏名がマスタと相違／","")&amp;IF(AND($Q1025&lt;&gt;"",INDEX(職員マスタ!$E$6:$E$405,$AP1025)&lt;&gt;"",$Q1025&lt;&gt;INDEX(職員マスタ!$E$6:$E$405,$AP1025)),"子の生年月日がマスタと相違／","")&amp;IF(AND($L1025&lt;&gt;"",INDEX(職員マスタ!$G$6:$G$405,$AP1025)&lt;&gt;"",$L1025&lt;&gt;INDEX(職員マスタ!$G$6:$G$405,$AP1025)),"時短開始日がマスタと相違／","")&amp;IF(AND($M1025&lt;&gt;"",INDEX(職員マスタ!$H$6:$H$405,$AP1025)&lt;&gt;"",$M1025&lt;&gt;INDEX(職員マスタ!$H$6:$H$405,$AP1025)),"時短終了日がマスタと相違／","")))&amp;IF(AND($B1025&lt;&gt;"",$E1025=""),"報酬額が未入力／","")&amp;IF(N($U1025)&gt;0,"申請書に入力エラーが残っています／","")&amp;IF(AND($B1025&lt;&gt;"",$AQ1025&lt;&gt;""),IF(COUNTIFS($B$6:$B$3005,$B1025,$C$6:$C$3005,$C1025,$D$6:$D$3005,$D1025)&gt;1,"同じ月の請求が重複しています／",""),"")&amp;IF(AND(N($E1025)&gt;0,$AB1025&lt;&gt;"",$AB1025&lt;&gt;"×",$AE1025=0,$AD1025=""),"計算額が下限以下のため不支給／",""))</f>
        <v/>
      </c>
      <c r="AN1025" s="12" t="n"/>
      <c r="AO1025" s="14">
        <f>IF($AF1025="保留中",COUNTIF($AF$6:$AF1025,"保留中"),"")</f>
        <v/>
      </c>
      <c r="AP1025" s="14">
        <f>IF($AQ1025="","",IF(SUMPRODUCT(MAX((職員マスタ!$A$6:$A$405=$B1025)*(((職員マスタ!$G$6:$G$405="")+(職員マスタ!$G$6:$G$405&lt;=EOMONTH($AQ1025,0)))&gt;0)*(((職員マスタ!$H$6:$H$405="")+(職員マスタ!$H$6:$H$405&gt;=$AQ1025))&gt;0)*(ROW(職員マスタ!$A$6:$A$405)-5)))&gt;0,SUMPRODUCT(MAX((職員マスタ!$A$6:$A$405=$B1025)*(((職員マスタ!$G$6:$G$405="")+(職員マスタ!$G$6:$G$405&lt;=EOMONTH($AQ1025,0)))&gt;0)*(((職員マスタ!$H$6:$H$405="")+(職員マスタ!$H$6:$H$405&gt;=$AQ1025))&gt;0)*(ROW(職員マスタ!$A$6:$A$405)-5))),IFERROR(MATCH($B1025,職員マスタ!$A$6:$A$405,0),"")))</f>
        <v/>
      </c>
      <c r="AQ1025" s="16">
        <f>IF(OR($B1025="",$C1025="",$D1025=""),"",DATE($C1025+2018,$D1025,1))</f>
        <v/>
      </c>
    </row>
    <row r="1026">
      <c r="A1026" s="11" t="n"/>
      <c r="B1026" s="12" t="n"/>
      <c r="C1026" s="12" t="n"/>
      <c r="D1026" s="12" t="n"/>
      <c r="E1026" s="13" t="n"/>
      <c r="F1026" s="12" t="n"/>
      <c r="G1026" s="13" t="n"/>
      <c r="H1026" s="12" t="n"/>
      <c r="I1026" s="12" t="n"/>
      <c r="J1026" s="12" t="n"/>
      <c r="K1026" s="12" t="n"/>
      <c r="L1026" s="11" t="n"/>
      <c r="M1026" s="11" t="n"/>
      <c r="N1026" s="11" t="n"/>
      <c r="O1026" s="11" t="n"/>
      <c r="P1026" s="12" t="n"/>
      <c r="Q1026" s="11" t="n"/>
      <c r="R1026" s="12" t="n"/>
      <c r="S1026" s="11" t="n"/>
      <c r="T1026" s="12" t="n"/>
      <c r="U1026" s="12" t="n"/>
      <c r="V1026" s="12" t="n"/>
      <c r="W1026" s="13" t="n"/>
      <c r="X1026" s="14">
        <f>IF($AP1026="",IF($B1026="","",$H1026),IF(INDEX(職員マスタ!$B$6:$B$405,$AP1026)="",$H1026,INDEX(職員マスタ!$B$6:$B$405,$AP1026)))</f>
        <v/>
      </c>
      <c r="Y1026" s="14">
        <f>IF($AP1026="",IF($B1026="","",$R1026),IF(INDEX(職員マスタ!$C$6:$C$405,$AP1026)="",$R1026,INDEX(職員マスタ!$C$6:$C$405,$AP1026)))</f>
        <v/>
      </c>
      <c r="Z1026" s="14">
        <f>IF($AQ1026="","","R"&amp;$C1026&amp;"."&amp;$D1026)</f>
        <v/>
      </c>
      <c r="AA1026" s="15">
        <f>IF(IF($AP1026="",FALSE,INDEX(職員マスタ!$K$6:$K$405,$AP1026)&lt;&gt;""),INDEX(職員マスタ!$K$6:$K$405,$AP1026),IF(N($W1026)&gt;0,$W1026,""))</f>
        <v/>
      </c>
      <c r="AB1026" s="14">
        <f>IF(OR($E1026="",$AA1026=""),"",IF($E1026&gt;=$AA1026,"×",IF($E1026&gt;=$AA1026*設定!$C$5,"△","○")))</f>
        <v/>
      </c>
      <c r="AC1026" s="15">
        <f>IF($AB1026="","",IF($AB1026="×",0,IF($AB1026="○",ROUNDDOWN($E1026*設定!$C$4,0),ROUNDDOWN($E1026*ROUND((9*$AA1026-9*$E1026)/(10*$E1026),4),0))))</f>
        <v/>
      </c>
      <c r="AD1026" s="13" t="n"/>
      <c r="AE1026" s="15">
        <f>IF($B1026="","",IF($AD1026&lt;&gt;"",$AD1026,IF($AC1026="","",IF($AC1026&lt;=設定!$C$3,0,$AC1026))))</f>
        <v/>
      </c>
      <c r="AF1026" s="14">
        <f>IF($B1026="","",IF(AND($AG1026&lt;&gt;"",$AI1026="",$AL1026=""),"保留中",IF($AL1026&lt;&gt;"",IF(N($AE1026)&gt;0,"支給済","不支給"),IF($AE1026="","要確認",IF($AE1026=0,"不支給","未処理")))))</f>
        <v/>
      </c>
      <c r="AG1026" s="12" t="n"/>
      <c r="AH1026" s="11" t="n"/>
      <c r="AI1026" s="11" t="n"/>
      <c r="AJ1026" s="11" t="n"/>
      <c r="AK1026" s="14">
        <f>IF(AND($AF1026="保留中",$AH1026&lt;&gt;""),TODAY()-$AH1026,"")</f>
        <v/>
      </c>
      <c r="AL1026" s="12" t="n"/>
      <c r="AM1026" s="14">
        <f>IF($B1026="","",IF($AQ1026="","対象年月が未入力／","")&amp;IF($B1026="","",IF($AP1026="","職員マスタに未登録の職員番号／",IF($AA1026="","標準報酬月額が未登録／","")&amp;IF(AND($AQ1026&lt;&gt;"",OR(AND(INDEX(職員マスタ!$G$6:$G$405,$AP1026)&lt;&gt;"",INDEX(職員マスタ!$G$6:$G$405,$AP1026)&gt;EOMONTH($AQ1026,0)),AND(INDEX(職員マスタ!$H$6:$H$405,$AP1026)&lt;&gt;"",INDEX(職員マスタ!$H$6:$H$405,$AP1026)&lt;$AQ1026))),"対象月が時短期間外／","")&amp;IF(AND(INDEX(職員マスタ!$K$6:$K$405,$AP1026)&lt;&gt;"",N($W1026)&gt;0,INDEX(職員マスタ!$K$6:$K$405,$AP1026)&lt;&gt;$W1026),"標準報酬月額が申請書と相違（台帳"&amp;TEXT(INDEX(職員マスタ!$K$6:$K$405,$AP1026),"#,##0")&amp;"円／申請書"&amp;TEXT($W1026,"#,##0")&amp;"円）／","")&amp;IF(AND(INDEX(職員マスタ!$F$6:$F$405,$AP1026)&lt;&gt;"",$AQ1026&lt;&gt;"",INDEX(職員マスタ!$F$6:$F$405,$AP1026)&lt;$AQ1026),"対象月に子が2歳到達済／","")&amp;IF(AND($H1026&lt;&gt;"",INDEX(職員マスタ!$B$6:$B$405,$AP1026)&lt;&gt;"",SUBSTITUTE(SUBSTITUTE($H1026," ","")," ","")&lt;&gt;SUBSTITUTE(SUBSTITUTE(INDEX(職員マスタ!$B$6:$B$405,$AP1026)," ","")," ","")),"氏名がマスタと相違／","")&amp;IF(AND($Q1026&lt;&gt;"",INDEX(職員マスタ!$E$6:$E$405,$AP1026)&lt;&gt;"",$Q1026&lt;&gt;INDEX(職員マスタ!$E$6:$E$405,$AP1026)),"子の生年月日がマスタと相違／","")&amp;IF(AND($L1026&lt;&gt;"",INDEX(職員マスタ!$G$6:$G$405,$AP1026)&lt;&gt;"",$L1026&lt;&gt;INDEX(職員マスタ!$G$6:$G$405,$AP1026)),"時短開始日がマスタと相違／","")&amp;IF(AND($M1026&lt;&gt;"",INDEX(職員マスタ!$H$6:$H$405,$AP1026)&lt;&gt;"",$M1026&lt;&gt;INDEX(職員マスタ!$H$6:$H$405,$AP1026)),"時短終了日がマスタと相違／","")))&amp;IF(AND($B1026&lt;&gt;"",$E1026=""),"報酬額が未入力／","")&amp;IF(N($U1026)&gt;0,"申請書に入力エラーが残っています／","")&amp;IF(AND($B1026&lt;&gt;"",$AQ1026&lt;&gt;""),IF(COUNTIFS($B$6:$B$3005,$B1026,$C$6:$C$3005,$C1026,$D$6:$D$3005,$D1026)&gt;1,"同じ月の請求が重複しています／",""),"")&amp;IF(AND(N($E1026)&gt;0,$AB1026&lt;&gt;"",$AB1026&lt;&gt;"×",$AE1026=0,$AD1026=""),"計算額が下限以下のため不支給／",""))</f>
        <v/>
      </c>
      <c r="AN1026" s="12" t="n"/>
      <c r="AO1026" s="14">
        <f>IF($AF1026="保留中",COUNTIF($AF$6:$AF1026,"保留中"),"")</f>
        <v/>
      </c>
      <c r="AP1026" s="14">
        <f>IF($AQ1026="","",IF(SUMPRODUCT(MAX((職員マスタ!$A$6:$A$405=$B1026)*(((職員マスタ!$G$6:$G$405="")+(職員マスタ!$G$6:$G$405&lt;=EOMONTH($AQ1026,0)))&gt;0)*(((職員マスタ!$H$6:$H$405="")+(職員マスタ!$H$6:$H$405&gt;=$AQ1026))&gt;0)*(ROW(職員マスタ!$A$6:$A$405)-5)))&gt;0,SUMPRODUCT(MAX((職員マスタ!$A$6:$A$405=$B1026)*(((職員マスタ!$G$6:$G$405="")+(職員マスタ!$G$6:$G$405&lt;=EOMONTH($AQ1026,0)))&gt;0)*(((職員マスタ!$H$6:$H$405="")+(職員マスタ!$H$6:$H$405&gt;=$AQ1026))&gt;0)*(ROW(職員マスタ!$A$6:$A$405)-5))),IFERROR(MATCH($B1026,職員マスタ!$A$6:$A$405,0),"")))</f>
        <v/>
      </c>
      <c r="AQ1026" s="16">
        <f>IF(OR($B1026="",$C1026="",$D1026=""),"",DATE($C1026+2018,$D1026,1))</f>
        <v/>
      </c>
    </row>
    <row r="1027">
      <c r="A1027" s="11" t="n"/>
      <c r="B1027" s="12" t="n"/>
      <c r="C1027" s="12" t="n"/>
      <c r="D1027" s="12" t="n"/>
      <c r="E1027" s="13" t="n"/>
      <c r="F1027" s="12" t="n"/>
      <c r="G1027" s="13" t="n"/>
      <c r="H1027" s="12" t="n"/>
      <c r="I1027" s="12" t="n"/>
      <c r="J1027" s="12" t="n"/>
      <c r="K1027" s="12" t="n"/>
      <c r="L1027" s="11" t="n"/>
      <c r="M1027" s="11" t="n"/>
      <c r="N1027" s="11" t="n"/>
      <c r="O1027" s="11" t="n"/>
      <c r="P1027" s="12" t="n"/>
      <c r="Q1027" s="11" t="n"/>
      <c r="R1027" s="12" t="n"/>
      <c r="S1027" s="11" t="n"/>
      <c r="T1027" s="12" t="n"/>
      <c r="U1027" s="12" t="n"/>
      <c r="V1027" s="12" t="n"/>
      <c r="W1027" s="13" t="n"/>
      <c r="X1027" s="14">
        <f>IF($AP1027="",IF($B1027="","",$H1027),IF(INDEX(職員マスタ!$B$6:$B$405,$AP1027)="",$H1027,INDEX(職員マスタ!$B$6:$B$405,$AP1027)))</f>
        <v/>
      </c>
      <c r="Y1027" s="14">
        <f>IF($AP1027="",IF($B1027="","",$R1027),IF(INDEX(職員マスタ!$C$6:$C$405,$AP1027)="",$R1027,INDEX(職員マスタ!$C$6:$C$405,$AP1027)))</f>
        <v/>
      </c>
      <c r="Z1027" s="14">
        <f>IF($AQ1027="","","R"&amp;$C1027&amp;"."&amp;$D1027)</f>
        <v/>
      </c>
      <c r="AA1027" s="15">
        <f>IF(IF($AP1027="",FALSE,INDEX(職員マスタ!$K$6:$K$405,$AP1027)&lt;&gt;""),INDEX(職員マスタ!$K$6:$K$405,$AP1027),IF(N($W1027)&gt;0,$W1027,""))</f>
        <v/>
      </c>
      <c r="AB1027" s="14">
        <f>IF(OR($E1027="",$AA1027=""),"",IF($E1027&gt;=$AA1027,"×",IF($E1027&gt;=$AA1027*設定!$C$5,"△","○")))</f>
        <v/>
      </c>
      <c r="AC1027" s="15">
        <f>IF($AB1027="","",IF($AB1027="×",0,IF($AB1027="○",ROUNDDOWN($E1027*設定!$C$4,0),ROUNDDOWN($E1027*ROUND((9*$AA1027-9*$E1027)/(10*$E1027),4),0))))</f>
        <v/>
      </c>
      <c r="AD1027" s="13" t="n"/>
      <c r="AE1027" s="15">
        <f>IF($B1027="","",IF($AD1027&lt;&gt;"",$AD1027,IF($AC1027="","",IF($AC1027&lt;=設定!$C$3,0,$AC1027))))</f>
        <v/>
      </c>
      <c r="AF1027" s="14">
        <f>IF($B1027="","",IF(AND($AG1027&lt;&gt;"",$AI1027="",$AL1027=""),"保留中",IF($AL1027&lt;&gt;"",IF(N($AE1027)&gt;0,"支給済","不支給"),IF($AE1027="","要確認",IF($AE1027=0,"不支給","未処理")))))</f>
        <v/>
      </c>
      <c r="AG1027" s="12" t="n"/>
      <c r="AH1027" s="11" t="n"/>
      <c r="AI1027" s="11" t="n"/>
      <c r="AJ1027" s="11" t="n"/>
      <c r="AK1027" s="14">
        <f>IF(AND($AF1027="保留中",$AH1027&lt;&gt;""),TODAY()-$AH1027,"")</f>
        <v/>
      </c>
      <c r="AL1027" s="12" t="n"/>
      <c r="AM1027" s="14">
        <f>IF($B1027="","",IF($AQ1027="","対象年月が未入力／","")&amp;IF($B1027="","",IF($AP1027="","職員マスタに未登録の職員番号／",IF($AA1027="","標準報酬月額が未登録／","")&amp;IF(AND($AQ1027&lt;&gt;"",OR(AND(INDEX(職員マスタ!$G$6:$G$405,$AP1027)&lt;&gt;"",INDEX(職員マスタ!$G$6:$G$405,$AP1027)&gt;EOMONTH($AQ1027,0)),AND(INDEX(職員マスタ!$H$6:$H$405,$AP1027)&lt;&gt;"",INDEX(職員マスタ!$H$6:$H$405,$AP1027)&lt;$AQ1027))),"対象月が時短期間外／","")&amp;IF(AND(INDEX(職員マスタ!$K$6:$K$405,$AP1027)&lt;&gt;"",N($W1027)&gt;0,INDEX(職員マスタ!$K$6:$K$405,$AP1027)&lt;&gt;$W1027),"標準報酬月額が申請書と相違（台帳"&amp;TEXT(INDEX(職員マスタ!$K$6:$K$405,$AP1027),"#,##0")&amp;"円／申請書"&amp;TEXT($W1027,"#,##0")&amp;"円）／","")&amp;IF(AND(INDEX(職員マスタ!$F$6:$F$405,$AP1027)&lt;&gt;"",$AQ1027&lt;&gt;"",INDEX(職員マスタ!$F$6:$F$405,$AP1027)&lt;$AQ1027),"対象月に子が2歳到達済／","")&amp;IF(AND($H1027&lt;&gt;"",INDEX(職員マスタ!$B$6:$B$405,$AP1027)&lt;&gt;"",SUBSTITUTE(SUBSTITUTE($H1027," ","")," ","")&lt;&gt;SUBSTITUTE(SUBSTITUTE(INDEX(職員マスタ!$B$6:$B$405,$AP1027)," ","")," ","")),"氏名がマスタと相違／","")&amp;IF(AND($Q1027&lt;&gt;"",INDEX(職員マスタ!$E$6:$E$405,$AP1027)&lt;&gt;"",$Q1027&lt;&gt;INDEX(職員マスタ!$E$6:$E$405,$AP1027)),"子の生年月日がマスタと相違／","")&amp;IF(AND($L1027&lt;&gt;"",INDEX(職員マスタ!$G$6:$G$405,$AP1027)&lt;&gt;"",$L1027&lt;&gt;INDEX(職員マスタ!$G$6:$G$405,$AP1027)),"時短開始日がマスタと相違／","")&amp;IF(AND($M1027&lt;&gt;"",INDEX(職員マスタ!$H$6:$H$405,$AP1027)&lt;&gt;"",$M1027&lt;&gt;INDEX(職員マスタ!$H$6:$H$405,$AP1027)),"時短終了日がマスタと相違／","")))&amp;IF(AND($B1027&lt;&gt;"",$E1027=""),"報酬額が未入力／","")&amp;IF(N($U1027)&gt;0,"申請書に入力エラーが残っています／","")&amp;IF(AND($B1027&lt;&gt;"",$AQ1027&lt;&gt;""),IF(COUNTIFS($B$6:$B$3005,$B1027,$C$6:$C$3005,$C1027,$D$6:$D$3005,$D1027)&gt;1,"同じ月の請求が重複しています／",""),"")&amp;IF(AND(N($E1027)&gt;0,$AB1027&lt;&gt;"",$AB1027&lt;&gt;"×",$AE1027=0,$AD1027=""),"計算額が下限以下のため不支給／",""))</f>
        <v/>
      </c>
      <c r="AN1027" s="12" t="n"/>
      <c r="AO1027" s="14">
        <f>IF($AF1027="保留中",COUNTIF($AF$6:$AF1027,"保留中"),"")</f>
        <v/>
      </c>
      <c r="AP1027" s="14">
        <f>IF($AQ1027="","",IF(SUMPRODUCT(MAX((職員マスタ!$A$6:$A$405=$B1027)*(((職員マスタ!$G$6:$G$405="")+(職員マスタ!$G$6:$G$405&lt;=EOMONTH($AQ1027,0)))&gt;0)*(((職員マスタ!$H$6:$H$405="")+(職員マスタ!$H$6:$H$405&gt;=$AQ1027))&gt;0)*(ROW(職員マスタ!$A$6:$A$405)-5)))&gt;0,SUMPRODUCT(MAX((職員マスタ!$A$6:$A$405=$B1027)*(((職員マスタ!$G$6:$G$405="")+(職員マスタ!$G$6:$G$405&lt;=EOMONTH($AQ1027,0)))&gt;0)*(((職員マスタ!$H$6:$H$405="")+(職員マスタ!$H$6:$H$405&gt;=$AQ1027))&gt;0)*(ROW(職員マスタ!$A$6:$A$405)-5))),IFERROR(MATCH($B1027,職員マスタ!$A$6:$A$405,0),"")))</f>
        <v/>
      </c>
      <c r="AQ1027" s="16">
        <f>IF(OR($B1027="",$C1027="",$D1027=""),"",DATE($C1027+2018,$D1027,1))</f>
        <v/>
      </c>
    </row>
    <row r="1028">
      <c r="A1028" s="11" t="n"/>
      <c r="B1028" s="12" t="n"/>
      <c r="C1028" s="12" t="n"/>
      <c r="D1028" s="12" t="n"/>
      <c r="E1028" s="13" t="n"/>
      <c r="F1028" s="12" t="n"/>
      <c r="G1028" s="13" t="n"/>
      <c r="H1028" s="12" t="n"/>
      <c r="I1028" s="12" t="n"/>
      <c r="J1028" s="12" t="n"/>
      <c r="K1028" s="12" t="n"/>
      <c r="L1028" s="11" t="n"/>
      <c r="M1028" s="11" t="n"/>
      <c r="N1028" s="11" t="n"/>
      <c r="O1028" s="11" t="n"/>
      <c r="P1028" s="12" t="n"/>
      <c r="Q1028" s="11" t="n"/>
      <c r="R1028" s="12" t="n"/>
      <c r="S1028" s="11" t="n"/>
      <c r="T1028" s="12" t="n"/>
      <c r="U1028" s="12" t="n"/>
      <c r="V1028" s="12" t="n"/>
      <c r="W1028" s="13" t="n"/>
      <c r="X1028" s="14">
        <f>IF($AP1028="",IF($B1028="","",$H1028),IF(INDEX(職員マスタ!$B$6:$B$405,$AP1028)="",$H1028,INDEX(職員マスタ!$B$6:$B$405,$AP1028)))</f>
        <v/>
      </c>
      <c r="Y1028" s="14">
        <f>IF($AP1028="",IF($B1028="","",$R1028),IF(INDEX(職員マスタ!$C$6:$C$405,$AP1028)="",$R1028,INDEX(職員マスタ!$C$6:$C$405,$AP1028)))</f>
        <v/>
      </c>
      <c r="Z1028" s="14">
        <f>IF($AQ1028="","","R"&amp;$C1028&amp;"."&amp;$D1028)</f>
        <v/>
      </c>
      <c r="AA1028" s="15">
        <f>IF(IF($AP1028="",FALSE,INDEX(職員マスタ!$K$6:$K$405,$AP1028)&lt;&gt;""),INDEX(職員マスタ!$K$6:$K$405,$AP1028),IF(N($W1028)&gt;0,$W1028,""))</f>
        <v/>
      </c>
      <c r="AB1028" s="14">
        <f>IF(OR($E1028="",$AA1028=""),"",IF($E1028&gt;=$AA1028,"×",IF($E1028&gt;=$AA1028*設定!$C$5,"△","○")))</f>
        <v/>
      </c>
      <c r="AC1028" s="15">
        <f>IF($AB1028="","",IF($AB1028="×",0,IF($AB1028="○",ROUNDDOWN($E1028*設定!$C$4,0),ROUNDDOWN($E1028*ROUND((9*$AA1028-9*$E1028)/(10*$E1028),4),0))))</f>
        <v/>
      </c>
      <c r="AD1028" s="13" t="n"/>
      <c r="AE1028" s="15">
        <f>IF($B1028="","",IF($AD1028&lt;&gt;"",$AD1028,IF($AC1028="","",IF($AC1028&lt;=設定!$C$3,0,$AC1028))))</f>
        <v/>
      </c>
      <c r="AF1028" s="14">
        <f>IF($B1028="","",IF(AND($AG1028&lt;&gt;"",$AI1028="",$AL1028=""),"保留中",IF($AL1028&lt;&gt;"",IF(N($AE1028)&gt;0,"支給済","不支給"),IF($AE1028="","要確認",IF($AE1028=0,"不支給","未処理")))))</f>
        <v/>
      </c>
      <c r="AG1028" s="12" t="n"/>
      <c r="AH1028" s="11" t="n"/>
      <c r="AI1028" s="11" t="n"/>
      <c r="AJ1028" s="11" t="n"/>
      <c r="AK1028" s="14">
        <f>IF(AND($AF1028="保留中",$AH1028&lt;&gt;""),TODAY()-$AH1028,"")</f>
        <v/>
      </c>
      <c r="AL1028" s="12" t="n"/>
      <c r="AM1028" s="14">
        <f>IF($B1028="","",IF($AQ1028="","対象年月が未入力／","")&amp;IF($B1028="","",IF($AP1028="","職員マスタに未登録の職員番号／",IF($AA1028="","標準報酬月額が未登録／","")&amp;IF(AND($AQ1028&lt;&gt;"",OR(AND(INDEX(職員マスタ!$G$6:$G$405,$AP1028)&lt;&gt;"",INDEX(職員マスタ!$G$6:$G$405,$AP1028)&gt;EOMONTH($AQ1028,0)),AND(INDEX(職員マスタ!$H$6:$H$405,$AP1028)&lt;&gt;"",INDEX(職員マスタ!$H$6:$H$405,$AP1028)&lt;$AQ1028))),"対象月が時短期間外／","")&amp;IF(AND(INDEX(職員マスタ!$K$6:$K$405,$AP1028)&lt;&gt;"",N($W1028)&gt;0,INDEX(職員マスタ!$K$6:$K$405,$AP1028)&lt;&gt;$W1028),"標準報酬月額が申請書と相違（台帳"&amp;TEXT(INDEX(職員マスタ!$K$6:$K$405,$AP1028),"#,##0")&amp;"円／申請書"&amp;TEXT($W1028,"#,##0")&amp;"円）／","")&amp;IF(AND(INDEX(職員マスタ!$F$6:$F$405,$AP1028)&lt;&gt;"",$AQ1028&lt;&gt;"",INDEX(職員マスタ!$F$6:$F$405,$AP1028)&lt;$AQ1028),"対象月に子が2歳到達済／","")&amp;IF(AND($H1028&lt;&gt;"",INDEX(職員マスタ!$B$6:$B$405,$AP1028)&lt;&gt;"",SUBSTITUTE(SUBSTITUTE($H1028," ","")," ","")&lt;&gt;SUBSTITUTE(SUBSTITUTE(INDEX(職員マスタ!$B$6:$B$405,$AP1028)," ","")," ","")),"氏名がマスタと相違／","")&amp;IF(AND($Q1028&lt;&gt;"",INDEX(職員マスタ!$E$6:$E$405,$AP1028)&lt;&gt;"",$Q1028&lt;&gt;INDEX(職員マスタ!$E$6:$E$405,$AP1028)),"子の生年月日がマスタと相違／","")&amp;IF(AND($L1028&lt;&gt;"",INDEX(職員マスタ!$G$6:$G$405,$AP1028)&lt;&gt;"",$L1028&lt;&gt;INDEX(職員マスタ!$G$6:$G$405,$AP1028)),"時短開始日がマスタと相違／","")&amp;IF(AND($M1028&lt;&gt;"",INDEX(職員マスタ!$H$6:$H$405,$AP1028)&lt;&gt;"",$M1028&lt;&gt;INDEX(職員マスタ!$H$6:$H$405,$AP1028)),"時短終了日がマスタと相違／","")))&amp;IF(AND($B1028&lt;&gt;"",$E1028=""),"報酬額が未入力／","")&amp;IF(N($U1028)&gt;0,"申請書に入力エラーが残っています／","")&amp;IF(AND($B1028&lt;&gt;"",$AQ1028&lt;&gt;""),IF(COUNTIFS($B$6:$B$3005,$B1028,$C$6:$C$3005,$C1028,$D$6:$D$3005,$D1028)&gt;1,"同じ月の請求が重複しています／",""),"")&amp;IF(AND(N($E1028)&gt;0,$AB1028&lt;&gt;"",$AB1028&lt;&gt;"×",$AE1028=0,$AD1028=""),"計算額が下限以下のため不支給／",""))</f>
        <v/>
      </c>
      <c r="AN1028" s="12" t="n"/>
      <c r="AO1028" s="14">
        <f>IF($AF1028="保留中",COUNTIF($AF$6:$AF1028,"保留中"),"")</f>
        <v/>
      </c>
      <c r="AP1028" s="14">
        <f>IF($AQ1028="","",IF(SUMPRODUCT(MAX((職員マスタ!$A$6:$A$405=$B1028)*(((職員マスタ!$G$6:$G$405="")+(職員マスタ!$G$6:$G$405&lt;=EOMONTH($AQ1028,0)))&gt;0)*(((職員マスタ!$H$6:$H$405="")+(職員マスタ!$H$6:$H$405&gt;=$AQ1028))&gt;0)*(ROW(職員マスタ!$A$6:$A$405)-5)))&gt;0,SUMPRODUCT(MAX((職員マスタ!$A$6:$A$405=$B1028)*(((職員マスタ!$G$6:$G$405="")+(職員マスタ!$G$6:$G$405&lt;=EOMONTH($AQ1028,0)))&gt;0)*(((職員マスタ!$H$6:$H$405="")+(職員マスタ!$H$6:$H$405&gt;=$AQ1028))&gt;0)*(ROW(職員マスタ!$A$6:$A$405)-5))),IFERROR(MATCH($B1028,職員マスタ!$A$6:$A$405,0),"")))</f>
        <v/>
      </c>
      <c r="AQ1028" s="16">
        <f>IF(OR($B1028="",$C1028="",$D1028=""),"",DATE($C1028+2018,$D1028,1))</f>
        <v/>
      </c>
    </row>
    <row r="1029">
      <c r="A1029" s="11" t="n"/>
      <c r="B1029" s="12" t="n"/>
      <c r="C1029" s="12" t="n"/>
      <c r="D1029" s="12" t="n"/>
      <c r="E1029" s="13" t="n"/>
      <c r="F1029" s="12" t="n"/>
      <c r="G1029" s="13" t="n"/>
      <c r="H1029" s="12" t="n"/>
      <c r="I1029" s="12" t="n"/>
      <c r="J1029" s="12" t="n"/>
      <c r="K1029" s="12" t="n"/>
      <c r="L1029" s="11" t="n"/>
      <c r="M1029" s="11" t="n"/>
      <c r="N1029" s="11" t="n"/>
      <c r="O1029" s="11" t="n"/>
      <c r="P1029" s="12" t="n"/>
      <c r="Q1029" s="11" t="n"/>
      <c r="R1029" s="12" t="n"/>
      <c r="S1029" s="11" t="n"/>
      <c r="T1029" s="12" t="n"/>
      <c r="U1029" s="12" t="n"/>
      <c r="V1029" s="12" t="n"/>
      <c r="W1029" s="13" t="n"/>
      <c r="X1029" s="14">
        <f>IF($AP1029="",IF($B1029="","",$H1029),IF(INDEX(職員マスタ!$B$6:$B$405,$AP1029)="",$H1029,INDEX(職員マスタ!$B$6:$B$405,$AP1029)))</f>
        <v/>
      </c>
      <c r="Y1029" s="14">
        <f>IF($AP1029="",IF($B1029="","",$R1029),IF(INDEX(職員マスタ!$C$6:$C$405,$AP1029)="",$R1029,INDEX(職員マスタ!$C$6:$C$405,$AP1029)))</f>
        <v/>
      </c>
      <c r="Z1029" s="14">
        <f>IF($AQ1029="","","R"&amp;$C1029&amp;"."&amp;$D1029)</f>
        <v/>
      </c>
      <c r="AA1029" s="15">
        <f>IF(IF($AP1029="",FALSE,INDEX(職員マスタ!$K$6:$K$405,$AP1029)&lt;&gt;""),INDEX(職員マスタ!$K$6:$K$405,$AP1029),IF(N($W1029)&gt;0,$W1029,""))</f>
        <v/>
      </c>
      <c r="AB1029" s="14">
        <f>IF(OR($E1029="",$AA1029=""),"",IF($E1029&gt;=$AA1029,"×",IF($E1029&gt;=$AA1029*設定!$C$5,"△","○")))</f>
        <v/>
      </c>
      <c r="AC1029" s="15">
        <f>IF($AB1029="","",IF($AB1029="×",0,IF($AB1029="○",ROUNDDOWN($E1029*設定!$C$4,0),ROUNDDOWN($E1029*ROUND((9*$AA1029-9*$E1029)/(10*$E1029),4),0))))</f>
        <v/>
      </c>
      <c r="AD1029" s="13" t="n"/>
      <c r="AE1029" s="15">
        <f>IF($B1029="","",IF($AD1029&lt;&gt;"",$AD1029,IF($AC1029="","",IF($AC1029&lt;=設定!$C$3,0,$AC1029))))</f>
        <v/>
      </c>
      <c r="AF1029" s="14">
        <f>IF($B1029="","",IF(AND($AG1029&lt;&gt;"",$AI1029="",$AL1029=""),"保留中",IF($AL1029&lt;&gt;"",IF(N($AE1029)&gt;0,"支給済","不支給"),IF($AE1029="","要確認",IF($AE1029=0,"不支給","未処理")))))</f>
        <v/>
      </c>
      <c r="AG1029" s="12" t="n"/>
      <c r="AH1029" s="11" t="n"/>
      <c r="AI1029" s="11" t="n"/>
      <c r="AJ1029" s="11" t="n"/>
      <c r="AK1029" s="14">
        <f>IF(AND($AF1029="保留中",$AH1029&lt;&gt;""),TODAY()-$AH1029,"")</f>
        <v/>
      </c>
      <c r="AL1029" s="12" t="n"/>
      <c r="AM1029" s="14">
        <f>IF($B1029="","",IF($AQ1029="","対象年月が未入力／","")&amp;IF($B1029="","",IF($AP1029="","職員マスタに未登録の職員番号／",IF($AA1029="","標準報酬月額が未登録／","")&amp;IF(AND($AQ1029&lt;&gt;"",OR(AND(INDEX(職員マスタ!$G$6:$G$405,$AP1029)&lt;&gt;"",INDEX(職員マスタ!$G$6:$G$405,$AP1029)&gt;EOMONTH($AQ1029,0)),AND(INDEX(職員マスタ!$H$6:$H$405,$AP1029)&lt;&gt;"",INDEX(職員マスタ!$H$6:$H$405,$AP1029)&lt;$AQ1029))),"対象月が時短期間外／","")&amp;IF(AND(INDEX(職員マスタ!$K$6:$K$405,$AP1029)&lt;&gt;"",N($W1029)&gt;0,INDEX(職員マスタ!$K$6:$K$405,$AP1029)&lt;&gt;$W1029),"標準報酬月額が申請書と相違（台帳"&amp;TEXT(INDEX(職員マスタ!$K$6:$K$405,$AP1029),"#,##0")&amp;"円／申請書"&amp;TEXT($W1029,"#,##0")&amp;"円）／","")&amp;IF(AND(INDEX(職員マスタ!$F$6:$F$405,$AP1029)&lt;&gt;"",$AQ1029&lt;&gt;"",INDEX(職員マスタ!$F$6:$F$405,$AP1029)&lt;$AQ1029),"対象月に子が2歳到達済／","")&amp;IF(AND($H1029&lt;&gt;"",INDEX(職員マスタ!$B$6:$B$405,$AP1029)&lt;&gt;"",SUBSTITUTE(SUBSTITUTE($H1029," ","")," ","")&lt;&gt;SUBSTITUTE(SUBSTITUTE(INDEX(職員マスタ!$B$6:$B$405,$AP1029)," ","")," ","")),"氏名がマスタと相違／","")&amp;IF(AND($Q1029&lt;&gt;"",INDEX(職員マスタ!$E$6:$E$405,$AP1029)&lt;&gt;"",$Q1029&lt;&gt;INDEX(職員マスタ!$E$6:$E$405,$AP1029)),"子の生年月日がマスタと相違／","")&amp;IF(AND($L1029&lt;&gt;"",INDEX(職員マスタ!$G$6:$G$405,$AP1029)&lt;&gt;"",$L1029&lt;&gt;INDEX(職員マスタ!$G$6:$G$405,$AP1029)),"時短開始日がマスタと相違／","")&amp;IF(AND($M1029&lt;&gt;"",INDEX(職員マスタ!$H$6:$H$405,$AP1029)&lt;&gt;"",$M1029&lt;&gt;INDEX(職員マスタ!$H$6:$H$405,$AP1029)),"時短終了日がマスタと相違／","")))&amp;IF(AND($B1029&lt;&gt;"",$E1029=""),"報酬額が未入力／","")&amp;IF(N($U1029)&gt;0,"申請書に入力エラーが残っています／","")&amp;IF(AND($B1029&lt;&gt;"",$AQ1029&lt;&gt;""),IF(COUNTIFS($B$6:$B$3005,$B1029,$C$6:$C$3005,$C1029,$D$6:$D$3005,$D1029)&gt;1,"同じ月の請求が重複しています／",""),"")&amp;IF(AND(N($E1029)&gt;0,$AB1029&lt;&gt;"",$AB1029&lt;&gt;"×",$AE1029=0,$AD1029=""),"計算額が下限以下のため不支給／",""))</f>
        <v/>
      </c>
      <c r="AN1029" s="12" t="n"/>
      <c r="AO1029" s="14">
        <f>IF($AF1029="保留中",COUNTIF($AF$6:$AF1029,"保留中"),"")</f>
        <v/>
      </c>
      <c r="AP1029" s="14">
        <f>IF($AQ1029="","",IF(SUMPRODUCT(MAX((職員マスタ!$A$6:$A$405=$B1029)*(((職員マスタ!$G$6:$G$405="")+(職員マスタ!$G$6:$G$405&lt;=EOMONTH($AQ1029,0)))&gt;0)*(((職員マスタ!$H$6:$H$405="")+(職員マスタ!$H$6:$H$405&gt;=$AQ1029))&gt;0)*(ROW(職員マスタ!$A$6:$A$405)-5)))&gt;0,SUMPRODUCT(MAX((職員マスタ!$A$6:$A$405=$B1029)*(((職員マスタ!$G$6:$G$405="")+(職員マスタ!$G$6:$G$405&lt;=EOMONTH($AQ1029,0)))&gt;0)*(((職員マスタ!$H$6:$H$405="")+(職員マスタ!$H$6:$H$405&gt;=$AQ1029))&gt;0)*(ROW(職員マスタ!$A$6:$A$405)-5))),IFERROR(MATCH($B1029,職員マスタ!$A$6:$A$405,0),"")))</f>
        <v/>
      </c>
      <c r="AQ1029" s="16">
        <f>IF(OR($B1029="",$C1029="",$D1029=""),"",DATE($C1029+2018,$D1029,1))</f>
        <v/>
      </c>
    </row>
    <row r="1030">
      <c r="A1030" s="11" t="n"/>
      <c r="B1030" s="12" t="n"/>
      <c r="C1030" s="12" t="n"/>
      <c r="D1030" s="12" t="n"/>
      <c r="E1030" s="13" t="n"/>
      <c r="F1030" s="12" t="n"/>
      <c r="G1030" s="13" t="n"/>
      <c r="H1030" s="12" t="n"/>
      <c r="I1030" s="12" t="n"/>
      <c r="J1030" s="12" t="n"/>
      <c r="K1030" s="12" t="n"/>
      <c r="L1030" s="11" t="n"/>
      <c r="M1030" s="11" t="n"/>
      <c r="N1030" s="11" t="n"/>
      <c r="O1030" s="11" t="n"/>
      <c r="P1030" s="12" t="n"/>
      <c r="Q1030" s="11" t="n"/>
      <c r="R1030" s="12" t="n"/>
      <c r="S1030" s="11" t="n"/>
      <c r="T1030" s="12" t="n"/>
      <c r="U1030" s="12" t="n"/>
      <c r="V1030" s="12" t="n"/>
      <c r="W1030" s="13" t="n"/>
      <c r="X1030" s="14">
        <f>IF($AP1030="",IF($B1030="","",$H1030),IF(INDEX(職員マスタ!$B$6:$B$405,$AP1030)="",$H1030,INDEX(職員マスタ!$B$6:$B$405,$AP1030)))</f>
        <v/>
      </c>
      <c r="Y1030" s="14">
        <f>IF($AP1030="",IF($B1030="","",$R1030),IF(INDEX(職員マスタ!$C$6:$C$405,$AP1030)="",$R1030,INDEX(職員マスタ!$C$6:$C$405,$AP1030)))</f>
        <v/>
      </c>
      <c r="Z1030" s="14">
        <f>IF($AQ1030="","","R"&amp;$C1030&amp;"."&amp;$D1030)</f>
        <v/>
      </c>
      <c r="AA1030" s="15">
        <f>IF(IF($AP1030="",FALSE,INDEX(職員マスタ!$K$6:$K$405,$AP1030)&lt;&gt;""),INDEX(職員マスタ!$K$6:$K$405,$AP1030),IF(N($W1030)&gt;0,$W1030,""))</f>
        <v/>
      </c>
      <c r="AB1030" s="14">
        <f>IF(OR($E1030="",$AA1030=""),"",IF($E1030&gt;=$AA1030,"×",IF($E1030&gt;=$AA1030*設定!$C$5,"△","○")))</f>
        <v/>
      </c>
      <c r="AC1030" s="15">
        <f>IF($AB1030="","",IF($AB1030="×",0,IF($AB1030="○",ROUNDDOWN($E1030*設定!$C$4,0),ROUNDDOWN($E1030*ROUND((9*$AA1030-9*$E1030)/(10*$E1030),4),0))))</f>
        <v/>
      </c>
      <c r="AD1030" s="13" t="n"/>
      <c r="AE1030" s="15">
        <f>IF($B1030="","",IF($AD1030&lt;&gt;"",$AD1030,IF($AC1030="","",IF($AC1030&lt;=設定!$C$3,0,$AC1030))))</f>
        <v/>
      </c>
      <c r="AF1030" s="14">
        <f>IF($B1030="","",IF(AND($AG1030&lt;&gt;"",$AI1030="",$AL1030=""),"保留中",IF($AL1030&lt;&gt;"",IF(N($AE1030)&gt;0,"支給済","不支給"),IF($AE1030="","要確認",IF($AE1030=0,"不支給","未処理")))))</f>
        <v/>
      </c>
      <c r="AG1030" s="12" t="n"/>
      <c r="AH1030" s="11" t="n"/>
      <c r="AI1030" s="11" t="n"/>
      <c r="AJ1030" s="11" t="n"/>
      <c r="AK1030" s="14">
        <f>IF(AND($AF1030="保留中",$AH1030&lt;&gt;""),TODAY()-$AH1030,"")</f>
        <v/>
      </c>
      <c r="AL1030" s="12" t="n"/>
      <c r="AM1030" s="14">
        <f>IF($B1030="","",IF($AQ1030="","対象年月が未入力／","")&amp;IF($B1030="","",IF($AP1030="","職員マスタに未登録の職員番号／",IF($AA1030="","標準報酬月額が未登録／","")&amp;IF(AND($AQ1030&lt;&gt;"",OR(AND(INDEX(職員マスタ!$G$6:$G$405,$AP1030)&lt;&gt;"",INDEX(職員マスタ!$G$6:$G$405,$AP1030)&gt;EOMONTH($AQ1030,0)),AND(INDEX(職員マスタ!$H$6:$H$405,$AP1030)&lt;&gt;"",INDEX(職員マスタ!$H$6:$H$405,$AP1030)&lt;$AQ1030))),"対象月が時短期間外／","")&amp;IF(AND(INDEX(職員マスタ!$K$6:$K$405,$AP1030)&lt;&gt;"",N($W1030)&gt;0,INDEX(職員マスタ!$K$6:$K$405,$AP1030)&lt;&gt;$W1030),"標準報酬月額が申請書と相違（台帳"&amp;TEXT(INDEX(職員マスタ!$K$6:$K$405,$AP1030),"#,##0")&amp;"円／申請書"&amp;TEXT($W1030,"#,##0")&amp;"円）／","")&amp;IF(AND(INDEX(職員マスタ!$F$6:$F$405,$AP1030)&lt;&gt;"",$AQ1030&lt;&gt;"",INDEX(職員マスタ!$F$6:$F$405,$AP1030)&lt;$AQ1030),"対象月に子が2歳到達済／","")&amp;IF(AND($H1030&lt;&gt;"",INDEX(職員マスタ!$B$6:$B$405,$AP1030)&lt;&gt;"",SUBSTITUTE(SUBSTITUTE($H1030," ","")," ","")&lt;&gt;SUBSTITUTE(SUBSTITUTE(INDEX(職員マスタ!$B$6:$B$405,$AP1030)," ","")," ","")),"氏名がマスタと相違／","")&amp;IF(AND($Q1030&lt;&gt;"",INDEX(職員マスタ!$E$6:$E$405,$AP1030)&lt;&gt;"",$Q1030&lt;&gt;INDEX(職員マスタ!$E$6:$E$405,$AP1030)),"子の生年月日がマスタと相違／","")&amp;IF(AND($L1030&lt;&gt;"",INDEX(職員マスタ!$G$6:$G$405,$AP1030)&lt;&gt;"",$L1030&lt;&gt;INDEX(職員マスタ!$G$6:$G$405,$AP1030)),"時短開始日がマスタと相違／","")&amp;IF(AND($M1030&lt;&gt;"",INDEX(職員マスタ!$H$6:$H$405,$AP1030)&lt;&gt;"",$M1030&lt;&gt;INDEX(職員マスタ!$H$6:$H$405,$AP1030)),"時短終了日がマスタと相違／","")))&amp;IF(AND($B1030&lt;&gt;"",$E1030=""),"報酬額が未入力／","")&amp;IF(N($U1030)&gt;0,"申請書に入力エラーが残っています／","")&amp;IF(AND($B1030&lt;&gt;"",$AQ1030&lt;&gt;""),IF(COUNTIFS($B$6:$B$3005,$B1030,$C$6:$C$3005,$C1030,$D$6:$D$3005,$D1030)&gt;1,"同じ月の請求が重複しています／",""),"")&amp;IF(AND(N($E1030)&gt;0,$AB1030&lt;&gt;"",$AB1030&lt;&gt;"×",$AE1030=0,$AD1030=""),"計算額が下限以下のため不支給／",""))</f>
        <v/>
      </c>
      <c r="AN1030" s="12" t="n"/>
      <c r="AO1030" s="14">
        <f>IF($AF1030="保留中",COUNTIF($AF$6:$AF1030,"保留中"),"")</f>
        <v/>
      </c>
      <c r="AP1030" s="14">
        <f>IF($AQ1030="","",IF(SUMPRODUCT(MAX((職員マスタ!$A$6:$A$405=$B1030)*(((職員マスタ!$G$6:$G$405="")+(職員マスタ!$G$6:$G$405&lt;=EOMONTH($AQ1030,0)))&gt;0)*(((職員マスタ!$H$6:$H$405="")+(職員マスタ!$H$6:$H$405&gt;=$AQ1030))&gt;0)*(ROW(職員マスタ!$A$6:$A$405)-5)))&gt;0,SUMPRODUCT(MAX((職員マスタ!$A$6:$A$405=$B1030)*(((職員マスタ!$G$6:$G$405="")+(職員マスタ!$G$6:$G$405&lt;=EOMONTH($AQ1030,0)))&gt;0)*(((職員マスタ!$H$6:$H$405="")+(職員マスタ!$H$6:$H$405&gt;=$AQ1030))&gt;0)*(ROW(職員マスタ!$A$6:$A$405)-5))),IFERROR(MATCH($B1030,職員マスタ!$A$6:$A$405,0),"")))</f>
        <v/>
      </c>
      <c r="AQ1030" s="16">
        <f>IF(OR($B1030="",$C1030="",$D1030=""),"",DATE($C1030+2018,$D1030,1))</f>
        <v/>
      </c>
    </row>
    <row r="1031">
      <c r="A1031" s="11" t="n"/>
      <c r="B1031" s="12" t="n"/>
      <c r="C1031" s="12" t="n"/>
      <c r="D1031" s="12" t="n"/>
      <c r="E1031" s="13" t="n"/>
      <c r="F1031" s="12" t="n"/>
      <c r="G1031" s="13" t="n"/>
      <c r="H1031" s="12" t="n"/>
      <c r="I1031" s="12" t="n"/>
      <c r="J1031" s="12" t="n"/>
      <c r="K1031" s="12" t="n"/>
      <c r="L1031" s="11" t="n"/>
      <c r="M1031" s="11" t="n"/>
      <c r="N1031" s="11" t="n"/>
      <c r="O1031" s="11" t="n"/>
      <c r="P1031" s="12" t="n"/>
      <c r="Q1031" s="11" t="n"/>
      <c r="R1031" s="12" t="n"/>
      <c r="S1031" s="11" t="n"/>
      <c r="T1031" s="12" t="n"/>
      <c r="U1031" s="12" t="n"/>
      <c r="V1031" s="12" t="n"/>
      <c r="W1031" s="13" t="n"/>
      <c r="X1031" s="14">
        <f>IF($AP1031="",IF($B1031="","",$H1031),IF(INDEX(職員マスタ!$B$6:$B$405,$AP1031)="",$H1031,INDEX(職員マスタ!$B$6:$B$405,$AP1031)))</f>
        <v/>
      </c>
      <c r="Y1031" s="14">
        <f>IF($AP1031="",IF($B1031="","",$R1031),IF(INDEX(職員マスタ!$C$6:$C$405,$AP1031)="",$R1031,INDEX(職員マスタ!$C$6:$C$405,$AP1031)))</f>
        <v/>
      </c>
      <c r="Z1031" s="14">
        <f>IF($AQ1031="","","R"&amp;$C1031&amp;"."&amp;$D1031)</f>
        <v/>
      </c>
      <c r="AA1031" s="15">
        <f>IF(IF($AP1031="",FALSE,INDEX(職員マスタ!$K$6:$K$405,$AP1031)&lt;&gt;""),INDEX(職員マスタ!$K$6:$K$405,$AP1031),IF(N($W1031)&gt;0,$W1031,""))</f>
        <v/>
      </c>
      <c r="AB1031" s="14">
        <f>IF(OR($E1031="",$AA1031=""),"",IF($E1031&gt;=$AA1031,"×",IF($E1031&gt;=$AA1031*設定!$C$5,"△","○")))</f>
        <v/>
      </c>
      <c r="AC1031" s="15">
        <f>IF($AB1031="","",IF($AB1031="×",0,IF($AB1031="○",ROUNDDOWN($E1031*設定!$C$4,0),ROUNDDOWN($E1031*ROUND((9*$AA1031-9*$E1031)/(10*$E1031),4),0))))</f>
        <v/>
      </c>
      <c r="AD1031" s="13" t="n"/>
      <c r="AE1031" s="15">
        <f>IF($B1031="","",IF($AD1031&lt;&gt;"",$AD1031,IF($AC1031="","",IF($AC1031&lt;=設定!$C$3,0,$AC1031))))</f>
        <v/>
      </c>
      <c r="AF1031" s="14">
        <f>IF($B1031="","",IF(AND($AG1031&lt;&gt;"",$AI1031="",$AL1031=""),"保留中",IF($AL1031&lt;&gt;"",IF(N($AE1031)&gt;0,"支給済","不支給"),IF($AE1031="","要確認",IF($AE1031=0,"不支給","未処理")))))</f>
        <v/>
      </c>
      <c r="AG1031" s="12" t="n"/>
      <c r="AH1031" s="11" t="n"/>
      <c r="AI1031" s="11" t="n"/>
      <c r="AJ1031" s="11" t="n"/>
      <c r="AK1031" s="14">
        <f>IF(AND($AF1031="保留中",$AH1031&lt;&gt;""),TODAY()-$AH1031,"")</f>
        <v/>
      </c>
      <c r="AL1031" s="12" t="n"/>
      <c r="AM1031" s="14">
        <f>IF($B1031="","",IF($AQ1031="","対象年月が未入力／","")&amp;IF($B1031="","",IF($AP1031="","職員マスタに未登録の職員番号／",IF($AA1031="","標準報酬月額が未登録／","")&amp;IF(AND($AQ1031&lt;&gt;"",OR(AND(INDEX(職員マスタ!$G$6:$G$405,$AP1031)&lt;&gt;"",INDEX(職員マスタ!$G$6:$G$405,$AP1031)&gt;EOMONTH($AQ1031,0)),AND(INDEX(職員マスタ!$H$6:$H$405,$AP1031)&lt;&gt;"",INDEX(職員マスタ!$H$6:$H$405,$AP1031)&lt;$AQ1031))),"対象月が時短期間外／","")&amp;IF(AND(INDEX(職員マスタ!$K$6:$K$405,$AP1031)&lt;&gt;"",N($W1031)&gt;0,INDEX(職員マスタ!$K$6:$K$405,$AP1031)&lt;&gt;$W1031),"標準報酬月額が申請書と相違（台帳"&amp;TEXT(INDEX(職員マスタ!$K$6:$K$405,$AP1031),"#,##0")&amp;"円／申請書"&amp;TEXT($W1031,"#,##0")&amp;"円）／","")&amp;IF(AND(INDEX(職員マスタ!$F$6:$F$405,$AP1031)&lt;&gt;"",$AQ1031&lt;&gt;"",INDEX(職員マスタ!$F$6:$F$405,$AP1031)&lt;$AQ1031),"対象月に子が2歳到達済／","")&amp;IF(AND($H1031&lt;&gt;"",INDEX(職員マスタ!$B$6:$B$405,$AP1031)&lt;&gt;"",SUBSTITUTE(SUBSTITUTE($H1031," ","")," ","")&lt;&gt;SUBSTITUTE(SUBSTITUTE(INDEX(職員マスタ!$B$6:$B$405,$AP1031)," ","")," ","")),"氏名がマスタと相違／","")&amp;IF(AND($Q1031&lt;&gt;"",INDEX(職員マスタ!$E$6:$E$405,$AP1031)&lt;&gt;"",$Q1031&lt;&gt;INDEX(職員マスタ!$E$6:$E$405,$AP1031)),"子の生年月日がマスタと相違／","")&amp;IF(AND($L1031&lt;&gt;"",INDEX(職員マスタ!$G$6:$G$405,$AP1031)&lt;&gt;"",$L1031&lt;&gt;INDEX(職員マスタ!$G$6:$G$405,$AP1031)),"時短開始日がマスタと相違／","")&amp;IF(AND($M1031&lt;&gt;"",INDEX(職員マスタ!$H$6:$H$405,$AP1031)&lt;&gt;"",$M1031&lt;&gt;INDEX(職員マスタ!$H$6:$H$405,$AP1031)),"時短終了日がマスタと相違／","")))&amp;IF(AND($B1031&lt;&gt;"",$E1031=""),"報酬額が未入力／","")&amp;IF(N($U1031)&gt;0,"申請書に入力エラーが残っています／","")&amp;IF(AND($B1031&lt;&gt;"",$AQ1031&lt;&gt;""),IF(COUNTIFS($B$6:$B$3005,$B1031,$C$6:$C$3005,$C1031,$D$6:$D$3005,$D1031)&gt;1,"同じ月の請求が重複しています／",""),"")&amp;IF(AND(N($E1031)&gt;0,$AB1031&lt;&gt;"",$AB1031&lt;&gt;"×",$AE1031=0,$AD1031=""),"計算額が下限以下のため不支給／",""))</f>
        <v/>
      </c>
      <c r="AN1031" s="12" t="n"/>
      <c r="AO1031" s="14">
        <f>IF($AF1031="保留中",COUNTIF($AF$6:$AF1031,"保留中"),"")</f>
        <v/>
      </c>
      <c r="AP1031" s="14">
        <f>IF($AQ1031="","",IF(SUMPRODUCT(MAX((職員マスタ!$A$6:$A$405=$B1031)*(((職員マスタ!$G$6:$G$405="")+(職員マスタ!$G$6:$G$405&lt;=EOMONTH($AQ1031,0)))&gt;0)*(((職員マスタ!$H$6:$H$405="")+(職員マスタ!$H$6:$H$405&gt;=$AQ1031))&gt;0)*(ROW(職員マスタ!$A$6:$A$405)-5)))&gt;0,SUMPRODUCT(MAX((職員マスタ!$A$6:$A$405=$B1031)*(((職員マスタ!$G$6:$G$405="")+(職員マスタ!$G$6:$G$405&lt;=EOMONTH($AQ1031,0)))&gt;0)*(((職員マスタ!$H$6:$H$405="")+(職員マスタ!$H$6:$H$405&gt;=$AQ1031))&gt;0)*(ROW(職員マスタ!$A$6:$A$405)-5))),IFERROR(MATCH($B1031,職員マスタ!$A$6:$A$405,0),"")))</f>
        <v/>
      </c>
      <c r="AQ1031" s="16">
        <f>IF(OR($B1031="",$C1031="",$D1031=""),"",DATE($C1031+2018,$D1031,1))</f>
        <v/>
      </c>
    </row>
    <row r="1032">
      <c r="A1032" s="11" t="n"/>
      <c r="B1032" s="12" t="n"/>
      <c r="C1032" s="12" t="n"/>
      <c r="D1032" s="12" t="n"/>
      <c r="E1032" s="13" t="n"/>
      <c r="F1032" s="12" t="n"/>
      <c r="G1032" s="13" t="n"/>
      <c r="H1032" s="12" t="n"/>
      <c r="I1032" s="12" t="n"/>
      <c r="J1032" s="12" t="n"/>
      <c r="K1032" s="12" t="n"/>
      <c r="L1032" s="11" t="n"/>
      <c r="M1032" s="11" t="n"/>
      <c r="N1032" s="11" t="n"/>
      <c r="O1032" s="11" t="n"/>
      <c r="P1032" s="12" t="n"/>
      <c r="Q1032" s="11" t="n"/>
      <c r="R1032" s="12" t="n"/>
      <c r="S1032" s="11" t="n"/>
      <c r="T1032" s="12" t="n"/>
      <c r="U1032" s="12" t="n"/>
      <c r="V1032" s="12" t="n"/>
      <c r="W1032" s="13" t="n"/>
      <c r="X1032" s="14">
        <f>IF($AP1032="",IF($B1032="","",$H1032),IF(INDEX(職員マスタ!$B$6:$B$405,$AP1032)="",$H1032,INDEX(職員マスタ!$B$6:$B$405,$AP1032)))</f>
        <v/>
      </c>
      <c r="Y1032" s="14">
        <f>IF($AP1032="",IF($B1032="","",$R1032),IF(INDEX(職員マスタ!$C$6:$C$405,$AP1032)="",$R1032,INDEX(職員マスタ!$C$6:$C$405,$AP1032)))</f>
        <v/>
      </c>
      <c r="Z1032" s="14">
        <f>IF($AQ1032="","","R"&amp;$C1032&amp;"."&amp;$D1032)</f>
        <v/>
      </c>
      <c r="AA1032" s="15">
        <f>IF(IF($AP1032="",FALSE,INDEX(職員マスタ!$K$6:$K$405,$AP1032)&lt;&gt;""),INDEX(職員マスタ!$K$6:$K$405,$AP1032),IF(N($W1032)&gt;0,$W1032,""))</f>
        <v/>
      </c>
      <c r="AB1032" s="14">
        <f>IF(OR($E1032="",$AA1032=""),"",IF($E1032&gt;=$AA1032,"×",IF($E1032&gt;=$AA1032*設定!$C$5,"△","○")))</f>
        <v/>
      </c>
      <c r="AC1032" s="15">
        <f>IF($AB1032="","",IF($AB1032="×",0,IF($AB1032="○",ROUNDDOWN($E1032*設定!$C$4,0),ROUNDDOWN($E1032*ROUND((9*$AA1032-9*$E1032)/(10*$E1032),4),0))))</f>
        <v/>
      </c>
      <c r="AD1032" s="13" t="n"/>
      <c r="AE1032" s="15">
        <f>IF($B1032="","",IF($AD1032&lt;&gt;"",$AD1032,IF($AC1032="","",IF($AC1032&lt;=設定!$C$3,0,$AC1032))))</f>
        <v/>
      </c>
      <c r="AF1032" s="14">
        <f>IF($B1032="","",IF(AND($AG1032&lt;&gt;"",$AI1032="",$AL1032=""),"保留中",IF($AL1032&lt;&gt;"",IF(N($AE1032)&gt;0,"支給済","不支給"),IF($AE1032="","要確認",IF($AE1032=0,"不支給","未処理")))))</f>
        <v/>
      </c>
      <c r="AG1032" s="12" t="n"/>
      <c r="AH1032" s="11" t="n"/>
      <c r="AI1032" s="11" t="n"/>
      <c r="AJ1032" s="11" t="n"/>
      <c r="AK1032" s="14">
        <f>IF(AND($AF1032="保留中",$AH1032&lt;&gt;""),TODAY()-$AH1032,"")</f>
        <v/>
      </c>
      <c r="AL1032" s="12" t="n"/>
      <c r="AM1032" s="14">
        <f>IF($B1032="","",IF($AQ1032="","対象年月が未入力／","")&amp;IF($B1032="","",IF($AP1032="","職員マスタに未登録の職員番号／",IF($AA1032="","標準報酬月額が未登録／","")&amp;IF(AND($AQ1032&lt;&gt;"",OR(AND(INDEX(職員マスタ!$G$6:$G$405,$AP1032)&lt;&gt;"",INDEX(職員マスタ!$G$6:$G$405,$AP1032)&gt;EOMONTH($AQ1032,0)),AND(INDEX(職員マスタ!$H$6:$H$405,$AP1032)&lt;&gt;"",INDEX(職員マスタ!$H$6:$H$405,$AP1032)&lt;$AQ1032))),"対象月が時短期間外／","")&amp;IF(AND(INDEX(職員マスタ!$K$6:$K$405,$AP1032)&lt;&gt;"",N($W1032)&gt;0,INDEX(職員マスタ!$K$6:$K$405,$AP1032)&lt;&gt;$W1032),"標準報酬月額が申請書と相違（台帳"&amp;TEXT(INDEX(職員マスタ!$K$6:$K$405,$AP1032),"#,##0")&amp;"円／申請書"&amp;TEXT($W1032,"#,##0")&amp;"円）／","")&amp;IF(AND(INDEX(職員マスタ!$F$6:$F$405,$AP1032)&lt;&gt;"",$AQ1032&lt;&gt;"",INDEX(職員マスタ!$F$6:$F$405,$AP1032)&lt;$AQ1032),"対象月に子が2歳到達済／","")&amp;IF(AND($H1032&lt;&gt;"",INDEX(職員マスタ!$B$6:$B$405,$AP1032)&lt;&gt;"",SUBSTITUTE(SUBSTITUTE($H1032," ","")," ","")&lt;&gt;SUBSTITUTE(SUBSTITUTE(INDEX(職員マスタ!$B$6:$B$405,$AP1032)," ","")," ","")),"氏名がマスタと相違／","")&amp;IF(AND($Q1032&lt;&gt;"",INDEX(職員マスタ!$E$6:$E$405,$AP1032)&lt;&gt;"",$Q1032&lt;&gt;INDEX(職員マスタ!$E$6:$E$405,$AP1032)),"子の生年月日がマスタと相違／","")&amp;IF(AND($L1032&lt;&gt;"",INDEX(職員マスタ!$G$6:$G$405,$AP1032)&lt;&gt;"",$L1032&lt;&gt;INDEX(職員マスタ!$G$6:$G$405,$AP1032)),"時短開始日がマスタと相違／","")&amp;IF(AND($M1032&lt;&gt;"",INDEX(職員マスタ!$H$6:$H$405,$AP1032)&lt;&gt;"",$M1032&lt;&gt;INDEX(職員マスタ!$H$6:$H$405,$AP1032)),"時短終了日がマスタと相違／","")))&amp;IF(AND($B1032&lt;&gt;"",$E1032=""),"報酬額が未入力／","")&amp;IF(N($U1032)&gt;0,"申請書に入力エラーが残っています／","")&amp;IF(AND($B1032&lt;&gt;"",$AQ1032&lt;&gt;""),IF(COUNTIFS($B$6:$B$3005,$B1032,$C$6:$C$3005,$C1032,$D$6:$D$3005,$D1032)&gt;1,"同じ月の請求が重複しています／",""),"")&amp;IF(AND(N($E1032)&gt;0,$AB1032&lt;&gt;"",$AB1032&lt;&gt;"×",$AE1032=0,$AD1032=""),"計算額が下限以下のため不支給／",""))</f>
        <v/>
      </c>
      <c r="AN1032" s="12" t="n"/>
      <c r="AO1032" s="14">
        <f>IF($AF1032="保留中",COUNTIF($AF$6:$AF1032,"保留中"),"")</f>
        <v/>
      </c>
      <c r="AP1032" s="14">
        <f>IF($AQ1032="","",IF(SUMPRODUCT(MAX((職員マスタ!$A$6:$A$405=$B1032)*(((職員マスタ!$G$6:$G$405="")+(職員マスタ!$G$6:$G$405&lt;=EOMONTH($AQ1032,0)))&gt;0)*(((職員マスタ!$H$6:$H$405="")+(職員マスタ!$H$6:$H$405&gt;=$AQ1032))&gt;0)*(ROW(職員マスタ!$A$6:$A$405)-5)))&gt;0,SUMPRODUCT(MAX((職員マスタ!$A$6:$A$405=$B1032)*(((職員マスタ!$G$6:$G$405="")+(職員マスタ!$G$6:$G$405&lt;=EOMONTH($AQ1032,0)))&gt;0)*(((職員マスタ!$H$6:$H$405="")+(職員マスタ!$H$6:$H$405&gt;=$AQ1032))&gt;0)*(ROW(職員マスタ!$A$6:$A$405)-5))),IFERROR(MATCH($B1032,職員マスタ!$A$6:$A$405,0),"")))</f>
        <v/>
      </c>
      <c r="AQ1032" s="16">
        <f>IF(OR($B1032="",$C1032="",$D1032=""),"",DATE($C1032+2018,$D1032,1))</f>
        <v/>
      </c>
    </row>
    <row r="1033">
      <c r="A1033" s="11" t="n"/>
      <c r="B1033" s="12" t="n"/>
      <c r="C1033" s="12" t="n"/>
      <c r="D1033" s="12" t="n"/>
      <c r="E1033" s="13" t="n"/>
      <c r="F1033" s="12" t="n"/>
      <c r="G1033" s="13" t="n"/>
      <c r="H1033" s="12" t="n"/>
      <c r="I1033" s="12" t="n"/>
      <c r="J1033" s="12" t="n"/>
      <c r="K1033" s="12" t="n"/>
      <c r="L1033" s="11" t="n"/>
      <c r="M1033" s="11" t="n"/>
      <c r="N1033" s="11" t="n"/>
      <c r="O1033" s="11" t="n"/>
      <c r="P1033" s="12" t="n"/>
      <c r="Q1033" s="11" t="n"/>
      <c r="R1033" s="12" t="n"/>
      <c r="S1033" s="11" t="n"/>
      <c r="T1033" s="12" t="n"/>
      <c r="U1033" s="12" t="n"/>
      <c r="V1033" s="12" t="n"/>
      <c r="W1033" s="13" t="n"/>
      <c r="X1033" s="14">
        <f>IF($AP1033="",IF($B1033="","",$H1033),IF(INDEX(職員マスタ!$B$6:$B$405,$AP1033)="",$H1033,INDEX(職員マスタ!$B$6:$B$405,$AP1033)))</f>
        <v/>
      </c>
      <c r="Y1033" s="14">
        <f>IF($AP1033="",IF($B1033="","",$R1033),IF(INDEX(職員マスタ!$C$6:$C$405,$AP1033)="",$R1033,INDEX(職員マスタ!$C$6:$C$405,$AP1033)))</f>
        <v/>
      </c>
      <c r="Z1033" s="14">
        <f>IF($AQ1033="","","R"&amp;$C1033&amp;"."&amp;$D1033)</f>
        <v/>
      </c>
      <c r="AA1033" s="15">
        <f>IF(IF($AP1033="",FALSE,INDEX(職員マスタ!$K$6:$K$405,$AP1033)&lt;&gt;""),INDEX(職員マスタ!$K$6:$K$405,$AP1033),IF(N($W1033)&gt;0,$W1033,""))</f>
        <v/>
      </c>
      <c r="AB1033" s="14">
        <f>IF(OR($E1033="",$AA1033=""),"",IF($E1033&gt;=$AA1033,"×",IF($E1033&gt;=$AA1033*設定!$C$5,"△","○")))</f>
        <v/>
      </c>
      <c r="AC1033" s="15">
        <f>IF($AB1033="","",IF($AB1033="×",0,IF($AB1033="○",ROUNDDOWN($E1033*設定!$C$4,0),ROUNDDOWN($E1033*ROUND((9*$AA1033-9*$E1033)/(10*$E1033),4),0))))</f>
        <v/>
      </c>
      <c r="AD1033" s="13" t="n"/>
      <c r="AE1033" s="15">
        <f>IF($B1033="","",IF($AD1033&lt;&gt;"",$AD1033,IF($AC1033="","",IF($AC1033&lt;=設定!$C$3,0,$AC1033))))</f>
        <v/>
      </c>
      <c r="AF1033" s="14">
        <f>IF($B1033="","",IF(AND($AG1033&lt;&gt;"",$AI1033="",$AL1033=""),"保留中",IF($AL1033&lt;&gt;"",IF(N($AE1033)&gt;0,"支給済","不支給"),IF($AE1033="","要確認",IF($AE1033=0,"不支給","未処理")))))</f>
        <v/>
      </c>
      <c r="AG1033" s="12" t="n"/>
      <c r="AH1033" s="11" t="n"/>
      <c r="AI1033" s="11" t="n"/>
      <c r="AJ1033" s="11" t="n"/>
      <c r="AK1033" s="14">
        <f>IF(AND($AF1033="保留中",$AH1033&lt;&gt;""),TODAY()-$AH1033,"")</f>
        <v/>
      </c>
      <c r="AL1033" s="12" t="n"/>
      <c r="AM1033" s="14">
        <f>IF($B1033="","",IF($AQ1033="","対象年月が未入力／","")&amp;IF($B1033="","",IF($AP1033="","職員マスタに未登録の職員番号／",IF($AA1033="","標準報酬月額が未登録／","")&amp;IF(AND($AQ1033&lt;&gt;"",OR(AND(INDEX(職員マスタ!$G$6:$G$405,$AP1033)&lt;&gt;"",INDEX(職員マスタ!$G$6:$G$405,$AP1033)&gt;EOMONTH($AQ1033,0)),AND(INDEX(職員マスタ!$H$6:$H$405,$AP1033)&lt;&gt;"",INDEX(職員マスタ!$H$6:$H$405,$AP1033)&lt;$AQ1033))),"対象月が時短期間外／","")&amp;IF(AND(INDEX(職員マスタ!$K$6:$K$405,$AP1033)&lt;&gt;"",N($W1033)&gt;0,INDEX(職員マスタ!$K$6:$K$405,$AP1033)&lt;&gt;$W1033),"標準報酬月額が申請書と相違（台帳"&amp;TEXT(INDEX(職員マスタ!$K$6:$K$405,$AP1033),"#,##0")&amp;"円／申請書"&amp;TEXT($W1033,"#,##0")&amp;"円）／","")&amp;IF(AND(INDEX(職員マスタ!$F$6:$F$405,$AP1033)&lt;&gt;"",$AQ1033&lt;&gt;"",INDEX(職員マスタ!$F$6:$F$405,$AP1033)&lt;$AQ1033),"対象月に子が2歳到達済／","")&amp;IF(AND($H1033&lt;&gt;"",INDEX(職員マスタ!$B$6:$B$405,$AP1033)&lt;&gt;"",SUBSTITUTE(SUBSTITUTE($H1033," ","")," ","")&lt;&gt;SUBSTITUTE(SUBSTITUTE(INDEX(職員マスタ!$B$6:$B$405,$AP1033)," ","")," ","")),"氏名がマスタと相違／","")&amp;IF(AND($Q1033&lt;&gt;"",INDEX(職員マスタ!$E$6:$E$405,$AP1033)&lt;&gt;"",$Q1033&lt;&gt;INDEX(職員マスタ!$E$6:$E$405,$AP1033)),"子の生年月日がマスタと相違／","")&amp;IF(AND($L1033&lt;&gt;"",INDEX(職員マスタ!$G$6:$G$405,$AP1033)&lt;&gt;"",$L1033&lt;&gt;INDEX(職員マスタ!$G$6:$G$405,$AP1033)),"時短開始日がマスタと相違／","")&amp;IF(AND($M1033&lt;&gt;"",INDEX(職員マスタ!$H$6:$H$405,$AP1033)&lt;&gt;"",$M1033&lt;&gt;INDEX(職員マスタ!$H$6:$H$405,$AP1033)),"時短終了日がマスタと相違／","")))&amp;IF(AND($B1033&lt;&gt;"",$E1033=""),"報酬額が未入力／","")&amp;IF(N($U1033)&gt;0,"申請書に入力エラーが残っています／","")&amp;IF(AND($B1033&lt;&gt;"",$AQ1033&lt;&gt;""),IF(COUNTIFS($B$6:$B$3005,$B1033,$C$6:$C$3005,$C1033,$D$6:$D$3005,$D1033)&gt;1,"同じ月の請求が重複しています／",""),"")&amp;IF(AND(N($E1033)&gt;0,$AB1033&lt;&gt;"",$AB1033&lt;&gt;"×",$AE1033=0,$AD1033=""),"計算額が下限以下のため不支給／",""))</f>
        <v/>
      </c>
      <c r="AN1033" s="12" t="n"/>
      <c r="AO1033" s="14">
        <f>IF($AF1033="保留中",COUNTIF($AF$6:$AF1033,"保留中"),"")</f>
        <v/>
      </c>
      <c r="AP1033" s="14">
        <f>IF($AQ1033="","",IF(SUMPRODUCT(MAX((職員マスタ!$A$6:$A$405=$B1033)*(((職員マスタ!$G$6:$G$405="")+(職員マスタ!$G$6:$G$405&lt;=EOMONTH($AQ1033,0)))&gt;0)*(((職員マスタ!$H$6:$H$405="")+(職員マスタ!$H$6:$H$405&gt;=$AQ1033))&gt;0)*(ROW(職員マスタ!$A$6:$A$405)-5)))&gt;0,SUMPRODUCT(MAX((職員マスタ!$A$6:$A$405=$B1033)*(((職員マスタ!$G$6:$G$405="")+(職員マスタ!$G$6:$G$405&lt;=EOMONTH($AQ1033,0)))&gt;0)*(((職員マスタ!$H$6:$H$405="")+(職員マスタ!$H$6:$H$405&gt;=$AQ1033))&gt;0)*(ROW(職員マスタ!$A$6:$A$405)-5))),IFERROR(MATCH($B1033,職員マスタ!$A$6:$A$405,0),"")))</f>
        <v/>
      </c>
      <c r="AQ1033" s="16">
        <f>IF(OR($B1033="",$C1033="",$D1033=""),"",DATE($C1033+2018,$D1033,1))</f>
        <v/>
      </c>
    </row>
    <row r="1034">
      <c r="A1034" s="11" t="n"/>
      <c r="B1034" s="12" t="n"/>
      <c r="C1034" s="12" t="n"/>
      <c r="D1034" s="12" t="n"/>
      <c r="E1034" s="13" t="n"/>
      <c r="F1034" s="12" t="n"/>
      <c r="G1034" s="13" t="n"/>
      <c r="H1034" s="12" t="n"/>
      <c r="I1034" s="12" t="n"/>
      <c r="J1034" s="12" t="n"/>
      <c r="K1034" s="12" t="n"/>
      <c r="L1034" s="11" t="n"/>
      <c r="M1034" s="11" t="n"/>
      <c r="N1034" s="11" t="n"/>
      <c r="O1034" s="11" t="n"/>
      <c r="P1034" s="12" t="n"/>
      <c r="Q1034" s="11" t="n"/>
      <c r="R1034" s="12" t="n"/>
      <c r="S1034" s="11" t="n"/>
      <c r="T1034" s="12" t="n"/>
      <c r="U1034" s="12" t="n"/>
      <c r="V1034" s="12" t="n"/>
      <c r="W1034" s="13" t="n"/>
      <c r="X1034" s="14">
        <f>IF($AP1034="",IF($B1034="","",$H1034),IF(INDEX(職員マスタ!$B$6:$B$405,$AP1034)="",$H1034,INDEX(職員マスタ!$B$6:$B$405,$AP1034)))</f>
        <v/>
      </c>
      <c r="Y1034" s="14">
        <f>IF($AP1034="",IF($B1034="","",$R1034),IF(INDEX(職員マスタ!$C$6:$C$405,$AP1034)="",$R1034,INDEX(職員マスタ!$C$6:$C$405,$AP1034)))</f>
        <v/>
      </c>
      <c r="Z1034" s="14">
        <f>IF($AQ1034="","","R"&amp;$C1034&amp;"."&amp;$D1034)</f>
        <v/>
      </c>
      <c r="AA1034" s="15">
        <f>IF(IF($AP1034="",FALSE,INDEX(職員マスタ!$K$6:$K$405,$AP1034)&lt;&gt;""),INDEX(職員マスタ!$K$6:$K$405,$AP1034),IF(N($W1034)&gt;0,$W1034,""))</f>
        <v/>
      </c>
      <c r="AB1034" s="14">
        <f>IF(OR($E1034="",$AA1034=""),"",IF($E1034&gt;=$AA1034,"×",IF($E1034&gt;=$AA1034*設定!$C$5,"△","○")))</f>
        <v/>
      </c>
      <c r="AC1034" s="15">
        <f>IF($AB1034="","",IF($AB1034="×",0,IF($AB1034="○",ROUNDDOWN($E1034*設定!$C$4,0),ROUNDDOWN($E1034*ROUND((9*$AA1034-9*$E1034)/(10*$E1034),4),0))))</f>
        <v/>
      </c>
      <c r="AD1034" s="13" t="n"/>
      <c r="AE1034" s="15">
        <f>IF($B1034="","",IF($AD1034&lt;&gt;"",$AD1034,IF($AC1034="","",IF($AC1034&lt;=設定!$C$3,0,$AC1034))))</f>
        <v/>
      </c>
      <c r="AF1034" s="14">
        <f>IF($B1034="","",IF(AND($AG1034&lt;&gt;"",$AI1034="",$AL1034=""),"保留中",IF($AL1034&lt;&gt;"",IF(N($AE1034)&gt;0,"支給済","不支給"),IF($AE1034="","要確認",IF($AE1034=0,"不支給","未処理")))))</f>
        <v/>
      </c>
      <c r="AG1034" s="12" t="n"/>
      <c r="AH1034" s="11" t="n"/>
      <c r="AI1034" s="11" t="n"/>
      <c r="AJ1034" s="11" t="n"/>
      <c r="AK1034" s="14">
        <f>IF(AND($AF1034="保留中",$AH1034&lt;&gt;""),TODAY()-$AH1034,"")</f>
        <v/>
      </c>
      <c r="AL1034" s="12" t="n"/>
      <c r="AM1034" s="14">
        <f>IF($B1034="","",IF($AQ1034="","対象年月が未入力／","")&amp;IF($B1034="","",IF($AP1034="","職員マスタに未登録の職員番号／",IF($AA1034="","標準報酬月額が未登録／","")&amp;IF(AND($AQ1034&lt;&gt;"",OR(AND(INDEX(職員マスタ!$G$6:$G$405,$AP1034)&lt;&gt;"",INDEX(職員マスタ!$G$6:$G$405,$AP1034)&gt;EOMONTH($AQ1034,0)),AND(INDEX(職員マスタ!$H$6:$H$405,$AP1034)&lt;&gt;"",INDEX(職員マスタ!$H$6:$H$405,$AP1034)&lt;$AQ1034))),"対象月が時短期間外／","")&amp;IF(AND(INDEX(職員マスタ!$K$6:$K$405,$AP1034)&lt;&gt;"",N($W1034)&gt;0,INDEX(職員マスタ!$K$6:$K$405,$AP1034)&lt;&gt;$W1034),"標準報酬月額が申請書と相違（台帳"&amp;TEXT(INDEX(職員マスタ!$K$6:$K$405,$AP1034),"#,##0")&amp;"円／申請書"&amp;TEXT($W1034,"#,##0")&amp;"円）／","")&amp;IF(AND(INDEX(職員マスタ!$F$6:$F$405,$AP1034)&lt;&gt;"",$AQ1034&lt;&gt;"",INDEX(職員マスタ!$F$6:$F$405,$AP1034)&lt;$AQ1034),"対象月に子が2歳到達済／","")&amp;IF(AND($H1034&lt;&gt;"",INDEX(職員マスタ!$B$6:$B$405,$AP1034)&lt;&gt;"",SUBSTITUTE(SUBSTITUTE($H1034," ","")," ","")&lt;&gt;SUBSTITUTE(SUBSTITUTE(INDEX(職員マスタ!$B$6:$B$405,$AP1034)," ","")," ","")),"氏名がマスタと相違／","")&amp;IF(AND($Q1034&lt;&gt;"",INDEX(職員マスタ!$E$6:$E$405,$AP1034)&lt;&gt;"",$Q1034&lt;&gt;INDEX(職員マスタ!$E$6:$E$405,$AP1034)),"子の生年月日がマスタと相違／","")&amp;IF(AND($L1034&lt;&gt;"",INDEX(職員マスタ!$G$6:$G$405,$AP1034)&lt;&gt;"",$L1034&lt;&gt;INDEX(職員マスタ!$G$6:$G$405,$AP1034)),"時短開始日がマスタと相違／","")&amp;IF(AND($M1034&lt;&gt;"",INDEX(職員マスタ!$H$6:$H$405,$AP1034)&lt;&gt;"",$M1034&lt;&gt;INDEX(職員マスタ!$H$6:$H$405,$AP1034)),"時短終了日がマスタと相違／","")))&amp;IF(AND($B1034&lt;&gt;"",$E1034=""),"報酬額が未入力／","")&amp;IF(N($U1034)&gt;0,"申請書に入力エラーが残っています／","")&amp;IF(AND($B1034&lt;&gt;"",$AQ1034&lt;&gt;""),IF(COUNTIFS($B$6:$B$3005,$B1034,$C$6:$C$3005,$C1034,$D$6:$D$3005,$D1034)&gt;1,"同じ月の請求が重複しています／",""),"")&amp;IF(AND(N($E1034)&gt;0,$AB1034&lt;&gt;"",$AB1034&lt;&gt;"×",$AE1034=0,$AD1034=""),"計算額が下限以下のため不支給／",""))</f>
        <v/>
      </c>
      <c r="AN1034" s="12" t="n"/>
      <c r="AO1034" s="14">
        <f>IF($AF1034="保留中",COUNTIF($AF$6:$AF1034,"保留中"),"")</f>
        <v/>
      </c>
      <c r="AP1034" s="14">
        <f>IF($AQ1034="","",IF(SUMPRODUCT(MAX((職員マスタ!$A$6:$A$405=$B1034)*(((職員マスタ!$G$6:$G$405="")+(職員マスタ!$G$6:$G$405&lt;=EOMONTH($AQ1034,0)))&gt;0)*(((職員マスタ!$H$6:$H$405="")+(職員マスタ!$H$6:$H$405&gt;=$AQ1034))&gt;0)*(ROW(職員マスタ!$A$6:$A$405)-5)))&gt;0,SUMPRODUCT(MAX((職員マスタ!$A$6:$A$405=$B1034)*(((職員マスタ!$G$6:$G$405="")+(職員マスタ!$G$6:$G$405&lt;=EOMONTH($AQ1034,0)))&gt;0)*(((職員マスタ!$H$6:$H$405="")+(職員マスタ!$H$6:$H$405&gt;=$AQ1034))&gt;0)*(ROW(職員マスタ!$A$6:$A$405)-5))),IFERROR(MATCH($B1034,職員マスタ!$A$6:$A$405,0),"")))</f>
        <v/>
      </c>
      <c r="AQ1034" s="16">
        <f>IF(OR($B1034="",$C1034="",$D1034=""),"",DATE($C1034+2018,$D1034,1))</f>
        <v/>
      </c>
    </row>
    <row r="1035">
      <c r="A1035" s="11" t="n"/>
      <c r="B1035" s="12" t="n"/>
      <c r="C1035" s="12" t="n"/>
      <c r="D1035" s="12" t="n"/>
      <c r="E1035" s="13" t="n"/>
      <c r="F1035" s="12" t="n"/>
      <c r="G1035" s="13" t="n"/>
      <c r="H1035" s="12" t="n"/>
      <c r="I1035" s="12" t="n"/>
      <c r="J1035" s="12" t="n"/>
      <c r="K1035" s="12" t="n"/>
      <c r="L1035" s="11" t="n"/>
      <c r="M1035" s="11" t="n"/>
      <c r="N1035" s="11" t="n"/>
      <c r="O1035" s="11" t="n"/>
      <c r="P1035" s="12" t="n"/>
      <c r="Q1035" s="11" t="n"/>
      <c r="R1035" s="12" t="n"/>
      <c r="S1035" s="11" t="n"/>
      <c r="T1035" s="12" t="n"/>
      <c r="U1035" s="12" t="n"/>
      <c r="V1035" s="12" t="n"/>
      <c r="W1035" s="13" t="n"/>
      <c r="X1035" s="14">
        <f>IF($AP1035="",IF($B1035="","",$H1035),IF(INDEX(職員マスタ!$B$6:$B$405,$AP1035)="",$H1035,INDEX(職員マスタ!$B$6:$B$405,$AP1035)))</f>
        <v/>
      </c>
      <c r="Y1035" s="14">
        <f>IF($AP1035="",IF($B1035="","",$R1035),IF(INDEX(職員マスタ!$C$6:$C$405,$AP1035)="",$R1035,INDEX(職員マスタ!$C$6:$C$405,$AP1035)))</f>
        <v/>
      </c>
      <c r="Z1035" s="14">
        <f>IF($AQ1035="","","R"&amp;$C1035&amp;"."&amp;$D1035)</f>
        <v/>
      </c>
      <c r="AA1035" s="15">
        <f>IF(IF($AP1035="",FALSE,INDEX(職員マスタ!$K$6:$K$405,$AP1035)&lt;&gt;""),INDEX(職員マスタ!$K$6:$K$405,$AP1035),IF(N($W1035)&gt;0,$W1035,""))</f>
        <v/>
      </c>
      <c r="AB1035" s="14">
        <f>IF(OR($E1035="",$AA1035=""),"",IF($E1035&gt;=$AA1035,"×",IF($E1035&gt;=$AA1035*設定!$C$5,"△","○")))</f>
        <v/>
      </c>
      <c r="AC1035" s="15">
        <f>IF($AB1035="","",IF($AB1035="×",0,IF($AB1035="○",ROUNDDOWN($E1035*設定!$C$4,0),ROUNDDOWN($E1035*ROUND((9*$AA1035-9*$E1035)/(10*$E1035),4),0))))</f>
        <v/>
      </c>
      <c r="AD1035" s="13" t="n"/>
      <c r="AE1035" s="15">
        <f>IF($B1035="","",IF($AD1035&lt;&gt;"",$AD1035,IF($AC1035="","",IF($AC1035&lt;=設定!$C$3,0,$AC1035))))</f>
        <v/>
      </c>
      <c r="AF1035" s="14">
        <f>IF($B1035="","",IF(AND($AG1035&lt;&gt;"",$AI1035="",$AL1035=""),"保留中",IF($AL1035&lt;&gt;"",IF(N($AE1035)&gt;0,"支給済","不支給"),IF($AE1035="","要確認",IF($AE1035=0,"不支給","未処理")))))</f>
        <v/>
      </c>
      <c r="AG1035" s="12" t="n"/>
      <c r="AH1035" s="11" t="n"/>
      <c r="AI1035" s="11" t="n"/>
      <c r="AJ1035" s="11" t="n"/>
      <c r="AK1035" s="14">
        <f>IF(AND($AF1035="保留中",$AH1035&lt;&gt;""),TODAY()-$AH1035,"")</f>
        <v/>
      </c>
      <c r="AL1035" s="12" t="n"/>
      <c r="AM1035" s="14">
        <f>IF($B1035="","",IF($AQ1035="","対象年月が未入力／","")&amp;IF($B1035="","",IF($AP1035="","職員マスタに未登録の職員番号／",IF($AA1035="","標準報酬月額が未登録／","")&amp;IF(AND($AQ1035&lt;&gt;"",OR(AND(INDEX(職員マスタ!$G$6:$G$405,$AP1035)&lt;&gt;"",INDEX(職員マスタ!$G$6:$G$405,$AP1035)&gt;EOMONTH($AQ1035,0)),AND(INDEX(職員マスタ!$H$6:$H$405,$AP1035)&lt;&gt;"",INDEX(職員マスタ!$H$6:$H$405,$AP1035)&lt;$AQ1035))),"対象月が時短期間外／","")&amp;IF(AND(INDEX(職員マスタ!$K$6:$K$405,$AP1035)&lt;&gt;"",N($W1035)&gt;0,INDEX(職員マスタ!$K$6:$K$405,$AP1035)&lt;&gt;$W1035),"標準報酬月額が申請書と相違（台帳"&amp;TEXT(INDEX(職員マスタ!$K$6:$K$405,$AP1035),"#,##0")&amp;"円／申請書"&amp;TEXT($W1035,"#,##0")&amp;"円）／","")&amp;IF(AND(INDEX(職員マスタ!$F$6:$F$405,$AP1035)&lt;&gt;"",$AQ1035&lt;&gt;"",INDEX(職員マスタ!$F$6:$F$405,$AP1035)&lt;$AQ1035),"対象月に子が2歳到達済／","")&amp;IF(AND($H1035&lt;&gt;"",INDEX(職員マスタ!$B$6:$B$405,$AP1035)&lt;&gt;"",SUBSTITUTE(SUBSTITUTE($H1035," ","")," ","")&lt;&gt;SUBSTITUTE(SUBSTITUTE(INDEX(職員マスタ!$B$6:$B$405,$AP1035)," ","")," ","")),"氏名がマスタと相違／","")&amp;IF(AND($Q1035&lt;&gt;"",INDEX(職員マスタ!$E$6:$E$405,$AP1035)&lt;&gt;"",$Q1035&lt;&gt;INDEX(職員マスタ!$E$6:$E$405,$AP1035)),"子の生年月日がマスタと相違／","")&amp;IF(AND($L1035&lt;&gt;"",INDEX(職員マスタ!$G$6:$G$405,$AP1035)&lt;&gt;"",$L1035&lt;&gt;INDEX(職員マスタ!$G$6:$G$405,$AP1035)),"時短開始日がマスタと相違／","")&amp;IF(AND($M1035&lt;&gt;"",INDEX(職員マスタ!$H$6:$H$405,$AP1035)&lt;&gt;"",$M1035&lt;&gt;INDEX(職員マスタ!$H$6:$H$405,$AP1035)),"時短終了日がマスタと相違／","")))&amp;IF(AND($B1035&lt;&gt;"",$E1035=""),"報酬額が未入力／","")&amp;IF(N($U1035)&gt;0,"申請書に入力エラーが残っています／","")&amp;IF(AND($B1035&lt;&gt;"",$AQ1035&lt;&gt;""),IF(COUNTIFS($B$6:$B$3005,$B1035,$C$6:$C$3005,$C1035,$D$6:$D$3005,$D1035)&gt;1,"同じ月の請求が重複しています／",""),"")&amp;IF(AND(N($E1035)&gt;0,$AB1035&lt;&gt;"",$AB1035&lt;&gt;"×",$AE1035=0,$AD1035=""),"計算額が下限以下のため不支給／",""))</f>
        <v/>
      </c>
      <c r="AN1035" s="12" t="n"/>
      <c r="AO1035" s="14">
        <f>IF($AF1035="保留中",COUNTIF($AF$6:$AF1035,"保留中"),"")</f>
        <v/>
      </c>
      <c r="AP1035" s="14">
        <f>IF($AQ1035="","",IF(SUMPRODUCT(MAX((職員マスタ!$A$6:$A$405=$B1035)*(((職員マスタ!$G$6:$G$405="")+(職員マスタ!$G$6:$G$405&lt;=EOMONTH($AQ1035,0)))&gt;0)*(((職員マスタ!$H$6:$H$405="")+(職員マスタ!$H$6:$H$405&gt;=$AQ1035))&gt;0)*(ROW(職員マスタ!$A$6:$A$405)-5)))&gt;0,SUMPRODUCT(MAX((職員マスタ!$A$6:$A$405=$B1035)*(((職員マスタ!$G$6:$G$405="")+(職員マスタ!$G$6:$G$405&lt;=EOMONTH($AQ1035,0)))&gt;0)*(((職員マスタ!$H$6:$H$405="")+(職員マスタ!$H$6:$H$405&gt;=$AQ1035))&gt;0)*(ROW(職員マスタ!$A$6:$A$405)-5))),IFERROR(MATCH($B1035,職員マスタ!$A$6:$A$405,0),"")))</f>
        <v/>
      </c>
      <c r="AQ1035" s="16">
        <f>IF(OR($B1035="",$C1035="",$D1035=""),"",DATE($C1035+2018,$D1035,1))</f>
        <v/>
      </c>
    </row>
    <row r="1036">
      <c r="A1036" s="11" t="n"/>
      <c r="B1036" s="12" t="n"/>
      <c r="C1036" s="12" t="n"/>
      <c r="D1036" s="12" t="n"/>
      <c r="E1036" s="13" t="n"/>
      <c r="F1036" s="12" t="n"/>
      <c r="G1036" s="13" t="n"/>
      <c r="H1036" s="12" t="n"/>
      <c r="I1036" s="12" t="n"/>
      <c r="J1036" s="12" t="n"/>
      <c r="K1036" s="12" t="n"/>
      <c r="L1036" s="11" t="n"/>
      <c r="M1036" s="11" t="n"/>
      <c r="N1036" s="11" t="n"/>
      <c r="O1036" s="11" t="n"/>
      <c r="P1036" s="12" t="n"/>
      <c r="Q1036" s="11" t="n"/>
      <c r="R1036" s="12" t="n"/>
      <c r="S1036" s="11" t="n"/>
      <c r="T1036" s="12" t="n"/>
      <c r="U1036" s="12" t="n"/>
      <c r="V1036" s="12" t="n"/>
      <c r="W1036" s="13" t="n"/>
      <c r="X1036" s="14">
        <f>IF($AP1036="",IF($B1036="","",$H1036),IF(INDEX(職員マスタ!$B$6:$B$405,$AP1036)="",$H1036,INDEX(職員マスタ!$B$6:$B$405,$AP1036)))</f>
        <v/>
      </c>
      <c r="Y1036" s="14">
        <f>IF($AP1036="",IF($B1036="","",$R1036),IF(INDEX(職員マスタ!$C$6:$C$405,$AP1036)="",$R1036,INDEX(職員マスタ!$C$6:$C$405,$AP1036)))</f>
        <v/>
      </c>
      <c r="Z1036" s="14">
        <f>IF($AQ1036="","","R"&amp;$C1036&amp;"."&amp;$D1036)</f>
        <v/>
      </c>
      <c r="AA1036" s="15">
        <f>IF(IF($AP1036="",FALSE,INDEX(職員マスタ!$K$6:$K$405,$AP1036)&lt;&gt;""),INDEX(職員マスタ!$K$6:$K$405,$AP1036),IF(N($W1036)&gt;0,$W1036,""))</f>
        <v/>
      </c>
      <c r="AB1036" s="14">
        <f>IF(OR($E1036="",$AA1036=""),"",IF($E1036&gt;=$AA1036,"×",IF($E1036&gt;=$AA1036*設定!$C$5,"△","○")))</f>
        <v/>
      </c>
      <c r="AC1036" s="15">
        <f>IF($AB1036="","",IF($AB1036="×",0,IF($AB1036="○",ROUNDDOWN($E1036*設定!$C$4,0),ROUNDDOWN($E1036*ROUND((9*$AA1036-9*$E1036)/(10*$E1036),4),0))))</f>
        <v/>
      </c>
      <c r="AD1036" s="13" t="n"/>
      <c r="AE1036" s="15">
        <f>IF($B1036="","",IF($AD1036&lt;&gt;"",$AD1036,IF($AC1036="","",IF($AC1036&lt;=設定!$C$3,0,$AC1036))))</f>
        <v/>
      </c>
      <c r="AF1036" s="14">
        <f>IF($B1036="","",IF(AND($AG1036&lt;&gt;"",$AI1036="",$AL1036=""),"保留中",IF($AL1036&lt;&gt;"",IF(N($AE1036)&gt;0,"支給済","不支給"),IF($AE1036="","要確認",IF($AE1036=0,"不支給","未処理")))))</f>
        <v/>
      </c>
      <c r="AG1036" s="12" t="n"/>
      <c r="AH1036" s="11" t="n"/>
      <c r="AI1036" s="11" t="n"/>
      <c r="AJ1036" s="11" t="n"/>
      <c r="AK1036" s="14">
        <f>IF(AND($AF1036="保留中",$AH1036&lt;&gt;""),TODAY()-$AH1036,"")</f>
        <v/>
      </c>
      <c r="AL1036" s="12" t="n"/>
      <c r="AM1036" s="14">
        <f>IF($B1036="","",IF($AQ1036="","対象年月が未入力／","")&amp;IF($B1036="","",IF($AP1036="","職員マスタに未登録の職員番号／",IF($AA1036="","標準報酬月額が未登録／","")&amp;IF(AND($AQ1036&lt;&gt;"",OR(AND(INDEX(職員マスタ!$G$6:$G$405,$AP1036)&lt;&gt;"",INDEX(職員マスタ!$G$6:$G$405,$AP1036)&gt;EOMONTH($AQ1036,0)),AND(INDEX(職員マスタ!$H$6:$H$405,$AP1036)&lt;&gt;"",INDEX(職員マスタ!$H$6:$H$405,$AP1036)&lt;$AQ1036))),"対象月が時短期間外／","")&amp;IF(AND(INDEX(職員マスタ!$K$6:$K$405,$AP1036)&lt;&gt;"",N($W1036)&gt;0,INDEX(職員マスタ!$K$6:$K$405,$AP1036)&lt;&gt;$W1036),"標準報酬月額が申請書と相違（台帳"&amp;TEXT(INDEX(職員マスタ!$K$6:$K$405,$AP1036),"#,##0")&amp;"円／申請書"&amp;TEXT($W1036,"#,##0")&amp;"円）／","")&amp;IF(AND(INDEX(職員マスタ!$F$6:$F$405,$AP1036)&lt;&gt;"",$AQ1036&lt;&gt;"",INDEX(職員マスタ!$F$6:$F$405,$AP1036)&lt;$AQ1036),"対象月に子が2歳到達済／","")&amp;IF(AND($H1036&lt;&gt;"",INDEX(職員マスタ!$B$6:$B$405,$AP1036)&lt;&gt;"",SUBSTITUTE(SUBSTITUTE($H1036," ","")," ","")&lt;&gt;SUBSTITUTE(SUBSTITUTE(INDEX(職員マスタ!$B$6:$B$405,$AP1036)," ","")," ","")),"氏名がマスタと相違／","")&amp;IF(AND($Q1036&lt;&gt;"",INDEX(職員マスタ!$E$6:$E$405,$AP1036)&lt;&gt;"",$Q1036&lt;&gt;INDEX(職員マスタ!$E$6:$E$405,$AP1036)),"子の生年月日がマスタと相違／","")&amp;IF(AND($L1036&lt;&gt;"",INDEX(職員マスタ!$G$6:$G$405,$AP1036)&lt;&gt;"",$L1036&lt;&gt;INDEX(職員マスタ!$G$6:$G$405,$AP1036)),"時短開始日がマスタと相違／","")&amp;IF(AND($M1036&lt;&gt;"",INDEX(職員マスタ!$H$6:$H$405,$AP1036)&lt;&gt;"",$M1036&lt;&gt;INDEX(職員マスタ!$H$6:$H$405,$AP1036)),"時短終了日がマスタと相違／","")))&amp;IF(AND($B1036&lt;&gt;"",$E1036=""),"報酬額が未入力／","")&amp;IF(N($U1036)&gt;0,"申請書に入力エラーが残っています／","")&amp;IF(AND($B1036&lt;&gt;"",$AQ1036&lt;&gt;""),IF(COUNTIFS($B$6:$B$3005,$B1036,$C$6:$C$3005,$C1036,$D$6:$D$3005,$D1036)&gt;1,"同じ月の請求が重複しています／",""),"")&amp;IF(AND(N($E1036)&gt;0,$AB1036&lt;&gt;"",$AB1036&lt;&gt;"×",$AE1036=0,$AD1036=""),"計算額が下限以下のため不支給／",""))</f>
        <v/>
      </c>
      <c r="AN1036" s="12" t="n"/>
      <c r="AO1036" s="14">
        <f>IF($AF1036="保留中",COUNTIF($AF$6:$AF1036,"保留中"),"")</f>
        <v/>
      </c>
      <c r="AP1036" s="14">
        <f>IF($AQ1036="","",IF(SUMPRODUCT(MAX((職員マスタ!$A$6:$A$405=$B1036)*(((職員マスタ!$G$6:$G$405="")+(職員マスタ!$G$6:$G$405&lt;=EOMONTH($AQ1036,0)))&gt;0)*(((職員マスタ!$H$6:$H$405="")+(職員マスタ!$H$6:$H$405&gt;=$AQ1036))&gt;0)*(ROW(職員マスタ!$A$6:$A$405)-5)))&gt;0,SUMPRODUCT(MAX((職員マスタ!$A$6:$A$405=$B1036)*(((職員マスタ!$G$6:$G$405="")+(職員マスタ!$G$6:$G$405&lt;=EOMONTH($AQ1036,0)))&gt;0)*(((職員マスタ!$H$6:$H$405="")+(職員マスタ!$H$6:$H$405&gt;=$AQ1036))&gt;0)*(ROW(職員マスタ!$A$6:$A$405)-5))),IFERROR(MATCH($B1036,職員マスタ!$A$6:$A$405,0),"")))</f>
        <v/>
      </c>
      <c r="AQ1036" s="16">
        <f>IF(OR($B1036="",$C1036="",$D1036=""),"",DATE($C1036+2018,$D1036,1))</f>
        <v/>
      </c>
    </row>
    <row r="1037">
      <c r="A1037" s="11" t="n"/>
      <c r="B1037" s="12" t="n"/>
      <c r="C1037" s="12" t="n"/>
      <c r="D1037" s="12" t="n"/>
      <c r="E1037" s="13" t="n"/>
      <c r="F1037" s="12" t="n"/>
      <c r="G1037" s="13" t="n"/>
      <c r="H1037" s="12" t="n"/>
      <c r="I1037" s="12" t="n"/>
      <c r="J1037" s="12" t="n"/>
      <c r="K1037" s="12" t="n"/>
      <c r="L1037" s="11" t="n"/>
      <c r="M1037" s="11" t="n"/>
      <c r="N1037" s="11" t="n"/>
      <c r="O1037" s="11" t="n"/>
      <c r="P1037" s="12" t="n"/>
      <c r="Q1037" s="11" t="n"/>
      <c r="R1037" s="12" t="n"/>
      <c r="S1037" s="11" t="n"/>
      <c r="T1037" s="12" t="n"/>
      <c r="U1037" s="12" t="n"/>
      <c r="V1037" s="12" t="n"/>
      <c r="W1037" s="13" t="n"/>
      <c r="X1037" s="14">
        <f>IF($AP1037="",IF($B1037="","",$H1037),IF(INDEX(職員マスタ!$B$6:$B$405,$AP1037)="",$H1037,INDEX(職員マスタ!$B$6:$B$405,$AP1037)))</f>
        <v/>
      </c>
      <c r="Y1037" s="14">
        <f>IF($AP1037="",IF($B1037="","",$R1037),IF(INDEX(職員マスタ!$C$6:$C$405,$AP1037)="",$R1037,INDEX(職員マスタ!$C$6:$C$405,$AP1037)))</f>
        <v/>
      </c>
      <c r="Z1037" s="14">
        <f>IF($AQ1037="","","R"&amp;$C1037&amp;"."&amp;$D1037)</f>
        <v/>
      </c>
      <c r="AA1037" s="15">
        <f>IF(IF($AP1037="",FALSE,INDEX(職員マスタ!$K$6:$K$405,$AP1037)&lt;&gt;""),INDEX(職員マスタ!$K$6:$K$405,$AP1037),IF(N($W1037)&gt;0,$W1037,""))</f>
        <v/>
      </c>
      <c r="AB1037" s="14">
        <f>IF(OR($E1037="",$AA1037=""),"",IF($E1037&gt;=$AA1037,"×",IF($E1037&gt;=$AA1037*設定!$C$5,"△","○")))</f>
        <v/>
      </c>
      <c r="AC1037" s="15">
        <f>IF($AB1037="","",IF($AB1037="×",0,IF($AB1037="○",ROUNDDOWN($E1037*設定!$C$4,0),ROUNDDOWN($E1037*ROUND((9*$AA1037-9*$E1037)/(10*$E1037),4),0))))</f>
        <v/>
      </c>
      <c r="AD1037" s="13" t="n"/>
      <c r="AE1037" s="15">
        <f>IF($B1037="","",IF($AD1037&lt;&gt;"",$AD1037,IF($AC1037="","",IF($AC1037&lt;=設定!$C$3,0,$AC1037))))</f>
        <v/>
      </c>
      <c r="AF1037" s="14">
        <f>IF($B1037="","",IF(AND($AG1037&lt;&gt;"",$AI1037="",$AL1037=""),"保留中",IF($AL1037&lt;&gt;"",IF(N($AE1037)&gt;0,"支給済","不支給"),IF($AE1037="","要確認",IF($AE1037=0,"不支給","未処理")))))</f>
        <v/>
      </c>
      <c r="AG1037" s="12" t="n"/>
      <c r="AH1037" s="11" t="n"/>
      <c r="AI1037" s="11" t="n"/>
      <c r="AJ1037" s="11" t="n"/>
      <c r="AK1037" s="14">
        <f>IF(AND($AF1037="保留中",$AH1037&lt;&gt;""),TODAY()-$AH1037,"")</f>
        <v/>
      </c>
      <c r="AL1037" s="12" t="n"/>
      <c r="AM1037" s="14">
        <f>IF($B1037="","",IF($AQ1037="","対象年月が未入力／","")&amp;IF($B1037="","",IF($AP1037="","職員マスタに未登録の職員番号／",IF($AA1037="","標準報酬月額が未登録／","")&amp;IF(AND($AQ1037&lt;&gt;"",OR(AND(INDEX(職員マスタ!$G$6:$G$405,$AP1037)&lt;&gt;"",INDEX(職員マスタ!$G$6:$G$405,$AP1037)&gt;EOMONTH($AQ1037,0)),AND(INDEX(職員マスタ!$H$6:$H$405,$AP1037)&lt;&gt;"",INDEX(職員マスタ!$H$6:$H$405,$AP1037)&lt;$AQ1037))),"対象月が時短期間外／","")&amp;IF(AND(INDEX(職員マスタ!$K$6:$K$405,$AP1037)&lt;&gt;"",N($W1037)&gt;0,INDEX(職員マスタ!$K$6:$K$405,$AP1037)&lt;&gt;$W1037),"標準報酬月額が申請書と相違（台帳"&amp;TEXT(INDEX(職員マスタ!$K$6:$K$405,$AP1037),"#,##0")&amp;"円／申請書"&amp;TEXT($W1037,"#,##0")&amp;"円）／","")&amp;IF(AND(INDEX(職員マスタ!$F$6:$F$405,$AP1037)&lt;&gt;"",$AQ1037&lt;&gt;"",INDEX(職員マスタ!$F$6:$F$405,$AP1037)&lt;$AQ1037),"対象月に子が2歳到達済／","")&amp;IF(AND($H1037&lt;&gt;"",INDEX(職員マスタ!$B$6:$B$405,$AP1037)&lt;&gt;"",SUBSTITUTE(SUBSTITUTE($H1037," ","")," ","")&lt;&gt;SUBSTITUTE(SUBSTITUTE(INDEX(職員マスタ!$B$6:$B$405,$AP1037)," ","")," ","")),"氏名がマスタと相違／","")&amp;IF(AND($Q1037&lt;&gt;"",INDEX(職員マスタ!$E$6:$E$405,$AP1037)&lt;&gt;"",$Q1037&lt;&gt;INDEX(職員マスタ!$E$6:$E$405,$AP1037)),"子の生年月日がマスタと相違／","")&amp;IF(AND($L1037&lt;&gt;"",INDEX(職員マスタ!$G$6:$G$405,$AP1037)&lt;&gt;"",$L1037&lt;&gt;INDEX(職員マスタ!$G$6:$G$405,$AP1037)),"時短開始日がマスタと相違／","")&amp;IF(AND($M1037&lt;&gt;"",INDEX(職員マスタ!$H$6:$H$405,$AP1037)&lt;&gt;"",$M1037&lt;&gt;INDEX(職員マスタ!$H$6:$H$405,$AP1037)),"時短終了日がマスタと相違／","")))&amp;IF(AND($B1037&lt;&gt;"",$E1037=""),"報酬額が未入力／","")&amp;IF(N($U1037)&gt;0,"申請書に入力エラーが残っています／","")&amp;IF(AND($B1037&lt;&gt;"",$AQ1037&lt;&gt;""),IF(COUNTIFS($B$6:$B$3005,$B1037,$C$6:$C$3005,$C1037,$D$6:$D$3005,$D1037)&gt;1,"同じ月の請求が重複しています／",""),"")&amp;IF(AND(N($E1037)&gt;0,$AB1037&lt;&gt;"",$AB1037&lt;&gt;"×",$AE1037=0,$AD1037=""),"計算額が下限以下のため不支給／",""))</f>
        <v/>
      </c>
      <c r="AN1037" s="12" t="n"/>
      <c r="AO1037" s="14">
        <f>IF($AF1037="保留中",COUNTIF($AF$6:$AF1037,"保留中"),"")</f>
        <v/>
      </c>
      <c r="AP1037" s="14">
        <f>IF($AQ1037="","",IF(SUMPRODUCT(MAX((職員マスタ!$A$6:$A$405=$B1037)*(((職員マスタ!$G$6:$G$405="")+(職員マスタ!$G$6:$G$405&lt;=EOMONTH($AQ1037,0)))&gt;0)*(((職員マスタ!$H$6:$H$405="")+(職員マスタ!$H$6:$H$405&gt;=$AQ1037))&gt;0)*(ROW(職員マスタ!$A$6:$A$405)-5)))&gt;0,SUMPRODUCT(MAX((職員マスタ!$A$6:$A$405=$B1037)*(((職員マスタ!$G$6:$G$405="")+(職員マスタ!$G$6:$G$405&lt;=EOMONTH($AQ1037,0)))&gt;0)*(((職員マスタ!$H$6:$H$405="")+(職員マスタ!$H$6:$H$405&gt;=$AQ1037))&gt;0)*(ROW(職員マスタ!$A$6:$A$405)-5))),IFERROR(MATCH($B1037,職員マスタ!$A$6:$A$405,0),"")))</f>
        <v/>
      </c>
      <c r="AQ1037" s="16">
        <f>IF(OR($B1037="",$C1037="",$D1037=""),"",DATE($C1037+2018,$D1037,1))</f>
        <v/>
      </c>
    </row>
    <row r="1038">
      <c r="A1038" s="11" t="n"/>
      <c r="B1038" s="12" t="n"/>
      <c r="C1038" s="12" t="n"/>
      <c r="D1038" s="12" t="n"/>
      <c r="E1038" s="13" t="n"/>
      <c r="F1038" s="12" t="n"/>
      <c r="G1038" s="13" t="n"/>
      <c r="H1038" s="12" t="n"/>
      <c r="I1038" s="12" t="n"/>
      <c r="J1038" s="12" t="n"/>
      <c r="K1038" s="12" t="n"/>
      <c r="L1038" s="11" t="n"/>
      <c r="M1038" s="11" t="n"/>
      <c r="N1038" s="11" t="n"/>
      <c r="O1038" s="11" t="n"/>
      <c r="P1038" s="12" t="n"/>
      <c r="Q1038" s="11" t="n"/>
      <c r="R1038" s="12" t="n"/>
      <c r="S1038" s="11" t="n"/>
      <c r="T1038" s="12" t="n"/>
      <c r="U1038" s="12" t="n"/>
      <c r="V1038" s="12" t="n"/>
      <c r="W1038" s="13" t="n"/>
      <c r="X1038" s="14">
        <f>IF($AP1038="",IF($B1038="","",$H1038),IF(INDEX(職員マスタ!$B$6:$B$405,$AP1038)="",$H1038,INDEX(職員マスタ!$B$6:$B$405,$AP1038)))</f>
        <v/>
      </c>
      <c r="Y1038" s="14">
        <f>IF($AP1038="",IF($B1038="","",$R1038),IF(INDEX(職員マスタ!$C$6:$C$405,$AP1038)="",$R1038,INDEX(職員マスタ!$C$6:$C$405,$AP1038)))</f>
        <v/>
      </c>
      <c r="Z1038" s="14">
        <f>IF($AQ1038="","","R"&amp;$C1038&amp;"."&amp;$D1038)</f>
        <v/>
      </c>
      <c r="AA1038" s="15">
        <f>IF(IF($AP1038="",FALSE,INDEX(職員マスタ!$K$6:$K$405,$AP1038)&lt;&gt;""),INDEX(職員マスタ!$K$6:$K$405,$AP1038),IF(N($W1038)&gt;0,$W1038,""))</f>
        <v/>
      </c>
      <c r="AB1038" s="14">
        <f>IF(OR($E1038="",$AA1038=""),"",IF($E1038&gt;=$AA1038,"×",IF($E1038&gt;=$AA1038*設定!$C$5,"△","○")))</f>
        <v/>
      </c>
      <c r="AC1038" s="15">
        <f>IF($AB1038="","",IF($AB1038="×",0,IF($AB1038="○",ROUNDDOWN($E1038*設定!$C$4,0),ROUNDDOWN($E1038*ROUND((9*$AA1038-9*$E1038)/(10*$E1038),4),0))))</f>
        <v/>
      </c>
      <c r="AD1038" s="13" t="n"/>
      <c r="AE1038" s="15">
        <f>IF($B1038="","",IF($AD1038&lt;&gt;"",$AD1038,IF($AC1038="","",IF($AC1038&lt;=設定!$C$3,0,$AC1038))))</f>
        <v/>
      </c>
      <c r="AF1038" s="14">
        <f>IF($B1038="","",IF(AND($AG1038&lt;&gt;"",$AI1038="",$AL1038=""),"保留中",IF($AL1038&lt;&gt;"",IF(N($AE1038)&gt;0,"支給済","不支給"),IF($AE1038="","要確認",IF($AE1038=0,"不支給","未処理")))))</f>
        <v/>
      </c>
      <c r="AG1038" s="12" t="n"/>
      <c r="AH1038" s="11" t="n"/>
      <c r="AI1038" s="11" t="n"/>
      <c r="AJ1038" s="11" t="n"/>
      <c r="AK1038" s="14">
        <f>IF(AND($AF1038="保留中",$AH1038&lt;&gt;""),TODAY()-$AH1038,"")</f>
        <v/>
      </c>
      <c r="AL1038" s="12" t="n"/>
      <c r="AM1038" s="14">
        <f>IF($B1038="","",IF($AQ1038="","対象年月が未入力／","")&amp;IF($B1038="","",IF($AP1038="","職員マスタに未登録の職員番号／",IF($AA1038="","標準報酬月額が未登録／","")&amp;IF(AND($AQ1038&lt;&gt;"",OR(AND(INDEX(職員マスタ!$G$6:$G$405,$AP1038)&lt;&gt;"",INDEX(職員マスタ!$G$6:$G$405,$AP1038)&gt;EOMONTH($AQ1038,0)),AND(INDEX(職員マスタ!$H$6:$H$405,$AP1038)&lt;&gt;"",INDEX(職員マスタ!$H$6:$H$405,$AP1038)&lt;$AQ1038))),"対象月が時短期間外／","")&amp;IF(AND(INDEX(職員マスタ!$K$6:$K$405,$AP1038)&lt;&gt;"",N($W1038)&gt;0,INDEX(職員マスタ!$K$6:$K$405,$AP1038)&lt;&gt;$W1038),"標準報酬月額が申請書と相違（台帳"&amp;TEXT(INDEX(職員マスタ!$K$6:$K$405,$AP1038),"#,##0")&amp;"円／申請書"&amp;TEXT($W1038,"#,##0")&amp;"円）／","")&amp;IF(AND(INDEX(職員マスタ!$F$6:$F$405,$AP1038)&lt;&gt;"",$AQ1038&lt;&gt;"",INDEX(職員マスタ!$F$6:$F$405,$AP1038)&lt;$AQ1038),"対象月に子が2歳到達済／","")&amp;IF(AND($H1038&lt;&gt;"",INDEX(職員マスタ!$B$6:$B$405,$AP1038)&lt;&gt;"",SUBSTITUTE(SUBSTITUTE($H1038," ","")," ","")&lt;&gt;SUBSTITUTE(SUBSTITUTE(INDEX(職員マスタ!$B$6:$B$405,$AP1038)," ","")," ","")),"氏名がマスタと相違／","")&amp;IF(AND($Q1038&lt;&gt;"",INDEX(職員マスタ!$E$6:$E$405,$AP1038)&lt;&gt;"",$Q1038&lt;&gt;INDEX(職員マスタ!$E$6:$E$405,$AP1038)),"子の生年月日がマスタと相違／","")&amp;IF(AND($L1038&lt;&gt;"",INDEX(職員マスタ!$G$6:$G$405,$AP1038)&lt;&gt;"",$L1038&lt;&gt;INDEX(職員マスタ!$G$6:$G$405,$AP1038)),"時短開始日がマスタと相違／","")&amp;IF(AND($M1038&lt;&gt;"",INDEX(職員マスタ!$H$6:$H$405,$AP1038)&lt;&gt;"",$M1038&lt;&gt;INDEX(職員マスタ!$H$6:$H$405,$AP1038)),"時短終了日がマスタと相違／","")))&amp;IF(AND($B1038&lt;&gt;"",$E1038=""),"報酬額が未入力／","")&amp;IF(N($U1038)&gt;0,"申請書に入力エラーが残っています／","")&amp;IF(AND($B1038&lt;&gt;"",$AQ1038&lt;&gt;""),IF(COUNTIFS($B$6:$B$3005,$B1038,$C$6:$C$3005,$C1038,$D$6:$D$3005,$D1038)&gt;1,"同じ月の請求が重複しています／",""),"")&amp;IF(AND(N($E1038)&gt;0,$AB1038&lt;&gt;"",$AB1038&lt;&gt;"×",$AE1038=0,$AD1038=""),"計算額が下限以下のため不支給／",""))</f>
        <v/>
      </c>
      <c r="AN1038" s="12" t="n"/>
      <c r="AO1038" s="14">
        <f>IF($AF1038="保留中",COUNTIF($AF$6:$AF1038,"保留中"),"")</f>
        <v/>
      </c>
      <c r="AP1038" s="14">
        <f>IF($AQ1038="","",IF(SUMPRODUCT(MAX((職員マスタ!$A$6:$A$405=$B1038)*(((職員マスタ!$G$6:$G$405="")+(職員マスタ!$G$6:$G$405&lt;=EOMONTH($AQ1038,0)))&gt;0)*(((職員マスタ!$H$6:$H$405="")+(職員マスタ!$H$6:$H$405&gt;=$AQ1038))&gt;0)*(ROW(職員マスタ!$A$6:$A$405)-5)))&gt;0,SUMPRODUCT(MAX((職員マスタ!$A$6:$A$405=$B1038)*(((職員マスタ!$G$6:$G$405="")+(職員マスタ!$G$6:$G$405&lt;=EOMONTH($AQ1038,0)))&gt;0)*(((職員マスタ!$H$6:$H$405="")+(職員マスタ!$H$6:$H$405&gt;=$AQ1038))&gt;0)*(ROW(職員マスタ!$A$6:$A$405)-5))),IFERROR(MATCH($B1038,職員マスタ!$A$6:$A$405,0),"")))</f>
        <v/>
      </c>
      <c r="AQ1038" s="16">
        <f>IF(OR($B1038="",$C1038="",$D1038=""),"",DATE($C1038+2018,$D1038,1))</f>
        <v/>
      </c>
    </row>
    <row r="1039">
      <c r="A1039" s="11" t="n"/>
      <c r="B1039" s="12" t="n"/>
      <c r="C1039" s="12" t="n"/>
      <c r="D1039" s="12" t="n"/>
      <c r="E1039" s="13" t="n"/>
      <c r="F1039" s="12" t="n"/>
      <c r="G1039" s="13" t="n"/>
      <c r="H1039" s="12" t="n"/>
      <c r="I1039" s="12" t="n"/>
      <c r="J1039" s="12" t="n"/>
      <c r="K1039" s="12" t="n"/>
      <c r="L1039" s="11" t="n"/>
      <c r="M1039" s="11" t="n"/>
      <c r="N1039" s="11" t="n"/>
      <c r="O1039" s="11" t="n"/>
      <c r="P1039" s="12" t="n"/>
      <c r="Q1039" s="11" t="n"/>
      <c r="R1039" s="12" t="n"/>
      <c r="S1039" s="11" t="n"/>
      <c r="T1039" s="12" t="n"/>
      <c r="U1039" s="12" t="n"/>
      <c r="V1039" s="12" t="n"/>
      <c r="W1039" s="13" t="n"/>
      <c r="X1039" s="14">
        <f>IF($AP1039="",IF($B1039="","",$H1039),IF(INDEX(職員マスタ!$B$6:$B$405,$AP1039)="",$H1039,INDEX(職員マスタ!$B$6:$B$405,$AP1039)))</f>
        <v/>
      </c>
      <c r="Y1039" s="14">
        <f>IF($AP1039="",IF($B1039="","",$R1039),IF(INDEX(職員マスタ!$C$6:$C$405,$AP1039)="",$R1039,INDEX(職員マスタ!$C$6:$C$405,$AP1039)))</f>
        <v/>
      </c>
      <c r="Z1039" s="14">
        <f>IF($AQ1039="","","R"&amp;$C1039&amp;"."&amp;$D1039)</f>
        <v/>
      </c>
      <c r="AA1039" s="15">
        <f>IF(IF($AP1039="",FALSE,INDEX(職員マスタ!$K$6:$K$405,$AP1039)&lt;&gt;""),INDEX(職員マスタ!$K$6:$K$405,$AP1039),IF(N($W1039)&gt;0,$W1039,""))</f>
        <v/>
      </c>
      <c r="AB1039" s="14">
        <f>IF(OR($E1039="",$AA1039=""),"",IF($E1039&gt;=$AA1039,"×",IF($E1039&gt;=$AA1039*設定!$C$5,"△","○")))</f>
        <v/>
      </c>
      <c r="AC1039" s="15">
        <f>IF($AB1039="","",IF($AB1039="×",0,IF($AB1039="○",ROUNDDOWN($E1039*設定!$C$4,0),ROUNDDOWN($E1039*ROUND((9*$AA1039-9*$E1039)/(10*$E1039),4),0))))</f>
        <v/>
      </c>
      <c r="AD1039" s="13" t="n"/>
      <c r="AE1039" s="15">
        <f>IF($B1039="","",IF($AD1039&lt;&gt;"",$AD1039,IF($AC1039="","",IF($AC1039&lt;=設定!$C$3,0,$AC1039))))</f>
        <v/>
      </c>
      <c r="AF1039" s="14">
        <f>IF($B1039="","",IF(AND($AG1039&lt;&gt;"",$AI1039="",$AL1039=""),"保留中",IF($AL1039&lt;&gt;"",IF(N($AE1039)&gt;0,"支給済","不支給"),IF($AE1039="","要確認",IF($AE1039=0,"不支給","未処理")))))</f>
        <v/>
      </c>
      <c r="AG1039" s="12" t="n"/>
      <c r="AH1039" s="11" t="n"/>
      <c r="AI1039" s="11" t="n"/>
      <c r="AJ1039" s="11" t="n"/>
      <c r="AK1039" s="14">
        <f>IF(AND($AF1039="保留中",$AH1039&lt;&gt;""),TODAY()-$AH1039,"")</f>
        <v/>
      </c>
      <c r="AL1039" s="12" t="n"/>
      <c r="AM1039" s="14">
        <f>IF($B1039="","",IF($AQ1039="","対象年月が未入力／","")&amp;IF($B1039="","",IF($AP1039="","職員マスタに未登録の職員番号／",IF($AA1039="","標準報酬月額が未登録／","")&amp;IF(AND($AQ1039&lt;&gt;"",OR(AND(INDEX(職員マスタ!$G$6:$G$405,$AP1039)&lt;&gt;"",INDEX(職員マスタ!$G$6:$G$405,$AP1039)&gt;EOMONTH($AQ1039,0)),AND(INDEX(職員マスタ!$H$6:$H$405,$AP1039)&lt;&gt;"",INDEX(職員マスタ!$H$6:$H$405,$AP1039)&lt;$AQ1039))),"対象月が時短期間外／","")&amp;IF(AND(INDEX(職員マスタ!$K$6:$K$405,$AP1039)&lt;&gt;"",N($W1039)&gt;0,INDEX(職員マスタ!$K$6:$K$405,$AP1039)&lt;&gt;$W1039),"標準報酬月額が申請書と相違（台帳"&amp;TEXT(INDEX(職員マスタ!$K$6:$K$405,$AP1039),"#,##0")&amp;"円／申請書"&amp;TEXT($W1039,"#,##0")&amp;"円）／","")&amp;IF(AND(INDEX(職員マスタ!$F$6:$F$405,$AP1039)&lt;&gt;"",$AQ1039&lt;&gt;"",INDEX(職員マスタ!$F$6:$F$405,$AP1039)&lt;$AQ1039),"対象月に子が2歳到達済／","")&amp;IF(AND($H1039&lt;&gt;"",INDEX(職員マスタ!$B$6:$B$405,$AP1039)&lt;&gt;"",SUBSTITUTE(SUBSTITUTE($H1039," ","")," ","")&lt;&gt;SUBSTITUTE(SUBSTITUTE(INDEX(職員マスタ!$B$6:$B$405,$AP1039)," ","")," ","")),"氏名がマスタと相違／","")&amp;IF(AND($Q1039&lt;&gt;"",INDEX(職員マスタ!$E$6:$E$405,$AP1039)&lt;&gt;"",$Q1039&lt;&gt;INDEX(職員マスタ!$E$6:$E$405,$AP1039)),"子の生年月日がマスタと相違／","")&amp;IF(AND($L1039&lt;&gt;"",INDEX(職員マスタ!$G$6:$G$405,$AP1039)&lt;&gt;"",$L1039&lt;&gt;INDEX(職員マスタ!$G$6:$G$405,$AP1039)),"時短開始日がマスタと相違／","")&amp;IF(AND($M1039&lt;&gt;"",INDEX(職員マスタ!$H$6:$H$405,$AP1039)&lt;&gt;"",$M1039&lt;&gt;INDEX(職員マスタ!$H$6:$H$405,$AP1039)),"時短終了日がマスタと相違／","")))&amp;IF(AND($B1039&lt;&gt;"",$E1039=""),"報酬額が未入力／","")&amp;IF(N($U1039)&gt;0,"申請書に入力エラーが残っています／","")&amp;IF(AND($B1039&lt;&gt;"",$AQ1039&lt;&gt;""),IF(COUNTIFS($B$6:$B$3005,$B1039,$C$6:$C$3005,$C1039,$D$6:$D$3005,$D1039)&gt;1,"同じ月の請求が重複しています／",""),"")&amp;IF(AND(N($E1039)&gt;0,$AB1039&lt;&gt;"",$AB1039&lt;&gt;"×",$AE1039=0,$AD1039=""),"計算額が下限以下のため不支給／",""))</f>
        <v/>
      </c>
      <c r="AN1039" s="12" t="n"/>
      <c r="AO1039" s="14">
        <f>IF($AF1039="保留中",COUNTIF($AF$6:$AF1039,"保留中"),"")</f>
        <v/>
      </c>
      <c r="AP1039" s="14">
        <f>IF($AQ1039="","",IF(SUMPRODUCT(MAX((職員マスタ!$A$6:$A$405=$B1039)*(((職員マスタ!$G$6:$G$405="")+(職員マスタ!$G$6:$G$405&lt;=EOMONTH($AQ1039,0)))&gt;0)*(((職員マスタ!$H$6:$H$405="")+(職員マスタ!$H$6:$H$405&gt;=$AQ1039))&gt;0)*(ROW(職員マスタ!$A$6:$A$405)-5)))&gt;0,SUMPRODUCT(MAX((職員マスタ!$A$6:$A$405=$B1039)*(((職員マスタ!$G$6:$G$405="")+(職員マスタ!$G$6:$G$405&lt;=EOMONTH($AQ1039,0)))&gt;0)*(((職員マスタ!$H$6:$H$405="")+(職員マスタ!$H$6:$H$405&gt;=$AQ1039))&gt;0)*(ROW(職員マスタ!$A$6:$A$405)-5))),IFERROR(MATCH($B1039,職員マスタ!$A$6:$A$405,0),"")))</f>
        <v/>
      </c>
      <c r="AQ1039" s="16">
        <f>IF(OR($B1039="",$C1039="",$D1039=""),"",DATE($C1039+2018,$D1039,1))</f>
        <v/>
      </c>
    </row>
    <row r="1040">
      <c r="A1040" s="11" t="n"/>
      <c r="B1040" s="12" t="n"/>
      <c r="C1040" s="12" t="n"/>
      <c r="D1040" s="12" t="n"/>
      <c r="E1040" s="13" t="n"/>
      <c r="F1040" s="12" t="n"/>
      <c r="G1040" s="13" t="n"/>
      <c r="H1040" s="12" t="n"/>
      <c r="I1040" s="12" t="n"/>
      <c r="J1040" s="12" t="n"/>
      <c r="K1040" s="12" t="n"/>
      <c r="L1040" s="11" t="n"/>
      <c r="M1040" s="11" t="n"/>
      <c r="N1040" s="11" t="n"/>
      <c r="O1040" s="11" t="n"/>
      <c r="P1040" s="12" t="n"/>
      <c r="Q1040" s="11" t="n"/>
      <c r="R1040" s="12" t="n"/>
      <c r="S1040" s="11" t="n"/>
      <c r="T1040" s="12" t="n"/>
      <c r="U1040" s="12" t="n"/>
      <c r="V1040" s="12" t="n"/>
      <c r="W1040" s="13" t="n"/>
      <c r="X1040" s="14">
        <f>IF($AP1040="",IF($B1040="","",$H1040),IF(INDEX(職員マスタ!$B$6:$B$405,$AP1040)="",$H1040,INDEX(職員マスタ!$B$6:$B$405,$AP1040)))</f>
        <v/>
      </c>
      <c r="Y1040" s="14">
        <f>IF($AP1040="",IF($B1040="","",$R1040),IF(INDEX(職員マスタ!$C$6:$C$405,$AP1040)="",$R1040,INDEX(職員マスタ!$C$6:$C$405,$AP1040)))</f>
        <v/>
      </c>
      <c r="Z1040" s="14">
        <f>IF($AQ1040="","","R"&amp;$C1040&amp;"."&amp;$D1040)</f>
        <v/>
      </c>
      <c r="AA1040" s="15">
        <f>IF(IF($AP1040="",FALSE,INDEX(職員マスタ!$K$6:$K$405,$AP1040)&lt;&gt;""),INDEX(職員マスタ!$K$6:$K$405,$AP1040),IF(N($W1040)&gt;0,$W1040,""))</f>
        <v/>
      </c>
      <c r="AB1040" s="14">
        <f>IF(OR($E1040="",$AA1040=""),"",IF($E1040&gt;=$AA1040,"×",IF($E1040&gt;=$AA1040*設定!$C$5,"△","○")))</f>
        <v/>
      </c>
      <c r="AC1040" s="15">
        <f>IF($AB1040="","",IF($AB1040="×",0,IF($AB1040="○",ROUNDDOWN($E1040*設定!$C$4,0),ROUNDDOWN($E1040*ROUND((9*$AA1040-9*$E1040)/(10*$E1040),4),0))))</f>
        <v/>
      </c>
      <c r="AD1040" s="13" t="n"/>
      <c r="AE1040" s="15">
        <f>IF($B1040="","",IF($AD1040&lt;&gt;"",$AD1040,IF($AC1040="","",IF($AC1040&lt;=設定!$C$3,0,$AC1040))))</f>
        <v/>
      </c>
      <c r="AF1040" s="14">
        <f>IF($B1040="","",IF(AND($AG1040&lt;&gt;"",$AI1040="",$AL1040=""),"保留中",IF($AL1040&lt;&gt;"",IF(N($AE1040)&gt;0,"支給済","不支給"),IF($AE1040="","要確認",IF($AE1040=0,"不支給","未処理")))))</f>
        <v/>
      </c>
      <c r="AG1040" s="12" t="n"/>
      <c r="AH1040" s="11" t="n"/>
      <c r="AI1040" s="11" t="n"/>
      <c r="AJ1040" s="11" t="n"/>
      <c r="AK1040" s="14">
        <f>IF(AND($AF1040="保留中",$AH1040&lt;&gt;""),TODAY()-$AH1040,"")</f>
        <v/>
      </c>
      <c r="AL1040" s="12" t="n"/>
      <c r="AM1040" s="14">
        <f>IF($B1040="","",IF($AQ1040="","対象年月が未入力／","")&amp;IF($B1040="","",IF($AP1040="","職員マスタに未登録の職員番号／",IF($AA1040="","標準報酬月額が未登録／","")&amp;IF(AND($AQ1040&lt;&gt;"",OR(AND(INDEX(職員マスタ!$G$6:$G$405,$AP1040)&lt;&gt;"",INDEX(職員マスタ!$G$6:$G$405,$AP1040)&gt;EOMONTH($AQ1040,0)),AND(INDEX(職員マスタ!$H$6:$H$405,$AP1040)&lt;&gt;"",INDEX(職員マスタ!$H$6:$H$405,$AP1040)&lt;$AQ1040))),"対象月が時短期間外／","")&amp;IF(AND(INDEX(職員マスタ!$K$6:$K$405,$AP1040)&lt;&gt;"",N($W1040)&gt;0,INDEX(職員マスタ!$K$6:$K$405,$AP1040)&lt;&gt;$W1040),"標準報酬月額が申請書と相違（台帳"&amp;TEXT(INDEX(職員マスタ!$K$6:$K$405,$AP1040),"#,##0")&amp;"円／申請書"&amp;TEXT($W1040,"#,##0")&amp;"円）／","")&amp;IF(AND(INDEX(職員マスタ!$F$6:$F$405,$AP1040)&lt;&gt;"",$AQ1040&lt;&gt;"",INDEX(職員マスタ!$F$6:$F$405,$AP1040)&lt;$AQ1040),"対象月に子が2歳到達済／","")&amp;IF(AND($H1040&lt;&gt;"",INDEX(職員マスタ!$B$6:$B$405,$AP1040)&lt;&gt;"",SUBSTITUTE(SUBSTITUTE($H1040," ","")," ","")&lt;&gt;SUBSTITUTE(SUBSTITUTE(INDEX(職員マスタ!$B$6:$B$405,$AP1040)," ","")," ","")),"氏名がマスタと相違／","")&amp;IF(AND($Q1040&lt;&gt;"",INDEX(職員マスタ!$E$6:$E$405,$AP1040)&lt;&gt;"",$Q1040&lt;&gt;INDEX(職員マスタ!$E$6:$E$405,$AP1040)),"子の生年月日がマスタと相違／","")&amp;IF(AND($L1040&lt;&gt;"",INDEX(職員マスタ!$G$6:$G$405,$AP1040)&lt;&gt;"",$L1040&lt;&gt;INDEX(職員マスタ!$G$6:$G$405,$AP1040)),"時短開始日がマスタと相違／","")&amp;IF(AND($M1040&lt;&gt;"",INDEX(職員マスタ!$H$6:$H$405,$AP1040)&lt;&gt;"",$M1040&lt;&gt;INDEX(職員マスタ!$H$6:$H$405,$AP1040)),"時短終了日がマスタと相違／","")))&amp;IF(AND($B1040&lt;&gt;"",$E1040=""),"報酬額が未入力／","")&amp;IF(N($U1040)&gt;0,"申請書に入力エラーが残っています／","")&amp;IF(AND($B1040&lt;&gt;"",$AQ1040&lt;&gt;""),IF(COUNTIFS($B$6:$B$3005,$B1040,$C$6:$C$3005,$C1040,$D$6:$D$3005,$D1040)&gt;1,"同じ月の請求が重複しています／",""),"")&amp;IF(AND(N($E1040)&gt;0,$AB1040&lt;&gt;"",$AB1040&lt;&gt;"×",$AE1040=0,$AD1040=""),"計算額が下限以下のため不支給／",""))</f>
        <v/>
      </c>
      <c r="AN1040" s="12" t="n"/>
      <c r="AO1040" s="14">
        <f>IF($AF1040="保留中",COUNTIF($AF$6:$AF1040,"保留中"),"")</f>
        <v/>
      </c>
      <c r="AP1040" s="14">
        <f>IF($AQ1040="","",IF(SUMPRODUCT(MAX((職員マスタ!$A$6:$A$405=$B1040)*(((職員マスタ!$G$6:$G$405="")+(職員マスタ!$G$6:$G$405&lt;=EOMONTH($AQ1040,0)))&gt;0)*(((職員マスタ!$H$6:$H$405="")+(職員マスタ!$H$6:$H$405&gt;=$AQ1040))&gt;0)*(ROW(職員マスタ!$A$6:$A$405)-5)))&gt;0,SUMPRODUCT(MAX((職員マスタ!$A$6:$A$405=$B1040)*(((職員マスタ!$G$6:$G$405="")+(職員マスタ!$G$6:$G$405&lt;=EOMONTH($AQ1040,0)))&gt;0)*(((職員マスタ!$H$6:$H$405="")+(職員マスタ!$H$6:$H$405&gt;=$AQ1040))&gt;0)*(ROW(職員マスタ!$A$6:$A$405)-5))),IFERROR(MATCH($B1040,職員マスタ!$A$6:$A$405,0),"")))</f>
        <v/>
      </c>
      <c r="AQ1040" s="16">
        <f>IF(OR($B1040="",$C1040="",$D1040=""),"",DATE($C1040+2018,$D1040,1))</f>
        <v/>
      </c>
    </row>
    <row r="1041">
      <c r="A1041" s="11" t="n"/>
      <c r="B1041" s="12" t="n"/>
      <c r="C1041" s="12" t="n"/>
      <c r="D1041" s="12" t="n"/>
      <c r="E1041" s="13" t="n"/>
      <c r="F1041" s="12" t="n"/>
      <c r="G1041" s="13" t="n"/>
      <c r="H1041" s="12" t="n"/>
      <c r="I1041" s="12" t="n"/>
      <c r="J1041" s="12" t="n"/>
      <c r="K1041" s="12" t="n"/>
      <c r="L1041" s="11" t="n"/>
      <c r="M1041" s="11" t="n"/>
      <c r="N1041" s="11" t="n"/>
      <c r="O1041" s="11" t="n"/>
      <c r="P1041" s="12" t="n"/>
      <c r="Q1041" s="11" t="n"/>
      <c r="R1041" s="12" t="n"/>
      <c r="S1041" s="11" t="n"/>
      <c r="T1041" s="12" t="n"/>
      <c r="U1041" s="12" t="n"/>
      <c r="V1041" s="12" t="n"/>
      <c r="W1041" s="13" t="n"/>
      <c r="X1041" s="14">
        <f>IF($AP1041="",IF($B1041="","",$H1041),IF(INDEX(職員マスタ!$B$6:$B$405,$AP1041)="",$H1041,INDEX(職員マスタ!$B$6:$B$405,$AP1041)))</f>
        <v/>
      </c>
      <c r="Y1041" s="14">
        <f>IF($AP1041="",IF($B1041="","",$R1041),IF(INDEX(職員マスタ!$C$6:$C$405,$AP1041)="",$R1041,INDEX(職員マスタ!$C$6:$C$405,$AP1041)))</f>
        <v/>
      </c>
      <c r="Z1041" s="14">
        <f>IF($AQ1041="","","R"&amp;$C1041&amp;"."&amp;$D1041)</f>
        <v/>
      </c>
      <c r="AA1041" s="15">
        <f>IF(IF($AP1041="",FALSE,INDEX(職員マスタ!$K$6:$K$405,$AP1041)&lt;&gt;""),INDEX(職員マスタ!$K$6:$K$405,$AP1041),IF(N($W1041)&gt;0,$W1041,""))</f>
        <v/>
      </c>
      <c r="AB1041" s="14">
        <f>IF(OR($E1041="",$AA1041=""),"",IF($E1041&gt;=$AA1041,"×",IF($E1041&gt;=$AA1041*設定!$C$5,"△","○")))</f>
        <v/>
      </c>
      <c r="AC1041" s="15">
        <f>IF($AB1041="","",IF($AB1041="×",0,IF($AB1041="○",ROUNDDOWN($E1041*設定!$C$4,0),ROUNDDOWN($E1041*ROUND((9*$AA1041-9*$E1041)/(10*$E1041),4),0))))</f>
        <v/>
      </c>
      <c r="AD1041" s="13" t="n"/>
      <c r="AE1041" s="15">
        <f>IF($B1041="","",IF($AD1041&lt;&gt;"",$AD1041,IF($AC1041="","",IF($AC1041&lt;=設定!$C$3,0,$AC1041))))</f>
        <v/>
      </c>
      <c r="AF1041" s="14">
        <f>IF($B1041="","",IF(AND($AG1041&lt;&gt;"",$AI1041="",$AL1041=""),"保留中",IF($AL1041&lt;&gt;"",IF(N($AE1041)&gt;0,"支給済","不支給"),IF($AE1041="","要確認",IF($AE1041=0,"不支給","未処理")))))</f>
        <v/>
      </c>
      <c r="AG1041" s="12" t="n"/>
      <c r="AH1041" s="11" t="n"/>
      <c r="AI1041" s="11" t="n"/>
      <c r="AJ1041" s="11" t="n"/>
      <c r="AK1041" s="14">
        <f>IF(AND($AF1041="保留中",$AH1041&lt;&gt;""),TODAY()-$AH1041,"")</f>
        <v/>
      </c>
      <c r="AL1041" s="12" t="n"/>
      <c r="AM1041" s="14">
        <f>IF($B1041="","",IF($AQ1041="","対象年月が未入力／","")&amp;IF($B1041="","",IF($AP1041="","職員マスタに未登録の職員番号／",IF($AA1041="","標準報酬月額が未登録／","")&amp;IF(AND($AQ1041&lt;&gt;"",OR(AND(INDEX(職員マスタ!$G$6:$G$405,$AP1041)&lt;&gt;"",INDEX(職員マスタ!$G$6:$G$405,$AP1041)&gt;EOMONTH($AQ1041,0)),AND(INDEX(職員マスタ!$H$6:$H$405,$AP1041)&lt;&gt;"",INDEX(職員マスタ!$H$6:$H$405,$AP1041)&lt;$AQ1041))),"対象月が時短期間外／","")&amp;IF(AND(INDEX(職員マスタ!$K$6:$K$405,$AP1041)&lt;&gt;"",N($W1041)&gt;0,INDEX(職員マスタ!$K$6:$K$405,$AP1041)&lt;&gt;$W1041),"標準報酬月額が申請書と相違（台帳"&amp;TEXT(INDEX(職員マスタ!$K$6:$K$405,$AP1041),"#,##0")&amp;"円／申請書"&amp;TEXT($W1041,"#,##0")&amp;"円）／","")&amp;IF(AND(INDEX(職員マスタ!$F$6:$F$405,$AP1041)&lt;&gt;"",$AQ1041&lt;&gt;"",INDEX(職員マスタ!$F$6:$F$405,$AP1041)&lt;$AQ1041),"対象月に子が2歳到達済／","")&amp;IF(AND($H1041&lt;&gt;"",INDEX(職員マスタ!$B$6:$B$405,$AP1041)&lt;&gt;"",SUBSTITUTE(SUBSTITUTE($H1041," ","")," ","")&lt;&gt;SUBSTITUTE(SUBSTITUTE(INDEX(職員マスタ!$B$6:$B$405,$AP1041)," ","")," ","")),"氏名がマスタと相違／","")&amp;IF(AND($Q1041&lt;&gt;"",INDEX(職員マスタ!$E$6:$E$405,$AP1041)&lt;&gt;"",$Q1041&lt;&gt;INDEX(職員マスタ!$E$6:$E$405,$AP1041)),"子の生年月日がマスタと相違／","")&amp;IF(AND($L1041&lt;&gt;"",INDEX(職員マスタ!$G$6:$G$405,$AP1041)&lt;&gt;"",$L1041&lt;&gt;INDEX(職員マスタ!$G$6:$G$405,$AP1041)),"時短開始日がマスタと相違／","")&amp;IF(AND($M1041&lt;&gt;"",INDEX(職員マスタ!$H$6:$H$405,$AP1041)&lt;&gt;"",$M1041&lt;&gt;INDEX(職員マスタ!$H$6:$H$405,$AP1041)),"時短終了日がマスタと相違／","")))&amp;IF(AND($B1041&lt;&gt;"",$E1041=""),"報酬額が未入力／","")&amp;IF(N($U1041)&gt;0,"申請書に入力エラーが残っています／","")&amp;IF(AND($B1041&lt;&gt;"",$AQ1041&lt;&gt;""),IF(COUNTIFS($B$6:$B$3005,$B1041,$C$6:$C$3005,$C1041,$D$6:$D$3005,$D1041)&gt;1,"同じ月の請求が重複しています／",""),"")&amp;IF(AND(N($E1041)&gt;0,$AB1041&lt;&gt;"",$AB1041&lt;&gt;"×",$AE1041=0,$AD1041=""),"計算額が下限以下のため不支給／",""))</f>
        <v/>
      </c>
      <c r="AN1041" s="12" t="n"/>
      <c r="AO1041" s="14">
        <f>IF($AF1041="保留中",COUNTIF($AF$6:$AF1041,"保留中"),"")</f>
        <v/>
      </c>
      <c r="AP1041" s="14">
        <f>IF($AQ1041="","",IF(SUMPRODUCT(MAX((職員マスタ!$A$6:$A$405=$B1041)*(((職員マスタ!$G$6:$G$405="")+(職員マスタ!$G$6:$G$405&lt;=EOMONTH($AQ1041,0)))&gt;0)*(((職員マスタ!$H$6:$H$405="")+(職員マスタ!$H$6:$H$405&gt;=$AQ1041))&gt;0)*(ROW(職員マスタ!$A$6:$A$405)-5)))&gt;0,SUMPRODUCT(MAX((職員マスタ!$A$6:$A$405=$B1041)*(((職員マスタ!$G$6:$G$405="")+(職員マスタ!$G$6:$G$405&lt;=EOMONTH($AQ1041,0)))&gt;0)*(((職員マスタ!$H$6:$H$405="")+(職員マスタ!$H$6:$H$405&gt;=$AQ1041))&gt;0)*(ROW(職員マスタ!$A$6:$A$405)-5))),IFERROR(MATCH($B1041,職員マスタ!$A$6:$A$405,0),"")))</f>
        <v/>
      </c>
      <c r="AQ1041" s="16">
        <f>IF(OR($B1041="",$C1041="",$D1041=""),"",DATE($C1041+2018,$D1041,1))</f>
        <v/>
      </c>
    </row>
    <row r="1042">
      <c r="A1042" s="11" t="n"/>
      <c r="B1042" s="12" t="n"/>
      <c r="C1042" s="12" t="n"/>
      <c r="D1042" s="12" t="n"/>
      <c r="E1042" s="13" t="n"/>
      <c r="F1042" s="12" t="n"/>
      <c r="G1042" s="13" t="n"/>
      <c r="H1042" s="12" t="n"/>
      <c r="I1042" s="12" t="n"/>
      <c r="J1042" s="12" t="n"/>
      <c r="K1042" s="12" t="n"/>
      <c r="L1042" s="11" t="n"/>
      <c r="M1042" s="11" t="n"/>
      <c r="N1042" s="11" t="n"/>
      <c r="O1042" s="11" t="n"/>
      <c r="P1042" s="12" t="n"/>
      <c r="Q1042" s="11" t="n"/>
      <c r="R1042" s="12" t="n"/>
      <c r="S1042" s="11" t="n"/>
      <c r="T1042" s="12" t="n"/>
      <c r="U1042" s="12" t="n"/>
      <c r="V1042" s="12" t="n"/>
      <c r="W1042" s="13" t="n"/>
      <c r="X1042" s="14">
        <f>IF($AP1042="",IF($B1042="","",$H1042),IF(INDEX(職員マスタ!$B$6:$B$405,$AP1042)="",$H1042,INDEX(職員マスタ!$B$6:$B$405,$AP1042)))</f>
        <v/>
      </c>
      <c r="Y1042" s="14">
        <f>IF($AP1042="",IF($B1042="","",$R1042),IF(INDEX(職員マスタ!$C$6:$C$405,$AP1042)="",$R1042,INDEX(職員マスタ!$C$6:$C$405,$AP1042)))</f>
        <v/>
      </c>
      <c r="Z1042" s="14">
        <f>IF($AQ1042="","","R"&amp;$C1042&amp;"."&amp;$D1042)</f>
        <v/>
      </c>
      <c r="AA1042" s="15">
        <f>IF(IF($AP1042="",FALSE,INDEX(職員マスタ!$K$6:$K$405,$AP1042)&lt;&gt;""),INDEX(職員マスタ!$K$6:$K$405,$AP1042),IF(N($W1042)&gt;0,$W1042,""))</f>
        <v/>
      </c>
      <c r="AB1042" s="14">
        <f>IF(OR($E1042="",$AA1042=""),"",IF($E1042&gt;=$AA1042,"×",IF($E1042&gt;=$AA1042*設定!$C$5,"△","○")))</f>
        <v/>
      </c>
      <c r="AC1042" s="15">
        <f>IF($AB1042="","",IF($AB1042="×",0,IF($AB1042="○",ROUNDDOWN($E1042*設定!$C$4,0),ROUNDDOWN($E1042*ROUND((9*$AA1042-9*$E1042)/(10*$E1042),4),0))))</f>
        <v/>
      </c>
      <c r="AD1042" s="13" t="n"/>
      <c r="AE1042" s="15">
        <f>IF($B1042="","",IF($AD1042&lt;&gt;"",$AD1042,IF($AC1042="","",IF($AC1042&lt;=設定!$C$3,0,$AC1042))))</f>
        <v/>
      </c>
      <c r="AF1042" s="14">
        <f>IF($B1042="","",IF(AND($AG1042&lt;&gt;"",$AI1042="",$AL1042=""),"保留中",IF($AL1042&lt;&gt;"",IF(N($AE1042)&gt;0,"支給済","不支給"),IF($AE1042="","要確認",IF($AE1042=0,"不支給","未処理")))))</f>
        <v/>
      </c>
      <c r="AG1042" s="12" t="n"/>
      <c r="AH1042" s="11" t="n"/>
      <c r="AI1042" s="11" t="n"/>
      <c r="AJ1042" s="11" t="n"/>
      <c r="AK1042" s="14">
        <f>IF(AND($AF1042="保留中",$AH1042&lt;&gt;""),TODAY()-$AH1042,"")</f>
        <v/>
      </c>
      <c r="AL1042" s="12" t="n"/>
      <c r="AM1042" s="14">
        <f>IF($B1042="","",IF($AQ1042="","対象年月が未入力／","")&amp;IF($B1042="","",IF($AP1042="","職員マスタに未登録の職員番号／",IF($AA1042="","標準報酬月額が未登録／","")&amp;IF(AND($AQ1042&lt;&gt;"",OR(AND(INDEX(職員マスタ!$G$6:$G$405,$AP1042)&lt;&gt;"",INDEX(職員マスタ!$G$6:$G$405,$AP1042)&gt;EOMONTH($AQ1042,0)),AND(INDEX(職員マスタ!$H$6:$H$405,$AP1042)&lt;&gt;"",INDEX(職員マスタ!$H$6:$H$405,$AP1042)&lt;$AQ1042))),"対象月が時短期間外／","")&amp;IF(AND(INDEX(職員マスタ!$K$6:$K$405,$AP1042)&lt;&gt;"",N($W1042)&gt;0,INDEX(職員マスタ!$K$6:$K$405,$AP1042)&lt;&gt;$W1042),"標準報酬月額が申請書と相違（台帳"&amp;TEXT(INDEX(職員マスタ!$K$6:$K$405,$AP1042),"#,##0")&amp;"円／申請書"&amp;TEXT($W1042,"#,##0")&amp;"円）／","")&amp;IF(AND(INDEX(職員マスタ!$F$6:$F$405,$AP1042)&lt;&gt;"",$AQ1042&lt;&gt;"",INDEX(職員マスタ!$F$6:$F$405,$AP1042)&lt;$AQ1042),"対象月に子が2歳到達済／","")&amp;IF(AND($H1042&lt;&gt;"",INDEX(職員マスタ!$B$6:$B$405,$AP1042)&lt;&gt;"",SUBSTITUTE(SUBSTITUTE($H1042," ","")," ","")&lt;&gt;SUBSTITUTE(SUBSTITUTE(INDEX(職員マスタ!$B$6:$B$405,$AP1042)," ","")," ","")),"氏名がマスタと相違／","")&amp;IF(AND($Q1042&lt;&gt;"",INDEX(職員マスタ!$E$6:$E$405,$AP1042)&lt;&gt;"",$Q1042&lt;&gt;INDEX(職員マスタ!$E$6:$E$405,$AP1042)),"子の生年月日がマスタと相違／","")&amp;IF(AND($L1042&lt;&gt;"",INDEX(職員マスタ!$G$6:$G$405,$AP1042)&lt;&gt;"",$L1042&lt;&gt;INDEX(職員マスタ!$G$6:$G$405,$AP1042)),"時短開始日がマスタと相違／","")&amp;IF(AND($M1042&lt;&gt;"",INDEX(職員マスタ!$H$6:$H$405,$AP1042)&lt;&gt;"",$M1042&lt;&gt;INDEX(職員マスタ!$H$6:$H$405,$AP1042)),"時短終了日がマスタと相違／","")))&amp;IF(AND($B1042&lt;&gt;"",$E1042=""),"報酬額が未入力／","")&amp;IF(N($U1042)&gt;0,"申請書に入力エラーが残っています／","")&amp;IF(AND($B1042&lt;&gt;"",$AQ1042&lt;&gt;""),IF(COUNTIFS($B$6:$B$3005,$B1042,$C$6:$C$3005,$C1042,$D$6:$D$3005,$D1042)&gt;1,"同じ月の請求が重複しています／",""),"")&amp;IF(AND(N($E1042)&gt;0,$AB1042&lt;&gt;"",$AB1042&lt;&gt;"×",$AE1042=0,$AD1042=""),"計算額が下限以下のため不支給／",""))</f>
        <v/>
      </c>
      <c r="AN1042" s="12" t="n"/>
      <c r="AO1042" s="14">
        <f>IF($AF1042="保留中",COUNTIF($AF$6:$AF1042,"保留中"),"")</f>
        <v/>
      </c>
      <c r="AP1042" s="14">
        <f>IF($AQ1042="","",IF(SUMPRODUCT(MAX((職員マスタ!$A$6:$A$405=$B1042)*(((職員マスタ!$G$6:$G$405="")+(職員マスタ!$G$6:$G$405&lt;=EOMONTH($AQ1042,0)))&gt;0)*(((職員マスタ!$H$6:$H$405="")+(職員マスタ!$H$6:$H$405&gt;=$AQ1042))&gt;0)*(ROW(職員マスタ!$A$6:$A$405)-5)))&gt;0,SUMPRODUCT(MAX((職員マスタ!$A$6:$A$405=$B1042)*(((職員マスタ!$G$6:$G$405="")+(職員マスタ!$G$6:$G$405&lt;=EOMONTH($AQ1042,0)))&gt;0)*(((職員マスタ!$H$6:$H$405="")+(職員マスタ!$H$6:$H$405&gt;=$AQ1042))&gt;0)*(ROW(職員マスタ!$A$6:$A$405)-5))),IFERROR(MATCH($B1042,職員マスタ!$A$6:$A$405,0),"")))</f>
        <v/>
      </c>
      <c r="AQ1042" s="16">
        <f>IF(OR($B1042="",$C1042="",$D1042=""),"",DATE($C1042+2018,$D1042,1))</f>
        <v/>
      </c>
    </row>
    <row r="1043">
      <c r="A1043" s="11" t="n"/>
      <c r="B1043" s="12" t="n"/>
      <c r="C1043" s="12" t="n"/>
      <c r="D1043" s="12" t="n"/>
      <c r="E1043" s="13" t="n"/>
      <c r="F1043" s="12" t="n"/>
      <c r="G1043" s="13" t="n"/>
      <c r="H1043" s="12" t="n"/>
      <c r="I1043" s="12" t="n"/>
      <c r="J1043" s="12" t="n"/>
      <c r="K1043" s="12" t="n"/>
      <c r="L1043" s="11" t="n"/>
      <c r="M1043" s="11" t="n"/>
      <c r="N1043" s="11" t="n"/>
      <c r="O1043" s="11" t="n"/>
      <c r="P1043" s="12" t="n"/>
      <c r="Q1043" s="11" t="n"/>
      <c r="R1043" s="12" t="n"/>
      <c r="S1043" s="11" t="n"/>
      <c r="T1043" s="12" t="n"/>
      <c r="U1043" s="12" t="n"/>
      <c r="V1043" s="12" t="n"/>
      <c r="W1043" s="13" t="n"/>
      <c r="X1043" s="14">
        <f>IF($AP1043="",IF($B1043="","",$H1043),IF(INDEX(職員マスタ!$B$6:$B$405,$AP1043)="",$H1043,INDEX(職員マスタ!$B$6:$B$405,$AP1043)))</f>
        <v/>
      </c>
      <c r="Y1043" s="14">
        <f>IF($AP1043="",IF($B1043="","",$R1043),IF(INDEX(職員マスタ!$C$6:$C$405,$AP1043)="",$R1043,INDEX(職員マスタ!$C$6:$C$405,$AP1043)))</f>
        <v/>
      </c>
      <c r="Z1043" s="14">
        <f>IF($AQ1043="","","R"&amp;$C1043&amp;"."&amp;$D1043)</f>
        <v/>
      </c>
      <c r="AA1043" s="15">
        <f>IF(IF($AP1043="",FALSE,INDEX(職員マスタ!$K$6:$K$405,$AP1043)&lt;&gt;""),INDEX(職員マスタ!$K$6:$K$405,$AP1043),IF(N($W1043)&gt;0,$W1043,""))</f>
        <v/>
      </c>
      <c r="AB1043" s="14">
        <f>IF(OR($E1043="",$AA1043=""),"",IF($E1043&gt;=$AA1043,"×",IF($E1043&gt;=$AA1043*設定!$C$5,"△","○")))</f>
        <v/>
      </c>
      <c r="AC1043" s="15">
        <f>IF($AB1043="","",IF($AB1043="×",0,IF($AB1043="○",ROUNDDOWN($E1043*設定!$C$4,0),ROUNDDOWN($E1043*ROUND((9*$AA1043-9*$E1043)/(10*$E1043),4),0))))</f>
        <v/>
      </c>
      <c r="AD1043" s="13" t="n"/>
      <c r="AE1043" s="15">
        <f>IF($B1043="","",IF($AD1043&lt;&gt;"",$AD1043,IF($AC1043="","",IF($AC1043&lt;=設定!$C$3,0,$AC1043))))</f>
        <v/>
      </c>
      <c r="AF1043" s="14">
        <f>IF($B1043="","",IF(AND($AG1043&lt;&gt;"",$AI1043="",$AL1043=""),"保留中",IF($AL1043&lt;&gt;"",IF(N($AE1043)&gt;0,"支給済","不支給"),IF($AE1043="","要確認",IF($AE1043=0,"不支給","未処理")))))</f>
        <v/>
      </c>
      <c r="AG1043" s="12" t="n"/>
      <c r="AH1043" s="11" t="n"/>
      <c r="AI1043" s="11" t="n"/>
      <c r="AJ1043" s="11" t="n"/>
      <c r="AK1043" s="14">
        <f>IF(AND($AF1043="保留中",$AH1043&lt;&gt;""),TODAY()-$AH1043,"")</f>
        <v/>
      </c>
      <c r="AL1043" s="12" t="n"/>
      <c r="AM1043" s="14">
        <f>IF($B1043="","",IF($AQ1043="","対象年月が未入力／","")&amp;IF($B1043="","",IF($AP1043="","職員マスタに未登録の職員番号／",IF($AA1043="","標準報酬月額が未登録／","")&amp;IF(AND($AQ1043&lt;&gt;"",OR(AND(INDEX(職員マスタ!$G$6:$G$405,$AP1043)&lt;&gt;"",INDEX(職員マスタ!$G$6:$G$405,$AP1043)&gt;EOMONTH($AQ1043,0)),AND(INDEX(職員マスタ!$H$6:$H$405,$AP1043)&lt;&gt;"",INDEX(職員マスタ!$H$6:$H$405,$AP1043)&lt;$AQ1043))),"対象月が時短期間外／","")&amp;IF(AND(INDEX(職員マスタ!$K$6:$K$405,$AP1043)&lt;&gt;"",N($W1043)&gt;0,INDEX(職員マスタ!$K$6:$K$405,$AP1043)&lt;&gt;$W1043),"標準報酬月額が申請書と相違（台帳"&amp;TEXT(INDEX(職員マスタ!$K$6:$K$405,$AP1043),"#,##0")&amp;"円／申請書"&amp;TEXT($W1043,"#,##0")&amp;"円）／","")&amp;IF(AND(INDEX(職員マスタ!$F$6:$F$405,$AP1043)&lt;&gt;"",$AQ1043&lt;&gt;"",INDEX(職員マスタ!$F$6:$F$405,$AP1043)&lt;$AQ1043),"対象月に子が2歳到達済／","")&amp;IF(AND($H1043&lt;&gt;"",INDEX(職員マスタ!$B$6:$B$405,$AP1043)&lt;&gt;"",SUBSTITUTE(SUBSTITUTE($H1043," ","")," ","")&lt;&gt;SUBSTITUTE(SUBSTITUTE(INDEX(職員マスタ!$B$6:$B$405,$AP1043)," ","")," ","")),"氏名がマスタと相違／","")&amp;IF(AND($Q1043&lt;&gt;"",INDEX(職員マスタ!$E$6:$E$405,$AP1043)&lt;&gt;"",$Q1043&lt;&gt;INDEX(職員マスタ!$E$6:$E$405,$AP1043)),"子の生年月日がマスタと相違／","")&amp;IF(AND($L1043&lt;&gt;"",INDEX(職員マスタ!$G$6:$G$405,$AP1043)&lt;&gt;"",$L1043&lt;&gt;INDEX(職員マスタ!$G$6:$G$405,$AP1043)),"時短開始日がマスタと相違／","")&amp;IF(AND($M1043&lt;&gt;"",INDEX(職員マスタ!$H$6:$H$405,$AP1043)&lt;&gt;"",$M1043&lt;&gt;INDEX(職員マスタ!$H$6:$H$405,$AP1043)),"時短終了日がマスタと相違／","")))&amp;IF(AND($B1043&lt;&gt;"",$E1043=""),"報酬額が未入力／","")&amp;IF(N($U1043)&gt;0,"申請書に入力エラーが残っています／","")&amp;IF(AND($B1043&lt;&gt;"",$AQ1043&lt;&gt;""),IF(COUNTIFS($B$6:$B$3005,$B1043,$C$6:$C$3005,$C1043,$D$6:$D$3005,$D1043)&gt;1,"同じ月の請求が重複しています／",""),"")&amp;IF(AND(N($E1043)&gt;0,$AB1043&lt;&gt;"",$AB1043&lt;&gt;"×",$AE1043=0,$AD1043=""),"計算額が下限以下のため不支給／",""))</f>
        <v/>
      </c>
      <c r="AN1043" s="12" t="n"/>
      <c r="AO1043" s="14">
        <f>IF($AF1043="保留中",COUNTIF($AF$6:$AF1043,"保留中"),"")</f>
        <v/>
      </c>
      <c r="AP1043" s="14">
        <f>IF($AQ1043="","",IF(SUMPRODUCT(MAX((職員マスタ!$A$6:$A$405=$B1043)*(((職員マスタ!$G$6:$G$405="")+(職員マスタ!$G$6:$G$405&lt;=EOMONTH($AQ1043,0)))&gt;0)*(((職員マスタ!$H$6:$H$405="")+(職員マスタ!$H$6:$H$405&gt;=$AQ1043))&gt;0)*(ROW(職員マスタ!$A$6:$A$405)-5)))&gt;0,SUMPRODUCT(MAX((職員マスタ!$A$6:$A$405=$B1043)*(((職員マスタ!$G$6:$G$405="")+(職員マスタ!$G$6:$G$405&lt;=EOMONTH($AQ1043,0)))&gt;0)*(((職員マスタ!$H$6:$H$405="")+(職員マスタ!$H$6:$H$405&gt;=$AQ1043))&gt;0)*(ROW(職員マスタ!$A$6:$A$405)-5))),IFERROR(MATCH($B1043,職員マスタ!$A$6:$A$405,0),"")))</f>
        <v/>
      </c>
      <c r="AQ1043" s="16">
        <f>IF(OR($B1043="",$C1043="",$D1043=""),"",DATE($C1043+2018,$D1043,1))</f>
        <v/>
      </c>
    </row>
    <row r="1044">
      <c r="A1044" s="11" t="n"/>
      <c r="B1044" s="12" t="n"/>
      <c r="C1044" s="12" t="n"/>
      <c r="D1044" s="12" t="n"/>
      <c r="E1044" s="13" t="n"/>
      <c r="F1044" s="12" t="n"/>
      <c r="G1044" s="13" t="n"/>
      <c r="H1044" s="12" t="n"/>
      <c r="I1044" s="12" t="n"/>
      <c r="J1044" s="12" t="n"/>
      <c r="K1044" s="12" t="n"/>
      <c r="L1044" s="11" t="n"/>
      <c r="M1044" s="11" t="n"/>
      <c r="N1044" s="11" t="n"/>
      <c r="O1044" s="11" t="n"/>
      <c r="P1044" s="12" t="n"/>
      <c r="Q1044" s="11" t="n"/>
      <c r="R1044" s="12" t="n"/>
      <c r="S1044" s="11" t="n"/>
      <c r="T1044" s="12" t="n"/>
      <c r="U1044" s="12" t="n"/>
      <c r="V1044" s="12" t="n"/>
      <c r="W1044" s="13" t="n"/>
      <c r="X1044" s="14">
        <f>IF($AP1044="",IF($B1044="","",$H1044),IF(INDEX(職員マスタ!$B$6:$B$405,$AP1044)="",$H1044,INDEX(職員マスタ!$B$6:$B$405,$AP1044)))</f>
        <v/>
      </c>
      <c r="Y1044" s="14">
        <f>IF($AP1044="",IF($B1044="","",$R1044),IF(INDEX(職員マスタ!$C$6:$C$405,$AP1044)="",$R1044,INDEX(職員マスタ!$C$6:$C$405,$AP1044)))</f>
        <v/>
      </c>
      <c r="Z1044" s="14">
        <f>IF($AQ1044="","","R"&amp;$C1044&amp;"."&amp;$D1044)</f>
        <v/>
      </c>
      <c r="AA1044" s="15">
        <f>IF(IF($AP1044="",FALSE,INDEX(職員マスタ!$K$6:$K$405,$AP1044)&lt;&gt;""),INDEX(職員マスタ!$K$6:$K$405,$AP1044),IF(N($W1044)&gt;0,$W1044,""))</f>
        <v/>
      </c>
      <c r="AB1044" s="14">
        <f>IF(OR($E1044="",$AA1044=""),"",IF($E1044&gt;=$AA1044,"×",IF($E1044&gt;=$AA1044*設定!$C$5,"△","○")))</f>
        <v/>
      </c>
      <c r="AC1044" s="15">
        <f>IF($AB1044="","",IF($AB1044="×",0,IF($AB1044="○",ROUNDDOWN($E1044*設定!$C$4,0),ROUNDDOWN($E1044*ROUND((9*$AA1044-9*$E1044)/(10*$E1044),4),0))))</f>
        <v/>
      </c>
      <c r="AD1044" s="13" t="n"/>
      <c r="AE1044" s="15">
        <f>IF($B1044="","",IF($AD1044&lt;&gt;"",$AD1044,IF($AC1044="","",IF($AC1044&lt;=設定!$C$3,0,$AC1044))))</f>
        <v/>
      </c>
      <c r="AF1044" s="14">
        <f>IF($B1044="","",IF(AND($AG1044&lt;&gt;"",$AI1044="",$AL1044=""),"保留中",IF($AL1044&lt;&gt;"",IF(N($AE1044)&gt;0,"支給済","不支給"),IF($AE1044="","要確認",IF($AE1044=0,"不支給","未処理")))))</f>
        <v/>
      </c>
      <c r="AG1044" s="12" t="n"/>
      <c r="AH1044" s="11" t="n"/>
      <c r="AI1044" s="11" t="n"/>
      <c r="AJ1044" s="11" t="n"/>
      <c r="AK1044" s="14">
        <f>IF(AND($AF1044="保留中",$AH1044&lt;&gt;""),TODAY()-$AH1044,"")</f>
        <v/>
      </c>
      <c r="AL1044" s="12" t="n"/>
      <c r="AM1044" s="14">
        <f>IF($B1044="","",IF($AQ1044="","対象年月が未入力／","")&amp;IF($B1044="","",IF($AP1044="","職員マスタに未登録の職員番号／",IF($AA1044="","標準報酬月額が未登録／","")&amp;IF(AND($AQ1044&lt;&gt;"",OR(AND(INDEX(職員マスタ!$G$6:$G$405,$AP1044)&lt;&gt;"",INDEX(職員マスタ!$G$6:$G$405,$AP1044)&gt;EOMONTH($AQ1044,0)),AND(INDEX(職員マスタ!$H$6:$H$405,$AP1044)&lt;&gt;"",INDEX(職員マスタ!$H$6:$H$405,$AP1044)&lt;$AQ1044))),"対象月が時短期間外／","")&amp;IF(AND(INDEX(職員マスタ!$K$6:$K$405,$AP1044)&lt;&gt;"",N($W1044)&gt;0,INDEX(職員マスタ!$K$6:$K$405,$AP1044)&lt;&gt;$W1044),"標準報酬月額が申請書と相違（台帳"&amp;TEXT(INDEX(職員マスタ!$K$6:$K$405,$AP1044),"#,##0")&amp;"円／申請書"&amp;TEXT($W1044,"#,##0")&amp;"円）／","")&amp;IF(AND(INDEX(職員マスタ!$F$6:$F$405,$AP1044)&lt;&gt;"",$AQ1044&lt;&gt;"",INDEX(職員マスタ!$F$6:$F$405,$AP1044)&lt;$AQ1044),"対象月に子が2歳到達済／","")&amp;IF(AND($H1044&lt;&gt;"",INDEX(職員マスタ!$B$6:$B$405,$AP1044)&lt;&gt;"",SUBSTITUTE(SUBSTITUTE($H1044," ","")," ","")&lt;&gt;SUBSTITUTE(SUBSTITUTE(INDEX(職員マスタ!$B$6:$B$405,$AP1044)," ","")," ","")),"氏名がマスタと相違／","")&amp;IF(AND($Q1044&lt;&gt;"",INDEX(職員マスタ!$E$6:$E$405,$AP1044)&lt;&gt;"",$Q1044&lt;&gt;INDEX(職員マスタ!$E$6:$E$405,$AP1044)),"子の生年月日がマスタと相違／","")&amp;IF(AND($L1044&lt;&gt;"",INDEX(職員マスタ!$G$6:$G$405,$AP1044)&lt;&gt;"",$L1044&lt;&gt;INDEX(職員マスタ!$G$6:$G$405,$AP1044)),"時短開始日がマスタと相違／","")&amp;IF(AND($M1044&lt;&gt;"",INDEX(職員マスタ!$H$6:$H$405,$AP1044)&lt;&gt;"",$M1044&lt;&gt;INDEX(職員マスタ!$H$6:$H$405,$AP1044)),"時短終了日がマスタと相違／","")))&amp;IF(AND($B1044&lt;&gt;"",$E1044=""),"報酬額が未入力／","")&amp;IF(N($U1044)&gt;0,"申請書に入力エラーが残っています／","")&amp;IF(AND($B1044&lt;&gt;"",$AQ1044&lt;&gt;""),IF(COUNTIFS($B$6:$B$3005,$B1044,$C$6:$C$3005,$C1044,$D$6:$D$3005,$D1044)&gt;1,"同じ月の請求が重複しています／",""),"")&amp;IF(AND(N($E1044)&gt;0,$AB1044&lt;&gt;"",$AB1044&lt;&gt;"×",$AE1044=0,$AD1044=""),"計算額が下限以下のため不支給／",""))</f>
        <v/>
      </c>
      <c r="AN1044" s="12" t="n"/>
      <c r="AO1044" s="14">
        <f>IF($AF1044="保留中",COUNTIF($AF$6:$AF1044,"保留中"),"")</f>
        <v/>
      </c>
      <c r="AP1044" s="14">
        <f>IF($AQ1044="","",IF(SUMPRODUCT(MAX((職員マスタ!$A$6:$A$405=$B1044)*(((職員マスタ!$G$6:$G$405="")+(職員マスタ!$G$6:$G$405&lt;=EOMONTH($AQ1044,0)))&gt;0)*(((職員マスタ!$H$6:$H$405="")+(職員マスタ!$H$6:$H$405&gt;=$AQ1044))&gt;0)*(ROW(職員マスタ!$A$6:$A$405)-5)))&gt;0,SUMPRODUCT(MAX((職員マスタ!$A$6:$A$405=$B1044)*(((職員マスタ!$G$6:$G$405="")+(職員マスタ!$G$6:$G$405&lt;=EOMONTH($AQ1044,0)))&gt;0)*(((職員マスタ!$H$6:$H$405="")+(職員マスタ!$H$6:$H$405&gt;=$AQ1044))&gt;0)*(ROW(職員マスタ!$A$6:$A$405)-5))),IFERROR(MATCH($B1044,職員マスタ!$A$6:$A$405,0),"")))</f>
        <v/>
      </c>
      <c r="AQ1044" s="16">
        <f>IF(OR($B1044="",$C1044="",$D1044=""),"",DATE($C1044+2018,$D1044,1))</f>
        <v/>
      </c>
    </row>
    <row r="1045">
      <c r="A1045" s="11" t="n"/>
      <c r="B1045" s="12" t="n"/>
      <c r="C1045" s="12" t="n"/>
      <c r="D1045" s="12" t="n"/>
      <c r="E1045" s="13" t="n"/>
      <c r="F1045" s="12" t="n"/>
      <c r="G1045" s="13" t="n"/>
      <c r="H1045" s="12" t="n"/>
      <c r="I1045" s="12" t="n"/>
      <c r="J1045" s="12" t="n"/>
      <c r="K1045" s="12" t="n"/>
      <c r="L1045" s="11" t="n"/>
      <c r="M1045" s="11" t="n"/>
      <c r="N1045" s="11" t="n"/>
      <c r="O1045" s="11" t="n"/>
      <c r="P1045" s="12" t="n"/>
      <c r="Q1045" s="11" t="n"/>
      <c r="R1045" s="12" t="n"/>
      <c r="S1045" s="11" t="n"/>
      <c r="T1045" s="12" t="n"/>
      <c r="U1045" s="12" t="n"/>
      <c r="V1045" s="12" t="n"/>
      <c r="W1045" s="13" t="n"/>
      <c r="X1045" s="14">
        <f>IF($AP1045="",IF($B1045="","",$H1045),IF(INDEX(職員マスタ!$B$6:$B$405,$AP1045)="",$H1045,INDEX(職員マスタ!$B$6:$B$405,$AP1045)))</f>
        <v/>
      </c>
      <c r="Y1045" s="14">
        <f>IF($AP1045="",IF($B1045="","",$R1045),IF(INDEX(職員マスタ!$C$6:$C$405,$AP1045)="",$R1045,INDEX(職員マスタ!$C$6:$C$405,$AP1045)))</f>
        <v/>
      </c>
      <c r="Z1045" s="14">
        <f>IF($AQ1045="","","R"&amp;$C1045&amp;"."&amp;$D1045)</f>
        <v/>
      </c>
      <c r="AA1045" s="15">
        <f>IF(IF($AP1045="",FALSE,INDEX(職員マスタ!$K$6:$K$405,$AP1045)&lt;&gt;""),INDEX(職員マスタ!$K$6:$K$405,$AP1045),IF(N($W1045)&gt;0,$W1045,""))</f>
        <v/>
      </c>
      <c r="AB1045" s="14">
        <f>IF(OR($E1045="",$AA1045=""),"",IF($E1045&gt;=$AA1045,"×",IF($E1045&gt;=$AA1045*設定!$C$5,"△","○")))</f>
        <v/>
      </c>
      <c r="AC1045" s="15">
        <f>IF($AB1045="","",IF($AB1045="×",0,IF($AB1045="○",ROUNDDOWN($E1045*設定!$C$4,0),ROUNDDOWN($E1045*ROUND((9*$AA1045-9*$E1045)/(10*$E1045),4),0))))</f>
        <v/>
      </c>
      <c r="AD1045" s="13" t="n"/>
      <c r="AE1045" s="15">
        <f>IF($B1045="","",IF($AD1045&lt;&gt;"",$AD1045,IF($AC1045="","",IF($AC1045&lt;=設定!$C$3,0,$AC1045))))</f>
        <v/>
      </c>
      <c r="AF1045" s="14">
        <f>IF($B1045="","",IF(AND($AG1045&lt;&gt;"",$AI1045="",$AL1045=""),"保留中",IF($AL1045&lt;&gt;"",IF(N($AE1045)&gt;0,"支給済","不支給"),IF($AE1045="","要確認",IF($AE1045=0,"不支給","未処理")))))</f>
        <v/>
      </c>
      <c r="AG1045" s="12" t="n"/>
      <c r="AH1045" s="11" t="n"/>
      <c r="AI1045" s="11" t="n"/>
      <c r="AJ1045" s="11" t="n"/>
      <c r="AK1045" s="14">
        <f>IF(AND($AF1045="保留中",$AH1045&lt;&gt;""),TODAY()-$AH1045,"")</f>
        <v/>
      </c>
      <c r="AL1045" s="12" t="n"/>
      <c r="AM1045" s="14">
        <f>IF($B1045="","",IF($AQ1045="","対象年月が未入力／","")&amp;IF($B1045="","",IF($AP1045="","職員マスタに未登録の職員番号／",IF($AA1045="","標準報酬月額が未登録／","")&amp;IF(AND($AQ1045&lt;&gt;"",OR(AND(INDEX(職員マスタ!$G$6:$G$405,$AP1045)&lt;&gt;"",INDEX(職員マスタ!$G$6:$G$405,$AP1045)&gt;EOMONTH($AQ1045,0)),AND(INDEX(職員マスタ!$H$6:$H$405,$AP1045)&lt;&gt;"",INDEX(職員マスタ!$H$6:$H$405,$AP1045)&lt;$AQ1045))),"対象月が時短期間外／","")&amp;IF(AND(INDEX(職員マスタ!$K$6:$K$405,$AP1045)&lt;&gt;"",N($W1045)&gt;0,INDEX(職員マスタ!$K$6:$K$405,$AP1045)&lt;&gt;$W1045),"標準報酬月額が申請書と相違（台帳"&amp;TEXT(INDEX(職員マスタ!$K$6:$K$405,$AP1045),"#,##0")&amp;"円／申請書"&amp;TEXT($W1045,"#,##0")&amp;"円）／","")&amp;IF(AND(INDEX(職員マスタ!$F$6:$F$405,$AP1045)&lt;&gt;"",$AQ1045&lt;&gt;"",INDEX(職員マスタ!$F$6:$F$405,$AP1045)&lt;$AQ1045),"対象月に子が2歳到達済／","")&amp;IF(AND($H1045&lt;&gt;"",INDEX(職員マスタ!$B$6:$B$405,$AP1045)&lt;&gt;"",SUBSTITUTE(SUBSTITUTE($H1045," ","")," ","")&lt;&gt;SUBSTITUTE(SUBSTITUTE(INDEX(職員マスタ!$B$6:$B$405,$AP1045)," ","")," ","")),"氏名がマスタと相違／","")&amp;IF(AND($Q1045&lt;&gt;"",INDEX(職員マスタ!$E$6:$E$405,$AP1045)&lt;&gt;"",$Q1045&lt;&gt;INDEX(職員マスタ!$E$6:$E$405,$AP1045)),"子の生年月日がマスタと相違／","")&amp;IF(AND($L1045&lt;&gt;"",INDEX(職員マスタ!$G$6:$G$405,$AP1045)&lt;&gt;"",$L1045&lt;&gt;INDEX(職員マスタ!$G$6:$G$405,$AP1045)),"時短開始日がマスタと相違／","")&amp;IF(AND($M1045&lt;&gt;"",INDEX(職員マスタ!$H$6:$H$405,$AP1045)&lt;&gt;"",$M1045&lt;&gt;INDEX(職員マスタ!$H$6:$H$405,$AP1045)),"時短終了日がマスタと相違／","")))&amp;IF(AND($B1045&lt;&gt;"",$E1045=""),"報酬額が未入力／","")&amp;IF(N($U1045)&gt;0,"申請書に入力エラーが残っています／","")&amp;IF(AND($B1045&lt;&gt;"",$AQ1045&lt;&gt;""),IF(COUNTIFS($B$6:$B$3005,$B1045,$C$6:$C$3005,$C1045,$D$6:$D$3005,$D1045)&gt;1,"同じ月の請求が重複しています／",""),"")&amp;IF(AND(N($E1045)&gt;0,$AB1045&lt;&gt;"",$AB1045&lt;&gt;"×",$AE1045=0,$AD1045=""),"計算額が下限以下のため不支給／",""))</f>
        <v/>
      </c>
      <c r="AN1045" s="12" t="n"/>
      <c r="AO1045" s="14">
        <f>IF($AF1045="保留中",COUNTIF($AF$6:$AF1045,"保留中"),"")</f>
        <v/>
      </c>
      <c r="AP1045" s="14">
        <f>IF($AQ1045="","",IF(SUMPRODUCT(MAX((職員マスタ!$A$6:$A$405=$B1045)*(((職員マスタ!$G$6:$G$405="")+(職員マスタ!$G$6:$G$405&lt;=EOMONTH($AQ1045,0)))&gt;0)*(((職員マスタ!$H$6:$H$405="")+(職員マスタ!$H$6:$H$405&gt;=$AQ1045))&gt;0)*(ROW(職員マスタ!$A$6:$A$405)-5)))&gt;0,SUMPRODUCT(MAX((職員マスタ!$A$6:$A$405=$B1045)*(((職員マスタ!$G$6:$G$405="")+(職員マスタ!$G$6:$G$405&lt;=EOMONTH($AQ1045,0)))&gt;0)*(((職員マスタ!$H$6:$H$405="")+(職員マスタ!$H$6:$H$405&gt;=$AQ1045))&gt;0)*(ROW(職員マスタ!$A$6:$A$405)-5))),IFERROR(MATCH($B1045,職員マスタ!$A$6:$A$405,0),"")))</f>
        <v/>
      </c>
      <c r="AQ1045" s="16">
        <f>IF(OR($B1045="",$C1045="",$D1045=""),"",DATE($C1045+2018,$D1045,1))</f>
        <v/>
      </c>
    </row>
    <row r="1046">
      <c r="A1046" s="11" t="n"/>
      <c r="B1046" s="12" t="n"/>
      <c r="C1046" s="12" t="n"/>
      <c r="D1046" s="12" t="n"/>
      <c r="E1046" s="13" t="n"/>
      <c r="F1046" s="12" t="n"/>
      <c r="G1046" s="13" t="n"/>
      <c r="H1046" s="12" t="n"/>
      <c r="I1046" s="12" t="n"/>
      <c r="J1046" s="12" t="n"/>
      <c r="K1046" s="12" t="n"/>
      <c r="L1046" s="11" t="n"/>
      <c r="M1046" s="11" t="n"/>
      <c r="N1046" s="11" t="n"/>
      <c r="O1046" s="11" t="n"/>
      <c r="P1046" s="12" t="n"/>
      <c r="Q1046" s="11" t="n"/>
      <c r="R1046" s="12" t="n"/>
      <c r="S1046" s="11" t="n"/>
      <c r="T1046" s="12" t="n"/>
      <c r="U1046" s="12" t="n"/>
      <c r="V1046" s="12" t="n"/>
      <c r="W1046" s="13" t="n"/>
      <c r="X1046" s="14">
        <f>IF($AP1046="",IF($B1046="","",$H1046),IF(INDEX(職員マスタ!$B$6:$B$405,$AP1046)="",$H1046,INDEX(職員マスタ!$B$6:$B$405,$AP1046)))</f>
        <v/>
      </c>
      <c r="Y1046" s="14">
        <f>IF($AP1046="",IF($B1046="","",$R1046),IF(INDEX(職員マスタ!$C$6:$C$405,$AP1046)="",$R1046,INDEX(職員マスタ!$C$6:$C$405,$AP1046)))</f>
        <v/>
      </c>
      <c r="Z1046" s="14">
        <f>IF($AQ1046="","","R"&amp;$C1046&amp;"."&amp;$D1046)</f>
        <v/>
      </c>
      <c r="AA1046" s="15">
        <f>IF(IF($AP1046="",FALSE,INDEX(職員マスタ!$K$6:$K$405,$AP1046)&lt;&gt;""),INDEX(職員マスタ!$K$6:$K$405,$AP1046),IF(N($W1046)&gt;0,$W1046,""))</f>
        <v/>
      </c>
      <c r="AB1046" s="14">
        <f>IF(OR($E1046="",$AA1046=""),"",IF($E1046&gt;=$AA1046,"×",IF($E1046&gt;=$AA1046*設定!$C$5,"△","○")))</f>
        <v/>
      </c>
      <c r="AC1046" s="15">
        <f>IF($AB1046="","",IF($AB1046="×",0,IF($AB1046="○",ROUNDDOWN($E1046*設定!$C$4,0),ROUNDDOWN($E1046*ROUND((9*$AA1046-9*$E1046)/(10*$E1046),4),0))))</f>
        <v/>
      </c>
      <c r="AD1046" s="13" t="n"/>
      <c r="AE1046" s="15">
        <f>IF($B1046="","",IF($AD1046&lt;&gt;"",$AD1046,IF($AC1046="","",IF($AC1046&lt;=設定!$C$3,0,$AC1046))))</f>
        <v/>
      </c>
      <c r="AF1046" s="14">
        <f>IF($B1046="","",IF(AND($AG1046&lt;&gt;"",$AI1046="",$AL1046=""),"保留中",IF($AL1046&lt;&gt;"",IF(N($AE1046)&gt;0,"支給済","不支給"),IF($AE1046="","要確認",IF($AE1046=0,"不支給","未処理")))))</f>
        <v/>
      </c>
      <c r="AG1046" s="12" t="n"/>
      <c r="AH1046" s="11" t="n"/>
      <c r="AI1046" s="11" t="n"/>
      <c r="AJ1046" s="11" t="n"/>
      <c r="AK1046" s="14">
        <f>IF(AND($AF1046="保留中",$AH1046&lt;&gt;""),TODAY()-$AH1046,"")</f>
        <v/>
      </c>
      <c r="AL1046" s="12" t="n"/>
      <c r="AM1046" s="14">
        <f>IF($B1046="","",IF($AQ1046="","対象年月が未入力／","")&amp;IF($B1046="","",IF($AP1046="","職員マスタに未登録の職員番号／",IF($AA1046="","標準報酬月額が未登録／","")&amp;IF(AND($AQ1046&lt;&gt;"",OR(AND(INDEX(職員マスタ!$G$6:$G$405,$AP1046)&lt;&gt;"",INDEX(職員マスタ!$G$6:$G$405,$AP1046)&gt;EOMONTH($AQ1046,0)),AND(INDEX(職員マスタ!$H$6:$H$405,$AP1046)&lt;&gt;"",INDEX(職員マスタ!$H$6:$H$405,$AP1046)&lt;$AQ1046))),"対象月が時短期間外／","")&amp;IF(AND(INDEX(職員マスタ!$K$6:$K$405,$AP1046)&lt;&gt;"",N($W1046)&gt;0,INDEX(職員マスタ!$K$6:$K$405,$AP1046)&lt;&gt;$W1046),"標準報酬月額が申請書と相違（台帳"&amp;TEXT(INDEX(職員マスタ!$K$6:$K$405,$AP1046),"#,##0")&amp;"円／申請書"&amp;TEXT($W1046,"#,##0")&amp;"円）／","")&amp;IF(AND(INDEX(職員マスタ!$F$6:$F$405,$AP1046)&lt;&gt;"",$AQ1046&lt;&gt;"",INDEX(職員マスタ!$F$6:$F$405,$AP1046)&lt;$AQ1046),"対象月に子が2歳到達済／","")&amp;IF(AND($H1046&lt;&gt;"",INDEX(職員マスタ!$B$6:$B$405,$AP1046)&lt;&gt;"",SUBSTITUTE(SUBSTITUTE($H1046," ","")," ","")&lt;&gt;SUBSTITUTE(SUBSTITUTE(INDEX(職員マスタ!$B$6:$B$405,$AP1046)," ","")," ","")),"氏名がマスタと相違／","")&amp;IF(AND($Q1046&lt;&gt;"",INDEX(職員マスタ!$E$6:$E$405,$AP1046)&lt;&gt;"",$Q1046&lt;&gt;INDEX(職員マスタ!$E$6:$E$405,$AP1046)),"子の生年月日がマスタと相違／","")&amp;IF(AND($L1046&lt;&gt;"",INDEX(職員マスタ!$G$6:$G$405,$AP1046)&lt;&gt;"",$L1046&lt;&gt;INDEX(職員マスタ!$G$6:$G$405,$AP1046)),"時短開始日がマスタと相違／","")&amp;IF(AND($M1046&lt;&gt;"",INDEX(職員マスタ!$H$6:$H$405,$AP1046)&lt;&gt;"",$M1046&lt;&gt;INDEX(職員マスタ!$H$6:$H$405,$AP1046)),"時短終了日がマスタと相違／","")))&amp;IF(AND($B1046&lt;&gt;"",$E1046=""),"報酬額が未入力／","")&amp;IF(N($U1046)&gt;0,"申請書に入力エラーが残っています／","")&amp;IF(AND($B1046&lt;&gt;"",$AQ1046&lt;&gt;""),IF(COUNTIFS($B$6:$B$3005,$B1046,$C$6:$C$3005,$C1046,$D$6:$D$3005,$D1046)&gt;1,"同じ月の請求が重複しています／",""),"")&amp;IF(AND(N($E1046)&gt;0,$AB1046&lt;&gt;"",$AB1046&lt;&gt;"×",$AE1046=0,$AD1046=""),"計算額が下限以下のため不支給／",""))</f>
        <v/>
      </c>
      <c r="AN1046" s="12" t="n"/>
      <c r="AO1046" s="14">
        <f>IF($AF1046="保留中",COUNTIF($AF$6:$AF1046,"保留中"),"")</f>
        <v/>
      </c>
      <c r="AP1046" s="14">
        <f>IF($AQ1046="","",IF(SUMPRODUCT(MAX((職員マスタ!$A$6:$A$405=$B1046)*(((職員マスタ!$G$6:$G$405="")+(職員マスタ!$G$6:$G$405&lt;=EOMONTH($AQ1046,0)))&gt;0)*(((職員マスタ!$H$6:$H$405="")+(職員マスタ!$H$6:$H$405&gt;=$AQ1046))&gt;0)*(ROW(職員マスタ!$A$6:$A$405)-5)))&gt;0,SUMPRODUCT(MAX((職員マスタ!$A$6:$A$405=$B1046)*(((職員マスタ!$G$6:$G$405="")+(職員マスタ!$G$6:$G$405&lt;=EOMONTH($AQ1046,0)))&gt;0)*(((職員マスタ!$H$6:$H$405="")+(職員マスタ!$H$6:$H$405&gt;=$AQ1046))&gt;0)*(ROW(職員マスタ!$A$6:$A$405)-5))),IFERROR(MATCH($B1046,職員マスタ!$A$6:$A$405,0),"")))</f>
        <v/>
      </c>
      <c r="AQ1046" s="16">
        <f>IF(OR($B1046="",$C1046="",$D1046=""),"",DATE($C1046+2018,$D1046,1))</f>
        <v/>
      </c>
    </row>
    <row r="1047">
      <c r="A1047" s="11" t="n"/>
      <c r="B1047" s="12" t="n"/>
      <c r="C1047" s="12" t="n"/>
      <c r="D1047" s="12" t="n"/>
      <c r="E1047" s="13" t="n"/>
      <c r="F1047" s="12" t="n"/>
      <c r="G1047" s="13" t="n"/>
      <c r="H1047" s="12" t="n"/>
      <c r="I1047" s="12" t="n"/>
      <c r="J1047" s="12" t="n"/>
      <c r="K1047" s="12" t="n"/>
      <c r="L1047" s="11" t="n"/>
      <c r="M1047" s="11" t="n"/>
      <c r="N1047" s="11" t="n"/>
      <c r="O1047" s="11" t="n"/>
      <c r="P1047" s="12" t="n"/>
      <c r="Q1047" s="11" t="n"/>
      <c r="R1047" s="12" t="n"/>
      <c r="S1047" s="11" t="n"/>
      <c r="T1047" s="12" t="n"/>
      <c r="U1047" s="12" t="n"/>
      <c r="V1047" s="12" t="n"/>
      <c r="W1047" s="13" t="n"/>
      <c r="X1047" s="14">
        <f>IF($AP1047="",IF($B1047="","",$H1047),IF(INDEX(職員マスタ!$B$6:$B$405,$AP1047)="",$H1047,INDEX(職員マスタ!$B$6:$B$405,$AP1047)))</f>
        <v/>
      </c>
      <c r="Y1047" s="14">
        <f>IF($AP1047="",IF($B1047="","",$R1047),IF(INDEX(職員マスタ!$C$6:$C$405,$AP1047)="",$R1047,INDEX(職員マスタ!$C$6:$C$405,$AP1047)))</f>
        <v/>
      </c>
      <c r="Z1047" s="14">
        <f>IF($AQ1047="","","R"&amp;$C1047&amp;"."&amp;$D1047)</f>
        <v/>
      </c>
      <c r="AA1047" s="15">
        <f>IF(IF($AP1047="",FALSE,INDEX(職員マスタ!$K$6:$K$405,$AP1047)&lt;&gt;""),INDEX(職員マスタ!$K$6:$K$405,$AP1047),IF(N($W1047)&gt;0,$W1047,""))</f>
        <v/>
      </c>
      <c r="AB1047" s="14">
        <f>IF(OR($E1047="",$AA1047=""),"",IF($E1047&gt;=$AA1047,"×",IF($E1047&gt;=$AA1047*設定!$C$5,"△","○")))</f>
        <v/>
      </c>
      <c r="AC1047" s="15">
        <f>IF($AB1047="","",IF($AB1047="×",0,IF($AB1047="○",ROUNDDOWN($E1047*設定!$C$4,0),ROUNDDOWN($E1047*ROUND((9*$AA1047-9*$E1047)/(10*$E1047),4),0))))</f>
        <v/>
      </c>
      <c r="AD1047" s="13" t="n"/>
      <c r="AE1047" s="15">
        <f>IF($B1047="","",IF($AD1047&lt;&gt;"",$AD1047,IF($AC1047="","",IF($AC1047&lt;=設定!$C$3,0,$AC1047))))</f>
        <v/>
      </c>
      <c r="AF1047" s="14">
        <f>IF($B1047="","",IF(AND($AG1047&lt;&gt;"",$AI1047="",$AL1047=""),"保留中",IF($AL1047&lt;&gt;"",IF(N($AE1047)&gt;0,"支給済","不支給"),IF($AE1047="","要確認",IF($AE1047=0,"不支給","未処理")))))</f>
        <v/>
      </c>
      <c r="AG1047" s="12" t="n"/>
      <c r="AH1047" s="11" t="n"/>
      <c r="AI1047" s="11" t="n"/>
      <c r="AJ1047" s="11" t="n"/>
      <c r="AK1047" s="14">
        <f>IF(AND($AF1047="保留中",$AH1047&lt;&gt;""),TODAY()-$AH1047,"")</f>
        <v/>
      </c>
      <c r="AL1047" s="12" t="n"/>
      <c r="AM1047" s="14">
        <f>IF($B1047="","",IF($AQ1047="","対象年月が未入力／","")&amp;IF($B1047="","",IF($AP1047="","職員マスタに未登録の職員番号／",IF($AA1047="","標準報酬月額が未登録／","")&amp;IF(AND($AQ1047&lt;&gt;"",OR(AND(INDEX(職員マスタ!$G$6:$G$405,$AP1047)&lt;&gt;"",INDEX(職員マスタ!$G$6:$G$405,$AP1047)&gt;EOMONTH($AQ1047,0)),AND(INDEX(職員マスタ!$H$6:$H$405,$AP1047)&lt;&gt;"",INDEX(職員マスタ!$H$6:$H$405,$AP1047)&lt;$AQ1047))),"対象月が時短期間外／","")&amp;IF(AND(INDEX(職員マスタ!$K$6:$K$405,$AP1047)&lt;&gt;"",N($W1047)&gt;0,INDEX(職員マスタ!$K$6:$K$405,$AP1047)&lt;&gt;$W1047),"標準報酬月額が申請書と相違（台帳"&amp;TEXT(INDEX(職員マスタ!$K$6:$K$405,$AP1047),"#,##0")&amp;"円／申請書"&amp;TEXT($W1047,"#,##0")&amp;"円）／","")&amp;IF(AND(INDEX(職員マスタ!$F$6:$F$405,$AP1047)&lt;&gt;"",$AQ1047&lt;&gt;"",INDEX(職員マスタ!$F$6:$F$405,$AP1047)&lt;$AQ1047),"対象月に子が2歳到達済／","")&amp;IF(AND($H1047&lt;&gt;"",INDEX(職員マスタ!$B$6:$B$405,$AP1047)&lt;&gt;"",SUBSTITUTE(SUBSTITUTE($H1047," ","")," ","")&lt;&gt;SUBSTITUTE(SUBSTITUTE(INDEX(職員マスタ!$B$6:$B$405,$AP1047)," ","")," ","")),"氏名がマスタと相違／","")&amp;IF(AND($Q1047&lt;&gt;"",INDEX(職員マスタ!$E$6:$E$405,$AP1047)&lt;&gt;"",$Q1047&lt;&gt;INDEX(職員マスタ!$E$6:$E$405,$AP1047)),"子の生年月日がマスタと相違／","")&amp;IF(AND($L1047&lt;&gt;"",INDEX(職員マスタ!$G$6:$G$405,$AP1047)&lt;&gt;"",$L1047&lt;&gt;INDEX(職員マスタ!$G$6:$G$405,$AP1047)),"時短開始日がマスタと相違／","")&amp;IF(AND($M1047&lt;&gt;"",INDEX(職員マスタ!$H$6:$H$405,$AP1047)&lt;&gt;"",$M1047&lt;&gt;INDEX(職員マスタ!$H$6:$H$405,$AP1047)),"時短終了日がマスタと相違／","")))&amp;IF(AND($B1047&lt;&gt;"",$E1047=""),"報酬額が未入力／","")&amp;IF(N($U1047)&gt;0,"申請書に入力エラーが残っています／","")&amp;IF(AND($B1047&lt;&gt;"",$AQ1047&lt;&gt;""),IF(COUNTIFS($B$6:$B$3005,$B1047,$C$6:$C$3005,$C1047,$D$6:$D$3005,$D1047)&gt;1,"同じ月の請求が重複しています／",""),"")&amp;IF(AND(N($E1047)&gt;0,$AB1047&lt;&gt;"",$AB1047&lt;&gt;"×",$AE1047=0,$AD1047=""),"計算額が下限以下のため不支給／",""))</f>
        <v/>
      </c>
      <c r="AN1047" s="12" t="n"/>
      <c r="AO1047" s="14">
        <f>IF($AF1047="保留中",COUNTIF($AF$6:$AF1047,"保留中"),"")</f>
        <v/>
      </c>
      <c r="AP1047" s="14">
        <f>IF($AQ1047="","",IF(SUMPRODUCT(MAX((職員マスタ!$A$6:$A$405=$B1047)*(((職員マスタ!$G$6:$G$405="")+(職員マスタ!$G$6:$G$405&lt;=EOMONTH($AQ1047,0)))&gt;0)*(((職員マスタ!$H$6:$H$405="")+(職員マスタ!$H$6:$H$405&gt;=$AQ1047))&gt;0)*(ROW(職員マスタ!$A$6:$A$405)-5)))&gt;0,SUMPRODUCT(MAX((職員マスタ!$A$6:$A$405=$B1047)*(((職員マスタ!$G$6:$G$405="")+(職員マスタ!$G$6:$G$405&lt;=EOMONTH($AQ1047,0)))&gt;0)*(((職員マスタ!$H$6:$H$405="")+(職員マスタ!$H$6:$H$405&gt;=$AQ1047))&gt;0)*(ROW(職員マスタ!$A$6:$A$405)-5))),IFERROR(MATCH($B1047,職員マスタ!$A$6:$A$405,0),"")))</f>
        <v/>
      </c>
      <c r="AQ1047" s="16">
        <f>IF(OR($B1047="",$C1047="",$D1047=""),"",DATE($C1047+2018,$D1047,1))</f>
        <v/>
      </c>
    </row>
    <row r="1048">
      <c r="A1048" s="11" t="n"/>
      <c r="B1048" s="12" t="n"/>
      <c r="C1048" s="12" t="n"/>
      <c r="D1048" s="12" t="n"/>
      <c r="E1048" s="13" t="n"/>
      <c r="F1048" s="12" t="n"/>
      <c r="G1048" s="13" t="n"/>
      <c r="H1048" s="12" t="n"/>
      <c r="I1048" s="12" t="n"/>
      <c r="J1048" s="12" t="n"/>
      <c r="K1048" s="12" t="n"/>
      <c r="L1048" s="11" t="n"/>
      <c r="M1048" s="11" t="n"/>
      <c r="N1048" s="11" t="n"/>
      <c r="O1048" s="11" t="n"/>
      <c r="P1048" s="12" t="n"/>
      <c r="Q1048" s="11" t="n"/>
      <c r="R1048" s="12" t="n"/>
      <c r="S1048" s="11" t="n"/>
      <c r="T1048" s="12" t="n"/>
      <c r="U1048" s="12" t="n"/>
      <c r="V1048" s="12" t="n"/>
      <c r="W1048" s="13" t="n"/>
      <c r="X1048" s="14">
        <f>IF($AP1048="",IF($B1048="","",$H1048),IF(INDEX(職員マスタ!$B$6:$B$405,$AP1048)="",$H1048,INDEX(職員マスタ!$B$6:$B$405,$AP1048)))</f>
        <v/>
      </c>
      <c r="Y1048" s="14">
        <f>IF($AP1048="",IF($B1048="","",$R1048),IF(INDEX(職員マスタ!$C$6:$C$405,$AP1048)="",$R1048,INDEX(職員マスタ!$C$6:$C$405,$AP1048)))</f>
        <v/>
      </c>
      <c r="Z1048" s="14">
        <f>IF($AQ1048="","","R"&amp;$C1048&amp;"."&amp;$D1048)</f>
        <v/>
      </c>
      <c r="AA1048" s="15">
        <f>IF(IF($AP1048="",FALSE,INDEX(職員マスタ!$K$6:$K$405,$AP1048)&lt;&gt;""),INDEX(職員マスタ!$K$6:$K$405,$AP1048),IF(N($W1048)&gt;0,$W1048,""))</f>
        <v/>
      </c>
      <c r="AB1048" s="14">
        <f>IF(OR($E1048="",$AA1048=""),"",IF($E1048&gt;=$AA1048,"×",IF($E1048&gt;=$AA1048*設定!$C$5,"△","○")))</f>
        <v/>
      </c>
      <c r="AC1048" s="15">
        <f>IF($AB1048="","",IF($AB1048="×",0,IF($AB1048="○",ROUNDDOWN($E1048*設定!$C$4,0),ROUNDDOWN($E1048*ROUND((9*$AA1048-9*$E1048)/(10*$E1048),4),0))))</f>
        <v/>
      </c>
      <c r="AD1048" s="13" t="n"/>
      <c r="AE1048" s="15">
        <f>IF($B1048="","",IF($AD1048&lt;&gt;"",$AD1048,IF($AC1048="","",IF($AC1048&lt;=設定!$C$3,0,$AC1048))))</f>
        <v/>
      </c>
      <c r="AF1048" s="14">
        <f>IF($B1048="","",IF(AND($AG1048&lt;&gt;"",$AI1048="",$AL1048=""),"保留中",IF($AL1048&lt;&gt;"",IF(N($AE1048)&gt;0,"支給済","不支給"),IF($AE1048="","要確認",IF($AE1048=0,"不支給","未処理")))))</f>
        <v/>
      </c>
      <c r="AG1048" s="12" t="n"/>
      <c r="AH1048" s="11" t="n"/>
      <c r="AI1048" s="11" t="n"/>
      <c r="AJ1048" s="11" t="n"/>
      <c r="AK1048" s="14">
        <f>IF(AND($AF1048="保留中",$AH1048&lt;&gt;""),TODAY()-$AH1048,"")</f>
        <v/>
      </c>
      <c r="AL1048" s="12" t="n"/>
      <c r="AM1048" s="14">
        <f>IF($B1048="","",IF($AQ1048="","対象年月が未入力／","")&amp;IF($B1048="","",IF($AP1048="","職員マスタに未登録の職員番号／",IF($AA1048="","標準報酬月額が未登録／","")&amp;IF(AND($AQ1048&lt;&gt;"",OR(AND(INDEX(職員マスタ!$G$6:$G$405,$AP1048)&lt;&gt;"",INDEX(職員マスタ!$G$6:$G$405,$AP1048)&gt;EOMONTH($AQ1048,0)),AND(INDEX(職員マスタ!$H$6:$H$405,$AP1048)&lt;&gt;"",INDEX(職員マスタ!$H$6:$H$405,$AP1048)&lt;$AQ1048))),"対象月が時短期間外／","")&amp;IF(AND(INDEX(職員マスタ!$K$6:$K$405,$AP1048)&lt;&gt;"",N($W1048)&gt;0,INDEX(職員マスタ!$K$6:$K$405,$AP1048)&lt;&gt;$W1048),"標準報酬月額が申請書と相違（台帳"&amp;TEXT(INDEX(職員マスタ!$K$6:$K$405,$AP1048),"#,##0")&amp;"円／申請書"&amp;TEXT($W1048,"#,##0")&amp;"円）／","")&amp;IF(AND(INDEX(職員マスタ!$F$6:$F$405,$AP1048)&lt;&gt;"",$AQ1048&lt;&gt;"",INDEX(職員マスタ!$F$6:$F$405,$AP1048)&lt;$AQ1048),"対象月に子が2歳到達済／","")&amp;IF(AND($H1048&lt;&gt;"",INDEX(職員マスタ!$B$6:$B$405,$AP1048)&lt;&gt;"",SUBSTITUTE(SUBSTITUTE($H1048," ","")," ","")&lt;&gt;SUBSTITUTE(SUBSTITUTE(INDEX(職員マスタ!$B$6:$B$405,$AP1048)," ","")," ","")),"氏名がマスタと相違／","")&amp;IF(AND($Q1048&lt;&gt;"",INDEX(職員マスタ!$E$6:$E$405,$AP1048)&lt;&gt;"",$Q1048&lt;&gt;INDEX(職員マスタ!$E$6:$E$405,$AP1048)),"子の生年月日がマスタと相違／","")&amp;IF(AND($L1048&lt;&gt;"",INDEX(職員マスタ!$G$6:$G$405,$AP1048)&lt;&gt;"",$L1048&lt;&gt;INDEX(職員マスタ!$G$6:$G$405,$AP1048)),"時短開始日がマスタと相違／","")&amp;IF(AND($M1048&lt;&gt;"",INDEX(職員マスタ!$H$6:$H$405,$AP1048)&lt;&gt;"",$M1048&lt;&gt;INDEX(職員マスタ!$H$6:$H$405,$AP1048)),"時短終了日がマスタと相違／","")))&amp;IF(AND($B1048&lt;&gt;"",$E1048=""),"報酬額が未入力／","")&amp;IF(N($U1048)&gt;0,"申請書に入力エラーが残っています／","")&amp;IF(AND($B1048&lt;&gt;"",$AQ1048&lt;&gt;""),IF(COUNTIFS($B$6:$B$3005,$B1048,$C$6:$C$3005,$C1048,$D$6:$D$3005,$D1048)&gt;1,"同じ月の請求が重複しています／",""),"")&amp;IF(AND(N($E1048)&gt;0,$AB1048&lt;&gt;"",$AB1048&lt;&gt;"×",$AE1048=0,$AD1048=""),"計算額が下限以下のため不支給／",""))</f>
        <v/>
      </c>
      <c r="AN1048" s="12" t="n"/>
      <c r="AO1048" s="14">
        <f>IF($AF1048="保留中",COUNTIF($AF$6:$AF1048,"保留中"),"")</f>
        <v/>
      </c>
      <c r="AP1048" s="14">
        <f>IF($AQ1048="","",IF(SUMPRODUCT(MAX((職員マスタ!$A$6:$A$405=$B1048)*(((職員マスタ!$G$6:$G$405="")+(職員マスタ!$G$6:$G$405&lt;=EOMONTH($AQ1048,0)))&gt;0)*(((職員マスタ!$H$6:$H$405="")+(職員マスタ!$H$6:$H$405&gt;=$AQ1048))&gt;0)*(ROW(職員マスタ!$A$6:$A$405)-5)))&gt;0,SUMPRODUCT(MAX((職員マスタ!$A$6:$A$405=$B1048)*(((職員マスタ!$G$6:$G$405="")+(職員マスタ!$G$6:$G$405&lt;=EOMONTH($AQ1048,0)))&gt;0)*(((職員マスタ!$H$6:$H$405="")+(職員マスタ!$H$6:$H$405&gt;=$AQ1048))&gt;0)*(ROW(職員マスタ!$A$6:$A$405)-5))),IFERROR(MATCH($B1048,職員マスタ!$A$6:$A$405,0),"")))</f>
        <v/>
      </c>
      <c r="AQ1048" s="16">
        <f>IF(OR($B1048="",$C1048="",$D1048=""),"",DATE($C1048+2018,$D1048,1))</f>
        <v/>
      </c>
    </row>
    <row r="1049">
      <c r="A1049" s="11" t="n"/>
      <c r="B1049" s="12" t="n"/>
      <c r="C1049" s="12" t="n"/>
      <c r="D1049" s="12" t="n"/>
      <c r="E1049" s="13" t="n"/>
      <c r="F1049" s="12" t="n"/>
      <c r="G1049" s="13" t="n"/>
      <c r="H1049" s="12" t="n"/>
      <c r="I1049" s="12" t="n"/>
      <c r="J1049" s="12" t="n"/>
      <c r="K1049" s="12" t="n"/>
      <c r="L1049" s="11" t="n"/>
      <c r="M1049" s="11" t="n"/>
      <c r="N1049" s="11" t="n"/>
      <c r="O1049" s="11" t="n"/>
      <c r="P1049" s="12" t="n"/>
      <c r="Q1049" s="11" t="n"/>
      <c r="R1049" s="12" t="n"/>
      <c r="S1049" s="11" t="n"/>
      <c r="T1049" s="12" t="n"/>
      <c r="U1049" s="12" t="n"/>
      <c r="V1049" s="12" t="n"/>
      <c r="W1049" s="13" t="n"/>
      <c r="X1049" s="14">
        <f>IF($AP1049="",IF($B1049="","",$H1049),IF(INDEX(職員マスタ!$B$6:$B$405,$AP1049)="",$H1049,INDEX(職員マスタ!$B$6:$B$405,$AP1049)))</f>
        <v/>
      </c>
      <c r="Y1049" s="14">
        <f>IF($AP1049="",IF($B1049="","",$R1049),IF(INDEX(職員マスタ!$C$6:$C$405,$AP1049)="",$R1049,INDEX(職員マスタ!$C$6:$C$405,$AP1049)))</f>
        <v/>
      </c>
      <c r="Z1049" s="14">
        <f>IF($AQ1049="","","R"&amp;$C1049&amp;"."&amp;$D1049)</f>
        <v/>
      </c>
      <c r="AA1049" s="15">
        <f>IF(IF($AP1049="",FALSE,INDEX(職員マスタ!$K$6:$K$405,$AP1049)&lt;&gt;""),INDEX(職員マスタ!$K$6:$K$405,$AP1049),IF(N($W1049)&gt;0,$W1049,""))</f>
        <v/>
      </c>
      <c r="AB1049" s="14">
        <f>IF(OR($E1049="",$AA1049=""),"",IF($E1049&gt;=$AA1049,"×",IF($E1049&gt;=$AA1049*設定!$C$5,"△","○")))</f>
        <v/>
      </c>
      <c r="AC1049" s="15">
        <f>IF($AB1049="","",IF($AB1049="×",0,IF($AB1049="○",ROUNDDOWN($E1049*設定!$C$4,0),ROUNDDOWN($E1049*ROUND((9*$AA1049-9*$E1049)/(10*$E1049),4),0))))</f>
        <v/>
      </c>
      <c r="AD1049" s="13" t="n"/>
      <c r="AE1049" s="15">
        <f>IF($B1049="","",IF($AD1049&lt;&gt;"",$AD1049,IF($AC1049="","",IF($AC1049&lt;=設定!$C$3,0,$AC1049))))</f>
        <v/>
      </c>
      <c r="AF1049" s="14">
        <f>IF($B1049="","",IF(AND($AG1049&lt;&gt;"",$AI1049="",$AL1049=""),"保留中",IF($AL1049&lt;&gt;"",IF(N($AE1049)&gt;0,"支給済","不支給"),IF($AE1049="","要確認",IF($AE1049=0,"不支給","未処理")))))</f>
        <v/>
      </c>
      <c r="AG1049" s="12" t="n"/>
      <c r="AH1049" s="11" t="n"/>
      <c r="AI1049" s="11" t="n"/>
      <c r="AJ1049" s="11" t="n"/>
      <c r="AK1049" s="14">
        <f>IF(AND($AF1049="保留中",$AH1049&lt;&gt;""),TODAY()-$AH1049,"")</f>
        <v/>
      </c>
      <c r="AL1049" s="12" t="n"/>
      <c r="AM1049" s="14">
        <f>IF($B1049="","",IF($AQ1049="","対象年月が未入力／","")&amp;IF($B1049="","",IF($AP1049="","職員マスタに未登録の職員番号／",IF($AA1049="","標準報酬月額が未登録／","")&amp;IF(AND($AQ1049&lt;&gt;"",OR(AND(INDEX(職員マスタ!$G$6:$G$405,$AP1049)&lt;&gt;"",INDEX(職員マスタ!$G$6:$G$405,$AP1049)&gt;EOMONTH($AQ1049,0)),AND(INDEX(職員マスタ!$H$6:$H$405,$AP1049)&lt;&gt;"",INDEX(職員マスタ!$H$6:$H$405,$AP1049)&lt;$AQ1049))),"対象月が時短期間外／","")&amp;IF(AND(INDEX(職員マスタ!$K$6:$K$405,$AP1049)&lt;&gt;"",N($W1049)&gt;0,INDEX(職員マスタ!$K$6:$K$405,$AP1049)&lt;&gt;$W1049),"標準報酬月額が申請書と相違（台帳"&amp;TEXT(INDEX(職員マスタ!$K$6:$K$405,$AP1049),"#,##0")&amp;"円／申請書"&amp;TEXT($W1049,"#,##0")&amp;"円）／","")&amp;IF(AND(INDEX(職員マスタ!$F$6:$F$405,$AP1049)&lt;&gt;"",$AQ1049&lt;&gt;"",INDEX(職員マスタ!$F$6:$F$405,$AP1049)&lt;$AQ1049),"対象月に子が2歳到達済／","")&amp;IF(AND($H1049&lt;&gt;"",INDEX(職員マスタ!$B$6:$B$405,$AP1049)&lt;&gt;"",SUBSTITUTE(SUBSTITUTE($H1049," ","")," ","")&lt;&gt;SUBSTITUTE(SUBSTITUTE(INDEX(職員マスタ!$B$6:$B$405,$AP1049)," ","")," ","")),"氏名がマスタと相違／","")&amp;IF(AND($Q1049&lt;&gt;"",INDEX(職員マスタ!$E$6:$E$405,$AP1049)&lt;&gt;"",$Q1049&lt;&gt;INDEX(職員マスタ!$E$6:$E$405,$AP1049)),"子の生年月日がマスタと相違／","")&amp;IF(AND($L1049&lt;&gt;"",INDEX(職員マスタ!$G$6:$G$405,$AP1049)&lt;&gt;"",$L1049&lt;&gt;INDEX(職員マスタ!$G$6:$G$405,$AP1049)),"時短開始日がマスタと相違／","")&amp;IF(AND($M1049&lt;&gt;"",INDEX(職員マスタ!$H$6:$H$405,$AP1049)&lt;&gt;"",$M1049&lt;&gt;INDEX(職員マスタ!$H$6:$H$405,$AP1049)),"時短終了日がマスタと相違／","")))&amp;IF(AND($B1049&lt;&gt;"",$E1049=""),"報酬額が未入力／","")&amp;IF(N($U1049)&gt;0,"申請書に入力エラーが残っています／","")&amp;IF(AND($B1049&lt;&gt;"",$AQ1049&lt;&gt;""),IF(COUNTIFS($B$6:$B$3005,$B1049,$C$6:$C$3005,$C1049,$D$6:$D$3005,$D1049)&gt;1,"同じ月の請求が重複しています／",""),"")&amp;IF(AND(N($E1049)&gt;0,$AB1049&lt;&gt;"",$AB1049&lt;&gt;"×",$AE1049=0,$AD1049=""),"計算額が下限以下のため不支給／",""))</f>
        <v/>
      </c>
      <c r="AN1049" s="12" t="n"/>
      <c r="AO1049" s="14">
        <f>IF($AF1049="保留中",COUNTIF($AF$6:$AF1049,"保留中"),"")</f>
        <v/>
      </c>
      <c r="AP1049" s="14">
        <f>IF($AQ1049="","",IF(SUMPRODUCT(MAX((職員マスタ!$A$6:$A$405=$B1049)*(((職員マスタ!$G$6:$G$405="")+(職員マスタ!$G$6:$G$405&lt;=EOMONTH($AQ1049,0)))&gt;0)*(((職員マスタ!$H$6:$H$405="")+(職員マスタ!$H$6:$H$405&gt;=$AQ1049))&gt;0)*(ROW(職員マスタ!$A$6:$A$405)-5)))&gt;0,SUMPRODUCT(MAX((職員マスタ!$A$6:$A$405=$B1049)*(((職員マスタ!$G$6:$G$405="")+(職員マスタ!$G$6:$G$405&lt;=EOMONTH($AQ1049,0)))&gt;0)*(((職員マスタ!$H$6:$H$405="")+(職員マスタ!$H$6:$H$405&gt;=$AQ1049))&gt;0)*(ROW(職員マスタ!$A$6:$A$405)-5))),IFERROR(MATCH($B1049,職員マスタ!$A$6:$A$405,0),"")))</f>
        <v/>
      </c>
      <c r="AQ1049" s="16">
        <f>IF(OR($B1049="",$C1049="",$D1049=""),"",DATE($C1049+2018,$D1049,1))</f>
        <v/>
      </c>
    </row>
    <row r="1050">
      <c r="A1050" s="11" t="n"/>
      <c r="B1050" s="12" t="n"/>
      <c r="C1050" s="12" t="n"/>
      <c r="D1050" s="12" t="n"/>
      <c r="E1050" s="13" t="n"/>
      <c r="F1050" s="12" t="n"/>
      <c r="G1050" s="13" t="n"/>
      <c r="H1050" s="12" t="n"/>
      <c r="I1050" s="12" t="n"/>
      <c r="J1050" s="12" t="n"/>
      <c r="K1050" s="12" t="n"/>
      <c r="L1050" s="11" t="n"/>
      <c r="M1050" s="11" t="n"/>
      <c r="N1050" s="11" t="n"/>
      <c r="O1050" s="11" t="n"/>
      <c r="P1050" s="12" t="n"/>
      <c r="Q1050" s="11" t="n"/>
      <c r="R1050" s="12" t="n"/>
      <c r="S1050" s="11" t="n"/>
      <c r="T1050" s="12" t="n"/>
      <c r="U1050" s="12" t="n"/>
      <c r="V1050" s="12" t="n"/>
      <c r="W1050" s="13" t="n"/>
      <c r="X1050" s="14">
        <f>IF($AP1050="",IF($B1050="","",$H1050),IF(INDEX(職員マスタ!$B$6:$B$405,$AP1050)="",$H1050,INDEX(職員マスタ!$B$6:$B$405,$AP1050)))</f>
        <v/>
      </c>
      <c r="Y1050" s="14">
        <f>IF($AP1050="",IF($B1050="","",$R1050),IF(INDEX(職員マスタ!$C$6:$C$405,$AP1050)="",$R1050,INDEX(職員マスタ!$C$6:$C$405,$AP1050)))</f>
        <v/>
      </c>
      <c r="Z1050" s="14">
        <f>IF($AQ1050="","","R"&amp;$C1050&amp;"."&amp;$D1050)</f>
        <v/>
      </c>
      <c r="AA1050" s="15">
        <f>IF(IF($AP1050="",FALSE,INDEX(職員マスタ!$K$6:$K$405,$AP1050)&lt;&gt;""),INDEX(職員マスタ!$K$6:$K$405,$AP1050),IF(N($W1050)&gt;0,$W1050,""))</f>
        <v/>
      </c>
      <c r="AB1050" s="14">
        <f>IF(OR($E1050="",$AA1050=""),"",IF($E1050&gt;=$AA1050,"×",IF($E1050&gt;=$AA1050*設定!$C$5,"△","○")))</f>
        <v/>
      </c>
      <c r="AC1050" s="15">
        <f>IF($AB1050="","",IF($AB1050="×",0,IF($AB1050="○",ROUNDDOWN($E1050*設定!$C$4,0),ROUNDDOWN($E1050*ROUND((9*$AA1050-9*$E1050)/(10*$E1050),4),0))))</f>
        <v/>
      </c>
      <c r="AD1050" s="13" t="n"/>
      <c r="AE1050" s="15">
        <f>IF($B1050="","",IF($AD1050&lt;&gt;"",$AD1050,IF($AC1050="","",IF($AC1050&lt;=設定!$C$3,0,$AC1050))))</f>
        <v/>
      </c>
      <c r="AF1050" s="14">
        <f>IF($B1050="","",IF(AND($AG1050&lt;&gt;"",$AI1050="",$AL1050=""),"保留中",IF($AL1050&lt;&gt;"",IF(N($AE1050)&gt;0,"支給済","不支給"),IF($AE1050="","要確認",IF($AE1050=0,"不支給","未処理")))))</f>
        <v/>
      </c>
      <c r="AG1050" s="12" t="n"/>
      <c r="AH1050" s="11" t="n"/>
      <c r="AI1050" s="11" t="n"/>
      <c r="AJ1050" s="11" t="n"/>
      <c r="AK1050" s="14">
        <f>IF(AND($AF1050="保留中",$AH1050&lt;&gt;""),TODAY()-$AH1050,"")</f>
        <v/>
      </c>
      <c r="AL1050" s="12" t="n"/>
      <c r="AM1050" s="14">
        <f>IF($B1050="","",IF($AQ1050="","対象年月が未入力／","")&amp;IF($B1050="","",IF($AP1050="","職員マスタに未登録の職員番号／",IF($AA1050="","標準報酬月額が未登録／","")&amp;IF(AND($AQ1050&lt;&gt;"",OR(AND(INDEX(職員マスタ!$G$6:$G$405,$AP1050)&lt;&gt;"",INDEX(職員マスタ!$G$6:$G$405,$AP1050)&gt;EOMONTH($AQ1050,0)),AND(INDEX(職員マスタ!$H$6:$H$405,$AP1050)&lt;&gt;"",INDEX(職員マスタ!$H$6:$H$405,$AP1050)&lt;$AQ1050))),"対象月が時短期間外／","")&amp;IF(AND(INDEX(職員マスタ!$K$6:$K$405,$AP1050)&lt;&gt;"",N($W1050)&gt;0,INDEX(職員マスタ!$K$6:$K$405,$AP1050)&lt;&gt;$W1050),"標準報酬月額が申請書と相違（台帳"&amp;TEXT(INDEX(職員マスタ!$K$6:$K$405,$AP1050),"#,##0")&amp;"円／申請書"&amp;TEXT($W1050,"#,##0")&amp;"円）／","")&amp;IF(AND(INDEX(職員マスタ!$F$6:$F$405,$AP1050)&lt;&gt;"",$AQ1050&lt;&gt;"",INDEX(職員マスタ!$F$6:$F$405,$AP1050)&lt;$AQ1050),"対象月に子が2歳到達済／","")&amp;IF(AND($H1050&lt;&gt;"",INDEX(職員マスタ!$B$6:$B$405,$AP1050)&lt;&gt;"",SUBSTITUTE(SUBSTITUTE($H1050," ","")," ","")&lt;&gt;SUBSTITUTE(SUBSTITUTE(INDEX(職員マスタ!$B$6:$B$405,$AP1050)," ","")," ","")),"氏名がマスタと相違／","")&amp;IF(AND($Q1050&lt;&gt;"",INDEX(職員マスタ!$E$6:$E$405,$AP1050)&lt;&gt;"",$Q1050&lt;&gt;INDEX(職員マスタ!$E$6:$E$405,$AP1050)),"子の生年月日がマスタと相違／","")&amp;IF(AND($L1050&lt;&gt;"",INDEX(職員マスタ!$G$6:$G$405,$AP1050)&lt;&gt;"",$L1050&lt;&gt;INDEX(職員マスタ!$G$6:$G$405,$AP1050)),"時短開始日がマスタと相違／","")&amp;IF(AND($M1050&lt;&gt;"",INDEX(職員マスタ!$H$6:$H$405,$AP1050)&lt;&gt;"",$M1050&lt;&gt;INDEX(職員マスタ!$H$6:$H$405,$AP1050)),"時短終了日がマスタと相違／","")))&amp;IF(AND($B1050&lt;&gt;"",$E1050=""),"報酬額が未入力／","")&amp;IF(N($U1050)&gt;0,"申請書に入力エラーが残っています／","")&amp;IF(AND($B1050&lt;&gt;"",$AQ1050&lt;&gt;""),IF(COUNTIFS($B$6:$B$3005,$B1050,$C$6:$C$3005,$C1050,$D$6:$D$3005,$D1050)&gt;1,"同じ月の請求が重複しています／",""),"")&amp;IF(AND(N($E1050)&gt;0,$AB1050&lt;&gt;"",$AB1050&lt;&gt;"×",$AE1050=0,$AD1050=""),"計算額が下限以下のため不支給／",""))</f>
        <v/>
      </c>
      <c r="AN1050" s="12" t="n"/>
      <c r="AO1050" s="14">
        <f>IF($AF1050="保留中",COUNTIF($AF$6:$AF1050,"保留中"),"")</f>
        <v/>
      </c>
      <c r="AP1050" s="14">
        <f>IF($AQ1050="","",IF(SUMPRODUCT(MAX((職員マスタ!$A$6:$A$405=$B1050)*(((職員マスタ!$G$6:$G$405="")+(職員マスタ!$G$6:$G$405&lt;=EOMONTH($AQ1050,0)))&gt;0)*(((職員マスタ!$H$6:$H$405="")+(職員マスタ!$H$6:$H$405&gt;=$AQ1050))&gt;0)*(ROW(職員マスタ!$A$6:$A$405)-5)))&gt;0,SUMPRODUCT(MAX((職員マスタ!$A$6:$A$405=$B1050)*(((職員マスタ!$G$6:$G$405="")+(職員マスタ!$G$6:$G$405&lt;=EOMONTH($AQ1050,0)))&gt;0)*(((職員マスタ!$H$6:$H$405="")+(職員マスタ!$H$6:$H$405&gt;=$AQ1050))&gt;0)*(ROW(職員マスタ!$A$6:$A$405)-5))),IFERROR(MATCH($B1050,職員マスタ!$A$6:$A$405,0),"")))</f>
        <v/>
      </c>
      <c r="AQ1050" s="16">
        <f>IF(OR($B1050="",$C1050="",$D1050=""),"",DATE($C1050+2018,$D1050,1))</f>
        <v/>
      </c>
    </row>
    <row r="1051">
      <c r="A1051" s="11" t="n"/>
      <c r="B1051" s="12" t="n"/>
      <c r="C1051" s="12" t="n"/>
      <c r="D1051" s="12" t="n"/>
      <c r="E1051" s="13" t="n"/>
      <c r="F1051" s="12" t="n"/>
      <c r="G1051" s="13" t="n"/>
      <c r="H1051" s="12" t="n"/>
      <c r="I1051" s="12" t="n"/>
      <c r="J1051" s="12" t="n"/>
      <c r="K1051" s="12" t="n"/>
      <c r="L1051" s="11" t="n"/>
      <c r="M1051" s="11" t="n"/>
      <c r="N1051" s="11" t="n"/>
      <c r="O1051" s="11" t="n"/>
      <c r="P1051" s="12" t="n"/>
      <c r="Q1051" s="11" t="n"/>
      <c r="R1051" s="12" t="n"/>
      <c r="S1051" s="11" t="n"/>
      <c r="T1051" s="12" t="n"/>
      <c r="U1051" s="12" t="n"/>
      <c r="V1051" s="12" t="n"/>
      <c r="W1051" s="13" t="n"/>
      <c r="X1051" s="14">
        <f>IF($AP1051="",IF($B1051="","",$H1051),IF(INDEX(職員マスタ!$B$6:$B$405,$AP1051)="",$H1051,INDEX(職員マスタ!$B$6:$B$405,$AP1051)))</f>
        <v/>
      </c>
      <c r="Y1051" s="14">
        <f>IF($AP1051="",IF($B1051="","",$R1051),IF(INDEX(職員マスタ!$C$6:$C$405,$AP1051)="",$R1051,INDEX(職員マスタ!$C$6:$C$405,$AP1051)))</f>
        <v/>
      </c>
      <c r="Z1051" s="14">
        <f>IF($AQ1051="","","R"&amp;$C1051&amp;"."&amp;$D1051)</f>
        <v/>
      </c>
      <c r="AA1051" s="15">
        <f>IF(IF($AP1051="",FALSE,INDEX(職員マスタ!$K$6:$K$405,$AP1051)&lt;&gt;""),INDEX(職員マスタ!$K$6:$K$405,$AP1051),IF(N($W1051)&gt;0,$W1051,""))</f>
        <v/>
      </c>
      <c r="AB1051" s="14">
        <f>IF(OR($E1051="",$AA1051=""),"",IF($E1051&gt;=$AA1051,"×",IF($E1051&gt;=$AA1051*設定!$C$5,"△","○")))</f>
        <v/>
      </c>
      <c r="AC1051" s="15">
        <f>IF($AB1051="","",IF($AB1051="×",0,IF($AB1051="○",ROUNDDOWN($E1051*設定!$C$4,0),ROUNDDOWN($E1051*ROUND((9*$AA1051-9*$E1051)/(10*$E1051),4),0))))</f>
        <v/>
      </c>
      <c r="AD1051" s="13" t="n"/>
      <c r="AE1051" s="15">
        <f>IF($B1051="","",IF($AD1051&lt;&gt;"",$AD1051,IF($AC1051="","",IF($AC1051&lt;=設定!$C$3,0,$AC1051))))</f>
        <v/>
      </c>
      <c r="AF1051" s="14">
        <f>IF($B1051="","",IF(AND($AG1051&lt;&gt;"",$AI1051="",$AL1051=""),"保留中",IF($AL1051&lt;&gt;"",IF(N($AE1051)&gt;0,"支給済","不支給"),IF($AE1051="","要確認",IF($AE1051=0,"不支給","未処理")))))</f>
        <v/>
      </c>
      <c r="AG1051" s="12" t="n"/>
      <c r="AH1051" s="11" t="n"/>
      <c r="AI1051" s="11" t="n"/>
      <c r="AJ1051" s="11" t="n"/>
      <c r="AK1051" s="14">
        <f>IF(AND($AF1051="保留中",$AH1051&lt;&gt;""),TODAY()-$AH1051,"")</f>
        <v/>
      </c>
      <c r="AL1051" s="12" t="n"/>
      <c r="AM1051" s="14">
        <f>IF($B1051="","",IF($AQ1051="","対象年月が未入力／","")&amp;IF($B1051="","",IF($AP1051="","職員マスタに未登録の職員番号／",IF($AA1051="","標準報酬月額が未登録／","")&amp;IF(AND($AQ1051&lt;&gt;"",OR(AND(INDEX(職員マスタ!$G$6:$G$405,$AP1051)&lt;&gt;"",INDEX(職員マスタ!$G$6:$G$405,$AP1051)&gt;EOMONTH($AQ1051,0)),AND(INDEX(職員マスタ!$H$6:$H$405,$AP1051)&lt;&gt;"",INDEX(職員マスタ!$H$6:$H$405,$AP1051)&lt;$AQ1051))),"対象月が時短期間外／","")&amp;IF(AND(INDEX(職員マスタ!$K$6:$K$405,$AP1051)&lt;&gt;"",N($W1051)&gt;0,INDEX(職員マスタ!$K$6:$K$405,$AP1051)&lt;&gt;$W1051),"標準報酬月額が申請書と相違（台帳"&amp;TEXT(INDEX(職員マスタ!$K$6:$K$405,$AP1051),"#,##0")&amp;"円／申請書"&amp;TEXT($W1051,"#,##0")&amp;"円）／","")&amp;IF(AND(INDEX(職員マスタ!$F$6:$F$405,$AP1051)&lt;&gt;"",$AQ1051&lt;&gt;"",INDEX(職員マスタ!$F$6:$F$405,$AP1051)&lt;$AQ1051),"対象月に子が2歳到達済／","")&amp;IF(AND($H1051&lt;&gt;"",INDEX(職員マスタ!$B$6:$B$405,$AP1051)&lt;&gt;"",SUBSTITUTE(SUBSTITUTE($H1051," ","")," ","")&lt;&gt;SUBSTITUTE(SUBSTITUTE(INDEX(職員マスタ!$B$6:$B$405,$AP1051)," ","")," ","")),"氏名がマスタと相違／","")&amp;IF(AND($Q1051&lt;&gt;"",INDEX(職員マスタ!$E$6:$E$405,$AP1051)&lt;&gt;"",$Q1051&lt;&gt;INDEX(職員マスタ!$E$6:$E$405,$AP1051)),"子の生年月日がマスタと相違／","")&amp;IF(AND($L1051&lt;&gt;"",INDEX(職員マスタ!$G$6:$G$405,$AP1051)&lt;&gt;"",$L1051&lt;&gt;INDEX(職員マスタ!$G$6:$G$405,$AP1051)),"時短開始日がマスタと相違／","")&amp;IF(AND($M1051&lt;&gt;"",INDEX(職員マスタ!$H$6:$H$405,$AP1051)&lt;&gt;"",$M1051&lt;&gt;INDEX(職員マスタ!$H$6:$H$405,$AP1051)),"時短終了日がマスタと相違／","")))&amp;IF(AND($B1051&lt;&gt;"",$E1051=""),"報酬額が未入力／","")&amp;IF(N($U1051)&gt;0,"申請書に入力エラーが残っています／","")&amp;IF(AND($B1051&lt;&gt;"",$AQ1051&lt;&gt;""),IF(COUNTIFS($B$6:$B$3005,$B1051,$C$6:$C$3005,$C1051,$D$6:$D$3005,$D1051)&gt;1,"同じ月の請求が重複しています／",""),"")&amp;IF(AND(N($E1051)&gt;0,$AB1051&lt;&gt;"",$AB1051&lt;&gt;"×",$AE1051=0,$AD1051=""),"計算額が下限以下のため不支給／",""))</f>
        <v/>
      </c>
      <c r="AN1051" s="12" t="n"/>
      <c r="AO1051" s="14">
        <f>IF($AF1051="保留中",COUNTIF($AF$6:$AF1051,"保留中"),"")</f>
        <v/>
      </c>
      <c r="AP1051" s="14">
        <f>IF($AQ1051="","",IF(SUMPRODUCT(MAX((職員マスタ!$A$6:$A$405=$B1051)*(((職員マスタ!$G$6:$G$405="")+(職員マスタ!$G$6:$G$405&lt;=EOMONTH($AQ1051,0)))&gt;0)*(((職員マスタ!$H$6:$H$405="")+(職員マスタ!$H$6:$H$405&gt;=$AQ1051))&gt;0)*(ROW(職員マスタ!$A$6:$A$405)-5)))&gt;0,SUMPRODUCT(MAX((職員マスタ!$A$6:$A$405=$B1051)*(((職員マスタ!$G$6:$G$405="")+(職員マスタ!$G$6:$G$405&lt;=EOMONTH($AQ1051,0)))&gt;0)*(((職員マスタ!$H$6:$H$405="")+(職員マスタ!$H$6:$H$405&gt;=$AQ1051))&gt;0)*(ROW(職員マスタ!$A$6:$A$405)-5))),IFERROR(MATCH($B1051,職員マスタ!$A$6:$A$405,0),"")))</f>
        <v/>
      </c>
      <c r="AQ1051" s="16">
        <f>IF(OR($B1051="",$C1051="",$D1051=""),"",DATE($C1051+2018,$D1051,1))</f>
        <v/>
      </c>
    </row>
    <row r="1052">
      <c r="A1052" s="11" t="n"/>
      <c r="B1052" s="12" t="n"/>
      <c r="C1052" s="12" t="n"/>
      <c r="D1052" s="12" t="n"/>
      <c r="E1052" s="13" t="n"/>
      <c r="F1052" s="12" t="n"/>
      <c r="G1052" s="13" t="n"/>
      <c r="H1052" s="12" t="n"/>
      <c r="I1052" s="12" t="n"/>
      <c r="J1052" s="12" t="n"/>
      <c r="K1052" s="12" t="n"/>
      <c r="L1052" s="11" t="n"/>
      <c r="M1052" s="11" t="n"/>
      <c r="N1052" s="11" t="n"/>
      <c r="O1052" s="11" t="n"/>
      <c r="P1052" s="12" t="n"/>
      <c r="Q1052" s="11" t="n"/>
      <c r="R1052" s="12" t="n"/>
      <c r="S1052" s="11" t="n"/>
      <c r="T1052" s="12" t="n"/>
      <c r="U1052" s="12" t="n"/>
      <c r="V1052" s="12" t="n"/>
      <c r="W1052" s="13" t="n"/>
      <c r="X1052" s="14">
        <f>IF($AP1052="",IF($B1052="","",$H1052),IF(INDEX(職員マスタ!$B$6:$B$405,$AP1052)="",$H1052,INDEX(職員マスタ!$B$6:$B$405,$AP1052)))</f>
        <v/>
      </c>
      <c r="Y1052" s="14">
        <f>IF($AP1052="",IF($B1052="","",$R1052),IF(INDEX(職員マスタ!$C$6:$C$405,$AP1052)="",$R1052,INDEX(職員マスタ!$C$6:$C$405,$AP1052)))</f>
        <v/>
      </c>
      <c r="Z1052" s="14">
        <f>IF($AQ1052="","","R"&amp;$C1052&amp;"."&amp;$D1052)</f>
        <v/>
      </c>
      <c r="AA1052" s="15">
        <f>IF(IF($AP1052="",FALSE,INDEX(職員マスタ!$K$6:$K$405,$AP1052)&lt;&gt;""),INDEX(職員マスタ!$K$6:$K$405,$AP1052),IF(N($W1052)&gt;0,$W1052,""))</f>
        <v/>
      </c>
      <c r="AB1052" s="14">
        <f>IF(OR($E1052="",$AA1052=""),"",IF($E1052&gt;=$AA1052,"×",IF($E1052&gt;=$AA1052*設定!$C$5,"△","○")))</f>
        <v/>
      </c>
      <c r="AC1052" s="15">
        <f>IF($AB1052="","",IF($AB1052="×",0,IF($AB1052="○",ROUNDDOWN($E1052*設定!$C$4,0),ROUNDDOWN($E1052*ROUND((9*$AA1052-9*$E1052)/(10*$E1052),4),0))))</f>
        <v/>
      </c>
      <c r="AD1052" s="13" t="n"/>
      <c r="AE1052" s="15">
        <f>IF($B1052="","",IF($AD1052&lt;&gt;"",$AD1052,IF($AC1052="","",IF($AC1052&lt;=設定!$C$3,0,$AC1052))))</f>
        <v/>
      </c>
      <c r="AF1052" s="14">
        <f>IF($B1052="","",IF(AND($AG1052&lt;&gt;"",$AI1052="",$AL1052=""),"保留中",IF($AL1052&lt;&gt;"",IF(N($AE1052)&gt;0,"支給済","不支給"),IF($AE1052="","要確認",IF($AE1052=0,"不支給","未処理")))))</f>
        <v/>
      </c>
      <c r="AG1052" s="12" t="n"/>
      <c r="AH1052" s="11" t="n"/>
      <c r="AI1052" s="11" t="n"/>
      <c r="AJ1052" s="11" t="n"/>
      <c r="AK1052" s="14">
        <f>IF(AND($AF1052="保留中",$AH1052&lt;&gt;""),TODAY()-$AH1052,"")</f>
        <v/>
      </c>
      <c r="AL1052" s="12" t="n"/>
      <c r="AM1052" s="14">
        <f>IF($B1052="","",IF($AQ1052="","対象年月が未入力／","")&amp;IF($B1052="","",IF($AP1052="","職員マスタに未登録の職員番号／",IF($AA1052="","標準報酬月額が未登録／","")&amp;IF(AND($AQ1052&lt;&gt;"",OR(AND(INDEX(職員マスタ!$G$6:$G$405,$AP1052)&lt;&gt;"",INDEX(職員マスタ!$G$6:$G$405,$AP1052)&gt;EOMONTH($AQ1052,0)),AND(INDEX(職員マスタ!$H$6:$H$405,$AP1052)&lt;&gt;"",INDEX(職員マスタ!$H$6:$H$405,$AP1052)&lt;$AQ1052))),"対象月が時短期間外／","")&amp;IF(AND(INDEX(職員マスタ!$K$6:$K$405,$AP1052)&lt;&gt;"",N($W1052)&gt;0,INDEX(職員マスタ!$K$6:$K$405,$AP1052)&lt;&gt;$W1052),"標準報酬月額が申請書と相違（台帳"&amp;TEXT(INDEX(職員マスタ!$K$6:$K$405,$AP1052),"#,##0")&amp;"円／申請書"&amp;TEXT($W1052,"#,##0")&amp;"円）／","")&amp;IF(AND(INDEX(職員マスタ!$F$6:$F$405,$AP1052)&lt;&gt;"",$AQ1052&lt;&gt;"",INDEX(職員マスタ!$F$6:$F$405,$AP1052)&lt;$AQ1052),"対象月に子が2歳到達済／","")&amp;IF(AND($H1052&lt;&gt;"",INDEX(職員マスタ!$B$6:$B$405,$AP1052)&lt;&gt;"",SUBSTITUTE(SUBSTITUTE($H1052," ","")," ","")&lt;&gt;SUBSTITUTE(SUBSTITUTE(INDEX(職員マスタ!$B$6:$B$405,$AP1052)," ","")," ","")),"氏名がマスタと相違／","")&amp;IF(AND($Q1052&lt;&gt;"",INDEX(職員マスタ!$E$6:$E$405,$AP1052)&lt;&gt;"",$Q1052&lt;&gt;INDEX(職員マスタ!$E$6:$E$405,$AP1052)),"子の生年月日がマスタと相違／","")&amp;IF(AND($L1052&lt;&gt;"",INDEX(職員マスタ!$G$6:$G$405,$AP1052)&lt;&gt;"",$L1052&lt;&gt;INDEX(職員マスタ!$G$6:$G$405,$AP1052)),"時短開始日がマスタと相違／","")&amp;IF(AND($M1052&lt;&gt;"",INDEX(職員マスタ!$H$6:$H$405,$AP1052)&lt;&gt;"",$M1052&lt;&gt;INDEX(職員マスタ!$H$6:$H$405,$AP1052)),"時短終了日がマスタと相違／","")))&amp;IF(AND($B1052&lt;&gt;"",$E1052=""),"報酬額が未入力／","")&amp;IF(N($U1052)&gt;0,"申請書に入力エラーが残っています／","")&amp;IF(AND($B1052&lt;&gt;"",$AQ1052&lt;&gt;""),IF(COUNTIFS($B$6:$B$3005,$B1052,$C$6:$C$3005,$C1052,$D$6:$D$3005,$D1052)&gt;1,"同じ月の請求が重複しています／",""),"")&amp;IF(AND(N($E1052)&gt;0,$AB1052&lt;&gt;"",$AB1052&lt;&gt;"×",$AE1052=0,$AD1052=""),"計算額が下限以下のため不支給／",""))</f>
        <v/>
      </c>
      <c r="AN1052" s="12" t="n"/>
      <c r="AO1052" s="14">
        <f>IF($AF1052="保留中",COUNTIF($AF$6:$AF1052,"保留中"),"")</f>
        <v/>
      </c>
      <c r="AP1052" s="14">
        <f>IF($AQ1052="","",IF(SUMPRODUCT(MAX((職員マスタ!$A$6:$A$405=$B1052)*(((職員マスタ!$G$6:$G$405="")+(職員マスタ!$G$6:$G$405&lt;=EOMONTH($AQ1052,0)))&gt;0)*(((職員マスタ!$H$6:$H$405="")+(職員マスタ!$H$6:$H$405&gt;=$AQ1052))&gt;0)*(ROW(職員マスタ!$A$6:$A$405)-5)))&gt;0,SUMPRODUCT(MAX((職員マスタ!$A$6:$A$405=$B1052)*(((職員マスタ!$G$6:$G$405="")+(職員マスタ!$G$6:$G$405&lt;=EOMONTH($AQ1052,0)))&gt;0)*(((職員マスタ!$H$6:$H$405="")+(職員マスタ!$H$6:$H$405&gt;=$AQ1052))&gt;0)*(ROW(職員マスタ!$A$6:$A$405)-5))),IFERROR(MATCH($B1052,職員マスタ!$A$6:$A$405,0),"")))</f>
        <v/>
      </c>
      <c r="AQ1052" s="16">
        <f>IF(OR($B1052="",$C1052="",$D1052=""),"",DATE($C1052+2018,$D1052,1))</f>
        <v/>
      </c>
    </row>
    <row r="1053">
      <c r="A1053" s="11" t="n"/>
      <c r="B1053" s="12" t="n"/>
      <c r="C1053" s="12" t="n"/>
      <c r="D1053" s="12" t="n"/>
      <c r="E1053" s="13" t="n"/>
      <c r="F1053" s="12" t="n"/>
      <c r="G1053" s="13" t="n"/>
      <c r="H1053" s="12" t="n"/>
      <c r="I1053" s="12" t="n"/>
      <c r="J1053" s="12" t="n"/>
      <c r="K1053" s="12" t="n"/>
      <c r="L1053" s="11" t="n"/>
      <c r="M1053" s="11" t="n"/>
      <c r="N1053" s="11" t="n"/>
      <c r="O1053" s="11" t="n"/>
      <c r="P1053" s="12" t="n"/>
      <c r="Q1053" s="11" t="n"/>
      <c r="R1053" s="12" t="n"/>
      <c r="S1053" s="11" t="n"/>
      <c r="T1053" s="12" t="n"/>
      <c r="U1053" s="12" t="n"/>
      <c r="V1053" s="12" t="n"/>
      <c r="W1053" s="13" t="n"/>
      <c r="X1053" s="14">
        <f>IF($AP1053="",IF($B1053="","",$H1053),IF(INDEX(職員マスタ!$B$6:$B$405,$AP1053)="",$H1053,INDEX(職員マスタ!$B$6:$B$405,$AP1053)))</f>
        <v/>
      </c>
      <c r="Y1053" s="14">
        <f>IF($AP1053="",IF($B1053="","",$R1053),IF(INDEX(職員マスタ!$C$6:$C$405,$AP1053)="",$R1053,INDEX(職員マスタ!$C$6:$C$405,$AP1053)))</f>
        <v/>
      </c>
      <c r="Z1053" s="14">
        <f>IF($AQ1053="","","R"&amp;$C1053&amp;"."&amp;$D1053)</f>
        <v/>
      </c>
      <c r="AA1053" s="15">
        <f>IF(IF($AP1053="",FALSE,INDEX(職員マスタ!$K$6:$K$405,$AP1053)&lt;&gt;""),INDEX(職員マスタ!$K$6:$K$405,$AP1053),IF(N($W1053)&gt;0,$W1053,""))</f>
        <v/>
      </c>
      <c r="AB1053" s="14">
        <f>IF(OR($E1053="",$AA1053=""),"",IF($E1053&gt;=$AA1053,"×",IF($E1053&gt;=$AA1053*設定!$C$5,"△","○")))</f>
        <v/>
      </c>
      <c r="AC1053" s="15">
        <f>IF($AB1053="","",IF($AB1053="×",0,IF($AB1053="○",ROUNDDOWN($E1053*設定!$C$4,0),ROUNDDOWN($E1053*ROUND((9*$AA1053-9*$E1053)/(10*$E1053),4),0))))</f>
        <v/>
      </c>
      <c r="AD1053" s="13" t="n"/>
      <c r="AE1053" s="15">
        <f>IF($B1053="","",IF($AD1053&lt;&gt;"",$AD1053,IF($AC1053="","",IF($AC1053&lt;=設定!$C$3,0,$AC1053))))</f>
        <v/>
      </c>
      <c r="AF1053" s="14">
        <f>IF($B1053="","",IF(AND($AG1053&lt;&gt;"",$AI1053="",$AL1053=""),"保留中",IF($AL1053&lt;&gt;"",IF(N($AE1053)&gt;0,"支給済","不支給"),IF($AE1053="","要確認",IF($AE1053=0,"不支給","未処理")))))</f>
        <v/>
      </c>
      <c r="AG1053" s="12" t="n"/>
      <c r="AH1053" s="11" t="n"/>
      <c r="AI1053" s="11" t="n"/>
      <c r="AJ1053" s="11" t="n"/>
      <c r="AK1053" s="14">
        <f>IF(AND($AF1053="保留中",$AH1053&lt;&gt;""),TODAY()-$AH1053,"")</f>
        <v/>
      </c>
      <c r="AL1053" s="12" t="n"/>
      <c r="AM1053" s="14">
        <f>IF($B1053="","",IF($AQ1053="","対象年月が未入力／","")&amp;IF($B1053="","",IF($AP1053="","職員マスタに未登録の職員番号／",IF($AA1053="","標準報酬月額が未登録／","")&amp;IF(AND($AQ1053&lt;&gt;"",OR(AND(INDEX(職員マスタ!$G$6:$G$405,$AP1053)&lt;&gt;"",INDEX(職員マスタ!$G$6:$G$405,$AP1053)&gt;EOMONTH($AQ1053,0)),AND(INDEX(職員マスタ!$H$6:$H$405,$AP1053)&lt;&gt;"",INDEX(職員マスタ!$H$6:$H$405,$AP1053)&lt;$AQ1053))),"対象月が時短期間外／","")&amp;IF(AND(INDEX(職員マスタ!$K$6:$K$405,$AP1053)&lt;&gt;"",N($W1053)&gt;0,INDEX(職員マスタ!$K$6:$K$405,$AP1053)&lt;&gt;$W1053),"標準報酬月額が申請書と相違（台帳"&amp;TEXT(INDEX(職員マスタ!$K$6:$K$405,$AP1053),"#,##0")&amp;"円／申請書"&amp;TEXT($W1053,"#,##0")&amp;"円）／","")&amp;IF(AND(INDEX(職員マスタ!$F$6:$F$405,$AP1053)&lt;&gt;"",$AQ1053&lt;&gt;"",INDEX(職員マスタ!$F$6:$F$405,$AP1053)&lt;$AQ1053),"対象月に子が2歳到達済／","")&amp;IF(AND($H1053&lt;&gt;"",INDEX(職員マスタ!$B$6:$B$405,$AP1053)&lt;&gt;"",SUBSTITUTE(SUBSTITUTE($H1053," ","")," ","")&lt;&gt;SUBSTITUTE(SUBSTITUTE(INDEX(職員マスタ!$B$6:$B$405,$AP1053)," ","")," ","")),"氏名がマスタと相違／","")&amp;IF(AND($Q1053&lt;&gt;"",INDEX(職員マスタ!$E$6:$E$405,$AP1053)&lt;&gt;"",$Q1053&lt;&gt;INDEX(職員マスタ!$E$6:$E$405,$AP1053)),"子の生年月日がマスタと相違／","")&amp;IF(AND($L1053&lt;&gt;"",INDEX(職員マスタ!$G$6:$G$405,$AP1053)&lt;&gt;"",$L1053&lt;&gt;INDEX(職員マスタ!$G$6:$G$405,$AP1053)),"時短開始日がマスタと相違／","")&amp;IF(AND($M1053&lt;&gt;"",INDEX(職員マスタ!$H$6:$H$405,$AP1053)&lt;&gt;"",$M1053&lt;&gt;INDEX(職員マスタ!$H$6:$H$405,$AP1053)),"時短終了日がマスタと相違／","")))&amp;IF(AND($B1053&lt;&gt;"",$E1053=""),"報酬額が未入力／","")&amp;IF(N($U1053)&gt;0,"申請書に入力エラーが残っています／","")&amp;IF(AND($B1053&lt;&gt;"",$AQ1053&lt;&gt;""),IF(COUNTIFS($B$6:$B$3005,$B1053,$C$6:$C$3005,$C1053,$D$6:$D$3005,$D1053)&gt;1,"同じ月の請求が重複しています／",""),"")&amp;IF(AND(N($E1053)&gt;0,$AB1053&lt;&gt;"",$AB1053&lt;&gt;"×",$AE1053=0,$AD1053=""),"計算額が下限以下のため不支給／",""))</f>
        <v/>
      </c>
      <c r="AN1053" s="12" t="n"/>
      <c r="AO1053" s="14">
        <f>IF($AF1053="保留中",COUNTIF($AF$6:$AF1053,"保留中"),"")</f>
        <v/>
      </c>
      <c r="AP1053" s="14">
        <f>IF($AQ1053="","",IF(SUMPRODUCT(MAX((職員マスタ!$A$6:$A$405=$B1053)*(((職員マスタ!$G$6:$G$405="")+(職員マスタ!$G$6:$G$405&lt;=EOMONTH($AQ1053,0)))&gt;0)*(((職員マスタ!$H$6:$H$405="")+(職員マスタ!$H$6:$H$405&gt;=$AQ1053))&gt;0)*(ROW(職員マスタ!$A$6:$A$405)-5)))&gt;0,SUMPRODUCT(MAX((職員マスタ!$A$6:$A$405=$B1053)*(((職員マスタ!$G$6:$G$405="")+(職員マスタ!$G$6:$G$405&lt;=EOMONTH($AQ1053,0)))&gt;0)*(((職員マスタ!$H$6:$H$405="")+(職員マスタ!$H$6:$H$405&gt;=$AQ1053))&gt;0)*(ROW(職員マスタ!$A$6:$A$405)-5))),IFERROR(MATCH($B1053,職員マスタ!$A$6:$A$405,0),"")))</f>
        <v/>
      </c>
      <c r="AQ1053" s="16">
        <f>IF(OR($B1053="",$C1053="",$D1053=""),"",DATE($C1053+2018,$D1053,1))</f>
        <v/>
      </c>
    </row>
    <row r="1054">
      <c r="A1054" s="11" t="n"/>
      <c r="B1054" s="12" t="n"/>
      <c r="C1054" s="12" t="n"/>
      <c r="D1054" s="12" t="n"/>
      <c r="E1054" s="13" t="n"/>
      <c r="F1054" s="12" t="n"/>
      <c r="G1054" s="13" t="n"/>
      <c r="H1054" s="12" t="n"/>
      <c r="I1054" s="12" t="n"/>
      <c r="J1054" s="12" t="n"/>
      <c r="K1054" s="12" t="n"/>
      <c r="L1054" s="11" t="n"/>
      <c r="M1054" s="11" t="n"/>
      <c r="N1054" s="11" t="n"/>
      <c r="O1054" s="11" t="n"/>
      <c r="P1054" s="12" t="n"/>
      <c r="Q1054" s="11" t="n"/>
      <c r="R1054" s="12" t="n"/>
      <c r="S1054" s="11" t="n"/>
      <c r="T1054" s="12" t="n"/>
      <c r="U1054" s="12" t="n"/>
      <c r="V1054" s="12" t="n"/>
      <c r="W1054" s="13" t="n"/>
      <c r="X1054" s="14">
        <f>IF($AP1054="",IF($B1054="","",$H1054),IF(INDEX(職員マスタ!$B$6:$B$405,$AP1054)="",$H1054,INDEX(職員マスタ!$B$6:$B$405,$AP1054)))</f>
        <v/>
      </c>
      <c r="Y1054" s="14">
        <f>IF($AP1054="",IF($B1054="","",$R1054),IF(INDEX(職員マスタ!$C$6:$C$405,$AP1054)="",$R1054,INDEX(職員マスタ!$C$6:$C$405,$AP1054)))</f>
        <v/>
      </c>
      <c r="Z1054" s="14">
        <f>IF($AQ1054="","","R"&amp;$C1054&amp;"."&amp;$D1054)</f>
        <v/>
      </c>
      <c r="AA1054" s="15">
        <f>IF(IF($AP1054="",FALSE,INDEX(職員マスタ!$K$6:$K$405,$AP1054)&lt;&gt;""),INDEX(職員マスタ!$K$6:$K$405,$AP1054),IF(N($W1054)&gt;0,$W1054,""))</f>
        <v/>
      </c>
      <c r="AB1054" s="14">
        <f>IF(OR($E1054="",$AA1054=""),"",IF($E1054&gt;=$AA1054,"×",IF($E1054&gt;=$AA1054*設定!$C$5,"△","○")))</f>
        <v/>
      </c>
      <c r="AC1054" s="15">
        <f>IF($AB1054="","",IF($AB1054="×",0,IF($AB1054="○",ROUNDDOWN($E1054*設定!$C$4,0),ROUNDDOWN($E1054*ROUND((9*$AA1054-9*$E1054)/(10*$E1054),4),0))))</f>
        <v/>
      </c>
      <c r="AD1054" s="13" t="n"/>
      <c r="AE1054" s="15">
        <f>IF($B1054="","",IF($AD1054&lt;&gt;"",$AD1054,IF($AC1054="","",IF($AC1054&lt;=設定!$C$3,0,$AC1054))))</f>
        <v/>
      </c>
      <c r="AF1054" s="14">
        <f>IF($B1054="","",IF(AND($AG1054&lt;&gt;"",$AI1054="",$AL1054=""),"保留中",IF($AL1054&lt;&gt;"",IF(N($AE1054)&gt;0,"支給済","不支給"),IF($AE1054="","要確認",IF($AE1054=0,"不支給","未処理")))))</f>
        <v/>
      </c>
      <c r="AG1054" s="12" t="n"/>
      <c r="AH1054" s="11" t="n"/>
      <c r="AI1054" s="11" t="n"/>
      <c r="AJ1054" s="11" t="n"/>
      <c r="AK1054" s="14">
        <f>IF(AND($AF1054="保留中",$AH1054&lt;&gt;""),TODAY()-$AH1054,"")</f>
        <v/>
      </c>
      <c r="AL1054" s="12" t="n"/>
      <c r="AM1054" s="14">
        <f>IF($B1054="","",IF($AQ1054="","対象年月が未入力／","")&amp;IF($B1054="","",IF($AP1054="","職員マスタに未登録の職員番号／",IF($AA1054="","標準報酬月額が未登録／","")&amp;IF(AND($AQ1054&lt;&gt;"",OR(AND(INDEX(職員マスタ!$G$6:$G$405,$AP1054)&lt;&gt;"",INDEX(職員マスタ!$G$6:$G$405,$AP1054)&gt;EOMONTH($AQ1054,0)),AND(INDEX(職員マスタ!$H$6:$H$405,$AP1054)&lt;&gt;"",INDEX(職員マスタ!$H$6:$H$405,$AP1054)&lt;$AQ1054))),"対象月が時短期間外／","")&amp;IF(AND(INDEX(職員マスタ!$K$6:$K$405,$AP1054)&lt;&gt;"",N($W1054)&gt;0,INDEX(職員マスタ!$K$6:$K$405,$AP1054)&lt;&gt;$W1054),"標準報酬月額が申請書と相違（台帳"&amp;TEXT(INDEX(職員マスタ!$K$6:$K$405,$AP1054),"#,##0")&amp;"円／申請書"&amp;TEXT($W1054,"#,##0")&amp;"円）／","")&amp;IF(AND(INDEX(職員マスタ!$F$6:$F$405,$AP1054)&lt;&gt;"",$AQ1054&lt;&gt;"",INDEX(職員マスタ!$F$6:$F$405,$AP1054)&lt;$AQ1054),"対象月に子が2歳到達済／","")&amp;IF(AND($H1054&lt;&gt;"",INDEX(職員マスタ!$B$6:$B$405,$AP1054)&lt;&gt;"",SUBSTITUTE(SUBSTITUTE($H1054," ","")," ","")&lt;&gt;SUBSTITUTE(SUBSTITUTE(INDEX(職員マスタ!$B$6:$B$405,$AP1054)," ","")," ","")),"氏名がマスタと相違／","")&amp;IF(AND($Q1054&lt;&gt;"",INDEX(職員マスタ!$E$6:$E$405,$AP1054)&lt;&gt;"",$Q1054&lt;&gt;INDEX(職員マスタ!$E$6:$E$405,$AP1054)),"子の生年月日がマスタと相違／","")&amp;IF(AND($L1054&lt;&gt;"",INDEX(職員マスタ!$G$6:$G$405,$AP1054)&lt;&gt;"",$L1054&lt;&gt;INDEX(職員マスタ!$G$6:$G$405,$AP1054)),"時短開始日がマスタと相違／","")&amp;IF(AND($M1054&lt;&gt;"",INDEX(職員マスタ!$H$6:$H$405,$AP1054)&lt;&gt;"",$M1054&lt;&gt;INDEX(職員マスタ!$H$6:$H$405,$AP1054)),"時短終了日がマスタと相違／","")))&amp;IF(AND($B1054&lt;&gt;"",$E1054=""),"報酬額が未入力／","")&amp;IF(N($U1054)&gt;0,"申請書に入力エラーが残っています／","")&amp;IF(AND($B1054&lt;&gt;"",$AQ1054&lt;&gt;""),IF(COUNTIFS($B$6:$B$3005,$B1054,$C$6:$C$3005,$C1054,$D$6:$D$3005,$D1054)&gt;1,"同じ月の請求が重複しています／",""),"")&amp;IF(AND(N($E1054)&gt;0,$AB1054&lt;&gt;"",$AB1054&lt;&gt;"×",$AE1054=0,$AD1054=""),"計算額が下限以下のため不支給／",""))</f>
        <v/>
      </c>
      <c r="AN1054" s="12" t="n"/>
      <c r="AO1054" s="14">
        <f>IF($AF1054="保留中",COUNTIF($AF$6:$AF1054,"保留中"),"")</f>
        <v/>
      </c>
      <c r="AP1054" s="14">
        <f>IF($AQ1054="","",IF(SUMPRODUCT(MAX((職員マスタ!$A$6:$A$405=$B1054)*(((職員マスタ!$G$6:$G$405="")+(職員マスタ!$G$6:$G$405&lt;=EOMONTH($AQ1054,0)))&gt;0)*(((職員マスタ!$H$6:$H$405="")+(職員マスタ!$H$6:$H$405&gt;=$AQ1054))&gt;0)*(ROW(職員マスタ!$A$6:$A$405)-5)))&gt;0,SUMPRODUCT(MAX((職員マスタ!$A$6:$A$405=$B1054)*(((職員マスタ!$G$6:$G$405="")+(職員マスタ!$G$6:$G$405&lt;=EOMONTH($AQ1054,0)))&gt;0)*(((職員マスタ!$H$6:$H$405="")+(職員マスタ!$H$6:$H$405&gt;=$AQ1054))&gt;0)*(ROW(職員マスタ!$A$6:$A$405)-5))),IFERROR(MATCH($B1054,職員マスタ!$A$6:$A$405,0),"")))</f>
        <v/>
      </c>
      <c r="AQ1054" s="16">
        <f>IF(OR($B1054="",$C1054="",$D1054=""),"",DATE($C1054+2018,$D1054,1))</f>
        <v/>
      </c>
    </row>
    <row r="1055">
      <c r="A1055" s="11" t="n"/>
      <c r="B1055" s="12" t="n"/>
      <c r="C1055" s="12" t="n"/>
      <c r="D1055" s="12" t="n"/>
      <c r="E1055" s="13" t="n"/>
      <c r="F1055" s="12" t="n"/>
      <c r="G1055" s="13" t="n"/>
      <c r="H1055" s="12" t="n"/>
      <c r="I1055" s="12" t="n"/>
      <c r="J1055" s="12" t="n"/>
      <c r="K1055" s="12" t="n"/>
      <c r="L1055" s="11" t="n"/>
      <c r="M1055" s="11" t="n"/>
      <c r="N1055" s="11" t="n"/>
      <c r="O1055" s="11" t="n"/>
      <c r="P1055" s="12" t="n"/>
      <c r="Q1055" s="11" t="n"/>
      <c r="R1055" s="12" t="n"/>
      <c r="S1055" s="11" t="n"/>
      <c r="T1055" s="12" t="n"/>
      <c r="U1055" s="12" t="n"/>
      <c r="V1055" s="12" t="n"/>
      <c r="W1055" s="13" t="n"/>
      <c r="X1055" s="14">
        <f>IF($AP1055="",IF($B1055="","",$H1055),IF(INDEX(職員マスタ!$B$6:$B$405,$AP1055)="",$H1055,INDEX(職員マスタ!$B$6:$B$405,$AP1055)))</f>
        <v/>
      </c>
      <c r="Y1055" s="14">
        <f>IF($AP1055="",IF($B1055="","",$R1055),IF(INDEX(職員マスタ!$C$6:$C$405,$AP1055)="",$R1055,INDEX(職員マスタ!$C$6:$C$405,$AP1055)))</f>
        <v/>
      </c>
      <c r="Z1055" s="14">
        <f>IF($AQ1055="","","R"&amp;$C1055&amp;"."&amp;$D1055)</f>
        <v/>
      </c>
      <c r="AA1055" s="15">
        <f>IF(IF($AP1055="",FALSE,INDEX(職員マスタ!$K$6:$K$405,$AP1055)&lt;&gt;""),INDEX(職員マスタ!$K$6:$K$405,$AP1055),IF(N($W1055)&gt;0,$W1055,""))</f>
        <v/>
      </c>
      <c r="AB1055" s="14">
        <f>IF(OR($E1055="",$AA1055=""),"",IF($E1055&gt;=$AA1055,"×",IF($E1055&gt;=$AA1055*設定!$C$5,"△","○")))</f>
        <v/>
      </c>
      <c r="AC1055" s="15">
        <f>IF($AB1055="","",IF($AB1055="×",0,IF($AB1055="○",ROUNDDOWN($E1055*設定!$C$4,0),ROUNDDOWN($E1055*ROUND((9*$AA1055-9*$E1055)/(10*$E1055),4),0))))</f>
        <v/>
      </c>
      <c r="AD1055" s="13" t="n"/>
      <c r="AE1055" s="15">
        <f>IF($B1055="","",IF($AD1055&lt;&gt;"",$AD1055,IF($AC1055="","",IF($AC1055&lt;=設定!$C$3,0,$AC1055))))</f>
        <v/>
      </c>
      <c r="AF1055" s="14">
        <f>IF($B1055="","",IF(AND($AG1055&lt;&gt;"",$AI1055="",$AL1055=""),"保留中",IF($AL1055&lt;&gt;"",IF(N($AE1055)&gt;0,"支給済","不支給"),IF($AE1055="","要確認",IF($AE1055=0,"不支給","未処理")))))</f>
        <v/>
      </c>
      <c r="AG1055" s="12" t="n"/>
      <c r="AH1055" s="11" t="n"/>
      <c r="AI1055" s="11" t="n"/>
      <c r="AJ1055" s="11" t="n"/>
      <c r="AK1055" s="14">
        <f>IF(AND($AF1055="保留中",$AH1055&lt;&gt;""),TODAY()-$AH1055,"")</f>
        <v/>
      </c>
      <c r="AL1055" s="12" t="n"/>
      <c r="AM1055" s="14">
        <f>IF($B1055="","",IF($AQ1055="","対象年月が未入力／","")&amp;IF($B1055="","",IF($AP1055="","職員マスタに未登録の職員番号／",IF($AA1055="","標準報酬月額が未登録／","")&amp;IF(AND($AQ1055&lt;&gt;"",OR(AND(INDEX(職員マスタ!$G$6:$G$405,$AP1055)&lt;&gt;"",INDEX(職員マスタ!$G$6:$G$405,$AP1055)&gt;EOMONTH($AQ1055,0)),AND(INDEX(職員マスタ!$H$6:$H$405,$AP1055)&lt;&gt;"",INDEX(職員マスタ!$H$6:$H$405,$AP1055)&lt;$AQ1055))),"対象月が時短期間外／","")&amp;IF(AND(INDEX(職員マスタ!$K$6:$K$405,$AP1055)&lt;&gt;"",N($W1055)&gt;0,INDEX(職員マスタ!$K$6:$K$405,$AP1055)&lt;&gt;$W1055),"標準報酬月額が申請書と相違（台帳"&amp;TEXT(INDEX(職員マスタ!$K$6:$K$405,$AP1055),"#,##0")&amp;"円／申請書"&amp;TEXT($W1055,"#,##0")&amp;"円）／","")&amp;IF(AND(INDEX(職員マスタ!$F$6:$F$405,$AP1055)&lt;&gt;"",$AQ1055&lt;&gt;"",INDEX(職員マスタ!$F$6:$F$405,$AP1055)&lt;$AQ1055),"対象月に子が2歳到達済／","")&amp;IF(AND($H1055&lt;&gt;"",INDEX(職員マスタ!$B$6:$B$405,$AP1055)&lt;&gt;"",SUBSTITUTE(SUBSTITUTE($H1055," ","")," ","")&lt;&gt;SUBSTITUTE(SUBSTITUTE(INDEX(職員マスタ!$B$6:$B$405,$AP1055)," ","")," ","")),"氏名がマスタと相違／","")&amp;IF(AND($Q1055&lt;&gt;"",INDEX(職員マスタ!$E$6:$E$405,$AP1055)&lt;&gt;"",$Q1055&lt;&gt;INDEX(職員マスタ!$E$6:$E$405,$AP1055)),"子の生年月日がマスタと相違／","")&amp;IF(AND($L1055&lt;&gt;"",INDEX(職員マスタ!$G$6:$G$405,$AP1055)&lt;&gt;"",$L1055&lt;&gt;INDEX(職員マスタ!$G$6:$G$405,$AP1055)),"時短開始日がマスタと相違／","")&amp;IF(AND($M1055&lt;&gt;"",INDEX(職員マスタ!$H$6:$H$405,$AP1055)&lt;&gt;"",$M1055&lt;&gt;INDEX(職員マスタ!$H$6:$H$405,$AP1055)),"時短終了日がマスタと相違／","")))&amp;IF(AND($B1055&lt;&gt;"",$E1055=""),"報酬額が未入力／","")&amp;IF(N($U1055)&gt;0,"申請書に入力エラーが残っています／","")&amp;IF(AND($B1055&lt;&gt;"",$AQ1055&lt;&gt;""),IF(COUNTIFS($B$6:$B$3005,$B1055,$C$6:$C$3005,$C1055,$D$6:$D$3005,$D1055)&gt;1,"同じ月の請求が重複しています／",""),"")&amp;IF(AND(N($E1055)&gt;0,$AB1055&lt;&gt;"",$AB1055&lt;&gt;"×",$AE1055=0,$AD1055=""),"計算額が下限以下のため不支給／",""))</f>
        <v/>
      </c>
      <c r="AN1055" s="12" t="n"/>
      <c r="AO1055" s="14">
        <f>IF($AF1055="保留中",COUNTIF($AF$6:$AF1055,"保留中"),"")</f>
        <v/>
      </c>
      <c r="AP1055" s="14">
        <f>IF($AQ1055="","",IF(SUMPRODUCT(MAX((職員マスタ!$A$6:$A$405=$B1055)*(((職員マスタ!$G$6:$G$405="")+(職員マスタ!$G$6:$G$405&lt;=EOMONTH($AQ1055,0)))&gt;0)*(((職員マスタ!$H$6:$H$405="")+(職員マスタ!$H$6:$H$405&gt;=$AQ1055))&gt;0)*(ROW(職員マスタ!$A$6:$A$405)-5)))&gt;0,SUMPRODUCT(MAX((職員マスタ!$A$6:$A$405=$B1055)*(((職員マスタ!$G$6:$G$405="")+(職員マスタ!$G$6:$G$405&lt;=EOMONTH($AQ1055,0)))&gt;0)*(((職員マスタ!$H$6:$H$405="")+(職員マスタ!$H$6:$H$405&gt;=$AQ1055))&gt;0)*(ROW(職員マスタ!$A$6:$A$405)-5))),IFERROR(MATCH($B1055,職員マスタ!$A$6:$A$405,0),"")))</f>
        <v/>
      </c>
      <c r="AQ1055" s="16">
        <f>IF(OR($B1055="",$C1055="",$D1055=""),"",DATE($C1055+2018,$D1055,1))</f>
        <v/>
      </c>
    </row>
    <row r="1056">
      <c r="A1056" s="11" t="n"/>
      <c r="B1056" s="12" t="n"/>
      <c r="C1056" s="12" t="n"/>
      <c r="D1056" s="12" t="n"/>
      <c r="E1056" s="13" t="n"/>
      <c r="F1056" s="12" t="n"/>
      <c r="G1056" s="13" t="n"/>
      <c r="H1056" s="12" t="n"/>
      <c r="I1056" s="12" t="n"/>
      <c r="J1056" s="12" t="n"/>
      <c r="K1056" s="12" t="n"/>
      <c r="L1056" s="11" t="n"/>
      <c r="M1056" s="11" t="n"/>
      <c r="N1056" s="11" t="n"/>
      <c r="O1056" s="11" t="n"/>
      <c r="P1056" s="12" t="n"/>
      <c r="Q1056" s="11" t="n"/>
      <c r="R1056" s="12" t="n"/>
      <c r="S1056" s="11" t="n"/>
      <c r="T1056" s="12" t="n"/>
      <c r="U1056" s="12" t="n"/>
      <c r="V1056" s="12" t="n"/>
      <c r="W1056" s="13" t="n"/>
      <c r="X1056" s="14">
        <f>IF($AP1056="",IF($B1056="","",$H1056),IF(INDEX(職員マスタ!$B$6:$B$405,$AP1056)="",$H1056,INDEX(職員マスタ!$B$6:$B$405,$AP1056)))</f>
        <v/>
      </c>
      <c r="Y1056" s="14">
        <f>IF($AP1056="",IF($B1056="","",$R1056),IF(INDEX(職員マスタ!$C$6:$C$405,$AP1056)="",$R1056,INDEX(職員マスタ!$C$6:$C$405,$AP1056)))</f>
        <v/>
      </c>
      <c r="Z1056" s="14">
        <f>IF($AQ1056="","","R"&amp;$C1056&amp;"."&amp;$D1056)</f>
        <v/>
      </c>
      <c r="AA1056" s="15">
        <f>IF(IF($AP1056="",FALSE,INDEX(職員マスタ!$K$6:$K$405,$AP1056)&lt;&gt;""),INDEX(職員マスタ!$K$6:$K$405,$AP1056),IF(N($W1056)&gt;0,$W1056,""))</f>
        <v/>
      </c>
      <c r="AB1056" s="14">
        <f>IF(OR($E1056="",$AA1056=""),"",IF($E1056&gt;=$AA1056,"×",IF($E1056&gt;=$AA1056*設定!$C$5,"△","○")))</f>
        <v/>
      </c>
      <c r="AC1056" s="15">
        <f>IF($AB1056="","",IF($AB1056="×",0,IF($AB1056="○",ROUNDDOWN($E1056*設定!$C$4,0),ROUNDDOWN($E1056*ROUND((9*$AA1056-9*$E1056)/(10*$E1056),4),0))))</f>
        <v/>
      </c>
      <c r="AD1056" s="13" t="n"/>
      <c r="AE1056" s="15">
        <f>IF($B1056="","",IF($AD1056&lt;&gt;"",$AD1056,IF($AC1056="","",IF($AC1056&lt;=設定!$C$3,0,$AC1056))))</f>
        <v/>
      </c>
      <c r="AF1056" s="14">
        <f>IF($B1056="","",IF(AND($AG1056&lt;&gt;"",$AI1056="",$AL1056=""),"保留中",IF($AL1056&lt;&gt;"",IF(N($AE1056)&gt;0,"支給済","不支給"),IF($AE1056="","要確認",IF($AE1056=0,"不支給","未処理")))))</f>
        <v/>
      </c>
      <c r="AG1056" s="12" t="n"/>
      <c r="AH1056" s="11" t="n"/>
      <c r="AI1056" s="11" t="n"/>
      <c r="AJ1056" s="11" t="n"/>
      <c r="AK1056" s="14">
        <f>IF(AND($AF1056="保留中",$AH1056&lt;&gt;""),TODAY()-$AH1056,"")</f>
        <v/>
      </c>
      <c r="AL1056" s="12" t="n"/>
      <c r="AM1056" s="14">
        <f>IF($B1056="","",IF($AQ1056="","対象年月が未入力／","")&amp;IF($B1056="","",IF($AP1056="","職員マスタに未登録の職員番号／",IF($AA1056="","標準報酬月額が未登録／","")&amp;IF(AND($AQ1056&lt;&gt;"",OR(AND(INDEX(職員マスタ!$G$6:$G$405,$AP1056)&lt;&gt;"",INDEX(職員マスタ!$G$6:$G$405,$AP1056)&gt;EOMONTH($AQ1056,0)),AND(INDEX(職員マスタ!$H$6:$H$405,$AP1056)&lt;&gt;"",INDEX(職員マスタ!$H$6:$H$405,$AP1056)&lt;$AQ1056))),"対象月が時短期間外／","")&amp;IF(AND(INDEX(職員マスタ!$K$6:$K$405,$AP1056)&lt;&gt;"",N($W1056)&gt;0,INDEX(職員マスタ!$K$6:$K$405,$AP1056)&lt;&gt;$W1056),"標準報酬月額が申請書と相違（台帳"&amp;TEXT(INDEX(職員マスタ!$K$6:$K$405,$AP1056),"#,##0")&amp;"円／申請書"&amp;TEXT($W1056,"#,##0")&amp;"円）／","")&amp;IF(AND(INDEX(職員マスタ!$F$6:$F$405,$AP1056)&lt;&gt;"",$AQ1056&lt;&gt;"",INDEX(職員マスタ!$F$6:$F$405,$AP1056)&lt;$AQ1056),"対象月に子が2歳到達済／","")&amp;IF(AND($H1056&lt;&gt;"",INDEX(職員マスタ!$B$6:$B$405,$AP1056)&lt;&gt;"",SUBSTITUTE(SUBSTITUTE($H1056," ","")," ","")&lt;&gt;SUBSTITUTE(SUBSTITUTE(INDEX(職員マスタ!$B$6:$B$405,$AP1056)," ","")," ","")),"氏名がマスタと相違／","")&amp;IF(AND($Q1056&lt;&gt;"",INDEX(職員マスタ!$E$6:$E$405,$AP1056)&lt;&gt;"",$Q1056&lt;&gt;INDEX(職員マスタ!$E$6:$E$405,$AP1056)),"子の生年月日がマスタと相違／","")&amp;IF(AND($L1056&lt;&gt;"",INDEX(職員マスタ!$G$6:$G$405,$AP1056)&lt;&gt;"",$L1056&lt;&gt;INDEX(職員マスタ!$G$6:$G$405,$AP1056)),"時短開始日がマスタと相違／","")&amp;IF(AND($M1056&lt;&gt;"",INDEX(職員マスタ!$H$6:$H$405,$AP1056)&lt;&gt;"",$M1056&lt;&gt;INDEX(職員マスタ!$H$6:$H$405,$AP1056)),"時短終了日がマスタと相違／","")))&amp;IF(AND($B1056&lt;&gt;"",$E1056=""),"報酬額が未入力／","")&amp;IF(N($U1056)&gt;0,"申請書に入力エラーが残っています／","")&amp;IF(AND($B1056&lt;&gt;"",$AQ1056&lt;&gt;""),IF(COUNTIFS($B$6:$B$3005,$B1056,$C$6:$C$3005,$C1056,$D$6:$D$3005,$D1056)&gt;1,"同じ月の請求が重複しています／",""),"")&amp;IF(AND(N($E1056)&gt;0,$AB1056&lt;&gt;"",$AB1056&lt;&gt;"×",$AE1056=0,$AD1056=""),"計算額が下限以下のため不支給／",""))</f>
        <v/>
      </c>
      <c r="AN1056" s="12" t="n"/>
      <c r="AO1056" s="14">
        <f>IF($AF1056="保留中",COUNTIF($AF$6:$AF1056,"保留中"),"")</f>
        <v/>
      </c>
      <c r="AP1056" s="14">
        <f>IF($AQ1056="","",IF(SUMPRODUCT(MAX((職員マスタ!$A$6:$A$405=$B1056)*(((職員マスタ!$G$6:$G$405="")+(職員マスタ!$G$6:$G$405&lt;=EOMONTH($AQ1056,0)))&gt;0)*(((職員マスタ!$H$6:$H$405="")+(職員マスタ!$H$6:$H$405&gt;=$AQ1056))&gt;0)*(ROW(職員マスタ!$A$6:$A$405)-5)))&gt;0,SUMPRODUCT(MAX((職員マスタ!$A$6:$A$405=$B1056)*(((職員マスタ!$G$6:$G$405="")+(職員マスタ!$G$6:$G$405&lt;=EOMONTH($AQ1056,0)))&gt;0)*(((職員マスタ!$H$6:$H$405="")+(職員マスタ!$H$6:$H$405&gt;=$AQ1056))&gt;0)*(ROW(職員マスタ!$A$6:$A$405)-5))),IFERROR(MATCH($B1056,職員マスタ!$A$6:$A$405,0),"")))</f>
        <v/>
      </c>
      <c r="AQ1056" s="16">
        <f>IF(OR($B1056="",$C1056="",$D1056=""),"",DATE($C1056+2018,$D1056,1))</f>
        <v/>
      </c>
    </row>
    <row r="1057">
      <c r="A1057" s="11" t="n"/>
      <c r="B1057" s="12" t="n"/>
      <c r="C1057" s="12" t="n"/>
      <c r="D1057" s="12" t="n"/>
      <c r="E1057" s="13" t="n"/>
      <c r="F1057" s="12" t="n"/>
      <c r="G1057" s="13" t="n"/>
      <c r="H1057" s="12" t="n"/>
      <c r="I1057" s="12" t="n"/>
      <c r="J1057" s="12" t="n"/>
      <c r="K1057" s="12" t="n"/>
      <c r="L1057" s="11" t="n"/>
      <c r="M1057" s="11" t="n"/>
      <c r="N1057" s="11" t="n"/>
      <c r="O1057" s="11" t="n"/>
      <c r="P1057" s="12" t="n"/>
      <c r="Q1057" s="11" t="n"/>
      <c r="R1057" s="12" t="n"/>
      <c r="S1057" s="11" t="n"/>
      <c r="T1057" s="12" t="n"/>
      <c r="U1057" s="12" t="n"/>
      <c r="V1057" s="12" t="n"/>
      <c r="W1057" s="13" t="n"/>
      <c r="X1057" s="14">
        <f>IF($AP1057="",IF($B1057="","",$H1057),IF(INDEX(職員マスタ!$B$6:$B$405,$AP1057)="",$H1057,INDEX(職員マスタ!$B$6:$B$405,$AP1057)))</f>
        <v/>
      </c>
      <c r="Y1057" s="14">
        <f>IF($AP1057="",IF($B1057="","",$R1057),IF(INDEX(職員マスタ!$C$6:$C$405,$AP1057)="",$R1057,INDEX(職員マスタ!$C$6:$C$405,$AP1057)))</f>
        <v/>
      </c>
      <c r="Z1057" s="14">
        <f>IF($AQ1057="","","R"&amp;$C1057&amp;"."&amp;$D1057)</f>
        <v/>
      </c>
      <c r="AA1057" s="15">
        <f>IF(IF($AP1057="",FALSE,INDEX(職員マスタ!$K$6:$K$405,$AP1057)&lt;&gt;""),INDEX(職員マスタ!$K$6:$K$405,$AP1057),IF(N($W1057)&gt;0,$W1057,""))</f>
        <v/>
      </c>
      <c r="AB1057" s="14">
        <f>IF(OR($E1057="",$AA1057=""),"",IF($E1057&gt;=$AA1057,"×",IF($E1057&gt;=$AA1057*設定!$C$5,"△","○")))</f>
        <v/>
      </c>
      <c r="AC1057" s="15">
        <f>IF($AB1057="","",IF($AB1057="×",0,IF($AB1057="○",ROUNDDOWN($E1057*設定!$C$4,0),ROUNDDOWN($E1057*ROUND((9*$AA1057-9*$E1057)/(10*$E1057),4),0))))</f>
        <v/>
      </c>
      <c r="AD1057" s="13" t="n"/>
      <c r="AE1057" s="15">
        <f>IF($B1057="","",IF($AD1057&lt;&gt;"",$AD1057,IF($AC1057="","",IF($AC1057&lt;=設定!$C$3,0,$AC1057))))</f>
        <v/>
      </c>
      <c r="AF1057" s="14">
        <f>IF($B1057="","",IF(AND($AG1057&lt;&gt;"",$AI1057="",$AL1057=""),"保留中",IF($AL1057&lt;&gt;"",IF(N($AE1057)&gt;0,"支給済","不支給"),IF($AE1057="","要確認",IF($AE1057=0,"不支給","未処理")))))</f>
        <v/>
      </c>
      <c r="AG1057" s="12" t="n"/>
      <c r="AH1057" s="11" t="n"/>
      <c r="AI1057" s="11" t="n"/>
      <c r="AJ1057" s="11" t="n"/>
      <c r="AK1057" s="14">
        <f>IF(AND($AF1057="保留中",$AH1057&lt;&gt;""),TODAY()-$AH1057,"")</f>
        <v/>
      </c>
      <c r="AL1057" s="12" t="n"/>
      <c r="AM1057" s="14">
        <f>IF($B1057="","",IF($AQ1057="","対象年月が未入力／","")&amp;IF($B1057="","",IF($AP1057="","職員マスタに未登録の職員番号／",IF($AA1057="","標準報酬月額が未登録／","")&amp;IF(AND($AQ1057&lt;&gt;"",OR(AND(INDEX(職員マスタ!$G$6:$G$405,$AP1057)&lt;&gt;"",INDEX(職員マスタ!$G$6:$G$405,$AP1057)&gt;EOMONTH($AQ1057,0)),AND(INDEX(職員マスタ!$H$6:$H$405,$AP1057)&lt;&gt;"",INDEX(職員マスタ!$H$6:$H$405,$AP1057)&lt;$AQ1057))),"対象月が時短期間外／","")&amp;IF(AND(INDEX(職員マスタ!$K$6:$K$405,$AP1057)&lt;&gt;"",N($W1057)&gt;0,INDEX(職員マスタ!$K$6:$K$405,$AP1057)&lt;&gt;$W1057),"標準報酬月額が申請書と相違（台帳"&amp;TEXT(INDEX(職員マスタ!$K$6:$K$405,$AP1057),"#,##0")&amp;"円／申請書"&amp;TEXT($W1057,"#,##0")&amp;"円）／","")&amp;IF(AND(INDEX(職員マスタ!$F$6:$F$405,$AP1057)&lt;&gt;"",$AQ1057&lt;&gt;"",INDEX(職員マスタ!$F$6:$F$405,$AP1057)&lt;$AQ1057),"対象月に子が2歳到達済／","")&amp;IF(AND($H1057&lt;&gt;"",INDEX(職員マスタ!$B$6:$B$405,$AP1057)&lt;&gt;"",SUBSTITUTE(SUBSTITUTE($H1057," ","")," ","")&lt;&gt;SUBSTITUTE(SUBSTITUTE(INDEX(職員マスタ!$B$6:$B$405,$AP1057)," ","")," ","")),"氏名がマスタと相違／","")&amp;IF(AND($Q1057&lt;&gt;"",INDEX(職員マスタ!$E$6:$E$405,$AP1057)&lt;&gt;"",$Q1057&lt;&gt;INDEX(職員マスタ!$E$6:$E$405,$AP1057)),"子の生年月日がマスタと相違／","")&amp;IF(AND($L1057&lt;&gt;"",INDEX(職員マスタ!$G$6:$G$405,$AP1057)&lt;&gt;"",$L1057&lt;&gt;INDEX(職員マスタ!$G$6:$G$405,$AP1057)),"時短開始日がマスタと相違／","")&amp;IF(AND($M1057&lt;&gt;"",INDEX(職員マスタ!$H$6:$H$405,$AP1057)&lt;&gt;"",$M1057&lt;&gt;INDEX(職員マスタ!$H$6:$H$405,$AP1057)),"時短終了日がマスタと相違／","")))&amp;IF(AND($B1057&lt;&gt;"",$E1057=""),"報酬額が未入力／","")&amp;IF(N($U1057)&gt;0,"申請書に入力エラーが残っています／","")&amp;IF(AND($B1057&lt;&gt;"",$AQ1057&lt;&gt;""),IF(COUNTIFS($B$6:$B$3005,$B1057,$C$6:$C$3005,$C1057,$D$6:$D$3005,$D1057)&gt;1,"同じ月の請求が重複しています／",""),"")&amp;IF(AND(N($E1057)&gt;0,$AB1057&lt;&gt;"",$AB1057&lt;&gt;"×",$AE1057=0,$AD1057=""),"計算額が下限以下のため不支給／",""))</f>
        <v/>
      </c>
      <c r="AN1057" s="12" t="n"/>
      <c r="AO1057" s="14">
        <f>IF($AF1057="保留中",COUNTIF($AF$6:$AF1057,"保留中"),"")</f>
        <v/>
      </c>
      <c r="AP1057" s="14">
        <f>IF($AQ1057="","",IF(SUMPRODUCT(MAX((職員マスタ!$A$6:$A$405=$B1057)*(((職員マスタ!$G$6:$G$405="")+(職員マスタ!$G$6:$G$405&lt;=EOMONTH($AQ1057,0)))&gt;0)*(((職員マスタ!$H$6:$H$405="")+(職員マスタ!$H$6:$H$405&gt;=$AQ1057))&gt;0)*(ROW(職員マスタ!$A$6:$A$405)-5)))&gt;0,SUMPRODUCT(MAX((職員マスタ!$A$6:$A$405=$B1057)*(((職員マスタ!$G$6:$G$405="")+(職員マスタ!$G$6:$G$405&lt;=EOMONTH($AQ1057,0)))&gt;0)*(((職員マスタ!$H$6:$H$405="")+(職員マスタ!$H$6:$H$405&gt;=$AQ1057))&gt;0)*(ROW(職員マスタ!$A$6:$A$405)-5))),IFERROR(MATCH($B1057,職員マスタ!$A$6:$A$405,0),"")))</f>
        <v/>
      </c>
      <c r="AQ1057" s="16">
        <f>IF(OR($B1057="",$C1057="",$D1057=""),"",DATE($C1057+2018,$D1057,1))</f>
        <v/>
      </c>
    </row>
    <row r="1058">
      <c r="A1058" s="11" t="n"/>
      <c r="B1058" s="12" t="n"/>
      <c r="C1058" s="12" t="n"/>
      <c r="D1058" s="12" t="n"/>
      <c r="E1058" s="13" t="n"/>
      <c r="F1058" s="12" t="n"/>
      <c r="G1058" s="13" t="n"/>
      <c r="H1058" s="12" t="n"/>
      <c r="I1058" s="12" t="n"/>
      <c r="J1058" s="12" t="n"/>
      <c r="K1058" s="12" t="n"/>
      <c r="L1058" s="11" t="n"/>
      <c r="M1058" s="11" t="n"/>
      <c r="N1058" s="11" t="n"/>
      <c r="O1058" s="11" t="n"/>
      <c r="P1058" s="12" t="n"/>
      <c r="Q1058" s="11" t="n"/>
      <c r="R1058" s="12" t="n"/>
      <c r="S1058" s="11" t="n"/>
      <c r="T1058" s="12" t="n"/>
      <c r="U1058" s="12" t="n"/>
      <c r="V1058" s="12" t="n"/>
      <c r="W1058" s="13" t="n"/>
      <c r="X1058" s="14">
        <f>IF($AP1058="",IF($B1058="","",$H1058),IF(INDEX(職員マスタ!$B$6:$B$405,$AP1058)="",$H1058,INDEX(職員マスタ!$B$6:$B$405,$AP1058)))</f>
        <v/>
      </c>
      <c r="Y1058" s="14">
        <f>IF($AP1058="",IF($B1058="","",$R1058),IF(INDEX(職員マスタ!$C$6:$C$405,$AP1058)="",$R1058,INDEX(職員マスタ!$C$6:$C$405,$AP1058)))</f>
        <v/>
      </c>
      <c r="Z1058" s="14">
        <f>IF($AQ1058="","","R"&amp;$C1058&amp;"."&amp;$D1058)</f>
        <v/>
      </c>
      <c r="AA1058" s="15">
        <f>IF(IF($AP1058="",FALSE,INDEX(職員マスタ!$K$6:$K$405,$AP1058)&lt;&gt;""),INDEX(職員マスタ!$K$6:$K$405,$AP1058),IF(N($W1058)&gt;0,$W1058,""))</f>
        <v/>
      </c>
      <c r="AB1058" s="14">
        <f>IF(OR($E1058="",$AA1058=""),"",IF($E1058&gt;=$AA1058,"×",IF($E1058&gt;=$AA1058*設定!$C$5,"△","○")))</f>
        <v/>
      </c>
      <c r="AC1058" s="15">
        <f>IF($AB1058="","",IF($AB1058="×",0,IF($AB1058="○",ROUNDDOWN($E1058*設定!$C$4,0),ROUNDDOWN($E1058*ROUND((9*$AA1058-9*$E1058)/(10*$E1058),4),0))))</f>
        <v/>
      </c>
      <c r="AD1058" s="13" t="n"/>
      <c r="AE1058" s="15">
        <f>IF($B1058="","",IF($AD1058&lt;&gt;"",$AD1058,IF($AC1058="","",IF($AC1058&lt;=設定!$C$3,0,$AC1058))))</f>
        <v/>
      </c>
      <c r="AF1058" s="14">
        <f>IF($B1058="","",IF(AND($AG1058&lt;&gt;"",$AI1058="",$AL1058=""),"保留中",IF($AL1058&lt;&gt;"",IF(N($AE1058)&gt;0,"支給済","不支給"),IF($AE1058="","要確認",IF($AE1058=0,"不支給","未処理")))))</f>
        <v/>
      </c>
      <c r="AG1058" s="12" t="n"/>
      <c r="AH1058" s="11" t="n"/>
      <c r="AI1058" s="11" t="n"/>
      <c r="AJ1058" s="11" t="n"/>
      <c r="AK1058" s="14">
        <f>IF(AND($AF1058="保留中",$AH1058&lt;&gt;""),TODAY()-$AH1058,"")</f>
        <v/>
      </c>
      <c r="AL1058" s="12" t="n"/>
      <c r="AM1058" s="14">
        <f>IF($B1058="","",IF($AQ1058="","対象年月が未入力／","")&amp;IF($B1058="","",IF($AP1058="","職員マスタに未登録の職員番号／",IF($AA1058="","標準報酬月額が未登録／","")&amp;IF(AND($AQ1058&lt;&gt;"",OR(AND(INDEX(職員マスタ!$G$6:$G$405,$AP1058)&lt;&gt;"",INDEX(職員マスタ!$G$6:$G$405,$AP1058)&gt;EOMONTH($AQ1058,0)),AND(INDEX(職員マスタ!$H$6:$H$405,$AP1058)&lt;&gt;"",INDEX(職員マスタ!$H$6:$H$405,$AP1058)&lt;$AQ1058))),"対象月が時短期間外／","")&amp;IF(AND(INDEX(職員マスタ!$K$6:$K$405,$AP1058)&lt;&gt;"",N($W1058)&gt;0,INDEX(職員マスタ!$K$6:$K$405,$AP1058)&lt;&gt;$W1058),"標準報酬月額が申請書と相違（台帳"&amp;TEXT(INDEX(職員マスタ!$K$6:$K$405,$AP1058),"#,##0")&amp;"円／申請書"&amp;TEXT($W1058,"#,##0")&amp;"円）／","")&amp;IF(AND(INDEX(職員マスタ!$F$6:$F$405,$AP1058)&lt;&gt;"",$AQ1058&lt;&gt;"",INDEX(職員マスタ!$F$6:$F$405,$AP1058)&lt;$AQ1058),"対象月に子が2歳到達済／","")&amp;IF(AND($H1058&lt;&gt;"",INDEX(職員マスタ!$B$6:$B$405,$AP1058)&lt;&gt;"",SUBSTITUTE(SUBSTITUTE($H1058," ","")," ","")&lt;&gt;SUBSTITUTE(SUBSTITUTE(INDEX(職員マスタ!$B$6:$B$405,$AP1058)," ","")," ","")),"氏名がマスタと相違／","")&amp;IF(AND($Q1058&lt;&gt;"",INDEX(職員マスタ!$E$6:$E$405,$AP1058)&lt;&gt;"",$Q1058&lt;&gt;INDEX(職員マスタ!$E$6:$E$405,$AP1058)),"子の生年月日がマスタと相違／","")&amp;IF(AND($L1058&lt;&gt;"",INDEX(職員マスタ!$G$6:$G$405,$AP1058)&lt;&gt;"",$L1058&lt;&gt;INDEX(職員マスタ!$G$6:$G$405,$AP1058)),"時短開始日がマスタと相違／","")&amp;IF(AND($M1058&lt;&gt;"",INDEX(職員マスタ!$H$6:$H$405,$AP1058)&lt;&gt;"",$M1058&lt;&gt;INDEX(職員マスタ!$H$6:$H$405,$AP1058)),"時短終了日がマスタと相違／","")))&amp;IF(AND($B1058&lt;&gt;"",$E1058=""),"報酬額が未入力／","")&amp;IF(N($U1058)&gt;0,"申請書に入力エラーが残っています／","")&amp;IF(AND($B1058&lt;&gt;"",$AQ1058&lt;&gt;""),IF(COUNTIFS($B$6:$B$3005,$B1058,$C$6:$C$3005,$C1058,$D$6:$D$3005,$D1058)&gt;1,"同じ月の請求が重複しています／",""),"")&amp;IF(AND(N($E1058)&gt;0,$AB1058&lt;&gt;"",$AB1058&lt;&gt;"×",$AE1058=0,$AD1058=""),"計算額が下限以下のため不支給／",""))</f>
        <v/>
      </c>
      <c r="AN1058" s="12" t="n"/>
      <c r="AO1058" s="14">
        <f>IF($AF1058="保留中",COUNTIF($AF$6:$AF1058,"保留中"),"")</f>
        <v/>
      </c>
      <c r="AP1058" s="14">
        <f>IF($AQ1058="","",IF(SUMPRODUCT(MAX((職員マスタ!$A$6:$A$405=$B1058)*(((職員マスタ!$G$6:$G$405="")+(職員マスタ!$G$6:$G$405&lt;=EOMONTH($AQ1058,0)))&gt;0)*(((職員マスタ!$H$6:$H$405="")+(職員マスタ!$H$6:$H$405&gt;=$AQ1058))&gt;0)*(ROW(職員マスタ!$A$6:$A$405)-5)))&gt;0,SUMPRODUCT(MAX((職員マスタ!$A$6:$A$405=$B1058)*(((職員マスタ!$G$6:$G$405="")+(職員マスタ!$G$6:$G$405&lt;=EOMONTH($AQ1058,0)))&gt;0)*(((職員マスタ!$H$6:$H$405="")+(職員マスタ!$H$6:$H$405&gt;=$AQ1058))&gt;0)*(ROW(職員マスタ!$A$6:$A$405)-5))),IFERROR(MATCH($B1058,職員マスタ!$A$6:$A$405,0),"")))</f>
        <v/>
      </c>
      <c r="AQ1058" s="16">
        <f>IF(OR($B1058="",$C1058="",$D1058=""),"",DATE($C1058+2018,$D1058,1))</f>
        <v/>
      </c>
    </row>
    <row r="1059">
      <c r="A1059" s="11" t="n"/>
      <c r="B1059" s="12" t="n"/>
      <c r="C1059" s="12" t="n"/>
      <c r="D1059" s="12" t="n"/>
      <c r="E1059" s="13" t="n"/>
      <c r="F1059" s="12" t="n"/>
      <c r="G1059" s="13" t="n"/>
      <c r="H1059" s="12" t="n"/>
      <c r="I1059" s="12" t="n"/>
      <c r="J1059" s="12" t="n"/>
      <c r="K1059" s="12" t="n"/>
      <c r="L1059" s="11" t="n"/>
      <c r="M1059" s="11" t="n"/>
      <c r="N1059" s="11" t="n"/>
      <c r="O1059" s="11" t="n"/>
      <c r="P1059" s="12" t="n"/>
      <c r="Q1059" s="11" t="n"/>
      <c r="R1059" s="12" t="n"/>
      <c r="S1059" s="11" t="n"/>
      <c r="T1059" s="12" t="n"/>
      <c r="U1059" s="12" t="n"/>
      <c r="V1059" s="12" t="n"/>
      <c r="W1059" s="13" t="n"/>
      <c r="X1059" s="14">
        <f>IF($AP1059="",IF($B1059="","",$H1059),IF(INDEX(職員マスタ!$B$6:$B$405,$AP1059)="",$H1059,INDEX(職員マスタ!$B$6:$B$405,$AP1059)))</f>
        <v/>
      </c>
      <c r="Y1059" s="14">
        <f>IF($AP1059="",IF($B1059="","",$R1059),IF(INDEX(職員マスタ!$C$6:$C$405,$AP1059)="",$R1059,INDEX(職員マスタ!$C$6:$C$405,$AP1059)))</f>
        <v/>
      </c>
      <c r="Z1059" s="14">
        <f>IF($AQ1059="","","R"&amp;$C1059&amp;"."&amp;$D1059)</f>
        <v/>
      </c>
      <c r="AA1059" s="15">
        <f>IF(IF($AP1059="",FALSE,INDEX(職員マスタ!$K$6:$K$405,$AP1059)&lt;&gt;""),INDEX(職員マスタ!$K$6:$K$405,$AP1059),IF(N($W1059)&gt;0,$W1059,""))</f>
        <v/>
      </c>
      <c r="AB1059" s="14">
        <f>IF(OR($E1059="",$AA1059=""),"",IF($E1059&gt;=$AA1059,"×",IF($E1059&gt;=$AA1059*設定!$C$5,"△","○")))</f>
        <v/>
      </c>
      <c r="AC1059" s="15">
        <f>IF($AB1059="","",IF($AB1059="×",0,IF($AB1059="○",ROUNDDOWN($E1059*設定!$C$4,0),ROUNDDOWN($E1059*ROUND((9*$AA1059-9*$E1059)/(10*$E1059),4),0))))</f>
        <v/>
      </c>
      <c r="AD1059" s="13" t="n"/>
      <c r="AE1059" s="15">
        <f>IF($B1059="","",IF($AD1059&lt;&gt;"",$AD1059,IF($AC1059="","",IF($AC1059&lt;=設定!$C$3,0,$AC1059))))</f>
        <v/>
      </c>
      <c r="AF1059" s="14">
        <f>IF($B1059="","",IF(AND($AG1059&lt;&gt;"",$AI1059="",$AL1059=""),"保留中",IF($AL1059&lt;&gt;"",IF(N($AE1059)&gt;0,"支給済","不支給"),IF($AE1059="","要確認",IF($AE1059=0,"不支給","未処理")))))</f>
        <v/>
      </c>
      <c r="AG1059" s="12" t="n"/>
      <c r="AH1059" s="11" t="n"/>
      <c r="AI1059" s="11" t="n"/>
      <c r="AJ1059" s="11" t="n"/>
      <c r="AK1059" s="14">
        <f>IF(AND($AF1059="保留中",$AH1059&lt;&gt;""),TODAY()-$AH1059,"")</f>
        <v/>
      </c>
      <c r="AL1059" s="12" t="n"/>
      <c r="AM1059" s="14">
        <f>IF($B1059="","",IF($AQ1059="","対象年月が未入力／","")&amp;IF($B1059="","",IF($AP1059="","職員マスタに未登録の職員番号／",IF($AA1059="","標準報酬月額が未登録／","")&amp;IF(AND($AQ1059&lt;&gt;"",OR(AND(INDEX(職員マスタ!$G$6:$G$405,$AP1059)&lt;&gt;"",INDEX(職員マスタ!$G$6:$G$405,$AP1059)&gt;EOMONTH($AQ1059,0)),AND(INDEX(職員マスタ!$H$6:$H$405,$AP1059)&lt;&gt;"",INDEX(職員マスタ!$H$6:$H$405,$AP1059)&lt;$AQ1059))),"対象月が時短期間外／","")&amp;IF(AND(INDEX(職員マスタ!$K$6:$K$405,$AP1059)&lt;&gt;"",N($W1059)&gt;0,INDEX(職員マスタ!$K$6:$K$405,$AP1059)&lt;&gt;$W1059),"標準報酬月額が申請書と相違（台帳"&amp;TEXT(INDEX(職員マスタ!$K$6:$K$405,$AP1059),"#,##0")&amp;"円／申請書"&amp;TEXT($W1059,"#,##0")&amp;"円）／","")&amp;IF(AND(INDEX(職員マスタ!$F$6:$F$405,$AP1059)&lt;&gt;"",$AQ1059&lt;&gt;"",INDEX(職員マスタ!$F$6:$F$405,$AP1059)&lt;$AQ1059),"対象月に子が2歳到達済／","")&amp;IF(AND($H1059&lt;&gt;"",INDEX(職員マスタ!$B$6:$B$405,$AP1059)&lt;&gt;"",SUBSTITUTE(SUBSTITUTE($H1059," ","")," ","")&lt;&gt;SUBSTITUTE(SUBSTITUTE(INDEX(職員マスタ!$B$6:$B$405,$AP1059)," ","")," ","")),"氏名がマスタと相違／","")&amp;IF(AND($Q1059&lt;&gt;"",INDEX(職員マスタ!$E$6:$E$405,$AP1059)&lt;&gt;"",$Q1059&lt;&gt;INDEX(職員マスタ!$E$6:$E$405,$AP1059)),"子の生年月日がマスタと相違／","")&amp;IF(AND($L1059&lt;&gt;"",INDEX(職員マスタ!$G$6:$G$405,$AP1059)&lt;&gt;"",$L1059&lt;&gt;INDEX(職員マスタ!$G$6:$G$405,$AP1059)),"時短開始日がマスタと相違／","")&amp;IF(AND($M1059&lt;&gt;"",INDEX(職員マスタ!$H$6:$H$405,$AP1059)&lt;&gt;"",$M1059&lt;&gt;INDEX(職員マスタ!$H$6:$H$405,$AP1059)),"時短終了日がマスタと相違／","")))&amp;IF(AND($B1059&lt;&gt;"",$E1059=""),"報酬額が未入力／","")&amp;IF(N($U1059)&gt;0,"申請書に入力エラーが残っています／","")&amp;IF(AND($B1059&lt;&gt;"",$AQ1059&lt;&gt;""),IF(COUNTIFS($B$6:$B$3005,$B1059,$C$6:$C$3005,$C1059,$D$6:$D$3005,$D1059)&gt;1,"同じ月の請求が重複しています／",""),"")&amp;IF(AND(N($E1059)&gt;0,$AB1059&lt;&gt;"",$AB1059&lt;&gt;"×",$AE1059=0,$AD1059=""),"計算額が下限以下のため不支給／",""))</f>
        <v/>
      </c>
      <c r="AN1059" s="12" t="n"/>
      <c r="AO1059" s="14">
        <f>IF($AF1059="保留中",COUNTIF($AF$6:$AF1059,"保留中"),"")</f>
        <v/>
      </c>
      <c r="AP1059" s="14">
        <f>IF($AQ1059="","",IF(SUMPRODUCT(MAX((職員マスタ!$A$6:$A$405=$B1059)*(((職員マスタ!$G$6:$G$405="")+(職員マスタ!$G$6:$G$405&lt;=EOMONTH($AQ1059,0)))&gt;0)*(((職員マスタ!$H$6:$H$405="")+(職員マスタ!$H$6:$H$405&gt;=$AQ1059))&gt;0)*(ROW(職員マスタ!$A$6:$A$405)-5)))&gt;0,SUMPRODUCT(MAX((職員マスタ!$A$6:$A$405=$B1059)*(((職員マスタ!$G$6:$G$405="")+(職員マスタ!$G$6:$G$405&lt;=EOMONTH($AQ1059,0)))&gt;0)*(((職員マスタ!$H$6:$H$405="")+(職員マスタ!$H$6:$H$405&gt;=$AQ1059))&gt;0)*(ROW(職員マスタ!$A$6:$A$405)-5))),IFERROR(MATCH($B1059,職員マスタ!$A$6:$A$405,0),"")))</f>
        <v/>
      </c>
      <c r="AQ1059" s="16">
        <f>IF(OR($B1059="",$C1059="",$D1059=""),"",DATE($C1059+2018,$D1059,1))</f>
        <v/>
      </c>
    </row>
    <row r="1060">
      <c r="A1060" s="11" t="n"/>
      <c r="B1060" s="12" t="n"/>
      <c r="C1060" s="12" t="n"/>
      <c r="D1060" s="12" t="n"/>
      <c r="E1060" s="13" t="n"/>
      <c r="F1060" s="12" t="n"/>
      <c r="G1060" s="13" t="n"/>
      <c r="H1060" s="12" t="n"/>
      <c r="I1060" s="12" t="n"/>
      <c r="J1060" s="12" t="n"/>
      <c r="K1060" s="12" t="n"/>
      <c r="L1060" s="11" t="n"/>
      <c r="M1060" s="11" t="n"/>
      <c r="N1060" s="11" t="n"/>
      <c r="O1060" s="11" t="n"/>
      <c r="P1060" s="12" t="n"/>
      <c r="Q1060" s="11" t="n"/>
      <c r="R1060" s="12" t="n"/>
      <c r="S1060" s="11" t="n"/>
      <c r="T1060" s="12" t="n"/>
      <c r="U1060" s="12" t="n"/>
      <c r="V1060" s="12" t="n"/>
      <c r="W1060" s="13" t="n"/>
      <c r="X1060" s="14">
        <f>IF($AP1060="",IF($B1060="","",$H1060),IF(INDEX(職員マスタ!$B$6:$B$405,$AP1060)="",$H1060,INDEX(職員マスタ!$B$6:$B$405,$AP1060)))</f>
        <v/>
      </c>
      <c r="Y1060" s="14">
        <f>IF($AP1060="",IF($B1060="","",$R1060),IF(INDEX(職員マスタ!$C$6:$C$405,$AP1060)="",$R1060,INDEX(職員マスタ!$C$6:$C$405,$AP1060)))</f>
        <v/>
      </c>
      <c r="Z1060" s="14">
        <f>IF($AQ1060="","","R"&amp;$C1060&amp;"."&amp;$D1060)</f>
        <v/>
      </c>
      <c r="AA1060" s="15">
        <f>IF(IF($AP1060="",FALSE,INDEX(職員マスタ!$K$6:$K$405,$AP1060)&lt;&gt;""),INDEX(職員マスタ!$K$6:$K$405,$AP1060),IF(N($W1060)&gt;0,$W1060,""))</f>
        <v/>
      </c>
      <c r="AB1060" s="14">
        <f>IF(OR($E1060="",$AA1060=""),"",IF($E1060&gt;=$AA1060,"×",IF($E1060&gt;=$AA1060*設定!$C$5,"△","○")))</f>
        <v/>
      </c>
      <c r="AC1060" s="15">
        <f>IF($AB1060="","",IF($AB1060="×",0,IF($AB1060="○",ROUNDDOWN($E1060*設定!$C$4,0),ROUNDDOWN($E1060*ROUND((9*$AA1060-9*$E1060)/(10*$E1060),4),0))))</f>
        <v/>
      </c>
      <c r="AD1060" s="13" t="n"/>
      <c r="AE1060" s="15">
        <f>IF($B1060="","",IF($AD1060&lt;&gt;"",$AD1060,IF($AC1060="","",IF($AC1060&lt;=設定!$C$3,0,$AC1060))))</f>
        <v/>
      </c>
      <c r="AF1060" s="14">
        <f>IF($B1060="","",IF(AND($AG1060&lt;&gt;"",$AI1060="",$AL1060=""),"保留中",IF($AL1060&lt;&gt;"",IF(N($AE1060)&gt;0,"支給済","不支給"),IF($AE1060="","要確認",IF($AE1060=0,"不支給","未処理")))))</f>
        <v/>
      </c>
      <c r="AG1060" s="12" t="n"/>
      <c r="AH1060" s="11" t="n"/>
      <c r="AI1060" s="11" t="n"/>
      <c r="AJ1060" s="11" t="n"/>
      <c r="AK1060" s="14">
        <f>IF(AND($AF1060="保留中",$AH1060&lt;&gt;""),TODAY()-$AH1060,"")</f>
        <v/>
      </c>
      <c r="AL1060" s="12" t="n"/>
      <c r="AM1060" s="14">
        <f>IF($B1060="","",IF($AQ1060="","対象年月が未入力／","")&amp;IF($B1060="","",IF($AP1060="","職員マスタに未登録の職員番号／",IF($AA1060="","標準報酬月額が未登録／","")&amp;IF(AND($AQ1060&lt;&gt;"",OR(AND(INDEX(職員マスタ!$G$6:$G$405,$AP1060)&lt;&gt;"",INDEX(職員マスタ!$G$6:$G$405,$AP1060)&gt;EOMONTH($AQ1060,0)),AND(INDEX(職員マスタ!$H$6:$H$405,$AP1060)&lt;&gt;"",INDEX(職員マスタ!$H$6:$H$405,$AP1060)&lt;$AQ1060))),"対象月が時短期間外／","")&amp;IF(AND(INDEX(職員マスタ!$K$6:$K$405,$AP1060)&lt;&gt;"",N($W1060)&gt;0,INDEX(職員マスタ!$K$6:$K$405,$AP1060)&lt;&gt;$W1060),"標準報酬月額が申請書と相違（台帳"&amp;TEXT(INDEX(職員マスタ!$K$6:$K$405,$AP1060),"#,##0")&amp;"円／申請書"&amp;TEXT($W1060,"#,##0")&amp;"円）／","")&amp;IF(AND(INDEX(職員マスタ!$F$6:$F$405,$AP1060)&lt;&gt;"",$AQ1060&lt;&gt;"",INDEX(職員マスタ!$F$6:$F$405,$AP1060)&lt;$AQ1060),"対象月に子が2歳到達済／","")&amp;IF(AND($H1060&lt;&gt;"",INDEX(職員マスタ!$B$6:$B$405,$AP1060)&lt;&gt;"",SUBSTITUTE(SUBSTITUTE($H1060," ","")," ","")&lt;&gt;SUBSTITUTE(SUBSTITUTE(INDEX(職員マスタ!$B$6:$B$405,$AP1060)," ","")," ","")),"氏名がマスタと相違／","")&amp;IF(AND($Q1060&lt;&gt;"",INDEX(職員マスタ!$E$6:$E$405,$AP1060)&lt;&gt;"",$Q1060&lt;&gt;INDEX(職員マスタ!$E$6:$E$405,$AP1060)),"子の生年月日がマスタと相違／","")&amp;IF(AND($L1060&lt;&gt;"",INDEX(職員マスタ!$G$6:$G$405,$AP1060)&lt;&gt;"",$L1060&lt;&gt;INDEX(職員マスタ!$G$6:$G$405,$AP1060)),"時短開始日がマスタと相違／","")&amp;IF(AND($M1060&lt;&gt;"",INDEX(職員マスタ!$H$6:$H$405,$AP1060)&lt;&gt;"",$M1060&lt;&gt;INDEX(職員マスタ!$H$6:$H$405,$AP1060)),"時短終了日がマスタと相違／","")))&amp;IF(AND($B1060&lt;&gt;"",$E1060=""),"報酬額が未入力／","")&amp;IF(N($U1060)&gt;0,"申請書に入力エラーが残っています／","")&amp;IF(AND($B1060&lt;&gt;"",$AQ1060&lt;&gt;""),IF(COUNTIFS($B$6:$B$3005,$B1060,$C$6:$C$3005,$C1060,$D$6:$D$3005,$D1060)&gt;1,"同じ月の請求が重複しています／",""),"")&amp;IF(AND(N($E1060)&gt;0,$AB1060&lt;&gt;"",$AB1060&lt;&gt;"×",$AE1060=0,$AD1060=""),"計算額が下限以下のため不支給／",""))</f>
        <v/>
      </c>
      <c r="AN1060" s="12" t="n"/>
      <c r="AO1060" s="14">
        <f>IF($AF1060="保留中",COUNTIF($AF$6:$AF1060,"保留中"),"")</f>
        <v/>
      </c>
      <c r="AP1060" s="14">
        <f>IF($AQ1060="","",IF(SUMPRODUCT(MAX((職員マスタ!$A$6:$A$405=$B1060)*(((職員マスタ!$G$6:$G$405="")+(職員マスタ!$G$6:$G$405&lt;=EOMONTH($AQ1060,0)))&gt;0)*(((職員マスタ!$H$6:$H$405="")+(職員マスタ!$H$6:$H$405&gt;=$AQ1060))&gt;0)*(ROW(職員マスタ!$A$6:$A$405)-5)))&gt;0,SUMPRODUCT(MAX((職員マスタ!$A$6:$A$405=$B1060)*(((職員マスタ!$G$6:$G$405="")+(職員マスタ!$G$6:$G$405&lt;=EOMONTH($AQ1060,0)))&gt;0)*(((職員マスタ!$H$6:$H$405="")+(職員マスタ!$H$6:$H$405&gt;=$AQ1060))&gt;0)*(ROW(職員マスタ!$A$6:$A$405)-5))),IFERROR(MATCH($B1060,職員マスタ!$A$6:$A$405,0),"")))</f>
        <v/>
      </c>
      <c r="AQ1060" s="16">
        <f>IF(OR($B1060="",$C1060="",$D1060=""),"",DATE($C1060+2018,$D1060,1))</f>
        <v/>
      </c>
    </row>
    <row r="1061">
      <c r="A1061" s="11" t="n"/>
      <c r="B1061" s="12" t="n"/>
      <c r="C1061" s="12" t="n"/>
      <c r="D1061" s="12" t="n"/>
      <c r="E1061" s="13" t="n"/>
      <c r="F1061" s="12" t="n"/>
      <c r="G1061" s="13" t="n"/>
      <c r="H1061" s="12" t="n"/>
      <c r="I1061" s="12" t="n"/>
      <c r="J1061" s="12" t="n"/>
      <c r="K1061" s="12" t="n"/>
      <c r="L1061" s="11" t="n"/>
      <c r="M1061" s="11" t="n"/>
      <c r="N1061" s="11" t="n"/>
      <c r="O1061" s="11" t="n"/>
      <c r="P1061" s="12" t="n"/>
      <c r="Q1061" s="11" t="n"/>
      <c r="R1061" s="12" t="n"/>
      <c r="S1061" s="11" t="n"/>
      <c r="T1061" s="12" t="n"/>
      <c r="U1061" s="12" t="n"/>
      <c r="V1061" s="12" t="n"/>
      <c r="W1061" s="13" t="n"/>
      <c r="X1061" s="14">
        <f>IF($AP1061="",IF($B1061="","",$H1061),IF(INDEX(職員マスタ!$B$6:$B$405,$AP1061)="",$H1061,INDEX(職員マスタ!$B$6:$B$405,$AP1061)))</f>
        <v/>
      </c>
      <c r="Y1061" s="14">
        <f>IF($AP1061="",IF($B1061="","",$R1061),IF(INDEX(職員マスタ!$C$6:$C$405,$AP1061)="",$R1061,INDEX(職員マスタ!$C$6:$C$405,$AP1061)))</f>
        <v/>
      </c>
      <c r="Z1061" s="14">
        <f>IF($AQ1061="","","R"&amp;$C1061&amp;"."&amp;$D1061)</f>
        <v/>
      </c>
      <c r="AA1061" s="15">
        <f>IF(IF($AP1061="",FALSE,INDEX(職員マスタ!$K$6:$K$405,$AP1061)&lt;&gt;""),INDEX(職員マスタ!$K$6:$K$405,$AP1061),IF(N($W1061)&gt;0,$W1061,""))</f>
        <v/>
      </c>
      <c r="AB1061" s="14">
        <f>IF(OR($E1061="",$AA1061=""),"",IF($E1061&gt;=$AA1061,"×",IF($E1061&gt;=$AA1061*設定!$C$5,"△","○")))</f>
        <v/>
      </c>
      <c r="AC1061" s="15">
        <f>IF($AB1061="","",IF($AB1061="×",0,IF($AB1061="○",ROUNDDOWN($E1061*設定!$C$4,0),ROUNDDOWN($E1061*ROUND((9*$AA1061-9*$E1061)/(10*$E1061),4),0))))</f>
        <v/>
      </c>
      <c r="AD1061" s="13" t="n"/>
      <c r="AE1061" s="15">
        <f>IF($B1061="","",IF($AD1061&lt;&gt;"",$AD1061,IF($AC1061="","",IF($AC1061&lt;=設定!$C$3,0,$AC1061))))</f>
        <v/>
      </c>
      <c r="AF1061" s="14">
        <f>IF($B1061="","",IF(AND($AG1061&lt;&gt;"",$AI1061="",$AL1061=""),"保留中",IF($AL1061&lt;&gt;"",IF(N($AE1061)&gt;0,"支給済","不支給"),IF($AE1061="","要確認",IF($AE1061=0,"不支給","未処理")))))</f>
        <v/>
      </c>
      <c r="AG1061" s="12" t="n"/>
      <c r="AH1061" s="11" t="n"/>
      <c r="AI1061" s="11" t="n"/>
      <c r="AJ1061" s="11" t="n"/>
      <c r="AK1061" s="14">
        <f>IF(AND($AF1061="保留中",$AH1061&lt;&gt;""),TODAY()-$AH1061,"")</f>
        <v/>
      </c>
      <c r="AL1061" s="12" t="n"/>
      <c r="AM1061" s="14">
        <f>IF($B1061="","",IF($AQ1061="","対象年月が未入力／","")&amp;IF($B1061="","",IF($AP1061="","職員マスタに未登録の職員番号／",IF($AA1061="","標準報酬月額が未登録／","")&amp;IF(AND($AQ1061&lt;&gt;"",OR(AND(INDEX(職員マスタ!$G$6:$G$405,$AP1061)&lt;&gt;"",INDEX(職員マスタ!$G$6:$G$405,$AP1061)&gt;EOMONTH($AQ1061,0)),AND(INDEX(職員マスタ!$H$6:$H$405,$AP1061)&lt;&gt;"",INDEX(職員マスタ!$H$6:$H$405,$AP1061)&lt;$AQ1061))),"対象月が時短期間外／","")&amp;IF(AND(INDEX(職員マスタ!$K$6:$K$405,$AP1061)&lt;&gt;"",N($W1061)&gt;0,INDEX(職員マスタ!$K$6:$K$405,$AP1061)&lt;&gt;$W1061),"標準報酬月額が申請書と相違（台帳"&amp;TEXT(INDEX(職員マスタ!$K$6:$K$405,$AP1061),"#,##0")&amp;"円／申請書"&amp;TEXT($W1061,"#,##0")&amp;"円）／","")&amp;IF(AND(INDEX(職員マスタ!$F$6:$F$405,$AP1061)&lt;&gt;"",$AQ1061&lt;&gt;"",INDEX(職員マスタ!$F$6:$F$405,$AP1061)&lt;$AQ1061),"対象月に子が2歳到達済／","")&amp;IF(AND($H1061&lt;&gt;"",INDEX(職員マスタ!$B$6:$B$405,$AP1061)&lt;&gt;"",SUBSTITUTE(SUBSTITUTE($H1061," ","")," ","")&lt;&gt;SUBSTITUTE(SUBSTITUTE(INDEX(職員マスタ!$B$6:$B$405,$AP1061)," ","")," ","")),"氏名がマスタと相違／","")&amp;IF(AND($Q1061&lt;&gt;"",INDEX(職員マスタ!$E$6:$E$405,$AP1061)&lt;&gt;"",$Q1061&lt;&gt;INDEX(職員マスタ!$E$6:$E$405,$AP1061)),"子の生年月日がマスタと相違／","")&amp;IF(AND($L1061&lt;&gt;"",INDEX(職員マスタ!$G$6:$G$405,$AP1061)&lt;&gt;"",$L1061&lt;&gt;INDEX(職員マスタ!$G$6:$G$405,$AP1061)),"時短開始日がマスタと相違／","")&amp;IF(AND($M1061&lt;&gt;"",INDEX(職員マスタ!$H$6:$H$405,$AP1061)&lt;&gt;"",$M1061&lt;&gt;INDEX(職員マスタ!$H$6:$H$405,$AP1061)),"時短終了日がマスタと相違／","")))&amp;IF(AND($B1061&lt;&gt;"",$E1061=""),"報酬額が未入力／","")&amp;IF(N($U1061)&gt;0,"申請書に入力エラーが残っています／","")&amp;IF(AND($B1061&lt;&gt;"",$AQ1061&lt;&gt;""),IF(COUNTIFS($B$6:$B$3005,$B1061,$C$6:$C$3005,$C1061,$D$6:$D$3005,$D1061)&gt;1,"同じ月の請求が重複しています／",""),"")&amp;IF(AND(N($E1061)&gt;0,$AB1061&lt;&gt;"",$AB1061&lt;&gt;"×",$AE1061=0,$AD1061=""),"計算額が下限以下のため不支給／",""))</f>
        <v/>
      </c>
      <c r="AN1061" s="12" t="n"/>
      <c r="AO1061" s="14">
        <f>IF($AF1061="保留中",COUNTIF($AF$6:$AF1061,"保留中"),"")</f>
        <v/>
      </c>
      <c r="AP1061" s="14">
        <f>IF($AQ1061="","",IF(SUMPRODUCT(MAX((職員マスタ!$A$6:$A$405=$B1061)*(((職員マスタ!$G$6:$G$405="")+(職員マスタ!$G$6:$G$405&lt;=EOMONTH($AQ1061,0)))&gt;0)*(((職員マスタ!$H$6:$H$405="")+(職員マスタ!$H$6:$H$405&gt;=$AQ1061))&gt;0)*(ROW(職員マスタ!$A$6:$A$405)-5)))&gt;0,SUMPRODUCT(MAX((職員マスタ!$A$6:$A$405=$B1061)*(((職員マスタ!$G$6:$G$405="")+(職員マスタ!$G$6:$G$405&lt;=EOMONTH($AQ1061,0)))&gt;0)*(((職員マスタ!$H$6:$H$405="")+(職員マスタ!$H$6:$H$405&gt;=$AQ1061))&gt;0)*(ROW(職員マスタ!$A$6:$A$405)-5))),IFERROR(MATCH($B1061,職員マスタ!$A$6:$A$405,0),"")))</f>
        <v/>
      </c>
      <c r="AQ1061" s="16">
        <f>IF(OR($B1061="",$C1061="",$D1061=""),"",DATE($C1061+2018,$D1061,1))</f>
        <v/>
      </c>
    </row>
    <row r="1062">
      <c r="A1062" s="11" t="n"/>
      <c r="B1062" s="12" t="n"/>
      <c r="C1062" s="12" t="n"/>
      <c r="D1062" s="12" t="n"/>
      <c r="E1062" s="13" t="n"/>
      <c r="F1062" s="12" t="n"/>
      <c r="G1062" s="13" t="n"/>
      <c r="H1062" s="12" t="n"/>
      <c r="I1062" s="12" t="n"/>
      <c r="J1062" s="12" t="n"/>
      <c r="K1062" s="12" t="n"/>
      <c r="L1062" s="11" t="n"/>
      <c r="M1062" s="11" t="n"/>
      <c r="N1062" s="11" t="n"/>
      <c r="O1062" s="11" t="n"/>
      <c r="P1062" s="12" t="n"/>
      <c r="Q1062" s="11" t="n"/>
      <c r="R1062" s="12" t="n"/>
      <c r="S1062" s="11" t="n"/>
      <c r="T1062" s="12" t="n"/>
      <c r="U1062" s="12" t="n"/>
      <c r="V1062" s="12" t="n"/>
      <c r="W1062" s="13" t="n"/>
      <c r="X1062" s="14">
        <f>IF($AP1062="",IF($B1062="","",$H1062),IF(INDEX(職員マスタ!$B$6:$B$405,$AP1062)="",$H1062,INDEX(職員マスタ!$B$6:$B$405,$AP1062)))</f>
        <v/>
      </c>
      <c r="Y1062" s="14">
        <f>IF($AP1062="",IF($B1062="","",$R1062),IF(INDEX(職員マスタ!$C$6:$C$405,$AP1062)="",$R1062,INDEX(職員マスタ!$C$6:$C$405,$AP1062)))</f>
        <v/>
      </c>
      <c r="Z1062" s="14">
        <f>IF($AQ1062="","","R"&amp;$C1062&amp;"."&amp;$D1062)</f>
        <v/>
      </c>
      <c r="AA1062" s="15">
        <f>IF(IF($AP1062="",FALSE,INDEX(職員マスタ!$K$6:$K$405,$AP1062)&lt;&gt;""),INDEX(職員マスタ!$K$6:$K$405,$AP1062),IF(N($W1062)&gt;0,$W1062,""))</f>
        <v/>
      </c>
      <c r="AB1062" s="14">
        <f>IF(OR($E1062="",$AA1062=""),"",IF($E1062&gt;=$AA1062,"×",IF($E1062&gt;=$AA1062*設定!$C$5,"△","○")))</f>
        <v/>
      </c>
      <c r="AC1062" s="15">
        <f>IF($AB1062="","",IF($AB1062="×",0,IF($AB1062="○",ROUNDDOWN($E1062*設定!$C$4,0),ROUNDDOWN($E1062*ROUND((9*$AA1062-9*$E1062)/(10*$E1062),4),0))))</f>
        <v/>
      </c>
      <c r="AD1062" s="13" t="n"/>
      <c r="AE1062" s="15">
        <f>IF($B1062="","",IF($AD1062&lt;&gt;"",$AD1062,IF($AC1062="","",IF($AC1062&lt;=設定!$C$3,0,$AC1062))))</f>
        <v/>
      </c>
      <c r="AF1062" s="14">
        <f>IF($B1062="","",IF(AND($AG1062&lt;&gt;"",$AI1062="",$AL1062=""),"保留中",IF($AL1062&lt;&gt;"",IF(N($AE1062)&gt;0,"支給済","不支給"),IF($AE1062="","要確認",IF($AE1062=0,"不支給","未処理")))))</f>
        <v/>
      </c>
      <c r="AG1062" s="12" t="n"/>
      <c r="AH1062" s="11" t="n"/>
      <c r="AI1062" s="11" t="n"/>
      <c r="AJ1062" s="11" t="n"/>
      <c r="AK1062" s="14">
        <f>IF(AND($AF1062="保留中",$AH1062&lt;&gt;""),TODAY()-$AH1062,"")</f>
        <v/>
      </c>
      <c r="AL1062" s="12" t="n"/>
      <c r="AM1062" s="14">
        <f>IF($B1062="","",IF($AQ1062="","対象年月が未入力／","")&amp;IF($B1062="","",IF($AP1062="","職員マスタに未登録の職員番号／",IF($AA1062="","標準報酬月額が未登録／","")&amp;IF(AND($AQ1062&lt;&gt;"",OR(AND(INDEX(職員マスタ!$G$6:$G$405,$AP1062)&lt;&gt;"",INDEX(職員マスタ!$G$6:$G$405,$AP1062)&gt;EOMONTH($AQ1062,0)),AND(INDEX(職員マスタ!$H$6:$H$405,$AP1062)&lt;&gt;"",INDEX(職員マスタ!$H$6:$H$405,$AP1062)&lt;$AQ1062))),"対象月が時短期間外／","")&amp;IF(AND(INDEX(職員マスタ!$K$6:$K$405,$AP1062)&lt;&gt;"",N($W1062)&gt;0,INDEX(職員マスタ!$K$6:$K$405,$AP1062)&lt;&gt;$W1062),"標準報酬月額が申請書と相違（台帳"&amp;TEXT(INDEX(職員マスタ!$K$6:$K$405,$AP1062),"#,##0")&amp;"円／申請書"&amp;TEXT($W1062,"#,##0")&amp;"円）／","")&amp;IF(AND(INDEX(職員マスタ!$F$6:$F$405,$AP1062)&lt;&gt;"",$AQ1062&lt;&gt;"",INDEX(職員マスタ!$F$6:$F$405,$AP1062)&lt;$AQ1062),"対象月に子が2歳到達済／","")&amp;IF(AND($H1062&lt;&gt;"",INDEX(職員マスタ!$B$6:$B$405,$AP1062)&lt;&gt;"",SUBSTITUTE(SUBSTITUTE($H1062," ","")," ","")&lt;&gt;SUBSTITUTE(SUBSTITUTE(INDEX(職員マスタ!$B$6:$B$405,$AP1062)," ","")," ","")),"氏名がマスタと相違／","")&amp;IF(AND($Q1062&lt;&gt;"",INDEX(職員マスタ!$E$6:$E$405,$AP1062)&lt;&gt;"",$Q1062&lt;&gt;INDEX(職員マスタ!$E$6:$E$405,$AP1062)),"子の生年月日がマスタと相違／","")&amp;IF(AND($L1062&lt;&gt;"",INDEX(職員マスタ!$G$6:$G$405,$AP1062)&lt;&gt;"",$L1062&lt;&gt;INDEX(職員マスタ!$G$6:$G$405,$AP1062)),"時短開始日がマスタと相違／","")&amp;IF(AND($M1062&lt;&gt;"",INDEX(職員マスタ!$H$6:$H$405,$AP1062)&lt;&gt;"",$M1062&lt;&gt;INDEX(職員マスタ!$H$6:$H$405,$AP1062)),"時短終了日がマスタと相違／","")))&amp;IF(AND($B1062&lt;&gt;"",$E1062=""),"報酬額が未入力／","")&amp;IF(N($U1062)&gt;0,"申請書に入力エラーが残っています／","")&amp;IF(AND($B1062&lt;&gt;"",$AQ1062&lt;&gt;""),IF(COUNTIFS($B$6:$B$3005,$B1062,$C$6:$C$3005,$C1062,$D$6:$D$3005,$D1062)&gt;1,"同じ月の請求が重複しています／",""),"")&amp;IF(AND(N($E1062)&gt;0,$AB1062&lt;&gt;"",$AB1062&lt;&gt;"×",$AE1062=0,$AD1062=""),"計算額が下限以下のため不支給／",""))</f>
        <v/>
      </c>
      <c r="AN1062" s="12" t="n"/>
      <c r="AO1062" s="14">
        <f>IF($AF1062="保留中",COUNTIF($AF$6:$AF1062,"保留中"),"")</f>
        <v/>
      </c>
      <c r="AP1062" s="14">
        <f>IF($AQ1062="","",IF(SUMPRODUCT(MAX((職員マスタ!$A$6:$A$405=$B1062)*(((職員マスタ!$G$6:$G$405="")+(職員マスタ!$G$6:$G$405&lt;=EOMONTH($AQ1062,0)))&gt;0)*(((職員マスタ!$H$6:$H$405="")+(職員マスタ!$H$6:$H$405&gt;=$AQ1062))&gt;0)*(ROW(職員マスタ!$A$6:$A$405)-5)))&gt;0,SUMPRODUCT(MAX((職員マスタ!$A$6:$A$405=$B1062)*(((職員マスタ!$G$6:$G$405="")+(職員マスタ!$G$6:$G$405&lt;=EOMONTH($AQ1062,0)))&gt;0)*(((職員マスタ!$H$6:$H$405="")+(職員マスタ!$H$6:$H$405&gt;=$AQ1062))&gt;0)*(ROW(職員マスタ!$A$6:$A$405)-5))),IFERROR(MATCH($B1062,職員マスタ!$A$6:$A$405,0),"")))</f>
        <v/>
      </c>
      <c r="AQ1062" s="16">
        <f>IF(OR($B1062="",$C1062="",$D1062=""),"",DATE($C1062+2018,$D1062,1))</f>
        <v/>
      </c>
    </row>
    <row r="1063">
      <c r="A1063" s="11" t="n"/>
      <c r="B1063" s="12" t="n"/>
      <c r="C1063" s="12" t="n"/>
      <c r="D1063" s="12" t="n"/>
      <c r="E1063" s="13" t="n"/>
      <c r="F1063" s="12" t="n"/>
      <c r="G1063" s="13" t="n"/>
      <c r="H1063" s="12" t="n"/>
      <c r="I1063" s="12" t="n"/>
      <c r="J1063" s="12" t="n"/>
      <c r="K1063" s="12" t="n"/>
      <c r="L1063" s="11" t="n"/>
      <c r="M1063" s="11" t="n"/>
      <c r="N1063" s="11" t="n"/>
      <c r="O1063" s="11" t="n"/>
      <c r="P1063" s="12" t="n"/>
      <c r="Q1063" s="11" t="n"/>
      <c r="R1063" s="12" t="n"/>
      <c r="S1063" s="11" t="n"/>
      <c r="T1063" s="12" t="n"/>
      <c r="U1063" s="12" t="n"/>
      <c r="V1063" s="12" t="n"/>
      <c r="W1063" s="13" t="n"/>
      <c r="X1063" s="14">
        <f>IF($AP1063="",IF($B1063="","",$H1063),IF(INDEX(職員マスタ!$B$6:$B$405,$AP1063)="",$H1063,INDEX(職員マスタ!$B$6:$B$405,$AP1063)))</f>
        <v/>
      </c>
      <c r="Y1063" s="14">
        <f>IF($AP1063="",IF($B1063="","",$R1063),IF(INDEX(職員マスタ!$C$6:$C$405,$AP1063)="",$R1063,INDEX(職員マスタ!$C$6:$C$405,$AP1063)))</f>
        <v/>
      </c>
      <c r="Z1063" s="14">
        <f>IF($AQ1063="","","R"&amp;$C1063&amp;"."&amp;$D1063)</f>
        <v/>
      </c>
      <c r="AA1063" s="15">
        <f>IF(IF($AP1063="",FALSE,INDEX(職員マスタ!$K$6:$K$405,$AP1063)&lt;&gt;""),INDEX(職員マスタ!$K$6:$K$405,$AP1063),IF(N($W1063)&gt;0,$W1063,""))</f>
        <v/>
      </c>
      <c r="AB1063" s="14">
        <f>IF(OR($E1063="",$AA1063=""),"",IF($E1063&gt;=$AA1063,"×",IF($E1063&gt;=$AA1063*設定!$C$5,"△","○")))</f>
        <v/>
      </c>
      <c r="AC1063" s="15">
        <f>IF($AB1063="","",IF($AB1063="×",0,IF($AB1063="○",ROUNDDOWN($E1063*設定!$C$4,0),ROUNDDOWN($E1063*ROUND((9*$AA1063-9*$E1063)/(10*$E1063),4),0))))</f>
        <v/>
      </c>
      <c r="AD1063" s="13" t="n"/>
      <c r="AE1063" s="15">
        <f>IF($B1063="","",IF($AD1063&lt;&gt;"",$AD1063,IF($AC1063="","",IF($AC1063&lt;=設定!$C$3,0,$AC1063))))</f>
        <v/>
      </c>
      <c r="AF1063" s="14">
        <f>IF($B1063="","",IF(AND($AG1063&lt;&gt;"",$AI1063="",$AL1063=""),"保留中",IF($AL1063&lt;&gt;"",IF(N($AE1063)&gt;0,"支給済","不支給"),IF($AE1063="","要確認",IF($AE1063=0,"不支給","未処理")))))</f>
        <v/>
      </c>
      <c r="AG1063" s="12" t="n"/>
      <c r="AH1063" s="11" t="n"/>
      <c r="AI1063" s="11" t="n"/>
      <c r="AJ1063" s="11" t="n"/>
      <c r="AK1063" s="14">
        <f>IF(AND($AF1063="保留中",$AH1063&lt;&gt;""),TODAY()-$AH1063,"")</f>
        <v/>
      </c>
      <c r="AL1063" s="12" t="n"/>
      <c r="AM1063" s="14">
        <f>IF($B1063="","",IF($AQ1063="","対象年月が未入力／","")&amp;IF($B1063="","",IF($AP1063="","職員マスタに未登録の職員番号／",IF($AA1063="","標準報酬月額が未登録／","")&amp;IF(AND($AQ1063&lt;&gt;"",OR(AND(INDEX(職員マスタ!$G$6:$G$405,$AP1063)&lt;&gt;"",INDEX(職員マスタ!$G$6:$G$405,$AP1063)&gt;EOMONTH($AQ1063,0)),AND(INDEX(職員マスタ!$H$6:$H$405,$AP1063)&lt;&gt;"",INDEX(職員マスタ!$H$6:$H$405,$AP1063)&lt;$AQ1063))),"対象月が時短期間外／","")&amp;IF(AND(INDEX(職員マスタ!$K$6:$K$405,$AP1063)&lt;&gt;"",N($W1063)&gt;0,INDEX(職員マスタ!$K$6:$K$405,$AP1063)&lt;&gt;$W1063),"標準報酬月額が申請書と相違（台帳"&amp;TEXT(INDEX(職員マスタ!$K$6:$K$405,$AP1063),"#,##0")&amp;"円／申請書"&amp;TEXT($W1063,"#,##0")&amp;"円）／","")&amp;IF(AND(INDEX(職員マスタ!$F$6:$F$405,$AP1063)&lt;&gt;"",$AQ1063&lt;&gt;"",INDEX(職員マスタ!$F$6:$F$405,$AP1063)&lt;$AQ1063),"対象月に子が2歳到達済／","")&amp;IF(AND($H1063&lt;&gt;"",INDEX(職員マスタ!$B$6:$B$405,$AP1063)&lt;&gt;"",SUBSTITUTE(SUBSTITUTE($H1063," ","")," ","")&lt;&gt;SUBSTITUTE(SUBSTITUTE(INDEX(職員マスタ!$B$6:$B$405,$AP1063)," ","")," ","")),"氏名がマスタと相違／","")&amp;IF(AND($Q1063&lt;&gt;"",INDEX(職員マスタ!$E$6:$E$405,$AP1063)&lt;&gt;"",$Q1063&lt;&gt;INDEX(職員マスタ!$E$6:$E$405,$AP1063)),"子の生年月日がマスタと相違／","")&amp;IF(AND($L1063&lt;&gt;"",INDEX(職員マスタ!$G$6:$G$405,$AP1063)&lt;&gt;"",$L1063&lt;&gt;INDEX(職員マスタ!$G$6:$G$405,$AP1063)),"時短開始日がマスタと相違／","")&amp;IF(AND($M1063&lt;&gt;"",INDEX(職員マスタ!$H$6:$H$405,$AP1063)&lt;&gt;"",$M1063&lt;&gt;INDEX(職員マスタ!$H$6:$H$405,$AP1063)),"時短終了日がマスタと相違／","")))&amp;IF(AND($B1063&lt;&gt;"",$E1063=""),"報酬額が未入力／","")&amp;IF(N($U1063)&gt;0,"申請書に入力エラーが残っています／","")&amp;IF(AND($B1063&lt;&gt;"",$AQ1063&lt;&gt;""),IF(COUNTIFS($B$6:$B$3005,$B1063,$C$6:$C$3005,$C1063,$D$6:$D$3005,$D1063)&gt;1,"同じ月の請求が重複しています／",""),"")&amp;IF(AND(N($E1063)&gt;0,$AB1063&lt;&gt;"",$AB1063&lt;&gt;"×",$AE1063=0,$AD1063=""),"計算額が下限以下のため不支給／",""))</f>
        <v/>
      </c>
      <c r="AN1063" s="12" t="n"/>
      <c r="AO1063" s="14">
        <f>IF($AF1063="保留中",COUNTIF($AF$6:$AF1063,"保留中"),"")</f>
        <v/>
      </c>
      <c r="AP1063" s="14">
        <f>IF($AQ1063="","",IF(SUMPRODUCT(MAX((職員マスタ!$A$6:$A$405=$B1063)*(((職員マスタ!$G$6:$G$405="")+(職員マスタ!$G$6:$G$405&lt;=EOMONTH($AQ1063,0)))&gt;0)*(((職員マスタ!$H$6:$H$405="")+(職員マスタ!$H$6:$H$405&gt;=$AQ1063))&gt;0)*(ROW(職員マスタ!$A$6:$A$405)-5)))&gt;0,SUMPRODUCT(MAX((職員マスタ!$A$6:$A$405=$B1063)*(((職員マスタ!$G$6:$G$405="")+(職員マスタ!$G$6:$G$405&lt;=EOMONTH($AQ1063,0)))&gt;0)*(((職員マスタ!$H$6:$H$405="")+(職員マスタ!$H$6:$H$405&gt;=$AQ1063))&gt;0)*(ROW(職員マスタ!$A$6:$A$405)-5))),IFERROR(MATCH($B1063,職員マスタ!$A$6:$A$405,0),"")))</f>
        <v/>
      </c>
      <c r="AQ1063" s="16">
        <f>IF(OR($B1063="",$C1063="",$D1063=""),"",DATE($C1063+2018,$D1063,1))</f>
        <v/>
      </c>
    </row>
    <row r="1064">
      <c r="A1064" s="11" t="n"/>
      <c r="B1064" s="12" t="n"/>
      <c r="C1064" s="12" t="n"/>
      <c r="D1064" s="12" t="n"/>
      <c r="E1064" s="13" t="n"/>
      <c r="F1064" s="12" t="n"/>
      <c r="G1064" s="13" t="n"/>
      <c r="H1064" s="12" t="n"/>
      <c r="I1064" s="12" t="n"/>
      <c r="J1064" s="12" t="n"/>
      <c r="K1064" s="12" t="n"/>
      <c r="L1064" s="11" t="n"/>
      <c r="M1064" s="11" t="n"/>
      <c r="N1064" s="11" t="n"/>
      <c r="O1064" s="11" t="n"/>
      <c r="P1064" s="12" t="n"/>
      <c r="Q1064" s="11" t="n"/>
      <c r="R1064" s="12" t="n"/>
      <c r="S1064" s="11" t="n"/>
      <c r="T1064" s="12" t="n"/>
      <c r="U1064" s="12" t="n"/>
      <c r="V1064" s="12" t="n"/>
      <c r="W1064" s="13" t="n"/>
      <c r="X1064" s="14">
        <f>IF($AP1064="",IF($B1064="","",$H1064),IF(INDEX(職員マスタ!$B$6:$B$405,$AP1064)="",$H1064,INDEX(職員マスタ!$B$6:$B$405,$AP1064)))</f>
        <v/>
      </c>
      <c r="Y1064" s="14">
        <f>IF($AP1064="",IF($B1064="","",$R1064),IF(INDEX(職員マスタ!$C$6:$C$405,$AP1064)="",$R1064,INDEX(職員マスタ!$C$6:$C$405,$AP1064)))</f>
        <v/>
      </c>
      <c r="Z1064" s="14">
        <f>IF($AQ1064="","","R"&amp;$C1064&amp;"."&amp;$D1064)</f>
        <v/>
      </c>
      <c r="AA1064" s="15">
        <f>IF(IF($AP1064="",FALSE,INDEX(職員マスタ!$K$6:$K$405,$AP1064)&lt;&gt;""),INDEX(職員マスタ!$K$6:$K$405,$AP1064),IF(N($W1064)&gt;0,$W1064,""))</f>
        <v/>
      </c>
      <c r="AB1064" s="14">
        <f>IF(OR($E1064="",$AA1064=""),"",IF($E1064&gt;=$AA1064,"×",IF($E1064&gt;=$AA1064*設定!$C$5,"△","○")))</f>
        <v/>
      </c>
      <c r="AC1064" s="15">
        <f>IF($AB1064="","",IF($AB1064="×",0,IF($AB1064="○",ROUNDDOWN($E1064*設定!$C$4,0),ROUNDDOWN($E1064*ROUND((9*$AA1064-9*$E1064)/(10*$E1064),4),0))))</f>
        <v/>
      </c>
      <c r="AD1064" s="13" t="n"/>
      <c r="AE1064" s="15">
        <f>IF($B1064="","",IF($AD1064&lt;&gt;"",$AD1064,IF($AC1064="","",IF($AC1064&lt;=設定!$C$3,0,$AC1064))))</f>
        <v/>
      </c>
      <c r="AF1064" s="14">
        <f>IF($B1064="","",IF(AND($AG1064&lt;&gt;"",$AI1064="",$AL1064=""),"保留中",IF($AL1064&lt;&gt;"",IF(N($AE1064)&gt;0,"支給済","不支給"),IF($AE1064="","要確認",IF($AE1064=0,"不支給","未処理")))))</f>
        <v/>
      </c>
      <c r="AG1064" s="12" t="n"/>
      <c r="AH1064" s="11" t="n"/>
      <c r="AI1064" s="11" t="n"/>
      <c r="AJ1064" s="11" t="n"/>
      <c r="AK1064" s="14">
        <f>IF(AND($AF1064="保留中",$AH1064&lt;&gt;""),TODAY()-$AH1064,"")</f>
        <v/>
      </c>
      <c r="AL1064" s="12" t="n"/>
      <c r="AM1064" s="14">
        <f>IF($B1064="","",IF($AQ1064="","対象年月が未入力／","")&amp;IF($B1064="","",IF($AP1064="","職員マスタに未登録の職員番号／",IF($AA1064="","標準報酬月額が未登録／","")&amp;IF(AND($AQ1064&lt;&gt;"",OR(AND(INDEX(職員マスタ!$G$6:$G$405,$AP1064)&lt;&gt;"",INDEX(職員マスタ!$G$6:$G$405,$AP1064)&gt;EOMONTH($AQ1064,0)),AND(INDEX(職員マスタ!$H$6:$H$405,$AP1064)&lt;&gt;"",INDEX(職員マスタ!$H$6:$H$405,$AP1064)&lt;$AQ1064))),"対象月が時短期間外／","")&amp;IF(AND(INDEX(職員マスタ!$K$6:$K$405,$AP1064)&lt;&gt;"",N($W1064)&gt;0,INDEX(職員マスタ!$K$6:$K$405,$AP1064)&lt;&gt;$W1064),"標準報酬月額が申請書と相違（台帳"&amp;TEXT(INDEX(職員マスタ!$K$6:$K$405,$AP1064),"#,##0")&amp;"円／申請書"&amp;TEXT($W1064,"#,##0")&amp;"円）／","")&amp;IF(AND(INDEX(職員マスタ!$F$6:$F$405,$AP1064)&lt;&gt;"",$AQ1064&lt;&gt;"",INDEX(職員マスタ!$F$6:$F$405,$AP1064)&lt;$AQ1064),"対象月に子が2歳到達済／","")&amp;IF(AND($H1064&lt;&gt;"",INDEX(職員マスタ!$B$6:$B$405,$AP1064)&lt;&gt;"",SUBSTITUTE(SUBSTITUTE($H1064," ","")," ","")&lt;&gt;SUBSTITUTE(SUBSTITUTE(INDEX(職員マスタ!$B$6:$B$405,$AP1064)," ","")," ","")),"氏名がマスタと相違／","")&amp;IF(AND($Q1064&lt;&gt;"",INDEX(職員マスタ!$E$6:$E$405,$AP1064)&lt;&gt;"",$Q1064&lt;&gt;INDEX(職員マスタ!$E$6:$E$405,$AP1064)),"子の生年月日がマスタと相違／","")&amp;IF(AND($L1064&lt;&gt;"",INDEX(職員マスタ!$G$6:$G$405,$AP1064)&lt;&gt;"",$L1064&lt;&gt;INDEX(職員マスタ!$G$6:$G$405,$AP1064)),"時短開始日がマスタと相違／","")&amp;IF(AND($M1064&lt;&gt;"",INDEX(職員マスタ!$H$6:$H$405,$AP1064)&lt;&gt;"",$M1064&lt;&gt;INDEX(職員マスタ!$H$6:$H$405,$AP1064)),"時短終了日がマスタと相違／","")))&amp;IF(AND($B1064&lt;&gt;"",$E1064=""),"報酬額が未入力／","")&amp;IF(N($U1064)&gt;0,"申請書に入力エラーが残っています／","")&amp;IF(AND($B1064&lt;&gt;"",$AQ1064&lt;&gt;""),IF(COUNTIFS($B$6:$B$3005,$B1064,$C$6:$C$3005,$C1064,$D$6:$D$3005,$D1064)&gt;1,"同じ月の請求が重複しています／",""),"")&amp;IF(AND(N($E1064)&gt;0,$AB1064&lt;&gt;"",$AB1064&lt;&gt;"×",$AE1064=0,$AD1064=""),"計算額が下限以下のため不支給／",""))</f>
        <v/>
      </c>
      <c r="AN1064" s="12" t="n"/>
      <c r="AO1064" s="14">
        <f>IF($AF1064="保留中",COUNTIF($AF$6:$AF1064,"保留中"),"")</f>
        <v/>
      </c>
      <c r="AP1064" s="14">
        <f>IF($AQ1064="","",IF(SUMPRODUCT(MAX((職員マスタ!$A$6:$A$405=$B1064)*(((職員マスタ!$G$6:$G$405="")+(職員マスタ!$G$6:$G$405&lt;=EOMONTH($AQ1064,0)))&gt;0)*(((職員マスタ!$H$6:$H$405="")+(職員マスタ!$H$6:$H$405&gt;=$AQ1064))&gt;0)*(ROW(職員マスタ!$A$6:$A$405)-5)))&gt;0,SUMPRODUCT(MAX((職員マスタ!$A$6:$A$405=$B1064)*(((職員マスタ!$G$6:$G$405="")+(職員マスタ!$G$6:$G$405&lt;=EOMONTH($AQ1064,0)))&gt;0)*(((職員マスタ!$H$6:$H$405="")+(職員マスタ!$H$6:$H$405&gt;=$AQ1064))&gt;0)*(ROW(職員マスタ!$A$6:$A$405)-5))),IFERROR(MATCH($B1064,職員マスタ!$A$6:$A$405,0),"")))</f>
        <v/>
      </c>
      <c r="AQ1064" s="16">
        <f>IF(OR($B1064="",$C1064="",$D1064=""),"",DATE($C1064+2018,$D1064,1))</f>
        <v/>
      </c>
    </row>
    <row r="1065">
      <c r="A1065" s="11" t="n"/>
      <c r="B1065" s="12" t="n"/>
      <c r="C1065" s="12" t="n"/>
      <c r="D1065" s="12" t="n"/>
      <c r="E1065" s="13" t="n"/>
      <c r="F1065" s="12" t="n"/>
      <c r="G1065" s="13" t="n"/>
      <c r="H1065" s="12" t="n"/>
      <c r="I1065" s="12" t="n"/>
      <c r="J1065" s="12" t="n"/>
      <c r="K1065" s="12" t="n"/>
      <c r="L1065" s="11" t="n"/>
      <c r="M1065" s="11" t="n"/>
      <c r="N1065" s="11" t="n"/>
      <c r="O1065" s="11" t="n"/>
      <c r="P1065" s="12" t="n"/>
      <c r="Q1065" s="11" t="n"/>
      <c r="R1065" s="12" t="n"/>
      <c r="S1065" s="11" t="n"/>
      <c r="T1065" s="12" t="n"/>
      <c r="U1065" s="12" t="n"/>
      <c r="V1065" s="12" t="n"/>
      <c r="W1065" s="13" t="n"/>
      <c r="X1065" s="14">
        <f>IF($AP1065="",IF($B1065="","",$H1065),IF(INDEX(職員マスタ!$B$6:$B$405,$AP1065)="",$H1065,INDEX(職員マスタ!$B$6:$B$405,$AP1065)))</f>
        <v/>
      </c>
      <c r="Y1065" s="14">
        <f>IF($AP1065="",IF($B1065="","",$R1065),IF(INDEX(職員マスタ!$C$6:$C$405,$AP1065)="",$R1065,INDEX(職員マスタ!$C$6:$C$405,$AP1065)))</f>
        <v/>
      </c>
      <c r="Z1065" s="14">
        <f>IF($AQ1065="","","R"&amp;$C1065&amp;"."&amp;$D1065)</f>
        <v/>
      </c>
      <c r="AA1065" s="15">
        <f>IF(IF($AP1065="",FALSE,INDEX(職員マスタ!$K$6:$K$405,$AP1065)&lt;&gt;""),INDEX(職員マスタ!$K$6:$K$405,$AP1065),IF(N($W1065)&gt;0,$W1065,""))</f>
        <v/>
      </c>
      <c r="AB1065" s="14">
        <f>IF(OR($E1065="",$AA1065=""),"",IF($E1065&gt;=$AA1065,"×",IF($E1065&gt;=$AA1065*設定!$C$5,"△","○")))</f>
        <v/>
      </c>
      <c r="AC1065" s="15">
        <f>IF($AB1065="","",IF($AB1065="×",0,IF($AB1065="○",ROUNDDOWN($E1065*設定!$C$4,0),ROUNDDOWN($E1065*ROUND((9*$AA1065-9*$E1065)/(10*$E1065),4),0))))</f>
        <v/>
      </c>
      <c r="AD1065" s="13" t="n"/>
      <c r="AE1065" s="15">
        <f>IF($B1065="","",IF($AD1065&lt;&gt;"",$AD1065,IF($AC1065="","",IF($AC1065&lt;=設定!$C$3,0,$AC1065))))</f>
        <v/>
      </c>
      <c r="AF1065" s="14">
        <f>IF($B1065="","",IF(AND($AG1065&lt;&gt;"",$AI1065="",$AL1065=""),"保留中",IF($AL1065&lt;&gt;"",IF(N($AE1065)&gt;0,"支給済","不支給"),IF($AE1065="","要確認",IF($AE1065=0,"不支給","未処理")))))</f>
        <v/>
      </c>
      <c r="AG1065" s="12" t="n"/>
      <c r="AH1065" s="11" t="n"/>
      <c r="AI1065" s="11" t="n"/>
      <c r="AJ1065" s="11" t="n"/>
      <c r="AK1065" s="14">
        <f>IF(AND($AF1065="保留中",$AH1065&lt;&gt;""),TODAY()-$AH1065,"")</f>
        <v/>
      </c>
      <c r="AL1065" s="12" t="n"/>
      <c r="AM1065" s="14">
        <f>IF($B1065="","",IF($AQ1065="","対象年月が未入力／","")&amp;IF($B1065="","",IF($AP1065="","職員マスタに未登録の職員番号／",IF($AA1065="","標準報酬月額が未登録／","")&amp;IF(AND($AQ1065&lt;&gt;"",OR(AND(INDEX(職員マスタ!$G$6:$G$405,$AP1065)&lt;&gt;"",INDEX(職員マスタ!$G$6:$G$405,$AP1065)&gt;EOMONTH($AQ1065,0)),AND(INDEX(職員マスタ!$H$6:$H$405,$AP1065)&lt;&gt;"",INDEX(職員マスタ!$H$6:$H$405,$AP1065)&lt;$AQ1065))),"対象月が時短期間外／","")&amp;IF(AND(INDEX(職員マスタ!$K$6:$K$405,$AP1065)&lt;&gt;"",N($W1065)&gt;0,INDEX(職員マスタ!$K$6:$K$405,$AP1065)&lt;&gt;$W1065),"標準報酬月額が申請書と相違（台帳"&amp;TEXT(INDEX(職員マスタ!$K$6:$K$405,$AP1065),"#,##0")&amp;"円／申請書"&amp;TEXT($W1065,"#,##0")&amp;"円）／","")&amp;IF(AND(INDEX(職員マスタ!$F$6:$F$405,$AP1065)&lt;&gt;"",$AQ1065&lt;&gt;"",INDEX(職員マスタ!$F$6:$F$405,$AP1065)&lt;$AQ1065),"対象月に子が2歳到達済／","")&amp;IF(AND($H1065&lt;&gt;"",INDEX(職員マスタ!$B$6:$B$405,$AP1065)&lt;&gt;"",SUBSTITUTE(SUBSTITUTE($H1065," ","")," ","")&lt;&gt;SUBSTITUTE(SUBSTITUTE(INDEX(職員マスタ!$B$6:$B$405,$AP1065)," ","")," ","")),"氏名がマスタと相違／","")&amp;IF(AND($Q1065&lt;&gt;"",INDEX(職員マスタ!$E$6:$E$405,$AP1065)&lt;&gt;"",$Q1065&lt;&gt;INDEX(職員マスタ!$E$6:$E$405,$AP1065)),"子の生年月日がマスタと相違／","")&amp;IF(AND($L1065&lt;&gt;"",INDEX(職員マスタ!$G$6:$G$405,$AP1065)&lt;&gt;"",$L1065&lt;&gt;INDEX(職員マスタ!$G$6:$G$405,$AP1065)),"時短開始日がマスタと相違／","")&amp;IF(AND($M1065&lt;&gt;"",INDEX(職員マスタ!$H$6:$H$405,$AP1065)&lt;&gt;"",$M1065&lt;&gt;INDEX(職員マスタ!$H$6:$H$405,$AP1065)),"時短終了日がマスタと相違／","")))&amp;IF(AND($B1065&lt;&gt;"",$E1065=""),"報酬額が未入力／","")&amp;IF(N($U1065)&gt;0,"申請書に入力エラーが残っています／","")&amp;IF(AND($B1065&lt;&gt;"",$AQ1065&lt;&gt;""),IF(COUNTIFS($B$6:$B$3005,$B1065,$C$6:$C$3005,$C1065,$D$6:$D$3005,$D1065)&gt;1,"同じ月の請求が重複しています／",""),"")&amp;IF(AND(N($E1065)&gt;0,$AB1065&lt;&gt;"",$AB1065&lt;&gt;"×",$AE1065=0,$AD1065=""),"計算額が下限以下のため不支給／",""))</f>
        <v/>
      </c>
      <c r="AN1065" s="12" t="n"/>
      <c r="AO1065" s="14">
        <f>IF($AF1065="保留中",COUNTIF($AF$6:$AF1065,"保留中"),"")</f>
        <v/>
      </c>
      <c r="AP1065" s="14">
        <f>IF($AQ1065="","",IF(SUMPRODUCT(MAX((職員マスタ!$A$6:$A$405=$B1065)*(((職員マスタ!$G$6:$G$405="")+(職員マスタ!$G$6:$G$405&lt;=EOMONTH($AQ1065,0)))&gt;0)*(((職員マスタ!$H$6:$H$405="")+(職員マスタ!$H$6:$H$405&gt;=$AQ1065))&gt;0)*(ROW(職員マスタ!$A$6:$A$405)-5)))&gt;0,SUMPRODUCT(MAX((職員マスタ!$A$6:$A$405=$B1065)*(((職員マスタ!$G$6:$G$405="")+(職員マスタ!$G$6:$G$405&lt;=EOMONTH($AQ1065,0)))&gt;0)*(((職員マスタ!$H$6:$H$405="")+(職員マスタ!$H$6:$H$405&gt;=$AQ1065))&gt;0)*(ROW(職員マスタ!$A$6:$A$405)-5))),IFERROR(MATCH($B1065,職員マスタ!$A$6:$A$405,0),"")))</f>
        <v/>
      </c>
      <c r="AQ1065" s="16">
        <f>IF(OR($B1065="",$C1065="",$D1065=""),"",DATE($C1065+2018,$D1065,1))</f>
        <v/>
      </c>
    </row>
    <row r="1066">
      <c r="A1066" s="11" t="n"/>
      <c r="B1066" s="12" t="n"/>
      <c r="C1066" s="12" t="n"/>
      <c r="D1066" s="12" t="n"/>
      <c r="E1066" s="13" t="n"/>
      <c r="F1066" s="12" t="n"/>
      <c r="G1066" s="13" t="n"/>
      <c r="H1066" s="12" t="n"/>
      <c r="I1066" s="12" t="n"/>
      <c r="J1066" s="12" t="n"/>
      <c r="K1066" s="12" t="n"/>
      <c r="L1066" s="11" t="n"/>
      <c r="M1066" s="11" t="n"/>
      <c r="N1066" s="11" t="n"/>
      <c r="O1066" s="11" t="n"/>
      <c r="P1066" s="12" t="n"/>
      <c r="Q1066" s="11" t="n"/>
      <c r="R1066" s="12" t="n"/>
      <c r="S1066" s="11" t="n"/>
      <c r="T1066" s="12" t="n"/>
      <c r="U1066" s="12" t="n"/>
      <c r="V1066" s="12" t="n"/>
      <c r="W1066" s="13" t="n"/>
      <c r="X1066" s="14">
        <f>IF($AP1066="",IF($B1066="","",$H1066),IF(INDEX(職員マスタ!$B$6:$B$405,$AP1066)="",$H1066,INDEX(職員マスタ!$B$6:$B$405,$AP1066)))</f>
        <v/>
      </c>
      <c r="Y1066" s="14">
        <f>IF($AP1066="",IF($B1066="","",$R1066),IF(INDEX(職員マスタ!$C$6:$C$405,$AP1066)="",$R1066,INDEX(職員マスタ!$C$6:$C$405,$AP1066)))</f>
        <v/>
      </c>
      <c r="Z1066" s="14">
        <f>IF($AQ1066="","","R"&amp;$C1066&amp;"."&amp;$D1066)</f>
        <v/>
      </c>
      <c r="AA1066" s="15">
        <f>IF(IF($AP1066="",FALSE,INDEX(職員マスタ!$K$6:$K$405,$AP1066)&lt;&gt;""),INDEX(職員マスタ!$K$6:$K$405,$AP1066),IF(N($W1066)&gt;0,$W1066,""))</f>
        <v/>
      </c>
      <c r="AB1066" s="14">
        <f>IF(OR($E1066="",$AA1066=""),"",IF($E1066&gt;=$AA1066,"×",IF($E1066&gt;=$AA1066*設定!$C$5,"△","○")))</f>
        <v/>
      </c>
      <c r="AC1066" s="15">
        <f>IF($AB1066="","",IF($AB1066="×",0,IF($AB1066="○",ROUNDDOWN($E1066*設定!$C$4,0),ROUNDDOWN($E1066*ROUND((9*$AA1066-9*$E1066)/(10*$E1066),4),0))))</f>
        <v/>
      </c>
      <c r="AD1066" s="13" t="n"/>
      <c r="AE1066" s="15">
        <f>IF($B1066="","",IF($AD1066&lt;&gt;"",$AD1066,IF($AC1066="","",IF($AC1066&lt;=設定!$C$3,0,$AC1066))))</f>
        <v/>
      </c>
      <c r="AF1066" s="14">
        <f>IF($B1066="","",IF(AND($AG1066&lt;&gt;"",$AI1066="",$AL1066=""),"保留中",IF($AL1066&lt;&gt;"",IF(N($AE1066)&gt;0,"支給済","不支給"),IF($AE1066="","要確認",IF($AE1066=0,"不支給","未処理")))))</f>
        <v/>
      </c>
      <c r="AG1066" s="12" t="n"/>
      <c r="AH1066" s="11" t="n"/>
      <c r="AI1066" s="11" t="n"/>
      <c r="AJ1066" s="11" t="n"/>
      <c r="AK1066" s="14">
        <f>IF(AND($AF1066="保留中",$AH1066&lt;&gt;""),TODAY()-$AH1066,"")</f>
        <v/>
      </c>
      <c r="AL1066" s="12" t="n"/>
      <c r="AM1066" s="14">
        <f>IF($B1066="","",IF($AQ1066="","対象年月が未入力／","")&amp;IF($B1066="","",IF($AP1066="","職員マスタに未登録の職員番号／",IF($AA1066="","標準報酬月額が未登録／","")&amp;IF(AND($AQ1066&lt;&gt;"",OR(AND(INDEX(職員マスタ!$G$6:$G$405,$AP1066)&lt;&gt;"",INDEX(職員マスタ!$G$6:$G$405,$AP1066)&gt;EOMONTH($AQ1066,0)),AND(INDEX(職員マスタ!$H$6:$H$405,$AP1066)&lt;&gt;"",INDEX(職員マスタ!$H$6:$H$405,$AP1066)&lt;$AQ1066))),"対象月が時短期間外／","")&amp;IF(AND(INDEX(職員マスタ!$K$6:$K$405,$AP1066)&lt;&gt;"",N($W1066)&gt;0,INDEX(職員マスタ!$K$6:$K$405,$AP1066)&lt;&gt;$W1066),"標準報酬月額が申請書と相違（台帳"&amp;TEXT(INDEX(職員マスタ!$K$6:$K$405,$AP1066),"#,##0")&amp;"円／申請書"&amp;TEXT($W1066,"#,##0")&amp;"円）／","")&amp;IF(AND(INDEX(職員マスタ!$F$6:$F$405,$AP1066)&lt;&gt;"",$AQ1066&lt;&gt;"",INDEX(職員マスタ!$F$6:$F$405,$AP1066)&lt;$AQ1066),"対象月に子が2歳到達済／","")&amp;IF(AND($H1066&lt;&gt;"",INDEX(職員マスタ!$B$6:$B$405,$AP1066)&lt;&gt;"",SUBSTITUTE(SUBSTITUTE($H1066," ","")," ","")&lt;&gt;SUBSTITUTE(SUBSTITUTE(INDEX(職員マスタ!$B$6:$B$405,$AP1066)," ","")," ","")),"氏名がマスタと相違／","")&amp;IF(AND($Q1066&lt;&gt;"",INDEX(職員マスタ!$E$6:$E$405,$AP1066)&lt;&gt;"",$Q1066&lt;&gt;INDEX(職員マスタ!$E$6:$E$405,$AP1066)),"子の生年月日がマスタと相違／","")&amp;IF(AND($L1066&lt;&gt;"",INDEX(職員マスタ!$G$6:$G$405,$AP1066)&lt;&gt;"",$L1066&lt;&gt;INDEX(職員マスタ!$G$6:$G$405,$AP1066)),"時短開始日がマスタと相違／","")&amp;IF(AND($M1066&lt;&gt;"",INDEX(職員マスタ!$H$6:$H$405,$AP1066)&lt;&gt;"",$M1066&lt;&gt;INDEX(職員マスタ!$H$6:$H$405,$AP1066)),"時短終了日がマスタと相違／","")))&amp;IF(AND($B1066&lt;&gt;"",$E1066=""),"報酬額が未入力／","")&amp;IF(N($U1066)&gt;0,"申請書に入力エラーが残っています／","")&amp;IF(AND($B1066&lt;&gt;"",$AQ1066&lt;&gt;""),IF(COUNTIFS($B$6:$B$3005,$B1066,$C$6:$C$3005,$C1066,$D$6:$D$3005,$D1066)&gt;1,"同じ月の請求が重複しています／",""),"")&amp;IF(AND(N($E1066)&gt;0,$AB1066&lt;&gt;"",$AB1066&lt;&gt;"×",$AE1066=0,$AD1066=""),"計算額が下限以下のため不支給／",""))</f>
        <v/>
      </c>
      <c r="AN1066" s="12" t="n"/>
      <c r="AO1066" s="14">
        <f>IF($AF1066="保留中",COUNTIF($AF$6:$AF1066,"保留中"),"")</f>
        <v/>
      </c>
      <c r="AP1066" s="14">
        <f>IF($AQ1066="","",IF(SUMPRODUCT(MAX((職員マスタ!$A$6:$A$405=$B1066)*(((職員マスタ!$G$6:$G$405="")+(職員マスタ!$G$6:$G$405&lt;=EOMONTH($AQ1066,0)))&gt;0)*(((職員マスタ!$H$6:$H$405="")+(職員マスタ!$H$6:$H$405&gt;=$AQ1066))&gt;0)*(ROW(職員マスタ!$A$6:$A$405)-5)))&gt;0,SUMPRODUCT(MAX((職員マスタ!$A$6:$A$405=$B1066)*(((職員マスタ!$G$6:$G$405="")+(職員マスタ!$G$6:$G$405&lt;=EOMONTH($AQ1066,0)))&gt;0)*(((職員マスタ!$H$6:$H$405="")+(職員マスタ!$H$6:$H$405&gt;=$AQ1066))&gt;0)*(ROW(職員マスタ!$A$6:$A$405)-5))),IFERROR(MATCH($B1066,職員マスタ!$A$6:$A$405,0),"")))</f>
        <v/>
      </c>
      <c r="AQ1066" s="16">
        <f>IF(OR($B1066="",$C1066="",$D1066=""),"",DATE($C1066+2018,$D1066,1))</f>
        <v/>
      </c>
    </row>
    <row r="1067">
      <c r="A1067" s="11" t="n"/>
      <c r="B1067" s="12" t="n"/>
      <c r="C1067" s="12" t="n"/>
      <c r="D1067" s="12" t="n"/>
      <c r="E1067" s="13" t="n"/>
      <c r="F1067" s="12" t="n"/>
      <c r="G1067" s="13" t="n"/>
      <c r="H1067" s="12" t="n"/>
      <c r="I1067" s="12" t="n"/>
      <c r="J1067" s="12" t="n"/>
      <c r="K1067" s="12" t="n"/>
      <c r="L1067" s="11" t="n"/>
      <c r="M1067" s="11" t="n"/>
      <c r="N1067" s="11" t="n"/>
      <c r="O1067" s="11" t="n"/>
      <c r="P1067" s="12" t="n"/>
      <c r="Q1067" s="11" t="n"/>
      <c r="R1067" s="12" t="n"/>
      <c r="S1067" s="11" t="n"/>
      <c r="T1067" s="12" t="n"/>
      <c r="U1067" s="12" t="n"/>
      <c r="V1067" s="12" t="n"/>
      <c r="W1067" s="13" t="n"/>
      <c r="X1067" s="14">
        <f>IF($AP1067="",IF($B1067="","",$H1067),IF(INDEX(職員マスタ!$B$6:$B$405,$AP1067)="",$H1067,INDEX(職員マスタ!$B$6:$B$405,$AP1067)))</f>
        <v/>
      </c>
      <c r="Y1067" s="14">
        <f>IF($AP1067="",IF($B1067="","",$R1067),IF(INDEX(職員マスタ!$C$6:$C$405,$AP1067)="",$R1067,INDEX(職員マスタ!$C$6:$C$405,$AP1067)))</f>
        <v/>
      </c>
      <c r="Z1067" s="14">
        <f>IF($AQ1067="","","R"&amp;$C1067&amp;"."&amp;$D1067)</f>
        <v/>
      </c>
      <c r="AA1067" s="15">
        <f>IF(IF($AP1067="",FALSE,INDEX(職員マスタ!$K$6:$K$405,$AP1067)&lt;&gt;""),INDEX(職員マスタ!$K$6:$K$405,$AP1067),IF(N($W1067)&gt;0,$W1067,""))</f>
        <v/>
      </c>
      <c r="AB1067" s="14">
        <f>IF(OR($E1067="",$AA1067=""),"",IF($E1067&gt;=$AA1067,"×",IF($E1067&gt;=$AA1067*設定!$C$5,"△","○")))</f>
        <v/>
      </c>
      <c r="AC1067" s="15">
        <f>IF($AB1067="","",IF($AB1067="×",0,IF($AB1067="○",ROUNDDOWN($E1067*設定!$C$4,0),ROUNDDOWN($E1067*ROUND((9*$AA1067-9*$E1067)/(10*$E1067),4),0))))</f>
        <v/>
      </c>
      <c r="AD1067" s="13" t="n"/>
      <c r="AE1067" s="15">
        <f>IF($B1067="","",IF($AD1067&lt;&gt;"",$AD1067,IF($AC1067="","",IF($AC1067&lt;=設定!$C$3,0,$AC1067))))</f>
        <v/>
      </c>
      <c r="AF1067" s="14">
        <f>IF($B1067="","",IF(AND($AG1067&lt;&gt;"",$AI1067="",$AL1067=""),"保留中",IF($AL1067&lt;&gt;"",IF(N($AE1067)&gt;0,"支給済","不支給"),IF($AE1067="","要確認",IF($AE1067=0,"不支給","未処理")))))</f>
        <v/>
      </c>
      <c r="AG1067" s="12" t="n"/>
      <c r="AH1067" s="11" t="n"/>
      <c r="AI1067" s="11" t="n"/>
      <c r="AJ1067" s="11" t="n"/>
      <c r="AK1067" s="14">
        <f>IF(AND($AF1067="保留中",$AH1067&lt;&gt;""),TODAY()-$AH1067,"")</f>
        <v/>
      </c>
      <c r="AL1067" s="12" t="n"/>
      <c r="AM1067" s="14">
        <f>IF($B1067="","",IF($AQ1067="","対象年月が未入力／","")&amp;IF($B1067="","",IF($AP1067="","職員マスタに未登録の職員番号／",IF($AA1067="","標準報酬月額が未登録／","")&amp;IF(AND($AQ1067&lt;&gt;"",OR(AND(INDEX(職員マスタ!$G$6:$G$405,$AP1067)&lt;&gt;"",INDEX(職員マスタ!$G$6:$G$405,$AP1067)&gt;EOMONTH($AQ1067,0)),AND(INDEX(職員マスタ!$H$6:$H$405,$AP1067)&lt;&gt;"",INDEX(職員マスタ!$H$6:$H$405,$AP1067)&lt;$AQ1067))),"対象月が時短期間外／","")&amp;IF(AND(INDEX(職員マスタ!$K$6:$K$405,$AP1067)&lt;&gt;"",N($W1067)&gt;0,INDEX(職員マスタ!$K$6:$K$405,$AP1067)&lt;&gt;$W1067),"標準報酬月額が申請書と相違（台帳"&amp;TEXT(INDEX(職員マスタ!$K$6:$K$405,$AP1067),"#,##0")&amp;"円／申請書"&amp;TEXT($W1067,"#,##0")&amp;"円）／","")&amp;IF(AND(INDEX(職員マスタ!$F$6:$F$405,$AP1067)&lt;&gt;"",$AQ1067&lt;&gt;"",INDEX(職員マスタ!$F$6:$F$405,$AP1067)&lt;$AQ1067),"対象月に子が2歳到達済／","")&amp;IF(AND($H1067&lt;&gt;"",INDEX(職員マスタ!$B$6:$B$405,$AP1067)&lt;&gt;"",SUBSTITUTE(SUBSTITUTE($H1067," ","")," ","")&lt;&gt;SUBSTITUTE(SUBSTITUTE(INDEX(職員マスタ!$B$6:$B$405,$AP1067)," ","")," ","")),"氏名がマスタと相違／","")&amp;IF(AND($Q1067&lt;&gt;"",INDEX(職員マスタ!$E$6:$E$405,$AP1067)&lt;&gt;"",$Q1067&lt;&gt;INDEX(職員マスタ!$E$6:$E$405,$AP1067)),"子の生年月日がマスタと相違／","")&amp;IF(AND($L1067&lt;&gt;"",INDEX(職員マスタ!$G$6:$G$405,$AP1067)&lt;&gt;"",$L1067&lt;&gt;INDEX(職員マスタ!$G$6:$G$405,$AP1067)),"時短開始日がマスタと相違／","")&amp;IF(AND($M1067&lt;&gt;"",INDEX(職員マスタ!$H$6:$H$405,$AP1067)&lt;&gt;"",$M1067&lt;&gt;INDEX(職員マスタ!$H$6:$H$405,$AP1067)),"時短終了日がマスタと相違／","")))&amp;IF(AND($B1067&lt;&gt;"",$E1067=""),"報酬額が未入力／","")&amp;IF(N($U1067)&gt;0,"申請書に入力エラーが残っています／","")&amp;IF(AND($B1067&lt;&gt;"",$AQ1067&lt;&gt;""),IF(COUNTIFS($B$6:$B$3005,$B1067,$C$6:$C$3005,$C1067,$D$6:$D$3005,$D1067)&gt;1,"同じ月の請求が重複しています／",""),"")&amp;IF(AND(N($E1067)&gt;0,$AB1067&lt;&gt;"",$AB1067&lt;&gt;"×",$AE1067=0,$AD1067=""),"計算額が下限以下のため不支給／",""))</f>
        <v/>
      </c>
      <c r="AN1067" s="12" t="n"/>
      <c r="AO1067" s="14">
        <f>IF($AF1067="保留中",COUNTIF($AF$6:$AF1067,"保留中"),"")</f>
        <v/>
      </c>
      <c r="AP1067" s="14">
        <f>IF($AQ1067="","",IF(SUMPRODUCT(MAX((職員マスタ!$A$6:$A$405=$B1067)*(((職員マスタ!$G$6:$G$405="")+(職員マスタ!$G$6:$G$405&lt;=EOMONTH($AQ1067,0)))&gt;0)*(((職員マスタ!$H$6:$H$405="")+(職員マスタ!$H$6:$H$405&gt;=$AQ1067))&gt;0)*(ROW(職員マスタ!$A$6:$A$405)-5)))&gt;0,SUMPRODUCT(MAX((職員マスタ!$A$6:$A$405=$B1067)*(((職員マスタ!$G$6:$G$405="")+(職員マスタ!$G$6:$G$405&lt;=EOMONTH($AQ1067,0)))&gt;0)*(((職員マスタ!$H$6:$H$405="")+(職員マスタ!$H$6:$H$405&gt;=$AQ1067))&gt;0)*(ROW(職員マスタ!$A$6:$A$405)-5))),IFERROR(MATCH($B1067,職員マスタ!$A$6:$A$405,0),"")))</f>
        <v/>
      </c>
      <c r="AQ1067" s="16">
        <f>IF(OR($B1067="",$C1067="",$D1067=""),"",DATE($C1067+2018,$D1067,1))</f>
        <v/>
      </c>
    </row>
    <row r="1068">
      <c r="A1068" s="11" t="n"/>
      <c r="B1068" s="12" t="n"/>
      <c r="C1068" s="12" t="n"/>
      <c r="D1068" s="12" t="n"/>
      <c r="E1068" s="13" t="n"/>
      <c r="F1068" s="12" t="n"/>
      <c r="G1068" s="13" t="n"/>
      <c r="H1068" s="12" t="n"/>
      <c r="I1068" s="12" t="n"/>
      <c r="J1068" s="12" t="n"/>
      <c r="K1068" s="12" t="n"/>
      <c r="L1068" s="11" t="n"/>
      <c r="M1068" s="11" t="n"/>
      <c r="N1068" s="11" t="n"/>
      <c r="O1068" s="11" t="n"/>
      <c r="P1068" s="12" t="n"/>
      <c r="Q1068" s="11" t="n"/>
      <c r="R1068" s="12" t="n"/>
      <c r="S1068" s="11" t="n"/>
      <c r="T1068" s="12" t="n"/>
      <c r="U1068" s="12" t="n"/>
      <c r="V1068" s="12" t="n"/>
      <c r="W1068" s="13" t="n"/>
      <c r="X1068" s="14">
        <f>IF($AP1068="",IF($B1068="","",$H1068),IF(INDEX(職員マスタ!$B$6:$B$405,$AP1068)="",$H1068,INDEX(職員マスタ!$B$6:$B$405,$AP1068)))</f>
        <v/>
      </c>
      <c r="Y1068" s="14">
        <f>IF($AP1068="",IF($B1068="","",$R1068),IF(INDEX(職員マスタ!$C$6:$C$405,$AP1068)="",$R1068,INDEX(職員マスタ!$C$6:$C$405,$AP1068)))</f>
        <v/>
      </c>
      <c r="Z1068" s="14">
        <f>IF($AQ1068="","","R"&amp;$C1068&amp;"."&amp;$D1068)</f>
        <v/>
      </c>
      <c r="AA1068" s="15">
        <f>IF(IF($AP1068="",FALSE,INDEX(職員マスタ!$K$6:$K$405,$AP1068)&lt;&gt;""),INDEX(職員マスタ!$K$6:$K$405,$AP1068),IF(N($W1068)&gt;0,$W1068,""))</f>
        <v/>
      </c>
      <c r="AB1068" s="14">
        <f>IF(OR($E1068="",$AA1068=""),"",IF($E1068&gt;=$AA1068,"×",IF($E1068&gt;=$AA1068*設定!$C$5,"△","○")))</f>
        <v/>
      </c>
      <c r="AC1068" s="15">
        <f>IF($AB1068="","",IF($AB1068="×",0,IF($AB1068="○",ROUNDDOWN($E1068*設定!$C$4,0),ROUNDDOWN($E1068*ROUND((9*$AA1068-9*$E1068)/(10*$E1068),4),0))))</f>
        <v/>
      </c>
      <c r="AD1068" s="13" t="n"/>
      <c r="AE1068" s="15">
        <f>IF($B1068="","",IF($AD1068&lt;&gt;"",$AD1068,IF($AC1068="","",IF($AC1068&lt;=設定!$C$3,0,$AC1068))))</f>
        <v/>
      </c>
      <c r="AF1068" s="14">
        <f>IF($B1068="","",IF(AND($AG1068&lt;&gt;"",$AI1068="",$AL1068=""),"保留中",IF($AL1068&lt;&gt;"",IF(N($AE1068)&gt;0,"支給済","不支給"),IF($AE1068="","要確認",IF($AE1068=0,"不支給","未処理")))))</f>
        <v/>
      </c>
      <c r="AG1068" s="12" t="n"/>
      <c r="AH1068" s="11" t="n"/>
      <c r="AI1068" s="11" t="n"/>
      <c r="AJ1068" s="11" t="n"/>
      <c r="AK1068" s="14">
        <f>IF(AND($AF1068="保留中",$AH1068&lt;&gt;""),TODAY()-$AH1068,"")</f>
        <v/>
      </c>
      <c r="AL1068" s="12" t="n"/>
      <c r="AM1068" s="14">
        <f>IF($B1068="","",IF($AQ1068="","対象年月が未入力／","")&amp;IF($B1068="","",IF($AP1068="","職員マスタに未登録の職員番号／",IF($AA1068="","標準報酬月額が未登録／","")&amp;IF(AND($AQ1068&lt;&gt;"",OR(AND(INDEX(職員マスタ!$G$6:$G$405,$AP1068)&lt;&gt;"",INDEX(職員マスタ!$G$6:$G$405,$AP1068)&gt;EOMONTH($AQ1068,0)),AND(INDEX(職員マスタ!$H$6:$H$405,$AP1068)&lt;&gt;"",INDEX(職員マスタ!$H$6:$H$405,$AP1068)&lt;$AQ1068))),"対象月が時短期間外／","")&amp;IF(AND(INDEX(職員マスタ!$K$6:$K$405,$AP1068)&lt;&gt;"",N($W1068)&gt;0,INDEX(職員マスタ!$K$6:$K$405,$AP1068)&lt;&gt;$W1068),"標準報酬月額が申請書と相違（台帳"&amp;TEXT(INDEX(職員マスタ!$K$6:$K$405,$AP1068),"#,##0")&amp;"円／申請書"&amp;TEXT($W1068,"#,##0")&amp;"円）／","")&amp;IF(AND(INDEX(職員マスタ!$F$6:$F$405,$AP1068)&lt;&gt;"",$AQ1068&lt;&gt;"",INDEX(職員マスタ!$F$6:$F$405,$AP1068)&lt;$AQ1068),"対象月に子が2歳到達済／","")&amp;IF(AND($H1068&lt;&gt;"",INDEX(職員マスタ!$B$6:$B$405,$AP1068)&lt;&gt;"",SUBSTITUTE(SUBSTITUTE($H1068," ","")," ","")&lt;&gt;SUBSTITUTE(SUBSTITUTE(INDEX(職員マスタ!$B$6:$B$405,$AP1068)," ","")," ","")),"氏名がマスタと相違／","")&amp;IF(AND($Q1068&lt;&gt;"",INDEX(職員マスタ!$E$6:$E$405,$AP1068)&lt;&gt;"",$Q1068&lt;&gt;INDEX(職員マスタ!$E$6:$E$405,$AP1068)),"子の生年月日がマスタと相違／","")&amp;IF(AND($L1068&lt;&gt;"",INDEX(職員マスタ!$G$6:$G$405,$AP1068)&lt;&gt;"",$L1068&lt;&gt;INDEX(職員マスタ!$G$6:$G$405,$AP1068)),"時短開始日がマスタと相違／","")&amp;IF(AND($M1068&lt;&gt;"",INDEX(職員マスタ!$H$6:$H$405,$AP1068)&lt;&gt;"",$M1068&lt;&gt;INDEX(職員マスタ!$H$6:$H$405,$AP1068)),"時短終了日がマスタと相違／","")))&amp;IF(AND($B1068&lt;&gt;"",$E1068=""),"報酬額が未入力／","")&amp;IF(N($U1068)&gt;0,"申請書に入力エラーが残っています／","")&amp;IF(AND($B1068&lt;&gt;"",$AQ1068&lt;&gt;""),IF(COUNTIFS($B$6:$B$3005,$B1068,$C$6:$C$3005,$C1068,$D$6:$D$3005,$D1068)&gt;1,"同じ月の請求が重複しています／",""),"")&amp;IF(AND(N($E1068)&gt;0,$AB1068&lt;&gt;"",$AB1068&lt;&gt;"×",$AE1068=0,$AD1068=""),"計算額が下限以下のため不支給／",""))</f>
        <v/>
      </c>
      <c r="AN1068" s="12" t="n"/>
      <c r="AO1068" s="14">
        <f>IF($AF1068="保留中",COUNTIF($AF$6:$AF1068,"保留中"),"")</f>
        <v/>
      </c>
      <c r="AP1068" s="14">
        <f>IF($AQ1068="","",IF(SUMPRODUCT(MAX((職員マスタ!$A$6:$A$405=$B1068)*(((職員マスタ!$G$6:$G$405="")+(職員マスタ!$G$6:$G$405&lt;=EOMONTH($AQ1068,0)))&gt;0)*(((職員マスタ!$H$6:$H$405="")+(職員マスタ!$H$6:$H$405&gt;=$AQ1068))&gt;0)*(ROW(職員マスタ!$A$6:$A$405)-5)))&gt;0,SUMPRODUCT(MAX((職員マスタ!$A$6:$A$405=$B1068)*(((職員マスタ!$G$6:$G$405="")+(職員マスタ!$G$6:$G$405&lt;=EOMONTH($AQ1068,0)))&gt;0)*(((職員マスタ!$H$6:$H$405="")+(職員マスタ!$H$6:$H$405&gt;=$AQ1068))&gt;0)*(ROW(職員マスタ!$A$6:$A$405)-5))),IFERROR(MATCH($B1068,職員マスタ!$A$6:$A$405,0),"")))</f>
        <v/>
      </c>
      <c r="AQ1068" s="16">
        <f>IF(OR($B1068="",$C1068="",$D1068=""),"",DATE($C1068+2018,$D1068,1))</f>
        <v/>
      </c>
    </row>
    <row r="1069">
      <c r="A1069" s="11" t="n"/>
      <c r="B1069" s="12" t="n"/>
      <c r="C1069" s="12" t="n"/>
      <c r="D1069" s="12" t="n"/>
      <c r="E1069" s="13" t="n"/>
      <c r="F1069" s="12" t="n"/>
      <c r="G1069" s="13" t="n"/>
      <c r="H1069" s="12" t="n"/>
      <c r="I1069" s="12" t="n"/>
      <c r="J1069" s="12" t="n"/>
      <c r="K1069" s="12" t="n"/>
      <c r="L1069" s="11" t="n"/>
      <c r="M1069" s="11" t="n"/>
      <c r="N1069" s="11" t="n"/>
      <c r="O1069" s="11" t="n"/>
      <c r="P1069" s="12" t="n"/>
      <c r="Q1069" s="11" t="n"/>
      <c r="R1069" s="12" t="n"/>
      <c r="S1069" s="11" t="n"/>
      <c r="T1069" s="12" t="n"/>
      <c r="U1069" s="12" t="n"/>
      <c r="V1069" s="12" t="n"/>
      <c r="W1069" s="13" t="n"/>
      <c r="X1069" s="14">
        <f>IF($AP1069="",IF($B1069="","",$H1069),IF(INDEX(職員マスタ!$B$6:$B$405,$AP1069)="",$H1069,INDEX(職員マスタ!$B$6:$B$405,$AP1069)))</f>
        <v/>
      </c>
      <c r="Y1069" s="14">
        <f>IF($AP1069="",IF($B1069="","",$R1069),IF(INDEX(職員マスタ!$C$6:$C$405,$AP1069)="",$R1069,INDEX(職員マスタ!$C$6:$C$405,$AP1069)))</f>
        <v/>
      </c>
      <c r="Z1069" s="14">
        <f>IF($AQ1069="","","R"&amp;$C1069&amp;"."&amp;$D1069)</f>
        <v/>
      </c>
      <c r="AA1069" s="15">
        <f>IF(IF($AP1069="",FALSE,INDEX(職員マスタ!$K$6:$K$405,$AP1069)&lt;&gt;""),INDEX(職員マスタ!$K$6:$K$405,$AP1069),IF(N($W1069)&gt;0,$W1069,""))</f>
        <v/>
      </c>
      <c r="AB1069" s="14">
        <f>IF(OR($E1069="",$AA1069=""),"",IF($E1069&gt;=$AA1069,"×",IF($E1069&gt;=$AA1069*設定!$C$5,"△","○")))</f>
        <v/>
      </c>
      <c r="AC1069" s="15">
        <f>IF($AB1069="","",IF($AB1069="×",0,IF($AB1069="○",ROUNDDOWN($E1069*設定!$C$4,0),ROUNDDOWN($E1069*ROUND((9*$AA1069-9*$E1069)/(10*$E1069),4),0))))</f>
        <v/>
      </c>
      <c r="AD1069" s="13" t="n"/>
      <c r="AE1069" s="15">
        <f>IF($B1069="","",IF($AD1069&lt;&gt;"",$AD1069,IF($AC1069="","",IF($AC1069&lt;=設定!$C$3,0,$AC1069))))</f>
        <v/>
      </c>
      <c r="AF1069" s="14">
        <f>IF($B1069="","",IF(AND($AG1069&lt;&gt;"",$AI1069="",$AL1069=""),"保留中",IF($AL1069&lt;&gt;"",IF(N($AE1069)&gt;0,"支給済","不支給"),IF($AE1069="","要確認",IF($AE1069=0,"不支給","未処理")))))</f>
        <v/>
      </c>
      <c r="AG1069" s="12" t="n"/>
      <c r="AH1069" s="11" t="n"/>
      <c r="AI1069" s="11" t="n"/>
      <c r="AJ1069" s="11" t="n"/>
      <c r="AK1069" s="14">
        <f>IF(AND($AF1069="保留中",$AH1069&lt;&gt;""),TODAY()-$AH1069,"")</f>
        <v/>
      </c>
      <c r="AL1069" s="12" t="n"/>
      <c r="AM1069" s="14">
        <f>IF($B1069="","",IF($AQ1069="","対象年月が未入力／","")&amp;IF($B1069="","",IF($AP1069="","職員マスタに未登録の職員番号／",IF($AA1069="","標準報酬月額が未登録／","")&amp;IF(AND($AQ1069&lt;&gt;"",OR(AND(INDEX(職員マスタ!$G$6:$G$405,$AP1069)&lt;&gt;"",INDEX(職員マスタ!$G$6:$G$405,$AP1069)&gt;EOMONTH($AQ1069,0)),AND(INDEX(職員マスタ!$H$6:$H$405,$AP1069)&lt;&gt;"",INDEX(職員マスタ!$H$6:$H$405,$AP1069)&lt;$AQ1069))),"対象月が時短期間外／","")&amp;IF(AND(INDEX(職員マスタ!$K$6:$K$405,$AP1069)&lt;&gt;"",N($W1069)&gt;0,INDEX(職員マスタ!$K$6:$K$405,$AP1069)&lt;&gt;$W1069),"標準報酬月額が申請書と相違（台帳"&amp;TEXT(INDEX(職員マスタ!$K$6:$K$405,$AP1069),"#,##0")&amp;"円／申請書"&amp;TEXT($W1069,"#,##0")&amp;"円）／","")&amp;IF(AND(INDEX(職員マスタ!$F$6:$F$405,$AP1069)&lt;&gt;"",$AQ1069&lt;&gt;"",INDEX(職員マスタ!$F$6:$F$405,$AP1069)&lt;$AQ1069),"対象月に子が2歳到達済／","")&amp;IF(AND($H1069&lt;&gt;"",INDEX(職員マスタ!$B$6:$B$405,$AP1069)&lt;&gt;"",SUBSTITUTE(SUBSTITUTE($H1069," ","")," ","")&lt;&gt;SUBSTITUTE(SUBSTITUTE(INDEX(職員マスタ!$B$6:$B$405,$AP1069)," ","")," ","")),"氏名がマスタと相違／","")&amp;IF(AND($Q1069&lt;&gt;"",INDEX(職員マスタ!$E$6:$E$405,$AP1069)&lt;&gt;"",$Q1069&lt;&gt;INDEX(職員マスタ!$E$6:$E$405,$AP1069)),"子の生年月日がマスタと相違／","")&amp;IF(AND($L1069&lt;&gt;"",INDEX(職員マスタ!$G$6:$G$405,$AP1069)&lt;&gt;"",$L1069&lt;&gt;INDEX(職員マスタ!$G$6:$G$405,$AP1069)),"時短開始日がマスタと相違／","")&amp;IF(AND($M1069&lt;&gt;"",INDEX(職員マスタ!$H$6:$H$405,$AP1069)&lt;&gt;"",$M1069&lt;&gt;INDEX(職員マスタ!$H$6:$H$405,$AP1069)),"時短終了日がマスタと相違／","")))&amp;IF(AND($B1069&lt;&gt;"",$E1069=""),"報酬額が未入力／","")&amp;IF(N($U1069)&gt;0,"申請書に入力エラーが残っています／","")&amp;IF(AND($B1069&lt;&gt;"",$AQ1069&lt;&gt;""),IF(COUNTIFS($B$6:$B$3005,$B1069,$C$6:$C$3005,$C1069,$D$6:$D$3005,$D1069)&gt;1,"同じ月の請求が重複しています／",""),"")&amp;IF(AND(N($E1069)&gt;0,$AB1069&lt;&gt;"",$AB1069&lt;&gt;"×",$AE1069=0,$AD1069=""),"計算額が下限以下のため不支給／",""))</f>
        <v/>
      </c>
      <c r="AN1069" s="12" t="n"/>
      <c r="AO1069" s="14">
        <f>IF($AF1069="保留中",COUNTIF($AF$6:$AF1069,"保留中"),"")</f>
        <v/>
      </c>
      <c r="AP1069" s="14">
        <f>IF($AQ1069="","",IF(SUMPRODUCT(MAX((職員マスタ!$A$6:$A$405=$B1069)*(((職員マスタ!$G$6:$G$405="")+(職員マスタ!$G$6:$G$405&lt;=EOMONTH($AQ1069,0)))&gt;0)*(((職員マスタ!$H$6:$H$405="")+(職員マスタ!$H$6:$H$405&gt;=$AQ1069))&gt;0)*(ROW(職員マスタ!$A$6:$A$405)-5)))&gt;0,SUMPRODUCT(MAX((職員マスタ!$A$6:$A$405=$B1069)*(((職員マスタ!$G$6:$G$405="")+(職員マスタ!$G$6:$G$405&lt;=EOMONTH($AQ1069,0)))&gt;0)*(((職員マスタ!$H$6:$H$405="")+(職員マスタ!$H$6:$H$405&gt;=$AQ1069))&gt;0)*(ROW(職員マスタ!$A$6:$A$405)-5))),IFERROR(MATCH($B1069,職員マスタ!$A$6:$A$405,0),"")))</f>
        <v/>
      </c>
      <c r="AQ1069" s="16">
        <f>IF(OR($B1069="",$C1069="",$D1069=""),"",DATE($C1069+2018,$D1069,1))</f>
        <v/>
      </c>
    </row>
    <row r="1070">
      <c r="A1070" s="11" t="n"/>
      <c r="B1070" s="12" t="n"/>
      <c r="C1070" s="12" t="n"/>
      <c r="D1070" s="12" t="n"/>
      <c r="E1070" s="13" t="n"/>
      <c r="F1070" s="12" t="n"/>
      <c r="G1070" s="13" t="n"/>
      <c r="H1070" s="12" t="n"/>
      <c r="I1070" s="12" t="n"/>
      <c r="J1070" s="12" t="n"/>
      <c r="K1070" s="12" t="n"/>
      <c r="L1070" s="11" t="n"/>
      <c r="M1070" s="11" t="n"/>
      <c r="N1070" s="11" t="n"/>
      <c r="O1070" s="11" t="n"/>
      <c r="P1070" s="12" t="n"/>
      <c r="Q1070" s="11" t="n"/>
      <c r="R1070" s="12" t="n"/>
      <c r="S1070" s="11" t="n"/>
      <c r="T1070" s="12" t="n"/>
      <c r="U1070" s="12" t="n"/>
      <c r="V1070" s="12" t="n"/>
      <c r="W1070" s="13" t="n"/>
      <c r="X1070" s="14">
        <f>IF($AP1070="",IF($B1070="","",$H1070),IF(INDEX(職員マスタ!$B$6:$B$405,$AP1070)="",$H1070,INDEX(職員マスタ!$B$6:$B$405,$AP1070)))</f>
        <v/>
      </c>
      <c r="Y1070" s="14">
        <f>IF($AP1070="",IF($B1070="","",$R1070),IF(INDEX(職員マスタ!$C$6:$C$405,$AP1070)="",$R1070,INDEX(職員マスタ!$C$6:$C$405,$AP1070)))</f>
        <v/>
      </c>
      <c r="Z1070" s="14">
        <f>IF($AQ1070="","","R"&amp;$C1070&amp;"."&amp;$D1070)</f>
        <v/>
      </c>
      <c r="AA1070" s="15">
        <f>IF(IF($AP1070="",FALSE,INDEX(職員マスタ!$K$6:$K$405,$AP1070)&lt;&gt;""),INDEX(職員マスタ!$K$6:$K$405,$AP1070),IF(N($W1070)&gt;0,$W1070,""))</f>
        <v/>
      </c>
      <c r="AB1070" s="14">
        <f>IF(OR($E1070="",$AA1070=""),"",IF($E1070&gt;=$AA1070,"×",IF($E1070&gt;=$AA1070*設定!$C$5,"△","○")))</f>
        <v/>
      </c>
      <c r="AC1070" s="15">
        <f>IF($AB1070="","",IF($AB1070="×",0,IF($AB1070="○",ROUNDDOWN($E1070*設定!$C$4,0),ROUNDDOWN($E1070*ROUND((9*$AA1070-9*$E1070)/(10*$E1070),4),0))))</f>
        <v/>
      </c>
      <c r="AD1070" s="13" t="n"/>
      <c r="AE1070" s="15">
        <f>IF($B1070="","",IF($AD1070&lt;&gt;"",$AD1070,IF($AC1070="","",IF($AC1070&lt;=設定!$C$3,0,$AC1070))))</f>
        <v/>
      </c>
      <c r="AF1070" s="14">
        <f>IF($B1070="","",IF(AND($AG1070&lt;&gt;"",$AI1070="",$AL1070=""),"保留中",IF($AL1070&lt;&gt;"",IF(N($AE1070)&gt;0,"支給済","不支給"),IF($AE1070="","要確認",IF($AE1070=0,"不支給","未処理")))))</f>
        <v/>
      </c>
      <c r="AG1070" s="12" t="n"/>
      <c r="AH1070" s="11" t="n"/>
      <c r="AI1070" s="11" t="n"/>
      <c r="AJ1070" s="11" t="n"/>
      <c r="AK1070" s="14">
        <f>IF(AND($AF1070="保留中",$AH1070&lt;&gt;""),TODAY()-$AH1070,"")</f>
        <v/>
      </c>
      <c r="AL1070" s="12" t="n"/>
      <c r="AM1070" s="14">
        <f>IF($B1070="","",IF($AQ1070="","対象年月が未入力／","")&amp;IF($B1070="","",IF($AP1070="","職員マスタに未登録の職員番号／",IF($AA1070="","標準報酬月額が未登録／","")&amp;IF(AND($AQ1070&lt;&gt;"",OR(AND(INDEX(職員マスタ!$G$6:$G$405,$AP1070)&lt;&gt;"",INDEX(職員マスタ!$G$6:$G$405,$AP1070)&gt;EOMONTH($AQ1070,0)),AND(INDEX(職員マスタ!$H$6:$H$405,$AP1070)&lt;&gt;"",INDEX(職員マスタ!$H$6:$H$405,$AP1070)&lt;$AQ1070))),"対象月が時短期間外／","")&amp;IF(AND(INDEX(職員マスタ!$K$6:$K$405,$AP1070)&lt;&gt;"",N($W1070)&gt;0,INDEX(職員マスタ!$K$6:$K$405,$AP1070)&lt;&gt;$W1070),"標準報酬月額が申請書と相違（台帳"&amp;TEXT(INDEX(職員マスタ!$K$6:$K$405,$AP1070),"#,##0")&amp;"円／申請書"&amp;TEXT($W1070,"#,##0")&amp;"円）／","")&amp;IF(AND(INDEX(職員マスタ!$F$6:$F$405,$AP1070)&lt;&gt;"",$AQ1070&lt;&gt;"",INDEX(職員マスタ!$F$6:$F$405,$AP1070)&lt;$AQ1070),"対象月に子が2歳到達済／","")&amp;IF(AND($H1070&lt;&gt;"",INDEX(職員マスタ!$B$6:$B$405,$AP1070)&lt;&gt;"",SUBSTITUTE(SUBSTITUTE($H1070," ","")," ","")&lt;&gt;SUBSTITUTE(SUBSTITUTE(INDEX(職員マスタ!$B$6:$B$405,$AP1070)," ","")," ","")),"氏名がマスタと相違／","")&amp;IF(AND($Q1070&lt;&gt;"",INDEX(職員マスタ!$E$6:$E$405,$AP1070)&lt;&gt;"",$Q1070&lt;&gt;INDEX(職員マスタ!$E$6:$E$405,$AP1070)),"子の生年月日がマスタと相違／","")&amp;IF(AND($L1070&lt;&gt;"",INDEX(職員マスタ!$G$6:$G$405,$AP1070)&lt;&gt;"",$L1070&lt;&gt;INDEX(職員マスタ!$G$6:$G$405,$AP1070)),"時短開始日がマスタと相違／","")&amp;IF(AND($M1070&lt;&gt;"",INDEX(職員マスタ!$H$6:$H$405,$AP1070)&lt;&gt;"",$M1070&lt;&gt;INDEX(職員マスタ!$H$6:$H$405,$AP1070)),"時短終了日がマスタと相違／","")))&amp;IF(AND($B1070&lt;&gt;"",$E1070=""),"報酬額が未入力／","")&amp;IF(N($U1070)&gt;0,"申請書に入力エラーが残っています／","")&amp;IF(AND($B1070&lt;&gt;"",$AQ1070&lt;&gt;""),IF(COUNTIFS($B$6:$B$3005,$B1070,$C$6:$C$3005,$C1070,$D$6:$D$3005,$D1070)&gt;1,"同じ月の請求が重複しています／",""),"")&amp;IF(AND(N($E1070)&gt;0,$AB1070&lt;&gt;"",$AB1070&lt;&gt;"×",$AE1070=0,$AD1070=""),"計算額が下限以下のため不支給／",""))</f>
        <v/>
      </c>
      <c r="AN1070" s="12" t="n"/>
      <c r="AO1070" s="14">
        <f>IF($AF1070="保留中",COUNTIF($AF$6:$AF1070,"保留中"),"")</f>
        <v/>
      </c>
      <c r="AP1070" s="14">
        <f>IF($AQ1070="","",IF(SUMPRODUCT(MAX((職員マスタ!$A$6:$A$405=$B1070)*(((職員マスタ!$G$6:$G$405="")+(職員マスタ!$G$6:$G$405&lt;=EOMONTH($AQ1070,0)))&gt;0)*(((職員マスタ!$H$6:$H$405="")+(職員マスタ!$H$6:$H$405&gt;=$AQ1070))&gt;0)*(ROW(職員マスタ!$A$6:$A$405)-5)))&gt;0,SUMPRODUCT(MAX((職員マスタ!$A$6:$A$405=$B1070)*(((職員マスタ!$G$6:$G$405="")+(職員マスタ!$G$6:$G$405&lt;=EOMONTH($AQ1070,0)))&gt;0)*(((職員マスタ!$H$6:$H$405="")+(職員マスタ!$H$6:$H$405&gt;=$AQ1070))&gt;0)*(ROW(職員マスタ!$A$6:$A$405)-5))),IFERROR(MATCH($B1070,職員マスタ!$A$6:$A$405,0),"")))</f>
        <v/>
      </c>
      <c r="AQ1070" s="16">
        <f>IF(OR($B1070="",$C1070="",$D1070=""),"",DATE($C1070+2018,$D1070,1))</f>
        <v/>
      </c>
    </row>
    <row r="1071">
      <c r="A1071" s="11" t="n"/>
      <c r="B1071" s="12" t="n"/>
      <c r="C1071" s="12" t="n"/>
      <c r="D1071" s="12" t="n"/>
      <c r="E1071" s="13" t="n"/>
      <c r="F1071" s="12" t="n"/>
      <c r="G1071" s="13" t="n"/>
      <c r="H1071" s="12" t="n"/>
      <c r="I1071" s="12" t="n"/>
      <c r="J1071" s="12" t="n"/>
      <c r="K1071" s="12" t="n"/>
      <c r="L1071" s="11" t="n"/>
      <c r="M1071" s="11" t="n"/>
      <c r="N1071" s="11" t="n"/>
      <c r="O1071" s="11" t="n"/>
      <c r="P1071" s="12" t="n"/>
      <c r="Q1071" s="11" t="n"/>
      <c r="R1071" s="12" t="n"/>
      <c r="S1071" s="11" t="n"/>
      <c r="T1071" s="12" t="n"/>
      <c r="U1071" s="12" t="n"/>
      <c r="V1071" s="12" t="n"/>
      <c r="W1071" s="13" t="n"/>
      <c r="X1071" s="14">
        <f>IF($AP1071="",IF($B1071="","",$H1071),IF(INDEX(職員マスタ!$B$6:$B$405,$AP1071)="",$H1071,INDEX(職員マスタ!$B$6:$B$405,$AP1071)))</f>
        <v/>
      </c>
      <c r="Y1071" s="14">
        <f>IF($AP1071="",IF($B1071="","",$R1071),IF(INDEX(職員マスタ!$C$6:$C$405,$AP1071)="",$R1071,INDEX(職員マスタ!$C$6:$C$405,$AP1071)))</f>
        <v/>
      </c>
      <c r="Z1071" s="14">
        <f>IF($AQ1071="","","R"&amp;$C1071&amp;"."&amp;$D1071)</f>
        <v/>
      </c>
      <c r="AA1071" s="15">
        <f>IF(IF($AP1071="",FALSE,INDEX(職員マスタ!$K$6:$K$405,$AP1071)&lt;&gt;""),INDEX(職員マスタ!$K$6:$K$405,$AP1071),IF(N($W1071)&gt;0,$W1071,""))</f>
        <v/>
      </c>
      <c r="AB1071" s="14">
        <f>IF(OR($E1071="",$AA1071=""),"",IF($E1071&gt;=$AA1071,"×",IF($E1071&gt;=$AA1071*設定!$C$5,"△","○")))</f>
        <v/>
      </c>
      <c r="AC1071" s="15">
        <f>IF($AB1071="","",IF($AB1071="×",0,IF($AB1071="○",ROUNDDOWN($E1071*設定!$C$4,0),ROUNDDOWN($E1071*ROUND((9*$AA1071-9*$E1071)/(10*$E1071),4),0))))</f>
        <v/>
      </c>
      <c r="AD1071" s="13" t="n"/>
      <c r="AE1071" s="15">
        <f>IF($B1071="","",IF($AD1071&lt;&gt;"",$AD1071,IF($AC1071="","",IF($AC1071&lt;=設定!$C$3,0,$AC1071))))</f>
        <v/>
      </c>
      <c r="AF1071" s="14">
        <f>IF($B1071="","",IF(AND($AG1071&lt;&gt;"",$AI1071="",$AL1071=""),"保留中",IF($AL1071&lt;&gt;"",IF(N($AE1071)&gt;0,"支給済","不支給"),IF($AE1071="","要確認",IF($AE1071=0,"不支給","未処理")))))</f>
        <v/>
      </c>
      <c r="AG1071" s="12" t="n"/>
      <c r="AH1071" s="11" t="n"/>
      <c r="AI1071" s="11" t="n"/>
      <c r="AJ1071" s="11" t="n"/>
      <c r="AK1071" s="14">
        <f>IF(AND($AF1071="保留中",$AH1071&lt;&gt;""),TODAY()-$AH1071,"")</f>
        <v/>
      </c>
      <c r="AL1071" s="12" t="n"/>
      <c r="AM1071" s="14">
        <f>IF($B1071="","",IF($AQ1071="","対象年月が未入力／","")&amp;IF($B1071="","",IF($AP1071="","職員マスタに未登録の職員番号／",IF($AA1071="","標準報酬月額が未登録／","")&amp;IF(AND($AQ1071&lt;&gt;"",OR(AND(INDEX(職員マスタ!$G$6:$G$405,$AP1071)&lt;&gt;"",INDEX(職員マスタ!$G$6:$G$405,$AP1071)&gt;EOMONTH($AQ1071,0)),AND(INDEX(職員マスタ!$H$6:$H$405,$AP1071)&lt;&gt;"",INDEX(職員マスタ!$H$6:$H$405,$AP1071)&lt;$AQ1071))),"対象月が時短期間外／","")&amp;IF(AND(INDEX(職員マスタ!$K$6:$K$405,$AP1071)&lt;&gt;"",N($W1071)&gt;0,INDEX(職員マスタ!$K$6:$K$405,$AP1071)&lt;&gt;$W1071),"標準報酬月額が申請書と相違（台帳"&amp;TEXT(INDEX(職員マスタ!$K$6:$K$405,$AP1071),"#,##0")&amp;"円／申請書"&amp;TEXT($W1071,"#,##0")&amp;"円）／","")&amp;IF(AND(INDEX(職員マスタ!$F$6:$F$405,$AP1071)&lt;&gt;"",$AQ1071&lt;&gt;"",INDEX(職員マスタ!$F$6:$F$405,$AP1071)&lt;$AQ1071),"対象月に子が2歳到達済／","")&amp;IF(AND($H1071&lt;&gt;"",INDEX(職員マスタ!$B$6:$B$405,$AP1071)&lt;&gt;"",SUBSTITUTE(SUBSTITUTE($H1071," ","")," ","")&lt;&gt;SUBSTITUTE(SUBSTITUTE(INDEX(職員マスタ!$B$6:$B$405,$AP1071)," ","")," ","")),"氏名がマスタと相違／","")&amp;IF(AND($Q1071&lt;&gt;"",INDEX(職員マスタ!$E$6:$E$405,$AP1071)&lt;&gt;"",$Q1071&lt;&gt;INDEX(職員マスタ!$E$6:$E$405,$AP1071)),"子の生年月日がマスタと相違／","")&amp;IF(AND($L1071&lt;&gt;"",INDEX(職員マスタ!$G$6:$G$405,$AP1071)&lt;&gt;"",$L1071&lt;&gt;INDEX(職員マスタ!$G$6:$G$405,$AP1071)),"時短開始日がマスタと相違／","")&amp;IF(AND($M1071&lt;&gt;"",INDEX(職員マスタ!$H$6:$H$405,$AP1071)&lt;&gt;"",$M1071&lt;&gt;INDEX(職員マスタ!$H$6:$H$405,$AP1071)),"時短終了日がマスタと相違／","")))&amp;IF(AND($B1071&lt;&gt;"",$E1071=""),"報酬額が未入力／","")&amp;IF(N($U1071)&gt;0,"申請書に入力エラーが残っています／","")&amp;IF(AND($B1071&lt;&gt;"",$AQ1071&lt;&gt;""),IF(COUNTIFS($B$6:$B$3005,$B1071,$C$6:$C$3005,$C1071,$D$6:$D$3005,$D1071)&gt;1,"同じ月の請求が重複しています／",""),"")&amp;IF(AND(N($E1071)&gt;0,$AB1071&lt;&gt;"",$AB1071&lt;&gt;"×",$AE1071=0,$AD1071=""),"計算額が下限以下のため不支給／",""))</f>
        <v/>
      </c>
      <c r="AN1071" s="12" t="n"/>
      <c r="AO1071" s="14">
        <f>IF($AF1071="保留中",COUNTIF($AF$6:$AF1071,"保留中"),"")</f>
        <v/>
      </c>
      <c r="AP1071" s="14">
        <f>IF($AQ1071="","",IF(SUMPRODUCT(MAX((職員マスタ!$A$6:$A$405=$B1071)*(((職員マスタ!$G$6:$G$405="")+(職員マスタ!$G$6:$G$405&lt;=EOMONTH($AQ1071,0)))&gt;0)*(((職員マスタ!$H$6:$H$405="")+(職員マスタ!$H$6:$H$405&gt;=$AQ1071))&gt;0)*(ROW(職員マスタ!$A$6:$A$405)-5)))&gt;0,SUMPRODUCT(MAX((職員マスタ!$A$6:$A$405=$B1071)*(((職員マスタ!$G$6:$G$405="")+(職員マスタ!$G$6:$G$405&lt;=EOMONTH($AQ1071,0)))&gt;0)*(((職員マスタ!$H$6:$H$405="")+(職員マスタ!$H$6:$H$405&gt;=$AQ1071))&gt;0)*(ROW(職員マスタ!$A$6:$A$405)-5))),IFERROR(MATCH($B1071,職員マスタ!$A$6:$A$405,0),"")))</f>
        <v/>
      </c>
      <c r="AQ1071" s="16">
        <f>IF(OR($B1071="",$C1071="",$D1071=""),"",DATE($C1071+2018,$D1071,1))</f>
        <v/>
      </c>
    </row>
    <row r="1072">
      <c r="A1072" s="11" t="n"/>
      <c r="B1072" s="12" t="n"/>
      <c r="C1072" s="12" t="n"/>
      <c r="D1072" s="12" t="n"/>
      <c r="E1072" s="13" t="n"/>
      <c r="F1072" s="12" t="n"/>
      <c r="G1072" s="13" t="n"/>
      <c r="H1072" s="12" t="n"/>
      <c r="I1072" s="12" t="n"/>
      <c r="J1072" s="12" t="n"/>
      <c r="K1072" s="12" t="n"/>
      <c r="L1072" s="11" t="n"/>
      <c r="M1072" s="11" t="n"/>
      <c r="N1072" s="11" t="n"/>
      <c r="O1072" s="11" t="n"/>
      <c r="P1072" s="12" t="n"/>
      <c r="Q1072" s="11" t="n"/>
      <c r="R1072" s="12" t="n"/>
      <c r="S1072" s="11" t="n"/>
      <c r="T1072" s="12" t="n"/>
      <c r="U1072" s="12" t="n"/>
      <c r="V1072" s="12" t="n"/>
      <c r="W1072" s="13" t="n"/>
      <c r="X1072" s="14">
        <f>IF($AP1072="",IF($B1072="","",$H1072),IF(INDEX(職員マスタ!$B$6:$B$405,$AP1072)="",$H1072,INDEX(職員マスタ!$B$6:$B$405,$AP1072)))</f>
        <v/>
      </c>
      <c r="Y1072" s="14">
        <f>IF($AP1072="",IF($B1072="","",$R1072),IF(INDEX(職員マスタ!$C$6:$C$405,$AP1072)="",$R1072,INDEX(職員マスタ!$C$6:$C$405,$AP1072)))</f>
        <v/>
      </c>
      <c r="Z1072" s="14">
        <f>IF($AQ1072="","","R"&amp;$C1072&amp;"."&amp;$D1072)</f>
        <v/>
      </c>
      <c r="AA1072" s="15">
        <f>IF(IF($AP1072="",FALSE,INDEX(職員マスタ!$K$6:$K$405,$AP1072)&lt;&gt;""),INDEX(職員マスタ!$K$6:$K$405,$AP1072),IF(N($W1072)&gt;0,$W1072,""))</f>
        <v/>
      </c>
      <c r="AB1072" s="14">
        <f>IF(OR($E1072="",$AA1072=""),"",IF($E1072&gt;=$AA1072,"×",IF($E1072&gt;=$AA1072*設定!$C$5,"△","○")))</f>
        <v/>
      </c>
      <c r="AC1072" s="15">
        <f>IF($AB1072="","",IF($AB1072="×",0,IF($AB1072="○",ROUNDDOWN($E1072*設定!$C$4,0),ROUNDDOWN($E1072*ROUND((9*$AA1072-9*$E1072)/(10*$E1072),4),0))))</f>
        <v/>
      </c>
      <c r="AD1072" s="13" t="n"/>
      <c r="AE1072" s="15">
        <f>IF($B1072="","",IF($AD1072&lt;&gt;"",$AD1072,IF($AC1072="","",IF($AC1072&lt;=設定!$C$3,0,$AC1072))))</f>
        <v/>
      </c>
      <c r="AF1072" s="14">
        <f>IF($B1072="","",IF(AND($AG1072&lt;&gt;"",$AI1072="",$AL1072=""),"保留中",IF($AL1072&lt;&gt;"",IF(N($AE1072)&gt;0,"支給済","不支給"),IF($AE1072="","要確認",IF($AE1072=0,"不支給","未処理")))))</f>
        <v/>
      </c>
      <c r="AG1072" s="12" t="n"/>
      <c r="AH1072" s="11" t="n"/>
      <c r="AI1072" s="11" t="n"/>
      <c r="AJ1072" s="11" t="n"/>
      <c r="AK1072" s="14">
        <f>IF(AND($AF1072="保留中",$AH1072&lt;&gt;""),TODAY()-$AH1072,"")</f>
        <v/>
      </c>
      <c r="AL1072" s="12" t="n"/>
      <c r="AM1072" s="14">
        <f>IF($B1072="","",IF($AQ1072="","対象年月が未入力／","")&amp;IF($B1072="","",IF($AP1072="","職員マスタに未登録の職員番号／",IF($AA1072="","標準報酬月額が未登録／","")&amp;IF(AND($AQ1072&lt;&gt;"",OR(AND(INDEX(職員マスタ!$G$6:$G$405,$AP1072)&lt;&gt;"",INDEX(職員マスタ!$G$6:$G$405,$AP1072)&gt;EOMONTH($AQ1072,0)),AND(INDEX(職員マスタ!$H$6:$H$405,$AP1072)&lt;&gt;"",INDEX(職員マスタ!$H$6:$H$405,$AP1072)&lt;$AQ1072))),"対象月が時短期間外／","")&amp;IF(AND(INDEX(職員マスタ!$K$6:$K$405,$AP1072)&lt;&gt;"",N($W1072)&gt;0,INDEX(職員マスタ!$K$6:$K$405,$AP1072)&lt;&gt;$W1072),"標準報酬月額が申請書と相違（台帳"&amp;TEXT(INDEX(職員マスタ!$K$6:$K$405,$AP1072),"#,##0")&amp;"円／申請書"&amp;TEXT($W1072,"#,##0")&amp;"円）／","")&amp;IF(AND(INDEX(職員マスタ!$F$6:$F$405,$AP1072)&lt;&gt;"",$AQ1072&lt;&gt;"",INDEX(職員マスタ!$F$6:$F$405,$AP1072)&lt;$AQ1072),"対象月に子が2歳到達済／","")&amp;IF(AND($H1072&lt;&gt;"",INDEX(職員マスタ!$B$6:$B$405,$AP1072)&lt;&gt;"",SUBSTITUTE(SUBSTITUTE($H1072," ","")," ","")&lt;&gt;SUBSTITUTE(SUBSTITUTE(INDEX(職員マスタ!$B$6:$B$405,$AP1072)," ","")," ","")),"氏名がマスタと相違／","")&amp;IF(AND($Q1072&lt;&gt;"",INDEX(職員マスタ!$E$6:$E$405,$AP1072)&lt;&gt;"",$Q1072&lt;&gt;INDEX(職員マスタ!$E$6:$E$405,$AP1072)),"子の生年月日がマスタと相違／","")&amp;IF(AND($L1072&lt;&gt;"",INDEX(職員マスタ!$G$6:$G$405,$AP1072)&lt;&gt;"",$L1072&lt;&gt;INDEX(職員マスタ!$G$6:$G$405,$AP1072)),"時短開始日がマスタと相違／","")&amp;IF(AND($M1072&lt;&gt;"",INDEX(職員マスタ!$H$6:$H$405,$AP1072)&lt;&gt;"",$M1072&lt;&gt;INDEX(職員マスタ!$H$6:$H$405,$AP1072)),"時短終了日がマスタと相違／","")))&amp;IF(AND($B1072&lt;&gt;"",$E1072=""),"報酬額が未入力／","")&amp;IF(N($U1072)&gt;0,"申請書に入力エラーが残っています／","")&amp;IF(AND($B1072&lt;&gt;"",$AQ1072&lt;&gt;""),IF(COUNTIFS($B$6:$B$3005,$B1072,$C$6:$C$3005,$C1072,$D$6:$D$3005,$D1072)&gt;1,"同じ月の請求が重複しています／",""),"")&amp;IF(AND(N($E1072)&gt;0,$AB1072&lt;&gt;"",$AB1072&lt;&gt;"×",$AE1072=0,$AD1072=""),"計算額が下限以下のため不支給／",""))</f>
        <v/>
      </c>
      <c r="AN1072" s="12" t="n"/>
      <c r="AO1072" s="14">
        <f>IF($AF1072="保留中",COUNTIF($AF$6:$AF1072,"保留中"),"")</f>
        <v/>
      </c>
      <c r="AP1072" s="14">
        <f>IF($AQ1072="","",IF(SUMPRODUCT(MAX((職員マスタ!$A$6:$A$405=$B1072)*(((職員マスタ!$G$6:$G$405="")+(職員マスタ!$G$6:$G$405&lt;=EOMONTH($AQ1072,0)))&gt;0)*(((職員マスタ!$H$6:$H$405="")+(職員マスタ!$H$6:$H$405&gt;=$AQ1072))&gt;0)*(ROW(職員マスタ!$A$6:$A$405)-5)))&gt;0,SUMPRODUCT(MAX((職員マスタ!$A$6:$A$405=$B1072)*(((職員マスタ!$G$6:$G$405="")+(職員マスタ!$G$6:$G$405&lt;=EOMONTH($AQ1072,0)))&gt;0)*(((職員マスタ!$H$6:$H$405="")+(職員マスタ!$H$6:$H$405&gt;=$AQ1072))&gt;0)*(ROW(職員マスタ!$A$6:$A$405)-5))),IFERROR(MATCH($B1072,職員マスタ!$A$6:$A$405,0),"")))</f>
        <v/>
      </c>
      <c r="AQ1072" s="16">
        <f>IF(OR($B1072="",$C1072="",$D1072=""),"",DATE($C1072+2018,$D1072,1))</f>
        <v/>
      </c>
    </row>
    <row r="1073">
      <c r="A1073" s="11" t="n"/>
      <c r="B1073" s="12" t="n"/>
      <c r="C1073" s="12" t="n"/>
      <c r="D1073" s="12" t="n"/>
      <c r="E1073" s="13" t="n"/>
      <c r="F1073" s="12" t="n"/>
      <c r="G1073" s="13" t="n"/>
      <c r="H1073" s="12" t="n"/>
      <c r="I1073" s="12" t="n"/>
      <c r="J1073" s="12" t="n"/>
      <c r="K1073" s="12" t="n"/>
      <c r="L1073" s="11" t="n"/>
      <c r="M1073" s="11" t="n"/>
      <c r="N1073" s="11" t="n"/>
      <c r="O1073" s="11" t="n"/>
      <c r="P1073" s="12" t="n"/>
      <c r="Q1073" s="11" t="n"/>
      <c r="R1073" s="12" t="n"/>
      <c r="S1073" s="11" t="n"/>
      <c r="T1073" s="12" t="n"/>
      <c r="U1073" s="12" t="n"/>
      <c r="V1073" s="12" t="n"/>
      <c r="W1073" s="13" t="n"/>
      <c r="X1073" s="14">
        <f>IF($AP1073="",IF($B1073="","",$H1073),IF(INDEX(職員マスタ!$B$6:$B$405,$AP1073)="",$H1073,INDEX(職員マスタ!$B$6:$B$405,$AP1073)))</f>
        <v/>
      </c>
      <c r="Y1073" s="14">
        <f>IF($AP1073="",IF($B1073="","",$R1073),IF(INDEX(職員マスタ!$C$6:$C$405,$AP1073)="",$R1073,INDEX(職員マスタ!$C$6:$C$405,$AP1073)))</f>
        <v/>
      </c>
      <c r="Z1073" s="14">
        <f>IF($AQ1073="","","R"&amp;$C1073&amp;"."&amp;$D1073)</f>
        <v/>
      </c>
      <c r="AA1073" s="15">
        <f>IF(IF($AP1073="",FALSE,INDEX(職員マスタ!$K$6:$K$405,$AP1073)&lt;&gt;""),INDEX(職員マスタ!$K$6:$K$405,$AP1073),IF(N($W1073)&gt;0,$W1073,""))</f>
        <v/>
      </c>
      <c r="AB1073" s="14">
        <f>IF(OR($E1073="",$AA1073=""),"",IF($E1073&gt;=$AA1073,"×",IF($E1073&gt;=$AA1073*設定!$C$5,"△","○")))</f>
        <v/>
      </c>
      <c r="AC1073" s="15">
        <f>IF($AB1073="","",IF($AB1073="×",0,IF($AB1073="○",ROUNDDOWN($E1073*設定!$C$4,0),ROUNDDOWN($E1073*ROUND((9*$AA1073-9*$E1073)/(10*$E1073),4),0))))</f>
        <v/>
      </c>
      <c r="AD1073" s="13" t="n"/>
      <c r="AE1073" s="15">
        <f>IF($B1073="","",IF($AD1073&lt;&gt;"",$AD1073,IF($AC1073="","",IF($AC1073&lt;=設定!$C$3,0,$AC1073))))</f>
        <v/>
      </c>
      <c r="AF1073" s="14">
        <f>IF($B1073="","",IF(AND($AG1073&lt;&gt;"",$AI1073="",$AL1073=""),"保留中",IF($AL1073&lt;&gt;"",IF(N($AE1073)&gt;0,"支給済","不支給"),IF($AE1073="","要確認",IF($AE1073=0,"不支給","未処理")))))</f>
        <v/>
      </c>
      <c r="AG1073" s="12" t="n"/>
      <c r="AH1073" s="11" t="n"/>
      <c r="AI1073" s="11" t="n"/>
      <c r="AJ1073" s="11" t="n"/>
      <c r="AK1073" s="14">
        <f>IF(AND($AF1073="保留中",$AH1073&lt;&gt;""),TODAY()-$AH1073,"")</f>
        <v/>
      </c>
      <c r="AL1073" s="12" t="n"/>
      <c r="AM1073" s="14">
        <f>IF($B1073="","",IF($AQ1073="","対象年月が未入力／","")&amp;IF($B1073="","",IF($AP1073="","職員マスタに未登録の職員番号／",IF($AA1073="","標準報酬月額が未登録／","")&amp;IF(AND($AQ1073&lt;&gt;"",OR(AND(INDEX(職員マスタ!$G$6:$G$405,$AP1073)&lt;&gt;"",INDEX(職員マスタ!$G$6:$G$405,$AP1073)&gt;EOMONTH($AQ1073,0)),AND(INDEX(職員マスタ!$H$6:$H$405,$AP1073)&lt;&gt;"",INDEX(職員マスタ!$H$6:$H$405,$AP1073)&lt;$AQ1073))),"対象月が時短期間外／","")&amp;IF(AND(INDEX(職員マスタ!$K$6:$K$405,$AP1073)&lt;&gt;"",N($W1073)&gt;0,INDEX(職員マスタ!$K$6:$K$405,$AP1073)&lt;&gt;$W1073),"標準報酬月額が申請書と相違（台帳"&amp;TEXT(INDEX(職員マスタ!$K$6:$K$405,$AP1073),"#,##0")&amp;"円／申請書"&amp;TEXT($W1073,"#,##0")&amp;"円）／","")&amp;IF(AND(INDEX(職員マスタ!$F$6:$F$405,$AP1073)&lt;&gt;"",$AQ1073&lt;&gt;"",INDEX(職員マスタ!$F$6:$F$405,$AP1073)&lt;$AQ1073),"対象月に子が2歳到達済／","")&amp;IF(AND($H1073&lt;&gt;"",INDEX(職員マスタ!$B$6:$B$405,$AP1073)&lt;&gt;"",SUBSTITUTE(SUBSTITUTE($H1073," ","")," ","")&lt;&gt;SUBSTITUTE(SUBSTITUTE(INDEX(職員マスタ!$B$6:$B$405,$AP1073)," ","")," ","")),"氏名がマスタと相違／","")&amp;IF(AND($Q1073&lt;&gt;"",INDEX(職員マスタ!$E$6:$E$405,$AP1073)&lt;&gt;"",$Q1073&lt;&gt;INDEX(職員マスタ!$E$6:$E$405,$AP1073)),"子の生年月日がマスタと相違／","")&amp;IF(AND($L1073&lt;&gt;"",INDEX(職員マスタ!$G$6:$G$405,$AP1073)&lt;&gt;"",$L1073&lt;&gt;INDEX(職員マスタ!$G$6:$G$405,$AP1073)),"時短開始日がマスタと相違／","")&amp;IF(AND($M1073&lt;&gt;"",INDEX(職員マスタ!$H$6:$H$405,$AP1073)&lt;&gt;"",$M1073&lt;&gt;INDEX(職員マスタ!$H$6:$H$405,$AP1073)),"時短終了日がマスタと相違／","")))&amp;IF(AND($B1073&lt;&gt;"",$E1073=""),"報酬額が未入力／","")&amp;IF(N($U1073)&gt;0,"申請書に入力エラーが残っています／","")&amp;IF(AND($B1073&lt;&gt;"",$AQ1073&lt;&gt;""),IF(COUNTIFS($B$6:$B$3005,$B1073,$C$6:$C$3005,$C1073,$D$6:$D$3005,$D1073)&gt;1,"同じ月の請求が重複しています／",""),"")&amp;IF(AND(N($E1073)&gt;0,$AB1073&lt;&gt;"",$AB1073&lt;&gt;"×",$AE1073=0,$AD1073=""),"計算額が下限以下のため不支給／",""))</f>
        <v/>
      </c>
      <c r="AN1073" s="12" t="n"/>
      <c r="AO1073" s="14">
        <f>IF($AF1073="保留中",COUNTIF($AF$6:$AF1073,"保留中"),"")</f>
        <v/>
      </c>
      <c r="AP1073" s="14">
        <f>IF($AQ1073="","",IF(SUMPRODUCT(MAX((職員マスタ!$A$6:$A$405=$B1073)*(((職員マスタ!$G$6:$G$405="")+(職員マスタ!$G$6:$G$405&lt;=EOMONTH($AQ1073,0)))&gt;0)*(((職員マスタ!$H$6:$H$405="")+(職員マスタ!$H$6:$H$405&gt;=$AQ1073))&gt;0)*(ROW(職員マスタ!$A$6:$A$405)-5)))&gt;0,SUMPRODUCT(MAX((職員マスタ!$A$6:$A$405=$B1073)*(((職員マスタ!$G$6:$G$405="")+(職員マスタ!$G$6:$G$405&lt;=EOMONTH($AQ1073,0)))&gt;0)*(((職員マスタ!$H$6:$H$405="")+(職員マスタ!$H$6:$H$405&gt;=$AQ1073))&gt;0)*(ROW(職員マスタ!$A$6:$A$405)-5))),IFERROR(MATCH($B1073,職員マスタ!$A$6:$A$405,0),"")))</f>
        <v/>
      </c>
      <c r="AQ1073" s="16">
        <f>IF(OR($B1073="",$C1073="",$D1073=""),"",DATE($C1073+2018,$D1073,1))</f>
        <v/>
      </c>
    </row>
    <row r="1074">
      <c r="A1074" s="11" t="n"/>
      <c r="B1074" s="12" t="n"/>
      <c r="C1074" s="12" t="n"/>
      <c r="D1074" s="12" t="n"/>
      <c r="E1074" s="13" t="n"/>
      <c r="F1074" s="12" t="n"/>
      <c r="G1074" s="13" t="n"/>
      <c r="H1074" s="12" t="n"/>
      <c r="I1074" s="12" t="n"/>
      <c r="J1074" s="12" t="n"/>
      <c r="K1074" s="12" t="n"/>
      <c r="L1074" s="11" t="n"/>
      <c r="M1074" s="11" t="n"/>
      <c r="N1074" s="11" t="n"/>
      <c r="O1074" s="11" t="n"/>
      <c r="P1074" s="12" t="n"/>
      <c r="Q1074" s="11" t="n"/>
      <c r="R1074" s="12" t="n"/>
      <c r="S1074" s="11" t="n"/>
      <c r="T1074" s="12" t="n"/>
      <c r="U1074" s="12" t="n"/>
      <c r="V1074" s="12" t="n"/>
      <c r="W1074" s="13" t="n"/>
      <c r="X1074" s="14">
        <f>IF($AP1074="",IF($B1074="","",$H1074),IF(INDEX(職員マスタ!$B$6:$B$405,$AP1074)="",$H1074,INDEX(職員マスタ!$B$6:$B$405,$AP1074)))</f>
        <v/>
      </c>
      <c r="Y1074" s="14">
        <f>IF($AP1074="",IF($B1074="","",$R1074),IF(INDEX(職員マスタ!$C$6:$C$405,$AP1074)="",$R1074,INDEX(職員マスタ!$C$6:$C$405,$AP1074)))</f>
        <v/>
      </c>
      <c r="Z1074" s="14">
        <f>IF($AQ1074="","","R"&amp;$C1074&amp;"."&amp;$D1074)</f>
        <v/>
      </c>
      <c r="AA1074" s="15">
        <f>IF(IF($AP1074="",FALSE,INDEX(職員マスタ!$K$6:$K$405,$AP1074)&lt;&gt;""),INDEX(職員マスタ!$K$6:$K$405,$AP1074),IF(N($W1074)&gt;0,$W1074,""))</f>
        <v/>
      </c>
      <c r="AB1074" s="14">
        <f>IF(OR($E1074="",$AA1074=""),"",IF($E1074&gt;=$AA1074,"×",IF($E1074&gt;=$AA1074*設定!$C$5,"△","○")))</f>
        <v/>
      </c>
      <c r="AC1074" s="15">
        <f>IF($AB1074="","",IF($AB1074="×",0,IF($AB1074="○",ROUNDDOWN($E1074*設定!$C$4,0),ROUNDDOWN($E1074*ROUND((9*$AA1074-9*$E1074)/(10*$E1074),4),0))))</f>
        <v/>
      </c>
      <c r="AD1074" s="13" t="n"/>
      <c r="AE1074" s="15">
        <f>IF($B1074="","",IF($AD1074&lt;&gt;"",$AD1074,IF($AC1074="","",IF($AC1074&lt;=設定!$C$3,0,$AC1074))))</f>
        <v/>
      </c>
      <c r="AF1074" s="14">
        <f>IF($B1074="","",IF(AND($AG1074&lt;&gt;"",$AI1074="",$AL1074=""),"保留中",IF($AL1074&lt;&gt;"",IF(N($AE1074)&gt;0,"支給済","不支給"),IF($AE1074="","要確認",IF($AE1074=0,"不支給","未処理")))))</f>
        <v/>
      </c>
      <c r="AG1074" s="12" t="n"/>
      <c r="AH1074" s="11" t="n"/>
      <c r="AI1074" s="11" t="n"/>
      <c r="AJ1074" s="11" t="n"/>
      <c r="AK1074" s="14">
        <f>IF(AND($AF1074="保留中",$AH1074&lt;&gt;""),TODAY()-$AH1074,"")</f>
        <v/>
      </c>
      <c r="AL1074" s="12" t="n"/>
      <c r="AM1074" s="14">
        <f>IF($B1074="","",IF($AQ1074="","対象年月が未入力／","")&amp;IF($B1074="","",IF($AP1074="","職員マスタに未登録の職員番号／",IF($AA1074="","標準報酬月額が未登録／","")&amp;IF(AND($AQ1074&lt;&gt;"",OR(AND(INDEX(職員マスタ!$G$6:$G$405,$AP1074)&lt;&gt;"",INDEX(職員マスタ!$G$6:$G$405,$AP1074)&gt;EOMONTH($AQ1074,0)),AND(INDEX(職員マスタ!$H$6:$H$405,$AP1074)&lt;&gt;"",INDEX(職員マスタ!$H$6:$H$405,$AP1074)&lt;$AQ1074))),"対象月が時短期間外／","")&amp;IF(AND(INDEX(職員マスタ!$K$6:$K$405,$AP1074)&lt;&gt;"",N($W1074)&gt;0,INDEX(職員マスタ!$K$6:$K$405,$AP1074)&lt;&gt;$W1074),"標準報酬月額が申請書と相違（台帳"&amp;TEXT(INDEX(職員マスタ!$K$6:$K$405,$AP1074),"#,##0")&amp;"円／申請書"&amp;TEXT($W1074,"#,##0")&amp;"円）／","")&amp;IF(AND(INDEX(職員マスタ!$F$6:$F$405,$AP1074)&lt;&gt;"",$AQ1074&lt;&gt;"",INDEX(職員マスタ!$F$6:$F$405,$AP1074)&lt;$AQ1074),"対象月に子が2歳到達済／","")&amp;IF(AND($H1074&lt;&gt;"",INDEX(職員マスタ!$B$6:$B$405,$AP1074)&lt;&gt;"",SUBSTITUTE(SUBSTITUTE($H1074," ","")," ","")&lt;&gt;SUBSTITUTE(SUBSTITUTE(INDEX(職員マスタ!$B$6:$B$405,$AP1074)," ","")," ","")),"氏名がマスタと相違／","")&amp;IF(AND($Q1074&lt;&gt;"",INDEX(職員マスタ!$E$6:$E$405,$AP1074)&lt;&gt;"",$Q1074&lt;&gt;INDEX(職員マスタ!$E$6:$E$405,$AP1074)),"子の生年月日がマスタと相違／","")&amp;IF(AND($L1074&lt;&gt;"",INDEX(職員マスタ!$G$6:$G$405,$AP1074)&lt;&gt;"",$L1074&lt;&gt;INDEX(職員マスタ!$G$6:$G$405,$AP1074)),"時短開始日がマスタと相違／","")&amp;IF(AND($M1074&lt;&gt;"",INDEX(職員マスタ!$H$6:$H$405,$AP1074)&lt;&gt;"",$M1074&lt;&gt;INDEX(職員マスタ!$H$6:$H$405,$AP1074)),"時短終了日がマスタと相違／","")))&amp;IF(AND($B1074&lt;&gt;"",$E1074=""),"報酬額が未入力／","")&amp;IF(N($U1074)&gt;0,"申請書に入力エラーが残っています／","")&amp;IF(AND($B1074&lt;&gt;"",$AQ1074&lt;&gt;""),IF(COUNTIFS($B$6:$B$3005,$B1074,$C$6:$C$3005,$C1074,$D$6:$D$3005,$D1074)&gt;1,"同じ月の請求が重複しています／",""),"")&amp;IF(AND(N($E1074)&gt;0,$AB1074&lt;&gt;"",$AB1074&lt;&gt;"×",$AE1074=0,$AD1074=""),"計算額が下限以下のため不支給／",""))</f>
        <v/>
      </c>
      <c r="AN1074" s="12" t="n"/>
      <c r="AO1074" s="14">
        <f>IF($AF1074="保留中",COUNTIF($AF$6:$AF1074,"保留中"),"")</f>
        <v/>
      </c>
      <c r="AP1074" s="14">
        <f>IF($AQ1074="","",IF(SUMPRODUCT(MAX((職員マスタ!$A$6:$A$405=$B1074)*(((職員マスタ!$G$6:$G$405="")+(職員マスタ!$G$6:$G$405&lt;=EOMONTH($AQ1074,0)))&gt;0)*(((職員マスタ!$H$6:$H$405="")+(職員マスタ!$H$6:$H$405&gt;=$AQ1074))&gt;0)*(ROW(職員マスタ!$A$6:$A$405)-5)))&gt;0,SUMPRODUCT(MAX((職員マスタ!$A$6:$A$405=$B1074)*(((職員マスタ!$G$6:$G$405="")+(職員マスタ!$G$6:$G$405&lt;=EOMONTH($AQ1074,0)))&gt;0)*(((職員マスタ!$H$6:$H$405="")+(職員マスタ!$H$6:$H$405&gt;=$AQ1074))&gt;0)*(ROW(職員マスタ!$A$6:$A$405)-5))),IFERROR(MATCH($B1074,職員マスタ!$A$6:$A$405,0),"")))</f>
        <v/>
      </c>
      <c r="AQ1074" s="16">
        <f>IF(OR($B1074="",$C1074="",$D1074=""),"",DATE($C1074+2018,$D1074,1))</f>
        <v/>
      </c>
    </row>
    <row r="1075">
      <c r="A1075" s="11" t="n"/>
      <c r="B1075" s="12" t="n"/>
      <c r="C1075" s="12" t="n"/>
      <c r="D1075" s="12" t="n"/>
      <c r="E1075" s="13" t="n"/>
      <c r="F1075" s="12" t="n"/>
      <c r="G1075" s="13" t="n"/>
      <c r="H1075" s="12" t="n"/>
      <c r="I1075" s="12" t="n"/>
      <c r="J1075" s="12" t="n"/>
      <c r="K1075" s="12" t="n"/>
      <c r="L1075" s="11" t="n"/>
      <c r="M1075" s="11" t="n"/>
      <c r="N1075" s="11" t="n"/>
      <c r="O1075" s="11" t="n"/>
      <c r="P1075" s="12" t="n"/>
      <c r="Q1075" s="11" t="n"/>
      <c r="R1075" s="12" t="n"/>
      <c r="S1075" s="11" t="n"/>
      <c r="T1075" s="12" t="n"/>
      <c r="U1075" s="12" t="n"/>
      <c r="V1075" s="12" t="n"/>
      <c r="W1075" s="13" t="n"/>
      <c r="X1075" s="14">
        <f>IF($AP1075="",IF($B1075="","",$H1075),IF(INDEX(職員マスタ!$B$6:$B$405,$AP1075)="",$H1075,INDEX(職員マスタ!$B$6:$B$405,$AP1075)))</f>
        <v/>
      </c>
      <c r="Y1075" s="14">
        <f>IF($AP1075="",IF($B1075="","",$R1075),IF(INDEX(職員マスタ!$C$6:$C$405,$AP1075)="",$R1075,INDEX(職員マスタ!$C$6:$C$405,$AP1075)))</f>
        <v/>
      </c>
      <c r="Z1075" s="14">
        <f>IF($AQ1075="","","R"&amp;$C1075&amp;"."&amp;$D1075)</f>
        <v/>
      </c>
      <c r="AA1075" s="15">
        <f>IF(IF($AP1075="",FALSE,INDEX(職員マスタ!$K$6:$K$405,$AP1075)&lt;&gt;""),INDEX(職員マスタ!$K$6:$K$405,$AP1075),IF(N($W1075)&gt;0,$W1075,""))</f>
        <v/>
      </c>
      <c r="AB1075" s="14">
        <f>IF(OR($E1075="",$AA1075=""),"",IF($E1075&gt;=$AA1075,"×",IF($E1075&gt;=$AA1075*設定!$C$5,"△","○")))</f>
        <v/>
      </c>
      <c r="AC1075" s="15">
        <f>IF($AB1075="","",IF($AB1075="×",0,IF($AB1075="○",ROUNDDOWN($E1075*設定!$C$4,0),ROUNDDOWN($E1075*ROUND((9*$AA1075-9*$E1075)/(10*$E1075),4),0))))</f>
        <v/>
      </c>
      <c r="AD1075" s="13" t="n"/>
      <c r="AE1075" s="15">
        <f>IF($B1075="","",IF($AD1075&lt;&gt;"",$AD1075,IF($AC1075="","",IF($AC1075&lt;=設定!$C$3,0,$AC1075))))</f>
        <v/>
      </c>
      <c r="AF1075" s="14">
        <f>IF($B1075="","",IF(AND($AG1075&lt;&gt;"",$AI1075="",$AL1075=""),"保留中",IF($AL1075&lt;&gt;"",IF(N($AE1075)&gt;0,"支給済","不支給"),IF($AE1075="","要確認",IF($AE1075=0,"不支給","未処理")))))</f>
        <v/>
      </c>
      <c r="AG1075" s="12" t="n"/>
      <c r="AH1075" s="11" t="n"/>
      <c r="AI1075" s="11" t="n"/>
      <c r="AJ1075" s="11" t="n"/>
      <c r="AK1075" s="14">
        <f>IF(AND($AF1075="保留中",$AH1075&lt;&gt;""),TODAY()-$AH1075,"")</f>
        <v/>
      </c>
      <c r="AL1075" s="12" t="n"/>
      <c r="AM1075" s="14">
        <f>IF($B1075="","",IF($AQ1075="","対象年月が未入力／","")&amp;IF($B1075="","",IF($AP1075="","職員マスタに未登録の職員番号／",IF($AA1075="","標準報酬月額が未登録／","")&amp;IF(AND($AQ1075&lt;&gt;"",OR(AND(INDEX(職員マスタ!$G$6:$G$405,$AP1075)&lt;&gt;"",INDEX(職員マスタ!$G$6:$G$405,$AP1075)&gt;EOMONTH($AQ1075,0)),AND(INDEX(職員マスタ!$H$6:$H$405,$AP1075)&lt;&gt;"",INDEX(職員マスタ!$H$6:$H$405,$AP1075)&lt;$AQ1075))),"対象月が時短期間外／","")&amp;IF(AND(INDEX(職員マスタ!$K$6:$K$405,$AP1075)&lt;&gt;"",N($W1075)&gt;0,INDEX(職員マスタ!$K$6:$K$405,$AP1075)&lt;&gt;$W1075),"標準報酬月額が申請書と相違（台帳"&amp;TEXT(INDEX(職員マスタ!$K$6:$K$405,$AP1075),"#,##0")&amp;"円／申請書"&amp;TEXT($W1075,"#,##0")&amp;"円）／","")&amp;IF(AND(INDEX(職員マスタ!$F$6:$F$405,$AP1075)&lt;&gt;"",$AQ1075&lt;&gt;"",INDEX(職員マスタ!$F$6:$F$405,$AP1075)&lt;$AQ1075),"対象月に子が2歳到達済／","")&amp;IF(AND($H1075&lt;&gt;"",INDEX(職員マスタ!$B$6:$B$405,$AP1075)&lt;&gt;"",SUBSTITUTE(SUBSTITUTE($H1075," ","")," ","")&lt;&gt;SUBSTITUTE(SUBSTITUTE(INDEX(職員マスタ!$B$6:$B$405,$AP1075)," ","")," ","")),"氏名がマスタと相違／","")&amp;IF(AND($Q1075&lt;&gt;"",INDEX(職員マスタ!$E$6:$E$405,$AP1075)&lt;&gt;"",$Q1075&lt;&gt;INDEX(職員マスタ!$E$6:$E$405,$AP1075)),"子の生年月日がマスタと相違／","")&amp;IF(AND($L1075&lt;&gt;"",INDEX(職員マスタ!$G$6:$G$405,$AP1075)&lt;&gt;"",$L1075&lt;&gt;INDEX(職員マスタ!$G$6:$G$405,$AP1075)),"時短開始日がマスタと相違／","")&amp;IF(AND($M1075&lt;&gt;"",INDEX(職員マスタ!$H$6:$H$405,$AP1075)&lt;&gt;"",$M1075&lt;&gt;INDEX(職員マスタ!$H$6:$H$405,$AP1075)),"時短終了日がマスタと相違／","")))&amp;IF(AND($B1075&lt;&gt;"",$E1075=""),"報酬額が未入力／","")&amp;IF(N($U1075)&gt;0,"申請書に入力エラーが残っています／","")&amp;IF(AND($B1075&lt;&gt;"",$AQ1075&lt;&gt;""),IF(COUNTIFS($B$6:$B$3005,$B1075,$C$6:$C$3005,$C1075,$D$6:$D$3005,$D1075)&gt;1,"同じ月の請求が重複しています／",""),"")&amp;IF(AND(N($E1075)&gt;0,$AB1075&lt;&gt;"",$AB1075&lt;&gt;"×",$AE1075=0,$AD1075=""),"計算額が下限以下のため不支給／",""))</f>
        <v/>
      </c>
      <c r="AN1075" s="12" t="n"/>
      <c r="AO1075" s="14">
        <f>IF($AF1075="保留中",COUNTIF($AF$6:$AF1075,"保留中"),"")</f>
        <v/>
      </c>
      <c r="AP1075" s="14">
        <f>IF($AQ1075="","",IF(SUMPRODUCT(MAX((職員マスタ!$A$6:$A$405=$B1075)*(((職員マスタ!$G$6:$G$405="")+(職員マスタ!$G$6:$G$405&lt;=EOMONTH($AQ1075,0)))&gt;0)*(((職員マスタ!$H$6:$H$405="")+(職員マスタ!$H$6:$H$405&gt;=$AQ1075))&gt;0)*(ROW(職員マスタ!$A$6:$A$405)-5)))&gt;0,SUMPRODUCT(MAX((職員マスタ!$A$6:$A$405=$B1075)*(((職員マスタ!$G$6:$G$405="")+(職員マスタ!$G$6:$G$405&lt;=EOMONTH($AQ1075,0)))&gt;0)*(((職員マスタ!$H$6:$H$405="")+(職員マスタ!$H$6:$H$405&gt;=$AQ1075))&gt;0)*(ROW(職員マスタ!$A$6:$A$405)-5))),IFERROR(MATCH($B1075,職員マスタ!$A$6:$A$405,0),"")))</f>
        <v/>
      </c>
      <c r="AQ1075" s="16">
        <f>IF(OR($B1075="",$C1075="",$D1075=""),"",DATE($C1075+2018,$D1075,1))</f>
        <v/>
      </c>
    </row>
    <row r="1076">
      <c r="A1076" s="11" t="n"/>
      <c r="B1076" s="12" t="n"/>
      <c r="C1076" s="12" t="n"/>
      <c r="D1076" s="12" t="n"/>
      <c r="E1076" s="13" t="n"/>
      <c r="F1076" s="12" t="n"/>
      <c r="G1076" s="13" t="n"/>
      <c r="H1076" s="12" t="n"/>
      <c r="I1076" s="12" t="n"/>
      <c r="J1076" s="12" t="n"/>
      <c r="K1076" s="12" t="n"/>
      <c r="L1076" s="11" t="n"/>
      <c r="M1076" s="11" t="n"/>
      <c r="N1076" s="11" t="n"/>
      <c r="O1076" s="11" t="n"/>
      <c r="P1076" s="12" t="n"/>
      <c r="Q1076" s="11" t="n"/>
      <c r="R1076" s="12" t="n"/>
      <c r="S1076" s="11" t="n"/>
      <c r="T1076" s="12" t="n"/>
      <c r="U1076" s="12" t="n"/>
      <c r="V1076" s="12" t="n"/>
      <c r="W1076" s="13" t="n"/>
      <c r="X1076" s="14">
        <f>IF($AP1076="",IF($B1076="","",$H1076),IF(INDEX(職員マスタ!$B$6:$B$405,$AP1076)="",$H1076,INDEX(職員マスタ!$B$6:$B$405,$AP1076)))</f>
        <v/>
      </c>
      <c r="Y1076" s="14">
        <f>IF($AP1076="",IF($B1076="","",$R1076),IF(INDEX(職員マスタ!$C$6:$C$405,$AP1076)="",$R1076,INDEX(職員マスタ!$C$6:$C$405,$AP1076)))</f>
        <v/>
      </c>
      <c r="Z1076" s="14">
        <f>IF($AQ1076="","","R"&amp;$C1076&amp;"."&amp;$D1076)</f>
        <v/>
      </c>
      <c r="AA1076" s="15">
        <f>IF(IF($AP1076="",FALSE,INDEX(職員マスタ!$K$6:$K$405,$AP1076)&lt;&gt;""),INDEX(職員マスタ!$K$6:$K$405,$AP1076),IF(N($W1076)&gt;0,$W1076,""))</f>
        <v/>
      </c>
      <c r="AB1076" s="14">
        <f>IF(OR($E1076="",$AA1076=""),"",IF($E1076&gt;=$AA1076,"×",IF($E1076&gt;=$AA1076*設定!$C$5,"△","○")))</f>
        <v/>
      </c>
      <c r="AC1076" s="15">
        <f>IF($AB1076="","",IF($AB1076="×",0,IF($AB1076="○",ROUNDDOWN($E1076*設定!$C$4,0),ROUNDDOWN($E1076*ROUND((9*$AA1076-9*$E1076)/(10*$E1076),4),0))))</f>
        <v/>
      </c>
      <c r="AD1076" s="13" t="n"/>
      <c r="AE1076" s="15">
        <f>IF($B1076="","",IF($AD1076&lt;&gt;"",$AD1076,IF($AC1076="","",IF($AC1076&lt;=設定!$C$3,0,$AC1076))))</f>
        <v/>
      </c>
      <c r="AF1076" s="14">
        <f>IF($B1076="","",IF(AND($AG1076&lt;&gt;"",$AI1076="",$AL1076=""),"保留中",IF($AL1076&lt;&gt;"",IF(N($AE1076)&gt;0,"支給済","不支給"),IF($AE1076="","要確認",IF($AE1076=0,"不支給","未処理")))))</f>
        <v/>
      </c>
      <c r="AG1076" s="12" t="n"/>
      <c r="AH1076" s="11" t="n"/>
      <c r="AI1076" s="11" t="n"/>
      <c r="AJ1076" s="11" t="n"/>
      <c r="AK1076" s="14">
        <f>IF(AND($AF1076="保留中",$AH1076&lt;&gt;""),TODAY()-$AH1076,"")</f>
        <v/>
      </c>
      <c r="AL1076" s="12" t="n"/>
      <c r="AM1076" s="14">
        <f>IF($B1076="","",IF($AQ1076="","対象年月が未入力／","")&amp;IF($B1076="","",IF($AP1076="","職員マスタに未登録の職員番号／",IF($AA1076="","標準報酬月額が未登録／","")&amp;IF(AND($AQ1076&lt;&gt;"",OR(AND(INDEX(職員マスタ!$G$6:$G$405,$AP1076)&lt;&gt;"",INDEX(職員マスタ!$G$6:$G$405,$AP1076)&gt;EOMONTH($AQ1076,0)),AND(INDEX(職員マスタ!$H$6:$H$405,$AP1076)&lt;&gt;"",INDEX(職員マスタ!$H$6:$H$405,$AP1076)&lt;$AQ1076))),"対象月が時短期間外／","")&amp;IF(AND(INDEX(職員マスタ!$K$6:$K$405,$AP1076)&lt;&gt;"",N($W1076)&gt;0,INDEX(職員マスタ!$K$6:$K$405,$AP1076)&lt;&gt;$W1076),"標準報酬月額が申請書と相違（台帳"&amp;TEXT(INDEX(職員マスタ!$K$6:$K$405,$AP1076),"#,##0")&amp;"円／申請書"&amp;TEXT($W1076,"#,##0")&amp;"円）／","")&amp;IF(AND(INDEX(職員マスタ!$F$6:$F$405,$AP1076)&lt;&gt;"",$AQ1076&lt;&gt;"",INDEX(職員マスタ!$F$6:$F$405,$AP1076)&lt;$AQ1076),"対象月に子が2歳到達済／","")&amp;IF(AND($H1076&lt;&gt;"",INDEX(職員マスタ!$B$6:$B$405,$AP1076)&lt;&gt;"",SUBSTITUTE(SUBSTITUTE($H1076," ","")," ","")&lt;&gt;SUBSTITUTE(SUBSTITUTE(INDEX(職員マスタ!$B$6:$B$405,$AP1076)," ","")," ","")),"氏名がマスタと相違／","")&amp;IF(AND($Q1076&lt;&gt;"",INDEX(職員マスタ!$E$6:$E$405,$AP1076)&lt;&gt;"",$Q1076&lt;&gt;INDEX(職員マスタ!$E$6:$E$405,$AP1076)),"子の生年月日がマスタと相違／","")&amp;IF(AND($L1076&lt;&gt;"",INDEX(職員マスタ!$G$6:$G$405,$AP1076)&lt;&gt;"",$L1076&lt;&gt;INDEX(職員マスタ!$G$6:$G$405,$AP1076)),"時短開始日がマスタと相違／","")&amp;IF(AND($M1076&lt;&gt;"",INDEX(職員マスタ!$H$6:$H$405,$AP1076)&lt;&gt;"",$M1076&lt;&gt;INDEX(職員マスタ!$H$6:$H$405,$AP1076)),"時短終了日がマスタと相違／","")))&amp;IF(AND($B1076&lt;&gt;"",$E1076=""),"報酬額が未入力／","")&amp;IF(N($U1076)&gt;0,"申請書に入力エラーが残っています／","")&amp;IF(AND($B1076&lt;&gt;"",$AQ1076&lt;&gt;""),IF(COUNTIFS($B$6:$B$3005,$B1076,$C$6:$C$3005,$C1076,$D$6:$D$3005,$D1076)&gt;1,"同じ月の請求が重複しています／",""),"")&amp;IF(AND(N($E1076)&gt;0,$AB1076&lt;&gt;"",$AB1076&lt;&gt;"×",$AE1076=0,$AD1076=""),"計算額が下限以下のため不支給／",""))</f>
        <v/>
      </c>
      <c r="AN1076" s="12" t="n"/>
      <c r="AO1076" s="14">
        <f>IF($AF1076="保留中",COUNTIF($AF$6:$AF1076,"保留中"),"")</f>
        <v/>
      </c>
      <c r="AP1076" s="14">
        <f>IF($AQ1076="","",IF(SUMPRODUCT(MAX((職員マスタ!$A$6:$A$405=$B1076)*(((職員マスタ!$G$6:$G$405="")+(職員マスタ!$G$6:$G$405&lt;=EOMONTH($AQ1076,0)))&gt;0)*(((職員マスタ!$H$6:$H$405="")+(職員マスタ!$H$6:$H$405&gt;=$AQ1076))&gt;0)*(ROW(職員マスタ!$A$6:$A$405)-5)))&gt;0,SUMPRODUCT(MAX((職員マスタ!$A$6:$A$405=$B1076)*(((職員マスタ!$G$6:$G$405="")+(職員マスタ!$G$6:$G$405&lt;=EOMONTH($AQ1076,0)))&gt;0)*(((職員マスタ!$H$6:$H$405="")+(職員マスタ!$H$6:$H$405&gt;=$AQ1076))&gt;0)*(ROW(職員マスタ!$A$6:$A$405)-5))),IFERROR(MATCH($B1076,職員マスタ!$A$6:$A$405,0),"")))</f>
        <v/>
      </c>
      <c r="AQ1076" s="16">
        <f>IF(OR($B1076="",$C1076="",$D1076=""),"",DATE($C1076+2018,$D1076,1))</f>
        <v/>
      </c>
    </row>
    <row r="1077">
      <c r="A1077" s="11" t="n"/>
      <c r="B1077" s="12" t="n"/>
      <c r="C1077" s="12" t="n"/>
      <c r="D1077" s="12" t="n"/>
      <c r="E1077" s="13" t="n"/>
      <c r="F1077" s="12" t="n"/>
      <c r="G1077" s="13" t="n"/>
      <c r="H1077" s="12" t="n"/>
      <c r="I1077" s="12" t="n"/>
      <c r="J1077" s="12" t="n"/>
      <c r="K1077" s="12" t="n"/>
      <c r="L1077" s="11" t="n"/>
      <c r="M1077" s="11" t="n"/>
      <c r="N1077" s="11" t="n"/>
      <c r="O1077" s="11" t="n"/>
      <c r="P1077" s="12" t="n"/>
      <c r="Q1077" s="11" t="n"/>
      <c r="R1077" s="12" t="n"/>
      <c r="S1077" s="11" t="n"/>
      <c r="T1077" s="12" t="n"/>
      <c r="U1077" s="12" t="n"/>
      <c r="V1077" s="12" t="n"/>
      <c r="W1077" s="13" t="n"/>
      <c r="X1077" s="14">
        <f>IF($AP1077="",IF($B1077="","",$H1077),IF(INDEX(職員マスタ!$B$6:$B$405,$AP1077)="",$H1077,INDEX(職員マスタ!$B$6:$B$405,$AP1077)))</f>
        <v/>
      </c>
      <c r="Y1077" s="14">
        <f>IF($AP1077="",IF($B1077="","",$R1077),IF(INDEX(職員マスタ!$C$6:$C$405,$AP1077)="",$R1077,INDEX(職員マスタ!$C$6:$C$405,$AP1077)))</f>
        <v/>
      </c>
      <c r="Z1077" s="14">
        <f>IF($AQ1077="","","R"&amp;$C1077&amp;"."&amp;$D1077)</f>
        <v/>
      </c>
      <c r="AA1077" s="15">
        <f>IF(IF($AP1077="",FALSE,INDEX(職員マスタ!$K$6:$K$405,$AP1077)&lt;&gt;""),INDEX(職員マスタ!$K$6:$K$405,$AP1077),IF(N($W1077)&gt;0,$W1077,""))</f>
        <v/>
      </c>
      <c r="AB1077" s="14">
        <f>IF(OR($E1077="",$AA1077=""),"",IF($E1077&gt;=$AA1077,"×",IF($E1077&gt;=$AA1077*設定!$C$5,"△","○")))</f>
        <v/>
      </c>
      <c r="AC1077" s="15">
        <f>IF($AB1077="","",IF($AB1077="×",0,IF($AB1077="○",ROUNDDOWN($E1077*設定!$C$4,0),ROUNDDOWN($E1077*ROUND((9*$AA1077-9*$E1077)/(10*$E1077),4),0))))</f>
        <v/>
      </c>
      <c r="AD1077" s="13" t="n"/>
      <c r="AE1077" s="15">
        <f>IF($B1077="","",IF($AD1077&lt;&gt;"",$AD1077,IF($AC1077="","",IF($AC1077&lt;=設定!$C$3,0,$AC1077))))</f>
        <v/>
      </c>
      <c r="AF1077" s="14">
        <f>IF($B1077="","",IF(AND($AG1077&lt;&gt;"",$AI1077="",$AL1077=""),"保留中",IF($AL1077&lt;&gt;"",IF(N($AE1077)&gt;0,"支給済","不支給"),IF($AE1077="","要確認",IF($AE1077=0,"不支給","未処理")))))</f>
        <v/>
      </c>
      <c r="AG1077" s="12" t="n"/>
      <c r="AH1077" s="11" t="n"/>
      <c r="AI1077" s="11" t="n"/>
      <c r="AJ1077" s="11" t="n"/>
      <c r="AK1077" s="14">
        <f>IF(AND($AF1077="保留中",$AH1077&lt;&gt;""),TODAY()-$AH1077,"")</f>
        <v/>
      </c>
      <c r="AL1077" s="12" t="n"/>
      <c r="AM1077" s="14">
        <f>IF($B1077="","",IF($AQ1077="","対象年月が未入力／","")&amp;IF($B1077="","",IF($AP1077="","職員マスタに未登録の職員番号／",IF($AA1077="","標準報酬月額が未登録／","")&amp;IF(AND($AQ1077&lt;&gt;"",OR(AND(INDEX(職員マスタ!$G$6:$G$405,$AP1077)&lt;&gt;"",INDEX(職員マスタ!$G$6:$G$405,$AP1077)&gt;EOMONTH($AQ1077,0)),AND(INDEX(職員マスタ!$H$6:$H$405,$AP1077)&lt;&gt;"",INDEX(職員マスタ!$H$6:$H$405,$AP1077)&lt;$AQ1077))),"対象月が時短期間外／","")&amp;IF(AND(INDEX(職員マスタ!$K$6:$K$405,$AP1077)&lt;&gt;"",N($W1077)&gt;0,INDEX(職員マスタ!$K$6:$K$405,$AP1077)&lt;&gt;$W1077),"標準報酬月額が申請書と相違（台帳"&amp;TEXT(INDEX(職員マスタ!$K$6:$K$405,$AP1077),"#,##0")&amp;"円／申請書"&amp;TEXT($W1077,"#,##0")&amp;"円）／","")&amp;IF(AND(INDEX(職員マスタ!$F$6:$F$405,$AP1077)&lt;&gt;"",$AQ1077&lt;&gt;"",INDEX(職員マスタ!$F$6:$F$405,$AP1077)&lt;$AQ1077),"対象月に子が2歳到達済／","")&amp;IF(AND($H1077&lt;&gt;"",INDEX(職員マスタ!$B$6:$B$405,$AP1077)&lt;&gt;"",SUBSTITUTE(SUBSTITUTE($H1077," ","")," ","")&lt;&gt;SUBSTITUTE(SUBSTITUTE(INDEX(職員マスタ!$B$6:$B$405,$AP1077)," ","")," ","")),"氏名がマスタと相違／","")&amp;IF(AND($Q1077&lt;&gt;"",INDEX(職員マスタ!$E$6:$E$405,$AP1077)&lt;&gt;"",$Q1077&lt;&gt;INDEX(職員マスタ!$E$6:$E$405,$AP1077)),"子の生年月日がマスタと相違／","")&amp;IF(AND($L1077&lt;&gt;"",INDEX(職員マスタ!$G$6:$G$405,$AP1077)&lt;&gt;"",$L1077&lt;&gt;INDEX(職員マスタ!$G$6:$G$405,$AP1077)),"時短開始日がマスタと相違／","")&amp;IF(AND($M1077&lt;&gt;"",INDEX(職員マスタ!$H$6:$H$405,$AP1077)&lt;&gt;"",$M1077&lt;&gt;INDEX(職員マスタ!$H$6:$H$405,$AP1077)),"時短終了日がマスタと相違／","")))&amp;IF(AND($B1077&lt;&gt;"",$E1077=""),"報酬額が未入力／","")&amp;IF(N($U1077)&gt;0,"申請書に入力エラーが残っています／","")&amp;IF(AND($B1077&lt;&gt;"",$AQ1077&lt;&gt;""),IF(COUNTIFS($B$6:$B$3005,$B1077,$C$6:$C$3005,$C1077,$D$6:$D$3005,$D1077)&gt;1,"同じ月の請求が重複しています／",""),"")&amp;IF(AND(N($E1077)&gt;0,$AB1077&lt;&gt;"",$AB1077&lt;&gt;"×",$AE1077=0,$AD1077=""),"計算額が下限以下のため不支給／",""))</f>
        <v/>
      </c>
      <c r="AN1077" s="12" t="n"/>
      <c r="AO1077" s="14">
        <f>IF($AF1077="保留中",COUNTIF($AF$6:$AF1077,"保留中"),"")</f>
        <v/>
      </c>
      <c r="AP1077" s="14">
        <f>IF($AQ1077="","",IF(SUMPRODUCT(MAX((職員マスタ!$A$6:$A$405=$B1077)*(((職員マスタ!$G$6:$G$405="")+(職員マスタ!$G$6:$G$405&lt;=EOMONTH($AQ1077,0)))&gt;0)*(((職員マスタ!$H$6:$H$405="")+(職員マスタ!$H$6:$H$405&gt;=$AQ1077))&gt;0)*(ROW(職員マスタ!$A$6:$A$405)-5)))&gt;0,SUMPRODUCT(MAX((職員マスタ!$A$6:$A$405=$B1077)*(((職員マスタ!$G$6:$G$405="")+(職員マスタ!$G$6:$G$405&lt;=EOMONTH($AQ1077,0)))&gt;0)*(((職員マスタ!$H$6:$H$405="")+(職員マスタ!$H$6:$H$405&gt;=$AQ1077))&gt;0)*(ROW(職員マスタ!$A$6:$A$405)-5))),IFERROR(MATCH($B1077,職員マスタ!$A$6:$A$405,0),"")))</f>
        <v/>
      </c>
      <c r="AQ1077" s="16">
        <f>IF(OR($B1077="",$C1077="",$D1077=""),"",DATE($C1077+2018,$D1077,1))</f>
        <v/>
      </c>
    </row>
    <row r="1078">
      <c r="A1078" s="11" t="n"/>
      <c r="B1078" s="12" t="n"/>
      <c r="C1078" s="12" t="n"/>
      <c r="D1078" s="12" t="n"/>
      <c r="E1078" s="13" t="n"/>
      <c r="F1078" s="12" t="n"/>
      <c r="G1078" s="13" t="n"/>
      <c r="H1078" s="12" t="n"/>
      <c r="I1078" s="12" t="n"/>
      <c r="J1078" s="12" t="n"/>
      <c r="K1078" s="12" t="n"/>
      <c r="L1078" s="11" t="n"/>
      <c r="M1078" s="11" t="n"/>
      <c r="N1078" s="11" t="n"/>
      <c r="O1078" s="11" t="n"/>
      <c r="P1078" s="12" t="n"/>
      <c r="Q1078" s="11" t="n"/>
      <c r="R1078" s="12" t="n"/>
      <c r="S1078" s="11" t="n"/>
      <c r="T1078" s="12" t="n"/>
      <c r="U1078" s="12" t="n"/>
      <c r="V1078" s="12" t="n"/>
      <c r="W1078" s="13" t="n"/>
      <c r="X1078" s="14">
        <f>IF($AP1078="",IF($B1078="","",$H1078),IF(INDEX(職員マスタ!$B$6:$B$405,$AP1078)="",$H1078,INDEX(職員マスタ!$B$6:$B$405,$AP1078)))</f>
        <v/>
      </c>
      <c r="Y1078" s="14">
        <f>IF($AP1078="",IF($B1078="","",$R1078),IF(INDEX(職員マスタ!$C$6:$C$405,$AP1078)="",$R1078,INDEX(職員マスタ!$C$6:$C$405,$AP1078)))</f>
        <v/>
      </c>
      <c r="Z1078" s="14">
        <f>IF($AQ1078="","","R"&amp;$C1078&amp;"."&amp;$D1078)</f>
        <v/>
      </c>
      <c r="AA1078" s="15">
        <f>IF(IF($AP1078="",FALSE,INDEX(職員マスタ!$K$6:$K$405,$AP1078)&lt;&gt;""),INDEX(職員マスタ!$K$6:$K$405,$AP1078),IF(N($W1078)&gt;0,$W1078,""))</f>
        <v/>
      </c>
      <c r="AB1078" s="14">
        <f>IF(OR($E1078="",$AA1078=""),"",IF($E1078&gt;=$AA1078,"×",IF($E1078&gt;=$AA1078*設定!$C$5,"△","○")))</f>
        <v/>
      </c>
      <c r="AC1078" s="15">
        <f>IF($AB1078="","",IF($AB1078="×",0,IF($AB1078="○",ROUNDDOWN($E1078*設定!$C$4,0),ROUNDDOWN($E1078*ROUND((9*$AA1078-9*$E1078)/(10*$E1078),4),0))))</f>
        <v/>
      </c>
      <c r="AD1078" s="13" t="n"/>
      <c r="AE1078" s="15">
        <f>IF($B1078="","",IF($AD1078&lt;&gt;"",$AD1078,IF($AC1078="","",IF($AC1078&lt;=設定!$C$3,0,$AC1078))))</f>
        <v/>
      </c>
      <c r="AF1078" s="14">
        <f>IF($B1078="","",IF(AND($AG1078&lt;&gt;"",$AI1078="",$AL1078=""),"保留中",IF($AL1078&lt;&gt;"",IF(N($AE1078)&gt;0,"支給済","不支給"),IF($AE1078="","要確認",IF($AE1078=0,"不支給","未処理")))))</f>
        <v/>
      </c>
      <c r="AG1078" s="12" t="n"/>
      <c r="AH1078" s="11" t="n"/>
      <c r="AI1078" s="11" t="n"/>
      <c r="AJ1078" s="11" t="n"/>
      <c r="AK1078" s="14">
        <f>IF(AND($AF1078="保留中",$AH1078&lt;&gt;""),TODAY()-$AH1078,"")</f>
        <v/>
      </c>
      <c r="AL1078" s="12" t="n"/>
      <c r="AM1078" s="14">
        <f>IF($B1078="","",IF($AQ1078="","対象年月が未入力／","")&amp;IF($B1078="","",IF($AP1078="","職員マスタに未登録の職員番号／",IF($AA1078="","標準報酬月額が未登録／","")&amp;IF(AND($AQ1078&lt;&gt;"",OR(AND(INDEX(職員マスタ!$G$6:$G$405,$AP1078)&lt;&gt;"",INDEX(職員マスタ!$G$6:$G$405,$AP1078)&gt;EOMONTH($AQ1078,0)),AND(INDEX(職員マスタ!$H$6:$H$405,$AP1078)&lt;&gt;"",INDEX(職員マスタ!$H$6:$H$405,$AP1078)&lt;$AQ1078))),"対象月が時短期間外／","")&amp;IF(AND(INDEX(職員マスタ!$K$6:$K$405,$AP1078)&lt;&gt;"",N($W1078)&gt;0,INDEX(職員マスタ!$K$6:$K$405,$AP1078)&lt;&gt;$W1078),"標準報酬月額が申請書と相違（台帳"&amp;TEXT(INDEX(職員マスタ!$K$6:$K$405,$AP1078),"#,##0")&amp;"円／申請書"&amp;TEXT($W1078,"#,##0")&amp;"円）／","")&amp;IF(AND(INDEX(職員マスタ!$F$6:$F$405,$AP1078)&lt;&gt;"",$AQ1078&lt;&gt;"",INDEX(職員マスタ!$F$6:$F$405,$AP1078)&lt;$AQ1078),"対象月に子が2歳到達済／","")&amp;IF(AND($H1078&lt;&gt;"",INDEX(職員マスタ!$B$6:$B$405,$AP1078)&lt;&gt;"",SUBSTITUTE(SUBSTITUTE($H1078," ","")," ","")&lt;&gt;SUBSTITUTE(SUBSTITUTE(INDEX(職員マスタ!$B$6:$B$405,$AP1078)," ","")," ","")),"氏名がマスタと相違／","")&amp;IF(AND($Q1078&lt;&gt;"",INDEX(職員マスタ!$E$6:$E$405,$AP1078)&lt;&gt;"",$Q1078&lt;&gt;INDEX(職員マスタ!$E$6:$E$405,$AP1078)),"子の生年月日がマスタと相違／","")&amp;IF(AND($L1078&lt;&gt;"",INDEX(職員マスタ!$G$6:$G$405,$AP1078)&lt;&gt;"",$L1078&lt;&gt;INDEX(職員マスタ!$G$6:$G$405,$AP1078)),"時短開始日がマスタと相違／","")&amp;IF(AND($M1078&lt;&gt;"",INDEX(職員マスタ!$H$6:$H$405,$AP1078)&lt;&gt;"",$M1078&lt;&gt;INDEX(職員マスタ!$H$6:$H$405,$AP1078)),"時短終了日がマスタと相違／","")))&amp;IF(AND($B1078&lt;&gt;"",$E1078=""),"報酬額が未入力／","")&amp;IF(N($U1078)&gt;0,"申請書に入力エラーが残っています／","")&amp;IF(AND($B1078&lt;&gt;"",$AQ1078&lt;&gt;""),IF(COUNTIFS($B$6:$B$3005,$B1078,$C$6:$C$3005,$C1078,$D$6:$D$3005,$D1078)&gt;1,"同じ月の請求が重複しています／",""),"")&amp;IF(AND(N($E1078)&gt;0,$AB1078&lt;&gt;"",$AB1078&lt;&gt;"×",$AE1078=0,$AD1078=""),"計算額が下限以下のため不支給／",""))</f>
        <v/>
      </c>
      <c r="AN1078" s="12" t="n"/>
      <c r="AO1078" s="14">
        <f>IF($AF1078="保留中",COUNTIF($AF$6:$AF1078,"保留中"),"")</f>
        <v/>
      </c>
      <c r="AP1078" s="14">
        <f>IF($AQ1078="","",IF(SUMPRODUCT(MAX((職員マスタ!$A$6:$A$405=$B1078)*(((職員マスタ!$G$6:$G$405="")+(職員マスタ!$G$6:$G$405&lt;=EOMONTH($AQ1078,0)))&gt;0)*(((職員マスタ!$H$6:$H$405="")+(職員マスタ!$H$6:$H$405&gt;=$AQ1078))&gt;0)*(ROW(職員マスタ!$A$6:$A$405)-5)))&gt;0,SUMPRODUCT(MAX((職員マスタ!$A$6:$A$405=$B1078)*(((職員マスタ!$G$6:$G$405="")+(職員マスタ!$G$6:$G$405&lt;=EOMONTH($AQ1078,0)))&gt;0)*(((職員マスタ!$H$6:$H$405="")+(職員マスタ!$H$6:$H$405&gt;=$AQ1078))&gt;0)*(ROW(職員マスタ!$A$6:$A$405)-5))),IFERROR(MATCH($B1078,職員マスタ!$A$6:$A$405,0),"")))</f>
        <v/>
      </c>
      <c r="AQ1078" s="16">
        <f>IF(OR($B1078="",$C1078="",$D1078=""),"",DATE($C1078+2018,$D1078,1))</f>
        <v/>
      </c>
    </row>
    <row r="1079">
      <c r="A1079" s="11" t="n"/>
      <c r="B1079" s="12" t="n"/>
      <c r="C1079" s="12" t="n"/>
      <c r="D1079" s="12" t="n"/>
      <c r="E1079" s="13" t="n"/>
      <c r="F1079" s="12" t="n"/>
      <c r="G1079" s="13" t="n"/>
      <c r="H1079" s="12" t="n"/>
      <c r="I1079" s="12" t="n"/>
      <c r="J1079" s="12" t="n"/>
      <c r="K1079" s="12" t="n"/>
      <c r="L1079" s="11" t="n"/>
      <c r="M1079" s="11" t="n"/>
      <c r="N1079" s="11" t="n"/>
      <c r="O1079" s="11" t="n"/>
      <c r="P1079" s="12" t="n"/>
      <c r="Q1079" s="11" t="n"/>
      <c r="R1079" s="12" t="n"/>
      <c r="S1079" s="11" t="n"/>
      <c r="T1079" s="12" t="n"/>
      <c r="U1079" s="12" t="n"/>
      <c r="V1079" s="12" t="n"/>
      <c r="W1079" s="13" t="n"/>
      <c r="X1079" s="14">
        <f>IF($AP1079="",IF($B1079="","",$H1079),IF(INDEX(職員マスタ!$B$6:$B$405,$AP1079)="",$H1079,INDEX(職員マスタ!$B$6:$B$405,$AP1079)))</f>
        <v/>
      </c>
      <c r="Y1079" s="14">
        <f>IF($AP1079="",IF($B1079="","",$R1079),IF(INDEX(職員マスタ!$C$6:$C$405,$AP1079)="",$R1079,INDEX(職員マスタ!$C$6:$C$405,$AP1079)))</f>
        <v/>
      </c>
      <c r="Z1079" s="14">
        <f>IF($AQ1079="","","R"&amp;$C1079&amp;"."&amp;$D1079)</f>
        <v/>
      </c>
      <c r="AA1079" s="15">
        <f>IF(IF($AP1079="",FALSE,INDEX(職員マスタ!$K$6:$K$405,$AP1079)&lt;&gt;""),INDEX(職員マスタ!$K$6:$K$405,$AP1079),IF(N($W1079)&gt;0,$W1079,""))</f>
        <v/>
      </c>
      <c r="AB1079" s="14">
        <f>IF(OR($E1079="",$AA1079=""),"",IF($E1079&gt;=$AA1079,"×",IF($E1079&gt;=$AA1079*設定!$C$5,"△","○")))</f>
        <v/>
      </c>
      <c r="AC1079" s="15">
        <f>IF($AB1079="","",IF($AB1079="×",0,IF($AB1079="○",ROUNDDOWN($E1079*設定!$C$4,0),ROUNDDOWN($E1079*ROUND((9*$AA1079-9*$E1079)/(10*$E1079),4),0))))</f>
        <v/>
      </c>
      <c r="AD1079" s="13" t="n"/>
      <c r="AE1079" s="15">
        <f>IF($B1079="","",IF($AD1079&lt;&gt;"",$AD1079,IF($AC1079="","",IF($AC1079&lt;=設定!$C$3,0,$AC1079))))</f>
        <v/>
      </c>
      <c r="AF1079" s="14">
        <f>IF($B1079="","",IF(AND($AG1079&lt;&gt;"",$AI1079="",$AL1079=""),"保留中",IF($AL1079&lt;&gt;"",IF(N($AE1079)&gt;0,"支給済","不支給"),IF($AE1079="","要確認",IF($AE1079=0,"不支給","未処理")))))</f>
        <v/>
      </c>
      <c r="AG1079" s="12" t="n"/>
      <c r="AH1079" s="11" t="n"/>
      <c r="AI1079" s="11" t="n"/>
      <c r="AJ1079" s="11" t="n"/>
      <c r="AK1079" s="14">
        <f>IF(AND($AF1079="保留中",$AH1079&lt;&gt;""),TODAY()-$AH1079,"")</f>
        <v/>
      </c>
      <c r="AL1079" s="12" t="n"/>
      <c r="AM1079" s="14">
        <f>IF($B1079="","",IF($AQ1079="","対象年月が未入力／","")&amp;IF($B1079="","",IF($AP1079="","職員マスタに未登録の職員番号／",IF($AA1079="","標準報酬月額が未登録／","")&amp;IF(AND($AQ1079&lt;&gt;"",OR(AND(INDEX(職員マスタ!$G$6:$G$405,$AP1079)&lt;&gt;"",INDEX(職員マスタ!$G$6:$G$405,$AP1079)&gt;EOMONTH($AQ1079,0)),AND(INDEX(職員マスタ!$H$6:$H$405,$AP1079)&lt;&gt;"",INDEX(職員マスタ!$H$6:$H$405,$AP1079)&lt;$AQ1079))),"対象月が時短期間外／","")&amp;IF(AND(INDEX(職員マスタ!$K$6:$K$405,$AP1079)&lt;&gt;"",N($W1079)&gt;0,INDEX(職員マスタ!$K$6:$K$405,$AP1079)&lt;&gt;$W1079),"標準報酬月額が申請書と相違（台帳"&amp;TEXT(INDEX(職員マスタ!$K$6:$K$405,$AP1079),"#,##0")&amp;"円／申請書"&amp;TEXT($W1079,"#,##0")&amp;"円）／","")&amp;IF(AND(INDEX(職員マスタ!$F$6:$F$405,$AP1079)&lt;&gt;"",$AQ1079&lt;&gt;"",INDEX(職員マスタ!$F$6:$F$405,$AP1079)&lt;$AQ1079),"対象月に子が2歳到達済／","")&amp;IF(AND($H1079&lt;&gt;"",INDEX(職員マスタ!$B$6:$B$405,$AP1079)&lt;&gt;"",SUBSTITUTE(SUBSTITUTE($H1079," ","")," ","")&lt;&gt;SUBSTITUTE(SUBSTITUTE(INDEX(職員マスタ!$B$6:$B$405,$AP1079)," ","")," ","")),"氏名がマスタと相違／","")&amp;IF(AND($Q1079&lt;&gt;"",INDEX(職員マスタ!$E$6:$E$405,$AP1079)&lt;&gt;"",$Q1079&lt;&gt;INDEX(職員マスタ!$E$6:$E$405,$AP1079)),"子の生年月日がマスタと相違／","")&amp;IF(AND($L1079&lt;&gt;"",INDEX(職員マスタ!$G$6:$G$405,$AP1079)&lt;&gt;"",$L1079&lt;&gt;INDEX(職員マスタ!$G$6:$G$405,$AP1079)),"時短開始日がマスタと相違／","")&amp;IF(AND($M1079&lt;&gt;"",INDEX(職員マスタ!$H$6:$H$405,$AP1079)&lt;&gt;"",$M1079&lt;&gt;INDEX(職員マスタ!$H$6:$H$405,$AP1079)),"時短終了日がマスタと相違／","")))&amp;IF(AND($B1079&lt;&gt;"",$E1079=""),"報酬額が未入力／","")&amp;IF(N($U1079)&gt;0,"申請書に入力エラーが残っています／","")&amp;IF(AND($B1079&lt;&gt;"",$AQ1079&lt;&gt;""),IF(COUNTIFS($B$6:$B$3005,$B1079,$C$6:$C$3005,$C1079,$D$6:$D$3005,$D1079)&gt;1,"同じ月の請求が重複しています／",""),"")&amp;IF(AND(N($E1079)&gt;0,$AB1079&lt;&gt;"",$AB1079&lt;&gt;"×",$AE1079=0,$AD1079=""),"計算額が下限以下のため不支給／",""))</f>
        <v/>
      </c>
      <c r="AN1079" s="12" t="n"/>
      <c r="AO1079" s="14">
        <f>IF($AF1079="保留中",COUNTIF($AF$6:$AF1079,"保留中"),"")</f>
        <v/>
      </c>
      <c r="AP1079" s="14">
        <f>IF($AQ1079="","",IF(SUMPRODUCT(MAX((職員マスタ!$A$6:$A$405=$B1079)*(((職員マスタ!$G$6:$G$405="")+(職員マスタ!$G$6:$G$405&lt;=EOMONTH($AQ1079,0)))&gt;0)*(((職員マスタ!$H$6:$H$405="")+(職員マスタ!$H$6:$H$405&gt;=$AQ1079))&gt;0)*(ROW(職員マスタ!$A$6:$A$405)-5)))&gt;0,SUMPRODUCT(MAX((職員マスタ!$A$6:$A$405=$B1079)*(((職員マスタ!$G$6:$G$405="")+(職員マスタ!$G$6:$G$405&lt;=EOMONTH($AQ1079,0)))&gt;0)*(((職員マスタ!$H$6:$H$405="")+(職員マスタ!$H$6:$H$405&gt;=$AQ1079))&gt;0)*(ROW(職員マスタ!$A$6:$A$405)-5))),IFERROR(MATCH($B1079,職員マスタ!$A$6:$A$405,0),"")))</f>
        <v/>
      </c>
      <c r="AQ1079" s="16">
        <f>IF(OR($B1079="",$C1079="",$D1079=""),"",DATE($C1079+2018,$D1079,1))</f>
        <v/>
      </c>
    </row>
    <row r="1080">
      <c r="A1080" s="11" t="n"/>
      <c r="B1080" s="12" t="n"/>
      <c r="C1080" s="12" t="n"/>
      <c r="D1080" s="12" t="n"/>
      <c r="E1080" s="13" t="n"/>
      <c r="F1080" s="12" t="n"/>
      <c r="G1080" s="13" t="n"/>
      <c r="H1080" s="12" t="n"/>
      <c r="I1080" s="12" t="n"/>
      <c r="J1080" s="12" t="n"/>
      <c r="K1080" s="12" t="n"/>
      <c r="L1080" s="11" t="n"/>
      <c r="M1080" s="11" t="n"/>
      <c r="N1080" s="11" t="n"/>
      <c r="O1080" s="11" t="n"/>
      <c r="P1080" s="12" t="n"/>
      <c r="Q1080" s="11" t="n"/>
      <c r="R1080" s="12" t="n"/>
      <c r="S1080" s="11" t="n"/>
      <c r="T1080" s="12" t="n"/>
      <c r="U1080" s="12" t="n"/>
      <c r="V1080" s="12" t="n"/>
      <c r="W1080" s="13" t="n"/>
      <c r="X1080" s="14">
        <f>IF($AP1080="",IF($B1080="","",$H1080),IF(INDEX(職員マスタ!$B$6:$B$405,$AP1080)="",$H1080,INDEX(職員マスタ!$B$6:$B$405,$AP1080)))</f>
        <v/>
      </c>
      <c r="Y1080" s="14">
        <f>IF($AP1080="",IF($B1080="","",$R1080),IF(INDEX(職員マスタ!$C$6:$C$405,$AP1080)="",$R1080,INDEX(職員マスタ!$C$6:$C$405,$AP1080)))</f>
        <v/>
      </c>
      <c r="Z1080" s="14">
        <f>IF($AQ1080="","","R"&amp;$C1080&amp;"."&amp;$D1080)</f>
        <v/>
      </c>
      <c r="AA1080" s="15">
        <f>IF(IF($AP1080="",FALSE,INDEX(職員マスタ!$K$6:$K$405,$AP1080)&lt;&gt;""),INDEX(職員マスタ!$K$6:$K$405,$AP1080),IF(N($W1080)&gt;0,$W1080,""))</f>
        <v/>
      </c>
      <c r="AB1080" s="14">
        <f>IF(OR($E1080="",$AA1080=""),"",IF($E1080&gt;=$AA1080,"×",IF($E1080&gt;=$AA1080*設定!$C$5,"△","○")))</f>
        <v/>
      </c>
      <c r="AC1080" s="15">
        <f>IF($AB1080="","",IF($AB1080="×",0,IF($AB1080="○",ROUNDDOWN($E1080*設定!$C$4,0),ROUNDDOWN($E1080*ROUND((9*$AA1080-9*$E1080)/(10*$E1080),4),0))))</f>
        <v/>
      </c>
      <c r="AD1080" s="13" t="n"/>
      <c r="AE1080" s="15">
        <f>IF($B1080="","",IF($AD1080&lt;&gt;"",$AD1080,IF($AC1080="","",IF($AC1080&lt;=設定!$C$3,0,$AC1080))))</f>
        <v/>
      </c>
      <c r="AF1080" s="14">
        <f>IF($B1080="","",IF(AND($AG1080&lt;&gt;"",$AI1080="",$AL1080=""),"保留中",IF($AL1080&lt;&gt;"",IF(N($AE1080)&gt;0,"支給済","不支給"),IF($AE1080="","要確認",IF($AE1080=0,"不支給","未処理")))))</f>
        <v/>
      </c>
      <c r="AG1080" s="12" t="n"/>
      <c r="AH1080" s="11" t="n"/>
      <c r="AI1080" s="11" t="n"/>
      <c r="AJ1080" s="11" t="n"/>
      <c r="AK1080" s="14">
        <f>IF(AND($AF1080="保留中",$AH1080&lt;&gt;""),TODAY()-$AH1080,"")</f>
        <v/>
      </c>
      <c r="AL1080" s="12" t="n"/>
      <c r="AM1080" s="14">
        <f>IF($B1080="","",IF($AQ1080="","対象年月が未入力／","")&amp;IF($B1080="","",IF($AP1080="","職員マスタに未登録の職員番号／",IF($AA1080="","標準報酬月額が未登録／","")&amp;IF(AND($AQ1080&lt;&gt;"",OR(AND(INDEX(職員マスタ!$G$6:$G$405,$AP1080)&lt;&gt;"",INDEX(職員マスタ!$G$6:$G$405,$AP1080)&gt;EOMONTH($AQ1080,0)),AND(INDEX(職員マスタ!$H$6:$H$405,$AP1080)&lt;&gt;"",INDEX(職員マスタ!$H$6:$H$405,$AP1080)&lt;$AQ1080))),"対象月が時短期間外／","")&amp;IF(AND(INDEX(職員マスタ!$K$6:$K$405,$AP1080)&lt;&gt;"",N($W1080)&gt;0,INDEX(職員マスタ!$K$6:$K$405,$AP1080)&lt;&gt;$W1080),"標準報酬月額が申請書と相違（台帳"&amp;TEXT(INDEX(職員マスタ!$K$6:$K$405,$AP1080),"#,##0")&amp;"円／申請書"&amp;TEXT($W1080,"#,##0")&amp;"円）／","")&amp;IF(AND(INDEX(職員マスタ!$F$6:$F$405,$AP1080)&lt;&gt;"",$AQ1080&lt;&gt;"",INDEX(職員マスタ!$F$6:$F$405,$AP1080)&lt;$AQ1080),"対象月に子が2歳到達済／","")&amp;IF(AND($H1080&lt;&gt;"",INDEX(職員マスタ!$B$6:$B$405,$AP1080)&lt;&gt;"",SUBSTITUTE(SUBSTITUTE($H1080," ","")," ","")&lt;&gt;SUBSTITUTE(SUBSTITUTE(INDEX(職員マスタ!$B$6:$B$405,$AP1080)," ","")," ","")),"氏名がマスタと相違／","")&amp;IF(AND($Q1080&lt;&gt;"",INDEX(職員マスタ!$E$6:$E$405,$AP1080)&lt;&gt;"",$Q1080&lt;&gt;INDEX(職員マスタ!$E$6:$E$405,$AP1080)),"子の生年月日がマスタと相違／","")&amp;IF(AND($L1080&lt;&gt;"",INDEX(職員マスタ!$G$6:$G$405,$AP1080)&lt;&gt;"",$L1080&lt;&gt;INDEX(職員マスタ!$G$6:$G$405,$AP1080)),"時短開始日がマスタと相違／","")&amp;IF(AND($M1080&lt;&gt;"",INDEX(職員マスタ!$H$6:$H$405,$AP1080)&lt;&gt;"",$M1080&lt;&gt;INDEX(職員マスタ!$H$6:$H$405,$AP1080)),"時短終了日がマスタと相違／","")))&amp;IF(AND($B1080&lt;&gt;"",$E1080=""),"報酬額が未入力／","")&amp;IF(N($U1080)&gt;0,"申請書に入力エラーが残っています／","")&amp;IF(AND($B1080&lt;&gt;"",$AQ1080&lt;&gt;""),IF(COUNTIFS($B$6:$B$3005,$B1080,$C$6:$C$3005,$C1080,$D$6:$D$3005,$D1080)&gt;1,"同じ月の請求が重複しています／",""),"")&amp;IF(AND(N($E1080)&gt;0,$AB1080&lt;&gt;"",$AB1080&lt;&gt;"×",$AE1080=0,$AD1080=""),"計算額が下限以下のため不支給／",""))</f>
        <v/>
      </c>
      <c r="AN1080" s="12" t="n"/>
      <c r="AO1080" s="14">
        <f>IF($AF1080="保留中",COUNTIF($AF$6:$AF1080,"保留中"),"")</f>
        <v/>
      </c>
      <c r="AP1080" s="14">
        <f>IF($AQ1080="","",IF(SUMPRODUCT(MAX((職員マスタ!$A$6:$A$405=$B1080)*(((職員マスタ!$G$6:$G$405="")+(職員マスタ!$G$6:$G$405&lt;=EOMONTH($AQ1080,0)))&gt;0)*(((職員マスタ!$H$6:$H$405="")+(職員マスタ!$H$6:$H$405&gt;=$AQ1080))&gt;0)*(ROW(職員マスタ!$A$6:$A$405)-5)))&gt;0,SUMPRODUCT(MAX((職員マスタ!$A$6:$A$405=$B1080)*(((職員マスタ!$G$6:$G$405="")+(職員マスタ!$G$6:$G$405&lt;=EOMONTH($AQ1080,0)))&gt;0)*(((職員マスタ!$H$6:$H$405="")+(職員マスタ!$H$6:$H$405&gt;=$AQ1080))&gt;0)*(ROW(職員マスタ!$A$6:$A$405)-5))),IFERROR(MATCH($B1080,職員マスタ!$A$6:$A$405,0),"")))</f>
        <v/>
      </c>
      <c r="AQ1080" s="16">
        <f>IF(OR($B1080="",$C1080="",$D1080=""),"",DATE($C1080+2018,$D1080,1))</f>
        <v/>
      </c>
    </row>
    <row r="1081">
      <c r="A1081" s="11" t="n"/>
      <c r="B1081" s="12" t="n"/>
      <c r="C1081" s="12" t="n"/>
      <c r="D1081" s="12" t="n"/>
      <c r="E1081" s="13" t="n"/>
      <c r="F1081" s="12" t="n"/>
      <c r="G1081" s="13" t="n"/>
      <c r="H1081" s="12" t="n"/>
      <c r="I1081" s="12" t="n"/>
      <c r="J1081" s="12" t="n"/>
      <c r="K1081" s="12" t="n"/>
      <c r="L1081" s="11" t="n"/>
      <c r="M1081" s="11" t="n"/>
      <c r="N1081" s="11" t="n"/>
      <c r="O1081" s="11" t="n"/>
      <c r="P1081" s="12" t="n"/>
      <c r="Q1081" s="11" t="n"/>
      <c r="R1081" s="12" t="n"/>
      <c r="S1081" s="11" t="n"/>
      <c r="T1081" s="12" t="n"/>
      <c r="U1081" s="12" t="n"/>
      <c r="V1081" s="12" t="n"/>
      <c r="W1081" s="13" t="n"/>
      <c r="X1081" s="14">
        <f>IF($AP1081="",IF($B1081="","",$H1081),IF(INDEX(職員マスタ!$B$6:$B$405,$AP1081)="",$H1081,INDEX(職員マスタ!$B$6:$B$405,$AP1081)))</f>
        <v/>
      </c>
      <c r="Y1081" s="14">
        <f>IF($AP1081="",IF($B1081="","",$R1081),IF(INDEX(職員マスタ!$C$6:$C$405,$AP1081)="",$R1081,INDEX(職員マスタ!$C$6:$C$405,$AP1081)))</f>
        <v/>
      </c>
      <c r="Z1081" s="14">
        <f>IF($AQ1081="","","R"&amp;$C1081&amp;"."&amp;$D1081)</f>
        <v/>
      </c>
      <c r="AA1081" s="15">
        <f>IF(IF($AP1081="",FALSE,INDEX(職員マスタ!$K$6:$K$405,$AP1081)&lt;&gt;""),INDEX(職員マスタ!$K$6:$K$405,$AP1081),IF(N($W1081)&gt;0,$W1081,""))</f>
        <v/>
      </c>
      <c r="AB1081" s="14">
        <f>IF(OR($E1081="",$AA1081=""),"",IF($E1081&gt;=$AA1081,"×",IF($E1081&gt;=$AA1081*設定!$C$5,"△","○")))</f>
        <v/>
      </c>
      <c r="AC1081" s="15">
        <f>IF($AB1081="","",IF($AB1081="×",0,IF($AB1081="○",ROUNDDOWN($E1081*設定!$C$4,0),ROUNDDOWN($E1081*ROUND((9*$AA1081-9*$E1081)/(10*$E1081),4),0))))</f>
        <v/>
      </c>
      <c r="AD1081" s="13" t="n"/>
      <c r="AE1081" s="15">
        <f>IF($B1081="","",IF($AD1081&lt;&gt;"",$AD1081,IF($AC1081="","",IF($AC1081&lt;=設定!$C$3,0,$AC1081))))</f>
        <v/>
      </c>
      <c r="AF1081" s="14">
        <f>IF($B1081="","",IF(AND($AG1081&lt;&gt;"",$AI1081="",$AL1081=""),"保留中",IF($AL1081&lt;&gt;"",IF(N($AE1081)&gt;0,"支給済","不支給"),IF($AE1081="","要確認",IF($AE1081=0,"不支給","未処理")))))</f>
        <v/>
      </c>
      <c r="AG1081" s="12" t="n"/>
      <c r="AH1081" s="11" t="n"/>
      <c r="AI1081" s="11" t="n"/>
      <c r="AJ1081" s="11" t="n"/>
      <c r="AK1081" s="14">
        <f>IF(AND($AF1081="保留中",$AH1081&lt;&gt;""),TODAY()-$AH1081,"")</f>
        <v/>
      </c>
      <c r="AL1081" s="12" t="n"/>
      <c r="AM1081" s="14">
        <f>IF($B1081="","",IF($AQ1081="","対象年月が未入力／","")&amp;IF($B1081="","",IF($AP1081="","職員マスタに未登録の職員番号／",IF($AA1081="","標準報酬月額が未登録／","")&amp;IF(AND($AQ1081&lt;&gt;"",OR(AND(INDEX(職員マスタ!$G$6:$G$405,$AP1081)&lt;&gt;"",INDEX(職員マスタ!$G$6:$G$405,$AP1081)&gt;EOMONTH($AQ1081,0)),AND(INDEX(職員マスタ!$H$6:$H$405,$AP1081)&lt;&gt;"",INDEX(職員マスタ!$H$6:$H$405,$AP1081)&lt;$AQ1081))),"対象月が時短期間外／","")&amp;IF(AND(INDEX(職員マスタ!$K$6:$K$405,$AP1081)&lt;&gt;"",N($W1081)&gt;0,INDEX(職員マスタ!$K$6:$K$405,$AP1081)&lt;&gt;$W1081),"標準報酬月額が申請書と相違（台帳"&amp;TEXT(INDEX(職員マスタ!$K$6:$K$405,$AP1081),"#,##0")&amp;"円／申請書"&amp;TEXT($W1081,"#,##0")&amp;"円）／","")&amp;IF(AND(INDEX(職員マスタ!$F$6:$F$405,$AP1081)&lt;&gt;"",$AQ1081&lt;&gt;"",INDEX(職員マスタ!$F$6:$F$405,$AP1081)&lt;$AQ1081),"対象月に子が2歳到達済／","")&amp;IF(AND($H1081&lt;&gt;"",INDEX(職員マスタ!$B$6:$B$405,$AP1081)&lt;&gt;"",SUBSTITUTE(SUBSTITUTE($H1081," ","")," ","")&lt;&gt;SUBSTITUTE(SUBSTITUTE(INDEX(職員マスタ!$B$6:$B$405,$AP1081)," ","")," ","")),"氏名がマスタと相違／","")&amp;IF(AND($Q1081&lt;&gt;"",INDEX(職員マスタ!$E$6:$E$405,$AP1081)&lt;&gt;"",$Q1081&lt;&gt;INDEX(職員マスタ!$E$6:$E$405,$AP1081)),"子の生年月日がマスタと相違／","")&amp;IF(AND($L1081&lt;&gt;"",INDEX(職員マスタ!$G$6:$G$405,$AP1081)&lt;&gt;"",$L1081&lt;&gt;INDEX(職員マスタ!$G$6:$G$405,$AP1081)),"時短開始日がマスタと相違／","")&amp;IF(AND($M1081&lt;&gt;"",INDEX(職員マスタ!$H$6:$H$405,$AP1081)&lt;&gt;"",$M1081&lt;&gt;INDEX(職員マスタ!$H$6:$H$405,$AP1081)),"時短終了日がマスタと相違／","")))&amp;IF(AND($B1081&lt;&gt;"",$E1081=""),"報酬額が未入力／","")&amp;IF(N($U1081)&gt;0,"申請書に入力エラーが残っています／","")&amp;IF(AND($B1081&lt;&gt;"",$AQ1081&lt;&gt;""),IF(COUNTIFS($B$6:$B$3005,$B1081,$C$6:$C$3005,$C1081,$D$6:$D$3005,$D1081)&gt;1,"同じ月の請求が重複しています／",""),"")&amp;IF(AND(N($E1081)&gt;0,$AB1081&lt;&gt;"",$AB1081&lt;&gt;"×",$AE1081=0,$AD1081=""),"計算額が下限以下のため不支給／",""))</f>
        <v/>
      </c>
      <c r="AN1081" s="12" t="n"/>
      <c r="AO1081" s="14">
        <f>IF($AF1081="保留中",COUNTIF($AF$6:$AF1081,"保留中"),"")</f>
        <v/>
      </c>
      <c r="AP1081" s="14">
        <f>IF($AQ1081="","",IF(SUMPRODUCT(MAX((職員マスタ!$A$6:$A$405=$B1081)*(((職員マスタ!$G$6:$G$405="")+(職員マスタ!$G$6:$G$405&lt;=EOMONTH($AQ1081,0)))&gt;0)*(((職員マスタ!$H$6:$H$405="")+(職員マスタ!$H$6:$H$405&gt;=$AQ1081))&gt;0)*(ROW(職員マスタ!$A$6:$A$405)-5)))&gt;0,SUMPRODUCT(MAX((職員マスタ!$A$6:$A$405=$B1081)*(((職員マスタ!$G$6:$G$405="")+(職員マスタ!$G$6:$G$405&lt;=EOMONTH($AQ1081,0)))&gt;0)*(((職員マスタ!$H$6:$H$405="")+(職員マスタ!$H$6:$H$405&gt;=$AQ1081))&gt;0)*(ROW(職員マスタ!$A$6:$A$405)-5))),IFERROR(MATCH($B1081,職員マスタ!$A$6:$A$405,0),"")))</f>
        <v/>
      </c>
      <c r="AQ1081" s="16">
        <f>IF(OR($B1081="",$C1081="",$D1081=""),"",DATE($C1081+2018,$D1081,1))</f>
        <v/>
      </c>
    </row>
    <row r="1082">
      <c r="A1082" s="11" t="n"/>
      <c r="B1082" s="12" t="n"/>
      <c r="C1082" s="12" t="n"/>
      <c r="D1082" s="12" t="n"/>
      <c r="E1082" s="13" t="n"/>
      <c r="F1082" s="12" t="n"/>
      <c r="G1082" s="13" t="n"/>
      <c r="H1082" s="12" t="n"/>
      <c r="I1082" s="12" t="n"/>
      <c r="J1082" s="12" t="n"/>
      <c r="K1082" s="12" t="n"/>
      <c r="L1082" s="11" t="n"/>
      <c r="M1082" s="11" t="n"/>
      <c r="N1082" s="11" t="n"/>
      <c r="O1082" s="11" t="n"/>
      <c r="P1082" s="12" t="n"/>
      <c r="Q1082" s="11" t="n"/>
      <c r="R1082" s="12" t="n"/>
      <c r="S1082" s="11" t="n"/>
      <c r="T1082" s="12" t="n"/>
      <c r="U1082" s="12" t="n"/>
      <c r="V1082" s="12" t="n"/>
      <c r="W1082" s="13" t="n"/>
      <c r="X1082" s="14">
        <f>IF($AP1082="",IF($B1082="","",$H1082),IF(INDEX(職員マスタ!$B$6:$B$405,$AP1082)="",$H1082,INDEX(職員マスタ!$B$6:$B$405,$AP1082)))</f>
        <v/>
      </c>
      <c r="Y1082" s="14">
        <f>IF($AP1082="",IF($B1082="","",$R1082),IF(INDEX(職員マスタ!$C$6:$C$405,$AP1082)="",$R1082,INDEX(職員マスタ!$C$6:$C$405,$AP1082)))</f>
        <v/>
      </c>
      <c r="Z1082" s="14">
        <f>IF($AQ1082="","","R"&amp;$C1082&amp;"."&amp;$D1082)</f>
        <v/>
      </c>
      <c r="AA1082" s="15">
        <f>IF(IF($AP1082="",FALSE,INDEX(職員マスタ!$K$6:$K$405,$AP1082)&lt;&gt;""),INDEX(職員マスタ!$K$6:$K$405,$AP1082),IF(N($W1082)&gt;0,$W1082,""))</f>
        <v/>
      </c>
      <c r="AB1082" s="14">
        <f>IF(OR($E1082="",$AA1082=""),"",IF($E1082&gt;=$AA1082,"×",IF($E1082&gt;=$AA1082*設定!$C$5,"△","○")))</f>
        <v/>
      </c>
      <c r="AC1082" s="15">
        <f>IF($AB1082="","",IF($AB1082="×",0,IF($AB1082="○",ROUNDDOWN($E1082*設定!$C$4,0),ROUNDDOWN($E1082*ROUND((9*$AA1082-9*$E1082)/(10*$E1082),4),0))))</f>
        <v/>
      </c>
      <c r="AD1082" s="13" t="n"/>
      <c r="AE1082" s="15">
        <f>IF($B1082="","",IF($AD1082&lt;&gt;"",$AD1082,IF($AC1082="","",IF($AC1082&lt;=設定!$C$3,0,$AC1082))))</f>
        <v/>
      </c>
      <c r="AF1082" s="14">
        <f>IF($B1082="","",IF(AND($AG1082&lt;&gt;"",$AI1082="",$AL1082=""),"保留中",IF($AL1082&lt;&gt;"",IF(N($AE1082)&gt;0,"支給済","不支給"),IF($AE1082="","要確認",IF($AE1082=0,"不支給","未処理")))))</f>
        <v/>
      </c>
      <c r="AG1082" s="12" t="n"/>
      <c r="AH1082" s="11" t="n"/>
      <c r="AI1082" s="11" t="n"/>
      <c r="AJ1082" s="11" t="n"/>
      <c r="AK1082" s="14">
        <f>IF(AND($AF1082="保留中",$AH1082&lt;&gt;""),TODAY()-$AH1082,"")</f>
        <v/>
      </c>
      <c r="AL1082" s="12" t="n"/>
      <c r="AM1082" s="14">
        <f>IF($B1082="","",IF($AQ1082="","対象年月が未入力／","")&amp;IF($B1082="","",IF($AP1082="","職員マスタに未登録の職員番号／",IF($AA1082="","標準報酬月額が未登録／","")&amp;IF(AND($AQ1082&lt;&gt;"",OR(AND(INDEX(職員マスタ!$G$6:$G$405,$AP1082)&lt;&gt;"",INDEX(職員マスタ!$G$6:$G$405,$AP1082)&gt;EOMONTH($AQ1082,0)),AND(INDEX(職員マスタ!$H$6:$H$405,$AP1082)&lt;&gt;"",INDEX(職員マスタ!$H$6:$H$405,$AP1082)&lt;$AQ1082))),"対象月が時短期間外／","")&amp;IF(AND(INDEX(職員マスタ!$K$6:$K$405,$AP1082)&lt;&gt;"",N($W1082)&gt;0,INDEX(職員マスタ!$K$6:$K$405,$AP1082)&lt;&gt;$W1082),"標準報酬月額が申請書と相違（台帳"&amp;TEXT(INDEX(職員マスタ!$K$6:$K$405,$AP1082),"#,##0")&amp;"円／申請書"&amp;TEXT($W1082,"#,##0")&amp;"円）／","")&amp;IF(AND(INDEX(職員マスタ!$F$6:$F$405,$AP1082)&lt;&gt;"",$AQ1082&lt;&gt;"",INDEX(職員マスタ!$F$6:$F$405,$AP1082)&lt;$AQ1082),"対象月に子が2歳到達済／","")&amp;IF(AND($H1082&lt;&gt;"",INDEX(職員マスタ!$B$6:$B$405,$AP1082)&lt;&gt;"",SUBSTITUTE(SUBSTITUTE($H1082," ","")," ","")&lt;&gt;SUBSTITUTE(SUBSTITUTE(INDEX(職員マスタ!$B$6:$B$405,$AP1082)," ","")," ","")),"氏名がマスタと相違／","")&amp;IF(AND($Q1082&lt;&gt;"",INDEX(職員マスタ!$E$6:$E$405,$AP1082)&lt;&gt;"",$Q1082&lt;&gt;INDEX(職員マスタ!$E$6:$E$405,$AP1082)),"子の生年月日がマスタと相違／","")&amp;IF(AND($L1082&lt;&gt;"",INDEX(職員マスタ!$G$6:$G$405,$AP1082)&lt;&gt;"",$L1082&lt;&gt;INDEX(職員マスタ!$G$6:$G$405,$AP1082)),"時短開始日がマスタと相違／","")&amp;IF(AND($M1082&lt;&gt;"",INDEX(職員マスタ!$H$6:$H$405,$AP1082)&lt;&gt;"",$M1082&lt;&gt;INDEX(職員マスタ!$H$6:$H$405,$AP1082)),"時短終了日がマスタと相違／","")))&amp;IF(AND($B1082&lt;&gt;"",$E1082=""),"報酬額が未入力／","")&amp;IF(N($U1082)&gt;0,"申請書に入力エラーが残っています／","")&amp;IF(AND($B1082&lt;&gt;"",$AQ1082&lt;&gt;""),IF(COUNTIFS($B$6:$B$3005,$B1082,$C$6:$C$3005,$C1082,$D$6:$D$3005,$D1082)&gt;1,"同じ月の請求が重複しています／",""),"")&amp;IF(AND(N($E1082)&gt;0,$AB1082&lt;&gt;"",$AB1082&lt;&gt;"×",$AE1082=0,$AD1082=""),"計算額が下限以下のため不支給／",""))</f>
        <v/>
      </c>
      <c r="AN1082" s="12" t="n"/>
      <c r="AO1082" s="14">
        <f>IF($AF1082="保留中",COUNTIF($AF$6:$AF1082,"保留中"),"")</f>
        <v/>
      </c>
      <c r="AP1082" s="14">
        <f>IF($AQ1082="","",IF(SUMPRODUCT(MAX((職員マスタ!$A$6:$A$405=$B1082)*(((職員マスタ!$G$6:$G$405="")+(職員マスタ!$G$6:$G$405&lt;=EOMONTH($AQ1082,0)))&gt;0)*(((職員マスタ!$H$6:$H$405="")+(職員マスタ!$H$6:$H$405&gt;=$AQ1082))&gt;0)*(ROW(職員マスタ!$A$6:$A$405)-5)))&gt;0,SUMPRODUCT(MAX((職員マスタ!$A$6:$A$405=$B1082)*(((職員マスタ!$G$6:$G$405="")+(職員マスタ!$G$6:$G$405&lt;=EOMONTH($AQ1082,0)))&gt;0)*(((職員マスタ!$H$6:$H$405="")+(職員マスタ!$H$6:$H$405&gt;=$AQ1082))&gt;0)*(ROW(職員マスタ!$A$6:$A$405)-5))),IFERROR(MATCH($B1082,職員マスタ!$A$6:$A$405,0),"")))</f>
        <v/>
      </c>
      <c r="AQ1082" s="16">
        <f>IF(OR($B1082="",$C1082="",$D1082=""),"",DATE($C1082+2018,$D1082,1))</f>
        <v/>
      </c>
    </row>
    <row r="1083">
      <c r="A1083" s="11" t="n"/>
      <c r="B1083" s="12" t="n"/>
      <c r="C1083" s="12" t="n"/>
      <c r="D1083" s="12" t="n"/>
      <c r="E1083" s="13" t="n"/>
      <c r="F1083" s="12" t="n"/>
      <c r="G1083" s="13" t="n"/>
      <c r="H1083" s="12" t="n"/>
      <c r="I1083" s="12" t="n"/>
      <c r="J1083" s="12" t="n"/>
      <c r="K1083" s="12" t="n"/>
      <c r="L1083" s="11" t="n"/>
      <c r="M1083" s="11" t="n"/>
      <c r="N1083" s="11" t="n"/>
      <c r="O1083" s="11" t="n"/>
      <c r="P1083" s="12" t="n"/>
      <c r="Q1083" s="11" t="n"/>
      <c r="R1083" s="12" t="n"/>
      <c r="S1083" s="11" t="n"/>
      <c r="T1083" s="12" t="n"/>
      <c r="U1083" s="12" t="n"/>
      <c r="V1083" s="12" t="n"/>
      <c r="W1083" s="13" t="n"/>
      <c r="X1083" s="14">
        <f>IF($AP1083="",IF($B1083="","",$H1083),IF(INDEX(職員マスタ!$B$6:$B$405,$AP1083)="",$H1083,INDEX(職員マスタ!$B$6:$B$405,$AP1083)))</f>
        <v/>
      </c>
      <c r="Y1083" s="14">
        <f>IF($AP1083="",IF($B1083="","",$R1083),IF(INDEX(職員マスタ!$C$6:$C$405,$AP1083)="",$R1083,INDEX(職員マスタ!$C$6:$C$405,$AP1083)))</f>
        <v/>
      </c>
      <c r="Z1083" s="14">
        <f>IF($AQ1083="","","R"&amp;$C1083&amp;"."&amp;$D1083)</f>
        <v/>
      </c>
      <c r="AA1083" s="15">
        <f>IF(IF($AP1083="",FALSE,INDEX(職員マスタ!$K$6:$K$405,$AP1083)&lt;&gt;""),INDEX(職員マスタ!$K$6:$K$405,$AP1083),IF(N($W1083)&gt;0,$W1083,""))</f>
        <v/>
      </c>
      <c r="AB1083" s="14">
        <f>IF(OR($E1083="",$AA1083=""),"",IF($E1083&gt;=$AA1083,"×",IF($E1083&gt;=$AA1083*設定!$C$5,"△","○")))</f>
        <v/>
      </c>
      <c r="AC1083" s="15">
        <f>IF($AB1083="","",IF($AB1083="×",0,IF($AB1083="○",ROUNDDOWN($E1083*設定!$C$4,0),ROUNDDOWN($E1083*ROUND((9*$AA1083-9*$E1083)/(10*$E1083),4),0))))</f>
        <v/>
      </c>
      <c r="AD1083" s="13" t="n"/>
      <c r="AE1083" s="15">
        <f>IF($B1083="","",IF($AD1083&lt;&gt;"",$AD1083,IF($AC1083="","",IF($AC1083&lt;=設定!$C$3,0,$AC1083))))</f>
        <v/>
      </c>
      <c r="AF1083" s="14">
        <f>IF($B1083="","",IF(AND($AG1083&lt;&gt;"",$AI1083="",$AL1083=""),"保留中",IF($AL1083&lt;&gt;"",IF(N($AE1083)&gt;0,"支給済","不支給"),IF($AE1083="","要確認",IF($AE1083=0,"不支給","未処理")))))</f>
        <v/>
      </c>
      <c r="AG1083" s="12" t="n"/>
      <c r="AH1083" s="11" t="n"/>
      <c r="AI1083" s="11" t="n"/>
      <c r="AJ1083" s="11" t="n"/>
      <c r="AK1083" s="14">
        <f>IF(AND($AF1083="保留中",$AH1083&lt;&gt;""),TODAY()-$AH1083,"")</f>
        <v/>
      </c>
      <c r="AL1083" s="12" t="n"/>
      <c r="AM1083" s="14">
        <f>IF($B1083="","",IF($AQ1083="","対象年月が未入力／","")&amp;IF($B1083="","",IF($AP1083="","職員マスタに未登録の職員番号／",IF($AA1083="","標準報酬月額が未登録／","")&amp;IF(AND($AQ1083&lt;&gt;"",OR(AND(INDEX(職員マスタ!$G$6:$G$405,$AP1083)&lt;&gt;"",INDEX(職員マスタ!$G$6:$G$405,$AP1083)&gt;EOMONTH($AQ1083,0)),AND(INDEX(職員マスタ!$H$6:$H$405,$AP1083)&lt;&gt;"",INDEX(職員マスタ!$H$6:$H$405,$AP1083)&lt;$AQ1083))),"対象月が時短期間外／","")&amp;IF(AND(INDEX(職員マスタ!$K$6:$K$405,$AP1083)&lt;&gt;"",N($W1083)&gt;0,INDEX(職員マスタ!$K$6:$K$405,$AP1083)&lt;&gt;$W1083),"標準報酬月額が申請書と相違（台帳"&amp;TEXT(INDEX(職員マスタ!$K$6:$K$405,$AP1083),"#,##0")&amp;"円／申請書"&amp;TEXT($W1083,"#,##0")&amp;"円）／","")&amp;IF(AND(INDEX(職員マスタ!$F$6:$F$405,$AP1083)&lt;&gt;"",$AQ1083&lt;&gt;"",INDEX(職員マスタ!$F$6:$F$405,$AP1083)&lt;$AQ1083),"対象月に子が2歳到達済／","")&amp;IF(AND($H1083&lt;&gt;"",INDEX(職員マスタ!$B$6:$B$405,$AP1083)&lt;&gt;"",SUBSTITUTE(SUBSTITUTE($H1083," ","")," ","")&lt;&gt;SUBSTITUTE(SUBSTITUTE(INDEX(職員マスタ!$B$6:$B$405,$AP1083)," ","")," ","")),"氏名がマスタと相違／","")&amp;IF(AND($Q1083&lt;&gt;"",INDEX(職員マスタ!$E$6:$E$405,$AP1083)&lt;&gt;"",$Q1083&lt;&gt;INDEX(職員マスタ!$E$6:$E$405,$AP1083)),"子の生年月日がマスタと相違／","")&amp;IF(AND($L1083&lt;&gt;"",INDEX(職員マスタ!$G$6:$G$405,$AP1083)&lt;&gt;"",$L1083&lt;&gt;INDEX(職員マスタ!$G$6:$G$405,$AP1083)),"時短開始日がマスタと相違／","")&amp;IF(AND($M1083&lt;&gt;"",INDEX(職員マスタ!$H$6:$H$405,$AP1083)&lt;&gt;"",$M1083&lt;&gt;INDEX(職員マスタ!$H$6:$H$405,$AP1083)),"時短終了日がマスタと相違／","")))&amp;IF(AND($B1083&lt;&gt;"",$E1083=""),"報酬額が未入力／","")&amp;IF(N($U1083)&gt;0,"申請書に入力エラーが残っています／","")&amp;IF(AND($B1083&lt;&gt;"",$AQ1083&lt;&gt;""),IF(COUNTIFS($B$6:$B$3005,$B1083,$C$6:$C$3005,$C1083,$D$6:$D$3005,$D1083)&gt;1,"同じ月の請求が重複しています／",""),"")&amp;IF(AND(N($E1083)&gt;0,$AB1083&lt;&gt;"",$AB1083&lt;&gt;"×",$AE1083=0,$AD1083=""),"計算額が下限以下のため不支給／",""))</f>
        <v/>
      </c>
      <c r="AN1083" s="12" t="n"/>
      <c r="AO1083" s="14">
        <f>IF($AF1083="保留中",COUNTIF($AF$6:$AF1083,"保留中"),"")</f>
        <v/>
      </c>
      <c r="AP1083" s="14">
        <f>IF($AQ1083="","",IF(SUMPRODUCT(MAX((職員マスタ!$A$6:$A$405=$B1083)*(((職員マスタ!$G$6:$G$405="")+(職員マスタ!$G$6:$G$405&lt;=EOMONTH($AQ1083,0)))&gt;0)*(((職員マスタ!$H$6:$H$405="")+(職員マスタ!$H$6:$H$405&gt;=$AQ1083))&gt;0)*(ROW(職員マスタ!$A$6:$A$405)-5)))&gt;0,SUMPRODUCT(MAX((職員マスタ!$A$6:$A$405=$B1083)*(((職員マスタ!$G$6:$G$405="")+(職員マスタ!$G$6:$G$405&lt;=EOMONTH($AQ1083,0)))&gt;0)*(((職員マスタ!$H$6:$H$405="")+(職員マスタ!$H$6:$H$405&gt;=$AQ1083))&gt;0)*(ROW(職員マスタ!$A$6:$A$405)-5))),IFERROR(MATCH($B1083,職員マスタ!$A$6:$A$405,0),"")))</f>
        <v/>
      </c>
      <c r="AQ1083" s="16">
        <f>IF(OR($B1083="",$C1083="",$D1083=""),"",DATE($C1083+2018,$D1083,1))</f>
        <v/>
      </c>
    </row>
    <row r="1084">
      <c r="A1084" s="11" t="n"/>
      <c r="B1084" s="12" t="n"/>
      <c r="C1084" s="12" t="n"/>
      <c r="D1084" s="12" t="n"/>
      <c r="E1084" s="13" t="n"/>
      <c r="F1084" s="12" t="n"/>
      <c r="G1084" s="13" t="n"/>
      <c r="H1084" s="12" t="n"/>
      <c r="I1084" s="12" t="n"/>
      <c r="J1084" s="12" t="n"/>
      <c r="K1084" s="12" t="n"/>
      <c r="L1084" s="11" t="n"/>
      <c r="M1084" s="11" t="n"/>
      <c r="N1084" s="11" t="n"/>
      <c r="O1084" s="11" t="n"/>
      <c r="P1084" s="12" t="n"/>
      <c r="Q1084" s="11" t="n"/>
      <c r="R1084" s="12" t="n"/>
      <c r="S1084" s="11" t="n"/>
      <c r="T1084" s="12" t="n"/>
      <c r="U1084" s="12" t="n"/>
      <c r="V1084" s="12" t="n"/>
      <c r="W1084" s="13" t="n"/>
      <c r="X1084" s="14">
        <f>IF($AP1084="",IF($B1084="","",$H1084),IF(INDEX(職員マスタ!$B$6:$B$405,$AP1084)="",$H1084,INDEX(職員マスタ!$B$6:$B$405,$AP1084)))</f>
        <v/>
      </c>
      <c r="Y1084" s="14">
        <f>IF($AP1084="",IF($B1084="","",$R1084),IF(INDEX(職員マスタ!$C$6:$C$405,$AP1084)="",$R1084,INDEX(職員マスタ!$C$6:$C$405,$AP1084)))</f>
        <v/>
      </c>
      <c r="Z1084" s="14">
        <f>IF($AQ1084="","","R"&amp;$C1084&amp;"."&amp;$D1084)</f>
        <v/>
      </c>
      <c r="AA1084" s="15">
        <f>IF(IF($AP1084="",FALSE,INDEX(職員マスタ!$K$6:$K$405,$AP1084)&lt;&gt;""),INDEX(職員マスタ!$K$6:$K$405,$AP1084),IF(N($W1084)&gt;0,$W1084,""))</f>
        <v/>
      </c>
      <c r="AB1084" s="14">
        <f>IF(OR($E1084="",$AA1084=""),"",IF($E1084&gt;=$AA1084,"×",IF($E1084&gt;=$AA1084*設定!$C$5,"△","○")))</f>
        <v/>
      </c>
      <c r="AC1084" s="15">
        <f>IF($AB1084="","",IF($AB1084="×",0,IF($AB1084="○",ROUNDDOWN($E1084*設定!$C$4,0),ROUNDDOWN($E1084*ROUND((9*$AA1084-9*$E1084)/(10*$E1084),4),0))))</f>
        <v/>
      </c>
      <c r="AD1084" s="13" t="n"/>
      <c r="AE1084" s="15">
        <f>IF($B1084="","",IF($AD1084&lt;&gt;"",$AD1084,IF($AC1084="","",IF($AC1084&lt;=設定!$C$3,0,$AC1084))))</f>
        <v/>
      </c>
      <c r="AF1084" s="14">
        <f>IF($B1084="","",IF(AND($AG1084&lt;&gt;"",$AI1084="",$AL1084=""),"保留中",IF($AL1084&lt;&gt;"",IF(N($AE1084)&gt;0,"支給済","不支給"),IF($AE1084="","要確認",IF($AE1084=0,"不支給","未処理")))))</f>
        <v/>
      </c>
      <c r="AG1084" s="12" t="n"/>
      <c r="AH1084" s="11" t="n"/>
      <c r="AI1084" s="11" t="n"/>
      <c r="AJ1084" s="11" t="n"/>
      <c r="AK1084" s="14">
        <f>IF(AND($AF1084="保留中",$AH1084&lt;&gt;""),TODAY()-$AH1084,"")</f>
        <v/>
      </c>
      <c r="AL1084" s="12" t="n"/>
      <c r="AM1084" s="14">
        <f>IF($B1084="","",IF($AQ1084="","対象年月が未入力／","")&amp;IF($B1084="","",IF($AP1084="","職員マスタに未登録の職員番号／",IF($AA1084="","標準報酬月額が未登録／","")&amp;IF(AND($AQ1084&lt;&gt;"",OR(AND(INDEX(職員マスタ!$G$6:$G$405,$AP1084)&lt;&gt;"",INDEX(職員マスタ!$G$6:$G$405,$AP1084)&gt;EOMONTH($AQ1084,0)),AND(INDEX(職員マスタ!$H$6:$H$405,$AP1084)&lt;&gt;"",INDEX(職員マスタ!$H$6:$H$405,$AP1084)&lt;$AQ1084))),"対象月が時短期間外／","")&amp;IF(AND(INDEX(職員マスタ!$K$6:$K$405,$AP1084)&lt;&gt;"",N($W1084)&gt;0,INDEX(職員マスタ!$K$6:$K$405,$AP1084)&lt;&gt;$W1084),"標準報酬月額が申請書と相違（台帳"&amp;TEXT(INDEX(職員マスタ!$K$6:$K$405,$AP1084),"#,##0")&amp;"円／申請書"&amp;TEXT($W1084,"#,##0")&amp;"円）／","")&amp;IF(AND(INDEX(職員マスタ!$F$6:$F$405,$AP1084)&lt;&gt;"",$AQ1084&lt;&gt;"",INDEX(職員マスタ!$F$6:$F$405,$AP1084)&lt;$AQ1084),"対象月に子が2歳到達済／","")&amp;IF(AND($H1084&lt;&gt;"",INDEX(職員マスタ!$B$6:$B$405,$AP1084)&lt;&gt;"",SUBSTITUTE(SUBSTITUTE($H1084," ","")," ","")&lt;&gt;SUBSTITUTE(SUBSTITUTE(INDEX(職員マスタ!$B$6:$B$405,$AP1084)," ","")," ","")),"氏名がマスタと相違／","")&amp;IF(AND($Q1084&lt;&gt;"",INDEX(職員マスタ!$E$6:$E$405,$AP1084)&lt;&gt;"",$Q1084&lt;&gt;INDEX(職員マスタ!$E$6:$E$405,$AP1084)),"子の生年月日がマスタと相違／","")&amp;IF(AND($L1084&lt;&gt;"",INDEX(職員マスタ!$G$6:$G$405,$AP1084)&lt;&gt;"",$L1084&lt;&gt;INDEX(職員マスタ!$G$6:$G$405,$AP1084)),"時短開始日がマスタと相違／","")&amp;IF(AND($M1084&lt;&gt;"",INDEX(職員マスタ!$H$6:$H$405,$AP1084)&lt;&gt;"",$M1084&lt;&gt;INDEX(職員マスタ!$H$6:$H$405,$AP1084)),"時短終了日がマスタと相違／","")))&amp;IF(AND($B1084&lt;&gt;"",$E1084=""),"報酬額が未入力／","")&amp;IF(N($U1084)&gt;0,"申請書に入力エラーが残っています／","")&amp;IF(AND($B1084&lt;&gt;"",$AQ1084&lt;&gt;""),IF(COUNTIFS($B$6:$B$3005,$B1084,$C$6:$C$3005,$C1084,$D$6:$D$3005,$D1084)&gt;1,"同じ月の請求が重複しています／",""),"")&amp;IF(AND(N($E1084)&gt;0,$AB1084&lt;&gt;"",$AB1084&lt;&gt;"×",$AE1084=0,$AD1084=""),"計算額が下限以下のため不支給／",""))</f>
        <v/>
      </c>
      <c r="AN1084" s="12" t="n"/>
      <c r="AO1084" s="14">
        <f>IF($AF1084="保留中",COUNTIF($AF$6:$AF1084,"保留中"),"")</f>
        <v/>
      </c>
      <c r="AP1084" s="14">
        <f>IF($AQ1084="","",IF(SUMPRODUCT(MAX((職員マスタ!$A$6:$A$405=$B1084)*(((職員マスタ!$G$6:$G$405="")+(職員マスタ!$G$6:$G$405&lt;=EOMONTH($AQ1084,0)))&gt;0)*(((職員マスタ!$H$6:$H$405="")+(職員マスタ!$H$6:$H$405&gt;=$AQ1084))&gt;0)*(ROW(職員マスタ!$A$6:$A$405)-5)))&gt;0,SUMPRODUCT(MAX((職員マスタ!$A$6:$A$405=$B1084)*(((職員マスタ!$G$6:$G$405="")+(職員マスタ!$G$6:$G$405&lt;=EOMONTH($AQ1084,0)))&gt;0)*(((職員マスタ!$H$6:$H$405="")+(職員マスタ!$H$6:$H$405&gt;=$AQ1084))&gt;0)*(ROW(職員マスタ!$A$6:$A$405)-5))),IFERROR(MATCH($B1084,職員マスタ!$A$6:$A$405,0),"")))</f>
        <v/>
      </c>
      <c r="AQ1084" s="16">
        <f>IF(OR($B1084="",$C1084="",$D1084=""),"",DATE($C1084+2018,$D1084,1))</f>
        <v/>
      </c>
    </row>
    <row r="1085">
      <c r="A1085" s="11" t="n"/>
      <c r="B1085" s="12" t="n"/>
      <c r="C1085" s="12" t="n"/>
      <c r="D1085" s="12" t="n"/>
      <c r="E1085" s="13" t="n"/>
      <c r="F1085" s="12" t="n"/>
      <c r="G1085" s="13" t="n"/>
      <c r="H1085" s="12" t="n"/>
      <c r="I1085" s="12" t="n"/>
      <c r="J1085" s="12" t="n"/>
      <c r="K1085" s="12" t="n"/>
      <c r="L1085" s="11" t="n"/>
      <c r="M1085" s="11" t="n"/>
      <c r="N1085" s="11" t="n"/>
      <c r="O1085" s="11" t="n"/>
      <c r="P1085" s="12" t="n"/>
      <c r="Q1085" s="11" t="n"/>
      <c r="R1085" s="12" t="n"/>
      <c r="S1085" s="11" t="n"/>
      <c r="T1085" s="12" t="n"/>
      <c r="U1085" s="12" t="n"/>
      <c r="V1085" s="12" t="n"/>
      <c r="W1085" s="13" t="n"/>
      <c r="X1085" s="14">
        <f>IF($AP1085="",IF($B1085="","",$H1085),IF(INDEX(職員マスタ!$B$6:$B$405,$AP1085)="",$H1085,INDEX(職員マスタ!$B$6:$B$405,$AP1085)))</f>
        <v/>
      </c>
      <c r="Y1085" s="14">
        <f>IF($AP1085="",IF($B1085="","",$R1085),IF(INDEX(職員マスタ!$C$6:$C$405,$AP1085)="",$R1085,INDEX(職員マスタ!$C$6:$C$405,$AP1085)))</f>
        <v/>
      </c>
      <c r="Z1085" s="14">
        <f>IF($AQ1085="","","R"&amp;$C1085&amp;"."&amp;$D1085)</f>
        <v/>
      </c>
      <c r="AA1085" s="15">
        <f>IF(IF($AP1085="",FALSE,INDEX(職員マスタ!$K$6:$K$405,$AP1085)&lt;&gt;""),INDEX(職員マスタ!$K$6:$K$405,$AP1085),IF(N($W1085)&gt;0,$W1085,""))</f>
        <v/>
      </c>
      <c r="AB1085" s="14">
        <f>IF(OR($E1085="",$AA1085=""),"",IF($E1085&gt;=$AA1085,"×",IF($E1085&gt;=$AA1085*設定!$C$5,"△","○")))</f>
        <v/>
      </c>
      <c r="AC1085" s="15">
        <f>IF($AB1085="","",IF($AB1085="×",0,IF($AB1085="○",ROUNDDOWN($E1085*設定!$C$4,0),ROUNDDOWN($E1085*ROUND((9*$AA1085-9*$E1085)/(10*$E1085),4),0))))</f>
        <v/>
      </c>
      <c r="AD1085" s="13" t="n"/>
      <c r="AE1085" s="15">
        <f>IF($B1085="","",IF($AD1085&lt;&gt;"",$AD1085,IF($AC1085="","",IF($AC1085&lt;=設定!$C$3,0,$AC1085))))</f>
        <v/>
      </c>
      <c r="AF1085" s="14">
        <f>IF($B1085="","",IF(AND($AG1085&lt;&gt;"",$AI1085="",$AL1085=""),"保留中",IF($AL1085&lt;&gt;"",IF(N($AE1085)&gt;0,"支給済","不支給"),IF($AE1085="","要確認",IF($AE1085=0,"不支給","未処理")))))</f>
        <v/>
      </c>
      <c r="AG1085" s="12" t="n"/>
      <c r="AH1085" s="11" t="n"/>
      <c r="AI1085" s="11" t="n"/>
      <c r="AJ1085" s="11" t="n"/>
      <c r="AK1085" s="14">
        <f>IF(AND($AF1085="保留中",$AH1085&lt;&gt;""),TODAY()-$AH1085,"")</f>
        <v/>
      </c>
      <c r="AL1085" s="12" t="n"/>
      <c r="AM1085" s="14">
        <f>IF($B1085="","",IF($AQ1085="","対象年月が未入力／","")&amp;IF($B1085="","",IF($AP1085="","職員マスタに未登録の職員番号／",IF($AA1085="","標準報酬月額が未登録／","")&amp;IF(AND($AQ1085&lt;&gt;"",OR(AND(INDEX(職員マスタ!$G$6:$G$405,$AP1085)&lt;&gt;"",INDEX(職員マスタ!$G$6:$G$405,$AP1085)&gt;EOMONTH($AQ1085,0)),AND(INDEX(職員マスタ!$H$6:$H$405,$AP1085)&lt;&gt;"",INDEX(職員マスタ!$H$6:$H$405,$AP1085)&lt;$AQ1085))),"対象月が時短期間外／","")&amp;IF(AND(INDEX(職員マスタ!$K$6:$K$405,$AP1085)&lt;&gt;"",N($W1085)&gt;0,INDEX(職員マスタ!$K$6:$K$405,$AP1085)&lt;&gt;$W1085),"標準報酬月額が申請書と相違（台帳"&amp;TEXT(INDEX(職員マスタ!$K$6:$K$405,$AP1085),"#,##0")&amp;"円／申請書"&amp;TEXT($W1085,"#,##0")&amp;"円）／","")&amp;IF(AND(INDEX(職員マスタ!$F$6:$F$405,$AP1085)&lt;&gt;"",$AQ1085&lt;&gt;"",INDEX(職員マスタ!$F$6:$F$405,$AP1085)&lt;$AQ1085),"対象月に子が2歳到達済／","")&amp;IF(AND($H1085&lt;&gt;"",INDEX(職員マスタ!$B$6:$B$405,$AP1085)&lt;&gt;"",SUBSTITUTE(SUBSTITUTE($H1085," ","")," ","")&lt;&gt;SUBSTITUTE(SUBSTITUTE(INDEX(職員マスタ!$B$6:$B$405,$AP1085)," ","")," ","")),"氏名がマスタと相違／","")&amp;IF(AND($Q1085&lt;&gt;"",INDEX(職員マスタ!$E$6:$E$405,$AP1085)&lt;&gt;"",$Q1085&lt;&gt;INDEX(職員マスタ!$E$6:$E$405,$AP1085)),"子の生年月日がマスタと相違／","")&amp;IF(AND($L1085&lt;&gt;"",INDEX(職員マスタ!$G$6:$G$405,$AP1085)&lt;&gt;"",$L1085&lt;&gt;INDEX(職員マスタ!$G$6:$G$405,$AP1085)),"時短開始日がマスタと相違／","")&amp;IF(AND($M1085&lt;&gt;"",INDEX(職員マスタ!$H$6:$H$405,$AP1085)&lt;&gt;"",$M1085&lt;&gt;INDEX(職員マスタ!$H$6:$H$405,$AP1085)),"時短終了日がマスタと相違／","")))&amp;IF(AND($B1085&lt;&gt;"",$E1085=""),"報酬額が未入力／","")&amp;IF(N($U1085)&gt;0,"申請書に入力エラーが残っています／","")&amp;IF(AND($B1085&lt;&gt;"",$AQ1085&lt;&gt;""),IF(COUNTIFS($B$6:$B$3005,$B1085,$C$6:$C$3005,$C1085,$D$6:$D$3005,$D1085)&gt;1,"同じ月の請求が重複しています／",""),"")&amp;IF(AND(N($E1085)&gt;0,$AB1085&lt;&gt;"",$AB1085&lt;&gt;"×",$AE1085=0,$AD1085=""),"計算額が下限以下のため不支給／",""))</f>
        <v/>
      </c>
      <c r="AN1085" s="12" t="n"/>
      <c r="AO1085" s="14">
        <f>IF($AF1085="保留中",COUNTIF($AF$6:$AF1085,"保留中"),"")</f>
        <v/>
      </c>
      <c r="AP1085" s="14">
        <f>IF($AQ1085="","",IF(SUMPRODUCT(MAX((職員マスタ!$A$6:$A$405=$B1085)*(((職員マスタ!$G$6:$G$405="")+(職員マスタ!$G$6:$G$405&lt;=EOMONTH($AQ1085,0)))&gt;0)*(((職員マスタ!$H$6:$H$405="")+(職員マスタ!$H$6:$H$405&gt;=$AQ1085))&gt;0)*(ROW(職員マスタ!$A$6:$A$405)-5)))&gt;0,SUMPRODUCT(MAX((職員マスタ!$A$6:$A$405=$B1085)*(((職員マスタ!$G$6:$G$405="")+(職員マスタ!$G$6:$G$405&lt;=EOMONTH($AQ1085,0)))&gt;0)*(((職員マスタ!$H$6:$H$405="")+(職員マスタ!$H$6:$H$405&gt;=$AQ1085))&gt;0)*(ROW(職員マスタ!$A$6:$A$405)-5))),IFERROR(MATCH($B1085,職員マスタ!$A$6:$A$405,0),"")))</f>
        <v/>
      </c>
      <c r="AQ1085" s="16">
        <f>IF(OR($B1085="",$C1085="",$D1085=""),"",DATE($C1085+2018,$D1085,1))</f>
        <v/>
      </c>
    </row>
    <row r="1086">
      <c r="A1086" s="11" t="n"/>
      <c r="B1086" s="12" t="n"/>
      <c r="C1086" s="12" t="n"/>
      <c r="D1086" s="12" t="n"/>
      <c r="E1086" s="13" t="n"/>
      <c r="F1086" s="12" t="n"/>
      <c r="G1086" s="13" t="n"/>
      <c r="H1086" s="12" t="n"/>
      <c r="I1086" s="12" t="n"/>
      <c r="J1086" s="12" t="n"/>
      <c r="K1086" s="12" t="n"/>
      <c r="L1086" s="11" t="n"/>
      <c r="M1086" s="11" t="n"/>
      <c r="N1086" s="11" t="n"/>
      <c r="O1086" s="11" t="n"/>
      <c r="P1086" s="12" t="n"/>
      <c r="Q1086" s="11" t="n"/>
      <c r="R1086" s="12" t="n"/>
      <c r="S1086" s="11" t="n"/>
      <c r="T1086" s="12" t="n"/>
      <c r="U1086" s="12" t="n"/>
      <c r="V1086" s="12" t="n"/>
      <c r="W1086" s="13" t="n"/>
      <c r="X1086" s="14">
        <f>IF($AP1086="",IF($B1086="","",$H1086),IF(INDEX(職員マスタ!$B$6:$B$405,$AP1086)="",$H1086,INDEX(職員マスタ!$B$6:$B$405,$AP1086)))</f>
        <v/>
      </c>
      <c r="Y1086" s="14">
        <f>IF($AP1086="",IF($B1086="","",$R1086),IF(INDEX(職員マスタ!$C$6:$C$405,$AP1086)="",$R1086,INDEX(職員マスタ!$C$6:$C$405,$AP1086)))</f>
        <v/>
      </c>
      <c r="Z1086" s="14">
        <f>IF($AQ1086="","","R"&amp;$C1086&amp;"."&amp;$D1086)</f>
        <v/>
      </c>
      <c r="AA1086" s="15">
        <f>IF(IF($AP1086="",FALSE,INDEX(職員マスタ!$K$6:$K$405,$AP1086)&lt;&gt;""),INDEX(職員マスタ!$K$6:$K$405,$AP1086),IF(N($W1086)&gt;0,$W1086,""))</f>
        <v/>
      </c>
      <c r="AB1086" s="14">
        <f>IF(OR($E1086="",$AA1086=""),"",IF($E1086&gt;=$AA1086,"×",IF($E1086&gt;=$AA1086*設定!$C$5,"△","○")))</f>
        <v/>
      </c>
      <c r="AC1086" s="15">
        <f>IF($AB1086="","",IF($AB1086="×",0,IF($AB1086="○",ROUNDDOWN($E1086*設定!$C$4,0),ROUNDDOWN($E1086*ROUND((9*$AA1086-9*$E1086)/(10*$E1086),4),0))))</f>
        <v/>
      </c>
      <c r="AD1086" s="13" t="n"/>
      <c r="AE1086" s="15">
        <f>IF($B1086="","",IF($AD1086&lt;&gt;"",$AD1086,IF($AC1086="","",IF($AC1086&lt;=設定!$C$3,0,$AC1086))))</f>
        <v/>
      </c>
      <c r="AF1086" s="14">
        <f>IF($B1086="","",IF(AND($AG1086&lt;&gt;"",$AI1086="",$AL1086=""),"保留中",IF($AL1086&lt;&gt;"",IF(N($AE1086)&gt;0,"支給済","不支給"),IF($AE1086="","要確認",IF($AE1086=0,"不支給","未処理")))))</f>
        <v/>
      </c>
      <c r="AG1086" s="12" t="n"/>
      <c r="AH1086" s="11" t="n"/>
      <c r="AI1086" s="11" t="n"/>
      <c r="AJ1086" s="11" t="n"/>
      <c r="AK1086" s="14">
        <f>IF(AND($AF1086="保留中",$AH1086&lt;&gt;""),TODAY()-$AH1086,"")</f>
        <v/>
      </c>
      <c r="AL1086" s="12" t="n"/>
      <c r="AM1086" s="14">
        <f>IF($B1086="","",IF($AQ1086="","対象年月が未入力／","")&amp;IF($B1086="","",IF($AP1086="","職員マスタに未登録の職員番号／",IF($AA1086="","標準報酬月額が未登録／","")&amp;IF(AND($AQ1086&lt;&gt;"",OR(AND(INDEX(職員マスタ!$G$6:$G$405,$AP1086)&lt;&gt;"",INDEX(職員マスタ!$G$6:$G$405,$AP1086)&gt;EOMONTH($AQ1086,0)),AND(INDEX(職員マスタ!$H$6:$H$405,$AP1086)&lt;&gt;"",INDEX(職員マスタ!$H$6:$H$405,$AP1086)&lt;$AQ1086))),"対象月が時短期間外／","")&amp;IF(AND(INDEX(職員マスタ!$K$6:$K$405,$AP1086)&lt;&gt;"",N($W1086)&gt;0,INDEX(職員マスタ!$K$6:$K$405,$AP1086)&lt;&gt;$W1086),"標準報酬月額が申請書と相違（台帳"&amp;TEXT(INDEX(職員マスタ!$K$6:$K$405,$AP1086),"#,##0")&amp;"円／申請書"&amp;TEXT($W1086,"#,##0")&amp;"円）／","")&amp;IF(AND(INDEX(職員マスタ!$F$6:$F$405,$AP1086)&lt;&gt;"",$AQ1086&lt;&gt;"",INDEX(職員マスタ!$F$6:$F$405,$AP1086)&lt;$AQ1086),"対象月に子が2歳到達済／","")&amp;IF(AND($H1086&lt;&gt;"",INDEX(職員マスタ!$B$6:$B$405,$AP1086)&lt;&gt;"",SUBSTITUTE(SUBSTITUTE($H1086," ","")," ","")&lt;&gt;SUBSTITUTE(SUBSTITUTE(INDEX(職員マスタ!$B$6:$B$405,$AP1086)," ","")," ","")),"氏名がマスタと相違／","")&amp;IF(AND($Q1086&lt;&gt;"",INDEX(職員マスタ!$E$6:$E$405,$AP1086)&lt;&gt;"",$Q1086&lt;&gt;INDEX(職員マスタ!$E$6:$E$405,$AP1086)),"子の生年月日がマスタと相違／","")&amp;IF(AND($L1086&lt;&gt;"",INDEX(職員マスタ!$G$6:$G$405,$AP1086)&lt;&gt;"",$L1086&lt;&gt;INDEX(職員マスタ!$G$6:$G$405,$AP1086)),"時短開始日がマスタと相違／","")&amp;IF(AND($M1086&lt;&gt;"",INDEX(職員マスタ!$H$6:$H$405,$AP1086)&lt;&gt;"",$M1086&lt;&gt;INDEX(職員マスタ!$H$6:$H$405,$AP1086)),"時短終了日がマスタと相違／","")))&amp;IF(AND($B1086&lt;&gt;"",$E1086=""),"報酬額が未入力／","")&amp;IF(N($U1086)&gt;0,"申請書に入力エラーが残っています／","")&amp;IF(AND($B1086&lt;&gt;"",$AQ1086&lt;&gt;""),IF(COUNTIFS($B$6:$B$3005,$B1086,$C$6:$C$3005,$C1086,$D$6:$D$3005,$D1086)&gt;1,"同じ月の請求が重複しています／",""),"")&amp;IF(AND(N($E1086)&gt;0,$AB1086&lt;&gt;"",$AB1086&lt;&gt;"×",$AE1086=0,$AD1086=""),"計算額が下限以下のため不支給／",""))</f>
        <v/>
      </c>
      <c r="AN1086" s="12" t="n"/>
      <c r="AO1086" s="14">
        <f>IF($AF1086="保留中",COUNTIF($AF$6:$AF1086,"保留中"),"")</f>
        <v/>
      </c>
      <c r="AP1086" s="14">
        <f>IF($AQ1086="","",IF(SUMPRODUCT(MAX((職員マスタ!$A$6:$A$405=$B1086)*(((職員マスタ!$G$6:$G$405="")+(職員マスタ!$G$6:$G$405&lt;=EOMONTH($AQ1086,0)))&gt;0)*(((職員マスタ!$H$6:$H$405="")+(職員マスタ!$H$6:$H$405&gt;=$AQ1086))&gt;0)*(ROW(職員マスタ!$A$6:$A$405)-5)))&gt;0,SUMPRODUCT(MAX((職員マスタ!$A$6:$A$405=$B1086)*(((職員マスタ!$G$6:$G$405="")+(職員マスタ!$G$6:$G$405&lt;=EOMONTH($AQ1086,0)))&gt;0)*(((職員マスタ!$H$6:$H$405="")+(職員マスタ!$H$6:$H$405&gt;=$AQ1086))&gt;0)*(ROW(職員マスタ!$A$6:$A$405)-5))),IFERROR(MATCH($B1086,職員マスタ!$A$6:$A$405,0),"")))</f>
        <v/>
      </c>
      <c r="AQ1086" s="16">
        <f>IF(OR($B1086="",$C1086="",$D1086=""),"",DATE($C1086+2018,$D1086,1))</f>
        <v/>
      </c>
    </row>
    <row r="1087">
      <c r="A1087" s="11" t="n"/>
      <c r="B1087" s="12" t="n"/>
      <c r="C1087" s="12" t="n"/>
      <c r="D1087" s="12" t="n"/>
      <c r="E1087" s="13" t="n"/>
      <c r="F1087" s="12" t="n"/>
      <c r="G1087" s="13" t="n"/>
      <c r="H1087" s="12" t="n"/>
      <c r="I1087" s="12" t="n"/>
      <c r="J1087" s="12" t="n"/>
      <c r="K1087" s="12" t="n"/>
      <c r="L1087" s="11" t="n"/>
      <c r="M1087" s="11" t="n"/>
      <c r="N1087" s="11" t="n"/>
      <c r="O1087" s="11" t="n"/>
      <c r="P1087" s="12" t="n"/>
      <c r="Q1087" s="11" t="n"/>
      <c r="R1087" s="12" t="n"/>
      <c r="S1087" s="11" t="n"/>
      <c r="T1087" s="12" t="n"/>
      <c r="U1087" s="12" t="n"/>
      <c r="V1087" s="12" t="n"/>
      <c r="W1087" s="13" t="n"/>
      <c r="X1087" s="14">
        <f>IF($AP1087="",IF($B1087="","",$H1087),IF(INDEX(職員マスタ!$B$6:$B$405,$AP1087)="",$H1087,INDEX(職員マスタ!$B$6:$B$405,$AP1087)))</f>
        <v/>
      </c>
      <c r="Y1087" s="14">
        <f>IF($AP1087="",IF($B1087="","",$R1087),IF(INDEX(職員マスタ!$C$6:$C$405,$AP1087)="",$R1087,INDEX(職員マスタ!$C$6:$C$405,$AP1087)))</f>
        <v/>
      </c>
      <c r="Z1087" s="14">
        <f>IF($AQ1087="","","R"&amp;$C1087&amp;"."&amp;$D1087)</f>
        <v/>
      </c>
      <c r="AA1087" s="15">
        <f>IF(IF($AP1087="",FALSE,INDEX(職員マスタ!$K$6:$K$405,$AP1087)&lt;&gt;""),INDEX(職員マスタ!$K$6:$K$405,$AP1087),IF(N($W1087)&gt;0,$W1087,""))</f>
        <v/>
      </c>
      <c r="AB1087" s="14">
        <f>IF(OR($E1087="",$AA1087=""),"",IF($E1087&gt;=$AA1087,"×",IF($E1087&gt;=$AA1087*設定!$C$5,"△","○")))</f>
        <v/>
      </c>
      <c r="AC1087" s="15">
        <f>IF($AB1087="","",IF($AB1087="×",0,IF($AB1087="○",ROUNDDOWN($E1087*設定!$C$4,0),ROUNDDOWN($E1087*ROUND((9*$AA1087-9*$E1087)/(10*$E1087),4),0))))</f>
        <v/>
      </c>
      <c r="AD1087" s="13" t="n"/>
      <c r="AE1087" s="15">
        <f>IF($B1087="","",IF($AD1087&lt;&gt;"",$AD1087,IF($AC1087="","",IF($AC1087&lt;=設定!$C$3,0,$AC1087))))</f>
        <v/>
      </c>
      <c r="AF1087" s="14">
        <f>IF($B1087="","",IF(AND($AG1087&lt;&gt;"",$AI1087="",$AL1087=""),"保留中",IF($AL1087&lt;&gt;"",IF(N($AE1087)&gt;0,"支給済","不支給"),IF($AE1087="","要確認",IF($AE1087=0,"不支給","未処理")))))</f>
        <v/>
      </c>
      <c r="AG1087" s="12" t="n"/>
      <c r="AH1087" s="11" t="n"/>
      <c r="AI1087" s="11" t="n"/>
      <c r="AJ1087" s="11" t="n"/>
      <c r="AK1087" s="14">
        <f>IF(AND($AF1087="保留中",$AH1087&lt;&gt;""),TODAY()-$AH1087,"")</f>
        <v/>
      </c>
      <c r="AL1087" s="12" t="n"/>
      <c r="AM1087" s="14">
        <f>IF($B1087="","",IF($AQ1087="","対象年月が未入力／","")&amp;IF($B1087="","",IF($AP1087="","職員マスタに未登録の職員番号／",IF($AA1087="","標準報酬月額が未登録／","")&amp;IF(AND($AQ1087&lt;&gt;"",OR(AND(INDEX(職員マスタ!$G$6:$G$405,$AP1087)&lt;&gt;"",INDEX(職員マスタ!$G$6:$G$405,$AP1087)&gt;EOMONTH($AQ1087,0)),AND(INDEX(職員マスタ!$H$6:$H$405,$AP1087)&lt;&gt;"",INDEX(職員マスタ!$H$6:$H$405,$AP1087)&lt;$AQ1087))),"対象月が時短期間外／","")&amp;IF(AND(INDEX(職員マスタ!$K$6:$K$405,$AP1087)&lt;&gt;"",N($W1087)&gt;0,INDEX(職員マスタ!$K$6:$K$405,$AP1087)&lt;&gt;$W1087),"標準報酬月額が申請書と相違（台帳"&amp;TEXT(INDEX(職員マスタ!$K$6:$K$405,$AP1087),"#,##0")&amp;"円／申請書"&amp;TEXT($W1087,"#,##0")&amp;"円）／","")&amp;IF(AND(INDEX(職員マスタ!$F$6:$F$405,$AP1087)&lt;&gt;"",$AQ1087&lt;&gt;"",INDEX(職員マスタ!$F$6:$F$405,$AP1087)&lt;$AQ1087),"対象月に子が2歳到達済／","")&amp;IF(AND($H1087&lt;&gt;"",INDEX(職員マスタ!$B$6:$B$405,$AP1087)&lt;&gt;"",SUBSTITUTE(SUBSTITUTE($H1087," ","")," ","")&lt;&gt;SUBSTITUTE(SUBSTITUTE(INDEX(職員マスタ!$B$6:$B$405,$AP1087)," ","")," ","")),"氏名がマスタと相違／","")&amp;IF(AND($Q1087&lt;&gt;"",INDEX(職員マスタ!$E$6:$E$405,$AP1087)&lt;&gt;"",$Q1087&lt;&gt;INDEX(職員マスタ!$E$6:$E$405,$AP1087)),"子の生年月日がマスタと相違／","")&amp;IF(AND($L1087&lt;&gt;"",INDEX(職員マスタ!$G$6:$G$405,$AP1087)&lt;&gt;"",$L1087&lt;&gt;INDEX(職員マスタ!$G$6:$G$405,$AP1087)),"時短開始日がマスタと相違／","")&amp;IF(AND($M1087&lt;&gt;"",INDEX(職員マスタ!$H$6:$H$405,$AP1087)&lt;&gt;"",$M1087&lt;&gt;INDEX(職員マスタ!$H$6:$H$405,$AP1087)),"時短終了日がマスタと相違／","")))&amp;IF(AND($B1087&lt;&gt;"",$E1087=""),"報酬額が未入力／","")&amp;IF(N($U1087)&gt;0,"申請書に入力エラーが残っています／","")&amp;IF(AND($B1087&lt;&gt;"",$AQ1087&lt;&gt;""),IF(COUNTIFS($B$6:$B$3005,$B1087,$C$6:$C$3005,$C1087,$D$6:$D$3005,$D1087)&gt;1,"同じ月の請求が重複しています／",""),"")&amp;IF(AND(N($E1087)&gt;0,$AB1087&lt;&gt;"",$AB1087&lt;&gt;"×",$AE1087=0,$AD1087=""),"計算額が下限以下のため不支給／",""))</f>
        <v/>
      </c>
      <c r="AN1087" s="12" t="n"/>
      <c r="AO1087" s="14">
        <f>IF($AF1087="保留中",COUNTIF($AF$6:$AF1087,"保留中"),"")</f>
        <v/>
      </c>
      <c r="AP1087" s="14">
        <f>IF($AQ1087="","",IF(SUMPRODUCT(MAX((職員マスタ!$A$6:$A$405=$B1087)*(((職員マスタ!$G$6:$G$405="")+(職員マスタ!$G$6:$G$405&lt;=EOMONTH($AQ1087,0)))&gt;0)*(((職員マスタ!$H$6:$H$405="")+(職員マスタ!$H$6:$H$405&gt;=$AQ1087))&gt;0)*(ROW(職員マスタ!$A$6:$A$405)-5)))&gt;0,SUMPRODUCT(MAX((職員マスタ!$A$6:$A$405=$B1087)*(((職員マスタ!$G$6:$G$405="")+(職員マスタ!$G$6:$G$405&lt;=EOMONTH($AQ1087,0)))&gt;0)*(((職員マスタ!$H$6:$H$405="")+(職員マスタ!$H$6:$H$405&gt;=$AQ1087))&gt;0)*(ROW(職員マスタ!$A$6:$A$405)-5))),IFERROR(MATCH($B1087,職員マスタ!$A$6:$A$405,0),"")))</f>
        <v/>
      </c>
      <c r="AQ1087" s="16">
        <f>IF(OR($B1087="",$C1087="",$D1087=""),"",DATE($C1087+2018,$D1087,1))</f>
        <v/>
      </c>
    </row>
    <row r="1088">
      <c r="A1088" s="11" t="n"/>
      <c r="B1088" s="12" t="n"/>
      <c r="C1088" s="12" t="n"/>
      <c r="D1088" s="12" t="n"/>
      <c r="E1088" s="13" t="n"/>
      <c r="F1088" s="12" t="n"/>
      <c r="G1088" s="13" t="n"/>
      <c r="H1088" s="12" t="n"/>
      <c r="I1088" s="12" t="n"/>
      <c r="J1088" s="12" t="n"/>
      <c r="K1088" s="12" t="n"/>
      <c r="L1088" s="11" t="n"/>
      <c r="M1088" s="11" t="n"/>
      <c r="N1088" s="11" t="n"/>
      <c r="O1088" s="11" t="n"/>
      <c r="P1088" s="12" t="n"/>
      <c r="Q1088" s="11" t="n"/>
      <c r="R1088" s="12" t="n"/>
      <c r="S1088" s="11" t="n"/>
      <c r="T1088" s="12" t="n"/>
      <c r="U1088" s="12" t="n"/>
      <c r="V1088" s="12" t="n"/>
      <c r="W1088" s="13" t="n"/>
      <c r="X1088" s="14">
        <f>IF($AP1088="",IF($B1088="","",$H1088),IF(INDEX(職員マスタ!$B$6:$B$405,$AP1088)="",$H1088,INDEX(職員マスタ!$B$6:$B$405,$AP1088)))</f>
        <v/>
      </c>
      <c r="Y1088" s="14">
        <f>IF($AP1088="",IF($B1088="","",$R1088),IF(INDEX(職員マスタ!$C$6:$C$405,$AP1088)="",$R1088,INDEX(職員マスタ!$C$6:$C$405,$AP1088)))</f>
        <v/>
      </c>
      <c r="Z1088" s="14">
        <f>IF($AQ1088="","","R"&amp;$C1088&amp;"."&amp;$D1088)</f>
        <v/>
      </c>
      <c r="AA1088" s="15">
        <f>IF(IF($AP1088="",FALSE,INDEX(職員マスタ!$K$6:$K$405,$AP1088)&lt;&gt;""),INDEX(職員マスタ!$K$6:$K$405,$AP1088),IF(N($W1088)&gt;0,$W1088,""))</f>
        <v/>
      </c>
      <c r="AB1088" s="14">
        <f>IF(OR($E1088="",$AA1088=""),"",IF($E1088&gt;=$AA1088,"×",IF($E1088&gt;=$AA1088*設定!$C$5,"△","○")))</f>
        <v/>
      </c>
      <c r="AC1088" s="15">
        <f>IF($AB1088="","",IF($AB1088="×",0,IF($AB1088="○",ROUNDDOWN($E1088*設定!$C$4,0),ROUNDDOWN($E1088*ROUND((9*$AA1088-9*$E1088)/(10*$E1088),4),0))))</f>
        <v/>
      </c>
      <c r="AD1088" s="13" t="n"/>
      <c r="AE1088" s="15">
        <f>IF($B1088="","",IF($AD1088&lt;&gt;"",$AD1088,IF($AC1088="","",IF($AC1088&lt;=設定!$C$3,0,$AC1088))))</f>
        <v/>
      </c>
      <c r="AF1088" s="14">
        <f>IF($B1088="","",IF(AND($AG1088&lt;&gt;"",$AI1088="",$AL1088=""),"保留中",IF($AL1088&lt;&gt;"",IF(N($AE1088)&gt;0,"支給済","不支給"),IF($AE1088="","要確認",IF($AE1088=0,"不支給","未処理")))))</f>
        <v/>
      </c>
      <c r="AG1088" s="12" t="n"/>
      <c r="AH1088" s="11" t="n"/>
      <c r="AI1088" s="11" t="n"/>
      <c r="AJ1088" s="11" t="n"/>
      <c r="AK1088" s="14">
        <f>IF(AND($AF1088="保留中",$AH1088&lt;&gt;""),TODAY()-$AH1088,"")</f>
        <v/>
      </c>
      <c r="AL1088" s="12" t="n"/>
      <c r="AM1088" s="14">
        <f>IF($B1088="","",IF($AQ1088="","対象年月が未入力／","")&amp;IF($B1088="","",IF($AP1088="","職員マスタに未登録の職員番号／",IF($AA1088="","標準報酬月額が未登録／","")&amp;IF(AND($AQ1088&lt;&gt;"",OR(AND(INDEX(職員マスタ!$G$6:$G$405,$AP1088)&lt;&gt;"",INDEX(職員マスタ!$G$6:$G$405,$AP1088)&gt;EOMONTH($AQ1088,0)),AND(INDEX(職員マスタ!$H$6:$H$405,$AP1088)&lt;&gt;"",INDEX(職員マスタ!$H$6:$H$405,$AP1088)&lt;$AQ1088))),"対象月が時短期間外／","")&amp;IF(AND(INDEX(職員マスタ!$K$6:$K$405,$AP1088)&lt;&gt;"",N($W1088)&gt;0,INDEX(職員マスタ!$K$6:$K$405,$AP1088)&lt;&gt;$W1088),"標準報酬月額が申請書と相違（台帳"&amp;TEXT(INDEX(職員マスタ!$K$6:$K$405,$AP1088),"#,##0")&amp;"円／申請書"&amp;TEXT($W1088,"#,##0")&amp;"円）／","")&amp;IF(AND(INDEX(職員マスタ!$F$6:$F$405,$AP1088)&lt;&gt;"",$AQ1088&lt;&gt;"",INDEX(職員マスタ!$F$6:$F$405,$AP1088)&lt;$AQ1088),"対象月に子が2歳到達済／","")&amp;IF(AND($H1088&lt;&gt;"",INDEX(職員マスタ!$B$6:$B$405,$AP1088)&lt;&gt;"",SUBSTITUTE(SUBSTITUTE($H1088," ","")," ","")&lt;&gt;SUBSTITUTE(SUBSTITUTE(INDEX(職員マスタ!$B$6:$B$405,$AP1088)," ","")," ","")),"氏名がマスタと相違／","")&amp;IF(AND($Q1088&lt;&gt;"",INDEX(職員マスタ!$E$6:$E$405,$AP1088)&lt;&gt;"",$Q1088&lt;&gt;INDEX(職員マスタ!$E$6:$E$405,$AP1088)),"子の生年月日がマスタと相違／","")&amp;IF(AND($L1088&lt;&gt;"",INDEX(職員マスタ!$G$6:$G$405,$AP1088)&lt;&gt;"",$L1088&lt;&gt;INDEX(職員マスタ!$G$6:$G$405,$AP1088)),"時短開始日がマスタと相違／","")&amp;IF(AND($M1088&lt;&gt;"",INDEX(職員マスタ!$H$6:$H$405,$AP1088)&lt;&gt;"",$M1088&lt;&gt;INDEX(職員マスタ!$H$6:$H$405,$AP1088)),"時短終了日がマスタと相違／","")))&amp;IF(AND($B1088&lt;&gt;"",$E1088=""),"報酬額が未入力／","")&amp;IF(N($U1088)&gt;0,"申請書に入力エラーが残っています／","")&amp;IF(AND($B1088&lt;&gt;"",$AQ1088&lt;&gt;""),IF(COUNTIFS($B$6:$B$3005,$B1088,$C$6:$C$3005,$C1088,$D$6:$D$3005,$D1088)&gt;1,"同じ月の請求が重複しています／",""),"")&amp;IF(AND(N($E1088)&gt;0,$AB1088&lt;&gt;"",$AB1088&lt;&gt;"×",$AE1088=0,$AD1088=""),"計算額が下限以下のため不支給／",""))</f>
        <v/>
      </c>
      <c r="AN1088" s="12" t="n"/>
      <c r="AO1088" s="14">
        <f>IF($AF1088="保留中",COUNTIF($AF$6:$AF1088,"保留中"),"")</f>
        <v/>
      </c>
      <c r="AP1088" s="14">
        <f>IF($AQ1088="","",IF(SUMPRODUCT(MAX((職員マスタ!$A$6:$A$405=$B1088)*(((職員マスタ!$G$6:$G$405="")+(職員マスタ!$G$6:$G$405&lt;=EOMONTH($AQ1088,0)))&gt;0)*(((職員マスタ!$H$6:$H$405="")+(職員マスタ!$H$6:$H$405&gt;=$AQ1088))&gt;0)*(ROW(職員マスタ!$A$6:$A$405)-5)))&gt;0,SUMPRODUCT(MAX((職員マスタ!$A$6:$A$405=$B1088)*(((職員マスタ!$G$6:$G$405="")+(職員マスタ!$G$6:$G$405&lt;=EOMONTH($AQ1088,0)))&gt;0)*(((職員マスタ!$H$6:$H$405="")+(職員マスタ!$H$6:$H$405&gt;=$AQ1088))&gt;0)*(ROW(職員マスタ!$A$6:$A$405)-5))),IFERROR(MATCH($B1088,職員マスタ!$A$6:$A$405,0),"")))</f>
        <v/>
      </c>
      <c r="AQ1088" s="16">
        <f>IF(OR($B1088="",$C1088="",$D1088=""),"",DATE($C1088+2018,$D1088,1))</f>
        <v/>
      </c>
    </row>
    <row r="1089">
      <c r="A1089" s="11" t="n"/>
      <c r="B1089" s="12" t="n"/>
      <c r="C1089" s="12" t="n"/>
      <c r="D1089" s="12" t="n"/>
      <c r="E1089" s="13" t="n"/>
      <c r="F1089" s="12" t="n"/>
      <c r="G1089" s="13" t="n"/>
      <c r="H1089" s="12" t="n"/>
      <c r="I1089" s="12" t="n"/>
      <c r="J1089" s="12" t="n"/>
      <c r="K1089" s="12" t="n"/>
      <c r="L1089" s="11" t="n"/>
      <c r="M1089" s="11" t="n"/>
      <c r="N1089" s="11" t="n"/>
      <c r="O1089" s="11" t="n"/>
      <c r="P1089" s="12" t="n"/>
      <c r="Q1089" s="11" t="n"/>
      <c r="R1089" s="12" t="n"/>
      <c r="S1089" s="11" t="n"/>
      <c r="T1089" s="12" t="n"/>
      <c r="U1089" s="12" t="n"/>
      <c r="V1089" s="12" t="n"/>
      <c r="W1089" s="13" t="n"/>
      <c r="X1089" s="14">
        <f>IF($AP1089="",IF($B1089="","",$H1089),IF(INDEX(職員マスタ!$B$6:$B$405,$AP1089)="",$H1089,INDEX(職員マスタ!$B$6:$B$405,$AP1089)))</f>
        <v/>
      </c>
      <c r="Y1089" s="14">
        <f>IF($AP1089="",IF($B1089="","",$R1089),IF(INDEX(職員マスタ!$C$6:$C$405,$AP1089)="",$R1089,INDEX(職員マスタ!$C$6:$C$405,$AP1089)))</f>
        <v/>
      </c>
      <c r="Z1089" s="14">
        <f>IF($AQ1089="","","R"&amp;$C1089&amp;"."&amp;$D1089)</f>
        <v/>
      </c>
      <c r="AA1089" s="15">
        <f>IF(IF($AP1089="",FALSE,INDEX(職員マスタ!$K$6:$K$405,$AP1089)&lt;&gt;""),INDEX(職員マスタ!$K$6:$K$405,$AP1089),IF(N($W1089)&gt;0,$W1089,""))</f>
        <v/>
      </c>
      <c r="AB1089" s="14">
        <f>IF(OR($E1089="",$AA1089=""),"",IF($E1089&gt;=$AA1089,"×",IF($E1089&gt;=$AA1089*設定!$C$5,"△","○")))</f>
        <v/>
      </c>
      <c r="AC1089" s="15">
        <f>IF($AB1089="","",IF($AB1089="×",0,IF($AB1089="○",ROUNDDOWN($E1089*設定!$C$4,0),ROUNDDOWN($E1089*ROUND((9*$AA1089-9*$E1089)/(10*$E1089),4),0))))</f>
        <v/>
      </c>
      <c r="AD1089" s="13" t="n"/>
      <c r="AE1089" s="15">
        <f>IF($B1089="","",IF($AD1089&lt;&gt;"",$AD1089,IF($AC1089="","",IF($AC1089&lt;=設定!$C$3,0,$AC1089))))</f>
        <v/>
      </c>
      <c r="AF1089" s="14">
        <f>IF($B1089="","",IF(AND($AG1089&lt;&gt;"",$AI1089="",$AL1089=""),"保留中",IF($AL1089&lt;&gt;"",IF(N($AE1089)&gt;0,"支給済","不支給"),IF($AE1089="","要確認",IF($AE1089=0,"不支給","未処理")))))</f>
        <v/>
      </c>
      <c r="AG1089" s="12" t="n"/>
      <c r="AH1089" s="11" t="n"/>
      <c r="AI1089" s="11" t="n"/>
      <c r="AJ1089" s="11" t="n"/>
      <c r="AK1089" s="14">
        <f>IF(AND($AF1089="保留中",$AH1089&lt;&gt;""),TODAY()-$AH1089,"")</f>
        <v/>
      </c>
      <c r="AL1089" s="12" t="n"/>
      <c r="AM1089" s="14">
        <f>IF($B1089="","",IF($AQ1089="","対象年月が未入力／","")&amp;IF($B1089="","",IF($AP1089="","職員マスタに未登録の職員番号／",IF($AA1089="","標準報酬月額が未登録／","")&amp;IF(AND($AQ1089&lt;&gt;"",OR(AND(INDEX(職員マスタ!$G$6:$G$405,$AP1089)&lt;&gt;"",INDEX(職員マスタ!$G$6:$G$405,$AP1089)&gt;EOMONTH($AQ1089,0)),AND(INDEX(職員マスタ!$H$6:$H$405,$AP1089)&lt;&gt;"",INDEX(職員マスタ!$H$6:$H$405,$AP1089)&lt;$AQ1089))),"対象月が時短期間外／","")&amp;IF(AND(INDEX(職員マスタ!$K$6:$K$405,$AP1089)&lt;&gt;"",N($W1089)&gt;0,INDEX(職員マスタ!$K$6:$K$405,$AP1089)&lt;&gt;$W1089),"標準報酬月額が申請書と相違（台帳"&amp;TEXT(INDEX(職員マスタ!$K$6:$K$405,$AP1089),"#,##0")&amp;"円／申請書"&amp;TEXT($W1089,"#,##0")&amp;"円）／","")&amp;IF(AND(INDEX(職員マスタ!$F$6:$F$405,$AP1089)&lt;&gt;"",$AQ1089&lt;&gt;"",INDEX(職員マスタ!$F$6:$F$405,$AP1089)&lt;$AQ1089),"対象月に子が2歳到達済／","")&amp;IF(AND($H1089&lt;&gt;"",INDEX(職員マスタ!$B$6:$B$405,$AP1089)&lt;&gt;"",SUBSTITUTE(SUBSTITUTE($H1089," ","")," ","")&lt;&gt;SUBSTITUTE(SUBSTITUTE(INDEX(職員マスタ!$B$6:$B$405,$AP1089)," ","")," ","")),"氏名がマスタと相違／","")&amp;IF(AND($Q1089&lt;&gt;"",INDEX(職員マスタ!$E$6:$E$405,$AP1089)&lt;&gt;"",$Q1089&lt;&gt;INDEX(職員マスタ!$E$6:$E$405,$AP1089)),"子の生年月日がマスタと相違／","")&amp;IF(AND($L1089&lt;&gt;"",INDEX(職員マスタ!$G$6:$G$405,$AP1089)&lt;&gt;"",$L1089&lt;&gt;INDEX(職員マスタ!$G$6:$G$405,$AP1089)),"時短開始日がマスタと相違／","")&amp;IF(AND($M1089&lt;&gt;"",INDEX(職員マスタ!$H$6:$H$405,$AP1089)&lt;&gt;"",$M1089&lt;&gt;INDEX(職員マスタ!$H$6:$H$405,$AP1089)),"時短終了日がマスタと相違／","")))&amp;IF(AND($B1089&lt;&gt;"",$E1089=""),"報酬額が未入力／","")&amp;IF(N($U1089)&gt;0,"申請書に入力エラーが残っています／","")&amp;IF(AND($B1089&lt;&gt;"",$AQ1089&lt;&gt;""),IF(COUNTIFS($B$6:$B$3005,$B1089,$C$6:$C$3005,$C1089,$D$6:$D$3005,$D1089)&gt;1,"同じ月の請求が重複しています／",""),"")&amp;IF(AND(N($E1089)&gt;0,$AB1089&lt;&gt;"",$AB1089&lt;&gt;"×",$AE1089=0,$AD1089=""),"計算額が下限以下のため不支給／",""))</f>
        <v/>
      </c>
      <c r="AN1089" s="12" t="n"/>
      <c r="AO1089" s="14">
        <f>IF($AF1089="保留中",COUNTIF($AF$6:$AF1089,"保留中"),"")</f>
        <v/>
      </c>
      <c r="AP1089" s="14">
        <f>IF($AQ1089="","",IF(SUMPRODUCT(MAX((職員マスタ!$A$6:$A$405=$B1089)*(((職員マスタ!$G$6:$G$405="")+(職員マスタ!$G$6:$G$405&lt;=EOMONTH($AQ1089,0)))&gt;0)*(((職員マスタ!$H$6:$H$405="")+(職員マスタ!$H$6:$H$405&gt;=$AQ1089))&gt;0)*(ROW(職員マスタ!$A$6:$A$405)-5)))&gt;0,SUMPRODUCT(MAX((職員マスタ!$A$6:$A$405=$B1089)*(((職員マスタ!$G$6:$G$405="")+(職員マスタ!$G$6:$G$405&lt;=EOMONTH($AQ1089,0)))&gt;0)*(((職員マスタ!$H$6:$H$405="")+(職員マスタ!$H$6:$H$405&gt;=$AQ1089))&gt;0)*(ROW(職員マスタ!$A$6:$A$405)-5))),IFERROR(MATCH($B1089,職員マスタ!$A$6:$A$405,0),"")))</f>
        <v/>
      </c>
      <c r="AQ1089" s="16">
        <f>IF(OR($B1089="",$C1089="",$D1089=""),"",DATE($C1089+2018,$D1089,1))</f>
        <v/>
      </c>
    </row>
    <row r="1090">
      <c r="A1090" s="11" t="n"/>
      <c r="B1090" s="12" t="n"/>
      <c r="C1090" s="12" t="n"/>
      <c r="D1090" s="12" t="n"/>
      <c r="E1090" s="13" t="n"/>
      <c r="F1090" s="12" t="n"/>
      <c r="G1090" s="13" t="n"/>
      <c r="H1090" s="12" t="n"/>
      <c r="I1090" s="12" t="n"/>
      <c r="J1090" s="12" t="n"/>
      <c r="K1090" s="12" t="n"/>
      <c r="L1090" s="11" t="n"/>
      <c r="M1090" s="11" t="n"/>
      <c r="N1090" s="11" t="n"/>
      <c r="O1090" s="11" t="n"/>
      <c r="P1090" s="12" t="n"/>
      <c r="Q1090" s="11" t="n"/>
      <c r="R1090" s="12" t="n"/>
      <c r="S1090" s="11" t="n"/>
      <c r="T1090" s="12" t="n"/>
      <c r="U1090" s="12" t="n"/>
      <c r="V1090" s="12" t="n"/>
      <c r="W1090" s="13" t="n"/>
      <c r="X1090" s="14">
        <f>IF($AP1090="",IF($B1090="","",$H1090),IF(INDEX(職員マスタ!$B$6:$B$405,$AP1090)="",$H1090,INDEX(職員マスタ!$B$6:$B$405,$AP1090)))</f>
        <v/>
      </c>
      <c r="Y1090" s="14">
        <f>IF($AP1090="",IF($B1090="","",$R1090),IF(INDEX(職員マスタ!$C$6:$C$405,$AP1090)="",$R1090,INDEX(職員マスタ!$C$6:$C$405,$AP1090)))</f>
        <v/>
      </c>
      <c r="Z1090" s="14">
        <f>IF($AQ1090="","","R"&amp;$C1090&amp;"."&amp;$D1090)</f>
        <v/>
      </c>
      <c r="AA1090" s="15">
        <f>IF(IF($AP1090="",FALSE,INDEX(職員マスタ!$K$6:$K$405,$AP1090)&lt;&gt;""),INDEX(職員マスタ!$K$6:$K$405,$AP1090),IF(N($W1090)&gt;0,$W1090,""))</f>
        <v/>
      </c>
      <c r="AB1090" s="14">
        <f>IF(OR($E1090="",$AA1090=""),"",IF($E1090&gt;=$AA1090,"×",IF($E1090&gt;=$AA1090*設定!$C$5,"△","○")))</f>
        <v/>
      </c>
      <c r="AC1090" s="15">
        <f>IF($AB1090="","",IF($AB1090="×",0,IF($AB1090="○",ROUNDDOWN($E1090*設定!$C$4,0),ROUNDDOWN($E1090*ROUND((9*$AA1090-9*$E1090)/(10*$E1090),4),0))))</f>
        <v/>
      </c>
      <c r="AD1090" s="13" t="n"/>
      <c r="AE1090" s="15">
        <f>IF($B1090="","",IF($AD1090&lt;&gt;"",$AD1090,IF($AC1090="","",IF($AC1090&lt;=設定!$C$3,0,$AC1090))))</f>
        <v/>
      </c>
      <c r="AF1090" s="14">
        <f>IF($B1090="","",IF(AND($AG1090&lt;&gt;"",$AI1090="",$AL1090=""),"保留中",IF($AL1090&lt;&gt;"",IF(N($AE1090)&gt;0,"支給済","不支給"),IF($AE1090="","要確認",IF($AE1090=0,"不支給","未処理")))))</f>
        <v/>
      </c>
      <c r="AG1090" s="12" t="n"/>
      <c r="AH1090" s="11" t="n"/>
      <c r="AI1090" s="11" t="n"/>
      <c r="AJ1090" s="11" t="n"/>
      <c r="AK1090" s="14">
        <f>IF(AND($AF1090="保留中",$AH1090&lt;&gt;""),TODAY()-$AH1090,"")</f>
        <v/>
      </c>
      <c r="AL1090" s="12" t="n"/>
      <c r="AM1090" s="14">
        <f>IF($B1090="","",IF($AQ1090="","対象年月が未入力／","")&amp;IF($B1090="","",IF($AP1090="","職員マスタに未登録の職員番号／",IF($AA1090="","標準報酬月額が未登録／","")&amp;IF(AND($AQ1090&lt;&gt;"",OR(AND(INDEX(職員マスタ!$G$6:$G$405,$AP1090)&lt;&gt;"",INDEX(職員マスタ!$G$6:$G$405,$AP1090)&gt;EOMONTH($AQ1090,0)),AND(INDEX(職員マスタ!$H$6:$H$405,$AP1090)&lt;&gt;"",INDEX(職員マスタ!$H$6:$H$405,$AP1090)&lt;$AQ1090))),"対象月が時短期間外／","")&amp;IF(AND(INDEX(職員マスタ!$K$6:$K$405,$AP1090)&lt;&gt;"",N($W1090)&gt;0,INDEX(職員マスタ!$K$6:$K$405,$AP1090)&lt;&gt;$W1090),"標準報酬月額が申請書と相違（台帳"&amp;TEXT(INDEX(職員マスタ!$K$6:$K$405,$AP1090),"#,##0")&amp;"円／申請書"&amp;TEXT($W1090,"#,##0")&amp;"円）／","")&amp;IF(AND(INDEX(職員マスタ!$F$6:$F$405,$AP1090)&lt;&gt;"",$AQ1090&lt;&gt;"",INDEX(職員マスタ!$F$6:$F$405,$AP1090)&lt;$AQ1090),"対象月に子が2歳到達済／","")&amp;IF(AND($H1090&lt;&gt;"",INDEX(職員マスタ!$B$6:$B$405,$AP1090)&lt;&gt;"",SUBSTITUTE(SUBSTITUTE($H1090," ","")," ","")&lt;&gt;SUBSTITUTE(SUBSTITUTE(INDEX(職員マスタ!$B$6:$B$405,$AP1090)," ","")," ","")),"氏名がマスタと相違／","")&amp;IF(AND($Q1090&lt;&gt;"",INDEX(職員マスタ!$E$6:$E$405,$AP1090)&lt;&gt;"",$Q1090&lt;&gt;INDEX(職員マスタ!$E$6:$E$405,$AP1090)),"子の生年月日がマスタと相違／","")&amp;IF(AND($L1090&lt;&gt;"",INDEX(職員マスタ!$G$6:$G$405,$AP1090)&lt;&gt;"",$L1090&lt;&gt;INDEX(職員マスタ!$G$6:$G$405,$AP1090)),"時短開始日がマスタと相違／","")&amp;IF(AND($M1090&lt;&gt;"",INDEX(職員マスタ!$H$6:$H$405,$AP1090)&lt;&gt;"",$M1090&lt;&gt;INDEX(職員マスタ!$H$6:$H$405,$AP1090)),"時短終了日がマスタと相違／","")))&amp;IF(AND($B1090&lt;&gt;"",$E1090=""),"報酬額が未入力／","")&amp;IF(N($U1090)&gt;0,"申請書に入力エラーが残っています／","")&amp;IF(AND($B1090&lt;&gt;"",$AQ1090&lt;&gt;""),IF(COUNTIFS($B$6:$B$3005,$B1090,$C$6:$C$3005,$C1090,$D$6:$D$3005,$D1090)&gt;1,"同じ月の請求が重複しています／",""),"")&amp;IF(AND(N($E1090)&gt;0,$AB1090&lt;&gt;"",$AB1090&lt;&gt;"×",$AE1090=0,$AD1090=""),"計算額が下限以下のため不支給／",""))</f>
        <v/>
      </c>
      <c r="AN1090" s="12" t="n"/>
      <c r="AO1090" s="14">
        <f>IF($AF1090="保留中",COUNTIF($AF$6:$AF1090,"保留中"),"")</f>
        <v/>
      </c>
      <c r="AP1090" s="14">
        <f>IF($AQ1090="","",IF(SUMPRODUCT(MAX((職員マスタ!$A$6:$A$405=$B1090)*(((職員マスタ!$G$6:$G$405="")+(職員マスタ!$G$6:$G$405&lt;=EOMONTH($AQ1090,0)))&gt;0)*(((職員マスタ!$H$6:$H$405="")+(職員マスタ!$H$6:$H$405&gt;=$AQ1090))&gt;0)*(ROW(職員マスタ!$A$6:$A$405)-5)))&gt;0,SUMPRODUCT(MAX((職員マスタ!$A$6:$A$405=$B1090)*(((職員マスタ!$G$6:$G$405="")+(職員マスタ!$G$6:$G$405&lt;=EOMONTH($AQ1090,0)))&gt;0)*(((職員マスタ!$H$6:$H$405="")+(職員マスタ!$H$6:$H$405&gt;=$AQ1090))&gt;0)*(ROW(職員マスタ!$A$6:$A$405)-5))),IFERROR(MATCH($B1090,職員マスタ!$A$6:$A$405,0),"")))</f>
        <v/>
      </c>
      <c r="AQ1090" s="16">
        <f>IF(OR($B1090="",$C1090="",$D1090=""),"",DATE($C1090+2018,$D1090,1))</f>
        <v/>
      </c>
    </row>
    <row r="1091">
      <c r="A1091" s="11" t="n"/>
      <c r="B1091" s="12" t="n"/>
      <c r="C1091" s="12" t="n"/>
      <c r="D1091" s="12" t="n"/>
      <c r="E1091" s="13" t="n"/>
      <c r="F1091" s="12" t="n"/>
      <c r="G1091" s="13" t="n"/>
      <c r="H1091" s="12" t="n"/>
      <c r="I1091" s="12" t="n"/>
      <c r="J1091" s="12" t="n"/>
      <c r="K1091" s="12" t="n"/>
      <c r="L1091" s="11" t="n"/>
      <c r="M1091" s="11" t="n"/>
      <c r="N1091" s="11" t="n"/>
      <c r="O1091" s="11" t="n"/>
      <c r="P1091" s="12" t="n"/>
      <c r="Q1091" s="11" t="n"/>
      <c r="R1091" s="12" t="n"/>
      <c r="S1091" s="11" t="n"/>
      <c r="T1091" s="12" t="n"/>
      <c r="U1091" s="12" t="n"/>
      <c r="V1091" s="12" t="n"/>
      <c r="W1091" s="13" t="n"/>
      <c r="X1091" s="14">
        <f>IF($AP1091="",IF($B1091="","",$H1091),IF(INDEX(職員マスタ!$B$6:$B$405,$AP1091)="",$H1091,INDEX(職員マスタ!$B$6:$B$405,$AP1091)))</f>
        <v/>
      </c>
      <c r="Y1091" s="14">
        <f>IF($AP1091="",IF($B1091="","",$R1091),IF(INDEX(職員マスタ!$C$6:$C$405,$AP1091)="",$R1091,INDEX(職員マスタ!$C$6:$C$405,$AP1091)))</f>
        <v/>
      </c>
      <c r="Z1091" s="14">
        <f>IF($AQ1091="","","R"&amp;$C1091&amp;"."&amp;$D1091)</f>
        <v/>
      </c>
      <c r="AA1091" s="15">
        <f>IF(IF($AP1091="",FALSE,INDEX(職員マスタ!$K$6:$K$405,$AP1091)&lt;&gt;""),INDEX(職員マスタ!$K$6:$K$405,$AP1091),IF(N($W1091)&gt;0,$W1091,""))</f>
        <v/>
      </c>
      <c r="AB1091" s="14">
        <f>IF(OR($E1091="",$AA1091=""),"",IF($E1091&gt;=$AA1091,"×",IF($E1091&gt;=$AA1091*設定!$C$5,"△","○")))</f>
        <v/>
      </c>
      <c r="AC1091" s="15">
        <f>IF($AB1091="","",IF($AB1091="×",0,IF($AB1091="○",ROUNDDOWN($E1091*設定!$C$4,0),ROUNDDOWN($E1091*ROUND((9*$AA1091-9*$E1091)/(10*$E1091),4),0))))</f>
        <v/>
      </c>
      <c r="AD1091" s="13" t="n"/>
      <c r="AE1091" s="15">
        <f>IF($B1091="","",IF($AD1091&lt;&gt;"",$AD1091,IF($AC1091="","",IF($AC1091&lt;=設定!$C$3,0,$AC1091))))</f>
        <v/>
      </c>
      <c r="AF1091" s="14">
        <f>IF($B1091="","",IF(AND($AG1091&lt;&gt;"",$AI1091="",$AL1091=""),"保留中",IF($AL1091&lt;&gt;"",IF(N($AE1091)&gt;0,"支給済","不支給"),IF($AE1091="","要確認",IF($AE1091=0,"不支給","未処理")))))</f>
        <v/>
      </c>
      <c r="AG1091" s="12" t="n"/>
      <c r="AH1091" s="11" t="n"/>
      <c r="AI1091" s="11" t="n"/>
      <c r="AJ1091" s="11" t="n"/>
      <c r="AK1091" s="14">
        <f>IF(AND($AF1091="保留中",$AH1091&lt;&gt;""),TODAY()-$AH1091,"")</f>
        <v/>
      </c>
      <c r="AL1091" s="12" t="n"/>
      <c r="AM1091" s="14">
        <f>IF($B1091="","",IF($AQ1091="","対象年月が未入力／","")&amp;IF($B1091="","",IF($AP1091="","職員マスタに未登録の職員番号／",IF($AA1091="","標準報酬月額が未登録／","")&amp;IF(AND($AQ1091&lt;&gt;"",OR(AND(INDEX(職員マスタ!$G$6:$G$405,$AP1091)&lt;&gt;"",INDEX(職員マスタ!$G$6:$G$405,$AP1091)&gt;EOMONTH($AQ1091,0)),AND(INDEX(職員マスタ!$H$6:$H$405,$AP1091)&lt;&gt;"",INDEX(職員マスタ!$H$6:$H$405,$AP1091)&lt;$AQ1091))),"対象月が時短期間外／","")&amp;IF(AND(INDEX(職員マスタ!$K$6:$K$405,$AP1091)&lt;&gt;"",N($W1091)&gt;0,INDEX(職員マスタ!$K$6:$K$405,$AP1091)&lt;&gt;$W1091),"標準報酬月額が申請書と相違（台帳"&amp;TEXT(INDEX(職員マスタ!$K$6:$K$405,$AP1091),"#,##0")&amp;"円／申請書"&amp;TEXT($W1091,"#,##0")&amp;"円）／","")&amp;IF(AND(INDEX(職員マスタ!$F$6:$F$405,$AP1091)&lt;&gt;"",$AQ1091&lt;&gt;"",INDEX(職員マスタ!$F$6:$F$405,$AP1091)&lt;$AQ1091),"対象月に子が2歳到達済／","")&amp;IF(AND($H1091&lt;&gt;"",INDEX(職員マスタ!$B$6:$B$405,$AP1091)&lt;&gt;"",SUBSTITUTE(SUBSTITUTE($H1091," ","")," ","")&lt;&gt;SUBSTITUTE(SUBSTITUTE(INDEX(職員マスタ!$B$6:$B$405,$AP1091)," ","")," ","")),"氏名がマスタと相違／","")&amp;IF(AND($Q1091&lt;&gt;"",INDEX(職員マスタ!$E$6:$E$405,$AP1091)&lt;&gt;"",$Q1091&lt;&gt;INDEX(職員マスタ!$E$6:$E$405,$AP1091)),"子の生年月日がマスタと相違／","")&amp;IF(AND($L1091&lt;&gt;"",INDEX(職員マスタ!$G$6:$G$405,$AP1091)&lt;&gt;"",$L1091&lt;&gt;INDEX(職員マスタ!$G$6:$G$405,$AP1091)),"時短開始日がマスタと相違／","")&amp;IF(AND($M1091&lt;&gt;"",INDEX(職員マスタ!$H$6:$H$405,$AP1091)&lt;&gt;"",$M1091&lt;&gt;INDEX(職員マスタ!$H$6:$H$405,$AP1091)),"時短終了日がマスタと相違／","")))&amp;IF(AND($B1091&lt;&gt;"",$E1091=""),"報酬額が未入力／","")&amp;IF(N($U1091)&gt;0,"申請書に入力エラーが残っています／","")&amp;IF(AND($B1091&lt;&gt;"",$AQ1091&lt;&gt;""),IF(COUNTIFS($B$6:$B$3005,$B1091,$C$6:$C$3005,$C1091,$D$6:$D$3005,$D1091)&gt;1,"同じ月の請求が重複しています／",""),"")&amp;IF(AND(N($E1091)&gt;0,$AB1091&lt;&gt;"",$AB1091&lt;&gt;"×",$AE1091=0,$AD1091=""),"計算額が下限以下のため不支給／",""))</f>
        <v/>
      </c>
      <c r="AN1091" s="12" t="n"/>
      <c r="AO1091" s="14">
        <f>IF($AF1091="保留中",COUNTIF($AF$6:$AF1091,"保留中"),"")</f>
        <v/>
      </c>
      <c r="AP1091" s="14">
        <f>IF($AQ1091="","",IF(SUMPRODUCT(MAX((職員マスタ!$A$6:$A$405=$B1091)*(((職員マスタ!$G$6:$G$405="")+(職員マスタ!$G$6:$G$405&lt;=EOMONTH($AQ1091,0)))&gt;0)*(((職員マスタ!$H$6:$H$405="")+(職員マスタ!$H$6:$H$405&gt;=$AQ1091))&gt;0)*(ROW(職員マスタ!$A$6:$A$405)-5)))&gt;0,SUMPRODUCT(MAX((職員マスタ!$A$6:$A$405=$B1091)*(((職員マスタ!$G$6:$G$405="")+(職員マスタ!$G$6:$G$405&lt;=EOMONTH($AQ1091,0)))&gt;0)*(((職員マスタ!$H$6:$H$405="")+(職員マスタ!$H$6:$H$405&gt;=$AQ1091))&gt;0)*(ROW(職員マスタ!$A$6:$A$405)-5))),IFERROR(MATCH($B1091,職員マスタ!$A$6:$A$405,0),"")))</f>
        <v/>
      </c>
      <c r="AQ1091" s="16">
        <f>IF(OR($B1091="",$C1091="",$D1091=""),"",DATE($C1091+2018,$D1091,1))</f>
        <v/>
      </c>
    </row>
    <row r="1092">
      <c r="A1092" s="11" t="n"/>
      <c r="B1092" s="12" t="n"/>
      <c r="C1092" s="12" t="n"/>
      <c r="D1092" s="12" t="n"/>
      <c r="E1092" s="13" t="n"/>
      <c r="F1092" s="12" t="n"/>
      <c r="G1092" s="13" t="n"/>
      <c r="H1092" s="12" t="n"/>
      <c r="I1092" s="12" t="n"/>
      <c r="J1092" s="12" t="n"/>
      <c r="K1092" s="12" t="n"/>
      <c r="L1092" s="11" t="n"/>
      <c r="M1092" s="11" t="n"/>
      <c r="N1092" s="11" t="n"/>
      <c r="O1092" s="11" t="n"/>
      <c r="P1092" s="12" t="n"/>
      <c r="Q1092" s="11" t="n"/>
      <c r="R1092" s="12" t="n"/>
      <c r="S1092" s="11" t="n"/>
      <c r="T1092" s="12" t="n"/>
      <c r="U1092" s="12" t="n"/>
      <c r="V1092" s="12" t="n"/>
      <c r="W1092" s="13" t="n"/>
      <c r="X1092" s="14">
        <f>IF($AP1092="",IF($B1092="","",$H1092),IF(INDEX(職員マスタ!$B$6:$B$405,$AP1092)="",$H1092,INDEX(職員マスタ!$B$6:$B$405,$AP1092)))</f>
        <v/>
      </c>
      <c r="Y1092" s="14">
        <f>IF($AP1092="",IF($B1092="","",$R1092),IF(INDEX(職員マスタ!$C$6:$C$405,$AP1092)="",$R1092,INDEX(職員マスタ!$C$6:$C$405,$AP1092)))</f>
        <v/>
      </c>
      <c r="Z1092" s="14">
        <f>IF($AQ1092="","","R"&amp;$C1092&amp;"."&amp;$D1092)</f>
        <v/>
      </c>
      <c r="AA1092" s="15">
        <f>IF(IF($AP1092="",FALSE,INDEX(職員マスタ!$K$6:$K$405,$AP1092)&lt;&gt;""),INDEX(職員マスタ!$K$6:$K$405,$AP1092),IF(N($W1092)&gt;0,$W1092,""))</f>
        <v/>
      </c>
      <c r="AB1092" s="14">
        <f>IF(OR($E1092="",$AA1092=""),"",IF($E1092&gt;=$AA1092,"×",IF($E1092&gt;=$AA1092*設定!$C$5,"△","○")))</f>
        <v/>
      </c>
      <c r="AC1092" s="15">
        <f>IF($AB1092="","",IF($AB1092="×",0,IF($AB1092="○",ROUNDDOWN($E1092*設定!$C$4,0),ROUNDDOWN($E1092*ROUND((9*$AA1092-9*$E1092)/(10*$E1092),4),0))))</f>
        <v/>
      </c>
      <c r="AD1092" s="13" t="n"/>
      <c r="AE1092" s="15">
        <f>IF($B1092="","",IF($AD1092&lt;&gt;"",$AD1092,IF($AC1092="","",IF($AC1092&lt;=設定!$C$3,0,$AC1092))))</f>
        <v/>
      </c>
      <c r="AF1092" s="14">
        <f>IF($B1092="","",IF(AND($AG1092&lt;&gt;"",$AI1092="",$AL1092=""),"保留中",IF($AL1092&lt;&gt;"",IF(N($AE1092)&gt;0,"支給済","不支給"),IF($AE1092="","要確認",IF($AE1092=0,"不支給","未処理")))))</f>
        <v/>
      </c>
      <c r="AG1092" s="12" t="n"/>
      <c r="AH1092" s="11" t="n"/>
      <c r="AI1092" s="11" t="n"/>
      <c r="AJ1092" s="11" t="n"/>
      <c r="AK1092" s="14">
        <f>IF(AND($AF1092="保留中",$AH1092&lt;&gt;""),TODAY()-$AH1092,"")</f>
        <v/>
      </c>
      <c r="AL1092" s="12" t="n"/>
      <c r="AM1092" s="14">
        <f>IF($B1092="","",IF($AQ1092="","対象年月が未入力／","")&amp;IF($B1092="","",IF($AP1092="","職員マスタに未登録の職員番号／",IF($AA1092="","標準報酬月額が未登録／","")&amp;IF(AND($AQ1092&lt;&gt;"",OR(AND(INDEX(職員マスタ!$G$6:$G$405,$AP1092)&lt;&gt;"",INDEX(職員マスタ!$G$6:$G$405,$AP1092)&gt;EOMONTH($AQ1092,0)),AND(INDEX(職員マスタ!$H$6:$H$405,$AP1092)&lt;&gt;"",INDEX(職員マスタ!$H$6:$H$405,$AP1092)&lt;$AQ1092))),"対象月が時短期間外／","")&amp;IF(AND(INDEX(職員マスタ!$K$6:$K$405,$AP1092)&lt;&gt;"",N($W1092)&gt;0,INDEX(職員マスタ!$K$6:$K$405,$AP1092)&lt;&gt;$W1092),"標準報酬月額が申請書と相違（台帳"&amp;TEXT(INDEX(職員マスタ!$K$6:$K$405,$AP1092),"#,##0")&amp;"円／申請書"&amp;TEXT($W1092,"#,##0")&amp;"円）／","")&amp;IF(AND(INDEX(職員マスタ!$F$6:$F$405,$AP1092)&lt;&gt;"",$AQ1092&lt;&gt;"",INDEX(職員マスタ!$F$6:$F$405,$AP1092)&lt;$AQ1092),"対象月に子が2歳到達済／","")&amp;IF(AND($H1092&lt;&gt;"",INDEX(職員マスタ!$B$6:$B$405,$AP1092)&lt;&gt;"",SUBSTITUTE(SUBSTITUTE($H1092," ","")," ","")&lt;&gt;SUBSTITUTE(SUBSTITUTE(INDEX(職員マスタ!$B$6:$B$405,$AP1092)," ","")," ","")),"氏名がマスタと相違／","")&amp;IF(AND($Q1092&lt;&gt;"",INDEX(職員マスタ!$E$6:$E$405,$AP1092)&lt;&gt;"",$Q1092&lt;&gt;INDEX(職員マスタ!$E$6:$E$405,$AP1092)),"子の生年月日がマスタと相違／","")&amp;IF(AND($L1092&lt;&gt;"",INDEX(職員マスタ!$G$6:$G$405,$AP1092)&lt;&gt;"",$L1092&lt;&gt;INDEX(職員マスタ!$G$6:$G$405,$AP1092)),"時短開始日がマスタと相違／","")&amp;IF(AND($M1092&lt;&gt;"",INDEX(職員マスタ!$H$6:$H$405,$AP1092)&lt;&gt;"",$M1092&lt;&gt;INDEX(職員マスタ!$H$6:$H$405,$AP1092)),"時短終了日がマスタと相違／","")))&amp;IF(AND($B1092&lt;&gt;"",$E1092=""),"報酬額が未入力／","")&amp;IF(N($U1092)&gt;0,"申請書に入力エラーが残っています／","")&amp;IF(AND($B1092&lt;&gt;"",$AQ1092&lt;&gt;""),IF(COUNTIFS($B$6:$B$3005,$B1092,$C$6:$C$3005,$C1092,$D$6:$D$3005,$D1092)&gt;1,"同じ月の請求が重複しています／",""),"")&amp;IF(AND(N($E1092)&gt;0,$AB1092&lt;&gt;"",$AB1092&lt;&gt;"×",$AE1092=0,$AD1092=""),"計算額が下限以下のため不支給／",""))</f>
        <v/>
      </c>
      <c r="AN1092" s="12" t="n"/>
      <c r="AO1092" s="14">
        <f>IF($AF1092="保留中",COUNTIF($AF$6:$AF1092,"保留中"),"")</f>
        <v/>
      </c>
      <c r="AP1092" s="14">
        <f>IF($AQ1092="","",IF(SUMPRODUCT(MAX((職員マスタ!$A$6:$A$405=$B1092)*(((職員マスタ!$G$6:$G$405="")+(職員マスタ!$G$6:$G$405&lt;=EOMONTH($AQ1092,0)))&gt;0)*(((職員マスタ!$H$6:$H$405="")+(職員マスタ!$H$6:$H$405&gt;=$AQ1092))&gt;0)*(ROW(職員マスタ!$A$6:$A$405)-5)))&gt;0,SUMPRODUCT(MAX((職員マスタ!$A$6:$A$405=$B1092)*(((職員マスタ!$G$6:$G$405="")+(職員マスタ!$G$6:$G$405&lt;=EOMONTH($AQ1092,0)))&gt;0)*(((職員マスタ!$H$6:$H$405="")+(職員マスタ!$H$6:$H$405&gt;=$AQ1092))&gt;0)*(ROW(職員マスタ!$A$6:$A$405)-5))),IFERROR(MATCH($B1092,職員マスタ!$A$6:$A$405,0),"")))</f>
        <v/>
      </c>
      <c r="AQ1092" s="16">
        <f>IF(OR($B1092="",$C1092="",$D1092=""),"",DATE($C1092+2018,$D1092,1))</f>
        <v/>
      </c>
    </row>
    <row r="1093">
      <c r="A1093" s="11" t="n"/>
      <c r="B1093" s="12" t="n"/>
      <c r="C1093" s="12" t="n"/>
      <c r="D1093" s="12" t="n"/>
      <c r="E1093" s="13" t="n"/>
      <c r="F1093" s="12" t="n"/>
      <c r="G1093" s="13" t="n"/>
      <c r="H1093" s="12" t="n"/>
      <c r="I1093" s="12" t="n"/>
      <c r="J1093" s="12" t="n"/>
      <c r="K1093" s="12" t="n"/>
      <c r="L1093" s="11" t="n"/>
      <c r="M1093" s="11" t="n"/>
      <c r="N1093" s="11" t="n"/>
      <c r="O1093" s="11" t="n"/>
      <c r="P1093" s="12" t="n"/>
      <c r="Q1093" s="11" t="n"/>
      <c r="R1093" s="12" t="n"/>
      <c r="S1093" s="11" t="n"/>
      <c r="T1093" s="12" t="n"/>
      <c r="U1093" s="12" t="n"/>
      <c r="V1093" s="12" t="n"/>
      <c r="W1093" s="13" t="n"/>
      <c r="X1093" s="14">
        <f>IF($AP1093="",IF($B1093="","",$H1093),IF(INDEX(職員マスタ!$B$6:$B$405,$AP1093)="",$H1093,INDEX(職員マスタ!$B$6:$B$405,$AP1093)))</f>
        <v/>
      </c>
      <c r="Y1093" s="14">
        <f>IF($AP1093="",IF($B1093="","",$R1093),IF(INDEX(職員マスタ!$C$6:$C$405,$AP1093)="",$R1093,INDEX(職員マスタ!$C$6:$C$405,$AP1093)))</f>
        <v/>
      </c>
      <c r="Z1093" s="14">
        <f>IF($AQ1093="","","R"&amp;$C1093&amp;"."&amp;$D1093)</f>
        <v/>
      </c>
      <c r="AA1093" s="15">
        <f>IF(IF($AP1093="",FALSE,INDEX(職員マスタ!$K$6:$K$405,$AP1093)&lt;&gt;""),INDEX(職員マスタ!$K$6:$K$405,$AP1093),IF(N($W1093)&gt;0,$W1093,""))</f>
        <v/>
      </c>
      <c r="AB1093" s="14">
        <f>IF(OR($E1093="",$AA1093=""),"",IF($E1093&gt;=$AA1093,"×",IF($E1093&gt;=$AA1093*設定!$C$5,"△","○")))</f>
        <v/>
      </c>
      <c r="AC1093" s="15">
        <f>IF($AB1093="","",IF($AB1093="×",0,IF($AB1093="○",ROUNDDOWN($E1093*設定!$C$4,0),ROUNDDOWN($E1093*ROUND((9*$AA1093-9*$E1093)/(10*$E1093),4),0))))</f>
        <v/>
      </c>
      <c r="AD1093" s="13" t="n"/>
      <c r="AE1093" s="15">
        <f>IF($B1093="","",IF($AD1093&lt;&gt;"",$AD1093,IF($AC1093="","",IF($AC1093&lt;=設定!$C$3,0,$AC1093))))</f>
        <v/>
      </c>
      <c r="AF1093" s="14">
        <f>IF($B1093="","",IF(AND($AG1093&lt;&gt;"",$AI1093="",$AL1093=""),"保留中",IF($AL1093&lt;&gt;"",IF(N($AE1093)&gt;0,"支給済","不支給"),IF($AE1093="","要確認",IF($AE1093=0,"不支給","未処理")))))</f>
        <v/>
      </c>
      <c r="AG1093" s="12" t="n"/>
      <c r="AH1093" s="11" t="n"/>
      <c r="AI1093" s="11" t="n"/>
      <c r="AJ1093" s="11" t="n"/>
      <c r="AK1093" s="14">
        <f>IF(AND($AF1093="保留中",$AH1093&lt;&gt;""),TODAY()-$AH1093,"")</f>
        <v/>
      </c>
      <c r="AL1093" s="12" t="n"/>
      <c r="AM1093" s="14">
        <f>IF($B1093="","",IF($AQ1093="","対象年月が未入力／","")&amp;IF($B1093="","",IF($AP1093="","職員マスタに未登録の職員番号／",IF($AA1093="","標準報酬月額が未登録／","")&amp;IF(AND($AQ1093&lt;&gt;"",OR(AND(INDEX(職員マスタ!$G$6:$G$405,$AP1093)&lt;&gt;"",INDEX(職員マスタ!$G$6:$G$405,$AP1093)&gt;EOMONTH($AQ1093,0)),AND(INDEX(職員マスタ!$H$6:$H$405,$AP1093)&lt;&gt;"",INDEX(職員マスタ!$H$6:$H$405,$AP1093)&lt;$AQ1093))),"対象月が時短期間外／","")&amp;IF(AND(INDEX(職員マスタ!$K$6:$K$405,$AP1093)&lt;&gt;"",N($W1093)&gt;0,INDEX(職員マスタ!$K$6:$K$405,$AP1093)&lt;&gt;$W1093),"標準報酬月額が申請書と相違（台帳"&amp;TEXT(INDEX(職員マスタ!$K$6:$K$405,$AP1093),"#,##0")&amp;"円／申請書"&amp;TEXT($W1093,"#,##0")&amp;"円）／","")&amp;IF(AND(INDEX(職員マスタ!$F$6:$F$405,$AP1093)&lt;&gt;"",$AQ1093&lt;&gt;"",INDEX(職員マスタ!$F$6:$F$405,$AP1093)&lt;$AQ1093),"対象月に子が2歳到達済／","")&amp;IF(AND($H1093&lt;&gt;"",INDEX(職員マスタ!$B$6:$B$405,$AP1093)&lt;&gt;"",SUBSTITUTE(SUBSTITUTE($H1093," ","")," ","")&lt;&gt;SUBSTITUTE(SUBSTITUTE(INDEX(職員マスタ!$B$6:$B$405,$AP1093)," ","")," ","")),"氏名がマスタと相違／","")&amp;IF(AND($Q1093&lt;&gt;"",INDEX(職員マスタ!$E$6:$E$405,$AP1093)&lt;&gt;"",$Q1093&lt;&gt;INDEX(職員マスタ!$E$6:$E$405,$AP1093)),"子の生年月日がマスタと相違／","")&amp;IF(AND($L1093&lt;&gt;"",INDEX(職員マスタ!$G$6:$G$405,$AP1093)&lt;&gt;"",$L1093&lt;&gt;INDEX(職員マスタ!$G$6:$G$405,$AP1093)),"時短開始日がマスタと相違／","")&amp;IF(AND($M1093&lt;&gt;"",INDEX(職員マスタ!$H$6:$H$405,$AP1093)&lt;&gt;"",$M1093&lt;&gt;INDEX(職員マスタ!$H$6:$H$405,$AP1093)),"時短終了日がマスタと相違／","")))&amp;IF(AND($B1093&lt;&gt;"",$E1093=""),"報酬額が未入力／","")&amp;IF(N($U1093)&gt;0,"申請書に入力エラーが残っています／","")&amp;IF(AND($B1093&lt;&gt;"",$AQ1093&lt;&gt;""),IF(COUNTIFS($B$6:$B$3005,$B1093,$C$6:$C$3005,$C1093,$D$6:$D$3005,$D1093)&gt;1,"同じ月の請求が重複しています／",""),"")&amp;IF(AND(N($E1093)&gt;0,$AB1093&lt;&gt;"",$AB1093&lt;&gt;"×",$AE1093=0,$AD1093=""),"計算額が下限以下のため不支給／",""))</f>
        <v/>
      </c>
      <c r="AN1093" s="12" t="n"/>
      <c r="AO1093" s="14">
        <f>IF($AF1093="保留中",COUNTIF($AF$6:$AF1093,"保留中"),"")</f>
        <v/>
      </c>
      <c r="AP1093" s="14">
        <f>IF($AQ1093="","",IF(SUMPRODUCT(MAX((職員マスタ!$A$6:$A$405=$B1093)*(((職員マスタ!$G$6:$G$405="")+(職員マスタ!$G$6:$G$405&lt;=EOMONTH($AQ1093,0)))&gt;0)*(((職員マスタ!$H$6:$H$405="")+(職員マスタ!$H$6:$H$405&gt;=$AQ1093))&gt;0)*(ROW(職員マスタ!$A$6:$A$405)-5)))&gt;0,SUMPRODUCT(MAX((職員マスタ!$A$6:$A$405=$B1093)*(((職員マスタ!$G$6:$G$405="")+(職員マスタ!$G$6:$G$405&lt;=EOMONTH($AQ1093,0)))&gt;0)*(((職員マスタ!$H$6:$H$405="")+(職員マスタ!$H$6:$H$405&gt;=$AQ1093))&gt;0)*(ROW(職員マスタ!$A$6:$A$405)-5))),IFERROR(MATCH($B1093,職員マスタ!$A$6:$A$405,0),"")))</f>
        <v/>
      </c>
      <c r="AQ1093" s="16">
        <f>IF(OR($B1093="",$C1093="",$D1093=""),"",DATE($C1093+2018,$D1093,1))</f>
        <v/>
      </c>
    </row>
    <row r="1094">
      <c r="A1094" s="11" t="n"/>
      <c r="B1094" s="12" t="n"/>
      <c r="C1094" s="12" t="n"/>
      <c r="D1094" s="12" t="n"/>
      <c r="E1094" s="13" t="n"/>
      <c r="F1094" s="12" t="n"/>
      <c r="G1094" s="13" t="n"/>
      <c r="H1094" s="12" t="n"/>
      <c r="I1094" s="12" t="n"/>
      <c r="J1094" s="12" t="n"/>
      <c r="K1094" s="12" t="n"/>
      <c r="L1094" s="11" t="n"/>
      <c r="M1094" s="11" t="n"/>
      <c r="N1094" s="11" t="n"/>
      <c r="O1094" s="11" t="n"/>
      <c r="P1094" s="12" t="n"/>
      <c r="Q1094" s="11" t="n"/>
      <c r="R1094" s="12" t="n"/>
      <c r="S1094" s="11" t="n"/>
      <c r="T1094" s="12" t="n"/>
      <c r="U1094" s="12" t="n"/>
      <c r="V1094" s="12" t="n"/>
      <c r="W1094" s="13" t="n"/>
      <c r="X1094" s="14">
        <f>IF($AP1094="",IF($B1094="","",$H1094),IF(INDEX(職員マスタ!$B$6:$B$405,$AP1094)="",$H1094,INDEX(職員マスタ!$B$6:$B$405,$AP1094)))</f>
        <v/>
      </c>
      <c r="Y1094" s="14">
        <f>IF($AP1094="",IF($B1094="","",$R1094),IF(INDEX(職員マスタ!$C$6:$C$405,$AP1094)="",$R1094,INDEX(職員マスタ!$C$6:$C$405,$AP1094)))</f>
        <v/>
      </c>
      <c r="Z1094" s="14">
        <f>IF($AQ1094="","","R"&amp;$C1094&amp;"."&amp;$D1094)</f>
        <v/>
      </c>
      <c r="AA1094" s="15">
        <f>IF(IF($AP1094="",FALSE,INDEX(職員マスタ!$K$6:$K$405,$AP1094)&lt;&gt;""),INDEX(職員マスタ!$K$6:$K$405,$AP1094),IF(N($W1094)&gt;0,$W1094,""))</f>
        <v/>
      </c>
      <c r="AB1094" s="14">
        <f>IF(OR($E1094="",$AA1094=""),"",IF($E1094&gt;=$AA1094,"×",IF($E1094&gt;=$AA1094*設定!$C$5,"△","○")))</f>
        <v/>
      </c>
      <c r="AC1094" s="15">
        <f>IF($AB1094="","",IF($AB1094="×",0,IF($AB1094="○",ROUNDDOWN($E1094*設定!$C$4,0),ROUNDDOWN($E1094*ROUND((9*$AA1094-9*$E1094)/(10*$E1094),4),0))))</f>
        <v/>
      </c>
      <c r="AD1094" s="13" t="n"/>
      <c r="AE1094" s="15">
        <f>IF($B1094="","",IF($AD1094&lt;&gt;"",$AD1094,IF($AC1094="","",IF($AC1094&lt;=設定!$C$3,0,$AC1094))))</f>
        <v/>
      </c>
      <c r="AF1094" s="14">
        <f>IF($B1094="","",IF(AND($AG1094&lt;&gt;"",$AI1094="",$AL1094=""),"保留中",IF($AL1094&lt;&gt;"",IF(N($AE1094)&gt;0,"支給済","不支給"),IF($AE1094="","要確認",IF($AE1094=0,"不支給","未処理")))))</f>
        <v/>
      </c>
      <c r="AG1094" s="12" t="n"/>
      <c r="AH1094" s="11" t="n"/>
      <c r="AI1094" s="11" t="n"/>
      <c r="AJ1094" s="11" t="n"/>
      <c r="AK1094" s="14">
        <f>IF(AND($AF1094="保留中",$AH1094&lt;&gt;""),TODAY()-$AH1094,"")</f>
        <v/>
      </c>
      <c r="AL1094" s="12" t="n"/>
      <c r="AM1094" s="14">
        <f>IF($B1094="","",IF($AQ1094="","対象年月が未入力／","")&amp;IF($B1094="","",IF($AP1094="","職員マスタに未登録の職員番号／",IF($AA1094="","標準報酬月額が未登録／","")&amp;IF(AND($AQ1094&lt;&gt;"",OR(AND(INDEX(職員マスタ!$G$6:$G$405,$AP1094)&lt;&gt;"",INDEX(職員マスタ!$G$6:$G$405,$AP1094)&gt;EOMONTH($AQ1094,0)),AND(INDEX(職員マスタ!$H$6:$H$405,$AP1094)&lt;&gt;"",INDEX(職員マスタ!$H$6:$H$405,$AP1094)&lt;$AQ1094))),"対象月が時短期間外／","")&amp;IF(AND(INDEX(職員マスタ!$K$6:$K$405,$AP1094)&lt;&gt;"",N($W1094)&gt;0,INDEX(職員マスタ!$K$6:$K$405,$AP1094)&lt;&gt;$W1094),"標準報酬月額が申請書と相違（台帳"&amp;TEXT(INDEX(職員マスタ!$K$6:$K$405,$AP1094),"#,##0")&amp;"円／申請書"&amp;TEXT($W1094,"#,##0")&amp;"円）／","")&amp;IF(AND(INDEX(職員マスタ!$F$6:$F$405,$AP1094)&lt;&gt;"",$AQ1094&lt;&gt;"",INDEX(職員マスタ!$F$6:$F$405,$AP1094)&lt;$AQ1094),"対象月に子が2歳到達済／","")&amp;IF(AND($H1094&lt;&gt;"",INDEX(職員マスタ!$B$6:$B$405,$AP1094)&lt;&gt;"",SUBSTITUTE(SUBSTITUTE($H1094," ","")," ","")&lt;&gt;SUBSTITUTE(SUBSTITUTE(INDEX(職員マスタ!$B$6:$B$405,$AP1094)," ","")," ","")),"氏名がマスタと相違／","")&amp;IF(AND($Q1094&lt;&gt;"",INDEX(職員マスタ!$E$6:$E$405,$AP1094)&lt;&gt;"",$Q1094&lt;&gt;INDEX(職員マスタ!$E$6:$E$405,$AP1094)),"子の生年月日がマスタと相違／","")&amp;IF(AND($L1094&lt;&gt;"",INDEX(職員マスタ!$G$6:$G$405,$AP1094)&lt;&gt;"",$L1094&lt;&gt;INDEX(職員マスタ!$G$6:$G$405,$AP1094)),"時短開始日がマスタと相違／","")&amp;IF(AND($M1094&lt;&gt;"",INDEX(職員マスタ!$H$6:$H$405,$AP1094)&lt;&gt;"",$M1094&lt;&gt;INDEX(職員マスタ!$H$6:$H$405,$AP1094)),"時短終了日がマスタと相違／","")))&amp;IF(AND($B1094&lt;&gt;"",$E1094=""),"報酬額が未入力／","")&amp;IF(N($U1094)&gt;0,"申請書に入力エラーが残っています／","")&amp;IF(AND($B1094&lt;&gt;"",$AQ1094&lt;&gt;""),IF(COUNTIFS($B$6:$B$3005,$B1094,$C$6:$C$3005,$C1094,$D$6:$D$3005,$D1094)&gt;1,"同じ月の請求が重複しています／",""),"")&amp;IF(AND(N($E1094)&gt;0,$AB1094&lt;&gt;"",$AB1094&lt;&gt;"×",$AE1094=0,$AD1094=""),"計算額が下限以下のため不支給／",""))</f>
        <v/>
      </c>
      <c r="AN1094" s="12" t="n"/>
      <c r="AO1094" s="14">
        <f>IF($AF1094="保留中",COUNTIF($AF$6:$AF1094,"保留中"),"")</f>
        <v/>
      </c>
      <c r="AP1094" s="14">
        <f>IF($AQ1094="","",IF(SUMPRODUCT(MAX((職員マスタ!$A$6:$A$405=$B1094)*(((職員マスタ!$G$6:$G$405="")+(職員マスタ!$G$6:$G$405&lt;=EOMONTH($AQ1094,0)))&gt;0)*(((職員マスタ!$H$6:$H$405="")+(職員マスタ!$H$6:$H$405&gt;=$AQ1094))&gt;0)*(ROW(職員マスタ!$A$6:$A$405)-5)))&gt;0,SUMPRODUCT(MAX((職員マスタ!$A$6:$A$405=$B1094)*(((職員マスタ!$G$6:$G$405="")+(職員マスタ!$G$6:$G$405&lt;=EOMONTH($AQ1094,0)))&gt;0)*(((職員マスタ!$H$6:$H$405="")+(職員マスタ!$H$6:$H$405&gt;=$AQ1094))&gt;0)*(ROW(職員マスタ!$A$6:$A$405)-5))),IFERROR(MATCH($B1094,職員マスタ!$A$6:$A$405,0),"")))</f>
        <v/>
      </c>
      <c r="AQ1094" s="16">
        <f>IF(OR($B1094="",$C1094="",$D1094=""),"",DATE($C1094+2018,$D1094,1))</f>
        <v/>
      </c>
    </row>
    <row r="1095">
      <c r="A1095" s="11" t="n"/>
      <c r="B1095" s="12" t="n"/>
      <c r="C1095" s="12" t="n"/>
      <c r="D1095" s="12" t="n"/>
      <c r="E1095" s="13" t="n"/>
      <c r="F1095" s="12" t="n"/>
      <c r="G1095" s="13" t="n"/>
      <c r="H1095" s="12" t="n"/>
      <c r="I1095" s="12" t="n"/>
      <c r="J1095" s="12" t="n"/>
      <c r="K1095" s="12" t="n"/>
      <c r="L1095" s="11" t="n"/>
      <c r="M1095" s="11" t="n"/>
      <c r="N1095" s="11" t="n"/>
      <c r="O1095" s="11" t="n"/>
      <c r="P1095" s="12" t="n"/>
      <c r="Q1095" s="11" t="n"/>
      <c r="R1095" s="12" t="n"/>
      <c r="S1095" s="11" t="n"/>
      <c r="T1095" s="12" t="n"/>
      <c r="U1095" s="12" t="n"/>
      <c r="V1095" s="12" t="n"/>
      <c r="W1095" s="13" t="n"/>
      <c r="X1095" s="14">
        <f>IF($AP1095="",IF($B1095="","",$H1095),IF(INDEX(職員マスタ!$B$6:$B$405,$AP1095)="",$H1095,INDEX(職員マスタ!$B$6:$B$405,$AP1095)))</f>
        <v/>
      </c>
      <c r="Y1095" s="14">
        <f>IF($AP1095="",IF($B1095="","",$R1095),IF(INDEX(職員マスタ!$C$6:$C$405,$AP1095)="",$R1095,INDEX(職員マスタ!$C$6:$C$405,$AP1095)))</f>
        <v/>
      </c>
      <c r="Z1095" s="14">
        <f>IF($AQ1095="","","R"&amp;$C1095&amp;"."&amp;$D1095)</f>
        <v/>
      </c>
      <c r="AA1095" s="15">
        <f>IF(IF($AP1095="",FALSE,INDEX(職員マスタ!$K$6:$K$405,$AP1095)&lt;&gt;""),INDEX(職員マスタ!$K$6:$K$405,$AP1095),IF(N($W1095)&gt;0,$W1095,""))</f>
        <v/>
      </c>
      <c r="AB1095" s="14">
        <f>IF(OR($E1095="",$AA1095=""),"",IF($E1095&gt;=$AA1095,"×",IF($E1095&gt;=$AA1095*設定!$C$5,"△","○")))</f>
        <v/>
      </c>
      <c r="AC1095" s="15">
        <f>IF($AB1095="","",IF($AB1095="×",0,IF($AB1095="○",ROUNDDOWN($E1095*設定!$C$4,0),ROUNDDOWN($E1095*ROUND((9*$AA1095-9*$E1095)/(10*$E1095),4),0))))</f>
        <v/>
      </c>
      <c r="AD1095" s="13" t="n"/>
      <c r="AE1095" s="15">
        <f>IF($B1095="","",IF($AD1095&lt;&gt;"",$AD1095,IF($AC1095="","",IF($AC1095&lt;=設定!$C$3,0,$AC1095))))</f>
        <v/>
      </c>
      <c r="AF1095" s="14">
        <f>IF($B1095="","",IF(AND($AG1095&lt;&gt;"",$AI1095="",$AL1095=""),"保留中",IF($AL1095&lt;&gt;"",IF(N($AE1095)&gt;0,"支給済","不支給"),IF($AE1095="","要確認",IF($AE1095=0,"不支給","未処理")))))</f>
        <v/>
      </c>
      <c r="AG1095" s="12" t="n"/>
      <c r="AH1095" s="11" t="n"/>
      <c r="AI1095" s="11" t="n"/>
      <c r="AJ1095" s="11" t="n"/>
      <c r="AK1095" s="14">
        <f>IF(AND($AF1095="保留中",$AH1095&lt;&gt;""),TODAY()-$AH1095,"")</f>
        <v/>
      </c>
      <c r="AL1095" s="12" t="n"/>
      <c r="AM1095" s="14">
        <f>IF($B1095="","",IF($AQ1095="","対象年月が未入力／","")&amp;IF($B1095="","",IF($AP1095="","職員マスタに未登録の職員番号／",IF($AA1095="","標準報酬月額が未登録／","")&amp;IF(AND($AQ1095&lt;&gt;"",OR(AND(INDEX(職員マスタ!$G$6:$G$405,$AP1095)&lt;&gt;"",INDEX(職員マスタ!$G$6:$G$405,$AP1095)&gt;EOMONTH($AQ1095,0)),AND(INDEX(職員マスタ!$H$6:$H$405,$AP1095)&lt;&gt;"",INDEX(職員マスタ!$H$6:$H$405,$AP1095)&lt;$AQ1095))),"対象月が時短期間外／","")&amp;IF(AND(INDEX(職員マスタ!$K$6:$K$405,$AP1095)&lt;&gt;"",N($W1095)&gt;0,INDEX(職員マスタ!$K$6:$K$405,$AP1095)&lt;&gt;$W1095),"標準報酬月額が申請書と相違（台帳"&amp;TEXT(INDEX(職員マスタ!$K$6:$K$405,$AP1095),"#,##0")&amp;"円／申請書"&amp;TEXT($W1095,"#,##0")&amp;"円）／","")&amp;IF(AND(INDEX(職員マスタ!$F$6:$F$405,$AP1095)&lt;&gt;"",$AQ1095&lt;&gt;"",INDEX(職員マスタ!$F$6:$F$405,$AP1095)&lt;$AQ1095),"対象月に子が2歳到達済／","")&amp;IF(AND($H1095&lt;&gt;"",INDEX(職員マスタ!$B$6:$B$405,$AP1095)&lt;&gt;"",SUBSTITUTE(SUBSTITUTE($H1095," ","")," ","")&lt;&gt;SUBSTITUTE(SUBSTITUTE(INDEX(職員マスタ!$B$6:$B$405,$AP1095)," ","")," ","")),"氏名がマスタと相違／","")&amp;IF(AND($Q1095&lt;&gt;"",INDEX(職員マスタ!$E$6:$E$405,$AP1095)&lt;&gt;"",$Q1095&lt;&gt;INDEX(職員マスタ!$E$6:$E$405,$AP1095)),"子の生年月日がマスタと相違／","")&amp;IF(AND($L1095&lt;&gt;"",INDEX(職員マスタ!$G$6:$G$405,$AP1095)&lt;&gt;"",$L1095&lt;&gt;INDEX(職員マスタ!$G$6:$G$405,$AP1095)),"時短開始日がマスタと相違／","")&amp;IF(AND($M1095&lt;&gt;"",INDEX(職員マスタ!$H$6:$H$405,$AP1095)&lt;&gt;"",$M1095&lt;&gt;INDEX(職員マスタ!$H$6:$H$405,$AP1095)),"時短終了日がマスタと相違／","")))&amp;IF(AND($B1095&lt;&gt;"",$E1095=""),"報酬額が未入力／","")&amp;IF(N($U1095)&gt;0,"申請書に入力エラーが残っています／","")&amp;IF(AND($B1095&lt;&gt;"",$AQ1095&lt;&gt;""),IF(COUNTIFS($B$6:$B$3005,$B1095,$C$6:$C$3005,$C1095,$D$6:$D$3005,$D1095)&gt;1,"同じ月の請求が重複しています／",""),"")&amp;IF(AND(N($E1095)&gt;0,$AB1095&lt;&gt;"",$AB1095&lt;&gt;"×",$AE1095=0,$AD1095=""),"計算額が下限以下のため不支給／",""))</f>
        <v/>
      </c>
      <c r="AN1095" s="12" t="n"/>
      <c r="AO1095" s="14">
        <f>IF($AF1095="保留中",COUNTIF($AF$6:$AF1095,"保留中"),"")</f>
        <v/>
      </c>
      <c r="AP1095" s="14">
        <f>IF($AQ1095="","",IF(SUMPRODUCT(MAX((職員マスタ!$A$6:$A$405=$B1095)*(((職員マスタ!$G$6:$G$405="")+(職員マスタ!$G$6:$G$405&lt;=EOMONTH($AQ1095,0)))&gt;0)*(((職員マスタ!$H$6:$H$405="")+(職員マスタ!$H$6:$H$405&gt;=$AQ1095))&gt;0)*(ROW(職員マスタ!$A$6:$A$405)-5)))&gt;0,SUMPRODUCT(MAX((職員マスタ!$A$6:$A$405=$B1095)*(((職員マスタ!$G$6:$G$405="")+(職員マスタ!$G$6:$G$405&lt;=EOMONTH($AQ1095,0)))&gt;0)*(((職員マスタ!$H$6:$H$405="")+(職員マスタ!$H$6:$H$405&gt;=$AQ1095))&gt;0)*(ROW(職員マスタ!$A$6:$A$405)-5))),IFERROR(MATCH($B1095,職員マスタ!$A$6:$A$405,0),"")))</f>
        <v/>
      </c>
      <c r="AQ1095" s="16">
        <f>IF(OR($B1095="",$C1095="",$D1095=""),"",DATE($C1095+2018,$D1095,1))</f>
        <v/>
      </c>
    </row>
    <row r="1096">
      <c r="A1096" s="11" t="n"/>
      <c r="B1096" s="12" t="n"/>
      <c r="C1096" s="12" t="n"/>
      <c r="D1096" s="12" t="n"/>
      <c r="E1096" s="13" t="n"/>
      <c r="F1096" s="12" t="n"/>
      <c r="G1096" s="13" t="n"/>
      <c r="H1096" s="12" t="n"/>
      <c r="I1096" s="12" t="n"/>
      <c r="J1096" s="12" t="n"/>
      <c r="K1096" s="12" t="n"/>
      <c r="L1096" s="11" t="n"/>
      <c r="M1096" s="11" t="n"/>
      <c r="N1096" s="11" t="n"/>
      <c r="O1096" s="11" t="n"/>
      <c r="P1096" s="12" t="n"/>
      <c r="Q1096" s="11" t="n"/>
      <c r="R1096" s="12" t="n"/>
      <c r="S1096" s="11" t="n"/>
      <c r="T1096" s="12" t="n"/>
      <c r="U1096" s="12" t="n"/>
      <c r="V1096" s="12" t="n"/>
      <c r="W1096" s="13" t="n"/>
      <c r="X1096" s="14">
        <f>IF($AP1096="",IF($B1096="","",$H1096),IF(INDEX(職員マスタ!$B$6:$B$405,$AP1096)="",$H1096,INDEX(職員マスタ!$B$6:$B$405,$AP1096)))</f>
        <v/>
      </c>
      <c r="Y1096" s="14">
        <f>IF($AP1096="",IF($B1096="","",$R1096),IF(INDEX(職員マスタ!$C$6:$C$405,$AP1096)="",$R1096,INDEX(職員マスタ!$C$6:$C$405,$AP1096)))</f>
        <v/>
      </c>
      <c r="Z1096" s="14">
        <f>IF($AQ1096="","","R"&amp;$C1096&amp;"."&amp;$D1096)</f>
        <v/>
      </c>
      <c r="AA1096" s="15">
        <f>IF(IF($AP1096="",FALSE,INDEX(職員マスタ!$K$6:$K$405,$AP1096)&lt;&gt;""),INDEX(職員マスタ!$K$6:$K$405,$AP1096),IF(N($W1096)&gt;0,$W1096,""))</f>
        <v/>
      </c>
      <c r="AB1096" s="14">
        <f>IF(OR($E1096="",$AA1096=""),"",IF($E1096&gt;=$AA1096,"×",IF($E1096&gt;=$AA1096*設定!$C$5,"△","○")))</f>
        <v/>
      </c>
      <c r="AC1096" s="15">
        <f>IF($AB1096="","",IF($AB1096="×",0,IF($AB1096="○",ROUNDDOWN($E1096*設定!$C$4,0),ROUNDDOWN($E1096*ROUND((9*$AA1096-9*$E1096)/(10*$E1096),4),0))))</f>
        <v/>
      </c>
      <c r="AD1096" s="13" t="n"/>
      <c r="AE1096" s="15">
        <f>IF($B1096="","",IF($AD1096&lt;&gt;"",$AD1096,IF($AC1096="","",IF($AC1096&lt;=設定!$C$3,0,$AC1096))))</f>
        <v/>
      </c>
      <c r="AF1096" s="14">
        <f>IF($B1096="","",IF(AND($AG1096&lt;&gt;"",$AI1096="",$AL1096=""),"保留中",IF($AL1096&lt;&gt;"",IF(N($AE1096)&gt;0,"支給済","不支給"),IF($AE1096="","要確認",IF($AE1096=0,"不支給","未処理")))))</f>
        <v/>
      </c>
      <c r="AG1096" s="12" t="n"/>
      <c r="AH1096" s="11" t="n"/>
      <c r="AI1096" s="11" t="n"/>
      <c r="AJ1096" s="11" t="n"/>
      <c r="AK1096" s="14">
        <f>IF(AND($AF1096="保留中",$AH1096&lt;&gt;""),TODAY()-$AH1096,"")</f>
        <v/>
      </c>
      <c r="AL1096" s="12" t="n"/>
      <c r="AM1096" s="14">
        <f>IF($B1096="","",IF($AQ1096="","対象年月が未入力／","")&amp;IF($B1096="","",IF($AP1096="","職員マスタに未登録の職員番号／",IF($AA1096="","標準報酬月額が未登録／","")&amp;IF(AND($AQ1096&lt;&gt;"",OR(AND(INDEX(職員マスタ!$G$6:$G$405,$AP1096)&lt;&gt;"",INDEX(職員マスタ!$G$6:$G$405,$AP1096)&gt;EOMONTH($AQ1096,0)),AND(INDEX(職員マスタ!$H$6:$H$405,$AP1096)&lt;&gt;"",INDEX(職員マスタ!$H$6:$H$405,$AP1096)&lt;$AQ1096))),"対象月が時短期間外／","")&amp;IF(AND(INDEX(職員マスタ!$K$6:$K$405,$AP1096)&lt;&gt;"",N($W1096)&gt;0,INDEX(職員マスタ!$K$6:$K$405,$AP1096)&lt;&gt;$W1096),"標準報酬月額が申請書と相違（台帳"&amp;TEXT(INDEX(職員マスタ!$K$6:$K$405,$AP1096),"#,##0")&amp;"円／申請書"&amp;TEXT($W1096,"#,##0")&amp;"円）／","")&amp;IF(AND(INDEX(職員マスタ!$F$6:$F$405,$AP1096)&lt;&gt;"",$AQ1096&lt;&gt;"",INDEX(職員マスタ!$F$6:$F$405,$AP1096)&lt;$AQ1096),"対象月に子が2歳到達済／","")&amp;IF(AND($H1096&lt;&gt;"",INDEX(職員マスタ!$B$6:$B$405,$AP1096)&lt;&gt;"",SUBSTITUTE(SUBSTITUTE($H1096," ","")," ","")&lt;&gt;SUBSTITUTE(SUBSTITUTE(INDEX(職員マスタ!$B$6:$B$405,$AP1096)," ","")," ","")),"氏名がマスタと相違／","")&amp;IF(AND($Q1096&lt;&gt;"",INDEX(職員マスタ!$E$6:$E$405,$AP1096)&lt;&gt;"",$Q1096&lt;&gt;INDEX(職員マスタ!$E$6:$E$405,$AP1096)),"子の生年月日がマスタと相違／","")&amp;IF(AND($L1096&lt;&gt;"",INDEX(職員マスタ!$G$6:$G$405,$AP1096)&lt;&gt;"",$L1096&lt;&gt;INDEX(職員マスタ!$G$6:$G$405,$AP1096)),"時短開始日がマスタと相違／","")&amp;IF(AND($M1096&lt;&gt;"",INDEX(職員マスタ!$H$6:$H$405,$AP1096)&lt;&gt;"",$M1096&lt;&gt;INDEX(職員マスタ!$H$6:$H$405,$AP1096)),"時短終了日がマスタと相違／","")))&amp;IF(AND($B1096&lt;&gt;"",$E1096=""),"報酬額が未入力／","")&amp;IF(N($U1096)&gt;0,"申請書に入力エラーが残っています／","")&amp;IF(AND($B1096&lt;&gt;"",$AQ1096&lt;&gt;""),IF(COUNTIFS($B$6:$B$3005,$B1096,$C$6:$C$3005,$C1096,$D$6:$D$3005,$D1096)&gt;1,"同じ月の請求が重複しています／",""),"")&amp;IF(AND(N($E1096)&gt;0,$AB1096&lt;&gt;"",$AB1096&lt;&gt;"×",$AE1096=0,$AD1096=""),"計算額が下限以下のため不支給／",""))</f>
        <v/>
      </c>
      <c r="AN1096" s="12" t="n"/>
      <c r="AO1096" s="14">
        <f>IF($AF1096="保留中",COUNTIF($AF$6:$AF1096,"保留中"),"")</f>
        <v/>
      </c>
      <c r="AP1096" s="14">
        <f>IF($AQ1096="","",IF(SUMPRODUCT(MAX((職員マスタ!$A$6:$A$405=$B1096)*(((職員マスタ!$G$6:$G$405="")+(職員マスタ!$G$6:$G$405&lt;=EOMONTH($AQ1096,0)))&gt;0)*(((職員マスタ!$H$6:$H$405="")+(職員マスタ!$H$6:$H$405&gt;=$AQ1096))&gt;0)*(ROW(職員マスタ!$A$6:$A$405)-5)))&gt;0,SUMPRODUCT(MAX((職員マスタ!$A$6:$A$405=$B1096)*(((職員マスタ!$G$6:$G$405="")+(職員マスタ!$G$6:$G$405&lt;=EOMONTH($AQ1096,0)))&gt;0)*(((職員マスタ!$H$6:$H$405="")+(職員マスタ!$H$6:$H$405&gt;=$AQ1096))&gt;0)*(ROW(職員マスタ!$A$6:$A$405)-5))),IFERROR(MATCH($B1096,職員マスタ!$A$6:$A$405,0),"")))</f>
        <v/>
      </c>
      <c r="AQ1096" s="16">
        <f>IF(OR($B1096="",$C1096="",$D1096=""),"",DATE($C1096+2018,$D1096,1))</f>
        <v/>
      </c>
    </row>
    <row r="1097">
      <c r="A1097" s="11" t="n"/>
      <c r="B1097" s="12" t="n"/>
      <c r="C1097" s="12" t="n"/>
      <c r="D1097" s="12" t="n"/>
      <c r="E1097" s="13" t="n"/>
      <c r="F1097" s="12" t="n"/>
      <c r="G1097" s="13" t="n"/>
      <c r="H1097" s="12" t="n"/>
      <c r="I1097" s="12" t="n"/>
      <c r="J1097" s="12" t="n"/>
      <c r="K1097" s="12" t="n"/>
      <c r="L1097" s="11" t="n"/>
      <c r="M1097" s="11" t="n"/>
      <c r="N1097" s="11" t="n"/>
      <c r="O1097" s="11" t="n"/>
      <c r="P1097" s="12" t="n"/>
      <c r="Q1097" s="11" t="n"/>
      <c r="R1097" s="12" t="n"/>
      <c r="S1097" s="11" t="n"/>
      <c r="T1097" s="12" t="n"/>
      <c r="U1097" s="12" t="n"/>
      <c r="V1097" s="12" t="n"/>
      <c r="W1097" s="13" t="n"/>
      <c r="X1097" s="14">
        <f>IF($AP1097="",IF($B1097="","",$H1097),IF(INDEX(職員マスタ!$B$6:$B$405,$AP1097)="",$H1097,INDEX(職員マスタ!$B$6:$B$405,$AP1097)))</f>
        <v/>
      </c>
      <c r="Y1097" s="14">
        <f>IF($AP1097="",IF($B1097="","",$R1097),IF(INDEX(職員マスタ!$C$6:$C$405,$AP1097)="",$R1097,INDEX(職員マスタ!$C$6:$C$405,$AP1097)))</f>
        <v/>
      </c>
      <c r="Z1097" s="14">
        <f>IF($AQ1097="","","R"&amp;$C1097&amp;"."&amp;$D1097)</f>
        <v/>
      </c>
      <c r="AA1097" s="15">
        <f>IF(IF($AP1097="",FALSE,INDEX(職員マスタ!$K$6:$K$405,$AP1097)&lt;&gt;""),INDEX(職員マスタ!$K$6:$K$405,$AP1097),IF(N($W1097)&gt;0,$W1097,""))</f>
        <v/>
      </c>
      <c r="AB1097" s="14">
        <f>IF(OR($E1097="",$AA1097=""),"",IF($E1097&gt;=$AA1097,"×",IF($E1097&gt;=$AA1097*設定!$C$5,"△","○")))</f>
        <v/>
      </c>
      <c r="AC1097" s="15">
        <f>IF($AB1097="","",IF($AB1097="×",0,IF($AB1097="○",ROUNDDOWN($E1097*設定!$C$4,0),ROUNDDOWN($E1097*ROUND((9*$AA1097-9*$E1097)/(10*$E1097),4),0))))</f>
        <v/>
      </c>
      <c r="AD1097" s="13" t="n"/>
      <c r="AE1097" s="15">
        <f>IF($B1097="","",IF($AD1097&lt;&gt;"",$AD1097,IF($AC1097="","",IF($AC1097&lt;=設定!$C$3,0,$AC1097))))</f>
        <v/>
      </c>
      <c r="AF1097" s="14">
        <f>IF($B1097="","",IF(AND($AG1097&lt;&gt;"",$AI1097="",$AL1097=""),"保留中",IF($AL1097&lt;&gt;"",IF(N($AE1097)&gt;0,"支給済","不支給"),IF($AE1097="","要確認",IF($AE1097=0,"不支給","未処理")))))</f>
        <v/>
      </c>
      <c r="AG1097" s="12" t="n"/>
      <c r="AH1097" s="11" t="n"/>
      <c r="AI1097" s="11" t="n"/>
      <c r="AJ1097" s="11" t="n"/>
      <c r="AK1097" s="14">
        <f>IF(AND($AF1097="保留中",$AH1097&lt;&gt;""),TODAY()-$AH1097,"")</f>
        <v/>
      </c>
      <c r="AL1097" s="12" t="n"/>
      <c r="AM1097" s="14">
        <f>IF($B1097="","",IF($AQ1097="","対象年月が未入力／","")&amp;IF($B1097="","",IF($AP1097="","職員マスタに未登録の職員番号／",IF($AA1097="","標準報酬月額が未登録／","")&amp;IF(AND($AQ1097&lt;&gt;"",OR(AND(INDEX(職員マスタ!$G$6:$G$405,$AP1097)&lt;&gt;"",INDEX(職員マスタ!$G$6:$G$405,$AP1097)&gt;EOMONTH($AQ1097,0)),AND(INDEX(職員マスタ!$H$6:$H$405,$AP1097)&lt;&gt;"",INDEX(職員マスタ!$H$6:$H$405,$AP1097)&lt;$AQ1097))),"対象月が時短期間外／","")&amp;IF(AND(INDEX(職員マスタ!$K$6:$K$405,$AP1097)&lt;&gt;"",N($W1097)&gt;0,INDEX(職員マスタ!$K$6:$K$405,$AP1097)&lt;&gt;$W1097),"標準報酬月額が申請書と相違（台帳"&amp;TEXT(INDEX(職員マスタ!$K$6:$K$405,$AP1097),"#,##0")&amp;"円／申請書"&amp;TEXT($W1097,"#,##0")&amp;"円）／","")&amp;IF(AND(INDEX(職員マスタ!$F$6:$F$405,$AP1097)&lt;&gt;"",$AQ1097&lt;&gt;"",INDEX(職員マスタ!$F$6:$F$405,$AP1097)&lt;$AQ1097),"対象月に子が2歳到達済／","")&amp;IF(AND($H1097&lt;&gt;"",INDEX(職員マスタ!$B$6:$B$405,$AP1097)&lt;&gt;"",SUBSTITUTE(SUBSTITUTE($H1097," ","")," ","")&lt;&gt;SUBSTITUTE(SUBSTITUTE(INDEX(職員マスタ!$B$6:$B$405,$AP1097)," ","")," ","")),"氏名がマスタと相違／","")&amp;IF(AND($Q1097&lt;&gt;"",INDEX(職員マスタ!$E$6:$E$405,$AP1097)&lt;&gt;"",$Q1097&lt;&gt;INDEX(職員マスタ!$E$6:$E$405,$AP1097)),"子の生年月日がマスタと相違／","")&amp;IF(AND($L1097&lt;&gt;"",INDEX(職員マスタ!$G$6:$G$405,$AP1097)&lt;&gt;"",$L1097&lt;&gt;INDEX(職員マスタ!$G$6:$G$405,$AP1097)),"時短開始日がマスタと相違／","")&amp;IF(AND($M1097&lt;&gt;"",INDEX(職員マスタ!$H$6:$H$405,$AP1097)&lt;&gt;"",$M1097&lt;&gt;INDEX(職員マスタ!$H$6:$H$405,$AP1097)),"時短終了日がマスタと相違／","")))&amp;IF(AND($B1097&lt;&gt;"",$E1097=""),"報酬額が未入力／","")&amp;IF(N($U1097)&gt;0,"申請書に入力エラーが残っています／","")&amp;IF(AND($B1097&lt;&gt;"",$AQ1097&lt;&gt;""),IF(COUNTIFS($B$6:$B$3005,$B1097,$C$6:$C$3005,$C1097,$D$6:$D$3005,$D1097)&gt;1,"同じ月の請求が重複しています／",""),"")&amp;IF(AND(N($E1097)&gt;0,$AB1097&lt;&gt;"",$AB1097&lt;&gt;"×",$AE1097=0,$AD1097=""),"計算額が下限以下のため不支給／",""))</f>
        <v/>
      </c>
      <c r="AN1097" s="12" t="n"/>
      <c r="AO1097" s="14">
        <f>IF($AF1097="保留中",COUNTIF($AF$6:$AF1097,"保留中"),"")</f>
        <v/>
      </c>
      <c r="AP1097" s="14">
        <f>IF($AQ1097="","",IF(SUMPRODUCT(MAX((職員マスタ!$A$6:$A$405=$B1097)*(((職員マスタ!$G$6:$G$405="")+(職員マスタ!$G$6:$G$405&lt;=EOMONTH($AQ1097,0)))&gt;0)*(((職員マスタ!$H$6:$H$405="")+(職員マスタ!$H$6:$H$405&gt;=$AQ1097))&gt;0)*(ROW(職員マスタ!$A$6:$A$405)-5)))&gt;0,SUMPRODUCT(MAX((職員マスタ!$A$6:$A$405=$B1097)*(((職員マスタ!$G$6:$G$405="")+(職員マスタ!$G$6:$G$405&lt;=EOMONTH($AQ1097,0)))&gt;0)*(((職員マスタ!$H$6:$H$405="")+(職員マスタ!$H$6:$H$405&gt;=$AQ1097))&gt;0)*(ROW(職員マスタ!$A$6:$A$405)-5))),IFERROR(MATCH($B1097,職員マスタ!$A$6:$A$405,0),"")))</f>
        <v/>
      </c>
      <c r="AQ1097" s="16">
        <f>IF(OR($B1097="",$C1097="",$D1097=""),"",DATE($C1097+2018,$D1097,1))</f>
        <v/>
      </c>
    </row>
    <row r="1098">
      <c r="A1098" s="11" t="n"/>
      <c r="B1098" s="12" t="n"/>
      <c r="C1098" s="12" t="n"/>
      <c r="D1098" s="12" t="n"/>
      <c r="E1098" s="13" t="n"/>
      <c r="F1098" s="12" t="n"/>
      <c r="G1098" s="13" t="n"/>
      <c r="H1098" s="12" t="n"/>
      <c r="I1098" s="12" t="n"/>
      <c r="J1098" s="12" t="n"/>
      <c r="K1098" s="12" t="n"/>
      <c r="L1098" s="11" t="n"/>
      <c r="M1098" s="11" t="n"/>
      <c r="N1098" s="11" t="n"/>
      <c r="O1098" s="11" t="n"/>
      <c r="P1098" s="12" t="n"/>
      <c r="Q1098" s="11" t="n"/>
      <c r="R1098" s="12" t="n"/>
      <c r="S1098" s="11" t="n"/>
      <c r="T1098" s="12" t="n"/>
      <c r="U1098" s="12" t="n"/>
      <c r="V1098" s="12" t="n"/>
      <c r="W1098" s="13" t="n"/>
      <c r="X1098" s="14">
        <f>IF($AP1098="",IF($B1098="","",$H1098),IF(INDEX(職員マスタ!$B$6:$B$405,$AP1098)="",$H1098,INDEX(職員マスタ!$B$6:$B$405,$AP1098)))</f>
        <v/>
      </c>
      <c r="Y1098" s="14">
        <f>IF($AP1098="",IF($B1098="","",$R1098),IF(INDEX(職員マスタ!$C$6:$C$405,$AP1098)="",$R1098,INDEX(職員マスタ!$C$6:$C$405,$AP1098)))</f>
        <v/>
      </c>
      <c r="Z1098" s="14">
        <f>IF($AQ1098="","","R"&amp;$C1098&amp;"."&amp;$D1098)</f>
        <v/>
      </c>
      <c r="AA1098" s="15">
        <f>IF(IF($AP1098="",FALSE,INDEX(職員マスタ!$K$6:$K$405,$AP1098)&lt;&gt;""),INDEX(職員マスタ!$K$6:$K$405,$AP1098),IF(N($W1098)&gt;0,$W1098,""))</f>
        <v/>
      </c>
      <c r="AB1098" s="14">
        <f>IF(OR($E1098="",$AA1098=""),"",IF($E1098&gt;=$AA1098,"×",IF($E1098&gt;=$AA1098*設定!$C$5,"△","○")))</f>
        <v/>
      </c>
      <c r="AC1098" s="15">
        <f>IF($AB1098="","",IF($AB1098="×",0,IF($AB1098="○",ROUNDDOWN($E1098*設定!$C$4,0),ROUNDDOWN($E1098*ROUND((9*$AA1098-9*$E1098)/(10*$E1098),4),0))))</f>
        <v/>
      </c>
      <c r="AD1098" s="13" t="n"/>
      <c r="AE1098" s="15">
        <f>IF($B1098="","",IF($AD1098&lt;&gt;"",$AD1098,IF($AC1098="","",IF($AC1098&lt;=設定!$C$3,0,$AC1098))))</f>
        <v/>
      </c>
      <c r="AF1098" s="14">
        <f>IF($B1098="","",IF(AND($AG1098&lt;&gt;"",$AI1098="",$AL1098=""),"保留中",IF($AL1098&lt;&gt;"",IF(N($AE1098)&gt;0,"支給済","不支給"),IF($AE1098="","要確認",IF($AE1098=0,"不支給","未処理")))))</f>
        <v/>
      </c>
      <c r="AG1098" s="12" t="n"/>
      <c r="AH1098" s="11" t="n"/>
      <c r="AI1098" s="11" t="n"/>
      <c r="AJ1098" s="11" t="n"/>
      <c r="AK1098" s="14">
        <f>IF(AND($AF1098="保留中",$AH1098&lt;&gt;""),TODAY()-$AH1098,"")</f>
        <v/>
      </c>
      <c r="AL1098" s="12" t="n"/>
      <c r="AM1098" s="14">
        <f>IF($B1098="","",IF($AQ1098="","対象年月が未入力／","")&amp;IF($B1098="","",IF($AP1098="","職員マスタに未登録の職員番号／",IF($AA1098="","標準報酬月額が未登録／","")&amp;IF(AND($AQ1098&lt;&gt;"",OR(AND(INDEX(職員マスタ!$G$6:$G$405,$AP1098)&lt;&gt;"",INDEX(職員マスタ!$G$6:$G$405,$AP1098)&gt;EOMONTH($AQ1098,0)),AND(INDEX(職員マスタ!$H$6:$H$405,$AP1098)&lt;&gt;"",INDEX(職員マスタ!$H$6:$H$405,$AP1098)&lt;$AQ1098))),"対象月が時短期間外／","")&amp;IF(AND(INDEX(職員マスタ!$K$6:$K$405,$AP1098)&lt;&gt;"",N($W1098)&gt;0,INDEX(職員マスタ!$K$6:$K$405,$AP1098)&lt;&gt;$W1098),"標準報酬月額が申請書と相違（台帳"&amp;TEXT(INDEX(職員マスタ!$K$6:$K$405,$AP1098),"#,##0")&amp;"円／申請書"&amp;TEXT($W1098,"#,##0")&amp;"円）／","")&amp;IF(AND(INDEX(職員マスタ!$F$6:$F$405,$AP1098)&lt;&gt;"",$AQ1098&lt;&gt;"",INDEX(職員マスタ!$F$6:$F$405,$AP1098)&lt;$AQ1098),"対象月に子が2歳到達済／","")&amp;IF(AND($H1098&lt;&gt;"",INDEX(職員マスタ!$B$6:$B$405,$AP1098)&lt;&gt;"",SUBSTITUTE(SUBSTITUTE($H1098," ","")," ","")&lt;&gt;SUBSTITUTE(SUBSTITUTE(INDEX(職員マスタ!$B$6:$B$405,$AP1098)," ","")," ","")),"氏名がマスタと相違／","")&amp;IF(AND($Q1098&lt;&gt;"",INDEX(職員マスタ!$E$6:$E$405,$AP1098)&lt;&gt;"",$Q1098&lt;&gt;INDEX(職員マスタ!$E$6:$E$405,$AP1098)),"子の生年月日がマスタと相違／","")&amp;IF(AND($L1098&lt;&gt;"",INDEX(職員マスタ!$G$6:$G$405,$AP1098)&lt;&gt;"",$L1098&lt;&gt;INDEX(職員マスタ!$G$6:$G$405,$AP1098)),"時短開始日がマスタと相違／","")&amp;IF(AND($M1098&lt;&gt;"",INDEX(職員マスタ!$H$6:$H$405,$AP1098)&lt;&gt;"",$M1098&lt;&gt;INDEX(職員マスタ!$H$6:$H$405,$AP1098)),"時短終了日がマスタと相違／","")))&amp;IF(AND($B1098&lt;&gt;"",$E1098=""),"報酬額が未入力／","")&amp;IF(N($U1098)&gt;0,"申請書に入力エラーが残っています／","")&amp;IF(AND($B1098&lt;&gt;"",$AQ1098&lt;&gt;""),IF(COUNTIFS($B$6:$B$3005,$B1098,$C$6:$C$3005,$C1098,$D$6:$D$3005,$D1098)&gt;1,"同じ月の請求が重複しています／",""),"")&amp;IF(AND(N($E1098)&gt;0,$AB1098&lt;&gt;"",$AB1098&lt;&gt;"×",$AE1098=0,$AD1098=""),"計算額が下限以下のため不支給／",""))</f>
        <v/>
      </c>
      <c r="AN1098" s="12" t="n"/>
      <c r="AO1098" s="14">
        <f>IF($AF1098="保留中",COUNTIF($AF$6:$AF1098,"保留中"),"")</f>
        <v/>
      </c>
      <c r="AP1098" s="14">
        <f>IF($AQ1098="","",IF(SUMPRODUCT(MAX((職員マスタ!$A$6:$A$405=$B1098)*(((職員マスタ!$G$6:$G$405="")+(職員マスタ!$G$6:$G$405&lt;=EOMONTH($AQ1098,0)))&gt;0)*(((職員マスタ!$H$6:$H$405="")+(職員マスタ!$H$6:$H$405&gt;=$AQ1098))&gt;0)*(ROW(職員マスタ!$A$6:$A$405)-5)))&gt;0,SUMPRODUCT(MAX((職員マスタ!$A$6:$A$405=$B1098)*(((職員マスタ!$G$6:$G$405="")+(職員マスタ!$G$6:$G$405&lt;=EOMONTH($AQ1098,0)))&gt;0)*(((職員マスタ!$H$6:$H$405="")+(職員マスタ!$H$6:$H$405&gt;=$AQ1098))&gt;0)*(ROW(職員マスタ!$A$6:$A$405)-5))),IFERROR(MATCH($B1098,職員マスタ!$A$6:$A$405,0),"")))</f>
        <v/>
      </c>
      <c r="AQ1098" s="16">
        <f>IF(OR($B1098="",$C1098="",$D1098=""),"",DATE($C1098+2018,$D1098,1))</f>
        <v/>
      </c>
    </row>
    <row r="1099">
      <c r="A1099" s="11" t="n"/>
      <c r="B1099" s="12" t="n"/>
      <c r="C1099" s="12" t="n"/>
      <c r="D1099" s="12" t="n"/>
      <c r="E1099" s="13" t="n"/>
      <c r="F1099" s="12" t="n"/>
      <c r="G1099" s="13" t="n"/>
      <c r="H1099" s="12" t="n"/>
      <c r="I1099" s="12" t="n"/>
      <c r="J1099" s="12" t="n"/>
      <c r="K1099" s="12" t="n"/>
      <c r="L1099" s="11" t="n"/>
      <c r="M1099" s="11" t="n"/>
      <c r="N1099" s="11" t="n"/>
      <c r="O1099" s="11" t="n"/>
      <c r="P1099" s="12" t="n"/>
      <c r="Q1099" s="11" t="n"/>
      <c r="R1099" s="12" t="n"/>
      <c r="S1099" s="11" t="n"/>
      <c r="T1099" s="12" t="n"/>
      <c r="U1099" s="12" t="n"/>
      <c r="V1099" s="12" t="n"/>
      <c r="W1099" s="13" t="n"/>
      <c r="X1099" s="14">
        <f>IF($AP1099="",IF($B1099="","",$H1099),IF(INDEX(職員マスタ!$B$6:$B$405,$AP1099)="",$H1099,INDEX(職員マスタ!$B$6:$B$405,$AP1099)))</f>
        <v/>
      </c>
      <c r="Y1099" s="14">
        <f>IF($AP1099="",IF($B1099="","",$R1099),IF(INDEX(職員マスタ!$C$6:$C$405,$AP1099)="",$R1099,INDEX(職員マスタ!$C$6:$C$405,$AP1099)))</f>
        <v/>
      </c>
      <c r="Z1099" s="14">
        <f>IF($AQ1099="","","R"&amp;$C1099&amp;"."&amp;$D1099)</f>
        <v/>
      </c>
      <c r="AA1099" s="15">
        <f>IF(IF($AP1099="",FALSE,INDEX(職員マスタ!$K$6:$K$405,$AP1099)&lt;&gt;""),INDEX(職員マスタ!$K$6:$K$405,$AP1099),IF(N($W1099)&gt;0,$W1099,""))</f>
        <v/>
      </c>
      <c r="AB1099" s="14">
        <f>IF(OR($E1099="",$AA1099=""),"",IF($E1099&gt;=$AA1099,"×",IF($E1099&gt;=$AA1099*設定!$C$5,"△","○")))</f>
        <v/>
      </c>
      <c r="AC1099" s="15">
        <f>IF($AB1099="","",IF($AB1099="×",0,IF($AB1099="○",ROUNDDOWN($E1099*設定!$C$4,0),ROUNDDOWN($E1099*ROUND((9*$AA1099-9*$E1099)/(10*$E1099),4),0))))</f>
        <v/>
      </c>
      <c r="AD1099" s="13" t="n"/>
      <c r="AE1099" s="15">
        <f>IF($B1099="","",IF($AD1099&lt;&gt;"",$AD1099,IF($AC1099="","",IF($AC1099&lt;=設定!$C$3,0,$AC1099))))</f>
        <v/>
      </c>
      <c r="AF1099" s="14">
        <f>IF($B1099="","",IF(AND($AG1099&lt;&gt;"",$AI1099="",$AL1099=""),"保留中",IF($AL1099&lt;&gt;"",IF(N($AE1099)&gt;0,"支給済","不支給"),IF($AE1099="","要確認",IF($AE1099=0,"不支給","未処理")))))</f>
        <v/>
      </c>
      <c r="AG1099" s="12" t="n"/>
      <c r="AH1099" s="11" t="n"/>
      <c r="AI1099" s="11" t="n"/>
      <c r="AJ1099" s="11" t="n"/>
      <c r="AK1099" s="14">
        <f>IF(AND($AF1099="保留中",$AH1099&lt;&gt;""),TODAY()-$AH1099,"")</f>
        <v/>
      </c>
      <c r="AL1099" s="12" t="n"/>
      <c r="AM1099" s="14">
        <f>IF($B1099="","",IF($AQ1099="","対象年月が未入力／","")&amp;IF($B1099="","",IF($AP1099="","職員マスタに未登録の職員番号／",IF($AA1099="","標準報酬月額が未登録／","")&amp;IF(AND($AQ1099&lt;&gt;"",OR(AND(INDEX(職員マスタ!$G$6:$G$405,$AP1099)&lt;&gt;"",INDEX(職員マスタ!$G$6:$G$405,$AP1099)&gt;EOMONTH($AQ1099,0)),AND(INDEX(職員マスタ!$H$6:$H$405,$AP1099)&lt;&gt;"",INDEX(職員マスタ!$H$6:$H$405,$AP1099)&lt;$AQ1099))),"対象月が時短期間外／","")&amp;IF(AND(INDEX(職員マスタ!$K$6:$K$405,$AP1099)&lt;&gt;"",N($W1099)&gt;0,INDEX(職員マスタ!$K$6:$K$405,$AP1099)&lt;&gt;$W1099),"標準報酬月額が申請書と相違（台帳"&amp;TEXT(INDEX(職員マスタ!$K$6:$K$405,$AP1099),"#,##0")&amp;"円／申請書"&amp;TEXT($W1099,"#,##0")&amp;"円）／","")&amp;IF(AND(INDEX(職員マスタ!$F$6:$F$405,$AP1099)&lt;&gt;"",$AQ1099&lt;&gt;"",INDEX(職員マスタ!$F$6:$F$405,$AP1099)&lt;$AQ1099),"対象月に子が2歳到達済／","")&amp;IF(AND($H1099&lt;&gt;"",INDEX(職員マスタ!$B$6:$B$405,$AP1099)&lt;&gt;"",SUBSTITUTE(SUBSTITUTE($H1099," ","")," ","")&lt;&gt;SUBSTITUTE(SUBSTITUTE(INDEX(職員マスタ!$B$6:$B$405,$AP1099)," ","")," ","")),"氏名がマスタと相違／","")&amp;IF(AND($Q1099&lt;&gt;"",INDEX(職員マスタ!$E$6:$E$405,$AP1099)&lt;&gt;"",$Q1099&lt;&gt;INDEX(職員マスタ!$E$6:$E$405,$AP1099)),"子の生年月日がマスタと相違／","")&amp;IF(AND($L1099&lt;&gt;"",INDEX(職員マスタ!$G$6:$G$405,$AP1099)&lt;&gt;"",$L1099&lt;&gt;INDEX(職員マスタ!$G$6:$G$405,$AP1099)),"時短開始日がマスタと相違／","")&amp;IF(AND($M1099&lt;&gt;"",INDEX(職員マスタ!$H$6:$H$405,$AP1099)&lt;&gt;"",$M1099&lt;&gt;INDEX(職員マスタ!$H$6:$H$405,$AP1099)),"時短終了日がマスタと相違／","")))&amp;IF(AND($B1099&lt;&gt;"",$E1099=""),"報酬額が未入力／","")&amp;IF(N($U1099)&gt;0,"申請書に入力エラーが残っています／","")&amp;IF(AND($B1099&lt;&gt;"",$AQ1099&lt;&gt;""),IF(COUNTIFS($B$6:$B$3005,$B1099,$C$6:$C$3005,$C1099,$D$6:$D$3005,$D1099)&gt;1,"同じ月の請求が重複しています／",""),"")&amp;IF(AND(N($E1099)&gt;0,$AB1099&lt;&gt;"",$AB1099&lt;&gt;"×",$AE1099=0,$AD1099=""),"計算額が下限以下のため不支給／",""))</f>
        <v/>
      </c>
      <c r="AN1099" s="12" t="n"/>
      <c r="AO1099" s="14">
        <f>IF($AF1099="保留中",COUNTIF($AF$6:$AF1099,"保留中"),"")</f>
        <v/>
      </c>
      <c r="AP1099" s="14">
        <f>IF($AQ1099="","",IF(SUMPRODUCT(MAX((職員マスタ!$A$6:$A$405=$B1099)*(((職員マスタ!$G$6:$G$405="")+(職員マスタ!$G$6:$G$405&lt;=EOMONTH($AQ1099,0)))&gt;0)*(((職員マスタ!$H$6:$H$405="")+(職員マスタ!$H$6:$H$405&gt;=$AQ1099))&gt;0)*(ROW(職員マスタ!$A$6:$A$405)-5)))&gt;0,SUMPRODUCT(MAX((職員マスタ!$A$6:$A$405=$B1099)*(((職員マスタ!$G$6:$G$405="")+(職員マスタ!$G$6:$G$405&lt;=EOMONTH($AQ1099,0)))&gt;0)*(((職員マスタ!$H$6:$H$405="")+(職員マスタ!$H$6:$H$405&gt;=$AQ1099))&gt;0)*(ROW(職員マスタ!$A$6:$A$405)-5))),IFERROR(MATCH($B1099,職員マスタ!$A$6:$A$405,0),"")))</f>
        <v/>
      </c>
      <c r="AQ1099" s="16">
        <f>IF(OR($B1099="",$C1099="",$D1099=""),"",DATE($C1099+2018,$D1099,1))</f>
        <v/>
      </c>
    </row>
    <row r="1100">
      <c r="A1100" s="11" t="n"/>
      <c r="B1100" s="12" t="n"/>
      <c r="C1100" s="12" t="n"/>
      <c r="D1100" s="12" t="n"/>
      <c r="E1100" s="13" t="n"/>
      <c r="F1100" s="12" t="n"/>
      <c r="G1100" s="13" t="n"/>
      <c r="H1100" s="12" t="n"/>
      <c r="I1100" s="12" t="n"/>
      <c r="J1100" s="12" t="n"/>
      <c r="K1100" s="12" t="n"/>
      <c r="L1100" s="11" t="n"/>
      <c r="M1100" s="11" t="n"/>
      <c r="N1100" s="11" t="n"/>
      <c r="O1100" s="11" t="n"/>
      <c r="P1100" s="12" t="n"/>
      <c r="Q1100" s="11" t="n"/>
      <c r="R1100" s="12" t="n"/>
      <c r="S1100" s="11" t="n"/>
      <c r="T1100" s="12" t="n"/>
      <c r="U1100" s="12" t="n"/>
      <c r="V1100" s="12" t="n"/>
      <c r="W1100" s="13" t="n"/>
      <c r="X1100" s="14">
        <f>IF($AP1100="",IF($B1100="","",$H1100),IF(INDEX(職員マスタ!$B$6:$B$405,$AP1100)="",$H1100,INDEX(職員マスタ!$B$6:$B$405,$AP1100)))</f>
        <v/>
      </c>
      <c r="Y1100" s="14">
        <f>IF($AP1100="",IF($B1100="","",$R1100),IF(INDEX(職員マスタ!$C$6:$C$405,$AP1100)="",$R1100,INDEX(職員マスタ!$C$6:$C$405,$AP1100)))</f>
        <v/>
      </c>
      <c r="Z1100" s="14">
        <f>IF($AQ1100="","","R"&amp;$C1100&amp;"."&amp;$D1100)</f>
        <v/>
      </c>
      <c r="AA1100" s="15">
        <f>IF(IF($AP1100="",FALSE,INDEX(職員マスタ!$K$6:$K$405,$AP1100)&lt;&gt;""),INDEX(職員マスタ!$K$6:$K$405,$AP1100),IF(N($W1100)&gt;0,$W1100,""))</f>
        <v/>
      </c>
      <c r="AB1100" s="14">
        <f>IF(OR($E1100="",$AA1100=""),"",IF($E1100&gt;=$AA1100,"×",IF($E1100&gt;=$AA1100*設定!$C$5,"△","○")))</f>
        <v/>
      </c>
      <c r="AC1100" s="15">
        <f>IF($AB1100="","",IF($AB1100="×",0,IF($AB1100="○",ROUNDDOWN($E1100*設定!$C$4,0),ROUNDDOWN($E1100*ROUND((9*$AA1100-9*$E1100)/(10*$E1100),4),0))))</f>
        <v/>
      </c>
      <c r="AD1100" s="13" t="n"/>
      <c r="AE1100" s="15">
        <f>IF($B1100="","",IF($AD1100&lt;&gt;"",$AD1100,IF($AC1100="","",IF($AC1100&lt;=設定!$C$3,0,$AC1100))))</f>
        <v/>
      </c>
      <c r="AF1100" s="14">
        <f>IF($B1100="","",IF(AND($AG1100&lt;&gt;"",$AI1100="",$AL1100=""),"保留中",IF($AL1100&lt;&gt;"",IF(N($AE1100)&gt;0,"支給済","不支給"),IF($AE1100="","要確認",IF($AE1100=0,"不支給","未処理")))))</f>
        <v/>
      </c>
      <c r="AG1100" s="12" t="n"/>
      <c r="AH1100" s="11" t="n"/>
      <c r="AI1100" s="11" t="n"/>
      <c r="AJ1100" s="11" t="n"/>
      <c r="AK1100" s="14">
        <f>IF(AND($AF1100="保留中",$AH1100&lt;&gt;""),TODAY()-$AH1100,"")</f>
        <v/>
      </c>
      <c r="AL1100" s="12" t="n"/>
      <c r="AM1100" s="14">
        <f>IF($B1100="","",IF($AQ1100="","対象年月が未入力／","")&amp;IF($B1100="","",IF($AP1100="","職員マスタに未登録の職員番号／",IF($AA1100="","標準報酬月額が未登録／","")&amp;IF(AND($AQ1100&lt;&gt;"",OR(AND(INDEX(職員マスタ!$G$6:$G$405,$AP1100)&lt;&gt;"",INDEX(職員マスタ!$G$6:$G$405,$AP1100)&gt;EOMONTH($AQ1100,0)),AND(INDEX(職員マスタ!$H$6:$H$405,$AP1100)&lt;&gt;"",INDEX(職員マスタ!$H$6:$H$405,$AP1100)&lt;$AQ1100))),"対象月が時短期間外／","")&amp;IF(AND(INDEX(職員マスタ!$K$6:$K$405,$AP1100)&lt;&gt;"",N($W1100)&gt;0,INDEX(職員マスタ!$K$6:$K$405,$AP1100)&lt;&gt;$W1100),"標準報酬月額が申請書と相違（台帳"&amp;TEXT(INDEX(職員マスタ!$K$6:$K$405,$AP1100),"#,##0")&amp;"円／申請書"&amp;TEXT($W1100,"#,##0")&amp;"円）／","")&amp;IF(AND(INDEX(職員マスタ!$F$6:$F$405,$AP1100)&lt;&gt;"",$AQ1100&lt;&gt;"",INDEX(職員マスタ!$F$6:$F$405,$AP1100)&lt;$AQ1100),"対象月に子が2歳到達済／","")&amp;IF(AND($H1100&lt;&gt;"",INDEX(職員マスタ!$B$6:$B$405,$AP1100)&lt;&gt;"",SUBSTITUTE(SUBSTITUTE($H1100," ","")," ","")&lt;&gt;SUBSTITUTE(SUBSTITUTE(INDEX(職員マスタ!$B$6:$B$405,$AP1100)," ","")," ","")),"氏名がマスタと相違／","")&amp;IF(AND($Q1100&lt;&gt;"",INDEX(職員マスタ!$E$6:$E$405,$AP1100)&lt;&gt;"",$Q1100&lt;&gt;INDEX(職員マスタ!$E$6:$E$405,$AP1100)),"子の生年月日がマスタと相違／","")&amp;IF(AND($L1100&lt;&gt;"",INDEX(職員マスタ!$G$6:$G$405,$AP1100)&lt;&gt;"",$L1100&lt;&gt;INDEX(職員マスタ!$G$6:$G$405,$AP1100)),"時短開始日がマスタと相違／","")&amp;IF(AND($M1100&lt;&gt;"",INDEX(職員マスタ!$H$6:$H$405,$AP1100)&lt;&gt;"",$M1100&lt;&gt;INDEX(職員マスタ!$H$6:$H$405,$AP1100)),"時短終了日がマスタと相違／","")))&amp;IF(AND($B1100&lt;&gt;"",$E1100=""),"報酬額が未入力／","")&amp;IF(N($U1100)&gt;0,"申請書に入力エラーが残っています／","")&amp;IF(AND($B1100&lt;&gt;"",$AQ1100&lt;&gt;""),IF(COUNTIFS($B$6:$B$3005,$B1100,$C$6:$C$3005,$C1100,$D$6:$D$3005,$D1100)&gt;1,"同じ月の請求が重複しています／",""),"")&amp;IF(AND(N($E1100)&gt;0,$AB1100&lt;&gt;"",$AB1100&lt;&gt;"×",$AE1100=0,$AD1100=""),"計算額が下限以下のため不支給／",""))</f>
        <v/>
      </c>
      <c r="AN1100" s="12" t="n"/>
      <c r="AO1100" s="14">
        <f>IF($AF1100="保留中",COUNTIF($AF$6:$AF1100,"保留中"),"")</f>
        <v/>
      </c>
      <c r="AP1100" s="14">
        <f>IF($AQ1100="","",IF(SUMPRODUCT(MAX((職員マスタ!$A$6:$A$405=$B1100)*(((職員マスタ!$G$6:$G$405="")+(職員マスタ!$G$6:$G$405&lt;=EOMONTH($AQ1100,0)))&gt;0)*(((職員マスタ!$H$6:$H$405="")+(職員マスタ!$H$6:$H$405&gt;=$AQ1100))&gt;0)*(ROW(職員マスタ!$A$6:$A$405)-5)))&gt;0,SUMPRODUCT(MAX((職員マスタ!$A$6:$A$405=$B1100)*(((職員マスタ!$G$6:$G$405="")+(職員マスタ!$G$6:$G$405&lt;=EOMONTH($AQ1100,0)))&gt;0)*(((職員マスタ!$H$6:$H$405="")+(職員マスタ!$H$6:$H$405&gt;=$AQ1100))&gt;0)*(ROW(職員マスタ!$A$6:$A$405)-5))),IFERROR(MATCH($B1100,職員マスタ!$A$6:$A$405,0),"")))</f>
        <v/>
      </c>
      <c r="AQ1100" s="16">
        <f>IF(OR($B1100="",$C1100="",$D1100=""),"",DATE($C1100+2018,$D1100,1))</f>
        <v/>
      </c>
    </row>
    <row r="1101">
      <c r="A1101" s="11" t="n"/>
      <c r="B1101" s="12" t="n"/>
      <c r="C1101" s="12" t="n"/>
      <c r="D1101" s="12" t="n"/>
      <c r="E1101" s="13" t="n"/>
      <c r="F1101" s="12" t="n"/>
      <c r="G1101" s="13" t="n"/>
      <c r="H1101" s="12" t="n"/>
      <c r="I1101" s="12" t="n"/>
      <c r="J1101" s="12" t="n"/>
      <c r="K1101" s="12" t="n"/>
      <c r="L1101" s="11" t="n"/>
      <c r="M1101" s="11" t="n"/>
      <c r="N1101" s="11" t="n"/>
      <c r="O1101" s="11" t="n"/>
      <c r="P1101" s="12" t="n"/>
      <c r="Q1101" s="11" t="n"/>
      <c r="R1101" s="12" t="n"/>
      <c r="S1101" s="11" t="n"/>
      <c r="T1101" s="12" t="n"/>
      <c r="U1101" s="12" t="n"/>
      <c r="V1101" s="12" t="n"/>
      <c r="W1101" s="13" t="n"/>
      <c r="X1101" s="14">
        <f>IF($AP1101="",IF($B1101="","",$H1101),IF(INDEX(職員マスタ!$B$6:$B$405,$AP1101)="",$H1101,INDEX(職員マスタ!$B$6:$B$405,$AP1101)))</f>
        <v/>
      </c>
      <c r="Y1101" s="14">
        <f>IF($AP1101="",IF($B1101="","",$R1101),IF(INDEX(職員マスタ!$C$6:$C$405,$AP1101)="",$R1101,INDEX(職員マスタ!$C$6:$C$405,$AP1101)))</f>
        <v/>
      </c>
      <c r="Z1101" s="14">
        <f>IF($AQ1101="","","R"&amp;$C1101&amp;"."&amp;$D1101)</f>
        <v/>
      </c>
      <c r="AA1101" s="15">
        <f>IF(IF($AP1101="",FALSE,INDEX(職員マスタ!$K$6:$K$405,$AP1101)&lt;&gt;""),INDEX(職員マスタ!$K$6:$K$405,$AP1101),IF(N($W1101)&gt;0,$W1101,""))</f>
        <v/>
      </c>
      <c r="AB1101" s="14">
        <f>IF(OR($E1101="",$AA1101=""),"",IF($E1101&gt;=$AA1101,"×",IF($E1101&gt;=$AA1101*設定!$C$5,"△","○")))</f>
        <v/>
      </c>
      <c r="AC1101" s="15">
        <f>IF($AB1101="","",IF($AB1101="×",0,IF($AB1101="○",ROUNDDOWN($E1101*設定!$C$4,0),ROUNDDOWN($E1101*ROUND((9*$AA1101-9*$E1101)/(10*$E1101),4),0))))</f>
        <v/>
      </c>
      <c r="AD1101" s="13" t="n"/>
      <c r="AE1101" s="15">
        <f>IF($B1101="","",IF($AD1101&lt;&gt;"",$AD1101,IF($AC1101="","",IF($AC1101&lt;=設定!$C$3,0,$AC1101))))</f>
        <v/>
      </c>
      <c r="AF1101" s="14">
        <f>IF($B1101="","",IF(AND($AG1101&lt;&gt;"",$AI1101="",$AL1101=""),"保留中",IF($AL1101&lt;&gt;"",IF(N($AE1101)&gt;0,"支給済","不支給"),IF($AE1101="","要確認",IF($AE1101=0,"不支給","未処理")))))</f>
        <v/>
      </c>
      <c r="AG1101" s="12" t="n"/>
      <c r="AH1101" s="11" t="n"/>
      <c r="AI1101" s="11" t="n"/>
      <c r="AJ1101" s="11" t="n"/>
      <c r="AK1101" s="14">
        <f>IF(AND($AF1101="保留中",$AH1101&lt;&gt;""),TODAY()-$AH1101,"")</f>
        <v/>
      </c>
      <c r="AL1101" s="12" t="n"/>
      <c r="AM1101" s="14">
        <f>IF($B1101="","",IF($AQ1101="","対象年月が未入力／","")&amp;IF($B1101="","",IF($AP1101="","職員マスタに未登録の職員番号／",IF($AA1101="","標準報酬月額が未登録／","")&amp;IF(AND($AQ1101&lt;&gt;"",OR(AND(INDEX(職員マスタ!$G$6:$G$405,$AP1101)&lt;&gt;"",INDEX(職員マスタ!$G$6:$G$405,$AP1101)&gt;EOMONTH($AQ1101,0)),AND(INDEX(職員マスタ!$H$6:$H$405,$AP1101)&lt;&gt;"",INDEX(職員マスタ!$H$6:$H$405,$AP1101)&lt;$AQ1101))),"対象月が時短期間外／","")&amp;IF(AND(INDEX(職員マスタ!$K$6:$K$405,$AP1101)&lt;&gt;"",N($W1101)&gt;0,INDEX(職員マスタ!$K$6:$K$405,$AP1101)&lt;&gt;$W1101),"標準報酬月額が申請書と相違（台帳"&amp;TEXT(INDEX(職員マスタ!$K$6:$K$405,$AP1101),"#,##0")&amp;"円／申請書"&amp;TEXT($W1101,"#,##0")&amp;"円）／","")&amp;IF(AND(INDEX(職員マスタ!$F$6:$F$405,$AP1101)&lt;&gt;"",$AQ1101&lt;&gt;"",INDEX(職員マスタ!$F$6:$F$405,$AP1101)&lt;$AQ1101),"対象月に子が2歳到達済／","")&amp;IF(AND($H1101&lt;&gt;"",INDEX(職員マスタ!$B$6:$B$405,$AP1101)&lt;&gt;"",SUBSTITUTE(SUBSTITUTE($H1101," ","")," ","")&lt;&gt;SUBSTITUTE(SUBSTITUTE(INDEX(職員マスタ!$B$6:$B$405,$AP1101)," ","")," ","")),"氏名がマスタと相違／","")&amp;IF(AND($Q1101&lt;&gt;"",INDEX(職員マスタ!$E$6:$E$405,$AP1101)&lt;&gt;"",$Q1101&lt;&gt;INDEX(職員マスタ!$E$6:$E$405,$AP1101)),"子の生年月日がマスタと相違／","")&amp;IF(AND($L1101&lt;&gt;"",INDEX(職員マスタ!$G$6:$G$405,$AP1101)&lt;&gt;"",$L1101&lt;&gt;INDEX(職員マスタ!$G$6:$G$405,$AP1101)),"時短開始日がマスタと相違／","")&amp;IF(AND($M1101&lt;&gt;"",INDEX(職員マスタ!$H$6:$H$405,$AP1101)&lt;&gt;"",$M1101&lt;&gt;INDEX(職員マスタ!$H$6:$H$405,$AP1101)),"時短終了日がマスタと相違／","")))&amp;IF(AND($B1101&lt;&gt;"",$E1101=""),"報酬額が未入力／","")&amp;IF(N($U1101)&gt;0,"申請書に入力エラーが残っています／","")&amp;IF(AND($B1101&lt;&gt;"",$AQ1101&lt;&gt;""),IF(COUNTIFS($B$6:$B$3005,$B1101,$C$6:$C$3005,$C1101,$D$6:$D$3005,$D1101)&gt;1,"同じ月の請求が重複しています／",""),"")&amp;IF(AND(N($E1101)&gt;0,$AB1101&lt;&gt;"",$AB1101&lt;&gt;"×",$AE1101=0,$AD1101=""),"計算額が下限以下のため不支給／",""))</f>
        <v/>
      </c>
      <c r="AN1101" s="12" t="n"/>
      <c r="AO1101" s="14">
        <f>IF($AF1101="保留中",COUNTIF($AF$6:$AF1101,"保留中"),"")</f>
        <v/>
      </c>
      <c r="AP1101" s="14">
        <f>IF($AQ1101="","",IF(SUMPRODUCT(MAX((職員マスタ!$A$6:$A$405=$B1101)*(((職員マスタ!$G$6:$G$405="")+(職員マスタ!$G$6:$G$405&lt;=EOMONTH($AQ1101,0)))&gt;0)*(((職員マスタ!$H$6:$H$405="")+(職員マスタ!$H$6:$H$405&gt;=$AQ1101))&gt;0)*(ROW(職員マスタ!$A$6:$A$405)-5)))&gt;0,SUMPRODUCT(MAX((職員マスタ!$A$6:$A$405=$B1101)*(((職員マスタ!$G$6:$G$405="")+(職員マスタ!$G$6:$G$405&lt;=EOMONTH($AQ1101,0)))&gt;0)*(((職員マスタ!$H$6:$H$405="")+(職員マスタ!$H$6:$H$405&gt;=$AQ1101))&gt;0)*(ROW(職員マスタ!$A$6:$A$405)-5))),IFERROR(MATCH($B1101,職員マスタ!$A$6:$A$405,0),"")))</f>
        <v/>
      </c>
      <c r="AQ1101" s="16">
        <f>IF(OR($B1101="",$C1101="",$D1101=""),"",DATE($C1101+2018,$D1101,1))</f>
        <v/>
      </c>
    </row>
    <row r="1102">
      <c r="A1102" s="11" t="n"/>
      <c r="B1102" s="12" t="n"/>
      <c r="C1102" s="12" t="n"/>
      <c r="D1102" s="12" t="n"/>
      <c r="E1102" s="13" t="n"/>
      <c r="F1102" s="12" t="n"/>
      <c r="G1102" s="13" t="n"/>
      <c r="H1102" s="12" t="n"/>
      <c r="I1102" s="12" t="n"/>
      <c r="J1102" s="12" t="n"/>
      <c r="K1102" s="12" t="n"/>
      <c r="L1102" s="11" t="n"/>
      <c r="M1102" s="11" t="n"/>
      <c r="N1102" s="11" t="n"/>
      <c r="O1102" s="11" t="n"/>
      <c r="P1102" s="12" t="n"/>
      <c r="Q1102" s="11" t="n"/>
      <c r="R1102" s="12" t="n"/>
      <c r="S1102" s="11" t="n"/>
      <c r="T1102" s="12" t="n"/>
      <c r="U1102" s="12" t="n"/>
      <c r="V1102" s="12" t="n"/>
      <c r="W1102" s="13" t="n"/>
      <c r="X1102" s="14">
        <f>IF($AP1102="",IF($B1102="","",$H1102),IF(INDEX(職員マスタ!$B$6:$B$405,$AP1102)="",$H1102,INDEX(職員マスタ!$B$6:$B$405,$AP1102)))</f>
        <v/>
      </c>
      <c r="Y1102" s="14">
        <f>IF($AP1102="",IF($B1102="","",$R1102),IF(INDEX(職員マスタ!$C$6:$C$405,$AP1102)="",$R1102,INDEX(職員マスタ!$C$6:$C$405,$AP1102)))</f>
        <v/>
      </c>
      <c r="Z1102" s="14">
        <f>IF($AQ1102="","","R"&amp;$C1102&amp;"."&amp;$D1102)</f>
        <v/>
      </c>
      <c r="AA1102" s="15">
        <f>IF(IF($AP1102="",FALSE,INDEX(職員マスタ!$K$6:$K$405,$AP1102)&lt;&gt;""),INDEX(職員マスタ!$K$6:$K$405,$AP1102),IF(N($W1102)&gt;0,$W1102,""))</f>
        <v/>
      </c>
      <c r="AB1102" s="14">
        <f>IF(OR($E1102="",$AA1102=""),"",IF($E1102&gt;=$AA1102,"×",IF($E1102&gt;=$AA1102*設定!$C$5,"△","○")))</f>
        <v/>
      </c>
      <c r="AC1102" s="15">
        <f>IF($AB1102="","",IF($AB1102="×",0,IF($AB1102="○",ROUNDDOWN($E1102*設定!$C$4,0),ROUNDDOWN($E1102*ROUND((9*$AA1102-9*$E1102)/(10*$E1102),4),0))))</f>
        <v/>
      </c>
      <c r="AD1102" s="13" t="n"/>
      <c r="AE1102" s="15">
        <f>IF($B1102="","",IF($AD1102&lt;&gt;"",$AD1102,IF($AC1102="","",IF($AC1102&lt;=設定!$C$3,0,$AC1102))))</f>
        <v/>
      </c>
      <c r="AF1102" s="14">
        <f>IF($B1102="","",IF(AND($AG1102&lt;&gt;"",$AI1102="",$AL1102=""),"保留中",IF($AL1102&lt;&gt;"",IF(N($AE1102)&gt;0,"支給済","不支給"),IF($AE1102="","要確認",IF($AE1102=0,"不支給","未処理")))))</f>
        <v/>
      </c>
      <c r="AG1102" s="12" t="n"/>
      <c r="AH1102" s="11" t="n"/>
      <c r="AI1102" s="11" t="n"/>
      <c r="AJ1102" s="11" t="n"/>
      <c r="AK1102" s="14">
        <f>IF(AND($AF1102="保留中",$AH1102&lt;&gt;""),TODAY()-$AH1102,"")</f>
        <v/>
      </c>
      <c r="AL1102" s="12" t="n"/>
      <c r="AM1102" s="14">
        <f>IF($B1102="","",IF($AQ1102="","対象年月が未入力／","")&amp;IF($B1102="","",IF($AP1102="","職員マスタに未登録の職員番号／",IF($AA1102="","標準報酬月額が未登録／","")&amp;IF(AND($AQ1102&lt;&gt;"",OR(AND(INDEX(職員マスタ!$G$6:$G$405,$AP1102)&lt;&gt;"",INDEX(職員マスタ!$G$6:$G$405,$AP1102)&gt;EOMONTH($AQ1102,0)),AND(INDEX(職員マスタ!$H$6:$H$405,$AP1102)&lt;&gt;"",INDEX(職員マスタ!$H$6:$H$405,$AP1102)&lt;$AQ1102))),"対象月が時短期間外／","")&amp;IF(AND(INDEX(職員マスタ!$K$6:$K$405,$AP1102)&lt;&gt;"",N($W1102)&gt;0,INDEX(職員マスタ!$K$6:$K$405,$AP1102)&lt;&gt;$W1102),"標準報酬月額が申請書と相違（台帳"&amp;TEXT(INDEX(職員マスタ!$K$6:$K$405,$AP1102),"#,##0")&amp;"円／申請書"&amp;TEXT($W1102,"#,##0")&amp;"円）／","")&amp;IF(AND(INDEX(職員マスタ!$F$6:$F$405,$AP1102)&lt;&gt;"",$AQ1102&lt;&gt;"",INDEX(職員マスタ!$F$6:$F$405,$AP1102)&lt;$AQ1102),"対象月に子が2歳到達済／","")&amp;IF(AND($H1102&lt;&gt;"",INDEX(職員マスタ!$B$6:$B$405,$AP1102)&lt;&gt;"",SUBSTITUTE(SUBSTITUTE($H1102," ","")," ","")&lt;&gt;SUBSTITUTE(SUBSTITUTE(INDEX(職員マスタ!$B$6:$B$405,$AP1102)," ","")," ","")),"氏名がマスタと相違／","")&amp;IF(AND($Q1102&lt;&gt;"",INDEX(職員マスタ!$E$6:$E$405,$AP1102)&lt;&gt;"",$Q1102&lt;&gt;INDEX(職員マスタ!$E$6:$E$405,$AP1102)),"子の生年月日がマスタと相違／","")&amp;IF(AND($L1102&lt;&gt;"",INDEX(職員マスタ!$G$6:$G$405,$AP1102)&lt;&gt;"",$L1102&lt;&gt;INDEX(職員マスタ!$G$6:$G$405,$AP1102)),"時短開始日がマスタと相違／","")&amp;IF(AND($M1102&lt;&gt;"",INDEX(職員マスタ!$H$6:$H$405,$AP1102)&lt;&gt;"",$M1102&lt;&gt;INDEX(職員マスタ!$H$6:$H$405,$AP1102)),"時短終了日がマスタと相違／","")))&amp;IF(AND($B1102&lt;&gt;"",$E1102=""),"報酬額が未入力／","")&amp;IF(N($U1102)&gt;0,"申請書に入力エラーが残っています／","")&amp;IF(AND($B1102&lt;&gt;"",$AQ1102&lt;&gt;""),IF(COUNTIFS($B$6:$B$3005,$B1102,$C$6:$C$3005,$C1102,$D$6:$D$3005,$D1102)&gt;1,"同じ月の請求が重複しています／",""),"")&amp;IF(AND(N($E1102)&gt;0,$AB1102&lt;&gt;"",$AB1102&lt;&gt;"×",$AE1102=0,$AD1102=""),"計算額が下限以下のため不支給／",""))</f>
        <v/>
      </c>
      <c r="AN1102" s="12" t="n"/>
      <c r="AO1102" s="14">
        <f>IF($AF1102="保留中",COUNTIF($AF$6:$AF1102,"保留中"),"")</f>
        <v/>
      </c>
      <c r="AP1102" s="14">
        <f>IF($AQ1102="","",IF(SUMPRODUCT(MAX((職員マスタ!$A$6:$A$405=$B1102)*(((職員マスタ!$G$6:$G$405="")+(職員マスタ!$G$6:$G$405&lt;=EOMONTH($AQ1102,0)))&gt;0)*(((職員マスタ!$H$6:$H$405="")+(職員マスタ!$H$6:$H$405&gt;=$AQ1102))&gt;0)*(ROW(職員マスタ!$A$6:$A$405)-5)))&gt;0,SUMPRODUCT(MAX((職員マスタ!$A$6:$A$405=$B1102)*(((職員マスタ!$G$6:$G$405="")+(職員マスタ!$G$6:$G$405&lt;=EOMONTH($AQ1102,0)))&gt;0)*(((職員マスタ!$H$6:$H$405="")+(職員マスタ!$H$6:$H$405&gt;=$AQ1102))&gt;0)*(ROW(職員マスタ!$A$6:$A$405)-5))),IFERROR(MATCH($B1102,職員マスタ!$A$6:$A$405,0),"")))</f>
        <v/>
      </c>
      <c r="AQ1102" s="16">
        <f>IF(OR($B1102="",$C1102="",$D1102=""),"",DATE($C1102+2018,$D1102,1))</f>
        <v/>
      </c>
    </row>
    <row r="1103">
      <c r="A1103" s="11" t="n"/>
      <c r="B1103" s="12" t="n"/>
      <c r="C1103" s="12" t="n"/>
      <c r="D1103" s="12" t="n"/>
      <c r="E1103" s="13" t="n"/>
      <c r="F1103" s="12" t="n"/>
      <c r="G1103" s="13" t="n"/>
      <c r="H1103" s="12" t="n"/>
      <c r="I1103" s="12" t="n"/>
      <c r="J1103" s="12" t="n"/>
      <c r="K1103" s="12" t="n"/>
      <c r="L1103" s="11" t="n"/>
      <c r="M1103" s="11" t="n"/>
      <c r="N1103" s="11" t="n"/>
      <c r="O1103" s="11" t="n"/>
      <c r="P1103" s="12" t="n"/>
      <c r="Q1103" s="11" t="n"/>
      <c r="R1103" s="12" t="n"/>
      <c r="S1103" s="11" t="n"/>
      <c r="T1103" s="12" t="n"/>
      <c r="U1103" s="12" t="n"/>
      <c r="V1103" s="12" t="n"/>
      <c r="W1103" s="13" t="n"/>
      <c r="X1103" s="14">
        <f>IF($AP1103="",IF($B1103="","",$H1103),IF(INDEX(職員マスタ!$B$6:$B$405,$AP1103)="",$H1103,INDEX(職員マスタ!$B$6:$B$405,$AP1103)))</f>
        <v/>
      </c>
      <c r="Y1103" s="14">
        <f>IF($AP1103="",IF($B1103="","",$R1103),IF(INDEX(職員マスタ!$C$6:$C$405,$AP1103)="",$R1103,INDEX(職員マスタ!$C$6:$C$405,$AP1103)))</f>
        <v/>
      </c>
      <c r="Z1103" s="14">
        <f>IF($AQ1103="","","R"&amp;$C1103&amp;"."&amp;$D1103)</f>
        <v/>
      </c>
      <c r="AA1103" s="15">
        <f>IF(IF($AP1103="",FALSE,INDEX(職員マスタ!$K$6:$K$405,$AP1103)&lt;&gt;""),INDEX(職員マスタ!$K$6:$K$405,$AP1103),IF(N($W1103)&gt;0,$W1103,""))</f>
        <v/>
      </c>
      <c r="AB1103" s="14">
        <f>IF(OR($E1103="",$AA1103=""),"",IF($E1103&gt;=$AA1103,"×",IF($E1103&gt;=$AA1103*設定!$C$5,"△","○")))</f>
        <v/>
      </c>
      <c r="AC1103" s="15">
        <f>IF($AB1103="","",IF($AB1103="×",0,IF($AB1103="○",ROUNDDOWN($E1103*設定!$C$4,0),ROUNDDOWN($E1103*ROUND((9*$AA1103-9*$E1103)/(10*$E1103),4),0))))</f>
        <v/>
      </c>
      <c r="AD1103" s="13" t="n"/>
      <c r="AE1103" s="15">
        <f>IF($B1103="","",IF($AD1103&lt;&gt;"",$AD1103,IF($AC1103="","",IF($AC1103&lt;=設定!$C$3,0,$AC1103))))</f>
        <v/>
      </c>
      <c r="AF1103" s="14">
        <f>IF($B1103="","",IF(AND($AG1103&lt;&gt;"",$AI1103="",$AL1103=""),"保留中",IF($AL1103&lt;&gt;"",IF(N($AE1103)&gt;0,"支給済","不支給"),IF($AE1103="","要確認",IF($AE1103=0,"不支給","未処理")))))</f>
        <v/>
      </c>
      <c r="AG1103" s="12" t="n"/>
      <c r="AH1103" s="11" t="n"/>
      <c r="AI1103" s="11" t="n"/>
      <c r="AJ1103" s="11" t="n"/>
      <c r="AK1103" s="14">
        <f>IF(AND($AF1103="保留中",$AH1103&lt;&gt;""),TODAY()-$AH1103,"")</f>
        <v/>
      </c>
      <c r="AL1103" s="12" t="n"/>
      <c r="AM1103" s="14">
        <f>IF($B1103="","",IF($AQ1103="","対象年月が未入力／","")&amp;IF($B1103="","",IF($AP1103="","職員マスタに未登録の職員番号／",IF($AA1103="","標準報酬月額が未登録／","")&amp;IF(AND($AQ1103&lt;&gt;"",OR(AND(INDEX(職員マスタ!$G$6:$G$405,$AP1103)&lt;&gt;"",INDEX(職員マスタ!$G$6:$G$405,$AP1103)&gt;EOMONTH($AQ1103,0)),AND(INDEX(職員マスタ!$H$6:$H$405,$AP1103)&lt;&gt;"",INDEX(職員マスタ!$H$6:$H$405,$AP1103)&lt;$AQ1103))),"対象月が時短期間外／","")&amp;IF(AND(INDEX(職員マスタ!$K$6:$K$405,$AP1103)&lt;&gt;"",N($W1103)&gt;0,INDEX(職員マスタ!$K$6:$K$405,$AP1103)&lt;&gt;$W1103),"標準報酬月額が申請書と相違（台帳"&amp;TEXT(INDEX(職員マスタ!$K$6:$K$405,$AP1103),"#,##0")&amp;"円／申請書"&amp;TEXT($W1103,"#,##0")&amp;"円）／","")&amp;IF(AND(INDEX(職員マスタ!$F$6:$F$405,$AP1103)&lt;&gt;"",$AQ1103&lt;&gt;"",INDEX(職員マスタ!$F$6:$F$405,$AP1103)&lt;$AQ1103),"対象月に子が2歳到達済／","")&amp;IF(AND($H1103&lt;&gt;"",INDEX(職員マスタ!$B$6:$B$405,$AP1103)&lt;&gt;"",SUBSTITUTE(SUBSTITUTE($H1103," ","")," ","")&lt;&gt;SUBSTITUTE(SUBSTITUTE(INDEX(職員マスタ!$B$6:$B$405,$AP1103)," ","")," ","")),"氏名がマスタと相違／","")&amp;IF(AND($Q1103&lt;&gt;"",INDEX(職員マスタ!$E$6:$E$405,$AP1103)&lt;&gt;"",$Q1103&lt;&gt;INDEX(職員マスタ!$E$6:$E$405,$AP1103)),"子の生年月日がマスタと相違／","")&amp;IF(AND($L1103&lt;&gt;"",INDEX(職員マスタ!$G$6:$G$405,$AP1103)&lt;&gt;"",$L1103&lt;&gt;INDEX(職員マスタ!$G$6:$G$405,$AP1103)),"時短開始日がマスタと相違／","")&amp;IF(AND($M1103&lt;&gt;"",INDEX(職員マスタ!$H$6:$H$405,$AP1103)&lt;&gt;"",$M1103&lt;&gt;INDEX(職員マスタ!$H$6:$H$405,$AP1103)),"時短終了日がマスタと相違／","")))&amp;IF(AND($B1103&lt;&gt;"",$E1103=""),"報酬額が未入力／","")&amp;IF(N($U1103)&gt;0,"申請書に入力エラーが残っています／","")&amp;IF(AND($B1103&lt;&gt;"",$AQ1103&lt;&gt;""),IF(COUNTIFS($B$6:$B$3005,$B1103,$C$6:$C$3005,$C1103,$D$6:$D$3005,$D1103)&gt;1,"同じ月の請求が重複しています／",""),"")&amp;IF(AND(N($E1103)&gt;0,$AB1103&lt;&gt;"",$AB1103&lt;&gt;"×",$AE1103=0,$AD1103=""),"計算額が下限以下のため不支給／",""))</f>
        <v/>
      </c>
      <c r="AN1103" s="12" t="n"/>
      <c r="AO1103" s="14">
        <f>IF($AF1103="保留中",COUNTIF($AF$6:$AF1103,"保留中"),"")</f>
        <v/>
      </c>
      <c r="AP1103" s="14">
        <f>IF($AQ1103="","",IF(SUMPRODUCT(MAX((職員マスタ!$A$6:$A$405=$B1103)*(((職員マスタ!$G$6:$G$405="")+(職員マスタ!$G$6:$G$405&lt;=EOMONTH($AQ1103,0)))&gt;0)*(((職員マスタ!$H$6:$H$405="")+(職員マスタ!$H$6:$H$405&gt;=$AQ1103))&gt;0)*(ROW(職員マスタ!$A$6:$A$405)-5)))&gt;0,SUMPRODUCT(MAX((職員マスタ!$A$6:$A$405=$B1103)*(((職員マスタ!$G$6:$G$405="")+(職員マスタ!$G$6:$G$405&lt;=EOMONTH($AQ1103,0)))&gt;0)*(((職員マスタ!$H$6:$H$405="")+(職員マスタ!$H$6:$H$405&gt;=$AQ1103))&gt;0)*(ROW(職員マスタ!$A$6:$A$405)-5))),IFERROR(MATCH($B1103,職員マスタ!$A$6:$A$405,0),"")))</f>
        <v/>
      </c>
      <c r="AQ1103" s="16">
        <f>IF(OR($B1103="",$C1103="",$D1103=""),"",DATE($C1103+2018,$D1103,1))</f>
        <v/>
      </c>
    </row>
    <row r="1104">
      <c r="A1104" s="11" t="n"/>
      <c r="B1104" s="12" t="n"/>
      <c r="C1104" s="12" t="n"/>
      <c r="D1104" s="12" t="n"/>
      <c r="E1104" s="13" t="n"/>
      <c r="F1104" s="12" t="n"/>
      <c r="G1104" s="13" t="n"/>
      <c r="H1104" s="12" t="n"/>
      <c r="I1104" s="12" t="n"/>
      <c r="J1104" s="12" t="n"/>
      <c r="K1104" s="12" t="n"/>
      <c r="L1104" s="11" t="n"/>
      <c r="M1104" s="11" t="n"/>
      <c r="N1104" s="11" t="n"/>
      <c r="O1104" s="11" t="n"/>
      <c r="P1104" s="12" t="n"/>
      <c r="Q1104" s="11" t="n"/>
      <c r="R1104" s="12" t="n"/>
      <c r="S1104" s="11" t="n"/>
      <c r="T1104" s="12" t="n"/>
      <c r="U1104" s="12" t="n"/>
      <c r="V1104" s="12" t="n"/>
      <c r="W1104" s="13" t="n"/>
      <c r="X1104" s="14">
        <f>IF($AP1104="",IF($B1104="","",$H1104),IF(INDEX(職員マスタ!$B$6:$B$405,$AP1104)="",$H1104,INDEX(職員マスタ!$B$6:$B$405,$AP1104)))</f>
        <v/>
      </c>
      <c r="Y1104" s="14">
        <f>IF($AP1104="",IF($B1104="","",$R1104),IF(INDEX(職員マスタ!$C$6:$C$405,$AP1104)="",$R1104,INDEX(職員マスタ!$C$6:$C$405,$AP1104)))</f>
        <v/>
      </c>
      <c r="Z1104" s="14">
        <f>IF($AQ1104="","","R"&amp;$C1104&amp;"."&amp;$D1104)</f>
        <v/>
      </c>
      <c r="AA1104" s="15">
        <f>IF(IF($AP1104="",FALSE,INDEX(職員マスタ!$K$6:$K$405,$AP1104)&lt;&gt;""),INDEX(職員マスタ!$K$6:$K$405,$AP1104),IF(N($W1104)&gt;0,$W1104,""))</f>
        <v/>
      </c>
      <c r="AB1104" s="14">
        <f>IF(OR($E1104="",$AA1104=""),"",IF($E1104&gt;=$AA1104,"×",IF($E1104&gt;=$AA1104*設定!$C$5,"△","○")))</f>
        <v/>
      </c>
      <c r="AC1104" s="15">
        <f>IF($AB1104="","",IF($AB1104="×",0,IF($AB1104="○",ROUNDDOWN($E1104*設定!$C$4,0),ROUNDDOWN($E1104*ROUND((9*$AA1104-9*$E1104)/(10*$E1104),4),0))))</f>
        <v/>
      </c>
      <c r="AD1104" s="13" t="n"/>
      <c r="AE1104" s="15">
        <f>IF($B1104="","",IF($AD1104&lt;&gt;"",$AD1104,IF($AC1104="","",IF($AC1104&lt;=設定!$C$3,0,$AC1104))))</f>
        <v/>
      </c>
      <c r="AF1104" s="14">
        <f>IF($B1104="","",IF(AND($AG1104&lt;&gt;"",$AI1104="",$AL1104=""),"保留中",IF($AL1104&lt;&gt;"",IF(N($AE1104)&gt;0,"支給済","不支給"),IF($AE1104="","要確認",IF($AE1104=0,"不支給","未処理")))))</f>
        <v/>
      </c>
      <c r="AG1104" s="12" t="n"/>
      <c r="AH1104" s="11" t="n"/>
      <c r="AI1104" s="11" t="n"/>
      <c r="AJ1104" s="11" t="n"/>
      <c r="AK1104" s="14">
        <f>IF(AND($AF1104="保留中",$AH1104&lt;&gt;""),TODAY()-$AH1104,"")</f>
        <v/>
      </c>
      <c r="AL1104" s="12" t="n"/>
      <c r="AM1104" s="14">
        <f>IF($B1104="","",IF($AQ1104="","対象年月が未入力／","")&amp;IF($B1104="","",IF($AP1104="","職員マスタに未登録の職員番号／",IF($AA1104="","標準報酬月額が未登録／","")&amp;IF(AND($AQ1104&lt;&gt;"",OR(AND(INDEX(職員マスタ!$G$6:$G$405,$AP1104)&lt;&gt;"",INDEX(職員マスタ!$G$6:$G$405,$AP1104)&gt;EOMONTH($AQ1104,0)),AND(INDEX(職員マスタ!$H$6:$H$405,$AP1104)&lt;&gt;"",INDEX(職員マスタ!$H$6:$H$405,$AP1104)&lt;$AQ1104))),"対象月が時短期間外／","")&amp;IF(AND(INDEX(職員マスタ!$K$6:$K$405,$AP1104)&lt;&gt;"",N($W1104)&gt;0,INDEX(職員マスタ!$K$6:$K$405,$AP1104)&lt;&gt;$W1104),"標準報酬月額が申請書と相違（台帳"&amp;TEXT(INDEX(職員マスタ!$K$6:$K$405,$AP1104),"#,##0")&amp;"円／申請書"&amp;TEXT($W1104,"#,##0")&amp;"円）／","")&amp;IF(AND(INDEX(職員マスタ!$F$6:$F$405,$AP1104)&lt;&gt;"",$AQ1104&lt;&gt;"",INDEX(職員マスタ!$F$6:$F$405,$AP1104)&lt;$AQ1104),"対象月に子が2歳到達済／","")&amp;IF(AND($H1104&lt;&gt;"",INDEX(職員マスタ!$B$6:$B$405,$AP1104)&lt;&gt;"",SUBSTITUTE(SUBSTITUTE($H1104," ","")," ","")&lt;&gt;SUBSTITUTE(SUBSTITUTE(INDEX(職員マスタ!$B$6:$B$405,$AP1104)," ","")," ","")),"氏名がマスタと相違／","")&amp;IF(AND($Q1104&lt;&gt;"",INDEX(職員マスタ!$E$6:$E$405,$AP1104)&lt;&gt;"",$Q1104&lt;&gt;INDEX(職員マスタ!$E$6:$E$405,$AP1104)),"子の生年月日がマスタと相違／","")&amp;IF(AND($L1104&lt;&gt;"",INDEX(職員マスタ!$G$6:$G$405,$AP1104)&lt;&gt;"",$L1104&lt;&gt;INDEX(職員マスタ!$G$6:$G$405,$AP1104)),"時短開始日がマスタと相違／","")&amp;IF(AND($M1104&lt;&gt;"",INDEX(職員マスタ!$H$6:$H$405,$AP1104)&lt;&gt;"",$M1104&lt;&gt;INDEX(職員マスタ!$H$6:$H$405,$AP1104)),"時短終了日がマスタと相違／","")))&amp;IF(AND($B1104&lt;&gt;"",$E1104=""),"報酬額が未入力／","")&amp;IF(N($U1104)&gt;0,"申請書に入力エラーが残っています／","")&amp;IF(AND($B1104&lt;&gt;"",$AQ1104&lt;&gt;""),IF(COUNTIFS($B$6:$B$3005,$B1104,$C$6:$C$3005,$C1104,$D$6:$D$3005,$D1104)&gt;1,"同じ月の請求が重複しています／",""),"")&amp;IF(AND(N($E1104)&gt;0,$AB1104&lt;&gt;"",$AB1104&lt;&gt;"×",$AE1104=0,$AD1104=""),"計算額が下限以下のため不支給／",""))</f>
        <v/>
      </c>
      <c r="AN1104" s="12" t="n"/>
      <c r="AO1104" s="14">
        <f>IF($AF1104="保留中",COUNTIF($AF$6:$AF1104,"保留中"),"")</f>
        <v/>
      </c>
      <c r="AP1104" s="14">
        <f>IF($AQ1104="","",IF(SUMPRODUCT(MAX((職員マスタ!$A$6:$A$405=$B1104)*(((職員マスタ!$G$6:$G$405="")+(職員マスタ!$G$6:$G$405&lt;=EOMONTH($AQ1104,0)))&gt;0)*(((職員マスタ!$H$6:$H$405="")+(職員マスタ!$H$6:$H$405&gt;=$AQ1104))&gt;0)*(ROW(職員マスタ!$A$6:$A$405)-5)))&gt;0,SUMPRODUCT(MAX((職員マスタ!$A$6:$A$405=$B1104)*(((職員マスタ!$G$6:$G$405="")+(職員マスタ!$G$6:$G$405&lt;=EOMONTH($AQ1104,0)))&gt;0)*(((職員マスタ!$H$6:$H$405="")+(職員マスタ!$H$6:$H$405&gt;=$AQ1104))&gt;0)*(ROW(職員マスタ!$A$6:$A$405)-5))),IFERROR(MATCH($B1104,職員マスタ!$A$6:$A$405,0),"")))</f>
        <v/>
      </c>
      <c r="AQ1104" s="16">
        <f>IF(OR($B1104="",$C1104="",$D1104=""),"",DATE($C1104+2018,$D1104,1))</f>
        <v/>
      </c>
    </row>
    <row r="1105">
      <c r="A1105" s="11" t="n"/>
      <c r="B1105" s="12" t="n"/>
      <c r="C1105" s="12" t="n"/>
      <c r="D1105" s="12" t="n"/>
      <c r="E1105" s="13" t="n"/>
      <c r="F1105" s="12" t="n"/>
      <c r="G1105" s="13" t="n"/>
      <c r="H1105" s="12" t="n"/>
      <c r="I1105" s="12" t="n"/>
      <c r="J1105" s="12" t="n"/>
      <c r="K1105" s="12" t="n"/>
      <c r="L1105" s="11" t="n"/>
      <c r="M1105" s="11" t="n"/>
      <c r="N1105" s="11" t="n"/>
      <c r="O1105" s="11" t="n"/>
      <c r="P1105" s="12" t="n"/>
      <c r="Q1105" s="11" t="n"/>
      <c r="R1105" s="12" t="n"/>
      <c r="S1105" s="11" t="n"/>
      <c r="T1105" s="12" t="n"/>
      <c r="U1105" s="12" t="n"/>
      <c r="V1105" s="12" t="n"/>
      <c r="W1105" s="13" t="n"/>
      <c r="X1105" s="14">
        <f>IF($AP1105="",IF($B1105="","",$H1105),IF(INDEX(職員マスタ!$B$6:$B$405,$AP1105)="",$H1105,INDEX(職員マスタ!$B$6:$B$405,$AP1105)))</f>
        <v/>
      </c>
      <c r="Y1105" s="14">
        <f>IF($AP1105="",IF($B1105="","",$R1105),IF(INDEX(職員マスタ!$C$6:$C$405,$AP1105)="",$R1105,INDEX(職員マスタ!$C$6:$C$405,$AP1105)))</f>
        <v/>
      </c>
      <c r="Z1105" s="14">
        <f>IF($AQ1105="","","R"&amp;$C1105&amp;"."&amp;$D1105)</f>
        <v/>
      </c>
      <c r="AA1105" s="15">
        <f>IF(IF($AP1105="",FALSE,INDEX(職員マスタ!$K$6:$K$405,$AP1105)&lt;&gt;""),INDEX(職員マスタ!$K$6:$K$405,$AP1105),IF(N($W1105)&gt;0,$W1105,""))</f>
        <v/>
      </c>
      <c r="AB1105" s="14">
        <f>IF(OR($E1105="",$AA1105=""),"",IF($E1105&gt;=$AA1105,"×",IF($E1105&gt;=$AA1105*設定!$C$5,"△","○")))</f>
        <v/>
      </c>
      <c r="AC1105" s="15">
        <f>IF($AB1105="","",IF($AB1105="×",0,IF($AB1105="○",ROUNDDOWN($E1105*設定!$C$4,0),ROUNDDOWN($E1105*ROUND((9*$AA1105-9*$E1105)/(10*$E1105),4),0))))</f>
        <v/>
      </c>
      <c r="AD1105" s="13" t="n"/>
      <c r="AE1105" s="15">
        <f>IF($B1105="","",IF($AD1105&lt;&gt;"",$AD1105,IF($AC1105="","",IF($AC1105&lt;=設定!$C$3,0,$AC1105))))</f>
        <v/>
      </c>
      <c r="AF1105" s="14">
        <f>IF($B1105="","",IF(AND($AG1105&lt;&gt;"",$AI1105="",$AL1105=""),"保留中",IF($AL1105&lt;&gt;"",IF(N($AE1105)&gt;0,"支給済","不支給"),IF($AE1105="","要確認",IF($AE1105=0,"不支給","未処理")))))</f>
        <v/>
      </c>
      <c r="AG1105" s="12" t="n"/>
      <c r="AH1105" s="11" t="n"/>
      <c r="AI1105" s="11" t="n"/>
      <c r="AJ1105" s="11" t="n"/>
      <c r="AK1105" s="14">
        <f>IF(AND($AF1105="保留中",$AH1105&lt;&gt;""),TODAY()-$AH1105,"")</f>
        <v/>
      </c>
      <c r="AL1105" s="12" t="n"/>
      <c r="AM1105" s="14">
        <f>IF($B1105="","",IF($AQ1105="","対象年月が未入力／","")&amp;IF($B1105="","",IF($AP1105="","職員マスタに未登録の職員番号／",IF($AA1105="","標準報酬月額が未登録／","")&amp;IF(AND($AQ1105&lt;&gt;"",OR(AND(INDEX(職員マスタ!$G$6:$G$405,$AP1105)&lt;&gt;"",INDEX(職員マスタ!$G$6:$G$405,$AP1105)&gt;EOMONTH($AQ1105,0)),AND(INDEX(職員マスタ!$H$6:$H$405,$AP1105)&lt;&gt;"",INDEX(職員マスタ!$H$6:$H$405,$AP1105)&lt;$AQ1105))),"対象月が時短期間外／","")&amp;IF(AND(INDEX(職員マスタ!$K$6:$K$405,$AP1105)&lt;&gt;"",N($W1105)&gt;0,INDEX(職員マスタ!$K$6:$K$405,$AP1105)&lt;&gt;$W1105),"標準報酬月額が申請書と相違（台帳"&amp;TEXT(INDEX(職員マスタ!$K$6:$K$405,$AP1105),"#,##0")&amp;"円／申請書"&amp;TEXT($W1105,"#,##0")&amp;"円）／","")&amp;IF(AND(INDEX(職員マスタ!$F$6:$F$405,$AP1105)&lt;&gt;"",$AQ1105&lt;&gt;"",INDEX(職員マスタ!$F$6:$F$405,$AP1105)&lt;$AQ1105),"対象月に子が2歳到達済／","")&amp;IF(AND($H1105&lt;&gt;"",INDEX(職員マスタ!$B$6:$B$405,$AP1105)&lt;&gt;"",SUBSTITUTE(SUBSTITUTE($H1105," ","")," ","")&lt;&gt;SUBSTITUTE(SUBSTITUTE(INDEX(職員マスタ!$B$6:$B$405,$AP1105)," ","")," ","")),"氏名がマスタと相違／","")&amp;IF(AND($Q1105&lt;&gt;"",INDEX(職員マスタ!$E$6:$E$405,$AP1105)&lt;&gt;"",$Q1105&lt;&gt;INDEX(職員マスタ!$E$6:$E$405,$AP1105)),"子の生年月日がマスタと相違／","")&amp;IF(AND($L1105&lt;&gt;"",INDEX(職員マスタ!$G$6:$G$405,$AP1105)&lt;&gt;"",$L1105&lt;&gt;INDEX(職員マスタ!$G$6:$G$405,$AP1105)),"時短開始日がマスタと相違／","")&amp;IF(AND($M1105&lt;&gt;"",INDEX(職員マスタ!$H$6:$H$405,$AP1105)&lt;&gt;"",$M1105&lt;&gt;INDEX(職員マスタ!$H$6:$H$405,$AP1105)),"時短終了日がマスタと相違／","")))&amp;IF(AND($B1105&lt;&gt;"",$E1105=""),"報酬額が未入力／","")&amp;IF(N($U1105)&gt;0,"申請書に入力エラーが残っています／","")&amp;IF(AND($B1105&lt;&gt;"",$AQ1105&lt;&gt;""),IF(COUNTIFS($B$6:$B$3005,$B1105,$C$6:$C$3005,$C1105,$D$6:$D$3005,$D1105)&gt;1,"同じ月の請求が重複しています／",""),"")&amp;IF(AND(N($E1105)&gt;0,$AB1105&lt;&gt;"",$AB1105&lt;&gt;"×",$AE1105=0,$AD1105=""),"計算額が下限以下のため不支給／",""))</f>
        <v/>
      </c>
      <c r="AN1105" s="12" t="n"/>
      <c r="AO1105" s="14">
        <f>IF($AF1105="保留中",COUNTIF($AF$6:$AF1105,"保留中"),"")</f>
        <v/>
      </c>
      <c r="AP1105" s="14">
        <f>IF($AQ1105="","",IF(SUMPRODUCT(MAX((職員マスタ!$A$6:$A$405=$B1105)*(((職員マスタ!$G$6:$G$405="")+(職員マスタ!$G$6:$G$405&lt;=EOMONTH($AQ1105,0)))&gt;0)*(((職員マスタ!$H$6:$H$405="")+(職員マスタ!$H$6:$H$405&gt;=$AQ1105))&gt;0)*(ROW(職員マスタ!$A$6:$A$405)-5)))&gt;0,SUMPRODUCT(MAX((職員マスタ!$A$6:$A$405=$B1105)*(((職員マスタ!$G$6:$G$405="")+(職員マスタ!$G$6:$G$405&lt;=EOMONTH($AQ1105,0)))&gt;0)*(((職員マスタ!$H$6:$H$405="")+(職員マスタ!$H$6:$H$405&gt;=$AQ1105))&gt;0)*(ROW(職員マスタ!$A$6:$A$405)-5))),IFERROR(MATCH($B1105,職員マスタ!$A$6:$A$405,0),"")))</f>
        <v/>
      </c>
      <c r="AQ1105" s="16">
        <f>IF(OR($B1105="",$C1105="",$D1105=""),"",DATE($C1105+2018,$D1105,1))</f>
        <v/>
      </c>
    </row>
    <row r="1106">
      <c r="A1106" s="11" t="n"/>
      <c r="B1106" s="12" t="n"/>
      <c r="C1106" s="12" t="n"/>
      <c r="D1106" s="12" t="n"/>
      <c r="E1106" s="13" t="n"/>
      <c r="F1106" s="12" t="n"/>
      <c r="G1106" s="13" t="n"/>
      <c r="H1106" s="12" t="n"/>
      <c r="I1106" s="12" t="n"/>
      <c r="J1106" s="12" t="n"/>
      <c r="K1106" s="12" t="n"/>
      <c r="L1106" s="11" t="n"/>
      <c r="M1106" s="11" t="n"/>
      <c r="N1106" s="11" t="n"/>
      <c r="O1106" s="11" t="n"/>
      <c r="P1106" s="12" t="n"/>
      <c r="Q1106" s="11" t="n"/>
      <c r="R1106" s="12" t="n"/>
      <c r="S1106" s="11" t="n"/>
      <c r="T1106" s="12" t="n"/>
      <c r="U1106" s="12" t="n"/>
      <c r="V1106" s="12" t="n"/>
      <c r="W1106" s="13" t="n"/>
      <c r="X1106" s="14">
        <f>IF($AP1106="",IF($B1106="","",$H1106),IF(INDEX(職員マスタ!$B$6:$B$405,$AP1106)="",$H1106,INDEX(職員マスタ!$B$6:$B$405,$AP1106)))</f>
        <v/>
      </c>
      <c r="Y1106" s="14">
        <f>IF($AP1106="",IF($B1106="","",$R1106),IF(INDEX(職員マスタ!$C$6:$C$405,$AP1106)="",$R1106,INDEX(職員マスタ!$C$6:$C$405,$AP1106)))</f>
        <v/>
      </c>
      <c r="Z1106" s="14">
        <f>IF($AQ1106="","","R"&amp;$C1106&amp;"."&amp;$D1106)</f>
        <v/>
      </c>
      <c r="AA1106" s="15">
        <f>IF(IF($AP1106="",FALSE,INDEX(職員マスタ!$K$6:$K$405,$AP1106)&lt;&gt;""),INDEX(職員マスタ!$K$6:$K$405,$AP1106),IF(N($W1106)&gt;0,$W1106,""))</f>
        <v/>
      </c>
      <c r="AB1106" s="14">
        <f>IF(OR($E1106="",$AA1106=""),"",IF($E1106&gt;=$AA1106,"×",IF($E1106&gt;=$AA1106*設定!$C$5,"△","○")))</f>
        <v/>
      </c>
      <c r="AC1106" s="15">
        <f>IF($AB1106="","",IF($AB1106="×",0,IF($AB1106="○",ROUNDDOWN($E1106*設定!$C$4,0),ROUNDDOWN($E1106*ROUND((9*$AA1106-9*$E1106)/(10*$E1106),4),0))))</f>
        <v/>
      </c>
      <c r="AD1106" s="13" t="n"/>
      <c r="AE1106" s="15">
        <f>IF($B1106="","",IF($AD1106&lt;&gt;"",$AD1106,IF($AC1106="","",IF($AC1106&lt;=設定!$C$3,0,$AC1106))))</f>
        <v/>
      </c>
      <c r="AF1106" s="14">
        <f>IF($B1106="","",IF(AND($AG1106&lt;&gt;"",$AI1106="",$AL1106=""),"保留中",IF($AL1106&lt;&gt;"",IF(N($AE1106)&gt;0,"支給済","不支給"),IF($AE1106="","要確認",IF($AE1106=0,"不支給","未処理")))))</f>
        <v/>
      </c>
      <c r="AG1106" s="12" t="n"/>
      <c r="AH1106" s="11" t="n"/>
      <c r="AI1106" s="11" t="n"/>
      <c r="AJ1106" s="11" t="n"/>
      <c r="AK1106" s="14">
        <f>IF(AND($AF1106="保留中",$AH1106&lt;&gt;""),TODAY()-$AH1106,"")</f>
        <v/>
      </c>
      <c r="AL1106" s="12" t="n"/>
      <c r="AM1106" s="14">
        <f>IF($B1106="","",IF($AQ1106="","対象年月が未入力／","")&amp;IF($B1106="","",IF($AP1106="","職員マスタに未登録の職員番号／",IF($AA1106="","標準報酬月額が未登録／","")&amp;IF(AND($AQ1106&lt;&gt;"",OR(AND(INDEX(職員マスタ!$G$6:$G$405,$AP1106)&lt;&gt;"",INDEX(職員マスタ!$G$6:$G$405,$AP1106)&gt;EOMONTH($AQ1106,0)),AND(INDEX(職員マスタ!$H$6:$H$405,$AP1106)&lt;&gt;"",INDEX(職員マスタ!$H$6:$H$405,$AP1106)&lt;$AQ1106))),"対象月が時短期間外／","")&amp;IF(AND(INDEX(職員マスタ!$K$6:$K$405,$AP1106)&lt;&gt;"",N($W1106)&gt;0,INDEX(職員マスタ!$K$6:$K$405,$AP1106)&lt;&gt;$W1106),"標準報酬月額が申請書と相違（台帳"&amp;TEXT(INDEX(職員マスタ!$K$6:$K$405,$AP1106),"#,##0")&amp;"円／申請書"&amp;TEXT($W1106,"#,##0")&amp;"円）／","")&amp;IF(AND(INDEX(職員マスタ!$F$6:$F$405,$AP1106)&lt;&gt;"",$AQ1106&lt;&gt;"",INDEX(職員マスタ!$F$6:$F$405,$AP1106)&lt;$AQ1106),"対象月に子が2歳到達済／","")&amp;IF(AND($H1106&lt;&gt;"",INDEX(職員マスタ!$B$6:$B$405,$AP1106)&lt;&gt;"",SUBSTITUTE(SUBSTITUTE($H1106," ","")," ","")&lt;&gt;SUBSTITUTE(SUBSTITUTE(INDEX(職員マスタ!$B$6:$B$405,$AP1106)," ","")," ","")),"氏名がマスタと相違／","")&amp;IF(AND($Q1106&lt;&gt;"",INDEX(職員マスタ!$E$6:$E$405,$AP1106)&lt;&gt;"",$Q1106&lt;&gt;INDEX(職員マスタ!$E$6:$E$405,$AP1106)),"子の生年月日がマスタと相違／","")&amp;IF(AND($L1106&lt;&gt;"",INDEX(職員マスタ!$G$6:$G$405,$AP1106)&lt;&gt;"",$L1106&lt;&gt;INDEX(職員マスタ!$G$6:$G$405,$AP1106)),"時短開始日がマスタと相違／","")&amp;IF(AND($M1106&lt;&gt;"",INDEX(職員マスタ!$H$6:$H$405,$AP1106)&lt;&gt;"",$M1106&lt;&gt;INDEX(職員マスタ!$H$6:$H$405,$AP1106)),"時短終了日がマスタと相違／","")))&amp;IF(AND($B1106&lt;&gt;"",$E1106=""),"報酬額が未入力／","")&amp;IF(N($U1106)&gt;0,"申請書に入力エラーが残っています／","")&amp;IF(AND($B1106&lt;&gt;"",$AQ1106&lt;&gt;""),IF(COUNTIFS($B$6:$B$3005,$B1106,$C$6:$C$3005,$C1106,$D$6:$D$3005,$D1106)&gt;1,"同じ月の請求が重複しています／",""),"")&amp;IF(AND(N($E1106)&gt;0,$AB1106&lt;&gt;"",$AB1106&lt;&gt;"×",$AE1106=0,$AD1106=""),"計算額が下限以下のため不支給／",""))</f>
        <v/>
      </c>
      <c r="AN1106" s="12" t="n"/>
      <c r="AO1106" s="14">
        <f>IF($AF1106="保留中",COUNTIF($AF$6:$AF1106,"保留中"),"")</f>
        <v/>
      </c>
      <c r="AP1106" s="14">
        <f>IF($AQ1106="","",IF(SUMPRODUCT(MAX((職員マスタ!$A$6:$A$405=$B1106)*(((職員マスタ!$G$6:$G$405="")+(職員マスタ!$G$6:$G$405&lt;=EOMONTH($AQ1106,0)))&gt;0)*(((職員マスタ!$H$6:$H$405="")+(職員マスタ!$H$6:$H$405&gt;=$AQ1106))&gt;0)*(ROW(職員マスタ!$A$6:$A$405)-5)))&gt;0,SUMPRODUCT(MAX((職員マスタ!$A$6:$A$405=$B1106)*(((職員マスタ!$G$6:$G$405="")+(職員マスタ!$G$6:$G$405&lt;=EOMONTH($AQ1106,0)))&gt;0)*(((職員マスタ!$H$6:$H$405="")+(職員マスタ!$H$6:$H$405&gt;=$AQ1106))&gt;0)*(ROW(職員マスタ!$A$6:$A$405)-5))),IFERROR(MATCH($B1106,職員マスタ!$A$6:$A$405,0),"")))</f>
        <v/>
      </c>
      <c r="AQ1106" s="16">
        <f>IF(OR($B1106="",$C1106="",$D1106=""),"",DATE($C1106+2018,$D1106,1))</f>
        <v/>
      </c>
    </row>
    <row r="1107">
      <c r="A1107" s="11" t="n"/>
      <c r="B1107" s="12" t="n"/>
      <c r="C1107" s="12" t="n"/>
      <c r="D1107" s="12" t="n"/>
      <c r="E1107" s="13" t="n"/>
      <c r="F1107" s="12" t="n"/>
      <c r="G1107" s="13" t="n"/>
      <c r="H1107" s="12" t="n"/>
      <c r="I1107" s="12" t="n"/>
      <c r="J1107" s="12" t="n"/>
      <c r="K1107" s="12" t="n"/>
      <c r="L1107" s="11" t="n"/>
      <c r="M1107" s="11" t="n"/>
      <c r="N1107" s="11" t="n"/>
      <c r="O1107" s="11" t="n"/>
      <c r="P1107" s="12" t="n"/>
      <c r="Q1107" s="11" t="n"/>
      <c r="R1107" s="12" t="n"/>
      <c r="S1107" s="11" t="n"/>
      <c r="T1107" s="12" t="n"/>
      <c r="U1107" s="12" t="n"/>
      <c r="V1107" s="12" t="n"/>
      <c r="W1107" s="13" t="n"/>
      <c r="X1107" s="14">
        <f>IF($AP1107="",IF($B1107="","",$H1107),IF(INDEX(職員マスタ!$B$6:$B$405,$AP1107)="",$H1107,INDEX(職員マスタ!$B$6:$B$405,$AP1107)))</f>
        <v/>
      </c>
      <c r="Y1107" s="14">
        <f>IF($AP1107="",IF($B1107="","",$R1107),IF(INDEX(職員マスタ!$C$6:$C$405,$AP1107)="",$R1107,INDEX(職員マスタ!$C$6:$C$405,$AP1107)))</f>
        <v/>
      </c>
      <c r="Z1107" s="14">
        <f>IF($AQ1107="","","R"&amp;$C1107&amp;"."&amp;$D1107)</f>
        <v/>
      </c>
      <c r="AA1107" s="15">
        <f>IF(IF($AP1107="",FALSE,INDEX(職員マスタ!$K$6:$K$405,$AP1107)&lt;&gt;""),INDEX(職員マスタ!$K$6:$K$405,$AP1107),IF(N($W1107)&gt;0,$W1107,""))</f>
        <v/>
      </c>
      <c r="AB1107" s="14">
        <f>IF(OR($E1107="",$AA1107=""),"",IF($E1107&gt;=$AA1107,"×",IF($E1107&gt;=$AA1107*設定!$C$5,"△","○")))</f>
        <v/>
      </c>
      <c r="AC1107" s="15">
        <f>IF($AB1107="","",IF($AB1107="×",0,IF($AB1107="○",ROUNDDOWN($E1107*設定!$C$4,0),ROUNDDOWN($E1107*ROUND((9*$AA1107-9*$E1107)/(10*$E1107),4),0))))</f>
        <v/>
      </c>
      <c r="AD1107" s="13" t="n"/>
      <c r="AE1107" s="15">
        <f>IF($B1107="","",IF($AD1107&lt;&gt;"",$AD1107,IF($AC1107="","",IF($AC1107&lt;=設定!$C$3,0,$AC1107))))</f>
        <v/>
      </c>
      <c r="AF1107" s="14">
        <f>IF($B1107="","",IF(AND($AG1107&lt;&gt;"",$AI1107="",$AL1107=""),"保留中",IF($AL1107&lt;&gt;"",IF(N($AE1107)&gt;0,"支給済","不支給"),IF($AE1107="","要確認",IF($AE1107=0,"不支給","未処理")))))</f>
        <v/>
      </c>
      <c r="AG1107" s="12" t="n"/>
      <c r="AH1107" s="11" t="n"/>
      <c r="AI1107" s="11" t="n"/>
      <c r="AJ1107" s="11" t="n"/>
      <c r="AK1107" s="14">
        <f>IF(AND($AF1107="保留中",$AH1107&lt;&gt;""),TODAY()-$AH1107,"")</f>
        <v/>
      </c>
      <c r="AL1107" s="12" t="n"/>
      <c r="AM1107" s="14">
        <f>IF($B1107="","",IF($AQ1107="","対象年月が未入力／","")&amp;IF($B1107="","",IF($AP1107="","職員マスタに未登録の職員番号／",IF($AA1107="","標準報酬月額が未登録／","")&amp;IF(AND($AQ1107&lt;&gt;"",OR(AND(INDEX(職員マスタ!$G$6:$G$405,$AP1107)&lt;&gt;"",INDEX(職員マスタ!$G$6:$G$405,$AP1107)&gt;EOMONTH($AQ1107,0)),AND(INDEX(職員マスタ!$H$6:$H$405,$AP1107)&lt;&gt;"",INDEX(職員マスタ!$H$6:$H$405,$AP1107)&lt;$AQ1107))),"対象月が時短期間外／","")&amp;IF(AND(INDEX(職員マスタ!$K$6:$K$405,$AP1107)&lt;&gt;"",N($W1107)&gt;0,INDEX(職員マスタ!$K$6:$K$405,$AP1107)&lt;&gt;$W1107),"標準報酬月額が申請書と相違（台帳"&amp;TEXT(INDEX(職員マスタ!$K$6:$K$405,$AP1107),"#,##0")&amp;"円／申請書"&amp;TEXT($W1107,"#,##0")&amp;"円）／","")&amp;IF(AND(INDEX(職員マスタ!$F$6:$F$405,$AP1107)&lt;&gt;"",$AQ1107&lt;&gt;"",INDEX(職員マスタ!$F$6:$F$405,$AP1107)&lt;$AQ1107),"対象月に子が2歳到達済／","")&amp;IF(AND($H1107&lt;&gt;"",INDEX(職員マスタ!$B$6:$B$405,$AP1107)&lt;&gt;"",SUBSTITUTE(SUBSTITUTE($H1107," ","")," ","")&lt;&gt;SUBSTITUTE(SUBSTITUTE(INDEX(職員マスタ!$B$6:$B$405,$AP1107)," ","")," ","")),"氏名がマスタと相違／","")&amp;IF(AND($Q1107&lt;&gt;"",INDEX(職員マスタ!$E$6:$E$405,$AP1107)&lt;&gt;"",$Q1107&lt;&gt;INDEX(職員マスタ!$E$6:$E$405,$AP1107)),"子の生年月日がマスタと相違／","")&amp;IF(AND($L1107&lt;&gt;"",INDEX(職員マスタ!$G$6:$G$405,$AP1107)&lt;&gt;"",$L1107&lt;&gt;INDEX(職員マスタ!$G$6:$G$405,$AP1107)),"時短開始日がマスタと相違／","")&amp;IF(AND($M1107&lt;&gt;"",INDEX(職員マスタ!$H$6:$H$405,$AP1107)&lt;&gt;"",$M1107&lt;&gt;INDEX(職員マスタ!$H$6:$H$405,$AP1107)),"時短終了日がマスタと相違／","")))&amp;IF(AND($B1107&lt;&gt;"",$E1107=""),"報酬額が未入力／","")&amp;IF(N($U1107)&gt;0,"申請書に入力エラーが残っています／","")&amp;IF(AND($B1107&lt;&gt;"",$AQ1107&lt;&gt;""),IF(COUNTIFS($B$6:$B$3005,$B1107,$C$6:$C$3005,$C1107,$D$6:$D$3005,$D1107)&gt;1,"同じ月の請求が重複しています／",""),"")&amp;IF(AND(N($E1107)&gt;0,$AB1107&lt;&gt;"",$AB1107&lt;&gt;"×",$AE1107=0,$AD1107=""),"計算額が下限以下のため不支給／",""))</f>
        <v/>
      </c>
      <c r="AN1107" s="12" t="n"/>
      <c r="AO1107" s="14">
        <f>IF($AF1107="保留中",COUNTIF($AF$6:$AF1107,"保留中"),"")</f>
        <v/>
      </c>
      <c r="AP1107" s="14">
        <f>IF($AQ1107="","",IF(SUMPRODUCT(MAX((職員マスタ!$A$6:$A$405=$B1107)*(((職員マスタ!$G$6:$G$405="")+(職員マスタ!$G$6:$G$405&lt;=EOMONTH($AQ1107,0)))&gt;0)*(((職員マスタ!$H$6:$H$405="")+(職員マスタ!$H$6:$H$405&gt;=$AQ1107))&gt;0)*(ROW(職員マスタ!$A$6:$A$405)-5)))&gt;0,SUMPRODUCT(MAX((職員マスタ!$A$6:$A$405=$B1107)*(((職員マスタ!$G$6:$G$405="")+(職員マスタ!$G$6:$G$405&lt;=EOMONTH($AQ1107,0)))&gt;0)*(((職員マスタ!$H$6:$H$405="")+(職員マスタ!$H$6:$H$405&gt;=$AQ1107))&gt;0)*(ROW(職員マスタ!$A$6:$A$405)-5))),IFERROR(MATCH($B1107,職員マスタ!$A$6:$A$405,0),"")))</f>
        <v/>
      </c>
      <c r="AQ1107" s="16">
        <f>IF(OR($B1107="",$C1107="",$D1107=""),"",DATE($C1107+2018,$D1107,1))</f>
        <v/>
      </c>
    </row>
    <row r="1108">
      <c r="A1108" s="11" t="n"/>
      <c r="B1108" s="12" t="n"/>
      <c r="C1108" s="12" t="n"/>
      <c r="D1108" s="12" t="n"/>
      <c r="E1108" s="13" t="n"/>
      <c r="F1108" s="12" t="n"/>
      <c r="G1108" s="13" t="n"/>
      <c r="H1108" s="12" t="n"/>
      <c r="I1108" s="12" t="n"/>
      <c r="J1108" s="12" t="n"/>
      <c r="K1108" s="12" t="n"/>
      <c r="L1108" s="11" t="n"/>
      <c r="M1108" s="11" t="n"/>
      <c r="N1108" s="11" t="n"/>
      <c r="O1108" s="11" t="n"/>
      <c r="P1108" s="12" t="n"/>
      <c r="Q1108" s="11" t="n"/>
      <c r="R1108" s="12" t="n"/>
      <c r="S1108" s="11" t="n"/>
      <c r="T1108" s="12" t="n"/>
      <c r="U1108" s="12" t="n"/>
      <c r="V1108" s="12" t="n"/>
      <c r="W1108" s="13" t="n"/>
      <c r="X1108" s="14">
        <f>IF($AP1108="",IF($B1108="","",$H1108),IF(INDEX(職員マスタ!$B$6:$B$405,$AP1108)="",$H1108,INDEX(職員マスタ!$B$6:$B$405,$AP1108)))</f>
        <v/>
      </c>
      <c r="Y1108" s="14">
        <f>IF($AP1108="",IF($B1108="","",$R1108),IF(INDEX(職員マスタ!$C$6:$C$405,$AP1108)="",$R1108,INDEX(職員マスタ!$C$6:$C$405,$AP1108)))</f>
        <v/>
      </c>
      <c r="Z1108" s="14">
        <f>IF($AQ1108="","","R"&amp;$C1108&amp;"."&amp;$D1108)</f>
        <v/>
      </c>
      <c r="AA1108" s="15">
        <f>IF(IF($AP1108="",FALSE,INDEX(職員マスタ!$K$6:$K$405,$AP1108)&lt;&gt;""),INDEX(職員マスタ!$K$6:$K$405,$AP1108),IF(N($W1108)&gt;0,$W1108,""))</f>
        <v/>
      </c>
      <c r="AB1108" s="14">
        <f>IF(OR($E1108="",$AA1108=""),"",IF($E1108&gt;=$AA1108,"×",IF($E1108&gt;=$AA1108*設定!$C$5,"△","○")))</f>
        <v/>
      </c>
      <c r="AC1108" s="15">
        <f>IF($AB1108="","",IF($AB1108="×",0,IF($AB1108="○",ROUNDDOWN($E1108*設定!$C$4,0),ROUNDDOWN($E1108*ROUND((9*$AA1108-9*$E1108)/(10*$E1108),4),0))))</f>
        <v/>
      </c>
      <c r="AD1108" s="13" t="n"/>
      <c r="AE1108" s="15">
        <f>IF($B1108="","",IF($AD1108&lt;&gt;"",$AD1108,IF($AC1108="","",IF($AC1108&lt;=設定!$C$3,0,$AC1108))))</f>
        <v/>
      </c>
      <c r="AF1108" s="14">
        <f>IF($B1108="","",IF(AND($AG1108&lt;&gt;"",$AI1108="",$AL1108=""),"保留中",IF($AL1108&lt;&gt;"",IF(N($AE1108)&gt;0,"支給済","不支給"),IF($AE1108="","要確認",IF($AE1108=0,"不支給","未処理")))))</f>
        <v/>
      </c>
      <c r="AG1108" s="12" t="n"/>
      <c r="AH1108" s="11" t="n"/>
      <c r="AI1108" s="11" t="n"/>
      <c r="AJ1108" s="11" t="n"/>
      <c r="AK1108" s="14">
        <f>IF(AND($AF1108="保留中",$AH1108&lt;&gt;""),TODAY()-$AH1108,"")</f>
        <v/>
      </c>
      <c r="AL1108" s="12" t="n"/>
      <c r="AM1108" s="14">
        <f>IF($B1108="","",IF($AQ1108="","対象年月が未入力／","")&amp;IF($B1108="","",IF($AP1108="","職員マスタに未登録の職員番号／",IF($AA1108="","標準報酬月額が未登録／","")&amp;IF(AND($AQ1108&lt;&gt;"",OR(AND(INDEX(職員マスタ!$G$6:$G$405,$AP1108)&lt;&gt;"",INDEX(職員マスタ!$G$6:$G$405,$AP1108)&gt;EOMONTH($AQ1108,0)),AND(INDEX(職員マスタ!$H$6:$H$405,$AP1108)&lt;&gt;"",INDEX(職員マスタ!$H$6:$H$405,$AP1108)&lt;$AQ1108))),"対象月が時短期間外／","")&amp;IF(AND(INDEX(職員マスタ!$K$6:$K$405,$AP1108)&lt;&gt;"",N($W1108)&gt;0,INDEX(職員マスタ!$K$6:$K$405,$AP1108)&lt;&gt;$W1108),"標準報酬月額が申請書と相違（台帳"&amp;TEXT(INDEX(職員マスタ!$K$6:$K$405,$AP1108),"#,##0")&amp;"円／申請書"&amp;TEXT($W1108,"#,##0")&amp;"円）／","")&amp;IF(AND(INDEX(職員マスタ!$F$6:$F$405,$AP1108)&lt;&gt;"",$AQ1108&lt;&gt;"",INDEX(職員マスタ!$F$6:$F$405,$AP1108)&lt;$AQ1108),"対象月に子が2歳到達済／","")&amp;IF(AND($H1108&lt;&gt;"",INDEX(職員マスタ!$B$6:$B$405,$AP1108)&lt;&gt;"",SUBSTITUTE(SUBSTITUTE($H1108," ","")," ","")&lt;&gt;SUBSTITUTE(SUBSTITUTE(INDEX(職員マスタ!$B$6:$B$405,$AP1108)," ","")," ","")),"氏名がマスタと相違／","")&amp;IF(AND($Q1108&lt;&gt;"",INDEX(職員マスタ!$E$6:$E$405,$AP1108)&lt;&gt;"",$Q1108&lt;&gt;INDEX(職員マスタ!$E$6:$E$405,$AP1108)),"子の生年月日がマスタと相違／","")&amp;IF(AND($L1108&lt;&gt;"",INDEX(職員マスタ!$G$6:$G$405,$AP1108)&lt;&gt;"",$L1108&lt;&gt;INDEX(職員マスタ!$G$6:$G$405,$AP1108)),"時短開始日がマスタと相違／","")&amp;IF(AND($M1108&lt;&gt;"",INDEX(職員マスタ!$H$6:$H$405,$AP1108)&lt;&gt;"",$M1108&lt;&gt;INDEX(職員マスタ!$H$6:$H$405,$AP1108)),"時短終了日がマスタと相違／","")))&amp;IF(AND($B1108&lt;&gt;"",$E1108=""),"報酬額が未入力／","")&amp;IF(N($U1108)&gt;0,"申請書に入力エラーが残っています／","")&amp;IF(AND($B1108&lt;&gt;"",$AQ1108&lt;&gt;""),IF(COUNTIFS($B$6:$B$3005,$B1108,$C$6:$C$3005,$C1108,$D$6:$D$3005,$D1108)&gt;1,"同じ月の請求が重複しています／",""),"")&amp;IF(AND(N($E1108)&gt;0,$AB1108&lt;&gt;"",$AB1108&lt;&gt;"×",$AE1108=0,$AD1108=""),"計算額が下限以下のため不支給／",""))</f>
        <v/>
      </c>
      <c r="AN1108" s="12" t="n"/>
      <c r="AO1108" s="14">
        <f>IF($AF1108="保留中",COUNTIF($AF$6:$AF1108,"保留中"),"")</f>
        <v/>
      </c>
      <c r="AP1108" s="14">
        <f>IF($AQ1108="","",IF(SUMPRODUCT(MAX((職員マスタ!$A$6:$A$405=$B1108)*(((職員マスタ!$G$6:$G$405="")+(職員マスタ!$G$6:$G$405&lt;=EOMONTH($AQ1108,0)))&gt;0)*(((職員マスタ!$H$6:$H$405="")+(職員マスタ!$H$6:$H$405&gt;=$AQ1108))&gt;0)*(ROW(職員マスタ!$A$6:$A$405)-5)))&gt;0,SUMPRODUCT(MAX((職員マスタ!$A$6:$A$405=$B1108)*(((職員マスタ!$G$6:$G$405="")+(職員マスタ!$G$6:$G$405&lt;=EOMONTH($AQ1108,0)))&gt;0)*(((職員マスタ!$H$6:$H$405="")+(職員マスタ!$H$6:$H$405&gt;=$AQ1108))&gt;0)*(ROW(職員マスタ!$A$6:$A$405)-5))),IFERROR(MATCH($B1108,職員マスタ!$A$6:$A$405,0),"")))</f>
        <v/>
      </c>
      <c r="AQ1108" s="16">
        <f>IF(OR($B1108="",$C1108="",$D1108=""),"",DATE($C1108+2018,$D1108,1))</f>
        <v/>
      </c>
    </row>
    <row r="1109">
      <c r="A1109" s="11" t="n"/>
      <c r="B1109" s="12" t="n"/>
      <c r="C1109" s="12" t="n"/>
      <c r="D1109" s="12" t="n"/>
      <c r="E1109" s="13" t="n"/>
      <c r="F1109" s="12" t="n"/>
      <c r="G1109" s="13" t="n"/>
      <c r="H1109" s="12" t="n"/>
      <c r="I1109" s="12" t="n"/>
      <c r="J1109" s="12" t="n"/>
      <c r="K1109" s="12" t="n"/>
      <c r="L1109" s="11" t="n"/>
      <c r="M1109" s="11" t="n"/>
      <c r="N1109" s="11" t="n"/>
      <c r="O1109" s="11" t="n"/>
      <c r="P1109" s="12" t="n"/>
      <c r="Q1109" s="11" t="n"/>
      <c r="R1109" s="12" t="n"/>
      <c r="S1109" s="11" t="n"/>
      <c r="T1109" s="12" t="n"/>
      <c r="U1109" s="12" t="n"/>
      <c r="V1109" s="12" t="n"/>
      <c r="W1109" s="13" t="n"/>
      <c r="X1109" s="14">
        <f>IF($AP1109="",IF($B1109="","",$H1109),IF(INDEX(職員マスタ!$B$6:$B$405,$AP1109)="",$H1109,INDEX(職員マスタ!$B$6:$B$405,$AP1109)))</f>
        <v/>
      </c>
      <c r="Y1109" s="14">
        <f>IF($AP1109="",IF($B1109="","",$R1109),IF(INDEX(職員マスタ!$C$6:$C$405,$AP1109)="",$R1109,INDEX(職員マスタ!$C$6:$C$405,$AP1109)))</f>
        <v/>
      </c>
      <c r="Z1109" s="14">
        <f>IF($AQ1109="","","R"&amp;$C1109&amp;"."&amp;$D1109)</f>
        <v/>
      </c>
      <c r="AA1109" s="15">
        <f>IF(IF($AP1109="",FALSE,INDEX(職員マスタ!$K$6:$K$405,$AP1109)&lt;&gt;""),INDEX(職員マスタ!$K$6:$K$405,$AP1109),IF(N($W1109)&gt;0,$W1109,""))</f>
        <v/>
      </c>
      <c r="AB1109" s="14">
        <f>IF(OR($E1109="",$AA1109=""),"",IF($E1109&gt;=$AA1109,"×",IF($E1109&gt;=$AA1109*設定!$C$5,"△","○")))</f>
        <v/>
      </c>
      <c r="AC1109" s="15">
        <f>IF($AB1109="","",IF($AB1109="×",0,IF($AB1109="○",ROUNDDOWN($E1109*設定!$C$4,0),ROUNDDOWN($E1109*ROUND((9*$AA1109-9*$E1109)/(10*$E1109),4),0))))</f>
        <v/>
      </c>
      <c r="AD1109" s="13" t="n"/>
      <c r="AE1109" s="15">
        <f>IF($B1109="","",IF($AD1109&lt;&gt;"",$AD1109,IF($AC1109="","",IF($AC1109&lt;=設定!$C$3,0,$AC1109))))</f>
        <v/>
      </c>
      <c r="AF1109" s="14">
        <f>IF($B1109="","",IF(AND($AG1109&lt;&gt;"",$AI1109="",$AL1109=""),"保留中",IF($AL1109&lt;&gt;"",IF(N($AE1109)&gt;0,"支給済","不支給"),IF($AE1109="","要確認",IF($AE1109=0,"不支給","未処理")))))</f>
        <v/>
      </c>
      <c r="AG1109" s="12" t="n"/>
      <c r="AH1109" s="11" t="n"/>
      <c r="AI1109" s="11" t="n"/>
      <c r="AJ1109" s="11" t="n"/>
      <c r="AK1109" s="14">
        <f>IF(AND($AF1109="保留中",$AH1109&lt;&gt;""),TODAY()-$AH1109,"")</f>
        <v/>
      </c>
      <c r="AL1109" s="12" t="n"/>
      <c r="AM1109" s="14">
        <f>IF($B1109="","",IF($AQ1109="","対象年月が未入力／","")&amp;IF($B1109="","",IF($AP1109="","職員マスタに未登録の職員番号／",IF($AA1109="","標準報酬月額が未登録／","")&amp;IF(AND($AQ1109&lt;&gt;"",OR(AND(INDEX(職員マスタ!$G$6:$G$405,$AP1109)&lt;&gt;"",INDEX(職員マスタ!$G$6:$G$405,$AP1109)&gt;EOMONTH($AQ1109,0)),AND(INDEX(職員マスタ!$H$6:$H$405,$AP1109)&lt;&gt;"",INDEX(職員マスタ!$H$6:$H$405,$AP1109)&lt;$AQ1109))),"対象月が時短期間外／","")&amp;IF(AND(INDEX(職員マスタ!$K$6:$K$405,$AP1109)&lt;&gt;"",N($W1109)&gt;0,INDEX(職員マスタ!$K$6:$K$405,$AP1109)&lt;&gt;$W1109),"標準報酬月額が申請書と相違（台帳"&amp;TEXT(INDEX(職員マスタ!$K$6:$K$405,$AP1109),"#,##0")&amp;"円／申請書"&amp;TEXT($W1109,"#,##0")&amp;"円）／","")&amp;IF(AND(INDEX(職員マスタ!$F$6:$F$405,$AP1109)&lt;&gt;"",$AQ1109&lt;&gt;"",INDEX(職員マスタ!$F$6:$F$405,$AP1109)&lt;$AQ1109),"対象月に子が2歳到達済／","")&amp;IF(AND($H1109&lt;&gt;"",INDEX(職員マスタ!$B$6:$B$405,$AP1109)&lt;&gt;"",SUBSTITUTE(SUBSTITUTE($H1109," ","")," ","")&lt;&gt;SUBSTITUTE(SUBSTITUTE(INDEX(職員マスタ!$B$6:$B$405,$AP1109)," ","")," ","")),"氏名がマスタと相違／","")&amp;IF(AND($Q1109&lt;&gt;"",INDEX(職員マスタ!$E$6:$E$405,$AP1109)&lt;&gt;"",$Q1109&lt;&gt;INDEX(職員マスタ!$E$6:$E$405,$AP1109)),"子の生年月日がマスタと相違／","")&amp;IF(AND($L1109&lt;&gt;"",INDEX(職員マスタ!$G$6:$G$405,$AP1109)&lt;&gt;"",$L1109&lt;&gt;INDEX(職員マスタ!$G$6:$G$405,$AP1109)),"時短開始日がマスタと相違／","")&amp;IF(AND($M1109&lt;&gt;"",INDEX(職員マスタ!$H$6:$H$405,$AP1109)&lt;&gt;"",$M1109&lt;&gt;INDEX(職員マスタ!$H$6:$H$405,$AP1109)),"時短終了日がマスタと相違／","")))&amp;IF(AND($B1109&lt;&gt;"",$E1109=""),"報酬額が未入力／","")&amp;IF(N($U1109)&gt;0,"申請書に入力エラーが残っています／","")&amp;IF(AND($B1109&lt;&gt;"",$AQ1109&lt;&gt;""),IF(COUNTIFS($B$6:$B$3005,$B1109,$C$6:$C$3005,$C1109,$D$6:$D$3005,$D1109)&gt;1,"同じ月の請求が重複しています／",""),"")&amp;IF(AND(N($E1109)&gt;0,$AB1109&lt;&gt;"",$AB1109&lt;&gt;"×",$AE1109=0,$AD1109=""),"計算額が下限以下のため不支給／",""))</f>
        <v/>
      </c>
      <c r="AN1109" s="12" t="n"/>
      <c r="AO1109" s="14">
        <f>IF($AF1109="保留中",COUNTIF($AF$6:$AF1109,"保留中"),"")</f>
        <v/>
      </c>
      <c r="AP1109" s="14">
        <f>IF($AQ1109="","",IF(SUMPRODUCT(MAX((職員マスタ!$A$6:$A$405=$B1109)*(((職員マスタ!$G$6:$G$405="")+(職員マスタ!$G$6:$G$405&lt;=EOMONTH($AQ1109,0)))&gt;0)*(((職員マスタ!$H$6:$H$405="")+(職員マスタ!$H$6:$H$405&gt;=$AQ1109))&gt;0)*(ROW(職員マスタ!$A$6:$A$405)-5)))&gt;0,SUMPRODUCT(MAX((職員マスタ!$A$6:$A$405=$B1109)*(((職員マスタ!$G$6:$G$405="")+(職員マスタ!$G$6:$G$405&lt;=EOMONTH($AQ1109,0)))&gt;0)*(((職員マスタ!$H$6:$H$405="")+(職員マスタ!$H$6:$H$405&gt;=$AQ1109))&gt;0)*(ROW(職員マスタ!$A$6:$A$405)-5))),IFERROR(MATCH($B1109,職員マスタ!$A$6:$A$405,0),"")))</f>
        <v/>
      </c>
      <c r="AQ1109" s="16">
        <f>IF(OR($B1109="",$C1109="",$D1109=""),"",DATE($C1109+2018,$D1109,1))</f>
        <v/>
      </c>
    </row>
    <row r="1110">
      <c r="A1110" s="11" t="n"/>
      <c r="B1110" s="12" t="n"/>
      <c r="C1110" s="12" t="n"/>
      <c r="D1110" s="12" t="n"/>
      <c r="E1110" s="13" t="n"/>
      <c r="F1110" s="12" t="n"/>
      <c r="G1110" s="13" t="n"/>
      <c r="H1110" s="12" t="n"/>
      <c r="I1110" s="12" t="n"/>
      <c r="J1110" s="12" t="n"/>
      <c r="K1110" s="12" t="n"/>
      <c r="L1110" s="11" t="n"/>
      <c r="M1110" s="11" t="n"/>
      <c r="N1110" s="11" t="n"/>
      <c r="O1110" s="11" t="n"/>
      <c r="P1110" s="12" t="n"/>
      <c r="Q1110" s="11" t="n"/>
      <c r="R1110" s="12" t="n"/>
      <c r="S1110" s="11" t="n"/>
      <c r="T1110" s="12" t="n"/>
      <c r="U1110" s="12" t="n"/>
      <c r="V1110" s="12" t="n"/>
      <c r="W1110" s="13" t="n"/>
      <c r="X1110" s="14">
        <f>IF($AP1110="",IF($B1110="","",$H1110),IF(INDEX(職員マスタ!$B$6:$B$405,$AP1110)="",$H1110,INDEX(職員マスタ!$B$6:$B$405,$AP1110)))</f>
        <v/>
      </c>
      <c r="Y1110" s="14">
        <f>IF($AP1110="",IF($B1110="","",$R1110),IF(INDEX(職員マスタ!$C$6:$C$405,$AP1110)="",$R1110,INDEX(職員マスタ!$C$6:$C$405,$AP1110)))</f>
        <v/>
      </c>
      <c r="Z1110" s="14">
        <f>IF($AQ1110="","","R"&amp;$C1110&amp;"."&amp;$D1110)</f>
        <v/>
      </c>
      <c r="AA1110" s="15">
        <f>IF(IF($AP1110="",FALSE,INDEX(職員マスタ!$K$6:$K$405,$AP1110)&lt;&gt;""),INDEX(職員マスタ!$K$6:$K$405,$AP1110),IF(N($W1110)&gt;0,$W1110,""))</f>
        <v/>
      </c>
      <c r="AB1110" s="14">
        <f>IF(OR($E1110="",$AA1110=""),"",IF($E1110&gt;=$AA1110,"×",IF($E1110&gt;=$AA1110*設定!$C$5,"△","○")))</f>
        <v/>
      </c>
      <c r="AC1110" s="15">
        <f>IF($AB1110="","",IF($AB1110="×",0,IF($AB1110="○",ROUNDDOWN($E1110*設定!$C$4,0),ROUNDDOWN($E1110*ROUND((9*$AA1110-9*$E1110)/(10*$E1110),4),0))))</f>
        <v/>
      </c>
      <c r="AD1110" s="13" t="n"/>
      <c r="AE1110" s="15">
        <f>IF($B1110="","",IF($AD1110&lt;&gt;"",$AD1110,IF($AC1110="","",IF($AC1110&lt;=設定!$C$3,0,$AC1110))))</f>
        <v/>
      </c>
      <c r="AF1110" s="14">
        <f>IF($B1110="","",IF(AND($AG1110&lt;&gt;"",$AI1110="",$AL1110=""),"保留中",IF($AL1110&lt;&gt;"",IF(N($AE1110)&gt;0,"支給済","不支給"),IF($AE1110="","要確認",IF($AE1110=0,"不支給","未処理")))))</f>
        <v/>
      </c>
      <c r="AG1110" s="12" t="n"/>
      <c r="AH1110" s="11" t="n"/>
      <c r="AI1110" s="11" t="n"/>
      <c r="AJ1110" s="11" t="n"/>
      <c r="AK1110" s="14">
        <f>IF(AND($AF1110="保留中",$AH1110&lt;&gt;""),TODAY()-$AH1110,"")</f>
        <v/>
      </c>
      <c r="AL1110" s="12" t="n"/>
      <c r="AM1110" s="14">
        <f>IF($B1110="","",IF($AQ1110="","対象年月が未入力／","")&amp;IF($B1110="","",IF($AP1110="","職員マスタに未登録の職員番号／",IF($AA1110="","標準報酬月額が未登録／","")&amp;IF(AND($AQ1110&lt;&gt;"",OR(AND(INDEX(職員マスタ!$G$6:$G$405,$AP1110)&lt;&gt;"",INDEX(職員マスタ!$G$6:$G$405,$AP1110)&gt;EOMONTH($AQ1110,0)),AND(INDEX(職員マスタ!$H$6:$H$405,$AP1110)&lt;&gt;"",INDEX(職員マスタ!$H$6:$H$405,$AP1110)&lt;$AQ1110))),"対象月が時短期間外／","")&amp;IF(AND(INDEX(職員マスタ!$K$6:$K$405,$AP1110)&lt;&gt;"",N($W1110)&gt;0,INDEX(職員マスタ!$K$6:$K$405,$AP1110)&lt;&gt;$W1110),"標準報酬月額が申請書と相違（台帳"&amp;TEXT(INDEX(職員マスタ!$K$6:$K$405,$AP1110),"#,##0")&amp;"円／申請書"&amp;TEXT($W1110,"#,##0")&amp;"円）／","")&amp;IF(AND(INDEX(職員マスタ!$F$6:$F$405,$AP1110)&lt;&gt;"",$AQ1110&lt;&gt;"",INDEX(職員マスタ!$F$6:$F$405,$AP1110)&lt;$AQ1110),"対象月に子が2歳到達済／","")&amp;IF(AND($H1110&lt;&gt;"",INDEX(職員マスタ!$B$6:$B$405,$AP1110)&lt;&gt;"",SUBSTITUTE(SUBSTITUTE($H1110," ","")," ","")&lt;&gt;SUBSTITUTE(SUBSTITUTE(INDEX(職員マスタ!$B$6:$B$405,$AP1110)," ","")," ","")),"氏名がマスタと相違／","")&amp;IF(AND($Q1110&lt;&gt;"",INDEX(職員マスタ!$E$6:$E$405,$AP1110)&lt;&gt;"",$Q1110&lt;&gt;INDEX(職員マスタ!$E$6:$E$405,$AP1110)),"子の生年月日がマスタと相違／","")&amp;IF(AND($L1110&lt;&gt;"",INDEX(職員マスタ!$G$6:$G$405,$AP1110)&lt;&gt;"",$L1110&lt;&gt;INDEX(職員マスタ!$G$6:$G$405,$AP1110)),"時短開始日がマスタと相違／","")&amp;IF(AND($M1110&lt;&gt;"",INDEX(職員マスタ!$H$6:$H$405,$AP1110)&lt;&gt;"",$M1110&lt;&gt;INDEX(職員マスタ!$H$6:$H$405,$AP1110)),"時短終了日がマスタと相違／","")))&amp;IF(AND($B1110&lt;&gt;"",$E1110=""),"報酬額が未入力／","")&amp;IF(N($U1110)&gt;0,"申請書に入力エラーが残っています／","")&amp;IF(AND($B1110&lt;&gt;"",$AQ1110&lt;&gt;""),IF(COUNTIFS($B$6:$B$3005,$B1110,$C$6:$C$3005,$C1110,$D$6:$D$3005,$D1110)&gt;1,"同じ月の請求が重複しています／",""),"")&amp;IF(AND(N($E1110)&gt;0,$AB1110&lt;&gt;"",$AB1110&lt;&gt;"×",$AE1110=0,$AD1110=""),"計算額が下限以下のため不支給／",""))</f>
        <v/>
      </c>
      <c r="AN1110" s="12" t="n"/>
      <c r="AO1110" s="14">
        <f>IF($AF1110="保留中",COUNTIF($AF$6:$AF1110,"保留中"),"")</f>
        <v/>
      </c>
      <c r="AP1110" s="14">
        <f>IF($AQ1110="","",IF(SUMPRODUCT(MAX((職員マスタ!$A$6:$A$405=$B1110)*(((職員マスタ!$G$6:$G$405="")+(職員マスタ!$G$6:$G$405&lt;=EOMONTH($AQ1110,0)))&gt;0)*(((職員マスタ!$H$6:$H$405="")+(職員マスタ!$H$6:$H$405&gt;=$AQ1110))&gt;0)*(ROW(職員マスタ!$A$6:$A$405)-5)))&gt;0,SUMPRODUCT(MAX((職員マスタ!$A$6:$A$405=$B1110)*(((職員マスタ!$G$6:$G$405="")+(職員マスタ!$G$6:$G$405&lt;=EOMONTH($AQ1110,0)))&gt;0)*(((職員マスタ!$H$6:$H$405="")+(職員マスタ!$H$6:$H$405&gt;=$AQ1110))&gt;0)*(ROW(職員マスタ!$A$6:$A$405)-5))),IFERROR(MATCH($B1110,職員マスタ!$A$6:$A$405,0),"")))</f>
        <v/>
      </c>
      <c r="AQ1110" s="16">
        <f>IF(OR($B1110="",$C1110="",$D1110=""),"",DATE($C1110+2018,$D1110,1))</f>
        <v/>
      </c>
    </row>
    <row r="1111">
      <c r="A1111" s="11" t="n"/>
      <c r="B1111" s="12" t="n"/>
      <c r="C1111" s="12" t="n"/>
      <c r="D1111" s="12" t="n"/>
      <c r="E1111" s="13" t="n"/>
      <c r="F1111" s="12" t="n"/>
      <c r="G1111" s="13" t="n"/>
      <c r="H1111" s="12" t="n"/>
      <c r="I1111" s="12" t="n"/>
      <c r="J1111" s="12" t="n"/>
      <c r="K1111" s="12" t="n"/>
      <c r="L1111" s="11" t="n"/>
      <c r="M1111" s="11" t="n"/>
      <c r="N1111" s="11" t="n"/>
      <c r="O1111" s="11" t="n"/>
      <c r="P1111" s="12" t="n"/>
      <c r="Q1111" s="11" t="n"/>
      <c r="R1111" s="12" t="n"/>
      <c r="S1111" s="11" t="n"/>
      <c r="T1111" s="12" t="n"/>
      <c r="U1111" s="12" t="n"/>
      <c r="V1111" s="12" t="n"/>
      <c r="W1111" s="13" t="n"/>
      <c r="X1111" s="14">
        <f>IF($AP1111="",IF($B1111="","",$H1111),IF(INDEX(職員マスタ!$B$6:$B$405,$AP1111)="",$H1111,INDEX(職員マスタ!$B$6:$B$405,$AP1111)))</f>
        <v/>
      </c>
      <c r="Y1111" s="14">
        <f>IF($AP1111="",IF($B1111="","",$R1111),IF(INDEX(職員マスタ!$C$6:$C$405,$AP1111)="",$R1111,INDEX(職員マスタ!$C$6:$C$405,$AP1111)))</f>
        <v/>
      </c>
      <c r="Z1111" s="14">
        <f>IF($AQ1111="","","R"&amp;$C1111&amp;"."&amp;$D1111)</f>
        <v/>
      </c>
      <c r="AA1111" s="15">
        <f>IF(IF($AP1111="",FALSE,INDEX(職員マスタ!$K$6:$K$405,$AP1111)&lt;&gt;""),INDEX(職員マスタ!$K$6:$K$405,$AP1111),IF(N($W1111)&gt;0,$W1111,""))</f>
        <v/>
      </c>
      <c r="AB1111" s="14">
        <f>IF(OR($E1111="",$AA1111=""),"",IF($E1111&gt;=$AA1111,"×",IF($E1111&gt;=$AA1111*設定!$C$5,"△","○")))</f>
        <v/>
      </c>
      <c r="AC1111" s="15">
        <f>IF($AB1111="","",IF($AB1111="×",0,IF($AB1111="○",ROUNDDOWN($E1111*設定!$C$4,0),ROUNDDOWN($E1111*ROUND((9*$AA1111-9*$E1111)/(10*$E1111),4),0))))</f>
        <v/>
      </c>
      <c r="AD1111" s="13" t="n"/>
      <c r="AE1111" s="15">
        <f>IF($B1111="","",IF($AD1111&lt;&gt;"",$AD1111,IF($AC1111="","",IF($AC1111&lt;=設定!$C$3,0,$AC1111))))</f>
        <v/>
      </c>
      <c r="AF1111" s="14">
        <f>IF($B1111="","",IF(AND($AG1111&lt;&gt;"",$AI1111="",$AL1111=""),"保留中",IF($AL1111&lt;&gt;"",IF(N($AE1111)&gt;0,"支給済","不支給"),IF($AE1111="","要確認",IF($AE1111=0,"不支給","未処理")))))</f>
        <v/>
      </c>
      <c r="AG1111" s="12" t="n"/>
      <c r="AH1111" s="11" t="n"/>
      <c r="AI1111" s="11" t="n"/>
      <c r="AJ1111" s="11" t="n"/>
      <c r="AK1111" s="14">
        <f>IF(AND($AF1111="保留中",$AH1111&lt;&gt;""),TODAY()-$AH1111,"")</f>
        <v/>
      </c>
      <c r="AL1111" s="12" t="n"/>
      <c r="AM1111" s="14">
        <f>IF($B1111="","",IF($AQ1111="","対象年月が未入力／","")&amp;IF($B1111="","",IF($AP1111="","職員マスタに未登録の職員番号／",IF($AA1111="","標準報酬月額が未登録／","")&amp;IF(AND($AQ1111&lt;&gt;"",OR(AND(INDEX(職員マスタ!$G$6:$G$405,$AP1111)&lt;&gt;"",INDEX(職員マスタ!$G$6:$G$405,$AP1111)&gt;EOMONTH($AQ1111,0)),AND(INDEX(職員マスタ!$H$6:$H$405,$AP1111)&lt;&gt;"",INDEX(職員マスタ!$H$6:$H$405,$AP1111)&lt;$AQ1111))),"対象月が時短期間外／","")&amp;IF(AND(INDEX(職員マスタ!$K$6:$K$405,$AP1111)&lt;&gt;"",N($W1111)&gt;0,INDEX(職員マスタ!$K$6:$K$405,$AP1111)&lt;&gt;$W1111),"標準報酬月額が申請書と相違（台帳"&amp;TEXT(INDEX(職員マスタ!$K$6:$K$405,$AP1111),"#,##0")&amp;"円／申請書"&amp;TEXT($W1111,"#,##0")&amp;"円）／","")&amp;IF(AND(INDEX(職員マスタ!$F$6:$F$405,$AP1111)&lt;&gt;"",$AQ1111&lt;&gt;"",INDEX(職員マスタ!$F$6:$F$405,$AP1111)&lt;$AQ1111),"対象月に子が2歳到達済／","")&amp;IF(AND($H1111&lt;&gt;"",INDEX(職員マスタ!$B$6:$B$405,$AP1111)&lt;&gt;"",SUBSTITUTE(SUBSTITUTE($H1111," ","")," ","")&lt;&gt;SUBSTITUTE(SUBSTITUTE(INDEX(職員マスタ!$B$6:$B$405,$AP1111)," ","")," ","")),"氏名がマスタと相違／","")&amp;IF(AND($Q1111&lt;&gt;"",INDEX(職員マスタ!$E$6:$E$405,$AP1111)&lt;&gt;"",$Q1111&lt;&gt;INDEX(職員マスタ!$E$6:$E$405,$AP1111)),"子の生年月日がマスタと相違／","")&amp;IF(AND($L1111&lt;&gt;"",INDEX(職員マスタ!$G$6:$G$405,$AP1111)&lt;&gt;"",$L1111&lt;&gt;INDEX(職員マスタ!$G$6:$G$405,$AP1111)),"時短開始日がマスタと相違／","")&amp;IF(AND($M1111&lt;&gt;"",INDEX(職員マスタ!$H$6:$H$405,$AP1111)&lt;&gt;"",$M1111&lt;&gt;INDEX(職員マスタ!$H$6:$H$405,$AP1111)),"時短終了日がマスタと相違／","")))&amp;IF(AND($B1111&lt;&gt;"",$E1111=""),"報酬額が未入力／","")&amp;IF(N($U1111)&gt;0,"申請書に入力エラーが残っています／","")&amp;IF(AND($B1111&lt;&gt;"",$AQ1111&lt;&gt;""),IF(COUNTIFS($B$6:$B$3005,$B1111,$C$6:$C$3005,$C1111,$D$6:$D$3005,$D1111)&gt;1,"同じ月の請求が重複しています／",""),"")&amp;IF(AND(N($E1111)&gt;0,$AB1111&lt;&gt;"",$AB1111&lt;&gt;"×",$AE1111=0,$AD1111=""),"計算額が下限以下のため不支給／",""))</f>
        <v/>
      </c>
      <c r="AN1111" s="12" t="n"/>
      <c r="AO1111" s="14">
        <f>IF($AF1111="保留中",COUNTIF($AF$6:$AF1111,"保留中"),"")</f>
        <v/>
      </c>
      <c r="AP1111" s="14">
        <f>IF($AQ1111="","",IF(SUMPRODUCT(MAX((職員マスタ!$A$6:$A$405=$B1111)*(((職員マスタ!$G$6:$G$405="")+(職員マスタ!$G$6:$G$405&lt;=EOMONTH($AQ1111,0)))&gt;0)*(((職員マスタ!$H$6:$H$405="")+(職員マスタ!$H$6:$H$405&gt;=$AQ1111))&gt;0)*(ROW(職員マスタ!$A$6:$A$405)-5)))&gt;0,SUMPRODUCT(MAX((職員マスタ!$A$6:$A$405=$B1111)*(((職員マスタ!$G$6:$G$405="")+(職員マスタ!$G$6:$G$405&lt;=EOMONTH($AQ1111,0)))&gt;0)*(((職員マスタ!$H$6:$H$405="")+(職員マスタ!$H$6:$H$405&gt;=$AQ1111))&gt;0)*(ROW(職員マスタ!$A$6:$A$405)-5))),IFERROR(MATCH($B1111,職員マスタ!$A$6:$A$405,0),"")))</f>
        <v/>
      </c>
      <c r="AQ1111" s="16">
        <f>IF(OR($B1111="",$C1111="",$D1111=""),"",DATE($C1111+2018,$D1111,1))</f>
        <v/>
      </c>
    </row>
    <row r="1112">
      <c r="A1112" s="11" t="n"/>
      <c r="B1112" s="12" t="n"/>
      <c r="C1112" s="12" t="n"/>
      <c r="D1112" s="12" t="n"/>
      <c r="E1112" s="13" t="n"/>
      <c r="F1112" s="12" t="n"/>
      <c r="G1112" s="13" t="n"/>
      <c r="H1112" s="12" t="n"/>
      <c r="I1112" s="12" t="n"/>
      <c r="J1112" s="12" t="n"/>
      <c r="K1112" s="12" t="n"/>
      <c r="L1112" s="11" t="n"/>
      <c r="M1112" s="11" t="n"/>
      <c r="N1112" s="11" t="n"/>
      <c r="O1112" s="11" t="n"/>
      <c r="P1112" s="12" t="n"/>
      <c r="Q1112" s="11" t="n"/>
      <c r="R1112" s="12" t="n"/>
      <c r="S1112" s="11" t="n"/>
      <c r="T1112" s="12" t="n"/>
      <c r="U1112" s="12" t="n"/>
      <c r="V1112" s="12" t="n"/>
      <c r="W1112" s="13" t="n"/>
      <c r="X1112" s="14">
        <f>IF($AP1112="",IF($B1112="","",$H1112),IF(INDEX(職員マスタ!$B$6:$B$405,$AP1112)="",$H1112,INDEX(職員マスタ!$B$6:$B$405,$AP1112)))</f>
        <v/>
      </c>
      <c r="Y1112" s="14">
        <f>IF($AP1112="",IF($B1112="","",$R1112),IF(INDEX(職員マスタ!$C$6:$C$405,$AP1112)="",$R1112,INDEX(職員マスタ!$C$6:$C$405,$AP1112)))</f>
        <v/>
      </c>
      <c r="Z1112" s="14">
        <f>IF($AQ1112="","","R"&amp;$C1112&amp;"."&amp;$D1112)</f>
        <v/>
      </c>
      <c r="AA1112" s="15">
        <f>IF(IF($AP1112="",FALSE,INDEX(職員マスタ!$K$6:$K$405,$AP1112)&lt;&gt;""),INDEX(職員マスタ!$K$6:$K$405,$AP1112),IF(N($W1112)&gt;0,$W1112,""))</f>
        <v/>
      </c>
      <c r="AB1112" s="14">
        <f>IF(OR($E1112="",$AA1112=""),"",IF($E1112&gt;=$AA1112,"×",IF($E1112&gt;=$AA1112*設定!$C$5,"△","○")))</f>
        <v/>
      </c>
      <c r="AC1112" s="15">
        <f>IF($AB1112="","",IF($AB1112="×",0,IF($AB1112="○",ROUNDDOWN($E1112*設定!$C$4,0),ROUNDDOWN($E1112*ROUND((9*$AA1112-9*$E1112)/(10*$E1112),4),0))))</f>
        <v/>
      </c>
      <c r="AD1112" s="13" t="n"/>
      <c r="AE1112" s="15">
        <f>IF($B1112="","",IF($AD1112&lt;&gt;"",$AD1112,IF($AC1112="","",IF($AC1112&lt;=設定!$C$3,0,$AC1112))))</f>
        <v/>
      </c>
      <c r="AF1112" s="14">
        <f>IF($B1112="","",IF(AND($AG1112&lt;&gt;"",$AI1112="",$AL1112=""),"保留中",IF($AL1112&lt;&gt;"",IF(N($AE1112)&gt;0,"支給済","不支給"),IF($AE1112="","要確認",IF($AE1112=0,"不支給","未処理")))))</f>
        <v/>
      </c>
      <c r="AG1112" s="12" t="n"/>
      <c r="AH1112" s="11" t="n"/>
      <c r="AI1112" s="11" t="n"/>
      <c r="AJ1112" s="11" t="n"/>
      <c r="AK1112" s="14">
        <f>IF(AND($AF1112="保留中",$AH1112&lt;&gt;""),TODAY()-$AH1112,"")</f>
        <v/>
      </c>
      <c r="AL1112" s="12" t="n"/>
      <c r="AM1112" s="14">
        <f>IF($B1112="","",IF($AQ1112="","対象年月が未入力／","")&amp;IF($B1112="","",IF($AP1112="","職員マスタに未登録の職員番号／",IF($AA1112="","標準報酬月額が未登録／","")&amp;IF(AND($AQ1112&lt;&gt;"",OR(AND(INDEX(職員マスタ!$G$6:$G$405,$AP1112)&lt;&gt;"",INDEX(職員マスタ!$G$6:$G$405,$AP1112)&gt;EOMONTH($AQ1112,0)),AND(INDEX(職員マスタ!$H$6:$H$405,$AP1112)&lt;&gt;"",INDEX(職員マスタ!$H$6:$H$405,$AP1112)&lt;$AQ1112))),"対象月が時短期間外／","")&amp;IF(AND(INDEX(職員マスタ!$K$6:$K$405,$AP1112)&lt;&gt;"",N($W1112)&gt;0,INDEX(職員マスタ!$K$6:$K$405,$AP1112)&lt;&gt;$W1112),"標準報酬月額が申請書と相違（台帳"&amp;TEXT(INDEX(職員マスタ!$K$6:$K$405,$AP1112),"#,##0")&amp;"円／申請書"&amp;TEXT($W1112,"#,##0")&amp;"円）／","")&amp;IF(AND(INDEX(職員マスタ!$F$6:$F$405,$AP1112)&lt;&gt;"",$AQ1112&lt;&gt;"",INDEX(職員マスタ!$F$6:$F$405,$AP1112)&lt;$AQ1112),"対象月に子が2歳到達済／","")&amp;IF(AND($H1112&lt;&gt;"",INDEX(職員マスタ!$B$6:$B$405,$AP1112)&lt;&gt;"",SUBSTITUTE(SUBSTITUTE($H1112," ","")," ","")&lt;&gt;SUBSTITUTE(SUBSTITUTE(INDEX(職員マスタ!$B$6:$B$405,$AP1112)," ","")," ","")),"氏名がマスタと相違／","")&amp;IF(AND($Q1112&lt;&gt;"",INDEX(職員マスタ!$E$6:$E$405,$AP1112)&lt;&gt;"",$Q1112&lt;&gt;INDEX(職員マスタ!$E$6:$E$405,$AP1112)),"子の生年月日がマスタと相違／","")&amp;IF(AND($L1112&lt;&gt;"",INDEX(職員マスタ!$G$6:$G$405,$AP1112)&lt;&gt;"",$L1112&lt;&gt;INDEX(職員マスタ!$G$6:$G$405,$AP1112)),"時短開始日がマスタと相違／","")&amp;IF(AND($M1112&lt;&gt;"",INDEX(職員マスタ!$H$6:$H$405,$AP1112)&lt;&gt;"",$M1112&lt;&gt;INDEX(職員マスタ!$H$6:$H$405,$AP1112)),"時短終了日がマスタと相違／","")))&amp;IF(AND($B1112&lt;&gt;"",$E1112=""),"報酬額が未入力／","")&amp;IF(N($U1112)&gt;0,"申請書に入力エラーが残っています／","")&amp;IF(AND($B1112&lt;&gt;"",$AQ1112&lt;&gt;""),IF(COUNTIFS($B$6:$B$3005,$B1112,$C$6:$C$3005,$C1112,$D$6:$D$3005,$D1112)&gt;1,"同じ月の請求が重複しています／",""),"")&amp;IF(AND(N($E1112)&gt;0,$AB1112&lt;&gt;"",$AB1112&lt;&gt;"×",$AE1112=0,$AD1112=""),"計算額が下限以下のため不支給／",""))</f>
        <v/>
      </c>
      <c r="AN1112" s="12" t="n"/>
      <c r="AO1112" s="14">
        <f>IF($AF1112="保留中",COUNTIF($AF$6:$AF1112,"保留中"),"")</f>
        <v/>
      </c>
      <c r="AP1112" s="14">
        <f>IF($AQ1112="","",IF(SUMPRODUCT(MAX((職員マスタ!$A$6:$A$405=$B1112)*(((職員マスタ!$G$6:$G$405="")+(職員マスタ!$G$6:$G$405&lt;=EOMONTH($AQ1112,0)))&gt;0)*(((職員マスタ!$H$6:$H$405="")+(職員マスタ!$H$6:$H$405&gt;=$AQ1112))&gt;0)*(ROW(職員マスタ!$A$6:$A$405)-5)))&gt;0,SUMPRODUCT(MAX((職員マスタ!$A$6:$A$405=$B1112)*(((職員マスタ!$G$6:$G$405="")+(職員マスタ!$G$6:$G$405&lt;=EOMONTH($AQ1112,0)))&gt;0)*(((職員マスタ!$H$6:$H$405="")+(職員マスタ!$H$6:$H$405&gt;=$AQ1112))&gt;0)*(ROW(職員マスタ!$A$6:$A$405)-5))),IFERROR(MATCH($B1112,職員マスタ!$A$6:$A$405,0),"")))</f>
        <v/>
      </c>
      <c r="AQ1112" s="16">
        <f>IF(OR($B1112="",$C1112="",$D1112=""),"",DATE($C1112+2018,$D1112,1))</f>
        <v/>
      </c>
    </row>
    <row r="1113">
      <c r="A1113" s="11" t="n"/>
      <c r="B1113" s="12" t="n"/>
      <c r="C1113" s="12" t="n"/>
      <c r="D1113" s="12" t="n"/>
      <c r="E1113" s="13" t="n"/>
      <c r="F1113" s="12" t="n"/>
      <c r="G1113" s="13" t="n"/>
      <c r="H1113" s="12" t="n"/>
      <c r="I1113" s="12" t="n"/>
      <c r="J1113" s="12" t="n"/>
      <c r="K1113" s="12" t="n"/>
      <c r="L1113" s="11" t="n"/>
      <c r="M1113" s="11" t="n"/>
      <c r="N1113" s="11" t="n"/>
      <c r="O1113" s="11" t="n"/>
      <c r="P1113" s="12" t="n"/>
      <c r="Q1113" s="11" t="n"/>
      <c r="R1113" s="12" t="n"/>
      <c r="S1113" s="11" t="n"/>
      <c r="T1113" s="12" t="n"/>
      <c r="U1113" s="12" t="n"/>
      <c r="V1113" s="12" t="n"/>
      <c r="W1113" s="13" t="n"/>
      <c r="X1113" s="14">
        <f>IF($AP1113="",IF($B1113="","",$H1113),IF(INDEX(職員マスタ!$B$6:$B$405,$AP1113)="",$H1113,INDEX(職員マスタ!$B$6:$B$405,$AP1113)))</f>
        <v/>
      </c>
      <c r="Y1113" s="14">
        <f>IF($AP1113="",IF($B1113="","",$R1113),IF(INDEX(職員マスタ!$C$6:$C$405,$AP1113)="",$R1113,INDEX(職員マスタ!$C$6:$C$405,$AP1113)))</f>
        <v/>
      </c>
      <c r="Z1113" s="14">
        <f>IF($AQ1113="","","R"&amp;$C1113&amp;"."&amp;$D1113)</f>
        <v/>
      </c>
      <c r="AA1113" s="15">
        <f>IF(IF($AP1113="",FALSE,INDEX(職員マスタ!$K$6:$K$405,$AP1113)&lt;&gt;""),INDEX(職員マスタ!$K$6:$K$405,$AP1113),IF(N($W1113)&gt;0,$W1113,""))</f>
        <v/>
      </c>
      <c r="AB1113" s="14">
        <f>IF(OR($E1113="",$AA1113=""),"",IF($E1113&gt;=$AA1113,"×",IF($E1113&gt;=$AA1113*設定!$C$5,"△","○")))</f>
        <v/>
      </c>
      <c r="AC1113" s="15">
        <f>IF($AB1113="","",IF($AB1113="×",0,IF($AB1113="○",ROUNDDOWN($E1113*設定!$C$4,0),ROUNDDOWN($E1113*ROUND((9*$AA1113-9*$E1113)/(10*$E1113),4),0))))</f>
        <v/>
      </c>
      <c r="AD1113" s="13" t="n"/>
      <c r="AE1113" s="15">
        <f>IF($B1113="","",IF($AD1113&lt;&gt;"",$AD1113,IF($AC1113="","",IF($AC1113&lt;=設定!$C$3,0,$AC1113))))</f>
        <v/>
      </c>
      <c r="AF1113" s="14">
        <f>IF($B1113="","",IF(AND($AG1113&lt;&gt;"",$AI1113="",$AL1113=""),"保留中",IF($AL1113&lt;&gt;"",IF(N($AE1113)&gt;0,"支給済","不支給"),IF($AE1113="","要確認",IF($AE1113=0,"不支給","未処理")))))</f>
        <v/>
      </c>
      <c r="AG1113" s="12" t="n"/>
      <c r="AH1113" s="11" t="n"/>
      <c r="AI1113" s="11" t="n"/>
      <c r="AJ1113" s="11" t="n"/>
      <c r="AK1113" s="14">
        <f>IF(AND($AF1113="保留中",$AH1113&lt;&gt;""),TODAY()-$AH1113,"")</f>
        <v/>
      </c>
      <c r="AL1113" s="12" t="n"/>
      <c r="AM1113" s="14">
        <f>IF($B1113="","",IF($AQ1113="","対象年月が未入力／","")&amp;IF($B1113="","",IF($AP1113="","職員マスタに未登録の職員番号／",IF($AA1113="","標準報酬月額が未登録／","")&amp;IF(AND($AQ1113&lt;&gt;"",OR(AND(INDEX(職員マスタ!$G$6:$G$405,$AP1113)&lt;&gt;"",INDEX(職員マスタ!$G$6:$G$405,$AP1113)&gt;EOMONTH($AQ1113,0)),AND(INDEX(職員マスタ!$H$6:$H$405,$AP1113)&lt;&gt;"",INDEX(職員マスタ!$H$6:$H$405,$AP1113)&lt;$AQ1113))),"対象月が時短期間外／","")&amp;IF(AND(INDEX(職員マスタ!$K$6:$K$405,$AP1113)&lt;&gt;"",N($W1113)&gt;0,INDEX(職員マスタ!$K$6:$K$405,$AP1113)&lt;&gt;$W1113),"標準報酬月額が申請書と相違（台帳"&amp;TEXT(INDEX(職員マスタ!$K$6:$K$405,$AP1113),"#,##0")&amp;"円／申請書"&amp;TEXT($W1113,"#,##0")&amp;"円）／","")&amp;IF(AND(INDEX(職員マスタ!$F$6:$F$405,$AP1113)&lt;&gt;"",$AQ1113&lt;&gt;"",INDEX(職員マスタ!$F$6:$F$405,$AP1113)&lt;$AQ1113),"対象月に子が2歳到達済／","")&amp;IF(AND($H1113&lt;&gt;"",INDEX(職員マスタ!$B$6:$B$405,$AP1113)&lt;&gt;"",SUBSTITUTE(SUBSTITUTE($H1113," ","")," ","")&lt;&gt;SUBSTITUTE(SUBSTITUTE(INDEX(職員マスタ!$B$6:$B$405,$AP1113)," ","")," ","")),"氏名がマスタと相違／","")&amp;IF(AND($Q1113&lt;&gt;"",INDEX(職員マスタ!$E$6:$E$405,$AP1113)&lt;&gt;"",$Q1113&lt;&gt;INDEX(職員マスタ!$E$6:$E$405,$AP1113)),"子の生年月日がマスタと相違／","")&amp;IF(AND($L1113&lt;&gt;"",INDEX(職員マスタ!$G$6:$G$405,$AP1113)&lt;&gt;"",$L1113&lt;&gt;INDEX(職員マスタ!$G$6:$G$405,$AP1113)),"時短開始日がマスタと相違／","")&amp;IF(AND($M1113&lt;&gt;"",INDEX(職員マスタ!$H$6:$H$405,$AP1113)&lt;&gt;"",$M1113&lt;&gt;INDEX(職員マスタ!$H$6:$H$405,$AP1113)),"時短終了日がマスタと相違／","")))&amp;IF(AND($B1113&lt;&gt;"",$E1113=""),"報酬額が未入力／","")&amp;IF(N($U1113)&gt;0,"申請書に入力エラーが残っています／","")&amp;IF(AND($B1113&lt;&gt;"",$AQ1113&lt;&gt;""),IF(COUNTIFS($B$6:$B$3005,$B1113,$C$6:$C$3005,$C1113,$D$6:$D$3005,$D1113)&gt;1,"同じ月の請求が重複しています／",""),"")&amp;IF(AND(N($E1113)&gt;0,$AB1113&lt;&gt;"",$AB1113&lt;&gt;"×",$AE1113=0,$AD1113=""),"計算額が下限以下のため不支給／",""))</f>
        <v/>
      </c>
      <c r="AN1113" s="12" t="n"/>
      <c r="AO1113" s="14">
        <f>IF($AF1113="保留中",COUNTIF($AF$6:$AF1113,"保留中"),"")</f>
        <v/>
      </c>
      <c r="AP1113" s="14">
        <f>IF($AQ1113="","",IF(SUMPRODUCT(MAX((職員マスタ!$A$6:$A$405=$B1113)*(((職員マスタ!$G$6:$G$405="")+(職員マスタ!$G$6:$G$405&lt;=EOMONTH($AQ1113,0)))&gt;0)*(((職員マスタ!$H$6:$H$405="")+(職員マスタ!$H$6:$H$405&gt;=$AQ1113))&gt;0)*(ROW(職員マスタ!$A$6:$A$405)-5)))&gt;0,SUMPRODUCT(MAX((職員マスタ!$A$6:$A$405=$B1113)*(((職員マスタ!$G$6:$G$405="")+(職員マスタ!$G$6:$G$405&lt;=EOMONTH($AQ1113,0)))&gt;0)*(((職員マスタ!$H$6:$H$405="")+(職員マスタ!$H$6:$H$405&gt;=$AQ1113))&gt;0)*(ROW(職員マスタ!$A$6:$A$405)-5))),IFERROR(MATCH($B1113,職員マスタ!$A$6:$A$405,0),"")))</f>
        <v/>
      </c>
      <c r="AQ1113" s="16">
        <f>IF(OR($B1113="",$C1113="",$D1113=""),"",DATE($C1113+2018,$D1113,1))</f>
        <v/>
      </c>
    </row>
    <row r="1114">
      <c r="A1114" s="11" t="n"/>
      <c r="B1114" s="12" t="n"/>
      <c r="C1114" s="12" t="n"/>
      <c r="D1114" s="12" t="n"/>
      <c r="E1114" s="13" t="n"/>
      <c r="F1114" s="12" t="n"/>
      <c r="G1114" s="13" t="n"/>
      <c r="H1114" s="12" t="n"/>
      <c r="I1114" s="12" t="n"/>
      <c r="J1114" s="12" t="n"/>
      <c r="K1114" s="12" t="n"/>
      <c r="L1114" s="11" t="n"/>
      <c r="M1114" s="11" t="n"/>
      <c r="N1114" s="11" t="n"/>
      <c r="O1114" s="11" t="n"/>
      <c r="P1114" s="12" t="n"/>
      <c r="Q1114" s="11" t="n"/>
      <c r="R1114" s="12" t="n"/>
      <c r="S1114" s="11" t="n"/>
      <c r="T1114" s="12" t="n"/>
      <c r="U1114" s="12" t="n"/>
      <c r="V1114" s="12" t="n"/>
      <c r="W1114" s="13" t="n"/>
      <c r="X1114" s="14">
        <f>IF($AP1114="",IF($B1114="","",$H1114),IF(INDEX(職員マスタ!$B$6:$B$405,$AP1114)="",$H1114,INDEX(職員マスタ!$B$6:$B$405,$AP1114)))</f>
        <v/>
      </c>
      <c r="Y1114" s="14">
        <f>IF($AP1114="",IF($B1114="","",$R1114),IF(INDEX(職員マスタ!$C$6:$C$405,$AP1114)="",$R1114,INDEX(職員マスタ!$C$6:$C$405,$AP1114)))</f>
        <v/>
      </c>
      <c r="Z1114" s="14">
        <f>IF($AQ1114="","","R"&amp;$C1114&amp;"."&amp;$D1114)</f>
        <v/>
      </c>
      <c r="AA1114" s="15">
        <f>IF(IF($AP1114="",FALSE,INDEX(職員マスタ!$K$6:$K$405,$AP1114)&lt;&gt;""),INDEX(職員マスタ!$K$6:$K$405,$AP1114),IF(N($W1114)&gt;0,$W1114,""))</f>
        <v/>
      </c>
      <c r="AB1114" s="14">
        <f>IF(OR($E1114="",$AA1114=""),"",IF($E1114&gt;=$AA1114,"×",IF($E1114&gt;=$AA1114*設定!$C$5,"△","○")))</f>
        <v/>
      </c>
      <c r="AC1114" s="15">
        <f>IF($AB1114="","",IF($AB1114="×",0,IF($AB1114="○",ROUNDDOWN($E1114*設定!$C$4,0),ROUNDDOWN($E1114*ROUND((9*$AA1114-9*$E1114)/(10*$E1114),4),0))))</f>
        <v/>
      </c>
      <c r="AD1114" s="13" t="n"/>
      <c r="AE1114" s="15">
        <f>IF($B1114="","",IF($AD1114&lt;&gt;"",$AD1114,IF($AC1114="","",IF($AC1114&lt;=設定!$C$3,0,$AC1114))))</f>
        <v/>
      </c>
      <c r="AF1114" s="14">
        <f>IF($B1114="","",IF(AND($AG1114&lt;&gt;"",$AI1114="",$AL1114=""),"保留中",IF($AL1114&lt;&gt;"",IF(N($AE1114)&gt;0,"支給済","不支給"),IF($AE1114="","要確認",IF($AE1114=0,"不支給","未処理")))))</f>
        <v/>
      </c>
      <c r="AG1114" s="12" t="n"/>
      <c r="AH1114" s="11" t="n"/>
      <c r="AI1114" s="11" t="n"/>
      <c r="AJ1114" s="11" t="n"/>
      <c r="AK1114" s="14">
        <f>IF(AND($AF1114="保留中",$AH1114&lt;&gt;""),TODAY()-$AH1114,"")</f>
        <v/>
      </c>
      <c r="AL1114" s="12" t="n"/>
      <c r="AM1114" s="14">
        <f>IF($B1114="","",IF($AQ1114="","対象年月が未入力／","")&amp;IF($B1114="","",IF($AP1114="","職員マスタに未登録の職員番号／",IF($AA1114="","標準報酬月額が未登録／","")&amp;IF(AND($AQ1114&lt;&gt;"",OR(AND(INDEX(職員マスタ!$G$6:$G$405,$AP1114)&lt;&gt;"",INDEX(職員マスタ!$G$6:$G$405,$AP1114)&gt;EOMONTH($AQ1114,0)),AND(INDEX(職員マスタ!$H$6:$H$405,$AP1114)&lt;&gt;"",INDEX(職員マスタ!$H$6:$H$405,$AP1114)&lt;$AQ1114))),"対象月が時短期間外／","")&amp;IF(AND(INDEX(職員マスタ!$K$6:$K$405,$AP1114)&lt;&gt;"",N($W1114)&gt;0,INDEX(職員マスタ!$K$6:$K$405,$AP1114)&lt;&gt;$W1114),"標準報酬月額が申請書と相違（台帳"&amp;TEXT(INDEX(職員マスタ!$K$6:$K$405,$AP1114),"#,##0")&amp;"円／申請書"&amp;TEXT($W1114,"#,##0")&amp;"円）／","")&amp;IF(AND(INDEX(職員マスタ!$F$6:$F$405,$AP1114)&lt;&gt;"",$AQ1114&lt;&gt;"",INDEX(職員マスタ!$F$6:$F$405,$AP1114)&lt;$AQ1114),"対象月に子が2歳到達済／","")&amp;IF(AND($H1114&lt;&gt;"",INDEX(職員マスタ!$B$6:$B$405,$AP1114)&lt;&gt;"",SUBSTITUTE(SUBSTITUTE($H1114," ","")," ","")&lt;&gt;SUBSTITUTE(SUBSTITUTE(INDEX(職員マスタ!$B$6:$B$405,$AP1114)," ","")," ","")),"氏名がマスタと相違／","")&amp;IF(AND($Q1114&lt;&gt;"",INDEX(職員マスタ!$E$6:$E$405,$AP1114)&lt;&gt;"",$Q1114&lt;&gt;INDEX(職員マスタ!$E$6:$E$405,$AP1114)),"子の生年月日がマスタと相違／","")&amp;IF(AND($L1114&lt;&gt;"",INDEX(職員マスタ!$G$6:$G$405,$AP1114)&lt;&gt;"",$L1114&lt;&gt;INDEX(職員マスタ!$G$6:$G$405,$AP1114)),"時短開始日がマスタと相違／","")&amp;IF(AND($M1114&lt;&gt;"",INDEX(職員マスタ!$H$6:$H$405,$AP1114)&lt;&gt;"",$M1114&lt;&gt;INDEX(職員マスタ!$H$6:$H$405,$AP1114)),"時短終了日がマスタと相違／","")))&amp;IF(AND($B1114&lt;&gt;"",$E1114=""),"報酬額が未入力／","")&amp;IF(N($U1114)&gt;0,"申請書に入力エラーが残っています／","")&amp;IF(AND($B1114&lt;&gt;"",$AQ1114&lt;&gt;""),IF(COUNTIFS($B$6:$B$3005,$B1114,$C$6:$C$3005,$C1114,$D$6:$D$3005,$D1114)&gt;1,"同じ月の請求が重複しています／",""),"")&amp;IF(AND(N($E1114)&gt;0,$AB1114&lt;&gt;"",$AB1114&lt;&gt;"×",$AE1114=0,$AD1114=""),"計算額が下限以下のため不支給／",""))</f>
        <v/>
      </c>
      <c r="AN1114" s="12" t="n"/>
      <c r="AO1114" s="14">
        <f>IF($AF1114="保留中",COUNTIF($AF$6:$AF1114,"保留中"),"")</f>
        <v/>
      </c>
      <c r="AP1114" s="14">
        <f>IF($AQ1114="","",IF(SUMPRODUCT(MAX((職員マスタ!$A$6:$A$405=$B1114)*(((職員マスタ!$G$6:$G$405="")+(職員マスタ!$G$6:$G$405&lt;=EOMONTH($AQ1114,0)))&gt;0)*(((職員マスタ!$H$6:$H$405="")+(職員マスタ!$H$6:$H$405&gt;=$AQ1114))&gt;0)*(ROW(職員マスタ!$A$6:$A$405)-5)))&gt;0,SUMPRODUCT(MAX((職員マスタ!$A$6:$A$405=$B1114)*(((職員マスタ!$G$6:$G$405="")+(職員マスタ!$G$6:$G$405&lt;=EOMONTH($AQ1114,0)))&gt;0)*(((職員マスタ!$H$6:$H$405="")+(職員マスタ!$H$6:$H$405&gt;=$AQ1114))&gt;0)*(ROW(職員マスタ!$A$6:$A$405)-5))),IFERROR(MATCH($B1114,職員マスタ!$A$6:$A$405,0),"")))</f>
        <v/>
      </c>
      <c r="AQ1114" s="16">
        <f>IF(OR($B1114="",$C1114="",$D1114=""),"",DATE($C1114+2018,$D1114,1))</f>
        <v/>
      </c>
    </row>
    <row r="1115">
      <c r="A1115" s="11" t="n"/>
      <c r="B1115" s="12" t="n"/>
      <c r="C1115" s="12" t="n"/>
      <c r="D1115" s="12" t="n"/>
      <c r="E1115" s="13" t="n"/>
      <c r="F1115" s="12" t="n"/>
      <c r="G1115" s="13" t="n"/>
      <c r="H1115" s="12" t="n"/>
      <c r="I1115" s="12" t="n"/>
      <c r="J1115" s="12" t="n"/>
      <c r="K1115" s="12" t="n"/>
      <c r="L1115" s="11" t="n"/>
      <c r="M1115" s="11" t="n"/>
      <c r="N1115" s="11" t="n"/>
      <c r="O1115" s="11" t="n"/>
      <c r="P1115" s="12" t="n"/>
      <c r="Q1115" s="11" t="n"/>
      <c r="R1115" s="12" t="n"/>
      <c r="S1115" s="11" t="n"/>
      <c r="T1115" s="12" t="n"/>
      <c r="U1115" s="12" t="n"/>
      <c r="V1115" s="12" t="n"/>
      <c r="W1115" s="13" t="n"/>
      <c r="X1115" s="14">
        <f>IF($AP1115="",IF($B1115="","",$H1115),IF(INDEX(職員マスタ!$B$6:$B$405,$AP1115)="",$H1115,INDEX(職員マスタ!$B$6:$B$405,$AP1115)))</f>
        <v/>
      </c>
      <c r="Y1115" s="14">
        <f>IF($AP1115="",IF($B1115="","",$R1115),IF(INDEX(職員マスタ!$C$6:$C$405,$AP1115)="",$R1115,INDEX(職員マスタ!$C$6:$C$405,$AP1115)))</f>
        <v/>
      </c>
      <c r="Z1115" s="14">
        <f>IF($AQ1115="","","R"&amp;$C1115&amp;"."&amp;$D1115)</f>
        <v/>
      </c>
      <c r="AA1115" s="15">
        <f>IF(IF($AP1115="",FALSE,INDEX(職員マスタ!$K$6:$K$405,$AP1115)&lt;&gt;""),INDEX(職員マスタ!$K$6:$K$405,$AP1115),IF(N($W1115)&gt;0,$W1115,""))</f>
        <v/>
      </c>
      <c r="AB1115" s="14">
        <f>IF(OR($E1115="",$AA1115=""),"",IF($E1115&gt;=$AA1115,"×",IF($E1115&gt;=$AA1115*設定!$C$5,"△","○")))</f>
        <v/>
      </c>
      <c r="AC1115" s="15">
        <f>IF($AB1115="","",IF($AB1115="×",0,IF($AB1115="○",ROUNDDOWN($E1115*設定!$C$4,0),ROUNDDOWN($E1115*ROUND((9*$AA1115-9*$E1115)/(10*$E1115),4),0))))</f>
        <v/>
      </c>
      <c r="AD1115" s="13" t="n"/>
      <c r="AE1115" s="15">
        <f>IF($B1115="","",IF($AD1115&lt;&gt;"",$AD1115,IF($AC1115="","",IF($AC1115&lt;=設定!$C$3,0,$AC1115))))</f>
        <v/>
      </c>
      <c r="AF1115" s="14">
        <f>IF($B1115="","",IF(AND($AG1115&lt;&gt;"",$AI1115="",$AL1115=""),"保留中",IF($AL1115&lt;&gt;"",IF(N($AE1115)&gt;0,"支給済","不支給"),IF($AE1115="","要確認",IF($AE1115=0,"不支給","未処理")))))</f>
        <v/>
      </c>
      <c r="AG1115" s="12" t="n"/>
      <c r="AH1115" s="11" t="n"/>
      <c r="AI1115" s="11" t="n"/>
      <c r="AJ1115" s="11" t="n"/>
      <c r="AK1115" s="14">
        <f>IF(AND($AF1115="保留中",$AH1115&lt;&gt;""),TODAY()-$AH1115,"")</f>
        <v/>
      </c>
      <c r="AL1115" s="12" t="n"/>
      <c r="AM1115" s="14">
        <f>IF($B1115="","",IF($AQ1115="","対象年月が未入力／","")&amp;IF($B1115="","",IF($AP1115="","職員マスタに未登録の職員番号／",IF($AA1115="","標準報酬月額が未登録／","")&amp;IF(AND($AQ1115&lt;&gt;"",OR(AND(INDEX(職員マスタ!$G$6:$G$405,$AP1115)&lt;&gt;"",INDEX(職員マスタ!$G$6:$G$405,$AP1115)&gt;EOMONTH($AQ1115,0)),AND(INDEX(職員マスタ!$H$6:$H$405,$AP1115)&lt;&gt;"",INDEX(職員マスタ!$H$6:$H$405,$AP1115)&lt;$AQ1115))),"対象月が時短期間外／","")&amp;IF(AND(INDEX(職員マスタ!$K$6:$K$405,$AP1115)&lt;&gt;"",N($W1115)&gt;0,INDEX(職員マスタ!$K$6:$K$405,$AP1115)&lt;&gt;$W1115),"標準報酬月額が申請書と相違（台帳"&amp;TEXT(INDEX(職員マスタ!$K$6:$K$405,$AP1115),"#,##0")&amp;"円／申請書"&amp;TEXT($W1115,"#,##0")&amp;"円）／","")&amp;IF(AND(INDEX(職員マスタ!$F$6:$F$405,$AP1115)&lt;&gt;"",$AQ1115&lt;&gt;"",INDEX(職員マスタ!$F$6:$F$405,$AP1115)&lt;$AQ1115),"対象月に子が2歳到達済／","")&amp;IF(AND($H1115&lt;&gt;"",INDEX(職員マスタ!$B$6:$B$405,$AP1115)&lt;&gt;"",SUBSTITUTE(SUBSTITUTE($H1115," ","")," ","")&lt;&gt;SUBSTITUTE(SUBSTITUTE(INDEX(職員マスタ!$B$6:$B$405,$AP1115)," ","")," ","")),"氏名がマスタと相違／","")&amp;IF(AND($Q1115&lt;&gt;"",INDEX(職員マスタ!$E$6:$E$405,$AP1115)&lt;&gt;"",$Q1115&lt;&gt;INDEX(職員マスタ!$E$6:$E$405,$AP1115)),"子の生年月日がマスタと相違／","")&amp;IF(AND($L1115&lt;&gt;"",INDEX(職員マスタ!$G$6:$G$405,$AP1115)&lt;&gt;"",$L1115&lt;&gt;INDEX(職員マスタ!$G$6:$G$405,$AP1115)),"時短開始日がマスタと相違／","")&amp;IF(AND($M1115&lt;&gt;"",INDEX(職員マスタ!$H$6:$H$405,$AP1115)&lt;&gt;"",$M1115&lt;&gt;INDEX(職員マスタ!$H$6:$H$405,$AP1115)),"時短終了日がマスタと相違／","")))&amp;IF(AND($B1115&lt;&gt;"",$E1115=""),"報酬額が未入力／","")&amp;IF(N($U1115)&gt;0,"申請書に入力エラーが残っています／","")&amp;IF(AND($B1115&lt;&gt;"",$AQ1115&lt;&gt;""),IF(COUNTIFS($B$6:$B$3005,$B1115,$C$6:$C$3005,$C1115,$D$6:$D$3005,$D1115)&gt;1,"同じ月の請求が重複しています／",""),"")&amp;IF(AND(N($E1115)&gt;0,$AB1115&lt;&gt;"",$AB1115&lt;&gt;"×",$AE1115=0,$AD1115=""),"計算額が下限以下のため不支給／",""))</f>
        <v/>
      </c>
      <c r="AN1115" s="12" t="n"/>
      <c r="AO1115" s="14">
        <f>IF($AF1115="保留中",COUNTIF($AF$6:$AF1115,"保留中"),"")</f>
        <v/>
      </c>
      <c r="AP1115" s="14">
        <f>IF($AQ1115="","",IF(SUMPRODUCT(MAX((職員マスタ!$A$6:$A$405=$B1115)*(((職員マスタ!$G$6:$G$405="")+(職員マスタ!$G$6:$G$405&lt;=EOMONTH($AQ1115,0)))&gt;0)*(((職員マスタ!$H$6:$H$405="")+(職員マスタ!$H$6:$H$405&gt;=$AQ1115))&gt;0)*(ROW(職員マスタ!$A$6:$A$405)-5)))&gt;0,SUMPRODUCT(MAX((職員マスタ!$A$6:$A$405=$B1115)*(((職員マスタ!$G$6:$G$405="")+(職員マスタ!$G$6:$G$405&lt;=EOMONTH($AQ1115,0)))&gt;0)*(((職員マスタ!$H$6:$H$405="")+(職員マスタ!$H$6:$H$405&gt;=$AQ1115))&gt;0)*(ROW(職員マスタ!$A$6:$A$405)-5))),IFERROR(MATCH($B1115,職員マスタ!$A$6:$A$405,0),"")))</f>
        <v/>
      </c>
      <c r="AQ1115" s="16">
        <f>IF(OR($B1115="",$C1115="",$D1115=""),"",DATE($C1115+2018,$D1115,1))</f>
        <v/>
      </c>
    </row>
    <row r="1116">
      <c r="A1116" s="11" t="n"/>
      <c r="B1116" s="12" t="n"/>
      <c r="C1116" s="12" t="n"/>
      <c r="D1116" s="12" t="n"/>
      <c r="E1116" s="13" t="n"/>
      <c r="F1116" s="12" t="n"/>
      <c r="G1116" s="13" t="n"/>
      <c r="H1116" s="12" t="n"/>
      <c r="I1116" s="12" t="n"/>
      <c r="J1116" s="12" t="n"/>
      <c r="K1116" s="12" t="n"/>
      <c r="L1116" s="11" t="n"/>
      <c r="M1116" s="11" t="n"/>
      <c r="N1116" s="11" t="n"/>
      <c r="O1116" s="11" t="n"/>
      <c r="P1116" s="12" t="n"/>
      <c r="Q1116" s="11" t="n"/>
      <c r="R1116" s="12" t="n"/>
      <c r="S1116" s="11" t="n"/>
      <c r="T1116" s="12" t="n"/>
      <c r="U1116" s="12" t="n"/>
      <c r="V1116" s="12" t="n"/>
      <c r="W1116" s="13" t="n"/>
      <c r="X1116" s="14">
        <f>IF($AP1116="",IF($B1116="","",$H1116),IF(INDEX(職員マスタ!$B$6:$B$405,$AP1116)="",$H1116,INDEX(職員マスタ!$B$6:$B$405,$AP1116)))</f>
        <v/>
      </c>
      <c r="Y1116" s="14">
        <f>IF($AP1116="",IF($B1116="","",$R1116),IF(INDEX(職員マスタ!$C$6:$C$405,$AP1116)="",$R1116,INDEX(職員マスタ!$C$6:$C$405,$AP1116)))</f>
        <v/>
      </c>
      <c r="Z1116" s="14">
        <f>IF($AQ1116="","","R"&amp;$C1116&amp;"."&amp;$D1116)</f>
        <v/>
      </c>
      <c r="AA1116" s="15">
        <f>IF(IF($AP1116="",FALSE,INDEX(職員マスタ!$K$6:$K$405,$AP1116)&lt;&gt;""),INDEX(職員マスタ!$K$6:$K$405,$AP1116),IF(N($W1116)&gt;0,$W1116,""))</f>
        <v/>
      </c>
      <c r="AB1116" s="14">
        <f>IF(OR($E1116="",$AA1116=""),"",IF($E1116&gt;=$AA1116,"×",IF($E1116&gt;=$AA1116*設定!$C$5,"△","○")))</f>
        <v/>
      </c>
      <c r="AC1116" s="15">
        <f>IF($AB1116="","",IF($AB1116="×",0,IF($AB1116="○",ROUNDDOWN($E1116*設定!$C$4,0),ROUNDDOWN($E1116*ROUND((9*$AA1116-9*$E1116)/(10*$E1116),4),0))))</f>
        <v/>
      </c>
      <c r="AD1116" s="13" t="n"/>
      <c r="AE1116" s="15">
        <f>IF($B1116="","",IF($AD1116&lt;&gt;"",$AD1116,IF($AC1116="","",IF($AC1116&lt;=設定!$C$3,0,$AC1116))))</f>
        <v/>
      </c>
      <c r="AF1116" s="14">
        <f>IF($B1116="","",IF(AND($AG1116&lt;&gt;"",$AI1116="",$AL1116=""),"保留中",IF($AL1116&lt;&gt;"",IF(N($AE1116)&gt;0,"支給済","不支給"),IF($AE1116="","要確認",IF($AE1116=0,"不支給","未処理")))))</f>
        <v/>
      </c>
      <c r="AG1116" s="12" t="n"/>
      <c r="AH1116" s="11" t="n"/>
      <c r="AI1116" s="11" t="n"/>
      <c r="AJ1116" s="11" t="n"/>
      <c r="AK1116" s="14">
        <f>IF(AND($AF1116="保留中",$AH1116&lt;&gt;""),TODAY()-$AH1116,"")</f>
        <v/>
      </c>
      <c r="AL1116" s="12" t="n"/>
      <c r="AM1116" s="14">
        <f>IF($B1116="","",IF($AQ1116="","対象年月が未入力／","")&amp;IF($B1116="","",IF($AP1116="","職員マスタに未登録の職員番号／",IF($AA1116="","標準報酬月額が未登録／","")&amp;IF(AND($AQ1116&lt;&gt;"",OR(AND(INDEX(職員マスタ!$G$6:$G$405,$AP1116)&lt;&gt;"",INDEX(職員マスタ!$G$6:$G$405,$AP1116)&gt;EOMONTH($AQ1116,0)),AND(INDEX(職員マスタ!$H$6:$H$405,$AP1116)&lt;&gt;"",INDEX(職員マスタ!$H$6:$H$405,$AP1116)&lt;$AQ1116))),"対象月が時短期間外／","")&amp;IF(AND(INDEX(職員マスタ!$K$6:$K$405,$AP1116)&lt;&gt;"",N($W1116)&gt;0,INDEX(職員マスタ!$K$6:$K$405,$AP1116)&lt;&gt;$W1116),"標準報酬月額が申請書と相違（台帳"&amp;TEXT(INDEX(職員マスタ!$K$6:$K$405,$AP1116),"#,##0")&amp;"円／申請書"&amp;TEXT($W1116,"#,##0")&amp;"円）／","")&amp;IF(AND(INDEX(職員マスタ!$F$6:$F$405,$AP1116)&lt;&gt;"",$AQ1116&lt;&gt;"",INDEX(職員マスタ!$F$6:$F$405,$AP1116)&lt;$AQ1116),"対象月に子が2歳到達済／","")&amp;IF(AND($H1116&lt;&gt;"",INDEX(職員マスタ!$B$6:$B$405,$AP1116)&lt;&gt;"",SUBSTITUTE(SUBSTITUTE($H1116," ","")," ","")&lt;&gt;SUBSTITUTE(SUBSTITUTE(INDEX(職員マスタ!$B$6:$B$405,$AP1116)," ","")," ","")),"氏名がマスタと相違／","")&amp;IF(AND($Q1116&lt;&gt;"",INDEX(職員マスタ!$E$6:$E$405,$AP1116)&lt;&gt;"",$Q1116&lt;&gt;INDEX(職員マスタ!$E$6:$E$405,$AP1116)),"子の生年月日がマスタと相違／","")&amp;IF(AND($L1116&lt;&gt;"",INDEX(職員マスタ!$G$6:$G$405,$AP1116)&lt;&gt;"",$L1116&lt;&gt;INDEX(職員マスタ!$G$6:$G$405,$AP1116)),"時短開始日がマスタと相違／","")&amp;IF(AND($M1116&lt;&gt;"",INDEX(職員マスタ!$H$6:$H$405,$AP1116)&lt;&gt;"",$M1116&lt;&gt;INDEX(職員マスタ!$H$6:$H$405,$AP1116)),"時短終了日がマスタと相違／","")))&amp;IF(AND($B1116&lt;&gt;"",$E1116=""),"報酬額が未入力／","")&amp;IF(N($U1116)&gt;0,"申請書に入力エラーが残っています／","")&amp;IF(AND($B1116&lt;&gt;"",$AQ1116&lt;&gt;""),IF(COUNTIFS($B$6:$B$3005,$B1116,$C$6:$C$3005,$C1116,$D$6:$D$3005,$D1116)&gt;1,"同じ月の請求が重複しています／",""),"")&amp;IF(AND(N($E1116)&gt;0,$AB1116&lt;&gt;"",$AB1116&lt;&gt;"×",$AE1116=0,$AD1116=""),"計算額が下限以下のため不支給／",""))</f>
        <v/>
      </c>
      <c r="AN1116" s="12" t="n"/>
      <c r="AO1116" s="14">
        <f>IF($AF1116="保留中",COUNTIF($AF$6:$AF1116,"保留中"),"")</f>
        <v/>
      </c>
      <c r="AP1116" s="14">
        <f>IF($AQ1116="","",IF(SUMPRODUCT(MAX((職員マスタ!$A$6:$A$405=$B1116)*(((職員マスタ!$G$6:$G$405="")+(職員マスタ!$G$6:$G$405&lt;=EOMONTH($AQ1116,0)))&gt;0)*(((職員マスタ!$H$6:$H$405="")+(職員マスタ!$H$6:$H$405&gt;=$AQ1116))&gt;0)*(ROW(職員マスタ!$A$6:$A$405)-5)))&gt;0,SUMPRODUCT(MAX((職員マスタ!$A$6:$A$405=$B1116)*(((職員マスタ!$G$6:$G$405="")+(職員マスタ!$G$6:$G$405&lt;=EOMONTH($AQ1116,0)))&gt;0)*(((職員マスタ!$H$6:$H$405="")+(職員マスタ!$H$6:$H$405&gt;=$AQ1116))&gt;0)*(ROW(職員マスタ!$A$6:$A$405)-5))),IFERROR(MATCH($B1116,職員マスタ!$A$6:$A$405,0),"")))</f>
        <v/>
      </c>
      <c r="AQ1116" s="16">
        <f>IF(OR($B1116="",$C1116="",$D1116=""),"",DATE($C1116+2018,$D1116,1))</f>
        <v/>
      </c>
    </row>
    <row r="1117">
      <c r="A1117" s="11" t="n"/>
      <c r="B1117" s="12" t="n"/>
      <c r="C1117" s="12" t="n"/>
      <c r="D1117" s="12" t="n"/>
      <c r="E1117" s="13" t="n"/>
      <c r="F1117" s="12" t="n"/>
      <c r="G1117" s="13" t="n"/>
      <c r="H1117" s="12" t="n"/>
      <c r="I1117" s="12" t="n"/>
      <c r="J1117" s="12" t="n"/>
      <c r="K1117" s="12" t="n"/>
      <c r="L1117" s="11" t="n"/>
      <c r="M1117" s="11" t="n"/>
      <c r="N1117" s="11" t="n"/>
      <c r="O1117" s="11" t="n"/>
      <c r="P1117" s="12" t="n"/>
      <c r="Q1117" s="11" t="n"/>
      <c r="R1117" s="12" t="n"/>
      <c r="S1117" s="11" t="n"/>
      <c r="T1117" s="12" t="n"/>
      <c r="U1117" s="12" t="n"/>
      <c r="V1117" s="12" t="n"/>
      <c r="W1117" s="13" t="n"/>
      <c r="X1117" s="14">
        <f>IF($AP1117="",IF($B1117="","",$H1117),IF(INDEX(職員マスタ!$B$6:$B$405,$AP1117)="",$H1117,INDEX(職員マスタ!$B$6:$B$405,$AP1117)))</f>
        <v/>
      </c>
      <c r="Y1117" s="14">
        <f>IF($AP1117="",IF($B1117="","",$R1117),IF(INDEX(職員マスタ!$C$6:$C$405,$AP1117)="",$R1117,INDEX(職員マスタ!$C$6:$C$405,$AP1117)))</f>
        <v/>
      </c>
      <c r="Z1117" s="14">
        <f>IF($AQ1117="","","R"&amp;$C1117&amp;"."&amp;$D1117)</f>
        <v/>
      </c>
      <c r="AA1117" s="15">
        <f>IF(IF($AP1117="",FALSE,INDEX(職員マスタ!$K$6:$K$405,$AP1117)&lt;&gt;""),INDEX(職員マスタ!$K$6:$K$405,$AP1117),IF(N($W1117)&gt;0,$W1117,""))</f>
        <v/>
      </c>
      <c r="AB1117" s="14">
        <f>IF(OR($E1117="",$AA1117=""),"",IF($E1117&gt;=$AA1117,"×",IF($E1117&gt;=$AA1117*設定!$C$5,"△","○")))</f>
        <v/>
      </c>
      <c r="AC1117" s="15">
        <f>IF($AB1117="","",IF($AB1117="×",0,IF($AB1117="○",ROUNDDOWN($E1117*設定!$C$4,0),ROUNDDOWN($E1117*ROUND((9*$AA1117-9*$E1117)/(10*$E1117),4),0))))</f>
        <v/>
      </c>
      <c r="AD1117" s="13" t="n"/>
      <c r="AE1117" s="15">
        <f>IF($B1117="","",IF($AD1117&lt;&gt;"",$AD1117,IF($AC1117="","",IF($AC1117&lt;=設定!$C$3,0,$AC1117))))</f>
        <v/>
      </c>
      <c r="AF1117" s="14">
        <f>IF($B1117="","",IF(AND($AG1117&lt;&gt;"",$AI1117="",$AL1117=""),"保留中",IF($AL1117&lt;&gt;"",IF(N($AE1117)&gt;0,"支給済","不支給"),IF($AE1117="","要確認",IF($AE1117=0,"不支給","未処理")))))</f>
        <v/>
      </c>
      <c r="AG1117" s="12" t="n"/>
      <c r="AH1117" s="11" t="n"/>
      <c r="AI1117" s="11" t="n"/>
      <c r="AJ1117" s="11" t="n"/>
      <c r="AK1117" s="14">
        <f>IF(AND($AF1117="保留中",$AH1117&lt;&gt;""),TODAY()-$AH1117,"")</f>
        <v/>
      </c>
      <c r="AL1117" s="12" t="n"/>
      <c r="AM1117" s="14">
        <f>IF($B1117="","",IF($AQ1117="","対象年月が未入力／","")&amp;IF($B1117="","",IF($AP1117="","職員マスタに未登録の職員番号／",IF($AA1117="","標準報酬月額が未登録／","")&amp;IF(AND($AQ1117&lt;&gt;"",OR(AND(INDEX(職員マスタ!$G$6:$G$405,$AP1117)&lt;&gt;"",INDEX(職員マスタ!$G$6:$G$405,$AP1117)&gt;EOMONTH($AQ1117,0)),AND(INDEX(職員マスタ!$H$6:$H$405,$AP1117)&lt;&gt;"",INDEX(職員マスタ!$H$6:$H$405,$AP1117)&lt;$AQ1117))),"対象月が時短期間外／","")&amp;IF(AND(INDEX(職員マスタ!$K$6:$K$405,$AP1117)&lt;&gt;"",N($W1117)&gt;0,INDEX(職員マスタ!$K$6:$K$405,$AP1117)&lt;&gt;$W1117),"標準報酬月額が申請書と相違（台帳"&amp;TEXT(INDEX(職員マスタ!$K$6:$K$405,$AP1117),"#,##0")&amp;"円／申請書"&amp;TEXT($W1117,"#,##0")&amp;"円）／","")&amp;IF(AND(INDEX(職員マスタ!$F$6:$F$405,$AP1117)&lt;&gt;"",$AQ1117&lt;&gt;"",INDEX(職員マスタ!$F$6:$F$405,$AP1117)&lt;$AQ1117),"対象月に子が2歳到達済／","")&amp;IF(AND($H1117&lt;&gt;"",INDEX(職員マスタ!$B$6:$B$405,$AP1117)&lt;&gt;"",SUBSTITUTE(SUBSTITUTE($H1117," ","")," ","")&lt;&gt;SUBSTITUTE(SUBSTITUTE(INDEX(職員マスタ!$B$6:$B$405,$AP1117)," ","")," ","")),"氏名がマスタと相違／","")&amp;IF(AND($Q1117&lt;&gt;"",INDEX(職員マスタ!$E$6:$E$405,$AP1117)&lt;&gt;"",$Q1117&lt;&gt;INDEX(職員マスタ!$E$6:$E$405,$AP1117)),"子の生年月日がマスタと相違／","")&amp;IF(AND($L1117&lt;&gt;"",INDEX(職員マスタ!$G$6:$G$405,$AP1117)&lt;&gt;"",$L1117&lt;&gt;INDEX(職員マスタ!$G$6:$G$405,$AP1117)),"時短開始日がマスタと相違／","")&amp;IF(AND($M1117&lt;&gt;"",INDEX(職員マスタ!$H$6:$H$405,$AP1117)&lt;&gt;"",$M1117&lt;&gt;INDEX(職員マスタ!$H$6:$H$405,$AP1117)),"時短終了日がマスタと相違／","")))&amp;IF(AND($B1117&lt;&gt;"",$E1117=""),"報酬額が未入力／","")&amp;IF(N($U1117)&gt;0,"申請書に入力エラーが残っています／","")&amp;IF(AND($B1117&lt;&gt;"",$AQ1117&lt;&gt;""),IF(COUNTIFS($B$6:$B$3005,$B1117,$C$6:$C$3005,$C1117,$D$6:$D$3005,$D1117)&gt;1,"同じ月の請求が重複しています／",""),"")&amp;IF(AND(N($E1117)&gt;0,$AB1117&lt;&gt;"",$AB1117&lt;&gt;"×",$AE1117=0,$AD1117=""),"計算額が下限以下のため不支給／",""))</f>
        <v/>
      </c>
      <c r="AN1117" s="12" t="n"/>
      <c r="AO1117" s="14">
        <f>IF($AF1117="保留中",COUNTIF($AF$6:$AF1117,"保留中"),"")</f>
        <v/>
      </c>
      <c r="AP1117" s="14">
        <f>IF($AQ1117="","",IF(SUMPRODUCT(MAX((職員マスタ!$A$6:$A$405=$B1117)*(((職員マスタ!$G$6:$G$405="")+(職員マスタ!$G$6:$G$405&lt;=EOMONTH($AQ1117,0)))&gt;0)*(((職員マスタ!$H$6:$H$405="")+(職員マスタ!$H$6:$H$405&gt;=$AQ1117))&gt;0)*(ROW(職員マスタ!$A$6:$A$405)-5)))&gt;0,SUMPRODUCT(MAX((職員マスタ!$A$6:$A$405=$B1117)*(((職員マスタ!$G$6:$G$405="")+(職員マスタ!$G$6:$G$405&lt;=EOMONTH($AQ1117,0)))&gt;0)*(((職員マスタ!$H$6:$H$405="")+(職員マスタ!$H$6:$H$405&gt;=$AQ1117))&gt;0)*(ROW(職員マスタ!$A$6:$A$405)-5))),IFERROR(MATCH($B1117,職員マスタ!$A$6:$A$405,0),"")))</f>
        <v/>
      </c>
      <c r="AQ1117" s="16">
        <f>IF(OR($B1117="",$C1117="",$D1117=""),"",DATE($C1117+2018,$D1117,1))</f>
        <v/>
      </c>
    </row>
    <row r="1118">
      <c r="A1118" s="11" t="n"/>
      <c r="B1118" s="12" t="n"/>
      <c r="C1118" s="12" t="n"/>
      <c r="D1118" s="12" t="n"/>
      <c r="E1118" s="13" t="n"/>
      <c r="F1118" s="12" t="n"/>
      <c r="G1118" s="13" t="n"/>
      <c r="H1118" s="12" t="n"/>
      <c r="I1118" s="12" t="n"/>
      <c r="J1118" s="12" t="n"/>
      <c r="K1118" s="12" t="n"/>
      <c r="L1118" s="11" t="n"/>
      <c r="M1118" s="11" t="n"/>
      <c r="N1118" s="11" t="n"/>
      <c r="O1118" s="11" t="n"/>
      <c r="P1118" s="12" t="n"/>
      <c r="Q1118" s="11" t="n"/>
      <c r="R1118" s="12" t="n"/>
      <c r="S1118" s="11" t="n"/>
      <c r="T1118" s="12" t="n"/>
      <c r="U1118" s="12" t="n"/>
      <c r="V1118" s="12" t="n"/>
      <c r="W1118" s="13" t="n"/>
      <c r="X1118" s="14">
        <f>IF($AP1118="",IF($B1118="","",$H1118),IF(INDEX(職員マスタ!$B$6:$B$405,$AP1118)="",$H1118,INDEX(職員マスタ!$B$6:$B$405,$AP1118)))</f>
        <v/>
      </c>
      <c r="Y1118" s="14">
        <f>IF($AP1118="",IF($B1118="","",$R1118),IF(INDEX(職員マスタ!$C$6:$C$405,$AP1118)="",$R1118,INDEX(職員マスタ!$C$6:$C$405,$AP1118)))</f>
        <v/>
      </c>
      <c r="Z1118" s="14">
        <f>IF($AQ1118="","","R"&amp;$C1118&amp;"."&amp;$D1118)</f>
        <v/>
      </c>
      <c r="AA1118" s="15">
        <f>IF(IF($AP1118="",FALSE,INDEX(職員マスタ!$K$6:$K$405,$AP1118)&lt;&gt;""),INDEX(職員マスタ!$K$6:$K$405,$AP1118),IF(N($W1118)&gt;0,$W1118,""))</f>
        <v/>
      </c>
      <c r="AB1118" s="14">
        <f>IF(OR($E1118="",$AA1118=""),"",IF($E1118&gt;=$AA1118,"×",IF($E1118&gt;=$AA1118*設定!$C$5,"△","○")))</f>
        <v/>
      </c>
      <c r="AC1118" s="15">
        <f>IF($AB1118="","",IF($AB1118="×",0,IF($AB1118="○",ROUNDDOWN($E1118*設定!$C$4,0),ROUNDDOWN($E1118*ROUND((9*$AA1118-9*$E1118)/(10*$E1118),4),0))))</f>
        <v/>
      </c>
      <c r="AD1118" s="13" t="n"/>
      <c r="AE1118" s="15">
        <f>IF($B1118="","",IF($AD1118&lt;&gt;"",$AD1118,IF($AC1118="","",IF($AC1118&lt;=設定!$C$3,0,$AC1118))))</f>
        <v/>
      </c>
      <c r="AF1118" s="14">
        <f>IF($B1118="","",IF(AND($AG1118&lt;&gt;"",$AI1118="",$AL1118=""),"保留中",IF($AL1118&lt;&gt;"",IF(N($AE1118)&gt;0,"支給済","不支給"),IF($AE1118="","要確認",IF($AE1118=0,"不支給","未処理")))))</f>
        <v/>
      </c>
      <c r="AG1118" s="12" t="n"/>
      <c r="AH1118" s="11" t="n"/>
      <c r="AI1118" s="11" t="n"/>
      <c r="AJ1118" s="11" t="n"/>
      <c r="AK1118" s="14">
        <f>IF(AND($AF1118="保留中",$AH1118&lt;&gt;""),TODAY()-$AH1118,"")</f>
        <v/>
      </c>
      <c r="AL1118" s="12" t="n"/>
      <c r="AM1118" s="14">
        <f>IF($B1118="","",IF($AQ1118="","対象年月が未入力／","")&amp;IF($B1118="","",IF($AP1118="","職員マスタに未登録の職員番号／",IF($AA1118="","標準報酬月額が未登録／","")&amp;IF(AND($AQ1118&lt;&gt;"",OR(AND(INDEX(職員マスタ!$G$6:$G$405,$AP1118)&lt;&gt;"",INDEX(職員マスタ!$G$6:$G$405,$AP1118)&gt;EOMONTH($AQ1118,0)),AND(INDEX(職員マスタ!$H$6:$H$405,$AP1118)&lt;&gt;"",INDEX(職員マスタ!$H$6:$H$405,$AP1118)&lt;$AQ1118))),"対象月が時短期間外／","")&amp;IF(AND(INDEX(職員マスタ!$K$6:$K$405,$AP1118)&lt;&gt;"",N($W1118)&gt;0,INDEX(職員マスタ!$K$6:$K$405,$AP1118)&lt;&gt;$W1118),"標準報酬月額が申請書と相違（台帳"&amp;TEXT(INDEX(職員マスタ!$K$6:$K$405,$AP1118),"#,##0")&amp;"円／申請書"&amp;TEXT($W1118,"#,##0")&amp;"円）／","")&amp;IF(AND(INDEX(職員マスタ!$F$6:$F$405,$AP1118)&lt;&gt;"",$AQ1118&lt;&gt;"",INDEX(職員マスタ!$F$6:$F$405,$AP1118)&lt;$AQ1118),"対象月に子が2歳到達済／","")&amp;IF(AND($H1118&lt;&gt;"",INDEX(職員マスタ!$B$6:$B$405,$AP1118)&lt;&gt;"",SUBSTITUTE(SUBSTITUTE($H1118," ","")," ","")&lt;&gt;SUBSTITUTE(SUBSTITUTE(INDEX(職員マスタ!$B$6:$B$405,$AP1118)," ","")," ","")),"氏名がマスタと相違／","")&amp;IF(AND($Q1118&lt;&gt;"",INDEX(職員マスタ!$E$6:$E$405,$AP1118)&lt;&gt;"",$Q1118&lt;&gt;INDEX(職員マスタ!$E$6:$E$405,$AP1118)),"子の生年月日がマスタと相違／","")&amp;IF(AND($L1118&lt;&gt;"",INDEX(職員マスタ!$G$6:$G$405,$AP1118)&lt;&gt;"",$L1118&lt;&gt;INDEX(職員マスタ!$G$6:$G$405,$AP1118)),"時短開始日がマスタと相違／","")&amp;IF(AND($M1118&lt;&gt;"",INDEX(職員マスタ!$H$6:$H$405,$AP1118)&lt;&gt;"",$M1118&lt;&gt;INDEX(職員マスタ!$H$6:$H$405,$AP1118)),"時短終了日がマスタと相違／","")))&amp;IF(AND($B1118&lt;&gt;"",$E1118=""),"報酬額が未入力／","")&amp;IF(N($U1118)&gt;0,"申請書に入力エラーが残っています／","")&amp;IF(AND($B1118&lt;&gt;"",$AQ1118&lt;&gt;""),IF(COUNTIFS($B$6:$B$3005,$B1118,$C$6:$C$3005,$C1118,$D$6:$D$3005,$D1118)&gt;1,"同じ月の請求が重複しています／",""),"")&amp;IF(AND(N($E1118)&gt;0,$AB1118&lt;&gt;"",$AB1118&lt;&gt;"×",$AE1118=0,$AD1118=""),"計算額が下限以下のため不支給／",""))</f>
        <v/>
      </c>
      <c r="AN1118" s="12" t="n"/>
      <c r="AO1118" s="14">
        <f>IF($AF1118="保留中",COUNTIF($AF$6:$AF1118,"保留中"),"")</f>
        <v/>
      </c>
      <c r="AP1118" s="14">
        <f>IF($AQ1118="","",IF(SUMPRODUCT(MAX((職員マスタ!$A$6:$A$405=$B1118)*(((職員マスタ!$G$6:$G$405="")+(職員マスタ!$G$6:$G$405&lt;=EOMONTH($AQ1118,0)))&gt;0)*(((職員マスタ!$H$6:$H$405="")+(職員マスタ!$H$6:$H$405&gt;=$AQ1118))&gt;0)*(ROW(職員マスタ!$A$6:$A$405)-5)))&gt;0,SUMPRODUCT(MAX((職員マスタ!$A$6:$A$405=$B1118)*(((職員マスタ!$G$6:$G$405="")+(職員マスタ!$G$6:$G$405&lt;=EOMONTH($AQ1118,0)))&gt;0)*(((職員マスタ!$H$6:$H$405="")+(職員マスタ!$H$6:$H$405&gt;=$AQ1118))&gt;0)*(ROW(職員マスタ!$A$6:$A$405)-5))),IFERROR(MATCH($B1118,職員マスタ!$A$6:$A$405,0),"")))</f>
        <v/>
      </c>
      <c r="AQ1118" s="16">
        <f>IF(OR($B1118="",$C1118="",$D1118=""),"",DATE($C1118+2018,$D1118,1))</f>
        <v/>
      </c>
    </row>
    <row r="1119">
      <c r="A1119" s="11" t="n"/>
      <c r="B1119" s="12" t="n"/>
      <c r="C1119" s="12" t="n"/>
      <c r="D1119" s="12" t="n"/>
      <c r="E1119" s="13" t="n"/>
      <c r="F1119" s="12" t="n"/>
      <c r="G1119" s="13" t="n"/>
      <c r="H1119" s="12" t="n"/>
      <c r="I1119" s="12" t="n"/>
      <c r="J1119" s="12" t="n"/>
      <c r="K1119" s="12" t="n"/>
      <c r="L1119" s="11" t="n"/>
      <c r="M1119" s="11" t="n"/>
      <c r="N1119" s="11" t="n"/>
      <c r="O1119" s="11" t="n"/>
      <c r="P1119" s="12" t="n"/>
      <c r="Q1119" s="11" t="n"/>
      <c r="R1119" s="12" t="n"/>
      <c r="S1119" s="11" t="n"/>
      <c r="T1119" s="12" t="n"/>
      <c r="U1119" s="12" t="n"/>
      <c r="V1119" s="12" t="n"/>
      <c r="W1119" s="13" t="n"/>
      <c r="X1119" s="14">
        <f>IF($AP1119="",IF($B1119="","",$H1119),IF(INDEX(職員マスタ!$B$6:$B$405,$AP1119)="",$H1119,INDEX(職員マスタ!$B$6:$B$405,$AP1119)))</f>
        <v/>
      </c>
      <c r="Y1119" s="14">
        <f>IF($AP1119="",IF($B1119="","",$R1119),IF(INDEX(職員マスタ!$C$6:$C$405,$AP1119)="",$R1119,INDEX(職員マスタ!$C$6:$C$405,$AP1119)))</f>
        <v/>
      </c>
      <c r="Z1119" s="14">
        <f>IF($AQ1119="","","R"&amp;$C1119&amp;"."&amp;$D1119)</f>
        <v/>
      </c>
      <c r="AA1119" s="15">
        <f>IF(IF($AP1119="",FALSE,INDEX(職員マスタ!$K$6:$K$405,$AP1119)&lt;&gt;""),INDEX(職員マスタ!$K$6:$K$405,$AP1119),IF(N($W1119)&gt;0,$W1119,""))</f>
        <v/>
      </c>
      <c r="AB1119" s="14">
        <f>IF(OR($E1119="",$AA1119=""),"",IF($E1119&gt;=$AA1119,"×",IF($E1119&gt;=$AA1119*設定!$C$5,"△","○")))</f>
        <v/>
      </c>
      <c r="AC1119" s="15">
        <f>IF($AB1119="","",IF($AB1119="×",0,IF($AB1119="○",ROUNDDOWN($E1119*設定!$C$4,0),ROUNDDOWN($E1119*ROUND((9*$AA1119-9*$E1119)/(10*$E1119),4),0))))</f>
        <v/>
      </c>
      <c r="AD1119" s="13" t="n"/>
      <c r="AE1119" s="15">
        <f>IF($B1119="","",IF($AD1119&lt;&gt;"",$AD1119,IF($AC1119="","",IF($AC1119&lt;=設定!$C$3,0,$AC1119))))</f>
        <v/>
      </c>
      <c r="AF1119" s="14">
        <f>IF($B1119="","",IF(AND($AG1119&lt;&gt;"",$AI1119="",$AL1119=""),"保留中",IF($AL1119&lt;&gt;"",IF(N($AE1119)&gt;0,"支給済","不支給"),IF($AE1119="","要確認",IF($AE1119=0,"不支給","未処理")))))</f>
        <v/>
      </c>
      <c r="AG1119" s="12" t="n"/>
      <c r="AH1119" s="11" t="n"/>
      <c r="AI1119" s="11" t="n"/>
      <c r="AJ1119" s="11" t="n"/>
      <c r="AK1119" s="14">
        <f>IF(AND($AF1119="保留中",$AH1119&lt;&gt;""),TODAY()-$AH1119,"")</f>
        <v/>
      </c>
      <c r="AL1119" s="12" t="n"/>
      <c r="AM1119" s="14">
        <f>IF($B1119="","",IF($AQ1119="","対象年月が未入力／","")&amp;IF($B1119="","",IF($AP1119="","職員マスタに未登録の職員番号／",IF($AA1119="","標準報酬月額が未登録／","")&amp;IF(AND($AQ1119&lt;&gt;"",OR(AND(INDEX(職員マスタ!$G$6:$G$405,$AP1119)&lt;&gt;"",INDEX(職員マスタ!$G$6:$G$405,$AP1119)&gt;EOMONTH($AQ1119,0)),AND(INDEX(職員マスタ!$H$6:$H$405,$AP1119)&lt;&gt;"",INDEX(職員マスタ!$H$6:$H$405,$AP1119)&lt;$AQ1119))),"対象月が時短期間外／","")&amp;IF(AND(INDEX(職員マスタ!$K$6:$K$405,$AP1119)&lt;&gt;"",N($W1119)&gt;0,INDEX(職員マスタ!$K$6:$K$405,$AP1119)&lt;&gt;$W1119),"標準報酬月額が申請書と相違（台帳"&amp;TEXT(INDEX(職員マスタ!$K$6:$K$405,$AP1119),"#,##0")&amp;"円／申請書"&amp;TEXT($W1119,"#,##0")&amp;"円）／","")&amp;IF(AND(INDEX(職員マスタ!$F$6:$F$405,$AP1119)&lt;&gt;"",$AQ1119&lt;&gt;"",INDEX(職員マスタ!$F$6:$F$405,$AP1119)&lt;$AQ1119),"対象月に子が2歳到達済／","")&amp;IF(AND($H1119&lt;&gt;"",INDEX(職員マスタ!$B$6:$B$405,$AP1119)&lt;&gt;"",SUBSTITUTE(SUBSTITUTE($H1119," ","")," ","")&lt;&gt;SUBSTITUTE(SUBSTITUTE(INDEX(職員マスタ!$B$6:$B$405,$AP1119)," ","")," ","")),"氏名がマスタと相違／","")&amp;IF(AND($Q1119&lt;&gt;"",INDEX(職員マスタ!$E$6:$E$405,$AP1119)&lt;&gt;"",$Q1119&lt;&gt;INDEX(職員マスタ!$E$6:$E$405,$AP1119)),"子の生年月日がマスタと相違／","")&amp;IF(AND($L1119&lt;&gt;"",INDEX(職員マスタ!$G$6:$G$405,$AP1119)&lt;&gt;"",$L1119&lt;&gt;INDEX(職員マスタ!$G$6:$G$405,$AP1119)),"時短開始日がマスタと相違／","")&amp;IF(AND($M1119&lt;&gt;"",INDEX(職員マスタ!$H$6:$H$405,$AP1119)&lt;&gt;"",$M1119&lt;&gt;INDEX(職員マスタ!$H$6:$H$405,$AP1119)),"時短終了日がマスタと相違／","")))&amp;IF(AND($B1119&lt;&gt;"",$E1119=""),"報酬額が未入力／","")&amp;IF(N($U1119)&gt;0,"申請書に入力エラーが残っています／","")&amp;IF(AND($B1119&lt;&gt;"",$AQ1119&lt;&gt;""),IF(COUNTIFS($B$6:$B$3005,$B1119,$C$6:$C$3005,$C1119,$D$6:$D$3005,$D1119)&gt;1,"同じ月の請求が重複しています／",""),"")&amp;IF(AND(N($E1119)&gt;0,$AB1119&lt;&gt;"",$AB1119&lt;&gt;"×",$AE1119=0,$AD1119=""),"計算額が下限以下のため不支給／",""))</f>
        <v/>
      </c>
      <c r="AN1119" s="12" t="n"/>
      <c r="AO1119" s="14">
        <f>IF($AF1119="保留中",COUNTIF($AF$6:$AF1119,"保留中"),"")</f>
        <v/>
      </c>
      <c r="AP1119" s="14">
        <f>IF($AQ1119="","",IF(SUMPRODUCT(MAX((職員マスタ!$A$6:$A$405=$B1119)*(((職員マスタ!$G$6:$G$405="")+(職員マスタ!$G$6:$G$405&lt;=EOMONTH($AQ1119,0)))&gt;0)*(((職員マスタ!$H$6:$H$405="")+(職員マスタ!$H$6:$H$405&gt;=$AQ1119))&gt;0)*(ROW(職員マスタ!$A$6:$A$405)-5)))&gt;0,SUMPRODUCT(MAX((職員マスタ!$A$6:$A$405=$B1119)*(((職員マスタ!$G$6:$G$405="")+(職員マスタ!$G$6:$G$405&lt;=EOMONTH($AQ1119,0)))&gt;0)*(((職員マスタ!$H$6:$H$405="")+(職員マスタ!$H$6:$H$405&gt;=$AQ1119))&gt;0)*(ROW(職員マスタ!$A$6:$A$405)-5))),IFERROR(MATCH($B1119,職員マスタ!$A$6:$A$405,0),"")))</f>
        <v/>
      </c>
      <c r="AQ1119" s="16">
        <f>IF(OR($B1119="",$C1119="",$D1119=""),"",DATE($C1119+2018,$D1119,1))</f>
        <v/>
      </c>
    </row>
    <row r="1120">
      <c r="A1120" s="11" t="n"/>
      <c r="B1120" s="12" t="n"/>
      <c r="C1120" s="12" t="n"/>
      <c r="D1120" s="12" t="n"/>
      <c r="E1120" s="13" t="n"/>
      <c r="F1120" s="12" t="n"/>
      <c r="G1120" s="13" t="n"/>
      <c r="H1120" s="12" t="n"/>
      <c r="I1120" s="12" t="n"/>
      <c r="J1120" s="12" t="n"/>
      <c r="K1120" s="12" t="n"/>
      <c r="L1120" s="11" t="n"/>
      <c r="M1120" s="11" t="n"/>
      <c r="N1120" s="11" t="n"/>
      <c r="O1120" s="11" t="n"/>
      <c r="P1120" s="12" t="n"/>
      <c r="Q1120" s="11" t="n"/>
      <c r="R1120" s="12" t="n"/>
      <c r="S1120" s="11" t="n"/>
      <c r="T1120" s="12" t="n"/>
      <c r="U1120" s="12" t="n"/>
      <c r="V1120" s="12" t="n"/>
      <c r="W1120" s="13" t="n"/>
      <c r="X1120" s="14">
        <f>IF($AP1120="",IF($B1120="","",$H1120),IF(INDEX(職員マスタ!$B$6:$B$405,$AP1120)="",$H1120,INDEX(職員マスタ!$B$6:$B$405,$AP1120)))</f>
        <v/>
      </c>
      <c r="Y1120" s="14">
        <f>IF($AP1120="",IF($B1120="","",$R1120),IF(INDEX(職員マスタ!$C$6:$C$405,$AP1120)="",$R1120,INDEX(職員マスタ!$C$6:$C$405,$AP1120)))</f>
        <v/>
      </c>
      <c r="Z1120" s="14">
        <f>IF($AQ1120="","","R"&amp;$C1120&amp;"."&amp;$D1120)</f>
        <v/>
      </c>
      <c r="AA1120" s="15">
        <f>IF(IF($AP1120="",FALSE,INDEX(職員マスタ!$K$6:$K$405,$AP1120)&lt;&gt;""),INDEX(職員マスタ!$K$6:$K$405,$AP1120),IF(N($W1120)&gt;0,$W1120,""))</f>
        <v/>
      </c>
      <c r="AB1120" s="14">
        <f>IF(OR($E1120="",$AA1120=""),"",IF($E1120&gt;=$AA1120,"×",IF($E1120&gt;=$AA1120*設定!$C$5,"△","○")))</f>
        <v/>
      </c>
      <c r="AC1120" s="15">
        <f>IF($AB1120="","",IF($AB1120="×",0,IF($AB1120="○",ROUNDDOWN($E1120*設定!$C$4,0),ROUNDDOWN($E1120*ROUND((9*$AA1120-9*$E1120)/(10*$E1120),4),0))))</f>
        <v/>
      </c>
      <c r="AD1120" s="13" t="n"/>
      <c r="AE1120" s="15">
        <f>IF($B1120="","",IF($AD1120&lt;&gt;"",$AD1120,IF($AC1120="","",IF($AC1120&lt;=設定!$C$3,0,$AC1120))))</f>
        <v/>
      </c>
      <c r="AF1120" s="14">
        <f>IF($B1120="","",IF(AND($AG1120&lt;&gt;"",$AI1120="",$AL1120=""),"保留中",IF($AL1120&lt;&gt;"",IF(N($AE1120)&gt;0,"支給済","不支給"),IF($AE1120="","要確認",IF($AE1120=0,"不支給","未処理")))))</f>
        <v/>
      </c>
      <c r="AG1120" s="12" t="n"/>
      <c r="AH1120" s="11" t="n"/>
      <c r="AI1120" s="11" t="n"/>
      <c r="AJ1120" s="11" t="n"/>
      <c r="AK1120" s="14">
        <f>IF(AND($AF1120="保留中",$AH1120&lt;&gt;""),TODAY()-$AH1120,"")</f>
        <v/>
      </c>
      <c r="AL1120" s="12" t="n"/>
      <c r="AM1120" s="14">
        <f>IF($B1120="","",IF($AQ1120="","対象年月が未入力／","")&amp;IF($B1120="","",IF($AP1120="","職員マスタに未登録の職員番号／",IF($AA1120="","標準報酬月額が未登録／","")&amp;IF(AND($AQ1120&lt;&gt;"",OR(AND(INDEX(職員マスタ!$G$6:$G$405,$AP1120)&lt;&gt;"",INDEX(職員マスタ!$G$6:$G$405,$AP1120)&gt;EOMONTH($AQ1120,0)),AND(INDEX(職員マスタ!$H$6:$H$405,$AP1120)&lt;&gt;"",INDEX(職員マスタ!$H$6:$H$405,$AP1120)&lt;$AQ1120))),"対象月が時短期間外／","")&amp;IF(AND(INDEX(職員マスタ!$K$6:$K$405,$AP1120)&lt;&gt;"",N($W1120)&gt;0,INDEX(職員マスタ!$K$6:$K$405,$AP1120)&lt;&gt;$W1120),"標準報酬月額が申請書と相違（台帳"&amp;TEXT(INDEX(職員マスタ!$K$6:$K$405,$AP1120),"#,##0")&amp;"円／申請書"&amp;TEXT($W1120,"#,##0")&amp;"円）／","")&amp;IF(AND(INDEX(職員マスタ!$F$6:$F$405,$AP1120)&lt;&gt;"",$AQ1120&lt;&gt;"",INDEX(職員マスタ!$F$6:$F$405,$AP1120)&lt;$AQ1120),"対象月に子が2歳到達済／","")&amp;IF(AND($H1120&lt;&gt;"",INDEX(職員マスタ!$B$6:$B$405,$AP1120)&lt;&gt;"",SUBSTITUTE(SUBSTITUTE($H1120," ","")," ","")&lt;&gt;SUBSTITUTE(SUBSTITUTE(INDEX(職員マスタ!$B$6:$B$405,$AP1120)," ","")," ","")),"氏名がマスタと相違／","")&amp;IF(AND($Q1120&lt;&gt;"",INDEX(職員マスタ!$E$6:$E$405,$AP1120)&lt;&gt;"",$Q1120&lt;&gt;INDEX(職員マスタ!$E$6:$E$405,$AP1120)),"子の生年月日がマスタと相違／","")&amp;IF(AND($L1120&lt;&gt;"",INDEX(職員マスタ!$G$6:$G$405,$AP1120)&lt;&gt;"",$L1120&lt;&gt;INDEX(職員マスタ!$G$6:$G$405,$AP1120)),"時短開始日がマスタと相違／","")&amp;IF(AND($M1120&lt;&gt;"",INDEX(職員マスタ!$H$6:$H$405,$AP1120)&lt;&gt;"",$M1120&lt;&gt;INDEX(職員マスタ!$H$6:$H$405,$AP1120)),"時短終了日がマスタと相違／","")))&amp;IF(AND($B1120&lt;&gt;"",$E1120=""),"報酬額が未入力／","")&amp;IF(N($U1120)&gt;0,"申請書に入力エラーが残っています／","")&amp;IF(AND($B1120&lt;&gt;"",$AQ1120&lt;&gt;""),IF(COUNTIFS($B$6:$B$3005,$B1120,$C$6:$C$3005,$C1120,$D$6:$D$3005,$D1120)&gt;1,"同じ月の請求が重複しています／",""),"")&amp;IF(AND(N($E1120)&gt;0,$AB1120&lt;&gt;"",$AB1120&lt;&gt;"×",$AE1120=0,$AD1120=""),"計算額が下限以下のため不支給／",""))</f>
        <v/>
      </c>
      <c r="AN1120" s="12" t="n"/>
      <c r="AO1120" s="14">
        <f>IF($AF1120="保留中",COUNTIF($AF$6:$AF1120,"保留中"),"")</f>
        <v/>
      </c>
      <c r="AP1120" s="14">
        <f>IF($AQ1120="","",IF(SUMPRODUCT(MAX((職員マスタ!$A$6:$A$405=$B1120)*(((職員マスタ!$G$6:$G$405="")+(職員マスタ!$G$6:$G$405&lt;=EOMONTH($AQ1120,0)))&gt;0)*(((職員マスタ!$H$6:$H$405="")+(職員マスタ!$H$6:$H$405&gt;=$AQ1120))&gt;0)*(ROW(職員マスタ!$A$6:$A$405)-5)))&gt;0,SUMPRODUCT(MAX((職員マスタ!$A$6:$A$405=$B1120)*(((職員マスタ!$G$6:$G$405="")+(職員マスタ!$G$6:$G$405&lt;=EOMONTH($AQ1120,0)))&gt;0)*(((職員マスタ!$H$6:$H$405="")+(職員マスタ!$H$6:$H$405&gt;=$AQ1120))&gt;0)*(ROW(職員マスタ!$A$6:$A$405)-5))),IFERROR(MATCH($B1120,職員マスタ!$A$6:$A$405,0),"")))</f>
        <v/>
      </c>
      <c r="AQ1120" s="16">
        <f>IF(OR($B1120="",$C1120="",$D1120=""),"",DATE($C1120+2018,$D1120,1))</f>
        <v/>
      </c>
    </row>
    <row r="1121">
      <c r="A1121" s="11" t="n"/>
      <c r="B1121" s="12" t="n"/>
      <c r="C1121" s="12" t="n"/>
      <c r="D1121" s="12" t="n"/>
      <c r="E1121" s="13" t="n"/>
      <c r="F1121" s="12" t="n"/>
      <c r="G1121" s="13" t="n"/>
      <c r="H1121" s="12" t="n"/>
      <c r="I1121" s="12" t="n"/>
      <c r="J1121" s="12" t="n"/>
      <c r="K1121" s="12" t="n"/>
      <c r="L1121" s="11" t="n"/>
      <c r="M1121" s="11" t="n"/>
      <c r="N1121" s="11" t="n"/>
      <c r="O1121" s="11" t="n"/>
      <c r="P1121" s="12" t="n"/>
      <c r="Q1121" s="11" t="n"/>
      <c r="R1121" s="12" t="n"/>
      <c r="S1121" s="11" t="n"/>
      <c r="T1121" s="12" t="n"/>
      <c r="U1121" s="12" t="n"/>
      <c r="V1121" s="12" t="n"/>
      <c r="W1121" s="13" t="n"/>
      <c r="X1121" s="14">
        <f>IF($AP1121="",IF($B1121="","",$H1121),IF(INDEX(職員マスタ!$B$6:$B$405,$AP1121)="",$H1121,INDEX(職員マスタ!$B$6:$B$405,$AP1121)))</f>
        <v/>
      </c>
      <c r="Y1121" s="14">
        <f>IF($AP1121="",IF($B1121="","",$R1121),IF(INDEX(職員マスタ!$C$6:$C$405,$AP1121)="",$R1121,INDEX(職員マスタ!$C$6:$C$405,$AP1121)))</f>
        <v/>
      </c>
      <c r="Z1121" s="14">
        <f>IF($AQ1121="","","R"&amp;$C1121&amp;"."&amp;$D1121)</f>
        <v/>
      </c>
      <c r="AA1121" s="15">
        <f>IF(IF($AP1121="",FALSE,INDEX(職員マスタ!$K$6:$K$405,$AP1121)&lt;&gt;""),INDEX(職員マスタ!$K$6:$K$405,$AP1121),IF(N($W1121)&gt;0,$W1121,""))</f>
        <v/>
      </c>
      <c r="AB1121" s="14">
        <f>IF(OR($E1121="",$AA1121=""),"",IF($E1121&gt;=$AA1121,"×",IF($E1121&gt;=$AA1121*設定!$C$5,"△","○")))</f>
        <v/>
      </c>
      <c r="AC1121" s="15">
        <f>IF($AB1121="","",IF($AB1121="×",0,IF($AB1121="○",ROUNDDOWN($E1121*設定!$C$4,0),ROUNDDOWN($E1121*ROUND((9*$AA1121-9*$E1121)/(10*$E1121),4),0))))</f>
        <v/>
      </c>
      <c r="AD1121" s="13" t="n"/>
      <c r="AE1121" s="15">
        <f>IF($B1121="","",IF($AD1121&lt;&gt;"",$AD1121,IF($AC1121="","",IF($AC1121&lt;=設定!$C$3,0,$AC1121))))</f>
        <v/>
      </c>
      <c r="AF1121" s="14">
        <f>IF($B1121="","",IF(AND($AG1121&lt;&gt;"",$AI1121="",$AL1121=""),"保留中",IF($AL1121&lt;&gt;"",IF(N($AE1121)&gt;0,"支給済","不支給"),IF($AE1121="","要確認",IF($AE1121=0,"不支給","未処理")))))</f>
        <v/>
      </c>
      <c r="AG1121" s="12" t="n"/>
      <c r="AH1121" s="11" t="n"/>
      <c r="AI1121" s="11" t="n"/>
      <c r="AJ1121" s="11" t="n"/>
      <c r="AK1121" s="14">
        <f>IF(AND($AF1121="保留中",$AH1121&lt;&gt;""),TODAY()-$AH1121,"")</f>
        <v/>
      </c>
      <c r="AL1121" s="12" t="n"/>
      <c r="AM1121" s="14">
        <f>IF($B1121="","",IF($AQ1121="","対象年月が未入力／","")&amp;IF($B1121="","",IF($AP1121="","職員マスタに未登録の職員番号／",IF($AA1121="","標準報酬月額が未登録／","")&amp;IF(AND($AQ1121&lt;&gt;"",OR(AND(INDEX(職員マスタ!$G$6:$G$405,$AP1121)&lt;&gt;"",INDEX(職員マスタ!$G$6:$G$405,$AP1121)&gt;EOMONTH($AQ1121,0)),AND(INDEX(職員マスタ!$H$6:$H$405,$AP1121)&lt;&gt;"",INDEX(職員マスタ!$H$6:$H$405,$AP1121)&lt;$AQ1121))),"対象月が時短期間外／","")&amp;IF(AND(INDEX(職員マスタ!$K$6:$K$405,$AP1121)&lt;&gt;"",N($W1121)&gt;0,INDEX(職員マスタ!$K$6:$K$405,$AP1121)&lt;&gt;$W1121),"標準報酬月額が申請書と相違（台帳"&amp;TEXT(INDEX(職員マスタ!$K$6:$K$405,$AP1121),"#,##0")&amp;"円／申請書"&amp;TEXT($W1121,"#,##0")&amp;"円）／","")&amp;IF(AND(INDEX(職員マスタ!$F$6:$F$405,$AP1121)&lt;&gt;"",$AQ1121&lt;&gt;"",INDEX(職員マスタ!$F$6:$F$405,$AP1121)&lt;$AQ1121),"対象月に子が2歳到達済／","")&amp;IF(AND($H1121&lt;&gt;"",INDEX(職員マスタ!$B$6:$B$405,$AP1121)&lt;&gt;"",SUBSTITUTE(SUBSTITUTE($H1121," ","")," ","")&lt;&gt;SUBSTITUTE(SUBSTITUTE(INDEX(職員マスタ!$B$6:$B$405,$AP1121)," ","")," ","")),"氏名がマスタと相違／","")&amp;IF(AND($Q1121&lt;&gt;"",INDEX(職員マスタ!$E$6:$E$405,$AP1121)&lt;&gt;"",$Q1121&lt;&gt;INDEX(職員マスタ!$E$6:$E$405,$AP1121)),"子の生年月日がマスタと相違／","")&amp;IF(AND($L1121&lt;&gt;"",INDEX(職員マスタ!$G$6:$G$405,$AP1121)&lt;&gt;"",$L1121&lt;&gt;INDEX(職員マスタ!$G$6:$G$405,$AP1121)),"時短開始日がマスタと相違／","")&amp;IF(AND($M1121&lt;&gt;"",INDEX(職員マスタ!$H$6:$H$405,$AP1121)&lt;&gt;"",$M1121&lt;&gt;INDEX(職員マスタ!$H$6:$H$405,$AP1121)),"時短終了日がマスタと相違／","")))&amp;IF(AND($B1121&lt;&gt;"",$E1121=""),"報酬額が未入力／","")&amp;IF(N($U1121)&gt;0,"申請書に入力エラーが残っています／","")&amp;IF(AND($B1121&lt;&gt;"",$AQ1121&lt;&gt;""),IF(COUNTIFS($B$6:$B$3005,$B1121,$C$6:$C$3005,$C1121,$D$6:$D$3005,$D1121)&gt;1,"同じ月の請求が重複しています／",""),"")&amp;IF(AND(N($E1121)&gt;0,$AB1121&lt;&gt;"",$AB1121&lt;&gt;"×",$AE1121=0,$AD1121=""),"計算額が下限以下のため不支給／",""))</f>
        <v/>
      </c>
      <c r="AN1121" s="12" t="n"/>
      <c r="AO1121" s="14">
        <f>IF($AF1121="保留中",COUNTIF($AF$6:$AF1121,"保留中"),"")</f>
        <v/>
      </c>
      <c r="AP1121" s="14">
        <f>IF($AQ1121="","",IF(SUMPRODUCT(MAX((職員マスタ!$A$6:$A$405=$B1121)*(((職員マスタ!$G$6:$G$405="")+(職員マスタ!$G$6:$G$405&lt;=EOMONTH($AQ1121,0)))&gt;0)*(((職員マスタ!$H$6:$H$405="")+(職員マスタ!$H$6:$H$405&gt;=$AQ1121))&gt;0)*(ROW(職員マスタ!$A$6:$A$405)-5)))&gt;0,SUMPRODUCT(MAX((職員マスタ!$A$6:$A$405=$B1121)*(((職員マスタ!$G$6:$G$405="")+(職員マスタ!$G$6:$G$405&lt;=EOMONTH($AQ1121,0)))&gt;0)*(((職員マスタ!$H$6:$H$405="")+(職員マスタ!$H$6:$H$405&gt;=$AQ1121))&gt;0)*(ROW(職員マスタ!$A$6:$A$405)-5))),IFERROR(MATCH($B1121,職員マスタ!$A$6:$A$405,0),"")))</f>
        <v/>
      </c>
      <c r="AQ1121" s="16">
        <f>IF(OR($B1121="",$C1121="",$D1121=""),"",DATE($C1121+2018,$D1121,1))</f>
        <v/>
      </c>
    </row>
    <row r="1122">
      <c r="A1122" s="11" t="n"/>
      <c r="B1122" s="12" t="n"/>
      <c r="C1122" s="12" t="n"/>
      <c r="D1122" s="12" t="n"/>
      <c r="E1122" s="13" t="n"/>
      <c r="F1122" s="12" t="n"/>
      <c r="G1122" s="13" t="n"/>
      <c r="H1122" s="12" t="n"/>
      <c r="I1122" s="12" t="n"/>
      <c r="J1122" s="12" t="n"/>
      <c r="K1122" s="12" t="n"/>
      <c r="L1122" s="11" t="n"/>
      <c r="M1122" s="11" t="n"/>
      <c r="N1122" s="11" t="n"/>
      <c r="O1122" s="11" t="n"/>
      <c r="P1122" s="12" t="n"/>
      <c r="Q1122" s="11" t="n"/>
      <c r="R1122" s="12" t="n"/>
      <c r="S1122" s="11" t="n"/>
      <c r="T1122" s="12" t="n"/>
      <c r="U1122" s="12" t="n"/>
      <c r="V1122" s="12" t="n"/>
      <c r="W1122" s="13" t="n"/>
      <c r="X1122" s="14">
        <f>IF($AP1122="",IF($B1122="","",$H1122),IF(INDEX(職員マスタ!$B$6:$B$405,$AP1122)="",$H1122,INDEX(職員マスタ!$B$6:$B$405,$AP1122)))</f>
        <v/>
      </c>
      <c r="Y1122" s="14">
        <f>IF($AP1122="",IF($B1122="","",$R1122),IF(INDEX(職員マスタ!$C$6:$C$405,$AP1122)="",$R1122,INDEX(職員マスタ!$C$6:$C$405,$AP1122)))</f>
        <v/>
      </c>
      <c r="Z1122" s="14">
        <f>IF($AQ1122="","","R"&amp;$C1122&amp;"."&amp;$D1122)</f>
        <v/>
      </c>
      <c r="AA1122" s="15">
        <f>IF(IF($AP1122="",FALSE,INDEX(職員マスタ!$K$6:$K$405,$AP1122)&lt;&gt;""),INDEX(職員マスタ!$K$6:$K$405,$AP1122),IF(N($W1122)&gt;0,$W1122,""))</f>
        <v/>
      </c>
      <c r="AB1122" s="14">
        <f>IF(OR($E1122="",$AA1122=""),"",IF($E1122&gt;=$AA1122,"×",IF($E1122&gt;=$AA1122*設定!$C$5,"△","○")))</f>
        <v/>
      </c>
      <c r="AC1122" s="15">
        <f>IF($AB1122="","",IF($AB1122="×",0,IF($AB1122="○",ROUNDDOWN($E1122*設定!$C$4,0),ROUNDDOWN($E1122*ROUND((9*$AA1122-9*$E1122)/(10*$E1122),4),0))))</f>
        <v/>
      </c>
      <c r="AD1122" s="13" t="n"/>
      <c r="AE1122" s="15">
        <f>IF($B1122="","",IF($AD1122&lt;&gt;"",$AD1122,IF($AC1122="","",IF($AC1122&lt;=設定!$C$3,0,$AC1122))))</f>
        <v/>
      </c>
      <c r="AF1122" s="14">
        <f>IF($B1122="","",IF(AND($AG1122&lt;&gt;"",$AI1122="",$AL1122=""),"保留中",IF($AL1122&lt;&gt;"",IF(N($AE1122)&gt;0,"支給済","不支給"),IF($AE1122="","要確認",IF($AE1122=0,"不支給","未処理")))))</f>
        <v/>
      </c>
      <c r="AG1122" s="12" t="n"/>
      <c r="AH1122" s="11" t="n"/>
      <c r="AI1122" s="11" t="n"/>
      <c r="AJ1122" s="11" t="n"/>
      <c r="AK1122" s="14">
        <f>IF(AND($AF1122="保留中",$AH1122&lt;&gt;""),TODAY()-$AH1122,"")</f>
        <v/>
      </c>
      <c r="AL1122" s="12" t="n"/>
      <c r="AM1122" s="14">
        <f>IF($B1122="","",IF($AQ1122="","対象年月が未入力／","")&amp;IF($B1122="","",IF($AP1122="","職員マスタに未登録の職員番号／",IF($AA1122="","標準報酬月額が未登録／","")&amp;IF(AND($AQ1122&lt;&gt;"",OR(AND(INDEX(職員マスタ!$G$6:$G$405,$AP1122)&lt;&gt;"",INDEX(職員マスタ!$G$6:$G$405,$AP1122)&gt;EOMONTH($AQ1122,0)),AND(INDEX(職員マスタ!$H$6:$H$405,$AP1122)&lt;&gt;"",INDEX(職員マスタ!$H$6:$H$405,$AP1122)&lt;$AQ1122))),"対象月が時短期間外／","")&amp;IF(AND(INDEX(職員マスタ!$K$6:$K$405,$AP1122)&lt;&gt;"",N($W1122)&gt;0,INDEX(職員マスタ!$K$6:$K$405,$AP1122)&lt;&gt;$W1122),"標準報酬月額が申請書と相違（台帳"&amp;TEXT(INDEX(職員マスタ!$K$6:$K$405,$AP1122),"#,##0")&amp;"円／申請書"&amp;TEXT($W1122,"#,##0")&amp;"円）／","")&amp;IF(AND(INDEX(職員マスタ!$F$6:$F$405,$AP1122)&lt;&gt;"",$AQ1122&lt;&gt;"",INDEX(職員マスタ!$F$6:$F$405,$AP1122)&lt;$AQ1122),"対象月に子が2歳到達済／","")&amp;IF(AND($H1122&lt;&gt;"",INDEX(職員マスタ!$B$6:$B$405,$AP1122)&lt;&gt;"",SUBSTITUTE(SUBSTITUTE($H1122," ","")," ","")&lt;&gt;SUBSTITUTE(SUBSTITUTE(INDEX(職員マスタ!$B$6:$B$405,$AP1122)," ","")," ","")),"氏名がマスタと相違／","")&amp;IF(AND($Q1122&lt;&gt;"",INDEX(職員マスタ!$E$6:$E$405,$AP1122)&lt;&gt;"",$Q1122&lt;&gt;INDEX(職員マスタ!$E$6:$E$405,$AP1122)),"子の生年月日がマスタと相違／","")&amp;IF(AND($L1122&lt;&gt;"",INDEX(職員マスタ!$G$6:$G$405,$AP1122)&lt;&gt;"",$L1122&lt;&gt;INDEX(職員マスタ!$G$6:$G$405,$AP1122)),"時短開始日がマスタと相違／","")&amp;IF(AND($M1122&lt;&gt;"",INDEX(職員マスタ!$H$6:$H$405,$AP1122)&lt;&gt;"",$M1122&lt;&gt;INDEX(職員マスタ!$H$6:$H$405,$AP1122)),"時短終了日がマスタと相違／","")))&amp;IF(AND($B1122&lt;&gt;"",$E1122=""),"報酬額が未入力／","")&amp;IF(N($U1122)&gt;0,"申請書に入力エラーが残っています／","")&amp;IF(AND($B1122&lt;&gt;"",$AQ1122&lt;&gt;""),IF(COUNTIFS($B$6:$B$3005,$B1122,$C$6:$C$3005,$C1122,$D$6:$D$3005,$D1122)&gt;1,"同じ月の請求が重複しています／",""),"")&amp;IF(AND(N($E1122)&gt;0,$AB1122&lt;&gt;"",$AB1122&lt;&gt;"×",$AE1122=0,$AD1122=""),"計算額が下限以下のため不支給／",""))</f>
        <v/>
      </c>
      <c r="AN1122" s="12" t="n"/>
      <c r="AO1122" s="14">
        <f>IF($AF1122="保留中",COUNTIF($AF$6:$AF1122,"保留中"),"")</f>
        <v/>
      </c>
      <c r="AP1122" s="14">
        <f>IF($AQ1122="","",IF(SUMPRODUCT(MAX((職員マスタ!$A$6:$A$405=$B1122)*(((職員マスタ!$G$6:$G$405="")+(職員マスタ!$G$6:$G$405&lt;=EOMONTH($AQ1122,0)))&gt;0)*(((職員マスタ!$H$6:$H$405="")+(職員マスタ!$H$6:$H$405&gt;=$AQ1122))&gt;0)*(ROW(職員マスタ!$A$6:$A$405)-5)))&gt;0,SUMPRODUCT(MAX((職員マスタ!$A$6:$A$405=$B1122)*(((職員マスタ!$G$6:$G$405="")+(職員マスタ!$G$6:$G$405&lt;=EOMONTH($AQ1122,0)))&gt;0)*(((職員マスタ!$H$6:$H$405="")+(職員マスタ!$H$6:$H$405&gt;=$AQ1122))&gt;0)*(ROW(職員マスタ!$A$6:$A$405)-5))),IFERROR(MATCH($B1122,職員マスタ!$A$6:$A$405,0),"")))</f>
        <v/>
      </c>
      <c r="AQ1122" s="16">
        <f>IF(OR($B1122="",$C1122="",$D1122=""),"",DATE($C1122+2018,$D1122,1))</f>
        <v/>
      </c>
    </row>
    <row r="1123">
      <c r="A1123" s="11" t="n"/>
      <c r="B1123" s="12" t="n"/>
      <c r="C1123" s="12" t="n"/>
      <c r="D1123" s="12" t="n"/>
      <c r="E1123" s="13" t="n"/>
      <c r="F1123" s="12" t="n"/>
      <c r="G1123" s="13" t="n"/>
      <c r="H1123" s="12" t="n"/>
      <c r="I1123" s="12" t="n"/>
      <c r="J1123" s="12" t="n"/>
      <c r="K1123" s="12" t="n"/>
      <c r="L1123" s="11" t="n"/>
      <c r="M1123" s="11" t="n"/>
      <c r="N1123" s="11" t="n"/>
      <c r="O1123" s="11" t="n"/>
      <c r="P1123" s="12" t="n"/>
      <c r="Q1123" s="11" t="n"/>
      <c r="R1123" s="12" t="n"/>
      <c r="S1123" s="11" t="n"/>
      <c r="T1123" s="12" t="n"/>
      <c r="U1123" s="12" t="n"/>
      <c r="V1123" s="12" t="n"/>
      <c r="W1123" s="13" t="n"/>
      <c r="X1123" s="14">
        <f>IF($AP1123="",IF($B1123="","",$H1123),IF(INDEX(職員マスタ!$B$6:$B$405,$AP1123)="",$H1123,INDEX(職員マスタ!$B$6:$B$405,$AP1123)))</f>
        <v/>
      </c>
      <c r="Y1123" s="14">
        <f>IF($AP1123="",IF($B1123="","",$R1123),IF(INDEX(職員マスタ!$C$6:$C$405,$AP1123)="",$R1123,INDEX(職員マスタ!$C$6:$C$405,$AP1123)))</f>
        <v/>
      </c>
      <c r="Z1123" s="14">
        <f>IF($AQ1123="","","R"&amp;$C1123&amp;"."&amp;$D1123)</f>
        <v/>
      </c>
      <c r="AA1123" s="15">
        <f>IF(IF($AP1123="",FALSE,INDEX(職員マスタ!$K$6:$K$405,$AP1123)&lt;&gt;""),INDEX(職員マスタ!$K$6:$K$405,$AP1123),IF(N($W1123)&gt;0,$W1123,""))</f>
        <v/>
      </c>
      <c r="AB1123" s="14">
        <f>IF(OR($E1123="",$AA1123=""),"",IF($E1123&gt;=$AA1123,"×",IF($E1123&gt;=$AA1123*設定!$C$5,"△","○")))</f>
        <v/>
      </c>
      <c r="AC1123" s="15">
        <f>IF($AB1123="","",IF($AB1123="×",0,IF($AB1123="○",ROUNDDOWN($E1123*設定!$C$4,0),ROUNDDOWN($E1123*ROUND((9*$AA1123-9*$E1123)/(10*$E1123),4),0))))</f>
        <v/>
      </c>
      <c r="AD1123" s="13" t="n"/>
      <c r="AE1123" s="15">
        <f>IF($B1123="","",IF($AD1123&lt;&gt;"",$AD1123,IF($AC1123="","",IF($AC1123&lt;=設定!$C$3,0,$AC1123))))</f>
        <v/>
      </c>
      <c r="AF1123" s="14">
        <f>IF($B1123="","",IF(AND($AG1123&lt;&gt;"",$AI1123="",$AL1123=""),"保留中",IF($AL1123&lt;&gt;"",IF(N($AE1123)&gt;0,"支給済","不支給"),IF($AE1123="","要確認",IF($AE1123=0,"不支給","未処理")))))</f>
        <v/>
      </c>
      <c r="AG1123" s="12" t="n"/>
      <c r="AH1123" s="11" t="n"/>
      <c r="AI1123" s="11" t="n"/>
      <c r="AJ1123" s="11" t="n"/>
      <c r="AK1123" s="14">
        <f>IF(AND($AF1123="保留中",$AH1123&lt;&gt;""),TODAY()-$AH1123,"")</f>
        <v/>
      </c>
      <c r="AL1123" s="12" t="n"/>
      <c r="AM1123" s="14">
        <f>IF($B1123="","",IF($AQ1123="","対象年月が未入力／","")&amp;IF($B1123="","",IF($AP1123="","職員マスタに未登録の職員番号／",IF($AA1123="","標準報酬月額が未登録／","")&amp;IF(AND($AQ1123&lt;&gt;"",OR(AND(INDEX(職員マスタ!$G$6:$G$405,$AP1123)&lt;&gt;"",INDEX(職員マスタ!$G$6:$G$405,$AP1123)&gt;EOMONTH($AQ1123,0)),AND(INDEX(職員マスタ!$H$6:$H$405,$AP1123)&lt;&gt;"",INDEX(職員マスタ!$H$6:$H$405,$AP1123)&lt;$AQ1123))),"対象月が時短期間外／","")&amp;IF(AND(INDEX(職員マスタ!$K$6:$K$405,$AP1123)&lt;&gt;"",N($W1123)&gt;0,INDEX(職員マスタ!$K$6:$K$405,$AP1123)&lt;&gt;$W1123),"標準報酬月額が申請書と相違（台帳"&amp;TEXT(INDEX(職員マスタ!$K$6:$K$405,$AP1123),"#,##0")&amp;"円／申請書"&amp;TEXT($W1123,"#,##0")&amp;"円）／","")&amp;IF(AND(INDEX(職員マスタ!$F$6:$F$405,$AP1123)&lt;&gt;"",$AQ1123&lt;&gt;"",INDEX(職員マスタ!$F$6:$F$405,$AP1123)&lt;$AQ1123),"対象月に子が2歳到達済／","")&amp;IF(AND($H1123&lt;&gt;"",INDEX(職員マスタ!$B$6:$B$405,$AP1123)&lt;&gt;"",SUBSTITUTE(SUBSTITUTE($H1123," ","")," ","")&lt;&gt;SUBSTITUTE(SUBSTITUTE(INDEX(職員マスタ!$B$6:$B$405,$AP1123)," ","")," ","")),"氏名がマスタと相違／","")&amp;IF(AND($Q1123&lt;&gt;"",INDEX(職員マスタ!$E$6:$E$405,$AP1123)&lt;&gt;"",$Q1123&lt;&gt;INDEX(職員マスタ!$E$6:$E$405,$AP1123)),"子の生年月日がマスタと相違／","")&amp;IF(AND($L1123&lt;&gt;"",INDEX(職員マスタ!$G$6:$G$405,$AP1123)&lt;&gt;"",$L1123&lt;&gt;INDEX(職員マスタ!$G$6:$G$405,$AP1123)),"時短開始日がマスタと相違／","")&amp;IF(AND($M1123&lt;&gt;"",INDEX(職員マスタ!$H$6:$H$405,$AP1123)&lt;&gt;"",$M1123&lt;&gt;INDEX(職員マスタ!$H$6:$H$405,$AP1123)),"時短終了日がマスタと相違／","")))&amp;IF(AND($B1123&lt;&gt;"",$E1123=""),"報酬額が未入力／","")&amp;IF(N($U1123)&gt;0,"申請書に入力エラーが残っています／","")&amp;IF(AND($B1123&lt;&gt;"",$AQ1123&lt;&gt;""),IF(COUNTIFS($B$6:$B$3005,$B1123,$C$6:$C$3005,$C1123,$D$6:$D$3005,$D1123)&gt;1,"同じ月の請求が重複しています／",""),"")&amp;IF(AND(N($E1123)&gt;0,$AB1123&lt;&gt;"",$AB1123&lt;&gt;"×",$AE1123=0,$AD1123=""),"計算額が下限以下のため不支給／",""))</f>
        <v/>
      </c>
      <c r="AN1123" s="12" t="n"/>
      <c r="AO1123" s="14">
        <f>IF($AF1123="保留中",COUNTIF($AF$6:$AF1123,"保留中"),"")</f>
        <v/>
      </c>
      <c r="AP1123" s="14">
        <f>IF($AQ1123="","",IF(SUMPRODUCT(MAX((職員マスタ!$A$6:$A$405=$B1123)*(((職員マスタ!$G$6:$G$405="")+(職員マスタ!$G$6:$G$405&lt;=EOMONTH($AQ1123,0)))&gt;0)*(((職員マスタ!$H$6:$H$405="")+(職員マスタ!$H$6:$H$405&gt;=$AQ1123))&gt;0)*(ROW(職員マスタ!$A$6:$A$405)-5)))&gt;0,SUMPRODUCT(MAX((職員マスタ!$A$6:$A$405=$B1123)*(((職員マスタ!$G$6:$G$405="")+(職員マスタ!$G$6:$G$405&lt;=EOMONTH($AQ1123,0)))&gt;0)*(((職員マスタ!$H$6:$H$405="")+(職員マスタ!$H$6:$H$405&gt;=$AQ1123))&gt;0)*(ROW(職員マスタ!$A$6:$A$405)-5))),IFERROR(MATCH($B1123,職員マスタ!$A$6:$A$405,0),"")))</f>
        <v/>
      </c>
      <c r="AQ1123" s="16">
        <f>IF(OR($B1123="",$C1123="",$D1123=""),"",DATE($C1123+2018,$D1123,1))</f>
        <v/>
      </c>
    </row>
    <row r="1124">
      <c r="A1124" s="11" t="n"/>
      <c r="B1124" s="12" t="n"/>
      <c r="C1124" s="12" t="n"/>
      <c r="D1124" s="12" t="n"/>
      <c r="E1124" s="13" t="n"/>
      <c r="F1124" s="12" t="n"/>
      <c r="G1124" s="13" t="n"/>
      <c r="H1124" s="12" t="n"/>
      <c r="I1124" s="12" t="n"/>
      <c r="J1124" s="12" t="n"/>
      <c r="K1124" s="12" t="n"/>
      <c r="L1124" s="11" t="n"/>
      <c r="M1124" s="11" t="n"/>
      <c r="N1124" s="11" t="n"/>
      <c r="O1124" s="11" t="n"/>
      <c r="P1124" s="12" t="n"/>
      <c r="Q1124" s="11" t="n"/>
      <c r="R1124" s="12" t="n"/>
      <c r="S1124" s="11" t="n"/>
      <c r="T1124" s="12" t="n"/>
      <c r="U1124" s="12" t="n"/>
      <c r="V1124" s="12" t="n"/>
      <c r="W1124" s="13" t="n"/>
      <c r="X1124" s="14">
        <f>IF($AP1124="",IF($B1124="","",$H1124),IF(INDEX(職員マスタ!$B$6:$B$405,$AP1124)="",$H1124,INDEX(職員マスタ!$B$6:$B$405,$AP1124)))</f>
        <v/>
      </c>
      <c r="Y1124" s="14">
        <f>IF($AP1124="",IF($B1124="","",$R1124),IF(INDEX(職員マスタ!$C$6:$C$405,$AP1124)="",$R1124,INDEX(職員マスタ!$C$6:$C$405,$AP1124)))</f>
        <v/>
      </c>
      <c r="Z1124" s="14">
        <f>IF($AQ1124="","","R"&amp;$C1124&amp;"."&amp;$D1124)</f>
        <v/>
      </c>
      <c r="AA1124" s="15">
        <f>IF(IF($AP1124="",FALSE,INDEX(職員マスタ!$K$6:$K$405,$AP1124)&lt;&gt;""),INDEX(職員マスタ!$K$6:$K$405,$AP1124),IF(N($W1124)&gt;0,$W1124,""))</f>
        <v/>
      </c>
      <c r="AB1124" s="14">
        <f>IF(OR($E1124="",$AA1124=""),"",IF($E1124&gt;=$AA1124,"×",IF($E1124&gt;=$AA1124*設定!$C$5,"△","○")))</f>
        <v/>
      </c>
      <c r="AC1124" s="15">
        <f>IF($AB1124="","",IF($AB1124="×",0,IF($AB1124="○",ROUNDDOWN($E1124*設定!$C$4,0),ROUNDDOWN($E1124*ROUND((9*$AA1124-9*$E1124)/(10*$E1124),4),0))))</f>
        <v/>
      </c>
      <c r="AD1124" s="13" t="n"/>
      <c r="AE1124" s="15">
        <f>IF($B1124="","",IF($AD1124&lt;&gt;"",$AD1124,IF($AC1124="","",IF($AC1124&lt;=設定!$C$3,0,$AC1124))))</f>
        <v/>
      </c>
      <c r="AF1124" s="14">
        <f>IF($B1124="","",IF(AND($AG1124&lt;&gt;"",$AI1124="",$AL1124=""),"保留中",IF($AL1124&lt;&gt;"",IF(N($AE1124)&gt;0,"支給済","不支給"),IF($AE1124="","要確認",IF($AE1124=0,"不支給","未処理")))))</f>
        <v/>
      </c>
      <c r="AG1124" s="12" t="n"/>
      <c r="AH1124" s="11" t="n"/>
      <c r="AI1124" s="11" t="n"/>
      <c r="AJ1124" s="11" t="n"/>
      <c r="AK1124" s="14">
        <f>IF(AND($AF1124="保留中",$AH1124&lt;&gt;""),TODAY()-$AH1124,"")</f>
        <v/>
      </c>
      <c r="AL1124" s="12" t="n"/>
      <c r="AM1124" s="14">
        <f>IF($B1124="","",IF($AQ1124="","対象年月が未入力／","")&amp;IF($B1124="","",IF($AP1124="","職員マスタに未登録の職員番号／",IF($AA1124="","標準報酬月額が未登録／","")&amp;IF(AND($AQ1124&lt;&gt;"",OR(AND(INDEX(職員マスタ!$G$6:$G$405,$AP1124)&lt;&gt;"",INDEX(職員マスタ!$G$6:$G$405,$AP1124)&gt;EOMONTH($AQ1124,0)),AND(INDEX(職員マスタ!$H$6:$H$405,$AP1124)&lt;&gt;"",INDEX(職員マスタ!$H$6:$H$405,$AP1124)&lt;$AQ1124))),"対象月が時短期間外／","")&amp;IF(AND(INDEX(職員マスタ!$K$6:$K$405,$AP1124)&lt;&gt;"",N($W1124)&gt;0,INDEX(職員マスタ!$K$6:$K$405,$AP1124)&lt;&gt;$W1124),"標準報酬月額が申請書と相違（台帳"&amp;TEXT(INDEX(職員マスタ!$K$6:$K$405,$AP1124),"#,##0")&amp;"円／申請書"&amp;TEXT($W1124,"#,##0")&amp;"円）／","")&amp;IF(AND(INDEX(職員マスタ!$F$6:$F$405,$AP1124)&lt;&gt;"",$AQ1124&lt;&gt;"",INDEX(職員マスタ!$F$6:$F$405,$AP1124)&lt;$AQ1124),"対象月に子が2歳到達済／","")&amp;IF(AND($H1124&lt;&gt;"",INDEX(職員マスタ!$B$6:$B$405,$AP1124)&lt;&gt;"",SUBSTITUTE(SUBSTITUTE($H1124," ","")," ","")&lt;&gt;SUBSTITUTE(SUBSTITUTE(INDEX(職員マスタ!$B$6:$B$405,$AP1124)," ","")," ","")),"氏名がマスタと相違／","")&amp;IF(AND($Q1124&lt;&gt;"",INDEX(職員マスタ!$E$6:$E$405,$AP1124)&lt;&gt;"",$Q1124&lt;&gt;INDEX(職員マスタ!$E$6:$E$405,$AP1124)),"子の生年月日がマスタと相違／","")&amp;IF(AND($L1124&lt;&gt;"",INDEX(職員マスタ!$G$6:$G$405,$AP1124)&lt;&gt;"",$L1124&lt;&gt;INDEX(職員マスタ!$G$6:$G$405,$AP1124)),"時短開始日がマスタと相違／","")&amp;IF(AND($M1124&lt;&gt;"",INDEX(職員マスタ!$H$6:$H$405,$AP1124)&lt;&gt;"",$M1124&lt;&gt;INDEX(職員マスタ!$H$6:$H$405,$AP1124)),"時短終了日がマスタと相違／","")))&amp;IF(AND($B1124&lt;&gt;"",$E1124=""),"報酬額が未入力／","")&amp;IF(N($U1124)&gt;0,"申請書に入力エラーが残っています／","")&amp;IF(AND($B1124&lt;&gt;"",$AQ1124&lt;&gt;""),IF(COUNTIFS($B$6:$B$3005,$B1124,$C$6:$C$3005,$C1124,$D$6:$D$3005,$D1124)&gt;1,"同じ月の請求が重複しています／",""),"")&amp;IF(AND(N($E1124)&gt;0,$AB1124&lt;&gt;"",$AB1124&lt;&gt;"×",$AE1124=0,$AD1124=""),"計算額が下限以下のため不支給／",""))</f>
        <v/>
      </c>
      <c r="AN1124" s="12" t="n"/>
      <c r="AO1124" s="14">
        <f>IF($AF1124="保留中",COUNTIF($AF$6:$AF1124,"保留中"),"")</f>
        <v/>
      </c>
      <c r="AP1124" s="14">
        <f>IF($AQ1124="","",IF(SUMPRODUCT(MAX((職員マスタ!$A$6:$A$405=$B1124)*(((職員マスタ!$G$6:$G$405="")+(職員マスタ!$G$6:$G$405&lt;=EOMONTH($AQ1124,0)))&gt;0)*(((職員マスタ!$H$6:$H$405="")+(職員マスタ!$H$6:$H$405&gt;=$AQ1124))&gt;0)*(ROW(職員マスタ!$A$6:$A$405)-5)))&gt;0,SUMPRODUCT(MAX((職員マスタ!$A$6:$A$405=$B1124)*(((職員マスタ!$G$6:$G$405="")+(職員マスタ!$G$6:$G$405&lt;=EOMONTH($AQ1124,0)))&gt;0)*(((職員マスタ!$H$6:$H$405="")+(職員マスタ!$H$6:$H$405&gt;=$AQ1124))&gt;0)*(ROW(職員マスタ!$A$6:$A$405)-5))),IFERROR(MATCH($B1124,職員マスタ!$A$6:$A$405,0),"")))</f>
        <v/>
      </c>
      <c r="AQ1124" s="16">
        <f>IF(OR($B1124="",$C1124="",$D1124=""),"",DATE($C1124+2018,$D1124,1))</f>
        <v/>
      </c>
    </row>
    <row r="1125">
      <c r="A1125" s="11" t="n"/>
      <c r="B1125" s="12" t="n"/>
      <c r="C1125" s="12" t="n"/>
      <c r="D1125" s="12" t="n"/>
      <c r="E1125" s="13" t="n"/>
      <c r="F1125" s="12" t="n"/>
      <c r="G1125" s="13" t="n"/>
      <c r="H1125" s="12" t="n"/>
      <c r="I1125" s="12" t="n"/>
      <c r="J1125" s="12" t="n"/>
      <c r="K1125" s="12" t="n"/>
      <c r="L1125" s="11" t="n"/>
      <c r="M1125" s="11" t="n"/>
      <c r="N1125" s="11" t="n"/>
      <c r="O1125" s="11" t="n"/>
      <c r="P1125" s="12" t="n"/>
      <c r="Q1125" s="11" t="n"/>
      <c r="R1125" s="12" t="n"/>
      <c r="S1125" s="11" t="n"/>
      <c r="T1125" s="12" t="n"/>
      <c r="U1125" s="12" t="n"/>
      <c r="V1125" s="12" t="n"/>
      <c r="W1125" s="13" t="n"/>
      <c r="X1125" s="14">
        <f>IF($AP1125="",IF($B1125="","",$H1125),IF(INDEX(職員マスタ!$B$6:$B$405,$AP1125)="",$H1125,INDEX(職員マスタ!$B$6:$B$405,$AP1125)))</f>
        <v/>
      </c>
      <c r="Y1125" s="14">
        <f>IF($AP1125="",IF($B1125="","",$R1125),IF(INDEX(職員マスタ!$C$6:$C$405,$AP1125)="",$R1125,INDEX(職員マスタ!$C$6:$C$405,$AP1125)))</f>
        <v/>
      </c>
      <c r="Z1125" s="14">
        <f>IF($AQ1125="","","R"&amp;$C1125&amp;"."&amp;$D1125)</f>
        <v/>
      </c>
      <c r="AA1125" s="15">
        <f>IF(IF($AP1125="",FALSE,INDEX(職員マスタ!$K$6:$K$405,$AP1125)&lt;&gt;""),INDEX(職員マスタ!$K$6:$K$405,$AP1125),IF(N($W1125)&gt;0,$W1125,""))</f>
        <v/>
      </c>
      <c r="AB1125" s="14">
        <f>IF(OR($E1125="",$AA1125=""),"",IF($E1125&gt;=$AA1125,"×",IF($E1125&gt;=$AA1125*設定!$C$5,"△","○")))</f>
        <v/>
      </c>
      <c r="AC1125" s="15">
        <f>IF($AB1125="","",IF($AB1125="×",0,IF($AB1125="○",ROUNDDOWN($E1125*設定!$C$4,0),ROUNDDOWN($E1125*ROUND((9*$AA1125-9*$E1125)/(10*$E1125),4),0))))</f>
        <v/>
      </c>
      <c r="AD1125" s="13" t="n"/>
      <c r="AE1125" s="15">
        <f>IF($B1125="","",IF($AD1125&lt;&gt;"",$AD1125,IF($AC1125="","",IF($AC1125&lt;=設定!$C$3,0,$AC1125))))</f>
        <v/>
      </c>
      <c r="AF1125" s="14">
        <f>IF($B1125="","",IF(AND($AG1125&lt;&gt;"",$AI1125="",$AL1125=""),"保留中",IF($AL1125&lt;&gt;"",IF(N($AE1125)&gt;0,"支給済","不支給"),IF($AE1125="","要確認",IF($AE1125=0,"不支給","未処理")))))</f>
        <v/>
      </c>
      <c r="AG1125" s="12" t="n"/>
      <c r="AH1125" s="11" t="n"/>
      <c r="AI1125" s="11" t="n"/>
      <c r="AJ1125" s="11" t="n"/>
      <c r="AK1125" s="14">
        <f>IF(AND($AF1125="保留中",$AH1125&lt;&gt;""),TODAY()-$AH1125,"")</f>
        <v/>
      </c>
      <c r="AL1125" s="12" t="n"/>
      <c r="AM1125" s="14">
        <f>IF($B1125="","",IF($AQ1125="","対象年月が未入力／","")&amp;IF($B1125="","",IF($AP1125="","職員マスタに未登録の職員番号／",IF($AA1125="","標準報酬月額が未登録／","")&amp;IF(AND($AQ1125&lt;&gt;"",OR(AND(INDEX(職員マスタ!$G$6:$G$405,$AP1125)&lt;&gt;"",INDEX(職員マスタ!$G$6:$G$405,$AP1125)&gt;EOMONTH($AQ1125,0)),AND(INDEX(職員マスタ!$H$6:$H$405,$AP1125)&lt;&gt;"",INDEX(職員マスタ!$H$6:$H$405,$AP1125)&lt;$AQ1125))),"対象月が時短期間外／","")&amp;IF(AND(INDEX(職員マスタ!$K$6:$K$405,$AP1125)&lt;&gt;"",N($W1125)&gt;0,INDEX(職員マスタ!$K$6:$K$405,$AP1125)&lt;&gt;$W1125),"標準報酬月額が申請書と相違（台帳"&amp;TEXT(INDEX(職員マスタ!$K$6:$K$405,$AP1125),"#,##0")&amp;"円／申請書"&amp;TEXT($W1125,"#,##0")&amp;"円）／","")&amp;IF(AND(INDEX(職員マスタ!$F$6:$F$405,$AP1125)&lt;&gt;"",$AQ1125&lt;&gt;"",INDEX(職員マスタ!$F$6:$F$405,$AP1125)&lt;$AQ1125),"対象月に子が2歳到達済／","")&amp;IF(AND($H1125&lt;&gt;"",INDEX(職員マスタ!$B$6:$B$405,$AP1125)&lt;&gt;"",SUBSTITUTE(SUBSTITUTE($H1125," ","")," ","")&lt;&gt;SUBSTITUTE(SUBSTITUTE(INDEX(職員マスタ!$B$6:$B$405,$AP1125)," ","")," ","")),"氏名がマスタと相違／","")&amp;IF(AND($Q1125&lt;&gt;"",INDEX(職員マスタ!$E$6:$E$405,$AP1125)&lt;&gt;"",$Q1125&lt;&gt;INDEX(職員マスタ!$E$6:$E$405,$AP1125)),"子の生年月日がマスタと相違／","")&amp;IF(AND($L1125&lt;&gt;"",INDEX(職員マスタ!$G$6:$G$405,$AP1125)&lt;&gt;"",$L1125&lt;&gt;INDEX(職員マスタ!$G$6:$G$405,$AP1125)),"時短開始日がマスタと相違／","")&amp;IF(AND($M1125&lt;&gt;"",INDEX(職員マスタ!$H$6:$H$405,$AP1125)&lt;&gt;"",$M1125&lt;&gt;INDEX(職員マスタ!$H$6:$H$405,$AP1125)),"時短終了日がマスタと相違／","")))&amp;IF(AND($B1125&lt;&gt;"",$E1125=""),"報酬額が未入力／","")&amp;IF(N($U1125)&gt;0,"申請書に入力エラーが残っています／","")&amp;IF(AND($B1125&lt;&gt;"",$AQ1125&lt;&gt;""),IF(COUNTIFS($B$6:$B$3005,$B1125,$C$6:$C$3005,$C1125,$D$6:$D$3005,$D1125)&gt;1,"同じ月の請求が重複しています／",""),"")&amp;IF(AND(N($E1125)&gt;0,$AB1125&lt;&gt;"",$AB1125&lt;&gt;"×",$AE1125=0,$AD1125=""),"計算額が下限以下のため不支給／",""))</f>
        <v/>
      </c>
      <c r="AN1125" s="12" t="n"/>
      <c r="AO1125" s="14">
        <f>IF($AF1125="保留中",COUNTIF($AF$6:$AF1125,"保留中"),"")</f>
        <v/>
      </c>
      <c r="AP1125" s="14">
        <f>IF($AQ1125="","",IF(SUMPRODUCT(MAX((職員マスタ!$A$6:$A$405=$B1125)*(((職員マスタ!$G$6:$G$405="")+(職員マスタ!$G$6:$G$405&lt;=EOMONTH($AQ1125,0)))&gt;0)*(((職員マスタ!$H$6:$H$405="")+(職員マスタ!$H$6:$H$405&gt;=$AQ1125))&gt;0)*(ROW(職員マスタ!$A$6:$A$405)-5)))&gt;0,SUMPRODUCT(MAX((職員マスタ!$A$6:$A$405=$B1125)*(((職員マスタ!$G$6:$G$405="")+(職員マスタ!$G$6:$G$405&lt;=EOMONTH($AQ1125,0)))&gt;0)*(((職員マスタ!$H$6:$H$405="")+(職員マスタ!$H$6:$H$405&gt;=$AQ1125))&gt;0)*(ROW(職員マスタ!$A$6:$A$405)-5))),IFERROR(MATCH($B1125,職員マスタ!$A$6:$A$405,0),"")))</f>
        <v/>
      </c>
      <c r="AQ1125" s="16">
        <f>IF(OR($B1125="",$C1125="",$D1125=""),"",DATE($C1125+2018,$D1125,1))</f>
        <v/>
      </c>
    </row>
    <row r="1126">
      <c r="A1126" s="11" t="n"/>
      <c r="B1126" s="12" t="n"/>
      <c r="C1126" s="12" t="n"/>
      <c r="D1126" s="12" t="n"/>
      <c r="E1126" s="13" t="n"/>
      <c r="F1126" s="12" t="n"/>
      <c r="G1126" s="13" t="n"/>
      <c r="H1126" s="12" t="n"/>
      <c r="I1126" s="12" t="n"/>
      <c r="J1126" s="12" t="n"/>
      <c r="K1126" s="12" t="n"/>
      <c r="L1126" s="11" t="n"/>
      <c r="M1126" s="11" t="n"/>
      <c r="N1126" s="11" t="n"/>
      <c r="O1126" s="11" t="n"/>
      <c r="P1126" s="12" t="n"/>
      <c r="Q1126" s="11" t="n"/>
      <c r="R1126" s="12" t="n"/>
      <c r="S1126" s="11" t="n"/>
      <c r="T1126" s="12" t="n"/>
      <c r="U1126" s="12" t="n"/>
      <c r="V1126" s="12" t="n"/>
      <c r="W1126" s="13" t="n"/>
      <c r="X1126" s="14">
        <f>IF($AP1126="",IF($B1126="","",$H1126),IF(INDEX(職員マスタ!$B$6:$B$405,$AP1126)="",$H1126,INDEX(職員マスタ!$B$6:$B$405,$AP1126)))</f>
        <v/>
      </c>
      <c r="Y1126" s="14">
        <f>IF($AP1126="",IF($B1126="","",$R1126),IF(INDEX(職員マスタ!$C$6:$C$405,$AP1126)="",$R1126,INDEX(職員マスタ!$C$6:$C$405,$AP1126)))</f>
        <v/>
      </c>
      <c r="Z1126" s="14">
        <f>IF($AQ1126="","","R"&amp;$C1126&amp;"."&amp;$D1126)</f>
        <v/>
      </c>
      <c r="AA1126" s="15">
        <f>IF(IF($AP1126="",FALSE,INDEX(職員マスタ!$K$6:$K$405,$AP1126)&lt;&gt;""),INDEX(職員マスタ!$K$6:$K$405,$AP1126),IF(N($W1126)&gt;0,$W1126,""))</f>
        <v/>
      </c>
      <c r="AB1126" s="14">
        <f>IF(OR($E1126="",$AA1126=""),"",IF($E1126&gt;=$AA1126,"×",IF($E1126&gt;=$AA1126*設定!$C$5,"△","○")))</f>
        <v/>
      </c>
      <c r="AC1126" s="15">
        <f>IF($AB1126="","",IF($AB1126="×",0,IF($AB1126="○",ROUNDDOWN($E1126*設定!$C$4,0),ROUNDDOWN($E1126*ROUND((9*$AA1126-9*$E1126)/(10*$E1126),4),0))))</f>
        <v/>
      </c>
      <c r="AD1126" s="13" t="n"/>
      <c r="AE1126" s="15">
        <f>IF($B1126="","",IF($AD1126&lt;&gt;"",$AD1126,IF($AC1126="","",IF($AC1126&lt;=設定!$C$3,0,$AC1126))))</f>
        <v/>
      </c>
      <c r="AF1126" s="14">
        <f>IF($B1126="","",IF(AND($AG1126&lt;&gt;"",$AI1126="",$AL1126=""),"保留中",IF($AL1126&lt;&gt;"",IF(N($AE1126)&gt;0,"支給済","不支給"),IF($AE1126="","要確認",IF($AE1126=0,"不支給","未処理")))))</f>
        <v/>
      </c>
      <c r="AG1126" s="12" t="n"/>
      <c r="AH1126" s="11" t="n"/>
      <c r="AI1126" s="11" t="n"/>
      <c r="AJ1126" s="11" t="n"/>
      <c r="AK1126" s="14">
        <f>IF(AND($AF1126="保留中",$AH1126&lt;&gt;""),TODAY()-$AH1126,"")</f>
        <v/>
      </c>
      <c r="AL1126" s="12" t="n"/>
      <c r="AM1126" s="14">
        <f>IF($B1126="","",IF($AQ1126="","対象年月が未入力／","")&amp;IF($B1126="","",IF($AP1126="","職員マスタに未登録の職員番号／",IF($AA1126="","標準報酬月額が未登録／","")&amp;IF(AND($AQ1126&lt;&gt;"",OR(AND(INDEX(職員マスタ!$G$6:$G$405,$AP1126)&lt;&gt;"",INDEX(職員マスタ!$G$6:$G$405,$AP1126)&gt;EOMONTH($AQ1126,0)),AND(INDEX(職員マスタ!$H$6:$H$405,$AP1126)&lt;&gt;"",INDEX(職員マスタ!$H$6:$H$405,$AP1126)&lt;$AQ1126))),"対象月が時短期間外／","")&amp;IF(AND(INDEX(職員マスタ!$K$6:$K$405,$AP1126)&lt;&gt;"",N($W1126)&gt;0,INDEX(職員マスタ!$K$6:$K$405,$AP1126)&lt;&gt;$W1126),"標準報酬月額が申請書と相違（台帳"&amp;TEXT(INDEX(職員マスタ!$K$6:$K$405,$AP1126),"#,##0")&amp;"円／申請書"&amp;TEXT($W1126,"#,##0")&amp;"円）／","")&amp;IF(AND(INDEX(職員マスタ!$F$6:$F$405,$AP1126)&lt;&gt;"",$AQ1126&lt;&gt;"",INDEX(職員マスタ!$F$6:$F$405,$AP1126)&lt;$AQ1126),"対象月に子が2歳到達済／","")&amp;IF(AND($H1126&lt;&gt;"",INDEX(職員マスタ!$B$6:$B$405,$AP1126)&lt;&gt;"",SUBSTITUTE(SUBSTITUTE($H1126," ","")," ","")&lt;&gt;SUBSTITUTE(SUBSTITUTE(INDEX(職員マスタ!$B$6:$B$405,$AP1126)," ","")," ","")),"氏名がマスタと相違／","")&amp;IF(AND($Q1126&lt;&gt;"",INDEX(職員マスタ!$E$6:$E$405,$AP1126)&lt;&gt;"",$Q1126&lt;&gt;INDEX(職員マスタ!$E$6:$E$405,$AP1126)),"子の生年月日がマスタと相違／","")&amp;IF(AND($L1126&lt;&gt;"",INDEX(職員マスタ!$G$6:$G$405,$AP1126)&lt;&gt;"",$L1126&lt;&gt;INDEX(職員マスタ!$G$6:$G$405,$AP1126)),"時短開始日がマスタと相違／","")&amp;IF(AND($M1126&lt;&gt;"",INDEX(職員マスタ!$H$6:$H$405,$AP1126)&lt;&gt;"",$M1126&lt;&gt;INDEX(職員マスタ!$H$6:$H$405,$AP1126)),"時短終了日がマスタと相違／","")))&amp;IF(AND($B1126&lt;&gt;"",$E1126=""),"報酬額が未入力／","")&amp;IF(N($U1126)&gt;0,"申請書に入力エラーが残っています／","")&amp;IF(AND($B1126&lt;&gt;"",$AQ1126&lt;&gt;""),IF(COUNTIFS($B$6:$B$3005,$B1126,$C$6:$C$3005,$C1126,$D$6:$D$3005,$D1126)&gt;1,"同じ月の請求が重複しています／",""),"")&amp;IF(AND(N($E1126)&gt;0,$AB1126&lt;&gt;"",$AB1126&lt;&gt;"×",$AE1126=0,$AD1126=""),"計算額が下限以下のため不支給／",""))</f>
        <v/>
      </c>
      <c r="AN1126" s="12" t="n"/>
      <c r="AO1126" s="14">
        <f>IF($AF1126="保留中",COUNTIF($AF$6:$AF1126,"保留中"),"")</f>
        <v/>
      </c>
      <c r="AP1126" s="14">
        <f>IF($AQ1126="","",IF(SUMPRODUCT(MAX((職員マスタ!$A$6:$A$405=$B1126)*(((職員マスタ!$G$6:$G$405="")+(職員マスタ!$G$6:$G$405&lt;=EOMONTH($AQ1126,0)))&gt;0)*(((職員マスタ!$H$6:$H$405="")+(職員マスタ!$H$6:$H$405&gt;=$AQ1126))&gt;0)*(ROW(職員マスタ!$A$6:$A$405)-5)))&gt;0,SUMPRODUCT(MAX((職員マスタ!$A$6:$A$405=$B1126)*(((職員マスタ!$G$6:$G$405="")+(職員マスタ!$G$6:$G$405&lt;=EOMONTH($AQ1126,0)))&gt;0)*(((職員マスタ!$H$6:$H$405="")+(職員マスタ!$H$6:$H$405&gt;=$AQ1126))&gt;0)*(ROW(職員マスタ!$A$6:$A$405)-5))),IFERROR(MATCH($B1126,職員マスタ!$A$6:$A$405,0),"")))</f>
        <v/>
      </c>
      <c r="AQ1126" s="16">
        <f>IF(OR($B1126="",$C1126="",$D1126=""),"",DATE($C1126+2018,$D1126,1))</f>
        <v/>
      </c>
    </row>
    <row r="1127">
      <c r="A1127" s="11" t="n"/>
      <c r="B1127" s="12" t="n"/>
      <c r="C1127" s="12" t="n"/>
      <c r="D1127" s="12" t="n"/>
      <c r="E1127" s="13" t="n"/>
      <c r="F1127" s="12" t="n"/>
      <c r="G1127" s="13" t="n"/>
      <c r="H1127" s="12" t="n"/>
      <c r="I1127" s="12" t="n"/>
      <c r="J1127" s="12" t="n"/>
      <c r="K1127" s="12" t="n"/>
      <c r="L1127" s="11" t="n"/>
      <c r="M1127" s="11" t="n"/>
      <c r="N1127" s="11" t="n"/>
      <c r="O1127" s="11" t="n"/>
      <c r="P1127" s="12" t="n"/>
      <c r="Q1127" s="11" t="n"/>
      <c r="R1127" s="12" t="n"/>
      <c r="S1127" s="11" t="n"/>
      <c r="T1127" s="12" t="n"/>
      <c r="U1127" s="12" t="n"/>
      <c r="V1127" s="12" t="n"/>
      <c r="W1127" s="13" t="n"/>
      <c r="X1127" s="14">
        <f>IF($AP1127="",IF($B1127="","",$H1127),IF(INDEX(職員マスタ!$B$6:$B$405,$AP1127)="",$H1127,INDEX(職員マスタ!$B$6:$B$405,$AP1127)))</f>
        <v/>
      </c>
      <c r="Y1127" s="14">
        <f>IF($AP1127="",IF($B1127="","",$R1127),IF(INDEX(職員マスタ!$C$6:$C$405,$AP1127)="",$R1127,INDEX(職員マスタ!$C$6:$C$405,$AP1127)))</f>
        <v/>
      </c>
      <c r="Z1127" s="14">
        <f>IF($AQ1127="","","R"&amp;$C1127&amp;"."&amp;$D1127)</f>
        <v/>
      </c>
      <c r="AA1127" s="15">
        <f>IF(IF($AP1127="",FALSE,INDEX(職員マスタ!$K$6:$K$405,$AP1127)&lt;&gt;""),INDEX(職員マスタ!$K$6:$K$405,$AP1127),IF(N($W1127)&gt;0,$W1127,""))</f>
        <v/>
      </c>
      <c r="AB1127" s="14">
        <f>IF(OR($E1127="",$AA1127=""),"",IF($E1127&gt;=$AA1127,"×",IF($E1127&gt;=$AA1127*設定!$C$5,"△","○")))</f>
        <v/>
      </c>
      <c r="AC1127" s="15">
        <f>IF($AB1127="","",IF($AB1127="×",0,IF($AB1127="○",ROUNDDOWN($E1127*設定!$C$4,0),ROUNDDOWN($E1127*ROUND((9*$AA1127-9*$E1127)/(10*$E1127),4),0))))</f>
        <v/>
      </c>
      <c r="AD1127" s="13" t="n"/>
      <c r="AE1127" s="15">
        <f>IF($B1127="","",IF($AD1127&lt;&gt;"",$AD1127,IF($AC1127="","",IF($AC1127&lt;=設定!$C$3,0,$AC1127))))</f>
        <v/>
      </c>
      <c r="AF1127" s="14">
        <f>IF($B1127="","",IF(AND($AG1127&lt;&gt;"",$AI1127="",$AL1127=""),"保留中",IF($AL1127&lt;&gt;"",IF(N($AE1127)&gt;0,"支給済","不支給"),IF($AE1127="","要確認",IF($AE1127=0,"不支給","未処理")))))</f>
        <v/>
      </c>
      <c r="AG1127" s="12" t="n"/>
      <c r="AH1127" s="11" t="n"/>
      <c r="AI1127" s="11" t="n"/>
      <c r="AJ1127" s="11" t="n"/>
      <c r="AK1127" s="14">
        <f>IF(AND($AF1127="保留中",$AH1127&lt;&gt;""),TODAY()-$AH1127,"")</f>
        <v/>
      </c>
      <c r="AL1127" s="12" t="n"/>
      <c r="AM1127" s="14">
        <f>IF($B1127="","",IF($AQ1127="","対象年月が未入力／","")&amp;IF($B1127="","",IF($AP1127="","職員マスタに未登録の職員番号／",IF($AA1127="","標準報酬月額が未登録／","")&amp;IF(AND($AQ1127&lt;&gt;"",OR(AND(INDEX(職員マスタ!$G$6:$G$405,$AP1127)&lt;&gt;"",INDEX(職員マスタ!$G$6:$G$405,$AP1127)&gt;EOMONTH($AQ1127,0)),AND(INDEX(職員マスタ!$H$6:$H$405,$AP1127)&lt;&gt;"",INDEX(職員マスタ!$H$6:$H$405,$AP1127)&lt;$AQ1127))),"対象月が時短期間外／","")&amp;IF(AND(INDEX(職員マスタ!$K$6:$K$405,$AP1127)&lt;&gt;"",N($W1127)&gt;0,INDEX(職員マスタ!$K$6:$K$405,$AP1127)&lt;&gt;$W1127),"標準報酬月額が申請書と相違（台帳"&amp;TEXT(INDEX(職員マスタ!$K$6:$K$405,$AP1127),"#,##0")&amp;"円／申請書"&amp;TEXT($W1127,"#,##0")&amp;"円）／","")&amp;IF(AND(INDEX(職員マスタ!$F$6:$F$405,$AP1127)&lt;&gt;"",$AQ1127&lt;&gt;"",INDEX(職員マスタ!$F$6:$F$405,$AP1127)&lt;$AQ1127),"対象月に子が2歳到達済／","")&amp;IF(AND($H1127&lt;&gt;"",INDEX(職員マスタ!$B$6:$B$405,$AP1127)&lt;&gt;"",SUBSTITUTE(SUBSTITUTE($H1127," ","")," ","")&lt;&gt;SUBSTITUTE(SUBSTITUTE(INDEX(職員マスタ!$B$6:$B$405,$AP1127)," ","")," ","")),"氏名がマスタと相違／","")&amp;IF(AND($Q1127&lt;&gt;"",INDEX(職員マスタ!$E$6:$E$405,$AP1127)&lt;&gt;"",$Q1127&lt;&gt;INDEX(職員マスタ!$E$6:$E$405,$AP1127)),"子の生年月日がマスタと相違／","")&amp;IF(AND($L1127&lt;&gt;"",INDEX(職員マスタ!$G$6:$G$405,$AP1127)&lt;&gt;"",$L1127&lt;&gt;INDEX(職員マスタ!$G$6:$G$405,$AP1127)),"時短開始日がマスタと相違／","")&amp;IF(AND($M1127&lt;&gt;"",INDEX(職員マスタ!$H$6:$H$405,$AP1127)&lt;&gt;"",$M1127&lt;&gt;INDEX(職員マスタ!$H$6:$H$405,$AP1127)),"時短終了日がマスタと相違／","")))&amp;IF(AND($B1127&lt;&gt;"",$E1127=""),"報酬額が未入力／","")&amp;IF(N($U1127)&gt;0,"申請書に入力エラーが残っています／","")&amp;IF(AND($B1127&lt;&gt;"",$AQ1127&lt;&gt;""),IF(COUNTIFS($B$6:$B$3005,$B1127,$C$6:$C$3005,$C1127,$D$6:$D$3005,$D1127)&gt;1,"同じ月の請求が重複しています／",""),"")&amp;IF(AND(N($E1127)&gt;0,$AB1127&lt;&gt;"",$AB1127&lt;&gt;"×",$AE1127=0,$AD1127=""),"計算額が下限以下のため不支給／",""))</f>
        <v/>
      </c>
      <c r="AN1127" s="12" t="n"/>
      <c r="AO1127" s="14">
        <f>IF($AF1127="保留中",COUNTIF($AF$6:$AF1127,"保留中"),"")</f>
        <v/>
      </c>
      <c r="AP1127" s="14">
        <f>IF($AQ1127="","",IF(SUMPRODUCT(MAX((職員マスタ!$A$6:$A$405=$B1127)*(((職員マスタ!$G$6:$G$405="")+(職員マスタ!$G$6:$G$405&lt;=EOMONTH($AQ1127,0)))&gt;0)*(((職員マスタ!$H$6:$H$405="")+(職員マスタ!$H$6:$H$405&gt;=$AQ1127))&gt;0)*(ROW(職員マスタ!$A$6:$A$405)-5)))&gt;0,SUMPRODUCT(MAX((職員マスタ!$A$6:$A$405=$B1127)*(((職員マスタ!$G$6:$G$405="")+(職員マスタ!$G$6:$G$405&lt;=EOMONTH($AQ1127,0)))&gt;0)*(((職員マスタ!$H$6:$H$405="")+(職員マスタ!$H$6:$H$405&gt;=$AQ1127))&gt;0)*(ROW(職員マスタ!$A$6:$A$405)-5))),IFERROR(MATCH($B1127,職員マスタ!$A$6:$A$405,0),"")))</f>
        <v/>
      </c>
      <c r="AQ1127" s="16">
        <f>IF(OR($B1127="",$C1127="",$D1127=""),"",DATE($C1127+2018,$D1127,1))</f>
        <v/>
      </c>
    </row>
    <row r="1128">
      <c r="A1128" s="11" t="n"/>
      <c r="B1128" s="12" t="n"/>
      <c r="C1128" s="12" t="n"/>
      <c r="D1128" s="12" t="n"/>
      <c r="E1128" s="13" t="n"/>
      <c r="F1128" s="12" t="n"/>
      <c r="G1128" s="13" t="n"/>
      <c r="H1128" s="12" t="n"/>
      <c r="I1128" s="12" t="n"/>
      <c r="J1128" s="12" t="n"/>
      <c r="K1128" s="12" t="n"/>
      <c r="L1128" s="11" t="n"/>
      <c r="M1128" s="11" t="n"/>
      <c r="N1128" s="11" t="n"/>
      <c r="O1128" s="11" t="n"/>
      <c r="P1128" s="12" t="n"/>
      <c r="Q1128" s="11" t="n"/>
      <c r="R1128" s="12" t="n"/>
      <c r="S1128" s="11" t="n"/>
      <c r="T1128" s="12" t="n"/>
      <c r="U1128" s="12" t="n"/>
      <c r="V1128" s="12" t="n"/>
      <c r="W1128" s="13" t="n"/>
      <c r="X1128" s="14">
        <f>IF($AP1128="",IF($B1128="","",$H1128),IF(INDEX(職員マスタ!$B$6:$B$405,$AP1128)="",$H1128,INDEX(職員マスタ!$B$6:$B$405,$AP1128)))</f>
        <v/>
      </c>
      <c r="Y1128" s="14">
        <f>IF($AP1128="",IF($B1128="","",$R1128),IF(INDEX(職員マスタ!$C$6:$C$405,$AP1128)="",$R1128,INDEX(職員マスタ!$C$6:$C$405,$AP1128)))</f>
        <v/>
      </c>
      <c r="Z1128" s="14">
        <f>IF($AQ1128="","","R"&amp;$C1128&amp;"."&amp;$D1128)</f>
        <v/>
      </c>
      <c r="AA1128" s="15">
        <f>IF(IF($AP1128="",FALSE,INDEX(職員マスタ!$K$6:$K$405,$AP1128)&lt;&gt;""),INDEX(職員マスタ!$K$6:$K$405,$AP1128),IF(N($W1128)&gt;0,$W1128,""))</f>
        <v/>
      </c>
      <c r="AB1128" s="14">
        <f>IF(OR($E1128="",$AA1128=""),"",IF($E1128&gt;=$AA1128,"×",IF($E1128&gt;=$AA1128*設定!$C$5,"△","○")))</f>
        <v/>
      </c>
      <c r="AC1128" s="15">
        <f>IF($AB1128="","",IF($AB1128="×",0,IF($AB1128="○",ROUNDDOWN($E1128*設定!$C$4,0),ROUNDDOWN($E1128*ROUND((9*$AA1128-9*$E1128)/(10*$E1128),4),0))))</f>
        <v/>
      </c>
      <c r="AD1128" s="13" t="n"/>
      <c r="AE1128" s="15">
        <f>IF($B1128="","",IF($AD1128&lt;&gt;"",$AD1128,IF($AC1128="","",IF($AC1128&lt;=設定!$C$3,0,$AC1128))))</f>
        <v/>
      </c>
      <c r="AF1128" s="14">
        <f>IF($B1128="","",IF(AND($AG1128&lt;&gt;"",$AI1128="",$AL1128=""),"保留中",IF($AL1128&lt;&gt;"",IF(N($AE1128)&gt;0,"支給済","不支給"),IF($AE1128="","要確認",IF($AE1128=0,"不支給","未処理")))))</f>
        <v/>
      </c>
      <c r="AG1128" s="12" t="n"/>
      <c r="AH1128" s="11" t="n"/>
      <c r="AI1128" s="11" t="n"/>
      <c r="AJ1128" s="11" t="n"/>
      <c r="AK1128" s="14">
        <f>IF(AND($AF1128="保留中",$AH1128&lt;&gt;""),TODAY()-$AH1128,"")</f>
        <v/>
      </c>
      <c r="AL1128" s="12" t="n"/>
      <c r="AM1128" s="14">
        <f>IF($B1128="","",IF($AQ1128="","対象年月が未入力／","")&amp;IF($B1128="","",IF($AP1128="","職員マスタに未登録の職員番号／",IF($AA1128="","標準報酬月額が未登録／","")&amp;IF(AND($AQ1128&lt;&gt;"",OR(AND(INDEX(職員マスタ!$G$6:$G$405,$AP1128)&lt;&gt;"",INDEX(職員マスタ!$G$6:$G$405,$AP1128)&gt;EOMONTH($AQ1128,0)),AND(INDEX(職員マスタ!$H$6:$H$405,$AP1128)&lt;&gt;"",INDEX(職員マスタ!$H$6:$H$405,$AP1128)&lt;$AQ1128))),"対象月が時短期間外／","")&amp;IF(AND(INDEX(職員マスタ!$K$6:$K$405,$AP1128)&lt;&gt;"",N($W1128)&gt;0,INDEX(職員マスタ!$K$6:$K$405,$AP1128)&lt;&gt;$W1128),"標準報酬月額が申請書と相違（台帳"&amp;TEXT(INDEX(職員マスタ!$K$6:$K$405,$AP1128),"#,##0")&amp;"円／申請書"&amp;TEXT($W1128,"#,##0")&amp;"円）／","")&amp;IF(AND(INDEX(職員マスタ!$F$6:$F$405,$AP1128)&lt;&gt;"",$AQ1128&lt;&gt;"",INDEX(職員マスタ!$F$6:$F$405,$AP1128)&lt;$AQ1128),"対象月に子が2歳到達済／","")&amp;IF(AND($H1128&lt;&gt;"",INDEX(職員マスタ!$B$6:$B$405,$AP1128)&lt;&gt;"",SUBSTITUTE(SUBSTITUTE($H1128," ","")," ","")&lt;&gt;SUBSTITUTE(SUBSTITUTE(INDEX(職員マスタ!$B$6:$B$405,$AP1128)," ","")," ","")),"氏名がマスタと相違／","")&amp;IF(AND($Q1128&lt;&gt;"",INDEX(職員マスタ!$E$6:$E$405,$AP1128)&lt;&gt;"",$Q1128&lt;&gt;INDEX(職員マスタ!$E$6:$E$405,$AP1128)),"子の生年月日がマスタと相違／","")&amp;IF(AND($L1128&lt;&gt;"",INDEX(職員マスタ!$G$6:$G$405,$AP1128)&lt;&gt;"",$L1128&lt;&gt;INDEX(職員マスタ!$G$6:$G$405,$AP1128)),"時短開始日がマスタと相違／","")&amp;IF(AND($M1128&lt;&gt;"",INDEX(職員マスタ!$H$6:$H$405,$AP1128)&lt;&gt;"",$M1128&lt;&gt;INDEX(職員マスタ!$H$6:$H$405,$AP1128)),"時短終了日がマスタと相違／","")))&amp;IF(AND($B1128&lt;&gt;"",$E1128=""),"報酬額が未入力／","")&amp;IF(N($U1128)&gt;0,"申請書に入力エラーが残っています／","")&amp;IF(AND($B1128&lt;&gt;"",$AQ1128&lt;&gt;""),IF(COUNTIFS($B$6:$B$3005,$B1128,$C$6:$C$3005,$C1128,$D$6:$D$3005,$D1128)&gt;1,"同じ月の請求が重複しています／",""),"")&amp;IF(AND(N($E1128)&gt;0,$AB1128&lt;&gt;"",$AB1128&lt;&gt;"×",$AE1128=0,$AD1128=""),"計算額が下限以下のため不支給／",""))</f>
        <v/>
      </c>
      <c r="AN1128" s="12" t="n"/>
      <c r="AO1128" s="14">
        <f>IF($AF1128="保留中",COUNTIF($AF$6:$AF1128,"保留中"),"")</f>
        <v/>
      </c>
      <c r="AP1128" s="14">
        <f>IF($AQ1128="","",IF(SUMPRODUCT(MAX((職員マスタ!$A$6:$A$405=$B1128)*(((職員マスタ!$G$6:$G$405="")+(職員マスタ!$G$6:$G$405&lt;=EOMONTH($AQ1128,0)))&gt;0)*(((職員マスタ!$H$6:$H$405="")+(職員マスタ!$H$6:$H$405&gt;=$AQ1128))&gt;0)*(ROW(職員マスタ!$A$6:$A$405)-5)))&gt;0,SUMPRODUCT(MAX((職員マスタ!$A$6:$A$405=$B1128)*(((職員マスタ!$G$6:$G$405="")+(職員マスタ!$G$6:$G$405&lt;=EOMONTH($AQ1128,0)))&gt;0)*(((職員マスタ!$H$6:$H$405="")+(職員マスタ!$H$6:$H$405&gt;=$AQ1128))&gt;0)*(ROW(職員マスタ!$A$6:$A$405)-5))),IFERROR(MATCH($B1128,職員マスタ!$A$6:$A$405,0),"")))</f>
        <v/>
      </c>
      <c r="AQ1128" s="16">
        <f>IF(OR($B1128="",$C1128="",$D1128=""),"",DATE($C1128+2018,$D1128,1))</f>
        <v/>
      </c>
    </row>
    <row r="1129">
      <c r="A1129" s="11" t="n"/>
      <c r="B1129" s="12" t="n"/>
      <c r="C1129" s="12" t="n"/>
      <c r="D1129" s="12" t="n"/>
      <c r="E1129" s="13" t="n"/>
      <c r="F1129" s="12" t="n"/>
      <c r="G1129" s="13" t="n"/>
      <c r="H1129" s="12" t="n"/>
      <c r="I1129" s="12" t="n"/>
      <c r="J1129" s="12" t="n"/>
      <c r="K1129" s="12" t="n"/>
      <c r="L1129" s="11" t="n"/>
      <c r="M1129" s="11" t="n"/>
      <c r="N1129" s="11" t="n"/>
      <c r="O1129" s="11" t="n"/>
      <c r="P1129" s="12" t="n"/>
      <c r="Q1129" s="11" t="n"/>
      <c r="R1129" s="12" t="n"/>
      <c r="S1129" s="11" t="n"/>
      <c r="T1129" s="12" t="n"/>
      <c r="U1129" s="12" t="n"/>
      <c r="V1129" s="12" t="n"/>
      <c r="W1129" s="13" t="n"/>
      <c r="X1129" s="14">
        <f>IF($AP1129="",IF($B1129="","",$H1129),IF(INDEX(職員マスタ!$B$6:$B$405,$AP1129)="",$H1129,INDEX(職員マスタ!$B$6:$B$405,$AP1129)))</f>
        <v/>
      </c>
      <c r="Y1129" s="14">
        <f>IF($AP1129="",IF($B1129="","",$R1129),IF(INDEX(職員マスタ!$C$6:$C$405,$AP1129)="",$R1129,INDEX(職員マスタ!$C$6:$C$405,$AP1129)))</f>
        <v/>
      </c>
      <c r="Z1129" s="14">
        <f>IF($AQ1129="","","R"&amp;$C1129&amp;"."&amp;$D1129)</f>
        <v/>
      </c>
      <c r="AA1129" s="15">
        <f>IF(IF($AP1129="",FALSE,INDEX(職員マスタ!$K$6:$K$405,$AP1129)&lt;&gt;""),INDEX(職員マスタ!$K$6:$K$405,$AP1129),IF(N($W1129)&gt;0,$W1129,""))</f>
        <v/>
      </c>
      <c r="AB1129" s="14">
        <f>IF(OR($E1129="",$AA1129=""),"",IF($E1129&gt;=$AA1129,"×",IF($E1129&gt;=$AA1129*設定!$C$5,"△","○")))</f>
        <v/>
      </c>
      <c r="AC1129" s="15">
        <f>IF($AB1129="","",IF($AB1129="×",0,IF($AB1129="○",ROUNDDOWN($E1129*設定!$C$4,0),ROUNDDOWN($E1129*ROUND((9*$AA1129-9*$E1129)/(10*$E1129),4),0))))</f>
        <v/>
      </c>
      <c r="AD1129" s="13" t="n"/>
      <c r="AE1129" s="15">
        <f>IF($B1129="","",IF($AD1129&lt;&gt;"",$AD1129,IF($AC1129="","",IF($AC1129&lt;=設定!$C$3,0,$AC1129))))</f>
        <v/>
      </c>
      <c r="AF1129" s="14">
        <f>IF($B1129="","",IF(AND($AG1129&lt;&gt;"",$AI1129="",$AL1129=""),"保留中",IF($AL1129&lt;&gt;"",IF(N($AE1129)&gt;0,"支給済","不支給"),IF($AE1129="","要確認",IF($AE1129=0,"不支給","未処理")))))</f>
        <v/>
      </c>
      <c r="AG1129" s="12" t="n"/>
      <c r="AH1129" s="11" t="n"/>
      <c r="AI1129" s="11" t="n"/>
      <c r="AJ1129" s="11" t="n"/>
      <c r="AK1129" s="14">
        <f>IF(AND($AF1129="保留中",$AH1129&lt;&gt;""),TODAY()-$AH1129,"")</f>
        <v/>
      </c>
      <c r="AL1129" s="12" t="n"/>
      <c r="AM1129" s="14">
        <f>IF($B1129="","",IF($AQ1129="","対象年月が未入力／","")&amp;IF($B1129="","",IF($AP1129="","職員マスタに未登録の職員番号／",IF($AA1129="","標準報酬月額が未登録／","")&amp;IF(AND($AQ1129&lt;&gt;"",OR(AND(INDEX(職員マスタ!$G$6:$G$405,$AP1129)&lt;&gt;"",INDEX(職員マスタ!$G$6:$G$405,$AP1129)&gt;EOMONTH($AQ1129,0)),AND(INDEX(職員マスタ!$H$6:$H$405,$AP1129)&lt;&gt;"",INDEX(職員マスタ!$H$6:$H$405,$AP1129)&lt;$AQ1129))),"対象月が時短期間外／","")&amp;IF(AND(INDEX(職員マスタ!$K$6:$K$405,$AP1129)&lt;&gt;"",N($W1129)&gt;0,INDEX(職員マスタ!$K$6:$K$405,$AP1129)&lt;&gt;$W1129),"標準報酬月額が申請書と相違（台帳"&amp;TEXT(INDEX(職員マスタ!$K$6:$K$405,$AP1129),"#,##0")&amp;"円／申請書"&amp;TEXT($W1129,"#,##0")&amp;"円）／","")&amp;IF(AND(INDEX(職員マスタ!$F$6:$F$405,$AP1129)&lt;&gt;"",$AQ1129&lt;&gt;"",INDEX(職員マスタ!$F$6:$F$405,$AP1129)&lt;$AQ1129),"対象月に子が2歳到達済／","")&amp;IF(AND($H1129&lt;&gt;"",INDEX(職員マスタ!$B$6:$B$405,$AP1129)&lt;&gt;"",SUBSTITUTE(SUBSTITUTE($H1129," ","")," ","")&lt;&gt;SUBSTITUTE(SUBSTITUTE(INDEX(職員マスタ!$B$6:$B$405,$AP1129)," ","")," ","")),"氏名がマスタと相違／","")&amp;IF(AND($Q1129&lt;&gt;"",INDEX(職員マスタ!$E$6:$E$405,$AP1129)&lt;&gt;"",$Q1129&lt;&gt;INDEX(職員マスタ!$E$6:$E$405,$AP1129)),"子の生年月日がマスタと相違／","")&amp;IF(AND($L1129&lt;&gt;"",INDEX(職員マスタ!$G$6:$G$405,$AP1129)&lt;&gt;"",$L1129&lt;&gt;INDEX(職員マスタ!$G$6:$G$405,$AP1129)),"時短開始日がマスタと相違／","")&amp;IF(AND($M1129&lt;&gt;"",INDEX(職員マスタ!$H$6:$H$405,$AP1129)&lt;&gt;"",$M1129&lt;&gt;INDEX(職員マスタ!$H$6:$H$405,$AP1129)),"時短終了日がマスタと相違／","")))&amp;IF(AND($B1129&lt;&gt;"",$E1129=""),"報酬額が未入力／","")&amp;IF(N($U1129)&gt;0,"申請書に入力エラーが残っています／","")&amp;IF(AND($B1129&lt;&gt;"",$AQ1129&lt;&gt;""),IF(COUNTIFS($B$6:$B$3005,$B1129,$C$6:$C$3005,$C1129,$D$6:$D$3005,$D1129)&gt;1,"同じ月の請求が重複しています／",""),"")&amp;IF(AND(N($E1129)&gt;0,$AB1129&lt;&gt;"",$AB1129&lt;&gt;"×",$AE1129=0,$AD1129=""),"計算額が下限以下のため不支給／",""))</f>
        <v/>
      </c>
      <c r="AN1129" s="12" t="n"/>
      <c r="AO1129" s="14">
        <f>IF($AF1129="保留中",COUNTIF($AF$6:$AF1129,"保留中"),"")</f>
        <v/>
      </c>
      <c r="AP1129" s="14">
        <f>IF($AQ1129="","",IF(SUMPRODUCT(MAX((職員マスタ!$A$6:$A$405=$B1129)*(((職員マスタ!$G$6:$G$405="")+(職員マスタ!$G$6:$G$405&lt;=EOMONTH($AQ1129,0)))&gt;0)*(((職員マスタ!$H$6:$H$405="")+(職員マスタ!$H$6:$H$405&gt;=$AQ1129))&gt;0)*(ROW(職員マスタ!$A$6:$A$405)-5)))&gt;0,SUMPRODUCT(MAX((職員マスタ!$A$6:$A$405=$B1129)*(((職員マスタ!$G$6:$G$405="")+(職員マスタ!$G$6:$G$405&lt;=EOMONTH($AQ1129,0)))&gt;0)*(((職員マスタ!$H$6:$H$405="")+(職員マスタ!$H$6:$H$405&gt;=$AQ1129))&gt;0)*(ROW(職員マスタ!$A$6:$A$405)-5))),IFERROR(MATCH($B1129,職員マスタ!$A$6:$A$405,0),"")))</f>
        <v/>
      </c>
      <c r="AQ1129" s="16">
        <f>IF(OR($B1129="",$C1129="",$D1129=""),"",DATE($C1129+2018,$D1129,1))</f>
        <v/>
      </c>
    </row>
    <row r="1130">
      <c r="A1130" s="11" t="n"/>
      <c r="B1130" s="12" t="n"/>
      <c r="C1130" s="12" t="n"/>
      <c r="D1130" s="12" t="n"/>
      <c r="E1130" s="13" t="n"/>
      <c r="F1130" s="12" t="n"/>
      <c r="G1130" s="13" t="n"/>
      <c r="H1130" s="12" t="n"/>
      <c r="I1130" s="12" t="n"/>
      <c r="J1130" s="12" t="n"/>
      <c r="K1130" s="12" t="n"/>
      <c r="L1130" s="11" t="n"/>
      <c r="M1130" s="11" t="n"/>
      <c r="N1130" s="11" t="n"/>
      <c r="O1130" s="11" t="n"/>
      <c r="P1130" s="12" t="n"/>
      <c r="Q1130" s="11" t="n"/>
      <c r="R1130" s="12" t="n"/>
      <c r="S1130" s="11" t="n"/>
      <c r="T1130" s="12" t="n"/>
      <c r="U1130" s="12" t="n"/>
      <c r="V1130" s="12" t="n"/>
      <c r="W1130" s="13" t="n"/>
      <c r="X1130" s="14">
        <f>IF($AP1130="",IF($B1130="","",$H1130),IF(INDEX(職員マスタ!$B$6:$B$405,$AP1130)="",$H1130,INDEX(職員マスタ!$B$6:$B$405,$AP1130)))</f>
        <v/>
      </c>
      <c r="Y1130" s="14">
        <f>IF($AP1130="",IF($B1130="","",$R1130),IF(INDEX(職員マスタ!$C$6:$C$405,$AP1130)="",$R1130,INDEX(職員マスタ!$C$6:$C$405,$AP1130)))</f>
        <v/>
      </c>
      <c r="Z1130" s="14">
        <f>IF($AQ1130="","","R"&amp;$C1130&amp;"."&amp;$D1130)</f>
        <v/>
      </c>
      <c r="AA1130" s="15">
        <f>IF(IF($AP1130="",FALSE,INDEX(職員マスタ!$K$6:$K$405,$AP1130)&lt;&gt;""),INDEX(職員マスタ!$K$6:$K$405,$AP1130),IF(N($W1130)&gt;0,$W1130,""))</f>
        <v/>
      </c>
      <c r="AB1130" s="14">
        <f>IF(OR($E1130="",$AA1130=""),"",IF($E1130&gt;=$AA1130,"×",IF($E1130&gt;=$AA1130*設定!$C$5,"△","○")))</f>
        <v/>
      </c>
      <c r="AC1130" s="15">
        <f>IF($AB1130="","",IF($AB1130="×",0,IF($AB1130="○",ROUNDDOWN($E1130*設定!$C$4,0),ROUNDDOWN($E1130*ROUND((9*$AA1130-9*$E1130)/(10*$E1130),4),0))))</f>
        <v/>
      </c>
      <c r="AD1130" s="13" t="n"/>
      <c r="AE1130" s="15">
        <f>IF($B1130="","",IF($AD1130&lt;&gt;"",$AD1130,IF($AC1130="","",IF($AC1130&lt;=設定!$C$3,0,$AC1130))))</f>
        <v/>
      </c>
      <c r="AF1130" s="14">
        <f>IF($B1130="","",IF(AND($AG1130&lt;&gt;"",$AI1130="",$AL1130=""),"保留中",IF($AL1130&lt;&gt;"",IF(N($AE1130)&gt;0,"支給済","不支給"),IF($AE1130="","要確認",IF($AE1130=0,"不支給","未処理")))))</f>
        <v/>
      </c>
      <c r="AG1130" s="12" t="n"/>
      <c r="AH1130" s="11" t="n"/>
      <c r="AI1130" s="11" t="n"/>
      <c r="AJ1130" s="11" t="n"/>
      <c r="AK1130" s="14">
        <f>IF(AND($AF1130="保留中",$AH1130&lt;&gt;""),TODAY()-$AH1130,"")</f>
        <v/>
      </c>
      <c r="AL1130" s="12" t="n"/>
      <c r="AM1130" s="14">
        <f>IF($B1130="","",IF($AQ1130="","対象年月が未入力／","")&amp;IF($B1130="","",IF($AP1130="","職員マスタに未登録の職員番号／",IF($AA1130="","標準報酬月額が未登録／","")&amp;IF(AND($AQ1130&lt;&gt;"",OR(AND(INDEX(職員マスタ!$G$6:$G$405,$AP1130)&lt;&gt;"",INDEX(職員マスタ!$G$6:$G$405,$AP1130)&gt;EOMONTH($AQ1130,0)),AND(INDEX(職員マスタ!$H$6:$H$405,$AP1130)&lt;&gt;"",INDEX(職員マスタ!$H$6:$H$405,$AP1130)&lt;$AQ1130))),"対象月が時短期間外／","")&amp;IF(AND(INDEX(職員マスタ!$K$6:$K$405,$AP1130)&lt;&gt;"",N($W1130)&gt;0,INDEX(職員マスタ!$K$6:$K$405,$AP1130)&lt;&gt;$W1130),"標準報酬月額が申請書と相違（台帳"&amp;TEXT(INDEX(職員マスタ!$K$6:$K$405,$AP1130),"#,##0")&amp;"円／申請書"&amp;TEXT($W1130,"#,##0")&amp;"円）／","")&amp;IF(AND(INDEX(職員マスタ!$F$6:$F$405,$AP1130)&lt;&gt;"",$AQ1130&lt;&gt;"",INDEX(職員マスタ!$F$6:$F$405,$AP1130)&lt;$AQ1130),"対象月に子が2歳到達済／","")&amp;IF(AND($H1130&lt;&gt;"",INDEX(職員マスタ!$B$6:$B$405,$AP1130)&lt;&gt;"",SUBSTITUTE(SUBSTITUTE($H1130," ","")," ","")&lt;&gt;SUBSTITUTE(SUBSTITUTE(INDEX(職員マスタ!$B$6:$B$405,$AP1130)," ","")," ","")),"氏名がマスタと相違／","")&amp;IF(AND($Q1130&lt;&gt;"",INDEX(職員マスタ!$E$6:$E$405,$AP1130)&lt;&gt;"",$Q1130&lt;&gt;INDEX(職員マスタ!$E$6:$E$405,$AP1130)),"子の生年月日がマスタと相違／","")&amp;IF(AND($L1130&lt;&gt;"",INDEX(職員マスタ!$G$6:$G$405,$AP1130)&lt;&gt;"",$L1130&lt;&gt;INDEX(職員マスタ!$G$6:$G$405,$AP1130)),"時短開始日がマスタと相違／","")&amp;IF(AND($M1130&lt;&gt;"",INDEX(職員マスタ!$H$6:$H$405,$AP1130)&lt;&gt;"",$M1130&lt;&gt;INDEX(職員マスタ!$H$6:$H$405,$AP1130)),"時短終了日がマスタと相違／","")))&amp;IF(AND($B1130&lt;&gt;"",$E1130=""),"報酬額が未入力／","")&amp;IF(N($U1130)&gt;0,"申請書に入力エラーが残っています／","")&amp;IF(AND($B1130&lt;&gt;"",$AQ1130&lt;&gt;""),IF(COUNTIFS($B$6:$B$3005,$B1130,$C$6:$C$3005,$C1130,$D$6:$D$3005,$D1130)&gt;1,"同じ月の請求が重複しています／",""),"")&amp;IF(AND(N($E1130)&gt;0,$AB1130&lt;&gt;"",$AB1130&lt;&gt;"×",$AE1130=0,$AD1130=""),"計算額が下限以下のため不支給／",""))</f>
        <v/>
      </c>
      <c r="AN1130" s="12" t="n"/>
      <c r="AO1130" s="14">
        <f>IF($AF1130="保留中",COUNTIF($AF$6:$AF1130,"保留中"),"")</f>
        <v/>
      </c>
      <c r="AP1130" s="14">
        <f>IF($AQ1130="","",IF(SUMPRODUCT(MAX((職員マスタ!$A$6:$A$405=$B1130)*(((職員マスタ!$G$6:$G$405="")+(職員マスタ!$G$6:$G$405&lt;=EOMONTH($AQ1130,0)))&gt;0)*(((職員マスタ!$H$6:$H$405="")+(職員マスタ!$H$6:$H$405&gt;=$AQ1130))&gt;0)*(ROW(職員マスタ!$A$6:$A$405)-5)))&gt;0,SUMPRODUCT(MAX((職員マスタ!$A$6:$A$405=$B1130)*(((職員マスタ!$G$6:$G$405="")+(職員マスタ!$G$6:$G$405&lt;=EOMONTH($AQ1130,0)))&gt;0)*(((職員マスタ!$H$6:$H$405="")+(職員マスタ!$H$6:$H$405&gt;=$AQ1130))&gt;0)*(ROW(職員マスタ!$A$6:$A$405)-5))),IFERROR(MATCH($B1130,職員マスタ!$A$6:$A$405,0),"")))</f>
        <v/>
      </c>
      <c r="AQ1130" s="16">
        <f>IF(OR($B1130="",$C1130="",$D1130=""),"",DATE($C1130+2018,$D1130,1))</f>
        <v/>
      </c>
    </row>
    <row r="1131">
      <c r="A1131" s="11" t="n"/>
      <c r="B1131" s="12" t="n"/>
      <c r="C1131" s="12" t="n"/>
      <c r="D1131" s="12" t="n"/>
      <c r="E1131" s="13" t="n"/>
      <c r="F1131" s="12" t="n"/>
      <c r="G1131" s="13" t="n"/>
      <c r="H1131" s="12" t="n"/>
      <c r="I1131" s="12" t="n"/>
      <c r="J1131" s="12" t="n"/>
      <c r="K1131" s="12" t="n"/>
      <c r="L1131" s="11" t="n"/>
      <c r="M1131" s="11" t="n"/>
      <c r="N1131" s="11" t="n"/>
      <c r="O1131" s="11" t="n"/>
      <c r="P1131" s="12" t="n"/>
      <c r="Q1131" s="11" t="n"/>
      <c r="R1131" s="12" t="n"/>
      <c r="S1131" s="11" t="n"/>
      <c r="T1131" s="12" t="n"/>
      <c r="U1131" s="12" t="n"/>
      <c r="V1131" s="12" t="n"/>
      <c r="W1131" s="13" t="n"/>
      <c r="X1131" s="14">
        <f>IF($AP1131="",IF($B1131="","",$H1131),IF(INDEX(職員マスタ!$B$6:$B$405,$AP1131)="",$H1131,INDEX(職員マスタ!$B$6:$B$405,$AP1131)))</f>
        <v/>
      </c>
      <c r="Y1131" s="14">
        <f>IF($AP1131="",IF($B1131="","",$R1131),IF(INDEX(職員マスタ!$C$6:$C$405,$AP1131)="",$R1131,INDEX(職員マスタ!$C$6:$C$405,$AP1131)))</f>
        <v/>
      </c>
      <c r="Z1131" s="14">
        <f>IF($AQ1131="","","R"&amp;$C1131&amp;"."&amp;$D1131)</f>
        <v/>
      </c>
      <c r="AA1131" s="15">
        <f>IF(IF($AP1131="",FALSE,INDEX(職員マスタ!$K$6:$K$405,$AP1131)&lt;&gt;""),INDEX(職員マスタ!$K$6:$K$405,$AP1131),IF(N($W1131)&gt;0,$W1131,""))</f>
        <v/>
      </c>
      <c r="AB1131" s="14">
        <f>IF(OR($E1131="",$AA1131=""),"",IF($E1131&gt;=$AA1131,"×",IF($E1131&gt;=$AA1131*設定!$C$5,"△","○")))</f>
        <v/>
      </c>
      <c r="AC1131" s="15">
        <f>IF($AB1131="","",IF($AB1131="×",0,IF($AB1131="○",ROUNDDOWN($E1131*設定!$C$4,0),ROUNDDOWN($E1131*ROUND((9*$AA1131-9*$E1131)/(10*$E1131),4),0))))</f>
        <v/>
      </c>
      <c r="AD1131" s="13" t="n"/>
      <c r="AE1131" s="15">
        <f>IF($B1131="","",IF($AD1131&lt;&gt;"",$AD1131,IF($AC1131="","",IF($AC1131&lt;=設定!$C$3,0,$AC1131))))</f>
        <v/>
      </c>
      <c r="AF1131" s="14">
        <f>IF($B1131="","",IF(AND($AG1131&lt;&gt;"",$AI1131="",$AL1131=""),"保留中",IF($AL1131&lt;&gt;"",IF(N($AE1131)&gt;0,"支給済","不支給"),IF($AE1131="","要確認",IF($AE1131=0,"不支給","未処理")))))</f>
        <v/>
      </c>
      <c r="AG1131" s="12" t="n"/>
      <c r="AH1131" s="11" t="n"/>
      <c r="AI1131" s="11" t="n"/>
      <c r="AJ1131" s="11" t="n"/>
      <c r="AK1131" s="14">
        <f>IF(AND($AF1131="保留中",$AH1131&lt;&gt;""),TODAY()-$AH1131,"")</f>
        <v/>
      </c>
      <c r="AL1131" s="12" t="n"/>
      <c r="AM1131" s="14">
        <f>IF($B1131="","",IF($AQ1131="","対象年月が未入力／","")&amp;IF($B1131="","",IF($AP1131="","職員マスタに未登録の職員番号／",IF($AA1131="","標準報酬月額が未登録／","")&amp;IF(AND($AQ1131&lt;&gt;"",OR(AND(INDEX(職員マスタ!$G$6:$G$405,$AP1131)&lt;&gt;"",INDEX(職員マスタ!$G$6:$G$405,$AP1131)&gt;EOMONTH($AQ1131,0)),AND(INDEX(職員マスタ!$H$6:$H$405,$AP1131)&lt;&gt;"",INDEX(職員マスタ!$H$6:$H$405,$AP1131)&lt;$AQ1131))),"対象月が時短期間外／","")&amp;IF(AND(INDEX(職員マスタ!$K$6:$K$405,$AP1131)&lt;&gt;"",N($W1131)&gt;0,INDEX(職員マスタ!$K$6:$K$405,$AP1131)&lt;&gt;$W1131),"標準報酬月額が申請書と相違（台帳"&amp;TEXT(INDEX(職員マスタ!$K$6:$K$405,$AP1131),"#,##0")&amp;"円／申請書"&amp;TEXT($W1131,"#,##0")&amp;"円）／","")&amp;IF(AND(INDEX(職員マスタ!$F$6:$F$405,$AP1131)&lt;&gt;"",$AQ1131&lt;&gt;"",INDEX(職員マスタ!$F$6:$F$405,$AP1131)&lt;$AQ1131),"対象月に子が2歳到達済／","")&amp;IF(AND($H1131&lt;&gt;"",INDEX(職員マスタ!$B$6:$B$405,$AP1131)&lt;&gt;"",SUBSTITUTE(SUBSTITUTE($H1131," ","")," ","")&lt;&gt;SUBSTITUTE(SUBSTITUTE(INDEX(職員マスタ!$B$6:$B$405,$AP1131)," ","")," ","")),"氏名がマスタと相違／","")&amp;IF(AND($Q1131&lt;&gt;"",INDEX(職員マスタ!$E$6:$E$405,$AP1131)&lt;&gt;"",$Q1131&lt;&gt;INDEX(職員マスタ!$E$6:$E$405,$AP1131)),"子の生年月日がマスタと相違／","")&amp;IF(AND($L1131&lt;&gt;"",INDEX(職員マスタ!$G$6:$G$405,$AP1131)&lt;&gt;"",$L1131&lt;&gt;INDEX(職員マスタ!$G$6:$G$405,$AP1131)),"時短開始日がマスタと相違／","")&amp;IF(AND($M1131&lt;&gt;"",INDEX(職員マスタ!$H$6:$H$405,$AP1131)&lt;&gt;"",$M1131&lt;&gt;INDEX(職員マスタ!$H$6:$H$405,$AP1131)),"時短終了日がマスタと相違／","")))&amp;IF(AND($B1131&lt;&gt;"",$E1131=""),"報酬額が未入力／","")&amp;IF(N($U1131)&gt;0,"申請書に入力エラーが残っています／","")&amp;IF(AND($B1131&lt;&gt;"",$AQ1131&lt;&gt;""),IF(COUNTIFS($B$6:$B$3005,$B1131,$C$6:$C$3005,$C1131,$D$6:$D$3005,$D1131)&gt;1,"同じ月の請求が重複しています／",""),"")&amp;IF(AND(N($E1131)&gt;0,$AB1131&lt;&gt;"",$AB1131&lt;&gt;"×",$AE1131=0,$AD1131=""),"計算額が下限以下のため不支給／",""))</f>
        <v/>
      </c>
      <c r="AN1131" s="12" t="n"/>
      <c r="AO1131" s="14">
        <f>IF($AF1131="保留中",COUNTIF($AF$6:$AF1131,"保留中"),"")</f>
        <v/>
      </c>
      <c r="AP1131" s="14">
        <f>IF($AQ1131="","",IF(SUMPRODUCT(MAX((職員マスタ!$A$6:$A$405=$B1131)*(((職員マスタ!$G$6:$G$405="")+(職員マスタ!$G$6:$G$405&lt;=EOMONTH($AQ1131,0)))&gt;0)*(((職員マスタ!$H$6:$H$405="")+(職員マスタ!$H$6:$H$405&gt;=$AQ1131))&gt;0)*(ROW(職員マスタ!$A$6:$A$405)-5)))&gt;0,SUMPRODUCT(MAX((職員マスタ!$A$6:$A$405=$B1131)*(((職員マスタ!$G$6:$G$405="")+(職員マスタ!$G$6:$G$405&lt;=EOMONTH($AQ1131,0)))&gt;0)*(((職員マスタ!$H$6:$H$405="")+(職員マスタ!$H$6:$H$405&gt;=$AQ1131))&gt;0)*(ROW(職員マスタ!$A$6:$A$405)-5))),IFERROR(MATCH($B1131,職員マスタ!$A$6:$A$405,0),"")))</f>
        <v/>
      </c>
      <c r="AQ1131" s="16">
        <f>IF(OR($B1131="",$C1131="",$D1131=""),"",DATE($C1131+2018,$D1131,1))</f>
        <v/>
      </c>
    </row>
    <row r="1132">
      <c r="A1132" s="11" t="n"/>
      <c r="B1132" s="12" t="n"/>
      <c r="C1132" s="12" t="n"/>
      <c r="D1132" s="12" t="n"/>
      <c r="E1132" s="13" t="n"/>
      <c r="F1132" s="12" t="n"/>
      <c r="G1132" s="13" t="n"/>
      <c r="H1132" s="12" t="n"/>
      <c r="I1132" s="12" t="n"/>
      <c r="J1132" s="12" t="n"/>
      <c r="K1132" s="12" t="n"/>
      <c r="L1132" s="11" t="n"/>
      <c r="M1132" s="11" t="n"/>
      <c r="N1132" s="11" t="n"/>
      <c r="O1132" s="11" t="n"/>
      <c r="P1132" s="12" t="n"/>
      <c r="Q1132" s="11" t="n"/>
      <c r="R1132" s="12" t="n"/>
      <c r="S1132" s="11" t="n"/>
      <c r="T1132" s="12" t="n"/>
      <c r="U1132" s="12" t="n"/>
      <c r="V1132" s="12" t="n"/>
      <c r="W1132" s="13" t="n"/>
      <c r="X1132" s="14">
        <f>IF($AP1132="",IF($B1132="","",$H1132),IF(INDEX(職員マスタ!$B$6:$B$405,$AP1132)="",$H1132,INDEX(職員マスタ!$B$6:$B$405,$AP1132)))</f>
        <v/>
      </c>
      <c r="Y1132" s="14">
        <f>IF($AP1132="",IF($B1132="","",$R1132),IF(INDEX(職員マスタ!$C$6:$C$405,$AP1132)="",$R1132,INDEX(職員マスタ!$C$6:$C$405,$AP1132)))</f>
        <v/>
      </c>
      <c r="Z1132" s="14">
        <f>IF($AQ1132="","","R"&amp;$C1132&amp;"."&amp;$D1132)</f>
        <v/>
      </c>
      <c r="AA1132" s="15">
        <f>IF(IF($AP1132="",FALSE,INDEX(職員マスタ!$K$6:$K$405,$AP1132)&lt;&gt;""),INDEX(職員マスタ!$K$6:$K$405,$AP1132),IF(N($W1132)&gt;0,$W1132,""))</f>
        <v/>
      </c>
      <c r="AB1132" s="14">
        <f>IF(OR($E1132="",$AA1132=""),"",IF($E1132&gt;=$AA1132,"×",IF($E1132&gt;=$AA1132*設定!$C$5,"△","○")))</f>
        <v/>
      </c>
      <c r="AC1132" s="15">
        <f>IF($AB1132="","",IF($AB1132="×",0,IF($AB1132="○",ROUNDDOWN($E1132*設定!$C$4,0),ROUNDDOWN($E1132*ROUND((9*$AA1132-9*$E1132)/(10*$E1132),4),0))))</f>
        <v/>
      </c>
      <c r="AD1132" s="13" t="n"/>
      <c r="AE1132" s="15">
        <f>IF($B1132="","",IF($AD1132&lt;&gt;"",$AD1132,IF($AC1132="","",IF($AC1132&lt;=設定!$C$3,0,$AC1132))))</f>
        <v/>
      </c>
      <c r="AF1132" s="14">
        <f>IF($B1132="","",IF(AND($AG1132&lt;&gt;"",$AI1132="",$AL1132=""),"保留中",IF($AL1132&lt;&gt;"",IF(N($AE1132)&gt;0,"支給済","不支給"),IF($AE1132="","要確認",IF($AE1132=0,"不支給","未処理")))))</f>
        <v/>
      </c>
      <c r="AG1132" s="12" t="n"/>
      <c r="AH1132" s="11" t="n"/>
      <c r="AI1132" s="11" t="n"/>
      <c r="AJ1132" s="11" t="n"/>
      <c r="AK1132" s="14">
        <f>IF(AND($AF1132="保留中",$AH1132&lt;&gt;""),TODAY()-$AH1132,"")</f>
        <v/>
      </c>
      <c r="AL1132" s="12" t="n"/>
      <c r="AM1132" s="14">
        <f>IF($B1132="","",IF($AQ1132="","対象年月が未入力／","")&amp;IF($B1132="","",IF($AP1132="","職員マスタに未登録の職員番号／",IF($AA1132="","標準報酬月額が未登録／","")&amp;IF(AND($AQ1132&lt;&gt;"",OR(AND(INDEX(職員マスタ!$G$6:$G$405,$AP1132)&lt;&gt;"",INDEX(職員マスタ!$G$6:$G$405,$AP1132)&gt;EOMONTH($AQ1132,0)),AND(INDEX(職員マスタ!$H$6:$H$405,$AP1132)&lt;&gt;"",INDEX(職員マスタ!$H$6:$H$405,$AP1132)&lt;$AQ1132))),"対象月が時短期間外／","")&amp;IF(AND(INDEX(職員マスタ!$K$6:$K$405,$AP1132)&lt;&gt;"",N($W1132)&gt;0,INDEX(職員マスタ!$K$6:$K$405,$AP1132)&lt;&gt;$W1132),"標準報酬月額が申請書と相違（台帳"&amp;TEXT(INDEX(職員マスタ!$K$6:$K$405,$AP1132),"#,##0")&amp;"円／申請書"&amp;TEXT($W1132,"#,##0")&amp;"円）／","")&amp;IF(AND(INDEX(職員マスタ!$F$6:$F$405,$AP1132)&lt;&gt;"",$AQ1132&lt;&gt;"",INDEX(職員マスタ!$F$6:$F$405,$AP1132)&lt;$AQ1132),"対象月に子が2歳到達済／","")&amp;IF(AND($H1132&lt;&gt;"",INDEX(職員マスタ!$B$6:$B$405,$AP1132)&lt;&gt;"",SUBSTITUTE(SUBSTITUTE($H1132," ","")," ","")&lt;&gt;SUBSTITUTE(SUBSTITUTE(INDEX(職員マスタ!$B$6:$B$405,$AP1132)," ","")," ","")),"氏名がマスタと相違／","")&amp;IF(AND($Q1132&lt;&gt;"",INDEX(職員マスタ!$E$6:$E$405,$AP1132)&lt;&gt;"",$Q1132&lt;&gt;INDEX(職員マスタ!$E$6:$E$405,$AP1132)),"子の生年月日がマスタと相違／","")&amp;IF(AND($L1132&lt;&gt;"",INDEX(職員マスタ!$G$6:$G$405,$AP1132)&lt;&gt;"",$L1132&lt;&gt;INDEX(職員マスタ!$G$6:$G$405,$AP1132)),"時短開始日がマスタと相違／","")&amp;IF(AND($M1132&lt;&gt;"",INDEX(職員マスタ!$H$6:$H$405,$AP1132)&lt;&gt;"",$M1132&lt;&gt;INDEX(職員マスタ!$H$6:$H$405,$AP1132)),"時短終了日がマスタと相違／","")))&amp;IF(AND($B1132&lt;&gt;"",$E1132=""),"報酬額が未入力／","")&amp;IF(N($U1132)&gt;0,"申請書に入力エラーが残っています／","")&amp;IF(AND($B1132&lt;&gt;"",$AQ1132&lt;&gt;""),IF(COUNTIFS($B$6:$B$3005,$B1132,$C$6:$C$3005,$C1132,$D$6:$D$3005,$D1132)&gt;1,"同じ月の請求が重複しています／",""),"")&amp;IF(AND(N($E1132)&gt;0,$AB1132&lt;&gt;"",$AB1132&lt;&gt;"×",$AE1132=0,$AD1132=""),"計算額が下限以下のため不支給／",""))</f>
        <v/>
      </c>
      <c r="AN1132" s="12" t="n"/>
      <c r="AO1132" s="14">
        <f>IF($AF1132="保留中",COUNTIF($AF$6:$AF1132,"保留中"),"")</f>
        <v/>
      </c>
      <c r="AP1132" s="14">
        <f>IF($AQ1132="","",IF(SUMPRODUCT(MAX((職員マスタ!$A$6:$A$405=$B1132)*(((職員マスタ!$G$6:$G$405="")+(職員マスタ!$G$6:$G$405&lt;=EOMONTH($AQ1132,0)))&gt;0)*(((職員マスタ!$H$6:$H$405="")+(職員マスタ!$H$6:$H$405&gt;=$AQ1132))&gt;0)*(ROW(職員マスタ!$A$6:$A$405)-5)))&gt;0,SUMPRODUCT(MAX((職員マスタ!$A$6:$A$405=$B1132)*(((職員マスタ!$G$6:$G$405="")+(職員マスタ!$G$6:$G$405&lt;=EOMONTH($AQ1132,0)))&gt;0)*(((職員マスタ!$H$6:$H$405="")+(職員マスタ!$H$6:$H$405&gt;=$AQ1132))&gt;0)*(ROW(職員マスタ!$A$6:$A$405)-5))),IFERROR(MATCH($B1132,職員マスタ!$A$6:$A$405,0),"")))</f>
        <v/>
      </c>
      <c r="AQ1132" s="16">
        <f>IF(OR($B1132="",$C1132="",$D1132=""),"",DATE($C1132+2018,$D1132,1))</f>
        <v/>
      </c>
    </row>
    <row r="1133">
      <c r="A1133" s="11" t="n"/>
      <c r="B1133" s="12" t="n"/>
      <c r="C1133" s="12" t="n"/>
      <c r="D1133" s="12" t="n"/>
      <c r="E1133" s="13" t="n"/>
      <c r="F1133" s="12" t="n"/>
      <c r="G1133" s="13" t="n"/>
      <c r="H1133" s="12" t="n"/>
      <c r="I1133" s="12" t="n"/>
      <c r="J1133" s="12" t="n"/>
      <c r="K1133" s="12" t="n"/>
      <c r="L1133" s="11" t="n"/>
      <c r="M1133" s="11" t="n"/>
      <c r="N1133" s="11" t="n"/>
      <c r="O1133" s="11" t="n"/>
      <c r="P1133" s="12" t="n"/>
      <c r="Q1133" s="11" t="n"/>
      <c r="R1133" s="12" t="n"/>
      <c r="S1133" s="11" t="n"/>
      <c r="T1133" s="12" t="n"/>
      <c r="U1133" s="12" t="n"/>
      <c r="V1133" s="12" t="n"/>
      <c r="W1133" s="13" t="n"/>
      <c r="X1133" s="14">
        <f>IF($AP1133="",IF($B1133="","",$H1133),IF(INDEX(職員マスタ!$B$6:$B$405,$AP1133)="",$H1133,INDEX(職員マスタ!$B$6:$B$405,$AP1133)))</f>
        <v/>
      </c>
      <c r="Y1133" s="14">
        <f>IF($AP1133="",IF($B1133="","",$R1133),IF(INDEX(職員マスタ!$C$6:$C$405,$AP1133)="",$R1133,INDEX(職員マスタ!$C$6:$C$405,$AP1133)))</f>
        <v/>
      </c>
      <c r="Z1133" s="14">
        <f>IF($AQ1133="","","R"&amp;$C1133&amp;"."&amp;$D1133)</f>
        <v/>
      </c>
      <c r="AA1133" s="15">
        <f>IF(IF($AP1133="",FALSE,INDEX(職員マスタ!$K$6:$K$405,$AP1133)&lt;&gt;""),INDEX(職員マスタ!$K$6:$K$405,$AP1133),IF(N($W1133)&gt;0,$W1133,""))</f>
        <v/>
      </c>
      <c r="AB1133" s="14">
        <f>IF(OR($E1133="",$AA1133=""),"",IF($E1133&gt;=$AA1133,"×",IF($E1133&gt;=$AA1133*設定!$C$5,"△","○")))</f>
        <v/>
      </c>
      <c r="AC1133" s="15">
        <f>IF($AB1133="","",IF($AB1133="×",0,IF($AB1133="○",ROUNDDOWN($E1133*設定!$C$4,0),ROUNDDOWN($E1133*ROUND((9*$AA1133-9*$E1133)/(10*$E1133),4),0))))</f>
        <v/>
      </c>
      <c r="AD1133" s="13" t="n"/>
      <c r="AE1133" s="15">
        <f>IF($B1133="","",IF($AD1133&lt;&gt;"",$AD1133,IF($AC1133="","",IF($AC1133&lt;=設定!$C$3,0,$AC1133))))</f>
        <v/>
      </c>
      <c r="AF1133" s="14">
        <f>IF($B1133="","",IF(AND($AG1133&lt;&gt;"",$AI1133="",$AL1133=""),"保留中",IF($AL1133&lt;&gt;"",IF(N($AE1133)&gt;0,"支給済","不支給"),IF($AE1133="","要確認",IF($AE1133=0,"不支給","未処理")))))</f>
        <v/>
      </c>
      <c r="AG1133" s="12" t="n"/>
      <c r="AH1133" s="11" t="n"/>
      <c r="AI1133" s="11" t="n"/>
      <c r="AJ1133" s="11" t="n"/>
      <c r="AK1133" s="14">
        <f>IF(AND($AF1133="保留中",$AH1133&lt;&gt;""),TODAY()-$AH1133,"")</f>
        <v/>
      </c>
      <c r="AL1133" s="12" t="n"/>
      <c r="AM1133" s="14">
        <f>IF($B1133="","",IF($AQ1133="","対象年月が未入力／","")&amp;IF($B1133="","",IF($AP1133="","職員マスタに未登録の職員番号／",IF($AA1133="","標準報酬月額が未登録／","")&amp;IF(AND($AQ1133&lt;&gt;"",OR(AND(INDEX(職員マスタ!$G$6:$G$405,$AP1133)&lt;&gt;"",INDEX(職員マスタ!$G$6:$G$405,$AP1133)&gt;EOMONTH($AQ1133,0)),AND(INDEX(職員マスタ!$H$6:$H$405,$AP1133)&lt;&gt;"",INDEX(職員マスタ!$H$6:$H$405,$AP1133)&lt;$AQ1133))),"対象月が時短期間外／","")&amp;IF(AND(INDEX(職員マスタ!$K$6:$K$405,$AP1133)&lt;&gt;"",N($W1133)&gt;0,INDEX(職員マスタ!$K$6:$K$405,$AP1133)&lt;&gt;$W1133),"標準報酬月額が申請書と相違（台帳"&amp;TEXT(INDEX(職員マスタ!$K$6:$K$405,$AP1133),"#,##0")&amp;"円／申請書"&amp;TEXT($W1133,"#,##0")&amp;"円）／","")&amp;IF(AND(INDEX(職員マスタ!$F$6:$F$405,$AP1133)&lt;&gt;"",$AQ1133&lt;&gt;"",INDEX(職員マスタ!$F$6:$F$405,$AP1133)&lt;$AQ1133),"対象月に子が2歳到達済／","")&amp;IF(AND($H1133&lt;&gt;"",INDEX(職員マスタ!$B$6:$B$405,$AP1133)&lt;&gt;"",SUBSTITUTE(SUBSTITUTE($H1133," ","")," ","")&lt;&gt;SUBSTITUTE(SUBSTITUTE(INDEX(職員マスタ!$B$6:$B$405,$AP1133)," ","")," ","")),"氏名がマスタと相違／","")&amp;IF(AND($Q1133&lt;&gt;"",INDEX(職員マスタ!$E$6:$E$405,$AP1133)&lt;&gt;"",$Q1133&lt;&gt;INDEX(職員マスタ!$E$6:$E$405,$AP1133)),"子の生年月日がマスタと相違／","")&amp;IF(AND($L1133&lt;&gt;"",INDEX(職員マスタ!$G$6:$G$405,$AP1133)&lt;&gt;"",$L1133&lt;&gt;INDEX(職員マスタ!$G$6:$G$405,$AP1133)),"時短開始日がマスタと相違／","")&amp;IF(AND($M1133&lt;&gt;"",INDEX(職員マスタ!$H$6:$H$405,$AP1133)&lt;&gt;"",$M1133&lt;&gt;INDEX(職員マスタ!$H$6:$H$405,$AP1133)),"時短終了日がマスタと相違／","")))&amp;IF(AND($B1133&lt;&gt;"",$E1133=""),"報酬額が未入力／","")&amp;IF(N($U1133)&gt;0,"申請書に入力エラーが残っています／","")&amp;IF(AND($B1133&lt;&gt;"",$AQ1133&lt;&gt;""),IF(COUNTIFS($B$6:$B$3005,$B1133,$C$6:$C$3005,$C1133,$D$6:$D$3005,$D1133)&gt;1,"同じ月の請求が重複しています／",""),"")&amp;IF(AND(N($E1133)&gt;0,$AB1133&lt;&gt;"",$AB1133&lt;&gt;"×",$AE1133=0,$AD1133=""),"計算額が下限以下のため不支給／",""))</f>
        <v/>
      </c>
      <c r="AN1133" s="12" t="n"/>
      <c r="AO1133" s="14">
        <f>IF($AF1133="保留中",COUNTIF($AF$6:$AF1133,"保留中"),"")</f>
        <v/>
      </c>
      <c r="AP1133" s="14">
        <f>IF($AQ1133="","",IF(SUMPRODUCT(MAX((職員マスタ!$A$6:$A$405=$B1133)*(((職員マスタ!$G$6:$G$405="")+(職員マスタ!$G$6:$G$405&lt;=EOMONTH($AQ1133,0)))&gt;0)*(((職員マスタ!$H$6:$H$405="")+(職員マスタ!$H$6:$H$405&gt;=$AQ1133))&gt;0)*(ROW(職員マスタ!$A$6:$A$405)-5)))&gt;0,SUMPRODUCT(MAX((職員マスタ!$A$6:$A$405=$B1133)*(((職員マスタ!$G$6:$G$405="")+(職員マスタ!$G$6:$G$405&lt;=EOMONTH($AQ1133,0)))&gt;0)*(((職員マスタ!$H$6:$H$405="")+(職員マスタ!$H$6:$H$405&gt;=$AQ1133))&gt;0)*(ROW(職員マスタ!$A$6:$A$405)-5))),IFERROR(MATCH($B1133,職員マスタ!$A$6:$A$405,0),"")))</f>
        <v/>
      </c>
      <c r="AQ1133" s="16">
        <f>IF(OR($B1133="",$C1133="",$D1133=""),"",DATE($C1133+2018,$D1133,1))</f>
        <v/>
      </c>
    </row>
    <row r="1134">
      <c r="A1134" s="11" t="n"/>
      <c r="B1134" s="12" t="n"/>
      <c r="C1134" s="12" t="n"/>
      <c r="D1134" s="12" t="n"/>
      <c r="E1134" s="13" t="n"/>
      <c r="F1134" s="12" t="n"/>
      <c r="G1134" s="13" t="n"/>
      <c r="H1134" s="12" t="n"/>
      <c r="I1134" s="12" t="n"/>
      <c r="J1134" s="12" t="n"/>
      <c r="K1134" s="12" t="n"/>
      <c r="L1134" s="11" t="n"/>
      <c r="M1134" s="11" t="n"/>
      <c r="N1134" s="11" t="n"/>
      <c r="O1134" s="11" t="n"/>
      <c r="P1134" s="12" t="n"/>
      <c r="Q1134" s="11" t="n"/>
      <c r="R1134" s="12" t="n"/>
      <c r="S1134" s="11" t="n"/>
      <c r="T1134" s="12" t="n"/>
      <c r="U1134" s="12" t="n"/>
      <c r="V1134" s="12" t="n"/>
      <c r="W1134" s="13" t="n"/>
      <c r="X1134" s="14">
        <f>IF($AP1134="",IF($B1134="","",$H1134),IF(INDEX(職員マスタ!$B$6:$B$405,$AP1134)="",$H1134,INDEX(職員マスタ!$B$6:$B$405,$AP1134)))</f>
        <v/>
      </c>
      <c r="Y1134" s="14">
        <f>IF($AP1134="",IF($B1134="","",$R1134),IF(INDEX(職員マスタ!$C$6:$C$405,$AP1134)="",$R1134,INDEX(職員マスタ!$C$6:$C$405,$AP1134)))</f>
        <v/>
      </c>
      <c r="Z1134" s="14">
        <f>IF($AQ1134="","","R"&amp;$C1134&amp;"."&amp;$D1134)</f>
        <v/>
      </c>
      <c r="AA1134" s="15">
        <f>IF(IF($AP1134="",FALSE,INDEX(職員マスタ!$K$6:$K$405,$AP1134)&lt;&gt;""),INDEX(職員マスタ!$K$6:$K$405,$AP1134),IF(N($W1134)&gt;0,$W1134,""))</f>
        <v/>
      </c>
      <c r="AB1134" s="14">
        <f>IF(OR($E1134="",$AA1134=""),"",IF($E1134&gt;=$AA1134,"×",IF($E1134&gt;=$AA1134*設定!$C$5,"△","○")))</f>
        <v/>
      </c>
      <c r="AC1134" s="15">
        <f>IF($AB1134="","",IF($AB1134="×",0,IF($AB1134="○",ROUNDDOWN($E1134*設定!$C$4,0),ROUNDDOWN($E1134*ROUND((9*$AA1134-9*$E1134)/(10*$E1134),4),0))))</f>
        <v/>
      </c>
      <c r="AD1134" s="13" t="n"/>
      <c r="AE1134" s="15">
        <f>IF($B1134="","",IF($AD1134&lt;&gt;"",$AD1134,IF($AC1134="","",IF($AC1134&lt;=設定!$C$3,0,$AC1134))))</f>
        <v/>
      </c>
      <c r="AF1134" s="14">
        <f>IF($B1134="","",IF(AND($AG1134&lt;&gt;"",$AI1134="",$AL1134=""),"保留中",IF($AL1134&lt;&gt;"",IF(N($AE1134)&gt;0,"支給済","不支給"),IF($AE1134="","要確認",IF($AE1134=0,"不支給","未処理")))))</f>
        <v/>
      </c>
      <c r="AG1134" s="12" t="n"/>
      <c r="AH1134" s="11" t="n"/>
      <c r="AI1134" s="11" t="n"/>
      <c r="AJ1134" s="11" t="n"/>
      <c r="AK1134" s="14">
        <f>IF(AND($AF1134="保留中",$AH1134&lt;&gt;""),TODAY()-$AH1134,"")</f>
        <v/>
      </c>
      <c r="AL1134" s="12" t="n"/>
      <c r="AM1134" s="14">
        <f>IF($B1134="","",IF($AQ1134="","対象年月が未入力／","")&amp;IF($B1134="","",IF($AP1134="","職員マスタに未登録の職員番号／",IF($AA1134="","標準報酬月額が未登録／","")&amp;IF(AND($AQ1134&lt;&gt;"",OR(AND(INDEX(職員マスタ!$G$6:$G$405,$AP1134)&lt;&gt;"",INDEX(職員マスタ!$G$6:$G$405,$AP1134)&gt;EOMONTH($AQ1134,0)),AND(INDEX(職員マスタ!$H$6:$H$405,$AP1134)&lt;&gt;"",INDEX(職員マスタ!$H$6:$H$405,$AP1134)&lt;$AQ1134))),"対象月が時短期間外／","")&amp;IF(AND(INDEX(職員マスタ!$K$6:$K$405,$AP1134)&lt;&gt;"",N($W1134)&gt;0,INDEX(職員マスタ!$K$6:$K$405,$AP1134)&lt;&gt;$W1134),"標準報酬月額が申請書と相違（台帳"&amp;TEXT(INDEX(職員マスタ!$K$6:$K$405,$AP1134),"#,##0")&amp;"円／申請書"&amp;TEXT($W1134,"#,##0")&amp;"円）／","")&amp;IF(AND(INDEX(職員マスタ!$F$6:$F$405,$AP1134)&lt;&gt;"",$AQ1134&lt;&gt;"",INDEX(職員マスタ!$F$6:$F$405,$AP1134)&lt;$AQ1134),"対象月に子が2歳到達済／","")&amp;IF(AND($H1134&lt;&gt;"",INDEX(職員マスタ!$B$6:$B$405,$AP1134)&lt;&gt;"",SUBSTITUTE(SUBSTITUTE($H1134," ","")," ","")&lt;&gt;SUBSTITUTE(SUBSTITUTE(INDEX(職員マスタ!$B$6:$B$405,$AP1134)," ","")," ","")),"氏名がマスタと相違／","")&amp;IF(AND($Q1134&lt;&gt;"",INDEX(職員マスタ!$E$6:$E$405,$AP1134)&lt;&gt;"",$Q1134&lt;&gt;INDEX(職員マスタ!$E$6:$E$405,$AP1134)),"子の生年月日がマスタと相違／","")&amp;IF(AND($L1134&lt;&gt;"",INDEX(職員マスタ!$G$6:$G$405,$AP1134)&lt;&gt;"",$L1134&lt;&gt;INDEX(職員マスタ!$G$6:$G$405,$AP1134)),"時短開始日がマスタと相違／","")&amp;IF(AND($M1134&lt;&gt;"",INDEX(職員マスタ!$H$6:$H$405,$AP1134)&lt;&gt;"",$M1134&lt;&gt;INDEX(職員マスタ!$H$6:$H$405,$AP1134)),"時短終了日がマスタと相違／","")))&amp;IF(AND($B1134&lt;&gt;"",$E1134=""),"報酬額が未入力／","")&amp;IF(N($U1134)&gt;0,"申請書に入力エラーが残っています／","")&amp;IF(AND($B1134&lt;&gt;"",$AQ1134&lt;&gt;""),IF(COUNTIFS($B$6:$B$3005,$B1134,$C$6:$C$3005,$C1134,$D$6:$D$3005,$D1134)&gt;1,"同じ月の請求が重複しています／",""),"")&amp;IF(AND(N($E1134)&gt;0,$AB1134&lt;&gt;"",$AB1134&lt;&gt;"×",$AE1134=0,$AD1134=""),"計算額が下限以下のため不支給／",""))</f>
        <v/>
      </c>
      <c r="AN1134" s="12" t="n"/>
      <c r="AO1134" s="14">
        <f>IF($AF1134="保留中",COUNTIF($AF$6:$AF1134,"保留中"),"")</f>
        <v/>
      </c>
      <c r="AP1134" s="14">
        <f>IF($AQ1134="","",IF(SUMPRODUCT(MAX((職員マスタ!$A$6:$A$405=$B1134)*(((職員マスタ!$G$6:$G$405="")+(職員マスタ!$G$6:$G$405&lt;=EOMONTH($AQ1134,0)))&gt;0)*(((職員マスタ!$H$6:$H$405="")+(職員マスタ!$H$6:$H$405&gt;=$AQ1134))&gt;0)*(ROW(職員マスタ!$A$6:$A$405)-5)))&gt;0,SUMPRODUCT(MAX((職員マスタ!$A$6:$A$405=$B1134)*(((職員マスタ!$G$6:$G$405="")+(職員マスタ!$G$6:$G$405&lt;=EOMONTH($AQ1134,0)))&gt;0)*(((職員マスタ!$H$6:$H$405="")+(職員マスタ!$H$6:$H$405&gt;=$AQ1134))&gt;0)*(ROW(職員マスタ!$A$6:$A$405)-5))),IFERROR(MATCH($B1134,職員マスタ!$A$6:$A$405,0),"")))</f>
        <v/>
      </c>
      <c r="AQ1134" s="16">
        <f>IF(OR($B1134="",$C1134="",$D1134=""),"",DATE($C1134+2018,$D1134,1))</f>
        <v/>
      </c>
    </row>
    <row r="1135">
      <c r="A1135" s="11" t="n"/>
      <c r="B1135" s="12" t="n"/>
      <c r="C1135" s="12" t="n"/>
      <c r="D1135" s="12" t="n"/>
      <c r="E1135" s="13" t="n"/>
      <c r="F1135" s="12" t="n"/>
      <c r="G1135" s="13" t="n"/>
      <c r="H1135" s="12" t="n"/>
      <c r="I1135" s="12" t="n"/>
      <c r="J1135" s="12" t="n"/>
      <c r="K1135" s="12" t="n"/>
      <c r="L1135" s="11" t="n"/>
      <c r="M1135" s="11" t="n"/>
      <c r="N1135" s="11" t="n"/>
      <c r="O1135" s="11" t="n"/>
      <c r="P1135" s="12" t="n"/>
      <c r="Q1135" s="11" t="n"/>
      <c r="R1135" s="12" t="n"/>
      <c r="S1135" s="11" t="n"/>
      <c r="T1135" s="12" t="n"/>
      <c r="U1135" s="12" t="n"/>
      <c r="V1135" s="12" t="n"/>
      <c r="W1135" s="13" t="n"/>
      <c r="X1135" s="14">
        <f>IF($AP1135="",IF($B1135="","",$H1135),IF(INDEX(職員マスタ!$B$6:$B$405,$AP1135)="",$H1135,INDEX(職員マスタ!$B$6:$B$405,$AP1135)))</f>
        <v/>
      </c>
      <c r="Y1135" s="14">
        <f>IF($AP1135="",IF($B1135="","",$R1135),IF(INDEX(職員マスタ!$C$6:$C$405,$AP1135)="",$R1135,INDEX(職員マスタ!$C$6:$C$405,$AP1135)))</f>
        <v/>
      </c>
      <c r="Z1135" s="14">
        <f>IF($AQ1135="","","R"&amp;$C1135&amp;"."&amp;$D1135)</f>
        <v/>
      </c>
      <c r="AA1135" s="15">
        <f>IF(IF($AP1135="",FALSE,INDEX(職員マスタ!$K$6:$K$405,$AP1135)&lt;&gt;""),INDEX(職員マスタ!$K$6:$K$405,$AP1135),IF(N($W1135)&gt;0,$W1135,""))</f>
        <v/>
      </c>
      <c r="AB1135" s="14">
        <f>IF(OR($E1135="",$AA1135=""),"",IF($E1135&gt;=$AA1135,"×",IF($E1135&gt;=$AA1135*設定!$C$5,"△","○")))</f>
        <v/>
      </c>
      <c r="AC1135" s="15">
        <f>IF($AB1135="","",IF($AB1135="×",0,IF($AB1135="○",ROUNDDOWN($E1135*設定!$C$4,0),ROUNDDOWN($E1135*ROUND((9*$AA1135-9*$E1135)/(10*$E1135),4),0))))</f>
        <v/>
      </c>
      <c r="AD1135" s="13" t="n"/>
      <c r="AE1135" s="15">
        <f>IF($B1135="","",IF($AD1135&lt;&gt;"",$AD1135,IF($AC1135="","",IF($AC1135&lt;=設定!$C$3,0,$AC1135))))</f>
        <v/>
      </c>
      <c r="AF1135" s="14">
        <f>IF($B1135="","",IF(AND($AG1135&lt;&gt;"",$AI1135="",$AL1135=""),"保留中",IF($AL1135&lt;&gt;"",IF(N($AE1135)&gt;0,"支給済","不支給"),IF($AE1135="","要確認",IF($AE1135=0,"不支給","未処理")))))</f>
        <v/>
      </c>
      <c r="AG1135" s="12" t="n"/>
      <c r="AH1135" s="11" t="n"/>
      <c r="AI1135" s="11" t="n"/>
      <c r="AJ1135" s="11" t="n"/>
      <c r="AK1135" s="14">
        <f>IF(AND($AF1135="保留中",$AH1135&lt;&gt;""),TODAY()-$AH1135,"")</f>
        <v/>
      </c>
      <c r="AL1135" s="12" t="n"/>
      <c r="AM1135" s="14">
        <f>IF($B1135="","",IF($AQ1135="","対象年月が未入力／","")&amp;IF($B1135="","",IF($AP1135="","職員マスタに未登録の職員番号／",IF($AA1135="","標準報酬月額が未登録／","")&amp;IF(AND($AQ1135&lt;&gt;"",OR(AND(INDEX(職員マスタ!$G$6:$G$405,$AP1135)&lt;&gt;"",INDEX(職員マスタ!$G$6:$G$405,$AP1135)&gt;EOMONTH($AQ1135,0)),AND(INDEX(職員マスタ!$H$6:$H$405,$AP1135)&lt;&gt;"",INDEX(職員マスタ!$H$6:$H$405,$AP1135)&lt;$AQ1135))),"対象月が時短期間外／","")&amp;IF(AND(INDEX(職員マスタ!$K$6:$K$405,$AP1135)&lt;&gt;"",N($W1135)&gt;0,INDEX(職員マスタ!$K$6:$K$405,$AP1135)&lt;&gt;$W1135),"標準報酬月額が申請書と相違（台帳"&amp;TEXT(INDEX(職員マスタ!$K$6:$K$405,$AP1135),"#,##0")&amp;"円／申請書"&amp;TEXT($W1135,"#,##0")&amp;"円）／","")&amp;IF(AND(INDEX(職員マスタ!$F$6:$F$405,$AP1135)&lt;&gt;"",$AQ1135&lt;&gt;"",INDEX(職員マスタ!$F$6:$F$405,$AP1135)&lt;$AQ1135),"対象月に子が2歳到達済／","")&amp;IF(AND($H1135&lt;&gt;"",INDEX(職員マスタ!$B$6:$B$405,$AP1135)&lt;&gt;"",SUBSTITUTE(SUBSTITUTE($H1135," ","")," ","")&lt;&gt;SUBSTITUTE(SUBSTITUTE(INDEX(職員マスタ!$B$6:$B$405,$AP1135)," ","")," ","")),"氏名がマスタと相違／","")&amp;IF(AND($Q1135&lt;&gt;"",INDEX(職員マスタ!$E$6:$E$405,$AP1135)&lt;&gt;"",$Q1135&lt;&gt;INDEX(職員マスタ!$E$6:$E$405,$AP1135)),"子の生年月日がマスタと相違／","")&amp;IF(AND($L1135&lt;&gt;"",INDEX(職員マスタ!$G$6:$G$405,$AP1135)&lt;&gt;"",$L1135&lt;&gt;INDEX(職員マスタ!$G$6:$G$405,$AP1135)),"時短開始日がマスタと相違／","")&amp;IF(AND($M1135&lt;&gt;"",INDEX(職員マスタ!$H$6:$H$405,$AP1135)&lt;&gt;"",$M1135&lt;&gt;INDEX(職員マスタ!$H$6:$H$405,$AP1135)),"時短終了日がマスタと相違／","")))&amp;IF(AND($B1135&lt;&gt;"",$E1135=""),"報酬額が未入力／","")&amp;IF(N($U1135)&gt;0,"申請書に入力エラーが残っています／","")&amp;IF(AND($B1135&lt;&gt;"",$AQ1135&lt;&gt;""),IF(COUNTIFS($B$6:$B$3005,$B1135,$C$6:$C$3005,$C1135,$D$6:$D$3005,$D1135)&gt;1,"同じ月の請求が重複しています／",""),"")&amp;IF(AND(N($E1135)&gt;0,$AB1135&lt;&gt;"",$AB1135&lt;&gt;"×",$AE1135=0,$AD1135=""),"計算額が下限以下のため不支給／",""))</f>
        <v/>
      </c>
      <c r="AN1135" s="12" t="n"/>
      <c r="AO1135" s="14">
        <f>IF($AF1135="保留中",COUNTIF($AF$6:$AF1135,"保留中"),"")</f>
        <v/>
      </c>
      <c r="AP1135" s="14">
        <f>IF($AQ1135="","",IF(SUMPRODUCT(MAX((職員マスタ!$A$6:$A$405=$B1135)*(((職員マスタ!$G$6:$G$405="")+(職員マスタ!$G$6:$G$405&lt;=EOMONTH($AQ1135,0)))&gt;0)*(((職員マスタ!$H$6:$H$405="")+(職員マスタ!$H$6:$H$405&gt;=$AQ1135))&gt;0)*(ROW(職員マスタ!$A$6:$A$405)-5)))&gt;0,SUMPRODUCT(MAX((職員マスタ!$A$6:$A$405=$B1135)*(((職員マスタ!$G$6:$G$405="")+(職員マスタ!$G$6:$G$405&lt;=EOMONTH($AQ1135,0)))&gt;0)*(((職員マスタ!$H$6:$H$405="")+(職員マスタ!$H$6:$H$405&gt;=$AQ1135))&gt;0)*(ROW(職員マスタ!$A$6:$A$405)-5))),IFERROR(MATCH($B1135,職員マスタ!$A$6:$A$405,0),"")))</f>
        <v/>
      </c>
      <c r="AQ1135" s="16">
        <f>IF(OR($B1135="",$C1135="",$D1135=""),"",DATE($C1135+2018,$D1135,1))</f>
        <v/>
      </c>
    </row>
    <row r="1136">
      <c r="A1136" s="11" t="n"/>
      <c r="B1136" s="12" t="n"/>
      <c r="C1136" s="12" t="n"/>
      <c r="D1136" s="12" t="n"/>
      <c r="E1136" s="13" t="n"/>
      <c r="F1136" s="12" t="n"/>
      <c r="G1136" s="13" t="n"/>
      <c r="H1136" s="12" t="n"/>
      <c r="I1136" s="12" t="n"/>
      <c r="J1136" s="12" t="n"/>
      <c r="K1136" s="12" t="n"/>
      <c r="L1136" s="11" t="n"/>
      <c r="M1136" s="11" t="n"/>
      <c r="N1136" s="11" t="n"/>
      <c r="O1136" s="11" t="n"/>
      <c r="P1136" s="12" t="n"/>
      <c r="Q1136" s="11" t="n"/>
      <c r="R1136" s="12" t="n"/>
      <c r="S1136" s="11" t="n"/>
      <c r="T1136" s="12" t="n"/>
      <c r="U1136" s="12" t="n"/>
      <c r="V1136" s="12" t="n"/>
      <c r="W1136" s="13" t="n"/>
      <c r="X1136" s="14">
        <f>IF($AP1136="",IF($B1136="","",$H1136),IF(INDEX(職員マスタ!$B$6:$B$405,$AP1136)="",$H1136,INDEX(職員マスタ!$B$6:$B$405,$AP1136)))</f>
        <v/>
      </c>
      <c r="Y1136" s="14">
        <f>IF($AP1136="",IF($B1136="","",$R1136),IF(INDEX(職員マスタ!$C$6:$C$405,$AP1136)="",$R1136,INDEX(職員マスタ!$C$6:$C$405,$AP1136)))</f>
        <v/>
      </c>
      <c r="Z1136" s="14">
        <f>IF($AQ1136="","","R"&amp;$C1136&amp;"."&amp;$D1136)</f>
        <v/>
      </c>
      <c r="AA1136" s="15">
        <f>IF(IF($AP1136="",FALSE,INDEX(職員マスタ!$K$6:$K$405,$AP1136)&lt;&gt;""),INDEX(職員マスタ!$K$6:$K$405,$AP1136),IF(N($W1136)&gt;0,$W1136,""))</f>
        <v/>
      </c>
      <c r="AB1136" s="14">
        <f>IF(OR($E1136="",$AA1136=""),"",IF($E1136&gt;=$AA1136,"×",IF($E1136&gt;=$AA1136*設定!$C$5,"△","○")))</f>
        <v/>
      </c>
      <c r="AC1136" s="15">
        <f>IF($AB1136="","",IF($AB1136="×",0,IF($AB1136="○",ROUNDDOWN($E1136*設定!$C$4,0),ROUNDDOWN($E1136*ROUND((9*$AA1136-9*$E1136)/(10*$E1136),4),0))))</f>
        <v/>
      </c>
      <c r="AD1136" s="13" t="n"/>
      <c r="AE1136" s="15">
        <f>IF($B1136="","",IF($AD1136&lt;&gt;"",$AD1136,IF($AC1136="","",IF($AC1136&lt;=設定!$C$3,0,$AC1136))))</f>
        <v/>
      </c>
      <c r="AF1136" s="14">
        <f>IF($B1136="","",IF(AND($AG1136&lt;&gt;"",$AI1136="",$AL1136=""),"保留中",IF($AL1136&lt;&gt;"",IF(N($AE1136)&gt;0,"支給済","不支給"),IF($AE1136="","要確認",IF($AE1136=0,"不支給","未処理")))))</f>
        <v/>
      </c>
      <c r="AG1136" s="12" t="n"/>
      <c r="AH1136" s="11" t="n"/>
      <c r="AI1136" s="11" t="n"/>
      <c r="AJ1136" s="11" t="n"/>
      <c r="AK1136" s="14">
        <f>IF(AND($AF1136="保留中",$AH1136&lt;&gt;""),TODAY()-$AH1136,"")</f>
        <v/>
      </c>
      <c r="AL1136" s="12" t="n"/>
      <c r="AM1136" s="14">
        <f>IF($B1136="","",IF($AQ1136="","対象年月が未入力／","")&amp;IF($B1136="","",IF($AP1136="","職員マスタに未登録の職員番号／",IF($AA1136="","標準報酬月額が未登録／","")&amp;IF(AND($AQ1136&lt;&gt;"",OR(AND(INDEX(職員マスタ!$G$6:$G$405,$AP1136)&lt;&gt;"",INDEX(職員マスタ!$G$6:$G$405,$AP1136)&gt;EOMONTH($AQ1136,0)),AND(INDEX(職員マスタ!$H$6:$H$405,$AP1136)&lt;&gt;"",INDEX(職員マスタ!$H$6:$H$405,$AP1136)&lt;$AQ1136))),"対象月が時短期間外／","")&amp;IF(AND(INDEX(職員マスタ!$K$6:$K$405,$AP1136)&lt;&gt;"",N($W1136)&gt;0,INDEX(職員マスタ!$K$6:$K$405,$AP1136)&lt;&gt;$W1136),"標準報酬月額が申請書と相違（台帳"&amp;TEXT(INDEX(職員マスタ!$K$6:$K$405,$AP1136),"#,##0")&amp;"円／申請書"&amp;TEXT($W1136,"#,##0")&amp;"円）／","")&amp;IF(AND(INDEX(職員マスタ!$F$6:$F$405,$AP1136)&lt;&gt;"",$AQ1136&lt;&gt;"",INDEX(職員マスタ!$F$6:$F$405,$AP1136)&lt;$AQ1136),"対象月に子が2歳到達済／","")&amp;IF(AND($H1136&lt;&gt;"",INDEX(職員マスタ!$B$6:$B$405,$AP1136)&lt;&gt;"",SUBSTITUTE(SUBSTITUTE($H1136," ","")," ","")&lt;&gt;SUBSTITUTE(SUBSTITUTE(INDEX(職員マスタ!$B$6:$B$405,$AP1136)," ","")," ","")),"氏名がマスタと相違／","")&amp;IF(AND($Q1136&lt;&gt;"",INDEX(職員マスタ!$E$6:$E$405,$AP1136)&lt;&gt;"",$Q1136&lt;&gt;INDEX(職員マスタ!$E$6:$E$405,$AP1136)),"子の生年月日がマスタと相違／","")&amp;IF(AND($L1136&lt;&gt;"",INDEX(職員マスタ!$G$6:$G$405,$AP1136)&lt;&gt;"",$L1136&lt;&gt;INDEX(職員マスタ!$G$6:$G$405,$AP1136)),"時短開始日がマスタと相違／","")&amp;IF(AND($M1136&lt;&gt;"",INDEX(職員マスタ!$H$6:$H$405,$AP1136)&lt;&gt;"",$M1136&lt;&gt;INDEX(職員マスタ!$H$6:$H$405,$AP1136)),"時短終了日がマスタと相違／","")))&amp;IF(AND($B1136&lt;&gt;"",$E1136=""),"報酬額が未入力／","")&amp;IF(N($U1136)&gt;0,"申請書に入力エラーが残っています／","")&amp;IF(AND($B1136&lt;&gt;"",$AQ1136&lt;&gt;""),IF(COUNTIFS($B$6:$B$3005,$B1136,$C$6:$C$3005,$C1136,$D$6:$D$3005,$D1136)&gt;1,"同じ月の請求が重複しています／",""),"")&amp;IF(AND(N($E1136)&gt;0,$AB1136&lt;&gt;"",$AB1136&lt;&gt;"×",$AE1136=0,$AD1136=""),"計算額が下限以下のため不支給／",""))</f>
        <v/>
      </c>
      <c r="AN1136" s="12" t="n"/>
      <c r="AO1136" s="14">
        <f>IF($AF1136="保留中",COUNTIF($AF$6:$AF1136,"保留中"),"")</f>
        <v/>
      </c>
      <c r="AP1136" s="14">
        <f>IF($AQ1136="","",IF(SUMPRODUCT(MAX((職員マスタ!$A$6:$A$405=$B1136)*(((職員マスタ!$G$6:$G$405="")+(職員マスタ!$G$6:$G$405&lt;=EOMONTH($AQ1136,0)))&gt;0)*(((職員マスタ!$H$6:$H$405="")+(職員マスタ!$H$6:$H$405&gt;=$AQ1136))&gt;0)*(ROW(職員マスタ!$A$6:$A$405)-5)))&gt;0,SUMPRODUCT(MAX((職員マスタ!$A$6:$A$405=$B1136)*(((職員マスタ!$G$6:$G$405="")+(職員マスタ!$G$6:$G$405&lt;=EOMONTH($AQ1136,0)))&gt;0)*(((職員マスタ!$H$6:$H$405="")+(職員マスタ!$H$6:$H$405&gt;=$AQ1136))&gt;0)*(ROW(職員マスタ!$A$6:$A$405)-5))),IFERROR(MATCH($B1136,職員マスタ!$A$6:$A$405,0),"")))</f>
        <v/>
      </c>
      <c r="AQ1136" s="16">
        <f>IF(OR($B1136="",$C1136="",$D1136=""),"",DATE($C1136+2018,$D1136,1))</f>
        <v/>
      </c>
    </row>
    <row r="1137">
      <c r="A1137" s="11" t="n"/>
      <c r="B1137" s="12" t="n"/>
      <c r="C1137" s="12" t="n"/>
      <c r="D1137" s="12" t="n"/>
      <c r="E1137" s="13" t="n"/>
      <c r="F1137" s="12" t="n"/>
      <c r="G1137" s="13" t="n"/>
      <c r="H1137" s="12" t="n"/>
      <c r="I1137" s="12" t="n"/>
      <c r="J1137" s="12" t="n"/>
      <c r="K1137" s="12" t="n"/>
      <c r="L1137" s="11" t="n"/>
      <c r="M1137" s="11" t="n"/>
      <c r="N1137" s="11" t="n"/>
      <c r="O1137" s="11" t="n"/>
      <c r="P1137" s="12" t="n"/>
      <c r="Q1137" s="11" t="n"/>
      <c r="R1137" s="12" t="n"/>
      <c r="S1137" s="11" t="n"/>
      <c r="T1137" s="12" t="n"/>
      <c r="U1137" s="12" t="n"/>
      <c r="V1137" s="12" t="n"/>
      <c r="W1137" s="13" t="n"/>
      <c r="X1137" s="14">
        <f>IF($AP1137="",IF($B1137="","",$H1137),IF(INDEX(職員マスタ!$B$6:$B$405,$AP1137)="",$H1137,INDEX(職員マスタ!$B$6:$B$405,$AP1137)))</f>
        <v/>
      </c>
      <c r="Y1137" s="14">
        <f>IF($AP1137="",IF($B1137="","",$R1137),IF(INDEX(職員マスタ!$C$6:$C$405,$AP1137)="",$R1137,INDEX(職員マスタ!$C$6:$C$405,$AP1137)))</f>
        <v/>
      </c>
      <c r="Z1137" s="14">
        <f>IF($AQ1137="","","R"&amp;$C1137&amp;"."&amp;$D1137)</f>
        <v/>
      </c>
      <c r="AA1137" s="15">
        <f>IF(IF($AP1137="",FALSE,INDEX(職員マスタ!$K$6:$K$405,$AP1137)&lt;&gt;""),INDEX(職員マスタ!$K$6:$K$405,$AP1137),IF(N($W1137)&gt;0,$W1137,""))</f>
        <v/>
      </c>
      <c r="AB1137" s="14">
        <f>IF(OR($E1137="",$AA1137=""),"",IF($E1137&gt;=$AA1137,"×",IF($E1137&gt;=$AA1137*設定!$C$5,"△","○")))</f>
        <v/>
      </c>
      <c r="AC1137" s="15">
        <f>IF($AB1137="","",IF($AB1137="×",0,IF($AB1137="○",ROUNDDOWN($E1137*設定!$C$4,0),ROUNDDOWN($E1137*ROUND((9*$AA1137-9*$E1137)/(10*$E1137),4),0))))</f>
        <v/>
      </c>
      <c r="AD1137" s="13" t="n"/>
      <c r="AE1137" s="15">
        <f>IF($B1137="","",IF($AD1137&lt;&gt;"",$AD1137,IF($AC1137="","",IF($AC1137&lt;=設定!$C$3,0,$AC1137))))</f>
        <v/>
      </c>
      <c r="AF1137" s="14">
        <f>IF($B1137="","",IF(AND($AG1137&lt;&gt;"",$AI1137="",$AL1137=""),"保留中",IF($AL1137&lt;&gt;"",IF(N($AE1137)&gt;0,"支給済","不支給"),IF($AE1137="","要確認",IF($AE1137=0,"不支給","未処理")))))</f>
        <v/>
      </c>
      <c r="AG1137" s="12" t="n"/>
      <c r="AH1137" s="11" t="n"/>
      <c r="AI1137" s="11" t="n"/>
      <c r="AJ1137" s="11" t="n"/>
      <c r="AK1137" s="14">
        <f>IF(AND($AF1137="保留中",$AH1137&lt;&gt;""),TODAY()-$AH1137,"")</f>
        <v/>
      </c>
      <c r="AL1137" s="12" t="n"/>
      <c r="AM1137" s="14">
        <f>IF($B1137="","",IF($AQ1137="","対象年月が未入力／","")&amp;IF($B1137="","",IF($AP1137="","職員マスタに未登録の職員番号／",IF($AA1137="","標準報酬月額が未登録／","")&amp;IF(AND($AQ1137&lt;&gt;"",OR(AND(INDEX(職員マスタ!$G$6:$G$405,$AP1137)&lt;&gt;"",INDEX(職員マスタ!$G$6:$G$405,$AP1137)&gt;EOMONTH($AQ1137,0)),AND(INDEX(職員マスタ!$H$6:$H$405,$AP1137)&lt;&gt;"",INDEX(職員マスタ!$H$6:$H$405,$AP1137)&lt;$AQ1137))),"対象月が時短期間外／","")&amp;IF(AND(INDEX(職員マスタ!$K$6:$K$405,$AP1137)&lt;&gt;"",N($W1137)&gt;0,INDEX(職員マスタ!$K$6:$K$405,$AP1137)&lt;&gt;$W1137),"標準報酬月額が申請書と相違（台帳"&amp;TEXT(INDEX(職員マスタ!$K$6:$K$405,$AP1137),"#,##0")&amp;"円／申請書"&amp;TEXT($W1137,"#,##0")&amp;"円）／","")&amp;IF(AND(INDEX(職員マスタ!$F$6:$F$405,$AP1137)&lt;&gt;"",$AQ1137&lt;&gt;"",INDEX(職員マスタ!$F$6:$F$405,$AP1137)&lt;$AQ1137),"対象月に子が2歳到達済／","")&amp;IF(AND($H1137&lt;&gt;"",INDEX(職員マスタ!$B$6:$B$405,$AP1137)&lt;&gt;"",SUBSTITUTE(SUBSTITUTE($H1137," ","")," ","")&lt;&gt;SUBSTITUTE(SUBSTITUTE(INDEX(職員マスタ!$B$6:$B$405,$AP1137)," ","")," ","")),"氏名がマスタと相違／","")&amp;IF(AND($Q1137&lt;&gt;"",INDEX(職員マスタ!$E$6:$E$405,$AP1137)&lt;&gt;"",$Q1137&lt;&gt;INDEX(職員マスタ!$E$6:$E$405,$AP1137)),"子の生年月日がマスタと相違／","")&amp;IF(AND($L1137&lt;&gt;"",INDEX(職員マスタ!$G$6:$G$405,$AP1137)&lt;&gt;"",$L1137&lt;&gt;INDEX(職員マスタ!$G$6:$G$405,$AP1137)),"時短開始日がマスタと相違／","")&amp;IF(AND($M1137&lt;&gt;"",INDEX(職員マスタ!$H$6:$H$405,$AP1137)&lt;&gt;"",$M1137&lt;&gt;INDEX(職員マスタ!$H$6:$H$405,$AP1137)),"時短終了日がマスタと相違／","")))&amp;IF(AND($B1137&lt;&gt;"",$E1137=""),"報酬額が未入力／","")&amp;IF(N($U1137)&gt;0,"申請書に入力エラーが残っています／","")&amp;IF(AND($B1137&lt;&gt;"",$AQ1137&lt;&gt;""),IF(COUNTIFS($B$6:$B$3005,$B1137,$C$6:$C$3005,$C1137,$D$6:$D$3005,$D1137)&gt;1,"同じ月の請求が重複しています／",""),"")&amp;IF(AND(N($E1137)&gt;0,$AB1137&lt;&gt;"",$AB1137&lt;&gt;"×",$AE1137=0,$AD1137=""),"計算額が下限以下のため不支給／",""))</f>
        <v/>
      </c>
      <c r="AN1137" s="12" t="n"/>
      <c r="AO1137" s="14">
        <f>IF($AF1137="保留中",COUNTIF($AF$6:$AF1137,"保留中"),"")</f>
        <v/>
      </c>
      <c r="AP1137" s="14">
        <f>IF($AQ1137="","",IF(SUMPRODUCT(MAX((職員マスタ!$A$6:$A$405=$B1137)*(((職員マスタ!$G$6:$G$405="")+(職員マスタ!$G$6:$G$405&lt;=EOMONTH($AQ1137,0)))&gt;0)*(((職員マスタ!$H$6:$H$405="")+(職員マスタ!$H$6:$H$405&gt;=$AQ1137))&gt;0)*(ROW(職員マスタ!$A$6:$A$405)-5)))&gt;0,SUMPRODUCT(MAX((職員マスタ!$A$6:$A$405=$B1137)*(((職員マスタ!$G$6:$G$405="")+(職員マスタ!$G$6:$G$405&lt;=EOMONTH($AQ1137,0)))&gt;0)*(((職員マスタ!$H$6:$H$405="")+(職員マスタ!$H$6:$H$405&gt;=$AQ1137))&gt;0)*(ROW(職員マスタ!$A$6:$A$405)-5))),IFERROR(MATCH($B1137,職員マスタ!$A$6:$A$405,0),"")))</f>
        <v/>
      </c>
      <c r="AQ1137" s="16">
        <f>IF(OR($B1137="",$C1137="",$D1137=""),"",DATE($C1137+2018,$D1137,1))</f>
        <v/>
      </c>
    </row>
    <row r="1138">
      <c r="A1138" s="11" t="n"/>
      <c r="B1138" s="12" t="n"/>
      <c r="C1138" s="12" t="n"/>
      <c r="D1138" s="12" t="n"/>
      <c r="E1138" s="13" t="n"/>
      <c r="F1138" s="12" t="n"/>
      <c r="G1138" s="13" t="n"/>
      <c r="H1138" s="12" t="n"/>
      <c r="I1138" s="12" t="n"/>
      <c r="J1138" s="12" t="n"/>
      <c r="K1138" s="12" t="n"/>
      <c r="L1138" s="11" t="n"/>
      <c r="M1138" s="11" t="n"/>
      <c r="N1138" s="11" t="n"/>
      <c r="O1138" s="11" t="n"/>
      <c r="P1138" s="12" t="n"/>
      <c r="Q1138" s="11" t="n"/>
      <c r="R1138" s="12" t="n"/>
      <c r="S1138" s="11" t="n"/>
      <c r="T1138" s="12" t="n"/>
      <c r="U1138" s="12" t="n"/>
      <c r="V1138" s="12" t="n"/>
      <c r="W1138" s="13" t="n"/>
      <c r="X1138" s="14">
        <f>IF($AP1138="",IF($B1138="","",$H1138),IF(INDEX(職員マスタ!$B$6:$B$405,$AP1138)="",$H1138,INDEX(職員マスタ!$B$6:$B$405,$AP1138)))</f>
        <v/>
      </c>
      <c r="Y1138" s="14">
        <f>IF($AP1138="",IF($B1138="","",$R1138),IF(INDEX(職員マスタ!$C$6:$C$405,$AP1138)="",$R1138,INDEX(職員マスタ!$C$6:$C$405,$AP1138)))</f>
        <v/>
      </c>
      <c r="Z1138" s="14">
        <f>IF($AQ1138="","","R"&amp;$C1138&amp;"."&amp;$D1138)</f>
        <v/>
      </c>
      <c r="AA1138" s="15">
        <f>IF(IF($AP1138="",FALSE,INDEX(職員マスタ!$K$6:$K$405,$AP1138)&lt;&gt;""),INDEX(職員マスタ!$K$6:$K$405,$AP1138),IF(N($W1138)&gt;0,$W1138,""))</f>
        <v/>
      </c>
      <c r="AB1138" s="14">
        <f>IF(OR($E1138="",$AA1138=""),"",IF($E1138&gt;=$AA1138,"×",IF($E1138&gt;=$AA1138*設定!$C$5,"△","○")))</f>
        <v/>
      </c>
      <c r="AC1138" s="15">
        <f>IF($AB1138="","",IF($AB1138="×",0,IF($AB1138="○",ROUNDDOWN($E1138*設定!$C$4,0),ROUNDDOWN($E1138*ROUND((9*$AA1138-9*$E1138)/(10*$E1138),4),0))))</f>
        <v/>
      </c>
      <c r="AD1138" s="13" t="n"/>
      <c r="AE1138" s="15">
        <f>IF($B1138="","",IF($AD1138&lt;&gt;"",$AD1138,IF($AC1138="","",IF($AC1138&lt;=設定!$C$3,0,$AC1138))))</f>
        <v/>
      </c>
      <c r="AF1138" s="14">
        <f>IF($B1138="","",IF(AND($AG1138&lt;&gt;"",$AI1138="",$AL1138=""),"保留中",IF($AL1138&lt;&gt;"",IF(N($AE1138)&gt;0,"支給済","不支給"),IF($AE1138="","要確認",IF($AE1138=0,"不支給","未処理")))))</f>
        <v/>
      </c>
      <c r="AG1138" s="12" t="n"/>
      <c r="AH1138" s="11" t="n"/>
      <c r="AI1138" s="11" t="n"/>
      <c r="AJ1138" s="11" t="n"/>
      <c r="AK1138" s="14">
        <f>IF(AND($AF1138="保留中",$AH1138&lt;&gt;""),TODAY()-$AH1138,"")</f>
        <v/>
      </c>
      <c r="AL1138" s="12" t="n"/>
      <c r="AM1138" s="14">
        <f>IF($B1138="","",IF($AQ1138="","対象年月が未入力／","")&amp;IF($B1138="","",IF($AP1138="","職員マスタに未登録の職員番号／",IF($AA1138="","標準報酬月額が未登録／","")&amp;IF(AND($AQ1138&lt;&gt;"",OR(AND(INDEX(職員マスタ!$G$6:$G$405,$AP1138)&lt;&gt;"",INDEX(職員マスタ!$G$6:$G$405,$AP1138)&gt;EOMONTH($AQ1138,0)),AND(INDEX(職員マスタ!$H$6:$H$405,$AP1138)&lt;&gt;"",INDEX(職員マスタ!$H$6:$H$405,$AP1138)&lt;$AQ1138))),"対象月が時短期間外／","")&amp;IF(AND(INDEX(職員マスタ!$K$6:$K$405,$AP1138)&lt;&gt;"",N($W1138)&gt;0,INDEX(職員マスタ!$K$6:$K$405,$AP1138)&lt;&gt;$W1138),"標準報酬月額が申請書と相違（台帳"&amp;TEXT(INDEX(職員マスタ!$K$6:$K$405,$AP1138),"#,##0")&amp;"円／申請書"&amp;TEXT($W1138,"#,##0")&amp;"円）／","")&amp;IF(AND(INDEX(職員マスタ!$F$6:$F$405,$AP1138)&lt;&gt;"",$AQ1138&lt;&gt;"",INDEX(職員マスタ!$F$6:$F$405,$AP1138)&lt;$AQ1138),"対象月に子が2歳到達済／","")&amp;IF(AND($H1138&lt;&gt;"",INDEX(職員マスタ!$B$6:$B$405,$AP1138)&lt;&gt;"",SUBSTITUTE(SUBSTITUTE($H1138," ","")," ","")&lt;&gt;SUBSTITUTE(SUBSTITUTE(INDEX(職員マスタ!$B$6:$B$405,$AP1138)," ","")," ","")),"氏名がマスタと相違／","")&amp;IF(AND($Q1138&lt;&gt;"",INDEX(職員マスタ!$E$6:$E$405,$AP1138)&lt;&gt;"",$Q1138&lt;&gt;INDEX(職員マスタ!$E$6:$E$405,$AP1138)),"子の生年月日がマスタと相違／","")&amp;IF(AND($L1138&lt;&gt;"",INDEX(職員マスタ!$G$6:$G$405,$AP1138)&lt;&gt;"",$L1138&lt;&gt;INDEX(職員マスタ!$G$6:$G$405,$AP1138)),"時短開始日がマスタと相違／","")&amp;IF(AND($M1138&lt;&gt;"",INDEX(職員マスタ!$H$6:$H$405,$AP1138)&lt;&gt;"",$M1138&lt;&gt;INDEX(職員マスタ!$H$6:$H$405,$AP1138)),"時短終了日がマスタと相違／","")))&amp;IF(AND($B1138&lt;&gt;"",$E1138=""),"報酬額が未入力／","")&amp;IF(N($U1138)&gt;0,"申請書に入力エラーが残っています／","")&amp;IF(AND($B1138&lt;&gt;"",$AQ1138&lt;&gt;""),IF(COUNTIFS($B$6:$B$3005,$B1138,$C$6:$C$3005,$C1138,$D$6:$D$3005,$D1138)&gt;1,"同じ月の請求が重複しています／",""),"")&amp;IF(AND(N($E1138)&gt;0,$AB1138&lt;&gt;"",$AB1138&lt;&gt;"×",$AE1138=0,$AD1138=""),"計算額が下限以下のため不支給／",""))</f>
        <v/>
      </c>
      <c r="AN1138" s="12" t="n"/>
      <c r="AO1138" s="14">
        <f>IF($AF1138="保留中",COUNTIF($AF$6:$AF1138,"保留中"),"")</f>
        <v/>
      </c>
      <c r="AP1138" s="14">
        <f>IF($AQ1138="","",IF(SUMPRODUCT(MAX((職員マスタ!$A$6:$A$405=$B1138)*(((職員マスタ!$G$6:$G$405="")+(職員マスタ!$G$6:$G$405&lt;=EOMONTH($AQ1138,0)))&gt;0)*(((職員マスタ!$H$6:$H$405="")+(職員マスタ!$H$6:$H$405&gt;=$AQ1138))&gt;0)*(ROW(職員マスタ!$A$6:$A$405)-5)))&gt;0,SUMPRODUCT(MAX((職員マスタ!$A$6:$A$405=$B1138)*(((職員マスタ!$G$6:$G$405="")+(職員マスタ!$G$6:$G$405&lt;=EOMONTH($AQ1138,0)))&gt;0)*(((職員マスタ!$H$6:$H$405="")+(職員マスタ!$H$6:$H$405&gt;=$AQ1138))&gt;0)*(ROW(職員マスタ!$A$6:$A$405)-5))),IFERROR(MATCH($B1138,職員マスタ!$A$6:$A$405,0),"")))</f>
        <v/>
      </c>
      <c r="AQ1138" s="16">
        <f>IF(OR($B1138="",$C1138="",$D1138=""),"",DATE($C1138+2018,$D1138,1))</f>
        <v/>
      </c>
    </row>
    <row r="1139">
      <c r="A1139" s="11" t="n"/>
      <c r="B1139" s="12" t="n"/>
      <c r="C1139" s="12" t="n"/>
      <c r="D1139" s="12" t="n"/>
      <c r="E1139" s="13" t="n"/>
      <c r="F1139" s="12" t="n"/>
      <c r="G1139" s="13" t="n"/>
      <c r="H1139" s="12" t="n"/>
      <c r="I1139" s="12" t="n"/>
      <c r="J1139" s="12" t="n"/>
      <c r="K1139" s="12" t="n"/>
      <c r="L1139" s="11" t="n"/>
      <c r="M1139" s="11" t="n"/>
      <c r="N1139" s="11" t="n"/>
      <c r="O1139" s="11" t="n"/>
      <c r="P1139" s="12" t="n"/>
      <c r="Q1139" s="11" t="n"/>
      <c r="R1139" s="12" t="n"/>
      <c r="S1139" s="11" t="n"/>
      <c r="T1139" s="12" t="n"/>
      <c r="U1139" s="12" t="n"/>
      <c r="V1139" s="12" t="n"/>
      <c r="W1139" s="13" t="n"/>
      <c r="X1139" s="14">
        <f>IF($AP1139="",IF($B1139="","",$H1139),IF(INDEX(職員マスタ!$B$6:$B$405,$AP1139)="",$H1139,INDEX(職員マスタ!$B$6:$B$405,$AP1139)))</f>
        <v/>
      </c>
      <c r="Y1139" s="14">
        <f>IF($AP1139="",IF($B1139="","",$R1139),IF(INDEX(職員マスタ!$C$6:$C$405,$AP1139)="",$R1139,INDEX(職員マスタ!$C$6:$C$405,$AP1139)))</f>
        <v/>
      </c>
      <c r="Z1139" s="14">
        <f>IF($AQ1139="","","R"&amp;$C1139&amp;"."&amp;$D1139)</f>
        <v/>
      </c>
      <c r="AA1139" s="15">
        <f>IF(IF($AP1139="",FALSE,INDEX(職員マスタ!$K$6:$K$405,$AP1139)&lt;&gt;""),INDEX(職員マスタ!$K$6:$K$405,$AP1139),IF(N($W1139)&gt;0,$W1139,""))</f>
        <v/>
      </c>
      <c r="AB1139" s="14">
        <f>IF(OR($E1139="",$AA1139=""),"",IF($E1139&gt;=$AA1139,"×",IF($E1139&gt;=$AA1139*設定!$C$5,"△","○")))</f>
        <v/>
      </c>
      <c r="AC1139" s="15">
        <f>IF($AB1139="","",IF($AB1139="×",0,IF($AB1139="○",ROUNDDOWN($E1139*設定!$C$4,0),ROUNDDOWN($E1139*ROUND((9*$AA1139-9*$E1139)/(10*$E1139),4),0))))</f>
        <v/>
      </c>
      <c r="AD1139" s="13" t="n"/>
      <c r="AE1139" s="15">
        <f>IF($B1139="","",IF($AD1139&lt;&gt;"",$AD1139,IF($AC1139="","",IF($AC1139&lt;=設定!$C$3,0,$AC1139))))</f>
        <v/>
      </c>
      <c r="AF1139" s="14">
        <f>IF($B1139="","",IF(AND($AG1139&lt;&gt;"",$AI1139="",$AL1139=""),"保留中",IF($AL1139&lt;&gt;"",IF(N($AE1139)&gt;0,"支給済","不支給"),IF($AE1139="","要確認",IF($AE1139=0,"不支給","未処理")))))</f>
        <v/>
      </c>
      <c r="AG1139" s="12" t="n"/>
      <c r="AH1139" s="11" t="n"/>
      <c r="AI1139" s="11" t="n"/>
      <c r="AJ1139" s="11" t="n"/>
      <c r="AK1139" s="14">
        <f>IF(AND($AF1139="保留中",$AH1139&lt;&gt;""),TODAY()-$AH1139,"")</f>
        <v/>
      </c>
      <c r="AL1139" s="12" t="n"/>
      <c r="AM1139" s="14">
        <f>IF($B1139="","",IF($AQ1139="","対象年月が未入力／","")&amp;IF($B1139="","",IF($AP1139="","職員マスタに未登録の職員番号／",IF($AA1139="","標準報酬月額が未登録／","")&amp;IF(AND($AQ1139&lt;&gt;"",OR(AND(INDEX(職員マスタ!$G$6:$G$405,$AP1139)&lt;&gt;"",INDEX(職員マスタ!$G$6:$G$405,$AP1139)&gt;EOMONTH($AQ1139,0)),AND(INDEX(職員マスタ!$H$6:$H$405,$AP1139)&lt;&gt;"",INDEX(職員マスタ!$H$6:$H$405,$AP1139)&lt;$AQ1139))),"対象月が時短期間外／","")&amp;IF(AND(INDEX(職員マスタ!$K$6:$K$405,$AP1139)&lt;&gt;"",N($W1139)&gt;0,INDEX(職員マスタ!$K$6:$K$405,$AP1139)&lt;&gt;$W1139),"標準報酬月額が申請書と相違（台帳"&amp;TEXT(INDEX(職員マスタ!$K$6:$K$405,$AP1139),"#,##0")&amp;"円／申請書"&amp;TEXT($W1139,"#,##0")&amp;"円）／","")&amp;IF(AND(INDEX(職員マスタ!$F$6:$F$405,$AP1139)&lt;&gt;"",$AQ1139&lt;&gt;"",INDEX(職員マスタ!$F$6:$F$405,$AP1139)&lt;$AQ1139),"対象月に子が2歳到達済／","")&amp;IF(AND($H1139&lt;&gt;"",INDEX(職員マスタ!$B$6:$B$405,$AP1139)&lt;&gt;"",SUBSTITUTE(SUBSTITUTE($H1139," ","")," ","")&lt;&gt;SUBSTITUTE(SUBSTITUTE(INDEX(職員マスタ!$B$6:$B$405,$AP1139)," ","")," ","")),"氏名がマスタと相違／","")&amp;IF(AND($Q1139&lt;&gt;"",INDEX(職員マスタ!$E$6:$E$405,$AP1139)&lt;&gt;"",$Q1139&lt;&gt;INDEX(職員マスタ!$E$6:$E$405,$AP1139)),"子の生年月日がマスタと相違／","")&amp;IF(AND($L1139&lt;&gt;"",INDEX(職員マスタ!$G$6:$G$405,$AP1139)&lt;&gt;"",$L1139&lt;&gt;INDEX(職員マスタ!$G$6:$G$405,$AP1139)),"時短開始日がマスタと相違／","")&amp;IF(AND($M1139&lt;&gt;"",INDEX(職員マスタ!$H$6:$H$405,$AP1139)&lt;&gt;"",$M1139&lt;&gt;INDEX(職員マスタ!$H$6:$H$405,$AP1139)),"時短終了日がマスタと相違／","")))&amp;IF(AND($B1139&lt;&gt;"",$E1139=""),"報酬額が未入力／","")&amp;IF(N($U1139)&gt;0,"申請書に入力エラーが残っています／","")&amp;IF(AND($B1139&lt;&gt;"",$AQ1139&lt;&gt;""),IF(COUNTIFS($B$6:$B$3005,$B1139,$C$6:$C$3005,$C1139,$D$6:$D$3005,$D1139)&gt;1,"同じ月の請求が重複しています／",""),"")&amp;IF(AND(N($E1139)&gt;0,$AB1139&lt;&gt;"",$AB1139&lt;&gt;"×",$AE1139=0,$AD1139=""),"計算額が下限以下のため不支給／",""))</f>
        <v/>
      </c>
      <c r="AN1139" s="12" t="n"/>
      <c r="AO1139" s="14">
        <f>IF($AF1139="保留中",COUNTIF($AF$6:$AF1139,"保留中"),"")</f>
        <v/>
      </c>
      <c r="AP1139" s="14">
        <f>IF($AQ1139="","",IF(SUMPRODUCT(MAX((職員マスタ!$A$6:$A$405=$B1139)*(((職員マスタ!$G$6:$G$405="")+(職員マスタ!$G$6:$G$405&lt;=EOMONTH($AQ1139,0)))&gt;0)*(((職員マスタ!$H$6:$H$405="")+(職員マスタ!$H$6:$H$405&gt;=$AQ1139))&gt;0)*(ROW(職員マスタ!$A$6:$A$405)-5)))&gt;0,SUMPRODUCT(MAX((職員マスタ!$A$6:$A$405=$B1139)*(((職員マスタ!$G$6:$G$405="")+(職員マスタ!$G$6:$G$405&lt;=EOMONTH($AQ1139,0)))&gt;0)*(((職員マスタ!$H$6:$H$405="")+(職員マスタ!$H$6:$H$405&gt;=$AQ1139))&gt;0)*(ROW(職員マスタ!$A$6:$A$405)-5))),IFERROR(MATCH($B1139,職員マスタ!$A$6:$A$405,0),"")))</f>
        <v/>
      </c>
      <c r="AQ1139" s="16">
        <f>IF(OR($B1139="",$C1139="",$D1139=""),"",DATE($C1139+2018,$D1139,1))</f>
        <v/>
      </c>
    </row>
    <row r="1140">
      <c r="A1140" s="11" t="n"/>
      <c r="B1140" s="12" t="n"/>
      <c r="C1140" s="12" t="n"/>
      <c r="D1140" s="12" t="n"/>
      <c r="E1140" s="13" t="n"/>
      <c r="F1140" s="12" t="n"/>
      <c r="G1140" s="13" t="n"/>
      <c r="H1140" s="12" t="n"/>
      <c r="I1140" s="12" t="n"/>
      <c r="J1140" s="12" t="n"/>
      <c r="K1140" s="12" t="n"/>
      <c r="L1140" s="11" t="n"/>
      <c r="M1140" s="11" t="n"/>
      <c r="N1140" s="11" t="n"/>
      <c r="O1140" s="11" t="n"/>
      <c r="P1140" s="12" t="n"/>
      <c r="Q1140" s="11" t="n"/>
      <c r="R1140" s="12" t="n"/>
      <c r="S1140" s="11" t="n"/>
      <c r="T1140" s="12" t="n"/>
      <c r="U1140" s="12" t="n"/>
      <c r="V1140" s="12" t="n"/>
      <c r="W1140" s="13" t="n"/>
      <c r="X1140" s="14">
        <f>IF($AP1140="",IF($B1140="","",$H1140),IF(INDEX(職員マスタ!$B$6:$B$405,$AP1140)="",$H1140,INDEX(職員マスタ!$B$6:$B$405,$AP1140)))</f>
        <v/>
      </c>
      <c r="Y1140" s="14">
        <f>IF($AP1140="",IF($B1140="","",$R1140),IF(INDEX(職員マスタ!$C$6:$C$405,$AP1140)="",$R1140,INDEX(職員マスタ!$C$6:$C$405,$AP1140)))</f>
        <v/>
      </c>
      <c r="Z1140" s="14">
        <f>IF($AQ1140="","","R"&amp;$C1140&amp;"."&amp;$D1140)</f>
        <v/>
      </c>
      <c r="AA1140" s="15">
        <f>IF(IF($AP1140="",FALSE,INDEX(職員マスタ!$K$6:$K$405,$AP1140)&lt;&gt;""),INDEX(職員マスタ!$K$6:$K$405,$AP1140),IF(N($W1140)&gt;0,$W1140,""))</f>
        <v/>
      </c>
      <c r="AB1140" s="14">
        <f>IF(OR($E1140="",$AA1140=""),"",IF($E1140&gt;=$AA1140,"×",IF($E1140&gt;=$AA1140*設定!$C$5,"△","○")))</f>
        <v/>
      </c>
      <c r="AC1140" s="15">
        <f>IF($AB1140="","",IF($AB1140="×",0,IF($AB1140="○",ROUNDDOWN($E1140*設定!$C$4,0),ROUNDDOWN($E1140*ROUND((9*$AA1140-9*$E1140)/(10*$E1140),4),0))))</f>
        <v/>
      </c>
      <c r="AD1140" s="13" t="n"/>
      <c r="AE1140" s="15">
        <f>IF($B1140="","",IF($AD1140&lt;&gt;"",$AD1140,IF($AC1140="","",IF($AC1140&lt;=設定!$C$3,0,$AC1140))))</f>
        <v/>
      </c>
      <c r="AF1140" s="14">
        <f>IF($B1140="","",IF(AND($AG1140&lt;&gt;"",$AI1140="",$AL1140=""),"保留中",IF($AL1140&lt;&gt;"",IF(N($AE1140)&gt;0,"支給済","不支給"),IF($AE1140="","要確認",IF($AE1140=0,"不支給","未処理")))))</f>
        <v/>
      </c>
      <c r="AG1140" s="12" t="n"/>
      <c r="AH1140" s="11" t="n"/>
      <c r="AI1140" s="11" t="n"/>
      <c r="AJ1140" s="11" t="n"/>
      <c r="AK1140" s="14">
        <f>IF(AND($AF1140="保留中",$AH1140&lt;&gt;""),TODAY()-$AH1140,"")</f>
        <v/>
      </c>
      <c r="AL1140" s="12" t="n"/>
      <c r="AM1140" s="14">
        <f>IF($B1140="","",IF($AQ1140="","対象年月が未入力／","")&amp;IF($B1140="","",IF($AP1140="","職員マスタに未登録の職員番号／",IF($AA1140="","標準報酬月額が未登録／","")&amp;IF(AND($AQ1140&lt;&gt;"",OR(AND(INDEX(職員マスタ!$G$6:$G$405,$AP1140)&lt;&gt;"",INDEX(職員マスタ!$G$6:$G$405,$AP1140)&gt;EOMONTH($AQ1140,0)),AND(INDEX(職員マスタ!$H$6:$H$405,$AP1140)&lt;&gt;"",INDEX(職員マスタ!$H$6:$H$405,$AP1140)&lt;$AQ1140))),"対象月が時短期間外／","")&amp;IF(AND(INDEX(職員マスタ!$K$6:$K$405,$AP1140)&lt;&gt;"",N($W1140)&gt;0,INDEX(職員マスタ!$K$6:$K$405,$AP1140)&lt;&gt;$W1140),"標準報酬月額が申請書と相違（台帳"&amp;TEXT(INDEX(職員マスタ!$K$6:$K$405,$AP1140),"#,##0")&amp;"円／申請書"&amp;TEXT($W1140,"#,##0")&amp;"円）／","")&amp;IF(AND(INDEX(職員マスタ!$F$6:$F$405,$AP1140)&lt;&gt;"",$AQ1140&lt;&gt;"",INDEX(職員マスタ!$F$6:$F$405,$AP1140)&lt;$AQ1140),"対象月に子が2歳到達済／","")&amp;IF(AND($H1140&lt;&gt;"",INDEX(職員マスタ!$B$6:$B$405,$AP1140)&lt;&gt;"",SUBSTITUTE(SUBSTITUTE($H1140," ","")," ","")&lt;&gt;SUBSTITUTE(SUBSTITUTE(INDEX(職員マスタ!$B$6:$B$405,$AP1140)," ","")," ","")),"氏名がマスタと相違／","")&amp;IF(AND($Q1140&lt;&gt;"",INDEX(職員マスタ!$E$6:$E$405,$AP1140)&lt;&gt;"",$Q1140&lt;&gt;INDEX(職員マスタ!$E$6:$E$405,$AP1140)),"子の生年月日がマスタと相違／","")&amp;IF(AND($L1140&lt;&gt;"",INDEX(職員マスタ!$G$6:$G$405,$AP1140)&lt;&gt;"",$L1140&lt;&gt;INDEX(職員マスタ!$G$6:$G$405,$AP1140)),"時短開始日がマスタと相違／","")&amp;IF(AND($M1140&lt;&gt;"",INDEX(職員マスタ!$H$6:$H$405,$AP1140)&lt;&gt;"",$M1140&lt;&gt;INDEX(職員マスタ!$H$6:$H$405,$AP1140)),"時短終了日がマスタと相違／","")))&amp;IF(AND($B1140&lt;&gt;"",$E1140=""),"報酬額が未入力／","")&amp;IF(N($U1140)&gt;0,"申請書に入力エラーが残っています／","")&amp;IF(AND($B1140&lt;&gt;"",$AQ1140&lt;&gt;""),IF(COUNTIFS($B$6:$B$3005,$B1140,$C$6:$C$3005,$C1140,$D$6:$D$3005,$D1140)&gt;1,"同じ月の請求が重複しています／",""),"")&amp;IF(AND(N($E1140)&gt;0,$AB1140&lt;&gt;"",$AB1140&lt;&gt;"×",$AE1140=0,$AD1140=""),"計算額が下限以下のため不支給／",""))</f>
        <v/>
      </c>
      <c r="AN1140" s="12" t="n"/>
      <c r="AO1140" s="14">
        <f>IF($AF1140="保留中",COUNTIF($AF$6:$AF1140,"保留中"),"")</f>
        <v/>
      </c>
      <c r="AP1140" s="14">
        <f>IF($AQ1140="","",IF(SUMPRODUCT(MAX((職員マスタ!$A$6:$A$405=$B1140)*(((職員マスタ!$G$6:$G$405="")+(職員マスタ!$G$6:$G$405&lt;=EOMONTH($AQ1140,0)))&gt;0)*(((職員マスタ!$H$6:$H$405="")+(職員マスタ!$H$6:$H$405&gt;=$AQ1140))&gt;0)*(ROW(職員マスタ!$A$6:$A$405)-5)))&gt;0,SUMPRODUCT(MAX((職員マスタ!$A$6:$A$405=$B1140)*(((職員マスタ!$G$6:$G$405="")+(職員マスタ!$G$6:$G$405&lt;=EOMONTH($AQ1140,0)))&gt;0)*(((職員マスタ!$H$6:$H$405="")+(職員マスタ!$H$6:$H$405&gt;=$AQ1140))&gt;0)*(ROW(職員マスタ!$A$6:$A$405)-5))),IFERROR(MATCH($B1140,職員マスタ!$A$6:$A$405,0),"")))</f>
        <v/>
      </c>
      <c r="AQ1140" s="16">
        <f>IF(OR($B1140="",$C1140="",$D1140=""),"",DATE($C1140+2018,$D1140,1))</f>
        <v/>
      </c>
    </row>
    <row r="1141">
      <c r="A1141" s="11" t="n"/>
      <c r="B1141" s="12" t="n"/>
      <c r="C1141" s="12" t="n"/>
      <c r="D1141" s="12" t="n"/>
      <c r="E1141" s="13" t="n"/>
      <c r="F1141" s="12" t="n"/>
      <c r="G1141" s="13" t="n"/>
      <c r="H1141" s="12" t="n"/>
      <c r="I1141" s="12" t="n"/>
      <c r="J1141" s="12" t="n"/>
      <c r="K1141" s="12" t="n"/>
      <c r="L1141" s="11" t="n"/>
      <c r="M1141" s="11" t="n"/>
      <c r="N1141" s="11" t="n"/>
      <c r="O1141" s="11" t="n"/>
      <c r="P1141" s="12" t="n"/>
      <c r="Q1141" s="11" t="n"/>
      <c r="R1141" s="12" t="n"/>
      <c r="S1141" s="11" t="n"/>
      <c r="T1141" s="12" t="n"/>
      <c r="U1141" s="12" t="n"/>
      <c r="V1141" s="12" t="n"/>
      <c r="W1141" s="13" t="n"/>
      <c r="X1141" s="14">
        <f>IF($AP1141="",IF($B1141="","",$H1141),IF(INDEX(職員マスタ!$B$6:$B$405,$AP1141)="",$H1141,INDEX(職員マスタ!$B$6:$B$405,$AP1141)))</f>
        <v/>
      </c>
      <c r="Y1141" s="14">
        <f>IF($AP1141="",IF($B1141="","",$R1141),IF(INDEX(職員マスタ!$C$6:$C$405,$AP1141)="",$R1141,INDEX(職員マスタ!$C$6:$C$405,$AP1141)))</f>
        <v/>
      </c>
      <c r="Z1141" s="14">
        <f>IF($AQ1141="","","R"&amp;$C1141&amp;"."&amp;$D1141)</f>
        <v/>
      </c>
      <c r="AA1141" s="15">
        <f>IF(IF($AP1141="",FALSE,INDEX(職員マスタ!$K$6:$K$405,$AP1141)&lt;&gt;""),INDEX(職員マスタ!$K$6:$K$405,$AP1141),IF(N($W1141)&gt;0,$W1141,""))</f>
        <v/>
      </c>
      <c r="AB1141" s="14">
        <f>IF(OR($E1141="",$AA1141=""),"",IF($E1141&gt;=$AA1141,"×",IF($E1141&gt;=$AA1141*設定!$C$5,"△","○")))</f>
        <v/>
      </c>
      <c r="AC1141" s="15">
        <f>IF($AB1141="","",IF($AB1141="×",0,IF($AB1141="○",ROUNDDOWN($E1141*設定!$C$4,0),ROUNDDOWN($E1141*ROUND((9*$AA1141-9*$E1141)/(10*$E1141),4),0))))</f>
        <v/>
      </c>
      <c r="AD1141" s="13" t="n"/>
      <c r="AE1141" s="15">
        <f>IF($B1141="","",IF($AD1141&lt;&gt;"",$AD1141,IF($AC1141="","",IF($AC1141&lt;=設定!$C$3,0,$AC1141))))</f>
        <v/>
      </c>
      <c r="AF1141" s="14">
        <f>IF($B1141="","",IF(AND($AG1141&lt;&gt;"",$AI1141="",$AL1141=""),"保留中",IF($AL1141&lt;&gt;"",IF(N($AE1141)&gt;0,"支給済","不支給"),IF($AE1141="","要確認",IF($AE1141=0,"不支給","未処理")))))</f>
        <v/>
      </c>
      <c r="AG1141" s="12" t="n"/>
      <c r="AH1141" s="11" t="n"/>
      <c r="AI1141" s="11" t="n"/>
      <c r="AJ1141" s="11" t="n"/>
      <c r="AK1141" s="14">
        <f>IF(AND($AF1141="保留中",$AH1141&lt;&gt;""),TODAY()-$AH1141,"")</f>
        <v/>
      </c>
      <c r="AL1141" s="12" t="n"/>
      <c r="AM1141" s="14">
        <f>IF($B1141="","",IF($AQ1141="","対象年月が未入力／","")&amp;IF($B1141="","",IF($AP1141="","職員マスタに未登録の職員番号／",IF($AA1141="","標準報酬月額が未登録／","")&amp;IF(AND($AQ1141&lt;&gt;"",OR(AND(INDEX(職員マスタ!$G$6:$G$405,$AP1141)&lt;&gt;"",INDEX(職員マスタ!$G$6:$G$405,$AP1141)&gt;EOMONTH($AQ1141,0)),AND(INDEX(職員マスタ!$H$6:$H$405,$AP1141)&lt;&gt;"",INDEX(職員マスタ!$H$6:$H$405,$AP1141)&lt;$AQ1141))),"対象月が時短期間外／","")&amp;IF(AND(INDEX(職員マスタ!$K$6:$K$405,$AP1141)&lt;&gt;"",N($W1141)&gt;0,INDEX(職員マスタ!$K$6:$K$405,$AP1141)&lt;&gt;$W1141),"標準報酬月額が申請書と相違（台帳"&amp;TEXT(INDEX(職員マスタ!$K$6:$K$405,$AP1141),"#,##0")&amp;"円／申請書"&amp;TEXT($W1141,"#,##0")&amp;"円）／","")&amp;IF(AND(INDEX(職員マスタ!$F$6:$F$405,$AP1141)&lt;&gt;"",$AQ1141&lt;&gt;"",INDEX(職員マスタ!$F$6:$F$405,$AP1141)&lt;$AQ1141),"対象月に子が2歳到達済／","")&amp;IF(AND($H1141&lt;&gt;"",INDEX(職員マスタ!$B$6:$B$405,$AP1141)&lt;&gt;"",SUBSTITUTE(SUBSTITUTE($H1141," ","")," ","")&lt;&gt;SUBSTITUTE(SUBSTITUTE(INDEX(職員マスタ!$B$6:$B$405,$AP1141)," ","")," ","")),"氏名がマスタと相違／","")&amp;IF(AND($Q1141&lt;&gt;"",INDEX(職員マスタ!$E$6:$E$405,$AP1141)&lt;&gt;"",$Q1141&lt;&gt;INDEX(職員マスタ!$E$6:$E$405,$AP1141)),"子の生年月日がマスタと相違／","")&amp;IF(AND($L1141&lt;&gt;"",INDEX(職員マスタ!$G$6:$G$405,$AP1141)&lt;&gt;"",$L1141&lt;&gt;INDEX(職員マスタ!$G$6:$G$405,$AP1141)),"時短開始日がマスタと相違／","")&amp;IF(AND($M1141&lt;&gt;"",INDEX(職員マスタ!$H$6:$H$405,$AP1141)&lt;&gt;"",$M1141&lt;&gt;INDEX(職員マスタ!$H$6:$H$405,$AP1141)),"時短終了日がマスタと相違／","")))&amp;IF(AND($B1141&lt;&gt;"",$E1141=""),"報酬額が未入力／","")&amp;IF(N($U1141)&gt;0,"申請書に入力エラーが残っています／","")&amp;IF(AND($B1141&lt;&gt;"",$AQ1141&lt;&gt;""),IF(COUNTIFS($B$6:$B$3005,$B1141,$C$6:$C$3005,$C1141,$D$6:$D$3005,$D1141)&gt;1,"同じ月の請求が重複しています／",""),"")&amp;IF(AND(N($E1141)&gt;0,$AB1141&lt;&gt;"",$AB1141&lt;&gt;"×",$AE1141=0,$AD1141=""),"計算額が下限以下のため不支給／",""))</f>
        <v/>
      </c>
      <c r="AN1141" s="12" t="n"/>
      <c r="AO1141" s="14">
        <f>IF($AF1141="保留中",COUNTIF($AF$6:$AF1141,"保留中"),"")</f>
        <v/>
      </c>
      <c r="AP1141" s="14">
        <f>IF($AQ1141="","",IF(SUMPRODUCT(MAX((職員マスタ!$A$6:$A$405=$B1141)*(((職員マスタ!$G$6:$G$405="")+(職員マスタ!$G$6:$G$405&lt;=EOMONTH($AQ1141,0)))&gt;0)*(((職員マスタ!$H$6:$H$405="")+(職員マスタ!$H$6:$H$405&gt;=$AQ1141))&gt;0)*(ROW(職員マスタ!$A$6:$A$405)-5)))&gt;0,SUMPRODUCT(MAX((職員マスタ!$A$6:$A$405=$B1141)*(((職員マスタ!$G$6:$G$405="")+(職員マスタ!$G$6:$G$405&lt;=EOMONTH($AQ1141,0)))&gt;0)*(((職員マスタ!$H$6:$H$405="")+(職員マスタ!$H$6:$H$405&gt;=$AQ1141))&gt;0)*(ROW(職員マスタ!$A$6:$A$405)-5))),IFERROR(MATCH($B1141,職員マスタ!$A$6:$A$405,0),"")))</f>
        <v/>
      </c>
      <c r="AQ1141" s="16">
        <f>IF(OR($B1141="",$C1141="",$D1141=""),"",DATE($C1141+2018,$D1141,1))</f>
        <v/>
      </c>
    </row>
    <row r="1142">
      <c r="A1142" s="11" t="n"/>
      <c r="B1142" s="12" t="n"/>
      <c r="C1142" s="12" t="n"/>
      <c r="D1142" s="12" t="n"/>
      <c r="E1142" s="13" t="n"/>
      <c r="F1142" s="12" t="n"/>
      <c r="G1142" s="13" t="n"/>
      <c r="H1142" s="12" t="n"/>
      <c r="I1142" s="12" t="n"/>
      <c r="J1142" s="12" t="n"/>
      <c r="K1142" s="12" t="n"/>
      <c r="L1142" s="11" t="n"/>
      <c r="M1142" s="11" t="n"/>
      <c r="N1142" s="11" t="n"/>
      <c r="O1142" s="11" t="n"/>
      <c r="P1142" s="12" t="n"/>
      <c r="Q1142" s="11" t="n"/>
      <c r="R1142" s="12" t="n"/>
      <c r="S1142" s="11" t="n"/>
      <c r="T1142" s="12" t="n"/>
      <c r="U1142" s="12" t="n"/>
      <c r="V1142" s="12" t="n"/>
      <c r="W1142" s="13" t="n"/>
      <c r="X1142" s="14">
        <f>IF($AP1142="",IF($B1142="","",$H1142),IF(INDEX(職員マスタ!$B$6:$B$405,$AP1142)="",$H1142,INDEX(職員マスタ!$B$6:$B$405,$AP1142)))</f>
        <v/>
      </c>
      <c r="Y1142" s="14">
        <f>IF($AP1142="",IF($B1142="","",$R1142),IF(INDEX(職員マスタ!$C$6:$C$405,$AP1142)="",$R1142,INDEX(職員マスタ!$C$6:$C$405,$AP1142)))</f>
        <v/>
      </c>
      <c r="Z1142" s="14">
        <f>IF($AQ1142="","","R"&amp;$C1142&amp;"."&amp;$D1142)</f>
        <v/>
      </c>
      <c r="AA1142" s="15">
        <f>IF(IF($AP1142="",FALSE,INDEX(職員マスタ!$K$6:$K$405,$AP1142)&lt;&gt;""),INDEX(職員マスタ!$K$6:$K$405,$AP1142),IF(N($W1142)&gt;0,$W1142,""))</f>
        <v/>
      </c>
      <c r="AB1142" s="14">
        <f>IF(OR($E1142="",$AA1142=""),"",IF($E1142&gt;=$AA1142,"×",IF($E1142&gt;=$AA1142*設定!$C$5,"△","○")))</f>
        <v/>
      </c>
      <c r="AC1142" s="15">
        <f>IF($AB1142="","",IF($AB1142="×",0,IF($AB1142="○",ROUNDDOWN($E1142*設定!$C$4,0),ROUNDDOWN($E1142*ROUND((9*$AA1142-9*$E1142)/(10*$E1142),4),0))))</f>
        <v/>
      </c>
      <c r="AD1142" s="13" t="n"/>
      <c r="AE1142" s="15">
        <f>IF($B1142="","",IF($AD1142&lt;&gt;"",$AD1142,IF($AC1142="","",IF($AC1142&lt;=設定!$C$3,0,$AC1142))))</f>
        <v/>
      </c>
      <c r="AF1142" s="14">
        <f>IF($B1142="","",IF(AND($AG1142&lt;&gt;"",$AI1142="",$AL1142=""),"保留中",IF($AL1142&lt;&gt;"",IF(N($AE1142)&gt;0,"支給済","不支給"),IF($AE1142="","要確認",IF($AE1142=0,"不支給","未処理")))))</f>
        <v/>
      </c>
      <c r="AG1142" s="12" t="n"/>
      <c r="AH1142" s="11" t="n"/>
      <c r="AI1142" s="11" t="n"/>
      <c r="AJ1142" s="11" t="n"/>
      <c r="AK1142" s="14">
        <f>IF(AND($AF1142="保留中",$AH1142&lt;&gt;""),TODAY()-$AH1142,"")</f>
        <v/>
      </c>
      <c r="AL1142" s="12" t="n"/>
      <c r="AM1142" s="14">
        <f>IF($B1142="","",IF($AQ1142="","対象年月が未入力／","")&amp;IF($B1142="","",IF($AP1142="","職員マスタに未登録の職員番号／",IF($AA1142="","標準報酬月額が未登録／","")&amp;IF(AND($AQ1142&lt;&gt;"",OR(AND(INDEX(職員マスタ!$G$6:$G$405,$AP1142)&lt;&gt;"",INDEX(職員マスタ!$G$6:$G$405,$AP1142)&gt;EOMONTH($AQ1142,0)),AND(INDEX(職員マスタ!$H$6:$H$405,$AP1142)&lt;&gt;"",INDEX(職員マスタ!$H$6:$H$405,$AP1142)&lt;$AQ1142))),"対象月が時短期間外／","")&amp;IF(AND(INDEX(職員マスタ!$K$6:$K$405,$AP1142)&lt;&gt;"",N($W1142)&gt;0,INDEX(職員マスタ!$K$6:$K$405,$AP1142)&lt;&gt;$W1142),"標準報酬月額が申請書と相違（台帳"&amp;TEXT(INDEX(職員マスタ!$K$6:$K$405,$AP1142),"#,##0")&amp;"円／申請書"&amp;TEXT($W1142,"#,##0")&amp;"円）／","")&amp;IF(AND(INDEX(職員マスタ!$F$6:$F$405,$AP1142)&lt;&gt;"",$AQ1142&lt;&gt;"",INDEX(職員マスタ!$F$6:$F$405,$AP1142)&lt;$AQ1142),"対象月に子が2歳到達済／","")&amp;IF(AND($H1142&lt;&gt;"",INDEX(職員マスタ!$B$6:$B$405,$AP1142)&lt;&gt;"",SUBSTITUTE(SUBSTITUTE($H1142," ","")," ","")&lt;&gt;SUBSTITUTE(SUBSTITUTE(INDEX(職員マスタ!$B$6:$B$405,$AP1142)," ","")," ","")),"氏名がマスタと相違／","")&amp;IF(AND($Q1142&lt;&gt;"",INDEX(職員マスタ!$E$6:$E$405,$AP1142)&lt;&gt;"",$Q1142&lt;&gt;INDEX(職員マスタ!$E$6:$E$405,$AP1142)),"子の生年月日がマスタと相違／","")&amp;IF(AND($L1142&lt;&gt;"",INDEX(職員マスタ!$G$6:$G$405,$AP1142)&lt;&gt;"",$L1142&lt;&gt;INDEX(職員マスタ!$G$6:$G$405,$AP1142)),"時短開始日がマスタと相違／","")&amp;IF(AND($M1142&lt;&gt;"",INDEX(職員マスタ!$H$6:$H$405,$AP1142)&lt;&gt;"",$M1142&lt;&gt;INDEX(職員マスタ!$H$6:$H$405,$AP1142)),"時短終了日がマスタと相違／","")))&amp;IF(AND($B1142&lt;&gt;"",$E1142=""),"報酬額が未入力／","")&amp;IF(N($U1142)&gt;0,"申請書に入力エラーが残っています／","")&amp;IF(AND($B1142&lt;&gt;"",$AQ1142&lt;&gt;""),IF(COUNTIFS($B$6:$B$3005,$B1142,$C$6:$C$3005,$C1142,$D$6:$D$3005,$D1142)&gt;1,"同じ月の請求が重複しています／",""),"")&amp;IF(AND(N($E1142)&gt;0,$AB1142&lt;&gt;"",$AB1142&lt;&gt;"×",$AE1142=0,$AD1142=""),"計算額が下限以下のため不支給／",""))</f>
        <v/>
      </c>
      <c r="AN1142" s="12" t="n"/>
      <c r="AO1142" s="14">
        <f>IF($AF1142="保留中",COUNTIF($AF$6:$AF1142,"保留中"),"")</f>
        <v/>
      </c>
      <c r="AP1142" s="14">
        <f>IF($AQ1142="","",IF(SUMPRODUCT(MAX((職員マスタ!$A$6:$A$405=$B1142)*(((職員マスタ!$G$6:$G$405="")+(職員マスタ!$G$6:$G$405&lt;=EOMONTH($AQ1142,0)))&gt;0)*(((職員マスタ!$H$6:$H$405="")+(職員マスタ!$H$6:$H$405&gt;=$AQ1142))&gt;0)*(ROW(職員マスタ!$A$6:$A$405)-5)))&gt;0,SUMPRODUCT(MAX((職員マスタ!$A$6:$A$405=$B1142)*(((職員マスタ!$G$6:$G$405="")+(職員マスタ!$G$6:$G$405&lt;=EOMONTH($AQ1142,0)))&gt;0)*(((職員マスタ!$H$6:$H$405="")+(職員マスタ!$H$6:$H$405&gt;=$AQ1142))&gt;0)*(ROW(職員マスタ!$A$6:$A$405)-5))),IFERROR(MATCH($B1142,職員マスタ!$A$6:$A$405,0),"")))</f>
        <v/>
      </c>
      <c r="AQ1142" s="16">
        <f>IF(OR($B1142="",$C1142="",$D1142=""),"",DATE($C1142+2018,$D1142,1))</f>
        <v/>
      </c>
    </row>
    <row r="1143">
      <c r="A1143" s="11" t="n"/>
      <c r="B1143" s="12" t="n"/>
      <c r="C1143" s="12" t="n"/>
      <c r="D1143" s="12" t="n"/>
      <c r="E1143" s="13" t="n"/>
      <c r="F1143" s="12" t="n"/>
      <c r="G1143" s="13" t="n"/>
      <c r="H1143" s="12" t="n"/>
      <c r="I1143" s="12" t="n"/>
      <c r="J1143" s="12" t="n"/>
      <c r="K1143" s="12" t="n"/>
      <c r="L1143" s="11" t="n"/>
      <c r="M1143" s="11" t="n"/>
      <c r="N1143" s="11" t="n"/>
      <c r="O1143" s="11" t="n"/>
      <c r="P1143" s="12" t="n"/>
      <c r="Q1143" s="11" t="n"/>
      <c r="R1143" s="12" t="n"/>
      <c r="S1143" s="11" t="n"/>
      <c r="T1143" s="12" t="n"/>
      <c r="U1143" s="12" t="n"/>
      <c r="V1143" s="12" t="n"/>
      <c r="W1143" s="13" t="n"/>
      <c r="X1143" s="14">
        <f>IF($AP1143="",IF($B1143="","",$H1143),IF(INDEX(職員マスタ!$B$6:$B$405,$AP1143)="",$H1143,INDEX(職員マスタ!$B$6:$B$405,$AP1143)))</f>
        <v/>
      </c>
      <c r="Y1143" s="14">
        <f>IF($AP1143="",IF($B1143="","",$R1143),IF(INDEX(職員マスタ!$C$6:$C$405,$AP1143)="",$R1143,INDEX(職員マスタ!$C$6:$C$405,$AP1143)))</f>
        <v/>
      </c>
      <c r="Z1143" s="14">
        <f>IF($AQ1143="","","R"&amp;$C1143&amp;"."&amp;$D1143)</f>
        <v/>
      </c>
      <c r="AA1143" s="15">
        <f>IF(IF($AP1143="",FALSE,INDEX(職員マスタ!$K$6:$K$405,$AP1143)&lt;&gt;""),INDEX(職員マスタ!$K$6:$K$405,$AP1143),IF(N($W1143)&gt;0,$W1143,""))</f>
        <v/>
      </c>
      <c r="AB1143" s="14">
        <f>IF(OR($E1143="",$AA1143=""),"",IF($E1143&gt;=$AA1143,"×",IF($E1143&gt;=$AA1143*設定!$C$5,"△","○")))</f>
        <v/>
      </c>
      <c r="AC1143" s="15">
        <f>IF($AB1143="","",IF($AB1143="×",0,IF($AB1143="○",ROUNDDOWN($E1143*設定!$C$4,0),ROUNDDOWN($E1143*ROUND((9*$AA1143-9*$E1143)/(10*$E1143),4),0))))</f>
        <v/>
      </c>
      <c r="AD1143" s="13" t="n"/>
      <c r="AE1143" s="15">
        <f>IF($B1143="","",IF($AD1143&lt;&gt;"",$AD1143,IF($AC1143="","",IF($AC1143&lt;=設定!$C$3,0,$AC1143))))</f>
        <v/>
      </c>
      <c r="AF1143" s="14">
        <f>IF($B1143="","",IF(AND($AG1143&lt;&gt;"",$AI1143="",$AL1143=""),"保留中",IF($AL1143&lt;&gt;"",IF(N($AE1143)&gt;0,"支給済","不支給"),IF($AE1143="","要確認",IF($AE1143=0,"不支給","未処理")))))</f>
        <v/>
      </c>
      <c r="AG1143" s="12" t="n"/>
      <c r="AH1143" s="11" t="n"/>
      <c r="AI1143" s="11" t="n"/>
      <c r="AJ1143" s="11" t="n"/>
      <c r="AK1143" s="14">
        <f>IF(AND($AF1143="保留中",$AH1143&lt;&gt;""),TODAY()-$AH1143,"")</f>
        <v/>
      </c>
      <c r="AL1143" s="12" t="n"/>
      <c r="AM1143" s="14">
        <f>IF($B1143="","",IF($AQ1143="","対象年月が未入力／","")&amp;IF($B1143="","",IF($AP1143="","職員マスタに未登録の職員番号／",IF($AA1143="","標準報酬月額が未登録／","")&amp;IF(AND($AQ1143&lt;&gt;"",OR(AND(INDEX(職員マスタ!$G$6:$G$405,$AP1143)&lt;&gt;"",INDEX(職員マスタ!$G$6:$G$405,$AP1143)&gt;EOMONTH($AQ1143,0)),AND(INDEX(職員マスタ!$H$6:$H$405,$AP1143)&lt;&gt;"",INDEX(職員マスタ!$H$6:$H$405,$AP1143)&lt;$AQ1143))),"対象月が時短期間外／","")&amp;IF(AND(INDEX(職員マスタ!$K$6:$K$405,$AP1143)&lt;&gt;"",N($W1143)&gt;0,INDEX(職員マスタ!$K$6:$K$405,$AP1143)&lt;&gt;$W1143),"標準報酬月額が申請書と相違（台帳"&amp;TEXT(INDEX(職員マスタ!$K$6:$K$405,$AP1143),"#,##0")&amp;"円／申請書"&amp;TEXT($W1143,"#,##0")&amp;"円）／","")&amp;IF(AND(INDEX(職員マスタ!$F$6:$F$405,$AP1143)&lt;&gt;"",$AQ1143&lt;&gt;"",INDEX(職員マスタ!$F$6:$F$405,$AP1143)&lt;$AQ1143),"対象月に子が2歳到達済／","")&amp;IF(AND($H1143&lt;&gt;"",INDEX(職員マスタ!$B$6:$B$405,$AP1143)&lt;&gt;"",SUBSTITUTE(SUBSTITUTE($H1143," ","")," ","")&lt;&gt;SUBSTITUTE(SUBSTITUTE(INDEX(職員マスタ!$B$6:$B$405,$AP1143)," ","")," ","")),"氏名がマスタと相違／","")&amp;IF(AND($Q1143&lt;&gt;"",INDEX(職員マスタ!$E$6:$E$405,$AP1143)&lt;&gt;"",$Q1143&lt;&gt;INDEX(職員マスタ!$E$6:$E$405,$AP1143)),"子の生年月日がマスタと相違／","")&amp;IF(AND($L1143&lt;&gt;"",INDEX(職員マスタ!$G$6:$G$405,$AP1143)&lt;&gt;"",$L1143&lt;&gt;INDEX(職員マスタ!$G$6:$G$405,$AP1143)),"時短開始日がマスタと相違／","")&amp;IF(AND($M1143&lt;&gt;"",INDEX(職員マスタ!$H$6:$H$405,$AP1143)&lt;&gt;"",$M1143&lt;&gt;INDEX(職員マスタ!$H$6:$H$405,$AP1143)),"時短終了日がマスタと相違／","")))&amp;IF(AND($B1143&lt;&gt;"",$E1143=""),"報酬額が未入力／","")&amp;IF(N($U1143)&gt;0,"申請書に入力エラーが残っています／","")&amp;IF(AND($B1143&lt;&gt;"",$AQ1143&lt;&gt;""),IF(COUNTIFS($B$6:$B$3005,$B1143,$C$6:$C$3005,$C1143,$D$6:$D$3005,$D1143)&gt;1,"同じ月の請求が重複しています／",""),"")&amp;IF(AND(N($E1143)&gt;0,$AB1143&lt;&gt;"",$AB1143&lt;&gt;"×",$AE1143=0,$AD1143=""),"計算額が下限以下のため不支給／",""))</f>
        <v/>
      </c>
      <c r="AN1143" s="12" t="n"/>
      <c r="AO1143" s="14">
        <f>IF($AF1143="保留中",COUNTIF($AF$6:$AF1143,"保留中"),"")</f>
        <v/>
      </c>
      <c r="AP1143" s="14">
        <f>IF($AQ1143="","",IF(SUMPRODUCT(MAX((職員マスタ!$A$6:$A$405=$B1143)*(((職員マスタ!$G$6:$G$405="")+(職員マスタ!$G$6:$G$405&lt;=EOMONTH($AQ1143,0)))&gt;0)*(((職員マスタ!$H$6:$H$405="")+(職員マスタ!$H$6:$H$405&gt;=$AQ1143))&gt;0)*(ROW(職員マスタ!$A$6:$A$405)-5)))&gt;0,SUMPRODUCT(MAX((職員マスタ!$A$6:$A$405=$B1143)*(((職員マスタ!$G$6:$G$405="")+(職員マスタ!$G$6:$G$405&lt;=EOMONTH($AQ1143,0)))&gt;0)*(((職員マスタ!$H$6:$H$405="")+(職員マスタ!$H$6:$H$405&gt;=$AQ1143))&gt;0)*(ROW(職員マスタ!$A$6:$A$405)-5))),IFERROR(MATCH($B1143,職員マスタ!$A$6:$A$405,0),"")))</f>
        <v/>
      </c>
      <c r="AQ1143" s="16">
        <f>IF(OR($B1143="",$C1143="",$D1143=""),"",DATE($C1143+2018,$D1143,1))</f>
        <v/>
      </c>
    </row>
    <row r="1144">
      <c r="A1144" s="11" t="n"/>
      <c r="B1144" s="12" t="n"/>
      <c r="C1144" s="12" t="n"/>
      <c r="D1144" s="12" t="n"/>
      <c r="E1144" s="13" t="n"/>
      <c r="F1144" s="12" t="n"/>
      <c r="G1144" s="13" t="n"/>
      <c r="H1144" s="12" t="n"/>
      <c r="I1144" s="12" t="n"/>
      <c r="J1144" s="12" t="n"/>
      <c r="K1144" s="12" t="n"/>
      <c r="L1144" s="11" t="n"/>
      <c r="M1144" s="11" t="n"/>
      <c r="N1144" s="11" t="n"/>
      <c r="O1144" s="11" t="n"/>
      <c r="P1144" s="12" t="n"/>
      <c r="Q1144" s="11" t="n"/>
      <c r="R1144" s="12" t="n"/>
      <c r="S1144" s="11" t="n"/>
      <c r="T1144" s="12" t="n"/>
      <c r="U1144" s="12" t="n"/>
      <c r="V1144" s="12" t="n"/>
      <c r="W1144" s="13" t="n"/>
      <c r="X1144" s="14">
        <f>IF($AP1144="",IF($B1144="","",$H1144),IF(INDEX(職員マスタ!$B$6:$B$405,$AP1144)="",$H1144,INDEX(職員マスタ!$B$6:$B$405,$AP1144)))</f>
        <v/>
      </c>
      <c r="Y1144" s="14">
        <f>IF($AP1144="",IF($B1144="","",$R1144),IF(INDEX(職員マスタ!$C$6:$C$405,$AP1144)="",$R1144,INDEX(職員マスタ!$C$6:$C$405,$AP1144)))</f>
        <v/>
      </c>
      <c r="Z1144" s="14">
        <f>IF($AQ1144="","","R"&amp;$C1144&amp;"."&amp;$D1144)</f>
        <v/>
      </c>
      <c r="AA1144" s="15">
        <f>IF(IF($AP1144="",FALSE,INDEX(職員マスタ!$K$6:$K$405,$AP1144)&lt;&gt;""),INDEX(職員マスタ!$K$6:$K$405,$AP1144),IF(N($W1144)&gt;0,$W1144,""))</f>
        <v/>
      </c>
      <c r="AB1144" s="14">
        <f>IF(OR($E1144="",$AA1144=""),"",IF($E1144&gt;=$AA1144,"×",IF($E1144&gt;=$AA1144*設定!$C$5,"△","○")))</f>
        <v/>
      </c>
      <c r="AC1144" s="15">
        <f>IF($AB1144="","",IF($AB1144="×",0,IF($AB1144="○",ROUNDDOWN($E1144*設定!$C$4,0),ROUNDDOWN($E1144*ROUND((9*$AA1144-9*$E1144)/(10*$E1144),4),0))))</f>
        <v/>
      </c>
      <c r="AD1144" s="13" t="n"/>
      <c r="AE1144" s="15">
        <f>IF($B1144="","",IF($AD1144&lt;&gt;"",$AD1144,IF($AC1144="","",IF($AC1144&lt;=設定!$C$3,0,$AC1144))))</f>
        <v/>
      </c>
      <c r="AF1144" s="14">
        <f>IF($B1144="","",IF(AND($AG1144&lt;&gt;"",$AI1144="",$AL1144=""),"保留中",IF($AL1144&lt;&gt;"",IF(N($AE1144)&gt;0,"支給済","不支給"),IF($AE1144="","要確認",IF($AE1144=0,"不支給","未処理")))))</f>
        <v/>
      </c>
      <c r="AG1144" s="12" t="n"/>
      <c r="AH1144" s="11" t="n"/>
      <c r="AI1144" s="11" t="n"/>
      <c r="AJ1144" s="11" t="n"/>
      <c r="AK1144" s="14">
        <f>IF(AND($AF1144="保留中",$AH1144&lt;&gt;""),TODAY()-$AH1144,"")</f>
        <v/>
      </c>
      <c r="AL1144" s="12" t="n"/>
      <c r="AM1144" s="14">
        <f>IF($B1144="","",IF($AQ1144="","対象年月が未入力／","")&amp;IF($B1144="","",IF($AP1144="","職員マスタに未登録の職員番号／",IF($AA1144="","標準報酬月額が未登録／","")&amp;IF(AND($AQ1144&lt;&gt;"",OR(AND(INDEX(職員マスタ!$G$6:$G$405,$AP1144)&lt;&gt;"",INDEX(職員マスタ!$G$6:$G$405,$AP1144)&gt;EOMONTH($AQ1144,0)),AND(INDEX(職員マスタ!$H$6:$H$405,$AP1144)&lt;&gt;"",INDEX(職員マスタ!$H$6:$H$405,$AP1144)&lt;$AQ1144))),"対象月が時短期間外／","")&amp;IF(AND(INDEX(職員マスタ!$K$6:$K$405,$AP1144)&lt;&gt;"",N($W1144)&gt;0,INDEX(職員マスタ!$K$6:$K$405,$AP1144)&lt;&gt;$W1144),"標準報酬月額が申請書と相違（台帳"&amp;TEXT(INDEX(職員マスタ!$K$6:$K$405,$AP1144),"#,##0")&amp;"円／申請書"&amp;TEXT($W1144,"#,##0")&amp;"円）／","")&amp;IF(AND(INDEX(職員マスタ!$F$6:$F$405,$AP1144)&lt;&gt;"",$AQ1144&lt;&gt;"",INDEX(職員マスタ!$F$6:$F$405,$AP1144)&lt;$AQ1144),"対象月に子が2歳到達済／","")&amp;IF(AND($H1144&lt;&gt;"",INDEX(職員マスタ!$B$6:$B$405,$AP1144)&lt;&gt;"",SUBSTITUTE(SUBSTITUTE($H1144," ","")," ","")&lt;&gt;SUBSTITUTE(SUBSTITUTE(INDEX(職員マスタ!$B$6:$B$405,$AP1144)," ","")," ","")),"氏名がマスタと相違／","")&amp;IF(AND($Q1144&lt;&gt;"",INDEX(職員マスタ!$E$6:$E$405,$AP1144)&lt;&gt;"",$Q1144&lt;&gt;INDEX(職員マスタ!$E$6:$E$405,$AP1144)),"子の生年月日がマスタと相違／","")&amp;IF(AND($L1144&lt;&gt;"",INDEX(職員マスタ!$G$6:$G$405,$AP1144)&lt;&gt;"",$L1144&lt;&gt;INDEX(職員マスタ!$G$6:$G$405,$AP1144)),"時短開始日がマスタと相違／","")&amp;IF(AND($M1144&lt;&gt;"",INDEX(職員マスタ!$H$6:$H$405,$AP1144)&lt;&gt;"",$M1144&lt;&gt;INDEX(職員マスタ!$H$6:$H$405,$AP1144)),"時短終了日がマスタと相違／","")))&amp;IF(AND($B1144&lt;&gt;"",$E1144=""),"報酬額が未入力／","")&amp;IF(N($U1144)&gt;0,"申請書に入力エラーが残っています／","")&amp;IF(AND($B1144&lt;&gt;"",$AQ1144&lt;&gt;""),IF(COUNTIFS($B$6:$B$3005,$B1144,$C$6:$C$3005,$C1144,$D$6:$D$3005,$D1144)&gt;1,"同じ月の請求が重複しています／",""),"")&amp;IF(AND(N($E1144)&gt;0,$AB1144&lt;&gt;"",$AB1144&lt;&gt;"×",$AE1144=0,$AD1144=""),"計算額が下限以下のため不支給／",""))</f>
        <v/>
      </c>
      <c r="AN1144" s="12" t="n"/>
      <c r="AO1144" s="14">
        <f>IF($AF1144="保留中",COUNTIF($AF$6:$AF1144,"保留中"),"")</f>
        <v/>
      </c>
      <c r="AP1144" s="14">
        <f>IF($AQ1144="","",IF(SUMPRODUCT(MAX((職員マスタ!$A$6:$A$405=$B1144)*(((職員マスタ!$G$6:$G$405="")+(職員マスタ!$G$6:$G$405&lt;=EOMONTH($AQ1144,0)))&gt;0)*(((職員マスタ!$H$6:$H$405="")+(職員マスタ!$H$6:$H$405&gt;=$AQ1144))&gt;0)*(ROW(職員マスタ!$A$6:$A$405)-5)))&gt;0,SUMPRODUCT(MAX((職員マスタ!$A$6:$A$405=$B1144)*(((職員マスタ!$G$6:$G$405="")+(職員マスタ!$G$6:$G$405&lt;=EOMONTH($AQ1144,0)))&gt;0)*(((職員マスタ!$H$6:$H$405="")+(職員マスタ!$H$6:$H$405&gt;=$AQ1144))&gt;0)*(ROW(職員マスタ!$A$6:$A$405)-5))),IFERROR(MATCH($B1144,職員マスタ!$A$6:$A$405,0),"")))</f>
        <v/>
      </c>
      <c r="AQ1144" s="16">
        <f>IF(OR($B1144="",$C1144="",$D1144=""),"",DATE($C1144+2018,$D1144,1))</f>
        <v/>
      </c>
    </row>
    <row r="1145">
      <c r="A1145" s="11" t="n"/>
      <c r="B1145" s="12" t="n"/>
      <c r="C1145" s="12" t="n"/>
      <c r="D1145" s="12" t="n"/>
      <c r="E1145" s="13" t="n"/>
      <c r="F1145" s="12" t="n"/>
      <c r="G1145" s="13" t="n"/>
      <c r="H1145" s="12" t="n"/>
      <c r="I1145" s="12" t="n"/>
      <c r="J1145" s="12" t="n"/>
      <c r="K1145" s="12" t="n"/>
      <c r="L1145" s="11" t="n"/>
      <c r="M1145" s="11" t="n"/>
      <c r="N1145" s="11" t="n"/>
      <c r="O1145" s="11" t="n"/>
      <c r="P1145" s="12" t="n"/>
      <c r="Q1145" s="11" t="n"/>
      <c r="R1145" s="12" t="n"/>
      <c r="S1145" s="11" t="n"/>
      <c r="T1145" s="12" t="n"/>
      <c r="U1145" s="12" t="n"/>
      <c r="V1145" s="12" t="n"/>
      <c r="W1145" s="13" t="n"/>
      <c r="X1145" s="14">
        <f>IF($AP1145="",IF($B1145="","",$H1145),IF(INDEX(職員マスタ!$B$6:$B$405,$AP1145)="",$H1145,INDEX(職員マスタ!$B$6:$B$405,$AP1145)))</f>
        <v/>
      </c>
      <c r="Y1145" s="14">
        <f>IF($AP1145="",IF($B1145="","",$R1145),IF(INDEX(職員マスタ!$C$6:$C$405,$AP1145)="",$R1145,INDEX(職員マスタ!$C$6:$C$405,$AP1145)))</f>
        <v/>
      </c>
      <c r="Z1145" s="14">
        <f>IF($AQ1145="","","R"&amp;$C1145&amp;"."&amp;$D1145)</f>
        <v/>
      </c>
      <c r="AA1145" s="15">
        <f>IF(IF($AP1145="",FALSE,INDEX(職員マスタ!$K$6:$K$405,$AP1145)&lt;&gt;""),INDEX(職員マスタ!$K$6:$K$405,$AP1145),IF(N($W1145)&gt;0,$W1145,""))</f>
        <v/>
      </c>
      <c r="AB1145" s="14">
        <f>IF(OR($E1145="",$AA1145=""),"",IF($E1145&gt;=$AA1145,"×",IF($E1145&gt;=$AA1145*設定!$C$5,"△","○")))</f>
        <v/>
      </c>
      <c r="AC1145" s="15">
        <f>IF($AB1145="","",IF($AB1145="×",0,IF($AB1145="○",ROUNDDOWN($E1145*設定!$C$4,0),ROUNDDOWN($E1145*ROUND((9*$AA1145-9*$E1145)/(10*$E1145),4),0))))</f>
        <v/>
      </c>
      <c r="AD1145" s="13" t="n"/>
      <c r="AE1145" s="15">
        <f>IF($B1145="","",IF($AD1145&lt;&gt;"",$AD1145,IF($AC1145="","",IF($AC1145&lt;=設定!$C$3,0,$AC1145))))</f>
        <v/>
      </c>
      <c r="AF1145" s="14">
        <f>IF($B1145="","",IF(AND($AG1145&lt;&gt;"",$AI1145="",$AL1145=""),"保留中",IF($AL1145&lt;&gt;"",IF(N($AE1145)&gt;0,"支給済","不支給"),IF($AE1145="","要確認",IF($AE1145=0,"不支給","未処理")))))</f>
        <v/>
      </c>
      <c r="AG1145" s="12" t="n"/>
      <c r="AH1145" s="11" t="n"/>
      <c r="AI1145" s="11" t="n"/>
      <c r="AJ1145" s="11" t="n"/>
      <c r="AK1145" s="14">
        <f>IF(AND($AF1145="保留中",$AH1145&lt;&gt;""),TODAY()-$AH1145,"")</f>
        <v/>
      </c>
      <c r="AL1145" s="12" t="n"/>
      <c r="AM1145" s="14">
        <f>IF($B1145="","",IF($AQ1145="","対象年月が未入力／","")&amp;IF($B1145="","",IF($AP1145="","職員マスタに未登録の職員番号／",IF($AA1145="","標準報酬月額が未登録／","")&amp;IF(AND($AQ1145&lt;&gt;"",OR(AND(INDEX(職員マスタ!$G$6:$G$405,$AP1145)&lt;&gt;"",INDEX(職員マスタ!$G$6:$G$405,$AP1145)&gt;EOMONTH($AQ1145,0)),AND(INDEX(職員マスタ!$H$6:$H$405,$AP1145)&lt;&gt;"",INDEX(職員マスタ!$H$6:$H$405,$AP1145)&lt;$AQ1145))),"対象月が時短期間外／","")&amp;IF(AND(INDEX(職員マスタ!$K$6:$K$405,$AP1145)&lt;&gt;"",N($W1145)&gt;0,INDEX(職員マスタ!$K$6:$K$405,$AP1145)&lt;&gt;$W1145),"標準報酬月額が申請書と相違（台帳"&amp;TEXT(INDEX(職員マスタ!$K$6:$K$405,$AP1145),"#,##0")&amp;"円／申請書"&amp;TEXT($W1145,"#,##0")&amp;"円）／","")&amp;IF(AND(INDEX(職員マスタ!$F$6:$F$405,$AP1145)&lt;&gt;"",$AQ1145&lt;&gt;"",INDEX(職員マスタ!$F$6:$F$405,$AP1145)&lt;$AQ1145),"対象月に子が2歳到達済／","")&amp;IF(AND($H1145&lt;&gt;"",INDEX(職員マスタ!$B$6:$B$405,$AP1145)&lt;&gt;"",SUBSTITUTE(SUBSTITUTE($H1145," ","")," ","")&lt;&gt;SUBSTITUTE(SUBSTITUTE(INDEX(職員マスタ!$B$6:$B$405,$AP1145)," ","")," ","")),"氏名がマスタと相違／","")&amp;IF(AND($Q1145&lt;&gt;"",INDEX(職員マスタ!$E$6:$E$405,$AP1145)&lt;&gt;"",$Q1145&lt;&gt;INDEX(職員マスタ!$E$6:$E$405,$AP1145)),"子の生年月日がマスタと相違／","")&amp;IF(AND($L1145&lt;&gt;"",INDEX(職員マスタ!$G$6:$G$405,$AP1145)&lt;&gt;"",$L1145&lt;&gt;INDEX(職員マスタ!$G$6:$G$405,$AP1145)),"時短開始日がマスタと相違／","")&amp;IF(AND($M1145&lt;&gt;"",INDEX(職員マスタ!$H$6:$H$405,$AP1145)&lt;&gt;"",$M1145&lt;&gt;INDEX(職員マスタ!$H$6:$H$405,$AP1145)),"時短終了日がマスタと相違／","")))&amp;IF(AND($B1145&lt;&gt;"",$E1145=""),"報酬額が未入力／","")&amp;IF(N($U1145)&gt;0,"申請書に入力エラーが残っています／","")&amp;IF(AND($B1145&lt;&gt;"",$AQ1145&lt;&gt;""),IF(COUNTIFS($B$6:$B$3005,$B1145,$C$6:$C$3005,$C1145,$D$6:$D$3005,$D1145)&gt;1,"同じ月の請求が重複しています／",""),"")&amp;IF(AND(N($E1145)&gt;0,$AB1145&lt;&gt;"",$AB1145&lt;&gt;"×",$AE1145=0,$AD1145=""),"計算額が下限以下のため不支給／",""))</f>
        <v/>
      </c>
      <c r="AN1145" s="12" t="n"/>
      <c r="AO1145" s="14">
        <f>IF($AF1145="保留中",COUNTIF($AF$6:$AF1145,"保留中"),"")</f>
        <v/>
      </c>
      <c r="AP1145" s="14">
        <f>IF($AQ1145="","",IF(SUMPRODUCT(MAX((職員マスタ!$A$6:$A$405=$B1145)*(((職員マスタ!$G$6:$G$405="")+(職員マスタ!$G$6:$G$405&lt;=EOMONTH($AQ1145,0)))&gt;0)*(((職員マスタ!$H$6:$H$405="")+(職員マスタ!$H$6:$H$405&gt;=$AQ1145))&gt;0)*(ROW(職員マスタ!$A$6:$A$405)-5)))&gt;0,SUMPRODUCT(MAX((職員マスタ!$A$6:$A$405=$B1145)*(((職員マスタ!$G$6:$G$405="")+(職員マスタ!$G$6:$G$405&lt;=EOMONTH($AQ1145,0)))&gt;0)*(((職員マスタ!$H$6:$H$405="")+(職員マスタ!$H$6:$H$405&gt;=$AQ1145))&gt;0)*(ROW(職員マスタ!$A$6:$A$405)-5))),IFERROR(MATCH($B1145,職員マスタ!$A$6:$A$405,0),"")))</f>
        <v/>
      </c>
      <c r="AQ1145" s="16">
        <f>IF(OR($B1145="",$C1145="",$D1145=""),"",DATE($C1145+2018,$D1145,1))</f>
        <v/>
      </c>
    </row>
    <row r="1146">
      <c r="A1146" s="11" t="n"/>
      <c r="B1146" s="12" t="n"/>
      <c r="C1146" s="12" t="n"/>
      <c r="D1146" s="12" t="n"/>
      <c r="E1146" s="13" t="n"/>
      <c r="F1146" s="12" t="n"/>
      <c r="G1146" s="13" t="n"/>
      <c r="H1146" s="12" t="n"/>
      <c r="I1146" s="12" t="n"/>
      <c r="J1146" s="12" t="n"/>
      <c r="K1146" s="12" t="n"/>
      <c r="L1146" s="11" t="n"/>
      <c r="M1146" s="11" t="n"/>
      <c r="N1146" s="11" t="n"/>
      <c r="O1146" s="11" t="n"/>
      <c r="P1146" s="12" t="n"/>
      <c r="Q1146" s="11" t="n"/>
      <c r="R1146" s="12" t="n"/>
      <c r="S1146" s="11" t="n"/>
      <c r="T1146" s="12" t="n"/>
      <c r="U1146" s="12" t="n"/>
      <c r="V1146" s="12" t="n"/>
      <c r="W1146" s="13" t="n"/>
      <c r="X1146" s="14">
        <f>IF($AP1146="",IF($B1146="","",$H1146),IF(INDEX(職員マスタ!$B$6:$B$405,$AP1146)="",$H1146,INDEX(職員マスタ!$B$6:$B$405,$AP1146)))</f>
        <v/>
      </c>
      <c r="Y1146" s="14">
        <f>IF($AP1146="",IF($B1146="","",$R1146),IF(INDEX(職員マスタ!$C$6:$C$405,$AP1146)="",$R1146,INDEX(職員マスタ!$C$6:$C$405,$AP1146)))</f>
        <v/>
      </c>
      <c r="Z1146" s="14">
        <f>IF($AQ1146="","","R"&amp;$C1146&amp;"."&amp;$D1146)</f>
        <v/>
      </c>
      <c r="AA1146" s="15">
        <f>IF(IF($AP1146="",FALSE,INDEX(職員マスタ!$K$6:$K$405,$AP1146)&lt;&gt;""),INDEX(職員マスタ!$K$6:$K$405,$AP1146),IF(N($W1146)&gt;0,$W1146,""))</f>
        <v/>
      </c>
      <c r="AB1146" s="14">
        <f>IF(OR($E1146="",$AA1146=""),"",IF($E1146&gt;=$AA1146,"×",IF($E1146&gt;=$AA1146*設定!$C$5,"△","○")))</f>
        <v/>
      </c>
      <c r="AC1146" s="15">
        <f>IF($AB1146="","",IF($AB1146="×",0,IF($AB1146="○",ROUNDDOWN($E1146*設定!$C$4,0),ROUNDDOWN($E1146*ROUND((9*$AA1146-9*$E1146)/(10*$E1146),4),0))))</f>
        <v/>
      </c>
      <c r="AD1146" s="13" t="n"/>
      <c r="AE1146" s="15">
        <f>IF($B1146="","",IF($AD1146&lt;&gt;"",$AD1146,IF($AC1146="","",IF($AC1146&lt;=設定!$C$3,0,$AC1146))))</f>
        <v/>
      </c>
      <c r="AF1146" s="14">
        <f>IF($B1146="","",IF(AND($AG1146&lt;&gt;"",$AI1146="",$AL1146=""),"保留中",IF($AL1146&lt;&gt;"",IF(N($AE1146)&gt;0,"支給済","不支給"),IF($AE1146="","要確認",IF($AE1146=0,"不支給","未処理")))))</f>
        <v/>
      </c>
      <c r="AG1146" s="12" t="n"/>
      <c r="AH1146" s="11" t="n"/>
      <c r="AI1146" s="11" t="n"/>
      <c r="AJ1146" s="11" t="n"/>
      <c r="AK1146" s="14">
        <f>IF(AND($AF1146="保留中",$AH1146&lt;&gt;""),TODAY()-$AH1146,"")</f>
        <v/>
      </c>
      <c r="AL1146" s="12" t="n"/>
      <c r="AM1146" s="14">
        <f>IF($B1146="","",IF($AQ1146="","対象年月が未入力／","")&amp;IF($B1146="","",IF($AP1146="","職員マスタに未登録の職員番号／",IF($AA1146="","標準報酬月額が未登録／","")&amp;IF(AND($AQ1146&lt;&gt;"",OR(AND(INDEX(職員マスタ!$G$6:$G$405,$AP1146)&lt;&gt;"",INDEX(職員マスタ!$G$6:$G$405,$AP1146)&gt;EOMONTH($AQ1146,0)),AND(INDEX(職員マスタ!$H$6:$H$405,$AP1146)&lt;&gt;"",INDEX(職員マスタ!$H$6:$H$405,$AP1146)&lt;$AQ1146))),"対象月が時短期間外／","")&amp;IF(AND(INDEX(職員マスタ!$K$6:$K$405,$AP1146)&lt;&gt;"",N($W1146)&gt;0,INDEX(職員マスタ!$K$6:$K$405,$AP1146)&lt;&gt;$W1146),"標準報酬月額が申請書と相違（台帳"&amp;TEXT(INDEX(職員マスタ!$K$6:$K$405,$AP1146),"#,##0")&amp;"円／申請書"&amp;TEXT($W1146,"#,##0")&amp;"円）／","")&amp;IF(AND(INDEX(職員マスタ!$F$6:$F$405,$AP1146)&lt;&gt;"",$AQ1146&lt;&gt;"",INDEX(職員マスタ!$F$6:$F$405,$AP1146)&lt;$AQ1146),"対象月に子が2歳到達済／","")&amp;IF(AND($H1146&lt;&gt;"",INDEX(職員マスタ!$B$6:$B$405,$AP1146)&lt;&gt;"",SUBSTITUTE(SUBSTITUTE($H1146," ","")," ","")&lt;&gt;SUBSTITUTE(SUBSTITUTE(INDEX(職員マスタ!$B$6:$B$405,$AP1146)," ","")," ","")),"氏名がマスタと相違／","")&amp;IF(AND($Q1146&lt;&gt;"",INDEX(職員マスタ!$E$6:$E$405,$AP1146)&lt;&gt;"",$Q1146&lt;&gt;INDEX(職員マスタ!$E$6:$E$405,$AP1146)),"子の生年月日がマスタと相違／","")&amp;IF(AND($L1146&lt;&gt;"",INDEX(職員マスタ!$G$6:$G$405,$AP1146)&lt;&gt;"",$L1146&lt;&gt;INDEX(職員マスタ!$G$6:$G$405,$AP1146)),"時短開始日がマスタと相違／","")&amp;IF(AND($M1146&lt;&gt;"",INDEX(職員マスタ!$H$6:$H$405,$AP1146)&lt;&gt;"",$M1146&lt;&gt;INDEX(職員マスタ!$H$6:$H$405,$AP1146)),"時短終了日がマスタと相違／","")))&amp;IF(AND($B1146&lt;&gt;"",$E1146=""),"報酬額が未入力／","")&amp;IF(N($U1146)&gt;0,"申請書に入力エラーが残っています／","")&amp;IF(AND($B1146&lt;&gt;"",$AQ1146&lt;&gt;""),IF(COUNTIFS($B$6:$B$3005,$B1146,$C$6:$C$3005,$C1146,$D$6:$D$3005,$D1146)&gt;1,"同じ月の請求が重複しています／",""),"")&amp;IF(AND(N($E1146)&gt;0,$AB1146&lt;&gt;"",$AB1146&lt;&gt;"×",$AE1146=0,$AD1146=""),"計算額が下限以下のため不支給／",""))</f>
        <v/>
      </c>
      <c r="AN1146" s="12" t="n"/>
      <c r="AO1146" s="14">
        <f>IF($AF1146="保留中",COUNTIF($AF$6:$AF1146,"保留中"),"")</f>
        <v/>
      </c>
      <c r="AP1146" s="14">
        <f>IF($AQ1146="","",IF(SUMPRODUCT(MAX((職員マスタ!$A$6:$A$405=$B1146)*(((職員マスタ!$G$6:$G$405="")+(職員マスタ!$G$6:$G$405&lt;=EOMONTH($AQ1146,0)))&gt;0)*(((職員マスタ!$H$6:$H$405="")+(職員マスタ!$H$6:$H$405&gt;=$AQ1146))&gt;0)*(ROW(職員マスタ!$A$6:$A$405)-5)))&gt;0,SUMPRODUCT(MAX((職員マスタ!$A$6:$A$405=$B1146)*(((職員マスタ!$G$6:$G$405="")+(職員マスタ!$G$6:$G$405&lt;=EOMONTH($AQ1146,0)))&gt;0)*(((職員マスタ!$H$6:$H$405="")+(職員マスタ!$H$6:$H$405&gt;=$AQ1146))&gt;0)*(ROW(職員マスタ!$A$6:$A$405)-5))),IFERROR(MATCH($B1146,職員マスタ!$A$6:$A$405,0),"")))</f>
        <v/>
      </c>
      <c r="AQ1146" s="16">
        <f>IF(OR($B1146="",$C1146="",$D1146=""),"",DATE($C1146+2018,$D1146,1))</f>
        <v/>
      </c>
    </row>
    <row r="1147">
      <c r="A1147" s="11" t="n"/>
      <c r="B1147" s="12" t="n"/>
      <c r="C1147" s="12" t="n"/>
      <c r="D1147" s="12" t="n"/>
      <c r="E1147" s="13" t="n"/>
      <c r="F1147" s="12" t="n"/>
      <c r="G1147" s="13" t="n"/>
      <c r="H1147" s="12" t="n"/>
      <c r="I1147" s="12" t="n"/>
      <c r="J1147" s="12" t="n"/>
      <c r="K1147" s="12" t="n"/>
      <c r="L1147" s="11" t="n"/>
      <c r="M1147" s="11" t="n"/>
      <c r="N1147" s="11" t="n"/>
      <c r="O1147" s="11" t="n"/>
      <c r="P1147" s="12" t="n"/>
      <c r="Q1147" s="11" t="n"/>
      <c r="R1147" s="12" t="n"/>
      <c r="S1147" s="11" t="n"/>
      <c r="T1147" s="12" t="n"/>
      <c r="U1147" s="12" t="n"/>
      <c r="V1147" s="12" t="n"/>
      <c r="W1147" s="13" t="n"/>
      <c r="X1147" s="14">
        <f>IF($AP1147="",IF($B1147="","",$H1147),IF(INDEX(職員マスタ!$B$6:$B$405,$AP1147)="",$H1147,INDEX(職員マスタ!$B$6:$B$405,$AP1147)))</f>
        <v/>
      </c>
      <c r="Y1147" s="14">
        <f>IF($AP1147="",IF($B1147="","",$R1147),IF(INDEX(職員マスタ!$C$6:$C$405,$AP1147)="",$R1147,INDEX(職員マスタ!$C$6:$C$405,$AP1147)))</f>
        <v/>
      </c>
      <c r="Z1147" s="14">
        <f>IF($AQ1147="","","R"&amp;$C1147&amp;"."&amp;$D1147)</f>
        <v/>
      </c>
      <c r="AA1147" s="15">
        <f>IF(IF($AP1147="",FALSE,INDEX(職員マスタ!$K$6:$K$405,$AP1147)&lt;&gt;""),INDEX(職員マスタ!$K$6:$K$405,$AP1147),IF(N($W1147)&gt;0,$W1147,""))</f>
        <v/>
      </c>
      <c r="AB1147" s="14">
        <f>IF(OR($E1147="",$AA1147=""),"",IF($E1147&gt;=$AA1147,"×",IF($E1147&gt;=$AA1147*設定!$C$5,"△","○")))</f>
        <v/>
      </c>
      <c r="AC1147" s="15">
        <f>IF($AB1147="","",IF($AB1147="×",0,IF($AB1147="○",ROUNDDOWN($E1147*設定!$C$4,0),ROUNDDOWN($E1147*ROUND((9*$AA1147-9*$E1147)/(10*$E1147),4),0))))</f>
        <v/>
      </c>
      <c r="AD1147" s="13" t="n"/>
      <c r="AE1147" s="15">
        <f>IF($B1147="","",IF($AD1147&lt;&gt;"",$AD1147,IF($AC1147="","",IF($AC1147&lt;=設定!$C$3,0,$AC1147))))</f>
        <v/>
      </c>
      <c r="AF1147" s="14">
        <f>IF($B1147="","",IF(AND($AG1147&lt;&gt;"",$AI1147="",$AL1147=""),"保留中",IF($AL1147&lt;&gt;"",IF(N($AE1147)&gt;0,"支給済","不支給"),IF($AE1147="","要確認",IF($AE1147=0,"不支給","未処理")))))</f>
        <v/>
      </c>
      <c r="AG1147" s="12" t="n"/>
      <c r="AH1147" s="11" t="n"/>
      <c r="AI1147" s="11" t="n"/>
      <c r="AJ1147" s="11" t="n"/>
      <c r="AK1147" s="14">
        <f>IF(AND($AF1147="保留中",$AH1147&lt;&gt;""),TODAY()-$AH1147,"")</f>
        <v/>
      </c>
      <c r="AL1147" s="12" t="n"/>
      <c r="AM1147" s="14">
        <f>IF($B1147="","",IF($AQ1147="","対象年月が未入力／","")&amp;IF($B1147="","",IF($AP1147="","職員マスタに未登録の職員番号／",IF($AA1147="","標準報酬月額が未登録／","")&amp;IF(AND($AQ1147&lt;&gt;"",OR(AND(INDEX(職員マスタ!$G$6:$G$405,$AP1147)&lt;&gt;"",INDEX(職員マスタ!$G$6:$G$405,$AP1147)&gt;EOMONTH($AQ1147,0)),AND(INDEX(職員マスタ!$H$6:$H$405,$AP1147)&lt;&gt;"",INDEX(職員マスタ!$H$6:$H$405,$AP1147)&lt;$AQ1147))),"対象月が時短期間外／","")&amp;IF(AND(INDEX(職員マスタ!$K$6:$K$405,$AP1147)&lt;&gt;"",N($W1147)&gt;0,INDEX(職員マスタ!$K$6:$K$405,$AP1147)&lt;&gt;$W1147),"標準報酬月額が申請書と相違（台帳"&amp;TEXT(INDEX(職員マスタ!$K$6:$K$405,$AP1147),"#,##0")&amp;"円／申請書"&amp;TEXT($W1147,"#,##0")&amp;"円）／","")&amp;IF(AND(INDEX(職員マスタ!$F$6:$F$405,$AP1147)&lt;&gt;"",$AQ1147&lt;&gt;"",INDEX(職員マスタ!$F$6:$F$405,$AP1147)&lt;$AQ1147),"対象月に子が2歳到達済／","")&amp;IF(AND($H1147&lt;&gt;"",INDEX(職員マスタ!$B$6:$B$405,$AP1147)&lt;&gt;"",SUBSTITUTE(SUBSTITUTE($H1147," ","")," ","")&lt;&gt;SUBSTITUTE(SUBSTITUTE(INDEX(職員マスタ!$B$6:$B$405,$AP1147)," ","")," ","")),"氏名がマスタと相違／","")&amp;IF(AND($Q1147&lt;&gt;"",INDEX(職員マスタ!$E$6:$E$405,$AP1147)&lt;&gt;"",$Q1147&lt;&gt;INDEX(職員マスタ!$E$6:$E$405,$AP1147)),"子の生年月日がマスタと相違／","")&amp;IF(AND($L1147&lt;&gt;"",INDEX(職員マスタ!$G$6:$G$405,$AP1147)&lt;&gt;"",$L1147&lt;&gt;INDEX(職員マスタ!$G$6:$G$405,$AP1147)),"時短開始日がマスタと相違／","")&amp;IF(AND($M1147&lt;&gt;"",INDEX(職員マスタ!$H$6:$H$405,$AP1147)&lt;&gt;"",$M1147&lt;&gt;INDEX(職員マスタ!$H$6:$H$405,$AP1147)),"時短終了日がマスタと相違／","")))&amp;IF(AND($B1147&lt;&gt;"",$E1147=""),"報酬額が未入力／","")&amp;IF(N($U1147)&gt;0,"申請書に入力エラーが残っています／","")&amp;IF(AND($B1147&lt;&gt;"",$AQ1147&lt;&gt;""),IF(COUNTIFS($B$6:$B$3005,$B1147,$C$6:$C$3005,$C1147,$D$6:$D$3005,$D1147)&gt;1,"同じ月の請求が重複しています／",""),"")&amp;IF(AND(N($E1147)&gt;0,$AB1147&lt;&gt;"",$AB1147&lt;&gt;"×",$AE1147=0,$AD1147=""),"計算額が下限以下のため不支給／",""))</f>
        <v/>
      </c>
      <c r="AN1147" s="12" t="n"/>
      <c r="AO1147" s="14">
        <f>IF($AF1147="保留中",COUNTIF($AF$6:$AF1147,"保留中"),"")</f>
        <v/>
      </c>
      <c r="AP1147" s="14">
        <f>IF($AQ1147="","",IF(SUMPRODUCT(MAX((職員マスタ!$A$6:$A$405=$B1147)*(((職員マスタ!$G$6:$G$405="")+(職員マスタ!$G$6:$G$405&lt;=EOMONTH($AQ1147,0)))&gt;0)*(((職員マスタ!$H$6:$H$405="")+(職員マスタ!$H$6:$H$405&gt;=$AQ1147))&gt;0)*(ROW(職員マスタ!$A$6:$A$405)-5)))&gt;0,SUMPRODUCT(MAX((職員マスタ!$A$6:$A$405=$B1147)*(((職員マスタ!$G$6:$G$405="")+(職員マスタ!$G$6:$G$405&lt;=EOMONTH($AQ1147,0)))&gt;0)*(((職員マスタ!$H$6:$H$405="")+(職員マスタ!$H$6:$H$405&gt;=$AQ1147))&gt;0)*(ROW(職員マスタ!$A$6:$A$405)-5))),IFERROR(MATCH($B1147,職員マスタ!$A$6:$A$405,0),"")))</f>
        <v/>
      </c>
      <c r="AQ1147" s="16">
        <f>IF(OR($B1147="",$C1147="",$D1147=""),"",DATE($C1147+2018,$D1147,1))</f>
        <v/>
      </c>
    </row>
    <row r="1148">
      <c r="A1148" s="11" t="n"/>
      <c r="B1148" s="12" t="n"/>
      <c r="C1148" s="12" t="n"/>
      <c r="D1148" s="12" t="n"/>
      <c r="E1148" s="13" t="n"/>
      <c r="F1148" s="12" t="n"/>
      <c r="G1148" s="13" t="n"/>
      <c r="H1148" s="12" t="n"/>
      <c r="I1148" s="12" t="n"/>
      <c r="J1148" s="12" t="n"/>
      <c r="K1148" s="12" t="n"/>
      <c r="L1148" s="11" t="n"/>
      <c r="M1148" s="11" t="n"/>
      <c r="N1148" s="11" t="n"/>
      <c r="O1148" s="11" t="n"/>
      <c r="P1148" s="12" t="n"/>
      <c r="Q1148" s="11" t="n"/>
      <c r="R1148" s="12" t="n"/>
      <c r="S1148" s="11" t="n"/>
      <c r="T1148" s="12" t="n"/>
      <c r="U1148" s="12" t="n"/>
      <c r="V1148" s="12" t="n"/>
      <c r="W1148" s="13" t="n"/>
      <c r="X1148" s="14">
        <f>IF($AP1148="",IF($B1148="","",$H1148),IF(INDEX(職員マスタ!$B$6:$B$405,$AP1148)="",$H1148,INDEX(職員マスタ!$B$6:$B$405,$AP1148)))</f>
        <v/>
      </c>
      <c r="Y1148" s="14">
        <f>IF($AP1148="",IF($B1148="","",$R1148),IF(INDEX(職員マスタ!$C$6:$C$405,$AP1148)="",$R1148,INDEX(職員マスタ!$C$6:$C$405,$AP1148)))</f>
        <v/>
      </c>
      <c r="Z1148" s="14">
        <f>IF($AQ1148="","","R"&amp;$C1148&amp;"."&amp;$D1148)</f>
        <v/>
      </c>
      <c r="AA1148" s="15">
        <f>IF(IF($AP1148="",FALSE,INDEX(職員マスタ!$K$6:$K$405,$AP1148)&lt;&gt;""),INDEX(職員マスタ!$K$6:$K$405,$AP1148),IF(N($W1148)&gt;0,$W1148,""))</f>
        <v/>
      </c>
      <c r="AB1148" s="14">
        <f>IF(OR($E1148="",$AA1148=""),"",IF($E1148&gt;=$AA1148,"×",IF($E1148&gt;=$AA1148*設定!$C$5,"△","○")))</f>
        <v/>
      </c>
      <c r="AC1148" s="15">
        <f>IF($AB1148="","",IF($AB1148="×",0,IF($AB1148="○",ROUNDDOWN($E1148*設定!$C$4,0),ROUNDDOWN($E1148*ROUND((9*$AA1148-9*$E1148)/(10*$E1148),4),0))))</f>
        <v/>
      </c>
      <c r="AD1148" s="13" t="n"/>
      <c r="AE1148" s="15">
        <f>IF($B1148="","",IF($AD1148&lt;&gt;"",$AD1148,IF($AC1148="","",IF($AC1148&lt;=設定!$C$3,0,$AC1148))))</f>
        <v/>
      </c>
      <c r="AF1148" s="14">
        <f>IF($B1148="","",IF(AND($AG1148&lt;&gt;"",$AI1148="",$AL1148=""),"保留中",IF($AL1148&lt;&gt;"",IF(N($AE1148)&gt;0,"支給済","不支給"),IF($AE1148="","要確認",IF($AE1148=0,"不支給","未処理")))))</f>
        <v/>
      </c>
      <c r="AG1148" s="12" t="n"/>
      <c r="AH1148" s="11" t="n"/>
      <c r="AI1148" s="11" t="n"/>
      <c r="AJ1148" s="11" t="n"/>
      <c r="AK1148" s="14">
        <f>IF(AND($AF1148="保留中",$AH1148&lt;&gt;""),TODAY()-$AH1148,"")</f>
        <v/>
      </c>
      <c r="AL1148" s="12" t="n"/>
      <c r="AM1148" s="14">
        <f>IF($B1148="","",IF($AQ1148="","対象年月が未入力／","")&amp;IF($B1148="","",IF($AP1148="","職員マスタに未登録の職員番号／",IF($AA1148="","標準報酬月額が未登録／","")&amp;IF(AND($AQ1148&lt;&gt;"",OR(AND(INDEX(職員マスタ!$G$6:$G$405,$AP1148)&lt;&gt;"",INDEX(職員マスタ!$G$6:$G$405,$AP1148)&gt;EOMONTH($AQ1148,0)),AND(INDEX(職員マスタ!$H$6:$H$405,$AP1148)&lt;&gt;"",INDEX(職員マスタ!$H$6:$H$405,$AP1148)&lt;$AQ1148))),"対象月が時短期間外／","")&amp;IF(AND(INDEX(職員マスタ!$K$6:$K$405,$AP1148)&lt;&gt;"",N($W1148)&gt;0,INDEX(職員マスタ!$K$6:$K$405,$AP1148)&lt;&gt;$W1148),"標準報酬月額が申請書と相違（台帳"&amp;TEXT(INDEX(職員マスタ!$K$6:$K$405,$AP1148),"#,##0")&amp;"円／申請書"&amp;TEXT($W1148,"#,##0")&amp;"円）／","")&amp;IF(AND(INDEX(職員マスタ!$F$6:$F$405,$AP1148)&lt;&gt;"",$AQ1148&lt;&gt;"",INDEX(職員マスタ!$F$6:$F$405,$AP1148)&lt;$AQ1148),"対象月に子が2歳到達済／","")&amp;IF(AND($H1148&lt;&gt;"",INDEX(職員マスタ!$B$6:$B$405,$AP1148)&lt;&gt;"",SUBSTITUTE(SUBSTITUTE($H1148," ","")," ","")&lt;&gt;SUBSTITUTE(SUBSTITUTE(INDEX(職員マスタ!$B$6:$B$405,$AP1148)," ","")," ","")),"氏名がマスタと相違／","")&amp;IF(AND($Q1148&lt;&gt;"",INDEX(職員マスタ!$E$6:$E$405,$AP1148)&lt;&gt;"",$Q1148&lt;&gt;INDEX(職員マスタ!$E$6:$E$405,$AP1148)),"子の生年月日がマスタと相違／","")&amp;IF(AND($L1148&lt;&gt;"",INDEX(職員マスタ!$G$6:$G$405,$AP1148)&lt;&gt;"",$L1148&lt;&gt;INDEX(職員マスタ!$G$6:$G$405,$AP1148)),"時短開始日がマスタと相違／","")&amp;IF(AND($M1148&lt;&gt;"",INDEX(職員マスタ!$H$6:$H$405,$AP1148)&lt;&gt;"",$M1148&lt;&gt;INDEX(職員マスタ!$H$6:$H$405,$AP1148)),"時短終了日がマスタと相違／","")))&amp;IF(AND($B1148&lt;&gt;"",$E1148=""),"報酬額が未入力／","")&amp;IF(N($U1148)&gt;0,"申請書に入力エラーが残っています／","")&amp;IF(AND($B1148&lt;&gt;"",$AQ1148&lt;&gt;""),IF(COUNTIFS($B$6:$B$3005,$B1148,$C$6:$C$3005,$C1148,$D$6:$D$3005,$D1148)&gt;1,"同じ月の請求が重複しています／",""),"")&amp;IF(AND(N($E1148)&gt;0,$AB1148&lt;&gt;"",$AB1148&lt;&gt;"×",$AE1148=0,$AD1148=""),"計算額が下限以下のため不支給／",""))</f>
        <v/>
      </c>
      <c r="AN1148" s="12" t="n"/>
      <c r="AO1148" s="14">
        <f>IF($AF1148="保留中",COUNTIF($AF$6:$AF1148,"保留中"),"")</f>
        <v/>
      </c>
      <c r="AP1148" s="14">
        <f>IF($AQ1148="","",IF(SUMPRODUCT(MAX((職員マスタ!$A$6:$A$405=$B1148)*(((職員マスタ!$G$6:$G$405="")+(職員マスタ!$G$6:$G$405&lt;=EOMONTH($AQ1148,0)))&gt;0)*(((職員マスタ!$H$6:$H$405="")+(職員マスタ!$H$6:$H$405&gt;=$AQ1148))&gt;0)*(ROW(職員マスタ!$A$6:$A$405)-5)))&gt;0,SUMPRODUCT(MAX((職員マスタ!$A$6:$A$405=$B1148)*(((職員マスタ!$G$6:$G$405="")+(職員マスタ!$G$6:$G$405&lt;=EOMONTH($AQ1148,0)))&gt;0)*(((職員マスタ!$H$6:$H$405="")+(職員マスタ!$H$6:$H$405&gt;=$AQ1148))&gt;0)*(ROW(職員マスタ!$A$6:$A$405)-5))),IFERROR(MATCH($B1148,職員マスタ!$A$6:$A$405,0),"")))</f>
        <v/>
      </c>
      <c r="AQ1148" s="16">
        <f>IF(OR($B1148="",$C1148="",$D1148=""),"",DATE($C1148+2018,$D1148,1))</f>
        <v/>
      </c>
    </row>
    <row r="1149">
      <c r="A1149" s="11" t="n"/>
      <c r="B1149" s="12" t="n"/>
      <c r="C1149" s="12" t="n"/>
      <c r="D1149" s="12" t="n"/>
      <c r="E1149" s="13" t="n"/>
      <c r="F1149" s="12" t="n"/>
      <c r="G1149" s="13" t="n"/>
      <c r="H1149" s="12" t="n"/>
      <c r="I1149" s="12" t="n"/>
      <c r="J1149" s="12" t="n"/>
      <c r="K1149" s="12" t="n"/>
      <c r="L1149" s="11" t="n"/>
      <c r="M1149" s="11" t="n"/>
      <c r="N1149" s="11" t="n"/>
      <c r="O1149" s="11" t="n"/>
      <c r="P1149" s="12" t="n"/>
      <c r="Q1149" s="11" t="n"/>
      <c r="R1149" s="12" t="n"/>
      <c r="S1149" s="11" t="n"/>
      <c r="T1149" s="12" t="n"/>
      <c r="U1149" s="12" t="n"/>
      <c r="V1149" s="12" t="n"/>
      <c r="W1149" s="13" t="n"/>
      <c r="X1149" s="14">
        <f>IF($AP1149="",IF($B1149="","",$H1149),IF(INDEX(職員マスタ!$B$6:$B$405,$AP1149)="",$H1149,INDEX(職員マスタ!$B$6:$B$405,$AP1149)))</f>
        <v/>
      </c>
      <c r="Y1149" s="14">
        <f>IF($AP1149="",IF($B1149="","",$R1149),IF(INDEX(職員マスタ!$C$6:$C$405,$AP1149)="",$R1149,INDEX(職員マスタ!$C$6:$C$405,$AP1149)))</f>
        <v/>
      </c>
      <c r="Z1149" s="14">
        <f>IF($AQ1149="","","R"&amp;$C1149&amp;"."&amp;$D1149)</f>
        <v/>
      </c>
      <c r="AA1149" s="15">
        <f>IF(IF($AP1149="",FALSE,INDEX(職員マスタ!$K$6:$K$405,$AP1149)&lt;&gt;""),INDEX(職員マスタ!$K$6:$K$405,$AP1149),IF(N($W1149)&gt;0,$W1149,""))</f>
        <v/>
      </c>
      <c r="AB1149" s="14">
        <f>IF(OR($E1149="",$AA1149=""),"",IF($E1149&gt;=$AA1149,"×",IF($E1149&gt;=$AA1149*設定!$C$5,"△","○")))</f>
        <v/>
      </c>
      <c r="AC1149" s="15">
        <f>IF($AB1149="","",IF($AB1149="×",0,IF($AB1149="○",ROUNDDOWN($E1149*設定!$C$4,0),ROUNDDOWN($E1149*ROUND((9*$AA1149-9*$E1149)/(10*$E1149),4),0))))</f>
        <v/>
      </c>
      <c r="AD1149" s="13" t="n"/>
      <c r="AE1149" s="15">
        <f>IF($B1149="","",IF($AD1149&lt;&gt;"",$AD1149,IF($AC1149="","",IF($AC1149&lt;=設定!$C$3,0,$AC1149))))</f>
        <v/>
      </c>
      <c r="AF1149" s="14">
        <f>IF($B1149="","",IF(AND($AG1149&lt;&gt;"",$AI1149="",$AL1149=""),"保留中",IF($AL1149&lt;&gt;"",IF(N($AE1149)&gt;0,"支給済","不支給"),IF($AE1149="","要確認",IF($AE1149=0,"不支給","未処理")))))</f>
        <v/>
      </c>
      <c r="AG1149" s="12" t="n"/>
      <c r="AH1149" s="11" t="n"/>
      <c r="AI1149" s="11" t="n"/>
      <c r="AJ1149" s="11" t="n"/>
      <c r="AK1149" s="14">
        <f>IF(AND($AF1149="保留中",$AH1149&lt;&gt;""),TODAY()-$AH1149,"")</f>
        <v/>
      </c>
      <c r="AL1149" s="12" t="n"/>
      <c r="AM1149" s="14">
        <f>IF($B1149="","",IF($AQ1149="","対象年月が未入力／","")&amp;IF($B1149="","",IF($AP1149="","職員マスタに未登録の職員番号／",IF($AA1149="","標準報酬月額が未登録／","")&amp;IF(AND($AQ1149&lt;&gt;"",OR(AND(INDEX(職員マスタ!$G$6:$G$405,$AP1149)&lt;&gt;"",INDEX(職員マスタ!$G$6:$G$405,$AP1149)&gt;EOMONTH($AQ1149,0)),AND(INDEX(職員マスタ!$H$6:$H$405,$AP1149)&lt;&gt;"",INDEX(職員マスタ!$H$6:$H$405,$AP1149)&lt;$AQ1149))),"対象月が時短期間外／","")&amp;IF(AND(INDEX(職員マスタ!$K$6:$K$405,$AP1149)&lt;&gt;"",N($W1149)&gt;0,INDEX(職員マスタ!$K$6:$K$405,$AP1149)&lt;&gt;$W1149),"標準報酬月額が申請書と相違（台帳"&amp;TEXT(INDEX(職員マスタ!$K$6:$K$405,$AP1149),"#,##0")&amp;"円／申請書"&amp;TEXT($W1149,"#,##0")&amp;"円）／","")&amp;IF(AND(INDEX(職員マスタ!$F$6:$F$405,$AP1149)&lt;&gt;"",$AQ1149&lt;&gt;"",INDEX(職員マスタ!$F$6:$F$405,$AP1149)&lt;$AQ1149),"対象月に子が2歳到達済／","")&amp;IF(AND($H1149&lt;&gt;"",INDEX(職員マスタ!$B$6:$B$405,$AP1149)&lt;&gt;"",SUBSTITUTE(SUBSTITUTE($H1149," ","")," ","")&lt;&gt;SUBSTITUTE(SUBSTITUTE(INDEX(職員マスタ!$B$6:$B$405,$AP1149)," ","")," ","")),"氏名がマスタと相違／","")&amp;IF(AND($Q1149&lt;&gt;"",INDEX(職員マスタ!$E$6:$E$405,$AP1149)&lt;&gt;"",$Q1149&lt;&gt;INDEX(職員マスタ!$E$6:$E$405,$AP1149)),"子の生年月日がマスタと相違／","")&amp;IF(AND($L1149&lt;&gt;"",INDEX(職員マスタ!$G$6:$G$405,$AP1149)&lt;&gt;"",$L1149&lt;&gt;INDEX(職員マスタ!$G$6:$G$405,$AP1149)),"時短開始日がマスタと相違／","")&amp;IF(AND($M1149&lt;&gt;"",INDEX(職員マスタ!$H$6:$H$405,$AP1149)&lt;&gt;"",$M1149&lt;&gt;INDEX(職員マスタ!$H$6:$H$405,$AP1149)),"時短終了日がマスタと相違／","")))&amp;IF(AND($B1149&lt;&gt;"",$E1149=""),"報酬額が未入力／","")&amp;IF(N($U1149)&gt;0,"申請書に入力エラーが残っています／","")&amp;IF(AND($B1149&lt;&gt;"",$AQ1149&lt;&gt;""),IF(COUNTIFS($B$6:$B$3005,$B1149,$C$6:$C$3005,$C1149,$D$6:$D$3005,$D1149)&gt;1,"同じ月の請求が重複しています／",""),"")&amp;IF(AND(N($E1149)&gt;0,$AB1149&lt;&gt;"",$AB1149&lt;&gt;"×",$AE1149=0,$AD1149=""),"計算額が下限以下のため不支給／",""))</f>
        <v/>
      </c>
      <c r="AN1149" s="12" t="n"/>
      <c r="AO1149" s="14">
        <f>IF($AF1149="保留中",COUNTIF($AF$6:$AF1149,"保留中"),"")</f>
        <v/>
      </c>
      <c r="AP1149" s="14">
        <f>IF($AQ1149="","",IF(SUMPRODUCT(MAX((職員マスタ!$A$6:$A$405=$B1149)*(((職員マスタ!$G$6:$G$405="")+(職員マスタ!$G$6:$G$405&lt;=EOMONTH($AQ1149,0)))&gt;0)*(((職員マスタ!$H$6:$H$405="")+(職員マスタ!$H$6:$H$405&gt;=$AQ1149))&gt;0)*(ROW(職員マスタ!$A$6:$A$405)-5)))&gt;0,SUMPRODUCT(MAX((職員マスタ!$A$6:$A$405=$B1149)*(((職員マスタ!$G$6:$G$405="")+(職員マスタ!$G$6:$G$405&lt;=EOMONTH($AQ1149,0)))&gt;0)*(((職員マスタ!$H$6:$H$405="")+(職員マスタ!$H$6:$H$405&gt;=$AQ1149))&gt;0)*(ROW(職員マスタ!$A$6:$A$405)-5))),IFERROR(MATCH($B1149,職員マスタ!$A$6:$A$405,0),"")))</f>
        <v/>
      </c>
      <c r="AQ1149" s="16">
        <f>IF(OR($B1149="",$C1149="",$D1149=""),"",DATE($C1149+2018,$D1149,1))</f>
        <v/>
      </c>
    </row>
    <row r="1150">
      <c r="A1150" s="11" t="n"/>
      <c r="B1150" s="12" t="n"/>
      <c r="C1150" s="12" t="n"/>
      <c r="D1150" s="12" t="n"/>
      <c r="E1150" s="13" t="n"/>
      <c r="F1150" s="12" t="n"/>
      <c r="G1150" s="13" t="n"/>
      <c r="H1150" s="12" t="n"/>
      <c r="I1150" s="12" t="n"/>
      <c r="J1150" s="12" t="n"/>
      <c r="K1150" s="12" t="n"/>
      <c r="L1150" s="11" t="n"/>
      <c r="M1150" s="11" t="n"/>
      <c r="N1150" s="11" t="n"/>
      <c r="O1150" s="11" t="n"/>
      <c r="P1150" s="12" t="n"/>
      <c r="Q1150" s="11" t="n"/>
      <c r="R1150" s="12" t="n"/>
      <c r="S1150" s="11" t="n"/>
      <c r="T1150" s="12" t="n"/>
      <c r="U1150" s="12" t="n"/>
      <c r="V1150" s="12" t="n"/>
      <c r="W1150" s="13" t="n"/>
      <c r="X1150" s="14">
        <f>IF($AP1150="",IF($B1150="","",$H1150),IF(INDEX(職員マスタ!$B$6:$B$405,$AP1150)="",$H1150,INDEX(職員マスタ!$B$6:$B$405,$AP1150)))</f>
        <v/>
      </c>
      <c r="Y1150" s="14">
        <f>IF($AP1150="",IF($B1150="","",$R1150),IF(INDEX(職員マスタ!$C$6:$C$405,$AP1150)="",$R1150,INDEX(職員マスタ!$C$6:$C$405,$AP1150)))</f>
        <v/>
      </c>
      <c r="Z1150" s="14">
        <f>IF($AQ1150="","","R"&amp;$C1150&amp;"."&amp;$D1150)</f>
        <v/>
      </c>
      <c r="AA1150" s="15">
        <f>IF(IF($AP1150="",FALSE,INDEX(職員マスタ!$K$6:$K$405,$AP1150)&lt;&gt;""),INDEX(職員マスタ!$K$6:$K$405,$AP1150),IF(N($W1150)&gt;0,$W1150,""))</f>
        <v/>
      </c>
      <c r="AB1150" s="14">
        <f>IF(OR($E1150="",$AA1150=""),"",IF($E1150&gt;=$AA1150,"×",IF($E1150&gt;=$AA1150*設定!$C$5,"△","○")))</f>
        <v/>
      </c>
      <c r="AC1150" s="15">
        <f>IF($AB1150="","",IF($AB1150="×",0,IF($AB1150="○",ROUNDDOWN($E1150*設定!$C$4,0),ROUNDDOWN($E1150*ROUND((9*$AA1150-9*$E1150)/(10*$E1150),4),0))))</f>
        <v/>
      </c>
      <c r="AD1150" s="13" t="n"/>
      <c r="AE1150" s="15">
        <f>IF($B1150="","",IF($AD1150&lt;&gt;"",$AD1150,IF($AC1150="","",IF($AC1150&lt;=設定!$C$3,0,$AC1150))))</f>
        <v/>
      </c>
      <c r="AF1150" s="14">
        <f>IF($B1150="","",IF(AND($AG1150&lt;&gt;"",$AI1150="",$AL1150=""),"保留中",IF($AL1150&lt;&gt;"",IF(N($AE1150)&gt;0,"支給済","不支給"),IF($AE1150="","要確認",IF($AE1150=0,"不支給","未処理")))))</f>
        <v/>
      </c>
      <c r="AG1150" s="12" t="n"/>
      <c r="AH1150" s="11" t="n"/>
      <c r="AI1150" s="11" t="n"/>
      <c r="AJ1150" s="11" t="n"/>
      <c r="AK1150" s="14">
        <f>IF(AND($AF1150="保留中",$AH1150&lt;&gt;""),TODAY()-$AH1150,"")</f>
        <v/>
      </c>
      <c r="AL1150" s="12" t="n"/>
      <c r="AM1150" s="14">
        <f>IF($B1150="","",IF($AQ1150="","対象年月が未入力／","")&amp;IF($B1150="","",IF($AP1150="","職員マスタに未登録の職員番号／",IF($AA1150="","標準報酬月額が未登録／","")&amp;IF(AND($AQ1150&lt;&gt;"",OR(AND(INDEX(職員マスタ!$G$6:$G$405,$AP1150)&lt;&gt;"",INDEX(職員マスタ!$G$6:$G$405,$AP1150)&gt;EOMONTH($AQ1150,0)),AND(INDEX(職員マスタ!$H$6:$H$405,$AP1150)&lt;&gt;"",INDEX(職員マスタ!$H$6:$H$405,$AP1150)&lt;$AQ1150))),"対象月が時短期間外／","")&amp;IF(AND(INDEX(職員マスタ!$K$6:$K$405,$AP1150)&lt;&gt;"",N($W1150)&gt;0,INDEX(職員マスタ!$K$6:$K$405,$AP1150)&lt;&gt;$W1150),"標準報酬月額が申請書と相違（台帳"&amp;TEXT(INDEX(職員マスタ!$K$6:$K$405,$AP1150),"#,##0")&amp;"円／申請書"&amp;TEXT($W1150,"#,##0")&amp;"円）／","")&amp;IF(AND(INDEX(職員マスタ!$F$6:$F$405,$AP1150)&lt;&gt;"",$AQ1150&lt;&gt;"",INDEX(職員マスタ!$F$6:$F$405,$AP1150)&lt;$AQ1150),"対象月に子が2歳到達済／","")&amp;IF(AND($H1150&lt;&gt;"",INDEX(職員マスタ!$B$6:$B$405,$AP1150)&lt;&gt;"",SUBSTITUTE(SUBSTITUTE($H1150," ","")," ","")&lt;&gt;SUBSTITUTE(SUBSTITUTE(INDEX(職員マスタ!$B$6:$B$405,$AP1150)," ","")," ","")),"氏名がマスタと相違／","")&amp;IF(AND($Q1150&lt;&gt;"",INDEX(職員マスタ!$E$6:$E$405,$AP1150)&lt;&gt;"",$Q1150&lt;&gt;INDEX(職員マスタ!$E$6:$E$405,$AP1150)),"子の生年月日がマスタと相違／","")&amp;IF(AND($L1150&lt;&gt;"",INDEX(職員マスタ!$G$6:$G$405,$AP1150)&lt;&gt;"",$L1150&lt;&gt;INDEX(職員マスタ!$G$6:$G$405,$AP1150)),"時短開始日がマスタと相違／","")&amp;IF(AND($M1150&lt;&gt;"",INDEX(職員マスタ!$H$6:$H$405,$AP1150)&lt;&gt;"",$M1150&lt;&gt;INDEX(職員マスタ!$H$6:$H$405,$AP1150)),"時短終了日がマスタと相違／","")))&amp;IF(AND($B1150&lt;&gt;"",$E1150=""),"報酬額が未入力／","")&amp;IF(N($U1150)&gt;0,"申請書に入力エラーが残っています／","")&amp;IF(AND($B1150&lt;&gt;"",$AQ1150&lt;&gt;""),IF(COUNTIFS($B$6:$B$3005,$B1150,$C$6:$C$3005,$C1150,$D$6:$D$3005,$D1150)&gt;1,"同じ月の請求が重複しています／",""),"")&amp;IF(AND(N($E1150)&gt;0,$AB1150&lt;&gt;"",$AB1150&lt;&gt;"×",$AE1150=0,$AD1150=""),"計算額が下限以下のため不支給／",""))</f>
        <v/>
      </c>
      <c r="AN1150" s="12" t="n"/>
      <c r="AO1150" s="14">
        <f>IF($AF1150="保留中",COUNTIF($AF$6:$AF1150,"保留中"),"")</f>
        <v/>
      </c>
      <c r="AP1150" s="14">
        <f>IF($AQ1150="","",IF(SUMPRODUCT(MAX((職員マスタ!$A$6:$A$405=$B1150)*(((職員マスタ!$G$6:$G$405="")+(職員マスタ!$G$6:$G$405&lt;=EOMONTH($AQ1150,0)))&gt;0)*(((職員マスタ!$H$6:$H$405="")+(職員マスタ!$H$6:$H$405&gt;=$AQ1150))&gt;0)*(ROW(職員マスタ!$A$6:$A$405)-5)))&gt;0,SUMPRODUCT(MAX((職員マスタ!$A$6:$A$405=$B1150)*(((職員マスタ!$G$6:$G$405="")+(職員マスタ!$G$6:$G$405&lt;=EOMONTH($AQ1150,0)))&gt;0)*(((職員マスタ!$H$6:$H$405="")+(職員マスタ!$H$6:$H$405&gt;=$AQ1150))&gt;0)*(ROW(職員マスタ!$A$6:$A$405)-5))),IFERROR(MATCH($B1150,職員マスタ!$A$6:$A$405,0),"")))</f>
        <v/>
      </c>
      <c r="AQ1150" s="16">
        <f>IF(OR($B1150="",$C1150="",$D1150=""),"",DATE($C1150+2018,$D1150,1))</f>
        <v/>
      </c>
    </row>
    <row r="1151">
      <c r="A1151" s="11" t="n"/>
      <c r="B1151" s="12" t="n"/>
      <c r="C1151" s="12" t="n"/>
      <c r="D1151" s="12" t="n"/>
      <c r="E1151" s="13" t="n"/>
      <c r="F1151" s="12" t="n"/>
      <c r="G1151" s="13" t="n"/>
      <c r="H1151" s="12" t="n"/>
      <c r="I1151" s="12" t="n"/>
      <c r="J1151" s="12" t="n"/>
      <c r="K1151" s="12" t="n"/>
      <c r="L1151" s="11" t="n"/>
      <c r="M1151" s="11" t="n"/>
      <c r="N1151" s="11" t="n"/>
      <c r="O1151" s="11" t="n"/>
      <c r="P1151" s="12" t="n"/>
      <c r="Q1151" s="11" t="n"/>
      <c r="R1151" s="12" t="n"/>
      <c r="S1151" s="11" t="n"/>
      <c r="T1151" s="12" t="n"/>
      <c r="U1151" s="12" t="n"/>
      <c r="V1151" s="12" t="n"/>
      <c r="W1151" s="13" t="n"/>
      <c r="X1151" s="14">
        <f>IF($AP1151="",IF($B1151="","",$H1151),IF(INDEX(職員マスタ!$B$6:$B$405,$AP1151)="",$H1151,INDEX(職員マスタ!$B$6:$B$405,$AP1151)))</f>
        <v/>
      </c>
      <c r="Y1151" s="14">
        <f>IF($AP1151="",IF($B1151="","",$R1151),IF(INDEX(職員マスタ!$C$6:$C$405,$AP1151)="",$R1151,INDEX(職員マスタ!$C$6:$C$405,$AP1151)))</f>
        <v/>
      </c>
      <c r="Z1151" s="14">
        <f>IF($AQ1151="","","R"&amp;$C1151&amp;"."&amp;$D1151)</f>
        <v/>
      </c>
      <c r="AA1151" s="15">
        <f>IF(IF($AP1151="",FALSE,INDEX(職員マスタ!$K$6:$K$405,$AP1151)&lt;&gt;""),INDEX(職員マスタ!$K$6:$K$405,$AP1151),IF(N($W1151)&gt;0,$W1151,""))</f>
        <v/>
      </c>
      <c r="AB1151" s="14">
        <f>IF(OR($E1151="",$AA1151=""),"",IF($E1151&gt;=$AA1151,"×",IF($E1151&gt;=$AA1151*設定!$C$5,"△","○")))</f>
        <v/>
      </c>
      <c r="AC1151" s="15">
        <f>IF($AB1151="","",IF($AB1151="×",0,IF($AB1151="○",ROUNDDOWN($E1151*設定!$C$4,0),ROUNDDOWN($E1151*ROUND((9*$AA1151-9*$E1151)/(10*$E1151),4),0))))</f>
        <v/>
      </c>
      <c r="AD1151" s="13" t="n"/>
      <c r="AE1151" s="15">
        <f>IF($B1151="","",IF($AD1151&lt;&gt;"",$AD1151,IF($AC1151="","",IF($AC1151&lt;=設定!$C$3,0,$AC1151))))</f>
        <v/>
      </c>
      <c r="AF1151" s="14">
        <f>IF($B1151="","",IF(AND($AG1151&lt;&gt;"",$AI1151="",$AL1151=""),"保留中",IF($AL1151&lt;&gt;"",IF(N($AE1151)&gt;0,"支給済","不支給"),IF($AE1151="","要確認",IF($AE1151=0,"不支給","未処理")))))</f>
        <v/>
      </c>
      <c r="AG1151" s="12" t="n"/>
      <c r="AH1151" s="11" t="n"/>
      <c r="AI1151" s="11" t="n"/>
      <c r="AJ1151" s="11" t="n"/>
      <c r="AK1151" s="14">
        <f>IF(AND($AF1151="保留中",$AH1151&lt;&gt;""),TODAY()-$AH1151,"")</f>
        <v/>
      </c>
      <c r="AL1151" s="12" t="n"/>
      <c r="AM1151" s="14">
        <f>IF($B1151="","",IF($AQ1151="","対象年月が未入力／","")&amp;IF($B1151="","",IF($AP1151="","職員マスタに未登録の職員番号／",IF($AA1151="","標準報酬月額が未登録／","")&amp;IF(AND($AQ1151&lt;&gt;"",OR(AND(INDEX(職員マスタ!$G$6:$G$405,$AP1151)&lt;&gt;"",INDEX(職員マスタ!$G$6:$G$405,$AP1151)&gt;EOMONTH($AQ1151,0)),AND(INDEX(職員マスタ!$H$6:$H$405,$AP1151)&lt;&gt;"",INDEX(職員マスタ!$H$6:$H$405,$AP1151)&lt;$AQ1151))),"対象月が時短期間外／","")&amp;IF(AND(INDEX(職員マスタ!$K$6:$K$405,$AP1151)&lt;&gt;"",N($W1151)&gt;0,INDEX(職員マスタ!$K$6:$K$405,$AP1151)&lt;&gt;$W1151),"標準報酬月額が申請書と相違（台帳"&amp;TEXT(INDEX(職員マスタ!$K$6:$K$405,$AP1151),"#,##0")&amp;"円／申請書"&amp;TEXT($W1151,"#,##0")&amp;"円）／","")&amp;IF(AND(INDEX(職員マスタ!$F$6:$F$405,$AP1151)&lt;&gt;"",$AQ1151&lt;&gt;"",INDEX(職員マスタ!$F$6:$F$405,$AP1151)&lt;$AQ1151),"対象月に子が2歳到達済／","")&amp;IF(AND($H1151&lt;&gt;"",INDEX(職員マスタ!$B$6:$B$405,$AP1151)&lt;&gt;"",SUBSTITUTE(SUBSTITUTE($H1151," ","")," ","")&lt;&gt;SUBSTITUTE(SUBSTITUTE(INDEX(職員マスタ!$B$6:$B$405,$AP1151)," ","")," ","")),"氏名がマスタと相違／","")&amp;IF(AND($Q1151&lt;&gt;"",INDEX(職員マスタ!$E$6:$E$405,$AP1151)&lt;&gt;"",$Q1151&lt;&gt;INDEX(職員マスタ!$E$6:$E$405,$AP1151)),"子の生年月日がマスタと相違／","")&amp;IF(AND($L1151&lt;&gt;"",INDEX(職員マスタ!$G$6:$G$405,$AP1151)&lt;&gt;"",$L1151&lt;&gt;INDEX(職員マスタ!$G$6:$G$405,$AP1151)),"時短開始日がマスタと相違／","")&amp;IF(AND($M1151&lt;&gt;"",INDEX(職員マスタ!$H$6:$H$405,$AP1151)&lt;&gt;"",$M1151&lt;&gt;INDEX(職員マスタ!$H$6:$H$405,$AP1151)),"時短終了日がマスタと相違／","")))&amp;IF(AND($B1151&lt;&gt;"",$E1151=""),"報酬額が未入力／","")&amp;IF(N($U1151)&gt;0,"申請書に入力エラーが残っています／","")&amp;IF(AND($B1151&lt;&gt;"",$AQ1151&lt;&gt;""),IF(COUNTIFS($B$6:$B$3005,$B1151,$C$6:$C$3005,$C1151,$D$6:$D$3005,$D1151)&gt;1,"同じ月の請求が重複しています／",""),"")&amp;IF(AND(N($E1151)&gt;0,$AB1151&lt;&gt;"",$AB1151&lt;&gt;"×",$AE1151=0,$AD1151=""),"計算額が下限以下のため不支給／",""))</f>
        <v/>
      </c>
      <c r="AN1151" s="12" t="n"/>
      <c r="AO1151" s="14">
        <f>IF($AF1151="保留中",COUNTIF($AF$6:$AF1151,"保留中"),"")</f>
        <v/>
      </c>
      <c r="AP1151" s="14">
        <f>IF($AQ1151="","",IF(SUMPRODUCT(MAX((職員マスタ!$A$6:$A$405=$B1151)*(((職員マスタ!$G$6:$G$405="")+(職員マスタ!$G$6:$G$405&lt;=EOMONTH($AQ1151,0)))&gt;0)*(((職員マスタ!$H$6:$H$405="")+(職員マスタ!$H$6:$H$405&gt;=$AQ1151))&gt;0)*(ROW(職員マスタ!$A$6:$A$405)-5)))&gt;0,SUMPRODUCT(MAX((職員マスタ!$A$6:$A$405=$B1151)*(((職員マスタ!$G$6:$G$405="")+(職員マスタ!$G$6:$G$405&lt;=EOMONTH($AQ1151,0)))&gt;0)*(((職員マスタ!$H$6:$H$405="")+(職員マスタ!$H$6:$H$405&gt;=$AQ1151))&gt;0)*(ROW(職員マスタ!$A$6:$A$405)-5))),IFERROR(MATCH($B1151,職員マスタ!$A$6:$A$405,0),"")))</f>
        <v/>
      </c>
      <c r="AQ1151" s="16">
        <f>IF(OR($B1151="",$C1151="",$D1151=""),"",DATE($C1151+2018,$D1151,1))</f>
        <v/>
      </c>
    </row>
    <row r="1152">
      <c r="A1152" s="11" t="n"/>
      <c r="B1152" s="12" t="n"/>
      <c r="C1152" s="12" t="n"/>
      <c r="D1152" s="12" t="n"/>
      <c r="E1152" s="13" t="n"/>
      <c r="F1152" s="12" t="n"/>
      <c r="G1152" s="13" t="n"/>
      <c r="H1152" s="12" t="n"/>
      <c r="I1152" s="12" t="n"/>
      <c r="J1152" s="12" t="n"/>
      <c r="K1152" s="12" t="n"/>
      <c r="L1152" s="11" t="n"/>
      <c r="M1152" s="11" t="n"/>
      <c r="N1152" s="11" t="n"/>
      <c r="O1152" s="11" t="n"/>
      <c r="P1152" s="12" t="n"/>
      <c r="Q1152" s="11" t="n"/>
      <c r="R1152" s="12" t="n"/>
      <c r="S1152" s="11" t="n"/>
      <c r="T1152" s="12" t="n"/>
      <c r="U1152" s="12" t="n"/>
      <c r="V1152" s="12" t="n"/>
      <c r="W1152" s="13" t="n"/>
      <c r="X1152" s="14">
        <f>IF($AP1152="",IF($B1152="","",$H1152),IF(INDEX(職員マスタ!$B$6:$B$405,$AP1152)="",$H1152,INDEX(職員マスタ!$B$6:$B$405,$AP1152)))</f>
        <v/>
      </c>
      <c r="Y1152" s="14">
        <f>IF($AP1152="",IF($B1152="","",$R1152),IF(INDEX(職員マスタ!$C$6:$C$405,$AP1152)="",$R1152,INDEX(職員マスタ!$C$6:$C$405,$AP1152)))</f>
        <v/>
      </c>
      <c r="Z1152" s="14">
        <f>IF($AQ1152="","","R"&amp;$C1152&amp;"."&amp;$D1152)</f>
        <v/>
      </c>
      <c r="AA1152" s="15">
        <f>IF(IF($AP1152="",FALSE,INDEX(職員マスタ!$K$6:$K$405,$AP1152)&lt;&gt;""),INDEX(職員マスタ!$K$6:$K$405,$AP1152),IF(N($W1152)&gt;0,$W1152,""))</f>
        <v/>
      </c>
      <c r="AB1152" s="14">
        <f>IF(OR($E1152="",$AA1152=""),"",IF($E1152&gt;=$AA1152,"×",IF($E1152&gt;=$AA1152*設定!$C$5,"△","○")))</f>
        <v/>
      </c>
      <c r="AC1152" s="15">
        <f>IF($AB1152="","",IF($AB1152="×",0,IF($AB1152="○",ROUNDDOWN($E1152*設定!$C$4,0),ROUNDDOWN($E1152*ROUND((9*$AA1152-9*$E1152)/(10*$E1152),4),0))))</f>
        <v/>
      </c>
      <c r="AD1152" s="13" t="n"/>
      <c r="AE1152" s="15">
        <f>IF($B1152="","",IF($AD1152&lt;&gt;"",$AD1152,IF($AC1152="","",IF($AC1152&lt;=設定!$C$3,0,$AC1152))))</f>
        <v/>
      </c>
      <c r="AF1152" s="14">
        <f>IF($B1152="","",IF(AND($AG1152&lt;&gt;"",$AI1152="",$AL1152=""),"保留中",IF($AL1152&lt;&gt;"",IF(N($AE1152)&gt;0,"支給済","不支給"),IF($AE1152="","要確認",IF($AE1152=0,"不支給","未処理")))))</f>
        <v/>
      </c>
      <c r="AG1152" s="12" t="n"/>
      <c r="AH1152" s="11" t="n"/>
      <c r="AI1152" s="11" t="n"/>
      <c r="AJ1152" s="11" t="n"/>
      <c r="AK1152" s="14">
        <f>IF(AND($AF1152="保留中",$AH1152&lt;&gt;""),TODAY()-$AH1152,"")</f>
        <v/>
      </c>
      <c r="AL1152" s="12" t="n"/>
      <c r="AM1152" s="14">
        <f>IF($B1152="","",IF($AQ1152="","対象年月が未入力／","")&amp;IF($B1152="","",IF($AP1152="","職員マスタに未登録の職員番号／",IF($AA1152="","標準報酬月額が未登録／","")&amp;IF(AND($AQ1152&lt;&gt;"",OR(AND(INDEX(職員マスタ!$G$6:$G$405,$AP1152)&lt;&gt;"",INDEX(職員マスタ!$G$6:$G$405,$AP1152)&gt;EOMONTH($AQ1152,0)),AND(INDEX(職員マスタ!$H$6:$H$405,$AP1152)&lt;&gt;"",INDEX(職員マスタ!$H$6:$H$405,$AP1152)&lt;$AQ1152))),"対象月が時短期間外／","")&amp;IF(AND(INDEX(職員マスタ!$K$6:$K$405,$AP1152)&lt;&gt;"",N($W1152)&gt;0,INDEX(職員マスタ!$K$6:$K$405,$AP1152)&lt;&gt;$W1152),"標準報酬月額が申請書と相違（台帳"&amp;TEXT(INDEX(職員マスタ!$K$6:$K$405,$AP1152),"#,##0")&amp;"円／申請書"&amp;TEXT($W1152,"#,##0")&amp;"円）／","")&amp;IF(AND(INDEX(職員マスタ!$F$6:$F$405,$AP1152)&lt;&gt;"",$AQ1152&lt;&gt;"",INDEX(職員マスタ!$F$6:$F$405,$AP1152)&lt;$AQ1152),"対象月に子が2歳到達済／","")&amp;IF(AND($H1152&lt;&gt;"",INDEX(職員マスタ!$B$6:$B$405,$AP1152)&lt;&gt;"",SUBSTITUTE(SUBSTITUTE($H1152," ","")," ","")&lt;&gt;SUBSTITUTE(SUBSTITUTE(INDEX(職員マスタ!$B$6:$B$405,$AP1152)," ","")," ","")),"氏名がマスタと相違／","")&amp;IF(AND($Q1152&lt;&gt;"",INDEX(職員マスタ!$E$6:$E$405,$AP1152)&lt;&gt;"",$Q1152&lt;&gt;INDEX(職員マスタ!$E$6:$E$405,$AP1152)),"子の生年月日がマスタと相違／","")&amp;IF(AND($L1152&lt;&gt;"",INDEX(職員マスタ!$G$6:$G$405,$AP1152)&lt;&gt;"",$L1152&lt;&gt;INDEX(職員マスタ!$G$6:$G$405,$AP1152)),"時短開始日がマスタと相違／","")&amp;IF(AND($M1152&lt;&gt;"",INDEX(職員マスタ!$H$6:$H$405,$AP1152)&lt;&gt;"",$M1152&lt;&gt;INDEX(職員マスタ!$H$6:$H$405,$AP1152)),"時短終了日がマスタと相違／","")))&amp;IF(AND($B1152&lt;&gt;"",$E1152=""),"報酬額が未入力／","")&amp;IF(N($U1152)&gt;0,"申請書に入力エラーが残っています／","")&amp;IF(AND($B1152&lt;&gt;"",$AQ1152&lt;&gt;""),IF(COUNTIFS($B$6:$B$3005,$B1152,$C$6:$C$3005,$C1152,$D$6:$D$3005,$D1152)&gt;1,"同じ月の請求が重複しています／",""),"")&amp;IF(AND(N($E1152)&gt;0,$AB1152&lt;&gt;"",$AB1152&lt;&gt;"×",$AE1152=0,$AD1152=""),"計算額が下限以下のため不支給／",""))</f>
        <v/>
      </c>
      <c r="AN1152" s="12" t="n"/>
      <c r="AO1152" s="14">
        <f>IF($AF1152="保留中",COUNTIF($AF$6:$AF1152,"保留中"),"")</f>
        <v/>
      </c>
      <c r="AP1152" s="14">
        <f>IF($AQ1152="","",IF(SUMPRODUCT(MAX((職員マスタ!$A$6:$A$405=$B1152)*(((職員マスタ!$G$6:$G$405="")+(職員マスタ!$G$6:$G$405&lt;=EOMONTH($AQ1152,0)))&gt;0)*(((職員マスタ!$H$6:$H$405="")+(職員マスタ!$H$6:$H$405&gt;=$AQ1152))&gt;0)*(ROW(職員マスタ!$A$6:$A$405)-5)))&gt;0,SUMPRODUCT(MAX((職員マスタ!$A$6:$A$405=$B1152)*(((職員マスタ!$G$6:$G$405="")+(職員マスタ!$G$6:$G$405&lt;=EOMONTH($AQ1152,0)))&gt;0)*(((職員マスタ!$H$6:$H$405="")+(職員マスタ!$H$6:$H$405&gt;=$AQ1152))&gt;0)*(ROW(職員マスタ!$A$6:$A$405)-5))),IFERROR(MATCH($B1152,職員マスタ!$A$6:$A$405,0),"")))</f>
        <v/>
      </c>
      <c r="AQ1152" s="16">
        <f>IF(OR($B1152="",$C1152="",$D1152=""),"",DATE($C1152+2018,$D1152,1))</f>
        <v/>
      </c>
    </row>
    <row r="1153">
      <c r="A1153" s="11" t="n"/>
      <c r="B1153" s="12" t="n"/>
      <c r="C1153" s="12" t="n"/>
      <c r="D1153" s="12" t="n"/>
      <c r="E1153" s="13" t="n"/>
      <c r="F1153" s="12" t="n"/>
      <c r="G1153" s="13" t="n"/>
      <c r="H1153" s="12" t="n"/>
      <c r="I1153" s="12" t="n"/>
      <c r="J1153" s="12" t="n"/>
      <c r="K1153" s="12" t="n"/>
      <c r="L1153" s="11" t="n"/>
      <c r="M1153" s="11" t="n"/>
      <c r="N1153" s="11" t="n"/>
      <c r="O1153" s="11" t="n"/>
      <c r="P1153" s="12" t="n"/>
      <c r="Q1153" s="11" t="n"/>
      <c r="R1153" s="12" t="n"/>
      <c r="S1153" s="11" t="n"/>
      <c r="T1153" s="12" t="n"/>
      <c r="U1153" s="12" t="n"/>
      <c r="V1153" s="12" t="n"/>
      <c r="W1153" s="13" t="n"/>
      <c r="X1153" s="14">
        <f>IF($AP1153="",IF($B1153="","",$H1153),IF(INDEX(職員マスタ!$B$6:$B$405,$AP1153)="",$H1153,INDEX(職員マスタ!$B$6:$B$405,$AP1153)))</f>
        <v/>
      </c>
      <c r="Y1153" s="14">
        <f>IF($AP1153="",IF($B1153="","",$R1153),IF(INDEX(職員マスタ!$C$6:$C$405,$AP1153)="",$R1153,INDEX(職員マスタ!$C$6:$C$405,$AP1153)))</f>
        <v/>
      </c>
      <c r="Z1153" s="14">
        <f>IF($AQ1153="","","R"&amp;$C1153&amp;"."&amp;$D1153)</f>
        <v/>
      </c>
      <c r="AA1153" s="15">
        <f>IF(IF($AP1153="",FALSE,INDEX(職員マスタ!$K$6:$K$405,$AP1153)&lt;&gt;""),INDEX(職員マスタ!$K$6:$K$405,$AP1153),IF(N($W1153)&gt;0,$W1153,""))</f>
        <v/>
      </c>
      <c r="AB1153" s="14">
        <f>IF(OR($E1153="",$AA1153=""),"",IF($E1153&gt;=$AA1153,"×",IF($E1153&gt;=$AA1153*設定!$C$5,"△","○")))</f>
        <v/>
      </c>
      <c r="AC1153" s="15">
        <f>IF($AB1153="","",IF($AB1153="×",0,IF($AB1153="○",ROUNDDOWN($E1153*設定!$C$4,0),ROUNDDOWN($E1153*ROUND((9*$AA1153-9*$E1153)/(10*$E1153),4),0))))</f>
        <v/>
      </c>
      <c r="AD1153" s="13" t="n"/>
      <c r="AE1153" s="15">
        <f>IF($B1153="","",IF($AD1153&lt;&gt;"",$AD1153,IF($AC1153="","",IF($AC1153&lt;=設定!$C$3,0,$AC1153))))</f>
        <v/>
      </c>
      <c r="AF1153" s="14">
        <f>IF($B1153="","",IF(AND($AG1153&lt;&gt;"",$AI1153="",$AL1153=""),"保留中",IF($AL1153&lt;&gt;"",IF(N($AE1153)&gt;0,"支給済","不支給"),IF($AE1153="","要確認",IF($AE1153=0,"不支給","未処理")))))</f>
        <v/>
      </c>
      <c r="AG1153" s="12" t="n"/>
      <c r="AH1153" s="11" t="n"/>
      <c r="AI1153" s="11" t="n"/>
      <c r="AJ1153" s="11" t="n"/>
      <c r="AK1153" s="14">
        <f>IF(AND($AF1153="保留中",$AH1153&lt;&gt;""),TODAY()-$AH1153,"")</f>
        <v/>
      </c>
      <c r="AL1153" s="12" t="n"/>
      <c r="AM1153" s="14">
        <f>IF($B1153="","",IF($AQ1153="","対象年月が未入力／","")&amp;IF($B1153="","",IF($AP1153="","職員マスタに未登録の職員番号／",IF($AA1153="","標準報酬月額が未登録／","")&amp;IF(AND($AQ1153&lt;&gt;"",OR(AND(INDEX(職員マスタ!$G$6:$G$405,$AP1153)&lt;&gt;"",INDEX(職員マスタ!$G$6:$G$405,$AP1153)&gt;EOMONTH($AQ1153,0)),AND(INDEX(職員マスタ!$H$6:$H$405,$AP1153)&lt;&gt;"",INDEX(職員マスタ!$H$6:$H$405,$AP1153)&lt;$AQ1153))),"対象月が時短期間外／","")&amp;IF(AND(INDEX(職員マスタ!$K$6:$K$405,$AP1153)&lt;&gt;"",N($W1153)&gt;0,INDEX(職員マスタ!$K$6:$K$405,$AP1153)&lt;&gt;$W1153),"標準報酬月額が申請書と相違（台帳"&amp;TEXT(INDEX(職員マスタ!$K$6:$K$405,$AP1153),"#,##0")&amp;"円／申請書"&amp;TEXT($W1153,"#,##0")&amp;"円）／","")&amp;IF(AND(INDEX(職員マスタ!$F$6:$F$405,$AP1153)&lt;&gt;"",$AQ1153&lt;&gt;"",INDEX(職員マスタ!$F$6:$F$405,$AP1153)&lt;$AQ1153),"対象月に子が2歳到達済／","")&amp;IF(AND($H1153&lt;&gt;"",INDEX(職員マスタ!$B$6:$B$405,$AP1153)&lt;&gt;"",SUBSTITUTE(SUBSTITUTE($H1153," ","")," ","")&lt;&gt;SUBSTITUTE(SUBSTITUTE(INDEX(職員マスタ!$B$6:$B$405,$AP1153)," ","")," ","")),"氏名がマスタと相違／","")&amp;IF(AND($Q1153&lt;&gt;"",INDEX(職員マスタ!$E$6:$E$405,$AP1153)&lt;&gt;"",$Q1153&lt;&gt;INDEX(職員マスタ!$E$6:$E$405,$AP1153)),"子の生年月日がマスタと相違／","")&amp;IF(AND($L1153&lt;&gt;"",INDEX(職員マスタ!$G$6:$G$405,$AP1153)&lt;&gt;"",$L1153&lt;&gt;INDEX(職員マスタ!$G$6:$G$405,$AP1153)),"時短開始日がマスタと相違／","")&amp;IF(AND($M1153&lt;&gt;"",INDEX(職員マスタ!$H$6:$H$405,$AP1153)&lt;&gt;"",$M1153&lt;&gt;INDEX(職員マスタ!$H$6:$H$405,$AP1153)),"時短終了日がマスタと相違／","")))&amp;IF(AND($B1153&lt;&gt;"",$E1153=""),"報酬額が未入力／","")&amp;IF(N($U1153)&gt;0,"申請書に入力エラーが残っています／","")&amp;IF(AND($B1153&lt;&gt;"",$AQ1153&lt;&gt;""),IF(COUNTIFS($B$6:$B$3005,$B1153,$C$6:$C$3005,$C1153,$D$6:$D$3005,$D1153)&gt;1,"同じ月の請求が重複しています／",""),"")&amp;IF(AND(N($E1153)&gt;0,$AB1153&lt;&gt;"",$AB1153&lt;&gt;"×",$AE1153=0,$AD1153=""),"計算額が下限以下のため不支給／",""))</f>
        <v/>
      </c>
      <c r="AN1153" s="12" t="n"/>
      <c r="AO1153" s="14">
        <f>IF($AF1153="保留中",COUNTIF($AF$6:$AF1153,"保留中"),"")</f>
        <v/>
      </c>
      <c r="AP1153" s="14">
        <f>IF($AQ1153="","",IF(SUMPRODUCT(MAX((職員マスタ!$A$6:$A$405=$B1153)*(((職員マスタ!$G$6:$G$405="")+(職員マスタ!$G$6:$G$405&lt;=EOMONTH($AQ1153,0)))&gt;0)*(((職員マスタ!$H$6:$H$405="")+(職員マスタ!$H$6:$H$405&gt;=$AQ1153))&gt;0)*(ROW(職員マスタ!$A$6:$A$405)-5)))&gt;0,SUMPRODUCT(MAX((職員マスタ!$A$6:$A$405=$B1153)*(((職員マスタ!$G$6:$G$405="")+(職員マスタ!$G$6:$G$405&lt;=EOMONTH($AQ1153,0)))&gt;0)*(((職員マスタ!$H$6:$H$405="")+(職員マスタ!$H$6:$H$405&gt;=$AQ1153))&gt;0)*(ROW(職員マスタ!$A$6:$A$405)-5))),IFERROR(MATCH($B1153,職員マスタ!$A$6:$A$405,0),"")))</f>
        <v/>
      </c>
      <c r="AQ1153" s="16">
        <f>IF(OR($B1153="",$C1153="",$D1153=""),"",DATE($C1153+2018,$D1153,1))</f>
        <v/>
      </c>
    </row>
    <row r="1154">
      <c r="A1154" s="11" t="n"/>
      <c r="B1154" s="12" t="n"/>
      <c r="C1154" s="12" t="n"/>
      <c r="D1154" s="12" t="n"/>
      <c r="E1154" s="13" t="n"/>
      <c r="F1154" s="12" t="n"/>
      <c r="G1154" s="13" t="n"/>
      <c r="H1154" s="12" t="n"/>
      <c r="I1154" s="12" t="n"/>
      <c r="J1154" s="12" t="n"/>
      <c r="K1154" s="12" t="n"/>
      <c r="L1154" s="11" t="n"/>
      <c r="M1154" s="11" t="n"/>
      <c r="N1154" s="11" t="n"/>
      <c r="O1154" s="11" t="n"/>
      <c r="P1154" s="12" t="n"/>
      <c r="Q1154" s="11" t="n"/>
      <c r="R1154" s="12" t="n"/>
      <c r="S1154" s="11" t="n"/>
      <c r="T1154" s="12" t="n"/>
      <c r="U1154" s="12" t="n"/>
      <c r="V1154" s="12" t="n"/>
      <c r="W1154" s="13" t="n"/>
      <c r="X1154" s="14">
        <f>IF($AP1154="",IF($B1154="","",$H1154),IF(INDEX(職員マスタ!$B$6:$B$405,$AP1154)="",$H1154,INDEX(職員マスタ!$B$6:$B$405,$AP1154)))</f>
        <v/>
      </c>
      <c r="Y1154" s="14">
        <f>IF($AP1154="",IF($B1154="","",$R1154),IF(INDEX(職員マスタ!$C$6:$C$405,$AP1154)="",$R1154,INDEX(職員マスタ!$C$6:$C$405,$AP1154)))</f>
        <v/>
      </c>
      <c r="Z1154" s="14">
        <f>IF($AQ1154="","","R"&amp;$C1154&amp;"."&amp;$D1154)</f>
        <v/>
      </c>
      <c r="AA1154" s="15">
        <f>IF(IF($AP1154="",FALSE,INDEX(職員マスタ!$K$6:$K$405,$AP1154)&lt;&gt;""),INDEX(職員マスタ!$K$6:$K$405,$AP1154),IF(N($W1154)&gt;0,$W1154,""))</f>
        <v/>
      </c>
      <c r="AB1154" s="14">
        <f>IF(OR($E1154="",$AA1154=""),"",IF($E1154&gt;=$AA1154,"×",IF($E1154&gt;=$AA1154*設定!$C$5,"△","○")))</f>
        <v/>
      </c>
      <c r="AC1154" s="15">
        <f>IF($AB1154="","",IF($AB1154="×",0,IF($AB1154="○",ROUNDDOWN($E1154*設定!$C$4,0),ROUNDDOWN($E1154*ROUND((9*$AA1154-9*$E1154)/(10*$E1154),4),0))))</f>
        <v/>
      </c>
      <c r="AD1154" s="13" t="n"/>
      <c r="AE1154" s="15">
        <f>IF($B1154="","",IF($AD1154&lt;&gt;"",$AD1154,IF($AC1154="","",IF($AC1154&lt;=設定!$C$3,0,$AC1154))))</f>
        <v/>
      </c>
      <c r="AF1154" s="14">
        <f>IF($B1154="","",IF(AND($AG1154&lt;&gt;"",$AI1154="",$AL1154=""),"保留中",IF($AL1154&lt;&gt;"",IF(N($AE1154)&gt;0,"支給済","不支給"),IF($AE1154="","要確認",IF($AE1154=0,"不支給","未処理")))))</f>
        <v/>
      </c>
      <c r="AG1154" s="12" t="n"/>
      <c r="AH1154" s="11" t="n"/>
      <c r="AI1154" s="11" t="n"/>
      <c r="AJ1154" s="11" t="n"/>
      <c r="AK1154" s="14">
        <f>IF(AND($AF1154="保留中",$AH1154&lt;&gt;""),TODAY()-$AH1154,"")</f>
        <v/>
      </c>
      <c r="AL1154" s="12" t="n"/>
      <c r="AM1154" s="14">
        <f>IF($B1154="","",IF($AQ1154="","対象年月が未入力／","")&amp;IF($B1154="","",IF($AP1154="","職員マスタに未登録の職員番号／",IF($AA1154="","標準報酬月額が未登録／","")&amp;IF(AND($AQ1154&lt;&gt;"",OR(AND(INDEX(職員マスタ!$G$6:$G$405,$AP1154)&lt;&gt;"",INDEX(職員マスタ!$G$6:$G$405,$AP1154)&gt;EOMONTH($AQ1154,0)),AND(INDEX(職員マスタ!$H$6:$H$405,$AP1154)&lt;&gt;"",INDEX(職員マスタ!$H$6:$H$405,$AP1154)&lt;$AQ1154))),"対象月が時短期間外／","")&amp;IF(AND(INDEX(職員マスタ!$K$6:$K$405,$AP1154)&lt;&gt;"",N($W1154)&gt;0,INDEX(職員マスタ!$K$6:$K$405,$AP1154)&lt;&gt;$W1154),"標準報酬月額が申請書と相違（台帳"&amp;TEXT(INDEX(職員マスタ!$K$6:$K$405,$AP1154),"#,##0")&amp;"円／申請書"&amp;TEXT($W1154,"#,##0")&amp;"円）／","")&amp;IF(AND(INDEX(職員マスタ!$F$6:$F$405,$AP1154)&lt;&gt;"",$AQ1154&lt;&gt;"",INDEX(職員マスタ!$F$6:$F$405,$AP1154)&lt;$AQ1154),"対象月に子が2歳到達済／","")&amp;IF(AND($H1154&lt;&gt;"",INDEX(職員マスタ!$B$6:$B$405,$AP1154)&lt;&gt;"",SUBSTITUTE(SUBSTITUTE($H1154," ","")," ","")&lt;&gt;SUBSTITUTE(SUBSTITUTE(INDEX(職員マスタ!$B$6:$B$405,$AP1154)," ","")," ","")),"氏名がマスタと相違／","")&amp;IF(AND($Q1154&lt;&gt;"",INDEX(職員マスタ!$E$6:$E$405,$AP1154)&lt;&gt;"",$Q1154&lt;&gt;INDEX(職員マスタ!$E$6:$E$405,$AP1154)),"子の生年月日がマスタと相違／","")&amp;IF(AND($L1154&lt;&gt;"",INDEX(職員マスタ!$G$6:$G$405,$AP1154)&lt;&gt;"",$L1154&lt;&gt;INDEX(職員マスタ!$G$6:$G$405,$AP1154)),"時短開始日がマスタと相違／","")&amp;IF(AND($M1154&lt;&gt;"",INDEX(職員マスタ!$H$6:$H$405,$AP1154)&lt;&gt;"",$M1154&lt;&gt;INDEX(職員マスタ!$H$6:$H$405,$AP1154)),"時短終了日がマスタと相違／","")))&amp;IF(AND($B1154&lt;&gt;"",$E1154=""),"報酬額が未入力／","")&amp;IF(N($U1154)&gt;0,"申請書に入力エラーが残っています／","")&amp;IF(AND($B1154&lt;&gt;"",$AQ1154&lt;&gt;""),IF(COUNTIFS($B$6:$B$3005,$B1154,$C$6:$C$3005,$C1154,$D$6:$D$3005,$D1154)&gt;1,"同じ月の請求が重複しています／",""),"")&amp;IF(AND(N($E1154)&gt;0,$AB1154&lt;&gt;"",$AB1154&lt;&gt;"×",$AE1154=0,$AD1154=""),"計算額が下限以下のため不支給／",""))</f>
        <v/>
      </c>
      <c r="AN1154" s="12" t="n"/>
      <c r="AO1154" s="14">
        <f>IF($AF1154="保留中",COUNTIF($AF$6:$AF1154,"保留中"),"")</f>
        <v/>
      </c>
      <c r="AP1154" s="14">
        <f>IF($AQ1154="","",IF(SUMPRODUCT(MAX((職員マスタ!$A$6:$A$405=$B1154)*(((職員マスタ!$G$6:$G$405="")+(職員マスタ!$G$6:$G$405&lt;=EOMONTH($AQ1154,0)))&gt;0)*(((職員マスタ!$H$6:$H$405="")+(職員マスタ!$H$6:$H$405&gt;=$AQ1154))&gt;0)*(ROW(職員マスタ!$A$6:$A$405)-5)))&gt;0,SUMPRODUCT(MAX((職員マスタ!$A$6:$A$405=$B1154)*(((職員マスタ!$G$6:$G$405="")+(職員マスタ!$G$6:$G$405&lt;=EOMONTH($AQ1154,0)))&gt;0)*(((職員マスタ!$H$6:$H$405="")+(職員マスタ!$H$6:$H$405&gt;=$AQ1154))&gt;0)*(ROW(職員マスタ!$A$6:$A$405)-5))),IFERROR(MATCH($B1154,職員マスタ!$A$6:$A$405,0),"")))</f>
        <v/>
      </c>
      <c r="AQ1154" s="16">
        <f>IF(OR($B1154="",$C1154="",$D1154=""),"",DATE($C1154+2018,$D1154,1))</f>
        <v/>
      </c>
    </row>
    <row r="1155">
      <c r="A1155" s="11" t="n"/>
      <c r="B1155" s="12" t="n"/>
      <c r="C1155" s="12" t="n"/>
      <c r="D1155" s="12" t="n"/>
      <c r="E1155" s="13" t="n"/>
      <c r="F1155" s="12" t="n"/>
      <c r="G1155" s="13" t="n"/>
      <c r="H1155" s="12" t="n"/>
      <c r="I1155" s="12" t="n"/>
      <c r="J1155" s="12" t="n"/>
      <c r="K1155" s="12" t="n"/>
      <c r="L1155" s="11" t="n"/>
      <c r="M1155" s="11" t="n"/>
      <c r="N1155" s="11" t="n"/>
      <c r="O1155" s="11" t="n"/>
      <c r="P1155" s="12" t="n"/>
      <c r="Q1155" s="11" t="n"/>
      <c r="R1155" s="12" t="n"/>
      <c r="S1155" s="11" t="n"/>
      <c r="T1155" s="12" t="n"/>
      <c r="U1155" s="12" t="n"/>
      <c r="V1155" s="12" t="n"/>
      <c r="W1155" s="13" t="n"/>
      <c r="X1155" s="14">
        <f>IF($AP1155="",IF($B1155="","",$H1155),IF(INDEX(職員マスタ!$B$6:$B$405,$AP1155)="",$H1155,INDEX(職員マスタ!$B$6:$B$405,$AP1155)))</f>
        <v/>
      </c>
      <c r="Y1155" s="14">
        <f>IF($AP1155="",IF($B1155="","",$R1155),IF(INDEX(職員マスタ!$C$6:$C$405,$AP1155)="",$R1155,INDEX(職員マスタ!$C$6:$C$405,$AP1155)))</f>
        <v/>
      </c>
      <c r="Z1155" s="14">
        <f>IF($AQ1155="","","R"&amp;$C1155&amp;"."&amp;$D1155)</f>
        <v/>
      </c>
      <c r="AA1155" s="15">
        <f>IF(IF($AP1155="",FALSE,INDEX(職員マスタ!$K$6:$K$405,$AP1155)&lt;&gt;""),INDEX(職員マスタ!$K$6:$K$405,$AP1155),IF(N($W1155)&gt;0,$W1155,""))</f>
        <v/>
      </c>
      <c r="AB1155" s="14">
        <f>IF(OR($E1155="",$AA1155=""),"",IF($E1155&gt;=$AA1155,"×",IF($E1155&gt;=$AA1155*設定!$C$5,"△","○")))</f>
        <v/>
      </c>
      <c r="AC1155" s="15">
        <f>IF($AB1155="","",IF($AB1155="×",0,IF($AB1155="○",ROUNDDOWN($E1155*設定!$C$4,0),ROUNDDOWN($E1155*ROUND((9*$AA1155-9*$E1155)/(10*$E1155),4),0))))</f>
        <v/>
      </c>
      <c r="AD1155" s="13" t="n"/>
      <c r="AE1155" s="15">
        <f>IF($B1155="","",IF($AD1155&lt;&gt;"",$AD1155,IF($AC1155="","",IF($AC1155&lt;=設定!$C$3,0,$AC1155))))</f>
        <v/>
      </c>
      <c r="AF1155" s="14">
        <f>IF($B1155="","",IF(AND($AG1155&lt;&gt;"",$AI1155="",$AL1155=""),"保留中",IF($AL1155&lt;&gt;"",IF(N($AE1155)&gt;0,"支給済","不支給"),IF($AE1155="","要確認",IF($AE1155=0,"不支給","未処理")))))</f>
        <v/>
      </c>
      <c r="AG1155" s="12" t="n"/>
      <c r="AH1155" s="11" t="n"/>
      <c r="AI1155" s="11" t="n"/>
      <c r="AJ1155" s="11" t="n"/>
      <c r="AK1155" s="14">
        <f>IF(AND($AF1155="保留中",$AH1155&lt;&gt;""),TODAY()-$AH1155,"")</f>
        <v/>
      </c>
      <c r="AL1155" s="12" t="n"/>
      <c r="AM1155" s="14">
        <f>IF($B1155="","",IF($AQ1155="","対象年月が未入力／","")&amp;IF($B1155="","",IF($AP1155="","職員マスタに未登録の職員番号／",IF($AA1155="","標準報酬月額が未登録／","")&amp;IF(AND($AQ1155&lt;&gt;"",OR(AND(INDEX(職員マスタ!$G$6:$G$405,$AP1155)&lt;&gt;"",INDEX(職員マスタ!$G$6:$G$405,$AP1155)&gt;EOMONTH($AQ1155,0)),AND(INDEX(職員マスタ!$H$6:$H$405,$AP1155)&lt;&gt;"",INDEX(職員マスタ!$H$6:$H$405,$AP1155)&lt;$AQ1155))),"対象月が時短期間外／","")&amp;IF(AND(INDEX(職員マスタ!$K$6:$K$405,$AP1155)&lt;&gt;"",N($W1155)&gt;0,INDEX(職員マスタ!$K$6:$K$405,$AP1155)&lt;&gt;$W1155),"標準報酬月額が申請書と相違（台帳"&amp;TEXT(INDEX(職員マスタ!$K$6:$K$405,$AP1155),"#,##0")&amp;"円／申請書"&amp;TEXT($W1155,"#,##0")&amp;"円）／","")&amp;IF(AND(INDEX(職員マスタ!$F$6:$F$405,$AP1155)&lt;&gt;"",$AQ1155&lt;&gt;"",INDEX(職員マスタ!$F$6:$F$405,$AP1155)&lt;$AQ1155),"対象月に子が2歳到達済／","")&amp;IF(AND($H1155&lt;&gt;"",INDEX(職員マスタ!$B$6:$B$405,$AP1155)&lt;&gt;"",SUBSTITUTE(SUBSTITUTE($H1155," ","")," ","")&lt;&gt;SUBSTITUTE(SUBSTITUTE(INDEX(職員マスタ!$B$6:$B$405,$AP1155)," ","")," ","")),"氏名がマスタと相違／","")&amp;IF(AND($Q1155&lt;&gt;"",INDEX(職員マスタ!$E$6:$E$405,$AP1155)&lt;&gt;"",$Q1155&lt;&gt;INDEX(職員マスタ!$E$6:$E$405,$AP1155)),"子の生年月日がマスタと相違／","")&amp;IF(AND($L1155&lt;&gt;"",INDEX(職員マスタ!$G$6:$G$405,$AP1155)&lt;&gt;"",$L1155&lt;&gt;INDEX(職員マスタ!$G$6:$G$405,$AP1155)),"時短開始日がマスタと相違／","")&amp;IF(AND($M1155&lt;&gt;"",INDEX(職員マスタ!$H$6:$H$405,$AP1155)&lt;&gt;"",$M1155&lt;&gt;INDEX(職員マスタ!$H$6:$H$405,$AP1155)),"時短終了日がマスタと相違／","")))&amp;IF(AND($B1155&lt;&gt;"",$E1155=""),"報酬額が未入力／","")&amp;IF(N($U1155)&gt;0,"申請書に入力エラーが残っています／","")&amp;IF(AND($B1155&lt;&gt;"",$AQ1155&lt;&gt;""),IF(COUNTIFS($B$6:$B$3005,$B1155,$C$6:$C$3005,$C1155,$D$6:$D$3005,$D1155)&gt;1,"同じ月の請求が重複しています／",""),"")&amp;IF(AND(N($E1155)&gt;0,$AB1155&lt;&gt;"",$AB1155&lt;&gt;"×",$AE1155=0,$AD1155=""),"計算額が下限以下のため不支給／",""))</f>
        <v/>
      </c>
      <c r="AN1155" s="12" t="n"/>
      <c r="AO1155" s="14">
        <f>IF($AF1155="保留中",COUNTIF($AF$6:$AF1155,"保留中"),"")</f>
        <v/>
      </c>
      <c r="AP1155" s="14">
        <f>IF($AQ1155="","",IF(SUMPRODUCT(MAX((職員マスタ!$A$6:$A$405=$B1155)*(((職員マスタ!$G$6:$G$405="")+(職員マスタ!$G$6:$G$405&lt;=EOMONTH($AQ1155,0)))&gt;0)*(((職員マスタ!$H$6:$H$405="")+(職員マスタ!$H$6:$H$405&gt;=$AQ1155))&gt;0)*(ROW(職員マスタ!$A$6:$A$405)-5)))&gt;0,SUMPRODUCT(MAX((職員マスタ!$A$6:$A$405=$B1155)*(((職員マスタ!$G$6:$G$405="")+(職員マスタ!$G$6:$G$405&lt;=EOMONTH($AQ1155,0)))&gt;0)*(((職員マスタ!$H$6:$H$405="")+(職員マスタ!$H$6:$H$405&gt;=$AQ1155))&gt;0)*(ROW(職員マスタ!$A$6:$A$405)-5))),IFERROR(MATCH($B1155,職員マスタ!$A$6:$A$405,0),"")))</f>
        <v/>
      </c>
      <c r="AQ1155" s="16">
        <f>IF(OR($B1155="",$C1155="",$D1155=""),"",DATE($C1155+2018,$D1155,1))</f>
        <v/>
      </c>
    </row>
    <row r="1156">
      <c r="A1156" s="11" t="n"/>
      <c r="B1156" s="12" t="n"/>
      <c r="C1156" s="12" t="n"/>
      <c r="D1156" s="12" t="n"/>
      <c r="E1156" s="13" t="n"/>
      <c r="F1156" s="12" t="n"/>
      <c r="G1156" s="13" t="n"/>
      <c r="H1156" s="12" t="n"/>
      <c r="I1156" s="12" t="n"/>
      <c r="J1156" s="12" t="n"/>
      <c r="K1156" s="12" t="n"/>
      <c r="L1156" s="11" t="n"/>
      <c r="M1156" s="11" t="n"/>
      <c r="N1156" s="11" t="n"/>
      <c r="O1156" s="11" t="n"/>
      <c r="P1156" s="12" t="n"/>
      <c r="Q1156" s="11" t="n"/>
      <c r="R1156" s="12" t="n"/>
      <c r="S1156" s="11" t="n"/>
      <c r="T1156" s="12" t="n"/>
      <c r="U1156" s="12" t="n"/>
      <c r="V1156" s="12" t="n"/>
      <c r="W1156" s="13" t="n"/>
      <c r="X1156" s="14">
        <f>IF($AP1156="",IF($B1156="","",$H1156),IF(INDEX(職員マスタ!$B$6:$B$405,$AP1156)="",$H1156,INDEX(職員マスタ!$B$6:$B$405,$AP1156)))</f>
        <v/>
      </c>
      <c r="Y1156" s="14">
        <f>IF($AP1156="",IF($B1156="","",$R1156),IF(INDEX(職員マスタ!$C$6:$C$405,$AP1156)="",$R1156,INDEX(職員マスタ!$C$6:$C$405,$AP1156)))</f>
        <v/>
      </c>
      <c r="Z1156" s="14">
        <f>IF($AQ1156="","","R"&amp;$C1156&amp;"."&amp;$D1156)</f>
        <v/>
      </c>
      <c r="AA1156" s="15">
        <f>IF(IF($AP1156="",FALSE,INDEX(職員マスタ!$K$6:$K$405,$AP1156)&lt;&gt;""),INDEX(職員マスタ!$K$6:$K$405,$AP1156),IF(N($W1156)&gt;0,$W1156,""))</f>
        <v/>
      </c>
      <c r="AB1156" s="14">
        <f>IF(OR($E1156="",$AA1156=""),"",IF($E1156&gt;=$AA1156,"×",IF($E1156&gt;=$AA1156*設定!$C$5,"△","○")))</f>
        <v/>
      </c>
      <c r="AC1156" s="15">
        <f>IF($AB1156="","",IF($AB1156="×",0,IF($AB1156="○",ROUNDDOWN($E1156*設定!$C$4,0),ROUNDDOWN($E1156*ROUND((9*$AA1156-9*$E1156)/(10*$E1156),4),0))))</f>
        <v/>
      </c>
      <c r="AD1156" s="13" t="n"/>
      <c r="AE1156" s="15">
        <f>IF($B1156="","",IF($AD1156&lt;&gt;"",$AD1156,IF($AC1156="","",IF($AC1156&lt;=設定!$C$3,0,$AC1156))))</f>
        <v/>
      </c>
      <c r="AF1156" s="14">
        <f>IF($B1156="","",IF(AND($AG1156&lt;&gt;"",$AI1156="",$AL1156=""),"保留中",IF($AL1156&lt;&gt;"",IF(N($AE1156)&gt;0,"支給済","不支給"),IF($AE1156="","要確認",IF($AE1156=0,"不支給","未処理")))))</f>
        <v/>
      </c>
      <c r="AG1156" s="12" t="n"/>
      <c r="AH1156" s="11" t="n"/>
      <c r="AI1156" s="11" t="n"/>
      <c r="AJ1156" s="11" t="n"/>
      <c r="AK1156" s="14">
        <f>IF(AND($AF1156="保留中",$AH1156&lt;&gt;""),TODAY()-$AH1156,"")</f>
        <v/>
      </c>
      <c r="AL1156" s="12" t="n"/>
      <c r="AM1156" s="14">
        <f>IF($B1156="","",IF($AQ1156="","対象年月が未入力／","")&amp;IF($B1156="","",IF($AP1156="","職員マスタに未登録の職員番号／",IF($AA1156="","標準報酬月額が未登録／","")&amp;IF(AND($AQ1156&lt;&gt;"",OR(AND(INDEX(職員マスタ!$G$6:$G$405,$AP1156)&lt;&gt;"",INDEX(職員マスタ!$G$6:$G$405,$AP1156)&gt;EOMONTH($AQ1156,0)),AND(INDEX(職員マスタ!$H$6:$H$405,$AP1156)&lt;&gt;"",INDEX(職員マスタ!$H$6:$H$405,$AP1156)&lt;$AQ1156))),"対象月が時短期間外／","")&amp;IF(AND(INDEX(職員マスタ!$K$6:$K$405,$AP1156)&lt;&gt;"",N($W1156)&gt;0,INDEX(職員マスタ!$K$6:$K$405,$AP1156)&lt;&gt;$W1156),"標準報酬月額が申請書と相違（台帳"&amp;TEXT(INDEX(職員マスタ!$K$6:$K$405,$AP1156),"#,##0")&amp;"円／申請書"&amp;TEXT($W1156,"#,##0")&amp;"円）／","")&amp;IF(AND(INDEX(職員マスタ!$F$6:$F$405,$AP1156)&lt;&gt;"",$AQ1156&lt;&gt;"",INDEX(職員マスタ!$F$6:$F$405,$AP1156)&lt;$AQ1156),"対象月に子が2歳到達済／","")&amp;IF(AND($H1156&lt;&gt;"",INDEX(職員マスタ!$B$6:$B$405,$AP1156)&lt;&gt;"",SUBSTITUTE(SUBSTITUTE($H1156," ","")," ","")&lt;&gt;SUBSTITUTE(SUBSTITUTE(INDEX(職員マスタ!$B$6:$B$405,$AP1156)," ","")," ","")),"氏名がマスタと相違／","")&amp;IF(AND($Q1156&lt;&gt;"",INDEX(職員マスタ!$E$6:$E$405,$AP1156)&lt;&gt;"",$Q1156&lt;&gt;INDEX(職員マスタ!$E$6:$E$405,$AP1156)),"子の生年月日がマスタと相違／","")&amp;IF(AND($L1156&lt;&gt;"",INDEX(職員マスタ!$G$6:$G$405,$AP1156)&lt;&gt;"",$L1156&lt;&gt;INDEX(職員マスタ!$G$6:$G$405,$AP1156)),"時短開始日がマスタと相違／","")&amp;IF(AND($M1156&lt;&gt;"",INDEX(職員マスタ!$H$6:$H$405,$AP1156)&lt;&gt;"",$M1156&lt;&gt;INDEX(職員マスタ!$H$6:$H$405,$AP1156)),"時短終了日がマスタと相違／","")))&amp;IF(AND($B1156&lt;&gt;"",$E1156=""),"報酬額が未入力／","")&amp;IF(N($U1156)&gt;0,"申請書に入力エラーが残っています／","")&amp;IF(AND($B1156&lt;&gt;"",$AQ1156&lt;&gt;""),IF(COUNTIFS($B$6:$B$3005,$B1156,$C$6:$C$3005,$C1156,$D$6:$D$3005,$D1156)&gt;1,"同じ月の請求が重複しています／",""),"")&amp;IF(AND(N($E1156)&gt;0,$AB1156&lt;&gt;"",$AB1156&lt;&gt;"×",$AE1156=0,$AD1156=""),"計算額が下限以下のため不支給／",""))</f>
        <v/>
      </c>
      <c r="AN1156" s="12" t="n"/>
      <c r="AO1156" s="14">
        <f>IF($AF1156="保留中",COUNTIF($AF$6:$AF1156,"保留中"),"")</f>
        <v/>
      </c>
      <c r="AP1156" s="14">
        <f>IF($AQ1156="","",IF(SUMPRODUCT(MAX((職員マスタ!$A$6:$A$405=$B1156)*(((職員マスタ!$G$6:$G$405="")+(職員マスタ!$G$6:$G$405&lt;=EOMONTH($AQ1156,0)))&gt;0)*(((職員マスタ!$H$6:$H$405="")+(職員マスタ!$H$6:$H$405&gt;=$AQ1156))&gt;0)*(ROW(職員マスタ!$A$6:$A$405)-5)))&gt;0,SUMPRODUCT(MAX((職員マスタ!$A$6:$A$405=$B1156)*(((職員マスタ!$G$6:$G$405="")+(職員マスタ!$G$6:$G$405&lt;=EOMONTH($AQ1156,0)))&gt;0)*(((職員マスタ!$H$6:$H$405="")+(職員マスタ!$H$6:$H$405&gt;=$AQ1156))&gt;0)*(ROW(職員マスタ!$A$6:$A$405)-5))),IFERROR(MATCH($B1156,職員マスタ!$A$6:$A$405,0),"")))</f>
        <v/>
      </c>
      <c r="AQ1156" s="16">
        <f>IF(OR($B1156="",$C1156="",$D1156=""),"",DATE($C1156+2018,$D1156,1))</f>
        <v/>
      </c>
    </row>
    <row r="1157">
      <c r="A1157" s="11" t="n"/>
      <c r="B1157" s="12" t="n"/>
      <c r="C1157" s="12" t="n"/>
      <c r="D1157" s="12" t="n"/>
      <c r="E1157" s="13" t="n"/>
      <c r="F1157" s="12" t="n"/>
      <c r="G1157" s="13" t="n"/>
      <c r="H1157" s="12" t="n"/>
      <c r="I1157" s="12" t="n"/>
      <c r="J1157" s="12" t="n"/>
      <c r="K1157" s="12" t="n"/>
      <c r="L1157" s="11" t="n"/>
      <c r="M1157" s="11" t="n"/>
      <c r="N1157" s="11" t="n"/>
      <c r="O1157" s="11" t="n"/>
      <c r="P1157" s="12" t="n"/>
      <c r="Q1157" s="11" t="n"/>
      <c r="R1157" s="12" t="n"/>
      <c r="S1157" s="11" t="n"/>
      <c r="T1157" s="12" t="n"/>
      <c r="U1157" s="12" t="n"/>
      <c r="V1157" s="12" t="n"/>
      <c r="W1157" s="13" t="n"/>
      <c r="X1157" s="14">
        <f>IF($AP1157="",IF($B1157="","",$H1157),IF(INDEX(職員マスタ!$B$6:$B$405,$AP1157)="",$H1157,INDEX(職員マスタ!$B$6:$B$405,$AP1157)))</f>
        <v/>
      </c>
      <c r="Y1157" s="14">
        <f>IF($AP1157="",IF($B1157="","",$R1157),IF(INDEX(職員マスタ!$C$6:$C$405,$AP1157)="",$R1157,INDEX(職員マスタ!$C$6:$C$405,$AP1157)))</f>
        <v/>
      </c>
      <c r="Z1157" s="14">
        <f>IF($AQ1157="","","R"&amp;$C1157&amp;"."&amp;$D1157)</f>
        <v/>
      </c>
      <c r="AA1157" s="15">
        <f>IF(IF($AP1157="",FALSE,INDEX(職員マスタ!$K$6:$K$405,$AP1157)&lt;&gt;""),INDEX(職員マスタ!$K$6:$K$405,$AP1157),IF(N($W1157)&gt;0,$W1157,""))</f>
        <v/>
      </c>
      <c r="AB1157" s="14">
        <f>IF(OR($E1157="",$AA1157=""),"",IF($E1157&gt;=$AA1157,"×",IF($E1157&gt;=$AA1157*設定!$C$5,"△","○")))</f>
        <v/>
      </c>
      <c r="AC1157" s="15">
        <f>IF($AB1157="","",IF($AB1157="×",0,IF($AB1157="○",ROUNDDOWN($E1157*設定!$C$4,0),ROUNDDOWN($E1157*ROUND((9*$AA1157-9*$E1157)/(10*$E1157),4),0))))</f>
        <v/>
      </c>
      <c r="AD1157" s="13" t="n"/>
      <c r="AE1157" s="15">
        <f>IF($B1157="","",IF($AD1157&lt;&gt;"",$AD1157,IF($AC1157="","",IF($AC1157&lt;=設定!$C$3,0,$AC1157))))</f>
        <v/>
      </c>
      <c r="AF1157" s="14">
        <f>IF($B1157="","",IF(AND($AG1157&lt;&gt;"",$AI1157="",$AL1157=""),"保留中",IF($AL1157&lt;&gt;"",IF(N($AE1157)&gt;0,"支給済","不支給"),IF($AE1157="","要確認",IF($AE1157=0,"不支給","未処理")))))</f>
        <v/>
      </c>
      <c r="AG1157" s="12" t="n"/>
      <c r="AH1157" s="11" t="n"/>
      <c r="AI1157" s="11" t="n"/>
      <c r="AJ1157" s="11" t="n"/>
      <c r="AK1157" s="14">
        <f>IF(AND($AF1157="保留中",$AH1157&lt;&gt;""),TODAY()-$AH1157,"")</f>
        <v/>
      </c>
      <c r="AL1157" s="12" t="n"/>
      <c r="AM1157" s="14">
        <f>IF($B1157="","",IF($AQ1157="","対象年月が未入力／","")&amp;IF($B1157="","",IF($AP1157="","職員マスタに未登録の職員番号／",IF($AA1157="","標準報酬月額が未登録／","")&amp;IF(AND($AQ1157&lt;&gt;"",OR(AND(INDEX(職員マスタ!$G$6:$G$405,$AP1157)&lt;&gt;"",INDEX(職員マスタ!$G$6:$G$405,$AP1157)&gt;EOMONTH($AQ1157,0)),AND(INDEX(職員マスタ!$H$6:$H$405,$AP1157)&lt;&gt;"",INDEX(職員マスタ!$H$6:$H$405,$AP1157)&lt;$AQ1157))),"対象月が時短期間外／","")&amp;IF(AND(INDEX(職員マスタ!$K$6:$K$405,$AP1157)&lt;&gt;"",N($W1157)&gt;0,INDEX(職員マスタ!$K$6:$K$405,$AP1157)&lt;&gt;$W1157),"標準報酬月額が申請書と相違（台帳"&amp;TEXT(INDEX(職員マスタ!$K$6:$K$405,$AP1157),"#,##0")&amp;"円／申請書"&amp;TEXT($W1157,"#,##0")&amp;"円）／","")&amp;IF(AND(INDEX(職員マスタ!$F$6:$F$405,$AP1157)&lt;&gt;"",$AQ1157&lt;&gt;"",INDEX(職員マスタ!$F$6:$F$405,$AP1157)&lt;$AQ1157),"対象月に子が2歳到達済／","")&amp;IF(AND($H1157&lt;&gt;"",INDEX(職員マスタ!$B$6:$B$405,$AP1157)&lt;&gt;"",SUBSTITUTE(SUBSTITUTE($H1157," ","")," ","")&lt;&gt;SUBSTITUTE(SUBSTITUTE(INDEX(職員マスタ!$B$6:$B$405,$AP1157)," ","")," ","")),"氏名がマスタと相違／","")&amp;IF(AND($Q1157&lt;&gt;"",INDEX(職員マスタ!$E$6:$E$405,$AP1157)&lt;&gt;"",$Q1157&lt;&gt;INDEX(職員マスタ!$E$6:$E$405,$AP1157)),"子の生年月日がマスタと相違／","")&amp;IF(AND($L1157&lt;&gt;"",INDEX(職員マスタ!$G$6:$G$405,$AP1157)&lt;&gt;"",$L1157&lt;&gt;INDEX(職員マスタ!$G$6:$G$405,$AP1157)),"時短開始日がマスタと相違／","")&amp;IF(AND($M1157&lt;&gt;"",INDEX(職員マスタ!$H$6:$H$405,$AP1157)&lt;&gt;"",$M1157&lt;&gt;INDEX(職員マスタ!$H$6:$H$405,$AP1157)),"時短終了日がマスタと相違／","")))&amp;IF(AND($B1157&lt;&gt;"",$E1157=""),"報酬額が未入力／","")&amp;IF(N($U1157)&gt;0,"申請書に入力エラーが残っています／","")&amp;IF(AND($B1157&lt;&gt;"",$AQ1157&lt;&gt;""),IF(COUNTIFS($B$6:$B$3005,$B1157,$C$6:$C$3005,$C1157,$D$6:$D$3005,$D1157)&gt;1,"同じ月の請求が重複しています／",""),"")&amp;IF(AND(N($E1157)&gt;0,$AB1157&lt;&gt;"",$AB1157&lt;&gt;"×",$AE1157=0,$AD1157=""),"計算額が下限以下のため不支給／",""))</f>
        <v/>
      </c>
      <c r="AN1157" s="12" t="n"/>
      <c r="AO1157" s="14">
        <f>IF($AF1157="保留中",COUNTIF($AF$6:$AF1157,"保留中"),"")</f>
        <v/>
      </c>
      <c r="AP1157" s="14">
        <f>IF($AQ1157="","",IF(SUMPRODUCT(MAX((職員マスタ!$A$6:$A$405=$B1157)*(((職員マスタ!$G$6:$G$405="")+(職員マスタ!$G$6:$G$405&lt;=EOMONTH($AQ1157,0)))&gt;0)*(((職員マスタ!$H$6:$H$405="")+(職員マスタ!$H$6:$H$405&gt;=$AQ1157))&gt;0)*(ROW(職員マスタ!$A$6:$A$405)-5)))&gt;0,SUMPRODUCT(MAX((職員マスタ!$A$6:$A$405=$B1157)*(((職員マスタ!$G$6:$G$405="")+(職員マスタ!$G$6:$G$405&lt;=EOMONTH($AQ1157,0)))&gt;0)*(((職員マスタ!$H$6:$H$405="")+(職員マスタ!$H$6:$H$405&gt;=$AQ1157))&gt;0)*(ROW(職員マスタ!$A$6:$A$405)-5))),IFERROR(MATCH($B1157,職員マスタ!$A$6:$A$405,0),"")))</f>
        <v/>
      </c>
      <c r="AQ1157" s="16">
        <f>IF(OR($B1157="",$C1157="",$D1157=""),"",DATE($C1157+2018,$D1157,1))</f>
        <v/>
      </c>
    </row>
    <row r="1158">
      <c r="A1158" s="11" t="n"/>
      <c r="B1158" s="12" t="n"/>
      <c r="C1158" s="12" t="n"/>
      <c r="D1158" s="12" t="n"/>
      <c r="E1158" s="13" t="n"/>
      <c r="F1158" s="12" t="n"/>
      <c r="G1158" s="13" t="n"/>
      <c r="H1158" s="12" t="n"/>
      <c r="I1158" s="12" t="n"/>
      <c r="J1158" s="12" t="n"/>
      <c r="K1158" s="12" t="n"/>
      <c r="L1158" s="11" t="n"/>
      <c r="M1158" s="11" t="n"/>
      <c r="N1158" s="11" t="n"/>
      <c r="O1158" s="11" t="n"/>
      <c r="P1158" s="12" t="n"/>
      <c r="Q1158" s="11" t="n"/>
      <c r="R1158" s="12" t="n"/>
      <c r="S1158" s="11" t="n"/>
      <c r="T1158" s="12" t="n"/>
      <c r="U1158" s="12" t="n"/>
      <c r="V1158" s="12" t="n"/>
      <c r="W1158" s="13" t="n"/>
      <c r="X1158" s="14">
        <f>IF($AP1158="",IF($B1158="","",$H1158),IF(INDEX(職員マスタ!$B$6:$B$405,$AP1158)="",$H1158,INDEX(職員マスタ!$B$6:$B$405,$AP1158)))</f>
        <v/>
      </c>
      <c r="Y1158" s="14">
        <f>IF($AP1158="",IF($B1158="","",$R1158),IF(INDEX(職員マスタ!$C$6:$C$405,$AP1158)="",$R1158,INDEX(職員マスタ!$C$6:$C$405,$AP1158)))</f>
        <v/>
      </c>
      <c r="Z1158" s="14">
        <f>IF($AQ1158="","","R"&amp;$C1158&amp;"."&amp;$D1158)</f>
        <v/>
      </c>
      <c r="AA1158" s="15">
        <f>IF(IF($AP1158="",FALSE,INDEX(職員マスタ!$K$6:$K$405,$AP1158)&lt;&gt;""),INDEX(職員マスタ!$K$6:$K$405,$AP1158),IF(N($W1158)&gt;0,$W1158,""))</f>
        <v/>
      </c>
      <c r="AB1158" s="14">
        <f>IF(OR($E1158="",$AA1158=""),"",IF($E1158&gt;=$AA1158,"×",IF($E1158&gt;=$AA1158*設定!$C$5,"△","○")))</f>
        <v/>
      </c>
      <c r="AC1158" s="15">
        <f>IF($AB1158="","",IF($AB1158="×",0,IF($AB1158="○",ROUNDDOWN($E1158*設定!$C$4,0),ROUNDDOWN($E1158*ROUND((9*$AA1158-9*$E1158)/(10*$E1158),4),0))))</f>
        <v/>
      </c>
      <c r="AD1158" s="13" t="n"/>
      <c r="AE1158" s="15">
        <f>IF($B1158="","",IF($AD1158&lt;&gt;"",$AD1158,IF($AC1158="","",IF($AC1158&lt;=設定!$C$3,0,$AC1158))))</f>
        <v/>
      </c>
      <c r="AF1158" s="14">
        <f>IF($B1158="","",IF(AND($AG1158&lt;&gt;"",$AI1158="",$AL1158=""),"保留中",IF($AL1158&lt;&gt;"",IF(N($AE1158)&gt;0,"支給済","不支給"),IF($AE1158="","要確認",IF($AE1158=0,"不支給","未処理")))))</f>
        <v/>
      </c>
      <c r="AG1158" s="12" t="n"/>
      <c r="AH1158" s="11" t="n"/>
      <c r="AI1158" s="11" t="n"/>
      <c r="AJ1158" s="11" t="n"/>
      <c r="AK1158" s="14">
        <f>IF(AND($AF1158="保留中",$AH1158&lt;&gt;""),TODAY()-$AH1158,"")</f>
        <v/>
      </c>
      <c r="AL1158" s="12" t="n"/>
      <c r="AM1158" s="14">
        <f>IF($B1158="","",IF($AQ1158="","対象年月が未入力／","")&amp;IF($B1158="","",IF($AP1158="","職員マスタに未登録の職員番号／",IF($AA1158="","標準報酬月額が未登録／","")&amp;IF(AND($AQ1158&lt;&gt;"",OR(AND(INDEX(職員マスタ!$G$6:$G$405,$AP1158)&lt;&gt;"",INDEX(職員マスタ!$G$6:$G$405,$AP1158)&gt;EOMONTH($AQ1158,0)),AND(INDEX(職員マスタ!$H$6:$H$405,$AP1158)&lt;&gt;"",INDEX(職員マスタ!$H$6:$H$405,$AP1158)&lt;$AQ1158))),"対象月が時短期間外／","")&amp;IF(AND(INDEX(職員マスタ!$K$6:$K$405,$AP1158)&lt;&gt;"",N($W1158)&gt;0,INDEX(職員マスタ!$K$6:$K$405,$AP1158)&lt;&gt;$W1158),"標準報酬月額が申請書と相違（台帳"&amp;TEXT(INDEX(職員マスタ!$K$6:$K$405,$AP1158),"#,##0")&amp;"円／申請書"&amp;TEXT($W1158,"#,##0")&amp;"円）／","")&amp;IF(AND(INDEX(職員マスタ!$F$6:$F$405,$AP1158)&lt;&gt;"",$AQ1158&lt;&gt;"",INDEX(職員マスタ!$F$6:$F$405,$AP1158)&lt;$AQ1158),"対象月に子が2歳到達済／","")&amp;IF(AND($H1158&lt;&gt;"",INDEX(職員マスタ!$B$6:$B$405,$AP1158)&lt;&gt;"",SUBSTITUTE(SUBSTITUTE($H1158," ","")," ","")&lt;&gt;SUBSTITUTE(SUBSTITUTE(INDEX(職員マスタ!$B$6:$B$405,$AP1158)," ","")," ","")),"氏名がマスタと相違／","")&amp;IF(AND($Q1158&lt;&gt;"",INDEX(職員マスタ!$E$6:$E$405,$AP1158)&lt;&gt;"",$Q1158&lt;&gt;INDEX(職員マスタ!$E$6:$E$405,$AP1158)),"子の生年月日がマスタと相違／","")&amp;IF(AND($L1158&lt;&gt;"",INDEX(職員マスタ!$G$6:$G$405,$AP1158)&lt;&gt;"",$L1158&lt;&gt;INDEX(職員マスタ!$G$6:$G$405,$AP1158)),"時短開始日がマスタと相違／","")&amp;IF(AND($M1158&lt;&gt;"",INDEX(職員マスタ!$H$6:$H$405,$AP1158)&lt;&gt;"",$M1158&lt;&gt;INDEX(職員マスタ!$H$6:$H$405,$AP1158)),"時短終了日がマスタと相違／","")))&amp;IF(AND($B1158&lt;&gt;"",$E1158=""),"報酬額が未入力／","")&amp;IF(N($U1158)&gt;0,"申請書に入力エラーが残っています／","")&amp;IF(AND($B1158&lt;&gt;"",$AQ1158&lt;&gt;""),IF(COUNTIFS($B$6:$B$3005,$B1158,$C$6:$C$3005,$C1158,$D$6:$D$3005,$D1158)&gt;1,"同じ月の請求が重複しています／",""),"")&amp;IF(AND(N($E1158)&gt;0,$AB1158&lt;&gt;"",$AB1158&lt;&gt;"×",$AE1158=0,$AD1158=""),"計算額が下限以下のため不支給／",""))</f>
        <v/>
      </c>
      <c r="AN1158" s="12" t="n"/>
      <c r="AO1158" s="14">
        <f>IF($AF1158="保留中",COUNTIF($AF$6:$AF1158,"保留中"),"")</f>
        <v/>
      </c>
      <c r="AP1158" s="14">
        <f>IF($AQ1158="","",IF(SUMPRODUCT(MAX((職員マスタ!$A$6:$A$405=$B1158)*(((職員マスタ!$G$6:$G$405="")+(職員マスタ!$G$6:$G$405&lt;=EOMONTH($AQ1158,0)))&gt;0)*(((職員マスタ!$H$6:$H$405="")+(職員マスタ!$H$6:$H$405&gt;=$AQ1158))&gt;0)*(ROW(職員マスタ!$A$6:$A$405)-5)))&gt;0,SUMPRODUCT(MAX((職員マスタ!$A$6:$A$405=$B1158)*(((職員マスタ!$G$6:$G$405="")+(職員マスタ!$G$6:$G$405&lt;=EOMONTH($AQ1158,0)))&gt;0)*(((職員マスタ!$H$6:$H$405="")+(職員マスタ!$H$6:$H$405&gt;=$AQ1158))&gt;0)*(ROW(職員マスタ!$A$6:$A$405)-5))),IFERROR(MATCH($B1158,職員マスタ!$A$6:$A$405,0),"")))</f>
        <v/>
      </c>
      <c r="AQ1158" s="16">
        <f>IF(OR($B1158="",$C1158="",$D1158=""),"",DATE($C1158+2018,$D1158,1))</f>
        <v/>
      </c>
    </row>
    <row r="1159">
      <c r="A1159" s="11" t="n"/>
      <c r="B1159" s="12" t="n"/>
      <c r="C1159" s="12" t="n"/>
      <c r="D1159" s="12" t="n"/>
      <c r="E1159" s="13" t="n"/>
      <c r="F1159" s="12" t="n"/>
      <c r="G1159" s="13" t="n"/>
      <c r="H1159" s="12" t="n"/>
      <c r="I1159" s="12" t="n"/>
      <c r="J1159" s="12" t="n"/>
      <c r="K1159" s="12" t="n"/>
      <c r="L1159" s="11" t="n"/>
      <c r="M1159" s="11" t="n"/>
      <c r="N1159" s="11" t="n"/>
      <c r="O1159" s="11" t="n"/>
      <c r="P1159" s="12" t="n"/>
      <c r="Q1159" s="11" t="n"/>
      <c r="R1159" s="12" t="n"/>
      <c r="S1159" s="11" t="n"/>
      <c r="T1159" s="12" t="n"/>
      <c r="U1159" s="12" t="n"/>
      <c r="V1159" s="12" t="n"/>
      <c r="W1159" s="13" t="n"/>
      <c r="X1159" s="14">
        <f>IF($AP1159="",IF($B1159="","",$H1159),IF(INDEX(職員マスタ!$B$6:$B$405,$AP1159)="",$H1159,INDEX(職員マスタ!$B$6:$B$405,$AP1159)))</f>
        <v/>
      </c>
      <c r="Y1159" s="14">
        <f>IF($AP1159="",IF($B1159="","",$R1159),IF(INDEX(職員マスタ!$C$6:$C$405,$AP1159)="",$R1159,INDEX(職員マスタ!$C$6:$C$405,$AP1159)))</f>
        <v/>
      </c>
      <c r="Z1159" s="14">
        <f>IF($AQ1159="","","R"&amp;$C1159&amp;"."&amp;$D1159)</f>
        <v/>
      </c>
      <c r="AA1159" s="15">
        <f>IF(IF($AP1159="",FALSE,INDEX(職員マスタ!$K$6:$K$405,$AP1159)&lt;&gt;""),INDEX(職員マスタ!$K$6:$K$405,$AP1159),IF(N($W1159)&gt;0,$W1159,""))</f>
        <v/>
      </c>
      <c r="AB1159" s="14">
        <f>IF(OR($E1159="",$AA1159=""),"",IF($E1159&gt;=$AA1159,"×",IF($E1159&gt;=$AA1159*設定!$C$5,"△","○")))</f>
        <v/>
      </c>
      <c r="AC1159" s="15">
        <f>IF($AB1159="","",IF($AB1159="×",0,IF($AB1159="○",ROUNDDOWN($E1159*設定!$C$4,0),ROUNDDOWN($E1159*ROUND((9*$AA1159-9*$E1159)/(10*$E1159),4),0))))</f>
        <v/>
      </c>
      <c r="AD1159" s="13" t="n"/>
      <c r="AE1159" s="15">
        <f>IF($B1159="","",IF($AD1159&lt;&gt;"",$AD1159,IF($AC1159="","",IF($AC1159&lt;=設定!$C$3,0,$AC1159))))</f>
        <v/>
      </c>
      <c r="AF1159" s="14">
        <f>IF($B1159="","",IF(AND($AG1159&lt;&gt;"",$AI1159="",$AL1159=""),"保留中",IF($AL1159&lt;&gt;"",IF(N($AE1159)&gt;0,"支給済","不支給"),IF($AE1159="","要確認",IF($AE1159=0,"不支給","未処理")))))</f>
        <v/>
      </c>
      <c r="AG1159" s="12" t="n"/>
      <c r="AH1159" s="11" t="n"/>
      <c r="AI1159" s="11" t="n"/>
      <c r="AJ1159" s="11" t="n"/>
      <c r="AK1159" s="14">
        <f>IF(AND($AF1159="保留中",$AH1159&lt;&gt;""),TODAY()-$AH1159,"")</f>
        <v/>
      </c>
      <c r="AL1159" s="12" t="n"/>
      <c r="AM1159" s="14">
        <f>IF($B1159="","",IF($AQ1159="","対象年月が未入力／","")&amp;IF($B1159="","",IF($AP1159="","職員マスタに未登録の職員番号／",IF($AA1159="","標準報酬月額が未登録／","")&amp;IF(AND($AQ1159&lt;&gt;"",OR(AND(INDEX(職員マスタ!$G$6:$G$405,$AP1159)&lt;&gt;"",INDEX(職員マスタ!$G$6:$G$405,$AP1159)&gt;EOMONTH($AQ1159,0)),AND(INDEX(職員マスタ!$H$6:$H$405,$AP1159)&lt;&gt;"",INDEX(職員マスタ!$H$6:$H$405,$AP1159)&lt;$AQ1159))),"対象月が時短期間外／","")&amp;IF(AND(INDEX(職員マスタ!$K$6:$K$405,$AP1159)&lt;&gt;"",N($W1159)&gt;0,INDEX(職員マスタ!$K$6:$K$405,$AP1159)&lt;&gt;$W1159),"標準報酬月額が申請書と相違（台帳"&amp;TEXT(INDEX(職員マスタ!$K$6:$K$405,$AP1159),"#,##0")&amp;"円／申請書"&amp;TEXT($W1159,"#,##0")&amp;"円）／","")&amp;IF(AND(INDEX(職員マスタ!$F$6:$F$405,$AP1159)&lt;&gt;"",$AQ1159&lt;&gt;"",INDEX(職員マスタ!$F$6:$F$405,$AP1159)&lt;$AQ1159),"対象月に子が2歳到達済／","")&amp;IF(AND($H1159&lt;&gt;"",INDEX(職員マスタ!$B$6:$B$405,$AP1159)&lt;&gt;"",SUBSTITUTE(SUBSTITUTE($H1159," ","")," ","")&lt;&gt;SUBSTITUTE(SUBSTITUTE(INDEX(職員マスタ!$B$6:$B$405,$AP1159)," ","")," ","")),"氏名がマスタと相違／","")&amp;IF(AND($Q1159&lt;&gt;"",INDEX(職員マスタ!$E$6:$E$405,$AP1159)&lt;&gt;"",$Q1159&lt;&gt;INDEX(職員マスタ!$E$6:$E$405,$AP1159)),"子の生年月日がマスタと相違／","")&amp;IF(AND($L1159&lt;&gt;"",INDEX(職員マスタ!$G$6:$G$405,$AP1159)&lt;&gt;"",$L1159&lt;&gt;INDEX(職員マスタ!$G$6:$G$405,$AP1159)),"時短開始日がマスタと相違／","")&amp;IF(AND($M1159&lt;&gt;"",INDEX(職員マスタ!$H$6:$H$405,$AP1159)&lt;&gt;"",$M1159&lt;&gt;INDEX(職員マスタ!$H$6:$H$405,$AP1159)),"時短終了日がマスタと相違／","")))&amp;IF(AND($B1159&lt;&gt;"",$E1159=""),"報酬額が未入力／","")&amp;IF(N($U1159)&gt;0,"申請書に入力エラーが残っています／","")&amp;IF(AND($B1159&lt;&gt;"",$AQ1159&lt;&gt;""),IF(COUNTIFS($B$6:$B$3005,$B1159,$C$6:$C$3005,$C1159,$D$6:$D$3005,$D1159)&gt;1,"同じ月の請求が重複しています／",""),"")&amp;IF(AND(N($E1159)&gt;0,$AB1159&lt;&gt;"",$AB1159&lt;&gt;"×",$AE1159=0,$AD1159=""),"計算額が下限以下のため不支給／",""))</f>
        <v/>
      </c>
      <c r="AN1159" s="12" t="n"/>
      <c r="AO1159" s="14">
        <f>IF($AF1159="保留中",COUNTIF($AF$6:$AF1159,"保留中"),"")</f>
        <v/>
      </c>
      <c r="AP1159" s="14">
        <f>IF($AQ1159="","",IF(SUMPRODUCT(MAX((職員マスタ!$A$6:$A$405=$B1159)*(((職員マスタ!$G$6:$G$405="")+(職員マスタ!$G$6:$G$405&lt;=EOMONTH($AQ1159,0)))&gt;0)*(((職員マスタ!$H$6:$H$405="")+(職員マスタ!$H$6:$H$405&gt;=$AQ1159))&gt;0)*(ROW(職員マスタ!$A$6:$A$405)-5)))&gt;0,SUMPRODUCT(MAX((職員マスタ!$A$6:$A$405=$B1159)*(((職員マスタ!$G$6:$G$405="")+(職員マスタ!$G$6:$G$405&lt;=EOMONTH($AQ1159,0)))&gt;0)*(((職員マスタ!$H$6:$H$405="")+(職員マスタ!$H$6:$H$405&gt;=$AQ1159))&gt;0)*(ROW(職員マスタ!$A$6:$A$405)-5))),IFERROR(MATCH($B1159,職員マスタ!$A$6:$A$405,0),"")))</f>
        <v/>
      </c>
      <c r="AQ1159" s="16">
        <f>IF(OR($B1159="",$C1159="",$D1159=""),"",DATE($C1159+2018,$D1159,1))</f>
        <v/>
      </c>
    </row>
    <row r="1160">
      <c r="A1160" s="11" t="n"/>
      <c r="B1160" s="12" t="n"/>
      <c r="C1160" s="12" t="n"/>
      <c r="D1160" s="12" t="n"/>
      <c r="E1160" s="13" t="n"/>
      <c r="F1160" s="12" t="n"/>
      <c r="G1160" s="13" t="n"/>
      <c r="H1160" s="12" t="n"/>
      <c r="I1160" s="12" t="n"/>
      <c r="J1160" s="12" t="n"/>
      <c r="K1160" s="12" t="n"/>
      <c r="L1160" s="11" t="n"/>
      <c r="M1160" s="11" t="n"/>
      <c r="N1160" s="11" t="n"/>
      <c r="O1160" s="11" t="n"/>
      <c r="P1160" s="12" t="n"/>
      <c r="Q1160" s="11" t="n"/>
      <c r="R1160" s="12" t="n"/>
      <c r="S1160" s="11" t="n"/>
      <c r="T1160" s="12" t="n"/>
      <c r="U1160" s="12" t="n"/>
      <c r="V1160" s="12" t="n"/>
      <c r="W1160" s="13" t="n"/>
      <c r="X1160" s="14">
        <f>IF($AP1160="",IF($B1160="","",$H1160),IF(INDEX(職員マスタ!$B$6:$B$405,$AP1160)="",$H1160,INDEX(職員マスタ!$B$6:$B$405,$AP1160)))</f>
        <v/>
      </c>
      <c r="Y1160" s="14">
        <f>IF($AP1160="",IF($B1160="","",$R1160),IF(INDEX(職員マスタ!$C$6:$C$405,$AP1160)="",$R1160,INDEX(職員マスタ!$C$6:$C$405,$AP1160)))</f>
        <v/>
      </c>
      <c r="Z1160" s="14">
        <f>IF($AQ1160="","","R"&amp;$C1160&amp;"."&amp;$D1160)</f>
        <v/>
      </c>
      <c r="AA1160" s="15">
        <f>IF(IF($AP1160="",FALSE,INDEX(職員マスタ!$K$6:$K$405,$AP1160)&lt;&gt;""),INDEX(職員マスタ!$K$6:$K$405,$AP1160),IF(N($W1160)&gt;0,$W1160,""))</f>
        <v/>
      </c>
      <c r="AB1160" s="14">
        <f>IF(OR($E1160="",$AA1160=""),"",IF($E1160&gt;=$AA1160,"×",IF($E1160&gt;=$AA1160*設定!$C$5,"△","○")))</f>
        <v/>
      </c>
      <c r="AC1160" s="15">
        <f>IF($AB1160="","",IF($AB1160="×",0,IF($AB1160="○",ROUNDDOWN($E1160*設定!$C$4,0),ROUNDDOWN($E1160*ROUND((9*$AA1160-9*$E1160)/(10*$E1160),4),0))))</f>
        <v/>
      </c>
      <c r="AD1160" s="13" t="n"/>
      <c r="AE1160" s="15">
        <f>IF($B1160="","",IF($AD1160&lt;&gt;"",$AD1160,IF($AC1160="","",IF($AC1160&lt;=設定!$C$3,0,$AC1160))))</f>
        <v/>
      </c>
      <c r="AF1160" s="14">
        <f>IF($B1160="","",IF(AND($AG1160&lt;&gt;"",$AI1160="",$AL1160=""),"保留中",IF($AL1160&lt;&gt;"",IF(N($AE1160)&gt;0,"支給済","不支給"),IF($AE1160="","要確認",IF($AE1160=0,"不支給","未処理")))))</f>
        <v/>
      </c>
      <c r="AG1160" s="12" t="n"/>
      <c r="AH1160" s="11" t="n"/>
      <c r="AI1160" s="11" t="n"/>
      <c r="AJ1160" s="11" t="n"/>
      <c r="AK1160" s="14">
        <f>IF(AND($AF1160="保留中",$AH1160&lt;&gt;""),TODAY()-$AH1160,"")</f>
        <v/>
      </c>
      <c r="AL1160" s="12" t="n"/>
      <c r="AM1160" s="14">
        <f>IF($B1160="","",IF($AQ1160="","対象年月が未入力／","")&amp;IF($B1160="","",IF($AP1160="","職員マスタに未登録の職員番号／",IF($AA1160="","標準報酬月額が未登録／","")&amp;IF(AND($AQ1160&lt;&gt;"",OR(AND(INDEX(職員マスタ!$G$6:$G$405,$AP1160)&lt;&gt;"",INDEX(職員マスタ!$G$6:$G$405,$AP1160)&gt;EOMONTH($AQ1160,0)),AND(INDEX(職員マスタ!$H$6:$H$405,$AP1160)&lt;&gt;"",INDEX(職員マスタ!$H$6:$H$405,$AP1160)&lt;$AQ1160))),"対象月が時短期間外／","")&amp;IF(AND(INDEX(職員マスタ!$K$6:$K$405,$AP1160)&lt;&gt;"",N($W1160)&gt;0,INDEX(職員マスタ!$K$6:$K$405,$AP1160)&lt;&gt;$W1160),"標準報酬月額が申請書と相違（台帳"&amp;TEXT(INDEX(職員マスタ!$K$6:$K$405,$AP1160),"#,##0")&amp;"円／申請書"&amp;TEXT($W1160,"#,##0")&amp;"円）／","")&amp;IF(AND(INDEX(職員マスタ!$F$6:$F$405,$AP1160)&lt;&gt;"",$AQ1160&lt;&gt;"",INDEX(職員マスタ!$F$6:$F$405,$AP1160)&lt;$AQ1160),"対象月に子が2歳到達済／","")&amp;IF(AND($H1160&lt;&gt;"",INDEX(職員マスタ!$B$6:$B$405,$AP1160)&lt;&gt;"",SUBSTITUTE(SUBSTITUTE($H1160," ","")," ","")&lt;&gt;SUBSTITUTE(SUBSTITUTE(INDEX(職員マスタ!$B$6:$B$405,$AP1160)," ","")," ","")),"氏名がマスタと相違／","")&amp;IF(AND($Q1160&lt;&gt;"",INDEX(職員マスタ!$E$6:$E$405,$AP1160)&lt;&gt;"",$Q1160&lt;&gt;INDEX(職員マスタ!$E$6:$E$405,$AP1160)),"子の生年月日がマスタと相違／","")&amp;IF(AND($L1160&lt;&gt;"",INDEX(職員マスタ!$G$6:$G$405,$AP1160)&lt;&gt;"",$L1160&lt;&gt;INDEX(職員マスタ!$G$6:$G$405,$AP1160)),"時短開始日がマスタと相違／","")&amp;IF(AND($M1160&lt;&gt;"",INDEX(職員マスタ!$H$6:$H$405,$AP1160)&lt;&gt;"",$M1160&lt;&gt;INDEX(職員マスタ!$H$6:$H$405,$AP1160)),"時短終了日がマスタと相違／","")))&amp;IF(AND($B1160&lt;&gt;"",$E1160=""),"報酬額が未入力／","")&amp;IF(N($U1160)&gt;0,"申請書に入力エラーが残っています／","")&amp;IF(AND($B1160&lt;&gt;"",$AQ1160&lt;&gt;""),IF(COUNTIFS($B$6:$B$3005,$B1160,$C$6:$C$3005,$C1160,$D$6:$D$3005,$D1160)&gt;1,"同じ月の請求が重複しています／",""),"")&amp;IF(AND(N($E1160)&gt;0,$AB1160&lt;&gt;"",$AB1160&lt;&gt;"×",$AE1160=0,$AD1160=""),"計算額が下限以下のため不支給／",""))</f>
        <v/>
      </c>
      <c r="AN1160" s="12" t="n"/>
      <c r="AO1160" s="14">
        <f>IF($AF1160="保留中",COUNTIF($AF$6:$AF1160,"保留中"),"")</f>
        <v/>
      </c>
      <c r="AP1160" s="14">
        <f>IF($AQ1160="","",IF(SUMPRODUCT(MAX((職員マスタ!$A$6:$A$405=$B1160)*(((職員マスタ!$G$6:$G$405="")+(職員マスタ!$G$6:$G$405&lt;=EOMONTH($AQ1160,0)))&gt;0)*(((職員マスタ!$H$6:$H$405="")+(職員マスタ!$H$6:$H$405&gt;=$AQ1160))&gt;0)*(ROW(職員マスタ!$A$6:$A$405)-5)))&gt;0,SUMPRODUCT(MAX((職員マスタ!$A$6:$A$405=$B1160)*(((職員マスタ!$G$6:$G$405="")+(職員マスタ!$G$6:$G$405&lt;=EOMONTH($AQ1160,0)))&gt;0)*(((職員マスタ!$H$6:$H$405="")+(職員マスタ!$H$6:$H$405&gt;=$AQ1160))&gt;0)*(ROW(職員マスタ!$A$6:$A$405)-5))),IFERROR(MATCH($B1160,職員マスタ!$A$6:$A$405,0),"")))</f>
        <v/>
      </c>
      <c r="AQ1160" s="16">
        <f>IF(OR($B1160="",$C1160="",$D1160=""),"",DATE($C1160+2018,$D1160,1))</f>
        <v/>
      </c>
    </row>
    <row r="1161">
      <c r="A1161" s="11" t="n"/>
      <c r="B1161" s="12" t="n"/>
      <c r="C1161" s="12" t="n"/>
      <c r="D1161" s="12" t="n"/>
      <c r="E1161" s="13" t="n"/>
      <c r="F1161" s="12" t="n"/>
      <c r="G1161" s="13" t="n"/>
      <c r="H1161" s="12" t="n"/>
      <c r="I1161" s="12" t="n"/>
      <c r="J1161" s="12" t="n"/>
      <c r="K1161" s="12" t="n"/>
      <c r="L1161" s="11" t="n"/>
      <c r="M1161" s="11" t="n"/>
      <c r="N1161" s="11" t="n"/>
      <c r="O1161" s="11" t="n"/>
      <c r="P1161" s="12" t="n"/>
      <c r="Q1161" s="11" t="n"/>
      <c r="R1161" s="12" t="n"/>
      <c r="S1161" s="11" t="n"/>
      <c r="T1161" s="12" t="n"/>
      <c r="U1161" s="12" t="n"/>
      <c r="V1161" s="12" t="n"/>
      <c r="W1161" s="13" t="n"/>
      <c r="X1161" s="14">
        <f>IF($AP1161="",IF($B1161="","",$H1161),IF(INDEX(職員マスタ!$B$6:$B$405,$AP1161)="",$H1161,INDEX(職員マスタ!$B$6:$B$405,$AP1161)))</f>
        <v/>
      </c>
      <c r="Y1161" s="14">
        <f>IF($AP1161="",IF($B1161="","",$R1161),IF(INDEX(職員マスタ!$C$6:$C$405,$AP1161)="",$R1161,INDEX(職員マスタ!$C$6:$C$405,$AP1161)))</f>
        <v/>
      </c>
      <c r="Z1161" s="14">
        <f>IF($AQ1161="","","R"&amp;$C1161&amp;"."&amp;$D1161)</f>
        <v/>
      </c>
      <c r="AA1161" s="15">
        <f>IF(IF($AP1161="",FALSE,INDEX(職員マスタ!$K$6:$K$405,$AP1161)&lt;&gt;""),INDEX(職員マスタ!$K$6:$K$405,$AP1161),IF(N($W1161)&gt;0,$W1161,""))</f>
        <v/>
      </c>
      <c r="AB1161" s="14">
        <f>IF(OR($E1161="",$AA1161=""),"",IF($E1161&gt;=$AA1161,"×",IF($E1161&gt;=$AA1161*設定!$C$5,"△","○")))</f>
        <v/>
      </c>
      <c r="AC1161" s="15">
        <f>IF($AB1161="","",IF($AB1161="×",0,IF($AB1161="○",ROUNDDOWN($E1161*設定!$C$4,0),ROUNDDOWN($E1161*ROUND((9*$AA1161-9*$E1161)/(10*$E1161),4),0))))</f>
        <v/>
      </c>
      <c r="AD1161" s="13" t="n"/>
      <c r="AE1161" s="15">
        <f>IF($B1161="","",IF($AD1161&lt;&gt;"",$AD1161,IF($AC1161="","",IF($AC1161&lt;=設定!$C$3,0,$AC1161))))</f>
        <v/>
      </c>
      <c r="AF1161" s="14">
        <f>IF($B1161="","",IF(AND($AG1161&lt;&gt;"",$AI1161="",$AL1161=""),"保留中",IF($AL1161&lt;&gt;"",IF(N($AE1161)&gt;0,"支給済","不支給"),IF($AE1161="","要確認",IF($AE1161=0,"不支給","未処理")))))</f>
        <v/>
      </c>
      <c r="AG1161" s="12" t="n"/>
      <c r="AH1161" s="11" t="n"/>
      <c r="AI1161" s="11" t="n"/>
      <c r="AJ1161" s="11" t="n"/>
      <c r="AK1161" s="14">
        <f>IF(AND($AF1161="保留中",$AH1161&lt;&gt;""),TODAY()-$AH1161,"")</f>
        <v/>
      </c>
      <c r="AL1161" s="12" t="n"/>
      <c r="AM1161" s="14">
        <f>IF($B1161="","",IF($AQ1161="","対象年月が未入力／","")&amp;IF($B1161="","",IF($AP1161="","職員マスタに未登録の職員番号／",IF($AA1161="","標準報酬月額が未登録／","")&amp;IF(AND($AQ1161&lt;&gt;"",OR(AND(INDEX(職員マスタ!$G$6:$G$405,$AP1161)&lt;&gt;"",INDEX(職員マスタ!$G$6:$G$405,$AP1161)&gt;EOMONTH($AQ1161,0)),AND(INDEX(職員マスタ!$H$6:$H$405,$AP1161)&lt;&gt;"",INDEX(職員マスタ!$H$6:$H$405,$AP1161)&lt;$AQ1161))),"対象月が時短期間外／","")&amp;IF(AND(INDEX(職員マスタ!$K$6:$K$405,$AP1161)&lt;&gt;"",N($W1161)&gt;0,INDEX(職員マスタ!$K$6:$K$405,$AP1161)&lt;&gt;$W1161),"標準報酬月額が申請書と相違（台帳"&amp;TEXT(INDEX(職員マスタ!$K$6:$K$405,$AP1161),"#,##0")&amp;"円／申請書"&amp;TEXT($W1161,"#,##0")&amp;"円）／","")&amp;IF(AND(INDEX(職員マスタ!$F$6:$F$405,$AP1161)&lt;&gt;"",$AQ1161&lt;&gt;"",INDEX(職員マスタ!$F$6:$F$405,$AP1161)&lt;$AQ1161),"対象月に子が2歳到達済／","")&amp;IF(AND($H1161&lt;&gt;"",INDEX(職員マスタ!$B$6:$B$405,$AP1161)&lt;&gt;"",SUBSTITUTE(SUBSTITUTE($H1161," ","")," ","")&lt;&gt;SUBSTITUTE(SUBSTITUTE(INDEX(職員マスタ!$B$6:$B$405,$AP1161)," ","")," ","")),"氏名がマスタと相違／","")&amp;IF(AND($Q1161&lt;&gt;"",INDEX(職員マスタ!$E$6:$E$405,$AP1161)&lt;&gt;"",$Q1161&lt;&gt;INDEX(職員マスタ!$E$6:$E$405,$AP1161)),"子の生年月日がマスタと相違／","")&amp;IF(AND($L1161&lt;&gt;"",INDEX(職員マスタ!$G$6:$G$405,$AP1161)&lt;&gt;"",$L1161&lt;&gt;INDEX(職員マスタ!$G$6:$G$405,$AP1161)),"時短開始日がマスタと相違／","")&amp;IF(AND($M1161&lt;&gt;"",INDEX(職員マスタ!$H$6:$H$405,$AP1161)&lt;&gt;"",$M1161&lt;&gt;INDEX(職員マスタ!$H$6:$H$405,$AP1161)),"時短終了日がマスタと相違／","")))&amp;IF(AND($B1161&lt;&gt;"",$E1161=""),"報酬額が未入力／","")&amp;IF(N($U1161)&gt;0,"申請書に入力エラーが残っています／","")&amp;IF(AND($B1161&lt;&gt;"",$AQ1161&lt;&gt;""),IF(COUNTIFS($B$6:$B$3005,$B1161,$C$6:$C$3005,$C1161,$D$6:$D$3005,$D1161)&gt;1,"同じ月の請求が重複しています／",""),"")&amp;IF(AND(N($E1161)&gt;0,$AB1161&lt;&gt;"",$AB1161&lt;&gt;"×",$AE1161=0,$AD1161=""),"計算額が下限以下のため不支給／",""))</f>
        <v/>
      </c>
      <c r="AN1161" s="12" t="n"/>
      <c r="AO1161" s="14">
        <f>IF($AF1161="保留中",COUNTIF($AF$6:$AF1161,"保留中"),"")</f>
        <v/>
      </c>
      <c r="AP1161" s="14">
        <f>IF($AQ1161="","",IF(SUMPRODUCT(MAX((職員マスタ!$A$6:$A$405=$B1161)*(((職員マスタ!$G$6:$G$405="")+(職員マスタ!$G$6:$G$405&lt;=EOMONTH($AQ1161,0)))&gt;0)*(((職員マスタ!$H$6:$H$405="")+(職員マスタ!$H$6:$H$405&gt;=$AQ1161))&gt;0)*(ROW(職員マスタ!$A$6:$A$405)-5)))&gt;0,SUMPRODUCT(MAX((職員マスタ!$A$6:$A$405=$B1161)*(((職員マスタ!$G$6:$G$405="")+(職員マスタ!$G$6:$G$405&lt;=EOMONTH($AQ1161,0)))&gt;0)*(((職員マスタ!$H$6:$H$405="")+(職員マスタ!$H$6:$H$405&gt;=$AQ1161))&gt;0)*(ROW(職員マスタ!$A$6:$A$405)-5))),IFERROR(MATCH($B1161,職員マスタ!$A$6:$A$405,0),"")))</f>
        <v/>
      </c>
      <c r="AQ1161" s="16">
        <f>IF(OR($B1161="",$C1161="",$D1161=""),"",DATE($C1161+2018,$D1161,1))</f>
        <v/>
      </c>
    </row>
    <row r="1162">
      <c r="A1162" s="11" t="n"/>
      <c r="B1162" s="12" t="n"/>
      <c r="C1162" s="12" t="n"/>
      <c r="D1162" s="12" t="n"/>
      <c r="E1162" s="13" t="n"/>
      <c r="F1162" s="12" t="n"/>
      <c r="G1162" s="13" t="n"/>
      <c r="H1162" s="12" t="n"/>
      <c r="I1162" s="12" t="n"/>
      <c r="J1162" s="12" t="n"/>
      <c r="K1162" s="12" t="n"/>
      <c r="L1162" s="11" t="n"/>
      <c r="M1162" s="11" t="n"/>
      <c r="N1162" s="11" t="n"/>
      <c r="O1162" s="11" t="n"/>
      <c r="P1162" s="12" t="n"/>
      <c r="Q1162" s="11" t="n"/>
      <c r="R1162" s="12" t="n"/>
      <c r="S1162" s="11" t="n"/>
      <c r="T1162" s="12" t="n"/>
      <c r="U1162" s="12" t="n"/>
      <c r="V1162" s="12" t="n"/>
      <c r="W1162" s="13" t="n"/>
      <c r="X1162" s="14">
        <f>IF($AP1162="",IF($B1162="","",$H1162),IF(INDEX(職員マスタ!$B$6:$B$405,$AP1162)="",$H1162,INDEX(職員マスタ!$B$6:$B$405,$AP1162)))</f>
        <v/>
      </c>
      <c r="Y1162" s="14">
        <f>IF($AP1162="",IF($B1162="","",$R1162),IF(INDEX(職員マスタ!$C$6:$C$405,$AP1162)="",$R1162,INDEX(職員マスタ!$C$6:$C$405,$AP1162)))</f>
        <v/>
      </c>
      <c r="Z1162" s="14">
        <f>IF($AQ1162="","","R"&amp;$C1162&amp;"."&amp;$D1162)</f>
        <v/>
      </c>
      <c r="AA1162" s="15">
        <f>IF(IF($AP1162="",FALSE,INDEX(職員マスタ!$K$6:$K$405,$AP1162)&lt;&gt;""),INDEX(職員マスタ!$K$6:$K$405,$AP1162),IF(N($W1162)&gt;0,$W1162,""))</f>
        <v/>
      </c>
      <c r="AB1162" s="14">
        <f>IF(OR($E1162="",$AA1162=""),"",IF($E1162&gt;=$AA1162,"×",IF($E1162&gt;=$AA1162*設定!$C$5,"△","○")))</f>
        <v/>
      </c>
      <c r="AC1162" s="15">
        <f>IF($AB1162="","",IF($AB1162="×",0,IF($AB1162="○",ROUNDDOWN($E1162*設定!$C$4,0),ROUNDDOWN($E1162*ROUND((9*$AA1162-9*$E1162)/(10*$E1162),4),0))))</f>
        <v/>
      </c>
      <c r="AD1162" s="13" t="n"/>
      <c r="AE1162" s="15">
        <f>IF($B1162="","",IF($AD1162&lt;&gt;"",$AD1162,IF($AC1162="","",IF($AC1162&lt;=設定!$C$3,0,$AC1162))))</f>
        <v/>
      </c>
      <c r="AF1162" s="14">
        <f>IF($B1162="","",IF(AND($AG1162&lt;&gt;"",$AI1162="",$AL1162=""),"保留中",IF($AL1162&lt;&gt;"",IF(N($AE1162)&gt;0,"支給済","不支給"),IF($AE1162="","要確認",IF($AE1162=0,"不支給","未処理")))))</f>
        <v/>
      </c>
      <c r="AG1162" s="12" t="n"/>
      <c r="AH1162" s="11" t="n"/>
      <c r="AI1162" s="11" t="n"/>
      <c r="AJ1162" s="11" t="n"/>
      <c r="AK1162" s="14">
        <f>IF(AND($AF1162="保留中",$AH1162&lt;&gt;""),TODAY()-$AH1162,"")</f>
        <v/>
      </c>
      <c r="AL1162" s="12" t="n"/>
      <c r="AM1162" s="14">
        <f>IF($B1162="","",IF($AQ1162="","対象年月が未入力／","")&amp;IF($B1162="","",IF($AP1162="","職員マスタに未登録の職員番号／",IF($AA1162="","標準報酬月額が未登録／","")&amp;IF(AND($AQ1162&lt;&gt;"",OR(AND(INDEX(職員マスタ!$G$6:$G$405,$AP1162)&lt;&gt;"",INDEX(職員マスタ!$G$6:$G$405,$AP1162)&gt;EOMONTH($AQ1162,0)),AND(INDEX(職員マスタ!$H$6:$H$405,$AP1162)&lt;&gt;"",INDEX(職員マスタ!$H$6:$H$405,$AP1162)&lt;$AQ1162))),"対象月が時短期間外／","")&amp;IF(AND(INDEX(職員マスタ!$K$6:$K$405,$AP1162)&lt;&gt;"",N($W1162)&gt;0,INDEX(職員マスタ!$K$6:$K$405,$AP1162)&lt;&gt;$W1162),"標準報酬月額が申請書と相違（台帳"&amp;TEXT(INDEX(職員マスタ!$K$6:$K$405,$AP1162),"#,##0")&amp;"円／申請書"&amp;TEXT($W1162,"#,##0")&amp;"円）／","")&amp;IF(AND(INDEX(職員マスタ!$F$6:$F$405,$AP1162)&lt;&gt;"",$AQ1162&lt;&gt;"",INDEX(職員マスタ!$F$6:$F$405,$AP1162)&lt;$AQ1162),"対象月に子が2歳到達済／","")&amp;IF(AND($H1162&lt;&gt;"",INDEX(職員マスタ!$B$6:$B$405,$AP1162)&lt;&gt;"",SUBSTITUTE(SUBSTITUTE($H1162," ","")," ","")&lt;&gt;SUBSTITUTE(SUBSTITUTE(INDEX(職員マスタ!$B$6:$B$405,$AP1162)," ","")," ","")),"氏名がマスタと相違／","")&amp;IF(AND($Q1162&lt;&gt;"",INDEX(職員マスタ!$E$6:$E$405,$AP1162)&lt;&gt;"",$Q1162&lt;&gt;INDEX(職員マスタ!$E$6:$E$405,$AP1162)),"子の生年月日がマスタと相違／","")&amp;IF(AND($L1162&lt;&gt;"",INDEX(職員マスタ!$G$6:$G$405,$AP1162)&lt;&gt;"",$L1162&lt;&gt;INDEX(職員マスタ!$G$6:$G$405,$AP1162)),"時短開始日がマスタと相違／","")&amp;IF(AND($M1162&lt;&gt;"",INDEX(職員マスタ!$H$6:$H$405,$AP1162)&lt;&gt;"",$M1162&lt;&gt;INDEX(職員マスタ!$H$6:$H$405,$AP1162)),"時短終了日がマスタと相違／","")))&amp;IF(AND($B1162&lt;&gt;"",$E1162=""),"報酬額が未入力／","")&amp;IF(N($U1162)&gt;0,"申請書に入力エラーが残っています／","")&amp;IF(AND($B1162&lt;&gt;"",$AQ1162&lt;&gt;""),IF(COUNTIFS($B$6:$B$3005,$B1162,$C$6:$C$3005,$C1162,$D$6:$D$3005,$D1162)&gt;1,"同じ月の請求が重複しています／",""),"")&amp;IF(AND(N($E1162)&gt;0,$AB1162&lt;&gt;"",$AB1162&lt;&gt;"×",$AE1162=0,$AD1162=""),"計算額が下限以下のため不支給／",""))</f>
        <v/>
      </c>
      <c r="AN1162" s="12" t="n"/>
      <c r="AO1162" s="14">
        <f>IF($AF1162="保留中",COUNTIF($AF$6:$AF1162,"保留中"),"")</f>
        <v/>
      </c>
      <c r="AP1162" s="14">
        <f>IF($AQ1162="","",IF(SUMPRODUCT(MAX((職員マスタ!$A$6:$A$405=$B1162)*(((職員マスタ!$G$6:$G$405="")+(職員マスタ!$G$6:$G$405&lt;=EOMONTH($AQ1162,0)))&gt;0)*(((職員マスタ!$H$6:$H$405="")+(職員マスタ!$H$6:$H$405&gt;=$AQ1162))&gt;0)*(ROW(職員マスタ!$A$6:$A$405)-5)))&gt;0,SUMPRODUCT(MAX((職員マスタ!$A$6:$A$405=$B1162)*(((職員マスタ!$G$6:$G$405="")+(職員マスタ!$G$6:$G$405&lt;=EOMONTH($AQ1162,0)))&gt;0)*(((職員マスタ!$H$6:$H$405="")+(職員マスタ!$H$6:$H$405&gt;=$AQ1162))&gt;0)*(ROW(職員マスタ!$A$6:$A$405)-5))),IFERROR(MATCH($B1162,職員マスタ!$A$6:$A$405,0),"")))</f>
        <v/>
      </c>
      <c r="AQ1162" s="16">
        <f>IF(OR($B1162="",$C1162="",$D1162=""),"",DATE($C1162+2018,$D1162,1))</f>
        <v/>
      </c>
    </row>
    <row r="1163">
      <c r="A1163" s="11" t="n"/>
      <c r="B1163" s="12" t="n"/>
      <c r="C1163" s="12" t="n"/>
      <c r="D1163" s="12" t="n"/>
      <c r="E1163" s="13" t="n"/>
      <c r="F1163" s="12" t="n"/>
      <c r="G1163" s="13" t="n"/>
      <c r="H1163" s="12" t="n"/>
      <c r="I1163" s="12" t="n"/>
      <c r="J1163" s="12" t="n"/>
      <c r="K1163" s="12" t="n"/>
      <c r="L1163" s="11" t="n"/>
      <c r="M1163" s="11" t="n"/>
      <c r="N1163" s="11" t="n"/>
      <c r="O1163" s="11" t="n"/>
      <c r="P1163" s="12" t="n"/>
      <c r="Q1163" s="11" t="n"/>
      <c r="R1163" s="12" t="n"/>
      <c r="S1163" s="11" t="n"/>
      <c r="T1163" s="12" t="n"/>
      <c r="U1163" s="12" t="n"/>
      <c r="V1163" s="12" t="n"/>
      <c r="W1163" s="13" t="n"/>
      <c r="X1163" s="14">
        <f>IF($AP1163="",IF($B1163="","",$H1163),IF(INDEX(職員マスタ!$B$6:$B$405,$AP1163)="",$H1163,INDEX(職員マスタ!$B$6:$B$405,$AP1163)))</f>
        <v/>
      </c>
      <c r="Y1163" s="14">
        <f>IF($AP1163="",IF($B1163="","",$R1163),IF(INDEX(職員マスタ!$C$6:$C$405,$AP1163)="",$R1163,INDEX(職員マスタ!$C$6:$C$405,$AP1163)))</f>
        <v/>
      </c>
      <c r="Z1163" s="14">
        <f>IF($AQ1163="","","R"&amp;$C1163&amp;"."&amp;$D1163)</f>
        <v/>
      </c>
      <c r="AA1163" s="15">
        <f>IF(IF($AP1163="",FALSE,INDEX(職員マスタ!$K$6:$K$405,$AP1163)&lt;&gt;""),INDEX(職員マスタ!$K$6:$K$405,$AP1163),IF(N($W1163)&gt;0,$W1163,""))</f>
        <v/>
      </c>
      <c r="AB1163" s="14">
        <f>IF(OR($E1163="",$AA1163=""),"",IF($E1163&gt;=$AA1163,"×",IF($E1163&gt;=$AA1163*設定!$C$5,"△","○")))</f>
        <v/>
      </c>
      <c r="AC1163" s="15">
        <f>IF($AB1163="","",IF($AB1163="×",0,IF($AB1163="○",ROUNDDOWN($E1163*設定!$C$4,0),ROUNDDOWN($E1163*ROUND((9*$AA1163-9*$E1163)/(10*$E1163),4),0))))</f>
        <v/>
      </c>
      <c r="AD1163" s="13" t="n"/>
      <c r="AE1163" s="15">
        <f>IF($B1163="","",IF($AD1163&lt;&gt;"",$AD1163,IF($AC1163="","",IF($AC1163&lt;=設定!$C$3,0,$AC1163))))</f>
        <v/>
      </c>
      <c r="AF1163" s="14">
        <f>IF($B1163="","",IF(AND($AG1163&lt;&gt;"",$AI1163="",$AL1163=""),"保留中",IF($AL1163&lt;&gt;"",IF(N($AE1163)&gt;0,"支給済","不支給"),IF($AE1163="","要確認",IF($AE1163=0,"不支給","未処理")))))</f>
        <v/>
      </c>
      <c r="AG1163" s="12" t="n"/>
      <c r="AH1163" s="11" t="n"/>
      <c r="AI1163" s="11" t="n"/>
      <c r="AJ1163" s="11" t="n"/>
      <c r="AK1163" s="14">
        <f>IF(AND($AF1163="保留中",$AH1163&lt;&gt;""),TODAY()-$AH1163,"")</f>
        <v/>
      </c>
      <c r="AL1163" s="12" t="n"/>
      <c r="AM1163" s="14">
        <f>IF($B1163="","",IF($AQ1163="","対象年月が未入力／","")&amp;IF($B1163="","",IF($AP1163="","職員マスタに未登録の職員番号／",IF($AA1163="","標準報酬月額が未登録／","")&amp;IF(AND($AQ1163&lt;&gt;"",OR(AND(INDEX(職員マスタ!$G$6:$G$405,$AP1163)&lt;&gt;"",INDEX(職員マスタ!$G$6:$G$405,$AP1163)&gt;EOMONTH($AQ1163,0)),AND(INDEX(職員マスタ!$H$6:$H$405,$AP1163)&lt;&gt;"",INDEX(職員マスタ!$H$6:$H$405,$AP1163)&lt;$AQ1163))),"対象月が時短期間外／","")&amp;IF(AND(INDEX(職員マスタ!$K$6:$K$405,$AP1163)&lt;&gt;"",N($W1163)&gt;0,INDEX(職員マスタ!$K$6:$K$405,$AP1163)&lt;&gt;$W1163),"標準報酬月額が申請書と相違（台帳"&amp;TEXT(INDEX(職員マスタ!$K$6:$K$405,$AP1163),"#,##0")&amp;"円／申請書"&amp;TEXT($W1163,"#,##0")&amp;"円）／","")&amp;IF(AND(INDEX(職員マスタ!$F$6:$F$405,$AP1163)&lt;&gt;"",$AQ1163&lt;&gt;"",INDEX(職員マスタ!$F$6:$F$405,$AP1163)&lt;$AQ1163),"対象月に子が2歳到達済／","")&amp;IF(AND($H1163&lt;&gt;"",INDEX(職員マスタ!$B$6:$B$405,$AP1163)&lt;&gt;"",SUBSTITUTE(SUBSTITUTE($H1163," ","")," ","")&lt;&gt;SUBSTITUTE(SUBSTITUTE(INDEX(職員マスタ!$B$6:$B$405,$AP1163)," ","")," ","")),"氏名がマスタと相違／","")&amp;IF(AND($Q1163&lt;&gt;"",INDEX(職員マスタ!$E$6:$E$405,$AP1163)&lt;&gt;"",$Q1163&lt;&gt;INDEX(職員マスタ!$E$6:$E$405,$AP1163)),"子の生年月日がマスタと相違／","")&amp;IF(AND($L1163&lt;&gt;"",INDEX(職員マスタ!$G$6:$G$405,$AP1163)&lt;&gt;"",$L1163&lt;&gt;INDEX(職員マスタ!$G$6:$G$405,$AP1163)),"時短開始日がマスタと相違／","")&amp;IF(AND($M1163&lt;&gt;"",INDEX(職員マスタ!$H$6:$H$405,$AP1163)&lt;&gt;"",$M1163&lt;&gt;INDEX(職員マスタ!$H$6:$H$405,$AP1163)),"時短終了日がマスタと相違／","")))&amp;IF(AND($B1163&lt;&gt;"",$E1163=""),"報酬額が未入力／","")&amp;IF(N($U1163)&gt;0,"申請書に入力エラーが残っています／","")&amp;IF(AND($B1163&lt;&gt;"",$AQ1163&lt;&gt;""),IF(COUNTIFS($B$6:$B$3005,$B1163,$C$6:$C$3005,$C1163,$D$6:$D$3005,$D1163)&gt;1,"同じ月の請求が重複しています／",""),"")&amp;IF(AND(N($E1163)&gt;0,$AB1163&lt;&gt;"",$AB1163&lt;&gt;"×",$AE1163=0,$AD1163=""),"計算額が下限以下のため不支給／",""))</f>
        <v/>
      </c>
      <c r="AN1163" s="12" t="n"/>
      <c r="AO1163" s="14">
        <f>IF($AF1163="保留中",COUNTIF($AF$6:$AF1163,"保留中"),"")</f>
        <v/>
      </c>
      <c r="AP1163" s="14">
        <f>IF($AQ1163="","",IF(SUMPRODUCT(MAX((職員マスタ!$A$6:$A$405=$B1163)*(((職員マスタ!$G$6:$G$405="")+(職員マスタ!$G$6:$G$405&lt;=EOMONTH($AQ1163,0)))&gt;0)*(((職員マスタ!$H$6:$H$405="")+(職員マスタ!$H$6:$H$405&gt;=$AQ1163))&gt;0)*(ROW(職員マスタ!$A$6:$A$405)-5)))&gt;0,SUMPRODUCT(MAX((職員マスタ!$A$6:$A$405=$B1163)*(((職員マスタ!$G$6:$G$405="")+(職員マスタ!$G$6:$G$405&lt;=EOMONTH($AQ1163,0)))&gt;0)*(((職員マスタ!$H$6:$H$405="")+(職員マスタ!$H$6:$H$405&gt;=$AQ1163))&gt;0)*(ROW(職員マスタ!$A$6:$A$405)-5))),IFERROR(MATCH($B1163,職員マスタ!$A$6:$A$405,0),"")))</f>
        <v/>
      </c>
      <c r="AQ1163" s="16">
        <f>IF(OR($B1163="",$C1163="",$D1163=""),"",DATE($C1163+2018,$D1163,1))</f>
        <v/>
      </c>
    </row>
    <row r="1164">
      <c r="A1164" s="11" t="n"/>
      <c r="B1164" s="12" t="n"/>
      <c r="C1164" s="12" t="n"/>
      <c r="D1164" s="12" t="n"/>
      <c r="E1164" s="13" t="n"/>
      <c r="F1164" s="12" t="n"/>
      <c r="G1164" s="13" t="n"/>
      <c r="H1164" s="12" t="n"/>
      <c r="I1164" s="12" t="n"/>
      <c r="J1164" s="12" t="n"/>
      <c r="K1164" s="12" t="n"/>
      <c r="L1164" s="11" t="n"/>
      <c r="M1164" s="11" t="n"/>
      <c r="N1164" s="11" t="n"/>
      <c r="O1164" s="11" t="n"/>
      <c r="P1164" s="12" t="n"/>
      <c r="Q1164" s="11" t="n"/>
      <c r="R1164" s="12" t="n"/>
      <c r="S1164" s="11" t="n"/>
      <c r="T1164" s="12" t="n"/>
      <c r="U1164" s="12" t="n"/>
      <c r="V1164" s="12" t="n"/>
      <c r="W1164" s="13" t="n"/>
      <c r="X1164" s="14">
        <f>IF($AP1164="",IF($B1164="","",$H1164),IF(INDEX(職員マスタ!$B$6:$B$405,$AP1164)="",$H1164,INDEX(職員マスタ!$B$6:$B$405,$AP1164)))</f>
        <v/>
      </c>
      <c r="Y1164" s="14">
        <f>IF($AP1164="",IF($B1164="","",$R1164),IF(INDEX(職員マスタ!$C$6:$C$405,$AP1164)="",$R1164,INDEX(職員マスタ!$C$6:$C$405,$AP1164)))</f>
        <v/>
      </c>
      <c r="Z1164" s="14">
        <f>IF($AQ1164="","","R"&amp;$C1164&amp;"."&amp;$D1164)</f>
        <v/>
      </c>
      <c r="AA1164" s="15">
        <f>IF(IF($AP1164="",FALSE,INDEX(職員マスタ!$K$6:$K$405,$AP1164)&lt;&gt;""),INDEX(職員マスタ!$K$6:$K$405,$AP1164),IF(N($W1164)&gt;0,$W1164,""))</f>
        <v/>
      </c>
      <c r="AB1164" s="14">
        <f>IF(OR($E1164="",$AA1164=""),"",IF($E1164&gt;=$AA1164,"×",IF($E1164&gt;=$AA1164*設定!$C$5,"△","○")))</f>
        <v/>
      </c>
      <c r="AC1164" s="15">
        <f>IF($AB1164="","",IF($AB1164="×",0,IF($AB1164="○",ROUNDDOWN($E1164*設定!$C$4,0),ROUNDDOWN($E1164*ROUND((9*$AA1164-9*$E1164)/(10*$E1164),4),0))))</f>
        <v/>
      </c>
      <c r="AD1164" s="13" t="n"/>
      <c r="AE1164" s="15">
        <f>IF($B1164="","",IF($AD1164&lt;&gt;"",$AD1164,IF($AC1164="","",IF($AC1164&lt;=設定!$C$3,0,$AC1164))))</f>
        <v/>
      </c>
      <c r="AF1164" s="14">
        <f>IF($B1164="","",IF(AND($AG1164&lt;&gt;"",$AI1164="",$AL1164=""),"保留中",IF($AL1164&lt;&gt;"",IF(N($AE1164)&gt;0,"支給済","不支給"),IF($AE1164="","要確認",IF($AE1164=0,"不支給","未処理")))))</f>
        <v/>
      </c>
      <c r="AG1164" s="12" t="n"/>
      <c r="AH1164" s="11" t="n"/>
      <c r="AI1164" s="11" t="n"/>
      <c r="AJ1164" s="11" t="n"/>
      <c r="AK1164" s="14">
        <f>IF(AND($AF1164="保留中",$AH1164&lt;&gt;""),TODAY()-$AH1164,"")</f>
        <v/>
      </c>
      <c r="AL1164" s="12" t="n"/>
      <c r="AM1164" s="14">
        <f>IF($B1164="","",IF($AQ1164="","対象年月が未入力／","")&amp;IF($B1164="","",IF($AP1164="","職員マスタに未登録の職員番号／",IF($AA1164="","標準報酬月額が未登録／","")&amp;IF(AND($AQ1164&lt;&gt;"",OR(AND(INDEX(職員マスタ!$G$6:$G$405,$AP1164)&lt;&gt;"",INDEX(職員マスタ!$G$6:$G$405,$AP1164)&gt;EOMONTH($AQ1164,0)),AND(INDEX(職員マスタ!$H$6:$H$405,$AP1164)&lt;&gt;"",INDEX(職員マスタ!$H$6:$H$405,$AP1164)&lt;$AQ1164))),"対象月が時短期間外／","")&amp;IF(AND(INDEX(職員マスタ!$K$6:$K$405,$AP1164)&lt;&gt;"",N($W1164)&gt;0,INDEX(職員マスタ!$K$6:$K$405,$AP1164)&lt;&gt;$W1164),"標準報酬月額が申請書と相違（台帳"&amp;TEXT(INDEX(職員マスタ!$K$6:$K$405,$AP1164),"#,##0")&amp;"円／申請書"&amp;TEXT($W1164,"#,##0")&amp;"円）／","")&amp;IF(AND(INDEX(職員マスタ!$F$6:$F$405,$AP1164)&lt;&gt;"",$AQ1164&lt;&gt;"",INDEX(職員マスタ!$F$6:$F$405,$AP1164)&lt;$AQ1164),"対象月に子が2歳到達済／","")&amp;IF(AND($H1164&lt;&gt;"",INDEX(職員マスタ!$B$6:$B$405,$AP1164)&lt;&gt;"",SUBSTITUTE(SUBSTITUTE($H1164," ","")," ","")&lt;&gt;SUBSTITUTE(SUBSTITUTE(INDEX(職員マスタ!$B$6:$B$405,$AP1164)," ","")," ","")),"氏名がマスタと相違／","")&amp;IF(AND($Q1164&lt;&gt;"",INDEX(職員マスタ!$E$6:$E$405,$AP1164)&lt;&gt;"",$Q1164&lt;&gt;INDEX(職員マスタ!$E$6:$E$405,$AP1164)),"子の生年月日がマスタと相違／","")&amp;IF(AND($L1164&lt;&gt;"",INDEX(職員マスタ!$G$6:$G$405,$AP1164)&lt;&gt;"",$L1164&lt;&gt;INDEX(職員マスタ!$G$6:$G$405,$AP1164)),"時短開始日がマスタと相違／","")&amp;IF(AND($M1164&lt;&gt;"",INDEX(職員マスタ!$H$6:$H$405,$AP1164)&lt;&gt;"",$M1164&lt;&gt;INDEX(職員マスタ!$H$6:$H$405,$AP1164)),"時短終了日がマスタと相違／","")))&amp;IF(AND($B1164&lt;&gt;"",$E1164=""),"報酬額が未入力／","")&amp;IF(N($U1164)&gt;0,"申請書に入力エラーが残っています／","")&amp;IF(AND($B1164&lt;&gt;"",$AQ1164&lt;&gt;""),IF(COUNTIFS($B$6:$B$3005,$B1164,$C$6:$C$3005,$C1164,$D$6:$D$3005,$D1164)&gt;1,"同じ月の請求が重複しています／",""),"")&amp;IF(AND(N($E1164)&gt;0,$AB1164&lt;&gt;"",$AB1164&lt;&gt;"×",$AE1164=0,$AD1164=""),"計算額が下限以下のため不支給／",""))</f>
        <v/>
      </c>
      <c r="AN1164" s="12" t="n"/>
      <c r="AO1164" s="14">
        <f>IF($AF1164="保留中",COUNTIF($AF$6:$AF1164,"保留中"),"")</f>
        <v/>
      </c>
      <c r="AP1164" s="14">
        <f>IF($AQ1164="","",IF(SUMPRODUCT(MAX((職員マスタ!$A$6:$A$405=$B1164)*(((職員マスタ!$G$6:$G$405="")+(職員マスタ!$G$6:$G$405&lt;=EOMONTH($AQ1164,0)))&gt;0)*(((職員マスタ!$H$6:$H$405="")+(職員マスタ!$H$6:$H$405&gt;=$AQ1164))&gt;0)*(ROW(職員マスタ!$A$6:$A$405)-5)))&gt;0,SUMPRODUCT(MAX((職員マスタ!$A$6:$A$405=$B1164)*(((職員マスタ!$G$6:$G$405="")+(職員マスタ!$G$6:$G$405&lt;=EOMONTH($AQ1164,0)))&gt;0)*(((職員マスタ!$H$6:$H$405="")+(職員マスタ!$H$6:$H$405&gt;=$AQ1164))&gt;0)*(ROW(職員マスタ!$A$6:$A$405)-5))),IFERROR(MATCH($B1164,職員マスタ!$A$6:$A$405,0),"")))</f>
        <v/>
      </c>
      <c r="AQ1164" s="16">
        <f>IF(OR($B1164="",$C1164="",$D1164=""),"",DATE($C1164+2018,$D1164,1))</f>
        <v/>
      </c>
    </row>
    <row r="1165">
      <c r="A1165" s="11" t="n"/>
      <c r="B1165" s="12" t="n"/>
      <c r="C1165" s="12" t="n"/>
      <c r="D1165" s="12" t="n"/>
      <c r="E1165" s="13" t="n"/>
      <c r="F1165" s="12" t="n"/>
      <c r="G1165" s="13" t="n"/>
      <c r="H1165" s="12" t="n"/>
      <c r="I1165" s="12" t="n"/>
      <c r="J1165" s="12" t="n"/>
      <c r="K1165" s="12" t="n"/>
      <c r="L1165" s="11" t="n"/>
      <c r="M1165" s="11" t="n"/>
      <c r="N1165" s="11" t="n"/>
      <c r="O1165" s="11" t="n"/>
      <c r="P1165" s="12" t="n"/>
      <c r="Q1165" s="11" t="n"/>
      <c r="R1165" s="12" t="n"/>
      <c r="S1165" s="11" t="n"/>
      <c r="T1165" s="12" t="n"/>
      <c r="U1165" s="12" t="n"/>
      <c r="V1165" s="12" t="n"/>
      <c r="W1165" s="13" t="n"/>
      <c r="X1165" s="14">
        <f>IF($AP1165="",IF($B1165="","",$H1165),IF(INDEX(職員マスタ!$B$6:$B$405,$AP1165)="",$H1165,INDEX(職員マスタ!$B$6:$B$405,$AP1165)))</f>
        <v/>
      </c>
      <c r="Y1165" s="14">
        <f>IF($AP1165="",IF($B1165="","",$R1165),IF(INDEX(職員マスタ!$C$6:$C$405,$AP1165)="",$R1165,INDEX(職員マスタ!$C$6:$C$405,$AP1165)))</f>
        <v/>
      </c>
      <c r="Z1165" s="14">
        <f>IF($AQ1165="","","R"&amp;$C1165&amp;"."&amp;$D1165)</f>
        <v/>
      </c>
      <c r="AA1165" s="15">
        <f>IF(IF($AP1165="",FALSE,INDEX(職員マスタ!$K$6:$K$405,$AP1165)&lt;&gt;""),INDEX(職員マスタ!$K$6:$K$405,$AP1165),IF(N($W1165)&gt;0,$W1165,""))</f>
        <v/>
      </c>
      <c r="AB1165" s="14">
        <f>IF(OR($E1165="",$AA1165=""),"",IF($E1165&gt;=$AA1165,"×",IF($E1165&gt;=$AA1165*設定!$C$5,"△","○")))</f>
        <v/>
      </c>
      <c r="AC1165" s="15">
        <f>IF($AB1165="","",IF($AB1165="×",0,IF($AB1165="○",ROUNDDOWN($E1165*設定!$C$4,0),ROUNDDOWN($E1165*ROUND((9*$AA1165-9*$E1165)/(10*$E1165),4),0))))</f>
        <v/>
      </c>
      <c r="AD1165" s="13" t="n"/>
      <c r="AE1165" s="15">
        <f>IF($B1165="","",IF($AD1165&lt;&gt;"",$AD1165,IF($AC1165="","",IF($AC1165&lt;=設定!$C$3,0,$AC1165))))</f>
        <v/>
      </c>
      <c r="AF1165" s="14">
        <f>IF($B1165="","",IF(AND($AG1165&lt;&gt;"",$AI1165="",$AL1165=""),"保留中",IF($AL1165&lt;&gt;"",IF(N($AE1165)&gt;0,"支給済","不支給"),IF($AE1165="","要確認",IF($AE1165=0,"不支給","未処理")))))</f>
        <v/>
      </c>
      <c r="AG1165" s="12" t="n"/>
      <c r="AH1165" s="11" t="n"/>
      <c r="AI1165" s="11" t="n"/>
      <c r="AJ1165" s="11" t="n"/>
      <c r="AK1165" s="14">
        <f>IF(AND($AF1165="保留中",$AH1165&lt;&gt;""),TODAY()-$AH1165,"")</f>
        <v/>
      </c>
      <c r="AL1165" s="12" t="n"/>
      <c r="AM1165" s="14">
        <f>IF($B1165="","",IF($AQ1165="","対象年月が未入力／","")&amp;IF($B1165="","",IF($AP1165="","職員マスタに未登録の職員番号／",IF($AA1165="","標準報酬月額が未登録／","")&amp;IF(AND($AQ1165&lt;&gt;"",OR(AND(INDEX(職員マスタ!$G$6:$G$405,$AP1165)&lt;&gt;"",INDEX(職員マスタ!$G$6:$G$405,$AP1165)&gt;EOMONTH($AQ1165,0)),AND(INDEX(職員マスタ!$H$6:$H$405,$AP1165)&lt;&gt;"",INDEX(職員マスタ!$H$6:$H$405,$AP1165)&lt;$AQ1165))),"対象月が時短期間外／","")&amp;IF(AND(INDEX(職員マスタ!$K$6:$K$405,$AP1165)&lt;&gt;"",N($W1165)&gt;0,INDEX(職員マスタ!$K$6:$K$405,$AP1165)&lt;&gt;$W1165),"標準報酬月額が申請書と相違（台帳"&amp;TEXT(INDEX(職員マスタ!$K$6:$K$405,$AP1165),"#,##0")&amp;"円／申請書"&amp;TEXT($W1165,"#,##0")&amp;"円）／","")&amp;IF(AND(INDEX(職員マスタ!$F$6:$F$405,$AP1165)&lt;&gt;"",$AQ1165&lt;&gt;"",INDEX(職員マスタ!$F$6:$F$405,$AP1165)&lt;$AQ1165),"対象月に子が2歳到達済／","")&amp;IF(AND($H1165&lt;&gt;"",INDEX(職員マスタ!$B$6:$B$405,$AP1165)&lt;&gt;"",SUBSTITUTE(SUBSTITUTE($H1165," ","")," ","")&lt;&gt;SUBSTITUTE(SUBSTITUTE(INDEX(職員マスタ!$B$6:$B$405,$AP1165)," ","")," ","")),"氏名がマスタと相違／","")&amp;IF(AND($Q1165&lt;&gt;"",INDEX(職員マスタ!$E$6:$E$405,$AP1165)&lt;&gt;"",$Q1165&lt;&gt;INDEX(職員マスタ!$E$6:$E$405,$AP1165)),"子の生年月日がマスタと相違／","")&amp;IF(AND($L1165&lt;&gt;"",INDEX(職員マスタ!$G$6:$G$405,$AP1165)&lt;&gt;"",$L1165&lt;&gt;INDEX(職員マスタ!$G$6:$G$405,$AP1165)),"時短開始日がマスタと相違／","")&amp;IF(AND($M1165&lt;&gt;"",INDEX(職員マスタ!$H$6:$H$405,$AP1165)&lt;&gt;"",$M1165&lt;&gt;INDEX(職員マスタ!$H$6:$H$405,$AP1165)),"時短終了日がマスタと相違／","")))&amp;IF(AND($B1165&lt;&gt;"",$E1165=""),"報酬額が未入力／","")&amp;IF(N($U1165)&gt;0,"申請書に入力エラーが残っています／","")&amp;IF(AND($B1165&lt;&gt;"",$AQ1165&lt;&gt;""),IF(COUNTIFS($B$6:$B$3005,$B1165,$C$6:$C$3005,$C1165,$D$6:$D$3005,$D1165)&gt;1,"同じ月の請求が重複しています／",""),"")&amp;IF(AND(N($E1165)&gt;0,$AB1165&lt;&gt;"",$AB1165&lt;&gt;"×",$AE1165=0,$AD1165=""),"計算額が下限以下のため不支給／",""))</f>
        <v/>
      </c>
      <c r="AN1165" s="12" t="n"/>
      <c r="AO1165" s="14">
        <f>IF($AF1165="保留中",COUNTIF($AF$6:$AF1165,"保留中"),"")</f>
        <v/>
      </c>
      <c r="AP1165" s="14">
        <f>IF($AQ1165="","",IF(SUMPRODUCT(MAX((職員マスタ!$A$6:$A$405=$B1165)*(((職員マスタ!$G$6:$G$405="")+(職員マスタ!$G$6:$G$405&lt;=EOMONTH($AQ1165,0)))&gt;0)*(((職員マスタ!$H$6:$H$405="")+(職員マスタ!$H$6:$H$405&gt;=$AQ1165))&gt;0)*(ROW(職員マスタ!$A$6:$A$405)-5)))&gt;0,SUMPRODUCT(MAX((職員マスタ!$A$6:$A$405=$B1165)*(((職員マスタ!$G$6:$G$405="")+(職員マスタ!$G$6:$G$405&lt;=EOMONTH($AQ1165,0)))&gt;0)*(((職員マスタ!$H$6:$H$405="")+(職員マスタ!$H$6:$H$405&gt;=$AQ1165))&gt;0)*(ROW(職員マスタ!$A$6:$A$405)-5))),IFERROR(MATCH($B1165,職員マスタ!$A$6:$A$405,0),"")))</f>
        <v/>
      </c>
      <c r="AQ1165" s="16">
        <f>IF(OR($B1165="",$C1165="",$D1165=""),"",DATE($C1165+2018,$D1165,1))</f>
        <v/>
      </c>
    </row>
    <row r="1166">
      <c r="A1166" s="11" t="n"/>
      <c r="B1166" s="12" t="n"/>
      <c r="C1166" s="12" t="n"/>
      <c r="D1166" s="12" t="n"/>
      <c r="E1166" s="13" t="n"/>
      <c r="F1166" s="12" t="n"/>
      <c r="G1166" s="13" t="n"/>
      <c r="H1166" s="12" t="n"/>
      <c r="I1166" s="12" t="n"/>
      <c r="J1166" s="12" t="n"/>
      <c r="K1166" s="12" t="n"/>
      <c r="L1166" s="11" t="n"/>
      <c r="M1166" s="11" t="n"/>
      <c r="N1166" s="11" t="n"/>
      <c r="O1166" s="11" t="n"/>
      <c r="P1166" s="12" t="n"/>
      <c r="Q1166" s="11" t="n"/>
      <c r="R1166" s="12" t="n"/>
      <c r="S1166" s="11" t="n"/>
      <c r="T1166" s="12" t="n"/>
      <c r="U1166" s="12" t="n"/>
      <c r="V1166" s="12" t="n"/>
      <c r="W1166" s="13" t="n"/>
      <c r="X1166" s="14">
        <f>IF($AP1166="",IF($B1166="","",$H1166),IF(INDEX(職員マスタ!$B$6:$B$405,$AP1166)="",$H1166,INDEX(職員マスタ!$B$6:$B$405,$AP1166)))</f>
        <v/>
      </c>
      <c r="Y1166" s="14">
        <f>IF($AP1166="",IF($B1166="","",$R1166),IF(INDEX(職員マスタ!$C$6:$C$405,$AP1166)="",$R1166,INDEX(職員マスタ!$C$6:$C$405,$AP1166)))</f>
        <v/>
      </c>
      <c r="Z1166" s="14">
        <f>IF($AQ1166="","","R"&amp;$C1166&amp;"."&amp;$D1166)</f>
        <v/>
      </c>
      <c r="AA1166" s="15">
        <f>IF(IF($AP1166="",FALSE,INDEX(職員マスタ!$K$6:$K$405,$AP1166)&lt;&gt;""),INDEX(職員マスタ!$K$6:$K$405,$AP1166),IF(N($W1166)&gt;0,$W1166,""))</f>
        <v/>
      </c>
      <c r="AB1166" s="14">
        <f>IF(OR($E1166="",$AA1166=""),"",IF($E1166&gt;=$AA1166,"×",IF($E1166&gt;=$AA1166*設定!$C$5,"△","○")))</f>
        <v/>
      </c>
      <c r="AC1166" s="15">
        <f>IF($AB1166="","",IF($AB1166="×",0,IF($AB1166="○",ROUNDDOWN($E1166*設定!$C$4,0),ROUNDDOWN($E1166*ROUND((9*$AA1166-9*$E1166)/(10*$E1166),4),0))))</f>
        <v/>
      </c>
      <c r="AD1166" s="13" t="n"/>
      <c r="AE1166" s="15">
        <f>IF($B1166="","",IF($AD1166&lt;&gt;"",$AD1166,IF($AC1166="","",IF($AC1166&lt;=設定!$C$3,0,$AC1166))))</f>
        <v/>
      </c>
      <c r="AF1166" s="14">
        <f>IF($B1166="","",IF(AND($AG1166&lt;&gt;"",$AI1166="",$AL1166=""),"保留中",IF($AL1166&lt;&gt;"",IF(N($AE1166)&gt;0,"支給済","不支給"),IF($AE1166="","要確認",IF($AE1166=0,"不支給","未処理")))))</f>
        <v/>
      </c>
      <c r="AG1166" s="12" t="n"/>
      <c r="AH1166" s="11" t="n"/>
      <c r="AI1166" s="11" t="n"/>
      <c r="AJ1166" s="11" t="n"/>
      <c r="AK1166" s="14">
        <f>IF(AND($AF1166="保留中",$AH1166&lt;&gt;""),TODAY()-$AH1166,"")</f>
        <v/>
      </c>
      <c r="AL1166" s="12" t="n"/>
      <c r="AM1166" s="14">
        <f>IF($B1166="","",IF($AQ1166="","対象年月が未入力／","")&amp;IF($B1166="","",IF($AP1166="","職員マスタに未登録の職員番号／",IF($AA1166="","標準報酬月額が未登録／","")&amp;IF(AND($AQ1166&lt;&gt;"",OR(AND(INDEX(職員マスタ!$G$6:$G$405,$AP1166)&lt;&gt;"",INDEX(職員マスタ!$G$6:$G$405,$AP1166)&gt;EOMONTH($AQ1166,0)),AND(INDEX(職員マスタ!$H$6:$H$405,$AP1166)&lt;&gt;"",INDEX(職員マスタ!$H$6:$H$405,$AP1166)&lt;$AQ1166))),"対象月が時短期間外／","")&amp;IF(AND(INDEX(職員マスタ!$K$6:$K$405,$AP1166)&lt;&gt;"",N($W1166)&gt;0,INDEX(職員マスタ!$K$6:$K$405,$AP1166)&lt;&gt;$W1166),"標準報酬月額が申請書と相違（台帳"&amp;TEXT(INDEX(職員マスタ!$K$6:$K$405,$AP1166),"#,##0")&amp;"円／申請書"&amp;TEXT($W1166,"#,##0")&amp;"円）／","")&amp;IF(AND(INDEX(職員マスタ!$F$6:$F$405,$AP1166)&lt;&gt;"",$AQ1166&lt;&gt;"",INDEX(職員マスタ!$F$6:$F$405,$AP1166)&lt;$AQ1166),"対象月に子が2歳到達済／","")&amp;IF(AND($H1166&lt;&gt;"",INDEX(職員マスタ!$B$6:$B$405,$AP1166)&lt;&gt;"",SUBSTITUTE(SUBSTITUTE($H1166," ","")," ","")&lt;&gt;SUBSTITUTE(SUBSTITUTE(INDEX(職員マスタ!$B$6:$B$405,$AP1166)," ","")," ","")),"氏名がマスタと相違／","")&amp;IF(AND($Q1166&lt;&gt;"",INDEX(職員マスタ!$E$6:$E$405,$AP1166)&lt;&gt;"",$Q1166&lt;&gt;INDEX(職員マスタ!$E$6:$E$405,$AP1166)),"子の生年月日がマスタと相違／","")&amp;IF(AND($L1166&lt;&gt;"",INDEX(職員マスタ!$G$6:$G$405,$AP1166)&lt;&gt;"",$L1166&lt;&gt;INDEX(職員マスタ!$G$6:$G$405,$AP1166)),"時短開始日がマスタと相違／","")&amp;IF(AND($M1166&lt;&gt;"",INDEX(職員マスタ!$H$6:$H$405,$AP1166)&lt;&gt;"",$M1166&lt;&gt;INDEX(職員マスタ!$H$6:$H$405,$AP1166)),"時短終了日がマスタと相違／","")))&amp;IF(AND($B1166&lt;&gt;"",$E1166=""),"報酬額が未入力／","")&amp;IF(N($U1166)&gt;0,"申請書に入力エラーが残っています／","")&amp;IF(AND($B1166&lt;&gt;"",$AQ1166&lt;&gt;""),IF(COUNTIFS($B$6:$B$3005,$B1166,$C$6:$C$3005,$C1166,$D$6:$D$3005,$D1166)&gt;1,"同じ月の請求が重複しています／",""),"")&amp;IF(AND(N($E1166)&gt;0,$AB1166&lt;&gt;"",$AB1166&lt;&gt;"×",$AE1166=0,$AD1166=""),"計算額が下限以下のため不支給／",""))</f>
        <v/>
      </c>
      <c r="AN1166" s="12" t="n"/>
      <c r="AO1166" s="14">
        <f>IF($AF1166="保留中",COUNTIF($AF$6:$AF1166,"保留中"),"")</f>
        <v/>
      </c>
      <c r="AP1166" s="14">
        <f>IF($AQ1166="","",IF(SUMPRODUCT(MAX((職員マスタ!$A$6:$A$405=$B1166)*(((職員マスタ!$G$6:$G$405="")+(職員マスタ!$G$6:$G$405&lt;=EOMONTH($AQ1166,0)))&gt;0)*(((職員マスタ!$H$6:$H$405="")+(職員マスタ!$H$6:$H$405&gt;=$AQ1166))&gt;0)*(ROW(職員マスタ!$A$6:$A$405)-5)))&gt;0,SUMPRODUCT(MAX((職員マスタ!$A$6:$A$405=$B1166)*(((職員マスタ!$G$6:$G$405="")+(職員マスタ!$G$6:$G$405&lt;=EOMONTH($AQ1166,0)))&gt;0)*(((職員マスタ!$H$6:$H$405="")+(職員マスタ!$H$6:$H$405&gt;=$AQ1166))&gt;0)*(ROW(職員マスタ!$A$6:$A$405)-5))),IFERROR(MATCH($B1166,職員マスタ!$A$6:$A$405,0),"")))</f>
        <v/>
      </c>
      <c r="AQ1166" s="16">
        <f>IF(OR($B1166="",$C1166="",$D1166=""),"",DATE($C1166+2018,$D1166,1))</f>
        <v/>
      </c>
    </row>
    <row r="1167">
      <c r="A1167" s="11" t="n"/>
      <c r="B1167" s="12" t="n"/>
      <c r="C1167" s="12" t="n"/>
      <c r="D1167" s="12" t="n"/>
      <c r="E1167" s="13" t="n"/>
      <c r="F1167" s="12" t="n"/>
      <c r="G1167" s="13" t="n"/>
      <c r="H1167" s="12" t="n"/>
      <c r="I1167" s="12" t="n"/>
      <c r="J1167" s="12" t="n"/>
      <c r="K1167" s="12" t="n"/>
      <c r="L1167" s="11" t="n"/>
      <c r="M1167" s="11" t="n"/>
      <c r="N1167" s="11" t="n"/>
      <c r="O1167" s="11" t="n"/>
      <c r="P1167" s="12" t="n"/>
      <c r="Q1167" s="11" t="n"/>
      <c r="R1167" s="12" t="n"/>
      <c r="S1167" s="11" t="n"/>
      <c r="T1167" s="12" t="n"/>
      <c r="U1167" s="12" t="n"/>
      <c r="V1167" s="12" t="n"/>
      <c r="W1167" s="13" t="n"/>
      <c r="X1167" s="14">
        <f>IF($AP1167="",IF($B1167="","",$H1167),IF(INDEX(職員マスタ!$B$6:$B$405,$AP1167)="",$H1167,INDEX(職員マスタ!$B$6:$B$405,$AP1167)))</f>
        <v/>
      </c>
      <c r="Y1167" s="14">
        <f>IF($AP1167="",IF($B1167="","",$R1167),IF(INDEX(職員マスタ!$C$6:$C$405,$AP1167)="",$R1167,INDEX(職員マスタ!$C$6:$C$405,$AP1167)))</f>
        <v/>
      </c>
      <c r="Z1167" s="14">
        <f>IF($AQ1167="","","R"&amp;$C1167&amp;"."&amp;$D1167)</f>
        <v/>
      </c>
      <c r="AA1167" s="15">
        <f>IF(IF($AP1167="",FALSE,INDEX(職員マスタ!$K$6:$K$405,$AP1167)&lt;&gt;""),INDEX(職員マスタ!$K$6:$K$405,$AP1167),IF(N($W1167)&gt;0,$W1167,""))</f>
        <v/>
      </c>
      <c r="AB1167" s="14">
        <f>IF(OR($E1167="",$AA1167=""),"",IF($E1167&gt;=$AA1167,"×",IF($E1167&gt;=$AA1167*設定!$C$5,"△","○")))</f>
        <v/>
      </c>
      <c r="AC1167" s="15">
        <f>IF($AB1167="","",IF($AB1167="×",0,IF($AB1167="○",ROUNDDOWN($E1167*設定!$C$4,0),ROUNDDOWN($E1167*ROUND((9*$AA1167-9*$E1167)/(10*$E1167),4),0))))</f>
        <v/>
      </c>
      <c r="AD1167" s="13" t="n"/>
      <c r="AE1167" s="15">
        <f>IF($B1167="","",IF($AD1167&lt;&gt;"",$AD1167,IF($AC1167="","",IF($AC1167&lt;=設定!$C$3,0,$AC1167))))</f>
        <v/>
      </c>
      <c r="AF1167" s="14">
        <f>IF($B1167="","",IF(AND($AG1167&lt;&gt;"",$AI1167="",$AL1167=""),"保留中",IF($AL1167&lt;&gt;"",IF(N($AE1167)&gt;0,"支給済","不支給"),IF($AE1167="","要確認",IF($AE1167=0,"不支給","未処理")))))</f>
        <v/>
      </c>
      <c r="AG1167" s="12" t="n"/>
      <c r="AH1167" s="11" t="n"/>
      <c r="AI1167" s="11" t="n"/>
      <c r="AJ1167" s="11" t="n"/>
      <c r="AK1167" s="14">
        <f>IF(AND($AF1167="保留中",$AH1167&lt;&gt;""),TODAY()-$AH1167,"")</f>
        <v/>
      </c>
      <c r="AL1167" s="12" t="n"/>
      <c r="AM1167" s="14">
        <f>IF($B1167="","",IF($AQ1167="","対象年月が未入力／","")&amp;IF($B1167="","",IF($AP1167="","職員マスタに未登録の職員番号／",IF($AA1167="","標準報酬月額が未登録／","")&amp;IF(AND($AQ1167&lt;&gt;"",OR(AND(INDEX(職員マスタ!$G$6:$G$405,$AP1167)&lt;&gt;"",INDEX(職員マスタ!$G$6:$G$405,$AP1167)&gt;EOMONTH($AQ1167,0)),AND(INDEX(職員マスタ!$H$6:$H$405,$AP1167)&lt;&gt;"",INDEX(職員マスタ!$H$6:$H$405,$AP1167)&lt;$AQ1167))),"対象月が時短期間外／","")&amp;IF(AND(INDEX(職員マスタ!$K$6:$K$405,$AP1167)&lt;&gt;"",N($W1167)&gt;0,INDEX(職員マスタ!$K$6:$K$405,$AP1167)&lt;&gt;$W1167),"標準報酬月額が申請書と相違（台帳"&amp;TEXT(INDEX(職員マスタ!$K$6:$K$405,$AP1167),"#,##0")&amp;"円／申請書"&amp;TEXT($W1167,"#,##0")&amp;"円）／","")&amp;IF(AND(INDEX(職員マスタ!$F$6:$F$405,$AP1167)&lt;&gt;"",$AQ1167&lt;&gt;"",INDEX(職員マスタ!$F$6:$F$405,$AP1167)&lt;$AQ1167),"対象月に子が2歳到達済／","")&amp;IF(AND($H1167&lt;&gt;"",INDEX(職員マスタ!$B$6:$B$405,$AP1167)&lt;&gt;"",SUBSTITUTE(SUBSTITUTE($H1167," ","")," ","")&lt;&gt;SUBSTITUTE(SUBSTITUTE(INDEX(職員マスタ!$B$6:$B$405,$AP1167)," ","")," ","")),"氏名がマスタと相違／","")&amp;IF(AND($Q1167&lt;&gt;"",INDEX(職員マスタ!$E$6:$E$405,$AP1167)&lt;&gt;"",$Q1167&lt;&gt;INDEX(職員マスタ!$E$6:$E$405,$AP1167)),"子の生年月日がマスタと相違／","")&amp;IF(AND($L1167&lt;&gt;"",INDEX(職員マスタ!$G$6:$G$405,$AP1167)&lt;&gt;"",$L1167&lt;&gt;INDEX(職員マスタ!$G$6:$G$405,$AP1167)),"時短開始日がマスタと相違／","")&amp;IF(AND($M1167&lt;&gt;"",INDEX(職員マスタ!$H$6:$H$405,$AP1167)&lt;&gt;"",$M1167&lt;&gt;INDEX(職員マスタ!$H$6:$H$405,$AP1167)),"時短終了日がマスタと相違／","")))&amp;IF(AND($B1167&lt;&gt;"",$E1167=""),"報酬額が未入力／","")&amp;IF(N($U1167)&gt;0,"申請書に入力エラーが残っています／","")&amp;IF(AND($B1167&lt;&gt;"",$AQ1167&lt;&gt;""),IF(COUNTIFS($B$6:$B$3005,$B1167,$C$6:$C$3005,$C1167,$D$6:$D$3005,$D1167)&gt;1,"同じ月の請求が重複しています／",""),"")&amp;IF(AND(N($E1167)&gt;0,$AB1167&lt;&gt;"",$AB1167&lt;&gt;"×",$AE1167=0,$AD1167=""),"計算額が下限以下のため不支給／",""))</f>
        <v/>
      </c>
      <c r="AN1167" s="12" t="n"/>
      <c r="AO1167" s="14">
        <f>IF($AF1167="保留中",COUNTIF($AF$6:$AF1167,"保留中"),"")</f>
        <v/>
      </c>
      <c r="AP1167" s="14">
        <f>IF($AQ1167="","",IF(SUMPRODUCT(MAX((職員マスタ!$A$6:$A$405=$B1167)*(((職員マスタ!$G$6:$G$405="")+(職員マスタ!$G$6:$G$405&lt;=EOMONTH($AQ1167,0)))&gt;0)*(((職員マスタ!$H$6:$H$405="")+(職員マスタ!$H$6:$H$405&gt;=$AQ1167))&gt;0)*(ROW(職員マスタ!$A$6:$A$405)-5)))&gt;0,SUMPRODUCT(MAX((職員マスタ!$A$6:$A$405=$B1167)*(((職員マスタ!$G$6:$G$405="")+(職員マスタ!$G$6:$G$405&lt;=EOMONTH($AQ1167,0)))&gt;0)*(((職員マスタ!$H$6:$H$405="")+(職員マスタ!$H$6:$H$405&gt;=$AQ1167))&gt;0)*(ROW(職員マスタ!$A$6:$A$405)-5))),IFERROR(MATCH($B1167,職員マスタ!$A$6:$A$405,0),"")))</f>
        <v/>
      </c>
      <c r="AQ1167" s="16">
        <f>IF(OR($B1167="",$C1167="",$D1167=""),"",DATE($C1167+2018,$D1167,1))</f>
        <v/>
      </c>
    </row>
    <row r="1168">
      <c r="A1168" s="11" t="n"/>
      <c r="B1168" s="12" t="n"/>
      <c r="C1168" s="12" t="n"/>
      <c r="D1168" s="12" t="n"/>
      <c r="E1168" s="13" t="n"/>
      <c r="F1168" s="12" t="n"/>
      <c r="G1168" s="13" t="n"/>
      <c r="H1168" s="12" t="n"/>
      <c r="I1168" s="12" t="n"/>
      <c r="J1168" s="12" t="n"/>
      <c r="K1168" s="12" t="n"/>
      <c r="L1168" s="11" t="n"/>
      <c r="M1168" s="11" t="n"/>
      <c r="N1168" s="11" t="n"/>
      <c r="O1168" s="11" t="n"/>
      <c r="P1168" s="12" t="n"/>
      <c r="Q1168" s="11" t="n"/>
      <c r="R1168" s="12" t="n"/>
      <c r="S1168" s="11" t="n"/>
      <c r="T1168" s="12" t="n"/>
      <c r="U1168" s="12" t="n"/>
      <c r="V1168" s="12" t="n"/>
      <c r="W1168" s="13" t="n"/>
      <c r="X1168" s="14">
        <f>IF($AP1168="",IF($B1168="","",$H1168),IF(INDEX(職員マスタ!$B$6:$B$405,$AP1168)="",$H1168,INDEX(職員マスタ!$B$6:$B$405,$AP1168)))</f>
        <v/>
      </c>
      <c r="Y1168" s="14">
        <f>IF($AP1168="",IF($B1168="","",$R1168),IF(INDEX(職員マスタ!$C$6:$C$405,$AP1168)="",$R1168,INDEX(職員マスタ!$C$6:$C$405,$AP1168)))</f>
        <v/>
      </c>
      <c r="Z1168" s="14">
        <f>IF($AQ1168="","","R"&amp;$C1168&amp;"."&amp;$D1168)</f>
        <v/>
      </c>
      <c r="AA1168" s="15">
        <f>IF(IF($AP1168="",FALSE,INDEX(職員マスタ!$K$6:$K$405,$AP1168)&lt;&gt;""),INDEX(職員マスタ!$K$6:$K$405,$AP1168),IF(N($W1168)&gt;0,$W1168,""))</f>
        <v/>
      </c>
      <c r="AB1168" s="14">
        <f>IF(OR($E1168="",$AA1168=""),"",IF($E1168&gt;=$AA1168,"×",IF($E1168&gt;=$AA1168*設定!$C$5,"△","○")))</f>
        <v/>
      </c>
      <c r="AC1168" s="15">
        <f>IF($AB1168="","",IF($AB1168="×",0,IF($AB1168="○",ROUNDDOWN($E1168*設定!$C$4,0),ROUNDDOWN($E1168*ROUND((9*$AA1168-9*$E1168)/(10*$E1168),4),0))))</f>
        <v/>
      </c>
      <c r="AD1168" s="13" t="n"/>
      <c r="AE1168" s="15">
        <f>IF($B1168="","",IF($AD1168&lt;&gt;"",$AD1168,IF($AC1168="","",IF($AC1168&lt;=設定!$C$3,0,$AC1168))))</f>
        <v/>
      </c>
      <c r="AF1168" s="14">
        <f>IF($B1168="","",IF(AND($AG1168&lt;&gt;"",$AI1168="",$AL1168=""),"保留中",IF($AL1168&lt;&gt;"",IF(N($AE1168)&gt;0,"支給済","不支給"),IF($AE1168="","要確認",IF($AE1168=0,"不支給","未処理")))))</f>
        <v/>
      </c>
      <c r="AG1168" s="12" t="n"/>
      <c r="AH1168" s="11" t="n"/>
      <c r="AI1168" s="11" t="n"/>
      <c r="AJ1168" s="11" t="n"/>
      <c r="AK1168" s="14">
        <f>IF(AND($AF1168="保留中",$AH1168&lt;&gt;""),TODAY()-$AH1168,"")</f>
        <v/>
      </c>
      <c r="AL1168" s="12" t="n"/>
      <c r="AM1168" s="14">
        <f>IF($B1168="","",IF($AQ1168="","対象年月が未入力／","")&amp;IF($B1168="","",IF($AP1168="","職員マスタに未登録の職員番号／",IF($AA1168="","標準報酬月額が未登録／","")&amp;IF(AND($AQ1168&lt;&gt;"",OR(AND(INDEX(職員マスタ!$G$6:$G$405,$AP1168)&lt;&gt;"",INDEX(職員マスタ!$G$6:$G$405,$AP1168)&gt;EOMONTH($AQ1168,0)),AND(INDEX(職員マスタ!$H$6:$H$405,$AP1168)&lt;&gt;"",INDEX(職員マスタ!$H$6:$H$405,$AP1168)&lt;$AQ1168))),"対象月が時短期間外／","")&amp;IF(AND(INDEX(職員マスタ!$K$6:$K$405,$AP1168)&lt;&gt;"",N($W1168)&gt;0,INDEX(職員マスタ!$K$6:$K$405,$AP1168)&lt;&gt;$W1168),"標準報酬月額が申請書と相違（台帳"&amp;TEXT(INDEX(職員マスタ!$K$6:$K$405,$AP1168),"#,##0")&amp;"円／申請書"&amp;TEXT($W1168,"#,##0")&amp;"円）／","")&amp;IF(AND(INDEX(職員マスタ!$F$6:$F$405,$AP1168)&lt;&gt;"",$AQ1168&lt;&gt;"",INDEX(職員マスタ!$F$6:$F$405,$AP1168)&lt;$AQ1168),"対象月に子が2歳到達済／","")&amp;IF(AND($H1168&lt;&gt;"",INDEX(職員マスタ!$B$6:$B$405,$AP1168)&lt;&gt;"",SUBSTITUTE(SUBSTITUTE($H1168," ","")," ","")&lt;&gt;SUBSTITUTE(SUBSTITUTE(INDEX(職員マスタ!$B$6:$B$405,$AP1168)," ","")," ","")),"氏名がマスタと相違／","")&amp;IF(AND($Q1168&lt;&gt;"",INDEX(職員マスタ!$E$6:$E$405,$AP1168)&lt;&gt;"",$Q1168&lt;&gt;INDEX(職員マスタ!$E$6:$E$405,$AP1168)),"子の生年月日がマスタと相違／","")&amp;IF(AND($L1168&lt;&gt;"",INDEX(職員マスタ!$G$6:$G$405,$AP1168)&lt;&gt;"",$L1168&lt;&gt;INDEX(職員マスタ!$G$6:$G$405,$AP1168)),"時短開始日がマスタと相違／","")&amp;IF(AND($M1168&lt;&gt;"",INDEX(職員マスタ!$H$6:$H$405,$AP1168)&lt;&gt;"",$M1168&lt;&gt;INDEX(職員マスタ!$H$6:$H$405,$AP1168)),"時短終了日がマスタと相違／","")))&amp;IF(AND($B1168&lt;&gt;"",$E1168=""),"報酬額が未入力／","")&amp;IF(N($U1168)&gt;0,"申請書に入力エラーが残っています／","")&amp;IF(AND($B1168&lt;&gt;"",$AQ1168&lt;&gt;""),IF(COUNTIFS($B$6:$B$3005,$B1168,$C$6:$C$3005,$C1168,$D$6:$D$3005,$D1168)&gt;1,"同じ月の請求が重複しています／",""),"")&amp;IF(AND(N($E1168)&gt;0,$AB1168&lt;&gt;"",$AB1168&lt;&gt;"×",$AE1168=0,$AD1168=""),"計算額が下限以下のため不支給／",""))</f>
        <v/>
      </c>
      <c r="AN1168" s="12" t="n"/>
      <c r="AO1168" s="14">
        <f>IF($AF1168="保留中",COUNTIF($AF$6:$AF1168,"保留中"),"")</f>
        <v/>
      </c>
      <c r="AP1168" s="14">
        <f>IF($AQ1168="","",IF(SUMPRODUCT(MAX((職員マスタ!$A$6:$A$405=$B1168)*(((職員マスタ!$G$6:$G$405="")+(職員マスタ!$G$6:$G$405&lt;=EOMONTH($AQ1168,0)))&gt;0)*(((職員マスタ!$H$6:$H$405="")+(職員マスタ!$H$6:$H$405&gt;=$AQ1168))&gt;0)*(ROW(職員マスタ!$A$6:$A$405)-5)))&gt;0,SUMPRODUCT(MAX((職員マスタ!$A$6:$A$405=$B1168)*(((職員マスタ!$G$6:$G$405="")+(職員マスタ!$G$6:$G$405&lt;=EOMONTH($AQ1168,0)))&gt;0)*(((職員マスタ!$H$6:$H$405="")+(職員マスタ!$H$6:$H$405&gt;=$AQ1168))&gt;0)*(ROW(職員マスタ!$A$6:$A$405)-5))),IFERROR(MATCH($B1168,職員マスタ!$A$6:$A$405,0),"")))</f>
        <v/>
      </c>
      <c r="AQ1168" s="16">
        <f>IF(OR($B1168="",$C1168="",$D1168=""),"",DATE($C1168+2018,$D1168,1))</f>
        <v/>
      </c>
    </row>
    <row r="1169">
      <c r="A1169" s="11" t="n"/>
      <c r="B1169" s="12" t="n"/>
      <c r="C1169" s="12" t="n"/>
      <c r="D1169" s="12" t="n"/>
      <c r="E1169" s="13" t="n"/>
      <c r="F1169" s="12" t="n"/>
      <c r="G1169" s="13" t="n"/>
      <c r="H1169" s="12" t="n"/>
      <c r="I1169" s="12" t="n"/>
      <c r="J1169" s="12" t="n"/>
      <c r="K1169" s="12" t="n"/>
      <c r="L1169" s="11" t="n"/>
      <c r="M1169" s="11" t="n"/>
      <c r="N1169" s="11" t="n"/>
      <c r="O1169" s="11" t="n"/>
      <c r="P1169" s="12" t="n"/>
      <c r="Q1169" s="11" t="n"/>
      <c r="R1169" s="12" t="n"/>
      <c r="S1169" s="11" t="n"/>
      <c r="T1169" s="12" t="n"/>
      <c r="U1169" s="12" t="n"/>
      <c r="V1169" s="12" t="n"/>
      <c r="W1169" s="13" t="n"/>
      <c r="X1169" s="14">
        <f>IF($AP1169="",IF($B1169="","",$H1169),IF(INDEX(職員マスタ!$B$6:$B$405,$AP1169)="",$H1169,INDEX(職員マスタ!$B$6:$B$405,$AP1169)))</f>
        <v/>
      </c>
      <c r="Y1169" s="14">
        <f>IF($AP1169="",IF($B1169="","",$R1169),IF(INDEX(職員マスタ!$C$6:$C$405,$AP1169)="",$R1169,INDEX(職員マスタ!$C$6:$C$405,$AP1169)))</f>
        <v/>
      </c>
      <c r="Z1169" s="14">
        <f>IF($AQ1169="","","R"&amp;$C1169&amp;"."&amp;$D1169)</f>
        <v/>
      </c>
      <c r="AA1169" s="15">
        <f>IF(IF($AP1169="",FALSE,INDEX(職員マスタ!$K$6:$K$405,$AP1169)&lt;&gt;""),INDEX(職員マスタ!$K$6:$K$405,$AP1169),IF(N($W1169)&gt;0,$W1169,""))</f>
        <v/>
      </c>
      <c r="AB1169" s="14">
        <f>IF(OR($E1169="",$AA1169=""),"",IF($E1169&gt;=$AA1169,"×",IF($E1169&gt;=$AA1169*設定!$C$5,"△","○")))</f>
        <v/>
      </c>
      <c r="AC1169" s="15">
        <f>IF($AB1169="","",IF($AB1169="×",0,IF($AB1169="○",ROUNDDOWN($E1169*設定!$C$4,0),ROUNDDOWN($E1169*ROUND((9*$AA1169-9*$E1169)/(10*$E1169),4),0))))</f>
        <v/>
      </c>
      <c r="AD1169" s="13" t="n"/>
      <c r="AE1169" s="15">
        <f>IF($B1169="","",IF($AD1169&lt;&gt;"",$AD1169,IF($AC1169="","",IF($AC1169&lt;=設定!$C$3,0,$AC1169))))</f>
        <v/>
      </c>
      <c r="AF1169" s="14">
        <f>IF($B1169="","",IF(AND($AG1169&lt;&gt;"",$AI1169="",$AL1169=""),"保留中",IF($AL1169&lt;&gt;"",IF(N($AE1169)&gt;0,"支給済","不支給"),IF($AE1169="","要確認",IF($AE1169=0,"不支給","未処理")))))</f>
        <v/>
      </c>
      <c r="AG1169" s="12" t="n"/>
      <c r="AH1169" s="11" t="n"/>
      <c r="AI1169" s="11" t="n"/>
      <c r="AJ1169" s="11" t="n"/>
      <c r="AK1169" s="14">
        <f>IF(AND($AF1169="保留中",$AH1169&lt;&gt;""),TODAY()-$AH1169,"")</f>
        <v/>
      </c>
      <c r="AL1169" s="12" t="n"/>
      <c r="AM1169" s="14">
        <f>IF($B1169="","",IF($AQ1169="","対象年月が未入力／","")&amp;IF($B1169="","",IF($AP1169="","職員マスタに未登録の職員番号／",IF($AA1169="","標準報酬月額が未登録／","")&amp;IF(AND($AQ1169&lt;&gt;"",OR(AND(INDEX(職員マスタ!$G$6:$G$405,$AP1169)&lt;&gt;"",INDEX(職員マスタ!$G$6:$G$405,$AP1169)&gt;EOMONTH($AQ1169,0)),AND(INDEX(職員マスタ!$H$6:$H$405,$AP1169)&lt;&gt;"",INDEX(職員マスタ!$H$6:$H$405,$AP1169)&lt;$AQ1169))),"対象月が時短期間外／","")&amp;IF(AND(INDEX(職員マスタ!$K$6:$K$405,$AP1169)&lt;&gt;"",N($W1169)&gt;0,INDEX(職員マスタ!$K$6:$K$405,$AP1169)&lt;&gt;$W1169),"標準報酬月額が申請書と相違（台帳"&amp;TEXT(INDEX(職員マスタ!$K$6:$K$405,$AP1169),"#,##0")&amp;"円／申請書"&amp;TEXT($W1169,"#,##0")&amp;"円）／","")&amp;IF(AND(INDEX(職員マスタ!$F$6:$F$405,$AP1169)&lt;&gt;"",$AQ1169&lt;&gt;"",INDEX(職員マスタ!$F$6:$F$405,$AP1169)&lt;$AQ1169),"対象月に子が2歳到達済／","")&amp;IF(AND($H1169&lt;&gt;"",INDEX(職員マスタ!$B$6:$B$405,$AP1169)&lt;&gt;"",SUBSTITUTE(SUBSTITUTE($H1169," ","")," ","")&lt;&gt;SUBSTITUTE(SUBSTITUTE(INDEX(職員マスタ!$B$6:$B$405,$AP1169)," ","")," ","")),"氏名がマスタと相違／","")&amp;IF(AND($Q1169&lt;&gt;"",INDEX(職員マスタ!$E$6:$E$405,$AP1169)&lt;&gt;"",$Q1169&lt;&gt;INDEX(職員マスタ!$E$6:$E$405,$AP1169)),"子の生年月日がマスタと相違／","")&amp;IF(AND($L1169&lt;&gt;"",INDEX(職員マスタ!$G$6:$G$405,$AP1169)&lt;&gt;"",$L1169&lt;&gt;INDEX(職員マスタ!$G$6:$G$405,$AP1169)),"時短開始日がマスタと相違／","")&amp;IF(AND($M1169&lt;&gt;"",INDEX(職員マスタ!$H$6:$H$405,$AP1169)&lt;&gt;"",$M1169&lt;&gt;INDEX(職員マスタ!$H$6:$H$405,$AP1169)),"時短終了日がマスタと相違／","")))&amp;IF(AND($B1169&lt;&gt;"",$E1169=""),"報酬額が未入力／","")&amp;IF(N($U1169)&gt;0,"申請書に入力エラーが残っています／","")&amp;IF(AND($B1169&lt;&gt;"",$AQ1169&lt;&gt;""),IF(COUNTIFS($B$6:$B$3005,$B1169,$C$6:$C$3005,$C1169,$D$6:$D$3005,$D1169)&gt;1,"同じ月の請求が重複しています／",""),"")&amp;IF(AND(N($E1169)&gt;0,$AB1169&lt;&gt;"",$AB1169&lt;&gt;"×",$AE1169=0,$AD1169=""),"計算額が下限以下のため不支給／",""))</f>
        <v/>
      </c>
      <c r="AN1169" s="12" t="n"/>
      <c r="AO1169" s="14">
        <f>IF($AF1169="保留中",COUNTIF($AF$6:$AF1169,"保留中"),"")</f>
        <v/>
      </c>
      <c r="AP1169" s="14">
        <f>IF($AQ1169="","",IF(SUMPRODUCT(MAX((職員マスタ!$A$6:$A$405=$B1169)*(((職員マスタ!$G$6:$G$405="")+(職員マスタ!$G$6:$G$405&lt;=EOMONTH($AQ1169,0)))&gt;0)*(((職員マスタ!$H$6:$H$405="")+(職員マスタ!$H$6:$H$405&gt;=$AQ1169))&gt;0)*(ROW(職員マスタ!$A$6:$A$405)-5)))&gt;0,SUMPRODUCT(MAX((職員マスタ!$A$6:$A$405=$B1169)*(((職員マスタ!$G$6:$G$405="")+(職員マスタ!$G$6:$G$405&lt;=EOMONTH($AQ1169,0)))&gt;0)*(((職員マスタ!$H$6:$H$405="")+(職員マスタ!$H$6:$H$405&gt;=$AQ1169))&gt;0)*(ROW(職員マスタ!$A$6:$A$405)-5))),IFERROR(MATCH($B1169,職員マスタ!$A$6:$A$405,0),"")))</f>
        <v/>
      </c>
      <c r="AQ1169" s="16">
        <f>IF(OR($B1169="",$C1169="",$D1169=""),"",DATE($C1169+2018,$D1169,1))</f>
        <v/>
      </c>
    </row>
    <row r="1170">
      <c r="A1170" s="11" t="n"/>
      <c r="B1170" s="12" t="n"/>
      <c r="C1170" s="12" t="n"/>
      <c r="D1170" s="12" t="n"/>
      <c r="E1170" s="13" t="n"/>
      <c r="F1170" s="12" t="n"/>
      <c r="G1170" s="13" t="n"/>
      <c r="H1170" s="12" t="n"/>
      <c r="I1170" s="12" t="n"/>
      <c r="J1170" s="12" t="n"/>
      <c r="K1170" s="12" t="n"/>
      <c r="L1170" s="11" t="n"/>
      <c r="M1170" s="11" t="n"/>
      <c r="N1170" s="11" t="n"/>
      <c r="O1170" s="11" t="n"/>
      <c r="P1170" s="12" t="n"/>
      <c r="Q1170" s="11" t="n"/>
      <c r="R1170" s="12" t="n"/>
      <c r="S1170" s="11" t="n"/>
      <c r="T1170" s="12" t="n"/>
      <c r="U1170" s="12" t="n"/>
      <c r="V1170" s="12" t="n"/>
      <c r="W1170" s="13" t="n"/>
      <c r="X1170" s="14">
        <f>IF($AP1170="",IF($B1170="","",$H1170),IF(INDEX(職員マスタ!$B$6:$B$405,$AP1170)="",$H1170,INDEX(職員マスタ!$B$6:$B$405,$AP1170)))</f>
        <v/>
      </c>
      <c r="Y1170" s="14">
        <f>IF($AP1170="",IF($B1170="","",$R1170),IF(INDEX(職員マスタ!$C$6:$C$405,$AP1170)="",$R1170,INDEX(職員マスタ!$C$6:$C$405,$AP1170)))</f>
        <v/>
      </c>
      <c r="Z1170" s="14">
        <f>IF($AQ1170="","","R"&amp;$C1170&amp;"."&amp;$D1170)</f>
        <v/>
      </c>
      <c r="AA1170" s="15">
        <f>IF(IF($AP1170="",FALSE,INDEX(職員マスタ!$K$6:$K$405,$AP1170)&lt;&gt;""),INDEX(職員マスタ!$K$6:$K$405,$AP1170),IF(N($W1170)&gt;0,$W1170,""))</f>
        <v/>
      </c>
      <c r="AB1170" s="14">
        <f>IF(OR($E1170="",$AA1170=""),"",IF($E1170&gt;=$AA1170,"×",IF($E1170&gt;=$AA1170*設定!$C$5,"△","○")))</f>
        <v/>
      </c>
      <c r="AC1170" s="15">
        <f>IF($AB1170="","",IF($AB1170="×",0,IF($AB1170="○",ROUNDDOWN($E1170*設定!$C$4,0),ROUNDDOWN($E1170*ROUND((9*$AA1170-9*$E1170)/(10*$E1170),4),0))))</f>
        <v/>
      </c>
      <c r="AD1170" s="13" t="n"/>
      <c r="AE1170" s="15">
        <f>IF($B1170="","",IF($AD1170&lt;&gt;"",$AD1170,IF($AC1170="","",IF($AC1170&lt;=設定!$C$3,0,$AC1170))))</f>
        <v/>
      </c>
      <c r="AF1170" s="14">
        <f>IF($B1170="","",IF(AND($AG1170&lt;&gt;"",$AI1170="",$AL1170=""),"保留中",IF($AL1170&lt;&gt;"",IF(N($AE1170)&gt;0,"支給済","不支給"),IF($AE1170="","要確認",IF($AE1170=0,"不支給","未処理")))))</f>
        <v/>
      </c>
      <c r="AG1170" s="12" t="n"/>
      <c r="AH1170" s="11" t="n"/>
      <c r="AI1170" s="11" t="n"/>
      <c r="AJ1170" s="11" t="n"/>
      <c r="AK1170" s="14">
        <f>IF(AND($AF1170="保留中",$AH1170&lt;&gt;""),TODAY()-$AH1170,"")</f>
        <v/>
      </c>
      <c r="AL1170" s="12" t="n"/>
      <c r="AM1170" s="14">
        <f>IF($B1170="","",IF($AQ1170="","対象年月が未入力／","")&amp;IF($B1170="","",IF($AP1170="","職員マスタに未登録の職員番号／",IF($AA1170="","標準報酬月額が未登録／","")&amp;IF(AND($AQ1170&lt;&gt;"",OR(AND(INDEX(職員マスタ!$G$6:$G$405,$AP1170)&lt;&gt;"",INDEX(職員マスタ!$G$6:$G$405,$AP1170)&gt;EOMONTH($AQ1170,0)),AND(INDEX(職員マスタ!$H$6:$H$405,$AP1170)&lt;&gt;"",INDEX(職員マスタ!$H$6:$H$405,$AP1170)&lt;$AQ1170))),"対象月が時短期間外／","")&amp;IF(AND(INDEX(職員マスタ!$K$6:$K$405,$AP1170)&lt;&gt;"",N($W1170)&gt;0,INDEX(職員マスタ!$K$6:$K$405,$AP1170)&lt;&gt;$W1170),"標準報酬月額が申請書と相違（台帳"&amp;TEXT(INDEX(職員マスタ!$K$6:$K$405,$AP1170),"#,##0")&amp;"円／申請書"&amp;TEXT($W1170,"#,##0")&amp;"円）／","")&amp;IF(AND(INDEX(職員マスタ!$F$6:$F$405,$AP1170)&lt;&gt;"",$AQ1170&lt;&gt;"",INDEX(職員マスタ!$F$6:$F$405,$AP1170)&lt;$AQ1170),"対象月に子が2歳到達済／","")&amp;IF(AND($H1170&lt;&gt;"",INDEX(職員マスタ!$B$6:$B$405,$AP1170)&lt;&gt;"",SUBSTITUTE(SUBSTITUTE($H1170," ","")," ","")&lt;&gt;SUBSTITUTE(SUBSTITUTE(INDEX(職員マスタ!$B$6:$B$405,$AP1170)," ","")," ","")),"氏名がマスタと相違／","")&amp;IF(AND($Q1170&lt;&gt;"",INDEX(職員マスタ!$E$6:$E$405,$AP1170)&lt;&gt;"",$Q1170&lt;&gt;INDEX(職員マスタ!$E$6:$E$405,$AP1170)),"子の生年月日がマスタと相違／","")&amp;IF(AND($L1170&lt;&gt;"",INDEX(職員マスタ!$G$6:$G$405,$AP1170)&lt;&gt;"",$L1170&lt;&gt;INDEX(職員マスタ!$G$6:$G$405,$AP1170)),"時短開始日がマスタと相違／","")&amp;IF(AND($M1170&lt;&gt;"",INDEX(職員マスタ!$H$6:$H$405,$AP1170)&lt;&gt;"",$M1170&lt;&gt;INDEX(職員マスタ!$H$6:$H$405,$AP1170)),"時短終了日がマスタと相違／","")))&amp;IF(AND($B1170&lt;&gt;"",$E1170=""),"報酬額が未入力／","")&amp;IF(N($U1170)&gt;0,"申請書に入力エラーが残っています／","")&amp;IF(AND($B1170&lt;&gt;"",$AQ1170&lt;&gt;""),IF(COUNTIFS($B$6:$B$3005,$B1170,$C$6:$C$3005,$C1170,$D$6:$D$3005,$D1170)&gt;1,"同じ月の請求が重複しています／",""),"")&amp;IF(AND(N($E1170)&gt;0,$AB1170&lt;&gt;"",$AB1170&lt;&gt;"×",$AE1170=0,$AD1170=""),"計算額が下限以下のため不支給／",""))</f>
        <v/>
      </c>
      <c r="AN1170" s="12" t="n"/>
      <c r="AO1170" s="14">
        <f>IF($AF1170="保留中",COUNTIF($AF$6:$AF1170,"保留中"),"")</f>
        <v/>
      </c>
      <c r="AP1170" s="14">
        <f>IF($AQ1170="","",IF(SUMPRODUCT(MAX((職員マスタ!$A$6:$A$405=$B1170)*(((職員マスタ!$G$6:$G$405="")+(職員マスタ!$G$6:$G$405&lt;=EOMONTH($AQ1170,0)))&gt;0)*(((職員マスタ!$H$6:$H$405="")+(職員マスタ!$H$6:$H$405&gt;=$AQ1170))&gt;0)*(ROW(職員マスタ!$A$6:$A$405)-5)))&gt;0,SUMPRODUCT(MAX((職員マスタ!$A$6:$A$405=$B1170)*(((職員マスタ!$G$6:$G$405="")+(職員マスタ!$G$6:$G$405&lt;=EOMONTH($AQ1170,0)))&gt;0)*(((職員マスタ!$H$6:$H$405="")+(職員マスタ!$H$6:$H$405&gt;=$AQ1170))&gt;0)*(ROW(職員マスタ!$A$6:$A$405)-5))),IFERROR(MATCH($B1170,職員マスタ!$A$6:$A$405,0),"")))</f>
        <v/>
      </c>
      <c r="AQ1170" s="16">
        <f>IF(OR($B1170="",$C1170="",$D1170=""),"",DATE($C1170+2018,$D1170,1))</f>
        <v/>
      </c>
    </row>
    <row r="1171">
      <c r="A1171" s="11" t="n"/>
      <c r="B1171" s="12" t="n"/>
      <c r="C1171" s="12" t="n"/>
      <c r="D1171" s="12" t="n"/>
      <c r="E1171" s="13" t="n"/>
      <c r="F1171" s="12" t="n"/>
      <c r="G1171" s="13" t="n"/>
      <c r="H1171" s="12" t="n"/>
      <c r="I1171" s="12" t="n"/>
      <c r="J1171" s="12" t="n"/>
      <c r="K1171" s="12" t="n"/>
      <c r="L1171" s="11" t="n"/>
      <c r="M1171" s="11" t="n"/>
      <c r="N1171" s="11" t="n"/>
      <c r="O1171" s="11" t="n"/>
      <c r="P1171" s="12" t="n"/>
      <c r="Q1171" s="11" t="n"/>
      <c r="R1171" s="12" t="n"/>
      <c r="S1171" s="11" t="n"/>
      <c r="T1171" s="12" t="n"/>
      <c r="U1171" s="12" t="n"/>
      <c r="V1171" s="12" t="n"/>
      <c r="W1171" s="13" t="n"/>
      <c r="X1171" s="14">
        <f>IF($AP1171="",IF($B1171="","",$H1171),IF(INDEX(職員マスタ!$B$6:$B$405,$AP1171)="",$H1171,INDEX(職員マスタ!$B$6:$B$405,$AP1171)))</f>
        <v/>
      </c>
      <c r="Y1171" s="14">
        <f>IF($AP1171="",IF($B1171="","",$R1171),IF(INDEX(職員マスタ!$C$6:$C$405,$AP1171)="",$R1171,INDEX(職員マスタ!$C$6:$C$405,$AP1171)))</f>
        <v/>
      </c>
      <c r="Z1171" s="14">
        <f>IF($AQ1171="","","R"&amp;$C1171&amp;"."&amp;$D1171)</f>
        <v/>
      </c>
      <c r="AA1171" s="15">
        <f>IF(IF($AP1171="",FALSE,INDEX(職員マスタ!$K$6:$K$405,$AP1171)&lt;&gt;""),INDEX(職員マスタ!$K$6:$K$405,$AP1171),IF(N($W1171)&gt;0,$W1171,""))</f>
        <v/>
      </c>
      <c r="AB1171" s="14">
        <f>IF(OR($E1171="",$AA1171=""),"",IF($E1171&gt;=$AA1171,"×",IF($E1171&gt;=$AA1171*設定!$C$5,"△","○")))</f>
        <v/>
      </c>
      <c r="AC1171" s="15">
        <f>IF($AB1171="","",IF($AB1171="×",0,IF($AB1171="○",ROUNDDOWN($E1171*設定!$C$4,0),ROUNDDOWN($E1171*ROUND((9*$AA1171-9*$E1171)/(10*$E1171),4),0))))</f>
        <v/>
      </c>
      <c r="AD1171" s="13" t="n"/>
      <c r="AE1171" s="15">
        <f>IF($B1171="","",IF($AD1171&lt;&gt;"",$AD1171,IF($AC1171="","",IF($AC1171&lt;=設定!$C$3,0,$AC1171))))</f>
        <v/>
      </c>
      <c r="AF1171" s="14">
        <f>IF($B1171="","",IF(AND($AG1171&lt;&gt;"",$AI1171="",$AL1171=""),"保留中",IF($AL1171&lt;&gt;"",IF(N($AE1171)&gt;0,"支給済","不支給"),IF($AE1171="","要確認",IF($AE1171=0,"不支給","未処理")))))</f>
        <v/>
      </c>
      <c r="AG1171" s="12" t="n"/>
      <c r="AH1171" s="11" t="n"/>
      <c r="AI1171" s="11" t="n"/>
      <c r="AJ1171" s="11" t="n"/>
      <c r="AK1171" s="14">
        <f>IF(AND($AF1171="保留中",$AH1171&lt;&gt;""),TODAY()-$AH1171,"")</f>
        <v/>
      </c>
      <c r="AL1171" s="12" t="n"/>
      <c r="AM1171" s="14">
        <f>IF($B1171="","",IF($AQ1171="","対象年月が未入力／","")&amp;IF($B1171="","",IF($AP1171="","職員マスタに未登録の職員番号／",IF($AA1171="","標準報酬月額が未登録／","")&amp;IF(AND($AQ1171&lt;&gt;"",OR(AND(INDEX(職員マスタ!$G$6:$G$405,$AP1171)&lt;&gt;"",INDEX(職員マスタ!$G$6:$G$405,$AP1171)&gt;EOMONTH($AQ1171,0)),AND(INDEX(職員マスタ!$H$6:$H$405,$AP1171)&lt;&gt;"",INDEX(職員マスタ!$H$6:$H$405,$AP1171)&lt;$AQ1171))),"対象月が時短期間外／","")&amp;IF(AND(INDEX(職員マスタ!$K$6:$K$405,$AP1171)&lt;&gt;"",N($W1171)&gt;0,INDEX(職員マスタ!$K$6:$K$405,$AP1171)&lt;&gt;$W1171),"標準報酬月額が申請書と相違（台帳"&amp;TEXT(INDEX(職員マスタ!$K$6:$K$405,$AP1171),"#,##0")&amp;"円／申請書"&amp;TEXT($W1171,"#,##0")&amp;"円）／","")&amp;IF(AND(INDEX(職員マスタ!$F$6:$F$405,$AP1171)&lt;&gt;"",$AQ1171&lt;&gt;"",INDEX(職員マスタ!$F$6:$F$405,$AP1171)&lt;$AQ1171),"対象月に子が2歳到達済／","")&amp;IF(AND($H1171&lt;&gt;"",INDEX(職員マスタ!$B$6:$B$405,$AP1171)&lt;&gt;"",SUBSTITUTE(SUBSTITUTE($H1171," ","")," ","")&lt;&gt;SUBSTITUTE(SUBSTITUTE(INDEX(職員マスタ!$B$6:$B$405,$AP1171)," ","")," ","")),"氏名がマスタと相違／","")&amp;IF(AND($Q1171&lt;&gt;"",INDEX(職員マスタ!$E$6:$E$405,$AP1171)&lt;&gt;"",$Q1171&lt;&gt;INDEX(職員マスタ!$E$6:$E$405,$AP1171)),"子の生年月日がマスタと相違／","")&amp;IF(AND($L1171&lt;&gt;"",INDEX(職員マスタ!$G$6:$G$405,$AP1171)&lt;&gt;"",$L1171&lt;&gt;INDEX(職員マスタ!$G$6:$G$405,$AP1171)),"時短開始日がマスタと相違／","")&amp;IF(AND($M1171&lt;&gt;"",INDEX(職員マスタ!$H$6:$H$405,$AP1171)&lt;&gt;"",$M1171&lt;&gt;INDEX(職員マスタ!$H$6:$H$405,$AP1171)),"時短終了日がマスタと相違／","")))&amp;IF(AND($B1171&lt;&gt;"",$E1171=""),"報酬額が未入力／","")&amp;IF(N($U1171)&gt;0,"申請書に入力エラーが残っています／","")&amp;IF(AND($B1171&lt;&gt;"",$AQ1171&lt;&gt;""),IF(COUNTIFS($B$6:$B$3005,$B1171,$C$6:$C$3005,$C1171,$D$6:$D$3005,$D1171)&gt;1,"同じ月の請求が重複しています／",""),"")&amp;IF(AND(N($E1171)&gt;0,$AB1171&lt;&gt;"",$AB1171&lt;&gt;"×",$AE1171=0,$AD1171=""),"計算額が下限以下のため不支給／",""))</f>
        <v/>
      </c>
      <c r="AN1171" s="12" t="n"/>
      <c r="AO1171" s="14">
        <f>IF($AF1171="保留中",COUNTIF($AF$6:$AF1171,"保留中"),"")</f>
        <v/>
      </c>
      <c r="AP1171" s="14">
        <f>IF($AQ1171="","",IF(SUMPRODUCT(MAX((職員マスタ!$A$6:$A$405=$B1171)*(((職員マスタ!$G$6:$G$405="")+(職員マスタ!$G$6:$G$405&lt;=EOMONTH($AQ1171,0)))&gt;0)*(((職員マスタ!$H$6:$H$405="")+(職員マスタ!$H$6:$H$405&gt;=$AQ1171))&gt;0)*(ROW(職員マスタ!$A$6:$A$405)-5)))&gt;0,SUMPRODUCT(MAX((職員マスタ!$A$6:$A$405=$B1171)*(((職員マスタ!$G$6:$G$405="")+(職員マスタ!$G$6:$G$405&lt;=EOMONTH($AQ1171,0)))&gt;0)*(((職員マスタ!$H$6:$H$405="")+(職員マスタ!$H$6:$H$405&gt;=$AQ1171))&gt;0)*(ROW(職員マスタ!$A$6:$A$405)-5))),IFERROR(MATCH($B1171,職員マスタ!$A$6:$A$405,0),"")))</f>
        <v/>
      </c>
      <c r="AQ1171" s="16">
        <f>IF(OR($B1171="",$C1171="",$D1171=""),"",DATE($C1171+2018,$D1171,1))</f>
        <v/>
      </c>
    </row>
    <row r="1172">
      <c r="A1172" s="11" t="n"/>
      <c r="B1172" s="12" t="n"/>
      <c r="C1172" s="12" t="n"/>
      <c r="D1172" s="12" t="n"/>
      <c r="E1172" s="13" t="n"/>
      <c r="F1172" s="12" t="n"/>
      <c r="G1172" s="13" t="n"/>
      <c r="H1172" s="12" t="n"/>
      <c r="I1172" s="12" t="n"/>
      <c r="J1172" s="12" t="n"/>
      <c r="K1172" s="12" t="n"/>
      <c r="L1172" s="11" t="n"/>
      <c r="M1172" s="11" t="n"/>
      <c r="N1172" s="11" t="n"/>
      <c r="O1172" s="11" t="n"/>
      <c r="P1172" s="12" t="n"/>
      <c r="Q1172" s="11" t="n"/>
      <c r="R1172" s="12" t="n"/>
      <c r="S1172" s="11" t="n"/>
      <c r="T1172" s="12" t="n"/>
      <c r="U1172" s="12" t="n"/>
      <c r="V1172" s="12" t="n"/>
      <c r="W1172" s="13" t="n"/>
      <c r="X1172" s="14">
        <f>IF($AP1172="",IF($B1172="","",$H1172),IF(INDEX(職員マスタ!$B$6:$B$405,$AP1172)="",$H1172,INDEX(職員マスタ!$B$6:$B$405,$AP1172)))</f>
        <v/>
      </c>
      <c r="Y1172" s="14">
        <f>IF($AP1172="",IF($B1172="","",$R1172),IF(INDEX(職員マスタ!$C$6:$C$405,$AP1172)="",$R1172,INDEX(職員マスタ!$C$6:$C$405,$AP1172)))</f>
        <v/>
      </c>
      <c r="Z1172" s="14">
        <f>IF($AQ1172="","","R"&amp;$C1172&amp;"."&amp;$D1172)</f>
        <v/>
      </c>
      <c r="AA1172" s="15">
        <f>IF(IF($AP1172="",FALSE,INDEX(職員マスタ!$K$6:$K$405,$AP1172)&lt;&gt;""),INDEX(職員マスタ!$K$6:$K$405,$AP1172),IF(N($W1172)&gt;0,$W1172,""))</f>
        <v/>
      </c>
      <c r="AB1172" s="14">
        <f>IF(OR($E1172="",$AA1172=""),"",IF($E1172&gt;=$AA1172,"×",IF($E1172&gt;=$AA1172*設定!$C$5,"△","○")))</f>
        <v/>
      </c>
      <c r="AC1172" s="15">
        <f>IF($AB1172="","",IF($AB1172="×",0,IF($AB1172="○",ROUNDDOWN($E1172*設定!$C$4,0),ROUNDDOWN($E1172*ROUND((9*$AA1172-9*$E1172)/(10*$E1172),4),0))))</f>
        <v/>
      </c>
      <c r="AD1172" s="13" t="n"/>
      <c r="AE1172" s="15">
        <f>IF($B1172="","",IF($AD1172&lt;&gt;"",$AD1172,IF($AC1172="","",IF($AC1172&lt;=設定!$C$3,0,$AC1172))))</f>
        <v/>
      </c>
      <c r="AF1172" s="14">
        <f>IF($B1172="","",IF(AND($AG1172&lt;&gt;"",$AI1172="",$AL1172=""),"保留中",IF($AL1172&lt;&gt;"",IF(N($AE1172)&gt;0,"支給済","不支給"),IF($AE1172="","要確認",IF($AE1172=0,"不支給","未処理")))))</f>
        <v/>
      </c>
      <c r="AG1172" s="12" t="n"/>
      <c r="AH1172" s="11" t="n"/>
      <c r="AI1172" s="11" t="n"/>
      <c r="AJ1172" s="11" t="n"/>
      <c r="AK1172" s="14">
        <f>IF(AND($AF1172="保留中",$AH1172&lt;&gt;""),TODAY()-$AH1172,"")</f>
        <v/>
      </c>
      <c r="AL1172" s="12" t="n"/>
      <c r="AM1172" s="14">
        <f>IF($B1172="","",IF($AQ1172="","対象年月が未入力／","")&amp;IF($B1172="","",IF($AP1172="","職員マスタに未登録の職員番号／",IF($AA1172="","標準報酬月額が未登録／","")&amp;IF(AND($AQ1172&lt;&gt;"",OR(AND(INDEX(職員マスタ!$G$6:$G$405,$AP1172)&lt;&gt;"",INDEX(職員マスタ!$G$6:$G$405,$AP1172)&gt;EOMONTH($AQ1172,0)),AND(INDEX(職員マスタ!$H$6:$H$405,$AP1172)&lt;&gt;"",INDEX(職員マスタ!$H$6:$H$405,$AP1172)&lt;$AQ1172))),"対象月が時短期間外／","")&amp;IF(AND(INDEX(職員マスタ!$K$6:$K$405,$AP1172)&lt;&gt;"",N($W1172)&gt;0,INDEX(職員マスタ!$K$6:$K$405,$AP1172)&lt;&gt;$W1172),"標準報酬月額が申請書と相違（台帳"&amp;TEXT(INDEX(職員マスタ!$K$6:$K$405,$AP1172),"#,##0")&amp;"円／申請書"&amp;TEXT($W1172,"#,##0")&amp;"円）／","")&amp;IF(AND(INDEX(職員マスタ!$F$6:$F$405,$AP1172)&lt;&gt;"",$AQ1172&lt;&gt;"",INDEX(職員マスタ!$F$6:$F$405,$AP1172)&lt;$AQ1172),"対象月に子が2歳到達済／","")&amp;IF(AND($H1172&lt;&gt;"",INDEX(職員マスタ!$B$6:$B$405,$AP1172)&lt;&gt;"",SUBSTITUTE(SUBSTITUTE($H1172," ","")," ","")&lt;&gt;SUBSTITUTE(SUBSTITUTE(INDEX(職員マスタ!$B$6:$B$405,$AP1172)," ","")," ","")),"氏名がマスタと相違／","")&amp;IF(AND($Q1172&lt;&gt;"",INDEX(職員マスタ!$E$6:$E$405,$AP1172)&lt;&gt;"",$Q1172&lt;&gt;INDEX(職員マスタ!$E$6:$E$405,$AP1172)),"子の生年月日がマスタと相違／","")&amp;IF(AND($L1172&lt;&gt;"",INDEX(職員マスタ!$G$6:$G$405,$AP1172)&lt;&gt;"",$L1172&lt;&gt;INDEX(職員マスタ!$G$6:$G$405,$AP1172)),"時短開始日がマスタと相違／","")&amp;IF(AND($M1172&lt;&gt;"",INDEX(職員マスタ!$H$6:$H$405,$AP1172)&lt;&gt;"",$M1172&lt;&gt;INDEX(職員マスタ!$H$6:$H$405,$AP1172)),"時短終了日がマスタと相違／","")))&amp;IF(AND($B1172&lt;&gt;"",$E1172=""),"報酬額が未入力／","")&amp;IF(N($U1172)&gt;0,"申請書に入力エラーが残っています／","")&amp;IF(AND($B1172&lt;&gt;"",$AQ1172&lt;&gt;""),IF(COUNTIFS($B$6:$B$3005,$B1172,$C$6:$C$3005,$C1172,$D$6:$D$3005,$D1172)&gt;1,"同じ月の請求が重複しています／",""),"")&amp;IF(AND(N($E1172)&gt;0,$AB1172&lt;&gt;"",$AB1172&lt;&gt;"×",$AE1172=0,$AD1172=""),"計算額が下限以下のため不支給／",""))</f>
        <v/>
      </c>
      <c r="AN1172" s="12" t="n"/>
      <c r="AO1172" s="14">
        <f>IF($AF1172="保留中",COUNTIF($AF$6:$AF1172,"保留中"),"")</f>
        <v/>
      </c>
      <c r="AP1172" s="14">
        <f>IF($AQ1172="","",IF(SUMPRODUCT(MAX((職員マスタ!$A$6:$A$405=$B1172)*(((職員マスタ!$G$6:$G$405="")+(職員マスタ!$G$6:$G$405&lt;=EOMONTH($AQ1172,0)))&gt;0)*(((職員マスタ!$H$6:$H$405="")+(職員マスタ!$H$6:$H$405&gt;=$AQ1172))&gt;0)*(ROW(職員マスタ!$A$6:$A$405)-5)))&gt;0,SUMPRODUCT(MAX((職員マスタ!$A$6:$A$405=$B1172)*(((職員マスタ!$G$6:$G$405="")+(職員マスタ!$G$6:$G$405&lt;=EOMONTH($AQ1172,0)))&gt;0)*(((職員マスタ!$H$6:$H$405="")+(職員マスタ!$H$6:$H$405&gt;=$AQ1172))&gt;0)*(ROW(職員マスタ!$A$6:$A$405)-5))),IFERROR(MATCH($B1172,職員マスタ!$A$6:$A$405,0),"")))</f>
        <v/>
      </c>
      <c r="AQ1172" s="16">
        <f>IF(OR($B1172="",$C1172="",$D1172=""),"",DATE($C1172+2018,$D1172,1))</f>
        <v/>
      </c>
    </row>
    <row r="1173">
      <c r="A1173" s="11" t="n"/>
      <c r="B1173" s="12" t="n"/>
      <c r="C1173" s="12" t="n"/>
      <c r="D1173" s="12" t="n"/>
      <c r="E1173" s="13" t="n"/>
      <c r="F1173" s="12" t="n"/>
      <c r="G1173" s="13" t="n"/>
      <c r="H1173" s="12" t="n"/>
      <c r="I1173" s="12" t="n"/>
      <c r="J1173" s="12" t="n"/>
      <c r="K1173" s="12" t="n"/>
      <c r="L1173" s="11" t="n"/>
      <c r="M1173" s="11" t="n"/>
      <c r="N1173" s="11" t="n"/>
      <c r="O1173" s="11" t="n"/>
      <c r="P1173" s="12" t="n"/>
      <c r="Q1173" s="11" t="n"/>
      <c r="R1173" s="12" t="n"/>
      <c r="S1173" s="11" t="n"/>
      <c r="T1173" s="12" t="n"/>
      <c r="U1173" s="12" t="n"/>
      <c r="V1173" s="12" t="n"/>
      <c r="W1173" s="13" t="n"/>
      <c r="X1173" s="14">
        <f>IF($AP1173="",IF($B1173="","",$H1173),IF(INDEX(職員マスタ!$B$6:$B$405,$AP1173)="",$H1173,INDEX(職員マスタ!$B$6:$B$405,$AP1173)))</f>
        <v/>
      </c>
      <c r="Y1173" s="14">
        <f>IF($AP1173="",IF($B1173="","",$R1173),IF(INDEX(職員マスタ!$C$6:$C$405,$AP1173)="",$R1173,INDEX(職員マスタ!$C$6:$C$405,$AP1173)))</f>
        <v/>
      </c>
      <c r="Z1173" s="14">
        <f>IF($AQ1173="","","R"&amp;$C1173&amp;"."&amp;$D1173)</f>
        <v/>
      </c>
      <c r="AA1173" s="15">
        <f>IF(IF($AP1173="",FALSE,INDEX(職員マスタ!$K$6:$K$405,$AP1173)&lt;&gt;""),INDEX(職員マスタ!$K$6:$K$405,$AP1173),IF(N($W1173)&gt;0,$W1173,""))</f>
        <v/>
      </c>
      <c r="AB1173" s="14">
        <f>IF(OR($E1173="",$AA1173=""),"",IF($E1173&gt;=$AA1173,"×",IF($E1173&gt;=$AA1173*設定!$C$5,"△","○")))</f>
        <v/>
      </c>
      <c r="AC1173" s="15">
        <f>IF($AB1173="","",IF($AB1173="×",0,IF($AB1173="○",ROUNDDOWN($E1173*設定!$C$4,0),ROUNDDOWN($E1173*ROUND((9*$AA1173-9*$E1173)/(10*$E1173),4),0))))</f>
        <v/>
      </c>
      <c r="AD1173" s="13" t="n"/>
      <c r="AE1173" s="15">
        <f>IF($B1173="","",IF($AD1173&lt;&gt;"",$AD1173,IF($AC1173="","",IF($AC1173&lt;=設定!$C$3,0,$AC1173))))</f>
        <v/>
      </c>
      <c r="AF1173" s="14">
        <f>IF($B1173="","",IF(AND($AG1173&lt;&gt;"",$AI1173="",$AL1173=""),"保留中",IF($AL1173&lt;&gt;"",IF(N($AE1173)&gt;0,"支給済","不支給"),IF($AE1173="","要確認",IF($AE1173=0,"不支給","未処理")))))</f>
        <v/>
      </c>
      <c r="AG1173" s="12" t="n"/>
      <c r="AH1173" s="11" t="n"/>
      <c r="AI1173" s="11" t="n"/>
      <c r="AJ1173" s="11" t="n"/>
      <c r="AK1173" s="14">
        <f>IF(AND($AF1173="保留中",$AH1173&lt;&gt;""),TODAY()-$AH1173,"")</f>
        <v/>
      </c>
      <c r="AL1173" s="12" t="n"/>
      <c r="AM1173" s="14">
        <f>IF($B1173="","",IF($AQ1173="","対象年月が未入力／","")&amp;IF($B1173="","",IF($AP1173="","職員マスタに未登録の職員番号／",IF($AA1173="","標準報酬月額が未登録／","")&amp;IF(AND($AQ1173&lt;&gt;"",OR(AND(INDEX(職員マスタ!$G$6:$G$405,$AP1173)&lt;&gt;"",INDEX(職員マスタ!$G$6:$G$405,$AP1173)&gt;EOMONTH($AQ1173,0)),AND(INDEX(職員マスタ!$H$6:$H$405,$AP1173)&lt;&gt;"",INDEX(職員マスタ!$H$6:$H$405,$AP1173)&lt;$AQ1173))),"対象月が時短期間外／","")&amp;IF(AND(INDEX(職員マスタ!$K$6:$K$405,$AP1173)&lt;&gt;"",N($W1173)&gt;0,INDEX(職員マスタ!$K$6:$K$405,$AP1173)&lt;&gt;$W1173),"標準報酬月額が申請書と相違（台帳"&amp;TEXT(INDEX(職員マスタ!$K$6:$K$405,$AP1173),"#,##0")&amp;"円／申請書"&amp;TEXT($W1173,"#,##0")&amp;"円）／","")&amp;IF(AND(INDEX(職員マスタ!$F$6:$F$405,$AP1173)&lt;&gt;"",$AQ1173&lt;&gt;"",INDEX(職員マスタ!$F$6:$F$405,$AP1173)&lt;$AQ1173),"対象月に子が2歳到達済／","")&amp;IF(AND($H1173&lt;&gt;"",INDEX(職員マスタ!$B$6:$B$405,$AP1173)&lt;&gt;"",SUBSTITUTE(SUBSTITUTE($H1173," ","")," ","")&lt;&gt;SUBSTITUTE(SUBSTITUTE(INDEX(職員マスタ!$B$6:$B$405,$AP1173)," ","")," ","")),"氏名がマスタと相違／","")&amp;IF(AND($Q1173&lt;&gt;"",INDEX(職員マスタ!$E$6:$E$405,$AP1173)&lt;&gt;"",$Q1173&lt;&gt;INDEX(職員マスタ!$E$6:$E$405,$AP1173)),"子の生年月日がマスタと相違／","")&amp;IF(AND($L1173&lt;&gt;"",INDEX(職員マスタ!$G$6:$G$405,$AP1173)&lt;&gt;"",$L1173&lt;&gt;INDEX(職員マスタ!$G$6:$G$405,$AP1173)),"時短開始日がマスタと相違／","")&amp;IF(AND($M1173&lt;&gt;"",INDEX(職員マスタ!$H$6:$H$405,$AP1173)&lt;&gt;"",$M1173&lt;&gt;INDEX(職員マスタ!$H$6:$H$405,$AP1173)),"時短終了日がマスタと相違／","")))&amp;IF(AND($B1173&lt;&gt;"",$E1173=""),"報酬額が未入力／","")&amp;IF(N($U1173)&gt;0,"申請書に入力エラーが残っています／","")&amp;IF(AND($B1173&lt;&gt;"",$AQ1173&lt;&gt;""),IF(COUNTIFS($B$6:$B$3005,$B1173,$C$6:$C$3005,$C1173,$D$6:$D$3005,$D1173)&gt;1,"同じ月の請求が重複しています／",""),"")&amp;IF(AND(N($E1173)&gt;0,$AB1173&lt;&gt;"",$AB1173&lt;&gt;"×",$AE1173=0,$AD1173=""),"計算額が下限以下のため不支給／",""))</f>
        <v/>
      </c>
      <c r="AN1173" s="12" t="n"/>
      <c r="AO1173" s="14">
        <f>IF($AF1173="保留中",COUNTIF($AF$6:$AF1173,"保留中"),"")</f>
        <v/>
      </c>
      <c r="AP1173" s="14">
        <f>IF($AQ1173="","",IF(SUMPRODUCT(MAX((職員マスタ!$A$6:$A$405=$B1173)*(((職員マスタ!$G$6:$G$405="")+(職員マスタ!$G$6:$G$405&lt;=EOMONTH($AQ1173,0)))&gt;0)*(((職員マスタ!$H$6:$H$405="")+(職員マスタ!$H$6:$H$405&gt;=$AQ1173))&gt;0)*(ROW(職員マスタ!$A$6:$A$405)-5)))&gt;0,SUMPRODUCT(MAX((職員マスタ!$A$6:$A$405=$B1173)*(((職員マスタ!$G$6:$G$405="")+(職員マスタ!$G$6:$G$405&lt;=EOMONTH($AQ1173,0)))&gt;0)*(((職員マスタ!$H$6:$H$405="")+(職員マスタ!$H$6:$H$405&gt;=$AQ1173))&gt;0)*(ROW(職員マスタ!$A$6:$A$405)-5))),IFERROR(MATCH($B1173,職員マスタ!$A$6:$A$405,0),"")))</f>
        <v/>
      </c>
      <c r="AQ1173" s="16">
        <f>IF(OR($B1173="",$C1173="",$D1173=""),"",DATE($C1173+2018,$D1173,1))</f>
        <v/>
      </c>
    </row>
    <row r="1174">
      <c r="A1174" s="11" t="n"/>
      <c r="B1174" s="12" t="n"/>
      <c r="C1174" s="12" t="n"/>
      <c r="D1174" s="12" t="n"/>
      <c r="E1174" s="13" t="n"/>
      <c r="F1174" s="12" t="n"/>
      <c r="G1174" s="13" t="n"/>
      <c r="H1174" s="12" t="n"/>
      <c r="I1174" s="12" t="n"/>
      <c r="J1174" s="12" t="n"/>
      <c r="K1174" s="12" t="n"/>
      <c r="L1174" s="11" t="n"/>
      <c r="M1174" s="11" t="n"/>
      <c r="N1174" s="11" t="n"/>
      <c r="O1174" s="11" t="n"/>
      <c r="P1174" s="12" t="n"/>
      <c r="Q1174" s="11" t="n"/>
      <c r="R1174" s="12" t="n"/>
      <c r="S1174" s="11" t="n"/>
      <c r="T1174" s="12" t="n"/>
      <c r="U1174" s="12" t="n"/>
      <c r="V1174" s="12" t="n"/>
      <c r="W1174" s="13" t="n"/>
      <c r="X1174" s="14">
        <f>IF($AP1174="",IF($B1174="","",$H1174),IF(INDEX(職員マスタ!$B$6:$B$405,$AP1174)="",$H1174,INDEX(職員マスタ!$B$6:$B$405,$AP1174)))</f>
        <v/>
      </c>
      <c r="Y1174" s="14">
        <f>IF($AP1174="",IF($B1174="","",$R1174),IF(INDEX(職員マスタ!$C$6:$C$405,$AP1174)="",$R1174,INDEX(職員マスタ!$C$6:$C$405,$AP1174)))</f>
        <v/>
      </c>
      <c r="Z1174" s="14">
        <f>IF($AQ1174="","","R"&amp;$C1174&amp;"."&amp;$D1174)</f>
        <v/>
      </c>
      <c r="AA1174" s="15">
        <f>IF(IF($AP1174="",FALSE,INDEX(職員マスタ!$K$6:$K$405,$AP1174)&lt;&gt;""),INDEX(職員マスタ!$K$6:$K$405,$AP1174),IF(N($W1174)&gt;0,$W1174,""))</f>
        <v/>
      </c>
      <c r="AB1174" s="14">
        <f>IF(OR($E1174="",$AA1174=""),"",IF($E1174&gt;=$AA1174,"×",IF($E1174&gt;=$AA1174*設定!$C$5,"△","○")))</f>
        <v/>
      </c>
      <c r="AC1174" s="15">
        <f>IF($AB1174="","",IF($AB1174="×",0,IF($AB1174="○",ROUNDDOWN($E1174*設定!$C$4,0),ROUNDDOWN($E1174*ROUND((9*$AA1174-9*$E1174)/(10*$E1174),4),0))))</f>
        <v/>
      </c>
      <c r="AD1174" s="13" t="n"/>
      <c r="AE1174" s="15">
        <f>IF($B1174="","",IF($AD1174&lt;&gt;"",$AD1174,IF($AC1174="","",IF($AC1174&lt;=設定!$C$3,0,$AC1174))))</f>
        <v/>
      </c>
      <c r="AF1174" s="14">
        <f>IF($B1174="","",IF(AND($AG1174&lt;&gt;"",$AI1174="",$AL1174=""),"保留中",IF($AL1174&lt;&gt;"",IF(N($AE1174)&gt;0,"支給済","不支給"),IF($AE1174="","要確認",IF($AE1174=0,"不支給","未処理")))))</f>
        <v/>
      </c>
      <c r="AG1174" s="12" t="n"/>
      <c r="AH1174" s="11" t="n"/>
      <c r="AI1174" s="11" t="n"/>
      <c r="AJ1174" s="11" t="n"/>
      <c r="AK1174" s="14">
        <f>IF(AND($AF1174="保留中",$AH1174&lt;&gt;""),TODAY()-$AH1174,"")</f>
        <v/>
      </c>
      <c r="AL1174" s="12" t="n"/>
      <c r="AM1174" s="14">
        <f>IF($B1174="","",IF($AQ1174="","対象年月が未入力／","")&amp;IF($B1174="","",IF($AP1174="","職員マスタに未登録の職員番号／",IF($AA1174="","標準報酬月額が未登録／","")&amp;IF(AND($AQ1174&lt;&gt;"",OR(AND(INDEX(職員マスタ!$G$6:$G$405,$AP1174)&lt;&gt;"",INDEX(職員マスタ!$G$6:$G$405,$AP1174)&gt;EOMONTH($AQ1174,0)),AND(INDEX(職員マスタ!$H$6:$H$405,$AP1174)&lt;&gt;"",INDEX(職員マスタ!$H$6:$H$405,$AP1174)&lt;$AQ1174))),"対象月が時短期間外／","")&amp;IF(AND(INDEX(職員マスタ!$K$6:$K$405,$AP1174)&lt;&gt;"",N($W1174)&gt;0,INDEX(職員マスタ!$K$6:$K$405,$AP1174)&lt;&gt;$W1174),"標準報酬月額が申請書と相違（台帳"&amp;TEXT(INDEX(職員マスタ!$K$6:$K$405,$AP1174),"#,##0")&amp;"円／申請書"&amp;TEXT($W1174,"#,##0")&amp;"円）／","")&amp;IF(AND(INDEX(職員マスタ!$F$6:$F$405,$AP1174)&lt;&gt;"",$AQ1174&lt;&gt;"",INDEX(職員マスタ!$F$6:$F$405,$AP1174)&lt;$AQ1174),"対象月に子が2歳到達済／","")&amp;IF(AND($H1174&lt;&gt;"",INDEX(職員マスタ!$B$6:$B$405,$AP1174)&lt;&gt;"",SUBSTITUTE(SUBSTITUTE($H1174," ","")," ","")&lt;&gt;SUBSTITUTE(SUBSTITUTE(INDEX(職員マスタ!$B$6:$B$405,$AP1174)," ","")," ","")),"氏名がマスタと相違／","")&amp;IF(AND($Q1174&lt;&gt;"",INDEX(職員マスタ!$E$6:$E$405,$AP1174)&lt;&gt;"",$Q1174&lt;&gt;INDEX(職員マスタ!$E$6:$E$405,$AP1174)),"子の生年月日がマスタと相違／","")&amp;IF(AND($L1174&lt;&gt;"",INDEX(職員マスタ!$G$6:$G$405,$AP1174)&lt;&gt;"",$L1174&lt;&gt;INDEX(職員マスタ!$G$6:$G$405,$AP1174)),"時短開始日がマスタと相違／","")&amp;IF(AND($M1174&lt;&gt;"",INDEX(職員マスタ!$H$6:$H$405,$AP1174)&lt;&gt;"",$M1174&lt;&gt;INDEX(職員マスタ!$H$6:$H$405,$AP1174)),"時短終了日がマスタと相違／","")))&amp;IF(AND($B1174&lt;&gt;"",$E1174=""),"報酬額が未入力／","")&amp;IF(N($U1174)&gt;0,"申請書に入力エラーが残っています／","")&amp;IF(AND($B1174&lt;&gt;"",$AQ1174&lt;&gt;""),IF(COUNTIFS($B$6:$B$3005,$B1174,$C$6:$C$3005,$C1174,$D$6:$D$3005,$D1174)&gt;1,"同じ月の請求が重複しています／",""),"")&amp;IF(AND(N($E1174)&gt;0,$AB1174&lt;&gt;"",$AB1174&lt;&gt;"×",$AE1174=0,$AD1174=""),"計算額が下限以下のため不支給／",""))</f>
        <v/>
      </c>
      <c r="AN1174" s="12" t="n"/>
      <c r="AO1174" s="14">
        <f>IF($AF1174="保留中",COUNTIF($AF$6:$AF1174,"保留中"),"")</f>
        <v/>
      </c>
      <c r="AP1174" s="14">
        <f>IF($AQ1174="","",IF(SUMPRODUCT(MAX((職員マスタ!$A$6:$A$405=$B1174)*(((職員マスタ!$G$6:$G$405="")+(職員マスタ!$G$6:$G$405&lt;=EOMONTH($AQ1174,0)))&gt;0)*(((職員マスタ!$H$6:$H$405="")+(職員マスタ!$H$6:$H$405&gt;=$AQ1174))&gt;0)*(ROW(職員マスタ!$A$6:$A$405)-5)))&gt;0,SUMPRODUCT(MAX((職員マスタ!$A$6:$A$405=$B1174)*(((職員マスタ!$G$6:$G$405="")+(職員マスタ!$G$6:$G$405&lt;=EOMONTH($AQ1174,0)))&gt;0)*(((職員マスタ!$H$6:$H$405="")+(職員マスタ!$H$6:$H$405&gt;=$AQ1174))&gt;0)*(ROW(職員マスタ!$A$6:$A$405)-5))),IFERROR(MATCH($B1174,職員マスタ!$A$6:$A$405,0),"")))</f>
        <v/>
      </c>
      <c r="AQ1174" s="16">
        <f>IF(OR($B1174="",$C1174="",$D1174=""),"",DATE($C1174+2018,$D1174,1))</f>
        <v/>
      </c>
    </row>
    <row r="1175">
      <c r="A1175" s="11" t="n"/>
      <c r="B1175" s="12" t="n"/>
      <c r="C1175" s="12" t="n"/>
      <c r="D1175" s="12" t="n"/>
      <c r="E1175" s="13" t="n"/>
      <c r="F1175" s="12" t="n"/>
      <c r="G1175" s="13" t="n"/>
      <c r="H1175" s="12" t="n"/>
      <c r="I1175" s="12" t="n"/>
      <c r="J1175" s="12" t="n"/>
      <c r="K1175" s="12" t="n"/>
      <c r="L1175" s="11" t="n"/>
      <c r="M1175" s="11" t="n"/>
      <c r="N1175" s="11" t="n"/>
      <c r="O1175" s="11" t="n"/>
      <c r="P1175" s="12" t="n"/>
      <c r="Q1175" s="11" t="n"/>
      <c r="R1175" s="12" t="n"/>
      <c r="S1175" s="11" t="n"/>
      <c r="T1175" s="12" t="n"/>
      <c r="U1175" s="12" t="n"/>
      <c r="V1175" s="12" t="n"/>
      <c r="W1175" s="13" t="n"/>
      <c r="X1175" s="14">
        <f>IF($AP1175="",IF($B1175="","",$H1175),IF(INDEX(職員マスタ!$B$6:$B$405,$AP1175)="",$H1175,INDEX(職員マスタ!$B$6:$B$405,$AP1175)))</f>
        <v/>
      </c>
      <c r="Y1175" s="14">
        <f>IF($AP1175="",IF($B1175="","",$R1175),IF(INDEX(職員マスタ!$C$6:$C$405,$AP1175)="",$R1175,INDEX(職員マスタ!$C$6:$C$405,$AP1175)))</f>
        <v/>
      </c>
      <c r="Z1175" s="14">
        <f>IF($AQ1175="","","R"&amp;$C1175&amp;"."&amp;$D1175)</f>
        <v/>
      </c>
      <c r="AA1175" s="15">
        <f>IF(IF($AP1175="",FALSE,INDEX(職員マスタ!$K$6:$K$405,$AP1175)&lt;&gt;""),INDEX(職員マスタ!$K$6:$K$405,$AP1175),IF(N($W1175)&gt;0,$W1175,""))</f>
        <v/>
      </c>
      <c r="AB1175" s="14">
        <f>IF(OR($E1175="",$AA1175=""),"",IF($E1175&gt;=$AA1175,"×",IF($E1175&gt;=$AA1175*設定!$C$5,"△","○")))</f>
        <v/>
      </c>
      <c r="AC1175" s="15">
        <f>IF($AB1175="","",IF($AB1175="×",0,IF($AB1175="○",ROUNDDOWN($E1175*設定!$C$4,0),ROUNDDOWN($E1175*ROUND((9*$AA1175-9*$E1175)/(10*$E1175),4),0))))</f>
        <v/>
      </c>
      <c r="AD1175" s="13" t="n"/>
      <c r="AE1175" s="15">
        <f>IF($B1175="","",IF($AD1175&lt;&gt;"",$AD1175,IF($AC1175="","",IF($AC1175&lt;=設定!$C$3,0,$AC1175))))</f>
        <v/>
      </c>
      <c r="AF1175" s="14">
        <f>IF($B1175="","",IF(AND($AG1175&lt;&gt;"",$AI1175="",$AL1175=""),"保留中",IF($AL1175&lt;&gt;"",IF(N($AE1175)&gt;0,"支給済","不支給"),IF($AE1175="","要確認",IF($AE1175=0,"不支給","未処理")))))</f>
        <v/>
      </c>
      <c r="AG1175" s="12" t="n"/>
      <c r="AH1175" s="11" t="n"/>
      <c r="AI1175" s="11" t="n"/>
      <c r="AJ1175" s="11" t="n"/>
      <c r="AK1175" s="14">
        <f>IF(AND($AF1175="保留中",$AH1175&lt;&gt;""),TODAY()-$AH1175,"")</f>
        <v/>
      </c>
      <c r="AL1175" s="12" t="n"/>
      <c r="AM1175" s="14">
        <f>IF($B1175="","",IF($AQ1175="","対象年月が未入力／","")&amp;IF($B1175="","",IF($AP1175="","職員マスタに未登録の職員番号／",IF($AA1175="","標準報酬月額が未登録／","")&amp;IF(AND($AQ1175&lt;&gt;"",OR(AND(INDEX(職員マスタ!$G$6:$G$405,$AP1175)&lt;&gt;"",INDEX(職員マスタ!$G$6:$G$405,$AP1175)&gt;EOMONTH($AQ1175,0)),AND(INDEX(職員マスタ!$H$6:$H$405,$AP1175)&lt;&gt;"",INDEX(職員マスタ!$H$6:$H$405,$AP1175)&lt;$AQ1175))),"対象月が時短期間外／","")&amp;IF(AND(INDEX(職員マスタ!$K$6:$K$405,$AP1175)&lt;&gt;"",N($W1175)&gt;0,INDEX(職員マスタ!$K$6:$K$405,$AP1175)&lt;&gt;$W1175),"標準報酬月額が申請書と相違（台帳"&amp;TEXT(INDEX(職員マスタ!$K$6:$K$405,$AP1175),"#,##0")&amp;"円／申請書"&amp;TEXT($W1175,"#,##0")&amp;"円）／","")&amp;IF(AND(INDEX(職員マスタ!$F$6:$F$405,$AP1175)&lt;&gt;"",$AQ1175&lt;&gt;"",INDEX(職員マスタ!$F$6:$F$405,$AP1175)&lt;$AQ1175),"対象月に子が2歳到達済／","")&amp;IF(AND($H1175&lt;&gt;"",INDEX(職員マスタ!$B$6:$B$405,$AP1175)&lt;&gt;"",SUBSTITUTE(SUBSTITUTE($H1175," ","")," ","")&lt;&gt;SUBSTITUTE(SUBSTITUTE(INDEX(職員マスタ!$B$6:$B$405,$AP1175)," ","")," ","")),"氏名がマスタと相違／","")&amp;IF(AND($Q1175&lt;&gt;"",INDEX(職員マスタ!$E$6:$E$405,$AP1175)&lt;&gt;"",$Q1175&lt;&gt;INDEX(職員マスタ!$E$6:$E$405,$AP1175)),"子の生年月日がマスタと相違／","")&amp;IF(AND($L1175&lt;&gt;"",INDEX(職員マスタ!$G$6:$G$405,$AP1175)&lt;&gt;"",$L1175&lt;&gt;INDEX(職員マスタ!$G$6:$G$405,$AP1175)),"時短開始日がマスタと相違／","")&amp;IF(AND($M1175&lt;&gt;"",INDEX(職員マスタ!$H$6:$H$405,$AP1175)&lt;&gt;"",$M1175&lt;&gt;INDEX(職員マスタ!$H$6:$H$405,$AP1175)),"時短終了日がマスタと相違／","")))&amp;IF(AND($B1175&lt;&gt;"",$E1175=""),"報酬額が未入力／","")&amp;IF(N($U1175)&gt;0,"申請書に入力エラーが残っています／","")&amp;IF(AND($B1175&lt;&gt;"",$AQ1175&lt;&gt;""),IF(COUNTIFS($B$6:$B$3005,$B1175,$C$6:$C$3005,$C1175,$D$6:$D$3005,$D1175)&gt;1,"同じ月の請求が重複しています／",""),"")&amp;IF(AND(N($E1175)&gt;0,$AB1175&lt;&gt;"",$AB1175&lt;&gt;"×",$AE1175=0,$AD1175=""),"計算額が下限以下のため不支給／",""))</f>
        <v/>
      </c>
      <c r="AN1175" s="12" t="n"/>
      <c r="AO1175" s="14">
        <f>IF($AF1175="保留中",COUNTIF($AF$6:$AF1175,"保留中"),"")</f>
        <v/>
      </c>
      <c r="AP1175" s="14">
        <f>IF($AQ1175="","",IF(SUMPRODUCT(MAX((職員マスタ!$A$6:$A$405=$B1175)*(((職員マスタ!$G$6:$G$405="")+(職員マスタ!$G$6:$G$405&lt;=EOMONTH($AQ1175,0)))&gt;0)*(((職員マスタ!$H$6:$H$405="")+(職員マスタ!$H$6:$H$405&gt;=$AQ1175))&gt;0)*(ROW(職員マスタ!$A$6:$A$405)-5)))&gt;0,SUMPRODUCT(MAX((職員マスタ!$A$6:$A$405=$B1175)*(((職員マスタ!$G$6:$G$405="")+(職員マスタ!$G$6:$G$405&lt;=EOMONTH($AQ1175,0)))&gt;0)*(((職員マスタ!$H$6:$H$405="")+(職員マスタ!$H$6:$H$405&gt;=$AQ1175))&gt;0)*(ROW(職員マスタ!$A$6:$A$405)-5))),IFERROR(MATCH($B1175,職員マスタ!$A$6:$A$405,0),"")))</f>
        <v/>
      </c>
      <c r="AQ1175" s="16">
        <f>IF(OR($B1175="",$C1175="",$D1175=""),"",DATE($C1175+2018,$D1175,1))</f>
        <v/>
      </c>
    </row>
    <row r="1176">
      <c r="A1176" s="11" t="n"/>
      <c r="B1176" s="12" t="n"/>
      <c r="C1176" s="12" t="n"/>
      <c r="D1176" s="12" t="n"/>
      <c r="E1176" s="13" t="n"/>
      <c r="F1176" s="12" t="n"/>
      <c r="G1176" s="13" t="n"/>
      <c r="H1176" s="12" t="n"/>
      <c r="I1176" s="12" t="n"/>
      <c r="J1176" s="12" t="n"/>
      <c r="K1176" s="12" t="n"/>
      <c r="L1176" s="11" t="n"/>
      <c r="M1176" s="11" t="n"/>
      <c r="N1176" s="11" t="n"/>
      <c r="O1176" s="11" t="n"/>
      <c r="P1176" s="12" t="n"/>
      <c r="Q1176" s="11" t="n"/>
      <c r="R1176" s="12" t="n"/>
      <c r="S1176" s="11" t="n"/>
      <c r="T1176" s="12" t="n"/>
      <c r="U1176" s="12" t="n"/>
      <c r="V1176" s="12" t="n"/>
      <c r="W1176" s="13" t="n"/>
      <c r="X1176" s="14">
        <f>IF($AP1176="",IF($B1176="","",$H1176),IF(INDEX(職員マスタ!$B$6:$B$405,$AP1176)="",$H1176,INDEX(職員マスタ!$B$6:$B$405,$AP1176)))</f>
        <v/>
      </c>
      <c r="Y1176" s="14">
        <f>IF($AP1176="",IF($B1176="","",$R1176),IF(INDEX(職員マスタ!$C$6:$C$405,$AP1176)="",$R1176,INDEX(職員マスタ!$C$6:$C$405,$AP1176)))</f>
        <v/>
      </c>
      <c r="Z1176" s="14">
        <f>IF($AQ1176="","","R"&amp;$C1176&amp;"."&amp;$D1176)</f>
        <v/>
      </c>
      <c r="AA1176" s="15">
        <f>IF(IF($AP1176="",FALSE,INDEX(職員マスタ!$K$6:$K$405,$AP1176)&lt;&gt;""),INDEX(職員マスタ!$K$6:$K$405,$AP1176),IF(N($W1176)&gt;0,$W1176,""))</f>
        <v/>
      </c>
      <c r="AB1176" s="14">
        <f>IF(OR($E1176="",$AA1176=""),"",IF($E1176&gt;=$AA1176,"×",IF($E1176&gt;=$AA1176*設定!$C$5,"△","○")))</f>
        <v/>
      </c>
      <c r="AC1176" s="15">
        <f>IF($AB1176="","",IF($AB1176="×",0,IF($AB1176="○",ROUNDDOWN($E1176*設定!$C$4,0),ROUNDDOWN($E1176*ROUND((9*$AA1176-9*$E1176)/(10*$E1176),4),0))))</f>
        <v/>
      </c>
      <c r="AD1176" s="13" t="n"/>
      <c r="AE1176" s="15">
        <f>IF($B1176="","",IF($AD1176&lt;&gt;"",$AD1176,IF($AC1176="","",IF($AC1176&lt;=設定!$C$3,0,$AC1176))))</f>
        <v/>
      </c>
      <c r="AF1176" s="14">
        <f>IF($B1176="","",IF(AND($AG1176&lt;&gt;"",$AI1176="",$AL1176=""),"保留中",IF($AL1176&lt;&gt;"",IF(N($AE1176)&gt;0,"支給済","不支給"),IF($AE1176="","要確認",IF($AE1176=0,"不支給","未処理")))))</f>
        <v/>
      </c>
      <c r="AG1176" s="12" t="n"/>
      <c r="AH1176" s="11" t="n"/>
      <c r="AI1176" s="11" t="n"/>
      <c r="AJ1176" s="11" t="n"/>
      <c r="AK1176" s="14">
        <f>IF(AND($AF1176="保留中",$AH1176&lt;&gt;""),TODAY()-$AH1176,"")</f>
        <v/>
      </c>
      <c r="AL1176" s="12" t="n"/>
      <c r="AM1176" s="14">
        <f>IF($B1176="","",IF($AQ1176="","対象年月が未入力／","")&amp;IF($B1176="","",IF($AP1176="","職員マスタに未登録の職員番号／",IF($AA1176="","標準報酬月額が未登録／","")&amp;IF(AND($AQ1176&lt;&gt;"",OR(AND(INDEX(職員マスタ!$G$6:$G$405,$AP1176)&lt;&gt;"",INDEX(職員マスタ!$G$6:$G$405,$AP1176)&gt;EOMONTH($AQ1176,0)),AND(INDEX(職員マスタ!$H$6:$H$405,$AP1176)&lt;&gt;"",INDEX(職員マスタ!$H$6:$H$405,$AP1176)&lt;$AQ1176))),"対象月が時短期間外／","")&amp;IF(AND(INDEX(職員マスタ!$K$6:$K$405,$AP1176)&lt;&gt;"",N($W1176)&gt;0,INDEX(職員マスタ!$K$6:$K$405,$AP1176)&lt;&gt;$W1176),"標準報酬月額が申請書と相違（台帳"&amp;TEXT(INDEX(職員マスタ!$K$6:$K$405,$AP1176),"#,##0")&amp;"円／申請書"&amp;TEXT($W1176,"#,##0")&amp;"円）／","")&amp;IF(AND(INDEX(職員マスタ!$F$6:$F$405,$AP1176)&lt;&gt;"",$AQ1176&lt;&gt;"",INDEX(職員マスタ!$F$6:$F$405,$AP1176)&lt;$AQ1176),"対象月に子が2歳到達済／","")&amp;IF(AND($H1176&lt;&gt;"",INDEX(職員マスタ!$B$6:$B$405,$AP1176)&lt;&gt;"",SUBSTITUTE(SUBSTITUTE($H1176," ","")," ","")&lt;&gt;SUBSTITUTE(SUBSTITUTE(INDEX(職員マスタ!$B$6:$B$405,$AP1176)," ","")," ","")),"氏名がマスタと相違／","")&amp;IF(AND($Q1176&lt;&gt;"",INDEX(職員マスタ!$E$6:$E$405,$AP1176)&lt;&gt;"",$Q1176&lt;&gt;INDEX(職員マスタ!$E$6:$E$405,$AP1176)),"子の生年月日がマスタと相違／","")&amp;IF(AND($L1176&lt;&gt;"",INDEX(職員マスタ!$G$6:$G$405,$AP1176)&lt;&gt;"",$L1176&lt;&gt;INDEX(職員マスタ!$G$6:$G$405,$AP1176)),"時短開始日がマスタと相違／","")&amp;IF(AND($M1176&lt;&gt;"",INDEX(職員マスタ!$H$6:$H$405,$AP1176)&lt;&gt;"",$M1176&lt;&gt;INDEX(職員マスタ!$H$6:$H$405,$AP1176)),"時短終了日がマスタと相違／","")))&amp;IF(AND($B1176&lt;&gt;"",$E1176=""),"報酬額が未入力／","")&amp;IF(N($U1176)&gt;0,"申請書に入力エラーが残っています／","")&amp;IF(AND($B1176&lt;&gt;"",$AQ1176&lt;&gt;""),IF(COUNTIFS($B$6:$B$3005,$B1176,$C$6:$C$3005,$C1176,$D$6:$D$3005,$D1176)&gt;1,"同じ月の請求が重複しています／",""),"")&amp;IF(AND(N($E1176)&gt;0,$AB1176&lt;&gt;"",$AB1176&lt;&gt;"×",$AE1176=0,$AD1176=""),"計算額が下限以下のため不支給／",""))</f>
        <v/>
      </c>
      <c r="AN1176" s="12" t="n"/>
      <c r="AO1176" s="14">
        <f>IF($AF1176="保留中",COUNTIF($AF$6:$AF1176,"保留中"),"")</f>
        <v/>
      </c>
      <c r="AP1176" s="14">
        <f>IF($AQ1176="","",IF(SUMPRODUCT(MAX((職員マスタ!$A$6:$A$405=$B1176)*(((職員マスタ!$G$6:$G$405="")+(職員マスタ!$G$6:$G$405&lt;=EOMONTH($AQ1176,0)))&gt;0)*(((職員マスタ!$H$6:$H$405="")+(職員マスタ!$H$6:$H$405&gt;=$AQ1176))&gt;0)*(ROW(職員マスタ!$A$6:$A$405)-5)))&gt;0,SUMPRODUCT(MAX((職員マスタ!$A$6:$A$405=$B1176)*(((職員マスタ!$G$6:$G$405="")+(職員マスタ!$G$6:$G$405&lt;=EOMONTH($AQ1176,0)))&gt;0)*(((職員マスタ!$H$6:$H$405="")+(職員マスタ!$H$6:$H$405&gt;=$AQ1176))&gt;0)*(ROW(職員マスタ!$A$6:$A$405)-5))),IFERROR(MATCH($B1176,職員マスタ!$A$6:$A$405,0),"")))</f>
        <v/>
      </c>
      <c r="AQ1176" s="16">
        <f>IF(OR($B1176="",$C1176="",$D1176=""),"",DATE($C1176+2018,$D1176,1))</f>
        <v/>
      </c>
    </row>
    <row r="1177">
      <c r="A1177" s="11" t="n"/>
      <c r="B1177" s="12" t="n"/>
      <c r="C1177" s="12" t="n"/>
      <c r="D1177" s="12" t="n"/>
      <c r="E1177" s="13" t="n"/>
      <c r="F1177" s="12" t="n"/>
      <c r="G1177" s="13" t="n"/>
      <c r="H1177" s="12" t="n"/>
      <c r="I1177" s="12" t="n"/>
      <c r="J1177" s="12" t="n"/>
      <c r="K1177" s="12" t="n"/>
      <c r="L1177" s="11" t="n"/>
      <c r="M1177" s="11" t="n"/>
      <c r="N1177" s="11" t="n"/>
      <c r="O1177" s="11" t="n"/>
      <c r="P1177" s="12" t="n"/>
      <c r="Q1177" s="11" t="n"/>
      <c r="R1177" s="12" t="n"/>
      <c r="S1177" s="11" t="n"/>
      <c r="T1177" s="12" t="n"/>
      <c r="U1177" s="12" t="n"/>
      <c r="V1177" s="12" t="n"/>
      <c r="W1177" s="13" t="n"/>
      <c r="X1177" s="14">
        <f>IF($AP1177="",IF($B1177="","",$H1177),IF(INDEX(職員マスタ!$B$6:$B$405,$AP1177)="",$H1177,INDEX(職員マスタ!$B$6:$B$405,$AP1177)))</f>
        <v/>
      </c>
      <c r="Y1177" s="14">
        <f>IF($AP1177="",IF($B1177="","",$R1177),IF(INDEX(職員マスタ!$C$6:$C$405,$AP1177)="",$R1177,INDEX(職員マスタ!$C$6:$C$405,$AP1177)))</f>
        <v/>
      </c>
      <c r="Z1177" s="14">
        <f>IF($AQ1177="","","R"&amp;$C1177&amp;"."&amp;$D1177)</f>
        <v/>
      </c>
      <c r="AA1177" s="15">
        <f>IF(IF($AP1177="",FALSE,INDEX(職員マスタ!$K$6:$K$405,$AP1177)&lt;&gt;""),INDEX(職員マスタ!$K$6:$K$405,$AP1177),IF(N($W1177)&gt;0,$W1177,""))</f>
        <v/>
      </c>
      <c r="AB1177" s="14">
        <f>IF(OR($E1177="",$AA1177=""),"",IF($E1177&gt;=$AA1177,"×",IF($E1177&gt;=$AA1177*設定!$C$5,"△","○")))</f>
        <v/>
      </c>
      <c r="AC1177" s="15">
        <f>IF($AB1177="","",IF($AB1177="×",0,IF($AB1177="○",ROUNDDOWN($E1177*設定!$C$4,0),ROUNDDOWN($E1177*ROUND((9*$AA1177-9*$E1177)/(10*$E1177),4),0))))</f>
        <v/>
      </c>
      <c r="AD1177" s="13" t="n"/>
      <c r="AE1177" s="15">
        <f>IF($B1177="","",IF($AD1177&lt;&gt;"",$AD1177,IF($AC1177="","",IF($AC1177&lt;=設定!$C$3,0,$AC1177))))</f>
        <v/>
      </c>
      <c r="AF1177" s="14">
        <f>IF($B1177="","",IF(AND($AG1177&lt;&gt;"",$AI1177="",$AL1177=""),"保留中",IF($AL1177&lt;&gt;"",IF(N($AE1177)&gt;0,"支給済","不支給"),IF($AE1177="","要確認",IF($AE1177=0,"不支給","未処理")))))</f>
        <v/>
      </c>
      <c r="AG1177" s="12" t="n"/>
      <c r="AH1177" s="11" t="n"/>
      <c r="AI1177" s="11" t="n"/>
      <c r="AJ1177" s="11" t="n"/>
      <c r="AK1177" s="14">
        <f>IF(AND($AF1177="保留中",$AH1177&lt;&gt;""),TODAY()-$AH1177,"")</f>
        <v/>
      </c>
      <c r="AL1177" s="12" t="n"/>
      <c r="AM1177" s="14">
        <f>IF($B1177="","",IF($AQ1177="","対象年月が未入力／","")&amp;IF($B1177="","",IF($AP1177="","職員マスタに未登録の職員番号／",IF($AA1177="","標準報酬月額が未登録／","")&amp;IF(AND($AQ1177&lt;&gt;"",OR(AND(INDEX(職員マスタ!$G$6:$G$405,$AP1177)&lt;&gt;"",INDEX(職員マスタ!$G$6:$G$405,$AP1177)&gt;EOMONTH($AQ1177,0)),AND(INDEX(職員マスタ!$H$6:$H$405,$AP1177)&lt;&gt;"",INDEX(職員マスタ!$H$6:$H$405,$AP1177)&lt;$AQ1177))),"対象月が時短期間外／","")&amp;IF(AND(INDEX(職員マスタ!$K$6:$K$405,$AP1177)&lt;&gt;"",N($W1177)&gt;0,INDEX(職員マスタ!$K$6:$K$405,$AP1177)&lt;&gt;$W1177),"標準報酬月額が申請書と相違（台帳"&amp;TEXT(INDEX(職員マスタ!$K$6:$K$405,$AP1177),"#,##0")&amp;"円／申請書"&amp;TEXT($W1177,"#,##0")&amp;"円）／","")&amp;IF(AND(INDEX(職員マスタ!$F$6:$F$405,$AP1177)&lt;&gt;"",$AQ1177&lt;&gt;"",INDEX(職員マスタ!$F$6:$F$405,$AP1177)&lt;$AQ1177),"対象月に子が2歳到達済／","")&amp;IF(AND($H1177&lt;&gt;"",INDEX(職員マスタ!$B$6:$B$405,$AP1177)&lt;&gt;"",SUBSTITUTE(SUBSTITUTE($H1177," ","")," ","")&lt;&gt;SUBSTITUTE(SUBSTITUTE(INDEX(職員マスタ!$B$6:$B$405,$AP1177)," ","")," ","")),"氏名がマスタと相違／","")&amp;IF(AND($Q1177&lt;&gt;"",INDEX(職員マスタ!$E$6:$E$405,$AP1177)&lt;&gt;"",$Q1177&lt;&gt;INDEX(職員マスタ!$E$6:$E$405,$AP1177)),"子の生年月日がマスタと相違／","")&amp;IF(AND($L1177&lt;&gt;"",INDEX(職員マスタ!$G$6:$G$405,$AP1177)&lt;&gt;"",$L1177&lt;&gt;INDEX(職員マスタ!$G$6:$G$405,$AP1177)),"時短開始日がマスタと相違／","")&amp;IF(AND($M1177&lt;&gt;"",INDEX(職員マスタ!$H$6:$H$405,$AP1177)&lt;&gt;"",$M1177&lt;&gt;INDEX(職員マスタ!$H$6:$H$405,$AP1177)),"時短終了日がマスタと相違／","")))&amp;IF(AND($B1177&lt;&gt;"",$E1177=""),"報酬額が未入力／","")&amp;IF(N($U1177)&gt;0,"申請書に入力エラーが残っています／","")&amp;IF(AND($B1177&lt;&gt;"",$AQ1177&lt;&gt;""),IF(COUNTIFS($B$6:$B$3005,$B1177,$C$6:$C$3005,$C1177,$D$6:$D$3005,$D1177)&gt;1,"同じ月の請求が重複しています／",""),"")&amp;IF(AND(N($E1177)&gt;0,$AB1177&lt;&gt;"",$AB1177&lt;&gt;"×",$AE1177=0,$AD1177=""),"計算額が下限以下のため不支給／",""))</f>
        <v/>
      </c>
      <c r="AN1177" s="12" t="n"/>
      <c r="AO1177" s="14">
        <f>IF($AF1177="保留中",COUNTIF($AF$6:$AF1177,"保留中"),"")</f>
        <v/>
      </c>
      <c r="AP1177" s="14">
        <f>IF($AQ1177="","",IF(SUMPRODUCT(MAX((職員マスタ!$A$6:$A$405=$B1177)*(((職員マスタ!$G$6:$G$405="")+(職員マスタ!$G$6:$G$405&lt;=EOMONTH($AQ1177,0)))&gt;0)*(((職員マスタ!$H$6:$H$405="")+(職員マスタ!$H$6:$H$405&gt;=$AQ1177))&gt;0)*(ROW(職員マスタ!$A$6:$A$405)-5)))&gt;0,SUMPRODUCT(MAX((職員マスタ!$A$6:$A$405=$B1177)*(((職員マスタ!$G$6:$G$405="")+(職員マスタ!$G$6:$G$405&lt;=EOMONTH($AQ1177,0)))&gt;0)*(((職員マスタ!$H$6:$H$405="")+(職員マスタ!$H$6:$H$405&gt;=$AQ1177))&gt;0)*(ROW(職員マスタ!$A$6:$A$405)-5))),IFERROR(MATCH($B1177,職員マスタ!$A$6:$A$405,0),"")))</f>
        <v/>
      </c>
      <c r="AQ1177" s="16">
        <f>IF(OR($B1177="",$C1177="",$D1177=""),"",DATE($C1177+2018,$D1177,1))</f>
        <v/>
      </c>
    </row>
    <row r="1178">
      <c r="A1178" s="11" t="n"/>
      <c r="B1178" s="12" t="n"/>
      <c r="C1178" s="12" t="n"/>
      <c r="D1178" s="12" t="n"/>
      <c r="E1178" s="13" t="n"/>
      <c r="F1178" s="12" t="n"/>
      <c r="G1178" s="13" t="n"/>
      <c r="H1178" s="12" t="n"/>
      <c r="I1178" s="12" t="n"/>
      <c r="J1178" s="12" t="n"/>
      <c r="K1178" s="12" t="n"/>
      <c r="L1178" s="11" t="n"/>
      <c r="M1178" s="11" t="n"/>
      <c r="N1178" s="11" t="n"/>
      <c r="O1178" s="11" t="n"/>
      <c r="P1178" s="12" t="n"/>
      <c r="Q1178" s="11" t="n"/>
      <c r="R1178" s="12" t="n"/>
      <c r="S1178" s="11" t="n"/>
      <c r="T1178" s="12" t="n"/>
      <c r="U1178" s="12" t="n"/>
      <c r="V1178" s="12" t="n"/>
      <c r="W1178" s="13" t="n"/>
      <c r="X1178" s="14">
        <f>IF($AP1178="",IF($B1178="","",$H1178),IF(INDEX(職員マスタ!$B$6:$B$405,$AP1178)="",$H1178,INDEX(職員マスタ!$B$6:$B$405,$AP1178)))</f>
        <v/>
      </c>
      <c r="Y1178" s="14">
        <f>IF($AP1178="",IF($B1178="","",$R1178),IF(INDEX(職員マスタ!$C$6:$C$405,$AP1178)="",$R1178,INDEX(職員マスタ!$C$6:$C$405,$AP1178)))</f>
        <v/>
      </c>
      <c r="Z1178" s="14">
        <f>IF($AQ1178="","","R"&amp;$C1178&amp;"."&amp;$D1178)</f>
        <v/>
      </c>
      <c r="AA1178" s="15">
        <f>IF(IF($AP1178="",FALSE,INDEX(職員マスタ!$K$6:$K$405,$AP1178)&lt;&gt;""),INDEX(職員マスタ!$K$6:$K$405,$AP1178),IF(N($W1178)&gt;0,$W1178,""))</f>
        <v/>
      </c>
      <c r="AB1178" s="14">
        <f>IF(OR($E1178="",$AA1178=""),"",IF($E1178&gt;=$AA1178,"×",IF($E1178&gt;=$AA1178*設定!$C$5,"△","○")))</f>
        <v/>
      </c>
      <c r="AC1178" s="15">
        <f>IF($AB1178="","",IF($AB1178="×",0,IF($AB1178="○",ROUNDDOWN($E1178*設定!$C$4,0),ROUNDDOWN($E1178*ROUND((9*$AA1178-9*$E1178)/(10*$E1178),4),0))))</f>
        <v/>
      </c>
      <c r="AD1178" s="13" t="n"/>
      <c r="AE1178" s="15">
        <f>IF($B1178="","",IF($AD1178&lt;&gt;"",$AD1178,IF($AC1178="","",IF($AC1178&lt;=設定!$C$3,0,$AC1178))))</f>
        <v/>
      </c>
      <c r="AF1178" s="14">
        <f>IF($B1178="","",IF(AND($AG1178&lt;&gt;"",$AI1178="",$AL1178=""),"保留中",IF($AL1178&lt;&gt;"",IF(N($AE1178)&gt;0,"支給済","不支給"),IF($AE1178="","要確認",IF($AE1178=0,"不支給","未処理")))))</f>
        <v/>
      </c>
      <c r="AG1178" s="12" t="n"/>
      <c r="AH1178" s="11" t="n"/>
      <c r="AI1178" s="11" t="n"/>
      <c r="AJ1178" s="11" t="n"/>
      <c r="AK1178" s="14">
        <f>IF(AND($AF1178="保留中",$AH1178&lt;&gt;""),TODAY()-$AH1178,"")</f>
        <v/>
      </c>
      <c r="AL1178" s="12" t="n"/>
      <c r="AM1178" s="14">
        <f>IF($B1178="","",IF($AQ1178="","対象年月が未入力／","")&amp;IF($B1178="","",IF($AP1178="","職員マスタに未登録の職員番号／",IF($AA1178="","標準報酬月額が未登録／","")&amp;IF(AND($AQ1178&lt;&gt;"",OR(AND(INDEX(職員マスタ!$G$6:$G$405,$AP1178)&lt;&gt;"",INDEX(職員マスタ!$G$6:$G$405,$AP1178)&gt;EOMONTH($AQ1178,0)),AND(INDEX(職員マスタ!$H$6:$H$405,$AP1178)&lt;&gt;"",INDEX(職員マスタ!$H$6:$H$405,$AP1178)&lt;$AQ1178))),"対象月が時短期間外／","")&amp;IF(AND(INDEX(職員マスタ!$K$6:$K$405,$AP1178)&lt;&gt;"",N($W1178)&gt;0,INDEX(職員マスタ!$K$6:$K$405,$AP1178)&lt;&gt;$W1178),"標準報酬月額が申請書と相違（台帳"&amp;TEXT(INDEX(職員マスタ!$K$6:$K$405,$AP1178),"#,##0")&amp;"円／申請書"&amp;TEXT($W1178,"#,##0")&amp;"円）／","")&amp;IF(AND(INDEX(職員マスタ!$F$6:$F$405,$AP1178)&lt;&gt;"",$AQ1178&lt;&gt;"",INDEX(職員マスタ!$F$6:$F$405,$AP1178)&lt;$AQ1178),"対象月に子が2歳到達済／","")&amp;IF(AND($H1178&lt;&gt;"",INDEX(職員マスタ!$B$6:$B$405,$AP1178)&lt;&gt;"",SUBSTITUTE(SUBSTITUTE($H1178," ","")," ","")&lt;&gt;SUBSTITUTE(SUBSTITUTE(INDEX(職員マスタ!$B$6:$B$405,$AP1178)," ","")," ","")),"氏名がマスタと相違／","")&amp;IF(AND($Q1178&lt;&gt;"",INDEX(職員マスタ!$E$6:$E$405,$AP1178)&lt;&gt;"",$Q1178&lt;&gt;INDEX(職員マスタ!$E$6:$E$405,$AP1178)),"子の生年月日がマスタと相違／","")&amp;IF(AND($L1178&lt;&gt;"",INDEX(職員マスタ!$G$6:$G$405,$AP1178)&lt;&gt;"",$L1178&lt;&gt;INDEX(職員マスタ!$G$6:$G$405,$AP1178)),"時短開始日がマスタと相違／","")&amp;IF(AND($M1178&lt;&gt;"",INDEX(職員マスタ!$H$6:$H$405,$AP1178)&lt;&gt;"",$M1178&lt;&gt;INDEX(職員マスタ!$H$6:$H$405,$AP1178)),"時短終了日がマスタと相違／","")))&amp;IF(AND($B1178&lt;&gt;"",$E1178=""),"報酬額が未入力／","")&amp;IF(N($U1178)&gt;0,"申請書に入力エラーが残っています／","")&amp;IF(AND($B1178&lt;&gt;"",$AQ1178&lt;&gt;""),IF(COUNTIFS($B$6:$B$3005,$B1178,$C$6:$C$3005,$C1178,$D$6:$D$3005,$D1178)&gt;1,"同じ月の請求が重複しています／",""),"")&amp;IF(AND(N($E1178)&gt;0,$AB1178&lt;&gt;"",$AB1178&lt;&gt;"×",$AE1178=0,$AD1178=""),"計算額が下限以下のため不支給／",""))</f>
        <v/>
      </c>
      <c r="AN1178" s="12" t="n"/>
      <c r="AO1178" s="14">
        <f>IF($AF1178="保留中",COUNTIF($AF$6:$AF1178,"保留中"),"")</f>
        <v/>
      </c>
      <c r="AP1178" s="14">
        <f>IF($AQ1178="","",IF(SUMPRODUCT(MAX((職員マスタ!$A$6:$A$405=$B1178)*(((職員マスタ!$G$6:$G$405="")+(職員マスタ!$G$6:$G$405&lt;=EOMONTH($AQ1178,0)))&gt;0)*(((職員マスタ!$H$6:$H$405="")+(職員マスタ!$H$6:$H$405&gt;=$AQ1178))&gt;0)*(ROW(職員マスタ!$A$6:$A$405)-5)))&gt;0,SUMPRODUCT(MAX((職員マスタ!$A$6:$A$405=$B1178)*(((職員マスタ!$G$6:$G$405="")+(職員マスタ!$G$6:$G$405&lt;=EOMONTH($AQ1178,0)))&gt;0)*(((職員マスタ!$H$6:$H$405="")+(職員マスタ!$H$6:$H$405&gt;=$AQ1178))&gt;0)*(ROW(職員マスタ!$A$6:$A$405)-5))),IFERROR(MATCH($B1178,職員マスタ!$A$6:$A$405,0),"")))</f>
        <v/>
      </c>
      <c r="AQ1178" s="16">
        <f>IF(OR($B1178="",$C1178="",$D1178=""),"",DATE($C1178+2018,$D1178,1))</f>
        <v/>
      </c>
    </row>
    <row r="1179">
      <c r="A1179" s="11" t="n"/>
      <c r="B1179" s="12" t="n"/>
      <c r="C1179" s="12" t="n"/>
      <c r="D1179" s="12" t="n"/>
      <c r="E1179" s="13" t="n"/>
      <c r="F1179" s="12" t="n"/>
      <c r="G1179" s="13" t="n"/>
      <c r="H1179" s="12" t="n"/>
      <c r="I1179" s="12" t="n"/>
      <c r="J1179" s="12" t="n"/>
      <c r="K1179" s="12" t="n"/>
      <c r="L1179" s="11" t="n"/>
      <c r="M1179" s="11" t="n"/>
      <c r="N1179" s="11" t="n"/>
      <c r="O1179" s="11" t="n"/>
      <c r="P1179" s="12" t="n"/>
      <c r="Q1179" s="11" t="n"/>
      <c r="R1179" s="12" t="n"/>
      <c r="S1179" s="11" t="n"/>
      <c r="T1179" s="12" t="n"/>
      <c r="U1179" s="12" t="n"/>
      <c r="V1179" s="12" t="n"/>
      <c r="W1179" s="13" t="n"/>
      <c r="X1179" s="14">
        <f>IF($AP1179="",IF($B1179="","",$H1179),IF(INDEX(職員マスタ!$B$6:$B$405,$AP1179)="",$H1179,INDEX(職員マスタ!$B$6:$B$405,$AP1179)))</f>
        <v/>
      </c>
      <c r="Y1179" s="14">
        <f>IF($AP1179="",IF($B1179="","",$R1179),IF(INDEX(職員マスタ!$C$6:$C$405,$AP1179)="",$R1179,INDEX(職員マスタ!$C$6:$C$405,$AP1179)))</f>
        <v/>
      </c>
      <c r="Z1179" s="14">
        <f>IF($AQ1179="","","R"&amp;$C1179&amp;"."&amp;$D1179)</f>
        <v/>
      </c>
      <c r="AA1179" s="15">
        <f>IF(IF($AP1179="",FALSE,INDEX(職員マスタ!$K$6:$K$405,$AP1179)&lt;&gt;""),INDEX(職員マスタ!$K$6:$K$405,$AP1179),IF(N($W1179)&gt;0,$W1179,""))</f>
        <v/>
      </c>
      <c r="AB1179" s="14">
        <f>IF(OR($E1179="",$AA1179=""),"",IF($E1179&gt;=$AA1179,"×",IF($E1179&gt;=$AA1179*設定!$C$5,"△","○")))</f>
        <v/>
      </c>
      <c r="AC1179" s="15">
        <f>IF($AB1179="","",IF($AB1179="×",0,IF($AB1179="○",ROUNDDOWN($E1179*設定!$C$4,0),ROUNDDOWN($E1179*ROUND((9*$AA1179-9*$E1179)/(10*$E1179),4),0))))</f>
        <v/>
      </c>
      <c r="AD1179" s="13" t="n"/>
      <c r="AE1179" s="15">
        <f>IF($B1179="","",IF($AD1179&lt;&gt;"",$AD1179,IF($AC1179="","",IF($AC1179&lt;=設定!$C$3,0,$AC1179))))</f>
        <v/>
      </c>
      <c r="AF1179" s="14">
        <f>IF($B1179="","",IF(AND($AG1179&lt;&gt;"",$AI1179="",$AL1179=""),"保留中",IF($AL1179&lt;&gt;"",IF(N($AE1179)&gt;0,"支給済","不支給"),IF($AE1179="","要確認",IF($AE1179=0,"不支給","未処理")))))</f>
        <v/>
      </c>
      <c r="AG1179" s="12" t="n"/>
      <c r="AH1179" s="11" t="n"/>
      <c r="AI1179" s="11" t="n"/>
      <c r="AJ1179" s="11" t="n"/>
      <c r="AK1179" s="14">
        <f>IF(AND($AF1179="保留中",$AH1179&lt;&gt;""),TODAY()-$AH1179,"")</f>
        <v/>
      </c>
      <c r="AL1179" s="12" t="n"/>
      <c r="AM1179" s="14">
        <f>IF($B1179="","",IF($AQ1179="","対象年月が未入力／","")&amp;IF($B1179="","",IF($AP1179="","職員マスタに未登録の職員番号／",IF($AA1179="","標準報酬月額が未登録／","")&amp;IF(AND($AQ1179&lt;&gt;"",OR(AND(INDEX(職員マスタ!$G$6:$G$405,$AP1179)&lt;&gt;"",INDEX(職員マスタ!$G$6:$G$405,$AP1179)&gt;EOMONTH($AQ1179,0)),AND(INDEX(職員マスタ!$H$6:$H$405,$AP1179)&lt;&gt;"",INDEX(職員マスタ!$H$6:$H$405,$AP1179)&lt;$AQ1179))),"対象月が時短期間外／","")&amp;IF(AND(INDEX(職員マスタ!$K$6:$K$405,$AP1179)&lt;&gt;"",N($W1179)&gt;0,INDEX(職員マスタ!$K$6:$K$405,$AP1179)&lt;&gt;$W1179),"標準報酬月額が申請書と相違（台帳"&amp;TEXT(INDEX(職員マスタ!$K$6:$K$405,$AP1179),"#,##0")&amp;"円／申請書"&amp;TEXT($W1179,"#,##0")&amp;"円）／","")&amp;IF(AND(INDEX(職員マスタ!$F$6:$F$405,$AP1179)&lt;&gt;"",$AQ1179&lt;&gt;"",INDEX(職員マスタ!$F$6:$F$405,$AP1179)&lt;$AQ1179),"対象月に子が2歳到達済／","")&amp;IF(AND($H1179&lt;&gt;"",INDEX(職員マスタ!$B$6:$B$405,$AP1179)&lt;&gt;"",SUBSTITUTE(SUBSTITUTE($H1179," ","")," ","")&lt;&gt;SUBSTITUTE(SUBSTITUTE(INDEX(職員マスタ!$B$6:$B$405,$AP1179)," ","")," ","")),"氏名がマスタと相違／","")&amp;IF(AND($Q1179&lt;&gt;"",INDEX(職員マスタ!$E$6:$E$405,$AP1179)&lt;&gt;"",$Q1179&lt;&gt;INDEX(職員マスタ!$E$6:$E$405,$AP1179)),"子の生年月日がマスタと相違／","")&amp;IF(AND($L1179&lt;&gt;"",INDEX(職員マスタ!$G$6:$G$405,$AP1179)&lt;&gt;"",$L1179&lt;&gt;INDEX(職員マスタ!$G$6:$G$405,$AP1179)),"時短開始日がマスタと相違／","")&amp;IF(AND($M1179&lt;&gt;"",INDEX(職員マスタ!$H$6:$H$405,$AP1179)&lt;&gt;"",$M1179&lt;&gt;INDEX(職員マスタ!$H$6:$H$405,$AP1179)),"時短終了日がマスタと相違／","")))&amp;IF(AND($B1179&lt;&gt;"",$E1179=""),"報酬額が未入力／","")&amp;IF(N($U1179)&gt;0,"申請書に入力エラーが残っています／","")&amp;IF(AND($B1179&lt;&gt;"",$AQ1179&lt;&gt;""),IF(COUNTIFS($B$6:$B$3005,$B1179,$C$6:$C$3005,$C1179,$D$6:$D$3005,$D1179)&gt;1,"同じ月の請求が重複しています／",""),"")&amp;IF(AND(N($E1179)&gt;0,$AB1179&lt;&gt;"",$AB1179&lt;&gt;"×",$AE1179=0,$AD1179=""),"計算額が下限以下のため不支給／",""))</f>
        <v/>
      </c>
      <c r="AN1179" s="12" t="n"/>
      <c r="AO1179" s="14">
        <f>IF($AF1179="保留中",COUNTIF($AF$6:$AF1179,"保留中"),"")</f>
        <v/>
      </c>
      <c r="AP1179" s="14">
        <f>IF($AQ1179="","",IF(SUMPRODUCT(MAX((職員マスタ!$A$6:$A$405=$B1179)*(((職員マスタ!$G$6:$G$405="")+(職員マスタ!$G$6:$G$405&lt;=EOMONTH($AQ1179,0)))&gt;0)*(((職員マスタ!$H$6:$H$405="")+(職員マスタ!$H$6:$H$405&gt;=$AQ1179))&gt;0)*(ROW(職員マスタ!$A$6:$A$405)-5)))&gt;0,SUMPRODUCT(MAX((職員マスタ!$A$6:$A$405=$B1179)*(((職員マスタ!$G$6:$G$405="")+(職員マスタ!$G$6:$G$405&lt;=EOMONTH($AQ1179,0)))&gt;0)*(((職員マスタ!$H$6:$H$405="")+(職員マスタ!$H$6:$H$405&gt;=$AQ1179))&gt;0)*(ROW(職員マスタ!$A$6:$A$405)-5))),IFERROR(MATCH($B1179,職員マスタ!$A$6:$A$405,0),"")))</f>
        <v/>
      </c>
      <c r="AQ1179" s="16">
        <f>IF(OR($B1179="",$C1179="",$D1179=""),"",DATE($C1179+2018,$D1179,1))</f>
        <v/>
      </c>
    </row>
    <row r="1180">
      <c r="A1180" s="11" t="n"/>
      <c r="B1180" s="12" t="n"/>
      <c r="C1180" s="12" t="n"/>
      <c r="D1180" s="12" t="n"/>
      <c r="E1180" s="13" t="n"/>
      <c r="F1180" s="12" t="n"/>
      <c r="G1180" s="13" t="n"/>
      <c r="H1180" s="12" t="n"/>
      <c r="I1180" s="12" t="n"/>
      <c r="J1180" s="12" t="n"/>
      <c r="K1180" s="12" t="n"/>
      <c r="L1180" s="11" t="n"/>
      <c r="M1180" s="11" t="n"/>
      <c r="N1180" s="11" t="n"/>
      <c r="O1180" s="11" t="n"/>
      <c r="P1180" s="12" t="n"/>
      <c r="Q1180" s="11" t="n"/>
      <c r="R1180" s="12" t="n"/>
      <c r="S1180" s="11" t="n"/>
      <c r="T1180" s="12" t="n"/>
      <c r="U1180" s="12" t="n"/>
      <c r="V1180" s="12" t="n"/>
      <c r="W1180" s="13" t="n"/>
      <c r="X1180" s="14">
        <f>IF($AP1180="",IF($B1180="","",$H1180),IF(INDEX(職員マスタ!$B$6:$B$405,$AP1180)="",$H1180,INDEX(職員マスタ!$B$6:$B$405,$AP1180)))</f>
        <v/>
      </c>
      <c r="Y1180" s="14">
        <f>IF($AP1180="",IF($B1180="","",$R1180),IF(INDEX(職員マスタ!$C$6:$C$405,$AP1180)="",$R1180,INDEX(職員マスタ!$C$6:$C$405,$AP1180)))</f>
        <v/>
      </c>
      <c r="Z1180" s="14">
        <f>IF($AQ1180="","","R"&amp;$C1180&amp;"."&amp;$D1180)</f>
        <v/>
      </c>
      <c r="AA1180" s="15">
        <f>IF(IF($AP1180="",FALSE,INDEX(職員マスタ!$K$6:$K$405,$AP1180)&lt;&gt;""),INDEX(職員マスタ!$K$6:$K$405,$AP1180),IF(N($W1180)&gt;0,$W1180,""))</f>
        <v/>
      </c>
      <c r="AB1180" s="14">
        <f>IF(OR($E1180="",$AA1180=""),"",IF($E1180&gt;=$AA1180,"×",IF($E1180&gt;=$AA1180*設定!$C$5,"△","○")))</f>
        <v/>
      </c>
      <c r="AC1180" s="15">
        <f>IF($AB1180="","",IF($AB1180="×",0,IF($AB1180="○",ROUNDDOWN($E1180*設定!$C$4,0),ROUNDDOWN($E1180*ROUND((9*$AA1180-9*$E1180)/(10*$E1180),4),0))))</f>
        <v/>
      </c>
      <c r="AD1180" s="13" t="n"/>
      <c r="AE1180" s="15">
        <f>IF($B1180="","",IF($AD1180&lt;&gt;"",$AD1180,IF($AC1180="","",IF($AC1180&lt;=設定!$C$3,0,$AC1180))))</f>
        <v/>
      </c>
      <c r="AF1180" s="14">
        <f>IF($B1180="","",IF(AND($AG1180&lt;&gt;"",$AI1180="",$AL1180=""),"保留中",IF($AL1180&lt;&gt;"",IF(N($AE1180)&gt;0,"支給済","不支給"),IF($AE1180="","要確認",IF($AE1180=0,"不支給","未処理")))))</f>
        <v/>
      </c>
      <c r="AG1180" s="12" t="n"/>
      <c r="AH1180" s="11" t="n"/>
      <c r="AI1180" s="11" t="n"/>
      <c r="AJ1180" s="11" t="n"/>
      <c r="AK1180" s="14">
        <f>IF(AND($AF1180="保留中",$AH1180&lt;&gt;""),TODAY()-$AH1180,"")</f>
        <v/>
      </c>
      <c r="AL1180" s="12" t="n"/>
      <c r="AM1180" s="14">
        <f>IF($B1180="","",IF($AQ1180="","対象年月が未入力／","")&amp;IF($B1180="","",IF($AP1180="","職員マスタに未登録の職員番号／",IF($AA1180="","標準報酬月額が未登録／","")&amp;IF(AND($AQ1180&lt;&gt;"",OR(AND(INDEX(職員マスタ!$G$6:$G$405,$AP1180)&lt;&gt;"",INDEX(職員マスタ!$G$6:$G$405,$AP1180)&gt;EOMONTH($AQ1180,0)),AND(INDEX(職員マスタ!$H$6:$H$405,$AP1180)&lt;&gt;"",INDEX(職員マスタ!$H$6:$H$405,$AP1180)&lt;$AQ1180))),"対象月が時短期間外／","")&amp;IF(AND(INDEX(職員マスタ!$K$6:$K$405,$AP1180)&lt;&gt;"",N($W1180)&gt;0,INDEX(職員マスタ!$K$6:$K$405,$AP1180)&lt;&gt;$W1180),"標準報酬月額が申請書と相違（台帳"&amp;TEXT(INDEX(職員マスタ!$K$6:$K$405,$AP1180),"#,##0")&amp;"円／申請書"&amp;TEXT($W1180,"#,##0")&amp;"円）／","")&amp;IF(AND(INDEX(職員マスタ!$F$6:$F$405,$AP1180)&lt;&gt;"",$AQ1180&lt;&gt;"",INDEX(職員マスタ!$F$6:$F$405,$AP1180)&lt;$AQ1180),"対象月に子が2歳到達済／","")&amp;IF(AND($H1180&lt;&gt;"",INDEX(職員マスタ!$B$6:$B$405,$AP1180)&lt;&gt;"",SUBSTITUTE(SUBSTITUTE($H1180," ","")," ","")&lt;&gt;SUBSTITUTE(SUBSTITUTE(INDEX(職員マスタ!$B$6:$B$405,$AP1180)," ","")," ","")),"氏名がマスタと相違／","")&amp;IF(AND($Q1180&lt;&gt;"",INDEX(職員マスタ!$E$6:$E$405,$AP1180)&lt;&gt;"",$Q1180&lt;&gt;INDEX(職員マスタ!$E$6:$E$405,$AP1180)),"子の生年月日がマスタと相違／","")&amp;IF(AND($L1180&lt;&gt;"",INDEX(職員マスタ!$G$6:$G$405,$AP1180)&lt;&gt;"",$L1180&lt;&gt;INDEX(職員マスタ!$G$6:$G$405,$AP1180)),"時短開始日がマスタと相違／","")&amp;IF(AND($M1180&lt;&gt;"",INDEX(職員マスタ!$H$6:$H$405,$AP1180)&lt;&gt;"",$M1180&lt;&gt;INDEX(職員マスタ!$H$6:$H$405,$AP1180)),"時短終了日がマスタと相違／","")))&amp;IF(AND($B1180&lt;&gt;"",$E1180=""),"報酬額が未入力／","")&amp;IF(N($U1180)&gt;0,"申請書に入力エラーが残っています／","")&amp;IF(AND($B1180&lt;&gt;"",$AQ1180&lt;&gt;""),IF(COUNTIFS($B$6:$B$3005,$B1180,$C$6:$C$3005,$C1180,$D$6:$D$3005,$D1180)&gt;1,"同じ月の請求が重複しています／",""),"")&amp;IF(AND(N($E1180)&gt;0,$AB1180&lt;&gt;"",$AB1180&lt;&gt;"×",$AE1180=0,$AD1180=""),"計算額が下限以下のため不支給／",""))</f>
        <v/>
      </c>
      <c r="AN1180" s="12" t="n"/>
      <c r="AO1180" s="14">
        <f>IF($AF1180="保留中",COUNTIF($AF$6:$AF1180,"保留中"),"")</f>
        <v/>
      </c>
      <c r="AP1180" s="14">
        <f>IF($AQ1180="","",IF(SUMPRODUCT(MAX((職員マスタ!$A$6:$A$405=$B1180)*(((職員マスタ!$G$6:$G$405="")+(職員マスタ!$G$6:$G$405&lt;=EOMONTH($AQ1180,0)))&gt;0)*(((職員マスタ!$H$6:$H$405="")+(職員マスタ!$H$6:$H$405&gt;=$AQ1180))&gt;0)*(ROW(職員マスタ!$A$6:$A$405)-5)))&gt;0,SUMPRODUCT(MAX((職員マスタ!$A$6:$A$405=$B1180)*(((職員マスタ!$G$6:$G$405="")+(職員マスタ!$G$6:$G$405&lt;=EOMONTH($AQ1180,0)))&gt;0)*(((職員マスタ!$H$6:$H$405="")+(職員マスタ!$H$6:$H$405&gt;=$AQ1180))&gt;0)*(ROW(職員マスタ!$A$6:$A$405)-5))),IFERROR(MATCH($B1180,職員マスタ!$A$6:$A$405,0),"")))</f>
        <v/>
      </c>
      <c r="AQ1180" s="16">
        <f>IF(OR($B1180="",$C1180="",$D1180=""),"",DATE($C1180+2018,$D1180,1))</f>
        <v/>
      </c>
    </row>
    <row r="1181">
      <c r="A1181" s="11" t="n"/>
      <c r="B1181" s="12" t="n"/>
      <c r="C1181" s="12" t="n"/>
      <c r="D1181" s="12" t="n"/>
      <c r="E1181" s="13" t="n"/>
      <c r="F1181" s="12" t="n"/>
      <c r="G1181" s="13" t="n"/>
      <c r="H1181" s="12" t="n"/>
      <c r="I1181" s="12" t="n"/>
      <c r="J1181" s="12" t="n"/>
      <c r="K1181" s="12" t="n"/>
      <c r="L1181" s="11" t="n"/>
      <c r="M1181" s="11" t="n"/>
      <c r="N1181" s="11" t="n"/>
      <c r="O1181" s="11" t="n"/>
      <c r="P1181" s="12" t="n"/>
      <c r="Q1181" s="11" t="n"/>
      <c r="R1181" s="12" t="n"/>
      <c r="S1181" s="11" t="n"/>
      <c r="T1181" s="12" t="n"/>
      <c r="U1181" s="12" t="n"/>
      <c r="V1181" s="12" t="n"/>
      <c r="W1181" s="13" t="n"/>
      <c r="X1181" s="14">
        <f>IF($AP1181="",IF($B1181="","",$H1181),IF(INDEX(職員マスタ!$B$6:$B$405,$AP1181)="",$H1181,INDEX(職員マスタ!$B$6:$B$405,$AP1181)))</f>
        <v/>
      </c>
      <c r="Y1181" s="14">
        <f>IF($AP1181="",IF($B1181="","",$R1181),IF(INDEX(職員マスタ!$C$6:$C$405,$AP1181)="",$R1181,INDEX(職員マスタ!$C$6:$C$405,$AP1181)))</f>
        <v/>
      </c>
      <c r="Z1181" s="14">
        <f>IF($AQ1181="","","R"&amp;$C1181&amp;"."&amp;$D1181)</f>
        <v/>
      </c>
      <c r="AA1181" s="15">
        <f>IF(IF($AP1181="",FALSE,INDEX(職員マスタ!$K$6:$K$405,$AP1181)&lt;&gt;""),INDEX(職員マスタ!$K$6:$K$405,$AP1181),IF(N($W1181)&gt;0,$W1181,""))</f>
        <v/>
      </c>
      <c r="AB1181" s="14">
        <f>IF(OR($E1181="",$AA1181=""),"",IF($E1181&gt;=$AA1181,"×",IF($E1181&gt;=$AA1181*設定!$C$5,"△","○")))</f>
        <v/>
      </c>
      <c r="AC1181" s="15">
        <f>IF($AB1181="","",IF($AB1181="×",0,IF($AB1181="○",ROUNDDOWN($E1181*設定!$C$4,0),ROUNDDOWN($E1181*ROUND((9*$AA1181-9*$E1181)/(10*$E1181),4),0))))</f>
        <v/>
      </c>
      <c r="AD1181" s="13" t="n"/>
      <c r="AE1181" s="15">
        <f>IF($B1181="","",IF($AD1181&lt;&gt;"",$AD1181,IF($AC1181="","",IF($AC1181&lt;=設定!$C$3,0,$AC1181))))</f>
        <v/>
      </c>
      <c r="AF1181" s="14">
        <f>IF($B1181="","",IF(AND($AG1181&lt;&gt;"",$AI1181="",$AL1181=""),"保留中",IF($AL1181&lt;&gt;"",IF(N($AE1181)&gt;0,"支給済","不支給"),IF($AE1181="","要確認",IF($AE1181=0,"不支給","未処理")))))</f>
        <v/>
      </c>
      <c r="AG1181" s="12" t="n"/>
      <c r="AH1181" s="11" t="n"/>
      <c r="AI1181" s="11" t="n"/>
      <c r="AJ1181" s="11" t="n"/>
      <c r="AK1181" s="14">
        <f>IF(AND($AF1181="保留中",$AH1181&lt;&gt;""),TODAY()-$AH1181,"")</f>
        <v/>
      </c>
      <c r="AL1181" s="12" t="n"/>
      <c r="AM1181" s="14">
        <f>IF($B1181="","",IF($AQ1181="","対象年月が未入力／","")&amp;IF($B1181="","",IF($AP1181="","職員マスタに未登録の職員番号／",IF($AA1181="","標準報酬月額が未登録／","")&amp;IF(AND($AQ1181&lt;&gt;"",OR(AND(INDEX(職員マスタ!$G$6:$G$405,$AP1181)&lt;&gt;"",INDEX(職員マスタ!$G$6:$G$405,$AP1181)&gt;EOMONTH($AQ1181,0)),AND(INDEX(職員マスタ!$H$6:$H$405,$AP1181)&lt;&gt;"",INDEX(職員マスタ!$H$6:$H$405,$AP1181)&lt;$AQ1181))),"対象月が時短期間外／","")&amp;IF(AND(INDEX(職員マスタ!$K$6:$K$405,$AP1181)&lt;&gt;"",N($W1181)&gt;0,INDEX(職員マスタ!$K$6:$K$405,$AP1181)&lt;&gt;$W1181),"標準報酬月額が申請書と相違（台帳"&amp;TEXT(INDEX(職員マスタ!$K$6:$K$405,$AP1181),"#,##0")&amp;"円／申請書"&amp;TEXT($W1181,"#,##0")&amp;"円）／","")&amp;IF(AND(INDEX(職員マスタ!$F$6:$F$405,$AP1181)&lt;&gt;"",$AQ1181&lt;&gt;"",INDEX(職員マスタ!$F$6:$F$405,$AP1181)&lt;$AQ1181),"対象月に子が2歳到達済／","")&amp;IF(AND($H1181&lt;&gt;"",INDEX(職員マスタ!$B$6:$B$405,$AP1181)&lt;&gt;"",SUBSTITUTE(SUBSTITUTE($H1181," ","")," ","")&lt;&gt;SUBSTITUTE(SUBSTITUTE(INDEX(職員マスタ!$B$6:$B$405,$AP1181)," ","")," ","")),"氏名がマスタと相違／","")&amp;IF(AND($Q1181&lt;&gt;"",INDEX(職員マスタ!$E$6:$E$405,$AP1181)&lt;&gt;"",$Q1181&lt;&gt;INDEX(職員マスタ!$E$6:$E$405,$AP1181)),"子の生年月日がマスタと相違／","")&amp;IF(AND($L1181&lt;&gt;"",INDEX(職員マスタ!$G$6:$G$405,$AP1181)&lt;&gt;"",$L1181&lt;&gt;INDEX(職員マスタ!$G$6:$G$405,$AP1181)),"時短開始日がマスタと相違／","")&amp;IF(AND($M1181&lt;&gt;"",INDEX(職員マスタ!$H$6:$H$405,$AP1181)&lt;&gt;"",$M1181&lt;&gt;INDEX(職員マスタ!$H$6:$H$405,$AP1181)),"時短終了日がマスタと相違／","")))&amp;IF(AND($B1181&lt;&gt;"",$E1181=""),"報酬額が未入力／","")&amp;IF(N($U1181)&gt;0,"申請書に入力エラーが残っています／","")&amp;IF(AND($B1181&lt;&gt;"",$AQ1181&lt;&gt;""),IF(COUNTIFS($B$6:$B$3005,$B1181,$C$6:$C$3005,$C1181,$D$6:$D$3005,$D1181)&gt;1,"同じ月の請求が重複しています／",""),"")&amp;IF(AND(N($E1181)&gt;0,$AB1181&lt;&gt;"",$AB1181&lt;&gt;"×",$AE1181=0,$AD1181=""),"計算額が下限以下のため不支給／",""))</f>
        <v/>
      </c>
      <c r="AN1181" s="12" t="n"/>
      <c r="AO1181" s="14">
        <f>IF($AF1181="保留中",COUNTIF($AF$6:$AF1181,"保留中"),"")</f>
        <v/>
      </c>
      <c r="AP1181" s="14">
        <f>IF($AQ1181="","",IF(SUMPRODUCT(MAX((職員マスタ!$A$6:$A$405=$B1181)*(((職員マスタ!$G$6:$G$405="")+(職員マスタ!$G$6:$G$405&lt;=EOMONTH($AQ1181,0)))&gt;0)*(((職員マスタ!$H$6:$H$405="")+(職員マスタ!$H$6:$H$405&gt;=$AQ1181))&gt;0)*(ROW(職員マスタ!$A$6:$A$405)-5)))&gt;0,SUMPRODUCT(MAX((職員マスタ!$A$6:$A$405=$B1181)*(((職員マスタ!$G$6:$G$405="")+(職員マスタ!$G$6:$G$405&lt;=EOMONTH($AQ1181,0)))&gt;0)*(((職員マスタ!$H$6:$H$405="")+(職員マスタ!$H$6:$H$405&gt;=$AQ1181))&gt;0)*(ROW(職員マスタ!$A$6:$A$405)-5))),IFERROR(MATCH($B1181,職員マスタ!$A$6:$A$405,0),"")))</f>
        <v/>
      </c>
      <c r="AQ1181" s="16">
        <f>IF(OR($B1181="",$C1181="",$D1181=""),"",DATE($C1181+2018,$D1181,1))</f>
        <v/>
      </c>
    </row>
    <row r="1182">
      <c r="A1182" s="11" t="n"/>
      <c r="B1182" s="12" t="n"/>
      <c r="C1182" s="12" t="n"/>
      <c r="D1182" s="12" t="n"/>
      <c r="E1182" s="13" t="n"/>
      <c r="F1182" s="12" t="n"/>
      <c r="G1182" s="13" t="n"/>
      <c r="H1182" s="12" t="n"/>
      <c r="I1182" s="12" t="n"/>
      <c r="J1182" s="12" t="n"/>
      <c r="K1182" s="12" t="n"/>
      <c r="L1182" s="11" t="n"/>
      <c r="M1182" s="11" t="n"/>
      <c r="N1182" s="11" t="n"/>
      <c r="O1182" s="11" t="n"/>
      <c r="P1182" s="12" t="n"/>
      <c r="Q1182" s="11" t="n"/>
      <c r="R1182" s="12" t="n"/>
      <c r="S1182" s="11" t="n"/>
      <c r="T1182" s="12" t="n"/>
      <c r="U1182" s="12" t="n"/>
      <c r="V1182" s="12" t="n"/>
      <c r="W1182" s="13" t="n"/>
      <c r="X1182" s="14">
        <f>IF($AP1182="",IF($B1182="","",$H1182),IF(INDEX(職員マスタ!$B$6:$B$405,$AP1182)="",$H1182,INDEX(職員マスタ!$B$6:$B$405,$AP1182)))</f>
        <v/>
      </c>
      <c r="Y1182" s="14">
        <f>IF($AP1182="",IF($B1182="","",$R1182),IF(INDEX(職員マスタ!$C$6:$C$405,$AP1182)="",$R1182,INDEX(職員マスタ!$C$6:$C$405,$AP1182)))</f>
        <v/>
      </c>
      <c r="Z1182" s="14">
        <f>IF($AQ1182="","","R"&amp;$C1182&amp;"."&amp;$D1182)</f>
        <v/>
      </c>
      <c r="AA1182" s="15">
        <f>IF(IF($AP1182="",FALSE,INDEX(職員マスタ!$K$6:$K$405,$AP1182)&lt;&gt;""),INDEX(職員マスタ!$K$6:$K$405,$AP1182),IF(N($W1182)&gt;0,$W1182,""))</f>
        <v/>
      </c>
      <c r="AB1182" s="14">
        <f>IF(OR($E1182="",$AA1182=""),"",IF($E1182&gt;=$AA1182,"×",IF($E1182&gt;=$AA1182*設定!$C$5,"△","○")))</f>
        <v/>
      </c>
      <c r="AC1182" s="15">
        <f>IF($AB1182="","",IF($AB1182="×",0,IF($AB1182="○",ROUNDDOWN($E1182*設定!$C$4,0),ROUNDDOWN($E1182*ROUND((9*$AA1182-9*$E1182)/(10*$E1182),4),0))))</f>
        <v/>
      </c>
      <c r="AD1182" s="13" t="n"/>
      <c r="AE1182" s="15">
        <f>IF($B1182="","",IF($AD1182&lt;&gt;"",$AD1182,IF($AC1182="","",IF($AC1182&lt;=設定!$C$3,0,$AC1182))))</f>
        <v/>
      </c>
      <c r="AF1182" s="14">
        <f>IF($B1182="","",IF(AND($AG1182&lt;&gt;"",$AI1182="",$AL1182=""),"保留中",IF($AL1182&lt;&gt;"",IF(N($AE1182)&gt;0,"支給済","不支給"),IF($AE1182="","要確認",IF($AE1182=0,"不支給","未処理")))))</f>
        <v/>
      </c>
      <c r="AG1182" s="12" t="n"/>
      <c r="AH1182" s="11" t="n"/>
      <c r="AI1182" s="11" t="n"/>
      <c r="AJ1182" s="11" t="n"/>
      <c r="AK1182" s="14">
        <f>IF(AND($AF1182="保留中",$AH1182&lt;&gt;""),TODAY()-$AH1182,"")</f>
        <v/>
      </c>
      <c r="AL1182" s="12" t="n"/>
      <c r="AM1182" s="14">
        <f>IF($B1182="","",IF($AQ1182="","対象年月が未入力／","")&amp;IF($B1182="","",IF($AP1182="","職員マスタに未登録の職員番号／",IF($AA1182="","標準報酬月額が未登録／","")&amp;IF(AND($AQ1182&lt;&gt;"",OR(AND(INDEX(職員マスタ!$G$6:$G$405,$AP1182)&lt;&gt;"",INDEX(職員マスタ!$G$6:$G$405,$AP1182)&gt;EOMONTH($AQ1182,0)),AND(INDEX(職員マスタ!$H$6:$H$405,$AP1182)&lt;&gt;"",INDEX(職員マスタ!$H$6:$H$405,$AP1182)&lt;$AQ1182))),"対象月が時短期間外／","")&amp;IF(AND(INDEX(職員マスタ!$K$6:$K$405,$AP1182)&lt;&gt;"",N($W1182)&gt;0,INDEX(職員マスタ!$K$6:$K$405,$AP1182)&lt;&gt;$W1182),"標準報酬月額が申請書と相違（台帳"&amp;TEXT(INDEX(職員マスタ!$K$6:$K$405,$AP1182),"#,##0")&amp;"円／申請書"&amp;TEXT($W1182,"#,##0")&amp;"円）／","")&amp;IF(AND(INDEX(職員マスタ!$F$6:$F$405,$AP1182)&lt;&gt;"",$AQ1182&lt;&gt;"",INDEX(職員マスタ!$F$6:$F$405,$AP1182)&lt;$AQ1182),"対象月に子が2歳到達済／","")&amp;IF(AND($H1182&lt;&gt;"",INDEX(職員マスタ!$B$6:$B$405,$AP1182)&lt;&gt;"",SUBSTITUTE(SUBSTITUTE($H1182," ","")," ","")&lt;&gt;SUBSTITUTE(SUBSTITUTE(INDEX(職員マスタ!$B$6:$B$405,$AP1182)," ","")," ","")),"氏名がマスタと相違／","")&amp;IF(AND($Q1182&lt;&gt;"",INDEX(職員マスタ!$E$6:$E$405,$AP1182)&lt;&gt;"",$Q1182&lt;&gt;INDEX(職員マスタ!$E$6:$E$405,$AP1182)),"子の生年月日がマスタと相違／","")&amp;IF(AND($L1182&lt;&gt;"",INDEX(職員マスタ!$G$6:$G$405,$AP1182)&lt;&gt;"",$L1182&lt;&gt;INDEX(職員マスタ!$G$6:$G$405,$AP1182)),"時短開始日がマスタと相違／","")&amp;IF(AND($M1182&lt;&gt;"",INDEX(職員マスタ!$H$6:$H$405,$AP1182)&lt;&gt;"",$M1182&lt;&gt;INDEX(職員マスタ!$H$6:$H$405,$AP1182)),"時短終了日がマスタと相違／","")))&amp;IF(AND($B1182&lt;&gt;"",$E1182=""),"報酬額が未入力／","")&amp;IF(N($U1182)&gt;0,"申請書に入力エラーが残っています／","")&amp;IF(AND($B1182&lt;&gt;"",$AQ1182&lt;&gt;""),IF(COUNTIFS($B$6:$B$3005,$B1182,$C$6:$C$3005,$C1182,$D$6:$D$3005,$D1182)&gt;1,"同じ月の請求が重複しています／",""),"")&amp;IF(AND(N($E1182)&gt;0,$AB1182&lt;&gt;"",$AB1182&lt;&gt;"×",$AE1182=0,$AD1182=""),"計算額が下限以下のため不支給／",""))</f>
        <v/>
      </c>
      <c r="AN1182" s="12" t="n"/>
      <c r="AO1182" s="14">
        <f>IF($AF1182="保留中",COUNTIF($AF$6:$AF1182,"保留中"),"")</f>
        <v/>
      </c>
      <c r="AP1182" s="14">
        <f>IF($AQ1182="","",IF(SUMPRODUCT(MAX((職員マスタ!$A$6:$A$405=$B1182)*(((職員マスタ!$G$6:$G$405="")+(職員マスタ!$G$6:$G$405&lt;=EOMONTH($AQ1182,0)))&gt;0)*(((職員マスタ!$H$6:$H$405="")+(職員マスタ!$H$6:$H$405&gt;=$AQ1182))&gt;0)*(ROW(職員マスタ!$A$6:$A$405)-5)))&gt;0,SUMPRODUCT(MAX((職員マスタ!$A$6:$A$405=$B1182)*(((職員マスタ!$G$6:$G$405="")+(職員マスタ!$G$6:$G$405&lt;=EOMONTH($AQ1182,0)))&gt;0)*(((職員マスタ!$H$6:$H$405="")+(職員マスタ!$H$6:$H$405&gt;=$AQ1182))&gt;0)*(ROW(職員マスタ!$A$6:$A$405)-5))),IFERROR(MATCH($B1182,職員マスタ!$A$6:$A$405,0),"")))</f>
        <v/>
      </c>
      <c r="AQ1182" s="16">
        <f>IF(OR($B1182="",$C1182="",$D1182=""),"",DATE($C1182+2018,$D1182,1))</f>
        <v/>
      </c>
    </row>
    <row r="1183">
      <c r="A1183" s="11" t="n"/>
      <c r="B1183" s="12" t="n"/>
      <c r="C1183" s="12" t="n"/>
      <c r="D1183" s="12" t="n"/>
      <c r="E1183" s="13" t="n"/>
      <c r="F1183" s="12" t="n"/>
      <c r="G1183" s="13" t="n"/>
      <c r="H1183" s="12" t="n"/>
      <c r="I1183" s="12" t="n"/>
      <c r="J1183" s="12" t="n"/>
      <c r="K1183" s="12" t="n"/>
      <c r="L1183" s="11" t="n"/>
      <c r="M1183" s="11" t="n"/>
      <c r="N1183" s="11" t="n"/>
      <c r="O1183" s="11" t="n"/>
      <c r="P1183" s="12" t="n"/>
      <c r="Q1183" s="11" t="n"/>
      <c r="R1183" s="12" t="n"/>
      <c r="S1183" s="11" t="n"/>
      <c r="T1183" s="12" t="n"/>
      <c r="U1183" s="12" t="n"/>
      <c r="V1183" s="12" t="n"/>
      <c r="W1183" s="13" t="n"/>
      <c r="X1183" s="14">
        <f>IF($AP1183="",IF($B1183="","",$H1183),IF(INDEX(職員マスタ!$B$6:$B$405,$AP1183)="",$H1183,INDEX(職員マスタ!$B$6:$B$405,$AP1183)))</f>
        <v/>
      </c>
      <c r="Y1183" s="14">
        <f>IF($AP1183="",IF($B1183="","",$R1183),IF(INDEX(職員マスタ!$C$6:$C$405,$AP1183)="",$R1183,INDEX(職員マスタ!$C$6:$C$405,$AP1183)))</f>
        <v/>
      </c>
      <c r="Z1183" s="14">
        <f>IF($AQ1183="","","R"&amp;$C1183&amp;"."&amp;$D1183)</f>
        <v/>
      </c>
      <c r="AA1183" s="15">
        <f>IF(IF($AP1183="",FALSE,INDEX(職員マスタ!$K$6:$K$405,$AP1183)&lt;&gt;""),INDEX(職員マスタ!$K$6:$K$405,$AP1183),IF(N($W1183)&gt;0,$W1183,""))</f>
        <v/>
      </c>
      <c r="AB1183" s="14">
        <f>IF(OR($E1183="",$AA1183=""),"",IF($E1183&gt;=$AA1183,"×",IF($E1183&gt;=$AA1183*設定!$C$5,"△","○")))</f>
        <v/>
      </c>
      <c r="AC1183" s="15">
        <f>IF($AB1183="","",IF($AB1183="×",0,IF($AB1183="○",ROUNDDOWN($E1183*設定!$C$4,0),ROUNDDOWN($E1183*ROUND((9*$AA1183-9*$E1183)/(10*$E1183),4),0))))</f>
        <v/>
      </c>
      <c r="AD1183" s="13" t="n"/>
      <c r="AE1183" s="15">
        <f>IF($B1183="","",IF($AD1183&lt;&gt;"",$AD1183,IF($AC1183="","",IF($AC1183&lt;=設定!$C$3,0,$AC1183))))</f>
        <v/>
      </c>
      <c r="AF1183" s="14">
        <f>IF($B1183="","",IF(AND($AG1183&lt;&gt;"",$AI1183="",$AL1183=""),"保留中",IF($AL1183&lt;&gt;"",IF(N($AE1183)&gt;0,"支給済","不支給"),IF($AE1183="","要確認",IF($AE1183=0,"不支給","未処理")))))</f>
        <v/>
      </c>
      <c r="AG1183" s="12" t="n"/>
      <c r="AH1183" s="11" t="n"/>
      <c r="AI1183" s="11" t="n"/>
      <c r="AJ1183" s="11" t="n"/>
      <c r="AK1183" s="14">
        <f>IF(AND($AF1183="保留中",$AH1183&lt;&gt;""),TODAY()-$AH1183,"")</f>
        <v/>
      </c>
      <c r="AL1183" s="12" t="n"/>
      <c r="AM1183" s="14">
        <f>IF($B1183="","",IF($AQ1183="","対象年月が未入力／","")&amp;IF($B1183="","",IF($AP1183="","職員マスタに未登録の職員番号／",IF($AA1183="","標準報酬月額が未登録／","")&amp;IF(AND($AQ1183&lt;&gt;"",OR(AND(INDEX(職員マスタ!$G$6:$G$405,$AP1183)&lt;&gt;"",INDEX(職員マスタ!$G$6:$G$405,$AP1183)&gt;EOMONTH($AQ1183,0)),AND(INDEX(職員マスタ!$H$6:$H$405,$AP1183)&lt;&gt;"",INDEX(職員マスタ!$H$6:$H$405,$AP1183)&lt;$AQ1183))),"対象月が時短期間外／","")&amp;IF(AND(INDEX(職員マスタ!$K$6:$K$405,$AP1183)&lt;&gt;"",N($W1183)&gt;0,INDEX(職員マスタ!$K$6:$K$405,$AP1183)&lt;&gt;$W1183),"標準報酬月額が申請書と相違（台帳"&amp;TEXT(INDEX(職員マスタ!$K$6:$K$405,$AP1183),"#,##0")&amp;"円／申請書"&amp;TEXT($W1183,"#,##0")&amp;"円）／","")&amp;IF(AND(INDEX(職員マスタ!$F$6:$F$405,$AP1183)&lt;&gt;"",$AQ1183&lt;&gt;"",INDEX(職員マスタ!$F$6:$F$405,$AP1183)&lt;$AQ1183),"対象月に子が2歳到達済／","")&amp;IF(AND($H1183&lt;&gt;"",INDEX(職員マスタ!$B$6:$B$405,$AP1183)&lt;&gt;"",SUBSTITUTE(SUBSTITUTE($H1183," ","")," ","")&lt;&gt;SUBSTITUTE(SUBSTITUTE(INDEX(職員マスタ!$B$6:$B$405,$AP1183)," ","")," ","")),"氏名がマスタと相違／","")&amp;IF(AND($Q1183&lt;&gt;"",INDEX(職員マスタ!$E$6:$E$405,$AP1183)&lt;&gt;"",$Q1183&lt;&gt;INDEX(職員マスタ!$E$6:$E$405,$AP1183)),"子の生年月日がマスタと相違／","")&amp;IF(AND($L1183&lt;&gt;"",INDEX(職員マスタ!$G$6:$G$405,$AP1183)&lt;&gt;"",$L1183&lt;&gt;INDEX(職員マスタ!$G$6:$G$405,$AP1183)),"時短開始日がマスタと相違／","")&amp;IF(AND($M1183&lt;&gt;"",INDEX(職員マスタ!$H$6:$H$405,$AP1183)&lt;&gt;"",$M1183&lt;&gt;INDEX(職員マスタ!$H$6:$H$405,$AP1183)),"時短終了日がマスタと相違／","")))&amp;IF(AND($B1183&lt;&gt;"",$E1183=""),"報酬額が未入力／","")&amp;IF(N($U1183)&gt;0,"申請書に入力エラーが残っています／","")&amp;IF(AND($B1183&lt;&gt;"",$AQ1183&lt;&gt;""),IF(COUNTIFS($B$6:$B$3005,$B1183,$C$6:$C$3005,$C1183,$D$6:$D$3005,$D1183)&gt;1,"同じ月の請求が重複しています／",""),"")&amp;IF(AND(N($E1183)&gt;0,$AB1183&lt;&gt;"",$AB1183&lt;&gt;"×",$AE1183=0,$AD1183=""),"計算額が下限以下のため不支給／",""))</f>
        <v/>
      </c>
      <c r="AN1183" s="12" t="n"/>
      <c r="AO1183" s="14">
        <f>IF($AF1183="保留中",COUNTIF($AF$6:$AF1183,"保留中"),"")</f>
        <v/>
      </c>
      <c r="AP1183" s="14">
        <f>IF($AQ1183="","",IF(SUMPRODUCT(MAX((職員マスタ!$A$6:$A$405=$B1183)*(((職員マスタ!$G$6:$G$405="")+(職員マスタ!$G$6:$G$405&lt;=EOMONTH($AQ1183,0)))&gt;0)*(((職員マスタ!$H$6:$H$405="")+(職員マスタ!$H$6:$H$405&gt;=$AQ1183))&gt;0)*(ROW(職員マスタ!$A$6:$A$405)-5)))&gt;0,SUMPRODUCT(MAX((職員マスタ!$A$6:$A$405=$B1183)*(((職員マスタ!$G$6:$G$405="")+(職員マスタ!$G$6:$G$405&lt;=EOMONTH($AQ1183,0)))&gt;0)*(((職員マスタ!$H$6:$H$405="")+(職員マスタ!$H$6:$H$405&gt;=$AQ1183))&gt;0)*(ROW(職員マスタ!$A$6:$A$405)-5))),IFERROR(MATCH($B1183,職員マスタ!$A$6:$A$405,0),"")))</f>
        <v/>
      </c>
      <c r="AQ1183" s="16">
        <f>IF(OR($B1183="",$C1183="",$D1183=""),"",DATE($C1183+2018,$D1183,1))</f>
        <v/>
      </c>
    </row>
    <row r="1184">
      <c r="A1184" s="11" t="n"/>
      <c r="B1184" s="12" t="n"/>
      <c r="C1184" s="12" t="n"/>
      <c r="D1184" s="12" t="n"/>
      <c r="E1184" s="13" t="n"/>
      <c r="F1184" s="12" t="n"/>
      <c r="G1184" s="13" t="n"/>
      <c r="H1184" s="12" t="n"/>
      <c r="I1184" s="12" t="n"/>
      <c r="J1184" s="12" t="n"/>
      <c r="K1184" s="12" t="n"/>
      <c r="L1184" s="11" t="n"/>
      <c r="M1184" s="11" t="n"/>
      <c r="N1184" s="11" t="n"/>
      <c r="O1184" s="11" t="n"/>
      <c r="P1184" s="12" t="n"/>
      <c r="Q1184" s="11" t="n"/>
      <c r="R1184" s="12" t="n"/>
      <c r="S1184" s="11" t="n"/>
      <c r="T1184" s="12" t="n"/>
      <c r="U1184" s="12" t="n"/>
      <c r="V1184" s="12" t="n"/>
      <c r="W1184" s="13" t="n"/>
      <c r="X1184" s="14">
        <f>IF($AP1184="",IF($B1184="","",$H1184),IF(INDEX(職員マスタ!$B$6:$B$405,$AP1184)="",$H1184,INDEX(職員マスタ!$B$6:$B$405,$AP1184)))</f>
        <v/>
      </c>
      <c r="Y1184" s="14">
        <f>IF($AP1184="",IF($B1184="","",$R1184),IF(INDEX(職員マスタ!$C$6:$C$405,$AP1184)="",$R1184,INDEX(職員マスタ!$C$6:$C$405,$AP1184)))</f>
        <v/>
      </c>
      <c r="Z1184" s="14">
        <f>IF($AQ1184="","","R"&amp;$C1184&amp;"."&amp;$D1184)</f>
        <v/>
      </c>
      <c r="AA1184" s="15">
        <f>IF(IF($AP1184="",FALSE,INDEX(職員マスタ!$K$6:$K$405,$AP1184)&lt;&gt;""),INDEX(職員マスタ!$K$6:$K$405,$AP1184),IF(N($W1184)&gt;0,$W1184,""))</f>
        <v/>
      </c>
      <c r="AB1184" s="14">
        <f>IF(OR($E1184="",$AA1184=""),"",IF($E1184&gt;=$AA1184,"×",IF($E1184&gt;=$AA1184*設定!$C$5,"△","○")))</f>
        <v/>
      </c>
      <c r="AC1184" s="15">
        <f>IF($AB1184="","",IF($AB1184="×",0,IF($AB1184="○",ROUNDDOWN($E1184*設定!$C$4,0),ROUNDDOWN($E1184*ROUND((9*$AA1184-9*$E1184)/(10*$E1184),4),0))))</f>
        <v/>
      </c>
      <c r="AD1184" s="13" t="n"/>
      <c r="AE1184" s="15">
        <f>IF($B1184="","",IF($AD1184&lt;&gt;"",$AD1184,IF($AC1184="","",IF($AC1184&lt;=設定!$C$3,0,$AC1184))))</f>
        <v/>
      </c>
      <c r="AF1184" s="14">
        <f>IF($B1184="","",IF(AND($AG1184&lt;&gt;"",$AI1184="",$AL1184=""),"保留中",IF($AL1184&lt;&gt;"",IF(N($AE1184)&gt;0,"支給済","不支給"),IF($AE1184="","要確認",IF($AE1184=0,"不支給","未処理")))))</f>
        <v/>
      </c>
      <c r="AG1184" s="12" t="n"/>
      <c r="AH1184" s="11" t="n"/>
      <c r="AI1184" s="11" t="n"/>
      <c r="AJ1184" s="11" t="n"/>
      <c r="AK1184" s="14">
        <f>IF(AND($AF1184="保留中",$AH1184&lt;&gt;""),TODAY()-$AH1184,"")</f>
        <v/>
      </c>
      <c r="AL1184" s="12" t="n"/>
      <c r="AM1184" s="14">
        <f>IF($B1184="","",IF($AQ1184="","対象年月が未入力／","")&amp;IF($B1184="","",IF($AP1184="","職員マスタに未登録の職員番号／",IF($AA1184="","標準報酬月額が未登録／","")&amp;IF(AND($AQ1184&lt;&gt;"",OR(AND(INDEX(職員マスタ!$G$6:$G$405,$AP1184)&lt;&gt;"",INDEX(職員マスタ!$G$6:$G$405,$AP1184)&gt;EOMONTH($AQ1184,0)),AND(INDEX(職員マスタ!$H$6:$H$405,$AP1184)&lt;&gt;"",INDEX(職員マスタ!$H$6:$H$405,$AP1184)&lt;$AQ1184))),"対象月が時短期間外／","")&amp;IF(AND(INDEX(職員マスタ!$K$6:$K$405,$AP1184)&lt;&gt;"",N($W1184)&gt;0,INDEX(職員マスタ!$K$6:$K$405,$AP1184)&lt;&gt;$W1184),"標準報酬月額が申請書と相違（台帳"&amp;TEXT(INDEX(職員マスタ!$K$6:$K$405,$AP1184),"#,##0")&amp;"円／申請書"&amp;TEXT($W1184,"#,##0")&amp;"円）／","")&amp;IF(AND(INDEX(職員マスタ!$F$6:$F$405,$AP1184)&lt;&gt;"",$AQ1184&lt;&gt;"",INDEX(職員マスタ!$F$6:$F$405,$AP1184)&lt;$AQ1184),"対象月に子が2歳到達済／","")&amp;IF(AND($H1184&lt;&gt;"",INDEX(職員マスタ!$B$6:$B$405,$AP1184)&lt;&gt;"",SUBSTITUTE(SUBSTITUTE($H1184," ","")," ","")&lt;&gt;SUBSTITUTE(SUBSTITUTE(INDEX(職員マスタ!$B$6:$B$405,$AP1184)," ","")," ","")),"氏名がマスタと相違／","")&amp;IF(AND($Q1184&lt;&gt;"",INDEX(職員マスタ!$E$6:$E$405,$AP1184)&lt;&gt;"",$Q1184&lt;&gt;INDEX(職員マスタ!$E$6:$E$405,$AP1184)),"子の生年月日がマスタと相違／","")&amp;IF(AND($L1184&lt;&gt;"",INDEX(職員マスタ!$G$6:$G$405,$AP1184)&lt;&gt;"",$L1184&lt;&gt;INDEX(職員マスタ!$G$6:$G$405,$AP1184)),"時短開始日がマスタと相違／","")&amp;IF(AND($M1184&lt;&gt;"",INDEX(職員マスタ!$H$6:$H$405,$AP1184)&lt;&gt;"",$M1184&lt;&gt;INDEX(職員マスタ!$H$6:$H$405,$AP1184)),"時短終了日がマスタと相違／","")))&amp;IF(AND($B1184&lt;&gt;"",$E1184=""),"報酬額が未入力／","")&amp;IF(N($U1184)&gt;0,"申請書に入力エラーが残っています／","")&amp;IF(AND($B1184&lt;&gt;"",$AQ1184&lt;&gt;""),IF(COUNTIFS($B$6:$B$3005,$B1184,$C$6:$C$3005,$C1184,$D$6:$D$3005,$D1184)&gt;1,"同じ月の請求が重複しています／",""),"")&amp;IF(AND(N($E1184)&gt;0,$AB1184&lt;&gt;"",$AB1184&lt;&gt;"×",$AE1184=0,$AD1184=""),"計算額が下限以下のため不支給／",""))</f>
        <v/>
      </c>
      <c r="AN1184" s="12" t="n"/>
      <c r="AO1184" s="14">
        <f>IF($AF1184="保留中",COUNTIF($AF$6:$AF1184,"保留中"),"")</f>
        <v/>
      </c>
      <c r="AP1184" s="14">
        <f>IF($AQ1184="","",IF(SUMPRODUCT(MAX((職員マスタ!$A$6:$A$405=$B1184)*(((職員マスタ!$G$6:$G$405="")+(職員マスタ!$G$6:$G$405&lt;=EOMONTH($AQ1184,0)))&gt;0)*(((職員マスタ!$H$6:$H$405="")+(職員マスタ!$H$6:$H$405&gt;=$AQ1184))&gt;0)*(ROW(職員マスタ!$A$6:$A$405)-5)))&gt;0,SUMPRODUCT(MAX((職員マスタ!$A$6:$A$405=$B1184)*(((職員マスタ!$G$6:$G$405="")+(職員マスタ!$G$6:$G$405&lt;=EOMONTH($AQ1184,0)))&gt;0)*(((職員マスタ!$H$6:$H$405="")+(職員マスタ!$H$6:$H$405&gt;=$AQ1184))&gt;0)*(ROW(職員マスタ!$A$6:$A$405)-5))),IFERROR(MATCH($B1184,職員マスタ!$A$6:$A$405,0),"")))</f>
        <v/>
      </c>
      <c r="AQ1184" s="16">
        <f>IF(OR($B1184="",$C1184="",$D1184=""),"",DATE($C1184+2018,$D1184,1))</f>
        <v/>
      </c>
    </row>
    <row r="1185">
      <c r="A1185" s="11" t="n"/>
      <c r="B1185" s="12" t="n"/>
      <c r="C1185" s="12" t="n"/>
      <c r="D1185" s="12" t="n"/>
      <c r="E1185" s="13" t="n"/>
      <c r="F1185" s="12" t="n"/>
      <c r="G1185" s="13" t="n"/>
      <c r="H1185" s="12" t="n"/>
      <c r="I1185" s="12" t="n"/>
      <c r="J1185" s="12" t="n"/>
      <c r="K1185" s="12" t="n"/>
      <c r="L1185" s="11" t="n"/>
      <c r="M1185" s="11" t="n"/>
      <c r="N1185" s="11" t="n"/>
      <c r="O1185" s="11" t="n"/>
      <c r="P1185" s="12" t="n"/>
      <c r="Q1185" s="11" t="n"/>
      <c r="R1185" s="12" t="n"/>
      <c r="S1185" s="11" t="n"/>
      <c r="T1185" s="12" t="n"/>
      <c r="U1185" s="12" t="n"/>
      <c r="V1185" s="12" t="n"/>
      <c r="W1185" s="13" t="n"/>
      <c r="X1185" s="14">
        <f>IF($AP1185="",IF($B1185="","",$H1185),IF(INDEX(職員マスタ!$B$6:$B$405,$AP1185)="",$H1185,INDEX(職員マスタ!$B$6:$B$405,$AP1185)))</f>
        <v/>
      </c>
      <c r="Y1185" s="14">
        <f>IF($AP1185="",IF($B1185="","",$R1185),IF(INDEX(職員マスタ!$C$6:$C$405,$AP1185)="",$R1185,INDEX(職員マスタ!$C$6:$C$405,$AP1185)))</f>
        <v/>
      </c>
      <c r="Z1185" s="14">
        <f>IF($AQ1185="","","R"&amp;$C1185&amp;"."&amp;$D1185)</f>
        <v/>
      </c>
      <c r="AA1185" s="15">
        <f>IF(IF($AP1185="",FALSE,INDEX(職員マスタ!$K$6:$K$405,$AP1185)&lt;&gt;""),INDEX(職員マスタ!$K$6:$K$405,$AP1185),IF(N($W1185)&gt;0,$W1185,""))</f>
        <v/>
      </c>
      <c r="AB1185" s="14">
        <f>IF(OR($E1185="",$AA1185=""),"",IF($E1185&gt;=$AA1185,"×",IF($E1185&gt;=$AA1185*設定!$C$5,"△","○")))</f>
        <v/>
      </c>
      <c r="AC1185" s="15">
        <f>IF($AB1185="","",IF($AB1185="×",0,IF($AB1185="○",ROUNDDOWN($E1185*設定!$C$4,0),ROUNDDOWN($E1185*ROUND((9*$AA1185-9*$E1185)/(10*$E1185),4),0))))</f>
        <v/>
      </c>
      <c r="AD1185" s="13" t="n"/>
      <c r="AE1185" s="15">
        <f>IF($B1185="","",IF($AD1185&lt;&gt;"",$AD1185,IF($AC1185="","",IF($AC1185&lt;=設定!$C$3,0,$AC1185))))</f>
        <v/>
      </c>
      <c r="AF1185" s="14">
        <f>IF($B1185="","",IF(AND($AG1185&lt;&gt;"",$AI1185="",$AL1185=""),"保留中",IF($AL1185&lt;&gt;"",IF(N($AE1185)&gt;0,"支給済","不支給"),IF($AE1185="","要確認",IF($AE1185=0,"不支給","未処理")))))</f>
        <v/>
      </c>
      <c r="AG1185" s="12" t="n"/>
      <c r="AH1185" s="11" t="n"/>
      <c r="AI1185" s="11" t="n"/>
      <c r="AJ1185" s="11" t="n"/>
      <c r="AK1185" s="14">
        <f>IF(AND($AF1185="保留中",$AH1185&lt;&gt;""),TODAY()-$AH1185,"")</f>
        <v/>
      </c>
      <c r="AL1185" s="12" t="n"/>
      <c r="AM1185" s="14">
        <f>IF($B1185="","",IF($AQ1185="","対象年月が未入力／","")&amp;IF($B1185="","",IF($AP1185="","職員マスタに未登録の職員番号／",IF($AA1185="","標準報酬月額が未登録／","")&amp;IF(AND($AQ1185&lt;&gt;"",OR(AND(INDEX(職員マスタ!$G$6:$G$405,$AP1185)&lt;&gt;"",INDEX(職員マスタ!$G$6:$G$405,$AP1185)&gt;EOMONTH($AQ1185,0)),AND(INDEX(職員マスタ!$H$6:$H$405,$AP1185)&lt;&gt;"",INDEX(職員マスタ!$H$6:$H$405,$AP1185)&lt;$AQ1185))),"対象月が時短期間外／","")&amp;IF(AND(INDEX(職員マスタ!$K$6:$K$405,$AP1185)&lt;&gt;"",N($W1185)&gt;0,INDEX(職員マスタ!$K$6:$K$405,$AP1185)&lt;&gt;$W1185),"標準報酬月額が申請書と相違（台帳"&amp;TEXT(INDEX(職員マスタ!$K$6:$K$405,$AP1185),"#,##0")&amp;"円／申請書"&amp;TEXT($W1185,"#,##0")&amp;"円）／","")&amp;IF(AND(INDEX(職員マスタ!$F$6:$F$405,$AP1185)&lt;&gt;"",$AQ1185&lt;&gt;"",INDEX(職員マスタ!$F$6:$F$405,$AP1185)&lt;$AQ1185),"対象月に子が2歳到達済／","")&amp;IF(AND($H1185&lt;&gt;"",INDEX(職員マスタ!$B$6:$B$405,$AP1185)&lt;&gt;"",SUBSTITUTE(SUBSTITUTE($H1185," ","")," ","")&lt;&gt;SUBSTITUTE(SUBSTITUTE(INDEX(職員マスタ!$B$6:$B$405,$AP1185)," ","")," ","")),"氏名がマスタと相違／","")&amp;IF(AND($Q1185&lt;&gt;"",INDEX(職員マスタ!$E$6:$E$405,$AP1185)&lt;&gt;"",$Q1185&lt;&gt;INDEX(職員マスタ!$E$6:$E$405,$AP1185)),"子の生年月日がマスタと相違／","")&amp;IF(AND($L1185&lt;&gt;"",INDEX(職員マスタ!$G$6:$G$405,$AP1185)&lt;&gt;"",$L1185&lt;&gt;INDEX(職員マスタ!$G$6:$G$405,$AP1185)),"時短開始日がマスタと相違／","")&amp;IF(AND($M1185&lt;&gt;"",INDEX(職員マスタ!$H$6:$H$405,$AP1185)&lt;&gt;"",$M1185&lt;&gt;INDEX(職員マスタ!$H$6:$H$405,$AP1185)),"時短終了日がマスタと相違／","")))&amp;IF(AND($B1185&lt;&gt;"",$E1185=""),"報酬額が未入力／","")&amp;IF(N($U1185)&gt;0,"申請書に入力エラーが残っています／","")&amp;IF(AND($B1185&lt;&gt;"",$AQ1185&lt;&gt;""),IF(COUNTIFS($B$6:$B$3005,$B1185,$C$6:$C$3005,$C1185,$D$6:$D$3005,$D1185)&gt;1,"同じ月の請求が重複しています／",""),"")&amp;IF(AND(N($E1185)&gt;0,$AB1185&lt;&gt;"",$AB1185&lt;&gt;"×",$AE1185=0,$AD1185=""),"計算額が下限以下のため不支給／",""))</f>
        <v/>
      </c>
      <c r="AN1185" s="12" t="n"/>
      <c r="AO1185" s="14">
        <f>IF($AF1185="保留中",COUNTIF($AF$6:$AF1185,"保留中"),"")</f>
        <v/>
      </c>
      <c r="AP1185" s="14">
        <f>IF($AQ1185="","",IF(SUMPRODUCT(MAX((職員マスタ!$A$6:$A$405=$B1185)*(((職員マスタ!$G$6:$G$405="")+(職員マスタ!$G$6:$G$405&lt;=EOMONTH($AQ1185,0)))&gt;0)*(((職員マスタ!$H$6:$H$405="")+(職員マスタ!$H$6:$H$405&gt;=$AQ1185))&gt;0)*(ROW(職員マスタ!$A$6:$A$405)-5)))&gt;0,SUMPRODUCT(MAX((職員マスタ!$A$6:$A$405=$B1185)*(((職員マスタ!$G$6:$G$405="")+(職員マスタ!$G$6:$G$405&lt;=EOMONTH($AQ1185,0)))&gt;0)*(((職員マスタ!$H$6:$H$405="")+(職員マスタ!$H$6:$H$405&gt;=$AQ1185))&gt;0)*(ROW(職員マスタ!$A$6:$A$405)-5))),IFERROR(MATCH($B1185,職員マスタ!$A$6:$A$405,0),"")))</f>
        <v/>
      </c>
      <c r="AQ1185" s="16">
        <f>IF(OR($B1185="",$C1185="",$D1185=""),"",DATE($C1185+2018,$D1185,1))</f>
        <v/>
      </c>
    </row>
    <row r="1186">
      <c r="A1186" s="11" t="n"/>
      <c r="B1186" s="12" t="n"/>
      <c r="C1186" s="12" t="n"/>
      <c r="D1186" s="12" t="n"/>
      <c r="E1186" s="13" t="n"/>
      <c r="F1186" s="12" t="n"/>
      <c r="G1186" s="13" t="n"/>
      <c r="H1186" s="12" t="n"/>
      <c r="I1186" s="12" t="n"/>
      <c r="J1186" s="12" t="n"/>
      <c r="K1186" s="12" t="n"/>
      <c r="L1186" s="11" t="n"/>
      <c r="M1186" s="11" t="n"/>
      <c r="N1186" s="11" t="n"/>
      <c r="O1186" s="11" t="n"/>
      <c r="P1186" s="12" t="n"/>
      <c r="Q1186" s="11" t="n"/>
      <c r="R1186" s="12" t="n"/>
      <c r="S1186" s="11" t="n"/>
      <c r="T1186" s="12" t="n"/>
      <c r="U1186" s="12" t="n"/>
      <c r="V1186" s="12" t="n"/>
      <c r="W1186" s="13" t="n"/>
      <c r="X1186" s="14">
        <f>IF($AP1186="",IF($B1186="","",$H1186),IF(INDEX(職員マスタ!$B$6:$B$405,$AP1186)="",$H1186,INDEX(職員マスタ!$B$6:$B$405,$AP1186)))</f>
        <v/>
      </c>
      <c r="Y1186" s="14">
        <f>IF($AP1186="",IF($B1186="","",$R1186),IF(INDEX(職員マスタ!$C$6:$C$405,$AP1186)="",$R1186,INDEX(職員マスタ!$C$6:$C$405,$AP1186)))</f>
        <v/>
      </c>
      <c r="Z1186" s="14">
        <f>IF($AQ1186="","","R"&amp;$C1186&amp;"."&amp;$D1186)</f>
        <v/>
      </c>
      <c r="AA1186" s="15">
        <f>IF(IF($AP1186="",FALSE,INDEX(職員マスタ!$K$6:$K$405,$AP1186)&lt;&gt;""),INDEX(職員マスタ!$K$6:$K$405,$AP1186),IF(N($W1186)&gt;0,$W1186,""))</f>
        <v/>
      </c>
      <c r="AB1186" s="14">
        <f>IF(OR($E1186="",$AA1186=""),"",IF($E1186&gt;=$AA1186,"×",IF($E1186&gt;=$AA1186*設定!$C$5,"△","○")))</f>
        <v/>
      </c>
      <c r="AC1186" s="15">
        <f>IF($AB1186="","",IF($AB1186="×",0,IF($AB1186="○",ROUNDDOWN($E1186*設定!$C$4,0),ROUNDDOWN($E1186*ROUND((9*$AA1186-9*$E1186)/(10*$E1186),4),0))))</f>
        <v/>
      </c>
      <c r="AD1186" s="13" t="n"/>
      <c r="AE1186" s="15">
        <f>IF($B1186="","",IF($AD1186&lt;&gt;"",$AD1186,IF($AC1186="","",IF($AC1186&lt;=設定!$C$3,0,$AC1186))))</f>
        <v/>
      </c>
      <c r="AF1186" s="14">
        <f>IF($B1186="","",IF(AND($AG1186&lt;&gt;"",$AI1186="",$AL1186=""),"保留中",IF($AL1186&lt;&gt;"",IF(N($AE1186)&gt;0,"支給済","不支給"),IF($AE1186="","要確認",IF($AE1186=0,"不支給","未処理")))))</f>
        <v/>
      </c>
      <c r="AG1186" s="12" t="n"/>
      <c r="AH1186" s="11" t="n"/>
      <c r="AI1186" s="11" t="n"/>
      <c r="AJ1186" s="11" t="n"/>
      <c r="AK1186" s="14">
        <f>IF(AND($AF1186="保留中",$AH1186&lt;&gt;""),TODAY()-$AH1186,"")</f>
        <v/>
      </c>
      <c r="AL1186" s="12" t="n"/>
      <c r="AM1186" s="14">
        <f>IF($B1186="","",IF($AQ1186="","対象年月が未入力／","")&amp;IF($B1186="","",IF($AP1186="","職員マスタに未登録の職員番号／",IF($AA1186="","標準報酬月額が未登録／","")&amp;IF(AND($AQ1186&lt;&gt;"",OR(AND(INDEX(職員マスタ!$G$6:$G$405,$AP1186)&lt;&gt;"",INDEX(職員マスタ!$G$6:$G$405,$AP1186)&gt;EOMONTH($AQ1186,0)),AND(INDEX(職員マスタ!$H$6:$H$405,$AP1186)&lt;&gt;"",INDEX(職員マスタ!$H$6:$H$405,$AP1186)&lt;$AQ1186))),"対象月が時短期間外／","")&amp;IF(AND(INDEX(職員マスタ!$K$6:$K$405,$AP1186)&lt;&gt;"",N($W1186)&gt;0,INDEX(職員マスタ!$K$6:$K$405,$AP1186)&lt;&gt;$W1186),"標準報酬月額が申請書と相違（台帳"&amp;TEXT(INDEX(職員マスタ!$K$6:$K$405,$AP1186),"#,##0")&amp;"円／申請書"&amp;TEXT($W1186,"#,##0")&amp;"円）／","")&amp;IF(AND(INDEX(職員マスタ!$F$6:$F$405,$AP1186)&lt;&gt;"",$AQ1186&lt;&gt;"",INDEX(職員マスタ!$F$6:$F$405,$AP1186)&lt;$AQ1186),"対象月に子が2歳到達済／","")&amp;IF(AND($H1186&lt;&gt;"",INDEX(職員マスタ!$B$6:$B$405,$AP1186)&lt;&gt;"",SUBSTITUTE(SUBSTITUTE($H1186," ","")," ","")&lt;&gt;SUBSTITUTE(SUBSTITUTE(INDEX(職員マスタ!$B$6:$B$405,$AP1186)," ","")," ","")),"氏名がマスタと相違／","")&amp;IF(AND($Q1186&lt;&gt;"",INDEX(職員マスタ!$E$6:$E$405,$AP1186)&lt;&gt;"",$Q1186&lt;&gt;INDEX(職員マスタ!$E$6:$E$405,$AP1186)),"子の生年月日がマスタと相違／","")&amp;IF(AND($L1186&lt;&gt;"",INDEX(職員マスタ!$G$6:$G$405,$AP1186)&lt;&gt;"",$L1186&lt;&gt;INDEX(職員マスタ!$G$6:$G$405,$AP1186)),"時短開始日がマスタと相違／","")&amp;IF(AND($M1186&lt;&gt;"",INDEX(職員マスタ!$H$6:$H$405,$AP1186)&lt;&gt;"",$M1186&lt;&gt;INDEX(職員マスタ!$H$6:$H$405,$AP1186)),"時短終了日がマスタと相違／","")))&amp;IF(AND($B1186&lt;&gt;"",$E1186=""),"報酬額が未入力／","")&amp;IF(N($U1186)&gt;0,"申請書に入力エラーが残っています／","")&amp;IF(AND($B1186&lt;&gt;"",$AQ1186&lt;&gt;""),IF(COUNTIFS($B$6:$B$3005,$B1186,$C$6:$C$3005,$C1186,$D$6:$D$3005,$D1186)&gt;1,"同じ月の請求が重複しています／",""),"")&amp;IF(AND(N($E1186)&gt;0,$AB1186&lt;&gt;"",$AB1186&lt;&gt;"×",$AE1186=0,$AD1186=""),"計算額が下限以下のため不支給／",""))</f>
        <v/>
      </c>
      <c r="AN1186" s="12" t="n"/>
      <c r="AO1186" s="14">
        <f>IF($AF1186="保留中",COUNTIF($AF$6:$AF1186,"保留中"),"")</f>
        <v/>
      </c>
      <c r="AP1186" s="14">
        <f>IF($AQ1186="","",IF(SUMPRODUCT(MAX((職員マスタ!$A$6:$A$405=$B1186)*(((職員マスタ!$G$6:$G$405="")+(職員マスタ!$G$6:$G$405&lt;=EOMONTH($AQ1186,0)))&gt;0)*(((職員マスタ!$H$6:$H$405="")+(職員マスタ!$H$6:$H$405&gt;=$AQ1186))&gt;0)*(ROW(職員マスタ!$A$6:$A$405)-5)))&gt;0,SUMPRODUCT(MAX((職員マスタ!$A$6:$A$405=$B1186)*(((職員マスタ!$G$6:$G$405="")+(職員マスタ!$G$6:$G$405&lt;=EOMONTH($AQ1186,0)))&gt;0)*(((職員マスタ!$H$6:$H$405="")+(職員マスタ!$H$6:$H$405&gt;=$AQ1186))&gt;0)*(ROW(職員マスタ!$A$6:$A$405)-5))),IFERROR(MATCH($B1186,職員マスタ!$A$6:$A$405,0),"")))</f>
        <v/>
      </c>
      <c r="AQ1186" s="16">
        <f>IF(OR($B1186="",$C1186="",$D1186=""),"",DATE($C1186+2018,$D1186,1))</f>
        <v/>
      </c>
    </row>
    <row r="1187">
      <c r="A1187" s="11" t="n"/>
      <c r="B1187" s="12" t="n"/>
      <c r="C1187" s="12" t="n"/>
      <c r="D1187" s="12" t="n"/>
      <c r="E1187" s="13" t="n"/>
      <c r="F1187" s="12" t="n"/>
      <c r="G1187" s="13" t="n"/>
      <c r="H1187" s="12" t="n"/>
      <c r="I1187" s="12" t="n"/>
      <c r="J1187" s="12" t="n"/>
      <c r="K1187" s="12" t="n"/>
      <c r="L1187" s="11" t="n"/>
      <c r="M1187" s="11" t="n"/>
      <c r="N1187" s="11" t="n"/>
      <c r="O1187" s="11" t="n"/>
      <c r="P1187" s="12" t="n"/>
      <c r="Q1187" s="11" t="n"/>
      <c r="R1187" s="12" t="n"/>
      <c r="S1187" s="11" t="n"/>
      <c r="T1187" s="12" t="n"/>
      <c r="U1187" s="12" t="n"/>
      <c r="V1187" s="12" t="n"/>
      <c r="W1187" s="13" t="n"/>
      <c r="X1187" s="14">
        <f>IF($AP1187="",IF($B1187="","",$H1187),IF(INDEX(職員マスタ!$B$6:$B$405,$AP1187)="",$H1187,INDEX(職員マスタ!$B$6:$B$405,$AP1187)))</f>
        <v/>
      </c>
      <c r="Y1187" s="14">
        <f>IF($AP1187="",IF($B1187="","",$R1187),IF(INDEX(職員マスタ!$C$6:$C$405,$AP1187)="",$R1187,INDEX(職員マスタ!$C$6:$C$405,$AP1187)))</f>
        <v/>
      </c>
      <c r="Z1187" s="14">
        <f>IF($AQ1187="","","R"&amp;$C1187&amp;"."&amp;$D1187)</f>
        <v/>
      </c>
      <c r="AA1187" s="15">
        <f>IF(IF($AP1187="",FALSE,INDEX(職員マスタ!$K$6:$K$405,$AP1187)&lt;&gt;""),INDEX(職員マスタ!$K$6:$K$405,$AP1187),IF(N($W1187)&gt;0,$W1187,""))</f>
        <v/>
      </c>
      <c r="AB1187" s="14">
        <f>IF(OR($E1187="",$AA1187=""),"",IF($E1187&gt;=$AA1187,"×",IF($E1187&gt;=$AA1187*設定!$C$5,"△","○")))</f>
        <v/>
      </c>
      <c r="AC1187" s="15">
        <f>IF($AB1187="","",IF($AB1187="×",0,IF($AB1187="○",ROUNDDOWN($E1187*設定!$C$4,0),ROUNDDOWN($E1187*ROUND((9*$AA1187-9*$E1187)/(10*$E1187),4),0))))</f>
        <v/>
      </c>
      <c r="AD1187" s="13" t="n"/>
      <c r="AE1187" s="15">
        <f>IF($B1187="","",IF($AD1187&lt;&gt;"",$AD1187,IF($AC1187="","",IF($AC1187&lt;=設定!$C$3,0,$AC1187))))</f>
        <v/>
      </c>
      <c r="AF1187" s="14">
        <f>IF($B1187="","",IF(AND($AG1187&lt;&gt;"",$AI1187="",$AL1187=""),"保留中",IF($AL1187&lt;&gt;"",IF(N($AE1187)&gt;0,"支給済","不支給"),IF($AE1187="","要確認",IF($AE1187=0,"不支給","未処理")))))</f>
        <v/>
      </c>
      <c r="AG1187" s="12" t="n"/>
      <c r="AH1187" s="11" t="n"/>
      <c r="AI1187" s="11" t="n"/>
      <c r="AJ1187" s="11" t="n"/>
      <c r="AK1187" s="14">
        <f>IF(AND($AF1187="保留中",$AH1187&lt;&gt;""),TODAY()-$AH1187,"")</f>
        <v/>
      </c>
      <c r="AL1187" s="12" t="n"/>
      <c r="AM1187" s="14">
        <f>IF($B1187="","",IF($AQ1187="","対象年月が未入力／","")&amp;IF($B1187="","",IF($AP1187="","職員マスタに未登録の職員番号／",IF($AA1187="","標準報酬月額が未登録／","")&amp;IF(AND($AQ1187&lt;&gt;"",OR(AND(INDEX(職員マスタ!$G$6:$G$405,$AP1187)&lt;&gt;"",INDEX(職員マスタ!$G$6:$G$405,$AP1187)&gt;EOMONTH($AQ1187,0)),AND(INDEX(職員マスタ!$H$6:$H$405,$AP1187)&lt;&gt;"",INDEX(職員マスタ!$H$6:$H$405,$AP1187)&lt;$AQ1187))),"対象月が時短期間外／","")&amp;IF(AND(INDEX(職員マスタ!$K$6:$K$405,$AP1187)&lt;&gt;"",N($W1187)&gt;0,INDEX(職員マスタ!$K$6:$K$405,$AP1187)&lt;&gt;$W1187),"標準報酬月額が申請書と相違（台帳"&amp;TEXT(INDEX(職員マスタ!$K$6:$K$405,$AP1187),"#,##0")&amp;"円／申請書"&amp;TEXT($W1187,"#,##0")&amp;"円）／","")&amp;IF(AND(INDEX(職員マスタ!$F$6:$F$405,$AP1187)&lt;&gt;"",$AQ1187&lt;&gt;"",INDEX(職員マスタ!$F$6:$F$405,$AP1187)&lt;$AQ1187),"対象月に子が2歳到達済／","")&amp;IF(AND($H1187&lt;&gt;"",INDEX(職員マスタ!$B$6:$B$405,$AP1187)&lt;&gt;"",SUBSTITUTE(SUBSTITUTE($H1187," ","")," ","")&lt;&gt;SUBSTITUTE(SUBSTITUTE(INDEX(職員マスタ!$B$6:$B$405,$AP1187)," ","")," ","")),"氏名がマスタと相違／","")&amp;IF(AND($Q1187&lt;&gt;"",INDEX(職員マスタ!$E$6:$E$405,$AP1187)&lt;&gt;"",$Q1187&lt;&gt;INDEX(職員マスタ!$E$6:$E$405,$AP1187)),"子の生年月日がマスタと相違／","")&amp;IF(AND($L1187&lt;&gt;"",INDEX(職員マスタ!$G$6:$G$405,$AP1187)&lt;&gt;"",$L1187&lt;&gt;INDEX(職員マスタ!$G$6:$G$405,$AP1187)),"時短開始日がマスタと相違／","")&amp;IF(AND($M1187&lt;&gt;"",INDEX(職員マスタ!$H$6:$H$405,$AP1187)&lt;&gt;"",$M1187&lt;&gt;INDEX(職員マスタ!$H$6:$H$405,$AP1187)),"時短終了日がマスタと相違／","")))&amp;IF(AND($B1187&lt;&gt;"",$E1187=""),"報酬額が未入力／","")&amp;IF(N($U1187)&gt;0,"申請書に入力エラーが残っています／","")&amp;IF(AND($B1187&lt;&gt;"",$AQ1187&lt;&gt;""),IF(COUNTIFS($B$6:$B$3005,$B1187,$C$6:$C$3005,$C1187,$D$6:$D$3005,$D1187)&gt;1,"同じ月の請求が重複しています／",""),"")&amp;IF(AND(N($E1187)&gt;0,$AB1187&lt;&gt;"",$AB1187&lt;&gt;"×",$AE1187=0,$AD1187=""),"計算額が下限以下のため不支給／",""))</f>
        <v/>
      </c>
      <c r="AN1187" s="12" t="n"/>
      <c r="AO1187" s="14">
        <f>IF($AF1187="保留中",COUNTIF($AF$6:$AF1187,"保留中"),"")</f>
        <v/>
      </c>
      <c r="AP1187" s="14">
        <f>IF($AQ1187="","",IF(SUMPRODUCT(MAX((職員マスタ!$A$6:$A$405=$B1187)*(((職員マスタ!$G$6:$G$405="")+(職員マスタ!$G$6:$G$405&lt;=EOMONTH($AQ1187,0)))&gt;0)*(((職員マスタ!$H$6:$H$405="")+(職員マスタ!$H$6:$H$405&gt;=$AQ1187))&gt;0)*(ROW(職員マスタ!$A$6:$A$405)-5)))&gt;0,SUMPRODUCT(MAX((職員マスタ!$A$6:$A$405=$B1187)*(((職員マスタ!$G$6:$G$405="")+(職員マスタ!$G$6:$G$405&lt;=EOMONTH($AQ1187,0)))&gt;0)*(((職員マスタ!$H$6:$H$405="")+(職員マスタ!$H$6:$H$405&gt;=$AQ1187))&gt;0)*(ROW(職員マスタ!$A$6:$A$405)-5))),IFERROR(MATCH($B1187,職員マスタ!$A$6:$A$405,0),"")))</f>
        <v/>
      </c>
      <c r="AQ1187" s="16">
        <f>IF(OR($B1187="",$C1187="",$D1187=""),"",DATE($C1187+2018,$D1187,1))</f>
        <v/>
      </c>
    </row>
    <row r="1188">
      <c r="A1188" s="11" t="n"/>
      <c r="B1188" s="12" t="n"/>
      <c r="C1188" s="12" t="n"/>
      <c r="D1188" s="12" t="n"/>
      <c r="E1188" s="13" t="n"/>
      <c r="F1188" s="12" t="n"/>
      <c r="G1188" s="13" t="n"/>
      <c r="H1188" s="12" t="n"/>
      <c r="I1188" s="12" t="n"/>
      <c r="J1188" s="12" t="n"/>
      <c r="K1188" s="12" t="n"/>
      <c r="L1188" s="11" t="n"/>
      <c r="M1188" s="11" t="n"/>
      <c r="N1188" s="11" t="n"/>
      <c r="O1188" s="11" t="n"/>
      <c r="P1188" s="12" t="n"/>
      <c r="Q1188" s="11" t="n"/>
      <c r="R1188" s="12" t="n"/>
      <c r="S1188" s="11" t="n"/>
      <c r="T1188" s="12" t="n"/>
      <c r="U1188" s="12" t="n"/>
      <c r="V1188" s="12" t="n"/>
      <c r="W1188" s="13" t="n"/>
      <c r="X1188" s="14">
        <f>IF($AP1188="",IF($B1188="","",$H1188),IF(INDEX(職員マスタ!$B$6:$B$405,$AP1188)="",$H1188,INDEX(職員マスタ!$B$6:$B$405,$AP1188)))</f>
        <v/>
      </c>
      <c r="Y1188" s="14">
        <f>IF($AP1188="",IF($B1188="","",$R1188),IF(INDEX(職員マスタ!$C$6:$C$405,$AP1188)="",$R1188,INDEX(職員マスタ!$C$6:$C$405,$AP1188)))</f>
        <v/>
      </c>
      <c r="Z1188" s="14">
        <f>IF($AQ1188="","","R"&amp;$C1188&amp;"."&amp;$D1188)</f>
        <v/>
      </c>
      <c r="AA1188" s="15">
        <f>IF(IF($AP1188="",FALSE,INDEX(職員マスタ!$K$6:$K$405,$AP1188)&lt;&gt;""),INDEX(職員マスタ!$K$6:$K$405,$AP1188),IF(N($W1188)&gt;0,$W1188,""))</f>
        <v/>
      </c>
      <c r="AB1188" s="14">
        <f>IF(OR($E1188="",$AA1188=""),"",IF($E1188&gt;=$AA1188,"×",IF($E1188&gt;=$AA1188*設定!$C$5,"△","○")))</f>
        <v/>
      </c>
      <c r="AC1188" s="15">
        <f>IF($AB1188="","",IF($AB1188="×",0,IF($AB1188="○",ROUNDDOWN($E1188*設定!$C$4,0),ROUNDDOWN($E1188*ROUND((9*$AA1188-9*$E1188)/(10*$E1188),4),0))))</f>
        <v/>
      </c>
      <c r="AD1188" s="13" t="n"/>
      <c r="AE1188" s="15">
        <f>IF($B1188="","",IF($AD1188&lt;&gt;"",$AD1188,IF($AC1188="","",IF($AC1188&lt;=設定!$C$3,0,$AC1188))))</f>
        <v/>
      </c>
      <c r="AF1188" s="14">
        <f>IF($B1188="","",IF(AND($AG1188&lt;&gt;"",$AI1188="",$AL1188=""),"保留中",IF($AL1188&lt;&gt;"",IF(N($AE1188)&gt;0,"支給済","不支給"),IF($AE1188="","要確認",IF($AE1188=0,"不支給","未処理")))))</f>
        <v/>
      </c>
      <c r="AG1188" s="12" t="n"/>
      <c r="AH1188" s="11" t="n"/>
      <c r="AI1188" s="11" t="n"/>
      <c r="AJ1188" s="11" t="n"/>
      <c r="AK1188" s="14">
        <f>IF(AND($AF1188="保留中",$AH1188&lt;&gt;""),TODAY()-$AH1188,"")</f>
        <v/>
      </c>
      <c r="AL1188" s="12" t="n"/>
      <c r="AM1188" s="14">
        <f>IF($B1188="","",IF($AQ1188="","対象年月が未入力／","")&amp;IF($B1188="","",IF($AP1188="","職員マスタに未登録の職員番号／",IF($AA1188="","標準報酬月額が未登録／","")&amp;IF(AND($AQ1188&lt;&gt;"",OR(AND(INDEX(職員マスタ!$G$6:$G$405,$AP1188)&lt;&gt;"",INDEX(職員マスタ!$G$6:$G$405,$AP1188)&gt;EOMONTH($AQ1188,0)),AND(INDEX(職員マスタ!$H$6:$H$405,$AP1188)&lt;&gt;"",INDEX(職員マスタ!$H$6:$H$405,$AP1188)&lt;$AQ1188))),"対象月が時短期間外／","")&amp;IF(AND(INDEX(職員マスタ!$K$6:$K$405,$AP1188)&lt;&gt;"",N($W1188)&gt;0,INDEX(職員マスタ!$K$6:$K$405,$AP1188)&lt;&gt;$W1188),"標準報酬月額が申請書と相違（台帳"&amp;TEXT(INDEX(職員マスタ!$K$6:$K$405,$AP1188),"#,##0")&amp;"円／申請書"&amp;TEXT($W1188,"#,##0")&amp;"円）／","")&amp;IF(AND(INDEX(職員マスタ!$F$6:$F$405,$AP1188)&lt;&gt;"",$AQ1188&lt;&gt;"",INDEX(職員マスタ!$F$6:$F$405,$AP1188)&lt;$AQ1188),"対象月に子が2歳到達済／","")&amp;IF(AND($H1188&lt;&gt;"",INDEX(職員マスタ!$B$6:$B$405,$AP1188)&lt;&gt;"",SUBSTITUTE(SUBSTITUTE($H1188," ","")," ","")&lt;&gt;SUBSTITUTE(SUBSTITUTE(INDEX(職員マスタ!$B$6:$B$405,$AP1188)," ","")," ","")),"氏名がマスタと相違／","")&amp;IF(AND($Q1188&lt;&gt;"",INDEX(職員マスタ!$E$6:$E$405,$AP1188)&lt;&gt;"",$Q1188&lt;&gt;INDEX(職員マスタ!$E$6:$E$405,$AP1188)),"子の生年月日がマスタと相違／","")&amp;IF(AND($L1188&lt;&gt;"",INDEX(職員マスタ!$G$6:$G$405,$AP1188)&lt;&gt;"",$L1188&lt;&gt;INDEX(職員マスタ!$G$6:$G$405,$AP1188)),"時短開始日がマスタと相違／","")&amp;IF(AND($M1188&lt;&gt;"",INDEX(職員マスタ!$H$6:$H$405,$AP1188)&lt;&gt;"",$M1188&lt;&gt;INDEX(職員マスタ!$H$6:$H$405,$AP1188)),"時短終了日がマスタと相違／","")))&amp;IF(AND($B1188&lt;&gt;"",$E1188=""),"報酬額が未入力／","")&amp;IF(N($U1188)&gt;0,"申請書に入力エラーが残っています／","")&amp;IF(AND($B1188&lt;&gt;"",$AQ1188&lt;&gt;""),IF(COUNTIFS($B$6:$B$3005,$B1188,$C$6:$C$3005,$C1188,$D$6:$D$3005,$D1188)&gt;1,"同じ月の請求が重複しています／",""),"")&amp;IF(AND(N($E1188)&gt;0,$AB1188&lt;&gt;"",$AB1188&lt;&gt;"×",$AE1188=0,$AD1188=""),"計算額が下限以下のため不支給／",""))</f>
        <v/>
      </c>
      <c r="AN1188" s="12" t="n"/>
      <c r="AO1188" s="14">
        <f>IF($AF1188="保留中",COUNTIF($AF$6:$AF1188,"保留中"),"")</f>
        <v/>
      </c>
      <c r="AP1188" s="14">
        <f>IF($AQ1188="","",IF(SUMPRODUCT(MAX((職員マスタ!$A$6:$A$405=$B1188)*(((職員マスタ!$G$6:$G$405="")+(職員マスタ!$G$6:$G$405&lt;=EOMONTH($AQ1188,0)))&gt;0)*(((職員マスタ!$H$6:$H$405="")+(職員マスタ!$H$6:$H$405&gt;=$AQ1188))&gt;0)*(ROW(職員マスタ!$A$6:$A$405)-5)))&gt;0,SUMPRODUCT(MAX((職員マスタ!$A$6:$A$405=$B1188)*(((職員マスタ!$G$6:$G$405="")+(職員マスタ!$G$6:$G$405&lt;=EOMONTH($AQ1188,0)))&gt;0)*(((職員マスタ!$H$6:$H$405="")+(職員マスタ!$H$6:$H$405&gt;=$AQ1188))&gt;0)*(ROW(職員マスタ!$A$6:$A$405)-5))),IFERROR(MATCH($B1188,職員マスタ!$A$6:$A$405,0),"")))</f>
        <v/>
      </c>
      <c r="AQ1188" s="16">
        <f>IF(OR($B1188="",$C1188="",$D1188=""),"",DATE($C1188+2018,$D1188,1))</f>
        <v/>
      </c>
    </row>
    <row r="1189">
      <c r="A1189" s="11" t="n"/>
      <c r="B1189" s="12" t="n"/>
      <c r="C1189" s="12" t="n"/>
      <c r="D1189" s="12" t="n"/>
      <c r="E1189" s="13" t="n"/>
      <c r="F1189" s="12" t="n"/>
      <c r="G1189" s="13" t="n"/>
      <c r="H1189" s="12" t="n"/>
      <c r="I1189" s="12" t="n"/>
      <c r="J1189" s="12" t="n"/>
      <c r="K1189" s="12" t="n"/>
      <c r="L1189" s="11" t="n"/>
      <c r="M1189" s="11" t="n"/>
      <c r="N1189" s="11" t="n"/>
      <c r="O1189" s="11" t="n"/>
      <c r="P1189" s="12" t="n"/>
      <c r="Q1189" s="11" t="n"/>
      <c r="R1189" s="12" t="n"/>
      <c r="S1189" s="11" t="n"/>
      <c r="T1189" s="12" t="n"/>
      <c r="U1189" s="12" t="n"/>
      <c r="V1189" s="12" t="n"/>
      <c r="W1189" s="13" t="n"/>
      <c r="X1189" s="14">
        <f>IF($AP1189="",IF($B1189="","",$H1189),IF(INDEX(職員マスタ!$B$6:$B$405,$AP1189)="",$H1189,INDEX(職員マスタ!$B$6:$B$405,$AP1189)))</f>
        <v/>
      </c>
      <c r="Y1189" s="14">
        <f>IF($AP1189="",IF($B1189="","",$R1189),IF(INDEX(職員マスタ!$C$6:$C$405,$AP1189)="",$R1189,INDEX(職員マスタ!$C$6:$C$405,$AP1189)))</f>
        <v/>
      </c>
      <c r="Z1189" s="14">
        <f>IF($AQ1189="","","R"&amp;$C1189&amp;"."&amp;$D1189)</f>
        <v/>
      </c>
      <c r="AA1189" s="15">
        <f>IF(IF($AP1189="",FALSE,INDEX(職員マスタ!$K$6:$K$405,$AP1189)&lt;&gt;""),INDEX(職員マスタ!$K$6:$K$405,$AP1189),IF(N($W1189)&gt;0,$W1189,""))</f>
        <v/>
      </c>
      <c r="AB1189" s="14">
        <f>IF(OR($E1189="",$AA1189=""),"",IF($E1189&gt;=$AA1189,"×",IF($E1189&gt;=$AA1189*設定!$C$5,"△","○")))</f>
        <v/>
      </c>
      <c r="AC1189" s="15">
        <f>IF($AB1189="","",IF($AB1189="×",0,IF($AB1189="○",ROUNDDOWN($E1189*設定!$C$4,0),ROUNDDOWN($E1189*ROUND((9*$AA1189-9*$E1189)/(10*$E1189),4),0))))</f>
        <v/>
      </c>
      <c r="AD1189" s="13" t="n"/>
      <c r="AE1189" s="15">
        <f>IF($B1189="","",IF($AD1189&lt;&gt;"",$AD1189,IF($AC1189="","",IF($AC1189&lt;=設定!$C$3,0,$AC1189))))</f>
        <v/>
      </c>
      <c r="AF1189" s="14">
        <f>IF($B1189="","",IF(AND($AG1189&lt;&gt;"",$AI1189="",$AL1189=""),"保留中",IF($AL1189&lt;&gt;"",IF(N($AE1189)&gt;0,"支給済","不支給"),IF($AE1189="","要確認",IF($AE1189=0,"不支給","未処理")))))</f>
        <v/>
      </c>
      <c r="AG1189" s="12" t="n"/>
      <c r="AH1189" s="11" t="n"/>
      <c r="AI1189" s="11" t="n"/>
      <c r="AJ1189" s="11" t="n"/>
      <c r="AK1189" s="14">
        <f>IF(AND($AF1189="保留中",$AH1189&lt;&gt;""),TODAY()-$AH1189,"")</f>
        <v/>
      </c>
      <c r="AL1189" s="12" t="n"/>
      <c r="AM1189" s="14">
        <f>IF($B1189="","",IF($AQ1189="","対象年月が未入力／","")&amp;IF($B1189="","",IF($AP1189="","職員マスタに未登録の職員番号／",IF($AA1189="","標準報酬月額が未登録／","")&amp;IF(AND($AQ1189&lt;&gt;"",OR(AND(INDEX(職員マスタ!$G$6:$G$405,$AP1189)&lt;&gt;"",INDEX(職員マスタ!$G$6:$G$405,$AP1189)&gt;EOMONTH($AQ1189,0)),AND(INDEX(職員マスタ!$H$6:$H$405,$AP1189)&lt;&gt;"",INDEX(職員マスタ!$H$6:$H$405,$AP1189)&lt;$AQ1189))),"対象月が時短期間外／","")&amp;IF(AND(INDEX(職員マスタ!$K$6:$K$405,$AP1189)&lt;&gt;"",N($W1189)&gt;0,INDEX(職員マスタ!$K$6:$K$405,$AP1189)&lt;&gt;$W1189),"標準報酬月額が申請書と相違（台帳"&amp;TEXT(INDEX(職員マスタ!$K$6:$K$405,$AP1189),"#,##0")&amp;"円／申請書"&amp;TEXT($W1189,"#,##0")&amp;"円）／","")&amp;IF(AND(INDEX(職員マスタ!$F$6:$F$405,$AP1189)&lt;&gt;"",$AQ1189&lt;&gt;"",INDEX(職員マスタ!$F$6:$F$405,$AP1189)&lt;$AQ1189),"対象月に子が2歳到達済／","")&amp;IF(AND($H1189&lt;&gt;"",INDEX(職員マスタ!$B$6:$B$405,$AP1189)&lt;&gt;"",SUBSTITUTE(SUBSTITUTE($H1189," ","")," ","")&lt;&gt;SUBSTITUTE(SUBSTITUTE(INDEX(職員マスタ!$B$6:$B$405,$AP1189)," ","")," ","")),"氏名がマスタと相違／","")&amp;IF(AND($Q1189&lt;&gt;"",INDEX(職員マスタ!$E$6:$E$405,$AP1189)&lt;&gt;"",$Q1189&lt;&gt;INDEX(職員マスタ!$E$6:$E$405,$AP1189)),"子の生年月日がマスタと相違／","")&amp;IF(AND($L1189&lt;&gt;"",INDEX(職員マスタ!$G$6:$G$405,$AP1189)&lt;&gt;"",$L1189&lt;&gt;INDEX(職員マスタ!$G$6:$G$405,$AP1189)),"時短開始日がマスタと相違／","")&amp;IF(AND($M1189&lt;&gt;"",INDEX(職員マスタ!$H$6:$H$405,$AP1189)&lt;&gt;"",$M1189&lt;&gt;INDEX(職員マスタ!$H$6:$H$405,$AP1189)),"時短終了日がマスタと相違／","")))&amp;IF(AND($B1189&lt;&gt;"",$E1189=""),"報酬額が未入力／","")&amp;IF(N($U1189)&gt;0,"申請書に入力エラーが残っています／","")&amp;IF(AND($B1189&lt;&gt;"",$AQ1189&lt;&gt;""),IF(COUNTIFS($B$6:$B$3005,$B1189,$C$6:$C$3005,$C1189,$D$6:$D$3005,$D1189)&gt;1,"同じ月の請求が重複しています／",""),"")&amp;IF(AND(N($E1189)&gt;0,$AB1189&lt;&gt;"",$AB1189&lt;&gt;"×",$AE1189=0,$AD1189=""),"計算額が下限以下のため不支給／",""))</f>
        <v/>
      </c>
      <c r="AN1189" s="12" t="n"/>
      <c r="AO1189" s="14">
        <f>IF($AF1189="保留中",COUNTIF($AF$6:$AF1189,"保留中"),"")</f>
        <v/>
      </c>
      <c r="AP1189" s="14">
        <f>IF($AQ1189="","",IF(SUMPRODUCT(MAX((職員マスタ!$A$6:$A$405=$B1189)*(((職員マスタ!$G$6:$G$405="")+(職員マスタ!$G$6:$G$405&lt;=EOMONTH($AQ1189,0)))&gt;0)*(((職員マスタ!$H$6:$H$405="")+(職員マスタ!$H$6:$H$405&gt;=$AQ1189))&gt;0)*(ROW(職員マスタ!$A$6:$A$405)-5)))&gt;0,SUMPRODUCT(MAX((職員マスタ!$A$6:$A$405=$B1189)*(((職員マスタ!$G$6:$G$405="")+(職員マスタ!$G$6:$G$405&lt;=EOMONTH($AQ1189,0)))&gt;0)*(((職員マスタ!$H$6:$H$405="")+(職員マスタ!$H$6:$H$405&gt;=$AQ1189))&gt;0)*(ROW(職員マスタ!$A$6:$A$405)-5))),IFERROR(MATCH($B1189,職員マスタ!$A$6:$A$405,0),"")))</f>
        <v/>
      </c>
      <c r="AQ1189" s="16">
        <f>IF(OR($B1189="",$C1189="",$D1189=""),"",DATE($C1189+2018,$D1189,1))</f>
        <v/>
      </c>
    </row>
    <row r="1190">
      <c r="A1190" s="11" t="n"/>
      <c r="B1190" s="12" t="n"/>
      <c r="C1190" s="12" t="n"/>
      <c r="D1190" s="12" t="n"/>
      <c r="E1190" s="13" t="n"/>
      <c r="F1190" s="12" t="n"/>
      <c r="G1190" s="13" t="n"/>
      <c r="H1190" s="12" t="n"/>
      <c r="I1190" s="12" t="n"/>
      <c r="J1190" s="12" t="n"/>
      <c r="K1190" s="12" t="n"/>
      <c r="L1190" s="11" t="n"/>
      <c r="M1190" s="11" t="n"/>
      <c r="N1190" s="11" t="n"/>
      <c r="O1190" s="11" t="n"/>
      <c r="P1190" s="12" t="n"/>
      <c r="Q1190" s="11" t="n"/>
      <c r="R1190" s="12" t="n"/>
      <c r="S1190" s="11" t="n"/>
      <c r="T1190" s="12" t="n"/>
      <c r="U1190" s="12" t="n"/>
      <c r="V1190" s="12" t="n"/>
      <c r="W1190" s="13" t="n"/>
      <c r="X1190" s="14">
        <f>IF($AP1190="",IF($B1190="","",$H1190),IF(INDEX(職員マスタ!$B$6:$B$405,$AP1190)="",$H1190,INDEX(職員マスタ!$B$6:$B$405,$AP1190)))</f>
        <v/>
      </c>
      <c r="Y1190" s="14">
        <f>IF($AP1190="",IF($B1190="","",$R1190),IF(INDEX(職員マスタ!$C$6:$C$405,$AP1190)="",$R1190,INDEX(職員マスタ!$C$6:$C$405,$AP1190)))</f>
        <v/>
      </c>
      <c r="Z1190" s="14">
        <f>IF($AQ1190="","","R"&amp;$C1190&amp;"."&amp;$D1190)</f>
        <v/>
      </c>
      <c r="AA1190" s="15">
        <f>IF(IF($AP1190="",FALSE,INDEX(職員マスタ!$K$6:$K$405,$AP1190)&lt;&gt;""),INDEX(職員マスタ!$K$6:$K$405,$AP1190),IF(N($W1190)&gt;0,$W1190,""))</f>
        <v/>
      </c>
      <c r="AB1190" s="14">
        <f>IF(OR($E1190="",$AA1190=""),"",IF($E1190&gt;=$AA1190,"×",IF($E1190&gt;=$AA1190*設定!$C$5,"△","○")))</f>
        <v/>
      </c>
      <c r="AC1190" s="15">
        <f>IF($AB1190="","",IF($AB1190="×",0,IF($AB1190="○",ROUNDDOWN($E1190*設定!$C$4,0),ROUNDDOWN($E1190*ROUND((9*$AA1190-9*$E1190)/(10*$E1190),4),0))))</f>
        <v/>
      </c>
      <c r="AD1190" s="13" t="n"/>
      <c r="AE1190" s="15">
        <f>IF($B1190="","",IF($AD1190&lt;&gt;"",$AD1190,IF($AC1190="","",IF($AC1190&lt;=設定!$C$3,0,$AC1190))))</f>
        <v/>
      </c>
      <c r="AF1190" s="14">
        <f>IF($B1190="","",IF(AND($AG1190&lt;&gt;"",$AI1190="",$AL1190=""),"保留中",IF($AL1190&lt;&gt;"",IF(N($AE1190)&gt;0,"支給済","不支給"),IF($AE1190="","要確認",IF($AE1190=0,"不支給","未処理")))))</f>
        <v/>
      </c>
      <c r="AG1190" s="12" t="n"/>
      <c r="AH1190" s="11" t="n"/>
      <c r="AI1190" s="11" t="n"/>
      <c r="AJ1190" s="11" t="n"/>
      <c r="AK1190" s="14">
        <f>IF(AND($AF1190="保留中",$AH1190&lt;&gt;""),TODAY()-$AH1190,"")</f>
        <v/>
      </c>
      <c r="AL1190" s="12" t="n"/>
      <c r="AM1190" s="14">
        <f>IF($B1190="","",IF($AQ1190="","対象年月が未入力／","")&amp;IF($B1190="","",IF($AP1190="","職員マスタに未登録の職員番号／",IF($AA1190="","標準報酬月額が未登録／","")&amp;IF(AND($AQ1190&lt;&gt;"",OR(AND(INDEX(職員マスタ!$G$6:$G$405,$AP1190)&lt;&gt;"",INDEX(職員マスタ!$G$6:$G$405,$AP1190)&gt;EOMONTH($AQ1190,0)),AND(INDEX(職員マスタ!$H$6:$H$405,$AP1190)&lt;&gt;"",INDEX(職員マスタ!$H$6:$H$405,$AP1190)&lt;$AQ1190))),"対象月が時短期間外／","")&amp;IF(AND(INDEX(職員マスタ!$K$6:$K$405,$AP1190)&lt;&gt;"",N($W1190)&gt;0,INDEX(職員マスタ!$K$6:$K$405,$AP1190)&lt;&gt;$W1190),"標準報酬月額が申請書と相違（台帳"&amp;TEXT(INDEX(職員マスタ!$K$6:$K$405,$AP1190),"#,##0")&amp;"円／申請書"&amp;TEXT($W1190,"#,##0")&amp;"円）／","")&amp;IF(AND(INDEX(職員マスタ!$F$6:$F$405,$AP1190)&lt;&gt;"",$AQ1190&lt;&gt;"",INDEX(職員マスタ!$F$6:$F$405,$AP1190)&lt;$AQ1190),"対象月に子が2歳到達済／","")&amp;IF(AND($H1190&lt;&gt;"",INDEX(職員マスタ!$B$6:$B$405,$AP1190)&lt;&gt;"",SUBSTITUTE(SUBSTITUTE($H1190," ","")," ","")&lt;&gt;SUBSTITUTE(SUBSTITUTE(INDEX(職員マスタ!$B$6:$B$405,$AP1190)," ","")," ","")),"氏名がマスタと相違／","")&amp;IF(AND($Q1190&lt;&gt;"",INDEX(職員マスタ!$E$6:$E$405,$AP1190)&lt;&gt;"",$Q1190&lt;&gt;INDEX(職員マスタ!$E$6:$E$405,$AP1190)),"子の生年月日がマスタと相違／","")&amp;IF(AND($L1190&lt;&gt;"",INDEX(職員マスタ!$G$6:$G$405,$AP1190)&lt;&gt;"",$L1190&lt;&gt;INDEX(職員マスタ!$G$6:$G$405,$AP1190)),"時短開始日がマスタと相違／","")&amp;IF(AND($M1190&lt;&gt;"",INDEX(職員マスタ!$H$6:$H$405,$AP1190)&lt;&gt;"",$M1190&lt;&gt;INDEX(職員マスタ!$H$6:$H$405,$AP1190)),"時短終了日がマスタと相違／","")))&amp;IF(AND($B1190&lt;&gt;"",$E1190=""),"報酬額が未入力／","")&amp;IF(N($U1190)&gt;0,"申請書に入力エラーが残っています／","")&amp;IF(AND($B1190&lt;&gt;"",$AQ1190&lt;&gt;""),IF(COUNTIFS($B$6:$B$3005,$B1190,$C$6:$C$3005,$C1190,$D$6:$D$3005,$D1190)&gt;1,"同じ月の請求が重複しています／",""),"")&amp;IF(AND(N($E1190)&gt;0,$AB1190&lt;&gt;"",$AB1190&lt;&gt;"×",$AE1190=0,$AD1190=""),"計算額が下限以下のため不支給／",""))</f>
        <v/>
      </c>
      <c r="AN1190" s="12" t="n"/>
      <c r="AO1190" s="14">
        <f>IF($AF1190="保留中",COUNTIF($AF$6:$AF1190,"保留中"),"")</f>
        <v/>
      </c>
      <c r="AP1190" s="14">
        <f>IF($AQ1190="","",IF(SUMPRODUCT(MAX((職員マスタ!$A$6:$A$405=$B1190)*(((職員マスタ!$G$6:$G$405="")+(職員マスタ!$G$6:$G$405&lt;=EOMONTH($AQ1190,0)))&gt;0)*(((職員マスタ!$H$6:$H$405="")+(職員マスタ!$H$6:$H$405&gt;=$AQ1190))&gt;0)*(ROW(職員マスタ!$A$6:$A$405)-5)))&gt;0,SUMPRODUCT(MAX((職員マスタ!$A$6:$A$405=$B1190)*(((職員マスタ!$G$6:$G$405="")+(職員マスタ!$G$6:$G$405&lt;=EOMONTH($AQ1190,0)))&gt;0)*(((職員マスタ!$H$6:$H$405="")+(職員マスタ!$H$6:$H$405&gt;=$AQ1190))&gt;0)*(ROW(職員マスタ!$A$6:$A$405)-5))),IFERROR(MATCH($B1190,職員マスタ!$A$6:$A$405,0),"")))</f>
        <v/>
      </c>
      <c r="AQ1190" s="16">
        <f>IF(OR($B1190="",$C1190="",$D1190=""),"",DATE($C1190+2018,$D1190,1))</f>
        <v/>
      </c>
    </row>
    <row r="1191">
      <c r="A1191" s="11" t="n"/>
      <c r="B1191" s="12" t="n"/>
      <c r="C1191" s="12" t="n"/>
      <c r="D1191" s="12" t="n"/>
      <c r="E1191" s="13" t="n"/>
      <c r="F1191" s="12" t="n"/>
      <c r="G1191" s="13" t="n"/>
      <c r="H1191" s="12" t="n"/>
      <c r="I1191" s="12" t="n"/>
      <c r="J1191" s="12" t="n"/>
      <c r="K1191" s="12" t="n"/>
      <c r="L1191" s="11" t="n"/>
      <c r="M1191" s="11" t="n"/>
      <c r="N1191" s="11" t="n"/>
      <c r="O1191" s="11" t="n"/>
      <c r="P1191" s="12" t="n"/>
      <c r="Q1191" s="11" t="n"/>
      <c r="R1191" s="12" t="n"/>
      <c r="S1191" s="11" t="n"/>
      <c r="T1191" s="12" t="n"/>
      <c r="U1191" s="12" t="n"/>
      <c r="V1191" s="12" t="n"/>
      <c r="W1191" s="13" t="n"/>
      <c r="X1191" s="14">
        <f>IF($AP1191="",IF($B1191="","",$H1191),IF(INDEX(職員マスタ!$B$6:$B$405,$AP1191)="",$H1191,INDEX(職員マスタ!$B$6:$B$405,$AP1191)))</f>
        <v/>
      </c>
      <c r="Y1191" s="14">
        <f>IF($AP1191="",IF($B1191="","",$R1191),IF(INDEX(職員マスタ!$C$6:$C$405,$AP1191)="",$R1191,INDEX(職員マスタ!$C$6:$C$405,$AP1191)))</f>
        <v/>
      </c>
      <c r="Z1191" s="14">
        <f>IF($AQ1191="","","R"&amp;$C1191&amp;"."&amp;$D1191)</f>
        <v/>
      </c>
      <c r="AA1191" s="15">
        <f>IF(IF($AP1191="",FALSE,INDEX(職員マスタ!$K$6:$K$405,$AP1191)&lt;&gt;""),INDEX(職員マスタ!$K$6:$K$405,$AP1191),IF(N($W1191)&gt;0,$W1191,""))</f>
        <v/>
      </c>
      <c r="AB1191" s="14">
        <f>IF(OR($E1191="",$AA1191=""),"",IF($E1191&gt;=$AA1191,"×",IF($E1191&gt;=$AA1191*設定!$C$5,"△","○")))</f>
        <v/>
      </c>
      <c r="AC1191" s="15">
        <f>IF($AB1191="","",IF($AB1191="×",0,IF($AB1191="○",ROUNDDOWN($E1191*設定!$C$4,0),ROUNDDOWN($E1191*ROUND((9*$AA1191-9*$E1191)/(10*$E1191),4),0))))</f>
        <v/>
      </c>
      <c r="AD1191" s="13" t="n"/>
      <c r="AE1191" s="15">
        <f>IF($B1191="","",IF($AD1191&lt;&gt;"",$AD1191,IF($AC1191="","",IF($AC1191&lt;=設定!$C$3,0,$AC1191))))</f>
        <v/>
      </c>
      <c r="AF1191" s="14">
        <f>IF($B1191="","",IF(AND($AG1191&lt;&gt;"",$AI1191="",$AL1191=""),"保留中",IF($AL1191&lt;&gt;"",IF(N($AE1191)&gt;0,"支給済","不支給"),IF($AE1191="","要確認",IF($AE1191=0,"不支給","未処理")))))</f>
        <v/>
      </c>
      <c r="AG1191" s="12" t="n"/>
      <c r="AH1191" s="11" t="n"/>
      <c r="AI1191" s="11" t="n"/>
      <c r="AJ1191" s="11" t="n"/>
      <c r="AK1191" s="14">
        <f>IF(AND($AF1191="保留中",$AH1191&lt;&gt;""),TODAY()-$AH1191,"")</f>
        <v/>
      </c>
      <c r="AL1191" s="12" t="n"/>
      <c r="AM1191" s="14">
        <f>IF($B1191="","",IF($AQ1191="","対象年月が未入力／","")&amp;IF($B1191="","",IF($AP1191="","職員マスタに未登録の職員番号／",IF($AA1191="","標準報酬月額が未登録／","")&amp;IF(AND($AQ1191&lt;&gt;"",OR(AND(INDEX(職員マスタ!$G$6:$G$405,$AP1191)&lt;&gt;"",INDEX(職員マスタ!$G$6:$G$405,$AP1191)&gt;EOMONTH($AQ1191,0)),AND(INDEX(職員マスタ!$H$6:$H$405,$AP1191)&lt;&gt;"",INDEX(職員マスタ!$H$6:$H$405,$AP1191)&lt;$AQ1191))),"対象月が時短期間外／","")&amp;IF(AND(INDEX(職員マスタ!$K$6:$K$405,$AP1191)&lt;&gt;"",N($W1191)&gt;0,INDEX(職員マスタ!$K$6:$K$405,$AP1191)&lt;&gt;$W1191),"標準報酬月額が申請書と相違（台帳"&amp;TEXT(INDEX(職員マスタ!$K$6:$K$405,$AP1191),"#,##0")&amp;"円／申請書"&amp;TEXT($W1191,"#,##0")&amp;"円）／","")&amp;IF(AND(INDEX(職員マスタ!$F$6:$F$405,$AP1191)&lt;&gt;"",$AQ1191&lt;&gt;"",INDEX(職員マスタ!$F$6:$F$405,$AP1191)&lt;$AQ1191),"対象月に子が2歳到達済／","")&amp;IF(AND($H1191&lt;&gt;"",INDEX(職員マスタ!$B$6:$B$405,$AP1191)&lt;&gt;"",SUBSTITUTE(SUBSTITUTE($H1191," ","")," ","")&lt;&gt;SUBSTITUTE(SUBSTITUTE(INDEX(職員マスタ!$B$6:$B$405,$AP1191)," ","")," ","")),"氏名がマスタと相違／","")&amp;IF(AND($Q1191&lt;&gt;"",INDEX(職員マスタ!$E$6:$E$405,$AP1191)&lt;&gt;"",$Q1191&lt;&gt;INDEX(職員マスタ!$E$6:$E$405,$AP1191)),"子の生年月日がマスタと相違／","")&amp;IF(AND($L1191&lt;&gt;"",INDEX(職員マスタ!$G$6:$G$405,$AP1191)&lt;&gt;"",$L1191&lt;&gt;INDEX(職員マスタ!$G$6:$G$405,$AP1191)),"時短開始日がマスタと相違／","")&amp;IF(AND($M1191&lt;&gt;"",INDEX(職員マスタ!$H$6:$H$405,$AP1191)&lt;&gt;"",$M1191&lt;&gt;INDEX(職員マスタ!$H$6:$H$405,$AP1191)),"時短終了日がマスタと相違／","")))&amp;IF(AND($B1191&lt;&gt;"",$E1191=""),"報酬額が未入力／","")&amp;IF(N($U1191)&gt;0,"申請書に入力エラーが残っています／","")&amp;IF(AND($B1191&lt;&gt;"",$AQ1191&lt;&gt;""),IF(COUNTIFS($B$6:$B$3005,$B1191,$C$6:$C$3005,$C1191,$D$6:$D$3005,$D1191)&gt;1,"同じ月の請求が重複しています／",""),"")&amp;IF(AND(N($E1191)&gt;0,$AB1191&lt;&gt;"",$AB1191&lt;&gt;"×",$AE1191=0,$AD1191=""),"計算額が下限以下のため不支給／",""))</f>
        <v/>
      </c>
      <c r="AN1191" s="12" t="n"/>
      <c r="AO1191" s="14">
        <f>IF($AF1191="保留中",COUNTIF($AF$6:$AF1191,"保留中"),"")</f>
        <v/>
      </c>
      <c r="AP1191" s="14">
        <f>IF($AQ1191="","",IF(SUMPRODUCT(MAX((職員マスタ!$A$6:$A$405=$B1191)*(((職員マスタ!$G$6:$G$405="")+(職員マスタ!$G$6:$G$405&lt;=EOMONTH($AQ1191,0)))&gt;0)*(((職員マスタ!$H$6:$H$405="")+(職員マスタ!$H$6:$H$405&gt;=$AQ1191))&gt;0)*(ROW(職員マスタ!$A$6:$A$405)-5)))&gt;0,SUMPRODUCT(MAX((職員マスタ!$A$6:$A$405=$B1191)*(((職員マスタ!$G$6:$G$405="")+(職員マスタ!$G$6:$G$405&lt;=EOMONTH($AQ1191,0)))&gt;0)*(((職員マスタ!$H$6:$H$405="")+(職員マスタ!$H$6:$H$405&gt;=$AQ1191))&gt;0)*(ROW(職員マスタ!$A$6:$A$405)-5))),IFERROR(MATCH($B1191,職員マスタ!$A$6:$A$405,0),"")))</f>
        <v/>
      </c>
      <c r="AQ1191" s="16">
        <f>IF(OR($B1191="",$C1191="",$D1191=""),"",DATE($C1191+2018,$D1191,1))</f>
        <v/>
      </c>
    </row>
    <row r="1192">
      <c r="A1192" s="11" t="n"/>
      <c r="B1192" s="12" t="n"/>
      <c r="C1192" s="12" t="n"/>
      <c r="D1192" s="12" t="n"/>
      <c r="E1192" s="13" t="n"/>
      <c r="F1192" s="12" t="n"/>
      <c r="G1192" s="13" t="n"/>
      <c r="H1192" s="12" t="n"/>
      <c r="I1192" s="12" t="n"/>
      <c r="J1192" s="12" t="n"/>
      <c r="K1192" s="12" t="n"/>
      <c r="L1192" s="11" t="n"/>
      <c r="M1192" s="11" t="n"/>
      <c r="N1192" s="11" t="n"/>
      <c r="O1192" s="11" t="n"/>
      <c r="P1192" s="12" t="n"/>
      <c r="Q1192" s="11" t="n"/>
      <c r="R1192" s="12" t="n"/>
      <c r="S1192" s="11" t="n"/>
      <c r="T1192" s="12" t="n"/>
      <c r="U1192" s="12" t="n"/>
      <c r="V1192" s="12" t="n"/>
      <c r="W1192" s="13" t="n"/>
      <c r="X1192" s="14">
        <f>IF($AP1192="",IF($B1192="","",$H1192),IF(INDEX(職員マスタ!$B$6:$B$405,$AP1192)="",$H1192,INDEX(職員マスタ!$B$6:$B$405,$AP1192)))</f>
        <v/>
      </c>
      <c r="Y1192" s="14">
        <f>IF($AP1192="",IF($B1192="","",$R1192),IF(INDEX(職員マスタ!$C$6:$C$405,$AP1192)="",$R1192,INDEX(職員マスタ!$C$6:$C$405,$AP1192)))</f>
        <v/>
      </c>
      <c r="Z1192" s="14">
        <f>IF($AQ1192="","","R"&amp;$C1192&amp;"."&amp;$D1192)</f>
        <v/>
      </c>
      <c r="AA1192" s="15">
        <f>IF(IF($AP1192="",FALSE,INDEX(職員マスタ!$K$6:$K$405,$AP1192)&lt;&gt;""),INDEX(職員マスタ!$K$6:$K$405,$AP1192),IF(N($W1192)&gt;0,$W1192,""))</f>
        <v/>
      </c>
      <c r="AB1192" s="14">
        <f>IF(OR($E1192="",$AA1192=""),"",IF($E1192&gt;=$AA1192,"×",IF($E1192&gt;=$AA1192*設定!$C$5,"△","○")))</f>
        <v/>
      </c>
      <c r="AC1192" s="15">
        <f>IF($AB1192="","",IF($AB1192="×",0,IF($AB1192="○",ROUNDDOWN($E1192*設定!$C$4,0),ROUNDDOWN($E1192*ROUND((9*$AA1192-9*$E1192)/(10*$E1192),4),0))))</f>
        <v/>
      </c>
      <c r="AD1192" s="13" t="n"/>
      <c r="AE1192" s="15">
        <f>IF($B1192="","",IF($AD1192&lt;&gt;"",$AD1192,IF($AC1192="","",IF($AC1192&lt;=設定!$C$3,0,$AC1192))))</f>
        <v/>
      </c>
      <c r="AF1192" s="14">
        <f>IF($B1192="","",IF(AND($AG1192&lt;&gt;"",$AI1192="",$AL1192=""),"保留中",IF($AL1192&lt;&gt;"",IF(N($AE1192)&gt;0,"支給済","不支給"),IF($AE1192="","要確認",IF($AE1192=0,"不支給","未処理")))))</f>
        <v/>
      </c>
      <c r="AG1192" s="12" t="n"/>
      <c r="AH1192" s="11" t="n"/>
      <c r="AI1192" s="11" t="n"/>
      <c r="AJ1192" s="11" t="n"/>
      <c r="AK1192" s="14">
        <f>IF(AND($AF1192="保留中",$AH1192&lt;&gt;""),TODAY()-$AH1192,"")</f>
        <v/>
      </c>
      <c r="AL1192" s="12" t="n"/>
      <c r="AM1192" s="14">
        <f>IF($B1192="","",IF($AQ1192="","対象年月が未入力／","")&amp;IF($B1192="","",IF($AP1192="","職員マスタに未登録の職員番号／",IF($AA1192="","標準報酬月額が未登録／","")&amp;IF(AND($AQ1192&lt;&gt;"",OR(AND(INDEX(職員マスタ!$G$6:$G$405,$AP1192)&lt;&gt;"",INDEX(職員マスタ!$G$6:$G$405,$AP1192)&gt;EOMONTH($AQ1192,0)),AND(INDEX(職員マスタ!$H$6:$H$405,$AP1192)&lt;&gt;"",INDEX(職員マスタ!$H$6:$H$405,$AP1192)&lt;$AQ1192))),"対象月が時短期間外／","")&amp;IF(AND(INDEX(職員マスタ!$K$6:$K$405,$AP1192)&lt;&gt;"",N($W1192)&gt;0,INDEX(職員マスタ!$K$6:$K$405,$AP1192)&lt;&gt;$W1192),"標準報酬月額が申請書と相違（台帳"&amp;TEXT(INDEX(職員マスタ!$K$6:$K$405,$AP1192),"#,##0")&amp;"円／申請書"&amp;TEXT($W1192,"#,##0")&amp;"円）／","")&amp;IF(AND(INDEX(職員マスタ!$F$6:$F$405,$AP1192)&lt;&gt;"",$AQ1192&lt;&gt;"",INDEX(職員マスタ!$F$6:$F$405,$AP1192)&lt;$AQ1192),"対象月に子が2歳到達済／","")&amp;IF(AND($H1192&lt;&gt;"",INDEX(職員マスタ!$B$6:$B$405,$AP1192)&lt;&gt;"",SUBSTITUTE(SUBSTITUTE($H1192," ","")," ","")&lt;&gt;SUBSTITUTE(SUBSTITUTE(INDEX(職員マスタ!$B$6:$B$405,$AP1192)," ","")," ","")),"氏名がマスタと相違／","")&amp;IF(AND($Q1192&lt;&gt;"",INDEX(職員マスタ!$E$6:$E$405,$AP1192)&lt;&gt;"",$Q1192&lt;&gt;INDEX(職員マスタ!$E$6:$E$405,$AP1192)),"子の生年月日がマスタと相違／","")&amp;IF(AND($L1192&lt;&gt;"",INDEX(職員マスタ!$G$6:$G$405,$AP1192)&lt;&gt;"",$L1192&lt;&gt;INDEX(職員マスタ!$G$6:$G$405,$AP1192)),"時短開始日がマスタと相違／","")&amp;IF(AND($M1192&lt;&gt;"",INDEX(職員マスタ!$H$6:$H$405,$AP1192)&lt;&gt;"",$M1192&lt;&gt;INDEX(職員マスタ!$H$6:$H$405,$AP1192)),"時短終了日がマスタと相違／","")))&amp;IF(AND($B1192&lt;&gt;"",$E1192=""),"報酬額が未入力／","")&amp;IF(N($U1192)&gt;0,"申請書に入力エラーが残っています／","")&amp;IF(AND($B1192&lt;&gt;"",$AQ1192&lt;&gt;""),IF(COUNTIFS($B$6:$B$3005,$B1192,$C$6:$C$3005,$C1192,$D$6:$D$3005,$D1192)&gt;1,"同じ月の請求が重複しています／",""),"")&amp;IF(AND(N($E1192)&gt;0,$AB1192&lt;&gt;"",$AB1192&lt;&gt;"×",$AE1192=0,$AD1192=""),"計算額が下限以下のため不支給／",""))</f>
        <v/>
      </c>
      <c r="AN1192" s="12" t="n"/>
      <c r="AO1192" s="14">
        <f>IF($AF1192="保留中",COUNTIF($AF$6:$AF1192,"保留中"),"")</f>
        <v/>
      </c>
      <c r="AP1192" s="14">
        <f>IF($AQ1192="","",IF(SUMPRODUCT(MAX((職員マスタ!$A$6:$A$405=$B1192)*(((職員マスタ!$G$6:$G$405="")+(職員マスタ!$G$6:$G$405&lt;=EOMONTH($AQ1192,0)))&gt;0)*(((職員マスタ!$H$6:$H$405="")+(職員マスタ!$H$6:$H$405&gt;=$AQ1192))&gt;0)*(ROW(職員マスタ!$A$6:$A$405)-5)))&gt;0,SUMPRODUCT(MAX((職員マスタ!$A$6:$A$405=$B1192)*(((職員マスタ!$G$6:$G$405="")+(職員マスタ!$G$6:$G$405&lt;=EOMONTH($AQ1192,0)))&gt;0)*(((職員マスタ!$H$6:$H$405="")+(職員マスタ!$H$6:$H$405&gt;=$AQ1192))&gt;0)*(ROW(職員マスタ!$A$6:$A$405)-5))),IFERROR(MATCH($B1192,職員マスタ!$A$6:$A$405,0),"")))</f>
        <v/>
      </c>
      <c r="AQ1192" s="16">
        <f>IF(OR($B1192="",$C1192="",$D1192=""),"",DATE($C1192+2018,$D1192,1))</f>
        <v/>
      </c>
    </row>
    <row r="1193">
      <c r="A1193" s="11" t="n"/>
      <c r="B1193" s="12" t="n"/>
      <c r="C1193" s="12" t="n"/>
      <c r="D1193" s="12" t="n"/>
      <c r="E1193" s="13" t="n"/>
      <c r="F1193" s="12" t="n"/>
      <c r="G1193" s="13" t="n"/>
      <c r="H1193" s="12" t="n"/>
      <c r="I1193" s="12" t="n"/>
      <c r="J1193" s="12" t="n"/>
      <c r="K1193" s="12" t="n"/>
      <c r="L1193" s="11" t="n"/>
      <c r="M1193" s="11" t="n"/>
      <c r="N1193" s="11" t="n"/>
      <c r="O1193" s="11" t="n"/>
      <c r="P1193" s="12" t="n"/>
      <c r="Q1193" s="11" t="n"/>
      <c r="R1193" s="12" t="n"/>
      <c r="S1193" s="11" t="n"/>
      <c r="T1193" s="12" t="n"/>
      <c r="U1193" s="12" t="n"/>
      <c r="V1193" s="12" t="n"/>
      <c r="W1193" s="13" t="n"/>
      <c r="X1193" s="14">
        <f>IF($AP1193="",IF($B1193="","",$H1193),IF(INDEX(職員マスタ!$B$6:$B$405,$AP1193)="",$H1193,INDEX(職員マスタ!$B$6:$B$405,$AP1193)))</f>
        <v/>
      </c>
      <c r="Y1193" s="14">
        <f>IF($AP1193="",IF($B1193="","",$R1193),IF(INDEX(職員マスタ!$C$6:$C$405,$AP1193)="",$R1193,INDEX(職員マスタ!$C$6:$C$405,$AP1193)))</f>
        <v/>
      </c>
      <c r="Z1193" s="14">
        <f>IF($AQ1193="","","R"&amp;$C1193&amp;"."&amp;$D1193)</f>
        <v/>
      </c>
      <c r="AA1193" s="15">
        <f>IF(IF($AP1193="",FALSE,INDEX(職員マスタ!$K$6:$K$405,$AP1193)&lt;&gt;""),INDEX(職員マスタ!$K$6:$K$405,$AP1193),IF(N($W1193)&gt;0,$W1193,""))</f>
        <v/>
      </c>
      <c r="AB1193" s="14">
        <f>IF(OR($E1193="",$AA1193=""),"",IF($E1193&gt;=$AA1193,"×",IF($E1193&gt;=$AA1193*設定!$C$5,"△","○")))</f>
        <v/>
      </c>
      <c r="AC1193" s="15">
        <f>IF($AB1193="","",IF($AB1193="×",0,IF($AB1193="○",ROUNDDOWN($E1193*設定!$C$4,0),ROUNDDOWN($E1193*ROUND((9*$AA1193-9*$E1193)/(10*$E1193),4),0))))</f>
        <v/>
      </c>
      <c r="AD1193" s="13" t="n"/>
      <c r="AE1193" s="15">
        <f>IF($B1193="","",IF($AD1193&lt;&gt;"",$AD1193,IF($AC1193="","",IF($AC1193&lt;=設定!$C$3,0,$AC1193))))</f>
        <v/>
      </c>
      <c r="AF1193" s="14">
        <f>IF($B1193="","",IF(AND($AG1193&lt;&gt;"",$AI1193="",$AL1193=""),"保留中",IF($AL1193&lt;&gt;"",IF(N($AE1193)&gt;0,"支給済","不支給"),IF($AE1193="","要確認",IF($AE1193=0,"不支給","未処理")))))</f>
        <v/>
      </c>
      <c r="AG1193" s="12" t="n"/>
      <c r="AH1193" s="11" t="n"/>
      <c r="AI1193" s="11" t="n"/>
      <c r="AJ1193" s="11" t="n"/>
      <c r="AK1193" s="14">
        <f>IF(AND($AF1193="保留中",$AH1193&lt;&gt;""),TODAY()-$AH1193,"")</f>
        <v/>
      </c>
      <c r="AL1193" s="12" t="n"/>
      <c r="AM1193" s="14">
        <f>IF($B1193="","",IF($AQ1193="","対象年月が未入力／","")&amp;IF($B1193="","",IF($AP1193="","職員マスタに未登録の職員番号／",IF($AA1193="","標準報酬月額が未登録／","")&amp;IF(AND($AQ1193&lt;&gt;"",OR(AND(INDEX(職員マスタ!$G$6:$G$405,$AP1193)&lt;&gt;"",INDEX(職員マスタ!$G$6:$G$405,$AP1193)&gt;EOMONTH($AQ1193,0)),AND(INDEX(職員マスタ!$H$6:$H$405,$AP1193)&lt;&gt;"",INDEX(職員マスタ!$H$6:$H$405,$AP1193)&lt;$AQ1193))),"対象月が時短期間外／","")&amp;IF(AND(INDEX(職員マスタ!$K$6:$K$405,$AP1193)&lt;&gt;"",N($W1193)&gt;0,INDEX(職員マスタ!$K$6:$K$405,$AP1193)&lt;&gt;$W1193),"標準報酬月額が申請書と相違（台帳"&amp;TEXT(INDEX(職員マスタ!$K$6:$K$405,$AP1193),"#,##0")&amp;"円／申請書"&amp;TEXT($W1193,"#,##0")&amp;"円）／","")&amp;IF(AND(INDEX(職員マスタ!$F$6:$F$405,$AP1193)&lt;&gt;"",$AQ1193&lt;&gt;"",INDEX(職員マスタ!$F$6:$F$405,$AP1193)&lt;$AQ1193),"対象月に子が2歳到達済／","")&amp;IF(AND($H1193&lt;&gt;"",INDEX(職員マスタ!$B$6:$B$405,$AP1193)&lt;&gt;"",SUBSTITUTE(SUBSTITUTE($H1193," ","")," ","")&lt;&gt;SUBSTITUTE(SUBSTITUTE(INDEX(職員マスタ!$B$6:$B$405,$AP1193)," ","")," ","")),"氏名がマスタと相違／","")&amp;IF(AND($Q1193&lt;&gt;"",INDEX(職員マスタ!$E$6:$E$405,$AP1193)&lt;&gt;"",$Q1193&lt;&gt;INDEX(職員マスタ!$E$6:$E$405,$AP1193)),"子の生年月日がマスタと相違／","")&amp;IF(AND($L1193&lt;&gt;"",INDEX(職員マスタ!$G$6:$G$405,$AP1193)&lt;&gt;"",$L1193&lt;&gt;INDEX(職員マスタ!$G$6:$G$405,$AP1193)),"時短開始日がマスタと相違／","")&amp;IF(AND($M1193&lt;&gt;"",INDEX(職員マスタ!$H$6:$H$405,$AP1193)&lt;&gt;"",$M1193&lt;&gt;INDEX(職員マスタ!$H$6:$H$405,$AP1193)),"時短終了日がマスタと相違／","")))&amp;IF(AND($B1193&lt;&gt;"",$E1193=""),"報酬額が未入力／","")&amp;IF(N($U1193)&gt;0,"申請書に入力エラーが残っています／","")&amp;IF(AND($B1193&lt;&gt;"",$AQ1193&lt;&gt;""),IF(COUNTIFS($B$6:$B$3005,$B1193,$C$6:$C$3005,$C1193,$D$6:$D$3005,$D1193)&gt;1,"同じ月の請求が重複しています／",""),"")&amp;IF(AND(N($E1193)&gt;0,$AB1193&lt;&gt;"",$AB1193&lt;&gt;"×",$AE1193=0,$AD1193=""),"計算額が下限以下のため不支給／",""))</f>
        <v/>
      </c>
      <c r="AN1193" s="12" t="n"/>
      <c r="AO1193" s="14">
        <f>IF($AF1193="保留中",COUNTIF($AF$6:$AF1193,"保留中"),"")</f>
        <v/>
      </c>
      <c r="AP1193" s="14">
        <f>IF($AQ1193="","",IF(SUMPRODUCT(MAX((職員マスタ!$A$6:$A$405=$B1193)*(((職員マスタ!$G$6:$G$405="")+(職員マスタ!$G$6:$G$405&lt;=EOMONTH($AQ1193,0)))&gt;0)*(((職員マスタ!$H$6:$H$405="")+(職員マスタ!$H$6:$H$405&gt;=$AQ1193))&gt;0)*(ROW(職員マスタ!$A$6:$A$405)-5)))&gt;0,SUMPRODUCT(MAX((職員マスタ!$A$6:$A$405=$B1193)*(((職員マスタ!$G$6:$G$405="")+(職員マスタ!$G$6:$G$405&lt;=EOMONTH($AQ1193,0)))&gt;0)*(((職員マスタ!$H$6:$H$405="")+(職員マスタ!$H$6:$H$405&gt;=$AQ1193))&gt;0)*(ROW(職員マスタ!$A$6:$A$405)-5))),IFERROR(MATCH($B1193,職員マスタ!$A$6:$A$405,0),"")))</f>
        <v/>
      </c>
      <c r="AQ1193" s="16">
        <f>IF(OR($B1193="",$C1193="",$D1193=""),"",DATE($C1193+2018,$D1193,1))</f>
        <v/>
      </c>
    </row>
    <row r="1194">
      <c r="A1194" s="11" t="n"/>
      <c r="B1194" s="12" t="n"/>
      <c r="C1194" s="12" t="n"/>
      <c r="D1194" s="12" t="n"/>
      <c r="E1194" s="13" t="n"/>
      <c r="F1194" s="12" t="n"/>
      <c r="G1194" s="13" t="n"/>
      <c r="H1194" s="12" t="n"/>
      <c r="I1194" s="12" t="n"/>
      <c r="J1194" s="12" t="n"/>
      <c r="K1194" s="12" t="n"/>
      <c r="L1194" s="11" t="n"/>
      <c r="M1194" s="11" t="n"/>
      <c r="N1194" s="11" t="n"/>
      <c r="O1194" s="11" t="n"/>
      <c r="P1194" s="12" t="n"/>
      <c r="Q1194" s="11" t="n"/>
      <c r="R1194" s="12" t="n"/>
      <c r="S1194" s="11" t="n"/>
      <c r="T1194" s="12" t="n"/>
      <c r="U1194" s="12" t="n"/>
      <c r="V1194" s="12" t="n"/>
      <c r="W1194" s="13" t="n"/>
      <c r="X1194" s="14">
        <f>IF($AP1194="",IF($B1194="","",$H1194),IF(INDEX(職員マスタ!$B$6:$B$405,$AP1194)="",$H1194,INDEX(職員マスタ!$B$6:$B$405,$AP1194)))</f>
        <v/>
      </c>
      <c r="Y1194" s="14">
        <f>IF($AP1194="",IF($B1194="","",$R1194),IF(INDEX(職員マスタ!$C$6:$C$405,$AP1194)="",$R1194,INDEX(職員マスタ!$C$6:$C$405,$AP1194)))</f>
        <v/>
      </c>
      <c r="Z1194" s="14">
        <f>IF($AQ1194="","","R"&amp;$C1194&amp;"."&amp;$D1194)</f>
        <v/>
      </c>
      <c r="AA1194" s="15">
        <f>IF(IF($AP1194="",FALSE,INDEX(職員マスタ!$K$6:$K$405,$AP1194)&lt;&gt;""),INDEX(職員マスタ!$K$6:$K$405,$AP1194),IF(N($W1194)&gt;0,$W1194,""))</f>
        <v/>
      </c>
      <c r="AB1194" s="14">
        <f>IF(OR($E1194="",$AA1194=""),"",IF($E1194&gt;=$AA1194,"×",IF($E1194&gt;=$AA1194*設定!$C$5,"△","○")))</f>
        <v/>
      </c>
      <c r="AC1194" s="15">
        <f>IF($AB1194="","",IF($AB1194="×",0,IF($AB1194="○",ROUNDDOWN($E1194*設定!$C$4,0),ROUNDDOWN($E1194*ROUND((9*$AA1194-9*$E1194)/(10*$E1194),4),0))))</f>
        <v/>
      </c>
      <c r="AD1194" s="13" t="n"/>
      <c r="AE1194" s="15">
        <f>IF($B1194="","",IF($AD1194&lt;&gt;"",$AD1194,IF($AC1194="","",IF($AC1194&lt;=設定!$C$3,0,$AC1194))))</f>
        <v/>
      </c>
      <c r="AF1194" s="14">
        <f>IF($B1194="","",IF(AND($AG1194&lt;&gt;"",$AI1194="",$AL1194=""),"保留中",IF($AL1194&lt;&gt;"",IF(N($AE1194)&gt;0,"支給済","不支給"),IF($AE1194="","要確認",IF($AE1194=0,"不支給","未処理")))))</f>
        <v/>
      </c>
      <c r="AG1194" s="12" t="n"/>
      <c r="AH1194" s="11" t="n"/>
      <c r="AI1194" s="11" t="n"/>
      <c r="AJ1194" s="11" t="n"/>
      <c r="AK1194" s="14">
        <f>IF(AND($AF1194="保留中",$AH1194&lt;&gt;""),TODAY()-$AH1194,"")</f>
        <v/>
      </c>
      <c r="AL1194" s="12" t="n"/>
      <c r="AM1194" s="14">
        <f>IF($B1194="","",IF($AQ1194="","対象年月が未入力／","")&amp;IF($B1194="","",IF($AP1194="","職員マスタに未登録の職員番号／",IF($AA1194="","標準報酬月額が未登録／","")&amp;IF(AND($AQ1194&lt;&gt;"",OR(AND(INDEX(職員マスタ!$G$6:$G$405,$AP1194)&lt;&gt;"",INDEX(職員マスタ!$G$6:$G$405,$AP1194)&gt;EOMONTH($AQ1194,0)),AND(INDEX(職員マスタ!$H$6:$H$405,$AP1194)&lt;&gt;"",INDEX(職員マスタ!$H$6:$H$405,$AP1194)&lt;$AQ1194))),"対象月が時短期間外／","")&amp;IF(AND(INDEX(職員マスタ!$K$6:$K$405,$AP1194)&lt;&gt;"",N($W1194)&gt;0,INDEX(職員マスタ!$K$6:$K$405,$AP1194)&lt;&gt;$W1194),"標準報酬月額が申請書と相違（台帳"&amp;TEXT(INDEX(職員マスタ!$K$6:$K$405,$AP1194),"#,##0")&amp;"円／申請書"&amp;TEXT($W1194,"#,##0")&amp;"円）／","")&amp;IF(AND(INDEX(職員マスタ!$F$6:$F$405,$AP1194)&lt;&gt;"",$AQ1194&lt;&gt;"",INDEX(職員マスタ!$F$6:$F$405,$AP1194)&lt;$AQ1194),"対象月に子が2歳到達済／","")&amp;IF(AND($H1194&lt;&gt;"",INDEX(職員マスタ!$B$6:$B$405,$AP1194)&lt;&gt;"",SUBSTITUTE(SUBSTITUTE($H1194," ","")," ","")&lt;&gt;SUBSTITUTE(SUBSTITUTE(INDEX(職員マスタ!$B$6:$B$405,$AP1194)," ","")," ","")),"氏名がマスタと相違／","")&amp;IF(AND($Q1194&lt;&gt;"",INDEX(職員マスタ!$E$6:$E$405,$AP1194)&lt;&gt;"",$Q1194&lt;&gt;INDEX(職員マスタ!$E$6:$E$405,$AP1194)),"子の生年月日がマスタと相違／","")&amp;IF(AND($L1194&lt;&gt;"",INDEX(職員マスタ!$G$6:$G$405,$AP1194)&lt;&gt;"",$L1194&lt;&gt;INDEX(職員マスタ!$G$6:$G$405,$AP1194)),"時短開始日がマスタと相違／","")&amp;IF(AND($M1194&lt;&gt;"",INDEX(職員マスタ!$H$6:$H$405,$AP1194)&lt;&gt;"",$M1194&lt;&gt;INDEX(職員マスタ!$H$6:$H$405,$AP1194)),"時短終了日がマスタと相違／","")))&amp;IF(AND($B1194&lt;&gt;"",$E1194=""),"報酬額が未入力／","")&amp;IF(N($U1194)&gt;0,"申請書に入力エラーが残っています／","")&amp;IF(AND($B1194&lt;&gt;"",$AQ1194&lt;&gt;""),IF(COUNTIFS($B$6:$B$3005,$B1194,$C$6:$C$3005,$C1194,$D$6:$D$3005,$D1194)&gt;1,"同じ月の請求が重複しています／",""),"")&amp;IF(AND(N($E1194)&gt;0,$AB1194&lt;&gt;"",$AB1194&lt;&gt;"×",$AE1194=0,$AD1194=""),"計算額が下限以下のため不支給／",""))</f>
        <v/>
      </c>
      <c r="AN1194" s="12" t="n"/>
      <c r="AO1194" s="14">
        <f>IF($AF1194="保留中",COUNTIF($AF$6:$AF1194,"保留中"),"")</f>
        <v/>
      </c>
      <c r="AP1194" s="14">
        <f>IF($AQ1194="","",IF(SUMPRODUCT(MAX((職員マスタ!$A$6:$A$405=$B1194)*(((職員マスタ!$G$6:$G$405="")+(職員マスタ!$G$6:$G$405&lt;=EOMONTH($AQ1194,0)))&gt;0)*(((職員マスタ!$H$6:$H$405="")+(職員マスタ!$H$6:$H$405&gt;=$AQ1194))&gt;0)*(ROW(職員マスタ!$A$6:$A$405)-5)))&gt;0,SUMPRODUCT(MAX((職員マスタ!$A$6:$A$405=$B1194)*(((職員マスタ!$G$6:$G$405="")+(職員マスタ!$G$6:$G$405&lt;=EOMONTH($AQ1194,0)))&gt;0)*(((職員マスタ!$H$6:$H$405="")+(職員マスタ!$H$6:$H$405&gt;=$AQ1194))&gt;0)*(ROW(職員マスタ!$A$6:$A$405)-5))),IFERROR(MATCH($B1194,職員マスタ!$A$6:$A$405,0),"")))</f>
        <v/>
      </c>
      <c r="AQ1194" s="16">
        <f>IF(OR($B1194="",$C1194="",$D1194=""),"",DATE($C1194+2018,$D1194,1))</f>
        <v/>
      </c>
    </row>
    <row r="1195">
      <c r="A1195" s="11" t="n"/>
      <c r="B1195" s="12" t="n"/>
      <c r="C1195" s="12" t="n"/>
      <c r="D1195" s="12" t="n"/>
      <c r="E1195" s="13" t="n"/>
      <c r="F1195" s="12" t="n"/>
      <c r="G1195" s="13" t="n"/>
      <c r="H1195" s="12" t="n"/>
      <c r="I1195" s="12" t="n"/>
      <c r="J1195" s="12" t="n"/>
      <c r="K1195" s="12" t="n"/>
      <c r="L1195" s="11" t="n"/>
      <c r="M1195" s="11" t="n"/>
      <c r="N1195" s="11" t="n"/>
      <c r="O1195" s="11" t="n"/>
      <c r="P1195" s="12" t="n"/>
      <c r="Q1195" s="11" t="n"/>
      <c r="R1195" s="12" t="n"/>
      <c r="S1195" s="11" t="n"/>
      <c r="T1195" s="12" t="n"/>
      <c r="U1195" s="12" t="n"/>
      <c r="V1195" s="12" t="n"/>
      <c r="W1195" s="13" t="n"/>
      <c r="X1195" s="14">
        <f>IF($AP1195="",IF($B1195="","",$H1195),IF(INDEX(職員マスタ!$B$6:$B$405,$AP1195)="",$H1195,INDEX(職員マスタ!$B$6:$B$405,$AP1195)))</f>
        <v/>
      </c>
      <c r="Y1195" s="14">
        <f>IF($AP1195="",IF($B1195="","",$R1195),IF(INDEX(職員マスタ!$C$6:$C$405,$AP1195)="",$R1195,INDEX(職員マスタ!$C$6:$C$405,$AP1195)))</f>
        <v/>
      </c>
      <c r="Z1195" s="14">
        <f>IF($AQ1195="","","R"&amp;$C1195&amp;"."&amp;$D1195)</f>
        <v/>
      </c>
      <c r="AA1195" s="15">
        <f>IF(IF($AP1195="",FALSE,INDEX(職員マスタ!$K$6:$K$405,$AP1195)&lt;&gt;""),INDEX(職員マスタ!$K$6:$K$405,$AP1195),IF(N($W1195)&gt;0,$W1195,""))</f>
        <v/>
      </c>
      <c r="AB1195" s="14">
        <f>IF(OR($E1195="",$AA1195=""),"",IF($E1195&gt;=$AA1195,"×",IF($E1195&gt;=$AA1195*設定!$C$5,"△","○")))</f>
        <v/>
      </c>
      <c r="AC1195" s="15">
        <f>IF($AB1195="","",IF($AB1195="×",0,IF($AB1195="○",ROUNDDOWN($E1195*設定!$C$4,0),ROUNDDOWN($E1195*ROUND((9*$AA1195-9*$E1195)/(10*$E1195),4),0))))</f>
        <v/>
      </c>
      <c r="AD1195" s="13" t="n"/>
      <c r="AE1195" s="15">
        <f>IF($B1195="","",IF($AD1195&lt;&gt;"",$AD1195,IF($AC1195="","",IF($AC1195&lt;=設定!$C$3,0,$AC1195))))</f>
        <v/>
      </c>
      <c r="AF1195" s="14">
        <f>IF($B1195="","",IF(AND($AG1195&lt;&gt;"",$AI1195="",$AL1195=""),"保留中",IF($AL1195&lt;&gt;"",IF(N($AE1195)&gt;0,"支給済","不支給"),IF($AE1195="","要確認",IF($AE1195=0,"不支給","未処理")))))</f>
        <v/>
      </c>
      <c r="AG1195" s="12" t="n"/>
      <c r="AH1195" s="11" t="n"/>
      <c r="AI1195" s="11" t="n"/>
      <c r="AJ1195" s="11" t="n"/>
      <c r="AK1195" s="14">
        <f>IF(AND($AF1195="保留中",$AH1195&lt;&gt;""),TODAY()-$AH1195,"")</f>
        <v/>
      </c>
      <c r="AL1195" s="12" t="n"/>
      <c r="AM1195" s="14">
        <f>IF($B1195="","",IF($AQ1195="","対象年月が未入力／","")&amp;IF($B1195="","",IF($AP1195="","職員マスタに未登録の職員番号／",IF($AA1195="","標準報酬月額が未登録／","")&amp;IF(AND($AQ1195&lt;&gt;"",OR(AND(INDEX(職員マスタ!$G$6:$G$405,$AP1195)&lt;&gt;"",INDEX(職員マスタ!$G$6:$G$405,$AP1195)&gt;EOMONTH($AQ1195,0)),AND(INDEX(職員マスタ!$H$6:$H$405,$AP1195)&lt;&gt;"",INDEX(職員マスタ!$H$6:$H$405,$AP1195)&lt;$AQ1195))),"対象月が時短期間外／","")&amp;IF(AND(INDEX(職員マスタ!$K$6:$K$405,$AP1195)&lt;&gt;"",N($W1195)&gt;0,INDEX(職員マスタ!$K$6:$K$405,$AP1195)&lt;&gt;$W1195),"標準報酬月額が申請書と相違（台帳"&amp;TEXT(INDEX(職員マスタ!$K$6:$K$405,$AP1195),"#,##0")&amp;"円／申請書"&amp;TEXT($W1195,"#,##0")&amp;"円）／","")&amp;IF(AND(INDEX(職員マスタ!$F$6:$F$405,$AP1195)&lt;&gt;"",$AQ1195&lt;&gt;"",INDEX(職員マスタ!$F$6:$F$405,$AP1195)&lt;$AQ1195),"対象月に子が2歳到達済／","")&amp;IF(AND($H1195&lt;&gt;"",INDEX(職員マスタ!$B$6:$B$405,$AP1195)&lt;&gt;"",SUBSTITUTE(SUBSTITUTE($H1195," ","")," ","")&lt;&gt;SUBSTITUTE(SUBSTITUTE(INDEX(職員マスタ!$B$6:$B$405,$AP1195)," ","")," ","")),"氏名がマスタと相違／","")&amp;IF(AND($Q1195&lt;&gt;"",INDEX(職員マスタ!$E$6:$E$405,$AP1195)&lt;&gt;"",$Q1195&lt;&gt;INDEX(職員マスタ!$E$6:$E$405,$AP1195)),"子の生年月日がマスタと相違／","")&amp;IF(AND($L1195&lt;&gt;"",INDEX(職員マスタ!$G$6:$G$405,$AP1195)&lt;&gt;"",$L1195&lt;&gt;INDEX(職員マスタ!$G$6:$G$405,$AP1195)),"時短開始日がマスタと相違／","")&amp;IF(AND($M1195&lt;&gt;"",INDEX(職員マスタ!$H$6:$H$405,$AP1195)&lt;&gt;"",$M1195&lt;&gt;INDEX(職員マスタ!$H$6:$H$405,$AP1195)),"時短終了日がマスタと相違／","")))&amp;IF(AND($B1195&lt;&gt;"",$E1195=""),"報酬額が未入力／","")&amp;IF(N($U1195)&gt;0,"申請書に入力エラーが残っています／","")&amp;IF(AND($B1195&lt;&gt;"",$AQ1195&lt;&gt;""),IF(COUNTIFS($B$6:$B$3005,$B1195,$C$6:$C$3005,$C1195,$D$6:$D$3005,$D1195)&gt;1,"同じ月の請求が重複しています／",""),"")&amp;IF(AND(N($E1195)&gt;0,$AB1195&lt;&gt;"",$AB1195&lt;&gt;"×",$AE1195=0,$AD1195=""),"計算額が下限以下のため不支給／",""))</f>
        <v/>
      </c>
      <c r="AN1195" s="12" t="n"/>
      <c r="AO1195" s="14">
        <f>IF($AF1195="保留中",COUNTIF($AF$6:$AF1195,"保留中"),"")</f>
        <v/>
      </c>
      <c r="AP1195" s="14">
        <f>IF($AQ1195="","",IF(SUMPRODUCT(MAX((職員マスタ!$A$6:$A$405=$B1195)*(((職員マスタ!$G$6:$G$405="")+(職員マスタ!$G$6:$G$405&lt;=EOMONTH($AQ1195,0)))&gt;0)*(((職員マスタ!$H$6:$H$405="")+(職員マスタ!$H$6:$H$405&gt;=$AQ1195))&gt;0)*(ROW(職員マスタ!$A$6:$A$405)-5)))&gt;0,SUMPRODUCT(MAX((職員マスタ!$A$6:$A$405=$B1195)*(((職員マスタ!$G$6:$G$405="")+(職員マスタ!$G$6:$G$405&lt;=EOMONTH($AQ1195,0)))&gt;0)*(((職員マスタ!$H$6:$H$405="")+(職員マスタ!$H$6:$H$405&gt;=$AQ1195))&gt;0)*(ROW(職員マスタ!$A$6:$A$405)-5))),IFERROR(MATCH($B1195,職員マスタ!$A$6:$A$405,0),"")))</f>
        <v/>
      </c>
      <c r="AQ1195" s="16">
        <f>IF(OR($B1195="",$C1195="",$D1195=""),"",DATE($C1195+2018,$D1195,1))</f>
        <v/>
      </c>
    </row>
    <row r="1196">
      <c r="A1196" s="11" t="n"/>
      <c r="B1196" s="12" t="n"/>
      <c r="C1196" s="12" t="n"/>
      <c r="D1196" s="12" t="n"/>
      <c r="E1196" s="13" t="n"/>
      <c r="F1196" s="12" t="n"/>
      <c r="G1196" s="13" t="n"/>
      <c r="H1196" s="12" t="n"/>
      <c r="I1196" s="12" t="n"/>
      <c r="J1196" s="12" t="n"/>
      <c r="K1196" s="12" t="n"/>
      <c r="L1196" s="11" t="n"/>
      <c r="M1196" s="11" t="n"/>
      <c r="N1196" s="11" t="n"/>
      <c r="O1196" s="11" t="n"/>
      <c r="P1196" s="12" t="n"/>
      <c r="Q1196" s="11" t="n"/>
      <c r="R1196" s="12" t="n"/>
      <c r="S1196" s="11" t="n"/>
      <c r="T1196" s="12" t="n"/>
      <c r="U1196" s="12" t="n"/>
      <c r="V1196" s="12" t="n"/>
      <c r="W1196" s="13" t="n"/>
      <c r="X1196" s="14">
        <f>IF($AP1196="",IF($B1196="","",$H1196),IF(INDEX(職員マスタ!$B$6:$B$405,$AP1196)="",$H1196,INDEX(職員マスタ!$B$6:$B$405,$AP1196)))</f>
        <v/>
      </c>
      <c r="Y1196" s="14">
        <f>IF($AP1196="",IF($B1196="","",$R1196),IF(INDEX(職員マスタ!$C$6:$C$405,$AP1196)="",$R1196,INDEX(職員マスタ!$C$6:$C$405,$AP1196)))</f>
        <v/>
      </c>
      <c r="Z1196" s="14">
        <f>IF($AQ1196="","","R"&amp;$C1196&amp;"."&amp;$D1196)</f>
        <v/>
      </c>
      <c r="AA1196" s="15">
        <f>IF(IF($AP1196="",FALSE,INDEX(職員マスタ!$K$6:$K$405,$AP1196)&lt;&gt;""),INDEX(職員マスタ!$K$6:$K$405,$AP1196),IF(N($W1196)&gt;0,$W1196,""))</f>
        <v/>
      </c>
      <c r="AB1196" s="14">
        <f>IF(OR($E1196="",$AA1196=""),"",IF($E1196&gt;=$AA1196,"×",IF($E1196&gt;=$AA1196*設定!$C$5,"△","○")))</f>
        <v/>
      </c>
      <c r="AC1196" s="15">
        <f>IF($AB1196="","",IF($AB1196="×",0,IF($AB1196="○",ROUNDDOWN($E1196*設定!$C$4,0),ROUNDDOWN($E1196*ROUND((9*$AA1196-9*$E1196)/(10*$E1196),4),0))))</f>
        <v/>
      </c>
      <c r="AD1196" s="13" t="n"/>
      <c r="AE1196" s="15">
        <f>IF($B1196="","",IF($AD1196&lt;&gt;"",$AD1196,IF($AC1196="","",IF($AC1196&lt;=設定!$C$3,0,$AC1196))))</f>
        <v/>
      </c>
      <c r="AF1196" s="14">
        <f>IF($B1196="","",IF(AND($AG1196&lt;&gt;"",$AI1196="",$AL1196=""),"保留中",IF($AL1196&lt;&gt;"",IF(N($AE1196)&gt;0,"支給済","不支給"),IF($AE1196="","要確認",IF($AE1196=0,"不支給","未処理")))))</f>
        <v/>
      </c>
      <c r="AG1196" s="12" t="n"/>
      <c r="AH1196" s="11" t="n"/>
      <c r="AI1196" s="11" t="n"/>
      <c r="AJ1196" s="11" t="n"/>
      <c r="AK1196" s="14">
        <f>IF(AND($AF1196="保留中",$AH1196&lt;&gt;""),TODAY()-$AH1196,"")</f>
        <v/>
      </c>
      <c r="AL1196" s="12" t="n"/>
      <c r="AM1196" s="14">
        <f>IF($B1196="","",IF($AQ1196="","対象年月が未入力／","")&amp;IF($B1196="","",IF($AP1196="","職員マスタに未登録の職員番号／",IF($AA1196="","標準報酬月額が未登録／","")&amp;IF(AND($AQ1196&lt;&gt;"",OR(AND(INDEX(職員マスタ!$G$6:$G$405,$AP1196)&lt;&gt;"",INDEX(職員マスタ!$G$6:$G$405,$AP1196)&gt;EOMONTH($AQ1196,0)),AND(INDEX(職員マスタ!$H$6:$H$405,$AP1196)&lt;&gt;"",INDEX(職員マスタ!$H$6:$H$405,$AP1196)&lt;$AQ1196))),"対象月が時短期間外／","")&amp;IF(AND(INDEX(職員マスタ!$K$6:$K$405,$AP1196)&lt;&gt;"",N($W1196)&gt;0,INDEX(職員マスタ!$K$6:$K$405,$AP1196)&lt;&gt;$W1196),"標準報酬月額が申請書と相違（台帳"&amp;TEXT(INDEX(職員マスタ!$K$6:$K$405,$AP1196),"#,##0")&amp;"円／申請書"&amp;TEXT($W1196,"#,##0")&amp;"円）／","")&amp;IF(AND(INDEX(職員マスタ!$F$6:$F$405,$AP1196)&lt;&gt;"",$AQ1196&lt;&gt;"",INDEX(職員マスタ!$F$6:$F$405,$AP1196)&lt;$AQ1196),"対象月に子が2歳到達済／","")&amp;IF(AND($H1196&lt;&gt;"",INDEX(職員マスタ!$B$6:$B$405,$AP1196)&lt;&gt;"",SUBSTITUTE(SUBSTITUTE($H1196," ","")," ","")&lt;&gt;SUBSTITUTE(SUBSTITUTE(INDEX(職員マスタ!$B$6:$B$405,$AP1196)," ","")," ","")),"氏名がマスタと相違／","")&amp;IF(AND($Q1196&lt;&gt;"",INDEX(職員マスタ!$E$6:$E$405,$AP1196)&lt;&gt;"",$Q1196&lt;&gt;INDEX(職員マスタ!$E$6:$E$405,$AP1196)),"子の生年月日がマスタと相違／","")&amp;IF(AND($L1196&lt;&gt;"",INDEX(職員マスタ!$G$6:$G$405,$AP1196)&lt;&gt;"",$L1196&lt;&gt;INDEX(職員マスタ!$G$6:$G$405,$AP1196)),"時短開始日がマスタと相違／","")&amp;IF(AND($M1196&lt;&gt;"",INDEX(職員マスタ!$H$6:$H$405,$AP1196)&lt;&gt;"",$M1196&lt;&gt;INDEX(職員マスタ!$H$6:$H$405,$AP1196)),"時短終了日がマスタと相違／","")))&amp;IF(AND($B1196&lt;&gt;"",$E1196=""),"報酬額が未入力／","")&amp;IF(N($U1196)&gt;0,"申請書に入力エラーが残っています／","")&amp;IF(AND($B1196&lt;&gt;"",$AQ1196&lt;&gt;""),IF(COUNTIFS($B$6:$B$3005,$B1196,$C$6:$C$3005,$C1196,$D$6:$D$3005,$D1196)&gt;1,"同じ月の請求が重複しています／",""),"")&amp;IF(AND(N($E1196)&gt;0,$AB1196&lt;&gt;"",$AB1196&lt;&gt;"×",$AE1196=0,$AD1196=""),"計算額が下限以下のため不支給／",""))</f>
        <v/>
      </c>
      <c r="AN1196" s="12" t="n"/>
      <c r="AO1196" s="14">
        <f>IF($AF1196="保留中",COUNTIF($AF$6:$AF1196,"保留中"),"")</f>
        <v/>
      </c>
      <c r="AP1196" s="14">
        <f>IF($AQ1196="","",IF(SUMPRODUCT(MAX((職員マスタ!$A$6:$A$405=$B1196)*(((職員マスタ!$G$6:$G$405="")+(職員マスタ!$G$6:$G$405&lt;=EOMONTH($AQ1196,0)))&gt;0)*(((職員マスタ!$H$6:$H$405="")+(職員マスタ!$H$6:$H$405&gt;=$AQ1196))&gt;0)*(ROW(職員マスタ!$A$6:$A$405)-5)))&gt;0,SUMPRODUCT(MAX((職員マスタ!$A$6:$A$405=$B1196)*(((職員マスタ!$G$6:$G$405="")+(職員マスタ!$G$6:$G$405&lt;=EOMONTH($AQ1196,0)))&gt;0)*(((職員マスタ!$H$6:$H$405="")+(職員マスタ!$H$6:$H$405&gt;=$AQ1196))&gt;0)*(ROW(職員マスタ!$A$6:$A$405)-5))),IFERROR(MATCH($B1196,職員マスタ!$A$6:$A$405,0),"")))</f>
        <v/>
      </c>
      <c r="AQ1196" s="16">
        <f>IF(OR($B1196="",$C1196="",$D1196=""),"",DATE($C1196+2018,$D1196,1))</f>
        <v/>
      </c>
    </row>
    <row r="1197">
      <c r="A1197" s="11" t="n"/>
      <c r="B1197" s="12" t="n"/>
      <c r="C1197" s="12" t="n"/>
      <c r="D1197" s="12" t="n"/>
      <c r="E1197" s="13" t="n"/>
      <c r="F1197" s="12" t="n"/>
      <c r="G1197" s="13" t="n"/>
      <c r="H1197" s="12" t="n"/>
      <c r="I1197" s="12" t="n"/>
      <c r="J1197" s="12" t="n"/>
      <c r="K1197" s="12" t="n"/>
      <c r="L1197" s="11" t="n"/>
      <c r="M1197" s="11" t="n"/>
      <c r="N1197" s="11" t="n"/>
      <c r="O1197" s="11" t="n"/>
      <c r="P1197" s="12" t="n"/>
      <c r="Q1197" s="11" t="n"/>
      <c r="R1197" s="12" t="n"/>
      <c r="S1197" s="11" t="n"/>
      <c r="T1197" s="12" t="n"/>
      <c r="U1197" s="12" t="n"/>
      <c r="V1197" s="12" t="n"/>
      <c r="W1197" s="13" t="n"/>
      <c r="X1197" s="14">
        <f>IF($AP1197="",IF($B1197="","",$H1197),IF(INDEX(職員マスタ!$B$6:$B$405,$AP1197)="",$H1197,INDEX(職員マスタ!$B$6:$B$405,$AP1197)))</f>
        <v/>
      </c>
      <c r="Y1197" s="14">
        <f>IF($AP1197="",IF($B1197="","",$R1197),IF(INDEX(職員マスタ!$C$6:$C$405,$AP1197)="",$R1197,INDEX(職員マスタ!$C$6:$C$405,$AP1197)))</f>
        <v/>
      </c>
      <c r="Z1197" s="14">
        <f>IF($AQ1197="","","R"&amp;$C1197&amp;"."&amp;$D1197)</f>
        <v/>
      </c>
      <c r="AA1197" s="15">
        <f>IF(IF($AP1197="",FALSE,INDEX(職員マスタ!$K$6:$K$405,$AP1197)&lt;&gt;""),INDEX(職員マスタ!$K$6:$K$405,$AP1197),IF(N($W1197)&gt;0,$W1197,""))</f>
        <v/>
      </c>
      <c r="AB1197" s="14">
        <f>IF(OR($E1197="",$AA1197=""),"",IF($E1197&gt;=$AA1197,"×",IF($E1197&gt;=$AA1197*設定!$C$5,"△","○")))</f>
        <v/>
      </c>
      <c r="AC1197" s="15">
        <f>IF($AB1197="","",IF($AB1197="×",0,IF($AB1197="○",ROUNDDOWN($E1197*設定!$C$4,0),ROUNDDOWN($E1197*ROUND((9*$AA1197-9*$E1197)/(10*$E1197),4),0))))</f>
        <v/>
      </c>
      <c r="AD1197" s="13" t="n"/>
      <c r="AE1197" s="15">
        <f>IF($B1197="","",IF($AD1197&lt;&gt;"",$AD1197,IF($AC1197="","",IF($AC1197&lt;=設定!$C$3,0,$AC1197))))</f>
        <v/>
      </c>
      <c r="AF1197" s="14">
        <f>IF($B1197="","",IF(AND($AG1197&lt;&gt;"",$AI1197="",$AL1197=""),"保留中",IF($AL1197&lt;&gt;"",IF(N($AE1197)&gt;0,"支給済","不支給"),IF($AE1197="","要確認",IF($AE1197=0,"不支給","未処理")))))</f>
        <v/>
      </c>
      <c r="AG1197" s="12" t="n"/>
      <c r="AH1197" s="11" t="n"/>
      <c r="AI1197" s="11" t="n"/>
      <c r="AJ1197" s="11" t="n"/>
      <c r="AK1197" s="14">
        <f>IF(AND($AF1197="保留中",$AH1197&lt;&gt;""),TODAY()-$AH1197,"")</f>
        <v/>
      </c>
      <c r="AL1197" s="12" t="n"/>
      <c r="AM1197" s="14">
        <f>IF($B1197="","",IF($AQ1197="","対象年月が未入力／","")&amp;IF($B1197="","",IF($AP1197="","職員マスタに未登録の職員番号／",IF($AA1197="","標準報酬月額が未登録／","")&amp;IF(AND($AQ1197&lt;&gt;"",OR(AND(INDEX(職員マスタ!$G$6:$G$405,$AP1197)&lt;&gt;"",INDEX(職員マスタ!$G$6:$G$405,$AP1197)&gt;EOMONTH($AQ1197,0)),AND(INDEX(職員マスタ!$H$6:$H$405,$AP1197)&lt;&gt;"",INDEX(職員マスタ!$H$6:$H$405,$AP1197)&lt;$AQ1197))),"対象月が時短期間外／","")&amp;IF(AND(INDEX(職員マスタ!$K$6:$K$405,$AP1197)&lt;&gt;"",N($W1197)&gt;0,INDEX(職員マスタ!$K$6:$K$405,$AP1197)&lt;&gt;$W1197),"標準報酬月額が申請書と相違（台帳"&amp;TEXT(INDEX(職員マスタ!$K$6:$K$405,$AP1197),"#,##0")&amp;"円／申請書"&amp;TEXT($W1197,"#,##0")&amp;"円）／","")&amp;IF(AND(INDEX(職員マスタ!$F$6:$F$405,$AP1197)&lt;&gt;"",$AQ1197&lt;&gt;"",INDEX(職員マスタ!$F$6:$F$405,$AP1197)&lt;$AQ1197),"対象月に子が2歳到達済／","")&amp;IF(AND($H1197&lt;&gt;"",INDEX(職員マスタ!$B$6:$B$405,$AP1197)&lt;&gt;"",SUBSTITUTE(SUBSTITUTE($H1197," ","")," ","")&lt;&gt;SUBSTITUTE(SUBSTITUTE(INDEX(職員マスタ!$B$6:$B$405,$AP1197)," ","")," ","")),"氏名がマスタと相違／","")&amp;IF(AND($Q1197&lt;&gt;"",INDEX(職員マスタ!$E$6:$E$405,$AP1197)&lt;&gt;"",$Q1197&lt;&gt;INDEX(職員マスタ!$E$6:$E$405,$AP1197)),"子の生年月日がマスタと相違／","")&amp;IF(AND($L1197&lt;&gt;"",INDEX(職員マスタ!$G$6:$G$405,$AP1197)&lt;&gt;"",$L1197&lt;&gt;INDEX(職員マスタ!$G$6:$G$405,$AP1197)),"時短開始日がマスタと相違／","")&amp;IF(AND($M1197&lt;&gt;"",INDEX(職員マスタ!$H$6:$H$405,$AP1197)&lt;&gt;"",$M1197&lt;&gt;INDEX(職員マスタ!$H$6:$H$405,$AP1197)),"時短終了日がマスタと相違／","")))&amp;IF(AND($B1197&lt;&gt;"",$E1197=""),"報酬額が未入力／","")&amp;IF(N($U1197)&gt;0,"申請書に入力エラーが残っています／","")&amp;IF(AND($B1197&lt;&gt;"",$AQ1197&lt;&gt;""),IF(COUNTIFS($B$6:$B$3005,$B1197,$C$6:$C$3005,$C1197,$D$6:$D$3005,$D1197)&gt;1,"同じ月の請求が重複しています／",""),"")&amp;IF(AND(N($E1197)&gt;0,$AB1197&lt;&gt;"",$AB1197&lt;&gt;"×",$AE1197=0,$AD1197=""),"計算額が下限以下のため不支給／",""))</f>
        <v/>
      </c>
      <c r="AN1197" s="12" t="n"/>
      <c r="AO1197" s="14">
        <f>IF($AF1197="保留中",COUNTIF($AF$6:$AF1197,"保留中"),"")</f>
        <v/>
      </c>
      <c r="AP1197" s="14">
        <f>IF($AQ1197="","",IF(SUMPRODUCT(MAX((職員マスタ!$A$6:$A$405=$B1197)*(((職員マスタ!$G$6:$G$405="")+(職員マスタ!$G$6:$G$405&lt;=EOMONTH($AQ1197,0)))&gt;0)*(((職員マスタ!$H$6:$H$405="")+(職員マスタ!$H$6:$H$405&gt;=$AQ1197))&gt;0)*(ROW(職員マスタ!$A$6:$A$405)-5)))&gt;0,SUMPRODUCT(MAX((職員マスタ!$A$6:$A$405=$B1197)*(((職員マスタ!$G$6:$G$405="")+(職員マスタ!$G$6:$G$405&lt;=EOMONTH($AQ1197,0)))&gt;0)*(((職員マスタ!$H$6:$H$405="")+(職員マスタ!$H$6:$H$405&gt;=$AQ1197))&gt;0)*(ROW(職員マスタ!$A$6:$A$405)-5))),IFERROR(MATCH($B1197,職員マスタ!$A$6:$A$405,0),"")))</f>
        <v/>
      </c>
      <c r="AQ1197" s="16">
        <f>IF(OR($B1197="",$C1197="",$D1197=""),"",DATE($C1197+2018,$D1197,1))</f>
        <v/>
      </c>
    </row>
    <row r="1198">
      <c r="A1198" s="11" t="n"/>
      <c r="B1198" s="12" t="n"/>
      <c r="C1198" s="12" t="n"/>
      <c r="D1198" s="12" t="n"/>
      <c r="E1198" s="13" t="n"/>
      <c r="F1198" s="12" t="n"/>
      <c r="G1198" s="13" t="n"/>
      <c r="H1198" s="12" t="n"/>
      <c r="I1198" s="12" t="n"/>
      <c r="J1198" s="12" t="n"/>
      <c r="K1198" s="12" t="n"/>
      <c r="L1198" s="11" t="n"/>
      <c r="M1198" s="11" t="n"/>
      <c r="N1198" s="11" t="n"/>
      <c r="O1198" s="11" t="n"/>
      <c r="P1198" s="12" t="n"/>
      <c r="Q1198" s="11" t="n"/>
      <c r="R1198" s="12" t="n"/>
      <c r="S1198" s="11" t="n"/>
      <c r="T1198" s="12" t="n"/>
      <c r="U1198" s="12" t="n"/>
      <c r="V1198" s="12" t="n"/>
      <c r="W1198" s="13" t="n"/>
      <c r="X1198" s="14">
        <f>IF($AP1198="",IF($B1198="","",$H1198),IF(INDEX(職員マスタ!$B$6:$B$405,$AP1198)="",$H1198,INDEX(職員マスタ!$B$6:$B$405,$AP1198)))</f>
        <v/>
      </c>
      <c r="Y1198" s="14">
        <f>IF($AP1198="",IF($B1198="","",$R1198),IF(INDEX(職員マスタ!$C$6:$C$405,$AP1198)="",$R1198,INDEX(職員マスタ!$C$6:$C$405,$AP1198)))</f>
        <v/>
      </c>
      <c r="Z1198" s="14">
        <f>IF($AQ1198="","","R"&amp;$C1198&amp;"."&amp;$D1198)</f>
        <v/>
      </c>
      <c r="AA1198" s="15">
        <f>IF(IF($AP1198="",FALSE,INDEX(職員マスタ!$K$6:$K$405,$AP1198)&lt;&gt;""),INDEX(職員マスタ!$K$6:$K$405,$AP1198),IF(N($W1198)&gt;0,$W1198,""))</f>
        <v/>
      </c>
      <c r="AB1198" s="14">
        <f>IF(OR($E1198="",$AA1198=""),"",IF($E1198&gt;=$AA1198,"×",IF($E1198&gt;=$AA1198*設定!$C$5,"△","○")))</f>
        <v/>
      </c>
      <c r="AC1198" s="15">
        <f>IF($AB1198="","",IF($AB1198="×",0,IF($AB1198="○",ROUNDDOWN($E1198*設定!$C$4,0),ROUNDDOWN($E1198*ROUND((9*$AA1198-9*$E1198)/(10*$E1198),4),0))))</f>
        <v/>
      </c>
      <c r="AD1198" s="13" t="n"/>
      <c r="AE1198" s="15">
        <f>IF($B1198="","",IF($AD1198&lt;&gt;"",$AD1198,IF($AC1198="","",IF($AC1198&lt;=設定!$C$3,0,$AC1198))))</f>
        <v/>
      </c>
      <c r="AF1198" s="14">
        <f>IF($B1198="","",IF(AND($AG1198&lt;&gt;"",$AI1198="",$AL1198=""),"保留中",IF($AL1198&lt;&gt;"",IF(N($AE1198)&gt;0,"支給済","不支給"),IF($AE1198="","要確認",IF($AE1198=0,"不支給","未処理")))))</f>
        <v/>
      </c>
      <c r="AG1198" s="12" t="n"/>
      <c r="AH1198" s="11" t="n"/>
      <c r="AI1198" s="11" t="n"/>
      <c r="AJ1198" s="11" t="n"/>
      <c r="AK1198" s="14">
        <f>IF(AND($AF1198="保留中",$AH1198&lt;&gt;""),TODAY()-$AH1198,"")</f>
        <v/>
      </c>
      <c r="AL1198" s="12" t="n"/>
      <c r="AM1198" s="14">
        <f>IF($B1198="","",IF($AQ1198="","対象年月が未入力／","")&amp;IF($B1198="","",IF($AP1198="","職員マスタに未登録の職員番号／",IF($AA1198="","標準報酬月額が未登録／","")&amp;IF(AND($AQ1198&lt;&gt;"",OR(AND(INDEX(職員マスタ!$G$6:$G$405,$AP1198)&lt;&gt;"",INDEX(職員マスタ!$G$6:$G$405,$AP1198)&gt;EOMONTH($AQ1198,0)),AND(INDEX(職員マスタ!$H$6:$H$405,$AP1198)&lt;&gt;"",INDEX(職員マスタ!$H$6:$H$405,$AP1198)&lt;$AQ1198))),"対象月が時短期間外／","")&amp;IF(AND(INDEX(職員マスタ!$K$6:$K$405,$AP1198)&lt;&gt;"",N($W1198)&gt;0,INDEX(職員マスタ!$K$6:$K$405,$AP1198)&lt;&gt;$W1198),"標準報酬月額が申請書と相違（台帳"&amp;TEXT(INDEX(職員マスタ!$K$6:$K$405,$AP1198),"#,##0")&amp;"円／申請書"&amp;TEXT($W1198,"#,##0")&amp;"円）／","")&amp;IF(AND(INDEX(職員マスタ!$F$6:$F$405,$AP1198)&lt;&gt;"",$AQ1198&lt;&gt;"",INDEX(職員マスタ!$F$6:$F$405,$AP1198)&lt;$AQ1198),"対象月に子が2歳到達済／","")&amp;IF(AND($H1198&lt;&gt;"",INDEX(職員マスタ!$B$6:$B$405,$AP1198)&lt;&gt;"",SUBSTITUTE(SUBSTITUTE($H1198," ","")," ","")&lt;&gt;SUBSTITUTE(SUBSTITUTE(INDEX(職員マスタ!$B$6:$B$405,$AP1198)," ","")," ","")),"氏名がマスタと相違／","")&amp;IF(AND($Q1198&lt;&gt;"",INDEX(職員マスタ!$E$6:$E$405,$AP1198)&lt;&gt;"",$Q1198&lt;&gt;INDEX(職員マスタ!$E$6:$E$405,$AP1198)),"子の生年月日がマスタと相違／","")&amp;IF(AND($L1198&lt;&gt;"",INDEX(職員マスタ!$G$6:$G$405,$AP1198)&lt;&gt;"",$L1198&lt;&gt;INDEX(職員マスタ!$G$6:$G$405,$AP1198)),"時短開始日がマスタと相違／","")&amp;IF(AND($M1198&lt;&gt;"",INDEX(職員マスタ!$H$6:$H$405,$AP1198)&lt;&gt;"",$M1198&lt;&gt;INDEX(職員マスタ!$H$6:$H$405,$AP1198)),"時短終了日がマスタと相違／","")))&amp;IF(AND($B1198&lt;&gt;"",$E1198=""),"報酬額が未入力／","")&amp;IF(N($U1198)&gt;0,"申請書に入力エラーが残っています／","")&amp;IF(AND($B1198&lt;&gt;"",$AQ1198&lt;&gt;""),IF(COUNTIFS($B$6:$B$3005,$B1198,$C$6:$C$3005,$C1198,$D$6:$D$3005,$D1198)&gt;1,"同じ月の請求が重複しています／",""),"")&amp;IF(AND(N($E1198)&gt;0,$AB1198&lt;&gt;"",$AB1198&lt;&gt;"×",$AE1198=0,$AD1198=""),"計算額が下限以下のため不支給／",""))</f>
        <v/>
      </c>
      <c r="AN1198" s="12" t="n"/>
      <c r="AO1198" s="14">
        <f>IF($AF1198="保留中",COUNTIF($AF$6:$AF1198,"保留中"),"")</f>
        <v/>
      </c>
      <c r="AP1198" s="14">
        <f>IF($AQ1198="","",IF(SUMPRODUCT(MAX((職員マスタ!$A$6:$A$405=$B1198)*(((職員マスタ!$G$6:$G$405="")+(職員マスタ!$G$6:$G$405&lt;=EOMONTH($AQ1198,0)))&gt;0)*(((職員マスタ!$H$6:$H$405="")+(職員マスタ!$H$6:$H$405&gt;=$AQ1198))&gt;0)*(ROW(職員マスタ!$A$6:$A$405)-5)))&gt;0,SUMPRODUCT(MAX((職員マスタ!$A$6:$A$405=$B1198)*(((職員マスタ!$G$6:$G$405="")+(職員マスタ!$G$6:$G$405&lt;=EOMONTH($AQ1198,0)))&gt;0)*(((職員マスタ!$H$6:$H$405="")+(職員マスタ!$H$6:$H$405&gt;=$AQ1198))&gt;0)*(ROW(職員マスタ!$A$6:$A$405)-5))),IFERROR(MATCH($B1198,職員マスタ!$A$6:$A$405,0),"")))</f>
        <v/>
      </c>
      <c r="AQ1198" s="16">
        <f>IF(OR($B1198="",$C1198="",$D1198=""),"",DATE($C1198+2018,$D1198,1))</f>
        <v/>
      </c>
    </row>
    <row r="1199">
      <c r="A1199" s="11" t="n"/>
      <c r="B1199" s="12" t="n"/>
      <c r="C1199" s="12" t="n"/>
      <c r="D1199" s="12" t="n"/>
      <c r="E1199" s="13" t="n"/>
      <c r="F1199" s="12" t="n"/>
      <c r="G1199" s="13" t="n"/>
      <c r="H1199" s="12" t="n"/>
      <c r="I1199" s="12" t="n"/>
      <c r="J1199" s="12" t="n"/>
      <c r="K1199" s="12" t="n"/>
      <c r="L1199" s="11" t="n"/>
      <c r="M1199" s="11" t="n"/>
      <c r="N1199" s="11" t="n"/>
      <c r="O1199" s="11" t="n"/>
      <c r="P1199" s="12" t="n"/>
      <c r="Q1199" s="11" t="n"/>
      <c r="R1199" s="12" t="n"/>
      <c r="S1199" s="11" t="n"/>
      <c r="T1199" s="12" t="n"/>
      <c r="U1199" s="12" t="n"/>
      <c r="V1199" s="12" t="n"/>
      <c r="W1199" s="13" t="n"/>
      <c r="X1199" s="14">
        <f>IF($AP1199="",IF($B1199="","",$H1199),IF(INDEX(職員マスタ!$B$6:$B$405,$AP1199)="",$H1199,INDEX(職員マスタ!$B$6:$B$405,$AP1199)))</f>
        <v/>
      </c>
      <c r="Y1199" s="14">
        <f>IF($AP1199="",IF($B1199="","",$R1199),IF(INDEX(職員マスタ!$C$6:$C$405,$AP1199)="",$R1199,INDEX(職員マスタ!$C$6:$C$405,$AP1199)))</f>
        <v/>
      </c>
      <c r="Z1199" s="14">
        <f>IF($AQ1199="","","R"&amp;$C1199&amp;"."&amp;$D1199)</f>
        <v/>
      </c>
      <c r="AA1199" s="15">
        <f>IF(IF($AP1199="",FALSE,INDEX(職員マスタ!$K$6:$K$405,$AP1199)&lt;&gt;""),INDEX(職員マスタ!$K$6:$K$405,$AP1199),IF(N($W1199)&gt;0,$W1199,""))</f>
        <v/>
      </c>
      <c r="AB1199" s="14">
        <f>IF(OR($E1199="",$AA1199=""),"",IF($E1199&gt;=$AA1199,"×",IF($E1199&gt;=$AA1199*設定!$C$5,"△","○")))</f>
        <v/>
      </c>
      <c r="AC1199" s="15">
        <f>IF($AB1199="","",IF($AB1199="×",0,IF($AB1199="○",ROUNDDOWN($E1199*設定!$C$4,0),ROUNDDOWN($E1199*ROUND((9*$AA1199-9*$E1199)/(10*$E1199),4),0))))</f>
        <v/>
      </c>
      <c r="AD1199" s="13" t="n"/>
      <c r="AE1199" s="15">
        <f>IF($B1199="","",IF($AD1199&lt;&gt;"",$AD1199,IF($AC1199="","",IF($AC1199&lt;=設定!$C$3,0,$AC1199))))</f>
        <v/>
      </c>
      <c r="AF1199" s="14">
        <f>IF($B1199="","",IF(AND($AG1199&lt;&gt;"",$AI1199="",$AL1199=""),"保留中",IF($AL1199&lt;&gt;"",IF(N($AE1199)&gt;0,"支給済","不支給"),IF($AE1199="","要確認",IF($AE1199=0,"不支給","未処理")))))</f>
        <v/>
      </c>
      <c r="AG1199" s="12" t="n"/>
      <c r="AH1199" s="11" t="n"/>
      <c r="AI1199" s="11" t="n"/>
      <c r="AJ1199" s="11" t="n"/>
      <c r="AK1199" s="14">
        <f>IF(AND($AF1199="保留中",$AH1199&lt;&gt;""),TODAY()-$AH1199,"")</f>
        <v/>
      </c>
      <c r="AL1199" s="12" t="n"/>
      <c r="AM1199" s="14">
        <f>IF($B1199="","",IF($AQ1199="","対象年月が未入力／","")&amp;IF($B1199="","",IF($AP1199="","職員マスタに未登録の職員番号／",IF($AA1199="","標準報酬月額が未登録／","")&amp;IF(AND($AQ1199&lt;&gt;"",OR(AND(INDEX(職員マスタ!$G$6:$G$405,$AP1199)&lt;&gt;"",INDEX(職員マスタ!$G$6:$G$405,$AP1199)&gt;EOMONTH($AQ1199,0)),AND(INDEX(職員マスタ!$H$6:$H$405,$AP1199)&lt;&gt;"",INDEX(職員マスタ!$H$6:$H$405,$AP1199)&lt;$AQ1199))),"対象月が時短期間外／","")&amp;IF(AND(INDEX(職員マスタ!$K$6:$K$405,$AP1199)&lt;&gt;"",N($W1199)&gt;0,INDEX(職員マスタ!$K$6:$K$405,$AP1199)&lt;&gt;$W1199),"標準報酬月額が申請書と相違（台帳"&amp;TEXT(INDEX(職員マスタ!$K$6:$K$405,$AP1199),"#,##0")&amp;"円／申請書"&amp;TEXT($W1199,"#,##0")&amp;"円）／","")&amp;IF(AND(INDEX(職員マスタ!$F$6:$F$405,$AP1199)&lt;&gt;"",$AQ1199&lt;&gt;"",INDEX(職員マスタ!$F$6:$F$405,$AP1199)&lt;$AQ1199),"対象月に子が2歳到達済／","")&amp;IF(AND($H1199&lt;&gt;"",INDEX(職員マスタ!$B$6:$B$405,$AP1199)&lt;&gt;"",SUBSTITUTE(SUBSTITUTE($H1199," ","")," ","")&lt;&gt;SUBSTITUTE(SUBSTITUTE(INDEX(職員マスタ!$B$6:$B$405,$AP1199)," ","")," ","")),"氏名がマスタと相違／","")&amp;IF(AND($Q1199&lt;&gt;"",INDEX(職員マスタ!$E$6:$E$405,$AP1199)&lt;&gt;"",$Q1199&lt;&gt;INDEX(職員マスタ!$E$6:$E$405,$AP1199)),"子の生年月日がマスタと相違／","")&amp;IF(AND($L1199&lt;&gt;"",INDEX(職員マスタ!$G$6:$G$405,$AP1199)&lt;&gt;"",$L1199&lt;&gt;INDEX(職員マスタ!$G$6:$G$405,$AP1199)),"時短開始日がマスタと相違／","")&amp;IF(AND($M1199&lt;&gt;"",INDEX(職員マスタ!$H$6:$H$405,$AP1199)&lt;&gt;"",$M1199&lt;&gt;INDEX(職員マスタ!$H$6:$H$405,$AP1199)),"時短終了日がマスタと相違／","")))&amp;IF(AND($B1199&lt;&gt;"",$E1199=""),"報酬額が未入力／","")&amp;IF(N($U1199)&gt;0,"申請書に入力エラーが残っています／","")&amp;IF(AND($B1199&lt;&gt;"",$AQ1199&lt;&gt;""),IF(COUNTIFS($B$6:$B$3005,$B1199,$C$6:$C$3005,$C1199,$D$6:$D$3005,$D1199)&gt;1,"同じ月の請求が重複しています／",""),"")&amp;IF(AND(N($E1199)&gt;0,$AB1199&lt;&gt;"",$AB1199&lt;&gt;"×",$AE1199=0,$AD1199=""),"計算額が下限以下のため不支給／",""))</f>
        <v/>
      </c>
      <c r="AN1199" s="12" t="n"/>
      <c r="AO1199" s="14">
        <f>IF($AF1199="保留中",COUNTIF($AF$6:$AF1199,"保留中"),"")</f>
        <v/>
      </c>
      <c r="AP1199" s="14">
        <f>IF($AQ1199="","",IF(SUMPRODUCT(MAX((職員マスタ!$A$6:$A$405=$B1199)*(((職員マスタ!$G$6:$G$405="")+(職員マスタ!$G$6:$G$405&lt;=EOMONTH($AQ1199,0)))&gt;0)*(((職員マスタ!$H$6:$H$405="")+(職員マスタ!$H$6:$H$405&gt;=$AQ1199))&gt;0)*(ROW(職員マスタ!$A$6:$A$405)-5)))&gt;0,SUMPRODUCT(MAX((職員マスタ!$A$6:$A$405=$B1199)*(((職員マスタ!$G$6:$G$405="")+(職員マスタ!$G$6:$G$405&lt;=EOMONTH($AQ1199,0)))&gt;0)*(((職員マスタ!$H$6:$H$405="")+(職員マスタ!$H$6:$H$405&gt;=$AQ1199))&gt;0)*(ROW(職員マスタ!$A$6:$A$405)-5))),IFERROR(MATCH($B1199,職員マスタ!$A$6:$A$405,0),"")))</f>
        <v/>
      </c>
      <c r="AQ1199" s="16">
        <f>IF(OR($B1199="",$C1199="",$D1199=""),"",DATE($C1199+2018,$D1199,1))</f>
        <v/>
      </c>
    </row>
    <row r="1200">
      <c r="A1200" s="11" t="n"/>
      <c r="B1200" s="12" t="n"/>
      <c r="C1200" s="12" t="n"/>
      <c r="D1200" s="12" t="n"/>
      <c r="E1200" s="13" t="n"/>
      <c r="F1200" s="12" t="n"/>
      <c r="G1200" s="13" t="n"/>
      <c r="H1200" s="12" t="n"/>
      <c r="I1200" s="12" t="n"/>
      <c r="J1200" s="12" t="n"/>
      <c r="K1200" s="12" t="n"/>
      <c r="L1200" s="11" t="n"/>
      <c r="M1200" s="11" t="n"/>
      <c r="N1200" s="11" t="n"/>
      <c r="O1200" s="11" t="n"/>
      <c r="P1200" s="12" t="n"/>
      <c r="Q1200" s="11" t="n"/>
      <c r="R1200" s="12" t="n"/>
      <c r="S1200" s="11" t="n"/>
      <c r="T1200" s="12" t="n"/>
      <c r="U1200" s="12" t="n"/>
      <c r="V1200" s="12" t="n"/>
      <c r="W1200" s="13" t="n"/>
      <c r="X1200" s="14">
        <f>IF($AP1200="",IF($B1200="","",$H1200),IF(INDEX(職員マスタ!$B$6:$B$405,$AP1200)="",$H1200,INDEX(職員マスタ!$B$6:$B$405,$AP1200)))</f>
        <v/>
      </c>
      <c r="Y1200" s="14">
        <f>IF($AP1200="",IF($B1200="","",$R1200),IF(INDEX(職員マスタ!$C$6:$C$405,$AP1200)="",$R1200,INDEX(職員マスタ!$C$6:$C$405,$AP1200)))</f>
        <v/>
      </c>
      <c r="Z1200" s="14">
        <f>IF($AQ1200="","","R"&amp;$C1200&amp;"."&amp;$D1200)</f>
        <v/>
      </c>
      <c r="AA1200" s="15">
        <f>IF(IF($AP1200="",FALSE,INDEX(職員マスタ!$K$6:$K$405,$AP1200)&lt;&gt;""),INDEX(職員マスタ!$K$6:$K$405,$AP1200),IF(N($W1200)&gt;0,$W1200,""))</f>
        <v/>
      </c>
      <c r="AB1200" s="14">
        <f>IF(OR($E1200="",$AA1200=""),"",IF($E1200&gt;=$AA1200,"×",IF($E1200&gt;=$AA1200*設定!$C$5,"△","○")))</f>
        <v/>
      </c>
      <c r="AC1200" s="15">
        <f>IF($AB1200="","",IF($AB1200="×",0,IF($AB1200="○",ROUNDDOWN($E1200*設定!$C$4,0),ROUNDDOWN($E1200*ROUND((9*$AA1200-9*$E1200)/(10*$E1200),4),0))))</f>
        <v/>
      </c>
      <c r="AD1200" s="13" t="n"/>
      <c r="AE1200" s="15">
        <f>IF($B1200="","",IF($AD1200&lt;&gt;"",$AD1200,IF($AC1200="","",IF($AC1200&lt;=設定!$C$3,0,$AC1200))))</f>
        <v/>
      </c>
      <c r="AF1200" s="14">
        <f>IF($B1200="","",IF(AND($AG1200&lt;&gt;"",$AI1200="",$AL1200=""),"保留中",IF($AL1200&lt;&gt;"",IF(N($AE1200)&gt;0,"支給済","不支給"),IF($AE1200="","要確認",IF($AE1200=0,"不支給","未処理")))))</f>
        <v/>
      </c>
      <c r="AG1200" s="12" t="n"/>
      <c r="AH1200" s="11" t="n"/>
      <c r="AI1200" s="11" t="n"/>
      <c r="AJ1200" s="11" t="n"/>
      <c r="AK1200" s="14">
        <f>IF(AND($AF1200="保留中",$AH1200&lt;&gt;""),TODAY()-$AH1200,"")</f>
        <v/>
      </c>
      <c r="AL1200" s="12" t="n"/>
      <c r="AM1200" s="14">
        <f>IF($B1200="","",IF($AQ1200="","対象年月が未入力／","")&amp;IF($B1200="","",IF($AP1200="","職員マスタに未登録の職員番号／",IF($AA1200="","標準報酬月額が未登録／","")&amp;IF(AND($AQ1200&lt;&gt;"",OR(AND(INDEX(職員マスタ!$G$6:$G$405,$AP1200)&lt;&gt;"",INDEX(職員マスタ!$G$6:$G$405,$AP1200)&gt;EOMONTH($AQ1200,0)),AND(INDEX(職員マスタ!$H$6:$H$405,$AP1200)&lt;&gt;"",INDEX(職員マスタ!$H$6:$H$405,$AP1200)&lt;$AQ1200))),"対象月が時短期間外／","")&amp;IF(AND(INDEX(職員マスタ!$K$6:$K$405,$AP1200)&lt;&gt;"",N($W1200)&gt;0,INDEX(職員マスタ!$K$6:$K$405,$AP1200)&lt;&gt;$W1200),"標準報酬月額が申請書と相違（台帳"&amp;TEXT(INDEX(職員マスタ!$K$6:$K$405,$AP1200),"#,##0")&amp;"円／申請書"&amp;TEXT($W1200,"#,##0")&amp;"円）／","")&amp;IF(AND(INDEX(職員マスタ!$F$6:$F$405,$AP1200)&lt;&gt;"",$AQ1200&lt;&gt;"",INDEX(職員マスタ!$F$6:$F$405,$AP1200)&lt;$AQ1200),"対象月に子が2歳到達済／","")&amp;IF(AND($H1200&lt;&gt;"",INDEX(職員マスタ!$B$6:$B$405,$AP1200)&lt;&gt;"",SUBSTITUTE(SUBSTITUTE($H1200," ","")," ","")&lt;&gt;SUBSTITUTE(SUBSTITUTE(INDEX(職員マスタ!$B$6:$B$405,$AP1200)," ","")," ","")),"氏名がマスタと相違／","")&amp;IF(AND($Q1200&lt;&gt;"",INDEX(職員マスタ!$E$6:$E$405,$AP1200)&lt;&gt;"",$Q1200&lt;&gt;INDEX(職員マスタ!$E$6:$E$405,$AP1200)),"子の生年月日がマスタと相違／","")&amp;IF(AND($L1200&lt;&gt;"",INDEX(職員マスタ!$G$6:$G$405,$AP1200)&lt;&gt;"",$L1200&lt;&gt;INDEX(職員マスタ!$G$6:$G$405,$AP1200)),"時短開始日がマスタと相違／","")&amp;IF(AND($M1200&lt;&gt;"",INDEX(職員マスタ!$H$6:$H$405,$AP1200)&lt;&gt;"",$M1200&lt;&gt;INDEX(職員マスタ!$H$6:$H$405,$AP1200)),"時短終了日がマスタと相違／","")))&amp;IF(AND($B1200&lt;&gt;"",$E1200=""),"報酬額が未入力／","")&amp;IF(N($U1200)&gt;0,"申請書に入力エラーが残っています／","")&amp;IF(AND($B1200&lt;&gt;"",$AQ1200&lt;&gt;""),IF(COUNTIFS($B$6:$B$3005,$B1200,$C$6:$C$3005,$C1200,$D$6:$D$3005,$D1200)&gt;1,"同じ月の請求が重複しています／",""),"")&amp;IF(AND(N($E1200)&gt;0,$AB1200&lt;&gt;"",$AB1200&lt;&gt;"×",$AE1200=0,$AD1200=""),"計算額が下限以下のため不支給／",""))</f>
        <v/>
      </c>
      <c r="AN1200" s="12" t="n"/>
      <c r="AO1200" s="14">
        <f>IF($AF1200="保留中",COUNTIF($AF$6:$AF1200,"保留中"),"")</f>
        <v/>
      </c>
      <c r="AP1200" s="14">
        <f>IF($AQ1200="","",IF(SUMPRODUCT(MAX((職員マスタ!$A$6:$A$405=$B1200)*(((職員マスタ!$G$6:$G$405="")+(職員マスタ!$G$6:$G$405&lt;=EOMONTH($AQ1200,0)))&gt;0)*(((職員マスタ!$H$6:$H$405="")+(職員マスタ!$H$6:$H$405&gt;=$AQ1200))&gt;0)*(ROW(職員マスタ!$A$6:$A$405)-5)))&gt;0,SUMPRODUCT(MAX((職員マスタ!$A$6:$A$405=$B1200)*(((職員マスタ!$G$6:$G$405="")+(職員マスタ!$G$6:$G$405&lt;=EOMONTH($AQ1200,0)))&gt;0)*(((職員マスタ!$H$6:$H$405="")+(職員マスタ!$H$6:$H$405&gt;=$AQ1200))&gt;0)*(ROW(職員マスタ!$A$6:$A$405)-5))),IFERROR(MATCH($B1200,職員マスタ!$A$6:$A$405,0),"")))</f>
        <v/>
      </c>
      <c r="AQ1200" s="16">
        <f>IF(OR($B1200="",$C1200="",$D1200=""),"",DATE($C1200+2018,$D1200,1))</f>
        <v/>
      </c>
    </row>
    <row r="1201">
      <c r="A1201" s="11" t="n"/>
      <c r="B1201" s="12" t="n"/>
      <c r="C1201" s="12" t="n"/>
      <c r="D1201" s="12" t="n"/>
      <c r="E1201" s="13" t="n"/>
      <c r="F1201" s="12" t="n"/>
      <c r="G1201" s="13" t="n"/>
      <c r="H1201" s="12" t="n"/>
      <c r="I1201" s="12" t="n"/>
      <c r="J1201" s="12" t="n"/>
      <c r="K1201" s="12" t="n"/>
      <c r="L1201" s="11" t="n"/>
      <c r="M1201" s="11" t="n"/>
      <c r="N1201" s="11" t="n"/>
      <c r="O1201" s="11" t="n"/>
      <c r="P1201" s="12" t="n"/>
      <c r="Q1201" s="11" t="n"/>
      <c r="R1201" s="12" t="n"/>
      <c r="S1201" s="11" t="n"/>
      <c r="T1201" s="12" t="n"/>
      <c r="U1201" s="12" t="n"/>
      <c r="V1201" s="12" t="n"/>
      <c r="W1201" s="13" t="n"/>
      <c r="X1201" s="14">
        <f>IF($AP1201="",IF($B1201="","",$H1201),IF(INDEX(職員マスタ!$B$6:$B$405,$AP1201)="",$H1201,INDEX(職員マスタ!$B$6:$B$405,$AP1201)))</f>
        <v/>
      </c>
      <c r="Y1201" s="14">
        <f>IF($AP1201="",IF($B1201="","",$R1201),IF(INDEX(職員マスタ!$C$6:$C$405,$AP1201)="",$R1201,INDEX(職員マスタ!$C$6:$C$405,$AP1201)))</f>
        <v/>
      </c>
      <c r="Z1201" s="14">
        <f>IF($AQ1201="","","R"&amp;$C1201&amp;"."&amp;$D1201)</f>
        <v/>
      </c>
      <c r="AA1201" s="15">
        <f>IF(IF($AP1201="",FALSE,INDEX(職員マスタ!$K$6:$K$405,$AP1201)&lt;&gt;""),INDEX(職員マスタ!$K$6:$K$405,$AP1201),IF(N($W1201)&gt;0,$W1201,""))</f>
        <v/>
      </c>
      <c r="AB1201" s="14">
        <f>IF(OR($E1201="",$AA1201=""),"",IF($E1201&gt;=$AA1201,"×",IF($E1201&gt;=$AA1201*設定!$C$5,"△","○")))</f>
        <v/>
      </c>
      <c r="AC1201" s="15">
        <f>IF($AB1201="","",IF($AB1201="×",0,IF($AB1201="○",ROUNDDOWN($E1201*設定!$C$4,0),ROUNDDOWN($E1201*ROUND((9*$AA1201-9*$E1201)/(10*$E1201),4),0))))</f>
        <v/>
      </c>
      <c r="AD1201" s="13" t="n"/>
      <c r="AE1201" s="15">
        <f>IF($B1201="","",IF($AD1201&lt;&gt;"",$AD1201,IF($AC1201="","",IF($AC1201&lt;=設定!$C$3,0,$AC1201))))</f>
        <v/>
      </c>
      <c r="AF1201" s="14">
        <f>IF($B1201="","",IF(AND($AG1201&lt;&gt;"",$AI1201="",$AL1201=""),"保留中",IF($AL1201&lt;&gt;"",IF(N($AE1201)&gt;0,"支給済","不支給"),IF($AE1201="","要確認",IF($AE1201=0,"不支給","未処理")))))</f>
        <v/>
      </c>
      <c r="AG1201" s="12" t="n"/>
      <c r="AH1201" s="11" t="n"/>
      <c r="AI1201" s="11" t="n"/>
      <c r="AJ1201" s="11" t="n"/>
      <c r="AK1201" s="14">
        <f>IF(AND($AF1201="保留中",$AH1201&lt;&gt;""),TODAY()-$AH1201,"")</f>
        <v/>
      </c>
      <c r="AL1201" s="12" t="n"/>
      <c r="AM1201" s="14">
        <f>IF($B1201="","",IF($AQ1201="","対象年月が未入力／","")&amp;IF($B1201="","",IF($AP1201="","職員マスタに未登録の職員番号／",IF($AA1201="","標準報酬月額が未登録／","")&amp;IF(AND($AQ1201&lt;&gt;"",OR(AND(INDEX(職員マスタ!$G$6:$G$405,$AP1201)&lt;&gt;"",INDEX(職員マスタ!$G$6:$G$405,$AP1201)&gt;EOMONTH($AQ1201,0)),AND(INDEX(職員マスタ!$H$6:$H$405,$AP1201)&lt;&gt;"",INDEX(職員マスタ!$H$6:$H$405,$AP1201)&lt;$AQ1201))),"対象月が時短期間外／","")&amp;IF(AND(INDEX(職員マスタ!$K$6:$K$405,$AP1201)&lt;&gt;"",N($W1201)&gt;0,INDEX(職員マスタ!$K$6:$K$405,$AP1201)&lt;&gt;$W1201),"標準報酬月額が申請書と相違（台帳"&amp;TEXT(INDEX(職員マスタ!$K$6:$K$405,$AP1201),"#,##0")&amp;"円／申請書"&amp;TEXT($W1201,"#,##0")&amp;"円）／","")&amp;IF(AND(INDEX(職員マスタ!$F$6:$F$405,$AP1201)&lt;&gt;"",$AQ1201&lt;&gt;"",INDEX(職員マスタ!$F$6:$F$405,$AP1201)&lt;$AQ1201),"対象月に子が2歳到達済／","")&amp;IF(AND($H1201&lt;&gt;"",INDEX(職員マスタ!$B$6:$B$405,$AP1201)&lt;&gt;"",SUBSTITUTE(SUBSTITUTE($H1201," ","")," ","")&lt;&gt;SUBSTITUTE(SUBSTITUTE(INDEX(職員マスタ!$B$6:$B$405,$AP1201)," ","")," ","")),"氏名がマスタと相違／","")&amp;IF(AND($Q1201&lt;&gt;"",INDEX(職員マスタ!$E$6:$E$405,$AP1201)&lt;&gt;"",$Q1201&lt;&gt;INDEX(職員マスタ!$E$6:$E$405,$AP1201)),"子の生年月日がマスタと相違／","")&amp;IF(AND($L1201&lt;&gt;"",INDEX(職員マスタ!$G$6:$G$405,$AP1201)&lt;&gt;"",$L1201&lt;&gt;INDEX(職員マスタ!$G$6:$G$405,$AP1201)),"時短開始日がマスタと相違／","")&amp;IF(AND($M1201&lt;&gt;"",INDEX(職員マスタ!$H$6:$H$405,$AP1201)&lt;&gt;"",$M1201&lt;&gt;INDEX(職員マスタ!$H$6:$H$405,$AP1201)),"時短終了日がマスタと相違／","")))&amp;IF(AND($B1201&lt;&gt;"",$E1201=""),"報酬額が未入力／","")&amp;IF(N($U1201)&gt;0,"申請書に入力エラーが残っています／","")&amp;IF(AND($B1201&lt;&gt;"",$AQ1201&lt;&gt;""),IF(COUNTIFS($B$6:$B$3005,$B1201,$C$6:$C$3005,$C1201,$D$6:$D$3005,$D1201)&gt;1,"同じ月の請求が重複しています／",""),"")&amp;IF(AND(N($E1201)&gt;0,$AB1201&lt;&gt;"",$AB1201&lt;&gt;"×",$AE1201=0,$AD1201=""),"計算額が下限以下のため不支給／",""))</f>
        <v/>
      </c>
      <c r="AN1201" s="12" t="n"/>
      <c r="AO1201" s="14">
        <f>IF($AF1201="保留中",COUNTIF($AF$6:$AF1201,"保留中"),"")</f>
        <v/>
      </c>
      <c r="AP1201" s="14">
        <f>IF($AQ1201="","",IF(SUMPRODUCT(MAX((職員マスタ!$A$6:$A$405=$B1201)*(((職員マスタ!$G$6:$G$405="")+(職員マスタ!$G$6:$G$405&lt;=EOMONTH($AQ1201,0)))&gt;0)*(((職員マスタ!$H$6:$H$405="")+(職員マスタ!$H$6:$H$405&gt;=$AQ1201))&gt;0)*(ROW(職員マスタ!$A$6:$A$405)-5)))&gt;0,SUMPRODUCT(MAX((職員マスタ!$A$6:$A$405=$B1201)*(((職員マスタ!$G$6:$G$405="")+(職員マスタ!$G$6:$G$405&lt;=EOMONTH($AQ1201,0)))&gt;0)*(((職員マスタ!$H$6:$H$405="")+(職員マスタ!$H$6:$H$405&gt;=$AQ1201))&gt;0)*(ROW(職員マスタ!$A$6:$A$405)-5))),IFERROR(MATCH($B1201,職員マスタ!$A$6:$A$405,0),"")))</f>
        <v/>
      </c>
      <c r="AQ1201" s="16">
        <f>IF(OR($B1201="",$C1201="",$D1201=""),"",DATE($C1201+2018,$D1201,1))</f>
        <v/>
      </c>
    </row>
    <row r="1202">
      <c r="A1202" s="11" t="n"/>
      <c r="B1202" s="12" t="n"/>
      <c r="C1202" s="12" t="n"/>
      <c r="D1202" s="12" t="n"/>
      <c r="E1202" s="13" t="n"/>
      <c r="F1202" s="12" t="n"/>
      <c r="G1202" s="13" t="n"/>
      <c r="H1202" s="12" t="n"/>
      <c r="I1202" s="12" t="n"/>
      <c r="J1202" s="12" t="n"/>
      <c r="K1202" s="12" t="n"/>
      <c r="L1202" s="11" t="n"/>
      <c r="M1202" s="11" t="n"/>
      <c r="N1202" s="11" t="n"/>
      <c r="O1202" s="11" t="n"/>
      <c r="P1202" s="12" t="n"/>
      <c r="Q1202" s="11" t="n"/>
      <c r="R1202" s="12" t="n"/>
      <c r="S1202" s="11" t="n"/>
      <c r="T1202" s="12" t="n"/>
      <c r="U1202" s="12" t="n"/>
      <c r="V1202" s="12" t="n"/>
      <c r="W1202" s="13" t="n"/>
      <c r="X1202" s="14">
        <f>IF($AP1202="",IF($B1202="","",$H1202),IF(INDEX(職員マスタ!$B$6:$B$405,$AP1202)="",$H1202,INDEX(職員マスタ!$B$6:$B$405,$AP1202)))</f>
        <v/>
      </c>
      <c r="Y1202" s="14">
        <f>IF($AP1202="",IF($B1202="","",$R1202),IF(INDEX(職員マスタ!$C$6:$C$405,$AP1202)="",$R1202,INDEX(職員マスタ!$C$6:$C$405,$AP1202)))</f>
        <v/>
      </c>
      <c r="Z1202" s="14">
        <f>IF($AQ1202="","","R"&amp;$C1202&amp;"."&amp;$D1202)</f>
        <v/>
      </c>
      <c r="AA1202" s="15">
        <f>IF(IF($AP1202="",FALSE,INDEX(職員マスタ!$K$6:$K$405,$AP1202)&lt;&gt;""),INDEX(職員マスタ!$K$6:$K$405,$AP1202),IF(N($W1202)&gt;0,$W1202,""))</f>
        <v/>
      </c>
      <c r="AB1202" s="14">
        <f>IF(OR($E1202="",$AA1202=""),"",IF($E1202&gt;=$AA1202,"×",IF($E1202&gt;=$AA1202*設定!$C$5,"△","○")))</f>
        <v/>
      </c>
      <c r="AC1202" s="15">
        <f>IF($AB1202="","",IF($AB1202="×",0,IF($AB1202="○",ROUNDDOWN($E1202*設定!$C$4,0),ROUNDDOWN($E1202*ROUND((9*$AA1202-9*$E1202)/(10*$E1202),4),0))))</f>
        <v/>
      </c>
      <c r="AD1202" s="13" t="n"/>
      <c r="AE1202" s="15">
        <f>IF($B1202="","",IF($AD1202&lt;&gt;"",$AD1202,IF($AC1202="","",IF($AC1202&lt;=設定!$C$3,0,$AC1202))))</f>
        <v/>
      </c>
      <c r="AF1202" s="14">
        <f>IF($B1202="","",IF(AND($AG1202&lt;&gt;"",$AI1202="",$AL1202=""),"保留中",IF($AL1202&lt;&gt;"",IF(N($AE1202)&gt;0,"支給済","不支給"),IF($AE1202="","要確認",IF($AE1202=0,"不支給","未処理")))))</f>
        <v/>
      </c>
      <c r="AG1202" s="12" t="n"/>
      <c r="AH1202" s="11" t="n"/>
      <c r="AI1202" s="11" t="n"/>
      <c r="AJ1202" s="11" t="n"/>
      <c r="AK1202" s="14">
        <f>IF(AND($AF1202="保留中",$AH1202&lt;&gt;""),TODAY()-$AH1202,"")</f>
        <v/>
      </c>
      <c r="AL1202" s="12" t="n"/>
      <c r="AM1202" s="14">
        <f>IF($B1202="","",IF($AQ1202="","対象年月が未入力／","")&amp;IF($B1202="","",IF($AP1202="","職員マスタに未登録の職員番号／",IF($AA1202="","標準報酬月額が未登録／","")&amp;IF(AND($AQ1202&lt;&gt;"",OR(AND(INDEX(職員マスタ!$G$6:$G$405,$AP1202)&lt;&gt;"",INDEX(職員マスタ!$G$6:$G$405,$AP1202)&gt;EOMONTH($AQ1202,0)),AND(INDEX(職員マスタ!$H$6:$H$405,$AP1202)&lt;&gt;"",INDEX(職員マスタ!$H$6:$H$405,$AP1202)&lt;$AQ1202))),"対象月が時短期間外／","")&amp;IF(AND(INDEX(職員マスタ!$K$6:$K$405,$AP1202)&lt;&gt;"",N($W1202)&gt;0,INDEX(職員マスタ!$K$6:$K$405,$AP1202)&lt;&gt;$W1202),"標準報酬月額が申請書と相違（台帳"&amp;TEXT(INDEX(職員マスタ!$K$6:$K$405,$AP1202),"#,##0")&amp;"円／申請書"&amp;TEXT($W1202,"#,##0")&amp;"円）／","")&amp;IF(AND(INDEX(職員マスタ!$F$6:$F$405,$AP1202)&lt;&gt;"",$AQ1202&lt;&gt;"",INDEX(職員マスタ!$F$6:$F$405,$AP1202)&lt;$AQ1202),"対象月に子が2歳到達済／","")&amp;IF(AND($H1202&lt;&gt;"",INDEX(職員マスタ!$B$6:$B$405,$AP1202)&lt;&gt;"",SUBSTITUTE(SUBSTITUTE($H1202," ","")," ","")&lt;&gt;SUBSTITUTE(SUBSTITUTE(INDEX(職員マスタ!$B$6:$B$405,$AP1202)," ","")," ","")),"氏名がマスタと相違／","")&amp;IF(AND($Q1202&lt;&gt;"",INDEX(職員マスタ!$E$6:$E$405,$AP1202)&lt;&gt;"",$Q1202&lt;&gt;INDEX(職員マスタ!$E$6:$E$405,$AP1202)),"子の生年月日がマスタと相違／","")&amp;IF(AND($L1202&lt;&gt;"",INDEX(職員マスタ!$G$6:$G$405,$AP1202)&lt;&gt;"",$L1202&lt;&gt;INDEX(職員マスタ!$G$6:$G$405,$AP1202)),"時短開始日がマスタと相違／","")&amp;IF(AND($M1202&lt;&gt;"",INDEX(職員マスタ!$H$6:$H$405,$AP1202)&lt;&gt;"",$M1202&lt;&gt;INDEX(職員マスタ!$H$6:$H$405,$AP1202)),"時短終了日がマスタと相違／","")))&amp;IF(AND($B1202&lt;&gt;"",$E1202=""),"報酬額が未入力／","")&amp;IF(N($U1202)&gt;0,"申請書に入力エラーが残っています／","")&amp;IF(AND($B1202&lt;&gt;"",$AQ1202&lt;&gt;""),IF(COUNTIFS($B$6:$B$3005,$B1202,$C$6:$C$3005,$C1202,$D$6:$D$3005,$D1202)&gt;1,"同じ月の請求が重複しています／",""),"")&amp;IF(AND(N($E1202)&gt;0,$AB1202&lt;&gt;"",$AB1202&lt;&gt;"×",$AE1202=0,$AD1202=""),"計算額が下限以下のため不支給／",""))</f>
        <v/>
      </c>
      <c r="AN1202" s="12" t="n"/>
      <c r="AO1202" s="14">
        <f>IF($AF1202="保留中",COUNTIF($AF$6:$AF1202,"保留中"),"")</f>
        <v/>
      </c>
      <c r="AP1202" s="14">
        <f>IF($AQ1202="","",IF(SUMPRODUCT(MAX((職員マスタ!$A$6:$A$405=$B1202)*(((職員マスタ!$G$6:$G$405="")+(職員マスタ!$G$6:$G$405&lt;=EOMONTH($AQ1202,0)))&gt;0)*(((職員マスタ!$H$6:$H$405="")+(職員マスタ!$H$6:$H$405&gt;=$AQ1202))&gt;0)*(ROW(職員マスタ!$A$6:$A$405)-5)))&gt;0,SUMPRODUCT(MAX((職員マスタ!$A$6:$A$405=$B1202)*(((職員マスタ!$G$6:$G$405="")+(職員マスタ!$G$6:$G$405&lt;=EOMONTH($AQ1202,0)))&gt;0)*(((職員マスタ!$H$6:$H$405="")+(職員マスタ!$H$6:$H$405&gt;=$AQ1202))&gt;0)*(ROW(職員マスタ!$A$6:$A$405)-5))),IFERROR(MATCH($B1202,職員マスタ!$A$6:$A$405,0),"")))</f>
        <v/>
      </c>
      <c r="AQ1202" s="16">
        <f>IF(OR($B1202="",$C1202="",$D1202=""),"",DATE($C1202+2018,$D1202,1))</f>
        <v/>
      </c>
    </row>
    <row r="1203">
      <c r="A1203" s="11" t="n"/>
      <c r="B1203" s="12" t="n"/>
      <c r="C1203" s="12" t="n"/>
      <c r="D1203" s="12" t="n"/>
      <c r="E1203" s="13" t="n"/>
      <c r="F1203" s="12" t="n"/>
      <c r="G1203" s="13" t="n"/>
      <c r="H1203" s="12" t="n"/>
      <c r="I1203" s="12" t="n"/>
      <c r="J1203" s="12" t="n"/>
      <c r="K1203" s="12" t="n"/>
      <c r="L1203" s="11" t="n"/>
      <c r="M1203" s="11" t="n"/>
      <c r="N1203" s="11" t="n"/>
      <c r="O1203" s="11" t="n"/>
      <c r="P1203" s="12" t="n"/>
      <c r="Q1203" s="11" t="n"/>
      <c r="R1203" s="12" t="n"/>
      <c r="S1203" s="11" t="n"/>
      <c r="T1203" s="12" t="n"/>
      <c r="U1203" s="12" t="n"/>
      <c r="V1203" s="12" t="n"/>
      <c r="W1203" s="13" t="n"/>
      <c r="X1203" s="14">
        <f>IF($AP1203="",IF($B1203="","",$H1203),IF(INDEX(職員マスタ!$B$6:$B$405,$AP1203)="",$H1203,INDEX(職員マスタ!$B$6:$B$405,$AP1203)))</f>
        <v/>
      </c>
      <c r="Y1203" s="14">
        <f>IF($AP1203="",IF($B1203="","",$R1203),IF(INDEX(職員マスタ!$C$6:$C$405,$AP1203)="",$R1203,INDEX(職員マスタ!$C$6:$C$405,$AP1203)))</f>
        <v/>
      </c>
      <c r="Z1203" s="14">
        <f>IF($AQ1203="","","R"&amp;$C1203&amp;"."&amp;$D1203)</f>
        <v/>
      </c>
      <c r="AA1203" s="15">
        <f>IF(IF($AP1203="",FALSE,INDEX(職員マスタ!$K$6:$K$405,$AP1203)&lt;&gt;""),INDEX(職員マスタ!$K$6:$K$405,$AP1203),IF(N($W1203)&gt;0,$W1203,""))</f>
        <v/>
      </c>
      <c r="AB1203" s="14">
        <f>IF(OR($E1203="",$AA1203=""),"",IF($E1203&gt;=$AA1203,"×",IF($E1203&gt;=$AA1203*設定!$C$5,"△","○")))</f>
        <v/>
      </c>
      <c r="AC1203" s="15">
        <f>IF($AB1203="","",IF($AB1203="×",0,IF($AB1203="○",ROUNDDOWN($E1203*設定!$C$4,0),ROUNDDOWN($E1203*ROUND((9*$AA1203-9*$E1203)/(10*$E1203),4),0))))</f>
        <v/>
      </c>
      <c r="AD1203" s="13" t="n"/>
      <c r="AE1203" s="15">
        <f>IF($B1203="","",IF($AD1203&lt;&gt;"",$AD1203,IF($AC1203="","",IF($AC1203&lt;=設定!$C$3,0,$AC1203))))</f>
        <v/>
      </c>
      <c r="AF1203" s="14">
        <f>IF($B1203="","",IF(AND($AG1203&lt;&gt;"",$AI1203="",$AL1203=""),"保留中",IF($AL1203&lt;&gt;"",IF(N($AE1203)&gt;0,"支給済","不支給"),IF($AE1203="","要確認",IF($AE1203=0,"不支給","未処理")))))</f>
        <v/>
      </c>
      <c r="AG1203" s="12" t="n"/>
      <c r="AH1203" s="11" t="n"/>
      <c r="AI1203" s="11" t="n"/>
      <c r="AJ1203" s="11" t="n"/>
      <c r="AK1203" s="14">
        <f>IF(AND($AF1203="保留中",$AH1203&lt;&gt;""),TODAY()-$AH1203,"")</f>
        <v/>
      </c>
      <c r="AL1203" s="12" t="n"/>
      <c r="AM1203" s="14">
        <f>IF($B1203="","",IF($AQ1203="","対象年月が未入力／","")&amp;IF($B1203="","",IF($AP1203="","職員マスタに未登録の職員番号／",IF($AA1203="","標準報酬月額が未登録／","")&amp;IF(AND($AQ1203&lt;&gt;"",OR(AND(INDEX(職員マスタ!$G$6:$G$405,$AP1203)&lt;&gt;"",INDEX(職員マスタ!$G$6:$G$405,$AP1203)&gt;EOMONTH($AQ1203,0)),AND(INDEX(職員マスタ!$H$6:$H$405,$AP1203)&lt;&gt;"",INDEX(職員マスタ!$H$6:$H$405,$AP1203)&lt;$AQ1203))),"対象月が時短期間外／","")&amp;IF(AND(INDEX(職員マスタ!$K$6:$K$405,$AP1203)&lt;&gt;"",N($W1203)&gt;0,INDEX(職員マスタ!$K$6:$K$405,$AP1203)&lt;&gt;$W1203),"標準報酬月額が申請書と相違（台帳"&amp;TEXT(INDEX(職員マスタ!$K$6:$K$405,$AP1203),"#,##0")&amp;"円／申請書"&amp;TEXT($W1203,"#,##0")&amp;"円）／","")&amp;IF(AND(INDEX(職員マスタ!$F$6:$F$405,$AP1203)&lt;&gt;"",$AQ1203&lt;&gt;"",INDEX(職員マスタ!$F$6:$F$405,$AP1203)&lt;$AQ1203),"対象月に子が2歳到達済／","")&amp;IF(AND($H1203&lt;&gt;"",INDEX(職員マスタ!$B$6:$B$405,$AP1203)&lt;&gt;"",SUBSTITUTE(SUBSTITUTE($H1203," ","")," ","")&lt;&gt;SUBSTITUTE(SUBSTITUTE(INDEX(職員マスタ!$B$6:$B$405,$AP1203)," ","")," ","")),"氏名がマスタと相違／","")&amp;IF(AND($Q1203&lt;&gt;"",INDEX(職員マスタ!$E$6:$E$405,$AP1203)&lt;&gt;"",$Q1203&lt;&gt;INDEX(職員マスタ!$E$6:$E$405,$AP1203)),"子の生年月日がマスタと相違／","")&amp;IF(AND($L1203&lt;&gt;"",INDEX(職員マスタ!$G$6:$G$405,$AP1203)&lt;&gt;"",$L1203&lt;&gt;INDEX(職員マスタ!$G$6:$G$405,$AP1203)),"時短開始日がマスタと相違／","")&amp;IF(AND($M1203&lt;&gt;"",INDEX(職員マスタ!$H$6:$H$405,$AP1203)&lt;&gt;"",$M1203&lt;&gt;INDEX(職員マスタ!$H$6:$H$405,$AP1203)),"時短終了日がマスタと相違／","")))&amp;IF(AND($B1203&lt;&gt;"",$E1203=""),"報酬額が未入力／","")&amp;IF(N($U1203)&gt;0,"申請書に入力エラーが残っています／","")&amp;IF(AND($B1203&lt;&gt;"",$AQ1203&lt;&gt;""),IF(COUNTIFS($B$6:$B$3005,$B1203,$C$6:$C$3005,$C1203,$D$6:$D$3005,$D1203)&gt;1,"同じ月の請求が重複しています／",""),"")&amp;IF(AND(N($E1203)&gt;0,$AB1203&lt;&gt;"",$AB1203&lt;&gt;"×",$AE1203=0,$AD1203=""),"計算額が下限以下のため不支給／",""))</f>
        <v/>
      </c>
      <c r="AN1203" s="12" t="n"/>
      <c r="AO1203" s="14">
        <f>IF($AF1203="保留中",COUNTIF($AF$6:$AF1203,"保留中"),"")</f>
        <v/>
      </c>
      <c r="AP1203" s="14">
        <f>IF($AQ1203="","",IF(SUMPRODUCT(MAX((職員マスタ!$A$6:$A$405=$B1203)*(((職員マスタ!$G$6:$G$405="")+(職員マスタ!$G$6:$G$405&lt;=EOMONTH($AQ1203,0)))&gt;0)*(((職員マスタ!$H$6:$H$405="")+(職員マスタ!$H$6:$H$405&gt;=$AQ1203))&gt;0)*(ROW(職員マスタ!$A$6:$A$405)-5)))&gt;0,SUMPRODUCT(MAX((職員マスタ!$A$6:$A$405=$B1203)*(((職員マスタ!$G$6:$G$405="")+(職員マスタ!$G$6:$G$405&lt;=EOMONTH($AQ1203,0)))&gt;0)*(((職員マスタ!$H$6:$H$405="")+(職員マスタ!$H$6:$H$405&gt;=$AQ1203))&gt;0)*(ROW(職員マスタ!$A$6:$A$405)-5))),IFERROR(MATCH($B1203,職員マスタ!$A$6:$A$405,0),"")))</f>
        <v/>
      </c>
      <c r="AQ1203" s="16">
        <f>IF(OR($B1203="",$C1203="",$D1203=""),"",DATE($C1203+2018,$D1203,1))</f>
        <v/>
      </c>
    </row>
    <row r="1204">
      <c r="A1204" s="11" t="n"/>
      <c r="B1204" s="12" t="n"/>
      <c r="C1204" s="12" t="n"/>
      <c r="D1204" s="12" t="n"/>
      <c r="E1204" s="13" t="n"/>
      <c r="F1204" s="12" t="n"/>
      <c r="G1204" s="13" t="n"/>
      <c r="H1204" s="12" t="n"/>
      <c r="I1204" s="12" t="n"/>
      <c r="J1204" s="12" t="n"/>
      <c r="K1204" s="12" t="n"/>
      <c r="L1204" s="11" t="n"/>
      <c r="M1204" s="11" t="n"/>
      <c r="N1204" s="11" t="n"/>
      <c r="O1204" s="11" t="n"/>
      <c r="P1204" s="12" t="n"/>
      <c r="Q1204" s="11" t="n"/>
      <c r="R1204" s="12" t="n"/>
      <c r="S1204" s="11" t="n"/>
      <c r="T1204" s="12" t="n"/>
      <c r="U1204" s="12" t="n"/>
      <c r="V1204" s="12" t="n"/>
      <c r="W1204" s="13" t="n"/>
      <c r="X1204" s="14">
        <f>IF($AP1204="",IF($B1204="","",$H1204),IF(INDEX(職員マスタ!$B$6:$B$405,$AP1204)="",$H1204,INDEX(職員マスタ!$B$6:$B$405,$AP1204)))</f>
        <v/>
      </c>
      <c r="Y1204" s="14">
        <f>IF($AP1204="",IF($B1204="","",$R1204),IF(INDEX(職員マスタ!$C$6:$C$405,$AP1204)="",$R1204,INDEX(職員マスタ!$C$6:$C$405,$AP1204)))</f>
        <v/>
      </c>
      <c r="Z1204" s="14">
        <f>IF($AQ1204="","","R"&amp;$C1204&amp;"."&amp;$D1204)</f>
        <v/>
      </c>
      <c r="AA1204" s="15">
        <f>IF(IF($AP1204="",FALSE,INDEX(職員マスタ!$K$6:$K$405,$AP1204)&lt;&gt;""),INDEX(職員マスタ!$K$6:$K$405,$AP1204),IF(N($W1204)&gt;0,$W1204,""))</f>
        <v/>
      </c>
      <c r="AB1204" s="14">
        <f>IF(OR($E1204="",$AA1204=""),"",IF($E1204&gt;=$AA1204,"×",IF($E1204&gt;=$AA1204*設定!$C$5,"△","○")))</f>
        <v/>
      </c>
      <c r="AC1204" s="15">
        <f>IF($AB1204="","",IF($AB1204="×",0,IF($AB1204="○",ROUNDDOWN($E1204*設定!$C$4,0),ROUNDDOWN($E1204*ROUND((9*$AA1204-9*$E1204)/(10*$E1204),4),0))))</f>
        <v/>
      </c>
      <c r="AD1204" s="13" t="n"/>
      <c r="AE1204" s="15">
        <f>IF($B1204="","",IF($AD1204&lt;&gt;"",$AD1204,IF($AC1204="","",IF($AC1204&lt;=設定!$C$3,0,$AC1204))))</f>
        <v/>
      </c>
      <c r="AF1204" s="14">
        <f>IF($B1204="","",IF(AND($AG1204&lt;&gt;"",$AI1204="",$AL1204=""),"保留中",IF($AL1204&lt;&gt;"",IF(N($AE1204)&gt;0,"支給済","不支給"),IF($AE1204="","要確認",IF($AE1204=0,"不支給","未処理")))))</f>
        <v/>
      </c>
      <c r="AG1204" s="12" t="n"/>
      <c r="AH1204" s="11" t="n"/>
      <c r="AI1204" s="11" t="n"/>
      <c r="AJ1204" s="11" t="n"/>
      <c r="AK1204" s="14">
        <f>IF(AND($AF1204="保留中",$AH1204&lt;&gt;""),TODAY()-$AH1204,"")</f>
        <v/>
      </c>
      <c r="AL1204" s="12" t="n"/>
      <c r="AM1204" s="14">
        <f>IF($B1204="","",IF($AQ1204="","対象年月が未入力／","")&amp;IF($B1204="","",IF($AP1204="","職員マスタに未登録の職員番号／",IF($AA1204="","標準報酬月額が未登録／","")&amp;IF(AND($AQ1204&lt;&gt;"",OR(AND(INDEX(職員マスタ!$G$6:$G$405,$AP1204)&lt;&gt;"",INDEX(職員マスタ!$G$6:$G$405,$AP1204)&gt;EOMONTH($AQ1204,0)),AND(INDEX(職員マスタ!$H$6:$H$405,$AP1204)&lt;&gt;"",INDEX(職員マスタ!$H$6:$H$405,$AP1204)&lt;$AQ1204))),"対象月が時短期間外／","")&amp;IF(AND(INDEX(職員マスタ!$K$6:$K$405,$AP1204)&lt;&gt;"",N($W1204)&gt;0,INDEX(職員マスタ!$K$6:$K$405,$AP1204)&lt;&gt;$W1204),"標準報酬月額が申請書と相違（台帳"&amp;TEXT(INDEX(職員マスタ!$K$6:$K$405,$AP1204),"#,##0")&amp;"円／申請書"&amp;TEXT($W1204,"#,##0")&amp;"円）／","")&amp;IF(AND(INDEX(職員マスタ!$F$6:$F$405,$AP1204)&lt;&gt;"",$AQ1204&lt;&gt;"",INDEX(職員マスタ!$F$6:$F$405,$AP1204)&lt;$AQ1204),"対象月に子が2歳到達済／","")&amp;IF(AND($H1204&lt;&gt;"",INDEX(職員マスタ!$B$6:$B$405,$AP1204)&lt;&gt;"",SUBSTITUTE(SUBSTITUTE($H1204," ","")," ","")&lt;&gt;SUBSTITUTE(SUBSTITUTE(INDEX(職員マスタ!$B$6:$B$405,$AP1204)," ","")," ","")),"氏名がマスタと相違／","")&amp;IF(AND($Q1204&lt;&gt;"",INDEX(職員マスタ!$E$6:$E$405,$AP1204)&lt;&gt;"",$Q1204&lt;&gt;INDEX(職員マスタ!$E$6:$E$405,$AP1204)),"子の生年月日がマスタと相違／","")&amp;IF(AND($L1204&lt;&gt;"",INDEX(職員マスタ!$G$6:$G$405,$AP1204)&lt;&gt;"",$L1204&lt;&gt;INDEX(職員マスタ!$G$6:$G$405,$AP1204)),"時短開始日がマスタと相違／","")&amp;IF(AND($M1204&lt;&gt;"",INDEX(職員マスタ!$H$6:$H$405,$AP1204)&lt;&gt;"",$M1204&lt;&gt;INDEX(職員マスタ!$H$6:$H$405,$AP1204)),"時短終了日がマスタと相違／","")))&amp;IF(AND($B1204&lt;&gt;"",$E1204=""),"報酬額が未入力／","")&amp;IF(N($U1204)&gt;0,"申請書に入力エラーが残っています／","")&amp;IF(AND($B1204&lt;&gt;"",$AQ1204&lt;&gt;""),IF(COUNTIFS($B$6:$B$3005,$B1204,$C$6:$C$3005,$C1204,$D$6:$D$3005,$D1204)&gt;1,"同じ月の請求が重複しています／",""),"")&amp;IF(AND(N($E1204)&gt;0,$AB1204&lt;&gt;"",$AB1204&lt;&gt;"×",$AE1204=0,$AD1204=""),"計算額が下限以下のため不支給／",""))</f>
        <v/>
      </c>
      <c r="AN1204" s="12" t="n"/>
      <c r="AO1204" s="14">
        <f>IF($AF1204="保留中",COUNTIF($AF$6:$AF1204,"保留中"),"")</f>
        <v/>
      </c>
      <c r="AP1204" s="14">
        <f>IF($AQ1204="","",IF(SUMPRODUCT(MAX((職員マスタ!$A$6:$A$405=$B1204)*(((職員マスタ!$G$6:$G$405="")+(職員マスタ!$G$6:$G$405&lt;=EOMONTH($AQ1204,0)))&gt;0)*(((職員マスタ!$H$6:$H$405="")+(職員マスタ!$H$6:$H$405&gt;=$AQ1204))&gt;0)*(ROW(職員マスタ!$A$6:$A$405)-5)))&gt;0,SUMPRODUCT(MAX((職員マスタ!$A$6:$A$405=$B1204)*(((職員マスタ!$G$6:$G$405="")+(職員マスタ!$G$6:$G$405&lt;=EOMONTH($AQ1204,0)))&gt;0)*(((職員マスタ!$H$6:$H$405="")+(職員マスタ!$H$6:$H$405&gt;=$AQ1204))&gt;0)*(ROW(職員マスタ!$A$6:$A$405)-5))),IFERROR(MATCH($B1204,職員マスタ!$A$6:$A$405,0),"")))</f>
        <v/>
      </c>
      <c r="AQ1204" s="16">
        <f>IF(OR($B1204="",$C1204="",$D1204=""),"",DATE($C1204+2018,$D1204,1))</f>
        <v/>
      </c>
    </row>
    <row r="1205">
      <c r="A1205" s="11" t="n"/>
      <c r="B1205" s="12" t="n"/>
      <c r="C1205" s="12" t="n"/>
      <c r="D1205" s="12" t="n"/>
      <c r="E1205" s="13" t="n"/>
      <c r="F1205" s="12" t="n"/>
      <c r="G1205" s="13" t="n"/>
      <c r="H1205" s="12" t="n"/>
      <c r="I1205" s="12" t="n"/>
      <c r="J1205" s="12" t="n"/>
      <c r="K1205" s="12" t="n"/>
      <c r="L1205" s="11" t="n"/>
      <c r="M1205" s="11" t="n"/>
      <c r="N1205" s="11" t="n"/>
      <c r="O1205" s="11" t="n"/>
      <c r="P1205" s="12" t="n"/>
      <c r="Q1205" s="11" t="n"/>
      <c r="R1205" s="12" t="n"/>
      <c r="S1205" s="11" t="n"/>
      <c r="T1205" s="12" t="n"/>
      <c r="U1205" s="12" t="n"/>
      <c r="V1205" s="12" t="n"/>
      <c r="W1205" s="13" t="n"/>
      <c r="X1205" s="14">
        <f>IF($AP1205="",IF($B1205="","",$H1205),IF(INDEX(職員マスタ!$B$6:$B$405,$AP1205)="",$H1205,INDEX(職員マスタ!$B$6:$B$405,$AP1205)))</f>
        <v/>
      </c>
      <c r="Y1205" s="14">
        <f>IF($AP1205="",IF($B1205="","",$R1205),IF(INDEX(職員マスタ!$C$6:$C$405,$AP1205)="",$R1205,INDEX(職員マスタ!$C$6:$C$405,$AP1205)))</f>
        <v/>
      </c>
      <c r="Z1205" s="14">
        <f>IF($AQ1205="","","R"&amp;$C1205&amp;"."&amp;$D1205)</f>
        <v/>
      </c>
      <c r="AA1205" s="15">
        <f>IF(IF($AP1205="",FALSE,INDEX(職員マスタ!$K$6:$K$405,$AP1205)&lt;&gt;""),INDEX(職員マスタ!$K$6:$K$405,$AP1205),IF(N($W1205)&gt;0,$W1205,""))</f>
        <v/>
      </c>
      <c r="AB1205" s="14">
        <f>IF(OR($E1205="",$AA1205=""),"",IF($E1205&gt;=$AA1205,"×",IF($E1205&gt;=$AA1205*設定!$C$5,"△","○")))</f>
        <v/>
      </c>
      <c r="AC1205" s="15">
        <f>IF($AB1205="","",IF($AB1205="×",0,IF($AB1205="○",ROUNDDOWN($E1205*設定!$C$4,0),ROUNDDOWN($E1205*ROUND((9*$AA1205-9*$E1205)/(10*$E1205),4),0))))</f>
        <v/>
      </c>
      <c r="AD1205" s="13" t="n"/>
      <c r="AE1205" s="15">
        <f>IF($B1205="","",IF($AD1205&lt;&gt;"",$AD1205,IF($AC1205="","",IF($AC1205&lt;=設定!$C$3,0,$AC1205))))</f>
        <v/>
      </c>
      <c r="AF1205" s="14">
        <f>IF($B1205="","",IF(AND($AG1205&lt;&gt;"",$AI1205="",$AL1205=""),"保留中",IF($AL1205&lt;&gt;"",IF(N($AE1205)&gt;0,"支給済","不支給"),IF($AE1205="","要確認",IF($AE1205=0,"不支給","未処理")))))</f>
        <v/>
      </c>
      <c r="AG1205" s="12" t="n"/>
      <c r="AH1205" s="11" t="n"/>
      <c r="AI1205" s="11" t="n"/>
      <c r="AJ1205" s="11" t="n"/>
      <c r="AK1205" s="14">
        <f>IF(AND($AF1205="保留中",$AH1205&lt;&gt;""),TODAY()-$AH1205,"")</f>
        <v/>
      </c>
      <c r="AL1205" s="12" t="n"/>
      <c r="AM1205" s="14">
        <f>IF($B1205="","",IF($AQ1205="","対象年月が未入力／","")&amp;IF($B1205="","",IF($AP1205="","職員マスタに未登録の職員番号／",IF($AA1205="","標準報酬月額が未登録／","")&amp;IF(AND($AQ1205&lt;&gt;"",OR(AND(INDEX(職員マスタ!$G$6:$G$405,$AP1205)&lt;&gt;"",INDEX(職員マスタ!$G$6:$G$405,$AP1205)&gt;EOMONTH($AQ1205,0)),AND(INDEX(職員マスタ!$H$6:$H$405,$AP1205)&lt;&gt;"",INDEX(職員マスタ!$H$6:$H$405,$AP1205)&lt;$AQ1205))),"対象月が時短期間外／","")&amp;IF(AND(INDEX(職員マスタ!$K$6:$K$405,$AP1205)&lt;&gt;"",N($W1205)&gt;0,INDEX(職員マスタ!$K$6:$K$405,$AP1205)&lt;&gt;$W1205),"標準報酬月額が申請書と相違（台帳"&amp;TEXT(INDEX(職員マスタ!$K$6:$K$405,$AP1205),"#,##0")&amp;"円／申請書"&amp;TEXT($W1205,"#,##0")&amp;"円）／","")&amp;IF(AND(INDEX(職員マスタ!$F$6:$F$405,$AP1205)&lt;&gt;"",$AQ1205&lt;&gt;"",INDEX(職員マスタ!$F$6:$F$405,$AP1205)&lt;$AQ1205),"対象月に子が2歳到達済／","")&amp;IF(AND($H1205&lt;&gt;"",INDEX(職員マスタ!$B$6:$B$405,$AP1205)&lt;&gt;"",SUBSTITUTE(SUBSTITUTE($H1205," ","")," ","")&lt;&gt;SUBSTITUTE(SUBSTITUTE(INDEX(職員マスタ!$B$6:$B$405,$AP1205)," ","")," ","")),"氏名がマスタと相違／","")&amp;IF(AND($Q1205&lt;&gt;"",INDEX(職員マスタ!$E$6:$E$405,$AP1205)&lt;&gt;"",$Q1205&lt;&gt;INDEX(職員マスタ!$E$6:$E$405,$AP1205)),"子の生年月日がマスタと相違／","")&amp;IF(AND($L1205&lt;&gt;"",INDEX(職員マスタ!$G$6:$G$405,$AP1205)&lt;&gt;"",$L1205&lt;&gt;INDEX(職員マスタ!$G$6:$G$405,$AP1205)),"時短開始日がマスタと相違／","")&amp;IF(AND($M1205&lt;&gt;"",INDEX(職員マスタ!$H$6:$H$405,$AP1205)&lt;&gt;"",$M1205&lt;&gt;INDEX(職員マスタ!$H$6:$H$405,$AP1205)),"時短終了日がマスタと相違／","")))&amp;IF(AND($B1205&lt;&gt;"",$E1205=""),"報酬額が未入力／","")&amp;IF(N($U1205)&gt;0,"申請書に入力エラーが残っています／","")&amp;IF(AND($B1205&lt;&gt;"",$AQ1205&lt;&gt;""),IF(COUNTIFS($B$6:$B$3005,$B1205,$C$6:$C$3005,$C1205,$D$6:$D$3005,$D1205)&gt;1,"同じ月の請求が重複しています／",""),"")&amp;IF(AND(N($E1205)&gt;0,$AB1205&lt;&gt;"",$AB1205&lt;&gt;"×",$AE1205=0,$AD1205=""),"計算額が下限以下のため不支給／",""))</f>
        <v/>
      </c>
      <c r="AN1205" s="12" t="n"/>
      <c r="AO1205" s="14">
        <f>IF($AF1205="保留中",COUNTIF($AF$6:$AF1205,"保留中"),"")</f>
        <v/>
      </c>
      <c r="AP1205" s="14">
        <f>IF($AQ1205="","",IF(SUMPRODUCT(MAX((職員マスタ!$A$6:$A$405=$B1205)*(((職員マスタ!$G$6:$G$405="")+(職員マスタ!$G$6:$G$405&lt;=EOMONTH($AQ1205,0)))&gt;0)*(((職員マスタ!$H$6:$H$405="")+(職員マスタ!$H$6:$H$405&gt;=$AQ1205))&gt;0)*(ROW(職員マスタ!$A$6:$A$405)-5)))&gt;0,SUMPRODUCT(MAX((職員マスタ!$A$6:$A$405=$B1205)*(((職員マスタ!$G$6:$G$405="")+(職員マスタ!$G$6:$G$405&lt;=EOMONTH($AQ1205,0)))&gt;0)*(((職員マスタ!$H$6:$H$405="")+(職員マスタ!$H$6:$H$405&gt;=$AQ1205))&gt;0)*(ROW(職員マスタ!$A$6:$A$405)-5))),IFERROR(MATCH($B1205,職員マスタ!$A$6:$A$405,0),"")))</f>
        <v/>
      </c>
      <c r="AQ1205" s="16">
        <f>IF(OR($B1205="",$C1205="",$D1205=""),"",DATE($C1205+2018,$D1205,1))</f>
        <v/>
      </c>
    </row>
    <row r="1206">
      <c r="A1206" s="11" t="n"/>
      <c r="B1206" s="12" t="n"/>
      <c r="C1206" s="12" t="n"/>
      <c r="D1206" s="12" t="n"/>
      <c r="E1206" s="13" t="n"/>
      <c r="F1206" s="12" t="n"/>
      <c r="G1206" s="13" t="n"/>
      <c r="H1206" s="12" t="n"/>
      <c r="I1206" s="12" t="n"/>
      <c r="J1206" s="12" t="n"/>
      <c r="K1206" s="12" t="n"/>
      <c r="L1206" s="11" t="n"/>
      <c r="M1206" s="11" t="n"/>
      <c r="N1206" s="11" t="n"/>
      <c r="O1206" s="11" t="n"/>
      <c r="P1206" s="12" t="n"/>
      <c r="Q1206" s="11" t="n"/>
      <c r="R1206" s="12" t="n"/>
      <c r="S1206" s="11" t="n"/>
      <c r="T1206" s="12" t="n"/>
      <c r="U1206" s="12" t="n"/>
      <c r="V1206" s="12" t="n"/>
      <c r="W1206" s="13" t="n"/>
      <c r="X1206" s="14">
        <f>IF($AP1206="",IF($B1206="","",$H1206),IF(INDEX(職員マスタ!$B$6:$B$405,$AP1206)="",$H1206,INDEX(職員マスタ!$B$6:$B$405,$AP1206)))</f>
        <v/>
      </c>
      <c r="Y1206" s="14">
        <f>IF($AP1206="",IF($B1206="","",$R1206),IF(INDEX(職員マスタ!$C$6:$C$405,$AP1206)="",$R1206,INDEX(職員マスタ!$C$6:$C$405,$AP1206)))</f>
        <v/>
      </c>
      <c r="Z1206" s="14">
        <f>IF($AQ1206="","","R"&amp;$C1206&amp;"."&amp;$D1206)</f>
        <v/>
      </c>
      <c r="AA1206" s="15">
        <f>IF(IF($AP1206="",FALSE,INDEX(職員マスタ!$K$6:$K$405,$AP1206)&lt;&gt;""),INDEX(職員マスタ!$K$6:$K$405,$AP1206),IF(N($W1206)&gt;0,$W1206,""))</f>
        <v/>
      </c>
      <c r="AB1206" s="14">
        <f>IF(OR($E1206="",$AA1206=""),"",IF($E1206&gt;=$AA1206,"×",IF($E1206&gt;=$AA1206*設定!$C$5,"△","○")))</f>
        <v/>
      </c>
      <c r="AC1206" s="15">
        <f>IF($AB1206="","",IF($AB1206="×",0,IF($AB1206="○",ROUNDDOWN($E1206*設定!$C$4,0),ROUNDDOWN($E1206*ROUND((9*$AA1206-9*$E1206)/(10*$E1206),4),0))))</f>
        <v/>
      </c>
      <c r="AD1206" s="13" t="n"/>
      <c r="AE1206" s="15">
        <f>IF($B1206="","",IF($AD1206&lt;&gt;"",$AD1206,IF($AC1206="","",IF($AC1206&lt;=設定!$C$3,0,$AC1206))))</f>
        <v/>
      </c>
      <c r="AF1206" s="14">
        <f>IF($B1206="","",IF(AND($AG1206&lt;&gt;"",$AI1206="",$AL1206=""),"保留中",IF($AL1206&lt;&gt;"",IF(N($AE1206)&gt;0,"支給済","不支給"),IF($AE1206="","要確認",IF($AE1206=0,"不支給","未処理")))))</f>
        <v/>
      </c>
      <c r="AG1206" s="12" t="n"/>
      <c r="AH1206" s="11" t="n"/>
      <c r="AI1206" s="11" t="n"/>
      <c r="AJ1206" s="11" t="n"/>
      <c r="AK1206" s="14">
        <f>IF(AND($AF1206="保留中",$AH1206&lt;&gt;""),TODAY()-$AH1206,"")</f>
        <v/>
      </c>
      <c r="AL1206" s="12" t="n"/>
      <c r="AM1206" s="14">
        <f>IF($B1206="","",IF($AQ1206="","対象年月が未入力／","")&amp;IF($B1206="","",IF($AP1206="","職員マスタに未登録の職員番号／",IF($AA1206="","標準報酬月額が未登録／","")&amp;IF(AND($AQ1206&lt;&gt;"",OR(AND(INDEX(職員マスタ!$G$6:$G$405,$AP1206)&lt;&gt;"",INDEX(職員マスタ!$G$6:$G$405,$AP1206)&gt;EOMONTH($AQ1206,0)),AND(INDEX(職員マスタ!$H$6:$H$405,$AP1206)&lt;&gt;"",INDEX(職員マスタ!$H$6:$H$405,$AP1206)&lt;$AQ1206))),"対象月が時短期間外／","")&amp;IF(AND(INDEX(職員マスタ!$K$6:$K$405,$AP1206)&lt;&gt;"",N($W1206)&gt;0,INDEX(職員マスタ!$K$6:$K$405,$AP1206)&lt;&gt;$W1206),"標準報酬月額が申請書と相違（台帳"&amp;TEXT(INDEX(職員マスタ!$K$6:$K$405,$AP1206),"#,##0")&amp;"円／申請書"&amp;TEXT($W1206,"#,##0")&amp;"円）／","")&amp;IF(AND(INDEX(職員マスタ!$F$6:$F$405,$AP1206)&lt;&gt;"",$AQ1206&lt;&gt;"",INDEX(職員マスタ!$F$6:$F$405,$AP1206)&lt;$AQ1206),"対象月に子が2歳到達済／","")&amp;IF(AND($H1206&lt;&gt;"",INDEX(職員マスタ!$B$6:$B$405,$AP1206)&lt;&gt;"",SUBSTITUTE(SUBSTITUTE($H1206," ","")," ","")&lt;&gt;SUBSTITUTE(SUBSTITUTE(INDEX(職員マスタ!$B$6:$B$405,$AP1206)," ","")," ","")),"氏名がマスタと相違／","")&amp;IF(AND($Q1206&lt;&gt;"",INDEX(職員マスタ!$E$6:$E$405,$AP1206)&lt;&gt;"",$Q1206&lt;&gt;INDEX(職員マスタ!$E$6:$E$405,$AP1206)),"子の生年月日がマスタと相違／","")&amp;IF(AND($L1206&lt;&gt;"",INDEX(職員マスタ!$G$6:$G$405,$AP1206)&lt;&gt;"",$L1206&lt;&gt;INDEX(職員マスタ!$G$6:$G$405,$AP1206)),"時短開始日がマスタと相違／","")&amp;IF(AND($M1206&lt;&gt;"",INDEX(職員マスタ!$H$6:$H$405,$AP1206)&lt;&gt;"",$M1206&lt;&gt;INDEX(職員マスタ!$H$6:$H$405,$AP1206)),"時短終了日がマスタと相違／","")))&amp;IF(AND($B1206&lt;&gt;"",$E1206=""),"報酬額が未入力／","")&amp;IF(N($U1206)&gt;0,"申請書に入力エラーが残っています／","")&amp;IF(AND($B1206&lt;&gt;"",$AQ1206&lt;&gt;""),IF(COUNTIFS($B$6:$B$3005,$B1206,$C$6:$C$3005,$C1206,$D$6:$D$3005,$D1206)&gt;1,"同じ月の請求が重複しています／",""),"")&amp;IF(AND(N($E1206)&gt;0,$AB1206&lt;&gt;"",$AB1206&lt;&gt;"×",$AE1206=0,$AD1206=""),"計算額が下限以下のため不支給／",""))</f>
        <v/>
      </c>
      <c r="AN1206" s="12" t="n"/>
      <c r="AO1206" s="14">
        <f>IF($AF1206="保留中",COUNTIF($AF$6:$AF1206,"保留中"),"")</f>
        <v/>
      </c>
      <c r="AP1206" s="14">
        <f>IF($AQ1206="","",IF(SUMPRODUCT(MAX((職員マスタ!$A$6:$A$405=$B1206)*(((職員マスタ!$G$6:$G$405="")+(職員マスタ!$G$6:$G$405&lt;=EOMONTH($AQ1206,0)))&gt;0)*(((職員マスタ!$H$6:$H$405="")+(職員マスタ!$H$6:$H$405&gt;=$AQ1206))&gt;0)*(ROW(職員マスタ!$A$6:$A$405)-5)))&gt;0,SUMPRODUCT(MAX((職員マスタ!$A$6:$A$405=$B1206)*(((職員マスタ!$G$6:$G$405="")+(職員マスタ!$G$6:$G$405&lt;=EOMONTH($AQ1206,0)))&gt;0)*(((職員マスタ!$H$6:$H$405="")+(職員マスタ!$H$6:$H$405&gt;=$AQ1206))&gt;0)*(ROW(職員マスタ!$A$6:$A$405)-5))),IFERROR(MATCH($B1206,職員マスタ!$A$6:$A$405,0),"")))</f>
        <v/>
      </c>
      <c r="AQ1206" s="16">
        <f>IF(OR($B1206="",$C1206="",$D1206=""),"",DATE($C1206+2018,$D1206,1))</f>
        <v/>
      </c>
    </row>
    <row r="1207">
      <c r="A1207" s="11" t="n"/>
      <c r="B1207" s="12" t="n"/>
      <c r="C1207" s="12" t="n"/>
      <c r="D1207" s="12" t="n"/>
      <c r="E1207" s="13" t="n"/>
      <c r="F1207" s="12" t="n"/>
      <c r="G1207" s="13" t="n"/>
      <c r="H1207" s="12" t="n"/>
      <c r="I1207" s="12" t="n"/>
      <c r="J1207" s="12" t="n"/>
      <c r="K1207" s="12" t="n"/>
      <c r="L1207" s="11" t="n"/>
      <c r="M1207" s="11" t="n"/>
      <c r="N1207" s="11" t="n"/>
      <c r="O1207" s="11" t="n"/>
      <c r="P1207" s="12" t="n"/>
      <c r="Q1207" s="11" t="n"/>
      <c r="R1207" s="12" t="n"/>
      <c r="S1207" s="11" t="n"/>
      <c r="T1207" s="12" t="n"/>
      <c r="U1207" s="12" t="n"/>
      <c r="V1207" s="12" t="n"/>
      <c r="W1207" s="13" t="n"/>
      <c r="X1207" s="14">
        <f>IF($AP1207="",IF($B1207="","",$H1207),IF(INDEX(職員マスタ!$B$6:$B$405,$AP1207)="",$H1207,INDEX(職員マスタ!$B$6:$B$405,$AP1207)))</f>
        <v/>
      </c>
      <c r="Y1207" s="14">
        <f>IF($AP1207="",IF($B1207="","",$R1207),IF(INDEX(職員マスタ!$C$6:$C$405,$AP1207)="",$R1207,INDEX(職員マスタ!$C$6:$C$405,$AP1207)))</f>
        <v/>
      </c>
      <c r="Z1207" s="14">
        <f>IF($AQ1207="","","R"&amp;$C1207&amp;"."&amp;$D1207)</f>
        <v/>
      </c>
      <c r="AA1207" s="15">
        <f>IF(IF($AP1207="",FALSE,INDEX(職員マスタ!$K$6:$K$405,$AP1207)&lt;&gt;""),INDEX(職員マスタ!$K$6:$K$405,$AP1207),IF(N($W1207)&gt;0,$W1207,""))</f>
        <v/>
      </c>
      <c r="AB1207" s="14">
        <f>IF(OR($E1207="",$AA1207=""),"",IF($E1207&gt;=$AA1207,"×",IF($E1207&gt;=$AA1207*設定!$C$5,"△","○")))</f>
        <v/>
      </c>
      <c r="AC1207" s="15">
        <f>IF($AB1207="","",IF($AB1207="×",0,IF($AB1207="○",ROUNDDOWN($E1207*設定!$C$4,0),ROUNDDOWN($E1207*ROUND((9*$AA1207-9*$E1207)/(10*$E1207),4),0))))</f>
        <v/>
      </c>
      <c r="AD1207" s="13" t="n"/>
      <c r="AE1207" s="15">
        <f>IF($B1207="","",IF($AD1207&lt;&gt;"",$AD1207,IF($AC1207="","",IF($AC1207&lt;=設定!$C$3,0,$AC1207))))</f>
        <v/>
      </c>
      <c r="AF1207" s="14">
        <f>IF($B1207="","",IF(AND($AG1207&lt;&gt;"",$AI1207="",$AL1207=""),"保留中",IF($AL1207&lt;&gt;"",IF(N($AE1207)&gt;0,"支給済","不支給"),IF($AE1207="","要確認",IF($AE1207=0,"不支給","未処理")))))</f>
        <v/>
      </c>
      <c r="AG1207" s="12" t="n"/>
      <c r="AH1207" s="11" t="n"/>
      <c r="AI1207" s="11" t="n"/>
      <c r="AJ1207" s="11" t="n"/>
      <c r="AK1207" s="14">
        <f>IF(AND($AF1207="保留中",$AH1207&lt;&gt;""),TODAY()-$AH1207,"")</f>
        <v/>
      </c>
      <c r="AL1207" s="12" t="n"/>
      <c r="AM1207" s="14">
        <f>IF($B1207="","",IF($AQ1207="","対象年月が未入力／","")&amp;IF($B1207="","",IF($AP1207="","職員マスタに未登録の職員番号／",IF($AA1207="","標準報酬月額が未登録／","")&amp;IF(AND($AQ1207&lt;&gt;"",OR(AND(INDEX(職員マスタ!$G$6:$G$405,$AP1207)&lt;&gt;"",INDEX(職員マスタ!$G$6:$G$405,$AP1207)&gt;EOMONTH($AQ1207,0)),AND(INDEX(職員マスタ!$H$6:$H$405,$AP1207)&lt;&gt;"",INDEX(職員マスタ!$H$6:$H$405,$AP1207)&lt;$AQ1207))),"対象月が時短期間外／","")&amp;IF(AND(INDEX(職員マスタ!$K$6:$K$405,$AP1207)&lt;&gt;"",N($W1207)&gt;0,INDEX(職員マスタ!$K$6:$K$405,$AP1207)&lt;&gt;$W1207),"標準報酬月額が申請書と相違（台帳"&amp;TEXT(INDEX(職員マスタ!$K$6:$K$405,$AP1207),"#,##0")&amp;"円／申請書"&amp;TEXT($W1207,"#,##0")&amp;"円）／","")&amp;IF(AND(INDEX(職員マスタ!$F$6:$F$405,$AP1207)&lt;&gt;"",$AQ1207&lt;&gt;"",INDEX(職員マスタ!$F$6:$F$405,$AP1207)&lt;$AQ1207),"対象月に子が2歳到達済／","")&amp;IF(AND($H1207&lt;&gt;"",INDEX(職員マスタ!$B$6:$B$405,$AP1207)&lt;&gt;"",SUBSTITUTE(SUBSTITUTE($H1207," ","")," ","")&lt;&gt;SUBSTITUTE(SUBSTITUTE(INDEX(職員マスタ!$B$6:$B$405,$AP1207)," ","")," ","")),"氏名がマスタと相違／","")&amp;IF(AND($Q1207&lt;&gt;"",INDEX(職員マスタ!$E$6:$E$405,$AP1207)&lt;&gt;"",$Q1207&lt;&gt;INDEX(職員マスタ!$E$6:$E$405,$AP1207)),"子の生年月日がマスタと相違／","")&amp;IF(AND($L1207&lt;&gt;"",INDEX(職員マスタ!$G$6:$G$405,$AP1207)&lt;&gt;"",$L1207&lt;&gt;INDEX(職員マスタ!$G$6:$G$405,$AP1207)),"時短開始日がマスタと相違／","")&amp;IF(AND($M1207&lt;&gt;"",INDEX(職員マスタ!$H$6:$H$405,$AP1207)&lt;&gt;"",$M1207&lt;&gt;INDEX(職員マスタ!$H$6:$H$405,$AP1207)),"時短終了日がマスタと相違／","")))&amp;IF(AND($B1207&lt;&gt;"",$E1207=""),"報酬額が未入力／","")&amp;IF(N($U1207)&gt;0,"申請書に入力エラーが残っています／","")&amp;IF(AND($B1207&lt;&gt;"",$AQ1207&lt;&gt;""),IF(COUNTIFS($B$6:$B$3005,$B1207,$C$6:$C$3005,$C1207,$D$6:$D$3005,$D1207)&gt;1,"同じ月の請求が重複しています／",""),"")&amp;IF(AND(N($E1207)&gt;0,$AB1207&lt;&gt;"",$AB1207&lt;&gt;"×",$AE1207=0,$AD1207=""),"計算額が下限以下のため不支給／",""))</f>
        <v/>
      </c>
      <c r="AN1207" s="12" t="n"/>
      <c r="AO1207" s="14">
        <f>IF($AF1207="保留中",COUNTIF($AF$6:$AF1207,"保留中"),"")</f>
        <v/>
      </c>
      <c r="AP1207" s="14">
        <f>IF($AQ1207="","",IF(SUMPRODUCT(MAX((職員マスタ!$A$6:$A$405=$B1207)*(((職員マスタ!$G$6:$G$405="")+(職員マスタ!$G$6:$G$405&lt;=EOMONTH($AQ1207,0)))&gt;0)*(((職員マスタ!$H$6:$H$405="")+(職員マスタ!$H$6:$H$405&gt;=$AQ1207))&gt;0)*(ROW(職員マスタ!$A$6:$A$405)-5)))&gt;0,SUMPRODUCT(MAX((職員マスタ!$A$6:$A$405=$B1207)*(((職員マスタ!$G$6:$G$405="")+(職員マスタ!$G$6:$G$405&lt;=EOMONTH($AQ1207,0)))&gt;0)*(((職員マスタ!$H$6:$H$405="")+(職員マスタ!$H$6:$H$405&gt;=$AQ1207))&gt;0)*(ROW(職員マスタ!$A$6:$A$405)-5))),IFERROR(MATCH($B1207,職員マスタ!$A$6:$A$405,0),"")))</f>
        <v/>
      </c>
      <c r="AQ1207" s="16">
        <f>IF(OR($B1207="",$C1207="",$D1207=""),"",DATE($C1207+2018,$D1207,1))</f>
        <v/>
      </c>
    </row>
    <row r="1208">
      <c r="A1208" s="11" t="n"/>
      <c r="B1208" s="12" t="n"/>
      <c r="C1208" s="12" t="n"/>
      <c r="D1208" s="12" t="n"/>
      <c r="E1208" s="13" t="n"/>
      <c r="F1208" s="12" t="n"/>
      <c r="G1208" s="13" t="n"/>
      <c r="H1208" s="12" t="n"/>
      <c r="I1208" s="12" t="n"/>
      <c r="J1208" s="12" t="n"/>
      <c r="K1208" s="12" t="n"/>
      <c r="L1208" s="11" t="n"/>
      <c r="M1208" s="11" t="n"/>
      <c r="N1208" s="11" t="n"/>
      <c r="O1208" s="11" t="n"/>
      <c r="P1208" s="12" t="n"/>
      <c r="Q1208" s="11" t="n"/>
      <c r="R1208" s="12" t="n"/>
      <c r="S1208" s="11" t="n"/>
      <c r="T1208" s="12" t="n"/>
      <c r="U1208" s="12" t="n"/>
      <c r="V1208" s="12" t="n"/>
      <c r="W1208" s="13" t="n"/>
      <c r="X1208" s="14">
        <f>IF($AP1208="",IF($B1208="","",$H1208),IF(INDEX(職員マスタ!$B$6:$B$405,$AP1208)="",$H1208,INDEX(職員マスタ!$B$6:$B$405,$AP1208)))</f>
        <v/>
      </c>
      <c r="Y1208" s="14">
        <f>IF($AP1208="",IF($B1208="","",$R1208),IF(INDEX(職員マスタ!$C$6:$C$405,$AP1208)="",$R1208,INDEX(職員マスタ!$C$6:$C$405,$AP1208)))</f>
        <v/>
      </c>
      <c r="Z1208" s="14">
        <f>IF($AQ1208="","","R"&amp;$C1208&amp;"."&amp;$D1208)</f>
        <v/>
      </c>
      <c r="AA1208" s="15">
        <f>IF(IF($AP1208="",FALSE,INDEX(職員マスタ!$K$6:$K$405,$AP1208)&lt;&gt;""),INDEX(職員マスタ!$K$6:$K$405,$AP1208),IF(N($W1208)&gt;0,$W1208,""))</f>
        <v/>
      </c>
      <c r="AB1208" s="14">
        <f>IF(OR($E1208="",$AA1208=""),"",IF($E1208&gt;=$AA1208,"×",IF($E1208&gt;=$AA1208*設定!$C$5,"△","○")))</f>
        <v/>
      </c>
      <c r="AC1208" s="15">
        <f>IF($AB1208="","",IF($AB1208="×",0,IF($AB1208="○",ROUNDDOWN($E1208*設定!$C$4,0),ROUNDDOWN($E1208*ROUND((9*$AA1208-9*$E1208)/(10*$E1208),4),0))))</f>
        <v/>
      </c>
      <c r="AD1208" s="13" t="n"/>
      <c r="AE1208" s="15">
        <f>IF($B1208="","",IF($AD1208&lt;&gt;"",$AD1208,IF($AC1208="","",IF($AC1208&lt;=設定!$C$3,0,$AC1208))))</f>
        <v/>
      </c>
      <c r="AF1208" s="14">
        <f>IF($B1208="","",IF(AND($AG1208&lt;&gt;"",$AI1208="",$AL1208=""),"保留中",IF($AL1208&lt;&gt;"",IF(N($AE1208)&gt;0,"支給済","不支給"),IF($AE1208="","要確認",IF($AE1208=0,"不支給","未処理")))))</f>
        <v/>
      </c>
      <c r="AG1208" s="12" t="n"/>
      <c r="AH1208" s="11" t="n"/>
      <c r="AI1208" s="11" t="n"/>
      <c r="AJ1208" s="11" t="n"/>
      <c r="AK1208" s="14">
        <f>IF(AND($AF1208="保留中",$AH1208&lt;&gt;""),TODAY()-$AH1208,"")</f>
        <v/>
      </c>
      <c r="AL1208" s="12" t="n"/>
      <c r="AM1208" s="14">
        <f>IF($B1208="","",IF($AQ1208="","対象年月が未入力／","")&amp;IF($B1208="","",IF($AP1208="","職員マスタに未登録の職員番号／",IF($AA1208="","標準報酬月額が未登録／","")&amp;IF(AND($AQ1208&lt;&gt;"",OR(AND(INDEX(職員マスタ!$G$6:$G$405,$AP1208)&lt;&gt;"",INDEX(職員マスタ!$G$6:$G$405,$AP1208)&gt;EOMONTH($AQ1208,0)),AND(INDEX(職員マスタ!$H$6:$H$405,$AP1208)&lt;&gt;"",INDEX(職員マスタ!$H$6:$H$405,$AP1208)&lt;$AQ1208))),"対象月が時短期間外／","")&amp;IF(AND(INDEX(職員マスタ!$K$6:$K$405,$AP1208)&lt;&gt;"",N($W1208)&gt;0,INDEX(職員マスタ!$K$6:$K$405,$AP1208)&lt;&gt;$W1208),"標準報酬月額が申請書と相違（台帳"&amp;TEXT(INDEX(職員マスタ!$K$6:$K$405,$AP1208),"#,##0")&amp;"円／申請書"&amp;TEXT($W1208,"#,##0")&amp;"円）／","")&amp;IF(AND(INDEX(職員マスタ!$F$6:$F$405,$AP1208)&lt;&gt;"",$AQ1208&lt;&gt;"",INDEX(職員マスタ!$F$6:$F$405,$AP1208)&lt;$AQ1208),"対象月に子が2歳到達済／","")&amp;IF(AND($H1208&lt;&gt;"",INDEX(職員マスタ!$B$6:$B$405,$AP1208)&lt;&gt;"",SUBSTITUTE(SUBSTITUTE($H1208," ","")," ","")&lt;&gt;SUBSTITUTE(SUBSTITUTE(INDEX(職員マスタ!$B$6:$B$405,$AP1208)," ","")," ","")),"氏名がマスタと相違／","")&amp;IF(AND($Q1208&lt;&gt;"",INDEX(職員マスタ!$E$6:$E$405,$AP1208)&lt;&gt;"",$Q1208&lt;&gt;INDEX(職員マスタ!$E$6:$E$405,$AP1208)),"子の生年月日がマスタと相違／","")&amp;IF(AND($L1208&lt;&gt;"",INDEX(職員マスタ!$G$6:$G$405,$AP1208)&lt;&gt;"",$L1208&lt;&gt;INDEX(職員マスタ!$G$6:$G$405,$AP1208)),"時短開始日がマスタと相違／","")&amp;IF(AND($M1208&lt;&gt;"",INDEX(職員マスタ!$H$6:$H$405,$AP1208)&lt;&gt;"",$M1208&lt;&gt;INDEX(職員マスタ!$H$6:$H$405,$AP1208)),"時短終了日がマスタと相違／","")))&amp;IF(AND($B1208&lt;&gt;"",$E1208=""),"報酬額が未入力／","")&amp;IF(N($U1208)&gt;0,"申請書に入力エラーが残っています／","")&amp;IF(AND($B1208&lt;&gt;"",$AQ1208&lt;&gt;""),IF(COUNTIFS($B$6:$B$3005,$B1208,$C$6:$C$3005,$C1208,$D$6:$D$3005,$D1208)&gt;1,"同じ月の請求が重複しています／",""),"")&amp;IF(AND(N($E1208)&gt;0,$AB1208&lt;&gt;"",$AB1208&lt;&gt;"×",$AE1208=0,$AD1208=""),"計算額が下限以下のため不支給／",""))</f>
        <v/>
      </c>
      <c r="AN1208" s="12" t="n"/>
      <c r="AO1208" s="14">
        <f>IF($AF1208="保留中",COUNTIF($AF$6:$AF1208,"保留中"),"")</f>
        <v/>
      </c>
      <c r="AP1208" s="14">
        <f>IF($AQ1208="","",IF(SUMPRODUCT(MAX((職員マスタ!$A$6:$A$405=$B1208)*(((職員マスタ!$G$6:$G$405="")+(職員マスタ!$G$6:$G$405&lt;=EOMONTH($AQ1208,0)))&gt;0)*(((職員マスタ!$H$6:$H$405="")+(職員マスタ!$H$6:$H$405&gt;=$AQ1208))&gt;0)*(ROW(職員マスタ!$A$6:$A$405)-5)))&gt;0,SUMPRODUCT(MAX((職員マスタ!$A$6:$A$405=$B1208)*(((職員マスタ!$G$6:$G$405="")+(職員マスタ!$G$6:$G$405&lt;=EOMONTH($AQ1208,0)))&gt;0)*(((職員マスタ!$H$6:$H$405="")+(職員マスタ!$H$6:$H$405&gt;=$AQ1208))&gt;0)*(ROW(職員マスタ!$A$6:$A$405)-5))),IFERROR(MATCH($B1208,職員マスタ!$A$6:$A$405,0),"")))</f>
        <v/>
      </c>
      <c r="AQ1208" s="16">
        <f>IF(OR($B1208="",$C1208="",$D1208=""),"",DATE($C1208+2018,$D1208,1))</f>
        <v/>
      </c>
    </row>
    <row r="1209">
      <c r="A1209" s="11" t="n"/>
      <c r="B1209" s="12" t="n"/>
      <c r="C1209" s="12" t="n"/>
      <c r="D1209" s="12" t="n"/>
      <c r="E1209" s="13" t="n"/>
      <c r="F1209" s="12" t="n"/>
      <c r="G1209" s="13" t="n"/>
      <c r="H1209" s="12" t="n"/>
      <c r="I1209" s="12" t="n"/>
      <c r="J1209" s="12" t="n"/>
      <c r="K1209" s="12" t="n"/>
      <c r="L1209" s="11" t="n"/>
      <c r="M1209" s="11" t="n"/>
      <c r="N1209" s="11" t="n"/>
      <c r="O1209" s="11" t="n"/>
      <c r="P1209" s="12" t="n"/>
      <c r="Q1209" s="11" t="n"/>
      <c r="R1209" s="12" t="n"/>
      <c r="S1209" s="11" t="n"/>
      <c r="T1209" s="12" t="n"/>
      <c r="U1209" s="12" t="n"/>
      <c r="V1209" s="12" t="n"/>
      <c r="W1209" s="13" t="n"/>
      <c r="X1209" s="14">
        <f>IF($AP1209="",IF($B1209="","",$H1209),IF(INDEX(職員マスタ!$B$6:$B$405,$AP1209)="",$H1209,INDEX(職員マスタ!$B$6:$B$405,$AP1209)))</f>
        <v/>
      </c>
      <c r="Y1209" s="14">
        <f>IF($AP1209="",IF($B1209="","",$R1209),IF(INDEX(職員マスタ!$C$6:$C$405,$AP1209)="",$R1209,INDEX(職員マスタ!$C$6:$C$405,$AP1209)))</f>
        <v/>
      </c>
      <c r="Z1209" s="14">
        <f>IF($AQ1209="","","R"&amp;$C1209&amp;"."&amp;$D1209)</f>
        <v/>
      </c>
      <c r="AA1209" s="15">
        <f>IF(IF($AP1209="",FALSE,INDEX(職員マスタ!$K$6:$K$405,$AP1209)&lt;&gt;""),INDEX(職員マスタ!$K$6:$K$405,$AP1209),IF(N($W1209)&gt;0,$W1209,""))</f>
        <v/>
      </c>
      <c r="AB1209" s="14">
        <f>IF(OR($E1209="",$AA1209=""),"",IF($E1209&gt;=$AA1209,"×",IF($E1209&gt;=$AA1209*設定!$C$5,"△","○")))</f>
        <v/>
      </c>
      <c r="AC1209" s="15">
        <f>IF($AB1209="","",IF($AB1209="×",0,IF($AB1209="○",ROUNDDOWN($E1209*設定!$C$4,0),ROUNDDOWN($E1209*ROUND((9*$AA1209-9*$E1209)/(10*$E1209),4),0))))</f>
        <v/>
      </c>
      <c r="AD1209" s="13" t="n"/>
      <c r="AE1209" s="15">
        <f>IF($B1209="","",IF($AD1209&lt;&gt;"",$AD1209,IF($AC1209="","",IF($AC1209&lt;=設定!$C$3,0,$AC1209))))</f>
        <v/>
      </c>
      <c r="AF1209" s="14">
        <f>IF($B1209="","",IF(AND($AG1209&lt;&gt;"",$AI1209="",$AL1209=""),"保留中",IF($AL1209&lt;&gt;"",IF(N($AE1209)&gt;0,"支給済","不支給"),IF($AE1209="","要確認",IF($AE1209=0,"不支給","未処理")))))</f>
        <v/>
      </c>
      <c r="AG1209" s="12" t="n"/>
      <c r="AH1209" s="11" t="n"/>
      <c r="AI1209" s="11" t="n"/>
      <c r="AJ1209" s="11" t="n"/>
      <c r="AK1209" s="14">
        <f>IF(AND($AF1209="保留中",$AH1209&lt;&gt;""),TODAY()-$AH1209,"")</f>
        <v/>
      </c>
      <c r="AL1209" s="12" t="n"/>
      <c r="AM1209" s="14">
        <f>IF($B1209="","",IF($AQ1209="","対象年月が未入力／","")&amp;IF($B1209="","",IF($AP1209="","職員マスタに未登録の職員番号／",IF($AA1209="","標準報酬月額が未登録／","")&amp;IF(AND($AQ1209&lt;&gt;"",OR(AND(INDEX(職員マスタ!$G$6:$G$405,$AP1209)&lt;&gt;"",INDEX(職員マスタ!$G$6:$G$405,$AP1209)&gt;EOMONTH($AQ1209,0)),AND(INDEX(職員マスタ!$H$6:$H$405,$AP1209)&lt;&gt;"",INDEX(職員マスタ!$H$6:$H$405,$AP1209)&lt;$AQ1209))),"対象月が時短期間外／","")&amp;IF(AND(INDEX(職員マスタ!$K$6:$K$405,$AP1209)&lt;&gt;"",N($W1209)&gt;0,INDEX(職員マスタ!$K$6:$K$405,$AP1209)&lt;&gt;$W1209),"標準報酬月額が申請書と相違（台帳"&amp;TEXT(INDEX(職員マスタ!$K$6:$K$405,$AP1209),"#,##0")&amp;"円／申請書"&amp;TEXT($W1209,"#,##0")&amp;"円）／","")&amp;IF(AND(INDEX(職員マスタ!$F$6:$F$405,$AP1209)&lt;&gt;"",$AQ1209&lt;&gt;"",INDEX(職員マスタ!$F$6:$F$405,$AP1209)&lt;$AQ1209),"対象月に子が2歳到達済／","")&amp;IF(AND($H1209&lt;&gt;"",INDEX(職員マスタ!$B$6:$B$405,$AP1209)&lt;&gt;"",SUBSTITUTE(SUBSTITUTE($H1209," ","")," ","")&lt;&gt;SUBSTITUTE(SUBSTITUTE(INDEX(職員マスタ!$B$6:$B$405,$AP1209)," ","")," ","")),"氏名がマスタと相違／","")&amp;IF(AND($Q1209&lt;&gt;"",INDEX(職員マスタ!$E$6:$E$405,$AP1209)&lt;&gt;"",$Q1209&lt;&gt;INDEX(職員マスタ!$E$6:$E$405,$AP1209)),"子の生年月日がマスタと相違／","")&amp;IF(AND($L1209&lt;&gt;"",INDEX(職員マスタ!$G$6:$G$405,$AP1209)&lt;&gt;"",$L1209&lt;&gt;INDEX(職員マスタ!$G$6:$G$405,$AP1209)),"時短開始日がマスタと相違／","")&amp;IF(AND($M1209&lt;&gt;"",INDEX(職員マスタ!$H$6:$H$405,$AP1209)&lt;&gt;"",$M1209&lt;&gt;INDEX(職員マスタ!$H$6:$H$405,$AP1209)),"時短終了日がマスタと相違／","")))&amp;IF(AND($B1209&lt;&gt;"",$E1209=""),"報酬額が未入力／","")&amp;IF(N($U1209)&gt;0,"申請書に入力エラーが残っています／","")&amp;IF(AND($B1209&lt;&gt;"",$AQ1209&lt;&gt;""),IF(COUNTIFS($B$6:$B$3005,$B1209,$C$6:$C$3005,$C1209,$D$6:$D$3005,$D1209)&gt;1,"同じ月の請求が重複しています／",""),"")&amp;IF(AND(N($E1209)&gt;0,$AB1209&lt;&gt;"",$AB1209&lt;&gt;"×",$AE1209=0,$AD1209=""),"計算額が下限以下のため不支給／",""))</f>
        <v/>
      </c>
      <c r="AN1209" s="12" t="n"/>
      <c r="AO1209" s="14">
        <f>IF($AF1209="保留中",COUNTIF($AF$6:$AF1209,"保留中"),"")</f>
        <v/>
      </c>
      <c r="AP1209" s="14">
        <f>IF($AQ1209="","",IF(SUMPRODUCT(MAX((職員マスタ!$A$6:$A$405=$B1209)*(((職員マスタ!$G$6:$G$405="")+(職員マスタ!$G$6:$G$405&lt;=EOMONTH($AQ1209,0)))&gt;0)*(((職員マスタ!$H$6:$H$405="")+(職員マスタ!$H$6:$H$405&gt;=$AQ1209))&gt;0)*(ROW(職員マスタ!$A$6:$A$405)-5)))&gt;0,SUMPRODUCT(MAX((職員マスタ!$A$6:$A$405=$B1209)*(((職員マスタ!$G$6:$G$405="")+(職員マスタ!$G$6:$G$405&lt;=EOMONTH($AQ1209,0)))&gt;0)*(((職員マスタ!$H$6:$H$405="")+(職員マスタ!$H$6:$H$405&gt;=$AQ1209))&gt;0)*(ROW(職員マスタ!$A$6:$A$405)-5))),IFERROR(MATCH($B1209,職員マスタ!$A$6:$A$405,0),"")))</f>
        <v/>
      </c>
      <c r="AQ1209" s="16">
        <f>IF(OR($B1209="",$C1209="",$D1209=""),"",DATE($C1209+2018,$D1209,1))</f>
        <v/>
      </c>
    </row>
    <row r="1210">
      <c r="A1210" s="11" t="n"/>
      <c r="B1210" s="12" t="n"/>
      <c r="C1210" s="12" t="n"/>
      <c r="D1210" s="12" t="n"/>
      <c r="E1210" s="13" t="n"/>
      <c r="F1210" s="12" t="n"/>
      <c r="G1210" s="13" t="n"/>
      <c r="H1210" s="12" t="n"/>
      <c r="I1210" s="12" t="n"/>
      <c r="J1210" s="12" t="n"/>
      <c r="K1210" s="12" t="n"/>
      <c r="L1210" s="11" t="n"/>
      <c r="M1210" s="11" t="n"/>
      <c r="N1210" s="11" t="n"/>
      <c r="O1210" s="11" t="n"/>
      <c r="P1210" s="12" t="n"/>
      <c r="Q1210" s="11" t="n"/>
      <c r="R1210" s="12" t="n"/>
      <c r="S1210" s="11" t="n"/>
      <c r="T1210" s="12" t="n"/>
      <c r="U1210" s="12" t="n"/>
      <c r="V1210" s="12" t="n"/>
      <c r="W1210" s="13" t="n"/>
      <c r="X1210" s="14">
        <f>IF($AP1210="",IF($B1210="","",$H1210),IF(INDEX(職員マスタ!$B$6:$B$405,$AP1210)="",$H1210,INDEX(職員マスタ!$B$6:$B$405,$AP1210)))</f>
        <v/>
      </c>
      <c r="Y1210" s="14">
        <f>IF($AP1210="",IF($B1210="","",$R1210),IF(INDEX(職員マスタ!$C$6:$C$405,$AP1210)="",$R1210,INDEX(職員マスタ!$C$6:$C$405,$AP1210)))</f>
        <v/>
      </c>
      <c r="Z1210" s="14">
        <f>IF($AQ1210="","","R"&amp;$C1210&amp;"."&amp;$D1210)</f>
        <v/>
      </c>
      <c r="AA1210" s="15">
        <f>IF(IF($AP1210="",FALSE,INDEX(職員マスタ!$K$6:$K$405,$AP1210)&lt;&gt;""),INDEX(職員マスタ!$K$6:$K$405,$AP1210),IF(N($W1210)&gt;0,$W1210,""))</f>
        <v/>
      </c>
      <c r="AB1210" s="14">
        <f>IF(OR($E1210="",$AA1210=""),"",IF($E1210&gt;=$AA1210,"×",IF($E1210&gt;=$AA1210*設定!$C$5,"△","○")))</f>
        <v/>
      </c>
      <c r="AC1210" s="15">
        <f>IF($AB1210="","",IF($AB1210="×",0,IF($AB1210="○",ROUNDDOWN($E1210*設定!$C$4,0),ROUNDDOWN($E1210*ROUND((9*$AA1210-9*$E1210)/(10*$E1210),4),0))))</f>
        <v/>
      </c>
      <c r="AD1210" s="13" t="n"/>
      <c r="AE1210" s="15">
        <f>IF($B1210="","",IF($AD1210&lt;&gt;"",$AD1210,IF($AC1210="","",IF($AC1210&lt;=設定!$C$3,0,$AC1210))))</f>
        <v/>
      </c>
      <c r="AF1210" s="14">
        <f>IF($B1210="","",IF(AND($AG1210&lt;&gt;"",$AI1210="",$AL1210=""),"保留中",IF($AL1210&lt;&gt;"",IF(N($AE1210)&gt;0,"支給済","不支給"),IF($AE1210="","要確認",IF($AE1210=0,"不支給","未処理")))))</f>
        <v/>
      </c>
      <c r="AG1210" s="12" t="n"/>
      <c r="AH1210" s="11" t="n"/>
      <c r="AI1210" s="11" t="n"/>
      <c r="AJ1210" s="11" t="n"/>
      <c r="AK1210" s="14">
        <f>IF(AND($AF1210="保留中",$AH1210&lt;&gt;""),TODAY()-$AH1210,"")</f>
        <v/>
      </c>
      <c r="AL1210" s="12" t="n"/>
      <c r="AM1210" s="14">
        <f>IF($B1210="","",IF($AQ1210="","対象年月が未入力／","")&amp;IF($B1210="","",IF($AP1210="","職員マスタに未登録の職員番号／",IF($AA1210="","標準報酬月額が未登録／","")&amp;IF(AND($AQ1210&lt;&gt;"",OR(AND(INDEX(職員マスタ!$G$6:$G$405,$AP1210)&lt;&gt;"",INDEX(職員マスタ!$G$6:$G$405,$AP1210)&gt;EOMONTH($AQ1210,0)),AND(INDEX(職員マスタ!$H$6:$H$405,$AP1210)&lt;&gt;"",INDEX(職員マスタ!$H$6:$H$405,$AP1210)&lt;$AQ1210))),"対象月が時短期間外／","")&amp;IF(AND(INDEX(職員マスタ!$K$6:$K$405,$AP1210)&lt;&gt;"",N($W1210)&gt;0,INDEX(職員マスタ!$K$6:$K$405,$AP1210)&lt;&gt;$W1210),"標準報酬月額が申請書と相違（台帳"&amp;TEXT(INDEX(職員マスタ!$K$6:$K$405,$AP1210),"#,##0")&amp;"円／申請書"&amp;TEXT($W1210,"#,##0")&amp;"円）／","")&amp;IF(AND(INDEX(職員マスタ!$F$6:$F$405,$AP1210)&lt;&gt;"",$AQ1210&lt;&gt;"",INDEX(職員マスタ!$F$6:$F$405,$AP1210)&lt;$AQ1210),"対象月に子が2歳到達済／","")&amp;IF(AND($H1210&lt;&gt;"",INDEX(職員マスタ!$B$6:$B$405,$AP1210)&lt;&gt;"",SUBSTITUTE(SUBSTITUTE($H1210," ","")," ","")&lt;&gt;SUBSTITUTE(SUBSTITUTE(INDEX(職員マスタ!$B$6:$B$405,$AP1210)," ","")," ","")),"氏名がマスタと相違／","")&amp;IF(AND($Q1210&lt;&gt;"",INDEX(職員マスタ!$E$6:$E$405,$AP1210)&lt;&gt;"",$Q1210&lt;&gt;INDEX(職員マスタ!$E$6:$E$405,$AP1210)),"子の生年月日がマスタと相違／","")&amp;IF(AND($L1210&lt;&gt;"",INDEX(職員マスタ!$G$6:$G$405,$AP1210)&lt;&gt;"",$L1210&lt;&gt;INDEX(職員マスタ!$G$6:$G$405,$AP1210)),"時短開始日がマスタと相違／","")&amp;IF(AND($M1210&lt;&gt;"",INDEX(職員マスタ!$H$6:$H$405,$AP1210)&lt;&gt;"",$M1210&lt;&gt;INDEX(職員マスタ!$H$6:$H$405,$AP1210)),"時短終了日がマスタと相違／","")))&amp;IF(AND($B1210&lt;&gt;"",$E1210=""),"報酬額が未入力／","")&amp;IF(N($U1210)&gt;0,"申請書に入力エラーが残っています／","")&amp;IF(AND($B1210&lt;&gt;"",$AQ1210&lt;&gt;""),IF(COUNTIFS($B$6:$B$3005,$B1210,$C$6:$C$3005,$C1210,$D$6:$D$3005,$D1210)&gt;1,"同じ月の請求が重複しています／",""),"")&amp;IF(AND(N($E1210)&gt;0,$AB1210&lt;&gt;"",$AB1210&lt;&gt;"×",$AE1210=0,$AD1210=""),"計算額が下限以下のため不支給／",""))</f>
        <v/>
      </c>
      <c r="AN1210" s="12" t="n"/>
      <c r="AO1210" s="14">
        <f>IF($AF1210="保留中",COUNTIF($AF$6:$AF1210,"保留中"),"")</f>
        <v/>
      </c>
      <c r="AP1210" s="14">
        <f>IF($AQ1210="","",IF(SUMPRODUCT(MAX((職員マスタ!$A$6:$A$405=$B1210)*(((職員マスタ!$G$6:$G$405="")+(職員マスタ!$G$6:$G$405&lt;=EOMONTH($AQ1210,0)))&gt;0)*(((職員マスタ!$H$6:$H$405="")+(職員マスタ!$H$6:$H$405&gt;=$AQ1210))&gt;0)*(ROW(職員マスタ!$A$6:$A$405)-5)))&gt;0,SUMPRODUCT(MAX((職員マスタ!$A$6:$A$405=$B1210)*(((職員マスタ!$G$6:$G$405="")+(職員マスタ!$G$6:$G$405&lt;=EOMONTH($AQ1210,0)))&gt;0)*(((職員マスタ!$H$6:$H$405="")+(職員マスタ!$H$6:$H$405&gt;=$AQ1210))&gt;0)*(ROW(職員マスタ!$A$6:$A$405)-5))),IFERROR(MATCH($B1210,職員マスタ!$A$6:$A$405,0),"")))</f>
        <v/>
      </c>
      <c r="AQ1210" s="16">
        <f>IF(OR($B1210="",$C1210="",$D1210=""),"",DATE($C1210+2018,$D1210,1))</f>
        <v/>
      </c>
    </row>
    <row r="1211">
      <c r="A1211" s="11" t="n"/>
      <c r="B1211" s="12" t="n"/>
      <c r="C1211" s="12" t="n"/>
      <c r="D1211" s="12" t="n"/>
      <c r="E1211" s="13" t="n"/>
      <c r="F1211" s="12" t="n"/>
      <c r="G1211" s="13" t="n"/>
      <c r="H1211" s="12" t="n"/>
      <c r="I1211" s="12" t="n"/>
      <c r="J1211" s="12" t="n"/>
      <c r="K1211" s="12" t="n"/>
      <c r="L1211" s="11" t="n"/>
      <c r="M1211" s="11" t="n"/>
      <c r="N1211" s="11" t="n"/>
      <c r="O1211" s="11" t="n"/>
      <c r="P1211" s="12" t="n"/>
      <c r="Q1211" s="11" t="n"/>
      <c r="R1211" s="12" t="n"/>
      <c r="S1211" s="11" t="n"/>
      <c r="T1211" s="12" t="n"/>
      <c r="U1211" s="12" t="n"/>
      <c r="V1211" s="12" t="n"/>
      <c r="W1211" s="13" t="n"/>
      <c r="X1211" s="14">
        <f>IF($AP1211="",IF($B1211="","",$H1211),IF(INDEX(職員マスタ!$B$6:$B$405,$AP1211)="",$H1211,INDEX(職員マスタ!$B$6:$B$405,$AP1211)))</f>
        <v/>
      </c>
      <c r="Y1211" s="14">
        <f>IF($AP1211="",IF($B1211="","",$R1211),IF(INDEX(職員マスタ!$C$6:$C$405,$AP1211)="",$R1211,INDEX(職員マスタ!$C$6:$C$405,$AP1211)))</f>
        <v/>
      </c>
      <c r="Z1211" s="14">
        <f>IF($AQ1211="","","R"&amp;$C1211&amp;"."&amp;$D1211)</f>
        <v/>
      </c>
      <c r="AA1211" s="15">
        <f>IF(IF($AP1211="",FALSE,INDEX(職員マスタ!$K$6:$K$405,$AP1211)&lt;&gt;""),INDEX(職員マスタ!$K$6:$K$405,$AP1211),IF(N($W1211)&gt;0,$W1211,""))</f>
        <v/>
      </c>
      <c r="AB1211" s="14">
        <f>IF(OR($E1211="",$AA1211=""),"",IF($E1211&gt;=$AA1211,"×",IF($E1211&gt;=$AA1211*設定!$C$5,"△","○")))</f>
        <v/>
      </c>
      <c r="AC1211" s="15">
        <f>IF($AB1211="","",IF($AB1211="×",0,IF($AB1211="○",ROUNDDOWN($E1211*設定!$C$4,0),ROUNDDOWN($E1211*ROUND((9*$AA1211-9*$E1211)/(10*$E1211),4),0))))</f>
        <v/>
      </c>
      <c r="AD1211" s="13" t="n"/>
      <c r="AE1211" s="15">
        <f>IF($B1211="","",IF($AD1211&lt;&gt;"",$AD1211,IF($AC1211="","",IF($AC1211&lt;=設定!$C$3,0,$AC1211))))</f>
        <v/>
      </c>
      <c r="AF1211" s="14">
        <f>IF($B1211="","",IF(AND($AG1211&lt;&gt;"",$AI1211="",$AL1211=""),"保留中",IF($AL1211&lt;&gt;"",IF(N($AE1211)&gt;0,"支給済","不支給"),IF($AE1211="","要確認",IF($AE1211=0,"不支給","未処理")))))</f>
        <v/>
      </c>
      <c r="AG1211" s="12" t="n"/>
      <c r="AH1211" s="11" t="n"/>
      <c r="AI1211" s="11" t="n"/>
      <c r="AJ1211" s="11" t="n"/>
      <c r="AK1211" s="14">
        <f>IF(AND($AF1211="保留中",$AH1211&lt;&gt;""),TODAY()-$AH1211,"")</f>
        <v/>
      </c>
      <c r="AL1211" s="12" t="n"/>
      <c r="AM1211" s="14">
        <f>IF($B1211="","",IF($AQ1211="","対象年月が未入力／","")&amp;IF($B1211="","",IF($AP1211="","職員マスタに未登録の職員番号／",IF($AA1211="","標準報酬月額が未登録／","")&amp;IF(AND($AQ1211&lt;&gt;"",OR(AND(INDEX(職員マスタ!$G$6:$G$405,$AP1211)&lt;&gt;"",INDEX(職員マスタ!$G$6:$G$405,$AP1211)&gt;EOMONTH($AQ1211,0)),AND(INDEX(職員マスタ!$H$6:$H$405,$AP1211)&lt;&gt;"",INDEX(職員マスタ!$H$6:$H$405,$AP1211)&lt;$AQ1211))),"対象月が時短期間外／","")&amp;IF(AND(INDEX(職員マスタ!$K$6:$K$405,$AP1211)&lt;&gt;"",N($W1211)&gt;0,INDEX(職員マスタ!$K$6:$K$405,$AP1211)&lt;&gt;$W1211),"標準報酬月額が申請書と相違（台帳"&amp;TEXT(INDEX(職員マスタ!$K$6:$K$405,$AP1211),"#,##0")&amp;"円／申請書"&amp;TEXT($W1211,"#,##0")&amp;"円）／","")&amp;IF(AND(INDEX(職員マスタ!$F$6:$F$405,$AP1211)&lt;&gt;"",$AQ1211&lt;&gt;"",INDEX(職員マスタ!$F$6:$F$405,$AP1211)&lt;$AQ1211),"対象月に子が2歳到達済／","")&amp;IF(AND($H1211&lt;&gt;"",INDEX(職員マスタ!$B$6:$B$405,$AP1211)&lt;&gt;"",SUBSTITUTE(SUBSTITUTE($H1211," ","")," ","")&lt;&gt;SUBSTITUTE(SUBSTITUTE(INDEX(職員マスタ!$B$6:$B$405,$AP1211)," ","")," ","")),"氏名がマスタと相違／","")&amp;IF(AND($Q1211&lt;&gt;"",INDEX(職員マスタ!$E$6:$E$405,$AP1211)&lt;&gt;"",$Q1211&lt;&gt;INDEX(職員マスタ!$E$6:$E$405,$AP1211)),"子の生年月日がマスタと相違／","")&amp;IF(AND($L1211&lt;&gt;"",INDEX(職員マスタ!$G$6:$G$405,$AP1211)&lt;&gt;"",$L1211&lt;&gt;INDEX(職員マスタ!$G$6:$G$405,$AP1211)),"時短開始日がマスタと相違／","")&amp;IF(AND($M1211&lt;&gt;"",INDEX(職員マスタ!$H$6:$H$405,$AP1211)&lt;&gt;"",$M1211&lt;&gt;INDEX(職員マスタ!$H$6:$H$405,$AP1211)),"時短終了日がマスタと相違／","")))&amp;IF(AND($B1211&lt;&gt;"",$E1211=""),"報酬額が未入力／","")&amp;IF(N($U1211)&gt;0,"申請書に入力エラーが残っています／","")&amp;IF(AND($B1211&lt;&gt;"",$AQ1211&lt;&gt;""),IF(COUNTIFS($B$6:$B$3005,$B1211,$C$6:$C$3005,$C1211,$D$6:$D$3005,$D1211)&gt;1,"同じ月の請求が重複しています／",""),"")&amp;IF(AND(N($E1211)&gt;0,$AB1211&lt;&gt;"",$AB1211&lt;&gt;"×",$AE1211=0,$AD1211=""),"計算額が下限以下のため不支給／",""))</f>
        <v/>
      </c>
      <c r="AN1211" s="12" t="n"/>
      <c r="AO1211" s="14">
        <f>IF($AF1211="保留中",COUNTIF($AF$6:$AF1211,"保留中"),"")</f>
        <v/>
      </c>
      <c r="AP1211" s="14">
        <f>IF($AQ1211="","",IF(SUMPRODUCT(MAX((職員マスタ!$A$6:$A$405=$B1211)*(((職員マスタ!$G$6:$G$405="")+(職員マスタ!$G$6:$G$405&lt;=EOMONTH($AQ1211,0)))&gt;0)*(((職員マスタ!$H$6:$H$405="")+(職員マスタ!$H$6:$H$405&gt;=$AQ1211))&gt;0)*(ROW(職員マスタ!$A$6:$A$405)-5)))&gt;0,SUMPRODUCT(MAX((職員マスタ!$A$6:$A$405=$B1211)*(((職員マスタ!$G$6:$G$405="")+(職員マスタ!$G$6:$G$405&lt;=EOMONTH($AQ1211,0)))&gt;0)*(((職員マスタ!$H$6:$H$405="")+(職員マスタ!$H$6:$H$405&gt;=$AQ1211))&gt;0)*(ROW(職員マスタ!$A$6:$A$405)-5))),IFERROR(MATCH($B1211,職員マスタ!$A$6:$A$405,0),"")))</f>
        <v/>
      </c>
      <c r="AQ1211" s="16">
        <f>IF(OR($B1211="",$C1211="",$D1211=""),"",DATE($C1211+2018,$D1211,1))</f>
        <v/>
      </c>
    </row>
    <row r="1212">
      <c r="A1212" s="11" t="n"/>
      <c r="B1212" s="12" t="n"/>
      <c r="C1212" s="12" t="n"/>
      <c r="D1212" s="12" t="n"/>
      <c r="E1212" s="13" t="n"/>
      <c r="F1212" s="12" t="n"/>
      <c r="G1212" s="13" t="n"/>
      <c r="H1212" s="12" t="n"/>
      <c r="I1212" s="12" t="n"/>
      <c r="J1212" s="12" t="n"/>
      <c r="K1212" s="12" t="n"/>
      <c r="L1212" s="11" t="n"/>
      <c r="M1212" s="11" t="n"/>
      <c r="N1212" s="11" t="n"/>
      <c r="O1212" s="11" t="n"/>
      <c r="P1212" s="12" t="n"/>
      <c r="Q1212" s="11" t="n"/>
      <c r="R1212" s="12" t="n"/>
      <c r="S1212" s="11" t="n"/>
      <c r="T1212" s="12" t="n"/>
      <c r="U1212" s="12" t="n"/>
      <c r="V1212" s="12" t="n"/>
      <c r="W1212" s="13" t="n"/>
      <c r="X1212" s="14">
        <f>IF($AP1212="",IF($B1212="","",$H1212),IF(INDEX(職員マスタ!$B$6:$B$405,$AP1212)="",$H1212,INDEX(職員マスタ!$B$6:$B$405,$AP1212)))</f>
        <v/>
      </c>
      <c r="Y1212" s="14">
        <f>IF($AP1212="",IF($B1212="","",$R1212),IF(INDEX(職員マスタ!$C$6:$C$405,$AP1212)="",$R1212,INDEX(職員マスタ!$C$6:$C$405,$AP1212)))</f>
        <v/>
      </c>
      <c r="Z1212" s="14">
        <f>IF($AQ1212="","","R"&amp;$C1212&amp;"."&amp;$D1212)</f>
        <v/>
      </c>
      <c r="AA1212" s="15">
        <f>IF(IF($AP1212="",FALSE,INDEX(職員マスタ!$K$6:$K$405,$AP1212)&lt;&gt;""),INDEX(職員マスタ!$K$6:$K$405,$AP1212),IF(N($W1212)&gt;0,$W1212,""))</f>
        <v/>
      </c>
      <c r="AB1212" s="14">
        <f>IF(OR($E1212="",$AA1212=""),"",IF($E1212&gt;=$AA1212,"×",IF($E1212&gt;=$AA1212*設定!$C$5,"△","○")))</f>
        <v/>
      </c>
      <c r="AC1212" s="15">
        <f>IF($AB1212="","",IF($AB1212="×",0,IF($AB1212="○",ROUNDDOWN($E1212*設定!$C$4,0),ROUNDDOWN($E1212*ROUND((9*$AA1212-9*$E1212)/(10*$E1212),4),0))))</f>
        <v/>
      </c>
      <c r="AD1212" s="13" t="n"/>
      <c r="AE1212" s="15">
        <f>IF($B1212="","",IF($AD1212&lt;&gt;"",$AD1212,IF($AC1212="","",IF($AC1212&lt;=設定!$C$3,0,$AC1212))))</f>
        <v/>
      </c>
      <c r="AF1212" s="14">
        <f>IF($B1212="","",IF(AND($AG1212&lt;&gt;"",$AI1212="",$AL1212=""),"保留中",IF($AL1212&lt;&gt;"",IF(N($AE1212)&gt;0,"支給済","不支給"),IF($AE1212="","要確認",IF($AE1212=0,"不支給","未処理")))))</f>
        <v/>
      </c>
      <c r="AG1212" s="12" t="n"/>
      <c r="AH1212" s="11" t="n"/>
      <c r="AI1212" s="11" t="n"/>
      <c r="AJ1212" s="11" t="n"/>
      <c r="AK1212" s="14">
        <f>IF(AND($AF1212="保留中",$AH1212&lt;&gt;""),TODAY()-$AH1212,"")</f>
        <v/>
      </c>
      <c r="AL1212" s="12" t="n"/>
      <c r="AM1212" s="14">
        <f>IF($B1212="","",IF($AQ1212="","対象年月が未入力／","")&amp;IF($B1212="","",IF($AP1212="","職員マスタに未登録の職員番号／",IF($AA1212="","標準報酬月額が未登録／","")&amp;IF(AND($AQ1212&lt;&gt;"",OR(AND(INDEX(職員マスタ!$G$6:$G$405,$AP1212)&lt;&gt;"",INDEX(職員マスタ!$G$6:$G$405,$AP1212)&gt;EOMONTH($AQ1212,0)),AND(INDEX(職員マスタ!$H$6:$H$405,$AP1212)&lt;&gt;"",INDEX(職員マスタ!$H$6:$H$405,$AP1212)&lt;$AQ1212))),"対象月が時短期間外／","")&amp;IF(AND(INDEX(職員マスタ!$K$6:$K$405,$AP1212)&lt;&gt;"",N($W1212)&gt;0,INDEX(職員マスタ!$K$6:$K$405,$AP1212)&lt;&gt;$W1212),"標準報酬月額が申請書と相違（台帳"&amp;TEXT(INDEX(職員マスタ!$K$6:$K$405,$AP1212),"#,##0")&amp;"円／申請書"&amp;TEXT($W1212,"#,##0")&amp;"円）／","")&amp;IF(AND(INDEX(職員マスタ!$F$6:$F$405,$AP1212)&lt;&gt;"",$AQ1212&lt;&gt;"",INDEX(職員マスタ!$F$6:$F$405,$AP1212)&lt;$AQ1212),"対象月に子が2歳到達済／","")&amp;IF(AND($H1212&lt;&gt;"",INDEX(職員マスタ!$B$6:$B$405,$AP1212)&lt;&gt;"",SUBSTITUTE(SUBSTITUTE($H1212," ","")," ","")&lt;&gt;SUBSTITUTE(SUBSTITUTE(INDEX(職員マスタ!$B$6:$B$405,$AP1212)," ","")," ","")),"氏名がマスタと相違／","")&amp;IF(AND($Q1212&lt;&gt;"",INDEX(職員マスタ!$E$6:$E$405,$AP1212)&lt;&gt;"",$Q1212&lt;&gt;INDEX(職員マスタ!$E$6:$E$405,$AP1212)),"子の生年月日がマスタと相違／","")&amp;IF(AND($L1212&lt;&gt;"",INDEX(職員マスタ!$G$6:$G$405,$AP1212)&lt;&gt;"",$L1212&lt;&gt;INDEX(職員マスタ!$G$6:$G$405,$AP1212)),"時短開始日がマスタと相違／","")&amp;IF(AND($M1212&lt;&gt;"",INDEX(職員マスタ!$H$6:$H$405,$AP1212)&lt;&gt;"",$M1212&lt;&gt;INDEX(職員マスタ!$H$6:$H$405,$AP1212)),"時短終了日がマスタと相違／","")))&amp;IF(AND($B1212&lt;&gt;"",$E1212=""),"報酬額が未入力／","")&amp;IF(N($U1212)&gt;0,"申請書に入力エラーが残っています／","")&amp;IF(AND($B1212&lt;&gt;"",$AQ1212&lt;&gt;""),IF(COUNTIFS($B$6:$B$3005,$B1212,$C$6:$C$3005,$C1212,$D$6:$D$3005,$D1212)&gt;1,"同じ月の請求が重複しています／",""),"")&amp;IF(AND(N($E1212)&gt;0,$AB1212&lt;&gt;"",$AB1212&lt;&gt;"×",$AE1212=0,$AD1212=""),"計算額が下限以下のため不支給／",""))</f>
        <v/>
      </c>
      <c r="AN1212" s="12" t="n"/>
      <c r="AO1212" s="14">
        <f>IF($AF1212="保留中",COUNTIF($AF$6:$AF1212,"保留中"),"")</f>
        <v/>
      </c>
      <c r="AP1212" s="14">
        <f>IF($AQ1212="","",IF(SUMPRODUCT(MAX((職員マスタ!$A$6:$A$405=$B1212)*(((職員マスタ!$G$6:$G$405="")+(職員マスタ!$G$6:$G$405&lt;=EOMONTH($AQ1212,0)))&gt;0)*(((職員マスタ!$H$6:$H$405="")+(職員マスタ!$H$6:$H$405&gt;=$AQ1212))&gt;0)*(ROW(職員マスタ!$A$6:$A$405)-5)))&gt;0,SUMPRODUCT(MAX((職員マスタ!$A$6:$A$405=$B1212)*(((職員マスタ!$G$6:$G$405="")+(職員マスタ!$G$6:$G$405&lt;=EOMONTH($AQ1212,0)))&gt;0)*(((職員マスタ!$H$6:$H$405="")+(職員マスタ!$H$6:$H$405&gt;=$AQ1212))&gt;0)*(ROW(職員マスタ!$A$6:$A$405)-5))),IFERROR(MATCH($B1212,職員マスタ!$A$6:$A$405,0),"")))</f>
        <v/>
      </c>
      <c r="AQ1212" s="16">
        <f>IF(OR($B1212="",$C1212="",$D1212=""),"",DATE($C1212+2018,$D1212,1))</f>
        <v/>
      </c>
    </row>
    <row r="1213">
      <c r="A1213" s="11" t="n"/>
      <c r="B1213" s="12" t="n"/>
      <c r="C1213" s="12" t="n"/>
      <c r="D1213" s="12" t="n"/>
      <c r="E1213" s="13" t="n"/>
      <c r="F1213" s="12" t="n"/>
      <c r="G1213" s="13" t="n"/>
      <c r="H1213" s="12" t="n"/>
      <c r="I1213" s="12" t="n"/>
      <c r="J1213" s="12" t="n"/>
      <c r="K1213" s="12" t="n"/>
      <c r="L1213" s="11" t="n"/>
      <c r="M1213" s="11" t="n"/>
      <c r="N1213" s="11" t="n"/>
      <c r="O1213" s="11" t="n"/>
      <c r="P1213" s="12" t="n"/>
      <c r="Q1213" s="11" t="n"/>
      <c r="R1213" s="12" t="n"/>
      <c r="S1213" s="11" t="n"/>
      <c r="T1213" s="12" t="n"/>
      <c r="U1213" s="12" t="n"/>
      <c r="V1213" s="12" t="n"/>
      <c r="W1213" s="13" t="n"/>
      <c r="X1213" s="14">
        <f>IF($AP1213="",IF($B1213="","",$H1213),IF(INDEX(職員マスタ!$B$6:$B$405,$AP1213)="",$H1213,INDEX(職員マスタ!$B$6:$B$405,$AP1213)))</f>
        <v/>
      </c>
      <c r="Y1213" s="14">
        <f>IF($AP1213="",IF($B1213="","",$R1213),IF(INDEX(職員マスタ!$C$6:$C$405,$AP1213)="",$R1213,INDEX(職員マスタ!$C$6:$C$405,$AP1213)))</f>
        <v/>
      </c>
      <c r="Z1213" s="14">
        <f>IF($AQ1213="","","R"&amp;$C1213&amp;"."&amp;$D1213)</f>
        <v/>
      </c>
      <c r="AA1213" s="15">
        <f>IF(IF($AP1213="",FALSE,INDEX(職員マスタ!$K$6:$K$405,$AP1213)&lt;&gt;""),INDEX(職員マスタ!$K$6:$K$405,$AP1213),IF(N($W1213)&gt;0,$W1213,""))</f>
        <v/>
      </c>
      <c r="AB1213" s="14">
        <f>IF(OR($E1213="",$AA1213=""),"",IF($E1213&gt;=$AA1213,"×",IF($E1213&gt;=$AA1213*設定!$C$5,"△","○")))</f>
        <v/>
      </c>
      <c r="AC1213" s="15">
        <f>IF($AB1213="","",IF($AB1213="×",0,IF($AB1213="○",ROUNDDOWN($E1213*設定!$C$4,0),ROUNDDOWN($E1213*ROUND((9*$AA1213-9*$E1213)/(10*$E1213),4),0))))</f>
        <v/>
      </c>
      <c r="AD1213" s="13" t="n"/>
      <c r="AE1213" s="15">
        <f>IF($B1213="","",IF($AD1213&lt;&gt;"",$AD1213,IF($AC1213="","",IF($AC1213&lt;=設定!$C$3,0,$AC1213))))</f>
        <v/>
      </c>
      <c r="AF1213" s="14">
        <f>IF($B1213="","",IF(AND($AG1213&lt;&gt;"",$AI1213="",$AL1213=""),"保留中",IF($AL1213&lt;&gt;"",IF(N($AE1213)&gt;0,"支給済","不支給"),IF($AE1213="","要確認",IF($AE1213=0,"不支給","未処理")))))</f>
        <v/>
      </c>
      <c r="AG1213" s="12" t="n"/>
      <c r="AH1213" s="11" t="n"/>
      <c r="AI1213" s="11" t="n"/>
      <c r="AJ1213" s="11" t="n"/>
      <c r="AK1213" s="14">
        <f>IF(AND($AF1213="保留中",$AH1213&lt;&gt;""),TODAY()-$AH1213,"")</f>
        <v/>
      </c>
      <c r="AL1213" s="12" t="n"/>
      <c r="AM1213" s="14">
        <f>IF($B1213="","",IF($AQ1213="","対象年月が未入力／","")&amp;IF($B1213="","",IF($AP1213="","職員マスタに未登録の職員番号／",IF($AA1213="","標準報酬月額が未登録／","")&amp;IF(AND($AQ1213&lt;&gt;"",OR(AND(INDEX(職員マスタ!$G$6:$G$405,$AP1213)&lt;&gt;"",INDEX(職員マスタ!$G$6:$G$405,$AP1213)&gt;EOMONTH($AQ1213,0)),AND(INDEX(職員マスタ!$H$6:$H$405,$AP1213)&lt;&gt;"",INDEX(職員マスタ!$H$6:$H$405,$AP1213)&lt;$AQ1213))),"対象月が時短期間外／","")&amp;IF(AND(INDEX(職員マスタ!$K$6:$K$405,$AP1213)&lt;&gt;"",N($W1213)&gt;0,INDEX(職員マスタ!$K$6:$K$405,$AP1213)&lt;&gt;$W1213),"標準報酬月額が申請書と相違（台帳"&amp;TEXT(INDEX(職員マスタ!$K$6:$K$405,$AP1213),"#,##0")&amp;"円／申請書"&amp;TEXT($W1213,"#,##0")&amp;"円）／","")&amp;IF(AND(INDEX(職員マスタ!$F$6:$F$405,$AP1213)&lt;&gt;"",$AQ1213&lt;&gt;"",INDEX(職員マスタ!$F$6:$F$405,$AP1213)&lt;$AQ1213),"対象月に子が2歳到達済／","")&amp;IF(AND($H1213&lt;&gt;"",INDEX(職員マスタ!$B$6:$B$405,$AP1213)&lt;&gt;"",SUBSTITUTE(SUBSTITUTE($H1213," ","")," ","")&lt;&gt;SUBSTITUTE(SUBSTITUTE(INDEX(職員マスタ!$B$6:$B$405,$AP1213)," ","")," ","")),"氏名がマスタと相違／","")&amp;IF(AND($Q1213&lt;&gt;"",INDEX(職員マスタ!$E$6:$E$405,$AP1213)&lt;&gt;"",$Q1213&lt;&gt;INDEX(職員マスタ!$E$6:$E$405,$AP1213)),"子の生年月日がマスタと相違／","")&amp;IF(AND($L1213&lt;&gt;"",INDEX(職員マスタ!$G$6:$G$405,$AP1213)&lt;&gt;"",$L1213&lt;&gt;INDEX(職員マスタ!$G$6:$G$405,$AP1213)),"時短開始日がマスタと相違／","")&amp;IF(AND($M1213&lt;&gt;"",INDEX(職員マスタ!$H$6:$H$405,$AP1213)&lt;&gt;"",$M1213&lt;&gt;INDEX(職員マスタ!$H$6:$H$405,$AP1213)),"時短終了日がマスタと相違／","")))&amp;IF(AND($B1213&lt;&gt;"",$E1213=""),"報酬額が未入力／","")&amp;IF(N($U1213)&gt;0,"申請書に入力エラーが残っています／","")&amp;IF(AND($B1213&lt;&gt;"",$AQ1213&lt;&gt;""),IF(COUNTIFS($B$6:$B$3005,$B1213,$C$6:$C$3005,$C1213,$D$6:$D$3005,$D1213)&gt;1,"同じ月の請求が重複しています／",""),"")&amp;IF(AND(N($E1213)&gt;0,$AB1213&lt;&gt;"",$AB1213&lt;&gt;"×",$AE1213=0,$AD1213=""),"計算額が下限以下のため不支給／",""))</f>
        <v/>
      </c>
      <c r="AN1213" s="12" t="n"/>
      <c r="AO1213" s="14">
        <f>IF($AF1213="保留中",COUNTIF($AF$6:$AF1213,"保留中"),"")</f>
        <v/>
      </c>
      <c r="AP1213" s="14">
        <f>IF($AQ1213="","",IF(SUMPRODUCT(MAX((職員マスタ!$A$6:$A$405=$B1213)*(((職員マスタ!$G$6:$G$405="")+(職員マスタ!$G$6:$G$405&lt;=EOMONTH($AQ1213,0)))&gt;0)*(((職員マスタ!$H$6:$H$405="")+(職員マスタ!$H$6:$H$405&gt;=$AQ1213))&gt;0)*(ROW(職員マスタ!$A$6:$A$405)-5)))&gt;0,SUMPRODUCT(MAX((職員マスタ!$A$6:$A$405=$B1213)*(((職員マスタ!$G$6:$G$405="")+(職員マスタ!$G$6:$G$405&lt;=EOMONTH($AQ1213,0)))&gt;0)*(((職員マスタ!$H$6:$H$405="")+(職員マスタ!$H$6:$H$405&gt;=$AQ1213))&gt;0)*(ROW(職員マスタ!$A$6:$A$405)-5))),IFERROR(MATCH($B1213,職員マスタ!$A$6:$A$405,0),"")))</f>
        <v/>
      </c>
      <c r="AQ1213" s="16">
        <f>IF(OR($B1213="",$C1213="",$D1213=""),"",DATE($C1213+2018,$D1213,1))</f>
        <v/>
      </c>
    </row>
    <row r="1214">
      <c r="A1214" s="11" t="n"/>
      <c r="B1214" s="12" t="n"/>
      <c r="C1214" s="12" t="n"/>
      <c r="D1214" s="12" t="n"/>
      <c r="E1214" s="13" t="n"/>
      <c r="F1214" s="12" t="n"/>
      <c r="G1214" s="13" t="n"/>
      <c r="H1214" s="12" t="n"/>
      <c r="I1214" s="12" t="n"/>
      <c r="J1214" s="12" t="n"/>
      <c r="K1214" s="12" t="n"/>
      <c r="L1214" s="11" t="n"/>
      <c r="M1214" s="11" t="n"/>
      <c r="N1214" s="11" t="n"/>
      <c r="O1214" s="11" t="n"/>
      <c r="P1214" s="12" t="n"/>
      <c r="Q1214" s="11" t="n"/>
      <c r="R1214" s="12" t="n"/>
      <c r="S1214" s="11" t="n"/>
      <c r="T1214" s="12" t="n"/>
      <c r="U1214" s="12" t="n"/>
      <c r="V1214" s="12" t="n"/>
      <c r="W1214" s="13" t="n"/>
      <c r="X1214" s="14">
        <f>IF($AP1214="",IF($B1214="","",$H1214),IF(INDEX(職員マスタ!$B$6:$B$405,$AP1214)="",$H1214,INDEX(職員マスタ!$B$6:$B$405,$AP1214)))</f>
        <v/>
      </c>
      <c r="Y1214" s="14">
        <f>IF($AP1214="",IF($B1214="","",$R1214),IF(INDEX(職員マスタ!$C$6:$C$405,$AP1214)="",$R1214,INDEX(職員マスタ!$C$6:$C$405,$AP1214)))</f>
        <v/>
      </c>
      <c r="Z1214" s="14">
        <f>IF($AQ1214="","","R"&amp;$C1214&amp;"."&amp;$D1214)</f>
        <v/>
      </c>
      <c r="AA1214" s="15">
        <f>IF(IF($AP1214="",FALSE,INDEX(職員マスタ!$K$6:$K$405,$AP1214)&lt;&gt;""),INDEX(職員マスタ!$K$6:$K$405,$AP1214),IF(N($W1214)&gt;0,$W1214,""))</f>
        <v/>
      </c>
      <c r="AB1214" s="14">
        <f>IF(OR($E1214="",$AA1214=""),"",IF($E1214&gt;=$AA1214,"×",IF($E1214&gt;=$AA1214*設定!$C$5,"△","○")))</f>
        <v/>
      </c>
      <c r="AC1214" s="15">
        <f>IF($AB1214="","",IF($AB1214="×",0,IF($AB1214="○",ROUNDDOWN($E1214*設定!$C$4,0),ROUNDDOWN($E1214*ROUND((9*$AA1214-9*$E1214)/(10*$E1214),4),0))))</f>
        <v/>
      </c>
      <c r="AD1214" s="13" t="n"/>
      <c r="AE1214" s="15">
        <f>IF($B1214="","",IF($AD1214&lt;&gt;"",$AD1214,IF($AC1214="","",IF($AC1214&lt;=設定!$C$3,0,$AC1214))))</f>
        <v/>
      </c>
      <c r="AF1214" s="14">
        <f>IF($B1214="","",IF(AND($AG1214&lt;&gt;"",$AI1214="",$AL1214=""),"保留中",IF($AL1214&lt;&gt;"",IF(N($AE1214)&gt;0,"支給済","不支給"),IF($AE1214="","要確認",IF($AE1214=0,"不支給","未処理")))))</f>
        <v/>
      </c>
      <c r="AG1214" s="12" t="n"/>
      <c r="AH1214" s="11" t="n"/>
      <c r="AI1214" s="11" t="n"/>
      <c r="AJ1214" s="11" t="n"/>
      <c r="AK1214" s="14">
        <f>IF(AND($AF1214="保留中",$AH1214&lt;&gt;""),TODAY()-$AH1214,"")</f>
        <v/>
      </c>
      <c r="AL1214" s="12" t="n"/>
      <c r="AM1214" s="14">
        <f>IF($B1214="","",IF($AQ1214="","対象年月が未入力／","")&amp;IF($B1214="","",IF($AP1214="","職員マスタに未登録の職員番号／",IF($AA1214="","標準報酬月額が未登録／","")&amp;IF(AND($AQ1214&lt;&gt;"",OR(AND(INDEX(職員マスタ!$G$6:$G$405,$AP1214)&lt;&gt;"",INDEX(職員マスタ!$G$6:$G$405,$AP1214)&gt;EOMONTH($AQ1214,0)),AND(INDEX(職員マスタ!$H$6:$H$405,$AP1214)&lt;&gt;"",INDEX(職員マスタ!$H$6:$H$405,$AP1214)&lt;$AQ1214))),"対象月が時短期間外／","")&amp;IF(AND(INDEX(職員マスタ!$K$6:$K$405,$AP1214)&lt;&gt;"",N($W1214)&gt;0,INDEX(職員マスタ!$K$6:$K$405,$AP1214)&lt;&gt;$W1214),"標準報酬月額が申請書と相違（台帳"&amp;TEXT(INDEX(職員マスタ!$K$6:$K$405,$AP1214),"#,##0")&amp;"円／申請書"&amp;TEXT($W1214,"#,##0")&amp;"円）／","")&amp;IF(AND(INDEX(職員マスタ!$F$6:$F$405,$AP1214)&lt;&gt;"",$AQ1214&lt;&gt;"",INDEX(職員マスタ!$F$6:$F$405,$AP1214)&lt;$AQ1214),"対象月に子が2歳到達済／","")&amp;IF(AND($H1214&lt;&gt;"",INDEX(職員マスタ!$B$6:$B$405,$AP1214)&lt;&gt;"",SUBSTITUTE(SUBSTITUTE($H1214," ","")," ","")&lt;&gt;SUBSTITUTE(SUBSTITUTE(INDEX(職員マスタ!$B$6:$B$405,$AP1214)," ","")," ","")),"氏名がマスタと相違／","")&amp;IF(AND($Q1214&lt;&gt;"",INDEX(職員マスタ!$E$6:$E$405,$AP1214)&lt;&gt;"",$Q1214&lt;&gt;INDEX(職員マスタ!$E$6:$E$405,$AP1214)),"子の生年月日がマスタと相違／","")&amp;IF(AND($L1214&lt;&gt;"",INDEX(職員マスタ!$G$6:$G$405,$AP1214)&lt;&gt;"",$L1214&lt;&gt;INDEX(職員マスタ!$G$6:$G$405,$AP1214)),"時短開始日がマスタと相違／","")&amp;IF(AND($M1214&lt;&gt;"",INDEX(職員マスタ!$H$6:$H$405,$AP1214)&lt;&gt;"",$M1214&lt;&gt;INDEX(職員マスタ!$H$6:$H$405,$AP1214)),"時短終了日がマスタと相違／","")))&amp;IF(AND($B1214&lt;&gt;"",$E1214=""),"報酬額が未入力／","")&amp;IF(N($U1214)&gt;0,"申請書に入力エラーが残っています／","")&amp;IF(AND($B1214&lt;&gt;"",$AQ1214&lt;&gt;""),IF(COUNTIFS($B$6:$B$3005,$B1214,$C$6:$C$3005,$C1214,$D$6:$D$3005,$D1214)&gt;1,"同じ月の請求が重複しています／",""),"")&amp;IF(AND(N($E1214)&gt;0,$AB1214&lt;&gt;"",$AB1214&lt;&gt;"×",$AE1214=0,$AD1214=""),"計算額が下限以下のため不支給／",""))</f>
        <v/>
      </c>
      <c r="AN1214" s="12" t="n"/>
      <c r="AO1214" s="14">
        <f>IF($AF1214="保留中",COUNTIF($AF$6:$AF1214,"保留中"),"")</f>
        <v/>
      </c>
      <c r="AP1214" s="14">
        <f>IF($AQ1214="","",IF(SUMPRODUCT(MAX((職員マスタ!$A$6:$A$405=$B1214)*(((職員マスタ!$G$6:$G$405="")+(職員マスタ!$G$6:$G$405&lt;=EOMONTH($AQ1214,0)))&gt;0)*(((職員マスタ!$H$6:$H$405="")+(職員マスタ!$H$6:$H$405&gt;=$AQ1214))&gt;0)*(ROW(職員マスタ!$A$6:$A$405)-5)))&gt;0,SUMPRODUCT(MAX((職員マスタ!$A$6:$A$405=$B1214)*(((職員マスタ!$G$6:$G$405="")+(職員マスタ!$G$6:$G$405&lt;=EOMONTH($AQ1214,0)))&gt;0)*(((職員マスタ!$H$6:$H$405="")+(職員マスタ!$H$6:$H$405&gt;=$AQ1214))&gt;0)*(ROW(職員マスタ!$A$6:$A$405)-5))),IFERROR(MATCH($B1214,職員マスタ!$A$6:$A$405,0),"")))</f>
        <v/>
      </c>
      <c r="AQ1214" s="16">
        <f>IF(OR($B1214="",$C1214="",$D1214=""),"",DATE($C1214+2018,$D1214,1))</f>
        <v/>
      </c>
    </row>
    <row r="1215">
      <c r="A1215" s="11" t="n"/>
      <c r="B1215" s="12" t="n"/>
      <c r="C1215" s="12" t="n"/>
      <c r="D1215" s="12" t="n"/>
      <c r="E1215" s="13" t="n"/>
      <c r="F1215" s="12" t="n"/>
      <c r="G1215" s="13" t="n"/>
      <c r="H1215" s="12" t="n"/>
      <c r="I1215" s="12" t="n"/>
      <c r="J1215" s="12" t="n"/>
      <c r="K1215" s="12" t="n"/>
      <c r="L1215" s="11" t="n"/>
      <c r="M1215" s="11" t="n"/>
      <c r="N1215" s="11" t="n"/>
      <c r="O1215" s="11" t="n"/>
      <c r="P1215" s="12" t="n"/>
      <c r="Q1215" s="11" t="n"/>
      <c r="R1215" s="12" t="n"/>
      <c r="S1215" s="11" t="n"/>
      <c r="T1215" s="12" t="n"/>
      <c r="U1215" s="12" t="n"/>
      <c r="V1215" s="12" t="n"/>
      <c r="W1215" s="13" t="n"/>
      <c r="X1215" s="14">
        <f>IF($AP1215="",IF($B1215="","",$H1215),IF(INDEX(職員マスタ!$B$6:$B$405,$AP1215)="",$H1215,INDEX(職員マスタ!$B$6:$B$405,$AP1215)))</f>
        <v/>
      </c>
      <c r="Y1215" s="14">
        <f>IF($AP1215="",IF($B1215="","",$R1215),IF(INDEX(職員マスタ!$C$6:$C$405,$AP1215)="",$R1215,INDEX(職員マスタ!$C$6:$C$405,$AP1215)))</f>
        <v/>
      </c>
      <c r="Z1215" s="14">
        <f>IF($AQ1215="","","R"&amp;$C1215&amp;"."&amp;$D1215)</f>
        <v/>
      </c>
      <c r="AA1215" s="15">
        <f>IF(IF($AP1215="",FALSE,INDEX(職員マスタ!$K$6:$K$405,$AP1215)&lt;&gt;""),INDEX(職員マスタ!$K$6:$K$405,$AP1215),IF(N($W1215)&gt;0,$W1215,""))</f>
        <v/>
      </c>
      <c r="AB1215" s="14">
        <f>IF(OR($E1215="",$AA1215=""),"",IF($E1215&gt;=$AA1215,"×",IF($E1215&gt;=$AA1215*設定!$C$5,"△","○")))</f>
        <v/>
      </c>
      <c r="AC1215" s="15">
        <f>IF($AB1215="","",IF($AB1215="×",0,IF($AB1215="○",ROUNDDOWN($E1215*設定!$C$4,0),ROUNDDOWN($E1215*ROUND((9*$AA1215-9*$E1215)/(10*$E1215),4),0))))</f>
        <v/>
      </c>
      <c r="AD1215" s="13" t="n"/>
      <c r="AE1215" s="15">
        <f>IF($B1215="","",IF($AD1215&lt;&gt;"",$AD1215,IF($AC1215="","",IF($AC1215&lt;=設定!$C$3,0,$AC1215))))</f>
        <v/>
      </c>
      <c r="AF1215" s="14">
        <f>IF($B1215="","",IF(AND($AG1215&lt;&gt;"",$AI1215="",$AL1215=""),"保留中",IF($AL1215&lt;&gt;"",IF(N($AE1215)&gt;0,"支給済","不支給"),IF($AE1215="","要確認",IF($AE1215=0,"不支給","未処理")))))</f>
        <v/>
      </c>
      <c r="AG1215" s="12" t="n"/>
      <c r="AH1215" s="11" t="n"/>
      <c r="AI1215" s="11" t="n"/>
      <c r="AJ1215" s="11" t="n"/>
      <c r="AK1215" s="14">
        <f>IF(AND($AF1215="保留中",$AH1215&lt;&gt;""),TODAY()-$AH1215,"")</f>
        <v/>
      </c>
      <c r="AL1215" s="12" t="n"/>
      <c r="AM1215" s="14">
        <f>IF($B1215="","",IF($AQ1215="","対象年月が未入力／","")&amp;IF($B1215="","",IF($AP1215="","職員マスタに未登録の職員番号／",IF($AA1215="","標準報酬月額が未登録／","")&amp;IF(AND($AQ1215&lt;&gt;"",OR(AND(INDEX(職員マスタ!$G$6:$G$405,$AP1215)&lt;&gt;"",INDEX(職員マスタ!$G$6:$G$405,$AP1215)&gt;EOMONTH($AQ1215,0)),AND(INDEX(職員マスタ!$H$6:$H$405,$AP1215)&lt;&gt;"",INDEX(職員マスタ!$H$6:$H$405,$AP1215)&lt;$AQ1215))),"対象月が時短期間外／","")&amp;IF(AND(INDEX(職員マスタ!$K$6:$K$405,$AP1215)&lt;&gt;"",N($W1215)&gt;0,INDEX(職員マスタ!$K$6:$K$405,$AP1215)&lt;&gt;$W1215),"標準報酬月額が申請書と相違（台帳"&amp;TEXT(INDEX(職員マスタ!$K$6:$K$405,$AP1215),"#,##0")&amp;"円／申請書"&amp;TEXT($W1215,"#,##0")&amp;"円）／","")&amp;IF(AND(INDEX(職員マスタ!$F$6:$F$405,$AP1215)&lt;&gt;"",$AQ1215&lt;&gt;"",INDEX(職員マスタ!$F$6:$F$405,$AP1215)&lt;$AQ1215),"対象月に子が2歳到達済／","")&amp;IF(AND($H1215&lt;&gt;"",INDEX(職員マスタ!$B$6:$B$405,$AP1215)&lt;&gt;"",SUBSTITUTE(SUBSTITUTE($H1215," ","")," ","")&lt;&gt;SUBSTITUTE(SUBSTITUTE(INDEX(職員マスタ!$B$6:$B$405,$AP1215)," ","")," ","")),"氏名がマスタと相違／","")&amp;IF(AND($Q1215&lt;&gt;"",INDEX(職員マスタ!$E$6:$E$405,$AP1215)&lt;&gt;"",$Q1215&lt;&gt;INDEX(職員マスタ!$E$6:$E$405,$AP1215)),"子の生年月日がマスタと相違／","")&amp;IF(AND($L1215&lt;&gt;"",INDEX(職員マスタ!$G$6:$G$405,$AP1215)&lt;&gt;"",$L1215&lt;&gt;INDEX(職員マスタ!$G$6:$G$405,$AP1215)),"時短開始日がマスタと相違／","")&amp;IF(AND($M1215&lt;&gt;"",INDEX(職員マスタ!$H$6:$H$405,$AP1215)&lt;&gt;"",$M1215&lt;&gt;INDEX(職員マスタ!$H$6:$H$405,$AP1215)),"時短終了日がマスタと相違／","")))&amp;IF(AND($B1215&lt;&gt;"",$E1215=""),"報酬額が未入力／","")&amp;IF(N($U1215)&gt;0,"申請書に入力エラーが残っています／","")&amp;IF(AND($B1215&lt;&gt;"",$AQ1215&lt;&gt;""),IF(COUNTIFS($B$6:$B$3005,$B1215,$C$6:$C$3005,$C1215,$D$6:$D$3005,$D1215)&gt;1,"同じ月の請求が重複しています／",""),"")&amp;IF(AND(N($E1215)&gt;0,$AB1215&lt;&gt;"",$AB1215&lt;&gt;"×",$AE1215=0,$AD1215=""),"計算額が下限以下のため不支給／",""))</f>
        <v/>
      </c>
      <c r="AN1215" s="12" t="n"/>
      <c r="AO1215" s="14">
        <f>IF($AF1215="保留中",COUNTIF($AF$6:$AF1215,"保留中"),"")</f>
        <v/>
      </c>
      <c r="AP1215" s="14">
        <f>IF($AQ1215="","",IF(SUMPRODUCT(MAX((職員マスタ!$A$6:$A$405=$B1215)*(((職員マスタ!$G$6:$G$405="")+(職員マスタ!$G$6:$G$405&lt;=EOMONTH($AQ1215,0)))&gt;0)*(((職員マスタ!$H$6:$H$405="")+(職員マスタ!$H$6:$H$405&gt;=$AQ1215))&gt;0)*(ROW(職員マスタ!$A$6:$A$405)-5)))&gt;0,SUMPRODUCT(MAX((職員マスタ!$A$6:$A$405=$B1215)*(((職員マスタ!$G$6:$G$405="")+(職員マスタ!$G$6:$G$405&lt;=EOMONTH($AQ1215,0)))&gt;0)*(((職員マスタ!$H$6:$H$405="")+(職員マスタ!$H$6:$H$405&gt;=$AQ1215))&gt;0)*(ROW(職員マスタ!$A$6:$A$405)-5))),IFERROR(MATCH($B1215,職員マスタ!$A$6:$A$405,0),"")))</f>
        <v/>
      </c>
      <c r="AQ1215" s="16">
        <f>IF(OR($B1215="",$C1215="",$D1215=""),"",DATE($C1215+2018,$D1215,1))</f>
        <v/>
      </c>
    </row>
    <row r="1216">
      <c r="A1216" s="11" t="n"/>
      <c r="B1216" s="12" t="n"/>
      <c r="C1216" s="12" t="n"/>
      <c r="D1216" s="12" t="n"/>
      <c r="E1216" s="13" t="n"/>
      <c r="F1216" s="12" t="n"/>
      <c r="G1216" s="13" t="n"/>
      <c r="H1216" s="12" t="n"/>
      <c r="I1216" s="12" t="n"/>
      <c r="J1216" s="12" t="n"/>
      <c r="K1216" s="12" t="n"/>
      <c r="L1216" s="11" t="n"/>
      <c r="M1216" s="11" t="n"/>
      <c r="N1216" s="11" t="n"/>
      <c r="O1216" s="11" t="n"/>
      <c r="P1216" s="12" t="n"/>
      <c r="Q1216" s="11" t="n"/>
      <c r="R1216" s="12" t="n"/>
      <c r="S1216" s="11" t="n"/>
      <c r="T1216" s="12" t="n"/>
      <c r="U1216" s="12" t="n"/>
      <c r="V1216" s="12" t="n"/>
      <c r="W1216" s="13" t="n"/>
      <c r="X1216" s="14">
        <f>IF($AP1216="",IF($B1216="","",$H1216),IF(INDEX(職員マスタ!$B$6:$B$405,$AP1216)="",$H1216,INDEX(職員マスタ!$B$6:$B$405,$AP1216)))</f>
        <v/>
      </c>
      <c r="Y1216" s="14">
        <f>IF($AP1216="",IF($B1216="","",$R1216),IF(INDEX(職員マスタ!$C$6:$C$405,$AP1216)="",$R1216,INDEX(職員マスタ!$C$6:$C$405,$AP1216)))</f>
        <v/>
      </c>
      <c r="Z1216" s="14">
        <f>IF($AQ1216="","","R"&amp;$C1216&amp;"."&amp;$D1216)</f>
        <v/>
      </c>
      <c r="AA1216" s="15">
        <f>IF(IF($AP1216="",FALSE,INDEX(職員マスタ!$K$6:$K$405,$AP1216)&lt;&gt;""),INDEX(職員マスタ!$K$6:$K$405,$AP1216),IF(N($W1216)&gt;0,$W1216,""))</f>
        <v/>
      </c>
      <c r="AB1216" s="14">
        <f>IF(OR($E1216="",$AA1216=""),"",IF($E1216&gt;=$AA1216,"×",IF($E1216&gt;=$AA1216*設定!$C$5,"△","○")))</f>
        <v/>
      </c>
      <c r="AC1216" s="15">
        <f>IF($AB1216="","",IF($AB1216="×",0,IF($AB1216="○",ROUNDDOWN($E1216*設定!$C$4,0),ROUNDDOWN($E1216*ROUND((9*$AA1216-9*$E1216)/(10*$E1216),4),0))))</f>
        <v/>
      </c>
      <c r="AD1216" s="13" t="n"/>
      <c r="AE1216" s="15">
        <f>IF($B1216="","",IF($AD1216&lt;&gt;"",$AD1216,IF($AC1216="","",IF($AC1216&lt;=設定!$C$3,0,$AC1216))))</f>
        <v/>
      </c>
      <c r="AF1216" s="14">
        <f>IF($B1216="","",IF(AND($AG1216&lt;&gt;"",$AI1216="",$AL1216=""),"保留中",IF($AL1216&lt;&gt;"",IF(N($AE1216)&gt;0,"支給済","不支給"),IF($AE1216="","要確認",IF($AE1216=0,"不支給","未処理")))))</f>
        <v/>
      </c>
      <c r="AG1216" s="12" t="n"/>
      <c r="AH1216" s="11" t="n"/>
      <c r="AI1216" s="11" t="n"/>
      <c r="AJ1216" s="11" t="n"/>
      <c r="AK1216" s="14">
        <f>IF(AND($AF1216="保留中",$AH1216&lt;&gt;""),TODAY()-$AH1216,"")</f>
        <v/>
      </c>
      <c r="AL1216" s="12" t="n"/>
      <c r="AM1216" s="14">
        <f>IF($B1216="","",IF($AQ1216="","対象年月が未入力／","")&amp;IF($B1216="","",IF($AP1216="","職員マスタに未登録の職員番号／",IF($AA1216="","標準報酬月額が未登録／","")&amp;IF(AND($AQ1216&lt;&gt;"",OR(AND(INDEX(職員マスタ!$G$6:$G$405,$AP1216)&lt;&gt;"",INDEX(職員マスタ!$G$6:$G$405,$AP1216)&gt;EOMONTH($AQ1216,0)),AND(INDEX(職員マスタ!$H$6:$H$405,$AP1216)&lt;&gt;"",INDEX(職員マスタ!$H$6:$H$405,$AP1216)&lt;$AQ1216))),"対象月が時短期間外／","")&amp;IF(AND(INDEX(職員マスタ!$K$6:$K$405,$AP1216)&lt;&gt;"",N($W1216)&gt;0,INDEX(職員マスタ!$K$6:$K$405,$AP1216)&lt;&gt;$W1216),"標準報酬月額が申請書と相違（台帳"&amp;TEXT(INDEX(職員マスタ!$K$6:$K$405,$AP1216),"#,##0")&amp;"円／申請書"&amp;TEXT($W1216,"#,##0")&amp;"円）／","")&amp;IF(AND(INDEX(職員マスタ!$F$6:$F$405,$AP1216)&lt;&gt;"",$AQ1216&lt;&gt;"",INDEX(職員マスタ!$F$6:$F$405,$AP1216)&lt;$AQ1216),"対象月に子が2歳到達済／","")&amp;IF(AND($H1216&lt;&gt;"",INDEX(職員マスタ!$B$6:$B$405,$AP1216)&lt;&gt;"",SUBSTITUTE(SUBSTITUTE($H1216," ","")," ","")&lt;&gt;SUBSTITUTE(SUBSTITUTE(INDEX(職員マスタ!$B$6:$B$405,$AP1216)," ","")," ","")),"氏名がマスタと相違／","")&amp;IF(AND($Q1216&lt;&gt;"",INDEX(職員マスタ!$E$6:$E$405,$AP1216)&lt;&gt;"",$Q1216&lt;&gt;INDEX(職員マスタ!$E$6:$E$405,$AP1216)),"子の生年月日がマスタと相違／","")&amp;IF(AND($L1216&lt;&gt;"",INDEX(職員マスタ!$G$6:$G$405,$AP1216)&lt;&gt;"",$L1216&lt;&gt;INDEX(職員マスタ!$G$6:$G$405,$AP1216)),"時短開始日がマスタと相違／","")&amp;IF(AND($M1216&lt;&gt;"",INDEX(職員マスタ!$H$6:$H$405,$AP1216)&lt;&gt;"",$M1216&lt;&gt;INDEX(職員マスタ!$H$6:$H$405,$AP1216)),"時短終了日がマスタと相違／","")))&amp;IF(AND($B1216&lt;&gt;"",$E1216=""),"報酬額が未入力／","")&amp;IF(N($U1216)&gt;0,"申請書に入力エラーが残っています／","")&amp;IF(AND($B1216&lt;&gt;"",$AQ1216&lt;&gt;""),IF(COUNTIFS($B$6:$B$3005,$B1216,$C$6:$C$3005,$C1216,$D$6:$D$3005,$D1216)&gt;1,"同じ月の請求が重複しています／",""),"")&amp;IF(AND(N($E1216)&gt;0,$AB1216&lt;&gt;"",$AB1216&lt;&gt;"×",$AE1216=0,$AD1216=""),"計算額が下限以下のため不支給／",""))</f>
        <v/>
      </c>
      <c r="AN1216" s="12" t="n"/>
      <c r="AO1216" s="14">
        <f>IF($AF1216="保留中",COUNTIF($AF$6:$AF1216,"保留中"),"")</f>
        <v/>
      </c>
      <c r="AP1216" s="14">
        <f>IF($AQ1216="","",IF(SUMPRODUCT(MAX((職員マスタ!$A$6:$A$405=$B1216)*(((職員マスタ!$G$6:$G$405="")+(職員マスタ!$G$6:$G$405&lt;=EOMONTH($AQ1216,0)))&gt;0)*(((職員マスタ!$H$6:$H$405="")+(職員マスタ!$H$6:$H$405&gt;=$AQ1216))&gt;0)*(ROW(職員マスタ!$A$6:$A$405)-5)))&gt;0,SUMPRODUCT(MAX((職員マスタ!$A$6:$A$405=$B1216)*(((職員マスタ!$G$6:$G$405="")+(職員マスタ!$G$6:$G$405&lt;=EOMONTH($AQ1216,0)))&gt;0)*(((職員マスタ!$H$6:$H$405="")+(職員マスタ!$H$6:$H$405&gt;=$AQ1216))&gt;0)*(ROW(職員マスタ!$A$6:$A$405)-5))),IFERROR(MATCH($B1216,職員マスタ!$A$6:$A$405,0),"")))</f>
        <v/>
      </c>
      <c r="AQ1216" s="16">
        <f>IF(OR($B1216="",$C1216="",$D1216=""),"",DATE($C1216+2018,$D1216,1))</f>
        <v/>
      </c>
    </row>
    <row r="1217">
      <c r="A1217" s="11" t="n"/>
      <c r="B1217" s="12" t="n"/>
      <c r="C1217" s="12" t="n"/>
      <c r="D1217" s="12" t="n"/>
      <c r="E1217" s="13" t="n"/>
      <c r="F1217" s="12" t="n"/>
      <c r="G1217" s="13" t="n"/>
      <c r="H1217" s="12" t="n"/>
      <c r="I1217" s="12" t="n"/>
      <c r="J1217" s="12" t="n"/>
      <c r="K1217" s="12" t="n"/>
      <c r="L1217" s="11" t="n"/>
      <c r="M1217" s="11" t="n"/>
      <c r="N1217" s="11" t="n"/>
      <c r="O1217" s="11" t="n"/>
      <c r="P1217" s="12" t="n"/>
      <c r="Q1217" s="11" t="n"/>
      <c r="R1217" s="12" t="n"/>
      <c r="S1217" s="11" t="n"/>
      <c r="T1217" s="12" t="n"/>
      <c r="U1217" s="12" t="n"/>
      <c r="V1217" s="12" t="n"/>
      <c r="W1217" s="13" t="n"/>
      <c r="X1217" s="14">
        <f>IF($AP1217="",IF($B1217="","",$H1217),IF(INDEX(職員マスタ!$B$6:$B$405,$AP1217)="",$H1217,INDEX(職員マスタ!$B$6:$B$405,$AP1217)))</f>
        <v/>
      </c>
      <c r="Y1217" s="14">
        <f>IF($AP1217="",IF($B1217="","",$R1217),IF(INDEX(職員マスタ!$C$6:$C$405,$AP1217)="",$R1217,INDEX(職員マスタ!$C$6:$C$405,$AP1217)))</f>
        <v/>
      </c>
      <c r="Z1217" s="14">
        <f>IF($AQ1217="","","R"&amp;$C1217&amp;"."&amp;$D1217)</f>
        <v/>
      </c>
      <c r="AA1217" s="15">
        <f>IF(IF($AP1217="",FALSE,INDEX(職員マスタ!$K$6:$K$405,$AP1217)&lt;&gt;""),INDEX(職員マスタ!$K$6:$K$405,$AP1217),IF(N($W1217)&gt;0,$W1217,""))</f>
        <v/>
      </c>
      <c r="AB1217" s="14">
        <f>IF(OR($E1217="",$AA1217=""),"",IF($E1217&gt;=$AA1217,"×",IF($E1217&gt;=$AA1217*設定!$C$5,"△","○")))</f>
        <v/>
      </c>
      <c r="AC1217" s="15">
        <f>IF($AB1217="","",IF($AB1217="×",0,IF($AB1217="○",ROUNDDOWN($E1217*設定!$C$4,0),ROUNDDOWN($E1217*ROUND((9*$AA1217-9*$E1217)/(10*$E1217),4),0))))</f>
        <v/>
      </c>
      <c r="AD1217" s="13" t="n"/>
      <c r="AE1217" s="15">
        <f>IF($B1217="","",IF($AD1217&lt;&gt;"",$AD1217,IF($AC1217="","",IF($AC1217&lt;=設定!$C$3,0,$AC1217))))</f>
        <v/>
      </c>
      <c r="AF1217" s="14">
        <f>IF($B1217="","",IF(AND($AG1217&lt;&gt;"",$AI1217="",$AL1217=""),"保留中",IF($AL1217&lt;&gt;"",IF(N($AE1217)&gt;0,"支給済","不支給"),IF($AE1217="","要確認",IF($AE1217=0,"不支給","未処理")))))</f>
        <v/>
      </c>
      <c r="AG1217" s="12" t="n"/>
      <c r="AH1217" s="11" t="n"/>
      <c r="AI1217" s="11" t="n"/>
      <c r="AJ1217" s="11" t="n"/>
      <c r="AK1217" s="14">
        <f>IF(AND($AF1217="保留中",$AH1217&lt;&gt;""),TODAY()-$AH1217,"")</f>
        <v/>
      </c>
      <c r="AL1217" s="12" t="n"/>
      <c r="AM1217" s="14">
        <f>IF($B1217="","",IF($AQ1217="","対象年月が未入力／","")&amp;IF($B1217="","",IF($AP1217="","職員マスタに未登録の職員番号／",IF($AA1217="","標準報酬月額が未登録／","")&amp;IF(AND($AQ1217&lt;&gt;"",OR(AND(INDEX(職員マスタ!$G$6:$G$405,$AP1217)&lt;&gt;"",INDEX(職員マスタ!$G$6:$G$405,$AP1217)&gt;EOMONTH($AQ1217,0)),AND(INDEX(職員マスタ!$H$6:$H$405,$AP1217)&lt;&gt;"",INDEX(職員マスタ!$H$6:$H$405,$AP1217)&lt;$AQ1217))),"対象月が時短期間外／","")&amp;IF(AND(INDEX(職員マスタ!$K$6:$K$405,$AP1217)&lt;&gt;"",N($W1217)&gt;0,INDEX(職員マスタ!$K$6:$K$405,$AP1217)&lt;&gt;$W1217),"標準報酬月額が申請書と相違（台帳"&amp;TEXT(INDEX(職員マスタ!$K$6:$K$405,$AP1217),"#,##0")&amp;"円／申請書"&amp;TEXT($W1217,"#,##0")&amp;"円）／","")&amp;IF(AND(INDEX(職員マスタ!$F$6:$F$405,$AP1217)&lt;&gt;"",$AQ1217&lt;&gt;"",INDEX(職員マスタ!$F$6:$F$405,$AP1217)&lt;$AQ1217),"対象月に子が2歳到達済／","")&amp;IF(AND($H1217&lt;&gt;"",INDEX(職員マスタ!$B$6:$B$405,$AP1217)&lt;&gt;"",SUBSTITUTE(SUBSTITUTE($H1217," ","")," ","")&lt;&gt;SUBSTITUTE(SUBSTITUTE(INDEX(職員マスタ!$B$6:$B$405,$AP1217)," ","")," ","")),"氏名がマスタと相違／","")&amp;IF(AND($Q1217&lt;&gt;"",INDEX(職員マスタ!$E$6:$E$405,$AP1217)&lt;&gt;"",$Q1217&lt;&gt;INDEX(職員マスタ!$E$6:$E$405,$AP1217)),"子の生年月日がマスタと相違／","")&amp;IF(AND($L1217&lt;&gt;"",INDEX(職員マスタ!$G$6:$G$405,$AP1217)&lt;&gt;"",$L1217&lt;&gt;INDEX(職員マスタ!$G$6:$G$405,$AP1217)),"時短開始日がマスタと相違／","")&amp;IF(AND($M1217&lt;&gt;"",INDEX(職員マスタ!$H$6:$H$405,$AP1217)&lt;&gt;"",$M1217&lt;&gt;INDEX(職員マスタ!$H$6:$H$405,$AP1217)),"時短終了日がマスタと相違／","")))&amp;IF(AND($B1217&lt;&gt;"",$E1217=""),"報酬額が未入力／","")&amp;IF(N($U1217)&gt;0,"申請書に入力エラーが残っています／","")&amp;IF(AND($B1217&lt;&gt;"",$AQ1217&lt;&gt;""),IF(COUNTIFS($B$6:$B$3005,$B1217,$C$6:$C$3005,$C1217,$D$6:$D$3005,$D1217)&gt;1,"同じ月の請求が重複しています／",""),"")&amp;IF(AND(N($E1217)&gt;0,$AB1217&lt;&gt;"",$AB1217&lt;&gt;"×",$AE1217=0,$AD1217=""),"計算額が下限以下のため不支給／",""))</f>
        <v/>
      </c>
      <c r="AN1217" s="12" t="n"/>
      <c r="AO1217" s="14">
        <f>IF($AF1217="保留中",COUNTIF($AF$6:$AF1217,"保留中"),"")</f>
        <v/>
      </c>
      <c r="AP1217" s="14">
        <f>IF($AQ1217="","",IF(SUMPRODUCT(MAX((職員マスタ!$A$6:$A$405=$B1217)*(((職員マスタ!$G$6:$G$405="")+(職員マスタ!$G$6:$G$405&lt;=EOMONTH($AQ1217,0)))&gt;0)*(((職員マスタ!$H$6:$H$405="")+(職員マスタ!$H$6:$H$405&gt;=$AQ1217))&gt;0)*(ROW(職員マスタ!$A$6:$A$405)-5)))&gt;0,SUMPRODUCT(MAX((職員マスタ!$A$6:$A$405=$B1217)*(((職員マスタ!$G$6:$G$405="")+(職員マスタ!$G$6:$G$405&lt;=EOMONTH($AQ1217,0)))&gt;0)*(((職員マスタ!$H$6:$H$405="")+(職員マスタ!$H$6:$H$405&gt;=$AQ1217))&gt;0)*(ROW(職員マスタ!$A$6:$A$405)-5))),IFERROR(MATCH($B1217,職員マスタ!$A$6:$A$405,0),"")))</f>
        <v/>
      </c>
      <c r="AQ1217" s="16">
        <f>IF(OR($B1217="",$C1217="",$D1217=""),"",DATE($C1217+2018,$D1217,1))</f>
        <v/>
      </c>
    </row>
    <row r="1218">
      <c r="A1218" s="11" t="n"/>
      <c r="B1218" s="12" t="n"/>
      <c r="C1218" s="12" t="n"/>
      <c r="D1218" s="12" t="n"/>
      <c r="E1218" s="13" t="n"/>
      <c r="F1218" s="12" t="n"/>
      <c r="G1218" s="13" t="n"/>
      <c r="H1218" s="12" t="n"/>
      <c r="I1218" s="12" t="n"/>
      <c r="J1218" s="12" t="n"/>
      <c r="K1218" s="12" t="n"/>
      <c r="L1218" s="11" t="n"/>
      <c r="M1218" s="11" t="n"/>
      <c r="N1218" s="11" t="n"/>
      <c r="O1218" s="11" t="n"/>
      <c r="P1218" s="12" t="n"/>
      <c r="Q1218" s="11" t="n"/>
      <c r="R1218" s="12" t="n"/>
      <c r="S1218" s="11" t="n"/>
      <c r="T1218" s="12" t="n"/>
      <c r="U1218" s="12" t="n"/>
      <c r="V1218" s="12" t="n"/>
      <c r="W1218" s="13" t="n"/>
      <c r="X1218" s="14">
        <f>IF($AP1218="",IF($B1218="","",$H1218),IF(INDEX(職員マスタ!$B$6:$B$405,$AP1218)="",$H1218,INDEX(職員マスタ!$B$6:$B$405,$AP1218)))</f>
        <v/>
      </c>
      <c r="Y1218" s="14">
        <f>IF($AP1218="",IF($B1218="","",$R1218),IF(INDEX(職員マスタ!$C$6:$C$405,$AP1218)="",$R1218,INDEX(職員マスタ!$C$6:$C$405,$AP1218)))</f>
        <v/>
      </c>
      <c r="Z1218" s="14">
        <f>IF($AQ1218="","","R"&amp;$C1218&amp;"."&amp;$D1218)</f>
        <v/>
      </c>
      <c r="AA1218" s="15">
        <f>IF(IF($AP1218="",FALSE,INDEX(職員マスタ!$K$6:$K$405,$AP1218)&lt;&gt;""),INDEX(職員マスタ!$K$6:$K$405,$AP1218),IF(N($W1218)&gt;0,$W1218,""))</f>
        <v/>
      </c>
      <c r="AB1218" s="14">
        <f>IF(OR($E1218="",$AA1218=""),"",IF($E1218&gt;=$AA1218,"×",IF($E1218&gt;=$AA1218*設定!$C$5,"△","○")))</f>
        <v/>
      </c>
      <c r="AC1218" s="15">
        <f>IF($AB1218="","",IF($AB1218="×",0,IF($AB1218="○",ROUNDDOWN($E1218*設定!$C$4,0),ROUNDDOWN($E1218*ROUND((9*$AA1218-9*$E1218)/(10*$E1218),4),0))))</f>
        <v/>
      </c>
      <c r="AD1218" s="13" t="n"/>
      <c r="AE1218" s="15">
        <f>IF($B1218="","",IF($AD1218&lt;&gt;"",$AD1218,IF($AC1218="","",IF($AC1218&lt;=設定!$C$3,0,$AC1218))))</f>
        <v/>
      </c>
      <c r="AF1218" s="14">
        <f>IF($B1218="","",IF(AND($AG1218&lt;&gt;"",$AI1218="",$AL1218=""),"保留中",IF($AL1218&lt;&gt;"",IF(N($AE1218)&gt;0,"支給済","不支給"),IF($AE1218="","要確認",IF($AE1218=0,"不支給","未処理")))))</f>
        <v/>
      </c>
      <c r="AG1218" s="12" t="n"/>
      <c r="AH1218" s="11" t="n"/>
      <c r="AI1218" s="11" t="n"/>
      <c r="AJ1218" s="11" t="n"/>
      <c r="AK1218" s="14">
        <f>IF(AND($AF1218="保留中",$AH1218&lt;&gt;""),TODAY()-$AH1218,"")</f>
        <v/>
      </c>
      <c r="AL1218" s="12" t="n"/>
      <c r="AM1218" s="14">
        <f>IF($B1218="","",IF($AQ1218="","対象年月が未入力／","")&amp;IF($B1218="","",IF($AP1218="","職員マスタに未登録の職員番号／",IF($AA1218="","標準報酬月額が未登録／","")&amp;IF(AND($AQ1218&lt;&gt;"",OR(AND(INDEX(職員マスタ!$G$6:$G$405,$AP1218)&lt;&gt;"",INDEX(職員マスタ!$G$6:$G$405,$AP1218)&gt;EOMONTH($AQ1218,0)),AND(INDEX(職員マスタ!$H$6:$H$405,$AP1218)&lt;&gt;"",INDEX(職員マスタ!$H$6:$H$405,$AP1218)&lt;$AQ1218))),"対象月が時短期間外／","")&amp;IF(AND(INDEX(職員マスタ!$K$6:$K$405,$AP1218)&lt;&gt;"",N($W1218)&gt;0,INDEX(職員マスタ!$K$6:$K$405,$AP1218)&lt;&gt;$W1218),"標準報酬月額が申請書と相違（台帳"&amp;TEXT(INDEX(職員マスタ!$K$6:$K$405,$AP1218),"#,##0")&amp;"円／申請書"&amp;TEXT($W1218,"#,##0")&amp;"円）／","")&amp;IF(AND(INDEX(職員マスタ!$F$6:$F$405,$AP1218)&lt;&gt;"",$AQ1218&lt;&gt;"",INDEX(職員マスタ!$F$6:$F$405,$AP1218)&lt;$AQ1218),"対象月に子が2歳到達済／","")&amp;IF(AND($H1218&lt;&gt;"",INDEX(職員マスタ!$B$6:$B$405,$AP1218)&lt;&gt;"",SUBSTITUTE(SUBSTITUTE($H1218," ","")," ","")&lt;&gt;SUBSTITUTE(SUBSTITUTE(INDEX(職員マスタ!$B$6:$B$405,$AP1218)," ","")," ","")),"氏名がマスタと相違／","")&amp;IF(AND($Q1218&lt;&gt;"",INDEX(職員マスタ!$E$6:$E$405,$AP1218)&lt;&gt;"",$Q1218&lt;&gt;INDEX(職員マスタ!$E$6:$E$405,$AP1218)),"子の生年月日がマスタと相違／","")&amp;IF(AND($L1218&lt;&gt;"",INDEX(職員マスタ!$G$6:$G$405,$AP1218)&lt;&gt;"",$L1218&lt;&gt;INDEX(職員マスタ!$G$6:$G$405,$AP1218)),"時短開始日がマスタと相違／","")&amp;IF(AND($M1218&lt;&gt;"",INDEX(職員マスタ!$H$6:$H$405,$AP1218)&lt;&gt;"",$M1218&lt;&gt;INDEX(職員マスタ!$H$6:$H$405,$AP1218)),"時短終了日がマスタと相違／","")))&amp;IF(AND($B1218&lt;&gt;"",$E1218=""),"報酬額が未入力／","")&amp;IF(N($U1218)&gt;0,"申請書に入力エラーが残っています／","")&amp;IF(AND($B1218&lt;&gt;"",$AQ1218&lt;&gt;""),IF(COUNTIFS($B$6:$B$3005,$B1218,$C$6:$C$3005,$C1218,$D$6:$D$3005,$D1218)&gt;1,"同じ月の請求が重複しています／",""),"")&amp;IF(AND(N($E1218)&gt;0,$AB1218&lt;&gt;"",$AB1218&lt;&gt;"×",$AE1218=0,$AD1218=""),"計算額が下限以下のため不支給／",""))</f>
        <v/>
      </c>
      <c r="AN1218" s="12" t="n"/>
      <c r="AO1218" s="14">
        <f>IF($AF1218="保留中",COUNTIF($AF$6:$AF1218,"保留中"),"")</f>
        <v/>
      </c>
      <c r="AP1218" s="14">
        <f>IF($AQ1218="","",IF(SUMPRODUCT(MAX((職員マスタ!$A$6:$A$405=$B1218)*(((職員マスタ!$G$6:$G$405="")+(職員マスタ!$G$6:$G$405&lt;=EOMONTH($AQ1218,0)))&gt;0)*(((職員マスタ!$H$6:$H$405="")+(職員マスタ!$H$6:$H$405&gt;=$AQ1218))&gt;0)*(ROW(職員マスタ!$A$6:$A$405)-5)))&gt;0,SUMPRODUCT(MAX((職員マスタ!$A$6:$A$405=$B1218)*(((職員マスタ!$G$6:$G$405="")+(職員マスタ!$G$6:$G$405&lt;=EOMONTH($AQ1218,0)))&gt;0)*(((職員マスタ!$H$6:$H$405="")+(職員マスタ!$H$6:$H$405&gt;=$AQ1218))&gt;0)*(ROW(職員マスタ!$A$6:$A$405)-5))),IFERROR(MATCH($B1218,職員マスタ!$A$6:$A$405,0),"")))</f>
        <v/>
      </c>
      <c r="AQ1218" s="16">
        <f>IF(OR($B1218="",$C1218="",$D1218=""),"",DATE($C1218+2018,$D1218,1))</f>
        <v/>
      </c>
    </row>
    <row r="1219">
      <c r="A1219" s="11" t="n"/>
      <c r="B1219" s="12" t="n"/>
      <c r="C1219" s="12" t="n"/>
      <c r="D1219" s="12" t="n"/>
      <c r="E1219" s="13" t="n"/>
      <c r="F1219" s="12" t="n"/>
      <c r="G1219" s="13" t="n"/>
      <c r="H1219" s="12" t="n"/>
      <c r="I1219" s="12" t="n"/>
      <c r="J1219" s="12" t="n"/>
      <c r="K1219" s="12" t="n"/>
      <c r="L1219" s="11" t="n"/>
      <c r="M1219" s="11" t="n"/>
      <c r="N1219" s="11" t="n"/>
      <c r="O1219" s="11" t="n"/>
      <c r="P1219" s="12" t="n"/>
      <c r="Q1219" s="11" t="n"/>
      <c r="R1219" s="12" t="n"/>
      <c r="S1219" s="11" t="n"/>
      <c r="T1219" s="12" t="n"/>
      <c r="U1219" s="12" t="n"/>
      <c r="V1219" s="12" t="n"/>
      <c r="W1219" s="13" t="n"/>
      <c r="X1219" s="14">
        <f>IF($AP1219="",IF($B1219="","",$H1219),IF(INDEX(職員マスタ!$B$6:$B$405,$AP1219)="",$H1219,INDEX(職員マスタ!$B$6:$B$405,$AP1219)))</f>
        <v/>
      </c>
      <c r="Y1219" s="14">
        <f>IF($AP1219="",IF($B1219="","",$R1219),IF(INDEX(職員マスタ!$C$6:$C$405,$AP1219)="",$R1219,INDEX(職員マスタ!$C$6:$C$405,$AP1219)))</f>
        <v/>
      </c>
      <c r="Z1219" s="14">
        <f>IF($AQ1219="","","R"&amp;$C1219&amp;"."&amp;$D1219)</f>
        <v/>
      </c>
      <c r="AA1219" s="15">
        <f>IF(IF($AP1219="",FALSE,INDEX(職員マスタ!$K$6:$K$405,$AP1219)&lt;&gt;""),INDEX(職員マスタ!$K$6:$K$405,$AP1219),IF(N($W1219)&gt;0,$W1219,""))</f>
        <v/>
      </c>
      <c r="AB1219" s="14">
        <f>IF(OR($E1219="",$AA1219=""),"",IF($E1219&gt;=$AA1219,"×",IF($E1219&gt;=$AA1219*設定!$C$5,"△","○")))</f>
        <v/>
      </c>
      <c r="AC1219" s="15">
        <f>IF($AB1219="","",IF($AB1219="×",0,IF($AB1219="○",ROUNDDOWN($E1219*設定!$C$4,0),ROUNDDOWN($E1219*ROUND((9*$AA1219-9*$E1219)/(10*$E1219),4),0))))</f>
        <v/>
      </c>
      <c r="AD1219" s="13" t="n"/>
      <c r="AE1219" s="15">
        <f>IF($B1219="","",IF($AD1219&lt;&gt;"",$AD1219,IF($AC1219="","",IF($AC1219&lt;=設定!$C$3,0,$AC1219))))</f>
        <v/>
      </c>
      <c r="AF1219" s="14">
        <f>IF($B1219="","",IF(AND($AG1219&lt;&gt;"",$AI1219="",$AL1219=""),"保留中",IF($AL1219&lt;&gt;"",IF(N($AE1219)&gt;0,"支給済","不支給"),IF($AE1219="","要確認",IF($AE1219=0,"不支給","未処理")))))</f>
        <v/>
      </c>
      <c r="AG1219" s="12" t="n"/>
      <c r="AH1219" s="11" t="n"/>
      <c r="AI1219" s="11" t="n"/>
      <c r="AJ1219" s="11" t="n"/>
      <c r="AK1219" s="14">
        <f>IF(AND($AF1219="保留中",$AH1219&lt;&gt;""),TODAY()-$AH1219,"")</f>
        <v/>
      </c>
      <c r="AL1219" s="12" t="n"/>
      <c r="AM1219" s="14">
        <f>IF($B1219="","",IF($AQ1219="","対象年月が未入力／","")&amp;IF($B1219="","",IF($AP1219="","職員マスタに未登録の職員番号／",IF($AA1219="","標準報酬月額が未登録／","")&amp;IF(AND($AQ1219&lt;&gt;"",OR(AND(INDEX(職員マスタ!$G$6:$G$405,$AP1219)&lt;&gt;"",INDEX(職員マスタ!$G$6:$G$405,$AP1219)&gt;EOMONTH($AQ1219,0)),AND(INDEX(職員マスタ!$H$6:$H$405,$AP1219)&lt;&gt;"",INDEX(職員マスタ!$H$6:$H$405,$AP1219)&lt;$AQ1219))),"対象月が時短期間外／","")&amp;IF(AND(INDEX(職員マスタ!$K$6:$K$405,$AP1219)&lt;&gt;"",N($W1219)&gt;0,INDEX(職員マスタ!$K$6:$K$405,$AP1219)&lt;&gt;$W1219),"標準報酬月額が申請書と相違（台帳"&amp;TEXT(INDEX(職員マスタ!$K$6:$K$405,$AP1219),"#,##0")&amp;"円／申請書"&amp;TEXT($W1219,"#,##0")&amp;"円）／","")&amp;IF(AND(INDEX(職員マスタ!$F$6:$F$405,$AP1219)&lt;&gt;"",$AQ1219&lt;&gt;"",INDEX(職員マスタ!$F$6:$F$405,$AP1219)&lt;$AQ1219),"対象月に子が2歳到達済／","")&amp;IF(AND($H1219&lt;&gt;"",INDEX(職員マスタ!$B$6:$B$405,$AP1219)&lt;&gt;"",SUBSTITUTE(SUBSTITUTE($H1219," ","")," ","")&lt;&gt;SUBSTITUTE(SUBSTITUTE(INDEX(職員マスタ!$B$6:$B$405,$AP1219)," ","")," ","")),"氏名がマスタと相違／","")&amp;IF(AND($Q1219&lt;&gt;"",INDEX(職員マスタ!$E$6:$E$405,$AP1219)&lt;&gt;"",$Q1219&lt;&gt;INDEX(職員マスタ!$E$6:$E$405,$AP1219)),"子の生年月日がマスタと相違／","")&amp;IF(AND($L1219&lt;&gt;"",INDEX(職員マスタ!$G$6:$G$405,$AP1219)&lt;&gt;"",$L1219&lt;&gt;INDEX(職員マスタ!$G$6:$G$405,$AP1219)),"時短開始日がマスタと相違／","")&amp;IF(AND($M1219&lt;&gt;"",INDEX(職員マスタ!$H$6:$H$405,$AP1219)&lt;&gt;"",$M1219&lt;&gt;INDEX(職員マスタ!$H$6:$H$405,$AP1219)),"時短終了日がマスタと相違／","")))&amp;IF(AND($B1219&lt;&gt;"",$E1219=""),"報酬額が未入力／","")&amp;IF(N($U1219)&gt;0,"申請書に入力エラーが残っています／","")&amp;IF(AND($B1219&lt;&gt;"",$AQ1219&lt;&gt;""),IF(COUNTIFS($B$6:$B$3005,$B1219,$C$6:$C$3005,$C1219,$D$6:$D$3005,$D1219)&gt;1,"同じ月の請求が重複しています／",""),"")&amp;IF(AND(N($E1219)&gt;0,$AB1219&lt;&gt;"",$AB1219&lt;&gt;"×",$AE1219=0,$AD1219=""),"計算額が下限以下のため不支給／",""))</f>
        <v/>
      </c>
      <c r="AN1219" s="12" t="n"/>
      <c r="AO1219" s="14">
        <f>IF($AF1219="保留中",COUNTIF($AF$6:$AF1219,"保留中"),"")</f>
        <v/>
      </c>
      <c r="AP1219" s="14">
        <f>IF($AQ1219="","",IF(SUMPRODUCT(MAX((職員マスタ!$A$6:$A$405=$B1219)*(((職員マスタ!$G$6:$G$405="")+(職員マスタ!$G$6:$G$405&lt;=EOMONTH($AQ1219,0)))&gt;0)*(((職員マスタ!$H$6:$H$405="")+(職員マスタ!$H$6:$H$405&gt;=$AQ1219))&gt;0)*(ROW(職員マスタ!$A$6:$A$405)-5)))&gt;0,SUMPRODUCT(MAX((職員マスタ!$A$6:$A$405=$B1219)*(((職員マスタ!$G$6:$G$405="")+(職員マスタ!$G$6:$G$405&lt;=EOMONTH($AQ1219,0)))&gt;0)*(((職員マスタ!$H$6:$H$405="")+(職員マスタ!$H$6:$H$405&gt;=$AQ1219))&gt;0)*(ROW(職員マスタ!$A$6:$A$405)-5))),IFERROR(MATCH($B1219,職員マスタ!$A$6:$A$405,0),"")))</f>
        <v/>
      </c>
      <c r="AQ1219" s="16">
        <f>IF(OR($B1219="",$C1219="",$D1219=""),"",DATE($C1219+2018,$D1219,1))</f>
        <v/>
      </c>
    </row>
    <row r="1220">
      <c r="A1220" s="11" t="n"/>
      <c r="B1220" s="12" t="n"/>
      <c r="C1220" s="12" t="n"/>
      <c r="D1220" s="12" t="n"/>
      <c r="E1220" s="13" t="n"/>
      <c r="F1220" s="12" t="n"/>
      <c r="G1220" s="13" t="n"/>
      <c r="H1220" s="12" t="n"/>
      <c r="I1220" s="12" t="n"/>
      <c r="J1220" s="12" t="n"/>
      <c r="K1220" s="12" t="n"/>
      <c r="L1220" s="11" t="n"/>
      <c r="M1220" s="11" t="n"/>
      <c r="N1220" s="11" t="n"/>
      <c r="O1220" s="11" t="n"/>
      <c r="P1220" s="12" t="n"/>
      <c r="Q1220" s="11" t="n"/>
      <c r="R1220" s="12" t="n"/>
      <c r="S1220" s="11" t="n"/>
      <c r="T1220" s="12" t="n"/>
      <c r="U1220" s="12" t="n"/>
      <c r="V1220" s="12" t="n"/>
      <c r="W1220" s="13" t="n"/>
      <c r="X1220" s="14">
        <f>IF($AP1220="",IF($B1220="","",$H1220),IF(INDEX(職員マスタ!$B$6:$B$405,$AP1220)="",$H1220,INDEX(職員マスタ!$B$6:$B$405,$AP1220)))</f>
        <v/>
      </c>
      <c r="Y1220" s="14">
        <f>IF($AP1220="",IF($B1220="","",$R1220),IF(INDEX(職員マスタ!$C$6:$C$405,$AP1220)="",$R1220,INDEX(職員マスタ!$C$6:$C$405,$AP1220)))</f>
        <v/>
      </c>
      <c r="Z1220" s="14">
        <f>IF($AQ1220="","","R"&amp;$C1220&amp;"."&amp;$D1220)</f>
        <v/>
      </c>
      <c r="AA1220" s="15">
        <f>IF(IF($AP1220="",FALSE,INDEX(職員マスタ!$K$6:$K$405,$AP1220)&lt;&gt;""),INDEX(職員マスタ!$K$6:$K$405,$AP1220),IF(N($W1220)&gt;0,$W1220,""))</f>
        <v/>
      </c>
      <c r="AB1220" s="14">
        <f>IF(OR($E1220="",$AA1220=""),"",IF($E1220&gt;=$AA1220,"×",IF($E1220&gt;=$AA1220*設定!$C$5,"△","○")))</f>
        <v/>
      </c>
      <c r="AC1220" s="15">
        <f>IF($AB1220="","",IF($AB1220="×",0,IF($AB1220="○",ROUNDDOWN($E1220*設定!$C$4,0),ROUNDDOWN($E1220*ROUND((9*$AA1220-9*$E1220)/(10*$E1220),4),0))))</f>
        <v/>
      </c>
      <c r="AD1220" s="13" t="n"/>
      <c r="AE1220" s="15">
        <f>IF($B1220="","",IF($AD1220&lt;&gt;"",$AD1220,IF($AC1220="","",IF($AC1220&lt;=設定!$C$3,0,$AC1220))))</f>
        <v/>
      </c>
      <c r="AF1220" s="14">
        <f>IF($B1220="","",IF(AND($AG1220&lt;&gt;"",$AI1220="",$AL1220=""),"保留中",IF($AL1220&lt;&gt;"",IF(N($AE1220)&gt;0,"支給済","不支給"),IF($AE1220="","要確認",IF($AE1220=0,"不支給","未処理")))))</f>
        <v/>
      </c>
      <c r="AG1220" s="12" t="n"/>
      <c r="AH1220" s="11" t="n"/>
      <c r="AI1220" s="11" t="n"/>
      <c r="AJ1220" s="11" t="n"/>
      <c r="AK1220" s="14">
        <f>IF(AND($AF1220="保留中",$AH1220&lt;&gt;""),TODAY()-$AH1220,"")</f>
        <v/>
      </c>
      <c r="AL1220" s="12" t="n"/>
      <c r="AM1220" s="14">
        <f>IF($B1220="","",IF($AQ1220="","対象年月が未入力／","")&amp;IF($B1220="","",IF($AP1220="","職員マスタに未登録の職員番号／",IF($AA1220="","標準報酬月額が未登録／","")&amp;IF(AND($AQ1220&lt;&gt;"",OR(AND(INDEX(職員マスタ!$G$6:$G$405,$AP1220)&lt;&gt;"",INDEX(職員マスタ!$G$6:$G$405,$AP1220)&gt;EOMONTH($AQ1220,0)),AND(INDEX(職員マスタ!$H$6:$H$405,$AP1220)&lt;&gt;"",INDEX(職員マスタ!$H$6:$H$405,$AP1220)&lt;$AQ1220))),"対象月が時短期間外／","")&amp;IF(AND(INDEX(職員マスタ!$K$6:$K$405,$AP1220)&lt;&gt;"",N($W1220)&gt;0,INDEX(職員マスタ!$K$6:$K$405,$AP1220)&lt;&gt;$W1220),"標準報酬月額が申請書と相違（台帳"&amp;TEXT(INDEX(職員マスタ!$K$6:$K$405,$AP1220),"#,##0")&amp;"円／申請書"&amp;TEXT($W1220,"#,##0")&amp;"円）／","")&amp;IF(AND(INDEX(職員マスタ!$F$6:$F$405,$AP1220)&lt;&gt;"",$AQ1220&lt;&gt;"",INDEX(職員マスタ!$F$6:$F$405,$AP1220)&lt;$AQ1220),"対象月に子が2歳到達済／","")&amp;IF(AND($H1220&lt;&gt;"",INDEX(職員マスタ!$B$6:$B$405,$AP1220)&lt;&gt;"",SUBSTITUTE(SUBSTITUTE($H1220," ","")," ","")&lt;&gt;SUBSTITUTE(SUBSTITUTE(INDEX(職員マスタ!$B$6:$B$405,$AP1220)," ","")," ","")),"氏名がマスタと相違／","")&amp;IF(AND($Q1220&lt;&gt;"",INDEX(職員マスタ!$E$6:$E$405,$AP1220)&lt;&gt;"",$Q1220&lt;&gt;INDEX(職員マスタ!$E$6:$E$405,$AP1220)),"子の生年月日がマスタと相違／","")&amp;IF(AND($L1220&lt;&gt;"",INDEX(職員マスタ!$G$6:$G$405,$AP1220)&lt;&gt;"",$L1220&lt;&gt;INDEX(職員マスタ!$G$6:$G$405,$AP1220)),"時短開始日がマスタと相違／","")&amp;IF(AND($M1220&lt;&gt;"",INDEX(職員マスタ!$H$6:$H$405,$AP1220)&lt;&gt;"",$M1220&lt;&gt;INDEX(職員マスタ!$H$6:$H$405,$AP1220)),"時短終了日がマスタと相違／","")))&amp;IF(AND($B1220&lt;&gt;"",$E1220=""),"報酬額が未入力／","")&amp;IF(N($U1220)&gt;0,"申請書に入力エラーが残っています／","")&amp;IF(AND($B1220&lt;&gt;"",$AQ1220&lt;&gt;""),IF(COUNTIFS($B$6:$B$3005,$B1220,$C$6:$C$3005,$C1220,$D$6:$D$3005,$D1220)&gt;1,"同じ月の請求が重複しています／",""),"")&amp;IF(AND(N($E1220)&gt;0,$AB1220&lt;&gt;"",$AB1220&lt;&gt;"×",$AE1220=0,$AD1220=""),"計算額が下限以下のため不支給／",""))</f>
        <v/>
      </c>
      <c r="AN1220" s="12" t="n"/>
      <c r="AO1220" s="14">
        <f>IF($AF1220="保留中",COUNTIF($AF$6:$AF1220,"保留中"),"")</f>
        <v/>
      </c>
      <c r="AP1220" s="14">
        <f>IF($AQ1220="","",IF(SUMPRODUCT(MAX((職員マスタ!$A$6:$A$405=$B1220)*(((職員マスタ!$G$6:$G$405="")+(職員マスタ!$G$6:$G$405&lt;=EOMONTH($AQ1220,0)))&gt;0)*(((職員マスタ!$H$6:$H$405="")+(職員マスタ!$H$6:$H$405&gt;=$AQ1220))&gt;0)*(ROW(職員マスタ!$A$6:$A$405)-5)))&gt;0,SUMPRODUCT(MAX((職員マスタ!$A$6:$A$405=$B1220)*(((職員マスタ!$G$6:$G$405="")+(職員マスタ!$G$6:$G$405&lt;=EOMONTH($AQ1220,0)))&gt;0)*(((職員マスタ!$H$6:$H$405="")+(職員マスタ!$H$6:$H$405&gt;=$AQ1220))&gt;0)*(ROW(職員マスタ!$A$6:$A$405)-5))),IFERROR(MATCH($B1220,職員マスタ!$A$6:$A$405,0),"")))</f>
        <v/>
      </c>
      <c r="AQ1220" s="16">
        <f>IF(OR($B1220="",$C1220="",$D1220=""),"",DATE($C1220+2018,$D1220,1))</f>
        <v/>
      </c>
    </row>
    <row r="1221">
      <c r="A1221" s="11" t="n"/>
      <c r="B1221" s="12" t="n"/>
      <c r="C1221" s="12" t="n"/>
      <c r="D1221" s="12" t="n"/>
      <c r="E1221" s="13" t="n"/>
      <c r="F1221" s="12" t="n"/>
      <c r="G1221" s="13" t="n"/>
      <c r="H1221" s="12" t="n"/>
      <c r="I1221" s="12" t="n"/>
      <c r="J1221" s="12" t="n"/>
      <c r="K1221" s="12" t="n"/>
      <c r="L1221" s="11" t="n"/>
      <c r="M1221" s="11" t="n"/>
      <c r="N1221" s="11" t="n"/>
      <c r="O1221" s="11" t="n"/>
      <c r="P1221" s="12" t="n"/>
      <c r="Q1221" s="11" t="n"/>
      <c r="R1221" s="12" t="n"/>
      <c r="S1221" s="11" t="n"/>
      <c r="T1221" s="12" t="n"/>
      <c r="U1221" s="12" t="n"/>
      <c r="V1221" s="12" t="n"/>
      <c r="W1221" s="13" t="n"/>
      <c r="X1221" s="14">
        <f>IF($AP1221="",IF($B1221="","",$H1221),IF(INDEX(職員マスタ!$B$6:$B$405,$AP1221)="",$H1221,INDEX(職員マスタ!$B$6:$B$405,$AP1221)))</f>
        <v/>
      </c>
      <c r="Y1221" s="14">
        <f>IF($AP1221="",IF($B1221="","",$R1221),IF(INDEX(職員マスタ!$C$6:$C$405,$AP1221)="",$R1221,INDEX(職員マスタ!$C$6:$C$405,$AP1221)))</f>
        <v/>
      </c>
      <c r="Z1221" s="14">
        <f>IF($AQ1221="","","R"&amp;$C1221&amp;"."&amp;$D1221)</f>
        <v/>
      </c>
      <c r="AA1221" s="15">
        <f>IF(IF($AP1221="",FALSE,INDEX(職員マスタ!$K$6:$K$405,$AP1221)&lt;&gt;""),INDEX(職員マスタ!$K$6:$K$405,$AP1221),IF(N($W1221)&gt;0,$W1221,""))</f>
        <v/>
      </c>
      <c r="AB1221" s="14">
        <f>IF(OR($E1221="",$AA1221=""),"",IF($E1221&gt;=$AA1221,"×",IF($E1221&gt;=$AA1221*設定!$C$5,"△","○")))</f>
        <v/>
      </c>
      <c r="AC1221" s="15">
        <f>IF($AB1221="","",IF($AB1221="×",0,IF($AB1221="○",ROUNDDOWN($E1221*設定!$C$4,0),ROUNDDOWN($E1221*ROUND((9*$AA1221-9*$E1221)/(10*$E1221),4),0))))</f>
        <v/>
      </c>
      <c r="AD1221" s="13" t="n"/>
      <c r="AE1221" s="15">
        <f>IF($B1221="","",IF($AD1221&lt;&gt;"",$AD1221,IF($AC1221="","",IF($AC1221&lt;=設定!$C$3,0,$AC1221))))</f>
        <v/>
      </c>
      <c r="AF1221" s="14">
        <f>IF($B1221="","",IF(AND($AG1221&lt;&gt;"",$AI1221="",$AL1221=""),"保留中",IF($AL1221&lt;&gt;"",IF(N($AE1221)&gt;0,"支給済","不支給"),IF($AE1221="","要確認",IF($AE1221=0,"不支給","未処理")))))</f>
        <v/>
      </c>
      <c r="AG1221" s="12" t="n"/>
      <c r="AH1221" s="11" t="n"/>
      <c r="AI1221" s="11" t="n"/>
      <c r="AJ1221" s="11" t="n"/>
      <c r="AK1221" s="14">
        <f>IF(AND($AF1221="保留中",$AH1221&lt;&gt;""),TODAY()-$AH1221,"")</f>
        <v/>
      </c>
      <c r="AL1221" s="12" t="n"/>
      <c r="AM1221" s="14">
        <f>IF($B1221="","",IF($AQ1221="","対象年月が未入力／","")&amp;IF($B1221="","",IF($AP1221="","職員マスタに未登録の職員番号／",IF($AA1221="","標準報酬月額が未登録／","")&amp;IF(AND($AQ1221&lt;&gt;"",OR(AND(INDEX(職員マスタ!$G$6:$G$405,$AP1221)&lt;&gt;"",INDEX(職員マスタ!$G$6:$G$405,$AP1221)&gt;EOMONTH($AQ1221,0)),AND(INDEX(職員マスタ!$H$6:$H$405,$AP1221)&lt;&gt;"",INDEX(職員マスタ!$H$6:$H$405,$AP1221)&lt;$AQ1221))),"対象月が時短期間外／","")&amp;IF(AND(INDEX(職員マスタ!$K$6:$K$405,$AP1221)&lt;&gt;"",N($W1221)&gt;0,INDEX(職員マスタ!$K$6:$K$405,$AP1221)&lt;&gt;$W1221),"標準報酬月額が申請書と相違（台帳"&amp;TEXT(INDEX(職員マスタ!$K$6:$K$405,$AP1221),"#,##0")&amp;"円／申請書"&amp;TEXT($W1221,"#,##0")&amp;"円）／","")&amp;IF(AND(INDEX(職員マスタ!$F$6:$F$405,$AP1221)&lt;&gt;"",$AQ1221&lt;&gt;"",INDEX(職員マスタ!$F$6:$F$405,$AP1221)&lt;$AQ1221),"対象月に子が2歳到達済／","")&amp;IF(AND($H1221&lt;&gt;"",INDEX(職員マスタ!$B$6:$B$405,$AP1221)&lt;&gt;"",SUBSTITUTE(SUBSTITUTE($H1221," ","")," ","")&lt;&gt;SUBSTITUTE(SUBSTITUTE(INDEX(職員マスタ!$B$6:$B$405,$AP1221)," ","")," ","")),"氏名がマスタと相違／","")&amp;IF(AND($Q1221&lt;&gt;"",INDEX(職員マスタ!$E$6:$E$405,$AP1221)&lt;&gt;"",$Q1221&lt;&gt;INDEX(職員マスタ!$E$6:$E$405,$AP1221)),"子の生年月日がマスタと相違／","")&amp;IF(AND($L1221&lt;&gt;"",INDEX(職員マスタ!$G$6:$G$405,$AP1221)&lt;&gt;"",$L1221&lt;&gt;INDEX(職員マスタ!$G$6:$G$405,$AP1221)),"時短開始日がマスタと相違／","")&amp;IF(AND($M1221&lt;&gt;"",INDEX(職員マスタ!$H$6:$H$405,$AP1221)&lt;&gt;"",$M1221&lt;&gt;INDEX(職員マスタ!$H$6:$H$405,$AP1221)),"時短終了日がマスタと相違／","")))&amp;IF(AND($B1221&lt;&gt;"",$E1221=""),"報酬額が未入力／","")&amp;IF(N($U1221)&gt;0,"申請書に入力エラーが残っています／","")&amp;IF(AND($B1221&lt;&gt;"",$AQ1221&lt;&gt;""),IF(COUNTIFS($B$6:$B$3005,$B1221,$C$6:$C$3005,$C1221,$D$6:$D$3005,$D1221)&gt;1,"同じ月の請求が重複しています／",""),"")&amp;IF(AND(N($E1221)&gt;0,$AB1221&lt;&gt;"",$AB1221&lt;&gt;"×",$AE1221=0,$AD1221=""),"計算額が下限以下のため不支給／",""))</f>
        <v/>
      </c>
      <c r="AN1221" s="12" t="n"/>
      <c r="AO1221" s="14">
        <f>IF($AF1221="保留中",COUNTIF($AF$6:$AF1221,"保留中"),"")</f>
        <v/>
      </c>
      <c r="AP1221" s="14">
        <f>IF($AQ1221="","",IF(SUMPRODUCT(MAX((職員マスタ!$A$6:$A$405=$B1221)*(((職員マスタ!$G$6:$G$405="")+(職員マスタ!$G$6:$G$405&lt;=EOMONTH($AQ1221,0)))&gt;0)*(((職員マスタ!$H$6:$H$405="")+(職員マスタ!$H$6:$H$405&gt;=$AQ1221))&gt;0)*(ROW(職員マスタ!$A$6:$A$405)-5)))&gt;0,SUMPRODUCT(MAX((職員マスタ!$A$6:$A$405=$B1221)*(((職員マスタ!$G$6:$G$405="")+(職員マスタ!$G$6:$G$405&lt;=EOMONTH($AQ1221,0)))&gt;0)*(((職員マスタ!$H$6:$H$405="")+(職員マスタ!$H$6:$H$405&gt;=$AQ1221))&gt;0)*(ROW(職員マスタ!$A$6:$A$405)-5))),IFERROR(MATCH($B1221,職員マスタ!$A$6:$A$405,0),"")))</f>
        <v/>
      </c>
      <c r="AQ1221" s="16">
        <f>IF(OR($B1221="",$C1221="",$D1221=""),"",DATE($C1221+2018,$D1221,1))</f>
        <v/>
      </c>
    </row>
    <row r="1222">
      <c r="A1222" s="11" t="n"/>
      <c r="B1222" s="12" t="n"/>
      <c r="C1222" s="12" t="n"/>
      <c r="D1222" s="12" t="n"/>
      <c r="E1222" s="13" t="n"/>
      <c r="F1222" s="12" t="n"/>
      <c r="G1222" s="13" t="n"/>
      <c r="H1222" s="12" t="n"/>
      <c r="I1222" s="12" t="n"/>
      <c r="J1222" s="12" t="n"/>
      <c r="K1222" s="12" t="n"/>
      <c r="L1222" s="11" t="n"/>
      <c r="M1222" s="11" t="n"/>
      <c r="N1222" s="11" t="n"/>
      <c r="O1222" s="11" t="n"/>
      <c r="P1222" s="12" t="n"/>
      <c r="Q1222" s="11" t="n"/>
      <c r="R1222" s="12" t="n"/>
      <c r="S1222" s="11" t="n"/>
      <c r="T1222" s="12" t="n"/>
      <c r="U1222" s="12" t="n"/>
      <c r="V1222" s="12" t="n"/>
      <c r="W1222" s="13" t="n"/>
      <c r="X1222" s="14">
        <f>IF($AP1222="",IF($B1222="","",$H1222),IF(INDEX(職員マスタ!$B$6:$B$405,$AP1222)="",$H1222,INDEX(職員マスタ!$B$6:$B$405,$AP1222)))</f>
        <v/>
      </c>
      <c r="Y1222" s="14">
        <f>IF($AP1222="",IF($B1222="","",$R1222),IF(INDEX(職員マスタ!$C$6:$C$405,$AP1222)="",$R1222,INDEX(職員マスタ!$C$6:$C$405,$AP1222)))</f>
        <v/>
      </c>
      <c r="Z1222" s="14">
        <f>IF($AQ1222="","","R"&amp;$C1222&amp;"."&amp;$D1222)</f>
        <v/>
      </c>
      <c r="AA1222" s="15">
        <f>IF(IF($AP1222="",FALSE,INDEX(職員マスタ!$K$6:$K$405,$AP1222)&lt;&gt;""),INDEX(職員マスタ!$K$6:$K$405,$AP1222),IF(N($W1222)&gt;0,$W1222,""))</f>
        <v/>
      </c>
      <c r="AB1222" s="14">
        <f>IF(OR($E1222="",$AA1222=""),"",IF($E1222&gt;=$AA1222,"×",IF($E1222&gt;=$AA1222*設定!$C$5,"△","○")))</f>
        <v/>
      </c>
      <c r="AC1222" s="15">
        <f>IF($AB1222="","",IF($AB1222="×",0,IF($AB1222="○",ROUNDDOWN($E1222*設定!$C$4,0),ROUNDDOWN($E1222*ROUND((9*$AA1222-9*$E1222)/(10*$E1222),4),0))))</f>
        <v/>
      </c>
      <c r="AD1222" s="13" t="n"/>
      <c r="AE1222" s="15">
        <f>IF($B1222="","",IF($AD1222&lt;&gt;"",$AD1222,IF($AC1222="","",IF($AC1222&lt;=設定!$C$3,0,$AC1222))))</f>
        <v/>
      </c>
      <c r="AF1222" s="14">
        <f>IF($B1222="","",IF(AND($AG1222&lt;&gt;"",$AI1222="",$AL1222=""),"保留中",IF($AL1222&lt;&gt;"",IF(N($AE1222)&gt;0,"支給済","不支給"),IF($AE1222="","要確認",IF($AE1222=0,"不支給","未処理")))))</f>
        <v/>
      </c>
      <c r="AG1222" s="12" t="n"/>
      <c r="AH1222" s="11" t="n"/>
      <c r="AI1222" s="11" t="n"/>
      <c r="AJ1222" s="11" t="n"/>
      <c r="AK1222" s="14">
        <f>IF(AND($AF1222="保留中",$AH1222&lt;&gt;""),TODAY()-$AH1222,"")</f>
        <v/>
      </c>
      <c r="AL1222" s="12" t="n"/>
      <c r="AM1222" s="14">
        <f>IF($B1222="","",IF($AQ1222="","対象年月が未入力／","")&amp;IF($B1222="","",IF($AP1222="","職員マスタに未登録の職員番号／",IF($AA1222="","標準報酬月額が未登録／","")&amp;IF(AND($AQ1222&lt;&gt;"",OR(AND(INDEX(職員マスタ!$G$6:$G$405,$AP1222)&lt;&gt;"",INDEX(職員マスタ!$G$6:$G$405,$AP1222)&gt;EOMONTH($AQ1222,0)),AND(INDEX(職員マスタ!$H$6:$H$405,$AP1222)&lt;&gt;"",INDEX(職員マスタ!$H$6:$H$405,$AP1222)&lt;$AQ1222))),"対象月が時短期間外／","")&amp;IF(AND(INDEX(職員マスタ!$K$6:$K$405,$AP1222)&lt;&gt;"",N($W1222)&gt;0,INDEX(職員マスタ!$K$6:$K$405,$AP1222)&lt;&gt;$W1222),"標準報酬月額が申請書と相違（台帳"&amp;TEXT(INDEX(職員マスタ!$K$6:$K$405,$AP1222),"#,##0")&amp;"円／申請書"&amp;TEXT($W1222,"#,##0")&amp;"円）／","")&amp;IF(AND(INDEX(職員マスタ!$F$6:$F$405,$AP1222)&lt;&gt;"",$AQ1222&lt;&gt;"",INDEX(職員マスタ!$F$6:$F$405,$AP1222)&lt;$AQ1222),"対象月に子が2歳到達済／","")&amp;IF(AND($H1222&lt;&gt;"",INDEX(職員マスタ!$B$6:$B$405,$AP1222)&lt;&gt;"",SUBSTITUTE(SUBSTITUTE($H1222," ","")," ","")&lt;&gt;SUBSTITUTE(SUBSTITUTE(INDEX(職員マスタ!$B$6:$B$405,$AP1222)," ","")," ","")),"氏名がマスタと相違／","")&amp;IF(AND($Q1222&lt;&gt;"",INDEX(職員マスタ!$E$6:$E$405,$AP1222)&lt;&gt;"",$Q1222&lt;&gt;INDEX(職員マスタ!$E$6:$E$405,$AP1222)),"子の生年月日がマスタと相違／","")&amp;IF(AND($L1222&lt;&gt;"",INDEX(職員マスタ!$G$6:$G$405,$AP1222)&lt;&gt;"",$L1222&lt;&gt;INDEX(職員マスタ!$G$6:$G$405,$AP1222)),"時短開始日がマスタと相違／","")&amp;IF(AND($M1222&lt;&gt;"",INDEX(職員マスタ!$H$6:$H$405,$AP1222)&lt;&gt;"",$M1222&lt;&gt;INDEX(職員マスタ!$H$6:$H$405,$AP1222)),"時短終了日がマスタと相違／","")))&amp;IF(AND($B1222&lt;&gt;"",$E1222=""),"報酬額が未入力／","")&amp;IF(N($U1222)&gt;0,"申請書に入力エラーが残っています／","")&amp;IF(AND($B1222&lt;&gt;"",$AQ1222&lt;&gt;""),IF(COUNTIFS($B$6:$B$3005,$B1222,$C$6:$C$3005,$C1222,$D$6:$D$3005,$D1222)&gt;1,"同じ月の請求が重複しています／",""),"")&amp;IF(AND(N($E1222)&gt;0,$AB1222&lt;&gt;"",$AB1222&lt;&gt;"×",$AE1222=0,$AD1222=""),"計算額が下限以下のため不支給／",""))</f>
        <v/>
      </c>
      <c r="AN1222" s="12" t="n"/>
      <c r="AO1222" s="14">
        <f>IF($AF1222="保留中",COUNTIF($AF$6:$AF1222,"保留中"),"")</f>
        <v/>
      </c>
      <c r="AP1222" s="14">
        <f>IF($AQ1222="","",IF(SUMPRODUCT(MAX((職員マスタ!$A$6:$A$405=$B1222)*(((職員マスタ!$G$6:$G$405="")+(職員マスタ!$G$6:$G$405&lt;=EOMONTH($AQ1222,0)))&gt;0)*(((職員マスタ!$H$6:$H$405="")+(職員マスタ!$H$6:$H$405&gt;=$AQ1222))&gt;0)*(ROW(職員マスタ!$A$6:$A$405)-5)))&gt;0,SUMPRODUCT(MAX((職員マスタ!$A$6:$A$405=$B1222)*(((職員マスタ!$G$6:$G$405="")+(職員マスタ!$G$6:$G$405&lt;=EOMONTH($AQ1222,0)))&gt;0)*(((職員マスタ!$H$6:$H$405="")+(職員マスタ!$H$6:$H$405&gt;=$AQ1222))&gt;0)*(ROW(職員マスタ!$A$6:$A$405)-5))),IFERROR(MATCH($B1222,職員マスタ!$A$6:$A$405,0),"")))</f>
        <v/>
      </c>
      <c r="AQ1222" s="16">
        <f>IF(OR($B1222="",$C1222="",$D1222=""),"",DATE($C1222+2018,$D1222,1))</f>
        <v/>
      </c>
    </row>
    <row r="1223">
      <c r="A1223" s="11" t="n"/>
      <c r="B1223" s="12" t="n"/>
      <c r="C1223" s="12" t="n"/>
      <c r="D1223" s="12" t="n"/>
      <c r="E1223" s="13" t="n"/>
      <c r="F1223" s="12" t="n"/>
      <c r="G1223" s="13" t="n"/>
      <c r="H1223" s="12" t="n"/>
      <c r="I1223" s="12" t="n"/>
      <c r="J1223" s="12" t="n"/>
      <c r="K1223" s="12" t="n"/>
      <c r="L1223" s="11" t="n"/>
      <c r="M1223" s="11" t="n"/>
      <c r="N1223" s="11" t="n"/>
      <c r="O1223" s="11" t="n"/>
      <c r="P1223" s="12" t="n"/>
      <c r="Q1223" s="11" t="n"/>
      <c r="R1223" s="12" t="n"/>
      <c r="S1223" s="11" t="n"/>
      <c r="T1223" s="12" t="n"/>
      <c r="U1223" s="12" t="n"/>
      <c r="V1223" s="12" t="n"/>
      <c r="W1223" s="13" t="n"/>
      <c r="X1223" s="14">
        <f>IF($AP1223="",IF($B1223="","",$H1223),IF(INDEX(職員マスタ!$B$6:$B$405,$AP1223)="",$H1223,INDEX(職員マスタ!$B$6:$B$405,$AP1223)))</f>
        <v/>
      </c>
      <c r="Y1223" s="14">
        <f>IF($AP1223="",IF($B1223="","",$R1223),IF(INDEX(職員マスタ!$C$6:$C$405,$AP1223)="",$R1223,INDEX(職員マスタ!$C$6:$C$405,$AP1223)))</f>
        <v/>
      </c>
      <c r="Z1223" s="14">
        <f>IF($AQ1223="","","R"&amp;$C1223&amp;"."&amp;$D1223)</f>
        <v/>
      </c>
      <c r="AA1223" s="15">
        <f>IF(IF($AP1223="",FALSE,INDEX(職員マスタ!$K$6:$K$405,$AP1223)&lt;&gt;""),INDEX(職員マスタ!$K$6:$K$405,$AP1223),IF(N($W1223)&gt;0,$W1223,""))</f>
        <v/>
      </c>
      <c r="AB1223" s="14">
        <f>IF(OR($E1223="",$AA1223=""),"",IF($E1223&gt;=$AA1223,"×",IF($E1223&gt;=$AA1223*設定!$C$5,"△","○")))</f>
        <v/>
      </c>
      <c r="AC1223" s="15">
        <f>IF($AB1223="","",IF($AB1223="×",0,IF($AB1223="○",ROUNDDOWN($E1223*設定!$C$4,0),ROUNDDOWN($E1223*ROUND((9*$AA1223-9*$E1223)/(10*$E1223),4),0))))</f>
        <v/>
      </c>
      <c r="AD1223" s="13" t="n"/>
      <c r="AE1223" s="15">
        <f>IF($B1223="","",IF($AD1223&lt;&gt;"",$AD1223,IF($AC1223="","",IF($AC1223&lt;=設定!$C$3,0,$AC1223))))</f>
        <v/>
      </c>
      <c r="AF1223" s="14">
        <f>IF($B1223="","",IF(AND($AG1223&lt;&gt;"",$AI1223="",$AL1223=""),"保留中",IF($AL1223&lt;&gt;"",IF(N($AE1223)&gt;0,"支給済","不支給"),IF($AE1223="","要確認",IF($AE1223=0,"不支給","未処理")))))</f>
        <v/>
      </c>
      <c r="AG1223" s="12" t="n"/>
      <c r="AH1223" s="11" t="n"/>
      <c r="AI1223" s="11" t="n"/>
      <c r="AJ1223" s="11" t="n"/>
      <c r="AK1223" s="14">
        <f>IF(AND($AF1223="保留中",$AH1223&lt;&gt;""),TODAY()-$AH1223,"")</f>
        <v/>
      </c>
      <c r="AL1223" s="12" t="n"/>
      <c r="AM1223" s="14">
        <f>IF($B1223="","",IF($AQ1223="","対象年月が未入力／","")&amp;IF($B1223="","",IF($AP1223="","職員マスタに未登録の職員番号／",IF($AA1223="","標準報酬月額が未登録／","")&amp;IF(AND($AQ1223&lt;&gt;"",OR(AND(INDEX(職員マスタ!$G$6:$G$405,$AP1223)&lt;&gt;"",INDEX(職員マスタ!$G$6:$G$405,$AP1223)&gt;EOMONTH($AQ1223,0)),AND(INDEX(職員マスタ!$H$6:$H$405,$AP1223)&lt;&gt;"",INDEX(職員マスタ!$H$6:$H$405,$AP1223)&lt;$AQ1223))),"対象月が時短期間外／","")&amp;IF(AND(INDEX(職員マスタ!$K$6:$K$405,$AP1223)&lt;&gt;"",N($W1223)&gt;0,INDEX(職員マスタ!$K$6:$K$405,$AP1223)&lt;&gt;$W1223),"標準報酬月額が申請書と相違（台帳"&amp;TEXT(INDEX(職員マスタ!$K$6:$K$405,$AP1223),"#,##0")&amp;"円／申請書"&amp;TEXT($W1223,"#,##0")&amp;"円）／","")&amp;IF(AND(INDEX(職員マスタ!$F$6:$F$405,$AP1223)&lt;&gt;"",$AQ1223&lt;&gt;"",INDEX(職員マスタ!$F$6:$F$405,$AP1223)&lt;$AQ1223),"対象月に子が2歳到達済／","")&amp;IF(AND($H1223&lt;&gt;"",INDEX(職員マスタ!$B$6:$B$405,$AP1223)&lt;&gt;"",SUBSTITUTE(SUBSTITUTE($H1223," ","")," ","")&lt;&gt;SUBSTITUTE(SUBSTITUTE(INDEX(職員マスタ!$B$6:$B$405,$AP1223)," ","")," ","")),"氏名がマスタと相違／","")&amp;IF(AND($Q1223&lt;&gt;"",INDEX(職員マスタ!$E$6:$E$405,$AP1223)&lt;&gt;"",$Q1223&lt;&gt;INDEX(職員マスタ!$E$6:$E$405,$AP1223)),"子の生年月日がマスタと相違／","")&amp;IF(AND($L1223&lt;&gt;"",INDEX(職員マスタ!$G$6:$G$405,$AP1223)&lt;&gt;"",$L1223&lt;&gt;INDEX(職員マスタ!$G$6:$G$405,$AP1223)),"時短開始日がマスタと相違／","")&amp;IF(AND($M1223&lt;&gt;"",INDEX(職員マスタ!$H$6:$H$405,$AP1223)&lt;&gt;"",$M1223&lt;&gt;INDEX(職員マスタ!$H$6:$H$405,$AP1223)),"時短終了日がマスタと相違／","")))&amp;IF(AND($B1223&lt;&gt;"",$E1223=""),"報酬額が未入力／","")&amp;IF(N($U1223)&gt;0,"申請書に入力エラーが残っています／","")&amp;IF(AND($B1223&lt;&gt;"",$AQ1223&lt;&gt;""),IF(COUNTIFS($B$6:$B$3005,$B1223,$C$6:$C$3005,$C1223,$D$6:$D$3005,$D1223)&gt;1,"同じ月の請求が重複しています／",""),"")&amp;IF(AND(N($E1223)&gt;0,$AB1223&lt;&gt;"",$AB1223&lt;&gt;"×",$AE1223=0,$AD1223=""),"計算額が下限以下のため不支給／",""))</f>
        <v/>
      </c>
      <c r="AN1223" s="12" t="n"/>
      <c r="AO1223" s="14">
        <f>IF($AF1223="保留中",COUNTIF($AF$6:$AF1223,"保留中"),"")</f>
        <v/>
      </c>
      <c r="AP1223" s="14">
        <f>IF($AQ1223="","",IF(SUMPRODUCT(MAX((職員マスタ!$A$6:$A$405=$B1223)*(((職員マスタ!$G$6:$G$405="")+(職員マスタ!$G$6:$G$405&lt;=EOMONTH($AQ1223,0)))&gt;0)*(((職員マスタ!$H$6:$H$405="")+(職員マスタ!$H$6:$H$405&gt;=$AQ1223))&gt;0)*(ROW(職員マスタ!$A$6:$A$405)-5)))&gt;0,SUMPRODUCT(MAX((職員マスタ!$A$6:$A$405=$B1223)*(((職員マスタ!$G$6:$G$405="")+(職員マスタ!$G$6:$G$405&lt;=EOMONTH($AQ1223,0)))&gt;0)*(((職員マスタ!$H$6:$H$405="")+(職員マスタ!$H$6:$H$405&gt;=$AQ1223))&gt;0)*(ROW(職員マスタ!$A$6:$A$405)-5))),IFERROR(MATCH($B1223,職員マスタ!$A$6:$A$405,0),"")))</f>
        <v/>
      </c>
      <c r="AQ1223" s="16">
        <f>IF(OR($B1223="",$C1223="",$D1223=""),"",DATE($C1223+2018,$D1223,1))</f>
        <v/>
      </c>
    </row>
    <row r="1224">
      <c r="A1224" s="11" t="n"/>
      <c r="B1224" s="12" t="n"/>
      <c r="C1224" s="12" t="n"/>
      <c r="D1224" s="12" t="n"/>
      <c r="E1224" s="13" t="n"/>
      <c r="F1224" s="12" t="n"/>
      <c r="G1224" s="13" t="n"/>
      <c r="H1224" s="12" t="n"/>
      <c r="I1224" s="12" t="n"/>
      <c r="J1224" s="12" t="n"/>
      <c r="K1224" s="12" t="n"/>
      <c r="L1224" s="11" t="n"/>
      <c r="M1224" s="11" t="n"/>
      <c r="N1224" s="11" t="n"/>
      <c r="O1224" s="11" t="n"/>
      <c r="P1224" s="12" t="n"/>
      <c r="Q1224" s="11" t="n"/>
      <c r="R1224" s="12" t="n"/>
      <c r="S1224" s="11" t="n"/>
      <c r="T1224" s="12" t="n"/>
      <c r="U1224" s="12" t="n"/>
      <c r="V1224" s="12" t="n"/>
      <c r="W1224" s="13" t="n"/>
      <c r="X1224" s="14">
        <f>IF($AP1224="",IF($B1224="","",$H1224),IF(INDEX(職員マスタ!$B$6:$B$405,$AP1224)="",$H1224,INDEX(職員マスタ!$B$6:$B$405,$AP1224)))</f>
        <v/>
      </c>
      <c r="Y1224" s="14">
        <f>IF($AP1224="",IF($B1224="","",$R1224),IF(INDEX(職員マスタ!$C$6:$C$405,$AP1224)="",$R1224,INDEX(職員マスタ!$C$6:$C$405,$AP1224)))</f>
        <v/>
      </c>
      <c r="Z1224" s="14">
        <f>IF($AQ1224="","","R"&amp;$C1224&amp;"."&amp;$D1224)</f>
        <v/>
      </c>
      <c r="AA1224" s="15">
        <f>IF(IF($AP1224="",FALSE,INDEX(職員マスタ!$K$6:$K$405,$AP1224)&lt;&gt;""),INDEX(職員マスタ!$K$6:$K$405,$AP1224),IF(N($W1224)&gt;0,$W1224,""))</f>
        <v/>
      </c>
      <c r="AB1224" s="14">
        <f>IF(OR($E1224="",$AA1224=""),"",IF($E1224&gt;=$AA1224,"×",IF($E1224&gt;=$AA1224*設定!$C$5,"△","○")))</f>
        <v/>
      </c>
      <c r="AC1224" s="15">
        <f>IF($AB1224="","",IF($AB1224="×",0,IF($AB1224="○",ROUNDDOWN($E1224*設定!$C$4,0),ROUNDDOWN($E1224*ROUND((9*$AA1224-9*$E1224)/(10*$E1224),4),0))))</f>
        <v/>
      </c>
      <c r="AD1224" s="13" t="n"/>
      <c r="AE1224" s="15">
        <f>IF($B1224="","",IF($AD1224&lt;&gt;"",$AD1224,IF($AC1224="","",IF($AC1224&lt;=設定!$C$3,0,$AC1224))))</f>
        <v/>
      </c>
      <c r="AF1224" s="14">
        <f>IF($B1224="","",IF(AND($AG1224&lt;&gt;"",$AI1224="",$AL1224=""),"保留中",IF($AL1224&lt;&gt;"",IF(N($AE1224)&gt;0,"支給済","不支給"),IF($AE1224="","要確認",IF($AE1224=0,"不支給","未処理")))))</f>
        <v/>
      </c>
      <c r="AG1224" s="12" t="n"/>
      <c r="AH1224" s="11" t="n"/>
      <c r="AI1224" s="11" t="n"/>
      <c r="AJ1224" s="11" t="n"/>
      <c r="AK1224" s="14">
        <f>IF(AND($AF1224="保留中",$AH1224&lt;&gt;""),TODAY()-$AH1224,"")</f>
        <v/>
      </c>
      <c r="AL1224" s="12" t="n"/>
      <c r="AM1224" s="14">
        <f>IF($B1224="","",IF($AQ1224="","対象年月が未入力／","")&amp;IF($B1224="","",IF($AP1224="","職員マスタに未登録の職員番号／",IF($AA1224="","標準報酬月額が未登録／","")&amp;IF(AND($AQ1224&lt;&gt;"",OR(AND(INDEX(職員マスタ!$G$6:$G$405,$AP1224)&lt;&gt;"",INDEX(職員マスタ!$G$6:$G$405,$AP1224)&gt;EOMONTH($AQ1224,0)),AND(INDEX(職員マスタ!$H$6:$H$405,$AP1224)&lt;&gt;"",INDEX(職員マスタ!$H$6:$H$405,$AP1224)&lt;$AQ1224))),"対象月が時短期間外／","")&amp;IF(AND(INDEX(職員マスタ!$K$6:$K$405,$AP1224)&lt;&gt;"",N($W1224)&gt;0,INDEX(職員マスタ!$K$6:$K$405,$AP1224)&lt;&gt;$W1224),"標準報酬月額が申請書と相違（台帳"&amp;TEXT(INDEX(職員マスタ!$K$6:$K$405,$AP1224),"#,##0")&amp;"円／申請書"&amp;TEXT($W1224,"#,##0")&amp;"円）／","")&amp;IF(AND(INDEX(職員マスタ!$F$6:$F$405,$AP1224)&lt;&gt;"",$AQ1224&lt;&gt;"",INDEX(職員マスタ!$F$6:$F$405,$AP1224)&lt;$AQ1224),"対象月に子が2歳到達済／","")&amp;IF(AND($H1224&lt;&gt;"",INDEX(職員マスタ!$B$6:$B$405,$AP1224)&lt;&gt;"",SUBSTITUTE(SUBSTITUTE($H1224," ","")," ","")&lt;&gt;SUBSTITUTE(SUBSTITUTE(INDEX(職員マスタ!$B$6:$B$405,$AP1224)," ","")," ","")),"氏名がマスタと相違／","")&amp;IF(AND($Q1224&lt;&gt;"",INDEX(職員マスタ!$E$6:$E$405,$AP1224)&lt;&gt;"",$Q1224&lt;&gt;INDEX(職員マスタ!$E$6:$E$405,$AP1224)),"子の生年月日がマスタと相違／","")&amp;IF(AND($L1224&lt;&gt;"",INDEX(職員マスタ!$G$6:$G$405,$AP1224)&lt;&gt;"",$L1224&lt;&gt;INDEX(職員マスタ!$G$6:$G$405,$AP1224)),"時短開始日がマスタと相違／","")&amp;IF(AND($M1224&lt;&gt;"",INDEX(職員マスタ!$H$6:$H$405,$AP1224)&lt;&gt;"",$M1224&lt;&gt;INDEX(職員マスタ!$H$6:$H$405,$AP1224)),"時短終了日がマスタと相違／","")))&amp;IF(AND($B1224&lt;&gt;"",$E1224=""),"報酬額が未入力／","")&amp;IF(N($U1224)&gt;0,"申請書に入力エラーが残っています／","")&amp;IF(AND($B1224&lt;&gt;"",$AQ1224&lt;&gt;""),IF(COUNTIFS($B$6:$B$3005,$B1224,$C$6:$C$3005,$C1224,$D$6:$D$3005,$D1224)&gt;1,"同じ月の請求が重複しています／",""),"")&amp;IF(AND(N($E1224)&gt;0,$AB1224&lt;&gt;"",$AB1224&lt;&gt;"×",$AE1224=0,$AD1224=""),"計算額が下限以下のため不支給／",""))</f>
        <v/>
      </c>
      <c r="AN1224" s="12" t="n"/>
      <c r="AO1224" s="14">
        <f>IF($AF1224="保留中",COUNTIF($AF$6:$AF1224,"保留中"),"")</f>
        <v/>
      </c>
      <c r="AP1224" s="14">
        <f>IF($AQ1224="","",IF(SUMPRODUCT(MAX((職員マスタ!$A$6:$A$405=$B1224)*(((職員マスタ!$G$6:$G$405="")+(職員マスタ!$G$6:$G$405&lt;=EOMONTH($AQ1224,0)))&gt;0)*(((職員マスタ!$H$6:$H$405="")+(職員マスタ!$H$6:$H$405&gt;=$AQ1224))&gt;0)*(ROW(職員マスタ!$A$6:$A$405)-5)))&gt;0,SUMPRODUCT(MAX((職員マスタ!$A$6:$A$405=$B1224)*(((職員マスタ!$G$6:$G$405="")+(職員マスタ!$G$6:$G$405&lt;=EOMONTH($AQ1224,0)))&gt;0)*(((職員マスタ!$H$6:$H$405="")+(職員マスタ!$H$6:$H$405&gt;=$AQ1224))&gt;0)*(ROW(職員マスタ!$A$6:$A$405)-5))),IFERROR(MATCH($B1224,職員マスタ!$A$6:$A$405,0),"")))</f>
        <v/>
      </c>
      <c r="AQ1224" s="16">
        <f>IF(OR($B1224="",$C1224="",$D1224=""),"",DATE($C1224+2018,$D1224,1))</f>
        <v/>
      </c>
    </row>
    <row r="1225">
      <c r="A1225" s="11" t="n"/>
      <c r="B1225" s="12" t="n"/>
      <c r="C1225" s="12" t="n"/>
      <c r="D1225" s="12" t="n"/>
      <c r="E1225" s="13" t="n"/>
      <c r="F1225" s="12" t="n"/>
      <c r="G1225" s="13" t="n"/>
      <c r="H1225" s="12" t="n"/>
      <c r="I1225" s="12" t="n"/>
      <c r="J1225" s="12" t="n"/>
      <c r="K1225" s="12" t="n"/>
      <c r="L1225" s="11" t="n"/>
      <c r="M1225" s="11" t="n"/>
      <c r="N1225" s="11" t="n"/>
      <c r="O1225" s="11" t="n"/>
      <c r="P1225" s="12" t="n"/>
      <c r="Q1225" s="11" t="n"/>
      <c r="R1225" s="12" t="n"/>
      <c r="S1225" s="11" t="n"/>
      <c r="T1225" s="12" t="n"/>
      <c r="U1225" s="12" t="n"/>
      <c r="V1225" s="12" t="n"/>
      <c r="W1225" s="13" t="n"/>
      <c r="X1225" s="14">
        <f>IF($AP1225="",IF($B1225="","",$H1225),IF(INDEX(職員マスタ!$B$6:$B$405,$AP1225)="",$H1225,INDEX(職員マスタ!$B$6:$B$405,$AP1225)))</f>
        <v/>
      </c>
      <c r="Y1225" s="14">
        <f>IF($AP1225="",IF($B1225="","",$R1225),IF(INDEX(職員マスタ!$C$6:$C$405,$AP1225)="",$R1225,INDEX(職員マスタ!$C$6:$C$405,$AP1225)))</f>
        <v/>
      </c>
      <c r="Z1225" s="14">
        <f>IF($AQ1225="","","R"&amp;$C1225&amp;"."&amp;$D1225)</f>
        <v/>
      </c>
      <c r="AA1225" s="15">
        <f>IF(IF($AP1225="",FALSE,INDEX(職員マスタ!$K$6:$K$405,$AP1225)&lt;&gt;""),INDEX(職員マスタ!$K$6:$K$405,$AP1225),IF(N($W1225)&gt;0,$W1225,""))</f>
        <v/>
      </c>
      <c r="AB1225" s="14">
        <f>IF(OR($E1225="",$AA1225=""),"",IF($E1225&gt;=$AA1225,"×",IF($E1225&gt;=$AA1225*設定!$C$5,"△","○")))</f>
        <v/>
      </c>
      <c r="AC1225" s="15">
        <f>IF($AB1225="","",IF($AB1225="×",0,IF($AB1225="○",ROUNDDOWN($E1225*設定!$C$4,0),ROUNDDOWN($E1225*ROUND((9*$AA1225-9*$E1225)/(10*$E1225),4),0))))</f>
        <v/>
      </c>
      <c r="AD1225" s="13" t="n"/>
      <c r="AE1225" s="15">
        <f>IF($B1225="","",IF($AD1225&lt;&gt;"",$AD1225,IF($AC1225="","",IF($AC1225&lt;=設定!$C$3,0,$AC1225))))</f>
        <v/>
      </c>
      <c r="AF1225" s="14">
        <f>IF($B1225="","",IF(AND($AG1225&lt;&gt;"",$AI1225="",$AL1225=""),"保留中",IF($AL1225&lt;&gt;"",IF(N($AE1225)&gt;0,"支給済","不支給"),IF($AE1225="","要確認",IF($AE1225=0,"不支給","未処理")))))</f>
        <v/>
      </c>
      <c r="AG1225" s="12" t="n"/>
      <c r="AH1225" s="11" t="n"/>
      <c r="AI1225" s="11" t="n"/>
      <c r="AJ1225" s="11" t="n"/>
      <c r="AK1225" s="14">
        <f>IF(AND($AF1225="保留中",$AH1225&lt;&gt;""),TODAY()-$AH1225,"")</f>
        <v/>
      </c>
      <c r="AL1225" s="12" t="n"/>
      <c r="AM1225" s="14">
        <f>IF($B1225="","",IF($AQ1225="","対象年月が未入力／","")&amp;IF($B1225="","",IF($AP1225="","職員マスタに未登録の職員番号／",IF($AA1225="","標準報酬月額が未登録／","")&amp;IF(AND($AQ1225&lt;&gt;"",OR(AND(INDEX(職員マスタ!$G$6:$G$405,$AP1225)&lt;&gt;"",INDEX(職員マスタ!$G$6:$G$405,$AP1225)&gt;EOMONTH($AQ1225,0)),AND(INDEX(職員マスタ!$H$6:$H$405,$AP1225)&lt;&gt;"",INDEX(職員マスタ!$H$6:$H$405,$AP1225)&lt;$AQ1225))),"対象月が時短期間外／","")&amp;IF(AND(INDEX(職員マスタ!$K$6:$K$405,$AP1225)&lt;&gt;"",N($W1225)&gt;0,INDEX(職員マスタ!$K$6:$K$405,$AP1225)&lt;&gt;$W1225),"標準報酬月額が申請書と相違（台帳"&amp;TEXT(INDEX(職員マスタ!$K$6:$K$405,$AP1225),"#,##0")&amp;"円／申請書"&amp;TEXT($W1225,"#,##0")&amp;"円）／","")&amp;IF(AND(INDEX(職員マスタ!$F$6:$F$405,$AP1225)&lt;&gt;"",$AQ1225&lt;&gt;"",INDEX(職員マスタ!$F$6:$F$405,$AP1225)&lt;$AQ1225),"対象月に子が2歳到達済／","")&amp;IF(AND($H1225&lt;&gt;"",INDEX(職員マスタ!$B$6:$B$405,$AP1225)&lt;&gt;"",SUBSTITUTE(SUBSTITUTE($H1225," ","")," ","")&lt;&gt;SUBSTITUTE(SUBSTITUTE(INDEX(職員マスタ!$B$6:$B$405,$AP1225)," ","")," ","")),"氏名がマスタと相違／","")&amp;IF(AND($Q1225&lt;&gt;"",INDEX(職員マスタ!$E$6:$E$405,$AP1225)&lt;&gt;"",$Q1225&lt;&gt;INDEX(職員マスタ!$E$6:$E$405,$AP1225)),"子の生年月日がマスタと相違／","")&amp;IF(AND($L1225&lt;&gt;"",INDEX(職員マスタ!$G$6:$G$405,$AP1225)&lt;&gt;"",$L1225&lt;&gt;INDEX(職員マスタ!$G$6:$G$405,$AP1225)),"時短開始日がマスタと相違／","")&amp;IF(AND($M1225&lt;&gt;"",INDEX(職員マスタ!$H$6:$H$405,$AP1225)&lt;&gt;"",$M1225&lt;&gt;INDEX(職員マスタ!$H$6:$H$405,$AP1225)),"時短終了日がマスタと相違／","")))&amp;IF(AND($B1225&lt;&gt;"",$E1225=""),"報酬額が未入力／","")&amp;IF(N($U1225)&gt;0,"申請書に入力エラーが残っています／","")&amp;IF(AND($B1225&lt;&gt;"",$AQ1225&lt;&gt;""),IF(COUNTIFS($B$6:$B$3005,$B1225,$C$6:$C$3005,$C1225,$D$6:$D$3005,$D1225)&gt;1,"同じ月の請求が重複しています／",""),"")&amp;IF(AND(N($E1225)&gt;0,$AB1225&lt;&gt;"",$AB1225&lt;&gt;"×",$AE1225=0,$AD1225=""),"計算額が下限以下のため不支給／",""))</f>
        <v/>
      </c>
      <c r="AN1225" s="12" t="n"/>
      <c r="AO1225" s="14">
        <f>IF($AF1225="保留中",COUNTIF($AF$6:$AF1225,"保留中"),"")</f>
        <v/>
      </c>
      <c r="AP1225" s="14">
        <f>IF($AQ1225="","",IF(SUMPRODUCT(MAX((職員マスタ!$A$6:$A$405=$B1225)*(((職員マスタ!$G$6:$G$405="")+(職員マスタ!$G$6:$G$405&lt;=EOMONTH($AQ1225,0)))&gt;0)*(((職員マスタ!$H$6:$H$405="")+(職員マスタ!$H$6:$H$405&gt;=$AQ1225))&gt;0)*(ROW(職員マスタ!$A$6:$A$405)-5)))&gt;0,SUMPRODUCT(MAX((職員マスタ!$A$6:$A$405=$B1225)*(((職員マスタ!$G$6:$G$405="")+(職員マスタ!$G$6:$G$405&lt;=EOMONTH($AQ1225,0)))&gt;0)*(((職員マスタ!$H$6:$H$405="")+(職員マスタ!$H$6:$H$405&gt;=$AQ1225))&gt;0)*(ROW(職員マスタ!$A$6:$A$405)-5))),IFERROR(MATCH($B1225,職員マスタ!$A$6:$A$405,0),"")))</f>
        <v/>
      </c>
      <c r="AQ1225" s="16">
        <f>IF(OR($B1225="",$C1225="",$D1225=""),"",DATE($C1225+2018,$D1225,1))</f>
        <v/>
      </c>
    </row>
    <row r="1226">
      <c r="A1226" s="11" t="n"/>
      <c r="B1226" s="12" t="n"/>
      <c r="C1226" s="12" t="n"/>
      <c r="D1226" s="12" t="n"/>
      <c r="E1226" s="13" t="n"/>
      <c r="F1226" s="12" t="n"/>
      <c r="G1226" s="13" t="n"/>
      <c r="H1226" s="12" t="n"/>
      <c r="I1226" s="12" t="n"/>
      <c r="J1226" s="12" t="n"/>
      <c r="K1226" s="12" t="n"/>
      <c r="L1226" s="11" t="n"/>
      <c r="M1226" s="11" t="n"/>
      <c r="N1226" s="11" t="n"/>
      <c r="O1226" s="11" t="n"/>
      <c r="P1226" s="12" t="n"/>
      <c r="Q1226" s="11" t="n"/>
      <c r="R1226" s="12" t="n"/>
      <c r="S1226" s="11" t="n"/>
      <c r="T1226" s="12" t="n"/>
      <c r="U1226" s="12" t="n"/>
      <c r="V1226" s="12" t="n"/>
      <c r="W1226" s="13" t="n"/>
      <c r="X1226" s="14">
        <f>IF($AP1226="",IF($B1226="","",$H1226),IF(INDEX(職員マスタ!$B$6:$B$405,$AP1226)="",$H1226,INDEX(職員マスタ!$B$6:$B$405,$AP1226)))</f>
        <v/>
      </c>
      <c r="Y1226" s="14">
        <f>IF($AP1226="",IF($B1226="","",$R1226),IF(INDEX(職員マスタ!$C$6:$C$405,$AP1226)="",$R1226,INDEX(職員マスタ!$C$6:$C$405,$AP1226)))</f>
        <v/>
      </c>
      <c r="Z1226" s="14">
        <f>IF($AQ1226="","","R"&amp;$C1226&amp;"."&amp;$D1226)</f>
        <v/>
      </c>
      <c r="AA1226" s="15">
        <f>IF(IF($AP1226="",FALSE,INDEX(職員マスタ!$K$6:$K$405,$AP1226)&lt;&gt;""),INDEX(職員マスタ!$K$6:$K$405,$AP1226),IF(N($W1226)&gt;0,$W1226,""))</f>
        <v/>
      </c>
      <c r="AB1226" s="14">
        <f>IF(OR($E1226="",$AA1226=""),"",IF($E1226&gt;=$AA1226,"×",IF($E1226&gt;=$AA1226*設定!$C$5,"△","○")))</f>
        <v/>
      </c>
      <c r="AC1226" s="15">
        <f>IF($AB1226="","",IF($AB1226="×",0,IF($AB1226="○",ROUNDDOWN($E1226*設定!$C$4,0),ROUNDDOWN($E1226*ROUND((9*$AA1226-9*$E1226)/(10*$E1226),4),0))))</f>
        <v/>
      </c>
      <c r="AD1226" s="13" t="n"/>
      <c r="AE1226" s="15">
        <f>IF($B1226="","",IF($AD1226&lt;&gt;"",$AD1226,IF($AC1226="","",IF($AC1226&lt;=設定!$C$3,0,$AC1226))))</f>
        <v/>
      </c>
      <c r="AF1226" s="14">
        <f>IF($B1226="","",IF(AND($AG1226&lt;&gt;"",$AI1226="",$AL1226=""),"保留中",IF($AL1226&lt;&gt;"",IF(N($AE1226)&gt;0,"支給済","不支給"),IF($AE1226="","要確認",IF($AE1226=0,"不支給","未処理")))))</f>
        <v/>
      </c>
      <c r="AG1226" s="12" t="n"/>
      <c r="AH1226" s="11" t="n"/>
      <c r="AI1226" s="11" t="n"/>
      <c r="AJ1226" s="11" t="n"/>
      <c r="AK1226" s="14">
        <f>IF(AND($AF1226="保留中",$AH1226&lt;&gt;""),TODAY()-$AH1226,"")</f>
        <v/>
      </c>
      <c r="AL1226" s="12" t="n"/>
      <c r="AM1226" s="14">
        <f>IF($B1226="","",IF($AQ1226="","対象年月が未入力／","")&amp;IF($B1226="","",IF($AP1226="","職員マスタに未登録の職員番号／",IF($AA1226="","標準報酬月額が未登録／","")&amp;IF(AND($AQ1226&lt;&gt;"",OR(AND(INDEX(職員マスタ!$G$6:$G$405,$AP1226)&lt;&gt;"",INDEX(職員マスタ!$G$6:$G$405,$AP1226)&gt;EOMONTH($AQ1226,0)),AND(INDEX(職員マスタ!$H$6:$H$405,$AP1226)&lt;&gt;"",INDEX(職員マスタ!$H$6:$H$405,$AP1226)&lt;$AQ1226))),"対象月が時短期間外／","")&amp;IF(AND(INDEX(職員マスタ!$K$6:$K$405,$AP1226)&lt;&gt;"",N($W1226)&gt;0,INDEX(職員マスタ!$K$6:$K$405,$AP1226)&lt;&gt;$W1226),"標準報酬月額が申請書と相違（台帳"&amp;TEXT(INDEX(職員マスタ!$K$6:$K$405,$AP1226),"#,##0")&amp;"円／申請書"&amp;TEXT($W1226,"#,##0")&amp;"円）／","")&amp;IF(AND(INDEX(職員マスタ!$F$6:$F$405,$AP1226)&lt;&gt;"",$AQ1226&lt;&gt;"",INDEX(職員マスタ!$F$6:$F$405,$AP1226)&lt;$AQ1226),"対象月に子が2歳到達済／","")&amp;IF(AND($H1226&lt;&gt;"",INDEX(職員マスタ!$B$6:$B$405,$AP1226)&lt;&gt;"",SUBSTITUTE(SUBSTITUTE($H1226," ","")," ","")&lt;&gt;SUBSTITUTE(SUBSTITUTE(INDEX(職員マスタ!$B$6:$B$405,$AP1226)," ","")," ","")),"氏名がマスタと相違／","")&amp;IF(AND($Q1226&lt;&gt;"",INDEX(職員マスタ!$E$6:$E$405,$AP1226)&lt;&gt;"",$Q1226&lt;&gt;INDEX(職員マスタ!$E$6:$E$405,$AP1226)),"子の生年月日がマスタと相違／","")&amp;IF(AND($L1226&lt;&gt;"",INDEX(職員マスタ!$G$6:$G$405,$AP1226)&lt;&gt;"",$L1226&lt;&gt;INDEX(職員マスタ!$G$6:$G$405,$AP1226)),"時短開始日がマスタと相違／","")&amp;IF(AND($M1226&lt;&gt;"",INDEX(職員マスタ!$H$6:$H$405,$AP1226)&lt;&gt;"",$M1226&lt;&gt;INDEX(職員マスタ!$H$6:$H$405,$AP1226)),"時短終了日がマスタと相違／","")))&amp;IF(AND($B1226&lt;&gt;"",$E1226=""),"報酬額が未入力／","")&amp;IF(N($U1226)&gt;0,"申請書に入力エラーが残っています／","")&amp;IF(AND($B1226&lt;&gt;"",$AQ1226&lt;&gt;""),IF(COUNTIFS($B$6:$B$3005,$B1226,$C$6:$C$3005,$C1226,$D$6:$D$3005,$D1226)&gt;1,"同じ月の請求が重複しています／",""),"")&amp;IF(AND(N($E1226)&gt;0,$AB1226&lt;&gt;"",$AB1226&lt;&gt;"×",$AE1226=0,$AD1226=""),"計算額が下限以下のため不支給／",""))</f>
        <v/>
      </c>
      <c r="AN1226" s="12" t="n"/>
      <c r="AO1226" s="14">
        <f>IF($AF1226="保留中",COUNTIF($AF$6:$AF1226,"保留中"),"")</f>
        <v/>
      </c>
      <c r="AP1226" s="14">
        <f>IF($AQ1226="","",IF(SUMPRODUCT(MAX((職員マスタ!$A$6:$A$405=$B1226)*(((職員マスタ!$G$6:$G$405="")+(職員マスタ!$G$6:$G$405&lt;=EOMONTH($AQ1226,0)))&gt;0)*(((職員マスタ!$H$6:$H$405="")+(職員マスタ!$H$6:$H$405&gt;=$AQ1226))&gt;0)*(ROW(職員マスタ!$A$6:$A$405)-5)))&gt;0,SUMPRODUCT(MAX((職員マスタ!$A$6:$A$405=$B1226)*(((職員マスタ!$G$6:$G$405="")+(職員マスタ!$G$6:$G$405&lt;=EOMONTH($AQ1226,0)))&gt;0)*(((職員マスタ!$H$6:$H$405="")+(職員マスタ!$H$6:$H$405&gt;=$AQ1226))&gt;0)*(ROW(職員マスタ!$A$6:$A$405)-5))),IFERROR(MATCH($B1226,職員マスタ!$A$6:$A$405,0),"")))</f>
        <v/>
      </c>
      <c r="AQ1226" s="16">
        <f>IF(OR($B1226="",$C1226="",$D1226=""),"",DATE($C1226+2018,$D1226,1))</f>
        <v/>
      </c>
    </row>
    <row r="1227">
      <c r="A1227" s="11" t="n"/>
      <c r="B1227" s="12" t="n"/>
      <c r="C1227" s="12" t="n"/>
      <c r="D1227" s="12" t="n"/>
      <c r="E1227" s="13" t="n"/>
      <c r="F1227" s="12" t="n"/>
      <c r="G1227" s="13" t="n"/>
      <c r="H1227" s="12" t="n"/>
      <c r="I1227" s="12" t="n"/>
      <c r="J1227" s="12" t="n"/>
      <c r="K1227" s="12" t="n"/>
      <c r="L1227" s="11" t="n"/>
      <c r="M1227" s="11" t="n"/>
      <c r="N1227" s="11" t="n"/>
      <c r="O1227" s="11" t="n"/>
      <c r="P1227" s="12" t="n"/>
      <c r="Q1227" s="11" t="n"/>
      <c r="R1227" s="12" t="n"/>
      <c r="S1227" s="11" t="n"/>
      <c r="T1227" s="12" t="n"/>
      <c r="U1227" s="12" t="n"/>
      <c r="V1227" s="12" t="n"/>
      <c r="W1227" s="13" t="n"/>
      <c r="X1227" s="14">
        <f>IF($AP1227="",IF($B1227="","",$H1227),IF(INDEX(職員マスタ!$B$6:$B$405,$AP1227)="",$H1227,INDEX(職員マスタ!$B$6:$B$405,$AP1227)))</f>
        <v/>
      </c>
      <c r="Y1227" s="14">
        <f>IF($AP1227="",IF($B1227="","",$R1227),IF(INDEX(職員マスタ!$C$6:$C$405,$AP1227)="",$R1227,INDEX(職員マスタ!$C$6:$C$405,$AP1227)))</f>
        <v/>
      </c>
      <c r="Z1227" s="14">
        <f>IF($AQ1227="","","R"&amp;$C1227&amp;"."&amp;$D1227)</f>
        <v/>
      </c>
      <c r="AA1227" s="15">
        <f>IF(IF($AP1227="",FALSE,INDEX(職員マスタ!$K$6:$K$405,$AP1227)&lt;&gt;""),INDEX(職員マスタ!$K$6:$K$405,$AP1227),IF(N($W1227)&gt;0,$W1227,""))</f>
        <v/>
      </c>
      <c r="AB1227" s="14">
        <f>IF(OR($E1227="",$AA1227=""),"",IF($E1227&gt;=$AA1227,"×",IF($E1227&gt;=$AA1227*設定!$C$5,"△","○")))</f>
        <v/>
      </c>
      <c r="AC1227" s="15">
        <f>IF($AB1227="","",IF($AB1227="×",0,IF($AB1227="○",ROUNDDOWN($E1227*設定!$C$4,0),ROUNDDOWN($E1227*ROUND((9*$AA1227-9*$E1227)/(10*$E1227),4),0))))</f>
        <v/>
      </c>
      <c r="AD1227" s="13" t="n"/>
      <c r="AE1227" s="15">
        <f>IF($B1227="","",IF($AD1227&lt;&gt;"",$AD1227,IF($AC1227="","",IF($AC1227&lt;=設定!$C$3,0,$AC1227))))</f>
        <v/>
      </c>
      <c r="AF1227" s="14">
        <f>IF($B1227="","",IF(AND($AG1227&lt;&gt;"",$AI1227="",$AL1227=""),"保留中",IF($AL1227&lt;&gt;"",IF(N($AE1227)&gt;0,"支給済","不支給"),IF($AE1227="","要確認",IF($AE1227=0,"不支給","未処理")))))</f>
        <v/>
      </c>
      <c r="AG1227" s="12" t="n"/>
      <c r="AH1227" s="11" t="n"/>
      <c r="AI1227" s="11" t="n"/>
      <c r="AJ1227" s="11" t="n"/>
      <c r="AK1227" s="14">
        <f>IF(AND($AF1227="保留中",$AH1227&lt;&gt;""),TODAY()-$AH1227,"")</f>
        <v/>
      </c>
      <c r="AL1227" s="12" t="n"/>
      <c r="AM1227" s="14">
        <f>IF($B1227="","",IF($AQ1227="","対象年月が未入力／","")&amp;IF($B1227="","",IF($AP1227="","職員マスタに未登録の職員番号／",IF($AA1227="","標準報酬月額が未登録／","")&amp;IF(AND($AQ1227&lt;&gt;"",OR(AND(INDEX(職員マスタ!$G$6:$G$405,$AP1227)&lt;&gt;"",INDEX(職員マスタ!$G$6:$G$405,$AP1227)&gt;EOMONTH($AQ1227,0)),AND(INDEX(職員マスタ!$H$6:$H$405,$AP1227)&lt;&gt;"",INDEX(職員マスタ!$H$6:$H$405,$AP1227)&lt;$AQ1227))),"対象月が時短期間外／","")&amp;IF(AND(INDEX(職員マスタ!$K$6:$K$405,$AP1227)&lt;&gt;"",N($W1227)&gt;0,INDEX(職員マスタ!$K$6:$K$405,$AP1227)&lt;&gt;$W1227),"標準報酬月額が申請書と相違（台帳"&amp;TEXT(INDEX(職員マスタ!$K$6:$K$405,$AP1227),"#,##0")&amp;"円／申請書"&amp;TEXT($W1227,"#,##0")&amp;"円）／","")&amp;IF(AND(INDEX(職員マスタ!$F$6:$F$405,$AP1227)&lt;&gt;"",$AQ1227&lt;&gt;"",INDEX(職員マスタ!$F$6:$F$405,$AP1227)&lt;$AQ1227),"対象月に子が2歳到達済／","")&amp;IF(AND($H1227&lt;&gt;"",INDEX(職員マスタ!$B$6:$B$405,$AP1227)&lt;&gt;"",SUBSTITUTE(SUBSTITUTE($H1227," ","")," ","")&lt;&gt;SUBSTITUTE(SUBSTITUTE(INDEX(職員マスタ!$B$6:$B$405,$AP1227)," ","")," ","")),"氏名がマスタと相違／","")&amp;IF(AND($Q1227&lt;&gt;"",INDEX(職員マスタ!$E$6:$E$405,$AP1227)&lt;&gt;"",$Q1227&lt;&gt;INDEX(職員マスタ!$E$6:$E$405,$AP1227)),"子の生年月日がマスタと相違／","")&amp;IF(AND($L1227&lt;&gt;"",INDEX(職員マスタ!$G$6:$G$405,$AP1227)&lt;&gt;"",$L1227&lt;&gt;INDEX(職員マスタ!$G$6:$G$405,$AP1227)),"時短開始日がマスタと相違／","")&amp;IF(AND($M1227&lt;&gt;"",INDEX(職員マスタ!$H$6:$H$405,$AP1227)&lt;&gt;"",$M1227&lt;&gt;INDEX(職員マスタ!$H$6:$H$405,$AP1227)),"時短終了日がマスタと相違／","")))&amp;IF(AND($B1227&lt;&gt;"",$E1227=""),"報酬額が未入力／","")&amp;IF(N($U1227)&gt;0,"申請書に入力エラーが残っています／","")&amp;IF(AND($B1227&lt;&gt;"",$AQ1227&lt;&gt;""),IF(COUNTIFS($B$6:$B$3005,$B1227,$C$6:$C$3005,$C1227,$D$6:$D$3005,$D1227)&gt;1,"同じ月の請求が重複しています／",""),"")&amp;IF(AND(N($E1227)&gt;0,$AB1227&lt;&gt;"",$AB1227&lt;&gt;"×",$AE1227=0,$AD1227=""),"計算額が下限以下のため不支給／",""))</f>
        <v/>
      </c>
      <c r="AN1227" s="12" t="n"/>
      <c r="AO1227" s="14">
        <f>IF($AF1227="保留中",COUNTIF($AF$6:$AF1227,"保留中"),"")</f>
        <v/>
      </c>
      <c r="AP1227" s="14">
        <f>IF($AQ1227="","",IF(SUMPRODUCT(MAX((職員マスタ!$A$6:$A$405=$B1227)*(((職員マスタ!$G$6:$G$405="")+(職員マスタ!$G$6:$G$405&lt;=EOMONTH($AQ1227,0)))&gt;0)*(((職員マスタ!$H$6:$H$405="")+(職員マスタ!$H$6:$H$405&gt;=$AQ1227))&gt;0)*(ROW(職員マスタ!$A$6:$A$405)-5)))&gt;0,SUMPRODUCT(MAX((職員マスタ!$A$6:$A$405=$B1227)*(((職員マスタ!$G$6:$G$405="")+(職員マスタ!$G$6:$G$405&lt;=EOMONTH($AQ1227,0)))&gt;0)*(((職員マスタ!$H$6:$H$405="")+(職員マスタ!$H$6:$H$405&gt;=$AQ1227))&gt;0)*(ROW(職員マスタ!$A$6:$A$405)-5))),IFERROR(MATCH($B1227,職員マスタ!$A$6:$A$405,0),"")))</f>
        <v/>
      </c>
      <c r="AQ1227" s="16">
        <f>IF(OR($B1227="",$C1227="",$D1227=""),"",DATE($C1227+2018,$D1227,1))</f>
        <v/>
      </c>
    </row>
    <row r="1228">
      <c r="A1228" s="11" t="n"/>
      <c r="B1228" s="12" t="n"/>
      <c r="C1228" s="12" t="n"/>
      <c r="D1228" s="12" t="n"/>
      <c r="E1228" s="13" t="n"/>
      <c r="F1228" s="12" t="n"/>
      <c r="G1228" s="13" t="n"/>
      <c r="H1228" s="12" t="n"/>
      <c r="I1228" s="12" t="n"/>
      <c r="J1228" s="12" t="n"/>
      <c r="K1228" s="12" t="n"/>
      <c r="L1228" s="11" t="n"/>
      <c r="M1228" s="11" t="n"/>
      <c r="N1228" s="11" t="n"/>
      <c r="O1228" s="11" t="n"/>
      <c r="P1228" s="12" t="n"/>
      <c r="Q1228" s="11" t="n"/>
      <c r="R1228" s="12" t="n"/>
      <c r="S1228" s="11" t="n"/>
      <c r="T1228" s="12" t="n"/>
      <c r="U1228" s="12" t="n"/>
      <c r="V1228" s="12" t="n"/>
      <c r="W1228" s="13" t="n"/>
      <c r="X1228" s="14">
        <f>IF($AP1228="",IF($B1228="","",$H1228),IF(INDEX(職員マスタ!$B$6:$B$405,$AP1228)="",$H1228,INDEX(職員マスタ!$B$6:$B$405,$AP1228)))</f>
        <v/>
      </c>
      <c r="Y1228" s="14">
        <f>IF($AP1228="",IF($B1228="","",$R1228),IF(INDEX(職員マスタ!$C$6:$C$405,$AP1228)="",$R1228,INDEX(職員マスタ!$C$6:$C$405,$AP1228)))</f>
        <v/>
      </c>
      <c r="Z1228" s="14">
        <f>IF($AQ1228="","","R"&amp;$C1228&amp;"."&amp;$D1228)</f>
        <v/>
      </c>
      <c r="AA1228" s="15">
        <f>IF(IF($AP1228="",FALSE,INDEX(職員マスタ!$K$6:$K$405,$AP1228)&lt;&gt;""),INDEX(職員マスタ!$K$6:$K$405,$AP1228),IF(N($W1228)&gt;0,$W1228,""))</f>
        <v/>
      </c>
      <c r="AB1228" s="14">
        <f>IF(OR($E1228="",$AA1228=""),"",IF($E1228&gt;=$AA1228,"×",IF($E1228&gt;=$AA1228*設定!$C$5,"△","○")))</f>
        <v/>
      </c>
      <c r="AC1228" s="15">
        <f>IF($AB1228="","",IF($AB1228="×",0,IF($AB1228="○",ROUNDDOWN($E1228*設定!$C$4,0),ROUNDDOWN($E1228*ROUND((9*$AA1228-9*$E1228)/(10*$E1228),4),0))))</f>
        <v/>
      </c>
      <c r="AD1228" s="13" t="n"/>
      <c r="AE1228" s="15">
        <f>IF($B1228="","",IF($AD1228&lt;&gt;"",$AD1228,IF($AC1228="","",IF($AC1228&lt;=設定!$C$3,0,$AC1228))))</f>
        <v/>
      </c>
      <c r="AF1228" s="14">
        <f>IF($B1228="","",IF(AND($AG1228&lt;&gt;"",$AI1228="",$AL1228=""),"保留中",IF($AL1228&lt;&gt;"",IF(N($AE1228)&gt;0,"支給済","不支給"),IF($AE1228="","要確認",IF($AE1228=0,"不支給","未処理")))))</f>
        <v/>
      </c>
      <c r="AG1228" s="12" t="n"/>
      <c r="AH1228" s="11" t="n"/>
      <c r="AI1228" s="11" t="n"/>
      <c r="AJ1228" s="11" t="n"/>
      <c r="AK1228" s="14">
        <f>IF(AND($AF1228="保留中",$AH1228&lt;&gt;""),TODAY()-$AH1228,"")</f>
        <v/>
      </c>
      <c r="AL1228" s="12" t="n"/>
      <c r="AM1228" s="14">
        <f>IF($B1228="","",IF($AQ1228="","対象年月が未入力／","")&amp;IF($B1228="","",IF($AP1228="","職員マスタに未登録の職員番号／",IF($AA1228="","標準報酬月額が未登録／","")&amp;IF(AND($AQ1228&lt;&gt;"",OR(AND(INDEX(職員マスタ!$G$6:$G$405,$AP1228)&lt;&gt;"",INDEX(職員マスタ!$G$6:$G$405,$AP1228)&gt;EOMONTH($AQ1228,0)),AND(INDEX(職員マスタ!$H$6:$H$405,$AP1228)&lt;&gt;"",INDEX(職員マスタ!$H$6:$H$405,$AP1228)&lt;$AQ1228))),"対象月が時短期間外／","")&amp;IF(AND(INDEX(職員マスタ!$K$6:$K$405,$AP1228)&lt;&gt;"",N($W1228)&gt;0,INDEX(職員マスタ!$K$6:$K$405,$AP1228)&lt;&gt;$W1228),"標準報酬月額が申請書と相違（台帳"&amp;TEXT(INDEX(職員マスタ!$K$6:$K$405,$AP1228),"#,##0")&amp;"円／申請書"&amp;TEXT($W1228,"#,##0")&amp;"円）／","")&amp;IF(AND(INDEX(職員マスタ!$F$6:$F$405,$AP1228)&lt;&gt;"",$AQ1228&lt;&gt;"",INDEX(職員マスタ!$F$6:$F$405,$AP1228)&lt;$AQ1228),"対象月に子が2歳到達済／","")&amp;IF(AND($H1228&lt;&gt;"",INDEX(職員マスタ!$B$6:$B$405,$AP1228)&lt;&gt;"",SUBSTITUTE(SUBSTITUTE($H1228," ","")," ","")&lt;&gt;SUBSTITUTE(SUBSTITUTE(INDEX(職員マスタ!$B$6:$B$405,$AP1228)," ","")," ","")),"氏名がマスタと相違／","")&amp;IF(AND($Q1228&lt;&gt;"",INDEX(職員マスタ!$E$6:$E$405,$AP1228)&lt;&gt;"",$Q1228&lt;&gt;INDEX(職員マスタ!$E$6:$E$405,$AP1228)),"子の生年月日がマスタと相違／","")&amp;IF(AND($L1228&lt;&gt;"",INDEX(職員マスタ!$G$6:$G$405,$AP1228)&lt;&gt;"",$L1228&lt;&gt;INDEX(職員マスタ!$G$6:$G$405,$AP1228)),"時短開始日がマスタと相違／","")&amp;IF(AND($M1228&lt;&gt;"",INDEX(職員マスタ!$H$6:$H$405,$AP1228)&lt;&gt;"",$M1228&lt;&gt;INDEX(職員マスタ!$H$6:$H$405,$AP1228)),"時短終了日がマスタと相違／","")))&amp;IF(AND($B1228&lt;&gt;"",$E1228=""),"報酬額が未入力／","")&amp;IF(N($U1228)&gt;0,"申請書に入力エラーが残っています／","")&amp;IF(AND($B1228&lt;&gt;"",$AQ1228&lt;&gt;""),IF(COUNTIFS($B$6:$B$3005,$B1228,$C$6:$C$3005,$C1228,$D$6:$D$3005,$D1228)&gt;1,"同じ月の請求が重複しています／",""),"")&amp;IF(AND(N($E1228)&gt;0,$AB1228&lt;&gt;"",$AB1228&lt;&gt;"×",$AE1228=0,$AD1228=""),"計算額が下限以下のため不支給／",""))</f>
        <v/>
      </c>
      <c r="AN1228" s="12" t="n"/>
      <c r="AO1228" s="14">
        <f>IF($AF1228="保留中",COUNTIF($AF$6:$AF1228,"保留中"),"")</f>
        <v/>
      </c>
      <c r="AP1228" s="14">
        <f>IF($AQ1228="","",IF(SUMPRODUCT(MAX((職員マスタ!$A$6:$A$405=$B1228)*(((職員マスタ!$G$6:$G$405="")+(職員マスタ!$G$6:$G$405&lt;=EOMONTH($AQ1228,0)))&gt;0)*(((職員マスタ!$H$6:$H$405="")+(職員マスタ!$H$6:$H$405&gt;=$AQ1228))&gt;0)*(ROW(職員マスタ!$A$6:$A$405)-5)))&gt;0,SUMPRODUCT(MAX((職員マスタ!$A$6:$A$405=$B1228)*(((職員マスタ!$G$6:$G$405="")+(職員マスタ!$G$6:$G$405&lt;=EOMONTH($AQ1228,0)))&gt;0)*(((職員マスタ!$H$6:$H$405="")+(職員マスタ!$H$6:$H$405&gt;=$AQ1228))&gt;0)*(ROW(職員マスタ!$A$6:$A$405)-5))),IFERROR(MATCH($B1228,職員マスタ!$A$6:$A$405,0),"")))</f>
        <v/>
      </c>
      <c r="AQ1228" s="16">
        <f>IF(OR($B1228="",$C1228="",$D1228=""),"",DATE($C1228+2018,$D1228,1))</f>
        <v/>
      </c>
    </row>
    <row r="1229">
      <c r="A1229" s="11" t="n"/>
      <c r="B1229" s="12" t="n"/>
      <c r="C1229" s="12" t="n"/>
      <c r="D1229" s="12" t="n"/>
      <c r="E1229" s="13" t="n"/>
      <c r="F1229" s="12" t="n"/>
      <c r="G1229" s="13" t="n"/>
      <c r="H1229" s="12" t="n"/>
      <c r="I1229" s="12" t="n"/>
      <c r="J1229" s="12" t="n"/>
      <c r="K1229" s="12" t="n"/>
      <c r="L1229" s="11" t="n"/>
      <c r="M1229" s="11" t="n"/>
      <c r="N1229" s="11" t="n"/>
      <c r="O1229" s="11" t="n"/>
      <c r="P1229" s="12" t="n"/>
      <c r="Q1229" s="11" t="n"/>
      <c r="R1229" s="12" t="n"/>
      <c r="S1229" s="11" t="n"/>
      <c r="T1229" s="12" t="n"/>
      <c r="U1229" s="12" t="n"/>
      <c r="V1229" s="12" t="n"/>
      <c r="W1229" s="13" t="n"/>
      <c r="X1229" s="14">
        <f>IF($AP1229="",IF($B1229="","",$H1229),IF(INDEX(職員マスタ!$B$6:$B$405,$AP1229)="",$H1229,INDEX(職員マスタ!$B$6:$B$405,$AP1229)))</f>
        <v/>
      </c>
      <c r="Y1229" s="14">
        <f>IF($AP1229="",IF($B1229="","",$R1229),IF(INDEX(職員マスタ!$C$6:$C$405,$AP1229)="",$R1229,INDEX(職員マスタ!$C$6:$C$405,$AP1229)))</f>
        <v/>
      </c>
      <c r="Z1229" s="14">
        <f>IF($AQ1229="","","R"&amp;$C1229&amp;"."&amp;$D1229)</f>
        <v/>
      </c>
      <c r="AA1229" s="15">
        <f>IF(IF($AP1229="",FALSE,INDEX(職員マスタ!$K$6:$K$405,$AP1229)&lt;&gt;""),INDEX(職員マスタ!$K$6:$K$405,$AP1229),IF(N($W1229)&gt;0,$W1229,""))</f>
        <v/>
      </c>
      <c r="AB1229" s="14">
        <f>IF(OR($E1229="",$AA1229=""),"",IF($E1229&gt;=$AA1229,"×",IF($E1229&gt;=$AA1229*設定!$C$5,"△","○")))</f>
        <v/>
      </c>
      <c r="AC1229" s="15">
        <f>IF($AB1229="","",IF($AB1229="×",0,IF($AB1229="○",ROUNDDOWN($E1229*設定!$C$4,0),ROUNDDOWN($E1229*ROUND((9*$AA1229-9*$E1229)/(10*$E1229),4),0))))</f>
        <v/>
      </c>
      <c r="AD1229" s="13" t="n"/>
      <c r="AE1229" s="15">
        <f>IF($B1229="","",IF($AD1229&lt;&gt;"",$AD1229,IF($AC1229="","",IF($AC1229&lt;=設定!$C$3,0,$AC1229))))</f>
        <v/>
      </c>
      <c r="AF1229" s="14">
        <f>IF($B1229="","",IF(AND($AG1229&lt;&gt;"",$AI1229="",$AL1229=""),"保留中",IF($AL1229&lt;&gt;"",IF(N($AE1229)&gt;0,"支給済","不支給"),IF($AE1229="","要確認",IF($AE1229=0,"不支給","未処理")))))</f>
        <v/>
      </c>
      <c r="AG1229" s="12" t="n"/>
      <c r="AH1229" s="11" t="n"/>
      <c r="AI1229" s="11" t="n"/>
      <c r="AJ1229" s="11" t="n"/>
      <c r="AK1229" s="14">
        <f>IF(AND($AF1229="保留中",$AH1229&lt;&gt;""),TODAY()-$AH1229,"")</f>
        <v/>
      </c>
      <c r="AL1229" s="12" t="n"/>
      <c r="AM1229" s="14">
        <f>IF($B1229="","",IF($AQ1229="","対象年月が未入力／","")&amp;IF($B1229="","",IF($AP1229="","職員マスタに未登録の職員番号／",IF($AA1229="","標準報酬月額が未登録／","")&amp;IF(AND($AQ1229&lt;&gt;"",OR(AND(INDEX(職員マスタ!$G$6:$G$405,$AP1229)&lt;&gt;"",INDEX(職員マスタ!$G$6:$G$405,$AP1229)&gt;EOMONTH($AQ1229,0)),AND(INDEX(職員マスタ!$H$6:$H$405,$AP1229)&lt;&gt;"",INDEX(職員マスタ!$H$6:$H$405,$AP1229)&lt;$AQ1229))),"対象月が時短期間外／","")&amp;IF(AND(INDEX(職員マスタ!$K$6:$K$405,$AP1229)&lt;&gt;"",N($W1229)&gt;0,INDEX(職員マスタ!$K$6:$K$405,$AP1229)&lt;&gt;$W1229),"標準報酬月額が申請書と相違（台帳"&amp;TEXT(INDEX(職員マスタ!$K$6:$K$405,$AP1229),"#,##0")&amp;"円／申請書"&amp;TEXT($W1229,"#,##0")&amp;"円）／","")&amp;IF(AND(INDEX(職員マスタ!$F$6:$F$405,$AP1229)&lt;&gt;"",$AQ1229&lt;&gt;"",INDEX(職員マスタ!$F$6:$F$405,$AP1229)&lt;$AQ1229),"対象月に子が2歳到達済／","")&amp;IF(AND($H1229&lt;&gt;"",INDEX(職員マスタ!$B$6:$B$405,$AP1229)&lt;&gt;"",SUBSTITUTE(SUBSTITUTE($H1229," ","")," ","")&lt;&gt;SUBSTITUTE(SUBSTITUTE(INDEX(職員マスタ!$B$6:$B$405,$AP1229)," ","")," ","")),"氏名がマスタと相違／","")&amp;IF(AND($Q1229&lt;&gt;"",INDEX(職員マスタ!$E$6:$E$405,$AP1229)&lt;&gt;"",$Q1229&lt;&gt;INDEX(職員マスタ!$E$6:$E$405,$AP1229)),"子の生年月日がマスタと相違／","")&amp;IF(AND($L1229&lt;&gt;"",INDEX(職員マスタ!$G$6:$G$405,$AP1229)&lt;&gt;"",$L1229&lt;&gt;INDEX(職員マスタ!$G$6:$G$405,$AP1229)),"時短開始日がマスタと相違／","")&amp;IF(AND($M1229&lt;&gt;"",INDEX(職員マスタ!$H$6:$H$405,$AP1229)&lt;&gt;"",$M1229&lt;&gt;INDEX(職員マスタ!$H$6:$H$405,$AP1229)),"時短終了日がマスタと相違／","")))&amp;IF(AND($B1229&lt;&gt;"",$E1229=""),"報酬額が未入力／","")&amp;IF(N($U1229)&gt;0,"申請書に入力エラーが残っています／","")&amp;IF(AND($B1229&lt;&gt;"",$AQ1229&lt;&gt;""),IF(COUNTIFS($B$6:$B$3005,$B1229,$C$6:$C$3005,$C1229,$D$6:$D$3005,$D1229)&gt;1,"同じ月の請求が重複しています／",""),"")&amp;IF(AND(N($E1229)&gt;0,$AB1229&lt;&gt;"",$AB1229&lt;&gt;"×",$AE1229=0,$AD1229=""),"計算額が下限以下のため不支給／",""))</f>
        <v/>
      </c>
      <c r="AN1229" s="12" t="n"/>
      <c r="AO1229" s="14">
        <f>IF($AF1229="保留中",COUNTIF($AF$6:$AF1229,"保留中"),"")</f>
        <v/>
      </c>
      <c r="AP1229" s="14">
        <f>IF($AQ1229="","",IF(SUMPRODUCT(MAX((職員マスタ!$A$6:$A$405=$B1229)*(((職員マスタ!$G$6:$G$405="")+(職員マスタ!$G$6:$G$405&lt;=EOMONTH($AQ1229,0)))&gt;0)*(((職員マスタ!$H$6:$H$405="")+(職員マスタ!$H$6:$H$405&gt;=$AQ1229))&gt;0)*(ROW(職員マスタ!$A$6:$A$405)-5)))&gt;0,SUMPRODUCT(MAX((職員マスタ!$A$6:$A$405=$B1229)*(((職員マスタ!$G$6:$G$405="")+(職員マスタ!$G$6:$G$405&lt;=EOMONTH($AQ1229,0)))&gt;0)*(((職員マスタ!$H$6:$H$405="")+(職員マスタ!$H$6:$H$405&gt;=$AQ1229))&gt;0)*(ROW(職員マスタ!$A$6:$A$405)-5))),IFERROR(MATCH($B1229,職員マスタ!$A$6:$A$405,0),"")))</f>
        <v/>
      </c>
      <c r="AQ1229" s="16">
        <f>IF(OR($B1229="",$C1229="",$D1229=""),"",DATE($C1229+2018,$D1229,1))</f>
        <v/>
      </c>
    </row>
    <row r="1230">
      <c r="A1230" s="11" t="n"/>
      <c r="B1230" s="12" t="n"/>
      <c r="C1230" s="12" t="n"/>
      <c r="D1230" s="12" t="n"/>
      <c r="E1230" s="13" t="n"/>
      <c r="F1230" s="12" t="n"/>
      <c r="G1230" s="13" t="n"/>
      <c r="H1230" s="12" t="n"/>
      <c r="I1230" s="12" t="n"/>
      <c r="J1230" s="12" t="n"/>
      <c r="K1230" s="12" t="n"/>
      <c r="L1230" s="11" t="n"/>
      <c r="M1230" s="11" t="n"/>
      <c r="N1230" s="11" t="n"/>
      <c r="O1230" s="11" t="n"/>
      <c r="P1230" s="12" t="n"/>
      <c r="Q1230" s="11" t="n"/>
      <c r="R1230" s="12" t="n"/>
      <c r="S1230" s="11" t="n"/>
      <c r="T1230" s="12" t="n"/>
      <c r="U1230" s="12" t="n"/>
      <c r="V1230" s="12" t="n"/>
      <c r="W1230" s="13" t="n"/>
      <c r="X1230" s="14">
        <f>IF($AP1230="",IF($B1230="","",$H1230),IF(INDEX(職員マスタ!$B$6:$B$405,$AP1230)="",$H1230,INDEX(職員マスタ!$B$6:$B$405,$AP1230)))</f>
        <v/>
      </c>
      <c r="Y1230" s="14">
        <f>IF($AP1230="",IF($B1230="","",$R1230),IF(INDEX(職員マスタ!$C$6:$C$405,$AP1230)="",$R1230,INDEX(職員マスタ!$C$6:$C$405,$AP1230)))</f>
        <v/>
      </c>
      <c r="Z1230" s="14">
        <f>IF($AQ1230="","","R"&amp;$C1230&amp;"."&amp;$D1230)</f>
        <v/>
      </c>
      <c r="AA1230" s="15">
        <f>IF(IF($AP1230="",FALSE,INDEX(職員マスタ!$K$6:$K$405,$AP1230)&lt;&gt;""),INDEX(職員マスタ!$K$6:$K$405,$AP1230),IF(N($W1230)&gt;0,$W1230,""))</f>
        <v/>
      </c>
      <c r="AB1230" s="14">
        <f>IF(OR($E1230="",$AA1230=""),"",IF($E1230&gt;=$AA1230,"×",IF($E1230&gt;=$AA1230*設定!$C$5,"△","○")))</f>
        <v/>
      </c>
      <c r="AC1230" s="15">
        <f>IF($AB1230="","",IF($AB1230="×",0,IF($AB1230="○",ROUNDDOWN($E1230*設定!$C$4,0),ROUNDDOWN($E1230*ROUND((9*$AA1230-9*$E1230)/(10*$E1230),4),0))))</f>
        <v/>
      </c>
      <c r="AD1230" s="13" t="n"/>
      <c r="AE1230" s="15">
        <f>IF($B1230="","",IF($AD1230&lt;&gt;"",$AD1230,IF($AC1230="","",IF($AC1230&lt;=設定!$C$3,0,$AC1230))))</f>
        <v/>
      </c>
      <c r="AF1230" s="14">
        <f>IF($B1230="","",IF(AND($AG1230&lt;&gt;"",$AI1230="",$AL1230=""),"保留中",IF($AL1230&lt;&gt;"",IF(N($AE1230)&gt;0,"支給済","不支給"),IF($AE1230="","要確認",IF($AE1230=0,"不支給","未処理")))))</f>
        <v/>
      </c>
      <c r="AG1230" s="12" t="n"/>
      <c r="AH1230" s="11" t="n"/>
      <c r="AI1230" s="11" t="n"/>
      <c r="AJ1230" s="11" t="n"/>
      <c r="AK1230" s="14">
        <f>IF(AND($AF1230="保留中",$AH1230&lt;&gt;""),TODAY()-$AH1230,"")</f>
        <v/>
      </c>
      <c r="AL1230" s="12" t="n"/>
      <c r="AM1230" s="14">
        <f>IF($B1230="","",IF($AQ1230="","対象年月が未入力／","")&amp;IF($B1230="","",IF($AP1230="","職員マスタに未登録の職員番号／",IF($AA1230="","標準報酬月額が未登録／","")&amp;IF(AND($AQ1230&lt;&gt;"",OR(AND(INDEX(職員マスタ!$G$6:$G$405,$AP1230)&lt;&gt;"",INDEX(職員マスタ!$G$6:$G$405,$AP1230)&gt;EOMONTH($AQ1230,0)),AND(INDEX(職員マスタ!$H$6:$H$405,$AP1230)&lt;&gt;"",INDEX(職員マスタ!$H$6:$H$405,$AP1230)&lt;$AQ1230))),"対象月が時短期間外／","")&amp;IF(AND(INDEX(職員マスタ!$K$6:$K$405,$AP1230)&lt;&gt;"",N($W1230)&gt;0,INDEX(職員マスタ!$K$6:$K$405,$AP1230)&lt;&gt;$W1230),"標準報酬月額が申請書と相違（台帳"&amp;TEXT(INDEX(職員マスタ!$K$6:$K$405,$AP1230),"#,##0")&amp;"円／申請書"&amp;TEXT($W1230,"#,##0")&amp;"円）／","")&amp;IF(AND(INDEX(職員マスタ!$F$6:$F$405,$AP1230)&lt;&gt;"",$AQ1230&lt;&gt;"",INDEX(職員マスタ!$F$6:$F$405,$AP1230)&lt;$AQ1230),"対象月に子が2歳到達済／","")&amp;IF(AND($H1230&lt;&gt;"",INDEX(職員マスタ!$B$6:$B$405,$AP1230)&lt;&gt;"",SUBSTITUTE(SUBSTITUTE($H1230," ","")," ","")&lt;&gt;SUBSTITUTE(SUBSTITUTE(INDEX(職員マスタ!$B$6:$B$405,$AP1230)," ","")," ","")),"氏名がマスタと相違／","")&amp;IF(AND($Q1230&lt;&gt;"",INDEX(職員マスタ!$E$6:$E$405,$AP1230)&lt;&gt;"",$Q1230&lt;&gt;INDEX(職員マスタ!$E$6:$E$405,$AP1230)),"子の生年月日がマスタと相違／","")&amp;IF(AND($L1230&lt;&gt;"",INDEX(職員マスタ!$G$6:$G$405,$AP1230)&lt;&gt;"",$L1230&lt;&gt;INDEX(職員マスタ!$G$6:$G$405,$AP1230)),"時短開始日がマスタと相違／","")&amp;IF(AND($M1230&lt;&gt;"",INDEX(職員マスタ!$H$6:$H$405,$AP1230)&lt;&gt;"",$M1230&lt;&gt;INDEX(職員マスタ!$H$6:$H$405,$AP1230)),"時短終了日がマスタと相違／","")))&amp;IF(AND($B1230&lt;&gt;"",$E1230=""),"報酬額が未入力／","")&amp;IF(N($U1230)&gt;0,"申請書に入力エラーが残っています／","")&amp;IF(AND($B1230&lt;&gt;"",$AQ1230&lt;&gt;""),IF(COUNTIFS($B$6:$B$3005,$B1230,$C$6:$C$3005,$C1230,$D$6:$D$3005,$D1230)&gt;1,"同じ月の請求が重複しています／",""),"")&amp;IF(AND(N($E1230)&gt;0,$AB1230&lt;&gt;"",$AB1230&lt;&gt;"×",$AE1230=0,$AD1230=""),"計算額が下限以下のため不支給／",""))</f>
        <v/>
      </c>
      <c r="AN1230" s="12" t="n"/>
      <c r="AO1230" s="14">
        <f>IF($AF1230="保留中",COUNTIF($AF$6:$AF1230,"保留中"),"")</f>
        <v/>
      </c>
      <c r="AP1230" s="14">
        <f>IF($AQ1230="","",IF(SUMPRODUCT(MAX((職員マスタ!$A$6:$A$405=$B1230)*(((職員マスタ!$G$6:$G$405="")+(職員マスタ!$G$6:$G$405&lt;=EOMONTH($AQ1230,0)))&gt;0)*(((職員マスタ!$H$6:$H$405="")+(職員マスタ!$H$6:$H$405&gt;=$AQ1230))&gt;0)*(ROW(職員マスタ!$A$6:$A$405)-5)))&gt;0,SUMPRODUCT(MAX((職員マスタ!$A$6:$A$405=$B1230)*(((職員マスタ!$G$6:$G$405="")+(職員マスタ!$G$6:$G$405&lt;=EOMONTH($AQ1230,0)))&gt;0)*(((職員マスタ!$H$6:$H$405="")+(職員マスタ!$H$6:$H$405&gt;=$AQ1230))&gt;0)*(ROW(職員マスタ!$A$6:$A$405)-5))),IFERROR(MATCH($B1230,職員マスタ!$A$6:$A$405,0),"")))</f>
        <v/>
      </c>
      <c r="AQ1230" s="16">
        <f>IF(OR($B1230="",$C1230="",$D1230=""),"",DATE($C1230+2018,$D1230,1))</f>
        <v/>
      </c>
    </row>
    <row r="1231">
      <c r="A1231" s="11" t="n"/>
      <c r="B1231" s="12" t="n"/>
      <c r="C1231" s="12" t="n"/>
      <c r="D1231" s="12" t="n"/>
      <c r="E1231" s="13" t="n"/>
      <c r="F1231" s="12" t="n"/>
      <c r="G1231" s="13" t="n"/>
      <c r="H1231" s="12" t="n"/>
      <c r="I1231" s="12" t="n"/>
      <c r="J1231" s="12" t="n"/>
      <c r="K1231" s="12" t="n"/>
      <c r="L1231" s="11" t="n"/>
      <c r="M1231" s="11" t="n"/>
      <c r="N1231" s="11" t="n"/>
      <c r="O1231" s="11" t="n"/>
      <c r="P1231" s="12" t="n"/>
      <c r="Q1231" s="11" t="n"/>
      <c r="R1231" s="12" t="n"/>
      <c r="S1231" s="11" t="n"/>
      <c r="T1231" s="12" t="n"/>
      <c r="U1231" s="12" t="n"/>
      <c r="V1231" s="12" t="n"/>
      <c r="W1231" s="13" t="n"/>
      <c r="X1231" s="14">
        <f>IF($AP1231="",IF($B1231="","",$H1231),IF(INDEX(職員マスタ!$B$6:$B$405,$AP1231)="",$H1231,INDEX(職員マスタ!$B$6:$B$405,$AP1231)))</f>
        <v/>
      </c>
      <c r="Y1231" s="14">
        <f>IF($AP1231="",IF($B1231="","",$R1231),IF(INDEX(職員マスタ!$C$6:$C$405,$AP1231)="",$R1231,INDEX(職員マスタ!$C$6:$C$405,$AP1231)))</f>
        <v/>
      </c>
      <c r="Z1231" s="14">
        <f>IF($AQ1231="","","R"&amp;$C1231&amp;"."&amp;$D1231)</f>
        <v/>
      </c>
      <c r="AA1231" s="15">
        <f>IF(IF($AP1231="",FALSE,INDEX(職員マスタ!$K$6:$K$405,$AP1231)&lt;&gt;""),INDEX(職員マスタ!$K$6:$K$405,$AP1231),IF(N($W1231)&gt;0,$W1231,""))</f>
        <v/>
      </c>
      <c r="AB1231" s="14">
        <f>IF(OR($E1231="",$AA1231=""),"",IF($E1231&gt;=$AA1231,"×",IF($E1231&gt;=$AA1231*設定!$C$5,"△","○")))</f>
        <v/>
      </c>
      <c r="AC1231" s="15">
        <f>IF($AB1231="","",IF($AB1231="×",0,IF($AB1231="○",ROUNDDOWN($E1231*設定!$C$4,0),ROUNDDOWN($E1231*ROUND((9*$AA1231-9*$E1231)/(10*$E1231),4),0))))</f>
        <v/>
      </c>
      <c r="AD1231" s="13" t="n"/>
      <c r="AE1231" s="15">
        <f>IF($B1231="","",IF($AD1231&lt;&gt;"",$AD1231,IF($AC1231="","",IF($AC1231&lt;=設定!$C$3,0,$AC1231))))</f>
        <v/>
      </c>
      <c r="AF1231" s="14">
        <f>IF($B1231="","",IF(AND($AG1231&lt;&gt;"",$AI1231="",$AL1231=""),"保留中",IF($AL1231&lt;&gt;"",IF(N($AE1231)&gt;0,"支給済","不支給"),IF($AE1231="","要確認",IF($AE1231=0,"不支給","未処理")))))</f>
        <v/>
      </c>
      <c r="AG1231" s="12" t="n"/>
      <c r="AH1231" s="11" t="n"/>
      <c r="AI1231" s="11" t="n"/>
      <c r="AJ1231" s="11" t="n"/>
      <c r="AK1231" s="14">
        <f>IF(AND($AF1231="保留中",$AH1231&lt;&gt;""),TODAY()-$AH1231,"")</f>
        <v/>
      </c>
      <c r="AL1231" s="12" t="n"/>
      <c r="AM1231" s="14">
        <f>IF($B1231="","",IF($AQ1231="","対象年月が未入力／","")&amp;IF($B1231="","",IF($AP1231="","職員マスタに未登録の職員番号／",IF($AA1231="","標準報酬月額が未登録／","")&amp;IF(AND($AQ1231&lt;&gt;"",OR(AND(INDEX(職員マスタ!$G$6:$G$405,$AP1231)&lt;&gt;"",INDEX(職員マスタ!$G$6:$G$405,$AP1231)&gt;EOMONTH($AQ1231,0)),AND(INDEX(職員マスタ!$H$6:$H$405,$AP1231)&lt;&gt;"",INDEX(職員マスタ!$H$6:$H$405,$AP1231)&lt;$AQ1231))),"対象月が時短期間外／","")&amp;IF(AND(INDEX(職員マスタ!$K$6:$K$405,$AP1231)&lt;&gt;"",N($W1231)&gt;0,INDEX(職員マスタ!$K$6:$K$405,$AP1231)&lt;&gt;$W1231),"標準報酬月額が申請書と相違（台帳"&amp;TEXT(INDEX(職員マスタ!$K$6:$K$405,$AP1231),"#,##0")&amp;"円／申請書"&amp;TEXT($W1231,"#,##0")&amp;"円）／","")&amp;IF(AND(INDEX(職員マスタ!$F$6:$F$405,$AP1231)&lt;&gt;"",$AQ1231&lt;&gt;"",INDEX(職員マスタ!$F$6:$F$405,$AP1231)&lt;$AQ1231),"対象月に子が2歳到達済／","")&amp;IF(AND($H1231&lt;&gt;"",INDEX(職員マスタ!$B$6:$B$405,$AP1231)&lt;&gt;"",SUBSTITUTE(SUBSTITUTE($H1231," ","")," ","")&lt;&gt;SUBSTITUTE(SUBSTITUTE(INDEX(職員マスタ!$B$6:$B$405,$AP1231)," ","")," ","")),"氏名がマスタと相違／","")&amp;IF(AND($Q1231&lt;&gt;"",INDEX(職員マスタ!$E$6:$E$405,$AP1231)&lt;&gt;"",$Q1231&lt;&gt;INDEX(職員マスタ!$E$6:$E$405,$AP1231)),"子の生年月日がマスタと相違／","")&amp;IF(AND($L1231&lt;&gt;"",INDEX(職員マスタ!$G$6:$G$405,$AP1231)&lt;&gt;"",$L1231&lt;&gt;INDEX(職員マスタ!$G$6:$G$405,$AP1231)),"時短開始日がマスタと相違／","")&amp;IF(AND($M1231&lt;&gt;"",INDEX(職員マスタ!$H$6:$H$405,$AP1231)&lt;&gt;"",$M1231&lt;&gt;INDEX(職員マスタ!$H$6:$H$405,$AP1231)),"時短終了日がマスタと相違／","")))&amp;IF(AND($B1231&lt;&gt;"",$E1231=""),"報酬額が未入力／","")&amp;IF(N($U1231)&gt;0,"申請書に入力エラーが残っています／","")&amp;IF(AND($B1231&lt;&gt;"",$AQ1231&lt;&gt;""),IF(COUNTIFS($B$6:$B$3005,$B1231,$C$6:$C$3005,$C1231,$D$6:$D$3005,$D1231)&gt;1,"同じ月の請求が重複しています／",""),"")&amp;IF(AND(N($E1231)&gt;0,$AB1231&lt;&gt;"",$AB1231&lt;&gt;"×",$AE1231=0,$AD1231=""),"計算額が下限以下のため不支給／",""))</f>
        <v/>
      </c>
      <c r="AN1231" s="12" t="n"/>
      <c r="AO1231" s="14">
        <f>IF($AF1231="保留中",COUNTIF($AF$6:$AF1231,"保留中"),"")</f>
        <v/>
      </c>
      <c r="AP1231" s="14">
        <f>IF($AQ1231="","",IF(SUMPRODUCT(MAX((職員マスタ!$A$6:$A$405=$B1231)*(((職員マスタ!$G$6:$G$405="")+(職員マスタ!$G$6:$G$405&lt;=EOMONTH($AQ1231,0)))&gt;0)*(((職員マスタ!$H$6:$H$405="")+(職員マスタ!$H$6:$H$405&gt;=$AQ1231))&gt;0)*(ROW(職員マスタ!$A$6:$A$405)-5)))&gt;0,SUMPRODUCT(MAX((職員マスタ!$A$6:$A$405=$B1231)*(((職員マスタ!$G$6:$G$405="")+(職員マスタ!$G$6:$G$405&lt;=EOMONTH($AQ1231,0)))&gt;0)*(((職員マスタ!$H$6:$H$405="")+(職員マスタ!$H$6:$H$405&gt;=$AQ1231))&gt;0)*(ROW(職員マスタ!$A$6:$A$405)-5))),IFERROR(MATCH($B1231,職員マスタ!$A$6:$A$405,0),"")))</f>
        <v/>
      </c>
      <c r="AQ1231" s="16">
        <f>IF(OR($B1231="",$C1231="",$D1231=""),"",DATE($C1231+2018,$D1231,1))</f>
        <v/>
      </c>
    </row>
    <row r="1232">
      <c r="A1232" s="11" t="n"/>
      <c r="B1232" s="12" t="n"/>
      <c r="C1232" s="12" t="n"/>
      <c r="D1232" s="12" t="n"/>
      <c r="E1232" s="13" t="n"/>
      <c r="F1232" s="12" t="n"/>
      <c r="G1232" s="13" t="n"/>
      <c r="H1232" s="12" t="n"/>
      <c r="I1232" s="12" t="n"/>
      <c r="J1232" s="12" t="n"/>
      <c r="K1232" s="12" t="n"/>
      <c r="L1232" s="11" t="n"/>
      <c r="M1232" s="11" t="n"/>
      <c r="N1232" s="11" t="n"/>
      <c r="O1232" s="11" t="n"/>
      <c r="P1232" s="12" t="n"/>
      <c r="Q1232" s="11" t="n"/>
      <c r="R1232" s="12" t="n"/>
      <c r="S1232" s="11" t="n"/>
      <c r="T1232" s="12" t="n"/>
      <c r="U1232" s="12" t="n"/>
      <c r="V1232" s="12" t="n"/>
      <c r="W1232" s="13" t="n"/>
      <c r="X1232" s="14">
        <f>IF($AP1232="",IF($B1232="","",$H1232),IF(INDEX(職員マスタ!$B$6:$B$405,$AP1232)="",$H1232,INDEX(職員マスタ!$B$6:$B$405,$AP1232)))</f>
        <v/>
      </c>
      <c r="Y1232" s="14">
        <f>IF($AP1232="",IF($B1232="","",$R1232),IF(INDEX(職員マスタ!$C$6:$C$405,$AP1232)="",$R1232,INDEX(職員マスタ!$C$6:$C$405,$AP1232)))</f>
        <v/>
      </c>
      <c r="Z1232" s="14">
        <f>IF($AQ1232="","","R"&amp;$C1232&amp;"."&amp;$D1232)</f>
        <v/>
      </c>
      <c r="AA1232" s="15">
        <f>IF(IF($AP1232="",FALSE,INDEX(職員マスタ!$K$6:$K$405,$AP1232)&lt;&gt;""),INDEX(職員マスタ!$K$6:$K$405,$AP1232),IF(N($W1232)&gt;0,$W1232,""))</f>
        <v/>
      </c>
      <c r="AB1232" s="14">
        <f>IF(OR($E1232="",$AA1232=""),"",IF($E1232&gt;=$AA1232,"×",IF($E1232&gt;=$AA1232*設定!$C$5,"△","○")))</f>
        <v/>
      </c>
      <c r="AC1232" s="15">
        <f>IF($AB1232="","",IF($AB1232="×",0,IF($AB1232="○",ROUNDDOWN($E1232*設定!$C$4,0),ROUNDDOWN($E1232*ROUND((9*$AA1232-9*$E1232)/(10*$E1232),4),0))))</f>
        <v/>
      </c>
      <c r="AD1232" s="13" t="n"/>
      <c r="AE1232" s="15">
        <f>IF($B1232="","",IF($AD1232&lt;&gt;"",$AD1232,IF($AC1232="","",IF($AC1232&lt;=設定!$C$3,0,$AC1232))))</f>
        <v/>
      </c>
      <c r="AF1232" s="14">
        <f>IF($B1232="","",IF(AND($AG1232&lt;&gt;"",$AI1232="",$AL1232=""),"保留中",IF($AL1232&lt;&gt;"",IF(N($AE1232)&gt;0,"支給済","不支給"),IF($AE1232="","要確認",IF($AE1232=0,"不支給","未処理")))))</f>
        <v/>
      </c>
      <c r="AG1232" s="12" t="n"/>
      <c r="AH1232" s="11" t="n"/>
      <c r="AI1232" s="11" t="n"/>
      <c r="AJ1232" s="11" t="n"/>
      <c r="AK1232" s="14">
        <f>IF(AND($AF1232="保留中",$AH1232&lt;&gt;""),TODAY()-$AH1232,"")</f>
        <v/>
      </c>
      <c r="AL1232" s="12" t="n"/>
      <c r="AM1232" s="14">
        <f>IF($B1232="","",IF($AQ1232="","対象年月が未入力／","")&amp;IF($B1232="","",IF($AP1232="","職員マスタに未登録の職員番号／",IF($AA1232="","標準報酬月額が未登録／","")&amp;IF(AND($AQ1232&lt;&gt;"",OR(AND(INDEX(職員マスタ!$G$6:$G$405,$AP1232)&lt;&gt;"",INDEX(職員マスタ!$G$6:$G$405,$AP1232)&gt;EOMONTH($AQ1232,0)),AND(INDEX(職員マスタ!$H$6:$H$405,$AP1232)&lt;&gt;"",INDEX(職員マスタ!$H$6:$H$405,$AP1232)&lt;$AQ1232))),"対象月が時短期間外／","")&amp;IF(AND(INDEX(職員マスタ!$K$6:$K$405,$AP1232)&lt;&gt;"",N($W1232)&gt;0,INDEX(職員マスタ!$K$6:$K$405,$AP1232)&lt;&gt;$W1232),"標準報酬月額が申請書と相違（台帳"&amp;TEXT(INDEX(職員マスタ!$K$6:$K$405,$AP1232),"#,##0")&amp;"円／申請書"&amp;TEXT($W1232,"#,##0")&amp;"円）／","")&amp;IF(AND(INDEX(職員マスタ!$F$6:$F$405,$AP1232)&lt;&gt;"",$AQ1232&lt;&gt;"",INDEX(職員マスタ!$F$6:$F$405,$AP1232)&lt;$AQ1232),"対象月に子が2歳到達済／","")&amp;IF(AND($H1232&lt;&gt;"",INDEX(職員マスタ!$B$6:$B$405,$AP1232)&lt;&gt;"",SUBSTITUTE(SUBSTITUTE($H1232," ","")," ","")&lt;&gt;SUBSTITUTE(SUBSTITUTE(INDEX(職員マスタ!$B$6:$B$405,$AP1232)," ","")," ","")),"氏名がマスタと相違／","")&amp;IF(AND($Q1232&lt;&gt;"",INDEX(職員マスタ!$E$6:$E$405,$AP1232)&lt;&gt;"",$Q1232&lt;&gt;INDEX(職員マスタ!$E$6:$E$405,$AP1232)),"子の生年月日がマスタと相違／","")&amp;IF(AND($L1232&lt;&gt;"",INDEX(職員マスタ!$G$6:$G$405,$AP1232)&lt;&gt;"",$L1232&lt;&gt;INDEX(職員マスタ!$G$6:$G$405,$AP1232)),"時短開始日がマスタと相違／","")&amp;IF(AND($M1232&lt;&gt;"",INDEX(職員マスタ!$H$6:$H$405,$AP1232)&lt;&gt;"",$M1232&lt;&gt;INDEX(職員マスタ!$H$6:$H$405,$AP1232)),"時短終了日がマスタと相違／","")))&amp;IF(AND($B1232&lt;&gt;"",$E1232=""),"報酬額が未入力／","")&amp;IF(N($U1232)&gt;0,"申請書に入力エラーが残っています／","")&amp;IF(AND($B1232&lt;&gt;"",$AQ1232&lt;&gt;""),IF(COUNTIFS($B$6:$B$3005,$B1232,$C$6:$C$3005,$C1232,$D$6:$D$3005,$D1232)&gt;1,"同じ月の請求が重複しています／",""),"")&amp;IF(AND(N($E1232)&gt;0,$AB1232&lt;&gt;"",$AB1232&lt;&gt;"×",$AE1232=0,$AD1232=""),"計算額が下限以下のため不支給／",""))</f>
        <v/>
      </c>
      <c r="AN1232" s="12" t="n"/>
      <c r="AO1232" s="14">
        <f>IF($AF1232="保留中",COUNTIF($AF$6:$AF1232,"保留中"),"")</f>
        <v/>
      </c>
      <c r="AP1232" s="14">
        <f>IF($AQ1232="","",IF(SUMPRODUCT(MAX((職員マスタ!$A$6:$A$405=$B1232)*(((職員マスタ!$G$6:$G$405="")+(職員マスタ!$G$6:$G$405&lt;=EOMONTH($AQ1232,0)))&gt;0)*(((職員マスタ!$H$6:$H$405="")+(職員マスタ!$H$6:$H$405&gt;=$AQ1232))&gt;0)*(ROW(職員マスタ!$A$6:$A$405)-5)))&gt;0,SUMPRODUCT(MAX((職員マスタ!$A$6:$A$405=$B1232)*(((職員マスタ!$G$6:$G$405="")+(職員マスタ!$G$6:$G$405&lt;=EOMONTH($AQ1232,0)))&gt;0)*(((職員マスタ!$H$6:$H$405="")+(職員マスタ!$H$6:$H$405&gt;=$AQ1232))&gt;0)*(ROW(職員マスタ!$A$6:$A$405)-5))),IFERROR(MATCH($B1232,職員マスタ!$A$6:$A$405,0),"")))</f>
        <v/>
      </c>
      <c r="AQ1232" s="16">
        <f>IF(OR($B1232="",$C1232="",$D1232=""),"",DATE($C1232+2018,$D1232,1))</f>
        <v/>
      </c>
    </row>
    <row r="1233">
      <c r="A1233" s="11" t="n"/>
      <c r="B1233" s="12" t="n"/>
      <c r="C1233" s="12" t="n"/>
      <c r="D1233" s="12" t="n"/>
      <c r="E1233" s="13" t="n"/>
      <c r="F1233" s="12" t="n"/>
      <c r="G1233" s="13" t="n"/>
      <c r="H1233" s="12" t="n"/>
      <c r="I1233" s="12" t="n"/>
      <c r="J1233" s="12" t="n"/>
      <c r="K1233" s="12" t="n"/>
      <c r="L1233" s="11" t="n"/>
      <c r="M1233" s="11" t="n"/>
      <c r="N1233" s="11" t="n"/>
      <c r="O1233" s="11" t="n"/>
      <c r="P1233" s="12" t="n"/>
      <c r="Q1233" s="11" t="n"/>
      <c r="R1233" s="12" t="n"/>
      <c r="S1233" s="11" t="n"/>
      <c r="T1233" s="12" t="n"/>
      <c r="U1233" s="12" t="n"/>
      <c r="V1233" s="12" t="n"/>
      <c r="W1233" s="13" t="n"/>
      <c r="X1233" s="14">
        <f>IF($AP1233="",IF($B1233="","",$H1233),IF(INDEX(職員マスタ!$B$6:$B$405,$AP1233)="",$H1233,INDEX(職員マスタ!$B$6:$B$405,$AP1233)))</f>
        <v/>
      </c>
      <c r="Y1233" s="14">
        <f>IF($AP1233="",IF($B1233="","",$R1233),IF(INDEX(職員マスタ!$C$6:$C$405,$AP1233)="",$R1233,INDEX(職員マスタ!$C$6:$C$405,$AP1233)))</f>
        <v/>
      </c>
      <c r="Z1233" s="14">
        <f>IF($AQ1233="","","R"&amp;$C1233&amp;"."&amp;$D1233)</f>
        <v/>
      </c>
      <c r="AA1233" s="15">
        <f>IF(IF($AP1233="",FALSE,INDEX(職員マスタ!$K$6:$K$405,$AP1233)&lt;&gt;""),INDEX(職員マスタ!$K$6:$K$405,$AP1233),IF(N($W1233)&gt;0,$W1233,""))</f>
        <v/>
      </c>
      <c r="AB1233" s="14">
        <f>IF(OR($E1233="",$AA1233=""),"",IF($E1233&gt;=$AA1233,"×",IF($E1233&gt;=$AA1233*設定!$C$5,"△","○")))</f>
        <v/>
      </c>
      <c r="AC1233" s="15">
        <f>IF($AB1233="","",IF($AB1233="×",0,IF($AB1233="○",ROUNDDOWN($E1233*設定!$C$4,0),ROUNDDOWN($E1233*ROUND((9*$AA1233-9*$E1233)/(10*$E1233),4),0))))</f>
        <v/>
      </c>
      <c r="AD1233" s="13" t="n"/>
      <c r="AE1233" s="15">
        <f>IF($B1233="","",IF($AD1233&lt;&gt;"",$AD1233,IF($AC1233="","",IF($AC1233&lt;=設定!$C$3,0,$AC1233))))</f>
        <v/>
      </c>
      <c r="AF1233" s="14">
        <f>IF($B1233="","",IF(AND($AG1233&lt;&gt;"",$AI1233="",$AL1233=""),"保留中",IF($AL1233&lt;&gt;"",IF(N($AE1233)&gt;0,"支給済","不支給"),IF($AE1233="","要確認",IF($AE1233=0,"不支給","未処理")))))</f>
        <v/>
      </c>
      <c r="AG1233" s="12" t="n"/>
      <c r="AH1233" s="11" t="n"/>
      <c r="AI1233" s="11" t="n"/>
      <c r="AJ1233" s="11" t="n"/>
      <c r="AK1233" s="14">
        <f>IF(AND($AF1233="保留中",$AH1233&lt;&gt;""),TODAY()-$AH1233,"")</f>
        <v/>
      </c>
      <c r="AL1233" s="12" t="n"/>
      <c r="AM1233" s="14">
        <f>IF($B1233="","",IF($AQ1233="","対象年月が未入力／","")&amp;IF($B1233="","",IF($AP1233="","職員マスタに未登録の職員番号／",IF($AA1233="","標準報酬月額が未登録／","")&amp;IF(AND($AQ1233&lt;&gt;"",OR(AND(INDEX(職員マスタ!$G$6:$G$405,$AP1233)&lt;&gt;"",INDEX(職員マスタ!$G$6:$G$405,$AP1233)&gt;EOMONTH($AQ1233,0)),AND(INDEX(職員マスタ!$H$6:$H$405,$AP1233)&lt;&gt;"",INDEX(職員マスタ!$H$6:$H$405,$AP1233)&lt;$AQ1233))),"対象月が時短期間外／","")&amp;IF(AND(INDEX(職員マスタ!$K$6:$K$405,$AP1233)&lt;&gt;"",N($W1233)&gt;0,INDEX(職員マスタ!$K$6:$K$405,$AP1233)&lt;&gt;$W1233),"標準報酬月額が申請書と相違（台帳"&amp;TEXT(INDEX(職員マスタ!$K$6:$K$405,$AP1233),"#,##0")&amp;"円／申請書"&amp;TEXT($W1233,"#,##0")&amp;"円）／","")&amp;IF(AND(INDEX(職員マスタ!$F$6:$F$405,$AP1233)&lt;&gt;"",$AQ1233&lt;&gt;"",INDEX(職員マスタ!$F$6:$F$405,$AP1233)&lt;$AQ1233),"対象月に子が2歳到達済／","")&amp;IF(AND($H1233&lt;&gt;"",INDEX(職員マスタ!$B$6:$B$405,$AP1233)&lt;&gt;"",SUBSTITUTE(SUBSTITUTE($H1233," ","")," ","")&lt;&gt;SUBSTITUTE(SUBSTITUTE(INDEX(職員マスタ!$B$6:$B$405,$AP1233)," ","")," ","")),"氏名がマスタと相違／","")&amp;IF(AND($Q1233&lt;&gt;"",INDEX(職員マスタ!$E$6:$E$405,$AP1233)&lt;&gt;"",$Q1233&lt;&gt;INDEX(職員マスタ!$E$6:$E$405,$AP1233)),"子の生年月日がマスタと相違／","")&amp;IF(AND($L1233&lt;&gt;"",INDEX(職員マスタ!$G$6:$G$405,$AP1233)&lt;&gt;"",$L1233&lt;&gt;INDEX(職員マスタ!$G$6:$G$405,$AP1233)),"時短開始日がマスタと相違／","")&amp;IF(AND($M1233&lt;&gt;"",INDEX(職員マスタ!$H$6:$H$405,$AP1233)&lt;&gt;"",$M1233&lt;&gt;INDEX(職員マスタ!$H$6:$H$405,$AP1233)),"時短終了日がマスタと相違／","")))&amp;IF(AND($B1233&lt;&gt;"",$E1233=""),"報酬額が未入力／","")&amp;IF(N($U1233)&gt;0,"申請書に入力エラーが残っています／","")&amp;IF(AND($B1233&lt;&gt;"",$AQ1233&lt;&gt;""),IF(COUNTIFS($B$6:$B$3005,$B1233,$C$6:$C$3005,$C1233,$D$6:$D$3005,$D1233)&gt;1,"同じ月の請求が重複しています／",""),"")&amp;IF(AND(N($E1233)&gt;0,$AB1233&lt;&gt;"",$AB1233&lt;&gt;"×",$AE1233=0,$AD1233=""),"計算額が下限以下のため不支給／",""))</f>
        <v/>
      </c>
      <c r="AN1233" s="12" t="n"/>
      <c r="AO1233" s="14">
        <f>IF($AF1233="保留中",COUNTIF($AF$6:$AF1233,"保留中"),"")</f>
        <v/>
      </c>
      <c r="AP1233" s="14">
        <f>IF($AQ1233="","",IF(SUMPRODUCT(MAX((職員マスタ!$A$6:$A$405=$B1233)*(((職員マスタ!$G$6:$G$405="")+(職員マスタ!$G$6:$G$405&lt;=EOMONTH($AQ1233,0)))&gt;0)*(((職員マスタ!$H$6:$H$405="")+(職員マスタ!$H$6:$H$405&gt;=$AQ1233))&gt;0)*(ROW(職員マスタ!$A$6:$A$405)-5)))&gt;0,SUMPRODUCT(MAX((職員マスタ!$A$6:$A$405=$B1233)*(((職員マスタ!$G$6:$G$405="")+(職員マスタ!$G$6:$G$405&lt;=EOMONTH($AQ1233,0)))&gt;0)*(((職員マスタ!$H$6:$H$405="")+(職員マスタ!$H$6:$H$405&gt;=$AQ1233))&gt;0)*(ROW(職員マスタ!$A$6:$A$405)-5))),IFERROR(MATCH($B1233,職員マスタ!$A$6:$A$405,0),"")))</f>
        <v/>
      </c>
      <c r="AQ1233" s="16">
        <f>IF(OR($B1233="",$C1233="",$D1233=""),"",DATE($C1233+2018,$D1233,1))</f>
        <v/>
      </c>
    </row>
    <row r="1234">
      <c r="A1234" s="11" t="n"/>
      <c r="B1234" s="12" t="n"/>
      <c r="C1234" s="12" t="n"/>
      <c r="D1234" s="12" t="n"/>
      <c r="E1234" s="13" t="n"/>
      <c r="F1234" s="12" t="n"/>
      <c r="G1234" s="13" t="n"/>
      <c r="H1234" s="12" t="n"/>
      <c r="I1234" s="12" t="n"/>
      <c r="J1234" s="12" t="n"/>
      <c r="K1234" s="12" t="n"/>
      <c r="L1234" s="11" t="n"/>
      <c r="M1234" s="11" t="n"/>
      <c r="N1234" s="11" t="n"/>
      <c r="O1234" s="11" t="n"/>
      <c r="P1234" s="12" t="n"/>
      <c r="Q1234" s="11" t="n"/>
      <c r="R1234" s="12" t="n"/>
      <c r="S1234" s="11" t="n"/>
      <c r="T1234" s="12" t="n"/>
      <c r="U1234" s="12" t="n"/>
      <c r="V1234" s="12" t="n"/>
      <c r="W1234" s="13" t="n"/>
      <c r="X1234" s="14">
        <f>IF($AP1234="",IF($B1234="","",$H1234),IF(INDEX(職員マスタ!$B$6:$B$405,$AP1234)="",$H1234,INDEX(職員マスタ!$B$6:$B$405,$AP1234)))</f>
        <v/>
      </c>
      <c r="Y1234" s="14">
        <f>IF($AP1234="",IF($B1234="","",$R1234),IF(INDEX(職員マスタ!$C$6:$C$405,$AP1234)="",$R1234,INDEX(職員マスタ!$C$6:$C$405,$AP1234)))</f>
        <v/>
      </c>
      <c r="Z1234" s="14">
        <f>IF($AQ1234="","","R"&amp;$C1234&amp;"."&amp;$D1234)</f>
        <v/>
      </c>
      <c r="AA1234" s="15">
        <f>IF(IF($AP1234="",FALSE,INDEX(職員マスタ!$K$6:$K$405,$AP1234)&lt;&gt;""),INDEX(職員マスタ!$K$6:$K$405,$AP1234),IF(N($W1234)&gt;0,$W1234,""))</f>
        <v/>
      </c>
      <c r="AB1234" s="14">
        <f>IF(OR($E1234="",$AA1234=""),"",IF($E1234&gt;=$AA1234,"×",IF($E1234&gt;=$AA1234*設定!$C$5,"△","○")))</f>
        <v/>
      </c>
      <c r="AC1234" s="15">
        <f>IF($AB1234="","",IF($AB1234="×",0,IF($AB1234="○",ROUNDDOWN($E1234*設定!$C$4,0),ROUNDDOWN($E1234*ROUND((9*$AA1234-9*$E1234)/(10*$E1234),4),0))))</f>
        <v/>
      </c>
      <c r="AD1234" s="13" t="n"/>
      <c r="AE1234" s="15">
        <f>IF($B1234="","",IF($AD1234&lt;&gt;"",$AD1234,IF($AC1234="","",IF($AC1234&lt;=設定!$C$3,0,$AC1234))))</f>
        <v/>
      </c>
      <c r="AF1234" s="14">
        <f>IF($B1234="","",IF(AND($AG1234&lt;&gt;"",$AI1234="",$AL1234=""),"保留中",IF($AL1234&lt;&gt;"",IF(N($AE1234)&gt;0,"支給済","不支給"),IF($AE1234="","要確認",IF($AE1234=0,"不支給","未処理")))))</f>
        <v/>
      </c>
      <c r="AG1234" s="12" t="n"/>
      <c r="AH1234" s="11" t="n"/>
      <c r="AI1234" s="11" t="n"/>
      <c r="AJ1234" s="11" t="n"/>
      <c r="AK1234" s="14">
        <f>IF(AND($AF1234="保留中",$AH1234&lt;&gt;""),TODAY()-$AH1234,"")</f>
        <v/>
      </c>
      <c r="AL1234" s="12" t="n"/>
      <c r="AM1234" s="14">
        <f>IF($B1234="","",IF($AQ1234="","対象年月が未入力／","")&amp;IF($B1234="","",IF($AP1234="","職員マスタに未登録の職員番号／",IF($AA1234="","標準報酬月額が未登録／","")&amp;IF(AND($AQ1234&lt;&gt;"",OR(AND(INDEX(職員マスタ!$G$6:$G$405,$AP1234)&lt;&gt;"",INDEX(職員マスタ!$G$6:$G$405,$AP1234)&gt;EOMONTH($AQ1234,0)),AND(INDEX(職員マスタ!$H$6:$H$405,$AP1234)&lt;&gt;"",INDEX(職員マスタ!$H$6:$H$405,$AP1234)&lt;$AQ1234))),"対象月が時短期間外／","")&amp;IF(AND(INDEX(職員マスタ!$K$6:$K$405,$AP1234)&lt;&gt;"",N($W1234)&gt;0,INDEX(職員マスタ!$K$6:$K$405,$AP1234)&lt;&gt;$W1234),"標準報酬月額が申請書と相違（台帳"&amp;TEXT(INDEX(職員マスタ!$K$6:$K$405,$AP1234),"#,##0")&amp;"円／申請書"&amp;TEXT($W1234,"#,##0")&amp;"円）／","")&amp;IF(AND(INDEX(職員マスタ!$F$6:$F$405,$AP1234)&lt;&gt;"",$AQ1234&lt;&gt;"",INDEX(職員マスタ!$F$6:$F$405,$AP1234)&lt;$AQ1234),"対象月に子が2歳到達済／","")&amp;IF(AND($H1234&lt;&gt;"",INDEX(職員マスタ!$B$6:$B$405,$AP1234)&lt;&gt;"",SUBSTITUTE(SUBSTITUTE($H1234," ","")," ","")&lt;&gt;SUBSTITUTE(SUBSTITUTE(INDEX(職員マスタ!$B$6:$B$405,$AP1234)," ","")," ","")),"氏名がマスタと相違／","")&amp;IF(AND($Q1234&lt;&gt;"",INDEX(職員マスタ!$E$6:$E$405,$AP1234)&lt;&gt;"",$Q1234&lt;&gt;INDEX(職員マスタ!$E$6:$E$405,$AP1234)),"子の生年月日がマスタと相違／","")&amp;IF(AND($L1234&lt;&gt;"",INDEX(職員マスタ!$G$6:$G$405,$AP1234)&lt;&gt;"",$L1234&lt;&gt;INDEX(職員マスタ!$G$6:$G$405,$AP1234)),"時短開始日がマスタと相違／","")&amp;IF(AND($M1234&lt;&gt;"",INDEX(職員マスタ!$H$6:$H$405,$AP1234)&lt;&gt;"",$M1234&lt;&gt;INDEX(職員マスタ!$H$6:$H$405,$AP1234)),"時短終了日がマスタと相違／","")))&amp;IF(AND($B1234&lt;&gt;"",$E1234=""),"報酬額が未入力／","")&amp;IF(N($U1234)&gt;0,"申請書に入力エラーが残っています／","")&amp;IF(AND($B1234&lt;&gt;"",$AQ1234&lt;&gt;""),IF(COUNTIFS($B$6:$B$3005,$B1234,$C$6:$C$3005,$C1234,$D$6:$D$3005,$D1234)&gt;1,"同じ月の請求が重複しています／",""),"")&amp;IF(AND(N($E1234)&gt;0,$AB1234&lt;&gt;"",$AB1234&lt;&gt;"×",$AE1234=0,$AD1234=""),"計算額が下限以下のため不支給／",""))</f>
        <v/>
      </c>
      <c r="AN1234" s="12" t="n"/>
      <c r="AO1234" s="14">
        <f>IF($AF1234="保留中",COUNTIF($AF$6:$AF1234,"保留中"),"")</f>
        <v/>
      </c>
      <c r="AP1234" s="14">
        <f>IF($AQ1234="","",IF(SUMPRODUCT(MAX((職員マスタ!$A$6:$A$405=$B1234)*(((職員マスタ!$G$6:$G$405="")+(職員マスタ!$G$6:$G$405&lt;=EOMONTH($AQ1234,0)))&gt;0)*(((職員マスタ!$H$6:$H$405="")+(職員マスタ!$H$6:$H$405&gt;=$AQ1234))&gt;0)*(ROW(職員マスタ!$A$6:$A$405)-5)))&gt;0,SUMPRODUCT(MAX((職員マスタ!$A$6:$A$405=$B1234)*(((職員マスタ!$G$6:$G$405="")+(職員マスタ!$G$6:$G$405&lt;=EOMONTH($AQ1234,0)))&gt;0)*(((職員マスタ!$H$6:$H$405="")+(職員マスタ!$H$6:$H$405&gt;=$AQ1234))&gt;0)*(ROW(職員マスタ!$A$6:$A$405)-5))),IFERROR(MATCH($B1234,職員マスタ!$A$6:$A$405,0),"")))</f>
        <v/>
      </c>
      <c r="AQ1234" s="16">
        <f>IF(OR($B1234="",$C1234="",$D1234=""),"",DATE($C1234+2018,$D1234,1))</f>
        <v/>
      </c>
    </row>
    <row r="1235">
      <c r="A1235" s="11" t="n"/>
      <c r="B1235" s="12" t="n"/>
      <c r="C1235" s="12" t="n"/>
      <c r="D1235" s="12" t="n"/>
      <c r="E1235" s="13" t="n"/>
      <c r="F1235" s="12" t="n"/>
      <c r="G1235" s="13" t="n"/>
      <c r="H1235" s="12" t="n"/>
      <c r="I1235" s="12" t="n"/>
      <c r="J1235" s="12" t="n"/>
      <c r="K1235" s="12" t="n"/>
      <c r="L1235" s="11" t="n"/>
      <c r="M1235" s="11" t="n"/>
      <c r="N1235" s="11" t="n"/>
      <c r="O1235" s="11" t="n"/>
      <c r="P1235" s="12" t="n"/>
      <c r="Q1235" s="11" t="n"/>
      <c r="R1235" s="12" t="n"/>
      <c r="S1235" s="11" t="n"/>
      <c r="T1235" s="12" t="n"/>
      <c r="U1235" s="12" t="n"/>
      <c r="V1235" s="12" t="n"/>
      <c r="W1235" s="13" t="n"/>
      <c r="X1235" s="14">
        <f>IF($AP1235="",IF($B1235="","",$H1235),IF(INDEX(職員マスタ!$B$6:$B$405,$AP1235)="",$H1235,INDEX(職員マスタ!$B$6:$B$405,$AP1235)))</f>
        <v/>
      </c>
      <c r="Y1235" s="14">
        <f>IF($AP1235="",IF($B1235="","",$R1235),IF(INDEX(職員マスタ!$C$6:$C$405,$AP1235)="",$R1235,INDEX(職員マスタ!$C$6:$C$405,$AP1235)))</f>
        <v/>
      </c>
      <c r="Z1235" s="14">
        <f>IF($AQ1235="","","R"&amp;$C1235&amp;"."&amp;$D1235)</f>
        <v/>
      </c>
      <c r="AA1235" s="15">
        <f>IF(IF($AP1235="",FALSE,INDEX(職員マスタ!$K$6:$K$405,$AP1235)&lt;&gt;""),INDEX(職員マスタ!$K$6:$K$405,$AP1235),IF(N($W1235)&gt;0,$W1235,""))</f>
        <v/>
      </c>
      <c r="AB1235" s="14">
        <f>IF(OR($E1235="",$AA1235=""),"",IF($E1235&gt;=$AA1235,"×",IF($E1235&gt;=$AA1235*設定!$C$5,"△","○")))</f>
        <v/>
      </c>
      <c r="AC1235" s="15">
        <f>IF($AB1235="","",IF($AB1235="×",0,IF($AB1235="○",ROUNDDOWN($E1235*設定!$C$4,0),ROUNDDOWN($E1235*ROUND((9*$AA1235-9*$E1235)/(10*$E1235),4),0))))</f>
        <v/>
      </c>
      <c r="AD1235" s="13" t="n"/>
      <c r="AE1235" s="15">
        <f>IF($B1235="","",IF($AD1235&lt;&gt;"",$AD1235,IF($AC1235="","",IF($AC1235&lt;=設定!$C$3,0,$AC1235))))</f>
        <v/>
      </c>
      <c r="AF1235" s="14">
        <f>IF($B1235="","",IF(AND($AG1235&lt;&gt;"",$AI1235="",$AL1235=""),"保留中",IF($AL1235&lt;&gt;"",IF(N($AE1235)&gt;0,"支給済","不支給"),IF($AE1235="","要確認",IF($AE1235=0,"不支給","未処理")))))</f>
        <v/>
      </c>
      <c r="AG1235" s="12" t="n"/>
      <c r="AH1235" s="11" t="n"/>
      <c r="AI1235" s="11" t="n"/>
      <c r="AJ1235" s="11" t="n"/>
      <c r="AK1235" s="14">
        <f>IF(AND($AF1235="保留中",$AH1235&lt;&gt;""),TODAY()-$AH1235,"")</f>
        <v/>
      </c>
      <c r="AL1235" s="12" t="n"/>
      <c r="AM1235" s="14">
        <f>IF($B1235="","",IF($AQ1235="","対象年月が未入力／","")&amp;IF($B1235="","",IF($AP1235="","職員マスタに未登録の職員番号／",IF($AA1235="","標準報酬月額が未登録／","")&amp;IF(AND($AQ1235&lt;&gt;"",OR(AND(INDEX(職員マスタ!$G$6:$G$405,$AP1235)&lt;&gt;"",INDEX(職員マスタ!$G$6:$G$405,$AP1235)&gt;EOMONTH($AQ1235,0)),AND(INDEX(職員マスタ!$H$6:$H$405,$AP1235)&lt;&gt;"",INDEX(職員マスタ!$H$6:$H$405,$AP1235)&lt;$AQ1235))),"対象月が時短期間外／","")&amp;IF(AND(INDEX(職員マスタ!$K$6:$K$405,$AP1235)&lt;&gt;"",N($W1235)&gt;0,INDEX(職員マスタ!$K$6:$K$405,$AP1235)&lt;&gt;$W1235),"標準報酬月額が申請書と相違（台帳"&amp;TEXT(INDEX(職員マスタ!$K$6:$K$405,$AP1235),"#,##0")&amp;"円／申請書"&amp;TEXT($W1235,"#,##0")&amp;"円）／","")&amp;IF(AND(INDEX(職員マスタ!$F$6:$F$405,$AP1235)&lt;&gt;"",$AQ1235&lt;&gt;"",INDEX(職員マスタ!$F$6:$F$405,$AP1235)&lt;$AQ1235),"対象月に子が2歳到達済／","")&amp;IF(AND($H1235&lt;&gt;"",INDEX(職員マスタ!$B$6:$B$405,$AP1235)&lt;&gt;"",SUBSTITUTE(SUBSTITUTE($H1235," ","")," ","")&lt;&gt;SUBSTITUTE(SUBSTITUTE(INDEX(職員マスタ!$B$6:$B$405,$AP1235)," ","")," ","")),"氏名がマスタと相違／","")&amp;IF(AND($Q1235&lt;&gt;"",INDEX(職員マスタ!$E$6:$E$405,$AP1235)&lt;&gt;"",$Q1235&lt;&gt;INDEX(職員マスタ!$E$6:$E$405,$AP1235)),"子の生年月日がマスタと相違／","")&amp;IF(AND($L1235&lt;&gt;"",INDEX(職員マスタ!$G$6:$G$405,$AP1235)&lt;&gt;"",$L1235&lt;&gt;INDEX(職員マスタ!$G$6:$G$405,$AP1235)),"時短開始日がマスタと相違／","")&amp;IF(AND($M1235&lt;&gt;"",INDEX(職員マスタ!$H$6:$H$405,$AP1235)&lt;&gt;"",$M1235&lt;&gt;INDEX(職員マスタ!$H$6:$H$405,$AP1235)),"時短終了日がマスタと相違／","")))&amp;IF(AND($B1235&lt;&gt;"",$E1235=""),"報酬額が未入力／","")&amp;IF(N($U1235)&gt;0,"申請書に入力エラーが残っています／","")&amp;IF(AND($B1235&lt;&gt;"",$AQ1235&lt;&gt;""),IF(COUNTIFS($B$6:$B$3005,$B1235,$C$6:$C$3005,$C1235,$D$6:$D$3005,$D1235)&gt;1,"同じ月の請求が重複しています／",""),"")&amp;IF(AND(N($E1235)&gt;0,$AB1235&lt;&gt;"",$AB1235&lt;&gt;"×",$AE1235=0,$AD1235=""),"計算額が下限以下のため不支給／",""))</f>
        <v/>
      </c>
      <c r="AN1235" s="12" t="n"/>
      <c r="AO1235" s="14">
        <f>IF($AF1235="保留中",COUNTIF($AF$6:$AF1235,"保留中"),"")</f>
        <v/>
      </c>
      <c r="AP1235" s="14">
        <f>IF($AQ1235="","",IF(SUMPRODUCT(MAX((職員マスタ!$A$6:$A$405=$B1235)*(((職員マスタ!$G$6:$G$405="")+(職員マスタ!$G$6:$G$405&lt;=EOMONTH($AQ1235,0)))&gt;0)*(((職員マスタ!$H$6:$H$405="")+(職員マスタ!$H$6:$H$405&gt;=$AQ1235))&gt;0)*(ROW(職員マスタ!$A$6:$A$405)-5)))&gt;0,SUMPRODUCT(MAX((職員マスタ!$A$6:$A$405=$B1235)*(((職員マスタ!$G$6:$G$405="")+(職員マスタ!$G$6:$G$405&lt;=EOMONTH($AQ1235,0)))&gt;0)*(((職員マスタ!$H$6:$H$405="")+(職員マスタ!$H$6:$H$405&gt;=$AQ1235))&gt;0)*(ROW(職員マスタ!$A$6:$A$405)-5))),IFERROR(MATCH($B1235,職員マスタ!$A$6:$A$405,0),"")))</f>
        <v/>
      </c>
      <c r="AQ1235" s="16">
        <f>IF(OR($B1235="",$C1235="",$D1235=""),"",DATE($C1235+2018,$D1235,1))</f>
        <v/>
      </c>
    </row>
    <row r="1236">
      <c r="A1236" s="11" t="n"/>
      <c r="B1236" s="12" t="n"/>
      <c r="C1236" s="12" t="n"/>
      <c r="D1236" s="12" t="n"/>
      <c r="E1236" s="13" t="n"/>
      <c r="F1236" s="12" t="n"/>
      <c r="G1236" s="13" t="n"/>
      <c r="H1236" s="12" t="n"/>
      <c r="I1236" s="12" t="n"/>
      <c r="J1236" s="12" t="n"/>
      <c r="K1236" s="12" t="n"/>
      <c r="L1236" s="11" t="n"/>
      <c r="M1236" s="11" t="n"/>
      <c r="N1236" s="11" t="n"/>
      <c r="O1236" s="11" t="n"/>
      <c r="P1236" s="12" t="n"/>
      <c r="Q1236" s="11" t="n"/>
      <c r="R1236" s="12" t="n"/>
      <c r="S1236" s="11" t="n"/>
      <c r="T1236" s="12" t="n"/>
      <c r="U1236" s="12" t="n"/>
      <c r="V1236" s="12" t="n"/>
      <c r="W1236" s="13" t="n"/>
      <c r="X1236" s="14">
        <f>IF($AP1236="",IF($B1236="","",$H1236),IF(INDEX(職員マスタ!$B$6:$B$405,$AP1236)="",$H1236,INDEX(職員マスタ!$B$6:$B$405,$AP1236)))</f>
        <v/>
      </c>
      <c r="Y1236" s="14">
        <f>IF($AP1236="",IF($B1236="","",$R1236),IF(INDEX(職員マスタ!$C$6:$C$405,$AP1236)="",$R1236,INDEX(職員マスタ!$C$6:$C$405,$AP1236)))</f>
        <v/>
      </c>
      <c r="Z1236" s="14">
        <f>IF($AQ1236="","","R"&amp;$C1236&amp;"."&amp;$D1236)</f>
        <v/>
      </c>
      <c r="AA1236" s="15">
        <f>IF(IF($AP1236="",FALSE,INDEX(職員マスタ!$K$6:$K$405,$AP1236)&lt;&gt;""),INDEX(職員マスタ!$K$6:$K$405,$AP1236),IF(N($W1236)&gt;0,$W1236,""))</f>
        <v/>
      </c>
      <c r="AB1236" s="14">
        <f>IF(OR($E1236="",$AA1236=""),"",IF($E1236&gt;=$AA1236,"×",IF($E1236&gt;=$AA1236*設定!$C$5,"△","○")))</f>
        <v/>
      </c>
      <c r="AC1236" s="15">
        <f>IF($AB1236="","",IF($AB1236="×",0,IF($AB1236="○",ROUNDDOWN($E1236*設定!$C$4,0),ROUNDDOWN($E1236*ROUND((9*$AA1236-9*$E1236)/(10*$E1236),4),0))))</f>
        <v/>
      </c>
      <c r="AD1236" s="13" t="n"/>
      <c r="AE1236" s="15">
        <f>IF($B1236="","",IF($AD1236&lt;&gt;"",$AD1236,IF($AC1236="","",IF($AC1236&lt;=設定!$C$3,0,$AC1236))))</f>
        <v/>
      </c>
      <c r="AF1236" s="14">
        <f>IF($B1236="","",IF(AND($AG1236&lt;&gt;"",$AI1236="",$AL1236=""),"保留中",IF($AL1236&lt;&gt;"",IF(N($AE1236)&gt;0,"支給済","不支給"),IF($AE1236="","要確認",IF($AE1236=0,"不支給","未処理")))))</f>
        <v/>
      </c>
      <c r="AG1236" s="12" t="n"/>
      <c r="AH1236" s="11" t="n"/>
      <c r="AI1236" s="11" t="n"/>
      <c r="AJ1236" s="11" t="n"/>
      <c r="AK1236" s="14">
        <f>IF(AND($AF1236="保留中",$AH1236&lt;&gt;""),TODAY()-$AH1236,"")</f>
        <v/>
      </c>
      <c r="AL1236" s="12" t="n"/>
      <c r="AM1236" s="14">
        <f>IF($B1236="","",IF($AQ1236="","対象年月が未入力／","")&amp;IF($B1236="","",IF($AP1236="","職員マスタに未登録の職員番号／",IF($AA1236="","標準報酬月額が未登録／","")&amp;IF(AND($AQ1236&lt;&gt;"",OR(AND(INDEX(職員マスタ!$G$6:$G$405,$AP1236)&lt;&gt;"",INDEX(職員マスタ!$G$6:$G$405,$AP1236)&gt;EOMONTH($AQ1236,0)),AND(INDEX(職員マスタ!$H$6:$H$405,$AP1236)&lt;&gt;"",INDEX(職員マスタ!$H$6:$H$405,$AP1236)&lt;$AQ1236))),"対象月が時短期間外／","")&amp;IF(AND(INDEX(職員マスタ!$K$6:$K$405,$AP1236)&lt;&gt;"",N($W1236)&gt;0,INDEX(職員マスタ!$K$6:$K$405,$AP1236)&lt;&gt;$W1236),"標準報酬月額が申請書と相違（台帳"&amp;TEXT(INDEX(職員マスタ!$K$6:$K$405,$AP1236),"#,##0")&amp;"円／申請書"&amp;TEXT($W1236,"#,##0")&amp;"円）／","")&amp;IF(AND(INDEX(職員マスタ!$F$6:$F$405,$AP1236)&lt;&gt;"",$AQ1236&lt;&gt;"",INDEX(職員マスタ!$F$6:$F$405,$AP1236)&lt;$AQ1236),"対象月に子が2歳到達済／","")&amp;IF(AND($H1236&lt;&gt;"",INDEX(職員マスタ!$B$6:$B$405,$AP1236)&lt;&gt;"",SUBSTITUTE(SUBSTITUTE($H1236," ","")," ","")&lt;&gt;SUBSTITUTE(SUBSTITUTE(INDEX(職員マスタ!$B$6:$B$405,$AP1236)," ","")," ","")),"氏名がマスタと相違／","")&amp;IF(AND($Q1236&lt;&gt;"",INDEX(職員マスタ!$E$6:$E$405,$AP1236)&lt;&gt;"",$Q1236&lt;&gt;INDEX(職員マスタ!$E$6:$E$405,$AP1236)),"子の生年月日がマスタと相違／","")&amp;IF(AND($L1236&lt;&gt;"",INDEX(職員マスタ!$G$6:$G$405,$AP1236)&lt;&gt;"",$L1236&lt;&gt;INDEX(職員マスタ!$G$6:$G$405,$AP1236)),"時短開始日がマスタと相違／","")&amp;IF(AND($M1236&lt;&gt;"",INDEX(職員マスタ!$H$6:$H$405,$AP1236)&lt;&gt;"",$M1236&lt;&gt;INDEX(職員マスタ!$H$6:$H$405,$AP1236)),"時短終了日がマスタと相違／","")))&amp;IF(AND($B1236&lt;&gt;"",$E1236=""),"報酬額が未入力／","")&amp;IF(N($U1236)&gt;0,"申請書に入力エラーが残っています／","")&amp;IF(AND($B1236&lt;&gt;"",$AQ1236&lt;&gt;""),IF(COUNTIFS($B$6:$B$3005,$B1236,$C$6:$C$3005,$C1236,$D$6:$D$3005,$D1236)&gt;1,"同じ月の請求が重複しています／",""),"")&amp;IF(AND(N($E1236)&gt;0,$AB1236&lt;&gt;"",$AB1236&lt;&gt;"×",$AE1236=0,$AD1236=""),"計算額が下限以下のため不支給／",""))</f>
        <v/>
      </c>
      <c r="AN1236" s="12" t="n"/>
      <c r="AO1236" s="14">
        <f>IF($AF1236="保留中",COUNTIF($AF$6:$AF1236,"保留中"),"")</f>
        <v/>
      </c>
      <c r="AP1236" s="14">
        <f>IF($AQ1236="","",IF(SUMPRODUCT(MAX((職員マスタ!$A$6:$A$405=$B1236)*(((職員マスタ!$G$6:$G$405="")+(職員マスタ!$G$6:$G$405&lt;=EOMONTH($AQ1236,0)))&gt;0)*(((職員マスタ!$H$6:$H$405="")+(職員マスタ!$H$6:$H$405&gt;=$AQ1236))&gt;0)*(ROW(職員マスタ!$A$6:$A$405)-5)))&gt;0,SUMPRODUCT(MAX((職員マスタ!$A$6:$A$405=$B1236)*(((職員マスタ!$G$6:$G$405="")+(職員マスタ!$G$6:$G$405&lt;=EOMONTH($AQ1236,0)))&gt;0)*(((職員マスタ!$H$6:$H$405="")+(職員マスタ!$H$6:$H$405&gt;=$AQ1236))&gt;0)*(ROW(職員マスタ!$A$6:$A$405)-5))),IFERROR(MATCH($B1236,職員マスタ!$A$6:$A$405,0),"")))</f>
        <v/>
      </c>
      <c r="AQ1236" s="16">
        <f>IF(OR($B1236="",$C1236="",$D1236=""),"",DATE($C1236+2018,$D1236,1))</f>
        <v/>
      </c>
    </row>
    <row r="1237">
      <c r="A1237" s="11" t="n"/>
      <c r="B1237" s="12" t="n"/>
      <c r="C1237" s="12" t="n"/>
      <c r="D1237" s="12" t="n"/>
      <c r="E1237" s="13" t="n"/>
      <c r="F1237" s="12" t="n"/>
      <c r="G1237" s="13" t="n"/>
      <c r="H1237" s="12" t="n"/>
      <c r="I1237" s="12" t="n"/>
      <c r="J1237" s="12" t="n"/>
      <c r="K1237" s="12" t="n"/>
      <c r="L1237" s="11" t="n"/>
      <c r="M1237" s="11" t="n"/>
      <c r="N1237" s="11" t="n"/>
      <c r="O1237" s="11" t="n"/>
      <c r="P1237" s="12" t="n"/>
      <c r="Q1237" s="11" t="n"/>
      <c r="R1237" s="12" t="n"/>
      <c r="S1237" s="11" t="n"/>
      <c r="T1237" s="12" t="n"/>
      <c r="U1237" s="12" t="n"/>
      <c r="V1237" s="12" t="n"/>
      <c r="W1237" s="13" t="n"/>
      <c r="X1237" s="14">
        <f>IF($AP1237="",IF($B1237="","",$H1237),IF(INDEX(職員マスタ!$B$6:$B$405,$AP1237)="",$H1237,INDEX(職員マスタ!$B$6:$B$405,$AP1237)))</f>
        <v/>
      </c>
      <c r="Y1237" s="14">
        <f>IF($AP1237="",IF($B1237="","",$R1237),IF(INDEX(職員マスタ!$C$6:$C$405,$AP1237)="",$R1237,INDEX(職員マスタ!$C$6:$C$405,$AP1237)))</f>
        <v/>
      </c>
      <c r="Z1237" s="14">
        <f>IF($AQ1237="","","R"&amp;$C1237&amp;"."&amp;$D1237)</f>
        <v/>
      </c>
      <c r="AA1237" s="15">
        <f>IF(IF($AP1237="",FALSE,INDEX(職員マスタ!$K$6:$K$405,$AP1237)&lt;&gt;""),INDEX(職員マスタ!$K$6:$K$405,$AP1237),IF(N($W1237)&gt;0,$W1237,""))</f>
        <v/>
      </c>
      <c r="AB1237" s="14">
        <f>IF(OR($E1237="",$AA1237=""),"",IF($E1237&gt;=$AA1237,"×",IF($E1237&gt;=$AA1237*設定!$C$5,"△","○")))</f>
        <v/>
      </c>
      <c r="AC1237" s="15">
        <f>IF($AB1237="","",IF($AB1237="×",0,IF($AB1237="○",ROUNDDOWN($E1237*設定!$C$4,0),ROUNDDOWN($E1237*ROUND((9*$AA1237-9*$E1237)/(10*$E1237),4),0))))</f>
        <v/>
      </c>
      <c r="AD1237" s="13" t="n"/>
      <c r="AE1237" s="15">
        <f>IF($B1237="","",IF($AD1237&lt;&gt;"",$AD1237,IF($AC1237="","",IF($AC1237&lt;=設定!$C$3,0,$AC1237))))</f>
        <v/>
      </c>
      <c r="AF1237" s="14">
        <f>IF($B1237="","",IF(AND($AG1237&lt;&gt;"",$AI1237="",$AL1237=""),"保留中",IF($AL1237&lt;&gt;"",IF(N($AE1237)&gt;0,"支給済","不支給"),IF($AE1237="","要確認",IF($AE1237=0,"不支給","未処理")))))</f>
        <v/>
      </c>
      <c r="AG1237" s="12" t="n"/>
      <c r="AH1237" s="11" t="n"/>
      <c r="AI1237" s="11" t="n"/>
      <c r="AJ1237" s="11" t="n"/>
      <c r="AK1237" s="14">
        <f>IF(AND($AF1237="保留中",$AH1237&lt;&gt;""),TODAY()-$AH1237,"")</f>
        <v/>
      </c>
      <c r="AL1237" s="12" t="n"/>
      <c r="AM1237" s="14">
        <f>IF($B1237="","",IF($AQ1237="","対象年月が未入力／","")&amp;IF($B1237="","",IF($AP1237="","職員マスタに未登録の職員番号／",IF($AA1237="","標準報酬月額が未登録／","")&amp;IF(AND($AQ1237&lt;&gt;"",OR(AND(INDEX(職員マスタ!$G$6:$G$405,$AP1237)&lt;&gt;"",INDEX(職員マスタ!$G$6:$G$405,$AP1237)&gt;EOMONTH($AQ1237,0)),AND(INDEX(職員マスタ!$H$6:$H$405,$AP1237)&lt;&gt;"",INDEX(職員マスタ!$H$6:$H$405,$AP1237)&lt;$AQ1237))),"対象月が時短期間外／","")&amp;IF(AND(INDEX(職員マスタ!$K$6:$K$405,$AP1237)&lt;&gt;"",N($W1237)&gt;0,INDEX(職員マスタ!$K$6:$K$405,$AP1237)&lt;&gt;$W1237),"標準報酬月額が申請書と相違（台帳"&amp;TEXT(INDEX(職員マスタ!$K$6:$K$405,$AP1237),"#,##0")&amp;"円／申請書"&amp;TEXT($W1237,"#,##0")&amp;"円）／","")&amp;IF(AND(INDEX(職員マスタ!$F$6:$F$405,$AP1237)&lt;&gt;"",$AQ1237&lt;&gt;"",INDEX(職員マスタ!$F$6:$F$405,$AP1237)&lt;$AQ1237),"対象月に子が2歳到達済／","")&amp;IF(AND($H1237&lt;&gt;"",INDEX(職員マスタ!$B$6:$B$405,$AP1237)&lt;&gt;"",SUBSTITUTE(SUBSTITUTE($H1237," ","")," ","")&lt;&gt;SUBSTITUTE(SUBSTITUTE(INDEX(職員マスタ!$B$6:$B$405,$AP1237)," ","")," ","")),"氏名がマスタと相違／","")&amp;IF(AND($Q1237&lt;&gt;"",INDEX(職員マスタ!$E$6:$E$405,$AP1237)&lt;&gt;"",$Q1237&lt;&gt;INDEX(職員マスタ!$E$6:$E$405,$AP1237)),"子の生年月日がマスタと相違／","")&amp;IF(AND($L1237&lt;&gt;"",INDEX(職員マスタ!$G$6:$G$405,$AP1237)&lt;&gt;"",$L1237&lt;&gt;INDEX(職員マスタ!$G$6:$G$405,$AP1237)),"時短開始日がマスタと相違／","")&amp;IF(AND($M1237&lt;&gt;"",INDEX(職員マスタ!$H$6:$H$405,$AP1237)&lt;&gt;"",$M1237&lt;&gt;INDEX(職員マスタ!$H$6:$H$405,$AP1237)),"時短終了日がマスタと相違／","")))&amp;IF(AND($B1237&lt;&gt;"",$E1237=""),"報酬額が未入力／","")&amp;IF(N($U1237)&gt;0,"申請書に入力エラーが残っています／","")&amp;IF(AND($B1237&lt;&gt;"",$AQ1237&lt;&gt;""),IF(COUNTIFS($B$6:$B$3005,$B1237,$C$6:$C$3005,$C1237,$D$6:$D$3005,$D1237)&gt;1,"同じ月の請求が重複しています／",""),"")&amp;IF(AND(N($E1237)&gt;0,$AB1237&lt;&gt;"",$AB1237&lt;&gt;"×",$AE1237=0,$AD1237=""),"計算額が下限以下のため不支給／",""))</f>
        <v/>
      </c>
      <c r="AN1237" s="12" t="n"/>
      <c r="AO1237" s="14">
        <f>IF($AF1237="保留中",COUNTIF($AF$6:$AF1237,"保留中"),"")</f>
        <v/>
      </c>
      <c r="AP1237" s="14">
        <f>IF($AQ1237="","",IF(SUMPRODUCT(MAX((職員マスタ!$A$6:$A$405=$B1237)*(((職員マスタ!$G$6:$G$405="")+(職員マスタ!$G$6:$G$405&lt;=EOMONTH($AQ1237,0)))&gt;0)*(((職員マスタ!$H$6:$H$405="")+(職員マスタ!$H$6:$H$405&gt;=$AQ1237))&gt;0)*(ROW(職員マスタ!$A$6:$A$405)-5)))&gt;0,SUMPRODUCT(MAX((職員マスタ!$A$6:$A$405=$B1237)*(((職員マスタ!$G$6:$G$405="")+(職員マスタ!$G$6:$G$405&lt;=EOMONTH($AQ1237,0)))&gt;0)*(((職員マスタ!$H$6:$H$405="")+(職員マスタ!$H$6:$H$405&gt;=$AQ1237))&gt;0)*(ROW(職員マスタ!$A$6:$A$405)-5))),IFERROR(MATCH($B1237,職員マスタ!$A$6:$A$405,0),"")))</f>
        <v/>
      </c>
      <c r="AQ1237" s="16">
        <f>IF(OR($B1237="",$C1237="",$D1237=""),"",DATE($C1237+2018,$D1237,1))</f>
        <v/>
      </c>
    </row>
    <row r="1238">
      <c r="A1238" s="11" t="n"/>
      <c r="B1238" s="12" t="n"/>
      <c r="C1238" s="12" t="n"/>
      <c r="D1238" s="12" t="n"/>
      <c r="E1238" s="13" t="n"/>
      <c r="F1238" s="12" t="n"/>
      <c r="G1238" s="13" t="n"/>
      <c r="H1238" s="12" t="n"/>
      <c r="I1238" s="12" t="n"/>
      <c r="J1238" s="12" t="n"/>
      <c r="K1238" s="12" t="n"/>
      <c r="L1238" s="11" t="n"/>
      <c r="M1238" s="11" t="n"/>
      <c r="N1238" s="11" t="n"/>
      <c r="O1238" s="11" t="n"/>
      <c r="P1238" s="12" t="n"/>
      <c r="Q1238" s="11" t="n"/>
      <c r="R1238" s="12" t="n"/>
      <c r="S1238" s="11" t="n"/>
      <c r="T1238" s="12" t="n"/>
      <c r="U1238" s="12" t="n"/>
      <c r="V1238" s="12" t="n"/>
      <c r="W1238" s="13" t="n"/>
      <c r="X1238" s="14">
        <f>IF($AP1238="",IF($B1238="","",$H1238),IF(INDEX(職員マスタ!$B$6:$B$405,$AP1238)="",$H1238,INDEX(職員マスタ!$B$6:$B$405,$AP1238)))</f>
        <v/>
      </c>
      <c r="Y1238" s="14">
        <f>IF($AP1238="",IF($B1238="","",$R1238),IF(INDEX(職員マスタ!$C$6:$C$405,$AP1238)="",$R1238,INDEX(職員マスタ!$C$6:$C$405,$AP1238)))</f>
        <v/>
      </c>
      <c r="Z1238" s="14">
        <f>IF($AQ1238="","","R"&amp;$C1238&amp;"."&amp;$D1238)</f>
        <v/>
      </c>
      <c r="AA1238" s="15">
        <f>IF(IF($AP1238="",FALSE,INDEX(職員マスタ!$K$6:$K$405,$AP1238)&lt;&gt;""),INDEX(職員マスタ!$K$6:$K$405,$AP1238),IF(N($W1238)&gt;0,$W1238,""))</f>
        <v/>
      </c>
      <c r="AB1238" s="14">
        <f>IF(OR($E1238="",$AA1238=""),"",IF($E1238&gt;=$AA1238,"×",IF($E1238&gt;=$AA1238*設定!$C$5,"△","○")))</f>
        <v/>
      </c>
      <c r="AC1238" s="15">
        <f>IF($AB1238="","",IF($AB1238="×",0,IF($AB1238="○",ROUNDDOWN($E1238*設定!$C$4,0),ROUNDDOWN($E1238*ROUND((9*$AA1238-9*$E1238)/(10*$E1238),4),0))))</f>
        <v/>
      </c>
      <c r="AD1238" s="13" t="n"/>
      <c r="AE1238" s="15">
        <f>IF($B1238="","",IF($AD1238&lt;&gt;"",$AD1238,IF($AC1238="","",IF($AC1238&lt;=設定!$C$3,0,$AC1238))))</f>
        <v/>
      </c>
      <c r="AF1238" s="14">
        <f>IF($B1238="","",IF(AND($AG1238&lt;&gt;"",$AI1238="",$AL1238=""),"保留中",IF($AL1238&lt;&gt;"",IF(N($AE1238)&gt;0,"支給済","不支給"),IF($AE1238="","要確認",IF($AE1238=0,"不支給","未処理")))))</f>
        <v/>
      </c>
      <c r="AG1238" s="12" t="n"/>
      <c r="AH1238" s="11" t="n"/>
      <c r="AI1238" s="11" t="n"/>
      <c r="AJ1238" s="11" t="n"/>
      <c r="AK1238" s="14">
        <f>IF(AND($AF1238="保留中",$AH1238&lt;&gt;""),TODAY()-$AH1238,"")</f>
        <v/>
      </c>
      <c r="AL1238" s="12" t="n"/>
      <c r="AM1238" s="14">
        <f>IF($B1238="","",IF($AQ1238="","対象年月が未入力／","")&amp;IF($B1238="","",IF($AP1238="","職員マスタに未登録の職員番号／",IF($AA1238="","標準報酬月額が未登録／","")&amp;IF(AND($AQ1238&lt;&gt;"",OR(AND(INDEX(職員マスタ!$G$6:$G$405,$AP1238)&lt;&gt;"",INDEX(職員マスタ!$G$6:$G$405,$AP1238)&gt;EOMONTH($AQ1238,0)),AND(INDEX(職員マスタ!$H$6:$H$405,$AP1238)&lt;&gt;"",INDEX(職員マスタ!$H$6:$H$405,$AP1238)&lt;$AQ1238))),"対象月が時短期間外／","")&amp;IF(AND(INDEX(職員マスタ!$K$6:$K$405,$AP1238)&lt;&gt;"",N($W1238)&gt;0,INDEX(職員マスタ!$K$6:$K$405,$AP1238)&lt;&gt;$W1238),"標準報酬月額が申請書と相違（台帳"&amp;TEXT(INDEX(職員マスタ!$K$6:$K$405,$AP1238),"#,##0")&amp;"円／申請書"&amp;TEXT($W1238,"#,##0")&amp;"円）／","")&amp;IF(AND(INDEX(職員マスタ!$F$6:$F$405,$AP1238)&lt;&gt;"",$AQ1238&lt;&gt;"",INDEX(職員マスタ!$F$6:$F$405,$AP1238)&lt;$AQ1238),"対象月に子が2歳到達済／","")&amp;IF(AND($H1238&lt;&gt;"",INDEX(職員マスタ!$B$6:$B$405,$AP1238)&lt;&gt;"",SUBSTITUTE(SUBSTITUTE($H1238," ","")," ","")&lt;&gt;SUBSTITUTE(SUBSTITUTE(INDEX(職員マスタ!$B$6:$B$405,$AP1238)," ","")," ","")),"氏名がマスタと相違／","")&amp;IF(AND($Q1238&lt;&gt;"",INDEX(職員マスタ!$E$6:$E$405,$AP1238)&lt;&gt;"",$Q1238&lt;&gt;INDEX(職員マスタ!$E$6:$E$405,$AP1238)),"子の生年月日がマスタと相違／","")&amp;IF(AND($L1238&lt;&gt;"",INDEX(職員マスタ!$G$6:$G$405,$AP1238)&lt;&gt;"",$L1238&lt;&gt;INDEX(職員マスタ!$G$6:$G$405,$AP1238)),"時短開始日がマスタと相違／","")&amp;IF(AND($M1238&lt;&gt;"",INDEX(職員マスタ!$H$6:$H$405,$AP1238)&lt;&gt;"",$M1238&lt;&gt;INDEX(職員マスタ!$H$6:$H$405,$AP1238)),"時短終了日がマスタと相違／","")))&amp;IF(AND($B1238&lt;&gt;"",$E1238=""),"報酬額が未入力／","")&amp;IF(N($U1238)&gt;0,"申請書に入力エラーが残っています／","")&amp;IF(AND($B1238&lt;&gt;"",$AQ1238&lt;&gt;""),IF(COUNTIFS($B$6:$B$3005,$B1238,$C$6:$C$3005,$C1238,$D$6:$D$3005,$D1238)&gt;1,"同じ月の請求が重複しています／",""),"")&amp;IF(AND(N($E1238)&gt;0,$AB1238&lt;&gt;"",$AB1238&lt;&gt;"×",$AE1238=0,$AD1238=""),"計算額が下限以下のため不支給／",""))</f>
        <v/>
      </c>
      <c r="AN1238" s="12" t="n"/>
      <c r="AO1238" s="14">
        <f>IF($AF1238="保留中",COUNTIF($AF$6:$AF1238,"保留中"),"")</f>
        <v/>
      </c>
      <c r="AP1238" s="14">
        <f>IF($AQ1238="","",IF(SUMPRODUCT(MAX((職員マスタ!$A$6:$A$405=$B1238)*(((職員マスタ!$G$6:$G$405="")+(職員マスタ!$G$6:$G$405&lt;=EOMONTH($AQ1238,0)))&gt;0)*(((職員マスタ!$H$6:$H$405="")+(職員マスタ!$H$6:$H$405&gt;=$AQ1238))&gt;0)*(ROW(職員マスタ!$A$6:$A$405)-5)))&gt;0,SUMPRODUCT(MAX((職員マスタ!$A$6:$A$405=$B1238)*(((職員マスタ!$G$6:$G$405="")+(職員マスタ!$G$6:$G$405&lt;=EOMONTH($AQ1238,0)))&gt;0)*(((職員マスタ!$H$6:$H$405="")+(職員マスタ!$H$6:$H$405&gt;=$AQ1238))&gt;0)*(ROW(職員マスタ!$A$6:$A$405)-5))),IFERROR(MATCH($B1238,職員マスタ!$A$6:$A$405,0),"")))</f>
        <v/>
      </c>
      <c r="AQ1238" s="16">
        <f>IF(OR($B1238="",$C1238="",$D1238=""),"",DATE($C1238+2018,$D1238,1))</f>
        <v/>
      </c>
    </row>
    <row r="1239">
      <c r="A1239" s="11" t="n"/>
      <c r="B1239" s="12" t="n"/>
      <c r="C1239" s="12" t="n"/>
      <c r="D1239" s="12" t="n"/>
      <c r="E1239" s="13" t="n"/>
      <c r="F1239" s="12" t="n"/>
      <c r="G1239" s="13" t="n"/>
      <c r="H1239" s="12" t="n"/>
      <c r="I1239" s="12" t="n"/>
      <c r="J1239" s="12" t="n"/>
      <c r="K1239" s="12" t="n"/>
      <c r="L1239" s="11" t="n"/>
      <c r="M1239" s="11" t="n"/>
      <c r="N1239" s="11" t="n"/>
      <c r="O1239" s="11" t="n"/>
      <c r="P1239" s="12" t="n"/>
      <c r="Q1239" s="11" t="n"/>
      <c r="R1239" s="12" t="n"/>
      <c r="S1239" s="11" t="n"/>
      <c r="T1239" s="12" t="n"/>
      <c r="U1239" s="12" t="n"/>
      <c r="V1239" s="12" t="n"/>
      <c r="W1239" s="13" t="n"/>
      <c r="X1239" s="14">
        <f>IF($AP1239="",IF($B1239="","",$H1239),IF(INDEX(職員マスタ!$B$6:$B$405,$AP1239)="",$H1239,INDEX(職員マスタ!$B$6:$B$405,$AP1239)))</f>
        <v/>
      </c>
      <c r="Y1239" s="14">
        <f>IF($AP1239="",IF($B1239="","",$R1239),IF(INDEX(職員マスタ!$C$6:$C$405,$AP1239)="",$R1239,INDEX(職員マスタ!$C$6:$C$405,$AP1239)))</f>
        <v/>
      </c>
      <c r="Z1239" s="14">
        <f>IF($AQ1239="","","R"&amp;$C1239&amp;"."&amp;$D1239)</f>
        <v/>
      </c>
      <c r="AA1239" s="15">
        <f>IF(IF($AP1239="",FALSE,INDEX(職員マスタ!$K$6:$K$405,$AP1239)&lt;&gt;""),INDEX(職員マスタ!$K$6:$K$405,$AP1239),IF(N($W1239)&gt;0,$W1239,""))</f>
        <v/>
      </c>
      <c r="AB1239" s="14">
        <f>IF(OR($E1239="",$AA1239=""),"",IF($E1239&gt;=$AA1239,"×",IF($E1239&gt;=$AA1239*設定!$C$5,"△","○")))</f>
        <v/>
      </c>
      <c r="AC1239" s="15">
        <f>IF($AB1239="","",IF($AB1239="×",0,IF($AB1239="○",ROUNDDOWN($E1239*設定!$C$4,0),ROUNDDOWN($E1239*ROUND((9*$AA1239-9*$E1239)/(10*$E1239),4),0))))</f>
        <v/>
      </c>
      <c r="AD1239" s="13" t="n"/>
      <c r="AE1239" s="15">
        <f>IF($B1239="","",IF($AD1239&lt;&gt;"",$AD1239,IF($AC1239="","",IF($AC1239&lt;=設定!$C$3,0,$AC1239))))</f>
        <v/>
      </c>
      <c r="AF1239" s="14">
        <f>IF($B1239="","",IF(AND($AG1239&lt;&gt;"",$AI1239="",$AL1239=""),"保留中",IF($AL1239&lt;&gt;"",IF(N($AE1239)&gt;0,"支給済","不支給"),IF($AE1239="","要確認",IF($AE1239=0,"不支給","未処理")))))</f>
        <v/>
      </c>
      <c r="AG1239" s="12" t="n"/>
      <c r="AH1239" s="11" t="n"/>
      <c r="AI1239" s="11" t="n"/>
      <c r="AJ1239" s="11" t="n"/>
      <c r="AK1239" s="14">
        <f>IF(AND($AF1239="保留中",$AH1239&lt;&gt;""),TODAY()-$AH1239,"")</f>
        <v/>
      </c>
      <c r="AL1239" s="12" t="n"/>
      <c r="AM1239" s="14">
        <f>IF($B1239="","",IF($AQ1239="","対象年月が未入力／","")&amp;IF($B1239="","",IF($AP1239="","職員マスタに未登録の職員番号／",IF($AA1239="","標準報酬月額が未登録／","")&amp;IF(AND($AQ1239&lt;&gt;"",OR(AND(INDEX(職員マスタ!$G$6:$G$405,$AP1239)&lt;&gt;"",INDEX(職員マスタ!$G$6:$G$405,$AP1239)&gt;EOMONTH($AQ1239,0)),AND(INDEX(職員マスタ!$H$6:$H$405,$AP1239)&lt;&gt;"",INDEX(職員マスタ!$H$6:$H$405,$AP1239)&lt;$AQ1239))),"対象月が時短期間外／","")&amp;IF(AND(INDEX(職員マスタ!$K$6:$K$405,$AP1239)&lt;&gt;"",N($W1239)&gt;0,INDEX(職員マスタ!$K$6:$K$405,$AP1239)&lt;&gt;$W1239),"標準報酬月額が申請書と相違（台帳"&amp;TEXT(INDEX(職員マスタ!$K$6:$K$405,$AP1239),"#,##0")&amp;"円／申請書"&amp;TEXT($W1239,"#,##0")&amp;"円）／","")&amp;IF(AND(INDEX(職員マスタ!$F$6:$F$405,$AP1239)&lt;&gt;"",$AQ1239&lt;&gt;"",INDEX(職員マスタ!$F$6:$F$405,$AP1239)&lt;$AQ1239),"対象月に子が2歳到達済／","")&amp;IF(AND($H1239&lt;&gt;"",INDEX(職員マスタ!$B$6:$B$405,$AP1239)&lt;&gt;"",SUBSTITUTE(SUBSTITUTE($H1239," ","")," ","")&lt;&gt;SUBSTITUTE(SUBSTITUTE(INDEX(職員マスタ!$B$6:$B$405,$AP1239)," ","")," ","")),"氏名がマスタと相違／","")&amp;IF(AND($Q1239&lt;&gt;"",INDEX(職員マスタ!$E$6:$E$405,$AP1239)&lt;&gt;"",$Q1239&lt;&gt;INDEX(職員マスタ!$E$6:$E$405,$AP1239)),"子の生年月日がマスタと相違／","")&amp;IF(AND($L1239&lt;&gt;"",INDEX(職員マスタ!$G$6:$G$405,$AP1239)&lt;&gt;"",$L1239&lt;&gt;INDEX(職員マスタ!$G$6:$G$405,$AP1239)),"時短開始日がマスタと相違／","")&amp;IF(AND($M1239&lt;&gt;"",INDEX(職員マスタ!$H$6:$H$405,$AP1239)&lt;&gt;"",$M1239&lt;&gt;INDEX(職員マスタ!$H$6:$H$405,$AP1239)),"時短終了日がマスタと相違／","")))&amp;IF(AND($B1239&lt;&gt;"",$E1239=""),"報酬額が未入力／","")&amp;IF(N($U1239)&gt;0,"申請書に入力エラーが残っています／","")&amp;IF(AND($B1239&lt;&gt;"",$AQ1239&lt;&gt;""),IF(COUNTIFS($B$6:$B$3005,$B1239,$C$6:$C$3005,$C1239,$D$6:$D$3005,$D1239)&gt;1,"同じ月の請求が重複しています／",""),"")&amp;IF(AND(N($E1239)&gt;0,$AB1239&lt;&gt;"",$AB1239&lt;&gt;"×",$AE1239=0,$AD1239=""),"計算額が下限以下のため不支給／",""))</f>
        <v/>
      </c>
      <c r="AN1239" s="12" t="n"/>
      <c r="AO1239" s="14">
        <f>IF($AF1239="保留中",COUNTIF($AF$6:$AF1239,"保留中"),"")</f>
        <v/>
      </c>
      <c r="AP1239" s="14">
        <f>IF($AQ1239="","",IF(SUMPRODUCT(MAX((職員マスタ!$A$6:$A$405=$B1239)*(((職員マスタ!$G$6:$G$405="")+(職員マスタ!$G$6:$G$405&lt;=EOMONTH($AQ1239,0)))&gt;0)*(((職員マスタ!$H$6:$H$405="")+(職員マスタ!$H$6:$H$405&gt;=$AQ1239))&gt;0)*(ROW(職員マスタ!$A$6:$A$405)-5)))&gt;0,SUMPRODUCT(MAX((職員マスタ!$A$6:$A$405=$B1239)*(((職員マスタ!$G$6:$G$405="")+(職員マスタ!$G$6:$G$405&lt;=EOMONTH($AQ1239,0)))&gt;0)*(((職員マスタ!$H$6:$H$405="")+(職員マスタ!$H$6:$H$405&gt;=$AQ1239))&gt;0)*(ROW(職員マスタ!$A$6:$A$405)-5))),IFERROR(MATCH($B1239,職員マスタ!$A$6:$A$405,0),"")))</f>
        <v/>
      </c>
      <c r="AQ1239" s="16">
        <f>IF(OR($B1239="",$C1239="",$D1239=""),"",DATE($C1239+2018,$D1239,1))</f>
        <v/>
      </c>
    </row>
    <row r="1240">
      <c r="A1240" s="11" t="n"/>
      <c r="B1240" s="12" t="n"/>
      <c r="C1240" s="12" t="n"/>
      <c r="D1240" s="12" t="n"/>
      <c r="E1240" s="13" t="n"/>
      <c r="F1240" s="12" t="n"/>
      <c r="G1240" s="13" t="n"/>
      <c r="H1240" s="12" t="n"/>
      <c r="I1240" s="12" t="n"/>
      <c r="J1240" s="12" t="n"/>
      <c r="K1240" s="12" t="n"/>
      <c r="L1240" s="11" t="n"/>
      <c r="M1240" s="11" t="n"/>
      <c r="N1240" s="11" t="n"/>
      <c r="O1240" s="11" t="n"/>
      <c r="P1240" s="12" t="n"/>
      <c r="Q1240" s="11" t="n"/>
      <c r="R1240" s="12" t="n"/>
      <c r="S1240" s="11" t="n"/>
      <c r="T1240" s="12" t="n"/>
      <c r="U1240" s="12" t="n"/>
      <c r="V1240" s="12" t="n"/>
      <c r="W1240" s="13" t="n"/>
      <c r="X1240" s="14">
        <f>IF($AP1240="",IF($B1240="","",$H1240),IF(INDEX(職員マスタ!$B$6:$B$405,$AP1240)="",$H1240,INDEX(職員マスタ!$B$6:$B$405,$AP1240)))</f>
        <v/>
      </c>
      <c r="Y1240" s="14">
        <f>IF($AP1240="",IF($B1240="","",$R1240),IF(INDEX(職員マスタ!$C$6:$C$405,$AP1240)="",$R1240,INDEX(職員マスタ!$C$6:$C$405,$AP1240)))</f>
        <v/>
      </c>
      <c r="Z1240" s="14">
        <f>IF($AQ1240="","","R"&amp;$C1240&amp;"."&amp;$D1240)</f>
        <v/>
      </c>
      <c r="AA1240" s="15">
        <f>IF(IF($AP1240="",FALSE,INDEX(職員マスタ!$K$6:$K$405,$AP1240)&lt;&gt;""),INDEX(職員マスタ!$K$6:$K$405,$AP1240),IF(N($W1240)&gt;0,$W1240,""))</f>
        <v/>
      </c>
      <c r="AB1240" s="14">
        <f>IF(OR($E1240="",$AA1240=""),"",IF($E1240&gt;=$AA1240,"×",IF($E1240&gt;=$AA1240*設定!$C$5,"△","○")))</f>
        <v/>
      </c>
      <c r="AC1240" s="15">
        <f>IF($AB1240="","",IF($AB1240="×",0,IF($AB1240="○",ROUNDDOWN($E1240*設定!$C$4,0),ROUNDDOWN($E1240*ROUND((9*$AA1240-9*$E1240)/(10*$E1240),4),0))))</f>
        <v/>
      </c>
      <c r="AD1240" s="13" t="n"/>
      <c r="AE1240" s="15">
        <f>IF($B1240="","",IF($AD1240&lt;&gt;"",$AD1240,IF($AC1240="","",IF($AC1240&lt;=設定!$C$3,0,$AC1240))))</f>
        <v/>
      </c>
      <c r="AF1240" s="14">
        <f>IF($B1240="","",IF(AND($AG1240&lt;&gt;"",$AI1240="",$AL1240=""),"保留中",IF($AL1240&lt;&gt;"",IF(N($AE1240)&gt;0,"支給済","不支給"),IF($AE1240="","要確認",IF($AE1240=0,"不支給","未処理")))))</f>
        <v/>
      </c>
      <c r="AG1240" s="12" t="n"/>
      <c r="AH1240" s="11" t="n"/>
      <c r="AI1240" s="11" t="n"/>
      <c r="AJ1240" s="11" t="n"/>
      <c r="AK1240" s="14">
        <f>IF(AND($AF1240="保留中",$AH1240&lt;&gt;""),TODAY()-$AH1240,"")</f>
        <v/>
      </c>
      <c r="AL1240" s="12" t="n"/>
      <c r="AM1240" s="14">
        <f>IF($B1240="","",IF($AQ1240="","対象年月が未入力／","")&amp;IF($B1240="","",IF($AP1240="","職員マスタに未登録の職員番号／",IF($AA1240="","標準報酬月額が未登録／","")&amp;IF(AND($AQ1240&lt;&gt;"",OR(AND(INDEX(職員マスタ!$G$6:$G$405,$AP1240)&lt;&gt;"",INDEX(職員マスタ!$G$6:$G$405,$AP1240)&gt;EOMONTH($AQ1240,0)),AND(INDEX(職員マスタ!$H$6:$H$405,$AP1240)&lt;&gt;"",INDEX(職員マスタ!$H$6:$H$405,$AP1240)&lt;$AQ1240))),"対象月が時短期間外／","")&amp;IF(AND(INDEX(職員マスタ!$K$6:$K$405,$AP1240)&lt;&gt;"",N($W1240)&gt;0,INDEX(職員マスタ!$K$6:$K$405,$AP1240)&lt;&gt;$W1240),"標準報酬月額が申請書と相違（台帳"&amp;TEXT(INDEX(職員マスタ!$K$6:$K$405,$AP1240),"#,##0")&amp;"円／申請書"&amp;TEXT($W1240,"#,##0")&amp;"円）／","")&amp;IF(AND(INDEX(職員マスタ!$F$6:$F$405,$AP1240)&lt;&gt;"",$AQ1240&lt;&gt;"",INDEX(職員マスタ!$F$6:$F$405,$AP1240)&lt;$AQ1240),"対象月に子が2歳到達済／","")&amp;IF(AND($H1240&lt;&gt;"",INDEX(職員マスタ!$B$6:$B$405,$AP1240)&lt;&gt;"",SUBSTITUTE(SUBSTITUTE($H1240," ","")," ","")&lt;&gt;SUBSTITUTE(SUBSTITUTE(INDEX(職員マスタ!$B$6:$B$405,$AP1240)," ","")," ","")),"氏名がマスタと相違／","")&amp;IF(AND($Q1240&lt;&gt;"",INDEX(職員マスタ!$E$6:$E$405,$AP1240)&lt;&gt;"",$Q1240&lt;&gt;INDEX(職員マスタ!$E$6:$E$405,$AP1240)),"子の生年月日がマスタと相違／","")&amp;IF(AND($L1240&lt;&gt;"",INDEX(職員マスタ!$G$6:$G$405,$AP1240)&lt;&gt;"",$L1240&lt;&gt;INDEX(職員マスタ!$G$6:$G$405,$AP1240)),"時短開始日がマスタと相違／","")&amp;IF(AND($M1240&lt;&gt;"",INDEX(職員マスタ!$H$6:$H$405,$AP1240)&lt;&gt;"",$M1240&lt;&gt;INDEX(職員マスタ!$H$6:$H$405,$AP1240)),"時短終了日がマスタと相違／","")))&amp;IF(AND($B1240&lt;&gt;"",$E1240=""),"報酬額が未入力／","")&amp;IF(N($U1240)&gt;0,"申請書に入力エラーが残っています／","")&amp;IF(AND($B1240&lt;&gt;"",$AQ1240&lt;&gt;""),IF(COUNTIFS($B$6:$B$3005,$B1240,$C$6:$C$3005,$C1240,$D$6:$D$3005,$D1240)&gt;1,"同じ月の請求が重複しています／",""),"")&amp;IF(AND(N($E1240)&gt;0,$AB1240&lt;&gt;"",$AB1240&lt;&gt;"×",$AE1240=0,$AD1240=""),"計算額が下限以下のため不支給／",""))</f>
        <v/>
      </c>
      <c r="AN1240" s="12" t="n"/>
      <c r="AO1240" s="14">
        <f>IF($AF1240="保留中",COUNTIF($AF$6:$AF1240,"保留中"),"")</f>
        <v/>
      </c>
      <c r="AP1240" s="14">
        <f>IF($AQ1240="","",IF(SUMPRODUCT(MAX((職員マスタ!$A$6:$A$405=$B1240)*(((職員マスタ!$G$6:$G$405="")+(職員マスタ!$G$6:$G$405&lt;=EOMONTH($AQ1240,0)))&gt;0)*(((職員マスタ!$H$6:$H$405="")+(職員マスタ!$H$6:$H$405&gt;=$AQ1240))&gt;0)*(ROW(職員マスタ!$A$6:$A$405)-5)))&gt;0,SUMPRODUCT(MAX((職員マスタ!$A$6:$A$405=$B1240)*(((職員マスタ!$G$6:$G$405="")+(職員マスタ!$G$6:$G$405&lt;=EOMONTH($AQ1240,0)))&gt;0)*(((職員マスタ!$H$6:$H$405="")+(職員マスタ!$H$6:$H$405&gt;=$AQ1240))&gt;0)*(ROW(職員マスタ!$A$6:$A$405)-5))),IFERROR(MATCH($B1240,職員マスタ!$A$6:$A$405,0),"")))</f>
        <v/>
      </c>
      <c r="AQ1240" s="16">
        <f>IF(OR($B1240="",$C1240="",$D1240=""),"",DATE($C1240+2018,$D1240,1))</f>
        <v/>
      </c>
    </row>
    <row r="1241">
      <c r="A1241" s="11" t="n"/>
      <c r="B1241" s="12" t="n"/>
      <c r="C1241" s="12" t="n"/>
      <c r="D1241" s="12" t="n"/>
      <c r="E1241" s="13" t="n"/>
      <c r="F1241" s="12" t="n"/>
      <c r="G1241" s="13" t="n"/>
      <c r="H1241" s="12" t="n"/>
      <c r="I1241" s="12" t="n"/>
      <c r="J1241" s="12" t="n"/>
      <c r="K1241" s="12" t="n"/>
      <c r="L1241" s="11" t="n"/>
      <c r="M1241" s="11" t="n"/>
      <c r="N1241" s="11" t="n"/>
      <c r="O1241" s="11" t="n"/>
      <c r="P1241" s="12" t="n"/>
      <c r="Q1241" s="11" t="n"/>
      <c r="R1241" s="12" t="n"/>
      <c r="S1241" s="11" t="n"/>
      <c r="T1241" s="12" t="n"/>
      <c r="U1241" s="12" t="n"/>
      <c r="V1241" s="12" t="n"/>
      <c r="W1241" s="13" t="n"/>
      <c r="X1241" s="14">
        <f>IF($AP1241="",IF($B1241="","",$H1241),IF(INDEX(職員マスタ!$B$6:$B$405,$AP1241)="",$H1241,INDEX(職員マスタ!$B$6:$B$405,$AP1241)))</f>
        <v/>
      </c>
      <c r="Y1241" s="14">
        <f>IF($AP1241="",IF($B1241="","",$R1241),IF(INDEX(職員マスタ!$C$6:$C$405,$AP1241)="",$R1241,INDEX(職員マスタ!$C$6:$C$405,$AP1241)))</f>
        <v/>
      </c>
      <c r="Z1241" s="14">
        <f>IF($AQ1241="","","R"&amp;$C1241&amp;"."&amp;$D1241)</f>
        <v/>
      </c>
      <c r="AA1241" s="15">
        <f>IF(IF($AP1241="",FALSE,INDEX(職員マスタ!$K$6:$K$405,$AP1241)&lt;&gt;""),INDEX(職員マスタ!$K$6:$K$405,$AP1241),IF(N($W1241)&gt;0,$W1241,""))</f>
        <v/>
      </c>
      <c r="AB1241" s="14">
        <f>IF(OR($E1241="",$AA1241=""),"",IF($E1241&gt;=$AA1241,"×",IF($E1241&gt;=$AA1241*設定!$C$5,"△","○")))</f>
        <v/>
      </c>
      <c r="AC1241" s="15">
        <f>IF($AB1241="","",IF($AB1241="×",0,IF($AB1241="○",ROUNDDOWN($E1241*設定!$C$4,0),ROUNDDOWN($E1241*ROUND((9*$AA1241-9*$E1241)/(10*$E1241),4),0))))</f>
        <v/>
      </c>
      <c r="AD1241" s="13" t="n"/>
      <c r="AE1241" s="15">
        <f>IF($B1241="","",IF($AD1241&lt;&gt;"",$AD1241,IF($AC1241="","",IF($AC1241&lt;=設定!$C$3,0,$AC1241))))</f>
        <v/>
      </c>
      <c r="AF1241" s="14">
        <f>IF($B1241="","",IF(AND($AG1241&lt;&gt;"",$AI1241="",$AL1241=""),"保留中",IF($AL1241&lt;&gt;"",IF(N($AE1241)&gt;0,"支給済","不支給"),IF($AE1241="","要確認",IF($AE1241=0,"不支給","未処理")))))</f>
        <v/>
      </c>
      <c r="AG1241" s="12" t="n"/>
      <c r="AH1241" s="11" t="n"/>
      <c r="AI1241" s="11" t="n"/>
      <c r="AJ1241" s="11" t="n"/>
      <c r="AK1241" s="14">
        <f>IF(AND($AF1241="保留中",$AH1241&lt;&gt;""),TODAY()-$AH1241,"")</f>
        <v/>
      </c>
      <c r="AL1241" s="12" t="n"/>
      <c r="AM1241" s="14">
        <f>IF($B1241="","",IF($AQ1241="","対象年月が未入力／","")&amp;IF($B1241="","",IF($AP1241="","職員マスタに未登録の職員番号／",IF($AA1241="","標準報酬月額が未登録／","")&amp;IF(AND($AQ1241&lt;&gt;"",OR(AND(INDEX(職員マスタ!$G$6:$G$405,$AP1241)&lt;&gt;"",INDEX(職員マスタ!$G$6:$G$405,$AP1241)&gt;EOMONTH($AQ1241,0)),AND(INDEX(職員マスタ!$H$6:$H$405,$AP1241)&lt;&gt;"",INDEX(職員マスタ!$H$6:$H$405,$AP1241)&lt;$AQ1241))),"対象月が時短期間外／","")&amp;IF(AND(INDEX(職員マスタ!$K$6:$K$405,$AP1241)&lt;&gt;"",N($W1241)&gt;0,INDEX(職員マスタ!$K$6:$K$405,$AP1241)&lt;&gt;$W1241),"標準報酬月額が申請書と相違（台帳"&amp;TEXT(INDEX(職員マスタ!$K$6:$K$405,$AP1241),"#,##0")&amp;"円／申請書"&amp;TEXT($W1241,"#,##0")&amp;"円）／","")&amp;IF(AND(INDEX(職員マスタ!$F$6:$F$405,$AP1241)&lt;&gt;"",$AQ1241&lt;&gt;"",INDEX(職員マスタ!$F$6:$F$405,$AP1241)&lt;$AQ1241),"対象月に子が2歳到達済／","")&amp;IF(AND($H1241&lt;&gt;"",INDEX(職員マスタ!$B$6:$B$405,$AP1241)&lt;&gt;"",SUBSTITUTE(SUBSTITUTE($H1241," ","")," ","")&lt;&gt;SUBSTITUTE(SUBSTITUTE(INDEX(職員マスタ!$B$6:$B$405,$AP1241)," ","")," ","")),"氏名がマスタと相違／","")&amp;IF(AND($Q1241&lt;&gt;"",INDEX(職員マスタ!$E$6:$E$405,$AP1241)&lt;&gt;"",$Q1241&lt;&gt;INDEX(職員マスタ!$E$6:$E$405,$AP1241)),"子の生年月日がマスタと相違／","")&amp;IF(AND($L1241&lt;&gt;"",INDEX(職員マスタ!$G$6:$G$405,$AP1241)&lt;&gt;"",$L1241&lt;&gt;INDEX(職員マスタ!$G$6:$G$405,$AP1241)),"時短開始日がマスタと相違／","")&amp;IF(AND($M1241&lt;&gt;"",INDEX(職員マスタ!$H$6:$H$405,$AP1241)&lt;&gt;"",$M1241&lt;&gt;INDEX(職員マスタ!$H$6:$H$405,$AP1241)),"時短終了日がマスタと相違／","")))&amp;IF(AND($B1241&lt;&gt;"",$E1241=""),"報酬額が未入力／","")&amp;IF(N($U1241)&gt;0,"申請書に入力エラーが残っています／","")&amp;IF(AND($B1241&lt;&gt;"",$AQ1241&lt;&gt;""),IF(COUNTIFS($B$6:$B$3005,$B1241,$C$6:$C$3005,$C1241,$D$6:$D$3005,$D1241)&gt;1,"同じ月の請求が重複しています／",""),"")&amp;IF(AND(N($E1241)&gt;0,$AB1241&lt;&gt;"",$AB1241&lt;&gt;"×",$AE1241=0,$AD1241=""),"計算額が下限以下のため不支給／",""))</f>
        <v/>
      </c>
      <c r="AN1241" s="12" t="n"/>
      <c r="AO1241" s="14">
        <f>IF($AF1241="保留中",COUNTIF($AF$6:$AF1241,"保留中"),"")</f>
        <v/>
      </c>
      <c r="AP1241" s="14">
        <f>IF($AQ1241="","",IF(SUMPRODUCT(MAX((職員マスタ!$A$6:$A$405=$B1241)*(((職員マスタ!$G$6:$G$405="")+(職員マスタ!$G$6:$G$405&lt;=EOMONTH($AQ1241,0)))&gt;0)*(((職員マスタ!$H$6:$H$405="")+(職員マスタ!$H$6:$H$405&gt;=$AQ1241))&gt;0)*(ROW(職員マスタ!$A$6:$A$405)-5)))&gt;0,SUMPRODUCT(MAX((職員マスタ!$A$6:$A$405=$B1241)*(((職員マスタ!$G$6:$G$405="")+(職員マスタ!$G$6:$G$405&lt;=EOMONTH($AQ1241,0)))&gt;0)*(((職員マスタ!$H$6:$H$405="")+(職員マスタ!$H$6:$H$405&gt;=$AQ1241))&gt;0)*(ROW(職員マスタ!$A$6:$A$405)-5))),IFERROR(MATCH($B1241,職員マスタ!$A$6:$A$405,0),"")))</f>
        <v/>
      </c>
      <c r="AQ1241" s="16">
        <f>IF(OR($B1241="",$C1241="",$D1241=""),"",DATE($C1241+2018,$D1241,1))</f>
        <v/>
      </c>
    </row>
    <row r="1242">
      <c r="A1242" s="11" t="n"/>
      <c r="B1242" s="12" t="n"/>
      <c r="C1242" s="12" t="n"/>
      <c r="D1242" s="12" t="n"/>
      <c r="E1242" s="13" t="n"/>
      <c r="F1242" s="12" t="n"/>
      <c r="G1242" s="13" t="n"/>
      <c r="H1242" s="12" t="n"/>
      <c r="I1242" s="12" t="n"/>
      <c r="J1242" s="12" t="n"/>
      <c r="K1242" s="12" t="n"/>
      <c r="L1242" s="11" t="n"/>
      <c r="M1242" s="11" t="n"/>
      <c r="N1242" s="11" t="n"/>
      <c r="O1242" s="11" t="n"/>
      <c r="P1242" s="12" t="n"/>
      <c r="Q1242" s="11" t="n"/>
      <c r="R1242" s="12" t="n"/>
      <c r="S1242" s="11" t="n"/>
      <c r="T1242" s="12" t="n"/>
      <c r="U1242" s="12" t="n"/>
      <c r="V1242" s="12" t="n"/>
      <c r="W1242" s="13" t="n"/>
      <c r="X1242" s="14">
        <f>IF($AP1242="",IF($B1242="","",$H1242),IF(INDEX(職員マスタ!$B$6:$B$405,$AP1242)="",$H1242,INDEX(職員マスタ!$B$6:$B$405,$AP1242)))</f>
        <v/>
      </c>
      <c r="Y1242" s="14">
        <f>IF($AP1242="",IF($B1242="","",$R1242),IF(INDEX(職員マスタ!$C$6:$C$405,$AP1242)="",$R1242,INDEX(職員マスタ!$C$6:$C$405,$AP1242)))</f>
        <v/>
      </c>
      <c r="Z1242" s="14">
        <f>IF($AQ1242="","","R"&amp;$C1242&amp;"."&amp;$D1242)</f>
        <v/>
      </c>
      <c r="AA1242" s="15">
        <f>IF(IF($AP1242="",FALSE,INDEX(職員マスタ!$K$6:$K$405,$AP1242)&lt;&gt;""),INDEX(職員マスタ!$K$6:$K$405,$AP1242),IF(N($W1242)&gt;0,$W1242,""))</f>
        <v/>
      </c>
      <c r="AB1242" s="14">
        <f>IF(OR($E1242="",$AA1242=""),"",IF($E1242&gt;=$AA1242,"×",IF($E1242&gt;=$AA1242*設定!$C$5,"△","○")))</f>
        <v/>
      </c>
      <c r="AC1242" s="15">
        <f>IF($AB1242="","",IF($AB1242="×",0,IF($AB1242="○",ROUNDDOWN($E1242*設定!$C$4,0),ROUNDDOWN($E1242*ROUND((9*$AA1242-9*$E1242)/(10*$E1242),4),0))))</f>
        <v/>
      </c>
      <c r="AD1242" s="13" t="n"/>
      <c r="AE1242" s="15">
        <f>IF($B1242="","",IF($AD1242&lt;&gt;"",$AD1242,IF($AC1242="","",IF($AC1242&lt;=設定!$C$3,0,$AC1242))))</f>
        <v/>
      </c>
      <c r="AF1242" s="14">
        <f>IF($B1242="","",IF(AND($AG1242&lt;&gt;"",$AI1242="",$AL1242=""),"保留中",IF($AL1242&lt;&gt;"",IF(N($AE1242)&gt;0,"支給済","不支給"),IF($AE1242="","要確認",IF($AE1242=0,"不支給","未処理")))))</f>
        <v/>
      </c>
      <c r="AG1242" s="12" t="n"/>
      <c r="AH1242" s="11" t="n"/>
      <c r="AI1242" s="11" t="n"/>
      <c r="AJ1242" s="11" t="n"/>
      <c r="AK1242" s="14">
        <f>IF(AND($AF1242="保留中",$AH1242&lt;&gt;""),TODAY()-$AH1242,"")</f>
        <v/>
      </c>
      <c r="AL1242" s="12" t="n"/>
      <c r="AM1242" s="14">
        <f>IF($B1242="","",IF($AQ1242="","対象年月が未入力／","")&amp;IF($B1242="","",IF($AP1242="","職員マスタに未登録の職員番号／",IF($AA1242="","標準報酬月額が未登録／","")&amp;IF(AND($AQ1242&lt;&gt;"",OR(AND(INDEX(職員マスタ!$G$6:$G$405,$AP1242)&lt;&gt;"",INDEX(職員マスタ!$G$6:$G$405,$AP1242)&gt;EOMONTH($AQ1242,0)),AND(INDEX(職員マスタ!$H$6:$H$405,$AP1242)&lt;&gt;"",INDEX(職員マスタ!$H$6:$H$405,$AP1242)&lt;$AQ1242))),"対象月が時短期間外／","")&amp;IF(AND(INDEX(職員マスタ!$K$6:$K$405,$AP1242)&lt;&gt;"",N($W1242)&gt;0,INDEX(職員マスタ!$K$6:$K$405,$AP1242)&lt;&gt;$W1242),"標準報酬月額が申請書と相違（台帳"&amp;TEXT(INDEX(職員マスタ!$K$6:$K$405,$AP1242),"#,##0")&amp;"円／申請書"&amp;TEXT($W1242,"#,##0")&amp;"円）／","")&amp;IF(AND(INDEX(職員マスタ!$F$6:$F$405,$AP1242)&lt;&gt;"",$AQ1242&lt;&gt;"",INDEX(職員マスタ!$F$6:$F$405,$AP1242)&lt;$AQ1242),"対象月に子が2歳到達済／","")&amp;IF(AND($H1242&lt;&gt;"",INDEX(職員マスタ!$B$6:$B$405,$AP1242)&lt;&gt;"",SUBSTITUTE(SUBSTITUTE($H1242," ","")," ","")&lt;&gt;SUBSTITUTE(SUBSTITUTE(INDEX(職員マスタ!$B$6:$B$405,$AP1242)," ","")," ","")),"氏名がマスタと相違／","")&amp;IF(AND($Q1242&lt;&gt;"",INDEX(職員マスタ!$E$6:$E$405,$AP1242)&lt;&gt;"",$Q1242&lt;&gt;INDEX(職員マスタ!$E$6:$E$405,$AP1242)),"子の生年月日がマスタと相違／","")&amp;IF(AND($L1242&lt;&gt;"",INDEX(職員マスタ!$G$6:$G$405,$AP1242)&lt;&gt;"",$L1242&lt;&gt;INDEX(職員マスタ!$G$6:$G$405,$AP1242)),"時短開始日がマスタと相違／","")&amp;IF(AND($M1242&lt;&gt;"",INDEX(職員マスタ!$H$6:$H$405,$AP1242)&lt;&gt;"",$M1242&lt;&gt;INDEX(職員マスタ!$H$6:$H$405,$AP1242)),"時短終了日がマスタと相違／","")))&amp;IF(AND($B1242&lt;&gt;"",$E1242=""),"報酬額が未入力／","")&amp;IF(N($U1242)&gt;0,"申請書に入力エラーが残っています／","")&amp;IF(AND($B1242&lt;&gt;"",$AQ1242&lt;&gt;""),IF(COUNTIFS($B$6:$B$3005,$B1242,$C$6:$C$3005,$C1242,$D$6:$D$3005,$D1242)&gt;1,"同じ月の請求が重複しています／",""),"")&amp;IF(AND(N($E1242)&gt;0,$AB1242&lt;&gt;"",$AB1242&lt;&gt;"×",$AE1242=0,$AD1242=""),"計算額が下限以下のため不支給／",""))</f>
        <v/>
      </c>
      <c r="AN1242" s="12" t="n"/>
      <c r="AO1242" s="14">
        <f>IF($AF1242="保留中",COUNTIF($AF$6:$AF1242,"保留中"),"")</f>
        <v/>
      </c>
      <c r="AP1242" s="14">
        <f>IF($AQ1242="","",IF(SUMPRODUCT(MAX((職員マスタ!$A$6:$A$405=$B1242)*(((職員マスタ!$G$6:$G$405="")+(職員マスタ!$G$6:$G$405&lt;=EOMONTH($AQ1242,0)))&gt;0)*(((職員マスタ!$H$6:$H$405="")+(職員マスタ!$H$6:$H$405&gt;=$AQ1242))&gt;0)*(ROW(職員マスタ!$A$6:$A$405)-5)))&gt;0,SUMPRODUCT(MAX((職員マスタ!$A$6:$A$405=$B1242)*(((職員マスタ!$G$6:$G$405="")+(職員マスタ!$G$6:$G$405&lt;=EOMONTH($AQ1242,0)))&gt;0)*(((職員マスタ!$H$6:$H$405="")+(職員マスタ!$H$6:$H$405&gt;=$AQ1242))&gt;0)*(ROW(職員マスタ!$A$6:$A$405)-5))),IFERROR(MATCH($B1242,職員マスタ!$A$6:$A$405,0),"")))</f>
        <v/>
      </c>
      <c r="AQ1242" s="16">
        <f>IF(OR($B1242="",$C1242="",$D1242=""),"",DATE($C1242+2018,$D1242,1))</f>
        <v/>
      </c>
    </row>
    <row r="1243">
      <c r="A1243" s="11" t="n"/>
      <c r="B1243" s="12" t="n"/>
      <c r="C1243" s="12" t="n"/>
      <c r="D1243" s="12" t="n"/>
      <c r="E1243" s="13" t="n"/>
      <c r="F1243" s="12" t="n"/>
      <c r="G1243" s="13" t="n"/>
      <c r="H1243" s="12" t="n"/>
      <c r="I1243" s="12" t="n"/>
      <c r="J1243" s="12" t="n"/>
      <c r="K1243" s="12" t="n"/>
      <c r="L1243" s="11" t="n"/>
      <c r="M1243" s="11" t="n"/>
      <c r="N1243" s="11" t="n"/>
      <c r="O1243" s="11" t="n"/>
      <c r="P1243" s="12" t="n"/>
      <c r="Q1243" s="11" t="n"/>
      <c r="R1243" s="12" t="n"/>
      <c r="S1243" s="11" t="n"/>
      <c r="T1243" s="12" t="n"/>
      <c r="U1243" s="12" t="n"/>
      <c r="V1243" s="12" t="n"/>
      <c r="W1243" s="13" t="n"/>
      <c r="X1243" s="14">
        <f>IF($AP1243="",IF($B1243="","",$H1243),IF(INDEX(職員マスタ!$B$6:$B$405,$AP1243)="",$H1243,INDEX(職員マスタ!$B$6:$B$405,$AP1243)))</f>
        <v/>
      </c>
      <c r="Y1243" s="14">
        <f>IF($AP1243="",IF($B1243="","",$R1243),IF(INDEX(職員マスタ!$C$6:$C$405,$AP1243)="",$R1243,INDEX(職員マスタ!$C$6:$C$405,$AP1243)))</f>
        <v/>
      </c>
      <c r="Z1243" s="14">
        <f>IF($AQ1243="","","R"&amp;$C1243&amp;"."&amp;$D1243)</f>
        <v/>
      </c>
      <c r="AA1243" s="15">
        <f>IF(IF($AP1243="",FALSE,INDEX(職員マスタ!$K$6:$K$405,$AP1243)&lt;&gt;""),INDEX(職員マスタ!$K$6:$K$405,$AP1243),IF(N($W1243)&gt;0,$W1243,""))</f>
        <v/>
      </c>
      <c r="AB1243" s="14">
        <f>IF(OR($E1243="",$AA1243=""),"",IF($E1243&gt;=$AA1243,"×",IF($E1243&gt;=$AA1243*設定!$C$5,"△","○")))</f>
        <v/>
      </c>
      <c r="AC1243" s="15">
        <f>IF($AB1243="","",IF($AB1243="×",0,IF($AB1243="○",ROUNDDOWN($E1243*設定!$C$4,0),ROUNDDOWN($E1243*ROUND((9*$AA1243-9*$E1243)/(10*$E1243),4),0))))</f>
        <v/>
      </c>
      <c r="AD1243" s="13" t="n"/>
      <c r="AE1243" s="15">
        <f>IF($B1243="","",IF($AD1243&lt;&gt;"",$AD1243,IF($AC1243="","",IF($AC1243&lt;=設定!$C$3,0,$AC1243))))</f>
        <v/>
      </c>
      <c r="AF1243" s="14">
        <f>IF($B1243="","",IF(AND($AG1243&lt;&gt;"",$AI1243="",$AL1243=""),"保留中",IF($AL1243&lt;&gt;"",IF(N($AE1243)&gt;0,"支給済","不支給"),IF($AE1243="","要確認",IF($AE1243=0,"不支給","未処理")))))</f>
        <v/>
      </c>
      <c r="AG1243" s="12" t="n"/>
      <c r="AH1243" s="11" t="n"/>
      <c r="AI1243" s="11" t="n"/>
      <c r="AJ1243" s="11" t="n"/>
      <c r="AK1243" s="14">
        <f>IF(AND($AF1243="保留中",$AH1243&lt;&gt;""),TODAY()-$AH1243,"")</f>
        <v/>
      </c>
      <c r="AL1243" s="12" t="n"/>
      <c r="AM1243" s="14">
        <f>IF($B1243="","",IF($AQ1243="","対象年月が未入力／","")&amp;IF($B1243="","",IF($AP1243="","職員マスタに未登録の職員番号／",IF($AA1243="","標準報酬月額が未登録／","")&amp;IF(AND($AQ1243&lt;&gt;"",OR(AND(INDEX(職員マスタ!$G$6:$G$405,$AP1243)&lt;&gt;"",INDEX(職員マスタ!$G$6:$G$405,$AP1243)&gt;EOMONTH($AQ1243,0)),AND(INDEX(職員マスタ!$H$6:$H$405,$AP1243)&lt;&gt;"",INDEX(職員マスタ!$H$6:$H$405,$AP1243)&lt;$AQ1243))),"対象月が時短期間外／","")&amp;IF(AND(INDEX(職員マスタ!$K$6:$K$405,$AP1243)&lt;&gt;"",N($W1243)&gt;0,INDEX(職員マスタ!$K$6:$K$405,$AP1243)&lt;&gt;$W1243),"標準報酬月額が申請書と相違（台帳"&amp;TEXT(INDEX(職員マスタ!$K$6:$K$405,$AP1243),"#,##0")&amp;"円／申請書"&amp;TEXT($W1243,"#,##0")&amp;"円）／","")&amp;IF(AND(INDEX(職員マスタ!$F$6:$F$405,$AP1243)&lt;&gt;"",$AQ1243&lt;&gt;"",INDEX(職員マスタ!$F$6:$F$405,$AP1243)&lt;$AQ1243),"対象月に子が2歳到達済／","")&amp;IF(AND($H1243&lt;&gt;"",INDEX(職員マスタ!$B$6:$B$405,$AP1243)&lt;&gt;"",SUBSTITUTE(SUBSTITUTE($H1243," ","")," ","")&lt;&gt;SUBSTITUTE(SUBSTITUTE(INDEX(職員マスタ!$B$6:$B$405,$AP1243)," ","")," ","")),"氏名がマスタと相違／","")&amp;IF(AND($Q1243&lt;&gt;"",INDEX(職員マスタ!$E$6:$E$405,$AP1243)&lt;&gt;"",$Q1243&lt;&gt;INDEX(職員マスタ!$E$6:$E$405,$AP1243)),"子の生年月日がマスタと相違／","")&amp;IF(AND($L1243&lt;&gt;"",INDEX(職員マスタ!$G$6:$G$405,$AP1243)&lt;&gt;"",$L1243&lt;&gt;INDEX(職員マスタ!$G$6:$G$405,$AP1243)),"時短開始日がマスタと相違／","")&amp;IF(AND($M1243&lt;&gt;"",INDEX(職員マスタ!$H$6:$H$405,$AP1243)&lt;&gt;"",$M1243&lt;&gt;INDEX(職員マスタ!$H$6:$H$405,$AP1243)),"時短終了日がマスタと相違／","")))&amp;IF(AND($B1243&lt;&gt;"",$E1243=""),"報酬額が未入力／","")&amp;IF(N($U1243)&gt;0,"申請書に入力エラーが残っています／","")&amp;IF(AND($B1243&lt;&gt;"",$AQ1243&lt;&gt;""),IF(COUNTIFS($B$6:$B$3005,$B1243,$C$6:$C$3005,$C1243,$D$6:$D$3005,$D1243)&gt;1,"同じ月の請求が重複しています／",""),"")&amp;IF(AND(N($E1243)&gt;0,$AB1243&lt;&gt;"",$AB1243&lt;&gt;"×",$AE1243=0,$AD1243=""),"計算額が下限以下のため不支給／",""))</f>
        <v/>
      </c>
      <c r="AN1243" s="12" t="n"/>
      <c r="AO1243" s="14">
        <f>IF($AF1243="保留中",COUNTIF($AF$6:$AF1243,"保留中"),"")</f>
        <v/>
      </c>
      <c r="AP1243" s="14">
        <f>IF($AQ1243="","",IF(SUMPRODUCT(MAX((職員マスタ!$A$6:$A$405=$B1243)*(((職員マスタ!$G$6:$G$405="")+(職員マスタ!$G$6:$G$405&lt;=EOMONTH($AQ1243,0)))&gt;0)*(((職員マスタ!$H$6:$H$405="")+(職員マスタ!$H$6:$H$405&gt;=$AQ1243))&gt;0)*(ROW(職員マスタ!$A$6:$A$405)-5)))&gt;0,SUMPRODUCT(MAX((職員マスタ!$A$6:$A$405=$B1243)*(((職員マスタ!$G$6:$G$405="")+(職員マスタ!$G$6:$G$405&lt;=EOMONTH($AQ1243,0)))&gt;0)*(((職員マスタ!$H$6:$H$405="")+(職員マスタ!$H$6:$H$405&gt;=$AQ1243))&gt;0)*(ROW(職員マスタ!$A$6:$A$405)-5))),IFERROR(MATCH($B1243,職員マスタ!$A$6:$A$405,0),"")))</f>
        <v/>
      </c>
      <c r="AQ1243" s="16">
        <f>IF(OR($B1243="",$C1243="",$D1243=""),"",DATE($C1243+2018,$D1243,1))</f>
        <v/>
      </c>
    </row>
    <row r="1244">
      <c r="A1244" s="11" t="n"/>
      <c r="B1244" s="12" t="n"/>
      <c r="C1244" s="12" t="n"/>
      <c r="D1244" s="12" t="n"/>
      <c r="E1244" s="13" t="n"/>
      <c r="F1244" s="12" t="n"/>
      <c r="G1244" s="13" t="n"/>
      <c r="H1244" s="12" t="n"/>
      <c r="I1244" s="12" t="n"/>
      <c r="J1244" s="12" t="n"/>
      <c r="K1244" s="12" t="n"/>
      <c r="L1244" s="11" t="n"/>
      <c r="M1244" s="11" t="n"/>
      <c r="N1244" s="11" t="n"/>
      <c r="O1244" s="11" t="n"/>
      <c r="P1244" s="12" t="n"/>
      <c r="Q1244" s="11" t="n"/>
      <c r="R1244" s="12" t="n"/>
      <c r="S1244" s="11" t="n"/>
      <c r="T1244" s="12" t="n"/>
      <c r="U1244" s="12" t="n"/>
      <c r="V1244" s="12" t="n"/>
      <c r="W1244" s="13" t="n"/>
      <c r="X1244" s="14">
        <f>IF($AP1244="",IF($B1244="","",$H1244),IF(INDEX(職員マスタ!$B$6:$B$405,$AP1244)="",$H1244,INDEX(職員マスタ!$B$6:$B$405,$AP1244)))</f>
        <v/>
      </c>
      <c r="Y1244" s="14">
        <f>IF($AP1244="",IF($B1244="","",$R1244),IF(INDEX(職員マスタ!$C$6:$C$405,$AP1244)="",$R1244,INDEX(職員マスタ!$C$6:$C$405,$AP1244)))</f>
        <v/>
      </c>
      <c r="Z1244" s="14">
        <f>IF($AQ1244="","","R"&amp;$C1244&amp;"."&amp;$D1244)</f>
        <v/>
      </c>
      <c r="AA1244" s="15">
        <f>IF(IF($AP1244="",FALSE,INDEX(職員マスタ!$K$6:$K$405,$AP1244)&lt;&gt;""),INDEX(職員マスタ!$K$6:$K$405,$AP1244),IF(N($W1244)&gt;0,$W1244,""))</f>
        <v/>
      </c>
      <c r="AB1244" s="14">
        <f>IF(OR($E1244="",$AA1244=""),"",IF($E1244&gt;=$AA1244,"×",IF($E1244&gt;=$AA1244*設定!$C$5,"△","○")))</f>
        <v/>
      </c>
      <c r="AC1244" s="15">
        <f>IF($AB1244="","",IF($AB1244="×",0,IF($AB1244="○",ROUNDDOWN($E1244*設定!$C$4,0),ROUNDDOWN($E1244*ROUND((9*$AA1244-9*$E1244)/(10*$E1244),4),0))))</f>
        <v/>
      </c>
      <c r="AD1244" s="13" t="n"/>
      <c r="AE1244" s="15">
        <f>IF($B1244="","",IF($AD1244&lt;&gt;"",$AD1244,IF($AC1244="","",IF($AC1244&lt;=設定!$C$3,0,$AC1244))))</f>
        <v/>
      </c>
      <c r="AF1244" s="14">
        <f>IF($B1244="","",IF(AND($AG1244&lt;&gt;"",$AI1244="",$AL1244=""),"保留中",IF($AL1244&lt;&gt;"",IF(N($AE1244)&gt;0,"支給済","不支給"),IF($AE1244="","要確認",IF($AE1244=0,"不支給","未処理")))))</f>
        <v/>
      </c>
      <c r="AG1244" s="12" t="n"/>
      <c r="AH1244" s="11" t="n"/>
      <c r="AI1244" s="11" t="n"/>
      <c r="AJ1244" s="11" t="n"/>
      <c r="AK1244" s="14">
        <f>IF(AND($AF1244="保留中",$AH1244&lt;&gt;""),TODAY()-$AH1244,"")</f>
        <v/>
      </c>
      <c r="AL1244" s="12" t="n"/>
      <c r="AM1244" s="14">
        <f>IF($B1244="","",IF($AQ1244="","対象年月が未入力／","")&amp;IF($B1244="","",IF($AP1244="","職員マスタに未登録の職員番号／",IF($AA1244="","標準報酬月額が未登録／","")&amp;IF(AND($AQ1244&lt;&gt;"",OR(AND(INDEX(職員マスタ!$G$6:$G$405,$AP1244)&lt;&gt;"",INDEX(職員マスタ!$G$6:$G$405,$AP1244)&gt;EOMONTH($AQ1244,0)),AND(INDEX(職員マスタ!$H$6:$H$405,$AP1244)&lt;&gt;"",INDEX(職員マスタ!$H$6:$H$405,$AP1244)&lt;$AQ1244))),"対象月が時短期間外／","")&amp;IF(AND(INDEX(職員マスタ!$K$6:$K$405,$AP1244)&lt;&gt;"",N($W1244)&gt;0,INDEX(職員マスタ!$K$6:$K$405,$AP1244)&lt;&gt;$W1244),"標準報酬月額が申請書と相違（台帳"&amp;TEXT(INDEX(職員マスタ!$K$6:$K$405,$AP1244),"#,##0")&amp;"円／申請書"&amp;TEXT($W1244,"#,##0")&amp;"円）／","")&amp;IF(AND(INDEX(職員マスタ!$F$6:$F$405,$AP1244)&lt;&gt;"",$AQ1244&lt;&gt;"",INDEX(職員マスタ!$F$6:$F$405,$AP1244)&lt;$AQ1244),"対象月に子が2歳到達済／","")&amp;IF(AND($H1244&lt;&gt;"",INDEX(職員マスタ!$B$6:$B$405,$AP1244)&lt;&gt;"",SUBSTITUTE(SUBSTITUTE($H1244," ","")," ","")&lt;&gt;SUBSTITUTE(SUBSTITUTE(INDEX(職員マスタ!$B$6:$B$405,$AP1244)," ","")," ","")),"氏名がマスタと相違／","")&amp;IF(AND($Q1244&lt;&gt;"",INDEX(職員マスタ!$E$6:$E$405,$AP1244)&lt;&gt;"",$Q1244&lt;&gt;INDEX(職員マスタ!$E$6:$E$405,$AP1244)),"子の生年月日がマスタと相違／","")&amp;IF(AND($L1244&lt;&gt;"",INDEX(職員マスタ!$G$6:$G$405,$AP1244)&lt;&gt;"",$L1244&lt;&gt;INDEX(職員マスタ!$G$6:$G$405,$AP1244)),"時短開始日がマスタと相違／","")&amp;IF(AND($M1244&lt;&gt;"",INDEX(職員マスタ!$H$6:$H$405,$AP1244)&lt;&gt;"",$M1244&lt;&gt;INDEX(職員マスタ!$H$6:$H$405,$AP1244)),"時短終了日がマスタと相違／","")))&amp;IF(AND($B1244&lt;&gt;"",$E1244=""),"報酬額が未入力／","")&amp;IF(N($U1244)&gt;0,"申請書に入力エラーが残っています／","")&amp;IF(AND($B1244&lt;&gt;"",$AQ1244&lt;&gt;""),IF(COUNTIFS($B$6:$B$3005,$B1244,$C$6:$C$3005,$C1244,$D$6:$D$3005,$D1244)&gt;1,"同じ月の請求が重複しています／",""),"")&amp;IF(AND(N($E1244)&gt;0,$AB1244&lt;&gt;"",$AB1244&lt;&gt;"×",$AE1244=0,$AD1244=""),"計算額が下限以下のため不支給／",""))</f>
        <v/>
      </c>
      <c r="AN1244" s="12" t="n"/>
      <c r="AO1244" s="14">
        <f>IF($AF1244="保留中",COUNTIF($AF$6:$AF1244,"保留中"),"")</f>
        <v/>
      </c>
      <c r="AP1244" s="14">
        <f>IF($AQ1244="","",IF(SUMPRODUCT(MAX((職員マスタ!$A$6:$A$405=$B1244)*(((職員マスタ!$G$6:$G$405="")+(職員マスタ!$G$6:$G$405&lt;=EOMONTH($AQ1244,0)))&gt;0)*(((職員マスタ!$H$6:$H$405="")+(職員マスタ!$H$6:$H$405&gt;=$AQ1244))&gt;0)*(ROW(職員マスタ!$A$6:$A$405)-5)))&gt;0,SUMPRODUCT(MAX((職員マスタ!$A$6:$A$405=$B1244)*(((職員マスタ!$G$6:$G$405="")+(職員マスタ!$G$6:$G$405&lt;=EOMONTH($AQ1244,0)))&gt;0)*(((職員マスタ!$H$6:$H$405="")+(職員マスタ!$H$6:$H$405&gt;=$AQ1244))&gt;0)*(ROW(職員マスタ!$A$6:$A$405)-5))),IFERROR(MATCH($B1244,職員マスタ!$A$6:$A$405,0),"")))</f>
        <v/>
      </c>
      <c r="AQ1244" s="16">
        <f>IF(OR($B1244="",$C1244="",$D1244=""),"",DATE($C1244+2018,$D1244,1))</f>
        <v/>
      </c>
    </row>
    <row r="1245">
      <c r="A1245" s="11" t="n"/>
      <c r="B1245" s="12" t="n"/>
      <c r="C1245" s="12" t="n"/>
      <c r="D1245" s="12" t="n"/>
      <c r="E1245" s="13" t="n"/>
      <c r="F1245" s="12" t="n"/>
      <c r="G1245" s="13" t="n"/>
      <c r="H1245" s="12" t="n"/>
      <c r="I1245" s="12" t="n"/>
      <c r="J1245" s="12" t="n"/>
      <c r="K1245" s="12" t="n"/>
      <c r="L1245" s="11" t="n"/>
      <c r="M1245" s="11" t="n"/>
      <c r="N1245" s="11" t="n"/>
      <c r="O1245" s="11" t="n"/>
      <c r="P1245" s="12" t="n"/>
      <c r="Q1245" s="11" t="n"/>
      <c r="R1245" s="12" t="n"/>
      <c r="S1245" s="11" t="n"/>
      <c r="T1245" s="12" t="n"/>
      <c r="U1245" s="12" t="n"/>
      <c r="V1245" s="12" t="n"/>
      <c r="W1245" s="13" t="n"/>
      <c r="X1245" s="14">
        <f>IF($AP1245="",IF($B1245="","",$H1245),IF(INDEX(職員マスタ!$B$6:$B$405,$AP1245)="",$H1245,INDEX(職員マスタ!$B$6:$B$405,$AP1245)))</f>
        <v/>
      </c>
      <c r="Y1245" s="14">
        <f>IF($AP1245="",IF($B1245="","",$R1245),IF(INDEX(職員マスタ!$C$6:$C$405,$AP1245)="",$R1245,INDEX(職員マスタ!$C$6:$C$405,$AP1245)))</f>
        <v/>
      </c>
      <c r="Z1245" s="14">
        <f>IF($AQ1245="","","R"&amp;$C1245&amp;"."&amp;$D1245)</f>
        <v/>
      </c>
      <c r="AA1245" s="15">
        <f>IF(IF($AP1245="",FALSE,INDEX(職員マスタ!$K$6:$K$405,$AP1245)&lt;&gt;""),INDEX(職員マスタ!$K$6:$K$405,$AP1245),IF(N($W1245)&gt;0,$W1245,""))</f>
        <v/>
      </c>
      <c r="AB1245" s="14">
        <f>IF(OR($E1245="",$AA1245=""),"",IF($E1245&gt;=$AA1245,"×",IF($E1245&gt;=$AA1245*設定!$C$5,"△","○")))</f>
        <v/>
      </c>
      <c r="AC1245" s="15">
        <f>IF($AB1245="","",IF($AB1245="×",0,IF($AB1245="○",ROUNDDOWN($E1245*設定!$C$4,0),ROUNDDOWN($E1245*ROUND((9*$AA1245-9*$E1245)/(10*$E1245),4),0))))</f>
        <v/>
      </c>
      <c r="AD1245" s="13" t="n"/>
      <c r="AE1245" s="15">
        <f>IF($B1245="","",IF($AD1245&lt;&gt;"",$AD1245,IF($AC1245="","",IF($AC1245&lt;=設定!$C$3,0,$AC1245))))</f>
        <v/>
      </c>
      <c r="AF1245" s="14">
        <f>IF($B1245="","",IF(AND($AG1245&lt;&gt;"",$AI1245="",$AL1245=""),"保留中",IF($AL1245&lt;&gt;"",IF(N($AE1245)&gt;0,"支給済","不支給"),IF($AE1245="","要確認",IF($AE1245=0,"不支給","未処理")))))</f>
        <v/>
      </c>
      <c r="AG1245" s="12" t="n"/>
      <c r="AH1245" s="11" t="n"/>
      <c r="AI1245" s="11" t="n"/>
      <c r="AJ1245" s="11" t="n"/>
      <c r="AK1245" s="14">
        <f>IF(AND($AF1245="保留中",$AH1245&lt;&gt;""),TODAY()-$AH1245,"")</f>
        <v/>
      </c>
      <c r="AL1245" s="12" t="n"/>
      <c r="AM1245" s="14">
        <f>IF($B1245="","",IF($AQ1245="","対象年月が未入力／","")&amp;IF($B1245="","",IF($AP1245="","職員マスタに未登録の職員番号／",IF($AA1245="","標準報酬月額が未登録／","")&amp;IF(AND($AQ1245&lt;&gt;"",OR(AND(INDEX(職員マスタ!$G$6:$G$405,$AP1245)&lt;&gt;"",INDEX(職員マスタ!$G$6:$G$405,$AP1245)&gt;EOMONTH($AQ1245,0)),AND(INDEX(職員マスタ!$H$6:$H$405,$AP1245)&lt;&gt;"",INDEX(職員マスタ!$H$6:$H$405,$AP1245)&lt;$AQ1245))),"対象月が時短期間外／","")&amp;IF(AND(INDEX(職員マスタ!$K$6:$K$405,$AP1245)&lt;&gt;"",N($W1245)&gt;0,INDEX(職員マスタ!$K$6:$K$405,$AP1245)&lt;&gt;$W1245),"標準報酬月額が申請書と相違（台帳"&amp;TEXT(INDEX(職員マスタ!$K$6:$K$405,$AP1245),"#,##0")&amp;"円／申請書"&amp;TEXT($W1245,"#,##0")&amp;"円）／","")&amp;IF(AND(INDEX(職員マスタ!$F$6:$F$405,$AP1245)&lt;&gt;"",$AQ1245&lt;&gt;"",INDEX(職員マスタ!$F$6:$F$405,$AP1245)&lt;$AQ1245),"対象月に子が2歳到達済／","")&amp;IF(AND($H1245&lt;&gt;"",INDEX(職員マスタ!$B$6:$B$405,$AP1245)&lt;&gt;"",SUBSTITUTE(SUBSTITUTE($H1245," ","")," ","")&lt;&gt;SUBSTITUTE(SUBSTITUTE(INDEX(職員マスタ!$B$6:$B$405,$AP1245)," ","")," ","")),"氏名がマスタと相違／","")&amp;IF(AND($Q1245&lt;&gt;"",INDEX(職員マスタ!$E$6:$E$405,$AP1245)&lt;&gt;"",$Q1245&lt;&gt;INDEX(職員マスタ!$E$6:$E$405,$AP1245)),"子の生年月日がマスタと相違／","")&amp;IF(AND($L1245&lt;&gt;"",INDEX(職員マスタ!$G$6:$G$405,$AP1245)&lt;&gt;"",$L1245&lt;&gt;INDEX(職員マスタ!$G$6:$G$405,$AP1245)),"時短開始日がマスタと相違／","")&amp;IF(AND($M1245&lt;&gt;"",INDEX(職員マスタ!$H$6:$H$405,$AP1245)&lt;&gt;"",$M1245&lt;&gt;INDEX(職員マスタ!$H$6:$H$405,$AP1245)),"時短終了日がマスタと相違／","")))&amp;IF(AND($B1245&lt;&gt;"",$E1245=""),"報酬額が未入力／","")&amp;IF(N($U1245)&gt;0,"申請書に入力エラーが残っています／","")&amp;IF(AND($B1245&lt;&gt;"",$AQ1245&lt;&gt;""),IF(COUNTIFS($B$6:$B$3005,$B1245,$C$6:$C$3005,$C1245,$D$6:$D$3005,$D1245)&gt;1,"同じ月の請求が重複しています／",""),"")&amp;IF(AND(N($E1245)&gt;0,$AB1245&lt;&gt;"",$AB1245&lt;&gt;"×",$AE1245=0,$AD1245=""),"計算額が下限以下のため不支給／",""))</f>
        <v/>
      </c>
      <c r="AN1245" s="12" t="n"/>
      <c r="AO1245" s="14">
        <f>IF($AF1245="保留中",COUNTIF($AF$6:$AF1245,"保留中"),"")</f>
        <v/>
      </c>
      <c r="AP1245" s="14">
        <f>IF($AQ1245="","",IF(SUMPRODUCT(MAX((職員マスタ!$A$6:$A$405=$B1245)*(((職員マスタ!$G$6:$G$405="")+(職員マスタ!$G$6:$G$405&lt;=EOMONTH($AQ1245,0)))&gt;0)*(((職員マスタ!$H$6:$H$405="")+(職員マスタ!$H$6:$H$405&gt;=$AQ1245))&gt;0)*(ROW(職員マスタ!$A$6:$A$405)-5)))&gt;0,SUMPRODUCT(MAX((職員マスタ!$A$6:$A$405=$B1245)*(((職員マスタ!$G$6:$G$405="")+(職員マスタ!$G$6:$G$405&lt;=EOMONTH($AQ1245,0)))&gt;0)*(((職員マスタ!$H$6:$H$405="")+(職員マスタ!$H$6:$H$405&gt;=$AQ1245))&gt;0)*(ROW(職員マスタ!$A$6:$A$405)-5))),IFERROR(MATCH($B1245,職員マスタ!$A$6:$A$405,0),"")))</f>
        <v/>
      </c>
      <c r="AQ1245" s="16">
        <f>IF(OR($B1245="",$C1245="",$D1245=""),"",DATE($C1245+2018,$D1245,1))</f>
        <v/>
      </c>
    </row>
    <row r="1246">
      <c r="A1246" s="11" t="n"/>
      <c r="B1246" s="12" t="n"/>
      <c r="C1246" s="12" t="n"/>
      <c r="D1246" s="12" t="n"/>
      <c r="E1246" s="13" t="n"/>
      <c r="F1246" s="12" t="n"/>
      <c r="G1246" s="13" t="n"/>
      <c r="H1246" s="12" t="n"/>
      <c r="I1246" s="12" t="n"/>
      <c r="J1246" s="12" t="n"/>
      <c r="K1246" s="12" t="n"/>
      <c r="L1246" s="11" t="n"/>
      <c r="M1246" s="11" t="n"/>
      <c r="N1246" s="11" t="n"/>
      <c r="O1246" s="11" t="n"/>
      <c r="P1246" s="12" t="n"/>
      <c r="Q1246" s="11" t="n"/>
      <c r="R1246" s="12" t="n"/>
      <c r="S1246" s="11" t="n"/>
      <c r="T1246" s="12" t="n"/>
      <c r="U1246" s="12" t="n"/>
      <c r="V1246" s="12" t="n"/>
      <c r="W1246" s="13" t="n"/>
      <c r="X1246" s="14">
        <f>IF($AP1246="",IF($B1246="","",$H1246),IF(INDEX(職員マスタ!$B$6:$B$405,$AP1246)="",$H1246,INDEX(職員マスタ!$B$6:$B$405,$AP1246)))</f>
        <v/>
      </c>
      <c r="Y1246" s="14">
        <f>IF($AP1246="",IF($B1246="","",$R1246),IF(INDEX(職員マスタ!$C$6:$C$405,$AP1246)="",$R1246,INDEX(職員マスタ!$C$6:$C$405,$AP1246)))</f>
        <v/>
      </c>
      <c r="Z1246" s="14">
        <f>IF($AQ1246="","","R"&amp;$C1246&amp;"."&amp;$D1246)</f>
        <v/>
      </c>
      <c r="AA1246" s="15">
        <f>IF(IF($AP1246="",FALSE,INDEX(職員マスタ!$K$6:$K$405,$AP1246)&lt;&gt;""),INDEX(職員マスタ!$K$6:$K$405,$AP1246),IF(N($W1246)&gt;0,$W1246,""))</f>
        <v/>
      </c>
      <c r="AB1246" s="14">
        <f>IF(OR($E1246="",$AA1246=""),"",IF($E1246&gt;=$AA1246,"×",IF($E1246&gt;=$AA1246*設定!$C$5,"△","○")))</f>
        <v/>
      </c>
      <c r="AC1246" s="15">
        <f>IF($AB1246="","",IF($AB1246="×",0,IF($AB1246="○",ROUNDDOWN($E1246*設定!$C$4,0),ROUNDDOWN($E1246*ROUND((9*$AA1246-9*$E1246)/(10*$E1246),4),0))))</f>
        <v/>
      </c>
      <c r="AD1246" s="13" t="n"/>
      <c r="AE1246" s="15">
        <f>IF($B1246="","",IF($AD1246&lt;&gt;"",$AD1246,IF($AC1246="","",IF($AC1246&lt;=設定!$C$3,0,$AC1246))))</f>
        <v/>
      </c>
      <c r="AF1246" s="14">
        <f>IF($B1246="","",IF(AND($AG1246&lt;&gt;"",$AI1246="",$AL1246=""),"保留中",IF($AL1246&lt;&gt;"",IF(N($AE1246)&gt;0,"支給済","不支給"),IF($AE1246="","要確認",IF($AE1246=0,"不支給","未処理")))))</f>
        <v/>
      </c>
      <c r="AG1246" s="12" t="n"/>
      <c r="AH1246" s="11" t="n"/>
      <c r="AI1246" s="11" t="n"/>
      <c r="AJ1246" s="11" t="n"/>
      <c r="AK1246" s="14">
        <f>IF(AND($AF1246="保留中",$AH1246&lt;&gt;""),TODAY()-$AH1246,"")</f>
        <v/>
      </c>
      <c r="AL1246" s="12" t="n"/>
      <c r="AM1246" s="14">
        <f>IF($B1246="","",IF($AQ1246="","対象年月が未入力／","")&amp;IF($B1246="","",IF($AP1246="","職員マスタに未登録の職員番号／",IF($AA1246="","標準報酬月額が未登録／","")&amp;IF(AND($AQ1246&lt;&gt;"",OR(AND(INDEX(職員マスタ!$G$6:$G$405,$AP1246)&lt;&gt;"",INDEX(職員マスタ!$G$6:$G$405,$AP1246)&gt;EOMONTH($AQ1246,0)),AND(INDEX(職員マスタ!$H$6:$H$405,$AP1246)&lt;&gt;"",INDEX(職員マスタ!$H$6:$H$405,$AP1246)&lt;$AQ1246))),"対象月が時短期間外／","")&amp;IF(AND(INDEX(職員マスタ!$K$6:$K$405,$AP1246)&lt;&gt;"",N($W1246)&gt;0,INDEX(職員マスタ!$K$6:$K$405,$AP1246)&lt;&gt;$W1246),"標準報酬月額が申請書と相違（台帳"&amp;TEXT(INDEX(職員マスタ!$K$6:$K$405,$AP1246),"#,##0")&amp;"円／申請書"&amp;TEXT($W1246,"#,##0")&amp;"円）／","")&amp;IF(AND(INDEX(職員マスタ!$F$6:$F$405,$AP1246)&lt;&gt;"",$AQ1246&lt;&gt;"",INDEX(職員マスタ!$F$6:$F$405,$AP1246)&lt;$AQ1246),"対象月に子が2歳到達済／","")&amp;IF(AND($H1246&lt;&gt;"",INDEX(職員マスタ!$B$6:$B$405,$AP1246)&lt;&gt;"",SUBSTITUTE(SUBSTITUTE($H1246," ","")," ","")&lt;&gt;SUBSTITUTE(SUBSTITUTE(INDEX(職員マスタ!$B$6:$B$405,$AP1246)," ","")," ","")),"氏名がマスタと相違／","")&amp;IF(AND($Q1246&lt;&gt;"",INDEX(職員マスタ!$E$6:$E$405,$AP1246)&lt;&gt;"",$Q1246&lt;&gt;INDEX(職員マスタ!$E$6:$E$405,$AP1246)),"子の生年月日がマスタと相違／","")&amp;IF(AND($L1246&lt;&gt;"",INDEX(職員マスタ!$G$6:$G$405,$AP1246)&lt;&gt;"",$L1246&lt;&gt;INDEX(職員マスタ!$G$6:$G$405,$AP1246)),"時短開始日がマスタと相違／","")&amp;IF(AND($M1246&lt;&gt;"",INDEX(職員マスタ!$H$6:$H$405,$AP1246)&lt;&gt;"",$M1246&lt;&gt;INDEX(職員マスタ!$H$6:$H$405,$AP1246)),"時短終了日がマスタと相違／","")))&amp;IF(AND($B1246&lt;&gt;"",$E1246=""),"報酬額が未入力／","")&amp;IF(N($U1246)&gt;0,"申請書に入力エラーが残っています／","")&amp;IF(AND($B1246&lt;&gt;"",$AQ1246&lt;&gt;""),IF(COUNTIFS($B$6:$B$3005,$B1246,$C$6:$C$3005,$C1246,$D$6:$D$3005,$D1246)&gt;1,"同じ月の請求が重複しています／",""),"")&amp;IF(AND(N($E1246)&gt;0,$AB1246&lt;&gt;"",$AB1246&lt;&gt;"×",$AE1246=0,$AD1246=""),"計算額が下限以下のため不支給／",""))</f>
        <v/>
      </c>
      <c r="AN1246" s="12" t="n"/>
      <c r="AO1246" s="14">
        <f>IF($AF1246="保留中",COUNTIF($AF$6:$AF1246,"保留中"),"")</f>
        <v/>
      </c>
      <c r="AP1246" s="14">
        <f>IF($AQ1246="","",IF(SUMPRODUCT(MAX((職員マスタ!$A$6:$A$405=$B1246)*(((職員マスタ!$G$6:$G$405="")+(職員マスタ!$G$6:$G$405&lt;=EOMONTH($AQ1246,0)))&gt;0)*(((職員マスタ!$H$6:$H$405="")+(職員マスタ!$H$6:$H$405&gt;=$AQ1246))&gt;0)*(ROW(職員マスタ!$A$6:$A$405)-5)))&gt;0,SUMPRODUCT(MAX((職員マスタ!$A$6:$A$405=$B1246)*(((職員マスタ!$G$6:$G$405="")+(職員マスタ!$G$6:$G$405&lt;=EOMONTH($AQ1246,0)))&gt;0)*(((職員マスタ!$H$6:$H$405="")+(職員マスタ!$H$6:$H$405&gt;=$AQ1246))&gt;0)*(ROW(職員マスタ!$A$6:$A$405)-5))),IFERROR(MATCH($B1246,職員マスタ!$A$6:$A$405,0),"")))</f>
        <v/>
      </c>
      <c r="AQ1246" s="16">
        <f>IF(OR($B1246="",$C1246="",$D1246=""),"",DATE($C1246+2018,$D1246,1))</f>
        <v/>
      </c>
    </row>
    <row r="1247">
      <c r="A1247" s="11" t="n"/>
      <c r="B1247" s="12" t="n"/>
      <c r="C1247" s="12" t="n"/>
      <c r="D1247" s="12" t="n"/>
      <c r="E1247" s="13" t="n"/>
      <c r="F1247" s="12" t="n"/>
      <c r="G1247" s="13" t="n"/>
      <c r="H1247" s="12" t="n"/>
      <c r="I1247" s="12" t="n"/>
      <c r="J1247" s="12" t="n"/>
      <c r="K1247" s="12" t="n"/>
      <c r="L1247" s="11" t="n"/>
      <c r="M1247" s="11" t="n"/>
      <c r="N1247" s="11" t="n"/>
      <c r="O1247" s="11" t="n"/>
      <c r="P1247" s="12" t="n"/>
      <c r="Q1247" s="11" t="n"/>
      <c r="R1247" s="12" t="n"/>
      <c r="S1247" s="11" t="n"/>
      <c r="T1247" s="12" t="n"/>
      <c r="U1247" s="12" t="n"/>
      <c r="V1247" s="12" t="n"/>
      <c r="W1247" s="13" t="n"/>
      <c r="X1247" s="14">
        <f>IF($AP1247="",IF($B1247="","",$H1247),IF(INDEX(職員マスタ!$B$6:$B$405,$AP1247)="",$H1247,INDEX(職員マスタ!$B$6:$B$405,$AP1247)))</f>
        <v/>
      </c>
      <c r="Y1247" s="14">
        <f>IF($AP1247="",IF($B1247="","",$R1247),IF(INDEX(職員マスタ!$C$6:$C$405,$AP1247)="",$R1247,INDEX(職員マスタ!$C$6:$C$405,$AP1247)))</f>
        <v/>
      </c>
      <c r="Z1247" s="14">
        <f>IF($AQ1247="","","R"&amp;$C1247&amp;"."&amp;$D1247)</f>
        <v/>
      </c>
      <c r="AA1247" s="15">
        <f>IF(IF($AP1247="",FALSE,INDEX(職員マスタ!$K$6:$K$405,$AP1247)&lt;&gt;""),INDEX(職員マスタ!$K$6:$K$405,$AP1247),IF(N($W1247)&gt;0,$W1247,""))</f>
        <v/>
      </c>
      <c r="AB1247" s="14">
        <f>IF(OR($E1247="",$AA1247=""),"",IF($E1247&gt;=$AA1247,"×",IF($E1247&gt;=$AA1247*設定!$C$5,"△","○")))</f>
        <v/>
      </c>
      <c r="AC1247" s="15">
        <f>IF($AB1247="","",IF($AB1247="×",0,IF($AB1247="○",ROUNDDOWN($E1247*設定!$C$4,0),ROUNDDOWN($E1247*ROUND((9*$AA1247-9*$E1247)/(10*$E1247),4),0))))</f>
        <v/>
      </c>
      <c r="AD1247" s="13" t="n"/>
      <c r="AE1247" s="15">
        <f>IF($B1247="","",IF($AD1247&lt;&gt;"",$AD1247,IF($AC1247="","",IF($AC1247&lt;=設定!$C$3,0,$AC1247))))</f>
        <v/>
      </c>
      <c r="AF1247" s="14">
        <f>IF($B1247="","",IF(AND($AG1247&lt;&gt;"",$AI1247="",$AL1247=""),"保留中",IF($AL1247&lt;&gt;"",IF(N($AE1247)&gt;0,"支給済","不支給"),IF($AE1247="","要確認",IF($AE1247=0,"不支給","未処理")))))</f>
        <v/>
      </c>
      <c r="AG1247" s="12" t="n"/>
      <c r="AH1247" s="11" t="n"/>
      <c r="AI1247" s="11" t="n"/>
      <c r="AJ1247" s="11" t="n"/>
      <c r="AK1247" s="14">
        <f>IF(AND($AF1247="保留中",$AH1247&lt;&gt;""),TODAY()-$AH1247,"")</f>
        <v/>
      </c>
      <c r="AL1247" s="12" t="n"/>
      <c r="AM1247" s="14">
        <f>IF($B1247="","",IF($AQ1247="","対象年月が未入力／","")&amp;IF($B1247="","",IF($AP1247="","職員マスタに未登録の職員番号／",IF($AA1247="","標準報酬月額が未登録／","")&amp;IF(AND($AQ1247&lt;&gt;"",OR(AND(INDEX(職員マスタ!$G$6:$G$405,$AP1247)&lt;&gt;"",INDEX(職員マスタ!$G$6:$G$405,$AP1247)&gt;EOMONTH($AQ1247,0)),AND(INDEX(職員マスタ!$H$6:$H$405,$AP1247)&lt;&gt;"",INDEX(職員マスタ!$H$6:$H$405,$AP1247)&lt;$AQ1247))),"対象月が時短期間外／","")&amp;IF(AND(INDEX(職員マスタ!$K$6:$K$405,$AP1247)&lt;&gt;"",N($W1247)&gt;0,INDEX(職員マスタ!$K$6:$K$405,$AP1247)&lt;&gt;$W1247),"標準報酬月額が申請書と相違（台帳"&amp;TEXT(INDEX(職員マスタ!$K$6:$K$405,$AP1247),"#,##0")&amp;"円／申請書"&amp;TEXT($W1247,"#,##0")&amp;"円）／","")&amp;IF(AND(INDEX(職員マスタ!$F$6:$F$405,$AP1247)&lt;&gt;"",$AQ1247&lt;&gt;"",INDEX(職員マスタ!$F$6:$F$405,$AP1247)&lt;$AQ1247),"対象月に子が2歳到達済／","")&amp;IF(AND($H1247&lt;&gt;"",INDEX(職員マスタ!$B$6:$B$405,$AP1247)&lt;&gt;"",SUBSTITUTE(SUBSTITUTE($H1247," ","")," ","")&lt;&gt;SUBSTITUTE(SUBSTITUTE(INDEX(職員マスタ!$B$6:$B$405,$AP1247)," ","")," ","")),"氏名がマスタと相違／","")&amp;IF(AND($Q1247&lt;&gt;"",INDEX(職員マスタ!$E$6:$E$405,$AP1247)&lt;&gt;"",$Q1247&lt;&gt;INDEX(職員マスタ!$E$6:$E$405,$AP1247)),"子の生年月日がマスタと相違／","")&amp;IF(AND($L1247&lt;&gt;"",INDEX(職員マスタ!$G$6:$G$405,$AP1247)&lt;&gt;"",$L1247&lt;&gt;INDEX(職員マスタ!$G$6:$G$405,$AP1247)),"時短開始日がマスタと相違／","")&amp;IF(AND($M1247&lt;&gt;"",INDEX(職員マスタ!$H$6:$H$405,$AP1247)&lt;&gt;"",$M1247&lt;&gt;INDEX(職員マスタ!$H$6:$H$405,$AP1247)),"時短終了日がマスタと相違／","")))&amp;IF(AND($B1247&lt;&gt;"",$E1247=""),"報酬額が未入力／","")&amp;IF(N($U1247)&gt;0,"申請書に入力エラーが残っています／","")&amp;IF(AND($B1247&lt;&gt;"",$AQ1247&lt;&gt;""),IF(COUNTIFS($B$6:$B$3005,$B1247,$C$6:$C$3005,$C1247,$D$6:$D$3005,$D1247)&gt;1,"同じ月の請求が重複しています／",""),"")&amp;IF(AND(N($E1247)&gt;0,$AB1247&lt;&gt;"",$AB1247&lt;&gt;"×",$AE1247=0,$AD1247=""),"計算額が下限以下のため不支給／",""))</f>
        <v/>
      </c>
      <c r="AN1247" s="12" t="n"/>
      <c r="AO1247" s="14">
        <f>IF($AF1247="保留中",COUNTIF($AF$6:$AF1247,"保留中"),"")</f>
        <v/>
      </c>
      <c r="AP1247" s="14">
        <f>IF($AQ1247="","",IF(SUMPRODUCT(MAX((職員マスタ!$A$6:$A$405=$B1247)*(((職員マスタ!$G$6:$G$405="")+(職員マスタ!$G$6:$G$405&lt;=EOMONTH($AQ1247,0)))&gt;0)*(((職員マスタ!$H$6:$H$405="")+(職員マスタ!$H$6:$H$405&gt;=$AQ1247))&gt;0)*(ROW(職員マスタ!$A$6:$A$405)-5)))&gt;0,SUMPRODUCT(MAX((職員マスタ!$A$6:$A$405=$B1247)*(((職員マスタ!$G$6:$G$405="")+(職員マスタ!$G$6:$G$405&lt;=EOMONTH($AQ1247,0)))&gt;0)*(((職員マスタ!$H$6:$H$405="")+(職員マスタ!$H$6:$H$405&gt;=$AQ1247))&gt;0)*(ROW(職員マスタ!$A$6:$A$405)-5))),IFERROR(MATCH($B1247,職員マスタ!$A$6:$A$405,0),"")))</f>
        <v/>
      </c>
      <c r="AQ1247" s="16">
        <f>IF(OR($B1247="",$C1247="",$D1247=""),"",DATE($C1247+2018,$D1247,1))</f>
        <v/>
      </c>
    </row>
    <row r="1248">
      <c r="A1248" s="11" t="n"/>
      <c r="B1248" s="12" t="n"/>
      <c r="C1248" s="12" t="n"/>
      <c r="D1248" s="12" t="n"/>
      <c r="E1248" s="13" t="n"/>
      <c r="F1248" s="12" t="n"/>
      <c r="G1248" s="13" t="n"/>
      <c r="H1248" s="12" t="n"/>
      <c r="I1248" s="12" t="n"/>
      <c r="J1248" s="12" t="n"/>
      <c r="K1248" s="12" t="n"/>
      <c r="L1248" s="11" t="n"/>
      <c r="M1248" s="11" t="n"/>
      <c r="N1248" s="11" t="n"/>
      <c r="O1248" s="11" t="n"/>
      <c r="P1248" s="12" t="n"/>
      <c r="Q1248" s="11" t="n"/>
      <c r="R1248" s="12" t="n"/>
      <c r="S1248" s="11" t="n"/>
      <c r="T1248" s="12" t="n"/>
      <c r="U1248" s="12" t="n"/>
      <c r="V1248" s="12" t="n"/>
      <c r="W1248" s="13" t="n"/>
      <c r="X1248" s="14">
        <f>IF($AP1248="",IF($B1248="","",$H1248),IF(INDEX(職員マスタ!$B$6:$B$405,$AP1248)="",$H1248,INDEX(職員マスタ!$B$6:$B$405,$AP1248)))</f>
        <v/>
      </c>
      <c r="Y1248" s="14">
        <f>IF($AP1248="",IF($B1248="","",$R1248),IF(INDEX(職員マスタ!$C$6:$C$405,$AP1248)="",$R1248,INDEX(職員マスタ!$C$6:$C$405,$AP1248)))</f>
        <v/>
      </c>
      <c r="Z1248" s="14">
        <f>IF($AQ1248="","","R"&amp;$C1248&amp;"."&amp;$D1248)</f>
        <v/>
      </c>
      <c r="AA1248" s="15">
        <f>IF(IF($AP1248="",FALSE,INDEX(職員マスタ!$K$6:$K$405,$AP1248)&lt;&gt;""),INDEX(職員マスタ!$K$6:$K$405,$AP1248),IF(N($W1248)&gt;0,$W1248,""))</f>
        <v/>
      </c>
      <c r="AB1248" s="14">
        <f>IF(OR($E1248="",$AA1248=""),"",IF($E1248&gt;=$AA1248,"×",IF($E1248&gt;=$AA1248*設定!$C$5,"△","○")))</f>
        <v/>
      </c>
      <c r="AC1248" s="15">
        <f>IF($AB1248="","",IF($AB1248="×",0,IF($AB1248="○",ROUNDDOWN($E1248*設定!$C$4,0),ROUNDDOWN($E1248*ROUND((9*$AA1248-9*$E1248)/(10*$E1248),4),0))))</f>
        <v/>
      </c>
      <c r="AD1248" s="13" t="n"/>
      <c r="AE1248" s="15">
        <f>IF($B1248="","",IF($AD1248&lt;&gt;"",$AD1248,IF($AC1248="","",IF($AC1248&lt;=設定!$C$3,0,$AC1248))))</f>
        <v/>
      </c>
      <c r="AF1248" s="14">
        <f>IF($B1248="","",IF(AND($AG1248&lt;&gt;"",$AI1248="",$AL1248=""),"保留中",IF($AL1248&lt;&gt;"",IF(N($AE1248)&gt;0,"支給済","不支給"),IF($AE1248="","要確認",IF($AE1248=0,"不支給","未処理")))))</f>
        <v/>
      </c>
      <c r="AG1248" s="12" t="n"/>
      <c r="AH1248" s="11" t="n"/>
      <c r="AI1248" s="11" t="n"/>
      <c r="AJ1248" s="11" t="n"/>
      <c r="AK1248" s="14">
        <f>IF(AND($AF1248="保留中",$AH1248&lt;&gt;""),TODAY()-$AH1248,"")</f>
        <v/>
      </c>
      <c r="AL1248" s="12" t="n"/>
      <c r="AM1248" s="14">
        <f>IF($B1248="","",IF($AQ1248="","対象年月が未入力／","")&amp;IF($B1248="","",IF($AP1248="","職員マスタに未登録の職員番号／",IF($AA1248="","標準報酬月額が未登録／","")&amp;IF(AND($AQ1248&lt;&gt;"",OR(AND(INDEX(職員マスタ!$G$6:$G$405,$AP1248)&lt;&gt;"",INDEX(職員マスタ!$G$6:$G$405,$AP1248)&gt;EOMONTH($AQ1248,0)),AND(INDEX(職員マスタ!$H$6:$H$405,$AP1248)&lt;&gt;"",INDEX(職員マスタ!$H$6:$H$405,$AP1248)&lt;$AQ1248))),"対象月が時短期間外／","")&amp;IF(AND(INDEX(職員マスタ!$K$6:$K$405,$AP1248)&lt;&gt;"",N($W1248)&gt;0,INDEX(職員マスタ!$K$6:$K$405,$AP1248)&lt;&gt;$W1248),"標準報酬月額が申請書と相違（台帳"&amp;TEXT(INDEX(職員マスタ!$K$6:$K$405,$AP1248),"#,##0")&amp;"円／申請書"&amp;TEXT($W1248,"#,##0")&amp;"円）／","")&amp;IF(AND(INDEX(職員マスタ!$F$6:$F$405,$AP1248)&lt;&gt;"",$AQ1248&lt;&gt;"",INDEX(職員マスタ!$F$6:$F$405,$AP1248)&lt;$AQ1248),"対象月に子が2歳到達済／","")&amp;IF(AND($H1248&lt;&gt;"",INDEX(職員マスタ!$B$6:$B$405,$AP1248)&lt;&gt;"",SUBSTITUTE(SUBSTITUTE($H1248," ","")," ","")&lt;&gt;SUBSTITUTE(SUBSTITUTE(INDEX(職員マスタ!$B$6:$B$405,$AP1248)," ","")," ","")),"氏名がマスタと相違／","")&amp;IF(AND($Q1248&lt;&gt;"",INDEX(職員マスタ!$E$6:$E$405,$AP1248)&lt;&gt;"",$Q1248&lt;&gt;INDEX(職員マスタ!$E$6:$E$405,$AP1248)),"子の生年月日がマスタと相違／","")&amp;IF(AND($L1248&lt;&gt;"",INDEX(職員マスタ!$G$6:$G$405,$AP1248)&lt;&gt;"",$L1248&lt;&gt;INDEX(職員マスタ!$G$6:$G$405,$AP1248)),"時短開始日がマスタと相違／","")&amp;IF(AND($M1248&lt;&gt;"",INDEX(職員マスタ!$H$6:$H$405,$AP1248)&lt;&gt;"",$M1248&lt;&gt;INDEX(職員マスタ!$H$6:$H$405,$AP1248)),"時短終了日がマスタと相違／","")))&amp;IF(AND($B1248&lt;&gt;"",$E1248=""),"報酬額が未入力／","")&amp;IF(N($U1248)&gt;0,"申請書に入力エラーが残っています／","")&amp;IF(AND($B1248&lt;&gt;"",$AQ1248&lt;&gt;""),IF(COUNTIFS($B$6:$B$3005,$B1248,$C$6:$C$3005,$C1248,$D$6:$D$3005,$D1248)&gt;1,"同じ月の請求が重複しています／",""),"")&amp;IF(AND(N($E1248)&gt;0,$AB1248&lt;&gt;"",$AB1248&lt;&gt;"×",$AE1248=0,$AD1248=""),"計算額が下限以下のため不支給／",""))</f>
        <v/>
      </c>
      <c r="AN1248" s="12" t="n"/>
      <c r="AO1248" s="14">
        <f>IF($AF1248="保留中",COUNTIF($AF$6:$AF1248,"保留中"),"")</f>
        <v/>
      </c>
      <c r="AP1248" s="14">
        <f>IF($AQ1248="","",IF(SUMPRODUCT(MAX((職員マスタ!$A$6:$A$405=$B1248)*(((職員マスタ!$G$6:$G$405="")+(職員マスタ!$G$6:$G$405&lt;=EOMONTH($AQ1248,0)))&gt;0)*(((職員マスタ!$H$6:$H$405="")+(職員マスタ!$H$6:$H$405&gt;=$AQ1248))&gt;0)*(ROW(職員マスタ!$A$6:$A$405)-5)))&gt;0,SUMPRODUCT(MAX((職員マスタ!$A$6:$A$405=$B1248)*(((職員マスタ!$G$6:$G$405="")+(職員マスタ!$G$6:$G$405&lt;=EOMONTH($AQ1248,0)))&gt;0)*(((職員マスタ!$H$6:$H$405="")+(職員マスタ!$H$6:$H$405&gt;=$AQ1248))&gt;0)*(ROW(職員マスタ!$A$6:$A$405)-5))),IFERROR(MATCH($B1248,職員マスタ!$A$6:$A$405,0),"")))</f>
        <v/>
      </c>
      <c r="AQ1248" s="16">
        <f>IF(OR($B1248="",$C1248="",$D1248=""),"",DATE($C1248+2018,$D1248,1))</f>
        <v/>
      </c>
    </row>
    <row r="1249">
      <c r="A1249" s="11" t="n"/>
      <c r="B1249" s="12" t="n"/>
      <c r="C1249" s="12" t="n"/>
      <c r="D1249" s="12" t="n"/>
      <c r="E1249" s="13" t="n"/>
      <c r="F1249" s="12" t="n"/>
      <c r="G1249" s="13" t="n"/>
      <c r="H1249" s="12" t="n"/>
      <c r="I1249" s="12" t="n"/>
      <c r="J1249" s="12" t="n"/>
      <c r="K1249" s="12" t="n"/>
      <c r="L1249" s="11" t="n"/>
      <c r="M1249" s="11" t="n"/>
      <c r="N1249" s="11" t="n"/>
      <c r="O1249" s="11" t="n"/>
      <c r="P1249" s="12" t="n"/>
      <c r="Q1249" s="11" t="n"/>
      <c r="R1249" s="12" t="n"/>
      <c r="S1249" s="11" t="n"/>
      <c r="T1249" s="12" t="n"/>
      <c r="U1249" s="12" t="n"/>
      <c r="V1249" s="12" t="n"/>
      <c r="W1249" s="13" t="n"/>
      <c r="X1249" s="14">
        <f>IF($AP1249="",IF($B1249="","",$H1249),IF(INDEX(職員マスタ!$B$6:$B$405,$AP1249)="",$H1249,INDEX(職員マスタ!$B$6:$B$405,$AP1249)))</f>
        <v/>
      </c>
      <c r="Y1249" s="14">
        <f>IF($AP1249="",IF($B1249="","",$R1249),IF(INDEX(職員マスタ!$C$6:$C$405,$AP1249)="",$R1249,INDEX(職員マスタ!$C$6:$C$405,$AP1249)))</f>
        <v/>
      </c>
      <c r="Z1249" s="14">
        <f>IF($AQ1249="","","R"&amp;$C1249&amp;"."&amp;$D1249)</f>
        <v/>
      </c>
      <c r="AA1249" s="15">
        <f>IF(IF($AP1249="",FALSE,INDEX(職員マスタ!$K$6:$K$405,$AP1249)&lt;&gt;""),INDEX(職員マスタ!$K$6:$K$405,$AP1249),IF(N($W1249)&gt;0,$W1249,""))</f>
        <v/>
      </c>
      <c r="AB1249" s="14">
        <f>IF(OR($E1249="",$AA1249=""),"",IF($E1249&gt;=$AA1249,"×",IF($E1249&gt;=$AA1249*設定!$C$5,"△","○")))</f>
        <v/>
      </c>
      <c r="AC1249" s="15">
        <f>IF($AB1249="","",IF($AB1249="×",0,IF($AB1249="○",ROUNDDOWN($E1249*設定!$C$4,0),ROUNDDOWN($E1249*ROUND((9*$AA1249-9*$E1249)/(10*$E1249),4),0))))</f>
        <v/>
      </c>
      <c r="AD1249" s="13" t="n"/>
      <c r="AE1249" s="15">
        <f>IF($B1249="","",IF($AD1249&lt;&gt;"",$AD1249,IF($AC1249="","",IF($AC1249&lt;=設定!$C$3,0,$AC1249))))</f>
        <v/>
      </c>
      <c r="AF1249" s="14">
        <f>IF($B1249="","",IF(AND($AG1249&lt;&gt;"",$AI1249="",$AL1249=""),"保留中",IF($AL1249&lt;&gt;"",IF(N($AE1249)&gt;0,"支給済","不支給"),IF($AE1249="","要確認",IF($AE1249=0,"不支給","未処理")))))</f>
        <v/>
      </c>
      <c r="AG1249" s="12" t="n"/>
      <c r="AH1249" s="11" t="n"/>
      <c r="AI1249" s="11" t="n"/>
      <c r="AJ1249" s="11" t="n"/>
      <c r="AK1249" s="14">
        <f>IF(AND($AF1249="保留中",$AH1249&lt;&gt;""),TODAY()-$AH1249,"")</f>
        <v/>
      </c>
      <c r="AL1249" s="12" t="n"/>
      <c r="AM1249" s="14">
        <f>IF($B1249="","",IF($AQ1249="","対象年月が未入力／","")&amp;IF($B1249="","",IF($AP1249="","職員マスタに未登録の職員番号／",IF($AA1249="","標準報酬月額が未登録／","")&amp;IF(AND($AQ1249&lt;&gt;"",OR(AND(INDEX(職員マスタ!$G$6:$G$405,$AP1249)&lt;&gt;"",INDEX(職員マスタ!$G$6:$G$405,$AP1249)&gt;EOMONTH($AQ1249,0)),AND(INDEX(職員マスタ!$H$6:$H$405,$AP1249)&lt;&gt;"",INDEX(職員マスタ!$H$6:$H$405,$AP1249)&lt;$AQ1249))),"対象月が時短期間外／","")&amp;IF(AND(INDEX(職員マスタ!$K$6:$K$405,$AP1249)&lt;&gt;"",N($W1249)&gt;0,INDEX(職員マスタ!$K$6:$K$405,$AP1249)&lt;&gt;$W1249),"標準報酬月額が申請書と相違（台帳"&amp;TEXT(INDEX(職員マスタ!$K$6:$K$405,$AP1249),"#,##0")&amp;"円／申請書"&amp;TEXT($W1249,"#,##0")&amp;"円）／","")&amp;IF(AND(INDEX(職員マスタ!$F$6:$F$405,$AP1249)&lt;&gt;"",$AQ1249&lt;&gt;"",INDEX(職員マスタ!$F$6:$F$405,$AP1249)&lt;$AQ1249),"対象月に子が2歳到達済／","")&amp;IF(AND($H1249&lt;&gt;"",INDEX(職員マスタ!$B$6:$B$405,$AP1249)&lt;&gt;"",SUBSTITUTE(SUBSTITUTE($H1249," ","")," ","")&lt;&gt;SUBSTITUTE(SUBSTITUTE(INDEX(職員マスタ!$B$6:$B$405,$AP1249)," ","")," ","")),"氏名がマスタと相違／","")&amp;IF(AND($Q1249&lt;&gt;"",INDEX(職員マスタ!$E$6:$E$405,$AP1249)&lt;&gt;"",$Q1249&lt;&gt;INDEX(職員マスタ!$E$6:$E$405,$AP1249)),"子の生年月日がマスタと相違／","")&amp;IF(AND($L1249&lt;&gt;"",INDEX(職員マスタ!$G$6:$G$405,$AP1249)&lt;&gt;"",$L1249&lt;&gt;INDEX(職員マスタ!$G$6:$G$405,$AP1249)),"時短開始日がマスタと相違／","")&amp;IF(AND($M1249&lt;&gt;"",INDEX(職員マスタ!$H$6:$H$405,$AP1249)&lt;&gt;"",$M1249&lt;&gt;INDEX(職員マスタ!$H$6:$H$405,$AP1249)),"時短終了日がマスタと相違／","")))&amp;IF(AND($B1249&lt;&gt;"",$E1249=""),"報酬額が未入力／","")&amp;IF(N($U1249)&gt;0,"申請書に入力エラーが残っています／","")&amp;IF(AND($B1249&lt;&gt;"",$AQ1249&lt;&gt;""),IF(COUNTIFS($B$6:$B$3005,$B1249,$C$6:$C$3005,$C1249,$D$6:$D$3005,$D1249)&gt;1,"同じ月の請求が重複しています／",""),"")&amp;IF(AND(N($E1249)&gt;0,$AB1249&lt;&gt;"",$AB1249&lt;&gt;"×",$AE1249=0,$AD1249=""),"計算額が下限以下のため不支給／",""))</f>
        <v/>
      </c>
      <c r="AN1249" s="12" t="n"/>
      <c r="AO1249" s="14">
        <f>IF($AF1249="保留中",COUNTIF($AF$6:$AF1249,"保留中"),"")</f>
        <v/>
      </c>
      <c r="AP1249" s="14">
        <f>IF($AQ1249="","",IF(SUMPRODUCT(MAX((職員マスタ!$A$6:$A$405=$B1249)*(((職員マスタ!$G$6:$G$405="")+(職員マスタ!$G$6:$G$405&lt;=EOMONTH($AQ1249,0)))&gt;0)*(((職員マスタ!$H$6:$H$405="")+(職員マスタ!$H$6:$H$405&gt;=$AQ1249))&gt;0)*(ROW(職員マスタ!$A$6:$A$405)-5)))&gt;0,SUMPRODUCT(MAX((職員マスタ!$A$6:$A$405=$B1249)*(((職員マスタ!$G$6:$G$405="")+(職員マスタ!$G$6:$G$405&lt;=EOMONTH($AQ1249,0)))&gt;0)*(((職員マスタ!$H$6:$H$405="")+(職員マスタ!$H$6:$H$405&gt;=$AQ1249))&gt;0)*(ROW(職員マスタ!$A$6:$A$405)-5))),IFERROR(MATCH($B1249,職員マスタ!$A$6:$A$405,0),"")))</f>
        <v/>
      </c>
      <c r="AQ1249" s="16">
        <f>IF(OR($B1249="",$C1249="",$D1249=""),"",DATE($C1249+2018,$D1249,1))</f>
        <v/>
      </c>
    </row>
    <row r="1250">
      <c r="A1250" s="11" t="n"/>
      <c r="B1250" s="12" t="n"/>
      <c r="C1250" s="12" t="n"/>
      <c r="D1250" s="12" t="n"/>
      <c r="E1250" s="13" t="n"/>
      <c r="F1250" s="12" t="n"/>
      <c r="G1250" s="13" t="n"/>
      <c r="H1250" s="12" t="n"/>
      <c r="I1250" s="12" t="n"/>
      <c r="J1250" s="12" t="n"/>
      <c r="K1250" s="12" t="n"/>
      <c r="L1250" s="11" t="n"/>
      <c r="M1250" s="11" t="n"/>
      <c r="N1250" s="11" t="n"/>
      <c r="O1250" s="11" t="n"/>
      <c r="P1250" s="12" t="n"/>
      <c r="Q1250" s="11" t="n"/>
      <c r="R1250" s="12" t="n"/>
      <c r="S1250" s="11" t="n"/>
      <c r="T1250" s="12" t="n"/>
      <c r="U1250" s="12" t="n"/>
      <c r="V1250" s="12" t="n"/>
      <c r="W1250" s="13" t="n"/>
      <c r="X1250" s="14">
        <f>IF($AP1250="",IF($B1250="","",$H1250),IF(INDEX(職員マスタ!$B$6:$B$405,$AP1250)="",$H1250,INDEX(職員マスタ!$B$6:$B$405,$AP1250)))</f>
        <v/>
      </c>
      <c r="Y1250" s="14">
        <f>IF($AP1250="",IF($B1250="","",$R1250),IF(INDEX(職員マスタ!$C$6:$C$405,$AP1250)="",$R1250,INDEX(職員マスタ!$C$6:$C$405,$AP1250)))</f>
        <v/>
      </c>
      <c r="Z1250" s="14">
        <f>IF($AQ1250="","","R"&amp;$C1250&amp;"."&amp;$D1250)</f>
        <v/>
      </c>
      <c r="AA1250" s="15">
        <f>IF(IF($AP1250="",FALSE,INDEX(職員マスタ!$K$6:$K$405,$AP1250)&lt;&gt;""),INDEX(職員マスタ!$K$6:$K$405,$AP1250),IF(N($W1250)&gt;0,$W1250,""))</f>
        <v/>
      </c>
      <c r="AB1250" s="14">
        <f>IF(OR($E1250="",$AA1250=""),"",IF($E1250&gt;=$AA1250,"×",IF($E1250&gt;=$AA1250*設定!$C$5,"△","○")))</f>
        <v/>
      </c>
      <c r="AC1250" s="15">
        <f>IF($AB1250="","",IF($AB1250="×",0,IF($AB1250="○",ROUNDDOWN($E1250*設定!$C$4,0),ROUNDDOWN($E1250*ROUND((9*$AA1250-9*$E1250)/(10*$E1250),4),0))))</f>
        <v/>
      </c>
      <c r="AD1250" s="13" t="n"/>
      <c r="AE1250" s="15">
        <f>IF($B1250="","",IF($AD1250&lt;&gt;"",$AD1250,IF($AC1250="","",IF($AC1250&lt;=設定!$C$3,0,$AC1250))))</f>
        <v/>
      </c>
      <c r="AF1250" s="14">
        <f>IF($B1250="","",IF(AND($AG1250&lt;&gt;"",$AI1250="",$AL1250=""),"保留中",IF($AL1250&lt;&gt;"",IF(N($AE1250)&gt;0,"支給済","不支給"),IF($AE1250="","要確認",IF($AE1250=0,"不支給","未処理")))))</f>
        <v/>
      </c>
      <c r="AG1250" s="12" t="n"/>
      <c r="AH1250" s="11" t="n"/>
      <c r="AI1250" s="11" t="n"/>
      <c r="AJ1250" s="11" t="n"/>
      <c r="AK1250" s="14">
        <f>IF(AND($AF1250="保留中",$AH1250&lt;&gt;""),TODAY()-$AH1250,"")</f>
        <v/>
      </c>
      <c r="AL1250" s="12" t="n"/>
      <c r="AM1250" s="14">
        <f>IF($B1250="","",IF($AQ1250="","対象年月が未入力／","")&amp;IF($B1250="","",IF($AP1250="","職員マスタに未登録の職員番号／",IF($AA1250="","標準報酬月額が未登録／","")&amp;IF(AND($AQ1250&lt;&gt;"",OR(AND(INDEX(職員マスタ!$G$6:$G$405,$AP1250)&lt;&gt;"",INDEX(職員マスタ!$G$6:$G$405,$AP1250)&gt;EOMONTH($AQ1250,0)),AND(INDEX(職員マスタ!$H$6:$H$405,$AP1250)&lt;&gt;"",INDEX(職員マスタ!$H$6:$H$405,$AP1250)&lt;$AQ1250))),"対象月が時短期間外／","")&amp;IF(AND(INDEX(職員マスタ!$K$6:$K$405,$AP1250)&lt;&gt;"",N($W1250)&gt;0,INDEX(職員マスタ!$K$6:$K$405,$AP1250)&lt;&gt;$W1250),"標準報酬月額が申請書と相違（台帳"&amp;TEXT(INDEX(職員マスタ!$K$6:$K$405,$AP1250),"#,##0")&amp;"円／申請書"&amp;TEXT($W1250,"#,##0")&amp;"円）／","")&amp;IF(AND(INDEX(職員マスタ!$F$6:$F$405,$AP1250)&lt;&gt;"",$AQ1250&lt;&gt;"",INDEX(職員マスタ!$F$6:$F$405,$AP1250)&lt;$AQ1250),"対象月に子が2歳到達済／","")&amp;IF(AND($H1250&lt;&gt;"",INDEX(職員マスタ!$B$6:$B$405,$AP1250)&lt;&gt;"",SUBSTITUTE(SUBSTITUTE($H1250," ","")," ","")&lt;&gt;SUBSTITUTE(SUBSTITUTE(INDEX(職員マスタ!$B$6:$B$405,$AP1250)," ","")," ","")),"氏名がマスタと相違／","")&amp;IF(AND($Q1250&lt;&gt;"",INDEX(職員マスタ!$E$6:$E$405,$AP1250)&lt;&gt;"",$Q1250&lt;&gt;INDEX(職員マスタ!$E$6:$E$405,$AP1250)),"子の生年月日がマスタと相違／","")&amp;IF(AND($L1250&lt;&gt;"",INDEX(職員マスタ!$G$6:$G$405,$AP1250)&lt;&gt;"",$L1250&lt;&gt;INDEX(職員マスタ!$G$6:$G$405,$AP1250)),"時短開始日がマスタと相違／","")&amp;IF(AND($M1250&lt;&gt;"",INDEX(職員マスタ!$H$6:$H$405,$AP1250)&lt;&gt;"",$M1250&lt;&gt;INDEX(職員マスタ!$H$6:$H$405,$AP1250)),"時短終了日がマスタと相違／","")))&amp;IF(AND($B1250&lt;&gt;"",$E1250=""),"報酬額が未入力／","")&amp;IF(N($U1250)&gt;0,"申請書に入力エラーが残っています／","")&amp;IF(AND($B1250&lt;&gt;"",$AQ1250&lt;&gt;""),IF(COUNTIFS($B$6:$B$3005,$B1250,$C$6:$C$3005,$C1250,$D$6:$D$3005,$D1250)&gt;1,"同じ月の請求が重複しています／",""),"")&amp;IF(AND(N($E1250)&gt;0,$AB1250&lt;&gt;"",$AB1250&lt;&gt;"×",$AE1250=0,$AD1250=""),"計算額が下限以下のため不支給／",""))</f>
        <v/>
      </c>
      <c r="AN1250" s="12" t="n"/>
      <c r="AO1250" s="14">
        <f>IF($AF1250="保留中",COUNTIF($AF$6:$AF1250,"保留中"),"")</f>
        <v/>
      </c>
      <c r="AP1250" s="14">
        <f>IF($AQ1250="","",IF(SUMPRODUCT(MAX((職員マスタ!$A$6:$A$405=$B1250)*(((職員マスタ!$G$6:$G$405="")+(職員マスタ!$G$6:$G$405&lt;=EOMONTH($AQ1250,0)))&gt;0)*(((職員マスタ!$H$6:$H$405="")+(職員マスタ!$H$6:$H$405&gt;=$AQ1250))&gt;0)*(ROW(職員マスタ!$A$6:$A$405)-5)))&gt;0,SUMPRODUCT(MAX((職員マスタ!$A$6:$A$405=$B1250)*(((職員マスタ!$G$6:$G$405="")+(職員マスタ!$G$6:$G$405&lt;=EOMONTH($AQ1250,0)))&gt;0)*(((職員マスタ!$H$6:$H$405="")+(職員マスタ!$H$6:$H$405&gt;=$AQ1250))&gt;0)*(ROW(職員マスタ!$A$6:$A$405)-5))),IFERROR(MATCH($B1250,職員マスタ!$A$6:$A$405,0),"")))</f>
        <v/>
      </c>
      <c r="AQ1250" s="16">
        <f>IF(OR($B1250="",$C1250="",$D1250=""),"",DATE($C1250+2018,$D1250,1))</f>
        <v/>
      </c>
    </row>
    <row r="1251">
      <c r="A1251" s="11" t="n"/>
      <c r="B1251" s="12" t="n"/>
      <c r="C1251" s="12" t="n"/>
      <c r="D1251" s="12" t="n"/>
      <c r="E1251" s="13" t="n"/>
      <c r="F1251" s="12" t="n"/>
      <c r="G1251" s="13" t="n"/>
      <c r="H1251" s="12" t="n"/>
      <c r="I1251" s="12" t="n"/>
      <c r="J1251" s="12" t="n"/>
      <c r="K1251" s="12" t="n"/>
      <c r="L1251" s="11" t="n"/>
      <c r="M1251" s="11" t="n"/>
      <c r="N1251" s="11" t="n"/>
      <c r="O1251" s="11" t="n"/>
      <c r="P1251" s="12" t="n"/>
      <c r="Q1251" s="11" t="n"/>
      <c r="R1251" s="12" t="n"/>
      <c r="S1251" s="11" t="n"/>
      <c r="T1251" s="12" t="n"/>
      <c r="U1251" s="12" t="n"/>
      <c r="V1251" s="12" t="n"/>
      <c r="W1251" s="13" t="n"/>
      <c r="X1251" s="14">
        <f>IF($AP1251="",IF($B1251="","",$H1251),IF(INDEX(職員マスタ!$B$6:$B$405,$AP1251)="",$H1251,INDEX(職員マスタ!$B$6:$B$405,$AP1251)))</f>
        <v/>
      </c>
      <c r="Y1251" s="14">
        <f>IF($AP1251="",IF($B1251="","",$R1251),IF(INDEX(職員マスタ!$C$6:$C$405,$AP1251)="",$R1251,INDEX(職員マスタ!$C$6:$C$405,$AP1251)))</f>
        <v/>
      </c>
      <c r="Z1251" s="14">
        <f>IF($AQ1251="","","R"&amp;$C1251&amp;"."&amp;$D1251)</f>
        <v/>
      </c>
      <c r="AA1251" s="15">
        <f>IF(IF($AP1251="",FALSE,INDEX(職員マスタ!$K$6:$K$405,$AP1251)&lt;&gt;""),INDEX(職員マスタ!$K$6:$K$405,$AP1251),IF(N($W1251)&gt;0,$W1251,""))</f>
        <v/>
      </c>
      <c r="AB1251" s="14">
        <f>IF(OR($E1251="",$AA1251=""),"",IF($E1251&gt;=$AA1251,"×",IF($E1251&gt;=$AA1251*設定!$C$5,"△","○")))</f>
        <v/>
      </c>
      <c r="AC1251" s="15">
        <f>IF($AB1251="","",IF($AB1251="×",0,IF($AB1251="○",ROUNDDOWN($E1251*設定!$C$4,0),ROUNDDOWN($E1251*ROUND((9*$AA1251-9*$E1251)/(10*$E1251),4),0))))</f>
        <v/>
      </c>
      <c r="AD1251" s="13" t="n"/>
      <c r="AE1251" s="15">
        <f>IF($B1251="","",IF($AD1251&lt;&gt;"",$AD1251,IF($AC1251="","",IF($AC1251&lt;=設定!$C$3,0,$AC1251))))</f>
        <v/>
      </c>
      <c r="AF1251" s="14">
        <f>IF($B1251="","",IF(AND($AG1251&lt;&gt;"",$AI1251="",$AL1251=""),"保留中",IF($AL1251&lt;&gt;"",IF(N($AE1251)&gt;0,"支給済","不支給"),IF($AE1251="","要確認",IF($AE1251=0,"不支給","未処理")))))</f>
        <v/>
      </c>
      <c r="AG1251" s="12" t="n"/>
      <c r="AH1251" s="11" t="n"/>
      <c r="AI1251" s="11" t="n"/>
      <c r="AJ1251" s="11" t="n"/>
      <c r="AK1251" s="14">
        <f>IF(AND($AF1251="保留中",$AH1251&lt;&gt;""),TODAY()-$AH1251,"")</f>
        <v/>
      </c>
      <c r="AL1251" s="12" t="n"/>
      <c r="AM1251" s="14">
        <f>IF($B1251="","",IF($AQ1251="","対象年月が未入力／","")&amp;IF($B1251="","",IF($AP1251="","職員マスタに未登録の職員番号／",IF($AA1251="","標準報酬月額が未登録／","")&amp;IF(AND($AQ1251&lt;&gt;"",OR(AND(INDEX(職員マスタ!$G$6:$G$405,$AP1251)&lt;&gt;"",INDEX(職員マスタ!$G$6:$G$405,$AP1251)&gt;EOMONTH($AQ1251,0)),AND(INDEX(職員マスタ!$H$6:$H$405,$AP1251)&lt;&gt;"",INDEX(職員マスタ!$H$6:$H$405,$AP1251)&lt;$AQ1251))),"対象月が時短期間外／","")&amp;IF(AND(INDEX(職員マスタ!$K$6:$K$405,$AP1251)&lt;&gt;"",N($W1251)&gt;0,INDEX(職員マスタ!$K$6:$K$405,$AP1251)&lt;&gt;$W1251),"標準報酬月額が申請書と相違（台帳"&amp;TEXT(INDEX(職員マスタ!$K$6:$K$405,$AP1251),"#,##0")&amp;"円／申請書"&amp;TEXT($W1251,"#,##0")&amp;"円）／","")&amp;IF(AND(INDEX(職員マスタ!$F$6:$F$405,$AP1251)&lt;&gt;"",$AQ1251&lt;&gt;"",INDEX(職員マスタ!$F$6:$F$405,$AP1251)&lt;$AQ1251),"対象月に子が2歳到達済／","")&amp;IF(AND($H1251&lt;&gt;"",INDEX(職員マスタ!$B$6:$B$405,$AP1251)&lt;&gt;"",SUBSTITUTE(SUBSTITUTE($H1251," ","")," ","")&lt;&gt;SUBSTITUTE(SUBSTITUTE(INDEX(職員マスタ!$B$6:$B$405,$AP1251)," ","")," ","")),"氏名がマスタと相違／","")&amp;IF(AND($Q1251&lt;&gt;"",INDEX(職員マスタ!$E$6:$E$405,$AP1251)&lt;&gt;"",$Q1251&lt;&gt;INDEX(職員マスタ!$E$6:$E$405,$AP1251)),"子の生年月日がマスタと相違／","")&amp;IF(AND($L1251&lt;&gt;"",INDEX(職員マスタ!$G$6:$G$405,$AP1251)&lt;&gt;"",$L1251&lt;&gt;INDEX(職員マスタ!$G$6:$G$405,$AP1251)),"時短開始日がマスタと相違／","")&amp;IF(AND($M1251&lt;&gt;"",INDEX(職員マスタ!$H$6:$H$405,$AP1251)&lt;&gt;"",$M1251&lt;&gt;INDEX(職員マスタ!$H$6:$H$405,$AP1251)),"時短終了日がマスタと相違／","")))&amp;IF(AND($B1251&lt;&gt;"",$E1251=""),"報酬額が未入力／","")&amp;IF(N($U1251)&gt;0,"申請書に入力エラーが残っています／","")&amp;IF(AND($B1251&lt;&gt;"",$AQ1251&lt;&gt;""),IF(COUNTIFS($B$6:$B$3005,$B1251,$C$6:$C$3005,$C1251,$D$6:$D$3005,$D1251)&gt;1,"同じ月の請求が重複しています／",""),"")&amp;IF(AND(N($E1251)&gt;0,$AB1251&lt;&gt;"",$AB1251&lt;&gt;"×",$AE1251=0,$AD1251=""),"計算額が下限以下のため不支給／",""))</f>
        <v/>
      </c>
      <c r="AN1251" s="12" t="n"/>
      <c r="AO1251" s="14">
        <f>IF($AF1251="保留中",COUNTIF($AF$6:$AF1251,"保留中"),"")</f>
        <v/>
      </c>
      <c r="AP1251" s="14">
        <f>IF($AQ1251="","",IF(SUMPRODUCT(MAX((職員マスタ!$A$6:$A$405=$B1251)*(((職員マスタ!$G$6:$G$405="")+(職員マスタ!$G$6:$G$405&lt;=EOMONTH($AQ1251,0)))&gt;0)*(((職員マスタ!$H$6:$H$405="")+(職員マスタ!$H$6:$H$405&gt;=$AQ1251))&gt;0)*(ROW(職員マスタ!$A$6:$A$405)-5)))&gt;0,SUMPRODUCT(MAX((職員マスタ!$A$6:$A$405=$B1251)*(((職員マスタ!$G$6:$G$405="")+(職員マスタ!$G$6:$G$405&lt;=EOMONTH($AQ1251,0)))&gt;0)*(((職員マスタ!$H$6:$H$405="")+(職員マスタ!$H$6:$H$405&gt;=$AQ1251))&gt;0)*(ROW(職員マスタ!$A$6:$A$405)-5))),IFERROR(MATCH($B1251,職員マスタ!$A$6:$A$405,0),"")))</f>
        <v/>
      </c>
      <c r="AQ1251" s="16">
        <f>IF(OR($B1251="",$C1251="",$D1251=""),"",DATE($C1251+2018,$D1251,1))</f>
        <v/>
      </c>
    </row>
    <row r="1252">
      <c r="A1252" s="11" t="n"/>
      <c r="B1252" s="12" t="n"/>
      <c r="C1252" s="12" t="n"/>
      <c r="D1252" s="12" t="n"/>
      <c r="E1252" s="13" t="n"/>
      <c r="F1252" s="12" t="n"/>
      <c r="G1252" s="13" t="n"/>
      <c r="H1252" s="12" t="n"/>
      <c r="I1252" s="12" t="n"/>
      <c r="J1252" s="12" t="n"/>
      <c r="K1252" s="12" t="n"/>
      <c r="L1252" s="11" t="n"/>
      <c r="M1252" s="11" t="n"/>
      <c r="N1252" s="11" t="n"/>
      <c r="O1252" s="11" t="n"/>
      <c r="P1252" s="12" t="n"/>
      <c r="Q1252" s="11" t="n"/>
      <c r="R1252" s="12" t="n"/>
      <c r="S1252" s="11" t="n"/>
      <c r="T1252" s="12" t="n"/>
      <c r="U1252" s="12" t="n"/>
      <c r="V1252" s="12" t="n"/>
      <c r="W1252" s="13" t="n"/>
      <c r="X1252" s="14">
        <f>IF($AP1252="",IF($B1252="","",$H1252),IF(INDEX(職員マスタ!$B$6:$B$405,$AP1252)="",$H1252,INDEX(職員マスタ!$B$6:$B$405,$AP1252)))</f>
        <v/>
      </c>
      <c r="Y1252" s="14">
        <f>IF($AP1252="",IF($B1252="","",$R1252),IF(INDEX(職員マスタ!$C$6:$C$405,$AP1252)="",$R1252,INDEX(職員マスタ!$C$6:$C$405,$AP1252)))</f>
        <v/>
      </c>
      <c r="Z1252" s="14">
        <f>IF($AQ1252="","","R"&amp;$C1252&amp;"."&amp;$D1252)</f>
        <v/>
      </c>
      <c r="AA1252" s="15">
        <f>IF(IF($AP1252="",FALSE,INDEX(職員マスタ!$K$6:$K$405,$AP1252)&lt;&gt;""),INDEX(職員マスタ!$K$6:$K$405,$AP1252),IF(N($W1252)&gt;0,$W1252,""))</f>
        <v/>
      </c>
      <c r="AB1252" s="14">
        <f>IF(OR($E1252="",$AA1252=""),"",IF($E1252&gt;=$AA1252,"×",IF($E1252&gt;=$AA1252*設定!$C$5,"△","○")))</f>
        <v/>
      </c>
      <c r="AC1252" s="15">
        <f>IF($AB1252="","",IF($AB1252="×",0,IF($AB1252="○",ROUNDDOWN($E1252*設定!$C$4,0),ROUNDDOWN($E1252*ROUND((9*$AA1252-9*$E1252)/(10*$E1252),4),0))))</f>
        <v/>
      </c>
      <c r="AD1252" s="13" t="n"/>
      <c r="AE1252" s="15">
        <f>IF($B1252="","",IF($AD1252&lt;&gt;"",$AD1252,IF($AC1252="","",IF($AC1252&lt;=設定!$C$3,0,$AC1252))))</f>
        <v/>
      </c>
      <c r="AF1252" s="14">
        <f>IF($B1252="","",IF(AND($AG1252&lt;&gt;"",$AI1252="",$AL1252=""),"保留中",IF($AL1252&lt;&gt;"",IF(N($AE1252)&gt;0,"支給済","不支給"),IF($AE1252="","要確認",IF($AE1252=0,"不支給","未処理")))))</f>
        <v/>
      </c>
      <c r="AG1252" s="12" t="n"/>
      <c r="AH1252" s="11" t="n"/>
      <c r="AI1252" s="11" t="n"/>
      <c r="AJ1252" s="11" t="n"/>
      <c r="AK1252" s="14">
        <f>IF(AND($AF1252="保留中",$AH1252&lt;&gt;""),TODAY()-$AH1252,"")</f>
        <v/>
      </c>
      <c r="AL1252" s="12" t="n"/>
      <c r="AM1252" s="14">
        <f>IF($B1252="","",IF($AQ1252="","対象年月が未入力／","")&amp;IF($B1252="","",IF($AP1252="","職員マスタに未登録の職員番号／",IF($AA1252="","標準報酬月額が未登録／","")&amp;IF(AND($AQ1252&lt;&gt;"",OR(AND(INDEX(職員マスタ!$G$6:$G$405,$AP1252)&lt;&gt;"",INDEX(職員マスタ!$G$6:$G$405,$AP1252)&gt;EOMONTH($AQ1252,0)),AND(INDEX(職員マスタ!$H$6:$H$405,$AP1252)&lt;&gt;"",INDEX(職員マスタ!$H$6:$H$405,$AP1252)&lt;$AQ1252))),"対象月が時短期間外／","")&amp;IF(AND(INDEX(職員マスタ!$K$6:$K$405,$AP1252)&lt;&gt;"",N($W1252)&gt;0,INDEX(職員マスタ!$K$6:$K$405,$AP1252)&lt;&gt;$W1252),"標準報酬月額が申請書と相違（台帳"&amp;TEXT(INDEX(職員マスタ!$K$6:$K$405,$AP1252),"#,##0")&amp;"円／申請書"&amp;TEXT($W1252,"#,##0")&amp;"円）／","")&amp;IF(AND(INDEX(職員マスタ!$F$6:$F$405,$AP1252)&lt;&gt;"",$AQ1252&lt;&gt;"",INDEX(職員マスタ!$F$6:$F$405,$AP1252)&lt;$AQ1252),"対象月に子が2歳到達済／","")&amp;IF(AND($H1252&lt;&gt;"",INDEX(職員マスタ!$B$6:$B$405,$AP1252)&lt;&gt;"",SUBSTITUTE(SUBSTITUTE($H1252," ","")," ","")&lt;&gt;SUBSTITUTE(SUBSTITUTE(INDEX(職員マスタ!$B$6:$B$405,$AP1252)," ","")," ","")),"氏名がマスタと相違／","")&amp;IF(AND($Q1252&lt;&gt;"",INDEX(職員マスタ!$E$6:$E$405,$AP1252)&lt;&gt;"",$Q1252&lt;&gt;INDEX(職員マスタ!$E$6:$E$405,$AP1252)),"子の生年月日がマスタと相違／","")&amp;IF(AND($L1252&lt;&gt;"",INDEX(職員マスタ!$G$6:$G$405,$AP1252)&lt;&gt;"",$L1252&lt;&gt;INDEX(職員マスタ!$G$6:$G$405,$AP1252)),"時短開始日がマスタと相違／","")&amp;IF(AND($M1252&lt;&gt;"",INDEX(職員マスタ!$H$6:$H$405,$AP1252)&lt;&gt;"",$M1252&lt;&gt;INDEX(職員マスタ!$H$6:$H$405,$AP1252)),"時短終了日がマスタと相違／","")))&amp;IF(AND($B1252&lt;&gt;"",$E1252=""),"報酬額が未入力／","")&amp;IF(N($U1252)&gt;0,"申請書に入力エラーが残っています／","")&amp;IF(AND($B1252&lt;&gt;"",$AQ1252&lt;&gt;""),IF(COUNTIFS($B$6:$B$3005,$B1252,$C$6:$C$3005,$C1252,$D$6:$D$3005,$D1252)&gt;1,"同じ月の請求が重複しています／",""),"")&amp;IF(AND(N($E1252)&gt;0,$AB1252&lt;&gt;"",$AB1252&lt;&gt;"×",$AE1252=0,$AD1252=""),"計算額が下限以下のため不支給／",""))</f>
        <v/>
      </c>
      <c r="AN1252" s="12" t="n"/>
      <c r="AO1252" s="14">
        <f>IF($AF1252="保留中",COUNTIF($AF$6:$AF1252,"保留中"),"")</f>
        <v/>
      </c>
      <c r="AP1252" s="14">
        <f>IF($AQ1252="","",IF(SUMPRODUCT(MAX((職員マスタ!$A$6:$A$405=$B1252)*(((職員マスタ!$G$6:$G$405="")+(職員マスタ!$G$6:$G$405&lt;=EOMONTH($AQ1252,0)))&gt;0)*(((職員マスタ!$H$6:$H$405="")+(職員マスタ!$H$6:$H$405&gt;=$AQ1252))&gt;0)*(ROW(職員マスタ!$A$6:$A$405)-5)))&gt;0,SUMPRODUCT(MAX((職員マスタ!$A$6:$A$405=$B1252)*(((職員マスタ!$G$6:$G$405="")+(職員マスタ!$G$6:$G$405&lt;=EOMONTH($AQ1252,0)))&gt;0)*(((職員マスタ!$H$6:$H$405="")+(職員マスタ!$H$6:$H$405&gt;=$AQ1252))&gt;0)*(ROW(職員マスタ!$A$6:$A$405)-5))),IFERROR(MATCH($B1252,職員マスタ!$A$6:$A$405,0),"")))</f>
        <v/>
      </c>
      <c r="AQ1252" s="16">
        <f>IF(OR($B1252="",$C1252="",$D1252=""),"",DATE($C1252+2018,$D1252,1))</f>
        <v/>
      </c>
    </row>
    <row r="1253">
      <c r="A1253" s="11" t="n"/>
      <c r="B1253" s="12" t="n"/>
      <c r="C1253" s="12" t="n"/>
      <c r="D1253" s="12" t="n"/>
      <c r="E1253" s="13" t="n"/>
      <c r="F1253" s="12" t="n"/>
      <c r="G1253" s="13" t="n"/>
      <c r="H1253" s="12" t="n"/>
      <c r="I1253" s="12" t="n"/>
      <c r="J1253" s="12" t="n"/>
      <c r="K1253" s="12" t="n"/>
      <c r="L1253" s="11" t="n"/>
      <c r="M1253" s="11" t="n"/>
      <c r="N1253" s="11" t="n"/>
      <c r="O1253" s="11" t="n"/>
      <c r="P1253" s="12" t="n"/>
      <c r="Q1253" s="11" t="n"/>
      <c r="R1253" s="12" t="n"/>
      <c r="S1253" s="11" t="n"/>
      <c r="T1253" s="12" t="n"/>
      <c r="U1253" s="12" t="n"/>
      <c r="V1253" s="12" t="n"/>
      <c r="W1253" s="13" t="n"/>
      <c r="X1253" s="14">
        <f>IF($AP1253="",IF($B1253="","",$H1253),IF(INDEX(職員マスタ!$B$6:$B$405,$AP1253)="",$H1253,INDEX(職員マスタ!$B$6:$B$405,$AP1253)))</f>
        <v/>
      </c>
      <c r="Y1253" s="14">
        <f>IF($AP1253="",IF($B1253="","",$R1253),IF(INDEX(職員マスタ!$C$6:$C$405,$AP1253)="",$R1253,INDEX(職員マスタ!$C$6:$C$405,$AP1253)))</f>
        <v/>
      </c>
      <c r="Z1253" s="14">
        <f>IF($AQ1253="","","R"&amp;$C1253&amp;"."&amp;$D1253)</f>
        <v/>
      </c>
      <c r="AA1253" s="15">
        <f>IF(IF($AP1253="",FALSE,INDEX(職員マスタ!$K$6:$K$405,$AP1253)&lt;&gt;""),INDEX(職員マスタ!$K$6:$K$405,$AP1253),IF(N($W1253)&gt;0,$W1253,""))</f>
        <v/>
      </c>
      <c r="AB1253" s="14">
        <f>IF(OR($E1253="",$AA1253=""),"",IF($E1253&gt;=$AA1253,"×",IF($E1253&gt;=$AA1253*設定!$C$5,"△","○")))</f>
        <v/>
      </c>
      <c r="AC1253" s="15">
        <f>IF($AB1253="","",IF($AB1253="×",0,IF($AB1253="○",ROUNDDOWN($E1253*設定!$C$4,0),ROUNDDOWN($E1253*ROUND((9*$AA1253-9*$E1253)/(10*$E1253),4),0))))</f>
        <v/>
      </c>
      <c r="AD1253" s="13" t="n"/>
      <c r="AE1253" s="15">
        <f>IF($B1253="","",IF($AD1253&lt;&gt;"",$AD1253,IF($AC1253="","",IF($AC1253&lt;=設定!$C$3,0,$AC1253))))</f>
        <v/>
      </c>
      <c r="AF1253" s="14">
        <f>IF($B1253="","",IF(AND($AG1253&lt;&gt;"",$AI1253="",$AL1253=""),"保留中",IF($AL1253&lt;&gt;"",IF(N($AE1253)&gt;0,"支給済","不支給"),IF($AE1253="","要確認",IF($AE1253=0,"不支給","未処理")))))</f>
        <v/>
      </c>
      <c r="AG1253" s="12" t="n"/>
      <c r="AH1253" s="11" t="n"/>
      <c r="AI1253" s="11" t="n"/>
      <c r="AJ1253" s="11" t="n"/>
      <c r="AK1253" s="14">
        <f>IF(AND($AF1253="保留中",$AH1253&lt;&gt;""),TODAY()-$AH1253,"")</f>
        <v/>
      </c>
      <c r="AL1253" s="12" t="n"/>
      <c r="AM1253" s="14">
        <f>IF($B1253="","",IF($AQ1253="","対象年月が未入力／","")&amp;IF($B1253="","",IF($AP1253="","職員マスタに未登録の職員番号／",IF($AA1253="","標準報酬月額が未登録／","")&amp;IF(AND($AQ1253&lt;&gt;"",OR(AND(INDEX(職員マスタ!$G$6:$G$405,$AP1253)&lt;&gt;"",INDEX(職員マスタ!$G$6:$G$405,$AP1253)&gt;EOMONTH($AQ1253,0)),AND(INDEX(職員マスタ!$H$6:$H$405,$AP1253)&lt;&gt;"",INDEX(職員マスタ!$H$6:$H$405,$AP1253)&lt;$AQ1253))),"対象月が時短期間外／","")&amp;IF(AND(INDEX(職員マスタ!$K$6:$K$405,$AP1253)&lt;&gt;"",N($W1253)&gt;0,INDEX(職員マスタ!$K$6:$K$405,$AP1253)&lt;&gt;$W1253),"標準報酬月額が申請書と相違（台帳"&amp;TEXT(INDEX(職員マスタ!$K$6:$K$405,$AP1253),"#,##0")&amp;"円／申請書"&amp;TEXT($W1253,"#,##0")&amp;"円）／","")&amp;IF(AND(INDEX(職員マスタ!$F$6:$F$405,$AP1253)&lt;&gt;"",$AQ1253&lt;&gt;"",INDEX(職員マスタ!$F$6:$F$405,$AP1253)&lt;$AQ1253),"対象月に子が2歳到達済／","")&amp;IF(AND($H1253&lt;&gt;"",INDEX(職員マスタ!$B$6:$B$405,$AP1253)&lt;&gt;"",SUBSTITUTE(SUBSTITUTE($H1253," ","")," ","")&lt;&gt;SUBSTITUTE(SUBSTITUTE(INDEX(職員マスタ!$B$6:$B$405,$AP1253)," ","")," ","")),"氏名がマスタと相違／","")&amp;IF(AND($Q1253&lt;&gt;"",INDEX(職員マスタ!$E$6:$E$405,$AP1253)&lt;&gt;"",$Q1253&lt;&gt;INDEX(職員マスタ!$E$6:$E$405,$AP1253)),"子の生年月日がマスタと相違／","")&amp;IF(AND($L1253&lt;&gt;"",INDEX(職員マスタ!$G$6:$G$405,$AP1253)&lt;&gt;"",$L1253&lt;&gt;INDEX(職員マスタ!$G$6:$G$405,$AP1253)),"時短開始日がマスタと相違／","")&amp;IF(AND($M1253&lt;&gt;"",INDEX(職員マスタ!$H$6:$H$405,$AP1253)&lt;&gt;"",$M1253&lt;&gt;INDEX(職員マスタ!$H$6:$H$405,$AP1253)),"時短終了日がマスタと相違／","")))&amp;IF(AND($B1253&lt;&gt;"",$E1253=""),"報酬額が未入力／","")&amp;IF(N($U1253)&gt;0,"申請書に入力エラーが残っています／","")&amp;IF(AND($B1253&lt;&gt;"",$AQ1253&lt;&gt;""),IF(COUNTIFS($B$6:$B$3005,$B1253,$C$6:$C$3005,$C1253,$D$6:$D$3005,$D1253)&gt;1,"同じ月の請求が重複しています／",""),"")&amp;IF(AND(N($E1253)&gt;0,$AB1253&lt;&gt;"",$AB1253&lt;&gt;"×",$AE1253=0,$AD1253=""),"計算額が下限以下のため不支給／",""))</f>
        <v/>
      </c>
      <c r="AN1253" s="12" t="n"/>
      <c r="AO1253" s="14">
        <f>IF($AF1253="保留中",COUNTIF($AF$6:$AF1253,"保留中"),"")</f>
        <v/>
      </c>
      <c r="AP1253" s="14">
        <f>IF($AQ1253="","",IF(SUMPRODUCT(MAX((職員マスタ!$A$6:$A$405=$B1253)*(((職員マスタ!$G$6:$G$405="")+(職員マスタ!$G$6:$G$405&lt;=EOMONTH($AQ1253,0)))&gt;0)*(((職員マスタ!$H$6:$H$405="")+(職員マスタ!$H$6:$H$405&gt;=$AQ1253))&gt;0)*(ROW(職員マスタ!$A$6:$A$405)-5)))&gt;0,SUMPRODUCT(MAX((職員マスタ!$A$6:$A$405=$B1253)*(((職員マスタ!$G$6:$G$405="")+(職員マスタ!$G$6:$G$405&lt;=EOMONTH($AQ1253,0)))&gt;0)*(((職員マスタ!$H$6:$H$405="")+(職員マスタ!$H$6:$H$405&gt;=$AQ1253))&gt;0)*(ROW(職員マスタ!$A$6:$A$405)-5))),IFERROR(MATCH($B1253,職員マスタ!$A$6:$A$405,0),"")))</f>
        <v/>
      </c>
      <c r="AQ1253" s="16">
        <f>IF(OR($B1253="",$C1253="",$D1253=""),"",DATE($C1253+2018,$D1253,1))</f>
        <v/>
      </c>
    </row>
    <row r="1254">
      <c r="A1254" s="11" t="n"/>
      <c r="B1254" s="12" t="n"/>
      <c r="C1254" s="12" t="n"/>
      <c r="D1254" s="12" t="n"/>
      <c r="E1254" s="13" t="n"/>
      <c r="F1254" s="12" t="n"/>
      <c r="G1254" s="13" t="n"/>
      <c r="H1254" s="12" t="n"/>
      <c r="I1254" s="12" t="n"/>
      <c r="J1254" s="12" t="n"/>
      <c r="K1254" s="12" t="n"/>
      <c r="L1254" s="11" t="n"/>
      <c r="M1254" s="11" t="n"/>
      <c r="N1254" s="11" t="n"/>
      <c r="O1254" s="11" t="n"/>
      <c r="P1254" s="12" t="n"/>
      <c r="Q1254" s="11" t="n"/>
      <c r="R1254" s="12" t="n"/>
      <c r="S1254" s="11" t="n"/>
      <c r="T1254" s="12" t="n"/>
      <c r="U1254" s="12" t="n"/>
      <c r="V1254" s="12" t="n"/>
      <c r="W1254" s="13" t="n"/>
      <c r="X1254" s="14">
        <f>IF($AP1254="",IF($B1254="","",$H1254),IF(INDEX(職員マスタ!$B$6:$B$405,$AP1254)="",$H1254,INDEX(職員マスタ!$B$6:$B$405,$AP1254)))</f>
        <v/>
      </c>
      <c r="Y1254" s="14">
        <f>IF($AP1254="",IF($B1254="","",$R1254),IF(INDEX(職員マスタ!$C$6:$C$405,$AP1254)="",$R1254,INDEX(職員マスタ!$C$6:$C$405,$AP1254)))</f>
        <v/>
      </c>
      <c r="Z1254" s="14">
        <f>IF($AQ1254="","","R"&amp;$C1254&amp;"."&amp;$D1254)</f>
        <v/>
      </c>
      <c r="AA1254" s="15">
        <f>IF(IF($AP1254="",FALSE,INDEX(職員マスタ!$K$6:$K$405,$AP1254)&lt;&gt;""),INDEX(職員マスタ!$K$6:$K$405,$AP1254),IF(N($W1254)&gt;0,$W1254,""))</f>
        <v/>
      </c>
      <c r="AB1254" s="14">
        <f>IF(OR($E1254="",$AA1254=""),"",IF($E1254&gt;=$AA1254,"×",IF($E1254&gt;=$AA1254*設定!$C$5,"△","○")))</f>
        <v/>
      </c>
      <c r="AC1254" s="15">
        <f>IF($AB1254="","",IF($AB1254="×",0,IF($AB1254="○",ROUNDDOWN($E1254*設定!$C$4,0),ROUNDDOWN($E1254*ROUND((9*$AA1254-9*$E1254)/(10*$E1254),4),0))))</f>
        <v/>
      </c>
      <c r="AD1254" s="13" t="n"/>
      <c r="AE1254" s="15">
        <f>IF($B1254="","",IF($AD1254&lt;&gt;"",$AD1254,IF($AC1254="","",IF($AC1254&lt;=設定!$C$3,0,$AC1254))))</f>
        <v/>
      </c>
      <c r="AF1254" s="14">
        <f>IF($B1254="","",IF(AND($AG1254&lt;&gt;"",$AI1254="",$AL1254=""),"保留中",IF($AL1254&lt;&gt;"",IF(N($AE1254)&gt;0,"支給済","不支給"),IF($AE1254="","要確認",IF($AE1254=0,"不支給","未処理")))))</f>
        <v/>
      </c>
      <c r="AG1254" s="12" t="n"/>
      <c r="AH1254" s="11" t="n"/>
      <c r="AI1254" s="11" t="n"/>
      <c r="AJ1254" s="11" t="n"/>
      <c r="AK1254" s="14">
        <f>IF(AND($AF1254="保留中",$AH1254&lt;&gt;""),TODAY()-$AH1254,"")</f>
        <v/>
      </c>
      <c r="AL1254" s="12" t="n"/>
      <c r="AM1254" s="14">
        <f>IF($B1254="","",IF($AQ1254="","対象年月が未入力／","")&amp;IF($B1254="","",IF($AP1254="","職員マスタに未登録の職員番号／",IF($AA1254="","標準報酬月額が未登録／","")&amp;IF(AND($AQ1254&lt;&gt;"",OR(AND(INDEX(職員マスタ!$G$6:$G$405,$AP1254)&lt;&gt;"",INDEX(職員マスタ!$G$6:$G$405,$AP1254)&gt;EOMONTH($AQ1254,0)),AND(INDEX(職員マスタ!$H$6:$H$405,$AP1254)&lt;&gt;"",INDEX(職員マスタ!$H$6:$H$405,$AP1254)&lt;$AQ1254))),"対象月が時短期間外／","")&amp;IF(AND(INDEX(職員マスタ!$K$6:$K$405,$AP1254)&lt;&gt;"",N($W1254)&gt;0,INDEX(職員マスタ!$K$6:$K$405,$AP1254)&lt;&gt;$W1254),"標準報酬月額が申請書と相違（台帳"&amp;TEXT(INDEX(職員マスタ!$K$6:$K$405,$AP1254),"#,##0")&amp;"円／申請書"&amp;TEXT($W1254,"#,##0")&amp;"円）／","")&amp;IF(AND(INDEX(職員マスタ!$F$6:$F$405,$AP1254)&lt;&gt;"",$AQ1254&lt;&gt;"",INDEX(職員マスタ!$F$6:$F$405,$AP1254)&lt;$AQ1254),"対象月に子が2歳到達済／","")&amp;IF(AND($H1254&lt;&gt;"",INDEX(職員マスタ!$B$6:$B$405,$AP1254)&lt;&gt;"",SUBSTITUTE(SUBSTITUTE($H1254," ","")," ","")&lt;&gt;SUBSTITUTE(SUBSTITUTE(INDEX(職員マスタ!$B$6:$B$405,$AP1254)," ","")," ","")),"氏名がマスタと相違／","")&amp;IF(AND($Q1254&lt;&gt;"",INDEX(職員マスタ!$E$6:$E$405,$AP1254)&lt;&gt;"",$Q1254&lt;&gt;INDEX(職員マスタ!$E$6:$E$405,$AP1254)),"子の生年月日がマスタと相違／","")&amp;IF(AND($L1254&lt;&gt;"",INDEX(職員マスタ!$G$6:$G$405,$AP1254)&lt;&gt;"",$L1254&lt;&gt;INDEX(職員マスタ!$G$6:$G$405,$AP1254)),"時短開始日がマスタと相違／","")&amp;IF(AND($M1254&lt;&gt;"",INDEX(職員マスタ!$H$6:$H$405,$AP1254)&lt;&gt;"",$M1254&lt;&gt;INDEX(職員マスタ!$H$6:$H$405,$AP1254)),"時短終了日がマスタと相違／","")))&amp;IF(AND($B1254&lt;&gt;"",$E1254=""),"報酬額が未入力／","")&amp;IF(N($U1254)&gt;0,"申請書に入力エラーが残っています／","")&amp;IF(AND($B1254&lt;&gt;"",$AQ1254&lt;&gt;""),IF(COUNTIFS($B$6:$B$3005,$B1254,$C$6:$C$3005,$C1254,$D$6:$D$3005,$D1254)&gt;1,"同じ月の請求が重複しています／",""),"")&amp;IF(AND(N($E1254)&gt;0,$AB1254&lt;&gt;"",$AB1254&lt;&gt;"×",$AE1254=0,$AD1254=""),"計算額が下限以下のため不支給／",""))</f>
        <v/>
      </c>
      <c r="AN1254" s="12" t="n"/>
      <c r="AO1254" s="14">
        <f>IF($AF1254="保留中",COUNTIF($AF$6:$AF1254,"保留中"),"")</f>
        <v/>
      </c>
      <c r="AP1254" s="14">
        <f>IF($AQ1254="","",IF(SUMPRODUCT(MAX((職員マスタ!$A$6:$A$405=$B1254)*(((職員マスタ!$G$6:$G$405="")+(職員マスタ!$G$6:$G$405&lt;=EOMONTH($AQ1254,0)))&gt;0)*(((職員マスタ!$H$6:$H$405="")+(職員マスタ!$H$6:$H$405&gt;=$AQ1254))&gt;0)*(ROW(職員マスタ!$A$6:$A$405)-5)))&gt;0,SUMPRODUCT(MAX((職員マスタ!$A$6:$A$405=$B1254)*(((職員マスタ!$G$6:$G$405="")+(職員マスタ!$G$6:$G$405&lt;=EOMONTH($AQ1254,0)))&gt;0)*(((職員マスタ!$H$6:$H$405="")+(職員マスタ!$H$6:$H$405&gt;=$AQ1254))&gt;0)*(ROW(職員マスタ!$A$6:$A$405)-5))),IFERROR(MATCH($B1254,職員マスタ!$A$6:$A$405,0),"")))</f>
        <v/>
      </c>
      <c r="AQ1254" s="16">
        <f>IF(OR($B1254="",$C1254="",$D1254=""),"",DATE($C1254+2018,$D1254,1))</f>
        <v/>
      </c>
    </row>
    <row r="1255">
      <c r="A1255" s="11" t="n"/>
      <c r="B1255" s="12" t="n"/>
      <c r="C1255" s="12" t="n"/>
      <c r="D1255" s="12" t="n"/>
      <c r="E1255" s="13" t="n"/>
      <c r="F1255" s="12" t="n"/>
      <c r="G1255" s="13" t="n"/>
      <c r="H1255" s="12" t="n"/>
      <c r="I1255" s="12" t="n"/>
      <c r="J1255" s="12" t="n"/>
      <c r="K1255" s="12" t="n"/>
      <c r="L1255" s="11" t="n"/>
      <c r="M1255" s="11" t="n"/>
      <c r="N1255" s="11" t="n"/>
      <c r="O1255" s="11" t="n"/>
      <c r="P1255" s="12" t="n"/>
      <c r="Q1255" s="11" t="n"/>
      <c r="R1255" s="12" t="n"/>
      <c r="S1255" s="11" t="n"/>
      <c r="T1255" s="12" t="n"/>
      <c r="U1255" s="12" t="n"/>
      <c r="V1255" s="12" t="n"/>
      <c r="W1255" s="13" t="n"/>
      <c r="X1255" s="14">
        <f>IF($AP1255="",IF($B1255="","",$H1255),IF(INDEX(職員マスタ!$B$6:$B$405,$AP1255)="",$H1255,INDEX(職員マスタ!$B$6:$B$405,$AP1255)))</f>
        <v/>
      </c>
      <c r="Y1255" s="14">
        <f>IF($AP1255="",IF($B1255="","",$R1255),IF(INDEX(職員マスタ!$C$6:$C$405,$AP1255)="",$R1255,INDEX(職員マスタ!$C$6:$C$405,$AP1255)))</f>
        <v/>
      </c>
      <c r="Z1255" s="14">
        <f>IF($AQ1255="","","R"&amp;$C1255&amp;"."&amp;$D1255)</f>
        <v/>
      </c>
      <c r="AA1255" s="15">
        <f>IF(IF($AP1255="",FALSE,INDEX(職員マスタ!$K$6:$K$405,$AP1255)&lt;&gt;""),INDEX(職員マスタ!$K$6:$K$405,$AP1255),IF(N($W1255)&gt;0,$W1255,""))</f>
        <v/>
      </c>
      <c r="AB1255" s="14">
        <f>IF(OR($E1255="",$AA1255=""),"",IF($E1255&gt;=$AA1255,"×",IF($E1255&gt;=$AA1255*設定!$C$5,"△","○")))</f>
        <v/>
      </c>
      <c r="AC1255" s="15">
        <f>IF($AB1255="","",IF($AB1255="×",0,IF($AB1255="○",ROUNDDOWN($E1255*設定!$C$4,0),ROUNDDOWN($E1255*ROUND((9*$AA1255-9*$E1255)/(10*$E1255),4),0))))</f>
        <v/>
      </c>
      <c r="AD1255" s="13" t="n"/>
      <c r="AE1255" s="15">
        <f>IF($B1255="","",IF($AD1255&lt;&gt;"",$AD1255,IF($AC1255="","",IF($AC1255&lt;=設定!$C$3,0,$AC1255))))</f>
        <v/>
      </c>
      <c r="AF1255" s="14">
        <f>IF($B1255="","",IF(AND($AG1255&lt;&gt;"",$AI1255="",$AL1255=""),"保留中",IF($AL1255&lt;&gt;"",IF(N($AE1255)&gt;0,"支給済","不支給"),IF($AE1255="","要確認",IF($AE1255=0,"不支給","未処理")))))</f>
        <v/>
      </c>
      <c r="AG1255" s="12" t="n"/>
      <c r="AH1255" s="11" t="n"/>
      <c r="AI1255" s="11" t="n"/>
      <c r="AJ1255" s="11" t="n"/>
      <c r="AK1255" s="14">
        <f>IF(AND($AF1255="保留中",$AH1255&lt;&gt;""),TODAY()-$AH1255,"")</f>
        <v/>
      </c>
      <c r="AL1255" s="12" t="n"/>
      <c r="AM1255" s="14">
        <f>IF($B1255="","",IF($AQ1255="","対象年月が未入力／","")&amp;IF($B1255="","",IF($AP1255="","職員マスタに未登録の職員番号／",IF($AA1255="","標準報酬月額が未登録／","")&amp;IF(AND($AQ1255&lt;&gt;"",OR(AND(INDEX(職員マスタ!$G$6:$G$405,$AP1255)&lt;&gt;"",INDEX(職員マスタ!$G$6:$G$405,$AP1255)&gt;EOMONTH($AQ1255,0)),AND(INDEX(職員マスタ!$H$6:$H$405,$AP1255)&lt;&gt;"",INDEX(職員マスタ!$H$6:$H$405,$AP1255)&lt;$AQ1255))),"対象月が時短期間外／","")&amp;IF(AND(INDEX(職員マスタ!$K$6:$K$405,$AP1255)&lt;&gt;"",N($W1255)&gt;0,INDEX(職員マスタ!$K$6:$K$405,$AP1255)&lt;&gt;$W1255),"標準報酬月額が申請書と相違（台帳"&amp;TEXT(INDEX(職員マスタ!$K$6:$K$405,$AP1255),"#,##0")&amp;"円／申請書"&amp;TEXT($W1255,"#,##0")&amp;"円）／","")&amp;IF(AND(INDEX(職員マスタ!$F$6:$F$405,$AP1255)&lt;&gt;"",$AQ1255&lt;&gt;"",INDEX(職員マスタ!$F$6:$F$405,$AP1255)&lt;$AQ1255),"対象月に子が2歳到達済／","")&amp;IF(AND($H1255&lt;&gt;"",INDEX(職員マスタ!$B$6:$B$405,$AP1255)&lt;&gt;"",SUBSTITUTE(SUBSTITUTE($H1255," ","")," ","")&lt;&gt;SUBSTITUTE(SUBSTITUTE(INDEX(職員マスタ!$B$6:$B$405,$AP1255)," ","")," ","")),"氏名がマスタと相違／","")&amp;IF(AND($Q1255&lt;&gt;"",INDEX(職員マスタ!$E$6:$E$405,$AP1255)&lt;&gt;"",$Q1255&lt;&gt;INDEX(職員マスタ!$E$6:$E$405,$AP1255)),"子の生年月日がマスタと相違／","")&amp;IF(AND($L1255&lt;&gt;"",INDEX(職員マスタ!$G$6:$G$405,$AP1255)&lt;&gt;"",$L1255&lt;&gt;INDEX(職員マスタ!$G$6:$G$405,$AP1255)),"時短開始日がマスタと相違／","")&amp;IF(AND($M1255&lt;&gt;"",INDEX(職員マスタ!$H$6:$H$405,$AP1255)&lt;&gt;"",$M1255&lt;&gt;INDEX(職員マスタ!$H$6:$H$405,$AP1255)),"時短終了日がマスタと相違／","")))&amp;IF(AND($B1255&lt;&gt;"",$E1255=""),"報酬額が未入力／","")&amp;IF(N($U1255)&gt;0,"申請書に入力エラーが残っています／","")&amp;IF(AND($B1255&lt;&gt;"",$AQ1255&lt;&gt;""),IF(COUNTIFS($B$6:$B$3005,$B1255,$C$6:$C$3005,$C1255,$D$6:$D$3005,$D1255)&gt;1,"同じ月の請求が重複しています／",""),"")&amp;IF(AND(N($E1255)&gt;0,$AB1255&lt;&gt;"",$AB1255&lt;&gt;"×",$AE1255=0,$AD1255=""),"計算額が下限以下のため不支給／",""))</f>
        <v/>
      </c>
      <c r="AN1255" s="12" t="n"/>
      <c r="AO1255" s="14">
        <f>IF($AF1255="保留中",COUNTIF($AF$6:$AF1255,"保留中"),"")</f>
        <v/>
      </c>
      <c r="AP1255" s="14">
        <f>IF($AQ1255="","",IF(SUMPRODUCT(MAX((職員マスタ!$A$6:$A$405=$B1255)*(((職員マスタ!$G$6:$G$405="")+(職員マスタ!$G$6:$G$405&lt;=EOMONTH($AQ1255,0)))&gt;0)*(((職員マスタ!$H$6:$H$405="")+(職員マスタ!$H$6:$H$405&gt;=$AQ1255))&gt;0)*(ROW(職員マスタ!$A$6:$A$405)-5)))&gt;0,SUMPRODUCT(MAX((職員マスタ!$A$6:$A$405=$B1255)*(((職員マスタ!$G$6:$G$405="")+(職員マスタ!$G$6:$G$405&lt;=EOMONTH($AQ1255,0)))&gt;0)*(((職員マスタ!$H$6:$H$405="")+(職員マスタ!$H$6:$H$405&gt;=$AQ1255))&gt;0)*(ROW(職員マスタ!$A$6:$A$405)-5))),IFERROR(MATCH($B1255,職員マスタ!$A$6:$A$405,0),"")))</f>
        <v/>
      </c>
      <c r="AQ1255" s="16">
        <f>IF(OR($B1255="",$C1255="",$D1255=""),"",DATE($C1255+2018,$D1255,1))</f>
        <v/>
      </c>
    </row>
    <row r="1256">
      <c r="A1256" s="11" t="n"/>
      <c r="B1256" s="12" t="n"/>
      <c r="C1256" s="12" t="n"/>
      <c r="D1256" s="12" t="n"/>
      <c r="E1256" s="13" t="n"/>
      <c r="F1256" s="12" t="n"/>
      <c r="G1256" s="13" t="n"/>
      <c r="H1256" s="12" t="n"/>
      <c r="I1256" s="12" t="n"/>
      <c r="J1256" s="12" t="n"/>
      <c r="K1256" s="12" t="n"/>
      <c r="L1256" s="11" t="n"/>
      <c r="M1256" s="11" t="n"/>
      <c r="N1256" s="11" t="n"/>
      <c r="O1256" s="11" t="n"/>
      <c r="P1256" s="12" t="n"/>
      <c r="Q1256" s="11" t="n"/>
      <c r="R1256" s="12" t="n"/>
      <c r="S1256" s="11" t="n"/>
      <c r="T1256" s="12" t="n"/>
      <c r="U1256" s="12" t="n"/>
      <c r="V1256" s="12" t="n"/>
      <c r="W1256" s="13" t="n"/>
      <c r="X1256" s="14">
        <f>IF($AP1256="",IF($B1256="","",$H1256),IF(INDEX(職員マスタ!$B$6:$B$405,$AP1256)="",$H1256,INDEX(職員マスタ!$B$6:$B$405,$AP1256)))</f>
        <v/>
      </c>
      <c r="Y1256" s="14">
        <f>IF($AP1256="",IF($B1256="","",$R1256),IF(INDEX(職員マスタ!$C$6:$C$405,$AP1256)="",$R1256,INDEX(職員マスタ!$C$6:$C$405,$AP1256)))</f>
        <v/>
      </c>
      <c r="Z1256" s="14">
        <f>IF($AQ1256="","","R"&amp;$C1256&amp;"."&amp;$D1256)</f>
        <v/>
      </c>
      <c r="AA1256" s="15">
        <f>IF(IF($AP1256="",FALSE,INDEX(職員マスタ!$K$6:$K$405,$AP1256)&lt;&gt;""),INDEX(職員マスタ!$K$6:$K$405,$AP1256),IF(N($W1256)&gt;0,$W1256,""))</f>
        <v/>
      </c>
      <c r="AB1256" s="14">
        <f>IF(OR($E1256="",$AA1256=""),"",IF($E1256&gt;=$AA1256,"×",IF($E1256&gt;=$AA1256*設定!$C$5,"△","○")))</f>
        <v/>
      </c>
      <c r="AC1256" s="15">
        <f>IF($AB1256="","",IF($AB1256="×",0,IF($AB1256="○",ROUNDDOWN($E1256*設定!$C$4,0),ROUNDDOWN($E1256*ROUND((9*$AA1256-9*$E1256)/(10*$E1256),4),0))))</f>
        <v/>
      </c>
      <c r="AD1256" s="13" t="n"/>
      <c r="AE1256" s="15">
        <f>IF($B1256="","",IF($AD1256&lt;&gt;"",$AD1256,IF($AC1256="","",IF($AC1256&lt;=設定!$C$3,0,$AC1256))))</f>
        <v/>
      </c>
      <c r="AF1256" s="14">
        <f>IF($B1256="","",IF(AND($AG1256&lt;&gt;"",$AI1256="",$AL1256=""),"保留中",IF($AL1256&lt;&gt;"",IF(N($AE1256)&gt;0,"支給済","不支給"),IF($AE1256="","要確認",IF($AE1256=0,"不支給","未処理")))))</f>
        <v/>
      </c>
      <c r="AG1256" s="12" t="n"/>
      <c r="AH1256" s="11" t="n"/>
      <c r="AI1256" s="11" t="n"/>
      <c r="AJ1256" s="11" t="n"/>
      <c r="AK1256" s="14">
        <f>IF(AND($AF1256="保留中",$AH1256&lt;&gt;""),TODAY()-$AH1256,"")</f>
        <v/>
      </c>
      <c r="AL1256" s="12" t="n"/>
      <c r="AM1256" s="14">
        <f>IF($B1256="","",IF($AQ1256="","対象年月が未入力／","")&amp;IF($B1256="","",IF($AP1256="","職員マスタに未登録の職員番号／",IF($AA1256="","標準報酬月額が未登録／","")&amp;IF(AND($AQ1256&lt;&gt;"",OR(AND(INDEX(職員マスタ!$G$6:$G$405,$AP1256)&lt;&gt;"",INDEX(職員マスタ!$G$6:$G$405,$AP1256)&gt;EOMONTH($AQ1256,0)),AND(INDEX(職員マスタ!$H$6:$H$405,$AP1256)&lt;&gt;"",INDEX(職員マスタ!$H$6:$H$405,$AP1256)&lt;$AQ1256))),"対象月が時短期間外／","")&amp;IF(AND(INDEX(職員マスタ!$K$6:$K$405,$AP1256)&lt;&gt;"",N($W1256)&gt;0,INDEX(職員マスタ!$K$6:$K$405,$AP1256)&lt;&gt;$W1256),"標準報酬月額が申請書と相違（台帳"&amp;TEXT(INDEX(職員マスタ!$K$6:$K$405,$AP1256),"#,##0")&amp;"円／申請書"&amp;TEXT($W1256,"#,##0")&amp;"円）／","")&amp;IF(AND(INDEX(職員マスタ!$F$6:$F$405,$AP1256)&lt;&gt;"",$AQ1256&lt;&gt;"",INDEX(職員マスタ!$F$6:$F$405,$AP1256)&lt;$AQ1256),"対象月に子が2歳到達済／","")&amp;IF(AND($H1256&lt;&gt;"",INDEX(職員マスタ!$B$6:$B$405,$AP1256)&lt;&gt;"",SUBSTITUTE(SUBSTITUTE($H1256," ","")," ","")&lt;&gt;SUBSTITUTE(SUBSTITUTE(INDEX(職員マスタ!$B$6:$B$405,$AP1256)," ","")," ","")),"氏名がマスタと相違／","")&amp;IF(AND($Q1256&lt;&gt;"",INDEX(職員マスタ!$E$6:$E$405,$AP1256)&lt;&gt;"",$Q1256&lt;&gt;INDEX(職員マスタ!$E$6:$E$405,$AP1256)),"子の生年月日がマスタと相違／","")&amp;IF(AND($L1256&lt;&gt;"",INDEX(職員マスタ!$G$6:$G$405,$AP1256)&lt;&gt;"",$L1256&lt;&gt;INDEX(職員マスタ!$G$6:$G$405,$AP1256)),"時短開始日がマスタと相違／","")&amp;IF(AND($M1256&lt;&gt;"",INDEX(職員マスタ!$H$6:$H$405,$AP1256)&lt;&gt;"",$M1256&lt;&gt;INDEX(職員マスタ!$H$6:$H$405,$AP1256)),"時短終了日がマスタと相違／","")))&amp;IF(AND($B1256&lt;&gt;"",$E1256=""),"報酬額が未入力／","")&amp;IF(N($U1256)&gt;0,"申請書に入力エラーが残っています／","")&amp;IF(AND($B1256&lt;&gt;"",$AQ1256&lt;&gt;""),IF(COUNTIFS($B$6:$B$3005,$B1256,$C$6:$C$3005,$C1256,$D$6:$D$3005,$D1256)&gt;1,"同じ月の請求が重複しています／",""),"")&amp;IF(AND(N($E1256)&gt;0,$AB1256&lt;&gt;"",$AB1256&lt;&gt;"×",$AE1256=0,$AD1256=""),"計算額が下限以下のため不支給／",""))</f>
        <v/>
      </c>
      <c r="AN1256" s="12" t="n"/>
      <c r="AO1256" s="14">
        <f>IF($AF1256="保留中",COUNTIF($AF$6:$AF1256,"保留中"),"")</f>
        <v/>
      </c>
      <c r="AP1256" s="14">
        <f>IF($AQ1256="","",IF(SUMPRODUCT(MAX((職員マスタ!$A$6:$A$405=$B1256)*(((職員マスタ!$G$6:$G$405="")+(職員マスタ!$G$6:$G$405&lt;=EOMONTH($AQ1256,0)))&gt;0)*(((職員マスタ!$H$6:$H$405="")+(職員マスタ!$H$6:$H$405&gt;=$AQ1256))&gt;0)*(ROW(職員マスタ!$A$6:$A$405)-5)))&gt;0,SUMPRODUCT(MAX((職員マスタ!$A$6:$A$405=$B1256)*(((職員マスタ!$G$6:$G$405="")+(職員マスタ!$G$6:$G$405&lt;=EOMONTH($AQ1256,0)))&gt;0)*(((職員マスタ!$H$6:$H$405="")+(職員マスタ!$H$6:$H$405&gt;=$AQ1256))&gt;0)*(ROW(職員マスタ!$A$6:$A$405)-5))),IFERROR(MATCH($B1256,職員マスタ!$A$6:$A$405,0),"")))</f>
        <v/>
      </c>
      <c r="AQ1256" s="16">
        <f>IF(OR($B1256="",$C1256="",$D1256=""),"",DATE($C1256+2018,$D1256,1))</f>
        <v/>
      </c>
    </row>
    <row r="1257">
      <c r="A1257" s="11" t="n"/>
      <c r="B1257" s="12" t="n"/>
      <c r="C1257" s="12" t="n"/>
      <c r="D1257" s="12" t="n"/>
      <c r="E1257" s="13" t="n"/>
      <c r="F1257" s="12" t="n"/>
      <c r="G1257" s="13" t="n"/>
      <c r="H1257" s="12" t="n"/>
      <c r="I1257" s="12" t="n"/>
      <c r="J1257" s="12" t="n"/>
      <c r="K1257" s="12" t="n"/>
      <c r="L1257" s="11" t="n"/>
      <c r="M1257" s="11" t="n"/>
      <c r="N1257" s="11" t="n"/>
      <c r="O1257" s="11" t="n"/>
      <c r="P1257" s="12" t="n"/>
      <c r="Q1257" s="11" t="n"/>
      <c r="R1257" s="12" t="n"/>
      <c r="S1257" s="11" t="n"/>
      <c r="T1257" s="12" t="n"/>
      <c r="U1257" s="12" t="n"/>
      <c r="V1257" s="12" t="n"/>
      <c r="W1257" s="13" t="n"/>
      <c r="X1257" s="14">
        <f>IF($AP1257="",IF($B1257="","",$H1257),IF(INDEX(職員マスタ!$B$6:$B$405,$AP1257)="",$H1257,INDEX(職員マスタ!$B$6:$B$405,$AP1257)))</f>
        <v/>
      </c>
      <c r="Y1257" s="14">
        <f>IF($AP1257="",IF($B1257="","",$R1257),IF(INDEX(職員マスタ!$C$6:$C$405,$AP1257)="",$R1257,INDEX(職員マスタ!$C$6:$C$405,$AP1257)))</f>
        <v/>
      </c>
      <c r="Z1257" s="14">
        <f>IF($AQ1257="","","R"&amp;$C1257&amp;"."&amp;$D1257)</f>
        <v/>
      </c>
      <c r="AA1257" s="15">
        <f>IF(IF($AP1257="",FALSE,INDEX(職員マスタ!$K$6:$K$405,$AP1257)&lt;&gt;""),INDEX(職員マスタ!$K$6:$K$405,$AP1257),IF(N($W1257)&gt;0,$W1257,""))</f>
        <v/>
      </c>
      <c r="AB1257" s="14">
        <f>IF(OR($E1257="",$AA1257=""),"",IF($E1257&gt;=$AA1257,"×",IF($E1257&gt;=$AA1257*設定!$C$5,"△","○")))</f>
        <v/>
      </c>
      <c r="AC1257" s="15">
        <f>IF($AB1257="","",IF($AB1257="×",0,IF($AB1257="○",ROUNDDOWN($E1257*設定!$C$4,0),ROUNDDOWN($E1257*ROUND((9*$AA1257-9*$E1257)/(10*$E1257),4),0))))</f>
        <v/>
      </c>
      <c r="AD1257" s="13" t="n"/>
      <c r="AE1257" s="15">
        <f>IF($B1257="","",IF($AD1257&lt;&gt;"",$AD1257,IF($AC1257="","",IF($AC1257&lt;=設定!$C$3,0,$AC1257))))</f>
        <v/>
      </c>
      <c r="AF1257" s="14">
        <f>IF($B1257="","",IF(AND($AG1257&lt;&gt;"",$AI1257="",$AL1257=""),"保留中",IF($AL1257&lt;&gt;"",IF(N($AE1257)&gt;0,"支給済","不支給"),IF($AE1257="","要確認",IF($AE1257=0,"不支給","未処理")))))</f>
        <v/>
      </c>
      <c r="AG1257" s="12" t="n"/>
      <c r="AH1257" s="11" t="n"/>
      <c r="AI1257" s="11" t="n"/>
      <c r="AJ1257" s="11" t="n"/>
      <c r="AK1257" s="14">
        <f>IF(AND($AF1257="保留中",$AH1257&lt;&gt;""),TODAY()-$AH1257,"")</f>
        <v/>
      </c>
      <c r="AL1257" s="12" t="n"/>
      <c r="AM1257" s="14">
        <f>IF($B1257="","",IF($AQ1257="","対象年月が未入力／","")&amp;IF($B1257="","",IF($AP1257="","職員マスタに未登録の職員番号／",IF($AA1257="","標準報酬月額が未登録／","")&amp;IF(AND($AQ1257&lt;&gt;"",OR(AND(INDEX(職員マスタ!$G$6:$G$405,$AP1257)&lt;&gt;"",INDEX(職員マスタ!$G$6:$G$405,$AP1257)&gt;EOMONTH($AQ1257,0)),AND(INDEX(職員マスタ!$H$6:$H$405,$AP1257)&lt;&gt;"",INDEX(職員マスタ!$H$6:$H$405,$AP1257)&lt;$AQ1257))),"対象月が時短期間外／","")&amp;IF(AND(INDEX(職員マスタ!$K$6:$K$405,$AP1257)&lt;&gt;"",N($W1257)&gt;0,INDEX(職員マスタ!$K$6:$K$405,$AP1257)&lt;&gt;$W1257),"標準報酬月額が申請書と相違（台帳"&amp;TEXT(INDEX(職員マスタ!$K$6:$K$405,$AP1257),"#,##0")&amp;"円／申請書"&amp;TEXT($W1257,"#,##0")&amp;"円）／","")&amp;IF(AND(INDEX(職員マスタ!$F$6:$F$405,$AP1257)&lt;&gt;"",$AQ1257&lt;&gt;"",INDEX(職員マスタ!$F$6:$F$405,$AP1257)&lt;$AQ1257),"対象月に子が2歳到達済／","")&amp;IF(AND($H1257&lt;&gt;"",INDEX(職員マスタ!$B$6:$B$405,$AP1257)&lt;&gt;"",SUBSTITUTE(SUBSTITUTE($H1257," ","")," ","")&lt;&gt;SUBSTITUTE(SUBSTITUTE(INDEX(職員マスタ!$B$6:$B$405,$AP1257)," ","")," ","")),"氏名がマスタと相違／","")&amp;IF(AND($Q1257&lt;&gt;"",INDEX(職員マスタ!$E$6:$E$405,$AP1257)&lt;&gt;"",$Q1257&lt;&gt;INDEX(職員マスタ!$E$6:$E$405,$AP1257)),"子の生年月日がマスタと相違／","")&amp;IF(AND($L1257&lt;&gt;"",INDEX(職員マスタ!$G$6:$G$405,$AP1257)&lt;&gt;"",$L1257&lt;&gt;INDEX(職員マスタ!$G$6:$G$405,$AP1257)),"時短開始日がマスタと相違／","")&amp;IF(AND($M1257&lt;&gt;"",INDEX(職員マスタ!$H$6:$H$405,$AP1257)&lt;&gt;"",$M1257&lt;&gt;INDEX(職員マスタ!$H$6:$H$405,$AP1257)),"時短終了日がマスタと相違／","")))&amp;IF(AND($B1257&lt;&gt;"",$E1257=""),"報酬額が未入力／","")&amp;IF(N($U1257)&gt;0,"申請書に入力エラーが残っています／","")&amp;IF(AND($B1257&lt;&gt;"",$AQ1257&lt;&gt;""),IF(COUNTIFS($B$6:$B$3005,$B1257,$C$6:$C$3005,$C1257,$D$6:$D$3005,$D1257)&gt;1,"同じ月の請求が重複しています／",""),"")&amp;IF(AND(N($E1257)&gt;0,$AB1257&lt;&gt;"",$AB1257&lt;&gt;"×",$AE1257=0,$AD1257=""),"計算額が下限以下のため不支給／",""))</f>
        <v/>
      </c>
      <c r="AN1257" s="12" t="n"/>
      <c r="AO1257" s="14">
        <f>IF($AF1257="保留中",COUNTIF($AF$6:$AF1257,"保留中"),"")</f>
        <v/>
      </c>
      <c r="AP1257" s="14">
        <f>IF($AQ1257="","",IF(SUMPRODUCT(MAX((職員マスタ!$A$6:$A$405=$B1257)*(((職員マスタ!$G$6:$G$405="")+(職員マスタ!$G$6:$G$405&lt;=EOMONTH($AQ1257,0)))&gt;0)*(((職員マスタ!$H$6:$H$405="")+(職員マスタ!$H$6:$H$405&gt;=$AQ1257))&gt;0)*(ROW(職員マスタ!$A$6:$A$405)-5)))&gt;0,SUMPRODUCT(MAX((職員マスタ!$A$6:$A$405=$B1257)*(((職員マスタ!$G$6:$G$405="")+(職員マスタ!$G$6:$G$405&lt;=EOMONTH($AQ1257,0)))&gt;0)*(((職員マスタ!$H$6:$H$405="")+(職員マスタ!$H$6:$H$405&gt;=$AQ1257))&gt;0)*(ROW(職員マスタ!$A$6:$A$405)-5))),IFERROR(MATCH($B1257,職員マスタ!$A$6:$A$405,0),"")))</f>
        <v/>
      </c>
      <c r="AQ1257" s="16">
        <f>IF(OR($B1257="",$C1257="",$D1257=""),"",DATE($C1257+2018,$D1257,1))</f>
        <v/>
      </c>
    </row>
    <row r="1258">
      <c r="A1258" s="11" t="n"/>
      <c r="B1258" s="12" t="n"/>
      <c r="C1258" s="12" t="n"/>
      <c r="D1258" s="12" t="n"/>
      <c r="E1258" s="13" t="n"/>
      <c r="F1258" s="12" t="n"/>
      <c r="G1258" s="13" t="n"/>
      <c r="H1258" s="12" t="n"/>
      <c r="I1258" s="12" t="n"/>
      <c r="J1258" s="12" t="n"/>
      <c r="K1258" s="12" t="n"/>
      <c r="L1258" s="11" t="n"/>
      <c r="M1258" s="11" t="n"/>
      <c r="N1258" s="11" t="n"/>
      <c r="O1258" s="11" t="n"/>
      <c r="P1258" s="12" t="n"/>
      <c r="Q1258" s="11" t="n"/>
      <c r="R1258" s="12" t="n"/>
      <c r="S1258" s="11" t="n"/>
      <c r="T1258" s="12" t="n"/>
      <c r="U1258" s="12" t="n"/>
      <c r="V1258" s="12" t="n"/>
      <c r="W1258" s="13" t="n"/>
      <c r="X1258" s="14">
        <f>IF($AP1258="",IF($B1258="","",$H1258),IF(INDEX(職員マスタ!$B$6:$B$405,$AP1258)="",$H1258,INDEX(職員マスタ!$B$6:$B$405,$AP1258)))</f>
        <v/>
      </c>
      <c r="Y1258" s="14">
        <f>IF($AP1258="",IF($B1258="","",$R1258),IF(INDEX(職員マスタ!$C$6:$C$405,$AP1258)="",$R1258,INDEX(職員マスタ!$C$6:$C$405,$AP1258)))</f>
        <v/>
      </c>
      <c r="Z1258" s="14">
        <f>IF($AQ1258="","","R"&amp;$C1258&amp;"."&amp;$D1258)</f>
        <v/>
      </c>
      <c r="AA1258" s="15">
        <f>IF(IF($AP1258="",FALSE,INDEX(職員マスタ!$K$6:$K$405,$AP1258)&lt;&gt;""),INDEX(職員マスタ!$K$6:$K$405,$AP1258),IF(N($W1258)&gt;0,$W1258,""))</f>
        <v/>
      </c>
      <c r="AB1258" s="14">
        <f>IF(OR($E1258="",$AA1258=""),"",IF($E1258&gt;=$AA1258,"×",IF($E1258&gt;=$AA1258*設定!$C$5,"△","○")))</f>
        <v/>
      </c>
      <c r="AC1258" s="15">
        <f>IF($AB1258="","",IF($AB1258="×",0,IF($AB1258="○",ROUNDDOWN($E1258*設定!$C$4,0),ROUNDDOWN($E1258*ROUND((9*$AA1258-9*$E1258)/(10*$E1258),4),0))))</f>
        <v/>
      </c>
      <c r="AD1258" s="13" t="n"/>
      <c r="AE1258" s="15">
        <f>IF($B1258="","",IF($AD1258&lt;&gt;"",$AD1258,IF($AC1258="","",IF($AC1258&lt;=設定!$C$3,0,$AC1258))))</f>
        <v/>
      </c>
      <c r="AF1258" s="14">
        <f>IF($B1258="","",IF(AND($AG1258&lt;&gt;"",$AI1258="",$AL1258=""),"保留中",IF($AL1258&lt;&gt;"",IF(N($AE1258)&gt;0,"支給済","不支給"),IF($AE1258="","要確認",IF($AE1258=0,"不支給","未処理")))))</f>
        <v/>
      </c>
      <c r="AG1258" s="12" t="n"/>
      <c r="AH1258" s="11" t="n"/>
      <c r="AI1258" s="11" t="n"/>
      <c r="AJ1258" s="11" t="n"/>
      <c r="AK1258" s="14">
        <f>IF(AND($AF1258="保留中",$AH1258&lt;&gt;""),TODAY()-$AH1258,"")</f>
        <v/>
      </c>
      <c r="AL1258" s="12" t="n"/>
      <c r="AM1258" s="14">
        <f>IF($B1258="","",IF($AQ1258="","対象年月が未入力／","")&amp;IF($B1258="","",IF($AP1258="","職員マスタに未登録の職員番号／",IF($AA1258="","標準報酬月額が未登録／","")&amp;IF(AND($AQ1258&lt;&gt;"",OR(AND(INDEX(職員マスタ!$G$6:$G$405,$AP1258)&lt;&gt;"",INDEX(職員マスタ!$G$6:$G$405,$AP1258)&gt;EOMONTH($AQ1258,0)),AND(INDEX(職員マスタ!$H$6:$H$405,$AP1258)&lt;&gt;"",INDEX(職員マスタ!$H$6:$H$405,$AP1258)&lt;$AQ1258))),"対象月が時短期間外／","")&amp;IF(AND(INDEX(職員マスタ!$K$6:$K$405,$AP1258)&lt;&gt;"",N($W1258)&gt;0,INDEX(職員マスタ!$K$6:$K$405,$AP1258)&lt;&gt;$W1258),"標準報酬月額が申請書と相違（台帳"&amp;TEXT(INDEX(職員マスタ!$K$6:$K$405,$AP1258),"#,##0")&amp;"円／申請書"&amp;TEXT($W1258,"#,##0")&amp;"円）／","")&amp;IF(AND(INDEX(職員マスタ!$F$6:$F$405,$AP1258)&lt;&gt;"",$AQ1258&lt;&gt;"",INDEX(職員マスタ!$F$6:$F$405,$AP1258)&lt;$AQ1258),"対象月に子が2歳到達済／","")&amp;IF(AND($H1258&lt;&gt;"",INDEX(職員マスタ!$B$6:$B$405,$AP1258)&lt;&gt;"",SUBSTITUTE(SUBSTITUTE($H1258," ","")," ","")&lt;&gt;SUBSTITUTE(SUBSTITUTE(INDEX(職員マスタ!$B$6:$B$405,$AP1258)," ","")," ","")),"氏名がマスタと相違／","")&amp;IF(AND($Q1258&lt;&gt;"",INDEX(職員マスタ!$E$6:$E$405,$AP1258)&lt;&gt;"",$Q1258&lt;&gt;INDEX(職員マスタ!$E$6:$E$405,$AP1258)),"子の生年月日がマスタと相違／","")&amp;IF(AND($L1258&lt;&gt;"",INDEX(職員マスタ!$G$6:$G$405,$AP1258)&lt;&gt;"",$L1258&lt;&gt;INDEX(職員マスタ!$G$6:$G$405,$AP1258)),"時短開始日がマスタと相違／","")&amp;IF(AND($M1258&lt;&gt;"",INDEX(職員マスタ!$H$6:$H$405,$AP1258)&lt;&gt;"",$M1258&lt;&gt;INDEX(職員マスタ!$H$6:$H$405,$AP1258)),"時短終了日がマスタと相違／","")))&amp;IF(AND($B1258&lt;&gt;"",$E1258=""),"報酬額が未入力／","")&amp;IF(N($U1258)&gt;0,"申請書に入力エラーが残っています／","")&amp;IF(AND($B1258&lt;&gt;"",$AQ1258&lt;&gt;""),IF(COUNTIFS($B$6:$B$3005,$B1258,$C$6:$C$3005,$C1258,$D$6:$D$3005,$D1258)&gt;1,"同じ月の請求が重複しています／",""),"")&amp;IF(AND(N($E1258)&gt;0,$AB1258&lt;&gt;"",$AB1258&lt;&gt;"×",$AE1258=0,$AD1258=""),"計算額が下限以下のため不支給／",""))</f>
        <v/>
      </c>
      <c r="AN1258" s="12" t="n"/>
      <c r="AO1258" s="14">
        <f>IF($AF1258="保留中",COUNTIF($AF$6:$AF1258,"保留中"),"")</f>
        <v/>
      </c>
      <c r="AP1258" s="14">
        <f>IF($AQ1258="","",IF(SUMPRODUCT(MAX((職員マスタ!$A$6:$A$405=$B1258)*(((職員マスタ!$G$6:$G$405="")+(職員マスタ!$G$6:$G$405&lt;=EOMONTH($AQ1258,0)))&gt;0)*(((職員マスタ!$H$6:$H$405="")+(職員マスタ!$H$6:$H$405&gt;=$AQ1258))&gt;0)*(ROW(職員マスタ!$A$6:$A$405)-5)))&gt;0,SUMPRODUCT(MAX((職員マスタ!$A$6:$A$405=$B1258)*(((職員マスタ!$G$6:$G$405="")+(職員マスタ!$G$6:$G$405&lt;=EOMONTH($AQ1258,0)))&gt;0)*(((職員マスタ!$H$6:$H$405="")+(職員マスタ!$H$6:$H$405&gt;=$AQ1258))&gt;0)*(ROW(職員マスタ!$A$6:$A$405)-5))),IFERROR(MATCH($B1258,職員マスタ!$A$6:$A$405,0),"")))</f>
        <v/>
      </c>
      <c r="AQ1258" s="16">
        <f>IF(OR($B1258="",$C1258="",$D1258=""),"",DATE($C1258+2018,$D1258,1))</f>
        <v/>
      </c>
    </row>
    <row r="1259">
      <c r="A1259" s="11" t="n"/>
      <c r="B1259" s="12" t="n"/>
      <c r="C1259" s="12" t="n"/>
      <c r="D1259" s="12" t="n"/>
      <c r="E1259" s="13" t="n"/>
      <c r="F1259" s="12" t="n"/>
      <c r="G1259" s="13" t="n"/>
      <c r="H1259" s="12" t="n"/>
      <c r="I1259" s="12" t="n"/>
      <c r="J1259" s="12" t="n"/>
      <c r="K1259" s="12" t="n"/>
      <c r="L1259" s="11" t="n"/>
      <c r="M1259" s="11" t="n"/>
      <c r="N1259" s="11" t="n"/>
      <c r="O1259" s="11" t="n"/>
      <c r="P1259" s="12" t="n"/>
      <c r="Q1259" s="11" t="n"/>
      <c r="R1259" s="12" t="n"/>
      <c r="S1259" s="11" t="n"/>
      <c r="T1259" s="12" t="n"/>
      <c r="U1259" s="12" t="n"/>
      <c r="V1259" s="12" t="n"/>
      <c r="W1259" s="13" t="n"/>
      <c r="X1259" s="14">
        <f>IF($AP1259="",IF($B1259="","",$H1259),IF(INDEX(職員マスタ!$B$6:$B$405,$AP1259)="",$H1259,INDEX(職員マスタ!$B$6:$B$405,$AP1259)))</f>
        <v/>
      </c>
      <c r="Y1259" s="14">
        <f>IF($AP1259="",IF($B1259="","",$R1259),IF(INDEX(職員マスタ!$C$6:$C$405,$AP1259)="",$R1259,INDEX(職員マスタ!$C$6:$C$405,$AP1259)))</f>
        <v/>
      </c>
      <c r="Z1259" s="14">
        <f>IF($AQ1259="","","R"&amp;$C1259&amp;"."&amp;$D1259)</f>
        <v/>
      </c>
      <c r="AA1259" s="15">
        <f>IF(IF($AP1259="",FALSE,INDEX(職員マスタ!$K$6:$K$405,$AP1259)&lt;&gt;""),INDEX(職員マスタ!$K$6:$K$405,$AP1259),IF(N($W1259)&gt;0,$W1259,""))</f>
        <v/>
      </c>
      <c r="AB1259" s="14">
        <f>IF(OR($E1259="",$AA1259=""),"",IF($E1259&gt;=$AA1259,"×",IF($E1259&gt;=$AA1259*設定!$C$5,"△","○")))</f>
        <v/>
      </c>
      <c r="AC1259" s="15">
        <f>IF($AB1259="","",IF($AB1259="×",0,IF($AB1259="○",ROUNDDOWN($E1259*設定!$C$4,0),ROUNDDOWN($E1259*ROUND((9*$AA1259-9*$E1259)/(10*$E1259),4),0))))</f>
        <v/>
      </c>
      <c r="AD1259" s="13" t="n"/>
      <c r="AE1259" s="15">
        <f>IF($B1259="","",IF($AD1259&lt;&gt;"",$AD1259,IF($AC1259="","",IF($AC1259&lt;=設定!$C$3,0,$AC1259))))</f>
        <v/>
      </c>
      <c r="AF1259" s="14">
        <f>IF($B1259="","",IF(AND($AG1259&lt;&gt;"",$AI1259="",$AL1259=""),"保留中",IF($AL1259&lt;&gt;"",IF(N($AE1259)&gt;0,"支給済","不支給"),IF($AE1259="","要確認",IF($AE1259=0,"不支給","未処理")))))</f>
        <v/>
      </c>
      <c r="AG1259" s="12" t="n"/>
      <c r="AH1259" s="11" t="n"/>
      <c r="AI1259" s="11" t="n"/>
      <c r="AJ1259" s="11" t="n"/>
      <c r="AK1259" s="14">
        <f>IF(AND($AF1259="保留中",$AH1259&lt;&gt;""),TODAY()-$AH1259,"")</f>
        <v/>
      </c>
      <c r="AL1259" s="12" t="n"/>
      <c r="AM1259" s="14">
        <f>IF($B1259="","",IF($AQ1259="","対象年月が未入力／","")&amp;IF($B1259="","",IF($AP1259="","職員マスタに未登録の職員番号／",IF($AA1259="","標準報酬月額が未登録／","")&amp;IF(AND($AQ1259&lt;&gt;"",OR(AND(INDEX(職員マスタ!$G$6:$G$405,$AP1259)&lt;&gt;"",INDEX(職員マスタ!$G$6:$G$405,$AP1259)&gt;EOMONTH($AQ1259,0)),AND(INDEX(職員マスタ!$H$6:$H$405,$AP1259)&lt;&gt;"",INDEX(職員マスタ!$H$6:$H$405,$AP1259)&lt;$AQ1259))),"対象月が時短期間外／","")&amp;IF(AND(INDEX(職員マスタ!$K$6:$K$405,$AP1259)&lt;&gt;"",N($W1259)&gt;0,INDEX(職員マスタ!$K$6:$K$405,$AP1259)&lt;&gt;$W1259),"標準報酬月額が申請書と相違（台帳"&amp;TEXT(INDEX(職員マスタ!$K$6:$K$405,$AP1259),"#,##0")&amp;"円／申請書"&amp;TEXT($W1259,"#,##0")&amp;"円）／","")&amp;IF(AND(INDEX(職員マスタ!$F$6:$F$405,$AP1259)&lt;&gt;"",$AQ1259&lt;&gt;"",INDEX(職員マスタ!$F$6:$F$405,$AP1259)&lt;$AQ1259),"対象月に子が2歳到達済／","")&amp;IF(AND($H1259&lt;&gt;"",INDEX(職員マスタ!$B$6:$B$405,$AP1259)&lt;&gt;"",SUBSTITUTE(SUBSTITUTE($H1259," ","")," ","")&lt;&gt;SUBSTITUTE(SUBSTITUTE(INDEX(職員マスタ!$B$6:$B$405,$AP1259)," ","")," ","")),"氏名がマスタと相違／","")&amp;IF(AND($Q1259&lt;&gt;"",INDEX(職員マスタ!$E$6:$E$405,$AP1259)&lt;&gt;"",$Q1259&lt;&gt;INDEX(職員マスタ!$E$6:$E$405,$AP1259)),"子の生年月日がマスタと相違／","")&amp;IF(AND($L1259&lt;&gt;"",INDEX(職員マスタ!$G$6:$G$405,$AP1259)&lt;&gt;"",$L1259&lt;&gt;INDEX(職員マスタ!$G$6:$G$405,$AP1259)),"時短開始日がマスタと相違／","")&amp;IF(AND($M1259&lt;&gt;"",INDEX(職員マスタ!$H$6:$H$405,$AP1259)&lt;&gt;"",$M1259&lt;&gt;INDEX(職員マスタ!$H$6:$H$405,$AP1259)),"時短終了日がマスタと相違／","")))&amp;IF(AND($B1259&lt;&gt;"",$E1259=""),"報酬額が未入力／","")&amp;IF(N($U1259)&gt;0,"申請書に入力エラーが残っています／","")&amp;IF(AND($B1259&lt;&gt;"",$AQ1259&lt;&gt;""),IF(COUNTIFS($B$6:$B$3005,$B1259,$C$6:$C$3005,$C1259,$D$6:$D$3005,$D1259)&gt;1,"同じ月の請求が重複しています／",""),"")&amp;IF(AND(N($E1259)&gt;0,$AB1259&lt;&gt;"",$AB1259&lt;&gt;"×",$AE1259=0,$AD1259=""),"計算額が下限以下のため不支給／",""))</f>
        <v/>
      </c>
      <c r="AN1259" s="12" t="n"/>
      <c r="AO1259" s="14">
        <f>IF($AF1259="保留中",COUNTIF($AF$6:$AF1259,"保留中"),"")</f>
        <v/>
      </c>
      <c r="AP1259" s="14">
        <f>IF($AQ1259="","",IF(SUMPRODUCT(MAX((職員マスタ!$A$6:$A$405=$B1259)*(((職員マスタ!$G$6:$G$405="")+(職員マスタ!$G$6:$G$405&lt;=EOMONTH($AQ1259,0)))&gt;0)*(((職員マスタ!$H$6:$H$405="")+(職員マスタ!$H$6:$H$405&gt;=$AQ1259))&gt;0)*(ROW(職員マスタ!$A$6:$A$405)-5)))&gt;0,SUMPRODUCT(MAX((職員マスタ!$A$6:$A$405=$B1259)*(((職員マスタ!$G$6:$G$405="")+(職員マスタ!$G$6:$G$405&lt;=EOMONTH($AQ1259,0)))&gt;0)*(((職員マスタ!$H$6:$H$405="")+(職員マスタ!$H$6:$H$405&gt;=$AQ1259))&gt;0)*(ROW(職員マスタ!$A$6:$A$405)-5))),IFERROR(MATCH($B1259,職員マスタ!$A$6:$A$405,0),"")))</f>
        <v/>
      </c>
      <c r="AQ1259" s="16">
        <f>IF(OR($B1259="",$C1259="",$D1259=""),"",DATE($C1259+2018,$D1259,1))</f>
        <v/>
      </c>
    </row>
    <row r="1260">
      <c r="A1260" s="11" t="n"/>
      <c r="B1260" s="12" t="n"/>
      <c r="C1260" s="12" t="n"/>
      <c r="D1260" s="12" t="n"/>
      <c r="E1260" s="13" t="n"/>
      <c r="F1260" s="12" t="n"/>
      <c r="G1260" s="13" t="n"/>
      <c r="H1260" s="12" t="n"/>
      <c r="I1260" s="12" t="n"/>
      <c r="J1260" s="12" t="n"/>
      <c r="K1260" s="12" t="n"/>
      <c r="L1260" s="11" t="n"/>
      <c r="M1260" s="11" t="n"/>
      <c r="N1260" s="11" t="n"/>
      <c r="O1260" s="11" t="n"/>
      <c r="P1260" s="12" t="n"/>
      <c r="Q1260" s="11" t="n"/>
      <c r="R1260" s="12" t="n"/>
      <c r="S1260" s="11" t="n"/>
      <c r="T1260" s="12" t="n"/>
      <c r="U1260" s="12" t="n"/>
      <c r="V1260" s="12" t="n"/>
      <c r="W1260" s="13" t="n"/>
      <c r="X1260" s="14">
        <f>IF($AP1260="",IF($B1260="","",$H1260),IF(INDEX(職員マスタ!$B$6:$B$405,$AP1260)="",$H1260,INDEX(職員マスタ!$B$6:$B$405,$AP1260)))</f>
        <v/>
      </c>
      <c r="Y1260" s="14">
        <f>IF($AP1260="",IF($B1260="","",$R1260),IF(INDEX(職員マスタ!$C$6:$C$405,$AP1260)="",$R1260,INDEX(職員マスタ!$C$6:$C$405,$AP1260)))</f>
        <v/>
      </c>
      <c r="Z1260" s="14">
        <f>IF($AQ1260="","","R"&amp;$C1260&amp;"."&amp;$D1260)</f>
        <v/>
      </c>
      <c r="AA1260" s="15">
        <f>IF(IF($AP1260="",FALSE,INDEX(職員マスタ!$K$6:$K$405,$AP1260)&lt;&gt;""),INDEX(職員マスタ!$K$6:$K$405,$AP1260),IF(N($W1260)&gt;0,$W1260,""))</f>
        <v/>
      </c>
      <c r="AB1260" s="14">
        <f>IF(OR($E1260="",$AA1260=""),"",IF($E1260&gt;=$AA1260,"×",IF($E1260&gt;=$AA1260*設定!$C$5,"△","○")))</f>
        <v/>
      </c>
      <c r="AC1260" s="15">
        <f>IF($AB1260="","",IF($AB1260="×",0,IF($AB1260="○",ROUNDDOWN($E1260*設定!$C$4,0),ROUNDDOWN($E1260*ROUND((9*$AA1260-9*$E1260)/(10*$E1260),4),0))))</f>
        <v/>
      </c>
      <c r="AD1260" s="13" t="n"/>
      <c r="AE1260" s="15">
        <f>IF($B1260="","",IF($AD1260&lt;&gt;"",$AD1260,IF($AC1260="","",IF($AC1260&lt;=設定!$C$3,0,$AC1260))))</f>
        <v/>
      </c>
      <c r="AF1260" s="14">
        <f>IF($B1260="","",IF(AND($AG1260&lt;&gt;"",$AI1260="",$AL1260=""),"保留中",IF($AL1260&lt;&gt;"",IF(N($AE1260)&gt;0,"支給済","不支給"),IF($AE1260="","要確認",IF($AE1260=0,"不支給","未処理")))))</f>
        <v/>
      </c>
      <c r="AG1260" s="12" t="n"/>
      <c r="AH1260" s="11" t="n"/>
      <c r="AI1260" s="11" t="n"/>
      <c r="AJ1260" s="11" t="n"/>
      <c r="AK1260" s="14">
        <f>IF(AND($AF1260="保留中",$AH1260&lt;&gt;""),TODAY()-$AH1260,"")</f>
        <v/>
      </c>
      <c r="AL1260" s="12" t="n"/>
      <c r="AM1260" s="14">
        <f>IF($B1260="","",IF($AQ1260="","対象年月が未入力／","")&amp;IF($B1260="","",IF($AP1260="","職員マスタに未登録の職員番号／",IF($AA1260="","標準報酬月額が未登録／","")&amp;IF(AND($AQ1260&lt;&gt;"",OR(AND(INDEX(職員マスタ!$G$6:$G$405,$AP1260)&lt;&gt;"",INDEX(職員マスタ!$G$6:$G$405,$AP1260)&gt;EOMONTH($AQ1260,0)),AND(INDEX(職員マスタ!$H$6:$H$405,$AP1260)&lt;&gt;"",INDEX(職員マスタ!$H$6:$H$405,$AP1260)&lt;$AQ1260))),"対象月が時短期間外／","")&amp;IF(AND(INDEX(職員マスタ!$K$6:$K$405,$AP1260)&lt;&gt;"",N($W1260)&gt;0,INDEX(職員マスタ!$K$6:$K$405,$AP1260)&lt;&gt;$W1260),"標準報酬月額が申請書と相違（台帳"&amp;TEXT(INDEX(職員マスタ!$K$6:$K$405,$AP1260),"#,##0")&amp;"円／申請書"&amp;TEXT($W1260,"#,##0")&amp;"円）／","")&amp;IF(AND(INDEX(職員マスタ!$F$6:$F$405,$AP1260)&lt;&gt;"",$AQ1260&lt;&gt;"",INDEX(職員マスタ!$F$6:$F$405,$AP1260)&lt;$AQ1260),"対象月に子が2歳到達済／","")&amp;IF(AND($H1260&lt;&gt;"",INDEX(職員マスタ!$B$6:$B$405,$AP1260)&lt;&gt;"",SUBSTITUTE(SUBSTITUTE($H1260," ","")," ","")&lt;&gt;SUBSTITUTE(SUBSTITUTE(INDEX(職員マスタ!$B$6:$B$405,$AP1260)," ","")," ","")),"氏名がマスタと相違／","")&amp;IF(AND($Q1260&lt;&gt;"",INDEX(職員マスタ!$E$6:$E$405,$AP1260)&lt;&gt;"",$Q1260&lt;&gt;INDEX(職員マスタ!$E$6:$E$405,$AP1260)),"子の生年月日がマスタと相違／","")&amp;IF(AND($L1260&lt;&gt;"",INDEX(職員マスタ!$G$6:$G$405,$AP1260)&lt;&gt;"",$L1260&lt;&gt;INDEX(職員マスタ!$G$6:$G$405,$AP1260)),"時短開始日がマスタと相違／","")&amp;IF(AND($M1260&lt;&gt;"",INDEX(職員マスタ!$H$6:$H$405,$AP1260)&lt;&gt;"",$M1260&lt;&gt;INDEX(職員マスタ!$H$6:$H$405,$AP1260)),"時短終了日がマスタと相違／","")))&amp;IF(AND($B1260&lt;&gt;"",$E1260=""),"報酬額が未入力／","")&amp;IF(N($U1260)&gt;0,"申請書に入力エラーが残っています／","")&amp;IF(AND($B1260&lt;&gt;"",$AQ1260&lt;&gt;""),IF(COUNTIFS($B$6:$B$3005,$B1260,$C$6:$C$3005,$C1260,$D$6:$D$3005,$D1260)&gt;1,"同じ月の請求が重複しています／",""),"")&amp;IF(AND(N($E1260)&gt;0,$AB1260&lt;&gt;"",$AB1260&lt;&gt;"×",$AE1260=0,$AD1260=""),"計算額が下限以下のため不支給／",""))</f>
        <v/>
      </c>
      <c r="AN1260" s="12" t="n"/>
      <c r="AO1260" s="14">
        <f>IF($AF1260="保留中",COUNTIF($AF$6:$AF1260,"保留中"),"")</f>
        <v/>
      </c>
      <c r="AP1260" s="14">
        <f>IF($AQ1260="","",IF(SUMPRODUCT(MAX((職員マスタ!$A$6:$A$405=$B1260)*(((職員マスタ!$G$6:$G$405="")+(職員マスタ!$G$6:$G$405&lt;=EOMONTH($AQ1260,0)))&gt;0)*(((職員マスタ!$H$6:$H$405="")+(職員マスタ!$H$6:$H$405&gt;=$AQ1260))&gt;0)*(ROW(職員マスタ!$A$6:$A$405)-5)))&gt;0,SUMPRODUCT(MAX((職員マスタ!$A$6:$A$405=$B1260)*(((職員マスタ!$G$6:$G$405="")+(職員マスタ!$G$6:$G$405&lt;=EOMONTH($AQ1260,0)))&gt;0)*(((職員マスタ!$H$6:$H$405="")+(職員マスタ!$H$6:$H$405&gt;=$AQ1260))&gt;0)*(ROW(職員マスタ!$A$6:$A$405)-5))),IFERROR(MATCH($B1260,職員マスタ!$A$6:$A$405,0),"")))</f>
        <v/>
      </c>
      <c r="AQ1260" s="16">
        <f>IF(OR($B1260="",$C1260="",$D1260=""),"",DATE($C1260+2018,$D1260,1))</f>
        <v/>
      </c>
    </row>
    <row r="1261">
      <c r="A1261" s="11" t="n"/>
      <c r="B1261" s="12" t="n"/>
      <c r="C1261" s="12" t="n"/>
      <c r="D1261" s="12" t="n"/>
      <c r="E1261" s="13" t="n"/>
      <c r="F1261" s="12" t="n"/>
      <c r="G1261" s="13" t="n"/>
      <c r="H1261" s="12" t="n"/>
      <c r="I1261" s="12" t="n"/>
      <c r="J1261" s="12" t="n"/>
      <c r="K1261" s="12" t="n"/>
      <c r="L1261" s="11" t="n"/>
      <c r="M1261" s="11" t="n"/>
      <c r="N1261" s="11" t="n"/>
      <c r="O1261" s="11" t="n"/>
      <c r="P1261" s="12" t="n"/>
      <c r="Q1261" s="11" t="n"/>
      <c r="R1261" s="12" t="n"/>
      <c r="S1261" s="11" t="n"/>
      <c r="T1261" s="12" t="n"/>
      <c r="U1261" s="12" t="n"/>
      <c r="V1261" s="12" t="n"/>
      <c r="W1261" s="13" t="n"/>
      <c r="X1261" s="14">
        <f>IF($AP1261="",IF($B1261="","",$H1261),IF(INDEX(職員マスタ!$B$6:$B$405,$AP1261)="",$H1261,INDEX(職員マスタ!$B$6:$B$405,$AP1261)))</f>
        <v/>
      </c>
      <c r="Y1261" s="14">
        <f>IF($AP1261="",IF($B1261="","",$R1261),IF(INDEX(職員マスタ!$C$6:$C$405,$AP1261)="",$R1261,INDEX(職員マスタ!$C$6:$C$405,$AP1261)))</f>
        <v/>
      </c>
      <c r="Z1261" s="14">
        <f>IF($AQ1261="","","R"&amp;$C1261&amp;"."&amp;$D1261)</f>
        <v/>
      </c>
      <c r="AA1261" s="15">
        <f>IF(IF($AP1261="",FALSE,INDEX(職員マスタ!$K$6:$K$405,$AP1261)&lt;&gt;""),INDEX(職員マスタ!$K$6:$K$405,$AP1261),IF(N($W1261)&gt;0,$W1261,""))</f>
        <v/>
      </c>
      <c r="AB1261" s="14">
        <f>IF(OR($E1261="",$AA1261=""),"",IF($E1261&gt;=$AA1261,"×",IF($E1261&gt;=$AA1261*設定!$C$5,"△","○")))</f>
        <v/>
      </c>
      <c r="AC1261" s="15">
        <f>IF($AB1261="","",IF($AB1261="×",0,IF($AB1261="○",ROUNDDOWN($E1261*設定!$C$4,0),ROUNDDOWN($E1261*ROUND((9*$AA1261-9*$E1261)/(10*$E1261),4),0))))</f>
        <v/>
      </c>
      <c r="AD1261" s="13" t="n"/>
      <c r="AE1261" s="15">
        <f>IF($B1261="","",IF($AD1261&lt;&gt;"",$AD1261,IF($AC1261="","",IF($AC1261&lt;=設定!$C$3,0,$AC1261))))</f>
        <v/>
      </c>
      <c r="AF1261" s="14">
        <f>IF($B1261="","",IF(AND($AG1261&lt;&gt;"",$AI1261="",$AL1261=""),"保留中",IF($AL1261&lt;&gt;"",IF(N($AE1261)&gt;0,"支給済","不支給"),IF($AE1261="","要確認",IF($AE1261=0,"不支給","未処理")))))</f>
        <v/>
      </c>
      <c r="AG1261" s="12" t="n"/>
      <c r="AH1261" s="11" t="n"/>
      <c r="AI1261" s="11" t="n"/>
      <c r="AJ1261" s="11" t="n"/>
      <c r="AK1261" s="14">
        <f>IF(AND($AF1261="保留中",$AH1261&lt;&gt;""),TODAY()-$AH1261,"")</f>
        <v/>
      </c>
      <c r="AL1261" s="12" t="n"/>
      <c r="AM1261" s="14">
        <f>IF($B1261="","",IF($AQ1261="","対象年月が未入力／","")&amp;IF($B1261="","",IF($AP1261="","職員マスタに未登録の職員番号／",IF($AA1261="","標準報酬月額が未登録／","")&amp;IF(AND($AQ1261&lt;&gt;"",OR(AND(INDEX(職員マスタ!$G$6:$G$405,$AP1261)&lt;&gt;"",INDEX(職員マスタ!$G$6:$G$405,$AP1261)&gt;EOMONTH($AQ1261,0)),AND(INDEX(職員マスタ!$H$6:$H$405,$AP1261)&lt;&gt;"",INDEX(職員マスタ!$H$6:$H$405,$AP1261)&lt;$AQ1261))),"対象月が時短期間外／","")&amp;IF(AND(INDEX(職員マスタ!$K$6:$K$405,$AP1261)&lt;&gt;"",N($W1261)&gt;0,INDEX(職員マスタ!$K$6:$K$405,$AP1261)&lt;&gt;$W1261),"標準報酬月額が申請書と相違（台帳"&amp;TEXT(INDEX(職員マスタ!$K$6:$K$405,$AP1261),"#,##0")&amp;"円／申請書"&amp;TEXT($W1261,"#,##0")&amp;"円）／","")&amp;IF(AND(INDEX(職員マスタ!$F$6:$F$405,$AP1261)&lt;&gt;"",$AQ1261&lt;&gt;"",INDEX(職員マスタ!$F$6:$F$405,$AP1261)&lt;$AQ1261),"対象月に子が2歳到達済／","")&amp;IF(AND($H1261&lt;&gt;"",INDEX(職員マスタ!$B$6:$B$405,$AP1261)&lt;&gt;"",SUBSTITUTE(SUBSTITUTE($H1261," ","")," ","")&lt;&gt;SUBSTITUTE(SUBSTITUTE(INDEX(職員マスタ!$B$6:$B$405,$AP1261)," ","")," ","")),"氏名がマスタと相違／","")&amp;IF(AND($Q1261&lt;&gt;"",INDEX(職員マスタ!$E$6:$E$405,$AP1261)&lt;&gt;"",$Q1261&lt;&gt;INDEX(職員マスタ!$E$6:$E$405,$AP1261)),"子の生年月日がマスタと相違／","")&amp;IF(AND($L1261&lt;&gt;"",INDEX(職員マスタ!$G$6:$G$405,$AP1261)&lt;&gt;"",$L1261&lt;&gt;INDEX(職員マスタ!$G$6:$G$405,$AP1261)),"時短開始日がマスタと相違／","")&amp;IF(AND($M1261&lt;&gt;"",INDEX(職員マスタ!$H$6:$H$405,$AP1261)&lt;&gt;"",$M1261&lt;&gt;INDEX(職員マスタ!$H$6:$H$405,$AP1261)),"時短終了日がマスタと相違／","")))&amp;IF(AND($B1261&lt;&gt;"",$E1261=""),"報酬額が未入力／","")&amp;IF(N($U1261)&gt;0,"申請書に入力エラーが残っています／","")&amp;IF(AND($B1261&lt;&gt;"",$AQ1261&lt;&gt;""),IF(COUNTIFS($B$6:$B$3005,$B1261,$C$6:$C$3005,$C1261,$D$6:$D$3005,$D1261)&gt;1,"同じ月の請求が重複しています／",""),"")&amp;IF(AND(N($E1261)&gt;0,$AB1261&lt;&gt;"",$AB1261&lt;&gt;"×",$AE1261=0,$AD1261=""),"計算額が下限以下のため不支給／",""))</f>
        <v/>
      </c>
      <c r="AN1261" s="12" t="n"/>
      <c r="AO1261" s="14">
        <f>IF($AF1261="保留中",COUNTIF($AF$6:$AF1261,"保留中"),"")</f>
        <v/>
      </c>
      <c r="AP1261" s="14">
        <f>IF($AQ1261="","",IF(SUMPRODUCT(MAX((職員マスタ!$A$6:$A$405=$B1261)*(((職員マスタ!$G$6:$G$405="")+(職員マスタ!$G$6:$G$405&lt;=EOMONTH($AQ1261,0)))&gt;0)*(((職員マスタ!$H$6:$H$405="")+(職員マスタ!$H$6:$H$405&gt;=$AQ1261))&gt;0)*(ROW(職員マスタ!$A$6:$A$405)-5)))&gt;0,SUMPRODUCT(MAX((職員マスタ!$A$6:$A$405=$B1261)*(((職員マスタ!$G$6:$G$405="")+(職員マスタ!$G$6:$G$405&lt;=EOMONTH($AQ1261,0)))&gt;0)*(((職員マスタ!$H$6:$H$405="")+(職員マスタ!$H$6:$H$405&gt;=$AQ1261))&gt;0)*(ROW(職員マスタ!$A$6:$A$405)-5))),IFERROR(MATCH($B1261,職員マスタ!$A$6:$A$405,0),"")))</f>
        <v/>
      </c>
      <c r="AQ1261" s="16">
        <f>IF(OR($B1261="",$C1261="",$D1261=""),"",DATE($C1261+2018,$D1261,1))</f>
        <v/>
      </c>
    </row>
    <row r="1262">
      <c r="A1262" s="11" t="n"/>
      <c r="B1262" s="12" t="n"/>
      <c r="C1262" s="12" t="n"/>
      <c r="D1262" s="12" t="n"/>
      <c r="E1262" s="13" t="n"/>
      <c r="F1262" s="12" t="n"/>
      <c r="G1262" s="13" t="n"/>
      <c r="H1262" s="12" t="n"/>
      <c r="I1262" s="12" t="n"/>
      <c r="J1262" s="12" t="n"/>
      <c r="K1262" s="12" t="n"/>
      <c r="L1262" s="11" t="n"/>
      <c r="M1262" s="11" t="n"/>
      <c r="N1262" s="11" t="n"/>
      <c r="O1262" s="11" t="n"/>
      <c r="P1262" s="12" t="n"/>
      <c r="Q1262" s="11" t="n"/>
      <c r="R1262" s="12" t="n"/>
      <c r="S1262" s="11" t="n"/>
      <c r="T1262" s="12" t="n"/>
      <c r="U1262" s="12" t="n"/>
      <c r="V1262" s="12" t="n"/>
      <c r="W1262" s="13" t="n"/>
      <c r="X1262" s="14">
        <f>IF($AP1262="",IF($B1262="","",$H1262),IF(INDEX(職員マスタ!$B$6:$B$405,$AP1262)="",$H1262,INDEX(職員マスタ!$B$6:$B$405,$AP1262)))</f>
        <v/>
      </c>
      <c r="Y1262" s="14">
        <f>IF($AP1262="",IF($B1262="","",$R1262),IF(INDEX(職員マスタ!$C$6:$C$405,$AP1262)="",$R1262,INDEX(職員マスタ!$C$6:$C$405,$AP1262)))</f>
        <v/>
      </c>
      <c r="Z1262" s="14">
        <f>IF($AQ1262="","","R"&amp;$C1262&amp;"."&amp;$D1262)</f>
        <v/>
      </c>
      <c r="AA1262" s="15">
        <f>IF(IF($AP1262="",FALSE,INDEX(職員マスタ!$K$6:$K$405,$AP1262)&lt;&gt;""),INDEX(職員マスタ!$K$6:$K$405,$AP1262),IF(N($W1262)&gt;0,$W1262,""))</f>
        <v/>
      </c>
      <c r="AB1262" s="14">
        <f>IF(OR($E1262="",$AA1262=""),"",IF($E1262&gt;=$AA1262,"×",IF($E1262&gt;=$AA1262*設定!$C$5,"△","○")))</f>
        <v/>
      </c>
      <c r="AC1262" s="15">
        <f>IF($AB1262="","",IF($AB1262="×",0,IF($AB1262="○",ROUNDDOWN($E1262*設定!$C$4,0),ROUNDDOWN($E1262*ROUND((9*$AA1262-9*$E1262)/(10*$E1262),4),0))))</f>
        <v/>
      </c>
      <c r="AD1262" s="13" t="n"/>
      <c r="AE1262" s="15">
        <f>IF($B1262="","",IF($AD1262&lt;&gt;"",$AD1262,IF($AC1262="","",IF($AC1262&lt;=設定!$C$3,0,$AC1262))))</f>
        <v/>
      </c>
      <c r="AF1262" s="14">
        <f>IF($B1262="","",IF(AND($AG1262&lt;&gt;"",$AI1262="",$AL1262=""),"保留中",IF($AL1262&lt;&gt;"",IF(N($AE1262)&gt;0,"支給済","不支給"),IF($AE1262="","要確認",IF($AE1262=0,"不支給","未処理")))))</f>
        <v/>
      </c>
      <c r="AG1262" s="12" t="n"/>
      <c r="AH1262" s="11" t="n"/>
      <c r="AI1262" s="11" t="n"/>
      <c r="AJ1262" s="11" t="n"/>
      <c r="AK1262" s="14">
        <f>IF(AND($AF1262="保留中",$AH1262&lt;&gt;""),TODAY()-$AH1262,"")</f>
        <v/>
      </c>
      <c r="AL1262" s="12" t="n"/>
      <c r="AM1262" s="14">
        <f>IF($B1262="","",IF($AQ1262="","対象年月が未入力／","")&amp;IF($B1262="","",IF($AP1262="","職員マスタに未登録の職員番号／",IF($AA1262="","標準報酬月額が未登録／","")&amp;IF(AND($AQ1262&lt;&gt;"",OR(AND(INDEX(職員マスタ!$G$6:$G$405,$AP1262)&lt;&gt;"",INDEX(職員マスタ!$G$6:$G$405,$AP1262)&gt;EOMONTH($AQ1262,0)),AND(INDEX(職員マスタ!$H$6:$H$405,$AP1262)&lt;&gt;"",INDEX(職員マスタ!$H$6:$H$405,$AP1262)&lt;$AQ1262))),"対象月が時短期間外／","")&amp;IF(AND(INDEX(職員マスタ!$K$6:$K$405,$AP1262)&lt;&gt;"",N($W1262)&gt;0,INDEX(職員マスタ!$K$6:$K$405,$AP1262)&lt;&gt;$W1262),"標準報酬月額が申請書と相違（台帳"&amp;TEXT(INDEX(職員マスタ!$K$6:$K$405,$AP1262),"#,##0")&amp;"円／申請書"&amp;TEXT($W1262,"#,##0")&amp;"円）／","")&amp;IF(AND(INDEX(職員マスタ!$F$6:$F$405,$AP1262)&lt;&gt;"",$AQ1262&lt;&gt;"",INDEX(職員マスタ!$F$6:$F$405,$AP1262)&lt;$AQ1262),"対象月に子が2歳到達済／","")&amp;IF(AND($H1262&lt;&gt;"",INDEX(職員マスタ!$B$6:$B$405,$AP1262)&lt;&gt;"",SUBSTITUTE(SUBSTITUTE($H1262," ","")," ","")&lt;&gt;SUBSTITUTE(SUBSTITUTE(INDEX(職員マスタ!$B$6:$B$405,$AP1262)," ","")," ","")),"氏名がマスタと相違／","")&amp;IF(AND($Q1262&lt;&gt;"",INDEX(職員マスタ!$E$6:$E$405,$AP1262)&lt;&gt;"",$Q1262&lt;&gt;INDEX(職員マスタ!$E$6:$E$405,$AP1262)),"子の生年月日がマスタと相違／","")&amp;IF(AND($L1262&lt;&gt;"",INDEX(職員マスタ!$G$6:$G$405,$AP1262)&lt;&gt;"",$L1262&lt;&gt;INDEX(職員マスタ!$G$6:$G$405,$AP1262)),"時短開始日がマスタと相違／","")&amp;IF(AND($M1262&lt;&gt;"",INDEX(職員マスタ!$H$6:$H$405,$AP1262)&lt;&gt;"",$M1262&lt;&gt;INDEX(職員マスタ!$H$6:$H$405,$AP1262)),"時短終了日がマスタと相違／","")))&amp;IF(AND($B1262&lt;&gt;"",$E1262=""),"報酬額が未入力／","")&amp;IF(N($U1262)&gt;0,"申請書に入力エラーが残っています／","")&amp;IF(AND($B1262&lt;&gt;"",$AQ1262&lt;&gt;""),IF(COUNTIFS($B$6:$B$3005,$B1262,$C$6:$C$3005,$C1262,$D$6:$D$3005,$D1262)&gt;1,"同じ月の請求が重複しています／",""),"")&amp;IF(AND(N($E1262)&gt;0,$AB1262&lt;&gt;"",$AB1262&lt;&gt;"×",$AE1262=0,$AD1262=""),"計算額が下限以下のため不支給／",""))</f>
        <v/>
      </c>
      <c r="AN1262" s="12" t="n"/>
      <c r="AO1262" s="14">
        <f>IF($AF1262="保留中",COUNTIF($AF$6:$AF1262,"保留中"),"")</f>
        <v/>
      </c>
      <c r="AP1262" s="14">
        <f>IF($AQ1262="","",IF(SUMPRODUCT(MAX((職員マスタ!$A$6:$A$405=$B1262)*(((職員マスタ!$G$6:$G$405="")+(職員マスタ!$G$6:$G$405&lt;=EOMONTH($AQ1262,0)))&gt;0)*(((職員マスタ!$H$6:$H$405="")+(職員マスタ!$H$6:$H$405&gt;=$AQ1262))&gt;0)*(ROW(職員マスタ!$A$6:$A$405)-5)))&gt;0,SUMPRODUCT(MAX((職員マスタ!$A$6:$A$405=$B1262)*(((職員マスタ!$G$6:$G$405="")+(職員マスタ!$G$6:$G$405&lt;=EOMONTH($AQ1262,0)))&gt;0)*(((職員マスタ!$H$6:$H$405="")+(職員マスタ!$H$6:$H$405&gt;=$AQ1262))&gt;0)*(ROW(職員マスタ!$A$6:$A$405)-5))),IFERROR(MATCH($B1262,職員マスタ!$A$6:$A$405,0),"")))</f>
        <v/>
      </c>
      <c r="AQ1262" s="16">
        <f>IF(OR($B1262="",$C1262="",$D1262=""),"",DATE($C1262+2018,$D1262,1))</f>
        <v/>
      </c>
    </row>
    <row r="1263">
      <c r="A1263" s="11" t="n"/>
      <c r="B1263" s="12" t="n"/>
      <c r="C1263" s="12" t="n"/>
      <c r="D1263" s="12" t="n"/>
      <c r="E1263" s="13" t="n"/>
      <c r="F1263" s="12" t="n"/>
      <c r="G1263" s="13" t="n"/>
      <c r="H1263" s="12" t="n"/>
      <c r="I1263" s="12" t="n"/>
      <c r="J1263" s="12" t="n"/>
      <c r="K1263" s="12" t="n"/>
      <c r="L1263" s="11" t="n"/>
      <c r="M1263" s="11" t="n"/>
      <c r="N1263" s="11" t="n"/>
      <c r="O1263" s="11" t="n"/>
      <c r="P1263" s="12" t="n"/>
      <c r="Q1263" s="11" t="n"/>
      <c r="R1263" s="12" t="n"/>
      <c r="S1263" s="11" t="n"/>
      <c r="T1263" s="12" t="n"/>
      <c r="U1263" s="12" t="n"/>
      <c r="V1263" s="12" t="n"/>
      <c r="W1263" s="13" t="n"/>
      <c r="X1263" s="14">
        <f>IF($AP1263="",IF($B1263="","",$H1263),IF(INDEX(職員マスタ!$B$6:$B$405,$AP1263)="",$H1263,INDEX(職員マスタ!$B$6:$B$405,$AP1263)))</f>
        <v/>
      </c>
      <c r="Y1263" s="14">
        <f>IF($AP1263="",IF($B1263="","",$R1263),IF(INDEX(職員マスタ!$C$6:$C$405,$AP1263)="",$R1263,INDEX(職員マスタ!$C$6:$C$405,$AP1263)))</f>
        <v/>
      </c>
      <c r="Z1263" s="14">
        <f>IF($AQ1263="","","R"&amp;$C1263&amp;"."&amp;$D1263)</f>
        <v/>
      </c>
      <c r="AA1263" s="15">
        <f>IF(IF($AP1263="",FALSE,INDEX(職員マスタ!$K$6:$K$405,$AP1263)&lt;&gt;""),INDEX(職員マスタ!$K$6:$K$405,$AP1263),IF(N($W1263)&gt;0,$W1263,""))</f>
        <v/>
      </c>
      <c r="AB1263" s="14">
        <f>IF(OR($E1263="",$AA1263=""),"",IF($E1263&gt;=$AA1263,"×",IF($E1263&gt;=$AA1263*設定!$C$5,"△","○")))</f>
        <v/>
      </c>
      <c r="AC1263" s="15">
        <f>IF($AB1263="","",IF($AB1263="×",0,IF($AB1263="○",ROUNDDOWN($E1263*設定!$C$4,0),ROUNDDOWN($E1263*ROUND((9*$AA1263-9*$E1263)/(10*$E1263),4),0))))</f>
        <v/>
      </c>
      <c r="AD1263" s="13" t="n"/>
      <c r="AE1263" s="15">
        <f>IF($B1263="","",IF($AD1263&lt;&gt;"",$AD1263,IF($AC1263="","",IF($AC1263&lt;=設定!$C$3,0,$AC1263))))</f>
        <v/>
      </c>
      <c r="AF1263" s="14">
        <f>IF($B1263="","",IF(AND($AG1263&lt;&gt;"",$AI1263="",$AL1263=""),"保留中",IF($AL1263&lt;&gt;"",IF(N($AE1263)&gt;0,"支給済","不支給"),IF($AE1263="","要確認",IF($AE1263=0,"不支給","未処理")))))</f>
        <v/>
      </c>
      <c r="AG1263" s="12" t="n"/>
      <c r="AH1263" s="11" t="n"/>
      <c r="AI1263" s="11" t="n"/>
      <c r="AJ1263" s="11" t="n"/>
      <c r="AK1263" s="14">
        <f>IF(AND($AF1263="保留中",$AH1263&lt;&gt;""),TODAY()-$AH1263,"")</f>
        <v/>
      </c>
      <c r="AL1263" s="12" t="n"/>
      <c r="AM1263" s="14">
        <f>IF($B1263="","",IF($AQ1263="","対象年月が未入力／","")&amp;IF($B1263="","",IF($AP1263="","職員マスタに未登録の職員番号／",IF($AA1263="","標準報酬月額が未登録／","")&amp;IF(AND($AQ1263&lt;&gt;"",OR(AND(INDEX(職員マスタ!$G$6:$G$405,$AP1263)&lt;&gt;"",INDEX(職員マスタ!$G$6:$G$405,$AP1263)&gt;EOMONTH($AQ1263,0)),AND(INDEX(職員マスタ!$H$6:$H$405,$AP1263)&lt;&gt;"",INDEX(職員マスタ!$H$6:$H$405,$AP1263)&lt;$AQ1263))),"対象月が時短期間外／","")&amp;IF(AND(INDEX(職員マスタ!$K$6:$K$405,$AP1263)&lt;&gt;"",N($W1263)&gt;0,INDEX(職員マスタ!$K$6:$K$405,$AP1263)&lt;&gt;$W1263),"標準報酬月額が申請書と相違（台帳"&amp;TEXT(INDEX(職員マスタ!$K$6:$K$405,$AP1263),"#,##0")&amp;"円／申請書"&amp;TEXT($W1263,"#,##0")&amp;"円）／","")&amp;IF(AND(INDEX(職員マスタ!$F$6:$F$405,$AP1263)&lt;&gt;"",$AQ1263&lt;&gt;"",INDEX(職員マスタ!$F$6:$F$405,$AP1263)&lt;$AQ1263),"対象月に子が2歳到達済／","")&amp;IF(AND($H1263&lt;&gt;"",INDEX(職員マスタ!$B$6:$B$405,$AP1263)&lt;&gt;"",SUBSTITUTE(SUBSTITUTE($H1263," ","")," ","")&lt;&gt;SUBSTITUTE(SUBSTITUTE(INDEX(職員マスタ!$B$6:$B$405,$AP1263)," ","")," ","")),"氏名がマスタと相違／","")&amp;IF(AND($Q1263&lt;&gt;"",INDEX(職員マスタ!$E$6:$E$405,$AP1263)&lt;&gt;"",$Q1263&lt;&gt;INDEX(職員マスタ!$E$6:$E$405,$AP1263)),"子の生年月日がマスタと相違／","")&amp;IF(AND($L1263&lt;&gt;"",INDEX(職員マスタ!$G$6:$G$405,$AP1263)&lt;&gt;"",$L1263&lt;&gt;INDEX(職員マスタ!$G$6:$G$405,$AP1263)),"時短開始日がマスタと相違／","")&amp;IF(AND($M1263&lt;&gt;"",INDEX(職員マスタ!$H$6:$H$405,$AP1263)&lt;&gt;"",$M1263&lt;&gt;INDEX(職員マスタ!$H$6:$H$405,$AP1263)),"時短終了日がマスタと相違／","")))&amp;IF(AND($B1263&lt;&gt;"",$E1263=""),"報酬額が未入力／","")&amp;IF(N($U1263)&gt;0,"申請書に入力エラーが残っています／","")&amp;IF(AND($B1263&lt;&gt;"",$AQ1263&lt;&gt;""),IF(COUNTIFS($B$6:$B$3005,$B1263,$C$6:$C$3005,$C1263,$D$6:$D$3005,$D1263)&gt;1,"同じ月の請求が重複しています／",""),"")&amp;IF(AND(N($E1263)&gt;0,$AB1263&lt;&gt;"",$AB1263&lt;&gt;"×",$AE1263=0,$AD1263=""),"計算額が下限以下のため不支給／",""))</f>
        <v/>
      </c>
      <c r="AN1263" s="12" t="n"/>
      <c r="AO1263" s="14">
        <f>IF($AF1263="保留中",COUNTIF($AF$6:$AF1263,"保留中"),"")</f>
        <v/>
      </c>
      <c r="AP1263" s="14">
        <f>IF($AQ1263="","",IF(SUMPRODUCT(MAX((職員マスタ!$A$6:$A$405=$B1263)*(((職員マスタ!$G$6:$G$405="")+(職員マスタ!$G$6:$G$405&lt;=EOMONTH($AQ1263,0)))&gt;0)*(((職員マスタ!$H$6:$H$405="")+(職員マスタ!$H$6:$H$405&gt;=$AQ1263))&gt;0)*(ROW(職員マスタ!$A$6:$A$405)-5)))&gt;0,SUMPRODUCT(MAX((職員マスタ!$A$6:$A$405=$B1263)*(((職員マスタ!$G$6:$G$405="")+(職員マスタ!$G$6:$G$405&lt;=EOMONTH($AQ1263,0)))&gt;0)*(((職員マスタ!$H$6:$H$405="")+(職員マスタ!$H$6:$H$405&gt;=$AQ1263))&gt;0)*(ROW(職員マスタ!$A$6:$A$405)-5))),IFERROR(MATCH($B1263,職員マスタ!$A$6:$A$405,0),"")))</f>
        <v/>
      </c>
      <c r="AQ1263" s="16">
        <f>IF(OR($B1263="",$C1263="",$D1263=""),"",DATE($C1263+2018,$D1263,1))</f>
        <v/>
      </c>
    </row>
    <row r="1264">
      <c r="A1264" s="11" t="n"/>
      <c r="B1264" s="12" t="n"/>
      <c r="C1264" s="12" t="n"/>
      <c r="D1264" s="12" t="n"/>
      <c r="E1264" s="13" t="n"/>
      <c r="F1264" s="12" t="n"/>
      <c r="G1264" s="13" t="n"/>
      <c r="H1264" s="12" t="n"/>
      <c r="I1264" s="12" t="n"/>
      <c r="J1264" s="12" t="n"/>
      <c r="K1264" s="12" t="n"/>
      <c r="L1264" s="11" t="n"/>
      <c r="M1264" s="11" t="n"/>
      <c r="N1264" s="11" t="n"/>
      <c r="O1264" s="11" t="n"/>
      <c r="P1264" s="12" t="n"/>
      <c r="Q1264" s="11" t="n"/>
      <c r="R1264" s="12" t="n"/>
      <c r="S1264" s="11" t="n"/>
      <c r="T1264" s="12" t="n"/>
      <c r="U1264" s="12" t="n"/>
      <c r="V1264" s="12" t="n"/>
      <c r="W1264" s="13" t="n"/>
      <c r="X1264" s="14">
        <f>IF($AP1264="",IF($B1264="","",$H1264),IF(INDEX(職員マスタ!$B$6:$B$405,$AP1264)="",$H1264,INDEX(職員マスタ!$B$6:$B$405,$AP1264)))</f>
        <v/>
      </c>
      <c r="Y1264" s="14">
        <f>IF($AP1264="",IF($B1264="","",$R1264),IF(INDEX(職員マスタ!$C$6:$C$405,$AP1264)="",$R1264,INDEX(職員マスタ!$C$6:$C$405,$AP1264)))</f>
        <v/>
      </c>
      <c r="Z1264" s="14">
        <f>IF($AQ1264="","","R"&amp;$C1264&amp;"."&amp;$D1264)</f>
        <v/>
      </c>
      <c r="AA1264" s="15">
        <f>IF(IF($AP1264="",FALSE,INDEX(職員マスタ!$K$6:$K$405,$AP1264)&lt;&gt;""),INDEX(職員マスタ!$K$6:$K$405,$AP1264),IF(N($W1264)&gt;0,$W1264,""))</f>
        <v/>
      </c>
      <c r="AB1264" s="14">
        <f>IF(OR($E1264="",$AA1264=""),"",IF($E1264&gt;=$AA1264,"×",IF($E1264&gt;=$AA1264*設定!$C$5,"△","○")))</f>
        <v/>
      </c>
      <c r="AC1264" s="15">
        <f>IF($AB1264="","",IF($AB1264="×",0,IF($AB1264="○",ROUNDDOWN($E1264*設定!$C$4,0),ROUNDDOWN($E1264*ROUND((9*$AA1264-9*$E1264)/(10*$E1264),4),0))))</f>
        <v/>
      </c>
      <c r="AD1264" s="13" t="n"/>
      <c r="AE1264" s="15">
        <f>IF($B1264="","",IF($AD1264&lt;&gt;"",$AD1264,IF($AC1264="","",IF($AC1264&lt;=設定!$C$3,0,$AC1264))))</f>
        <v/>
      </c>
      <c r="AF1264" s="14">
        <f>IF($B1264="","",IF(AND($AG1264&lt;&gt;"",$AI1264="",$AL1264=""),"保留中",IF($AL1264&lt;&gt;"",IF(N($AE1264)&gt;0,"支給済","不支給"),IF($AE1264="","要確認",IF($AE1264=0,"不支給","未処理")))))</f>
        <v/>
      </c>
      <c r="AG1264" s="12" t="n"/>
      <c r="AH1264" s="11" t="n"/>
      <c r="AI1264" s="11" t="n"/>
      <c r="AJ1264" s="11" t="n"/>
      <c r="AK1264" s="14">
        <f>IF(AND($AF1264="保留中",$AH1264&lt;&gt;""),TODAY()-$AH1264,"")</f>
        <v/>
      </c>
      <c r="AL1264" s="12" t="n"/>
      <c r="AM1264" s="14">
        <f>IF($B1264="","",IF($AQ1264="","対象年月が未入力／","")&amp;IF($B1264="","",IF($AP1264="","職員マスタに未登録の職員番号／",IF($AA1264="","標準報酬月額が未登録／","")&amp;IF(AND($AQ1264&lt;&gt;"",OR(AND(INDEX(職員マスタ!$G$6:$G$405,$AP1264)&lt;&gt;"",INDEX(職員マスタ!$G$6:$G$405,$AP1264)&gt;EOMONTH($AQ1264,0)),AND(INDEX(職員マスタ!$H$6:$H$405,$AP1264)&lt;&gt;"",INDEX(職員マスタ!$H$6:$H$405,$AP1264)&lt;$AQ1264))),"対象月が時短期間外／","")&amp;IF(AND(INDEX(職員マスタ!$K$6:$K$405,$AP1264)&lt;&gt;"",N($W1264)&gt;0,INDEX(職員マスタ!$K$6:$K$405,$AP1264)&lt;&gt;$W1264),"標準報酬月額が申請書と相違（台帳"&amp;TEXT(INDEX(職員マスタ!$K$6:$K$405,$AP1264),"#,##0")&amp;"円／申請書"&amp;TEXT($W1264,"#,##0")&amp;"円）／","")&amp;IF(AND(INDEX(職員マスタ!$F$6:$F$405,$AP1264)&lt;&gt;"",$AQ1264&lt;&gt;"",INDEX(職員マスタ!$F$6:$F$405,$AP1264)&lt;$AQ1264),"対象月に子が2歳到達済／","")&amp;IF(AND($H1264&lt;&gt;"",INDEX(職員マスタ!$B$6:$B$405,$AP1264)&lt;&gt;"",SUBSTITUTE(SUBSTITUTE($H1264," ","")," ","")&lt;&gt;SUBSTITUTE(SUBSTITUTE(INDEX(職員マスタ!$B$6:$B$405,$AP1264)," ","")," ","")),"氏名がマスタと相違／","")&amp;IF(AND($Q1264&lt;&gt;"",INDEX(職員マスタ!$E$6:$E$405,$AP1264)&lt;&gt;"",$Q1264&lt;&gt;INDEX(職員マスタ!$E$6:$E$405,$AP1264)),"子の生年月日がマスタと相違／","")&amp;IF(AND($L1264&lt;&gt;"",INDEX(職員マスタ!$G$6:$G$405,$AP1264)&lt;&gt;"",$L1264&lt;&gt;INDEX(職員マスタ!$G$6:$G$405,$AP1264)),"時短開始日がマスタと相違／","")&amp;IF(AND($M1264&lt;&gt;"",INDEX(職員マスタ!$H$6:$H$405,$AP1264)&lt;&gt;"",$M1264&lt;&gt;INDEX(職員マスタ!$H$6:$H$405,$AP1264)),"時短終了日がマスタと相違／","")))&amp;IF(AND($B1264&lt;&gt;"",$E1264=""),"報酬額が未入力／","")&amp;IF(N($U1264)&gt;0,"申請書に入力エラーが残っています／","")&amp;IF(AND($B1264&lt;&gt;"",$AQ1264&lt;&gt;""),IF(COUNTIFS($B$6:$B$3005,$B1264,$C$6:$C$3005,$C1264,$D$6:$D$3005,$D1264)&gt;1,"同じ月の請求が重複しています／",""),"")&amp;IF(AND(N($E1264)&gt;0,$AB1264&lt;&gt;"",$AB1264&lt;&gt;"×",$AE1264=0,$AD1264=""),"計算額が下限以下のため不支給／",""))</f>
        <v/>
      </c>
      <c r="AN1264" s="12" t="n"/>
      <c r="AO1264" s="14">
        <f>IF($AF1264="保留中",COUNTIF($AF$6:$AF1264,"保留中"),"")</f>
        <v/>
      </c>
      <c r="AP1264" s="14">
        <f>IF($AQ1264="","",IF(SUMPRODUCT(MAX((職員マスタ!$A$6:$A$405=$B1264)*(((職員マスタ!$G$6:$G$405="")+(職員マスタ!$G$6:$G$405&lt;=EOMONTH($AQ1264,0)))&gt;0)*(((職員マスタ!$H$6:$H$405="")+(職員マスタ!$H$6:$H$405&gt;=$AQ1264))&gt;0)*(ROW(職員マスタ!$A$6:$A$405)-5)))&gt;0,SUMPRODUCT(MAX((職員マスタ!$A$6:$A$405=$B1264)*(((職員マスタ!$G$6:$G$405="")+(職員マスタ!$G$6:$G$405&lt;=EOMONTH($AQ1264,0)))&gt;0)*(((職員マスタ!$H$6:$H$405="")+(職員マスタ!$H$6:$H$405&gt;=$AQ1264))&gt;0)*(ROW(職員マスタ!$A$6:$A$405)-5))),IFERROR(MATCH($B1264,職員マスタ!$A$6:$A$405,0),"")))</f>
        <v/>
      </c>
      <c r="AQ1264" s="16">
        <f>IF(OR($B1264="",$C1264="",$D1264=""),"",DATE($C1264+2018,$D1264,1))</f>
        <v/>
      </c>
    </row>
    <row r="1265">
      <c r="A1265" s="11" t="n"/>
      <c r="B1265" s="12" t="n"/>
      <c r="C1265" s="12" t="n"/>
      <c r="D1265" s="12" t="n"/>
      <c r="E1265" s="13" t="n"/>
      <c r="F1265" s="12" t="n"/>
      <c r="G1265" s="13" t="n"/>
      <c r="H1265" s="12" t="n"/>
      <c r="I1265" s="12" t="n"/>
      <c r="J1265" s="12" t="n"/>
      <c r="K1265" s="12" t="n"/>
      <c r="L1265" s="11" t="n"/>
      <c r="M1265" s="11" t="n"/>
      <c r="N1265" s="11" t="n"/>
      <c r="O1265" s="11" t="n"/>
      <c r="P1265" s="12" t="n"/>
      <c r="Q1265" s="11" t="n"/>
      <c r="R1265" s="12" t="n"/>
      <c r="S1265" s="11" t="n"/>
      <c r="T1265" s="12" t="n"/>
      <c r="U1265" s="12" t="n"/>
      <c r="V1265" s="12" t="n"/>
      <c r="W1265" s="13" t="n"/>
      <c r="X1265" s="14">
        <f>IF($AP1265="",IF($B1265="","",$H1265),IF(INDEX(職員マスタ!$B$6:$B$405,$AP1265)="",$H1265,INDEX(職員マスタ!$B$6:$B$405,$AP1265)))</f>
        <v/>
      </c>
      <c r="Y1265" s="14">
        <f>IF($AP1265="",IF($B1265="","",$R1265),IF(INDEX(職員マスタ!$C$6:$C$405,$AP1265)="",$R1265,INDEX(職員マスタ!$C$6:$C$405,$AP1265)))</f>
        <v/>
      </c>
      <c r="Z1265" s="14">
        <f>IF($AQ1265="","","R"&amp;$C1265&amp;"."&amp;$D1265)</f>
        <v/>
      </c>
      <c r="AA1265" s="15">
        <f>IF(IF($AP1265="",FALSE,INDEX(職員マスタ!$K$6:$K$405,$AP1265)&lt;&gt;""),INDEX(職員マスタ!$K$6:$K$405,$AP1265),IF(N($W1265)&gt;0,$W1265,""))</f>
        <v/>
      </c>
      <c r="AB1265" s="14">
        <f>IF(OR($E1265="",$AA1265=""),"",IF($E1265&gt;=$AA1265,"×",IF($E1265&gt;=$AA1265*設定!$C$5,"△","○")))</f>
        <v/>
      </c>
      <c r="AC1265" s="15">
        <f>IF($AB1265="","",IF($AB1265="×",0,IF($AB1265="○",ROUNDDOWN($E1265*設定!$C$4,0),ROUNDDOWN($E1265*ROUND((9*$AA1265-9*$E1265)/(10*$E1265),4),0))))</f>
        <v/>
      </c>
      <c r="AD1265" s="13" t="n"/>
      <c r="AE1265" s="15">
        <f>IF($B1265="","",IF($AD1265&lt;&gt;"",$AD1265,IF($AC1265="","",IF($AC1265&lt;=設定!$C$3,0,$AC1265))))</f>
        <v/>
      </c>
      <c r="AF1265" s="14">
        <f>IF($B1265="","",IF(AND($AG1265&lt;&gt;"",$AI1265="",$AL1265=""),"保留中",IF($AL1265&lt;&gt;"",IF(N($AE1265)&gt;0,"支給済","不支給"),IF($AE1265="","要確認",IF($AE1265=0,"不支給","未処理")))))</f>
        <v/>
      </c>
      <c r="AG1265" s="12" t="n"/>
      <c r="AH1265" s="11" t="n"/>
      <c r="AI1265" s="11" t="n"/>
      <c r="AJ1265" s="11" t="n"/>
      <c r="AK1265" s="14">
        <f>IF(AND($AF1265="保留中",$AH1265&lt;&gt;""),TODAY()-$AH1265,"")</f>
        <v/>
      </c>
      <c r="AL1265" s="12" t="n"/>
      <c r="AM1265" s="14">
        <f>IF($B1265="","",IF($AQ1265="","対象年月が未入力／","")&amp;IF($B1265="","",IF($AP1265="","職員マスタに未登録の職員番号／",IF($AA1265="","標準報酬月額が未登録／","")&amp;IF(AND($AQ1265&lt;&gt;"",OR(AND(INDEX(職員マスタ!$G$6:$G$405,$AP1265)&lt;&gt;"",INDEX(職員マスタ!$G$6:$G$405,$AP1265)&gt;EOMONTH($AQ1265,0)),AND(INDEX(職員マスタ!$H$6:$H$405,$AP1265)&lt;&gt;"",INDEX(職員マスタ!$H$6:$H$405,$AP1265)&lt;$AQ1265))),"対象月が時短期間外／","")&amp;IF(AND(INDEX(職員マスタ!$K$6:$K$405,$AP1265)&lt;&gt;"",N($W1265)&gt;0,INDEX(職員マスタ!$K$6:$K$405,$AP1265)&lt;&gt;$W1265),"標準報酬月額が申請書と相違（台帳"&amp;TEXT(INDEX(職員マスタ!$K$6:$K$405,$AP1265),"#,##0")&amp;"円／申請書"&amp;TEXT($W1265,"#,##0")&amp;"円）／","")&amp;IF(AND(INDEX(職員マスタ!$F$6:$F$405,$AP1265)&lt;&gt;"",$AQ1265&lt;&gt;"",INDEX(職員マスタ!$F$6:$F$405,$AP1265)&lt;$AQ1265),"対象月に子が2歳到達済／","")&amp;IF(AND($H1265&lt;&gt;"",INDEX(職員マスタ!$B$6:$B$405,$AP1265)&lt;&gt;"",SUBSTITUTE(SUBSTITUTE($H1265," ","")," ","")&lt;&gt;SUBSTITUTE(SUBSTITUTE(INDEX(職員マスタ!$B$6:$B$405,$AP1265)," ","")," ","")),"氏名がマスタと相違／","")&amp;IF(AND($Q1265&lt;&gt;"",INDEX(職員マスタ!$E$6:$E$405,$AP1265)&lt;&gt;"",$Q1265&lt;&gt;INDEX(職員マスタ!$E$6:$E$405,$AP1265)),"子の生年月日がマスタと相違／","")&amp;IF(AND($L1265&lt;&gt;"",INDEX(職員マスタ!$G$6:$G$405,$AP1265)&lt;&gt;"",$L1265&lt;&gt;INDEX(職員マスタ!$G$6:$G$405,$AP1265)),"時短開始日がマスタと相違／","")&amp;IF(AND($M1265&lt;&gt;"",INDEX(職員マスタ!$H$6:$H$405,$AP1265)&lt;&gt;"",$M1265&lt;&gt;INDEX(職員マスタ!$H$6:$H$405,$AP1265)),"時短終了日がマスタと相違／","")))&amp;IF(AND($B1265&lt;&gt;"",$E1265=""),"報酬額が未入力／","")&amp;IF(N($U1265)&gt;0,"申請書に入力エラーが残っています／","")&amp;IF(AND($B1265&lt;&gt;"",$AQ1265&lt;&gt;""),IF(COUNTIFS($B$6:$B$3005,$B1265,$C$6:$C$3005,$C1265,$D$6:$D$3005,$D1265)&gt;1,"同じ月の請求が重複しています／",""),"")&amp;IF(AND(N($E1265)&gt;0,$AB1265&lt;&gt;"",$AB1265&lt;&gt;"×",$AE1265=0,$AD1265=""),"計算額が下限以下のため不支給／",""))</f>
        <v/>
      </c>
      <c r="AN1265" s="12" t="n"/>
      <c r="AO1265" s="14">
        <f>IF($AF1265="保留中",COUNTIF($AF$6:$AF1265,"保留中"),"")</f>
        <v/>
      </c>
      <c r="AP1265" s="14">
        <f>IF($AQ1265="","",IF(SUMPRODUCT(MAX((職員マスタ!$A$6:$A$405=$B1265)*(((職員マスタ!$G$6:$G$405="")+(職員マスタ!$G$6:$G$405&lt;=EOMONTH($AQ1265,0)))&gt;0)*(((職員マスタ!$H$6:$H$405="")+(職員マスタ!$H$6:$H$405&gt;=$AQ1265))&gt;0)*(ROW(職員マスタ!$A$6:$A$405)-5)))&gt;0,SUMPRODUCT(MAX((職員マスタ!$A$6:$A$405=$B1265)*(((職員マスタ!$G$6:$G$405="")+(職員マスタ!$G$6:$G$405&lt;=EOMONTH($AQ1265,0)))&gt;0)*(((職員マスタ!$H$6:$H$405="")+(職員マスタ!$H$6:$H$405&gt;=$AQ1265))&gt;0)*(ROW(職員マスタ!$A$6:$A$405)-5))),IFERROR(MATCH($B1265,職員マスタ!$A$6:$A$405,0),"")))</f>
        <v/>
      </c>
      <c r="AQ1265" s="16">
        <f>IF(OR($B1265="",$C1265="",$D1265=""),"",DATE($C1265+2018,$D1265,1))</f>
        <v/>
      </c>
    </row>
    <row r="1266">
      <c r="A1266" s="11" t="n"/>
      <c r="B1266" s="12" t="n"/>
      <c r="C1266" s="12" t="n"/>
      <c r="D1266" s="12" t="n"/>
      <c r="E1266" s="13" t="n"/>
      <c r="F1266" s="12" t="n"/>
      <c r="G1266" s="13" t="n"/>
      <c r="H1266" s="12" t="n"/>
      <c r="I1266" s="12" t="n"/>
      <c r="J1266" s="12" t="n"/>
      <c r="K1266" s="12" t="n"/>
      <c r="L1266" s="11" t="n"/>
      <c r="M1266" s="11" t="n"/>
      <c r="N1266" s="11" t="n"/>
      <c r="O1266" s="11" t="n"/>
      <c r="P1266" s="12" t="n"/>
      <c r="Q1266" s="11" t="n"/>
      <c r="R1266" s="12" t="n"/>
      <c r="S1266" s="11" t="n"/>
      <c r="T1266" s="12" t="n"/>
      <c r="U1266" s="12" t="n"/>
      <c r="V1266" s="12" t="n"/>
      <c r="W1266" s="13" t="n"/>
      <c r="X1266" s="14">
        <f>IF($AP1266="",IF($B1266="","",$H1266),IF(INDEX(職員マスタ!$B$6:$B$405,$AP1266)="",$H1266,INDEX(職員マスタ!$B$6:$B$405,$AP1266)))</f>
        <v/>
      </c>
      <c r="Y1266" s="14">
        <f>IF($AP1266="",IF($B1266="","",$R1266),IF(INDEX(職員マスタ!$C$6:$C$405,$AP1266)="",$R1266,INDEX(職員マスタ!$C$6:$C$405,$AP1266)))</f>
        <v/>
      </c>
      <c r="Z1266" s="14">
        <f>IF($AQ1266="","","R"&amp;$C1266&amp;"."&amp;$D1266)</f>
        <v/>
      </c>
      <c r="AA1266" s="15">
        <f>IF(IF($AP1266="",FALSE,INDEX(職員マスタ!$K$6:$K$405,$AP1266)&lt;&gt;""),INDEX(職員マスタ!$K$6:$K$405,$AP1266),IF(N($W1266)&gt;0,$W1266,""))</f>
        <v/>
      </c>
      <c r="AB1266" s="14">
        <f>IF(OR($E1266="",$AA1266=""),"",IF($E1266&gt;=$AA1266,"×",IF($E1266&gt;=$AA1266*設定!$C$5,"△","○")))</f>
        <v/>
      </c>
      <c r="AC1266" s="15">
        <f>IF($AB1266="","",IF($AB1266="×",0,IF($AB1266="○",ROUNDDOWN($E1266*設定!$C$4,0),ROUNDDOWN($E1266*ROUND((9*$AA1266-9*$E1266)/(10*$E1266),4),0))))</f>
        <v/>
      </c>
      <c r="AD1266" s="13" t="n"/>
      <c r="AE1266" s="15">
        <f>IF($B1266="","",IF($AD1266&lt;&gt;"",$AD1266,IF($AC1266="","",IF($AC1266&lt;=設定!$C$3,0,$AC1266))))</f>
        <v/>
      </c>
      <c r="AF1266" s="14">
        <f>IF($B1266="","",IF(AND($AG1266&lt;&gt;"",$AI1266="",$AL1266=""),"保留中",IF($AL1266&lt;&gt;"",IF(N($AE1266)&gt;0,"支給済","不支給"),IF($AE1266="","要確認",IF($AE1266=0,"不支給","未処理")))))</f>
        <v/>
      </c>
      <c r="AG1266" s="12" t="n"/>
      <c r="AH1266" s="11" t="n"/>
      <c r="AI1266" s="11" t="n"/>
      <c r="AJ1266" s="11" t="n"/>
      <c r="AK1266" s="14">
        <f>IF(AND($AF1266="保留中",$AH1266&lt;&gt;""),TODAY()-$AH1266,"")</f>
        <v/>
      </c>
      <c r="AL1266" s="12" t="n"/>
      <c r="AM1266" s="14">
        <f>IF($B1266="","",IF($AQ1266="","対象年月が未入力／","")&amp;IF($B1266="","",IF($AP1266="","職員マスタに未登録の職員番号／",IF($AA1266="","標準報酬月額が未登録／","")&amp;IF(AND($AQ1266&lt;&gt;"",OR(AND(INDEX(職員マスタ!$G$6:$G$405,$AP1266)&lt;&gt;"",INDEX(職員マスタ!$G$6:$G$405,$AP1266)&gt;EOMONTH($AQ1266,0)),AND(INDEX(職員マスタ!$H$6:$H$405,$AP1266)&lt;&gt;"",INDEX(職員マスタ!$H$6:$H$405,$AP1266)&lt;$AQ1266))),"対象月が時短期間外／","")&amp;IF(AND(INDEX(職員マスタ!$K$6:$K$405,$AP1266)&lt;&gt;"",N($W1266)&gt;0,INDEX(職員マスタ!$K$6:$K$405,$AP1266)&lt;&gt;$W1266),"標準報酬月額が申請書と相違（台帳"&amp;TEXT(INDEX(職員マスタ!$K$6:$K$405,$AP1266),"#,##0")&amp;"円／申請書"&amp;TEXT($W1266,"#,##0")&amp;"円）／","")&amp;IF(AND(INDEX(職員マスタ!$F$6:$F$405,$AP1266)&lt;&gt;"",$AQ1266&lt;&gt;"",INDEX(職員マスタ!$F$6:$F$405,$AP1266)&lt;$AQ1266),"対象月に子が2歳到達済／","")&amp;IF(AND($H1266&lt;&gt;"",INDEX(職員マスタ!$B$6:$B$405,$AP1266)&lt;&gt;"",SUBSTITUTE(SUBSTITUTE($H1266," ","")," ","")&lt;&gt;SUBSTITUTE(SUBSTITUTE(INDEX(職員マスタ!$B$6:$B$405,$AP1266)," ","")," ","")),"氏名がマスタと相違／","")&amp;IF(AND($Q1266&lt;&gt;"",INDEX(職員マスタ!$E$6:$E$405,$AP1266)&lt;&gt;"",$Q1266&lt;&gt;INDEX(職員マスタ!$E$6:$E$405,$AP1266)),"子の生年月日がマスタと相違／","")&amp;IF(AND($L1266&lt;&gt;"",INDEX(職員マスタ!$G$6:$G$405,$AP1266)&lt;&gt;"",$L1266&lt;&gt;INDEX(職員マスタ!$G$6:$G$405,$AP1266)),"時短開始日がマスタと相違／","")&amp;IF(AND($M1266&lt;&gt;"",INDEX(職員マスタ!$H$6:$H$405,$AP1266)&lt;&gt;"",$M1266&lt;&gt;INDEX(職員マスタ!$H$6:$H$405,$AP1266)),"時短終了日がマスタと相違／","")))&amp;IF(AND($B1266&lt;&gt;"",$E1266=""),"報酬額が未入力／","")&amp;IF(N($U1266)&gt;0,"申請書に入力エラーが残っています／","")&amp;IF(AND($B1266&lt;&gt;"",$AQ1266&lt;&gt;""),IF(COUNTIFS($B$6:$B$3005,$B1266,$C$6:$C$3005,$C1266,$D$6:$D$3005,$D1266)&gt;1,"同じ月の請求が重複しています／",""),"")&amp;IF(AND(N($E1266)&gt;0,$AB1266&lt;&gt;"",$AB1266&lt;&gt;"×",$AE1266=0,$AD1266=""),"計算額が下限以下のため不支給／",""))</f>
        <v/>
      </c>
      <c r="AN1266" s="12" t="n"/>
      <c r="AO1266" s="14">
        <f>IF($AF1266="保留中",COUNTIF($AF$6:$AF1266,"保留中"),"")</f>
        <v/>
      </c>
      <c r="AP1266" s="14">
        <f>IF($AQ1266="","",IF(SUMPRODUCT(MAX((職員マスタ!$A$6:$A$405=$B1266)*(((職員マスタ!$G$6:$G$405="")+(職員マスタ!$G$6:$G$405&lt;=EOMONTH($AQ1266,0)))&gt;0)*(((職員マスタ!$H$6:$H$405="")+(職員マスタ!$H$6:$H$405&gt;=$AQ1266))&gt;0)*(ROW(職員マスタ!$A$6:$A$405)-5)))&gt;0,SUMPRODUCT(MAX((職員マスタ!$A$6:$A$405=$B1266)*(((職員マスタ!$G$6:$G$405="")+(職員マスタ!$G$6:$G$405&lt;=EOMONTH($AQ1266,0)))&gt;0)*(((職員マスタ!$H$6:$H$405="")+(職員マスタ!$H$6:$H$405&gt;=$AQ1266))&gt;0)*(ROW(職員マスタ!$A$6:$A$405)-5))),IFERROR(MATCH($B1266,職員マスタ!$A$6:$A$405,0),"")))</f>
        <v/>
      </c>
      <c r="AQ1266" s="16">
        <f>IF(OR($B1266="",$C1266="",$D1266=""),"",DATE($C1266+2018,$D1266,1))</f>
        <v/>
      </c>
    </row>
    <row r="1267">
      <c r="A1267" s="11" t="n"/>
      <c r="B1267" s="12" t="n"/>
      <c r="C1267" s="12" t="n"/>
      <c r="D1267" s="12" t="n"/>
      <c r="E1267" s="13" t="n"/>
      <c r="F1267" s="12" t="n"/>
      <c r="G1267" s="13" t="n"/>
      <c r="H1267" s="12" t="n"/>
      <c r="I1267" s="12" t="n"/>
      <c r="J1267" s="12" t="n"/>
      <c r="K1267" s="12" t="n"/>
      <c r="L1267" s="11" t="n"/>
      <c r="M1267" s="11" t="n"/>
      <c r="N1267" s="11" t="n"/>
      <c r="O1267" s="11" t="n"/>
      <c r="P1267" s="12" t="n"/>
      <c r="Q1267" s="11" t="n"/>
      <c r="R1267" s="12" t="n"/>
      <c r="S1267" s="11" t="n"/>
      <c r="T1267" s="12" t="n"/>
      <c r="U1267" s="12" t="n"/>
      <c r="V1267" s="12" t="n"/>
      <c r="W1267" s="13" t="n"/>
      <c r="X1267" s="14">
        <f>IF($AP1267="",IF($B1267="","",$H1267),IF(INDEX(職員マスタ!$B$6:$B$405,$AP1267)="",$H1267,INDEX(職員マスタ!$B$6:$B$405,$AP1267)))</f>
        <v/>
      </c>
      <c r="Y1267" s="14">
        <f>IF($AP1267="",IF($B1267="","",$R1267),IF(INDEX(職員マスタ!$C$6:$C$405,$AP1267)="",$R1267,INDEX(職員マスタ!$C$6:$C$405,$AP1267)))</f>
        <v/>
      </c>
      <c r="Z1267" s="14">
        <f>IF($AQ1267="","","R"&amp;$C1267&amp;"."&amp;$D1267)</f>
        <v/>
      </c>
      <c r="AA1267" s="15">
        <f>IF(IF($AP1267="",FALSE,INDEX(職員マスタ!$K$6:$K$405,$AP1267)&lt;&gt;""),INDEX(職員マスタ!$K$6:$K$405,$AP1267),IF(N($W1267)&gt;0,$W1267,""))</f>
        <v/>
      </c>
      <c r="AB1267" s="14">
        <f>IF(OR($E1267="",$AA1267=""),"",IF($E1267&gt;=$AA1267,"×",IF($E1267&gt;=$AA1267*設定!$C$5,"△","○")))</f>
        <v/>
      </c>
      <c r="AC1267" s="15">
        <f>IF($AB1267="","",IF($AB1267="×",0,IF($AB1267="○",ROUNDDOWN($E1267*設定!$C$4,0),ROUNDDOWN($E1267*ROUND((9*$AA1267-9*$E1267)/(10*$E1267),4),0))))</f>
        <v/>
      </c>
      <c r="AD1267" s="13" t="n"/>
      <c r="AE1267" s="15">
        <f>IF($B1267="","",IF($AD1267&lt;&gt;"",$AD1267,IF($AC1267="","",IF($AC1267&lt;=設定!$C$3,0,$AC1267))))</f>
        <v/>
      </c>
      <c r="AF1267" s="14">
        <f>IF($B1267="","",IF(AND($AG1267&lt;&gt;"",$AI1267="",$AL1267=""),"保留中",IF($AL1267&lt;&gt;"",IF(N($AE1267)&gt;0,"支給済","不支給"),IF($AE1267="","要確認",IF($AE1267=0,"不支給","未処理")))))</f>
        <v/>
      </c>
      <c r="AG1267" s="12" t="n"/>
      <c r="AH1267" s="11" t="n"/>
      <c r="AI1267" s="11" t="n"/>
      <c r="AJ1267" s="11" t="n"/>
      <c r="AK1267" s="14">
        <f>IF(AND($AF1267="保留中",$AH1267&lt;&gt;""),TODAY()-$AH1267,"")</f>
        <v/>
      </c>
      <c r="AL1267" s="12" t="n"/>
      <c r="AM1267" s="14">
        <f>IF($B1267="","",IF($AQ1267="","対象年月が未入力／","")&amp;IF($B1267="","",IF($AP1267="","職員マスタに未登録の職員番号／",IF($AA1267="","標準報酬月額が未登録／","")&amp;IF(AND($AQ1267&lt;&gt;"",OR(AND(INDEX(職員マスタ!$G$6:$G$405,$AP1267)&lt;&gt;"",INDEX(職員マスタ!$G$6:$G$405,$AP1267)&gt;EOMONTH($AQ1267,0)),AND(INDEX(職員マスタ!$H$6:$H$405,$AP1267)&lt;&gt;"",INDEX(職員マスタ!$H$6:$H$405,$AP1267)&lt;$AQ1267))),"対象月が時短期間外／","")&amp;IF(AND(INDEX(職員マスタ!$K$6:$K$405,$AP1267)&lt;&gt;"",N($W1267)&gt;0,INDEX(職員マスタ!$K$6:$K$405,$AP1267)&lt;&gt;$W1267),"標準報酬月額が申請書と相違（台帳"&amp;TEXT(INDEX(職員マスタ!$K$6:$K$405,$AP1267),"#,##0")&amp;"円／申請書"&amp;TEXT($W1267,"#,##0")&amp;"円）／","")&amp;IF(AND(INDEX(職員マスタ!$F$6:$F$405,$AP1267)&lt;&gt;"",$AQ1267&lt;&gt;"",INDEX(職員マスタ!$F$6:$F$405,$AP1267)&lt;$AQ1267),"対象月に子が2歳到達済／","")&amp;IF(AND($H1267&lt;&gt;"",INDEX(職員マスタ!$B$6:$B$405,$AP1267)&lt;&gt;"",SUBSTITUTE(SUBSTITUTE($H1267," ","")," ","")&lt;&gt;SUBSTITUTE(SUBSTITUTE(INDEX(職員マスタ!$B$6:$B$405,$AP1267)," ","")," ","")),"氏名がマスタと相違／","")&amp;IF(AND($Q1267&lt;&gt;"",INDEX(職員マスタ!$E$6:$E$405,$AP1267)&lt;&gt;"",$Q1267&lt;&gt;INDEX(職員マスタ!$E$6:$E$405,$AP1267)),"子の生年月日がマスタと相違／","")&amp;IF(AND($L1267&lt;&gt;"",INDEX(職員マスタ!$G$6:$G$405,$AP1267)&lt;&gt;"",$L1267&lt;&gt;INDEX(職員マスタ!$G$6:$G$405,$AP1267)),"時短開始日がマスタと相違／","")&amp;IF(AND($M1267&lt;&gt;"",INDEX(職員マスタ!$H$6:$H$405,$AP1267)&lt;&gt;"",$M1267&lt;&gt;INDEX(職員マスタ!$H$6:$H$405,$AP1267)),"時短終了日がマスタと相違／","")))&amp;IF(AND($B1267&lt;&gt;"",$E1267=""),"報酬額が未入力／","")&amp;IF(N($U1267)&gt;0,"申請書に入力エラーが残っています／","")&amp;IF(AND($B1267&lt;&gt;"",$AQ1267&lt;&gt;""),IF(COUNTIFS($B$6:$B$3005,$B1267,$C$6:$C$3005,$C1267,$D$6:$D$3005,$D1267)&gt;1,"同じ月の請求が重複しています／",""),"")&amp;IF(AND(N($E1267)&gt;0,$AB1267&lt;&gt;"",$AB1267&lt;&gt;"×",$AE1267=0,$AD1267=""),"計算額が下限以下のため不支給／",""))</f>
        <v/>
      </c>
      <c r="AN1267" s="12" t="n"/>
      <c r="AO1267" s="14">
        <f>IF($AF1267="保留中",COUNTIF($AF$6:$AF1267,"保留中"),"")</f>
        <v/>
      </c>
      <c r="AP1267" s="14">
        <f>IF($AQ1267="","",IF(SUMPRODUCT(MAX((職員マスタ!$A$6:$A$405=$B1267)*(((職員マスタ!$G$6:$G$405="")+(職員マスタ!$G$6:$G$405&lt;=EOMONTH($AQ1267,0)))&gt;0)*(((職員マスタ!$H$6:$H$405="")+(職員マスタ!$H$6:$H$405&gt;=$AQ1267))&gt;0)*(ROW(職員マスタ!$A$6:$A$405)-5)))&gt;0,SUMPRODUCT(MAX((職員マスタ!$A$6:$A$405=$B1267)*(((職員マスタ!$G$6:$G$405="")+(職員マスタ!$G$6:$G$405&lt;=EOMONTH($AQ1267,0)))&gt;0)*(((職員マスタ!$H$6:$H$405="")+(職員マスタ!$H$6:$H$405&gt;=$AQ1267))&gt;0)*(ROW(職員マスタ!$A$6:$A$405)-5))),IFERROR(MATCH($B1267,職員マスタ!$A$6:$A$405,0),"")))</f>
        <v/>
      </c>
      <c r="AQ1267" s="16">
        <f>IF(OR($B1267="",$C1267="",$D1267=""),"",DATE($C1267+2018,$D1267,1))</f>
        <v/>
      </c>
    </row>
    <row r="1268">
      <c r="A1268" s="11" t="n"/>
      <c r="B1268" s="12" t="n"/>
      <c r="C1268" s="12" t="n"/>
      <c r="D1268" s="12" t="n"/>
      <c r="E1268" s="13" t="n"/>
      <c r="F1268" s="12" t="n"/>
      <c r="G1268" s="13" t="n"/>
      <c r="H1268" s="12" t="n"/>
      <c r="I1268" s="12" t="n"/>
      <c r="J1268" s="12" t="n"/>
      <c r="K1268" s="12" t="n"/>
      <c r="L1268" s="11" t="n"/>
      <c r="M1268" s="11" t="n"/>
      <c r="N1268" s="11" t="n"/>
      <c r="O1268" s="11" t="n"/>
      <c r="P1268" s="12" t="n"/>
      <c r="Q1268" s="11" t="n"/>
      <c r="R1268" s="12" t="n"/>
      <c r="S1268" s="11" t="n"/>
      <c r="T1268" s="12" t="n"/>
      <c r="U1268" s="12" t="n"/>
      <c r="V1268" s="12" t="n"/>
      <c r="W1268" s="13" t="n"/>
      <c r="X1268" s="14">
        <f>IF($AP1268="",IF($B1268="","",$H1268),IF(INDEX(職員マスタ!$B$6:$B$405,$AP1268)="",$H1268,INDEX(職員マスタ!$B$6:$B$405,$AP1268)))</f>
        <v/>
      </c>
      <c r="Y1268" s="14">
        <f>IF($AP1268="",IF($B1268="","",$R1268),IF(INDEX(職員マスタ!$C$6:$C$405,$AP1268)="",$R1268,INDEX(職員マスタ!$C$6:$C$405,$AP1268)))</f>
        <v/>
      </c>
      <c r="Z1268" s="14">
        <f>IF($AQ1268="","","R"&amp;$C1268&amp;"."&amp;$D1268)</f>
        <v/>
      </c>
      <c r="AA1268" s="15">
        <f>IF(IF($AP1268="",FALSE,INDEX(職員マスタ!$K$6:$K$405,$AP1268)&lt;&gt;""),INDEX(職員マスタ!$K$6:$K$405,$AP1268),IF(N($W1268)&gt;0,$W1268,""))</f>
        <v/>
      </c>
      <c r="AB1268" s="14">
        <f>IF(OR($E1268="",$AA1268=""),"",IF($E1268&gt;=$AA1268,"×",IF($E1268&gt;=$AA1268*設定!$C$5,"△","○")))</f>
        <v/>
      </c>
      <c r="AC1268" s="15">
        <f>IF($AB1268="","",IF($AB1268="×",0,IF($AB1268="○",ROUNDDOWN($E1268*設定!$C$4,0),ROUNDDOWN($E1268*ROUND((9*$AA1268-9*$E1268)/(10*$E1268),4),0))))</f>
        <v/>
      </c>
      <c r="AD1268" s="13" t="n"/>
      <c r="AE1268" s="15">
        <f>IF($B1268="","",IF($AD1268&lt;&gt;"",$AD1268,IF($AC1268="","",IF($AC1268&lt;=設定!$C$3,0,$AC1268))))</f>
        <v/>
      </c>
      <c r="AF1268" s="14">
        <f>IF($B1268="","",IF(AND($AG1268&lt;&gt;"",$AI1268="",$AL1268=""),"保留中",IF($AL1268&lt;&gt;"",IF(N($AE1268)&gt;0,"支給済","不支給"),IF($AE1268="","要確認",IF($AE1268=0,"不支給","未処理")))))</f>
        <v/>
      </c>
      <c r="AG1268" s="12" t="n"/>
      <c r="AH1268" s="11" t="n"/>
      <c r="AI1268" s="11" t="n"/>
      <c r="AJ1268" s="11" t="n"/>
      <c r="AK1268" s="14">
        <f>IF(AND($AF1268="保留中",$AH1268&lt;&gt;""),TODAY()-$AH1268,"")</f>
        <v/>
      </c>
      <c r="AL1268" s="12" t="n"/>
      <c r="AM1268" s="14">
        <f>IF($B1268="","",IF($AQ1268="","対象年月が未入力／","")&amp;IF($B1268="","",IF($AP1268="","職員マスタに未登録の職員番号／",IF($AA1268="","標準報酬月額が未登録／","")&amp;IF(AND($AQ1268&lt;&gt;"",OR(AND(INDEX(職員マスタ!$G$6:$G$405,$AP1268)&lt;&gt;"",INDEX(職員マスタ!$G$6:$G$405,$AP1268)&gt;EOMONTH($AQ1268,0)),AND(INDEX(職員マスタ!$H$6:$H$405,$AP1268)&lt;&gt;"",INDEX(職員マスタ!$H$6:$H$405,$AP1268)&lt;$AQ1268))),"対象月が時短期間外／","")&amp;IF(AND(INDEX(職員マスタ!$K$6:$K$405,$AP1268)&lt;&gt;"",N($W1268)&gt;0,INDEX(職員マスタ!$K$6:$K$405,$AP1268)&lt;&gt;$W1268),"標準報酬月額が申請書と相違（台帳"&amp;TEXT(INDEX(職員マスタ!$K$6:$K$405,$AP1268),"#,##0")&amp;"円／申請書"&amp;TEXT($W1268,"#,##0")&amp;"円）／","")&amp;IF(AND(INDEX(職員マスタ!$F$6:$F$405,$AP1268)&lt;&gt;"",$AQ1268&lt;&gt;"",INDEX(職員マスタ!$F$6:$F$405,$AP1268)&lt;$AQ1268),"対象月に子が2歳到達済／","")&amp;IF(AND($H1268&lt;&gt;"",INDEX(職員マスタ!$B$6:$B$405,$AP1268)&lt;&gt;"",SUBSTITUTE(SUBSTITUTE($H1268," ","")," ","")&lt;&gt;SUBSTITUTE(SUBSTITUTE(INDEX(職員マスタ!$B$6:$B$405,$AP1268)," ","")," ","")),"氏名がマスタと相違／","")&amp;IF(AND($Q1268&lt;&gt;"",INDEX(職員マスタ!$E$6:$E$405,$AP1268)&lt;&gt;"",$Q1268&lt;&gt;INDEX(職員マスタ!$E$6:$E$405,$AP1268)),"子の生年月日がマスタと相違／","")&amp;IF(AND($L1268&lt;&gt;"",INDEX(職員マスタ!$G$6:$G$405,$AP1268)&lt;&gt;"",$L1268&lt;&gt;INDEX(職員マスタ!$G$6:$G$405,$AP1268)),"時短開始日がマスタと相違／","")&amp;IF(AND($M1268&lt;&gt;"",INDEX(職員マスタ!$H$6:$H$405,$AP1268)&lt;&gt;"",$M1268&lt;&gt;INDEX(職員マスタ!$H$6:$H$405,$AP1268)),"時短終了日がマスタと相違／","")))&amp;IF(AND($B1268&lt;&gt;"",$E1268=""),"報酬額が未入力／","")&amp;IF(N($U1268)&gt;0,"申請書に入力エラーが残っています／","")&amp;IF(AND($B1268&lt;&gt;"",$AQ1268&lt;&gt;""),IF(COUNTIFS($B$6:$B$3005,$B1268,$C$6:$C$3005,$C1268,$D$6:$D$3005,$D1268)&gt;1,"同じ月の請求が重複しています／",""),"")&amp;IF(AND(N($E1268)&gt;0,$AB1268&lt;&gt;"",$AB1268&lt;&gt;"×",$AE1268=0,$AD1268=""),"計算額が下限以下のため不支給／",""))</f>
        <v/>
      </c>
      <c r="AN1268" s="12" t="n"/>
      <c r="AO1268" s="14">
        <f>IF($AF1268="保留中",COUNTIF($AF$6:$AF1268,"保留中"),"")</f>
        <v/>
      </c>
      <c r="AP1268" s="14">
        <f>IF($AQ1268="","",IF(SUMPRODUCT(MAX((職員マスタ!$A$6:$A$405=$B1268)*(((職員マスタ!$G$6:$G$405="")+(職員マスタ!$G$6:$G$405&lt;=EOMONTH($AQ1268,0)))&gt;0)*(((職員マスタ!$H$6:$H$405="")+(職員マスタ!$H$6:$H$405&gt;=$AQ1268))&gt;0)*(ROW(職員マスタ!$A$6:$A$405)-5)))&gt;0,SUMPRODUCT(MAX((職員マスタ!$A$6:$A$405=$B1268)*(((職員マスタ!$G$6:$G$405="")+(職員マスタ!$G$6:$G$405&lt;=EOMONTH($AQ1268,0)))&gt;0)*(((職員マスタ!$H$6:$H$405="")+(職員マスタ!$H$6:$H$405&gt;=$AQ1268))&gt;0)*(ROW(職員マスタ!$A$6:$A$405)-5))),IFERROR(MATCH($B1268,職員マスタ!$A$6:$A$405,0),"")))</f>
        <v/>
      </c>
      <c r="AQ1268" s="16">
        <f>IF(OR($B1268="",$C1268="",$D1268=""),"",DATE($C1268+2018,$D1268,1))</f>
        <v/>
      </c>
    </row>
    <row r="1269">
      <c r="A1269" s="11" t="n"/>
      <c r="B1269" s="12" t="n"/>
      <c r="C1269" s="12" t="n"/>
      <c r="D1269" s="12" t="n"/>
      <c r="E1269" s="13" t="n"/>
      <c r="F1269" s="12" t="n"/>
      <c r="G1269" s="13" t="n"/>
      <c r="H1269" s="12" t="n"/>
      <c r="I1269" s="12" t="n"/>
      <c r="J1269" s="12" t="n"/>
      <c r="K1269" s="12" t="n"/>
      <c r="L1269" s="11" t="n"/>
      <c r="M1269" s="11" t="n"/>
      <c r="N1269" s="11" t="n"/>
      <c r="O1269" s="11" t="n"/>
      <c r="P1269" s="12" t="n"/>
      <c r="Q1269" s="11" t="n"/>
      <c r="R1269" s="12" t="n"/>
      <c r="S1269" s="11" t="n"/>
      <c r="T1269" s="12" t="n"/>
      <c r="U1269" s="12" t="n"/>
      <c r="V1269" s="12" t="n"/>
      <c r="W1269" s="13" t="n"/>
      <c r="X1269" s="14">
        <f>IF($AP1269="",IF($B1269="","",$H1269),IF(INDEX(職員マスタ!$B$6:$B$405,$AP1269)="",$H1269,INDEX(職員マスタ!$B$6:$B$405,$AP1269)))</f>
        <v/>
      </c>
      <c r="Y1269" s="14">
        <f>IF($AP1269="",IF($B1269="","",$R1269),IF(INDEX(職員マスタ!$C$6:$C$405,$AP1269)="",$R1269,INDEX(職員マスタ!$C$6:$C$405,$AP1269)))</f>
        <v/>
      </c>
      <c r="Z1269" s="14">
        <f>IF($AQ1269="","","R"&amp;$C1269&amp;"."&amp;$D1269)</f>
        <v/>
      </c>
      <c r="AA1269" s="15">
        <f>IF(IF($AP1269="",FALSE,INDEX(職員マスタ!$K$6:$K$405,$AP1269)&lt;&gt;""),INDEX(職員マスタ!$K$6:$K$405,$AP1269),IF(N($W1269)&gt;0,$W1269,""))</f>
        <v/>
      </c>
      <c r="AB1269" s="14">
        <f>IF(OR($E1269="",$AA1269=""),"",IF($E1269&gt;=$AA1269,"×",IF($E1269&gt;=$AA1269*設定!$C$5,"△","○")))</f>
        <v/>
      </c>
      <c r="AC1269" s="15">
        <f>IF($AB1269="","",IF($AB1269="×",0,IF($AB1269="○",ROUNDDOWN($E1269*設定!$C$4,0),ROUNDDOWN($E1269*ROUND((9*$AA1269-9*$E1269)/(10*$E1269),4),0))))</f>
        <v/>
      </c>
      <c r="AD1269" s="13" t="n"/>
      <c r="AE1269" s="15">
        <f>IF($B1269="","",IF($AD1269&lt;&gt;"",$AD1269,IF($AC1269="","",IF($AC1269&lt;=設定!$C$3,0,$AC1269))))</f>
        <v/>
      </c>
      <c r="AF1269" s="14">
        <f>IF($B1269="","",IF(AND($AG1269&lt;&gt;"",$AI1269="",$AL1269=""),"保留中",IF($AL1269&lt;&gt;"",IF(N($AE1269)&gt;0,"支給済","不支給"),IF($AE1269="","要確認",IF($AE1269=0,"不支給","未処理")))))</f>
        <v/>
      </c>
      <c r="AG1269" s="12" t="n"/>
      <c r="AH1269" s="11" t="n"/>
      <c r="AI1269" s="11" t="n"/>
      <c r="AJ1269" s="11" t="n"/>
      <c r="AK1269" s="14">
        <f>IF(AND($AF1269="保留中",$AH1269&lt;&gt;""),TODAY()-$AH1269,"")</f>
        <v/>
      </c>
      <c r="AL1269" s="12" t="n"/>
      <c r="AM1269" s="14">
        <f>IF($B1269="","",IF($AQ1269="","対象年月が未入力／","")&amp;IF($B1269="","",IF($AP1269="","職員マスタに未登録の職員番号／",IF($AA1269="","標準報酬月額が未登録／","")&amp;IF(AND($AQ1269&lt;&gt;"",OR(AND(INDEX(職員マスタ!$G$6:$G$405,$AP1269)&lt;&gt;"",INDEX(職員マスタ!$G$6:$G$405,$AP1269)&gt;EOMONTH($AQ1269,0)),AND(INDEX(職員マスタ!$H$6:$H$405,$AP1269)&lt;&gt;"",INDEX(職員マスタ!$H$6:$H$405,$AP1269)&lt;$AQ1269))),"対象月が時短期間外／","")&amp;IF(AND(INDEX(職員マスタ!$K$6:$K$405,$AP1269)&lt;&gt;"",N($W1269)&gt;0,INDEX(職員マスタ!$K$6:$K$405,$AP1269)&lt;&gt;$W1269),"標準報酬月額が申請書と相違（台帳"&amp;TEXT(INDEX(職員マスタ!$K$6:$K$405,$AP1269),"#,##0")&amp;"円／申請書"&amp;TEXT($W1269,"#,##0")&amp;"円）／","")&amp;IF(AND(INDEX(職員マスタ!$F$6:$F$405,$AP1269)&lt;&gt;"",$AQ1269&lt;&gt;"",INDEX(職員マスタ!$F$6:$F$405,$AP1269)&lt;$AQ1269),"対象月に子が2歳到達済／","")&amp;IF(AND($H1269&lt;&gt;"",INDEX(職員マスタ!$B$6:$B$405,$AP1269)&lt;&gt;"",SUBSTITUTE(SUBSTITUTE($H1269," ","")," ","")&lt;&gt;SUBSTITUTE(SUBSTITUTE(INDEX(職員マスタ!$B$6:$B$405,$AP1269)," ","")," ","")),"氏名がマスタと相違／","")&amp;IF(AND($Q1269&lt;&gt;"",INDEX(職員マスタ!$E$6:$E$405,$AP1269)&lt;&gt;"",$Q1269&lt;&gt;INDEX(職員マスタ!$E$6:$E$405,$AP1269)),"子の生年月日がマスタと相違／","")&amp;IF(AND($L1269&lt;&gt;"",INDEX(職員マスタ!$G$6:$G$405,$AP1269)&lt;&gt;"",$L1269&lt;&gt;INDEX(職員マスタ!$G$6:$G$405,$AP1269)),"時短開始日がマスタと相違／","")&amp;IF(AND($M1269&lt;&gt;"",INDEX(職員マスタ!$H$6:$H$405,$AP1269)&lt;&gt;"",$M1269&lt;&gt;INDEX(職員マスタ!$H$6:$H$405,$AP1269)),"時短終了日がマスタと相違／","")))&amp;IF(AND($B1269&lt;&gt;"",$E1269=""),"報酬額が未入力／","")&amp;IF(N($U1269)&gt;0,"申請書に入力エラーが残っています／","")&amp;IF(AND($B1269&lt;&gt;"",$AQ1269&lt;&gt;""),IF(COUNTIFS($B$6:$B$3005,$B1269,$C$6:$C$3005,$C1269,$D$6:$D$3005,$D1269)&gt;1,"同じ月の請求が重複しています／",""),"")&amp;IF(AND(N($E1269)&gt;0,$AB1269&lt;&gt;"",$AB1269&lt;&gt;"×",$AE1269=0,$AD1269=""),"計算額が下限以下のため不支給／",""))</f>
        <v/>
      </c>
      <c r="AN1269" s="12" t="n"/>
      <c r="AO1269" s="14">
        <f>IF($AF1269="保留中",COUNTIF($AF$6:$AF1269,"保留中"),"")</f>
        <v/>
      </c>
      <c r="AP1269" s="14">
        <f>IF($AQ1269="","",IF(SUMPRODUCT(MAX((職員マスタ!$A$6:$A$405=$B1269)*(((職員マスタ!$G$6:$G$405="")+(職員マスタ!$G$6:$G$405&lt;=EOMONTH($AQ1269,0)))&gt;0)*(((職員マスタ!$H$6:$H$405="")+(職員マスタ!$H$6:$H$405&gt;=$AQ1269))&gt;0)*(ROW(職員マスタ!$A$6:$A$405)-5)))&gt;0,SUMPRODUCT(MAX((職員マスタ!$A$6:$A$405=$B1269)*(((職員マスタ!$G$6:$G$405="")+(職員マスタ!$G$6:$G$405&lt;=EOMONTH($AQ1269,0)))&gt;0)*(((職員マスタ!$H$6:$H$405="")+(職員マスタ!$H$6:$H$405&gt;=$AQ1269))&gt;0)*(ROW(職員マスタ!$A$6:$A$405)-5))),IFERROR(MATCH($B1269,職員マスタ!$A$6:$A$405,0),"")))</f>
        <v/>
      </c>
      <c r="AQ1269" s="16">
        <f>IF(OR($B1269="",$C1269="",$D1269=""),"",DATE($C1269+2018,$D1269,1))</f>
        <v/>
      </c>
    </row>
    <row r="1270">
      <c r="A1270" s="11" t="n"/>
      <c r="B1270" s="12" t="n"/>
      <c r="C1270" s="12" t="n"/>
      <c r="D1270" s="12" t="n"/>
      <c r="E1270" s="13" t="n"/>
      <c r="F1270" s="12" t="n"/>
      <c r="G1270" s="13" t="n"/>
      <c r="H1270" s="12" t="n"/>
      <c r="I1270" s="12" t="n"/>
      <c r="J1270" s="12" t="n"/>
      <c r="K1270" s="12" t="n"/>
      <c r="L1270" s="11" t="n"/>
      <c r="M1270" s="11" t="n"/>
      <c r="N1270" s="11" t="n"/>
      <c r="O1270" s="11" t="n"/>
      <c r="P1270" s="12" t="n"/>
      <c r="Q1270" s="11" t="n"/>
      <c r="R1270" s="12" t="n"/>
      <c r="S1270" s="11" t="n"/>
      <c r="T1270" s="12" t="n"/>
      <c r="U1270" s="12" t="n"/>
      <c r="V1270" s="12" t="n"/>
      <c r="W1270" s="13" t="n"/>
      <c r="X1270" s="14">
        <f>IF($AP1270="",IF($B1270="","",$H1270),IF(INDEX(職員マスタ!$B$6:$B$405,$AP1270)="",$H1270,INDEX(職員マスタ!$B$6:$B$405,$AP1270)))</f>
        <v/>
      </c>
      <c r="Y1270" s="14">
        <f>IF($AP1270="",IF($B1270="","",$R1270),IF(INDEX(職員マスタ!$C$6:$C$405,$AP1270)="",$R1270,INDEX(職員マスタ!$C$6:$C$405,$AP1270)))</f>
        <v/>
      </c>
      <c r="Z1270" s="14">
        <f>IF($AQ1270="","","R"&amp;$C1270&amp;"."&amp;$D1270)</f>
        <v/>
      </c>
      <c r="AA1270" s="15">
        <f>IF(IF($AP1270="",FALSE,INDEX(職員マスタ!$K$6:$K$405,$AP1270)&lt;&gt;""),INDEX(職員マスタ!$K$6:$K$405,$AP1270),IF(N($W1270)&gt;0,$W1270,""))</f>
        <v/>
      </c>
      <c r="AB1270" s="14">
        <f>IF(OR($E1270="",$AA1270=""),"",IF($E1270&gt;=$AA1270,"×",IF($E1270&gt;=$AA1270*設定!$C$5,"△","○")))</f>
        <v/>
      </c>
      <c r="AC1270" s="15">
        <f>IF($AB1270="","",IF($AB1270="×",0,IF($AB1270="○",ROUNDDOWN($E1270*設定!$C$4,0),ROUNDDOWN($E1270*ROUND((9*$AA1270-9*$E1270)/(10*$E1270),4),0))))</f>
        <v/>
      </c>
      <c r="AD1270" s="13" t="n"/>
      <c r="AE1270" s="15">
        <f>IF($B1270="","",IF($AD1270&lt;&gt;"",$AD1270,IF($AC1270="","",IF($AC1270&lt;=設定!$C$3,0,$AC1270))))</f>
        <v/>
      </c>
      <c r="AF1270" s="14">
        <f>IF($B1270="","",IF(AND($AG1270&lt;&gt;"",$AI1270="",$AL1270=""),"保留中",IF($AL1270&lt;&gt;"",IF(N($AE1270)&gt;0,"支給済","不支給"),IF($AE1270="","要確認",IF($AE1270=0,"不支給","未処理")))))</f>
        <v/>
      </c>
      <c r="AG1270" s="12" t="n"/>
      <c r="AH1270" s="11" t="n"/>
      <c r="AI1270" s="11" t="n"/>
      <c r="AJ1270" s="11" t="n"/>
      <c r="AK1270" s="14">
        <f>IF(AND($AF1270="保留中",$AH1270&lt;&gt;""),TODAY()-$AH1270,"")</f>
        <v/>
      </c>
      <c r="AL1270" s="12" t="n"/>
      <c r="AM1270" s="14">
        <f>IF($B1270="","",IF($AQ1270="","対象年月が未入力／","")&amp;IF($B1270="","",IF($AP1270="","職員マスタに未登録の職員番号／",IF($AA1270="","標準報酬月額が未登録／","")&amp;IF(AND($AQ1270&lt;&gt;"",OR(AND(INDEX(職員マスタ!$G$6:$G$405,$AP1270)&lt;&gt;"",INDEX(職員マスタ!$G$6:$G$405,$AP1270)&gt;EOMONTH($AQ1270,0)),AND(INDEX(職員マスタ!$H$6:$H$405,$AP1270)&lt;&gt;"",INDEX(職員マスタ!$H$6:$H$405,$AP1270)&lt;$AQ1270))),"対象月が時短期間外／","")&amp;IF(AND(INDEX(職員マスタ!$K$6:$K$405,$AP1270)&lt;&gt;"",N($W1270)&gt;0,INDEX(職員マスタ!$K$6:$K$405,$AP1270)&lt;&gt;$W1270),"標準報酬月額が申請書と相違（台帳"&amp;TEXT(INDEX(職員マスタ!$K$6:$K$405,$AP1270),"#,##0")&amp;"円／申請書"&amp;TEXT($W1270,"#,##0")&amp;"円）／","")&amp;IF(AND(INDEX(職員マスタ!$F$6:$F$405,$AP1270)&lt;&gt;"",$AQ1270&lt;&gt;"",INDEX(職員マスタ!$F$6:$F$405,$AP1270)&lt;$AQ1270),"対象月に子が2歳到達済／","")&amp;IF(AND($H1270&lt;&gt;"",INDEX(職員マスタ!$B$6:$B$405,$AP1270)&lt;&gt;"",SUBSTITUTE(SUBSTITUTE($H1270," ","")," ","")&lt;&gt;SUBSTITUTE(SUBSTITUTE(INDEX(職員マスタ!$B$6:$B$405,$AP1270)," ","")," ","")),"氏名がマスタと相違／","")&amp;IF(AND($Q1270&lt;&gt;"",INDEX(職員マスタ!$E$6:$E$405,$AP1270)&lt;&gt;"",$Q1270&lt;&gt;INDEX(職員マスタ!$E$6:$E$405,$AP1270)),"子の生年月日がマスタと相違／","")&amp;IF(AND($L1270&lt;&gt;"",INDEX(職員マスタ!$G$6:$G$405,$AP1270)&lt;&gt;"",$L1270&lt;&gt;INDEX(職員マスタ!$G$6:$G$405,$AP1270)),"時短開始日がマスタと相違／","")&amp;IF(AND($M1270&lt;&gt;"",INDEX(職員マスタ!$H$6:$H$405,$AP1270)&lt;&gt;"",$M1270&lt;&gt;INDEX(職員マスタ!$H$6:$H$405,$AP1270)),"時短終了日がマスタと相違／","")))&amp;IF(AND($B1270&lt;&gt;"",$E1270=""),"報酬額が未入力／","")&amp;IF(N($U1270)&gt;0,"申請書に入力エラーが残っています／","")&amp;IF(AND($B1270&lt;&gt;"",$AQ1270&lt;&gt;""),IF(COUNTIFS($B$6:$B$3005,$B1270,$C$6:$C$3005,$C1270,$D$6:$D$3005,$D1270)&gt;1,"同じ月の請求が重複しています／",""),"")&amp;IF(AND(N($E1270)&gt;0,$AB1270&lt;&gt;"",$AB1270&lt;&gt;"×",$AE1270=0,$AD1270=""),"計算額が下限以下のため不支給／",""))</f>
        <v/>
      </c>
      <c r="AN1270" s="12" t="n"/>
      <c r="AO1270" s="14">
        <f>IF($AF1270="保留中",COUNTIF($AF$6:$AF1270,"保留中"),"")</f>
        <v/>
      </c>
      <c r="AP1270" s="14">
        <f>IF($AQ1270="","",IF(SUMPRODUCT(MAX((職員マスタ!$A$6:$A$405=$B1270)*(((職員マスタ!$G$6:$G$405="")+(職員マスタ!$G$6:$G$405&lt;=EOMONTH($AQ1270,0)))&gt;0)*(((職員マスタ!$H$6:$H$405="")+(職員マスタ!$H$6:$H$405&gt;=$AQ1270))&gt;0)*(ROW(職員マスタ!$A$6:$A$405)-5)))&gt;0,SUMPRODUCT(MAX((職員マスタ!$A$6:$A$405=$B1270)*(((職員マスタ!$G$6:$G$405="")+(職員マスタ!$G$6:$G$405&lt;=EOMONTH($AQ1270,0)))&gt;0)*(((職員マスタ!$H$6:$H$405="")+(職員マスタ!$H$6:$H$405&gt;=$AQ1270))&gt;0)*(ROW(職員マスタ!$A$6:$A$405)-5))),IFERROR(MATCH($B1270,職員マスタ!$A$6:$A$405,0),"")))</f>
        <v/>
      </c>
      <c r="AQ1270" s="16">
        <f>IF(OR($B1270="",$C1270="",$D1270=""),"",DATE($C1270+2018,$D1270,1))</f>
        <v/>
      </c>
    </row>
    <row r="1271">
      <c r="A1271" s="11" t="n"/>
      <c r="B1271" s="12" t="n"/>
      <c r="C1271" s="12" t="n"/>
      <c r="D1271" s="12" t="n"/>
      <c r="E1271" s="13" t="n"/>
      <c r="F1271" s="12" t="n"/>
      <c r="G1271" s="13" t="n"/>
      <c r="H1271" s="12" t="n"/>
      <c r="I1271" s="12" t="n"/>
      <c r="J1271" s="12" t="n"/>
      <c r="K1271" s="12" t="n"/>
      <c r="L1271" s="11" t="n"/>
      <c r="M1271" s="11" t="n"/>
      <c r="N1271" s="11" t="n"/>
      <c r="O1271" s="11" t="n"/>
      <c r="P1271" s="12" t="n"/>
      <c r="Q1271" s="11" t="n"/>
      <c r="R1271" s="12" t="n"/>
      <c r="S1271" s="11" t="n"/>
      <c r="T1271" s="12" t="n"/>
      <c r="U1271" s="12" t="n"/>
      <c r="V1271" s="12" t="n"/>
      <c r="W1271" s="13" t="n"/>
      <c r="X1271" s="14">
        <f>IF($AP1271="",IF($B1271="","",$H1271),IF(INDEX(職員マスタ!$B$6:$B$405,$AP1271)="",$H1271,INDEX(職員マスタ!$B$6:$B$405,$AP1271)))</f>
        <v/>
      </c>
      <c r="Y1271" s="14">
        <f>IF($AP1271="",IF($B1271="","",$R1271),IF(INDEX(職員マスタ!$C$6:$C$405,$AP1271)="",$R1271,INDEX(職員マスタ!$C$6:$C$405,$AP1271)))</f>
        <v/>
      </c>
      <c r="Z1271" s="14">
        <f>IF($AQ1271="","","R"&amp;$C1271&amp;"."&amp;$D1271)</f>
        <v/>
      </c>
      <c r="AA1271" s="15">
        <f>IF(IF($AP1271="",FALSE,INDEX(職員マスタ!$K$6:$K$405,$AP1271)&lt;&gt;""),INDEX(職員マスタ!$K$6:$K$405,$AP1271),IF(N($W1271)&gt;0,$W1271,""))</f>
        <v/>
      </c>
      <c r="AB1271" s="14">
        <f>IF(OR($E1271="",$AA1271=""),"",IF($E1271&gt;=$AA1271,"×",IF($E1271&gt;=$AA1271*設定!$C$5,"△","○")))</f>
        <v/>
      </c>
      <c r="AC1271" s="15">
        <f>IF($AB1271="","",IF($AB1271="×",0,IF($AB1271="○",ROUNDDOWN($E1271*設定!$C$4,0),ROUNDDOWN($E1271*ROUND((9*$AA1271-9*$E1271)/(10*$E1271),4),0))))</f>
        <v/>
      </c>
      <c r="AD1271" s="13" t="n"/>
      <c r="AE1271" s="15">
        <f>IF($B1271="","",IF($AD1271&lt;&gt;"",$AD1271,IF($AC1271="","",IF($AC1271&lt;=設定!$C$3,0,$AC1271))))</f>
        <v/>
      </c>
      <c r="AF1271" s="14">
        <f>IF($B1271="","",IF(AND($AG1271&lt;&gt;"",$AI1271="",$AL1271=""),"保留中",IF($AL1271&lt;&gt;"",IF(N($AE1271)&gt;0,"支給済","不支給"),IF($AE1271="","要確認",IF($AE1271=0,"不支給","未処理")))))</f>
        <v/>
      </c>
      <c r="AG1271" s="12" t="n"/>
      <c r="AH1271" s="11" t="n"/>
      <c r="AI1271" s="11" t="n"/>
      <c r="AJ1271" s="11" t="n"/>
      <c r="AK1271" s="14">
        <f>IF(AND($AF1271="保留中",$AH1271&lt;&gt;""),TODAY()-$AH1271,"")</f>
        <v/>
      </c>
      <c r="AL1271" s="12" t="n"/>
      <c r="AM1271" s="14">
        <f>IF($B1271="","",IF($AQ1271="","対象年月が未入力／","")&amp;IF($B1271="","",IF($AP1271="","職員マスタに未登録の職員番号／",IF($AA1271="","標準報酬月額が未登録／","")&amp;IF(AND($AQ1271&lt;&gt;"",OR(AND(INDEX(職員マスタ!$G$6:$G$405,$AP1271)&lt;&gt;"",INDEX(職員マスタ!$G$6:$G$405,$AP1271)&gt;EOMONTH($AQ1271,0)),AND(INDEX(職員マスタ!$H$6:$H$405,$AP1271)&lt;&gt;"",INDEX(職員マスタ!$H$6:$H$405,$AP1271)&lt;$AQ1271))),"対象月が時短期間外／","")&amp;IF(AND(INDEX(職員マスタ!$K$6:$K$405,$AP1271)&lt;&gt;"",N($W1271)&gt;0,INDEX(職員マスタ!$K$6:$K$405,$AP1271)&lt;&gt;$W1271),"標準報酬月額が申請書と相違（台帳"&amp;TEXT(INDEX(職員マスタ!$K$6:$K$405,$AP1271),"#,##0")&amp;"円／申請書"&amp;TEXT($W1271,"#,##0")&amp;"円）／","")&amp;IF(AND(INDEX(職員マスタ!$F$6:$F$405,$AP1271)&lt;&gt;"",$AQ1271&lt;&gt;"",INDEX(職員マスタ!$F$6:$F$405,$AP1271)&lt;$AQ1271),"対象月に子が2歳到達済／","")&amp;IF(AND($H1271&lt;&gt;"",INDEX(職員マスタ!$B$6:$B$405,$AP1271)&lt;&gt;"",SUBSTITUTE(SUBSTITUTE($H1271," ","")," ","")&lt;&gt;SUBSTITUTE(SUBSTITUTE(INDEX(職員マスタ!$B$6:$B$405,$AP1271)," ","")," ","")),"氏名がマスタと相違／","")&amp;IF(AND($Q1271&lt;&gt;"",INDEX(職員マスタ!$E$6:$E$405,$AP1271)&lt;&gt;"",$Q1271&lt;&gt;INDEX(職員マスタ!$E$6:$E$405,$AP1271)),"子の生年月日がマスタと相違／","")&amp;IF(AND($L1271&lt;&gt;"",INDEX(職員マスタ!$G$6:$G$405,$AP1271)&lt;&gt;"",$L1271&lt;&gt;INDEX(職員マスタ!$G$6:$G$405,$AP1271)),"時短開始日がマスタと相違／","")&amp;IF(AND($M1271&lt;&gt;"",INDEX(職員マスタ!$H$6:$H$405,$AP1271)&lt;&gt;"",$M1271&lt;&gt;INDEX(職員マスタ!$H$6:$H$405,$AP1271)),"時短終了日がマスタと相違／","")))&amp;IF(AND($B1271&lt;&gt;"",$E1271=""),"報酬額が未入力／","")&amp;IF(N($U1271)&gt;0,"申請書に入力エラーが残っています／","")&amp;IF(AND($B1271&lt;&gt;"",$AQ1271&lt;&gt;""),IF(COUNTIFS($B$6:$B$3005,$B1271,$C$6:$C$3005,$C1271,$D$6:$D$3005,$D1271)&gt;1,"同じ月の請求が重複しています／",""),"")&amp;IF(AND(N($E1271)&gt;0,$AB1271&lt;&gt;"",$AB1271&lt;&gt;"×",$AE1271=0,$AD1271=""),"計算額が下限以下のため不支給／",""))</f>
        <v/>
      </c>
      <c r="AN1271" s="12" t="n"/>
      <c r="AO1271" s="14">
        <f>IF($AF1271="保留中",COUNTIF($AF$6:$AF1271,"保留中"),"")</f>
        <v/>
      </c>
      <c r="AP1271" s="14">
        <f>IF($AQ1271="","",IF(SUMPRODUCT(MAX((職員マスタ!$A$6:$A$405=$B1271)*(((職員マスタ!$G$6:$G$405="")+(職員マスタ!$G$6:$G$405&lt;=EOMONTH($AQ1271,0)))&gt;0)*(((職員マスタ!$H$6:$H$405="")+(職員マスタ!$H$6:$H$405&gt;=$AQ1271))&gt;0)*(ROW(職員マスタ!$A$6:$A$405)-5)))&gt;0,SUMPRODUCT(MAX((職員マスタ!$A$6:$A$405=$B1271)*(((職員マスタ!$G$6:$G$405="")+(職員マスタ!$G$6:$G$405&lt;=EOMONTH($AQ1271,0)))&gt;0)*(((職員マスタ!$H$6:$H$405="")+(職員マスタ!$H$6:$H$405&gt;=$AQ1271))&gt;0)*(ROW(職員マスタ!$A$6:$A$405)-5))),IFERROR(MATCH($B1271,職員マスタ!$A$6:$A$405,0),"")))</f>
        <v/>
      </c>
      <c r="AQ1271" s="16">
        <f>IF(OR($B1271="",$C1271="",$D1271=""),"",DATE($C1271+2018,$D1271,1))</f>
        <v/>
      </c>
    </row>
    <row r="1272">
      <c r="A1272" s="11" t="n"/>
      <c r="B1272" s="12" t="n"/>
      <c r="C1272" s="12" t="n"/>
      <c r="D1272" s="12" t="n"/>
      <c r="E1272" s="13" t="n"/>
      <c r="F1272" s="12" t="n"/>
      <c r="G1272" s="13" t="n"/>
      <c r="H1272" s="12" t="n"/>
      <c r="I1272" s="12" t="n"/>
      <c r="J1272" s="12" t="n"/>
      <c r="K1272" s="12" t="n"/>
      <c r="L1272" s="11" t="n"/>
      <c r="M1272" s="11" t="n"/>
      <c r="N1272" s="11" t="n"/>
      <c r="O1272" s="11" t="n"/>
      <c r="P1272" s="12" t="n"/>
      <c r="Q1272" s="11" t="n"/>
      <c r="R1272" s="12" t="n"/>
      <c r="S1272" s="11" t="n"/>
      <c r="T1272" s="12" t="n"/>
      <c r="U1272" s="12" t="n"/>
      <c r="V1272" s="12" t="n"/>
      <c r="W1272" s="13" t="n"/>
      <c r="X1272" s="14">
        <f>IF($AP1272="",IF($B1272="","",$H1272),IF(INDEX(職員マスタ!$B$6:$B$405,$AP1272)="",$H1272,INDEX(職員マスタ!$B$6:$B$405,$AP1272)))</f>
        <v/>
      </c>
      <c r="Y1272" s="14">
        <f>IF($AP1272="",IF($B1272="","",$R1272),IF(INDEX(職員マスタ!$C$6:$C$405,$AP1272)="",$R1272,INDEX(職員マスタ!$C$6:$C$405,$AP1272)))</f>
        <v/>
      </c>
      <c r="Z1272" s="14">
        <f>IF($AQ1272="","","R"&amp;$C1272&amp;"."&amp;$D1272)</f>
        <v/>
      </c>
      <c r="AA1272" s="15">
        <f>IF(IF($AP1272="",FALSE,INDEX(職員マスタ!$K$6:$K$405,$AP1272)&lt;&gt;""),INDEX(職員マスタ!$K$6:$K$405,$AP1272),IF(N($W1272)&gt;0,$W1272,""))</f>
        <v/>
      </c>
      <c r="AB1272" s="14">
        <f>IF(OR($E1272="",$AA1272=""),"",IF($E1272&gt;=$AA1272,"×",IF($E1272&gt;=$AA1272*設定!$C$5,"△","○")))</f>
        <v/>
      </c>
      <c r="AC1272" s="15">
        <f>IF($AB1272="","",IF($AB1272="×",0,IF($AB1272="○",ROUNDDOWN($E1272*設定!$C$4,0),ROUNDDOWN($E1272*ROUND((9*$AA1272-9*$E1272)/(10*$E1272),4),0))))</f>
        <v/>
      </c>
      <c r="AD1272" s="13" t="n"/>
      <c r="AE1272" s="15">
        <f>IF($B1272="","",IF($AD1272&lt;&gt;"",$AD1272,IF($AC1272="","",IF($AC1272&lt;=設定!$C$3,0,$AC1272))))</f>
        <v/>
      </c>
      <c r="AF1272" s="14">
        <f>IF($B1272="","",IF(AND($AG1272&lt;&gt;"",$AI1272="",$AL1272=""),"保留中",IF($AL1272&lt;&gt;"",IF(N($AE1272)&gt;0,"支給済","不支給"),IF($AE1272="","要確認",IF($AE1272=0,"不支給","未処理")))))</f>
        <v/>
      </c>
      <c r="AG1272" s="12" t="n"/>
      <c r="AH1272" s="11" t="n"/>
      <c r="AI1272" s="11" t="n"/>
      <c r="AJ1272" s="11" t="n"/>
      <c r="AK1272" s="14">
        <f>IF(AND($AF1272="保留中",$AH1272&lt;&gt;""),TODAY()-$AH1272,"")</f>
        <v/>
      </c>
      <c r="AL1272" s="12" t="n"/>
      <c r="AM1272" s="14">
        <f>IF($B1272="","",IF($AQ1272="","対象年月が未入力／","")&amp;IF($B1272="","",IF($AP1272="","職員マスタに未登録の職員番号／",IF($AA1272="","標準報酬月額が未登録／","")&amp;IF(AND($AQ1272&lt;&gt;"",OR(AND(INDEX(職員マスタ!$G$6:$G$405,$AP1272)&lt;&gt;"",INDEX(職員マスタ!$G$6:$G$405,$AP1272)&gt;EOMONTH($AQ1272,0)),AND(INDEX(職員マスタ!$H$6:$H$405,$AP1272)&lt;&gt;"",INDEX(職員マスタ!$H$6:$H$405,$AP1272)&lt;$AQ1272))),"対象月が時短期間外／","")&amp;IF(AND(INDEX(職員マスタ!$K$6:$K$405,$AP1272)&lt;&gt;"",N($W1272)&gt;0,INDEX(職員マスタ!$K$6:$K$405,$AP1272)&lt;&gt;$W1272),"標準報酬月額が申請書と相違（台帳"&amp;TEXT(INDEX(職員マスタ!$K$6:$K$405,$AP1272),"#,##0")&amp;"円／申請書"&amp;TEXT($W1272,"#,##0")&amp;"円）／","")&amp;IF(AND(INDEX(職員マスタ!$F$6:$F$405,$AP1272)&lt;&gt;"",$AQ1272&lt;&gt;"",INDEX(職員マスタ!$F$6:$F$405,$AP1272)&lt;$AQ1272),"対象月に子が2歳到達済／","")&amp;IF(AND($H1272&lt;&gt;"",INDEX(職員マスタ!$B$6:$B$405,$AP1272)&lt;&gt;"",SUBSTITUTE(SUBSTITUTE($H1272," ","")," ","")&lt;&gt;SUBSTITUTE(SUBSTITUTE(INDEX(職員マスタ!$B$6:$B$405,$AP1272)," ","")," ","")),"氏名がマスタと相違／","")&amp;IF(AND($Q1272&lt;&gt;"",INDEX(職員マスタ!$E$6:$E$405,$AP1272)&lt;&gt;"",$Q1272&lt;&gt;INDEX(職員マスタ!$E$6:$E$405,$AP1272)),"子の生年月日がマスタと相違／","")&amp;IF(AND($L1272&lt;&gt;"",INDEX(職員マスタ!$G$6:$G$405,$AP1272)&lt;&gt;"",$L1272&lt;&gt;INDEX(職員マスタ!$G$6:$G$405,$AP1272)),"時短開始日がマスタと相違／","")&amp;IF(AND($M1272&lt;&gt;"",INDEX(職員マスタ!$H$6:$H$405,$AP1272)&lt;&gt;"",$M1272&lt;&gt;INDEX(職員マスタ!$H$6:$H$405,$AP1272)),"時短終了日がマスタと相違／","")))&amp;IF(AND($B1272&lt;&gt;"",$E1272=""),"報酬額が未入力／","")&amp;IF(N($U1272)&gt;0,"申請書に入力エラーが残っています／","")&amp;IF(AND($B1272&lt;&gt;"",$AQ1272&lt;&gt;""),IF(COUNTIFS($B$6:$B$3005,$B1272,$C$6:$C$3005,$C1272,$D$6:$D$3005,$D1272)&gt;1,"同じ月の請求が重複しています／",""),"")&amp;IF(AND(N($E1272)&gt;0,$AB1272&lt;&gt;"",$AB1272&lt;&gt;"×",$AE1272=0,$AD1272=""),"計算額が下限以下のため不支給／",""))</f>
        <v/>
      </c>
      <c r="AN1272" s="12" t="n"/>
      <c r="AO1272" s="14">
        <f>IF($AF1272="保留中",COUNTIF($AF$6:$AF1272,"保留中"),"")</f>
        <v/>
      </c>
      <c r="AP1272" s="14">
        <f>IF($AQ1272="","",IF(SUMPRODUCT(MAX((職員マスタ!$A$6:$A$405=$B1272)*(((職員マスタ!$G$6:$G$405="")+(職員マスタ!$G$6:$G$405&lt;=EOMONTH($AQ1272,0)))&gt;0)*(((職員マスタ!$H$6:$H$405="")+(職員マスタ!$H$6:$H$405&gt;=$AQ1272))&gt;0)*(ROW(職員マスタ!$A$6:$A$405)-5)))&gt;0,SUMPRODUCT(MAX((職員マスタ!$A$6:$A$405=$B1272)*(((職員マスタ!$G$6:$G$405="")+(職員マスタ!$G$6:$G$405&lt;=EOMONTH($AQ1272,0)))&gt;0)*(((職員マスタ!$H$6:$H$405="")+(職員マスタ!$H$6:$H$405&gt;=$AQ1272))&gt;0)*(ROW(職員マスタ!$A$6:$A$405)-5))),IFERROR(MATCH($B1272,職員マスタ!$A$6:$A$405,0),"")))</f>
        <v/>
      </c>
      <c r="AQ1272" s="16">
        <f>IF(OR($B1272="",$C1272="",$D1272=""),"",DATE($C1272+2018,$D1272,1))</f>
        <v/>
      </c>
    </row>
    <row r="1273">
      <c r="A1273" s="11" t="n"/>
      <c r="B1273" s="12" t="n"/>
      <c r="C1273" s="12" t="n"/>
      <c r="D1273" s="12" t="n"/>
      <c r="E1273" s="13" t="n"/>
      <c r="F1273" s="12" t="n"/>
      <c r="G1273" s="13" t="n"/>
      <c r="H1273" s="12" t="n"/>
      <c r="I1273" s="12" t="n"/>
      <c r="J1273" s="12" t="n"/>
      <c r="K1273" s="12" t="n"/>
      <c r="L1273" s="11" t="n"/>
      <c r="M1273" s="11" t="n"/>
      <c r="N1273" s="11" t="n"/>
      <c r="O1273" s="11" t="n"/>
      <c r="P1273" s="12" t="n"/>
      <c r="Q1273" s="11" t="n"/>
      <c r="R1273" s="12" t="n"/>
      <c r="S1273" s="11" t="n"/>
      <c r="T1273" s="12" t="n"/>
      <c r="U1273" s="12" t="n"/>
      <c r="V1273" s="12" t="n"/>
      <c r="W1273" s="13" t="n"/>
      <c r="X1273" s="14">
        <f>IF($AP1273="",IF($B1273="","",$H1273),IF(INDEX(職員マスタ!$B$6:$B$405,$AP1273)="",$H1273,INDEX(職員マスタ!$B$6:$B$405,$AP1273)))</f>
        <v/>
      </c>
      <c r="Y1273" s="14">
        <f>IF($AP1273="",IF($B1273="","",$R1273),IF(INDEX(職員マスタ!$C$6:$C$405,$AP1273)="",$R1273,INDEX(職員マスタ!$C$6:$C$405,$AP1273)))</f>
        <v/>
      </c>
      <c r="Z1273" s="14">
        <f>IF($AQ1273="","","R"&amp;$C1273&amp;"."&amp;$D1273)</f>
        <v/>
      </c>
      <c r="AA1273" s="15">
        <f>IF(IF($AP1273="",FALSE,INDEX(職員マスタ!$K$6:$K$405,$AP1273)&lt;&gt;""),INDEX(職員マスタ!$K$6:$K$405,$AP1273),IF(N($W1273)&gt;0,$W1273,""))</f>
        <v/>
      </c>
      <c r="AB1273" s="14">
        <f>IF(OR($E1273="",$AA1273=""),"",IF($E1273&gt;=$AA1273,"×",IF($E1273&gt;=$AA1273*設定!$C$5,"△","○")))</f>
        <v/>
      </c>
      <c r="AC1273" s="15">
        <f>IF($AB1273="","",IF($AB1273="×",0,IF($AB1273="○",ROUNDDOWN($E1273*設定!$C$4,0),ROUNDDOWN($E1273*ROUND((9*$AA1273-9*$E1273)/(10*$E1273),4),0))))</f>
        <v/>
      </c>
      <c r="AD1273" s="13" t="n"/>
      <c r="AE1273" s="15">
        <f>IF($B1273="","",IF($AD1273&lt;&gt;"",$AD1273,IF($AC1273="","",IF($AC1273&lt;=設定!$C$3,0,$AC1273))))</f>
        <v/>
      </c>
      <c r="AF1273" s="14">
        <f>IF($B1273="","",IF(AND($AG1273&lt;&gt;"",$AI1273="",$AL1273=""),"保留中",IF($AL1273&lt;&gt;"",IF(N($AE1273)&gt;0,"支給済","不支給"),IF($AE1273="","要確認",IF($AE1273=0,"不支給","未処理")))))</f>
        <v/>
      </c>
      <c r="AG1273" s="12" t="n"/>
      <c r="AH1273" s="11" t="n"/>
      <c r="AI1273" s="11" t="n"/>
      <c r="AJ1273" s="11" t="n"/>
      <c r="AK1273" s="14">
        <f>IF(AND($AF1273="保留中",$AH1273&lt;&gt;""),TODAY()-$AH1273,"")</f>
        <v/>
      </c>
      <c r="AL1273" s="12" t="n"/>
      <c r="AM1273" s="14">
        <f>IF($B1273="","",IF($AQ1273="","対象年月が未入力／","")&amp;IF($B1273="","",IF($AP1273="","職員マスタに未登録の職員番号／",IF($AA1273="","標準報酬月額が未登録／","")&amp;IF(AND($AQ1273&lt;&gt;"",OR(AND(INDEX(職員マスタ!$G$6:$G$405,$AP1273)&lt;&gt;"",INDEX(職員マスタ!$G$6:$G$405,$AP1273)&gt;EOMONTH($AQ1273,0)),AND(INDEX(職員マスタ!$H$6:$H$405,$AP1273)&lt;&gt;"",INDEX(職員マスタ!$H$6:$H$405,$AP1273)&lt;$AQ1273))),"対象月が時短期間外／","")&amp;IF(AND(INDEX(職員マスタ!$K$6:$K$405,$AP1273)&lt;&gt;"",N($W1273)&gt;0,INDEX(職員マスタ!$K$6:$K$405,$AP1273)&lt;&gt;$W1273),"標準報酬月額が申請書と相違（台帳"&amp;TEXT(INDEX(職員マスタ!$K$6:$K$405,$AP1273),"#,##0")&amp;"円／申請書"&amp;TEXT($W1273,"#,##0")&amp;"円）／","")&amp;IF(AND(INDEX(職員マスタ!$F$6:$F$405,$AP1273)&lt;&gt;"",$AQ1273&lt;&gt;"",INDEX(職員マスタ!$F$6:$F$405,$AP1273)&lt;$AQ1273),"対象月に子が2歳到達済／","")&amp;IF(AND($H1273&lt;&gt;"",INDEX(職員マスタ!$B$6:$B$405,$AP1273)&lt;&gt;"",SUBSTITUTE(SUBSTITUTE($H1273," ","")," ","")&lt;&gt;SUBSTITUTE(SUBSTITUTE(INDEX(職員マスタ!$B$6:$B$405,$AP1273)," ","")," ","")),"氏名がマスタと相違／","")&amp;IF(AND($Q1273&lt;&gt;"",INDEX(職員マスタ!$E$6:$E$405,$AP1273)&lt;&gt;"",$Q1273&lt;&gt;INDEX(職員マスタ!$E$6:$E$405,$AP1273)),"子の生年月日がマスタと相違／","")&amp;IF(AND($L1273&lt;&gt;"",INDEX(職員マスタ!$G$6:$G$405,$AP1273)&lt;&gt;"",$L1273&lt;&gt;INDEX(職員マスタ!$G$6:$G$405,$AP1273)),"時短開始日がマスタと相違／","")&amp;IF(AND($M1273&lt;&gt;"",INDEX(職員マスタ!$H$6:$H$405,$AP1273)&lt;&gt;"",$M1273&lt;&gt;INDEX(職員マスタ!$H$6:$H$405,$AP1273)),"時短終了日がマスタと相違／","")))&amp;IF(AND($B1273&lt;&gt;"",$E1273=""),"報酬額が未入力／","")&amp;IF(N($U1273)&gt;0,"申請書に入力エラーが残っています／","")&amp;IF(AND($B1273&lt;&gt;"",$AQ1273&lt;&gt;""),IF(COUNTIFS($B$6:$B$3005,$B1273,$C$6:$C$3005,$C1273,$D$6:$D$3005,$D1273)&gt;1,"同じ月の請求が重複しています／",""),"")&amp;IF(AND(N($E1273)&gt;0,$AB1273&lt;&gt;"",$AB1273&lt;&gt;"×",$AE1273=0,$AD1273=""),"計算額が下限以下のため不支給／",""))</f>
        <v/>
      </c>
      <c r="AN1273" s="12" t="n"/>
      <c r="AO1273" s="14">
        <f>IF($AF1273="保留中",COUNTIF($AF$6:$AF1273,"保留中"),"")</f>
        <v/>
      </c>
      <c r="AP1273" s="14">
        <f>IF($AQ1273="","",IF(SUMPRODUCT(MAX((職員マスタ!$A$6:$A$405=$B1273)*(((職員マスタ!$G$6:$G$405="")+(職員マスタ!$G$6:$G$405&lt;=EOMONTH($AQ1273,0)))&gt;0)*(((職員マスタ!$H$6:$H$405="")+(職員マスタ!$H$6:$H$405&gt;=$AQ1273))&gt;0)*(ROW(職員マスタ!$A$6:$A$405)-5)))&gt;0,SUMPRODUCT(MAX((職員マスタ!$A$6:$A$405=$B1273)*(((職員マスタ!$G$6:$G$405="")+(職員マスタ!$G$6:$G$405&lt;=EOMONTH($AQ1273,0)))&gt;0)*(((職員マスタ!$H$6:$H$405="")+(職員マスタ!$H$6:$H$405&gt;=$AQ1273))&gt;0)*(ROW(職員マスタ!$A$6:$A$405)-5))),IFERROR(MATCH($B1273,職員マスタ!$A$6:$A$405,0),"")))</f>
        <v/>
      </c>
      <c r="AQ1273" s="16">
        <f>IF(OR($B1273="",$C1273="",$D1273=""),"",DATE($C1273+2018,$D1273,1))</f>
        <v/>
      </c>
    </row>
    <row r="1274">
      <c r="A1274" s="11" t="n"/>
      <c r="B1274" s="12" t="n"/>
      <c r="C1274" s="12" t="n"/>
      <c r="D1274" s="12" t="n"/>
      <c r="E1274" s="13" t="n"/>
      <c r="F1274" s="12" t="n"/>
      <c r="G1274" s="13" t="n"/>
      <c r="H1274" s="12" t="n"/>
      <c r="I1274" s="12" t="n"/>
      <c r="J1274" s="12" t="n"/>
      <c r="K1274" s="12" t="n"/>
      <c r="L1274" s="11" t="n"/>
      <c r="M1274" s="11" t="n"/>
      <c r="N1274" s="11" t="n"/>
      <c r="O1274" s="11" t="n"/>
      <c r="P1274" s="12" t="n"/>
      <c r="Q1274" s="11" t="n"/>
      <c r="R1274" s="12" t="n"/>
      <c r="S1274" s="11" t="n"/>
      <c r="T1274" s="12" t="n"/>
      <c r="U1274" s="12" t="n"/>
      <c r="V1274" s="12" t="n"/>
      <c r="W1274" s="13" t="n"/>
      <c r="X1274" s="14">
        <f>IF($AP1274="",IF($B1274="","",$H1274),IF(INDEX(職員マスタ!$B$6:$B$405,$AP1274)="",$H1274,INDEX(職員マスタ!$B$6:$B$405,$AP1274)))</f>
        <v/>
      </c>
      <c r="Y1274" s="14">
        <f>IF($AP1274="",IF($B1274="","",$R1274),IF(INDEX(職員マスタ!$C$6:$C$405,$AP1274)="",$R1274,INDEX(職員マスタ!$C$6:$C$405,$AP1274)))</f>
        <v/>
      </c>
      <c r="Z1274" s="14">
        <f>IF($AQ1274="","","R"&amp;$C1274&amp;"."&amp;$D1274)</f>
        <v/>
      </c>
      <c r="AA1274" s="15">
        <f>IF(IF($AP1274="",FALSE,INDEX(職員マスタ!$K$6:$K$405,$AP1274)&lt;&gt;""),INDEX(職員マスタ!$K$6:$K$405,$AP1274),IF(N($W1274)&gt;0,$W1274,""))</f>
        <v/>
      </c>
      <c r="AB1274" s="14">
        <f>IF(OR($E1274="",$AA1274=""),"",IF($E1274&gt;=$AA1274,"×",IF($E1274&gt;=$AA1274*設定!$C$5,"△","○")))</f>
        <v/>
      </c>
      <c r="AC1274" s="15">
        <f>IF($AB1274="","",IF($AB1274="×",0,IF($AB1274="○",ROUNDDOWN($E1274*設定!$C$4,0),ROUNDDOWN($E1274*ROUND((9*$AA1274-9*$E1274)/(10*$E1274),4),0))))</f>
        <v/>
      </c>
      <c r="AD1274" s="13" t="n"/>
      <c r="AE1274" s="15">
        <f>IF($B1274="","",IF($AD1274&lt;&gt;"",$AD1274,IF($AC1274="","",IF($AC1274&lt;=設定!$C$3,0,$AC1274))))</f>
        <v/>
      </c>
      <c r="AF1274" s="14">
        <f>IF($B1274="","",IF(AND($AG1274&lt;&gt;"",$AI1274="",$AL1274=""),"保留中",IF($AL1274&lt;&gt;"",IF(N($AE1274)&gt;0,"支給済","不支給"),IF($AE1274="","要確認",IF($AE1274=0,"不支給","未処理")))))</f>
        <v/>
      </c>
      <c r="AG1274" s="12" t="n"/>
      <c r="AH1274" s="11" t="n"/>
      <c r="AI1274" s="11" t="n"/>
      <c r="AJ1274" s="11" t="n"/>
      <c r="AK1274" s="14">
        <f>IF(AND($AF1274="保留中",$AH1274&lt;&gt;""),TODAY()-$AH1274,"")</f>
        <v/>
      </c>
      <c r="AL1274" s="12" t="n"/>
      <c r="AM1274" s="14">
        <f>IF($B1274="","",IF($AQ1274="","対象年月が未入力／","")&amp;IF($B1274="","",IF($AP1274="","職員マスタに未登録の職員番号／",IF($AA1274="","標準報酬月額が未登録／","")&amp;IF(AND($AQ1274&lt;&gt;"",OR(AND(INDEX(職員マスタ!$G$6:$G$405,$AP1274)&lt;&gt;"",INDEX(職員マスタ!$G$6:$G$405,$AP1274)&gt;EOMONTH($AQ1274,0)),AND(INDEX(職員マスタ!$H$6:$H$405,$AP1274)&lt;&gt;"",INDEX(職員マスタ!$H$6:$H$405,$AP1274)&lt;$AQ1274))),"対象月が時短期間外／","")&amp;IF(AND(INDEX(職員マスタ!$K$6:$K$405,$AP1274)&lt;&gt;"",N($W1274)&gt;0,INDEX(職員マスタ!$K$6:$K$405,$AP1274)&lt;&gt;$W1274),"標準報酬月額が申請書と相違（台帳"&amp;TEXT(INDEX(職員マスタ!$K$6:$K$405,$AP1274),"#,##0")&amp;"円／申請書"&amp;TEXT($W1274,"#,##0")&amp;"円）／","")&amp;IF(AND(INDEX(職員マスタ!$F$6:$F$405,$AP1274)&lt;&gt;"",$AQ1274&lt;&gt;"",INDEX(職員マスタ!$F$6:$F$405,$AP1274)&lt;$AQ1274),"対象月に子が2歳到達済／","")&amp;IF(AND($H1274&lt;&gt;"",INDEX(職員マスタ!$B$6:$B$405,$AP1274)&lt;&gt;"",SUBSTITUTE(SUBSTITUTE($H1274," ","")," ","")&lt;&gt;SUBSTITUTE(SUBSTITUTE(INDEX(職員マスタ!$B$6:$B$405,$AP1274)," ","")," ","")),"氏名がマスタと相違／","")&amp;IF(AND($Q1274&lt;&gt;"",INDEX(職員マスタ!$E$6:$E$405,$AP1274)&lt;&gt;"",$Q1274&lt;&gt;INDEX(職員マスタ!$E$6:$E$405,$AP1274)),"子の生年月日がマスタと相違／","")&amp;IF(AND($L1274&lt;&gt;"",INDEX(職員マスタ!$G$6:$G$405,$AP1274)&lt;&gt;"",$L1274&lt;&gt;INDEX(職員マスタ!$G$6:$G$405,$AP1274)),"時短開始日がマスタと相違／","")&amp;IF(AND($M1274&lt;&gt;"",INDEX(職員マスタ!$H$6:$H$405,$AP1274)&lt;&gt;"",$M1274&lt;&gt;INDEX(職員マスタ!$H$6:$H$405,$AP1274)),"時短終了日がマスタと相違／","")))&amp;IF(AND($B1274&lt;&gt;"",$E1274=""),"報酬額が未入力／","")&amp;IF(N($U1274)&gt;0,"申請書に入力エラーが残っています／","")&amp;IF(AND($B1274&lt;&gt;"",$AQ1274&lt;&gt;""),IF(COUNTIFS($B$6:$B$3005,$B1274,$C$6:$C$3005,$C1274,$D$6:$D$3005,$D1274)&gt;1,"同じ月の請求が重複しています／",""),"")&amp;IF(AND(N($E1274)&gt;0,$AB1274&lt;&gt;"",$AB1274&lt;&gt;"×",$AE1274=0,$AD1274=""),"計算額が下限以下のため不支給／",""))</f>
        <v/>
      </c>
      <c r="AN1274" s="12" t="n"/>
      <c r="AO1274" s="14">
        <f>IF($AF1274="保留中",COUNTIF($AF$6:$AF1274,"保留中"),"")</f>
        <v/>
      </c>
      <c r="AP1274" s="14">
        <f>IF($AQ1274="","",IF(SUMPRODUCT(MAX((職員マスタ!$A$6:$A$405=$B1274)*(((職員マスタ!$G$6:$G$405="")+(職員マスタ!$G$6:$G$405&lt;=EOMONTH($AQ1274,0)))&gt;0)*(((職員マスタ!$H$6:$H$405="")+(職員マスタ!$H$6:$H$405&gt;=$AQ1274))&gt;0)*(ROW(職員マスタ!$A$6:$A$405)-5)))&gt;0,SUMPRODUCT(MAX((職員マスタ!$A$6:$A$405=$B1274)*(((職員マスタ!$G$6:$G$405="")+(職員マスタ!$G$6:$G$405&lt;=EOMONTH($AQ1274,0)))&gt;0)*(((職員マスタ!$H$6:$H$405="")+(職員マスタ!$H$6:$H$405&gt;=$AQ1274))&gt;0)*(ROW(職員マスタ!$A$6:$A$405)-5))),IFERROR(MATCH($B1274,職員マスタ!$A$6:$A$405,0),"")))</f>
        <v/>
      </c>
      <c r="AQ1274" s="16">
        <f>IF(OR($B1274="",$C1274="",$D1274=""),"",DATE($C1274+2018,$D1274,1))</f>
        <v/>
      </c>
    </row>
    <row r="1275">
      <c r="A1275" s="11" t="n"/>
      <c r="B1275" s="12" t="n"/>
      <c r="C1275" s="12" t="n"/>
      <c r="D1275" s="12" t="n"/>
      <c r="E1275" s="13" t="n"/>
      <c r="F1275" s="12" t="n"/>
      <c r="G1275" s="13" t="n"/>
      <c r="H1275" s="12" t="n"/>
      <c r="I1275" s="12" t="n"/>
      <c r="J1275" s="12" t="n"/>
      <c r="K1275" s="12" t="n"/>
      <c r="L1275" s="11" t="n"/>
      <c r="M1275" s="11" t="n"/>
      <c r="N1275" s="11" t="n"/>
      <c r="O1275" s="11" t="n"/>
      <c r="P1275" s="12" t="n"/>
      <c r="Q1275" s="11" t="n"/>
      <c r="R1275" s="12" t="n"/>
      <c r="S1275" s="11" t="n"/>
      <c r="T1275" s="12" t="n"/>
      <c r="U1275" s="12" t="n"/>
      <c r="V1275" s="12" t="n"/>
      <c r="W1275" s="13" t="n"/>
      <c r="X1275" s="14">
        <f>IF($AP1275="",IF($B1275="","",$H1275),IF(INDEX(職員マスタ!$B$6:$B$405,$AP1275)="",$H1275,INDEX(職員マスタ!$B$6:$B$405,$AP1275)))</f>
        <v/>
      </c>
      <c r="Y1275" s="14">
        <f>IF($AP1275="",IF($B1275="","",$R1275),IF(INDEX(職員マスタ!$C$6:$C$405,$AP1275)="",$R1275,INDEX(職員マスタ!$C$6:$C$405,$AP1275)))</f>
        <v/>
      </c>
      <c r="Z1275" s="14">
        <f>IF($AQ1275="","","R"&amp;$C1275&amp;"."&amp;$D1275)</f>
        <v/>
      </c>
      <c r="AA1275" s="15">
        <f>IF(IF($AP1275="",FALSE,INDEX(職員マスタ!$K$6:$K$405,$AP1275)&lt;&gt;""),INDEX(職員マスタ!$K$6:$K$405,$AP1275),IF(N($W1275)&gt;0,$W1275,""))</f>
        <v/>
      </c>
      <c r="AB1275" s="14">
        <f>IF(OR($E1275="",$AA1275=""),"",IF($E1275&gt;=$AA1275,"×",IF($E1275&gt;=$AA1275*設定!$C$5,"△","○")))</f>
        <v/>
      </c>
      <c r="AC1275" s="15">
        <f>IF($AB1275="","",IF($AB1275="×",0,IF($AB1275="○",ROUNDDOWN($E1275*設定!$C$4,0),ROUNDDOWN($E1275*ROUND((9*$AA1275-9*$E1275)/(10*$E1275),4),0))))</f>
        <v/>
      </c>
      <c r="AD1275" s="13" t="n"/>
      <c r="AE1275" s="15">
        <f>IF($B1275="","",IF($AD1275&lt;&gt;"",$AD1275,IF($AC1275="","",IF($AC1275&lt;=設定!$C$3,0,$AC1275))))</f>
        <v/>
      </c>
      <c r="AF1275" s="14">
        <f>IF($B1275="","",IF(AND($AG1275&lt;&gt;"",$AI1275="",$AL1275=""),"保留中",IF($AL1275&lt;&gt;"",IF(N($AE1275)&gt;0,"支給済","不支給"),IF($AE1275="","要確認",IF($AE1275=0,"不支給","未処理")))))</f>
        <v/>
      </c>
      <c r="AG1275" s="12" t="n"/>
      <c r="AH1275" s="11" t="n"/>
      <c r="AI1275" s="11" t="n"/>
      <c r="AJ1275" s="11" t="n"/>
      <c r="AK1275" s="14">
        <f>IF(AND($AF1275="保留中",$AH1275&lt;&gt;""),TODAY()-$AH1275,"")</f>
        <v/>
      </c>
      <c r="AL1275" s="12" t="n"/>
      <c r="AM1275" s="14">
        <f>IF($B1275="","",IF($AQ1275="","対象年月が未入力／","")&amp;IF($B1275="","",IF($AP1275="","職員マスタに未登録の職員番号／",IF($AA1275="","標準報酬月額が未登録／","")&amp;IF(AND($AQ1275&lt;&gt;"",OR(AND(INDEX(職員マスタ!$G$6:$G$405,$AP1275)&lt;&gt;"",INDEX(職員マスタ!$G$6:$G$405,$AP1275)&gt;EOMONTH($AQ1275,0)),AND(INDEX(職員マスタ!$H$6:$H$405,$AP1275)&lt;&gt;"",INDEX(職員マスタ!$H$6:$H$405,$AP1275)&lt;$AQ1275))),"対象月が時短期間外／","")&amp;IF(AND(INDEX(職員マスタ!$K$6:$K$405,$AP1275)&lt;&gt;"",N($W1275)&gt;0,INDEX(職員マスタ!$K$6:$K$405,$AP1275)&lt;&gt;$W1275),"標準報酬月額が申請書と相違（台帳"&amp;TEXT(INDEX(職員マスタ!$K$6:$K$405,$AP1275),"#,##0")&amp;"円／申請書"&amp;TEXT($W1275,"#,##0")&amp;"円）／","")&amp;IF(AND(INDEX(職員マスタ!$F$6:$F$405,$AP1275)&lt;&gt;"",$AQ1275&lt;&gt;"",INDEX(職員マスタ!$F$6:$F$405,$AP1275)&lt;$AQ1275),"対象月に子が2歳到達済／","")&amp;IF(AND($H1275&lt;&gt;"",INDEX(職員マスタ!$B$6:$B$405,$AP1275)&lt;&gt;"",SUBSTITUTE(SUBSTITUTE($H1275," ","")," ","")&lt;&gt;SUBSTITUTE(SUBSTITUTE(INDEX(職員マスタ!$B$6:$B$405,$AP1275)," ","")," ","")),"氏名がマスタと相違／","")&amp;IF(AND($Q1275&lt;&gt;"",INDEX(職員マスタ!$E$6:$E$405,$AP1275)&lt;&gt;"",$Q1275&lt;&gt;INDEX(職員マスタ!$E$6:$E$405,$AP1275)),"子の生年月日がマスタと相違／","")&amp;IF(AND($L1275&lt;&gt;"",INDEX(職員マスタ!$G$6:$G$405,$AP1275)&lt;&gt;"",$L1275&lt;&gt;INDEX(職員マスタ!$G$6:$G$405,$AP1275)),"時短開始日がマスタと相違／","")&amp;IF(AND($M1275&lt;&gt;"",INDEX(職員マスタ!$H$6:$H$405,$AP1275)&lt;&gt;"",$M1275&lt;&gt;INDEX(職員マスタ!$H$6:$H$405,$AP1275)),"時短終了日がマスタと相違／","")))&amp;IF(AND($B1275&lt;&gt;"",$E1275=""),"報酬額が未入力／","")&amp;IF(N($U1275)&gt;0,"申請書に入力エラーが残っています／","")&amp;IF(AND($B1275&lt;&gt;"",$AQ1275&lt;&gt;""),IF(COUNTIFS($B$6:$B$3005,$B1275,$C$6:$C$3005,$C1275,$D$6:$D$3005,$D1275)&gt;1,"同じ月の請求が重複しています／",""),"")&amp;IF(AND(N($E1275)&gt;0,$AB1275&lt;&gt;"",$AB1275&lt;&gt;"×",$AE1275=0,$AD1275=""),"計算額が下限以下のため不支給／",""))</f>
        <v/>
      </c>
      <c r="AN1275" s="12" t="n"/>
      <c r="AO1275" s="14">
        <f>IF($AF1275="保留中",COUNTIF($AF$6:$AF1275,"保留中"),"")</f>
        <v/>
      </c>
      <c r="AP1275" s="14">
        <f>IF($AQ1275="","",IF(SUMPRODUCT(MAX((職員マスタ!$A$6:$A$405=$B1275)*(((職員マスタ!$G$6:$G$405="")+(職員マスタ!$G$6:$G$405&lt;=EOMONTH($AQ1275,0)))&gt;0)*(((職員マスタ!$H$6:$H$405="")+(職員マスタ!$H$6:$H$405&gt;=$AQ1275))&gt;0)*(ROW(職員マスタ!$A$6:$A$405)-5)))&gt;0,SUMPRODUCT(MAX((職員マスタ!$A$6:$A$405=$B1275)*(((職員マスタ!$G$6:$G$405="")+(職員マスタ!$G$6:$G$405&lt;=EOMONTH($AQ1275,0)))&gt;0)*(((職員マスタ!$H$6:$H$405="")+(職員マスタ!$H$6:$H$405&gt;=$AQ1275))&gt;0)*(ROW(職員マスタ!$A$6:$A$405)-5))),IFERROR(MATCH($B1275,職員マスタ!$A$6:$A$405,0),"")))</f>
        <v/>
      </c>
      <c r="AQ1275" s="16">
        <f>IF(OR($B1275="",$C1275="",$D1275=""),"",DATE($C1275+2018,$D1275,1))</f>
        <v/>
      </c>
    </row>
    <row r="1276">
      <c r="A1276" s="11" t="n"/>
      <c r="B1276" s="12" t="n"/>
      <c r="C1276" s="12" t="n"/>
      <c r="D1276" s="12" t="n"/>
      <c r="E1276" s="13" t="n"/>
      <c r="F1276" s="12" t="n"/>
      <c r="G1276" s="13" t="n"/>
      <c r="H1276" s="12" t="n"/>
      <c r="I1276" s="12" t="n"/>
      <c r="J1276" s="12" t="n"/>
      <c r="K1276" s="12" t="n"/>
      <c r="L1276" s="11" t="n"/>
      <c r="M1276" s="11" t="n"/>
      <c r="N1276" s="11" t="n"/>
      <c r="O1276" s="11" t="n"/>
      <c r="P1276" s="12" t="n"/>
      <c r="Q1276" s="11" t="n"/>
      <c r="R1276" s="12" t="n"/>
      <c r="S1276" s="11" t="n"/>
      <c r="T1276" s="12" t="n"/>
      <c r="U1276" s="12" t="n"/>
      <c r="V1276" s="12" t="n"/>
      <c r="W1276" s="13" t="n"/>
      <c r="X1276" s="14">
        <f>IF($AP1276="",IF($B1276="","",$H1276),IF(INDEX(職員マスタ!$B$6:$B$405,$AP1276)="",$H1276,INDEX(職員マスタ!$B$6:$B$405,$AP1276)))</f>
        <v/>
      </c>
      <c r="Y1276" s="14">
        <f>IF($AP1276="",IF($B1276="","",$R1276),IF(INDEX(職員マスタ!$C$6:$C$405,$AP1276)="",$R1276,INDEX(職員マスタ!$C$6:$C$405,$AP1276)))</f>
        <v/>
      </c>
      <c r="Z1276" s="14">
        <f>IF($AQ1276="","","R"&amp;$C1276&amp;"."&amp;$D1276)</f>
        <v/>
      </c>
      <c r="AA1276" s="15">
        <f>IF(IF($AP1276="",FALSE,INDEX(職員マスタ!$K$6:$K$405,$AP1276)&lt;&gt;""),INDEX(職員マスタ!$K$6:$K$405,$AP1276),IF(N($W1276)&gt;0,$W1276,""))</f>
        <v/>
      </c>
      <c r="AB1276" s="14">
        <f>IF(OR($E1276="",$AA1276=""),"",IF($E1276&gt;=$AA1276,"×",IF($E1276&gt;=$AA1276*設定!$C$5,"△","○")))</f>
        <v/>
      </c>
      <c r="AC1276" s="15">
        <f>IF($AB1276="","",IF($AB1276="×",0,IF($AB1276="○",ROUNDDOWN($E1276*設定!$C$4,0),ROUNDDOWN($E1276*ROUND((9*$AA1276-9*$E1276)/(10*$E1276),4),0))))</f>
        <v/>
      </c>
      <c r="AD1276" s="13" t="n"/>
      <c r="AE1276" s="15">
        <f>IF($B1276="","",IF($AD1276&lt;&gt;"",$AD1276,IF($AC1276="","",IF($AC1276&lt;=設定!$C$3,0,$AC1276))))</f>
        <v/>
      </c>
      <c r="AF1276" s="14">
        <f>IF($B1276="","",IF(AND($AG1276&lt;&gt;"",$AI1276="",$AL1276=""),"保留中",IF($AL1276&lt;&gt;"",IF(N($AE1276)&gt;0,"支給済","不支給"),IF($AE1276="","要確認",IF($AE1276=0,"不支給","未処理")))))</f>
        <v/>
      </c>
      <c r="AG1276" s="12" t="n"/>
      <c r="AH1276" s="11" t="n"/>
      <c r="AI1276" s="11" t="n"/>
      <c r="AJ1276" s="11" t="n"/>
      <c r="AK1276" s="14">
        <f>IF(AND($AF1276="保留中",$AH1276&lt;&gt;""),TODAY()-$AH1276,"")</f>
        <v/>
      </c>
      <c r="AL1276" s="12" t="n"/>
      <c r="AM1276" s="14">
        <f>IF($B1276="","",IF($AQ1276="","対象年月が未入力／","")&amp;IF($B1276="","",IF($AP1276="","職員マスタに未登録の職員番号／",IF($AA1276="","標準報酬月額が未登録／","")&amp;IF(AND($AQ1276&lt;&gt;"",OR(AND(INDEX(職員マスタ!$G$6:$G$405,$AP1276)&lt;&gt;"",INDEX(職員マスタ!$G$6:$G$405,$AP1276)&gt;EOMONTH($AQ1276,0)),AND(INDEX(職員マスタ!$H$6:$H$405,$AP1276)&lt;&gt;"",INDEX(職員マスタ!$H$6:$H$405,$AP1276)&lt;$AQ1276))),"対象月が時短期間外／","")&amp;IF(AND(INDEX(職員マスタ!$K$6:$K$405,$AP1276)&lt;&gt;"",N($W1276)&gt;0,INDEX(職員マスタ!$K$6:$K$405,$AP1276)&lt;&gt;$W1276),"標準報酬月額が申請書と相違（台帳"&amp;TEXT(INDEX(職員マスタ!$K$6:$K$405,$AP1276),"#,##0")&amp;"円／申請書"&amp;TEXT($W1276,"#,##0")&amp;"円）／","")&amp;IF(AND(INDEX(職員マスタ!$F$6:$F$405,$AP1276)&lt;&gt;"",$AQ1276&lt;&gt;"",INDEX(職員マスタ!$F$6:$F$405,$AP1276)&lt;$AQ1276),"対象月に子が2歳到達済／","")&amp;IF(AND($H1276&lt;&gt;"",INDEX(職員マスタ!$B$6:$B$405,$AP1276)&lt;&gt;"",SUBSTITUTE(SUBSTITUTE($H1276," ","")," ","")&lt;&gt;SUBSTITUTE(SUBSTITUTE(INDEX(職員マスタ!$B$6:$B$405,$AP1276)," ","")," ","")),"氏名がマスタと相違／","")&amp;IF(AND($Q1276&lt;&gt;"",INDEX(職員マスタ!$E$6:$E$405,$AP1276)&lt;&gt;"",$Q1276&lt;&gt;INDEX(職員マスタ!$E$6:$E$405,$AP1276)),"子の生年月日がマスタと相違／","")&amp;IF(AND($L1276&lt;&gt;"",INDEX(職員マスタ!$G$6:$G$405,$AP1276)&lt;&gt;"",$L1276&lt;&gt;INDEX(職員マスタ!$G$6:$G$405,$AP1276)),"時短開始日がマスタと相違／","")&amp;IF(AND($M1276&lt;&gt;"",INDEX(職員マスタ!$H$6:$H$405,$AP1276)&lt;&gt;"",$M1276&lt;&gt;INDEX(職員マスタ!$H$6:$H$405,$AP1276)),"時短終了日がマスタと相違／","")))&amp;IF(AND($B1276&lt;&gt;"",$E1276=""),"報酬額が未入力／","")&amp;IF(N($U1276)&gt;0,"申請書に入力エラーが残っています／","")&amp;IF(AND($B1276&lt;&gt;"",$AQ1276&lt;&gt;""),IF(COUNTIFS($B$6:$B$3005,$B1276,$C$6:$C$3005,$C1276,$D$6:$D$3005,$D1276)&gt;1,"同じ月の請求が重複しています／",""),"")&amp;IF(AND(N($E1276)&gt;0,$AB1276&lt;&gt;"",$AB1276&lt;&gt;"×",$AE1276=0,$AD1276=""),"計算額が下限以下のため不支給／",""))</f>
        <v/>
      </c>
      <c r="AN1276" s="12" t="n"/>
      <c r="AO1276" s="14">
        <f>IF($AF1276="保留中",COUNTIF($AF$6:$AF1276,"保留中"),"")</f>
        <v/>
      </c>
      <c r="AP1276" s="14">
        <f>IF($AQ1276="","",IF(SUMPRODUCT(MAX((職員マスタ!$A$6:$A$405=$B1276)*(((職員マスタ!$G$6:$G$405="")+(職員マスタ!$G$6:$G$405&lt;=EOMONTH($AQ1276,0)))&gt;0)*(((職員マスタ!$H$6:$H$405="")+(職員マスタ!$H$6:$H$405&gt;=$AQ1276))&gt;0)*(ROW(職員マスタ!$A$6:$A$405)-5)))&gt;0,SUMPRODUCT(MAX((職員マスタ!$A$6:$A$405=$B1276)*(((職員マスタ!$G$6:$G$405="")+(職員マスタ!$G$6:$G$405&lt;=EOMONTH($AQ1276,0)))&gt;0)*(((職員マスタ!$H$6:$H$405="")+(職員マスタ!$H$6:$H$405&gt;=$AQ1276))&gt;0)*(ROW(職員マスタ!$A$6:$A$405)-5))),IFERROR(MATCH($B1276,職員マスタ!$A$6:$A$405,0),"")))</f>
        <v/>
      </c>
      <c r="AQ1276" s="16">
        <f>IF(OR($B1276="",$C1276="",$D1276=""),"",DATE($C1276+2018,$D1276,1))</f>
        <v/>
      </c>
    </row>
    <row r="1277">
      <c r="A1277" s="11" t="n"/>
      <c r="B1277" s="12" t="n"/>
      <c r="C1277" s="12" t="n"/>
      <c r="D1277" s="12" t="n"/>
      <c r="E1277" s="13" t="n"/>
      <c r="F1277" s="12" t="n"/>
      <c r="G1277" s="13" t="n"/>
      <c r="H1277" s="12" t="n"/>
      <c r="I1277" s="12" t="n"/>
      <c r="J1277" s="12" t="n"/>
      <c r="K1277" s="12" t="n"/>
      <c r="L1277" s="11" t="n"/>
      <c r="M1277" s="11" t="n"/>
      <c r="N1277" s="11" t="n"/>
      <c r="O1277" s="11" t="n"/>
      <c r="P1277" s="12" t="n"/>
      <c r="Q1277" s="11" t="n"/>
      <c r="R1277" s="12" t="n"/>
      <c r="S1277" s="11" t="n"/>
      <c r="T1277" s="12" t="n"/>
      <c r="U1277" s="12" t="n"/>
      <c r="V1277" s="12" t="n"/>
      <c r="W1277" s="13" t="n"/>
      <c r="X1277" s="14">
        <f>IF($AP1277="",IF($B1277="","",$H1277),IF(INDEX(職員マスタ!$B$6:$B$405,$AP1277)="",$H1277,INDEX(職員マスタ!$B$6:$B$405,$AP1277)))</f>
        <v/>
      </c>
      <c r="Y1277" s="14">
        <f>IF($AP1277="",IF($B1277="","",$R1277),IF(INDEX(職員マスタ!$C$6:$C$405,$AP1277)="",$R1277,INDEX(職員マスタ!$C$6:$C$405,$AP1277)))</f>
        <v/>
      </c>
      <c r="Z1277" s="14">
        <f>IF($AQ1277="","","R"&amp;$C1277&amp;"."&amp;$D1277)</f>
        <v/>
      </c>
      <c r="AA1277" s="15">
        <f>IF(IF($AP1277="",FALSE,INDEX(職員マスタ!$K$6:$K$405,$AP1277)&lt;&gt;""),INDEX(職員マスタ!$K$6:$K$405,$AP1277),IF(N($W1277)&gt;0,$W1277,""))</f>
        <v/>
      </c>
      <c r="AB1277" s="14">
        <f>IF(OR($E1277="",$AA1277=""),"",IF($E1277&gt;=$AA1277,"×",IF($E1277&gt;=$AA1277*設定!$C$5,"△","○")))</f>
        <v/>
      </c>
      <c r="AC1277" s="15">
        <f>IF($AB1277="","",IF($AB1277="×",0,IF($AB1277="○",ROUNDDOWN($E1277*設定!$C$4,0),ROUNDDOWN($E1277*ROUND((9*$AA1277-9*$E1277)/(10*$E1277),4),0))))</f>
        <v/>
      </c>
      <c r="AD1277" s="13" t="n"/>
      <c r="AE1277" s="15">
        <f>IF($B1277="","",IF($AD1277&lt;&gt;"",$AD1277,IF($AC1277="","",IF($AC1277&lt;=設定!$C$3,0,$AC1277))))</f>
        <v/>
      </c>
      <c r="AF1277" s="14">
        <f>IF($B1277="","",IF(AND($AG1277&lt;&gt;"",$AI1277="",$AL1277=""),"保留中",IF($AL1277&lt;&gt;"",IF(N($AE1277)&gt;0,"支給済","不支給"),IF($AE1277="","要確認",IF($AE1277=0,"不支給","未処理")))))</f>
        <v/>
      </c>
      <c r="AG1277" s="12" t="n"/>
      <c r="AH1277" s="11" t="n"/>
      <c r="AI1277" s="11" t="n"/>
      <c r="AJ1277" s="11" t="n"/>
      <c r="AK1277" s="14">
        <f>IF(AND($AF1277="保留中",$AH1277&lt;&gt;""),TODAY()-$AH1277,"")</f>
        <v/>
      </c>
      <c r="AL1277" s="12" t="n"/>
      <c r="AM1277" s="14">
        <f>IF($B1277="","",IF($AQ1277="","対象年月が未入力／","")&amp;IF($B1277="","",IF($AP1277="","職員マスタに未登録の職員番号／",IF($AA1277="","標準報酬月額が未登録／","")&amp;IF(AND($AQ1277&lt;&gt;"",OR(AND(INDEX(職員マスタ!$G$6:$G$405,$AP1277)&lt;&gt;"",INDEX(職員マスタ!$G$6:$G$405,$AP1277)&gt;EOMONTH($AQ1277,0)),AND(INDEX(職員マスタ!$H$6:$H$405,$AP1277)&lt;&gt;"",INDEX(職員マスタ!$H$6:$H$405,$AP1277)&lt;$AQ1277))),"対象月が時短期間外／","")&amp;IF(AND(INDEX(職員マスタ!$K$6:$K$405,$AP1277)&lt;&gt;"",N($W1277)&gt;0,INDEX(職員マスタ!$K$6:$K$405,$AP1277)&lt;&gt;$W1277),"標準報酬月額が申請書と相違（台帳"&amp;TEXT(INDEX(職員マスタ!$K$6:$K$405,$AP1277),"#,##0")&amp;"円／申請書"&amp;TEXT($W1277,"#,##0")&amp;"円）／","")&amp;IF(AND(INDEX(職員マスタ!$F$6:$F$405,$AP1277)&lt;&gt;"",$AQ1277&lt;&gt;"",INDEX(職員マスタ!$F$6:$F$405,$AP1277)&lt;$AQ1277),"対象月に子が2歳到達済／","")&amp;IF(AND($H1277&lt;&gt;"",INDEX(職員マスタ!$B$6:$B$405,$AP1277)&lt;&gt;"",SUBSTITUTE(SUBSTITUTE($H1277," ","")," ","")&lt;&gt;SUBSTITUTE(SUBSTITUTE(INDEX(職員マスタ!$B$6:$B$405,$AP1277)," ","")," ","")),"氏名がマスタと相違／","")&amp;IF(AND($Q1277&lt;&gt;"",INDEX(職員マスタ!$E$6:$E$405,$AP1277)&lt;&gt;"",$Q1277&lt;&gt;INDEX(職員マスタ!$E$6:$E$405,$AP1277)),"子の生年月日がマスタと相違／","")&amp;IF(AND($L1277&lt;&gt;"",INDEX(職員マスタ!$G$6:$G$405,$AP1277)&lt;&gt;"",$L1277&lt;&gt;INDEX(職員マスタ!$G$6:$G$405,$AP1277)),"時短開始日がマスタと相違／","")&amp;IF(AND($M1277&lt;&gt;"",INDEX(職員マスタ!$H$6:$H$405,$AP1277)&lt;&gt;"",$M1277&lt;&gt;INDEX(職員マスタ!$H$6:$H$405,$AP1277)),"時短終了日がマスタと相違／","")))&amp;IF(AND($B1277&lt;&gt;"",$E1277=""),"報酬額が未入力／","")&amp;IF(N($U1277)&gt;0,"申請書に入力エラーが残っています／","")&amp;IF(AND($B1277&lt;&gt;"",$AQ1277&lt;&gt;""),IF(COUNTIFS($B$6:$B$3005,$B1277,$C$6:$C$3005,$C1277,$D$6:$D$3005,$D1277)&gt;1,"同じ月の請求が重複しています／",""),"")&amp;IF(AND(N($E1277)&gt;0,$AB1277&lt;&gt;"",$AB1277&lt;&gt;"×",$AE1277=0,$AD1277=""),"計算額が下限以下のため不支給／",""))</f>
        <v/>
      </c>
      <c r="AN1277" s="12" t="n"/>
      <c r="AO1277" s="14">
        <f>IF($AF1277="保留中",COUNTIF($AF$6:$AF1277,"保留中"),"")</f>
        <v/>
      </c>
      <c r="AP1277" s="14">
        <f>IF($AQ1277="","",IF(SUMPRODUCT(MAX((職員マスタ!$A$6:$A$405=$B1277)*(((職員マスタ!$G$6:$G$405="")+(職員マスタ!$G$6:$G$405&lt;=EOMONTH($AQ1277,0)))&gt;0)*(((職員マスタ!$H$6:$H$405="")+(職員マスタ!$H$6:$H$405&gt;=$AQ1277))&gt;0)*(ROW(職員マスタ!$A$6:$A$405)-5)))&gt;0,SUMPRODUCT(MAX((職員マスタ!$A$6:$A$405=$B1277)*(((職員マスタ!$G$6:$G$405="")+(職員マスタ!$G$6:$G$405&lt;=EOMONTH($AQ1277,0)))&gt;0)*(((職員マスタ!$H$6:$H$405="")+(職員マスタ!$H$6:$H$405&gt;=$AQ1277))&gt;0)*(ROW(職員マスタ!$A$6:$A$405)-5))),IFERROR(MATCH($B1277,職員マスタ!$A$6:$A$405,0),"")))</f>
        <v/>
      </c>
      <c r="AQ1277" s="16">
        <f>IF(OR($B1277="",$C1277="",$D1277=""),"",DATE($C1277+2018,$D1277,1))</f>
        <v/>
      </c>
    </row>
    <row r="1278">
      <c r="A1278" s="11" t="n"/>
      <c r="B1278" s="12" t="n"/>
      <c r="C1278" s="12" t="n"/>
      <c r="D1278" s="12" t="n"/>
      <c r="E1278" s="13" t="n"/>
      <c r="F1278" s="12" t="n"/>
      <c r="G1278" s="13" t="n"/>
      <c r="H1278" s="12" t="n"/>
      <c r="I1278" s="12" t="n"/>
      <c r="J1278" s="12" t="n"/>
      <c r="K1278" s="12" t="n"/>
      <c r="L1278" s="11" t="n"/>
      <c r="M1278" s="11" t="n"/>
      <c r="N1278" s="11" t="n"/>
      <c r="O1278" s="11" t="n"/>
      <c r="P1278" s="12" t="n"/>
      <c r="Q1278" s="11" t="n"/>
      <c r="R1278" s="12" t="n"/>
      <c r="S1278" s="11" t="n"/>
      <c r="T1278" s="12" t="n"/>
      <c r="U1278" s="12" t="n"/>
      <c r="V1278" s="12" t="n"/>
      <c r="W1278" s="13" t="n"/>
      <c r="X1278" s="14">
        <f>IF($AP1278="",IF($B1278="","",$H1278),IF(INDEX(職員マスタ!$B$6:$B$405,$AP1278)="",$H1278,INDEX(職員マスタ!$B$6:$B$405,$AP1278)))</f>
        <v/>
      </c>
      <c r="Y1278" s="14">
        <f>IF($AP1278="",IF($B1278="","",$R1278),IF(INDEX(職員マスタ!$C$6:$C$405,$AP1278)="",$R1278,INDEX(職員マスタ!$C$6:$C$405,$AP1278)))</f>
        <v/>
      </c>
      <c r="Z1278" s="14">
        <f>IF($AQ1278="","","R"&amp;$C1278&amp;"."&amp;$D1278)</f>
        <v/>
      </c>
      <c r="AA1278" s="15">
        <f>IF(IF($AP1278="",FALSE,INDEX(職員マスタ!$K$6:$K$405,$AP1278)&lt;&gt;""),INDEX(職員マスタ!$K$6:$K$405,$AP1278),IF(N($W1278)&gt;0,$W1278,""))</f>
        <v/>
      </c>
      <c r="AB1278" s="14">
        <f>IF(OR($E1278="",$AA1278=""),"",IF($E1278&gt;=$AA1278,"×",IF($E1278&gt;=$AA1278*設定!$C$5,"△","○")))</f>
        <v/>
      </c>
      <c r="AC1278" s="15">
        <f>IF($AB1278="","",IF($AB1278="×",0,IF($AB1278="○",ROUNDDOWN($E1278*設定!$C$4,0),ROUNDDOWN($E1278*ROUND((9*$AA1278-9*$E1278)/(10*$E1278),4),0))))</f>
        <v/>
      </c>
      <c r="AD1278" s="13" t="n"/>
      <c r="AE1278" s="15">
        <f>IF($B1278="","",IF($AD1278&lt;&gt;"",$AD1278,IF($AC1278="","",IF($AC1278&lt;=設定!$C$3,0,$AC1278))))</f>
        <v/>
      </c>
      <c r="AF1278" s="14">
        <f>IF($B1278="","",IF(AND($AG1278&lt;&gt;"",$AI1278="",$AL1278=""),"保留中",IF($AL1278&lt;&gt;"",IF(N($AE1278)&gt;0,"支給済","不支給"),IF($AE1278="","要確認",IF($AE1278=0,"不支給","未処理")))))</f>
        <v/>
      </c>
      <c r="AG1278" s="12" t="n"/>
      <c r="AH1278" s="11" t="n"/>
      <c r="AI1278" s="11" t="n"/>
      <c r="AJ1278" s="11" t="n"/>
      <c r="AK1278" s="14">
        <f>IF(AND($AF1278="保留中",$AH1278&lt;&gt;""),TODAY()-$AH1278,"")</f>
        <v/>
      </c>
      <c r="AL1278" s="12" t="n"/>
      <c r="AM1278" s="14">
        <f>IF($B1278="","",IF($AQ1278="","対象年月が未入力／","")&amp;IF($B1278="","",IF($AP1278="","職員マスタに未登録の職員番号／",IF($AA1278="","標準報酬月額が未登録／","")&amp;IF(AND($AQ1278&lt;&gt;"",OR(AND(INDEX(職員マスタ!$G$6:$G$405,$AP1278)&lt;&gt;"",INDEX(職員マスタ!$G$6:$G$405,$AP1278)&gt;EOMONTH($AQ1278,0)),AND(INDEX(職員マスタ!$H$6:$H$405,$AP1278)&lt;&gt;"",INDEX(職員マスタ!$H$6:$H$405,$AP1278)&lt;$AQ1278))),"対象月が時短期間外／","")&amp;IF(AND(INDEX(職員マスタ!$K$6:$K$405,$AP1278)&lt;&gt;"",N($W1278)&gt;0,INDEX(職員マスタ!$K$6:$K$405,$AP1278)&lt;&gt;$W1278),"標準報酬月額が申請書と相違（台帳"&amp;TEXT(INDEX(職員マスタ!$K$6:$K$405,$AP1278),"#,##0")&amp;"円／申請書"&amp;TEXT($W1278,"#,##0")&amp;"円）／","")&amp;IF(AND(INDEX(職員マスタ!$F$6:$F$405,$AP1278)&lt;&gt;"",$AQ1278&lt;&gt;"",INDEX(職員マスタ!$F$6:$F$405,$AP1278)&lt;$AQ1278),"対象月に子が2歳到達済／","")&amp;IF(AND($H1278&lt;&gt;"",INDEX(職員マスタ!$B$6:$B$405,$AP1278)&lt;&gt;"",SUBSTITUTE(SUBSTITUTE($H1278," ","")," ","")&lt;&gt;SUBSTITUTE(SUBSTITUTE(INDEX(職員マスタ!$B$6:$B$405,$AP1278)," ","")," ","")),"氏名がマスタと相違／","")&amp;IF(AND($Q1278&lt;&gt;"",INDEX(職員マスタ!$E$6:$E$405,$AP1278)&lt;&gt;"",$Q1278&lt;&gt;INDEX(職員マスタ!$E$6:$E$405,$AP1278)),"子の生年月日がマスタと相違／","")&amp;IF(AND($L1278&lt;&gt;"",INDEX(職員マスタ!$G$6:$G$405,$AP1278)&lt;&gt;"",$L1278&lt;&gt;INDEX(職員マスタ!$G$6:$G$405,$AP1278)),"時短開始日がマスタと相違／","")&amp;IF(AND($M1278&lt;&gt;"",INDEX(職員マスタ!$H$6:$H$405,$AP1278)&lt;&gt;"",$M1278&lt;&gt;INDEX(職員マスタ!$H$6:$H$405,$AP1278)),"時短終了日がマスタと相違／","")))&amp;IF(AND($B1278&lt;&gt;"",$E1278=""),"報酬額が未入力／","")&amp;IF(N($U1278)&gt;0,"申請書に入力エラーが残っています／","")&amp;IF(AND($B1278&lt;&gt;"",$AQ1278&lt;&gt;""),IF(COUNTIFS($B$6:$B$3005,$B1278,$C$6:$C$3005,$C1278,$D$6:$D$3005,$D1278)&gt;1,"同じ月の請求が重複しています／",""),"")&amp;IF(AND(N($E1278)&gt;0,$AB1278&lt;&gt;"",$AB1278&lt;&gt;"×",$AE1278=0,$AD1278=""),"計算額が下限以下のため不支給／",""))</f>
        <v/>
      </c>
      <c r="AN1278" s="12" t="n"/>
      <c r="AO1278" s="14">
        <f>IF($AF1278="保留中",COUNTIF($AF$6:$AF1278,"保留中"),"")</f>
        <v/>
      </c>
      <c r="AP1278" s="14">
        <f>IF($AQ1278="","",IF(SUMPRODUCT(MAX((職員マスタ!$A$6:$A$405=$B1278)*(((職員マスタ!$G$6:$G$405="")+(職員マスタ!$G$6:$G$405&lt;=EOMONTH($AQ1278,0)))&gt;0)*(((職員マスタ!$H$6:$H$405="")+(職員マスタ!$H$6:$H$405&gt;=$AQ1278))&gt;0)*(ROW(職員マスタ!$A$6:$A$405)-5)))&gt;0,SUMPRODUCT(MAX((職員マスタ!$A$6:$A$405=$B1278)*(((職員マスタ!$G$6:$G$405="")+(職員マスタ!$G$6:$G$405&lt;=EOMONTH($AQ1278,0)))&gt;0)*(((職員マスタ!$H$6:$H$405="")+(職員マスタ!$H$6:$H$405&gt;=$AQ1278))&gt;0)*(ROW(職員マスタ!$A$6:$A$405)-5))),IFERROR(MATCH($B1278,職員マスタ!$A$6:$A$405,0),"")))</f>
        <v/>
      </c>
      <c r="AQ1278" s="16">
        <f>IF(OR($B1278="",$C1278="",$D1278=""),"",DATE($C1278+2018,$D1278,1))</f>
        <v/>
      </c>
    </row>
    <row r="1279">
      <c r="A1279" s="11" t="n"/>
      <c r="B1279" s="12" t="n"/>
      <c r="C1279" s="12" t="n"/>
      <c r="D1279" s="12" t="n"/>
      <c r="E1279" s="13" t="n"/>
      <c r="F1279" s="12" t="n"/>
      <c r="G1279" s="13" t="n"/>
      <c r="H1279" s="12" t="n"/>
      <c r="I1279" s="12" t="n"/>
      <c r="J1279" s="12" t="n"/>
      <c r="K1279" s="12" t="n"/>
      <c r="L1279" s="11" t="n"/>
      <c r="M1279" s="11" t="n"/>
      <c r="N1279" s="11" t="n"/>
      <c r="O1279" s="11" t="n"/>
      <c r="P1279" s="12" t="n"/>
      <c r="Q1279" s="11" t="n"/>
      <c r="R1279" s="12" t="n"/>
      <c r="S1279" s="11" t="n"/>
      <c r="T1279" s="12" t="n"/>
      <c r="U1279" s="12" t="n"/>
      <c r="V1279" s="12" t="n"/>
      <c r="W1279" s="13" t="n"/>
      <c r="X1279" s="14">
        <f>IF($AP1279="",IF($B1279="","",$H1279),IF(INDEX(職員マスタ!$B$6:$B$405,$AP1279)="",$H1279,INDEX(職員マスタ!$B$6:$B$405,$AP1279)))</f>
        <v/>
      </c>
      <c r="Y1279" s="14">
        <f>IF($AP1279="",IF($B1279="","",$R1279),IF(INDEX(職員マスタ!$C$6:$C$405,$AP1279)="",$R1279,INDEX(職員マスタ!$C$6:$C$405,$AP1279)))</f>
        <v/>
      </c>
      <c r="Z1279" s="14">
        <f>IF($AQ1279="","","R"&amp;$C1279&amp;"."&amp;$D1279)</f>
        <v/>
      </c>
      <c r="AA1279" s="15">
        <f>IF(IF($AP1279="",FALSE,INDEX(職員マスタ!$K$6:$K$405,$AP1279)&lt;&gt;""),INDEX(職員マスタ!$K$6:$K$405,$AP1279),IF(N($W1279)&gt;0,$W1279,""))</f>
        <v/>
      </c>
      <c r="AB1279" s="14">
        <f>IF(OR($E1279="",$AA1279=""),"",IF($E1279&gt;=$AA1279,"×",IF($E1279&gt;=$AA1279*設定!$C$5,"△","○")))</f>
        <v/>
      </c>
      <c r="AC1279" s="15">
        <f>IF($AB1279="","",IF($AB1279="×",0,IF($AB1279="○",ROUNDDOWN($E1279*設定!$C$4,0),ROUNDDOWN($E1279*ROUND((9*$AA1279-9*$E1279)/(10*$E1279),4),0))))</f>
        <v/>
      </c>
      <c r="AD1279" s="13" t="n"/>
      <c r="AE1279" s="15">
        <f>IF($B1279="","",IF($AD1279&lt;&gt;"",$AD1279,IF($AC1279="","",IF($AC1279&lt;=設定!$C$3,0,$AC1279))))</f>
        <v/>
      </c>
      <c r="AF1279" s="14">
        <f>IF($B1279="","",IF(AND($AG1279&lt;&gt;"",$AI1279="",$AL1279=""),"保留中",IF($AL1279&lt;&gt;"",IF(N($AE1279)&gt;0,"支給済","不支給"),IF($AE1279="","要確認",IF($AE1279=0,"不支給","未処理")))))</f>
        <v/>
      </c>
      <c r="AG1279" s="12" t="n"/>
      <c r="AH1279" s="11" t="n"/>
      <c r="AI1279" s="11" t="n"/>
      <c r="AJ1279" s="11" t="n"/>
      <c r="AK1279" s="14">
        <f>IF(AND($AF1279="保留中",$AH1279&lt;&gt;""),TODAY()-$AH1279,"")</f>
        <v/>
      </c>
      <c r="AL1279" s="12" t="n"/>
      <c r="AM1279" s="14">
        <f>IF($B1279="","",IF($AQ1279="","対象年月が未入力／","")&amp;IF($B1279="","",IF($AP1279="","職員マスタに未登録の職員番号／",IF($AA1279="","標準報酬月額が未登録／","")&amp;IF(AND($AQ1279&lt;&gt;"",OR(AND(INDEX(職員マスタ!$G$6:$G$405,$AP1279)&lt;&gt;"",INDEX(職員マスタ!$G$6:$G$405,$AP1279)&gt;EOMONTH($AQ1279,0)),AND(INDEX(職員マスタ!$H$6:$H$405,$AP1279)&lt;&gt;"",INDEX(職員マスタ!$H$6:$H$405,$AP1279)&lt;$AQ1279))),"対象月が時短期間外／","")&amp;IF(AND(INDEX(職員マスタ!$K$6:$K$405,$AP1279)&lt;&gt;"",N($W1279)&gt;0,INDEX(職員マスタ!$K$6:$K$405,$AP1279)&lt;&gt;$W1279),"標準報酬月額が申請書と相違（台帳"&amp;TEXT(INDEX(職員マスタ!$K$6:$K$405,$AP1279),"#,##0")&amp;"円／申請書"&amp;TEXT($W1279,"#,##0")&amp;"円）／","")&amp;IF(AND(INDEX(職員マスタ!$F$6:$F$405,$AP1279)&lt;&gt;"",$AQ1279&lt;&gt;"",INDEX(職員マスタ!$F$6:$F$405,$AP1279)&lt;$AQ1279),"対象月に子が2歳到達済／","")&amp;IF(AND($H1279&lt;&gt;"",INDEX(職員マスタ!$B$6:$B$405,$AP1279)&lt;&gt;"",SUBSTITUTE(SUBSTITUTE($H1279," ","")," ","")&lt;&gt;SUBSTITUTE(SUBSTITUTE(INDEX(職員マスタ!$B$6:$B$405,$AP1279)," ","")," ","")),"氏名がマスタと相違／","")&amp;IF(AND($Q1279&lt;&gt;"",INDEX(職員マスタ!$E$6:$E$405,$AP1279)&lt;&gt;"",$Q1279&lt;&gt;INDEX(職員マスタ!$E$6:$E$405,$AP1279)),"子の生年月日がマスタと相違／","")&amp;IF(AND($L1279&lt;&gt;"",INDEX(職員マスタ!$G$6:$G$405,$AP1279)&lt;&gt;"",$L1279&lt;&gt;INDEX(職員マスタ!$G$6:$G$405,$AP1279)),"時短開始日がマスタと相違／","")&amp;IF(AND($M1279&lt;&gt;"",INDEX(職員マスタ!$H$6:$H$405,$AP1279)&lt;&gt;"",$M1279&lt;&gt;INDEX(職員マスタ!$H$6:$H$405,$AP1279)),"時短終了日がマスタと相違／","")))&amp;IF(AND($B1279&lt;&gt;"",$E1279=""),"報酬額が未入力／","")&amp;IF(N($U1279)&gt;0,"申請書に入力エラーが残っています／","")&amp;IF(AND($B1279&lt;&gt;"",$AQ1279&lt;&gt;""),IF(COUNTIFS($B$6:$B$3005,$B1279,$C$6:$C$3005,$C1279,$D$6:$D$3005,$D1279)&gt;1,"同じ月の請求が重複しています／",""),"")&amp;IF(AND(N($E1279)&gt;0,$AB1279&lt;&gt;"",$AB1279&lt;&gt;"×",$AE1279=0,$AD1279=""),"計算額が下限以下のため不支給／",""))</f>
        <v/>
      </c>
      <c r="AN1279" s="12" t="n"/>
      <c r="AO1279" s="14">
        <f>IF($AF1279="保留中",COUNTIF($AF$6:$AF1279,"保留中"),"")</f>
        <v/>
      </c>
      <c r="AP1279" s="14">
        <f>IF($AQ1279="","",IF(SUMPRODUCT(MAX((職員マスタ!$A$6:$A$405=$B1279)*(((職員マスタ!$G$6:$G$405="")+(職員マスタ!$G$6:$G$405&lt;=EOMONTH($AQ1279,0)))&gt;0)*(((職員マスタ!$H$6:$H$405="")+(職員マスタ!$H$6:$H$405&gt;=$AQ1279))&gt;0)*(ROW(職員マスタ!$A$6:$A$405)-5)))&gt;0,SUMPRODUCT(MAX((職員マスタ!$A$6:$A$405=$B1279)*(((職員マスタ!$G$6:$G$405="")+(職員マスタ!$G$6:$G$405&lt;=EOMONTH($AQ1279,0)))&gt;0)*(((職員マスタ!$H$6:$H$405="")+(職員マスタ!$H$6:$H$405&gt;=$AQ1279))&gt;0)*(ROW(職員マスタ!$A$6:$A$405)-5))),IFERROR(MATCH($B1279,職員マスタ!$A$6:$A$405,0),"")))</f>
        <v/>
      </c>
      <c r="AQ1279" s="16">
        <f>IF(OR($B1279="",$C1279="",$D1279=""),"",DATE($C1279+2018,$D1279,1))</f>
        <v/>
      </c>
    </row>
    <row r="1280">
      <c r="A1280" s="11" t="n"/>
      <c r="B1280" s="12" t="n"/>
      <c r="C1280" s="12" t="n"/>
      <c r="D1280" s="12" t="n"/>
      <c r="E1280" s="13" t="n"/>
      <c r="F1280" s="12" t="n"/>
      <c r="G1280" s="13" t="n"/>
      <c r="H1280" s="12" t="n"/>
      <c r="I1280" s="12" t="n"/>
      <c r="J1280" s="12" t="n"/>
      <c r="K1280" s="12" t="n"/>
      <c r="L1280" s="11" t="n"/>
      <c r="M1280" s="11" t="n"/>
      <c r="N1280" s="11" t="n"/>
      <c r="O1280" s="11" t="n"/>
      <c r="P1280" s="12" t="n"/>
      <c r="Q1280" s="11" t="n"/>
      <c r="R1280" s="12" t="n"/>
      <c r="S1280" s="11" t="n"/>
      <c r="T1280" s="12" t="n"/>
      <c r="U1280" s="12" t="n"/>
      <c r="V1280" s="12" t="n"/>
      <c r="W1280" s="13" t="n"/>
      <c r="X1280" s="14">
        <f>IF($AP1280="",IF($B1280="","",$H1280),IF(INDEX(職員マスタ!$B$6:$B$405,$AP1280)="",$H1280,INDEX(職員マスタ!$B$6:$B$405,$AP1280)))</f>
        <v/>
      </c>
      <c r="Y1280" s="14">
        <f>IF($AP1280="",IF($B1280="","",$R1280),IF(INDEX(職員マスタ!$C$6:$C$405,$AP1280)="",$R1280,INDEX(職員マスタ!$C$6:$C$405,$AP1280)))</f>
        <v/>
      </c>
      <c r="Z1280" s="14">
        <f>IF($AQ1280="","","R"&amp;$C1280&amp;"."&amp;$D1280)</f>
        <v/>
      </c>
      <c r="AA1280" s="15">
        <f>IF(IF($AP1280="",FALSE,INDEX(職員マスタ!$K$6:$K$405,$AP1280)&lt;&gt;""),INDEX(職員マスタ!$K$6:$K$405,$AP1280),IF(N($W1280)&gt;0,$W1280,""))</f>
        <v/>
      </c>
      <c r="AB1280" s="14">
        <f>IF(OR($E1280="",$AA1280=""),"",IF($E1280&gt;=$AA1280,"×",IF($E1280&gt;=$AA1280*設定!$C$5,"△","○")))</f>
        <v/>
      </c>
      <c r="AC1280" s="15">
        <f>IF($AB1280="","",IF($AB1280="×",0,IF($AB1280="○",ROUNDDOWN($E1280*設定!$C$4,0),ROUNDDOWN($E1280*ROUND((9*$AA1280-9*$E1280)/(10*$E1280),4),0))))</f>
        <v/>
      </c>
      <c r="AD1280" s="13" t="n"/>
      <c r="AE1280" s="15">
        <f>IF($B1280="","",IF($AD1280&lt;&gt;"",$AD1280,IF($AC1280="","",IF($AC1280&lt;=設定!$C$3,0,$AC1280))))</f>
        <v/>
      </c>
      <c r="AF1280" s="14">
        <f>IF($B1280="","",IF(AND($AG1280&lt;&gt;"",$AI1280="",$AL1280=""),"保留中",IF($AL1280&lt;&gt;"",IF(N($AE1280)&gt;0,"支給済","不支給"),IF($AE1280="","要確認",IF($AE1280=0,"不支給","未処理")))))</f>
        <v/>
      </c>
      <c r="AG1280" s="12" t="n"/>
      <c r="AH1280" s="11" t="n"/>
      <c r="AI1280" s="11" t="n"/>
      <c r="AJ1280" s="11" t="n"/>
      <c r="AK1280" s="14">
        <f>IF(AND($AF1280="保留中",$AH1280&lt;&gt;""),TODAY()-$AH1280,"")</f>
        <v/>
      </c>
      <c r="AL1280" s="12" t="n"/>
      <c r="AM1280" s="14">
        <f>IF($B1280="","",IF($AQ1280="","対象年月が未入力／","")&amp;IF($B1280="","",IF($AP1280="","職員マスタに未登録の職員番号／",IF($AA1280="","標準報酬月額が未登録／","")&amp;IF(AND($AQ1280&lt;&gt;"",OR(AND(INDEX(職員マスタ!$G$6:$G$405,$AP1280)&lt;&gt;"",INDEX(職員マスタ!$G$6:$G$405,$AP1280)&gt;EOMONTH($AQ1280,0)),AND(INDEX(職員マスタ!$H$6:$H$405,$AP1280)&lt;&gt;"",INDEX(職員マスタ!$H$6:$H$405,$AP1280)&lt;$AQ1280))),"対象月が時短期間外／","")&amp;IF(AND(INDEX(職員マスタ!$K$6:$K$405,$AP1280)&lt;&gt;"",N($W1280)&gt;0,INDEX(職員マスタ!$K$6:$K$405,$AP1280)&lt;&gt;$W1280),"標準報酬月額が申請書と相違（台帳"&amp;TEXT(INDEX(職員マスタ!$K$6:$K$405,$AP1280),"#,##0")&amp;"円／申請書"&amp;TEXT($W1280,"#,##0")&amp;"円）／","")&amp;IF(AND(INDEX(職員マスタ!$F$6:$F$405,$AP1280)&lt;&gt;"",$AQ1280&lt;&gt;"",INDEX(職員マスタ!$F$6:$F$405,$AP1280)&lt;$AQ1280),"対象月に子が2歳到達済／","")&amp;IF(AND($H1280&lt;&gt;"",INDEX(職員マスタ!$B$6:$B$405,$AP1280)&lt;&gt;"",SUBSTITUTE(SUBSTITUTE($H1280," ","")," ","")&lt;&gt;SUBSTITUTE(SUBSTITUTE(INDEX(職員マスタ!$B$6:$B$405,$AP1280)," ","")," ","")),"氏名がマスタと相違／","")&amp;IF(AND($Q1280&lt;&gt;"",INDEX(職員マスタ!$E$6:$E$405,$AP1280)&lt;&gt;"",$Q1280&lt;&gt;INDEX(職員マスタ!$E$6:$E$405,$AP1280)),"子の生年月日がマスタと相違／","")&amp;IF(AND($L1280&lt;&gt;"",INDEX(職員マスタ!$G$6:$G$405,$AP1280)&lt;&gt;"",$L1280&lt;&gt;INDEX(職員マスタ!$G$6:$G$405,$AP1280)),"時短開始日がマスタと相違／","")&amp;IF(AND($M1280&lt;&gt;"",INDEX(職員マスタ!$H$6:$H$405,$AP1280)&lt;&gt;"",$M1280&lt;&gt;INDEX(職員マスタ!$H$6:$H$405,$AP1280)),"時短終了日がマスタと相違／","")))&amp;IF(AND($B1280&lt;&gt;"",$E1280=""),"報酬額が未入力／","")&amp;IF(N($U1280)&gt;0,"申請書に入力エラーが残っています／","")&amp;IF(AND($B1280&lt;&gt;"",$AQ1280&lt;&gt;""),IF(COUNTIFS($B$6:$B$3005,$B1280,$C$6:$C$3005,$C1280,$D$6:$D$3005,$D1280)&gt;1,"同じ月の請求が重複しています／",""),"")&amp;IF(AND(N($E1280)&gt;0,$AB1280&lt;&gt;"",$AB1280&lt;&gt;"×",$AE1280=0,$AD1280=""),"計算額が下限以下のため不支給／",""))</f>
        <v/>
      </c>
      <c r="AN1280" s="12" t="n"/>
      <c r="AO1280" s="14">
        <f>IF($AF1280="保留中",COUNTIF($AF$6:$AF1280,"保留中"),"")</f>
        <v/>
      </c>
      <c r="AP1280" s="14">
        <f>IF($AQ1280="","",IF(SUMPRODUCT(MAX((職員マスタ!$A$6:$A$405=$B1280)*(((職員マスタ!$G$6:$G$405="")+(職員マスタ!$G$6:$G$405&lt;=EOMONTH($AQ1280,0)))&gt;0)*(((職員マスタ!$H$6:$H$405="")+(職員マスタ!$H$6:$H$405&gt;=$AQ1280))&gt;0)*(ROW(職員マスタ!$A$6:$A$405)-5)))&gt;0,SUMPRODUCT(MAX((職員マスタ!$A$6:$A$405=$B1280)*(((職員マスタ!$G$6:$G$405="")+(職員マスタ!$G$6:$G$405&lt;=EOMONTH($AQ1280,0)))&gt;0)*(((職員マスタ!$H$6:$H$405="")+(職員マスタ!$H$6:$H$405&gt;=$AQ1280))&gt;0)*(ROW(職員マスタ!$A$6:$A$405)-5))),IFERROR(MATCH($B1280,職員マスタ!$A$6:$A$405,0),"")))</f>
        <v/>
      </c>
      <c r="AQ1280" s="16">
        <f>IF(OR($B1280="",$C1280="",$D1280=""),"",DATE($C1280+2018,$D1280,1))</f>
        <v/>
      </c>
    </row>
    <row r="1281">
      <c r="A1281" s="11" t="n"/>
      <c r="B1281" s="12" t="n"/>
      <c r="C1281" s="12" t="n"/>
      <c r="D1281" s="12" t="n"/>
      <c r="E1281" s="13" t="n"/>
      <c r="F1281" s="12" t="n"/>
      <c r="G1281" s="13" t="n"/>
      <c r="H1281" s="12" t="n"/>
      <c r="I1281" s="12" t="n"/>
      <c r="J1281" s="12" t="n"/>
      <c r="K1281" s="12" t="n"/>
      <c r="L1281" s="11" t="n"/>
      <c r="M1281" s="11" t="n"/>
      <c r="N1281" s="11" t="n"/>
      <c r="O1281" s="11" t="n"/>
      <c r="P1281" s="12" t="n"/>
      <c r="Q1281" s="11" t="n"/>
      <c r="R1281" s="12" t="n"/>
      <c r="S1281" s="11" t="n"/>
      <c r="T1281" s="12" t="n"/>
      <c r="U1281" s="12" t="n"/>
      <c r="V1281" s="12" t="n"/>
      <c r="W1281" s="13" t="n"/>
      <c r="X1281" s="14">
        <f>IF($AP1281="",IF($B1281="","",$H1281),IF(INDEX(職員マスタ!$B$6:$B$405,$AP1281)="",$H1281,INDEX(職員マスタ!$B$6:$B$405,$AP1281)))</f>
        <v/>
      </c>
      <c r="Y1281" s="14">
        <f>IF($AP1281="",IF($B1281="","",$R1281),IF(INDEX(職員マスタ!$C$6:$C$405,$AP1281)="",$R1281,INDEX(職員マスタ!$C$6:$C$405,$AP1281)))</f>
        <v/>
      </c>
      <c r="Z1281" s="14">
        <f>IF($AQ1281="","","R"&amp;$C1281&amp;"."&amp;$D1281)</f>
        <v/>
      </c>
      <c r="AA1281" s="15">
        <f>IF(IF($AP1281="",FALSE,INDEX(職員マスタ!$K$6:$K$405,$AP1281)&lt;&gt;""),INDEX(職員マスタ!$K$6:$K$405,$AP1281),IF(N($W1281)&gt;0,$W1281,""))</f>
        <v/>
      </c>
      <c r="AB1281" s="14">
        <f>IF(OR($E1281="",$AA1281=""),"",IF($E1281&gt;=$AA1281,"×",IF($E1281&gt;=$AA1281*設定!$C$5,"△","○")))</f>
        <v/>
      </c>
      <c r="AC1281" s="15">
        <f>IF($AB1281="","",IF($AB1281="×",0,IF($AB1281="○",ROUNDDOWN($E1281*設定!$C$4,0),ROUNDDOWN($E1281*ROUND((9*$AA1281-9*$E1281)/(10*$E1281),4),0))))</f>
        <v/>
      </c>
      <c r="AD1281" s="13" t="n"/>
      <c r="AE1281" s="15">
        <f>IF($B1281="","",IF($AD1281&lt;&gt;"",$AD1281,IF($AC1281="","",IF($AC1281&lt;=設定!$C$3,0,$AC1281))))</f>
        <v/>
      </c>
      <c r="AF1281" s="14">
        <f>IF($B1281="","",IF(AND($AG1281&lt;&gt;"",$AI1281="",$AL1281=""),"保留中",IF($AL1281&lt;&gt;"",IF(N($AE1281)&gt;0,"支給済","不支給"),IF($AE1281="","要確認",IF($AE1281=0,"不支給","未処理")))))</f>
        <v/>
      </c>
      <c r="AG1281" s="12" t="n"/>
      <c r="AH1281" s="11" t="n"/>
      <c r="AI1281" s="11" t="n"/>
      <c r="AJ1281" s="11" t="n"/>
      <c r="AK1281" s="14">
        <f>IF(AND($AF1281="保留中",$AH1281&lt;&gt;""),TODAY()-$AH1281,"")</f>
        <v/>
      </c>
      <c r="AL1281" s="12" t="n"/>
      <c r="AM1281" s="14">
        <f>IF($B1281="","",IF($AQ1281="","対象年月が未入力／","")&amp;IF($B1281="","",IF($AP1281="","職員マスタに未登録の職員番号／",IF($AA1281="","標準報酬月額が未登録／","")&amp;IF(AND($AQ1281&lt;&gt;"",OR(AND(INDEX(職員マスタ!$G$6:$G$405,$AP1281)&lt;&gt;"",INDEX(職員マスタ!$G$6:$G$405,$AP1281)&gt;EOMONTH($AQ1281,0)),AND(INDEX(職員マスタ!$H$6:$H$405,$AP1281)&lt;&gt;"",INDEX(職員マスタ!$H$6:$H$405,$AP1281)&lt;$AQ1281))),"対象月が時短期間外／","")&amp;IF(AND(INDEX(職員マスタ!$K$6:$K$405,$AP1281)&lt;&gt;"",N($W1281)&gt;0,INDEX(職員マスタ!$K$6:$K$405,$AP1281)&lt;&gt;$W1281),"標準報酬月額が申請書と相違（台帳"&amp;TEXT(INDEX(職員マスタ!$K$6:$K$405,$AP1281),"#,##0")&amp;"円／申請書"&amp;TEXT($W1281,"#,##0")&amp;"円）／","")&amp;IF(AND(INDEX(職員マスタ!$F$6:$F$405,$AP1281)&lt;&gt;"",$AQ1281&lt;&gt;"",INDEX(職員マスタ!$F$6:$F$405,$AP1281)&lt;$AQ1281),"対象月に子が2歳到達済／","")&amp;IF(AND($H1281&lt;&gt;"",INDEX(職員マスタ!$B$6:$B$405,$AP1281)&lt;&gt;"",SUBSTITUTE(SUBSTITUTE($H1281," ","")," ","")&lt;&gt;SUBSTITUTE(SUBSTITUTE(INDEX(職員マスタ!$B$6:$B$405,$AP1281)," ","")," ","")),"氏名がマスタと相違／","")&amp;IF(AND($Q1281&lt;&gt;"",INDEX(職員マスタ!$E$6:$E$405,$AP1281)&lt;&gt;"",$Q1281&lt;&gt;INDEX(職員マスタ!$E$6:$E$405,$AP1281)),"子の生年月日がマスタと相違／","")&amp;IF(AND($L1281&lt;&gt;"",INDEX(職員マスタ!$G$6:$G$405,$AP1281)&lt;&gt;"",$L1281&lt;&gt;INDEX(職員マスタ!$G$6:$G$405,$AP1281)),"時短開始日がマスタと相違／","")&amp;IF(AND($M1281&lt;&gt;"",INDEX(職員マスタ!$H$6:$H$405,$AP1281)&lt;&gt;"",$M1281&lt;&gt;INDEX(職員マスタ!$H$6:$H$405,$AP1281)),"時短終了日がマスタと相違／","")))&amp;IF(AND($B1281&lt;&gt;"",$E1281=""),"報酬額が未入力／","")&amp;IF(N($U1281)&gt;0,"申請書に入力エラーが残っています／","")&amp;IF(AND($B1281&lt;&gt;"",$AQ1281&lt;&gt;""),IF(COUNTIFS($B$6:$B$3005,$B1281,$C$6:$C$3005,$C1281,$D$6:$D$3005,$D1281)&gt;1,"同じ月の請求が重複しています／",""),"")&amp;IF(AND(N($E1281)&gt;0,$AB1281&lt;&gt;"",$AB1281&lt;&gt;"×",$AE1281=0,$AD1281=""),"計算額が下限以下のため不支給／",""))</f>
        <v/>
      </c>
      <c r="AN1281" s="12" t="n"/>
      <c r="AO1281" s="14">
        <f>IF($AF1281="保留中",COUNTIF($AF$6:$AF1281,"保留中"),"")</f>
        <v/>
      </c>
      <c r="AP1281" s="14">
        <f>IF($AQ1281="","",IF(SUMPRODUCT(MAX((職員マスタ!$A$6:$A$405=$B1281)*(((職員マスタ!$G$6:$G$405="")+(職員マスタ!$G$6:$G$405&lt;=EOMONTH($AQ1281,0)))&gt;0)*(((職員マスタ!$H$6:$H$405="")+(職員マスタ!$H$6:$H$405&gt;=$AQ1281))&gt;0)*(ROW(職員マスタ!$A$6:$A$405)-5)))&gt;0,SUMPRODUCT(MAX((職員マスタ!$A$6:$A$405=$B1281)*(((職員マスタ!$G$6:$G$405="")+(職員マスタ!$G$6:$G$405&lt;=EOMONTH($AQ1281,0)))&gt;0)*(((職員マスタ!$H$6:$H$405="")+(職員マスタ!$H$6:$H$405&gt;=$AQ1281))&gt;0)*(ROW(職員マスタ!$A$6:$A$405)-5))),IFERROR(MATCH($B1281,職員マスタ!$A$6:$A$405,0),"")))</f>
        <v/>
      </c>
      <c r="AQ1281" s="16">
        <f>IF(OR($B1281="",$C1281="",$D1281=""),"",DATE($C1281+2018,$D1281,1))</f>
        <v/>
      </c>
    </row>
    <row r="1282">
      <c r="A1282" s="11" t="n"/>
      <c r="B1282" s="12" t="n"/>
      <c r="C1282" s="12" t="n"/>
      <c r="D1282" s="12" t="n"/>
      <c r="E1282" s="13" t="n"/>
      <c r="F1282" s="12" t="n"/>
      <c r="G1282" s="13" t="n"/>
      <c r="H1282" s="12" t="n"/>
      <c r="I1282" s="12" t="n"/>
      <c r="J1282" s="12" t="n"/>
      <c r="K1282" s="12" t="n"/>
      <c r="L1282" s="11" t="n"/>
      <c r="M1282" s="11" t="n"/>
      <c r="N1282" s="11" t="n"/>
      <c r="O1282" s="11" t="n"/>
      <c r="P1282" s="12" t="n"/>
      <c r="Q1282" s="11" t="n"/>
      <c r="R1282" s="12" t="n"/>
      <c r="S1282" s="11" t="n"/>
      <c r="T1282" s="12" t="n"/>
      <c r="U1282" s="12" t="n"/>
      <c r="V1282" s="12" t="n"/>
      <c r="W1282" s="13" t="n"/>
      <c r="X1282" s="14">
        <f>IF($AP1282="",IF($B1282="","",$H1282),IF(INDEX(職員マスタ!$B$6:$B$405,$AP1282)="",$H1282,INDEX(職員マスタ!$B$6:$B$405,$AP1282)))</f>
        <v/>
      </c>
      <c r="Y1282" s="14">
        <f>IF($AP1282="",IF($B1282="","",$R1282),IF(INDEX(職員マスタ!$C$6:$C$405,$AP1282)="",$R1282,INDEX(職員マスタ!$C$6:$C$405,$AP1282)))</f>
        <v/>
      </c>
      <c r="Z1282" s="14">
        <f>IF($AQ1282="","","R"&amp;$C1282&amp;"."&amp;$D1282)</f>
        <v/>
      </c>
      <c r="AA1282" s="15">
        <f>IF(IF($AP1282="",FALSE,INDEX(職員マスタ!$K$6:$K$405,$AP1282)&lt;&gt;""),INDEX(職員マスタ!$K$6:$K$405,$AP1282),IF(N($W1282)&gt;0,$W1282,""))</f>
        <v/>
      </c>
      <c r="AB1282" s="14">
        <f>IF(OR($E1282="",$AA1282=""),"",IF($E1282&gt;=$AA1282,"×",IF($E1282&gt;=$AA1282*設定!$C$5,"△","○")))</f>
        <v/>
      </c>
      <c r="AC1282" s="15">
        <f>IF($AB1282="","",IF($AB1282="×",0,IF($AB1282="○",ROUNDDOWN($E1282*設定!$C$4,0),ROUNDDOWN($E1282*ROUND((9*$AA1282-9*$E1282)/(10*$E1282),4),0))))</f>
        <v/>
      </c>
      <c r="AD1282" s="13" t="n"/>
      <c r="AE1282" s="15">
        <f>IF($B1282="","",IF($AD1282&lt;&gt;"",$AD1282,IF($AC1282="","",IF($AC1282&lt;=設定!$C$3,0,$AC1282))))</f>
        <v/>
      </c>
      <c r="AF1282" s="14">
        <f>IF($B1282="","",IF(AND($AG1282&lt;&gt;"",$AI1282="",$AL1282=""),"保留中",IF($AL1282&lt;&gt;"",IF(N($AE1282)&gt;0,"支給済","不支給"),IF($AE1282="","要確認",IF($AE1282=0,"不支給","未処理")))))</f>
        <v/>
      </c>
      <c r="AG1282" s="12" t="n"/>
      <c r="AH1282" s="11" t="n"/>
      <c r="AI1282" s="11" t="n"/>
      <c r="AJ1282" s="11" t="n"/>
      <c r="AK1282" s="14">
        <f>IF(AND($AF1282="保留中",$AH1282&lt;&gt;""),TODAY()-$AH1282,"")</f>
        <v/>
      </c>
      <c r="AL1282" s="12" t="n"/>
      <c r="AM1282" s="14">
        <f>IF($B1282="","",IF($AQ1282="","対象年月が未入力／","")&amp;IF($B1282="","",IF($AP1282="","職員マスタに未登録の職員番号／",IF($AA1282="","標準報酬月額が未登録／","")&amp;IF(AND($AQ1282&lt;&gt;"",OR(AND(INDEX(職員マスタ!$G$6:$G$405,$AP1282)&lt;&gt;"",INDEX(職員マスタ!$G$6:$G$405,$AP1282)&gt;EOMONTH($AQ1282,0)),AND(INDEX(職員マスタ!$H$6:$H$405,$AP1282)&lt;&gt;"",INDEX(職員マスタ!$H$6:$H$405,$AP1282)&lt;$AQ1282))),"対象月が時短期間外／","")&amp;IF(AND(INDEX(職員マスタ!$K$6:$K$405,$AP1282)&lt;&gt;"",N($W1282)&gt;0,INDEX(職員マスタ!$K$6:$K$405,$AP1282)&lt;&gt;$W1282),"標準報酬月額が申請書と相違（台帳"&amp;TEXT(INDEX(職員マスタ!$K$6:$K$405,$AP1282),"#,##0")&amp;"円／申請書"&amp;TEXT($W1282,"#,##0")&amp;"円）／","")&amp;IF(AND(INDEX(職員マスタ!$F$6:$F$405,$AP1282)&lt;&gt;"",$AQ1282&lt;&gt;"",INDEX(職員マスタ!$F$6:$F$405,$AP1282)&lt;$AQ1282),"対象月に子が2歳到達済／","")&amp;IF(AND($H1282&lt;&gt;"",INDEX(職員マスタ!$B$6:$B$405,$AP1282)&lt;&gt;"",SUBSTITUTE(SUBSTITUTE($H1282," ","")," ","")&lt;&gt;SUBSTITUTE(SUBSTITUTE(INDEX(職員マスタ!$B$6:$B$405,$AP1282)," ","")," ","")),"氏名がマスタと相違／","")&amp;IF(AND($Q1282&lt;&gt;"",INDEX(職員マスタ!$E$6:$E$405,$AP1282)&lt;&gt;"",$Q1282&lt;&gt;INDEX(職員マスタ!$E$6:$E$405,$AP1282)),"子の生年月日がマスタと相違／","")&amp;IF(AND($L1282&lt;&gt;"",INDEX(職員マスタ!$G$6:$G$405,$AP1282)&lt;&gt;"",$L1282&lt;&gt;INDEX(職員マスタ!$G$6:$G$405,$AP1282)),"時短開始日がマスタと相違／","")&amp;IF(AND($M1282&lt;&gt;"",INDEX(職員マスタ!$H$6:$H$405,$AP1282)&lt;&gt;"",$M1282&lt;&gt;INDEX(職員マスタ!$H$6:$H$405,$AP1282)),"時短終了日がマスタと相違／","")))&amp;IF(AND($B1282&lt;&gt;"",$E1282=""),"報酬額が未入力／","")&amp;IF(N($U1282)&gt;0,"申請書に入力エラーが残っています／","")&amp;IF(AND($B1282&lt;&gt;"",$AQ1282&lt;&gt;""),IF(COUNTIFS($B$6:$B$3005,$B1282,$C$6:$C$3005,$C1282,$D$6:$D$3005,$D1282)&gt;1,"同じ月の請求が重複しています／",""),"")&amp;IF(AND(N($E1282)&gt;0,$AB1282&lt;&gt;"",$AB1282&lt;&gt;"×",$AE1282=0,$AD1282=""),"計算額が下限以下のため不支給／",""))</f>
        <v/>
      </c>
      <c r="AN1282" s="12" t="n"/>
      <c r="AO1282" s="14">
        <f>IF($AF1282="保留中",COUNTIF($AF$6:$AF1282,"保留中"),"")</f>
        <v/>
      </c>
      <c r="AP1282" s="14">
        <f>IF($AQ1282="","",IF(SUMPRODUCT(MAX((職員マスタ!$A$6:$A$405=$B1282)*(((職員マスタ!$G$6:$G$405="")+(職員マスタ!$G$6:$G$405&lt;=EOMONTH($AQ1282,0)))&gt;0)*(((職員マスタ!$H$6:$H$405="")+(職員マスタ!$H$6:$H$405&gt;=$AQ1282))&gt;0)*(ROW(職員マスタ!$A$6:$A$405)-5)))&gt;0,SUMPRODUCT(MAX((職員マスタ!$A$6:$A$405=$B1282)*(((職員マスタ!$G$6:$G$405="")+(職員マスタ!$G$6:$G$405&lt;=EOMONTH($AQ1282,0)))&gt;0)*(((職員マスタ!$H$6:$H$405="")+(職員マスタ!$H$6:$H$405&gt;=$AQ1282))&gt;0)*(ROW(職員マスタ!$A$6:$A$405)-5))),IFERROR(MATCH($B1282,職員マスタ!$A$6:$A$405,0),"")))</f>
        <v/>
      </c>
      <c r="AQ1282" s="16">
        <f>IF(OR($B1282="",$C1282="",$D1282=""),"",DATE($C1282+2018,$D1282,1))</f>
        <v/>
      </c>
    </row>
    <row r="1283">
      <c r="A1283" s="11" t="n"/>
      <c r="B1283" s="12" t="n"/>
      <c r="C1283" s="12" t="n"/>
      <c r="D1283" s="12" t="n"/>
      <c r="E1283" s="13" t="n"/>
      <c r="F1283" s="12" t="n"/>
      <c r="G1283" s="13" t="n"/>
      <c r="H1283" s="12" t="n"/>
      <c r="I1283" s="12" t="n"/>
      <c r="J1283" s="12" t="n"/>
      <c r="K1283" s="12" t="n"/>
      <c r="L1283" s="11" t="n"/>
      <c r="M1283" s="11" t="n"/>
      <c r="N1283" s="11" t="n"/>
      <c r="O1283" s="11" t="n"/>
      <c r="P1283" s="12" t="n"/>
      <c r="Q1283" s="11" t="n"/>
      <c r="R1283" s="12" t="n"/>
      <c r="S1283" s="11" t="n"/>
      <c r="T1283" s="12" t="n"/>
      <c r="U1283" s="12" t="n"/>
      <c r="V1283" s="12" t="n"/>
      <c r="W1283" s="13" t="n"/>
      <c r="X1283" s="14">
        <f>IF($AP1283="",IF($B1283="","",$H1283),IF(INDEX(職員マスタ!$B$6:$B$405,$AP1283)="",$H1283,INDEX(職員マスタ!$B$6:$B$405,$AP1283)))</f>
        <v/>
      </c>
      <c r="Y1283" s="14">
        <f>IF($AP1283="",IF($B1283="","",$R1283),IF(INDEX(職員マスタ!$C$6:$C$405,$AP1283)="",$R1283,INDEX(職員マスタ!$C$6:$C$405,$AP1283)))</f>
        <v/>
      </c>
      <c r="Z1283" s="14">
        <f>IF($AQ1283="","","R"&amp;$C1283&amp;"."&amp;$D1283)</f>
        <v/>
      </c>
      <c r="AA1283" s="15">
        <f>IF(IF($AP1283="",FALSE,INDEX(職員マスタ!$K$6:$K$405,$AP1283)&lt;&gt;""),INDEX(職員マスタ!$K$6:$K$405,$AP1283),IF(N($W1283)&gt;0,$W1283,""))</f>
        <v/>
      </c>
      <c r="AB1283" s="14">
        <f>IF(OR($E1283="",$AA1283=""),"",IF($E1283&gt;=$AA1283,"×",IF($E1283&gt;=$AA1283*設定!$C$5,"△","○")))</f>
        <v/>
      </c>
      <c r="AC1283" s="15">
        <f>IF($AB1283="","",IF($AB1283="×",0,IF($AB1283="○",ROUNDDOWN($E1283*設定!$C$4,0),ROUNDDOWN($E1283*ROUND((9*$AA1283-9*$E1283)/(10*$E1283),4),0))))</f>
        <v/>
      </c>
      <c r="AD1283" s="13" t="n"/>
      <c r="AE1283" s="15">
        <f>IF($B1283="","",IF($AD1283&lt;&gt;"",$AD1283,IF($AC1283="","",IF($AC1283&lt;=設定!$C$3,0,$AC1283))))</f>
        <v/>
      </c>
      <c r="AF1283" s="14">
        <f>IF($B1283="","",IF(AND($AG1283&lt;&gt;"",$AI1283="",$AL1283=""),"保留中",IF($AL1283&lt;&gt;"",IF(N($AE1283)&gt;0,"支給済","不支給"),IF($AE1283="","要確認",IF($AE1283=0,"不支給","未処理")))))</f>
        <v/>
      </c>
      <c r="AG1283" s="12" t="n"/>
      <c r="AH1283" s="11" t="n"/>
      <c r="AI1283" s="11" t="n"/>
      <c r="AJ1283" s="11" t="n"/>
      <c r="AK1283" s="14">
        <f>IF(AND($AF1283="保留中",$AH1283&lt;&gt;""),TODAY()-$AH1283,"")</f>
        <v/>
      </c>
      <c r="AL1283" s="12" t="n"/>
      <c r="AM1283" s="14">
        <f>IF($B1283="","",IF($AQ1283="","対象年月が未入力／","")&amp;IF($B1283="","",IF($AP1283="","職員マスタに未登録の職員番号／",IF($AA1283="","標準報酬月額が未登録／","")&amp;IF(AND($AQ1283&lt;&gt;"",OR(AND(INDEX(職員マスタ!$G$6:$G$405,$AP1283)&lt;&gt;"",INDEX(職員マスタ!$G$6:$G$405,$AP1283)&gt;EOMONTH($AQ1283,0)),AND(INDEX(職員マスタ!$H$6:$H$405,$AP1283)&lt;&gt;"",INDEX(職員マスタ!$H$6:$H$405,$AP1283)&lt;$AQ1283))),"対象月が時短期間外／","")&amp;IF(AND(INDEX(職員マスタ!$K$6:$K$405,$AP1283)&lt;&gt;"",N($W1283)&gt;0,INDEX(職員マスタ!$K$6:$K$405,$AP1283)&lt;&gt;$W1283),"標準報酬月額が申請書と相違（台帳"&amp;TEXT(INDEX(職員マスタ!$K$6:$K$405,$AP1283),"#,##0")&amp;"円／申請書"&amp;TEXT($W1283,"#,##0")&amp;"円）／","")&amp;IF(AND(INDEX(職員マスタ!$F$6:$F$405,$AP1283)&lt;&gt;"",$AQ1283&lt;&gt;"",INDEX(職員マスタ!$F$6:$F$405,$AP1283)&lt;$AQ1283),"対象月に子が2歳到達済／","")&amp;IF(AND($H1283&lt;&gt;"",INDEX(職員マスタ!$B$6:$B$405,$AP1283)&lt;&gt;"",SUBSTITUTE(SUBSTITUTE($H1283," ","")," ","")&lt;&gt;SUBSTITUTE(SUBSTITUTE(INDEX(職員マスタ!$B$6:$B$405,$AP1283)," ","")," ","")),"氏名がマスタと相違／","")&amp;IF(AND($Q1283&lt;&gt;"",INDEX(職員マスタ!$E$6:$E$405,$AP1283)&lt;&gt;"",$Q1283&lt;&gt;INDEX(職員マスタ!$E$6:$E$405,$AP1283)),"子の生年月日がマスタと相違／","")&amp;IF(AND($L1283&lt;&gt;"",INDEX(職員マスタ!$G$6:$G$405,$AP1283)&lt;&gt;"",$L1283&lt;&gt;INDEX(職員マスタ!$G$6:$G$405,$AP1283)),"時短開始日がマスタと相違／","")&amp;IF(AND($M1283&lt;&gt;"",INDEX(職員マスタ!$H$6:$H$405,$AP1283)&lt;&gt;"",$M1283&lt;&gt;INDEX(職員マスタ!$H$6:$H$405,$AP1283)),"時短終了日がマスタと相違／","")))&amp;IF(AND($B1283&lt;&gt;"",$E1283=""),"報酬額が未入力／","")&amp;IF(N($U1283)&gt;0,"申請書に入力エラーが残っています／","")&amp;IF(AND($B1283&lt;&gt;"",$AQ1283&lt;&gt;""),IF(COUNTIFS($B$6:$B$3005,$B1283,$C$6:$C$3005,$C1283,$D$6:$D$3005,$D1283)&gt;1,"同じ月の請求が重複しています／",""),"")&amp;IF(AND(N($E1283)&gt;0,$AB1283&lt;&gt;"",$AB1283&lt;&gt;"×",$AE1283=0,$AD1283=""),"計算額が下限以下のため不支給／",""))</f>
        <v/>
      </c>
      <c r="AN1283" s="12" t="n"/>
      <c r="AO1283" s="14">
        <f>IF($AF1283="保留中",COUNTIF($AF$6:$AF1283,"保留中"),"")</f>
        <v/>
      </c>
      <c r="AP1283" s="14">
        <f>IF($AQ1283="","",IF(SUMPRODUCT(MAX((職員マスタ!$A$6:$A$405=$B1283)*(((職員マスタ!$G$6:$G$405="")+(職員マスタ!$G$6:$G$405&lt;=EOMONTH($AQ1283,0)))&gt;0)*(((職員マスタ!$H$6:$H$405="")+(職員マスタ!$H$6:$H$405&gt;=$AQ1283))&gt;0)*(ROW(職員マスタ!$A$6:$A$405)-5)))&gt;0,SUMPRODUCT(MAX((職員マスタ!$A$6:$A$405=$B1283)*(((職員マスタ!$G$6:$G$405="")+(職員マスタ!$G$6:$G$405&lt;=EOMONTH($AQ1283,0)))&gt;0)*(((職員マスタ!$H$6:$H$405="")+(職員マスタ!$H$6:$H$405&gt;=$AQ1283))&gt;0)*(ROW(職員マスタ!$A$6:$A$405)-5))),IFERROR(MATCH($B1283,職員マスタ!$A$6:$A$405,0),"")))</f>
        <v/>
      </c>
      <c r="AQ1283" s="16">
        <f>IF(OR($B1283="",$C1283="",$D1283=""),"",DATE($C1283+2018,$D1283,1))</f>
        <v/>
      </c>
    </row>
    <row r="1284">
      <c r="A1284" s="11" t="n"/>
      <c r="B1284" s="12" t="n"/>
      <c r="C1284" s="12" t="n"/>
      <c r="D1284" s="12" t="n"/>
      <c r="E1284" s="13" t="n"/>
      <c r="F1284" s="12" t="n"/>
      <c r="G1284" s="13" t="n"/>
      <c r="H1284" s="12" t="n"/>
      <c r="I1284" s="12" t="n"/>
      <c r="J1284" s="12" t="n"/>
      <c r="K1284" s="12" t="n"/>
      <c r="L1284" s="11" t="n"/>
      <c r="M1284" s="11" t="n"/>
      <c r="N1284" s="11" t="n"/>
      <c r="O1284" s="11" t="n"/>
      <c r="P1284" s="12" t="n"/>
      <c r="Q1284" s="11" t="n"/>
      <c r="R1284" s="12" t="n"/>
      <c r="S1284" s="11" t="n"/>
      <c r="T1284" s="12" t="n"/>
      <c r="U1284" s="12" t="n"/>
      <c r="V1284" s="12" t="n"/>
      <c r="W1284" s="13" t="n"/>
      <c r="X1284" s="14">
        <f>IF($AP1284="",IF($B1284="","",$H1284),IF(INDEX(職員マスタ!$B$6:$B$405,$AP1284)="",$H1284,INDEX(職員マスタ!$B$6:$B$405,$AP1284)))</f>
        <v/>
      </c>
      <c r="Y1284" s="14">
        <f>IF($AP1284="",IF($B1284="","",$R1284),IF(INDEX(職員マスタ!$C$6:$C$405,$AP1284)="",$R1284,INDEX(職員マスタ!$C$6:$C$405,$AP1284)))</f>
        <v/>
      </c>
      <c r="Z1284" s="14">
        <f>IF($AQ1284="","","R"&amp;$C1284&amp;"."&amp;$D1284)</f>
        <v/>
      </c>
      <c r="AA1284" s="15">
        <f>IF(IF($AP1284="",FALSE,INDEX(職員マスタ!$K$6:$K$405,$AP1284)&lt;&gt;""),INDEX(職員マスタ!$K$6:$K$405,$AP1284),IF(N($W1284)&gt;0,$W1284,""))</f>
        <v/>
      </c>
      <c r="AB1284" s="14">
        <f>IF(OR($E1284="",$AA1284=""),"",IF($E1284&gt;=$AA1284,"×",IF($E1284&gt;=$AA1284*設定!$C$5,"△","○")))</f>
        <v/>
      </c>
      <c r="AC1284" s="15">
        <f>IF($AB1284="","",IF($AB1284="×",0,IF($AB1284="○",ROUNDDOWN($E1284*設定!$C$4,0),ROUNDDOWN($E1284*ROUND((9*$AA1284-9*$E1284)/(10*$E1284),4),0))))</f>
        <v/>
      </c>
      <c r="AD1284" s="13" t="n"/>
      <c r="AE1284" s="15">
        <f>IF($B1284="","",IF($AD1284&lt;&gt;"",$AD1284,IF($AC1284="","",IF($AC1284&lt;=設定!$C$3,0,$AC1284))))</f>
        <v/>
      </c>
      <c r="AF1284" s="14">
        <f>IF($B1284="","",IF(AND($AG1284&lt;&gt;"",$AI1284="",$AL1284=""),"保留中",IF($AL1284&lt;&gt;"",IF(N($AE1284)&gt;0,"支給済","不支給"),IF($AE1284="","要確認",IF($AE1284=0,"不支給","未処理")))))</f>
        <v/>
      </c>
      <c r="AG1284" s="12" t="n"/>
      <c r="AH1284" s="11" t="n"/>
      <c r="AI1284" s="11" t="n"/>
      <c r="AJ1284" s="11" t="n"/>
      <c r="AK1284" s="14">
        <f>IF(AND($AF1284="保留中",$AH1284&lt;&gt;""),TODAY()-$AH1284,"")</f>
        <v/>
      </c>
      <c r="AL1284" s="12" t="n"/>
      <c r="AM1284" s="14">
        <f>IF($B1284="","",IF($AQ1284="","対象年月が未入力／","")&amp;IF($B1284="","",IF($AP1284="","職員マスタに未登録の職員番号／",IF($AA1284="","標準報酬月額が未登録／","")&amp;IF(AND($AQ1284&lt;&gt;"",OR(AND(INDEX(職員マスタ!$G$6:$G$405,$AP1284)&lt;&gt;"",INDEX(職員マスタ!$G$6:$G$405,$AP1284)&gt;EOMONTH($AQ1284,0)),AND(INDEX(職員マスタ!$H$6:$H$405,$AP1284)&lt;&gt;"",INDEX(職員マスタ!$H$6:$H$405,$AP1284)&lt;$AQ1284))),"対象月が時短期間外／","")&amp;IF(AND(INDEX(職員マスタ!$K$6:$K$405,$AP1284)&lt;&gt;"",N($W1284)&gt;0,INDEX(職員マスタ!$K$6:$K$405,$AP1284)&lt;&gt;$W1284),"標準報酬月額が申請書と相違（台帳"&amp;TEXT(INDEX(職員マスタ!$K$6:$K$405,$AP1284),"#,##0")&amp;"円／申請書"&amp;TEXT($W1284,"#,##0")&amp;"円）／","")&amp;IF(AND(INDEX(職員マスタ!$F$6:$F$405,$AP1284)&lt;&gt;"",$AQ1284&lt;&gt;"",INDEX(職員マスタ!$F$6:$F$405,$AP1284)&lt;$AQ1284),"対象月に子が2歳到達済／","")&amp;IF(AND($H1284&lt;&gt;"",INDEX(職員マスタ!$B$6:$B$405,$AP1284)&lt;&gt;"",SUBSTITUTE(SUBSTITUTE($H1284," ","")," ","")&lt;&gt;SUBSTITUTE(SUBSTITUTE(INDEX(職員マスタ!$B$6:$B$405,$AP1284)," ","")," ","")),"氏名がマスタと相違／","")&amp;IF(AND($Q1284&lt;&gt;"",INDEX(職員マスタ!$E$6:$E$405,$AP1284)&lt;&gt;"",$Q1284&lt;&gt;INDEX(職員マスタ!$E$6:$E$405,$AP1284)),"子の生年月日がマスタと相違／","")&amp;IF(AND($L1284&lt;&gt;"",INDEX(職員マスタ!$G$6:$G$405,$AP1284)&lt;&gt;"",$L1284&lt;&gt;INDEX(職員マスタ!$G$6:$G$405,$AP1284)),"時短開始日がマスタと相違／","")&amp;IF(AND($M1284&lt;&gt;"",INDEX(職員マスタ!$H$6:$H$405,$AP1284)&lt;&gt;"",$M1284&lt;&gt;INDEX(職員マスタ!$H$6:$H$405,$AP1284)),"時短終了日がマスタと相違／","")))&amp;IF(AND($B1284&lt;&gt;"",$E1284=""),"報酬額が未入力／","")&amp;IF(N($U1284)&gt;0,"申請書に入力エラーが残っています／","")&amp;IF(AND($B1284&lt;&gt;"",$AQ1284&lt;&gt;""),IF(COUNTIFS($B$6:$B$3005,$B1284,$C$6:$C$3005,$C1284,$D$6:$D$3005,$D1284)&gt;1,"同じ月の請求が重複しています／",""),"")&amp;IF(AND(N($E1284)&gt;0,$AB1284&lt;&gt;"",$AB1284&lt;&gt;"×",$AE1284=0,$AD1284=""),"計算額が下限以下のため不支給／",""))</f>
        <v/>
      </c>
      <c r="AN1284" s="12" t="n"/>
      <c r="AO1284" s="14">
        <f>IF($AF1284="保留中",COUNTIF($AF$6:$AF1284,"保留中"),"")</f>
        <v/>
      </c>
      <c r="AP1284" s="14">
        <f>IF($AQ1284="","",IF(SUMPRODUCT(MAX((職員マスタ!$A$6:$A$405=$B1284)*(((職員マスタ!$G$6:$G$405="")+(職員マスタ!$G$6:$G$405&lt;=EOMONTH($AQ1284,0)))&gt;0)*(((職員マスタ!$H$6:$H$405="")+(職員マスタ!$H$6:$H$405&gt;=$AQ1284))&gt;0)*(ROW(職員マスタ!$A$6:$A$405)-5)))&gt;0,SUMPRODUCT(MAX((職員マスタ!$A$6:$A$405=$B1284)*(((職員マスタ!$G$6:$G$405="")+(職員マスタ!$G$6:$G$405&lt;=EOMONTH($AQ1284,0)))&gt;0)*(((職員マスタ!$H$6:$H$405="")+(職員マスタ!$H$6:$H$405&gt;=$AQ1284))&gt;0)*(ROW(職員マスタ!$A$6:$A$405)-5))),IFERROR(MATCH($B1284,職員マスタ!$A$6:$A$405,0),"")))</f>
        <v/>
      </c>
      <c r="AQ1284" s="16">
        <f>IF(OR($B1284="",$C1284="",$D1284=""),"",DATE($C1284+2018,$D1284,1))</f>
        <v/>
      </c>
    </row>
    <row r="1285">
      <c r="A1285" s="11" t="n"/>
      <c r="B1285" s="12" t="n"/>
      <c r="C1285" s="12" t="n"/>
      <c r="D1285" s="12" t="n"/>
      <c r="E1285" s="13" t="n"/>
      <c r="F1285" s="12" t="n"/>
      <c r="G1285" s="13" t="n"/>
      <c r="H1285" s="12" t="n"/>
      <c r="I1285" s="12" t="n"/>
      <c r="J1285" s="12" t="n"/>
      <c r="K1285" s="12" t="n"/>
      <c r="L1285" s="11" t="n"/>
      <c r="M1285" s="11" t="n"/>
      <c r="N1285" s="11" t="n"/>
      <c r="O1285" s="11" t="n"/>
      <c r="P1285" s="12" t="n"/>
      <c r="Q1285" s="11" t="n"/>
      <c r="R1285" s="12" t="n"/>
      <c r="S1285" s="11" t="n"/>
      <c r="T1285" s="12" t="n"/>
      <c r="U1285" s="12" t="n"/>
      <c r="V1285" s="12" t="n"/>
      <c r="W1285" s="13" t="n"/>
      <c r="X1285" s="14">
        <f>IF($AP1285="",IF($B1285="","",$H1285),IF(INDEX(職員マスタ!$B$6:$B$405,$AP1285)="",$H1285,INDEX(職員マスタ!$B$6:$B$405,$AP1285)))</f>
        <v/>
      </c>
      <c r="Y1285" s="14">
        <f>IF($AP1285="",IF($B1285="","",$R1285),IF(INDEX(職員マスタ!$C$6:$C$405,$AP1285)="",$R1285,INDEX(職員マスタ!$C$6:$C$405,$AP1285)))</f>
        <v/>
      </c>
      <c r="Z1285" s="14">
        <f>IF($AQ1285="","","R"&amp;$C1285&amp;"."&amp;$D1285)</f>
        <v/>
      </c>
      <c r="AA1285" s="15">
        <f>IF(IF($AP1285="",FALSE,INDEX(職員マスタ!$K$6:$K$405,$AP1285)&lt;&gt;""),INDEX(職員マスタ!$K$6:$K$405,$AP1285),IF(N($W1285)&gt;0,$W1285,""))</f>
        <v/>
      </c>
      <c r="AB1285" s="14">
        <f>IF(OR($E1285="",$AA1285=""),"",IF($E1285&gt;=$AA1285,"×",IF($E1285&gt;=$AA1285*設定!$C$5,"△","○")))</f>
        <v/>
      </c>
      <c r="AC1285" s="15">
        <f>IF($AB1285="","",IF($AB1285="×",0,IF($AB1285="○",ROUNDDOWN($E1285*設定!$C$4,0),ROUNDDOWN($E1285*ROUND((9*$AA1285-9*$E1285)/(10*$E1285),4),0))))</f>
        <v/>
      </c>
      <c r="AD1285" s="13" t="n"/>
      <c r="AE1285" s="15">
        <f>IF($B1285="","",IF($AD1285&lt;&gt;"",$AD1285,IF($AC1285="","",IF($AC1285&lt;=設定!$C$3,0,$AC1285))))</f>
        <v/>
      </c>
      <c r="AF1285" s="14">
        <f>IF($B1285="","",IF(AND($AG1285&lt;&gt;"",$AI1285="",$AL1285=""),"保留中",IF($AL1285&lt;&gt;"",IF(N($AE1285)&gt;0,"支給済","不支給"),IF($AE1285="","要確認",IF($AE1285=0,"不支給","未処理")))))</f>
        <v/>
      </c>
      <c r="AG1285" s="12" t="n"/>
      <c r="AH1285" s="11" t="n"/>
      <c r="AI1285" s="11" t="n"/>
      <c r="AJ1285" s="11" t="n"/>
      <c r="AK1285" s="14">
        <f>IF(AND($AF1285="保留中",$AH1285&lt;&gt;""),TODAY()-$AH1285,"")</f>
        <v/>
      </c>
      <c r="AL1285" s="12" t="n"/>
      <c r="AM1285" s="14">
        <f>IF($B1285="","",IF($AQ1285="","対象年月が未入力／","")&amp;IF($B1285="","",IF($AP1285="","職員マスタに未登録の職員番号／",IF($AA1285="","標準報酬月額が未登録／","")&amp;IF(AND($AQ1285&lt;&gt;"",OR(AND(INDEX(職員マスタ!$G$6:$G$405,$AP1285)&lt;&gt;"",INDEX(職員マスタ!$G$6:$G$405,$AP1285)&gt;EOMONTH($AQ1285,0)),AND(INDEX(職員マスタ!$H$6:$H$405,$AP1285)&lt;&gt;"",INDEX(職員マスタ!$H$6:$H$405,$AP1285)&lt;$AQ1285))),"対象月が時短期間外／","")&amp;IF(AND(INDEX(職員マスタ!$K$6:$K$405,$AP1285)&lt;&gt;"",N($W1285)&gt;0,INDEX(職員マスタ!$K$6:$K$405,$AP1285)&lt;&gt;$W1285),"標準報酬月額が申請書と相違（台帳"&amp;TEXT(INDEX(職員マスタ!$K$6:$K$405,$AP1285),"#,##0")&amp;"円／申請書"&amp;TEXT($W1285,"#,##0")&amp;"円）／","")&amp;IF(AND(INDEX(職員マスタ!$F$6:$F$405,$AP1285)&lt;&gt;"",$AQ1285&lt;&gt;"",INDEX(職員マスタ!$F$6:$F$405,$AP1285)&lt;$AQ1285),"対象月に子が2歳到達済／","")&amp;IF(AND($H1285&lt;&gt;"",INDEX(職員マスタ!$B$6:$B$405,$AP1285)&lt;&gt;"",SUBSTITUTE(SUBSTITUTE($H1285," ","")," ","")&lt;&gt;SUBSTITUTE(SUBSTITUTE(INDEX(職員マスタ!$B$6:$B$405,$AP1285)," ","")," ","")),"氏名がマスタと相違／","")&amp;IF(AND($Q1285&lt;&gt;"",INDEX(職員マスタ!$E$6:$E$405,$AP1285)&lt;&gt;"",$Q1285&lt;&gt;INDEX(職員マスタ!$E$6:$E$405,$AP1285)),"子の生年月日がマスタと相違／","")&amp;IF(AND($L1285&lt;&gt;"",INDEX(職員マスタ!$G$6:$G$405,$AP1285)&lt;&gt;"",$L1285&lt;&gt;INDEX(職員マスタ!$G$6:$G$405,$AP1285)),"時短開始日がマスタと相違／","")&amp;IF(AND($M1285&lt;&gt;"",INDEX(職員マスタ!$H$6:$H$405,$AP1285)&lt;&gt;"",$M1285&lt;&gt;INDEX(職員マスタ!$H$6:$H$405,$AP1285)),"時短終了日がマスタと相違／","")))&amp;IF(AND($B1285&lt;&gt;"",$E1285=""),"報酬額が未入力／","")&amp;IF(N($U1285)&gt;0,"申請書に入力エラーが残っています／","")&amp;IF(AND($B1285&lt;&gt;"",$AQ1285&lt;&gt;""),IF(COUNTIFS($B$6:$B$3005,$B1285,$C$6:$C$3005,$C1285,$D$6:$D$3005,$D1285)&gt;1,"同じ月の請求が重複しています／",""),"")&amp;IF(AND(N($E1285)&gt;0,$AB1285&lt;&gt;"",$AB1285&lt;&gt;"×",$AE1285=0,$AD1285=""),"計算額が下限以下のため不支給／",""))</f>
        <v/>
      </c>
      <c r="AN1285" s="12" t="n"/>
      <c r="AO1285" s="14">
        <f>IF($AF1285="保留中",COUNTIF($AF$6:$AF1285,"保留中"),"")</f>
        <v/>
      </c>
      <c r="AP1285" s="14">
        <f>IF($AQ1285="","",IF(SUMPRODUCT(MAX((職員マスタ!$A$6:$A$405=$B1285)*(((職員マスタ!$G$6:$G$405="")+(職員マスタ!$G$6:$G$405&lt;=EOMONTH($AQ1285,0)))&gt;0)*(((職員マスタ!$H$6:$H$405="")+(職員マスタ!$H$6:$H$405&gt;=$AQ1285))&gt;0)*(ROW(職員マスタ!$A$6:$A$405)-5)))&gt;0,SUMPRODUCT(MAX((職員マスタ!$A$6:$A$405=$B1285)*(((職員マスタ!$G$6:$G$405="")+(職員マスタ!$G$6:$G$405&lt;=EOMONTH($AQ1285,0)))&gt;0)*(((職員マスタ!$H$6:$H$405="")+(職員マスタ!$H$6:$H$405&gt;=$AQ1285))&gt;0)*(ROW(職員マスタ!$A$6:$A$405)-5))),IFERROR(MATCH($B1285,職員マスタ!$A$6:$A$405,0),"")))</f>
        <v/>
      </c>
      <c r="AQ1285" s="16">
        <f>IF(OR($B1285="",$C1285="",$D1285=""),"",DATE($C1285+2018,$D1285,1))</f>
        <v/>
      </c>
    </row>
    <row r="1286">
      <c r="A1286" s="11" t="n"/>
      <c r="B1286" s="12" t="n"/>
      <c r="C1286" s="12" t="n"/>
      <c r="D1286" s="12" t="n"/>
      <c r="E1286" s="13" t="n"/>
      <c r="F1286" s="12" t="n"/>
      <c r="G1286" s="13" t="n"/>
      <c r="H1286" s="12" t="n"/>
      <c r="I1286" s="12" t="n"/>
      <c r="J1286" s="12" t="n"/>
      <c r="K1286" s="12" t="n"/>
      <c r="L1286" s="11" t="n"/>
      <c r="M1286" s="11" t="n"/>
      <c r="N1286" s="11" t="n"/>
      <c r="O1286" s="11" t="n"/>
      <c r="P1286" s="12" t="n"/>
      <c r="Q1286" s="11" t="n"/>
      <c r="R1286" s="12" t="n"/>
      <c r="S1286" s="11" t="n"/>
      <c r="T1286" s="12" t="n"/>
      <c r="U1286" s="12" t="n"/>
      <c r="V1286" s="12" t="n"/>
      <c r="W1286" s="13" t="n"/>
      <c r="X1286" s="14">
        <f>IF($AP1286="",IF($B1286="","",$H1286),IF(INDEX(職員マスタ!$B$6:$B$405,$AP1286)="",$H1286,INDEX(職員マスタ!$B$6:$B$405,$AP1286)))</f>
        <v/>
      </c>
      <c r="Y1286" s="14">
        <f>IF($AP1286="",IF($B1286="","",$R1286),IF(INDEX(職員マスタ!$C$6:$C$405,$AP1286)="",$R1286,INDEX(職員マスタ!$C$6:$C$405,$AP1286)))</f>
        <v/>
      </c>
      <c r="Z1286" s="14">
        <f>IF($AQ1286="","","R"&amp;$C1286&amp;"."&amp;$D1286)</f>
        <v/>
      </c>
      <c r="AA1286" s="15">
        <f>IF(IF($AP1286="",FALSE,INDEX(職員マスタ!$K$6:$K$405,$AP1286)&lt;&gt;""),INDEX(職員マスタ!$K$6:$K$405,$AP1286),IF(N($W1286)&gt;0,$W1286,""))</f>
        <v/>
      </c>
      <c r="AB1286" s="14">
        <f>IF(OR($E1286="",$AA1286=""),"",IF($E1286&gt;=$AA1286,"×",IF($E1286&gt;=$AA1286*設定!$C$5,"△","○")))</f>
        <v/>
      </c>
      <c r="AC1286" s="15">
        <f>IF($AB1286="","",IF($AB1286="×",0,IF($AB1286="○",ROUNDDOWN($E1286*設定!$C$4,0),ROUNDDOWN($E1286*ROUND((9*$AA1286-9*$E1286)/(10*$E1286),4),0))))</f>
        <v/>
      </c>
      <c r="AD1286" s="13" t="n"/>
      <c r="AE1286" s="15">
        <f>IF($B1286="","",IF($AD1286&lt;&gt;"",$AD1286,IF($AC1286="","",IF($AC1286&lt;=設定!$C$3,0,$AC1286))))</f>
        <v/>
      </c>
      <c r="AF1286" s="14">
        <f>IF($B1286="","",IF(AND($AG1286&lt;&gt;"",$AI1286="",$AL1286=""),"保留中",IF($AL1286&lt;&gt;"",IF(N($AE1286)&gt;0,"支給済","不支給"),IF($AE1286="","要確認",IF($AE1286=0,"不支給","未処理")))))</f>
        <v/>
      </c>
      <c r="AG1286" s="12" t="n"/>
      <c r="AH1286" s="11" t="n"/>
      <c r="AI1286" s="11" t="n"/>
      <c r="AJ1286" s="11" t="n"/>
      <c r="AK1286" s="14">
        <f>IF(AND($AF1286="保留中",$AH1286&lt;&gt;""),TODAY()-$AH1286,"")</f>
        <v/>
      </c>
      <c r="AL1286" s="12" t="n"/>
      <c r="AM1286" s="14">
        <f>IF($B1286="","",IF($AQ1286="","対象年月が未入力／","")&amp;IF($B1286="","",IF($AP1286="","職員マスタに未登録の職員番号／",IF($AA1286="","標準報酬月額が未登録／","")&amp;IF(AND($AQ1286&lt;&gt;"",OR(AND(INDEX(職員マスタ!$G$6:$G$405,$AP1286)&lt;&gt;"",INDEX(職員マスタ!$G$6:$G$405,$AP1286)&gt;EOMONTH($AQ1286,0)),AND(INDEX(職員マスタ!$H$6:$H$405,$AP1286)&lt;&gt;"",INDEX(職員マスタ!$H$6:$H$405,$AP1286)&lt;$AQ1286))),"対象月が時短期間外／","")&amp;IF(AND(INDEX(職員マスタ!$K$6:$K$405,$AP1286)&lt;&gt;"",N($W1286)&gt;0,INDEX(職員マスタ!$K$6:$K$405,$AP1286)&lt;&gt;$W1286),"標準報酬月額が申請書と相違（台帳"&amp;TEXT(INDEX(職員マスタ!$K$6:$K$405,$AP1286),"#,##0")&amp;"円／申請書"&amp;TEXT($W1286,"#,##0")&amp;"円）／","")&amp;IF(AND(INDEX(職員マスタ!$F$6:$F$405,$AP1286)&lt;&gt;"",$AQ1286&lt;&gt;"",INDEX(職員マスタ!$F$6:$F$405,$AP1286)&lt;$AQ1286),"対象月に子が2歳到達済／","")&amp;IF(AND($H1286&lt;&gt;"",INDEX(職員マスタ!$B$6:$B$405,$AP1286)&lt;&gt;"",SUBSTITUTE(SUBSTITUTE($H1286," ","")," ","")&lt;&gt;SUBSTITUTE(SUBSTITUTE(INDEX(職員マスタ!$B$6:$B$405,$AP1286)," ","")," ","")),"氏名がマスタと相違／","")&amp;IF(AND($Q1286&lt;&gt;"",INDEX(職員マスタ!$E$6:$E$405,$AP1286)&lt;&gt;"",$Q1286&lt;&gt;INDEX(職員マスタ!$E$6:$E$405,$AP1286)),"子の生年月日がマスタと相違／","")&amp;IF(AND($L1286&lt;&gt;"",INDEX(職員マスタ!$G$6:$G$405,$AP1286)&lt;&gt;"",$L1286&lt;&gt;INDEX(職員マスタ!$G$6:$G$405,$AP1286)),"時短開始日がマスタと相違／","")&amp;IF(AND($M1286&lt;&gt;"",INDEX(職員マスタ!$H$6:$H$405,$AP1286)&lt;&gt;"",$M1286&lt;&gt;INDEX(職員マスタ!$H$6:$H$405,$AP1286)),"時短終了日がマスタと相違／","")))&amp;IF(AND($B1286&lt;&gt;"",$E1286=""),"報酬額が未入力／","")&amp;IF(N($U1286)&gt;0,"申請書に入力エラーが残っています／","")&amp;IF(AND($B1286&lt;&gt;"",$AQ1286&lt;&gt;""),IF(COUNTIFS($B$6:$B$3005,$B1286,$C$6:$C$3005,$C1286,$D$6:$D$3005,$D1286)&gt;1,"同じ月の請求が重複しています／",""),"")&amp;IF(AND(N($E1286)&gt;0,$AB1286&lt;&gt;"",$AB1286&lt;&gt;"×",$AE1286=0,$AD1286=""),"計算額が下限以下のため不支給／",""))</f>
        <v/>
      </c>
      <c r="AN1286" s="12" t="n"/>
      <c r="AO1286" s="14">
        <f>IF($AF1286="保留中",COUNTIF($AF$6:$AF1286,"保留中"),"")</f>
        <v/>
      </c>
      <c r="AP1286" s="14">
        <f>IF($AQ1286="","",IF(SUMPRODUCT(MAX((職員マスタ!$A$6:$A$405=$B1286)*(((職員マスタ!$G$6:$G$405="")+(職員マスタ!$G$6:$G$405&lt;=EOMONTH($AQ1286,0)))&gt;0)*(((職員マスタ!$H$6:$H$405="")+(職員マスタ!$H$6:$H$405&gt;=$AQ1286))&gt;0)*(ROW(職員マスタ!$A$6:$A$405)-5)))&gt;0,SUMPRODUCT(MAX((職員マスタ!$A$6:$A$405=$B1286)*(((職員マスタ!$G$6:$G$405="")+(職員マスタ!$G$6:$G$405&lt;=EOMONTH($AQ1286,0)))&gt;0)*(((職員マスタ!$H$6:$H$405="")+(職員マスタ!$H$6:$H$405&gt;=$AQ1286))&gt;0)*(ROW(職員マスタ!$A$6:$A$405)-5))),IFERROR(MATCH($B1286,職員マスタ!$A$6:$A$405,0),"")))</f>
        <v/>
      </c>
      <c r="AQ1286" s="16">
        <f>IF(OR($B1286="",$C1286="",$D1286=""),"",DATE($C1286+2018,$D1286,1))</f>
        <v/>
      </c>
    </row>
    <row r="1287">
      <c r="A1287" s="11" t="n"/>
      <c r="B1287" s="12" t="n"/>
      <c r="C1287" s="12" t="n"/>
      <c r="D1287" s="12" t="n"/>
      <c r="E1287" s="13" t="n"/>
      <c r="F1287" s="12" t="n"/>
      <c r="G1287" s="13" t="n"/>
      <c r="H1287" s="12" t="n"/>
      <c r="I1287" s="12" t="n"/>
      <c r="J1287" s="12" t="n"/>
      <c r="K1287" s="12" t="n"/>
      <c r="L1287" s="11" t="n"/>
      <c r="M1287" s="11" t="n"/>
      <c r="N1287" s="11" t="n"/>
      <c r="O1287" s="11" t="n"/>
      <c r="P1287" s="12" t="n"/>
      <c r="Q1287" s="11" t="n"/>
      <c r="R1287" s="12" t="n"/>
      <c r="S1287" s="11" t="n"/>
      <c r="T1287" s="12" t="n"/>
      <c r="U1287" s="12" t="n"/>
      <c r="V1287" s="12" t="n"/>
      <c r="W1287" s="13" t="n"/>
      <c r="X1287" s="14">
        <f>IF($AP1287="",IF($B1287="","",$H1287),IF(INDEX(職員マスタ!$B$6:$B$405,$AP1287)="",$H1287,INDEX(職員マスタ!$B$6:$B$405,$AP1287)))</f>
        <v/>
      </c>
      <c r="Y1287" s="14">
        <f>IF($AP1287="",IF($B1287="","",$R1287),IF(INDEX(職員マスタ!$C$6:$C$405,$AP1287)="",$R1287,INDEX(職員マスタ!$C$6:$C$405,$AP1287)))</f>
        <v/>
      </c>
      <c r="Z1287" s="14">
        <f>IF($AQ1287="","","R"&amp;$C1287&amp;"."&amp;$D1287)</f>
        <v/>
      </c>
      <c r="AA1287" s="15">
        <f>IF(IF($AP1287="",FALSE,INDEX(職員マスタ!$K$6:$K$405,$AP1287)&lt;&gt;""),INDEX(職員マスタ!$K$6:$K$405,$AP1287),IF(N($W1287)&gt;0,$W1287,""))</f>
        <v/>
      </c>
      <c r="AB1287" s="14">
        <f>IF(OR($E1287="",$AA1287=""),"",IF($E1287&gt;=$AA1287,"×",IF($E1287&gt;=$AA1287*設定!$C$5,"△","○")))</f>
        <v/>
      </c>
      <c r="AC1287" s="15">
        <f>IF($AB1287="","",IF($AB1287="×",0,IF($AB1287="○",ROUNDDOWN($E1287*設定!$C$4,0),ROUNDDOWN($E1287*ROUND((9*$AA1287-9*$E1287)/(10*$E1287),4),0))))</f>
        <v/>
      </c>
      <c r="AD1287" s="13" t="n"/>
      <c r="AE1287" s="15">
        <f>IF($B1287="","",IF($AD1287&lt;&gt;"",$AD1287,IF($AC1287="","",IF($AC1287&lt;=設定!$C$3,0,$AC1287))))</f>
        <v/>
      </c>
      <c r="AF1287" s="14">
        <f>IF($B1287="","",IF(AND($AG1287&lt;&gt;"",$AI1287="",$AL1287=""),"保留中",IF($AL1287&lt;&gt;"",IF(N($AE1287)&gt;0,"支給済","不支給"),IF($AE1287="","要確認",IF($AE1287=0,"不支給","未処理")))))</f>
        <v/>
      </c>
      <c r="AG1287" s="12" t="n"/>
      <c r="AH1287" s="11" t="n"/>
      <c r="AI1287" s="11" t="n"/>
      <c r="AJ1287" s="11" t="n"/>
      <c r="AK1287" s="14">
        <f>IF(AND($AF1287="保留中",$AH1287&lt;&gt;""),TODAY()-$AH1287,"")</f>
        <v/>
      </c>
      <c r="AL1287" s="12" t="n"/>
      <c r="AM1287" s="14">
        <f>IF($B1287="","",IF($AQ1287="","対象年月が未入力／","")&amp;IF($B1287="","",IF($AP1287="","職員マスタに未登録の職員番号／",IF($AA1287="","標準報酬月額が未登録／","")&amp;IF(AND($AQ1287&lt;&gt;"",OR(AND(INDEX(職員マスタ!$G$6:$G$405,$AP1287)&lt;&gt;"",INDEX(職員マスタ!$G$6:$G$405,$AP1287)&gt;EOMONTH($AQ1287,0)),AND(INDEX(職員マスタ!$H$6:$H$405,$AP1287)&lt;&gt;"",INDEX(職員マスタ!$H$6:$H$405,$AP1287)&lt;$AQ1287))),"対象月が時短期間外／","")&amp;IF(AND(INDEX(職員マスタ!$K$6:$K$405,$AP1287)&lt;&gt;"",N($W1287)&gt;0,INDEX(職員マスタ!$K$6:$K$405,$AP1287)&lt;&gt;$W1287),"標準報酬月額が申請書と相違（台帳"&amp;TEXT(INDEX(職員マスタ!$K$6:$K$405,$AP1287),"#,##0")&amp;"円／申請書"&amp;TEXT($W1287,"#,##0")&amp;"円）／","")&amp;IF(AND(INDEX(職員マスタ!$F$6:$F$405,$AP1287)&lt;&gt;"",$AQ1287&lt;&gt;"",INDEX(職員マスタ!$F$6:$F$405,$AP1287)&lt;$AQ1287),"対象月に子が2歳到達済／","")&amp;IF(AND($H1287&lt;&gt;"",INDEX(職員マスタ!$B$6:$B$405,$AP1287)&lt;&gt;"",SUBSTITUTE(SUBSTITUTE($H1287," ","")," ","")&lt;&gt;SUBSTITUTE(SUBSTITUTE(INDEX(職員マスタ!$B$6:$B$405,$AP1287)," ","")," ","")),"氏名がマスタと相違／","")&amp;IF(AND($Q1287&lt;&gt;"",INDEX(職員マスタ!$E$6:$E$405,$AP1287)&lt;&gt;"",$Q1287&lt;&gt;INDEX(職員マスタ!$E$6:$E$405,$AP1287)),"子の生年月日がマスタと相違／","")&amp;IF(AND($L1287&lt;&gt;"",INDEX(職員マスタ!$G$6:$G$405,$AP1287)&lt;&gt;"",$L1287&lt;&gt;INDEX(職員マスタ!$G$6:$G$405,$AP1287)),"時短開始日がマスタと相違／","")&amp;IF(AND($M1287&lt;&gt;"",INDEX(職員マスタ!$H$6:$H$405,$AP1287)&lt;&gt;"",$M1287&lt;&gt;INDEX(職員マスタ!$H$6:$H$405,$AP1287)),"時短終了日がマスタと相違／","")))&amp;IF(AND($B1287&lt;&gt;"",$E1287=""),"報酬額が未入力／","")&amp;IF(N($U1287)&gt;0,"申請書に入力エラーが残っています／","")&amp;IF(AND($B1287&lt;&gt;"",$AQ1287&lt;&gt;""),IF(COUNTIFS($B$6:$B$3005,$B1287,$C$6:$C$3005,$C1287,$D$6:$D$3005,$D1287)&gt;1,"同じ月の請求が重複しています／",""),"")&amp;IF(AND(N($E1287)&gt;0,$AB1287&lt;&gt;"",$AB1287&lt;&gt;"×",$AE1287=0,$AD1287=""),"計算額が下限以下のため不支給／",""))</f>
        <v/>
      </c>
      <c r="AN1287" s="12" t="n"/>
      <c r="AO1287" s="14">
        <f>IF($AF1287="保留中",COUNTIF($AF$6:$AF1287,"保留中"),"")</f>
        <v/>
      </c>
      <c r="AP1287" s="14">
        <f>IF($AQ1287="","",IF(SUMPRODUCT(MAX((職員マスタ!$A$6:$A$405=$B1287)*(((職員マスタ!$G$6:$G$405="")+(職員マスタ!$G$6:$G$405&lt;=EOMONTH($AQ1287,0)))&gt;0)*(((職員マスタ!$H$6:$H$405="")+(職員マスタ!$H$6:$H$405&gt;=$AQ1287))&gt;0)*(ROW(職員マスタ!$A$6:$A$405)-5)))&gt;0,SUMPRODUCT(MAX((職員マスタ!$A$6:$A$405=$B1287)*(((職員マスタ!$G$6:$G$405="")+(職員マスタ!$G$6:$G$405&lt;=EOMONTH($AQ1287,0)))&gt;0)*(((職員マスタ!$H$6:$H$405="")+(職員マスタ!$H$6:$H$405&gt;=$AQ1287))&gt;0)*(ROW(職員マスタ!$A$6:$A$405)-5))),IFERROR(MATCH($B1287,職員マスタ!$A$6:$A$405,0),"")))</f>
        <v/>
      </c>
      <c r="AQ1287" s="16">
        <f>IF(OR($B1287="",$C1287="",$D1287=""),"",DATE($C1287+2018,$D1287,1))</f>
        <v/>
      </c>
    </row>
    <row r="1288">
      <c r="A1288" s="11" t="n"/>
      <c r="B1288" s="12" t="n"/>
      <c r="C1288" s="12" t="n"/>
      <c r="D1288" s="12" t="n"/>
      <c r="E1288" s="13" t="n"/>
      <c r="F1288" s="12" t="n"/>
      <c r="G1288" s="13" t="n"/>
      <c r="H1288" s="12" t="n"/>
      <c r="I1288" s="12" t="n"/>
      <c r="J1288" s="12" t="n"/>
      <c r="K1288" s="12" t="n"/>
      <c r="L1288" s="11" t="n"/>
      <c r="M1288" s="11" t="n"/>
      <c r="N1288" s="11" t="n"/>
      <c r="O1288" s="11" t="n"/>
      <c r="P1288" s="12" t="n"/>
      <c r="Q1288" s="11" t="n"/>
      <c r="R1288" s="12" t="n"/>
      <c r="S1288" s="11" t="n"/>
      <c r="T1288" s="12" t="n"/>
      <c r="U1288" s="12" t="n"/>
      <c r="V1288" s="12" t="n"/>
      <c r="W1288" s="13" t="n"/>
      <c r="X1288" s="14">
        <f>IF($AP1288="",IF($B1288="","",$H1288),IF(INDEX(職員マスタ!$B$6:$B$405,$AP1288)="",$H1288,INDEX(職員マスタ!$B$6:$B$405,$AP1288)))</f>
        <v/>
      </c>
      <c r="Y1288" s="14">
        <f>IF($AP1288="",IF($B1288="","",$R1288),IF(INDEX(職員マスタ!$C$6:$C$405,$AP1288)="",$R1288,INDEX(職員マスタ!$C$6:$C$405,$AP1288)))</f>
        <v/>
      </c>
      <c r="Z1288" s="14">
        <f>IF($AQ1288="","","R"&amp;$C1288&amp;"."&amp;$D1288)</f>
        <v/>
      </c>
      <c r="AA1288" s="15">
        <f>IF(IF($AP1288="",FALSE,INDEX(職員マスタ!$K$6:$K$405,$AP1288)&lt;&gt;""),INDEX(職員マスタ!$K$6:$K$405,$AP1288),IF(N($W1288)&gt;0,$W1288,""))</f>
        <v/>
      </c>
      <c r="AB1288" s="14">
        <f>IF(OR($E1288="",$AA1288=""),"",IF($E1288&gt;=$AA1288,"×",IF($E1288&gt;=$AA1288*設定!$C$5,"△","○")))</f>
        <v/>
      </c>
      <c r="AC1288" s="15">
        <f>IF($AB1288="","",IF($AB1288="×",0,IF($AB1288="○",ROUNDDOWN($E1288*設定!$C$4,0),ROUNDDOWN($E1288*ROUND((9*$AA1288-9*$E1288)/(10*$E1288),4),0))))</f>
        <v/>
      </c>
      <c r="AD1288" s="13" t="n"/>
      <c r="AE1288" s="15">
        <f>IF($B1288="","",IF($AD1288&lt;&gt;"",$AD1288,IF($AC1288="","",IF($AC1288&lt;=設定!$C$3,0,$AC1288))))</f>
        <v/>
      </c>
      <c r="AF1288" s="14">
        <f>IF($B1288="","",IF(AND($AG1288&lt;&gt;"",$AI1288="",$AL1288=""),"保留中",IF($AL1288&lt;&gt;"",IF(N($AE1288)&gt;0,"支給済","不支給"),IF($AE1288="","要確認",IF($AE1288=0,"不支給","未処理")))))</f>
        <v/>
      </c>
      <c r="AG1288" s="12" t="n"/>
      <c r="AH1288" s="11" t="n"/>
      <c r="AI1288" s="11" t="n"/>
      <c r="AJ1288" s="11" t="n"/>
      <c r="AK1288" s="14">
        <f>IF(AND($AF1288="保留中",$AH1288&lt;&gt;""),TODAY()-$AH1288,"")</f>
        <v/>
      </c>
      <c r="AL1288" s="12" t="n"/>
      <c r="AM1288" s="14">
        <f>IF($B1288="","",IF($AQ1288="","対象年月が未入力／","")&amp;IF($B1288="","",IF($AP1288="","職員マスタに未登録の職員番号／",IF($AA1288="","標準報酬月額が未登録／","")&amp;IF(AND($AQ1288&lt;&gt;"",OR(AND(INDEX(職員マスタ!$G$6:$G$405,$AP1288)&lt;&gt;"",INDEX(職員マスタ!$G$6:$G$405,$AP1288)&gt;EOMONTH($AQ1288,0)),AND(INDEX(職員マスタ!$H$6:$H$405,$AP1288)&lt;&gt;"",INDEX(職員マスタ!$H$6:$H$405,$AP1288)&lt;$AQ1288))),"対象月が時短期間外／","")&amp;IF(AND(INDEX(職員マスタ!$K$6:$K$405,$AP1288)&lt;&gt;"",N($W1288)&gt;0,INDEX(職員マスタ!$K$6:$K$405,$AP1288)&lt;&gt;$W1288),"標準報酬月額が申請書と相違（台帳"&amp;TEXT(INDEX(職員マスタ!$K$6:$K$405,$AP1288),"#,##0")&amp;"円／申請書"&amp;TEXT($W1288,"#,##0")&amp;"円）／","")&amp;IF(AND(INDEX(職員マスタ!$F$6:$F$405,$AP1288)&lt;&gt;"",$AQ1288&lt;&gt;"",INDEX(職員マスタ!$F$6:$F$405,$AP1288)&lt;$AQ1288),"対象月に子が2歳到達済／","")&amp;IF(AND($H1288&lt;&gt;"",INDEX(職員マスタ!$B$6:$B$405,$AP1288)&lt;&gt;"",SUBSTITUTE(SUBSTITUTE($H1288," ","")," ","")&lt;&gt;SUBSTITUTE(SUBSTITUTE(INDEX(職員マスタ!$B$6:$B$405,$AP1288)," ","")," ","")),"氏名がマスタと相違／","")&amp;IF(AND($Q1288&lt;&gt;"",INDEX(職員マスタ!$E$6:$E$405,$AP1288)&lt;&gt;"",$Q1288&lt;&gt;INDEX(職員マスタ!$E$6:$E$405,$AP1288)),"子の生年月日がマスタと相違／","")&amp;IF(AND($L1288&lt;&gt;"",INDEX(職員マスタ!$G$6:$G$405,$AP1288)&lt;&gt;"",$L1288&lt;&gt;INDEX(職員マスタ!$G$6:$G$405,$AP1288)),"時短開始日がマスタと相違／","")&amp;IF(AND($M1288&lt;&gt;"",INDEX(職員マスタ!$H$6:$H$405,$AP1288)&lt;&gt;"",$M1288&lt;&gt;INDEX(職員マスタ!$H$6:$H$405,$AP1288)),"時短終了日がマスタと相違／","")))&amp;IF(AND($B1288&lt;&gt;"",$E1288=""),"報酬額が未入力／","")&amp;IF(N($U1288)&gt;0,"申請書に入力エラーが残っています／","")&amp;IF(AND($B1288&lt;&gt;"",$AQ1288&lt;&gt;""),IF(COUNTIFS($B$6:$B$3005,$B1288,$C$6:$C$3005,$C1288,$D$6:$D$3005,$D1288)&gt;1,"同じ月の請求が重複しています／",""),"")&amp;IF(AND(N($E1288)&gt;0,$AB1288&lt;&gt;"",$AB1288&lt;&gt;"×",$AE1288=0,$AD1288=""),"計算額が下限以下のため不支給／",""))</f>
        <v/>
      </c>
      <c r="AN1288" s="12" t="n"/>
      <c r="AO1288" s="14">
        <f>IF($AF1288="保留中",COUNTIF($AF$6:$AF1288,"保留中"),"")</f>
        <v/>
      </c>
      <c r="AP1288" s="14">
        <f>IF($AQ1288="","",IF(SUMPRODUCT(MAX((職員マスタ!$A$6:$A$405=$B1288)*(((職員マスタ!$G$6:$G$405="")+(職員マスタ!$G$6:$G$405&lt;=EOMONTH($AQ1288,0)))&gt;0)*(((職員マスタ!$H$6:$H$405="")+(職員マスタ!$H$6:$H$405&gt;=$AQ1288))&gt;0)*(ROW(職員マスタ!$A$6:$A$405)-5)))&gt;0,SUMPRODUCT(MAX((職員マスタ!$A$6:$A$405=$B1288)*(((職員マスタ!$G$6:$G$405="")+(職員マスタ!$G$6:$G$405&lt;=EOMONTH($AQ1288,0)))&gt;0)*(((職員マスタ!$H$6:$H$405="")+(職員マスタ!$H$6:$H$405&gt;=$AQ1288))&gt;0)*(ROW(職員マスタ!$A$6:$A$405)-5))),IFERROR(MATCH($B1288,職員マスタ!$A$6:$A$405,0),"")))</f>
        <v/>
      </c>
      <c r="AQ1288" s="16">
        <f>IF(OR($B1288="",$C1288="",$D1288=""),"",DATE($C1288+2018,$D1288,1))</f>
        <v/>
      </c>
    </row>
    <row r="1289">
      <c r="A1289" s="11" t="n"/>
      <c r="B1289" s="12" t="n"/>
      <c r="C1289" s="12" t="n"/>
      <c r="D1289" s="12" t="n"/>
      <c r="E1289" s="13" t="n"/>
      <c r="F1289" s="12" t="n"/>
      <c r="G1289" s="13" t="n"/>
      <c r="H1289" s="12" t="n"/>
      <c r="I1289" s="12" t="n"/>
      <c r="J1289" s="12" t="n"/>
      <c r="K1289" s="12" t="n"/>
      <c r="L1289" s="11" t="n"/>
      <c r="M1289" s="11" t="n"/>
      <c r="N1289" s="11" t="n"/>
      <c r="O1289" s="11" t="n"/>
      <c r="P1289" s="12" t="n"/>
      <c r="Q1289" s="11" t="n"/>
      <c r="R1289" s="12" t="n"/>
      <c r="S1289" s="11" t="n"/>
      <c r="T1289" s="12" t="n"/>
      <c r="U1289" s="12" t="n"/>
      <c r="V1289" s="12" t="n"/>
      <c r="W1289" s="13" t="n"/>
      <c r="X1289" s="14">
        <f>IF($AP1289="",IF($B1289="","",$H1289),IF(INDEX(職員マスタ!$B$6:$B$405,$AP1289)="",$H1289,INDEX(職員マスタ!$B$6:$B$405,$AP1289)))</f>
        <v/>
      </c>
      <c r="Y1289" s="14">
        <f>IF($AP1289="",IF($B1289="","",$R1289),IF(INDEX(職員マスタ!$C$6:$C$405,$AP1289)="",$R1289,INDEX(職員マスタ!$C$6:$C$405,$AP1289)))</f>
        <v/>
      </c>
      <c r="Z1289" s="14">
        <f>IF($AQ1289="","","R"&amp;$C1289&amp;"."&amp;$D1289)</f>
        <v/>
      </c>
      <c r="AA1289" s="15">
        <f>IF(IF($AP1289="",FALSE,INDEX(職員マスタ!$K$6:$K$405,$AP1289)&lt;&gt;""),INDEX(職員マスタ!$K$6:$K$405,$AP1289),IF(N($W1289)&gt;0,$W1289,""))</f>
        <v/>
      </c>
      <c r="AB1289" s="14">
        <f>IF(OR($E1289="",$AA1289=""),"",IF($E1289&gt;=$AA1289,"×",IF($E1289&gt;=$AA1289*設定!$C$5,"△","○")))</f>
        <v/>
      </c>
      <c r="AC1289" s="15">
        <f>IF($AB1289="","",IF($AB1289="×",0,IF($AB1289="○",ROUNDDOWN($E1289*設定!$C$4,0),ROUNDDOWN($E1289*ROUND((9*$AA1289-9*$E1289)/(10*$E1289),4),0))))</f>
        <v/>
      </c>
      <c r="AD1289" s="13" t="n"/>
      <c r="AE1289" s="15">
        <f>IF($B1289="","",IF($AD1289&lt;&gt;"",$AD1289,IF($AC1289="","",IF($AC1289&lt;=設定!$C$3,0,$AC1289))))</f>
        <v/>
      </c>
      <c r="AF1289" s="14">
        <f>IF($B1289="","",IF(AND($AG1289&lt;&gt;"",$AI1289="",$AL1289=""),"保留中",IF($AL1289&lt;&gt;"",IF(N($AE1289)&gt;0,"支給済","不支給"),IF($AE1289="","要確認",IF($AE1289=0,"不支給","未処理")))))</f>
        <v/>
      </c>
      <c r="AG1289" s="12" t="n"/>
      <c r="AH1289" s="11" t="n"/>
      <c r="AI1289" s="11" t="n"/>
      <c r="AJ1289" s="11" t="n"/>
      <c r="AK1289" s="14">
        <f>IF(AND($AF1289="保留中",$AH1289&lt;&gt;""),TODAY()-$AH1289,"")</f>
        <v/>
      </c>
      <c r="AL1289" s="12" t="n"/>
      <c r="AM1289" s="14">
        <f>IF($B1289="","",IF($AQ1289="","対象年月が未入力／","")&amp;IF($B1289="","",IF($AP1289="","職員マスタに未登録の職員番号／",IF($AA1289="","標準報酬月額が未登録／","")&amp;IF(AND($AQ1289&lt;&gt;"",OR(AND(INDEX(職員マスタ!$G$6:$G$405,$AP1289)&lt;&gt;"",INDEX(職員マスタ!$G$6:$G$405,$AP1289)&gt;EOMONTH($AQ1289,0)),AND(INDEX(職員マスタ!$H$6:$H$405,$AP1289)&lt;&gt;"",INDEX(職員マスタ!$H$6:$H$405,$AP1289)&lt;$AQ1289))),"対象月が時短期間外／","")&amp;IF(AND(INDEX(職員マスタ!$K$6:$K$405,$AP1289)&lt;&gt;"",N($W1289)&gt;0,INDEX(職員マスタ!$K$6:$K$405,$AP1289)&lt;&gt;$W1289),"標準報酬月額が申請書と相違（台帳"&amp;TEXT(INDEX(職員マスタ!$K$6:$K$405,$AP1289),"#,##0")&amp;"円／申請書"&amp;TEXT($W1289,"#,##0")&amp;"円）／","")&amp;IF(AND(INDEX(職員マスタ!$F$6:$F$405,$AP1289)&lt;&gt;"",$AQ1289&lt;&gt;"",INDEX(職員マスタ!$F$6:$F$405,$AP1289)&lt;$AQ1289),"対象月に子が2歳到達済／","")&amp;IF(AND($H1289&lt;&gt;"",INDEX(職員マスタ!$B$6:$B$405,$AP1289)&lt;&gt;"",SUBSTITUTE(SUBSTITUTE($H1289," ","")," ","")&lt;&gt;SUBSTITUTE(SUBSTITUTE(INDEX(職員マスタ!$B$6:$B$405,$AP1289)," ","")," ","")),"氏名がマスタと相違／","")&amp;IF(AND($Q1289&lt;&gt;"",INDEX(職員マスタ!$E$6:$E$405,$AP1289)&lt;&gt;"",$Q1289&lt;&gt;INDEX(職員マスタ!$E$6:$E$405,$AP1289)),"子の生年月日がマスタと相違／","")&amp;IF(AND($L1289&lt;&gt;"",INDEX(職員マスタ!$G$6:$G$405,$AP1289)&lt;&gt;"",$L1289&lt;&gt;INDEX(職員マスタ!$G$6:$G$405,$AP1289)),"時短開始日がマスタと相違／","")&amp;IF(AND($M1289&lt;&gt;"",INDEX(職員マスタ!$H$6:$H$405,$AP1289)&lt;&gt;"",$M1289&lt;&gt;INDEX(職員マスタ!$H$6:$H$405,$AP1289)),"時短終了日がマスタと相違／","")))&amp;IF(AND($B1289&lt;&gt;"",$E1289=""),"報酬額が未入力／","")&amp;IF(N($U1289)&gt;0,"申請書に入力エラーが残っています／","")&amp;IF(AND($B1289&lt;&gt;"",$AQ1289&lt;&gt;""),IF(COUNTIFS($B$6:$B$3005,$B1289,$C$6:$C$3005,$C1289,$D$6:$D$3005,$D1289)&gt;1,"同じ月の請求が重複しています／",""),"")&amp;IF(AND(N($E1289)&gt;0,$AB1289&lt;&gt;"",$AB1289&lt;&gt;"×",$AE1289=0,$AD1289=""),"計算額が下限以下のため不支給／",""))</f>
        <v/>
      </c>
      <c r="AN1289" s="12" t="n"/>
      <c r="AO1289" s="14">
        <f>IF($AF1289="保留中",COUNTIF($AF$6:$AF1289,"保留中"),"")</f>
        <v/>
      </c>
      <c r="AP1289" s="14">
        <f>IF($AQ1289="","",IF(SUMPRODUCT(MAX((職員マスタ!$A$6:$A$405=$B1289)*(((職員マスタ!$G$6:$G$405="")+(職員マスタ!$G$6:$G$405&lt;=EOMONTH($AQ1289,0)))&gt;0)*(((職員マスタ!$H$6:$H$405="")+(職員マスタ!$H$6:$H$405&gt;=$AQ1289))&gt;0)*(ROW(職員マスタ!$A$6:$A$405)-5)))&gt;0,SUMPRODUCT(MAX((職員マスタ!$A$6:$A$405=$B1289)*(((職員マスタ!$G$6:$G$405="")+(職員マスタ!$G$6:$G$405&lt;=EOMONTH($AQ1289,0)))&gt;0)*(((職員マスタ!$H$6:$H$405="")+(職員マスタ!$H$6:$H$405&gt;=$AQ1289))&gt;0)*(ROW(職員マスタ!$A$6:$A$405)-5))),IFERROR(MATCH($B1289,職員マスタ!$A$6:$A$405,0),"")))</f>
        <v/>
      </c>
      <c r="AQ1289" s="16">
        <f>IF(OR($B1289="",$C1289="",$D1289=""),"",DATE($C1289+2018,$D1289,1))</f>
        <v/>
      </c>
    </row>
    <row r="1290">
      <c r="A1290" s="11" t="n"/>
      <c r="B1290" s="12" t="n"/>
      <c r="C1290" s="12" t="n"/>
      <c r="D1290" s="12" t="n"/>
      <c r="E1290" s="13" t="n"/>
      <c r="F1290" s="12" t="n"/>
      <c r="G1290" s="13" t="n"/>
      <c r="H1290" s="12" t="n"/>
      <c r="I1290" s="12" t="n"/>
      <c r="J1290" s="12" t="n"/>
      <c r="K1290" s="12" t="n"/>
      <c r="L1290" s="11" t="n"/>
      <c r="M1290" s="11" t="n"/>
      <c r="N1290" s="11" t="n"/>
      <c r="O1290" s="11" t="n"/>
      <c r="P1290" s="12" t="n"/>
      <c r="Q1290" s="11" t="n"/>
      <c r="R1290" s="12" t="n"/>
      <c r="S1290" s="11" t="n"/>
      <c r="T1290" s="12" t="n"/>
      <c r="U1290" s="12" t="n"/>
      <c r="V1290" s="12" t="n"/>
      <c r="W1290" s="13" t="n"/>
      <c r="X1290" s="14">
        <f>IF($AP1290="",IF($B1290="","",$H1290),IF(INDEX(職員マスタ!$B$6:$B$405,$AP1290)="",$H1290,INDEX(職員マスタ!$B$6:$B$405,$AP1290)))</f>
        <v/>
      </c>
      <c r="Y1290" s="14">
        <f>IF($AP1290="",IF($B1290="","",$R1290),IF(INDEX(職員マスタ!$C$6:$C$405,$AP1290)="",$R1290,INDEX(職員マスタ!$C$6:$C$405,$AP1290)))</f>
        <v/>
      </c>
      <c r="Z1290" s="14">
        <f>IF($AQ1290="","","R"&amp;$C1290&amp;"."&amp;$D1290)</f>
        <v/>
      </c>
      <c r="AA1290" s="15">
        <f>IF(IF($AP1290="",FALSE,INDEX(職員マスタ!$K$6:$K$405,$AP1290)&lt;&gt;""),INDEX(職員マスタ!$K$6:$K$405,$AP1290),IF(N($W1290)&gt;0,$W1290,""))</f>
        <v/>
      </c>
      <c r="AB1290" s="14">
        <f>IF(OR($E1290="",$AA1290=""),"",IF($E1290&gt;=$AA1290,"×",IF($E1290&gt;=$AA1290*設定!$C$5,"△","○")))</f>
        <v/>
      </c>
      <c r="AC1290" s="15">
        <f>IF($AB1290="","",IF($AB1290="×",0,IF($AB1290="○",ROUNDDOWN($E1290*設定!$C$4,0),ROUNDDOWN($E1290*ROUND((9*$AA1290-9*$E1290)/(10*$E1290),4),0))))</f>
        <v/>
      </c>
      <c r="AD1290" s="13" t="n"/>
      <c r="AE1290" s="15">
        <f>IF($B1290="","",IF($AD1290&lt;&gt;"",$AD1290,IF($AC1290="","",IF($AC1290&lt;=設定!$C$3,0,$AC1290))))</f>
        <v/>
      </c>
      <c r="AF1290" s="14">
        <f>IF($B1290="","",IF(AND($AG1290&lt;&gt;"",$AI1290="",$AL1290=""),"保留中",IF($AL1290&lt;&gt;"",IF(N($AE1290)&gt;0,"支給済","不支給"),IF($AE1290="","要確認",IF($AE1290=0,"不支給","未処理")))))</f>
        <v/>
      </c>
      <c r="AG1290" s="12" t="n"/>
      <c r="AH1290" s="11" t="n"/>
      <c r="AI1290" s="11" t="n"/>
      <c r="AJ1290" s="11" t="n"/>
      <c r="AK1290" s="14">
        <f>IF(AND($AF1290="保留中",$AH1290&lt;&gt;""),TODAY()-$AH1290,"")</f>
        <v/>
      </c>
      <c r="AL1290" s="12" t="n"/>
      <c r="AM1290" s="14">
        <f>IF($B1290="","",IF($AQ1290="","対象年月が未入力／","")&amp;IF($B1290="","",IF($AP1290="","職員マスタに未登録の職員番号／",IF($AA1290="","標準報酬月額が未登録／","")&amp;IF(AND($AQ1290&lt;&gt;"",OR(AND(INDEX(職員マスタ!$G$6:$G$405,$AP1290)&lt;&gt;"",INDEX(職員マスタ!$G$6:$G$405,$AP1290)&gt;EOMONTH($AQ1290,0)),AND(INDEX(職員マスタ!$H$6:$H$405,$AP1290)&lt;&gt;"",INDEX(職員マスタ!$H$6:$H$405,$AP1290)&lt;$AQ1290))),"対象月が時短期間外／","")&amp;IF(AND(INDEX(職員マスタ!$K$6:$K$405,$AP1290)&lt;&gt;"",N($W1290)&gt;0,INDEX(職員マスタ!$K$6:$K$405,$AP1290)&lt;&gt;$W1290),"標準報酬月額が申請書と相違（台帳"&amp;TEXT(INDEX(職員マスタ!$K$6:$K$405,$AP1290),"#,##0")&amp;"円／申請書"&amp;TEXT($W1290,"#,##0")&amp;"円）／","")&amp;IF(AND(INDEX(職員マスタ!$F$6:$F$405,$AP1290)&lt;&gt;"",$AQ1290&lt;&gt;"",INDEX(職員マスタ!$F$6:$F$405,$AP1290)&lt;$AQ1290),"対象月に子が2歳到達済／","")&amp;IF(AND($H1290&lt;&gt;"",INDEX(職員マスタ!$B$6:$B$405,$AP1290)&lt;&gt;"",SUBSTITUTE(SUBSTITUTE($H1290," ","")," ","")&lt;&gt;SUBSTITUTE(SUBSTITUTE(INDEX(職員マスタ!$B$6:$B$405,$AP1290)," ","")," ","")),"氏名がマスタと相違／","")&amp;IF(AND($Q1290&lt;&gt;"",INDEX(職員マスタ!$E$6:$E$405,$AP1290)&lt;&gt;"",$Q1290&lt;&gt;INDEX(職員マスタ!$E$6:$E$405,$AP1290)),"子の生年月日がマスタと相違／","")&amp;IF(AND($L1290&lt;&gt;"",INDEX(職員マスタ!$G$6:$G$405,$AP1290)&lt;&gt;"",$L1290&lt;&gt;INDEX(職員マスタ!$G$6:$G$405,$AP1290)),"時短開始日がマスタと相違／","")&amp;IF(AND($M1290&lt;&gt;"",INDEX(職員マスタ!$H$6:$H$405,$AP1290)&lt;&gt;"",$M1290&lt;&gt;INDEX(職員マスタ!$H$6:$H$405,$AP1290)),"時短終了日がマスタと相違／","")))&amp;IF(AND($B1290&lt;&gt;"",$E1290=""),"報酬額が未入力／","")&amp;IF(N($U1290)&gt;0,"申請書に入力エラーが残っています／","")&amp;IF(AND($B1290&lt;&gt;"",$AQ1290&lt;&gt;""),IF(COUNTIFS($B$6:$B$3005,$B1290,$C$6:$C$3005,$C1290,$D$6:$D$3005,$D1290)&gt;1,"同じ月の請求が重複しています／",""),"")&amp;IF(AND(N($E1290)&gt;0,$AB1290&lt;&gt;"",$AB1290&lt;&gt;"×",$AE1290=0,$AD1290=""),"計算額が下限以下のため不支給／",""))</f>
        <v/>
      </c>
      <c r="AN1290" s="12" t="n"/>
      <c r="AO1290" s="14">
        <f>IF($AF1290="保留中",COUNTIF($AF$6:$AF1290,"保留中"),"")</f>
        <v/>
      </c>
      <c r="AP1290" s="14">
        <f>IF($AQ1290="","",IF(SUMPRODUCT(MAX((職員マスタ!$A$6:$A$405=$B1290)*(((職員マスタ!$G$6:$G$405="")+(職員マスタ!$G$6:$G$405&lt;=EOMONTH($AQ1290,0)))&gt;0)*(((職員マスタ!$H$6:$H$405="")+(職員マスタ!$H$6:$H$405&gt;=$AQ1290))&gt;0)*(ROW(職員マスタ!$A$6:$A$405)-5)))&gt;0,SUMPRODUCT(MAX((職員マスタ!$A$6:$A$405=$B1290)*(((職員マスタ!$G$6:$G$405="")+(職員マスタ!$G$6:$G$405&lt;=EOMONTH($AQ1290,0)))&gt;0)*(((職員マスタ!$H$6:$H$405="")+(職員マスタ!$H$6:$H$405&gt;=$AQ1290))&gt;0)*(ROW(職員マスタ!$A$6:$A$405)-5))),IFERROR(MATCH($B1290,職員マスタ!$A$6:$A$405,0),"")))</f>
        <v/>
      </c>
      <c r="AQ1290" s="16">
        <f>IF(OR($B1290="",$C1290="",$D1290=""),"",DATE($C1290+2018,$D1290,1))</f>
        <v/>
      </c>
    </row>
    <row r="1291">
      <c r="A1291" s="11" t="n"/>
      <c r="B1291" s="12" t="n"/>
      <c r="C1291" s="12" t="n"/>
      <c r="D1291" s="12" t="n"/>
      <c r="E1291" s="13" t="n"/>
      <c r="F1291" s="12" t="n"/>
      <c r="G1291" s="13" t="n"/>
      <c r="H1291" s="12" t="n"/>
      <c r="I1291" s="12" t="n"/>
      <c r="J1291" s="12" t="n"/>
      <c r="K1291" s="12" t="n"/>
      <c r="L1291" s="11" t="n"/>
      <c r="M1291" s="11" t="n"/>
      <c r="N1291" s="11" t="n"/>
      <c r="O1291" s="11" t="n"/>
      <c r="P1291" s="12" t="n"/>
      <c r="Q1291" s="11" t="n"/>
      <c r="R1291" s="12" t="n"/>
      <c r="S1291" s="11" t="n"/>
      <c r="T1291" s="12" t="n"/>
      <c r="U1291" s="12" t="n"/>
      <c r="V1291" s="12" t="n"/>
      <c r="W1291" s="13" t="n"/>
      <c r="X1291" s="14">
        <f>IF($AP1291="",IF($B1291="","",$H1291),IF(INDEX(職員マスタ!$B$6:$B$405,$AP1291)="",$H1291,INDEX(職員マスタ!$B$6:$B$405,$AP1291)))</f>
        <v/>
      </c>
      <c r="Y1291" s="14">
        <f>IF($AP1291="",IF($B1291="","",$R1291),IF(INDEX(職員マスタ!$C$6:$C$405,$AP1291)="",$R1291,INDEX(職員マスタ!$C$6:$C$405,$AP1291)))</f>
        <v/>
      </c>
      <c r="Z1291" s="14">
        <f>IF($AQ1291="","","R"&amp;$C1291&amp;"."&amp;$D1291)</f>
        <v/>
      </c>
      <c r="AA1291" s="15">
        <f>IF(IF($AP1291="",FALSE,INDEX(職員マスタ!$K$6:$K$405,$AP1291)&lt;&gt;""),INDEX(職員マスタ!$K$6:$K$405,$AP1291),IF(N($W1291)&gt;0,$W1291,""))</f>
        <v/>
      </c>
      <c r="AB1291" s="14">
        <f>IF(OR($E1291="",$AA1291=""),"",IF($E1291&gt;=$AA1291,"×",IF($E1291&gt;=$AA1291*設定!$C$5,"△","○")))</f>
        <v/>
      </c>
      <c r="AC1291" s="15">
        <f>IF($AB1291="","",IF($AB1291="×",0,IF($AB1291="○",ROUNDDOWN($E1291*設定!$C$4,0),ROUNDDOWN($E1291*ROUND((9*$AA1291-9*$E1291)/(10*$E1291),4),0))))</f>
        <v/>
      </c>
      <c r="AD1291" s="13" t="n"/>
      <c r="AE1291" s="15">
        <f>IF($B1291="","",IF($AD1291&lt;&gt;"",$AD1291,IF($AC1291="","",IF($AC1291&lt;=設定!$C$3,0,$AC1291))))</f>
        <v/>
      </c>
      <c r="AF1291" s="14">
        <f>IF($B1291="","",IF(AND($AG1291&lt;&gt;"",$AI1291="",$AL1291=""),"保留中",IF($AL1291&lt;&gt;"",IF(N($AE1291)&gt;0,"支給済","不支給"),IF($AE1291="","要確認",IF($AE1291=0,"不支給","未処理")))))</f>
        <v/>
      </c>
      <c r="AG1291" s="12" t="n"/>
      <c r="AH1291" s="11" t="n"/>
      <c r="AI1291" s="11" t="n"/>
      <c r="AJ1291" s="11" t="n"/>
      <c r="AK1291" s="14">
        <f>IF(AND($AF1291="保留中",$AH1291&lt;&gt;""),TODAY()-$AH1291,"")</f>
        <v/>
      </c>
      <c r="AL1291" s="12" t="n"/>
      <c r="AM1291" s="14">
        <f>IF($B1291="","",IF($AQ1291="","対象年月が未入力／","")&amp;IF($B1291="","",IF($AP1291="","職員マスタに未登録の職員番号／",IF($AA1291="","標準報酬月額が未登録／","")&amp;IF(AND($AQ1291&lt;&gt;"",OR(AND(INDEX(職員マスタ!$G$6:$G$405,$AP1291)&lt;&gt;"",INDEX(職員マスタ!$G$6:$G$405,$AP1291)&gt;EOMONTH($AQ1291,0)),AND(INDEX(職員マスタ!$H$6:$H$405,$AP1291)&lt;&gt;"",INDEX(職員マスタ!$H$6:$H$405,$AP1291)&lt;$AQ1291))),"対象月が時短期間外／","")&amp;IF(AND(INDEX(職員マスタ!$K$6:$K$405,$AP1291)&lt;&gt;"",N($W1291)&gt;0,INDEX(職員マスタ!$K$6:$K$405,$AP1291)&lt;&gt;$W1291),"標準報酬月額が申請書と相違（台帳"&amp;TEXT(INDEX(職員マスタ!$K$6:$K$405,$AP1291),"#,##0")&amp;"円／申請書"&amp;TEXT($W1291,"#,##0")&amp;"円）／","")&amp;IF(AND(INDEX(職員マスタ!$F$6:$F$405,$AP1291)&lt;&gt;"",$AQ1291&lt;&gt;"",INDEX(職員マスタ!$F$6:$F$405,$AP1291)&lt;$AQ1291),"対象月に子が2歳到達済／","")&amp;IF(AND($H1291&lt;&gt;"",INDEX(職員マスタ!$B$6:$B$405,$AP1291)&lt;&gt;"",SUBSTITUTE(SUBSTITUTE($H1291," ","")," ","")&lt;&gt;SUBSTITUTE(SUBSTITUTE(INDEX(職員マスタ!$B$6:$B$405,$AP1291)," ","")," ","")),"氏名がマスタと相違／","")&amp;IF(AND($Q1291&lt;&gt;"",INDEX(職員マスタ!$E$6:$E$405,$AP1291)&lt;&gt;"",$Q1291&lt;&gt;INDEX(職員マスタ!$E$6:$E$405,$AP1291)),"子の生年月日がマスタと相違／","")&amp;IF(AND($L1291&lt;&gt;"",INDEX(職員マスタ!$G$6:$G$405,$AP1291)&lt;&gt;"",$L1291&lt;&gt;INDEX(職員マスタ!$G$6:$G$405,$AP1291)),"時短開始日がマスタと相違／","")&amp;IF(AND($M1291&lt;&gt;"",INDEX(職員マスタ!$H$6:$H$405,$AP1291)&lt;&gt;"",$M1291&lt;&gt;INDEX(職員マスタ!$H$6:$H$405,$AP1291)),"時短終了日がマスタと相違／","")))&amp;IF(AND($B1291&lt;&gt;"",$E1291=""),"報酬額が未入力／","")&amp;IF(N($U1291)&gt;0,"申請書に入力エラーが残っています／","")&amp;IF(AND($B1291&lt;&gt;"",$AQ1291&lt;&gt;""),IF(COUNTIFS($B$6:$B$3005,$B1291,$C$6:$C$3005,$C1291,$D$6:$D$3005,$D1291)&gt;1,"同じ月の請求が重複しています／",""),"")&amp;IF(AND(N($E1291)&gt;0,$AB1291&lt;&gt;"",$AB1291&lt;&gt;"×",$AE1291=0,$AD1291=""),"計算額が下限以下のため不支給／",""))</f>
        <v/>
      </c>
      <c r="AN1291" s="12" t="n"/>
      <c r="AO1291" s="14">
        <f>IF($AF1291="保留中",COUNTIF($AF$6:$AF1291,"保留中"),"")</f>
        <v/>
      </c>
      <c r="AP1291" s="14">
        <f>IF($AQ1291="","",IF(SUMPRODUCT(MAX((職員マスタ!$A$6:$A$405=$B1291)*(((職員マスタ!$G$6:$G$405="")+(職員マスタ!$G$6:$G$405&lt;=EOMONTH($AQ1291,0)))&gt;0)*(((職員マスタ!$H$6:$H$405="")+(職員マスタ!$H$6:$H$405&gt;=$AQ1291))&gt;0)*(ROW(職員マスタ!$A$6:$A$405)-5)))&gt;0,SUMPRODUCT(MAX((職員マスタ!$A$6:$A$405=$B1291)*(((職員マスタ!$G$6:$G$405="")+(職員マスタ!$G$6:$G$405&lt;=EOMONTH($AQ1291,0)))&gt;0)*(((職員マスタ!$H$6:$H$405="")+(職員マスタ!$H$6:$H$405&gt;=$AQ1291))&gt;0)*(ROW(職員マスタ!$A$6:$A$405)-5))),IFERROR(MATCH($B1291,職員マスタ!$A$6:$A$405,0),"")))</f>
        <v/>
      </c>
      <c r="AQ1291" s="16">
        <f>IF(OR($B1291="",$C1291="",$D1291=""),"",DATE($C1291+2018,$D1291,1))</f>
        <v/>
      </c>
    </row>
    <row r="1292">
      <c r="A1292" s="11" t="n"/>
      <c r="B1292" s="12" t="n"/>
      <c r="C1292" s="12" t="n"/>
      <c r="D1292" s="12" t="n"/>
      <c r="E1292" s="13" t="n"/>
      <c r="F1292" s="12" t="n"/>
      <c r="G1292" s="13" t="n"/>
      <c r="H1292" s="12" t="n"/>
      <c r="I1292" s="12" t="n"/>
      <c r="J1292" s="12" t="n"/>
      <c r="K1292" s="12" t="n"/>
      <c r="L1292" s="11" t="n"/>
      <c r="M1292" s="11" t="n"/>
      <c r="N1292" s="11" t="n"/>
      <c r="O1292" s="11" t="n"/>
      <c r="P1292" s="12" t="n"/>
      <c r="Q1292" s="11" t="n"/>
      <c r="R1292" s="12" t="n"/>
      <c r="S1292" s="11" t="n"/>
      <c r="T1292" s="12" t="n"/>
      <c r="U1292" s="12" t="n"/>
      <c r="V1292" s="12" t="n"/>
      <c r="W1292" s="13" t="n"/>
      <c r="X1292" s="14">
        <f>IF($AP1292="",IF($B1292="","",$H1292),IF(INDEX(職員マスタ!$B$6:$B$405,$AP1292)="",$H1292,INDEX(職員マスタ!$B$6:$B$405,$AP1292)))</f>
        <v/>
      </c>
      <c r="Y1292" s="14">
        <f>IF($AP1292="",IF($B1292="","",$R1292),IF(INDEX(職員マスタ!$C$6:$C$405,$AP1292)="",$R1292,INDEX(職員マスタ!$C$6:$C$405,$AP1292)))</f>
        <v/>
      </c>
      <c r="Z1292" s="14">
        <f>IF($AQ1292="","","R"&amp;$C1292&amp;"."&amp;$D1292)</f>
        <v/>
      </c>
      <c r="AA1292" s="15">
        <f>IF(IF($AP1292="",FALSE,INDEX(職員マスタ!$K$6:$K$405,$AP1292)&lt;&gt;""),INDEX(職員マスタ!$K$6:$K$405,$AP1292),IF(N($W1292)&gt;0,$W1292,""))</f>
        <v/>
      </c>
      <c r="AB1292" s="14">
        <f>IF(OR($E1292="",$AA1292=""),"",IF($E1292&gt;=$AA1292,"×",IF($E1292&gt;=$AA1292*設定!$C$5,"△","○")))</f>
        <v/>
      </c>
      <c r="AC1292" s="15">
        <f>IF($AB1292="","",IF($AB1292="×",0,IF($AB1292="○",ROUNDDOWN($E1292*設定!$C$4,0),ROUNDDOWN($E1292*ROUND((9*$AA1292-9*$E1292)/(10*$E1292),4),0))))</f>
        <v/>
      </c>
      <c r="AD1292" s="13" t="n"/>
      <c r="AE1292" s="15">
        <f>IF($B1292="","",IF($AD1292&lt;&gt;"",$AD1292,IF($AC1292="","",IF($AC1292&lt;=設定!$C$3,0,$AC1292))))</f>
        <v/>
      </c>
      <c r="AF1292" s="14">
        <f>IF($B1292="","",IF(AND($AG1292&lt;&gt;"",$AI1292="",$AL1292=""),"保留中",IF($AL1292&lt;&gt;"",IF(N($AE1292)&gt;0,"支給済","不支給"),IF($AE1292="","要確認",IF($AE1292=0,"不支給","未処理")))))</f>
        <v/>
      </c>
      <c r="AG1292" s="12" t="n"/>
      <c r="AH1292" s="11" t="n"/>
      <c r="AI1292" s="11" t="n"/>
      <c r="AJ1292" s="11" t="n"/>
      <c r="AK1292" s="14">
        <f>IF(AND($AF1292="保留中",$AH1292&lt;&gt;""),TODAY()-$AH1292,"")</f>
        <v/>
      </c>
      <c r="AL1292" s="12" t="n"/>
      <c r="AM1292" s="14">
        <f>IF($B1292="","",IF($AQ1292="","対象年月が未入力／","")&amp;IF($B1292="","",IF($AP1292="","職員マスタに未登録の職員番号／",IF($AA1292="","標準報酬月額が未登録／","")&amp;IF(AND($AQ1292&lt;&gt;"",OR(AND(INDEX(職員マスタ!$G$6:$G$405,$AP1292)&lt;&gt;"",INDEX(職員マスタ!$G$6:$G$405,$AP1292)&gt;EOMONTH($AQ1292,0)),AND(INDEX(職員マスタ!$H$6:$H$405,$AP1292)&lt;&gt;"",INDEX(職員マスタ!$H$6:$H$405,$AP1292)&lt;$AQ1292))),"対象月が時短期間外／","")&amp;IF(AND(INDEX(職員マスタ!$K$6:$K$405,$AP1292)&lt;&gt;"",N($W1292)&gt;0,INDEX(職員マスタ!$K$6:$K$405,$AP1292)&lt;&gt;$W1292),"標準報酬月額が申請書と相違（台帳"&amp;TEXT(INDEX(職員マスタ!$K$6:$K$405,$AP1292),"#,##0")&amp;"円／申請書"&amp;TEXT($W1292,"#,##0")&amp;"円）／","")&amp;IF(AND(INDEX(職員マスタ!$F$6:$F$405,$AP1292)&lt;&gt;"",$AQ1292&lt;&gt;"",INDEX(職員マスタ!$F$6:$F$405,$AP1292)&lt;$AQ1292),"対象月に子が2歳到達済／","")&amp;IF(AND($H1292&lt;&gt;"",INDEX(職員マスタ!$B$6:$B$405,$AP1292)&lt;&gt;"",SUBSTITUTE(SUBSTITUTE($H1292," ","")," ","")&lt;&gt;SUBSTITUTE(SUBSTITUTE(INDEX(職員マスタ!$B$6:$B$405,$AP1292)," ","")," ","")),"氏名がマスタと相違／","")&amp;IF(AND($Q1292&lt;&gt;"",INDEX(職員マスタ!$E$6:$E$405,$AP1292)&lt;&gt;"",$Q1292&lt;&gt;INDEX(職員マスタ!$E$6:$E$405,$AP1292)),"子の生年月日がマスタと相違／","")&amp;IF(AND($L1292&lt;&gt;"",INDEX(職員マスタ!$G$6:$G$405,$AP1292)&lt;&gt;"",$L1292&lt;&gt;INDEX(職員マスタ!$G$6:$G$405,$AP1292)),"時短開始日がマスタと相違／","")&amp;IF(AND($M1292&lt;&gt;"",INDEX(職員マスタ!$H$6:$H$405,$AP1292)&lt;&gt;"",$M1292&lt;&gt;INDEX(職員マスタ!$H$6:$H$405,$AP1292)),"時短終了日がマスタと相違／","")))&amp;IF(AND($B1292&lt;&gt;"",$E1292=""),"報酬額が未入力／","")&amp;IF(N($U1292)&gt;0,"申請書に入力エラーが残っています／","")&amp;IF(AND($B1292&lt;&gt;"",$AQ1292&lt;&gt;""),IF(COUNTIFS($B$6:$B$3005,$B1292,$C$6:$C$3005,$C1292,$D$6:$D$3005,$D1292)&gt;1,"同じ月の請求が重複しています／",""),"")&amp;IF(AND(N($E1292)&gt;0,$AB1292&lt;&gt;"",$AB1292&lt;&gt;"×",$AE1292=0,$AD1292=""),"計算額が下限以下のため不支給／",""))</f>
        <v/>
      </c>
      <c r="AN1292" s="12" t="n"/>
      <c r="AO1292" s="14">
        <f>IF($AF1292="保留中",COUNTIF($AF$6:$AF1292,"保留中"),"")</f>
        <v/>
      </c>
      <c r="AP1292" s="14">
        <f>IF($AQ1292="","",IF(SUMPRODUCT(MAX((職員マスタ!$A$6:$A$405=$B1292)*(((職員マスタ!$G$6:$G$405="")+(職員マスタ!$G$6:$G$405&lt;=EOMONTH($AQ1292,0)))&gt;0)*(((職員マスタ!$H$6:$H$405="")+(職員マスタ!$H$6:$H$405&gt;=$AQ1292))&gt;0)*(ROW(職員マスタ!$A$6:$A$405)-5)))&gt;0,SUMPRODUCT(MAX((職員マスタ!$A$6:$A$405=$B1292)*(((職員マスタ!$G$6:$G$405="")+(職員マスタ!$G$6:$G$405&lt;=EOMONTH($AQ1292,0)))&gt;0)*(((職員マスタ!$H$6:$H$405="")+(職員マスタ!$H$6:$H$405&gt;=$AQ1292))&gt;0)*(ROW(職員マスタ!$A$6:$A$405)-5))),IFERROR(MATCH($B1292,職員マスタ!$A$6:$A$405,0),"")))</f>
        <v/>
      </c>
      <c r="AQ1292" s="16">
        <f>IF(OR($B1292="",$C1292="",$D1292=""),"",DATE($C1292+2018,$D1292,1))</f>
        <v/>
      </c>
    </row>
    <row r="1293">
      <c r="A1293" s="11" t="n"/>
      <c r="B1293" s="12" t="n"/>
      <c r="C1293" s="12" t="n"/>
      <c r="D1293" s="12" t="n"/>
      <c r="E1293" s="13" t="n"/>
      <c r="F1293" s="12" t="n"/>
      <c r="G1293" s="13" t="n"/>
      <c r="H1293" s="12" t="n"/>
      <c r="I1293" s="12" t="n"/>
      <c r="J1293" s="12" t="n"/>
      <c r="K1293" s="12" t="n"/>
      <c r="L1293" s="11" t="n"/>
      <c r="M1293" s="11" t="n"/>
      <c r="N1293" s="11" t="n"/>
      <c r="O1293" s="11" t="n"/>
      <c r="P1293" s="12" t="n"/>
      <c r="Q1293" s="11" t="n"/>
      <c r="R1293" s="12" t="n"/>
      <c r="S1293" s="11" t="n"/>
      <c r="T1293" s="12" t="n"/>
      <c r="U1293" s="12" t="n"/>
      <c r="V1293" s="12" t="n"/>
      <c r="W1293" s="13" t="n"/>
      <c r="X1293" s="14">
        <f>IF($AP1293="",IF($B1293="","",$H1293),IF(INDEX(職員マスタ!$B$6:$B$405,$AP1293)="",$H1293,INDEX(職員マスタ!$B$6:$B$405,$AP1293)))</f>
        <v/>
      </c>
      <c r="Y1293" s="14">
        <f>IF($AP1293="",IF($B1293="","",$R1293),IF(INDEX(職員マスタ!$C$6:$C$405,$AP1293)="",$R1293,INDEX(職員マスタ!$C$6:$C$405,$AP1293)))</f>
        <v/>
      </c>
      <c r="Z1293" s="14">
        <f>IF($AQ1293="","","R"&amp;$C1293&amp;"."&amp;$D1293)</f>
        <v/>
      </c>
      <c r="AA1293" s="15">
        <f>IF(IF($AP1293="",FALSE,INDEX(職員マスタ!$K$6:$K$405,$AP1293)&lt;&gt;""),INDEX(職員マスタ!$K$6:$K$405,$AP1293),IF(N($W1293)&gt;0,$W1293,""))</f>
        <v/>
      </c>
      <c r="AB1293" s="14">
        <f>IF(OR($E1293="",$AA1293=""),"",IF($E1293&gt;=$AA1293,"×",IF($E1293&gt;=$AA1293*設定!$C$5,"△","○")))</f>
        <v/>
      </c>
      <c r="AC1293" s="15">
        <f>IF($AB1293="","",IF($AB1293="×",0,IF($AB1293="○",ROUNDDOWN($E1293*設定!$C$4,0),ROUNDDOWN($E1293*ROUND((9*$AA1293-9*$E1293)/(10*$E1293),4),0))))</f>
        <v/>
      </c>
      <c r="AD1293" s="13" t="n"/>
      <c r="AE1293" s="15">
        <f>IF($B1293="","",IF($AD1293&lt;&gt;"",$AD1293,IF($AC1293="","",IF($AC1293&lt;=設定!$C$3,0,$AC1293))))</f>
        <v/>
      </c>
      <c r="AF1293" s="14">
        <f>IF($B1293="","",IF(AND($AG1293&lt;&gt;"",$AI1293="",$AL1293=""),"保留中",IF($AL1293&lt;&gt;"",IF(N($AE1293)&gt;0,"支給済","不支給"),IF($AE1293="","要確認",IF($AE1293=0,"不支給","未処理")))))</f>
        <v/>
      </c>
      <c r="AG1293" s="12" t="n"/>
      <c r="AH1293" s="11" t="n"/>
      <c r="AI1293" s="11" t="n"/>
      <c r="AJ1293" s="11" t="n"/>
      <c r="AK1293" s="14">
        <f>IF(AND($AF1293="保留中",$AH1293&lt;&gt;""),TODAY()-$AH1293,"")</f>
        <v/>
      </c>
      <c r="AL1293" s="12" t="n"/>
      <c r="AM1293" s="14">
        <f>IF($B1293="","",IF($AQ1293="","対象年月が未入力／","")&amp;IF($B1293="","",IF($AP1293="","職員マスタに未登録の職員番号／",IF($AA1293="","標準報酬月額が未登録／","")&amp;IF(AND($AQ1293&lt;&gt;"",OR(AND(INDEX(職員マスタ!$G$6:$G$405,$AP1293)&lt;&gt;"",INDEX(職員マスタ!$G$6:$G$405,$AP1293)&gt;EOMONTH($AQ1293,0)),AND(INDEX(職員マスタ!$H$6:$H$405,$AP1293)&lt;&gt;"",INDEX(職員マスタ!$H$6:$H$405,$AP1293)&lt;$AQ1293))),"対象月が時短期間外／","")&amp;IF(AND(INDEX(職員マスタ!$K$6:$K$405,$AP1293)&lt;&gt;"",N($W1293)&gt;0,INDEX(職員マスタ!$K$6:$K$405,$AP1293)&lt;&gt;$W1293),"標準報酬月額が申請書と相違（台帳"&amp;TEXT(INDEX(職員マスタ!$K$6:$K$405,$AP1293),"#,##0")&amp;"円／申請書"&amp;TEXT($W1293,"#,##0")&amp;"円）／","")&amp;IF(AND(INDEX(職員マスタ!$F$6:$F$405,$AP1293)&lt;&gt;"",$AQ1293&lt;&gt;"",INDEX(職員マスタ!$F$6:$F$405,$AP1293)&lt;$AQ1293),"対象月に子が2歳到達済／","")&amp;IF(AND($H1293&lt;&gt;"",INDEX(職員マスタ!$B$6:$B$405,$AP1293)&lt;&gt;"",SUBSTITUTE(SUBSTITUTE($H1293," ","")," ","")&lt;&gt;SUBSTITUTE(SUBSTITUTE(INDEX(職員マスタ!$B$6:$B$405,$AP1293)," ","")," ","")),"氏名がマスタと相違／","")&amp;IF(AND($Q1293&lt;&gt;"",INDEX(職員マスタ!$E$6:$E$405,$AP1293)&lt;&gt;"",$Q1293&lt;&gt;INDEX(職員マスタ!$E$6:$E$405,$AP1293)),"子の生年月日がマスタと相違／","")&amp;IF(AND($L1293&lt;&gt;"",INDEX(職員マスタ!$G$6:$G$405,$AP1293)&lt;&gt;"",$L1293&lt;&gt;INDEX(職員マスタ!$G$6:$G$405,$AP1293)),"時短開始日がマスタと相違／","")&amp;IF(AND($M1293&lt;&gt;"",INDEX(職員マスタ!$H$6:$H$405,$AP1293)&lt;&gt;"",$M1293&lt;&gt;INDEX(職員マスタ!$H$6:$H$405,$AP1293)),"時短終了日がマスタと相違／","")))&amp;IF(AND($B1293&lt;&gt;"",$E1293=""),"報酬額が未入力／","")&amp;IF(N($U1293)&gt;0,"申請書に入力エラーが残っています／","")&amp;IF(AND($B1293&lt;&gt;"",$AQ1293&lt;&gt;""),IF(COUNTIFS($B$6:$B$3005,$B1293,$C$6:$C$3005,$C1293,$D$6:$D$3005,$D1293)&gt;1,"同じ月の請求が重複しています／",""),"")&amp;IF(AND(N($E1293)&gt;0,$AB1293&lt;&gt;"",$AB1293&lt;&gt;"×",$AE1293=0,$AD1293=""),"計算額が下限以下のため不支給／",""))</f>
        <v/>
      </c>
      <c r="AN1293" s="12" t="n"/>
      <c r="AO1293" s="14">
        <f>IF($AF1293="保留中",COUNTIF($AF$6:$AF1293,"保留中"),"")</f>
        <v/>
      </c>
      <c r="AP1293" s="14">
        <f>IF($AQ1293="","",IF(SUMPRODUCT(MAX((職員マスタ!$A$6:$A$405=$B1293)*(((職員マスタ!$G$6:$G$405="")+(職員マスタ!$G$6:$G$405&lt;=EOMONTH($AQ1293,0)))&gt;0)*(((職員マスタ!$H$6:$H$405="")+(職員マスタ!$H$6:$H$405&gt;=$AQ1293))&gt;0)*(ROW(職員マスタ!$A$6:$A$405)-5)))&gt;0,SUMPRODUCT(MAX((職員マスタ!$A$6:$A$405=$B1293)*(((職員マスタ!$G$6:$G$405="")+(職員マスタ!$G$6:$G$405&lt;=EOMONTH($AQ1293,0)))&gt;0)*(((職員マスタ!$H$6:$H$405="")+(職員マスタ!$H$6:$H$405&gt;=$AQ1293))&gt;0)*(ROW(職員マスタ!$A$6:$A$405)-5))),IFERROR(MATCH($B1293,職員マスタ!$A$6:$A$405,0),"")))</f>
        <v/>
      </c>
      <c r="AQ1293" s="16">
        <f>IF(OR($B1293="",$C1293="",$D1293=""),"",DATE($C1293+2018,$D1293,1))</f>
        <v/>
      </c>
    </row>
    <row r="1294">
      <c r="A1294" s="11" t="n"/>
      <c r="B1294" s="12" t="n"/>
      <c r="C1294" s="12" t="n"/>
      <c r="D1294" s="12" t="n"/>
      <c r="E1294" s="13" t="n"/>
      <c r="F1294" s="12" t="n"/>
      <c r="G1294" s="13" t="n"/>
      <c r="H1294" s="12" t="n"/>
      <c r="I1294" s="12" t="n"/>
      <c r="J1294" s="12" t="n"/>
      <c r="K1294" s="12" t="n"/>
      <c r="L1294" s="11" t="n"/>
      <c r="M1294" s="11" t="n"/>
      <c r="N1294" s="11" t="n"/>
      <c r="O1294" s="11" t="n"/>
      <c r="P1294" s="12" t="n"/>
      <c r="Q1294" s="11" t="n"/>
      <c r="R1294" s="12" t="n"/>
      <c r="S1294" s="11" t="n"/>
      <c r="T1294" s="12" t="n"/>
      <c r="U1294" s="12" t="n"/>
      <c r="V1294" s="12" t="n"/>
      <c r="W1294" s="13" t="n"/>
      <c r="X1294" s="14">
        <f>IF($AP1294="",IF($B1294="","",$H1294),IF(INDEX(職員マスタ!$B$6:$B$405,$AP1294)="",$H1294,INDEX(職員マスタ!$B$6:$B$405,$AP1294)))</f>
        <v/>
      </c>
      <c r="Y1294" s="14">
        <f>IF($AP1294="",IF($B1294="","",$R1294),IF(INDEX(職員マスタ!$C$6:$C$405,$AP1294)="",$R1294,INDEX(職員マスタ!$C$6:$C$405,$AP1294)))</f>
        <v/>
      </c>
      <c r="Z1294" s="14">
        <f>IF($AQ1294="","","R"&amp;$C1294&amp;"."&amp;$D1294)</f>
        <v/>
      </c>
      <c r="AA1294" s="15">
        <f>IF(IF($AP1294="",FALSE,INDEX(職員マスタ!$K$6:$K$405,$AP1294)&lt;&gt;""),INDEX(職員マスタ!$K$6:$K$405,$AP1294),IF(N($W1294)&gt;0,$W1294,""))</f>
        <v/>
      </c>
      <c r="AB1294" s="14">
        <f>IF(OR($E1294="",$AA1294=""),"",IF($E1294&gt;=$AA1294,"×",IF($E1294&gt;=$AA1294*設定!$C$5,"△","○")))</f>
        <v/>
      </c>
      <c r="AC1294" s="15">
        <f>IF($AB1294="","",IF($AB1294="×",0,IF($AB1294="○",ROUNDDOWN($E1294*設定!$C$4,0),ROUNDDOWN($E1294*ROUND((9*$AA1294-9*$E1294)/(10*$E1294),4),0))))</f>
        <v/>
      </c>
      <c r="AD1294" s="13" t="n"/>
      <c r="AE1294" s="15">
        <f>IF($B1294="","",IF($AD1294&lt;&gt;"",$AD1294,IF($AC1294="","",IF($AC1294&lt;=設定!$C$3,0,$AC1294))))</f>
        <v/>
      </c>
      <c r="AF1294" s="14">
        <f>IF($B1294="","",IF(AND($AG1294&lt;&gt;"",$AI1294="",$AL1294=""),"保留中",IF($AL1294&lt;&gt;"",IF(N($AE1294)&gt;0,"支給済","不支給"),IF($AE1294="","要確認",IF($AE1294=0,"不支給","未処理")))))</f>
        <v/>
      </c>
      <c r="AG1294" s="12" t="n"/>
      <c r="AH1294" s="11" t="n"/>
      <c r="AI1294" s="11" t="n"/>
      <c r="AJ1294" s="11" t="n"/>
      <c r="AK1294" s="14">
        <f>IF(AND($AF1294="保留中",$AH1294&lt;&gt;""),TODAY()-$AH1294,"")</f>
        <v/>
      </c>
      <c r="AL1294" s="12" t="n"/>
      <c r="AM1294" s="14">
        <f>IF($B1294="","",IF($AQ1294="","対象年月が未入力／","")&amp;IF($B1294="","",IF($AP1294="","職員マスタに未登録の職員番号／",IF($AA1294="","標準報酬月額が未登録／","")&amp;IF(AND($AQ1294&lt;&gt;"",OR(AND(INDEX(職員マスタ!$G$6:$G$405,$AP1294)&lt;&gt;"",INDEX(職員マスタ!$G$6:$G$405,$AP1294)&gt;EOMONTH($AQ1294,0)),AND(INDEX(職員マスタ!$H$6:$H$405,$AP1294)&lt;&gt;"",INDEX(職員マスタ!$H$6:$H$405,$AP1294)&lt;$AQ1294))),"対象月が時短期間外／","")&amp;IF(AND(INDEX(職員マスタ!$K$6:$K$405,$AP1294)&lt;&gt;"",N($W1294)&gt;0,INDEX(職員マスタ!$K$6:$K$405,$AP1294)&lt;&gt;$W1294),"標準報酬月額が申請書と相違（台帳"&amp;TEXT(INDEX(職員マスタ!$K$6:$K$405,$AP1294),"#,##0")&amp;"円／申請書"&amp;TEXT($W1294,"#,##0")&amp;"円）／","")&amp;IF(AND(INDEX(職員マスタ!$F$6:$F$405,$AP1294)&lt;&gt;"",$AQ1294&lt;&gt;"",INDEX(職員マスタ!$F$6:$F$405,$AP1294)&lt;$AQ1294),"対象月に子が2歳到達済／","")&amp;IF(AND($H1294&lt;&gt;"",INDEX(職員マスタ!$B$6:$B$405,$AP1294)&lt;&gt;"",SUBSTITUTE(SUBSTITUTE($H1294," ","")," ","")&lt;&gt;SUBSTITUTE(SUBSTITUTE(INDEX(職員マスタ!$B$6:$B$405,$AP1294)," ","")," ","")),"氏名がマスタと相違／","")&amp;IF(AND($Q1294&lt;&gt;"",INDEX(職員マスタ!$E$6:$E$405,$AP1294)&lt;&gt;"",$Q1294&lt;&gt;INDEX(職員マスタ!$E$6:$E$405,$AP1294)),"子の生年月日がマスタと相違／","")&amp;IF(AND($L1294&lt;&gt;"",INDEX(職員マスタ!$G$6:$G$405,$AP1294)&lt;&gt;"",$L1294&lt;&gt;INDEX(職員マスタ!$G$6:$G$405,$AP1294)),"時短開始日がマスタと相違／","")&amp;IF(AND($M1294&lt;&gt;"",INDEX(職員マスタ!$H$6:$H$405,$AP1294)&lt;&gt;"",$M1294&lt;&gt;INDEX(職員マスタ!$H$6:$H$405,$AP1294)),"時短終了日がマスタと相違／","")))&amp;IF(AND($B1294&lt;&gt;"",$E1294=""),"報酬額が未入力／","")&amp;IF(N($U1294)&gt;0,"申請書に入力エラーが残っています／","")&amp;IF(AND($B1294&lt;&gt;"",$AQ1294&lt;&gt;""),IF(COUNTIFS($B$6:$B$3005,$B1294,$C$6:$C$3005,$C1294,$D$6:$D$3005,$D1294)&gt;1,"同じ月の請求が重複しています／",""),"")&amp;IF(AND(N($E1294)&gt;0,$AB1294&lt;&gt;"",$AB1294&lt;&gt;"×",$AE1294=0,$AD1294=""),"計算額が下限以下のため不支給／",""))</f>
        <v/>
      </c>
      <c r="AN1294" s="12" t="n"/>
      <c r="AO1294" s="14">
        <f>IF($AF1294="保留中",COUNTIF($AF$6:$AF1294,"保留中"),"")</f>
        <v/>
      </c>
      <c r="AP1294" s="14">
        <f>IF($AQ1294="","",IF(SUMPRODUCT(MAX((職員マスタ!$A$6:$A$405=$B1294)*(((職員マスタ!$G$6:$G$405="")+(職員マスタ!$G$6:$G$405&lt;=EOMONTH($AQ1294,0)))&gt;0)*(((職員マスタ!$H$6:$H$405="")+(職員マスタ!$H$6:$H$405&gt;=$AQ1294))&gt;0)*(ROW(職員マスタ!$A$6:$A$405)-5)))&gt;0,SUMPRODUCT(MAX((職員マスタ!$A$6:$A$405=$B1294)*(((職員マスタ!$G$6:$G$405="")+(職員マスタ!$G$6:$G$405&lt;=EOMONTH($AQ1294,0)))&gt;0)*(((職員マスタ!$H$6:$H$405="")+(職員マスタ!$H$6:$H$405&gt;=$AQ1294))&gt;0)*(ROW(職員マスタ!$A$6:$A$405)-5))),IFERROR(MATCH($B1294,職員マスタ!$A$6:$A$405,0),"")))</f>
        <v/>
      </c>
      <c r="AQ1294" s="16">
        <f>IF(OR($B1294="",$C1294="",$D1294=""),"",DATE($C1294+2018,$D1294,1))</f>
        <v/>
      </c>
    </row>
    <row r="1295">
      <c r="A1295" s="11" t="n"/>
      <c r="B1295" s="12" t="n"/>
      <c r="C1295" s="12" t="n"/>
      <c r="D1295" s="12" t="n"/>
      <c r="E1295" s="13" t="n"/>
      <c r="F1295" s="12" t="n"/>
      <c r="G1295" s="13" t="n"/>
      <c r="H1295" s="12" t="n"/>
      <c r="I1295" s="12" t="n"/>
      <c r="J1295" s="12" t="n"/>
      <c r="K1295" s="12" t="n"/>
      <c r="L1295" s="11" t="n"/>
      <c r="M1295" s="11" t="n"/>
      <c r="N1295" s="11" t="n"/>
      <c r="O1295" s="11" t="n"/>
      <c r="P1295" s="12" t="n"/>
      <c r="Q1295" s="11" t="n"/>
      <c r="R1295" s="12" t="n"/>
      <c r="S1295" s="11" t="n"/>
      <c r="T1295" s="12" t="n"/>
      <c r="U1295" s="12" t="n"/>
      <c r="V1295" s="12" t="n"/>
      <c r="W1295" s="13" t="n"/>
      <c r="X1295" s="14">
        <f>IF($AP1295="",IF($B1295="","",$H1295),IF(INDEX(職員マスタ!$B$6:$B$405,$AP1295)="",$H1295,INDEX(職員マスタ!$B$6:$B$405,$AP1295)))</f>
        <v/>
      </c>
      <c r="Y1295" s="14">
        <f>IF($AP1295="",IF($B1295="","",$R1295),IF(INDEX(職員マスタ!$C$6:$C$405,$AP1295)="",$R1295,INDEX(職員マスタ!$C$6:$C$405,$AP1295)))</f>
        <v/>
      </c>
      <c r="Z1295" s="14">
        <f>IF($AQ1295="","","R"&amp;$C1295&amp;"."&amp;$D1295)</f>
        <v/>
      </c>
      <c r="AA1295" s="15">
        <f>IF(IF($AP1295="",FALSE,INDEX(職員マスタ!$K$6:$K$405,$AP1295)&lt;&gt;""),INDEX(職員マスタ!$K$6:$K$405,$AP1295),IF(N($W1295)&gt;0,$W1295,""))</f>
        <v/>
      </c>
      <c r="AB1295" s="14">
        <f>IF(OR($E1295="",$AA1295=""),"",IF($E1295&gt;=$AA1295,"×",IF($E1295&gt;=$AA1295*設定!$C$5,"△","○")))</f>
        <v/>
      </c>
      <c r="AC1295" s="15">
        <f>IF($AB1295="","",IF($AB1295="×",0,IF($AB1295="○",ROUNDDOWN($E1295*設定!$C$4,0),ROUNDDOWN($E1295*ROUND((9*$AA1295-9*$E1295)/(10*$E1295),4),0))))</f>
        <v/>
      </c>
      <c r="AD1295" s="13" t="n"/>
      <c r="AE1295" s="15">
        <f>IF($B1295="","",IF($AD1295&lt;&gt;"",$AD1295,IF($AC1295="","",IF($AC1295&lt;=設定!$C$3,0,$AC1295))))</f>
        <v/>
      </c>
      <c r="AF1295" s="14">
        <f>IF($B1295="","",IF(AND($AG1295&lt;&gt;"",$AI1295="",$AL1295=""),"保留中",IF($AL1295&lt;&gt;"",IF(N($AE1295)&gt;0,"支給済","不支給"),IF($AE1295="","要確認",IF($AE1295=0,"不支給","未処理")))))</f>
        <v/>
      </c>
      <c r="AG1295" s="12" t="n"/>
      <c r="AH1295" s="11" t="n"/>
      <c r="AI1295" s="11" t="n"/>
      <c r="AJ1295" s="11" t="n"/>
      <c r="AK1295" s="14">
        <f>IF(AND($AF1295="保留中",$AH1295&lt;&gt;""),TODAY()-$AH1295,"")</f>
        <v/>
      </c>
      <c r="AL1295" s="12" t="n"/>
      <c r="AM1295" s="14">
        <f>IF($B1295="","",IF($AQ1295="","対象年月が未入力／","")&amp;IF($B1295="","",IF($AP1295="","職員マスタに未登録の職員番号／",IF($AA1295="","標準報酬月額が未登録／","")&amp;IF(AND($AQ1295&lt;&gt;"",OR(AND(INDEX(職員マスタ!$G$6:$G$405,$AP1295)&lt;&gt;"",INDEX(職員マスタ!$G$6:$G$405,$AP1295)&gt;EOMONTH($AQ1295,0)),AND(INDEX(職員マスタ!$H$6:$H$405,$AP1295)&lt;&gt;"",INDEX(職員マスタ!$H$6:$H$405,$AP1295)&lt;$AQ1295))),"対象月が時短期間外／","")&amp;IF(AND(INDEX(職員マスタ!$K$6:$K$405,$AP1295)&lt;&gt;"",N($W1295)&gt;0,INDEX(職員マスタ!$K$6:$K$405,$AP1295)&lt;&gt;$W1295),"標準報酬月額が申請書と相違（台帳"&amp;TEXT(INDEX(職員マスタ!$K$6:$K$405,$AP1295),"#,##0")&amp;"円／申請書"&amp;TEXT($W1295,"#,##0")&amp;"円）／","")&amp;IF(AND(INDEX(職員マスタ!$F$6:$F$405,$AP1295)&lt;&gt;"",$AQ1295&lt;&gt;"",INDEX(職員マスタ!$F$6:$F$405,$AP1295)&lt;$AQ1295),"対象月に子が2歳到達済／","")&amp;IF(AND($H1295&lt;&gt;"",INDEX(職員マスタ!$B$6:$B$405,$AP1295)&lt;&gt;"",SUBSTITUTE(SUBSTITUTE($H1295," ","")," ","")&lt;&gt;SUBSTITUTE(SUBSTITUTE(INDEX(職員マスタ!$B$6:$B$405,$AP1295)," ","")," ","")),"氏名がマスタと相違／","")&amp;IF(AND($Q1295&lt;&gt;"",INDEX(職員マスタ!$E$6:$E$405,$AP1295)&lt;&gt;"",$Q1295&lt;&gt;INDEX(職員マスタ!$E$6:$E$405,$AP1295)),"子の生年月日がマスタと相違／","")&amp;IF(AND($L1295&lt;&gt;"",INDEX(職員マスタ!$G$6:$G$405,$AP1295)&lt;&gt;"",$L1295&lt;&gt;INDEX(職員マスタ!$G$6:$G$405,$AP1295)),"時短開始日がマスタと相違／","")&amp;IF(AND($M1295&lt;&gt;"",INDEX(職員マスタ!$H$6:$H$405,$AP1295)&lt;&gt;"",$M1295&lt;&gt;INDEX(職員マスタ!$H$6:$H$405,$AP1295)),"時短終了日がマスタと相違／","")))&amp;IF(AND($B1295&lt;&gt;"",$E1295=""),"報酬額が未入力／","")&amp;IF(N($U1295)&gt;0,"申請書に入力エラーが残っています／","")&amp;IF(AND($B1295&lt;&gt;"",$AQ1295&lt;&gt;""),IF(COUNTIFS($B$6:$B$3005,$B1295,$C$6:$C$3005,$C1295,$D$6:$D$3005,$D1295)&gt;1,"同じ月の請求が重複しています／",""),"")&amp;IF(AND(N($E1295)&gt;0,$AB1295&lt;&gt;"",$AB1295&lt;&gt;"×",$AE1295=0,$AD1295=""),"計算額が下限以下のため不支給／",""))</f>
        <v/>
      </c>
      <c r="AN1295" s="12" t="n"/>
      <c r="AO1295" s="14">
        <f>IF($AF1295="保留中",COUNTIF($AF$6:$AF1295,"保留中"),"")</f>
        <v/>
      </c>
      <c r="AP1295" s="14">
        <f>IF($AQ1295="","",IF(SUMPRODUCT(MAX((職員マスタ!$A$6:$A$405=$B1295)*(((職員マスタ!$G$6:$G$405="")+(職員マスタ!$G$6:$G$405&lt;=EOMONTH($AQ1295,0)))&gt;0)*(((職員マスタ!$H$6:$H$405="")+(職員マスタ!$H$6:$H$405&gt;=$AQ1295))&gt;0)*(ROW(職員マスタ!$A$6:$A$405)-5)))&gt;0,SUMPRODUCT(MAX((職員マスタ!$A$6:$A$405=$B1295)*(((職員マスタ!$G$6:$G$405="")+(職員マスタ!$G$6:$G$405&lt;=EOMONTH($AQ1295,0)))&gt;0)*(((職員マスタ!$H$6:$H$405="")+(職員マスタ!$H$6:$H$405&gt;=$AQ1295))&gt;0)*(ROW(職員マスタ!$A$6:$A$405)-5))),IFERROR(MATCH($B1295,職員マスタ!$A$6:$A$405,0),"")))</f>
        <v/>
      </c>
      <c r="AQ1295" s="16">
        <f>IF(OR($B1295="",$C1295="",$D1295=""),"",DATE($C1295+2018,$D1295,1))</f>
        <v/>
      </c>
    </row>
    <row r="1296">
      <c r="A1296" s="11" t="n"/>
      <c r="B1296" s="12" t="n"/>
      <c r="C1296" s="12" t="n"/>
      <c r="D1296" s="12" t="n"/>
      <c r="E1296" s="13" t="n"/>
      <c r="F1296" s="12" t="n"/>
      <c r="G1296" s="13" t="n"/>
      <c r="H1296" s="12" t="n"/>
      <c r="I1296" s="12" t="n"/>
      <c r="J1296" s="12" t="n"/>
      <c r="K1296" s="12" t="n"/>
      <c r="L1296" s="11" t="n"/>
      <c r="M1296" s="11" t="n"/>
      <c r="N1296" s="11" t="n"/>
      <c r="O1296" s="11" t="n"/>
      <c r="P1296" s="12" t="n"/>
      <c r="Q1296" s="11" t="n"/>
      <c r="R1296" s="12" t="n"/>
      <c r="S1296" s="11" t="n"/>
      <c r="T1296" s="12" t="n"/>
      <c r="U1296" s="12" t="n"/>
      <c r="V1296" s="12" t="n"/>
      <c r="W1296" s="13" t="n"/>
      <c r="X1296" s="14">
        <f>IF($AP1296="",IF($B1296="","",$H1296),IF(INDEX(職員マスタ!$B$6:$B$405,$AP1296)="",$H1296,INDEX(職員マスタ!$B$6:$B$405,$AP1296)))</f>
        <v/>
      </c>
      <c r="Y1296" s="14">
        <f>IF($AP1296="",IF($B1296="","",$R1296),IF(INDEX(職員マスタ!$C$6:$C$405,$AP1296)="",$R1296,INDEX(職員マスタ!$C$6:$C$405,$AP1296)))</f>
        <v/>
      </c>
      <c r="Z1296" s="14">
        <f>IF($AQ1296="","","R"&amp;$C1296&amp;"."&amp;$D1296)</f>
        <v/>
      </c>
      <c r="AA1296" s="15">
        <f>IF(IF($AP1296="",FALSE,INDEX(職員マスタ!$K$6:$K$405,$AP1296)&lt;&gt;""),INDEX(職員マスタ!$K$6:$K$405,$AP1296),IF(N($W1296)&gt;0,$W1296,""))</f>
        <v/>
      </c>
      <c r="AB1296" s="14">
        <f>IF(OR($E1296="",$AA1296=""),"",IF($E1296&gt;=$AA1296,"×",IF($E1296&gt;=$AA1296*設定!$C$5,"△","○")))</f>
        <v/>
      </c>
      <c r="AC1296" s="15">
        <f>IF($AB1296="","",IF($AB1296="×",0,IF($AB1296="○",ROUNDDOWN($E1296*設定!$C$4,0),ROUNDDOWN($E1296*ROUND((9*$AA1296-9*$E1296)/(10*$E1296),4),0))))</f>
        <v/>
      </c>
      <c r="AD1296" s="13" t="n"/>
      <c r="AE1296" s="15">
        <f>IF($B1296="","",IF($AD1296&lt;&gt;"",$AD1296,IF($AC1296="","",IF($AC1296&lt;=設定!$C$3,0,$AC1296))))</f>
        <v/>
      </c>
      <c r="AF1296" s="14">
        <f>IF($B1296="","",IF(AND($AG1296&lt;&gt;"",$AI1296="",$AL1296=""),"保留中",IF($AL1296&lt;&gt;"",IF(N($AE1296)&gt;0,"支給済","不支給"),IF($AE1296="","要確認",IF($AE1296=0,"不支給","未処理")))))</f>
        <v/>
      </c>
      <c r="AG1296" s="12" t="n"/>
      <c r="AH1296" s="11" t="n"/>
      <c r="AI1296" s="11" t="n"/>
      <c r="AJ1296" s="11" t="n"/>
      <c r="AK1296" s="14">
        <f>IF(AND($AF1296="保留中",$AH1296&lt;&gt;""),TODAY()-$AH1296,"")</f>
        <v/>
      </c>
      <c r="AL1296" s="12" t="n"/>
      <c r="AM1296" s="14">
        <f>IF($B1296="","",IF($AQ1296="","対象年月が未入力／","")&amp;IF($B1296="","",IF($AP1296="","職員マスタに未登録の職員番号／",IF($AA1296="","標準報酬月額が未登録／","")&amp;IF(AND($AQ1296&lt;&gt;"",OR(AND(INDEX(職員マスタ!$G$6:$G$405,$AP1296)&lt;&gt;"",INDEX(職員マスタ!$G$6:$G$405,$AP1296)&gt;EOMONTH($AQ1296,0)),AND(INDEX(職員マスタ!$H$6:$H$405,$AP1296)&lt;&gt;"",INDEX(職員マスタ!$H$6:$H$405,$AP1296)&lt;$AQ1296))),"対象月が時短期間外／","")&amp;IF(AND(INDEX(職員マスタ!$K$6:$K$405,$AP1296)&lt;&gt;"",N($W1296)&gt;0,INDEX(職員マスタ!$K$6:$K$405,$AP1296)&lt;&gt;$W1296),"標準報酬月額が申請書と相違（台帳"&amp;TEXT(INDEX(職員マスタ!$K$6:$K$405,$AP1296),"#,##0")&amp;"円／申請書"&amp;TEXT($W1296,"#,##0")&amp;"円）／","")&amp;IF(AND(INDEX(職員マスタ!$F$6:$F$405,$AP1296)&lt;&gt;"",$AQ1296&lt;&gt;"",INDEX(職員マスタ!$F$6:$F$405,$AP1296)&lt;$AQ1296),"対象月に子が2歳到達済／","")&amp;IF(AND($H1296&lt;&gt;"",INDEX(職員マスタ!$B$6:$B$405,$AP1296)&lt;&gt;"",SUBSTITUTE(SUBSTITUTE($H1296," ","")," ","")&lt;&gt;SUBSTITUTE(SUBSTITUTE(INDEX(職員マスタ!$B$6:$B$405,$AP1296)," ","")," ","")),"氏名がマスタと相違／","")&amp;IF(AND($Q1296&lt;&gt;"",INDEX(職員マスタ!$E$6:$E$405,$AP1296)&lt;&gt;"",$Q1296&lt;&gt;INDEX(職員マスタ!$E$6:$E$405,$AP1296)),"子の生年月日がマスタと相違／","")&amp;IF(AND($L1296&lt;&gt;"",INDEX(職員マスタ!$G$6:$G$405,$AP1296)&lt;&gt;"",$L1296&lt;&gt;INDEX(職員マスタ!$G$6:$G$405,$AP1296)),"時短開始日がマスタと相違／","")&amp;IF(AND($M1296&lt;&gt;"",INDEX(職員マスタ!$H$6:$H$405,$AP1296)&lt;&gt;"",$M1296&lt;&gt;INDEX(職員マスタ!$H$6:$H$405,$AP1296)),"時短終了日がマスタと相違／","")))&amp;IF(AND($B1296&lt;&gt;"",$E1296=""),"報酬額が未入力／","")&amp;IF(N($U1296)&gt;0,"申請書に入力エラーが残っています／","")&amp;IF(AND($B1296&lt;&gt;"",$AQ1296&lt;&gt;""),IF(COUNTIFS($B$6:$B$3005,$B1296,$C$6:$C$3005,$C1296,$D$6:$D$3005,$D1296)&gt;1,"同じ月の請求が重複しています／",""),"")&amp;IF(AND(N($E1296)&gt;0,$AB1296&lt;&gt;"",$AB1296&lt;&gt;"×",$AE1296=0,$AD1296=""),"計算額が下限以下のため不支給／",""))</f>
        <v/>
      </c>
      <c r="AN1296" s="12" t="n"/>
      <c r="AO1296" s="14">
        <f>IF($AF1296="保留中",COUNTIF($AF$6:$AF1296,"保留中"),"")</f>
        <v/>
      </c>
      <c r="AP1296" s="14">
        <f>IF($AQ1296="","",IF(SUMPRODUCT(MAX((職員マスタ!$A$6:$A$405=$B1296)*(((職員マスタ!$G$6:$G$405="")+(職員マスタ!$G$6:$G$405&lt;=EOMONTH($AQ1296,0)))&gt;0)*(((職員マスタ!$H$6:$H$405="")+(職員マスタ!$H$6:$H$405&gt;=$AQ1296))&gt;0)*(ROW(職員マスタ!$A$6:$A$405)-5)))&gt;0,SUMPRODUCT(MAX((職員マスタ!$A$6:$A$405=$B1296)*(((職員マスタ!$G$6:$G$405="")+(職員マスタ!$G$6:$G$405&lt;=EOMONTH($AQ1296,0)))&gt;0)*(((職員マスタ!$H$6:$H$405="")+(職員マスタ!$H$6:$H$405&gt;=$AQ1296))&gt;0)*(ROW(職員マスタ!$A$6:$A$405)-5))),IFERROR(MATCH($B1296,職員マスタ!$A$6:$A$405,0),"")))</f>
        <v/>
      </c>
      <c r="AQ1296" s="16">
        <f>IF(OR($B1296="",$C1296="",$D1296=""),"",DATE($C1296+2018,$D1296,1))</f>
        <v/>
      </c>
    </row>
    <row r="1297">
      <c r="A1297" s="11" t="n"/>
      <c r="B1297" s="12" t="n"/>
      <c r="C1297" s="12" t="n"/>
      <c r="D1297" s="12" t="n"/>
      <c r="E1297" s="13" t="n"/>
      <c r="F1297" s="12" t="n"/>
      <c r="G1297" s="13" t="n"/>
      <c r="H1297" s="12" t="n"/>
      <c r="I1297" s="12" t="n"/>
      <c r="J1297" s="12" t="n"/>
      <c r="K1297" s="12" t="n"/>
      <c r="L1297" s="11" t="n"/>
      <c r="M1297" s="11" t="n"/>
      <c r="N1297" s="11" t="n"/>
      <c r="O1297" s="11" t="n"/>
      <c r="P1297" s="12" t="n"/>
      <c r="Q1297" s="11" t="n"/>
      <c r="R1297" s="12" t="n"/>
      <c r="S1297" s="11" t="n"/>
      <c r="T1297" s="12" t="n"/>
      <c r="U1297" s="12" t="n"/>
      <c r="V1297" s="12" t="n"/>
      <c r="W1297" s="13" t="n"/>
      <c r="X1297" s="14">
        <f>IF($AP1297="",IF($B1297="","",$H1297),IF(INDEX(職員マスタ!$B$6:$B$405,$AP1297)="",$H1297,INDEX(職員マスタ!$B$6:$B$405,$AP1297)))</f>
        <v/>
      </c>
      <c r="Y1297" s="14">
        <f>IF($AP1297="",IF($B1297="","",$R1297),IF(INDEX(職員マスタ!$C$6:$C$405,$AP1297)="",$R1297,INDEX(職員マスタ!$C$6:$C$405,$AP1297)))</f>
        <v/>
      </c>
      <c r="Z1297" s="14">
        <f>IF($AQ1297="","","R"&amp;$C1297&amp;"."&amp;$D1297)</f>
        <v/>
      </c>
      <c r="AA1297" s="15">
        <f>IF(IF($AP1297="",FALSE,INDEX(職員マスタ!$K$6:$K$405,$AP1297)&lt;&gt;""),INDEX(職員マスタ!$K$6:$K$405,$AP1297),IF(N($W1297)&gt;0,$W1297,""))</f>
        <v/>
      </c>
      <c r="AB1297" s="14">
        <f>IF(OR($E1297="",$AA1297=""),"",IF($E1297&gt;=$AA1297,"×",IF($E1297&gt;=$AA1297*設定!$C$5,"△","○")))</f>
        <v/>
      </c>
      <c r="AC1297" s="15">
        <f>IF($AB1297="","",IF($AB1297="×",0,IF($AB1297="○",ROUNDDOWN($E1297*設定!$C$4,0),ROUNDDOWN($E1297*ROUND((9*$AA1297-9*$E1297)/(10*$E1297),4),0))))</f>
        <v/>
      </c>
      <c r="AD1297" s="13" t="n"/>
      <c r="AE1297" s="15">
        <f>IF($B1297="","",IF($AD1297&lt;&gt;"",$AD1297,IF($AC1297="","",IF($AC1297&lt;=設定!$C$3,0,$AC1297))))</f>
        <v/>
      </c>
      <c r="AF1297" s="14">
        <f>IF($B1297="","",IF(AND($AG1297&lt;&gt;"",$AI1297="",$AL1297=""),"保留中",IF($AL1297&lt;&gt;"",IF(N($AE1297)&gt;0,"支給済","不支給"),IF($AE1297="","要確認",IF($AE1297=0,"不支給","未処理")))))</f>
        <v/>
      </c>
      <c r="AG1297" s="12" t="n"/>
      <c r="AH1297" s="11" t="n"/>
      <c r="AI1297" s="11" t="n"/>
      <c r="AJ1297" s="11" t="n"/>
      <c r="AK1297" s="14">
        <f>IF(AND($AF1297="保留中",$AH1297&lt;&gt;""),TODAY()-$AH1297,"")</f>
        <v/>
      </c>
      <c r="AL1297" s="12" t="n"/>
      <c r="AM1297" s="14">
        <f>IF($B1297="","",IF($AQ1297="","対象年月が未入力／","")&amp;IF($B1297="","",IF($AP1297="","職員マスタに未登録の職員番号／",IF($AA1297="","標準報酬月額が未登録／","")&amp;IF(AND($AQ1297&lt;&gt;"",OR(AND(INDEX(職員マスタ!$G$6:$G$405,$AP1297)&lt;&gt;"",INDEX(職員マスタ!$G$6:$G$405,$AP1297)&gt;EOMONTH($AQ1297,0)),AND(INDEX(職員マスタ!$H$6:$H$405,$AP1297)&lt;&gt;"",INDEX(職員マスタ!$H$6:$H$405,$AP1297)&lt;$AQ1297))),"対象月が時短期間外／","")&amp;IF(AND(INDEX(職員マスタ!$K$6:$K$405,$AP1297)&lt;&gt;"",N($W1297)&gt;0,INDEX(職員マスタ!$K$6:$K$405,$AP1297)&lt;&gt;$W1297),"標準報酬月額が申請書と相違（台帳"&amp;TEXT(INDEX(職員マスタ!$K$6:$K$405,$AP1297),"#,##0")&amp;"円／申請書"&amp;TEXT($W1297,"#,##0")&amp;"円）／","")&amp;IF(AND(INDEX(職員マスタ!$F$6:$F$405,$AP1297)&lt;&gt;"",$AQ1297&lt;&gt;"",INDEX(職員マスタ!$F$6:$F$405,$AP1297)&lt;$AQ1297),"対象月に子が2歳到達済／","")&amp;IF(AND($H1297&lt;&gt;"",INDEX(職員マスタ!$B$6:$B$405,$AP1297)&lt;&gt;"",SUBSTITUTE(SUBSTITUTE($H1297," ","")," ","")&lt;&gt;SUBSTITUTE(SUBSTITUTE(INDEX(職員マスタ!$B$6:$B$405,$AP1297)," ","")," ","")),"氏名がマスタと相違／","")&amp;IF(AND($Q1297&lt;&gt;"",INDEX(職員マスタ!$E$6:$E$405,$AP1297)&lt;&gt;"",$Q1297&lt;&gt;INDEX(職員マスタ!$E$6:$E$405,$AP1297)),"子の生年月日がマスタと相違／","")&amp;IF(AND($L1297&lt;&gt;"",INDEX(職員マスタ!$G$6:$G$405,$AP1297)&lt;&gt;"",$L1297&lt;&gt;INDEX(職員マスタ!$G$6:$G$405,$AP1297)),"時短開始日がマスタと相違／","")&amp;IF(AND($M1297&lt;&gt;"",INDEX(職員マスタ!$H$6:$H$405,$AP1297)&lt;&gt;"",$M1297&lt;&gt;INDEX(職員マスタ!$H$6:$H$405,$AP1297)),"時短終了日がマスタと相違／","")))&amp;IF(AND($B1297&lt;&gt;"",$E1297=""),"報酬額が未入力／","")&amp;IF(N($U1297)&gt;0,"申請書に入力エラーが残っています／","")&amp;IF(AND($B1297&lt;&gt;"",$AQ1297&lt;&gt;""),IF(COUNTIFS($B$6:$B$3005,$B1297,$C$6:$C$3005,$C1297,$D$6:$D$3005,$D1297)&gt;1,"同じ月の請求が重複しています／",""),"")&amp;IF(AND(N($E1297)&gt;0,$AB1297&lt;&gt;"",$AB1297&lt;&gt;"×",$AE1297=0,$AD1297=""),"計算額が下限以下のため不支給／",""))</f>
        <v/>
      </c>
      <c r="AN1297" s="12" t="n"/>
      <c r="AO1297" s="14">
        <f>IF($AF1297="保留中",COUNTIF($AF$6:$AF1297,"保留中"),"")</f>
        <v/>
      </c>
      <c r="AP1297" s="14">
        <f>IF($AQ1297="","",IF(SUMPRODUCT(MAX((職員マスタ!$A$6:$A$405=$B1297)*(((職員マスタ!$G$6:$G$405="")+(職員マスタ!$G$6:$G$405&lt;=EOMONTH($AQ1297,0)))&gt;0)*(((職員マスタ!$H$6:$H$405="")+(職員マスタ!$H$6:$H$405&gt;=$AQ1297))&gt;0)*(ROW(職員マスタ!$A$6:$A$405)-5)))&gt;0,SUMPRODUCT(MAX((職員マスタ!$A$6:$A$405=$B1297)*(((職員マスタ!$G$6:$G$405="")+(職員マスタ!$G$6:$G$405&lt;=EOMONTH($AQ1297,0)))&gt;0)*(((職員マスタ!$H$6:$H$405="")+(職員マスタ!$H$6:$H$405&gt;=$AQ1297))&gt;0)*(ROW(職員マスタ!$A$6:$A$405)-5))),IFERROR(MATCH($B1297,職員マスタ!$A$6:$A$405,0),"")))</f>
        <v/>
      </c>
      <c r="AQ1297" s="16">
        <f>IF(OR($B1297="",$C1297="",$D1297=""),"",DATE($C1297+2018,$D1297,1))</f>
        <v/>
      </c>
    </row>
    <row r="1298">
      <c r="A1298" s="11" t="n"/>
      <c r="B1298" s="12" t="n"/>
      <c r="C1298" s="12" t="n"/>
      <c r="D1298" s="12" t="n"/>
      <c r="E1298" s="13" t="n"/>
      <c r="F1298" s="12" t="n"/>
      <c r="G1298" s="13" t="n"/>
      <c r="H1298" s="12" t="n"/>
      <c r="I1298" s="12" t="n"/>
      <c r="J1298" s="12" t="n"/>
      <c r="K1298" s="12" t="n"/>
      <c r="L1298" s="11" t="n"/>
      <c r="M1298" s="11" t="n"/>
      <c r="N1298" s="11" t="n"/>
      <c r="O1298" s="11" t="n"/>
      <c r="P1298" s="12" t="n"/>
      <c r="Q1298" s="11" t="n"/>
      <c r="R1298" s="12" t="n"/>
      <c r="S1298" s="11" t="n"/>
      <c r="T1298" s="12" t="n"/>
      <c r="U1298" s="12" t="n"/>
      <c r="V1298" s="12" t="n"/>
      <c r="W1298" s="13" t="n"/>
      <c r="X1298" s="14">
        <f>IF($AP1298="",IF($B1298="","",$H1298),IF(INDEX(職員マスタ!$B$6:$B$405,$AP1298)="",$H1298,INDEX(職員マスタ!$B$6:$B$405,$AP1298)))</f>
        <v/>
      </c>
      <c r="Y1298" s="14">
        <f>IF($AP1298="",IF($B1298="","",$R1298),IF(INDEX(職員マスタ!$C$6:$C$405,$AP1298)="",$R1298,INDEX(職員マスタ!$C$6:$C$405,$AP1298)))</f>
        <v/>
      </c>
      <c r="Z1298" s="14">
        <f>IF($AQ1298="","","R"&amp;$C1298&amp;"."&amp;$D1298)</f>
        <v/>
      </c>
      <c r="AA1298" s="15">
        <f>IF(IF($AP1298="",FALSE,INDEX(職員マスタ!$K$6:$K$405,$AP1298)&lt;&gt;""),INDEX(職員マスタ!$K$6:$K$405,$AP1298),IF(N($W1298)&gt;0,$W1298,""))</f>
        <v/>
      </c>
      <c r="AB1298" s="14">
        <f>IF(OR($E1298="",$AA1298=""),"",IF($E1298&gt;=$AA1298,"×",IF($E1298&gt;=$AA1298*設定!$C$5,"△","○")))</f>
        <v/>
      </c>
      <c r="AC1298" s="15">
        <f>IF($AB1298="","",IF($AB1298="×",0,IF($AB1298="○",ROUNDDOWN($E1298*設定!$C$4,0),ROUNDDOWN($E1298*ROUND((9*$AA1298-9*$E1298)/(10*$E1298),4),0))))</f>
        <v/>
      </c>
      <c r="AD1298" s="13" t="n"/>
      <c r="AE1298" s="15">
        <f>IF($B1298="","",IF($AD1298&lt;&gt;"",$AD1298,IF($AC1298="","",IF($AC1298&lt;=設定!$C$3,0,$AC1298))))</f>
        <v/>
      </c>
      <c r="AF1298" s="14">
        <f>IF($B1298="","",IF(AND($AG1298&lt;&gt;"",$AI1298="",$AL1298=""),"保留中",IF($AL1298&lt;&gt;"",IF(N($AE1298)&gt;0,"支給済","不支給"),IF($AE1298="","要確認",IF($AE1298=0,"不支給","未処理")))))</f>
        <v/>
      </c>
      <c r="AG1298" s="12" t="n"/>
      <c r="AH1298" s="11" t="n"/>
      <c r="AI1298" s="11" t="n"/>
      <c r="AJ1298" s="11" t="n"/>
      <c r="AK1298" s="14">
        <f>IF(AND($AF1298="保留中",$AH1298&lt;&gt;""),TODAY()-$AH1298,"")</f>
        <v/>
      </c>
      <c r="AL1298" s="12" t="n"/>
      <c r="AM1298" s="14">
        <f>IF($B1298="","",IF($AQ1298="","対象年月が未入力／","")&amp;IF($B1298="","",IF($AP1298="","職員マスタに未登録の職員番号／",IF($AA1298="","標準報酬月額が未登録／","")&amp;IF(AND($AQ1298&lt;&gt;"",OR(AND(INDEX(職員マスタ!$G$6:$G$405,$AP1298)&lt;&gt;"",INDEX(職員マスタ!$G$6:$G$405,$AP1298)&gt;EOMONTH($AQ1298,0)),AND(INDEX(職員マスタ!$H$6:$H$405,$AP1298)&lt;&gt;"",INDEX(職員マスタ!$H$6:$H$405,$AP1298)&lt;$AQ1298))),"対象月が時短期間外／","")&amp;IF(AND(INDEX(職員マスタ!$K$6:$K$405,$AP1298)&lt;&gt;"",N($W1298)&gt;0,INDEX(職員マスタ!$K$6:$K$405,$AP1298)&lt;&gt;$W1298),"標準報酬月額が申請書と相違（台帳"&amp;TEXT(INDEX(職員マスタ!$K$6:$K$405,$AP1298),"#,##0")&amp;"円／申請書"&amp;TEXT($W1298,"#,##0")&amp;"円）／","")&amp;IF(AND(INDEX(職員マスタ!$F$6:$F$405,$AP1298)&lt;&gt;"",$AQ1298&lt;&gt;"",INDEX(職員マスタ!$F$6:$F$405,$AP1298)&lt;$AQ1298),"対象月に子が2歳到達済／","")&amp;IF(AND($H1298&lt;&gt;"",INDEX(職員マスタ!$B$6:$B$405,$AP1298)&lt;&gt;"",SUBSTITUTE(SUBSTITUTE($H1298," ","")," ","")&lt;&gt;SUBSTITUTE(SUBSTITUTE(INDEX(職員マスタ!$B$6:$B$405,$AP1298)," ","")," ","")),"氏名がマスタと相違／","")&amp;IF(AND($Q1298&lt;&gt;"",INDEX(職員マスタ!$E$6:$E$405,$AP1298)&lt;&gt;"",$Q1298&lt;&gt;INDEX(職員マスタ!$E$6:$E$405,$AP1298)),"子の生年月日がマスタと相違／","")&amp;IF(AND($L1298&lt;&gt;"",INDEX(職員マスタ!$G$6:$G$405,$AP1298)&lt;&gt;"",$L1298&lt;&gt;INDEX(職員マスタ!$G$6:$G$405,$AP1298)),"時短開始日がマスタと相違／","")&amp;IF(AND($M1298&lt;&gt;"",INDEX(職員マスタ!$H$6:$H$405,$AP1298)&lt;&gt;"",$M1298&lt;&gt;INDEX(職員マスタ!$H$6:$H$405,$AP1298)),"時短終了日がマスタと相違／","")))&amp;IF(AND($B1298&lt;&gt;"",$E1298=""),"報酬額が未入力／","")&amp;IF(N($U1298)&gt;0,"申請書に入力エラーが残っています／","")&amp;IF(AND($B1298&lt;&gt;"",$AQ1298&lt;&gt;""),IF(COUNTIFS($B$6:$B$3005,$B1298,$C$6:$C$3005,$C1298,$D$6:$D$3005,$D1298)&gt;1,"同じ月の請求が重複しています／",""),"")&amp;IF(AND(N($E1298)&gt;0,$AB1298&lt;&gt;"",$AB1298&lt;&gt;"×",$AE1298=0,$AD1298=""),"計算額が下限以下のため不支給／",""))</f>
        <v/>
      </c>
      <c r="AN1298" s="12" t="n"/>
      <c r="AO1298" s="14">
        <f>IF($AF1298="保留中",COUNTIF($AF$6:$AF1298,"保留中"),"")</f>
        <v/>
      </c>
      <c r="AP1298" s="14">
        <f>IF($AQ1298="","",IF(SUMPRODUCT(MAX((職員マスタ!$A$6:$A$405=$B1298)*(((職員マスタ!$G$6:$G$405="")+(職員マスタ!$G$6:$G$405&lt;=EOMONTH($AQ1298,0)))&gt;0)*(((職員マスタ!$H$6:$H$405="")+(職員マスタ!$H$6:$H$405&gt;=$AQ1298))&gt;0)*(ROW(職員マスタ!$A$6:$A$405)-5)))&gt;0,SUMPRODUCT(MAX((職員マスタ!$A$6:$A$405=$B1298)*(((職員マスタ!$G$6:$G$405="")+(職員マスタ!$G$6:$G$405&lt;=EOMONTH($AQ1298,0)))&gt;0)*(((職員マスタ!$H$6:$H$405="")+(職員マスタ!$H$6:$H$405&gt;=$AQ1298))&gt;0)*(ROW(職員マスタ!$A$6:$A$405)-5))),IFERROR(MATCH($B1298,職員マスタ!$A$6:$A$405,0),"")))</f>
        <v/>
      </c>
      <c r="AQ1298" s="16">
        <f>IF(OR($B1298="",$C1298="",$D1298=""),"",DATE($C1298+2018,$D1298,1))</f>
        <v/>
      </c>
    </row>
    <row r="1299">
      <c r="A1299" s="11" t="n"/>
      <c r="B1299" s="12" t="n"/>
      <c r="C1299" s="12" t="n"/>
      <c r="D1299" s="12" t="n"/>
      <c r="E1299" s="13" t="n"/>
      <c r="F1299" s="12" t="n"/>
      <c r="G1299" s="13" t="n"/>
      <c r="H1299" s="12" t="n"/>
      <c r="I1299" s="12" t="n"/>
      <c r="J1299" s="12" t="n"/>
      <c r="K1299" s="12" t="n"/>
      <c r="L1299" s="11" t="n"/>
      <c r="M1299" s="11" t="n"/>
      <c r="N1299" s="11" t="n"/>
      <c r="O1299" s="11" t="n"/>
      <c r="P1299" s="12" t="n"/>
      <c r="Q1299" s="11" t="n"/>
      <c r="R1299" s="12" t="n"/>
      <c r="S1299" s="11" t="n"/>
      <c r="T1299" s="12" t="n"/>
      <c r="U1299" s="12" t="n"/>
      <c r="V1299" s="12" t="n"/>
      <c r="W1299" s="13" t="n"/>
      <c r="X1299" s="14">
        <f>IF($AP1299="",IF($B1299="","",$H1299),IF(INDEX(職員マスタ!$B$6:$B$405,$AP1299)="",$H1299,INDEX(職員マスタ!$B$6:$B$405,$AP1299)))</f>
        <v/>
      </c>
      <c r="Y1299" s="14">
        <f>IF($AP1299="",IF($B1299="","",$R1299),IF(INDEX(職員マスタ!$C$6:$C$405,$AP1299)="",$R1299,INDEX(職員マスタ!$C$6:$C$405,$AP1299)))</f>
        <v/>
      </c>
      <c r="Z1299" s="14">
        <f>IF($AQ1299="","","R"&amp;$C1299&amp;"."&amp;$D1299)</f>
        <v/>
      </c>
      <c r="AA1299" s="15">
        <f>IF(IF($AP1299="",FALSE,INDEX(職員マスタ!$K$6:$K$405,$AP1299)&lt;&gt;""),INDEX(職員マスタ!$K$6:$K$405,$AP1299),IF(N($W1299)&gt;0,$W1299,""))</f>
        <v/>
      </c>
      <c r="AB1299" s="14">
        <f>IF(OR($E1299="",$AA1299=""),"",IF($E1299&gt;=$AA1299,"×",IF($E1299&gt;=$AA1299*設定!$C$5,"△","○")))</f>
        <v/>
      </c>
      <c r="AC1299" s="15">
        <f>IF($AB1299="","",IF($AB1299="×",0,IF($AB1299="○",ROUNDDOWN($E1299*設定!$C$4,0),ROUNDDOWN($E1299*ROUND((9*$AA1299-9*$E1299)/(10*$E1299),4),0))))</f>
        <v/>
      </c>
      <c r="AD1299" s="13" t="n"/>
      <c r="AE1299" s="15">
        <f>IF($B1299="","",IF($AD1299&lt;&gt;"",$AD1299,IF($AC1299="","",IF($AC1299&lt;=設定!$C$3,0,$AC1299))))</f>
        <v/>
      </c>
      <c r="AF1299" s="14">
        <f>IF($B1299="","",IF(AND($AG1299&lt;&gt;"",$AI1299="",$AL1299=""),"保留中",IF($AL1299&lt;&gt;"",IF(N($AE1299)&gt;0,"支給済","不支給"),IF($AE1299="","要確認",IF($AE1299=0,"不支給","未処理")))))</f>
        <v/>
      </c>
      <c r="AG1299" s="12" t="n"/>
      <c r="AH1299" s="11" t="n"/>
      <c r="AI1299" s="11" t="n"/>
      <c r="AJ1299" s="11" t="n"/>
      <c r="AK1299" s="14">
        <f>IF(AND($AF1299="保留中",$AH1299&lt;&gt;""),TODAY()-$AH1299,"")</f>
        <v/>
      </c>
      <c r="AL1299" s="12" t="n"/>
      <c r="AM1299" s="14">
        <f>IF($B1299="","",IF($AQ1299="","対象年月が未入力／","")&amp;IF($B1299="","",IF($AP1299="","職員マスタに未登録の職員番号／",IF($AA1299="","標準報酬月額が未登録／","")&amp;IF(AND($AQ1299&lt;&gt;"",OR(AND(INDEX(職員マスタ!$G$6:$G$405,$AP1299)&lt;&gt;"",INDEX(職員マスタ!$G$6:$G$405,$AP1299)&gt;EOMONTH($AQ1299,0)),AND(INDEX(職員マスタ!$H$6:$H$405,$AP1299)&lt;&gt;"",INDEX(職員マスタ!$H$6:$H$405,$AP1299)&lt;$AQ1299))),"対象月が時短期間外／","")&amp;IF(AND(INDEX(職員マスタ!$K$6:$K$405,$AP1299)&lt;&gt;"",N($W1299)&gt;0,INDEX(職員マスタ!$K$6:$K$405,$AP1299)&lt;&gt;$W1299),"標準報酬月額が申請書と相違（台帳"&amp;TEXT(INDEX(職員マスタ!$K$6:$K$405,$AP1299),"#,##0")&amp;"円／申請書"&amp;TEXT($W1299,"#,##0")&amp;"円）／","")&amp;IF(AND(INDEX(職員マスタ!$F$6:$F$405,$AP1299)&lt;&gt;"",$AQ1299&lt;&gt;"",INDEX(職員マスタ!$F$6:$F$405,$AP1299)&lt;$AQ1299),"対象月に子が2歳到達済／","")&amp;IF(AND($H1299&lt;&gt;"",INDEX(職員マスタ!$B$6:$B$405,$AP1299)&lt;&gt;"",SUBSTITUTE(SUBSTITUTE($H1299," ","")," ","")&lt;&gt;SUBSTITUTE(SUBSTITUTE(INDEX(職員マスタ!$B$6:$B$405,$AP1299)," ","")," ","")),"氏名がマスタと相違／","")&amp;IF(AND($Q1299&lt;&gt;"",INDEX(職員マスタ!$E$6:$E$405,$AP1299)&lt;&gt;"",$Q1299&lt;&gt;INDEX(職員マスタ!$E$6:$E$405,$AP1299)),"子の生年月日がマスタと相違／","")&amp;IF(AND($L1299&lt;&gt;"",INDEX(職員マスタ!$G$6:$G$405,$AP1299)&lt;&gt;"",$L1299&lt;&gt;INDEX(職員マスタ!$G$6:$G$405,$AP1299)),"時短開始日がマスタと相違／","")&amp;IF(AND($M1299&lt;&gt;"",INDEX(職員マスタ!$H$6:$H$405,$AP1299)&lt;&gt;"",$M1299&lt;&gt;INDEX(職員マスタ!$H$6:$H$405,$AP1299)),"時短終了日がマスタと相違／","")))&amp;IF(AND($B1299&lt;&gt;"",$E1299=""),"報酬額が未入力／","")&amp;IF(N($U1299)&gt;0,"申請書に入力エラーが残っています／","")&amp;IF(AND($B1299&lt;&gt;"",$AQ1299&lt;&gt;""),IF(COUNTIFS($B$6:$B$3005,$B1299,$C$6:$C$3005,$C1299,$D$6:$D$3005,$D1299)&gt;1,"同じ月の請求が重複しています／",""),"")&amp;IF(AND(N($E1299)&gt;0,$AB1299&lt;&gt;"",$AB1299&lt;&gt;"×",$AE1299=0,$AD1299=""),"計算額が下限以下のため不支給／",""))</f>
        <v/>
      </c>
      <c r="AN1299" s="12" t="n"/>
      <c r="AO1299" s="14">
        <f>IF($AF1299="保留中",COUNTIF($AF$6:$AF1299,"保留中"),"")</f>
        <v/>
      </c>
      <c r="AP1299" s="14">
        <f>IF($AQ1299="","",IF(SUMPRODUCT(MAX((職員マスタ!$A$6:$A$405=$B1299)*(((職員マスタ!$G$6:$G$405="")+(職員マスタ!$G$6:$G$405&lt;=EOMONTH($AQ1299,0)))&gt;0)*(((職員マスタ!$H$6:$H$405="")+(職員マスタ!$H$6:$H$405&gt;=$AQ1299))&gt;0)*(ROW(職員マスタ!$A$6:$A$405)-5)))&gt;0,SUMPRODUCT(MAX((職員マスタ!$A$6:$A$405=$B1299)*(((職員マスタ!$G$6:$G$405="")+(職員マスタ!$G$6:$G$405&lt;=EOMONTH($AQ1299,0)))&gt;0)*(((職員マスタ!$H$6:$H$405="")+(職員マスタ!$H$6:$H$405&gt;=$AQ1299))&gt;0)*(ROW(職員マスタ!$A$6:$A$405)-5))),IFERROR(MATCH($B1299,職員マスタ!$A$6:$A$405,0),"")))</f>
        <v/>
      </c>
      <c r="AQ1299" s="16">
        <f>IF(OR($B1299="",$C1299="",$D1299=""),"",DATE($C1299+2018,$D1299,1))</f>
        <v/>
      </c>
    </row>
    <row r="1300">
      <c r="A1300" s="11" t="n"/>
      <c r="B1300" s="12" t="n"/>
      <c r="C1300" s="12" t="n"/>
      <c r="D1300" s="12" t="n"/>
      <c r="E1300" s="13" t="n"/>
      <c r="F1300" s="12" t="n"/>
      <c r="G1300" s="13" t="n"/>
      <c r="H1300" s="12" t="n"/>
      <c r="I1300" s="12" t="n"/>
      <c r="J1300" s="12" t="n"/>
      <c r="K1300" s="12" t="n"/>
      <c r="L1300" s="11" t="n"/>
      <c r="M1300" s="11" t="n"/>
      <c r="N1300" s="11" t="n"/>
      <c r="O1300" s="11" t="n"/>
      <c r="P1300" s="12" t="n"/>
      <c r="Q1300" s="11" t="n"/>
      <c r="R1300" s="12" t="n"/>
      <c r="S1300" s="11" t="n"/>
      <c r="T1300" s="12" t="n"/>
      <c r="U1300" s="12" t="n"/>
      <c r="V1300" s="12" t="n"/>
      <c r="W1300" s="13" t="n"/>
      <c r="X1300" s="14">
        <f>IF($AP1300="",IF($B1300="","",$H1300),IF(INDEX(職員マスタ!$B$6:$B$405,$AP1300)="",$H1300,INDEX(職員マスタ!$B$6:$B$405,$AP1300)))</f>
        <v/>
      </c>
      <c r="Y1300" s="14">
        <f>IF($AP1300="",IF($B1300="","",$R1300),IF(INDEX(職員マスタ!$C$6:$C$405,$AP1300)="",$R1300,INDEX(職員マスタ!$C$6:$C$405,$AP1300)))</f>
        <v/>
      </c>
      <c r="Z1300" s="14">
        <f>IF($AQ1300="","","R"&amp;$C1300&amp;"."&amp;$D1300)</f>
        <v/>
      </c>
      <c r="AA1300" s="15">
        <f>IF(IF($AP1300="",FALSE,INDEX(職員マスタ!$K$6:$K$405,$AP1300)&lt;&gt;""),INDEX(職員マスタ!$K$6:$K$405,$AP1300),IF(N($W1300)&gt;0,$W1300,""))</f>
        <v/>
      </c>
      <c r="AB1300" s="14">
        <f>IF(OR($E1300="",$AA1300=""),"",IF($E1300&gt;=$AA1300,"×",IF($E1300&gt;=$AA1300*設定!$C$5,"△","○")))</f>
        <v/>
      </c>
      <c r="AC1300" s="15">
        <f>IF($AB1300="","",IF($AB1300="×",0,IF($AB1300="○",ROUNDDOWN($E1300*設定!$C$4,0),ROUNDDOWN($E1300*ROUND((9*$AA1300-9*$E1300)/(10*$E1300),4),0))))</f>
        <v/>
      </c>
      <c r="AD1300" s="13" t="n"/>
      <c r="AE1300" s="15">
        <f>IF($B1300="","",IF($AD1300&lt;&gt;"",$AD1300,IF($AC1300="","",IF($AC1300&lt;=設定!$C$3,0,$AC1300))))</f>
        <v/>
      </c>
      <c r="AF1300" s="14">
        <f>IF($B1300="","",IF(AND($AG1300&lt;&gt;"",$AI1300="",$AL1300=""),"保留中",IF($AL1300&lt;&gt;"",IF(N($AE1300)&gt;0,"支給済","不支給"),IF($AE1300="","要確認",IF($AE1300=0,"不支給","未処理")))))</f>
        <v/>
      </c>
      <c r="AG1300" s="12" t="n"/>
      <c r="AH1300" s="11" t="n"/>
      <c r="AI1300" s="11" t="n"/>
      <c r="AJ1300" s="11" t="n"/>
      <c r="AK1300" s="14">
        <f>IF(AND($AF1300="保留中",$AH1300&lt;&gt;""),TODAY()-$AH1300,"")</f>
        <v/>
      </c>
      <c r="AL1300" s="12" t="n"/>
      <c r="AM1300" s="14">
        <f>IF($B1300="","",IF($AQ1300="","対象年月が未入力／","")&amp;IF($B1300="","",IF($AP1300="","職員マスタに未登録の職員番号／",IF($AA1300="","標準報酬月額が未登録／","")&amp;IF(AND($AQ1300&lt;&gt;"",OR(AND(INDEX(職員マスタ!$G$6:$G$405,$AP1300)&lt;&gt;"",INDEX(職員マスタ!$G$6:$G$405,$AP1300)&gt;EOMONTH($AQ1300,0)),AND(INDEX(職員マスタ!$H$6:$H$405,$AP1300)&lt;&gt;"",INDEX(職員マスタ!$H$6:$H$405,$AP1300)&lt;$AQ1300))),"対象月が時短期間外／","")&amp;IF(AND(INDEX(職員マスタ!$K$6:$K$405,$AP1300)&lt;&gt;"",N($W1300)&gt;0,INDEX(職員マスタ!$K$6:$K$405,$AP1300)&lt;&gt;$W1300),"標準報酬月額が申請書と相違（台帳"&amp;TEXT(INDEX(職員マスタ!$K$6:$K$405,$AP1300),"#,##0")&amp;"円／申請書"&amp;TEXT($W1300,"#,##0")&amp;"円）／","")&amp;IF(AND(INDEX(職員マスタ!$F$6:$F$405,$AP1300)&lt;&gt;"",$AQ1300&lt;&gt;"",INDEX(職員マスタ!$F$6:$F$405,$AP1300)&lt;$AQ1300),"対象月に子が2歳到達済／","")&amp;IF(AND($H1300&lt;&gt;"",INDEX(職員マスタ!$B$6:$B$405,$AP1300)&lt;&gt;"",SUBSTITUTE(SUBSTITUTE($H1300," ","")," ","")&lt;&gt;SUBSTITUTE(SUBSTITUTE(INDEX(職員マスタ!$B$6:$B$405,$AP1300)," ","")," ","")),"氏名がマスタと相違／","")&amp;IF(AND($Q1300&lt;&gt;"",INDEX(職員マスタ!$E$6:$E$405,$AP1300)&lt;&gt;"",$Q1300&lt;&gt;INDEX(職員マスタ!$E$6:$E$405,$AP1300)),"子の生年月日がマスタと相違／","")&amp;IF(AND($L1300&lt;&gt;"",INDEX(職員マスタ!$G$6:$G$405,$AP1300)&lt;&gt;"",$L1300&lt;&gt;INDEX(職員マスタ!$G$6:$G$405,$AP1300)),"時短開始日がマスタと相違／","")&amp;IF(AND($M1300&lt;&gt;"",INDEX(職員マスタ!$H$6:$H$405,$AP1300)&lt;&gt;"",$M1300&lt;&gt;INDEX(職員マスタ!$H$6:$H$405,$AP1300)),"時短終了日がマスタと相違／","")))&amp;IF(AND($B1300&lt;&gt;"",$E1300=""),"報酬額が未入力／","")&amp;IF(N($U1300)&gt;0,"申請書に入力エラーが残っています／","")&amp;IF(AND($B1300&lt;&gt;"",$AQ1300&lt;&gt;""),IF(COUNTIFS($B$6:$B$3005,$B1300,$C$6:$C$3005,$C1300,$D$6:$D$3005,$D1300)&gt;1,"同じ月の請求が重複しています／",""),"")&amp;IF(AND(N($E1300)&gt;0,$AB1300&lt;&gt;"",$AB1300&lt;&gt;"×",$AE1300=0,$AD1300=""),"計算額が下限以下のため不支給／",""))</f>
        <v/>
      </c>
      <c r="AN1300" s="12" t="n"/>
      <c r="AO1300" s="14">
        <f>IF($AF1300="保留中",COUNTIF($AF$6:$AF1300,"保留中"),"")</f>
        <v/>
      </c>
      <c r="AP1300" s="14">
        <f>IF($AQ1300="","",IF(SUMPRODUCT(MAX((職員マスタ!$A$6:$A$405=$B1300)*(((職員マスタ!$G$6:$G$405="")+(職員マスタ!$G$6:$G$405&lt;=EOMONTH($AQ1300,0)))&gt;0)*(((職員マスタ!$H$6:$H$405="")+(職員マスタ!$H$6:$H$405&gt;=$AQ1300))&gt;0)*(ROW(職員マスタ!$A$6:$A$405)-5)))&gt;0,SUMPRODUCT(MAX((職員マスタ!$A$6:$A$405=$B1300)*(((職員マスタ!$G$6:$G$405="")+(職員マスタ!$G$6:$G$405&lt;=EOMONTH($AQ1300,0)))&gt;0)*(((職員マスタ!$H$6:$H$405="")+(職員マスタ!$H$6:$H$405&gt;=$AQ1300))&gt;0)*(ROW(職員マスタ!$A$6:$A$405)-5))),IFERROR(MATCH($B1300,職員マスタ!$A$6:$A$405,0),"")))</f>
        <v/>
      </c>
      <c r="AQ1300" s="16">
        <f>IF(OR($B1300="",$C1300="",$D1300=""),"",DATE($C1300+2018,$D1300,1))</f>
        <v/>
      </c>
    </row>
    <row r="1301">
      <c r="A1301" s="11" t="n"/>
      <c r="B1301" s="12" t="n"/>
      <c r="C1301" s="12" t="n"/>
      <c r="D1301" s="12" t="n"/>
      <c r="E1301" s="13" t="n"/>
      <c r="F1301" s="12" t="n"/>
      <c r="G1301" s="13" t="n"/>
      <c r="H1301" s="12" t="n"/>
      <c r="I1301" s="12" t="n"/>
      <c r="J1301" s="12" t="n"/>
      <c r="K1301" s="12" t="n"/>
      <c r="L1301" s="11" t="n"/>
      <c r="M1301" s="11" t="n"/>
      <c r="N1301" s="11" t="n"/>
      <c r="O1301" s="11" t="n"/>
      <c r="P1301" s="12" t="n"/>
      <c r="Q1301" s="11" t="n"/>
      <c r="R1301" s="12" t="n"/>
      <c r="S1301" s="11" t="n"/>
      <c r="T1301" s="12" t="n"/>
      <c r="U1301" s="12" t="n"/>
      <c r="V1301" s="12" t="n"/>
      <c r="W1301" s="13" t="n"/>
      <c r="X1301" s="14">
        <f>IF($AP1301="",IF($B1301="","",$H1301),IF(INDEX(職員マスタ!$B$6:$B$405,$AP1301)="",$H1301,INDEX(職員マスタ!$B$6:$B$405,$AP1301)))</f>
        <v/>
      </c>
      <c r="Y1301" s="14">
        <f>IF($AP1301="",IF($B1301="","",$R1301),IF(INDEX(職員マスタ!$C$6:$C$405,$AP1301)="",$R1301,INDEX(職員マスタ!$C$6:$C$405,$AP1301)))</f>
        <v/>
      </c>
      <c r="Z1301" s="14">
        <f>IF($AQ1301="","","R"&amp;$C1301&amp;"."&amp;$D1301)</f>
        <v/>
      </c>
      <c r="AA1301" s="15">
        <f>IF(IF($AP1301="",FALSE,INDEX(職員マスタ!$K$6:$K$405,$AP1301)&lt;&gt;""),INDEX(職員マスタ!$K$6:$K$405,$AP1301),IF(N($W1301)&gt;0,$W1301,""))</f>
        <v/>
      </c>
      <c r="AB1301" s="14">
        <f>IF(OR($E1301="",$AA1301=""),"",IF($E1301&gt;=$AA1301,"×",IF($E1301&gt;=$AA1301*設定!$C$5,"△","○")))</f>
        <v/>
      </c>
      <c r="AC1301" s="15">
        <f>IF($AB1301="","",IF($AB1301="×",0,IF($AB1301="○",ROUNDDOWN($E1301*設定!$C$4,0),ROUNDDOWN($E1301*ROUND((9*$AA1301-9*$E1301)/(10*$E1301),4),0))))</f>
        <v/>
      </c>
      <c r="AD1301" s="13" t="n"/>
      <c r="AE1301" s="15">
        <f>IF($B1301="","",IF($AD1301&lt;&gt;"",$AD1301,IF($AC1301="","",IF($AC1301&lt;=設定!$C$3,0,$AC1301))))</f>
        <v/>
      </c>
      <c r="AF1301" s="14">
        <f>IF($B1301="","",IF(AND($AG1301&lt;&gt;"",$AI1301="",$AL1301=""),"保留中",IF($AL1301&lt;&gt;"",IF(N($AE1301)&gt;0,"支給済","不支給"),IF($AE1301="","要確認",IF($AE1301=0,"不支給","未処理")))))</f>
        <v/>
      </c>
      <c r="AG1301" s="12" t="n"/>
      <c r="AH1301" s="11" t="n"/>
      <c r="AI1301" s="11" t="n"/>
      <c r="AJ1301" s="11" t="n"/>
      <c r="AK1301" s="14">
        <f>IF(AND($AF1301="保留中",$AH1301&lt;&gt;""),TODAY()-$AH1301,"")</f>
        <v/>
      </c>
      <c r="AL1301" s="12" t="n"/>
      <c r="AM1301" s="14">
        <f>IF($B1301="","",IF($AQ1301="","対象年月が未入力／","")&amp;IF($B1301="","",IF($AP1301="","職員マスタに未登録の職員番号／",IF($AA1301="","標準報酬月額が未登録／","")&amp;IF(AND($AQ1301&lt;&gt;"",OR(AND(INDEX(職員マスタ!$G$6:$G$405,$AP1301)&lt;&gt;"",INDEX(職員マスタ!$G$6:$G$405,$AP1301)&gt;EOMONTH($AQ1301,0)),AND(INDEX(職員マスタ!$H$6:$H$405,$AP1301)&lt;&gt;"",INDEX(職員マスタ!$H$6:$H$405,$AP1301)&lt;$AQ1301))),"対象月が時短期間外／","")&amp;IF(AND(INDEX(職員マスタ!$K$6:$K$405,$AP1301)&lt;&gt;"",N($W1301)&gt;0,INDEX(職員マスタ!$K$6:$K$405,$AP1301)&lt;&gt;$W1301),"標準報酬月額が申請書と相違（台帳"&amp;TEXT(INDEX(職員マスタ!$K$6:$K$405,$AP1301),"#,##0")&amp;"円／申請書"&amp;TEXT($W1301,"#,##0")&amp;"円）／","")&amp;IF(AND(INDEX(職員マスタ!$F$6:$F$405,$AP1301)&lt;&gt;"",$AQ1301&lt;&gt;"",INDEX(職員マスタ!$F$6:$F$405,$AP1301)&lt;$AQ1301),"対象月に子が2歳到達済／","")&amp;IF(AND($H1301&lt;&gt;"",INDEX(職員マスタ!$B$6:$B$405,$AP1301)&lt;&gt;"",SUBSTITUTE(SUBSTITUTE($H1301," ","")," ","")&lt;&gt;SUBSTITUTE(SUBSTITUTE(INDEX(職員マスタ!$B$6:$B$405,$AP1301)," ","")," ","")),"氏名がマスタと相違／","")&amp;IF(AND($Q1301&lt;&gt;"",INDEX(職員マスタ!$E$6:$E$405,$AP1301)&lt;&gt;"",$Q1301&lt;&gt;INDEX(職員マスタ!$E$6:$E$405,$AP1301)),"子の生年月日がマスタと相違／","")&amp;IF(AND($L1301&lt;&gt;"",INDEX(職員マスタ!$G$6:$G$405,$AP1301)&lt;&gt;"",$L1301&lt;&gt;INDEX(職員マスタ!$G$6:$G$405,$AP1301)),"時短開始日がマスタと相違／","")&amp;IF(AND($M1301&lt;&gt;"",INDEX(職員マスタ!$H$6:$H$405,$AP1301)&lt;&gt;"",$M1301&lt;&gt;INDEX(職員マスタ!$H$6:$H$405,$AP1301)),"時短終了日がマスタと相違／","")))&amp;IF(AND($B1301&lt;&gt;"",$E1301=""),"報酬額が未入力／","")&amp;IF(N($U1301)&gt;0,"申請書に入力エラーが残っています／","")&amp;IF(AND($B1301&lt;&gt;"",$AQ1301&lt;&gt;""),IF(COUNTIFS($B$6:$B$3005,$B1301,$C$6:$C$3005,$C1301,$D$6:$D$3005,$D1301)&gt;1,"同じ月の請求が重複しています／",""),"")&amp;IF(AND(N($E1301)&gt;0,$AB1301&lt;&gt;"",$AB1301&lt;&gt;"×",$AE1301=0,$AD1301=""),"計算額が下限以下のため不支給／",""))</f>
        <v/>
      </c>
      <c r="AN1301" s="12" t="n"/>
      <c r="AO1301" s="14">
        <f>IF($AF1301="保留中",COUNTIF($AF$6:$AF1301,"保留中"),"")</f>
        <v/>
      </c>
      <c r="AP1301" s="14">
        <f>IF($AQ1301="","",IF(SUMPRODUCT(MAX((職員マスタ!$A$6:$A$405=$B1301)*(((職員マスタ!$G$6:$G$405="")+(職員マスタ!$G$6:$G$405&lt;=EOMONTH($AQ1301,0)))&gt;0)*(((職員マスタ!$H$6:$H$405="")+(職員マスタ!$H$6:$H$405&gt;=$AQ1301))&gt;0)*(ROW(職員マスタ!$A$6:$A$405)-5)))&gt;0,SUMPRODUCT(MAX((職員マスタ!$A$6:$A$405=$B1301)*(((職員マスタ!$G$6:$G$405="")+(職員マスタ!$G$6:$G$405&lt;=EOMONTH($AQ1301,0)))&gt;0)*(((職員マスタ!$H$6:$H$405="")+(職員マスタ!$H$6:$H$405&gt;=$AQ1301))&gt;0)*(ROW(職員マスタ!$A$6:$A$405)-5))),IFERROR(MATCH($B1301,職員マスタ!$A$6:$A$405,0),"")))</f>
        <v/>
      </c>
      <c r="AQ1301" s="16">
        <f>IF(OR($B1301="",$C1301="",$D1301=""),"",DATE($C1301+2018,$D1301,1))</f>
        <v/>
      </c>
    </row>
    <row r="1302">
      <c r="A1302" s="11" t="n"/>
      <c r="B1302" s="12" t="n"/>
      <c r="C1302" s="12" t="n"/>
      <c r="D1302" s="12" t="n"/>
      <c r="E1302" s="13" t="n"/>
      <c r="F1302" s="12" t="n"/>
      <c r="G1302" s="13" t="n"/>
      <c r="H1302" s="12" t="n"/>
      <c r="I1302" s="12" t="n"/>
      <c r="J1302" s="12" t="n"/>
      <c r="K1302" s="12" t="n"/>
      <c r="L1302" s="11" t="n"/>
      <c r="M1302" s="11" t="n"/>
      <c r="N1302" s="11" t="n"/>
      <c r="O1302" s="11" t="n"/>
      <c r="P1302" s="12" t="n"/>
      <c r="Q1302" s="11" t="n"/>
      <c r="R1302" s="12" t="n"/>
      <c r="S1302" s="11" t="n"/>
      <c r="T1302" s="12" t="n"/>
      <c r="U1302" s="12" t="n"/>
      <c r="V1302" s="12" t="n"/>
      <c r="W1302" s="13" t="n"/>
      <c r="X1302" s="14">
        <f>IF($AP1302="",IF($B1302="","",$H1302),IF(INDEX(職員マスタ!$B$6:$B$405,$AP1302)="",$H1302,INDEX(職員マスタ!$B$6:$B$405,$AP1302)))</f>
        <v/>
      </c>
      <c r="Y1302" s="14">
        <f>IF($AP1302="",IF($B1302="","",$R1302),IF(INDEX(職員マスタ!$C$6:$C$405,$AP1302)="",$R1302,INDEX(職員マスタ!$C$6:$C$405,$AP1302)))</f>
        <v/>
      </c>
      <c r="Z1302" s="14">
        <f>IF($AQ1302="","","R"&amp;$C1302&amp;"."&amp;$D1302)</f>
        <v/>
      </c>
      <c r="AA1302" s="15">
        <f>IF(IF($AP1302="",FALSE,INDEX(職員マスタ!$K$6:$K$405,$AP1302)&lt;&gt;""),INDEX(職員マスタ!$K$6:$K$405,$AP1302),IF(N($W1302)&gt;0,$W1302,""))</f>
        <v/>
      </c>
      <c r="AB1302" s="14">
        <f>IF(OR($E1302="",$AA1302=""),"",IF($E1302&gt;=$AA1302,"×",IF($E1302&gt;=$AA1302*設定!$C$5,"△","○")))</f>
        <v/>
      </c>
      <c r="AC1302" s="15">
        <f>IF($AB1302="","",IF($AB1302="×",0,IF($AB1302="○",ROUNDDOWN($E1302*設定!$C$4,0),ROUNDDOWN($E1302*ROUND((9*$AA1302-9*$E1302)/(10*$E1302),4),0))))</f>
        <v/>
      </c>
      <c r="AD1302" s="13" t="n"/>
      <c r="AE1302" s="15">
        <f>IF($B1302="","",IF($AD1302&lt;&gt;"",$AD1302,IF($AC1302="","",IF($AC1302&lt;=設定!$C$3,0,$AC1302))))</f>
        <v/>
      </c>
      <c r="AF1302" s="14">
        <f>IF($B1302="","",IF(AND($AG1302&lt;&gt;"",$AI1302="",$AL1302=""),"保留中",IF($AL1302&lt;&gt;"",IF(N($AE1302)&gt;0,"支給済","不支給"),IF($AE1302="","要確認",IF($AE1302=0,"不支給","未処理")))))</f>
        <v/>
      </c>
      <c r="AG1302" s="12" t="n"/>
      <c r="AH1302" s="11" t="n"/>
      <c r="AI1302" s="11" t="n"/>
      <c r="AJ1302" s="11" t="n"/>
      <c r="AK1302" s="14">
        <f>IF(AND($AF1302="保留中",$AH1302&lt;&gt;""),TODAY()-$AH1302,"")</f>
        <v/>
      </c>
      <c r="AL1302" s="12" t="n"/>
      <c r="AM1302" s="14">
        <f>IF($B1302="","",IF($AQ1302="","対象年月が未入力／","")&amp;IF($B1302="","",IF($AP1302="","職員マスタに未登録の職員番号／",IF($AA1302="","標準報酬月額が未登録／","")&amp;IF(AND($AQ1302&lt;&gt;"",OR(AND(INDEX(職員マスタ!$G$6:$G$405,$AP1302)&lt;&gt;"",INDEX(職員マスタ!$G$6:$G$405,$AP1302)&gt;EOMONTH($AQ1302,0)),AND(INDEX(職員マスタ!$H$6:$H$405,$AP1302)&lt;&gt;"",INDEX(職員マスタ!$H$6:$H$405,$AP1302)&lt;$AQ1302))),"対象月が時短期間外／","")&amp;IF(AND(INDEX(職員マスタ!$K$6:$K$405,$AP1302)&lt;&gt;"",N($W1302)&gt;0,INDEX(職員マスタ!$K$6:$K$405,$AP1302)&lt;&gt;$W1302),"標準報酬月額が申請書と相違（台帳"&amp;TEXT(INDEX(職員マスタ!$K$6:$K$405,$AP1302),"#,##0")&amp;"円／申請書"&amp;TEXT($W1302,"#,##0")&amp;"円）／","")&amp;IF(AND(INDEX(職員マスタ!$F$6:$F$405,$AP1302)&lt;&gt;"",$AQ1302&lt;&gt;"",INDEX(職員マスタ!$F$6:$F$405,$AP1302)&lt;$AQ1302),"対象月に子が2歳到達済／","")&amp;IF(AND($H1302&lt;&gt;"",INDEX(職員マスタ!$B$6:$B$405,$AP1302)&lt;&gt;"",SUBSTITUTE(SUBSTITUTE($H1302," ","")," ","")&lt;&gt;SUBSTITUTE(SUBSTITUTE(INDEX(職員マスタ!$B$6:$B$405,$AP1302)," ","")," ","")),"氏名がマスタと相違／","")&amp;IF(AND($Q1302&lt;&gt;"",INDEX(職員マスタ!$E$6:$E$405,$AP1302)&lt;&gt;"",$Q1302&lt;&gt;INDEX(職員マスタ!$E$6:$E$405,$AP1302)),"子の生年月日がマスタと相違／","")&amp;IF(AND($L1302&lt;&gt;"",INDEX(職員マスタ!$G$6:$G$405,$AP1302)&lt;&gt;"",$L1302&lt;&gt;INDEX(職員マスタ!$G$6:$G$405,$AP1302)),"時短開始日がマスタと相違／","")&amp;IF(AND($M1302&lt;&gt;"",INDEX(職員マスタ!$H$6:$H$405,$AP1302)&lt;&gt;"",$M1302&lt;&gt;INDEX(職員マスタ!$H$6:$H$405,$AP1302)),"時短終了日がマスタと相違／","")))&amp;IF(AND($B1302&lt;&gt;"",$E1302=""),"報酬額が未入力／","")&amp;IF(N($U1302)&gt;0,"申請書に入力エラーが残っています／","")&amp;IF(AND($B1302&lt;&gt;"",$AQ1302&lt;&gt;""),IF(COUNTIFS($B$6:$B$3005,$B1302,$C$6:$C$3005,$C1302,$D$6:$D$3005,$D1302)&gt;1,"同じ月の請求が重複しています／",""),"")&amp;IF(AND(N($E1302)&gt;0,$AB1302&lt;&gt;"",$AB1302&lt;&gt;"×",$AE1302=0,$AD1302=""),"計算額が下限以下のため不支給／",""))</f>
        <v/>
      </c>
      <c r="AN1302" s="12" t="n"/>
      <c r="AO1302" s="14">
        <f>IF($AF1302="保留中",COUNTIF($AF$6:$AF1302,"保留中"),"")</f>
        <v/>
      </c>
      <c r="AP1302" s="14">
        <f>IF($AQ1302="","",IF(SUMPRODUCT(MAX((職員マスタ!$A$6:$A$405=$B1302)*(((職員マスタ!$G$6:$G$405="")+(職員マスタ!$G$6:$G$405&lt;=EOMONTH($AQ1302,0)))&gt;0)*(((職員マスタ!$H$6:$H$405="")+(職員マスタ!$H$6:$H$405&gt;=$AQ1302))&gt;0)*(ROW(職員マスタ!$A$6:$A$405)-5)))&gt;0,SUMPRODUCT(MAX((職員マスタ!$A$6:$A$405=$B1302)*(((職員マスタ!$G$6:$G$405="")+(職員マスタ!$G$6:$G$405&lt;=EOMONTH($AQ1302,0)))&gt;0)*(((職員マスタ!$H$6:$H$405="")+(職員マスタ!$H$6:$H$405&gt;=$AQ1302))&gt;0)*(ROW(職員マスタ!$A$6:$A$405)-5))),IFERROR(MATCH($B1302,職員マスタ!$A$6:$A$405,0),"")))</f>
        <v/>
      </c>
      <c r="AQ1302" s="16">
        <f>IF(OR($B1302="",$C1302="",$D1302=""),"",DATE($C1302+2018,$D1302,1))</f>
        <v/>
      </c>
    </row>
    <row r="1303">
      <c r="A1303" s="11" t="n"/>
      <c r="B1303" s="12" t="n"/>
      <c r="C1303" s="12" t="n"/>
      <c r="D1303" s="12" t="n"/>
      <c r="E1303" s="13" t="n"/>
      <c r="F1303" s="12" t="n"/>
      <c r="G1303" s="13" t="n"/>
      <c r="H1303" s="12" t="n"/>
      <c r="I1303" s="12" t="n"/>
      <c r="J1303" s="12" t="n"/>
      <c r="K1303" s="12" t="n"/>
      <c r="L1303" s="11" t="n"/>
      <c r="M1303" s="11" t="n"/>
      <c r="N1303" s="11" t="n"/>
      <c r="O1303" s="11" t="n"/>
      <c r="P1303" s="12" t="n"/>
      <c r="Q1303" s="11" t="n"/>
      <c r="R1303" s="12" t="n"/>
      <c r="S1303" s="11" t="n"/>
      <c r="T1303" s="12" t="n"/>
      <c r="U1303" s="12" t="n"/>
      <c r="V1303" s="12" t="n"/>
      <c r="W1303" s="13" t="n"/>
      <c r="X1303" s="14">
        <f>IF($AP1303="",IF($B1303="","",$H1303),IF(INDEX(職員マスタ!$B$6:$B$405,$AP1303)="",$H1303,INDEX(職員マスタ!$B$6:$B$405,$AP1303)))</f>
        <v/>
      </c>
      <c r="Y1303" s="14">
        <f>IF($AP1303="",IF($B1303="","",$R1303),IF(INDEX(職員マスタ!$C$6:$C$405,$AP1303)="",$R1303,INDEX(職員マスタ!$C$6:$C$405,$AP1303)))</f>
        <v/>
      </c>
      <c r="Z1303" s="14">
        <f>IF($AQ1303="","","R"&amp;$C1303&amp;"."&amp;$D1303)</f>
        <v/>
      </c>
      <c r="AA1303" s="15">
        <f>IF(IF($AP1303="",FALSE,INDEX(職員マスタ!$K$6:$K$405,$AP1303)&lt;&gt;""),INDEX(職員マスタ!$K$6:$K$405,$AP1303),IF(N($W1303)&gt;0,$W1303,""))</f>
        <v/>
      </c>
      <c r="AB1303" s="14">
        <f>IF(OR($E1303="",$AA1303=""),"",IF($E1303&gt;=$AA1303,"×",IF($E1303&gt;=$AA1303*設定!$C$5,"△","○")))</f>
        <v/>
      </c>
      <c r="AC1303" s="15">
        <f>IF($AB1303="","",IF($AB1303="×",0,IF($AB1303="○",ROUNDDOWN($E1303*設定!$C$4,0),ROUNDDOWN($E1303*ROUND((9*$AA1303-9*$E1303)/(10*$E1303),4),0))))</f>
        <v/>
      </c>
      <c r="AD1303" s="13" t="n"/>
      <c r="AE1303" s="15">
        <f>IF($B1303="","",IF($AD1303&lt;&gt;"",$AD1303,IF($AC1303="","",IF($AC1303&lt;=設定!$C$3,0,$AC1303))))</f>
        <v/>
      </c>
      <c r="AF1303" s="14">
        <f>IF($B1303="","",IF(AND($AG1303&lt;&gt;"",$AI1303="",$AL1303=""),"保留中",IF($AL1303&lt;&gt;"",IF(N($AE1303)&gt;0,"支給済","不支給"),IF($AE1303="","要確認",IF($AE1303=0,"不支給","未処理")))))</f>
        <v/>
      </c>
      <c r="AG1303" s="12" t="n"/>
      <c r="AH1303" s="11" t="n"/>
      <c r="AI1303" s="11" t="n"/>
      <c r="AJ1303" s="11" t="n"/>
      <c r="AK1303" s="14">
        <f>IF(AND($AF1303="保留中",$AH1303&lt;&gt;""),TODAY()-$AH1303,"")</f>
        <v/>
      </c>
      <c r="AL1303" s="12" t="n"/>
      <c r="AM1303" s="14">
        <f>IF($B1303="","",IF($AQ1303="","対象年月が未入力／","")&amp;IF($B1303="","",IF($AP1303="","職員マスタに未登録の職員番号／",IF($AA1303="","標準報酬月額が未登録／","")&amp;IF(AND($AQ1303&lt;&gt;"",OR(AND(INDEX(職員マスタ!$G$6:$G$405,$AP1303)&lt;&gt;"",INDEX(職員マスタ!$G$6:$G$405,$AP1303)&gt;EOMONTH($AQ1303,0)),AND(INDEX(職員マスタ!$H$6:$H$405,$AP1303)&lt;&gt;"",INDEX(職員マスタ!$H$6:$H$405,$AP1303)&lt;$AQ1303))),"対象月が時短期間外／","")&amp;IF(AND(INDEX(職員マスタ!$K$6:$K$405,$AP1303)&lt;&gt;"",N($W1303)&gt;0,INDEX(職員マスタ!$K$6:$K$405,$AP1303)&lt;&gt;$W1303),"標準報酬月額が申請書と相違（台帳"&amp;TEXT(INDEX(職員マスタ!$K$6:$K$405,$AP1303),"#,##0")&amp;"円／申請書"&amp;TEXT($W1303,"#,##0")&amp;"円）／","")&amp;IF(AND(INDEX(職員マスタ!$F$6:$F$405,$AP1303)&lt;&gt;"",$AQ1303&lt;&gt;"",INDEX(職員マスタ!$F$6:$F$405,$AP1303)&lt;$AQ1303),"対象月に子が2歳到達済／","")&amp;IF(AND($H1303&lt;&gt;"",INDEX(職員マスタ!$B$6:$B$405,$AP1303)&lt;&gt;"",SUBSTITUTE(SUBSTITUTE($H1303," ","")," ","")&lt;&gt;SUBSTITUTE(SUBSTITUTE(INDEX(職員マスタ!$B$6:$B$405,$AP1303)," ","")," ","")),"氏名がマスタと相違／","")&amp;IF(AND($Q1303&lt;&gt;"",INDEX(職員マスタ!$E$6:$E$405,$AP1303)&lt;&gt;"",$Q1303&lt;&gt;INDEX(職員マスタ!$E$6:$E$405,$AP1303)),"子の生年月日がマスタと相違／","")&amp;IF(AND($L1303&lt;&gt;"",INDEX(職員マスタ!$G$6:$G$405,$AP1303)&lt;&gt;"",$L1303&lt;&gt;INDEX(職員マスタ!$G$6:$G$405,$AP1303)),"時短開始日がマスタと相違／","")&amp;IF(AND($M1303&lt;&gt;"",INDEX(職員マスタ!$H$6:$H$405,$AP1303)&lt;&gt;"",$M1303&lt;&gt;INDEX(職員マスタ!$H$6:$H$405,$AP1303)),"時短終了日がマスタと相違／","")))&amp;IF(AND($B1303&lt;&gt;"",$E1303=""),"報酬額が未入力／","")&amp;IF(N($U1303)&gt;0,"申請書に入力エラーが残っています／","")&amp;IF(AND($B1303&lt;&gt;"",$AQ1303&lt;&gt;""),IF(COUNTIFS($B$6:$B$3005,$B1303,$C$6:$C$3005,$C1303,$D$6:$D$3005,$D1303)&gt;1,"同じ月の請求が重複しています／",""),"")&amp;IF(AND(N($E1303)&gt;0,$AB1303&lt;&gt;"",$AB1303&lt;&gt;"×",$AE1303=0,$AD1303=""),"計算額が下限以下のため不支給／",""))</f>
        <v/>
      </c>
      <c r="AN1303" s="12" t="n"/>
      <c r="AO1303" s="14">
        <f>IF($AF1303="保留中",COUNTIF($AF$6:$AF1303,"保留中"),"")</f>
        <v/>
      </c>
      <c r="AP1303" s="14">
        <f>IF($AQ1303="","",IF(SUMPRODUCT(MAX((職員マスタ!$A$6:$A$405=$B1303)*(((職員マスタ!$G$6:$G$405="")+(職員マスタ!$G$6:$G$405&lt;=EOMONTH($AQ1303,0)))&gt;0)*(((職員マスタ!$H$6:$H$405="")+(職員マスタ!$H$6:$H$405&gt;=$AQ1303))&gt;0)*(ROW(職員マスタ!$A$6:$A$405)-5)))&gt;0,SUMPRODUCT(MAX((職員マスタ!$A$6:$A$405=$B1303)*(((職員マスタ!$G$6:$G$405="")+(職員マスタ!$G$6:$G$405&lt;=EOMONTH($AQ1303,0)))&gt;0)*(((職員マスタ!$H$6:$H$405="")+(職員マスタ!$H$6:$H$405&gt;=$AQ1303))&gt;0)*(ROW(職員マスタ!$A$6:$A$405)-5))),IFERROR(MATCH($B1303,職員マスタ!$A$6:$A$405,0),"")))</f>
        <v/>
      </c>
      <c r="AQ1303" s="16">
        <f>IF(OR($B1303="",$C1303="",$D1303=""),"",DATE($C1303+2018,$D1303,1))</f>
        <v/>
      </c>
    </row>
    <row r="1304">
      <c r="A1304" s="11" t="n"/>
      <c r="B1304" s="12" t="n"/>
      <c r="C1304" s="12" t="n"/>
      <c r="D1304" s="12" t="n"/>
      <c r="E1304" s="13" t="n"/>
      <c r="F1304" s="12" t="n"/>
      <c r="G1304" s="13" t="n"/>
      <c r="H1304" s="12" t="n"/>
      <c r="I1304" s="12" t="n"/>
      <c r="J1304" s="12" t="n"/>
      <c r="K1304" s="12" t="n"/>
      <c r="L1304" s="11" t="n"/>
      <c r="M1304" s="11" t="n"/>
      <c r="N1304" s="11" t="n"/>
      <c r="O1304" s="11" t="n"/>
      <c r="P1304" s="12" t="n"/>
      <c r="Q1304" s="11" t="n"/>
      <c r="R1304" s="12" t="n"/>
      <c r="S1304" s="11" t="n"/>
      <c r="T1304" s="12" t="n"/>
      <c r="U1304" s="12" t="n"/>
      <c r="V1304" s="12" t="n"/>
      <c r="W1304" s="13" t="n"/>
      <c r="X1304" s="14">
        <f>IF($AP1304="",IF($B1304="","",$H1304),IF(INDEX(職員マスタ!$B$6:$B$405,$AP1304)="",$H1304,INDEX(職員マスタ!$B$6:$B$405,$AP1304)))</f>
        <v/>
      </c>
      <c r="Y1304" s="14">
        <f>IF($AP1304="",IF($B1304="","",$R1304),IF(INDEX(職員マスタ!$C$6:$C$405,$AP1304)="",$R1304,INDEX(職員マスタ!$C$6:$C$405,$AP1304)))</f>
        <v/>
      </c>
      <c r="Z1304" s="14">
        <f>IF($AQ1304="","","R"&amp;$C1304&amp;"."&amp;$D1304)</f>
        <v/>
      </c>
      <c r="AA1304" s="15">
        <f>IF(IF($AP1304="",FALSE,INDEX(職員マスタ!$K$6:$K$405,$AP1304)&lt;&gt;""),INDEX(職員マスタ!$K$6:$K$405,$AP1304),IF(N($W1304)&gt;0,$W1304,""))</f>
        <v/>
      </c>
      <c r="AB1304" s="14">
        <f>IF(OR($E1304="",$AA1304=""),"",IF($E1304&gt;=$AA1304,"×",IF($E1304&gt;=$AA1304*設定!$C$5,"△","○")))</f>
        <v/>
      </c>
      <c r="AC1304" s="15">
        <f>IF($AB1304="","",IF($AB1304="×",0,IF($AB1304="○",ROUNDDOWN($E1304*設定!$C$4,0),ROUNDDOWN($E1304*ROUND((9*$AA1304-9*$E1304)/(10*$E1304),4),0))))</f>
        <v/>
      </c>
      <c r="AD1304" s="13" t="n"/>
      <c r="AE1304" s="15">
        <f>IF($B1304="","",IF($AD1304&lt;&gt;"",$AD1304,IF($AC1304="","",IF($AC1304&lt;=設定!$C$3,0,$AC1304))))</f>
        <v/>
      </c>
      <c r="AF1304" s="14">
        <f>IF($B1304="","",IF(AND($AG1304&lt;&gt;"",$AI1304="",$AL1304=""),"保留中",IF($AL1304&lt;&gt;"",IF(N($AE1304)&gt;0,"支給済","不支給"),IF($AE1304="","要確認",IF($AE1304=0,"不支給","未処理")))))</f>
        <v/>
      </c>
      <c r="AG1304" s="12" t="n"/>
      <c r="AH1304" s="11" t="n"/>
      <c r="AI1304" s="11" t="n"/>
      <c r="AJ1304" s="11" t="n"/>
      <c r="AK1304" s="14">
        <f>IF(AND($AF1304="保留中",$AH1304&lt;&gt;""),TODAY()-$AH1304,"")</f>
        <v/>
      </c>
      <c r="AL1304" s="12" t="n"/>
      <c r="AM1304" s="14">
        <f>IF($B1304="","",IF($AQ1304="","対象年月が未入力／","")&amp;IF($B1304="","",IF($AP1304="","職員マスタに未登録の職員番号／",IF($AA1304="","標準報酬月額が未登録／","")&amp;IF(AND($AQ1304&lt;&gt;"",OR(AND(INDEX(職員マスタ!$G$6:$G$405,$AP1304)&lt;&gt;"",INDEX(職員マスタ!$G$6:$G$405,$AP1304)&gt;EOMONTH($AQ1304,0)),AND(INDEX(職員マスタ!$H$6:$H$405,$AP1304)&lt;&gt;"",INDEX(職員マスタ!$H$6:$H$405,$AP1304)&lt;$AQ1304))),"対象月が時短期間外／","")&amp;IF(AND(INDEX(職員マスタ!$K$6:$K$405,$AP1304)&lt;&gt;"",N($W1304)&gt;0,INDEX(職員マスタ!$K$6:$K$405,$AP1304)&lt;&gt;$W1304),"標準報酬月額が申請書と相違（台帳"&amp;TEXT(INDEX(職員マスタ!$K$6:$K$405,$AP1304),"#,##0")&amp;"円／申請書"&amp;TEXT($W1304,"#,##0")&amp;"円）／","")&amp;IF(AND(INDEX(職員マスタ!$F$6:$F$405,$AP1304)&lt;&gt;"",$AQ1304&lt;&gt;"",INDEX(職員マスタ!$F$6:$F$405,$AP1304)&lt;$AQ1304),"対象月に子が2歳到達済／","")&amp;IF(AND($H1304&lt;&gt;"",INDEX(職員マスタ!$B$6:$B$405,$AP1304)&lt;&gt;"",SUBSTITUTE(SUBSTITUTE($H1304," ","")," ","")&lt;&gt;SUBSTITUTE(SUBSTITUTE(INDEX(職員マスタ!$B$6:$B$405,$AP1304)," ","")," ","")),"氏名がマスタと相違／","")&amp;IF(AND($Q1304&lt;&gt;"",INDEX(職員マスタ!$E$6:$E$405,$AP1304)&lt;&gt;"",$Q1304&lt;&gt;INDEX(職員マスタ!$E$6:$E$405,$AP1304)),"子の生年月日がマスタと相違／","")&amp;IF(AND($L1304&lt;&gt;"",INDEX(職員マスタ!$G$6:$G$405,$AP1304)&lt;&gt;"",$L1304&lt;&gt;INDEX(職員マスタ!$G$6:$G$405,$AP1304)),"時短開始日がマスタと相違／","")&amp;IF(AND($M1304&lt;&gt;"",INDEX(職員マスタ!$H$6:$H$405,$AP1304)&lt;&gt;"",$M1304&lt;&gt;INDEX(職員マスタ!$H$6:$H$405,$AP1304)),"時短終了日がマスタと相違／","")))&amp;IF(AND($B1304&lt;&gt;"",$E1304=""),"報酬額が未入力／","")&amp;IF(N($U1304)&gt;0,"申請書に入力エラーが残っています／","")&amp;IF(AND($B1304&lt;&gt;"",$AQ1304&lt;&gt;""),IF(COUNTIFS($B$6:$B$3005,$B1304,$C$6:$C$3005,$C1304,$D$6:$D$3005,$D1304)&gt;1,"同じ月の請求が重複しています／",""),"")&amp;IF(AND(N($E1304)&gt;0,$AB1304&lt;&gt;"",$AB1304&lt;&gt;"×",$AE1304=0,$AD1304=""),"計算額が下限以下のため不支給／",""))</f>
        <v/>
      </c>
      <c r="AN1304" s="12" t="n"/>
      <c r="AO1304" s="14">
        <f>IF($AF1304="保留中",COUNTIF($AF$6:$AF1304,"保留中"),"")</f>
        <v/>
      </c>
      <c r="AP1304" s="14">
        <f>IF($AQ1304="","",IF(SUMPRODUCT(MAX((職員マスタ!$A$6:$A$405=$B1304)*(((職員マスタ!$G$6:$G$405="")+(職員マスタ!$G$6:$G$405&lt;=EOMONTH($AQ1304,0)))&gt;0)*(((職員マスタ!$H$6:$H$405="")+(職員マスタ!$H$6:$H$405&gt;=$AQ1304))&gt;0)*(ROW(職員マスタ!$A$6:$A$405)-5)))&gt;0,SUMPRODUCT(MAX((職員マスタ!$A$6:$A$405=$B1304)*(((職員マスタ!$G$6:$G$405="")+(職員マスタ!$G$6:$G$405&lt;=EOMONTH($AQ1304,0)))&gt;0)*(((職員マスタ!$H$6:$H$405="")+(職員マスタ!$H$6:$H$405&gt;=$AQ1304))&gt;0)*(ROW(職員マスタ!$A$6:$A$405)-5))),IFERROR(MATCH($B1304,職員マスタ!$A$6:$A$405,0),"")))</f>
        <v/>
      </c>
      <c r="AQ1304" s="16">
        <f>IF(OR($B1304="",$C1304="",$D1304=""),"",DATE($C1304+2018,$D1304,1))</f>
        <v/>
      </c>
    </row>
    <row r="1305">
      <c r="A1305" s="11" t="n"/>
      <c r="B1305" s="12" t="n"/>
      <c r="C1305" s="12" t="n"/>
      <c r="D1305" s="12" t="n"/>
      <c r="E1305" s="13" t="n"/>
      <c r="F1305" s="12" t="n"/>
      <c r="G1305" s="13" t="n"/>
      <c r="H1305" s="12" t="n"/>
      <c r="I1305" s="12" t="n"/>
      <c r="J1305" s="12" t="n"/>
      <c r="K1305" s="12" t="n"/>
      <c r="L1305" s="11" t="n"/>
      <c r="M1305" s="11" t="n"/>
      <c r="N1305" s="11" t="n"/>
      <c r="O1305" s="11" t="n"/>
      <c r="P1305" s="12" t="n"/>
      <c r="Q1305" s="11" t="n"/>
      <c r="R1305" s="12" t="n"/>
      <c r="S1305" s="11" t="n"/>
      <c r="T1305" s="12" t="n"/>
      <c r="U1305" s="12" t="n"/>
      <c r="V1305" s="12" t="n"/>
      <c r="W1305" s="13" t="n"/>
      <c r="X1305" s="14">
        <f>IF($AP1305="",IF($B1305="","",$H1305),IF(INDEX(職員マスタ!$B$6:$B$405,$AP1305)="",$H1305,INDEX(職員マスタ!$B$6:$B$405,$AP1305)))</f>
        <v/>
      </c>
      <c r="Y1305" s="14">
        <f>IF($AP1305="",IF($B1305="","",$R1305),IF(INDEX(職員マスタ!$C$6:$C$405,$AP1305)="",$R1305,INDEX(職員マスタ!$C$6:$C$405,$AP1305)))</f>
        <v/>
      </c>
      <c r="Z1305" s="14">
        <f>IF($AQ1305="","","R"&amp;$C1305&amp;"."&amp;$D1305)</f>
        <v/>
      </c>
      <c r="AA1305" s="15">
        <f>IF(IF($AP1305="",FALSE,INDEX(職員マスタ!$K$6:$K$405,$AP1305)&lt;&gt;""),INDEX(職員マスタ!$K$6:$K$405,$AP1305),IF(N($W1305)&gt;0,$W1305,""))</f>
        <v/>
      </c>
      <c r="AB1305" s="14">
        <f>IF(OR($E1305="",$AA1305=""),"",IF($E1305&gt;=$AA1305,"×",IF($E1305&gt;=$AA1305*設定!$C$5,"△","○")))</f>
        <v/>
      </c>
      <c r="AC1305" s="15">
        <f>IF($AB1305="","",IF($AB1305="×",0,IF($AB1305="○",ROUNDDOWN($E1305*設定!$C$4,0),ROUNDDOWN($E1305*ROUND((9*$AA1305-9*$E1305)/(10*$E1305),4),0))))</f>
        <v/>
      </c>
      <c r="AD1305" s="13" t="n"/>
      <c r="AE1305" s="15">
        <f>IF($B1305="","",IF($AD1305&lt;&gt;"",$AD1305,IF($AC1305="","",IF($AC1305&lt;=設定!$C$3,0,$AC1305))))</f>
        <v/>
      </c>
      <c r="AF1305" s="14">
        <f>IF($B1305="","",IF(AND($AG1305&lt;&gt;"",$AI1305="",$AL1305=""),"保留中",IF($AL1305&lt;&gt;"",IF(N($AE1305)&gt;0,"支給済","不支給"),IF($AE1305="","要確認",IF($AE1305=0,"不支給","未処理")))))</f>
        <v/>
      </c>
      <c r="AG1305" s="12" t="n"/>
      <c r="AH1305" s="11" t="n"/>
      <c r="AI1305" s="11" t="n"/>
      <c r="AJ1305" s="11" t="n"/>
      <c r="AK1305" s="14">
        <f>IF(AND($AF1305="保留中",$AH1305&lt;&gt;""),TODAY()-$AH1305,"")</f>
        <v/>
      </c>
      <c r="AL1305" s="12" t="n"/>
      <c r="AM1305" s="14">
        <f>IF($B1305="","",IF($AQ1305="","対象年月が未入力／","")&amp;IF($B1305="","",IF($AP1305="","職員マスタに未登録の職員番号／",IF($AA1305="","標準報酬月額が未登録／","")&amp;IF(AND($AQ1305&lt;&gt;"",OR(AND(INDEX(職員マスタ!$G$6:$G$405,$AP1305)&lt;&gt;"",INDEX(職員マスタ!$G$6:$G$405,$AP1305)&gt;EOMONTH($AQ1305,0)),AND(INDEX(職員マスタ!$H$6:$H$405,$AP1305)&lt;&gt;"",INDEX(職員マスタ!$H$6:$H$405,$AP1305)&lt;$AQ1305))),"対象月が時短期間外／","")&amp;IF(AND(INDEX(職員マスタ!$K$6:$K$405,$AP1305)&lt;&gt;"",N($W1305)&gt;0,INDEX(職員マスタ!$K$6:$K$405,$AP1305)&lt;&gt;$W1305),"標準報酬月額が申請書と相違（台帳"&amp;TEXT(INDEX(職員マスタ!$K$6:$K$405,$AP1305),"#,##0")&amp;"円／申請書"&amp;TEXT($W1305,"#,##0")&amp;"円）／","")&amp;IF(AND(INDEX(職員マスタ!$F$6:$F$405,$AP1305)&lt;&gt;"",$AQ1305&lt;&gt;"",INDEX(職員マスタ!$F$6:$F$405,$AP1305)&lt;$AQ1305),"対象月に子が2歳到達済／","")&amp;IF(AND($H1305&lt;&gt;"",INDEX(職員マスタ!$B$6:$B$405,$AP1305)&lt;&gt;"",SUBSTITUTE(SUBSTITUTE($H1305," ","")," ","")&lt;&gt;SUBSTITUTE(SUBSTITUTE(INDEX(職員マスタ!$B$6:$B$405,$AP1305)," ","")," ","")),"氏名がマスタと相違／","")&amp;IF(AND($Q1305&lt;&gt;"",INDEX(職員マスタ!$E$6:$E$405,$AP1305)&lt;&gt;"",$Q1305&lt;&gt;INDEX(職員マスタ!$E$6:$E$405,$AP1305)),"子の生年月日がマスタと相違／","")&amp;IF(AND($L1305&lt;&gt;"",INDEX(職員マスタ!$G$6:$G$405,$AP1305)&lt;&gt;"",$L1305&lt;&gt;INDEX(職員マスタ!$G$6:$G$405,$AP1305)),"時短開始日がマスタと相違／","")&amp;IF(AND($M1305&lt;&gt;"",INDEX(職員マスタ!$H$6:$H$405,$AP1305)&lt;&gt;"",$M1305&lt;&gt;INDEX(職員マスタ!$H$6:$H$405,$AP1305)),"時短終了日がマスタと相違／","")))&amp;IF(AND($B1305&lt;&gt;"",$E1305=""),"報酬額が未入力／","")&amp;IF(N($U1305)&gt;0,"申請書に入力エラーが残っています／","")&amp;IF(AND($B1305&lt;&gt;"",$AQ1305&lt;&gt;""),IF(COUNTIFS($B$6:$B$3005,$B1305,$C$6:$C$3005,$C1305,$D$6:$D$3005,$D1305)&gt;1,"同じ月の請求が重複しています／",""),"")&amp;IF(AND(N($E1305)&gt;0,$AB1305&lt;&gt;"",$AB1305&lt;&gt;"×",$AE1305=0,$AD1305=""),"計算額が下限以下のため不支給／",""))</f>
        <v/>
      </c>
      <c r="AN1305" s="12" t="n"/>
      <c r="AO1305" s="14">
        <f>IF($AF1305="保留中",COUNTIF($AF$6:$AF1305,"保留中"),"")</f>
        <v/>
      </c>
      <c r="AP1305" s="14">
        <f>IF($AQ1305="","",IF(SUMPRODUCT(MAX((職員マスタ!$A$6:$A$405=$B1305)*(((職員マスタ!$G$6:$G$405="")+(職員マスタ!$G$6:$G$405&lt;=EOMONTH($AQ1305,0)))&gt;0)*(((職員マスタ!$H$6:$H$405="")+(職員マスタ!$H$6:$H$405&gt;=$AQ1305))&gt;0)*(ROW(職員マスタ!$A$6:$A$405)-5)))&gt;0,SUMPRODUCT(MAX((職員マスタ!$A$6:$A$405=$B1305)*(((職員マスタ!$G$6:$G$405="")+(職員マスタ!$G$6:$G$405&lt;=EOMONTH($AQ1305,0)))&gt;0)*(((職員マスタ!$H$6:$H$405="")+(職員マスタ!$H$6:$H$405&gt;=$AQ1305))&gt;0)*(ROW(職員マスタ!$A$6:$A$405)-5))),IFERROR(MATCH($B1305,職員マスタ!$A$6:$A$405,0),"")))</f>
        <v/>
      </c>
      <c r="AQ1305" s="16">
        <f>IF(OR($B1305="",$C1305="",$D1305=""),"",DATE($C1305+2018,$D1305,1))</f>
        <v/>
      </c>
    </row>
    <row r="1306">
      <c r="A1306" s="11" t="n"/>
      <c r="B1306" s="12" t="n"/>
      <c r="C1306" s="12" t="n"/>
      <c r="D1306" s="12" t="n"/>
      <c r="E1306" s="13" t="n"/>
      <c r="F1306" s="12" t="n"/>
      <c r="G1306" s="13" t="n"/>
      <c r="H1306" s="12" t="n"/>
      <c r="I1306" s="12" t="n"/>
      <c r="J1306" s="12" t="n"/>
      <c r="K1306" s="12" t="n"/>
      <c r="L1306" s="11" t="n"/>
      <c r="M1306" s="11" t="n"/>
      <c r="N1306" s="11" t="n"/>
      <c r="O1306" s="11" t="n"/>
      <c r="P1306" s="12" t="n"/>
      <c r="Q1306" s="11" t="n"/>
      <c r="R1306" s="12" t="n"/>
      <c r="S1306" s="11" t="n"/>
      <c r="T1306" s="12" t="n"/>
      <c r="U1306" s="12" t="n"/>
      <c r="V1306" s="12" t="n"/>
      <c r="W1306" s="13" t="n"/>
      <c r="X1306" s="14">
        <f>IF($AP1306="",IF($B1306="","",$H1306),IF(INDEX(職員マスタ!$B$6:$B$405,$AP1306)="",$H1306,INDEX(職員マスタ!$B$6:$B$405,$AP1306)))</f>
        <v/>
      </c>
      <c r="Y1306" s="14">
        <f>IF($AP1306="",IF($B1306="","",$R1306),IF(INDEX(職員マスタ!$C$6:$C$405,$AP1306)="",$R1306,INDEX(職員マスタ!$C$6:$C$405,$AP1306)))</f>
        <v/>
      </c>
      <c r="Z1306" s="14">
        <f>IF($AQ1306="","","R"&amp;$C1306&amp;"."&amp;$D1306)</f>
        <v/>
      </c>
      <c r="AA1306" s="15">
        <f>IF(IF($AP1306="",FALSE,INDEX(職員マスタ!$K$6:$K$405,$AP1306)&lt;&gt;""),INDEX(職員マスタ!$K$6:$K$405,$AP1306),IF(N($W1306)&gt;0,$W1306,""))</f>
        <v/>
      </c>
      <c r="AB1306" s="14">
        <f>IF(OR($E1306="",$AA1306=""),"",IF($E1306&gt;=$AA1306,"×",IF($E1306&gt;=$AA1306*設定!$C$5,"△","○")))</f>
        <v/>
      </c>
      <c r="AC1306" s="15">
        <f>IF($AB1306="","",IF($AB1306="×",0,IF($AB1306="○",ROUNDDOWN($E1306*設定!$C$4,0),ROUNDDOWN($E1306*ROUND((9*$AA1306-9*$E1306)/(10*$E1306),4),0))))</f>
        <v/>
      </c>
      <c r="AD1306" s="13" t="n"/>
      <c r="AE1306" s="15">
        <f>IF($B1306="","",IF($AD1306&lt;&gt;"",$AD1306,IF($AC1306="","",IF($AC1306&lt;=設定!$C$3,0,$AC1306))))</f>
        <v/>
      </c>
      <c r="AF1306" s="14">
        <f>IF($B1306="","",IF(AND($AG1306&lt;&gt;"",$AI1306="",$AL1306=""),"保留中",IF($AL1306&lt;&gt;"",IF(N($AE1306)&gt;0,"支給済","不支給"),IF($AE1306="","要確認",IF($AE1306=0,"不支給","未処理")))))</f>
        <v/>
      </c>
      <c r="AG1306" s="12" t="n"/>
      <c r="AH1306" s="11" t="n"/>
      <c r="AI1306" s="11" t="n"/>
      <c r="AJ1306" s="11" t="n"/>
      <c r="AK1306" s="14">
        <f>IF(AND($AF1306="保留中",$AH1306&lt;&gt;""),TODAY()-$AH1306,"")</f>
        <v/>
      </c>
      <c r="AL1306" s="12" t="n"/>
      <c r="AM1306" s="14">
        <f>IF($B1306="","",IF($AQ1306="","対象年月が未入力／","")&amp;IF($B1306="","",IF($AP1306="","職員マスタに未登録の職員番号／",IF($AA1306="","標準報酬月額が未登録／","")&amp;IF(AND($AQ1306&lt;&gt;"",OR(AND(INDEX(職員マスタ!$G$6:$G$405,$AP1306)&lt;&gt;"",INDEX(職員マスタ!$G$6:$G$405,$AP1306)&gt;EOMONTH($AQ1306,0)),AND(INDEX(職員マスタ!$H$6:$H$405,$AP1306)&lt;&gt;"",INDEX(職員マスタ!$H$6:$H$405,$AP1306)&lt;$AQ1306))),"対象月が時短期間外／","")&amp;IF(AND(INDEX(職員マスタ!$K$6:$K$405,$AP1306)&lt;&gt;"",N($W1306)&gt;0,INDEX(職員マスタ!$K$6:$K$405,$AP1306)&lt;&gt;$W1306),"標準報酬月額が申請書と相違（台帳"&amp;TEXT(INDEX(職員マスタ!$K$6:$K$405,$AP1306),"#,##0")&amp;"円／申請書"&amp;TEXT($W1306,"#,##0")&amp;"円）／","")&amp;IF(AND(INDEX(職員マスタ!$F$6:$F$405,$AP1306)&lt;&gt;"",$AQ1306&lt;&gt;"",INDEX(職員マスタ!$F$6:$F$405,$AP1306)&lt;$AQ1306),"対象月に子が2歳到達済／","")&amp;IF(AND($H1306&lt;&gt;"",INDEX(職員マスタ!$B$6:$B$405,$AP1306)&lt;&gt;"",SUBSTITUTE(SUBSTITUTE($H1306," ","")," ","")&lt;&gt;SUBSTITUTE(SUBSTITUTE(INDEX(職員マスタ!$B$6:$B$405,$AP1306)," ","")," ","")),"氏名がマスタと相違／","")&amp;IF(AND($Q1306&lt;&gt;"",INDEX(職員マスタ!$E$6:$E$405,$AP1306)&lt;&gt;"",$Q1306&lt;&gt;INDEX(職員マスタ!$E$6:$E$405,$AP1306)),"子の生年月日がマスタと相違／","")&amp;IF(AND($L1306&lt;&gt;"",INDEX(職員マスタ!$G$6:$G$405,$AP1306)&lt;&gt;"",$L1306&lt;&gt;INDEX(職員マスタ!$G$6:$G$405,$AP1306)),"時短開始日がマスタと相違／","")&amp;IF(AND($M1306&lt;&gt;"",INDEX(職員マスタ!$H$6:$H$405,$AP1306)&lt;&gt;"",$M1306&lt;&gt;INDEX(職員マスタ!$H$6:$H$405,$AP1306)),"時短終了日がマスタと相違／","")))&amp;IF(AND($B1306&lt;&gt;"",$E1306=""),"報酬額が未入力／","")&amp;IF(N($U1306)&gt;0,"申請書に入力エラーが残っています／","")&amp;IF(AND($B1306&lt;&gt;"",$AQ1306&lt;&gt;""),IF(COUNTIFS($B$6:$B$3005,$B1306,$C$6:$C$3005,$C1306,$D$6:$D$3005,$D1306)&gt;1,"同じ月の請求が重複しています／",""),"")&amp;IF(AND(N($E1306)&gt;0,$AB1306&lt;&gt;"",$AB1306&lt;&gt;"×",$AE1306=0,$AD1306=""),"計算額が下限以下のため不支給／",""))</f>
        <v/>
      </c>
      <c r="AN1306" s="12" t="n"/>
      <c r="AO1306" s="14">
        <f>IF($AF1306="保留中",COUNTIF($AF$6:$AF1306,"保留中"),"")</f>
        <v/>
      </c>
      <c r="AP1306" s="14">
        <f>IF($AQ1306="","",IF(SUMPRODUCT(MAX((職員マスタ!$A$6:$A$405=$B1306)*(((職員マスタ!$G$6:$G$405="")+(職員マスタ!$G$6:$G$405&lt;=EOMONTH($AQ1306,0)))&gt;0)*(((職員マスタ!$H$6:$H$405="")+(職員マスタ!$H$6:$H$405&gt;=$AQ1306))&gt;0)*(ROW(職員マスタ!$A$6:$A$405)-5)))&gt;0,SUMPRODUCT(MAX((職員マスタ!$A$6:$A$405=$B1306)*(((職員マスタ!$G$6:$G$405="")+(職員マスタ!$G$6:$G$405&lt;=EOMONTH($AQ1306,0)))&gt;0)*(((職員マスタ!$H$6:$H$405="")+(職員マスタ!$H$6:$H$405&gt;=$AQ1306))&gt;0)*(ROW(職員マスタ!$A$6:$A$405)-5))),IFERROR(MATCH($B1306,職員マスタ!$A$6:$A$405,0),"")))</f>
        <v/>
      </c>
      <c r="AQ1306" s="16">
        <f>IF(OR($B1306="",$C1306="",$D1306=""),"",DATE($C1306+2018,$D1306,1))</f>
        <v/>
      </c>
    </row>
    <row r="1307">
      <c r="A1307" s="11" t="n"/>
      <c r="B1307" s="12" t="n"/>
      <c r="C1307" s="12" t="n"/>
      <c r="D1307" s="12" t="n"/>
      <c r="E1307" s="13" t="n"/>
      <c r="F1307" s="12" t="n"/>
      <c r="G1307" s="13" t="n"/>
      <c r="H1307" s="12" t="n"/>
      <c r="I1307" s="12" t="n"/>
      <c r="J1307" s="12" t="n"/>
      <c r="K1307" s="12" t="n"/>
      <c r="L1307" s="11" t="n"/>
      <c r="M1307" s="11" t="n"/>
      <c r="N1307" s="11" t="n"/>
      <c r="O1307" s="11" t="n"/>
      <c r="P1307" s="12" t="n"/>
      <c r="Q1307" s="11" t="n"/>
      <c r="R1307" s="12" t="n"/>
      <c r="S1307" s="11" t="n"/>
      <c r="T1307" s="12" t="n"/>
      <c r="U1307" s="12" t="n"/>
      <c r="V1307" s="12" t="n"/>
      <c r="W1307" s="13" t="n"/>
      <c r="X1307" s="14">
        <f>IF($AP1307="",IF($B1307="","",$H1307),IF(INDEX(職員マスタ!$B$6:$B$405,$AP1307)="",$H1307,INDEX(職員マスタ!$B$6:$B$405,$AP1307)))</f>
        <v/>
      </c>
      <c r="Y1307" s="14">
        <f>IF($AP1307="",IF($B1307="","",$R1307),IF(INDEX(職員マスタ!$C$6:$C$405,$AP1307)="",$R1307,INDEX(職員マスタ!$C$6:$C$405,$AP1307)))</f>
        <v/>
      </c>
      <c r="Z1307" s="14">
        <f>IF($AQ1307="","","R"&amp;$C1307&amp;"."&amp;$D1307)</f>
        <v/>
      </c>
      <c r="AA1307" s="15">
        <f>IF(IF($AP1307="",FALSE,INDEX(職員マスタ!$K$6:$K$405,$AP1307)&lt;&gt;""),INDEX(職員マスタ!$K$6:$K$405,$AP1307),IF(N($W1307)&gt;0,$W1307,""))</f>
        <v/>
      </c>
      <c r="AB1307" s="14">
        <f>IF(OR($E1307="",$AA1307=""),"",IF($E1307&gt;=$AA1307,"×",IF($E1307&gt;=$AA1307*設定!$C$5,"△","○")))</f>
        <v/>
      </c>
      <c r="AC1307" s="15">
        <f>IF($AB1307="","",IF($AB1307="×",0,IF($AB1307="○",ROUNDDOWN($E1307*設定!$C$4,0),ROUNDDOWN($E1307*ROUND((9*$AA1307-9*$E1307)/(10*$E1307),4),0))))</f>
        <v/>
      </c>
      <c r="AD1307" s="13" t="n"/>
      <c r="AE1307" s="15">
        <f>IF($B1307="","",IF($AD1307&lt;&gt;"",$AD1307,IF($AC1307="","",IF($AC1307&lt;=設定!$C$3,0,$AC1307))))</f>
        <v/>
      </c>
      <c r="AF1307" s="14">
        <f>IF($B1307="","",IF(AND($AG1307&lt;&gt;"",$AI1307="",$AL1307=""),"保留中",IF($AL1307&lt;&gt;"",IF(N($AE1307)&gt;0,"支給済","不支給"),IF($AE1307="","要確認",IF($AE1307=0,"不支給","未処理")))))</f>
        <v/>
      </c>
      <c r="AG1307" s="12" t="n"/>
      <c r="AH1307" s="11" t="n"/>
      <c r="AI1307" s="11" t="n"/>
      <c r="AJ1307" s="11" t="n"/>
      <c r="AK1307" s="14">
        <f>IF(AND($AF1307="保留中",$AH1307&lt;&gt;""),TODAY()-$AH1307,"")</f>
        <v/>
      </c>
      <c r="AL1307" s="12" t="n"/>
      <c r="AM1307" s="14">
        <f>IF($B1307="","",IF($AQ1307="","対象年月が未入力／","")&amp;IF($B1307="","",IF($AP1307="","職員マスタに未登録の職員番号／",IF($AA1307="","標準報酬月額が未登録／","")&amp;IF(AND($AQ1307&lt;&gt;"",OR(AND(INDEX(職員マスタ!$G$6:$G$405,$AP1307)&lt;&gt;"",INDEX(職員マスタ!$G$6:$G$405,$AP1307)&gt;EOMONTH($AQ1307,0)),AND(INDEX(職員マスタ!$H$6:$H$405,$AP1307)&lt;&gt;"",INDEX(職員マスタ!$H$6:$H$405,$AP1307)&lt;$AQ1307))),"対象月が時短期間外／","")&amp;IF(AND(INDEX(職員マスタ!$K$6:$K$405,$AP1307)&lt;&gt;"",N($W1307)&gt;0,INDEX(職員マスタ!$K$6:$K$405,$AP1307)&lt;&gt;$W1307),"標準報酬月額が申請書と相違（台帳"&amp;TEXT(INDEX(職員マスタ!$K$6:$K$405,$AP1307),"#,##0")&amp;"円／申請書"&amp;TEXT($W1307,"#,##0")&amp;"円）／","")&amp;IF(AND(INDEX(職員マスタ!$F$6:$F$405,$AP1307)&lt;&gt;"",$AQ1307&lt;&gt;"",INDEX(職員マスタ!$F$6:$F$405,$AP1307)&lt;$AQ1307),"対象月に子が2歳到達済／","")&amp;IF(AND($H1307&lt;&gt;"",INDEX(職員マスタ!$B$6:$B$405,$AP1307)&lt;&gt;"",SUBSTITUTE(SUBSTITUTE($H1307," ","")," ","")&lt;&gt;SUBSTITUTE(SUBSTITUTE(INDEX(職員マスタ!$B$6:$B$405,$AP1307)," ","")," ","")),"氏名がマスタと相違／","")&amp;IF(AND($Q1307&lt;&gt;"",INDEX(職員マスタ!$E$6:$E$405,$AP1307)&lt;&gt;"",$Q1307&lt;&gt;INDEX(職員マスタ!$E$6:$E$405,$AP1307)),"子の生年月日がマスタと相違／","")&amp;IF(AND($L1307&lt;&gt;"",INDEX(職員マスタ!$G$6:$G$405,$AP1307)&lt;&gt;"",$L1307&lt;&gt;INDEX(職員マスタ!$G$6:$G$405,$AP1307)),"時短開始日がマスタと相違／","")&amp;IF(AND($M1307&lt;&gt;"",INDEX(職員マスタ!$H$6:$H$405,$AP1307)&lt;&gt;"",$M1307&lt;&gt;INDEX(職員マスタ!$H$6:$H$405,$AP1307)),"時短終了日がマスタと相違／","")))&amp;IF(AND($B1307&lt;&gt;"",$E1307=""),"報酬額が未入力／","")&amp;IF(N($U1307)&gt;0,"申請書に入力エラーが残っています／","")&amp;IF(AND($B1307&lt;&gt;"",$AQ1307&lt;&gt;""),IF(COUNTIFS($B$6:$B$3005,$B1307,$C$6:$C$3005,$C1307,$D$6:$D$3005,$D1307)&gt;1,"同じ月の請求が重複しています／",""),"")&amp;IF(AND(N($E1307)&gt;0,$AB1307&lt;&gt;"",$AB1307&lt;&gt;"×",$AE1307=0,$AD1307=""),"計算額が下限以下のため不支給／",""))</f>
        <v/>
      </c>
      <c r="AN1307" s="12" t="n"/>
      <c r="AO1307" s="14">
        <f>IF($AF1307="保留中",COUNTIF($AF$6:$AF1307,"保留中"),"")</f>
        <v/>
      </c>
      <c r="AP1307" s="14">
        <f>IF($AQ1307="","",IF(SUMPRODUCT(MAX((職員マスタ!$A$6:$A$405=$B1307)*(((職員マスタ!$G$6:$G$405="")+(職員マスタ!$G$6:$G$405&lt;=EOMONTH($AQ1307,0)))&gt;0)*(((職員マスタ!$H$6:$H$405="")+(職員マスタ!$H$6:$H$405&gt;=$AQ1307))&gt;0)*(ROW(職員マスタ!$A$6:$A$405)-5)))&gt;0,SUMPRODUCT(MAX((職員マスタ!$A$6:$A$405=$B1307)*(((職員マスタ!$G$6:$G$405="")+(職員マスタ!$G$6:$G$405&lt;=EOMONTH($AQ1307,0)))&gt;0)*(((職員マスタ!$H$6:$H$405="")+(職員マスタ!$H$6:$H$405&gt;=$AQ1307))&gt;0)*(ROW(職員マスタ!$A$6:$A$405)-5))),IFERROR(MATCH($B1307,職員マスタ!$A$6:$A$405,0),"")))</f>
        <v/>
      </c>
      <c r="AQ1307" s="16">
        <f>IF(OR($B1307="",$C1307="",$D1307=""),"",DATE($C1307+2018,$D1307,1))</f>
        <v/>
      </c>
    </row>
    <row r="1308">
      <c r="A1308" s="11" t="n"/>
      <c r="B1308" s="12" t="n"/>
      <c r="C1308" s="12" t="n"/>
      <c r="D1308" s="12" t="n"/>
      <c r="E1308" s="13" t="n"/>
      <c r="F1308" s="12" t="n"/>
      <c r="G1308" s="13" t="n"/>
      <c r="H1308" s="12" t="n"/>
      <c r="I1308" s="12" t="n"/>
      <c r="J1308" s="12" t="n"/>
      <c r="K1308" s="12" t="n"/>
      <c r="L1308" s="11" t="n"/>
      <c r="M1308" s="11" t="n"/>
      <c r="N1308" s="11" t="n"/>
      <c r="O1308" s="11" t="n"/>
      <c r="P1308" s="12" t="n"/>
      <c r="Q1308" s="11" t="n"/>
      <c r="R1308" s="12" t="n"/>
      <c r="S1308" s="11" t="n"/>
      <c r="T1308" s="12" t="n"/>
      <c r="U1308" s="12" t="n"/>
      <c r="V1308" s="12" t="n"/>
      <c r="W1308" s="13" t="n"/>
      <c r="X1308" s="14">
        <f>IF($AP1308="",IF($B1308="","",$H1308),IF(INDEX(職員マスタ!$B$6:$B$405,$AP1308)="",$H1308,INDEX(職員マスタ!$B$6:$B$405,$AP1308)))</f>
        <v/>
      </c>
      <c r="Y1308" s="14">
        <f>IF($AP1308="",IF($B1308="","",$R1308),IF(INDEX(職員マスタ!$C$6:$C$405,$AP1308)="",$R1308,INDEX(職員マスタ!$C$6:$C$405,$AP1308)))</f>
        <v/>
      </c>
      <c r="Z1308" s="14">
        <f>IF($AQ1308="","","R"&amp;$C1308&amp;"."&amp;$D1308)</f>
        <v/>
      </c>
      <c r="AA1308" s="15">
        <f>IF(IF($AP1308="",FALSE,INDEX(職員マスタ!$K$6:$K$405,$AP1308)&lt;&gt;""),INDEX(職員マスタ!$K$6:$K$405,$AP1308),IF(N($W1308)&gt;0,$W1308,""))</f>
        <v/>
      </c>
      <c r="AB1308" s="14">
        <f>IF(OR($E1308="",$AA1308=""),"",IF($E1308&gt;=$AA1308,"×",IF($E1308&gt;=$AA1308*設定!$C$5,"△","○")))</f>
        <v/>
      </c>
      <c r="AC1308" s="15">
        <f>IF($AB1308="","",IF($AB1308="×",0,IF($AB1308="○",ROUNDDOWN($E1308*設定!$C$4,0),ROUNDDOWN($E1308*ROUND((9*$AA1308-9*$E1308)/(10*$E1308),4),0))))</f>
        <v/>
      </c>
      <c r="AD1308" s="13" t="n"/>
      <c r="AE1308" s="15">
        <f>IF($B1308="","",IF($AD1308&lt;&gt;"",$AD1308,IF($AC1308="","",IF($AC1308&lt;=設定!$C$3,0,$AC1308))))</f>
        <v/>
      </c>
      <c r="AF1308" s="14">
        <f>IF($B1308="","",IF(AND($AG1308&lt;&gt;"",$AI1308="",$AL1308=""),"保留中",IF($AL1308&lt;&gt;"",IF(N($AE1308)&gt;0,"支給済","不支給"),IF($AE1308="","要確認",IF($AE1308=0,"不支給","未処理")))))</f>
        <v/>
      </c>
      <c r="AG1308" s="12" t="n"/>
      <c r="AH1308" s="11" t="n"/>
      <c r="AI1308" s="11" t="n"/>
      <c r="AJ1308" s="11" t="n"/>
      <c r="AK1308" s="14">
        <f>IF(AND($AF1308="保留中",$AH1308&lt;&gt;""),TODAY()-$AH1308,"")</f>
        <v/>
      </c>
      <c r="AL1308" s="12" t="n"/>
      <c r="AM1308" s="14">
        <f>IF($B1308="","",IF($AQ1308="","対象年月が未入力／","")&amp;IF($B1308="","",IF($AP1308="","職員マスタに未登録の職員番号／",IF($AA1308="","標準報酬月額が未登録／","")&amp;IF(AND($AQ1308&lt;&gt;"",OR(AND(INDEX(職員マスタ!$G$6:$G$405,$AP1308)&lt;&gt;"",INDEX(職員マスタ!$G$6:$G$405,$AP1308)&gt;EOMONTH($AQ1308,0)),AND(INDEX(職員マスタ!$H$6:$H$405,$AP1308)&lt;&gt;"",INDEX(職員マスタ!$H$6:$H$405,$AP1308)&lt;$AQ1308))),"対象月が時短期間外／","")&amp;IF(AND(INDEX(職員マスタ!$K$6:$K$405,$AP1308)&lt;&gt;"",N($W1308)&gt;0,INDEX(職員マスタ!$K$6:$K$405,$AP1308)&lt;&gt;$W1308),"標準報酬月額が申請書と相違（台帳"&amp;TEXT(INDEX(職員マスタ!$K$6:$K$405,$AP1308),"#,##0")&amp;"円／申請書"&amp;TEXT($W1308,"#,##0")&amp;"円）／","")&amp;IF(AND(INDEX(職員マスタ!$F$6:$F$405,$AP1308)&lt;&gt;"",$AQ1308&lt;&gt;"",INDEX(職員マスタ!$F$6:$F$405,$AP1308)&lt;$AQ1308),"対象月に子が2歳到達済／","")&amp;IF(AND($H1308&lt;&gt;"",INDEX(職員マスタ!$B$6:$B$405,$AP1308)&lt;&gt;"",SUBSTITUTE(SUBSTITUTE($H1308," ","")," ","")&lt;&gt;SUBSTITUTE(SUBSTITUTE(INDEX(職員マスタ!$B$6:$B$405,$AP1308)," ","")," ","")),"氏名がマスタと相違／","")&amp;IF(AND($Q1308&lt;&gt;"",INDEX(職員マスタ!$E$6:$E$405,$AP1308)&lt;&gt;"",$Q1308&lt;&gt;INDEX(職員マスタ!$E$6:$E$405,$AP1308)),"子の生年月日がマスタと相違／","")&amp;IF(AND($L1308&lt;&gt;"",INDEX(職員マスタ!$G$6:$G$405,$AP1308)&lt;&gt;"",$L1308&lt;&gt;INDEX(職員マスタ!$G$6:$G$405,$AP1308)),"時短開始日がマスタと相違／","")&amp;IF(AND($M1308&lt;&gt;"",INDEX(職員マスタ!$H$6:$H$405,$AP1308)&lt;&gt;"",$M1308&lt;&gt;INDEX(職員マスタ!$H$6:$H$405,$AP1308)),"時短終了日がマスタと相違／","")))&amp;IF(AND($B1308&lt;&gt;"",$E1308=""),"報酬額が未入力／","")&amp;IF(N($U1308)&gt;0,"申請書に入力エラーが残っています／","")&amp;IF(AND($B1308&lt;&gt;"",$AQ1308&lt;&gt;""),IF(COUNTIFS($B$6:$B$3005,$B1308,$C$6:$C$3005,$C1308,$D$6:$D$3005,$D1308)&gt;1,"同じ月の請求が重複しています／",""),"")&amp;IF(AND(N($E1308)&gt;0,$AB1308&lt;&gt;"",$AB1308&lt;&gt;"×",$AE1308=0,$AD1308=""),"計算額が下限以下のため不支給／",""))</f>
        <v/>
      </c>
      <c r="AN1308" s="12" t="n"/>
      <c r="AO1308" s="14">
        <f>IF($AF1308="保留中",COUNTIF($AF$6:$AF1308,"保留中"),"")</f>
        <v/>
      </c>
      <c r="AP1308" s="14">
        <f>IF($AQ1308="","",IF(SUMPRODUCT(MAX((職員マスタ!$A$6:$A$405=$B1308)*(((職員マスタ!$G$6:$G$405="")+(職員マスタ!$G$6:$G$405&lt;=EOMONTH($AQ1308,0)))&gt;0)*(((職員マスタ!$H$6:$H$405="")+(職員マスタ!$H$6:$H$405&gt;=$AQ1308))&gt;0)*(ROW(職員マスタ!$A$6:$A$405)-5)))&gt;0,SUMPRODUCT(MAX((職員マスタ!$A$6:$A$405=$B1308)*(((職員マスタ!$G$6:$G$405="")+(職員マスタ!$G$6:$G$405&lt;=EOMONTH($AQ1308,0)))&gt;0)*(((職員マスタ!$H$6:$H$405="")+(職員マスタ!$H$6:$H$405&gt;=$AQ1308))&gt;0)*(ROW(職員マスタ!$A$6:$A$405)-5))),IFERROR(MATCH($B1308,職員マスタ!$A$6:$A$405,0),"")))</f>
        <v/>
      </c>
      <c r="AQ1308" s="16">
        <f>IF(OR($B1308="",$C1308="",$D1308=""),"",DATE($C1308+2018,$D1308,1))</f>
        <v/>
      </c>
    </row>
    <row r="1309">
      <c r="A1309" s="11" t="n"/>
      <c r="B1309" s="12" t="n"/>
      <c r="C1309" s="12" t="n"/>
      <c r="D1309" s="12" t="n"/>
      <c r="E1309" s="13" t="n"/>
      <c r="F1309" s="12" t="n"/>
      <c r="G1309" s="13" t="n"/>
      <c r="H1309" s="12" t="n"/>
      <c r="I1309" s="12" t="n"/>
      <c r="J1309" s="12" t="n"/>
      <c r="K1309" s="12" t="n"/>
      <c r="L1309" s="11" t="n"/>
      <c r="M1309" s="11" t="n"/>
      <c r="N1309" s="11" t="n"/>
      <c r="O1309" s="11" t="n"/>
      <c r="P1309" s="12" t="n"/>
      <c r="Q1309" s="11" t="n"/>
      <c r="R1309" s="12" t="n"/>
      <c r="S1309" s="11" t="n"/>
      <c r="T1309" s="12" t="n"/>
      <c r="U1309" s="12" t="n"/>
      <c r="V1309" s="12" t="n"/>
      <c r="W1309" s="13" t="n"/>
      <c r="X1309" s="14">
        <f>IF($AP1309="",IF($B1309="","",$H1309),IF(INDEX(職員マスタ!$B$6:$B$405,$AP1309)="",$H1309,INDEX(職員マスタ!$B$6:$B$405,$AP1309)))</f>
        <v/>
      </c>
      <c r="Y1309" s="14">
        <f>IF($AP1309="",IF($B1309="","",$R1309),IF(INDEX(職員マスタ!$C$6:$C$405,$AP1309)="",$R1309,INDEX(職員マスタ!$C$6:$C$405,$AP1309)))</f>
        <v/>
      </c>
      <c r="Z1309" s="14">
        <f>IF($AQ1309="","","R"&amp;$C1309&amp;"."&amp;$D1309)</f>
        <v/>
      </c>
      <c r="AA1309" s="15">
        <f>IF(IF($AP1309="",FALSE,INDEX(職員マスタ!$K$6:$K$405,$AP1309)&lt;&gt;""),INDEX(職員マスタ!$K$6:$K$405,$AP1309),IF(N($W1309)&gt;0,$W1309,""))</f>
        <v/>
      </c>
      <c r="AB1309" s="14">
        <f>IF(OR($E1309="",$AA1309=""),"",IF($E1309&gt;=$AA1309,"×",IF($E1309&gt;=$AA1309*設定!$C$5,"△","○")))</f>
        <v/>
      </c>
      <c r="AC1309" s="15">
        <f>IF($AB1309="","",IF($AB1309="×",0,IF($AB1309="○",ROUNDDOWN($E1309*設定!$C$4,0),ROUNDDOWN($E1309*ROUND((9*$AA1309-9*$E1309)/(10*$E1309),4),0))))</f>
        <v/>
      </c>
      <c r="AD1309" s="13" t="n"/>
      <c r="AE1309" s="15">
        <f>IF($B1309="","",IF($AD1309&lt;&gt;"",$AD1309,IF($AC1309="","",IF($AC1309&lt;=設定!$C$3,0,$AC1309))))</f>
        <v/>
      </c>
      <c r="AF1309" s="14">
        <f>IF($B1309="","",IF(AND($AG1309&lt;&gt;"",$AI1309="",$AL1309=""),"保留中",IF($AL1309&lt;&gt;"",IF(N($AE1309)&gt;0,"支給済","不支給"),IF($AE1309="","要確認",IF($AE1309=0,"不支給","未処理")))))</f>
        <v/>
      </c>
      <c r="AG1309" s="12" t="n"/>
      <c r="AH1309" s="11" t="n"/>
      <c r="AI1309" s="11" t="n"/>
      <c r="AJ1309" s="11" t="n"/>
      <c r="AK1309" s="14">
        <f>IF(AND($AF1309="保留中",$AH1309&lt;&gt;""),TODAY()-$AH1309,"")</f>
        <v/>
      </c>
      <c r="AL1309" s="12" t="n"/>
      <c r="AM1309" s="14">
        <f>IF($B1309="","",IF($AQ1309="","対象年月が未入力／","")&amp;IF($B1309="","",IF($AP1309="","職員マスタに未登録の職員番号／",IF($AA1309="","標準報酬月額が未登録／","")&amp;IF(AND($AQ1309&lt;&gt;"",OR(AND(INDEX(職員マスタ!$G$6:$G$405,$AP1309)&lt;&gt;"",INDEX(職員マスタ!$G$6:$G$405,$AP1309)&gt;EOMONTH($AQ1309,0)),AND(INDEX(職員マスタ!$H$6:$H$405,$AP1309)&lt;&gt;"",INDEX(職員マスタ!$H$6:$H$405,$AP1309)&lt;$AQ1309))),"対象月が時短期間外／","")&amp;IF(AND(INDEX(職員マスタ!$K$6:$K$405,$AP1309)&lt;&gt;"",N($W1309)&gt;0,INDEX(職員マスタ!$K$6:$K$405,$AP1309)&lt;&gt;$W1309),"標準報酬月額が申請書と相違（台帳"&amp;TEXT(INDEX(職員マスタ!$K$6:$K$405,$AP1309),"#,##0")&amp;"円／申請書"&amp;TEXT($W1309,"#,##0")&amp;"円）／","")&amp;IF(AND(INDEX(職員マスタ!$F$6:$F$405,$AP1309)&lt;&gt;"",$AQ1309&lt;&gt;"",INDEX(職員マスタ!$F$6:$F$405,$AP1309)&lt;$AQ1309),"対象月に子が2歳到達済／","")&amp;IF(AND($H1309&lt;&gt;"",INDEX(職員マスタ!$B$6:$B$405,$AP1309)&lt;&gt;"",SUBSTITUTE(SUBSTITUTE($H1309," ","")," ","")&lt;&gt;SUBSTITUTE(SUBSTITUTE(INDEX(職員マスタ!$B$6:$B$405,$AP1309)," ","")," ","")),"氏名がマスタと相違／","")&amp;IF(AND($Q1309&lt;&gt;"",INDEX(職員マスタ!$E$6:$E$405,$AP1309)&lt;&gt;"",$Q1309&lt;&gt;INDEX(職員マスタ!$E$6:$E$405,$AP1309)),"子の生年月日がマスタと相違／","")&amp;IF(AND($L1309&lt;&gt;"",INDEX(職員マスタ!$G$6:$G$405,$AP1309)&lt;&gt;"",$L1309&lt;&gt;INDEX(職員マスタ!$G$6:$G$405,$AP1309)),"時短開始日がマスタと相違／","")&amp;IF(AND($M1309&lt;&gt;"",INDEX(職員マスタ!$H$6:$H$405,$AP1309)&lt;&gt;"",$M1309&lt;&gt;INDEX(職員マスタ!$H$6:$H$405,$AP1309)),"時短終了日がマスタと相違／","")))&amp;IF(AND($B1309&lt;&gt;"",$E1309=""),"報酬額が未入力／","")&amp;IF(N($U1309)&gt;0,"申請書に入力エラーが残っています／","")&amp;IF(AND($B1309&lt;&gt;"",$AQ1309&lt;&gt;""),IF(COUNTIFS($B$6:$B$3005,$B1309,$C$6:$C$3005,$C1309,$D$6:$D$3005,$D1309)&gt;1,"同じ月の請求が重複しています／",""),"")&amp;IF(AND(N($E1309)&gt;0,$AB1309&lt;&gt;"",$AB1309&lt;&gt;"×",$AE1309=0,$AD1309=""),"計算額が下限以下のため不支給／",""))</f>
        <v/>
      </c>
      <c r="AN1309" s="12" t="n"/>
      <c r="AO1309" s="14">
        <f>IF($AF1309="保留中",COUNTIF($AF$6:$AF1309,"保留中"),"")</f>
        <v/>
      </c>
      <c r="AP1309" s="14">
        <f>IF($AQ1309="","",IF(SUMPRODUCT(MAX((職員マスタ!$A$6:$A$405=$B1309)*(((職員マスタ!$G$6:$G$405="")+(職員マスタ!$G$6:$G$405&lt;=EOMONTH($AQ1309,0)))&gt;0)*(((職員マスタ!$H$6:$H$405="")+(職員マスタ!$H$6:$H$405&gt;=$AQ1309))&gt;0)*(ROW(職員マスタ!$A$6:$A$405)-5)))&gt;0,SUMPRODUCT(MAX((職員マスタ!$A$6:$A$405=$B1309)*(((職員マスタ!$G$6:$G$405="")+(職員マスタ!$G$6:$G$405&lt;=EOMONTH($AQ1309,0)))&gt;0)*(((職員マスタ!$H$6:$H$405="")+(職員マスタ!$H$6:$H$405&gt;=$AQ1309))&gt;0)*(ROW(職員マスタ!$A$6:$A$405)-5))),IFERROR(MATCH($B1309,職員マスタ!$A$6:$A$405,0),"")))</f>
        <v/>
      </c>
      <c r="AQ1309" s="16">
        <f>IF(OR($B1309="",$C1309="",$D1309=""),"",DATE($C1309+2018,$D1309,1))</f>
        <v/>
      </c>
    </row>
    <row r="1310">
      <c r="A1310" s="11" t="n"/>
      <c r="B1310" s="12" t="n"/>
      <c r="C1310" s="12" t="n"/>
      <c r="D1310" s="12" t="n"/>
      <c r="E1310" s="13" t="n"/>
      <c r="F1310" s="12" t="n"/>
      <c r="G1310" s="13" t="n"/>
      <c r="H1310" s="12" t="n"/>
      <c r="I1310" s="12" t="n"/>
      <c r="J1310" s="12" t="n"/>
      <c r="K1310" s="12" t="n"/>
      <c r="L1310" s="11" t="n"/>
      <c r="M1310" s="11" t="n"/>
      <c r="N1310" s="11" t="n"/>
      <c r="O1310" s="11" t="n"/>
      <c r="P1310" s="12" t="n"/>
      <c r="Q1310" s="11" t="n"/>
      <c r="R1310" s="12" t="n"/>
      <c r="S1310" s="11" t="n"/>
      <c r="T1310" s="12" t="n"/>
      <c r="U1310" s="12" t="n"/>
      <c r="V1310" s="12" t="n"/>
      <c r="W1310" s="13" t="n"/>
      <c r="X1310" s="14">
        <f>IF($AP1310="",IF($B1310="","",$H1310),IF(INDEX(職員マスタ!$B$6:$B$405,$AP1310)="",$H1310,INDEX(職員マスタ!$B$6:$B$405,$AP1310)))</f>
        <v/>
      </c>
      <c r="Y1310" s="14">
        <f>IF($AP1310="",IF($B1310="","",$R1310),IF(INDEX(職員マスタ!$C$6:$C$405,$AP1310)="",$R1310,INDEX(職員マスタ!$C$6:$C$405,$AP1310)))</f>
        <v/>
      </c>
      <c r="Z1310" s="14">
        <f>IF($AQ1310="","","R"&amp;$C1310&amp;"."&amp;$D1310)</f>
        <v/>
      </c>
      <c r="AA1310" s="15">
        <f>IF(IF($AP1310="",FALSE,INDEX(職員マスタ!$K$6:$K$405,$AP1310)&lt;&gt;""),INDEX(職員マスタ!$K$6:$K$405,$AP1310),IF(N($W1310)&gt;0,$W1310,""))</f>
        <v/>
      </c>
      <c r="AB1310" s="14">
        <f>IF(OR($E1310="",$AA1310=""),"",IF($E1310&gt;=$AA1310,"×",IF($E1310&gt;=$AA1310*設定!$C$5,"△","○")))</f>
        <v/>
      </c>
      <c r="AC1310" s="15">
        <f>IF($AB1310="","",IF($AB1310="×",0,IF($AB1310="○",ROUNDDOWN($E1310*設定!$C$4,0),ROUNDDOWN($E1310*ROUND((9*$AA1310-9*$E1310)/(10*$E1310),4),0))))</f>
        <v/>
      </c>
      <c r="AD1310" s="13" t="n"/>
      <c r="AE1310" s="15">
        <f>IF($B1310="","",IF($AD1310&lt;&gt;"",$AD1310,IF($AC1310="","",IF($AC1310&lt;=設定!$C$3,0,$AC1310))))</f>
        <v/>
      </c>
      <c r="AF1310" s="14">
        <f>IF($B1310="","",IF(AND($AG1310&lt;&gt;"",$AI1310="",$AL1310=""),"保留中",IF($AL1310&lt;&gt;"",IF(N($AE1310)&gt;0,"支給済","不支給"),IF($AE1310="","要確認",IF($AE1310=0,"不支給","未処理")))))</f>
        <v/>
      </c>
      <c r="AG1310" s="12" t="n"/>
      <c r="AH1310" s="11" t="n"/>
      <c r="AI1310" s="11" t="n"/>
      <c r="AJ1310" s="11" t="n"/>
      <c r="AK1310" s="14">
        <f>IF(AND($AF1310="保留中",$AH1310&lt;&gt;""),TODAY()-$AH1310,"")</f>
        <v/>
      </c>
      <c r="AL1310" s="12" t="n"/>
      <c r="AM1310" s="14">
        <f>IF($B1310="","",IF($AQ1310="","対象年月が未入力／","")&amp;IF($B1310="","",IF($AP1310="","職員マスタに未登録の職員番号／",IF($AA1310="","標準報酬月額が未登録／","")&amp;IF(AND($AQ1310&lt;&gt;"",OR(AND(INDEX(職員マスタ!$G$6:$G$405,$AP1310)&lt;&gt;"",INDEX(職員マスタ!$G$6:$G$405,$AP1310)&gt;EOMONTH($AQ1310,0)),AND(INDEX(職員マスタ!$H$6:$H$405,$AP1310)&lt;&gt;"",INDEX(職員マスタ!$H$6:$H$405,$AP1310)&lt;$AQ1310))),"対象月が時短期間外／","")&amp;IF(AND(INDEX(職員マスタ!$K$6:$K$405,$AP1310)&lt;&gt;"",N($W1310)&gt;0,INDEX(職員マスタ!$K$6:$K$405,$AP1310)&lt;&gt;$W1310),"標準報酬月額が申請書と相違（台帳"&amp;TEXT(INDEX(職員マスタ!$K$6:$K$405,$AP1310),"#,##0")&amp;"円／申請書"&amp;TEXT($W1310,"#,##0")&amp;"円）／","")&amp;IF(AND(INDEX(職員マスタ!$F$6:$F$405,$AP1310)&lt;&gt;"",$AQ1310&lt;&gt;"",INDEX(職員マスタ!$F$6:$F$405,$AP1310)&lt;$AQ1310),"対象月に子が2歳到達済／","")&amp;IF(AND($H1310&lt;&gt;"",INDEX(職員マスタ!$B$6:$B$405,$AP1310)&lt;&gt;"",SUBSTITUTE(SUBSTITUTE($H1310," ","")," ","")&lt;&gt;SUBSTITUTE(SUBSTITUTE(INDEX(職員マスタ!$B$6:$B$405,$AP1310)," ","")," ","")),"氏名がマスタと相違／","")&amp;IF(AND($Q1310&lt;&gt;"",INDEX(職員マスタ!$E$6:$E$405,$AP1310)&lt;&gt;"",$Q1310&lt;&gt;INDEX(職員マスタ!$E$6:$E$405,$AP1310)),"子の生年月日がマスタと相違／","")&amp;IF(AND($L1310&lt;&gt;"",INDEX(職員マスタ!$G$6:$G$405,$AP1310)&lt;&gt;"",$L1310&lt;&gt;INDEX(職員マスタ!$G$6:$G$405,$AP1310)),"時短開始日がマスタと相違／","")&amp;IF(AND($M1310&lt;&gt;"",INDEX(職員マスタ!$H$6:$H$405,$AP1310)&lt;&gt;"",$M1310&lt;&gt;INDEX(職員マスタ!$H$6:$H$405,$AP1310)),"時短終了日がマスタと相違／","")))&amp;IF(AND($B1310&lt;&gt;"",$E1310=""),"報酬額が未入力／","")&amp;IF(N($U1310)&gt;0,"申請書に入力エラーが残っています／","")&amp;IF(AND($B1310&lt;&gt;"",$AQ1310&lt;&gt;""),IF(COUNTIFS($B$6:$B$3005,$B1310,$C$6:$C$3005,$C1310,$D$6:$D$3005,$D1310)&gt;1,"同じ月の請求が重複しています／",""),"")&amp;IF(AND(N($E1310)&gt;0,$AB1310&lt;&gt;"",$AB1310&lt;&gt;"×",$AE1310=0,$AD1310=""),"計算額が下限以下のため不支給／",""))</f>
        <v/>
      </c>
      <c r="AN1310" s="12" t="n"/>
      <c r="AO1310" s="14">
        <f>IF($AF1310="保留中",COUNTIF($AF$6:$AF1310,"保留中"),"")</f>
        <v/>
      </c>
      <c r="AP1310" s="14">
        <f>IF($AQ1310="","",IF(SUMPRODUCT(MAX((職員マスタ!$A$6:$A$405=$B1310)*(((職員マスタ!$G$6:$G$405="")+(職員マスタ!$G$6:$G$405&lt;=EOMONTH($AQ1310,0)))&gt;0)*(((職員マスタ!$H$6:$H$405="")+(職員マスタ!$H$6:$H$405&gt;=$AQ1310))&gt;0)*(ROW(職員マスタ!$A$6:$A$405)-5)))&gt;0,SUMPRODUCT(MAX((職員マスタ!$A$6:$A$405=$B1310)*(((職員マスタ!$G$6:$G$405="")+(職員マスタ!$G$6:$G$405&lt;=EOMONTH($AQ1310,0)))&gt;0)*(((職員マスタ!$H$6:$H$405="")+(職員マスタ!$H$6:$H$405&gt;=$AQ1310))&gt;0)*(ROW(職員マスタ!$A$6:$A$405)-5))),IFERROR(MATCH($B1310,職員マスタ!$A$6:$A$405,0),"")))</f>
        <v/>
      </c>
      <c r="AQ1310" s="16">
        <f>IF(OR($B1310="",$C1310="",$D1310=""),"",DATE($C1310+2018,$D1310,1))</f>
        <v/>
      </c>
    </row>
    <row r="1311">
      <c r="A1311" s="11" t="n"/>
      <c r="B1311" s="12" t="n"/>
      <c r="C1311" s="12" t="n"/>
      <c r="D1311" s="12" t="n"/>
      <c r="E1311" s="13" t="n"/>
      <c r="F1311" s="12" t="n"/>
      <c r="G1311" s="13" t="n"/>
      <c r="H1311" s="12" t="n"/>
      <c r="I1311" s="12" t="n"/>
      <c r="J1311" s="12" t="n"/>
      <c r="K1311" s="12" t="n"/>
      <c r="L1311" s="11" t="n"/>
      <c r="M1311" s="11" t="n"/>
      <c r="N1311" s="11" t="n"/>
      <c r="O1311" s="11" t="n"/>
      <c r="P1311" s="12" t="n"/>
      <c r="Q1311" s="11" t="n"/>
      <c r="R1311" s="12" t="n"/>
      <c r="S1311" s="11" t="n"/>
      <c r="T1311" s="12" t="n"/>
      <c r="U1311" s="12" t="n"/>
      <c r="V1311" s="12" t="n"/>
      <c r="W1311" s="13" t="n"/>
      <c r="X1311" s="14">
        <f>IF($AP1311="",IF($B1311="","",$H1311),IF(INDEX(職員マスタ!$B$6:$B$405,$AP1311)="",$H1311,INDEX(職員マスタ!$B$6:$B$405,$AP1311)))</f>
        <v/>
      </c>
      <c r="Y1311" s="14">
        <f>IF($AP1311="",IF($B1311="","",$R1311),IF(INDEX(職員マスタ!$C$6:$C$405,$AP1311)="",$R1311,INDEX(職員マスタ!$C$6:$C$405,$AP1311)))</f>
        <v/>
      </c>
      <c r="Z1311" s="14">
        <f>IF($AQ1311="","","R"&amp;$C1311&amp;"."&amp;$D1311)</f>
        <v/>
      </c>
      <c r="AA1311" s="15">
        <f>IF(IF($AP1311="",FALSE,INDEX(職員マスタ!$K$6:$K$405,$AP1311)&lt;&gt;""),INDEX(職員マスタ!$K$6:$K$405,$AP1311),IF(N($W1311)&gt;0,$W1311,""))</f>
        <v/>
      </c>
      <c r="AB1311" s="14">
        <f>IF(OR($E1311="",$AA1311=""),"",IF($E1311&gt;=$AA1311,"×",IF($E1311&gt;=$AA1311*設定!$C$5,"△","○")))</f>
        <v/>
      </c>
      <c r="AC1311" s="15">
        <f>IF($AB1311="","",IF($AB1311="×",0,IF($AB1311="○",ROUNDDOWN($E1311*設定!$C$4,0),ROUNDDOWN($E1311*ROUND((9*$AA1311-9*$E1311)/(10*$E1311),4),0))))</f>
        <v/>
      </c>
      <c r="AD1311" s="13" t="n"/>
      <c r="AE1311" s="15">
        <f>IF($B1311="","",IF($AD1311&lt;&gt;"",$AD1311,IF($AC1311="","",IF($AC1311&lt;=設定!$C$3,0,$AC1311))))</f>
        <v/>
      </c>
      <c r="AF1311" s="14">
        <f>IF($B1311="","",IF(AND($AG1311&lt;&gt;"",$AI1311="",$AL1311=""),"保留中",IF($AL1311&lt;&gt;"",IF(N($AE1311)&gt;0,"支給済","不支給"),IF($AE1311="","要確認",IF($AE1311=0,"不支給","未処理")))))</f>
        <v/>
      </c>
      <c r="AG1311" s="12" t="n"/>
      <c r="AH1311" s="11" t="n"/>
      <c r="AI1311" s="11" t="n"/>
      <c r="AJ1311" s="11" t="n"/>
      <c r="AK1311" s="14">
        <f>IF(AND($AF1311="保留中",$AH1311&lt;&gt;""),TODAY()-$AH1311,"")</f>
        <v/>
      </c>
      <c r="AL1311" s="12" t="n"/>
      <c r="AM1311" s="14">
        <f>IF($B1311="","",IF($AQ1311="","対象年月が未入力／","")&amp;IF($B1311="","",IF($AP1311="","職員マスタに未登録の職員番号／",IF($AA1311="","標準報酬月額が未登録／","")&amp;IF(AND($AQ1311&lt;&gt;"",OR(AND(INDEX(職員マスタ!$G$6:$G$405,$AP1311)&lt;&gt;"",INDEX(職員マスタ!$G$6:$G$405,$AP1311)&gt;EOMONTH($AQ1311,0)),AND(INDEX(職員マスタ!$H$6:$H$405,$AP1311)&lt;&gt;"",INDEX(職員マスタ!$H$6:$H$405,$AP1311)&lt;$AQ1311))),"対象月が時短期間外／","")&amp;IF(AND(INDEX(職員マスタ!$K$6:$K$405,$AP1311)&lt;&gt;"",N($W1311)&gt;0,INDEX(職員マスタ!$K$6:$K$405,$AP1311)&lt;&gt;$W1311),"標準報酬月額が申請書と相違（台帳"&amp;TEXT(INDEX(職員マスタ!$K$6:$K$405,$AP1311),"#,##0")&amp;"円／申請書"&amp;TEXT($W1311,"#,##0")&amp;"円）／","")&amp;IF(AND(INDEX(職員マスタ!$F$6:$F$405,$AP1311)&lt;&gt;"",$AQ1311&lt;&gt;"",INDEX(職員マスタ!$F$6:$F$405,$AP1311)&lt;$AQ1311),"対象月に子が2歳到達済／","")&amp;IF(AND($H1311&lt;&gt;"",INDEX(職員マスタ!$B$6:$B$405,$AP1311)&lt;&gt;"",SUBSTITUTE(SUBSTITUTE($H1311," ","")," ","")&lt;&gt;SUBSTITUTE(SUBSTITUTE(INDEX(職員マスタ!$B$6:$B$405,$AP1311)," ","")," ","")),"氏名がマスタと相違／","")&amp;IF(AND($Q1311&lt;&gt;"",INDEX(職員マスタ!$E$6:$E$405,$AP1311)&lt;&gt;"",$Q1311&lt;&gt;INDEX(職員マスタ!$E$6:$E$405,$AP1311)),"子の生年月日がマスタと相違／","")&amp;IF(AND($L1311&lt;&gt;"",INDEX(職員マスタ!$G$6:$G$405,$AP1311)&lt;&gt;"",$L1311&lt;&gt;INDEX(職員マスタ!$G$6:$G$405,$AP1311)),"時短開始日がマスタと相違／","")&amp;IF(AND($M1311&lt;&gt;"",INDEX(職員マスタ!$H$6:$H$405,$AP1311)&lt;&gt;"",$M1311&lt;&gt;INDEX(職員マスタ!$H$6:$H$405,$AP1311)),"時短終了日がマスタと相違／","")))&amp;IF(AND($B1311&lt;&gt;"",$E1311=""),"報酬額が未入力／","")&amp;IF(N($U1311)&gt;0,"申請書に入力エラーが残っています／","")&amp;IF(AND($B1311&lt;&gt;"",$AQ1311&lt;&gt;""),IF(COUNTIFS($B$6:$B$3005,$B1311,$C$6:$C$3005,$C1311,$D$6:$D$3005,$D1311)&gt;1,"同じ月の請求が重複しています／",""),"")&amp;IF(AND(N($E1311)&gt;0,$AB1311&lt;&gt;"",$AB1311&lt;&gt;"×",$AE1311=0,$AD1311=""),"計算額が下限以下のため不支給／",""))</f>
        <v/>
      </c>
      <c r="AN1311" s="12" t="n"/>
      <c r="AO1311" s="14">
        <f>IF($AF1311="保留中",COUNTIF($AF$6:$AF1311,"保留中"),"")</f>
        <v/>
      </c>
      <c r="AP1311" s="14">
        <f>IF($AQ1311="","",IF(SUMPRODUCT(MAX((職員マスタ!$A$6:$A$405=$B1311)*(((職員マスタ!$G$6:$G$405="")+(職員マスタ!$G$6:$G$405&lt;=EOMONTH($AQ1311,0)))&gt;0)*(((職員マスタ!$H$6:$H$405="")+(職員マスタ!$H$6:$H$405&gt;=$AQ1311))&gt;0)*(ROW(職員マスタ!$A$6:$A$405)-5)))&gt;0,SUMPRODUCT(MAX((職員マスタ!$A$6:$A$405=$B1311)*(((職員マスタ!$G$6:$G$405="")+(職員マスタ!$G$6:$G$405&lt;=EOMONTH($AQ1311,0)))&gt;0)*(((職員マスタ!$H$6:$H$405="")+(職員マスタ!$H$6:$H$405&gt;=$AQ1311))&gt;0)*(ROW(職員マスタ!$A$6:$A$405)-5))),IFERROR(MATCH($B1311,職員マスタ!$A$6:$A$405,0),"")))</f>
        <v/>
      </c>
      <c r="AQ1311" s="16">
        <f>IF(OR($B1311="",$C1311="",$D1311=""),"",DATE($C1311+2018,$D1311,1))</f>
        <v/>
      </c>
    </row>
    <row r="1312">
      <c r="A1312" s="11" t="n"/>
      <c r="B1312" s="12" t="n"/>
      <c r="C1312" s="12" t="n"/>
      <c r="D1312" s="12" t="n"/>
      <c r="E1312" s="13" t="n"/>
      <c r="F1312" s="12" t="n"/>
      <c r="G1312" s="13" t="n"/>
      <c r="H1312" s="12" t="n"/>
      <c r="I1312" s="12" t="n"/>
      <c r="J1312" s="12" t="n"/>
      <c r="K1312" s="12" t="n"/>
      <c r="L1312" s="11" t="n"/>
      <c r="M1312" s="11" t="n"/>
      <c r="N1312" s="11" t="n"/>
      <c r="O1312" s="11" t="n"/>
      <c r="P1312" s="12" t="n"/>
      <c r="Q1312" s="11" t="n"/>
      <c r="R1312" s="12" t="n"/>
      <c r="S1312" s="11" t="n"/>
      <c r="T1312" s="12" t="n"/>
      <c r="U1312" s="12" t="n"/>
      <c r="V1312" s="12" t="n"/>
      <c r="W1312" s="13" t="n"/>
      <c r="X1312" s="14">
        <f>IF($AP1312="",IF($B1312="","",$H1312),IF(INDEX(職員マスタ!$B$6:$B$405,$AP1312)="",$H1312,INDEX(職員マスタ!$B$6:$B$405,$AP1312)))</f>
        <v/>
      </c>
      <c r="Y1312" s="14">
        <f>IF($AP1312="",IF($B1312="","",$R1312),IF(INDEX(職員マスタ!$C$6:$C$405,$AP1312)="",$R1312,INDEX(職員マスタ!$C$6:$C$405,$AP1312)))</f>
        <v/>
      </c>
      <c r="Z1312" s="14">
        <f>IF($AQ1312="","","R"&amp;$C1312&amp;"."&amp;$D1312)</f>
        <v/>
      </c>
      <c r="AA1312" s="15">
        <f>IF(IF($AP1312="",FALSE,INDEX(職員マスタ!$K$6:$K$405,$AP1312)&lt;&gt;""),INDEX(職員マスタ!$K$6:$K$405,$AP1312),IF(N($W1312)&gt;0,$W1312,""))</f>
        <v/>
      </c>
      <c r="AB1312" s="14">
        <f>IF(OR($E1312="",$AA1312=""),"",IF($E1312&gt;=$AA1312,"×",IF($E1312&gt;=$AA1312*設定!$C$5,"△","○")))</f>
        <v/>
      </c>
      <c r="AC1312" s="15">
        <f>IF($AB1312="","",IF($AB1312="×",0,IF($AB1312="○",ROUNDDOWN($E1312*設定!$C$4,0),ROUNDDOWN($E1312*ROUND((9*$AA1312-9*$E1312)/(10*$E1312),4),0))))</f>
        <v/>
      </c>
      <c r="AD1312" s="13" t="n"/>
      <c r="AE1312" s="15">
        <f>IF($B1312="","",IF($AD1312&lt;&gt;"",$AD1312,IF($AC1312="","",IF($AC1312&lt;=設定!$C$3,0,$AC1312))))</f>
        <v/>
      </c>
      <c r="AF1312" s="14">
        <f>IF($B1312="","",IF(AND($AG1312&lt;&gt;"",$AI1312="",$AL1312=""),"保留中",IF($AL1312&lt;&gt;"",IF(N($AE1312)&gt;0,"支給済","不支給"),IF($AE1312="","要確認",IF($AE1312=0,"不支給","未処理")))))</f>
        <v/>
      </c>
      <c r="AG1312" s="12" t="n"/>
      <c r="AH1312" s="11" t="n"/>
      <c r="AI1312" s="11" t="n"/>
      <c r="AJ1312" s="11" t="n"/>
      <c r="AK1312" s="14">
        <f>IF(AND($AF1312="保留中",$AH1312&lt;&gt;""),TODAY()-$AH1312,"")</f>
        <v/>
      </c>
      <c r="AL1312" s="12" t="n"/>
      <c r="AM1312" s="14">
        <f>IF($B1312="","",IF($AQ1312="","対象年月が未入力／","")&amp;IF($B1312="","",IF($AP1312="","職員マスタに未登録の職員番号／",IF($AA1312="","標準報酬月額が未登録／","")&amp;IF(AND($AQ1312&lt;&gt;"",OR(AND(INDEX(職員マスタ!$G$6:$G$405,$AP1312)&lt;&gt;"",INDEX(職員マスタ!$G$6:$G$405,$AP1312)&gt;EOMONTH($AQ1312,0)),AND(INDEX(職員マスタ!$H$6:$H$405,$AP1312)&lt;&gt;"",INDEX(職員マスタ!$H$6:$H$405,$AP1312)&lt;$AQ1312))),"対象月が時短期間外／","")&amp;IF(AND(INDEX(職員マスタ!$K$6:$K$405,$AP1312)&lt;&gt;"",N($W1312)&gt;0,INDEX(職員マスタ!$K$6:$K$405,$AP1312)&lt;&gt;$W1312),"標準報酬月額が申請書と相違（台帳"&amp;TEXT(INDEX(職員マスタ!$K$6:$K$405,$AP1312),"#,##0")&amp;"円／申請書"&amp;TEXT($W1312,"#,##0")&amp;"円）／","")&amp;IF(AND(INDEX(職員マスタ!$F$6:$F$405,$AP1312)&lt;&gt;"",$AQ1312&lt;&gt;"",INDEX(職員マスタ!$F$6:$F$405,$AP1312)&lt;$AQ1312),"対象月に子が2歳到達済／","")&amp;IF(AND($H1312&lt;&gt;"",INDEX(職員マスタ!$B$6:$B$405,$AP1312)&lt;&gt;"",SUBSTITUTE(SUBSTITUTE($H1312," ","")," ","")&lt;&gt;SUBSTITUTE(SUBSTITUTE(INDEX(職員マスタ!$B$6:$B$405,$AP1312)," ","")," ","")),"氏名がマスタと相違／","")&amp;IF(AND($Q1312&lt;&gt;"",INDEX(職員マスタ!$E$6:$E$405,$AP1312)&lt;&gt;"",$Q1312&lt;&gt;INDEX(職員マスタ!$E$6:$E$405,$AP1312)),"子の生年月日がマスタと相違／","")&amp;IF(AND($L1312&lt;&gt;"",INDEX(職員マスタ!$G$6:$G$405,$AP1312)&lt;&gt;"",$L1312&lt;&gt;INDEX(職員マスタ!$G$6:$G$405,$AP1312)),"時短開始日がマスタと相違／","")&amp;IF(AND($M1312&lt;&gt;"",INDEX(職員マスタ!$H$6:$H$405,$AP1312)&lt;&gt;"",$M1312&lt;&gt;INDEX(職員マスタ!$H$6:$H$405,$AP1312)),"時短終了日がマスタと相違／","")))&amp;IF(AND($B1312&lt;&gt;"",$E1312=""),"報酬額が未入力／","")&amp;IF(N($U1312)&gt;0,"申請書に入力エラーが残っています／","")&amp;IF(AND($B1312&lt;&gt;"",$AQ1312&lt;&gt;""),IF(COUNTIFS($B$6:$B$3005,$B1312,$C$6:$C$3005,$C1312,$D$6:$D$3005,$D1312)&gt;1,"同じ月の請求が重複しています／",""),"")&amp;IF(AND(N($E1312)&gt;0,$AB1312&lt;&gt;"",$AB1312&lt;&gt;"×",$AE1312=0,$AD1312=""),"計算額が下限以下のため不支給／",""))</f>
        <v/>
      </c>
      <c r="AN1312" s="12" t="n"/>
      <c r="AO1312" s="14">
        <f>IF($AF1312="保留中",COUNTIF($AF$6:$AF1312,"保留中"),"")</f>
        <v/>
      </c>
      <c r="AP1312" s="14">
        <f>IF($AQ1312="","",IF(SUMPRODUCT(MAX((職員マスタ!$A$6:$A$405=$B1312)*(((職員マスタ!$G$6:$G$405="")+(職員マスタ!$G$6:$G$405&lt;=EOMONTH($AQ1312,0)))&gt;0)*(((職員マスタ!$H$6:$H$405="")+(職員マスタ!$H$6:$H$405&gt;=$AQ1312))&gt;0)*(ROW(職員マスタ!$A$6:$A$405)-5)))&gt;0,SUMPRODUCT(MAX((職員マスタ!$A$6:$A$405=$B1312)*(((職員マスタ!$G$6:$G$405="")+(職員マスタ!$G$6:$G$405&lt;=EOMONTH($AQ1312,0)))&gt;0)*(((職員マスタ!$H$6:$H$405="")+(職員マスタ!$H$6:$H$405&gt;=$AQ1312))&gt;0)*(ROW(職員マスタ!$A$6:$A$405)-5))),IFERROR(MATCH($B1312,職員マスタ!$A$6:$A$405,0),"")))</f>
        <v/>
      </c>
      <c r="AQ1312" s="16">
        <f>IF(OR($B1312="",$C1312="",$D1312=""),"",DATE($C1312+2018,$D1312,1))</f>
        <v/>
      </c>
    </row>
    <row r="1313">
      <c r="A1313" s="11" t="n"/>
      <c r="B1313" s="12" t="n"/>
      <c r="C1313" s="12" t="n"/>
      <c r="D1313" s="12" t="n"/>
      <c r="E1313" s="13" t="n"/>
      <c r="F1313" s="12" t="n"/>
      <c r="G1313" s="13" t="n"/>
      <c r="H1313" s="12" t="n"/>
      <c r="I1313" s="12" t="n"/>
      <c r="J1313" s="12" t="n"/>
      <c r="K1313" s="12" t="n"/>
      <c r="L1313" s="11" t="n"/>
      <c r="M1313" s="11" t="n"/>
      <c r="N1313" s="11" t="n"/>
      <c r="O1313" s="11" t="n"/>
      <c r="P1313" s="12" t="n"/>
      <c r="Q1313" s="11" t="n"/>
      <c r="R1313" s="12" t="n"/>
      <c r="S1313" s="11" t="n"/>
      <c r="T1313" s="12" t="n"/>
      <c r="U1313" s="12" t="n"/>
      <c r="V1313" s="12" t="n"/>
      <c r="W1313" s="13" t="n"/>
      <c r="X1313" s="14">
        <f>IF($AP1313="",IF($B1313="","",$H1313),IF(INDEX(職員マスタ!$B$6:$B$405,$AP1313)="",$H1313,INDEX(職員マスタ!$B$6:$B$405,$AP1313)))</f>
        <v/>
      </c>
      <c r="Y1313" s="14">
        <f>IF($AP1313="",IF($B1313="","",$R1313),IF(INDEX(職員マスタ!$C$6:$C$405,$AP1313)="",$R1313,INDEX(職員マスタ!$C$6:$C$405,$AP1313)))</f>
        <v/>
      </c>
      <c r="Z1313" s="14">
        <f>IF($AQ1313="","","R"&amp;$C1313&amp;"."&amp;$D1313)</f>
        <v/>
      </c>
      <c r="AA1313" s="15">
        <f>IF(IF($AP1313="",FALSE,INDEX(職員マスタ!$K$6:$K$405,$AP1313)&lt;&gt;""),INDEX(職員マスタ!$K$6:$K$405,$AP1313),IF(N($W1313)&gt;0,$W1313,""))</f>
        <v/>
      </c>
      <c r="AB1313" s="14">
        <f>IF(OR($E1313="",$AA1313=""),"",IF($E1313&gt;=$AA1313,"×",IF($E1313&gt;=$AA1313*設定!$C$5,"△","○")))</f>
        <v/>
      </c>
      <c r="AC1313" s="15">
        <f>IF($AB1313="","",IF($AB1313="×",0,IF($AB1313="○",ROUNDDOWN($E1313*設定!$C$4,0),ROUNDDOWN($E1313*ROUND((9*$AA1313-9*$E1313)/(10*$E1313),4),0))))</f>
        <v/>
      </c>
      <c r="AD1313" s="13" t="n"/>
      <c r="AE1313" s="15">
        <f>IF($B1313="","",IF($AD1313&lt;&gt;"",$AD1313,IF($AC1313="","",IF($AC1313&lt;=設定!$C$3,0,$AC1313))))</f>
        <v/>
      </c>
      <c r="AF1313" s="14">
        <f>IF($B1313="","",IF(AND($AG1313&lt;&gt;"",$AI1313="",$AL1313=""),"保留中",IF($AL1313&lt;&gt;"",IF(N($AE1313)&gt;0,"支給済","不支給"),IF($AE1313="","要確認",IF($AE1313=0,"不支給","未処理")))))</f>
        <v/>
      </c>
      <c r="AG1313" s="12" t="n"/>
      <c r="AH1313" s="11" t="n"/>
      <c r="AI1313" s="11" t="n"/>
      <c r="AJ1313" s="11" t="n"/>
      <c r="AK1313" s="14">
        <f>IF(AND($AF1313="保留中",$AH1313&lt;&gt;""),TODAY()-$AH1313,"")</f>
        <v/>
      </c>
      <c r="AL1313" s="12" t="n"/>
      <c r="AM1313" s="14">
        <f>IF($B1313="","",IF($AQ1313="","対象年月が未入力／","")&amp;IF($B1313="","",IF($AP1313="","職員マスタに未登録の職員番号／",IF($AA1313="","標準報酬月額が未登録／","")&amp;IF(AND($AQ1313&lt;&gt;"",OR(AND(INDEX(職員マスタ!$G$6:$G$405,$AP1313)&lt;&gt;"",INDEX(職員マスタ!$G$6:$G$405,$AP1313)&gt;EOMONTH($AQ1313,0)),AND(INDEX(職員マスタ!$H$6:$H$405,$AP1313)&lt;&gt;"",INDEX(職員マスタ!$H$6:$H$405,$AP1313)&lt;$AQ1313))),"対象月が時短期間外／","")&amp;IF(AND(INDEX(職員マスタ!$K$6:$K$405,$AP1313)&lt;&gt;"",N($W1313)&gt;0,INDEX(職員マスタ!$K$6:$K$405,$AP1313)&lt;&gt;$W1313),"標準報酬月額が申請書と相違（台帳"&amp;TEXT(INDEX(職員マスタ!$K$6:$K$405,$AP1313),"#,##0")&amp;"円／申請書"&amp;TEXT($W1313,"#,##0")&amp;"円）／","")&amp;IF(AND(INDEX(職員マスタ!$F$6:$F$405,$AP1313)&lt;&gt;"",$AQ1313&lt;&gt;"",INDEX(職員マスタ!$F$6:$F$405,$AP1313)&lt;$AQ1313),"対象月に子が2歳到達済／","")&amp;IF(AND($H1313&lt;&gt;"",INDEX(職員マスタ!$B$6:$B$405,$AP1313)&lt;&gt;"",SUBSTITUTE(SUBSTITUTE($H1313," ","")," ","")&lt;&gt;SUBSTITUTE(SUBSTITUTE(INDEX(職員マスタ!$B$6:$B$405,$AP1313)," ","")," ","")),"氏名がマスタと相違／","")&amp;IF(AND($Q1313&lt;&gt;"",INDEX(職員マスタ!$E$6:$E$405,$AP1313)&lt;&gt;"",$Q1313&lt;&gt;INDEX(職員マスタ!$E$6:$E$405,$AP1313)),"子の生年月日がマスタと相違／","")&amp;IF(AND($L1313&lt;&gt;"",INDEX(職員マスタ!$G$6:$G$405,$AP1313)&lt;&gt;"",$L1313&lt;&gt;INDEX(職員マスタ!$G$6:$G$405,$AP1313)),"時短開始日がマスタと相違／","")&amp;IF(AND($M1313&lt;&gt;"",INDEX(職員マスタ!$H$6:$H$405,$AP1313)&lt;&gt;"",$M1313&lt;&gt;INDEX(職員マスタ!$H$6:$H$405,$AP1313)),"時短終了日がマスタと相違／","")))&amp;IF(AND($B1313&lt;&gt;"",$E1313=""),"報酬額が未入力／","")&amp;IF(N($U1313)&gt;0,"申請書に入力エラーが残っています／","")&amp;IF(AND($B1313&lt;&gt;"",$AQ1313&lt;&gt;""),IF(COUNTIFS($B$6:$B$3005,$B1313,$C$6:$C$3005,$C1313,$D$6:$D$3005,$D1313)&gt;1,"同じ月の請求が重複しています／",""),"")&amp;IF(AND(N($E1313)&gt;0,$AB1313&lt;&gt;"",$AB1313&lt;&gt;"×",$AE1313=0,$AD1313=""),"計算額が下限以下のため不支給／",""))</f>
        <v/>
      </c>
      <c r="AN1313" s="12" t="n"/>
      <c r="AO1313" s="14">
        <f>IF($AF1313="保留中",COUNTIF($AF$6:$AF1313,"保留中"),"")</f>
        <v/>
      </c>
      <c r="AP1313" s="14">
        <f>IF($AQ1313="","",IF(SUMPRODUCT(MAX((職員マスタ!$A$6:$A$405=$B1313)*(((職員マスタ!$G$6:$G$405="")+(職員マスタ!$G$6:$G$405&lt;=EOMONTH($AQ1313,0)))&gt;0)*(((職員マスタ!$H$6:$H$405="")+(職員マスタ!$H$6:$H$405&gt;=$AQ1313))&gt;0)*(ROW(職員マスタ!$A$6:$A$405)-5)))&gt;0,SUMPRODUCT(MAX((職員マスタ!$A$6:$A$405=$B1313)*(((職員マスタ!$G$6:$G$405="")+(職員マスタ!$G$6:$G$405&lt;=EOMONTH($AQ1313,0)))&gt;0)*(((職員マスタ!$H$6:$H$405="")+(職員マスタ!$H$6:$H$405&gt;=$AQ1313))&gt;0)*(ROW(職員マスタ!$A$6:$A$405)-5))),IFERROR(MATCH($B1313,職員マスタ!$A$6:$A$405,0),"")))</f>
        <v/>
      </c>
      <c r="AQ1313" s="16">
        <f>IF(OR($B1313="",$C1313="",$D1313=""),"",DATE($C1313+2018,$D1313,1))</f>
        <v/>
      </c>
    </row>
    <row r="1314">
      <c r="A1314" s="11" t="n"/>
      <c r="B1314" s="12" t="n"/>
      <c r="C1314" s="12" t="n"/>
      <c r="D1314" s="12" t="n"/>
      <c r="E1314" s="13" t="n"/>
      <c r="F1314" s="12" t="n"/>
      <c r="G1314" s="13" t="n"/>
      <c r="H1314" s="12" t="n"/>
      <c r="I1314" s="12" t="n"/>
      <c r="J1314" s="12" t="n"/>
      <c r="K1314" s="12" t="n"/>
      <c r="L1314" s="11" t="n"/>
      <c r="M1314" s="11" t="n"/>
      <c r="N1314" s="11" t="n"/>
      <c r="O1314" s="11" t="n"/>
      <c r="P1314" s="12" t="n"/>
      <c r="Q1314" s="11" t="n"/>
      <c r="R1314" s="12" t="n"/>
      <c r="S1314" s="11" t="n"/>
      <c r="T1314" s="12" t="n"/>
      <c r="U1314" s="12" t="n"/>
      <c r="V1314" s="12" t="n"/>
      <c r="W1314" s="13" t="n"/>
      <c r="X1314" s="14">
        <f>IF($AP1314="",IF($B1314="","",$H1314),IF(INDEX(職員マスタ!$B$6:$B$405,$AP1314)="",$H1314,INDEX(職員マスタ!$B$6:$B$405,$AP1314)))</f>
        <v/>
      </c>
      <c r="Y1314" s="14">
        <f>IF($AP1314="",IF($B1314="","",$R1314),IF(INDEX(職員マスタ!$C$6:$C$405,$AP1314)="",$R1314,INDEX(職員マスタ!$C$6:$C$405,$AP1314)))</f>
        <v/>
      </c>
      <c r="Z1314" s="14">
        <f>IF($AQ1314="","","R"&amp;$C1314&amp;"."&amp;$D1314)</f>
        <v/>
      </c>
      <c r="AA1314" s="15">
        <f>IF(IF($AP1314="",FALSE,INDEX(職員マスタ!$K$6:$K$405,$AP1314)&lt;&gt;""),INDEX(職員マスタ!$K$6:$K$405,$AP1314),IF(N($W1314)&gt;0,$W1314,""))</f>
        <v/>
      </c>
      <c r="AB1314" s="14">
        <f>IF(OR($E1314="",$AA1314=""),"",IF($E1314&gt;=$AA1314,"×",IF($E1314&gt;=$AA1314*設定!$C$5,"△","○")))</f>
        <v/>
      </c>
      <c r="AC1314" s="15">
        <f>IF($AB1314="","",IF($AB1314="×",0,IF($AB1314="○",ROUNDDOWN($E1314*設定!$C$4,0),ROUNDDOWN($E1314*ROUND((9*$AA1314-9*$E1314)/(10*$E1314),4),0))))</f>
        <v/>
      </c>
      <c r="AD1314" s="13" t="n"/>
      <c r="AE1314" s="15">
        <f>IF($B1314="","",IF($AD1314&lt;&gt;"",$AD1314,IF($AC1314="","",IF($AC1314&lt;=設定!$C$3,0,$AC1314))))</f>
        <v/>
      </c>
      <c r="AF1314" s="14">
        <f>IF($B1314="","",IF(AND($AG1314&lt;&gt;"",$AI1314="",$AL1314=""),"保留中",IF($AL1314&lt;&gt;"",IF(N($AE1314)&gt;0,"支給済","不支給"),IF($AE1314="","要確認",IF($AE1314=0,"不支給","未処理")))))</f>
        <v/>
      </c>
      <c r="AG1314" s="12" t="n"/>
      <c r="AH1314" s="11" t="n"/>
      <c r="AI1314" s="11" t="n"/>
      <c r="AJ1314" s="11" t="n"/>
      <c r="AK1314" s="14">
        <f>IF(AND($AF1314="保留中",$AH1314&lt;&gt;""),TODAY()-$AH1314,"")</f>
        <v/>
      </c>
      <c r="AL1314" s="12" t="n"/>
      <c r="AM1314" s="14">
        <f>IF($B1314="","",IF($AQ1314="","対象年月が未入力／","")&amp;IF($B1314="","",IF($AP1314="","職員マスタに未登録の職員番号／",IF($AA1314="","標準報酬月額が未登録／","")&amp;IF(AND($AQ1314&lt;&gt;"",OR(AND(INDEX(職員マスタ!$G$6:$G$405,$AP1314)&lt;&gt;"",INDEX(職員マスタ!$G$6:$G$405,$AP1314)&gt;EOMONTH($AQ1314,0)),AND(INDEX(職員マスタ!$H$6:$H$405,$AP1314)&lt;&gt;"",INDEX(職員マスタ!$H$6:$H$405,$AP1314)&lt;$AQ1314))),"対象月が時短期間外／","")&amp;IF(AND(INDEX(職員マスタ!$K$6:$K$405,$AP1314)&lt;&gt;"",N($W1314)&gt;0,INDEX(職員マスタ!$K$6:$K$405,$AP1314)&lt;&gt;$W1314),"標準報酬月額が申請書と相違（台帳"&amp;TEXT(INDEX(職員マスタ!$K$6:$K$405,$AP1314),"#,##0")&amp;"円／申請書"&amp;TEXT($W1314,"#,##0")&amp;"円）／","")&amp;IF(AND(INDEX(職員マスタ!$F$6:$F$405,$AP1314)&lt;&gt;"",$AQ1314&lt;&gt;"",INDEX(職員マスタ!$F$6:$F$405,$AP1314)&lt;$AQ1314),"対象月に子が2歳到達済／","")&amp;IF(AND($H1314&lt;&gt;"",INDEX(職員マスタ!$B$6:$B$405,$AP1314)&lt;&gt;"",SUBSTITUTE(SUBSTITUTE($H1314," ","")," ","")&lt;&gt;SUBSTITUTE(SUBSTITUTE(INDEX(職員マスタ!$B$6:$B$405,$AP1314)," ","")," ","")),"氏名がマスタと相違／","")&amp;IF(AND($Q1314&lt;&gt;"",INDEX(職員マスタ!$E$6:$E$405,$AP1314)&lt;&gt;"",$Q1314&lt;&gt;INDEX(職員マスタ!$E$6:$E$405,$AP1314)),"子の生年月日がマスタと相違／","")&amp;IF(AND($L1314&lt;&gt;"",INDEX(職員マスタ!$G$6:$G$405,$AP1314)&lt;&gt;"",$L1314&lt;&gt;INDEX(職員マスタ!$G$6:$G$405,$AP1314)),"時短開始日がマスタと相違／","")&amp;IF(AND($M1314&lt;&gt;"",INDEX(職員マスタ!$H$6:$H$405,$AP1314)&lt;&gt;"",$M1314&lt;&gt;INDEX(職員マスタ!$H$6:$H$405,$AP1314)),"時短終了日がマスタと相違／","")))&amp;IF(AND($B1314&lt;&gt;"",$E1314=""),"報酬額が未入力／","")&amp;IF(N($U1314)&gt;0,"申請書に入力エラーが残っています／","")&amp;IF(AND($B1314&lt;&gt;"",$AQ1314&lt;&gt;""),IF(COUNTIFS($B$6:$B$3005,$B1314,$C$6:$C$3005,$C1314,$D$6:$D$3005,$D1314)&gt;1,"同じ月の請求が重複しています／",""),"")&amp;IF(AND(N($E1314)&gt;0,$AB1314&lt;&gt;"",$AB1314&lt;&gt;"×",$AE1314=0,$AD1314=""),"計算額が下限以下のため不支給／",""))</f>
        <v/>
      </c>
      <c r="AN1314" s="12" t="n"/>
      <c r="AO1314" s="14">
        <f>IF($AF1314="保留中",COUNTIF($AF$6:$AF1314,"保留中"),"")</f>
        <v/>
      </c>
      <c r="AP1314" s="14">
        <f>IF($AQ1314="","",IF(SUMPRODUCT(MAX((職員マスタ!$A$6:$A$405=$B1314)*(((職員マスタ!$G$6:$G$405="")+(職員マスタ!$G$6:$G$405&lt;=EOMONTH($AQ1314,0)))&gt;0)*(((職員マスタ!$H$6:$H$405="")+(職員マスタ!$H$6:$H$405&gt;=$AQ1314))&gt;0)*(ROW(職員マスタ!$A$6:$A$405)-5)))&gt;0,SUMPRODUCT(MAX((職員マスタ!$A$6:$A$405=$B1314)*(((職員マスタ!$G$6:$G$405="")+(職員マスタ!$G$6:$G$405&lt;=EOMONTH($AQ1314,0)))&gt;0)*(((職員マスタ!$H$6:$H$405="")+(職員マスタ!$H$6:$H$405&gt;=$AQ1314))&gt;0)*(ROW(職員マスタ!$A$6:$A$405)-5))),IFERROR(MATCH($B1314,職員マスタ!$A$6:$A$405,0),"")))</f>
        <v/>
      </c>
      <c r="AQ1314" s="16">
        <f>IF(OR($B1314="",$C1314="",$D1314=""),"",DATE($C1314+2018,$D1314,1))</f>
        <v/>
      </c>
    </row>
    <row r="1315">
      <c r="A1315" s="11" t="n"/>
      <c r="B1315" s="12" t="n"/>
      <c r="C1315" s="12" t="n"/>
      <c r="D1315" s="12" t="n"/>
      <c r="E1315" s="13" t="n"/>
      <c r="F1315" s="12" t="n"/>
      <c r="G1315" s="13" t="n"/>
      <c r="H1315" s="12" t="n"/>
      <c r="I1315" s="12" t="n"/>
      <c r="J1315" s="12" t="n"/>
      <c r="K1315" s="12" t="n"/>
      <c r="L1315" s="11" t="n"/>
      <c r="M1315" s="11" t="n"/>
      <c r="N1315" s="11" t="n"/>
      <c r="O1315" s="11" t="n"/>
      <c r="P1315" s="12" t="n"/>
      <c r="Q1315" s="11" t="n"/>
      <c r="R1315" s="12" t="n"/>
      <c r="S1315" s="11" t="n"/>
      <c r="T1315" s="12" t="n"/>
      <c r="U1315" s="12" t="n"/>
      <c r="V1315" s="12" t="n"/>
      <c r="W1315" s="13" t="n"/>
      <c r="X1315" s="14">
        <f>IF($AP1315="",IF($B1315="","",$H1315),IF(INDEX(職員マスタ!$B$6:$B$405,$AP1315)="",$H1315,INDEX(職員マスタ!$B$6:$B$405,$AP1315)))</f>
        <v/>
      </c>
      <c r="Y1315" s="14">
        <f>IF($AP1315="",IF($B1315="","",$R1315),IF(INDEX(職員マスタ!$C$6:$C$405,$AP1315)="",$R1315,INDEX(職員マスタ!$C$6:$C$405,$AP1315)))</f>
        <v/>
      </c>
      <c r="Z1315" s="14">
        <f>IF($AQ1315="","","R"&amp;$C1315&amp;"."&amp;$D1315)</f>
        <v/>
      </c>
      <c r="AA1315" s="15">
        <f>IF(IF($AP1315="",FALSE,INDEX(職員マスタ!$K$6:$K$405,$AP1315)&lt;&gt;""),INDEX(職員マスタ!$K$6:$K$405,$AP1315),IF(N($W1315)&gt;0,$W1315,""))</f>
        <v/>
      </c>
      <c r="AB1315" s="14">
        <f>IF(OR($E1315="",$AA1315=""),"",IF($E1315&gt;=$AA1315,"×",IF($E1315&gt;=$AA1315*設定!$C$5,"△","○")))</f>
        <v/>
      </c>
      <c r="AC1315" s="15">
        <f>IF($AB1315="","",IF($AB1315="×",0,IF($AB1315="○",ROUNDDOWN($E1315*設定!$C$4,0),ROUNDDOWN($E1315*ROUND((9*$AA1315-9*$E1315)/(10*$E1315),4),0))))</f>
        <v/>
      </c>
      <c r="AD1315" s="13" t="n"/>
      <c r="AE1315" s="15">
        <f>IF($B1315="","",IF($AD1315&lt;&gt;"",$AD1315,IF($AC1315="","",IF($AC1315&lt;=設定!$C$3,0,$AC1315))))</f>
        <v/>
      </c>
      <c r="AF1315" s="14">
        <f>IF($B1315="","",IF(AND($AG1315&lt;&gt;"",$AI1315="",$AL1315=""),"保留中",IF($AL1315&lt;&gt;"",IF(N($AE1315)&gt;0,"支給済","不支給"),IF($AE1315="","要確認",IF($AE1315=0,"不支給","未処理")))))</f>
        <v/>
      </c>
      <c r="AG1315" s="12" t="n"/>
      <c r="AH1315" s="11" t="n"/>
      <c r="AI1315" s="11" t="n"/>
      <c r="AJ1315" s="11" t="n"/>
      <c r="AK1315" s="14">
        <f>IF(AND($AF1315="保留中",$AH1315&lt;&gt;""),TODAY()-$AH1315,"")</f>
        <v/>
      </c>
      <c r="AL1315" s="12" t="n"/>
      <c r="AM1315" s="14">
        <f>IF($B1315="","",IF($AQ1315="","対象年月が未入力／","")&amp;IF($B1315="","",IF($AP1315="","職員マスタに未登録の職員番号／",IF($AA1315="","標準報酬月額が未登録／","")&amp;IF(AND($AQ1315&lt;&gt;"",OR(AND(INDEX(職員マスタ!$G$6:$G$405,$AP1315)&lt;&gt;"",INDEX(職員マスタ!$G$6:$G$405,$AP1315)&gt;EOMONTH($AQ1315,0)),AND(INDEX(職員マスタ!$H$6:$H$405,$AP1315)&lt;&gt;"",INDEX(職員マスタ!$H$6:$H$405,$AP1315)&lt;$AQ1315))),"対象月が時短期間外／","")&amp;IF(AND(INDEX(職員マスタ!$K$6:$K$405,$AP1315)&lt;&gt;"",N($W1315)&gt;0,INDEX(職員マスタ!$K$6:$K$405,$AP1315)&lt;&gt;$W1315),"標準報酬月額が申請書と相違（台帳"&amp;TEXT(INDEX(職員マスタ!$K$6:$K$405,$AP1315),"#,##0")&amp;"円／申請書"&amp;TEXT($W1315,"#,##0")&amp;"円）／","")&amp;IF(AND(INDEX(職員マスタ!$F$6:$F$405,$AP1315)&lt;&gt;"",$AQ1315&lt;&gt;"",INDEX(職員マスタ!$F$6:$F$405,$AP1315)&lt;$AQ1315),"対象月に子が2歳到達済／","")&amp;IF(AND($H1315&lt;&gt;"",INDEX(職員マスタ!$B$6:$B$405,$AP1315)&lt;&gt;"",SUBSTITUTE(SUBSTITUTE($H1315," ","")," ","")&lt;&gt;SUBSTITUTE(SUBSTITUTE(INDEX(職員マスタ!$B$6:$B$405,$AP1315)," ","")," ","")),"氏名がマスタと相違／","")&amp;IF(AND($Q1315&lt;&gt;"",INDEX(職員マスタ!$E$6:$E$405,$AP1315)&lt;&gt;"",$Q1315&lt;&gt;INDEX(職員マスタ!$E$6:$E$405,$AP1315)),"子の生年月日がマスタと相違／","")&amp;IF(AND($L1315&lt;&gt;"",INDEX(職員マスタ!$G$6:$G$405,$AP1315)&lt;&gt;"",$L1315&lt;&gt;INDEX(職員マスタ!$G$6:$G$405,$AP1315)),"時短開始日がマスタと相違／","")&amp;IF(AND($M1315&lt;&gt;"",INDEX(職員マスタ!$H$6:$H$405,$AP1315)&lt;&gt;"",$M1315&lt;&gt;INDEX(職員マスタ!$H$6:$H$405,$AP1315)),"時短終了日がマスタと相違／","")))&amp;IF(AND($B1315&lt;&gt;"",$E1315=""),"報酬額が未入力／","")&amp;IF(N($U1315)&gt;0,"申請書に入力エラーが残っています／","")&amp;IF(AND($B1315&lt;&gt;"",$AQ1315&lt;&gt;""),IF(COUNTIFS($B$6:$B$3005,$B1315,$C$6:$C$3005,$C1315,$D$6:$D$3005,$D1315)&gt;1,"同じ月の請求が重複しています／",""),"")&amp;IF(AND(N($E1315)&gt;0,$AB1315&lt;&gt;"",$AB1315&lt;&gt;"×",$AE1315=0,$AD1315=""),"計算額が下限以下のため不支給／",""))</f>
        <v/>
      </c>
      <c r="AN1315" s="12" t="n"/>
      <c r="AO1315" s="14">
        <f>IF($AF1315="保留中",COUNTIF($AF$6:$AF1315,"保留中"),"")</f>
        <v/>
      </c>
      <c r="AP1315" s="14">
        <f>IF($AQ1315="","",IF(SUMPRODUCT(MAX((職員マスタ!$A$6:$A$405=$B1315)*(((職員マスタ!$G$6:$G$405="")+(職員マスタ!$G$6:$G$405&lt;=EOMONTH($AQ1315,0)))&gt;0)*(((職員マスタ!$H$6:$H$405="")+(職員マスタ!$H$6:$H$405&gt;=$AQ1315))&gt;0)*(ROW(職員マスタ!$A$6:$A$405)-5)))&gt;0,SUMPRODUCT(MAX((職員マスタ!$A$6:$A$405=$B1315)*(((職員マスタ!$G$6:$G$405="")+(職員マスタ!$G$6:$G$405&lt;=EOMONTH($AQ1315,0)))&gt;0)*(((職員マスタ!$H$6:$H$405="")+(職員マスタ!$H$6:$H$405&gt;=$AQ1315))&gt;0)*(ROW(職員マスタ!$A$6:$A$405)-5))),IFERROR(MATCH($B1315,職員マスタ!$A$6:$A$405,0),"")))</f>
        <v/>
      </c>
      <c r="AQ1315" s="16">
        <f>IF(OR($B1315="",$C1315="",$D1315=""),"",DATE($C1315+2018,$D1315,1))</f>
        <v/>
      </c>
    </row>
    <row r="1316">
      <c r="A1316" s="11" t="n"/>
      <c r="B1316" s="12" t="n"/>
      <c r="C1316" s="12" t="n"/>
      <c r="D1316" s="12" t="n"/>
      <c r="E1316" s="13" t="n"/>
      <c r="F1316" s="12" t="n"/>
      <c r="G1316" s="13" t="n"/>
      <c r="H1316" s="12" t="n"/>
      <c r="I1316" s="12" t="n"/>
      <c r="J1316" s="12" t="n"/>
      <c r="K1316" s="12" t="n"/>
      <c r="L1316" s="11" t="n"/>
      <c r="M1316" s="11" t="n"/>
      <c r="N1316" s="11" t="n"/>
      <c r="O1316" s="11" t="n"/>
      <c r="P1316" s="12" t="n"/>
      <c r="Q1316" s="11" t="n"/>
      <c r="R1316" s="12" t="n"/>
      <c r="S1316" s="11" t="n"/>
      <c r="T1316" s="12" t="n"/>
      <c r="U1316" s="12" t="n"/>
      <c r="V1316" s="12" t="n"/>
      <c r="W1316" s="13" t="n"/>
      <c r="X1316" s="14">
        <f>IF($AP1316="",IF($B1316="","",$H1316),IF(INDEX(職員マスタ!$B$6:$B$405,$AP1316)="",$H1316,INDEX(職員マスタ!$B$6:$B$405,$AP1316)))</f>
        <v/>
      </c>
      <c r="Y1316" s="14">
        <f>IF($AP1316="",IF($B1316="","",$R1316),IF(INDEX(職員マスタ!$C$6:$C$405,$AP1316)="",$R1316,INDEX(職員マスタ!$C$6:$C$405,$AP1316)))</f>
        <v/>
      </c>
      <c r="Z1316" s="14">
        <f>IF($AQ1316="","","R"&amp;$C1316&amp;"."&amp;$D1316)</f>
        <v/>
      </c>
      <c r="AA1316" s="15">
        <f>IF(IF($AP1316="",FALSE,INDEX(職員マスタ!$K$6:$K$405,$AP1316)&lt;&gt;""),INDEX(職員マスタ!$K$6:$K$405,$AP1316),IF(N($W1316)&gt;0,$W1316,""))</f>
        <v/>
      </c>
      <c r="AB1316" s="14">
        <f>IF(OR($E1316="",$AA1316=""),"",IF($E1316&gt;=$AA1316,"×",IF($E1316&gt;=$AA1316*設定!$C$5,"△","○")))</f>
        <v/>
      </c>
      <c r="AC1316" s="15">
        <f>IF($AB1316="","",IF($AB1316="×",0,IF($AB1316="○",ROUNDDOWN($E1316*設定!$C$4,0),ROUNDDOWN($E1316*ROUND((9*$AA1316-9*$E1316)/(10*$E1316),4),0))))</f>
        <v/>
      </c>
      <c r="AD1316" s="13" t="n"/>
      <c r="AE1316" s="15">
        <f>IF($B1316="","",IF($AD1316&lt;&gt;"",$AD1316,IF($AC1316="","",IF($AC1316&lt;=設定!$C$3,0,$AC1316))))</f>
        <v/>
      </c>
      <c r="AF1316" s="14">
        <f>IF($B1316="","",IF(AND($AG1316&lt;&gt;"",$AI1316="",$AL1316=""),"保留中",IF($AL1316&lt;&gt;"",IF(N($AE1316)&gt;0,"支給済","不支給"),IF($AE1316="","要確認",IF($AE1316=0,"不支給","未処理")))))</f>
        <v/>
      </c>
      <c r="AG1316" s="12" t="n"/>
      <c r="AH1316" s="11" t="n"/>
      <c r="AI1316" s="11" t="n"/>
      <c r="AJ1316" s="11" t="n"/>
      <c r="AK1316" s="14">
        <f>IF(AND($AF1316="保留中",$AH1316&lt;&gt;""),TODAY()-$AH1316,"")</f>
        <v/>
      </c>
      <c r="AL1316" s="12" t="n"/>
      <c r="AM1316" s="14">
        <f>IF($B1316="","",IF($AQ1316="","対象年月が未入力／","")&amp;IF($B1316="","",IF($AP1316="","職員マスタに未登録の職員番号／",IF($AA1316="","標準報酬月額が未登録／","")&amp;IF(AND($AQ1316&lt;&gt;"",OR(AND(INDEX(職員マスタ!$G$6:$G$405,$AP1316)&lt;&gt;"",INDEX(職員マスタ!$G$6:$G$405,$AP1316)&gt;EOMONTH($AQ1316,0)),AND(INDEX(職員マスタ!$H$6:$H$405,$AP1316)&lt;&gt;"",INDEX(職員マスタ!$H$6:$H$405,$AP1316)&lt;$AQ1316))),"対象月が時短期間外／","")&amp;IF(AND(INDEX(職員マスタ!$K$6:$K$405,$AP1316)&lt;&gt;"",N($W1316)&gt;0,INDEX(職員マスタ!$K$6:$K$405,$AP1316)&lt;&gt;$W1316),"標準報酬月額が申請書と相違（台帳"&amp;TEXT(INDEX(職員マスタ!$K$6:$K$405,$AP1316),"#,##0")&amp;"円／申請書"&amp;TEXT($W1316,"#,##0")&amp;"円）／","")&amp;IF(AND(INDEX(職員マスタ!$F$6:$F$405,$AP1316)&lt;&gt;"",$AQ1316&lt;&gt;"",INDEX(職員マスタ!$F$6:$F$405,$AP1316)&lt;$AQ1316),"対象月に子が2歳到達済／","")&amp;IF(AND($H1316&lt;&gt;"",INDEX(職員マスタ!$B$6:$B$405,$AP1316)&lt;&gt;"",SUBSTITUTE(SUBSTITUTE($H1316," ","")," ","")&lt;&gt;SUBSTITUTE(SUBSTITUTE(INDEX(職員マスタ!$B$6:$B$405,$AP1316)," ","")," ","")),"氏名がマスタと相違／","")&amp;IF(AND($Q1316&lt;&gt;"",INDEX(職員マスタ!$E$6:$E$405,$AP1316)&lt;&gt;"",$Q1316&lt;&gt;INDEX(職員マスタ!$E$6:$E$405,$AP1316)),"子の生年月日がマスタと相違／","")&amp;IF(AND($L1316&lt;&gt;"",INDEX(職員マスタ!$G$6:$G$405,$AP1316)&lt;&gt;"",$L1316&lt;&gt;INDEX(職員マスタ!$G$6:$G$405,$AP1316)),"時短開始日がマスタと相違／","")&amp;IF(AND($M1316&lt;&gt;"",INDEX(職員マスタ!$H$6:$H$405,$AP1316)&lt;&gt;"",$M1316&lt;&gt;INDEX(職員マスタ!$H$6:$H$405,$AP1316)),"時短終了日がマスタと相違／","")))&amp;IF(AND($B1316&lt;&gt;"",$E1316=""),"報酬額が未入力／","")&amp;IF(N($U1316)&gt;0,"申請書に入力エラーが残っています／","")&amp;IF(AND($B1316&lt;&gt;"",$AQ1316&lt;&gt;""),IF(COUNTIFS($B$6:$B$3005,$B1316,$C$6:$C$3005,$C1316,$D$6:$D$3005,$D1316)&gt;1,"同じ月の請求が重複しています／",""),"")&amp;IF(AND(N($E1316)&gt;0,$AB1316&lt;&gt;"",$AB1316&lt;&gt;"×",$AE1316=0,$AD1316=""),"計算額が下限以下のため不支給／",""))</f>
        <v/>
      </c>
      <c r="AN1316" s="12" t="n"/>
      <c r="AO1316" s="14">
        <f>IF($AF1316="保留中",COUNTIF($AF$6:$AF1316,"保留中"),"")</f>
        <v/>
      </c>
      <c r="AP1316" s="14">
        <f>IF($AQ1316="","",IF(SUMPRODUCT(MAX((職員マスタ!$A$6:$A$405=$B1316)*(((職員マスタ!$G$6:$G$405="")+(職員マスタ!$G$6:$G$405&lt;=EOMONTH($AQ1316,0)))&gt;0)*(((職員マスタ!$H$6:$H$405="")+(職員マスタ!$H$6:$H$405&gt;=$AQ1316))&gt;0)*(ROW(職員マスタ!$A$6:$A$405)-5)))&gt;0,SUMPRODUCT(MAX((職員マスタ!$A$6:$A$405=$B1316)*(((職員マスタ!$G$6:$G$405="")+(職員マスタ!$G$6:$G$405&lt;=EOMONTH($AQ1316,0)))&gt;0)*(((職員マスタ!$H$6:$H$405="")+(職員マスタ!$H$6:$H$405&gt;=$AQ1316))&gt;0)*(ROW(職員マスタ!$A$6:$A$405)-5))),IFERROR(MATCH($B1316,職員マスタ!$A$6:$A$405,0),"")))</f>
        <v/>
      </c>
      <c r="AQ1316" s="16">
        <f>IF(OR($B1316="",$C1316="",$D1316=""),"",DATE($C1316+2018,$D1316,1))</f>
        <v/>
      </c>
    </row>
    <row r="1317">
      <c r="A1317" s="11" t="n"/>
      <c r="B1317" s="12" t="n"/>
      <c r="C1317" s="12" t="n"/>
      <c r="D1317" s="12" t="n"/>
      <c r="E1317" s="13" t="n"/>
      <c r="F1317" s="12" t="n"/>
      <c r="G1317" s="13" t="n"/>
      <c r="H1317" s="12" t="n"/>
      <c r="I1317" s="12" t="n"/>
      <c r="J1317" s="12" t="n"/>
      <c r="K1317" s="12" t="n"/>
      <c r="L1317" s="11" t="n"/>
      <c r="M1317" s="11" t="n"/>
      <c r="N1317" s="11" t="n"/>
      <c r="O1317" s="11" t="n"/>
      <c r="P1317" s="12" t="n"/>
      <c r="Q1317" s="11" t="n"/>
      <c r="R1317" s="12" t="n"/>
      <c r="S1317" s="11" t="n"/>
      <c r="T1317" s="12" t="n"/>
      <c r="U1317" s="12" t="n"/>
      <c r="V1317" s="12" t="n"/>
      <c r="W1317" s="13" t="n"/>
      <c r="X1317" s="14">
        <f>IF($AP1317="",IF($B1317="","",$H1317),IF(INDEX(職員マスタ!$B$6:$B$405,$AP1317)="",$H1317,INDEX(職員マスタ!$B$6:$B$405,$AP1317)))</f>
        <v/>
      </c>
      <c r="Y1317" s="14">
        <f>IF($AP1317="",IF($B1317="","",$R1317),IF(INDEX(職員マスタ!$C$6:$C$405,$AP1317)="",$R1317,INDEX(職員マスタ!$C$6:$C$405,$AP1317)))</f>
        <v/>
      </c>
      <c r="Z1317" s="14">
        <f>IF($AQ1317="","","R"&amp;$C1317&amp;"."&amp;$D1317)</f>
        <v/>
      </c>
      <c r="AA1317" s="15">
        <f>IF(IF($AP1317="",FALSE,INDEX(職員マスタ!$K$6:$K$405,$AP1317)&lt;&gt;""),INDEX(職員マスタ!$K$6:$K$405,$AP1317),IF(N($W1317)&gt;0,$W1317,""))</f>
        <v/>
      </c>
      <c r="AB1317" s="14">
        <f>IF(OR($E1317="",$AA1317=""),"",IF($E1317&gt;=$AA1317,"×",IF($E1317&gt;=$AA1317*設定!$C$5,"△","○")))</f>
        <v/>
      </c>
      <c r="AC1317" s="15">
        <f>IF($AB1317="","",IF($AB1317="×",0,IF($AB1317="○",ROUNDDOWN($E1317*設定!$C$4,0),ROUNDDOWN($E1317*ROUND((9*$AA1317-9*$E1317)/(10*$E1317),4),0))))</f>
        <v/>
      </c>
      <c r="AD1317" s="13" t="n"/>
      <c r="AE1317" s="15">
        <f>IF($B1317="","",IF($AD1317&lt;&gt;"",$AD1317,IF($AC1317="","",IF($AC1317&lt;=設定!$C$3,0,$AC1317))))</f>
        <v/>
      </c>
      <c r="AF1317" s="14">
        <f>IF($B1317="","",IF(AND($AG1317&lt;&gt;"",$AI1317="",$AL1317=""),"保留中",IF($AL1317&lt;&gt;"",IF(N($AE1317)&gt;0,"支給済","不支給"),IF($AE1317="","要確認",IF($AE1317=0,"不支給","未処理")))))</f>
        <v/>
      </c>
      <c r="AG1317" s="12" t="n"/>
      <c r="AH1317" s="11" t="n"/>
      <c r="AI1317" s="11" t="n"/>
      <c r="AJ1317" s="11" t="n"/>
      <c r="AK1317" s="14">
        <f>IF(AND($AF1317="保留中",$AH1317&lt;&gt;""),TODAY()-$AH1317,"")</f>
        <v/>
      </c>
      <c r="AL1317" s="12" t="n"/>
      <c r="AM1317" s="14">
        <f>IF($B1317="","",IF($AQ1317="","対象年月が未入力／","")&amp;IF($B1317="","",IF($AP1317="","職員マスタに未登録の職員番号／",IF($AA1317="","標準報酬月額が未登録／","")&amp;IF(AND($AQ1317&lt;&gt;"",OR(AND(INDEX(職員マスタ!$G$6:$G$405,$AP1317)&lt;&gt;"",INDEX(職員マスタ!$G$6:$G$405,$AP1317)&gt;EOMONTH($AQ1317,0)),AND(INDEX(職員マスタ!$H$6:$H$405,$AP1317)&lt;&gt;"",INDEX(職員マスタ!$H$6:$H$405,$AP1317)&lt;$AQ1317))),"対象月が時短期間外／","")&amp;IF(AND(INDEX(職員マスタ!$K$6:$K$405,$AP1317)&lt;&gt;"",N($W1317)&gt;0,INDEX(職員マスタ!$K$6:$K$405,$AP1317)&lt;&gt;$W1317),"標準報酬月額が申請書と相違（台帳"&amp;TEXT(INDEX(職員マスタ!$K$6:$K$405,$AP1317),"#,##0")&amp;"円／申請書"&amp;TEXT($W1317,"#,##0")&amp;"円）／","")&amp;IF(AND(INDEX(職員マスタ!$F$6:$F$405,$AP1317)&lt;&gt;"",$AQ1317&lt;&gt;"",INDEX(職員マスタ!$F$6:$F$405,$AP1317)&lt;$AQ1317),"対象月に子が2歳到達済／","")&amp;IF(AND($H1317&lt;&gt;"",INDEX(職員マスタ!$B$6:$B$405,$AP1317)&lt;&gt;"",SUBSTITUTE(SUBSTITUTE($H1317," ","")," ","")&lt;&gt;SUBSTITUTE(SUBSTITUTE(INDEX(職員マスタ!$B$6:$B$405,$AP1317)," ","")," ","")),"氏名がマスタと相違／","")&amp;IF(AND($Q1317&lt;&gt;"",INDEX(職員マスタ!$E$6:$E$405,$AP1317)&lt;&gt;"",$Q1317&lt;&gt;INDEX(職員マスタ!$E$6:$E$405,$AP1317)),"子の生年月日がマスタと相違／","")&amp;IF(AND($L1317&lt;&gt;"",INDEX(職員マスタ!$G$6:$G$405,$AP1317)&lt;&gt;"",$L1317&lt;&gt;INDEX(職員マスタ!$G$6:$G$405,$AP1317)),"時短開始日がマスタと相違／","")&amp;IF(AND($M1317&lt;&gt;"",INDEX(職員マスタ!$H$6:$H$405,$AP1317)&lt;&gt;"",$M1317&lt;&gt;INDEX(職員マスタ!$H$6:$H$405,$AP1317)),"時短終了日がマスタと相違／","")))&amp;IF(AND($B1317&lt;&gt;"",$E1317=""),"報酬額が未入力／","")&amp;IF(N($U1317)&gt;0,"申請書に入力エラーが残っています／","")&amp;IF(AND($B1317&lt;&gt;"",$AQ1317&lt;&gt;""),IF(COUNTIFS($B$6:$B$3005,$B1317,$C$6:$C$3005,$C1317,$D$6:$D$3005,$D1317)&gt;1,"同じ月の請求が重複しています／",""),"")&amp;IF(AND(N($E1317)&gt;0,$AB1317&lt;&gt;"",$AB1317&lt;&gt;"×",$AE1317=0,$AD1317=""),"計算額が下限以下のため不支給／",""))</f>
        <v/>
      </c>
      <c r="AN1317" s="12" t="n"/>
      <c r="AO1317" s="14">
        <f>IF($AF1317="保留中",COUNTIF($AF$6:$AF1317,"保留中"),"")</f>
        <v/>
      </c>
      <c r="AP1317" s="14">
        <f>IF($AQ1317="","",IF(SUMPRODUCT(MAX((職員マスタ!$A$6:$A$405=$B1317)*(((職員マスタ!$G$6:$G$405="")+(職員マスタ!$G$6:$G$405&lt;=EOMONTH($AQ1317,0)))&gt;0)*(((職員マスタ!$H$6:$H$405="")+(職員マスタ!$H$6:$H$405&gt;=$AQ1317))&gt;0)*(ROW(職員マスタ!$A$6:$A$405)-5)))&gt;0,SUMPRODUCT(MAX((職員マスタ!$A$6:$A$405=$B1317)*(((職員マスタ!$G$6:$G$405="")+(職員マスタ!$G$6:$G$405&lt;=EOMONTH($AQ1317,0)))&gt;0)*(((職員マスタ!$H$6:$H$405="")+(職員マスタ!$H$6:$H$405&gt;=$AQ1317))&gt;0)*(ROW(職員マスタ!$A$6:$A$405)-5))),IFERROR(MATCH($B1317,職員マスタ!$A$6:$A$405,0),"")))</f>
        <v/>
      </c>
      <c r="AQ1317" s="16">
        <f>IF(OR($B1317="",$C1317="",$D1317=""),"",DATE($C1317+2018,$D1317,1))</f>
        <v/>
      </c>
    </row>
    <row r="1318">
      <c r="A1318" s="11" t="n"/>
      <c r="B1318" s="12" t="n"/>
      <c r="C1318" s="12" t="n"/>
      <c r="D1318" s="12" t="n"/>
      <c r="E1318" s="13" t="n"/>
      <c r="F1318" s="12" t="n"/>
      <c r="G1318" s="13" t="n"/>
      <c r="H1318" s="12" t="n"/>
      <c r="I1318" s="12" t="n"/>
      <c r="J1318" s="12" t="n"/>
      <c r="K1318" s="12" t="n"/>
      <c r="L1318" s="11" t="n"/>
      <c r="M1318" s="11" t="n"/>
      <c r="N1318" s="11" t="n"/>
      <c r="O1318" s="11" t="n"/>
      <c r="P1318" s="12" t="n"/>
      <c r="Q1318" s="11" t="n"/>
      <c r="R1318" s="12" t="n"/>
      <c r="S1318" s="11" t="n"/>
      <c r="T1318" s="12" t="n"/>
      <c r="U1318" s="12" t="n"/>
      <c r="V1318" s="12" t="n"/>
      <c r="W1318" s="13" t="n"/>
      <c r="X1318" s="14">
        <f>IF($AP1318="",IF($B1318="","",$H1318),IF(INDEX(職員マスタ!$B$6:$B$405,$AP1318)="",$H1318,INDEX(職員マスタ!$B$6:$B$405,$AP1318)))</f>
        <v/>
      </c>
      <c r="Y1318" s="14">
        <f>IF($AP1318="",IF($B1318="","",$R1318),IF(INDEX(職員マスタ!$C$6:$C$405,$AP1318)="",$R1318,INDEX(職員マスタ!$C$6:$C$405,$AP1318)))</f>
        <v/>
      </c>
      <c r="Z1318" s="14">
        <f>IF($AQ1318="","","R"&amp;$C1318&amp;"."&amp;$D1318)</f>
        <v/>
      </c>
      <c r="AA1318" s="15">
        <f>IF(IF($AP1318="",FALSE,INDEX(職員マスタ!$K$6:$K$405,$AP1318)&lt;&gt;""),INDEX(職員マスタ!$K$6:$K$405,$AP1318),IF(N($W1318)&gt;0,$W1318,""))</f>
        <v/>
      </c>
      <c r="AB1318" s="14">
        <f>IF(OR($E1318="",$AA1318=""),"",IF($E1318&gt;=$AA1318,"×",IF($E1318&gt;=$AA1318*設定!$C$5,"△","○")))</f>
        <v/>
      </c>
      <c r="AC1318" s="15">
        <f>IF($AB1318="","",IF($AB1318="×",0,IF($AB1318="○",ROUNDDOWN($E1318*設定!$C$4,0),ROUNDDOWN($E1318*ROUND((9*$AA1318-9*$E1318)/(10*$E1318),4),0))))</f>
        <v/>
      </c>
      <c r="AD1318" s="13" t="n"/>
      <c r="AE1318" s="15">
        <f>IF($B1318="","",IF($AD1318&lt;&gt;"",$AD1318,IF($AC1318="","",IF($AC1318&lt;=設定!$C$3,0,$AC1318))))</f>
        <v/>
      </c>
      <c r="AF1318" s="14">
        <f>IF($B1318="","",IF(AND($AG1318&lt;&gt;"",$AI1318="",$AL1318=""),"保留中",IF($AL1318&lt;&gt;"",IF(N($AE1318)&gt;0,"支給済","不支給"),IF($AE1318="","要確認",IF($AE1318=0,"不支給","未処理")))))</f>
        <v/>
      </c>
      <c r="AG1318" s="12" t="n"/>
      <c r="AH1318" s="11" t="n"/>
      <c r="AI1318" s="11" t="n"/>
      <c r="AJ1318" s="11" t="n"/>
      <c r="AK1318" s="14">
        <f>IF(AND($AF1318="保留中",$AH1318&lt;&gt;""),TODAY()-$AH1318,"")</f>
        <v/>
      </c>
      <c r="AL1318" s="12" t="n"/>
      <c r="AM1318" s="14">
        <f>IF($B1318="","",IF($AQ1318="","対象年月が未入力／","")&amp;IF($B1318="","",IF($AP1318="","職員マスタに未登録の職員番号／",IF($AA1318="","標準報酬月額が未登録／","")&amp;IF(AND($AQ1318&lt;&gt;"",OR(AND(INDEX(職員マスタ!$G$6:$G$405,$AP1318)&lt;&gt;"",INDEX(職員マスタ!$G$6:$G$405,$AP1318)&gt;EOMONTH($AQ1318,0)),AND(INDEX(職員マスタ!$H$6:$H$405,$AP1318)&lt;&gt;"",INDEX(職員マスタ!$H$6:$H$405,$AP1318)&lt;$AQ1318))),"対象月が時短期間外／","")&amp;IF(AND(INDEX(職員マスタ!$K$6:$K$405,$AP1318)&lt;&gt;"",N($W1318)&gt;0,INDEX(職員マスタ!$K$6:$K$405,$AP1318)&lt;&gt;$W1318),"標準報酬月額が申請書と相違（台帳"&amp;TEXT(INDEX(職員マスタ!$K$6:$K$405,$AP1318),"#,##0")&amp;"円／申請書"&amp;TEXT($W1318,"#,##0")&amp;"円）／","")&amp;IF(AND(INDEX(職員マスタ!$F$6:$F$405,$AP1318)&lt;&gt;"",$AQ1318&lt;&gt;"",INDEX(職員マスタ!$F$6:$F$405,$AP1318)&lt;$AQ1318),"対象月に子が2歳到達済／","")&amp;IF(AND($H1318&lt;&gt;"",INDEX(職員マスタ!$B$6:$B$405,$AP1318)&lt;&gt;"",SUBSTITUTE(SUBSTITUTE($H1318," ","")," ","")&lt;&gt;SUBSTITUTE(SUBSTITUTE(INDEX(職員マスタ!$B$6:$B$405,$AP1318)," ","")," ","")),"氏名がマスタと相違／","")&amp;IF(AND($Q1318&lt;&gt;"",INDEX(職員マスタ!$E$6:$E$405,$AP1318)&lt;&gt;"",$Q1318&lt;&gt;INDEX(職員マスタ!$E$6:$E$405,$AP1318)),"子の生年月日がマスタと相違／","")&amp;IF(AND($L1318&lt;&gt;"",INDEX(職員マスタ!$G$6:$G$405,$AP1318)&lt;&gt;"",$L1318&lt;&gt;INDEX(職員マスタ!$G$6:$G$405,$AP1318)),"時短開始日がマスタと相違／","")&amp;IF(AND($M1318&lt;&gt;"",INDEX(職員マスタ!$H$6:$H$405,$AP1318)&lt;&gt;"",$M1318&lt;&gt;INDEX(職員マスタ!$H$6:$H$405,$AP1318)),"時短終了日がマスタと相違／","")))&amp;IF(AND($B1318&lt;&gt;"",$E1318=""),"報酬額が未入力／","")&amp;IF(N($U1318)&gt;0,"申請書に入力エラーが残っています／","")&amp;IF(AND($B1318&lt;&gt;"",$AQ1318&lt;&gt;""),IF(COUNTIFS($B$6:$B$3005,$B1318,$C$6:$C$3005,$C1318,$D$6:$D$3005,$D1318)&gt;1,"同じ月の請求が重複しています／",""),"")&amp;IF(AND(N($E1318)&gt;0,$AB1318&lt;&gt;"",$AB1318&lt;&gt;"×",$AE1318=0,$AD1318=""),"計算額が下限以下のため不支給／",""))</f>
        <v/>
      </c>
      <c r="AN1318" s="12" t="n"/>
      <c r="AO1318" s="14">
        <f>IF($AF1318="保留中",COUNTIF($AF$6:$AF1318,"保留中"),"")</f>
        <v/>
      </c>
      <c r="AP1318" s="14">
        <f>IF($AQ1318="","",IF(SUMPRODUCT(MAX((職員マスタ!$A$6:$A$405=$B1318)*(((職員マスタ!$G$6:$G$405="")+(職員マスタ!$G$6:$G$405&lt;=EOMONTH($AQ1318,0)))&gt;0)*(((職員マスタ!$H$6:$H$405="")+(職員マスタ!$H$6:$H$405&gt;=$AQ1318))&gt;0)*(ROW(職員マスタ!$A$6:$A$405)-5)))&gt;0,SUMPRODUCT(MAX((職員マスタ!$A$6:$A$405=$B1318)*(((職員マスタ!$G$6:$G$405="")+(職員マスタ!$G$6:$G$405&lt;=EOMONTH($AQ1318,0)))&gt;0)*(((職員マスタ!$H$6:$H$405="")+(職員マスタ!$H$6:$H$405&gt;=$AQ1318))&gt;0)*(ROW(職員マスタ!$A$6:$A$405)-5))),IFERROR(MATCH($B1318,職員マスタ!$A$6:$A$405,0),"")))</f>
        <v/>
      </c>
      <c r="AQ1318" s="16">
        <f>IF(OR($B1318="",$C1318="",$D1318=""),"",DATE($C1318+2018,$D1318,1))</f>
        <v/>
      </c>
    </row>
    <row r="1319">
      <c r="A1319" s="11" t="n"/>
      <c r="B1319" s="12" t="n"/>
      <c r="C1319" s="12" t="n"/>
      <c r="D1319" s="12" t="n"/>
      <c r="E1319" s="13" t="n"/>
      <c r="F1319" s="12" t="n"/>
      <c r="G1319" s="13" t="n"/>
      <c r="H1319" s="12" t="n"/>
      <c r="I1319" s="12" t="n"/>
      <c r="J1319" s="12" t="n"/>
      <c r="K1319" s="12" t="n"/>
      <c r="L1319" s="11" t="n"/>
      <c r="M1319" s="11" t="n"/>
      <c r="N1319" s="11" t="n"/>
      <c r="O1319" s="11" t="n"/>
      <c r="P1319" s="12" t="n"/>
      <c r="Q1319" s="11" t="n"/>
      <c r="R1319" s="12" t="n"/>
      <c r="S1319" s="11" t="n"/>
      <c r="T1319" s="12" t="n"/>
      <c r="U1319" s="12" t="n"/>
      <c r="V1319" s="12" t="n"/>
      <c r="W1319" s="13" t="n"/>
      <c r="X1319" s="14">
        <f>IF($AP1319="",IF($B1319="","",$H1319),IF(INDEX(職員マスタ!$B$6:$B$405,$AP1319)="",$H1319,INDEX(職員マスタ!$B$6:$B$405,$AP1319)))</f>
        <v/>
      </c>
      <c r="Y1319" s="14">
        <f>IF($AP1319="",IF($B1319="","",$R1319),IF(INDEX(職員マスタ!$C$6:$C$405,$AP1319)="",$R1319,INDEX(職員マスタ!$C$6:$C$405,$AP1319)))</f>
        <v/>
      </c>
      <c r="Z1319" s="14">
        <f>IF($AQ1319="","","R"&amp;$C1319&amp;"."&amp;$D1319)</f>
        <v/>
      </c>
      <c r="AA1319" s="15">
        <f>IF(IF($AP1319="",FALSE,INDEX(職員マスタ!$K$6:$K$405,$AP1319)&lt;&gt;""),INDEX(職員マスタ!$K$6:$K$405,$AP1319),IF(N($W1319)&gt;0,$W1319,""))</f>
        <v/>
      </c>
      <c r="AB1319" s="14">
        <f>IF(OR($E1319="",$AA1319=""),"",IF($E1319&gt;=$AA1319,"×",IF($E1319&gt;=$AA1319*設定!$C$5,"△","○")))</f>
        <v/>
      </c>
      <c r="AC1319" s="15">
        <f>IF($AB1319="","",IF($AB1319="×",0,IF($AB1319="○",ROUNDDOWN($E1319*設定!$C$4,0),ROUNDDOWN($E1319*ROUND((9*$AA1319-9*$E1319)/(10*$E1319),4),0))))</f>
        <v/>
      </c>
      <c r="AD1319" s="13" t="n"/>
      <c r="AE1319" s="15">
        <f>IF($B1319="","",IF($AD1319&lt;&gt;"",$AD1319,IF($AC1319="","",IF($AC1319&lt;=設定!$C$3,0,$AC1319))))</f>
        <v/>
      </c>
      <c r="AF1319" s="14">
        <f>IF($B1319="","",IF(AND($AG1319&lt;&gt;"",$AI1319="",$AL1319=""),"保留中",IF($AL1319&lt;&gt;"",IF(N($AE1319)&gt;0,"支給済","不支給"),IF($AE1319="","要確認",IF($AE1319=0,"不支給","未処理")))))</f>
        <v/>
      </c>
      <c r="AG1319" s="12" t="n"/>
      <c r="AH1319" s="11" t="n"/>
      <c r="AI1319" s="11" t="n"/>
      <c r="AJ1319" s="11" t="n"/>
      <c r="AK1319" s="14">
        <f>IF(AND($AF1319="保留中",$AH1319&lt;&gt;""),TODAY()-$AH1319,"")</f>
        <v/>
      </c>
      <c r="AL1319" s="12" t="n"/>
      <c r="AM1319" s="14">
        <f>IF($B1319="","",IF($AQ1319="","対象年月が未入力／","")&amp;IF($B1319="","",IF($AP1319="","職員マスタに未登録の職員番号／",IF($AA1319="","標準報酬月額が未登録／","")&amp;IF(AND($AQ1319&lt;&gt;"",OR(AND(INDEX(職員マスタ!$G$6:$G$405,$AP1319)&lt;&gt;"",INDEX(職員マスタ!$G$6:$G$405,$AP1319)&gt;EOMONTH($AQ1319,0)),AND(INDEX(職員マスタ!$H$6:$H$405,$AP1319)&lt;&gt;"",INDEX(職員マスタ!$H$6:$H$405,$AP1319)&lt;$AQ1319))),"対象月が時短期間外／","")&amp;IF(AND(INDEX(職員マスタ!$K$6:$K$405,$AP1319)&lt;&gt;"",N($W1319)&gt;0,INDEX(職員マスタ!$K$6:$K$405,$AP1319)&lt;&gt;$W1319),"標準報酬月額が申請書と相違（台帳"&amp;TEXT(INDEX(職員マスタ!$K$6:$K$405,$AP1319),"#,##0")&amp;"円／申請書"&amp;TEXT($W1319,"#,##0")&amp;"円）／","")&amp;IF(AND(INDEX(職員マスタ!$F$6:$F$405,$AP1319)&lt;&gt;"",$AQ1319&lt;&gt;"",INDEX(職員マスタ!$F$6:$F$405,$AP1319)&lt;$AQ1319),"対象月に子が2歳到達済／","")&amp;IF(AND($H1319&lt;&gt;"",INDEX(職員マスタ!$B$6:$B$405,$AP1319)&lt;&gt;"",SUBSTITUTE(SUBSTITUTE($H1319," ","")," ","")&lt;&gt;SUBSTITUTE(SUBSTITUTE(INDEX(職員マスタ!$B$6:$B$405,$AP1319)," ","")," ","")),"氏名がマスタと相違／","")&amp;IF(AND($Q1319&lt;&gt;"",INDEX(職員マスタ!$E$6:$E$405,$AP1319)&lt;&gt;"",$Q1319&lt;&gt;INDEX(職員マスタ!$E$6:$E$405,$AP1319)),"子の生年月日がマスタと相違／","")&amp;IF(AND($L1319&lt;&gt;"",INDEX(職員マスタ!$G$6:$G$405,$AP1319)&lt;&gt;"",$L1319&lt;&gt;INDEX(職員マスタ!$G$6:$G$405,$AP1319)),"時短開始日がマスタと相違／","")&amp;IF(AND($M1319&lt;&gt;"",INDEX(職員マスタ!$H$6:$H$405,$AP1319)&lt;&gt;"",$M1319&lt;&gt;INDEX(職員マスタ!$H$6:$H$405,$AP1319)),"時短終了日がマスタと相違／","")))&amp;IF(AND($B1319&lt;&gt;"",$E1319=""),"報酬額が未入力／","")&amp;IF(N($U1319)&gt;0,"申請書に入力エラーが残っています／","")&amp;IF(AND($B1319&lt;&gt;"",$AQ1319&lt;&gt;""),IF(COUNTIFS($B$6:$B$3005,$B1319,$C$6:$C$3005,$C1319,$D$6:$D$3005,$D1319)&gt;1,"同じ月の請求が重複しています／",""),"")&amp;IF(AND(N($E1319)&gt;0,$AB1319&lt;&gt;"",$AB1319&lt;&gt;"×",$AE1319=0,$AD1319=""),"計算額が下限以下のため不支給／",""))</f>
        <v/>
      </c>
      <c r="AN1319" s="12" t="n"/>
      <c r="AO1319" s="14">
        <f>IF($AF1319="保留中",COUNTIF($AF$6:$AF1319,"保留中"),"")</f>
        <v/>
      </c>
      <c r="AP1319" s="14">
        <f>IF($AQ1319="","",IF(SUMPRODUCT(MAX((職員マスタ!$A$6:$A$405=$B1319)*(((職員マスタ!$G$6:$G$405="")+(職員マスタ!$G$6:$G$405&lt;=EOMONTH($AQ1319,0)))&gt;0)*(((職員マスタ!$H$6:$H$405="")+(職員マスタ!$H$6:$H$405&gt;=$AQ1319))&gt;0)*(ROW(職員マスタ!$A$6:$A$405)-5)))&gt;0,SUMPRODUCT(MAX((職員マスタ!$A$6:$A$405=$B1319)*(((職員マスタ!$G$6:$G$405="")+(職員マスタ!$G$6:$G$405&lt;=EOMONTH($AQ1319,0)))&gt;0)*(((職員マスタ!$H$6:$H$405="")+(職員マスタ!$H$6:$H$405&gt;=$AQ1319))&gt;0)*(ROW(職員マスタ!$A$6:$A$405)-5))),IFERROR(MATCH($B1319,職員マスタ!$A$6:$A$405,0),"")))</f>
        <v/>
      </c>
      <c r="AQ1319" s="16">
        <f>IF(OR($B1319="",$C1319="",$D1319=""),"",DATE($C1319+2018,$D1319,1))</f>
        <v/>
      </c>
    </row>
    <row r="1320">
      <c r="A1320" s="11" t="n"/>
      <c r="B1320" s="12" t="n"/>
      <c r="C1320" s="12" t="n"/>
      <c r="D1320" s="12" t="n"/>
      <c r="E1320" s="13" t="n"/>
      <c r="F1320" s="12" t="n"/>
      <c r="G1320" s="13" t="n"/>
      <c r="H1320" s="12" t="n"/>
      <c r="I1320" s="12" t="n"/>
      <c r="J1320" s="12" t="n"/>
      <c r="K1320" s="12" t="n"/>
      <c r="L1320" s="11" t="n"/>
      <c r="M1320" s="11" t="n"/>
      <c r="N1320" s="11" t="n"/>
      <c r="O1320" s="11" t="n"/>
      <c r="P1320" s="12" t="n"/>
      <c r="Q1320" s="11" t="n"/>
      <c r="R1320" s="12" t="n"/>
      <c r="S1320" s="11" t="n"/>
      <c r="T1320" s="12" t="n"/>
      <c r="U1320" s="12" t="n"/>
      <c r="V1320" s="12" t="n"/>
      <c r="W1320" s="13" t="n"/>
      <c r="X1320" s="14">
        <f>IF($AP1320="",IF($B1320="","",$H1320),IF(INDEX(職員マスタ!$B$6:$B$405,$AP1320)="",$H1320,INDEX(職員マスタ!$B$6:$B$405,$AP1320)))</f>
        <v/>
      </c>
      <c r="Y1320" s="14">
        <f>IF($AP1320="",IF($B1320="","",$R1320),IF(INDEX(職員マスタ!$C$6:$C$405,$AP1320)="",$R1320,INDEX(職員マスタ!$C$6:$C$405,$AP1320)))</f>
        <v/>
      </c>
      <c r="Z1320" s="14">
        <f>IF($AQ1320="","","R"&amp;$C1320&amp;"."&amp;$D1320)</f>
        <v/>
      </c>
      <c r="AA1320" s="15">
        <f>IF(IF($AP1320="",FALSE,INDEX(職員マスタ!$K$6:$K$405,$AP1320)&lt;&gt;""),INDEX(職員マスタ!$K$6:$K$405,$AP1320),IF(N($W1320)&gt;0,$W1320,""))</f>
        <v/>
      </c>
      <c r="AB1320" s="14">
        <f>IF(OR($E1320="",$AA1320=""),"",IF($E1320&gt;=$AA1320,"×",IF($E1320&gt;=$AA1320*設定!$C$5,"△","○")))</f>
        <v/>
      </c>
      <c r="AC1320" s="15">
        <f>IF($AB1320="","",IF($AB1320="×",0,IF($AB1320="○",ROUNDDOWN($E1320*設定!$C$4,0),ROUNDDOWN($E1320*ROUND((9*$AA1320-9*$E1320)/(10*$E1320),4),0))))</f>
        <v/>
      </c>
      <c r="AD1320" s="13" t="n"/>
      <c r="AE1320" s="15">
        <f>IF($B1320="","",IF($AD1320&lt;&gt;"",$AD1320,IF($AC1320="","",IF($AC1320&lt;=設定!$C$3,0,$AC1320))))</f>
        <v/>
      </c>
      <c r="AF1320" s="14">
        <f>IF($B1320="","",IF(AND($AG1320&lt;&gt;"",$AI1320="",$AL1320=""),"保留中",IF($AL1320&lt;&gt;"",IF(N($AE1320)&gt;0,"支給済","不支給"),IF($AE1320="","要確認",IF($AE1320=0,"不支給","未処理")))))</f>
        <v/>
      </c>
      <c r="AG1320" s="12" t="n"/>
      <c r="AH1320" s="11" t="n"/>
      <c r="AI1320" s="11" t="n"/>
      <c r="AJ1320" s="11" t="n"/>
      <c r="AK1320" s="14">
        <f>IF(AND($AF1320="保留中",$AH1320&lt;&gt;""),TODAY()-$AH1320,"")</f>
        <v/>
      </c>
      <c r="AL1320" s="12" t="n"/>
      <c r="AM1320" s="14">
        <f>IF($B1320="","",IF($AQ1320="","対象年月が未入力／","")&amp;IF($B1320="","",IF($AP1320="","職員マスタに未登録の職員番号／",IF($AA1320="","標準報酬月額が未登録／","")&amp;IF(AND($AQ1320&lt;&gt;"",OR(AND(INDEX(職員マスタ!$G$6:$G$405,$AP1320)&lt;&gt;"",INDEX(職員マスタ!$G$6:$G$405,$AP1320)&gt;EOMONTH($AQ1320,0)),AND(INDEX(職員マスタ!$H$6:$H$405,$AP1320)&lt;&gt;"",INDEX(職員マスタ!$H$6:$H$405,$AP1320)&lt;$AQ1320))),"対象月が時短期間外／","")&amp;IF(AND(INDEX(職員マスタ!$K$6:$K$405,$AP1320)&lt;&gt;"",N($W1320)&gt;0,INDEX(職員マスタ!$K$6:$K$405,$AP1320)&lt;&gt;$W1320),"標準報酬月額が申請書と相違（台帳"&amp;TEXT(INDEX(職員マスタ!$K$6:$K$405,$AP1320),"#,##0")&amp;"円／申請書"&amp;TEXT($W1320,"#,##0")&amp;"円）／","")&amp;IF(AND(INDEX(職員マスタ!$F$6:$F$405,$AP1320)&lt;&gt;"",$AQ1320&lt;&gt;"",INDEX(職員マスタ!$F$6:$F$405,$AP1320)&lt;$AQ1320),"対象月に子が2歳到達済／","")&amp;IF(AND($H1320&lt;&gt;"",INDEX(職員マスタ!$B$6:$B$405,$AP1320)&lt;&gt;"",SUBSTITUTE(SUBSTITUTE($H1320," ","")," ","")&lt;&gt;SUBSTITUTE(SUBSTITUTE(INDEX(職員マスタ!$B$6:$B$405,$AP1320)," ","")," ","")),"氏名がマスタと相違／","")&amp;IF(AND($Q1320&lt;&gt;"",INDEX(職員マスタ!$E$6:$E$405,$AP1320)&lt;&gt;"",$Q1320&lt;&gt;INDEX(職員マスタ!$E$6:$E$405,$AP1320)),"子の生年月日がマスタと相違／","")&amp;IF(AND($L1320&lt;&gt;"",INDEX(職員マスタ!$G$6:$G$405,$AP1320)&lt;&gt;"",$L1320&lt;&gt;INDEX(職員マスタ!$G$6:$G$405,$AP1320)),"時短開始日がマスタと相違／","")&amp;IF(AND($M1320&lt;&gt;"",INDEX(職員マスタ!$H$6:$H$405,$AP1320)&lt;&gt;"",$M1320&lt;&gt;INDEX(職員マスタ!$H$6:$H$405,$AP1320)),"時短終了日がマスタと相違／","")))&amp;IF(AND($B1320&lt;&gt;"",$E1320=""),"報酬額が未入力／","")&amp;IF(N($U1320)&gt;0,"申請書に入力エラーが残っています／","")&amp;IF(AND($B1320&lt;&gt;"",$AQ1320&lt;&gt;""),IF(COUNTIFS($B$6:$B$3005,$B1320,$C$6:$C$3005,$C1320,$D$6:$D$3005,$D1320)&gt;1,"同じ月の請求が重複しています／",""),"")&amp;IF(AND(N($E1320)&gt;0,$AB1320&lt;&gt;"",$AB1320&lt;&gt;"×",$AE1320=0,$AD1320=""),"計算額が下限以下のため不支給／",""))</f>
        <v/>
      </c>
      <c r="AN1320" s="12" t="n"/>
      <c r="AO1320" s="14">
        <f>IF($AF1320="保留中",COUNTIF($AF$6:$AF1320,"保留中"),"")</f>
        <v/>
      </c>
      <c r="AP1320" s="14">
        <f>IF($AQ1320="","",IF(SUMPRODUCT(MAX((職員マスタ!$A$6:$A$405=$B1320)*(((職員マスタ!$G$6:$G$405="")+(職員マスタ!$G$6:$G$405&lt;=EOMONTH($AQ1320,0)))&gt;0)*(((職員マスタ!$H$6:$H$405="")+(職員マスタ!$H$6:$H$405&gt;=$AQ1320))&gt;0)*(ROW(職員マスタ!$A$6:$A$405)-5)))&gt;0,SUMPRODUCT(MAX((職員マスタ!$A$6:$A$405=$B1320)*(((職員マスタ!$G$6:$G$405="")+(職員マスタ!$G$6:$G$405&lt;=EOMONTH($AQ1320,0)))&gt;0)*(((職員マスタ!$H$6:$H$405="")+(職員マスタ!$H$6:$H$405&gt;=$AQ1320))&gt;0)*(ROW(職員マスタ!$A$6:$A$405)-5))),IFERROR(MATCH($B1320,職員マスタ!$A$6:$A$405,0),"")))</f>
        <v/>
      </c>
      <c r="AQ1320" s="16">
        <f>IF(OR($B1320="",$C1320="",$D1320=""),"",DATE($C1320+2018,$D1320,1))</f>
        <v/>
      </c>
    </row>
    <row r="1321">
      <c r="A1321" s="11" t="n"/>
      <c r="B1321" s="12" t="n"/>
      <c r="C1321" s="12" t="n"/>
      <c r="D1321" s="12" t="n"/>
      <c r="E1321" s="13" t="n"/>
      <c r="F1321" s="12" t="n"/>
      <c r="G1321" s="13" t="n"/>
      <c r="H1321" s="12" t="n"/>
      <c r="I1321" s="12" t="n"/>
      <c r="J1321" s="12" t="n"/>
      <c r="K1321" s="12" t="n"/>
      <c r="L1321" s="11" t="n"/>
      <c r="M1321" s="11" t="n"/>
      <c r="N1321" s="11" t="n"/>
      <c r="O1321" s="11" t="n"/>
      <c r="P1321" s="12" t="n"/>
      <c r="Q1321" s="11" t="n"/>
      <c r="R1321" s="12" t="n"/>
      <c r="S1321" s="11" t="n"/>
      <c r="T1321" s="12" t="n"/>
      <c r="U1321" s="12" t="n"/>
      <c r="V1321" s="12" t="n"/>
      <c r="W1321" s="13" t="n"/>
      <c r="X1321" s="14">
        <f>IF($AP1321="",IF($B1321="","",$H1321),IF(INDEX(職員マスタ!$B$6:$B$405,$AP1321)="",$H1321,INDEX(職員マスタ!$B$6:$B$405,$AP1321)))</f>
        <v/>
      </c>
      <c r="Y1321" s="14">
        <f>IF($AP1321="",IF($B1321="","",$R1321),IF(INDEX(職員マスタ!$C$6:$C$405,$AP1321)="",$R1321,INDEX(職員マスタ!$C$6:$C$405,$AP1321)))</f>
        <v/>
      </c>
      <c r="Z1321" s="14">
        <f>IF($AQ1321="","","R"&amp;$C1321&amp;"."&amp;$D1321)</f>
        <v/>
      </c>
      <c r="AA1321" s="15">
        <f>IF(IF($AP1321="",FALSE,INDEX(職員マスタ!$K$6:$K$405,$AP1321)&lt;&gt;""),INDEX(職員マスタ!$K$6:$K$405,$AP1321),IF(N($W1321)&gt;0,$W1321,""))</f>
        <v/>
      </c>
      <c r="AB1321" s="14">
        <f>IF(OR($E1321="",$AA1321=""),"",IF($E1321&gt;=$AA1321,"×",IF($E1321&gt;=$AA1321*設定!$C$5,"△","○")))</f>
        <v/>
      </c>
      <c r="AC1321" s="15">
        <f>IF($AB1321="","",IF($AB1321="×",0,IF($AB1321="○",ROUNDDOWN($E1321*設定!$C$4,0),ROUNDDOWN($E1321*ROUND((9*$AA1321-9*$E1321)/(10*$E1321),4),0))))</f>
        <v/>
      </c>
      <c r="AD1321" s="13" t="n"/>
      <c r="AE1321" s="15">
        <f>IF($B1321="","",IF($AD1321&lt;&gt;"",$AD1321,IF($AC1321="","",IF($AC1321&lt;=設定!$C$3,0,$AC1321))))</f>
        <v/>
      </c>
      <c r="AF1321" s="14">
        <f>IF($B1321="","",IF(AND($AG1321&lt;&gt;"",$AI1321="",$AL1321=""),"保留中",IF($AL1321&lt;&gt;"",IF(N($AE1321)&gt;0,"支給済","不支給"),IF($AE1321="","要確認",IF($AE1321=0,"不支給","未処理")))))</f>
        <v/>
      </c>
      <c r="AG1321" s="12" t="n"/>
      <c r="AH1321" s="11" t="n"/>
      <c r="AI1321" s="11" t="n"/>
      <c r="AJ1321" s="11" t="n"/>
      <c r="AK1321" s="14">
        <f>IF(AND($AF1321="保留中",$AH1321&lt;&gt;""),TODAY()-$AH1321,"")</f>
        <v/>
      </c>
      <c r="AL1321" s="12" t="n"/>
      <c r="AM1321" s="14">
        <f>IF($B1321="","",IF($AQ1321="","対象年月が未入力／","")&amp;IF($B1321="","",IF($AP1321="","職員マスタに未登録の職員番号／",IF($AA1321="","標準報酬月額が未登録／","")&amp;IF(AND($AQ1321&lt;&gt;"",OR(AND(INDEX(職員マスタ!$G$6:$G$405,$AP1321)&lt;&gt;"",INDEX(職員マスタ!$G$6:$G$405,$AP1321)&gt;EOMONTH($AQ1321,0)),AND(INDEX(職員マスタ!$H$6:$H$405,$AP1321)&lt;&gt;"",INDEX(職員マスタ!$H$6:$H$405,$AP1321)&lt;$AQ1321))),"対象月が時短期間外／","")&amp;IF(AND(INDEX(職員マスタ!$K$6:$K$405,$AP1321)&lt;&gt;"",N($W1321)&gt;0,INDEX(職員マスタ!$K$6:$K$405,$AP1321)&lt;&gt;$W1321),"標準報酬月額が申請書と相違（台帳"&amp;TEXT(INDEX(職員マスタ!$K$6:$K$405,$AP1321),"#,##0")&amp;"円／申請書"&amp;TEXT($W1321,"#,##0")&amp;"円）／","")&amp;IF(AND(INDEX(職員マスタ!$F$6:$F$405,$AP1321)&lt;&gt;"",$AQ1321&lt;&gt;"",INDEX(職員マスタ!$F$6:$F$405,$AP1321)&lt;$AQ1321),"対象月に子が2歳到達済／","")&amp;IF(AND($H1321&lt;&gt;"",INDEX(職員マスタ!$B$6:$B$405,$AP1321)&lt;&gt;"",SUBSTITUTE(SUBSTITUTE($H1321," ","")," ","")&lt;&gt;SUBSTITUTE(SUBSTITUTE(INDEX(職員マスタ!$B$6:$B$405,$AP1321)," ","")," ","")),"氏名がマスタと相違／","")&amp;IF(AND($Q1321&lt;&gt;"",INDEX(職員マスタ!$E$6:$E$405,$AP1321)&lt;&gt;"",$Q1321&lt;&gt;INDEX(職員マスタ!$E$6:$E$405,$AP1321)),"子の生年月日がマスタと相違／","")&amp;IF(AND($L1321&lt;&gt;"",INDEX(職員マスタ!$G$6:$G$405,$AP1321)&lt;&gt;"",$L1321&lt;&gt;INDEX(職員マスタ!$G$6:$G$405,$AP1321)),"時短開始日がマスタと相違／","")&amp;IF(AND($M1321&lt;&gt;"",INDEX(職員マスタ!$H$6:$H$405,$AP1321)&lt;&gt;"",$M1321&lt;&gt;INDEX(職員マスタ!$H$6:$H$405,$AP1321)),"時短終了日がマスタと相違／","")))&amp;IF(AND($B1321&lt;&gt;"",$E1321=""),"報酬額が未入力／","")&amp;IF(N($U1321)&gt;0,"申請書に入力エラーが残っています／","")&amp;IF(AND($B1321&lt;&gt;"",$AQ1321&lt;&gt;""),IF(COUNTIFS($B$6:$B$3005,$B1321,$C$6:$C$3005,$C1321,$D$6:$D$3005,$D1321)&gt;1,"同じ月の請求が重複しています／",""),"")&amp;IF(AND(N($E1321)&gt;0,$AB1321&lt;&gt;"",$AB1321&lt;&gt;"×",$AE1321=0,$AD1321=""),"計算額が下限以下のため不支給／",""))</f>
        <v/>
      </c>
      <c r="AN1321" s="12" t="n"/>
      <c r="AO1321" s="14">
        <f>IF($AF1321="保留中",COUNTIF($AF$6:$AF1321,"保留中"),"")</f>
        <v/>
      </c>
      <c r="AP1321" s="14">
        <f>IF($AQ1321="","",IF(SUMPRODUCT(MAX((職員マスタ!$A$6:$A$405=$B1321)*(((職員マスタ!$G$6:$G$405="")+(職員マスタ!$G$6:$G$405&lt;=EOMONTH($AQ1321,0)))&gt;0)*(((職員マスタ!$H$6:$H$405="")+(職員マスタ!$H$6:$H$405&gt;=$AQ1321))&gt;0)*(ROW(職員マスタ!$A$6:$A$405)-5)))&gt;0,SUMPRODUCT(MAX((職員マスタ!$A$6:$A$405=$B1321)*(((職員マスタ!$G$6:$G$405="")+(職員マスタ!$G$6:$G$405&lt;=EOMONTH($AQ1321,0)))&gt;0)*(((職員マスタ!$H$6:$H$405="")+(職員マスタ!$H$6:$H$405&gt;=$AQ1321))&gt;0)*(ROW(職員マスタ!$A$6:$A$405)-5))),IFERROR(MATCH($B1321,職員マスタ!$A$6:$A$405,0),"")))</f>
        <v/>
      </c>
      <c r="AQ1321" s="16">
        <f>IF(OR($B1321="",$C1321="",$D1321=""),"",DATE($C1321+2018,$D1321,1))</f>
        <v/>
      </c>
    </row>
    <row r="1322">
      <c r="A1322" s="11" t="n"/>
      <c r="B1322" s="12" t="n"/>
      <c r="C1322" s="12" t="n"/>
      <c r="D1322" s="12" t="n"/>
      <c r="E1322" s="13" t="n"/>
      <c r="F1322" s="12" t="n"/>
      <c r="G1322" s="13" t="n"/>
      <c r="H1322" s="12" t="n"/>
      <c r="I1322" s="12" t="n"/>
      <c r="J1322" s="12" t="n"/>
      <c r="K1322" s="12" t="n"/>
      <c r="L1322" s="11" t="n"/>
      <c r="M1322" s="11" t="n"/>
      <c r="N1322" s="11" t="n"/>
      <c r="O1322" s="11" t="n"/>
      <c r="P1322" s="12" t="n"/>
      <c r="Q1322" s="11" t="n"/>
      <c r="R1322" s="12" t="n"/>
      <c r="S1322" s="11" t="n"/>
      <c r="T1322" s="12" t="n"/>
      <c r="U1322" s="12" t="n"/>
      <c r="V1322" s="12" t="n"/>
      <c r="W1322" s="13" t="n"/>
      <c r="X1322" s="14">
        <f>IF($AP1322="",IF($B1322="","",$H1322),IF(INDEX(職員マスタ!$B$6:$B$405,$AP1322)="",$H1322,INDEX(職員マスタ!$B$6:$B$405,$AP1322)))</f>
        <v/>
      </c>
      <c r="Y1322" s="14">
        <f>IF($AP1322="",IF($B1322="","",$R1322),IF(INDEX(職員マスタ!$C$6:$C$405,$AP1322)="",$R1322,INDEX(職員マスタ!$C$6:$C$405,$AP1322)))</f>
        <v/>
      </c>
      <c r="Z1322" s="14">
        <f>IF($AQ1322="","","R"&amp;$C1322&amp;"."&amp;$D1322)</f>
        <v/>
      </c>
      <c r="AA1322" s="15">
        <f>IF(IF($AP1322="",FALSE,INDEX(職員マスタ!$K$6:$K$405,$AP1322)&lt;&gt;""),INDEX(職員マスタ!$K$6:$K$405,$AP1322),IF(N($W1322)&gt;0,$W1322,""))</f>
        <v/>
      </c>
      <c r="AB1322" s="14">
        <f>IF(OR($E1322="",$AA1322=""),"",IF($E1322&gt;=$AA1322,"×",IF($E1322&gt;=$AA1322*設定!$C$5,"△","○")))</f>
        <v/>
      </c>
      <c r="AC1322" s="15">
        <f>IF($AB1322="","",IF($AB1322="×",0,IF($AB1322="○",ROUNDDOWN($E1322*設定!$C$4,0),ROUNDDOWN($E1322*ROUND((9*$AA1322-9*$E1322)/(10*$E1322),4),0))))</f>
        <v/>
      </c>
      <c r="AD1322" s="13" t="n"/>
      <c r="AE1322" s="15">
        <f>IF($B1322="","",IF($AD1322&lt;&gt;"",$AD1322,IF($AC1322="","",IF($AC1322&lt;=設定!$C$3,0,$AC1322))))</f>
        <v/>
      </c>
      <c r="AF1322" s="14">
        <f>IF($B1322="","",IF(AND($AG1322&lt;&gt;"",$AI1322="",$AL1322=""),"保留中",IF($AL1322&lt;&gt;"",IF(N($AE1322)&gt;0,"支給済","不支給"),IF($AE1322="","要確認",IF($AE1322=0,"不支給","未処理")))))</f>
        <v/>
      </c>
      <c r="AG1322" s="12" t="n"/>
      <c r="AH1322" s="11" t="n"/>
      <c r="AI1322" s="11" t="n"/>
      <c r="AJ1322" s="11" t="n"/>
      <c r="AK1322" s="14">
        <f>IF(AND($AF1322="保留中",$AH1322&lt;&gt;""),TODAY()-$AH1322,"")</f>
        <v/>
      </c>
      <c r="AL1322" s="12" t="n"/>
      <c r="AM1322" s="14">
        <f>IF($B1322="","",IF($AQ1322="","対象年月が未入力／","")&amp;IF($B1322="","",IF($AP1322="","職員マスタに未登録の職員番号／",IF($AA1322="","標準報酬月額が未登録／","")&amp;IF(AND($AQ1322&lt;&gt;"",OR(AND(INDEX(職員マスタ!$G$6:$G$405,$AP1322)&lt;&gt;"",INDEX(職員マスタ!$G$6:$G$405,$AP1322)&gt;EOMONTH($AQ1322,0)),AND(INDEX(職員マスタ!$H$6:$H$405,$AP1322)&lt;&gt;"",INDEX(職員マスタ!$H$6:$H$405,$AP1322)&lt;$AQ1322))),"対象月が時短期間外／","")&amp;IF(AND(INDEX(職員マスタ!$K$6:$K$405,$AP1322)&lt;&gt;"",N($W1322)&gt;0,INDEX(職員マスタ!$K$6:$K$405,$AP1322)&lt;&gt;$W1322),"標準報酬月額が申請書と相違（台帳"&amp;TEXT(INDEX(職員マスタ!$K$6:$K$405,$AP1322),"#,##0")&amp;"円／申請書"&amp;TEXT($W1322,"#,##0")&amp;"円）／","")&amp;IF(AND(INDEX(職員マスタ!$F$6:$F$405,$AP1322)&lt;&gt;"",$AQ1322&lt;&gt;"",INDEX(職員マスタ!$F$6:$F$405,$AP1322)&lt;$AQ1322),"対象月に子が2歳到達済／","")&amp;IF(AND($H1322&lt;&gt;"",INDEX(職員マスタ!$B$6:$B$405,$AP1322)&lt;&gt;"",SUBSTITUTE(SUBSTITUTE($H1322," ","")," ","")&lt;&gt;SUBSTITUTE(SUBSTITUTE(INDEX(職員マスタ!$B$6:$B$405,$AP1322)," ","")," ","")),"氏名がマスタと相違／","")&amp;IF(AND($Q1322&lt;&gt;"",INDEX(職員マスタ!$E$6:$E$405,$AP1322)&lt;&gt;"",$Q1322&lt;&gt;INDEX(職員マスタ!$E$6:$E$405,$AP1322)),"子の生年月日がマスタと相違／","")&amp;IF(AND($L1322&lt;&gt;"",INDEX(職員マスタ!$G$6:$G$405,$AP1322)&lt;&gt;"",$L1322&lt;&gt;INDEX(職員マスタ!$G$6:$G$405,$AP1322)),"時短開始日がマスタと相違／","")&amp;IF(AND($M1322&lt;&gt;"",INDEX(職員マスタ!$H$6:$H$405,$AP1322)&lt;&gt;"",$M1322&lt;&gt;INDEX(職員マスタ!$H$6:$H$405,$AP1322)),"時短終了日がマスタと相違／","")))&amp;IF(AND($B1322&lt;&gt;"",$E1322=""),"報酬額が未入力／","")&amp;IF(N($U1322)&gt;0,"申請書に入力エラーが残っています／","")&amp;IF(AND($B1322&lt;&gt;"",$AQ1322&lt;&gt;""),IF(COUNTIFS($B$6:$B$3005,$B1322,$C$6:$C$3005,$C1322,$D$6:$D$3005,$D1322)&gt;1,"同じ月の請求が重複しています／",""),"")&amp;IF(AND(N($E1322)&gt;0,$AB1322&lt;&gt;"",$AB1322&lt;&gt;"×",$AE1322=0,$AD1322=""),"計算額が下限以下のため不支給／",""))</f>
        <v/>
      </c>
      <c r="AN1322" s="12" t="n"/>
      <c r="AO1322" s="14">
        <f>IF($AF1322="保留中",COUNTIF($AF$6:$AF1322,"保留中"),"")</f>
        <v/>
      </c>
      <c r="AP1322" s="14">
        <f>IF($AQ1322="","",IF(SUMPRODUCT(MAX((職員マスタ!$A$6:$A$405=$B1322)*(((職員マスタ!$G$6:$G$405="")+(職員マスタ!$G$6:$G$405&lt;=EOMONTH($AQ1322,0)))&gt;0)*(((職員マスタ!$H$6:$H$405="")+(職員マスタ!$H$6:$H$405&gt;=$AQ1322))&gt;0)*(ROW(職員マスタ!$A$6:$A$405)-5)))&gt;0,SUMPRODUCT(MAX((職員マスタ!$A$6:$A$405=$B1322)*(((職員マスタ!$G$6:$G$405="")+(職員マスタ!$G$6:$G$405&lt;=EOMONTH($AQ1322,0)))&gt;0)*(((職員マスタ!$H$6:$H$405="")+(職員マスタ!$H$6:$H$405&gt;=$AQ1322))&gt;0)*(ROW(職員マスタ!$A$6:$A$405)-5))),IFERROR(MATCH($B1322,職員マスタ!$A$6:$A$405,0),"")))</f>
        <v/>
      </c>
      <c r="AQ1322" s="16">
        <f>IF(OR($B1322="",$C1322="",$D1322=""),"",DATE($C1322+2018,$D1322,1))</f>
        <v/>
      </c>
    </row>
    <row r="1323">
      <c r="A1323" s="11" t="n"/>
      <c r="B1323" s="12" t="n"/>
      <c r="C1323" s="12" t="n"/>
      <c r="D1323" s="12" t="n"/>
      <c r="E1323" s="13" t="n"/>
      <c r="F1323" s="12" t="n"/>
      <c r="G1323" s="13" t="n"/>
      <c r="H1323" s="12" t="n"/>
      <c r="I1323" s="12" t="n"/>
      <c r="J1323" s="12" t="n"/>
      <c r="K1323" s="12" t="n"/>
      <c r="L1323" s="11" t="n"/>
      <c r="M1323" s="11" t="n"/>
      <c r="N1323" s="11" t="n"/>
      <c r="O1323" s="11" t="n"/>
      <c r="P1323" s="12" t="n"/>
      <c r="Q1323" s="11" t="n"/>
      <c r="R1323" s="12" t="n"/>
      <c r="S1323" s="11" t="n"/>
      <c r="T1323" s="12" t="n"/>
      <c r="U1323" s="12" t="n"/>
      <c r="V1323" s="12" t="n"/>
      <c r="W1323" s="13" t="n"/>
      <c r="X1323" s="14">
        <f>IF($AP1323="",IF($B1323="","",$H1323),IF(INDEX(職員マスタ!$B$6:$B$405,$AP1323)="",$H1323,INDEX(職員マスタ!$B$6:$B$405,$AP1323)))</f>
        <v/>
      </c>
      <c r="Y1323" s="14">
        <f>IF($AP1323="",IF($B1323="","",$R1323),IF(INDEX(職員マスタ!$C$6:$C$405,$AP1323)="",$R1323,INDEX(職員マスタ!$C$6:$C$405,$AP1323)))</f>
        <v/>
      </c>
      <c r="Z1323" s="14">
        <f>IF($AQ1323="","","R"&amp;$C1323&amp;"."&amp;$D1323)</f>
        <v/>
      </c>
      <c r="AA1323" s="15">
        <f>IF(IF($AP1323="",FALSE,INDEX(職員マスタ!$K$6:$K$405,$AP1323)&lt;&gt;""),INDEX(職員マスタ!$K$6:$K$405,$AP1323),IF(N($W1323)&gt;0,$W1323,""))</f>
        <v/>
      </c>
      <c r="AB1323" s="14">
        <f>IF(OR($E1323="",$AA1323=""),"",IF($E1323&gt;=$AA1323,"×",IF($E1323&gt;=$AA1323*設定!$C$5,"△","○")))</f>
        <v/>
      </c>
      <c r="AC1323" s="15">
        <f>IF($AB1323="","",IF($AB1323="×",0,IF($AB1323="○",ROUNDDOWN($E1323*設定!$C$4,0),ROUNDDOWN($E1323*ROUND((9*$AA1323-9*$E1323)/(10*$E1323),4),0))))</f>
        <v/>
      </c>
      <c r="AD1323" s="13" t="n"/>
      <c r="AE1323" s="15">
        <f>IF($B1323="","",IF($AD1323&lt;&gt;"",$AD1323,IF($AC1323="","",IF($AC1323&lt;=設定!$C$3,0,$AC1323))))</f>
        <v/>
      </c>
      <c r="AF1323" s="14">
        <f>IF($B1323="","",IF(AND($AG1323&lt;&gt;"",$AI1323="",$AL1323=""),"保留中",IF($AL1323&lt;&gt;"",IF(N($AE1323)&gt;0,"支給済","不支給"),IF($AE1323="","要確認",IF($AE1323=0,"不支給","未処理")))))</f>
        <v/>
      </c>
      <c r="AG1323" s="12" t="n"/>
      <c r="AH1323" s="11" t="n"/>
      <c r="AI1323" s="11" t="n"/>
      <c r="AJ1323" s="11" t="n"/>
      <c r="AK1323" s="14">
        <f>IF(AND($AF1323="保留中",$AH1323&lt;&gt;""),TODAY()-$AH1323,"")</f>
        <v/>
      </c>
      <c r="AL1323" s="12" t="n"/>
      <c r="AM1323" s="14">
        <f>IF($B1323="","",IF($AQ1323="","対象年月が未入力／","")&amp;IF($B1323="","",IF($AP1323="","職員マスタに未登録の職員番号／",IF($AA1323="","標準報酬月額が未登録／","")&amp;IF(AND($AQ1323&lt;&gt;"",OR(AND(INDEX(職員マスタ!$G$6:$G$405,$AP1323)&lt;&gt;"",INDEX(職員マスタ!$G$6:$G$405,$AP1323)&gt;EOMONTH($AQ1323,0)),AND(INDEX(職員マスタ!$H$6:$H$405,$AP1323)&lt;&gt;"",INDEX(職員マスタ!$H$6:$H$405,$AP1323)&lt;$AQ1323))),"対象月が時短期間外／","")&amp;IF(AND(INDEX(職員マスタ!$K$6:$K$405,$AP1323)&lt;&gt;"",N($W1323)&gt;0,INDEX(職員マスタ!$K$6:$K$405,$AP1323)&lt;&gt;$W1323),"標準報酬月額が申請書と相違（台帳"&amp;TEXT(INDEX(職員マスタ!$K$6:$K$405,$AP1323),"#,##0")&amp;"円／申請書"&amp;TEXT($W1323,"#,##0")&amp;"円）／","")&amp;IF(AND(INDEX(職員マスタ!$F$6:$F$405,$AP1323)&lt;&gt;"",$AQ1323&lt;&gt;"",INDEX(職員マスタ!$F$6:$F$405,$AP1323)&lt;$AQ1323),"対象月に子が2歳到達済／","")&amp;IF(AND($H1323&lt;&gt;"",INDEX(職員マスタ!$B$6:$B$405,$AP1323)&lt;&gt;"",SUBSTITUTE(SUBSTITUTE($H1323," ","")," ","")&lt;&gt;SUBSTITUTE(SUBSTITUTE(INDEX(職員マスタ!$B$6:$B$405,$AP1323)," ","")," ","")),"氏名がマスタと相違／","")&amp;IF(AND($Q1323&lt;&gt;"",INDEX(職員マスタ!$E$6:$E$405,$AP1323)&lt;&gt;"",$Q1323&lt;&gt;INDEX(職員マスタ!$E$6:$E$405,$AP1323)),"子の生年月日がマスタと相違／","")&amp;IF(AND($L1323&lt;&gt;"",INDEX(職員マスタ!$G$6:$G$405,$AP1323)&lt;&gt;"",$L1323&lt;&gt;INDEX(職員マスタ!$G$6:$G$405,$AP1323)),"時短開始日がマスタと相違／","")&amp;IF(AND($M1323&lt;&gt;"",INDEX(職員マスタ!$H$6:$H$405,$AP1323)&lt;&gt;"",$M1323&lt;&gt;INDEX(職員マスタ!$H$6:$H$405,$AP1323)),"時短終了日がマスタと相違／","")))&amp;IF(AND($B1323&lt;&gt;"",$E1323=""),"報酬額が未入力／","")&amp;IF(N($U1323)&gt;0,"申請書に入力エラーが残っています／","")&amp;IF(AND($B1323&lt;&gt;"",$AQ1323&lt;&gt;""),IF(COUNTIFS($B$6:$B$3005,$B1323,$C$6:$C$3005,$C1323,$D$6:$D$3005,$D1323)&gt;1,"同じ月の請求が重複しています／",""),"")&amp;IF(AND(N($E1323)&gt;0,$AB1323&lt;&gt;"",$AB1323&lt;&gt;"×",$AE1323=0,$AD1323=""),"計算額が下限以下のため不支給／",""))</f>
        <v/>
      </c>
      <c r="AN1323" s="12" t="n"/>
      <c r="AO1323" s="14">
        <f>IF($AF1323="保留中",COUNTIF($AF$6:$AF1323,"保留中"),"")</f>
        <v/>
      </c>
      <c r="AP1323" s="14">
        <f>IF($AQ1323="","",IF(SUMPRODUCT(MAX((職員マスタ!$A$6:$A$405=$B1323)*(((職員マスタ!$G$6:$G$405="")+(職員マスタ!$G$6:$G$405&lt;=EOMONTH($AQ1323,0)))&gt;0)*(((職員マスタ!$H$6:$H$405="")+(職員マスタ!$H$6:$H$405&gt;=$AQ1323))&gt;0)*(ROW(職員マスタ!$A$6:$A$405)-5)))&gt;0,SUMPRODUCT(MAX((職員マスタ!$A$6:$A$405=$B1323)*(((職員マスタ!$G$6:$G$405="")+(職員マスタ!$G$6:$G$405&lt;=EOMONTH($AQ1323,0)))&gt;0)*(((職員マスタ!$H$6:$H$405="")+(職員マスタ!$H$6:$H$405&gt;=$AQ1323))&gt;0)*(ROW(職員マスタ!$A$6:$A$405)-5))),IFERROR(MATCH($B1323,職員マスタ!$A$6:$A$405,0),"")))</f>
        <v/>
      </c>
      <c r="AQ1323" s="16">
        <f>IF(OR($B1323="",$C1323="",$D1323=""),"",DATE($C1323+2018,$D1323,1))</f>
        <v/>
      </c>
    </row>
    <row r="1324">
      <c r="A1324" s="11" t="n"/>
      <c r="B1324" s="12" t="n"/>
      <c r="C1324" s="12" t="n"/>
      <c r="D1324" s="12" t="n"/>
      <c r="E1324" s="13" t="n"/>
      <c r="F1324" s="12" t="n"/>
      <c r="G1324" s="13" t="n"/>
      <c r="H1324" s="12" t="n"/>
      <c r="I1324" s="12" t="n"/>
      <c r="J1324" s="12" t="n"/>
      <c r="K1324" s="12" t="n"/>
      <c r="L1324" s="11" t="n"/>
      <c r="M1324" s="11" t="n"/>
      <c r="N1324" s="11" t="n"/>
      <c r="O1324" s="11" t="n"/>
      <c r="P1324" s="12" t="n"/>
      <c r="Q1324" s="11" t="n"/>
      <c r="R1324" s="12" t="n"/>
      <c r="S1324" s="11" t="n"/>
      <c r="T1324" s="12" t="n"/>
      <c r="U1324" s="12" t="n"/>
      <c r="V1324" s="12" t="n"/>
      <c r="W1324" s="13" t="n"/>
      <c r="X1324" s="14">
        <f>IF($AP1324="",IF($B1324="","",$H1324),IF(INDEX(職員マスタ!$B$6:$B$405,$AP1324)="",$H1324,INDEX(職員マスタ!$B$6:$B$405,$AP1324)))</f>
        <v/>
      </c>
      <c r="Y1324" s="14">
        <f>IF($AP1324="",IF($B1324="","",$R1324),IF(INDEX(職員マスタ!$C$6:$C$405,$AP1324)="",$R1324,INDEX(職員マスタ!$C$6:$C$405,$AP1324)))</f>
        <v/>
      </c>
      <c r="Z1324" s="14">
        <f>IF($AQ1324="","","R"&amp;$C1324&amp;"."&amp;$D1324)</f>
        <v/>
      </c>
      <c r="AA1324" s="15">
        <f>IF(IF($AP1324="",FALSE,INDEX(職員マスタ!$K$6:$K$405,$AP1324)&lt;&gt;""),INDEX(職員マスタ!$K$6:$K$405,$AP1324),IF(N($W1324)&gt;0,$W1324,""))</f>
        <v/>
      </c>
      <c r="AB1324" s="14">
        <f>IF(OR($E1324="",$AA1324=""),"",IF($E1324&gt;=$AA1324,"×",IF($E1324&gt;=$AA1324*設定!$C$5,"△","○")))</f>
        <v/>
      </c>
      <c r="AC1324" s="15">
        <f>IF($AB1324="","",IF($AB1324="×",0,IF($AB1324="○",ROUNDDOWN($E1324*設定!$C$4,0),ROUNDDOWN($E1324*ROUND((9*$AA1324-9*$E1324)/(10*$E1324),4),0))))</f>
        <v/>
      </c>
      <c r="AD1324" s="13" t="n"/>
      <c r="AE1324" s="15">
        <f>IF($B1324="","",IF($AD1324&lt;&gt;"",$AD1324,IF($AC1324="","",IF($AC1324&lt;=設定!$C$3,0,$AC1324))))</f>
        <v/>
      </c>
      <c r="AF1324" s="14">
        <f>IF($B1324="","",IF(AND($AG1324&lt;&gt;"",$AI1324="",$AL1324=""),"保留中",IF($AL1324&lt;&gt;"",IF(N($AE1324)&gt;0,"支給済","不支給"),IF($AE1324="","要確認",IF($AE1324=0,"不支給","未処理")))))</f>
        <v/>
      </c>
      <c r="AG1324" s="12" t="n"/>
      <c r="AH1324" s="11" t="n"/>
      <c r="AI1324" s="11" t="n"/>
      <c r="AJ1324" s="11" t="n"/>
      <c r="AK1324" s="14">
        <f>IF(AND($AF1324="保留中",$AH1324&lt;&gt;""),TODAY()-$AH1324,"")</f>
        <v/>
      </c>
      <c r="AL1324" s="12" t="n"/>
      <c r="AM1324" s="14">
        <f>IF($B1324="","",IF($AQ1324="","対象年月が未入力／","")&amp;IF($B1324="","",IF($AP1324="","職員マスタに未登録の職員番号／",IF($AA1324="","標準報酬月額が未登録／","")&amp;IF(AND($AQ1324&lt;&gt;"",OR(AND(INDEX(職員マスタ!$G$6:$G$405,$AP1324)&lt;&gt;"",INDEX(職員マスタ!$G$6:$G$405,$AP1324)&gt;EOMONTH($AQ1324,0)),AND(INDEX(職員マスタ!$H$6:$H$405,$AP1324)&lt;&gt;"",INDEX(職員マスタ!$H$6:$H$405,$AP1324)&lt;$AQ1324))),"対象月が時短期間外／","")&amp;IF(AND(INDEX(職員マスタ!$K$6:$K$405,$AP1324)&lt;&gt;"",N($W1324)&gt;0,INDEX(職員マスタ!$K$6:$K$405,$AP1324)&lt;&gt;$W1324),"標準報酬月額が申請書と相違（台帳"&amp;TEXT(INDEX(職員マスタ!$K$6:$K$405,$AP1324),"#,##0")&amp;"円／申請書"&amp;TEXT($W1324,"#,##0")&amp;"円）／","")&amp;IF(AND(INDEX(職員マスタ!$F$6:$F$405,$AP1324)&lt;&gt;"",$AQ1324&lt;&gt;"",INDEX(職員マスタ!$F$6:$F$405,$AP1324)&lt;$AQ1324),"対象月に子が2歳到達済／","")&amp;IF(AND($H1324&lt;&gt;"",INDEX(職員マスタ!$B$6:$B$405,$AP1324)&lt;&gt;"",SUBSTITUTE(SUBSTITUTE($H1324," ","")," ","")&lt;&gt;SUBSTITUTE(SUBSTITUTE(INDEX(職員マスタ!$B$6:$B$405,$AP1324)," ","")," ","")),"氏名がマスタと相違／","")&amp;IF(AND($Q1324&lt;&gt;"",INDEX(職員マスタ!$E$6:$E$405,$AP1324)&lt;&gt;"",$Q1324&lt;&gt;INDEX(職員マスタ!$E$6:$E$405,$AP1324)),"子の生年月日がマスタと相違／","")&amp;IF(AND($L1324&lt;&gt;"",INDEX(職員マスタ!$G$6:$G$405,$AP1324)&lt;&gt;"",$L1324&lt;&gt;INDEX(職員マスタ!$G$6:$G$405,$AP1324)),"時短開始日がマスタと相違／","")&amp;IF(AND($M1324&lt;&gt;"",INDEX(職員マスタ!$H$6:$H$405,$AP1324)&lt;&gt;"",$M1324&lt;&gt;INDEX(職員マスタ!$H$6:$H$405,$AP1324)),"時短終了日がマスタと相違／","")))&amp;IF(AND($B1324&lt;&gt;"",$E1324=""),"報酬額が未入力／","")&amp;IF(N($U1324)&gt;0,"申請書に入力エラーが残っています／","")&amp;IF(AND($B1324&lt;&gt;"",$AQ1324&lt;&gt;""),IF(COUNTIFS($B$6:$B$3005,$B1324,$C$6:$C$3005,$C1324,$D$6:$D$3005,$D1324)&gt;1,"同じ月の請求が重複しています／",""),"")&amp;IF(AND(N($E1324)&gt;0,$AB1324&lt;&gt;"",$AB1324&lt;&gt;"×",$AE1324=0,$AD1324=""),"計算額が下限以下のため不支給／",""))</f>
        <v/>
      </c>
      <c r="AN1324" s="12" t="n"/>
      <c r="AO1324" s="14">
        <f>IF($AF1324="保留中",COUNTIF($AF$6:$AF1324,"保留中"),"")</f>
        <v/>
      </c>
      <c r="AP1324" s="14">
        <f>IF($AQ1324="","",IF(SUMPRODUCT(MAX((職員マスタ!$A$6:$A$405=$B1324)*(((職員マスタ!$G$6:$G$405="")+(職員マスタ!$G$6:$G$405&lt;=EOMONTH($AQ1324,0)))&gt;0)*(((職員マスタ!$H$6:$H$405="")+(職員マスタ!$H$6:$H$405&gt;=$AQ1324))&gt;0)*(ROW(職員マスタ!$A$6:$A$405)-5)))&gt;0,SUMPRODUCT(MAX((職員マスタ!$A$6:$A$405=$B1324)*(((職員マスタ!$G$6:$G$405="")+(職員マスタ!$G$6:$G$405&lt;=EOMONTH($AQ1324,0)))&gt;0)*(((職員マスタ!$H$6:$H$405="")+(職員マスタ!$H$6:$H$405&gt;=$AQ1324))&gt;0)*(ROW(職員マスタ!$A$6:$A$405)-5))),IFERROR(MATCH($B1324,職員マスタ!$A$6:$A$405,0),"")))</f>
        <v/>
      </c>
      <c r="AQ1324" s="16">
        <f>IF(OR($B1324="",$C1324="",$D1324=""),"",DATE($C1324+2018,$D1324,1))</f>
        <v/>
      </c>
    </row>
    <row r="1325">
      <c r="A1325" s="11" t="n"/>
      <c r="B1325" s="12" t="n"/>
      <c r="C1325" s="12" t="n"/>
      <c r="D1325" s="12" t="n"/>
      <c r="E1325" s="13" t="n"/>
      <c r="F1325" s="12" t="n"/>
      <c r="G1325" s="13" t="n"/>
      <c r="H1325" s="12" t="n"/>
      <c r="I1325" s="12" t="n"/>
      <c r="J1325" s="12" t="n"/>
      <c r="K1325" s="12" t="n"/>
      <c r="L1325" s="11" t="n"/>
      <c r="M1325" s="11" t="n"/>
      <c r="N1325" s="11" t="n"/>
      <c r="O1325" s="11" t="n"/>
      <c r="P1325" s="12" t="n"/>
      <c r="Q1325" s="11" t="n"/>
      <c r="R1325" s="12" t="n"/>
      <c r="S1325" s="11" t="n"/>
      <c r="T1325" s="12" t="n"/>
      <c r="U1325" s="12" t="n"/>
      <c r="V1325" s="12" t="n"/>
      <c r="W1325" s="13" t="n"/>
      <c r="X1325" s="14">
        <f>IF($AP1325="",IF($B1325="","",$H1325),IF(INDEX(職員マスタ!$B$6:$B$405,$AP1325)="",$H1325,INDEX(職員マスタ!$B$6:$B$405,$AP1325)))</f>
        <v/>
      </c>
      <c r="Y1325" s="14">
        <f>IF($AP1325="",IF($B1325="","",$R1325),IF(INDEX(職員マスタ!$C$6:$C$405,$AP1325)="",$R1325,INDEX(職員マスタ!$C$6:$C$405,$AP1325)))</f>
        <v/>
      </c>
      <c r="Z1325" s="14">
        <f>IF($AQ1325="","","R"&amp;$C1325&amp;"."&amp;$D1325)</f>
        <v/>
      </c>
      <c r="AA1325" s="15">
        <f>IF(IF($AP1325="",FALSE,INDEX(職員マスタ!$K$6:$K$405,$AP1325)&lt;&gt;""),INDEX(職員マスタ!$K$6:$K$405,$AP1325),IF(N($W1325)&gt;0,$W1325,""))</f>
        <v/>
      </c>
      <c r="AB1325" s="14">
        <f>IF(OR($E1325="",$AA1325=""),"",IF($E1325&gt;=$AA1325,"×",IF($E1325&gt;=$AA1325*設定!$C$5,"△","○")))</f>
        <v/>
      </c>
      <c r="AC1325" s="15">
        <f>IF($AB1325="","",IF($AB1325="×",0,IF($AB1325="○",ROUNDDOWN($E1325*設定!$C$4,0),ROUNDDOWN($E1325*ROUND((9*$AA1325-9*$E1325)/(10*$E1325),4),0))))</f>
        <v/>
      </c>
      <c r="AD1325" s="13" t="n"/>
      <c r="AE1325" s="15">
        <f>IF($B1325="","",IF($AD1325&lt;&gt;"",$AD1325,IF($AC1325="","",IF($AC1325&lt;=設定!$C$3,0,$AC1325))))</f>
        <v/>
      </c>
      <c r="AF1325" s="14">
        <f>IF($B1325="","",IF(AND($AG1325&lt;&gt;"",$AI1325="",$AL1325=""),"保留中",IF($AL1325&lt;&gt;"",IF(N($AE1325)&gt;0,"支給済","不支給"),IF($AE1325="","要確認",IF($AE1325=0,"不支給","未処理")))))</f>
        <v/>
      </c>
      <c r="AG1325" s="12" t="n"/>
      <c r="AH1325" s="11" t="n"/>
      <c r="AI1325" s="11" t="n"/>
      <c r="AJ1325" s="11" t="n"/>
      <c r="AK1325" s="14">
        <f>IF(AND($AF1325="保留中",$AH1325&lt;&gt;""),TODAY()-$AH1325,"")</f>
        <v/>
      </c>
      <c r="AL1325" s="12" t="n"/>
      <c r="AM1325" s="14">
        <f>IF($B1325="","",IF($AQ1325="","対象年月が未入力／","")&amp;IF($B1325="","",IF($AP1325="","職員マスタに未登録の職員番号／",IF($AA1325="","標準報酬月額が未登録／","")&amp;IF(AND($AQ1325&lt;&gt;"",OR(AND(INDEX(職員マスタ!$G$6:$G$405,$AP1325)&lt;&gt;"",INDEX(職員マスタ!$G$6:$G$405,$AP1325)&gt;EOMONTH($AQ1325,0)),AND(INDEX(職員マスタ!$H$6:$H$405,$AP1325)&lt;&gt;"",INDEX(職員マスタ!$H$6:$H$405,$AP1325)&lt;$AQ1325))),"対象月が時短期間外／","")&amp;IF(AND(INDEX(職員マスタ!$K$6:$K$405,$AP1325)&lt;&gt;"",N($W1325)&gt;0,INDEX(職員マスタ!$K$6:$K$405,$AP1325)&lt;&gt;$W1325),"標準報酬月額が申請書と相違（台帳"&amp;TEXT(INDEX(職員マスタ!$K$6:$K$405,$AP1325),"#,##0")&amp;"円／申請書"&amp;TEXT($W1325,"#,##0")&amp;"円）／","")&amp;IF(AND(INDEX(職員マスタ!$F$6:$F$405,$AP1325)&lt;&gt;"",$AQ1325&lt;&gt;"",INDEX(職員マスタ!$F$6:$F$405,$AP1325)&lt;$AQ1325),"対象月に子が2歳到達済／","")&amp;IF(AND($H1325&lt;&gt;"",INDEX(職員マスタ!$B$6:$B$405,$AP1325)&lt;&gt;"",SUBSTITUTE(SUBSTITUTE($H1325," ","")," ","")&lt;&gt;SUBSTITUTE(SUBSTITUTE(INDEX(職員マスタ!$B$6:$B$405,$AP1325)," ","")," ","")),"氏名がマスタと相違／","")&amp;IF(AND($Q1325&lt;&gt;"",INDEX(職員マスタ!$E$6:$E$405,$AP1325)&lt;&gt;"",$Q1325&lt;&gt;INDEX(職員マスタ!$E$6:$E$405,$AP1325)),"子の生年月日がマスタと相違／","")&amp;IF(AND($L1325&lt;&gt;"",INDEX(職員マスタ!$G$6:$G$405,$AP1325)&lt;&gt;"",$L1325&lt;&gt;INDEX(職員マスタ!$G$6:$G$405,$AP1325)),"時短開始日がマスタと相違／","")&amp;IF(AND($M1325&lt;&gt;"",INDEX(職員マスタ!$H$6:$H$405,$AP1325)&lt;&gt;"",$M1325&lt;&gt;INDEX(職員マスタ!$H$6:$H$405,$AP1325)),"時短終了日がマスタと相違／","")))&amp;IF(AND($B1325&lt;&gt;"",$E1325=""),"報酬額が未入力／","")&amp;IF(N($U1325)&gt;0,"申請書に入力エラーが残っています／","")&amp;IF(AND($B1325&lt;&gt;"",$AQ1325&lt;&gt;""),IF(COUNTIFS($B$6:$B$3005,$B1325,$C$6:$C$3005,$C1325,$D$6:$D$3005,$D1325)&gt;1,"同じ月の請求が重複しています／",""),"")&amp;IF(AND(N($E1325)&gt;0,$AB1325&lt;&gt;"",$AB1325&lt;&gt;"×",$AE1325=0,$AD1325=""),"計算額が下限以下のため不支給／",""))</f>
        <v/>
      </c>
      <c r="AN1325" s="12" t="n"/>
      <c r="AO1325" s="14">
        <f>IF($AF1325="保留中",COUNTIF($AF$6:$AF1325,"保留中"),"")</f>
        <v/>
      </c>
      <c r="AP1325" s="14">
        <f>IF($AQ1325="","",IF(SUMPRODUCT(MAX((職員マスタ!$A$6:$A$405=$B1325)*(((職員マスタ!$G$6:$G$405="")+(職員マスタ!$G$6:$G$405&lt;=EOMONTH($AQ1325,0)))&gt;0)*(((職員マスタ!$H$6:$H$405="")+(職員マスタ!$H$6:$H$405&gt;=$AQ1325))&gt;0)*(ROW(職員マスタ!$A$6:$A$405)-5)))&gt;0,SUMPRODUCT(MAX((職員マスタ!$A$6:$A$405=$B1325)*(((職員マスタ!$G$6:$G$405="")+(職員マスタ!$G$6:$G$405&lt;=EOMONTH($AQ1325,0)))&gt;0)*(((職員マスタ!$H$6:$H$405="")+(職員マスタ!$H$6:$H$405&gt;=$AQ1325))&gt;0)*(ROW(職員マスタ!$A$6:$A$405)-5))),IFERROR(MATCH($B1325,職員マスタ!$A$6:$A$405,0),"")))</f>
        <v/>
      </c>
      <c r="AQ1325" s="16">
        <f>IF(OR($B1325="",$C1325="",$D1325=""),"",DATE($C1325+2018,$D1325,1))</f>
        <v/>
      </c>
    </row>
    <row r="1326">
      <c r="A1326" s="11" t="n"/>
      <c r="B1326" s="12" t="n"/>
      <c r="C1326" s="12" t="n"/>
      <c r="D1326" s="12" t="n"/>
      <c r="E1326" s="13" t="n"/>
      <c r="F1326" s="12" t="n"/>
      <c r="G1326" s="13" t="n"/>
      <c r="H1326" s="12" t="n"/>
      <c r="I1326" s="12" t="n"/>
      <c r="J1326" s="12" t="n"/>
      <c r="K1326" s="12" t="n"/>
      <c r="L1326" s="11" t="n"/>
      <c r="M1326" s="11" t="n"/>
      <c r="N1326" s="11" t="n"/>
      <c r="O1326" s="11" t="n"/>
      <c r="P1326" s="12" t="n"/>
      <c r="Q1326" s="11" t="n"/>
      <c r="R1326" s="12" t="n"/>
      <c r="S1326" s="11" t="n"/>
      <c r="T1326" s="12" t="n"/>
      <c r="U1326" s="12" t="n"/>
      <c r="V1326" s="12" t="n"/>
      <c r="W1326" s="13" t="n"/>
      <c r="X1326" s="14">
        <f>IF($AP1326="",IF($B1326="","",$H1326),IF(INDEX(職員マスタ!$B$6:$B$405,$AP1326)="",$H1326,INDEX(職員マスタ!$B$6:$B$405,$AP1326)))</f>
        <v/>
      </c>
      <c r="Y1326" s="14">
        <f>IF($AP1326="",IF($B1326="","",$R1326),IF(INDEX(職員マスタ!$C$6:$C$405,$AP1326)="",$R1326,INDEX(職員マスタ!$C$6:$C$405,$AP1326)))</f>
        <v/>
      </c>
      <c r="Z1326" s="14">
        <f>IF($AQ1326="","","R"&amp;$C1326&amp;"."&amp;$D1326)</f>
        <v/>
      </c>
      <c r="AA1326" s="15">
        <f>IF(IF($AP1326="",FALSE,INDEX(職員マスタ!$K$6:$K$405,$AP1326)&lt;&gt;""),INDEX(職員マスタ!$K$6:$K$405,$AP1326),IF(N($W1326)&gt;0,$W1326,""))</f>
        <v/>
      </c>
      <c r="AB1326" s="14">
        <f>IF(OR($E1326="",$AA1326=""),"",IF($E1326&gt;=$AA1326,"×",IF($E1326&gt;=$AA1326*設定!$C$5,"△","○")))</f>
        <v/>
      </c>
      <c r="AC1326" s="15">
        <f>IF($AB1326="","",IF($AB1326="×",0,IF($AB1326="○",ROUNDDOWN($E1326*設定!$C$4,0),ROUNDDOWN($E1326*ROUND((9*$AA1326-9*$E1326)/(10*$E1326),4),0))))</f>
        <v/>
      </c>
      <c r="AD1326" s="13" t="n"/>
      <c r="AE1326" s="15">
        <f>IF($B1326="","",IF($AD1326&lt;&gt;"",$AD1326,IF($AC1326="","",IF($AC1326&lt;=設定!$C$3,0,$AC1326))))</f>
        <v/>
      </c>
      <c r="AF1326" s="14">
        <f>IF($B1326="","",IF(AND($AG1326&lt;&gt;"",$AI1326="",$AL1326=""),"保留中",IF($AL1326&lt;&gt;"",IF(N($AE1326)&gt;0,"支給済","不支給"),IF($AE1326="","要確認",IF($AE1326=0,"不支給","未処理")))))</f>
        <v/>
      </c>
      <c r="AG1326" s="12" t="n"/>
      <c r="AH1326" s="11" t="n"/>
      <c r="AI1326" s="11" t="n"/>
      <c r="AJ1326" s="11" t="n"/>
      <c r="AK1326" s="14">
        <f>IF(AND($AF1326="保留中",$AH1326&lt;&gt;""),TODAY()-$AH1326,"")</f>
        <v/>
      </c>
      <c r="AL1326" s="12" t="n"/>
      <c r="AM1326" s="14">
        <f>IF($B1326="","",IF($AQ1326="","対象年月が未入力／","")&amp;IF($B1326="","",IF($AP1326="","職員マスタに未登録の職員番号／",IF($AA1326="","標準報酬月額が未登録／","")&amp;IF(AND($AQ1326&lt;&gt;"",OR(AND(INDEX(職員マスタ!$G$6:$G$405,$AP1326)&lt;&gt;"",INDEX(職員マスタ!$G$6:$G$405,$AP1326)&gt;EOMONTH($AQ1326,0)),AND(INDEX(職員マスタ!$H$6:$H$405,$AP1326)&lt;&gt;"",INDEX(職員マスタ!$H$6:$H$405,$AP1326)&lt;$AQ1326))),"対象月が時短期間外／","")&amp;IF(AND(INDEX(職員マスタ!$K$6:$K$405,$AP1326)&lt;&gt;"",N($W1326)&gt;0,INDEX(職員マスタ!$K$6:$K$405,$AP1326)&lt;&gt;$W1326),"標準報酬月額が申請書と相違（台帳"&amp;TEXT(INDEX(職員マスタ!$K$6:$K$405,$AP1326),"#,##0")&amp;"円／申請書"&amp;TEXT($W1326,"#,##0")&amp;"円）／","")&amp;IF(AND(INDEX(職員マスタ!$F$6:$F$405,$AP1326)&lt;&gt;"",$AQ1326&lt;&gt;"",INDEX(職員マスタ!$F$6:$F$405,$AP1326)&lt;$AQ1326),"対象月に子が2歳到達済／","")&amp;IF(AND($H1326&lt;&gt;"",INDEX(職員マスタ!$B$6:$B$405,$AP1326)&lt;&gt;"",SUBSTITUTE(SUBSTITUTE($H1326," ","")," ","")&lt;&gt;SUBSTITUTE(SUBSTITUTE(INDEX(職員マスタ!$B$6:$B$405,$AP1326)," ","")," ","")),"氏名がマスタと相違／","")&amp;IF(AND($Q1326&lt;&gt;"",INDEX(職員マスタ!$E$6:$E$405,$AP1326)&lt;&gt;"",$Q1326&lt;&gt;INDEX(職員マスタ!$E$6:$E$405,$AP1326)),"子の生年月日がマスタと相違／","")&amp;IF(AND($L1326&lt;&gt;"",INDEX(職員マスタ!$G$6:$G$405,$AP1326)&lt;&gt;"",$L1326&lt;&gt;INDEX(職員マスタ!$G$6:$G$405,$AP1326)),"時短開始日がマスタと相違／","")&amp;IF(AND($M1326&lt;&gt;"",INDEX(職員マスタ!$H$6:$H$405,$AP1326)&lt;&gt;"",$M1326&lt;&gt;INDEX(職員マスタ!$H$6:$H$405,$AP1326)),"時短終了日がマスタと相違／","")))&amp;IF(AND($B1326&lt;&gt;"",$E1326=""),"報酬額が未入力／","")&amp;IF(N($U1326)&gt;0,"申請書に入力エラーが残っています／","")&amp;IF(AND($B1326&lt;&gt;"",$AQ1326&lt;&gt;""),IF(COUNTIFS($B$6:$B$3005,$B1326,$C$6:$C$3005,$C1326,$D$6:$D$3005,$D1326)&gt;1,"同じ月の請求が重複しています／",""),"")&amp;IF(AND(N($E1326)&gt;0,$AB1326&lt;&gt;"",$AB1326&lt;&gt;"×",$AE1326=0,$AD1326=""),"計算額が下限以下のため不支給／",""))</f>
        <v/>
      </c>
      <c r="AN1326" s="12" t="n"/>
      <c r="AO1326" s="14">
        <f>IF($AF1326="保留中",COUNTIF($AF$6:$AF1326,"保留中"),"")</f>
        <v/>
      </c>
      <c r="AP1326" s="14">
        <f>IF($AQ1326="","",IF(SUMPRODUCT(MAX((職員マスタ!$A$6:$A$405=$B1326)*(((職員マスタ!$G$6:$G$405="")+(職員マスタ!$G$6:$G$405&lt;=EOMONTH($AQ1326,0)))&gt;0)*(((職員マスタ!$H$6:$H$405="")+(職員マスタ!$H$6:$H$405&gt;=$AQ1326))&gt;0)*(ROW(職員マスタ!$A$6:$A$405)-5)))&gt;0,SUMPRODUCT(MAX((職員マスタ!$A$6:$A$405=$B1326)*(((職員マスタ!$G$6:$G$405="")+(職員マスタ!$G$6:$G$405&lt;=EOMONTH($AQ1326,0)))&gt;0)*(((職員マスタ!$H$6:$H$405="")+(職員マスタ!$H$6:$H$405&gt;=$AQ1326))&gt;0)*(ROW(職員マスタ!$A$6:$A$405)-5))),IFERROR(MATCH($B1326,職員マスタ!$A$6:$A$405,0),"")))</f>
        <v/>
      </c>
      <c r="AQ1326" s="16">
        <f>IF(OR($B1326="",$C1326="",$D1326=""),"",DATE($C1326+2018,$D1326,1))</f>
        <v/>
      </c>
    </row>
    <row r="1327">
      <c r="A1327" s="11" t="n"/>
      <c r="B1327" s="12" t="n"/>
      <c r="C1327" s="12" t="n"/>
      <c r="D1327" s="12" t="n"/>
      <c r="E1327" s="13" t="n"/>
      <c r="F1327" s="12" t="n"/>
      <c r="G1327" s="13" t="n"/>
      <c r="H1327" s="12" t="n"/>
      <c r="I1327" s="12" t="n"/>
      <c r="J1327" s="12" t="n"/>
      <c r="K1327" s="12" t="n"/>
      <c r="L1327" s="11" t="n"/>
      <c r="M1327" s="11" t="n"/>
      <c r="N1327" s="11" t="n"/>
      <c r="O1327" s="11" t="n"/>
      <c r="P1327" s="12" t="n"/>
      <c r="Q1327" s="11" t="n"/>
      <c r="R1327" s="12" t="n"/>
      <c r="S1327" s="11" t="n"/>
      <c r="T1327" s="12" t="n"/>
      <c r="U1327" s="12" t="n"/>
      <c r="V1327" s="12" t="n"/>
      <c r="W1327" s="13" t="n"/>
      <c r="X1327" s="14">
        <f>IF($AP1327="",IF($B1327="","",$H1327),IF(INDEX(職員マスタ!$B$6:$B$405,$AP1327)="",$H1327,INDEX(職員マスタ!$B$6:$B$405,$AP1327)))</f>
        <v/>
      </c>
      <c r="Y1327" s="14">
        <f>IF($AP1327="",IF($B1327="","",$R1327),IF(INDEX(職員マスタ!$C$6:$C$405,$AP1327)="",$R1327,INDEX(職員マスタ!$C$6:$C$405,$AP1327)))</f>
        <v/>
      </c>
      <c r="Z1327" s="14">
        <f>IF($AQ1327="","","R"&amp;$C1327&amp;"."&amp;$D1327)</f>
        <v/>
      </c>
      <c r="AA1327" s="15">
        <f>IF(IF($AP1327="",FALSE,INDEX(職員マスタ!$K$6:$K$405,$AP1327)&lt;&gt;""),INDEX(職員マスタ!$K$6:$K$405,$AP1327),IF(N($W1327)&gt;0,$W1327,""))</f>
        <v/>
      </c>
      <c r="AB1327" s="14">
        <f>IF(OR($E1327="",$AA1327=""),"",IF($E1327&gt;=$AA1327,"×",IF($E1327&gt;=$AA1327*設定!$C$5,"△","○")))</f>
        <v/>
      </c>
      <c r="AC1327" s="15">
        <f>IF($AB1327="","",IF($AB1327="×",0,IF($AB1327="○",ROUNDDOWN($E1327*設定!$C$4,0),ROUNDDOWN($E1327*ROUND((9*$AA1327-9*$E1327)/(10*$E1327),4),0))))</f>
        <v/>
      </c>
      <c r="AD1327" s="13" t="n"/>
      <c r="AE1327" s="15">
        <f>IF($B1327="","",IF($AD1327&lt;&gt;"",$AD1327,IF($AC1327="","",IF($AC1327&lt;=設定!$C$3,0,$AC1327))))</f>
        <v/>
      </c>
      <c r="AF1327" s="14">
        <f>IF($B1327="","",IF(AND($AG1327&lt;&gt;"",$AI1327="",$AL1327=""),"保留中",IF($AL1327&lt;&gt;"",IF(N($AE1327)&gt;0,"支給済","不支給"),IF($AE1327="","要確認",IF($AE1327=0,"不支給","未処理")))))</f>
        <v/>
      </c>
      <c r="AG1327" s="12" t="n"/>
      <c r="AH1327" s="11" t="n"/>
      <c r="AI1327" s="11" t="n"/>
      <c r="AJ1327" s="11" t="n"/>
      <c r="AK1327" s="14">
        <f>IF(AND($AF1327="保留中",$AH1327&lt;&gt;""),TODAY()-$AH1327,"")</f>
        <v/>
      </c>
      <c r="AL1327" s="12" t="n"/>
      <c r="AM1327" s="14">
        <f>IF($B1327="","",IF($AQ1327="","対象年月が未入力／","")&amp;IF($B1327="","",IF($AP1327="","職員マスタに未登録の職員番号／",IF($AA1327="","標準報酬月額が未登録／","")&amp;IF(AND($AQ1327&lt;&gt;"",OR(AND(INDEX(職員マスタ!$G$6:$G$405,$AP1327)&lt;&gt;"",INDEX(職員マスタ!$G$6:$G$405,$AP1327)&gt;EOMONTH($AQ1327,0)),AND(INDEX(職員マスタ!$H$6:$H$405,$AP1327)&lt;&gt;"",INDEX(職員マスタ!$H$6:$H$405,$AP1327)&lt;$AQ1327))),"対象月が時短期間外／","")&amp;IF(AND(INDEX(職員マスタ!$K$6:$K$405,$AP1327)&lt;&gt;"",N($W1327)&gt;0,INDEX(職員マスタ!$K$6:$K$405,$AP1327)&lt;&gt;$W1327),"標準報酬月額が申請書と相違（台帳"&amp;TEXT(INDEX(職員マスタ!$K$6:$K$405,$AP1327),"#,##0")&amp;"円／申請書"&amp;TEXT($W1327,"#,##0")&amp;"円）／","")&amp;IF(AND(INDEX(職員マスタ!$F$6:$F$405,$AP1327)&lt;&gt;"",$AQ1327&lt;&gt;"",INDEX(職員マスタ!$F$6:$F$405,$AP1327)&lt;$AQ1327),"対象月に子が2歳到達済／","")&amp;IF(AND($H1327&lt;&gt;"",INDEX(職員マスタ!$B$6:$B$405,$AP1327)&lt;&gt;"",SUBSTITUTE(SUBSTITUTE($H1327," ","")," ","")&lt;&gt;SUBSTITUTE(SUBSTITUTE(INDEX(職員マスタ!$B$6:$B$405,$AP1327)," ","")," ","")),"氏名がマスタと相違／","")&amp;IF(AND($Q1327&lt;&gt;"",INDEX(職員マスタ!$E$6:$E$405,$AP1327)&lt;&gt;"",$Q1327&lt;&gt;INDEX(職員マスタ!$E$6:$E$405,$AP1327)),"子の生年月日がマスタと相違／","")&amp;IF(AND($L1327&lt;&gt;"",INDEX(職員マスタ!$G$6:$G$405,$AP1327)&lt;&gt;"",$L1327&lt;&gt;INDEX(職員マスタ!$G$6:$G$405,$AP1327)),"時短開始日がマスタと相違／","")&amp;IF(AND($M1327&lt;&gt;"",INDEX(職員マスタ!$H$6:$H$405,$AP1327)&lt;&gt;"",$M1327&lt;&gt;INDEX(職員マスタ!$H$6:$H$405,$AP1327)),"時短終了日がマスタと相違／","")))&amp;IF(AND($B1327&lt;&gt;"",$E1327=""),"報酬額が未入力／","")&amp;IF(N($U1327)&gt;0,"申請書に入力エラーが残っています／","")&amp;IF(AND($B1327&lt;&gt;"",$AQ1327&lt;&gt;""),IF(COUNTIFS($B$6:$B$3005,$B1327,$C$6:$C$3005,$C1327,$D$6:$D$3005,$D1327)&gt;1,"同じ月の請求が重複しています／",""),"")&amp;IF(AND(N($E1327)&gt;0,$AB1327&lt;&gt;"",$AB1327&lt;&gt;"×",$AE1327=0,$AD1327=""),"計算額が下限以下のため不支給／",""))</f>
        <v/>
      </c>
      <c r="AN1327" s="12" t="n"/>
      <c r="AO1327" s="14">
        <f>IF($AF1327="保留中",COUNTIF($AF$6:$AF1327,"保留中"),"")</f>
        <v/>
      </c>
      <c r="AP1327" s="14">
        <f>IF($AQ1327="","",IF(SUMPRODUCT(MAX((職員マスタ!$A$6:$A$405=$B1327)*(((職員マスタ!$G$6:$G$405="")+(職員マスタ!$G$6:$G$405&lt;=EOMONTH($AQ1327,0)))&gt;0)*(((職員マスタ!$H$6:$H$405="")+(職員マスタ!$H$6:$H$405&gt;=$AQ1327))&gt;0)*(ROW(職員マスタ!$A$6:$A$405)-5)))&gt;0,SUMPRODUCT(MAX((職員マスタ!$A$6:$A$405=$B1327)*(((職員マスタ!$G$6:$G$405="")+(職員マスタ!$G$6:$G$405&lt;=EOMONTH($AQ1327,0)))&gt;0)*(((職員マスタ!$H$6:$H$405="")+(職員マスタ!$H$6:$H$405&gt;=$AQ1327))&gt;0)*(ROW(職員マスタ!$A$6:$A$405)-5))),IFERROR(MATCH($B1327,職員マスタ!$A$6:$A$405,0),"")))</f>
        <v/>
      </c>
      <c r="AQ1327" s="16">
        <f>IF(OR($B1327="",$C1327="",$D1327=""),"",DATE($C1327+2018,$D1327,1))</f>
        <v/>
      </c>
    </row>
    <row r="1328">
      <c r="A1328" s="11" t="n"/>
      <c r="B1328" s="12" t="n"/>
      <c r="C1328" s="12" t="n"/>
      <c r="D1328" s="12" t="n"/>
      <c r="E1328" s="13" t="n"/>
      <c r="F1328" s="12" t="n"/>
      <c r="G1328" s="13" t="n"/>
      <c r="H1328" s="12" t="n"/>
      <c r="I1328" s="12" t="n"/>
      <c r="J1328" s="12" t="n"/>
      <c r="K1328" s="12" t="n"/>
      <c r="L1328" s="11" t="n"/>
      <c r="M1328" s="11" t="n"/>
      <c r="N1328" s="11" t="n"/>
      <c r="O1328" s="11" t="n"/>
      <c r="P1328" s="12" t="n"/>
      <c r="Q1328" s="11" t="n"/>
      <c r="R1328" s="12" t="n"/>
      <c r="S1328" s="11" t="n"/>
      <c r="T1328" s="12" t="n"/>
      <c r="U1328" s="12" t="n"/>
      <c r="V1328" s="12" t="n"/>
      <c r="W1328" s="13" t="n"/>
      <c r="X1328" s="14">
        <f>IF($AP1328="",IF($B1328="","",$H1328),IF(INDEX(職員マスタ!$B$6:$B$405,$AP1328)="",$H1328,INDEX(職員マスタ!$B$6:$B$405,$AP1328)))</f>
        <v/>
      </c>
      <c r="Y1328" s="14">
        <f>IF($AP1328="",IF($B1328="","",$R1328),IF(INDEX(職員マスタ!$C$6:$C$405,$AP1328)="",$R1328,INDEX(職員マスタ!$C$6:$C$405,$AP1328)))</f>
        <v/>
      </c>
      <c r="Z1328" s="14">
        <f>IF($AQ1328="","","R"&amp;$C1328&amp;"."&amp;$D1328)</f>
        <v/>
      </c>
      <c r="AA1328" s="15">
        <f>IF(IF($AP1328="",FALSE,INDEX(職員マスタ!$K$6:$K$405,$AP1328)&lt;&gt;""),INDEX(職員マスタ!$K$6:$K$405,$AP1328),IF(N($W1328)&gt;0,$W1328,""))</f>
        <v/>
      </c>
      <c r="AB1328" s="14">
        <f>IF(OR($E1328="",$AA1328=""),"",IF($E1328&gt;=$AA1328,"×",IF($E1328&gt;=$AA1328*設定!$C$5,"△","○")))</f>
        <v/>
      </c>
      <c r="AC1328" s="15">
        <f>IF($AB1328="","",IF($AB1328="×",0,IF($AB1328="○",ROUNDDOWN($E1328*設定!$C$4,0),ROUNDDOWN($E1328*ROUND((9*$AA1328-9*$E1328)/(10*$E1328),4),0))))</f>
        <v/>
      </c>
      <c r="AD1328" s="13" t="n"/>
      <c r="AE1328" s="15">
        <f>IF($B1328="","",IF($AD1328&lt;&gt;"",$AD1328,IF($AC1328="","",IF($AC1328&lt;=設定!$C$3,0,$AC1328))))</f>
        <v/>
      </c>
      <c r="AF1328" s="14">
        <f>IF($B1328="","",IF(AND($AG1328&lt;&gt;"",$AI1328="",$AL1328=""),"保留中",IF($AL1328&lt;&gt;"",IF(N($AE1328)&gt;0,"支給済","不支給"),IF($AE1328="","要確認",IF($AE1328=0,"不支給","未処理")))))</f>
        <v/>
      </c>
      <c r="AG1328" s="12" t="n"/>
      <c r="AH1328" s="11" t="n"/>
      <c r="AI1328" s="11" t="n"/>
      <c r="AJ1328" s="11" t="n"/>
      <c r="AK1328" s="14">
        <f>IF(AND($AF1328="保留中",$AH1328&lt;&gt;""),TODAY()-$AH1328,"")</f>
        <v/>
      </c>
      <c r="AL1328" s="12" t="n"/>
      <c r="AM1328" s="14">
        <f>IF($B1328="","",IF($AQ1328="","対象年月が未入力／","")&amp;IF($B1328="","",IF($AP1328="","職員マスタに未登録の職員番号／",IF($AA1328="","標準報酬月額が未登録／","")&amp;IF(AND($AQ1328&lt;&gt;"",OR(AND(INDEX(職員マスタ!$G$6:$G$405,$AP1328)&lt;&gt;"",INDEX(職員マスタ!$G$6:$G$405,$AP1328)&gt;EOMONTH($AQ1328,0)),AND(INDEX(職員マスタ!$H$6:$H$405,$AP1328)&lt;&gt;"",INDEX(職員マスタ!$H$6:$H$405,$AP1328)&lt;$AQ1328))),"対象月が時短期間外／","")&amp;IF(AND(INDEX(職員マスタ!$K$6:$K$405,$AP1328)&lt;&gt;"",N($W1328)&gt;0,INDEX(職員マスタ!$K$6:$K$405,$AP1328)&lt;&gt;$W1328),"標準報酬月額が申請書と相違（台帳"&amp;TEXT(INDEX(職員マスタ!$K$6:$K$405,$AP1328),"#,##0")&amp;"円／申請書"&amp;TEXT($W1328,"#,##0")&amp;"円）／","")&amp;IF(AND(INDEX(職員マスタ!$F$6:$F$405,$AP1328)&lt;&gt;"",$AQ1328&lt;&gt;"",INDEX(職員マスタ!$F$6:$F$405,$AP1328)&lt;$AQ1328),"対象月に子が2歳到達済／","")&amp;IF(AND($H1328&lt;&gt;"",INDEX(職員マスタ!$B$6:$B$405,$AP1328)&lt;&gt;"",SUBSTITUTE(SUBSTITUTE($H1328," ","")," ","")&lt;&gt;SUBSTITUTE(SUBSTITUTE(INDEX(職員マスタ!$B$6:$B$405,$AP1328)," ","")," ","")),"氏名がマスタと相違／","")&amp;IF(AND($Q1328&lt;&gt;"",INDEX(職員マスタ!$E$6:$E$405,$AP1328)&lt;&gt;"",$Q1328&lt;&gt;INDEX(職員マスタ!$E$6:$E$405,$AP1328)),"子の生年月日がマスタと相違／","")&amp;IF(AND($L1328&lt;&gt;"",INDEX(職員マスタ!$G$6:$G$405,$AP1328)&lt;&gt;"",$L1328&lt;&gt;INDEX(職員マスタ!$G$6:$G$405,$AP1328)),"時短開始日がマスタと相違／","")&amp;IF(AND($M1328&lt;&gt;"",INDEX(職員マスタ!$H$6:$H$405,$AP1328)&lt;&gt;"",$M1328&lt;&gt;INDEX(職員マスタ!$H$6:$H$405,$AP1328)),"時短終了日がマスタと相違／","")))&amp;IF(AND($B1328&lt;&gt;"",$E1328=""),"報酬額が未入力／","")&amp;IF(N($U1328)&gt;0,"申請書に入力エラーが残っています／","")&amp;IF(AND($B1328&lt;&gt;"",$AQ1328&lt;&gt;""),IF(COUNTIFS($B$6:$B$3005,$B1328,$C$6:$C$3005,$C1328,$D$6:$D$3005,$D1328)&gt;1,"同じ月の請求が重複しています／",""),"")&amp;IF(AND(N($E1328)&gt;0,$AB1328&lt;&gt;"",$AB1328&lt;&gt;"×",$AE1328=0,$AD1328=""),"計算額が下限以下のため不支給／",""))</f>
        <v/>
      </c>
      <c r="AN1328" s="12" t="n"/>
      <c r="AO1328" s="14">
        <f>IF($AF1328="保留中",COUNTIF($AF$6:$AF1328,"保留中"),"")</f>
        <v/>
      </c>
      <c r="AP1328" s="14">
        <f>IF($AQ1328="","",IF(SUMPRODUCT(MAX((職員マスタ!$A$6:$A$405=$B1328)*(((職員マスタ!$G$6:$G$405="")+(職員マスタ!$G$6:$G$405&lt;=EOMONTH($AQ1328,0)))&gt;0)*(((職員マスタ!$H$6:$H$405="")+(職員マスタ!$H$6:$H$405&gt;=$AQ1328))&gt;0)*(ROW(職員マスタ!$A$6:$A$405)-5)))&gt;0,SUMPRODUCT(MAX((職員マスタ!$A$6:$A$405=$B1328)*(((職員マスタ!$G$6:$G$405="")+(職員マスタ!$G$6:$G$405&lt;=EOMONTH($AQ1328,0)))&gt;0)*(((職員マスタ!$H$6:$H$405="")+(職員マスタ!$H$6:$H$405&gt;=$AQ1328))&gt;0)*(ROW(職員マスタ!$A$6:$A$405)-5))),IFERROR(MATCH($B1328,職員マスタ!$A$6:$A$405,0),"")))</f>
        <v/>
      </c>
      <c r="AQ1328" s="16">
        <f>IF(OR($B1328="",$C1328="",$D1328=""),"",DATE($C1328+2018,$D1328,1))</f>
        <v/>
      </c>
    </row>
    <row r="1329">
      <c r="A1329" s="11" t="n"/>
      <c r="B1329" s="12" t="n"/>
      <c r="C1329" s="12" t="n"/>
      <c r="D1329" s="12" t="n"/>
      <c r="E1329" s="13" t="n"/>
      <c r="F1329" s="12" t="n"/>
      <c r="G1329" s="13" t="n"/>
      <c r="H1329" s="12" t="n"/>
      <c r="I1329" s="12" t="n"/>
      <c r="J1329" s="12" t="n"/>
      <c r="K1329" s="12" t="n"/>
      <c r="L1329" s="11" t="n"/>
      <c r="M1329" s="11" t="n"/>
      <c r="N1329" s="11" t="n"/>
      <c r="O1329" s="11" t="n"/>
      <c r="P1329" s="12" t="n"/>
      <c r="Q1329" s="11" t="n"/>
      <c r="R1329" s="12" t="n"/>
      <c r="S1329" s="11" t="n"/>
      <c r="T1329" s="12" t="n"/>
      <c r="U1329" s="12" t="n"/>
      <c r="V1329" s="12" t="n"/>
      <c r="W1329" s="13" t="n"/>
      <c r="X1329" s="14">
        <f>IF($AP1329="",IF($B1329="","",$H1329),IF(INDEX(職員マスタ!$B$6:$B$405,$AP1329)="",$H1329,INDEX(職員マスタ!$B$6:$B$405,$AP1329)))</f>
        <v/>
      </c>
      <c r="Y1329" s="14">
        <f>IF($AP1329="",IF($B1329="","",$R1329),IF(INDEX(職員マスタ!$C$6:$C$405,$AP1329)="",$R1329,INDEX(職員マスタ!$C$6:$C$405,$AP1329)))</f>
        <v/>
      </c>
      <c r="Z1329" s="14">
        <f>IF($AQ1329="","","R"&amp;$C1329&amp;"."&amp;$D1329)</f>
        <v/>
      </c>
      <c r="AA1329" s="15">
        <f>IF(IF($AP1329="",FALSE,INDEX(職員マスタ!$K$6:$K$405,$AP1329)&lt;&gt;""),INDEX(職員マスタ!$K$6:$K$405,$AP1329),IF(N($W1329)&gt;0,$W1329,""))</f>
        <v/>
      </c>
      <c r="AB1329" s="14">
        <f>IF(OR($E1329="",$AA1329=""),"",IF($E1329&gt;=$AA1329,"×",IF($E1329&gt;=$AA1329*設定!$C$5,"△","○")))</f>
        <v/>
      </c>
      <c r="AC1329" s="15">
        <f>IF($AB1329="","",IF($AB1329="×",0,IF($AB1329="○",ROUNDDOWN($E1329*設定!$C$4,0),ROUNDDOWN($E1329*ROUND((9*$AA1329-9*$E1329)/(10*$E1329),4),0))))</f>
        <v/>
      </c>
      <c r="AD1329" s="13" t="n"/>
      <c r="AE1329" s="15">
        <f>IF($B1329="","",IF($AD1329&lt;&gt;"",$AD1329,IF($AC1329="","",IF($AC1329&lt;=設定!$C$3,0,$AC1329))))</f>
        <v/>
      </c>
      <c r="AF1329" s="14">
        <f>IF($B1329="","",IF(AND($AG1329&lt;&gt;"",$AI1329="",$AL1329=""),"保留中",IF($AL1329&lt;&gt;"",IF(N($AE1329)&gt;0,"支給済","不支給"),IF($AE1329="","要確認",IF($AE1329=0,"不支給","未処理")))))</f>
        <v/>
      </c>
      <c r="AG1329" s="12" t="n"/>
      <c r="AH1329" s="11" t="n"/>
      <c r="AI1329" s="11" t="n"/>
      <c r="AJ1329" s="11" t="n"/>
      <c r="AK1329" s="14">
        <f>IF(AND($AF1329="保留中",$AH1329&lt;&gt;""),TODAY()-$AH1329,"")</f>
        <v/>
      </c>
      <c r="AL1329" s="12" t="n"/>
      <c r="AM1329" s="14">
        <f>IF($B1329="","",IF($AQ1329="","対象年月が未入力／","")&amp;IF($B1329="","",IF($AP1329="","職員マスタに未登録の職員番号／",IF($AA1329="","標準報酬月額が未登録／","")&amp;IF(AND($AQ1329&lt;&gt;"",OR(AND(INDEX(職員マスタ!$G$6:$G$405,$AP1329)&lt;&gt;"",INDEX(職員マスタ!$G$6:$G$405,$AP1329)&gt;EOMONTH($AQ1329,0)),AND(INDEX(職員マスタ!$H$6:$H$405,$AP1329)&lt;&gt;"",INDEX(職員マスタ!$H$6:$H$405,$AP1329)&lt;$AQ1329))),"対象月が時短期間外／","")&amp;IF(AND(INDEX(職員マスタ!$K$6:$K$405,$AP1329)&lt;&gt;"",N($W1329)&gt;0,INDEX(職員マスタ!$K$6:$K$405,$AP1329)&lt;&gt;$W1329),"標準報酬月額が申請書と相違（台帳"&amp;TEXT(INDEX(職員マスタ!$K$6:$K$405,$AP1329),"#,##0")&amp;"円／申請書"&amp;TEXT($W1329,"#,##0")&amp;"円）／","")&amp;IF(AND(INDEX(職員マスタ!$F$6:$F$405,$AP1329)&lt;&gt;"",$AQ1329&lt;&gt;"",INDEX(職員マスタ!$F$6:$F$405,$AP1329)&lt;$AQ1329),"対象月に子が2歳到達済／","")&amp;IF(AND($H1329&lt;&gt;"",INDEX(職員マスタ!$B$6:$B$405,$AP1329)&lt;&gt;"",SUBSTITUTE(SUBSTITUTE($H1329," ","")," ","")&lt;&gt;SUBSTITUTE(SUBSTITUTE(INDEX(職員マスタ!$B$6:$B$405,$AP1329)," ","")," ","")),"氏名がマスタと相違／","")&amp;IF(AND($Q1329&lt;&gt;"",INDEX(職員マスタ!$E$6:$E$405,$AP1329)&lt;&gt;"",$Q1329&lt;&gt;INDEX(職員マスタ!$E$6:$E$405,$AP1329)),"子の生年月日がマスタと相違／","")&amp;IF(AND($L1329&lt;&gt;"",INDEX(職員マスタ!$G$6:$G$405,$AP1329)&lt;&gt;"",$L1329&lt;&gt;INDEX(職員マスタ!$G$6:$G$405,$AP1329)),"時短開始日がマスタと相違／","")&amp;IF(AND($M1329&lt;&gt;"",INDEX(職員マスタ!$H$6:$H$405,$AP1329)&lt;&gt;"",$M1329&lt;&gt;INDEX(職員マスタ!$H$6:$H$405,$AP1329)),"時短終了日がマスタと相違／","")))&amp;IF(AND($B1329&lt;&gt;"",$E1329=""),"報酬額が未入力／","")&amp;IF(N($U1329)&gt;0,"申請書に入力エラーが残っています／","")&amp;IF(AND($B1329&lt;&gt;"",$AQ1329&lt;&gt;""),IF(COUNTIFS($B$6:$B$3005,$B1329,$C$6:$C$3005,$C1329,$D$6:$D$3005,$D1329)&gt;1,"同じ月の請求が重複しています／",""),"")&amp;IF(AND(N($E1329)&gt;0,$AB1329&lt;&gt;"",$AB1329&lt;&gt;"×",$AE1329=0,$AD1329=""),"計算額が下限以下のため不支給／",""))</f>
        <v/>
      </c>
      <c r="AN1329" s="12" t="n"/>
      <c r="AO1329" s="14">
        <f>IF($AF1329="保留中",COUNTIF($AF$6:$AF1329,"保留中"),"")</f>
        <v/>
      </c>
      <c r="AP1329" s="14">
        <f>IF($AQ1329="","",IF(SUMPRODUCT(MAX((職員マスタ!$A$6:$A$405=$B1329)*(((職員マスタ!$G$6:$G$405="")+(職員マスタ!$G$6:$G$405&lt;=EOMONTH($AQ1329,0)))&gt;0)*(((職員マスタ!$H$6:$H$405="")+(職員マスタ!$H$6:$H$405&gt;=$AQ1329))&gt;0)*(ROW(職員マスタ!$A$6:$A$405)-5)))&gt;0,SUMPRODUCT(MAX((職員マスタ!$A$6:$A$405=$B1329)*(((職員マスタ!$G$6:$G$405="")+(職員マスタ!$G$6:$G$405&lt;=EOMONTH($AQ1329,0)))&gt;0)*(((職員マスタ!$H$6:$H$405="")+(職員マスタ!$H$6:$H$405&gt;=$AQ1329))&gt;0)*(ROW(職員マスタ!$A$6:$A$405)-5))),IFERROR(MATCH($B1329,職員マスタ!$A$6:$A$405,0),"")))</f>
        <v/>
      </c>
      <c r="AQ1329" s="16">
        <f>IF(OR($B1329="",$C1329="",$D1329=""),"",DATE($C1329+2018,$D1329,1))</f>
        <v/>
      </c>
    </row>
    <row r="1330">
      <c r="A1330" s="11" t="n"/>
      <c r="B1330" s="12" t="n"/>
      <c r="C1330" s="12" t="n"/>
      <c r="D1330" s="12" t="n"/>
      <c r="E1330" s="13" t="n"/>
      <c r="F1330" s="12" t="n"/>
      <c r="G1330" s="13" t="n"/>
      <c r="H1330" s="12" t="n"/>
      <c r="I1330" s="12" t="n"/>
      <c r="J1330" s="12" t="n"/>
      <c r="K1330" s="12" t="n"/>
      <c r="L1330" s="11" t="n"/>
      <c r="M1330" s="11" t="n"/>
      <c r="N1330" s="11" t="n"/>
      <c r="O1330" s="11" t="n"/>
      <c r="P1330" s="12" t="n"/>
      <c r="Q1330" s="11" t="n"/>
      <c r="R1330" s="12" t="n"/>
      <c r="S1330" s="11" t="n"/>
      <c r="T1330" s="12" t="n"/>
      <c r="U1330" s="12" t="n"/>
      <c r="V1330" s="12" t="n"/>
      <c r="W1330" s="13" t="n"/>
      <c r="X1330" s="14">
        <f>IF($AP1330="",IF($B1330="","",$H1330),IF(INDEX(職員マスタ!$B$6:$B$405,$AP1330)="",$H1330,INDEX(職員マスタ!$B$6:$B$405,$AP1330)))</f>
        <v/>
      </c>
      <c r="Y1330" s="14">
        <f>IF($AP1330="",IF($B1330="","",$R1330),IF(INDEX(職員マスタ!$C$6:$C$405,$AP1330)="",$R1330,INDEX(職員マスタ!$C$6:$C$405,$AP1330)))</f>
        <v/>
      </c>
      <c r="Z1330" s="14">
        <f>IF($AQ1330="","","R"&amp;$C1330&amp;"."&amp;$D1330)</f>
        <v/>
      </c>
      <c r="AA1330" s="15">
        <f>IF(IF($AP1330="",FALSE,INDEX(職員マスタ!$K$6:$K$405,$AP1330)&lt;&gt;""),INDEX(職員マスタ!$K$6:$K$405,$AP1330),IF(N($W1330)&gt;0,$W1330,""))</f>
        <v/>
      </c>
      <c r="AB1330" s="14">
        <f>IF(OR($E1330="",$AA1330=""),"",IF($E1330&gt;=$AA1330,"×",IF($E1330&gt;=$AA1330*設定!$C$5,"△","○")))</f>
        <v/>
      </c>
      <c r="AC1330" s="15">
        <f>IF($AB1330="","",IF($AB1330="×",0,IF($AB1330="○",ROUNDDOWN($E1330*設定!$C$4,0),ROUNDDOWN($E1330*ROUND((9*$AA1330-9*$E1330)/(10*$E1330),4),0))))</f>
        <v/>
      </c>
      <c r="AD1330" s="13" t="n"/>
      <c r="AE1330" s="15">
        <f>IF($B1330="","",IF($AD1330&lt;&gt;"",$AD1330,IF($AC1330="","",IF($AC1330&lt;=設定!$C$3,0,$AC1330))))</f>
        <v/>
      </c>
      <c r="AF1330" s="14">
        <f>IF($B1330="","",IF(AND($AG1330&lt;&gt;"",$AI1330="",$AL1330=""),"保留中",IF($AL1330&lt;&gt;"",IF(N($AE1330)&gt;0,"支給済","不支給"),IF($AE1330="","要確認",IF($AE1330=0,"不支給","未処理")))))</f>
        <v/>
      </c>
      <c r="AG1330" s="12" t="n"/>
      <c r="AH1330" s="11" t="n"/>
      <c r="AI1330" s="11" t="n"/>
      <c r="AJ1330" s="11" t="n"/>
      <c r="AK1330" s="14">
        <f>IF(AND($AF1330="保留中",$AH1330&lt;&gt;""),TODAY()-$AH1330,"")</f>
        <v/>
      </c>
      <c r="AL1330" s="12" t="n"/>
      <c r="AM1330" s="14">
        <f>IF($B1330="","",IF($AQ1330="","対象年月が未入力／","")&amp;IF($B1330="","",IF($AP1330="","職員マスタに未登録の職員番号／",IF($AA1330="","標準報酬月額が未登録／","")&amp;IF(AND($AQ1330&lt;&gt;"",OR(AND(INDEX(職員マスタ!$G$6:$G$405,$AP1330)&lt;&gt;"",INDEX(職員マスタ!$G$6:$G$405,$AP1330)&gt;EOMONTH($AQ1330,0)),AND(INDEX(職員マスタ!$H$6:$H$405,$AP1330)&lt;&gt;"",INDEX(職員マスタ!$H$6:$H$405,$AP1330)&lt;$AQ1330))),"対象月が時短期間外／","")&amp;IF(AND(INDEX(職員マスタ!$K$6:$K$405,$AP1330)&lt;&gt;"",N($W1330)&gt;0,INDEX(職員マスタ!$K$6:$K$405,$AP1330)&lt;&gt;$W1330),"標準報酬月額が申請書と相違（台帳"&amp;TEXT(INDEX(職員マスタ!$K$6:$K$405,$AP1330),"#,##0")&amp;"円／申請書"&amp;TEXT($W1330,"#,##0")&amp;"円）／","")&amp;IF(AND(INDEX(職員マスタ!$F$6:$F$405,$AP1330)&lt;&gt;"",$AQ1330&lt;&gt;"",INDEX(職員マスタ!$F$6:$F$405,$AP1330)&lt;$AQ1330),"対象月に子が2歳到達済／","")&amp;IF(AND($H1330&lt;&gt;"",INDEX(職員マスタ!$B$6:$B$405,$AP1330)&lt;&gt;"",SUBSTITUTE(SUBSTITUTE($H1330," ","")," ","")&lt;&gt;SUBSTITUTE(SUBSTITUTE(INDEX(職員マスタ!$B$6:$B$405,$AP1330)," ","")," ","")),"氏名がマスタと相違／","")&amp;IF(AND($Q1330&lt;&gt;"",INDEX(職員マスタ!$E$6:$E$405,$AP1330)&lt;&gt;"",$Q1330&lt;&gt;INDEX(職員マスタ!$E$6:$E$405,$AP1330)),"子の生年月日がマスタと相違／","")&amp;IF(AND($L1330&lt;&gt;"",INDEX(職員マスタ!$G$6:$G$405,$AP1330)&lt;&gt;"",$L1330&lt;&gt;INDEX(職員マスタ!$G$6:$G$405,$AP1330)),"時短開始日がマスタと相違／","")&amp;IF(AND($M1330&lt;&gt;"",INDEX(職員マスタ!$H$6:$H$405,$AP1330)&lt;&gt;"",$M1330&lt;&gt;INDEX(職員マスタ!$H$6:$H$405,$AP1330)),"時短終了日がマスタと相違／","")))&amp;IF(AND($B1330&lt;&gt;"",$E1330=""),"報酬額が未入力／","")&amp;IF(N($U1330)&gt;0,"申請書に入力エラーが残っています／","")&amp;IF(AND($B1330&lt;&gt;"",$AQ1330&lt;&gt;""),IF(COUNTIFS($B$6:$B$3005,$B1330,$C$6:$C$3005,$C1330,$D$6:$D$3005,$D1330)&gt;1,"同じ月の請求が重複しています／",""),"")&amp;IF(AND(N($E1330)&gt;0,$AB1330&lt;&gt;"",$AB1330&lt;&gt;"×",$AE1330=0,$AD1330=""),"計算額が下限以下のため不支給／",""))</f>
        <v/>
      </c>
      <c r="AN1330" s="12" t="n"/>
      <c r="AO1330" s="14">
        <f>IF($AF1330="保留中",COUNTIF($AF$6:$AF1330,"保留中"),"")</f>
        <v/>
      </c>
      <c r="AP1330" s="14">
        <f>IF($AQ1330="","",IF(SUMPRODUCT(MAX((職員マスタ!$A$6:$A$405=$B1330)*(((職員マスタ!$G$6:$G$405="")+(職員マスタ!$G$6:$G$405&lt;=EOMONTH($AQ1330,0)))&gt;0)*(((職員マスタ!$H$6:$H$405="")+(職員マスタ!$H$6:$H$405&gt;=$AQ1330))&gt;0)*(ROW(職員マスタ!$A$6:$A$405)-5)))&gt;0,SUMPRODUCT(MAX((職員マスタ!$A$6:$A$405=$B1330)*(((職員マスタ!$G$6:$G$405="")+(職員マスタ!$G$6:$G$405&lt;=EOMONTH($AQ1330,0)))&gt;0)*(((職員マスタ!$H$6:$H$405="")+(職員マスタ!$H$6:$H$405&gt;=$AQ1330))&gt;0)*(ROW(職員マスタ!$A$6:$A$405)-5))),IFERROR(MATCH($B1330,職員マスタ!$A$6:$A$405,0),"")))</f>
        <v/>
      </c>
      <c r="AQ1330" s="16">
        <f>IF(OR($B1330="",$C1330="",$D1330=""),"",DATE($C1330+2018,$D1330,1))</f>
        <v/>
      </c>
    </row>
    <row r="1331">
      <c r="A1331" s="11" t="n"/>
      <c r="B1331" s="12" t="n"/>
      <c r="C1331" s="12" t="n"/>
      <c r="D1331" s="12" t="n"/>
      <c r="E1331" s="13" t="n"/>
      <c r="F1331" s="12" t="n"/>
      <c r="G1331" s="13" t="n"/>
      <c r="H1331" s="12" t="n"/>
      <c r="I1331" s="12" t="n"/>
      <c r="J1331" s="12" t="n"/>
      <c r="K1331" s="12" t="n"/>
      <c r="L1331" s="11" t="n"/>
      <c r="M1331" s="11" t="n"/>
      <c r="N1331" s="11" t="n"/>
      <c r="O1331" s="11" t="n"/>
      <c r="P1331" s="12" t="n"/>
      <c r="Q1331" s="11" t="n"/>
      <c r="R1331" s="12" t="n"/>
      <c r="S1331" s="11" t="n"/>
      <c r="T1331" s="12" t="n"/>
      <c r="U1331" s="12" t="n"/>
      <c r="V1331" s="12" t="n"/>
      <c r="W1331" s="13" t="n"/>
      <c r="X1331" s="14">
        <f>IF($AP1331="",IF($B1331="","",$H1331),IF(INDEX(職員マスタ!$B$6:$B$405,$AP1331)="",$H1331,INDEX(職員マスタ!$B$6:$B$405,$AP1331)))</f>
        <v/>
      </c>
      <c r="Y1331" s="14">
        <f>IF($AP1331="",IF($B1331="","",$R1331),IF(INDEX(職員マスタ!$C$6:$C$405,$AP1331)="",$R1331,INDEX(職員マスタ!$C$6:$C$405,$AP1331)))</f>
        <v/>
      </c>
      <c r="Z1331" s="14">
        <f>IF($AQ1331="","","R"&amp;$C1331&amp;"."&amp;$D1331)</f>
        <v/>
      </c>
      <c r="AA1331" s="15">
        <f>IF(IF($AP1331="",FALSE,INDEX(職員マスタ!$K$6:$K$405,$AP1331)&lt;&gt;""),INDEX(職員マスタ!$K$6:$K$405,$AP1331),IF(N($W1331)&gt;0,$W1331,""))</f>
        <v/>
      </c>
      <c r="AB1331" s="14">
        <f>IF(OR($E1331="",$AA1331=""),"",IF($E1331&gt;=$AA1331,"×",IF($E1331&gt;=$AA1331*設定!$C$5,"△","○")))</f>
        <v/>
      </c>
      <c r="AC1331" s="15">
        <f>IF($AB1331="","",IF($AB1331="×",0,IF($AB1331="○",ROUNDDOWN($E1331*設定!$C$4,0),ROUNDDOWN($E1331*ROUND((9*$AA1331-9*$E1331)/(10*$E1331),4),0))))</f>
        <v/>
      </c>
      <c r="AD1331" s="13" t="n"/>
      <c r="AE1331" s="15">
        <f>IF($B1331="","",IF($AD1331&lt;&gt;"",$AD1331,IF($AC1331="","",IF($AC1331&lt;=設定!$C$3,0,$AC1331))))</f>
        <v/>
      </c>
      <c r="AF1331" s="14">
        <f>IF($B1331="","",IF(AND($AG1331&lt;&gt;"",$AI1331="",$AL1331=""),"保留中",IF($AL1331&lt;&gt;"",IF(N($AE1331)&gt;0,"支給済","不支給"),IF($AE1331="","要確認",IF($AE1331=0,"不支給","未処理")))))</f>
        <v/>
      </c>
      <c r="AG1331" s="12" t="n"/>
      <c r="AH1331" s="11" t="n"/>
      <c r="AI1331" s="11" t="n"/>
      <c r="AJ1331" s="11" t="n"/>
      <c r="AK1331" s="14">
        <f>IF(AND($AF1331="保留中",$AH1331&lt;&gt;""),TODAY()-$AH1331,"")</f>
        <v/>
      </c>
      <c r="AL1331" s="12" t="n"/>
      <c r="AM1331" s="14">
        <f>IF($B1331="","",IF($AQ1331="","対象年月が未入力／","")&amp;IF($B1331="","",IF($AP1331="","職員マスタに未登録の職員番号／",IF($AA1331="","標準報酬月額が未登録／","")&amp;IF(AND($AQ1331&lt;&gt;"",OR(AND(INDEX(職員マスタ!$G$6:$G$405,$AP1331)&lt;&gt;"",INDEX(職員マスタ!$G$6:$G$405,$AP1331)&gt;EOMONTH($AQ1331,0)),AND(INDEX(職員マスタ!$H$6:$H$405,$AP1331)&lt;&gt;"",INDEX(職員マスタ!$H$6:$H$405,$AP1331)&lt;$AQ1331))),"対象月が時短期間外／","")&amp;IF(AND(INDEX(職員マスタ!$K$6:$K$405,$AP1331)&lt;&gt;"",N($W1331)&gt;0,INDEX(職員マスタ!$K$6:$K$405,$AP1331)&lt;&gt;$W1331),"標準報酬月額が申請書と相違（台帳"&amp;TEXT(INDEX(職員マスタ!$K$6:$K$405,$AP1331),"#,##0")&amp;"円／申請書"&amp;TEXT($W1331,"#,##0")&amp;"円）／","")&amp;IF(AND(INDEX(職員マスタ!$F$6:$F$405,$AP1331)&lt;&gt;"",$AQ1331&lt;&gt;"",INDEX(職員マスタ!$F$6:$F$405,$AP1331)&lt;$AQ1331),"対象月に子が2歳到達済／","")&amp;IF(AND($H1331&lt;&gt;"",INDEX(職員マスタ!$B$6:$B$405,$AP1331)&lt;&gt;"",SUBSTITUTE(SUBSTITUTE($H1331," ","")," ","")&lt;&gt;SUBSTITUTE(SUBSTITUTE(INDEX(職員マスタ!$B$6:$B$405,$AP1331)," ","")," ","")),"氏名がマスタと相違／","")&amp;IF(AND($Q1331&lt;&gt;"",INDEX(職員マスタ!$E$6:$E$405,$AP1331)&lt;&gt;"",$Q1331&lt;&gt;INDEX(職員マスタ!$E$6:$E$405,$AP1331)),"子の生年月日がマスタと相違／","")&amp;IF(AND($L1331&lt;&gt;"",INDEX(職員マスタ!$G$6:$G$405,$AP1331)&lt;&gt;"",$L1331&lt;&gt;INDEX(職員マスタ!$G$6:$G$405,$AP1331)),"時短開始日がマスタと相違／","")&amp;IF(AND($M1331&lt;&gt;"",INDEX(職員マスタ!$H$6:$H$405,$AP1331)&lt;&gt;"",$M1331&lt;&gt;INDEX(職員マスタ!$H$6:$H$405,$AP1331)),"時短終了日がマスタと相違／","")))&amp;IF(AND($B1331&lt;&gt;"",$E1331=""),"報酬額が未入力／","")&amp;IF(N($U1331)&gt;0,"申請書に入力エラーが残っています／","")&amp;IF(AND($B1331&lt;&gt;"",$AQ1331&lt;&gt;""),IF(COUNTIFS($B$6:$B$3005,$B1331,$C$6:$C$3005,$C1331,$D$6:$D$3005,$D1331)&gt;1,"同じ月の請求が重複しています／",""),"")&amp;IF(AND(N($E1331)&gt;0,$AB1331&lt;&gt;"",$AB1331&lt;&gt;"×",$AE1331=0,$AD1331=""),"計算額が下限以下のため不支給／",""))</f>
        <v/>
      </c>
      <c r="AN1331" s="12" t="n"/>
      <c r="AO1331" s="14">
        <f>IF($AF1331="保留中",COUNTIF($AF$6:$AF1331,"保留中"),"")</f>
        <v/>
      </c>
      <c r="AP1331" s="14">
        <f>IF($AQ1331="","",IF(SUMPRODUCT(MAX((職員マスタ!$A$6:$A$405=$B1331)*(((職員マスタ!$G$6:$G$405="")+(職員マスタ!$G$6:$G$405&lt;=EOMONTH($AQ1331,0)))&gt;0)*(((職員マスタ!$H$6:$H$405="")+(職員マスタ!$H$6:$H$405&gt;=$AQ1331))&gt;0)*(ROW(職員マスタ!$A$6:$A$405)-5)))&gt;0,SUMPRODUCT(MAX((職員マスタ!$A$6:$A$405=$B1331)*(((職員マスタ!$G$6:$G$405="")+(職員マスタ!$G$6:$G$405&lt;=EOMONTH($AQ1331,0)))&gt;0)*(((職員マスタ!$H$6:$H$405="")+(職員マスタ!$H$6:$H$405&gt;=$AQ1331))&gt;0)*(ROW(職員マスタ!$A$6:$A$405)-5))),IFERROR(MATCH($B1331,職員マスタ!$A$6:$A$405,0),"")))</f>
        <v/>
      </c>
      <c r="AQ1331" s="16">
        <f>IF(OR($B1331="",$C1331="",$D1331=""),"",DATE($C1331+2018,$D1331,1))</f>
        <v/>
      </c>
    </row>
    <row r="1332">
      <c r="A1332" s="11" t="n"/>
      <c r="B1332" s="12" t="n"/>
      <c r="C1332" s="12" t="n"/>
      <c r="D1332" s="12" t="n"/>
      <c r="E1332" s="13" t="n"/>
      <c r="F1332" s="12" t="n"/>
      <c r="G1332" s="13" t="n"/>
      <c r="H1332" s="12" t="n"/>
      <c r="I1332" s="12" t="n"/>
      <c r="J1332" s="12" t="n"/>
      <c r="K1332" s="12" t="n"/>
      <c r="L1332" s="11" t="n"/>
      <c r="M1332" s="11" t="n"/>
      <c r="N1332" s="11" t="n"/>
      <c r="O1332" s="11" t="n"/>
      <c r="P1332" s="12" t="n"/>
      <c r="Q1332" s="11" t="n"/>
      <c r="R1332" s="12" t="n"/>
      <c r="S1332" s="11" t="n"/>
      <c r="T1332" s="12" t="n"/>
      <c r="U1332" s="12" t="n"/>
      <c r="V1332" s="12" t="n"/>
      <c r="W1332" s="13" t="n"/>
      <c r="X1332" s="14">
        <f>IF($AP1332="",IF($B1332="","",$H1332),IF(INDEX(職員マスタ!$B$6:$B$405,$AP1332)="",$H1332,INDEX(職員マスタ!$B$6:$B$405,$AP1332)))</f>
        <v/>
      </c>
      <c r="Y1332" s="14">
        <f>IF($AP1332="",IF($B1332="","",$R1332),IF(INDEX(職員マスタ!$C$6:$C$405,$AP1332)="",$R1332,INDEX(職員マスタ!$C$6:$C$405,$AP1332)))</f>
        <v/>
      </c>
      <c r="Z1332" s="14">
        <f>IF($AQ1332="","","R"&amp;$C1332&amp;"."&amp;$D1332)</f>
        <v/>
      </c>
      <c r="AA1332" s="15">
        <f>IF(IF($AP1332="",FALSE,INDEX(職員マスタ!$K$6:$K$405,$AP1332)&lt;&gt;""),INDEX(職員マスタ!$K$6:$K$405,$AP1332),IF(N($W1332)&gt;0,$W1332,""))</f>
        <v/>
      </c>
      <c r="AB1332" s="14">
        <f>IF(OR($E1332="",$AA1332=""),"",IF($E1332&gt;=$AA1332,"×",IF($E1332&gt;=$AA1332*設定!$C$5,"△","○")))</f>
        <v/>
      </c>
      <c r="AC1332" s="15">
        <f>IF($AB1332="","",IF($AB1332="×",0,IF($AB1332="○",ROUNDDOWN($E1332*設定!$C$4,0),ROUNDDOWN($E1332*ROUND((9*$AA1332-9*$E1332)/(10*$E1332),4),0))))</f>
        <v/>
      </c>
      <c r="AD1332" s="13" t="n"/>
      <c r="AE1332" s="15">
        <f>IF($B1332="","",IF($AD1332&lt;&gt;"",$AD1332,IF($AC1332="","",IF($AC1332&lt;=設定!$C$3,0,$AC1332))))</f>
        <v/>
      </c>
      <c r="AF1332" s="14">
        <f>IF($B1332="","",IF(AND($AG1332&lt;&gt;"",$AI1332="",$AL1332=""),"保留中",IF($AL1332&lt;&gt;"",IF(N($AE1332)&gt;0,"支給済","不支給"),IF($AE1332="","要確認",IF($AE1332=0,"不支給","未処理")))))</f>
        <v/>
      </c>
      <c r="AG1332" s="12" t="n"/>
      <c r="AH1332" s="11" t="n"/>
      <c r="AI1332" s="11" t="n"/>
      <c r="AJ1332" s="11" t="n"/>
      <c r="AK1332" s="14">
        <f>IF(AND($AF1332="保留中",$AH1332&lt;&gt;""),TODAY()-$AH1332,"")</f>
        <v/>
      </c>
      <c r="AL1332" s="12" t="n"/>
      <c r="AM1332" s="14">
        <f>IF($B1332="","",IF($AQ1332="","対象年月が未入力／","")&amp;IF($B1332="","",IF($AP1332="","職員マスタに未登録の職員番号／",IF($AA1332="","標準報酬月額が未登録／","")&amp;IF(AND($AQ1332&lt;&gt;"",OR(AND(INDEX(職員マスタ!$G$6:$G$405,$AP1332)&lt;&gt;"",INDEX(職員マスタ!$G$6:$G$405,$AP1332)&gt;EOMONTH($AQ1332,0)),AND(INDEX(職員マスタ!$H$6:$H$405,$AP1332)&lt;&gt;"",INDEX(職員マスタ!$H$6:$H$405,$AP1332)&lt;$AQ1332))),"対象月が時短期間外／","")&amp;IF(AND(INDEX(職員マスタ!$K$6:$K$405,$AP1332)&lt;&gt;"",N($W1332)&gt;0,INDEX(職員マスタ!$K$6:$K$405,$AP1332)&lt;&gt;$W1332),"標準報酬月額が申請書と相違（台帳"&amp;TEXT(INDEX(職員マスタ!$K$6:$K$405,$AP1332),"#,##0")&amp;"円／申請書"&amp;TEXT($W1332,"#,##0")&amp;"円）／","")&amp;IF(AND(INDEX(職員マスタ!$F$6:$F$405,$AP1332)&lt;&gt;"",$AQ1332&lt;&gt;"",INDEX(職員マスタ!$F$6:$F$405,$AP1332)&lt;$AQ1332),"対象月に子が2歳到達済／","")&amp;IF(AND($H1332&lt;&gt;"",INDEX(職員マスタ!$B$6:$B$405,$AP1332)&lt;&gt;"",SUBSTITUTE(SUBSTITUTE($H1332," ","")," ","")&lt;&gt;SUBSTITUTE(SUBSTITUTE(INDEX(職員マスタ!$B$6:$B$405,$AP1332)," ","")," ","")),"氏名がマスタと相違／","")&amp;IF(AND($Q1332&lt;&gt;"",INDEX(職員マスタ!$E$6:$E$405,$AP1332)&lt;&gt;"",$Q1332&lt;&gt;INDEX(職員マスタ!$E$6:$E$405,$AP1332)),"子の生年月日がマスタと相違／","")&amp;IF(AND($L1332&lt;&gt;"",INDEX(職員マスタ!$G$6:$G$405,$AP1332)&lt;&gt;"",$L1332&lt;&gt;INDEX(職員マスタ!$G$6:$G$405,$AP1332)),"時短開始日がマスタと相違／","")&amp;IF(AND($M1332&lt;&gt;"",INDEX(職員マスタ!$H$6:$H$405,$AP1332)&lt;&gt;"",$M1332&lt;&gt;INDEX(職員マスタ!$H$6:$H$405,$AP1332)),"時短終了日がマスタと相違／","")))&amp;IF(AND($B1332&lt;&gt;"",$E1332=""),"報酬額が未入力／","")&amp;IF(N($U1332)&gt;0,"申請書に入力エラーが残っています／","")&amp;IF(AND($B1332&lt;&gt;"",$AQ1332&lt;&gt;""),IF(COUNTIFS($B$6:$B$3005,$B1332,$C$6:$C$3005,$C1332,$D$6:$D$3005,$D1332)&gt;1,"同じ月の請求が重複しています／",""),"")&amp;IF(AND(N($E1332)&gt;0,$AB1332&lt;&gt;"",$AB1332&lt;&gt;"×",$AE1332=0,$AD1332=""),"計算額が下限以下のため不支給／",""))</f>
        <v/>
      </c>
      <c r="AN1332" s="12" t="n"/>
      <c r="AO1332" s="14">
        <f>IF($AF1332="保留中",COUNTIF($AF$6:$AF1332,"保留中"),"")</f>
        <v/>
      </c>
      <c r="AP1332" s="14">
        <f>IF($AQ1332="","",IF(SUMPRODUCT(MAX((職員マスタ!$A$6:$A$405=$B1332)*(((職員マスタ!$G$6:$G$405="")+(職員マスタ!$G$6:$G$405&lt;=EOMONTH($AQ1332,0)))&gt;0)*(((職員マスタ!$H$6:$H$405="")+(職員マスタ!$H$6:$H$405&gt;=$AQ1332))&gt;0)*(ROW(職員マスタ!$A$6:$A$405)-5)))&gt;0,SUMPRODUCT(MAX((職員マスタ!$A$6:$A$405=$B1332)*(((職員マスタ!$G$6:$G$405="")+(職員マスタ!$G$6:$G$405&lt;=EOMONTH($AQ1332,0)))&gt;0)*(((職員マスタ!$H$6:$H$405="")+(職員マスタ!$H$6:$H$405&gt;=$AQ1332))&gt;0)*(ROW(職員マスタ!$A$6:$A$405)-5))),IFERROR(MATCH($B1332,職員マスタ!$A$6:$A$405,0),"")))</f>
        <v/>
      </c>
      <c r="AQ1332" s="16">
        <f>IF(OR($B1332="",$C1332="",$D1332=""),"",DATE($C1332+2018,$D1332,1))</f>
        <v/>
      </c>
    </row>
    <row r="1333">
      <c r="A1333" s="11" t="n"/>
      <c r="B1333" s="12" t="n"/>
      <c r="C1333" s="12" t="n"/>
      <c r="D1333" s="12" t="n"/>
      <c r="E1333" s="13" t="n"/>
      <c r="F1333" s="12" t="n"/>
      <c r="G1333" s="13" t="n"/>
      <c r="H1333" s="12" t="n"/>
      <c r="I1333" s="12" t="n"/>
      <c r="J1333" s="12" t="n"/>
      <c r="K1333" s="12" t="n"/>
      <c r="L1333" s="11" t="n"/>
      <c r="M1333" s="11" t="n"/>
      <c r="N1333" s="11" t="n"/>
      <c r="O1333" s="11" t="n"/>
      <c r="P1333" s="12" t="n"/>
      <c r="Q1333" s="11" t="n"/>
      <c r="R1333" s="12" t="n"/>
      <c r="S1333" s="11" t="n"/>
      <c r="T1333" s="12" t="n"/>
      <c r="U1333" s="12" t="n"/>
      <c r="V1333" s="12" t="n"/>
      <c r="W1333" s="13" t="n"/>
      <c r="X1333" s="14">
        <f>IF($AP1333="",IF($B1333="","",$H1333),IF(INDEX(職員マスタ!$B$6:$B$405,$AP1333)="",$H1333,INDEX(職員マスタ!$B$6:$B$405,$AP1333)))</f>
        <v/>
      </c>
      <c r="Y1333" s="14">
        <f>IF($AP1333="",IF($B1333="","",$R1333),IF(INDEX(職員マスタ!$C$6:$C$405,$AP1333)="",$R1333,INDEX(職員マスタ!$C$6:$C$405,$AP1333)))</f>
        <v/>
      </c>
      <c r="Z1333" s="14">
        <f>IF($AQ1333="","","R"&amp;$C1333&amp;"."&amp;$D1333)</f>
        <v/>
      </c>
      <c r="AA1333" s="15">
        <f>IF(IF($AP1333="",FALSE,INDEX(職員マスタ!$K$6:$K$405,$AP1333)&lt;&gt;""),INDEX(職員マスタ!$K$6:$K$405,$AP1333),IF(N($W1333)&gt;0,$W1333,""))</f>
        <v/>
      </c>
      <c r="AB1333" s="14">
        <f>IF(OR($E1333="",$AA1333=""),"",IF($E1333&gt;=$AA1333,"×",IF($E1333&gt;=$AA1333*設定!$C$5,"△","○")))</f>
        <v/>
      </c>
      <c r="AC1333" s="15">
        <f>IF($AB1333="","",IF($AB1333="×",0,IF($AB1333="○",ROUNDDOWN($E1333*設定!$C$4,0),ROUNDDOWN($E1333*ROUND((9*$AA1333-9*$E1333)/(10*$E1333),4),0))))</f>
        <v/>
      </c>
      <c r="AD1333" s="13" t="n"/>
      <c r="AE1333" s="15">
        <f>IF($B1333="","",IF($AD1333&lt;&gt;"",$AD1333,IF($AC1333="","",IF($AC1333&lt;=設定!$C$3,0,$AC1333))))</f>
        <v/>
      </c>
      <c r="AF1333" s="14">
        <f>IF($B1333="","",IF(AND($AG1333&lt;&gt;"",$AI1333="",$AL1333=""),"保留中",IF($AL1333&lt;&gt;"",IF(N($AE1333)&gt;0,"支給済","不支給"),IF($AE1333="","要確認",IF($AE1333=0,"不支給","未処理")))))</f>
        <v/>
      </c>
      <c r="AG1333" s="12" t="n"/>
      <c r="AH1333" s="11" t="n"/>
      <c r="AI1333" s="11" t="n"/>
      <c r="AJ1333" s="11" t="n"/>
      <c r="AK1333" s="14">
        <f>IF(AND($AF1333="保留中",$AH1333&lt;&gt;""),TODAY()-$AH1333,"")</f>
        <v/>
      </c>
      <c r="AL1333" s="12" t="n"/>
      <c r="AM1333" s="14">
        <f>IF($B1333="","",IF($AQ1333="","対象年月が未入力／","")&amp;IF($B1333="","",IF($AP1333="","職員マスタに未登録の職員番号／",IF($AA1333="","標準報酬月額が未登録／","")&amp;IF(AND($AQ1333&lt;&gt;"",OR(AND(INDEX(職員マスタ!$G$6:$G$405,$AP1333)&lt;&gt;"",INDEX(職員マスタ!$G$6:$G$405,$AP1333)&gt;EOMONTH($AQ1333,0)),AND(INDEX(職員マスタ!$H$6:$H$405,$AP1333)&lt;&gt;"",INDEX(職員マスタ!$H$6:$H$405,$AP1333)&lt;$AQ1333))),"対象月が時短期間外／","")&amp;IF(AND(INDEX(職員マスタ!$K$6:$K$405,$AP1333)&lt;&gt;"",N($W1333)&gt;0,INDEX(職員マスタ!$K$6:$K$405,$AP1333)&lt;&gt;$W1333),"標準報酬月額が申請書と相違（台帳"&amp;TEXT(INDEX(職員マスタ!$K$6:$K$405,$AP1333),"#,##0")&amp;"円／申請書"&amp;TEXT($W1333,"#,##0")&amp;"円）／","")&amp;IF(AND(INDEX(職員マスタ!$F$6:$F$405,$AP1333)&lt;&gt;"",$AQ1333&lt;&gt;"",INDEX(職員マスタ!$F$6:$F$405,$AP1333)&lt;$AQ1333),"対象月に子が2歳到達済／","")&amp;IF(AND($H1333&lt;&gt;"",INDEX(職員マスタ!$B$6:$B$405,$AP1333)&lt;&gt;"",SUBSTITUTE(SUBSTITUTE($H1333," ","")," ","")&lt;&gt;SUBSTITUTE(SUBSTITUTE(INDEX(職員マスタ!$B$6:$B$405,$AP1333)," ","")," ","")),"氏名がマスタと相違／","")&amp;IF(AND($Q1333&lt;&gt;"",INDEX(職員マスタ!$E$6:$E$405,$AP1333)&lt;&gt;"",$Q1333&lt;&gt;INDEX(職員マスタ!$E$6:$E$405,$AP1333)),"子の生年月日がマスタと相違／","")&amp;IF(AND($L1333&lt;&gt;"",INDEX(職員マスタ!$G$6:$G$405,$AP1333)&lt;&gt;"",$L1333&lt;&gt;INDEX(職員マスタ!$G$6:$G$405,$AP1333)),"時短開始日がマスタと相違／","")&amp;IF(AND($M1333&lt;&gt;"",INDEX(職員マスタ!$H$6:$H$405,$AP1333)&lt;&gt;"",$M1333&lt;&gt;INDEX(職員マスタ!$H$6:$H$405,$AP1333)),"時短終了日がマスタと相違／","")))&amp;IF(AND($B1333&lt;&gt;"",$E1333=""),"報酬額が未入力／","")&amp;IF(N($U1333)&gt;0,"申請書に入力エラーが残っています／","")&amp;IF(AND($B1333&lt;&gt;"",$AQ1333&lt;&gt;""),IF(COUNTIFS($B$6:$B$3005,$B1333,$C$6:$C$3005,$C1333,$D$6:$D$3005,$D1333)&gt;1,"同じ月の請求が重複しています／",""),"")&amp;IF(AND(N($E1333)&gt;0,$AB1333&lt;&gt;"",$AB1333&lt;&gt;"×",$AE1333=0,$AD1333=""),"計算額が下限以下のため不支給／",""))</f>
        <v/>
      </c>
      <c r="AN1333" s="12" t="n"/>
      <c r="AO1333" s="14">
        <f>IF($AF1333="保留中",COUNTIF($AF$6:$AF1333,"保留中"),"")</f>
        <v/>
      </c>
      <c r="AP1333" s="14">
        <f>IF($AQ1333="","",IF(SUMPRODUCT(MAX((職員マスタ!$A$6:$A$405=$B1333)*(((職員マスタ!$G$6:$G$405="")+(職員マスタ!$G$6:$G$405&lt;=EOMONTH($AQ1333,0)))&gt;0)*(((職員マスタ!$H$6:$H$405="")+(職員マスタ!$H$6:$H$405&gt;=$AQ1333))&gt;0)*(ROW(職員マスタ!$A$6:$A$405)-5)))&gt;0,SUMPRODUCT(MAX((職員マスタ!$A$6:$A$405=$B1333)*(((職員マスタ!$G$6:$G$405="")+(職員マスタ!$G$6:$G$405&lt;=EOMONTH($AQ1333,0)))&gt;0)*(((職員マスタ!$H$6:$H$405="")+(職員マスタ!$H$6:$H$405&gt;=$AQ1333))&gt;0)*(ROW(職員マスタ!$A$6:$A$405)-5))),IFERROR(MATCH($B1333,職員マスタ!$A$6:$A$405,0),"")))</f>
        <v/>
      </c>
      <c r="AQ1333" s="16">
        <f>IF(OR($B1333="",$C1333="",$D1333=""),"",DATE($C1333+2018,$D1333,1))</f>
        <v/>
      </c>
    </row>
    <row r="1334">
      <c r="A1334" s="11" t="n"/>
      <c r="B1334" s="12" t="n"/>
      <c r="C1334" s="12" t="n"/>
      <c r="D1334" s="12" t="n"/>
      <c r="E1334" s="13" t="n"/>
      <c r="F1334" s="12" t="n"/>
      <c r="G1334" s="13" t="n"/>
      <c r="H1334" s="12" t="n"/>
      <c r="I1334" s="12" t="n"/>
      <c r="J1334" s="12" t="n"/>
      <c r="K1334" s="12" t="n"/>
      <c r="L1334" s="11" t="n"/>
      <c r="M1334" s="11" t="n"/>
      <c r="N1334" s="11" t="n"/>
      <c r="O1334" s="11" t="n"/>
      <c r="P1334" s="12" t="n"/>
      <c r="Q1334" s="11" t="n"/>
      <c r="R1334" s="12" t="n"/>
      <c r="S1334" s="11" t="n"/>
      <c r="T1334" s="12" t="n"/>
      <c r="U1334" s="12" t="n"/>
      <c r="V1334" s="12" t="n"/>
      <c r="W1334" s="13" t="n"/>
      <c r="X1334" s="14">
        <f>IF($AP1334="",IF($B1334="","",$H1334),IF(INDEX(職員マスタ!$B$6:$B$405,$AP1334)="",$H1334,INDEX(職員マスタ!$B$6:$B$405,$AP1334)))</f>
        <v/>
      </c>
      <c r="Y1334" s="14">
        <f>IF($AP1334="",IF($B1334="","",$R1334),IF(INDEX(職員マスタ!$C$6:$C$405,$AP1334)="",$R1334,INDEX(職員マスタ!$C$6:$C$405,$AP1334)))</f>
        <v/>
      </c>
      <c r="Z1334" s="14">
        <f>IF($AQ1334="","","R"&amp;$C1334&amp;"."&amp;$D1334)</f>
        <v/>
      </c>
      <c r="AA1334" s="15">
        <f>IF(IF($AP1334="",FALSE,INDEX(職員マスタ!$K$6:$K$405,$AP1334)&lt;&gt;""),INDEX(職員マスタ!$K$6:$K$405,$AP1334),IF(N($W1334)&gt;0,$W1334,""))</f>
        <v/>
      </c>
      <c r="AB1334" s="14">
        <f>IF(OR($E1334="",$AA1334=""),"",IF($E1334&gt;=$AA1334,"×",IF($E1334&gt;=$AA1334*設定!$C$5,"△","○")))</f>
        <v/>
      </c>
      <c r="AC1334" s="15">
        <f>IF($AB1334="","",IF($AB1334="×",0,IF($AB1334="○",ROUNDDOWN($E1334*設定!$C$4,0),ROUNDDOWN($E1334*ROUND((9*$AA1334-9*$E1334)/(10*$E1334),4),0))))</f>
        <v/>
      </c>
      <c r="AD1334" s="13" t="n"/>
      <c r="AE1334" s="15">
        <f>IF($B1334="","",IF($AD1334&lt;&gt;"",$AD1334,IF($AC1334="","",IF($AC1334&lt;=設定!$C$3,0,$AC1334))))</f>
        <v/>
      </c>
      <c r="AF1334" s="14">
        <f>IF($B1334="","",IF(AND($AG1334&lt;&gt;"",$AI1334="",$AL1334=""),"保留中",IF($AL1334&lt;&gt;"",IF(N($AE1334)&gt;0,"支給済","不支給"),IF($AE1334="","要確認",IF($AE1334=0,"不支給","未処理")))))</f>
        <v/>
      </c>
      <c r="AG1334" s="12" t="n"/>
      <c r="AH1334" s="11" t="n"/>
      <c r="AI1334" s="11" t="n"/>
      <c r="AJ1334" s="11" t="n"/>
      <c r="AK1334" s="14">
        <f>IF(AND($AF1334="保留中",$AH1334&lt;&gt;""),TODAY()-$AH1334,"")</f>
        <v/>
      </c>
      <c r="AL1334" s="12" t="n"/>
      <c r="AM1334" s="14">
        <f>IF($B1334="","",IF($AQ1334="","対象年月が未入力／","")&amp;IF($B1334="","",IF($AP1334="","職員マスタに未登録の職員番号／",IF($AA1334="","標準報酬月額が未登録／","")&amp;IF(AND($AQ1334&lt;&gt;"",OR(AND(INDEX(職員マスタ!$G$6:$G$405,$AP1334)&lt;&gt;"",INDEX(職員マスタ!$G$6:$G$405,$AP1334)&gt;EOMONTH($AQ1334,0)),AND(INDEX(職員マスタ!$H$6:$H$405,$AP1334)&lt;&gt;"",INDEX(職員マスタ!$H$6:$H$405,$AP1334)&lt;$AQ1334))),"対象月が時短期間外／","")&amp;IF(AND(INDEX(職員マスタ!$K$6:$K$405,$AP1334)&lt;&gt;"",N($W1334)&gt;0,INDEX(職員マスタ!$K$6:$K$405,$AP1334)&lt;&gt;$W1334),"標準報酬月額が申請書と相違（台帳"&amp;TEXT(INDEX(職員マスタ!$K$6:$K$405,$AP1334),"#,##0")&amp;"円／申請書"&amp;TEXT($W1334,"#,##0")&amp;"円）／","")&amp;IF(AND(INDEX(職員マスタ!$F$6:$F$405,$AP1334)&lt;&gt;"",$AQ1334&lt;&gt;"",INDEX(職員マスタ!$F$6:$F$405,$AP1334)&lt;$AQ1334),"対象月に子が2歳到達済／","")&amp;IF(AND($H1334&lt;&gt;"",INDEX(職員マスタ!$B$6:$B$405,$AP1334)&lt;&gt;"",SUBSTITUTE(SUBSTITUTE($H1334," ","")," ","")&lt;&gt;SUBSTITUTE(SUBSTITUTE(INDEX(職員マスタ!$B$6:$B$405,$AP1334)," ","")," ","")),"氏名がマスタと相違／","")&amp;IF(AND($Q1334&lt;&gt;"",INDEX(職員マスタ!$E$6:$E$405,$AP1334)&lt;&gt;"",$Q1334&lt;&gt;INDEX(職員マスタ!$E$6:$E$405,$AP1334)),"子の生年月日がマスタと相違／","")&amp;IF(AND($L1334&lt;&gt;"",INDEX(職員マスタ!$G$6:$G$405,$AP1334)&lt;&gt;"",$L1334&lt;&gt;INDEX(職員マスタ!$G$6:$G$405,$AP1334)),"時短開始日がマスタと相違／","")&amp;IF(AND($M1334&lt;&gt;"",INDEX(職員マスタ!$H$6:$H$405,$AP1334)&lt;&gt;"",$M1334&lt;&gt;INDEX(職員マスタ!$H$6:$H$405,$AP1334)),"時短終了日がマスタと相違／","")))&amp;IF(AND($B1334&lt;&gt;"",$E1334=""),"報酬額が未入力／","")&amp;IF(N($U1334)&gt;0,"申請書に入力エラーが残っています／","")&amp;IF(AND($B1334&lt;&gt;"",$AQ1334&lt;&gt;""),IF(COUNTIFS($B$6:$B$3005,$B1334,$C$6:$C$3005,$C1334,$D$6:$D$3005,$D1334)&gt;1,"同じ月の請求が重複しています／",""),"")&amp;IF(AND(N($E1334)&gt;0,$AB1334&lt;&gt;"",$AB1334&lt;&gt;"×",$AE1334=0,$AD1334=""),"計算額が下限以下のため不支給／",""))</f>
        <v/>
      </c>
      <c r="AN1334" s="12" t="n"/>
      <c r="AO1334" s="14">
        <f>IF($AF1334="保留中",COUNTIF($AF$6:$AF1334,"保留中"),"")</f>
        <v/>
      </c>
      <c r="AP1334" s="14">
        <f>IF($AQ1334="","",IF(SUMPRODUCT(MAX((職員マスタ!$A$6:$A$405=$B1334)*(((職員マスタ!$G$6:$G$405="")+(職員マスタ!$G$6:$G$405&lt;=EOMONTH($AQ1334,0)))&gt;0)*(((職員マスタ!$H$6:$H$405="")+(職員マスタ!$H$6:$H$405&gt;=$AQ1334))&gt;0)*(ROW(職員マスタ!$A$6:$A$405)-5)))&gt;0,SUMPRODUCT(MAX((職員マスタ!$A$6:$A$405=$B1334)*(((職員マスタ!$G$6:$G$405="")+(職員マスタ!$G$6:$G$405&lt;=EOMONTH($AQ1334,0)))&gt;0)*(((職員マスタ!$H$6:$H$405="")+(職員マスタ!$H$6:$H$405&gt;=$AQ1334))&gt;0)*(ROW(職員マスタ!$A$6:$A$405)-5))),IFERROR(MATCH($B1334,職員マスタ!$A$6:$A$405,0),"")))</f>
        <v/>
      </c>
      <c r="AQ1334" s="16">
        <f>IF(OR($B1334="",$C1334="",$D1334=""),"",DATE($C1334+2018,$D1334,1))</f>
        <v/>
      </c>
    </row>
    <row r="1335">
      <c r="A1335" s="11" t="n"/>
      <c r="B1335" s="12" t="n"/>
      <c r="C1335" s="12" t="n"/>
      <c r="D1335" s="12" t="n"/>
      <c r="E1335" s="13" t="n"/>
      <c r="F1335" s="12" t="n"/>
      <c r="G1335" s="13" t="n"/>
      <c r="H1335" s="12" t="n"/>
      <c r="I1335" s="12" t="n"/>
      <c r="J1335" s="12" t="n"/>
      <c r="K1335" s="12" t="n"/>
      <c r="L1335" s="11" t="n"/>
      <c r="M1335" s="11" t="n"/>
      <c r="N1335" s="11" t="n"/>
      <c r="O1335" s="11" t="n"/>
      <c r="P1335" s="12" t="n"/>
      <c r="Q1335" s="11" t="n"/>
      <c r="R1335" s="12" t="n"/>
      <c r="S1335" s="11" t="n"/>
      <c r="T1335" s="12" t="n"/>
      <c r="U1335" s="12" t="n"/>
      <c r="V1335" s="12" t="n"/>
      <c r="W1335" s="13" t="n"/>
      <c r="X1335" s="14">
        <f>IF($AP1335="",IF($B1335="","",$H1335),IF(INDEX(職員マスタ!$B$6:$B$405,$AP1335)="",$H1335,INDEX(職員マスタ!$B$6:$B$405,$AP1335)))</f>
        <v/>
      </c>
      <c r="Y1335" s="14">
        <f>IF($AP1335="",IF($B1335="","",$R1335),IF(INDEX(職員マスタ!$C$6:$C$405,$AP1335)="",$R1335,INDEX(職員マスタ!$C$6:$C$405,$AP1335)))</f>
        <v/>
      </c>
      <c r="Z1335" s="14">
        <f>IF($AQ1335="","","R"&amp;$C1335&amp;"."&amp;$D1335)</f>
        <v/>
      </c>
      <c r="AA1335" s="15">
        <f>IF(IF($AP1335="",FALSE,INDEX(職員マスタ!$K$6:$K$405,$AP1335)&lt;&gt;""),INDEX(職員マスタ!$K$6:$K$405,$AP1335),IF(N($W1335)&gt;0,$W1335,""))</f>
        <v/>
      </c>
      <c r="AB1335" s="14">
        <f>IF(OR($E1335="",$AA1335=""),"",IF($E1335&gt;=$AA1335,"×",IF($E1335&gt;=$AA1335*設定!$C$5,"△","○")))</f>
        <v/>
      </c>
      <c r="AC1335" s="15">
        <f>IF($AB1335="","",IF($AB1335="×",0,IF($AB1335="○",ROUNDDOWN($E1335*設定!$C$4,0),ROUNDDOWN($E1335*ROUND((9*$AA1335-9*$E1335)/(10*$E1335),4),0))))</f>
        <v/>
      </c>
      <c r="AD1335" s="13" t="n"/>
      <c r="AE1335" s="15">
        <f>IF($B1335="","",IF($AD1335&lt;&gt;"",$AD1335,IF($AC1335="","",IF($AC1335&lt;=設定!$C$3,0,$AC1335))))</f>
        <v/>
      </c>
      <c r="AF1335" s="14">
        <f>IF($B1335="","",IF(AND($AG1335&lt;&gt;"",$AI1335="",$AL1335=""),"保留中",IF($AL1335&lt;&gt;"",IF(N($AE1335)&gt;0,"支給済","不支給"),IF($AE1335="","要確認",IF($AE1335=0,"不支給","未処理")))))</f>
        <v/>
      </c>
      <c r="AG1335" s="12" t="n"/>
      <c r="AH1335" s="11" t="n"/>
      <c r="AI1335" s="11" t="n"/>
      <c r="AJ1335" s="11" t="n"/>
      <c r="AK1335" s="14">
        <f>IF(AND($AF1335="保留中",$AH1335&lt;&gt;""),TODAY()-$AH1335,"")</f>
        <v/>
      </c>
      <c r="AL1335" s="12" t="n"/>
      <c r="AM1335" s="14">
        <f>IF($B1335="","",IF($AQ1335="","対象年月が未入力／","")&amp;IF($B1335="","",IF($AP1335="","職員マスタに未登録の職員番号／",IF($AA1335="","標準報酬月額が未登録／","")&amp;IF(AND($AQ1335&lt;&gt;"",OR(AND(INDEX(職員マスタ!$G$6:$G$405,$AP1335)&lt;&gt;"",INDEX(職員マスタ!$G$6:$G$405,$AP1335)&gt;EOMONTH($AQ1335,0)),AND(INDEX(職員マスタ!$H$6:$H$405,$AP1335)&lt;&gt;"",INDEX(職員マスタ!$H$6:$H$405,$AP1335)&lt;$AQ1335))),"対象月が時短期間外／","")&amp;IF(AND(INDEX(職員マスタ!$K$6:$K$405,$AP1335)&lt;&gt;"",N($W1335)&gt;0,INDEX(職員マスタ!$K$6:$K$405,$AP1335)&lt;&gt;$W1335),"標準報酬月額が申請書と相違（台帳"&amp;TEXT(INDEX(職員マスタ!$K$6:$K$405,$AP1335),"#,##0")&amp;"円／申請書"&amp;TEXT($W1335,"#,##0")&amp;"円）／","")&amp;IF(AND(INDEX(職員マスタ!$F$6:$F$405,$AP1335)&lt;&gt;"",$AQ1335&lt;&gt;"",INDEX(職員マスタ!$F$6:$F$405,$AP1335)&lt;$AQ1335),"対象月に子が2歳到達済／","")&amp;IF(AND($H1335&lt;&gt;"",INDEX(職員マスタ!$B$6:$B$405,$AP1335)&lt;&gt;"",SUBSTITUTE(SUBSTITUTE($H1335," ","")," ","")&lt;&gt;SUBSTITUTE(SUBSTITUTE(INDEX(職員マスタ!$B$6:$B$405,$AP1335)," ","")," ","")),"氏名がマスタと相違／","")&amp;IF(AND($Q1335&lt;&gt;"",INDEX(職員マスタ!$E$6:$E$405,$AP1335)&lt;&gt;"",$Q1335&lt;&gt;INDEX(職員マスタ!$E$6:$E$405,$AP1335)),"子の生年月日がマスタと相違／","")&amp;IF(AND($L1335&lt;&gt;"",INDEX(職員マスタ!$G$6:$G$405,$AP1335)&lt;&gt;"",$L1335&lt;&gt;INDEX(職員マスタ!$G$6:$G$405,$AP1335)),"時短開始日がマスタと相違／","")&amp;IF(AND($M1335&lt;&gt;"",INDEX(職員マスタ!$H$6:$H$405,$AP1335)&lt;&gt;"",$M1335&lt;&gt;INDEX(職員マスタ!$H$6:$H$405,$AP1335)),"時短終了日がマスタと相違／","")))&amp;IF(AND($B1335&lt;&gt;"",$E1335=""),"報酬額が未入力／","")&amp;IF(N($U1335)&gt;0,"申請書に入力エラーが残っています／","")&amp;IF(AND($B1335&lt;&gt;"",$AQ1335&lt;&gt;""),IF(COUNTIFS($B$6:$B$3005,$B1335,$C$6:$C$3005,$C1335,$D$6:$D$3005,$D1335)&gt;1,"同じ月の請求が重複しています／",""),"")&amp;IF(AND(N($E1335)&gt;0,$AB1335&lt;&gt;"",$AB1335&lt;&gt;"×",$AE1335=0,$AD1335=""),"計算額が下限以下のため不支給／",""))</f>
        <v/>
      </c>
      <c r="AN1335" s="12" t="n"/>
      <c r="AO1335" s="14">
        <f>IF($AF1335="保留中",COUNTIF($AF$6:$AF1335,"保留中"),"")</f>
        <v/>
      </c>
      <c r="AP1335" s="14">
        <f>IF($AQ1335="","",IF(SUMPRODUCT(MAX((職員マスタ!$A$6:$A$405=$B1335)*(((職員マスタ!$G$6:$G$405="")+(職員マスタ!$G$6:$G$405&lt;=EOMONTH($AQ1335,0)))&gt;0)*(((職員マスタ!$H$6:$H$405="")+(職員マスタ!$H$6:$H$405&gt;=$AQ1335))&gt;0)*(ROW(職員マスタ!$A$6:$A$405)-5)))&gt;0,SUMPRODUCT(MAX((職員マスタ!$A$6:$A$405=$B1335)*(((職員マスタ!$G$6:$G$405="")+(職員マスタ!$G$6:$G$405&lt;=EOMONTH($AQ1335,0)))&gt;0)*(((職員マスタ!$H$6:$H$405="")+(職員マスタ!$H$6:$H$405&gt;=$AQ1335))&gt;0)*(ROW(職員マスタ!$A$6:$A$405)-5))),IFERROR(MATCH($B1335,職員マスタ!$A$6:$A$405,0),"")))</f>
        <v/>
      </c>
      <c r="AQ1335" s="16">
        <f>IF(OR($B1335="",$C1335="",$D1335=""),"",DATE($C1335+2018,$D1335,1))</f>
        <v/>
      </c>
    </row>
    <row r="1336">
      <c r="A1336" s="11" t="n"/>
      <c r="B1336" s="12" t="n"/>
      <c r="C1336" s="12" t="n"/>
      <c r="D1336" s="12" t="n"/>
      <c r="E1336" s="13" t="n"/>
      <c r="F1336" s="12" t="n"/>
      <c r="G1336" s="13" t="n"/>
      <c r="H1336" s="12" t="n"/>
      <c r="I1336" s="12" t="n"/>
      <c r="J1336" s="12" t="n"/>
      <c r="K1336" s="12" t="n"/>
      <c r="L1336" s="11" t="n"/>
      <c r="M1336" s="11" t="n"/>
      <c r="N1336" s="11" t="n"/>
      <c r="O1336" s="11" t="n"/>
      <c r="P1336" s="12" t="n"/>
      <c r="Q1336" s="11" t="n"/>
      <c r="R1336" s="12" t="n"/>
      <c r="S1336" s="11" t="n"/>
      <c r="T1336" s="12" t="n"/>
      <c r="U1336" s="12" t="n"/>
      <c r="V1336" s="12" t="n"/>
      <c r="W1336" s="13" t="n"/>
      <c r="X1336" s="14">
        <f>IF($AP1336="",IF($B1336="","",$H1336),IF(INDEX(職員マスタ!$B$6:$B$405,$AP1336)="",$H1336,INDEX(職員マスタ!$B$6:$B$405,$AP1336)))</f>
        <v/>
      </c>
      <c r="Y1336" s="14">
        <f>IF($AP1336="",IF($B1336="","",$R1336),IF(INDEX(職員マスタ!$C$6:$C$405,$AP1336)="",$R1336,INDEX(職員マスタ!$C$6:$C$405,$AP1336)))</f>
        <v/>
      </c>
      <c r="Z1336" s="14">
        <f>IF($AQ1336="","","R"&amp;$C1336&amp;"."&amp;$D1336)</f>
        <v/>
      </c>
      <c r="AA1336" s="15">
        <f>IF(IF($AP1336="",FALSE,INDEX(職員マスタ!$K$6:$K$405,$AP1336)&lt;&gt;""),INDEX(職員マスタ!$K$6:$K$405,$AP1336),IF(N($W1336)&gt;0,$W1336,""))</f>
        <v/>
      </c>
      <c r="AB1336" s="14">
        <f>IF(OR($E1336="",$AA1336=""),"",IF($E1336&gt;=$AA1336,"×",IF($E1336&gt;=$AA1336*設定!$C$5,"△","○")))</f>
        <v/>
      </c>
      <c r="AC1336" s="15">
        <f>IF($AB1336="","",IF($AB1336="×",0,IF($AB1336="○",ROUNDDOWN($E1336*設定!$C$4,0),ROUNDDOWN($E1336*ROUND((9*$AA1336-9*$E1336)/(10*$E1336),4),0))))</f>
        <v/>
      </c>
      <c r="AD1336" s="13" t="n"/>
      <c r="AE1336" s="15">
        <f>IF($B1336="","",IF($AD1336&lt;&gt;"",$AD1336,IF($AC1336="","",IF($AC1336&lt;=設定!$C$3,0,$AC1336))))</f>
        <v/>
      </c>
      <c r="AF1336" s="14">
        <f>IF($B1336="","",IF(AND($AG1336&lt;&gt;"",$AI1336="",$AL1336=""),"保留中",IF($AL1336&lt;&gt;"",IF(N($AE1336)&gt;0,"支給済","不支給"),IF($AE1336="","要確認",IF($AE1336=0,"不支給","未処理")))))</f>
        <v/>
      </c>
      <c r="AG1336" s="12" t="n"/>
      <c r="AH1336" s="11" t="n"/>
      <c r="AI1336" s="11" t="n"/>
      <c r="AJ1336" s="11" t="n"/>
      <c r="AK1336" s="14">
        <f>IF(AND($AF1336="保留中",$AH1336&lt;&gt;""),TODAY()-$AH1336,"")</f>
        <v/>
      </c>
      <c r="AL1336" s="12" t="n"/>
      <c r="AM1336" s="14">
        <f>IF($B1336="","",IF($AQ1336="","対象年月が未入力／","")&amp;IF($B1336="","",IF($AP1336="","職員マスタに未登録の職員番号／",IF($AA1336="","標準報酬月額が未登録／","")&amp;IF(AND($AQ1336&lt;&gt;"",OR(AND(INDEX(職員マスタ!$G$6:$G$405,$AP1336)&lt;&gt;"",INDEX(職員マスタ!$G$6:$G$405,$AP1336)&gt;EOMONTH($AQ1336,0)),AND(INDEX(職員マスタ!$H$6:$H$405,$AP1336)&lt;&gt;"",INDEX(職員マスタ!$H$6:$H$405,$AP1336)&lt;$AQ1336))),"対象月が時短期間外／","")&amp;IF(AND(INDEX(職員マスタ!$K$6:$K$405,$AP1336)&lt;&gt;"",N($W1336)&gt;0,INDEX(職員マスタ!$K$6:$K$405,$AP1336)&lt;&gt;$W1336),"標準報酬月額が申請書と相違（台帳"&amp;TEXT(INDEX(職員マスタ!$K$6:$K$405,$AP1336),"#,##0")&amp;"円／申請書"&amp;TEXT($W1336,"#,##0")&amp;"円）／","")&amp;IF(AND(INDEX(職員マスタ!$F$6:$F$405,$AP1336)&lt;&gt;"",$AQ1336&lt;&gt;"",INDEX(職員マスタ!$F$6:$F$405,$AP1336)&lt;$AQ1336),"対象月に子が2歳到達済／","")&amp;IF(AND($H1336&lt;&gt;"",INDEX(職員マスタ!$B$6:$B$405,$AP1336)&lt;&gt;"",SUBSTITUTE(SUBSTITUTE($H1336," ","")," ","")&lt;&gt;SUBSTITUTE(SUBSTITUTE(INDEX(職員マスタ!$B$6:$B$405,$AP1336)," ","")," ","")),"氏名がマスタと相違／","")&amp;IF(AND($Q1336&lt;&gt;"",INDEX(職員マスタ!$E$6:$E$405,$AP1336)&lt;&gt;"",$Q1336&lt;&gt;INDEX(職員マスタ!$E$6:$E$405,$AP1336)),"子の生年月日がマスタと相違／","")&amp;IF(AND($L1336&lt;&gt;"",INDEX(職員マスタ!$G$6:$G$405,$AP1336)&lt;&gt;"",$L1336&lt;&gt;INDEX(職員マスタ!$G$6:$G$405,$AP1336)),"時短開始日がマスタと相違／","")&amp;IF(AND($M1336&lt;&gt;"",INDEX(職員マスタ!$H$6:$H$405,$AP1336)&lt;&gt;"",$M1336&lt;&gt;INDEX(職員マスタ!$H$6:$H$405,$AP1336)),"時短終了日がマスタと相違／","")))&amp;IF(AND($B1336&lt;&gt;"",$E1336=""),"報酬額が未入力／","")&amp;IF(N($U1336)&gt;0,"申請書に入力エラーが残っています／","")&amp;IF(AND($B1336&lt;&gt;"",$AQ1336&lt;&gt;""),IF(COUNTIFS($B$6:$B$3005,$B1336,$C$6:$C$3005,$C1336,$D$6:$D$3005,$D1336)&gt;1,"同じ月の請求が重複しています／",""),"")&amp;IF(AND(N($E1336)&gt;0,$AB1336&lt;&gt;"",$AB1336&lt;&gt;"×",$AE1336=0,$AD1336=""),"計算額が下限以下のため不支給／",""))</f>
        <v/>
      </c>
      <c r="AN1336" s="12" t="n"/>
      <c r="AO1336" s="14">
        <f>IF($AF1336="保留中",COUNTIF($AF$6:$AF1336,"保留中"),"")</f>
        <v/>
      </c>
      <c r="AP1336" s="14">
        <f>IF($AQ1336="","",IF(SUMPRODUCT(MAX((職員マスタ!$A$6:$A$405=$B1336)*(((職員マスタ!$G$6:$G$405="")+(職員マスタ!$G$6:$G$405&lt;=EOMONTH($AQ1336,0)))&gt;0)*(((職員マスタ!$H$6:$H$405="")+(職員マスタ!$H$6:$H$405&gt;=$AQ1336))&gt;0)*(ROW(職員マスタ!$A$6:$A$405)-5)))&gt;0,SUMPRODUCT(MAX((職員マスタ!$A$6:$A$405=$B1336)*(((職員マスタ!$G$6:$G$405="")+(職員マスタ!$G$6:$G$405&lt;=EOMONTH($AQ1336,0)))&gt;0)*(((職員マスタ!$H$6:$H$405="")+(職員マスタ!$H$6:$H$405&gt;=$AQ1336))&gt;0)*(ROW(職員マスタ!$A$6:$A$405)-5))),IFERROR(MATCH($B1336,職員マスタ!$A$6:$A$405,0),"")))</f>
        <v/>
      </c>
      <c r="AQ1336" s="16">
        <f>IF(OR($B1336="",$C1336="",$D1336=""),"",DATE($C1336+2018,$D1336,1))</f>
        <v/>
      </c>
    </row>
    <row r="1337">
      <c r="A1337" s="11" t="n"/>
      <c r="B1337" s="12" t="n"/>
      <c r="C1337" s="12" t="n"/>
      <c r="D1337" s="12" t="n"/>
      <c r="E1337" s="13" t="n"/>
      <c r="F1337" s="12" t="n"/>
      <c r="G1337" s="13" t="n"/>
      <c r="H1337" s="12" t="n"/>
      <c r="I1337" s="12" t="n"/>
      <c r="J1337" s="12" t="n"/>
      <c r="K1337" s="12" t="n"/>
      <c r="L1337" s="11" t="n"/>
      <c r="M1337" s="11" t="n"/>
      <c r="N1337" s="11" t="n"/>
      <c r="O1337" s="11" t="n"/>
      <c r="P1337" s="12" t="n"/>
      <c r="Q1337" s="11" t="n"/>
      <c r="R1337" s="12" t="n"/>
      <c r="S1337" s="11" t="n"/>
      <c r="T1337" s="12" t="n"/>
      <c r="U1337" s="12" t="n"/>
      <c r="V1337" s="12" t="n"/>
      <c r="W1337" s="13" t="n"/>
      <c r="X1337" s="14">
        <f>IF($AP1337="",IF($B1337="","",$H1337),IF(INDEX(職員マスタ!$B$6:$B$405,$AP1337)="",$H1337,INDEX(職員マスタ!$B$6:$B$405,$AP1337)))</f>
        <v/>
      </c>
      <c r="Y1337" s="14">
        <f>IF($AP1337="",IF($B1337="","",$R1337),IF(INDEX(職員マスタ!$C$6:$C$405,$AP1337)="",$R1337,INDEX(職員マスタ!$C$6:$C$405,$AP1337)))</f>
        <v/>
      </c>
      <c r="Z1337" s="14">
        <f>IF($AQ1337="","","R"&amp;$C1337&amp;"."&amp;$D1337)</f>
        <v/>
      </c>
      <c r="AA1337" s="15">
        <f>IF(IF($AP1337="",FALSE,INDEX(職員マスタ!$K$6:$K$405,$AP1337)&lt;&gt;""),INDEX(職員マスタ!$K$6:$K$405,$AP1337),IF(N($W1337)&gt;0,$W1337,""))</f>
        <v/>
      </c>
      <c r="AB1337" s="14">
        <f>IF(OR($E1337="",$AA1337=""),"",IF($E1337&gt;=$AA1337,"×",IF($E1337&gt;=$AA1337*設定!$C$5,"△","○")))</f>
        <v/>
      </c>
      <c r="AC1337" s="15">
        <f>IF($AB1337="","",IF($AB1337="×",0,IF($AB1337="○",ROUNDDOWN($E1337*設定!$C$4,0),ROUNDDOWN($E1337*ROUND((9*$AA1337-9*$E1337)/(10*$E1337),4),0))))</f>
        <v/>
      </c>
      <c r="AD1337" s="13" t="n"/>
      <c r="AE1337" s="15">
        <f>IF($B1337="","",IF($AD1337&lt;&gt;"",$AD1337,IF($AC1337="","",IF($AC1337&lt;=設定!$C$3,0,$AC1337))))</f>
        <v/>
      </c>
      <c r="AF1337" s="14">
        <f>IF($B1337="","",IF(AND($AG1337&lt;&gt;"",$AI1337="",$AL1337=""),"保留中",IF($AL1337&lt;&gt;"",IF(N($AE1337)&gt;0,"支給済","不支給"),IF($AE1337="","要確認",IF($AE1337=0,"不支給","未処理")))))</f>
        <v/>
      </c>
      <c r="AG1337" s="12" t="n"/>
      <c r="AH1337" s="11" t="n"/>
      <c r="AI1337" s="11" t="n"/>
      <c r="AJ1337" s="11" t="n"/>
      <c r="AK1337" s="14">
        <f>IF(AND($AF1337="保留中",$AH1337&lt;&gt;""),TODAY()-$AH1337,"")</f>
        <v/>
      </c>
      <c r="AL1337" s="12" t="n"/>
      <c r="AM1337" s="14">
        <f>IF($B1337="","",IF($AQ1337="","対象年月が未入力／","")&amp;IF($B1337="","",IF($AP1337="","職員マスタに未登録の職員番号／",IF($AA1337="","標準報酬月額が未登録／","")&amp;IF(AND($AQ1337&lt;&gt;"",OR(AND(INDEX(職員マスタ!$G$6:$G$405,$AP1337)&lt;&gt;"",INDEX(職員マスタ!$G$6:$G$405,$AP1337)&gt;EOMONTH($AQ1337,0)),AND(INDEX(職員マスタ!$H$6:$H$405,$AP1337)&lt;&gt;"",INDEX(職員マスタ!$H$6:$H$405,$AP1337)&lt;$AQ1337))),"対象月が時短期間外／","")&amp;IF(AND(INDEX(職員マスタ!$K$6:$K$405,$AP1337)&lt;&gt;"",N($W1337)&gt;0,INDEX(職員マスタ!$K$6:$K$405,$AP1337)&lt;&gt;$W1337),"標準報酬月額が申請書と相違（台帳"&amp;TEXT(INDEX(職員マスタ!$K$6:$K$405,$AP1337),"#,##0")&amp;"円／申請書"&amp;TEXT($W1337,"#,##0")&amp;"円）／","")&amp;IF(AND(INDEX(職員マスタ!$F$6:$F$405,$AP1337)&lt;&gt;"",$AQ1337&lt;&gt;"",INDEX(職員マスタ!$F$6:$F$405,$AP1337)&lt;$AQ1337),"対象月に子が2歳到達済／","")&amp;IF(AND($H1337&lt;&gt;"",INDEX(職員マスタ!$B$6:$B$405,$AP1337)&lt;&gt;"",SUBSTITUTE(SUBSTITUTE($H1337," ","")," ","")&lt;&gt;SUBSTITUTE(SUBSTITUTE(INDEX(職員マスタ!$B$6:$B$405,$AP1337)," ","")," ","")),"氏名がマスタと相違／","")&amp;IF(AND($Q1337&lt;&gt;"",INDEX(職員マスタ!$E$6:$E$405,$AP1337)&lt;&gt;"",$Q1337&lt;&gt;INDEX(職員マスタ!$E$6:$E$405,$AP1337)),"子の生年月日がマスタと相違／","")&amp;IF(AND($L1337&lt;&gt;"",INDEX(職員マスタ!$G$6:$G$405,$AP1337)&lt;&gt;"",$L1337&lt;&gt;INDEX(職員マスタ!$G$6:$G$405,$AP1337)),"時短開始日がマスタと相違／","")&amp;IF(AND($M1337&lt;&gt;"",INDEX(職員マスタ!$H$6:$H$405,$AP1337)&lt;&gt;"",$M1337&lt;&gt;INDEX(職員マスタ!$H$6:$H$405,$AP1337)),"時短終了日がマスタと相違／","")))&amp;IF(AND($B1337&lt;&gt;"",$E1337=""),"報酬額が未入力／","")&amp;IF(N($U1337)&gt;0,"申請書に入力エラーが残っています／","")&amp;IF(AND($B1337&lt;&gt;"",$AQ1337&lt;&gt;""),IF(COUNTIFS($B$6:$B$3005,$B1337,$C$6:$C$3005,$C1337,$D$6:$D$3005,$D1337)&gt;1,"同じ月の請求が重複しています／",""),"")&amp;IF(AND(N($E1337)&gt;0,$AB1337&lt;&gt;"",$AB1337&lt;&gt;"×",$AE1337=0,$AD1337=""),"計算額が下限以下のため不支給／",""))</f>
        <v/>
      </c>
      <c r="AN1337" s="12" t="n"/>
      <c r="AO1337" s="14">
        <f>IF($AF1337="保留中",COUNTIF($AF$6:$AF1337,"保留中"),"")</f>
        <v/>
      </c>
      <c r="AP1337" s="14">
        <f>IF($AQ1337="","",IF(SUMPRODUCT(MAX((職員マスタ!$A$6:$A$405=$B1337)*(((職員マスタ!$G$6:$G$405="")+(職員マスタ!$G$6:$G$405&lt;=EOMONTH($AQ1337,0)))&gt;0)*(((職員マスタ!$H$6:$H$405="")+(職員マスタ!$H$6:$H$405&gt;=$AQ1337))&gt;0)*(ROW(職員マスタ!$A$6:$A$405)-5)))&gt;0,SUMPRODUCT(MAX((職員マスタ!$A$6:$A$405=$B1337)*(((職員マスタ!$G$6:$G$405="")+(職員マスタ!$G$6:$G$405&lt;=EOMONTH($AQ1337,0)))&gt;0)*(((職員マスタ!$H$6:$H$405="")+(職員マスタ!$H$6:$H$405&gt;=$AQ1337))&gt;0)*(ROW(職員マスタ!$A$6:$A$405)-5))),IFERROR(MATCH($B1337,職員マスタ!$A$6:$A$405,0),"")))</f>
        <v/>
      </c>
      <c r="AQ1337" s="16">
        <f>IF(OR($B1337="",$C1337="",$D1337=""),"",DATE($C1337+2018,$D1337,1))</f>
        <v/>
      </c>
    </row>
    <row r="1338">
      <c r="A1338" s="11" t="n"/>
      <c r="B1338" s="12" t="n"/>
      <c r="C1338" s="12" t="n"/>
      <c r="D1338" s="12" t="n"/>
      <c r="E1338" s="13" t="n"/>
      <c r="F1338" s="12" t="n"/>
      <c r="G1338" s="13" t="n"/>
      <c r="H1338" s="12" t="n"/>
      <c r="I1338" s="12" t="n"/>
      <c r="J1338" s="12" t="n"/>
      <c r="K1338" s="12" t="n"/>
      <c r="L1338" s="11" t="n"/>
      <c r="M1338" s="11" t="n"/>
      <c r="N1338" s="11" t="n"/>
      <c r="O1338" s="11" t="n"/>
      <c r="P1338" s="12" t="n"/>
      <c r="Q1338" s="11" t="n"/>
      <c r="R1338" s="12" t="n"/>
      <c r="S1338" s="11" t="n"/>
      <c r="T1338" s="12" t="n"/>
      <c r="U1338" s="12" t="n"/>
      <c r="V1338" s="12" t="n"/>
      <c r="W1338" s="13" t="n"/>
      <c r="X1338" s="14">
        <f>IF($AP1338="",IF($B1338="","",$H1338),IF(INDEX(職員マスタ!$B$6:$B$405,$AP1338)="",$H1338,INDEX(職員マスタ!$B$6:$B$405,$AP1338)))</f>
        <v/>
      </c>
      <c r="Y1338" s="14">
        <f>IF($AP1338="",IF($B1338="","",$R1338),IF(INDEX(職員マスタ!$C$6:$C$405,$AP1338)="",$R1338,INDEX(職員マスタ!$C$6:$C$405,$AP1338)))</f>
        <v/>
      </c>
      <c r="Z1338" s="14">
        <f>IF($AQ1338="","","R"&amp;$C1338&amp;"."&amp;$D1338)</f>
        <v/>
      </c>
      <c r="AA1338" s="15">
        <f>IF(IF($AP1338="",FALSE,INDEX(職員マスタ!$K$6:$K$405,$AP1338)&lt;&gt;""),INDEX(職員マスタ!$K$6:$K$405,$AP1338),IF(N($W1338)&gt;0,$W1338,""))</f>
        <v/>
      </c>
      <c r="AB1338" s="14">
        <f>IF(OR($E1338="",$AA1338=""),"",IF($E1338&gt;=$AA1338,"×",IF($E1338&gt;=$AA1338*設定!$C$5,"△","○")))</f>
        <v/>
      </c>
      <c r="AC1338" s="15">
        <f>IF($AB1338="","",IF($AB1338="×",0,IF($AB1338="○",ROUNDDOWN($E1338*設定!$C$4,0),ROUNDDOWN($E1338*ROUND((9*$AA1338-9*$E1338)/(10*$E1338),4),0))))</f>
        <v/>
      </c>
      <c r="AD1338" s="13" t="n"/>
      <c r="AE1338" s="15">
        <f>IF($B1338="","",IF($AD1338&lt;&gt;"",$AD1338,IF($AC1338="","",IF($AC1338&lt;=設定!$C$3,0,$AC1338))))</f>
        <v/>
      </c>
      <c r="AF1338" s="14">
        <f>IF($B1338="","",IF(AND($AG1338&lt;&gt;"",$AI1338="",$AL1338=""),"保留中",IF($AL1338&lt;&gt;"",IF(N($AE1338)&gt;0,"支給済","不支給"),IF($AE1338="","要確認",IF($AE1338=0,"不支給","未処理")))))</f>
        <v/>
      </c>
      <c r="AG1338" s="12" t="n"/>
      <c r="AH1338" s="11" t="n"/>
      <c r="AI1338" s="11" t="n"/>
      <c r="AJ1338" s="11" t="n"/>
      <c r="AK1338" s="14">
        <f>IF(AND($AF1338="保留中",$AH1338&lt;&gt;""),TODAY()-$AH1338,"")</f>
        <v/>
      </c>
      <c r="AL1338" s="12" t="n"/>
      <c r="AM1338" s="14">
        <f>IF($B1338="","",IF($AQ1338="","対象年月が未入力／","")&amp;IF($B1338="","",IF($AP1338="","職員マスタに未登録の職員番号／",IF($AA1338="","標準報酬月額が未登録／","")&amp;IF(AND($AQ1338&lt;&gt;"",OR(AND(INDEX(職員マスタ!$G$6:$G$405,$AP1338)&lt;&gt;"",INDEX(職員マスタ!$G$6:$G$405,$AP1338)&gt;EOMONTH($AQ1338,0)),AND(INDEX(職員マスタ!$H$6:$H$405,$AP1338)&lt;&gt;"",INDEX(職員マスタ!$H$6:$H$405,$AP1338)&lt;$AQ1338))),"対象月が時短期間外／","")&amp;IF(AND(INDEX(職員マスタ!$K$6:$K$405,$AP1338)&lt;&gt;"",N($W1338)&gt;0,INDEX(職員マスタ!$K$6:$K$405,$AP1338)&lt;&gt;$W1338),"標準報酬月額が申請書と相違（台帳"&amp;TEXT(INDEX(職員マスタ!$K$6:$K$405,$AP1338),"#,##0")&amp;"円／申請書"&amp;TEXT($W1338,"#,##0")&amp;"円）／","")&amp;IF(AND(INDEX(職員マスタ!$F$6:$F$405,$AP1338)&lt;&gt;"",$AQ1338&lt;&gt;"",INDEX(職員マスタ!$F$6:$F$405,$AP1338)&lt;$AQ1338),"対象月に子が2歳到達済／","")&amp;IF(AND($H1338&lt;&gt;"",INDEX(職員マスタ!$B$6:$B$405,$AP1338)&lt;&gt;"",SUBSTITUTE(SUBSTITUTE($H1338," ","")," ","")&lt;&gt;SUBSTITUTE(SUBSTITUTE(INDEX(職員マスタ!$B$6:$B$405,$AP1338)," ","")," ","")),"氏名がマスタと相違／","")&amp;IF(AND($Q1338&lt;&gt;"",INDEX(職員マスタ!$E$6:$E$405,$AP1338)&lt;&gt;"",$Q1338&lt;&gt;INDEX(職員マスタ!$E$6:$E$405,$AP1338)),"子の生年月日がマスタと相違／","")&amp;IF(AND($L1338&lt;&gt;"",INDEX(職員マスタ!$G$6:$G$405,$AP1338)&lt;&gt;"",$L1338&lt;&gt;INDEX(職員マスタ!$G$6:$G$405,$AP1338)),"時短開始日がマスタと相違／","")&amp;IF(AND($M1338&lt;&gt;"",INDEX(職員マスタ!$H$6:$H$405,$AP1338)&lt;&gt;"",$M1338&lt;&gt;INDEX(職員マスタ!$H$6:$H$405,$AP1338)),"時短終了日がマスタと相違／","")))&amp;IF(AND($B1338&lt;&gt;"",$E1338=""),"報酬額が未入力／","")&amp;IF(N($U1338)&gt;0,"申請書に入力エラーが残っています／","")&amp;IF(AND($B1338&lt;&gt;"",$AQ1338&lt;&gt;""),IF(COUNTIFS($B$6:$B$3005,$B1338,$C$6:$C$3005,$C1338,$D$6:$D$3005,$D1338)&gt;1,"同じ月の請求が重複しています／",""),"")&amp;IF(AND(N($E1338)&gt;0,$AB1338&lt;&gt;"",$AB1338&lt;&gt;"×",$AE1338=0,$AD1338=""),"計算額が下限以下のため不支給／",""))</f>
        <v/>
      </c>
      <c r="AN1338" s="12" t="n"/>
      <c r="AO1338" s="14">
        <f>IF($AF1338="保留中",COUNTIF($AF$6:$AF1338,"保留中"),"")</f>
        <v/>
      </c>
      <c r="AP1338" s="14">
        <f>IF($AQ1338="","",IF(SUMPRODUCT(MAX((職員マスタ!$A$6:$A$405=$B1338)*(((職員マスタ!$G$6:$G$405="")+(職員マスタ!$G$6:$G$405&lt;=EOMONTH($AQ1338,0)))&gt;0)*(((職員マスタ!$H$6:$H$405="")+(職員マスタ!$H$6:$H$405&gt;=$AQ1338))&gt;0)*(ROW(職員マスタ!$A$6:$A$405)-5)))&gt;0,SUMPRODUCT(MAX((職員マスタ!$A$6:$A$405=$B1338)*(((職員マスタ!$G$6:$G$405="")+(職員マスタ!$G$6:$G$405&lt;=EOMONTH($AQ1338,0)))&gt;0)*(((職員マスタ!$H$6:$H$405="")+(職員マスタ!$H$6:$H$405&gt;=$AQ1338))&gt;0)*(ROW(職員マスタ!$A$6:$A$405)-5))),IFERROR(MATCH($B1338,職員マスタ!$A$6:$A$405,0),"")))</f>
        <v/>
      </c>
      <c r="AQ1338" s="16">
        <f>IF(OR($B1338="",$C1338="",$D1338=""),"",DATE($C1338+2018,$D1338,1))</f>
        <v/>
      </c>
    </row>
    <row r="1339">
      <c r="A1339" s="11" t="n"/>
      <c r="B1339" s="12" t="n"/>
      <c r="C1339" s="12" t="n"/>
      <c r="D1339" s="12" t="n"/>
      <c r="E1339" s="13" t="n"/>
      <c r="F1339" s="12" t="n"/>
      <c r="G1339" s="13" t="n"/>
      <c r="H1339" s="12" t="n"/>
      <c r="I1339" s="12" t="n"/>
      <c r="J1339" s="12" t="n"/>
      <c r="K1339" s="12" t="n"/>
      <c r="L1339" s="11" t="n"/>
      <c r="M1339" s="11" t="n"/>
      <c r="N1339" s="11" t="n"/>
      <c r="O1339" s="11" t="n"/>
      <c r="P1339" s="12" t="n"/>
      <c r="Q1339" s="11" t="n"/>
      <c r="R1339" s="12" t="n"/>
      <c r="S1339" s="11" t="n"/>
      <c r="T1339" s="12" t="n"/>
      <c r="U1339" s="12" t="n"/>
      <c r="V1339" s="12" t="n"/>
      <c r="W1339" s="13" t="n"/>
      <c r="X1339" s="14">
        <f>IF($AP1339="",IF($B1339="","",$H1339),IF(INDEX(職員マスタ!$B$6:$B$405,$AP1339)="",$H1339,INDEX(職員マスタ!$B$6:$B$405,$AP1339)))</f>
        <v/>
      </c>
      <c r="Y1339" s="14">
        <f>IF($AP1339="",IF($B1339="","",$R1339),IF(INDEX(職員マスタ!$C$6:$C$405,$AP1339)="",$R1339,INDEX(職員マスタ!$C$6:$C$405,$AP1339)))</f>
        <v/>
      </c>
      <c r="Z1339" s="14">
        <f>IF($AQ1339="","","R"&amp;$C1339&amp;"."&amp;$D1339)</f>
        <v/>
      </c>
      <c r="AA1339" s="15">
        <f>IF(IF($AP1339="",FALSE,INDEX(職員マスタ!$K$6:$K$405,$AP1339)&lt;&gt;""),INDEX(職員マスタ!$K$6:$K$405,$AP1339),IF(N($W1339)&gt;0,$W1339,""))</f>
        <v/>
      </c>
      <c r="AB1339" s="14">
        <f>IF(OR($E1339="",$AA1339=""),"",IF($E1339&gt;=$AA1339,"×",IF($E1339&gt;=$AA1339*設定!$C$5,"△","○")))</f>
        <v/>
      </c>
      <c r="AC1339" s="15">
        <f>IF($AB1339="","",IF($AB1339="×",0,IF($AB1339="○",ROUNDDOWN($E1339*設定!$C$4,0),ROUNDDOWN($E1339*ROUND((9*$AA1339-9*$E1339)/(10*$E1339),4),0))))</f>
        <v/>
      </c>
      <c r="AD1339" s="13" t="n"/>
      <c r="AE1339" s="15">
        <f>IF($B1339="","",IF($AD1339&lt;&gt;"",$AD1339,IF($AC1339="","",IF($AC1339&lt;=設定!$C$3,0,$AC1339))))</f>
        <v/>
      </c>
      <c r="AF1339" s="14">
        <f>IF($B1339="","",IF(AND($AG1339&lt;&gt;"",$AI1339="",$AL1339=""),"保留中",IF($AL1339&lt;&gt;"",IF(N($AE1339)&gt;0,"支給済","不支給"),IF($AE1339="","要確認",IF($AE1339=0,"不支給","未処理")))))</f>
        <v/>
      </c>
      <c r="AG1339" s="12" t="n"/>
      <c r="AH1339" s="11" t="n"/>
      <c r="AI1339" s="11" t="n"/>
      <c r="AJ1339" s="11" t="n"/>
      <c r="AK1339" s="14">
        <f>IF(AND($AF1339="保留中",$AH1339&lt;&gt;""),TODAY()-$AH1339,"")</f>
        <v/>
      </c>
      <c r="AL1339" s="12" t="n"/>
      <c r="AM1339" s="14">
        <f>IF($B1339="","",IF($AQ1339="","対象年月が未入力／","")&amp;IF($B1339="","",IF($AP1339="","職員マスタに未登録の職員番号／",IF($AA1339="","標準報酬月額が未登録／","")&amp;IF(AND($AQ1339&lt;&gt;"",OR(AND(INDEX(職員マスタ!$G$6:$G$405,$AP1339)&lt;&gt;"",INDEX(職員マスタ!$G$6:$G$405,$AP1339)&gt;EOMONTH($AQ1339,0)),AND(INDEX(職員マスタ!$H$6:$H$405,$AP1339)&lt;&gt;"",INDEX(職員マスタ!$H$6:$H$405,$AP1339)&lt;$AQ1339))),"対象月が時短期間外／","")&amp;IF(AND(INDEX(職員マスタ!$K$6:$K$405,$AP1339)&lt;&gt;"",N($W1339)&gt;0,INDEX(職員マスタ!$K$6:$K$405,$AP1339)&lt;&gt;$W1339),"標準報酬月額が申請書と相違（台帳"&amp;TEXT(INDEX(職員マスタ!$K$6:$K$405,$AP1339),"#,##0")&amp;"円／申請書"&amp;TEXT($W1339,"#,##0")&amp;"円）／","")&amp;IF(AND(INDEX(職員マスタ!$F$6:$F$405,$AP1339)&lt;&gt;"",$AQ1339&lt;&gt;"",INDEX(職員マスタ!$F$6:$F$405,$AP1339)&lt;$AQ1339),"対象月に子が2歳到達済／","")&amp;IF(AND($H1339&lt;&gt;"",INDEX(職員マスタ!$B$6:$B$405,$AP1339)&lt;&gt;"",SUBSTITUTE(SUBSTITUTE($H1339," ","")," ","")&lt;&gt;SUBSTITUTE(SUBSTITUTE(INDEX(職員マスタ!$B$6:$B$405,$AP1339)," ","")," ","")),"氏名がマスタと相違／","")&amp;IF(AND($Q1339&lt;&gt;"",INDEX(職員マスタ!$E$6:$E$405,$AP1339)&lt;&gt;"",$Q1339&lt;&gt;INDEX(職員マスタ!$E$6:$E$405,$AP1339)),"子の生年月日がマスタと相違／","")&amp;IF(AND($L1339&lt;&gt;"",INDEX(職員マスタ!$G$6:$G$405,$AP1339)&lt;&gt;"",$L1339&lt;&gt;INDEX(職員マスタ!$G$6:$G$405,$AP1339)),"時短開始日がマスタと相違／","")&amp;IF(AND($M1339&lt;&gt;"",INDEX(職員マスタ!$H$6:$H$405,$AP1339)&lt;&gt;"",$M1339&lt;&gt;INDEX(職員マスタ!$H$6:$H$405,$AP1339)),"時短終了日がマスタと相違／","")))&amp;IF(AND($B1339&lt;&gt;"",$E1339=""),"報酬額が未入力／","")&amp;IF(N($U1339)&gt;0,"申請書に入力エラーが残っています／","")&amp;IF(AND($B1339&lt;&gt;"",$AQ1339&lt;&gt;""),IF(COUNTIFS($B$6:$B$3005,$B1339,$C$6:$C$3005,$C1339,$D$6:$D$3005,$D1339)&gt;1,"同じ月の請求が重複しています／",""),"")&amp;IF(AND(N($E1339)&gt;0,$AB1339&lt;&gt;"",$AB1339&lt;&gt;"×",$AE1339=0,$AD1339=""),"計算額が下限以下のため不支給／",""))</f>
        <v/>
      </c>
      <c r="AN1339" s="12" t="n"/>
      <c r="AO1339" s="14">
        <f>IF($AF1339="保留中",COUNTIF($AF$6:$AF1339,"保留中"),"")</f>
        <v/>
      </c>
      <c r="AP1339" s="14">
        <f>IF($AQ1339="","",IF(SUMPRODUCT(MAX((職員マスタ!$A$6:$A$405=$B1339)*(((職員マスタ!$G$6:$G$405="")+(職員マスタ!$G$6:$G$405&lt;=EOMONTH($AQ1339,0)))&gt;0)*(((職員マスタ!$H$6:$H$405="")+(職員マスタ!$H$6:$H$405&gt;=$AQ1339))&gt;0)*(ROW(職員マスタ!$A$6:$A$405)-5)))&gt;0,SUMPRODUCT(MAX((職員マスタ!$A$6:$A$405=$B1339)*(((職員マスタ!$G$6:$G$405="")+(職員マスタ!$G$6:$G$405&lt;=EOMONTH($AQ1339,0)))&gt;0)*(((職員マスタ!$H$6:$H$405="")+(職員マスタ!$H$6:$H$405&gt;=$AQ1339))&gt;0)*(ROW(職員マスタ!$A$6:$A$405)-5))),IFERROR(MATCH($B1339,職員マスタ!$A$6:$A$405,0),"")))</f>
        <v/>
      </c>
      <c r="AQ1339" s="16">
        <f>IF(OR($B1339="",$C1339="",$D1339=""),"",DATE($C1339+2018,$D1339,1))</f>
        <v/>
      </c>
    </row>
    <row r="1340">
      <c r="A1340" s="11" t="n"/>
      <c r="B1340" s="12" t="n"/>
      <c r="C1340" s="12" t="n"/>
      <c r="D1340" s="12" t="n"/>
      <c r="E1340" s="13" t="n"/>
      <c r="F1340" s="12" t="n"/>
      <c r="G1340" s="13" t="n"/>
      <c r="H1340" s="12" t="n"/>
      <c r="I1340" s="12" t="n"/>
      <c r="J1340" s="12" t="n"/>
      <c r="K1340" s="12" t="n"/>
      <c r="L1340" s="11" t="n"/>
      <c r="M1340" s="11" t="n"/>
      <c r="N1340" s="11" t="n"/>
      <c r="O1340" s="11" t="n"/>
      <c r="P1340" s="12" t="n"/>
      <c r="Q1340" s="11" t="n"/>
      <c r="R1340" s="12" t="n"/>
      <c r="S1340" s="11" t="n"/>
      <c r="T1340" s="12" t="n"/>
      <c r="U1340" s="12" t="n"/>
      <c r="V1340" s="12" t="n"/>
      <c r="W1340" s="13" t="n"/>
      <c r="X1340" s="14">
        <f>IF($AP1340="",IF($B1340="","",$H1340),IF(INDEX(職員マスタ!$B$6:$B$405,$AP1340)="",$H1340,INDEX(職員マスタ!$B$6:$B$405,$AP1340)))</f>
        <v/>
      </c>
      <c r="Y1340" s="14">
        <f>IF($AP1340="",IF($B1340="","",$R1340),IF(INDEX(職員マスタ!$C$6:$C$405,$AP1340)="",$R1340,INDEX(職員マスタ!$C$6:$C$405,$AP1340)))</f>
        <v/>
      </c>
      <c r="Z1340" s="14">
        <f>IF($AQ1340="","","R"&amp;$C1340&amp;"."&amp;$D1340)</f>
        <v/>
      </c>
      <c r="AA1340" s="15">
        <f>IF(IF($AP1340="",FALSE,INDEX(職員マスタ!$K$6:$K$405,$AP1340)&lt;&gt;""),INDEX(職員マスタ!$K$6:$K$405,$AP1340),IF(N($W1340)&gt;0,$W1340,""))</f>
        <v/>
      </c>
      <c r="AB1340" s="14">
        <f>IF(OR($E1340="",$AA1340=""),"",IF($E1340&gt;=$AA1340,"×",IF($E1340&gt;=$AA1340*設定!$C$5,"△","○")))</f>
        <v/>
      </c>
      <c r="AC1340" s="15">
        <f>IF($AB1340="","",IF($AB1340="×",0,IF($AB1340="○",ROUNDDOWN($E1340*設定!$C$4,0),ROUNDDOWN($E1340*ROUND((9*$AA1340-9*$E1340)/(10*$E1340),4),0))))</f>
        <v/>
      </c>
      <c r="AD1340" s="13" t="n"/>
      <c r="AE1340" s="15">
        <f>IF($B1340="","",IF($AD1340&lt;&gt;"",$AD1340,IF($AC1340="","",IF($AC1340&lt;=設定!$C$3,0,$AC1340))))</f>
        <v/>
      </c>
      <c r="AF1340" s="14">
        <f>IF($B1340="","",IF(AND($AG1340&lt;&gt;"",$AI1340="",$AL1340=""),"保留中",IF($AL1340&lt;&gt;"",IF(N($AE1340)&gt;0,"支給済","不支給"),IF($AE1340="","要確認",IF($AE1340=0,"不支給","未処理")))))</f>
        <v/>
      </c>
      <c r="AG1340" s="12" t="n"/>
      <c r="AH1340" s="11" t="n"/>
      <c r="AI1340" s="11" t="n"/>
      <c r="AJ1340" s="11" t="n"/>
      <c r="AK1340" s="14">
        <f>IF(AND($AF1340="保留中",$AH1340&lt;&gt;""),TODAY()-$AH1340,"")</f>
        <v/>
      </c>
      <c r="AL1340" s="12" t="n"/>
      <c r="AM1340" s="14">
        <f>IF($B1340="","",IF($AQ1340="","対象年月が未入力／","")&amp;IF($B1340="","",IF($AP1340="","職員マスタに未登録の職員番号／",IF($AA1340="","標準報酬月額が未登録／","")&amp;IF(AND($AQ1340&lt;&gt;"",OR(AND(INDEX(職員マスタ!$G$6:$G$405,$AP1340)&lt;&gt;"",INDEX(職員マスタ!$G$6:$G$405,$AP1340)&gt;EOMONTH($AQ1340,0)),AND(INDEX(職員マスタ!$H$6:$H$405,$AP1340)&lt;&gt;"",INDEX(職員マスタ!$H$6:$H$405,$AP1340)&lt;$AQ1340))),"対象月が時短期間外／","")&amp;IF(AND(INDEX(職員マスタ!$K$6:$K$405,$AP1340)&lt;&gt;"",N($W1340)&gt;0,INDEX(職員マスタ!$K$6:$K$405,$AP1340)&lt;&gt;$W1340),"標準報酬月額が申請書と相違（台帳"&amp;TEXT(INDEX(職員マスタ!$K$6:$K$405,$AP1340),"#,##0")&amp;"円／申請書"&amp;TEXT($W1340,"#,##0")&amp;"円）／","")&amp;IF(AND(INDEX(職員マスタ!$F$6:$F$405,$AP1340)&lt;&gt;"",$AQ1340&lt;&gt;"",INDEX(職員マスタ!$F$6:$F$405,$AP1340)&lt;$AQ1340),"対象月に子が2歳到達済／","")&amp;IF(AND($H1340&lt;&gt;"",INDEX(職員マスタ!$B$6:$B$405,$AP1340)&lt;&gt;"",SUBSTITUTE(SUBSTITUTE($H1340," ","")," ","")&lt;&gt;SUBSTITUTE(SUBSTITUTE(INDEX(職員マスタ!$B$6:$B$405,$AP1340)," ","")," ","")),"氏名がマスタと相違／","")&amp;IF(AND($Q1340&lt;&gt;"",INDEX(職員マスタ!$E$6:$E$405,$AP1340)&lt;&gt;"",$Q1340&lt;&gt;INDEX(職員マスタ!$E$6:$E$405,$AP1340)),"子の生年月日がマスタと相違／","")&amp;IF(AND($L1340&lt;&gt;"",INDEX(職員マスタ!$G$6:$G$405,$AP1340)&lt;&gt;"",$L1340&lt;&gt;INDEX(職員マスタ!$G$6:$G$405,$AP1340)),"時短開始日がマスタと相違／","")&amp;IF(AND($M1340&lt;&gt;"",INDEX(職員マスタ!$H$6:$H$405,$AP1340)&lt;&gt;"",$M1340&lt;&gt;INDEX(職員マスタ!$H$6:$H$405,$AP1340)),"時短終了日がマスタと相違／","")))&amp;IF(AND($B1340&lt;&gt;"",$E1340=""),"報酬額が未入力／","")&amp;IF(N($U1340)&gt;0,"申請書に入力エラーが残っています／","")&amp;IF(AND($B1340&lt;&gt;"",$AQ1340&lt;&gt;""),IF(COUNTIFS($B$6:$B$3005,$B1340,$C$6:$C$3005,$C1340,$D$6:$D$3005,$D1340)&gt;1,"同じ月の請求が重複しています／",""),"")&amp;IF(AND(N($E1340)&gt;0,$AB1340&lt;&gt;"",$AB1340&lt;&gt;"×",$AE1340=0,$AD1340=""),"計算額が下限以下のため不支給／",""))</f>
        <v/>
      </c>
      <c r="AN1340" s="12" t="n"/>
      <c r="AO1340" s="14">
        <f>IF($AF1340="保留中",COUNTIF($AF$6:$AF1340,"保留中"),"")</f>
        <v/>
      </c>
      <c r="AP1340" s="14">
        <f>IF($AQ1340="","",IF(SUMPRODUCT(MAX((職員マスタ!$A$6:$A$405=$B1340)*(((職員マスタ!$G$6:$G$405="")+(職員マスタ!$G$6:$G$405&lt;=EOMONTH($AQ1340,0)))&gt;0)*(((職員マスタ!$H$6:$H$405="")+(職員マスタ!$H$6:$H$405&gt;=$AQ1340))&gt;0)*(ROW(職員マスタ!$A$6:$A$405)-5)))&gt;0,SUMPRODUCT(MAX((職員マスタ!$A$6:$A$405=$B1340)*(((職員マスタ!$G$6:$G$405="")+(職員マスタ!$G$6:$G$405&lt;=EOMONTH($AQ1340,0)))&gt;0)*(((職員マスタ!$H$6:$H$405="")+(職員マスタ!$H$6:$H$405&gt;=$AQ1340))&gt;0)*(ROW(職員マスタ!$A$6:$A$405)-5))),IFERROR(MATCH($B1340,職員マスタ!$A$6:$A$405,0),"")))</f>
        <v/>
      </c>
      <c r="AQ1340" s="16">
        <f>IF(OR($B1340="",$C1340="",$D1340=""),"",DATE($C1340+2018,$D1340,1))</f>
        <v/>
      </c>
    </row>
    <row r="1341">
      <c r="A1341" s="11" t="n"/>
      <c r="B1341" s="12" t="n"/>
      <c r="C1341" s="12" t="n"/>
      <c r="D1341" s="12" t="n"/>
      <c r="E1341" s="13" t="n"/>
      <c r="F1341" s="12" t="n"/>
      <c r="G1341" s="13" t="n"/>
      <c r="H1341" s="12" t="n"/>
      <c r="I1341" s="12" t="n"/>
      <c r="J1341" s="12" t="n"/>
      <c r="K1341" s="12" t="n"/>
      <c r="L1341" s="11" t="n"/>
      <c r="M1341" s="11" t="n"/>
      <c r="N1341" s="11" t="n"/>
      <c r="O1341" s="11" t="n"/>
      <c r="P1341" s="12" t="n"/>
      <c r="Q1341" s="11" t="n"/>
      <c r="R1341" s="12" t="n"/>
      <c r="S1341" s="11" t="n"/>
      <c r="T1341" s="12" t="n"/>
      <c r="U1341" s="12" t="n"/>
      <c r="V1341" s="12" t="n"/>
      <c r="W1341" s="13" t="n"/>
      <c r="X1341" s="14">
        <f>IF($AP1341="",IF($B1341="","",$H1341),IF(INDEX(職員マスタ!$B$6:$B$405,$AP1341)="",$H1341,INDEX(職員マスタ!$B$6:$B$405,$AP1341)))</f>
        <v/>
      </c>
      <c r="Y1341" s="14">
        <f>IF($AP1341="",IF($B1341="","",$R1341),IF(INDEX(職員マスタ!$C$6:$C$405,$AP1341)="",$R1341,INDEX(職員マスタ!$C$6:$C$405,$AP1341)))</f>
        <v/>
      </c>
      <c r="Z1341" s="14">
        <f>IF($AQ1341="","","R"&amp;$C1341&amp;"."&amp;$D1341)</f>
        <v/>
      </c>
      <c r="AA1341" s="15">
        <f>IF(IF($AP1341="",FALSE,INDEX(職員マスタ!$K$6:$K$405,$AP1341)&lt;&gt;""),INDEX(職員マスタ!$K$6:$K$405,$AP1341),IF(N($W1341)&gt;0,$W1341,""))</f>
        <v/>
      </c>
      <c r="AB1341" s="14">
        <f>IF(OR($E1341="",$AA1341=""),"",IF($E1341&gt;=$AA1341,"×",IF($E1341&gt;=$AA1341*設定!$C$5,"△","○")))</f>
        <v/>
      </c>
      <c r="AC1341" s="15">
        <f>IF($AB1341="","",IF($AB1341="×",0,IF($AB1341="○",ROUNDDOWN($E1341*設定!$C$4,0),ROUNDDOWN($E1341*ROUND((9*$AA1341-9*$E1341)/(10*$E1341),4),0))))</f>
        <v/>
      </c>
      <c r="AD1341" s="13" t="n"/>
      <c r="AE1341" s="15">
        <f>IF($B1341="","",IF($AD1341&lt;&gt;"",$AD1341,IF($AC1341="","",IF($AC1341&lt;=設定!$C$3,0,$AC1341))))</f>
        <v/>
      </c>
      <c r="AF1341" s="14">
        <f>IF($B1341="","",IF(AND($AG1341&lt;&gt;"",$AI1341="",$AL1341=""),"保留中",IF($AL1341&lt;&gt;"",IF(N($AE1341)&gt;0,"支給済","不支給"),IF($AE1341="","要確認",IF($AE1341=0,"不支給","未処理")))))</f>
        <v/>
      </c>
      <c r="AG1341" s="12" t="n"/>
      <c r="AH1341" s="11" t="n"/>
      <c r="AI1341" s="11" t="n"/>
      <c r="AJ1341" s="11" t="n"/>
      <c r="AK1341" s="14">
        <f>IF(AND($AF1341="保留中",$AH1341&lt;&gt;""),TODAY()-$AH1341,"")</f>
        <v/>
      </c>
      <c r="AL1341" s="12" t="n"/>
      <c r="AM1341" s="14">
        <f>IF($B1341="","",IF($AQ1341="","対象年月が未入力／","")&amp;IF($B1341="","",IF($AP1341="","職員マスタに未登録の職員番号／",IF($AA1341="","標準報酬月額が未登録／","")&amp;IF(AND($AQ1341&lt;&gt;"",OR(AND(INDEX(職員マスタ!$G$6:$G$405,$AP1341)&lt;&gt;"",INDEX(職員マスタ!$G$6:$G$405,$AP1341)&gt;EOMONTH($AQ1341,0)),AND(INDEX(職員マスタ!$H$6:$H$405,$AP1341)&lt;&gt;"",INDEX(職員マスタ!$H$6:$H$405,$AP1341)&lt;$AQ1341))),"対象月が時短期間外／","")&amp;IF(AND(INDEX(職員マスタ!$K$6:$K$405,$AP1341)&lt;&gt;"",N($W1341)&gt;0,INDEX(職員マスタ!$K$6:$K$405,$AP1341)&lt;&gt;$W1341),"標準報酬月額が申請書と相違（台帳"&amp;TEXT(INDEX(職員マスタ!$K$6:$K$405,$AP1341),"#,##0")&amp;"円／申請書"&amp;TEXT($W1341,"#,##0")&amp;"円）／","")&amp;IF(AND(INDEX(職員マスタ!$F$6:$F$405,$AP1341)&lt;&gt;"",$AQ1341&lt;&gt;"",INDEX(職員マスタ!$F$6:$F$405,$AP1341)&lt;$AQ1341),"対象月に子が2歳到達済／","")&amp;IF(AND($H1341&lt;&gt;"",INDEX(職員マスタ!$B$6:$B$405,$AP1341)&lt;&gt;"",SUBSTITUTE(SUBSTITUTE($H1341," ","")," ","")&lt;&gt;SUBSTITUTE(SUBSTITUTE(INDEX(職員マスタ!$B$6:$B$405,$AP1341)," ","")," ","")),"氏名がマスタと相違／","")&amp;IF(AND($Q1341&lt;&gt;"",INDEX(職員マスタ!$E$6:$E$405,$AP1341)&lt;&gt;"",$Q1341&lt;&gt;INDEX(職員マスタ!$E$6:$E$405,$AP1341)),"子の生年月日がマスタと相違／","")&amp;IF(AND($L1341&lt;&gt;"",INDEX(職員マスタ!$G$6:$G$405,$AP1341)&lt;&gt;"",$L1341&lt;&gt;INDEX(職員マスタ!$G$6:$G$405,$AP1341)),"時短開始日がマスタと相違／","")&amp;IF(AND($M1341&lt;&gt;"",INDEX(職員マスタ!$H$6:$H$405,$AP1341)&lt;&gt;"",$M1341&lt;&gt;INDEX(職員マスタ!$H$6:$H$405,$AP1341)),"時短終了日がマスタと相違／","")))&amp;IF(AND($B1341&lt;&gt;"",$E1341=""),"報酬額が未入力／","")&amp;IF(N($U1341)&gt;0,"申請書に入力エラーが残っています／","")&amp;IF(AND($B1341&lt;&gt;"",$AQ1341&lt;&gt;""),IF(COUNTIFS($B$6:$B$3005,$B1341,$C$6:$C$3005,$C1341,$D$6:$D$3005,$D1341)&gt;1,"同じ月の請求が重複しています／",""),"")&amp;IF(AND(N($E1341)&gt;0,$AB1341&lt;&gt;"",$AB1341&lt;&gt;"×",$AE1341=0,$AD1341=""),"計算額が下限以下のため不支給／",""))</f>
        <v/>
      </c>
      <c r="AN1341" s="12" t="n"/>
      <c r="AO1341" s="14">
        <f>IF($AF1341="保留中",COUNTIF($AF$6:$AF1341,"保留中"),"")</f>
        <v/>
      </c>
      <c r="AP1341" s="14">
        <f>IF($AQ1341="","",IF(SUMPRODUCT(MAX((職員マスタ!$A$6:$A$405=$B1341)*(((職員マスタ!$G$6:$G$405="")+(職員マスタ!$G$6:$G$405&lt;=EOMONTH($AQ1341,0)))&gt;0)*(((職員マスタ!$H$6:$H$405="")+(職員マスタ!$H$6:$H$405&gt;=$AQ1341))&gt;0)*(ROW(職員マスタ!$A$6:$A$405)-5)))&gt;0,SUMPRODUCT(MAX((職員マスタ!$A$6:$A$405=$B1341)*(((職員マスタ!$G$6:$G$405="")+(職員マスタ!$G$6:$G$405&lt;=EOMONTH($AQ1341,0)))&gt;0)*(((職員マスタ!$H$6:$H$405="")+(職員マスタ!$H$6:$H$405&gt;=$AQ1341))&gt;0)*(ROW(職員マスタ!$A$6:$A$405)-5))),IFERROR(MATCH($B1341,職員マスタ!$A$6:$A$405,0),"")))</f>
        <v/>
      </c>
      <c r="AQ1341" s="16">
        <f>IF(OR($B1341="",$C1341="",$D1341=""),"",DATE($C1341+2018,$D1341,1))</f>
        <v/>
      </c>
    </row>
    <row r="1342">
      <c r="A1342" s="11" t="n"/>
      <c r="B1342" s="12" t="n"/>
      <c r="C1342" s="12" t="n"/>
      <c r="D1342" s="12" t="n"/>
      <c r="E1342" s="13" t="n"/>
      <c r="F1342" s="12" t="n"/>
      <c r="G1342" s="13" t="n"/>
      <c r="H1342" s="12" t="n"/>
      <c r="I1342" s="12" t="n"/>
      <c r="J1342" s="12" t="n"/>
      <c r="K1342" s="12" t="n"/>
      <c r="L1342" s="11" t="n"/>
      <c r="M1342" s="11" t="n"/>
      <c r="N1342" s="11" t="n"/>
      <c r="O1342" s="11" t="n"/>
      <c r="P1342" s="12" t="n"/>
      <c r="Q1342" s="11" t="n"/>
      <c r="R1342" s="12" t="n"/>
      <c r="S1342" s="11" t="n"/>
      <c r="T1342" s="12" t="n"/>
      <c r="U1342" s="12" t="n"/>
      <c r="V1342" s="12" t="n"/>
      <c r="W1342" s="13" t="n"/>
      <c r="X1342" s="14">
        <f>IF($AP1342="",IF($B1342="","",$H1342),IF(INDEX(職員マスタ!$B$6:$B$405,$AP1342)="",$H1342,INDEX(職員マスタ!$B$6:$B$405,$AP1342)))</f>
        <v/>
      </c>
      <c r="Y1342" s="14">
        <f>IF($AP1342="",IF($B1342="","",$R1342),IF(INDEX(職員マスタ!$C$6:$C$405,$AP1342)="",$R1342,INDEX(職員マスタ!$C$6:$C$405,$AP1342)))</f>
        <v/>
      </c>
      <c r="Z1342" s="14">
        <f>IF($AQ1342="","","R"&amp;$C1342&amp;"."&amp;$D1342)</f>
        <v/>
      </c>
      <c r="AA1342" s="15">
        <f>IF(IF($AP1342="",FALSE,INDEX(職員マスタ!$K$6:$K$405,$AP1342)&lt;&gt;""),INDEX(職員マスタ!$K$6:$K$405,$AP1342),IF(N($W1342)&gt;0,$W1342,""))</f>
        <v/>
      </c>
      <c r="AB1342" s="14">
        <f>IF(OR($E1342="",$AA1342=""),"",IF($E1342&gt;=$AA1342,"×",IF($E1342&gt;=$AA1342*設定!$C$5,"△","○")))</f>
        <v/>
      </c>
      <c r="AC1342" s="15">
        <f>IF($AB1342="","",IF($AB1342="×",0,IF($AB1342="○",ROUNDDOWN($E1342*設定!$C$4,0),ROUNDDOWN($E1342*ROUND((9*$AA1342-9*$E1342)/(10*$E1342),4),0))))</f>
        <v/>
      </c>
      <c r="AD1342" s="13" t="n"/>
      <c r="AE1342" s="15">
        <f>IF($B1342="","",IF($AD1342&lt;&gt;"",$AD1342,IF($AC1342="","",IF($AC1342&lt;=設定!$C$3,0,$AC1342))))</f>
        <v/>
      </c>
      <c r="AF1342" s="14">
        <f>IF($B1342="","",IF(AND($AG1342&lt;&gt;"",$AI1342="",$AL1342=""),"保留中",IF($AL1342&lt;&gt;"",IF(N($AE1342)&gt;0,"支給済","不支給"),IF($AE1342="","要確認",IF($AE1342=0,"不支給","未処理")))))</f>
        <v/>
      </c>
      <c r="AG1342" s="12" t="n"/>
      <c r="AH1342" s="11" t="n"/>
      <c r="AI1342" s="11" t="n"/>
      <c r="AJ1342" s="11" t="n"/>
      <c r="AK1342" s="14">
        <f>IF(AND($AF1342="保留中",$AH1342&lt;&gt;""),TODAY()-$AH1342,"")</f>
        <v/>
      </c>
      <c r="AL1342" s="12" t="n"/>
      <c r="AM1342" s="14">
        <f>IF($B1342="","",IF($AQ1342="","対象年月が未入力／","")&amp;IF($B1342="","",IF($AP1342="","職員マスタに未登録の職員番号／",IF($AA1342="","標準報酬月額が未登録／","")&amp;IF(AND($AQ1342&lt;&gt;"",OR(AND(INDEX(職員マスタ!$G$6:$G$405,$AP1342)&lt;&gt;"",INDEX(職員マスタ!$G$6:$G$405,$AP1342)&gt;EOMONTH($AQ1342,0)),AND(INDEX(職員マスタ!$H$6:$H$405,$AP1342)&lt;&gt;"",INDEX(職員マスタ!$H$6:$H$405,$AP1342)&lt;$AQ1342))),"対象月が時短期間外／","")&amp;IF(AND(INDEX(職員マスタ!$K$6:$K$405,$AP1342)&lt;&gt;"",N($W1342)&gt;0,INDEX(職員マスタ!$K$6:$K$405,$AP1342)&lt;&gt;$W1342),"標準報酬月額が申請書と相違（台帳"&amp;TEXT(INDEX(職員マスタ!$K$6:$K$405,$AP1342),"#,##0")&amp;"円／申請書"&amp;TEXT($W1342,"#,##0")&amp;"円）／","")&amp;IF(AND(INDEX(職員マスタ!$F$6:$F$405,$AP1342)&lt;&gt;"",$AQ1342&lt;&gt;"",INDEX(職員マスタ!$F$6:$F$405,$AP1342)&lt;$AQ1342),"対象月に子が2歳到達済／","")&amp;IF(AND($H1342&lt;&gt;"",INDEX(職員マスタ!$B$6:$B$405,$AP1342)&lt;&gt;"",SUBSTITUTE(SUBSTITUTE($H1342," ","")," ","")&lt;&gt;SUBSTITUTE(SUBSTITUTE(INDEX(職員マスタ!$B$6:$B$405,$AP1342)," ","")," ","")),"氏名がマスタと相違／","")&amp;IF(AND($Q1342&lt;&gt;"",INDEX(職員マスタ!$E$6:$E$405,$AP1342)&lt;&gt;"",$Q1342&lt;&gt;INDEX(職員マスタ!$E$6:$E$405,$AP1342)),"子の生年月日がマスタと相違／","")&amp;IF(AND($L1342&lt;&gt;"",INDEX(職員マスタ!$G$6:$G$405,$AP1342)&lt;&gt;"",$L1342&lt;&gt;INDEX(職員マスタ!$G$6:$G$405,$AP1342)),"時短開始日がマスタと相違／","")&amp;IF(AND($M1342&lt;&gt;"",INDEX(職員マスタ!$H$6:$H$405,$AP1342)&lt;&gt;"",$M1342&lt;&gt;INDEX(職員マスタ!$H$6:$H$405,$AP1342)),"時短終了日がマスタと相違／","")))&amp;IF(AND($B1342&lt;&gt;"",$E1342=""),"報酬額が未入力／","")&amp;IF(N($U1342)&gt;0,"申請書に入力エラーが残っています／","")&amp;IF(AND($B1342&lt;&gt;"",$AQ1342&lt;&gt;""),IF(COUNTIFS($B$6:$B$3005,$B1342,$C$6:$C$3005,$C1342,$D$6:$D$3005,$D1342)&gt;1,"同じ月の請求が重複しています／",""),"")&amp;IF(AND(N($E1342)&gt;0,$AB1342&lt;&gt;"",$AB1342&lt;&gt;"×",$AE1342=0,$AD1342=""),"計算額が下限以下のため不支給／",""))</f>
        <v/>
      </c>
      <c r="AN1342" s="12" t="n"/>
      <c r="AO1342" s="14">
        <f>IF($AF1342="保留中",COUNTIF($AF$6:$AF1342,"保留中"),"")</f>
        <v/>
      </c>
      <c r="AP1342" s="14">
        <f>IF($AQ1342="","",IF(SUMPRODUCT(MAX((職員マスタ!$A$6:$A$405=$B1342)*(((職員マスタ!$G$6:$G$405="")+(職員マスタ!$G$6:$G$405&lt;=EOMONTH($AQ1342,0)))&gt;0)*(((職員マスタ!$H$6:$H$405="")+(職員マスタ!$H$6:$H$405&gt;=$AQ1342))&gt;0)*(ROW(職員マスタ!$A$6:$A$405)-5)))&gt;0,SUMPRODUCT(MAX((職員マスタ!$A$6:$A$405=$B1342)*(((職員マスタ!$G$6:$G$405="")+(職員マスタ!$G$6:$G$405&lt;=EOMONTH($AQ1342,0)))&gt;0)*(((職員マスタ!$H$6:$H$405="")+(職員マスタ!$H$6:$H$405&gt;=$AQ1342))&gt;0)*(ROW(職員マスタ!$A$6:$A$405)-5))),IFERROR(MATCH($B1342,職員マスタ!$A$6:$A$405,0),"")))</f>
        <v/>
      </c>
      <c r="AQ1342" s="16">
        <f>IF(OR($B1342="",$C1342="",$D1342=""),"",DATE($C1342+2018,$D1342,1))</f>
        <v/>
      </c>
    </row>
    <row r="1343">
      <c r="A1343" s="11" t="n"/>
      <c r="B1343" s="12" t="n"/>
      <c r="C1343" s="12" t="n"/>
      <c r="D1343" s="12" t="n"/>
      <c r="E1343" s="13" t="n"/>
      <c r="F1343" s="12" t="n"/>
      <c r="G1343" s="13" t="n"/>
      <c r="H1343" s="12" t="n"/>
      <c r="I1343" s="12" t="n"/>
      <c r="J1343" s="12" t="n"/>
      <c r="K1343" s="12" t="n"/>
      <c r="L1343" s="11" t="n"/>
      <c r="M1343" s="11" t="n"/>
      <c r="N1343" s="11" t="n"/>
      <c r="O1343" s="11" t="n"/>
      <c r="P1343" s="12" t="n"/>
      <c r="Q1343" s="11" t="n"/>
      <c r="R1343" s="12" t="n"/>
      <c r="S1343" s="11" t="n"/>
      <c r="T1343" s="12" t="n"/>
      <c r="U1343" s="12" t="n"/>
      <c r="V1343" s="12" t="n"/>
      <c r="W1343" s="13" t="n"/>
      <c r="X1343" s="14">
        <f>IF($AP1343="",IF($B1343="","",$H1343),IF(INDEX(職員マスタ!$B$6:$B$405,$AP1343)="",$H1343,INDEX(職員マスタ!$B$6:$B$405,$AP1343)))</f>
        <v/>
      </c>
      <c r="Y1343" s="14">
        <f>IF($AP1343="",IF($B1343="","",$R1343),IF(INDEX(職員マスタ!$C$6:$C$405,$AP1343)="",$R1343,INDEX(職員マスタ!$C$6:$C$405,$AP1343)))</f>
        <v/>
      </c>
      <c r="Z1343" s="14">
        <f>IF($AQ1343="","","R"&amp;$C1343&amp;"."&amp;$D1343)</f>
        <v/>
      </c>
      <c r="AA1343" s="15">
        <f>IF(IF($AP1343="",FALSE,INDEX(職員マスタ!$K$6:$K$405,$AP1343)&lt;&gt;""),INDEX(職員マスタ!$K$6:$K$405,$AP1343),IF(N($W1343)&gt;0,$W1343,""))</f>
        <v/>
      </c>
      <c r="AB1343" s="14">
        <f>IF(OR($E1343="",$AA1343=""),"",IF($E1343&gt;=$AA1343,"×",IF($E1343&gt;=$AA1343*設定!$C$5,"△","○")))</f>
        <v/>
      </c>
      <c r="AC1343" s="15">
        <f>IF($AB1343="","",IF($AB1343="×",0,IF($AB1343="○",ROUNDDOWN($E1343*設定!$C$4,0),ROUNDDOWN($E1343*ROUND((9*$AA1343-9*$E1343)/(10*$E1343),4),0))))</f>
        <v/>
      </c>
      <c r="AD1343" s="13" t="n"/>
      <c r="AE1343" s="15">
        <f>IF($B1343="","",IF($AD1343&lt;&gt;"",$AD1343,IF($AC1343="","",IF($AC1343&lt;=設定!$C$3,0,$AC1343))))</f>
        <v/>
      </c>
      <c r="AF1343" s="14">
        <f>IF($B1343="","",IF(AND($AG1343&lt;&gt;"",$AI1343="",$AL1343=""),"保留中",IF($AL1343&lt;&gt;"",IF(N($AE1343)&gt;0,"支給済","不支給"),IF($AE1343="","要確認",IF($AE1343=0,"不支給","未処理")))))</f>
        <v/>
      </c>
      <c r="AG1343" s="12" t="n"/>
      <c r="AH1343" s="11" t="n"/>
      <c r="AI1343" s="11" t="n"/>
      <c r="AJ1343" s="11" t="n"/>
      <c r="AK1343" s="14">
        <f>IF(AND($AF1343="保留中",$AH1343&lt;&gt;""),TODAY()-$AH1343,"")</f>
        <v/>
      </c>
      <c r="AL1343" s="12" t="n"/>
      <c r="AM1343" s="14">
        <f>IF($B1343="","",IF($AQ1343="","対象年月が未入力／","")&amp;IF($B1343="","",IF($AP1343="","職員マスタに未登録の職員番号／",IF($AA1343="","標準報酬月額が未登録／","")&amp;IF(AND($AQ1343&lt;&gt;"",OR(AND(INDEX(職員マスタ!$G$6:$G$405,$AP1343)&lt;&gt;"",INDEX(職員マスタ!$G$6:$G$405,$AP1343)&gt;EOMONTH($AQ1343,0)),AND(INDEX(職員マスタ!$H$6:$H$405,$AP1343)&lt;&gt;"",INDEX(職員マスタ!$H$6:$H$405,$AP1343)&lt;$AQ1343))),"対象月が時短期間外／","")&amp;IF(AND(INDEX(職員マスタ!$K$6:$K$405,$AP1343)&lt;&gt;"",N($W1343)&gt;0,INDEX(職員マスタ!$K$6:$K$405,$AP1343)&lt;&gt;$W1343),"標準報酬月額が申請書と相違（台帳"&amp;TEXT(INDEX(職員マスタ!$K$6:$K$405,$AP1343),"#,##0")&amp;"円／申請書"&amp;TEXT($W1343,"#,##0")&amp;"円）／","")&amp;IF(AND(INDEX(職員マスタ!$F$6:$F$405,$AP1343)&lt;&gt;"",$AQ1343&lt;&gt;"",INDEX(職員マスタ!$F$6:$F$405,$AP1343)&lt;$AQ1343),"対象月に子が2歳到達済／","")&amp;IF(AND($H1343&lt;&gt;"",INDEX(職員マスタ!$B$6:$B$405,$AP1343)&lt;&gt;"",SUBSTITUTE(SUBSTITUTE($H1343," ","")," ","")&lt;&gt;SUBSTITUTE(SUBSTITUTE(INDEX(職員マスタ!$B$6:$B$405,$AP1343)," ","")," ","")),"氏名がマスタと相違／","")&amp;IF(AND($Q1343&lt;&gt;"",INDEX(職員マスタ!$E$6:$E$405,$AP1343)&lt;&gt;"",$Q1343&lt;&gt;INDEX(職員マスタ!$E$6:$E$405,$AP1343)),"子の生年月日がマスタと相違／","")&amp;IF(AND($L1343&lt;&gt;"",INDEX(職員マスタ!$G$6:$G$405,$AP1343)&lt;&gt;"",$L1343&lt;&gt;INDEX(職員マスタ!$G$6:$G$405,$AP1343)),"時短開始日がマスタと相違／","")&amp;IF(AND($M1343&lt;&gt;"",INDEX(職員マスタ!$H$6:$H$405,$AP1343)&lt;&gt;"",$M1343&lt;&gt;INDEX(職員マスタ!$H$6:$H$405,$AP1343)),"時短終了日がマスタと相違／","")))&amp;IF(AND($B1343&lt;&gt;"",$E1343=""),"報酬額が未入力／","")&amp;IF(N($U1343)&gt;0,"申請書に入力エラーが残っています／","")&amp;IF(AND($B1343&lt;&gt;"",$AQ1343&lt;&gt;""),IF(COUNTIFS($B$6:$B$3005,$B1343,$C$6:$C$3005,$C1343,$D$6:$D$3005,$D1343)&gt;1,"同じ月の請求が重複しています／",""),"")&amp;IF(AND(N($E1343)&gt;0,$AB1343&lt;&gt;"",$AB1343&lt;&gt;"×",$AE1343=0,$AD1343=""),"計算額が下限以下のため不支給／",""))</f>
        <v/>
      </c>
      <c r="AN1343" s="12" t="n"/>
      <c r="AO1343" s="14">
        <f>IF($AF1343="保留中",COUNTIF($AF$6:$AF1343,"保留中"),"")</f>
        <v/>
      </c>
      <c r="AP1343" s="14">
        <f>IF($AQ1343="","",IF(SUMPRODUCT(MAX((職員マスタ!$A$6:$A$405=$B1343)*(((職員マスタ!$G$6:$G$405="")+(職員マスタ!$G$6:$G$405&lt;=EOMONTH($AQ1343,0)))&gt;0)*(((職員マスタ!$H$6:$H$405="")+(職員マスタ!$H$6:$H$405&gt;=$AQ1343))&gt;0)*(ROW(職員マスタ!$A$6:$A$405)-5)))&gt;0,SUMPRODUCT(MAX((職員マスタ!$A$6:$A$405=$B1343)*(((職員マスタ!$G$6:$G$405="")+(職員マスタ!$G$6:$G$405&lt;=EOMONTH($AQ1343,0)))&gt;0)*(((職員マスタ!$H$6:$H$405="")+(職員マスタ!$H$6:$H$405&gt;=$AQ1343))&gt;0)*(ROW(職員マスタ!$A$6:$A$405)-5))),IFERROR(MATCH($B1343,職員マスタ!$A$6:$A$405,0),"")))</f>
        <v/>
      </c>
      <c r="AQ1343" s="16">
        <f>IF(OR($B1343="",$C1343="",$D1343=""),"",DATE($C1343+2018,$D1343,1))</f>
        <v/>
      </c>
    </row>
    <row r="1344">
      <c r="A1344" s="11" t="n"/>
      <c r="B1344" s="12" t="n"/>
      <c r="C1344" s="12" t="n"/>
      <c r="D1344" s="12" t="n"/>
      <c r="E1344" s="13" t="n"/>
      <c r="F1344" s="12" t="n"/>
      <c r="G1344" s="13" t="n"/>
      <c r="H1344" s="12" t="n"/>
      <c r="I1344" s="12" t="n"/>
      <c r="J1344" s="12" t="n"/>
      <c r="K1344" s="12" t="n"/>
      <c r="L1344" s="11" t="n"/>
      <c r="M1344" s="11" t="n"/>
      <c r="N1344" s="11" t="n"/>
      <c r="O1344" s="11" t="n"/>
      <c r="P1344" s="12" t="n"/>
      <c r="Q1344" s="11" t="n"/>
      <c r="R1344" s="12" t="n"/>
      <c r="S1344" s="11" t="n"/>
      <c r="T1344" s="12" t="n"/>
      <c r="U1344" s="12" t="n"/>
      <c r="V1344" s="12" t="n"/>
      <c r="W1344" s="13" t="n"/>
      <c r="X1344" s="14">
        <f>IF($AP1344="",IF($B1344="","",$H1344),IF(INDEX(職員マスタ!$B$6:$B$405,$AP1344)="",$H1344,INDEX(職員マスタ!$B$6:$B$405,$AP1344)))</f>
        <v/>
      </c>
      <c r="Y1344" s="14">
        <f>IF($AP1344="",IF($B1344="","",$R1344),IF(INDEX(職員マスタ!$C$6:$C$405,$AP1344)="",$R1344,INDEX(職員マスタ!$C$6:$C$405,$AP1344)))</f>
        <v/>
      </c>
      <c r="Z1344" s="14">
        <f>IF($AQ1344="","","R"&amp;$C1344&amp;"."&amp;$D1344)</f>
        <v/>
      </c>
      <c r="AA1344" s="15">
        <f>IF(IF($AP1344="",FALSE,INDEX(職員マスタ!$K$6:$K$405,$AP1344)&lt;&gt;""),INDEX(職員マスタ!$K$6:$K$405,$AP1344),IF(N($W1344)&gt;0,$W1344,""))</f>
        <v/>
      </c>
      <c r="AB1344" s="14">
        <f>IF(OR($E1344="",$AA1344=""),"",IF($E1344&gt;=$AA1344,"×",IF($E1344&gt;=$AA1344*設定!$C$5,"△","○")))</f>
        <v/>
      </c>
      <c r="AC1344" s="15">
        <f>IF($AB1344="","",IF($AB1344="×",0,IF($AB1344="○",ROUNDDOWN($E1344*設定!$C$4,0),ROUNDDOWN($E1344*ROUND((9*$AA1344-9*$E1344)/(10*$E1344),4),0))))</f>
        <v/>
      </c>
      <c r="AD1344" s="13" t="n"/>
      <c r="AE1344" s="15">
        <f>IF($B1344="","",IF($AD1344&lt;&gt;"",$AD1344,IF($AC1344="","",IF($AC1344&lt;=設定!$C$3,0,$AC1344))))</f>
        <v/>
      </c>
      <c r="AF1344" s="14">
        <f>IF($B1344="","",IF(AND($AG1344&lt;&gt;"",$AI1344="",$AL1344=""),"保留中",IF($AL1344&lt;&gt;"",IF(N($AE1344)&gt;0,"支給済","不支給"),IF($AE1344="","要確認",IF($AE1344=0,"不支給","未処理")))))</f>
        <v/>
      </c>
      <c r="AG1344" s="12" t="n"/>
      <c r="AH1344" s="11" t="n"/>
      <c r="AI1344" s="11" t="n"/>
      <c r="AJ1344" s="11" t="n"/>
      <c r="AK1344" s="14">
        <f>IF(AND($AF1344="保留中",$AH1344&lt;&gt;""),TODAY()-$AH1344,"")</f>
        <v/>
      </c>
      <c r="AL1344" s="12" t="n"/>
      <c r="AM1344" s="14">
        <f>IF($B1344="","",IF($AQ1344="","対象年月が未入力／","")&amp;IF($B1344="","",IF($AP1344="","職員マスタに未登録の職員番号／",IF($AA1344="","標準報酬月額が未登録／","")&amp;IF(AND($AQ1344&lt;&gt;"",OR(AND(INDEX(職員マスタ!$G$6:$G$405,$AP1344)&lt;&gt;"",INDEX(職員マスタ!$G$6:$G$405,$AP1344)&gt;EOMONTH($AQ1344,0)),AND(INDEX(職員マスタ!$H$6:$H$405,$AP1344)&lt;&gt;"",INDEX(職員マスタ!$H$6:$H$405,$AP1344)&lt;$AQ1344))),"対象月が時短期間外／","")&amp;IF(AND(INDEX(職員マスタ!$K$6:$K$405,$AP1344)&lt;&gt;"",N($W1344)&gt;0,INDEX(職員マスタ!$K$6:$K$405,$AP1344)&lt;&gt;$W1344),"標準報酬月額が申請書と相違（台帳"&amp;TEXT(INDEX(職員マスタ!$K$6:$K$405,$AP1344),"#,##0")&amp;"円／申請書"&amp;TEXT($W1344,"#,##0")&amp;"円）／","")&amp;IF(AND(INDEX(職員マスタ!$F$6:$F$405,$AP1344)&lt;&gt;"",$AQ1344&lt;&gt;"",INDEX(職員マスタ!$F$6:$F$405,$AP1344)&lt;$AQ1344),"対象月に子が2歳到達済／","")&amp;IF(AND($H1344&lt;&gt;"",INDEX(職員マスタ!$B$6:$B$405,$AP1344)&lt;&gt;"",SUBSTITUTE(SUBSTITUTE($H1344," ","")," ","")&lt;&gt;SUBSTITUTE(SUBSTITUTE(INDEX(職員マスタ!$B$6:$B$405,$AP1344)," ","")," ","")),"氏名がマスタと相違／","")&amp;IF(AND($Q1344&lt;&gt;"",INDEX(職員マスタ!$E$6:$E$405,$AP1344)&lt;&gt;"",$Q1344&lt;&gt;INDEX(職員マスタ!$E$6:$E$405,$AP1344)),"子の生年月日がマスタと相違／","")&amp;IF(AND($L1344&lt;&gt;"",INDEX(職員マスタ!$G$6:$G$405,$AP1344)&lt;&gt;"",$L1344&lt;&gt;INDEX(職員マスタ!$G$6:$G$405,$AP1344)),"時短開始日がマスタと相違／","")&amp;IF(AND($M1344&lt;&gt;"",INDEX(職員マスタ!$H$6:$H$405,$AP1344)&lt;&gt;"",$M1344&lt;&gt;INDEX(職員マスタ!$H$6:$H$405,$AP1344)),"時短終了日がマスタと相違／","")))&amp;IF(AND($B1344&lt;&gt;"",$E1344=""),"報酬額が未入力／","")&amp;IF(N($U1344)&gt;0,"申請書に入力エラーが残っています／","")&amp;IF(AND($B1344&lt;&gt;"",$AQ1344&lt;&gt;""),IF(COUNTIFS($B$6:$B$3005,$B1344,$C$6:$C$3005,$C1344,$D$6:$D$3005,$D1344)&gt;1,"同じ月の請求が重複しています／",""),"")&amp;IF(AND(N($E1344)&gt;0,$AB1344&lt;&gt;"",$AB1344&lt;&gt;"×",$AE1344=0,$AD1344=""),"計算額が下限以下のため不支給／",""))</f>
        <v/>
      </c>
      <c r="AN1344" s="12" t="n"/>
      <c r="AO1344" s="14">
        <f>IF($AF1344="保留中",COUNTIF($AF$6:$AF1344,"保留中"),"")</f>
        <v/>
      </c>
      <c r="AP1344" s="14">
        <f>IF($AQ1344="","",IF(SUMPRODUCT(MAX((職員マスタ!$A$6:$A$405=$B1344)*(((職員マスタ!$G$6:$G$405="")+(職員マスタ!$G$6:$G$405&lt;=EOMONTH($AQ1344,0)))&gt;0)*(((職員マスタ!$H$6:$H$405="")+(職員マスタ!$H$6:$H$405&gt;=$AQ1344))&gt;0)*(ROW(職員マスタ!$A$6:$A$405)-5)))&gt;0,SUMPRODUCT(MAX((職員マスタ!$A$6:$A$405=$B1344)*(((職員マスタ!$G$6:$G$405="")+(職員マスタ!$G$6:$G$405&lt;=EOMONTH($AQ1344,0)))&gt;0)*(((職員マスタ!$H$6:$H$405="")+(職員マスタ!$H$6:$H$405&gt;=$AQ1344))&gt;0)*(ROW(職員マスタ!$A$6:$A$405)-5))),IFERROR(MATCH($B1344,職員マスタ!$A$6:$A$405,0),"")))</f>
        <v/>
      </c>
      <c r="AQ1344" s="16">
        <f>IF(OR($B1344="",$C1344="",$D1344=""),"",DATE($C1344+2018,$D1344,1))</f>
        <v/>
      </c>
    </row>
    <row r="1345">
      <c r="A1345" s="11" t="n"/>
      <c r="B1345" s="12" t="n"/>
      <c r="C1345" s="12" t="n"/>
      <c r="D1345" s="12" t="n"/>
      <c r="E1345" s="13" t="n"/>
      <c r="F1345" s="12" t="n"/>
      <c r="G1345" s="13" t="n"/>
      <c r="H1345" s="12" t="n"/>
      <c r="I1345" s="12" t="n"/>
      <c r="J1345" s="12" t="n"/>
      <c r="K1345" s="12" t="n"/>
      <c r="L1345" s="11" t="n"/>
      <c r="M1345" s="11" t="n"/>
      <c r="N1345" s="11" t="n"/>
      <c r="O1345" s="11" t="n"/>
      <c r="P1345" s="12" t="n"/>
      <c r="Q1345" s="11" t="n"/>
      <c r="R1345" s="12" t="n"/>
      <c r="S1345" s="11" t="n"/>
      <c r="T1345" s="12" t="n"/>
      <c r="U1345" s="12" t="n"/>
      <c r="V1345" s="12" t="n"/>
      <c r="W1345" s="13" t="n"/>
      <c r="X1345" s="14">
        <f>IF($AP1345="",IF($B1345="","",$H1345),IF(INDEX(職員マスタ!$B$6:$B$405,$AP1345)="",$H1345,INDEX(職員マスタ!$B$6:$B$405,$AP1345)))</f>
        <v/>
      </c>
      <c r="Y1345" s="14">
        <f>IF($AP1345="",IF($B1345="","",$R1345),IF(INDEX(職員マスタ!$C$6:$C$405,$AP1345)="",$R1345,INDEX(職員マスタ!$C$6:$C$405,$AP1345)))</f>
        <v/>
      </c>
      <c r="Z1345" s="14">
        <f>IF($AQ1345="","","R"&amp;$C1345&amp;"."&amp;$D1345)</f>
        <v/>
      </c>
      <c r="AA1345" s="15">
        <f>IF(IF($AP1345="",FALSE,INDEX(職員マスタ!$K$6:$K$405,$AP1345)&lt;&gt;""),INDEX(職員マスタ!$K$6:$K$405,$AP1345),IF(N($W1345)&gt;0,$W1345,""))</f>
        <v/>
      </c>
      <c r="AB1345" s="14">
        <f>IF(OR($E1345="",$AA1345=""),"",IF($E1345&gt;=$AA1345,"×",IF($E1345&gt;=$AA1345*設定!$C$5,"△","○")))</f>
        <v/>
      </c>
      <c r="AC1345" s="15">
        <f>IF($AB1345="","",IF($AB1345="×",0,IF($AB1345="○",ROUNDDOWN($E1345*設定!$C$4,0),ROUNDDOWN($E1345*ROUND((9*$AA1345-9*$E1345)/(10*$E1345),4),0))))</f>
        <v/>
      </c>
      <c r="AD1345" s="13" t="n"/>
      <c r="AE1345" s="15">
        <f>IF($B1345="","",IF($AD1345&lt;&gt;"",$AD1345,IF($AC1345="","",IF($AC1345&lt;=設定!$C$3,0,$AC1345))))</f>
        <v/>
      </c>
      <c r="AF1345" s="14">
        <f>IF($B1345="","",IF(AND($AG1345&lt;&gt;"",$AI1345="",$AL1345=""),"保留中",IF($AL1345&lt;&gt;"",IF(N($AE1345)&gt;0,"支給済","不支給"),IF($AE1345="","要確認",IF($AE1345=0,"不支給","未処理")))))</f>
        <v/>
      </c>
      <c r="AG1345" s="12" t="n"/>
      <c r="AH1345" s="11" t="n"/>
      <c r="AI1345" s="11" t="n"/>
      <c r="AJ1345" s="11" t="n"/>
      <c r="AK1345" s="14">
        <f>IF(AND($AF1345="保留中",$AH1345&lt;&gt;""),TODAY()-$AH1345,"")</f>
        <v/>
      </c>
      <c r="AL1345" s="12" t="n"/>
      <c r="AM1345" s="14">
        <f>IF($B1345="","",IF($AQ1345="","対象年月が未入力／","")&amp;IF($B1345="","",IF($AP1345="","職員マスタに未登録の職員番号／",IF($AA1345="","標準報酬月額が未登録／","")&amp;IF(AND($AQ1345&lt;&gt;"",OR(AND(INDEX(職員マスタ!$G$6:$G$405,$AP1345)&lt;&gt;"",INDEX(職員マスタ!$G$6:$G$405,$AP1345)&gt;EOMONTH($AQ1345,0)),AND(INDEX(職員マスタ!$H$6:$H$405,$AP1345)&lt;&gt;"",INDEX(職員マスタ!$H$6:$H$405,$AP1345)&lt;$AQ1345))),"対象月が時短期間外／","")&amp;IF(AND(INDEX(職員マスタ!$K$6:$K$405,$AP1345)&lt;&gt;"",N($W1345)&gt;0,INDEX(職員マスタ!$K$6:$K$405,$AP1345)&lt;&gt;$W1345),"標準報酬月額が申請書と相違（台帳"&amp;TEXT(INDEX(職員マスタ!$K$6:$K$405,$AP1345),"#,##0")&amp;"円／申請書"&amp;TEXT($W1345,"#,##0")&amp;"円）／","")&amp;IF(AND(INDEX(職員マスタ!$F$6:$F$405,$AP1345)&lt;&gt;"",$AQ1345&lt;&gt;"",INDEX(職員マスタ!$F$6:$F$405,$AP1345)&lt;$AQ1345),"対象月に子が2歳到達済／","")&amp;IF(AND($H1345&lt;&gt;"",INDEX(職員マスタ!$B$6:$B$405,$AP1345)&lt;&gt;"",SUBSTITUTE(SUBSTITUTE($H1345," ","")," ","")&lt;&gt;SUBSTITUTE(SUBSTITUTE(INDEX(職員マスタ!$B$6:$B$405,$AP1345)," ","")," ","")),"氏名がマスタと相違／","")&amp;IF(AND($Q1345&lt;&gt;"",INDEX(職員マスタ!$E$6:$E$405,$AP1345)&lt;&gt;"",$Q1345&lt;&gt;INDEX(職員マスタ!$E$6:$E$405,$AP1345)),"子の生年月日がマスタと相違／","")&amp;IF(AND($L1345&lt;&gt;"",INDEX(職員マスタ!$G$6:$G$405,$AP1345)&lt;&gt;"",$L1345&lt;&gt;INDEX(職員マスタ!$G$6:$G$405,$AP1345)),"時短開始日がマスタと相違／","")&amp;IF(AND($M1345&lt;&gt;"",INDEX(職員マスタ!$H$6:$H$405,$AP1345)&lt;&gt;"",$M1345&lt;&gt;INDEX(職員マスタ!$H$6:$H$405,$AP1345)),"時短終了日がマスタと相違／","")))&amp;IF(AND($B1345&lt;&gt;"",$E1345=""),"報酬額が未入力／","")&amp;IF(N($U1345)&gt;0,"申請書に入力エラーが残っています／","")&amp;IF(AND($B1345&lt;&gt;"",$AQ1345&lt;&gt;""),IF(COUNTIFS($B$6:$B$3005,$B1345,$C$6:$C$3005,$C1345,$D$6:$D$3005,$D1345)&gt;1,"同じ月の請求が重複しています／",""),"")&amp;IF(AND(N($E1345)&gt;0,$AB1345&lt;&gt;"",$AB1345&lt;&gt;"×",$AE1345=0,$AD1345=""),"計算額が下限以下のため不支給／",""))</f>
        <v/>
      </c>
      <c r="AN1345" s="12" t="n"/>
      <c r="AO1345" s="14">
        <f>IF($AF1345="保留中",COUNTIF($AF$6:$AF1345,"保留中"),"")</f>
        <v/>
      </c>
      <c r="AP1345" s="14">
        <f>IF($AQ1345="","",IF(SUMPRODUCT(MAX((職員マスタ!$A$6:$A$405=$B1345)*(((職員マスタ!$G$6:$G$405="")+(職員マスタ!$G$6:$G$405&lt;=EOMONTH($AQ1345,0)))&gt;0)*(((職員マスタ!$H$6:$H$405="")+(職員マスタ!$H$6:$H$405&gt;=$AQ1345))&gt;0)*(ROW(職員マスタ!$A$6:$A$405)-5)))&gt;0,SUMPRODUCT(MAX((職員マスタ!$A$6:$A$405=$B1345)*(((職員マスタ!$G$6:$G$405="")+(職員マスタ!$G$6:$G$405&lt;=EOMONTH($AQ1345,0)))&gt;0)*(((職員マスタ!$H$6:$H$405="")+(職員マスタ!$H$6:$H$405&gt;=$AQ1345))&gt;0)*(ROW(職員マスタ!$A$6:$A$405)-5))),IFERROR(MATCH($B1345,職員マスタ!$A$6:$A$405,0),"")))</f>
        <v/>
      </c>
      <c r="AQ1345" s="16">
        <f>IF(OR($B1345="",$C1345="",$D1345=""),"",DATE($C1345+2018,$D1345,1))</f>
        <v/>
      </c>
    </row>
    <row r="1346">
      <c r="A1346" s="11" t="n"/>
      <c r="B1346" s="12" t="n"/>
      <c r="C1346" s="12" t="n"/>
      <c r="D1346" s="12" t="n"/>
      <c r="E1346" s="13" t="n"/>
      <c r="F1346" s="12" t="n"/>
      <c r="G1346" s="13" t="n"/>
      <c r="H1346" s="12" t="n"/>
      <c r="I1346" s="12" t="n"/>
      <c r="J1346" s="12" t="n"/>
      <c r="K1346" s="12" t="n"/>
      <c r="L1346" s="11" t="n"/>
      <c r="M1346" s="11" t="n"/>
      <c r="N1346" s="11" t="n"/>
      <c r="O1346" s="11" t="n"/>
      <c r="P1346" s="12" t="n"/>
      <c r="Q1346" s="11" t="n"/>
      <c r="R1346" s="12" t="n"/>
      <c r="S1346" s="11" t="n"/>
      <c r="T1346" s="12" t="n"/>
      <c r="U1346" s="12" t="n"/>
      <c r="V1346" s="12" t="n"/>
      <c r="W1346" s="13" t="n"/>
      <c r="X1346" s="14">
        <f>IF($AP1346="",IF($B1346="","",$H1346),IF(INDEX(職員マスタ!$B$6:$B$405,$AP1346)="",$H1346,INDEX(職員マスタ!$B$6:$B$405,$AP1346)))</f>
        <v/>
      </c>
      <c r="Y1346" s="14">
        <f>IF($AP1346="",IF($B1346="","",$R1346),IF(INDEX(職員マスタ!$C$6:$C$405,$AP1346)="",$R1346,INDEX(職員マスタ!$C$6:$C$405,$AP1346)))</f>
        <v/>
      </c>
      <c r="Z1346" s="14">
        <f>IF($AQ1346="","","R"&amp;$C1346&amp;"."&amp;$D1346)</f>
        <v/>
      </c>
      <c r="AA1346" s="15">
        <f>IF(IF($AP1346="",FALSE,INDEX(職員マスタ!$K$6:$K$405,$AP1346)&lt;&gt;""),INDEX(職員マスタ!$K$6:$K$405,$AP1346),IF(N($W1346)&gt;0,$W1346,""))</f>
        <v/>
      </c>
      <c r="AB1346" s="14">
        <f>IF(OR($E1346="",$AA1346=""),"",IF($E1346&gt;=$AA1346,"×",IF($E1346&gt;=$AA1346*設定!$C$5,"△","○")))</f>
        <v/>
      </c>
      <c r="AC1346" s="15">
        <f>IF($AB1346="","",IF($AB1346="×",0,IF($AB1346="○",ROUNDDOWN($E1346*設定!$C$4,0),ROUNDDOWN($E1346*ROUND((9*$AA1346-9*$E1346)/(10*$E1346),4),0))))</f>
        <v/>
      </c>
      <c r="AD1346" s="13" t="n"/>
      <c r="AE1346" s="15">
        <f>IF($B1346="","",IF($AD1346&lt;&gt;"",$AD1346,IF($AC1346="","",IF($AC1346&lt;=設定!$C$3,0,$AC1346))))</f>
        <v/>
      </c>
      <c r="AF1346" s="14">
        <f>IF($B1346="","",IF(AND($AG1346&lt;&gt;"",$AI1346="",$AL1346=""),"保留中",IF($AL1346&lt;&gt;"",IF(N($AE1346)&gt;0,"支給済","不支給"),IF($AE1346="","要確認",IF($AE1346=0,"不支給","未処理")))))</f>
        <v/>
      </c>
      <c r="AG1346" s="12" t="n"/>
      <c r="AH1346" s="11" t="n"/>
      <c r="AI1346" s="11" t="n"/>
      <c r="AJ1346" s="11" t="n"/>
      <c r="AK1346" s="14">
        <f>IF(AND($AF1346="保留中",$AH1346&lt;&gt;""),TODAY()-$AH1346,"")</f>
        <v/>
      </c>
      <c r="AL1346" s="12" t="n"/>
      <c r="AM1346" s="14">
        <f>IF($B1346="","",IF($AQ1346="","対象年月が未入力／","")&amp;IF($B1346="","",IF($AP1346="","職員マスタに未登録の職員番号／",IF($AA1346="","標準報酬月額が未登録／","")&amp;IF(AND($AQ1346&lt;&gt;"",OR(AND(INDEX(職員マスタ!$G$6:$G$405,$AP1346)&lt;&gt;"",INDEX(職員マスタ!$G$6:$G$405,$AP1346)&gt;EOMONTH($AQ1346,0)),AND(INDEX(職員マスタ!$H$6:$H$405,$AP1346)&lt;&gt;"",INDEX(職員マスタ!$H$6:$H$405,$AP1346)&lt;$AQ1346))),"対象月が時短期間外／","")&amp;IF(AND(INDEX(職員マスタ!$K$6:$K$405,$AP1346)&lt;&gt;"",N($W1346)&gt;0,INDEX(職員マスタ!$K$6:$K$405,$AP1346)&lt;&gt;$W1346),"標準報酬月額が申請書と相違（台帳"&amp;TEXT(INDEX(職員マスタ!$K$6:$K$405,$AP1346),"#,##0")&amp;"円／申請書"&amp;TEXT($W1346,"#,##0")&amp;"円）／","")&amp;IF(AND(INDEX(職員マスタ!$F$6:$F$405,$AP1346)&lt;&gt;"",$AQ1346&lt;&gt;"",INDEX(職員マスタ!$F$6:$F$405,$AP1346)&lt;$AQ1346),"対象月に子が2歳到達済／","")&amp;IF(AND($H1346&lt;&gt;"",INDEX(職員マスタ!$B$6:$B$405,$AP1346)&lt;&gt;"",SUBSTITUTE(SUBSTITUTE($H1346," ","")," ","")&lt;&gt;SUBSTITUTE(SUBSTITUTE(INDEX(職員マスタ!$B$6:$B$405,$AP1346)," ","")," ","")),"氏名がマスタと相違／","")&amp;IF(AND($Q1346&lt;&gt;"",INDEX(職員マスタ!$E$6:$E$405,$AP1346)&lt;&gt;"",$Q1346&lt;&gt;INDEX(職員マスタ!$E$6:$E$405,$AP1346)),"子の生年月日がマスタと相違／","")&amp;IF(AND($L1346&lt;&gt;"",INDEX(職員マスタ!$G$6:$G$405,$AP1346)&lt;&gt;"",$L1346&lt;&gt;INDEX(職員マスタ!$G$6:$G$405,$AP1346)),"時短開始日がマスタと相違／","")&amp;IF(AND($M1346&lt;&gt;"",INDEX(職員マスタ!$H$6:$H$405,$AP1346)&lt;&gt;"",$M1346&lt;&gt;INDEX(職員マスタ!$H$6:$H$405,$AP1346)),"時短終了日がマスタと相違／","")))&amp;IF(AND($B1346&lt;&gt;"",$E1346=""),"報酬額が未入力／","")&amp;IF(N($U1346)&gt;0,"申請書に入力エラーが残っています／","")&amp;IF(AND($B1346&lt;&gt;"",$AQ1346&lt;&gt;""),IF(COUNTIFS($B$6:$B$3005,$B1346,$C$6:$C$3005,$C1346,$D$6:$D$3005,$D1346)&gt;1,"同じ月の請求が重複しています／",""),"")&amp;IF(AND(N($E1346)&gt;0,$AB1346&lt;&gt;"",$AB1346&lt;&gt;"×",$AE1346=0,$AD1346=""),"計算額が下限以下のため不支給／",""))</f>
        <v/>
      </c>
      <c r="AN1346" s="12" t="n"/>
      <c r="AO1346" s="14">
        <f>IF($AF1346="保留中",COUNTIF($AF$6:$AF1346,"保留中"),"")</f>
        <v/>
      </c>
      <c r="AP1346" s="14">
        <f>IF($AQ1346="","",IF(SUMPRODUCT(MAX((職員マスタ!$A$6:$A$405=$B1346)*(((職員マスタ!$G$6:$G$405="")+(職員マスタ!$G$6:$G$405&lt;=EOMONTH($AQ1346,0)))&gt;0)*(((職員マスタ!$H$6:$H$405="")+(職員マスタ!$H$6:$H$405&gt;=$AQ1346))&gt;0)*(ROW(職員マスタ!$A$6:$A$405)-5)))&gt;0,SUMPRODUCT(MAX((職員マスタ!$A$6:$A$405=$B1346)*(((職員マスタ!$G$6:$G$405="")+(職員マスタ!$G$6:$G$405&lt;=EOMONTH($AQ1346,0)))&gt;0)*(((職員マスタ!$H$6:$H$405="")+(職員マスタ!$H$6:$H$405&gt;=$AQ1346))&gt;0)*(ROW(職員マスタ!$A$6:$A$405)-5))),IFERROR(MATCH($B1346,職員マスタ!$A$6:$A$405,0),"")))</f>
        <v/>
      </c>
      <c r="AQ1346" s="16">
        <f>IF(OR($B1346="",$C1346="",$D1346=""),"",DATE($C1346+2018,$D1346,1))</f>
        <v/>
      </c>
    </row>
    <row r="1347">
      <c r="A1347" s="11" t="n"/>
      <c r="B1347" s="12" t="n"/>
      <c r="C1347" s="12" t="n"/>
      <c r="D1347" s="12" t="n"/>
      <c r="E1347" s="13" t="n"/>
      <c r="F1347" s="12" t="n"/>
      <c r="G1347" s="13" t="n"/>
      <c r="H1347" s="12" t="n"/>
      <c r="I1347" s="12" t="n"/>
      <c r="J1347" s="12" t="n"/>
      <c r="K1347" s="12" t="n"/>
      <c r="L1347" s="11" t="n"/>
      <c r="M1347" s="11" t="n"/>
      <c r="N1347" s="11" t="n"/>
      <c r="O1347" s="11" t="n"/>
      <c r="P1347" s="12" t="n"/>
      <c r="Q1347" s="11" t="n"/>
      <c r="R1347" s="12" t="n"/>
      <c r="S1347" s="11" t="n"/>
      <c r="T1347" s="12" t="n"/>
      <c r="U1347" s="12" t="n"/>
      <c r="V1347" s="12" t="n"/>
      <c r="W1347" s="13" t="n"/>
      <c r="X1347" s="14">
        <f>IF($AP1347="",IF($B1347="","",$H1347),IF(INDEX(職員マスタ!$B$6:$B$405,$AP1347)="",$H1347,INDEX(職員マスタ!$B$6:$B$405,$AP1347)))</f>
        <v/>
      </c>
      <c r="Y1347" s="14">
        <f>IF($AP1347="",IF($B1347="","",$R1347),IF(INDEX(職員マスタ!$C$6:$C$405,$AP1347)="",$R1347,INDEX(職員マスタ!$C$6:$C$405,$AP1347)))</f>
        <v/>
      </c>
      <c r="Z1347" s="14">
        <f>IF($AQ1347="","","R"&amp;$C1347&amp;"."&amp;$D1347)</f>
        <v/>
      </c>
      <c r="AA1347" s="15">
        <f>IF(IF($AP1347="",FALSE,INDEX(職員マスタ!$K$6:$K$405,$AP1347)&lt;&gt;""),INDEX(職員マスタ!$K$6:$K$405,$AP1347),IF(N($W1347)&gt;0,$W1347,""))</f>
        <v/>
      </c>
      <c r="AB1347" s="14">
        <f>IF(OR($E1347="",$AA1347=""),"",IF($E1347&gt;=$AA1347,"×",IF($E1347&gt;=$AA1347*設定!$C$5,"△","○")))</f>
        <v/>
      </c>
      <c r="AC1347" s="15">
        <f>IF($AB1347="","",IF($AB1347="×",0,IF($AB1347="○",ROUNDDOWN($E1347*設定!$C$4,0),ROUNDDOWN($E1347*ROUND((9*$AA1347-9*$E1347)/(10*$E1347),4),0))))</f>
        <v/>
      </c>
      <c r="AD1347" s="13" t="n"/>
      <c r="AE1347" s="15">
        <f>IF($B1347="","",IF($AD1347&lt;&gt;"",$AD1347,IF($AC1347="","",IF($AC1347&lt;=設定!$C$3,0,$AC1347))))</f>
        <v/>
      </c>
      <c r="AF1347" s="14">
        <f>IF($B1347="","",IF(AND($AG1347&lt;&gt;"",$AI1347="",$AL1347=""),"保留中",IF($AL1347&lt;&gt;"",IF(N($AE1347)&gt;0,"支給済","不支給"),IF($AE1347="","要確認",IF($AE1347=0,"不支給","未処理")))))</f>
        <v/>
      </c>
      <c r="AG1347" s="12" t="n"/>
      <c r="AH1347" s="11" t="n"/>
      <c r="AI1347" s="11" t="n"/>
      <c r="AJ1347" s="11" t="n"/>
      <c r="AK1347" s="14">
        <f>IF(AND($AF1347="保留中",$AH1347&lt;&gt;""),TODAY()-$AH1347,"")</f>
        <v/>
      </c>
      <c r="AL1347" s="12" t="n"/>
      <c r="AM1347" s="14">
        <f>IF($B1347="","",IF($AQ1347="","対象年月が未入力／","")&amp;IF($B1347="","",IF($AP1347="","職員マスタに未登録の職員番号／",IF($AA1347="","標準報酬月額が未登録／","")&amp;IF(AND($AQ1347&lt;&gt;"",OR(AND(INDEX(職員マスタ!$G$6:$G$405,$AP1347)&lt;&gt;"",INDEX(職員マスタ!$G$6:$G$405,$AP1347)&gt;EOMONTH($AQ1347,0)),AND(INDEX(職員マスタ!$H$6:$H$405,$AP1347)&lt;&gt;"",INDEX(職員マスタ!$H$6:$H$405,$AP1347)&lt;$AQ1347))),"対象月が時短期間外／","")&amp;IF(AND(INDEX(職員マスタ!$K$6:$K$405,$AP1347)&lt;&gt;"",N($W1347)&gt;0,INDEX(職員マスタ!$K$6:$K$405,$AP1347)&lt;&gt;$W1347),"標準報酬月額が申請書と相違（台帳"&amp;TEXT(INDEX(職員マスタ!$K$6:$K$405,$AP1347),"#,##0")&amp;"円／申請書"&amp;TEXT($W1347,"#,##0")&amp;"円）／","")&amp;IF(AND(INDEX(職員マスタ!$F$6:$F$405,$AP1347)&lt;&gt;"",$AQ1347&lt;&gt;"",INDEX(職員マスタ!$F$6:$F$405,$AP1347)&lt;$AQ1347),"対象月に子が2歳到達済／","")&amp;IF(AND($H1347&lt;&gt;"",INDEX(職員マスタ!$B$6:$B$405,$AP1347)&lt;&gt;"",SUBSTITUTE(SUBSTITUTE($H1347," ","")," ","")&lt;&gt;SUBSTITUTE(SUBSTITUTE(INDEX(職員マスタ!$B$6:$B$405,$AP1347)," ","")," ","")),"氏名がマスタと相違／","")&amp;IF(AND($Q1347&lt;&gt;"",INDEX(職員マスタ!$E$6:$E$405,$AP1347)&lt;&gt;"",$Q1347&lt;&gt;INDEX(職員マスタ!$E$6:$E$405,$AP1347)),"子の生年月日がマスタと相違／","")&amp;IF(AND($L1347&lt;&gt;"",INDEX(職員マスタ!$G$6:$G$405,$AP1347)&lt;&gt;"",$L1347&lt;&gt;INDEX(職員マスタ!$G$6:$G$405,$AP1347)),"時短開始日がマスタと相違／","")&amp;IF(AND($M1347&lt;&gt;"",INDEX(職員マスタ!$H$6:$H$405,$AP1347)&lt;&gt;"",$M1347&lt;&gt;INDEX(職員マスタ!$H$6:$H$405,$AP1347)),"時短終了日がマスタと相違／","")))&amp;IF(AND($B1347&lt;&gt;"",$E1347=""),"報酬額が未入力／","")&amp;IF(N($U1347)&gt;0,"申請書に入力エラーが残っています／","")&amp;IF(AND($B1347&lt;&gt;"",$AQ1347&lt;&gt;""),IF(COUNTIFS($B$6:$B$3005,$B1347,$C$6:$C$3005,$C1347,$D$6:$D$3005,$D1347)&gt;1,"同じ月の請求が重複しています／",""),"")&amp;IF(AND(N($E1347)&gt;0,$AB1347&lt;&gt;"",$AB1347&lt;&gt;"×",$AE1347=0,$AD1347=""),"計算額が下限以下のため不支給／",""))</f>
        <v/>
      </c>
      <c r="AN1347" s="12" t="n"/>
      <c r="AO1347" s="14">
        <f>IF($AF1347="保留中",COUNTIF($AF$6:$AF1347,"保留中"),"")</f>
        <v/>
      </c>
      <c r="AP1347" s="14">
        <f>IF($AQ1347="","",IF(SUMPRODUCT(MAX((職員マスタ!$A$6:$A$405=$B1347)*(((職員マスタ!$G$6:$G$405="")+(職員マスタ!$G$6:$G$405&lt;=EOMONTH($AQ1347,0)))&gt;0)*(((職員マスタ!$H$6:$H$405="")+(職員マスタ!$H$6:$H$405&gt;=$AQ1347))&gt;0)*(ROW(職員マスタ!$A$6:$A$405)-5)))&gt;0,SUMPRODUCT(MAX((職員マスタ!$A$6:$A$405=$B1347)*(((職員マスタ!$G$6:$G$405="")+(職員マスタ!$G$6:$G$405&lt;=EOMONTH($AQ1347,0)))&gt;0)*(((職員マスタ!$H$6:$H$405="")+(職員マスタ!$H$6:$H$405&gt;=$AQ1347))&gt;0)*(ROW(職員マスタ!$A$6:$A$405)-5))),IFERROR(MATCH($B1347,職員マスタ!$A$6:$A$405,0),"")))</f>
        <v/>
      </c>
      <c r="AQ1347" s="16">
        <f>IF(OR($B1347="",$C1347="",$D1347=""),"",DATE($C1347+2018,$D1347,1))</f>
        <v/>
      </c>
    </row>
    <row r="1348">
      <c r="A1348" s="11" t="n"/>
      <c r="B1348" s="12" t="n"/>
      <c r="C1348" s="12" t="n"/>
      <c r="D1348" s="12" t="n"/>
      <c r="E1348" s="13" t="n"/>
      <c r="F1348" s="12" t="n"/>
      <c r="G1348" s="13" t="n"/>
      <c r="H1348" s="12" t="n"/>
      <c r="I1348" s="12" t="n"/>
      <c r="J1348" s="12" t="n"/>
      <c r="K1348" s="12" t="n"/>
      <c r="L1348" s="11" t="n"/>
      <c r="M1348" s="11" t="n"/>
      <c r="N1348" s="11" t="n"/>
      <c r="O1348" s="11" t="n"/>
      <c r="P1348" s="12" t="n"/>
      <c r="Q1348" s="11" t="n"/>
      <c r="R1348" s="12" t="n"/>
      <c r="S1348" s="11" t="n"/>
      <c r="T1348" s="12" t="n"/>
      <c r="U1348" s="12" t="n"/>
      <c r="V1348" s="12" t="n"/>
      <c r="W1348" s="13" t="n"/>
      <c r="X1348" s="14">
        <f>IF($AP1348="",IF($B1348="","",$H1348),IF(INDEX(職員マスタ!$B$6:$B$405,$AP1348)="",$H1348,INDEX(職員マスタ!$B$6:$B$405,$AP1348)))</f>
        <v/>
      </c>
      <c r="Y1348" s="14">
        <f>IF($AP1348="",IF($B1348="","",$R1348),IF(INDEX(職員マスタ!$C$6:$C$405,$AP1348)="",$R1348,INDEX(職員マスタ!$C$6:$C$405,$AP1348)))</f>
        <v/>
      </c>
      <c r="Z1348" s="14">
        <f>IF($AQ1348="","","R"&amp;$C1348&amp;"."&amp;$D1348)</f>
        <v/>
      </c>
      <c r="AA1348" s="15">
        <f>IF(IF($AP1348="",FALSE,INDEX(職員マスタ!$K$6:$K$405,$AP1348)&lt;&gt;""),INDEX(職員マスタ!$K$6:$K$405,$AP1348),IF(N($W1348)&gt;0,$W1348,""))</f>
        <v/>
      </c>
      <c r="AB1348" s="14">
        <f>IF(OR($E1348="",$AA1348=""),"",IF($E1348&gt;=$AA1348,"×",IF($E1348&gt;=$AA1348*設定!$C$5,"△","○")))</f>
        <v/>
      </c>
      <c r="AC1348" s="15">
        <f>IF($AB1348="","",IF($AB1348="×",0,IF($AB1348="○",ROUNDDOWN($E1348*設定!$C$4,0),ROUNDDOWN($E1348*ROUND((9*$AA1348-9*$E1348)/(10*$E1348),4),0))))</f>
        <v/>
      </c>
      <c r="AD1348" s="13" t="n"/>
      <c r="AE1348" s="15">
        <f>IF($B1348="","",IF($AD1348&lt;&gt;"",$AD1348,IF($AC1348="","",IF($AC1348&lt;=設定!$C$3,0,$AC1348))))</f>
        <v/>
      </c>
      <c r="AF1348" s="14">
        <f>IF($B1348="","",IF(AND($AG1348&lt;&gt;"",$AI1348="",$AL1348=""),"保留中",IF($AL1348&lt;&gt;"",IF(N($AE1348)&gt;0,"支給済","不支給"),IF($AE1348="","要確認",IF($AE1348=0,"不支給","未処理")))))</f>
        <v/>
      </c>
      <c r="AG1348" s="12" t="n"/>
      <c r="AH1348" s="11" t="n"/>
      <c r="AI1348" s="11" t="n"/>
      <c r="AJ1348" s="11" t="n"/>
      <c r="AK1348" s="14">
        <f>IF(AND($AF1348="保留中",$AH1348&lt;&gt;""),TODAY()-$AH1348,"")</f>
        <v/>
      </c>
      <c r="AL1348" s="12" t="n"/>
      <c r="AM1348" s="14">
        <f>IF($B1348="","",IF($AQ1348="","対象年月が未入力／","")&amp;IF($B1348="","",IF($AP1348="","職員マスタに未登録の職員番号／",IF($AA1348="","標準報酬月額が未登録／","")&amp;IF(AND($AQ1348&lt;&gt;"",OR(AND(INDEX(職員マスタ!$G$6:$G$405,$AP1348)&lt;&gt;"",INDEX(職員マスタ!$G$6:$G$405,$AP1348)&gt;EOMONTH($AQ1348,0)),AND(INDEX(職員マスタ!$H$6:$H$405,$AP1348)&lt;&gt;"",INDEX(職員マスタ!$H$6:$H$405,$AP1348)&lt;$AQ1348))),"対象月が時短期間外／","")&amp;IF(AND(INDEX(職員マスタ!$K$6:$K$405,$AP1348)&lt;&gt;"",N($W1348)&gt;0,INDEX(職員マスタ!$K$6:$K$405,$AP1348)&lt;&gt;$W1348),"標準報酬月額が申請書と相違（台帳"&amp;TEXT(INDEX(職員マスタ!$K$6:$K$405,$AP1348),"#,##0")&amp;"円／申請書"&amp;TEXT($W1348,"#,##0")&amp;"円）／","")&amp;IF(AND(INDEX(職員マスタ!$F$6:$F$405,$AP1348)&lt;&gt;"",$AQ1348&lt;&gt;"",INDEX(職員マスタ!$F$6:$F$405,$AP1348)&lt;$AQ1348),"対象月に子が2歳到達済／","")&amp;IF(AND($H1348&lt;&gt;"",INDEX(職員マスタ!$B$6:$B$405,$AP1348)&lt;&gt;"",SUBSTITUTE(SUBSTITUTE($H1348," ","")," ","")&lt;&gt;SUBSTITUTE(SUBSTITUTE(INDEX(職員マスタ!$B$6:$B$405,$AP1348)," ","")," ","")),"氏名がマスタと相違／","")&amp;IF(AND($Q1348&lt;&gt;"",INDEX(職員マスタ!$E$6:$E$405,$AP1348)&lt;&gt;"",$Q1348&lt;&gt;INDEX(職員マスタ!$E$6:$E$405,$AP1348)),"子の生年月日がマスタと相違／","")&amp;IF(AND($L1348&lt;&gt;"",INDEX(職員マスタ!$G$6:$G$405,$AP1348)&lt;&gt;"",$L1348&lt;&gt;INDEX(職員マスタ!$G$6:$G$405,$AP1348)),"時短開始日がマスタと相違／","")&amp;IF(AND($M1348&lt;&gt;"",INDEX(職員マスタ!$H$6:$H$405,$AP1348)&lt;&gt;"",$M1348&lt;&gt;INDEX(職員マスタ!$H$6:$H$405,$AP1348)),"時短終了日がマスタと相違／","")))&amp;IF(AND($B1348&lt;&gt;"",$E1348=""),"報酬額が未入力／","")&amp;IF(N($U1348)&gt;0,"申請書に入力エラーが残っています／","")&amp;IF(AND($B1348&lt;&gt;"",$AQ1348&lt;&gt;""),IF(COUNTIFS($B$6:$B$3005,$B1348,$C$6:$C$3005,$C1348,$D$6:$D$3005,$D1348)&gt;1,"同じ月の請求が重複しています／",""),"")&amp;IF(AND(N($E1348)&gt;0,$AB1348&lt;&gt;"",$AB1348&lt;&gt;"×",$AE1348=0,$AD1348=""),"計算額が下限以下のため不支給／",""))</f>
        <v/>
      </c>
      <c r="AN1348" s="12" t="n"/>
      <c r="AO1348" s="14">
        <f>IF($AF1348="保留中",COUNTIF($AF$6:$AF1348,"保留中"),"")</f>
        <v/>
      </c>
      <c r="AP1348" s="14">
        <f>IF($AQ1348="","",IF(SUMPRODUCT(MAX((職員マスタ!$A$6:$A$405=$B1348)*(((職員マスタ!$G$6:$G$405="")+(職員マスタ!$G$6:$G$405&lt;=EOMONTH($AQ1348,0)))&gt;0)*(((職員マスタ!$H$6:$H$405="")+(職員マスタ!$H$6:$H$405&gt;=$AQ1348))&gt;0)*(ROW(職員マスタ!$A$6:$A$405)-5)))&gt;0,SUMPRODUCT(MAX((職員マスタ!$A$6:$A$405=$B1348)*(((職員マスタ!$G$6:$G$405="")+(職員マスタ!$G$6:$G$405&lt;=EOMONTH($AQ1348,0)))&gt;0)*(((職員マスタ!$H$6:$H$405="")+(職員マスタ!$H$6:$H$405&gt;=$AQ1348))&gt;0)*(ROW(職員マスタ!$A$6:$A$405)-5))),IFERROR(MATCH($B1348,職員マスタ!$A$6:$A$405,0),"")))</f>
        <v/>
      </c>
      <c r="AQ1348" s="16">
        <f>IF(OR($B1348="",$C1348="",$D1348=""),"",DATE($C1348+2018,$D1348,1))</f>
        <v/>
      </c>
    </row>
    <row r="1349">
      <c r="A1349" s="11" t="n"/>
      <c r="B1349" s="12" t="n"/>
      <c r="C1349" s="12" t="n"/>
      <c r="D1349" s="12" t="n"/>
      <c r="E1349" s="13" t="n"/>
      <c r="F1349" s="12" t="n"/>
      <c r="G1349" s="13" t="n"/>
      <c r="H1349" s="12" t="n"/>
      <c r="I1349" s="12" t="n"/>
      <c r="J1349" s="12" t="n"/>
      <c r="K1349" s="12" t="n"/>
      <c r="L1349" s="11" t="n"/>
      <c r="M1349" s="11" t="n"/>
      <c r="N1349" s="11" t="n"/>
      <c r="O1349" s="11" t="n"/>
      <c r="P1349" s="12" t="n"/>
      <c r="Q1349" s="11" t="n"/>
      <c r="R1349" s="12" t="n"/>
      <c r="S1349" s="11" t="n"/>
      <c r="T1349" s="12" t="n"/>
      <c r="U1349" s="12" t="n"/>
      <c r="V1349" s="12" t="n"/>
      <c r="W1349" s="13" t="n"/>
      <c r="X1349" s="14">
        <f>IF($AP1349="",IF($B1349="","",$H1349),IF(INDEX(職員マスタ!$B$6:$B$405,$AP1349)="",$H1349,INDEX(職員マスタ!$B$6:$B$405,$AP1349)))</f>
        <v/>
      </c>
      <c r="Y1349" s="14">
        <f>IF($AP1349="",IF($B1349="","",$R1349),IF(INDEX(職員マスタ!$C$6:$C$405,$AP1349)="",$R1349,INDEX(職員マスタ!$C$6:$C$405,$AP1349)))</f>
        <v/>
      </c>
      <c r="Z1349" s="14">
        <f>IF($AQ1349="","","R"&amp;$C1349&amp;"."&amp;$D1349)</f>
        <v/>
      </c>
      <c r="AA1349" s="15">
        <f>IF(IF($AP1349="",FALSE,INDEX(職員マスタ!$K$6:$K$405,$AP1349)&lt;&gt;""),INDEX(職員マスタ!$K$6:$K$405,$AP1349),IF(N($W1349)&gt;0,$W1349,""))</f>
        <v/>
      </c>
      <c r="AB1349" s="14">
        <f>IF(OR($E1349="",$AA1349=""),"",IF($E1349&gt;=$AA1349,"×",IF($E1349&gt;=$AA1349*設定!$C$5,"△","○")))</f>
        <v/>
      </c>
      <c r="AC1349" s="15">
        <f>IF($AB1349="","",IF($AB1349="×",0,IF($AB1349="○",ROUNDDOWN($E1349*設定!$C$4,0),ROUNDDOWN($E1349*ROUND((9*$AA1349-9*$E1349)/(10*$E1349),4),0))))</f>
        <v/>
      </c>
      <c r="AD1349" s="13" t="n"/>
      <c r="AE1349" s="15">
        <f>IF($B1349="","",IF($AD1349&lt;&gt;"",$AD1349,IF($AC1349="","",IF($AC1349&lt;=設定!$C$3,0,$AC1349))))</f>
        <v/>
      </c>
      <c r="AF1349" s="14">
        <f>IF($B1349="","",IF(AND($AG1349&lt;&gt;"",$AI1349="",$AL1349=""),"保留中",IF($AL1349&lt;&gt;"",IF(N($AE1349)&gt;0,"支給済","不支給"),IF($AE1349="","要確認",IF($AE1349=0,"不支給","未処理")))))</f>
        <v/>
      </c>
      <c r="AG1349" s="12" t="n"/>
      <c r="AH1349" s="11" t="n"/>
      <c r="AI1349" s="11" t="n"/>
      <c r="AJ1349" s="11" t="n"/>
      <c r="AK1349" s="14">
        <f>IF(AND($AF1349="保留中",$AH1349&lt;&gt;""),TODAY()-$AH1349,"")</f>
        <v/>
      </c>
      <c r="AL1349" s="12" t="n"/>
      <c r="AM1349" s="14">
        <f>IF($B1349="","",IF($AQ1349="","対象年月が未入力／","")&amp;IF($B1349="","",IF($AP1349="","職員マスタに未登録の職員番号／",IF($AA1349="","標準報酬月額が未登録／","")&amp;IF(AND($AQ1349&lt;&gt;"",OR(AND(INDEX(職員マスタ!$G$6:$G$405,$AP1349)&lt;&gt;"",INDEX(職員マスタ!$G$6:$G$405,$AP1349)&gt;EOMONTH($AQ1349,0)),AND(INDEX(職員マスタ!$H$6:$H$405,$AP1349)&lt;&gt;"",INDEX(職員マスタ!$H$6:$H$405,$AP1349)&lt;$AQ1349))),"対象月が時短期間外／","")&amp;IF(AND(INDEX(職員マスタ!$K$6:$K$405,$AP1349)&lt;&gt;"",N($W1349)&gt;0,INDEX(職員マスタ!$K$6:$K$405,$AP1349)&lt;&gt;$W1349),"標準報酬月額が申請書と相違（台帳"&amp;TEXT(INDEX(職員マスタ!$K$6:$K$405,$AP1349),"#,##0")&amp;"円／申請書"&amp;TEXT($W1349,"#,##0")&amp;"円）／","")&amp;IF(AND(INDEX(職員マスタ!$F$6:$F$405,$AP1349)&lt;&gt;"",$AQ1349&lt;&gt;"",INDEX(職員マスタ!$F$6:$F$405,$AP1349)&lt;$AQ1349),"対象月に子が2歳到達済／","")&amp;IF(AND($H1349&lt;&gt;"",INDEX(職員マスタ!$B$6:$B$405,$AP1349)&lt;&gt;"",SUBSTITUTE(SUBSTITUTE($H1349," ","")," ","")&lt;&gt;SUBSTITUTE(SUBSTITUTE(INDEX(職員マスタ!$B$6:$B$405,$AP1349)," ","")," ","")),"氏名がマスタと相違／","")&amp;IF(AND($Q1349&lt;&gt;"",INDEX(職員マスタ!$E$6:$E$405,$AP1349)&lt;&gt;"",$Q1349&lt;&gt;INDEX(職員マスタ!$E$6:$E$405,$AP1349)),"子の生年月日がマスタと相違／","")&amp;IF(AND($L1349&lt;&gt;"",INDEX(職員マスタ!$G$6:$G$405,$AP1349)&lt;&gt;"",$L1349&lt;&gt;INDEX(職員マスタ!$G$6:$G$405,$AP1349)),"時短開始日がマスタと相違／","")&amp;IF(AND($M1349&lt;&gt;"",INDEX(職員マスタ!$H$6:$H$405,$AP1349)&lt;&gt;"",$M1349&lt;&gt;INDEX(職員マスタ!$H$6:$H$405,$AP1349)),"時短終了日がマスタと相違／","")))&amp;IF(AND($B1349&lt;&gt;"",$E1349=""),"報酬額が未入力／","")&amp;IF(N($U1349)&gt;0,"申請書に入力エラーが残っています／","")&amp;IF(AND($B1349&lt;&gt;"",$AQ1349&lt;&gt;""),IF(COUNTIFS($B$6:$B$3005,$B1349,$C$6:$C$3005,$C1349,$D$6:$D$3005,$D1349)&gt;1,"同じ月の請求が重複しています／",""),"")&amp;IF(AND(N($E1349)&gt;0,$AB1349&lt;&gt;"",$AB1349&lt;&gt;"×",$AE1349=0,$AD1349=""),"計算額が下限以下のため不支給／",""))</f>
        <v/>
      </c>
      <c r="AN1349" s="12" t="n"/>
      <c r="AO1349" s="14">
        <f>IF($AF1349="保留中",COUNTIF($AF$6:$AF1349,"保留中"),"")</f>
        <v/>
      </c>
      <c r="AP1349" s="14">
        <f>IF($AQ1349="","",IF(SUMPRODUCT(MAX((職員マスタ!$A$6:$A$405=$B1349)*(((職員マスタ!$G$6:$G$405="")+(職員マスタ!$G$6:$G$405&lt;=EOMONTH($AQ1349,0)))&gt;0)*(((職員マスタ!$H$6:$H$405="")+(職員マスタ!$H$6:$H$405&gt;=$AQ1349))&gt;0)*(ROW(職員マスタ!$A$6:$A$405)-5)))&gt;0,SUMPRODUCT(MAX((職員マスタ!$A$6:$A$405=$B1349)*(((職員マスタ!$G$6:$G$405="")+(職員マスタ!$G$6:$G$405&lt;=EOMONTH($AQ1349,0)))&gt;0)*(((職員マスタ!$H$6:$H$405="")+(職員マスタ!$H$6:$H$405&gt;=$AQ1349))&gt;0)*(ROW(職員マスタ!$A$6:$A$405)-5))),IFERROR(MATCH($B1349,職員マスタ!$A$6:$A$405,0),"")))</f>
        <v/>
      </c>
      <c r="AQ1349" s="16">
        <f>IF(OR($B1349="",$C1349="",$D1349=""),"",DATE($C1349+2018,$D1349,1))</f>
        <v/>
      </c>
    </row>
    <row r="1350">
      <c r="A1350" s="11" t="n"/>
      <c r="B1350" s="12" t="n"/>
      <c r="C1350" s="12" t="n"/>
      <c r="D1350" s="12" t="n"/>
      <c r="E1350" s="13" t="n"/>
      <c r="F1350" s="12" t="n"/>
      <c r="G1350" s="13" t="n"/>
      <c r="H1350" s="12" t="n"/>
      <c r="I1350" s="12" t="n"/>
      <c r="J1350" s="12" t="n"/>
      <c r="K1350" s="12" t="n"/>
      <c r="L1350" s="11" t="n"/>
      <c r="M1350" s="11" t="n"/>
      <c r="N1350" s="11" t="n"/>
      <c r="O1350" s="11" t="n"/>
      <c r="P1350" s="12" t="n"/>
      <c r="Q1350" s="11" t="n"/>
      <c r="R1350" s="12" t="n"/>
      <c r="S1350" s="11" t="n"/>
      <c r="T1350" s="12" t="n"/>
      <c r="U1350" s="12" t="n"/>
      <c r="V1350" s="12" t="n"/>
      <c r="W1350" s="13" t="n"/>
      <c r="X1350" s="14">
        <f>IF($AP1350="",IF($B1350="","",$H1350),IF(INDEX(職員マスタ!$B$6:$B$405,$AP1350)="",$H1350,INDEX(職員マスタ!$B$6:$B$405,$AP1350)))</f>
        <v/>
      </c>
      <c r="Y1350" s="14">
        <f>IF($AP1350="",IF($B1350="","",$R1350),IF(INDEX(職員マスタ!$C$6:$C$405,$AP1350)="",$R1350,INDEX(職員マスタ!$C$6:$C$405,$AP1350)))</f>
        <v/>
      </c>
      <c r="Z1350" s="14">
        <f>IF($AQ1350="","","R"&amp;$C1350&amp;"."&amp;$D1350)</f>
        <v/>
      </c>
      <c r="AA1350" s="15">
        <f>IF(IF($AP1350="",FALSE,INDEX(職員マスタ!$K$6:$K$405,$AP1350)&lt;&gt;""),INDEX(職員マスタ!$K$6:$K$405,$AP1350),IF(N($W1350)&gt;0,$W1350,""))</f>
        <v/>
      </c>
      <c r="AB1350" s="14">
        <f>IF(OR($E1350="",$AA1350=""),"",IF($E1350&gt;=$AA1350,"×",IF($E1350&gt;=$AA1350*設定!$C$5,"△","○")))</f>
        <v/>
      </c>
      <c r="AC1350" s="15">
        <f>IF($AB1350="","",IF($AB1350="×",0,IF($AB1350="○",ROUNDDOWN($E1350*設定!$C$4,0),ROUNDDOWN($E1350*ROUND((9*$AA1350-9*$E1350)/(10*$E1350),4),0))))</f>
        <v/>
      </c>
      <c r="AD1350" s="13" t="n"/>
      <c r="AE1350" s="15">
        <f>IF($B1350="","",IF($AD1350&lt;&gt;"",$AD1350,IF($AC1350="","",IF($AC1350&lt;=設定!$C$3,0,$AC1350))))</f>
        <v/>
      </c>
      <c r="AF1350" s="14">
        <f>IF($B1350="","",IF(AND($AG1350&lt;&gt;"",$AI1350="",$AL1350=""),"保留中",IF($AL1350&lt;&gt;"",IF(N($AE1350)&gt;0,"支給済","不支給"),IF($AE1350="","要確認",IF($AE1350=0,"不支給","未処理")))))</f>
        <v/>
      </c>
      <c r="AG1350" s="12" t="n"/>
      <c r="AH1350" s="11" t="n"/>
      <c r="AI1350" s="11" t="n"/>
      <c r="AJ1350" s="11" t="n"/>
      <c r="AK1350" s="14">
        <f>IF(AND($AF1350="保留中",$AH1350&lt;&gt;""),TODAY()-$AH1350,"")</f>
        <v/>
      </c>
      <c r="AL1350" s="12" t="n"/>
      <c r="AM1350" s="14">
        <f>IF($B1350="","",IF($AQ1350="","対象年月が未入力／","")&amp;IF($B1350="","",IF($AP1350="","職員マスタに未登録の職員番号／",IF($AA1350="","標準報酬月額が未登録／","")&amp;IF(AND($AQ1350&lt;&gt;"",OR(AND(INDEX(職員マスタ!$G$6:$G$405,$AP1350)&lt;&gt;"",INDEX(職員マスタ!$G$6:$G$405,$AP1350)&gt;EOMONTH($AQ1350,0)),AND(INDEX(職員マスタ!$H$6:$H$405,$AP1350)&lt;&gt;"",INDEX(職員マスタ!$H$6:$H$405,$AP1350)&lt;$AQ1350))),"対象月が時短期間外／","")&amp;IF(AND(INDEX(職員マスタ!$K$6:$K$405,$AP1350)&lt;&gt;"",N($W1350)&gt;0,INDEX(職員マスタ!$K$6:$K$405,$AP1350)&lt;&gt;$W1350),"標準報酬月額が申請書と相違（台帳"&amp;TEXT(INDEX(職員マスタ!$K$6:$K$405,$AP1350),"#,##0")&amp;"円／申請書"&amp;TEXT($W1350,"#,##0")&amp;"円）／","")&amp;IF(AND(INDEX(職員マスタ!$F$6:$F$405,$AP1350)&lt;&gt;"",$AQ1350&lt;&gt;"",INDEX(職員マスタ!$F$6:$F$405,$AP1350)&lt;$AQ1350),"対象月に子が2歳到達済／","")&amp;IF(AND($H1350&lt;&gt;"",INDEX(職員マスタ!$B$6:$B$405,$AP1350)&lt;&gt;"",SUBSTITUTE(SUBSTITUTE($H1350," ","")," ","")&lt;&gt;SUBSTITUTE(SUBSTITUTE(INDEX(職員マスタ!$B$6:$B$405,$AP1350)," ","")," ","")),"氏名がマスタと相違／","")&amp;IF(AND($Q1350&lt;&gt;"",INDEX(職員マスタ!$E$6:$E$405,$AP1350)&lt;&gt;"",$Q1350&lt;&gt;INDEX(職員マスタ!$E$6:$E$405,$AP1350)),"子の生年月日がマスタと相違／","")&amp;IF(AND($L1350&lt;&gt;"",INDEX(職員マスタ!$G$6:$G$405,$AP1350)&lt;&gt;"",$L1350&lt;&gt;INDEX(職員マスタ!$G$6:$G$405,$AP1350)),"時短開始日がマスタと相違／","")&amp;IF(AND($M1350&lt;&gt;"",INDEX(職員マスタ!$H$6:$H$405,$AP1350)&lt;&gt;"",$M1350&lt;&gt;INDEX(職員マスタ!$H$6:$H$405,$AP1350)),"時短終了日がマスタと相違／","")))&amp;IF(AND($B1350&lt;&gt;"",$E1350=""),"報酬額が未入力／","")&amp;IF(N($U1350)&gt;0,"申請書に入力エラーが残っています／","")&amp;IF(AND($B1350&lt;&gt;"",$AQ1350&lt;&gt;""),IF(COUNTIFS($B$6:$B$3005,$B1350,$C$6:$C$3005,$C1350,$D$6:$D$3005,$D1350)&gt;1,"同じ月の請求が重複しています／",""),"")&amp;IF(AND(N($E1350)&gt;0,$AB1350&lt;&gt;"",$AB1350&lt;&gt;"×",$AE1350=0,$AD1350=""),"計算額が下限以下のため不支給／",""))</f>
        <v/>
      </c>
      <c r="AN1350" s="12" t="n"/>
      <c r="AO1350" s="14">
        <f>IF($AF1350="保留中",COUNTIF($AF$6:$AF1350,"保留中"),"")</f>
        <v/>
      </c>
      <c r="AP1350" s="14">
        <f>IF($AQ1350="","",IF(SUMPRODUCT(MAX((職員マスタ!$A$6:$A$405=$B1350)*(((職員マスタ!$G$6:$G$405="")+(職員マスタ!$G$6:$G$405&lt;=EOMONTH($AQ1350,0)))&gt;0)*(((職員マスタ!$H$6:$H$405="")+(職員マスタ!$H$6:$H$405&gt;=$AQ1350))&gt;0)*(ROW(職員マスタ!$A$6:$A$405)-5)))&gt;0,SUMPRODUCT(MAX((職員マスタ!$A$6:$A$405=$B1350)*(((職員マスタ!$G$6:$G$405="")+(職員マスタ!$G$6:$G$405&lt;=EOMONTH($AQ1350,0)))&gt;0)*(((職員マスタ!$H$6:$H$405="")+(職員マスタ!$H$6:$H$405&gt;=$AQ1350))&gt;0)*(ROW(職員マスタ!$A$6:$A$405)-5))),IFERROR(MATCH($B1350,職員マスタ!$A$6:$A$405,0),"")))</f>
        <v/>
      </c>
      <c r="AQ1350" s="16">
        <f>IF(OR($B1350="",$C1350="",$D1350=""),"",DATE($C1350+2018,$D1350,1))</f>
        <v/>
      </c>
    </row>
    <row r="1351">
      <c r="A1351" s="11" t="n"/>
      <c r="B1351" s="12" t="n"/>
      <c r="C1351" s="12" t="n"/>
      <c r="D1351" s="12" t="n"/>
      <c r="E1351" s="13" t="n"/>
      <c r="F1351" s="12" t="n"/>
      <c r="G1351" s="13" t="n"/>
      <c r="H1351" s="12" t="n"/>
      <c r="I1351" s="12" t="n"/>
      <c r="J1351" s="12" t="n"/>
      <c r="K1351" s="12" t="n"/>
      <c r="L1351" s="11" t="n"/>
      <c r="M1351" s="11" t="n"/>
      <c r="N1351" s="11" t="n"/>
      <c r="O1351" s="11" t="n"/>
      <c r="P1351" s="12" t="n"/>
      <c r="Q1351" s="11" t="n"/>
      <c r="R1351" s="12" t="n"/>
      <c r="S1351" s="11" t="n"/>
      <c r="T1351" s="12" t="n"/>
      <c r="U1351" s="12" t="n"/>
      <c r="V1351" s="12" t="n"/>
      <c r="W1351" s="13" t="n"/>
      <c r="X1351" s="14">
        <f>IF($AP1351="",IF($B1351="","",$H1351),IF(INDEX(職員マスタ!$B$6:$B$405,$AP1351)="",$H1351,INDEX(職員マスタ!$B$6:$B$405,$AP1351)))</f>
        <v/>
      </c>
      <c r="Y1351" s="14">
        <f>IF($AP1351="",IF($B1351="","",$R1351),IF(INDEX(職員マスタ!$C$6:$C$405,$AP1351)="",$R1351,INDEX(職員マスタ!$C$6:$C$405,$AP1351)))</f>
        <v/>
      </c>
      <c r="Z1351" s="14">
        <f>IF($AQ1351="","","R"&amp;$C1351&amp;"."&amp;$D1351)</f>
        <v/>
      </c>
      <c r="AA1351" s="15">
        <f>IF(IF($AP1351="",FALSE,INDEX(職員マスタ!$K$6:$K$405,$AP1351)&lt;&gt;""),INDEX(職員マスタ!$K$6:$K$405,$AP1351),IF(N($W1351)&gt;0,$W1351,""))</f>
        <v/>
      </c>
      <c r="AB1351" s="14">
        <f>IF(OR($E1351="",$AA1351=""),"",IF($E1351&gt;=$AA1351,"×",IF($E1351&gt;=$AA1351*設定!$C$5,"△","○")))</f>
        <v/>
      </c>
      <c r="AC1351" s="15">
        <f>IF($AB1351="","",IF($AB1351="×",0,IF($AB1351="○",ROUNDDOWN($E1351*設定!$C$4,0),ROUNDDOWN($E1351*ROUND((9*$AA1351-9*$E1351)/(10*$E1351),4),0))))</f>
        <v/>
      </c>
      <c r="AD1351" s="13" t="n"/>
      <c r="AE1351" s="15">
        <f>IF($B1351="","",IF($AD1351&lt;&gt;"",$AD1351,IF($AC1351="","",IF($AC1351&lt;=設定!$C$3,0,$AC1351))))</f>
        <v/>
      </c>
      <c r="AF1351" s="14">
        <f>IF($B1351="","",IF(AND($AG1351&lt;&gt;"",$AI1351="",$AL1351=""),"保留中",IF($AL1351&lt;&gt;"",IF(N($AE1351)&gt;0,"支給済","不支給"),IF($AE1351="","要確認",IF($AE1351=0,"不支給","未処理")))))</f>
        <v/>
      </c>
      <c r="AG1351" s="12" t="n"/>
      <c r="AH1351" s="11" t="n"/>
      <c r="AI1351" s="11" t="n"/>
      <c r="AJ1351" s="11" t="n"/>
      <c r="AK1351" s="14">
        <f>IF(AND($AF1351="保留中",$AH1351&lt;&gt;""),TODAY()-$AH1351,"")</f>
        <v/>
      </c>
      <c r="AL1351" s="12" t="n"/>
      <c r="AM1351" s="14">
        <f>IF($B1351="","",IF($AQ1351="","対象年月が未入力／","")&amp;IF($B1351="","",IF($AP1351="","職員マスタに未登録の職員番号／",IF($AA1351="","標準報酬月額が未登録／","")&amp;IF(AND($AQ1351&lt;&gt;"",OR(AND(INDEX(職員マスタ!$G$6:$G$405,$AP1351)&lt;&gt;"",INDEX(職員マスタ!$G$6:$G$405,$AP1351)&gt;EOMONTH($AQ1351,0)),AND(INDEX(職員マスタ!$H$6:$H$405,$AP1351)&lt;&gt;"",INDEX(職員マスタ!$H$6:$H$405,$AP1351)&lt;$AQ1351))),"対象月が時短期間外／","")&amp;IF(AND(INDEX(職員マスタ!$K$6:$K$405,$AP1351)&lt;&gt;"",N($W1351)&gt;0,INDEX(職員マスタ!$K$6:$K$405,$AP1351)&lt;&gt;$W1351),"標準報酬月額が申請書と相違（台帳"&amp;TEXT(INDEX(職員マスタ!$K$6:$K$405,$AP1351),"#,##0")&amp;"円／申請書"&amp;TEXT($W1351,"#,##0")&amp;"円）／","")&amp;IF(AND(INDEX(職員マスタ!$F$6:$F$405,$AP1351)&lt;&gt;"",$AQ1351&lt;&gt;"",INDEX(職員マスタ!$F$6:$F$405,$AP1351)&lt;$AQ1351),"対象月に子が2歳到達済／","")&amp;IF(AND($H1351&lt;&gt;"",INDEX(職員マスタ!$B$6:$B$405,$AP1351)&lt;&gt;"",SUBSTITUTE(SUBSTITUTE($H1351," ","")," ","")&lt;&gt;SUBSTITUTE(SUBSTITUTE(INDEX(職員マスタ!$B$6:$B$405,$AP1351)," ","")," ","")),"氏名がマスタと相違／","")&amp;IF(AND($Q1351&lt;&gt;"",INDEX(職員マスタ!$E$6:$E$405,$AP1351)&lt;&gt;"",$Q1351&lt;&gt;INDEX(職員マスタ!$E$6:$E$405,$AP1351)),"子の生年月日がマスタと相違／","")&amp;IF(AND($L1351&lt;&gt;"",INDEX(職員マスタ!$G$6:$G$405,$AP1351)&lt;&gt;"",$L1351&lt;&gt;INDEX(職員マスタ!$G$6:$G$405,$AP1351)),"時短開始日がマスタと相違／","")&amp;IF(AND($M1351&lt;&gt;"",INDEX(職員マスタ!$H$6:$H$405,$AP1351)&lt;&gt;"",$M1351&lt;&gt;INDEX(職員マスタ!$H$6:$H$405,$AP1351)),"時短終了日がマスタと相違／","")))&amp;IF(AND($B1351&lt;&gt;"",$E1351=""),"報酬額が未入力／","")&amp;IF(N($U1351)&gt;0,"申請書に入力エラーが残っています／","")&amp;IF(AND($B1351&lt;&gt;"",$AQ1351&lt;&gt;""),IF(COUNTIFS($B$6:$B$3005,$B1351,$C$6:$C$3005,$C1351,$D$6:$D$3005,$D1351)&gt;1,"同じ月の請求が重複しています／",""),"")&amp;IF(AND(N($E1351)&gt;0,$AB1351&lt;&gt;"",$AB1351&lt;&gt;"×",$AE1351=0,$AD1351=""),"計算額が下限以下のため不支給／",""))</f>
        <v/>
      </c>
      <c r="AN1351" s="12" t="n"/>
      <c r="AO1351" s="14">
        <f>IF($AF1351="保留中",COUNTIF($AF$6:$AF1351,"保留中"),"")</f>
        <v/>
      </c>
      <c r="AP1351" s="14">
        <f>IF($AQ1351="","",IF(SUMPRODUCT(MAX((職員マスタ!$A$6:$A$405=$B1351)*(((職員マスタ!$G$6:$G$405="")+(職員マスタ!$G$6:$G$405&lt;=EOMONTH($AQ1351,0)))&gt;0)*(((職員マスタ!$H$6:$H$405="")+(職員マスタ!$H$6:$H$405&gt;=$AQ1351))&gt;0)*(ROW(職員マスタ!$A$6:$A$405)-5)))&gt;0,SUMPRODUCT(MAX((職員マスタ!$A$6:$A$405=$B1351)*(((職員マスタ!$G$6:$G$405="")+(職員マスタ!$G$6:$G$405&lt;=EOMONTH($AQ1351,0)))&gt;0)*(((職員マスタ!$H$6:$H$405="")+(職員マスタ!$H$6:$H$405&gt;=$AQ1351))&gt;0)*(ROW(職員マスタ!$A$6:$A$405)-5))),IFERROR(MATCH($B1351,職員マスタ!$A$6:$A$405,0),"")))</f>
        <v/>
      </c>
      <c r="AQ1351" s="16">
        <f>IF(OR($B1351="",$C1351="",$D1351=""),"",DATE($C1351+2018,$D1351,1))</f>
        <v/>
      </c>
    </row>
    <row r="1352">
      <c r="A1352" s="11" t="n"/>
      <c r="B1352" s="12" t="n"/>
      <c r="C1352" s="12" t="n"/>
      <c r="D1352" s="12" t="n"/>
      <c r="E1352" s="13" t="n"/>
      <c r="F1352" s="12" t="n"/>
      <c r="G1352" s="13" t="n"/>
      <c r="H1352" s="12" t="n"/>
      <c r="I1352" s="12" t="n"/>
      <c r="J1352" s="12" t="n"/>
      <c r="K1352" s="12" t="n"/>
      <c r="L1352" s="11" t="n"/>
      <c r="M1352" s="11" t="n"/>
      <c r="N1352" s="11" t="n"/>
      <c r="O1352" s="11" t="n"/>
      <c r="P1352" s="12" t="n"/>
      <c r="Q1352" s="11" t="n"/>
      <c r="R1352" s="12" t="n"/>
      <c r="S1352" s="11" t="n"/>
      <c r="T1352" s="12" t="n"/>
      <c r="U1352" s="12" t="n"/>
      <c r="V1352" s="12" t="n"/>
      <c r="W1352" s="13" t="n"/>
      <c r="X1352" s="14">
        <f>IF($AP1352="",IF($B1352="","",$H1352),IF(INDEX(職員マスタ!$B$6:$B$405,$AP1352)="",$H1352,INDEX(職員マスタ!$B$6:$B$405,$AP1352)))</f>
        <v/>
      </c>
      <c r="Y1352" s="14">
        <f>IF($AP1352="",IF($B1352="","",$R1352),IF(INDEX(職員マスタ!$C$6:$C$405,$AP1352)="",$R1352,INDEX(職員マスタ!$C$6:$C$405,$AP1352)))</f>
        <v/>
      </c>
      <c r="Z1352" s="14">
        <f>IF($AQ1352="","","R"&amp;$C1352&amp;"."&amp;$D1352)</f>
        <v/>
      </c>
      <c r="AA1352" s="15">
        <f>IF(IF($AP1352="",FALSE,INDEX(職員マスタ!$K$6:$K$405,$AP1352)&lt;&gt;""),INDEX(職員マスタ!$K$6:$K$405,$AP1352),IF(N($W1352)&gt;0,$W1352,""))</f>
        <v/>
      </c>
      <c r="AB1352" s="14">
        <f>IF(OR($E1352="",$AA1352=""),"",IF($E1352&gt;=$AA1352,"×",IF($E1352&gt;=$AA1352*設定!$C$5,"△","○")))</f>
        <v/>
      </c>
      <c r="AC1352" s="15">
        <f>IF($AB1352="","",IF($AB1352="×",0,IF($AB1352="○",ROUNDDOWN($E1352*設定!$C$4,0),ROUNDDOWN($E1352*ROUND((9*$AA1352-9*$E1352)/(10*$E1352),4),0))))</f>
        <v/>
      </c>
      <c r="AD1352" s="13" t="n"/>
      <c r="AE1352" s="15">
        <f>IF($B1352="","",IF($AD1352&lt;&gt;"",$AD1352,IF($AC1352="","",IF($AC1352&lt;=設定!$C$3,0,$AC1352))))</f>
        <v/>
      </c>
      <c r="AF1352" s="14">
        <f>IF($B1352="","",IF(AND($AG1352&lt;&gt;"",$AI1352="",$AL1352=""),"保留中",IF($AL1352&lt;&gt;"",IF(N($AE1352)&gt;0,"支給済","不支給"),IF($AE1352="","要確認",IF($AE1352=0,"不支給","未処理")))))</f>
        <v/>
      </c>
      <c r="AG1352" s="12" t="n"/>
      <c r="AH1352" s="11" t="n"/>
      <c r="AI1352" s="11" t="n"/>
      <c r="AJ1352" s="11" t="n"/>
      <c r="AK1352" s="14">
        <f>IF(AND($AF1352="保留中",$AH1352&lt;&gt;""),TODAY()-$AH1352,"")</f>
        <v/>
      </c>
      <c r="AL1352" s="12" t="n"/>
      <c r="AM1352" s="14">
        <f>IF($B1352="","",IF($AQ1352="","対象年月が未入力／","")&amp;IF($B1352="","",IF($AP1352="","職員マスタに未登録の職員番号／",IF($AA1352="","標準報酬月額が未登録／","")&amp;IF(AND($AQ1352&lt;&gt;"",OR(AND(INDEX(職員マスタ!$G$6:$G$405,$AP1352)&lt;&gt;"",INDEX(職員マスタ!$G$6:$G$405,$AP1352)&gt;EOMONTH($AQ1352,0)),AND(INDEX(職員マスタ!$H$6:$H$405,$AP1352)&lt;&gt;"",INDEX(職員マスタ!$H$6:$H$405,$AP1352)&lt;$AQ1352))),"対象月が時短期間外／","")&amp;IF(AND(INDEX(職員マスタ!$K$6:$K$405,$AP1352)&lt;&gt;"",N($W1352)&gt;0,INDEX(職員マスタ!$K$6:$K$405,$AP1352)&lt;&gt;$W1352),"標準報酬月額が申請書と相違（台帳"&amp;TEXT(INDEX(職員マスタ!$K$6:$K$405,$AP1352),"#,##0")&amp;"円／申請書"&amp;TEXT($W1352,"#,##0")&amp;"円）／","")&amp;IF(AND(INDEX(職員マスタ!$F$6:$F$405,$AP1352)&lt;&gt;"",$AQ1352&lt;&gt;"",INDEX(職員マスタ!$F$6:$F$405,$AP1352)&lt;$AQ1352),"対象月に子が2歳到達済／","")&amp;IF(AND($H1352&lt;&gt;"",INDEX(職員マスタ!$B$6:$B$405,$AP1352)&lt;&gt;"",SUBSTITUTE(SUBSTITUTE($H1352," ","")," ","")&lt;&gt;SUBSTITUTE(SUBSTITUTE(INDEX(職員マスタ!$B$6:$B$405,$AP1352)," ","")," ","")),"氏名がマスタと相違／","")&amp;IF(AND($Q1352&lt;&gt;"",INDEX(職員マスタ!$E$6:$E$405,$AP1352)&lt;&gt;"",$Q1352&lt;&gt;INDEX(職員マスタ!$E$6:$E$405,$AP1352)),"子の生年月日がマスタと相違／","")&amp;IF(AND($L1352&lt;&gt;"",INDEX(職員マスタ!$G$6:$G$405,$AP1352)&lt;&gt;"",$L1352&lt;&gt;INDEX(職員マスタ!$G$6:$G$405,$AP1352)),"時短開始日がマスタと相違／","")&amp;IF(AND($M1352&lt;&gt;"",INDEX(職員マスタ!$H$6:$H$405,$AP1352)&lt;&gt;"",$M1352&lt;&gt;INDEX(職員マスタ!$H$6:$H$405,$AP1352)),"時短終了日がマスタと相違／","")))&amp;IF(AND($B1352&lt;&gt;"",$E1352=""),"報酬額が未入力／","")&amp;IF(N($U1352)&gt;0,"申請書に入力エラーが残っています／","")&amp;IF(AND($B1352&lt;&gt;"",$AQ1352&lt;&gt;""),IF(COUNTIFS($B$6:$B$3005,$B1352,$C$6:$C$3005,$C1352,$D$6:$D$3005,$D1352)&gt;1,"同じ月の請求が重複しています／",""),"")&amp;IF(AND(N($E1352)&gt;0,$AB1352&lt;&gt;"",$AB1352&lt;&gt;"×",$AE1352=0,$AD1352=""),"計算額が下限以下のため不支給／",""))</f>
        <v/>
      </c>
      <c r="AN1352" s="12" t="n"/>
      <c r="AO1352" s="14">
        <f>IF($AF1352="保留中",COUNTIF($AF$6:$AF1352,"保留中"),"")</f>
        <v/>
      </c>
      <c r="AP1352" s="14">
        <f>IF($AQ1352="","",IF(SUMPRODUCT(MAX((職員マスタ!$A$6:$A$405=$B1352)*(((職員マスタ!$G$6:$G$405="")+(職員マスタ!$G$6:$G$405&lt;=EOMONTH($AQ1352,0)))&gt;0)*(((職員マスタ!$H$6:$H$405="")+(職員マスタ!$H$6:$H$405&gt;=$AQ1352))&gt;0)*(ROW(職員マスタ!$A$6:$A$405)-5)))&gt;0,SUMPRODUCT(MAX((職員マスタ!$A$6:$A$405=$B1352)*(((職員マスタ!$G$6:$G$405="")+(職員マスタ!$G$6:$G$405&lt;=EOMONTH($AQ1352,0)))&gt;0)*(((職員マスタ!$H$6:$H$405="")+(職員マスタ!$H$6:$H$405&gt;=$AQ1352))&gt;0)*(ROW(職員マスタ!$A$6:$A$405)-5))),IFERROR(MATCH($B1352,職員マスタ!$A$6:$A$405,0),"")))</f>
        <v/>
      </c>
      <c r="AQ1352" s="16">
        <f>IF(OR($B1352="",$C1352="",$D1352=""),"",DATE($C1352+2018,$D1352,1))</f>
        <v/>
      </c>
    </row>
    <row r="1353">
      <c r="A1353" s="11" t="n"/>
      <c r="B1353" s="12" t="n"/>
      <c r="C1353" s="12" t="n"/>
      <c r="D1353" s="12" t="n"/>
      <c r="E1353" s="13" t="n"/>
      <c r="F1353" s="12" t="n"/>
      <c r="G1353" s="13" t="n"/>
      <c r="H1353" s="12" t="n"/>
      <c r="I1353" s="12" t="n"/>
      <c r="J1353" s="12" t="n"/>
      <c r="K1353" s="12" t="n"/>
      <c r="L1353" s="11" t="n"/>
      <c r="M1353" s="11" t="n"/>
      <c r="N1353" s="11" t="n"/>
      <c r="O1353" s="11" t="n"/>
      <c r="P1353" s="12" t="n"/>
      <c r="Q1353" s="11" t="n"/>
      <c r="R1353" s="12" t="n"/>
      <c r="S1353" s="11" t="n"/>
      <c r="T1353" s="12" t="n"/>
      <c r="U1353" s="12" t="n"/>
      <c r="V1353" s="12" t="n"/>
      <c r="W1353" s="13" t="n"/>
      <c r="X1353" s="14">
        <f>IF($AP1353="",IF($B1353="","",$H1353),IF(INDEX(職員マスタ!$B$6:$B$405,$AP1353)="",$H1353,INDEX(職員マスタ!$B$6:$B$405,$AP1353)))</f>
        <v/>
      </c>
      <c r="Y1353" s="14">
        <f>IF($AP1353="",IF($B1353="","",$R1353),IF(INDEX(職員マスタ!$C$6:$C$405,$AP1353)="",$R1353,INDEX(職員マスタ!$C$6:$C$405,$AP1353)))</f>
        <v/>
      </c>
      <c r="Z1353" s="14">
        <f>IF($AQ1353="","","R"&amp;$C1353&amp;"."&amp;$D1353)</f>
        <v/>
      </c>
      <c r="AA1353" s="15">
        <f>IF(IF($AP1353="",FALSE,INDEX(職員マスタ!$K$6:$K$405,$AP1353)&lt;&gt;""),INDEX(職員マスタ!$K$6:$K$405,$AP1353),IF(N($W1353)&gt;0,$W1353,""))</f>
        <v/>
      </c>
      <c r="AB1353" s="14">
        <f>IF(OR($E1353="",$AA1353=""),"",IF($E1353&gt;=$AA1353,"×",IF($E1353&gt;=$AA1353*設定!$C$5,"△","○")))</f>
        <v/>
      </c>
      <c r="AC1353" s="15">
        <f>IF($AB1353="","",IF($AB1353="×",0,IF($AB1353="○",ROUNDDOWN($E1353*設定!$C$4,0),ROUNDDOWN($E1353*ROUND((9*$AA1353-9*$E1353)/(10*$E1353),4),0))))</f>
        <v/>
      </c>
      <c r="AD1353" s="13" t="n"/>
      <c r="AE1353" s="15">
        <f>IF($B1353="","",IF($AD1353&lt;&gt;"",$AD1353,IF($AC1353="","",IF($AC1353&lt;=設定!$C$3,0,$AC1353))))</f>
        <v/>
      </c>
      <c r="AF1353" s="14">
        <f>IF($B1353="","",IF(AND($AG1353&lt;&gt;"",$AI1353="",$AL1353=""),"保留中",IF($AL1353&lt;&gt;"",IF(N($AE1353)&gt;0,"支給済","不支給"),IF($AE1353="","要確認",IF($AE1353=0,"不支給","未処理")))))</f>
        <v/>
      </c>
      <c r="AG1353" s="12" t="n"/>
      <c r="AH1353" s="11" t="n"/>
      <c r="AI1353" s="11" t="n"/>
      <c r="AJ1353" s="11" t="n"/>
      <c r="AK1353" s="14">
        <f>IF(AND($AF1353="保留中",$AH1353&lt;&gt;""),TODAY()-$AH1353,"")</f>
        <v/>
      </c>
      <c r="AL1353" s="12" t="n"/>
      <c r="AM1353" s="14">
        <f>IF($B1353="","",IF($AQ1353="","対象年月が未入力／","")&amp;IF($B1353="","",IF($AP1353="","職員マスタに未登録の職員番号／",IF($AA1353="","標準報酬月額が未登録／","")&amp;IF(AND($AQ1353&lt;&gt;"",OR(AND(INDEX(職員マスタ!$G$6:$G$405,$AP1353)&lt;&gt;"",INDEX(職員マスタ!$G$6:$G$405,$AP1353)&gt;EOMONTH($AQ1353,0)),AND(INDEX(職員マスタ!$H$6:$H$405,$AP1353)&lt;&gt;"",INDEX(職員マスタ!$H$6:$H$405,$AP1353)&lt;$AQ1353))),"対象月が時短期間外／","")&amp;IF(AND(INDEX(職員マスタ!$K$6:$K$405,$AP1353)&lt;&gt;"",N($W1353)&gt;0,INDEX(職員マスタ!$K$6:$K$405,$AP1353)&lt;&gt;$W1353),"標準報酬月額が申請書と相違（台帳"&amp;TEXT(INDEX(職員マスタ!$K$6:$K$405,$AP1353),"#,##0")&amp;"円／申請書"&amp;TEXT($W1353,"#,##0")&amp;"円）／","")&amp;IF(AND(INDEX(職員マスタ!$F$6:$F$405,$AP1353)&lt;&gt;"",$AQ1353&lt;&gt;"",INDEX(職員マスタ!$F$6:$F$405,$AP1353)&lt;$AQ1353),"対象月に子が2歳到達済／","")&amp;IF(AND($H1353&lt;&gt;"",INDEX(職員マスタ!$B$6:$B$405,$AP1353)&lt;&gt;"",SUBSTITUTE(SUBSTITUTE($H1353," ","")," ","")&lt;&gt;SUBSTITUTE(SUBSTITUTE(INDEX(職員マスタ!$B$6:$B$405,$AP1353)," ","")," ","")),"氏名がマスタと相違／","")&amp;IF(AND($Q1353&lt;&gt;"",INDEX(職員マスタ!$E$6:$E$405,$AP1353)&lt;&gt;"",$Q1353&lt;&gt;INDEX(職員マスタ!$E$6:$E$405,$AP1353)),"子の生年月日がマスタと相違／","")&amp;IF(AND($L1353&lt;&gt;"",INDEX(職員マスタ!$G$6:$G$405,$AP1353)&lt;&gt;"",$L1353&lt;&gt;INDEX(職員マスタ!$G$6:$G$405,$AP1353)),"時短開始日がマスタと相違／","")&amp;IF(AND($M1353&lt;&gt;"",INDEX(職員マスタ!$H$6:$H$405,$AP1353)&lt;&gt;"",$M1353&lt;&gt;INDEX(職員マスタ!$H$6:$H$405,$AP1353)),"時短終了日がマスタと相違／","")))&amp;IF(AND($B1353&lt;&gt;"",$E1353=""),"報酬額が未入力／","")&amp;IF(N($U1353)&gt;0,"申請書に入力エラーが残っています／","")&amp;IF(AND($B1353&lt;&gt;"",$AQ1353&lt;&gt;""),IF(COUNTIFS($B$6:$B$3005,$B1353,$C$6:$C$3005,$C1353,$D$6:$D$3005,$D1353)&gt;1,"同じ月の請求が重複しています／",""),"")&amp;IF(AND(N($E1353)&gt;0,$AB1353&lt;&gt;"",$AB1353&lt;&gt;"×",$AE1353=0,$AD1353=""),"計算額が下限以下のため不支給／",""))</f>
        <v/>
      </c>
      <c r="AN1353" s="12" t="n"/>
      <c r="AO1353" s="14">
        <f>IF($AF1353="保留中",COUNTIF($AF$6:$AF1353,"保留中"),"")</f>
        <v/>
      </c>
      <c r="AP1353" s="14">
        <f>IF($AQ1353="","",IF(SUMPRODUCT(MAX((職員マスタ!$A$6:$A$405=$B1353)*(((職員マスタ!$G$6:$G$405="")+(職員マスタ!$G$6:$G$405&lt;=EOMONTH($AQ1353,0)))&gt;0)*(((職員マスタ!$H$6:$H$405="")+(職員マスタ!$H$6:$H$405&gt;=$AQ1353))&gt;0)*(ROW(職員マスタ!$A$6:$A$405)-5)))&gt;0,SUMPRODUCT(MAX((職員マスタ!$A$6:$A$405=$B1353)*(((職員マスタ!$G$6:$G$405="")+(職員マスタ!$G$6:$G$405&lt;=EOMONTH($AQ1353,0)))&gt;0)*(((職員マスタ!$H$6:$H$405="")+(職員マスタ!$H$6:$H$405&gt;=$AQ1353))&gt;0)*(ROW(職員マスタ!$A$6:$A$405)-5))),IFERROR(MATCH($B1353,職員マスタ!$A$6:$A$405,0),"")))</f>
        <v/>
      </c>
      <c r="AQ1353" s="16">
        <f>IF(OR($B1353="",$C1353="",$D1353=""),"",DATE($C1353+2018,$D1353,1))</f>
        <v/>
      </c>
    </row>
    <row r="1354">
      <c r="A1354" s="11" t="n"/>
      <c r="B1354" s="12" t="n"/>
      <c r="C1354" s="12" t="n"/>
      <c r="D1354" s="12" t="n"/>
      <c r="E1354" s="13" t="n"/>
      <c r="F1354" s="12" t="n"/>
      <c r="G1354" s="13" t="n"/>
      <c r="H1354" s="12" t="n"/>
      <c r="I1354" s="12" t="n"/>
      <c r="J1354" s="12" t="n"/>
      <c r="K1354" s="12" t="n"/>
      <c r="L1354" s="11" t="n"/>
      <c r="M1354" s="11" t="n"/>
      <c r="N1354" s="11" t="n"/>
      <c r="O1354" s="11" t="n"/>
      <c r="P1354" s="12" t="n"/>
      <c r="Q1354" s="11" t="n"/>
      <c r="R1354" s="12" t="n"/>
      <c r="S1354" s="11" t="n"/>
      <c r="T1354" s="12" t="n"/>
      <c r="U1354" s="12" t="n"/>
      <c r="V1354" s="12" t="n"/>
      <c r="W1354" s="13" t="n"/>
      <c r="X1354" s="14">
        <f>IF($AP1354="",IF($B1354="","",$H1354),IF(INDEX(職員マスタ!$B$6:$B$405,$AP1354)="",$H1354,INDEX(職員マスタ!$B$6:$B$405,$AP1354)))</f>
        <v/>
      </c>
      <c r="Y1354" s="14">
        <f>IF($AP1354="",IF($B1354="","",$R1354),IF(INDEX(職員マスタ!$C$6:$C$405,$AP1354)="",$R1354,INDEX(職員マスタ!$C$6:$C$405,$AP1354)))</f>
        <v/>
      </c>
      <c r="Z1354" s="14">
        <f>IF($AQ1354="","","R"&amp;$C1354&amp;"."&amp;$D1354)</f>
        <v/>
      </c>
      <c r="AA1354" s="15">
        <f>IF(IF($AP1354="",FALSE,INDEX(職員マスタ!$K$6:$K$405,$AP1354)&lt;&gt;""),INDEX(職員マスタ!$K$6:$K$405,$AP1354),IF(N($W1354)&gt;0,$W1354,""))</f>
        <v/>
      </c>
      <c r="AB1354" s="14">
        <f>IF(OR($E1354="",$AA1354=""),"",IF($E1354&gt;=$AA1354,"×",IF($E1354&gt;=$AA1354*設定!$C$5,"△","○")))</f>
        <v/>
      </c>
      <c r="AC1354" s="15">
        <f>IF($AB1354="","",IF($AB1354="×",0,IF($AB1354="○",ROUNDDOWN($E1354*設定!$C$4,0),ROUNDDOWN($E1354*ROUND((9*$AA1354-9*$E1354)/(10*$E1354),4),0))))</f>
        <v/>
      </c>
      <c r="AD1354" s="13" t="n"/>
      <c r="AE1354" s="15">
        <f>IF($B1354="","",IF($AD1354&lt;&gt;"",$AD1354,IF($AC1354="","",IF($AC1354&lt;=設定!$C$3,0,$AC1354))))</f>
        <v/>
      </c>
      <c r="AF1354" s="14">
        <f>IF($B1354="","",IF(AND($AG1354&lt;&gt;"",$AI1354="",$AL1354=""),"保留中",IF($AL1354&lt;&gt;"",IF(N($AE1354)&gt;0,"支給済","不支給"),IF($AE1354="","要確認",IF($AE1354=0,"不支給","未処理")))))</f>
        <v/>
      </c>
      <c r="AG1354" s="12" t="n"/>
      <c r="AH1354" s="11" t="n"/>
      <c r="AI1354" s="11" t="n"/>
      <c r="AJ1354" s="11" t="n"/>
      <c r="AK1354" s="14">
        <f>IF(AND($AF1354="保留中",$AH1354&lt;&gt;""),TODAY()-$AH1354,"")</f>
        <v/>
      </c>
      <c r="AL1354" s="12" t="n"/>
      <c r="AM1354" s="14">
        <f>IF($B1354="","",IF($AQ1354="","対象年月が未入力／","")&amp;IF($B1354="","",IF($AP1354="","職員マスタに未登録の職員番号／",IF($AA1354="","標準報酬月額が未登録／","")&amp;IF(AND($AQ1354&lt;&gt;"",OR(AND(INDEX(職員マスタ!$G$6:$G$405,$AP1354)&lt;&gt;"",INDEX(職員マスタ!$G$6:$G$405,$AP1354)&gt;EOMONTH($AQ1354,0)),AND(INDEX(職員マスタ!$H$6:$H$405,$AP1354)&lt;&gt;"",INDEX(職員マスタ!$H$6:$H$405,$AP1354)&lt;$AQ1354))),"対象月が時短期間外／","")&amp;IF(AND(INDEX(職員マスタ!$K$6:$K$405,$AP1354)&lt;&gt;"",N($W1354)&gt;0,INDEX(職員マスタ!$K$6:$K$405,$AP1354)&lt;&gt;$W1354),"標準報酬月額が申請書と相違（台帳"&amp;TEXT(INDEX(職員マスタ!$K$6:$K$405,$AP1354),"#,##0")&amp;"円／申請書"&amp;TEXT($W1354,"#,##0")&amp;"円）／","")&amp;IF(AND(INDEX(職員マスタ!$F$6:$F$405,$AP1354)&lt;&gt;"",$AQ1354&lt;&gt;"",INDEX(職員マスタ!$F$6:$F$405,$AP1354)&lt;$AQ1354),"対象月に子が2歳到達済／","")&amp;IF(AND($H1354&lt;&gt;"",INDEX(職員マスタ!$B$6:$B$405,$AP1354)&lt;&gt;"",SUBSTITUTE(SUBSTITUTE($H1354," ","")," ","")&lt;&gt;SUBSTITUTE(SUBSTITUTE(INDEX(職員マスタ!$B$6:$B$405,$AP1354)," ","")," ","")),"氏名がマスタと相違／","")&amp;IF(AND($Q1354&lt;&gt;"",INDEX(職員マスタ!$E$6:$E$405,$AP1354)&lt;&gt;"",$Q1354&lt;&gt;INDEX(職員マスタ!$E$6:$E$405,$AP1354)),"子の生年月日がマスタと相違／","")&amp;IF(AND($L1354&lt;&gt;"",INDEX(職員マスタ!$G$6:$G$405,$AP1354)&lt;&gt;"",$L1354&lt;&gt;INDEX(職員マスタ!$G$6:$G$405,$AP1354)),"時短開始日がマスタと相違／","")&amp;IF(AND($M1354&lt;&gt;"",INDEX(職員マスタ!$H$6:$H$405,$AP1354)&lt;&gt;"",$M1354&lt;&gt;INDEX(職員マスタ!$H$6:$H$405,$AP1354)),"時短終了日がマスタと相違／","")))&amp;IF(AND($B1354&lt;&gt;"",$E1354=""),"報酬額が未入力／","")&amp;IF(N($U1354)&gt;0,"申請書に入力エラーが残っています／","")&amp;IF(AND($B1354&lt;&gt;"",$AQ1354&lt;&gt;""),IF(COUNTIFS($B$6:$B$3005,$B1354,$C$6:$C$3005,$C1354,$D$6:$D$3005,$D1354)&gt;1,"同じ月の請求が重複しています／",""),"")&amp;IF(AND(N($E1354)&gt;0,$AB1354&lt;&gt;"",$AB1354&lt;&gt;"×",$AE1354=0,$AD1354=""),"計算額が下限以下のため不支給／",""))</f>
        <v/>
      </c>
      <c r="AN1354" s="12" t="n"/>
      <c r="AO1354" s="14">
        <f>IF($AF1354="保留中",COUNTIF($AF$6:$AF1354,"保留中"),"")</f>
        <v/>
      </c>
      <c r="AP1354" s="14">
        <f>IF($AQ1354="","",IF(SUMPRODUCT(MAX((職員マスタ!$A$6:$A$405=$B1354)*(((職員マスタ!$G$6:$G$405="")+(職員マスタ!$G$6:$G$405&lt;=EOMONTH($AQ1354,0)))&gt;0)*(((職員マスタ!$H$6:$H$405="")+(職員マスタ!$H$6:$H$405&gt;=$AQ1354))&gt;0)*(ROW(職員マスタ!$A$6:$A$405)-5)))&gt;0,SUMPRODUCT(MAX((職員マスタ!$A$6:$A$405=$B1354)*(((職員マスタ!$G$6:$G$405="")+(職員マスタ!$G$6:$G$405&lt;=EOMONTH($AQ1354,0)))&gt;0)*(((職員マスタ!$H$6:$H$405="")+(職員マスタ!$H$6:$H$405&gt;=$AQ1354))&gt;0)*(ROW(職員マスタ!$A$6:$A$405)-5))),IFERROR(MATCH($B1354,職員マスタ!$A$6:$A$405,0),"")))</f>
        <v/>
      </c>
      <c r="AQ1354" s="16">
        <f>IF(OR($B1354="",$C1354="",$D1354=""),"",DATE($C1354+2018,$D1354,1))</f>
        <v/>
      </c>
    </row>
    <row r="1355">
      <c r="A1355" s="11" t="n"/>
      <c r="B1355" s="12" t="n"/>
      <c r="C1355" s="12" t="n"/>
      <c r="D1355" s="12" t="n"/>
      <c r="E1355" s="13" t="n"/>
      <c r="F1355" s="12" t="n"/>
      <c r="G1355" s="13" t="n"/>
      <c r="H1355" s="12" t="n"/>
      <c r="I1355" s="12" t="n"/>
      <c r="J1355" s="12" t="n"/>
      <c r="K1355" s="12" t="n"/>
      <c r="L1355" s="11" t="n"/>
      <c r="M1355" s="11" t="n"/>
      <c r="N1355" s="11" t="n"/>
      <c r="O1355" s="11" t="n"/>
      <c r="P1355" s="12" t="n"/>
      <c r="Q1355" s="11" t="n"/>
      <c r="R1355" s="12" t="n"/>
      <c r="S1355" s="11" t="n"/>
      <c r="T1355" s="12" t="n"/>
      <c r="U1355" s="12" t="n"/>
      <c r="V1355" s="12" t="n"/>
      <c r="W1355" s="13" t="n"/>
      <c r="X1355" s="14">
        <f>IF($AP1355="",IF($B1355="","",$H1355),IF(INDEX(職員マスタ!$B$6:$B$405,$AP1355)="",$H1355,INDEX(職員マスタ!$B$6:$B$405,$AP1355)))</f>
        <v/>
      </c>
      <c r="Y1355" s="14">
        <f>IF($AP1355="",IF($B1355="","",$R1355),IF(INDEX(職員マスタ!$C$6:$C$405,$AP1355)="",$R1355,INDEX(職員マスタ!$C$6:$C$405,$AP1355)))</f>
        <v/>
      </c>
      <c r="Z1355" s="14">
        <f>IF($AQ1355="","","R"&amp;$C1355&amp;"."&amp;$D1355)</f>
        <v/>
      </c>
      <c r="AA1355" s="15">
        <f>IF(IF($AP1355="",FALSE,INDEX(職員マスタ!$K$6:$K$405,$AP1355)&lt;&gt;""),INDEX(職員マスタ!$K$6:$K$405,$AP1355),IF(N($W1355)&gt;0,$W1355,""))</f>
        <v/>
      </c>
      <c r="AB1355" s="14">
        <f>IF(OR($E1355="",$AA1355=""),"",IF($E1355&gt;=$AA1355,"×",IF($E1355&gt;=$AA1355*設定!$C$5,"△","○")))</f>
        <v/>
      </c>
      <c r="AC1355" s="15">
        <f>IF($AB1355="","",IF($AB1355="×",0,IF($AB1355="○",ROUNDDOWN($E1355*設定!$C$4,0),ROUNDDOWN($E1355*ROUND((9*$AA1355-9*$E1355)/(10*$E1355),4),0))))</f>
        <v/>
      </c>
      <c r="AD1355" s="13" t="n"/>
      <c r="AE1355" s="15">
        <f>IF($B1355="","",IF($AD1355&lt;&gt;"",$AD1355,IF($AC1355="","",IF($AC1355&lt;=設定!$C$3,0,$AC1355))))</f>
        <v/>
      </c>
      <c r="AF1355" s="14">
        <f>IF($B1355="","",IF(AND($AG1355&lt;&gt;"",$AI1355="",$AL1355=""),"保留中",IF($AL1355&lt;&gt;"",IF(N($AE1355)&gt;0,"支給済","不支給"),IF($AE1355="","要確認",IF($AE1355=0,"不支給","未処理")))))</f>
        <v/>
      </c>
      <c r="AG1355" s="12" t="n"/>
      <c r="AH1355" s="11" t="n"/>
      <c r="AI1355" s="11" t="n"/>
      <c r="AJ1355" s="11" t="n"/>
      <c r="AK1355" s="14">
        <f>IF(AND($AF1355="保留中",$AH1355&lt;&gt;""),TODAY()-$AH1355,"")</f>
        <v/>
      </c>
      <c r="AL1355" s="12" t="n"/>
      <c r="AM1355" s="14">
        <f>IF($B1355="","",IF($AQ1355="","対象年月が未入力／","")&amp;IF($B1355="","",IF($AP1355="","職員マスタに未登録の職員番号／",IF($AA1355="","標準報酬月額が未登録／","")&amp;IF(AND($AQ1355&lt;&gt;"",OR(AND(INDEX(職員マスタ!$G$6:$G$405,$AP1355)&lt;&gt;"",INDEX(職員マスタ!$G$6:$G$405,$AP1355)&gt;EOMONTH($AQ1355,0)),AND(INDEX(職員マスタ!$H$6:$H$405,$AP1355)&lt;&gt;"",INDEX(職員マスタ!$H$6:$H$405,$AP1355)&lt;$AQ1355))),"対象月が時短期間外／","")&amp;IF(AND(INDEX(職員マスタ!$K$6:$K$405,$AP1355)&lt;&gt;"",N($W1355)&gt;0,INDEX(職員マスタ!$K$6:$K$405,$AP1355)&lt;&gt;$W1355),"標準報酬月額が申請書と相違（台帳"&amp;TEXT(INDEX(職員マスタ!$K$6:$K$405,$AP1355),"#,##0")&amp;"円／申請書"&amp;TEXT($W1355,"#,##0")&amp;"円）／","")&amp;IF(AND(INDEX(職員マスタ!$F$6:$F$405,$AP1355)&lt;&gt;"",$AQ1355&lt;&gt;"",INDEX(職員マスタ!$F$6:$F$405,$AP1355)&lt;$AQ1355),"対象月に子が2歳到達済／","")&amp;IF(AND($H1355&lt;&gt;"",INDEX(職員マスタ!$B$6:$B$405,$AP1355)&lt;&gt;"",SUBSTITUTE(SUBSTITUTE($H1355," ","")," ","")&lt;&gt;SUBSTITUTE(SUBSTITUTE(INDEX(職員マスタ!$B$6:$B$405,$AP1355)," ","")," ","")),"氏名がマスタと相違／","")&amp;IF(AND($Q1355&lt;&gt;"",INDEX(職員マスタ!$E$6:$E$405,$AP1355)&lt;&gt;"",$Q1355&lt;&gt;INDEX(職員マスタ!$E$6:$E$405,$AP1355)),"子の生年月日がマスタと相違／","")&amp;IF(AND($L1355&lt;&gt;"",INDEX(職員マスタ!$G$6:$G$405,$AP1355)&lt;&gt;"",$L1355&lt;&gt;INDEX(職員マスタ!$G$6:$G$405,$AP1355)),"時短開始日がマスタと相違／","")&amp;IF(AND($M1355&lt;&gt;"",INDEX(職員マスタ!$H$6:$H$405,$AP1355)&lt;&gt;"",$M1355&lt;&gt;INDEX(職員マスタ!$H$6:$H$405,$AP1355)),"時短終了日がマスタと相違／","")))&amp;IF(AND($B1355&lt;&gt;"",$E1355=""),"報酬額が未入力／","")&amp;IF(N($U1355)&gt;0,"申請書に入力エラーが残っています／","")&amp;IF(AND($B1355&lt;&gt;"",$AQ1355&lt;&gt;""),IF(COUNTIFS($B$6:$B$3005,$B1355,$C$6:$C$3005,$C1355,$D$6:$D$3005,$D1355)&gt;1,"同じ月の請求が重複しています／",""),"")&amp;IF(AND(N($E1355)&gt;0,$AB1355&lt;&gt;"",$AB1355&lt;&gt;"×",$AE1355=0,$AD1355=""),"計算額が下限以下のため不支給／",""))</f>
        <v/>
      </c>
      <c r="AN1355" s="12" t="n"/>
      <c r="AO1355" s="14">
        <f>IF($AF1355="保留中",COUNTIF($AF$6:$AF1355,"保留中"),"")</f>
        <v/>
      </c>
      <c r="AP1355" s="14">
        <f>IF($AQ1355="","",IF(SUMPRODUCT(MAX((職員マスタ!$A$6:$A$405=$B1355)*(((職員マスタ!$G$6:$G$405="")+(職員マスタ!$G$6:$G$405&lt;=EOMONTH($AQ1355,0)))&gt;0)*(((職員マスタ!$H$6:$H$405="")+(職員マスタ!$H$6:$H$405&gt;=$AQ1355))&gt;0)*(ROW(職員マスタ!$A$6:$A$405)-5)))&gt;0,SUMPRODUCT(MAX((職員マスタ!$A$6:$A$405=$B1355)*(((職員マスタ!$G$6:$G$405="")+(職員マスタ!$G$6:$G$405&lt;=EOMONTH($AQ1355,0)))&gt;0)*(((職員マスタ!$H$6:$H$405="")+(職員マスタ!$H$6:$H$405&gt;=$AQ1355))&gt;0)*(ROW(職員マスタ!$A$6:$A$405)-5))),IFERROR(MATCH($B1355,職員マスタ!$A$6:$A$405,0),"")))</f>
        <v/>
      </c>
      <c r="AQ1355" s="16">
        <f>IF(OR($B1355="",$C1355="",$D1355=""),"",DATE($C1355+2018,$D1355,1))</f>
        <v/>
      </c>
    </row>
    <row r="1356">
      <c r="A1356" s="11" t="n"/>
      <c r="B1356" s="12" t="n"/>
      <c r="C1356" s="12" t="n"/>
      <c r="D1356" s="12" t="n"/>
      <c r="E1356" s="13" t="n"/>
      <c r="F1356" s="12" t="n"/>
      <c r="G1356" s="13" t="n"/>
      <c r="H1356" s="12" t="n"/>
      <c r="I1356" s="12" t="n"/>
      <c r="J1356" s="12" t="n"/>
      <c r="K1356" s="12" t="n"/>
      <c r="L1356" s="11" t="n"/>
      <c r="M1356" s="11" t="n"/>
      <c r="N1356" s="11" t="n"/>
      <c r="O1356" s="11" t="n"/>
      <c r="P1356" s="12" t="n"/>
      <c r="Q1356" s="11" t="n"/>
      <c r="R1356" s="12" t="n"/>
      <c r="S1356" s="11" t="n"/>
      <c r="T1356" s="12" t="n"/>
      <c r="U1356" s="12" t="n"/>
      <c r="V1356" s="12" t="n"/>
      <c r="W1356" s="13" t="n"/>
      <c r="X1356" s="14">
        <f>IF($AP1356="",IF($B1356="","",$H1356),IF(INDEX(職員マスタ!$B$6:$B$405,$AP1356)="",$H1356,INDEX(職員マスタ!$B$6:$B$405,$AP1356)))</f>
        <v/>
      </c>
      <c r="Y1356" s="14">
        <f>IF($AP1356="",IF($B1356="","",$R1356),IF(INDEX(職員マスタ!$C$6:$C$405,$AP1356)="",$R1356,INDEX(職員マスタ!$C$6:$C$405,$AP1356)))</f>
        <v/>
      </c>
      <c r="Z1356" s="14">
        <f>IF($AQ1356="","","R"&amp;$C1356&amp;"."&amp;$D1356)</f>
        <v/>
      </c>
      <c r="AA1356" s="15">
        <f>IF(IF($AP1356="",FALSE,INDEX(職員マスタ!$K$6:$K$405,$AP1356)&lt;&gt;""),INDEX(職員マスタ!$K$6:$K$405,$AP1356),IF(N($W1356)&gt;0,$W1356,""))</f>
        <v/>
      </c>
      <c r="AB1356" s="14">
        <f>IF(OR($E1356="",$AA1356=""),"",IF($E1356&gt;=$AA1356,"×",IF($E1356&gt;=$AA1356*設定!$C$5,"△","○")))</f>
        <v/>
      </c>
      <c r="AC1356" s="15">
        <f>IF($AB1356="","",IF($AB1356="×",0,IF($AB1356="○",ROUNDDOWN($E1356*設定!$C$4,0),ROUNDDOWN($E1356*ROUND((9*$AA1356-9*$E1356)/(10*$E1356),4),0))))</f>
        <v/>
      </c>
      <c r="AD1356" s="13" t="n"/>
      <c r="AE1356" s="15">
        <f>IF($B1356="","",IF($AD1356&lt;&gt;"",$AD1356,IF($AC1356="","",IF($AC1356&lt;=設定!$C$3,0,$AC1356))))</f>
        <v/>
      </c>
      <c r="AF1356" s="14">
        <f>IF($B1356="","",IF(AND($AG1356&lt;&gt;"",$AI1356="",$AL1356=""),"保留中",IF($AL1356&lt;&gt;"",IF(N($AE1356)&gt;0,"支給済","不支給"),IF($AE1356="","要確認",IF($AE1356=0,"不支給","未処理")))))</f>
        <v/>
      </c>
      <c r="AG1356" s="12" t="n"/>
      <c r="AH1356" s="11" t="n"/>
      <c r="AI1356" s="11" t="n"/>
      <c r="AJ1356" s="11" t="n"/>
      <c r="AK1356" s="14">
        <f>IF(AND($AF1356="保留中",$AH1356&lt;&gt;""),TODAY()-$AH1356,"")</f>
        <v/>
      </c>
      <c r="AL1356" s="12" t="n"/>
      <c r="AM1356" s="14">
        <f>IF($B1356="","",IF($AQ1356="","対象年月が未入力／","")&amp;IF($B1356="","",IF($AP1356="","職員マスタに未登録の職員番号／",IF($AA1356="","標準報酬月額が未登録／","")&amp;IF(AND($AQ1356&lt;&gt;"",OR(AND(INDEX(職員マスタ!$G$6:$G$405,$AP1356)&lt;&gt;"",INDEX(職員マスタ!$G$6:$G$405,$AP1356)&gt;EOMONTH($AQ1356,0)),AND(INDEX(職員マスタ!$H$6:$H$405,$AP1356)&lt;&gt;"",INDEX(職員マスタ!$H$6:$H$405,$AP1356)&lt;$AQ1356))),"対象月が時短期間外／","")&amp;IF(AND(INDEX(職員マスタ!$K$6:$K$405,$AP1356)&lt;&gt;"",N($W1356)&gt;0,INDEX(職員マスタ!$K$6:$K$405,$AP1356)&lt;&gt;$W1356),"標準報酬月額が申請書と相違（台帳"&amp;TEXT(INDEX(職員マスタ!$K$6:$K$405,$AP1356),"#,##0")&amp;"円／申請書"&amp;TEXT($W1356,"#,##0")&amp;"円）／","")&amp;IF(AND(INDEX(職員マスタ!$F$6:$F$405,$AP1356)&lt;&gt;"",$AQ1356&lt;&gt;"",INDEX(職員マスタ!$F$6:$F$405,$AP1356)&lt;$AQ1356),"対象月に子が2歳到達済／","")&amp;IF(AND($H1356&lt;&gt;"",INDEX(職員マスタ!$B$6:$B$405,$AP1356)&lt;&gt;"",SUBSTITUTE(SUBSTITUTE($H1356," ","")," ","")&lt;&gt;SUBSTITUTE(SUBSTITUTE(INDEX(職員マスタ!$B$6:$B$405,$AP1356)," ","")," ","")),"氏名がマスタと相違／","")&amp;IF(AND($Q1356&lt;&gt;"",INDEX(職員マスタ!$E$6:$E$405,$AP1356)&lt;&gt;"",$Q1356&lt;&gt;INDEX(職員マスタ!$E$6:$E$405,$AP1356)),"子の生年月日がマスタと相違／","")&amp;IF(AND($L1356&lt;&gt;"",INDEX(職員マスタ!$G$6:$G$405,$AP1356)&lt;&gt;"",$L1356&lt;&gt;INDEX(職員マスタ!$G$6:$G$405,$AP1356)),"時短開始日がマスタと相違／","")&amp;IF(AND($M1356&lt;&gt;"",INDEX(職員マスタ!$H$6:$H$405,$AP1356)&lt;&gt;"",$M1356&lt;&gt;INDEX(職員マスタ!$H$6:$H$405,$AP1356)),"時短終了日がマスタと相違／","")))&amp;IF(AND($B1356&lt;&gt;"",$E1356=""),"報酬額が未入力／","")&amp;IF(N($U1356)&gt;0,"申請書に入力エラーが残っています／","")&amp;IF(AND($B1356&lt;&gt;"",$AQ1356&lt;&gt;""),IF(COUNTIFS($B$6:$B$3005,$B1356,$C$6:$C$3005,$C1356,$D$6:$D$3005,$D1356)&gt;1,"同じ月の請求が重複しています／",""),"")&amp;IF(AND(N($E1356)&gt;0,$AB1356&lt;&gt;"",$AB1356&lt;&gt;"×",$AE1356=0,$AD1356=""),"計算額が下限以下のため不支給／",""))</f>
        <v/>
      </c>
      <c r="AN1356" s="12" t="n"/>
      <c r="AO1356" s="14">
        <f>IF($AF1356="保留中",COUNTIF($AF$6:$AF1356,"保留中"),"")</f>
        <v/>
      </c>
      <c r="AP1356" s="14">
        <f>IF($AQ1356="","",IF(SUMPRODUCT(MAX((職員マスタ!$A$6:$A$405=$B1356)*(((職員マスタ!$G$6:$G$405="")+(職員マスタ!$G$6:$G$405&lt;=EOMONTH($AQ1356,0)))&gt;0)*(((職員マスタ!$H$6:$H$405="")+(職員マスタ!$H$6:$H$405&gt;=$AQ1356))&gt;0)*(ROW(職員マスタ!$A$6:$A$405)-5)))&gt;0,SUMPRODUCT(MAX((職員マスタ!$A$6:$A$405=$B1356)*(((職員マスタ!$G$6:$G$405="")+(職員マスタ!$G$6:$G$405&lt;=EOMONTH($AQ1356,0)))&gt;0)*(((職員マスタ!$H$6:$H$405="")+(職員マスタ!$H$6:$H$405&gt;=$AQ1356))&gt;0)*(ROW(職員マスタ!$A$6:$A$405)-5))),IFERROR(MATCH($B1356,職員マスタ!$A$6:$A$405,0),"")))</f>
        <v/>
      </c>
      <c r="AQ1356" s="16">
        <f>IF(OR($B1356="",$C1356="",$D1356=""),"",DATE($C1356+2018,$D1356,1))</f>
        <v/>
      </c>
    </row>
    <row r="1357">
      <c r="A1357" s="11" t="n"/>
      <c r="B1357" s="12" t="n"/>
      <c r="C1357" s="12" t="n"/>
      <c r="D1357" s="12" t="n"/>
      <c r="E1357" s="13" t="n"/>
      <c r="F1357" s="12" t="n"/>
      <c r="G1357" s="13" t="n"/>
      <c r="H1357" s="12" t="n"/>
      <c r="I1357" s="12" t="n"/>
      <c r="J1357" s="12" t="n"/>
      <c r="K1357" s="12" t="n"/>
      <c r="L1357" s="11" t="n"/>
      <c r="M1357" s="11" t="n"/>
      <c r="N1357" s="11" t="n"/>
      <c r="O1357" s="11" t="n"/>
      <c r="P1357" s="12" t="n"/>
      <c r="Q1357" s="11" t="n"/>
      <c r="R1357" s="12" t="n"/>
      <c r="S1357" s="11" t="n"/>
      <c r="T1357" s="12" t="n"/>
      <c r="U1357" s="12" t="n"/>
      <c r="V1357" s="12" t="n"/>
      <c r="W1357" s="13" t="n"/>
      <c r="X1357" s="14">
        <f>IF($AP1357="",IF($B1357="","",$H1357),IF(INDEX(職員マスタ!$B$6:$B$405,$AP1357)="",$H1357,INDEX(職員マスタ!$B$6:$B$405,$AP1357)))</f>
        <v/>
      </c>
      <c r="Y1357" s="14">
        <f>IF($AP1357="",IF($B1357="","",$R1357),IF(INDEX(職員マスタ!$C$6:$C$405,$AP1357)="",$R1357,INDEX(職員マスタ!$C$6:$C$405,$AP1357)))</f>
        <v/>
      </c>
      <c r="Z1357" s="14">
        <f>IF($AQ1357="","","R"&amp;$C1357&amp;"."&amp;$D1357)</f>
        <v/>
      </c>
      <c r="AA1357" s="15">
        <f>IF(IF($AP1357="",FALSE,INDEX(職員マスタ!$K$6:$K$405,$AP1357)&lt;&gt;""),INDEX(職員マスタ!$K$6:$K$405,$AP1357),IF(N($W1357)&gt;0,$W1357,""))</f>
        <v/>
      </c>
      <c r="AB1357" s="14">
        <f>IF(OR($E1357="",$AA1357=""),"",IF($E1357&gt;=$AA1357,"×",IF($E1357&gt;=$AA1357*設定!$C$5,"△","○")))</f>
        <v/>
      </c>
      <c r="AC1357" s="15">
        <f>IF($AB1357="","",IF($AB1357="×",0,IF($AB1357="○",ROUNDDOWN($E1357*設定!$C$4,0),ROUNDDOWN($E1357*ROUND((9*$AA1357-9*$E1357)/(10*$E1357),4),0))))</f>
        <v/>
      </c>
      <c r="AD1357" s="13" t="n"/>
      <c r="AE1357" s="15">
        <f>IF($B1357="","",IF($AD1357&lt;&gt;"",$AD1357,IF($AC1357="","",IF($AC1357&lt;=設定!$C$3,0,$AC1357))))</f>
        <v/>
      </c>
      <c r="AF1357" s="14">
        <f>IF($B1357="","",IF(AND($AG1357&lt;&gt;"",$AI1357="",$AL1357=""),"保留中",IF($AL1357&lt;&gt;"",IF(N($AE1357)&gt;0,"支給済","不支給"),IF($AE1357="","要確認",IF($AE1357=0,"不支給","未処理")))))</f>
        <v/>
      </c>
      <c r="AG1357" s="12" t="n"/>
      <c r="AH1357" s="11" t="n"/>
      <c r="AI1357" s="11" t="n"/>
      <c r="AJ1357" s="11" t="n"/>
      <c r="AK1357" s="14">
        <f>IF(AND($AF1357="保留中",$AH1357&lt;&gt;""),TODAY()-$AH1357,"")</f>
        <v/>
      </c>
      <c r="AL1357" s="12" t="n"/>
      <c r="AM1357" s="14">
        <f>IF($B1357="","",IF($AQ1357="","対象年月が未入力／","")&amp;IF($B1357="","",IF($AP1357="","職員マスタに未登録の職員番号／",IF($AA1357="","標準報酬月額が未登録／","")&amp;IF(AND($AQ1357&lt;&gt;"",OR(AND(INDEX(職員マスタ!$G$6:$G$405,$AP1357)&lt;&gt;"",INDEX(職員マスタ!$G$6:$G$405,$AP1357)&gt;EOMONTH($AQ1357,0)),AND(INDEX(職員マスタ!$H$6:$H$405,$AP1357)&lt;&gt;"",INDEX(職員マスタ!$H$6:$H$405,$AP1357)&lt;$AQ1357))),"対象月が時短期間外／","")&amp;IF(AND(INDEX(職員マスタ!$K$6:$K$405,$AP1357)&lt;&gt;"",N($W1357)&gt;0,INDEX(職員マスタ!$K$6:$K$405,$AP1357)&lt;&gt;$W1357),"標準報酬月額が申請書と相違（台帳"&amp;TEXT(INDEX(職員マスタ!$K$6:$K$405,$AP1357),"#,##0")&amp;"円／申請書"&amp;TEXT($W1357,"#,##0")&amp;"円）／","")&amp;IF(AND(INDEX(職員マスタ!$F$6:$F$405,$AP1357)&lt;&gt;"",$AQ1357&lt;&gt;"",INDEX(職員マスタ!$F$6:$F$405,$AP1357)&lt;$AQ1357),"対象月に子が2歳到達済／","")&amp;IF(AND($H1357&lt;&gt;"",INDEX(職員マスタ!$B$6:$B$405,$AP1357)&lt;&gt;"",SUBSTITUTE(SUBSTITUTE($H1357," ","")," ","")&lt;&gt;SUBSTITUTE(SUBSTITUTE(INDEX(職員マスタ!$B$6:$B$405,$AP1357)," ","")," ","")),"氏名がマスタと相違／","")&amp;IF(AND($Q1357&lt;&gt;"",INDEX(職員マスタ!$E$6:$E$405,$AP1357)&lt;&gt;"",$Q1357&lt;&gt;INDEX(職員マスタ!$E$6:$E$405,$AP1357)),"子の生年月日がマスタと相違／","")&amp;IF(AND($L1357&lt;&gt;"",INDEX(職員マスタ!$G$6:$G$405,$AP1357)&lt;&gt;"",$L1357&lt;&gt;INDEX(職員マスタ!$G$6:$G$405,$AP1357)),"時短開始日がマスタと相違／","")&amp;IF(AND($M1357&lt;&gt;"",INDEX(職員マスタ!$H$6:$H$405,$AP1357)&lt;&gt;"",$M1357&lt;&gt;INDEX(職員マスタ!$H$6:$H$405,$AP1357)),"時短終了日がマスタと相違／","")))&amp;IF(AND($B1357&lt;&gt;"",$E1357=""),"報酬額が未入力／","")&amp;IF(N($U1357)&gt;0,"申請書に入力エラーが残っています／","")&amp;IF(AND($B1357&lt;&gt;"",$AQ1357&lt;&gt;""),IF(COUNTIFS($B$6:$B$3005,$B1357,$C$6:$C$3005,$C1357,$D$6:$D$3005,$D1357)&gt;1,"同じ月の請求が重複しています／",""),"")&amp;IF(AND(N($E1357)&gt;0,$AB1357&lt;&gt;"",$AB1357&lt;&gt;"×",$AE1357=0,$AD1357=""),"計算額が下限以下のため不支給／",""))</f>
        <v/>
      </c>
      <c r="AN1357" s="12" t="n"/>
      <c r="AO1357" s="14">
        <f>IF($AF1357="保留中",COUNTIF($AF$6:$AF1357,"保留中"),"")</f>
        <v/>
      </c>
      <c r="AP1357" s="14">
        <f>IF($AQ1357="","",IF(SUMPRODUCT(MAX((職員マスタ!$A$6:$A$405=$B1357)*(((職員マスタ!$G$6:$G$405="")+(職員マスタ!$G$6:$G$405&lt;=EOMONTH($AQ1357,0)))&gt;0)*(((職員マスタ!$H$6:$H$405="")+(職員マスタ!$H$6:$H$405&gt;=$AQ1357))&gt;0)*(ROW(職員マスタ!$A$6:$A$405)-5)))&gt;0,SUMPRODUCT(MAX((職員マスタ!$A$6:$A$405=$B1357)*(((職員マスタ!$G$6:$G$405="")+(職員マスタ!$G$6:$G$405&lt;=EOMONTH($AQ1357,0)))&gt;0)*(((職員マスタ!$H$6:$H$405="")+(職員マスタ!$H$6:$H$405&gt;=$AQ1357))&gt;0)*(ROW(職員マスタ!$A$6:$A$405)-5))),IFERROR(MATCH($B1357,職員マスタ!$A$6:$A$405,0),"")))</f>
        <v/>
      </c>
      <c r="AQ1357" s="16">
        <f>IF(OR($B1357="",$C1357="",$D1357=""),"",DATE($C1357+2018,$D1357,1))</f>
        <v/>
      </c>
    </row>
    <row r="1358">
      <c r="A1358" s="11" t="n"/>
      <c r="B1358" s="12" t="n"/>
      <c r="C1358" s="12" t="n"/>
      <c r="D1358" s="12" t="n"/>
      <c r="E1358" s="13" t="n"/>
      <c r="F1358" s="12" t="n"/>
      <c r="G1358" s="13" t="n"/>
      <c r="H1358" s="12" t="n"/>
      <c r="I1358" s="12" t="n"/>
      <c r="J1358" s="12" t="n"/>
      <c r="K1358" s="12" t="n"/>
      <c r="L1358" s="11" t="n"/>
      <c r="M1358" s="11" t="n"/>
      <c r="N1358" s="11" t="n"/>
      <c r="O1358" s="11" t="n"/>
      <c r="P1358" s="12" t="n"/>
      <c r="Q1358" s="11" t="n"/>
      <c r="R1358" s="12" t="n"/>
      <c r="S1358" s="11" t="n"/>
      <c r="T1358" s="12" t="n"/>
      <c r="U1358" s="12" t="n"/>
      <c r="V1358" s="12" t="n"/>
      <c r="W1358" s="13" t="n"/>
      <c r="X1358" s="14">
        <f>IF($AP1358="",IF($B1358="","",$H1358),IF(INDEX(職員マスタ!$B$6:$B$405,$AP1358)="",$H1358,INDEX(職員マスタ!$B$6:$B$405,$AP1358)))</f>
        <v/>
      </c>
      <c r="Y1358" s="14">
        <f>IF($AP1358="",IF($B1358="","",$R1358),IF(INDEX(職員マスタ!$C$6:$C$405,$AP1358)="",$R1358,INDEX(職員マスタ!$C$6:$C$405,$AP1358)))</f>
        <v/>
      </c>
      <c r="Z1358" s="14">
        <f>IF($AQ1358="","","R"&amp;$C1358&amp;"."&amp;$D1358)</f>
        <v/>
      </c>
      <c r="AA1358" s="15">
        <f>IF(IF($AP1358="",FALSE,INDEX(職員マスタ!$K$6:$K$405,$AP1358)&lt;&gt;""),INDEX(職員マスタ!$K$6:$K$405,$AP1358),IF(N($W1358)&gt;0,$W1358,""))</f>
        <v/>
      </c>
      <c r="AB1358" s="14">
        <f>IF(OR($E1358="",$AA1358=""),"",IF($E1358&gt;=$AA1358,"×",IF($E1358&gt;=$AA1358*設定!$C$5,"△","○")))</f>
        <v/>
      </c>
      <c r="AC1358" s="15">
        <f>IF($AB1358="","",IF($AB1358="×",0,IF($AB1358="○",ROUNDDOWN($E1358*設定!$C$4,0),ROUNDDOWN($E1358*ROUND((9*$AA1358-9*$E1358)/(10*$E1358),4),0))))</f>
        <v/>
      </c>
      <c r="AD1358" s="13" t="n"/>
      <c r="AE1358" s="15">
        <f>IF($B1358="","",IF($AD1358&lt;&gt;"",$AD1358,IF($AC1358="","",IF($AC1358&lt;=設定!$C$3,0,$AC1358))))</f>
        <v/>
      </c>
      <c r="AF1358" s="14">
        <f>IF($B1358="","",IF(AND($AG1358&lt;&gt;"",$AI1358="",$AL1358=""),"保留中",IF($AL1358&lt;&gt;"",IF(N($AE1358)&gt;0,"支給済","不支給"),IF($AE1358="","要確認",IF($AE1358=0,"不支給","未処理")))))</f>
        <v/>
      </c>
      <c r="AG1358" s="12" t="n"/>
      <c r="AH1358" s="11" t="n"/>
      <c r="AI1358" s="11" t="n"/>
      <c r="AJ1358" s="11" t="n"/>
      <c r="AK1358" s="14">
        <f>IF(AND($AF1358="保留中",$AH1358&lt;&gt;""),TODAY()-$AH1358,"")</f>
        <v/>
      </c>
      <c r="AL1358" s="12" t="n"/>
      <c r="AM1358" s="14">
        <f>IF($B1358="","",IF($AQ1358="","対象年月が未入力／","")&amp;IF($B1358="","",IF($AP1358="","職員マスタに未登録の職員番号／",IF($AA1358="","標準報酬月額が未登録／","")&amp;IF(AND($AQ1358&lt;&gt;"",OR(AND(INDEX(職員マスタ!$G$6:$G$405,$AP1358)&lt;&gt;"",INDEX(職員マスタ!$G$6:$G$405,$AP1358)&gt;EOMONTH($AQ1358,0)),AND(INDEX(職員マスタ!$H$6:$H$405,$AP1358)&lt;&gt;"",INDEX(職員マスタ!$H$6:$H$405,$AP1358)&lt;$AQ1358))),"対象月が時短期間外／","")&amp;IF(AND(INDEX(職員マスタ!$K$6:$K$405,$AP1358)&lt;&gt;"",N($W1358)&gt;0,INDEX(職員マスタ!$K$6:$K$405,$AP1358)&lt;&gt;$W1358),"標準報酬月額が申請書と相違（台帳"&amp;TEXT(INDEX(職員マスタ!$K$6:$K$405,$AP1358),"#,##0")&amp;"円／申請書"&amp;TEXT($W1358,"#,##0")&amp;"円）／","")&amp;IF(AND(INDEX(職員マスタ!$F$6:$F$405,$AP1358)&lt;&gt;"",$AQ1358&lt;&gt;"",INDEX(職員マスタ!$F$6:$F$405,$AP1358)&lt;$AQ1358),"対象月に子が2歳到達済／","")&amp;IF(AND($H1358&lt;&gt;"",INDEX(職員マスタ!$B$6:$B$405,$AP1358)&lt;&gt;"",SUBSTITUTE(SUBSTITUTE($H1358," ","")," ","")&lt;&gt;SUBSTITUTE(SUBSTITUTE(INDEX(職員マスタ!$B$6:$B$405,$AP1358)," ","")," ","")),"氏名がマスタと相違／","")&amp;IF(AND($Q1358&lt;&gt;"",INDEX(職員マスタ!$E$6:$E$405,$AP1358)&lt;&gt;"",$Q1358&lt;&gt;INDEX(職員マスタ!$E$6:$E$405,$AP1358)),"子の生年月日がマスタと相違／","")&amp;IF(AND($L1358&lt;&gt;"",INDEX(職員マスタ!$G$6:$G$405,$AP1358)&lt;&gt;"",$L1358&lt;&gt;INDEX(職員マスタ!$G$6:$G$405,$AP1358)),"時短開始日がマスタと相違／","")&amp;IF(AND($M1358&lt;&gt;"",INDEX(職員マスタ!$H$6:$H$405,$AP1358)&lt;&gt;"",$M1358&lt;&gt;INDEX(職員マスタ!$H$6:$H$405,$AP1358)),"時短終了日がマスタと相違／","")))&amp;IF(AND($B1358&lt;&gt;"",$E1358=""),"報酬額が未入力／","")&amp;IF(N($U1358)&gt;0,"申請書に入力エラーが残っています／","")&amp;IF(AND($B1358&lt;&gt;"",$AQ1358&lt;&gt;""),IF(COUNTIFS($B$6:$B$3005,$B1358,$C$6:$C$3005,$C1358,$D$6:$D$3005,$D1358)&gt;1,"同じ月の請求が重複しています／",""),"")&amp;IF(AND(N($E1358)&gt;0,$AB1358&lt;&gt;"",$AB1358&lt;&gt;"×",$AE1358=0,$AD1358=""),"計算額が下限以下のため不支給／",""))</f>
        <v/>
      </c>
      <c r="AN1358" s="12" t="n"/>
      <c r="AO1358" s="14">
        <f>IF($AF1358="保留中",COUNTIF($AF$6:$AF1358,"保留中"),"")</f>
        <v/>
      </c>
      <c r="AP1358" s="14">
        <f>IF($AQ1358="","",IF(SUMPRODUCT(MAX((職員マスタ!$A$6:$A$405=$B1358)*(((職員マスタ!$G$6:$G$405="")+(職員マスタ!$G$6:$G$405&lt;=EOMONTH($AQ1358,0)))&gt;0)*(((職員マスタ!$H$6:$H$405="")+(職員マスタ!$H$6:$H$405&gt;=$AQ1358))&gt;0)*(ROW(職員マスタ!$A$6:$A$405)-5)))&gt;0,SUMPRODUCT(MAX((職員マスタ!$A$6:$A$405=$B1358)*(((職員マスタ!$G$6:$G$405="")+(職員マスタ!$G$6:$G$405&lt;=EOMONTH($AQ1358,0)))&gt;0)*(((職員マスタ!$H$6:$H$405="")+(職員マスタ!$H$6:$H$405&gt;=$AQ1358))&gt;0)*(ROW(職員マスタ!$A$6:$A$405)-5))),IFERROR(MATCH($B1358,職員マスタ!$A$6:$A$405,0),"")))</f>
        <v/>
      </c>
      <c r="AQ1358" s="16">
        <f>IF(OR($B1358="",$C1358="",$D1358=""),"",DATE($C1358+2018,$D1358,1))</f>
        <v/>
      </c>
    </row>
    <row r="1359">
      <c r="A1359" s="11" t="n"/>
      <c r="B1359" s="12" t="n"/>
      <c r="C1359" s="12" t="n"/>
      <c r="D1359" s="12" t="n"/>
      <c r="E1359" s="13" t="n"/>
      <c r="F1359" s="12" t="n"/>
      <c r="G1359" s="13" t="n"/>
      <c r="H1359" s="12" t="n"/>
      <c r="I1359" s="12" t="n"/>
      <c r="J1359" s="12" t="n"/>
      <c r="K1359" s="12" t="n"/>
      <c r="L1359" s="11" t="n"/>
      <c r="M1359" s="11" t="n"/>
      <c r="N1359" s="11" t="n"/>
      <c r="O1359" s="11" t="n"/>
      <c r="P1359" s="12" t="n"/>
      <c r="Q1359" s="11" t="n"/>
      <c r="R1359" s="12" t="n"/>
      <c r="S1359" s="11" t="n"/>
      <c r="T1359" s="12" t="n"/>
      <c r="U1359" s="12" t="n"/>
      <c r="V1359" s="12" t="n"/>
      <c r="W1359" s="13" t="n"/>
      <c r="X1359" s="14">
        <f>IF($AP1359="",IF($B1359="","",$H1359),IF(INDEX(職員マスタ!$B$6:$B$405,$AP1359)="",$H1359,INDEX(職員マスタ!$B$6:$B$405,$AP1359)))</f>
        <v/>
      </c>
      <c r="Y1359" s="14">
        <f>IF($AP1359="",IF($B1359="","",$R1359),IF(INDEX(職員マスタ!$C$6:$C$405,$AP1359)="",$R1359,INDEX(職員マスタ!$C$6:$C$405,$AP1359)))</f>
        <v/>
      </c>
      <c r="Z1359" s="14">
        <f>IF($AQ1359="","","R"&amp;$C1359&amp;"."&amp;$D1359)</f>
        <v/>
      </c>
      <c r="AA1359" s="15">
        <f>IF(IF($AP1359="",FALSE,INDEX(職員マスタ!$K$6:$K$405,$AP1359)&lt;&gt;""),INDEX(職員マスタ!$K$6:$K$405,$AP1359),IF(N($W1359)&gt;0,$W1359,""))</f>
        <v/>
      </c>
      <c r="AB1359" s="14">
        <f>IF(OR($E1359="",$AA1359=""),"",IF($E1359&gt;=$AA1359,"×",IF($E1359&gt;=$AA1359*設定!$C$5,"△","○")))</f>
        <v/>
      </c>
      <c r="AC1359" s="15">
        <f>IF($AB1359="","",IF($AB1359="×",0,IF($AB1359="○",ROUNDDOWN($E1359*設定!$C$4,0),ROUNDDOWN($E1359*ROUND((9*$AA1359-9*$E1359)/(10*$E1359),4),0))))</f>
        <v/>
      </c>
      <c r="AD1359" s="13" t="n"/>
      <c r="AE1359" s="15">
        <f>IF($B1359="","",IF($AD1359&lt;&gt;"",$AD1359,IF($AC1359="","",IF($AC1359&lt;=設定!$C$3,0,$AC1359))))</f>
        <v/>
      </c>
      <c r="AF1359" s="14">
        <f>IF($B1359="","",IF(AND($AG1359&lt;&gt;"",$AI1359="",$AL1359=""),"保留中",IF($AL1359&lt;&gt;"",IF(N($AE1359)&gt;0,"支給済","不支給"),IF($AE1359="","要確認",IF($AE1359=0,"不支給","未処理")))))</f>
        <v/>
      </c>
      <c r="AG1359" s="12" t="n"/>
      <c r="AH1359" s="11" t="n"/>
      <c r="AI1359" s="11" t="n"/>
      <c r="AJ1359" s="11" t="n"/>
      <c r="AK1359" s="14">
        <f>IF(AND($AF1359="保留中",$AH1359&lt;&gt;""),TODAY()-$AH1359,"")</f>
        <v/>
      </c>
      <c r="AL1359" s="12" t="n"/>
      <c r="AM1359" s="14">
        <f>IF($B1359="","",IF($AQ1359="","対象年月が未入力／","")&amp;IF($B1359="","",IF($AP1359="","職員マスタに未登録の職員番号／",IF($AA1359="","標準報酬月額が未登録／","")&amp;IF(AND($AQ1359&lt;&gt;"",OR(AND(INDEX(職員マスタ!$G$6:$G$405,$AP1359)&lt;&gt;"",INDEX(職員マスタ!$G$6:$G$405,$AP1359)&gt;EOMONTH($AQ1359,0)),AND(INDEX(職員マスタ!$H$6:$H$405,$AP1359)&lt;&gt;"",INDEX(職員マスタ!$H$6:$H$405,$AP1359)&lt;$AQ1359))),"対象月が時短期間外／","")&amp;IF(AND(INDEX(職員マスタ!$K$6:$K$405,$AP1359)&lt;&gt;"",N($W1359)&gt;0,INDEX(職員マスタ!$K$6:$K$405,$AP1359)&lt;&gt;$W1359),"標準報酬月額が申請書と相違（台帳"&amp;TEXT(INDEX(職員マスタ!$K$6:$K$405,$AP1359),"#,##0")&amp;"円／申請書"&amp;TEXT($W1359,"#,##0")&amp;"円）／","")&amp;IF(AND(INDEX(職員マスタ!$F$6:$F$405,$AP1359)&lt;&gt;"",$AQ1359&lt;&gt;"",INDEX(職員マスタ!$F$6:$F$405,$AP1359)&lt;$AQ1359),"対象月に子が2歳到達済／","")&amp;IF(AND($H1359&lt;&gt;"",INDEX(職員マスタ!$B$6:$B$405,$AP1359)&lt;&gt;"",SUBSTITUTE(SUBSTITUTE($H1359," ","")," ","")&lt;&gt;SUBSTITUTE(SUBSTITUTE(INDEX(職員マスタ!$B$6:$B$405,$AP1359)," ","")," ","")),"氏名がマスタと相違／","")&amp;IF(AND($Q1359&lt;&gt;"",INDEX(職員マスタ!$E$6:$E$405,$AP1359)&lt;&gt;"",$Q1359&lt;&gt;INDEX(職員マスタ!$E$6:$E$405,$AP1359)),"子の生年月日がマスタと相違／","")&amp;IF(AND($L1359&lt;&gt;"",INDEX(職員マスタ!$G$6:$G$405,$AP1359)&lt;&gt;"",$L1359&lt;&gt;INDEX(職員マスタ!$G$6:$G$405,$AP1359)),"時短開始日がマスタと相違／","")&amp;IF(AND($M1359&lt;&gt;"",INDEX(職員マスタ!$H$6:$H$405,$AP1359)&lt;&gt;"",$M1359&lt;&gt;INDEX(職員マスタ!$H$6:$H$405,$AP1359)),"時短終了日がマスタと相違／","")))&amp;IF(AND($B1359&lt;&gt;"",$E1359=""),"報酬額が未入力／","")&amp;IF(N($U1359)&gt;0,"申請書に入力エラーが残っています／","")&amp;IF(AND($B1359&lt;&gt;"",$AQ1359&lt;&gt;""),IF(COUNTIFS($B$6:$B$3005,$B1359,$C$6:$C$3005,$C1359,$D$6:$D$3005,$D1359)&gt;1,"同じ月の請求が重複しています／",""),"")&amp;IF(AND(N($E1359)&gt;0,$AB1359&lt;&gt;"",$AB1359&lt;&gt;"×",$AE1359=0,$AD1359=""),"計算額が下限以下のため不支給／",""))</f>
        <v/>
      </c>
      <c r="AN1359" s="12" t="n"/>
      <c r="AO1359" s="14">
        <f>IF($AF1359="保留中",COUNTIF($AF$6:$AF1359,"保留中"),"")</f>
        <v/>
      </c>
      <c r="AP1359" s="14">
        <f>IF($AQ1359="","",IF(SUMPRODUCT(MAX((職員マスタ!$A$6:$A$405=$B1359)*(((職員マスタ!$G$6:$G$405="")+(職員マスタ!$G$6:$G$405&lt;=EOMONTH($AQ1359,0)))&gt;0)*(((職員マスタ!$H$6:$H$405="")+(職員マスタ!$H$6:$H$405&gt;=$AQ1359))&gt;0)*(ROW(職員マスタ!$A$6:$A$405)-5)))&gt;0,SUMPRODUCT(MAX((職員マスタ!$A$6:$A$405=$B1359)*(((職員マスタ!$G$6:$G$405="")+(職員マスタ!$G$6:$G$405&lt;=EOMONTH($AQ1359,0)))&gt;0)*(((職員マスタ!$H$6:$H$405="")+(職員マスタ!$H$6:$H$405&gt;=$AQ1359))&gt;0)*(ROW(職員マスタ!$A$6:$A$405)-5))),IFERROR(MATCH($B1359,職員マスタ!$A$6:$A$405,0),"")))</f>
        <v/>
      </c>
      <c r="AQ1359" s="16">
        <f>IF(OR($B1359="",$C1359="",$D1359=""),"",DATE($C1359+2018,$D1359,1))</f>
        <v/>
      </c>
    </row>
    <row r="1360">
      <c r="A1360" s="11" t="n"/>
      <c r="B1360" s="12" t="n"/>
      <c r="C1360" s="12" t="n"/>
      <c r="D1360" s="12" t="n"/>
      <c r="E1360" s="13" t="n"/>
      <c r="F1360" s="12" t="n"/>
      <c r="G1360" s="13" t="n"/>
      <c r="H1360" s="12" t="n"/>
      <c r="I1360" s="12" t="n"/>
      <c r="J1360" s="12" t="n"/>
      <c r="K1360" s="12" t="n"/>
      <c r="L1360" s="11" t="n"/>
      <c r="M1360" s="11" t="n"/>
      <c r="N1360" s="11" t="n"/>
      <c r="O1360" s="11" t="n"/>
      <c r="P1360" s="12" t="n"/>
      <c r="Q1360" s="11" t="n"/>
      <c r="R1360" s="12" t="n"/>
      <c r="S1360" s="11" t="n"/>
      <c r="T1360" s="12" t="n"/>
      <c r="U1360" s="12" t="n"/>
      <c r="V1360" s="12" t="n"/>
      <c r="W1360" s="13" t="n"/>
      <c r="X1360" s="14">
        <f>IF($AP1360="",IF($B1360="","",$H1360),IF(INDEX(職員マスタ!$B$6:$B$405,$AP1360)="",$H1360,INDEX(職員マスタ!$B$6:$B$405,$AP1360)))</f>
        <v/>
      </c>
      <c r="Y1360" s="14">
        <f>IF($AP1360="",IF($B1360="","",$R1360),IF(INDEX(職員マスタ!$C$6:$C$405,$AP1360)="",$R1360,INDEX(職員マスタ!$C$6:$C$405,$AP1360)))</f>
        <v/>
      </c>
      <c r="Z1360" s="14">
        <f>IF($AQ1360="","","R"&amp;$C1360&amp;"."&amp;$D1360)</f>
        <v/>
      </c>
      <c r="AA1360" s="15">
        <f>IF(IF($AP1360="",FALSE,INDEX(職員マスタ!$K$6:$K$405,$AP1360)&lt;&gt;""),INDEX(職員マスタ!$K$6:$K$405,$AP1360),IF(N($W1360)&gt;0,$W1360,""))</f>
        <v/>
      </c>
      <c r="AB1360" s="14">
        <f>IF(OR($E1360="",$AA1360=""),"",IF($E1360&gt;=$AA1360,"×",IF($E1360&gt;=$AA1360*設定!$C$5,"△","○")))</f>
        <v/>
      </c>
      <c r="AC1360" s="15">
        <f>IF($AB1360="","",IF($AB1360="×",0,IF($AB1360="○",ROUNDDOWN($E1360*設定!$C$4,0),ROUNDDOWN($E1360*ROUND((9*$AA1360-9*$E1360)/(10*$E1360),4),0))))</f>
        <v/>
      </c>
      <c r="AD1360" s="13" t="n"/>
      <c r="AE1360" s="15">
        <f>IF($B1360="","",IF($AD1360&lt;&gt;"",$AD1360,IF($AC1360="","",IF($AC1360&lt;=設定!$C$3,0,$AC1360))))</f>
        <v/>
      </c>
      <c r="AF1360" s="14">
        <f>IF($B1360="","",IF(AND($AG1360&lt;&gt;"",$AI1360="",$AL1360=""),"保留中",IF($AL1360&lt;&gt;"",IF(N($AE1360)&gt;0,"支給済","不支給"),IF($AE1360="","要確認",IF($AE1360=0,"不支給","未処理")))))</f>
        <v/>
      </c>
      <c r="AG1360" s="12" t="n"/>
      <c r="AH1360" s="11" t="n"/>
      <c r="AI1360" s="11" t="n"/>
      <c r="AJ1360" s="11" t="n"/>
      <c r="AK1360" s="14">
        <f>IF(AND($AF1360="保留中",$AH1360&lt;&gt;""),TODAY()-$AH1360,"")</f>
        <v/>
      </c>
      <c r="AL1360" s="12" t="n"/>
      <c r="AM1360" s="14">
        <f>IF($B1360="","",IF($AQ1360="","対象年月が未入力／","")&amp;IF($B1360="","",IF($AP1360="","職員マスタに未登録の職員番号／",IF($AA1360="","標準報酬月額が未登録／","")&amp;IF(AND($AQ1360&lt;&gt;"",OR(AND(INDEX(職員マスタ!$G$6:$G$405,$AP1360)&lt;&gt;"",INDEX(職員マスタ!$G$6:$G$405,$AP1360)&gt;EOMONTH($AQ1360,0)),AND(INDEX(職員マスタ!$H$6:$H$405,$AP1360)&lt;&gt;"",INDEX(職員マスタ!$H$6:$H$405,$AP1360)&lt;$AQ1360))),"対象月が時短期間外／","")&amp;IF(AND(INDEX(職員マスタ!$K$6:$K$405,$AP1360)&lt;&gt;"",N($W1360)&gt;0,INDEX(職員マスタ!$K$6:$K$405,$AP1360)&lt;&gt;$W1360),"標準報酬月額が申請書と相違（台帳"&amp;TEXT(INDEX(職員マスタ!$K$6:$K$405,$AP1360),"#,##0")&amp;"円／申請書"&amp;TEXT($W1360,"#,##0")&amp;"円）／","")&amp;IF(AND(INDEX(職員マスタ!$F$6:$F$405,$AP1360)&lt;&gt;"",$AQ1360&lt;&gt;"",INDEX(職員マスタ!$F$6:$F$405,$AP1360)&lt;$AQ1360),"対象月に子が2歳到達済／","")&amp;IF(AND($H1360&lt;&gt;"",INDEX(職員マスタ!$B$6:$B$405,$AP1360)&lt;&gt;"",SUBSTITUTE(SUBSTITUTE($H1360," ","")," ","")&lt;&gt;SUBSTITUTE(SUBSTITUTE(INDEX(職員マスタ!$B$6:$B$405,$AP1360)," ","")," ","")),"氏名がマスタと相違／","")&amp;IF(AND($Q1360&lt;&gt;"",INDEX(職員マスタ!$E$6:$E$405,$AP1360)&lt;&gt;"",$Q1360&lt;&gt;INDEX(職員マスタ!$E$6:$E$405,$AP1360)),"子の生年月日がマスタと相違／","")&amp;IF(AND($L1360&lt;&gt;"",INDEX(職員マスタ!$G$6:$G$405,$AP1360)&lt;&gt;"",$L1360&lt;&gt;INDEX(職員マスタ!$G$6:$G$405,$AP1360)),"時短開始日がマスタと相違／","")&amp;IF(AND($M1360&lt;&gt;"",INDEX(職員マスタ!$H$6:$H$405,$AP1360)&lt;&gt;"",$M1360&lt;&gt;INDEX(職員マスタ!$H$6:$H$405,$AP1360)),"時短終了日がマスタと相違／","")))&amp;IF(AND($B1360&lt;&gt;"",$E1360=""),"報酬額が未入力／","")&amp;IF(N($U1360)&gt;0,"申請書に入力エラーが残っています／","")&amp;IF(AND($B1360&lt;&gt;"",$AQ1360&lt;&gt;""),IF(COUNTIFS($B$6:$B$3005,$B1360,$C$6:$C$3005,$C1360,$D$6:$D$3005,$D1360)&gt;1,"同じ月の請求が重複しています／",""),"")&amp;IF(AND(N($E1360)&gt;0,$AB1360&lt;&gt;"",$AB1360&lt;&gt;"×",$AE1360=0,$AD1360=""),"計算額が下限以下のため不支給／",""))</f>
        <v/>
      </c>
      <c r="AN1360" s="12" t="n"/>
      <c r="AO1360" s="14">
        <f>IF($AF1360="保留中",COUNTIF($AF$6:$AF1360,"保留中"),"")</f>
        <v/>
      </c>
      <c r="AP1360" s="14">
        <f>IF($AQ1360="","",IF(SUMPRODUCT(MAX((職員マスタ!$A$6:$A$405=$B1360)*(((職員マスタ!$G$6:$G$405="")+(職員マスタ!$G$6:$G$405&lt;=EOMONTH($AQ1360,0)))&gt;0)*(((職員マスタ!$H$6:$H$405="")+(職員マスタ!$H$6:$H$405&gt;=$AQ1360))&gt;0)*(ROW(職員マスタ!$A$6:$A$405)-5)))&gt;0,SUMPRODUCT(MAX((職員マスタ!$A$6:$A$405=$B1360)*(((職員マスタ!$G$6:$G$405="")+(職員マスタ!$G$6:$G$405&lt;=EOMONTH($AQ1360,0)))&gt;0)*(((職員マスタ!$H$6:$H$405="")+(職員マスタ!$H$6:$H$405&gt;=$AQ1360))&gt;0)*(ROW(職員マスタ!$A$6:$A$405)-5))),IFERROR(MATCH($B1360,職員マスタ!$A$6:$A$405,0),"")))</f>
        <v/>
      </c>
      <c r="AQ1360" s="16">
        <f>IF(OR($B1360="",$C1360="",$D1360=""),"",DATE($C1360+2018,$D1360,1))</f>
        <v/>
      </c>
    </row>
    <row r="1361">
      <c r="A1361" s="11" t="n"/>
      <c r="B1361" s="12" t="n"/>
      <c r="C1361" s="12" t="n"/>
      <c r="D1361" s="12" t="n"/>
      <c r="E1361" s="13" t="n"/>
      <c r="F1361" s="12" t="n"/>
      <c r="G1361" s="13" t="n"/>
      <c r="H1361" s="12" t="n"/>
      <c r="I1361" s="12" t="n"/>
      <c r="J1361" s="12" t="n"/>
      <c r="K1361" s="12" t="n"/>
      <c r="L1361" s="11" t="n"/>
      <c r="M1361" s="11" t="n"/>
      <c r="N1361" s="11" t="n"/>
      <c r="O1361" s="11" t="n"/>
      <c r="P1361" s="12" t="n"/>
      <c r="Q1361" s="11" t="n"/>
      <c r="R1361" s="12" t="n"/>
      <c r="S1361" s="11" t="n"/>
      <c r="T1361" s="12" t="n"/>
      <c r="U1361" s="12" t="n"/>
      <c r="V1361" s="12" t="n"/>
      <c r="W1361" s="13" t="n"/>
      <c r="X1361" s="14">
        <f>IF($AP1361="",IF($B1361="","",$H1361),IF(INDEX(職員マスタ!$B$6:$B$405,$AP1361)="",$H1361,INDEX(職員マスタ!$B$6:$B$405,$AP1361)))</f>
        <v/>
      </c>
      <c r="Y1361" s="14">
        <f>IF($AP1361="",IF($B1361="","",$R1361),IF(INDEX(職員マスタ!$C$6:$C$405,$AP1361)="",$R1361,INDEX(職員マスタ!$C$6:$C$405,$AP1361)))</f>
        <v/>
      </c>
      <c r="Z1361" s="14">
        <f>IF($AQ1361="","","R"&amp;$C1361&amp;"."&amp;$D1361)</f>
        <v/>
      </c>
      <c r="AA1361" s="15">
        <f>IF(IF($AP1361="",FALSE,INDEX(職員マスタ!$K$6:$K$405,$AP1361)&lt;&gt;""),INDEX(職員マスタ!$K$6:$K$405,$AP1361),IF(N($W1361)&gt;0,$W1361,""))</f>
        <v/>
      </c>
      <c r="AB1361" s="14">
        <f>IF(OR($E1361="",$AA1361=""),"",IF($E1361&gt;=$AA1361,"×",IF($E1361&gt;=$AA1361*設定!$C$5,"△","○")))</f>
        <v/>
      </c>
      <c r="AC1361" s="15">
        <f>IF($AB1361="","",IF($AB1361="×",0,IF($AB1361="○",ROUNDDOWN($E1361*設定!$C$4,0),ROUNDDOWN($E1361*ROUND((9*$AA1361-9*$E1361)/(10*$E1361),4),0))))</f>
        <v/>
      </c>
      <c r="AD1361" s="13" t="n"/>
      <c r="AE1361" s="15">
        <f>IF($B1361="","",IF($AD1361&lt;&gt;"",$AD1361,IF($AC1361="","",IF($AC1361&lt;=設定!$C$3,0,$AC1361))))</f>
        <v/>
      </c>
      <c r="AF1361" s="14">
        <f>IF($B1361="","",IF(AND($AG1361&lt;&gt;"",$AI1361="",$AL1361=""),"保留中",IF($AL1361&lt;&gt;"",IF(N($AE1361)&gt;0,"支給済","不支給"),IF($AE1361="","要確認",IF($AE1361=0,"不支給","未処理")))))</f>
        <v/>
      </c>
      <c r="AG1361" s="12" t="n"/>
      <c r="AH1361" s="11" t="n"/>
      <c r="AI1361" s="11" t="n"/>
      <c r="AJ1361" s="11" t="n"/>
      <c r="AK1361" s="14">
        <f>IF(AND($AF1361="保留中",$AH1361&lt;&gt;""),TODAY()-$AH1361,"")</f>
        <v/>
      </c>
      <c r="AL1361" s="12" t="n"/>
      <c r="AM1361" s="14">
        <f>IF($B1361="","",IF($AQ1361="","対象年月が未入力／","")&amp;IF($B1361="","",IF($AP1361="","職員マスタに未登録の職員番号／",IF($AA1361="","標準報酬月額が未登録／","")&amp;IF(AND($AQ1361&lt;&gt;"",OR(AND(INDEX(職員マスタ!$G$6:$G$405,$AP1361)&lt;&gt;"",INDEX(職員マスタ!$G$6:$G$405,$AP1361)&gt;EOMONTH($AQ1361,0)),AND(INDEX(職員マスタ!$H$6:$H$405,$AP1361)&lt;&gt;"",INDEX(職員マスタ!$H$6:$H$405,$AP1361)&lt;$AQ1361))),"対象月が時短期間外／","")&amp;IF(AND(INDEX(職員マスタ!$K$6:$K$405,$AP1361)&lt;&gt;"",N($W1361)&gt;0,INDEX(職員マスタ!$K$6:$K$405,$AP1361)&lt;&gt;$W1361),"標準報酬月額が申請書と相違（台帳"&amp;TEXT(INDEX(職員マスタ!$K$6:$K$405,$AP1361),"#,##0")&amp;"円／申請書"&amp;TEXT($W1361,"#,##0")&amp;"円）／","")&amp;IF(AND(INDEX(職員マスタ!$F$6:$F$405,$AP1361)&lt;&gt;"",$AQ1361&lt;&gt;"",INDEX(職員マスタ!$F$6:$F$405,$AP1361)&lt;$AQ1361),"対象月に子が2歳到達済／","")&amp;IF(AND($H1361&lt;&gt;"",INDEX(職員マスタ!$B$6:$B$405,$AP1361)&lt;&gt;"",SUBSTITUTE(SUBSTITUTE($H1361," ","")," ","")&lt;&gt;SUBSTITUTE(SUBSTITUTE(INDEX(職員マスタ!$B$6:$B$405,$AP1361)," ","")," ","")),"氏名がマスタと相違／","")&amp;IF(AND($Q1361&lt;&gt;"",INDEX(職員マスタ!$E$6:$E$405,$AP1361)&lt;&gt;"",$Q1361&lt;&gt;INDEX(職員マスタ!$E$6:$E$405,$AP1361)),"子の生年月日がマスタと相違／","")&amp;IF(AND($L1361&lt;&gt;"",INDEX(職員マスタ!$G$6:$G$405,$AP1361)&lt;&gt;"",$L1361&lt;&gt;INDEX(職員マスタ!$G$6:$G$405,$AP1361)),"時短開始日がマスタと相違／","")&amp;IF(AND($M1361&lt;&gt;"",INDEX(職員マスタ!$H$6:$H$405,$AP1361)&lt;&gt;"",$M1361&lt;&gt;INDEX(職員マスタ!$H$6:$H$405,$AP1361)),"時短終了日がマスタと相違／","")))&amp;IF(AND($B1361&lt;&gt;"",$E1361=""),"報酬額が未入力／","")&amp;IF(N($U1361)&gt;0,"申請書に入力エラーが残っています／","")&amp;IF(AND($B1361&lt;&gt;"",$AQ1361&lt;&gt;""),IF(COUNTIFS($B$6:$B$3005,$B1361,$C$6:$C$3005,$C1361,$D$6:$D$3005,$D1361)&gt;1,"同じ月の請求が重複しています／",""),"")&amp;IF(AND(N($E1361)&gt;0,$AB1361&lt;&gt;"",$AB1361&lt;&gt;"×",$AE1361=0,$AD1361=""),"計算額が下限以下のため不支給／",""))</f>
        <v/>
      </c>
      <c r="AN1361" s="12" t="n"/>
      <c r="AO1361" s="14">
        <f>IF($AF1361="保留中",COUNTIF($AF$6:$AF1361,"保留中"),"")</f>
        <v/>
      </c>
      <c r="AP1361" s="14">
        <f>IF($AQ1361="","",IF(SUMPRODUCT(MAX((職員マスタ!$A$6:$A$405=$B1361)*(((職員マスタ!$G$6:$G$405="")+(職員マスタ!$G$6:$G$405&lt;=EOMONTH($AQ1361,0)))&gt;0)*(((職員マスタ!$H$6:$H$405="")+(職員マスタ!$H$6:$H$405&gt;=$AQ1361))&gt;0)*(ROW(職員マスタ!$A$6:$A$405)-5)))&gt;0,SUMPRODUCT(MAX((職員マスタ!$A$6:$A$405=$B1361)*(((職員マスタ!$G$6:$G$405="")+(職員マスタ!$G$6:$G$405&lt;=EOMONTH($AQ1361,0)))&gt;0)*(((職員マスタ!$H$6:$H$405="")+(職員マスタ!$H$6:$H$405&gt;=$AQ1361))&gt;0)*(ROW(職員マスタ!$A$6:$A$405)-5))),IFERROR(MATCH($B1361,職員マスタ!$A$6:$A$405,0),"")))</f>
        <v/>
      </c>
      <c r="AQ1361" s="16">
        <f>IF(OR($B1361="",$C1361="",$D1361=""),"",DATE($C1361+2018,$D1361,1))</f>
        <v/>
      </c>
    </row>
    <row r="1362">
      <c r="A1362" s="11" t="n"/>
      <c r="B1362" s="12" t="n"/>
      <c r="C1362" s="12" t="n"/>
      <c r="D1362" s="12" t="n"/>
      <c r="E1362" s="13" t="n"/>
      <c r="F1362" s="12" t="n"/>
      <c r="G1362" s="13" t="n"/>
      <c r="H1362" s="12" t="n"/>
      <c r="I1362" s="12" t="n"/>
      <c r="J1362" s="12" t="n"/>
      <c r="K1362" s="12" t="n"/>
      <c r="L1362" s="11" t="n"/>
      <c r="M1362" s="11" t="n"/>
      <c r="N1362" s="11" t="n"/>
      <c r="O1362" s="11" t="n"/>
      <c r="P1362" s="12" t="n"/>
      <c r="Q1362" s="11" t="n"/>
      <c r="R1362" s="12" t="n"/>
      <c r="S1362" s="11" t="n"/>
      <c r="T1362" s="12" t="n"/>
      <c r="U1362" s="12" t="n"/>
      <c r="V1362" s="12" t="n"/>
      <c r="W1362" s="13" t="n"/>
      <c r="X1362" s="14">
        <f>IF($AP1362="",IF($B1362="","",$H1362),IF(INDEX(職員マスタ!$B$6:$B$405,$AP1362)="",$H1362,INDEX(職員マスタ!$B$6:$B$405,$AP1362)))</f>
        <v/>
      </c>
      <c r="Y1362" s="14">
        <f>IF($AP1362="",IF($B1362="","",$R1362),IF(INDEX(職員マスタ!$C$6:$C$405,$AP1362)="",$R1362,INDEX(職員マスタ!$C$6:$C$405,$AP1362)))</f>
        <v/>
      </c>
      <c r="Z1362" s="14">
        <f>IF($AQ1362="","","R"&amp;$C1362&amp;"."&amp;$D1362)</f>
        <v/>
      </c>
      <c r="AA1362" s="15">
        <f>IF(IF($AP1362="",FALSE,INDEX(職員マスタ!$K$6:$K$405,$AP1362)&lt;&gt;""),INDEX(職員マスタ!$K$6:$K$405,$AP1362),IF(N($W1362)&gt;0,$W1362,""))</f>
        <v/>
      </c>
      <c r="AB1362" s="14">
        <f>IF(OR($E1362="",$AA1362=""),"",IF($E1362&gt;=$AA1362,"×",IF($E1362&gt;=$AA1362*設定!$C$5,"△","○")))</f>
        <v/>
      </c>
      <c r="AC1362" s="15">
        <f>IF($AB1362="","",IF($AB1362="×",0,IF($AB1362="○",ROUNDDOWN($E1362*設定!$C$4,0),ROUNDDOWN($E1362*ROUND((9*$AA1362-9*$E1362)/(10*$E1362),4),0))))</f>
        <v/>
      </c>
      <c r="AD1362" s="13" t="n"/>
      <c r="AE1362" s="15">
        <f>IF($B1362="","",IF($AD1362&lt;&gt;"",$AD1362,IF($AC1362="","",IF($AC1362&lt;=設定!$C$3,0,$AC1362))))</f>
        <v/>
      </c>
      <c r="AF1362" s="14">
        <f>IF($B1362="","",IF(AND($AG1362&lt;&gt;"",$AI1362="",$AL1362=""),"保留中",IF($AL1362&lt;&gt;"",IF(N($AE1362)&gt;0,"支給済","不支給"),IF($AE1362="","要確認",IF($AE1362=0,"不支給","未処理")))))</f>
        <v/>
      </c>
      <c r="AG1362" s="12" t="n"/>
      <c r="AH1362" s="11" t="n"/>
      <c r="AI1362" s="11" t="n"/>
      <c r="AJ1362" s="11" t="n"/>
      <c r="AK1362" s="14">
        <f>IF(AND($AF1362="保留中",$AH1362&lt;&gt;""),TODAY()-$AH1362,"")</f>
        <v/>
      </c>
      <c r="AL1362" s="12" t="n"/>
      <c r="AM1362" s="14">
        <f>IF($B1362="","",IF($AQ1362="","対象年月が未入力／","")&amp;IF($B1362="","",IF($AP1362="","職員マスタに未登録の職員番号／",IF($AA1362="","標準報酬月額が未登録／","")&amp;IF(AND($AQ1362&lt;&gt;"",OR(AND(INDEX(職員マスタ!$G$6:$G$405,$AP1362)&lt;&gt;"",INDEX(職員マスタ!$G$6:$G$405,$AP1362)&gt;EOMONTH($AQ1362,0)),AND(INDEX(職員マスタ!$H$6:$H$405,$AP1362)&lt;&gt;"",INDEX(職員マスタ!$H$6:$H$405,$AP1362)&lt;$AQ1362))),"対象月が時短期間外／","")&amp;IF(AND(INDEX(職員マスタ!$K$6:$K$405,$AP1362)&lt;&gt;"",N($W1362)&gt;0,INDEX(職員マスタ!$K$6:$K$405,$AP1362)&lt;&gt;$W1362),"標準報酬月額が申請書と相違（台帳"&amp;TEXT(INDEX(職員マスタ!$K$6:$K$405,$AP1362),"#,##0")&amp;"円／申請書"&amp;TEXT($W1362,"#,##0")&amp;"円）／","")&amp;IF(AND(INDEX(職員マスタ!$F$6:$F$405,$AP1362)&lt;&gt;"",$AQ1362&lt;&gt;"",INDEX(職員マスタ!$F$6:$F$405,$AP1362)&lt;$AQ1362),"対象月に子が2歳到達済／","")&amp;IF(AND($H1362&lt;&gt;"",INDEX(職員マスタ!$B$6:$B$405,$AP1362)&lt;&gt;"",SUBSTITUTE(SUBSTITUTE($H1362," ","")," ","")&lt;&gt;SUBSTITUTE(SUBSTITUTE(INDEX(職員マスタ!$B$6:$B$405,$AP1362)," ","")," ","")),"氏名がマスタと相違／","")&amp;IF(AND($Q1362&lt;&gt;"",INDEX(職員マスタ!$E$6:$E$405,$AP1362)&lt;&gt;"",$Q1362&lt;&gt;INDEX(職員マスタ!$E$6:$E$405,$AP1362)),"子の生年月日がマスタと相違／","")&amp;IF(AND($L1362&lt;&gt;"",INDEX(職員マスタ!$G$6:$G$405,$AP1362)&lt;&gt;"",$L1362&lt;&gt;INDEX(職員マスタ!$G$6:$G$405,$AP1362)),"時短開始日がマスタと相違／","")&amp;IF(AND($M1362&lt;&gt;"",INDEX(職員マスタ!$H$6:$H$405,$AP1362)&lt;&gt;"",$M1362&lt;&gt;INDEX(職員マスタ!$H$6:$H$405,$AP1362)),"時短終了日がマスタと相違／","")))&amp;IF(AND($B1362&lt;&gt;"",$E1362=""),"報酬額が未入力／","")&amp;IF(N($U1362)&gt;0,"申請書に入力エラーが残っています／","")&amp;IF(AND($B1362&lt;&gt;"",$AQ1362&lt;&gt;""),IF(COUNTIFS($B$6:$B$3005,$B1362,$C$6:$C$3005,$C1362,$D$6:$D$3005,$D1362)&gt;1,"同じ月の請求が重複しています／",""),"")&amp;IF(AND(N($E1362)&gt;0,$AB1362&lt;&gt;"",$AB1362&lt;&gt;"×",$AE1362=0,$AD1362=""),"計算額が下限以下のため不支給／",""))</f>
        <v/>
      </c>
      <c r="AN1362" s="12" t="n"/>
      <c r="AO1362" s="14">
        <f>IF($AF1362="保留中",COUNTIF($AF$6:$AF1362,"保留中"),"")</f>
        <v/>
      </c>
      <c r="AP1362" s="14">
        <f>IF($AQ1362="","",IF(SUMPRODUCT(MAX((職員マスタ!$A$6:$A$405=$B1362)*(((職員マスタ!$G$6:$G$405="")+(職員マスタ!$G$6:$G$405&lt;=EOMONTH($AQ1362,0)))&gt;0)*(((職員マスタ!$H$6:$H$405="")+(職員マスタ!$H$6:$H$405&gt;=$AQ1362))&gt;0)*(ROW(職員マスタ!$A$6:$A$405)-5)))&gt;0,SUMPRODUCT(MAX((職員マスタ!$A$6:$A$405=$B1362)*(((職員マスタ!$G$6:$G$405="")+(職員マスタ!$G$6:$G$405&lt;=EOMONTH($AQ1362,0)))&gt;0)*(((職員マスタ!$H$6:$H$405="")+(職員マスタ!$H$6:$H$405&gt;=$AQ1362))&gt;0)*(ROW(職員マスタ!$A$6:$A$405)-5))),IFERROR(MATCH($B1362,職員マスタ!$A$6:$A$405,0),"")))</f>
        <v/>
      </c>
      <c r="AQ1362" s="16">
        <f>IF(OR($B1362="",$C1362="",$D1362=""),"",DATE($C1362+2018,$D1362,1))</f>
        <v/>
      </c>
    </row>
    <row r="1363">
      <c r="A1363" s="11" t="n"/>
      <c r="B1363" s="12" t="n"/>
      <c r="C1363" s="12" t="n"/>
      <c r="D1363" s="12" t="n"/>
      <c r="E1363" s="13" t="n"/>
      <c r="F1363" s="12" t="n"/>
      <c r="G1363" s="13" t="n"/>
      <c r="H1363" s="12" t="n"/>
      <c r="I1363" s="12" t="n"/>
      <c r="J1363" s="12" t="n"/>
      <c r="K1363" s="12" t="n"/>
      <c r="L1363" s="11" t="n"/>
      <c r="M1363" s="11" t="n"/>
      <c r="N1363" s="11" t="n"/>
      <c r="O1363" s="11" t="n"/>
      <c r="P1363" s="12" t="n"/>
      <c r="Q1363" s="11" t="n"/>
      <c r="R1363" s="12" t="n"/>
      <c r="S1363" s="11" t="n"/>
      <c r="T1363" s="12" t="n"/>
      <c r="U1363" s="12" t="n"/>
      <c r="V1363" s="12" t="n"/>
      <c r="W1363" s="13" t="n"/>
      <c r="X1363" s="14">
        <f>IF($AP1363="",IF($B1363="","",$H1363),IF(INDEX(職員マスタ!$B$6:$B$405,$AP1363)="",$H1363,INDEX(職員マスタ!$B$6:$B$405,$AP1363)))</f>
        <v/>
      </c>
      <c r="Y1363" s="14">
        <f>IF($AP1363="",IF($B1363="","",$R1363),IF(INDEX(職員マスタ!$C$6:$C$405,$AP1363)="",$R1363,INDEX(職員マスタ!$C$6:$C$405,$AP1363)))</f>
        <v/>
      </c>
      <c r="Z1363" s="14">
        <f>IF($AQ1363="","","R"&amp;$C1363&amp;"."&amp;$D1363)</f>
        <v/>
      </c>
      <c r="AA1363" s="15">
        <f>IF(IF($AP1363="",FALSE,INDEX(職員マスタ!$K$6:$K$405,$AP1363)&lt;&gt;""),INDEX(職員マスタ!$K$6:$K$405,$AP1363),IF(N($W1363)&gt;0,$W1363,""))</f>
        <v/>
      </c>
      <c r="AB1363" s="14">
        <f>IF(OR($E1363="",$AA1363=""),"",IF($E1363&gt;=$AA1363,"×",IF($E1363&gt;=$AA1363*設定!$C$5,"△","○")))</f>
        <v/>
      </c>
      <c r="AC1363" s="15">
        <f>IF($AB1363="","",IF($AB1363="×",0,IF($AB1363="○",ROUNDDOWN($E1363*設定!$C$4,0),ROUNDDOWN($E1363*ROUND((9*$AA1363-9*$E1363)/(10*$E1363),4),0))))</f>
        <v/>
      </c>
      <c r="AD1363" s="13" t="n"/>
      <c r="AE1363" s="15">
        <f>IF($B1363="","",IF($AD1363&lt;&gt;"",$AD1363,IF($AC1363="","",IF($AC1363&lt;=設定!$C$3,0,$AC1363))))</f>
        <v/>
      </c>
      <c r="AF1363" s="14">
        <f>IF($B1363="","",IF(AND($AG1363&lt;&gt;"",$AI1363="",$AL1363=""),"保留中",IF($AL1363&lt;&gt;"",IF(N($AE1363)&gt;0,"支給済","不支給"),IF($AE1363="","要確認",IF($AE1363=0,"不支給","未処理")))))</f>
        <v/>
      </c>
      <c r="AG1363" s="12" t="n"/>
      <c r="AH1363" s="11" t="n"/>
      <c r="AI1363" s="11" t="n"/>
      <c r="AJ1363" s="11" t="n"/>
      <c r="AK1363" s="14">
        <f>IF(AND($AF1363="保留中",$AH1363&lt;&gt;""),TODAY()-$AH1363,"")</f>
        <v/>
      </c>
      <c r="AL1363" s="12" t="n"/>
      <c r="AM1363" s="14">
        <f>IF($B1363="","",IF($AQ1363="","対象年月が未入力／","")&amp;IF($B1363="","",IF($AP1363="","職員マスタに未登録の職員番号／",IF($AA1363="","標準報酬月額が未登録／","")&amp;IF(AND($AQ1363&lt;&gt;"",OR(AND(INDEX(職員マスタ!$G$6:$G$405,$AP1363)&lt;&gt;"",INDEX(職員マスタ!$G$6:$G$405,$AP1363)&gt;EOMONTH($AQ1363,0)),AND(INDEX(職員マスタ!$H$6:$H$405,$AP1363)&lt;&gt;"",INDEX(職員マスタ!$H$6:$H$405,$AP1363)&lt;$AQ1363))),"対象月が時短期間外／","")&amp;IF(AND(INDEX(職員マスタ!$K$6:$K$405,$AP1363)&lt;&gt;"",N($W1363)&gt;0,INDEX(職員マスタ!$K$6:$K$405,$AP1363)&lt;&gt;$W1363),"標準報酬月額が申請書と相違（台帳"&amp;TEXT(INDEX(職員マスタ!$K$6:$K$405,$AP1363),"#,##0")&amp;"円／申請書"&amp;TEXT($W1363,"#,##0")&amp;"円）／","")&amp;IF(AND(INDEX(職員マスタ!$F$6:$F$405,$AP1363)&lt;&gt;"",$AQ1363&lt;&gt;"",INDEX(職員マスタ!$F$6:$F$405,$AP1363)&lt;$AQ1363),"対象月に子が2歳到達済／","")&amp;IF(AND($H1363&lt;&gt;"",INDEX(職員マスタ!$B$6:$B$405,$AP1363)&lt;&gt;"",SUBSTITUTE(SUBSTITUTE($H1363," ","")," ","")&lt;&gt;SUBSTITUTE(SUBSTITUTE(INDEX(職員マスタ!$B$6:$B$405,$AP1363)," ","")," ","")),"氏名がマスタと相違／","")&amp;IF(AND($Q1363&lt;&gt;"",INDEX(職員マスタ!$E$6:$E$405,$AP1363)&lt;&gt;"",$Q1363&lt;&gt;INDEX(職員マスタ!$E$6:$E$405,$AP1363)),"子の生年月日がマスタと相違／","")&amp;IF(AND($L1363&lt;&gt;"",INDEX(職員マスタ!$G$6:$G$405,$AP1363)&lt;&gt;"",$L1363&lt;&gt;INDEX(職員マスタ!$G$6:$G$405,$AP1363)),"時短開始日がマスタと相違／","")&amp;IF(AND($M1363&lt;&gt;"",INDEX(職員マスタ!$H$6:$H$405,$AP1363)&lt;&gt;"",$M1363&lt;&gt;INDEX(職員マスタ!$H$6:$H$405,$AP1363)),"時短終了日がマスタと相違／","")))&amp;IF(AND($B1363&lt;&gt;"",$E1363=""),"報酬額が未入力／","")&amp;IF(N($U1363)&gt;0,"申請書に入力エラーが残っています／","")&amp;IF(AND($B1363&lt;&gt;"",$AQ1363&lt;&gt;""),IF(COUNTIFS($B$6:$B$3005,$B1363,$C$6:$C$3005,$C1363,$D$6:$D$3005,$D1363)&gt;1,"同じ月の請求が重複しています／",""),"")&amp;IF(AND(N($E1363)&gt;0,$AB1363&lt;&gt;"",$AB1363&lt;&gt;"×",$AE1363=0,$AD1363=""),"計算額が下限以下のため不支給／",""))</f>
        <v/>
      </c>
      <c r="AN1363" s="12" t="n"/>
      <c r="AO1363" s="14">
        <f>IF($AF1363="保留中",COUNTIF($AF$6:$AF1363,"保留中"),"")</f>
        <v/>
      </c>
      <c r="AP1363" s="14">
        <f>IF($AQ1363="","",IF(SUMPRODUCT(MAX((職員マスタ!$A$6:$A$405=$B1363)*(((職員マスタ!$G$6:$G$405="")+(職員マスタ!$G$6:$G$405&lt;=EOMONTH($AQ1363,0)))&gt;0)*(((職員マスタ!$H$6:$H$405="")+(職員マスタ!$H$6:$H$405&gt;=$AQ1363))&gt;0)*(ROW(職員マスタ!$A$6:$A$405)-5)))&gt;0,SUMPRODUCT(MAX((職員マスタ!$A$6:$A$405=$B1363)*(((職員マスタ!$G$6:$G$405="")+(職員マスタ!$G$6:$G$405&lt;=EOMONTH($AQ1363,0)))&gt;0)*(((職員マスタ!$H$6:$H$405="")+(職員マスタ!$H$6:$H$405&gt;=$AQ1363))&gt;0)*(ROW(職員マスタ!$A$6:$A$405)-5))),IFERROR(MATCH($B1363,職員マスタ!$A$6:$A$405,0),"")))</f>
        <v/>
      </c>
      <c r="AQ1363" s="16">
        <f>IF(OR($B1363="",$C1363="",$D1363=""),"",DATE($C1363+2018,$D1363,1))</f>
        <v/>
      </c>
    </row>
    <row r="1364">
      <c r="A1364" s="11" t="n"/>
      <c r="B1364" s="12" t="n"/>
      <c r="C1364" s="12" t="n"/>
      <c r="D1364" s="12" t="n"/>
      <c r="E1364" s="13" t="n"/>
      <c r="F1364" s="12" t="n"/>
      <c r="G1364" s="13" t="n"/>
      <c r="H1364" s="12" t="n"/>
      <c r="I1364" s="12" t="n"/>
      <c r="J1364" s="12" t="n"/>
      <c r="K1364" s="12" t="n"/>
      <c r="L1364" s="11" t="n"/>
      <c r="M1364" s="11" t="n"/>
      <c r="N1364" s="11" t="n"/>
      <c r="O1364" s="11" t="n"/>
      <c r="P1364" s="12" t="n"/>
      <c r="Q1364" s="11" t="n"/>
      <c r="R1364" s="12" t="n"/>
      <c r="S1364" s="11" t="n"/>
      <c r="T1364" s="12" t="n"/>
      <c r="U1364" s="12" t="n"/>
      <c r="V1364" s="12" t="n"/>
      <c r="W1364" s="13" t="n"/>
      <c r="X1364" s="14">
        <f>IF($AP1364="",IF($B1364="","",$H1364),IF(INDEX(職員マスタ!$B$6:$B$405,$AP1364)="",$H1364,INDEX(職員マスタ!$B$6:$B$405,$AP1364)))</f>
        <v/>
      </c>
      <c r="Y1364" s="14">
        <f>IF($AP1364="",IF($B1364="","",$R1364),IF(INDEX(職員マスタ!$C$6:$C$405,$AP1364)="",$R1364,INDEX(職員マスタ!$C$6:$C$405,$AP1364)))</f>
        <v/>
      </c>
      <c r="Z1364" s="14">
        <f>IF($AQ1364="","","R"&amp;$C1364&amp;"."&amp;$D1364)</f>
        <v/>
      </c>
      <c r="AA1364" s="15">
        <f>IF(IF($AP1364="",FALSE,INDEX(職員マスタ!$K$6:$K$405,$AP1364)&lt;&gt;""),INDEX(職員マスタ!$K$6:$K$405,$AP1364),IF(N($W1364)&gt;0,$W1364,""))</f>
        <v/>
      </c>
      <c r="AB1364" s="14">
        <f>IF(OR($E1364="",$AA1364=""),"",IF($E1364&gt;=$AA1364,"×",IF($E1364&gt;=$AA1364*設定!$C$5,"△","○")))</f>
        <v/>
      </c>
      <c r="AC1364" s="15">
        <f>IF($AB1364="","",IF($AB1364="×",0,IF($AB1364="○",ROUNDDOWN($E1364*設定!$C$4,0),ROUNDDOWN($E1364*ROUND((9*$AA1364-9*$E1364)/(10*$E1364),4),0))))</f>
        <v/>
      </c>
      <c r="AD1364" s="13" t="n"/>
      <c r="AE1364" s="15">
        <f>IF($B1364="","",IF($AD1364&lt;&gt;"",$AD1364,IF($AC1364="","",IF($AC1364&lt;=設定!$C$3,0,$AC1364))))</f>
        <v/>
      </c>
      <c r="AF1364" s="14">
        <f>IF($B1364="","",IF(AND($AG1364&lt;&gt;"",$AI1364="",$AL1364=""),"保留中",IF($AL1364&lt;&gt;"",IF(N($AE1364)&gt;0,"支給済","不支給"),IF($AE1364="","要確認",IF($AE1364=0,"不支給","未処理")))))</f>
        <v/>
      </c>
      <c r="AG1364" s="12" t="n"/>
      <c r="AH1364" s="11" t="n"/>
      <c r="AI1364" s="11" t="n"/>
      <c r="AJ1364" s="11" t="n"/>
      <c r="AK1364" s="14">
        <f>IF(AND($AF1364="保留中",$AH1364&lt;&gt;""),TODAY()-$AH1364,"")</f>
        <v/>
      </c>
      <c r="AL1364" s="12" t="n"/>
      <c r="AM1364" s="14">
        <f>IF($B1364="","",IF($AQ1364="","対象年月が未入力／","")&amp;IF($B1364="","",IF($AP1364="","職員マスタに未登録の職員番号／",IF($AA1364="","標準報酬月額が未登録／","")&amp;IF(AND($AQ1364&lt;&gt;"",OR(AND(INDEX(職員マスタ!$G$6:$G$405,$AP1364)&lt;&gt;"",INDEX(職員マスタ!$G$6:$G$405,$AP1364)&gt;EOMONTH($AQ1364,0)),AND(INDEX(職員マスタ!$H$6:$H$405,$AP1364)&lt;&gt;"",INDEX(職員マスタ!$H$6:$H$405,$AP1364)&lt;$AQ1364))),"対象月が時短期間外／","")&amp;IF(AND(INDEX(職員マスタ!$K$6:$K$405,$AP1364)&lt;&gt;"",N($W1364)&gt;0,INDEX(職員マスタ!$K$6:$K$405,$AP1364)&lt;&gt;$W1364),"標準報酬月額が申請書と相違（台帳"&amp;TEXT(INDEX(職員マスタ!$K$6:$K$405,$AP1364),"#,##0")&amp;"円／申請書"&amp;TEXT($W1364,"#,##0")&amp;"円）／","")&amp;IF(AND(INDEX(職員マスタ!$F$6:$F$405,$AP1364)&lt;&gt;"",$AQ1364&lt;&gt;"",INDEX(職員マスタ!$F$6:$F$405,$AP1364)&lt;$AQ1364),"対象月に子が2歳到達済／","")&amp;IF(AND($H1364&lt;&gt;"",INDEX(職員マスタ!$B$6:$B$405,$AP1364)&lt;&gt;"",SUBSTITUTE(SUBSTITUTE($H1364," ","")," ","")&lt;&gt;SUBSTITUTE(SUBSTITUTE(INDEX(職員マスタ!$B$6:$B$405,$AP1364)," ","")," ","")),"氏名がマスタと相違／","")&amp;IF(AND($Q1364&lt;&gt;"",INDEX(職員マスタ!$E$6:$E$405,$AP1364)&lt;&gt;"",$Q1364&lt;&gt;INDEX(職員マスタ!$E$6:$E$405,$AP1364)),"子の生年月日がマスタと相違／","")&amp;IF(AND($L1364&lt;&gt;"",INDEX(職員マスタ!$G$6:$G$405,$AP1364)&lt;&gt;"",$L1364&lt;&gt;INDEX(職員マスタ!$G$6:$G$405,$AP1364)),"時短開始日がマスタと相違／","")&amp;IF(AND($M1364&lt;&gt;"",INDEX(職員マスタ!$H$6:$H$405,$AP1364)&lt;&gt;"",$M1364&lt;&gt;INDEX(職員マスタ!$H$6:$H$405,$AP1364)),"時短終了日がマスタと相違／","")))&amp;IF(AND($B1364&lt;&gt;"",$E1364=""),"報酬額が未入力／","")&amp;IF(N($U1364)&gt;0,"申請書に入力エラーが残っています／","")&amp;IF(AND($B1364&lt;&gt;"",$AQ1364&lt;&gt;""),IF(COUNTIFS($B$6:$B$3005,$B1364,$C$6:$C$3005,$C1364,$D$6:$D$3005,$D1364)&gt;1,"同じ月の請求が重複しています／",""),"")&amp;IF(AND(N($E1364)&gt;0,$AB1364&lt;&gt;"",$AB1364&lt;&gt;"×",$AE1364=0,$AD1364=""),"計算額が下限以下のため不支給／",""))</f>
        <v/>
      </c>
      <c r="AN1364" s="12" t="n"/>
      <c r="AO1364" s="14">
        <f>IF($AF1364="保留中",COUNTIF($AF$6:$AF1364,"保留中"),"")</f>
        <v/>
      </c>
      <c r="AP1364" s="14">
        <f>IF($AQ1364="","",IF(SUMPRODUCT(MAX((職員マスタ!$A$6:$A$405=$B1364)*(((職員マスタ!$G$6:$G$405="")+(職員マスタ!$G$6:$G$405&lt;=EOMONTH($AQ1364,0)))&gt;0)*(((職員マスタ!$H$6:$H$405="")+(職員マスタ!$H$6:$H$405&gt;=$AQ1364))&gt;0)*(ROW(職員マスタ!$A$6:$A$405)-5)))&gt;0,SUMPRODUCT(MAX((職員マスタ!$A$6:$A$405=$B1364)*(((職員マスタ!$G$6:$G$405="")+(職員マスタ!$G$6:$G$405&lt;=EOMONTH($AQ1364,0)))&gt;0)*(((職員マスタ!$H$6:$H$405="")+(職員マスタ!$H$6:$H$405&gt;=$AQ1364))&gt;0)*(ROW(職員マスタ!$A$6:$A$405)-5))),IFERROR(MATCH($B1364,職員マスタ!$A$6:$A$405,0),"")))</f>
        <v/>
      </c>
      <c r="AQ1364" s="16">
        <f>IF(OR($B1364="",$C1364="",$D1364=""),"",DATE($C1364+2018,$D1364,1))</f>
        <v/>
      </c>
    </row>
    <row r="1365">
      <c r="A1365" s="11" t="n"/>
      <c r="B1365" s="12" t="n"/>
      <c r="C1365" s="12" t="n"/>
      <c r="D1365" s="12" t="n"/>
      <c r="E1365" s="13" t="n"/>
      <c r="F1365" s="12" t="n"/>
      <c r="G1365" s="13" t="n"/>
      <c r="H1365" s="12" t="n"/>
      <c r="I1365" s="12" t="n"/>
      <c r="J1365" s="12" t="n"/>
      <c r="K1365" s="12" t="n"/>
      <c r="L1365" s="11" t="n"/>
      <c r="M1365" s="11" t="n"/>
      <c r="N1365" s="11" t="n"/>
      <c r="O1365" s="11" t="n"/>
      <c r="P1365" s="12" t="n"/>
      <c r="Q1365" s="11" t="n"/>
      <c r="R1365" s="12" t="n"/>
      <c r="S1365" s="11" t="n"/>
      <c r="T1365" s="12" t="n"/>
      <c r="U1365" s="12" t="n"/>
      <c r="V1365" s="12" t="n"/>
      <c r="W1365" s="13" t="n"/>
      <c r="X1365" s="14">
        <f>IF($AP1365="",IF($B1365="","",$H1365),IF(INDEX(職員マスタ!$B$6:$B$405,$AP1365)="",$H1365,INDEX(職員マスタ!$B$6:$B$405,$AP1365)))</f>
        <v/>
      </c>
      <c r="Y1365" s="14">
        <f>IF($AP1365="",IF($B1365="","",$R1365),IF(INDEX(職員マスタ!$C$6:$C$405,$AP1365)="",$R1365,INDEX(職員マスタ!$C$6:$C$405,$AP1365)))</f>
        <v/>
      </c>
      <c r="Z1365" s="14">
        <f>IF($AQ1365="","","R"&amp;$C1365&amp;"."&amp;$D1365)</f>
        <v/>
      </c>
      <c r="AA1365" s="15">
        <f>IF(IF($AP1365="",FALSE,INDEX(職員マスタ!$K$6:$K$405,$AP1365)&lt;&gt;""),INDEX(職員マスタ!$K$6:$K$405,$AP1365),IF(N($W1365)&gt;0,$W1365,""))</f>
        <v/>
      </c>
      <c r="AB1365" s="14">
        <f>IF(OR($E1365="",$AA1365=""),"",IF($E1365&gt;=$AA1365,"×",IF($E1365&gt;=$AA1365*設定!$C$5,"△","○")))</f>
        <v/>
      </c>
      <c r="AC1365" s="15">
        <f>IF($AB1365="","",IF($AB1365="×",0,IF($AB1365="○",ROUNDDOWN($E1365*設定!$C$4,0),ROUNDDOWN($E1365*ROUND((9*$AA1365-9*$E1365)/(10*$E1365),4),0))))</f>
        <v/>
      </c>
      <c r="AD1365" s="13" t="n"/>
      <c r="AE1365" s="15">
        <f>IF($B1365="","",IF($AD1365&lt;&gt;"",$AD1365,IF($AC1365="","",IF($AC1365&lt;=設定!$C$3,0,$AC1365))))</f>
        <v/>
      </c>
      <c r="AF1365" s="14">
        <f>IF($B1365="","",IF(AND($AG1365&lt;&gt;"",$AI1365="",$AL1365=""),"保留中",IF($AL1365&lt;&gt;"",IF(N($AE1365)&gt;0,"支給済","不支給"),IF($AE1365="","要確認",IF($AE1365=0,"不支給","未処理")))))</f>
        <v/>
      </c>
      <c r="AG1365" s="12" t="n"/>
      <c r="AH1365" s="11" t="n"/>
      <c r="AI1365" s="11" t="n"/>
      <c r="AJ1365" s="11" t="n"/>
      <c r="AK1365" s="14">
        <f>IF(AND($AF1365="保留中",$AH1365&lt;&gt;""),TODAY()-$AH1365,"")</f>
        <v/>
      </c>
      <c r="AL1365" s="12" t="n"/>
      <c r="AM1365" s="14">
        <f>IF($B1365="","",IF($AQ1365="","対象年月が未入力／","")&amp;IF($B1365="","",IF($AP1365="","職員マスタに未登録の職員番号／",IF($AA1365="","標準報酬月額が未登録／","")&amp;IF(AND($AQ1365&lt;&gt;"",OR(AND(INDEX(職員マスタ!$G$6:$G$405,$AP1365)&lt;&gt;"",INDEX(職員マスタ!$G$6:$G$405,$AP1365)&gt;EOMONTH($AQ1365,0)),AND(INDEX(職員マスタ!$H$6:$H$405,$AP1365)&lt;&gt;"",INDEX(職員マスタ!$H$6:$H$405,$AP1365)&lt;$AQ1365))),"対象月が時短期間外／","")&amp;IF(AND(INDEX(職員マスタ!$K$6:$K$405,$AP1365)&lt;&gt;"",N($W1365)&gt;0,INDEX(職員マスタ!$K$6:$K$405,$AP1365)&lt;&gt;$W1365),"標準報酬月額が申請書と相違（台帳"&amp;TEXT(INDEX(職員マスタ!$K$6:$K$405,$AP1365),"#,##0")&amp;"円／申請書"&amp;TEXT($W1365,"#,##0")&amp;"円）／","")&amp;IF(AND(INDEX(職員マスタ!$F$6:$F$405,$AP1365)&lt;&gt;"",$AQ1365&lt;&gt;"",INDEX(職員マスタ!$F$6:$F$405,$AP1365)&lt;$AQ1365),"対象月に子が2歳到達済／","")&amp;IF(AND($H1365&lt;&gt;"",INDEX(職員マスタ!$B$6:$B$405,$AP1365)&lt;&gt;"",SUBSTITUTE(SUBSTITUTE($H1365," ","")," ","")&lt;&gt;SUBSTITUTE(SUBSTITUTE(INDEX(職員マスタ!$B$6:$B$405,$AP1365)," ","")," ","")),"氏名がマスタと相違／","")&amp;IF(AND($Q1365&lt;&gt;"",INDEX(職員マスタ!$E$6:$E$405,$AP1365)&lt;&gt;"",$Q1365&lt;&gt;INDEX(職員マスタ!$E$6:$E$405,$AP1365)),"子の生年月日がマスタと相違／","")&amp;IF(AND($L1365&lt;&gt;"",INDEX(職員マスタ!$G$6:$G$405,$AP1365)&lt;&gt;"",$L1365&lt;&gt;INDEX(職員マスタ!$G$6:$G$405,$AP1365)),"時短開始日がマスタと相違／","")&amp;IF(AND($M1365&lt;&gt;"",INDEX(職員マスタ!$H$6:$H$405,$AP1365)&lt;&gt;"",$M1365&lt;&gt;INDEX(職員マスタ!$H$6:$H$405,$AP1365)),"時短終了日がマスタと相違／","")))&amp;IF(AND($B1365&lt;&gt;"",$E1365=""),"報酬額が未入力／","")&amp;IF(N($U1365)&gt;0,"申請書に入力エラーが残っています／","")&amp;IF(AND($B1365&lt;&gt;"",$AQ1365&lt;&gt;""),IF(COUNTIFS($B$6:$B$3005,$B1365,$C$6:$C$3005,$C1365,$D$6:$D$3005,$D1365)&gt;1,"同じ月の請求が重複しています／",""),"")&amp;IF(AND(N($E1365)&gt;0,$AB1365&lt;&gt;"",$AB1365&lt;&gt;"×",$AE1365=0,$AD1365=""),"計算額が下限以下のため不支給／",""))</f>
        <v/>
      </c>
      <c r="AN1365" s="12" t="n"/>
      <c r="AO1365" s="14">
        <f>IF($AF1365="保留中",COUNTIF($AF$6:$AF1365,"保留中"),"")</f>
        <v/>
      </c>
      <c r="AP1365" s="14">
        <f>IF($AQ1365="","",IF(SUMPRODUCT(MAX((職員マスタ!$A$6:$A$405=$B1365)*(((職員マスタ!$G$6:$G$405="")+(職員マスタ!$G$6:$G$405&lt;=EOMONTH($AQ1365,0)))&gt;0)*(((職員マスタ!$H$6:$H$405="")+(職員マスタ!$H$6:$H$405&gt;=$AQ1365))&gt;0)*(ROW(職員マスタ!$A$6:$A$405)-5)))&gt;0,SUMPRODUCT(MAX((職員マスタ!$A$6:$A$405=$B1365)*(((職員マスタ!$G$6:$G$405="")+(職員マスタ!$G$6:$G$405&lt;=EOMONTH($AQ1365,0)))&gt;0)*(((職員マスタ!$H$6:$H$405="")+(職員マスタ!$H$6:$H$405&gt;=$AQ1365))&gt;0)*(ROW(職員マスタ!$A$6:$A$405)-5))),IFERROR(MATCH($B1365,職員マスタ!$A$6:$A$405,0),"")))</f>
        <v/>
      </c>
      <c r="AQ1365" s="16">
        <f>IF(OR($B1365="",$C1365="",$D1365=""),"",DATE($C1365+2018,$D1365,1))</f>
        <v/>
      </c>
    </row>
    <row r="1366">
      <c r="A1366" s="11" t="n"/>
      <c r="B1366" s="12" t="n"/>
      <c r="C1366" s="12" t="n"/>
      <c r="D1366" s="12" t="n"/>
      <c r="E1366" s="13" t="n"/>
      <c r="F1366" s="12" t="n"/>
      <c r="G1366" s="13" t="n"/>
      <c r="H1366" s="12" t="n"/>
      <c r="I1366" s="12" t="n"/>
      <c r="J1366" s="12" t="n"/>
      <c r="K1366" s="12" t="n"/>
      <c r="L1366" s="11" t="n"/>
      <c r="M1366" s="11" t="n"/>
      <c r="N1366" s="11" t="n"/>
      <c r="O1366" s="11" t="n"/>
      <c r="P1366" s="12" t="n"/>
      <c r="Q1366" s="11" t="n"/>
      <c r="R1366" s="12" t="n"/>
      <c r="S1366" s="11" t="n"/>
      <c r="T1366" s="12" t="n"/>
      <c r="U1366" s="12" t="n"/>
      <c r="V1366" s="12" t="n"/>
      <c r="W1366" s="13" t="n"/>
      <c r="X1366" s="14">
        <f>IF($AP1366="",IF($B1366="","",$H1366),IF(INDEX(職員マスタ!$B$6:$B$405,$AP1366)="",$H1366,INDEX(職員マスタ!$B$6:$B$405,$AP1366)))</f>
        <v/>
      </c>
      <c r="Y1366" s="14">
        <f>IF($AP1366="",IF($B1366="","",$R1366),IF(INDEX(職員マスタ!$C$6:$C$405,$AP1366)="",$R1366,INDEX(職員マスタ!$C$6:$C$405,$AP1366)))</f>
        <v/>
      </c>
      <c r="Z1366" s="14">
        <f>IF($AQ1366="","","R"&amp;$C1366&amp;"."&amp;$D1366)</f>
        <v/>
      </c>
      <c r="AA1366" s="15">
        <f>IF(IF($AP1366="",FALSE,INDEX(職員マスタ!$K$6:$K$405,$AP1366)&lt;&gt;""),INDEX(職員マスタ!$K$6:$K$405,$AP1366),IF(N($W1366)&gt;0,$W1366,""))</f>
        <v/>
      </c>
      <c r="AB1366" s="14">
        <f>IF(OR($E1366="",$AA1366=""),"",IF($E1366&gt;=$AA1366,"×",IF($E1366&gt;=$AA1366*設定!$C$5,"△","○")))</f>
        <v/>
      </c>
      <c r="AC1366" s="15">
        <f>IF($AB1366="","",IF($AB1366="×",0,IF($AB1366="○",ROUNDDOWN($E1366*設定!$C$4,0),ROUNDDOWN($E1366*ROUND((9*$AA1366-9*$E1366)/(10*$E1366),4),0))))</f>
        <v/>
      </c>
      <c r="AD1366" s="13" t="n"/>
      <c r="AE1366" s="15">
        <f>IF($B1366="","",IF($AD1366&lt;&gt;"",$AD1366,IF($AC1366="","",IF($AC1366&lt;=設定!$C$3,0,$AC1366))))</f>
        <v/>
      </c>
      <c r="AF1366" s="14">
        <f>IF($B1366="","",IF(AND($AG1366&lt;&gt;"",$AI1366="",$AL1366=""),"保留中",IF($AL1366&lt;&gt;"",IF(N($AE1366)&gt;0,"支給済","不支給"),IF($AE1366="","要確認",IF($AE1366=0,"不支給","未処理")))))</f>
        <v/>
      </c>
      <c r="AG1366" s="12" t="n"/>
      <c r="AH1366" s="11" t="n"/>
      <c r="AI1366" s="11" t="n"/>
      <c r="AJ1366" s="11" t="n"/>
      <c r="AK1366" s="14">
        <f>IF(AND($AF1366="保留中",$AH1366&lt;&gt;""),TODAY()-$AH1366,"")</f>
        <v/>
      </c>
      <c r="AL1366" s="12" t="n"/>
      <c r="AM1366" s="14">
        <f>IF($B1366="","",IF($AQ1366="","対象年月が未入力／","")&amp;IF($B1366="","",IF($AP1366="","職員マスタに未登録の職員番号／",IF($AA1366="","標準報酬月額が未登録／","")&amp;IF(AND($AQ1366&lt;&gt;"",OR(AND(INDEX(職員マスタ!$G$6:$G$405,$AP1366)&lt;&gt;"",INDEX(職員マスタ!$G$6:$G$405,$AP1366)&gt;EOMONTH($AQ1366,0)),AND(INDEX(職員マスタ!$H$6:$H$405,$AP1366)&lt;&gt;"",INDEX(職員マスタ!$H$6:$H$405,$AP1366)&lt;$AQ1366))),"対象月が時短期間外／","")&amp;IF(AND(INDEX(職員マスタ!$K$6:$K$405,$AP1366)&lt;&gt;"",N($W1366)&gt;0,INDEX(職員マスタ!$K$6:$K$405,$AP1366)&lt;&gt;$W1366),"標準報酬月額が申請書と相違（台帳"&amp;TEXT(INDEX(職員マスタ!$K$6:$K$405,$AP1366),"#,##0")&amp;"円／申請書"&amp;TEXT($W1366,"#,##0")&amp;"円）／","")&amp;IF(AND(INDEX(職員マスタ!$F$6:$F$405,$AP1366)&lt;&gt;"",$AQ1366&lt;&gt;"",INDEX(職員マスタ!$F$6:$F$405,$AP1366)&lt;$AQ1366),"対象月に子が2歳到達済／","")&amp;IF(AND($H1366&lt;&gt;"",INDEX(職員マスタ!$B$6:$B$405,$AP1366)&lt;&gt;"",SUBSTITUTE(SUBSTITUTE($H1366," ","")," ","")&lt;&gt;SUBSTITUTE(SUBSTITUTE(INDEX(職員マスタ!$B$6:$B$405,$AP1366)," ","")," ","")),"氏名がマスタと相違／","")&amp;IF(AND($Q1366&lt;&gt;"",INDEX(職員マスタ!$E$6:$E$405,$AP1366)&lt;&gt;"",$Q1366&lt;&gt;INDEX(職員マスタ!$E$6:$E$405,$AP1366)),"子の生年月日がマスタと相違／","")&amp;IF(AND($L1366&lt;&gt;"",INDEX(職員マスタ!$G$6:$G$405,$AP1366)&lt;&gt;"",$L1366&lt;&gt;INDEX(職員マスタ!$G$6:$G$405,$AP1366)),"時短開始日がマスタと相違／","")&amp;IF(AND($M1366&lt;&gt;"",INDEX(職員マスタ!$H$6:$H$405,$AP1366)&lt;&gt;"",$M1366&lt;&gt;INDEX(職員マスタ!$H$6:$H$405,$AP1366)),"時短終了日がマスタと相違／","")))&amp;IF(AND($B1366&lt;&gt;"",$E1366=""),"報酬額が未入力／","")&amp;IF(N($U1366)&gt;0,"申請書に入力エラーが残っています／","")&amp;IF(AND($B1366&lt;&gt;"",$AQ1366&lt;&gt;""),IF(COUNTIFS($B$6:$B$3005,$B1366,$C$6:$C$3005,$C1366,$D$6:$D$3005,$D1366)&gt;1,"同じ月の請求が重複しています／",""),"")&amp;IF(AND(N($E1366)&gt;0,$AB1366&lt;&gt;"",$AB1366&lt;&gt;"×",$AE1366=0,$AD1366=""),"計算額が下限以下のため不支給／",""))</f>
        <v/>
      </c>
      <c r="AN1366" s="12" t="n"/>
      <c r="AO1366" s="14">
        <f>IF($AF1366="保留中",COUNTIF($AF$6:$AF1366,"保留中"),"")</f>
        <v/>
      </c>
      <c r="AP1366" s="14">
        <f>IF($AQ1366="","",IF(SUMPRODUCT(MAX((職員マスタ!$A$6:$A$405=$B1366)*(((職員マスタ!$G$6:$G$405="")+(職員マスタ!$G$6:$G$405&lt;=EOMONTH($AQ1366,0)))&gt;0)*(((職員マスタ!$H$6:$H$405="")+(職員マスタ!$H$6:$H$405&gt;=$AQ1366))&gt;0)*(ROW(職員マスタ!$A$6:$A$405)-5)))&gt;0,SUMPRODUCT(MAX((職員マスタ!$A$6:$A$405=$B1366)*(((職員マスタ!$G$6:$G$405="")+(職員マスタ!$G$6:$G$405&lt;=EOMONTH($AQ1366,0)))&gt;0)*(((職員マスタ!$H$6:$H$405="")+(職員マスタ!$H$6:$H$405&gt;=$AQ1366))&gt;0)*(ROW(職員マスタ!$A$6:$A$405)-5))),IFERROR(MATCH($B1366,職員マスタ!$A$6:$A$405,0),"")))</f>
        <v/>
      </c>
      <c r="AQ1366" s="16">
        <f>IF(OR($B1366="",$C1366="",$D1366=""),"",DATE($C1366+2018,$D1366,1))</f>
        <v/>
      </c>
    </row>
    <row r="1367">
      <c r="A1367" s="11" t="n"/>
      <c r="B1367" s="12" t="n"/>
      <c r="C1367" s="12" t="n"/>
      <c r="D1367" s="12" t="n"/>
      <c r="E1367" s="13" t="n"/>
      <c r="F1367" s="12" t="n"/>
      <c r="G1367" s="13" t="n"/>
      <c r="H1367" s="12" t="n"/>
      <c r="I1367" s="12" t="n"/>
      <c r="J1367" s="12" t="n"/>
      <c r="K1367" s="12" t="n"/>
      <c r="L1367" s="11" t="n"/>
      <c r="M1367" s="11" t="n"/>
      <c r="N1367" s="11" t="n"/>
      <c r="O1367" s="11" t="n"/>
      <c r="P1367" s="12" t="n"/>
      <c r="Q1367" s="11" t="n"/>
      <c r="R1367" s="12" t="n"/>
      <c r="S1367" s="11" t="n"/>
      <c r="T1367" s="12" t="n"/>
      <c r="U1367" s="12" t="n"/>
      <c r="V1367" s="12" t="n"/>
      <c r="W1367" s="13" t="n"/>
      <c r="X1367" s="14">
        <f>IF($AP1367="",IF($B1367="","",$H1367),IF(INDEX(職員マスタ!$B$6:$B$405,$AP1367)="",$H1367,INDEX(職員マスタ!$B$6:$B$405,$AP1367)))</f>
        <v/>
      </c>
      <c r="Y1367" s="14">
        <f>IF($AP1367="",IF($B1367="","",$R1367),IF(INDEX(職員マスタ!$C$6:$C$405,$AP1367)="",$R1367,INDEX(職員マスタ!$C$6:$C$405,$AP1367)))</f>
        <v/>
      </c>
      <c r="Z1367" s="14">
        <f>IF($AQ1367="","","R"&amp;$C1367&amp;"."&amp;$D1367)</f>
        <v/>
      </c>
      <c r="AA1367" s="15">
        <f>IF(IF($AP1367="",FALSE,INDEX(職員マスタ!$K$6:$K$405,$AP1367)&lt;&gt;""),INDEX(職員マスタ!$K$6:$K$405,$AP1367),IF(N($W1367)&gt;0,$W1367,""))</f>
        <v/>
      </c>
      <c r="AB1367" s="14">
        <f>IF(OR($E1367="",$AA1367=""),"",IF($E1367&gt;=$AA1367,"×",IF($E1367&gt;=$AA1367*設定!$C$5,"△","○")))</f>
        <v/>
      </c>
      <c r="AC1367" s="15">
        <f>IF($AB1367="","",IF($AB1367="×",0,IF($AB1367="○",ROUNDDOWN($E1367*設定!$C$4,0),ROUNDDOWN($E1367*ROUND((9*$AA1367-9*$E1367)/(10*$E1367),4),0))))</f>
        <v/>
      </c>
      <c r="AD1367" s="13" t="n"/>
      <c r="AE1367" s="15">
        <f>IF($B1367="","",IF($AD1367&lt;&gt;"",$AD1367,IF($AC1367="","",IF($AC1367&lt;=設定!$C$3,0,$AC1367))))</f>
        <v/>
      </c>
      <c r="AF1367" s="14">
        <f>IF($B1367="","",IF(AND($AG1367&lt;&gt;"",$AI1367="",$AL1367=""),"保留中",IF($AL1367&lt;&gt;"",IF(N($AE1367)&gt;0,"支給済","不支給"),IF($AE1367="","要確認",IF($AE1367=0,"不支給","未処理")))))</f>
        <v/>
      </c>
      <c r="AG1367" s="12" t="n"/>
      <c r="AH1367" s="11" t="n"/>
      <c r="AI1367" s="11" t="n"/>
      <c r="AJ1367" s="11" t="n"/>
      <c r="AK1367" s="14">
        <f>IF(AND($AF1367="保留中",$AH1367&lt;&gt;""),TODAY()-$AH1367,"")</f>
        <v/>
      </c>
      <c r="AL1367" s="12" t="n"/>
      <c r="AM1367" s="14">
        <f>IF($B1367="","",IF($AQ1367="","対象年月が未入力／","")&amp;IF($B1367="","",IF($AP1367="","職員マスタに未登録の職員番号／",IF($AA1367="","標準報酬月額が未登録／","")&amp;IF(AND($AQ1367&lt;&gt;"",OR(AND(INDEX(職員マスタ!$G$6:$G$405,$AP1367)&lt;&gt;"",INDEX(職員マスタ!$G$6:$G$405,$AP1367)&gt;EOMONTH($AQ1367,0)),AND(INDEX(職員マスタ!$H$6:$H$405,$AP1367)&lt;&gt;"",INDEX(職員マスタ!$H$6:$H$405,$AP1367)&lt;$AQ1367))),"対象月が時短期間外／","")&amp;IF(AND(INDEX(職員マスタ!$K$6:$K$405,$AP1367)&lt;&gt;"",N($W1367)&gt;0,INDEX(職員マスタ!$K$6:$K$405,$AP1367)&lt;&gt;$W1367),"標準報酬月額が申請書と相違（台帳"&amp;TEXT(INDEX(職員マスタ!$K$6:$K$405,$AP1367),"#,##0")&amp;"円／申請書"&amp;TEXT($W1367,"#,##0")&amp;"円）／","")&amp;IF(AND(INDEX(職員マスタ!$F$6:$F$405,$AP1367)&lt;&gt;"",$AQ1367&lt;&gt;"",INDEX(職員マスタ!$F$6:$F$405,$AP1367)&lt;$AQ1367),"対象月に子が2歳到達済／","")&amp;IF(AND($H1367&lt;&gt;"",INDEX(職員マスタ!$B$6:$B$405,$AP1367)&lt;&gt;"",SUBSTITUTE(SUBSTITUTE($H1367," ","")," ","")&lt;&gt;SUBSTITUTE(SUBSTITUTE(INDEX(職員マスタ!$B$6:$B$405,$AP1367)," ","")," ","")),"氏名がマスタと相違／","")&amp;IF(AND($Q1367&lt;&gt;"",INDEX(職員マスタ!$E$6:$E$405,$AP1367)&lt;&gt;"",$Q1367&lt;&gt;INDEX(職員マスタ!$E$6:$E$405,$AP1367)),"子の生年月日がマスタと相違／","")&amp;IF(AND($L1367&lt;&gt;"",INDEX(職員マスタ!$G$6:$G$405,$AP1367)&lt;&gt;"",$L1367&lt;&gt;INDEX(職員マスタ!$G$6:$G$405,$AP1367)),"時短開始日がマスタと相違／","")&amp;IF(AND($M1367&lt;&gt;"",INDEX(職員マスタ!$H$6:$H$405,$AP1367)&lt;&gt;"",$M1367&lt;&gt;INDEX(職員マスタ!$H$6:$H$405,$AP1367)),"時短終了日がマスタと相違／","")))&amp;IF(AND($B1367&lt;&gt;"",$E1367=""),"報酬額が未入力／","")&amp;IF(N($U1367)&gt;0,"申請書に入力エラーが残っています／","")&amp;IF(AND($B1367&lt;&gt;"",$AQ1367&lt;&gt;""),IF(COUNTIFS($B$6:$B$3005,$B1367,$C$6:$C$3005,$C1367,$D$6:$D$3005,$D1367)&gt;1,"同じ月の請求が重複しています／",""),"")&amp;IF(AND(N($E1367)&gt;0,$AB1367&lt;&gt;"",$AB1367&lt;&gt;"×",$AE1367=0,$AD1367=""),"計算額が下限以下のため不支給／",""))</f>
        <v/>
      </c>
      <c r="AN1367" s="12" t="n"/>
      <c r="AO1367" s="14">
        <f>IF($AF1367="保留中",COUNTIF($AF$6:$AF1367,"保留中"),"")</f>
        <v/>
      </c>
      <c r="AP1367" s="14">
        <f>IF($AQ1367="","",IF(SUMPRODUCT(MAX((職員マスタ!$A$6:$A$405=$B1367)*(((職員マスタ!$G$6:$G$405="")+(職員マスタ!$G$6:$G$405&lt;=EOMONTH($AQ1367,0)))&gt;0)*(((職員マスタ!$H$6:$H$405="")+(職員マスタ!$H$6:$H$405&gt;=$AQ1367))&gt;0)*(ROW(職員マスタ!$A$6:$A$405)-5)))&gt;0,SUMPRODUCT(MAX((職員マスタ!$A$6:$A$405=$B1367)*(((職員マスタ!$G$6:$G$405="")+(職員マスタ!$G$6:$G$405&lt;=EOMONTH($AQ1367,0)))&gt;0)*(((職員マスタ!$H$6:$H$405="")+(職員マスタ!$H$6:$H$405&gt;=$AQ1367))&gt;0)*(ROW(職員マスタ!$A$6:$A$405)-5))),IFERROR(MATCH($B1367,職員マスタ!$A$6:$A$405,0),"")))</f>
        <v/>
      </c>
      <c r="AQ1367" s="16">
        <f>IF(OR($B1367="",$C1367="",$D1367=""),"",DATE($C1367+2018,$D1367,1))</f>
        <v/>
      </c>
    </row>
    <row r="1368">
      <c r="A1368" s="11" t="n"/>
      <c r="B1368" s="12" t="n"/>
      <c r="C1368" s="12" t="n"/>
      <c r="D1368" s="12" t="n"/>
      <c r="E1368" s="13" t="n"/>
      <c r="F1368" s="12" t="n"/>
      <c r="G1368" s="13" t="n"/>
      <c r="H1368" s="12" t="n"/>
      <c r="I1368" s="12" t="n"/>
      <c r="J1368" s="12" t="n"/>
      <c r="K1368" s="12" t="n"/>
      <c r="L1368" s="11" t="n"/>
      <c r="M1368" s="11" t="n"/>
      <c r="N1368" s="11" t="n"/>
      <c r="O1368" s="11" t="n"/>
      <c r="P1368" s="12" t="n"/>
      <c r="Q1368" s="11" t="n"/>
      <c r="R1368" s="12" t="n"/>
      <c r="S1368" s="11" t="n"/>
      <c r="T1368" s="12" t="n"/>
      <c r="U1368" s="12" t="n"/>
      <c r="V1368" s="12" t="n"/>
      <c r="W1368" s="13" t="n"/>
      <c r="X1368" s="14">
        <f>IF($AP1368="",IF($B1368="","",$H1368),IF(INDEX(職員マスタ!$B$6:$B$405,$AP1368)="",$H1368,INDEX(職員マスタ!$B$6:$B$405,$AP1368)))</f>
        <v/>
      </c>
      <c r="Y1368" s="14">
        <f>IF($AP1368="",IF($B1368="","",$R1368),IF(INDEX(職員マスタ!$C$6:$C$405,$AP1368)="",$R1368,INDEX(職員マスタ!$C$6:$C$405,$AP1368)))</f>
        <v/>
      </c>
      <c r="Z1368" s="14">
        <f>IF($AQ1368="","","R"&amp;$C1368&amp;"."&amp;$D1368)</f>
        <v/>
      </c>
      <c r="AA1368" s="15">
        <f>IF(IF($AP1368="",FALSE,INDEX(職員マスタ!$K$6:$K$405,$AP1368)&lt;&gt;""),INDEX(職員マスタ!$K$6:$K$405,$AP1368),IF(N($W1368)&gt;0,$W1368,""))</f>
        <v/>
      </c>
      <c r="AB1368" s="14">
        <f>IF(OR($E1368="",$AA1368=""),"",IF($E1368&gt;=$AA1368,"×",IF($E1368&gt;=$AA1368*設定!$C$5,"△","○")))</f>
        <v/>
      </c>
      <c r="AC1368" s="15">
        <f>IF($AB1368="","",IF($AB1368="×",0,IF($AB1368="○",ROUNDDOWN($E1368*設定!$C$4,0),ROUNDDOWN($E1368*ROUND((9*$AA1368-9*$E1368)/(10*$E1368),4),0))))</f>
        <v/>
      </c>
      <c r="AD1368" s="13" t="n"/>
      <c r="AE1368" s="15">
        <f>IF($B1368="","",IF($AD1368&lt;&gt;"",$AD1368,IF($AC1368="","",IF($AC1368&lt;=設定!$C$3,0,$AC1368))))</f>
        <v/>
      </c>
      <c r="AF1368" s="14">
        <f>IF($B1368="","",IF(AND($AG1368&lt;&gt;"",$AI1368="",$AL1368=""),"保留中",IF($AL1368&lt;&gt;"",IF(N($AE1368)&gt;0,"支給済","不支給"),IF($AE1368="","要確認",IF($AE1368=0,"不支給","未処理")))))</f>
        <v/>
      </c>
      <c r="AG1368" s="12" t="n"/>
      <c r="AH1368" s="11" t="n"/>
      <c r="AI1368" s="11" t="n"/>
      <c r="AJ1368" s="11" t="n"/>
      <c r="AK1368" s="14">
        <f>IF(AND($AF1368="保留中",$AH1368&lt;&gt;""),TODAY()-$AH1368,"")</f>
        <v/>
      </c>
      <c r="AL1368" s="12" t="n"/>
      <c r="AM1368" s="14">
        <f>IF($B1368="","",IF($AQ1368="","対象年月が未入力／","")&amp;IF($B1368="","",IF($AP1368="","職員マスタに未登録の職員番号／",IF($AA1368="","標準報酬月額が未登録／","")&amp;IF(AND($AQ1368&lt;&gt;"",OR(AND(INDEX(職員マスタ!$G$6:$G$405,$AP1368)&lt;&gt;"",INDEX(職員マスタ!$G$6:$G$405,$AP1368)&gt;EOMONTH($AQ1368,0)),AND(INDEX(職員マスタ!$H$6:$H$405,$AP1368)&lt;&gt;"",INDEX(職員マスタ!$H$6:$H$405,$AP1368)&lt;$AQ1368))),"対象月が時短期間外／","")&amp;IF(AND(INDEX(職員マスタ!$K$6:$K$405,$AP1368)&lt;&gt;"",N($W1368)&gt;0,INDEX(職員マスタ!$K$6:$K$405,$AP1368)&lt;&gt;$W1368),"標準報酬月額が申請書と相違（台帳"&amp;TEXT(INDEX(職員マスタ!$K$6:$K$405,$AP1368),"#,##0")&amp;"円／申請書"&amp;TEXT($W1368,"#,##0")&amp;"円）／","")&amp;IF(AND(INDEX(職員マスタ!$F$6:$F$405,$AP1368)&lt;&gt;"",$AQ1368&lt;&gt;"",INDEX(職員マスタ!$F$6:$F$405,$AP1368)&lt;$AQ1368),"対象月に子が2歳到達済／","")&amp;IF(AND($H1368&lt;&gt;"",INDEX(職員マスタ!$B$6:$B$405,$AP1368)&lt;&gt;"",SUBSTITUTE(SUBSTITUTE($H1368," ","")," ","")&lt;&gt;SUBSTITUTE(SUBSTITUTE(INDEX(職員マスタ!$B$6:$B$405,$AP1368)," ","")," ","")),"氏名がマスタと相違／","")&amp;IF(AND($Q1368&lt;&gt;"",INDEX(職員マスタ!$E$6:$E$405,$AP1368)&lt;&gt;"",$Q1368&lt;&gt;INDEX(職員マスタ!$E$6:$E$405,$AP1368)),"子の生年月日がマスタと相違／","")&amp;IF(AND($L1368&lt;&gt;"",INDEX(職員マスタ!$G$6:$G$405,$AP1368)&lt;&gt;"",$L1368&lt;&gt;INDEX(職員マスタ!$G$6:$G$405,$AP1368)),"時短開始日がマスタと相違／","")&amp;IF(AND($M1368&lt;&gt;"",INDEX(職員マスタ!$H$6:$H$405,$AP1368)&lt;&gt;"",$M1368&lt;&gt;INDEX(職員マスタ!$H$6:$H$405,$AP1368)),"時短終了日がマスタと相違／","")))&amp;IF(AND($B1368&lt;&gt;"",$E1368=""),"報酬額が未入力／","")&amp;IF(N($U1368)&gt;0,"申請書に入力エラーが残っています／","")&amp;IF(AND($B1368&lt;&gt;"",$AQ1368&lt;&gt;""),IF(COUNTIFS($B$6:$B$3005,$B1368,$C$6:$C$3005,$C1368,$D$6:$D$3005,$D1368)&gt;1,"同じ月の請求が重複しています／",""),"")&amp;IF(AND(N($E1368)&gt;0,$AB1368&lt;&gt;"",$AB1368&lt;&gt;"×",$AE1368=0,$AD1368=""),"計算額が下限以下のため不支給／",""))</f>
        <v/>
      </c>
      <c r="AN1368" s="12" t="n"/>
      <c r="AO1368" s="14">
        <f>IF($AF1368="保留中",COUNTIF($AF$6:$AF1368,"保留中"),"")</f>
        <v/>
      </c>
      <c r="AP1368" s="14">
        <f>IF($AQ1368="","",IF(SUMPRODUCT(MAX((職員マスタ!$A$6:$A$405=$B1368)*(((職員マスタ!$G$6:$G$405="")+(職員マスタ!$G$6:$G$405&lt;=EOMONTH($AQ1368,0)))&gt;0)*(((職員マスタ!$H$6:$H$405="")+(職員マスタ!$H$6:$H$405&gt;=$AQ1368))&gt;0)*(ROW(職員マスタ!$A$6:$A$405)-5)))&gt;0,SUMPRODUCT(MAX((職員マスタ!$A$6:$A$405=$B1368)*(((職員マスタ!$G$6:$G$405="")+(職員マスタ!$G$6:$G$405&lt;=EOMONTH($AQ1368,0)))&gt;0)*(((職員マスタ!$H$6:$H$405="")+(職員マスタ!$H$6:$H$405&gt;=$AQ1368))&gt;0)*(ROW(職員マスタ!$A$6:$A$405)-5))),IFERROR(MATCH($B1368,職員マスタ!$A$6:$A$405,0),"")))</f>
        <v/>
      </c>
      <c r="AQ1368" s="16">
        <f>IF(OR($B1368="",$C1368="",$D1368=""),"",DATE($C1368+2018,$D1368,1))</f>
        <v/>
      </c>
    </row>
    <row r="1369">
      <c r="A1369" s="11" t="n"/>
      <c r="B1369" s="12" t="n"/>
      <c r="C1369" s="12" t="n"/>
      <c r="D1369" s="12" t="n"/>
      <c r="E1369" s="13" t="n"/>
      <c r="F1369" s="12" t="n"/>
      <c r="G1369" s="13" t="n"/>
      <c r="H1369" s="12" t="n"/>
      <c r="I1369" s="12" t="n"/>
      <c r="J1369" s="12" t="n"/>
      <c r="K1369" s="12" t="n"/>
      <c r="L1369" s="11" t="n"/>
      <c r="M1369" s="11" t="n"/>
      <c r="N1369" s="11" t="n"/>
      <c r="O1369" s="11" t="n"/>
      <c r="P1369" s="12" t="n"/>
      <c r="Q1369" s="11" t="n"/>
      <c r="R1369" s="12" t="n"/>
      <c r="S1369" s="11" t="n"/>
      <c r="T1369" s="12" t="n"/>
      <c r="U1369" s="12" t="n"/>
      <c r="V1369" s="12" t="n"/>
      <c r="W1369" s="13" t="n"/>
      <c r="X1369" s="14">
        <f>IF($AP1369="",IF($B1369="","",$H1369),IF(INDEX(職員マスタ!$B$6:$B$405,$AP1369)="",$H1369,INDEX(職員マスタ!$B$6:$B$405,$AP1369)))</f>
        <v/>
      </c>
      <c r="Y1369" s="14">
        <f>IF($AP1369="",IF($B1369="","",$R1369),IF(INDEX(職員マスタ!$C$6:$C$405,$AP1369)="",$R1369,INDEX(職員マスタ!$C$6:$C$405,$AP1369)))</f>
        <v/>
      </c>
      <c r="Z1369" s="14">
        <f>IF($AQ1369="","","R"&amp;$C1369&amp;"."&amp;$D1369)</f>
        <v/>
      </c>
      <c r="AA1369" s="15">
        <f>IF(IF($AP1369="",FALSE,INDEX(職員マスタ!$K$6:$K$405,$AP1369)&lt;&gt;""),INDEX(職員マスタ!$K$6:$K$405,$AP1369),IF(N($W1369)&gt;0,$W1369,""))</f>
        <v/>
      </c>
      <c r="AB1369" s="14">
        <f>IF(OR($E1369="",$AA1369=""),"",IF($E1369&gt;=$AA1369,"×",IF($E1369&gt;=$AA1369*設定!$C$5,"△","○")))</f>
        <v/>
      </c>
      <c r="AC1369" s="15">
        <f>IF($AB1369="","",IF($AB1369="×",0,IF($AB1369="○",ROUNDDOWN($E1369*設定!$C$4,0),ROUNDDOWN($E1369*ROUND((9*$AA1369-9*$E1369)/(10*$E1369),4),0))))</f>
        <v/>
      </c>
      <c r="AD1369" s="13" t="n"/>
      <c r="AE1369" s="15">
        <f>IF($B1369="","",IF($AD1369&lt;&gt;"",$AD1369,IF($AC1369="","",IF($AC1369&lt;=設定!$C$3,0,$AC1369))))</f>
        <v/>
      </c>
      <c r="AF1369" s="14">
        <f>IF($B1369="","",IF(AND($AG1369&lt;&gt;"",$AI1369="",$AL1369=""),"保留中",IF($AL1369&lt;&gt;"",IF(N($AE1369)&gt;0,"支給済","不支給"),IF($AE1369="","要確認",IF($AE1369=0,"不支給","未処理")))))</f>
        <v/>
      </c>
      <c r="AG1369" s="12" t="n"/>
      <c r="AH1369" s="11" t="n"/>
      <c r="AI1369" s="11" t="n"/>
      <c r="AJ1369" s="11" t="n"/>
      <c r="AK1369" s="14">
        <f>IF(AND($AF1369="保留中",$AH1369&lt;&gt;""),TODAY()-$AH1369,"")</f>
        <v/>
      </c>
      <c r="AL1369" s="12" t="n"/>
      <c r="AM1369" s="14">
        <f>IF($B1369="","",IF($AQ1369="","対象年月が未入力／","")&amp;IF($B1369="","",IF($AP1369="","職員マスタに未登録の職員番号／",IF($AA1369="","標準報酬月額が未登録／","")&amp;IF(AND($AQ1369&lt;&gt;"",OR(AND(INDEX(職員マスタ!$G$6:$G$405,$AP1369)&lt;&gt;"",INDEX(職員マスタ!$G$6:$G$405,$AP1369)&gt;EOMONTH($AQ1369,0)),AND(INDEX(職員マスタ!$H$6:$H$405,$AP1369)&lt;&gt;"",INDEX(職員マスタ!$H$6:$H$405,$AP1369)&lt;$AQ1369))),"対象月が時短期間外／","")&amp;IF(AND(INDEX(職員マスタ!$K$6:$K$405,$AP1369)&lt;&gt;"",N($W1369)&gt;0,INDEX(職員マスタ!$K$6:$K$405,$AP1369)&lt;&gt;$W1369),"標準報酬月額が申請書と相違（台帳"&amp;TEXT(INDEX(職員マスタ!$K$6:$K$405,$AP1369),"#,##0")&amp;"円／申請書"&amp;TEXT($W1369,"#,##0")&amp;"円）／","")&amp;IF(AND(INDEX(職員マスタ!$F$6:$F$405,$AP1369)&lt;&gt;"",$AQ1369&lt;&gt;"",INDEX(職員マスタ!$F$6:$F$405,$AP1369)&lt;$AQ1369),"対象月に子が2歳到達済／","")&amp;IF(AND($H1369&lt;&gt;"",INDEX(職員マスタ!$B$6:$B$405,$AP1369)&lt;&gt;"",SUBSTITUTE(SUBSTITUTE($H1369," ","")," ","")&lt;&gt;SUBSTITUTE(SUBSTITUTE(INDEX(職員マスタ!$B$6:$B$405,$AP1369)," ","")," ","")),"氏名がマスタと相違／","")&amp;IF(AND($Q1369&lt;&gt;"",INDEX(職員マスタ!$E$6:$E$405,$AP1369)&lt;&gt;"",$Q1369&lt;&gt;INDEX(職員マスタ!$E$6:$E$405,$AP1369)),"子の生年月日がマスタと相違／","")&amp;IF(AND($L1369&lt;&gt;"",INDEX(職員マスタ!$G$6:$G$405,$AP1369)&lt;&gt;"",$L1369&lt;&gt;INDEX(職員マスタ!$G$6:$G$405,$AP1369)),"時短開始日がマスタと相違／","")&amp;IF(AND($M1369&lt;&gt;"",INDEX(職員マスタ!$H$6:$H$405,$AP1369)&lt;&gt;"",$M1369&lt;&gt;INDEX(職員マスタ!$H$6:$H$405,$AP1369)),"時短終了日がマスタと相違／","")))&amp;IF(AND($B1369&lt;&gt;"",$E1369=""),"報酬額が未入力／","")&amp;IF(N($U1369)&gt;0,"申請書に入力エラーが残っています／","")&amp;IF(AND($B1369&lt;&gt;"",$AQ1369&lt;&gt;""),IF(COUNTIFS($B$6:$B$3005,$B1369,$C$6:$C$3005,$C1369,$D$6:$D$3005,$D1369)&gt;1,"同じ月の請求が重複しています／",""),"")&amp;IF(AND(N($E1369)&gt;0,$AB1369&lt;&gt;"",$AB1369&lt;&gt;"×",$AE1369=0,$AD1369=""),"計算額が下限以下のため不支給／",""))</f>
        <v/>
      </c>
      <c r="AN1369" s="12" t="n"/>
      <c r="AO1369" s="14">
        <f>IF($AF1369="保留中",COUNTIF($AF$6:$AF1369,"保留中"),"")</f>
        <v/>
      </c>
      <c r="AP1369" s="14">
        <f>IF($AQ1369="","",IF(SUMPRODUCT(MAX((職員マスタ!$A$6:$A$405=$B1369)*(((職員マスタ!$G$6:$G$405="")+(職員マスタ!$G$6:$G$405&lt;=EOMONTH($AQ1369,0)))&gt;0)*(((職員マスタ!$H$6:$H$405="")+(職員マスタ!$H$6:$H$405&gt;=$AQ1369))&gt;0)*(ROW(職員マスタ!$A$6:$A$405)-5)))&gt;0,SUMPRODUCT(MAX((職員マスタ!$A$6:$A$405=$B1369)*(((職員マスタ!$G$6:$G$405="")+(職員マスタ!$G$6:$G$405&lt;=EOMONTH($AQ1369,0)))&gt;0)*(((職員マスタ!$H$6:$H$405="")+(職員マスタ!$H$6:$H$405&gt;=$AQ1369))&gt;0)*(ROW(職員マスタ!$A$6:$A$405)-5))),IFERROR(MATCH($B1369,職員マスタ!$A$6:$A$405,0),"")))</f>
        <v/>
      </c>
      <c r="AQ1369" s="16">
        <f>IF(OR($B1369="",$C1369="",$D1369=""),"",DATE($C1369+2018,$D1369,1))</f>
        <v/>
      </c>
    </row>
    <row r="1370">
      <c r="A1370" s="11" t="n"/>
      <c r="B1370" s="12" t="n"/>
      <c r="C1370" s="12" t="n"/>
      <c r="D1370" s="12" t="n"/>
      <c r="E1370" s="13" t="n"/>
      <c r="F1370" s="12" t="n"/>
      <c r="G1370" s="13" t="n"/>
      <c r="H1370" s="12" t="n"/>
      <c r="I1370" s="12" t="n"/>
      <c r="J1370" s="12" t="n"/>
      <c r="K1370" s="12" t="n"/>
      <c r="L1370" s="11" t="n"/>
      <c r="M1370" s="11" t="n"/>
      <c r="N1370" s="11" t="n"/>
      <c r="O1370" s="11" t="n"/>
      <c r="P1370" s="12" t="n"/>
      <c r="Q1370" s="11" t="n"/>
      <c r="R1370" s="12" t="n"/>
      <c r="S1370" s="11" t="n"/>
      <c r="T1370" s="12" t="n"/>
      <c r="U1370" s="12" t="n"/>
      <c r="V1370" s="12" t="n"/>
      <c r="W1370" s="13" t="n"/>
      <c r="X1370" s="14">
        <f>IF($AP1370="",IF($B1370="","",$H1370),IF(INDEX(職員マスタ!$B$6:$B$405,$AP1370)="",$H1370,INDEX(職員マスタ!$B$6:$B$405,$AP1370)))</f>
        <v/>
      </c>
      <c r="Y1370" s="14">
        <f>IF($AP1370="",IF($B1370="","",$R1370),IF(INDEX(職員マスタ!$C$6:$C$405,$AP1370)="",$R1370,INDEX(職員マスタ!$C$6:$C$405,$AP1370)))</f>
        <v/>
      </c>
      <c r="Z1370" s="14">
        <f>IF($AQ1370="","","R"&amp;$C1370&amp;"."&amp;$D1370)</f>
        <v/>
      </c>
      <c r="AA1370" s="15">
        <f>IF(IF($AP1370="",FALSE,INDEX(職員マスタ!$K$6:$K$405,$AP1370)&lt;&gt;""),INDEX(職員マスタ!$K$6:$K$405,$AP1370),IF(N($W1370)&gt;0,$W1370,""))</f>
        <v/>
      </c>
      <c r="AB1370" s="14">
        <f>IF(OR($E1370="",$AA1370=""),"",IF($E1370&gt;=$AA1370,"×",IF($E1370&gt;=$AA1370*設定!$C$5,"△","○")))</f>
        <v/>
      </c>
      <c r="AC1370" s="15">
        <f>IF($AB1370="","",IF($AB1370="×",0,IF($AB1370="○",ROUNDDOWN($E1370*設定!$C$4,0),ROUNDDOWN($E1370*ROUND((9*$AA1370-9*$E1370)/(10*$E1370),4),0))))</f>
        <v/>
      </c>
      <c r="AD1370" s="13" t="n"/>
      <c r="AE1370" s="15">
        <f>IF($B1370="","",IF($AD1370&lt;&gt;"",$AD1370,IF($AC1370="","",IF($AC1370&lt;=設定!$C$3,0,$AC1370))))</f>
        <v/>
      </c>
      <c r="AF1370" s="14">
        <f>IF($B1370="","",IF(AND($AG1370&lt;&gt;"",$AI1370="",$AL1370=""),"保留中",IF($AL1370&lt;&gt;"",IF(N($AE1370)&gt;0,"支給済","不支給"),IF($AE1370="","要確認",IF($AE1370=0,"不支給","未処理")))))</f>
        <v/>
      </c>
      <c r="AG1370" s="12" t="n"/>
      <c r="AH1370" s="11" t="n"/>
      <c r="AI1370" s="11" t="n"/>
      <c r="AJ1370" s="11" t="n"/>
      <c r="AK1370" s="14">
        <f>IF(AND($AF1370="保留中",$AH1370&lt;&gt;""),TODAY()-$AH1370,"")</f>
        <v/>
      </c>
      <c r="AL1370" s="12" t="n"/>
      <c r="AM1370" s="14">
        <f>IF($B1370="","",IF($AQ1370="","対象年月が未入力／","")&amp;IF($B1370="","",IF($AP1370="","職員マスタに未登録の職員番号／",IF($AA1370="","標準報酬月額が未登録／","")&amp;IF(AND($AQ1370&lt;&gt;"",OR(AND(INDEX(職員マスタ!$G$6:$G$405,$AP1370)&lt;&gt;"",INDEX(職員マスタ!$G$6:$G$405,$AP1370)&gt;EOMONTH($AQ1370,0)),AND(INDEX(職員マスタ!$H$6:$H$405,$AP1370)&lt;&gt;"",INDEX(職員マスタ!$H$6:$H$405,$AP1370)&lt;$AQ1370))),"対象月が時短期間外／","")&amp;IF(AND(INDEX(職員マスタ!$K$6:$K$405,$AP1370)&lt;&gt;"",N($W1370)&gt;0,INDEX(職員マスタ!$K$6:$K$405,$AP1370)&lt;&gt;$W1370),"標準報酬月額が申請書と相違（台帳"&amp;TEXT(INDEX(職員マスタ!$K$6:$K$405,$AP1370),"#,##0")&amp;"円／申請書"&amp;TEXT($W1370,"#,##0")&amp;"円）／","")&amp;IF(AND(INDEX(職員マスタ!$F$6:$F$405,$AP1370)&lt;&gt;"",$AQ1370&lt;&gt;"",INDEX(職員マスタ!$F$6:$F$405,$AP1370)&lt;$AQ1370),"対象月に子が2歳到達済／","")&amp;IF(AND($H1370&lt;&gt;"",INDEX(職員マスタ!$B$6:$B$405,$AP1370)&lt;&gt;"",SUBSTITUTE(SUBSTITUTE($H1370," ","")," ","")&lt;&gt;SUBSTITUTE(SUBSTITUTE(INDEX(職員マスタ!$B$6:$B$405,$AP1370)," ","")," ","")),"氏名がマスタと相違／","")&amp;IF(AND($Q1370&lt;&gt;"",INDEX(職員マスタ!$E$6:$E$405,$AP1370)&lt;&gt;"",$Q1370&lt;&gt;INDEX(職員マスタ!$E$6:$E$405,$AP1370)),"子の生年月日がマスタと相違／","")&amp;IF(AND($L1370&lt;&gt;"",INDEX(職員マスタ!$G$6:$G$405,$AP1370)&lt;&gt;"",$L1370&lt;&gt;INDEX(職員マスタ!$G$6:$G$405,$AP1370)),"時短開始日がマスタと相違／","")&amp;IF(AND($M1370&lt;&gt;"",INDEX(職員マスタ!$H$6:$H$405,$AP1370)&lt;&gt;"",$M1370&lt;&gt;INDEX(職員マスタ!$H$6:$H$405,$AP1370)),"時短終了日がマスタと相違／","")))&amp;IF(AND($B1370&lt;&gt;"",$E1370=""),"報酬額が未入力／","")&amp;IF(N($U1370)&gt;0,"申請書に入力エラーが残っています／","")&amp;IF(AND($B1370&lt;&gt;"",$AQ1370&lt;&gt;""),IF(COUNTIFS($B$6:$B$3005,$B1370,$C$6:$C$3005,$C1370,$D$6:$D$3005,$D1370)&gt;1,"同じ月の請求が重複しています／",""),"")&amp;IF(AND(N($E1370)&gt;0,$AB1370&lt;&gt;"",$AB1370&lt;&gt;"×",$AE1370=0,$AD1370=""),"計算額が下限以下のため不支給／",""))</f>
        <v/>
      </c>
      <c r="AN1370" s="12" t="n"/>
      <c r="AO1370" s="14">
        <f>IF($AF1370="保留中",COUNTIF($AF$6:$AF1370,"保留中"),"")</f>
        <v/>
      </c>
      <c r="AP1370" s="14">
        <f>IF($AQ1370="","",IF(SUMPRODUCT(MAX((職員マスタ!$A$6:$A$405=$B1370)*(((職員マスタ!$G$6:$G$405="")+(職員マスタ!$G$6:$G$405&lt;=EOMONTH($AQ1370,0)))&gt;0)*(((職員マスタ!$H$6:$H$405="")+(職員マスタ!$H$6:$H$405&gt;=$AQ1370))&gt;0)*(ROW(職員マスタ!$A$6:$A$405)-5)))&gt;0,SUMPRODUCT(MAX((職員マスタ!$A$6:$A$405=$B1370)*(((職員マスタ!$G$6:$G$405="")+(職員マスタ!$G$6:$G$405&lt;=EOMONTH($AQ1370,0)))&gt;0)*(((職員マスタ!$H$6:$H$405="")+(職員マスタ!$H$6:$H$405&gt;=$AQ1370))&gt;0)*(ROW(職員マスタ!$A$6:$A$405)-5))),IFERROR(MATCH($B1370,職員マスタ!$A$6:$A$405,0),"")))</f>
        <v/>
      </c>
      <c r="AQ1370" s="16">
        <f>IF(OR($B1370="",$C1370="",$D1370=""),"",DATE($C1370+2018,$D1370,1))</f>
        <v/>
      </c>
    </row>
    <row r="1371">
      <c r="A1371" s="11" t="n"/>
      <c r="B1371" s="12" t="n"/>
      <c r="C1371" s="12" t="n"/>
      <c r="D1371" s="12" t="n"/>
      <c r="E1371" s="13" t="n"/>
      <c r="F1371" s="12" t="n"/>
      <c r="G1371" s="13" t="n"/>
      <c r="H1371" s="12" t="n"/>
      <c r="I1371" s="12" t="n"/>
      <c r="J1371" s="12" t="n"/>
      <c r="K1371" s="12" t="n"/>
      <c r="L1371" s="11" t="n"/>
      <c r="M1371" s="11" t="n"/>
      <c r="N1371" s="11" t="n"/>
      <c r="O1371" s="11" t="n"/>
      <c r="P1371" s="12" t="n"/>
      <c r="Q1371" s="11" t="n"/>
      <c r="R1371" s="12" t="n"/>
      <c r="S1371" s="11" t="n"/>
      <c r="T1371" s="12" t="n"/>
      <c r="U1371" s="12" t="n"/>
      <c r="V1371" s="12" t="n"/>
      <c r="W1371" s="13" t="n"/>
      <c r="X1371" s="14">
        <f>IF($AP1371="",IF($B1371="","",$H1371),IF(INDEX(職員マスタ!$B$6:$B$405,$AP1371)="",$H1371,INDEX(職員マスタ!$B$6:$B$405,$AP1371)))</f>
        <v/>
      </c>
      <c r="Y1371" s="14">
        <f>IF($AP1371="",IF($B1371="","",$R1371),IF(INDEX(職員マスタ!$C$6:$C$405,$AP1371)="",$R1371,INDEX(職員マスタ!$C$6:$C$405,$AP1371)))</f>
        <v/>
      </c>
      <c r="Z1371" s="14">
        <f>IF($AQ1371="","","R"&amp;$C1371&amp;"."&amp;$D1371)</f>
        <v/>
      </c>
      <c r="AA1371" s="15">
        <f>IF(IF($AP1371="",FALSE,INDEX(職員マスタ!$K$6:$K$405,$AP1371)&lt;&gt;""),INDEX(職員マスタ!$K$6:$K$405,$AP1371),IF(N($W1371)&gt;0,$W1371,""))</f>
        <v/>
      </c>
      <c r="AB1371" s="14">
        <f>IF(OR($E1371="",$AA1371=""),"",IF($E1371&gt;=$AA1371,"×",IF($E1371&gt;=$AA1371*設定!$C$5,"△","○")))</f>
        <v/>
      </c>
      <c r="AC1371" s="15">
        <f>IF($AB1371="","",IF($AB1371="×",0,IF($AB1371="○",ROUNDDOWN($E1371*設定!$C$4,0),ROUNDDOWN($E1371*ROUND((9*$AA1371-9*$E1371)/(10*$E1371),4),0))))</f>
        <v/>
      </c>
      <c r="AD1371" s="13" t="n"/>
      <c r="AE1371" s="15">
        <f>IF($B1371="","",IF($AD1371&lt;&gt;"",$AD1371,IF($AC1371="","",IF($AC1371&lt;=設定!$C$3,0,$AC1371))))</f>
        <v/>
      </c>
      <c r="AF1371" s="14">
        <f>IF($B1371="","",IF(AND($AG1371&lt;&gt;"",$AI1371="",$AL1371=""),"保留中",IF($AL1371&lt;&gt;"",IF(N($AE1371)&gt;0,"支給済","不支給"),IF($AE1371="","要確認",IF($AE1371=0,"不支給","未処理")))))</f>
        <v/>
      </c>
      <c r="AG1371" s="12" t="n"/>
      <c r="AH1371" s="11" t="n"/>
      <c r="AI1371" s="11" t="n"/>
      <c r="AJ1371" s="11" t="n"/>
      <c r="AK1371" s="14">
        <f>IF(AND($AF1371="保留中",$AH1371&lt;&gt;""),TODAY()-$AH1371,"")</f>
        <v/>
      </c>
      <c r="AL1371" s="12" t="n"/>
      <c r="AM1371" s="14">
        <f>IF($B1371="","",IF($AQ1371="","対象年月が未入力／","")&amp;IF($B1371="","",IF($AP1371="","職員マスタに未登録の職員番号／",IF($AA1371="","標準報酬月額が未登録／","")&amp;IF(AND($AQ1371&lt;&gt;"",OR(AND(INDEX(職員マスタ!$G$6:$G$405,$AP1371)&lt;&gt;"",INDEX(職員マスタ!$G$6:$G$405,$AP1371)&gt;EOMONTH($AQ1371,0)),AND(INDEX(職員マスタ!$H$6:$H$405,$AP1371)&lt;&gt;"",INDEX(職員マスタ!$H$6:$H$405,$AP1371)&lt;$AQ1371))),"対象月が時短期間外／","")&amp;IF(AND(INDEX(職員マスタ!$K$6:$K$405,$AP1371)&lt;&gt;"",N($W1371)&gt;0,INDEX(職員マスタ!$K$6:$K$405,$AP1371)&lt;&gt;$W1371),"標準報酬月額が申請書と相違（台帳"&amp;TEXT(INDEX(職員マスタ!$K$6:$K$405,$AP1371),"#,##0")&amp;"円／申請書"&amp;TEXT($W1371,"#,##0")&amp;"円）／","")&amp;IF(AND(INDEX(職員マスタ!$F$6:$F$405,$AP1371)&lt;&gt;"",$AQ1371&lt;&gt;"",INDEX(職員マスタ!$F$6:$F$405,$AP1371)&lt;$AQ1371),"対象月に子が2歳到達済／","")&amp;IF(AND($H1371&lt;&gt;"",INDEX(職員マスタ!$B$6:$B$405,$AP1371)&lt;&gt;"",SUBSTITUTE(SUBSTITUTE($H1371," ","")," ","")&lt;&gt;SUBSTITUTE(SUBSTITUTE(INDEX(職員マスタ!$B$6:$B$405,$AP1371)," ","")," ","")),"氏名がマスタと相違／","")&amp;IF(AND($Q1371&lt;&gt;"",INDEX(職員マスタ!$E$6:$E$405,$AP1371)&lt;&gt;"",$Q1371&lt;&gt;INDEX(職員マスタ!$E$6:$E$405,$AP1371)),"子の生年月日がマスタと相違／","")&amp;IF(AND($L1371&lt;&gt;"",INDEX(職員マスタ!$G$6:$G$405,$AP1371)&lt;&gt;"",$L1371&lt;&gt;INDEX(職員マスタ!$G$6:$G$405,$AP1371)),"時短開始日がマスタと相違／","")&amp;IF(AND($M1371&lt;&gt;"",INDEX(職員マスタ!$H$6:$H$405,$AP1371)&lt;&gt;"",$M1371&lt;&gt;INDEX(職員マスタ!$H$6:$H$405,$AP1371)),"時短終了日がマスタと相違／","")))&amp;IF(AND($B1371&lt;&gt;"",$E1371=""),"報酬額が未入力／","")&amp;IF(N($U1371)&gt;0,"申請書に入力エラーが残っています／","")&amp;IF(AND($B1371&lt;&gt;"",$AQ1371&lt;&gt;""),IF(COUNTIFS($B$6:$B$3005,$B1371,$C$6:$C$3005,$C1371,$D$6:$D$3005,$D1371)&gt;1,"同じ月の請求が重複しています／",""),"")&amp;IF(AND(N($E1371)&gt;0,$AB1371&lt;&gt;"",$AB1371&lt;&gt;"×",$AE1371=0,$AD1371=""),"計算額が下限以下のため不支給／",""))</f>
        <v/>
      </c>
      <c r="AN1371" s="12" t="n"/>
      <c r="AO1371" s="14">
        <f>IF($AF1371="保留中",COUNTIF($AF$6:$AF1371,"保留中"),"")</f>
        <v/>
      </c>
      <c r="AP1371" s="14">
        <f>IF($AQ1371="","",IF(SUMPRODUCT(MAX((職員マスタ!$A$6:$A$405=$B1371)*(((職員マスタ!$G$6:$G$405="")+(職員マスタ!$G$6:$G$405&lt;=EOMONTH($AQ1371,0)))&gt;0)*(((職員マスタ!$H$6:$H$405="")+(職員マスタ!$H$6:$H$405&gt;=$AQ1371))&gt;0)*(ROW(職員マスタ!$A$6:$A$405)-5)))&gt;0,SUMPRODUCT(MAX((職員マスタ!$A$6:$A$405=$B1371)*(((職員マスタ!$G$6:$G$405="")+(職員マスタ!$G$6:$G$405&lt;=EOMONTH($AQ1371,0)))&gt;0)*(((職員マスタ!$H$6:$H$405="")+(職員マスタ!$H$6:$H$405&gt;=$AQ1371))&gt;0)*(ROW(職員マスタ!$A$6:$A$405)-5))),IFERROR(MATCH($B1371,職員マスタ!$A$6:$A$405,0),"")))</f>
        <v/>
      </c>
      <c r="AQ1371" s="16">
        <f>IF(OR($B1371="",$C1371="",$D1371=""),"",DATE($C1371+2018,$D1371,1))</f>
        <v/>
      </c>
    </row>
    <row r="1372">
      <c r="A1372" s="11" t="n"/>
      <c r="B1372" s="12" t="n"/>
      <c r="C1372" s="12" t="n"/>
      <c r="D1372" s="12" t="n"/>
      <c r="E1372" s="13" t="n"/>
      <c r="F1372" s="12" t="n"/>
      <c r="G1372" s="13" t="n"/>
      <c r="H1372" s="12" t="n"/>
      <c r="I1372" s="12" t="n"/>
      <c r="J1372" s="12" t="n"/>
      <c r="K1372" s="12" t="n"/>
      <c r="L1372" s="11" t="n"/>
      <c r="M1372" s="11" t="n"/>
      <c r="N1372" s="11" t="n"/>
      <c r="O1372" s="11" t="n"/>
      <c r="P1372" s="12" t="n"/>
      <c r="Q1372" s="11" t="n"/>
      <c r="R1372" s="12" t="n"/>
      <c r="S1372" s="11" t="n"/>
      <c r="T1372" s="12" t="n"/>
      <c r="U1372" s="12" t="n"/>
      <c r="V1372" s="12" t="n"/>
      <c r="W1372" s="13" t="n"/>
      <c r="X1372" s="14">
        <f>IF($AP1372="",IF($B1372="","",$H1372),IF(INDEX(職員マスタ!$B$6:$B$405,$AP1372)="",$H1372,INDEX(職員マスタ!$B$6:$B$405,$AP1372)))</f>
        <v/>
      </c>
      <c r="Y1372" s="14">
        <f>IF($AP1372="",IF($B1372="","",$R1372),IF(INDEX(職員マスタ!$C$6:$C$405,$AP1372)="",$R1372,INDEX(職員マスタ!$C$6:$C$405,$AP1372)))</f>
        <v/>
      </c>
      <c r="Z1372" s="14">
        <f>IF($AQ1372="","","R"&amp;$C1372&amp;"."&amp;$D1372)</f>
        <v/>
      </c>
      <c r="AA1372" s="15">
        <f>IF(IF($AP1372="",FALSE,INDEX(職員マスタ!$K$6:$K$405,$AP1372)&lt;&gt;""),INDEX(職員マスタ!$K$6:$K$405,$AP1372),IF(N($W1372)&gt;0,$W1372,""))</f>
        <v/>
      </c>
      <c r="AB1372" s="14">
        <f>IF(OR($E1372="",$AA1372=""),"",IF($E1372&gt;=$AA1372,"×",IF($E1372&gt;=$AA1372*設定!$C$5,"△","○")))</f>
        <v/>
      </c>
      <c r="AC1372" s="15">
        <f>IF($AB1372="","",IF($AB1372="×",0,IF($AB1372="○",ROUNDDOWN($E1372*設定!$C$4,0),ROUNDDOWN($E1372*ROUND((9*$AA1372-9*$E1372)/(10*$E1372),4),0))))</f>
        <v/>
      </c>
      <c r="AD1372" s="13" t="n"/>
      <c r="AE1372" s="15">
        <f>IF($B1372="","",IF($AD1372&lt;&gt;"",$AD1372,IF($AC1372="","",IF($AC1372&lt;=設定!$C$3,0,$AC1372))))</f>
        <v/>
      </c>
      <c r="AF1372" s="14">
        <f>IF($B1372="","",IF(AND($AG1372&lt;&gt;"",$AI1372="",$AL1372=""),"保留中",IF($AL1372&lt;&gt;"",IF(N($AE1372)&gt;0,"支給済","不支給"),IF($AE1372="","要確認",IF($AE1372=0,"不支給","未処理")))))</f>
        <v/>
      </c>
      <c r="AG1372" s="12" t="n"/>
      <c r="AH1372" s="11" t="n"/>
      <c r="AI1372" s="11" t="n"/>
      <c r="AJ1372" s="11" t="n"/>
      <c r="AK1372" s="14">
        <f>IF(AND($AF1372="保留中",$AH1372&lt;&gt;""),TODAY()-$AH1372,"")</f>
        <v/>
      </c>
      <c r="AL1372" s="12" t="n"/>
      <c r="AM1372" s="14">
        <f>IF($B1372="","",IF($AQ1372="","対象年月が未入力／","")&amp;IF($B1372="","",IF($AP1372="","職員マスタに未登録の職員番号／",IF($AA1372="","標準報酬月額が未登録／","")&amp;IF(AND($AQ1372&lt;&gt;"",OR(AND(INDEX(職員マスタ!$G$6:$G$405,$AP1372)&lt;&gt;"",INDEX(職員マスタ!$G$6:$G$405,$AP1372)&gt;EOMONTH($AQ1372,0)),AND(INDEX(職員マスタ!$H$6:$H$405,$AP1372)&lt;&gt;"",INDEX(職員マスタ!$H$6:$H$405,$AP1372)&lt;$AQ1372))),"対象月が時短期間外／","")&amp;IF(AND(INDEX(職員マスタ!$K$6:$K$405,$AP1372)&lt;&gt;"",N($W1372)&gt;0,INDEX(職員マスタ!$K$6:$K$405,$AP1372)&lt;&gt;$W1372),"標準報酬月額が申請書と相違（台帳"&amp;TEXT(INDEX(職員マスタ!$K$6:$K$405,$AP1372),"#,##0")&amp;"円／申請書"&amp;TEXT($W1372,"#,##0")&amp;"円）／","")&amp;IF(AND(INDEX(職員マスタ!$F$6:$F$405,$AP1372)&lt;&gt;"",$AQ1372&lt;&gt;"",INDEX(職員マスタ!$F$6:$F$405,$AP1372)&lt;$AQ1372),"対象月に子が2歳到達済／","")&amp;IF(AND($H1372&lt;&gt;"",INDEX(職員マスタ!$B$6:$B$405,$AP1372)&lt;&gt;"",SUBSTITUTE(SUBSTITUTE($H1372," ","")," ","")&lt;&gt;SUBSTITUTE(SUBSTITUTE(INDEX(職員マスタ!$B$6:$B$405,$AP1372)," ","")," ","")),"氏名がマスタと相違／","")&amp;IF(AND($Q1372&lt;&gt;"",INDEX(職員マスタ!$E$6:$E$405,$AP1372)&lt;&gt;"",$Q1372&lt;&gt;INDEX(職員マスタ!$E$6:$E$405,$AP1372)),"子の生年月日がマスタと相違／","")&amp;IF(AND($L1372&lt;&gt;"",INDEX(職員マスタ!$G$6:$G$405,$AP1372)&lt;&gt;"",$L1372&lt;&gt;INDEX(職員マスタ!$G$6:$G$405,$AP1372)),"時短開始日がマスタと相違／","")&amp;IF(AND($M1372&lt;&gt;"",INDEX(職員マスタ!$H$6:$H$405,$AP1372)&lt;&gt;"",$M1372&lt;&gt;INDEX(職員マスタ!$H$6:$H$405,$AP1372)),"時短終了日がマスタと相違／","")))&amp;IF(AND($B1372&lt;&gt;"",$E1372=""),"報酬額が未入力／","")&amp;IF(N($U1372)&gt;0,"申請書に入力エラーが残っています／","")&amp;IF(AND($B1372&lt;&gt;"",$AQ1372&lt;&gt;""),IF(COUNTIFS($B$6:$B$3005,$B1372,$C$6:$C$3005,$C1372,$D$6:$D$3005,$D1372)&gt;1,"同じ月の請求が重複しています／",""),"")&amp;IF(AND(N($E1372)&gt;0,$AB1372&lt;&gt;"",$AB1372&lt;&gt;"×",$AE1372=0,$AD1372=""),"計算額が下限以下のため不支給／",""))</f>
        <v/>
      </c>
      <c r="AN1372" s="12" t="n"/>
      <c r="AO1372" s="14">
        <f>IF($AF1372="保留中",COUNTIF($AF$6:$AF1372,"保留中"),"")</f>
        <v/>
      </c>
      <c r="AP1372" s="14">
        <f>IF($AQ1372="","",IF(SUMPRODUCT(MAX((職員マスタ!$A$6:$A$405=$B1372)*(((職員マスタ!$G$6:$G$405="")+(職員マスタ!$G$6:$G$405&lt;=EOMONTH($AQ1372,0)))&gt;0)*(((職員マスタ!$H$6:$H$405="")+(職員マスタ!$H$6:$H$405&gt;=$AQ1372))&gt;0)*(ROW(職員マスタ!$A$6:$A$405)-5)))&gt;0,SUMPRODUCT(MAX((職員マスタ!$A$6:$A$405=$B1372)*(((職員マスタ!$G$6:$G$405="")+(職員マスタ!$G$6:$G$405&lt;=EOMONTH($AQ1372,0)))&gt;0)*(((職員マスタ!$H$6:$H$405="")+(職員マスタ!$H$6:$H$405&gt;=$AQ1372))&gt;0)*(ROW(職員マスタ!$A$6:$A$405)-5))),IFERROR(MATCH($B1372,職員マスタ!$A$6:$A$405,0),"")))</f>
        <v/>
      </c>
      <c r="AQ1372" s="16">
        <f>IF(OR($B1372="",$C1372="",$D1372=""),"",DATE($C1372+2018,$D1372,1))</f>
        <v/>
      </c>
    </row>
    <row r="1373">
      <c r="A1373" s="11" t="n"/>
      <c r="B1373" s="12" t="n"/>
      <c r="C1373" s="12" t="n"/>
      <c r="D1373" s="12" t="n"/>
      <c r="E1373" s="13" t="n"/>
      <c r="F1373" s="12" t="n"/>
      <c r="G1373" s="13" t="n"/>
      <c r="H1373" s="12" t="n"/>
      <c r="I1373" s="12" t="n"/>
      <c r="J1373" s="12" t="n"/>
      <c r="K1373" s="12" t="n"/>
      <c r="L1373" s="11" t="n"/>
      <c r="M1373" s="11" t="n"/>
      <c r="N1373" s="11" t="n"/>
      <c r="O1373" s="11" t="n"/>
      <c r="P1373" s="12" t="n"/>
      <c r="Q1373" s="11" t="n"/>
      <c r="R1373" s="12" t="n"/>
      <c r="S1373" s="11" t="n"/>
      <c r="T1373" s="12" t="n"/>
      <c r="U1373" s="12" t="n"/>
      <c r="V1373" s="12" t="n"/>
      <c r="W1373" s="13" t="n"/>
      <c r="X1373" s="14">
        <f>IF($AP1373="",IF($B1373="","",$H1373),IF(INDEX(職員マスタ!$B$6:$B$405,$AP1373)="",$H1373,INDEX(職員マスタ!$B$6:$B$405,$AP1373)))</f>
        <v/>
      </c>
      <c r="Y1373" s="14">
        <f>IF($AP1373="",IF($B1373="","",$R1373),IF(INDEX(職員マスタ!$C$6:$C$405,$AP1373)="",$R1373,INDEX(職員マスタ!$C$6:$C$405,$AP1373)))</f>
        <v/>
      </c>
      <c r="Z1373" s="14">
        <f>IF($AQ1373="","","R"&amp;$C1373&amp;"."&amp;$D1373)</f>
        <v/>
      </c>
      <c r="AA1373" s="15">
        <f>IF(IF($AP1373="",FALSE,INDEX(職員マスタ!$K$6:$K$405,$AP1373)&lt;&gt;""),INDEX(職員マスタ!$K$6:$K$405,$AP1373),IF(N($W1373)&gt;0,$W1373,""))</f>
        <v/>
      </c>
      <c r="AB1373" s="14">
        <f>IF(OR($E1373="",$AA1373=""),"",IF($E1373&gt;=$AA1373,"×",IF($E1373&gt;=$AA1373*設定!$C$5,"△","○")))</f>
        <v/>
      </c>
      <c r="AC1373" s="15">
        <f>IF($AB1373="","",IF($AB1373="×",0,IF($AB1373="○",ROUNDDOWN($E1373*設定!$C$4,0),ROUNDDOWN($E1373*ROUND((9*$AA1373-9*$E1373)/(10*$E1373),4),0))))</f>
        <v/>
      </c>
      <c r="AD1373" s="13" t="n"/>
      <c r="AE1373" s="15">
        <f>IF($B1373="","",IF($AD1373&lt;&gt;"",$AD1373,IF($AC1373="","",IF($AC1373&lt;=設定!$C$3,0,$AC1373))))</f>
        <v/>
      </c>
      <c r="AF1373" s="14">
        <f>IF($B1373="","",IF(AND($AG1373&lt;&gt;"",$AI1373="",$AL1373=""),"保留中",IF($AL1373&lt;&gt;"",IF(N($AE1373)&gt;0,"支給済","不支給"),IF($AE1373="","要確認",IF($AE1373=0,"不支給","未処理")))))</f>
        <v/>
      </c>
      <c r="AG1373" s="12" t="n"/>
      <c r="AH1373" s="11" t="n"/>
      <c r="AI1373" s="11" t="n"/>
      <c r="AJ1373" s="11" t="n"/>
      <c r="AK1373" s="14">
        <f>IF(AND($AF1373="保留中",$AH1373&lt;&gt;""),TODAY()-$AH1373,"")</f>
        <v/>
      </c>
      <c r="AL1373" s="12" t="n"/>
      <c r="AM1373" s="14">
        <f>IF($B1373="","",IF($AQ1373="","対象年月が未入力／","")&amp;IF($B1373="","",IF($AP1373="","職員マスタに未登録の職員番号／",IF($AA1373="","標準報酬月額が未登録／","")&amp;IF(AND($AQ1373&lt;&gt;"",OR(AND(INDEX(職員マスタ!$G$6:$G$405,$AP1373)&lt;&gt;"",INDEX(職員マスタ!$G$6:$G$405,$AP1373)&gt;EOMONTH($AQ1373,0)),AND(INDEX(職員マスタ!$H$6:$H$405,$AP1373)&lt;&gt;"",INDEX(職員マスタ!$H$6:$H$405,$AP1373)&lt;$AQ1373))),"対象月が時短期間外／","")&amp;IF(AND(INDEX(職員マスタ!$K$6:$K$405,$AP1373)&lt;&gt;"",N($W1373)&gt;0,INDEX(職員マスタ!$K$6:$K$405,$AP1373)&lt;&gt;$W1373),"標準報酬月額が申請書と相違（台帳"&amp;TEXT(INDEX(職員マスタ!$K$6:$K$405,$AP1373),"#,##0")&amp;"円／申請書"&amp;TEXT($W1373,"#,##0")&amp;"円）／","")&amp;IF(AND(INDEX(職員マスタ!$F$6:$F$405,$AP1373)&lt;&gt;"",$AQ1373&lt;&gt;"",INDEX(職員マスタ!$F$6:$F$405,$AP1373)&lt;$AQ1373),"対象月に子が2歳到達済／","")&amp;IF(AND($H1373&lt;&gt;"",INDEX(職員マスタ!$B$6:$B$405,$AP1373)&lt;&gt;"",SUBSTITUTE(SUBSTITUTE($H1373," ","")," ","")&lt;&gt;SUBSTITUTE(SUBSTITUTE(INDEX(職員マスタ!$B$6:$B$405,$AP1373)," ","")," ","")),"氏名がマスタと相違／","")&amp;IF(AND($Q1373&lt;&gt;"",INDEX(職員マスタ!$E$6:$E$405,$AP1373)&lt;&gt;"",$Q1373&lt;&gt;INDEX(職員マスタ!$E$6:$E$405,$AP1373)),"子の生年月日がマスタと相違／","")&amp;IF(AND($L1373&lt;&gt;"",INDEX(職員マスタ!$G$6:$G$405,$AP1373)&lt;&gt;"",$L1373&lt;&gt;INDEX(職員マスタ!$G$6:$G$405,$AP1373)),"時短開始日がマスタと相違／","")&amp;IF(AND($M1373&lt;&gt;"",INDEX(職員マスタ!$H$6:$H$405,$AP1373)&lt;&gt;"",$M1373&lt;&gt;INDEX(職員マスタ!$H$6:$H$405,$AP1373)),"時短終了日がマスタと相違／","")))&amp;IF(AND($B1373&lt;&gt;"",$E1373=""),"報酬額が未入力／","")&amp;IF(N($U1373)&gt;0,"申請書に入力エラーが残っています／","")&amp;IF(AND($B1373&lt;&gt;"",$AQ1373&lt;&gt;""),IF(COUNTIFS($B$6:$B$3005,$B1373,$C$6:$C$3005,$C1373,$D$6:$D$3005,$D1373)&gt;1,"同じ月の請求が重複しています／",""),"")&amp;IF(AND(N($E1373)&gt;0,$AB1373&lt;&gt;"",$AB1373&lt;&gt;"×",$AE1373=0,$AD1373=""),"計算額が下限以下のため不支給／",""))</f>
        <v/>
      </c>
      <c r="AN1373" s="12" t="n"/>
      <c r="AO1373" s="14">
        <f>IF($AF1373="保留中",COUNTIF($AF$6:$AF1373,"保留中"),"")</f>
        <v/>
      </c>
      <c r="AP1373" s="14">
        <f>IF($AQ1373="","",IF(SUMPRODUCT(MAX((職員マスタ!$A$6:$A$405=$B1373)*(((職員マスタ!$G$6:$G$405="")+(職員マスタ!$G$6:$G$405&lt;=EOMONTH($AQ1373,0)))&gt;0)*(((職員マスタ!$H$6:$H$405="")+(職員マスタ!$H$6:$H$405&gt;=$AQ1373))&gt;0)*(ROW(職員マスタ!$A$6:$A$405)-5)))&gt;0,SUMPRODUCT(MAX((職員マスタ!$A$6:$A$405=$B1373)*(((職員マスタ!$G$6:$G$405="")+(職員マスタ!$G$6:$G$405&lt;=EOMONTH($AQ1373,0)))&gt;0)*(((職員マスタ!$H$6:$H$405="")+(職員マスタ!$H$6:$H$405&gt;=$AQ1373))&gt;0)*(ROW(職員マスタ!$A$6:$A$405)-5))),IFERROR(MATCH($B1373,職員マスタ!$A$6:$A$405,0),"")))</f>
        <v/>
      </c>
      <c r="AQ1373" s="16">
        <f>IF(OR($B1373="",$C1373="",$D1373=""),"",DATE($C1373+2018,$D1373,1))</f>
        <v/>
      </c>
    </row>
    <row r="1374">
      <c r="A1374" s="11" t="n"/>
      <c r="B1374" s="12" t="n"/>
      <c r="C1374" s="12" t="n"/>
      <c r="D1374" s="12" t="n"/>
      <c r="E1374" s="13" t="n"/>
      <c r="F1374" s="12" t="n"/>
      <c r="G1374" s="13" t="n"/>
      <c r="H1374" s="12" t="n"/>
      <c r="I1374" s="12" t="n"/>
      <c r="J1374" s="12" t="n"/>
      <c r="K1374" s="12" t="n"/>
      <c r="L1374" s="11" t="n"/>
      <c r="M1374" s="11" t="n"/>
      <c r="N1374" s="11" t="n"/>
      <c r="O1374" s="11" t="n"/>
      <c r="P1374" s="12" t="n"/>
      <c r="Q1374" s="11" t="n"/>
      <c r="R1374" s="12" t="n"/>
      <c r="S1374" s="11" t="n"/>
      <c r="T1374" s="12" t="n"/>
      <c r="U1374" s="12" t="n"/>
      <c r="V1374" s="12" t="n"/>
      <c r="W1374" s="13" t="n"/>
      <c r="X1374" s="14">
        <f>IF($AP1374="",IF($B1374="","",$H1374),IF(INDEX(職員マスタ!$B$6:$B$405,$AP1374)="",$H1374,INDEX(職員マスタ!$B$6:$B$405,$AP1374)))</f>
        <v/>
      </c>
      <c r="Y1374" s="14">
        <f>IF($AP1374="",IF($B1374="","",$R1374),IF(INDEX(職員マスタ!$C$6:$C$405,$AP1374)="",$R1374,INDEX(職員マスタ!$C$6:$C$405,$AP1374)))</f>
        <v/>
      </c>
      <c r="Z1374" s="14">
        <f>IF($AQ1374="","","R"&amp;$C1374&amp;"."&amp;$D1374)</f>
        <v/>
      </c>
      <c r="AA1374" s="15">
        <f>IF(IF($AP1374="",FALSE,INDEX(職員マスタ!$K$6:$K$405,$AP1374)&lt;&gt;""),INDEX(職員マスタ!$K$6:$K$405,$AP1374),IF(N($W1374)&gt;0,$W1374,""))</f>
        <v/>
      </c>
      <c r="AB1374" s="14">
        <f>IF(OR($E1374="",$AA1374=""),"",IF($E1374&gt;=$AA1374,"×",IF($E1374&gt;=$AA1374*設定!$C$5,"△","○")))</f>
        <v/>
      </c>
      <c r="AC1374" s="15">
        <f>IF($AB1374="","",IF($AB1374="×",0,IF($AB1374="○",ROUNDDOWN($E1374*設定!$C$4,0),ROUNDDOWN($E1374*ROUND((9*$AA1374-9*$E1374)/(10*$E1374),4),0))))</f>
        <v/>
      </c>
      <c r="AD1374" s="13" t="n"/>
      <c r="AE1374" s="15">
        <f>IF($B1374="","",IF($AD1374&lt;&gt;"",$AD1374,IF($AC1374="","",IF($AC1374&lt;=設定!$C$3,0,$AC1374))))</f>
        <v/>
      </c>
      <c r="AF1374" s="14">
        <f>IF($B1374="","",IF(AND($AG1374&lt;&gt;"",$AI1374="",$AL1374=""),"保留中",IF($AL1374&lt;&gt;"",IF(N($AE1374)&gt;0,"支給済","不支給"),IF($AE1374="","要確認",IF($AE1374=0,"不支給","未処理")))))</f>
        <v/>
      </c>
      <c r="AG1374" s="12" t="n"/>
      <c r="AH1374" s="11" t="n"/>
      <c r="AI1374" s="11" t="n"/>
      <c r="AJ1374" s="11" t="n"/>
      <c r="AK1374" s="14">
        <f>IF(AND($AF1374="保留中",$AH1374&lt;&gt;""),TODAY()-$AH1374,"")</f>
        <v/>
      </c>
      <c r="AL1374" s="12" t="n"/>
      <c r="AM1374" s="14">
        <f>IF($B1374="","",IF($AQ1374="","対象年月が未入力／","")&amp;IF($B1374="","",IF($AP1374="","職員マスタに未登録の職員番号／",IF($AA1374="","標準報酬月額が未登録／","")&amp;IF(AND($AQ1374&lt;&gt;"",OR(AND(INDEX(職員マスタ!$G$6:$G$405,$AP1374)&lt;&gt;"",INDEX(職員マスタ!$G$6:$G$405,$AP1374)&gt;EOMONTH($AQ1374,0)),AND(INDEX(職員マスタ!$H$6:$H$405,$AP1374)&lt;&gt;"",INDEX(職員マスタ!$H$6:$H$405,$AP1374)&lt;$AQ1374))),"対象月が時短期間外／","")&amp;IF(AND(INDEX(職員マスタ!$K$6:$K$405,$AP1374)&lt;&gt;"",N($W1374)&gt;0,INDEX(職員マスタ!$K$6:$K$405,$AP1374)&lt;&gt;$W1374),"標準報酬月額が申請書と相違（台帳"&amp;TEXT(INDEX(職員マスタ!$K$6:$K$405,$AP1374),"#,##0")&amp;"円／申請書"&amp;TEXT($W1374,"#,##0")&amp;"円）／","")&amp;IF(AND(INDEX(職員マスタ!$F$6:$F$405,$AP1374)&lt;&gt;"",$AQ1374&lt;&gt;"",INDEX(職員マスタ!$F$6:$F$405,$AP1374)&lt;$AQ1374),"対象月に子が2歳到達済／","")&amp;IF(AND($H1374&lt;&gt;"",INDEX(職員マスタ!$B$6:$B$405,$AP1374)&lt;&gt;"",SUBSTITUTE(SUBSTITUTE($H1374," ","")," ","")&lt;&gt;SUBSTITUTE(SUBSTITUTE(INDEX(職員マスタ!$B$6:$B$405,$AP1374)," ","")," ","")),"氏名がマスタと相違／","")&amp;IF(AND($Q1374&lt;&gt;"",INDEX(職員マスタ!$E$6:$E$405,$AP1374)&lt;&gt;"",$Q1374&lt;&gt;INDEX(職員マスタ!$E$6:$E$405,$AP1374)),"子の生年月日がマスタと相違／","")&amp;IF(AND($L1374&lt;&gt;"",INDEX(職員マスタ!$G$6:$G$405,$AP1374)&lt;&gt;"",$L1374&lt;&gt;INDEX(職員マスタ!$G$6:$G$405,$AP1374)),"時短開始日がマスタと相違／","")&amp;IF(AND($M1374&lt;&gt;"",INDEX(職員マスタ!$H$6:$H$405,$AP1374)&lt;&gt;"",$M1374&lt;&gt;INDEX(職員マスタ!$H$6:$H$405,$AP1374)),"時短終了日がマスタと相違／","")))&amp;IF(AND($B1374&lt;&gt;"",$E1374=""),"報酬額が未入力／","")&amp;IF(N($U1374)&gt;0,"申請書に入力エラーが残っています／","")&amp;IF(AND($B1374&lt;&gt;"",$AQ1374&lt;&gt;""),IF(COUNTIFS($B$6:$B$3005,$B1374,$C$6:$C$3005,$C1374,$D$6:$D$3005,$D1374)&gt;1,"同じ月の請求が重複しています／",""),"")&amp;IF(AND(N($E1374)&gt;0,$AB1374&lt;&gt;"",$AB1374&lt;&gt;"×",$AE1374=0,$AD1374=""),"計算額が下限以下のため不支給／",""))</f>
        <v/>
      </c>
      <c r="AN1374" s="12" t="n"/>
      <c r="AO1374" s="14">
        <f>IF($AF1374="保留中",COUNTIF($AF$6:$AF1374,"保留中"),"")</f>
        <v/>
      </c>
      <c r="AP1374" s="14">
        <f>IF($AQ1374="","",IF(SUMPRODUCT(MAX((職員マスタ!$A$6:$A$405=$B1374)*(((職員マスタ!$G$6:$G$405="")+(職員マスタ!$G$6:$G$405&lt;=EOMONTH($AQ1374,0)))&gt;0)*(((職員マスタ!$H$6:$H$405="")+(職員マスタ!$H$6:$H$405&gt;=$AQ1374))&gt;0)*(ROW(職員マスタ!$A$6:$A$405)-5)))&gt;0,SUMPRODUCT(MAX((職員マスタ!$A$6:$A$405=$B1374)*(((職員マスタ!$G$6:$G$405="")+(職員マスタ!$G$6:$G$405&lt;=EOMONTH($AQ1374,0)))&gt;0)*(((職員マスタ!$H$6:$H$405="")+(職員マスタ!$H$6:$H$405&gt;=$AQ1374))&gt;0)*(ROW(職員マスタ!$A$6:$A$405)-5))),IFERROR(MATCH($B1374,職員マスタ!$A$6:$A$405,0),"")))</f>
        <v/>
      </c>
      <c r="AQ1374" s="16">
        <f>IF(OR($B1374="",$C1374="",$D1374=""),"",DATE($C1374+2018,$D1374,1))</f>
        <v/>
      </c>
    </row>
    <row r="1375">
      <c r="A1375" s="11" t="n"/>
      <c r="B1375" s="12" t="n"/>
      <c r="C1375" s="12" t="n"/>
      <c r="D1375" s="12" t="n"/>
      <c r="E1375" s="13" t="n"/>
      <c r="F1375" s="12" t="n"/>
      <c r="G1375" s="13" t="n"/>
      <c r="H1375" s="12" t="n"/>
      <c r="I1375" s="12" t="n"/>
      <c r="J1375" s="12" t="n"/>
      <c r="K1375" s="12" t="n"/>
      <c r="L1375" s="11" t="n"/>
      <c r="M1375" s="11" t="n"/>
      <c r="N1375" s="11" t="n"/>
      <c r="O1375" s="11" t="n"/>
      <c r="P1375" s="12" t="n"/>
      <c r="Q1375" s="11" t="n"/>
      <c r="R1375" s="12" t="n"/>
      <c r="S1375" s="11" t="n"/>
      <c r="T1375" s="12" t="n"/>
      <c r="U1375" s="12" t="n"/>
      <c r="V1375" s="12" t="n"/>
      <c r="W1375" s="13" t="n"/>
      <c r="X1375" s="14">
        <f>IF($AP1375="",IF($B1375="","",$H1375),IF(INDEX(職員マスタ!$B$6:$B$405,$AP1375)="",$H1375,INDEX(職員マスタ!$B$6:$B$405,$AP1375)))</f>
        <v/>
      </c>
      <c r="Y1375" s="14">
        <f>IF($AP1375="",IF($B1375="","",$R1375),IF(INDEX(職員マスタ!$C$6:$C$405,$AP1375)="",$R1375,INDEX(職員マスタ!$C$6:$C$405,$AP1375)))</f>
        <v/>
      </c>
      <c r="Z1375" s="14">
        <f>IF($AQ1375="","","R"&amp;$C1375&amp;"."&amp;$D1375)</f>
        <v/>
      </c>
      <c r="AA1375" s="15">
        <f>IF(IF($AP1375="",FALSE,INDEX(職員マスタ!$K$6:$K$405,$AP1375)&lt;&gt;""),INDEX(職員マスタ!$K$6:$K$405,$AP1375),IF(N($W1375)&gt;0,$W1375,""))</f>
        <v/>
      </c>
      <c r="AB1375" s="14">
        <f>IF(OR($E1375="",$AA1375=""),"",IF($E1375&gt;=$AA1375,"×",IF($E1375&gt;=$AA1375*設定!$C$5,"△","○")))</f>
        <v/>
      </c>
      <c r="AC1375" s="15">
        <f>IF($AB1375="","",IF($AB1375="×",0,IF($AB1375="○",ROUNDDOWN($E1375*設定!$C$4,0),ROUNDDOWN($E1375*ROUND((9*$AA1375-9*$E1375)/(10*$E1375),4),0))))</f>
        <v/>
      </c>
      <c r="AD1375" s="13" t="n"/>
      <c r="AE1375" s="15">
        <f>IF($B1375="","",IF($AD1375&lt;&gt;"",$AD1375,IF($AC1375="","",IF($AC1375&lt;=設定!$C$3,0,$AC1375))))</f>
        <v/>
      </c>
      <c r="AF1375" s="14">
        <f>IF($B1375="","",IF(AND($AG1375&lt;&gt;"",$AI1375="",$AL1375=""),"保留中",IF($AL1375&lt;&gt;"",IF(N($AE1375)&gt;0,"支給済","不支給"),IF($AE1375="","要確認",IF($AE1375=0,"不支給","未処理")))))</f>
        <v/>
      </c>
      <c r="AG1375" s="12" t="n"/>
      <c r="AH1375" s="11" t="n"/>
      <c r="AI1375" s="11" t="n"/>
      <c r="AJ1375" s="11" t="n"/>
      <c r="AK1375" s="14">
        <f>IF(AND($AF1375="保留中",$AH1375&lt;&gt;""),TODAY()-$AH1375,"")</f>
        <v/>
      </c>
      <c r="AL1375" s="12" t="n"/>
      <c r="AM1375" s="14">
        <f>IF($B1375="","",IF($AQ1375="","対象年月が未入力／","")&amp;IF($B1375="","",IF($AP1375="","職員マスタに未登録の職員番号／",IF($AA1375="","標準報酬月額が未登録／","")&amp;IF(AND($AQ1375&lt;&gt;"",OR(AND(INDEX(職員マスタ!$G$6:$G$405,$AP1375)&lt;&gt;"",INDEX(職員マスタ!$G$6:$G$405,$AP1375)&gt;EOMONTH($AQ1375,0)),AND(INDEX(職員マスタ!$H$6:$H$405,$AP1375)&lt;&gt;"",INDEX(職員マスタ!$H$6:$H$405,$AP1375)&lt;$AQ1375))),"対象月が時短期間外／","")&amp;IF(AND(INDEX(職員マスタ!$K$6:$K$405,$AP1375)&lt;&gt;"",N($W1375)&gt;0,INDEX(職員マスタ!$K$6:$K$405,$AP1375)&lt;&gt;$W1375),"標準報酬月額が申請書と相違（台帳"&amp;TEXT(INDEX(職員マスタ!$K$6:$K$405,$AP1375),"#,##0")&amp;"円／申請書"&amp;TEXT($W1375,"#,##0")&amp;"円）／","")&amp;IF(AND(INDEX(職員マスタ!$F$6:$F$405,$AP1375)&lt;&gt;"",$AQ1375&lt;&gt;"",INDEX(職員マスタ!$F$6:$F$405,$AP1375)&lt;$AQ1375),"対象月に子が2歳到達済／","")&amp;IF(AND($H1375&lt;&gt;"",INDEX(職員マスタ!$B$6:$B$405,$AP1375)&lt;&gt;"",SUBSTITUTE(SUBSTITUTE($H1375," ","")," ","")&lt;&gt;SUBSTITUTE(SUBSTITUTE(INDEX(職員マスタ!$B$6:$B$405,$AP1375)," ","")," ","")),"氏名がマスタと相違／","")&amp;IF(AND($Q1375&lt;&gt;"",INDEX(職員マスタ!$E$6:$E$405,$AP1375)&lt;&gt;"",$Q1375&lt;&gt;INDEX(職員マスタ!$E$6:$E$405,$AP1375)),"子の生年月日がマスタと相違／","")&amp;IF(AND($L1375&lt;&gt;"",INDEX(職員マスタ!$G$6:$G$405,$AP1375)&lt;&gt;"",$L1375&lt;&gt;INDEX(職員マスタ!$G$6:$G$405,$AP1375)),"時短開始日がマスタと相違／","")&amp;IF(AND($M1375&lt;&gt;"",INDEX(職員マスタ!$H$6:$H$405,$AP1375)&lt;&gt;"",$M1375&lt;&gt;INDEX(職員マスタ!$H$6:$H$405,$AP1375)),"時短終了日がマスタと相違／","")))&amp;IF(AND($B1375&lt;&gt;"",$E1375=""),"報酬額が未入力／","")&amp;IF(N($U1375)&gt;0,"申請書に入力エラーが残っています／","")&amp;IF(AND($B1375&lt;&gt;"",$AQ1375&lt;&gt;""),IF(COUNTIFS($B$6:$B$3005,$B1375,$C$6:$C$3005,$C1375,$D$6:$D$3005,$D1375)&gt;1,"同じ月の請求が重複しています／",""),"")&amp;IF(AND(N($E1375)&gt;0,$AB1375&lt;&gt;"",$AB1375&lt;&gt;"×",$AE1375=0,$AD1375=""),"計算額が下限以下のため不支給／",""))</f>
        <v/>
      </c>
      <c r="AN1375" s="12" t="n"/>
      <c r="AO1375" s="14">
        <f>IF($AF1375="保留中",COUNTIF($AF$6:$AF1375,"保留中"),"")</f>
        <v/>
      </c>
      <c r="AP1375" s="14">
        <f>IF($AQ1375="","",IF(SUMPRODUCT(MAX((職員マスタ!$A$6:$A$405=$B1375)*(((職員マスタ!$G$6:$G$405="")+(職員マスタ!$G$6:$G$405&lt;=EOMONTH($AQ1375,0)))&gt;0)*(((職員マスタ!$H$6:$H$405="")+(職員マスタ!$H$6:$H$405&gt;=$AQ1375))&gt;0)*(ROW(職員マスタ!$A$6:$A$405)-5)))&gt;0,SUMPRODUCT(MAX((職員マスタ!$A$6:$A$405=$B1375)*(((職員マスタ!$G$6:$G$405="")+(職員マスタ!$G$6:$G$405&lt;=EOMONTH($AQ1375,0)))&gt;0)*(((職員マスタ!$H$6:$H$405="")+(職員マスタ!$H$6:$H$405&gt;=$AQ1375))&gt;0)*(ROW(職員マスタ!$A$6:$A$405)-5))),IFERROR(MATCH($B1375,職員マスタ!$A$6:$A$405,0),"")))</f>
        <v/>
      </c>
      <c r="AQ1375" s="16">
        <f>IF(OR($B1375="",$C1375="",$D1375=""),"",DATE($C1375+2018,$D1375,1))</f>
        <v/>
      </c>
    </row>
    <row r="1376">
      <c r="A1376" s="11" t="n"/>
      <c r="B1376" s="12" t="n"/>
      <c r="C1376" s="12" t="n"/>
      <c r="D1376" s="12" t="n"/>
      <c r="E1376" s="13" t="n"/>
      <c r="F1376" s="12" t="n"/>
      <c r="G1376" s="13" t="n"/>
      <c r="H1376" s="12" t="n"/>
      <c r="I1376" s="12" t="n"/>
      <c r="J1376" s="12" t="n"/>
      <c r="K1376" s="12" t="n"/>
      <c r="L1376" s="11" t="n"/>
      <c r="M1376" s="11" t="n"/>
      <c r="N1376" s="11" t="n"/>
      <c r="O1376" s="11" t="n"/>
      <c r="P1376" s="12" t="n"/>
      <c r="Q1376" s="11" t="n"/>
      <c r="R1376" s="12" t="n"/>
      <c r="S1376" s="11" t="n"/>
      <c r="T1376" s="12" t="n"/>
      <c r="U1376" s="12" t="n"/>
      <c r="V1376" s="12" t="n"/>
      <c r="W1376" s="13" t="n"/>
      <c r="X1376" s="14">
        <f>IF($AP1376="",IF($B1376="","",$H1376),IF(INDEX(職員マスタ!$B$6:$B$405,$AP1376)="",$H1376,INDEX(職員マスタ!$B$6:$B$405,$AP1376)))</f>
        <v/>
      </c>
      <c r="Y1376" s="14">
        <f>IF($AP1376="",IF($B1376="","",$R1376),IF(INDEX(職員マスタ!$C$6:$C$405,$AP1376)="",$R1376,INDEX(職員マスタ!$C$6:$C$405,$AP1376)))</f>
        <v/>
      </c>
      <c r="Z1376" s="14">
        <f>IF($AQ1376="","","R"&amp;$C1376&amp;"."&amp;$D1376)</f>
        <v/>
      </c>
      <c r="AA1376" s="15">
        <f>IF(IF($AP1376="",FALSE,INDEX(職員マスタ!$K$6:$K$405,$AP1376)&lt;&gt;""),INDEX(職員マスタ!$K$6:$K$405,$AP1376),IF(N($W1376)&gt;0,$W1376,""))</f>
        <v/>
      </c>
      <c r="AB1376" s="14">
        <f>IF(OR($E1376="",$AA1376=""),"",IF($E1376&gt;=$AA1376,"×",IF($E1376&gt;=$AA1376*設定!$C$5,"△","○")))</f>
        <v/>
      </c>
      <c r="AC1376" s="15">
        <f>IF($AB1376="","",IF($AB1376="×",0,IF($AB1376="○",ROUNDDOWN($E1376*設定!$C$4,0),ROUNDDOWN($E1376*ROUND((9*$AA1376-9*$E1376)/(10*$E1376),4),0))))</f>
        <v/>
      </c>
      <c r="AD1376" s="13" t="n"/>
      <c r="AE1376" s="15">
        <f>IF($B1376="","",IF($AD1376&lt;&gt;"",$AD1376,IF($AC1376="","",IF($AC1376&lt;=設定!$C$3,0,$AC1376))))</f>
        <v/>
      </c>
      <c r="AF1376" s="14">
        <f>IF($B1376="","",IF(AND($AG1376&lt;&gt;"",$AI1376="",$AL1376=""),"保留中",IF($AL1376&lt;&gt;"",IF(N($AE1376)&gt;0,"支給済","不支給"),IF($AE1376="","要確認",IF($AE1376=0,"不支給","未処理")))))</f>
        <v/>
      </c>
      <c r="AG1376" s="12" t="n"/>
      <c r="AH1376" s="11" t="n"/>
      <c r="AI1376" s="11" t="n"/>
      <c r="AJ1376" s="11" t="n"/>
      <c r="AK1376" s="14">
        <f>IF(AND($AF1376="保留中",$AH1376&lt;&gt;""),TODAY()-$AH1376,"")</f>
        <v/>
      </c>
      <c r="AL1376" s="12" t="n"/>
      <c r="AM1376" s="14">
        <f>IF($B1376="","",IF($AQ1376="","対象年月が未入力／","")&amp;IF($B1376="","",IF($AP1376="","職員マスタに未登録の職員番号／",IF($AA1376="","標準報酬月額が未登録／","")&amp;IF(AND($AQ1376&lt;&gt;"",OR(AND(INDEX(職員マスタ!$G$6:$G$405,$AP1376)&lt;&gt;"",INDEX(職員マスタ!$G$6:$G$405,$AP1376)&gt;EOMONTH($AQ1376,0)),AND(INDEX(職員マスタ!$H$6:$H$405,$AP1376)&lt;&gt;"",INDEX(職員マスタ!$H$6:$H$405,$AP1376)&lt;$AQ1376))),"対象月が時短期間外／","")&amp;IF(AND(INDEX(職員マスタ!$K$6:$K$405,$AP1376)&lt;&gt;"",N($W1376)&gt;0,INDEX(職員マスタ!$K$6:$K$405,$AP1376)&lt;&gt;$W1376),"標準報酬月額が申請書と相違（台帳"&amp;TEXT(INDEX(職員マスタ!$K$6:$K$405,$AP1376),"#,##0")&amp;"円／申請書"&amp;TEXT($W1376,"#,##0")&amp;"円）／","")&amp;IF(AND(INDEX(職員マスタ!$F$6:$F$405,$AP1376)&lt;&gt;"",$AQ1376&lt;&gt;"",INDEX(職員マスタ!$F$6:$F$405,$AP1376)&lt;$AQ1376),"対象月に子が2歳到達済／","")&amp;IF(AND($H1376&lt;&gt;"",INDEX(職員マスタ!$B$6:$B$405,$AP1376)&lt;&gt;"",SUBSTITUTE(SUBSTITUTE($H1376," ","")," ","")&lt;&gt;SUBSTITUTE(SUBSTITUTE(INDEX(職員マスタ!$B$6:$B$405,$AP1376)," ","")," ","")),"氏名がマスタと相違／","")&amp;IF(AND($Q1376&lt;&gt;"",INDEX(職員マスタ!$E$6:$E$405,$AP1376)&lt;&gt;"",$Q1376&lt;&gt;INDEX(職員マスタ!$E$6:$E$405,$AP1376)),"子の生年月日がマスタと相違／","")&amp;IF(AND($L1376&lt;&gt;"",INDEX(職員マスタ!$G$6:$G$405,$AP1376)&lt;&gt;"",$L1376&lt;&gt;INDEX(職員マスタ!$G$6:$G$405,$AP1376)),"時短開始日がマスタと相違／","")&amp;IF(AND($M1376&lt;&gt;"",INDEX(職員マスタ!$H$6:$H$405,$AP1376)&lt;&gt;"",$M1376&lt;&gt;INDEX(職員マスタ!$H$6:$H$405,$AP1376)),"時短終了日がマスタと相違／","")))&amp;IF(AND($B1376&lt;&gt;"",$E1376=""),"報酬額が未入力／","")&amp;IF(N($U1376)&gt;0,"申請書に入力エラーが残っています／","")&amp;IF(AND($B1376&lt;&gt;"",$AQ1376&lt;&gt;""),IF(COUNTIFS($B$6:$B$3005,$B1376,$C$6:$C$3005,$C1376,$D$6:$D$3005,$D1376)&gt;1,"同じ月の請求が重複しています／",""),"")&amp;IF(AND(N($E1376)&gt;0,$AB1376&lt;&gt;"",$AB1376&lt;&gt;"×",$AE1376=0,$AD1376=""),"計算額が下限以下のため不支給／",""))</f>
        <v/>
      </c>
      <c r="AN1376" s="12" t="n"/>
      <c r="AO1376" s="14">
        <f>IF($AF1376="保留中",COUNTIF($AF$6:$AF1376,"保留中"),"")</f>
        <v/>
      </c>
      <c r="AP1376" s="14">
        <f>IF($AQ1376="","",IF(SUMPRODUCT(MAX((職員マスタ!$A$6:$A$405=$B1376)*(((職員マスタ!$G$6:$G$405="")+(職員マスタ!$G$6:$G$405&lt;=EOMONTH($AQ1376,0)))&gt;0)*(((職員マスタ!$H$6:$H$405="")+(職員マスタ!$H$6:$H$405&gt;=$AQ1376))&gt;0)*(ROW(職員マスタ!$A$6:$A$405)-5)))&gt;0,SUMPRODUCT(MAX((職員マスタ!$A$6:$A$405=$B1376)*(((職員マスタ!$G$6:$G$405="")+(職員マスタ!$G$6:$G$405&lt;=EOMONTH($AQ1376,0)))&gt;0)*(((職員マスタ!$H$6:$H$405="")+(職員マスタ!$H$6:$H$405&gt;=$AQ1376))&gt;0)*(ROW(職員マスタ!$A$6:$A$405)-5))),IFERROR(MATCH($B1376,職員マスタ!$A$6:$A$405,0),"")))</f>
        <v/>
      </c>
      <c r="AQ1376" s="16">
        <f>IF(OR($B1376="",$C1376="",$D1376=""),"",DATE($C1376+2018,$D1376,1))</f>
        <v/>
      </c>
    </row>
    <row r="1377">
      <c r="A1377" s="11" t="n"/>
      <c r="B1377" s="12" t="n"/>
      <c r="C1377" s="12" t="n"/>
      <c r="D1377" s="12" t="n"/>
      <c r="E1377" s="13" t="n"/>
      <c r="F1377" s="12" t="n"/>
      <c r="G1377" s="13" t="n"/>
      <c r="H1377" s="12" t="n"/>
      <c r="I1377" s="12" t="n"/>
      <c r="J1377" s="12" t="n"/>
      <c r="K1377" s="12" t="n"/>
      <c r="L1377" s="11" t="n"/>
      <c r="M1377" s="11" t="n"/>
      <c r="N1377" s="11" t="n"/>
      <c r="O1377" s="11" t="n"/>
      <c r="P1377" s="12" t="n"/>
      <c r="Q1377" s="11" t="n"/>
      <c r="R1377" s="12" t="n"/>
      <c r="S1377" s="11" t="n"/>
      <c r="T1377" s="12" t="n"/>
      <c r="U1377" s="12" t="n"/>
      <c r="V1377" s="12" t="n"/>
      <c r="W1377" s="13" t="n"/>
      <c r="X1377" s="14">
        <f>IF($AP1377="",IF($B1377="","",$H1377),IF(INDEX(職員マスタ!$B$6:$B$405,$AP1377)="",$H1377,INDEX(職員マスタ!$B$6:$B$405,$AP1377)))</f>
        <v/>
      </c>
      <c r="Y1377" s="14">
        <f>IF($AP1377="",IF($B1377="","",$R1377),IF(INDEX(職員マスタ!$C$6:$C$405,$AP1377)="",$R1377,INDEX(職員マスタ!$C$6:$C$405,$AP1377)))</f>
        <v/>
      </c>
      <c r="Z1377" s="14">
        <f>IF($AQ1377="","","R"&amp;$C1377&amp;"."&amp;$D1377)</f>
        <v/>
      </c>
      <c r="AA1377" s="15">
        <f>IF(IF($AP1377="",FALSE,INDEX(職員マスタ!$K$6:$K$405,$AP1377)&lt;&gt;""),INDEX(職員マスタ!$K$6:$K$405,$AP1377),IF(N($W1377)&gt;0,$W1377,""))</f>
        <v/>
      </c>
      <c r="AB1377" s="14">
        <f>IF(OR($E1377="",$AA1377=""),"",IF($E1377&gt;=$AA1377,"×",IF($E1377&gt;=$AA1377*設定!$C$5,"△","○")))</f>
        <v/>
      </c>
      <c r="AC1377" s="15">
        <f>IF($AB1377="","",IF($AB1377="×",0,IF($AB1377="○",ROUNDDOWN($E1377*設定!$C$4,0),ROUNDDOWN($E1377*ROUND((9*$AA1377-9*$E1377)/(10*$E1377),4),0))))</f>
        <v/>
      </c>
      <c r="AD1377" s="13" t="n"/>
      <c r="AE1377" s="15">
        <f>IF($B1377="","",IF($AD1377&lt;&gt;"",$AD1377,IF($AC1377="","",IF($AC1377&lt;=設定!$C$3,0,$AC1377))))</f>
        <v/>
      </c>
      <c r="AF1377" s="14">
        <f>IF($B1377="","",IF(AND($AG1377&lt;&gt;"",$AI1377="",$AL1377=""),"保留中",IF($AL1377&lt;&gt;"",IF(N($AE1377)&gt;0,"支給済","不支給"),IF($AE1377="","要確認",IF($AE1377=0,"不支給","未処理")))))</f>
        <v/>
      </c>
      <c r="AG1377" s="12" t="n"/>
      <c r="AH1377" s="11" t="n"/>
      <c r="AI1377" s="11" t="n"/>
      <c r="AJ1377" s="11" t="n"/>
      <c r="AK1377" s="14">
        <f>IF(AND($AF1377="保留中",$AH1377&lt;&gt;""),TODAY()-$AH1377,"")</f>
        <v/>
      </c>
      <c r="AL1377" s="12" t="n"/>
      <c r="AM1377" s="14">
        <f>IF($B1377="","",IF($AQ1377="","対象年月が未入力／","")&amp;IF($B1377="","",IF($AP1377="","職員マスタに未登録の職員番号／",IF($AA1377="","標準報酬月額が未登録／","")&amp;IF(AND($AQ1377&lt;&gt;"",OR(AND(INDEX(職員マスタ!$G$6:$G$405,$AP1377)&lt;&gt;"",INDEX(職員マスタ!$G$6:$G$405,$AP1377)&gt;EOMONTH($AQ1377,0)),AND(INDEX(職員マスタ!$H$6:$H$405,$AP1377)&lt;&gt;"",INDEX(職員マスタ!$H$6:$H$405,$AP1377)&lt;$AQ1377))),"対象月が時短期間外／","")&amp;IF(AND(INDEX(職員マスタ!$K$6:$K$405,$AP1377)&lt;&gt;"",N($W1377)&gt;0,INDEX(職員マスタ!$K$6:$K$405,$AP1377)&lt;&gt;$W1377),"標準報酬月額が申請書と相違（台帳"&amp;TEXT(INDEX(職員マスタ!$K$6:$K$405,$AP1377),"#,##0")&amp;"円／申請書"&amp;TEXT($W1377,"#,##0")&amp;"円）／","")&amp;IF(AND(INDEX(職員マスタ!$F$6:$F$405,$AP1377)&lt;&gt;"",$AQ1377&lt;&gt;"",INDEX(職員マスタ!$F$6:$F$405,$AP1377)&lt;$AQ1377),"対象月に子が2歳到達済／","")&amp;IF(AND($H1377&lt;&gt;"",INDEX(職員マスタ!$B$6:$B$405,$AP1377)&lt;&gt;"",SUBSTITUTE(SUBSTITUTE($H1377," ","")," ","")&lt;&gt;SUBSTITUTE(SUBSTITUTE(INDEX(職員マスタ!$B$6:$B$405,$AP1377)," ","")," ","")),"氏名がマスタと相違／","")&amp;IF(AND($Q1377&lt;&gt;"",INDEX(職員マスタ!$E$6:$E$405,$AP1377)&lt;&gt;"",$Q1377&lt;&gt;INDEX(職員マスタ!$E$6:$E$405,$AP1377)),"子の生年月日がマスタと相違／","")&amp;IF(AND($L1377&lt;&gt;"",INDEX(職員マスタ!$G$6:$G$405,$AP1377)&lt;&gt;"",$L1377&lt;&gt;INDEX(職員マスタ!$G$6:$G$405,$AP1377)),"時短開始日がマスタと相違／","")&amp;IF(AND($M1377&lt;&gt;"",INDEX(職員マスタ!$H$6:$H$405,$AP1377)&lt;&gt;"",$M1377&lt;&gt;INDEX(職員マスタ!$H$6:$H$405,$AP1377)),"時短終了日がマスタと相違／","")))&amp;IF(AND($B1377&lt;&gt;"",$E1377=""),"報酬額が未入力／","")&amp;IF(N($U1377)&gt;0,"申請書に入力エラーが残っています／","")&amp;IF(AND($B1377&lt;&gt;"",$AQ1377&lt;&gt;""),IF(COUNTIFS($B$6:$B$3005,$B1377,$C$6:$C$3005,$C1377,$D$6:$D$3005,$D1377)&gt;1,"同じ月の請求が重複しています／",""),"")&amp;IF(AND(N($E1377)&gt;0,$AB1377&lt;&gt;"",$AB1377&lt;&gt;"×",$AE1377=0,$AD1377=""),"計算額が下限以下のため不支給／",""))</f>
        <v/>
      </c>
      <c r="AN1377" s="12" t="n"/>
      <c r="AO1377" s="14">
        <f>IF($AF1377="保留中",COUNTIF($AF$6:$AF1377,"保留中"),"")</f>
        <v/>
      </c>
      <c r="AP1377" s="14">
        <f>IF($AQ1377="","",IF(SUMPRODUCT(MAX((職員マスタ!$A$6:$A$405=$B1377)*(((職員マスタ!$G$6:$G$405="")+(職員マスタ!$G$6:$G$405&lt;=EOMONTH($AQ1377,0)))&gt;0)*(((職員マスタ!$H$6:$H$405="")+(職員マスタ!$H$6:$H$405&gt;=$AQ1377))&gt;0)*(ROW(職員マスタ!$A$6:$A$405)-5)))&gt;0,SUMPRODUCT(MAX((職員マスタ!$A$6:$A$405=$B1377)*(((職員マスタ!$G$6:$G$405="")+(職員マスタ!$G$6:$G$405&lt;=EOMONTH($AQ1377,0)))&gt;0)*(((職員マスタ!$H$6:$H$405="")+(職員マスタ!$H$6:$H$405&gt;=$AQ1377))&gt;0)*(ROW(職員マスタ!$A$6:$A$405)-5))),IFERROR(MATCH($B1377,職員マスタ!$A$6:$A$405,0),"")))</f>
        <v/>
      </c>
      <c r="AQ1377" s="16">
        <f>IF(OR($B1377="",$C1377="",$D1377=""),"",DATE($C1377+2018,$D1377,1))</f>
        <v/>
      </c>
    </row>
    <row r="1378">
      <c r="A1378" s="11" t="n"/>
      <c r="B1378" s="12" t="n"/>
      <c r="C1378" s="12" t="n"/>
      <c r="D1378" s="12" t="n"/>
      <c r="E1378" s="13" t="n"/>
      <c r="F1378" s="12" t="n"/>
      <c r="G1378" s="13" t="n"/>
      <c r="H1378" s="12" t="n"/>
      <c r="I1378" s="12" t="n"/>
      <c r="J1378" s="12" t="n"/>
      <c r="K1378" s="12" t="n"/>
      <c r="L1378" s="11" t="n"/>
      <c r="M1378" s="11" t="n"/>
      <c r="N1378" s="11" t="n"/>
      <c r="O1378" s="11" t="n"/>
      <c r="P1378" s="12" t="n"/>
      <c r="Q1378" s="11" t="n"/>
      <c r="R1378" s="12" t="n"/>
      <c r="S1378" s="11" t="n"/>
      <c r="T1378" s="12" t="n"/>
      <c r="U1378" s="12" t="n"/>
      <c r="V1378" s="12" t="n"/>
      <c r="W1378" s="13" t="n"/>
      <c r="X1378" s="14">
        <f>IF($AP1378="",IF($B1378="","",$H1378),IF(INDEX(職員マスタ!$B$6:$B$405,$AP1378)="",$H1378,INDEX(職員マスタ!$B$6:$B$405,$AP1378)))</f>
        <v/>
      </c>
      <c r="Y1378" s="14">
        <f>IF($AP1378="",IF($B1378="","",$R1378),IF(INDEX(職員マスタ!$C$6:$C$405,$AP1378)="",$R1378,INDEX(職員マスタ!$C$6:$C$405,$AP1378)))</f>
        <v/>
      </c>
      <c r="Z1378" s="14">
        <f>IF($AQ1378="","","R"&amp;$C1378&amp;"."&amp;$D1378)</f>
        <v/>
      </c>
      <c r="AA1378" s="15">
        <f>IF(IF($AP1378="",FALSE,INDEX(職員マスタ!$K$6:$K$405,$AP1378)&lt;&gt;""),INDEX(職員マスタ!$K$6:$K$405,$AP1378),IF(N($W1378)&gt;0,$W1378,""))</f>
        <v/>
      </c>
      <c r="AB1378" s="14">
        <f>IF(OR($E1378="",$AA1378=""),"",IF($E1378&gt;=$AA1378,"×",IF($E1378&gt;=$AA1378*設定!$C$5,"△","○")))</f>
        <v/>
      </c>
      <c r="AC1378" s="15">
        <f>IF($AB1378="","",IF($AB1378="×",0,IF($AB1378="○",ROUNDDOWN($E1378*設定!$C$4,0),ROUNDDOWN($E1378*ROUND((9*$AA1378-9*$E1378)/(10*$E1378),4),0))))</f>
        <v/>
      </c>
      <c r="AD1378" s="13" t="n"/>
      <c r="AE1378" s="15">
        <f>IF($B1378="","",IF($AD1378&lt;&gt;"",$AD1378,IF($AC1378="","",IF($AC1378&lt;=設定!$C$3,0,$AC1378))))</f>
        <v/>
      </c>
      <c r="AF1378" s="14">
        <f>IF($B1378="","",IF(AND($AG1378&lt;&gt;"",$AI1378="",$AL1378=""),"保留中",IF($AL1378&lt;&gt;"",IF(N($AE1378)&gt;0,"支給済","不支給"),IF($AE1378="","要確認",IF($AE1378=0,"不支給","未処理")))))</f>
        <v/>
      </c>
      <c r="AG1378" s="12" t="n"/>
      <c r="AH1378" s="11" t="n"/>
      <c r="AI1378" s="11" t="n"/>
      <c r="AJ1378" s="11" t="n"/>
      <c r="AK1378" s="14">
        <f>IF(AND($AF1378="保留中",$AH1378&lt;&gt;""),TODAY()-$AH1378,"")</f>
        <v/>
      </c>
      <c r="AL1378" s="12" t="n"/>
      <c r="AM1378" s="14">
        <f>IF($B1378="","",IF($AQ1378="","対象年月が未入力／","")&amp;IF($B1378="","",IF($AP1378="","職員マスタに未登録の職員番号／",IF($AA1378="","標準報酬月額が未登録／","")&amp;IF(AND($AQ1378&lt;&gt;"",OR(AND(INDEX(職員マスタ!$G$6:$G$405,$AP1378)&lt;&gt;"",INDEX(職員マスタ!$G$6:$G$405,$AP1378)&gt;EOMONTH($AQ1378,0)),AND(INDEX(職員マスタ!$H$6:$H$405,$AP1378)&lt;&gt;"",INDEX(職員マスタ!$H$6:$H$405,$AP1378)&lt;$AQ1378))),"対象月が時短期間外／","")&amp;IF(AND(INDEX(職員マスタ!$K$6:$K$405,$AP1378)&lt;&gt;"",N($W1378)&gt;0,INDEX(職員マスタ!$K$6:$K$405,$AP1378)&lt;&gt;$W1378),"標準報酬月額が申請書と相違（台帳"&amp;TEXT(INDEX(職員マスタ!$K$6:$K$405,$AP1378),"#,##0")&amp;"円／申請書"&amp;TEXT($W1378,"#,##0")&amp;"円）／","")&amp;IF(AND(INDEX(職員マスタ!$F$6:$F$405,$AP1378)&lt;&gt;"",$AQ1378&lt;&gt;"",INDEX(職員マスタ!$F$6:$F$405,$AP1378)&lt;$AQ1378),"対象月に子が2歳到達済／","")&amp;IF(AND($H1378&lt;&gt;"",INDEX(職員マスタ!$B$6:$B$405,$AP1378)&lt;&gt;"",SUBSTITUTE(SUBSTITUTE($H1378," ","")," ","")&lt;&gt;SUBSTITUTE(SUBSTITUTE(INDEX(職員マスタ!$B$6:$B$405,$AP1378)," ","")," ","")),"氏名がマスタと相違／","")&amp;IF(AND($Q1378&lt;&gt;"",INDEX(職員マスタ!$E$6:$E$405,$AP1378)&lt;&gt;"",$Q1378&lt;&gt;INDEX(職員マスタ!$E$6:$E$405,$AP1378)),"子の生年月日がマスタと相違／","")&amp;IF(AND($L1378&lt;&gt;"",INDEX(職員マスタ!$G$6:$G$405,$AP1378)&lt;&gt;"",$L1378&lt;&gt;INDEX(職員マスタ!$G$6:$G$405,$AP1378)),"時短開始日がマスタと相違／","")&amp;IF(AND($M1378&lt;&gt;"",INDEX(職員マスタ!$H$6:$H$405,$AP1378)&lt;&gt;"",$M1378&lt;&gt;INDEX(職員マスタ!$H$6:$H$405,$AP1378)),"時短終了日がマスタと相違／","")))&amp;IF(AND($B1378&lt;&gt;"",$E1378=""),"報酬額が未入力／","")&amp;IF(N($U1378)&gt;0,"申請書に入力エラーが残っています／","")&amp;IF(AND($B1378&lt;&gt;"",$AQ1378&lt;&gt;""),IF(COUNTIFS($B$6:$B$3005,$B1378,$C$6:$C$3005,$C1378,$D$6:$D$3005,$D1378)&gt;1,"同じ月の請求が重複しています／",""),"")&amp;IF(AND(N($E1378)&gt;0,$AB1378&lt;&gt;"",$AB1378&lt;&gt;"×",$AE1378=0,$AD1378=""),"計算額が下限以下のため不支給／",""))</f>
        <v/>
      </c>
      <c r="AN1378" s="12" t="n"/>
      <c r="AO1378" s="14">
        <f>IF($AF1378="保留中",COUNTIF($AF$6:$AF1378,"保留中"),"")</f>
        <v/>
      </c>
      <c r="AP1378" s="14">
        <f>IF($AQ1378="","",IF(SUMPRODUCT(MAX((職員マスタ!$A$6:$A$405=$B1378)*(((職員マスタ!$G$6:$G$405="")+(職員マスタ!$G$6:$G$405&lt;=EOMONTH($AQ1378,0)))&gt;0)*(((職員マスタ!$H$6:$H$405="")+(職員マスタ!$H$6:$H$405&gt;=$AQ1378))&gt;0)*(ROW(職員マスタ!$A$6:$A$405)-5)))&gt;0,SUMPRODUCT(MAX((職員マスタ!$A$6:$A$405=$B1378)*(((職員マスタ!$G$6:$G$405="")+(職員マスタ!$G$6:$G$405&lt;=EOMONTH($AQ1378,0)))&gt;0)*(((職員マスタ!$H$6:$H$405="")+(職員マスタ!$H$6:$H$405&gt;=$AQ1378))&gt;0)*(ROW(職員マスタ!$A$6:$A$405)-5))),IFERROR(MATCH($B1378,職員マスタ!$A$6:$A$405,0),"")))</f>
        <v/>
      </c>
      <c r="AQ1378" s="16">
        <f>IF(OR($B1378="",$C1378="",$D1378=""),"",DATE($C1378+2018,$D1378,1))</f>
        <v/>
      </c>
    </row>
    <row r="1379">
      <c r="A1379" s="11" t="n"/>
      <c r="B1379" s="12" t="n"/>
      <c r="C1379" s="12" t="n"/>
      <c r="D1379" s="12" t="n"/>
      <c r="E1379" s="13" t="n"/>
      <c r="F1379" s="12" t="n"/>
      <c r="G1379" s="13" t="n"/>
      <c r="H1379" s="12" t="n"/>
      <c r="I1379" s="12" t="n"/>
      <c r="J1379" s="12" t="n"/>
      <c r="K1379" s="12" t="n"/>
      <c r="L1379" s="11" t="n"/>
      <c r="M1379" s="11" t="n"/>
      <c r="N1379" s="11" t="n"/>
      <c r="O1379" s="11" t="n"/>
      <c r="P1379" s="12" t="n"/>
      <c r="Q1379" s="11" t="n"/>
      <c r="R1379" s="12" t="n"/>
      <c r="S1379" s="11" t="n"/>
      <c r="T1379" s="12" t="n"/>
      <c r="U1379" s="12" t="n"/>
      <c r="V1379" s="12" t="n"/>
      <c r="W1379" s="13" t="n"/>
      <c r="X1379" s="14">
        <f>IF($AP1379="",IF($B1379="","",$H1379),IF(INDEX(職員マスタ!$B$6:$B$405,$AP1379)="",$H1379,INDEX(職員マスタ!$B$6:$B$405,$AP1379)))</f>
        <v/>
      </c>
      <c r="Y1379" s="14">
        <f>IF($AP1379="",IF($B1379="","",$R1379),IF(INDEX(職員マスタ!$C$6:$C$405,$AP1379)="",$R1379,INDEX(職員マスタ!$C$6:$C$405,$AP1379)))</f>
        <v/>
      </c>
      <c r="Z1379" s="14">
        <f>IF($AQ1379="","","R"&amp;$C1379&amp;"."&amp;$D1379)</f>
        <v/>
      </c>
      <c r="AA1379" s="15">
        <f>IF(IF($AP1379="",FALSE,INDEX(職員マスタ!$K$6:$K$405,$AP1379)&lt;&gt;""),INDEX(職員マスタ!$K$6:$K$405,$AP1379),IF(N($W1379)&gt;0,$W1379,""))</f>
        <v/>
      </c>
      <c r="AB1379" s="14">
        <f>IF(OR($E1379="",$AA1379=""),"",IF($E1379&gt;=$AA1379,"×",IF($E1379&gt;=$AA1379*設定!$C$5,"△","○")))</f>
        <v/>
      </c>
      <c r="AC1379" s="15">
        <f>IF($AB1379="","",IF($AB1379="×",0,IF($AB1379="○",ROUNDDOWN($E1379*設定!$C$4,0),ROUNDDOWN($E1379*ROUND((9*$AA1379-9*$E1379)/(10*$E1379),4),0))))</f>
        <v/>
      </c>
      <c r="AD1379" s="13" t="n"/>
      <c r="AE1379" s="15">
        <f>IF($B1379="","",IF($AD1379&lt;&gt;"",$AD1379,IF($AC1379="","",IF($AC1379&lt;=設定!$C$3,0,$AC1379))))</f>
        <v/>
      </c>
      <c r="AF1379" s="14">
        <f>IF($B1379="","",IF(AND($AG1379&lt;&gt;"",$AI1379="",$AL1379=""),"保留中",IF($AL1379&lt;&gt;"",IF(N($AE1379)&gt;0,"支給済","不支給"),IF($AE1379="","要確認",IF($AE1379=0,"不支給","未処理")))))</f>
        <v/>
      </c>
      <c r="AG1379" s="12" t="n"/>
      <c r="AH1379" s="11" t="n"/>
      <c r="AI1379" s="11" t="n"/>
      <c r="AJ1379" s="11" t="n"/>
      <c r="AK1379" s="14">
        <f>IF(AND($AF1379="保留中",$AH1379&lt;&gt;""),TODAY()-$AH1379,"")</f>
        <v/>
      </c>
      <c r="AL1379" s="12" t="n"/>
      <c r="AM1379" s="14">
        <f>IF($B1379="","",IF($AQ1379="","対象年月が未入力／","")&amp;IF($B1379="","",IF($AP1379="","職員マスタに未登録の職員番号／",IF($AA1379="","標準報酬月額が未登録／","")&amp;IF(AND($AQ1379&lt;&gt;"",OR(AND(INDEX(職員マスタ!$G$6:$G$405,$AP1379)&lt;&gt;"",INDEX(職員マスタ!$G$6:$G$405,$AP1379)&gt;EOMONTH($AQ1379,0)),AND(INDEX(職員マスタ!$H$6:$H$405,$AP1379)&lt;&gt;"",INDEX(職員マスタ!$H$6:$H$405,$AP1379)&lt;$AQ1379))),"対象月が時短期間外／","")&amp;IF(AND(INDEX(職員マスタ!$K$6:$K$405,$AP1379)&lt;&gt;"",N($W1379)&gt;0,INDEX(職員マスタ!$K$6:$K$405,$AP1379)&lt;&gt;$W1379),"標準報酬月額が申請書と相違（台帳"&amp;TEXT(INDEX(職員マスタ!$K$6:$K$405,$AP1379),"#,##0")&amp;"円／申請書"&amp;TEXT($W1379,"#,##0")&amp;"円）／","")&amp;IF(AND(INDEX(職員マスタ!$F$6:$F$405,$AP1379)&lt;&gt;"",$AQ1379&lt;&gt;"",INDEX(職員マスタ!$F$6:$F$405,$AP1379)&lt;$AQ1379),"対象月に子が2歳到達済／","")&amp;IF(AND($H1379&lt;&gt;"",INDEX(職員マスタ!$B$6:$B$405,$AP1379)&lt;&gt;"",SUBSTITUTE(SUBSTITUTE($H1379," ","")," ","")&lt;&gt;SUBSTITUTE(SUBSTITUTE(INDEX(職員マスタ!$B$6:$B$405,$AP1379)," ","")," ","")),"氏名がマスタと相違／","")&amp;IF(AND($Q1379&lt;&gt;"",INDEX(職員マスタ!$E$6:$E$405,$AP1379)&lt;&gt;"",$Q1379&lt;&gt;INDEX(職員マスタ!$E$6:$E$405,$AP1379)),"子の生年月日がマスタと相違／","")&amp;IF(AND($L1379&lt;&gt;"",INDEX(職員マスタ!$G$6:$G$405,$AP1379)&lt;&gt;"",$L1379&lt;&gt;INDEX(職員マスタ!$G$6:$G$405,$AP1379)),"時短開始日がマスタと相違／","")&amp;IF(AND($M1379&lt;&gt;"",INDEX(職員マスタ!$H$6:$H$405,$AP1379)&lt;&gt;"",$M1379&lt;&gt;INDEX(職員マスタ!$H$6:$H$405,$AP1379)),"時短終了日がマスタと相違／","")))&amp;IF(AND($B1379&lt;&gt;"",$E1379=""),"報酬額が未入力／","")&amp;IF(N($U1379)&gt;0,"申請書に入力エラーが残っています／","")&amp;IF(AND($B1379&lt;&gt;"",$AQ1379&lt;&gt;""),IF(COUNTIFS($B$6:$B$3005,$B1379,$C$6:$C$3005,$C1379,$D$6:$D$3005,$D1379)&gt;1,"同じ月の請求が重複しています／",""),"")&amp;IF(AND(N($E1379)&gt;0,$AB1379&lt;&gt;"",$AB1379&lt;&gt;"×",$AE1379=0,$AD1379=""),"計算額が下限以下のため不支給／",""))</f>
        <v/>
      </c>
      <c r="AN1379" s="12" t="n"/>
      <c r="AO1379" s="14">
        <f>IF($AF1379="保留中",COUNTIF($AF$6:$AF1379,"保留中"),"")</f>
        <v/>
      </c>
      <c r="AP1379" s="14">
        <f>IF($AQ1379="","",IF(SUMPRODUCT(MAX((職員マスタ!$A$6:$A$405=$B1379)*(((職員マスタ!$G$6:$G$405="")+(職員マスタ!$G$6:$G$405&lt;=EOMONTH($AQ1379,0)))&gt;0)*(((職員マスタ!$H$6:$H$405="")+(職員マスタ!$H$6:$H$405&gt;=$AQ1379))&gt;0)*(ROW(職員マスタ!$A$6:$A$405)-5)))&gt;0,SUMPRODUCT(MAX((職員マスタ!$A$6:$A$405=$B1379)*(((職員マスタ!$G$6:$G$405="")+(職員マスタ!$G$6:$G$405&lt;=EOMONTH($AQ1379,0)))&gt;0)*(((職員マスタ!$H$6:$H$405="")+(職員マスタ!$H$6:$H$405&gt;=$AQ1379))&gt;0)*(ROW(職員マスタ!$A$6:$A$405)-5))),IFERROR(MATCH($B1379,職員マスタ!$A$6:$A$405,0),"")))</f>
        <v/>
      </c>
      <c r="AQ1379" s="16">
        <f>IF(OR($B1379="",$C1379="",$D1379=""),"",DATE($C1379+2018,$D1379,1))</f>
        <v/>
      </c>
    </row>
    <row r="1380">
      <c r="A1380" s="11" t="n"/>
      <c r="B1380" s="12" t="n"/>
      <c r="C1380" s="12" t="n"/>
      <c r="D1380" s="12" t="n"/>
      <c r="E1380" s="13" t="n"/>
      <c r="F1380" s="12" t="n"/>
      <c r="G1380" s="13" t="n"/>
      <c r="H1380" s="12" t="n"/>
      <c r="I1380" s="12" t="n"/>
      <c r="J1380" s="12" t="n"/>
      <c r="K1380" s="12" t="n"/>
      <c r="L1380" s="11" t="n"/>
      <c r="M1380" s="11" t="n"/>
      <c r="N1380" s="11" t="n"/>
      <c r="O1380" s="11" t="n"/>
      <c r="P1380" s="12" t="n"/>
      <c r="Q1380" s="11" t="n"/>
      <c r="R1380" s="12" t="n"/>
      <c r="S1380" s="11" t="n"/>
      <c r="T1380" s="12" t="n"/>
      <c r="U1380" s="12" t="n"/>
      <c r="V1380" s="12" t="n"/>
      <c r="W1380" s="13" t="n"/>
      <c r="X1380" s="14">
        <f>IF($AP1380="",IF($B1380="","",$H1380),IF(INDEX(職員マスタ!$B$6:$B$405,$AP1380)="",$H1380,INDEX(職員マスタ!$B$6:$B$405,$AP1380)))</f>
        <v/>
      </c>
      <c r="Y1380" s="14">
        <f>IF($AP1380="",IF($B1380="","",$R1380),IF(INDEX(職員マスタ!$C$6:$C$405,$AP1380)="",$R1380,INDEX(職員マスタ!$C$6:$C$405,$AP1380)))</f>
        <v/>
      </c>
      <c r="Z1380" s="14">
        <f>IF($AQ1380="","","R"&amp;$C1380&amp;"."&amp;$D1380)</f>
        <v/>
      </c>
      <c r="AA1380" s="15">
        <f>IF(IF($AP1380="",FALSE,INDEX(職員マスタ!$K$6:$K$405,$AP1380)&lt;&gt;""),INDEX(職員マスタ!$K$6:$K$405,$AP1380),IF(N($W1380)&gt;0,$W1380,""))</f>
        <v/>
      </c>
      <c r="AB1380" s="14">
        <f>IF(OR($E1380="",$AA1380=""),"",IF($E1380&gt;=$AA1380,"×",IF($E1380&gt;=$AA1380*設定!$C$5,"△","○")))</f>
        <v/>
      </c>
      <c r="AC1380" s="15">
        <f>IF($AB1380="","",IF($AB1380="×",0,IF($AB1380="○",ROUNDDOWN($E1380*設定!$C$4,0),ROUNDDOWN($E1380*ROUND((9*$AA1380-9*$E1380)/(10*$E1380),4),0))))</f>
        <v/>
      </c>
      <c r="AD1380" s="13" t="n"/>
      <c r="AE1380" s="15">
        <f>IF($B1380="","",IF($AD1380&lt;&gt;"",$AD1380,IF($AC1380="","",IF($AC1380&lt;=設定!$C$3,0,$AC1380))))</f>
        <v/>
      </c>
      <c r="AF1380" s="14">
        <f>IF($B1380="","",IF(AND($AG1380&lt;&gt;"",$AI1380="",$AL1380=""),"保留中",IF($AL1380&lt;&gt;"",IF(N($AE1380)&gt;0,"支給済","不支給"),IF($AE1380="","要確認",IF($AE1380=0,"不支給","未処理")))))</f>
        <v/>
      </c>
      <c r="AG1380" s="12" t="n"/>
      <c r="AH1380" s="11" t="n"/>
      <c r="AI1380" s="11" t="n"/>
      <c r="AJ1380" s="11" t="n"/>
      <c r="AK1380" s="14">
        <f>IF(AND($AF1380="保留中",$AH1380&lt;&gt;""),TODAY()-$AH1380,"")</f>
        <v/>
      </c>
      <c r="AL1380" s="12" t="n"/>
      <c r="AM1380" s="14">
        <f>IF($B1380="","",IF($AQ1380="","対象年月が未入力／","")&amp;IF($B1380="","",IF($AP1380="","職員マスタに未登録の職員番号／",IF($AA1380="","標準報酬月額が未登録／","")&amp;IF(AND($AQ1380&lt;&gt;"",OR(AND(INDEX(職員マスタ!$G$6:$G$405,$AP1380)&lt;&gt;"",INDEX(職員マスタ!$G$6:$G$405,$AP1380)&gt;EOMONTH($AQ1380,0)),AND(INDEX(職員マスタ!$H$6:$H$405,$AP1380)&lt;&gt;"",INDEX(職員マスタ!$H$6:$H$405,$AP1380)&lt;$AQ1380))),"対象月が時短期間外／","")&amp;IF(AND(INDEX(職員マスタ!$K$6:$K$405,$AP1380)&lt;&gt;"",N($W1380)&gt;0,INDEX(職員マスタ!$K$6:$K$405,$AP1380)&lt;&gt;$W1380),"標準報酬月額が申請書と相違（台帳"&amp;TEXT(INDEX(職員マスタ!$K$6:$K$405,$AP1380),"#,##0")&amp;"円／申請書"&amp;TEXT($W1380,"#,##0")&amp;"円）／","")&amp;IF(AND(INDEX(職員マスタ!$F$6:$F$405,$AP1380)&lt;&gt;"",$AQ1380&lt;&gt;"",INDEX(職員マスタ!$F$6:$F$405,$AP1380)&lt;$AQ1380),"対象月に子が2歳到達済／","")&amp;IF(AND($H1380&lt;&gt;"",INDEX(職員マスタ!$B$6:$B$405,$AP1380)&lt;&gt;"",SUBSTITUTE(SUBSTITUTE($H1380," ","")," ","")&lt;&gt;SUBSTITUTE(SUBSTITUTE(INDEX(職員マスタ!$B$6:$B$405,$AP1380)," ","")," ","")),"氏名がマスタと相違／","")&amp;IF(AND($Q1380&lt;&gt;"",INDEX(職員マスタ!$E$6:$E$405,$AP1380)&lt;&gt;"",$Q1380&lt;&gt;INDEX(職員マスタ!$E$6:$E$405,$AP1380)),"子の生年月日がマスタと相違／","")&amp;IF(AND($L1380&lt;&gt;"",INDEX(職員マスタ!$G$6:$G$405,$AP1380)&lt;&gt;"",$L1380&lt;&gt;INDEX(職員マスタ!$G$6:$G$405,$AP1380)),"時短開始日がマスタと相違／","")&amp;IF(AND($M1380&lt;&gt;"",INDEX(職員マスタ!$H$6:$H$405,$AP1380)&lt;&gt;"",$M1380&lt;&gt;INDEX(職員マスタ!$H$6:$H$405,$AP1380)),"時短終了日がマスタと相違／","")))&amp;IF(AND($B1380&lt;&gt;"",$E1380=""),"報酬額が未入力／","")&amp;IF(N($U1380)&gt;0,"申請書に入力エラーが残っています／","")&amp;IF(AND($B1380&lt;&gt;"",$AQ1380&lt;&gt;""),IF(COUNTIFS($B$6:$B$3005,$B1380,$C$6:$C$3005,$C1380,$D$6:$D$3005,$D1380)&gt;1,"同じ月の請求が重複しています／",""),"")&amp;IF(AND(N($E1380)&gt;0,$AB1380&lt;&gt;"",$AB1380&lt;&gt;"×",$AE1380=0,$AD1380=""),"計算額が下限以下のため不支給／",""))</f>
        <v/>
      </c>
      <c r="AN1380" s="12" t="n"/>
      <c r="AO1380" s="14">
        <f>IF($AF1380="保留中",COUNTIF($AF$6:$AF1380,"保留中"),"")</f>
        <v/>
      </c>
      <c r="AP1380" s="14">
        <f>IF($AQ1380="","",IF(SUMPRODUCT(MAX((職員マスタ!$A$6:$A$405=$B1380)*(((職員マスタ!$G$6:$G$405="")+(職員マスタ!$G$6:$G$405&lt;=EOMONTH($AQ1380,0)))&gt;0)*(((職員マスタ!$H$6:$H$405="")+(職員マスタ!$H$6:$H$405&gt;=$AQ1380))&gt;0)*(ROW(職員マスタ!$A$6:$A$405)-5)))&gt;0,SUMPRODUCT(MAX((職員マスタ!$A$6:$A$405=$B1380)*(((職員マスタ!$G$6:$G$405="")+(職員マスタ!$G$6:$G$405&lt;=EOMONTH($AQ1380,0)))&gt;0)*(((職員マスタ!$H$6:$H$405="")+(職員マスタ!$H$6:$H$405&gt;=$AQ1380))&gt;0)*(ROW(職員マスタ!$A$6:$A$405)-5))),IFERROR(MATCH($B1380,職員マスタ!$A$6:$A$405,0),"")))</f>
        <v/>
      </c>
      <c r="AQ1380" s="16">
        <f>IF(OR($B1380="",$C1380="",$D1380=""),"",DATE($C1380+2018,$D1380,1))</f>
        <v/>
      </c>
    </row>
    <row r="1381">
      <c r="A1381" s="11" t="n"/>
      <c r="B1381" s="12" t="n"/>
      <c r="C1381" s="12" t="n"/>
      <c r="D1381" s="12" t="n"/>
      <c r="E1381" s="13" t="n"/>
      <c r="F1381" s="12" t="n"/>
      <c r="G1381" s="13" t="n"/>
      <c r="H1381" s="12" t="n"/>
      <c r="I1381" s="12" t="n"/>
      <c r="J1381" s="12" t="n"/>
      <c r="K1381" s="12" t="n"/>
      <c r="L1381" s="11" t="n"/>
      <c r="M1381" s="11" t="n"/>
      <c r="N1381" s="11" t="n"/>
      <c r="O1381" s="11" t="n"/>
      <c r="P1381" s="12" t="n"/>
      <c r="Q1381" s="11" t="n"/>
      <c r="R1381" s="12" t="n"/>
      <c r="S1381" s="11" t="n"/>
      <c r="T1381" s="12" t="n"/>
      <c r="U1381" s="12" t="n"/>
      <c r="V1381" s="12" t="n"/>
      <c r="W1381" s="13" t="n"/>
      <c r="X1381" s="14">
        <f>IF($AP1381="",IF($B1381="","",$H1381),IF(INDEX(職員マスタ!$B$6:$B$405,$AP1381)="",$H1381,INDEX(職員マスタ!$B$6:$B$405,$AP1381)))</f>
        <v/>
      </c>
      <c r="Y1381" s="14">
        <f>IF($AP1381="",IF($B1381="","",$R1381),IF(INDEX(職員マスタ!$C$6:$C$405,$AP1381)="",$R1381,INDEX(職員マスタ!$C$6:$C$405,$AP1381)))</f>
        <v/>
      </c>
      <c r="Z1381" s="14">
        <f>IF($AQ1381="","","R"&amp;$C1381&amp;"."&amp;$D1381)</f>
        <v/>
      </c>
      <c r="AA1381" s="15">
        <f>IF(IF($AP1381="",FALSE,INDEX(職員マスタ!$K$6:$K$405,$AP1381)&lt;&gt;""),INDEX(職員マスタ!$K$6:$K$405,$AP1381),IF(N($W1381)&gt;0,$W1381,""))</f>
        <v/>
      </c>
      <c r="AB1381" s="14">
        <f>IF(OR($E1381="",$AA1381=""),"",IF($E1381&gt;=$AA1381,"×",IF($E1381&gt;=$AA1381*設定!$C$5,"△","○")))</f>
        <v/>
      </c>
      <c r="AC1381" s="15">
        <f>IF($AB1381="","",IF($AB1381="×",0,IF($AB1381="○",ROUNDDOWN($E1381*設定!$C$4,0),ROUNDDOWN($E1381*ROUND((9*$AA1381-9*$E1381)/(10*$E1381),4),0))))</f>
        <v/>
      </c>
      <c r="AD1381" s="13" t="n"/>
      <c r="AE1381" s="15">
        <f>IF($B1381="","",IF($AD1381&lt;&gt;"",$AD1381,IF($AC1381="","",IF($AC1381&lt;=設定!$C$3,0,$AC1381))))</f>
        <v/>
      </c>
      <c r="AF1381" s="14">
        <f>IF($B1381="","",IF(AND($AG1381&lt;&gt;"",$AI1381="",$AL1381=""),"保留中",IF($AL1381&lt;&gt;"",IF(N($AE1381)&gt;0,"支給済","不支給"),IF($AE1381="","要確認",IF($AE1381=0,"不支給","未処理")))))</f>
        <v/>
      </c>
      <c r="AG1381" s="12" t="n"/>
      <c r="AH1381" s="11" t="n"/>
      <c r="AI1381" s="11" t="n"/>
      <c r="AJ1381" s="11" t="n"/>
      <c r="AK1381" s="14">
        <f>IF(AND($AF1381="保留中",$AH1381&lt;&gt;""),TODAY()-$AH1381,"")</f>
        <v/>
      </c>
      <c r="AL1381" s="12" t="n"/>
      <c r="AM1381" s="14">
        <f>IF($B1381="","",IF($AQ1381="","対象年月が未入力／","")&amp;IF($B1381="","",IF($AP1381="","職員マスタに未登録の職員番号／",IF($AA1381="","標準報酬月額が未登録／","")&amp;IF(AND($AQ1381&lt;&gt;"",OR(AND(INDEX(職員マスタ!$G$6:$G$405,$AP1381)&lt;&gt;"",INDEX(職員マスタ!$G$6:$G$405,$AP1381)&gt;EOMONTH($AQ1381,0)),AND(INDEX(職員マスタ!$H$6:$H$405,$AP1381)&lt;&gt;"",INDEX(職員マスタ!$H$6:$H$405,$AP1381)&lt;$AQ1381))),"対象月が時短期間外／","")&amp;IF(AND(INDEX(職員マスタ!$K$6:$K$405,$AP1381)&lt;&gt;"",N($W1381)&gt;0,INDEX(職員マスタ!$K$6:$K$405,$AP1381)&lt;&gt;$W1381),"標準報酬月額が申請書と相違（台帳"&amp;TEXT(INDEX(職員マスタ!$K$6:$K$405,$AP1381),"#,##0")&amp;"円／申請書"&amp;TEXT($W1381,"#,##0")&amp;"円）／","")&amp;IF(AND(INDEX(職員マスタ!$F$6:$F$405,$AP1381)&lt;&gt;"",$AQ1381&lt;&gt;"",INDEX(職員マスタ!$F$6:$F$405,$AP1381)&lt;$AQ1381),"対象月に子が2歳到達済／","")&amp;IF(AND($H1381&lt;&gt;"",INDEX(職員マスタ!$B$6:$B$405,$AP1381)&lt;&gt;"",SUBSTITUTE(SUBSTITUTE($H1381," ","")," ","")&lt;&gt;SUBSTITUTE(SUBSTITUTE(INDEX(職員マスタ!$B$6:$B$405,$AP1381)," ","")," ","")),"氏名がマスタと相違／","")&amp;IF(AND($Q1381&lt;&gt;"",INDEX(職員マスタ!$E$6:$E$405,$AP1381)&lt;&gt;"",$Q1381&lt;&gt;INDEX(職員マスタ!$E$6:$E$405,$AP1381)),"子の生年月日がマスタと相違／","")&amp;IF(AND($L1381&lt;&gt;"",INDEX(職員マスタ!$G$6:$G$405,$AP1381)&lt;&gt;"",$L1381&lt;&gt;INDEX(職員マスタ!$G$6:$G$405,$AP1381)),"時短開始日がマスタと相違／","")&amp;IF(AND($M1381&lt;&gt;"",INDEX(職員マスタ!$H$6:$H$405,$AP1381)&lt;&gt;"",$M1381&lt;&gt;INDEX(職員マスタ!$H$6:$H$405,$AP1381)),"時短終了日がマスタと相違／","")))&amp;IF(AND($B1381&lt;&gt;"",$E1381=""),"報酬額が未入力／","")&amp;IF(N($U1381)&gt;0,"申請書に入力エラーが残っています／","")&amp;IF(AND($B1381&lt;&gt;"",$AQ1381&lt;&gt;""),IF(COUNTIFS($B$6:$B$3005,$B1381,$C$6:$C$3005,$C1381,$D$6:$D$3005,$D1381)&gt;1,"同じ月の請求が重複しています／",""),"")&amp;IF(AND(N($E1381)&gt;0,$AB1381&lt;&gt;"",$AB1381&lt;&gt;"×",$AE1381=0,$AD1381=""),"計算額が下限以下のため不支給／",""))</f>
        <v/>
      </c>
      <c r="AN1381" s="12" t="n"/>
      <c r="AO1381" s="14">
        <f>IF($AF1381="保留中",COUNTIF($AF$6:$AF1381,"保留中"),"")</f>
        <v/>
      </c>
      <c r="AP1381" s="14">
        <f>IF($AQ1381="","",IF(SUMPRODUCT(MAX((職員マスタ!$A$6:$A$405=$B1381)*(((職員マスタ!$G$6:$G$405="")+(職員マスタ!$G$6:$G$405&lt;=EOMONTH($AQ1381,0)))&gt;0)*(((職員マスタ!$H$6:$H$405="")+(職員マスタ!$H$6:$H$405&gt;=$AQ1381))&gt;0)*(ROW(職員マスタ!$A$6:$A$405)-5)))&gt;0,SUMPRODUCT(MAX((職員マスタ!$A$6:$A$405=$B1381)*(((職員マスタ!$G$6:$G$405="")+(職員マスタ!$G$6:$G$405&lt;=EOMONTH($AQ1381,0)))&gt;0)*(((職員マスタ!$H$6:$H$405="")+(職員マスタ!$H$6:$H$405&gt;=$AQ1381))&gt;0)*(ROW(職員マスタ!$A$6:$A$405)-5))),IFERROR(MATCH($B1381,職員マスタ!$A$6:$A$405,0),"")))</f>
        <v/>
      </c>
      <c r="AQ1381" s="16">
        <f>IF(OR($B1381="",$C1381="",$D1381=""),"",DATE($C1381+2018,$D1381,1))</f>
        <v/>
      </c>
    </row>
    <row r="1382">
      <c r="A1382" s="11" t="n"/>
      <c r="B1382" s="12" t="n"/>
      <c r="C1382" s="12" t="n"/>
      <c r="D1382" s="12" t="n"/>
      <c r="E1382" s="13" t="n"/>
      <c r="F1382" s="12" t="n"/>
      <c r="G1382" s="13" t="n"/>
      <c r="H1382" s="12" t="n"/>
      <c r="I1382" s="12" t="n"/>
      <c r="J1382" s="12" t="n"/>
      <c r="K1382" s="12" t="n"/>
      <c r="L1382" s="11" t="n"/>
      <c r="M1382" s="11" t="n"/>
      <c r="N1382" s="11" t="n"/>
      <c r="O1382" s="11" t="n"/>
      <c r="P1382" s="12" t="n"/>
      <c r="Q1382" s="11" t="n"/>
      <c r="R1382" s="12" t="n"/>
      <c r="S1382" s="11" t="n"/>
      <c r="T1382" s="12" t="n"/>
      <c r="U1382" s="12" t="n"/>
      <c r="V1382" s="12" t="n"/>
      <c r="W1382" s="13" t="n"/>
      <c r="X1382" s="14">
        <f>IF($AP1382="",IF($B1382="","",$H1382),IF(INDEX(職員マスタ!$B$6:$B$405,$AP1382)="",$H1382,INDEX(職員マスタ!$B$6:$B$405,$AP1382)))</f>
        <v/>
      </c>
      <c r="Y1382" s="14">
        <f>IF($AP1382="",IF($B1382="","",$R1382),IF(INDEX(職員マスタ!$C$6:$C$405,$AP1382)="",$R1382,INDEX(職員マスタ!$C$6:$C$405,$AP1382)))</f>
        <v/>
      </c>
      <c r="Z1382" s="14">
        <f>IF($AQ1382="","","R"&amp;$C1382&amp;"."&amp;$D1382)</f>
        <v/>
      </c>
      <c r="AA1382" s="15">
        <f>IF(IF($AP1382="",FALSE,INDEX(職員マスタ!$K$6:$K$405,$AP1382)&lt;&gt;""),INDEX(職員マスタ!$K$6:$K$405,$AP1382),IF(N($W1382)&gt;0,$W1382,""))</f>
        <v/>
      </c>
      <c r="AB1382" s="14">
        <f>IF(OR($E1382="",$AA1382=""),"",IF($E1382&gt;=$AA1382,"×",IF($E1382&gt;=$AA1382*設定!$C$5,"△","○")))</f>
        <v/>
      </c>
      <c r="AC1382" s="15">
        <f>IF($AB1382="","",IF($AB1382="×",0,IF($AB1382="○",ROUNDDOWN($E1382*設定!$C$4,0),ROUNDDOWN($E1382*ROUND((9*$AA1382-9*$E1382)/(10*$E1382),4),0))))</f>
        <v/>
      </c>
      <c r="AD1382" s="13" t="n"/>
      <c r="AE1382" s="15">
        <f>IF($B1382="","",IF($AD1382&lt;&gt;"",$AD1382,IF($AC1382="","",IF($AC1382&lt;=設定!$C$3,0,$AC1382))))</f>
        <v/>
      </c>
      <c r="AF1382" s="14">
        <f>IF($B1382="","",IF(AND($AG1382&lt;&gt;"",$AI1382="",$AL1382=""),"保留中",IF($AL1382&lt;&gt;"",IF(N($AE1382)&gt;0,"支給済","不支給"),IF($AE1382="","要確認",IF($AE1382=0,"不支給","未処理")))))</f>
        <v/>
      </c>
      <c r="AG1382" s="12" t="n"/>
      <c r="AH1382" s="11" t="n"/>
      <c r="AI1382" s="11" t="n"/>
      <c r="AJ1382" s="11" t="n"/>
      <c r="AK1382" s="14">
        <f>IF(AND($AF1382="保留中",$AH1382&lt;&gt;""),TODAY()-$AH1382,"")</f>
        <v/>
      </c>
      <c r="AL1382" s="12" t="n"/>
      <c r="AM1382" s="14">
        <f>IF($B1382="","",IF($AQ1382="","対象年月が未入力／","")&amp;IF($B1382="","",IF($AP1382="","職員マスタに未登録の職員番号／",IF($AA1382="","標準報酬月額が未登録／","")&amp;IF(AND($AQ1382&lt;&gt;"",OR(AND(INDEX(職員マスタ!$G$6:$G$405,$AP1382)&lt;&gt;"",INDEX(職員マスタ!$G$6:$G$405,$AP1382)&gt;EOMONTH($AQ1382,0)),AND(INDEX(職員マスタ!$H$6:$H$405,$AP1382)&lt;&gt;"",INDEX(職員マスタ!$H$6:$H$405,$AP1382)&lt;$AQ1382))),"対象月が時短期間外／","")&amp;IF(AND(INDEX(職員マスタ!$K$6:$K$405,$AP1382)&lt;&gt;"",N($W1382)&gt;0,INDEX(職員マスタ!$K$6:$K$405,$AP1382)&lt;&gt;$W1382),"標準報酬月額が申請書と相違（台帳"&amp;TEXT(INDEX(職員マスタ!$K$6:$K$405,$AP1382),"#,##0")&amp;"円／申請書"&amp;TEXT($W1382,"#,##0")&amp;"円）／","")&amp;IF(AND(INDEX(職員マスタ!$F$6:$F$405,$AP1382)&lt;&gt;"",$AQ1382&lt;&gt;"",INDEX(職員マスタ!$F$6:$F$405,$AP1382)&lt;$AQ1382),"対象月に子が2歳到達済／","")&amp;IF(AND($H1382&lt;&gt;"",INDEX(職員マスタ!$B$6:$B$405,$AP1382)&lt;&gt;"",SUBSTITUTE(SUBSTITUTE($H1382," ","")," ","")&lt;&gt;SUBSTITUTE(SUBSTITUTE(INDEX(職員マスタ!$B$6:$B$405,$AP1382)," ","")," ","")),"氏名がマスタと相違／","")&amp;IF(AND($Q1382&lt;&gt;"",INDEX(職員マスタ!$E$6:$E$405,$AP1382)&lt;&gt;"",$Q1382&lt;&gt;INDEX(職員マスタ!$E$6:$E$405,$AP1382)),"子の生年月日がマスタと相違／","")&amp;IF(AND($L1382&lt;&gt;"",INDEX(職員マスタ!$G$6:$G$405,$AP1382)&lt;&gt;"",$L1382&lt;&gt;INDEX(職員マスタ!$G$6:$G$405,$AP1382)),"時短開始日がマスタと相違／","")&amp;IF(AND($M1382&lt;&gt;"",INDEX(職員マスタ!$H$6:$H$405,$AP1382)&lt;&gt;"",$M1382&lt;&gt;INDEX(職員マスタ!$H$6:$H$405,$AP1382)),"時短終了日がマスタと相違／","")))&amp;IF(AND($B1382&lt;&gt;"",$E1382=""),"報酬額が未入力／","")&amp;IF(N($U1382)&gt;0,"申請書に入力エラーが残っています／","")&amp;IF(AND($B1382&lt;&gt;"",$AQ1382&lt;&gt;""),IF(COUNTIFS($B$6:$B$3005,$B1382,$C$6:$C$3005,$C1382,$D$6:$D$3005,$D1382)&gt;1,"同じ月の請求が重複しています／",""),"")&amp;IF(AND(N($E1382)&gt;0,$AB1382&lt;&gt;"",$AB1382&lt;&gt;"×",$AE1382=0,$AD1382=""),"計算額が下限以下のため不支給／",""))</f>
        <v/>
      </c>
      <c r="AN1382" s="12" t="n"/>
      <c r="AO1382" s="14">
        <f>IF($AF1382="保留中",COUNTIF($AF$6:$AF1382,"保留中"),"")</f>
        <v/>
      </c>
      <c r="AP1382" s="14">
        <f>IF($AQ1382="","",IF(SUMPRODUCT(MAX((職員マスタ!$A$6:$A$405=$B1382)*(((職員マスタ!$G$6:$G$405="")+(職員マスタ!$G$6:$G$405&lt;=EOMONTH($AQ1382,0)))&gt;0)*(((職員マスタ!$H$6:$H$405="")+(職員マスタ!$H$6:$H$405&gt;=$AQ1382))&gt;0)*(ROW(職員マスタ!$A$6:$A$405)-5)))&gt;0,SUMPRODUCT(MAX((職員マスタ!$A$6:$A$405=$B1382)*(((職員マスタ!$G$6:$G$405="")+(職員マスタ!$G$6:$G$405&lt;=EOMONTH($AQ1382,0)))&gt;0)*(((職員マスタ!$H$6:$H$405="")+(職員マスタ!$H$6:$H$405&gt;=$AQ1382))&gt;0)*(ROW(職員マスタ!$A$6:$A$405)-5))),IFERROR(MATCH($B1382,職員マスタ!$A$6:$A$405,0),"")))</f>
        <v/>
      </c>
      <c r="AQ1382" s="16">
        <f>IF(OR($B1382="",$C1382="",$D1382=""),"",DATE($C1382+2018,$D1382,1))</f>
        <v/>
      </c>
    </row>
    <row r="1383">
      <c r="A1383" s="11" t="n"/>
      <c r="B1383" s="12" t="n"/>
      <c r="C1383" s="12" t="n"/>
      <c r="D1383" s="12" t="n"/>
      <c r="E1383" s="13" t="n"/>
      <c r="F1383" s="12" t="n"/>
      <c r="G1383" s="13" t="n"/>
      <c r="H1383" s="12" t="n"/>
      <c r="I1383" s="12" t="n"/>
      <c r="J1383" s="12" t="n"/>
      <c r="K1383" s="12" t="n"/>
      <c r="L1383" s="11" t="n"/>
      <c r="M1383" s="11" t="n"/>
      <c r="N1383" s="11" t="n"/>
      <c r="O1383" s="11" t="n"/>
      <c r="P1383" s="12" t="n"/>
      <c r="Q1383" s="11" t="n"/>
      <c r="R1383" s="12" t="n"/>
      <c r="S1383" s="11" t="n"/>
      <c r="T1383" s="12" t="n"/>
      <c r="U1383" s="12" t="n"/>
      <c r="V1383" s="12" t="n"/>
      <c r="W1383" s="13" t="n"/>
      <c r="X1383" s="14">
        <f>IF($AP1383="",IF($B1383="","",$H1383),IF(INDEX(職員マスタ!$B$6:$B$405,$AP1383)="",$H1383,INDEX(職員マスタ!$B$6:$B$405,$AP1383)))</f>
        <v/>
      </c>
      <c r="Y1383" s="14">
        <f>IF($AP1383="",IF($B1383="","",$R1383),IF(INDEX(職員マスタ!$C$6:$C$405,$AP1383)="",$R1383,INDEX(職員マスタ!$C$6:$C$405,$AP1383)))</f>
        <v/>
      </c>
      <c r="Z1383" s="14">
        <f>IF($AQ1383="","","R"&amp;$C1383&amp;"."&amp;$D1383)</f>
        <v/>
      </c>
      <c r="AA1383" s="15">
        <f>IF(IF($AP1383="",FALSE,INDEX(職員マスタ!$K$6:$K$405,$AP1383)&lt;&gt;""),INDEX(職員マスタ!$K$6:$K$405,$AP1383),IF(N($W1383)&gt;0,$W1383,""))</f>
        <v/>
      </c>
      <c r="AB1383" s="14">
        <f>IF(OR($E1383="",$AA1383=""),"",IF($E1383&gt;=$AA1383,"×",IF($E1383&gt;=$AA1383*設定!$C$5,"△","○")))</f>
        <v/>
      </c>
      <c r="AC1383" s="15">
        <f>IF($AB1383="","",IF($AB1383="×",0,IF($AB1383="○",ROUNDDOWN($E1383*設定!$C$4,0),ROUNDDOWN($E1383*ROUND((9*$AA1383-9*$E1383)/(10*$E1383),4),0))))</f>
        <v/>
      </c>
      <c r="AD1383" s="13" t="n"/>
      <c r="AE1383" s="15">
        <f>IF($B1383="","",IF($AD1383&lt;&gt;"",$AD1383,IF($AC1383="","",IF($AC1383&lt;=設定!$C$3,0,$AC1383))))</f>
        <v/>
      </c>
      <c r="AF1383" s="14">
        <f>IF($B1383="","",IF(AND($AG1383&lt;&gt;"",$AI1383="",$AL1383=""),"保留中",IF($AL1383&lt;&gt;"",IF(N($AE1383)&gt;0,"支給済","不支給"),IF($AE1383="","要確認",IF($AE1383=0,"不支給","未処理")))))</f>
        <v/>
      </c>
      <c r="AG1383" s="12" t="n"/>
      <c r="AH1383" s="11" t="n"/>
      <c r="AI1383" s="11" t="n"/>
      <c r="AJ1383" s="11" t="n"/>
      <c r="AK1383" s="14">
        <f>IF(AND($AF1383="保留中",$AH1383&lt;&gt;""),TODAY()-$AH1383,"")</f>
        <v/>
      </c>
      <c r="AL1383" s="12" t="n"/>
      <c r="AM1383" s="14">
        <f>IF($B1383="","",IF($AQ1383="","対象年月が未入力／","")&amp;IF($B1383="","",IF($AP1383="","職員マスタに未登録の職員番号／",IF($AA1383="","標準報酬月額が未登録／","")&amp;IF(AND($AQ1383&lt;&gt;"",OR(AND(INDEX(職員マスタ!$G$6:$G$405,$AP1383)&lt;&gt;"",INDEX(職員マスタ!$G$6:$G$405,$AP1383)&gt;EOMONTH($AQ1383,0)),AND(INDEX(職員マスタ!$H$6:$H$405,$AP1383)&lt;&gt;"",INDEX(職員マスタ!$H$6:$H$405,$AP1383)&lt;$AQ1383))),"対象月が時短期間外／","")&amp;IF(AND(INDEX(職員マスタ!$K$6:$K$405,$AP1383)&lt;&gt;"",N($W1383)&gt;0,INDEX(職員マスタ!$K$6:$K$405,$AP1383)&lt;&gt;$W1383),"標準報酬月額が申請書と相違（台帳"&amp;TEXT(INDEX(職員マスタ!$K$6:$K$405,$AP1383),"#,##0")&amp;"円／申請書"&amp;TEXT($W1383,"#,##0")&amp;"円）／","")&amp;IF(AND(INDEX(職員マスタ!$F$6:$F$405,$AP1383)&lt;&gt;"",$AQ1383&lt;&gt;"",INDEX(職員マスタ!$F$6:$F$405,$AP1383)&lt;$AQ1383),"対象月に子が2歳到達済／","")&amp;IF(AND($H1383&lt;&gt;"",INDEX(職員マスタ!$B$6:$B$405,$AP1383)&lt;&gt;"",SUBSTITUTE(SUBSTITUTE($H1383," ","")," ","")&lt;&gt;SUBSTITUTE(SUBSTITUTE(INDEX(職員マスタ!$B$6:$B$405,$AP1383)," ","")," ","")),"氏名がマスタと相違／","")&amp;IF(AND($Q1383&lt;&gt;"",INDEX(職員マスタ!$E$6:$E$405,$AP1383)&lt;&gt;"",$Q1383&lt;&gt;INDEX(職員マスタ!$E$6:$E$405,$AP1383)),"子の生年月日がマスタと相違／","")&amp;IF(AND($L1383&lt;&gt;"",INDEX(職員マスタ!$G$6:$G$405,$AP1383)&lt;&gt;"",$L1383&lt;&gt;INDEX(職員マスタ!$G$6:$G$405,$AP1383)),"時短開始日がマスタと相違／","")&amp;IF(AND($M1383&lt;&gt;"",INDEX(職員マスタ!$H$6:$H$405,$AP1383)&lt;&gt;"",$M1383&lt;&gt;INDEX(職員マスタ!$H$6:$H$405,$AP1383)),"時短終了日がマスタと相違／","")))&amp;IF(AND($B1383&lt;&gt;"",$E1383=""),"報酬額が未入力／","")&amp;IF(N($U1383)&gt;0,"申請書に入力エラーが残っています／","")&amp;IF(AND($B1383&lt;&gt;"",$AQ1383&lt;&gt;""),IF(COUNTIFS($B$6:$B$3005,$B1383,$C$6:$C$3005,$C1383,$D$6:$D$3005,$D1383)&gt;1,"同じ月の請求が重複しています／",""),"")&amp;IF(AND(N($E1383)&gt;0,$AB1383&lt;&gt;"",$AB1383&lt;&gt;"×",$AE1383=0,$AD1383=""),"計算額が下限以下のため不支給／",""))</f>
        <v/>
      </c>
      <c r="AN1383" s="12" t="n"/>
      <c r="AO1383" s="14">
        <f>IF($AF1383="保留中",COUNTIF($AF$6:$AF1383,"保留中"),"")</f>
        <v/>
      </c>
      <c r="AP1383" s="14">
        <f>IF($AQ1383="","",IF(SUMPRODUCT(MAX((職員マスタ!$A$6:$A$405=$B1383)*(((職員マスタ!$G$6:$G$405="")+(職員マスタ!$G$6:$G$405&lt;=EOMONTH($AQ1383,0)))&gt;0)*(((職員マスタ!$H$6:$H$405="")+(職員マスタ!$H$6:$H$405&gt;=$AQ1383))&gt;0)*(ROW(職員マスタ!$A$6:$A$405)-5)))&gt;0,SUMPRODUCT(MAX((職員マスタ!$A$6:$A$405=$B1383)*(((職員マスタ!$G$6:$G$405="")+(職員マスタ!$G$6:$G$405&lt;=EOMONTH($AQ1383,0)))&gt;0)*(((職員マスタ!$H$6:$H$405="")+(職員マスタ!$H$6:$H$405&gt;=$AQ1383))&gt;0)*(ROW(職員マスタ!$A$6:$A$405)-5))),IFERROR(MATCH($B1383,職員マスタ!$A$6:$A$405,0),"")))</f>
        <v/>
      </c>
      <c r="AQ1383" s="16">
        <f>IF(OR($B1383="",$C1383="",$D1383=""),"",DATE($C1383+2018,$D1383,1))</f>
        <v/>
      </c>
    </row>
    <row r="1384">
      <c r="A1384" s="11" t="n"/>
      <c r="B1384" s="12" t="n"/>
      <c r="C1384" s="12" t="n"/>
      <c r="D1384" s="12" t="n"/>
      <c r="E1384" s="13" t="n"/>
      <c r="F1384" s="12" t="n"/>
      <c r="G1384" s="13" t="n"/>
      <c r="H1384" s="12" t="n"/>
      <c r="I1384" s="12" t="n"/>
      <c r="J1384" s="12" t="n"/>
      <c r="K1384" s="12" t="n"/>
      <c r="L1384" s="11" t="n"/>
      <c r="M1384" s="11" t="n"/>
      <c r="N1384" s="11" t="n"/>
      <c r="O1384" s="11" t="n"/>
      <c r="P1384" s="12" t="n"/>
      <c r="Q1384" s="11" t="n"/>
      <c r="R1384" s="12" t="n"/>
      <c r="S1384" s="11" t="n"/>
      <c r="T1384" s="12" t="n"/>
      <c r="U1384" s="12" t="n"/>
      <c r="V1384" s="12" t="n"/>
      <c r="W1384" s="13" t="n"/>
      <c r="X1384" s="14">
        <f>IF($AP1384="",IF($B1384="","",$H1384),IF(INDEX(職員マスタ!$B$6:$B$405,$AP1384)="",$H1384,INDEX(職員マスタ!$B$6:$B$405,$AP1384)))</f>
        <v/>
      </c>
      <c r="Y1384" s="14">
        <f>IF($AP1384="",IF($B1384="","",$R1384),IF(INDEX(職員マスタ!$C$6:$C$405,$AP1384)="",$R1384,INDEX(職員マスタ!$C$6:$C$405,$AP1384)))</f>
        <v/>
      </c>
      <c r="Z1384" s="14">
        <f>IF($AQ1384="","","R"&amp;$C1384&amp;"."&amp;$D1384)</f>
        <v/>
      </c>
      <c r="AA1384" s="15">
        <f>IF(IF($AP1384="",FALSE,INDEX(職員マスタ!$K$6:$K$405,$AP1384)&lt;&gt;""),INDEX(職員マスタ!$K$6:$K$405,$AP1384),IF(N($W1384)&gt;0,$W1384,""))</f>
        <v/>
      </c>
      <c r="AB1384" s="14">
        <f>IF(OR($E1384="",$AA1384=""),"",IF($E1384&gt;=$AA1384,"×",IF($E1384&gt;=$AA1384*設定!$C$5,"△","○")))</f>
        <v/>
      </c>
      <c r="AC1384" s="15">
        <f>IF($AB1384="","",IF($AB1384="×",0,IF($AB1384="○",ROUNDDOWN($E1384*設定!$C$4,0),ROUNDDOWN($E1384*ROUND((9*$AA1384-9*$E1384)/(10*$E1384),4),0))))</f>
        <v/>
      </c>
      <c r="AD1384" s="13" t="n"/>
      <c r="AE1384" s="15">
        <f>IF($B1384="","",IF($AD1384&lt;&gt;"",$AD1384,IF($AC1384="","",IF($AC1384&lt;=設定!$C$3,0,$AC1384))))</f>
        <v/>
      </c>
      <c r="AF1384" s="14">
        <f>IF($B1384="","",IF(AND($AG1384&lt;&gt;"",$AI1384="",$AL1384=""),"保留中",IF($AL1384&lt;&gt;"",IF(N($AE1384)&gt;0,"支給済","不支給"),IF($AE1384="","要確認",IF($AE1384=0,"不支給","未処理")))))</f>
        <v/>
      </c>
      <c r="AG1384" s="12" t="n"/>
      <c r="AH1384" s="11" t="n"/>
      <c r="AI1384" s="11" t="n"/>
      <c r="AJ1384" s="11" t="n"/>
      <c r="AK1384" s="14">
        <f>IF(AND($AF1384="保留中",$AH1384&lt;&gt;""),TODAY()-$AH1384,"")</f>
        <v/>
      </c>
      <c r="AL1384" s="12" t="n"/>
      <c r="AM1384" s="14">
        <f>IF($B1384="","",IF($AQ1384="","対象年月が未入力／","")&amp;IF($B1384="","",IF($AP1384="","職員マスタに未登録の職員番号／",IF($AA1384="","標準報酬月額が未登録／","")&amp;IF(AND($AQ1384&lt;&gt;"",OR(AND(INDEX(職員マスタ!$G$6:$G$405,$AP1384)&lt;&gt;"",INDEX(職員マスタ!$G$6:$G$405,$AP1384)&gt;EOMONTH($AQ1384,0)),AND(INDEX(職員マスタ!$H$6:$H$405,$AP1384)&lt;&gt;"",INDEX(職員マスタ!$H$6:$H$405,$AP1384)&lt;$AQ1384))),"対象月が時短期間外／","")&amp;IF(AND(INDEX(職員マスタ!$K$6:$K$405,$AP1384)&lt;&gt;"",N($W1384)&gt;0,INDEX(職員マスタ!$K$6:$K$405,$AP1384)&lt;&gt;$W1384),"標準報酬月額が申請書と相違（台帳"&amp;TEXT(INDEX(職員マスタ!$K$6:$K$405,$AP1384),"#,##0")&amp;"円／申請書"&amp;TEXT($W1384,"#,##0")&amp;"円）／","")&amp;IF(AND(INDEX(職員マスタ!$F$6:$F$405,$AP1384)&lt;&gt;"",$AQ1384&lt;&gt;"",INDEX(職員マスタ!$F$6:$F$405,$AP1384)&lt;$AQ1384),"対象月に子が2歳到達済／","")&amp;IF(AND($H1384&lt;&gt;"",INDEX(職員マスタ!$B$6:$B$405,$AP1384)&lt;&gt;"",SUBSTITUTE(SUBSTITUTE($H1384," ","")," ","")&lt;&gt;SUBSTITUTE(SUBSTITUTE(INDEX(職員マスタ!$B$6:$B$405,$AP1384)," ","")," ","")),"氏名がマスタと相違／","")&amp;IF(AND($Q1384&lt;&gt;"",INDEX(職員マスタ!$E$6:$E$405,$AP1384)&lt;&gt;"",$Q1384&lt;&gt;INDEX(職員マスタ!$E$6:$E$405,$AP1384)),"子の生年月日がマスタと相違／","")&amp;IF(AND($L1384&lt;&gt;"",INDEX(職員マスタ!$G$6:$G$405,$AP1384)&lt;&gt;"",$L1384&lt;&gt;INDEX(職員マスタ!$G$6:$G$405,$AP1384)),"時短開始日がマスタと相違／","")&amp;IF(AND($M1384&lt;&gt;"",INDEX(職員マスタ!$H$6:$H$405,$AP1384)&lt;&gt;"",$M1384&lt;&gt;INDEX(職員マスタ!$H$6:$H$405,$AP1384)),"時短終了日がマスタと相違／","")))&amp;IF(AND($B1384&lt;&gt;"",$E1384=""),"報酬額が未入力／","")&amp;IF(N($U1384)&gt;0,"申請書に入力エラーが残っています／","")&amp;IF(AND($B1384&lt;&gt;"",$AQ1384&lt;&gt;""),IF(COUNTIFS($B$6:$B$3005,$B1384,$C$6:$C$3005,$C1384,$D$6:$D$3005,$D1384)&gt;1,"同じ月の請求が重複しています／",""),"")&amp;IF(AND(N($E1384)&gt;0,$AB1384&lt;&gt;"",$AB1384&lt;&gt;"×",$AE1384=0,$AD1384=""),"計算額が下限以下のため不支給／",""))</f>
        <v/>
      </c>
      <c r="AN1384" s="12" t="n"/>
      <c r="AO1384" s="14">
        <f>IF($AF1384="保留中",COUNTIF($AF$6:$AF1384,"保留中"),"")</f>
        <v/>
      </c>
      <c r="AP1384" s="14">
        <f>IF($AQ1384="","",IF(SUMPRODUCT(MAX((職員マスタ!$A$6:$A$405=$B1384)*(((職員マスタ!$G$6:$G$405="")+(職員マスタ!$G$6:$G$405&lt;=EOMONTH($AQ1384,0)))&gt;0)*(((職員マスタ!$H$6:$H$405="")+(職員マスタ!$H$6:$H$405&gt;=$AQ1384))&gt;0)*(ROW(職員マスタ!$A$6:$A$405)-5)))&gt;0,SUMPRODUCT(MAX((職員マスタ!$A$6:$A$405=$B1384)*(((職員マスタ!$G$6:$G$405="")+(職員マスタ!$G$6:$G$405&lt;=EOMONTH($AQ1384,0)))&gt;0)*(((職員マスタ!$H$6:$H$405="")+(職員マスタ!$H$6:$H$405&gt;=$AQ1384))&gt;0)*(ROW(職員マスタ!$A$6:$A$405)-5))),IFERROR(MATCH($B1384,職員マスタ!$A$6:$A$405,0),"")))</f>
        <v/>
      </c>
      <c r="AQ1384" s="16">
        <f>IF(OR($B1384="",$C1384="",$D1384=""),"",DATE($C1384+2018,$D1384,1))</f>
        <v/>
      </c>
    </row>
    <row r="1385">
      <c r="A1385" s="11" t="n"/>
      <c r="B1385" s="12" t="n"/>
      <c r="C1385" s="12" t="n"/>
      <c r="D1385" s="12" t="n"/>
      <c r="E1385" s="13" t="n"/>
      <c r="F1385" s="12" t="n"/>
      <c r="G1385" s="13" t="n"/>
      <c r="H1385" s="12" t="n"/>
      <c r="I1385" s="12" t="n"/>
      <c r="J1385" s="12" t="n"/>
      <c r="K1385" s="12" t="n"/>
      <c r="L1385" s="11" t="n"/>
      <c r="M1385" s="11" t="n"/>
      <c r="N1385" s="11" t="n"/>
      <c r="O1385" s="11" t="n"/>
      <c r="P1385" s="12" t="n"/>
      <c r="Q1385" s="11" t="n"/>
      <c r="R1385" s="12" t="n"/>
      <c r="S1385" s="11" t="n"/>
      <c r="T1385" s="12" t="n"/>
      <c r="U1385" s="12" t="n"/>
      <c r="V1385" s="12" t="n"/>
      <c r="W1385" s="13" t="n"/>
      <c r="X1385" s="14">
        <f>IF($AP1385="",IF($B1385="","",$H1385),IF(INDEX(職員マスタ!$B$6:$B$405,$AP1385)="",$H1385,INDEX(職員マスタ!$B$6:$B$405,$AP1385)))</f>
        <v/>
      </c>
      <c r="Y1385" s="14">
        <f>IF($AP1385="",IF($B1385="","",$R1385),IF(INDEX(職員マスタ!$C$6:$C$405,$AP1385)="",$R1385,INDEX(職員マスタ!$C$6:$C$405,$AP1385)))</f>
        <v/>
      </c>
      <c r="Z1385" s="14">
        <f>IF($AQ1385="","","R"&amp;$C1385&amp;"."&amp;$D1385)</f>
        <v/>
      </c>
      <c r="AA1385" s="15">
        <f>IF(IF($AP1385="",FALSE,INDEX(職員マスタ!$K$6:$K$405,$AP1385)&lt;&gt;""),INDEX(職員マスタ!$K$6:$K$405,$AP1385),IF(N($W1385)&gt;0,$W1385,""))</f>
        <v/>
      </c>
      <c r="AB1385" s="14">
        <f>IF(OR($E1385="",$AA1385=""),"",IF($E1385&gt;=$AA1385,"×",IF($E1385&gt;=$AA1385*設定!$C$5,"△","○")))</f>
        <v/>
      </c>
      <c r="AC1385" s="15">
        <f>IF($AB1385="","",IF($AB1385="×",0,IF($AB1385="○",ROUNDDOWN($E1385*設定!$C$4,0),ROUNDDOWN($E1385*ROUND((9*$AA1385-9*$E1385)/(10*$E1385),4),0))))</f>
        <v/>
      </c>
      <c r="AD1385" s="13" t="n"/>
      <c r="AE1385" s="15">
        <f>IF($B1385="","",IF($AD1385&lt;&gt;"",$AD1385,IF($AC1385="","",IF($AC1385&lt;=設定!$C$3,0,$AC1385))))</f>
        <v/>
      </c>
      <c r="AF1385" s="14">
        <f>IF($B1385="","",IF(AND($AG1385&lt;&gt;"",$AI1385="",$AL1385=""),"保留中",IF($AL1385&lt;&gt;"",IF(N($AE1385)&gt;0,"支給済","不支給"),IF($AE1385="","要確認",IF($AE1385=0,"不支給","未処理")))))</f>
        <v/>
      </c>
      <c r="AG1385" s="12" t="n"/>
      <c r="AH1385" s="11" t="n"/>
      <c r="AI1385" s="11" t="n"/>
      <c r="AJ1385" s="11" t="n"/>
      <c r="AK1385" s="14">
        <f>IF(AND($AF1385="保留中",$AH1385&lt;&gt;""),TODAY()-$AH1385,"")</f>
        <v/>
      </c>
      <c r="AL1385" s="12" t="n"/>
      <c r="AM1385" s="14">
        <f>IF($B1385="","",IF($AQ1385="","対象年月が未入力／","")&amp;IF($B1385="","",IF($AP1385="","職員マスタに未登録の職員番号／",IF($AA1385="","標準報酬月額が未登録／","")&amp;IF(AND($AQ1385&lt;&gt;"",OR(AND(INDEX(職員マスタ!$G$6:$G$405,$AP1385)&lt;&gt;"",INDEX(職員マスタ!$G$6:$G$405,$AP1385)&gt;EOMONTH($AQ1385,0)),AND(INDEX(職員マスタ!$H$6:$H$405,$AP1385)&lt;&gt;"",INDEX(職員マスタ!$H$6:$H$405,$AP1385)&lt;$AQ1385))),"対象月が時短期間外／","")&amp;IF(AND(INDEX(職員マスタ!$K$6:$K$405,$AP1385)&lt;&gt;"",N($W1385)&gt;0,INDEX(職員マスタ!$K$6:$K$405,$AP1385)&lt;&gt;$W1385),"標準報酬月額が申請書と相違（台帳"&amp;TEXT(INDEX(職員マスタ!$K$6:$K$405,$AP1385),"#,##0")&amp;"円／申請書"&amp;TEXT($W1385,"#,##0")&amp;"円）／","")&amp;IF(AND(INDEX(職員マスタ!$F$6:$F$405,$AP1385)&lt;&gt;"",$AQ1385&lt;&gt;"",INDEX(職員マスタ!$F$6:$F$405,$AP1385)&lt;$AQ1385),"対象月に子が2歳到達済／","")&amp;IF(AND($H1385&lt;&gt;"",INDEX(職員マスタ!$B$6:$B$405,$AP1385)&lt;&gt;"",SUBSTITUTE(SUBSTITUTE($H1385," ","")," ","")&lt;&gt;SUBSTITUTE(SUBSTITUTE(INDEX(職員マスタ!$B$6:$B$405,$AP1385)," ","")," ","")),"氏名がマスタと相違／","")&amp;IF(AND($Q1385&lt;&gt;"",INDEX(職員マスタ!$E$6:$E$405,$AP1385)&lt;&gt;"",$Q1385&lt;&gt;INDEX(職員マスタ!$E$6:$E$405,$AP1385)),"子の生年月日がマスタと相違／","")&amp;IF(AND($L1385&lt;&gt;"",INDEX(職員マスタ!$G$6:$G$405,$AP1385)&lt;&gt;"",$L1385&lt;&gt;INDEX(職員マスタ!$G$6:$G$405,$AP1385)),"時短開始日がマスタと相違／","")&amp;IF(AND($M1385&lt;&gt;"",INDEX(職員マスタ!$H$6:$H$405,$AP1385)&lt;&gt;"",$M1385&lt;&gt;INDEX(職員マスタ!$H$6:$H$405,$AP1385)),"時短終了日がマスタと相違／","")))&amp;IF(AND($B1385&lt;&gt;"",$E1385=""),"報酬額が未入力／","")&amp;IF(N($U1385)&gt;0,"申請書に入力エラーが残っています／","")&amp;IF(AND($B1385&lt;&gt;"",$AQ1385&lt;&gt;""),IF(COUNTIFS($B$6:$B$3005,$B1385,$C$6:$C$3005,$C1385,$D$6:$D$3005,$D1385)&gt;1,"同じ月の請求が重複しています／",""),"")&amp;IF(AND(N($E1385)&gt;0,$AB1385&lt;&gt;"",$AB1385&lt;&gt;"×",$AE1385=0,$AD1385=""),"計算額が下限以下のため不支給／",""))</f>
        <v/>
      </c>
      <c r="AN1385" s="12" t="n"/>
      <c r="AO1385" s="14">
        <f>IF($AF1385="保留中",COUNTIF($AF$6:$AF1385,"保留中"),"")</f>
        <v/>
      </c>
      <c r="AP1385" s="14">
        <f>IF($AQ1385="","",IF(SUMPRODUCT(MAX((職員マスタ!$A$6:$A$405=$B1385)*(((職員マスタ!$G$6:$G$405="")+(職員マスタ!$G$6:$G$405&lt;=EOMONTH($AQ1385,0)))&gt;0)*(((職員マスタ!$H$6:$H$405="")+(職員マスタ!$H$6:$H$405&gt;=$AQ1385))&gt;0)*(ROW(職員マスタ!$A$6:$A$405)-5)))&gt;0,SUMPRODUCT(MAX((職員マスタ!$A$6:$A$405=$B1385)*(((職員マスタ!$G$6:$G$405="")+(職員マスタ!$G$6:$G$405&lt;=EOMONTH($AQ1385,0)))&gt;0)*(((職員マスタ!$H$6:$H$405="")+(職員マスタ!$H$6:$H$405&gt;=$AQ1385))&gt;0)*(ROW(職員マスタ!$A$6:$A$405)-5))),IFERROR(MATCH($B1385,職員マスタ!$A$6:$A$405,0),"")))</f>
        <v/>
      </c>
      <c r="AQ1385" s="16">
        <f>IF(OR($B1385="",$C1385="",$D1385=""),"",DATE($C1385+2018,$D1385,1))</f>
        <v/>
      </c>
    </row>
    <row r="1386">
      <c r="A1386" s="11" t="n"/>
      <c r="B1386" s="12" t="n"/>
      <c r="C1386" s="12" t="n"/>
      <c r="D1386" s="12" t="n"/>
      <c r="E1386" s="13" t="n"/>
      <c r="F1386" s="12" t="n"/>
      <c r="G1386" s="13" t="n"/>
      <c r="H1386" s="12" t="n"/>
      <c r="I1386" s="12" t="n"/>
      <c r="J1386" s="12" t="n"/>
      <c r="K1386" s="12" t="n"/>
      <c r="L1386" s="11" t="n"/>
      <c r="M1386" s="11" t="n"/>
      <c r="N1386" s="11" t="n"/>
      <c r="O1386" s="11" t="n"/>
      <c r="P1386" s="12" t="n"/>
      <c r="Q1386" s="11" t="n"/>
      <c r="R1386" s="12" t="n"/>
      <c r="S1386" s="11" t="n"/>
      <c r="T1386" s="12" t="n"/>
      <c r="U1386" s="12" t="n"/>
      <c r="V1386" s="12" t="n"/>
      <c r="W1386" s="13" t="n"/>
      <c r="X1386" s="14">
        <f>IF($AP1386="",IF($B1386="","",$H1386),IF(INDEX(職員マスタ!$B$6:$B$405,$AP1386)="",$H1386,INDEX(職員マスタ!$B$6:$B$405,$AP1386)))</f>
        <v/>
      </c>
      <c r="Y1386" s="14">
        <f>IF($AP1386="",IF($B1386="","",$R1386),IF(INDEX(職員マスタ!$C$6:$C$405,$AP1386)="",$R1386,INDEX(職員マスタ!$C$6:$C$405,$AP1386)))</f>
        <v/>
      </c>
      <c r="Z1386" s="14">
        <f>IF($AQ1386="","","R"&amp;$C1386&amp;"."&amp;$D1386)</f>
        <v/>
      </c>
      <c r="AA1386" s="15">
        <f>IF(IF($AP1386="",FALSE,INDEX(職員マスタ!$K$6:$K$405,$AP1386)&lt;&gt;""),INDEX(職員マスタ!$K$6:$K$405,$AP1386),IF(N($W1386)&gt;0,$W1386,""))</f>
        <v/>
      </c>
      <c r="AB1386" s="14">
        <f>IF(OR($E1386="",$AA1386=""),"",IF($E1386&gt;=$AA1386,"×",IF($E1386&gt;=$AA1386*設定!$C$5,"△","○")))</f>
        <v/>
      </c>
      <c r="AC1386" s="15">
        <f>IF($AB1386="","",IF($AB1386="×",0,IF($AB1386="○",ROUNDDOWN($E1386*設定!$C$4,0),ROUNDDOWN($E1386*ROUND((9*$AA1386-9*$E1386)/(10*$E1386),4),0))))</f>
        <v/>
      </c>
      <c r="AD1386" s="13" t="n"/>
      <c r="AE1386" s="15">
        <f>IF($B1386="","",IF($AD1386&lt;&gt;"",$AD1386,IF($AC1386="","",IF($AC1386&lt;=設定!$C$3,0,$AC1386))))</f>
        <v/>
      </c>
      <c r="AF1386" s="14">
        <f>IF($B1386="","",IF(AND($AG1386&lt;&gt;"",$AI1386="",$AL1386=""),"保留中",IF($AL1386&lt;&gt;"",IF(N($AE1386)&gt;0,"支給済","不支給"),IF($AE1386="","要確認",IF($AE1386=0,"不支給","未処理")))))</f>
        <v/>
      </c>
      <c r="AG1386" s="12" t="n"/>
      <c r="AH1386" s="11" t="n"/>
      <c r="AI1386" s="11" t="n"/>
      <c r="AJ1386" s="11" t="n"/>
      <c r="AK1386" s="14">
        <f>IF(AND($AF1386="保留中",$AH1386&lt;&gt;""),TODAY()-$AH1386,"")</f>
        <v/>
      </c>
      <c r="AL1386" s="12" t="n"/>
      <c r="AM1386" s="14">
        <f>IF($B1386="","",IF($AQ1386="","対象年月が未入力／","")&amp;IF($B1386="","",IF($AP1386="","職員マスタに未登録の職員番号／",IF($AA1386="","標準報酬月額が未登録／","")&amp;IF(AND($AQ1386&lt;&gt;"",OR(AND(INDEX(職員マスタ!$G$6:$G$405,$AP1386)&lt;&gt;"",INDEX(職員マスタ!$G$6:$G$405,$AP1386)&gt;EOMONTH($AQ1386,0)),AND(INDEX(職員マスタ!$H$6:$H$405,$AP1386)&lt;&gt;"",INDEX(職員マスタ!$H$6:$H$405,$AP1386)&lt;$AQ1386))),"対象月が時短期間外／","")&amp;IF(AND(INDEX(職員マスタ!$K$6:$K$405,$AP1386)&lt;&gt;"",N($W1386)&gt;0,INDEX(職員マスタ!$K$6:$K$405,$AP1386)&lt;&gt;$W1386),"標準報酬月額が申請書と相違（台帳"&amp;TEXT(INDEX(職員マスタ!$K$6:$K$405,$AP1386),"#,##0")&amp;"円／申請書"&amp;TEXT($W1386,"#,##0")&amp;"円）／","")&amp;IF(AND(INDEX(職員マスタ!$F$6:$F$405,$AP1386)&lt;&gt;"",$AQ1386&lt;&gt;"",INDEX(職員マスタ!$F$6:$F$405,$AP1386)&lt;$AQ1386),"対象月に子が2歳到達済／","")&amp;IF(AND($H1386&lt;&gt;"",INDEX(職員マスタ!$B$6:$B$405,$AP1386)&lt;&gt;"",SUBSTITUTE(SUBSTITUTE($H1386," ","")," ","")&lt;&gt;SUBSTITUTE(SUBSTITUTE(INDEX(職員マスタ!$B$6:$B$405,$AP1386)," ","")," ","")),"氏名がマスタと相違／","")&amp;IF(AND($Q1386&lt;&gt;"",INDEX(職員マスタ!$E$6:$E$405,$AP1386)&lt;&gt;"",$Q1386&lt;&gt;INDEX(職員マスタ!$E$6:$E$405,$AP1386)),"子の生年月日がマスタと相違／","")&amp;IF(AND($L1386&lt;&gt;"",INDEX(職員マスタ!$G$6:$G$405,$AP1386)&lt;&gt;"",$L1386&lt;&gt;INDEX(職員マスタ!$G$6:$G$405,$AP1386)),"時短開始日がマスタと相違／","")&amp;IF(AND($M1386&lt;&gt;"",INDEX(職員マスタ!$H$6:$H$405,$AP1386)&lt;&gt;"",$M1386&lt;&gt;INDEX(職員マスタ!$H$6:$H$405,$AP1386)),"時短終了日がマスタと相違／","")))&amp;IF(AND($B1386&lt;&gt;"",$E1386=""),"報酬額が未入力／","")&amp;IF(N($U1386)&gt;0,"申請書に入力エラーが残っています／","")&amp;IF(AND($B1386&lt;&gt;"",$AQ1386&lt;&gt;""),IF(COUNTIFS($B$6:$B$3005,$B1386,$C$6:$C$3005,$C1386,$D$6:$D$3005,$D1386)&gt;1,"同じ月の請求が重複しています／",""),"")&amp;IF(AND(N($E1386)&gt;0,$AB1386&lt;&gt;"",$AB1386&lt;&gt;"×",$AE1386=0,$AD1386=""),"計算額が下限以下のため不支給／",""))</f>
        <v/>
      </c>
      <c r="AN1386" s="12" t="n"/>
      <c r="AO1386" s="14">
        <f>IF($AF1386="保留中",COUNTIF($AF$6:$AF1386,"保留中"),"")</f>
        <v/>
      </c>
      <c r="AP1386" s="14">
        <f>IF($AQ1386="","",IF(SUMPRODUCT(MAX((職員マスタ!$A$6:$A$405=$B1386)*(((職員マスタ!$G$6:$G$405="")+(職員マスタ!$G$6:$G$405&lt;=EOMONTH($AQ1386,0)))&gt;0)*(((職員マスタ!$H$6:$H$405="")+(職員マスタ!$H$6:$H$405&gt;=$AQ1386))&gt;0)*(ROW(職員マスタ!$A$6:$A$405)-5)))&gt;0,SUMPRODUCT(MAX((職員マスタ!$A$6:$A$405=$B1386)*(((職員マスタ!$G$6:$G$405="")+(職員マスタ!$G$6:$G$405&lt;=EOMONTH($AQ1386,0)))&gt;0)*(((職員マスタ!$H$6:$H$405="")+(職員マスタ!$H$6:$H$405&gt;=$AQ1386))&gt;0)*(ROW(職員マスタ!$A$6:$A$405)-5))),IFERROR(MATCH($B1386,職員マスタ!$A$6:$A$405,0),"")))</f>
        <v/>
      </c>
      <c r="AQ1386" s="16">
        <f>IF(OR($B1386="",$C1386="",$D1386=""),"",DATE($C1386+2018,$D1386,1))</f>
        <v/>
      </c>
    </row>
    <row r="1387">
      <c r="A1387" s="11" t="n"/>
      <c r="B1387" s="12" t="n"/>
      <c r="C1387" s="12" t="n"/>
      <c r="D1387" s="12" t="n"/>
      <c r="E1387" s="13" t="n"/>
      <c r="F1387" s="12" t="n"/>
      <c r="G1387" s="13" t="n"/>
      <c r="H1387" s="12" t="n"/>
      <c r="I1387" s="12" t="n"/>
      <c r="J1387" s="12" t="n"/>
      <c r="K1387" s="12" t="n"/>
      <c r="L1387" s="11" t="n"/>
      <c r="M1387" s="11" t="n"/>
      <c r="N1387" s="11" t="n"/>
      <c r="O1387" s="11" t="n"/>
      <c r="P1387" s="12" t="n"/>
      <c r="Q1387" s="11" t="n"/>
      <c r="R1387" s="12" t="n"/>
      <c r="S1387" s="11" t="n"/>
      <c r="T1387" s="12" t="n"/>
      <c r="U1387" s="12" t="n"/>
      <c r="V1387" s="12" t="n"/>
      <c r="W1387" s="13" t="n"/>
      <c r="X1387" s="14">
        <f>IF($AP1387="",IF($B1387="","",$H1387),IF(INDEX(職員マスタ!$B$6:$B$405,$AP1387)="",$H1387,INDEX(職員マスタ!$B$6:$B$405,$AP1387)))</f>
        <v/>
      </c>
      <c r="Y1387" s="14">
        <f>IF($AP1387="",IF($B1387="","",$R1387),IF(INDEX(職員マスタ!$C$6:$C$405,$AP1387)="",$R1387,INDEX(職員マスタ!$C$6:$C$405,$AP1387)))</f>
        <v/>
      </c>
      <c r="Z1387" s="14">
        <f>IF($AQ1387="","","R"&amp;$C1387&amp;"."&amp;$D1387)</f>
        <v/>
      </c>
      <c r="AA1387" s="15">
        <f>IF(IF($AP1387="",FALSE,INDEX(職員マスタ!$K$6:$K$405,$AP1387)&lt;&gt;""),INDEX(職員マスタ!$K$6:$K$405,$AP1387),IF(N($W1387)&gt;0,$W1387,""))</f>
        <v/>
      </c>
      <c r="AB1387" s="14">
        <f>IF(OR($E1387="",$AA1387=""),"",IF($E1387&gt;=$AA1387,"×",IF($E1387&gt;=$AA1387*設定!$C$5,"△","○")))</f>
        <v/>
      </c>
      <c r="AC1387" s="15">
        <f>IF($AB1387="","",IF($AB1387="×",0,IF($AB1387="○",ROUNDDOWN($E1387*設定!$C$4,0),ROUNDDOWN($E1387*ROUND((9*$AA1387-9*$E1387)/(10*$E1387),4),0))))</f>
        <v/>
      </c>
      <c r="AD1387" s="13" t="n"/>
      <c r="AE1387" s="15">
        <f>IF($B1387="","",IF($AD1387&lt;&gt;"",$AD1387,IF($AC1387="","",IF($AC1387&lt;=設定!$C$3,0,$AC1387))))</f>
        <v/>
      </c>
      <c r="AF1387" s="14">
        <f>IF($B1387="","",IF(AND($AG1387&lt;&gt;"",$AI1387="",$AL1387=""),"保留中",IF($AL1387&lt;&gt;"",IF(N($AE1387)&gt;0,"支給済","不支給"),IF($AE1387="","要確認",IF($AE1387=0,"不支給","未処理")))))</f>
        <v/>
      </c>
      <c r="AG1387" s="12" t="n"/>
      <c r="AH1387" s="11" t="n"/>
      <c r="AI1387" s="11" t="n"/>
      <c r="AJ1387" s="11" t="n"/>
      <c r="AK1387" s="14">
        <f>IF(AND($AF1387="保留中",$AH1387&lt;&gt;""),TODAY()-$AH1387,"")</f>
        <v/>
      </c>
      <c r="AL1387" s="12" t="n"/>
      <c r="AM1387" s="14">
        <f>IF($B1387="","",IF($AQ1387="","対象年月が未入力／","")&amp;IF($B1387="","",IF($AP1387="","職員マスタに未登録の職員番号／",IF($AA1387="","標準報酬月額が未登録／","")&amp;IF(AND($AQ1387&lt;&gt;"",OR(AND(INDEX(職員マスタ!$G$6:$G$405,$AP1387)&lt;&gt;"",INDEX(職員マスタ!$G$6:$G$405,$AP1387)&gt;EOMONTH($AQ1387,0)),AND(INDEX(職員マスタ!$H$6:$H$405,$AP1387)&lt;&gt;"",INDEX(職員マスタ!$H$6:$H$405,$AP1387)&lt;$AQ1387))),"対象月が時短期間外／","")&amp;IF(AND(INDEX(職員マスタ!$K$6:$K$405,$AP1387)&lt;&gt;"",N($W1387)&gt;0,INDEX(職員マスタ!$K$6:$K$405,$AP1387)&lt;&gt;$W1387),"標準報酬月額が申請書と相違（台帳"&amp;TEXT(INDEX(職員マスタ!$K$6:$K$405,$AP1387),"#,##0")&amp;"円／申請書"&amp;TEXT($W1387,"#,##0")&amp;"円）／","")&amp;IF(AND(INDEX(職員マスタ!$F$6:$F$405,$AP1387)&lt;&gt;"",$AQ1387&lt;&gt;"",INDEX(職員マスタ!$F$6:$F$405,$AP1387)&lt;$AQ1387),"対象月に子が2歳到達済／","")&amp;IF(AND($H1387&lt;&gt;"",INDEX(職員マスタ!$B$6:$B$405,$AP1387)&lt;&gt;"",SUBSTITUTE(SUBSTITUTE($H1387," ","")," ","")&lt;&gt;SUBSTITUTE(SUBSTITUTE(INDEX(職員マスタ!$B$6:$B$405,$AP1387)," ","")," ","")),"氏名がマスタと相違／","")&amp;IF(AND($Q1387&lt;&gt;"",INDEX(職員マスタ!$E$6:$E$405,$AP1387)&lt;&gt;"",$Q1387&lt;&gt;INDEX(職員マスタ!$E$6:$E$405,$AP1387)),"子の生年月日がマスタと相違／","")&amp;IF(AND($L1387&lt;&gt;"",INDEX(職員マスタ!$G$6:$G$405,$AP1387)&lt;&gt;"",$L1387&lt;&gt;INDEX(職員マスタ!$G$6:$G$405,$AP1387)),"時短開始日がマスタと相違／","")&amp;IF(AND($M1387&lt;&gt;"",INDEX(職員マスタ!$H$6:$H$405,$AP1387)&lt;&gt;"",$M1387&lt;&gt;INDEX(職員マスタ!$H$6:$H$405,$AP1387)),"時短終了日がマスタと相違／","")))&amp;IF(AND($B1387&lt;&gt;"",$E1387=""),"報酬額が未入力／","")&amp;IF(N($U1387)&gt;0,"申請書に入力エラーが残っています／","")&amp;IF(AND($B1387&lt;&gt;"",$AQ1387&lt;&gt;""),IF(COUNTIFS($B$6:$B$3005,$B1387,$C$6:$C$3005,$C1387,$D$6:$D$3005,$D1387)&gt;1,"同じ月の請求が重複しています／",""),"")&amp;IF(AND(N($E1387)&gt;0,$AB1387&lt;&gt;"",$AB1387&lt;&gt;"×",$AE1387=0,$AD1387=""),"計算額が下限以下のため不支給／",""))</f>
        <v/>
      </c>
      <c r="AN1387" s="12" t="n"/>
      <c r="AO1387" s="14">
        <f>IF($AF1387="保留中",COUNTIF($AF$6:$AF1387,"保留中"),"")</f>
        <v/>
      </c>
      <c r="AP1387" s="14">
        <f>IF($AQ1387="","",IF(SUMPRODUCT(MAX((職員マスタ!$A$6:$A$405=$B1387)*(((職員マスタ!$G$6:$G$405="")+(職員マスタ!$G$6:$G$405&lt;=EOMONTH($AQ1387,0)))&gt;0)*(((職員マスタ!$H$6:$H$405="")+(職員マスタ!$H$6:$H$405&gt;=$AQ1387))&gt;0)*(ROW(職員マスタ!$A$6:$A$405)-5)))&gt;0,SUMPRODUCT(MAX((職員マスタ!$A$6:$A$405=$B1387)*(((職員マスタ!$G$6:$G$405="")+(職員マスタ!$G$6:$G$405&lt;=EOMONTH($AQ1387,0)))&gt;0)*(((職員マスタ!$H$6:$H$405="")+(職員マスタ!$H$6:$H$405&gt;=$AQ1387))&gt;0)*(ROW(職員マスタ!$A$6:$A$405)-5))),IFERROR(MATCH($B1387,職員マスタ!$A$6:$A$405,0),"")))</f>
        <v/>
      </c>
      <c r="AQ1387" s="16">
        <f>IF(OR($B1387="",$C1387="",$D1387=""),"",DATE($C1387+2018,$D1387,1))</f>
        <v/>
      </c>
    </row>
    <row r="1388">
      <c r="A1388" s="11" t="n"/>
      <c r="B1388" s="12" t="n"/>
      <c r="C1388" s="12" t="n"/>
      <c r="D1388" s="12" t="n"/>
      <c r="E1388" s="13" t="n"/>
      <c r="F1388" s="12" t="n"/>
      <c r="G1388" s="13" t="n"/>
      <c r="H1388" s="12" t="n"/>
      <c r="I1388" s="12" t="n"/>
      <c r="J1388" s="12" t="n"/>
      <c r="K1388" s="12" t="n"/>
      <c r="L1388" s="11" t="n"/>
      <c r="M1388" s="11" t="n"/>
      <c r="N1388" s="11" t="n"/>
      <c r="O1388" s="11" t="n"/>
      <c r="P1388" s="12" t="n"/>
      <c r="Q1388" s="11" t="n"/>
      <c r="R1388" s="12" t="n"/>
      <c r="S1388" s="11" t="n"/>
      <c r="T1388" s="12" t="n"/>
      <c r="U1388" s="12" t="n"/>
      <c r="V1388" s="12" t="n"/>
      <c r="W1388" s="13" t="n"/>
      <c r="X1388" s="14">
        <f>IF($AP1388="",IF($B1388="","",$H1388),IF(INDEX(職員マスタ!$B$6:$B$405,$AP1388)="",$H1388,INDEX(職員マスタ!$B$6:$B$405,$AP1388)))</f>
        <v/>
      </c>
      <c r="Y1388" s="14">
        <f>IF($AP1388="",IF($B1388="","",$R1388),IF(INDEX(職員マスタ!$C$6:$C$405,$AP1388)="",$R1388,INDEX(職員マスタ!$C$6:$C$405,$AP1388)))</f>
        <v/>
      </c>
      <c r="Z1388" s="14">
        <f>IF($AQ1388="","","R"&amp;$C1388&amp;"."&amp;$D1388)</f>
        <v/>
      </c>
      <c r="AA1388" s="15">
        <f>IF(IF($AP1388="",FALSE,INDEX(職員マスタ!$K$6:$K$405,$AP1388)&lt;&gt;""),INDEX(職員マスタ!$K$6:$K$405,$AP1388),IF(N($W1388)&gt;0,$W1388,""))</f>
        <v/>
      </c>
      <c r="AB1388" s="14">
        <f>IF(OR($E1388="",$AA1388=""),"",IF($E1388&gt;=$AA1388,"×",IF($E1388&gt;=$AA1388*設定!$C$5,"△","○")))</f>
        <v/>
      </c>
      <c r="AC1388" s="15">
        <f>IF($AB1388="","",IF($AB1388="×",0,IF($AB1388="○",ROUNDDOWN($E1388*設定!$C$4,0),ROUNDDOWN($E1388*ROUND((9*$AA1388-9*$E1388)/(10*$E1388),4),0))))</f>
        <v/>
      </c>
      <c r="AD1388" s="13" t="n"/>
      <c r="AE1388" s="15">
        <f>IF($B1388="","",IF($AD1388&lt;&gt;"",$AD1388,IF($AC1388="","",IF($AC1388&lt;=設定!$C$3,0,$AC1388))))</f>
        <v/>
      </c>
      <c r="AF1388" s="14">
        <f>IF($B1388="","",IF(AND($AG1388&lt;&gt;"",$AI1388="",$AL1388=""),"保留中",IF($AL1388&lt;&gt;"",IF(N($AE1388)&gt;0,"支給済","不支給"),IF($AE1388="","要確認",IF($AE1388=0,"不支給","未処理")))))</f>
        <v/>
      </c>
      <c r="AG1388" s="12" t="n"/>
      <c r="AH1388" s="11" t="n"/>
      <c r="AI1388" s="11" t="n"/>
      <c r="AJ1388" s="11" t="n"/>
      <c r="AK1388" s="14">
        <f>IF(AND($AF1388="保留中",$AH1388&lt;&gt;""),TODAY()-$AH1388,"")</f>
        <v/>
      </c>
      <c r="AL1388" s="12" t="n"/>
      <c r="AM1388" s="14">
        <f>IF($B1388="","",IF($AQ1388="","対象年月が未入力／","")&amp;IF($B1388="","",IF($AP1388="","職員マスタに未登録の職員番号／",IF($AA1388="","標準報酬月額が未登録／","")&amp;IF(AND($AQ1388&lt;&gt;"",OR(AND(INDEX(職員マスタ!$G$6:$G$405,$AP1388)&lt;&gt;"",INDEX(職員マスタ!$G$6:$G$405,$AP1388)&gt;EOMONTH($AQ1388,0)),AND(INDEX(職員マスタ!$H$6:$H$405,$AP1388)&lt;&gt;"",INDEX(職員マスタ!$H$6:$H$405,$AP1388)&lt;$AQ1388))),"対象月が時短期間外／","")&amp;IF(AND(INDEX(職員マスタ!$K$6:$K$405,$AP1388)&lt;&gt;"",N($W1388)&gt;0,INDEX(職員マスタ!$K$6:$K$405,$AP1388)&lt;&gt;$W1388),"標準報酬月額が申請書と相違（台帳"&amp;TEXT(INDEX(職員マスタ!$K$6:$K$405,$AP1388),"#,##0")&amp;"円／申請書"&amp;TEXT($W1388,"#,##0")&amp;"円）／","")&amp;IF(AND(INDEX(職員マスタ!$F$6:$F$405,$AP1388)&lt;&gt;"",$AQ1388&lt;&gt;"",INDEX(職員マスタ!$F$6:$F$405,$AP1388)&lt;$AQ1388),"対象月に子が2歳到達済／","")&amp;IF(AND($H1388&lt;&gt;"",INDEX(職員マスタ!$B$6:$B$405,$AP1388)&lt;&gt;"",SUBSTITUTE(SUBSTITUTE($H1388," ","")," ","")&lt;&gt;SUBSTITUTE(SUBSTITUTE(INDEX(職員マスタ!$B$6:$B$405,$AP1388)," ","")," ","")),"氏名がマスタと相違／","")&amp;IF(AND($Q1388&lt;&gt;"",INDEX(職員マスタ!$E$6:$E$405,$AP1388)&lt;&gt;"",$Q1388&lt;&gt;INDEX(職員マスタ!$E$6:$E$405,$AP1388)),"子の生年月日がマスタと相違／","")&amp;IF(AND($L1388&lt;&gt;"",INDEX(職員マスタ!$G$6:$G$405,$AP1388)&lt;&gt;"",$L1388&lt;&gt;INDEX(職員マスタ!$G$6:$G$405,$AP1388)),"時短開始日がマスタと相違／","")&amp;IF(AND($M1388&lt;&gt;"",INDEX(職員マスタ!$H$6:$H$405,$AP1388)&lt;&gt;"",$M1388&lt;&gt;INDEX(職員マスタ!$H$6:$H$405,$AP1388)),"時短終了日がマスタと相違／","")))&amp;IF(AND($B1388&lt;&gt;"",$E1388=""),"報酬額が未入力／","")&amp;IF(N($U1388)&gt;0,"申請書に入力エラーが残っています／","")&amp;IF(AND($B1388&lt;&gt;"",$AQ1388&lt;&gt;""),IF(COUNTIFS($B$6:$B$3005,$B1388,$C$6:$C$3005,$C1388,$D$6:$D$3005,$D1388)&gt;1,"同じ月の請求が重複しています／",""),"")&amp;IF(AND(N($E1388)&gt;0,$AB1388&lt;&gt;"",$AB1388&lt;&gt;"×",$AE1388=0,$AD1388=""),"計算額が下限以下のため不支給／",""))</f>
        <v/>
      </c>
      <c r="AN1388" s="12" t="n"/>
      <c r="AO1388" s="14">
        <f>IF($AF1388="保留中",COUNTIF($AF$6:$AF1388,"保留中"),"")</f>
        <v/>
      </c>
      <c r="AP1388" s="14">
        <f>IF($AQ1388="","",IF(SUMPRODUCT(MAX((職員マスタ!$A$6:$A$405=$B1388)*(((職員マスタ!$G$6:$G$405="")+(職員マスタ!$G$6:$G$405&lt;=EOMONTH($AQ1388,0)))&gt;0)*(((職員マスタ!$H$6:$H$405="")+(職員マスタ!$H$6:$H$405&gt;=$AQ1388))&gt;0)*(ROW(職員マスタ!$A$6:$A$405)-5)))&gt;0,SUMPRODUCT(MAX((職員マスタ!$A$6:$A$405=$B1388)*(((職員マスタ!$G$6:$G$405="")+(職員マスタ!$G$6:$G$405&lt;=EOMONTH($AQ1388,0)))&gt;0)*(((職員マスタ!$H$6:$H$405="")+(職員マスタ!$H$6:$H$405&gt;=$AQ1388))&gt;0)*(ROW(職員マスタ!$A$6:$A$405)-5))),IFERROR(MATCH($B1388,職員マスタ!$A$6:$A$405,0),"")))</f>
        <v/>
      </c>
      <c r="AQ1388" s="16">
        <f>IF(OR($B1388="",$C1388="",$D1388=""),"",DATE($C1388+2018,$D1388,1))</f>
        <v/>
      </c>
    </row>
    <row r="1389">
      <c r="A1389" s="11" t="n"/>
      <c r="B1389" s="12" t="n"/>
      <c r="C1389" s="12" t="n"/>
      <c r="D1389" s="12" t="n"/>
      <c r="E1389" s="13" t="n"/>
      <c r="F1389" s="12" t="n"/>
      <c r="G1389" s="13" t="n"/>
      <c r="H1389" s="12" t="n"/>
      <c r="I1389" s="12" t="n"/>
      <c r="J1389" s="12" t="n"/>
      <c r="K1389" s="12" t="n"/>
      <c r="L1389" s="11" t="n"/>
      <c r="M1389" s="11" t="n"/>
      <c r="N1389" s="11" t="n"/>
      <c r="O1389" s="11" t="n"/>
      <c r="P1389" s="12" t="n"/>
      <c r="Q1389" s="11" t="n"/>
      <c r="R1389" s="12" t="n"/>
      <c r="S1389" s="11" t="n"/>
      <c r="T1389" s="12" t="n"/>
      <c r="U1389" s="12" t="n"/>
      <c r="V1389" s="12" t="n"/>
      <c r="W1389" s="13" t="n"/>
      <c r="X1389" s="14">
        <f>IF($AP1389="",IF($B1389="","",$H1389),IF(INDEX(職員マスタ!$B$6:$B$405,$AP1389)="",$H1389,INDEX(職員マスタ!$B$6:$B$405,$AP1389)))</f>
        <v/>
      </c>
      <c r="Y1389" s="14">
        <f>IF($AP1389="",IF($B1389="","",$R1389),IF(INDEX(職員マスタ!$C$6:$C$405,$AP1389)="",$R1389,INDEX(職員マスタ!$C$6:$C$405,$AP1389)))</f>
        <v/>
      </c>
      <c r="Z1389" s="14">
        <f>IF($AQ1389="","","R"&amp;$C1389&amp;"."&amp;$D1389)</f>
        <v/>
      </c>
      <c r="AA1389" s="15">
        <f>IF(IF($AP1389="",FALSE,INDEX(職員マスタ!$K$6:$K$405,$AP1389)&lt;&gt;""),INDEX(職員マスタ!$K$6:$K$405,$AP1389),IF(N($W1389)&gt;0,$W1389,""))</f>
        <v/>
      </c>
      <c r="AB1389" s="14">
        <f>IF(OR($E1389="",$AA1389=""),"",IF($E1389&gt;=$AA1389,"×",IF($E1389&gt;=$AA1389*設定!$C$5,"△","○")))</f>
        <v/>
      </c>
      <c r="AC1389" s="15">
        <f>IF($AB1389="","",IF($AB1389="×",0,IF($AB1389="○",ROUNDDOWN($E1389*設定!$C$4,0),ROUNDDOWN($E1389*ROUND((9*$AA1389-9*$E1389)/(10*$E1389),4),0))))</f>
        <v/>
      </c>
      <c r="AD1389" s="13" t="n"/>
      <c r="AE1389" s="15">
        <f>IF($B1389="","",IF($AD1389&lt;&gt;"",$AD1389,IF($AC1389="","",IF($AC1389&lt;=設定!$C$3,0,$AC1389))))</f>
        <v/>
      </c>
      <c r="AF1389" s="14">
        <f>IF($B1389="","",IF(AND($AG1389&lt;&gt;"",$AI1389="",$AL1389=""),"保留中",IF($AL1389&lt;&gt;"",IF(N($AE1389)&gt;0,"支給済","不支給"),IF($AE1389="","要確認",IF($AE1389=0,"不支給","未処理")))))</f>
        <v/>
      </c>
      <c r="AG1389" s="12" t="n"/>
      <c r="AH1389" s="11" t="n"/>
      <c r="AI1389" s="11" t="n"/>
      <c r="AJ1389" s="11" t="n"/>
      <c r="AK1389" s="14">
        <f>IF(AND($AF1389="保留中",$AH1389&lt;&gt;""),TODAY()-$AH1389,"")</f>
        <v/>
      </c>
      <c r="AL1389" s="12" t="n"/>
      <c r="AM1389" s="14">
        <f>IF($B1389="","",IF($AQ1389="","対象年月が未入力／","")&amp;IF($B1389="","",IF($AP1389="","職員マスタに未登録の職員番号／",IF($AA1389="","標準報酬月額が未登録／","")&amp;IF(AND($AQ1389&lt;&gt;"",OR(AND(INDEX(職員マスタ!$G$6:$G$405,$AP1389)&lt;&gt;"",INDEX(職員マスタ!$G$6:$G$405,$AP1389)&gt;EOMONTH($AQ1389,0)),AND(INDEX(職員マスタ!$H$6:$H$405,$AP1389)&lt;&gt;"",INDEX(職員マスタ!$H$6:$H$405,$AP1389)&lt;$AQ1389))),"対象月が時短期間外／","")&amp;IF(AND(INDEX(職員マスタ!$K$6:$K$405,$AP1389)&lt;&gt;"",N($W1389)&gt;0,INDEX(職員マスタ!$K$6:$K$405,$AP1389)&lt;&gt;$W1389),"標準報酬月額が申請書と相違（台帳"&amp;TEXT(INDEX(職員マスタ!$K$6:$K$405,$AP1389),"#,##0")&amp;"円／申請書"&amp;TEXT($W1389,"#,##0")&amp;"円）／","")&amp;IF(AND(INDEX(職員マスタ!$F$6:$F$405,$AP1389)&lt;&gt;"",$AQ1389&lt;&gt;"",INDEX(職員マスタ!$F$6:$F$405,$AP1389)&lt;$AQ1389),"対象月に子が2歳到達済／","")&amp;IF(AND($H1389&lt;&gt;"",INDEX(職員マスタ!$B$6:$B$405,$AP1389)&lt;&gt;"",SUBSTITUTE(SUBSTITUTE($H1389," ","")," ","")&lt;&gt;SUBSTITUTE(SUBSTITUTE(INDEX(職員マスタ!$B$6:$B$405,$AP1389)," ","")," ","")),"氏名がマスタと相違／","")&amp;IF(AND($Q1389&lt;&gt;"",INDEX(職員マスタ!$E$6:$E$405,$AP1389)&lt;&gt;"",$Q1389&lt;&gt;INDEX(職員マスタ!$E$6:$E$405,$AP1389)),"子の生年月日がマスタと相違／","")&amp;IF(AND($L1389&lt;&gt;"",INDEX(職員マスタ!$G$6:$G$405,$AP1389)&lt;&gt;"",$L1389&lt;&gt;INDEX(職員マスタ!$G$6:$G$405,$AP1389)),"時短開始日がマスタと相違／","")&amp;IF(AND($M1389&lt;&gt;"",INDEX(職員マスタ!$H$6:$H$405,$AP1389)&lt;&gt;"",$M1389&lt;&gt;INDEX(職員マスタ!$H$6:$H$405,$AP1389)),"時短終了日がマスタと相違／","")))&amp;IF(AND($B1389&lt;&gt;"",$E1389=""),"報酬額が未入力／","")&amp;IF(N($U1389)&gt;0,"申請書に入力エラーが残っています／","")&amp;IF(AND($B1389&lt;&gt;"",$AQ1389&lt;&gt;""),IF(COUNTIFS($B$6:$B$3005,$B1389,$C$6:$C$3005,$C1389,$D$6:$D$3005,$D1389)&gt;1,"同じ月の請求が重複しています／",""),"")&amp;IF(AND(N($E1389)&gt;0,$AB1389&lt;&gt;"",$AB1389&lt;&gt;"×",$AE1389=0,$AD1389=""),"計算額が下限以下のため不支給／",""))</f>
        <v/>
      </c>
      <c r="AN1389" s="12" t="n"/>
      <c r="AO1389" s="14">
        <f>IF($AF1389="保留中",COUNTIF($AF$6:$AF1389,"保留中"),"")</f>
        <v/>
      </c>
      <c r="AP1389" s="14">
        <f>IF($AQ1389="","",IF(SUMPRODUCT(MAX((職員マスタ!$A$6:$A$405=$B1389)*(((職員マスタ!$G$6:$G$405="")+(職員マスタ!$G$6:$G$405&lt;=EOMONTH($AQ1389,0)))&gt;0)*(((職員マスタ!$H$6:$H$405="")+(職員マスタ!$H$6:$H$405&gt;=$AQ1389))&gt;0)*(ROW(職員マスタ!$A$6:$A$405)-5)))&gt;0,SUMPRODUCT(MAX((職員マスタ!$A$6:$A$405=$B1389)*(((職員マスタ!$G$6:$G$405="")+(職員マスタ!$G$6:$G$405&lt;=EOMONTH($AQ1389,0)))&gt;0)*(((職員マスタ!$H$6:$H$405="")+(職員マスタ!$H$6:$H$405&gt;=$AQ1389))&gt;0)*(ROW(職員マスタ!$A$6:$A$405)-5))),IFERROR(MATCH($B1389,職員マスタ!$A$6:$A$405,0),"")))</f>
        <v/>
      </c>
      <c r="AQ1389" s="16">
        <f>IF(OR($B1389="",$C1389="",$D1389=""),"",DATE($C1389+2018,$D1389,1))</f>
        <v/>
      </c>
    </row>
    <row r="1390">
      <c r="A1390" s="11" t="n"/>
      <c r="B1390" s="12" t="n"/>
      <c r="C1390" s="12" t="n"/>
      <c r="D1390" s="12" t="n"/>
      <c r="E1390" s="13" t="n"/>
      <c r="F1390" s="12" t="n"/>
      <c r="G1390" s="13" t="n"/>
      <c r="H1390" s="12" t="n"/>
      <c r="I1390" s="12" t="n"/>
      <c r="J1390" s="12" t="n"/>
      <c r="K1390" s="12" t="n"/>
      <c r="L1390" s="11" t="n"/>
      <c r="M1390" s="11" t="n"/>
      <c r="N1390" s="11" t="n"/>
      <c r="O1390" s="11" t="n"/>
      <c r="P1390" s="12" t="n"/>
      <c r="Q1390" s="11" t="n"/>
      <c r="R1390" s="12" t="n"/>
      <c r="S1390" s="11" t="n"/>
      <c r="T1390" s="12" t="n"/>
      <c r="U1390" s="12" t="n"/>
      <c r="V1390" s="12" t="n"/>
      <c r="W1390" s="13" t="n"/>
      <c r="X1390" s="14">
        <f>IF($AP1390="",IF($B1390="","",$H1390),IF(INDEX(職員マスタ!$B$6:$B$405,$AP1390)="",$H1390,INDEX(職員マスタ!$B$6:$B$405,$AP1390)))</f>
        <v/>
      </c>
      <c r="Y1390" s="14">
        <f>IF($AP1390="",IF($B1390="","",$R1390),IF(INDEX(職員マスタ!$C$6:$C$405,$AP1390)="",$R1390,INDEX(職員マスタ!$C$6:$C$405,$AP1390)))</f>
        <v/>
      </c>
      <c r="Z1390" s="14">
        <f>IF($AQ1390="","","R"&amp;$C1390&amp;"."&amp;$D1390)</f>
        <v/>
      </c>
      <c r="AA1390" s="15">
        <f>IF(IF($AP1390="",FALSE,INDEX(職員マスタ!$K$6:$K$405,$AP1390)&lt;&gt;""),INDEX(職員マスタ!$K$6:$K$405,$AP1390),IF(N($W1390)&gt;0,$W1390,""))</f>
        <v/>
      </c>
      <c r="AB1390" s="14">
        <f>IF(OR($E1390="",$AA1390=""),"",IF($E1390&gt;=$AA1390,"×",IF($E1390&gt;=$AA1390*設定!$C$5,"△","○")))</f>
        <v/>
      </c>
      <c r="AC1390" s="15">
        <f>IF($AB1390="","",IF($AB1390="×",0,IF($AB1390="○",ROUNDDOWN($E1390*設定!$C$4,0),ROUNDDOWN($E1390*ROUND((9*$AA1390-9*$E1390)/(10*$E1390),4),0))))</f>
        <v/>
      </c>
      <c r="AD1390" s="13" t="n"/>
      <c r="AE1390" s="15">
        <f>IF($B1390="","",IF($AD1390&lt;&gt;"",$AD1390,IF($AC1390="","",IF($AC1390&lt;=設定!$C$3,0,$AC1390))))</f>
        <v/>
      </c>
      <c r="AF1390" s="14">
        <f>IF($B1390="","",IF(AND($AG1390&lt;&gt;"",$AI1390="",$AL1390=""),"保留中",IF($AL1390&lt;&gt;"",IF(N($AE1390)&gt;0,"支給済","不支給"),IF($AE1390="","要確認",IF($AE1390=0,"不支給","未処理")))))</f>
        <v/>
      </c>
      <c r="AG1390" s="12" t="n"/>
      <c r="AH1390" s="11" t="n"/>
      <c r="AI1390" s="11" t="n"/>
      <c r="AJ1390" s="11" t="n"/>
      <c r="AK1390" s="14">
        <f>IF(AND($AF1390="保留中",$AH1390&lt;&gt;""),TODAY()-$AH1390,"")</f>
        <v/>
      </c>
      <c r="AL1390" s="12" t="n"/>
      <c r="AM1390" s="14">
        <f>IF($B1390="","",IF($AQ1390="","対象年月が未入力／","")&amp;IF($B1390="","",IF($AP1390="","職員マスタに未登録の職員番号／",IF($AA1390="","標準報酬月額が未登録／","")&amp;IF(AND($AQ1390&lt;&gt;"",OR(AND(INDEX(職員マスタ!$G$6:$G$405,$AP1390)&lt;&gt;"",INDEX(職員マスタ!$G$6:$G$405,$AP1390)&gt;EOMONTH($AQ1390,0)),AND(INDEX(職員マスタ!$H$6:$H$405,$AP1390)&lt;&gt;"",INDEX(職員マスタ!$H$6:$H$405,$AP1390)&lt;$AQ1390))),"対象月が時短期間外／","")&amp;IF(AND(INDEX(職員マスタ!$K$6:$K$405,$AP1390)&lt;&gt;"",N($W1390)&gt;0,INDEX(職員マスタ!$K$6:$K$405,$AP1390)&lt;&gt;$W1390),"標準報酬月額が申請書と相違（台帳"&amp;TEXT(INDEX(職員マスタ!$K$6:$K$405,$AP1390),"#,##0")&amp;"円／申請書"&amp;TEXT($W1390,"#,##0")&amp;"円）／","")&amp;IF(AND(INDEX(職員マスタ!$F$6:$F$405,$AP1390)&lt;&gt;"",$AQ1390&lt;&gt;"",INDEX(職員マスタ!$F$6:$F$405,$AP1390)&lt;$AQ1390),"対象月に子が2歳到達済／","")&amp;IF(AND($H1390&lt;&gt;"",INDEX(職員マスタ!$B$6:$B$405,$AP1390)&lt;&gt;"",SUBSTITUTE(SUBSTITUTE($H1390," ","")," ","")&lt;&gt;SUBSTITUTE(SUBSTITUTE(INDEX(職員マスタ!$B$6:$B$405,$AP1390)," ","")," ","")),"氏名がマスタと相違／","")&amp;IF(AND($Q1390&lt;&gt;"",INDEX(職員マスタ!$E$6:$E$405,$AP1390)&lt;&gt;"",$Q1390&lt;&gt;INDEX(職員マスタ!$E$6:$E$405,$AP1390)),"子の生年月日がマスタと相違／","")&amp;IF(AND($L1390&lt;&gt;"",INDEX(職員マスタ!$G$6:$G$405,$AP1390)&lt;&gt;"",$L1390&lt;&gt;INDEX(職員マスタ!$G$6:$G$405,$AP1390)),"時短開始日がマスタと相違／","")&amp;IF(AND($M1390&lt;&gt;"",INDEX(職員マスタ!$H$6:$H$405,$AP1390)&lt;&gt;"",$M1390&lt;&gt;INDEX(職員マスタ!$H$6:$H$405,$AP1390)),"時短終了日がマスタと相違／","")))&amp;IF(AND($B1390&lt;&gt;"",$E1390=""),"報酬額が未入力／","")&amp;IF(N($U1390)&gt;0,"申請書に入力エラーが残っています／","")&amp;IF(AND($B1390&lt;&gt;"",$AQ1390&lt;&gt;""),IF(COUNTIFS($B$6:$B$3005,$B1390,$C$6:$C$3005,$C1390,$D$6:$D$3005,$D1390)&gt;1,"同じ月の請求が重複しています／",""),"")&amp;IF(AND(N($E1390)&gt;0,$AB1390&lt;&gt;"",$AB1390&lt;&gt;"×",$AE1390=0,$AD1390=""),"計算額が下限以下のため不支給／",""))</f>
        <v/>
      </c>
      <c r="AN1390" s="12" t="n"/>
      <c r="AO1390" s="14">
        <f>IF($AF1390="保留中",COUNTIF($AF$6:$AF1390,"保留中"),"")</f>
        <v/>
      </c>
      <c r="AP1390" s="14">
        <f>IF($AQ1390="","",IF(SUMPRODUCT(MAX((職員マスタ!$A$6:$A$405=$B1390)*(((職員マスタ!$G$6:$G$405="")+(職員マスタ!$G$6:$G$405&lt;=EOMONTH($AQ1390,0)))&gt;0)*(((職員マスタ!$H$6:$H$405="")+(職員マスタ!$H$6:$H$405&gt;=$AQ1390))&gt;0)*(ROW(職員マスタ!$A$6:$A$405)-5)))&gt;0,SUMPRODUCT(MAX((職員マスタ!$A$6:$A$405=$B1390)*(((職員マスタ!$G$6:$G$405="")+(職員マスタ!$G$6:$G$405&lt;=EOMONTH($AQ1390,0)))&gt;0)*(((職員マスタ!$H$6:$H$405="")+(職員マスタ!$H$6:$H$405&gt;=$AQ1390))&gt;0)*(ROW(職員マスタ!$A$6:$A$405)-5))),IFERROR(MATCH($B1390,職員マスタ!$A$6:$A$405,0),"")))</f>
        <v/>
      </c>
      <c r="AQ1390" s="16">
        <f>IF(OR($B1390="",$C1390="",$D1390=""),"",DATE($C1390+2018,$D1390,1))</f>
        <v/>
      </c>
    </row>
    <row r="1391">
      <c r="A1391" s="11" t="n"/>
      <c r="B1391" s="12" t="n"/>
      <c r="C1391" s="12" t="n"/>
      <c r="D1391" s="12" t="n"/>
      <c r="E1391" s="13" t="n"/>
      <c r="F1391" s="12" t="n"/>
      <c r="G1391" s="13" t="n"/>
      <c r="H1391" s="12" t="n"/>
      <c r="I1391" s="12" t="n"/>
      <c r="J1391" s="12" t="n"/>
      <c r="K1391" s="12" t="n"/>
      <c r="L1391" s="11" t="n"/>
      <c r="M1391" s="11" t="n"/>
      <c r="N1391" s="11" t="n"/>
      <c r="O1391" s="11" t="n"/>
      <c r="P1391" s="12" t="n"/>
      <c r="Q1391" s="11" t="n"/>
      <c r="R1391" s="12" t="n"/>
      <c r="S1391" s="11" t="n"/>
      <c r="T1391" s="12" t="n"/>
      <c r="U1391" s="12" t="n"/>
      <c r="V1391" s="12" t="n"/>
      <c r="W1391" s="13" t="n"/>
      <c r="X1391" s="14">
        <f>IF($AP1391="",IF($B1391="","",$H1391),IF(INDEX(職員マスタ!$B$6:$B$405,$AP1391)="",$H1391,INDEX(職員マスタ!$B$6:$B$405,$AP1391)))</f>
        <v/>
      </c>
      <c r="Y1391" s="14">
        <f>IF($AP1391="",IF($B1391="","",$R1391),IF(INDEX(職員マスタ!$C$6:$C$405,$AP1391)="",$R1391,INDEX(職員マスタ!$C$6:$C$405,$AP1391)))</f>
        <v/>
      </c>
      <c r="Z1391" s="14">
        <f>IF($AQ1391="","","R"&amp;$C1391&amp;"."&amp;$D1391)</f>
        <v/>
      </c>
      <c r="AA1391" s="15">
        <f>IF(IF($AP1391="",FALSE,INDEX(職員マスタ!$K$6:$K$405,$AP1391)&lt;&gt;""),INDEX(職員マスタ!$K$6:$K$405,$AP1391),IF(N($W1391)&gt;0,$W1391,""))</f>
        <v/>
      </c>
      <c r="AB1391" s="14">
        <f>IF(OR($E1391="",$AA1391=""),"",IF($E1391&gt;=$AA1391,"×",IF($E1391&gt;=$AA1391*設定!$C$5,"△","○")))</f>
        <v/>
      </c>
      <c r="AC1391" s="15">
        <f>IF($AB1391="","",IF($AB1391="×",0,IF($AB1391="○",ROUNDDOWN($E1391*設定!$C$4,0),ROUNDDOWN($E1391*ROUND((9*$AA1391-9*$E1391)/(10*$E1391),4),0))))</f>
        <v/>
      </c>
      <c r="AD1391" s="13" t="n"/>
      <c r="AE1391" s="15">
        <f>IF($B1391="","",IF($AD1391&lt;&gt;"",$AD1391,IF($AC1391="","",IF($AC1391&lt;=設定!$C$3,0,$AC1391))))</f>
        <v/>
      </c>
      <c r="AF1391" s="14">
        <f>IF($B1391="","",IF(AND($AG1391&lt;&gt;"",$AI1391="",$AL1391=""),"保留中",IF($AL1391&lt;&gt;"",IF(N($AE1391)&gt;0,"支給済","不支給"),IF($AE1391="","要確認",IF($AE1391=0,"不支給","未処理")))))</f>
        <v/>
      </c>
      <c r="AG1391" s="12" t="n"/>
      <c r="AH1391" s="11" t="n"/>
      <c r="AI1391" s="11" t="n"/>
      <c r="AJ1391" s="11" t="n"/>
      <c r="AK1391" s="14">
        <f>IF(AND($AF1391="保留中",$AH1391&lt;&gt;""),TODAY()-$AH1391,"")</f>
        <v/>
      </c>
      <c r="AL1391" s="12" t="n"/>
      <c r="AM1391" s="14">
        <f>IF($B1391="","",IF($AQ1391="","対象年月が未入力／","")&amp;IF($B1391="","",IF($AP1391="","職員マスタに未登録の職員番号／",IF($AA1391="","標準報酬月額が未登録／","")&amp;IF(AND($AQ1391&lt;&gt;"",OR(AND(INDEX(職員マスタ!$G$6:$G$405,$AP1391)&lt;&gt;"",INDEX(職員マスタ!$G$6:$G$405,$AP1391)&gt;EOMONTH($AQ1391,0)),AND(INDEX(職員マスタ!$H$6:$H$405,$AP1391)&lt;&gt;"",INDEX(職員マスタ!$H$6:$H$405,$AP1391)&lt;$AQ1391))),"対象月が時短期間外／","")&amp;IF(AND(INDEX(職員マスタ!$K$6:$K$405,$AP1391)&lt;&gt;"",N($W1391)&gt;0,INDEX(職員マスタ!$K$6:$K$405,$AP1391)&lt;&gt;$W1391),"標準報酬月額が申請書と相違（台帳"&amp;TEXT(INDEX(職員マスタ!$K$6:$K$405,$AP1391),"#,##0")&amp;"円／申請書"&amp;TEXT($W1391,"#,##0")&amp;"円）／","")&amp;IF(AND(INDEX(職員マスタ!$F$6:$F$405,$AP1391)&lt;&gt;"",$AQ1391&lt;&gt;"",INDEX(職員マスタ!$F$6:$F$405,$AP1391)&lt;$AQ1391),"対象月に子が2歳到達済／","")&amp;IF(AND($H1391&lt;&gt;"",INDEX(職員マスタ!$B$6:$B$405,$AP1391)&lt;&gt;"",SUBSTITUTE(SUBSTITUTE($H1391," ","")," ","")&lt;&gt;SUBSTITUTE(SUBSTITUTE(INDEX(職員マスタ!$B$6:$B$405,$AP1391)," ","")," ","")),"氏名がマスタと相違／","")&amp;IF(AND($Q1391&lt;&gt;"",INDEX(職員マスタ!$E$6:$E$405,$AP1391)&lt;&gt;"",$Q1391&lt;&gt;INDEX(職員マスタ!$E$6:$E$405,$AP1391)),"子の生年月日がマスタと相違／","")&amp;IF(AND($L1391&lt;&gt;"",INDEX(職員マスタ!$G$6:$G$405,$AP1391)&lt;&gt;"",$L1391&lt;&gt;INDEX(職員マスタ!$G$6:$G$405,$AP1391)),"時短開始日がマスタと相違／","")&amp;IF(AND($M1391&lt;&gt;"",INDEX(職員マスタ!$H$6:$H$405,$AP1391)&lt;&gt;"",$M1391&lt;&gt;INDEX(職員マスタ!$H$6:$H$405,$AP1391)),"時短終了日がマスタと相違／","")))&amp;IF(AND($B1391&lt;&gt;"",$E1391=""),"報酬額が未入力／","")&amp;IF(N($U1391)&gt;0,"申請書に入力エラーが残っています／","")&amp;IF(AND($B1391&lt;&gt;"",$AQ1391&lt;&gt;""),IF(COUNTIFS($B$6:$B$3005,$B1391,$C$6:$C$3005,$C1391,$D$6:$D$3005,$D1391)&gt;1,"同じ月の請求が重複しています／",""),"")&amp;IF(AND(N($E1391)&gt;0,$AB1391&lt;&gt;"",$AB1391&lt;&gt;"×",$AE1391=0,$AD1391=""),"計算額が下限以下のため不支給／",""))</f>
        <v/>
      </c>
      <c r="AN1391" s="12" t="n"/>
      <c r="AO1391" s="14">
        <f>IF($AF1391="保留中",COUNTIF($AF$6:$AF1391,"保留中"),"")</f>
        <v/>
      </c>
      <c r="AP1391" s="14">
        <f>IF($AQ1391="","",IF(SUMPRODUCT(MAX((職員マスタ!$A$6:$A$405=$B1391)*(((職員マスタ!$G$6:$G$405="")+(職員マスタ!$G$6:$G$405&lt;=EOMONTH($AQ1391,0)))&gt;0)*(((職員マスタ!$H$6:$H$405="")+(職員マスタ!$H$6:$H$405&gt;=$AQ1391))&gt;0)*(ROW(職員マスタ!$A$6:$A$405)-5)))&gt;0,SUMPRODUCT(MAX((職員マスタ!$A$6:$A$405=$B1391)*(((職員マスタ!$G$6:$G$405="")+(職員マスタ!$G$6:$G$405&lt;=EOMONTH($AQ1391,0)))&gt;0)*(((職員マスタ!$H$6:$H$405="")+(職員マスタ!$H$6:$H$405&gt;=$AQ1391))&gt;0)*(ROW(職員マスタ!$A$6:$A$405)-5))),IFERROR(MATCH($B1391,職員マスタ!$A$6:$A$405,0),"")))</f>
        <v/>
      </c>
      <c r="AQ1391" s="16">
        <f>IF(OR($B1391="",$C1391="",$D1391=""),"",DATE($C1391+2018,$D1391,1))</f>
        <v/>
      </c>
    </row>
    <row r="1392">
      <c r="A1392" s="11" t="n"/>
      <c r="B1392" s="12" t="n"/>
      <c r="C1392" s="12" t="n"/>
      <c r="D1392" s="12" t="n"/>
      <c r="E1392" s="13" t="n"/>
      <c r="F1392" s="12" t="n"/>
      <c r="G1392" s="13" t="n"/>
      <c r="H1392" s="12" t="n"/>
      <c r="I1392" s="12" t="n"/>
      <c r="J1392" s="12" t="n"/>
      <c r="K1392" s="12" t="n"/>
      <c r="L1392" s="11" t="n"/>
      <c r="M1392" s="11" t="n"/>
      <c r="N1392" s="11" t="n"/>
      <c r="O1392" s="11" t="n"/>
      <c r="P1392" s="12" t="n"/>
      <c r="Q1392" s="11" t="n"/>
      <c r="R1392" s="12" t="n"/>
      <c r="S1392" s="11" t="n"/>
      <c r="T1392" s="12" t="n"/>
      <c r="U1392" s="12" t="n"/>
      <c r="V1392" s="12" t="n"/>
      <c r="W1392" s="13" t="n"/>
      <c r="X1392" s="14">
        <f>IF($AP1392="",IF($B1392="","",$H1392),IF(INDEX(職員マスタ!$B$6:$B$405,$AP1392)="",$H1392,INDEX(職員マスタ!$B$6:$B$405,$AP1392)))</f>
        <v/>
      </c>
      <c r="Y1392" s="14">
        <f>IF($AP1392="",IF($B1392="","",$R1392),IF(INDEX(職員マスタ!$C$6:$C$405,$AP1392)="",$R1392,INDEX(職員マスタ!$C$6:$C$405,$AP1392)))</f>
        <v/>
      </c>
      <c r="Z1392" s="14">
        <f>IF($AQ1392="","","R"&amp;$C1392&amp;"."&amp;$D1392)</f>
        <v/>
      </c>
      <c r="AA1392" s="15">
        <f>IF(IF($AP1392="",FALSE,INDEX(職員マスタ!$K$6:$K$405,$AP1392)&lt;&gt;""),INDEX(職員マスタ!$K$6:$K$405,$AP1392),IF(N($W1392)&gt;0,$W1392,""))</f>
        <v/>
      </c>
      <c r="AB1392" s="14">
        <f>IF(OR($E1392="",$AA1392=""),"",IF($E1392&gt;=$AA1392,"×",IF($E1392&gt;=$AA1392*設定!$C$5,"△","○")))</f>
        <v/>
      </c>
      <c r="AC1392" s="15">
        <f>IF($AB1392="","",IF($AB1392="×",0,IF($AB1392="○",ROUNDDOWN($E1392*設定!$C$4,0),ROUNDDOWN($E1392*ROUND((9*$AA1392-9*$E1392)/(10*$E1392),4),0))))</f>
        <v/>
      </c>
      <c r="AD1392" s="13" t="n"/>
      <c r="AE1392" s="15">
        <f>IF($B1392="","",IF($AD1392&lt;&gt;"",$AD1392,IF($AC1392="","",IF($AC1392&lt;=設定!$C$3,0,$AC1392))))</f>
        <v/>
      </c>
      <c r="AF1392" s="14">
        <f>IF($B1392="","",IF(AND($AG1392&lt;&gt;"",$AI1392="",$AL1392=""),"保留中",IF($AL1392&lt;&gt;"",IF(N($AE1392)&gt;0,"支給済","不支給"),IF($AE1392="","要確認",IF($AE1392=0,"不支給","未処理")))))</f>
        <v/>
      </c>
      <c r="AG1392" s="12" t="n"/>
      <c r="AH1392" s="11" t="n"/>
      <c r="AI1392" s="11" t="n"/>
      <c r="AJ1392" s="11" t="n"/>
      <c r="AK1392" s="14">
        <f>IF(AND($AF1392="保留中",$AH1392&lt;&gt;""),TODAY()-$AH1392,"")</f>
        <v/>
      </c>
      <c r="AL1392" s="12" t="n"/>
      <c r="AM1392" s="14">
        <f>IF($B1392="","",IF($AQ1392="","対象年月が未入力／","")&amp;IF($B1392="","",IF($AP1392="","職員マスタに未登録の職員番号／",IF($AA1392="","標準報酬月額が未登録／","")&amp;IF(AND($AQ1392&lt;&gt;"",OR(AND(INDEX(職員マスタ!$G$6:$G$405,$AP1392)&lt;&gt;"",INDEX(職員マスタ!$G$6:$G$405,$AP1392)&gt;EOMONTH($AQ1392,0)),AND(INDEX(職員マスタ!$H$6:$H$405,$AP1392)&lt;&gt;"",INDEX(職員マスタ!$H$6:$H$405,$AP1392)&lt;$AQ1392))),"対象月が時短期間外／","")&amp;IF(AND(INDEX(職員マスタ!$K$6:$K$405,$AP1392)&lt;&gt;"",N($W1392)&gt;0,INDEX(職員マスタ!$K$6:$K$405,$AP1392)&lt;&gt;$W1392),"標準報酬月額が申請書と相違（台帳"&amp;TEXT(INDEX(職員マスタ!$K$6:$K$405,$AP1392),"#,##0")&amp;"円／申請書"&amp;TEXT($W1392,"#,##0")&amp;"円）／","")&amp;IF(AND(INDEX(職員マスタ!$F$6:$F$405,$AP1392)&lt;&gt;"",$AQ1392&lt;&gt;"",INDEX(職員マスタ!$F$6:$F$405,$AP1392)&lt;$AQ1392),"対象月に子が2歳到達済／","")&amp;IF(AND($H1392&lt;&gt;"",INDEX(職員マスタ!$B$6:$B$405,$AP1392)&lt;&gt;"",SUBSTITUTE(SUBSTITUTE($H1392," ","")," ","")&lt;&gt;SUBSTITUTE(SUBSTITUTE(INDEX(職員マスタ!$B$6:$B$405,$AP1392)," ","")," ","")),"氏名がマスタと相違／","")&amp;IF(AND($Q1392&lt;&gt;"",INDEX(職員マスタ!$E$6:$E$405,$AP1392)&lt;&gt;"",$Q1392&lt;&gt;INDEX(職員マスタ!$E$6:$E$405,$AP1392)),"子の生年月日がマスタと相違／","")&amp;IF(AND($L1392&lt;&gt;"",INDEX(職員マスタ!$G$6:$G$405,$AP1392)&lt;&gt;"",$L1392&lt;&gt;INDEX(職員マスタ!$G$6:$G$405,$AP1392)),"時短開始日がマスタと相違／","")&amp;IF(AND($M1392&lt;&gt;"",INDEX(職員マスタ!$H$6:$H$405,$AP1392)&lt;&gt;"",$M1392&lt;&gt;INDEX(職員マスタ!$H$6:$H$405,$AP1392)),"時短終了日がマスタと相違／","")))&amp;IF(AND($B1392&lt;&gt;"",$E1392=""),"報酬額が未入力／","")&amp;IF(N($U1392)&gt;0,"申請書に入力エラーが残っています／","")&amp;IF(AND($B1392&lt;&gt;"",$AQ1392&lt;&gt;""),IF(COUNTIFS($B$6:$B$3005,$B1392,$C$6:$C$3005,$C1392,$D$6:$D$3005,$D1392)&gt;1,"同じ月の請求が重複しています／",""),"")&amp;IF(AND(N($E1392)&gt;0,$AB1392&lt;&gt;"",$AB1392&lt;&gt;"×",$AE1392=0,$AD1392=""),"計算額が下限以下のため不支給／",""))</f>
        <v/>
      </c>
      <c r="AN1392" s="12" t="n"/>
      <c r="AO1392" s="14">
        <f>IF($AF1392="保留中",COUNTIF($AF$6:$AF1392,"保留中"),"")</f>
        <v/>
      </c>
      <c r="AP1392" s="14">
        <f>IF($AQ1392="","",IF(SUMPRODUCT(MAX((職員マスタ!$A$6:$A$405=$B1392)*(((職員マスタ!$G$6:$G$405="")+(職員マスタ!$G$6:$G$405&lt;=EOMONTH($AQ1392,0)))&gt;0)*(((職員マスタ!$H$6:$H$405="")+(職員マスタ!$H$6:$H$405&gt;=$AQ1392))&gt;0)*(ROW(職員マスタ!$A$6:$A$405)-5)))&gt;0,SUMPRODUCT(MAX((職員マスタ!$A$6:$A$405=$B1392)*(((職員マスタ!$G$6:$G$405="")+(職員マスタ!$G$6:$G$405&lt;=EOMONTH($AQ1392,0)))&gt;0)*(((職員マスタ!$H$6:$H$405="")+(職員マスタ!$H$6:$H$405&gt;=$AQ1392))&gt;0)*(ROW(職員マスタ!$A$6:$A$405)-5))),IFERROR(MATCH($B1392,職員マスタ!$A$6:$A$405,0),"")))</f>
        <v/>
      </c>
      <c r="AQ1392" s="16">
        <f>IF(OR($B1392="",$C1392="",$D1392=""),"",DATE($C1392+2018,$D1392,1))</f>
        <v/>
      </c>
    </row>
    <row r="1393">
      <c r="A1393" s="11" t="n"/>
      <c r="B1393" s="12" t="n"/>
      <c r="C1393" s="12" t="n"/>
      <c r="D1393" s="12" t="n"/>
      <c r="E1393" s="13" t="n"/>
      <c r="F1393" s="12" t="n"/>
      <c r="G1393" s="13" t="n"/>
      <c r="H1393" s="12" t="n"/>
      <c r="I1393" s="12" t="n"/>
      <c r="J1393" s="12" t="n"/>
      <c r="K1393" s="12" t="n"/>
      <c r="L1393" s="11" t="n"/>
      <c r="M1393" s="11" t="n"/>
      <c r="N1393" s="11" t="n"/>
      <c r="O1393" s="11" t="n"/>
      <c r="P1393" s="12" t="n"/>
      <c r="Q1393" s="11" t="n"/>
      <c r="R1393" s="12" t="n"/>
      <c r="S1393" s="11" t="n"/>
      <c r="T1393" s="12" t="n"/>
      <c r="U1393" s="12" t="n"/>
      <c r="V1393" s="12" t="n"/>
      <c r="W1393" s="13" t="n"/>
      <c r="X1393" s="14">
        <f>IF($AP1393="",IF($B1393="","",$H1393),IF(INDEX(職員マスタ!$B$6:$B$405,$AP1393)="",$H1393,INDEX(職員マスタ!$B$6:$B$405,$AP1393)))</f>
        <v/>
      </c>
      <c r="Y1393" s="14">
        <f>IF($AP1393="",IF($B1393="","",$R1393),IF(INDEX(職員マスタ!$C$6:$C$405,$AP1393)="",$R1393,INDEX(職員マスタ!$C$6:$C$405,$AP1393)))</f>
        <v/>
      </c>
      <c r="Z1393" s="14">
        <f>IF($AQ1393="","","R"&amp;$C1393&amp;"."&amp;$D1393)</f>
        <v/>
      </c>
      <c r="AA1393" s="15">
        <f>IF(IF($AP1393="",FALSE,INDEX(職員マスタ!$K$6:$K$405,$AP1393)&lt;&gt;""),INDEX(職員マスタ!$K$6:$K$405,$AP1393),IF(N($W1393)&gt;0,$W1393,""))</f>
        <v/>
      </c>
      <c r="AB1393" s="14">
        <f>IF(OR($E1393="",$AA1393=""),"",IF($E1393&gt;=$AA1393,"×",IF($E1393&gt;=$AA1393*設定!$C$5,"△","○")))</f>
        <v/>
      </c>
      <c r="AC1393" s="15">
        <f>IF($AB1393="","",IF($AB1393="×",0,IF($AB1393="○",ROUNDDOWN($E1393*設定!$C$4,0),ROUNDDOWN($E1393*ROUND((9*$AA1393-9*$E1393)/(10*$E1393),4),0))))</f>
        <v/>
      </c>
      <c r="AD1393" s="13" t="n"/>
      <c r="AE1393" s="15">
        <f>IF($B1393="","",IF($AD1393&lt;&gt;"",$AD1393,IF($AC1393="","",IF($AC1393&lt;=設定!$C$3,0,$AC1393))))</f>
        <v/>
      </c>
      <c r="AF1393" s="14">
        <f>IF($B1393="","",IF(AND($AG1393&lt;&gt;"",$AI1393="",$AL1393=""),"保留中",IF($AL1393&lt;&gt;"",IF(N($AE1393)&gt;0,"支給済","不支給"),IF($AE1393="","要確認",IF($AE1393=0,"不支給","未処理")))))</f>
        <v/>
      </c>
      <c r="AG1393" s="12" t="n"/>
      <c r="AH1393" s="11" t="n"/>
      <c r="AI1393" s="11" t="n"/>
      <c r="AJ1393" s="11" t="n"/>
      <c r="AK1393" s="14">
        <f>IF(AND($AF1393="保留中",$AH1393&lt;&gt;""),TODAY()-$AH1393,"")</f>
        <v/>
      </c>
      <c r="AL1393" s="12" t="n"/>
      <c r="AM1393" s="14">
        <f>IF($B1393="","",IF($AQ1393="","対象年月が未入力／","")&amp;IF($B1393="","",IF($AP1393="","職員マスタに未登録の職員番号／",IF($AA1393="","標準報酬月額が未登録／","")&amp;IF(AND($AQ1393&lt;&gt;"",OR(AND(INDEX(職員マスタ!$G$6:$G$405,$AP1393)&lt;&gt;"",INDEX(職員マスタ!$G$6:$G$405,$AP1393)&gt;EOMONTH($AQ1393,0)),AND(INDEX(職員マスタ!$H$6:$H$405,$AP1393)&lt;&gt;"",INDEX(職員マスタ!$H$6:$H$405,$AP1393)&lt;$AQ1393))),"対象月が時短期間外／","")&amp;IF(AND(INDEX(職員マスタ!$K$6:$K$405,$AP1393)&lt;&gt;"",N($W1393)&gt;0,INDEX(職員マスタ!$K$6:$K$405,$AP1393)&lt;&gt;$W1393),"標準報酬月額が申請書と相違（台帳"&amp;TEXT(INDEX(職員マスタ!$K$6:$K$405,$AP1393),"#,##0")&amp;"円／申請書"&amp;TEXT($W1393,"#,##0")&amp;"円）／","")&amp;IF(AND(INDEX(職員マスタ!$F$6:$F$405,$AP1393)&lt;&gt;"",$AQ1393&lt;&gt;"",INDEX(職員マスタ!$F$6:$F$405,$AP1393)&lt;$AQ1393),"対象月に子が2歳到達済／","")&amp;IF(AND($H1393&lt;&gt;"",INDEX(職員マスタ!$B$6:$B$405,$AP1393)&lt;&gt;"",SUBSTITUTE(SUBSTITUTE($H1393," ","")," ","")&lt;&gt;SUBSTITUTE(SUBSTITUTE(INDEX(職員マスタ!$B$6:$B$405,$AP1393)," ","")," ","")),"氏名がマスタと相違／","")&amp;IF(AND($Q1393&lt;&gt;"",INDEX(職員マスタ!$E$6:$E$405,$AP1393)&lt;&gt;"",$Q1393&lt;&gt;INDEX(職員マスタ!$E$6:$E$405,$AP1393)),"子の生年月日がマスタと相違／","")&amp;IF(AND($L1393&lt;&gt;"",INDEX(職員マスタ!$G$6:$G$405,$AP1393)&lt;&gt;"",$L1393&lt;&gt;INDEX(職員マスタ!$G$6:$G$405,$AP1393)),"時短開始日がマスタと相違／","")&amp;IF(AND($M1393&lt;&gt;"",INDEX(職員マスタ!$H$6:$H$405,$AP1393)&lt;&gt;"",$M1393&lt;&gt;INDEX(職員マスタ!$H$6:$H$405,$AP1393)),"時短終了日がマスタと相違／","")))&amp;IF(AND($B1393&lt;&gt;"",$E1393=""),"報酬額が未入力／","")&amp;IF(N($U1393)&gt;0,"申請書に入力エラーが残っています／","")&amp;IF(AND($B1393&lt;&gt;"",$AQ1393&lt;&gt;""),IF(COUNTIFS($B$6:$B$3005,$B1393,$C$6:$C$3005,$C1393,$D$6:$D$3005,$D1393)&gt;1,"同じ月の請求が重複しています／",""),"")&amp;IF(AND(N($E1393)&gt;0,$AB1393&lt;&gt;"",$AB1393&lt;&gt;"×",$AE1393=0,$AD1393=""),"計算額が下限以下のため不支給／",""))</f>
        <v/>
      </c>
      <c r="AN1393" s="12" t="n"/>
      <c r="AO1393" s="14">
        <f>IF($AF1393="保留中",COUNTIF($AF$6:$AF1393,"保留中"),"")</f>
        <v/>
      </c>
      <c r="AP1393" s="14">
        <f>IF($AQ1393="","",IF(SUMPRODUCT(MAX((職員マスタ!$A$6:$A$405=$B1393)*(((職員マスタ!$G$6:$G$405="")+(職員マスタ!$G$6:$G$405&lt;=EOMONTH($AQ1393,0)))&gt;0)*(((職員マスタ!$H$6:$H$405="")+(職員マスタ!$H$6:$H$405&gt;=$AQ1393))&gt;0)*(ROW(職員マスタ!$A$6:$A$405)-5)))&gt;0,SUMPRODUCT(MAX((職員マスタ!$A$6:$A$405=$B1393)*(((職員マスタ!$G$6:$G$405="")+(職員マスタ!$G$6:$G$405&lt;=EOMONTH($AQ1393,0)))&gt;0)*(((職員マスタ!$H$6:$H$405="")+(職員マスタ!$H$6:$H$405&gt;=$AQ1393))&gt;0)*(ROW(職員マスタ!$A$6:$A$405)-5))),IFERROR(MATCH($B1393,職員マスタ!$A$6:$A$405,0),"")))</f>
        <v/>
      </c>
      <c r="AQ1393" s="16">
        <f>IF(OR($B1393="",$C1393="",$D1393=""),"",DATE($C1393+2018,$D1393,1))</f>
        <v/>
      </c>
    </row>
    <row r="1394">
      <c r="A1394" s="11" t="n"/>
      <c r="B1394" s="12" t="n"/>
      <c r="C1394" s="12" t="n"/>
      <c r="D1394" s="12" t="n"/>
      <c r="E1394" s="13" t="n"/>
      <c r="F1394" s="12" t="n"/>
      <c r="G1394" s="13" t="n"/>
      <c r="H1394" s="12" t="n"/>
      <c r="I1394" s="12" t="n"/>
      <c r="J1394" s="12" t="n"/>
      <c r="K1394" s="12" t="n"/>
      <c r="L1394" s="11" t="n"/>
      <c r="M1394" s="11" t="n"/>
      <c r="N1394" s="11" t="n"/>
      <c r="O1394" s="11" t="n"/>
      <c r="P1394" s="12" t="n"/>
      <c r="Q1394" s="11" t="n"/>
      <c r="R1394" s="12" t="n"/>
      <c r="S1394" s="11" t="n"/>
      <c r="T1394" s="12" t="n"/>
      <c r="U1394" s="12" t="n"/>
      <c r="V1394" s="12" t="n"/>
      <c r="W1394" s="13" t="n"/>
      <c r="X1394" s="14">
        <f>IF($AP1394="",IF($B1394="","",$H1394),IF(INDEX(職員マスタ!$B$6:$B$405,$AP1394)="",$H1394,INDEX(職員マスタ!$B$6:$B$405,$AP1394)))</f>
        <v/>
      </c>
      <c r="Y1394" s="14">
        <f>IF($AP1394="",IF($B1394="","",$R1394),IF(INDEX(職員マスタ!$C$6:$C$405,$AP1394)="",$R1394,INDEX(職員マスタ!$C$6:$C$405,$AP1394)))</f>
        <v/>
      </c>
      <c r="Z1394" s="14">
        <f>IF($AQ1394="","","R"&amp;$C1394&amp;"."&amp;$D1394)</f>
        <v/>
      </c>
      <c r="AA1394" s="15">
        <f>IF(IF($AP1394="",FALSE,INDEX(職員マスタ!$K$6:$K$405,$AP1394)&lt;&gt;""),INDEX(職員マスタ!$K$6:$K$405,$AP1394),IF(N($W1394)&gt;0,$W1394,""))</f>
        <v/>
      </c>
      <c r="AB1394" s="14">
        <f>IF(OR($E1394="",$AA1394=""),"",IF($E1394&gt;=$AA1394,"×",IF($E1394&gt;=$AA1394*設定!$C$5,"△","○")))</f>
        <v/>
      </c>
      <c r="AC1394" s="15">
        <f>IF($AB1394="","",IF($AB1394="×",0,IF($AB1394="○",ROUNDDOWN($E1394*設定!$C$4,0),ROUNDDOWN($E1394*ROUND((9*$AA1394-9*$E1394)/(10*$E1394),4),0))))</f>
        <v/>
      </c>
      <c r="AD1394" s="13" t="n"/>
      <c r="AE1394" s="15">
        <f>IF($B1394="","",IF($AD1394&lt;&gt;"",$AD1394,IF($AC1394="","",IF($AC1394&lt;=設定!$C$3,0,$AC1394))))</f>
        <v/>
      </c>
      <c r="AF1394" s="14">
        <f>IF($B1394="","",IF(AND($AG1394&lt;&gt;"",$AI1394="",$AL1394=""),"保留中",IF($AL1394&lt;&gt;"",IF(N($AE1394)&gt;0,"支給済","不支給"),IF($AE1394="","要確認",IF($AE1394=0,"不支給","未処理")))))</f>
        <v/>
      </c>
      <c r="AG1394" s="12" t="n"/>
      <c r="AH1394" s="11" t="n"/>
      <c r="AI1394" s="11" t="n"/>
      <c r="AJ1394" s="11" t="n"/>
      <c r="AK1394" s="14">
        <f>IF(AND($AF1394="保留中",$AH1394&lt;&gt;""),TODAY()-$AH1394,"")</f>
        <v/>
      </c>
      <c r="AL1394" s="12" t="n"/>
      <c r="AM1394" s="14">
        <f>IF($B1394="","",IF($AQ1394="","対象年月が未入力／","")&amp;IF($B1394="","",IF($AP1394="","職員マスタに未登録の職員番号／",IF($AA1394="","標準報酬月額が未登録／","")&amp;IF(AND($AQ1394&lt;&gt;"",OR(AND(INDEX(職員マスタ!$G$6:$G$405,$AP1394)&lt;&gt;"",INDEX(職員マスタ!$G$6:$G$405,$AP1394)&gt;EOMONTH($AQ1394,0)),AND(INDEX(職員マスタ!$H$6:$H$405,$AP1394)&lt;&gt;"",INDEX(職員マスタ!$H$6:$H$405,$AP1394)&lt;$AQ1394))),"対象月が時短期間外／","")&amp;IF(AND(INDEX(職員マスタ!$K$6:$K$405,$AP1394)&lt;&gt;"",N($W1394)&gt;0,INDEX(職員マスタ!$K$6:$K$405,$AP1394)&lt;&gt;$W1394),"標準報酬月額が申請書と相違（台帳"&amp;TEXT(INDEX(職員マスタ!$K$6:$K$405,$AP1394),"#,##0")&amp;"円／申請書"&amp;TEXT($W1394,"#,##0")&amp;"円）／","")&amp;IF(AND(INDEX(職員マスタ!$F$6:$F$405,$AP1394)&lt;&gt;"",$AQ1394&lt;&gt;"",INDEX(職員マスタ!$F$6:$F$405,$AP1394)&lt;$AQ1394),"対象月に子が2歳到達済／","")&amp;IF(AND($H1394&lt;&gt;"",INDEX(職員マスタ!$B$6:$B$405,$AP1394)&lt;&gt;"",SUBSTITUTE(SUBSTITUTE($H1394," ","")," ","")&lt;&gt;SUBSTITUTE(SUBSTITUTE(INDEX(職員マスタ!$B$6:$B$405,$AP1394)," ","")," ","")),"氏名がマスタと相違／","")&amp;IF(AND($Q1394&lt;&gt;"",INDEX(職員マスタ!$E$6:$E$405,$AP1394)&lt;&gt;"",$Q1394&lt;&gt;INDEX(職員マスタ!$E$6:$E$405,$AP1394)),"子の生年月日がマスタと相違／","")&amp;IF(AND($L1394&lt;&gt;"",INDEX(職員マスタ!$G$6:$G$405,$AP1394)&lt;&gt;"",$L1394&lt;&gt;INDEX(職員マスタ!$G$6:$G$405,$AP1394)),"時短開始日がマスタと相違／","")&amp;IF(AND($M1394&lt;&gt;"",INDEX(職員マスタ!$H$6:$H$405,$AP1394)&lt;&gt;"",$M1394&lt;&gt;INDEX(職員マスタ!$H$6:$H$405,$AP1394)),"時短終了日がマスタと相違／","")))&amp;IF(AND($B1394&lt;&gt;"",$E1394=""),"報酬額が未入力／","")&amp;IF(N($U1394)&gt;0,"申請書に入力エラーが残っています／","")&amp;IF(AND($B1394&lt;&gt;"",$AQ1394&lt;&gt;""),IF(COUNTIFS($B$6:$B$3005,$B1394,$C$6:$C$3005,$C1394,$D$6:$D$3005,$D1394)&gt;1,"同じ月の請求が重複しています／",""),"")&amp;IF(AND(N($E1394)&gt;0,$AB1394&lt;&gt;"",$AB1394&lt;&gt;"×",$AE1394=0,$AD1394=""),"計算額が下限以下のため不支給／",""))</f>
        <v/>
      </c>
      <c r="AN1394" s="12" t="n"/>
      <c r="AO1394" s="14">
        <f>IF($AF1394="保留中",COUNTIF($AF$6:$AF1394,"保留中"),"")</f>
        <v/>
      </c>
      <c r="AP1394" s="14">
        <f>IF($AQ1394="","",IF(SUMPRODUCT(MAX((職員マスタ!$A$6:$A$405=$B1394)*(((職員マスタ!$G$6:$G$405="")+(職員マスタ!$G$6:$G$405&lt;=EOMONTH($AQ1394,0)))&gt;0)*(((職員マスタ!$H$6:$H$405="")+(職員マスタ!$H$6:$H$405&gt;=$AQ1394))&gt;0)*(ROW(職員マスタ!$A$6:$A$405)-5)))&gt;0,SUMPRODUCT(MAX((職員マスタ!$A$6:$A$405=$B1394)*(((職員マスタ!$G$6:$G$405="")+(職員マスタ!$G$6:$G$405&lt;=EOMONTH($AQ1394,0)))&gt;0)*(((職員マスタ!$H$6:$H$405="")+(職員マスタ!$H$6:$H$405&gt;=$AQ1394))&gt;0)*(ROW(職員マスタ!$A$6:$A$405)-5))),IFERROR(MATCH($B1394,職員マスタ!$A$6:$A$405,0),"")))</f>
        <v/>
      </c>
      <c r="AQ1394" s="16">
        <f>IF(OR($B1394="",$C1394="",$D1394=""),"",DATE($C1394+2018,$D1394,1))</f>
        <v/>
      </c>
    </row>
    <row r="1395">
      <c r="A1395" s="11" t="n"/>
      <c r="B1395" s="12" t="n"/>
      <c r="C1395" s="12" t="n"/>
      <c r="D1395" s="12" t="n"/>
      <c r="E1395" s="13" t="n"/>
      <c r="F1395" s="12" t="n"/>
      <c r="G1395" s="13" t="n"/>
      <c r="H1395" s="12" t="n"/>
      <c r="I1395" s="12" t="n"/>
      <c r="J1395" s="12" t="n"/>
      <c r="K1395" s="12" t="n"/>
      <c r="L1395" s="11" t="n"/>
      <c r="M1395" s="11" t="n"/>
      <c r="N1395" s="11" t="n"/>
      <c r="O1395" s="11" t="n"/>
      <c r="P1395" s="12" t="n"/>
      <c r="Q1395" s="11" t="n"/>
      <c r="R1395" s="12" t="n"/>
      <c r="S1395" s="11" t="n"/>
      <c r="T1395" s="12" t="n"/>
      <c r="U1395" s="12" t="n"/>
      <c r="V1395" s="12" t="n"/>
      <c r="W1395" s="13" t="n"/>
      <c r="X1395" s="14">
        <f>IF($AP1395="",IF($B1395="","",$H1395),IF(INDEX(職員マスタ!$B$6:$B$405,$AP1395)="",$H1395,INDEX(職員マスタ!$B$6:$B$405,$AP1395)))</f>
        <v/>
      </c>
      <c r="Y1395" s="14">
        <f>IF($AP1395="",IF($B1395="","",$R1395),IF(INDEX(職員マスタ!$C$6:$C$405,$AP1395)="",$R1395,INDEX(職員マスタ!$C$6:$C$405,$AP1395)))</f>
        <v/>
      </c>
      <c r="Z1395" s="14">
        <f>IF($AQ1395="","","R"&amp;$C1395&amp;"."&amp;$D1395)</f>
        <v/>
      </c>
      <c r="AA1395" s="15">
        <f>IF(IF($AP1395="",FALSE,INDEX(職員マスタ!$K$6:$K$405,$AP1395)&lt;&gt;""),INDEX(職員マスタ!$K$6:$K$405,$AP1395),IF(N($W1395)&gt;0,$W1395,""))</f>
        <v/>
      </c>
      <c r="AB1395" s="14">
        <f>IF(OR($E1395="",$AA1395=""),"",IF($E1395&gt;=$AA1395,"×",IF($E1395&gt;=$AA1395*設定!$C$5,"△","○")))</f>
        <v/>
      </c>
      <c r="AC1395" s="15">
        <f>IF($AB1395="","",IF($AB1395="×",0,IF($AB1395="○",ROUNDDOWN($E1395*設定!$C$4,0),ROUNDDOWN($E1395*ROUND((9*$AA1395-9*$E1395)/(10*$E1395),4),0))))</f>
        <v/>
      </c>
      <c r="AD1395" s="13" t="n"/>
      <c r="AE1395" s="15">
        <f>IF($B1395="","",IF($AD1395&lt;&gt;"",$AD1395,IF($AC1395="","",IF($AC1395&lt;=設定!$C$3,0,$AC1395))))</f>
        <v/>
      </c>
      <c r="AF1395" s="14">
        <f>IF($B1395="","",IF(AND($AG1395&lt;&gt;"",$AI1395="",$AL1395=""),"保留中",IF($AL1395&lt;&gt;"",IF(N($AE1395)&gt;0,"支給済","不支給"),IF($AE1395="","要確認",IF($AE1395=0,"不支給","未処理")))))</f>
        <v/>
      </c>
      <c r="AG1395" s="12" t="n"/>
      <c r="AH1395" s="11" t="n"/>
      <c r="AI1395" s="11" t="n"/>
      <c r="AJ1395" s="11" t="n"/>
      <c r="AK1395" s="14">
        <f>IF(AND($AF1395="保留中",$AH1395&lt;&gt;""),TODAY()-$AH1395,"")</f>
        <v/>
      </c>
      <c r="AL1395" s="12" t="n"/>
      <c r="AM1395" s="14">
        <f>IF($B1395="","",IF($AQ1395="","対象年月が未入力／","")&amp;IF($B1395="","",IF($AP1395="","職員マスタに未登録の職員番号／",IF($AA1395="","標準報酬月額が未登録／","")&amp;IF(AND($AQ1395&lt;&gt;"",OR(AND(INDEX(職員マスタ!$G$6:$G$405,$AP1395)&lt;&gt;"",INDEX(職員マスタ!$G$6:$G$405,$AP1395)&gt;EOMONTH($AQ1395,0)),AND(INDEX(職員マスタ!$H$6:$H$405,$AP1395)&lt;&gt;"",INDEX(職員マスタ!$H$6:$H$405,$AP1395)&lt;$AQ1395))),"対象月が時短期間外／","")&amp;IF(AND(INDEX(職員マスタ!$K$6:$K$405,$AP1395)&lt;&gt;"",N($W1395)&gt;0,INDEX(職員マスタ!$K$6:$K$405,$AP1395)&lt;&gt;$W1395),"標準報酬月額が申請書と相違（台帳"&amp;TEXT(INDEX(職員マスタ!$K$6:$K$405,$AP1395),"#,##0")&amp;"円／申請書"&amp;TEXT($W1395,"#,##0")&amp;"円）／","")&amp;IF(AND(INDEX(職員マスタ!$F$6:$F$405,$AP1395)&lt;&gt;"",$AQ1395&lt;&gt;"",INDEX(職員マスタ!$F$6:$F$405,$AP1395)&lt;$AQ1395),"対象月に子が2歳到達済／","")&amp;IF(AND($H1395&lt;&gt;"",INDEX(職員マスタ!$B$6:$B$405,$AP1395)&lt;&gt;"",SUBSTITUTE(SUBSTITUTE($H1395," ","")," ","")&lt;&gt;SUBSTITUTE(SUBSTITUTE(INDEX(職員マスタ!$B$6:$B$405,$AP1395)," ","")," ","")),"氏名がマスタと相違／","")&amp;IF(AND($Q1395&lt;&gt;"",INDEX(職員マスタ!$E$6:$E$405,$AP1395)&lt;&gt;"",$Q1395&lt;&gt;INDEX(職員マスタ!$E$6:$E$405,$AP1395)),"子の生年月日がマスタと相違／","")&amp;IF(AND($L1395&lt;&gt;"",INDEX(職員マスタ!$G$6:$G$405,$AP1395)&lt;&gt;"",$L1395&lt;&gt;INDEX(職員マスタ!$G$6:$G$405,$AP1395)),"時短開始日がマスタと相違／","")&amp;IF(AND($M1395&lt;&gt;"",INDEX(職員マスタ!$H$6:$H$405,$AP1395)&lt;&gt;"",$M1395&lt;&gt;INDEX(職員マスタ!$H$6:$H$405,$AP1395)),"時短終了日がマスタと相違／","")))&amp;IF(AND($B1395&lt;&gt;"",$E1395=""),"報酬額が未入力／","")&amp;IF(N($U1395)&gt;0,"申請書に入力エラーが残っています／","")&amp;IF(AND($B1395&lt;&gt;"",$AQ1395&lt;&gt;""),IF(COUNTIFS($B$6:$B$3005,$B1395,$C$6:$C$3005,$C1395,$D$6:$D$3005,$D1395)&gt;1,"同じ月の請求が重複しています／",""),"")&amp;IF(AND(N($E1395)&gt;0,$AB1395&lt;&gt;"",$AB1395&lt;&gt;"×",$AE1395=0,$AD1395=""),"計算額が下限以下のため不支給／",""))</f>
        <v/>
      </c>
      <c r="AN1395" s="12" t="n"/>
      <c r="AO1395" s="14">
        <f>IF($AF1395="保留中",COUNTIF($AF$6:$AF1395,"保留中"),"")</f>
        <v/>
      </c>
      <c r="AP1395" s="14">
        <f>IF($AQ1395="","",IF(SUMPRODUCT(MAX((職員マスタ!$A$6:$A$405=$B1395)*(((職員マスタ!$G$6:$G$405="")+(職員マスタ!$G$6:$G$405&lt;=EOMONTH($AQ1395,0)))&gt;0)*(((職員マスタ!$H$6:$H$405="")+(職員マスタ!$H$6:$H$405&gt;=$AQ1395))&gt;0)*(ROW(職員マスタ!$A$6:$A$405)-5)))&gt;0,SUMPRODUCT(MAX((職員マスタ!$A$6:$A$405=$B1395)*(((職員マスタ!$G$6:$G$405="")+(職員マスタ!$G$6:$G$405&lt;=EOMONTH($AQ1395,0)))&gt;0)*(((職員マスタ!$H$6:$H$405="")+(職員マスタ!$H$6:$H$405&gt;=$AQ1395))&gt;0)*(ROW(職員マスタ!$A$6:$A$405)-5))),IFERROR(MATCH($B1395,職員マスタ!$A$6:$A$405,0),"")))</f>
        <v/>
      </c>
      <c r="AQ1395" s="16">
        <f>IF(OR($B1395="",$C1395="",$D1395=""),"",DATE($C1395+2018,$D1395,1))</f>
        <v/>
      </c>
    </row>
    <row r="1396">
      <c r="A1396" s="11" t="n"/>
      <c r="B1396" s="12" t="n"/>
      <c r="C1396" s="12" t="n"/>
      <c r="D1396" s="12" t="n"/>
      <c r="E1396" s="13" t="n"/>
      <c r="F1396" s="12" t="n"/>
      <c r="G1396" s="13" t="n"/>
      <c r="H1396" s="12" t="n"/>
      <c r="I1396" s="12" t="n"/>
      <c r="J1396" s="12" t="n"/>
      <c r="K1396" s="12" t="n"/>
      <c r="L1396" s="11" t="n"/>
      <c r="M1396" s="11" t="n"/>
      <c r="N1396" s="11" t="n"/>
      <c r="O1396" s="11" t="n"/>
      <c r="P1396" s="12" t="n"/>
      <c r="Q1396" s="11" t="n"/>
      <c r="R1396" s="12" t="n"/>
      <c r="S1396" s="11" t="n"/>
      <c r="T1396" s="12" t="n"/>
      <c r="U1396" s="12" t="n"/>
      <c r="V1396" s="12" t="n"/>
      <c r="W1396" s="13" t="n"/>
      <c r="X1396" s="14">
        <f>IF($AP1396="",IF($B1396="","",$H1396),IF(INDEX(職員マスタ!$B$6:$B$405,$AP1396)="",$H1396,INDEX(職員マスタ!$B$6:$B$405,$AP1396)))</f>
        <v/>
      </c>
      <c r="Y1396" s="14">
        <f>IF($AP1396="",IF($B1396="","",$R1396),IF(INDEX(職員マスタ!$C$6:$C$405,$AP1396)="",$R1396,INDEX(職員マスタ!$C$6:$C$405,$AP1396)))</f>
        <v/>
      </c>
      <c r="Z1396" s="14">
        <f>IF($AQ1396="","","R"&amp;$C1396&amp;"."&amp;$D1396)</f>
        <v/>
      </c>
      <c r="AA1396" s="15">
        <f>IF(IF($AP1396="",FALSE,INDEX(職員マスタ!$K$6:$K$405,$AP1396)&lt;&gt;""),INDEX(職員マスタ!$K$6:$K$405,$AP1396),IF(N($W1396)&gt;0,$W1396,""))</f>
        <v/>
      </c>
      <c r="AB1396" s="14">
        <f>IF(OR($E1396="",$AA1396=""),"",IF($E1396&gt;=$AA1396,"×",IF($E1396&gt;=$AA1396*設定!$C$5,"△","○")))</f>
        <v/>
      </c>
      <c r="AC1396" s="15">
        <f>IF($AB1396="","",IF($AB1396="×",0,IF($AB1396="○",ROUNDDOWN($E1396*設定!$C$4,0),ROUNDDOWN($E1396*ROUND((9*$AA1396-9*$E1396)/(10*$E1396),4),0))))</f>
        <v/>
      </c>
      <c r="AD1396" s="13" t="n"/>
      <c r="AE1396" s="15">
        <f>IF($B1396="","",IF($AD1396&lt;&gt;"",$AD1396,IF($AC1396="","",IF($AC1396&lt;=設定!$C$3,0,$AC1396))))</f>
        <v/>
      </c>
      <c r="AF1396" s="14">
        <f>IF($B1396="","",IF(AND($AG1396&lt;&gt;"",$AI1396="",$AL1396=""),"保留中",IF($AL1396&lt;&gt;"",IF(N($AE1396)&gt;0,"支給済","不支給"),IF($AE1396="","要確認",IF($AE1396=0,"不支給","未処理")))))</f>
        <v/>
      </c>
      <c r="AG1396" s="12" t="n"/>
      <c r="AH1396" s="11" t="n"/>
      <c r="AI1396" s="11" t="n"/>
      <c r="AJ1396" s="11" t="n"/>
      <c r="AK1396" s="14">
        <f>IF(AND($AF1396="保留中",$AH1396&lt;&gt;""),TODAY()-$AH1396,"")</f>
        <v/>
      </c>
      <c r="AL1396" s="12" t="n"/>
      <c r="AM1396" s="14">
        <f>IF($B1396="","",IF($AQ1396="","対象年月が未入力／","")&amp;IF($B1396="","",IF($AP1396="","職員マスタに未登録の職員番号／",IF($AA1396="","標準報酬月額が未登録／","")&amp;IF(AND($AQ1396&lt;&gt;"",OR(AND(INDEX(職員マスタ!$G$6:$G$405,$AP1396)&lt;&gt;"",INDEX(職員マスタ!$G$6:$G$405,$AP1396)&gt;EOMONTH($AQ1396,0)),AND(INDEX(職員マスタ!$H$6:$H$405,$AP1396)&lt;&gt;"",INDEX(職員マスタ!$H$6:$H$405,$AP1396)&lt;$AQ1396))),"対象月が時短期間外／","")&amp;IF(AND(INDEX(職員マスタ!$K$6:$K$405,$AP1396)&lt;&gt;"",N($W1396)&gt;0,INDEX(職員マスタ!$K$6:$K$405,$AP1396)&lt;&gt;$W1396),"標準報酬月額が申請書と相違（台帳"&amp;TEXT(INDEX(職員マスタ!$K$6:$K$405,$AP1396),"#,##0")&amp;"円／申請書"&amp;TEXT($W1396,"#,##0")&amp;"円）／","")&amp;IF(AND(INDEX(職員マスタ!$F$6:$F$405,$AP1396)&lt;&gt;"",$AQ1396&lt;&gt;"",INDEX(職員マスタ!$F$6:$F$405,$AP1396)&lt;$AQ1396),"対象月に子が2歳到達済／","")&amp;IF(AND($H1396&lt;&gt;"",INDEX(職員マスタ!$B$6:$B$405,$AP1396)&lt;&gt;"",SUBSTITUTE(SUBSTITUTE($H1396," ","")," ","")&lt;&gt;SUBSTITUTE(SUBSTITUTE(INDEX(職員マスタ!$B$6:$B$405,$AP1396)," ","")," ","")),"氏名がマスタと相違／","")&amp;IF(AND($Q1396&lt;&gt;"",INDEX(職員マスタ!$E$6:$E$405,$AP1396)&lt;&gt;"",$Q1396&lt;&gt;INDEX(職員マスタ!$E$6:$E$405,$AP1396)),"子の生年月日がマスタと相違／","")&amp;IF(AND($L1396&lt;&gt;"",INDEX(職員マスタ!$G$6:$G$405,$AP1396)&lt;&gt;"",$L1396&lt;&gt;INDEX(職員マスタ!$G$6:$G$405,$AP1396)),"時短開始日がマスタと相違／","")&amp;IF(AND($M1396&lt;&gt;"",INDEX(職員マスタ!$H$6:$H$405,$AP1396)&lt;&gt;"",$M1396&lt;&gt;INDEX(職員マスタ!$H$6:$H$405,$AP1396)),"時短終了日がマスタと相違／","")))&amp;IF(AND($B1396&lt;&gt;"",$E1396=""),"報酬額が未入力／","")&amp;IF(N($U1396)&gt;0,"申請書に入力エラーが残っています／","")&amp;IF(AND($B1396&lt;&gt;"",$AQ1396&lt;&gt;""),IF(COUNTIFS($B$6:$B$3005,$B1396,$C$6:$C$3005,$C1396,$D$6:$D$3005,$D1396)&gt;1,"同じ月の請求が重複しています／",""),"")&amp;IF(AND(N($E1396)&gt;0,$AB1396&lt;&gt;"",$AB1396&lt;&gt;"×",$AE1396=0,$AD1396=""),"計算額が下限以下のため不支給／",""))</f>
        <v/>
      </c>
      <c r="AN1396" s="12" t="n"/>
      <c r="AO1396" s="14">
        <f>IF($AF1396="保留中",COUNTIF($AF$6:$AF1396,"保留中"),"")</f>
        <v/>
      </c>
      <c r="AP1396" s="14">
        <f>IF($AQ1396="","",IF(SUMPRODUCT(MAX((職員マスタ!$A$6:$A$405=$B1396)*(((職員マスタ!$G$6:$G$405="")+(職員マスタ!$G$6:$G$405&lt;=EOMONTH($AQ1396,0)))&gt;0)*(((職員マスタ!$H$6:$H$405="")+(職員マスタ!$H$6:$H$405&gt;=$AQ1396))&gt;0)*(ROW(職員マスタ!$A$6:$A$405)-5)))&gt;0,SUMPRODUCT(MAX((職員マスタ!$A$6:$A$405=$B1396)*(((職員マスタ!$G$6:$G$405="")+(職員マスタ!$G$6:$G$405&lt;=EOMONTH($AQ1396,0)))&gt;0)*(((職員マスタ!$H$6:$H$405="")+(職員マスタ!$H$6:$H$405&gt;=$AQ1396))&gt;0)*(ROW(職員マスタ!$A$6:$A$405)-5))),IFERROR(MATCH($B1396,職員マスタ!$A$6:$A$405,0),"")))</f>
        <v/>
      </c>
      <c r="AQ1396" s="16">
        <f>IF(OR($B1396="",$C1396="",$D1396=""),"",DATE($C1396+2018,$D1396,1))</f>
        <v/>
      </c>
    </row>
    <row r="1397">
      <c r="A1397" s="11" t="n"/>
      <c r="B1397" s="12" t="n"/>
      <c r="C1397" s="12" t="n"/>
      <c r="D1397" s="12" t="n"/>
      <c r="E1397" s="13" t="n"/>
      <c r="F1397" s="12" t="n"/>
      <c r="G1397" s="13" t="n"/>
      <c r="H1397" s="12" t="n"/>
      <c r="I1397" s="12" t="n"/>
      <c r="J1397" s="12" t="n"/>
      <c r="K1397" s="12" t="n"/>
      <c r="L1397" s="11" t="n"/>
      <c r="M1397" s="11" t="n"/>
      <c r="N1397" s="11" t="n"/>
      <c r="O1397" s="11" t="n"/>
      <c r="P1397" s="12" t="n"/>
      <c r="Q1397" s="11" t="n"/>
      <c r="R1397" s="12" t="n"/>
      <c r="S1397" s="11" t="n"/>
      <c r="T1397" s="12" t="n"/>
      <c r="U1397" s="12" t="n"/>
      <c r="V1397" s="12" t="n"/>
      <c r="W1397" s="13" t="n"/>
      <c r="X1397" s="14">
        <f>IF($AP1397="",IF($B1397="","",$H1397),IF(INDEX(職員マスタ!$B$6:$B$405,$AP1397)="",$H1397,INDEX(職員マスタ!$B$6:$B$405,$AP1397)))</f>
        <v/>
      </c>
      <c r="Y1397" s="14">
        <f>IF($AP1397="",IF($B1397="","",$R1397),IF(INDEX(職員マスタ!$C$6:$C$405,$AP1397)="",$R1397,INDEX(職員マスタ!$C$6:$C$405,$AP1397)))</f>
        <v/>
      </c>
      <c r="Z1397" s="14">
        <f>IF($AQ1397="","","R"&amp;$C1397&amp;"."&amp;$D1397)</f>
        <v/>
      </c>
      <c r="AA1397" s="15">
        <f>IF(IF($AP1397="",FALSE,INDEX(職員マスタ!$K$6:$K$405,$AP1397)&lt;&gt;""),INDEX(職員マスタ!$K$6:$K$405,$AP1397),IF(N($W1397)&gt;0,$W1397,""))</f>
        <v/>
      </c>
      <c r="AB1397" s="14">
        <f>IF(OR($E1397="",$AA1397=""),"",IF($E1397&gt;=$AA1397,"×",IF($E1397&gt;=$AA1397*設定!$C$5,"△","○")))</f>
        <v/>
      </c>
      <c r="AC1397" s="15">
        <f>IF($AB1397="","",IF($AB1397="×",0,IF($AB1397="○",ROUNDDOWN($E1397*設定!$C$4,0),ROUNDDOWN($E1397*ROUND((9*$AA1397-9*$E1397)/(10*$E1397),4),0))))</f>
        <v/>
      </c>
      <c r="AD1397" s="13" t="n"/>
      <c r="AE1397" s="15">
        <f>IF($B1397="","",IF($AD1397&lt;&gt;"",$AD1397,IF($AC1397="","",IF($AC1397&lt;=設定!$C$3,0,$AC1397))))</f>
        <v/>
      </c>
      <c r="AF1397" s="14">
        <f>IF($B1397="","",IF(AND($AG1397&lt;&gt;"",$AI1397="",$AL1397=""),"保留中",IF($AL1397&lt;&gt;"",IF(N($AE1397)&gt;0,"支給済","不支給"),IF($AE1397="","要確認",IF($AE1397=0,"不支給","未処理")))))</f>
        <v/>
      </c>
      <c r="AG1397" s="12" t="n"/>
      <c r="AH1397" s="11" t="n"/>
      <c r="AI1397" s="11" t="n"/>
      <c r="AJ1397" s="11" t="n"/>
      <c r="AK1397" s="14">
        <f>IF(AND($AF1397="保留中",$AH1397&lt;&gt;""),TODAY()-$AH1397,"")</f>
        <v/>
      </c>
      <c r="AL1397" s="12" t="n"/>
      <c r="AM1397" s="14">
        <f>IF($B1397="","",IF($AQ1397="","対象年月が未入力／","")&amp;IF($B1397="","",IF($AP1397="","職員マスタに未登録の職員番号／",IF($AA1397="","標準報酬月額が未登録／","")&amp;IF(AND($AQ1397&lt;&gt;"",OR(AND(INDEX(職員マスタ!$G$6:$G$405,$AP1397)&lt;&gt;"",INDEX(職員マスタ!$G$6:$G$405,$AP1397)&gt;EOMONTH($AQ1397,0)),AND(INDEX(職員マスタ!$H$6:$H$405,$AP1397)&lt;&gt;"",INDEX(職員マスタ!$H$6:$H$405,$AP1397)&lt;$AQ1397))),"対象月が時短期間外／","")&amp;IF(AND(INDEX(職員マスタ!$K$6:$K$405,$AP1397)&lt;&gt;"",N($W1397)&gt;0,INDEX(職員マスタ!$K$6:$K$405,$AP1397)&lt;&gt;$W1397),"標準報酬月額が申請書と相違（台帳"&amp;TEXT(INDEX(職員マスタ!$K$6:$K$405,$AP1397),"#,##0")&amp;"円／申請書"&amp;TEXT($W1397,"#,##0")&amp;"円）／","")&amp;IF(AND(INDEX(職員マスタ!$F$6:$F$405,$AP1397)&lt;&gt;"",$AQ1397&lt;&gt;"",INDEX(職員マスタ!$F$6:$F$405,$AP1397)&lt;$AQ1397),"対象月に子が2歳到達済／","")&amp;IF(AND($H1397&lt;&gt;"",INDEX(職員マスタ!$B$6:$B$405,$AP1397)&lt;&gt;"",SUBSTITUTE(SUBSTITUTE($H1397," ","")," ","")&lt;&gt;SUBSTITUTE(SUBSTITUTE(INDEX(職員マスタ!$B$6:$B$405,$AP1397)," ","")," ","")),"氏名がマスタと相違／","")&amp;IF(AND($Q1397&lt;&gt;"",INDEX(職員マスタ!$E$6:$E$405,$AP1397)&lt;&gt;"",$Q1397&lt;&gt;INDEX(職員マスタ!$E$6:$E$405,$AP1397)),"子の生年月日がマスタと相違／","")&amp;IF(AND($L1397&lt;&gt;"",INDEX(職員マスタ!$G$6:$G$405,$AP1397)&lt;&gt;"",$L1397&lt;&gt;INDEX(職員マスタ!$G$6:$G$405,$AP1397)),"時短開始日がマスタと相違／","")&amp;IF(AND($M1397&lt;&gt;"",INDEX(職員マスタ!$H$6:$H$405,$AP1397)&lt;&gt;"",$M1397&lt;&gt;INDEX(職員マスタ!$H$6:$H$405,$AP1397)),"時短終了日がマスタと相違／","")))&amp;IF(AND($B1397&lt;&gt;"",$E1397=""),"報酬額が未入力／","")&amp;IF(N($U1397)&gt;0,"申請書に入力エラーが残っています／","")&amp;IF(AND($B1397&lt;&gt;"",$AQ1397&lt;&gt;""),IF(COUNTIFS($B$6:$B$3005,$B1397,$C$6:$C$3005,$C1397,$D$6:$D$3005,$D1397)&gt;1,"同じ月の請求が重複しています／",""),"")&amp;IF(AND(N($E1397)&gt;0,$AB1397&lt;&gt;"",$AB1397&lt;&gt;"×",$AE1397=0,$AD1397=""),"計算額が下限以下のため不支給／",""))</f>
        <v/>
      </c>
      <c r="AN1397" s="12" t="n"/>
      <c r="AO1397" s="14">
        <f>IF($AF1397="保留中",COUNTIF($AF$6:$AF1397,"保留中"),"")</f>
        <v/>
      </c>
      <c r="AP1397" s="14">
        <f>IF($AQ1397="","",IF(SUMPRODUCT(MAX((職員マスタ!$A$6:$A$405=$B1397)*(((職員マスタ!$G$6:$G$405="")+(職員マスタ!$G$6:$G$405&lt;=EOMONTH($AQ1397,0)))&gt;0)*(((職員マスタ!$H$6:$H$405="")+(職員マスタ!$H$6:$H$405&gt;=$AQ1397))&gt;0)*(ROW(職員マスタ!$A$6:$A$405)-5)))&gt;0,SUMPRODUCT(MAX((職員マスタ!$A$6:$A$405=$B1397)*(((職員マスタ!$G$6:$G$405="")+(職員マスタ!$G$6:$G$405&lt;=EOMONTH($AQ1397,0)))&gt;0)*(((職員マスタ!$H$6:$H$405="")+(職員マスタ!$H$6:$H$405&gt;=$AQ1397))&gt;0)*(ROW(職員マスタ!$A$6:$A$405)-5))),IFERROR(MATCH($B1397,職員マスタ!$A$6:$A$405,0),"")))</f>
        <v/>
      </c>
      <c r="AQ1397" s="16">
        <f>IF(OR($B1397="",$C1397="",$D1397=""),"",DATE($C1397+2018,$D1397,1))</f>
        <v/>
      </c>
    </row>
    <row r="1398">
      <c r="A1398" s="11" t="n"/>
      <c r="B1398" s="12" t="n"/>
      <c r="C1398" s="12" t="n"/>
      <c r="D1398" s="12" t="n"/>
      <c r="E1398" s="13" t="n"/>
      <c r="F1398" s="12" t="n"/>
      <c r="G1398" s="13" t="n"/>
      <c r="H1398" s="12" t="n"/>
      <c r="I1398" s="12" t="n"/>
      <c r="J1398" s="12" t="n"/>
      <c r="K1398" s="12" t="n"/>
      <c r="L1398" s="11" t="n"/>
      <c r="M1398" s="11" t="n"/>
      <c r="N1398" s="11" t="n"/>
      <c r="O1398" s="11" t="n"/>
      <c r="P1398" s="12" t="n"/>
      <c r="Q1398" s="11" t="n"/>
      <c r="R1398" s="12" t="n"/>
      <c r="S1398" s="11" t="n"/>
      <c r="T1398" s="12" t="n"/>
      <c r="U1398" s="12" t="n"/>
      <c r="V1398" s="12" t="n"/>
      <c r="W1398" s="13" t="n"/>
      <c r="X1398" s="14">
        <f>IF($AP1398="",IF($B1398="","",$H1398),IF(INDEX(職員マスタ!$B$6:$B$405,$AP1398)="",$H1398,INDEX(職員マスタ!$B$6:$B$405,$AP1398)))</f>
        <v/>
      </c>
      <c r="Y1398" s="14">
        <f>IF($AP1398="",IF($B1398="","",$R1398),IF(INDEX(職員マスタ!$C$6:$C$405,$AP1398)="",$R1398,INDEX(職員マスタ!$C$6:$C$405,$AP1398)))</f>
        <v/>
      </c>
      <c r="Z1398" s="14">
        <f>IF($AQ1398="","","R"&amp;$C1398&amp;"."&amp;$D1398)</f>
        <v/>
      </c>
      <c r="AA1398" s="15">
        <f>IF(IF($AP1398="",FALSE,INDEX(職員マスタ!$K$6:$K$405,$AP1398)&lt;&gt;""),INDEX(職員マスタ!$K$6:$K$405,$AP1398),IF(N($W1398)&gt;0,$W1398,""))</f>
        <v/>
      </c>
      <c r="AB1398" s="14">
        <f>IF(OR($E1398="",$AA1398=""),"",IF($E1398&gt;=$AA1398,"×",IF($E1398&gt;=$AA1398*設定!$C$5,"△","○")))</f>
        <v/>
      </c>
      <c r="AC1398" s="15">
        <f>IF($AB1398="","",IF($AB1398="×",0,IF($AB1398="○",ROUNDDOWN($E1398*設定!$C$4,0),ROUNDDOWN($E1398*ROUND((9*$AA1398-9*$E1398)/(10*$E1398),4),0))))</f>
        <v/>
      </c>
      <c r="AD1398" s="13" t="n"/>
      <c r="AE1398" s="15">
        <f>IF($B1398="","",IF($AD1398&lt;&gt;"",$AD1398,IF($AC1398="","",IF($AC1398&lt;=設定!$C$3,0,$AC1398))))</f>
        <v/>
      </c>
      <c r="AF1398" s="14">
        <f>IF($B1398="","",IF(AND($AG1398&lt;&gt;"",$AI1398="",$AL1398=""),"保留中",IF($AL1398&lt;&gt;"",IF(N($AE1398)&gt;0,"支給済","不支給"),IF($AE1398="","要確認",IF($AE1398=0,"不支給","未処理")))))</f>
        <v/>
      </c>
      <c r="AG1398" s="12" t="n"/>
      <c r="AH1398" s="11" t="n"/>
      <c r="AI1398" s="11" t="n"/>
      <c r="AJ1398" s="11" t="n"/>
      <c r="AK1398" s="14">
        <f>IF(AND($AF1398="保留中",$AH1398&lt;&gt;""),TODAY()-$AH1398,"")</f>
        <v/>
      </c>
      <c r="AL1398" s="12" t="n"/>
      <c r="AM1398" s="14">
        <f>IF($B1398="","",IF($AQ1398="","対象年月が未入力／","")&amp;IF($B1398="","",IF($AP1398="","職員マスタに未登録の職員番号／",IF($AA1398="","標準報酬月額が未登録／","")&amp;IF(AND($AQ1398&lt;&gt;"",OR(AND(INDEX(職員マスタ!$G$6:$G$405,$AP1398)&lt;&gt;"",INDEX(職員マスタ!$G$6:$G$405,$AP1398)&gt;EOMONTH($AQ1398,0)),AND(INDEX(職員マスタ!$H$6:$H$405,$AP1398)&lt;&gt;"",INDEX(職員マスタ!$H$6:$H$405,$AP1398)&lt;$AQ1398))),"対象月が時短期間外／","")&amp;IF(AND(INDEX(職員マスタ!$K$6:$K$405,$AP1398)&lt;&gt;"",N($W1398)&gt;0,INDEX(職員マスタ!$K$6:$K$405,$AP1398)&lt;&gt;$W1398),"標準報酬月額が申請書と相違（台帳"&amp;TEXT(INDEX(職員マスタ!$K$6:$K$405,$AP1398),"#,##0")&amp;"円／申請書"&amp;TEXT($W1398,"#,##0")&amp;"円）／","")&amp;IF(AND(INDEX(職員マスタ!$F$6:$F$405,$AP1398)&lt;&gt;"",$AQ1398&lt;&gt;"",INDEX(職員マスタ!$F$6:$F$405,$AP1398)&lt;$AQ1398),"対象月に子が2歳到達済／","")&amp;IF(AND($H1398&lt;&gt;"",INDEX(職員マスタ!$B$6:$B$405,$AP1398)&lt;&gt;"",SUBSTITUTE(SUBSTITUTE($H1398," ","")," ","")&lt;&gt;SUBSTITUTE(SUBSTITUTE(INDEX(職員マスタ!$B$6:$B$405,$AP1398)," ","")," ","")),"氏名がマスタと相違／","")&amp;IF(AND($Q1398&lt;&gt;"",INDEX(職員マスタ!$E$6:$E$405,$AP1398)&lt;&gt;"",$Q1398&lt;&gt;INDEX(職員マスタ!$E$6:$E$405,$AP1398)),"子の生年月日がマスタと相違／","")&amp;IF(AND($L1398&lt;&gt;"",INDEX(職員マスタ!$G$6:$G$405,$AP1398)&lt;&gt;"",$L1398&lt;&gt;INDEX(職員マスタ!$G$6:$G$405,$AP1398)),"時短開始日がマスタと相違／","")&amp;IF(AND($M1398&lt;&gt;"",INDEX(職員マスタ!$H$6:$H$405,$AP1398)&lt;&gt;"",$M1398&lt;&gt;INDEX(職員マスタ!$H$6:$H$405,$AP1398)),"時短終了日がマスタと相違／","")))&amp;IF(AND($B1398&lt;&gt;"",$E1398=""),"報酬額が未入力／","")&amp;IF(N($U1398)&gt;0,"申請書に入力エラーが残っています／","")&amp;IF(AND($B1398&lt;&gt;"",$AQ1398&lt;&gt;""),IF(COUNTIFS($B$6:$B$3005,$B1398,$C$6:$C$3005,$C1398,$D$6:$D$3005,$D1398)&gt;1,"同じ月の請求が重複しています／",""),"")&amp;IF(AND(N($E1398)&gt;0,$AB1398&lt;&gt;"",$AB1398&lt;&gt;"×",$AE1398=0,$AD1398=""),"計算額が下限以下のため不支給／",""))</f>
        <v/>
      </c>
      <c r="AN1398" s="12" t="n"/>
      <c r="AO1398" s="14">
        <f>IF($AF1398="保留中",COUNTIF($AF$6:$AF1398,"保留中"),"")</f>
        <v/>
      </c>
      <c r="AP1398" s="14">
        <f>IF($AQ1398="","",IF(SUMPRODUCT(MAX((職員マスタ!$A$6:$A$405=$B1398)*(((職員マスタ!$G$6:$G$405="")+(職員マスタ!$G$6:$G$405&lt;=EOMONTH($AQ1398,0)))&gt;0)*(((職員マスタ!$H$6:$H$405="")+(職員マスタ!$H$6:$H$405&gt;=$AQ1398))&gt;0)*(ROW(職員マスタ!$A$6:$A$405)-5)))&gt;0,SUMPRODUCT(MAX((職員マスタ!$A$6:$A$405=$B1398)*(((職員マスタ!$G$6:$G$405="")+(職員マスタ!$G$6:$G$405&lt;=EOMONTH($AQ1398,0)))&gt;0)*(((職員マスタ!$H$6:$H$405="")+(職員マスタ!$H$6:$H$405&gt;=$AQ1398))&gt;0)*(ROW(職員マスタ!$A$6:$A$405)-5))),IFERROR(MATCH($B1398,職員マスタ!$A$6:$A$405,0),"")))</f>
        <v/>
      </c>
      <c r="AQ1398" s="16">
        <f>IF(OR($B1398="",$C1398="",$D1398=""),"",DATE($C1398+2018,$D1398,1))</f>
        <v/>
      </c>
    </row>
    <row r="1399">
      <c r="A1399" s="11" t="n"/>
      <c r="B1399" s="12" t="n"/>
      <c r="C1399" s="12" t="n"/>
      <c r="D1399" s="12" t="n"/>
      <c r="E1399" s="13" t="n"/>
      <c r="F1399" s="12" t="n"/>
      <c r="G1399" s="13" t="n"/>
      <c r="H1399" s="12" t="n"/>
      <c r="I1399" s="12" t="n"/>
      <c r="J1399" s="12" t="n"/>
      <c r="K1399" s="12" t="n"/>
      <c r="L1399" s="11" t="n"/>
      <c r="M1399" s="11" t="n"/>
      <c r="N1399" s="11" t="n"/>
      <c r="O1399" s="11" t="n"/>
      <c r="P1399" s="12" t="n"/>
      <c r="Q1399" s="11" t="n"/>
      <c r="R1399" s="12" t="n"/>
      <c r="S1399" s="11" t="n"/>
      <c r="T1399" s="12" t="n"/>
      <c r="U1399" s="12" t="n"/>
      <c r="V1399" s="12" t="n"/>
      <c r="W1399" s="13" t="n"/>
      <c r="X1399" s="14">
        <f>IF($AP1399="",IF($B1399="","",$H1399),IF(INDEX(職員マスタ!$B$6:$B$405,$AP1399)="",$H1399,INDEX(職員マスタ!$B$6:$B$405,$AP1399)))</f>
        <v/>
      </c>
      <c r="Y1399" s="14">
        <f>IF($AP1399="",IF($B1399="","",$R1399),IF(INDEX(職員マスタ!$C$6:$C$405,$AP1399)="",$R1399,INDEX(職員マスタ!$C$6:$C$405,$AP1399)))</f>
        <v/>
      </c>
      <c r="Z1399" s="14">
        <f>IF($AQ1399="","","R"&amp;$C1399&amp;"."&amp;$D1399)</f>
        <v/>
      </c>
      <c r="AA1399" s="15">
        <f>IF(IF($AP1399="",FALSE,INDEX(職員マスタ!$K$6:$K$405,$AP1399)&lt;&gt;""),INDEX(職員マスタ!$K$6:$K$405,$AP1399),IF(N($W1399)&gt;0,$W1399,""))</f>
        <v/>
      </c>
      <c r="AB1399" s="14">
        <f>IF(OR($E1399="",$AA1399=""),"",IF($E1399&gt;=$AA1399,"×",IF($E1399&gt;=$AA1399*設定!$C$5,"△","○")))</f>
        <v/>
      </c>
      <c r="AC1399" s="15">
        <f>IF($AB1399="","",IF($AB1399="×",0,IF($AB1399="○",ROUNDDOWN($E1399*設定!$C$4,0),ROUNDDOWN($E1399*ROUND((9*$AA1399-9*$E1399)/(10*$E1399),4),0))))</f>
        <v/>
      </c>
      <c r="AD1399" s="13" t="n"/>
      <c r="AE1399" s="15">
        <f>IF($B1399="","",IF($AD1399&lt;&gt;"",$AD1399,IF($AC1399="","",IF($AC1399&lt;=設定!$C$3,0,$AC1399))))</f>
        <v/>
      </c>
      <c r="AF1399" s="14">
        <f>IF($B1399="","",IF(AND($AG1399&lt;&gt;"",$AI1399="",$AL1399=""),"保留中",IF($AL1399&lt;&gt;"",IF(N($AE1399)&gt;0,"支給済","不支給"),IF($AE1399="","要確認",IF($AE1399=0,"不支給","未処理")))))</f>
        <v/>
      </c>
      <c r="AG1399" s="12" t="n"/>
      <c r="AH1399" s="11" t="n"/>
      <c r="AI1399" s="11" t="n"/>
      <c r="AJ1399" s="11" t="n"/>
      <c r="AK1399" s="14">
        <f>IF(AND($AF1399="保留中",$AH1399&lt;&gt;""),TODAY()-$AH1399,"")</f>
        <v/>
      </c>
      <c r="AL1399" s="12" t="n"/>
      <c r="AM1399" s="14">
        <f>IF($B1399="","",IF($AQ1399="","対象年月が未入力／","")&amp;IF($B1399="","",IF($AP1399="","職員マスタに未登録の職員番号／",IF($AA1399="","標準報酬月額が未登録／","")&amp;IF(AND($AQ1399&lt;&gt;"",OR(AND(INDEX(職員マスタ!$G$6:$G$405,$AP1399)&lt;&gt;"",INDEX(職員マスタ!$G$6:$G$405,$AP1399)&gt;EOMONTH($AQ1399,0)),AND(INDEX(職員マスタ!$H$6:$H$405,$AP1399)&lt;&gt;"",INDEX(職員マスタ!$H$6:$H$405,$AP1399)&lt;$AQ1399))),"対象月が時短期間外／","")&amp;IF(AND(INDEX(職員マスタ!$K$6:$K$405,$AP1399)&lt;&gt;"",N($W1399)&gt;0,INDEX(職員マスタ!$K$6:$K$405,$AP1399)&lt;&gt;$W1399),"標準報酬月額が申請書と相違（台帳"&amp;TEXT(INDEX(職員マスタ!$K$6:$K$405,$AP1399),"#,##0")&amp;"円／申請書"&amp;TEXT($W1399,"#,##0")&amp;"円）／","")&amp;IF(AND(INDEX(職員マスタ!$F$6:$F$405,$AP1399)&lt;&gt;"",$AQ1399&lt;&gt;"",INDEX(職員マスタ!$F$6:$F$405,$AP1399)&lt;$AQ1399),"対象月に子が2歳到達済／","")&amp;IF(AND($H1399&lt;&gt;"",INDEX(職員マスタ!$B$6:$B$405,$AP1399)&lt;&gt;"",SUBSTITUTE(SUBSTITUTE($H1399," ","")," ","")&lt;&gt;SUBSTITUTE(SUBSTITUTE(INDEX(職員マスタ!$B$6:$B$405,$AP1399)," ","")," ","")),"氏名がマスタと相違／","")&amp;IF(AND($Q1399&lt;&gt;"",INDEX(職員マスタ!$E$6:$E$405,$AP1399)&lt;&gt;"",$Q1399&lt;&gt;INDEX(職員マスタ!$E$6:$E$405,$AP1399)),"子の生年月日がマスタと相違／","")&amp;IF(AND($L1399&lt;&gt;"",INDEX(職員マスタ!$G$6:$G$405,$AP1399)&lt;&gt;"",$L1399&lt;&gt;INDEX(職員マスタ!$G$6:$G$405,$AP1399)),"時短開始日がマスタと相違／","")&amp;IF(AND($M1399&lt;&gt;"",INDEX(職員マスタ!$H$6:$H$405,$AP1399)&lt;&gt;"",$M1399&lt;&gt;INDEX(職員マスタ!$H$6:$H$405,$AP1399)),"時短終了日がマスタと相違／","")))&amp;IF(AND($B1399&lt;&gt;"",$E1399=""),"報酬額が未入力／","")&amp;IF(N($U1399)&gt;0,"申請書に入力エラーが残っています／","")&amp;IF(AND($B1399&lt;&gt;"",$AQ1399&lt;&gt;""),IF(COUNTIFS($B$6:$B$3005,$B1399,$C$6:$C$3005,$C1399,$D$6:$D$3005,$D1399)&gt;1,"同じ月の請求が重複しています／",""),"")&amp;IF(AND(N($E1399)&gt;0,$AB1399&lt;&gt;"",$AB1399&lt;&gt;"×",$AE1399=0,$AD1399=""),"計算額が下限以下のため不支給／",""))</f>
        <v/>
      </c>
      <c r="AN1399" s="12" t="n"/>
      <c r="AO1399" s="14">
        <f>IF($AF1399="保留中",COUNTIF($AF$6:$AF1399,"保留中"),"")</f>
        <v/>
      </c>
      <c r="AP1399" s="14">
        <f>IF($AQ1399="","",IF(SUMPRODUCT(MAX((職員マスタ!$A$6:$A$405=$B1399)*(((職員マスタ!$G$6:$G$405="")+(職員マスタ!$G$6:$G$405&lt;=EOMONTH($AQ1399,0)))&gt;0)*(((職員マスタ!$H$6:$H$405="")+(職員マスタ!$H$6:$H$405&gt;=$AQ1399))&gt;0)*(ROW(職員マスタ!$A$6:$A$405)-5)))&gt;0,SUMPRODUCT(MAX((職員マスタ!$A$6:$A$405=$B1399)*(((職員マスタ!$G$6:$G$405="")+(職員マスタ!$G$6:$G$405&lt;=EOMONTH($AQ1399,0)))&gt;0)*(((職員マスタ!$H$6:$H$405="")+(職員マスタ!$H$6:$H$405&gt;=$AQ1399))&gt;0)*(ROW(職員マスタ!$A$6:$A$405)-5))),IFERROR(MATCH($B1399,職員マスタ!$A$6:$A$405,0),"")))</f>
        <v/>
      </c>
      <c r="AQ1399" s="16">
        <f>IF(OR($B1399="",$C1399="",$D1399=""),"",DATE($C1399+2018,$D1399,1))</f>
        <v/>
      </c>
    </row>
    <row r="1400">
      <c r="A1400" s="11" t="n"/>
      <c r="B1400" s="12" t="n"/>
      <c r="C1400" s="12" t="n"/>
      <c r="D1400" s="12" t="n"/>
      <c r="E1400" s="13" t="n"/>
      <c r="F1400" s="12" t="n"/>
      <c r="G1400" s="13" t="n"/>
      <c r="H1400" s="12" t="n"/>
      <c r="I1400" s="12" t="n"/>
      <c r="J1400" s="12" t="n"/>
      <c r="K1400" s="12" t="n"/>
      <c r="L1400" s="11" t="n"/>
      <c r="M1400" s="11" t="n"/>
      <c r="N1400" s="11" t="n"/>
      <c r="O1400" s="11" t="n"/>
      <c r="P1400" s="12" t="n"/>
      <c r="Q1400" s="11" t="n"/>
      <c r="R1400" s="12" t="n"/>
      <c r="S1400" s="11" t="n"/>
      <c r="T1400" s="12" t="n"/>
      <c r="U1400" s="12" t="n"/>
      <c r="V1400" s="12" t="n"/>
      <c r="W1400" s="13" t="n"/>
      <c r="X1400" s="14">
        <f>IF($AP1400="",IF($B1400="","",$H1400),IF(INDEX(職員マスタ!$B$6:$B$405,$AP1400)="",$H1400,INDEX(職員マスタ!$B$6:$B$405,$AP1400)))</f>
        <v/>
      </c>
      <c r="Y1400" s="14">
        <f>IF($AP1400="",IF($B1400="","",$R1400),IF(INDEX(職員マスタ!$C$6:$C$405,$AP1400)="",$R1400,INDEX(職員マスタ!$C$6:$C$405,$AP1400)))</f>
        <v/>
      </c>
      <c r="Z1400" s="14">
        <f>IF($AQ1400="","","R"&amp;$C1400&amp;"."&amp;$D1400)</f>
        <v/>
      </c>
      <c r="AA1400" s="15">
        <f>IF(IF($AP1400="",FALSE,INDEX(職員マスタ!$K$6:$K$405,$AP1400)&lt;&gt;""),INDEX(職員マスタ!$K$6:$K$405,$AP1400),IF(N($W1400)&gt;0,$W1400,""))</f>
        <v/>
      </c>
      <c r="AB1400" s="14">
        <f>IF(OR($E1400="",$AA1400=""),"",IF($E1400&gt;=$AA1400,"×",IF($E1400&gt;=$AA1400*設定!$C$5,"△","○")))</f>
        <v/>
      </c>
      <c r="AC1400" s="15">
        <f>IF($AB1400="","",IF($AB1400="×",0,IF($AB1400="○",ROUNDDOWN($E1400*設定!$C$4,0),ROUNDDOWN($E1400*ROUND((9*$AA1400-9*$E1400)/(10*$E1400),4),0))))</f>
        <v/>
      </c>
      <c r="AD1400" s="13" t="n"/>
      <c r="AE1400" s="15">
        <f>IF($B1400="","",IF($AD1400&lt;&gt;"",$AD1400,IF($AC1400="","",IF($AC1400&lt;=設定!$C$3,0,$AC1400))))</f>
        <v/>
      </c>
      <c r="AF1400" s="14">
        <f>IF($B1400="","",IF(AND($AG1400&lt;&gt;"",$AI1400="",$AL1400=""),"保留中",IF($AL1400&lt;&gt;"",IF(N($AE1400)&gt;0,"支給済","不支給"),IF($AE1400="","要確認",IF($AE1400=0,"不支給","未処理")))))</f>
        <v/>
      </c>
      <c r="AG1400" s="12" t="n"/>
      <c r="AH1400" s="11" t="n"/>
      <c r="AI1400" s="11" t="n"/>
      <c r="AJ1400" s="11" t="n"/>
      <c r="AK1400" s="14">
        <f>IF(AND($AF1400="保留中",$AH1400&lt;&gt;""),TODAY()-$AH1400,"")</f>
        <v/>
      </c>
      <c r="AL1400" s="12" t="n"/>
      <c r="AM1400" s="14">
        <f>IF($B1400="","",IF($AQ1400="","対象年月が未入力／","")&amp;IF($B1400="","",IF($AP1400="","職員マスタに未登録の職員番号／",IF($AA1400="","標準報酬月額が未登録／","")&amp;IF(AND($AQ1400&lt;&gt;"",OR(AND(INDEX(職員マスタ!$G$6:$G$405,$AP1400)&lt;&gt;"",INDEX(職員マスタ!$G$6:$G$405,$AP1400)&gt;EOMONTH($AQ1400,0)),AND(INDEX(職員マスタ!$H$6:$H$405,$AP1400)&lt;&gt;"",INDEX(職員マスタ!$H$6:$H$405,$AP1400)&lt;$AQ1400))),"対象月が時短期間外／","")&amp;IF(AND(INDEX(職員マスタ!$K$6:$K$405,$AP1400)&lt;&gt;"",N($W1400)&gt;0,INDEX(職員マスタ!$K$6:$K$405,$AP1400)&lt;&gt;$W1400),"標準報酬月額が申請書と相違（台帳"&amp;TEXT(INDEX(職員マスタ!$K$6:$K$405,$AP1400),"#,##0")&amp;"円／申請書"&amp;TEXT($W1400,"#,##0")&amp;"円）／","")&amp;IF(AND(INDEX(職員マスタ!$F$6:$F$405,$AP1400)&lt;&gt;"",$AQ1400&lt;&gt;"",INDEX(職員マスタ!$F$6:$F$405,$AP1400)&lt;$AQ1400),"対象月に子が2歳到達済／","")&amp;IF(AND($H1400&lt;&gt;"",INDEX(職員マスタ!$B$6:$B$405,$AP1400)&lt;&gt;"",SUBSTITUTE(SUBSTITUTE($H1400," ","")," ","")&lt;&gt;SUBSTITUTE(SUBSTITUTE(INDEX(職員マスタ!$B$6:$B$405,$AP1400)," ","")," ","")),"氏名がマスタと相違／","")&amp;IF(AND($Q1400&lt;&gt;"",INDEX(職員マスタ!$E$6:$E$405,$AP1400)&lt;&gt;"",$Q1400&lt;&gt;INDEX(職員マスタ!$E$6:$E$405,$AP1400)),"子の生年月日がマスタと相違／","")&amp;IF(AND($L1400&lt;&gt;"",INDEX(職員マスタ!$G$6:$G$405,$AP1400)&lt;&gt;"",$L1400&lt;&gt;INDEX(職員マスタ!$G$6:$G$405,$AP1400)),"時短開始日がマスタと相違／","")&amp;IF(AND($M1400&lt;&gt;"",INDEX(職員マスタ!$H$6:$H$405,$AP1400)&lt;&gt;"",$M1400&lt;&gt;INDEX(職員マスタ!$H$6:$H$405,$AP1400)),"時短終了日がマスタと相違／","")))&amp;IF(AND($B1400&lt;&gt;"",$E1400=""),"報酬額が未入力／","")&amp;IF(N($U1400)&gt;0,"申請書に入力エラーが残っています／","")&amp;IF(AND($B1400&lt;&gt;"",$AQ1400&lt;&gt;""),IF(COUNTIFS($B$6:$B$3005,$B1400,$C$6:$C$3005,$C1400,$D$6:$D$3005,$D1400)&gt;1,"同じ月の請求が重複しています／",""),"")&amp;IF(AND(N($E1400)&gt;0,$AB1400&lt;&gt;"",$AB1400&lt;&gt;"×",$AE1400=0,$AD1400=""),"計算額が下限以下のため不支給／",""))</f>
        <v/>
      </c>
      <c r="AN1400" s="12" t="n"/>
      <c r="AO1400" s="14">
        <f>IF($AF1400="保留中",COUNTIF($AF$6:$AF1400,"保留中"),"")</f>
        <v/>
      </c>
      <c r="AP1400" s="14">
        <f>IF($AQ1400="","",IF(SUMPRODUCT(MAX((職員マスタ!$A$6:$A$405=$B1400)*(((職員マスタ!$G$6:$G$405="")+(職員マスタ!$G$6:$G$405&lt;=EOMONTH($AQ1400,0)))&gt;0)*(((職員マスタ!$H$6:$H$405="")+(職員マスタ!$H$6:$H$405&gt;=$AQ1400))&gt;0)*(ROW(職員マスタ!$A$6:$A$405)-5)))&gt;0,SUMPRODUCT(MAX((職員マスタ!$A$6:$A$405=$B1400)*(((職員マスタ!$G$6:$G$405="")+(職員マスタ!$G$6:$G$405&lt;=EOMONTH($AQ1400,0)))&gt;0)*(((職員マスタ!$H$6:$H$405="")+(職員マスタ!$H$6:$H$405&gt;=$AQ1400))&gt;0)*(ROW(職員マスタ!$A$6:$A$405)-5))),IFERROR(MATCH($B1400,職員マスタ!$A$6:$A$405,0),"")))</f>
        <v/>
      </c>
      <c r="AQ1400" s="16">
        <f>IF(OR($B1400="",$C1400="",$D1400=""),"",DATE($C1400+2018,$D1400,1))</f>
        <v/>
      </c>
    </row>
    <row r="1401">
      <c r="A1401" s="11" t="n"/>
      <c r="B1401" s="12" t="n"/>
      <c r="C1401" s="12" t="n"/>
      <c r="D1401" s="12" t="n"/>
      <c r="E1401" s="13" t="n"/>
      <c r="F1401" s="12" t="n"/>
      <c r="G1401" s="13" t="n"/>
      <c r="H1401" s="12" t="n"/>
      <c r="I1401" s="12" t="n"/>
      <c r="J1401" s="12" t="n"/>
      <c r="K1401" s="12" t="n"/>
      <c r="L1401" s="11" t="n"/>
      <c r="M1401" s="11" t="n"/>
      <c r="N1401" s="11" t="n"/>
      <c r="O1401" s="11" t="n"/>
      <c r="P1401" s="12" t="n"/>
      <c r="Q1401" s="11" t="n"/>
      <c r="R1401" s="12" t="n"/>
      <c r="S1401" s="11" t="n"/>
      <c r="T1401" s="12" t="n"/>
      <c r="U1401" s="12" t="n"/>
      <c r="V1401" s="12" t="n"/>
      <c r="W1401" s="13" t="n"/>
      <c r="X1401" s="14">
        <f>IF($AP1401="",IF($B1401="","",$H1401),IF(INDEX(職員マスタ!$B$6:$B$405,$AP1401)="",$H1401,INDEX(職員マスタ!$B$6:$B$405,$AP1401)))</f>
        <v/>
      </c>
      <c r="Y1401" s="14">
        <f>IF($AP1401="",IF($B1401="","",$R1401),IF(INDEX(職員マスタ!$C$6:$C$405,$AP1401)="",$R1401,INDEX(職員マスタ!$C$6:$C$405,$AP1401)))</f>
        <v/>
      </c>
      <c r="Z1401" s="14">
        <f>IF($AQ1401="","","R"&amp;$C1401&amp;"."&amp;$D1401)</f>
        <v/>
      </c>
      <c r="AA1401" s="15">
        <f>IF(IF($AP1401="",FALSE,INDEX(職員マスタ!$K$6:$K$405,$AP1401)&lt;&gt;""),INDEX(職員マスタ!$K$6:$K$405,$AP1401),IF(N($W1401)&gt;0,$W1401,""))</f>
        <v/>
      </c>
      <c r="AB1401" s="14">
        <f>IF(OR($E1401="",$AA1401=""),"",IF($E1401&gt;=$AA1401,"×",IF($E1401&gt;=$AA1401*設定!$C$5,"△","○")))</f>
        <v/>
      </c>
      <c r="AC1401" s="15">
        <f>IF($AB1401="","",IF($AB1401="×",0,IF($AB1401="○",ROUNDDOWN($E1401*設定!$C$4,0),ROUNDDOWN($E1401*ROUND((9*$AA1401-9*$E1401)/(10*$E1401),4),0))))</f>
        <v/>
      </c>
      <c r="AD1401" s="13" t="n"/>
      <c r="AE1401" s="15">
        <f>IF($B1401="","",IF($AD1401&lt;&gt;"",$AD1401,IF($AC1401="","",IF($AC1401&lt;=設定!$C$3,0,$AC1401))))</f>
        <v/>
      </c>
      <c r="AF1401" s="14">
        <f>IF($B1401="","",IF(AND($AG1401&lt;&gt;"",$AI1401="",$AL1401=""),"保留中",IF($AL1401&lt;&gt;"",IF(N($AE1401)&gt;0,"支給済","不支給"),IF($AE1401="","要確認",IF($AE1401=0,"不支給","未処理")))))</f>
        <v/>
      </c>
      <c r="AG1401" s="12" t="n"/>
      <c r="AH1401" s="11" t="n"/>
      <c r="AI1401" s="11" t="n"/>
      <c r="AJ1401" s="11" t="n"/>
      <c r="AK1401" s="14">
        <f>IF(AND($AF1401="保留中",$AH1401&lt;&gt;""),TODAY()-$AH1401,"")</f>
        <v/>
      </c>
      <c r="AL1401" s="12" t="n"/>
      <c r="AM1401" s="14">
        <f>IF($B1401="","",IF($AQ1401="","対象年月が未入力／","")&amp;IF($B1401="","",IF($AP1401="","職員マスタに未登録の職員番号／",IF($AA1401="","標準報酬月額が未登録／","")&amp;IF(AND($AQ1401&lt;&gt;"",OR(AND(INDEX(職員マスタ!$G$6:$G$405,$AP1401)&lt;&gt;"",INDEX(職員マスタ!$G$6:$G$405,$AP1401)&gt;EOMONTH($AQ1401,0)),AND(INDEX(職員マスタ!$H$6:$H$405,$AP1401)&lt;&gt;"",INDEX(職員マスタ!$H$6:$H$405,$AP1401)&lt;$AQ1401))),"対象月が時短期間外／","")&amp;IF(AND(INDEX(職員マスタ!$K$6:$K$405,$AP1401)&lt;&gt;"",N($W1401)&gt;0,INDEX(職員マスタ!$K$6:$K$405,$AP1401)&lt;&gt;$W1401),"標準報酬月額が申請書と相違（台帳"&amp;TEXT(INDEX(職員マスタ!$K$6:$K$405,$AP1401),"#,##0")&amp;"円／申請書"&amp;TEXT($W1401,"#,##0")&amp;"円）／","")&amp;IF(AND(INDEX(職員マスタ!$F$6:$F$405,$AP1401)&lt;&gt;"",$AQ1401&lt;&gt;"",INDEX(職員マスタ!$F$6:$F$405,$AP1401)&lt;$AQ1401),"対象月に子が2歳到達済／","")&amp;IF(AND($H1401&lt;&gt;"",INDEX(職員マスタ!$B$6:$B$405,$AP1401)&lt;&gt;"",SUBSTITUTE(SUBSTITUTE($H1401," ","")," ","")&lt;&gt;SUBSTITUTE(SUBSTITUTE(INDEX(職員マスタ!$B$6:$B$405,$AP1401)," ","")," ","")),"氏名がマスタと相違／","")&amp;IF(AND($Q1401&lt;&gt;"",INDEX(職員マスタ!$E$6:$E$405,$AP1401)&lt;&gt;"",$Q1401&lt;&gt;INDEX(職員マスタ!$E$6:$E$405,$AP1401)),"子の生年月日がマスタと相違／","")&amp;IF(AND($L1401&lt;&gt;"",INDEX(職員マスタ!$G$6:$G$405,$AP1401)&lt;&gt;"",$L1401&lt;&gt;INDEX(職員マスタ!$G$6:$G$405,$AP1401)),"時短開始日がマスタと相違／","")&amp;IF(AND($M1401&lt;&gt;"",INDEX(職員マスタ!$H$6:$H$405,$AP1401)&lt;&gt;"",$M1401&lt;&gt;INDEX(職員マスタ!$H$6:$H$405,$AP1401)),"時短終了日がマスタと相違／","")))&amp;IF(AND($B1401&lt;&gt;"",$E1401=""),"報酬額が未入力／","")&amp;IF(N($U1401)&gt;0,"申請書に入力エラーが残っています／","")&amp;IF(AND($B1401&lt;&gt;"",$AQ1401&lt;&gt;""),IF(COUNTIFS($B$6:$B$3005,$B1401,$C$6:$C$3005,$C1401,$D$6:$D$3005,$D1401)&gt;1,"同じ月の請求が重複しています／",""),"")&amp;IF(AND(N($E1401)&gt;0,$AB1401&lt;&gt;"",$AB1401&lt;&gt;"×",$AE1401=0,$AD1401=""),"計算額が下限以下のため不支給／",""))</f>
        <v/>
      </c>
      <c r="AN1401" s="12" t="n"/>
      <c r="AO1401" s="14">
        <f>IF($AF1401="保留中",COUNTIF($AF$6:$AF1401,"保留中"),"")</f>
        <v/>
      </c>
      <c r="AP1401" s="14">
        <f>IF($AQ1401="","",IF(SUMPRODUCT(MAX((職員マスタ!$A$6:$A$405=$B1401)*(((職員マスタ!$G$6:$G$405="")+(職員マスタ!$G$6:$G$405&lt;=EOMONTH($AQ1401,0)))&gt;0)*(((職員マスタ!$H$6:$H$405="")+(職員マスタ!$H$6:$H$405&gt;=$AQ1401))&gt;0)*(ROW(職員マスタ!$A$6:$A$405)-5)))&gt;0,SUMPRODUCT(MAX((職員マスタ!$A$6:$A$405=$B1401)*(((職員マスタ!$G$6:$G$405="")+(職員マスタ!$G$6:$G$405&lt;=EOMONTH($AQ1401,0)))&gt;0)*(((職員マスタ!$H$6:$H$405="")+(職員マスタ!$H$6:$H$405&gt;=$AQ1401))&gt;0)*(ROW(職員マスタ!$A$6:$A$405)-5))),IFERROR(MATCH($B1401,職員マスタ!$A$6:$A$405,0),"")))</f>
        <v/>
      </c>
      <c r="AQ1401" s="16">
        <f>IF(OR($B1401="",$C1401="",$D1401=""),"",DATE($C1401+2018,$D1401,1))</f>
        <v/>
      </c>
    </row>
    <row r="1402">
      <c r="A1402" s="11" t="n"/>
      <c r="B1402" s="12" t="n"/>
      <c r="C1402" s="12" t="n"/>
      <c r="D1402" s="12" t="n"/>
      <c r="E1402" s="13" t="n"/>
      <c r="F1402" s="12" t="n"/>
      <c r="G1402" s="13" t="n"/>
      <c r="H1402" s="12" t="n"/>
      <c r="I1402" s="12" t="n"/>
      <c r="J1402" s="12" t="n"/>
      <c r="K1402" s="12" t="n"/>
      <c r="L1402" s="11" t="n"/>
      <c r="M1402" s="11" t="n"/>
      <c r="N1402" s="11" t="n"/>
      <c r="O1402" s="11" t="n"/>
      <c r="P1402" s="12" t="n"/>
      <c r="Q1402" s="11" t="n"/>
      <c r="R1402" s="12" t="n"/>
      <c r="S1402" s="11" t="n"/>
      <c r="T1402" s="12" t="n"/>
      <c r="U1402" s="12" t="n"/>
      <c r="V1402" s="12" t="n"/>
      <c r="W1402" s="13" t="n"/>
      <c r="X1402" s="14">
        <f>IF($AP1402="",IF($B1402="","",$H1402),IF(INDEX(職員マスタ!$B$6:$B$405,$AP1402)="",$H1402,INDEX(職員マスタ!$B$6:$B$405,$AP1402)))</f>
        <v/>
      </c>
      <c r="Y1402" s="14">
        <f>IF($AP1402="",IF($B1402="","",$R1402),IF(INDEX(職員マスタ!$C$6:$C$405,$AP1402)="",$R1402,INDEX(職員マスタ!$C$6:$C$405,$AP1402)))</f>
        <v/>
      </c>
      <c r="Z1402" s="14">
        <f>IF($AQ1402="","","R"&amp;$C1402&amp;"."&amp;$D1402)</f>
        <v/>
      </c>
      <c r="AA1402" s="15">
        <f>IF(IF($AP1402="",FALSE,INDEX(職員マスタ!$K$6:$K$405,$AP1402)&lt;&gt;""),INDEX(職員マスタ!$K$6:$K$405,$AP1402),IF(N($W1402)&gt;0,$W1402,""))</f>
        <v/>
      </c>
      <c r="AB1402" s="14">
        <f>IF(OR($E1402="",$AA1402=""),"",IF($E1402&gt;=$AA1402,"×",IF($E1402&gt;=$AA1402*設定!$C$5,"△","○")))</f>
        <v/>
      </c>
      <c r="AC1402" s="15">
        <f>IF($AB1402="","",IF($AB1402="×",0,IF($AB1402="○",ROUNDDOWN($E1402*設定!$C$4,0),ROUNDDOWN($E1402*ROUND((9*$AA1402-9*$E1402)/(10*$E1402),4),0))))</f>
        <v/>
      </c>
      <c r="AD1402" s="13" t="n"/>
      <c r="AE1402" s="15">
        <f>IF($B1402="","",IF($AD1402&lt;&gt;"",$AD1402,IF($AC1402="","",IF($AC1402&lt;=設定!$C$3,0,$AC1402))))</f>
        <v/>
      </c>
      <c r="AF1402" s="14">
        <f>IF($B1402="","",IF(AND($AG1402&lt;&gt;"",$AI1402="",$AL1402=""),"保留中",IF($AL1402&lt;&gt;"",IF(N($AE1402)&gt;0,"支給済","不支給"),IF($AE1402="","要確認",IF($AE1402=0,"不支給","未処理")))))</f>
        <v/>
      </c>
      <c r="AG1402" s="12" t="n"/>
      <c r="AH1402" s="11" t="n"/>
      <c r="AI1402" s="11" t="n"/>
      <c r="AJ1402" s="11" t="n"/>
      <c r="AK1402" s="14">
        <f>IF(AND($AF1402="保留中",$AH1402&lt;&gt;""),TODAY()-$AH1402,"")</f>
        <v/>
      </c>
      <c r="AL1402" s="12" t="n"/>
      <c r="AM1402" s="14">
        <f>IF($B1402="","",IF($AQ1402="","対象年月が未入力／","")&amp;IF($B1402="","",IF($AP1402="","職員マスタに未登録の職員番号／",IF($AA1402="","標準報酬月額が未登録／","")&amp;IF(AND($AQ1402&lt;&gt;"",OR(AND(INDEX(職員マスタ!$G$6:$G$405,$AP1402)&lt;&gt;"",INDEX(職員マスタ!$G$6:$G$405,$AP1402)&gt;EOMONTH($AQ1402,0)),AND(INDEX(職員マスタ!$H$6:$H$405,$AP1402)&lt;&gt;"",INDEX(職員マスタ!$H$6:$H$405,$AP1402)&lt;$AQ1402))),"対象月が時短期間外／","")&amp;IF(AND(INDEX(職員マスタ!$K$6:$K$405,$AP1402)&lt;&gt;"",N($W1402)&gt;0,INDEX(職員マスタ!$K$6:$K$405,$AP1402)&lt;&gt;$W1402),"標準報酬月額が申請書と相違（台帳"&amp;TEXT(INDEX(職員マスタ!$K$6:$K$405,$AP1402),"#,##0")&amp;"円／申請書"&amp;TEXT($W1402,"#,##0")&amp;"円）／","")&amp;IF(AND(INDEX(職員マスタ!$F$6:$F$405,$AP1402)&lt;&gt;"",$AQ1402&lt;&gt;"",INDEX(職員マスタ!$F$6:$F$405,$AP1402)&lt;$AQ1402),"対象月に子が2歳到達済／","")&amp;IF(AND($H1402&lt;&gt;"",INDEX(職員マスタ!$B$6:$B$405,$AP1402)&lt;&gt;"",SUBSTITUTE(SUBSTITUTE($H1402," ","")," ","")&lt;&gt;SUBSTITUTE(SUBSTITUTE(INDEX(職員マスタ!$B$6:$B$405,$AP1402)," ","")," ","")),"氏名がマスタと相違／","")&amp;IF(AND($Q1402&lt;&gt;"",INDEX(職員マスタ!$E$6:$E$405,$AP1402)&lt;&gt;"",$Q1402&lt;&gt;INDEX(職員マスタ!$E$6:$E$405,$AP1402)),"子の生年月日がマスタと相違／","")&amp;IF(AND($L1402&lt;&gt;"",INDEX(職員マスタ!$G$6:$G$405,$AP1402)&lt;&gt;"",$L1402&lt;&gt;INDEX(職員マスタ!$G$6:$G$405,$AP1402)),"時短開始日がマスタと相違／","")&amp;IF(AND($M1402&lt;&gt;"",INDEX(職員マスタ!$H$6:$H$405,$AP1402)&lt;&gt;"",$M1402&lt;&gt;INDEX(職員マスタ!$H$6:$H$405,$AP1402)),"時短終了日がマスタと相違／","")))&amp;IF(AND($B1402&lt;&gt;"",$E1402=""),"報酬額が未入力／","")&amp;IF(N($U1402)&gt;0,"申請書に入力エラーが残っています／","")&amp;IF(AND($B1402&lt;&gt;"",$AQ1402&lt;&gt;""),IF(COUNTIFS($B$6:$B$3005,$B1402,$C$6:$C$3005,$C1402,$D$6:$D$3005,$D1402)&gt;1,"同じ月の請求が重複しています／",""),"")&amp;IF(AND(N($E1402)&gt;0,$AB1402&lt;&gt;"",$AB1402&lt;&gt;"×",$AE1402=0,$AD1402=""),"計算額が下限以下のため不支給／",""))</f>
        <v/>
      </c>
      <c r="AN1402" s="12" t="n"/>
      <c r="AO1402" s="14">
        <f>IF($AF1402="保留中",COUNTIF($AF$6:$AF1402,"保留中"),"")</f>
        <v/>
      </c>
      <c r="AP1402" s="14">
        <f>IF($AQ1402="","",IF(SUMPRODUCT(MAX((職員マスタ!$A$6:$A$405=$B1402)*(((職員マスタ!$G$6:$G$405="")+(職員マスタ!$G$6:$G$405&lt;=EOMONTH($AQ1402,0)))&gt;0)*(((職員マスタ!$H$6:$H$405="")+(職員マスタ!$H$6:$H$405&gt;=$AQ1402))&gt;0)*(ROW(職員マスタ!$A$6:$A$405)-5)))&gt;0,SUMPRODUCT(MAX((職員マスタ!$A$6:$A$405=$B1402)*(((職員マスタ!$G$6:$G$405="")+(職員マスタ!$G$6:$G$405&lt;=EOMONTH($AQ1402,0)))&gt;0)*(((職員マスタ!$H$6:$H$405="")+(職員マスタ!$H$6:$H$405&gt;=$AQ1402))&gt;0)*(ROW(職員マスタ!$A$6:$A$405)-5))),IFERROR(MATCH($B1402,職員マスタ!$A$6:$A$405,0),"")))</f>
        <v/>
      </c>
      <c r="AQ1402" s="16">
        <f>IF(OR($B1402="",$C1402="",$D1402=""),"",DATE($C1402+2018,$D1402,1))</f>
        <v/>
      </c>
    </row>
    <row r="1403">
      <c r="A1403" s="11" t="n"/>
      <c r="B1403" s="12" t="n"/>
      <c r="C1403" s="12" t="n"/>
      <c r="D1403" s="12" t="n"/>
      <c r="E1403" s="13" t="n"/>
      <c r="F1403" s="12" t="n"/>
      <c r="G1403" s="13" t="n"/>
      <c r="H1403" s="12" t="n"/>
      <c r="I1403" s="12" t="n"/>
      <c r="J1403" s="12" t="n"/>
      <c r="K1403" s="12" t="n"/>
      <c r="L1403" s="11" t="n"/>
      <c r="M1403" s="11" t="n"/>
      <c r="N1403" s="11" t="n"/>
      <c r="O1403" s="11" t="n"/>
      <c r="P1403" s="12" t="n"/>
      <c r="Q1403" s="11" t="n"/>
      <c r="R1403" s="12" t="n"/>
      <c r="S1403" s="11" t="n"/>
      <c r="T1403" s="12" t="n"/>
      <c r="U1403" s="12" t="n"/>
      <c r="V1403" s="12" t="n"/>
      <c r="W1403" s="13" t="n"/>
      <c r="X1403" s="14">
        <f>IF($AP1403="",IF($B1403="","",$H1403),IF(INDEX(職員マスタ!$B$6:$B$405,$AP1403)="",$H1403,INDEX(職員マスタ!$B$6:$B$405,$AP1403)))</f>
        <v/>
      </c>
      <c r="Y1403" s="14">
        <f>IF($AP1403="",IF($B1403="","",$R1403),IF(INDEX(職員マスタ!$C$6:$C$405,$AP1403)="",$R1403,INDEX(職員マスタ!$C$6:$C$405,$AP1403)))</f>
        <v/>
      </c>
      <c r="Z1403" s="14">
        <f>IF($AQ1403="","","R"&amp;$C1403&amp;"."&amp;$D1403)</f>
        <v/>
      </c>
      <c r="AA1403" s="15">
        <f>IF(IF($AP1403="",FALSE,INDEX(職員マスタ!$K$6:$K$405,$AP1403)&lt;&gt;""),INDEX(職員マスタ!$K$6:$K$405,$AP1403),IF(N($W1403)&gt;0,$W1403,""))</f>
        <v/>
      </c>
      <c r="AB1403" s="14">
        <f>IF(OR($E1403="",$AA1403=""),"",IF($E1403&gt;=$AA1403,"×",IF($E1403&gt;=$AA1403*設定!$C$5,"△","○")))</f>
        <v/>
      </c>
      <c r="AC1403" s="15">
        <f>IF($AB1403="","",IF($AB1403="×",0,IF($AB1403="○",ROUNDDOWN($E1403*設定!$C$4,0),ROUNDDOWN($E1403*ROUND((9*$AA1403-9*$E1403)/(10*$E1403),4),0))))</f>
        <v/>
      </c>
      <c r="AD1403" s="13" t="n"/>
      <c r="AE1403" s="15">
        <f>IF($B1403="","",IF($AD1403&lt;&gt;"",$AD1403,IF($AC1403="","",IF($AC1403&lt;=設定!$C$3,0,$AC1403))))</f>
        <v/>
      </c>
      <c r="AF1403" s="14">
        <f>IF($B1403="","",IF(AND($AG1403&lt;&gt;"",$AI1403="",$AL1403=""),"保留中",IF($AL1403&lt;&gt;"",IF(N($AE1403)&gt;0,"支給済","不支給"),IF($AE1403="","要確認",IF($AE1403=0,"不支給","未処理")))))</f>
        <v/>
      </c>
      <c r="AG1403" s="12" t="n"/>
      <c r="AH1403" s="11" t="n"/>
      <c r="AI1403" s="11" t="n"/>
      <c r="AJ1403" s="11" t="n"/>
      <c r="AK1403" s="14">
        <f>IF(AND($AF1403="保留中",$AH1403&lt;&gt;""),TODAY()-$AH1403,"")</f>
        <v/>
      </c>
      <c r="AL1403" s="12" t="n"/>
      <c r="AM1403" s="14">
        <f>IF($B1403="","",IF($AQ1403="","対象年月が未入力／","")&amp;IF($B1403="","",IF($AP1403="","職員マスタに未登録の職員番号／",IF($AA1403="","標準報酬月額が未登録／","")&amp;IF(AND($AQ1403&lt;&gt;"",OR(AND(INDEX(職員マスタ!$G$6:$G$405,$AP1403)&lt;&gt;"",INDEX(職員マスタ!$G$6:$G$405,$AP1403)&gt;EOMONTH($AQ1403,0)),AND(INDEX(職員マスタ!$H$6:$H$405,$AP1403)&lt;&gt;"",INDEX(職員マスタ!$H$6:$H$405,$AP1403)&lt;$AQ1403))),"対象月が時短期間外／","")&amp;IF(AND(INDEX(職員マスタ!$K$6:$K$405,$AP1403)&lt;&gt;"",N($W1403)&gt;0,INDEX(職員マスタ!$K$6:$K$405,$AP1403)&lt;&gt;$W1403),"標準報酬月額が申請書と相違（台帳"&amp;TEXT(INDEX(職員マスタ!$K$6:$K$405,$AP1403),"#,##0")&amp;"円／申請書"&amp;TEXT($W1403,"#,##0")&amp;"円）／","")&amp;IF(AND(INDEX(職員マスタ!$F$6:$F$405,$AP1403)&lt;&gt;"",$AQ1403&lt;&gt;"",INDEX(職員マスタ!$F$6:$F$405,$AP1403)&lt;$AQ1403),"対象月に子が2歳到達済／","")&amp;IF(AND($H1403&lt;&gt;"",INDEX(職員マスタ!$B$6:$B$405,$AP1403)&lt;&gt;"",SUBSTITUTE(SUBSTITUTE($H1403," ","")," ","")&lt;&gt;SUBSTITUTE(SUBSTITUTE(INDEX(職員マスタ!$B$6:$B$405,$AP1403)," ","")," ","")),"氏名がマスタと相違／","")&amp;IF(AND($Q1403&lt;&gt;"",INDEX(職員マスタ!$E$6:$E$405,$AP1403)&lt;&gt;"",$Q1403&lt;&gt;INDEX(職員マスタ!$E$6:$E$405,$AP1403)),"子の生年月日がマスタと相違／","")&amp;IF(AND($L1403&lt;&gt;"",INDEX(職員マスタ!$G$6:$G$405,$AP1403)&lt;&gt;"",$L1403&lt;&gt;INDEX(職員マスタ!$G$6:$G$405,$AP1403)),"時短開始日がマスタと相違／","")&amp;IF(AND($M1403&lt;&gt;"",INDEX(職員マスタ!$H$6:$H$405,$AP1403)&lt;&gt;"",$M1403&lt;&gt;INDEX(職員マスタ!$H$6:$H$405,$AP1403)),"時短終了日がマスタと相違／","")))&amp;IF(AND($B1403&lt;&gt;"",$E1403=""),"報酬額が未入力／","")&amp;IF(N($U1403)&gt;0,"申請書に入力エラーが残っています／","")&amp;IF(AND($B1403&lt;&gt;"",$AQ1403&lt;&gt;""),IF(COUNTIFS($B$6:$B$3005,$B1403,$C$6:$C$3005,$C1403,$D$6:$D$3005,$D1403)&gt;1,"同じ月の請求が重複しています／",""),"")&amp;IF(AND(N($E1403)&gt;0,$AB1403&lt;&gt;"",$AB1403&lt;&gt;"×",$AE1403=0,$AD1403=""),"計算額が下限以下のため不支給／",""))</f>
        <v/>
      </c>
      <c r="AN1403" s="12" t="n"/>
      <c r="AO1403" s="14">
        <f>IF($AF1403="保留中",COUNTIF($AF$6:$AF1403,"保留中"),"")</f>
        <v/>
      </c>
      <c r="AP1403" s="14">
        <f>IF($AQ1403="","",IF(SUMPRODUCT(MAX((職員マスタ!$A$6:$A$405=$B1403)*(((職員マスタ!$G$6:$G$405="")+(職員マスタ!$G$6:$G$405&lt;=EOMONTH($AQ1403,0)))&gt;0)*(((職員マスタ!$H$6:$H$405="")+(職員マスタ!$H$6:$H$405&gt;=$AQ1403))&gt;0)*(ROW(職員マスタ!$A$6:$A$405)-5)))&gt;0,SUMPRODUCT(MAX((職員マスタ!$A$6:$A$405=$B1403)*(((職員マスタ!$G$6:$G$405="")+(職員マスタ!$G$6:$G$405&lt;=EOMONTH($AQ1403,0)))&gt;0)*(((職員マスタ!$H$6:$H$405="")+(職員マスタ!$H$6:$H$405&gt;=$AQ1403))&gt;0)*(ROW(職員マスタ!$A$6:$A$405)-5))),IFERROR(MATCH($B1403,職員マスタ!$A$6:$A$405,0),"")))</f>
        <v/>
      </c>
      <c r="AQ1403" s="16">
        <f>IF(OR($B1403="",$C1403="",$D1403=""),"",DATE($C1403+2018,$D1403,1))</f>
        <v/>
      </c>
    </row>
    <row r="1404">
      <c r="A1404" s="11" t="n"/>
      <c r="B1404" s="12" t="n"/>
      <c r="C1404" s="12" t="n"/>
      <c r="D1404" s="12" t="n"/>
      <c r="E1404" s="13" t="n"/>
      <c r="F1404" s="12" t="n"/>
      <c r="G1404" s="13" t="n"/>
      <c r="H1404" s="12" t="n"/>
      <c r="I1404" s="12" t="n"/>
      <c r="J1404" s="12" t="n"/>
      <c r="K1404" s="12" t="n"/>
      <c r="L1404" s="11" t="n"/>
      <c r="M1404" s="11" t="n"/>
      <c r="N1404" s="11" t="n"/>
      <c r="O1404" s="11" t="n"/>
      <c r="P1404" s="12" t="n"/>
      <c r="Q1404" s="11" t="n"/>
      <c r="R1404" s="12" t="n"/>
      <c r="S1404" s="11" t="n"/>
      <c r="T1404" s="12" t="n"/>
      <c r="U1404" s="12" t="n"/>
      <c r="V1404" s="12" t="n"/>
      <c r="W1404" s="13" t="n"/>
      <c r="X1404" s="14">
        <f>IF($AP1404="",IF($B1404="","",$H1404),IF(INDEX(職員マスタ!$B$6:$B$405,$AP1404)="",$H1404,INDEX(職員マスタ!$B$6:$B$405,$AP1404)))</f>
        <v/>
      </c>
      <c r="Y1404" s="14">
        <f>IF($AP1404="",IF($B1404="","",$R1404),IF(INDEX(職員マスタ!$C$6:$C$405,$AP1404)="",$R1404,INDEX(職員マスタ!$C$6:$C$405,$AP1404)))</f>
        <v/>
      </c>
      <c r="Z1404" s="14">
        <f>IF($AQ1404="","","R"&amp;$C1404&amp;"."&amp;$D1404)</f>
        <v/>
      </c>
      <c r="AA1404" s="15">
        <f>IF(IF($AP1404="",FALSE,INDEX(職員マスタ!$K$6:$K$405,$AP1404)&lt;&gt;""),INDEX(職員マスタ!$K$6:$K$405,$AP1404),IF(N($W1404)&gt;0,$W1404,""))</f>
        <v/>
      </c>
      <c r="AB1404" s="14">
        <f>IF(OR($E1404="",$AA1404=""),"",IF($E1404&gt;=$AA1404,"×",IF($E1404&gt;=$AA1404*設定!$C$5,"△","○")))</f>
        <v/>
      </c>
      <c r="AC1404" s="15">
        <f>IF($AB1404="","",IF($AB1404="×",0,IF($AB1404="○",ROUNDDOWN($E1404*設定!$C$4,0),ROUNDDOWN($E1404*ROUND((9*$AA1404-9*$E1404)/(10*$E1404),4),0))))</f>
        <v/>
      </c>
      <c r="AD1404" s="13" t="n"/>
      <c r="AE1404" s="15">
        <f>IF($B1404="","",IF($AD1404&lt;&gt;"",$AD1404,IF($AC1404="","",IF($AC1404&lt;=設定!$C$3,0,$AC1404))))</f>
        <v/>
      </c>
      <c r="AF1404" s="14">
        <f>IF($B1404="","",IF(AND($AG1404&lt;&gt;"",$AI1404="",$AL1404=""),"保留中",IF($AL1404&lt;&gt;"",IF(N($AE1404)&gt;0,"支給済","不支給"),IF($AE1404="","要確認",IF($AE1404=0,"不支給","未処理")))))</f>
        <v/>
      </c>
      <c r="AG1404" s="12" t="n"/>
      <c r="AH1404" s="11" t="n"/>
      <c r="AI1404" s="11" t="n"/>
      <c r="AJ1404" s="11" t="n"/>
      <c r="AK1404" s="14">
        <f>IF(AND($AF1404="保留中",$AH1404&lt;&gt;""),TODAY()-$AH1404,"")</f>
        <v/>
      </c>
      <c r="AL1404" s="12" t="n"/>
      <c r="AM1404" s="14">
        <f>IF($B1404="","",IF($AQ1404="","対象年月が未入力／","")&amp;IF($B1404="","",IF($AP1404="","職員マスタに未登録の職員番号／",IF($AA1404="","標準報酬月額が未登録／","")&amp;IF(AND($AQ1404&lt;&gt;"",OR(AND(INDEX(職員マスタ!$G$6:$G$405,$AP1404)&lt;&gt;"",INDEX(職員マスタ!$G$6:$G$405,$AP1404)&gt;EOMONTH($AQ1404,0)),AND(INDEX(職員マスタ!$H$6:$H$405,$AP1404)&lt;&gt;"",INDEX(職員マスタ!$H$6:$H$405,$AP1404)&lt;$AQ1404))),"対象月が時短期間外／","")&amp;IF(AND(INDEX(職員マスタ!$K$6:$K$405,$AP1404)&lt;&gt;"",N($W1404)&gt;0,INDEX(職員マスタ!$K$6:$K$405,$AP1404)&lt;&gt;$W1404),"標準報酬月額が申請書と相違（台帳"&amp;TEXT(INDEX(職員マスタ!$K$6:$K$405,$AP1404),"#,##0")&amp;"円／申請書"&amp;TEXT($W1404,"#,##0")&amp;"円）／","")&amp;IF(AND(INDEX(職員マスタ!$F$6:$F$405,$AP1404)&lt;&gt;"",$AQ1404&lt;&gt;"",INDEX(職員マスタ!$F$6:$F$405,$AP1404)&lt;$AQ1404),"対象月に子が2歳到達済／","")&amp;IF(AND($H1404&lt;&gt;"",INDEX(職員マスタ!$B$6:$B$405,$AP1404)&lt;&gt;"",SUBSTITUTE(SUBSTITUTE($H1404," ","")," ","")&lt;&gt;SUBSTITUTE(SUBSTITUTE(INDEX(職員マスタ!$B$6:$B$405,$AP1404)," ","")," ","")),"氏名がマスタと相違／","")&amp;IF(AND($Q1404&lt;&gt;"",INDEX(職員マスタ!$E$6:$E$405,$AP1404)&lt;&gt;"",$Q1404&lt;&gt;INDEX(職員マスタ!$E$6:$E$405,$AP1404)),"子の生年月日がマスタと相違／","")&amp;IF(AND($L1404&lt;&gt;"",INDEX(職員マスタ!$G$6:$G$405,$AP1404)&lt;&gt;"",$L1404&lt;&gt;INDEX(職員マスタ!$G$6:$G$405,$AP1404)),"時短開始日がマスタと相違／","")&amp;IF(AND($M1404&lt;&gt;"",INDEX(職員マスタ!$H$6:$H$405,$AP1404)&lt;&gt;"",$M1404&lt;&gt;INDEX(職員マスタ!$H$6:$H$405,$AP1404)),"時短終了日がマスタと相違／","")))&amp;IF(AND($B1404&lt;&gt;"",$E1404=""),"報酬額が未入力／","")&amp;IF(N($U1404)&gt;0,"申請書に入力エラーが残っています／","")&amp;IF(AND($B1404&lt;&gt;"",$AQ1404&lt;&gt;""),IF(COUNTIFS($B$6:$B$3005,$B1404,$C$6:$C$3005,$C1404,$D$6:$D$3005,$D1404)&gt;1,"同じ月の請求が重複しています／",""),"")&amp;IF(AND(N($E1404)&gt;0,$AB1404&lt;&gt;"",$AB1404&lt;&gt;"×",$AE1404=0,$AD1404=""),"計算額が下限以下のため不支給／",""))</f>
        <v/>
      </c>
      <c r="AN1404" s="12" t="n"/>
      <c r="AO1404" s="14">
        <f>IF($AF1404="保留中",COUNTIF($AF$6:$AF1404,"保留中"),"")</f>
        <v/>
      </c>
      <c r="AP1404" s="14">
        <f>IF($AQ1404="","",IF(SUMPRODUCT(MAX((職員マスタ!$A$6:$A$405=$B1404)*(((職員マスタ!$G$6:$G$405="")+(職員マスタ!$G$6:$G$405&lt;=EOMONTH($AQ1404,0)))&gt;0)*(((職員マスタ!$H$6:$H$405="")+(職員マスタ!$H$6:$H$405&gt;=$AQ1404))&gt;0)*(ROW(職員マスタ!$A$6:$A$405)-5)))&gt;0,SUMPRODUCT(MAX((職員マスタ!$A$6:$A$405=$B1404)*(((職員マスタ!$G$6:$G$405="")+(職員マスタ!$G$6:$G$405&lt;=EOMONTH($AQ1404,0)))&gt;0)*(((職員マスタ!$H$6:$H$405="")+(職員マスタ!$H$6:$H$405&gt;=$AQ1404))&gt;0)*(ROW(職員マスタ!$A$6:$A$405)-5))),IFERROR(MATCH($B1404,職員マスタ!$A$6:$A$405,0),"")))</f>
        <v/>
      </c>
      <c r="AQ1404" s="16">
        <f>IF(OR($B1404="",$C1404="",$D1404=""),"",DATE($C1404+2018,$D1404,1))</f>
        <v/>
      </c>
    </row>
    <row r="1405">
      <c r="A1405" s="11" t="n"/>
      <c r="B1405" s="12" t="n"/>
      <c r="C1405" s="12" t="n"/>
      <c r="D1405" s="12" t="n"/>
      <c r="E1405" s="13" t="n"/>
      <c r="F1405" s="12" t="n"/>
      <c r="G1405" s="13" t="n"/>
      <c r="H1405" s="12" t="n"/>
      <c r="I1405" s="12" t="n"/>
      <c r="J1405" s="12" t="n"/>
      <c r="K1405" s="12" t="n"/>
      <c r="L1405" s="11" t="n"/>
      <c r="M1405" s="11" t="n"/>
      <c r="N1405" s="11" t="n"/>
      <c r="O1405" s="11" t="n"/>
      <c r="P1405" s="12" t="n"/>
      <c r="Q1405" s="11" t="n"/>
      <c r="R1405" s="12" t="n"/>
      <c r="S1405" s="11" t="n"/>
      <c r="T1405" s="12" t="n"/>
      <c r="U1405" s="12" t="n"/>
      <c r="V1405" s="12" t="n"/>
      <c r="W1405" s="13" t="n"/>
      <c r="X1405" s="14">
        <f>IF($AP1405="",IF($B1405="","",$H1405),IF(INDEX(職員マスタ!$B$6:$B$405,$AP1405)="",$H1405,INDEX(職員マスタ!$B$6:$B$405,$AP1405)))</f>
        <v/>
      </c>
      <c r="Y1405" s="14">
        <f>IF($AP1405="",IF($B1405="","",$R1405),IF(INDEX(職員マスタ!$C$6:$C$405,$AP1405)="",$R1405,INDEX(職員マスタ!$C$6:$C$405,$AP1405)))</f>
        <v/>
      </c>
      <c r="Z1405" s="14">
        <f>IF($AQ1405="","","R"&amp;$C1405&amp;"."&amp;$D1405)</f>
        <v/>
      </c>
      <c r="AA1405" s="15">
        <f>IF(IF($AP1405="",FALSE,INDEX(職員マスタ!$K$6:$K$405,$AP1405)&lt;&gt;""),INDEX(職員マスタ!$K$6:$K$405,$AP1405),IF(N($W1405)&gt;0,$W1405,""))</f>
        <v/>
      </c>
      <c r="AB1405" s="14">
        <f>IF(OR($E1405="",$AA1405=""),"",IF($E1405&gt;=$AA1405,"×",IF($E1405&gt;=$AA1405*設定!$C$5,"△","○")))</f>
        <v/>
      </c>
      <c r="AC1405" s="15">
        <f>IF($AB1405="","",IF($AB1405="×",0,IF($AB1405="○",ROUNDDOWN($E1405*設定!$C$4,0),ROUNDDOWN($E1405*ROUND((9*$AA1405-9*$E1405)/(10*$E1405),4),0))))</f>
        <v/>
      </c>
      <c r="AD1405" s="13" t="n"/>
      <c r="AE1405" s="15">
        <f>IF($B1405="","",IF($AD1405&lt;&gt;"",$AD1405,IF($AC1405="","",IF($AC1405&lt;=設定!$C$3,0,$AC1405))))</f>
        <v/>
      </c>
      <c r="AF1405" s="14">
        <f>IF($B1405="","",IF(AND($AG1405&lt;&gt;"",$AI1405="",$AL1405=""),"保留中",IF($AL1405&lt;&gt;"",IF(N($AE1405)&gt;0,"支給済","不支給"),IF($AE1405="","要確認",IF($AE1405=0,"不支給","未処理")))))</f>
        <v/>
      </c>
      <c r="AG1405" s="12" t="n"/>
      <c r="AH1405" s="11" t="n"/>
      <c r="AI1405" s="11" t="n"/>
      <c r="AJ1405" s="11" t="n"/>
      <c r="AK1405" s="14">
        <f>IF(AND($AF1405="保留中",$AH1405&lt;&gt;""),TODAY()-$AH1405,"")</f>
        <v/>
      </c>
      <c r="AL1405" s="12" t="n"/>
      <c r="AM1405" s="14">
        <f>IF($B1405="","",IF($AQ1405="","対象年月が未入力／","")&amp;IF($B1405="","",IF($AP1405="","職員マスタに未登録の職員番号／",IF($AA1405="","標準報酬月額が未登録／","")&amp;IF(AND($AQ1405&lt;&gt;"",OR(AND(INDEX(職員マスタ!$G$6:$G$405,$AP1405)&lt;&gt;"",INDEX(職員マスタ!$G$6:$G$405,$AP1405)&gt;EOMONTH($AQ1405,0)),AND(INDEX(職員マスタ!$H$6:$H$405,$AP1405)&lt;&gt;"",INDEX(職員マスタ!$H$6:$H$405,$AP1405)&lt;$AQ1405))),"対象月が時短期間外／","")&amp;IF(AND(INDEX(職員マスタ!$K$6:$K$405,$AP1405)&lt;&gt;"",N($W1405)&gt;0,INDEX(職員マスタ!$K$6:$K$405,$AP1405)&lt;&gt;$W1405),"標準報酬月額が申請書と相違（台帳"&amp;TEXT(INDEX(職員マスタ!$K$6:$K$405,$AP1405),"#,##0")&amp;"円／申請書"&amp;TEXT($W1405,"#,##0")&amp;"円）／","")&amp;IF(AND(INDEX(職員マスタ!$F$6:$F$405,$AP1405)&lt;&gt;"",$AQ1405&lt;&gt;"",INDEX(職員マスタ!$F$6:$F$405,$AP1405)&lt;$AQ1405),"対象月に子が2歳到達済／","")&amp;IF(AND($H1405&lt;&gt;"",INDEX(職員マスタ!$B$6:$B$405,$AP1405)&lt;&gt;"",SUBSTITUTE(SUBSTITUTE($H1405," ","")," ","")&lt;&gt;SUBSTITUTE(SUBSTITUTE(INDEX(職員マスタ!$B$6:$B$405,$AP1405)," ","")," ","")),"氏名がマスタと相違／","")&amp;IF(AND($Q1405&lt;&gt;"",INDEX(職員マスタ!$E$6:$E$405,$AP1405)&lt;&gt;"",$Q1405&lt;&gt;INDEX(職員マスタ!$E$6:$E$405,$AP1405)),"子の生年月日がマスタと相違／","")&amp;IF(AND($L1405&lt;&gt;"",INDEX(職員マスタ!$G$6:$G$405,$AP1405)&lt;&gt;"",$L1405&lt;&gt;INDEX(職員マスタ!$G$6:$G$405,$AP1405)),"時短開始日がマスタと相違／","")&amp;IF(AND($M1405&lt;&gt;"",INDEX(職員マスタ!$H$6:$H$405,$AP1405)&lt;&gt;"",$M1405&lt;&gt;INDEX(職員マスタ!$H$6:$H$405,$AP1405)),"時短終了日がマスタと相違／","")))&amp;IF(AND($B1405&lt;&gt;"",$E1405=""),"報酬額が未入力／","")&amp;IF(N($U1405)&gt;0,"申請書に入力エラーが残っています／","")&amp;IF(AND($B1405&lt;&gt;"",$AQ1405&lt;&gt;""),IF(COUNTIFS($B$6:$B$3005,$B1405,$C$6:$C$3005,$C1405,$D$6:$D$3005,$D1405)&gt;1,"同じ月の請求が重複しています／",""),"")&amp;IF(AND(N($E1405)&gt;0,$AB1405&lt;&gt;"",$AB1405&lt;&gt;"×",$AE1405=0,$AD1405=""),"計算額が下限以下のため不支給／",""))</f>
        <v/>
      </c>
      <c r="AN1405" s="12" t="n"/>
      <c r="AO1405" s="14">
        <f>IF($AF1405="保留中",COUNTIF($AF$6:$AF1405,"保留中"),"")</f>
        <v/>
      </c>
      <c r="AP1405" s="14">
        <f>IF($AQ1405="","",IF(SUMPRODUCT(MAX((職員マスタ!$A$6:$A$405=$B1405)*(((職員マスタ!$G$6:$G$405="")+(職員マスタ!$G$6:$G$405&lt;=EOMONTH($AQ1405,0)))&gt;0)*(((職員マスタ!$H$6:$H$405="")+(職員マスタ!$H$6:$H$405&gt;=$AQ1405))&gt;0)*(ROW(職員マスタ!$A$6:$A$405)-5)))&gt;0,SUMPRODUCT(MAX((職員マスタ!$A$6:$A$405=$B1405)*(((職員マスタ!$G$6:$G$405="")+(職員マスタ!$G$6:$G$405&lt;=EOMONTH($AQ1405,0)))&gt;0)*(((職員マスタ!$H$6:$H$405="")+(職員マスタ!$H$6:$H$405&gt;=$AQ1405))&gt;0)*(ROW(職員マスタ!$A$6:$A$405)-5))),IFERROR(MATCH($B1405,職員マスタ!$A$6:$A$405,0),"")))</f>
        <v/>
      </c>
      <c r="AQ1405" s="16">
        <f>IF(OR($B1405="",$C1405="",$D1405=""),"",DATE($C1405+2018,$D1405,1))</f>
        <v/>
      </c>
    </row>
    <row r="1406">
      <c r="A1406" s="11" t="n"/>
      <c r="B1406" s="12" t="n"/>
      <c r="C1406" s="12" t="n"/>
      <c r="D1406" s="12" t="n"/>
      <c r="E1406" s="13" t="n"/>
      <c r="F1406" s="12" t="n"/>
      <c r="G1406" s="13" t="n"/>
      <c r="H1406" s="12" t="n"/>
      <c r="I1406" s="12" t="n"/>
      <c r="J1406" s="12" t="n"/>
      <c r="K1406" s="12" t="n"/>
      <c r="L1406" s="11" t="n"/>
      <c r="M1406" s="11" t="n"/>
      <c r="N1406" s="11" t="n"/>
      <c r="O1406" s="11" t="n"/>
      <c r="P1406" s="12" t="n"/>
      <c r="Q1406" s="11" t="n"/>
      <c r="R1406" s="12" t="n"/>
      <c r="S1406" s="11" t="n"/>
      <c r="T1406" s="12" t="n"/>
      <c r="U1406" s="12" t="n"/>
      <c r="V1406" s="12" t="n"/>
      <c r="W1406" s="13" t="n"/>
      <c r="X1406" s="14">
        <f>IF($AP1406="",IF($B1406="","",$H1406),IF(INDEX(職員マスタ!$B$6:$B$405,$AP1406)="",$H1406,INDEX(職員マスタ!$B$6:$B$405,$AP1406)))</f>
        <v/>
      </c>
      <c r="Y1406" s="14">
        <f>IF($AP1406="",IF($B1406="","",$R1406),IF(INDEX(職員マスタ!$C$6:$C$405,$AP1406)="",$R1406,INDEX(職員マスタ!$C$6:$C$405,$AP1406)))</f>
        <v/>
      </c>
      <c r="Z1406" s="14">
        <f>IF($AQ1406="","","R"&amp;$C1406&amp;"."&amp;$D1406)</f>
        <v/>
      </c>
      <c r="AA1406" s="15">
        <f>IF(IF($AP1406="",FALSE,INDEX(職員マスタ!$K$6:$K$405,$AP1406)&lt;&gt;""),INDEX(職員マスタ!$K$6:$K$405,$AP1406),IF(N($W1406)&gt;0,$W1406,""))</f>
        <v/>
      </c>
      <c r="AB1406" s="14">
        <f>IF(OR($E1406="",$AA1406=""),"",IF($E1406&gt;=$AA1406,"×",IF($E1406&gt;=$AA1406*設定!$C$5,"△","○")))</f>
        <v/>
      </c>
      <c r="AC1406" s="15">
        <f>IF($AB1406="","",IF($AB1406="×",0,IF($AB1406="○",ROUNDDOWN($E1406*設定!$C$4,0),ROUNDDOWN($E1406*ROUND((9*$AA1406-9*$E1406)/(10*$E1406),4),0))))</f>
        <v/>
      </c>
      <c r="AD1406" s="13" t="n"/>
      <c r="AE1406" s="15">
        <f>IF($B1406="","",IF($AD1406&lt;&gt;"",$AD1406,IF($AC1406="","",IF($AC1406&lt;=設定!$C$3,0,$AC1406))))</f>
        <v/>
      </c>
      <c r="AF1406" s="14">
        <f>IF($B1406="","",IF(AND($AG1406&lt;&gt;"",$AI1406="",$AL1406=""),"保留中",IF($AL1406&lt;&gt;"",IF(N($AE1406)&gt;0,"支給済","不支給"),IF($AE1406="","要確認",IF($AE1406=0,"不支給","未処理")))))</f>
        <v/>
      </c>
      <c r="AG1406" s="12" t="n"/>
      <c r="AH1406" s="11" t="n"/>
      <c r="AI1406" s="11" t="n"/>
      <c r="AJ1406" s="11" t="n"/>
      <c r="AK1406" s="14">
        <f>IF(AND($AF1406="保留中",$AH1406&lt;&gt;""),TODAY()-$AH1406,"")</f>
        <v/>
      </c>
      <c r="AL1406" s="12" t="n"/>
      <c r="AM1406" s="14">
        <f>IF($B1406="","",IF($AQ1406="","対象年月が未入力／","")&amp;IF($B1406="","",IF($AP1406="","職員マスタに未登録の職員番号／",IF($AA1406="","標準報酬月額が未登録／","")&amp;IF(AND($AQ1406&lt;&gt;"",OR(AND(INDEX(職員マスタ!$G$6:$G$405,$AP1406)&lt;&gt;"",INDEX(職員マスタ!$G$6:$G$405,$AP1406)&gt;EOMONTH($AQ1406,0)),AND(INDEX(職員マスタ!$H$6:$H$405,$AP1406)&lt;&gt;"",INDEX(職員マスタ!$H$6:$H$405,$AP1406)&lt;$AQ1406))),"対象月が時短期間外／","")&amp;IF(AND(INDEX(職員マスタ!$K$6:$K$405,$AP1406)&lt;&gt;"",N($W1406)&gt;0,INDEX(職員マスタ!$K$6:$K$405,$AP1406)&lt;&gt;$W1406),"標準報酬月額が申請書と相違（台帳"&amp;TEXT(INDEX(職員マスタ!$K$6:$K$405,$AP1406),"#,##0")&amp;"円／申請書"&amp;TEXT($W1406,"#,##0")&amp;"円）／","")&amp;IF(AND(INDEX(職員マスタ!$F$6:$F$405,$AP1406)&lt;&gt;"",$AQ1406&lt;&gt;"",INDEX(職員マスタ!$F$6:$F$405,$AP1406)&lt;$AQ1406),"対象月に子が2歳到達済／","")&amp;IF(AND($H1406&lt;&gt;"",INDEX(職員マスタ!$B$6:$B$405,$AP1406)&lt;&gt;"",SUBSTITUTE(SUBSTITUTE($H1406," ","")," ","")&lt;&gt;SUBSTITUTE(SUBSTITUTE(INDEX(職員マスタ!$B$6:$B$405,$AP1406)," ","")," ","")),"氏名がマスタと相違／","")&amp;IF(AND($Q1406&lt;&gt;"",INDEX(職員マスタ!$E$6:$E$405,$AP1406)&lt;&gt;"",$Q1406&lt;&gt;INDEX(職員マスタ!$E$6:$E$405,$AP1406)),"子の生年月日がマスタと相違／","")&amp;IF(AND($L1406&lt;&gt;"",INDEX(職員マスタ!$G$6:$G$405,$AP1406)&lt;&gt;"",$L1406&lt;&gt;INDEX(職員マスタ!$G$6:$G$405,$AP1406)),"時短開始日がマスタと相違／","")&amp;IF(AND($M1406&lt;&gt;"",INDEX(職員マスタ!$H$6:$H$405,$AP1406)&lt;&gt;"",$M1406&lt;&gt;INDEX(職員マスタ!$H$6:$H$405,$AP1406)),"時短終了日がマスタと相違／","")))&amp;IF(AND($B1406&lt;&gt;"",$E1406=""),"報酬額が未入力／","")&amp;IF(N($U1406)&gt;0,"申請書に入力エラーが残っています／","")&amp;IF(AND($B1406&lt;&gt;"",$AQ1406&lt;&gt;""),IF(COUNTIFS($B$6:$B$3005,$B1406,$C$6:$C$3005,$C1406,$D$6:$D$3005,$D1406)&gt;1,"同じ月の請求が重複しています／",""),"")&amp;IF(AND(N($E1406)&gt;0,$AB1406&lt;&gt;"",$AB1406&lt;&gt;"×",$AE1406=0,$AD1406=""),"計算額が下限以下のため不支給／",""))</f>
        <v/>
      </c>
      <c r="AN1406" s="12" t="n"/>
      <c r="AO1406" s="14">
        <f>IF($AF1406="保留中",COUNTIF($AF$6:$AF1406,"保留中"),"")</f>
        <v/>
      </c>
      <c r="AP1406" s="14">
        <f>IF($AQ1406="","",IF(SUMPRODUCT(MAX((職員マスタ!$A$6:$A$405=$B1406)*(((職員マスタ!$G$6:$G$405="")+(職員マスタ!$G$6:$G$405&lt;=EOMONTH($AQ1406,0)))&gt;0)*(((職員マスタ!$H$6:$H$405="")+(職員マスタ!$H$6:$H$405&gt;=$AQ1406))&gt;0)*(ROW(職員マスタ!$A$6:$A$405)-5)))&gt;0,SUMPRODUCT(MAX((職員マスタ!$A$6:$A$405=$B1406)*(((職員マスタ!$G$6:$G$405="")+(職員マスタ!$G$6:$G$405&lt;=EOMONTH($AQ1406,0)))&gt;0)*(((職員マスタ!$H$6:$H$405="")+(職員マスタ!$H$6:$H$405&gt;=$AQ1406))&gt;0)*(ROW(職員マスタ!$A$6:$A$405)-5))),IFERROR(MATCH($B1406,職員マスタ!$A$6:$A$405,0),"")))</f>
        <v/>
      </c>
      <c r="AQ1406" s="16">
        <f>IF(OR($B1406="",$C1406="",$D1406=""),"",DATE($C1406+2018,$D1406,1))</f>
        <v/>
      </c>
    </row>
    <row r="1407">
      <c r="A1407" s="11" t="n"/>
      <c r="B1407" s="12" t="n"/>
      <c r="C1407" s="12" t="n"/>
      <c r="D1407" s="12" t="n"/>
      <c r="E1407" s="13" t="n"/>
      <c r="F1407" s="12" t="n"/>
      <c r="G1407" s="13" t="n"/>
      <c r="H1407" s="12" t="n"/>
      <c r="I1407" s="12" t="n"/>
      <c r="J1407" s="12" t="n"/>
      <c r="K1407" s="12" t="n"/>
      <c r="L1407" s="11" t="n"/>
      <c r="M1407" s="11" t="n"/>
      <c r="N1407" s="11" t="n"/>
      <c r="O1407" s="11" t="n"/>
      <c r="P1407" s="12" t="n"/>
      <c r="Q1407" s="11" t="n"/>
      <c r="R1407" s="12" t="n"/>
      <c r="S1407" s="11" t="n"/>
      <c r="T1407" s="12" t="n"/>
      <c r="U1407" s="12" t="n"/>
      <c r="V1407" s="12" t="n"/>
      <c r="W1407" s="13" t="n"/>
      <c r="X1407" s="14">
        <f>IF($AP1407="",IF($B1407="","",$H1407),IF(INDEX(職員マスタ!$B$6:$B$405,$AP1407)="",$H1407,INDEX(職員マスタ!$B$6:$B$405,$AP1407)))</f>
        <v/>
      </c>
      <c r="Y1407" s="14">
        <f>IF($AP1407="",IF($B1407="","",$R1407),IF(INDEX(職員マスタ!$C$6:$C$405,$AP1407)="",$R1407,INDEX(職員マスタ!$C$6:$C$405,$AP1407)))</f>
        <v/>
      </c>
      <c r="Z1407" s="14">
        <f>IF($AQ1407="","","R"&amp;$C1407&amp;"."&amp;$D1407)</f>
        <v/>
      </c>
      <c r="AA1407" s="15">
        <f>IF(IF($AP1407="",FALSE,INDEX(職員マスタ!$K$6:$K$405,$AP1407)&lt;&gt;""),INDEX(職員マスタ!$K$6:$K$405,$AP1407),IF(N($W1407)&gt;0,$W1407,""))</f>
        <v/>
      </c>
      <c r="AB1407" s="14">
        <f>IF(OR($E1407="",$AA1407=""),"",IF($E1407&gt;=$AA1407,"×",IF($E1407&gt;=$AA1407*設定!$C$5,"△","○")))</f>
        <v/>
      </c>
      <c r="AC1407" s="15">
        <f>IF($AB1407="","",IF($AB1407="×",0,IF($AB1407="○",ROUNDDOWN($E1407*設定!$C$4,0),ROUNDDOWN($E1407*ROUND((9*$AA1407-9*$E1407)/(10*$E1407),4),0))))</f>
        <v/>
      </c>
      <c r="AD1407" s="13" t="n"/>
      <c r="AE1407" s="15">
        <f>IF($B1407="","",IF($AD1407&lt;&gt;"",$AD1407,IF($AC1407="","",IF($AC1407&lt;=設定!$C$3,0,$AC1407))))</f>
        <v/>
      </c>
      <c r="AF1407" s="14">
        <f>IF($B1407="","",IF(AND($AG1407&lt;&gt;"",$AI1407="",$AL1407=""),"保留中",IF($AL1407&lt;&gt;"",IF(N($AE1407)&gt;0,"支給済","不支給"),IF($AE1407="","要確認",IF($AE1407=0,"不支給","未処理")))))</f>
        <v/>
      </c>
      <c r="AG1407" s="12" t="n"/>
      <c r="AH1407" s="11" t="n"/>
      <c r="AI1407" s="11" t="n"/>
      <c r="AJ1407" s="11" t="n"/>
      <c r="AK1407" s="14">
        <f>IF(AND($AF1407="保留中",$AH1407&lt;&gt;""),TODAY()-$AH1407,"")</f>
        <v/>
      </c>
      <c r="AL1407" s="12" t="n"/>
      <c r="AM1407" s="14">
        <f>IF($B1407="","",IF($AQ1407="","対象年月が未入力／","")&amp;IF($B1407="","",IF($AP1407="","職員マスタに未登録の職員番号／",IF($AA1407="","標準報酬月額が未登録／","")&amp;IF(AND($AQ1407&lt;&gt;"",OR(AND(INDEX(職員マスタ!$G$6:$G$405,$AP1407)&lt;&gt;"",INDEX(職員マスタ!$G$6:$G$405,$AP1407)&gt;EOMONTH($AQ1407,0)),AND(INDEX(職員マスタ!$H$6:$H$405,$AP1407)&lt;&gt;"",INDEX(職員マスタ!$H$6:$H$405,$AP1407)&lt;$AQ1407))),"対象月が時短期間外／","")&amp;IF(AND(INDEX(職員マスタ!$K$6:$K$405,$AP1407)&lt;&gt;"",N($W1407)&gt;0,INDEX(職員マスタ!$K$6:$K$405,$AP1407)&lt;&gt;$W1407),"標準報酬月額が申請書と相違（台帳"&amp;TEXT(INDEX(職員マスタ!$K$6:$K$405,$AP1407),"#,##0")&amp;"円／申請書"&amp;TEXT($W1407,"#,##0")&amp;"円）／","")&amp;IF(AND(INDEX(職員マスタ!$F$6:$F$405,$AP1407)&lt;&gt;"",$AQ1407&lt;&gt;"",INDEX(職員マスタ!$F$6:$F$405,$AP1407)&lt;$AQ1407),"対象月に子が2歳到達済／","")&amp;IF(AND($H1407&lt;&gt;"",INDEX(職員マスタ!$B$6:$B$405,$AP1407)&lt;&gt;"",SUBSTITUTE(SUBSTITUTE($H1407," ","")," ","")&lt;&gt;SUBSTITUTE(SUBSTITUTE(INDEX(職員マスタ!$B$6:$B$405,$AP1407)," ","")," ","")),"氏名がマスタと相違／","")&amp;IF(AND($Q1407&lt;&gt;"",INDEX(職員マスタ!$E$6:$E$405,$AP1407)&lt;&gt;"",$Q1407&lt;&gt;INDEX(職員マスタ!$E$6:$E$405,$AP1407)),"子の生年月日がマスタと相違／","")&amp;IF(AND($L1407&lt;&gt;"",INDEX(職員マスタ!$G$6:$G$405,$AP1407)&lt;&gt;"",$L1407&lt;&gt;INDEX(職員マスタ!$G$6:$G$405,$AP1407)),"時短開始日がマスタと相違／","")&amp;IF(AND($M1407&lt;&gt;"",INDEX(職員マスタ!$H$6:$H$405,$AP1407)&lt;&gt;"",$M1407&lt;&gt;INDEX(職員マスタ!$H$6:$H$405,$AP1407)),"時短終了日がマスタと相違／","")))&amp;IF(AND($B1407&lt;&gt;"",$E1407=""),"報酬額が未入力／","")&amp;IF(N($U1407)&gt;0,"申請書に入力エラーが残っています／","")&amp;IF(AND($B1407&lt;&gt;"",$AQ1407&lt;&gt;""),IF(COUNTIFS($B$6:$B$3005,$B1407,$C$6:$C$3005,$C1407,$D$6:$D$3005,$D1407)&gt;1,"同じ月の請求が重複しています／",""),"")&amp;IF(AND(N($E1407)&gt;0,$AB1407&lt;&gt;"",$AB1407&lt;&gt;"×",$AE1407=0,$AD1407=""),"計算額が下限以下のため不支給／",""))</f>
        <v/>
      </c>
      <c r="AN1407" s="12" t="n"/>
      <c r="AO1407" s="14">
        <f>IF($AF1407="保留中",COUNTIF($AF$6:$AF1407,"保留中"),"")</f>
        <v/>
      </c>
      <c r="AP1407" s="14">
        <f>IF($AQ1407="","",IF(SUMPRODUCT(MAX((職員マスタ!$A$6:$A$405=$B1407)*(((職員マスタ!$G$6:$G$405="")+(職員マスタ!$G$6:$G$405&lt;=EOMONTH($AQ1407,0)))&gt;0)*(((職員マスタ!$H$6:$H$405="")+(職員マスタ!$H$6:$H$405&gt;=$AQ1407))&gt;0)*(ROW(職員マスタ!$A$6:$A$405)-5)))&gt;0,SUMPRODUCT(MAX((職員マスタ!$A$6:$A$405=$B1407)*(((職員マスタ!$G$6:$G$405="")+(職員マスタ!$G$6:$G$405&lt;=EOMONTH($AQ1407,0)))&gt;0)*(((職員マスタ!$H$6:$H$405="")+(職員マスタ!$H$6:$H$405&gt;=$AQ1407))&gt;0)*(ROW(職員マスタ!$A$6:$A$405)-5))),IFERROR(MATCH($B1407,職員マスタ!$A$6:$A$405,0),"")))</f>
        <v/>
      </c>
      <c r="AQ1407" s="16">
        <f>IF(OR($B1407="",$C1407="",$D1407=""),"",DATE($C1407+2018,$D1407,1))</f>
        <v/>
      </c>
    </row>
    <row r="1408">
      <c r="A1408" s="11" t="n"/>
      <c r="B1408" s="12" t="n"/>
      <c r="C1408" s="12" t="n"/>
      <c r="D1408" s="12" t="n"/>
      <c r="E1408" s="13" t="n"/>
      <c r="F1408" s="12" t="n"/>
      <c r="G1408" s="13" t="n"/>
      <c r="H1408" s="12" t="n"/>
      <c r="I1408" s="12" t="n"/>
      <c r="J1408" s="12" t="n"/>
      <c r="K1408" s="12" t="n"/>
      <c r="L1408" s="11" t="n"/>
      <c r="M1408" s="11" t="n"/>
      <c r="N1408" s="11" t="n"/>
      <c r="O1408" s="11" t="n"/>
      <c r="P1408" s="12" t="n"/>
      <c r="Q1408" s="11" t="n"/>
      <c r="R1408" s="12" t="n"/>
      <c r="S1408" s="11" t="n"/>
      <c r="T1408" s="12" t="n"/>
      <c r="U1408" s="12" t="n"/>
      <c r="V1408" s="12" t="n"/>
      <c r="W1408" s="13" t="n"/>
      <c r="X1408" s="14">
        <f>IF($AP1408="",IF($B1408="","",$H1408),IF(INDEX(職員マスタ!$B$6:$B$405,$AP1408)="",$H1408,INDEX(職員マスタ!$B$6:$B$405,$AP1408)))</f>
        <v/>
      </c>
      <c r="Y1408" s="14">
        <f>IF($AP1408="",IF($B1408="","",$R1408),IF(INDEX(職員マスタ!$C$6:$C$405,$AP1408)="",$R1408,INDEX(職員マスタ!$C$6:$C$405,$AP1408)))</f>
        <v/>
      </c>
      <c r="Z1408" s="14">
        <f>IF($AQ1408="","","R"&amp;$C1408&amp;"."&amp;$D1408)</f>
        <v/>
      </c>
      <c r="AA1408" s="15">
        <f>IF(IF($AP1408="",FALSE,INDEX(職員マスタ!$K$6:$K$405,$AP1408)&lt;&gt;""),INDEX(職員マスタ!$K$6:$K$405,$AP1408),IF(N($W1408)&gt;0,$W1408,""))</f>
        <v/>
      </c>
      <c r="AB1408" s="14">
        <f>IF(OR($E1408="",$AA1408=""),"",IF($E1408&gt;=$AA1408,"×",IF($E1408&gt;=$AA1408*設定!$C$5,"△","○")))</f>
        <v/>
      </c>
      <c r="AC1408" s="15">
        <f>IF($AB1408="","",IF($AB1408="×",0,IF($AB1408="○",ROUNDDOWN($E1408*設定!$C$4,0),ROUNDDOWN($E1408*ROUND((9*$AA1408-9*$E1408)/(10*$E1408),4),0))))</f>
        <v/>
      </c>
      <c r="AD1408" s="13" t="n"/>
      <c r="AE1408" s="15">
        <f>IF($B1408="","",IF($AD1408&lt;&gt;"",$AD1408,IF($AC1408="","",IF($AC1408&lt;=設定!$C$3,0,$AC1408))))</f>
        <v/>
      </c>
      <c r="AF1408" s="14">
        <f>IF($B1408="","",IF(AND($AG1408&lt;&gt;"",$AI1408="",$AL1408=""),"保留中",IF($AL1408&lt;&gt;"",IF(N($AE1408)&gt;0,"支給済","不支給"),IF($AE1408="","要確認",IF($AE1408=0,"不支給","未処理")))))</f>
        <v/>
      </c>
      <c r="AG1408" s="12" t="n"/>
      <c r="AH1408" s="11" t="n"/>
      <c r="AI1408" s="11" t="n"/>
      <c r="AJ1408" s="11" t="n"/>
      <c r="AK1408" s="14">
        <f>IF(AND($AF1408="保留中",$AH1408&lt;&gt;""),TODAY()-$AH1408,"")</f>
        <v/>
      </c>
      <c r="AL1408" s="12" t="n"/>
      <c r="AM1408" s="14">
        <f>IF($B1408="","",IF($AQ1408="","対象年月が未入力／","")&amp;IF($B1408="","",IF($AP1408="","職員マスタに未登録の職員番号／",IF($AA1408="","標準報酬月額が未登録／","")&amp;IF(AND($AQ1408&lt;&gt;"",OR(AND(INDEX(職員マスタ!$G$6:$G$405,$AP1408)&lt;&gt;"",INDEX(職員マスタ!$G$6:$G$405,$AP1408)&gt;EOMONTH($AQ1408,0)),AND(INDEX(職員マスタ!$H$6:$H$405,$AP1408)&lt;&gt;"",INDEX(職員マスタ!$H$6:$H$405,$AP1408)&lt;$AQ1408))),"対象月が時短期間外／","")&amp;IF(AND(INDEX(職員マスタ!$K$6:$K$405,$AP1408)&lt;&gt;"",N($W1408)&gt;0,INDEX(職員マスタ!$K$6:$K$405,$AP1408)&lt;&gt;$W1408),"標準報酬月額が申請書と相違（台帳"&amp;TEXT(INDEX(職員マスタ!$K$6:$K$405,$AP1408),"#,##0")&amp;"円／申請書"&amp;TEXT($W1408,"#,##0")&amp;"円）／","")&amp;IF(AND(INDEX(職員マスタ!$F$6:$F$405,$AP1408)&lt;&gt;"",$AQ1408&lt;&gt;"",INDEX(職員マスタ!$F$6:$F$405,$AP1408)&lt;$AQ1408),"対象月に子が2歳到達済／","")&amp;IF(AND($H1408&lt;&gt;"",INDEX(職員マスタ!$B$6:$B$405,$AP1408)&lt;&gt;"",SUBSTITUTE(SUBSTITUTE($H1408," ","")," ","")&lt;&gt;SUBSTITUTE(SUBSTITUTE(INDEX(職員マスタ!$B$6:$B$405,$AP1408)," ","")," ","")),"氏名がマスタと相違／","")&amp;IF(AND($Q1408&lt;&gt;"",INDEX(職員マスタ!$E$6:$E$405,$AP1408)&lt;&gt;"",$Q1408&lt;&gt;INDEX(職員マスタ!$E$6:$E$405,$AP1408)),"子の生年月日がマスタと相違／","")&amp;IF(AND($L1408&lt;&gt;"",INDEX(職員マスタ!$G$6:$G$405,$AP1408)&lt;&gt;"",$L1408&lt;&gt;INDEX(職員マスタ!$G$6:$G$405,$AP1408)),"時短開始日がマスタと相違／","")&amp;IF(AND($M1408&lt;&gt;"",INDEX(職員マスタ!$H$6:$H$405,$AP1408)&lt;&gt;"",$M1408&lt;&gt;INDEX(職員マスタ!$H$6:$H$405,$AP1408)),"時短終了日がマスタと相違／","")))&amp;IF(AND($B1408&lt;&gt;"",$E1408=""),"報酬額が未入力／","")&amp;IF(N($U1408)&gt;0,"申請書に入力エラーが残っています／","")&amp;IF(AND($B1408&lt;&gt;"",$AQ1408&lt;&gt;""),IF(COUNTIFS($B$6:$B$3005,$B1408,$C$6:$C$3005,$C1408,$D$6:$D$3005,$D1408)&gt;1,"同じ月の請求が重複しています／",""),"")&amp;IF(AND(N($E1408)&gt;0,$AB1408&lt;&gt;"",$AB1408&lt;&gt;"×",$AE1408=0,$AD1408=""),"計算額が下限以下のため不支給／",""))</f>
        <v/>
      </c>
      <c r="AN1408" s="12" t="n"/>
      <c r="AO1408" s="14">
        <f>IF($AF1408="保留中",COUNTIF($AF$6:$AF1408,"保留中"),"")</f>
        <v/>
      </c>
      <c r="AP1408" s="14">
        <f>IF($AQ1408="","",IF(SUMPRODUCT(MAX((職員マスタ!$A$6:$A$405=$B1408)*(((職員マスタ!$G$6:$G$405="")+(職員マスタ!$G$6:$G$405&lt;=EOMONTH($AQ1408,0)))&gt;0)*(((職員マスタ!$H$6:$H$405="")+(職員マスタ!$H$6:$H$405&gt;=$AQ1408))&gt;0)*(ROW(職員マスタ!$A$6:$A$405)-5)))&gt;0,SUMPRODUCT(MAX((職員マスタ!$A$6:$A$405=$B1408)*(((職員マスタ!$G$6:$G$405="")+(職員マスタ!$G$6:$G$405&lt;=EOMONTH($AQ1408,0)))&gt;0)*(((職員マスタ!$H$6:$H$405="")+(職員マスタ!$H$6:$H$405&gt;=$AQ1408))&gt;0)*(ROW(職員マスタ!$A$6:$A$405)-5))),IFERROR(MATCH($B1408,職員マスタ!$A$6:$A$405,0),"")))</f>
        <v/>
      </c>
      <c r="AQ1408" s="16">
        <f>IF(OR($B1408="",$C1408="",$D1408=""),"",DATE($C1408+2018,$D1408,1))</f>
        <v/>
      </c>
    </row>
    <row r="1409">
      <c r="A1409" s="11" t="n"/>
      <c r="B1409" s="12" t="n"/>
      <c r="C1409" s="12" t="n"/>
      <c r="D1409" s="12" t="n"/>
      <c r="E1409" s="13" t="n"/>
      <c r="F1409" s="12" t="n"/>
      <c r="G1409" s="13" t="n"/>
      <c r="H1409" s="12" t="n"/>
      <c r="I1409" s="12" t="n"/>
      <c r="J1409" s="12" t="n"/>
      <c r="K1409" s="12" t="n"/>
      <c r="L1409" s="11" t="n"/>
      <c r="M1409" s="11" t="n"/>
      <c r="N1409" s="11" t="n"/>
      <c r="O1409" s="11" t="n"/>
      <c r="P1409" s="12" t="n"/>
      <c r="Q1409" s="11" t="n"/>
      <c r="R1409" s="12" t="n"/>
      <c r="S1409" s="11" t="n"/>
      <c r="T1409" s="12" t="n"/>
      <c r="U1409" s="12" t="n"/>
      <c r="V1409" s="12" t="n"/>
      <c r="W1409" s="13" t="n"/>
      <c r="X1409" s="14">
        <f>IF($AP1409="",IF($B1409="","",$H1409),IF(INDEX(職員マスタ!$B$6:$B$405,$AP1409)="",$H1409,INDEX(職員マスタ!$B$6:$B$405,$AP1409)))</f>
        <v/>
      </c>
      <c r="Y1409" s="14">
        <f>IF($AP1409="",IF($B1409="","",$R1409),IF(INDEX(職員マスタ!$C$6:$C$405,$AP1409)="",$R1409,INDEX(職員マスタ!$C$6:$C$405,$AP1409)))</f>
        <v/>
      </c>
      <c r="Z1409" s="14">
        <f>IF($AQ1409="","","R"&amp;$C1409&amp;"."&amp;$D1409)</f>
        <v/>
      </c>
      <c r="AA1409" s="15">
        <f>IF(IF($AP1409="",FALSE,INDEX(職員マスタ!$K$6:$K$405,$AP1409)&lt;&gt;""),INDEX(職員マスタ!$K$6:$K$405,$AP1409),IF(N($W1409)&gt;0,$W1409,""))</f>
        <v/>
      </c>
      <c r="AB1409" s="14">
        <f>IF(OR($E1409="",$AA1409=""),"",IF($E1409&gt;=$AA1409,"×",IF($E1409&gt;=$AA1409*設定!$C$5,"△","○")))</f>
        <v/>
      </c>
      <c r="AC1409" s="15">
        <f>IF($AB1409="","",IF($AB1409="×",0,IF($AB1409="○",ROUNDDOWN($E1409*設定!$C$4,0),ROUNDDOWN($E1409*ROUND((9*$AA1409-9*$E1409)/(10*$E1409),4),0))))</f>
        <v/>
      </c>
      <c r="AD1409" s="13" t="n"/>
      <c r="AE1409" s="15">
        <f>IF($B1409="","",IF($AD1409&lt;&gt;"",$AD1409,IF($AC1409="","",IF($AC1409&lt;=設定!$C$3,0,$AC1409))))</f>
        <v/>
      </c>
      <c r="AF1409" s="14">
        <f>IF($B1409="","",IF(AND($AG1409&lt;&gt;"",$AI1409="",$AL1409=""),"保留中",IF($AL1409&lt;&gt;"",IF(N($AE1409)&gt;0,"支給済","不支給"),IF($AE1409="","要確認",IF($AE1409=0,"不支給","未処理")))))</f>
        <v/>
      </c>
      <c r="AG1409" s="12" t="n"/>
      <c r="AH1409" s="11" t="n"/>
      <c r="AI1409" s="11" t="n"/>
      <c r="AJ1409" s="11" t="n"/>
      <c r="AK1409" s="14">
        <f>IF(AND($AF1409="保留中",$AH1409&lt;&gt;""),TODAY()-$AH1409,"")</f>
        <v/>
      </c>
      <c r="AL1409" s="12" t="n"/>
      <c r="AM1409" s="14">
        <f>IF($B1409="","",IF($AQ1409="","対象年月が未入力／","")&amp;IF($B1409="","",IF($AP1409="","職員マスタに未登録の職員番号／",IF($AA1409="","標準報酬月額が未登録／","")&amp;IF(AND($AQ1409&lt;&gt;"",OR(AND(INDEX(職員マスタ!$G$6:$G$405,$AP1409)&lt;&gt;"",INDEX(職員マスタ!$G$6:$G$405,$AP1409)&gt;EOMONTH($AQ1409,0)),AND(INDEX(職員マスタ!$H$6:$H$405,$AP1409)&lt;&gt;"",INDEX(職員マスタ!$H$6:$H$405,$AP1409)&lt;$AQ1409))),"対象月が時短期間外／","")&amp;IF(AND(INDEX(職員マスタ!$K$6:$K$405,$AP1409)&lt;&gt;"",N($W1409)&gt;0,INDEX(職員マスタ!$K$6:$K$405,$AP1409)&lt;&gt;$W1409),"標準報酬月額が申請書と相違（台帳"&amp;TEXT(INDEX(職員マスタ!$K$6:$K$405,$AP1409),"#,##0")&amp;"円／申請書"&amp;TEXT($W1409,"#,##0")&amp;"円）／","")&amp;IF(AND(INDEX(職員マスタ!$F$6:$F$405,$AP1409)&lt;&gt;"",$AQ1409&lt;&gt;"",INDEX(職員マスタ!$F$6:$F$405,$AP1409)&lt;$AQ1409),"対象月に子が2歳到達済／","")&amp;IF(AND($H1409&lt;&gt;"",INDEX(職員マスタ!$B$6:$B$405,$AP1409)&lt;&gt;"",SUBSTITUTE(SUBSTITUTE($H1409," ","")," ","")&lt;&gt;SUBSTITUTE(SUBSTITUTE(INDEX(職員マスタ!$B$6:$B$405,$AP1409)," ","")," ","")),"氏名がマスタと相違／","")&amp;IF(AND($Q1409&lt;&gt;"",INDEX(職員マスタ!$E$6:$E$405,$AP1409)&lt;&gt;"",$Q1409&lt;&gt;INDEX(職員マスタ!$E$6:$E$405,$AP1409)),"子の生年月日がマスタと相違／","")&amp;IF(AND($L1409&lt;&gt;"",INDEX(職員マスタ!$G$6:$G$405,$AP1409)&lt;&gt;"",$L1409&lt;&gt;INDEX(職員マスタ!$G$6:$G$405,$AP1409)),"時短開始日がマスタと相違／","")&amp;IF(AND($M1409&lt;&gt;"",INDEX(職員マスタ!$H$6:$H$405,$AP1409)&lt;&gt;"",$M1409&lt;&gt;INDEX(職員マスタ!$H$6:$H$405,$AP1409)),"時短終了日がマスタと相違／","")))&amp;IF(AND($B1409&lt;&gt;"",$E1409=""),"報酬額が未入力／","")&amp;IF(N($U1409)&gt;0,"申請書に入力エラーが残っています／","")&amp;IF(AND($B1409&lt;&gt;"",$AQ1409&lt;&gt;""),IF(COUNTIFS($B$6:$B$3005,$B1409,$C$6:$C$3005,$C1409,$D$6:$D$3005,$D1409)&gt;1,"同じ月の請求が重複しています／",""),"")&amp;IF(AND(N($E1409)&gt;0,$AB1409&lt;&gt;"",$AB1409&lt;&gt;"×",$AE1409=0,$AD1409=""),"計算額が下限以下のため不支給／",""))</f>
        <v/>
      </c>
      <c r="AN1409" s="12" t="n"/>
      <c r="AO1409" s="14">
        <f>IF($AF1409="保留中",COUNTIF($AF$6:$AF1409,"保留中"),"")</f>
        <v/>
      </c>
      <c r="AP1409" s="14">
        <f>IF($AQ1409="","",IF(SUMPRODUCT(MAX((職員マスタ!$A$6:$A$405=$B1409)*(((職員マスタ!$G$6:$G$405="")+(職員マスタ!$G$6:$G$405&lt;=EOMONTH($AQ1409,0)))&gt;0)*(((職員マスタ!$H$6:$H$405="")+(職員マスタ!$H$6:$H$405&gt;=$AQ1409))&gt;0)*(ROW(職員マスタ!$A$6:$A$405)-5)))&gt;0,SUMPRODUCT(MAX((職員マスタ!$A$6:$A$405=$B1409)*(((職員マスタ!$G$6:$G$405="")+(職員マスタ!$G$6:$G$405&lt;=EOMONTH($AQ1409,0)))&gt;0)*(((職員マスタ!$H$6:$H$405="")+(職員マスタ!$H$6:$H$405&gt;=$AQ1409))&gt;0)*(ROW(職員マスタ!$A$6:$A$405)-5))),IFERROR(MATCH($B1409,職員マスタ!$A$6:$A$405,0),"")))</f>
        <v/>
      </c>
      <c r="AQ1409" s="16">
        <f>IF(OR($B1409="",$C1409="",$D1409=""),"",DATE($C1409+2018,$D1409,1))</f>
        <v/>
      </c>
    </row>
    <row r="1410">
      <c r="A1410" s="11" t="n"/>
      <c r="B1410" s="12" t="n"/>
      <c r="C1410" s="12" t="n"/>
      <c r="D1410" s="12" t="n"/>
      <c r="E1410" s="13" t="n"/>
      <c r="F1410" s="12" t="n"/>
      <c r="G1410" s="13" t="n"/>
      <c r="H1410" s="12" t="n"/>
      <c r="I1410" s="12" t="n"/>
      <c r="J1410" s="12" t="n"/>
      <c r="K1410" s="12" t="n"/>
      <c r="L1410" s="11" t="n"/>
      <c r="M1410" s="11" t="n"/>
      <c r="N1410" s="11" t="n"/>
      <c r="O1410" s="11" t="n"/>
      <c r="P1410" s="12" t="n"/>
      <c r="Q1410" s="11" t="n"/>
      <c r="R1410" s="12" t="n"/>
      <c r="S1410" s="11" t="n"/>
      <c r="T1410" s="12" t="n"/>
      <c r="U1410" s="12" t="n"/>
      <c r="V1410" s="12" t="n"/>
      <c r="W1410" s="13" t="n"/>
      <c r="X1410" s="14">
        <f>IF($AP1410="",IF($B1410="","",$H1410),IF(INDEX(職員マスタ!$B$6:$B$405,$AP1410)="",$H1410,INDEX(職員マスタ!$B$6:$B$405,$AP1410)))</f>
        <v/>
      </c>
      <c r="Y1410" s="14">
        <f>IF($AP1410="",IF($B1410="","",$R1410),IF(INDEX(職員マスタ!$C$6:$C$405,$AP1410)="",$R1410,INDEX(職員マスタ!$C$6:$C$405,$AP1410)))</f>
        <v/>
      </c>
      <c r="Z1410" s="14">
        <f>IF($AQ1410="","","R"&amp;$C1410&amp;"."&amp;$D1410)</f>
        <v/>
      </c>
      <c r="AA1410" s="15">
        <f>IF(IF($AP1410="",FALSE,INDEX(職員マスタ!$K$6:$K$405,$AP1410)&lt;&gt;""),INDEX(職員マスタ!$K$6:$K$405,$AP1410),IF(N($W1410)&gt;0,$W1410,""))</f>
        <v/>
      </c>
      <c r="AB1410" s="14">
        <f>IF(OR($E1410="",$AA1410=""),"",IF($E1410&gt;=$AA1410,"×",IF($E1410&gt;=$AA1410*設定!$C$5,"△","○")))</f>
        <v/>
      </c>
      <c r="AC1410" s="15">
        <f>IF($AB1410="","",IF($AB1410="×",0,IF($AB1410="○",ROUNDDOWN($E1410*設定!$C$4,0),ROUNDDOWN($E1410*ROUND((9*$AA1410-9*$E1410)/(10*$E1410),4),0))))</f>
        <v/>
      </c>
      <c r="AD1410" s="13" t="n"/>
      <c r="AE1410" s="15">
        <f>IF($B1410="","",IF($AD1410&lt;&gt;"",$AD1410,IF($AC1410="","",IF($AC1410&lt;=設定!$C$3,0,$AC1410))))</f>
        <v/>
      </c>
      <c r="AF1410" s="14">
        <f>IF($B1410="","",IF(AND($AG1410&lt;&gt;"",$AI1410="",$AL1410=""),"保留中",IF($AL1410&lt;&gt;"",IF(N($AE1410)&gt;0,"支給済","不支給"),IF($AE1410="","要確認",IF($AE1410=0,"不支給","未処理")))))</f>
        <v/>
      </c>
      <c r="AG1410" s="12" t="n"/>
      <c r="AH1410" s="11" t="n"/>
      <c r="AI1410" s="11" t="n"/>
      <c r="AJ1410" s="11" t="n"/>
      <c r="AK1410" s="14">
        <f>IF(AND($AF1410="保留中",$AH1410&lt;&gt;""),TODAY()-$AH1410,"")</f>
        <v/>
      </c>
      <c r="AL1410" s="12" t="n"/>
      <c r="AM1410" s="14">
        <f>IF($B1410="","",IF($AQ1410="","対象年月が未入力／","")&amp;IF($B1410="","",IF($AP1410="","職員マスタに未登録の職員番号／",IF($AA1410="","標準報酬月額が未登録／","")&amp;IF(AND($AQ1410&lt;&gt;"",OR(AND(INDEX(職員マスタ!$G$6:$G$405,$AP1410)&lt;&gt;"",INDEX(職員マスタ!$G$6:$G$405,$AP1410)&gt;EOMONTH($AQ1410,0)),AND(INDEX(職員マスタ!$H$6:$H$405,$AP1410)&lt;&gt;"",INDEX(職員マスタ!$H$6:$H$405,$AP1410)&lt;$AQ1410))),"対象月が時短期間外／","")&amp;IF(AND(INDEX(職員マスタ!$K$6:$K$405,$AP1410)&lt;&gt;"",N($W1410)&gt;0,INDEX(職員マスタ!$K$6:$K$405,$AP1410)&lt;&gt;$W1410),"標準報酬月額が申請書と相違（台帳"&amp;TEXT(INDEX(職員マスタ!$K$6:$K$405,$AP1410),"#,##0")&amp;"円／申請書"&amp;TEXT($W1410,"#,##0")&amp;"円）／","")&amp;IF(AND(INDEX(職員マスタ!$F$6:$F$405,$AP1410)&lt;&gt;"",$AQ1410&lt;&gt;"",INDEX(職員マスタ!$F$6:$F$405,$AP1410)&lt;$AQ1410),"対象月に子が2歳到達済／","")&amp;IF(AND($H1410&lt;&gt;"",INDEX(職員マスタ!$B$6:$B$405,$AP1410)&lt;&gt;"",SUBSTITUTE(SUBSTITUTE($H1410," ","")," ","")&lt;&gt;SUBSTITUTE(SUBSTITUTE(INDEX(職員マスタ!$B$6:$B$405,$AP1410)," ","")," ","")),"氏名がマスタと相違／","")&amp;IF(AND($Q1410&lt;&gt;"",INDEX(職員マスタ!$E$6:$E$405,$AP1410)&lt;&gt;"",$Q1410&lt;&gt;INDEX(職員マスタ!$E$6:$E$405,$AP1410)),"子の生年月日がマスタと相違／","")&amp;IF(AND($L1410&lt;&gt;"",INDEX(職員マスタ!$G$6:$G$405,$AP1410)&lt;&gt;"",$L1410&lt;&gt;INDEX(職員マスタ!$G$6:$G$405,$AP1410)),"時短開始日がマスタと相違／","")&amp;IF(AND($M1410&lt;&gt;"",INDEX(職員マスタ!$H$6:$H$405,$AP1410)&lt;&gt;"",$M1410&lt;&gt;INDEX(職員マスタ!$H$6:$H$405,$AP1410)),"時短終了日がマスタと相違／","")))&amp;IF(AND($B1410&lt;&gt;"",$E1410=""),"報酬額が未入力／","")&amp;IF(N($U1410)&gt;0,"申請書に入力エラーが残っています／","")&amp;IF(AND($B1410&lt;&gt;"",$AQ1410&lt;&gt;""),IF(COUNTIFS($B$6:$B$3005,$B1410,$C$6:$C$3005,$C1410,$D$6:$D$3005,$D1410)&gt;1,"同じ月の請求が重複しています／",""),"")&amp;IF(AND(N($E1410)&gt;0,$AB1410&lt;&gt;"",$AB1410&lt;&gt;"×",$AE1410=0,$AD1410=""),"計算額が下限以下のため不支給／",""))</f>
        <v/>
      </c>
      <c r="AN1410" s="12" t="n"/>
      <c r="AO1410" s="14">
        <f>IF($AF1410="保留中",COUNTIF($AF$6:$AF1410,"保留中"),"")</f>
        <v/>
      </c>
      <c r="AP1410" s="14">
        <f>IF($AQ1410="","",IF(SUMPRODUCT(MAX((職員マスタ!$A$6:$A$405=$B1410)*(((職員マスタ!$G$6:$G$405="")+(職員マスタ!$G$6:$G$405&lt;=EOMONTH($AQ1410,0)))&gt;0)*(((職員マスタ!$H$6:$H$405="")+(職員マスタ!$H$6:$H$405&gt;=$AQ1410))&gt;0)*(ROW(職員マスタ!$A$6:$A$405)-5)))&gt;0,SUMPRODUCT(MAX((職員マスタ!$A$6:$A$405=$B1410)*(((職員マスタ!$G$6:$G$405="")+(職員マスタ!$G$6:$G$405&lt;=EOMONTH($AQ1410,0)))&gt;0)*(((職員マスタ!$H$6:$H$405="")+(職員マスタ!$H$6:$H$405&gt;=$AQ1410))&gt;0)*(ROW(職員マスタ!$A$6:$A$405)-5))),IFERROR(MATCH($B1410,職員マスタ!$A$6:$A$405,0),"")))</f>
        <v/>
      </c>
      <c r="AQ1410" s="16">
        <f>IF(OR($B1410="",$C1410="",$D1410=""),"",DATE($C1410+2018,$D1410,1))</f>
        <v/>
      </c>
    </row>
    <row r="1411">
      <c r="A1411" s="11" t="n"/>
      <c r="B1411" s="12" t="n"/>
      <c r="C1411" s="12" t="n"/>
      <c r="D1411" s="12" t="n"/>
      <c r="E1411" s="13" t="n"/>
      <c r="F1411" s="12" t="n"/>
      <c r="G1411" s="13" t="n"/>
      <c r="H1411" s="12" t="n"/>
      <c r="I1411" s="12" t="n"/>
      <c r="J1411" s="12" t="n"/>
      <c r="K1411" s="12" t="n"/>
      <c r="L1411" s="11" t="n"/>
      <c r="M1411" s="11" t="n"/>
      <c r="N1411" s="11" t="n"/>
      <c r="O1411" s="11" t="n"/>
      <c r="P1411" s="12" t="n"/>
      <c r="Q1411" s="11" t="n"/>
      <c r="R1411" s="12" t="n"/>
      <c r="S1411" s="11" t="n"/>
      <c r="T1411" s="12" t="n"/>
      <c r="U1411" s="12" t="n"/>
      <c r="V1411" s="12" t="n"/>
      <c r="W1411" s="13" t="n"/>
      <c r="X1411" s="14">
        <f>IF($AP1411="",IF($B1411="","",$H1411),IF(INDEX(職員マスタ!$B$6:$B$405,$AP1411)="",$H1411,INDEX(職員マスタ!$B$6:$B$405,$AP1411)))</f>
        <v/>
      </c>
      <c r="Y1411" s="14">
        <f>IF($AP1411="",IF($B1411="","",$R1411),IF(INDEX(職員マスタ!$C$6:$C$405,$AP1411)="",$R1411,INDEX(職員マスタ!$C$6:$C$405,$AP1411)))</f>
        <v/>
      </c>
      <c r="Z1411" s="14">
        <f>IF($AQ1411="","","R"&amp;$C1411&amp;"."&amp;$D1411)</f>
        <v/>
      </c>
      <c r="AA1411" s="15">
        <f>IF(IF($AP1411="",FALSE,INDEX(職員マスタ!$K$6:$K$405,$AP1411)&lt;&gt;""),INDEX(職員マスタ!$K$6:$K$405,$AP1411),IF(N($W1411)&gt;0,$W1411,""))</f>
        <v/>
      </c>
      <c r="AB1411" s="14">
        <f>IF(OR($E1411="",$AA1411=""),"",IF($E1411&gt;=$AA1411,"×",IF($E1411&gt;=$AA1411*設定!$C$5,"△","○")))</f>
        <v/>
      </c>
      <c r="AC1411" s="15">
        <f>IF($AB1411="","",IF($AB1411="×",0,IF($AB1411="○",ROUNDDOWN($E1411*設定!$C$4,0),ROUNDDOWN($E1411*ROUND((9*$AA1411-9*$E1411)/(10*$E1411),4),0))))</f>
        <v/>
      </c>
      <c r="AD1411" s="13" t="n"/>
      <c r="AE1411" s="15">
        <f>IF($B1411="","",IF($AD1411&lt;&gt;"",$AD1411,IF($AC1411="","",IF($AC1411&lt;=設定!$C$3,0,$AC1411))))</f>
        <v/>
      </c>
      <c r="AF1411" s="14">
        <f>IF($B1411="","",IF(AND($AG1411&lt;&gt;"",$AI1411="",$AL1411=""),"保留中",IF($AL1411&lt;&gt;"",IF(N($AE1411)&gt;0,"支給済","不支給"),IF($AE1411="","要確認",IF($AE1411=0,"不支給","未処理")))))</f>
        <v/>
      </c>
      <c r="AG1411" s="12" t="n"/>
      <c r="AH1411" s="11" t="n"/>
      <c r="AI1411" s="11" t="n"/>
      <c r="AJ1411" s="11" t="n"/>
      <c r="AK1411" s="14">
        <f>IF(AND($AF1411="保留中",$AH1411&lt;&gt;""),TODAY()-$AH1411,"")</f>
        <v/>
      </c>
      <c r="AL1411" s="12" t="n"/>
      <c r="AM1411" s="14">
        <f>IF($B1411="","",IF($AQ1411="","対象年月が未入力／","")&amp;IF($B1411="","",IF($AP1411="","職員マスタに未登録の職員番号／",IF($AA1411="","標準報酬月額が未登録／","")&amp;IF(AND($AQ1411&lt;&gt;"",OR(AND(INDEX(職員マスタ!$G$6:$G$405,$AP1411)&lt;&gt;"",INDEX(職員マスタ!$G$6:$G$405,$AP1411)&gt;EOMONTH($AQ1411,0)),AND(INDEX(職員マスタ!$H$6:$H$405,$AP1411)&lt;&gt;"",INDEX(職員マスタ!$H$6:$H$405,$AP1411)&lt;$AQ1411))),"対象月が時短期間外／","")&amp;IF(AND(INDEX(職員マスタ!$K$6:$K$405,$AP1411)&lt;&gt;"",N($W1411)&gt;0,INDEX(職員マスタ!$K$6:$K$405,$AP1411)&lt;&gt;$W1411),"標準報酬月額が申請書と相違（台帳"&amp;TEXT(INDEX(職員マスタ!$K$6:$K$405,$AP1411),"#,##0")&amp;"円／申請書"&amp;TEXT($W1411,"#,##0")&amp;"円）／","")&amp;IF(AND(INDEX(職員マスタ!$F$6:$F$405,$AP1411)&lt;&gt;"",$AQ1411&lt;&gt;"",INDEX(職員マスタ!$F$6:$F$405,$AP1411)&lt;$AQ1411),"対象月に子が2歳到達済／","")&amp;IF(AND($H1411&lt;&gt;"",INDEX(職員マスタ!$B$6:$B$405,$AP1411)&lt;&gt;"",SUBSTITUTE(SUBSTITUTE($H1411," ","")," ","")&lt;&gt;SUBSTITUTE(SUBSTITUTE(INDEX(職員マスタ!$B$6:$B$405,$AP1411)," ","")," ","")),"氏名がマスタと相違／","")&amp;IF(AND($Q1411&lt;&gt;"",INDEX(職員マスタ!$E$6:$E$405,$AP1411)&lt;&gt;"",$Q1411&lt;&gt;INDEX(職員マスタ!$E$6:$E$405,$AP1411)),"子の生年月日がマスタと相違／","")&amp;IF(AND($L1411&lt;&gt;"",INDEX(職員マスタ!$G$6:$G$405,$AP1411)&lt;&gt;"",$L1411&lt;&gt;INDEX(職員マスタ!$G$6:$G$405,$AP1411)),"時短開始日がマスタと相違／","")&amp;IF(AND($M1411&lt;&gt;"",INDEX(職員マスタ!$H$6:$H$405,$AP1411)&lt;&gt;"",$M1411&lt;&gt;INDEX(職員マスタ!$H$6:$H$405,$AP1411)),"時短終了日がマスタと相違／","")))&amp;IF(AND($B1411&lt;&gt;"",$E1411=""),"報酬額が未入力／","")&amp;IF(N($U1411)&gt;0,"申請書に入力エラーが残っています／","")&amp;IF(AND($B1411&lt;&gt;"",$AQ1411&lt;&gt;""),IF(COUNTIFS($B$6:$B$3005,$B1411,$C$6:$C$3005,$C1411,$D$6:$D$3005,$D1411)&gt;1,"同じ月の請求が重複しています／",""),"")&amp;IF(AND(N($E1411)&gt;0,$AB1411&lt;&gt;"",$AB1411&lt;&gt;"×",$AE1411=0,$AD1411=""),"計算額が下限以下のため不支給／",""))</f>
        <v/>
      </c>
      <c r="AN1411" s="12" t="n"/>
      <c r="AO1411" s="14">
        <f>IF($AF1411="保留中",COUNTIF($AF$6:$AF1411,"保留中"),"")</f>
        <v/>
      </c>
      <c r="AP1411" s="14">
        <f>IF($AQ1411="","",IF(SUMPRODUCT(MAX((職員マスタ!$A$6:$A$405=$B1411)*(((職員マスタ!$G$6:$G$405="")+(職員マスタ!$G$6:$G$405&lt;=EOMONTH($AQ1411,0)))&gt;0)*(((職員マスタ!$H$6:$H$405="")+(職員マスタ!$H$6:$H$405&gt;=$AQ1411))&gt;0)*(ROW(職員マスタ!$A$6:$A$405)-5)))&gt;0,SUMPRODUCT(MAX((職員マスタ!$A$6:$A$405=$B1411)*(((職員マスタ!$G$6:$G$405="")+(職員マスタ!$G$6:$G$405&lt;=EOMONTH($AQ1411,0)))&gt;0)*(((職員マスタ!$H$6:$H$405="")+(職員マスタ!$H$6:$H$405&gt;=$AQ1411))&gt;0)*(ROW(職員マスタ!$A$6:$A$405)-5))),IFERROR(MATCH($B1411,職員マスタ!$A$6:$A$405,0),"")))</f>
        <v/>
      </c>
      <c r="AQ1411" s="16">
        <f>IF(OR($B1411="",$C1411="",$D1411=""),"",DATE($C1411+2018,$D1411,1))</f>
        <v/>
      </c>
    </row>
    <row r="1412">
      <c r="A1412" s="11" t="n"/>
      <c r="B1412" s="12" t="n"/>
      <c r="C1412" s="12" t="n"/>
      <c r="D1412" s="12" t="n"/>
      <c r="E1412" s="13" t="n"/>
      <c r="F1412" s="12" t="n"/>
      <c r="G1412" s="13" t="n"/>
      <c r="H1412" s="12" t="n"/>
      <c r="I1412" s="12" t="n"/>
      <c r="J1412" s="12" t="n"/>
      <c r="K1412" s="12" t="n"/>
      <c r="L1412" s="11" t="n"/>
      <c r="M1412" s="11" t="n"/>
      <c r="N1412" s="11" t="n"/>
      <c r="O1412" s="11" t="n"/>
      <c r="P1412" s="12" t="n"/>
      <c r="Q1412" s="11" t="n"/>
      <c r="R1412" s="12" t="n"/>
      <c r="S1412" s="11" t="n"/>
      <c r="T1412" s="12" t="n"/>
      <c r="U1412" s="12" t="n"/>
      <c r="V1412" s="12" t="n"/>
      <c r="W1412" s="13" t="n"/>
      <c r="X1412" s="14">
        <f>IF($AP1412="",IF($B1412="","",$H1412),IF(INDEX(職員マスタ!$B$6:$B$405,$AP1412)="",$H1412,INDEX(職員マスタ!$B$6:$B$405,$AP1412)))</f>
        <v/>
      </c>
      <c r="Y1412" s="14">
        <f>IF($AP1412="",IF($B1412="","",$R1412),IF(INDEX(職員マスタ!$C$6:$C$405,$AP1412)="",$R1412,INDEX(職員マスタ!$C$6:$C$405,$AP1412)))</f>
        <v/>
      </c>
      <c r="Z1412" s="14">
        <f>IF($AQ1412="","","R"&amp;$C1412&amp;"."&amp;$D1412)</f>
        <v/>
      </c>
      <c r="AA1412" s="15">
        <f>IF(IF($AP1412="",FALSE,INDEX(職員マスタ!$K$6:$K$405,$AP1412)&lt;&gt;""),INDEX(職員マスタ!$K$6:$K$405,$AP1412),IF(N($W1412)&gt;0,$W1412,""))</f>
        <v/>
      </c>
      <c r="AB1412" s="14">
        <f>IF(OR($E1412="",$AA1412=""),"",IF($E1412&gt;=$AA1412,"×",IF($E1412&gt;=$AA1412*設定!$C$5,"△","○")))</f>
        <v/>
      </c>
      <c r="AC1412" s="15">
        <f>IF($AB1412="","",IF($AB1412="×",0,IF($AB1412="○",ROUNDDOWN($E1412*設定!$C$4,0),ROUNDDOWN($E1412*ROUND((9*$AA1412-9*$E1412)/(10*$E1412),4),0))))</f>
        <v/>
      </c>
      <c r="AD1412" s="13" t="n"/>
      <c r="AE1412" s="15">
        <f>IF($B1412="","",IF($AD1412&lt;&gt;"",$AD1412,IF($AC1412="","",IF($AC1412&lt;=設定!$C$3,0,$AC1412))))</f>
        <v/>
      </c>
      <c r="AF1412" s="14">
        <f>IF($B1412="","",IF(AND($AG1412&lt;&gt;"",$AI1412="",$AL1412=""),"保留中",IF($AL1412&lt;&gt;"",IF(N($AE1412)&gt;0,"支給済","不支給"),IF($AE1412="","要確認",IF($AE1412=0,"不支給","未処理")))))</f>
        <v/>
      </c>
      <c r="AG1412" s="12" t="n"/>
      <c r="AH1412" s="11" t="n"/>
      <c r="AI1412" s="11" t="n"/>
      <c r="AJ1412" s="11" t="n"/>
      <c r="AK1412" s="14">
        <f>IF(AND($AF1412="保留中",$AH1412&lt;&gt;""),TODAY()-$AH1412,"")</f>
        <v/>
      </c>
      <c r="AL1412" s="12" t="n"/>
      <c r="AM1412" s="14">
        <f>IF($B1412="","",IF($AQ1412="","対象年月が未入力／","")&amp;IF($B1412="","",IF($AP1412="","職員マスタに未登録の職員番号／",IF($AA1412="","標準報酬月額が未登録／","")&amp;IF(AND($AQ1412&lt;&gt;"",OR(AND(INDEX(職員マスタ!$G$6:$G$405,$AP1412)&lt;&gt;"",INDEX(職員マスタ!$G$6:$G$405,$AP1412)&gt;EOMONTH($AQ1412,0)),AND(INDEX(職員マスタ!$H$6:$H$405,$AP1412)&lt;&gt;"",INDEX(職員マスタ!$H$6:$H$405,$AP1412)&lt;$AQ1412))),"対象月が時短期間外／","")&amp;IF(AND(INDEX(職員マスタ!$K$6:$K$405,$AP1412)&lt;&gt;"",N($W1412)&gt;0,INDEX(職員マスタ!$K$6:$K$405,$AP1412)&lt;&gt;$W1412),"標準報酬月額が申請書と相違（台帳"&amp;TEXT(INDEX(職員マスタ!$K$6:$K$405,$AP1412),"#,##0")&amp;"円／申請書"&amp;TEXT($W1412,"#,##0")&amp;"円）／","")&amp;IF(AND(INDEX(職員マスタ!$F$6:$F$405,$AP1412)&lt;&gt;"",$AQ1412&lt;&gt;"",INDEX(職員マスタ!$F$6:$F$405,$AP1412)&lt;$AQ1412),"対象月に子が2歳到達済／","")&amp;IF(AND($H1412&lt;&gt;"",INDEX(職員マスタ!$B$6:$B$405,$AP1412)&lt;&gt;"",SUBSTITUTE(SUBSTITUTE($H1412," ","")," ","")&lt;&gt;SUBSTITUTE(SUBSTITUTE(INDEX(職員マスタ!$B$6:$B$405,$AP1412)," ","")," ","")),"氏名がマスタと相違／","")&amp;IF(AND($Q1412&lt;&gt;"",INDEX(職員マスタ!$E$6:$E$405,$AP1412)&lt;&gt;"",$Q1412&lt;&gt;INDEX(職員マスタ!$E$6:$E$405,$AP1412)),"子の生年月日がマスタと相違／","")&amp;IF(AND($L1412&lt;&gt;"",INDEX(職員マスタ!$G$6:$G$405,$AP1412)&lt;&gt;"",$L1412&lt;&gt;INDEX(職員マスタ!$G$6:$G$405,$AP1412)),"時短開始日がマスタと相違／","")&amp;IF(AND($M1412&lt;&gt;"",INDEX(職員マスタ!$H$6:$H$405,$AP1412)&lt;&gt;"",$M1412&lt;&gt;INDEX(職員マスタ!$H$6:$H$405,$AP1412)),"時短終了日がマスタと相違／","")))&amp;IF(AND($B1412&lt;&gt;"",$E1412=""),"報酬額が未入力／","")&amp;IF(N($U1412)&gt;0,"申請書に入力エラーが残っています／","")&amp;IF(AND($B1412&lt;&gt;"",$AQ1412&lt;&gt;""),IF(COUNTIFS($B$6:$B$3005,$B1412,$C$6:$C$3005,$C1412,$D$6:$D$3005,$D1412)&gt;1,"同じ月の請求が重複しています／",""),"")&amp;IF(AND(N($E1412)&gt;0,$AB1412&lt;&gt;"",$AB1412&lt;&gt;"×",$AE1412=0,$AD1412=""),"計算額が下限以下のため不支給／",""))</f>
        <v/>
      </c>
      <c r="AN1412" s="12" t="n"/>
      <c r="AO1412" s="14">
        <f>IF($AF1412="保留中",COUNTIF($AF$6:$AF1412,"保留中"),"")</f>
        <v/>
      </c>
      <c r="AP1412" s="14">
        <f>IF($AQ1412="","",IF(SUMPRODUCT(MAX((職員マスタ!$A$6:$A$405=$B1412)*(((職員マスタ!$G$6:$G$405="")+(職員マスタ!$G$6:$G$405&lt;=EOMONTH($AQ1412,0)))&gt;0)*(((職員マスタ!$H$6:$H$405="")+(職員マスタ!$H$6:$H$405&gt;=$AQ1412))&gt;0)*(ROW(職員マスタ!$A$6:$A$405)-5)))&gt;0,SUMPRODUCT(MAX((職員マスタ!$A$6:$A$405=$B1412)*(((職員マスタ!$G$6:$G$405="")+(職員マスタ!$G$6:$G$405&lt;=EOMONTH($AQ1412,0)))&gt;0)*(((職員マスタ!$H$6:$H$405="")+(職員マスタ!$H$6:$H$405&gt;=$AQ1412))&gt;0)*(ROW(職員マスタ!$A$6:$A$405)-5))),IFERROR(MATCH($B1412,職員マスタ!$A$6:$A$405,0),"")))</f>
        <v/>
      </c>
      <c r="AQ1412" s="16">
        <f>IF(OR($B1412="",$C1412="",$D1412=""),"",DATE($C1412+2018,$D1412,1))</f>
        <v/>
      </c>
    </row>
    <row r="1413">
      <c r="A1413" s="11" t="n"/>
      <c r="B1413" s="12" t="n"/>
      <c r="C1413" s="12" t="n"/>
      <c r="D1413" s="12" t="n"/>
      <c r="E1413" s="13" t="n"/>
      <c r="F1413" s="12" t="n"/>
      <c r="G1413" s="13" t="n"/>
      <c r="H1413" s="12" t="n"/>
      <c r="I1413" s="12" t="n"/>
      <c r="J1413" s="12" t="n"/>
      <c r="K1413" s="12" t="n"/>
      <c r="L1413" s="11" t="n"/>
      <c r="M1413" s="11" t="n"/>
      <c r="N1413" s="11" t="n"/>
      <c r="O1413" s="11" t="n"/>
      <c r="P1413" s="12" t="n"/>
      <c r="Q1413" s="11" t="n"/>
      <c r="R1413" s="12" t="n"/>
      <c r="S1413" s="11" t="n"/>
      <c r="T1413" s="12" t="n"/>
      <c r="U1413" s="12" t="n"/>
      <c r="V1413" s="12" t="n"/>
      <c r="W1413" s="13" t="n"/>
      <c r="X1413" s="14">
        <f>IF($AP1413="",IF($B1413="","",$H1413),IF(INDEX(職員マスタ!$B$6:$B$405,$AP1413)="",$H1413,INDEX(職員マスタ!$B$6:$B$405,$AP1413)))</f>
        <v/>
      </c>
      <c r="Y1413" s="14">
        <f>IF($AP1413="",IF($B1413="","",$R1413),IF(INDEX(職員マスタ!$C$6:$C$405,$AP1413)="",$R1413,INDEX(職員マスタ!$C$6:$C$405,$AP1413)))</f>
        <v/>
      </c>
      <c r="Z1413" s="14">
        <f>IF($AQ1413="","","R"&amp;$C1413&amp;"."&amp;$D1413)</f>
        <v/>
      </c>
      <c r="AA1413" s="15">
        <f>IF(IF($AP1413="",FALSE,INDEX(職員マスタ!$K$6:$K$405,$AP1413)&lt;&gt;""),INDEX(職員マスタ!$K$6:$K$405,$AP1413),IF(N($W1413)&gt;0,$W1413,""))</f>
        <v/>
      </c>
      <c r="AB1413" s="14">
        <f>IF(OR($E1413="",$AA1413=""),"",IF($E1413&gt;=$AA1413,"×",IF($E1413&gt;=$AA1413*設定!$C$5,"△","○")))</f>
        <v/>
      </c>
      <c r="AC1413" s="15">
        <f>IF($AB1413="","",IF($AB1413="×",0,IF($AB1413="○",ROUNDDOWN($E1413*設定!$C$4,0),ROUNDDOWN($E1413*ROUND((9*$AA1413-9*$E1413)/(10*$E1413),4),0))))</f>
        <v/>
      </c>
      <c r="AD1413" s="13" t="n"/>
      <c r="AE1413" s="15">
        <f>IF($B1413="","",IF($AD1413&lt;&gt;"",$AD1413,IF($AC1413="","",IF($AC1413&lt;=設定!$C$3,0,$AC1413))))</f>
        <v/>
      </c>
      <c r="AF1413" s="14">
        <f>IF($B1413="","",IF(AND($AG1413&lt;&gt;"",$AI1413="",$AL1413=""),"保留中",IF($AL1413&lt;&gt;"",IF(N($AE1413)&gt;0,"支給済","不支給"),IF($AE1413="","要確認",IF($AE1413=0,"不支給","未処理")))))</f>
        <v/>
      </c>
      <c r="AG1413" s="12" t="n"/>
      <c r="AH1413" s="11" t="n"/>
      <c r="AI1413" s="11" t="n"/>
      <c r="AJ1413" s="11" t="n"/>
      <c r="AK1413" s="14">
        <f>IF(AND($AF1413="保留中",$AH1413&lt;&gt;""),TODAY()-$AH1413,"")</f>
        <v/>
      </c>
      <c r="AL1413" s="12" t="n"/>
      <c r="AM1413" s="14">
        <f>IF($B1413="","",IF($AQ1413="","対象年月が未入力／","")&amp;IF($B1413="","",IF($AP1413="","職員マスタに未登録の職員番号／",IF($AA1413="","標準報酬月額が未登録／","")&amp;IF(AND($AQ1413&lt;&gt;"",OR(AND(INDEX(職員マスタ!$G$6:$G$405,$AP1413)&lt;&gt;"",INDEX(職員マスタ!$G$6:$G$405,$AP1413)&gt;EOMONTH($AQ1413,0)),AND(INDEX(職員マスタ!$H$6:$H$405,$AP1413)&lt;&gt;"",INDEX(職員マスタ!$H$6:$H$405,$AP1413)&lt;$AQ1413))),"対象月が時短期間外／","")&amp;IF(AND(INDEX(職員マスタ!$K$6:$K$405,$AP1413)&lt;&gt;"",N($W1413)&gt;0,INDEX(職員マスタ!$K$6:$K$405,$AP1413)&lt;&gt;$W1413),"標準報酬月額が申請書と相違（台帳"&amp;TEXT(INDEX(職員マスタ!$K$6:$K$405,$AP1413),"#,##0")&amp;"円／申請書"&amp;TEXT($W1413,"#,##0")&amp;"円）／","")&amp;IF(AND(INDEX(職員マスタ!$F$6:$F$405,$AP1413)&lt;&gt;"",$AQ1413&lt;&gt;"",INDEX(職員マスタ!$F$6:$F$405,$AP1413)&lt;$AQ1413),"対象月に子が2歳到達済／","")&amp;IF(AND($H1413&lt;&gt;"",INDEX(職員マスタ!$B$6:$B$405,$AP1413)&lt;&gt;"",SUBSTITUTE(SUBSTITUTE($H1413," ","")," ","")&lt;&gt;SUBSTITUTE(SUBSTITUTE(INDEX(職員マスタ!$B$6:$B$405,$AP1413)," ","")," ","")),"氏名がマスタと相違／","")&amp;IF(AND($Q1413&lt;&gt;"",INDEX(職員マスタ!$E$6:$E$405,$AP1413)&lt;&gt;"",$Q1413&lt;&gt;INDEX(職員マスタ!$E$6:$E$405,$AP1413)),"子の生年月日がマスタと相違／","")&amp;IF(AND($L1413&lt;&gt;"",INDEX(職員マスタ!$G$6:$G$405,$AP1413)&lt;&gt;"",$L1413&lt;&gt;INDEX(職員マスタ!$G$6:$G$405,$AP1413)),"時短開始日がマスタと相違／","")&amp;IF(AND($M1413&lt;&gt;"",INDEX(職員マスタ!$H$6:$H$405,$AP1413)&lt;&gt;"",$M1413&lt;&gt;INDEX(職員マスタ!$H$6:$H$405,$AP1413)),"時短終了日がマスタと相違／","")))&amp;IF(AND($B1413&lt;&gt;"",$E1413=""),"報酬額が未入力／","")&amp;IF(N($U1413)&gt;0,"申請書に入力エラーが残っています／","")&amp;IF(AND($B1413&lt;&gt;"",$AQ1413&lt;&gt;""),IF(COUNTIFS($B$6:$B$3005,$B1413,$C$6:$C$3005,$C1413,$D$6:$D$3005,$D1413)&gt;1,"同じ月の請求が重複しています／",""),"")&amp;IF(AND(N($E1413)&gt;0,$AB1413&lt;&gt;"",$AB1413&lt;&gt;"×",$AE1413=0,$AD1413=""),"計算額が下限以下のため不支給／",""))</f>
        <v/>
      </c>
      <c r="AN1413" s="12" t="n"/>
      <c r="AO1413" s="14">
        <f>IF($AF1413="保留中",COUNTIF($AF$6:$AF1413,"保留中"),"")</f>
        <v/>
      </c>
      <c r="AP1413" s="14">
        <f>IF($AQ1413="","",IF(SUMPRODUCT(MAX((職員マスタ!$A$6:$A$405=$B1413)*(((職員マスタ!$G$6:$G$405="")+(職員マスタ!$G$6:$G$405&lt;=EOMONTH($AQ1413,0)))&gt;0)*(((職員マスタ!$H$6:$H$405="")+(職員マスタ!$H$6:$H$405&gt;=$AQ1413))&gt;0)*(ROW(職員マスタ!$A$6:$A$405)-5)))&gt;0,SUMPRODUCT(MAX((職員マスタ!$A$6:$A$405=$B1413)*(((職員マスタ!$G$6:$G$405="")+(職員マスタ!$G$6:$G$405&lt;=EOMONTH($AQ1413,0)))&gt;0)*(((職員マスタ!$H$6:$H$405="")+(職員マスタ!$H$6:$H$405&gt;=$AQ1413))&gt;0)*(ROW(職員マスタ!$A$6:$A$405)-5))),IFERROR(MATCH($B1413,職員マスタ!$A$6:$A$405,0),"")))</f>
        <v/>
      </c>
      <c r="AQ1413" s="16">
        <f>IF(OR($B1413="",$C1413="",$D1413=""),"",DATE($C1413+2018,$D1413,1))</f>
        <v/>
      </c>
    </row>
    <row r="1414">
      <c r="A1414" s="11" t="n"/>
      <c r="B1414" s="12" t="n"/>
      <c r="C1414" s="12" t="n"/>
      <c r="D1414" s="12" t="n"/>
      <c r="E1414" s="13" t="n"/>
      <c r="F1414" s="12" t="n"/>
      <c r="G1414" s="13" t="n"/>
      <c r="H1414" s="12" t="n"/>
      <c r="I1414" s="12" t="n"/>
      <c r="J1414" s="12" t="n"/>
      <c r="K1414" s="12" t="n"/>
      <c r="L1414" s="11" t="n"/>
      <c r="M1414" s="11" t="n"/>
      <c r="N1414" s="11" t="n"/>
      <c r="O1414" s="11" t="n"/>
      <c r="P1414" s="12" t="n"/>
      <c r="Q1414" s="11" t="n"/>
      <c r="R1414" s="12" t="n"/>
      <c r="S1414" s="11" t="n"/>
      <c r="T1414" s="12" t="n"/>
      <c r="U1414" s="12" t="n"/>
      <c r="V1414" s="12" t="n"/>
      <c r="W1414" s="13" t="n"/>
      <c r="X1414" s="14">
        <f>IF($AP1414="",IF($B1414="","",$H1414),IF(INDEX(職員マスタ!$B$6:$B$405,$AP1414)="",$H1414,INDEX(職員マスタ!$B$6:$B$405,$AP1414)))</f>
        <v/>
      </c>
      <c r="Y1414" s="14">
        <f>IF($AP1414="",IF($B1414="","",$R1414),IF(INDEX(職員マスタ!$C$6:$C$405,$AP1414)="",$R1414,INDEX(職員マスタ!$C$6:$C$405,$AP1414)))</f>
        <v/>
      </c>
      <c r="Z1414" s="14">
        <f>IF($AQ1414="","","R"&amp;$C1414&amp;"."&amp;$D1414)</f>
        <v/>
      </c>
      <c r="AA1414" s="15">
        <f>IF(IF($AP1414="",FALSE,INDEX(職員マスタ!$K$6:$K$405,$AP1414)&lt;&gt;""),INDEX(職員マスタ!$K$6:$K$405,$AP1414),IF(N($W1414)&gt;0,$W1414,""))</f>
        <v/>
      </c>
      <c r="AB1414" s="14">
        <f>IF(OR($E1414="",$AA1414=""),"",IF($E1414&gt;=$AA1414,"×",IF($E1414&gt;=$AA1414*設定!$C$5,"△","○")))</f>
        <v/>
      </c>
      <c r="AC1414" s="15">
        <f>IF($AB1414="","",IF($AB1414="×",0,IF($AB1414="○",ROUNDDOWN($E1414*設定!$C$4,0),ROUNDDOWN($E1414*ROUND((9*$AA1414-9*$E1414)/(10*$E1414),4),0))))</f>
        <v/>
      </c>
      <c r="AD1414" s="13" t="n"/>
      <c r="AE1414" s="15">
        <f>IF($B1414="","",IF($AD1414&lt;&gt;"",$AD1414,IF($AC1414="","",IF($AC1414&lt;=設定!$C$3,0,$AC1414))))</f>
        <v/>
      </c>
      <c r="AF1414" s="14">
        <f>IF($B1414="","",IF(AND($AG1414&lt;&gt;"",$AI1414="",$AL1414=""),"保留中",IF($AL1414&lt;&gt;"",IF(N($AE1414)&gt;0,"支給済","不支給"),IF($AE1414="","要確認",IF($AE1414=0,"不支給","未処理")))))</f>
        <v/>
      </c>
      <c r="AG1414" s="12" t="n"/>
      <c r="AH1414" s="11" t="n"/>
      <c r="AI1414" s="11" t="n"/>
      <c r="AJ1414" s="11" t="n"/>
      <c r="AK1414" s="14">
        <f>IF(AND($AF1414="保留中",$AH1414&lt;&gt;""),TODAY()-$AH1414,"")</f>
        <v/>
      </c>
      <c r="AL1414" s="12" t="n"/>
      <c r="AM1414" s="14">
        <f>IF($B1414="","",IF($AQ1414="","対象年月が未入力／","")&amp;IF($B1414="","",IF($AP1414="","職員マスタに未登録の職員番号／",IF($AA1414="","標準報酬月額が未登録／","")&amp;IF(AND($AQ1414&lt;&gt;"",OR(AND(INDEX(職員マスタ!$G$6:$G$405,$AP1414)&lt;&gt;"",INDEX(職員マスタ!$G$6:$G$405,$AP1414)&gt;EOMONTH($AQ1414,0)),AND(INDEX(職員マスタ!$H$6:$H$405,$AP1414)&lt;&gt;"",INDEX(職員マスタ!$H$6:$H$405,$AP1414)&lt;$AQ1414))),"対象月が時短期間外／","")&amp;IF(AND(INDEX(職員マスタ!$K$6:$K$405,$AP1414)&lt;&gt;"",N($W1414)&gt;0,INDEX(職員マスタ!$K$6:$K$405,$AP1414)&lt;&gt;$W1414),"標準報酬月額が申請書と相違（台帳"&amp;TEXT(INDEX(職員マスタ!$K$6:$K$405,$AP1414),"#,##0")&amp;"円／申請書"&amp;TEXT($W1414,"#,##0")&amp;"円）／","")&amp;IF(AND(INDEX(職員マスタ!$F$6:$F$405,$AP1414)&lt;&gt;"",$AQ1414&lt;&gt;"",INDEX(職員マスタ!$F$6:$F$405,$AP1414)&lt;$AQ1414),"対象月に子が2歳到達済／","")&amp;IF(AND($H1414&lt;&gt;"",INDEX(職員マスタ!$B$6:$B$405,$AP1414)&lt;&gt;"",SUBSTITUTE(SUBSTITUTE($H1414," ","")," ","")&lt;&gt;SUBSTITUTE(SUBSTITUTE(INDEX(職員マスタ!$B$6:$B$405,$AP1414)," ","")," ","")),"氏名がマスタと相違／","")&amp;IF(AND($Q1414&lt;&gt;"",INDEX(職員マスタ!$E$6:$E$405,$AP1414)&lt;&gt;"",$Q1414&lt;&gt;INDEX(職員マスタ!$E$6:$E$405,$AP1414)),"子の生年月日がマスタと相違／","")&amp;IF(AND($L1414&lt;&gt;"",INDEX(職員マスタ!$G$6:$G$405,$AP1414)&lt;&gt;"",$L1414&lt;&gt;INDEX(職員マスタ!$G$6:$G$405,$AP1414)),"時短開始日がマスタと相違／","")&amp;IF(AND($M1414&lt;&gt;"",INDEX(職員マスタ!$H$6:$H$405,$AP1414)&lt;&gt;"",$M1414&lt;&gt;INDEX(職員マスタ!$H$6:$H$405,$AP1414)),"時短終了日がマスタと相違／","")))&amp;IF(AND($B1414&lt;&gt;"",$E1414=""),"報酬額が未入力／","")&amp;IF(N($U1414)&gt;0,"申請書に入力エラーが残っています／","")&amp;IF(AND($B1414&lt;&gt;"",$AQ1414&lt;&gt;""),IF(COUNTIFS($B$6:$B$3005,$B1414,$C$6:$C$3005,$C1414,$D$6:$D$3005,$D1414)&gt;1,"同じ月の請求が重複しています／",""),"")&amp;IF(AND(N($E1414)&gt;0,$AB1414&lt;&gt;"",$AB1414&lt;&gt;"×",$AE1414=0,$AD1414=""),"計算額が下限以下のため不支給／",""))</f>
        <v/>
      </c>
      <c r="AN1414" s="12" t="n"/>
      <c r="AO1414" s="14">
        <f>IF($AF1414="保留中",COUNTIF($AF$6:$AF1414,"保留中"),"")</f>
        <v/>
      </c>
      <c r="AP1414" s="14">
        <f>IF($AQ1414="","",IF(SUMPRODUCT(MAX((職員マスタ!$A$6:$A$405=$B1414)*(((職員マスタ!$G$6:$G$405="")+(職員マスタ!$G$6:$G$405&lt;=EOMONTH($AQ1414,0)))&gt;0)*(((職員マスタ!$H$6:$H$405="")+(職員マスタ!$H$6:$H$405&gt;=$AQ1414))&gt;0)*(ROW(職員マスタ!$A$6:$A$405)-5)))&gt;0,SUMPRODUCT(MAX((職員マスタ!$A$6:$A$405=$B1414)*(((職員マスタ!$G$6:$G$405="")+(職員マスタ!$G$6:$G$405&lt;=EOMONTH($AQ1414,0)))&gt;0)*(((職員マスタ!$H$6:$H$405="")+(職員マスタ!$H$6:$H$405&gt;=$AQ1414))&gt;0)*(ROW(職員マスタ!$A$6:$A$405)-5))),IFERROR(MATCH($B1414,職員マスタ!$A$6:$A$405,0),"")))</f>
        <v/>
      </c>
      <c r="AQ1414" s="16">
        <f>IF(OR($B1414="",$C1414="",$D1414=""),"",DATE($C1414+2018,$D1414,1))</f>
        <v/>
      </c>
    </row>
    <row r="1415">
      <c r="A1415" s="11" t="n"/>
      <c r="B1415" s="12" t="n"/>
      <c r="C1415" s="12" t="n"/>
      <c r="D1415" s="12" t="n"/>
      <c r="E1415" s="13" t="n"/>
      <c r="F1415" s="12" t="n"/>
      <c r="G1415" s="13" t="n"/>
      <c r="H1415" s="12" t="n"/>
      <c r="I1415" s="12" t="n"/>
      <c r="J1415" s="12" t="n"/>
      <c r="K1415" s="12" t="n"/>
      <c r="L1415" s="11" t="n"/>
      <c r="M1415" s="11" t="n"/>
      <c r="N1415" s="11" t="n"/>
      <c r="O1415" s="11" t="n"/>
      <c r="P1415" s="12" t="n"/>
      <c r="Q1415" s="11" t="n"/>
      <c r="R1415" s="12" t="n"/>
      <c r="S1415" s="11" t="n"/>
      <c r="T1415" s="12" t="n"/>
      <c r="U1415" s="12" t="n"/>
      <c r="V1415" s="12" t="n"/>
      <c r="W1415" s="13" t="n"/>
      <c r="X1415" s="14">
        <f>IF($AP1415="",IF($B1415="","",$H1415),IF(INDEX(職員マスタ!$B$6:$B$405,$AP1415)="",$H1415,INDEX(職員マスタ!$B$6:$B$405,$AP1415)))</f>
        <v/>
      </c>
      <c r="Y1415" s="14">
        <f>IF($AP1415="",IF($B1415="","",$R1415),IF(INDEX(職員マスタ!$C$6:$C$405,$AP1415)="",$R1415,INDEX(職員マスタ!$C$6:$C$405,$AP1415)))</f>
        <v/>
      </c>
      <c r="Z1415" s="14">
        <f>IF($AQ1415="","","R"&amp;$C1415&amp;"."&amp;$D1415)</f>
        <v/>
      </c>
      <c r="AA1415" s="15">
        <f>IF(IF($AP1415="",FALSE,INDEX(職員マスタ!$K$6:$K$405,$AP1415)&lt;&gt;""),INDEX(職員マスタ!$K$6:$K$405,$AP1415),IF(N($W1415)&gt;0,$W1415,""))</f>
        <v/>
      </c>
      <c r="AB1415" s="14">
        <f>IF(OR($E1415="",$AA1415=""),"",IF($E1415&gt;=$AA1415,"×",IF($E1415&gt;=$AA1415*設定!$C$5,"△","○")))</f>
        <v/>
      </c>
      <c r="AC1415" s="15">
        <f>IF($AB1415="","",IF($AB1415="×",0,IF($AB1415="○",ROUNDDOWN($E1415*設定!$C$4,0),ROUNDDOWN($E1415*ROUND((9*$AA1415-9*$E1415)/(10*$E1415),4),0))))</f>
        <v/>
      </c>
      <c r="AD1415" s="13" t="n"/>
      <c r="AE1415" s="15">
        <f>IF($B1415="","",IF($AD1415&lt;&gt;"",$AD1415,IF($AC1415="","",IF($AC1415&lt;=設定!$C$3,0,$AC1415))))</f>
        <v/>
      </c>
      <c r="AF1415" s="14">
        <f>IF($B1415="","",IF(AND($AG1415&lt;&gt;"",$AI1415="",$AL1415=""),"保留中",IF($AL1415&lt;&gt;"",IF(N($AE1415)&gt;0,"支給済","不支給"),IF($AE1415="","要確認",IF($AE1415=0,"不支給","未処理")))))</f>
        <v/>
      </c>
      <c r="AG1415" s="12" t="n"/>
      <c r="AH1415" s="11" t="n"/>
      <c r="AI1415" s="11" t="n"/>
      <c r="AJ1415" s="11" t="n"/>
      <c r="AK1415" s="14">
        <f>IF(AND($AF1415="保留中",$AH1415&lt;&gt;""),TODAY()-$AH1415,"")</f>
        <v/>
      </c>
      <c r="AL1415" s="12" t="n"/>
      <c r="AM1415" s="14">
        <f>IF($B1415="","",IF($AQ1415="","対象年月が未入力／","")&amp;IF($B1415="","",IF($AP1415="","職員マスタに未登録の職員番号／",IF($AA1415="","標準報酬月額が未登録／","")&amp;IF(AND($AQ1415&lt;&gt;"",OR(AND(INDEX(職員マスタ!$G$6:$G$405,$AP1415)&lt;&gt;"",INDEX(職員マスタ!$G$6:$G$405,$AP1415)&gt;EOMONTH($AQ1415,0)),AND(INDEX(職員マスタ!$H$6:$H$405,$AP1415)&lt;&gt;"",INDEX(職員マスタ!$H$6:$H$405,$AP1415)&lt;$AQ1415))),"対象月が時短期間外／","")&amp;IF(AND(INDEX(職員マスタ!$K$6:$K$405,$AP1415)&lt;&gt;"",N($W1415)&gt;0,INDEX(職員マスタ!$K$6:$K$405,$AP1415)&lt;&gt;$W1415),"標準報酬月額が申請書と相違（台帳"&amp;TEXT(INDEX(職員マスタ!$K$6:$K$405,$AP1415),"#,##0")&amp;"円／申請書"&amp;TEXT($W1415,"#,##0")&amp;"円）／","")&amp;IF(AND(INDEX(職員マスタ!$F$6:$F$405,$AP1415)&lt;&gt;"",$AQ1415&lt;&gt;"",INDEX(職員マスタ!$F$6:$F$405,$AP1415)&lt;$AQ1415),"対象月に子が2歳到達済／","")&amp;IF(AND($H1415&lt;&gt;"",INDEX(職員マスタ!$B$6:$B$405,$AP1415)&lt;&gt;"",SUBSTITUTE(SUBSTITUTE($H1415," ","")," ","")&lt;&gt;SUBSTITUTE(SUBSTITUTE(INDEX(職員マスタ!$B$6:$B$405,$AP1415)," ","")," ","")),"氏名がマスタと相違／","")&amp;IF(AND($Q1415&lt;&gt;"",INDEX(職員マスタ!$E$6:$E$405,$AP1415)&lt;&gt;"",$Q1415&lt;&gt;INDEX(職員マスタ!$E$6:$E$405,$AP1415)),"子の生年月日がマスタと相違／","")&amp;IF(AND($L1415&lt;&gt;"",INDEX(職員マスタ!$G$6:$G$405,$AP1415)&lt;&gt;"",$L1415&lt;&gt;INDEX(職員マスタ!$G$6:$G$405,$AP1415)),"時短開始日がマスタと相違／","")&amp;IF(AND($M1415&lt;&gt;"",INDEX(職員マスタ!$H$6:$H$405,$AP1415)&lt;&gt;"",$M1415&lt;&gt;INDEX(職員マスタ!$H$6:$H$405,$AP1415)),"時短終了日がマスタと相違／","")))&amp;IF(AND($B1415&lt;&gt;"",$E1415=""),"報酬額が未入力／","")&amp;IF(N($U1415)&gt;0,"申請書に入力エラーが残っています／","")&amp;IF(AND($B1415&lt;&gt;"",$AQ1415&lt;&gt;""),IF(COUNTIFS($B$6:$B$3005,$B1415,$C$6:$C$3005,$C1415,$D$6:$D$3005,$D1415)&gt;1,"同じ月の請求が重複しています／",""),"")&amp;IF(AND(N($E1415)&gt;0,$AB1415&lt;&gt;"",$AB1415&lt;&gt;"×",$AE1415=0,$AD1415=""),"計算額が下限以下のため不支給／",""))</f>
        <v/>
      </c>
      <c r="AN1415" s="12" t="n"/>
      <c r="AO1415" s="14">
        <f>IF($AF1415="保留中",COUNTIF($AF$6:$AF1415,"保留中"),"")</f>
        <v/>
      </c>
      <c r="AP1415" s="14">
        <f>IF($AQ1415="","",IF(SUMPRODUCT(MAX((職員マスタ!$A$6:$A$405=$B1415)*(((職員マスタ!$G$6:$G$405="")+(職員マスタ!$G$6:$G$405&lt;=EOMONTH($AQ1415,0)))&gt;0)*(((職員マスタ!$H$6:$H$405="")+(職員マスタ!$H$6:$H$405&gt;=$AQ1415))&gt;0)*(ROW(職員マスタ!$A$6:$A$405)-5)))&gt;0,SUMPRODUCT(MAX((職員マスタ!$A$6:$A$405=$B1415)*(((職員マスタ!$G$6:$G$405="")+(職員マスタ!$G$6:$G$405&lt;=EOMONTH($AQ1415,0)))&gt;0)*(((職員マスタ!$H$6:$H$405="")+(職員マスタ!$H$6:$H$405&gt;=$AQ1415))&gt;0)*(ROW(職員マスタ!$A$6:$A$405)-5))),IFERROR(MATCH($B1415,職員マスタ!$A$6:$A$405,0),"")))</f>
        <v/>
      </c>
      <c r="AQ1415" s="16">
        <f>IF(OR($B1415="",$C1415="",$D1415=""),"",DATE($C1415+2018,$D1415,1))</f>
        <v/>
      </c>
    </row>
    <row r="1416">
      <c r="A1416" s="11" t="n"/>
      <c r="B1416" s="12" t="n"/>
      <c r="C1416" s="12" t="n"/>
      <c r="D1416" s="12" t="n"/>
      <c r="E1416" s="13" t="n"/>
      <c r="F1416" s="12" t="n"/>
      <c r="G1416" s="13" t="n"/>
      <c r="H1416" s="12" t="n"/>
      <c r="I1416" s="12" t="n"/>
      <c r="J1416" s="12" t="n"/>
      <c r="K1416" s="12" t="n"/>
      <c r="L1416" s="11" t="n"/>
      <c r="M1416" s="11" t="n"/>
      <c r="N1416" s="11" t="n"/>
      <c r="O1416" s="11" t="n"/>
      <c r="P1416" s="12" t="n"/>
      <c r="Q1416" s="11" t="n"/>
      <c r="R1416" s="12" t="n"/>
      <c r="S1416" s="11" t="n"/>
      <c r="T1416" s="12" t="n"/>
      <c r="U1416" s="12" t="n"/>
      <c r="V1416" s="12" t="n"/>
      <c r="W1416" s="13" t="n"/>
      <c r="X1416" s="14">
        <f>IF($AP1416="",IF($B1416="","",$H1416),IF(INDEX(職員マスタ!$B$6:$B$405,$AP1416)="",$H1416,INDEX(職員マスタ!$B$6:$B$405,$AP1416)))</f>
        <v/>
      </c>
      <c r="Y1416" s="14">
        <f>IF($AP1416="",IF($B1416="","",$R1416),IF(INDEX(職員マスタ!$C$6:$C$405,$AP1416)="",$R1416,INDEX(職員マスタ!$C$6:$C$405,$AP1416)))</f>
        <v/>
      </c>
      <c r="Z1416" s="14">
        <f>IF($AQ1416="","","R"&amp;$C1416&amp;"."&amp;$D1416)</f>
        <v/>
      </c>
      <c r="AA1416" s="15">
        <f>IF(IF($AP1416="",FALSE,INDEX(職員マスタ!$K$6:$K$405,$AP1416)&lt;&gt;""),INDEX(職員マスタ!$K$6:$K$405,$AP1416),IF(N($W1416)&gt;0,$W1416,""))</f>
        <v/>
      </c>
      <c r="AB1416" s="14">
        <f>IF(OR($E1416="",$AA1416=""),"",IF($E1416&gt;=$AA1416,"×",IF($E1416&gt;=$AA1416*設定!$C$5,"△","○")))</f>
        <v/>
      </c>
      <c r="AC1416" s="15">
        <f>IF($AB1416="","",IF($AB1416="×",0,IF($AB1416="○",ROUNDDOWN($E1416*設定!$C$4,0),ROUNDDOWN($E1416*ROUND((9*$AA1416-9*$E1416)/(10*$E1416),4),0))))</f>
        <v/>
      </c>
      <c r="AD1416" s="13" t="n"/>
      <c r="AE1416" s="15">
        <f>IF($B1416="","",IF($AD1416&lt;&gt;"",$AD1416,IF($AC1416="","",IF($AC1416&lt;=設定!$C$3,0,$AC1416))))</f>
        <v/>
      </c>
      <c r="AF1416" s="14">
        <f>IF($B1416="","",IF(AND($AG1416&lt;&gt;"",$AI1416="",$AL1416=""),"保留中",IF($AL1416&lt;&gt;"",IF(N($AE1416)&gt;0,"支給済","不支給"),IF($AE1416="","要確認",IF($AE1416=0,"不支給","未処理")))))</f>
        <v/>
      </c>
      <c r="AG1416" s="12" t="n"/>
      <c r="AH1416" s="11" t="n"/>
      <c r="AI1416" s="11" t="n"/>
      <c r="AJ1416" s="11" t="n"/>
      <c r="AK1416" s="14">
        <f>IF(AND($AF1416="保留中",$AH1416&lt;&gt;""),TODAY()-$AH1416,"")</f>
        <v/>
      </c>
      <c r="AL1416" s="12" t="n"/>
      <c r="AM1416" s="14">
        <f>IF($B1416="","",IF($AQ1416="","対象年月が未入力／","")&amp;IF($B1416="","",IF($AP1416="","職員マスタに未登録の職員番号／",IF($AA1416="","標準報酬月額が未登録／","")&amp;IF(AND($AQ1416&lt;&gt;"",OR(AND(INDEX(職員マスタ!$G$6:$G$405,$AP1416)&lt;&gt;"",INDEX(職員マスタ!$G$6:$G$405,$AP1416)&gt;EOMONTH($AQ1416,0)),AND(INDEX(職員マスタ!$H$6:$H$405,$AP1416)&lt;&gt;"",INDEX(職員マスタ!$H$6:$H$405,$AP1416)&lt;$AQ1416))),"対象月が時短期間外／","")&amp;IF(AND(INDEX(職員マスタ!$K$6:$K$405,$AP1416)&lt;&gt;"",N($W1416)&gt;0,INDEX(職員マスタ!$K$6:$K$405,$AP1416)&lt;&gt;$W1416),"標準報酬月額が申請書と相違（台帳"&amp;TEXT(INDEX(職員マスタ!$K$6:$K$405,$AP1416),"#,##0")&amp;"円／申請書"&amp;TEXT($W1416,"#,##0")&amp;"円）／","")&amp;IF(AND(INDEX(職員マスタ!$F$6:$F$405,$AP1416)&lt;&gt;"",$AQ1416&lt;&gt;"",INDEX(職員マスタ!$F$6:$F$405,$AP1416)&lt;$AQ1416),"対象月に子が2歳到達済／","")&amp;IF(AND($H1416&lt;&gt;"",INDEX(職員マスタ!$B$6:$B$405,$AP1416)&lt;&gt;"",SUBSTITUTE(SUBSTITUTE($H1416," ","")," ","")&lt;&gt;SUBSTITUTE(SUBSTITUTE(INDEX(職員マスタ!$B$6:$B$405,$AP1416)," ","")," ","")),"氏名がマスタと相違／","")&amp;IF(AND($Q1416&lt;&gt;"",INDEX(職員マスタ!$E$6:$E$405,$AP1416)&lt;&gt;"",$Q1416&lt;&gt;INDEX(職員マスタ!$E$6:$E$405,$AP1416)),"子の生年月日がマスタと相違／","")&amp;IF(AND($L1416&lt;&gt;"",INDEX(職員マスタ!$G$6:$G$405,$AP1416)&lt;&gt;"",$L1416&lt;&gt;INDEX(職員マスタ!$G$6:$G$405,$AP1416)),"時短開始日がマスタと相違／","")&amp;IF(AND($M1416&lt;&gt;"",INDEX(職員マスタ!$H$6:$H$405,$AP1416)&lt;&gt;"",$M1416&lt;&gt;INDEX(職員マスタ!$H$6:$H$405,$AP1416)),"時短終了日がマスタと相違／","")))&amp;IF(AND($B1416&lt;&gt;"",$E1416=""),"報酬額が未入力／","")&amp;IF(N($U1416)&gt;0,"申請書に入力エラーが残っています／","")&amp;IF(AND($B1416&lt;&gt;"",$AQ1416&lt;&gt;""),IF(COUNTIFS($B$6:$B$3005,$B1416,$C$6:$C$3005,$C1416,$D$6:$D$3005,$D1416)&gt;1,"同じ月の請求が重複しています／",""),"")&amp;IF(AND(N($E1416)&gt;0,$AB1416&lt;&gt;"",$AB1416&lt;&gt;"×",$AE1416=0,$AD1416=""),"計算額が下限以下のため不支給／",""))</f>
        <v/>
      </c>
      <c r="AN1416" s="12" t="n"/>
      <c r="AO1416" s="14">
        <f>IF($AF1416="保留中",COUNTIF($AF$6:$AF1416,"保留中"),"")</f>
        <v/>
      </c>
      <c r="AP1416" s="14">
        <f>IF($AQ1416="","",IF(SUMPRODUCT(MAX((職員マスタ!$A$6:$A$405=$B1416)*(((職員マスタ!$G$6:$G$405="")+(職員マスタ!$G$6:$G$405&lt;=EOMONTH($AQ1416,0)))&gt;0)*(((職員マスタ!$H$6:$H$405="")+(職員マスタ!$H$6:$H$405&gt;=$AQ1416))&gt;0)*(ROW(職員マスタ!$A$6:$A$405)-5)))&gt;0,SUMPRODUCT(MAX((職員マスタ!$A$6:$A$405=$B1416)*(((職員マスタ!$G$6:$G$405="")+(職員マスタ!$G$6:$G$405&lt;=EOMONTH($AQ1416,0)))&gt;0)*(((職員マスタ!$H$6:$H$405="")+(職員マスタ!$H$6:$H$405&gt;=$AQ1416))&gt;0)*(ROW(職員マスタ!$A$6:$A$405)-5))),IFERROR(MATCH($B1416,職員マスタ!$A$6:$A$405,0),"")))</f>
        <v/>
      </c>
      <c r="AQ1416" s="16">
        <f>IF(OR($B1416="",$C1416="",$D1416=""),"",DATE($C1416+2018,$D1416,1))</f>
        <v/>
      </c>
    </row>
    <row r="1417">
      <c r="A1417" s="11" t="n"/>
      <c r="B1417" s="12" t="n"/>
      <c r="C1417" s="12" t="n"/>
      <c r="D1417" s="12" t="n"/>
      <c r="E1417" s="13" t="n"/>
      <c r="F1417" s="12" t="n"/>
      <c r="G1417" s="13" t="n"/>
      <c r="H1417" s="12" t="n"/>
      <c r="I1417" s="12" t="n"/>
      <c r="J1417" s="12" t="n"/>
      <c r="K1417" s="12" t="n"/>
      <c r="L1417" s="11" t="n"/>
      <c r="M1417" s="11" t="n"/>
      <c r="N1417" s="11" t="n"/>
      <c r="O1417" s="11" t="n"/>
      <c r="P1417" s="12" t="n"/>
      <c r="Q1417" s="11" t="n"/>
      <c r="R1417" s="12" t="n"/>
      <c r="S1417" s="11" t="n"/>
      <c r="T1417" s="12" t="n"/>
      <c r="U1417" s="12" t="n"/>
      <c r="V1417" s="12" t="n"/>
      <c r="W1417" s="13" t="n"/>
      <c r="X1417" s="14">
        <f>IF($AP1417="",IF($B1417="","",$H1417),IF(INDEX(職員マスタ!$B$6:$B$405,$AP1417)="",$H1417,INDEX(職員マスタ!$B$6:$B$405,$AP1417)))</f>
        <v/>
      </c>
      <c r="Y1417" s="14">
        <f>IF($AP1417="",IF($B1417="","",$R1417),IF(INDEX(職員マスタ!$C$6:$C$405,$AP1417)="",$R1417,INDEX(職員マスタ!$C$6:$C$405,$AP1417)))</f>
        <v/>
      </c>
      <c r="Z1417" s="14">
        <f>IF($AQ1417="","","R"&amp;$C1417&amp;"."&amp;$D1417)</f>
        <v/>
      </c>
      <c r="AA1417" s="15">
        <f>IF(IF($AP1417="",FALSE,INDEX(職員マスタ!$K$6:$K$405,$AP1417)&lt;&gt;""),INDEX(職員マスタ!$K$6:$K$405,$AP1417),IF(N($W1417)&gt;0,$W1417,""))</f>
        <v/>
      </c>
      <c r="AB1417" s="14">
        <f>IF(OR($E1417="",$AA1417=""),"",IF($E1417&gt;=$AA1417,"×",IF($E1417&gt;=$AA1417*設定!$C$5,"△","○")))</f>
        <v/>
      </c>
      <c r="AC1417" s="15">
        <f>IF($AB1417="","",IF($AB1417="×",0,IF($AB1417="○",ROUNDDOWN($E1417*設定!$C$4,0),ROUNDDOWN($E1417*ROUND((9*$AA1417-9*$E1417)/(10*$E1417),4),0))))</f>
        <v/>
      </c>
      <c r="AD1417" s="13" t="n"/>
      <c r="AE1417" s="15">
        <f>IF($B1417="","",IF($AD1417&lt;&gt;"",$AD1417,IF($AC1417="","",IF($AC1417&lt;=設定!$C$3,0,$AC1417))))</f>
        <v/>
      </c>
      <c r="AF1417" s="14">
        <f>IF($B1417="","",IF(AND($AG1417&lt;&gt;"",$AI1417="",$AL1417=""),"保留中",IF($AL1417&lt;&gt;"",IF(N($AE1417)&gt;0,"支給済","不支給"),IF($AE1417="","要確認",IF($AE1417=0,"不支給","未処理")))))</f>
        <v/>
      </c>
      <c r="AG1417" s="12" t="n"/>
      <c r="AH1417" s="11" t="n"/>
      <c r="AI1417" s="11" t="n"/>
      <c r="AJ1417" s="11" t="n"/>
      <c r="AK1417" s="14">
        <f>IF(AND($AF1417="保留中",$AH1417&lt;&gt;""),TODAY()-$AH1417,"")</f>
        <v/>
      </c>
      <c r="AL1417" s="12" t="n"/>
      <c r="AM1417" s="14">
        <f>IF($B1417="","",IF($AQ1417="","対象年月が未入力／","")&amp;IF($B1417="","",IF($AP1417="","職員マスタに未登録の職員番号／",IF($AA1417="","標準報酬月額が未登録／","")&amp;IF(AND($AQ1417&lt;&gt;"",OR(AND(INDEX(職員マスタ!$G$6:$G$405,$AP1417)&lt;&gt;"",INDEX(職員マスタ!$G$6:$G$405,$AP1417)&gt;EOMONTH($AQ1417,0)),AND(INDEX(職員マスタ!$H$6:$H$405,$AP1417)&lt;&gt;"",INDEX(職員マスタ!$H$6:$H$405,$AP1417)&lt;$AQ1417))),"対象月が時短期間外／","")&amp;IF(AND(INDEX(職員マスタ!$K$6:$K$405,$AP1417)&lt;&gt;"",N($W1417)&gt;0,INDEX(職員マスタ!$K$6:$K$405,$AP1417)&lt;&gt;$W1417),"標準報酬月額が申請書と相違（台帳"&amp;TEXT(INDEX(職員マスタ!$K$6:$K$405,$AP1417),"#,##0")&amp;"円／申請書"&amp;TEXT($W1417,"#,##0")&amp;"円）／","")&amp;IF(AND(INDEX(職員マスタ!$F$6:$F$405,$AP1417)&lt;&gt;"",$AQ1417&lt;&gt;"",INDEX(職員マスタ!$F$6:$F$405,$AP1417)&lt;$AQ1417),"対象月に子が2歳到達済／","")&amp;IF(AND($H1417&lt;&gt;"",INDEX(職員マスタ!$B$6:$B$405,$AP1417)&lt;&gt;"",SUBSTITUTE(SUBSTITUTE($H1417," ","")," ","")&lt;&gt;SUBSTITUTE(SUBSTITUTE(INDEX(職員マスタ!$B$6:$B$405,$AP1417)," ","")," ","")),"氏名がマスタと相違／","")&amp;IF(AND($Q1417&lt;&gt;"",INDEX(職員マスタ!$E$6:$E$405,$AP1417)&lt;&gt;"",$Q1417&lt;&gt;INDEX(職員マスタ!$E$6:$E$405,$AP1417)),"子の生年月日がマスタと相違／","")&amp;IF(AND($L1417&lt;&gt;"",INDEX(職員マスタ!$G$6:$G$405,$AP1417)&lt;&gt;"",$L1417&lt;&gt;INDEX(職員マスタ!$G$6:$G$405,$AP1417)),"時短開始日がマスタと相違／","")&amp;IF(AND($M1417&lt;&gt;"",INDEX(職員マスタ!$H$6:$H$405,$AP1417)&lt;&gt;"",$M1417&lt;&gt;INDEX(職員マスタ!$H$6:$H$405,$AP1417)),"時短終了日がマスタと相違／","")))&amp;IF(AND($B1417&lt;&gt;"",$E1417=""),"報酬額が未入力／","")&amp;IF(N($U1417)&gt;0,"申請書に入力エラーが残っています／","")&amp;IF(AND($B1417&lt;&gt;"",$AQ1417&lt;&gt;""),IF(COUNTIFS($B$6:$B$3005,$B1417,$C$6:$C$3005,$C1417,$D$6:$D$3005,$D1417)&gt;1,"同じ月の請求が重複しています／",""),"")&amp;IF(AND(N($E1417)&gt;0,$AB1417&lt;&gt;"",$AB1417&lt;&gt;"×",$AE1417=0,$AD1417=""),"計算額が下限以下のため不支給／",""))</f>
        <v/>
      </c>
      <c r="AN1417" s="12" t="n"/>
      <c r="AO1417" s="14">
        <f>IF($AF1417="保留中",COUNTIF($AF$6:$AF1417,"保留中"),"")</f>
        <v/>
      </c>
      <c r="AP1417" s="14">
        <f>IF($AQ1417="","",IF(SUMPRODUCT(MAX((職員マスタ!$A$6:$A$405=$B1417)*(((職員マスタ!$G$6:$G$405="")+(職員マスタ!$G$6:$G$405&lt;=EOMONTH($AQ1417,0)))&gt;0)*(((職員マスタ!$H$6:$H$405="")+(職員マスタ!$H$6:$H$405&gt;=$AQ1417))&gt;0)*(ROW(職員マスタ!$A$6:$A$405)-5)))&gt;0,SUMPRODUCT(MAX((職員マスタ!$A$6:$A$405=$B1417)*(((職員マスタ!$G$6:$G$405="")+(職員マスタ!$G$6:$G$405&lt;=EOMONTH($AQ1417,0)))&gt;0)*(((職員マスタ!$H$6:$H$405="")+(職員マスタ!$H$6:$H$405&gt;=$AQ1417))&gt;0)*(ROW(職員マスタ!$A$6:$A$405)-5))),IFERROR(MATCH($B1417,職員マスタ!$A$6:$A$405,0),"")))</f>
        <v/>
      </c>
      <c r="AQ1417" s="16">
        <f>IF(OR($B1417="",$C1417="",$D1417=""),"",DATE($C1417+2018,$D1417,1))</f>
        <v/>
      </c>
    </row>
    <row r="1418">
      <c r="A1418" s="11" t="n"/>
      <c r="B1418" s="12" t="n"/>
      <c r="C1418" s="12" t="n"/>
      <c r="D1418" s="12" t="n"/>
      <c r="E1418" s="13" t="n"/>
      <c r="F1418" s="12" t="n"/>
      <c r="G1418" s="13" t="n"/>
      <c r="H1418" s="12" t="n"/>
      <c r="I1418" s="12" t="n"/>
      <c r="J1418" s="12" t="n"/>
      <c r="K1418" s="12" t="n"/>
      <c r="L1418" s="11" t="n"/>
      <c r="M1418" s="11" t="n"/>
      <c r="N1418" s="11" t="n"/>
      <c r="O1418" s="11" t="n"/>
      <c r="P1418" s="12" t="n"/>
      <c r="Q1418" s="11" t="n"/>
      <c r="R1418" s="12" t="n"/>
      <c r="S1418" s="11" t="n"/>
      <c r="T1418" s="12" t="n"/>
      <c r="U1418" s="12" t="n"/>
      <c r="V1418" s="12" t="n"/>
      <c r="W1418" s="13" t="n"/>
      <c r="X1418" s="14">
        <f>IF($AP1418="",IF($B1418="","",$H1418),IF(INDEX(職員マスタ!$B$6:$B$405,$AP1418)="",$H1418,INDEX(職員マスタ!$B$6:$B$405,$AP1418)))</f>
        <v/>
      </c>
      <c r="Y1418" s="14">
        <f>IF($AP1418="",IF($B1418="","",$R1418),IF(INDEX(職員マスタ!$C$6:$C$405,$AP1418)="",$R1418,INDEX(職員マスタ!$C$6:$C$405,$AP1418)))</f>
        <v/>
      </c>
      <c r="Z1418" s="14">
        <f>IF($AQ1418="","","R"&amp;$C1418&amp;"."&amp;$D1418)</f>
        <v/>
      </c>
      <c r="AA1418" s="15">
        <f>IF(IF($AP1418="",FALSE,INDEX(職員マスタ!$K$6:$K$405,$AP1418)&lt;&gt;""),INDEX(職員マスタ!$K$6:$K$405,$AP1418),IF(N($W1418)&gt;0,$W1418,""))</f>
        <v/>
      </c>
      <c r="AB1418" s="14">
        <f>IF(OR($E1418="",$AA1418=""),"",IF($E1418&gt;=$AA1418,"×",IF($E1418&gt;=$AA1418*設定!$C$5,"△","○")))</f>
        <v/>
      </c>
      <c r="AC1418" s="15">
        <f>IF($AB1418="","",IF($AB1418="×",0,IF($AB1418="○",ROUNDDOWN($E1418*設定!$C$4,0),ROUNDDOWN($E1418*ROUND((9*$AA1418-9*$E1418)/(10*$E1418),4),0))))</f>
        <v/>
      </c>
      <c r="AD1418" s="13" t="n"/>
      <c r="AE1418" s="15">
        <f>IF($B1418="","",IF($AD1418&lt;&gt;"",$AD1418,IF($AC1418="","",IF($AC1418&lt;=設定!$C$3,0,$AC1418))))</f>
        <v/>
      </c>
      <c r="AF1418" s="14">
        <f>IF($B1418="","",IF(AND($AG1418&lt;&gt;"",$AI1418="",$AL1418=""),"保留中",IF($AL1418&lt;&gt;"",IF(N($AE1418)&gt;0,"支給済","不支給"),IF($AE1418="","要確認",IF($AE1418=0,"不支給","未処理")))))</f>
        <v/>
      </c>
      <c r="AG1418" s="12" t="n"/>
      <c r="AH1418" s="11" t="n"/>
      <c r="AI1418" s="11" t="n"/>
      <c r="AJ1418" s="11" t="n"/>
      <c r="AK1418" s="14">
        <f>IF(AND($AF1418="保留中",$AH1418&lt;&gt;""),TODAY()-$AH1418,"")</f>
        <v/>
      </c>
      <c r="AL1418" s="12" t="n"/>
      <c r="AM1418" s="14">
        <f>IF($B1418="","",IF($AQ1418="","対象年月が未入力／","")&amp;IF($B1418="","",IF($AP1418="","職員マスタに未登録の職員番号／",IF($AA1418="","標準報酬月額が未登録／","")&amp;IF(AND($AQ1418&lt;&gt;"",OR(AND(INDEX(職員マスタ!$G$6:$G$405,$AP1418)&lt;&gt;"",INDEX(職員マスタ!$G$6:$G$405,$AP1418)&gt;EOMONTH($AQ1418,0)),AND(INDEX(職員マスタ!$H$6:$H$405,$AP1418)&lt;&gt;"",INDEX(職員マスタ!$H$6:$H$405,$AP1418)&lt;$AQ1418))),"対象月が時短期間外／","")&amp;IF(AND(INDEX(職員マスタ!$K$6:$K$405,$AP1418)&lt;&gt;"",N($W1418)&gt;0,INDEX(職員マスタ!$K$6:$K$405,$AP1418)&lt;&gt;$W1418),"標準報酬月額が申請書と相違（台帳"&amp;TEXT(INDEX(職員マスタ!$K$6:$K$405,$AP1418),"#,##0")&amp;"円／申請書"&amp;TEXT($W1418,"#,##0")&amp;"円）／","")&amp;IF(AND(INDEX(職員マスタ!$F$6:$F$405,$AP1418)&lt;&gt;"",$AQ1418&lt;&gt;"",INDEX(職員マスタ!$F$6:$F$405,$AP1418)&lt;$AQ1418),"対象月に子が2歳到達済／","")&amp;IF(AND($H1418&lt;&gt;"",INDEX(職員マスタ!$B$6:$B$405,$AP1418)&lt;&gt;"",SUBSTITUTE(SUBSTITUTE($H1418," ","")," ","")&lt;&gt;SUBSTITUTE(SUBSTITUTE(INDEX(職員マスタ!$B$6:$B$405,$AP1418)," ","")," ","")),"氏名がマスタと相違／","")&amp;IF(AND($Q1418&lt;&gt;"",INDEX(職員マスタ!$E$6:$E$405,$AP1418)&lt;&gt;"",$Q1418&lt;&gt;INDEX(職員マスタ!$E$6:$E$405,$AP1418)),"子の生年月日がマスタと相違／","")&amp;IF(AND($L1418&lt;&gt;"",INDEX(職員マスタ!$G$6:$G$405,$AP1418)&lt;&gt;"",$L1418&lt;&gt;INDEX(職員マスタ!$G$6:$G$405,$AP1418)),"時短開始日がマスタと相違／","")&amp;IF(AND($M1418&lt;&gt;"",INDEX(職員マスタ!$H$6:$H$405,$AP1418)&lt;&gt;"",$M1418&lt;&gt;INDEX(職員マスタ!$H$6:$H$405,$AP1418)),"時短終了日がマスタと相違／","")))&amp;IF(AND($B1418&lt;&gt;"",$E1418=""),"報酬額が未入力／","")&amp;IF(N($U1418)&gt;0,"申請書に入力エラーが残っています／","")&amp;IF(AND($B1418&lt;&gt;"",$AQ1418&lt;&gt;""),IF(COUNTIFS($B$6:$B$3005,$B1418,$C$6:$C$3005,$C1418,$D$6:$D$3005,$D1418)&gt;1,"同じ月の請求が重複しています／",""),"")&amp;IF(AND(N($E1418)&gt;0,$AB1418&lt;&gt;"",$AB1418&lt;&gt;"×",$AE1418=0,$AD1418=""),"計算額が下限以下のため不支給／",""))</f>
        <v/>
      </c>
      <c r="AN1418" s="12" t="n"/>
      <c r="AO1418" s="14">
        <f>IF($AF1418="保留中",COUNTIF($AF$6:$AF1418,"保留中"),"")</f>
        <v/>
      </c>
      <c r="AP1418" s="14">
        <f>IF($AQ1418="","",IF(SUMPRODUCT(MAX((職員マスタ!$A$6:$A$405=$B1418)*(((職員マスタ!$G$6:$G$405="")+(職員マスタ!$G$6:$G$405&lt;=EOMONTH($AQ1418,0)))&gt;0)*(((職員マスタ!$H$6:$H$405="")+(職員マスタ!$H$6:$H$405&gt;=$AQ1418))&gt;0)*(ROW(職員マスタ!$A$6:$A$405)-5)))&gt;0,SUMPRODUCT(MAX((職員マスタ!$A$6:$A$405=$B1418)*(((職員マスタ!$G$6:$G$405="")+(職員マスタ!$G$6:$G$405&lt;=EOMONTH($AQ1418,0)))&gt;0)*(((職員マスタ!$H$6:$H$405="")+(職員マスタ!$H$6:$H$405&gt;=$AQ1418))&gt;0)*(ROW(職員マスタ!$A$6:$A$405)-5))),IFERROR(MATCH($B1418,職員マスタ!$A$6:$A$405,0),"")))</f>
        <v/>
      </c>
      <c r="AQ1418" s="16">
        <f>IF(OR($B1418="",$C1418="",$D1418=""),"",DATE($C1418+2018,$D1418,1))</f>
        <v/>
      </c>
    </row>
    <row r="1419">
      <c r="A1419" s="11" t="n"/>
      <c r="B1419" s="12" t="n"/>
      <c r="C1419" s="12" t="n"/>
      <c r="D1419" s="12" t="n"/>
      <c r="E1419" s="13" t="n"/>
      <c r="F1419" s="12" t="n"/>
      <c r="G1419" s="13" t="n"/>
      <c r="H1419" s="12" t="n"/>
      <c r="I1419" s="12" t="n"/>
      <c r="J1419" s="12" t="n"/>
      <c r="K1419" s="12" t="n"/>
      <c r="L1419" s="11" t="n"/>
      <c r="M1419" s="11" t="n"/>
      <c r="N1419" s="11" t="n"/>
      <c r="O1419" s="11" t="n"/>
      <c r="P1419" s="12" t="n"/>
      <c r="Q1419" s="11" t="n"/>
      <c r="R1419" s="12" t="n"/>
      <c r="S1419" s="11" t="n"/>
      <c r="T1419" s="12" t="n"/>
      <c r="U1419" s="12" t="n"/>
      <c r="V1419" s="12" t="n"/>
      <c r="W1419" s="13" t="n"/>
      <c r="X1419" s="14">
        <f>IF($AP1419="",IF($B1419="","",$H1419),IF(INDEX(職員マスタ!$B$6:$B$405,$AP1419)="",$H1419,INDEX(職員マスタ!$B$6:$B$405,$AP1419)))</f>
        <v/>
      </c>
      <c r="Y1419" s="14">
        <f>IF($AP1419="",IF($B1419="","",$R1419),IF(INDEX(職員マスタ!$C$6:$C$405,$AP1419)="",$R1419,INDEX(職員マスタ!$C$6:$C$405,$AP1419)))</f>
        <v/>
      </c>
      <c r="Z1419" s="14">
        <f>IF($AQ1419="","","R"&amp;$C1419&amp;"."&amp;$D1419)</f>
        <v/>
      </c>
      <c r="AA1419" s="15">
        <f>IF(IF($AP1419="",FALSE,INDEX(職員マスタ!$K$6:$K$405,$AP1419)&lt;&gt;""),INDEX(職員マスタ!$K$6:$K$405,$AP1419),IF(N($W1419)&gt;0,$W1419,""))</f>
        <v/>
      </c>
      <c r="AB1419" s="14">
        <f>IF(OR($E1419="",$AA1419=""),"",IF($E1419&gt;=$AA1419,"×",IF($E1419&gt;=$AA1419*設定!$C$5,"△","○")))</f>
        <v/>
      </c>
      <c r="AC1419" s="15">
        <f>IF($AB1419="","",IF($AB1419="×",0,IF($AB1419="○",ROUNDDOWN($E1419*設定!$C$4,0),ROUNDDOWN($E1419*ROUND((9*$AA1419-9*$E1419)/(10*$E1419),4),0))))</f>
        <v/>
      </c>
      <c r="AD1419" s="13" t="n"/>
      <c r="AE1419" s="15">
        <f>IF($B1419="","",IF($AD1419&lt;&gt;"",$AD1419,IF($AC1419="","",IF($AC1419&lt;=設定!$C$3,0,$AC1419))))</f>
        <v/>
      </c>
      <c r="AF1419" s="14">
        <f>IF($B1419="","",IF(AND($AG1419&lt;&gt;"",$AI1419="",$AL1419=""),"保留中",IF($AL1419&lt;&gt;"",IF(N($AE1419)&gt;0,"支給済","不支給"),IF($AE1419="","要確認",IF($AE1419=0,"不支給","未処理")))))</f>
        <v/>
      </c>
      <c r="AG1419" s="12" t="n"/>
      <c r="AH1419" s="11" t="n"/>
      <c r="AI1419" s="11" t="n"/>
      <c r="AJ1419" s="11" t="n"/>
      <c r="AK1419" s="14">
        <f>IF(AND($AF1419="保留中",$AH1419&lt;&gt;""),TODAY()-$AH1419,"")</f>
        <v/>
      </c>
      <c r="AL1419" s="12" t="n"/>
      <c r="AM1419" s="14">
        <f>IF($B1419="","",IF($AQ1419="","対象年月が未入力／","")&amp;IF($B1419="","",IF($AP1419="","職員マスタに未登録の職員番号／",IF($AA1419="","標準報酬月額が未登録／","")&amp;IF(AND($AQ1419&lt;&gt;"",OR(AND(INDEX(職員マスタ!$G$6:$G$405,$AP1419)&lt;&gt;"",INDEX(職員マスタ!$G$6:$G$405,$AP1419)&gt;EOMONTH($AQ1419,0)),AND(INDEX(職員マスタ!$H$6:$H$405,$AP1419)&lt;&gt;"",INDEX(職員マスタ!$H$6:$H$405,$AP1419)&lt;$AQ1419))),"対象月が時短期間外／","")&amp;IF(AND(INDEX(職員マスタ!$K$6:$K$405,$AP1419)&lt;&gt;"",N($W1419)&gt;0,INDEX(職員マスタ!$K$6:$K$405,$AP1419)&lt;&gt;$W1419),"標準報酬月額が申請書と相違（台帳"&amp;TEXT(INDEX(職員マスタ!$K$6:$K$405,$AP1419),"#,##0")&amp;"円／申請書"&amp;TEXT($W1419,"#,##0")&amp;"円）／","")&amp;IF(AND(INDEX(職員マスタ!$F$6:$F$405,$AP1419)&lt;&gt;"",$AQ1419&lt;&gt;"",INDEX(職員マスタ!$F$6:$F$405,$AP1419)&lt;$AQ1419),"対象月に子が2歳到達済／","")&amp;IF(AND($H1419&lt;&gt;"",INDEX(職員マスタ!$B$6:$B$405,$AP1419)&lt;&gt;"",SUBSTITUTE(SUBSTITUTE($H1419," ","")," ","")&lt;&gt;SUBSTITUTE(SUBSTITUTE(INDEX(職員マスタ!$B$6:$B$405,$AP1419)," ","")," ","")),"氏名がマスタと相違／","")&amp;IF(AND($Q1419&lt;&gt;"",INDEX(職員マスタ!$E$6:$E$405,$AP1419)&lt;&gt;"",$Q1419&lt;&gt;INDEX(職員マスタ!$E$6:$E$405,$AP1419)),"子の生年月日がマスタと相違／","")&amp;IF(AND($L1419&lt;&gt;"",INDEX(職員マスタ!$G$6:$G$405,$AP1419)&lt;&gt;"",$L1419&lt;&gt;INDEX(職員マスタ!$G$6:$G$405,$AP1419)),"時短開始日がマスタと相違／","")&amp;IF(AND($M1419&lt;&gt;"",INDEX(職員マスタ!$H$6:$H$405,$AP1419)&lt;&gt;"",$M1419&lt;&gt;INDEX(職員マスタ!$H$6:$H$405,$AP1419)),"時短終了日がマスタと相違／","")))&amp;IF(AND($B1419&lt;&gt;"",$E1419=""),"報酬額が未入力／","")&amp;IF(N($U1419)&gt;0,"申請書に入力エラーが残っています／","")&amp;IF(AND($B1419&lt;&gt;"",$AQ1419&lt;&gt;""),IF(COUNTIFS($B$6:$B$3005,$B1419,$C$6:$C$3005,$C1419,$D$6:$D$3005,$D1419)&gt;1,"同じ月の請求が重複しています／",""),"")&amp;IF(AND(N($E1419)&gt;0,$AB1419&lt;&gt;"",$AB1419&lt;&gt;"×",$AE1419=0,$AD1419=""),"計算額が下限以下のため不支給／",""))</f>
        <v/>
      </c>
      <c r="AN1419" s="12" t="n"/>
      <c r="AO1419" s="14">
        <f>IF($AF1419="保留中",COUNTIF($AF$6:$AF1419,"保留中"),"")</f>
        <v/>
      </c>
      <c r="AP1419" s="14">
        <f>IF($AQ1419="","",IF(SUMPRODUCT(MAX((職員マスタ!$A$6:$A$405=$B1419)*(((職員マスタ!$G$6:$G$405="")+(職員マスタ!$G$6:$G$405&lt;=EOMONTH($AQ1419,0)))&gt;0)*(((職員マスタ!$H$6:$H$405="")+(職員マスタ!$H$6:$H$405&gt;=$AQ1419))&gt;0)*(ROW(職員マスタ!$A$6:$A$405)-5)))&gt;0,SUMPRODUCT(MAX((職員マスタ!$A$6:$A$405=$B1419)*(((職員マスタ!$G$6:$G$405="")+(職員マスタ!$G$6:$G$405&lt;=EOMONTH($AQ1419,0)))&gt;0)*(((職員マスタ!$H$6:$H$405="")+(職員マスタ!$H$6:$H$405&gt;=$AQ1419))&gt;0)*(ROW(職員マスタ!$A$6:$A$405)-5))),IFERROR(MATCH($B1419,職員マスタ!$A$6:$A$405,0),"")))</f>
        <v/>
      </c>
      <c r="AQ1419" s="16">
        <f>IF(OR($B1419="",$C1419="",$D1419=""),"",DATE($C1419+2018,$D1419,1))</f>
        <v/>
      </c>
    </row>
    <row r="1420">
      <c r="A1420" s="11" t="n"/>
      <c r="B1420" s="12" t="n"/>
      <c r="C1420" s="12" t="n"/>
      <c r="D1420" s="12" t="n"/>
      <c r="E1420" s="13" t="n"/>
      <c r="F1420" s="12" t="n"/>
      <c r="G1420" s="13" t="n"/>
      <c r="H1420" s="12" t="n"/>
      <c r="I1420" s="12" t="n"/>
      <c r="J1420" s="12" t="n"/>
      <c r="K1420" s="12" t="n"/>
      <c r="L1420" s="11" t="n"/>
      <c r="M1420" s="11" t="n"/>
      <c r="N1420" s="11" t="n"/>
      <c r="O1420" s="11" t="n"/>
      <c r="P1420" s="12" t="n"/>
      <c r="Q1420" s="11" t="n"/>
      <c r="R1420" s="12" t="n"/>
      <c r="S1420" s="11" t="n"/>
      <c r="T1420" s="12" t="n"/>
      <c r="U1420" s="12" t="n"/>
      <c r="V1420" s="12" t="n"/>
      <c r="W1420" s="13" t="n"/>
      <c r="X1420" s="14">
        <f>IF($AP1420="",IF($B1420="","",$H1420),IF(INDEX(職員マスタ!$B$6:$B$405,$AP1420)="",$H1420,INDEX(職員マスタ!$B$6:$B$405,$AP1420)))</f>
        <v/>
      </c>
      <c r="Y1420" s="14">
        <f>IF($AP1420="",IF($B1420="","",$R1420),IF(INDEX(職員マスタ!$C$6:$C$405,$AP1420)="",$R1420,INDEX(職員マスタ!$C$6:$C$405,$AP1420)))</f>
        <v/>
      </c>
      <c r="Z1420" s="14">
        <f>IF($AQ1420="","","R"&amp;$C1420&amp;"."&amp;$D1420)</f>
        <v/>
      </c>
      <c r="AA1420" s="15">
        <f>IF(IF($AP1420="",FALSE,INDEX(職員マスタ!$K$6:$K$405,$AP1420)&lt;&gt;""),INDEX(職員マスタ!$K$6:$K$405,$AP1420),IF(N($W1420)&gt;0,$W1420,""))</f>
        <v/>
      </c>
      <c r="AB1420" s="14">
        <f>IF(OR($E1420="",$AA1420=""),"",IF($E1420&gt;=$AA1420,"×",IF($E1420&gt;=$AA1420*設定!$C$5,"△","○")))</f>
        <v/>
      </c>
      <c r="AC1420" s="15">
        <f>IF($AB1420="","",IF($AB1420="×",0,IF($AB1420="○",ROUNDDOWN($E1420*設定!$C$4,0),ROUNDDOWN($E1420*ROUND((9*$AA1420-9*$E1420)/(10*$E1420),4),0))))</f>
        <v/>
      </c>
      <c r="AD1420" s="13" t="n"/>
      <c r="AE1420" s="15">
        <f>IF($B1420="","",IF($AD1420&lt;&gt;"",$AD1420,IF($AC1420="","",IF($AC1420&lt;=設定!$C$3,0,$AC1420))))</f>
        <v/>
      </c>
      <c r="AF1420" s="14">
        <f>IF($B1420="","",IF(AND($AG1420&lt;&gt;"",$AI1420="",$AL1420=""),"保留中",IF($AL1420&lt;&gt;"",IF(N($AE1420)&gt;0,"支給済","不支給"),IF($AE1420="","要確認",IF($AE1420=0,"不支給","未処理")))))</f>
        <v/>
      </c>
      <c r="AG1420" s="12" t="n"/>
      <c r="AH1420" s="11" t="n"/>
      <c r="AI1420" s="11" t="n"/>
      <c r="AJ1420" s="11" t="n"/>
      <c r="AK1420" s="14">
        <f>IF(AND($AF1420="保留中",$AH1420&lt;&gt;""),TODAY()-$AH1420,"")</f>
        <v/>
      </c>
      <c r="AL1420" s="12" t="n"/>
      <c r="AM1420" s="14">
        <f>IF($B1420="","",IF($AQ1420="","対象年月が未入力／","")&amp;IF($B1420="","",IF($AP1420="","職員マスタに未登録の職員番号／",IF($AA1420="","標準報酬月額が未登録／","")&amp;IF(AND($AQ1420&lt;&gt;"",OR(AND(INDEX(職員マスタ!$G$6:$G$405,$AP1420)&lt;&gt;"",INDEX(職員マスタ!$G$6:$G$405,$AP1420)&gt;EOMONTH($AQ1420,0)),AND(INDEX(職員マスタ!$H$6:$H$405,$AP1420)&lt;&gt;"",INDEX(職員マスタ!$H$6:$H$405,$AP1420)&lt;$AQ1420))),"対象月が時短期間外／","")&amp;IF(AND(INDEX(職員マスタ!$K$6:$K$405,$AP1420)&lt;&gt;"",N($W1420)&gt;0,INDEX(職員マスタ!$K$6:$K$405,$AP1420)&lt;&gt;$W1420),"標準報酬月額が申請書と相違（台帳"&amp;TEXT(INDEX(職員マスタ!$K$6:$K$405,$AP1420),"#,##0")&amp;"円／申請書"&amp;TEXT($W1420,"#,##0")&amp;"円）／","")&amp;IF(AND(INDEX(職員マスタ!$F$6:$F$405,$AP1420)&lt;&gt;"",$AQ1420&lt;&gt;"",INDEX(職員マスタ!$F$6:$F$405,$AP1420)&lt;$AQ1420),"対象月に子が2歳到達済／","")&amp;IF(AND($H1420&lt;&gt;"",INDEX(職員マスタ!$B$6:$B$405,$AP1420)&lt;&gt;"",SUBSTITUTE(SUBSTITUTE($H1420," ","")," ","")&lt;&gt;SUBSTITUTE(SUBSTITUTE(INDEX(職員マスタ!$B$6:$B$405,$AP1420)," ","")," ","")),"氏名がマスタと相違／","")&amp;IF(AND($Q1420&lt;&gt;"",INDEX(職員マスタ!$E$6:$E$405,$AP1420)&lt;&gt;"",$Q1420&lt;&gt;INDEX(職員マスタ!$E$6:$E$405,$AP1420)),"子の生年月日がマスタと相違／","")&amp;IF(AND($L1420&lt;&gt;"",INDEX(職員マスタ!$G$6:$G$405,$AP1420)&lt;&gt;"",$L1420&lt;&gt;INDEX(職員マスタ!$G$6:$G$405,$AP1420)),"時短開始日がマスタと相違／","")&amp;IF(AND($M1420&lt;&gt;"",INDEX(職員マスタ!$H$6:$H$405,$AP1420)&lt;&gt;"",$M1420&lt;&gt;INDEX(職員マスタ!$H$6:$H$405,$AP1420)),"時短終了日がマスタと相違／","")))&amp;IF(AND($B1420&lt;&gt;"",$E1420=""),"報酬額が未入力／","")&amp;IF(N($U1420)&gt;0,"申請書に入力エラーが残っています／","")&amp;IF(AND($B1420&lt;&gt;"",$AQ1420&lt;&gt;""),IF(COUNTIFS($B$6:$B$3005,$B1420,$C$6:$C$3005,$C1420,$D$6:$D$3005,$D1420)&gt;1,"同じ月の請求が重複しています／",""),"")&amp;IF(AND(N($E1420)&gt;0,$AB1420&lt;&gt;"",$AB1420&lt;&gt;"×",$AE1420=0,$AD1420=""),"計算額が下限以下のため不支給／",""))</f>
        <v/>
      </c>
      <c r="AN1420" s="12" t="n"/>
      <c r="AO1420" s="14">
        <f>IF($AF1420="保留中",COUNTIF($AF$6:$AF1420,"保留中"),"")</f>
        <v/>
      </c>
      <c r="AP1420" s="14">
        <f>IF($AQ1420="","",IF(SUMPRODUCT(MAX((職員マスタ!$A$6:$A$405=$B1420)*(((職員マスタ!$G$6:$G$405="")+(職員マスタ!$G$6:$G$405&lt;=EOMONTH($AQ1420,0)))&gt;0)*(((職員マスタ!$H$6:$H$405="")+(職員マスタ!$H$6:$H$405&gt;=$AQ1420))&gt;0)*(ROW(職員マスタ!$A$6:$A$405)-5)))&gt;0,SUMPRODUCT(MAX((職員マスタ!$A$6:$A$405=$B1420)*(((職員マスタ!$G$6:$G$405="")+(職員マスタ!$G$6:$G$405&lt;=EOMONTH($AQ1420,0)))&gt;0)*(((職員マスタ!$H$6:$H$405="")+(職員マスタ!$H$6:$H$405&gt;=$AQ1420))&gt;0)*(ROW(職員マスタ!$A$6:$A$405)-5))),IFERROR(MATCH($B1420,職員マスタ!$A$6:$A$405,0),"")))</f>
        <v/>
      </c>
      <c r="AQ1420" s="16">
        <f>IF(OR($B1420="",$C1420="",$D1420=""),"",DATE($C1420+2018,$D1420,1))</f>
        <v/>
      </c>
    </row>
    <row r="1421">
      <c r="A1421" s="11" t="n"/>
      <c r="B1421" s="12" t="n"/>
      <c r="C1421" s="12" t="n"/>
      <c r="D1421" s="12" t="n"/>
      <c r="E1421" s="13" t="n"/>
      <c r="F1421" s="12" t="n"/>
      <c r="G1421" s="13" t="n"/>
      <c r="H1421" s="12" t="n"/>
      <c r="I1421" s="12" t="n"/>
      <c r="J1421" s="12" t="n"/>
      <c r="K1421" s="12" t="n"/>
      <c r="L1421" s="11" t="n"/>
      <c r="M1421" s="11" t="n"/>
      <c r="N1421" s="11" t="n"/>
      <c r="O1421" s="11" t="n"/>
      <c r="P1421" s="12" t="n"/>
      <c r="Q1421" s="11" t="n"/>
      <c r="R1421" s="12" t="n"/>
      <c r="S1421" s="11" t="n"/>
      <c r="T1421" s="12" t="n"/>
      <c r="U1421" s="12" t="n"/>
      <c r="V1421" s="12" t="n"/>
      <c r="W1421" s="13" t="n"/>
      <c r="X1421" s="14">
        <f>IF($AP1421="",IF($B1421="","",$H1421),IF(INDEX(職員マスタ!$B$6:$B$405,$AP1421)="",$H1421,INDEX(職員マスタ!$B$6:$B$405,$AP1421)))</f>
        <v/>
      </c>
      <c r="Y1421" s="14">
        <f>IF($AP1421="",IF($B1421="","",$R1421),IF(INDEX(職員マスタ!$C$6:$C$405,$AP1421)="",$R1421,INDEX(職員マスタ!$C$6:$C$405,$AP1421)))</f>
        <v/>
      </c>
      <c r="Z1421" s="14">
        <f>IF($AQ1421="","","R"&amp;$C1421&amp;"."&amp;$D1421)</f>
        <v/>
      </c>
      <c r="AA1421" s="15">
        <f>IF(IF($AP1421="",FALSE,INDEX(職員マスタ!$K$6:$K$405,$AP1421)&lt;&gt;""),INDEX(職員マスタ!$K$6:$K$405,$AP1421),IF(N($W1421)&gt;0,$W1421,""))</f>
        <v/>
      </c>
      <c r="AB1421" s="14">
        <f>IF(OR($E1421="",$AA1421=""),"",IF($E1421&gt;=$AA1421,"×",IF($E1421&gt;=$AA1421*設定!$C$5,"△","○")))</f>
        <v/>
      </c>
      <c r="AC1421" s="15">
        <f>IF($AB1421="","",IF($AB1421="×",0,IF($AB1421="○",ROUNDDOWN($E1421*設定!$C$4,0),ROUNDDOWN($E1421*ROUND((9*$AA1421-9*$E1421)/(10*$E1421),4),0))))</f>
        <v/>
      </c>
      <c r="AD1421" s="13" t="n"/>
      <c r="AE1421" s="15">
        <f>IF($B1421="","",IF($AD1421&lt;&gt;"",$AD1421,IF($AC1421="","",IF($AC1421&lt;=設定!$C$3,0,$AC1421))))</f>
        <v/>
      </c>
      <c r="AF1421" s="14">
        <f>IF($B1421="","",IF(AND($AG1421&lt;&gt;"",$AI1421="",$AL1421=""),"保留中",IF($AL1421&lt;&gt;"",IF(N($AE1421)&gt;0,"支給済","不支給"),IF($AE1421="","要確認",IF($AE1421=0,"不支給","未処理")))))</f>
        <v/>
      </c>
      <c r="AG1421" s="12" t="n"/>
      <c r="AH1421" s="11" t="n"/>
      <c r="AI1421" s="11" t="n"/>
      <c r="AJ1421" s="11" t="n"/>
      <c r="AK1421" s="14">
        <f>IF(AND($AF1421="保留中",$AH1421&lt;&gt;""),TODAY()-$AH1421,"")</f>
        <v/>
      </c>
      <c r="AL1421" s="12" t="n"/>
      <c r="AM1421" s="14">
        <f>IF($B1421="","",IF($AQ1421="","対象年月が未入力／","")&amp;IF($B1421="","",IF($AP1421="","職員マスタに未登録の職員番号／",IF($AA1421="","標準報酬月額が未登録／","")&amp;IF(AND($AQ1421&lt;&gt;"",OR(AND(INDEX(職員マスタ!$G$6:$G$405,$AP1421)&lt;&gt;"",INDEX(職員マスタ!$G$6:$G$405,$AP1421)&gt;EOMONTH($AQ1421,0)),AND(INDEX(職員マスタ!$H$6:$H$405,$AP1421)&lt;&gt;"",INDEX(職員マスタ!$H$6:$H$405,$AP1421)&lt;$AQ1421))),"対象月が時短期間外／","")&amp;IF(AND(INDEX(職員マスタ!$K$6:$K$405,$AP1421)&lt;&gt;"",N($W1421)&gt;0,INDEX(職員マスタ!$K$6:$K$405,$AP1421)&lt;&gt;$W1421),"標準報酬月額が申請書と相違（台帳"&amp;TEXT(INDEX(職員マスタ!$K$6:$K$405,$AP1421),"#,##0")&amp;"円／申請書"&amp;TEXT($W1421,"#,##0")&amp;"円）／","")&amp;IF(AND(INDEX(職員マスタ!$F$6:$F$405,$AP1421)&lt;&gt;"",$AQ1421&lt;&gt;"",INDEX(職員マスタ!$F$6:$F$405,$AP1421)&lt;$AQ1421),"対象月に子が2歳到達済／","")&amp;IF(AND($H1421&lt;&gt;"",INDEX(職員マスタ!$B$6:$B$405,$AP1421)&lt;&gt;"",SUBSTITUTE(SUBSTITUTE($H1421," ","")," ","")&lt;&gt;SUBSTITUTE(SUBSTITUTE(INDEX(職員マスタ!$B$6:$B$405,$AP1421)," ","")," ","")),"氏名がマスタと相違／","")&amp;IF(AND($Q1421&lt;&gt;"",INDEX(職員マスタ!$E$6:$E$405,$AP1421)&lt;&gt;"",$Q1421&lt;&gt;INDEX(職員マスタ!$E$6:$E$405,$AP1421)),"子の生年月日がマスタと相違／","")&amp;IF(AND($L1421&lt;&gt;"",INDEX(職員マスタ!$G$6:$G$405,$AP1421)&lt;&gt;"",$L1421&lt;&gt;INDEX(職員マスタ!$G$6:$G$405,$AP1421)),"時短開始日がマスタと相違／","")&amp;IF(AND($M1421&lt;&gt;"",INDEX(職員マスタ!$H$6:$H$405,$AP1421)&lt;&gt;"",$M1421&lt;&gt;INDEX(職員マスタ!$H$6:$H$405,$AP1421)),"時短終了日がマスタと相違／","")))&amp;IF(AND($B1421&lt;&gt;"",$E1421=""),"報酬額が未入力／","")&amp;IF(N($U1421)&gt;0,"申請書に入力エラーが残っています／","")&amp;IF(AND($B1421&lt;&gt;"",$AQ1421&lt;&gt;""),IF(COUNTIFS($B$6:$B$3005,$B1421,$C$6:$C$3005,$C1421,$D$6:$D$3005,$D1421)&gt;1,"同じ月の請求が重複しています／",""),"")&amp;IF(AND(N($E1421)&gt;0,$AB1421&lt;&gt;"",$AB1421&lt;&gt;"×",$AE1421=0,$AD1421=""),"計算額が下限以下のため不支給／",""))</f>
        <v/>
      </c>
      <c r="AN1421" s="12" t="n"/>
      <c r="AO1421" s="14">
        <f>IF($AF1421="保留中",COUNTIF($AF$6:$AF1421,"保留中"),"")</f>
        <v/>
      </c>
      <c r="AP1421" s="14">
        <f>IF($AQ1421="","",IF(SUMPRODUCT(MAX((職員マスタ!$A$6:$A$405=$B1421)*(((職員マスタ!$G$6:$G$405="")+(職員マスタ!$G$6:$G$405&lt;=EOMONTH($AQ1421,0)))&gt;0)*(((職員マスタ!$H$6:$H$405="")+(職員マスタ!$H$6:$H$405&gt;=$AQ1421))&gt;0)*(ROW(職員マスタ!$A$6:$A$405)-5)))&gt;0,SUMPRODUCT(MAX((職員マスタ!$A$6:$A$405=$B1421)*(((職員マスタ!$G$6:$G$405="")+(職員マスタ!$G$6:$G$405&lt;=EOMONTH($AQ1421,0)))&gt;0)*(((職員マスタ!$H$6:$H$405="")+(職員マスタ!$H$6:$H$405&gt;=$AQ1421))&gt;0)*(ROW(職員マスタ!$A$6:$A$405)-5))),IFERROR(MATCH($B1421,職員マスタ!$A$6:$A$405,0),"")))</f>
        <v/>
      </c>
      <c r="AQ1421" s="16">
        <f>IF(OR($B1421="",$C1421="",$D1421=""),"",DATE($C1421+2018,$D1421,1))</f>
        <v/>
      </c>
    </row>
    <row r="1422">
      <c r="A1422" s="11" t="n"/>
      <c r="B1422" s="12" t="n"/>
      <c r="C1422" s="12" t="n"/>
      <c r="D1422" s="12" t="n"/>
      <c r="E1422" s="13" t="n"/>
      <c r="F1422" s="12" t="n"/>
      <c r="G1422" s="13" t="n"/>
      <c r="H1422" s="12" t="n"/>
      <c r="I1422" s="12" t="n"/>
      <c r="J1422" s="12" t="n"/>
      <c r="K1422" s="12" t="n"/>
      <c r="L1422" s="11" t="n"/>
      <c r="M1422" s="11" t="n"/>
      <c r="N1422" s="11" t="n"/>
      <c r="O1422" s="11" t="n"/>
      <c r="P1422" s="12" t="n"/>
      <c r="Q1422" s="11" t="n"/>
      <c r="R1422" s="12" t="n"/>
      <c r="S1422" s="11" t="n"/>
      <c r="T1422" s="12" t="n"/>
      <c r="U1422" s="12" t="n"/>
      <c r="V1422" s="12" t="n"/>
      <c r="W1422" s="13" t="n"/>
      <c r="X1422" s="14">
        <f>IF($AP1422="",IF($B1422="","",$H1422),IF(INDEX(職員マスタ!$B$6:$B$405,$AP1422)="",$H1422,INDEX(職員マスタ!$B$6:$B$405,$AP1422)))</f>
        <v/>
      </c>
      <c r="Y1422" s="14">
        <f>IF($AP1422="",IF($B1422="","",$R1422),IF(INDEX(職員マスタ!$C$6:$C$405,$AP1422)="",$R1422,INDEX(職員マスタ!$C$6:$C$405,$AP1422)))</f>
        <v/>
      </c>
      <c r="Z1422" s="14">
        <f>IF($AQ1422="","","R"&amp;$C1422&amp;"."&amp;$D1422)</f>
        <v/>
      </c>
      <c r="AA1422" s="15">
        <f>IF(IF($AP1422="",FALSE,INDEX(職員マスタ!$K$6:$K$405,$AP1422)&lt;&gt;""),INDEX(職員マスタ!$K$6:$K$405,$AP1422),IF(N($W1422)&gt;0,$W1422,""))</f>
        <v/>
      </c>
      <c r="AB1422" s="14">
        <f>IF(OR($E1422="",$AA1422=""),"",IF($E1422&gt;=$AA1422,"×",IF($E1422&gt;=$AA1422*設定!$C$5,"△","○")))</f>
        <v/>
      </c>
      <c r="AC1422" s="15">
        <f>IF($AB1422="","",IF($AB1422="×",0,IF($AB1422="○",ROUNDDOWN($E1422*設定!$C$4,0),ROUNDDOWN($E1422*ROUND((9*$AA1422-9*$E1422)/(10*$E1422),4),0))))</f>
        <v/>
      </c>
      <c r="AD1422" s="13" t="n"/>
      <c r="AE1422" s="15">
        <f>IF($B1422="","",IF($AD1422&lt;&gt;"",$AD1422,IF($AC1422="","",IF($AC1422&lt;=設定!$C$3,0,$AC1422))))</f>
        <v/>
      </c>
      <c r="AF1422" s="14">
        <f>IF($B1422="","",IF(AND($AG1422&lt;&gt;"",$AI1422="",$AL1422=""),"保留中",IF($AL1422&lt;&gt;"",IF(N($AE1422)&gt;0,"支給済","不支給"),IF($AE1422="","要確認",IF($AE1422=0,"不支給","未処理")))))</f>
        <v/>
      </c>
      <c r="AG1422" s="12" t="n"/>
      <c r="AH1422" s="11" t="n"/>
      <c r="AI1422" s="11" t="n"/>
      <c r="AJ1422" s="11" t="n"/>
      <c r="AK1422" s="14">
        <f>IF(AND($AF1422="保留中",$AH1422&lt;&gt;""),TODAY()-$AH1422,"")</f>
        <v/>
      </c>
      <c r="AL1422" s="12" t="n"/>
      <c r="AM1422" s="14">
        <f>IF($B1422="","",IF($AQ1422="","対象年月が未入力／","")&amp;IF($B1422="","",IF($AP1422="","職員マスタに未登録の職員番号／",IF($AA1422="","標準報酬月額が未登録／","")&amp;IF(AND($AQ1422&lt;&gt;"",OR(AND(INDEX(職員マスタ!$G$6:$G$405,$AP1422)&lt;&gt;"",INDEX(職員マスタ!$G$6:$G$405,$AP1422)&gt;EOMONTH($AQ1422,0)),AND(INDEX(職員マスタ!$H$6:$H$405,$AP1422)&lt;&gt;"",INDEX(職員マスタ!$H$6:$H$405,$AP1422)&lt;$AQ1422))),"対象月が時短期間外／","")&amp;IF(AND(INDEX(職員マスタ!$K$6:$K$405,$AP1422)&lt;&gt;"",N($W1422)&gt;0,INDEX(職員マスタ!$K$6:$K$405,$AP1422)&lt;&gt;$W1422),"標準報酬月額が申請書と相違（台帳"&amp;TEXT(INDEX(職員マスタ!$K$6:$K$405,$AP1422),"#,##0")&amp;"円／申請書"&amp;TEXT($W1422,"#,##0")&amp;"円）／","")&amp;IF(AND(INDEX(職員マスタ!$F$6:$F$405,$AP1422)&lt;&gt;"",$AQ1422&lt;&gt;"",INDEX(職員マスタ!$F$6:$F$405,$AP1422)&lt;$AQ1422),"対象月に子が2歳到達済／","")&amp;IF(AND($H1422&lt;&gt;"",INDEX(職員マスタ!$B$6:$B$405,$AP1422)&lt;&gt;"",SUBSTITUTE(SUBSTITUTE($H1422," ","")," ","")&lt;&gt;SUBSTITUTE(SUBSTITUTE(INDEX(職員マスタ!$B$6:$B$405,$AP1422)," ","")," ","")),"氏名がマスタと相違／","")&amp;IF(AND($Q1422&lt;&gt;"",INDEX(職員マスタ!$E$6:$E$405,$AP1422)&lt;&gt;"",$Q1422&lt;&gt;INDEX(職員マスタ!$E$6:$E$405,$AP1422)),"子の生年月日がマスタと相違／","")&amp;IF(AND($L1422&lt;&gt;"",INDEX(職員マスタ!$G$6:$G$405,$AP1422)&lt;&gt;"",$L1422&lt;&gt;INDEX(職員マスタ!$G$6:$G$405,$AP1422)),"時短開始日がマスタと相違／","")&amp;IF(AND($M1422&lt;&gt;"",INDEX(職員マスタ!$H$6:$H$405,$AP1422)&lt;&gt;"",$M1422&lt;&gt;INDEX(職員マスタ!$H$6:$H$405,$AP1422)),"時短終了日がマスタと相違／","")))&amp;IF(AND($B1422&lt;&gt;"",$E1422=""),"報酬額が未入力／","")&amp;IF(N($U1422)&gt;0,"申請書に入力エラーが残っています／","")&amp;IF(AND($B1422&lt;&gt;"",$AQ1422&lt;&gt;""),IF(COUNTIFS($B$6:$B$3005,$B1422,$C$6:$C$3005,$C1422,$D$6:$D$3005,$D1422)&gt;1,"同じ月の請求が重複しています／",""),"")&amp;IF(AND(N($E1422)&gt;0,$AB1422&lt;&gt;"",$AB1422&lt;&gt;"×",$AE1422=0,$AD1422=""),"計算額が下限以下のため不支給／",""))</f>
        <v/>
      </c>
      <c r="AN1422" s="12" t="n"/>
      <c r="AO1422" s="14">
        <f>IF($AF1422="保留中",COUNTIF($AF$6:$AF1422,"保留中"),"")</f>
        <v/>
      </c>
      <c r="AP1422" s="14">
        <f>IF($AQ1422="","",IF(SUMPRODUCT(MAX((職員マスタ!$A$6:$A$405=$B1422)*(((職員マスタ!$G$6:$G$405="")+(職員マスタ!$G$6:$G$405&lt;=EOMONTH($AQ1422,0)))&gt;0)*(((職員マスタ!$H$6:$H$405="")+(職員マスタ!$H$6:$H$405&gt;=$AQ1422))&gt;0)*(ROW(職員マスタ!$A$6:$A$405)-5)))&gt;0,SUMPRODUCT(MAX((職員マスタ!$A$6:$A$405=$B1422)*(((職員マスタ!$G$6:$G$405="")+(職員マスタ!$G$6:$G$405&lt;=EOMONTH($AQ1422,0)))&gt;0)*(((職員マスタ!$H$6:$H$405="")+(職員マスタ!$H$6:$H$405&gt;=$AQ1422))&gt;0)*(ROW(職員マスタ!$A$6:$A$405)-5))),IFERROR(MATCH($B1422,職員マスタ!$A$6:$A$405,0),"")))</f>
        <v/>
      </c>
      <c r="AQ1422" s="16">
        <f>IF(OR($B1422="",$C1422="",$D1422=""),"",DATE($C1422+2018,$D1422,1))</f>
        <v/>
      </c>
    </row>
    <row r="1423">
      <c r="A1423" s="11" t="n"/>
      <c r="B1423" s="12" t="n"/>
      <c r="C1423" s="12" t="n"/>
      <c r="D1423" s="12" t="n"/>
      <c r="E1423" s="13" t="n"/>
      <c r="F1423" s="12" t="n"/>
      <c r="G1423" s="13" t="n"/>
      <c r="H1423" s="12" t="n"/>
      <c r="I1423" s="12" t="n"/>
      <c r="J1423" s="12" t="n"/>
      <c r="K1423" s="12" t="n"/>
      <c r="L1423" s="11" t="n"/>
      <c r="M1423" s="11" t="n"/>
      <c r="N1423" s="11" t="n"/>
      <c r="O1423" s="11" t="n"/>
      <c r="P1423" s="12" t="n"/>
      <c r="Q1423" s="11" t="n"/>
      <c r="R1423" s="12" t="n"/>
      <c r="S1423" s="11" t="n"/>
      <c r="T1423" s="12" t="n"/>
      <c r="U1423" s="12" t="n"/>
      <c r="V1423" s="12" t="n"/>
      <c r="W1423" s="13" t="n"/>
      <c r="X1423" s="14">
        <f>IF($AP1423="",IF($B1423="","",$H1423),IF(INDEX(職員マスタ!$B$6:$B$405,$AP1423)="",$H1423,INDEX(職員マスタ!$B$6:$B$405,$AP1423)))</f>
        <v/>
      </c>
      <c r="Y1423" s="14">
        <f>IF($AP1423="",IF($B1423="","",$R1423),IF(INDEX(職員マスタ!$C$6:$C$405,$AP1423)="",$R1423,INDEX(職員マスタ!$C$6:$C$405,$AP1423)))</f>
        <v/>
      </c>
      <c r="Z1423" s="14">
        <f>IF($AQ1423="","","R"&amp;$C1423&amp;"."&amp;$D1423)</f>
        <v/>
      </c>
      <c r="AA1423" s="15">
        <f>IF(IF($AP1423="",FALSE,INDEX(職員マスタ!$K$6:$K$405,$AP1423)&lt;&gt;""),INDEX(職員マスタ!$K$6:$K$405,$AP1423),IF(N($W1423)&gt;0,$W1423,""))</f>
        <v/>
      </c>
      <c r="AB1423" s="14">
        <f>IF(OR($E1423="",$AA1423=""),"",IF($E1423&gt;=$AA1423,"×",IF($E1423&gt;=$AA1423*設定!$C$5,"△","○")))</f>
        <v/>
      </c>
      <c r="AC1423" s="15">
        <f>IF($AB1423="","",IF($AB1423="×",0,IF($AB1423="○",ROUNDDOWN($E1423*設定!$C$4,0),ROUNDDOWN($E1423*ROUND((9*$AA1423-9*$E1423)/(10*$E1423),4),0))))</f>
        <v/>
      </c>
      <c r="AD1423" s="13" t="n"/>
      <c r="AE1423" s="15">
        <f>IF($B1423="","",IF($AD1423&lt;&gt;"",$AD1423,IF($AC1423="","",IF($AC1423&lt;=設定!$C$3,0,$AC1423))))</f>
        <v/>
      </c>
      <c r="AF1423" s="14">
        <f>IF($B1423="","",IF(AND($AG1423&lt;&gt;"",$AI1423="",$AL1423=""),"保留中",IF($AL1423&lt;&gt;"",IF(N($AE1423)&gt;0,"支給済","不支給"),IF($AE1423="","要確認",IF($AE1423=0,"不支給","未処理")))))</f>
        <v/>
      </c>
      <c r="AG1423" s="12" t="n"/>
      <c r="AH1423" s="11" t="n"/>
      <c r="AI1423" s="11" t="n"/>
      <c r="AJ1423" s="11" t="n"/>
      <c r="AK1423" s="14">
        <f>IF(AND($AF1423="保留中",$AH1423&lt;&gt;""),TODAY()-$AH1423,"")</f>
        <v/>
      </c>
      <c r="AL1423" s="12" t="n"/>
      <c r="AM1423" s="14">
        <f>IF($B1423="","",IF($AQ1423="","対象年月が未入力／","")&amp;IF($B1423="","",IF($AP1423="","職員マスタに未登録の職員番号／",IF($AA1423="","標準報酬月額が未登録／","")&amp;IF(AND($AQ1423&lt;&gt;"",OR(AND(INDEX(職員マスタ!$G$6:$G$405,$AP1423)&lt;&gt;"",INDEX(職員マスタ!$G$6:$G$405,$AP1423)&gt;EOMONTH($AQ1423,0)),AND(INDEX(職員マスタ!$H$6:$H$405,$AP1423)&lt;&gt;"",INDEX(職員マスタ!$H$6:$H$405,$AP1423)&lt;$AQ1423))),"対象月が時短期間外／","")&amp;IF(AND(INDEX(職員マスタ!$K$6:$K$405,$AP1423)&lt;&gt;"",N($W1423)&gt;0,INDEX(職員マスタ!$K$6:$K$405,$AP1423)&lt;&gt;$W1423),"標準報酬月額が申請書と相違（台帳"&amp;TEXT(INDEX(職員マスタ!$K$6:$K$405,$AP1423),"#,##0")&amp;"円／申請書"&amp;TEXT($W1423,"#,##0")&amp;"円）／","")&amp;IF(AND(INDEX(職員マスタ!$F$6:$F$405,$AP1423)&lt;&gt;"",$AQ1423&lt;&gt;"",INDEX(職員マスタ!$F$6:$F$405,$AP1423)&lt;$AQ1423),"対象月に子が2歳到達済／","")&amp;IF(AND($H1423&lt;&gt;"",INDEX(職員マスタ!$B$6:$B$405,$AP1423)&lt;&gt;"",SUBSTITUTE(SUBSTITUTE($H1423," ","")," ","")&lt;&gt;SUBSTITUTE(SUBSTITUTE(INDEX(職員マスタ!$B$6:$B$405,$AP1423)," ","")," ","")),"氏名がマスタと相違／","")&amp;IF(AND($Q1423&lt;&gt;"",INDEX(職員マスタ!$E$6:$E$405,$AP1423)&lt;&gt;"",$Q1423&lt;&gt;INDEX(職員マスタ!$E$6:$E$405,$AP1423)),"子の生年月日がマスタと相違／","")&amp;IF(AND($L1423&lt;&gt;"",INDEX(職員マスタ!$G$6:$G$405,$AP1423)&lt;&gt;"",$L1423&lt;&gt;INDEX(職員マスタ!$G$6:$G$405,$AP1423)),"時短開始日がマスタと相違／","")&amp;IF(AND($M1423&lt;&gt;"",INDEX(職員マスタ!$H$6:$H$405,$AP1423)&lt;&gt;"",$M1423&lt;&gt;INDEX(職員マスタ!$H$6:$H$405,$AP1423)),"時短終了日がマスタと相違／","")))&amp;IF(AND($B1423&lt;&gt;"",$E1423=""),"報酬額が未入力／","")&amp;IF(N($U1423)&gt;0,"申請書に入力エラーが残っています／","")&amp;IF(AND($B1423&lt;&gt;"",$AQ1423&lt;&gt;""),IF(COUNTIFS($B$6:$B$3005,$B1423,$C$6:$C$3005,$C1423,$D$6:$D$3005,$D1423)&gt;1,"同じ月の請求が重複しています／",""),"")&amp;IF(AND(N($E1423)&gt;0,$AB1423&lt;&gt;"",$AB1423&lt;&gt;"×",$AE1423=0,$AD1423=""),"計算額が下限以下のため不支給／",""))</f>
        <v/>
      </c>
      <c r="AN1423" s="12" t="n"/>
      <c r="AO1423" s="14">
        <f>IF($AF1423="保留中",COUNTIF($AF$6:$AF1423,"保留中"),"")</f>
        <v/>
      </c>
      <c r="AP1423" s="14">
        <f>IF($AQ1423="","",IF(SUMPRODUCT(MAX((職員マスタ!$A$6:$A$405=$B1423)*(((職員マスタ!$G$6:$G$405="")+(職員マスタ!$G$6:$G$405&lt;=EOMONTH($AQ1423,0)))&gt;0)*(((職員マスタ!$H$6:$H$405="")+(職員マスタ!$H$6:$H$405&gt;=$AQ1423))&gt;0)*(ROW(職員マスタ!$A$6:$A$405)-5)))&gt;0,SUMPRODUCT(MAX((職員マスタ!$A$6:$A$405=$B1423)*(((職員マスタ!$G$6:$G$405="")+(職員マスタ!$G$6:$G$405&lt;=EOMONTH($AQ1423,0)))&gt;0)*(((職員マスタ!$H$6:$H$405="")+(職員マスタ!$H$6:$H$405&gt;=$AQ1423))&gt;0)*(ROW(職員マスタ!$A$6:$A$405)-5))),IFERROR(MATCH($B1423,職員マスタ!$A$6:$A$405,0),"")))</f>
        <v/>
      </c>
      <c r="AQ1423" s="16">
        <f>IF(OR($B1423="",$C1423="",$D1423=""),"",DATE($C1423+2018,$D1423,1))</f>
        <v/>
      </c>
    </row>
    <row r="1424">
      <c r="A1424" s="11" t="n"/>
      <c r="B1424" s="12" t="n"/>
      <c r="C1424" s="12" t="n"/>
      <c r="D1424" s="12" t="n"/>
      <c r="E1424" s="13" t="n"/>
      <c r="F1424" s="12" t="n"/>
      <c r="G1424" s="13" t="n"/>
      <c r="H1424" s="12" t="n"/>
      <c r="I1424" s="12" t="n"/>
      <c r="J1424" s="12" t="n"/>
      <c r="K1424" s="12" t="n"/>
      <c r="L1424" s="11" t="n"/>
      <c r="M1424" s="11" t="n"/>
      <c r="N1424" s="11" t="n"/>
      <c r="O1424" s="11" t="n"/>
      <c r="P1424" s="12" t="n"/>
      <c r="Q1424" s="11" t="n"/>
      <c r="R1424" s="12" t="n"/>
      <c r="S1424" s="11" t="n"/>
      <c r="T1424" s="12" t="n"/>
      <c r="U1424" s="12" t="n"/>
      <c r="V1424" s="12" t="n"/>
      <c r="W1424" s="13" t="n"/>
      <c r="X1424" s="14">
        <f>IF($AP1424="",IF($B1424="","",$H1424),IF(INDEX(職員マスタ!$B$6:$B$405,$AP1424)="",$H1424,INDEX(職員マスタ!$B$6:$B$405,$AP1424)))</f>
        <v/>
      </c>
      <c r="Y1424" s="14">
        <f>IF($AP1424="",IF($B1424="","",$R1424),IF(INDEX(職員マスタ!$C$6:$C$405,$AP1424)="",$R1424,INDEX(職員マスタ!$C$6:$C$405,$AP1424)))</f>
        <v/>
      </c>
      <c r="Z1424" s="14">
        <f>IF($AQ1424="","","R"&amp;$C1424&amp;"."&amp;$D1424)</f>
        <v/>
      </c>
      <c r="AA1424" s="15">
        <f>IF(IF($AP1424="",FALSE,INDEX(職員マスタ!$K$6:$K$405,$AP1424)&lt;&gt;""),INDEX(職員マスタ!$K$6:$K$405,$AP1424),IF(N($W1424)&gt;0,$W1424,""))</f>
        <v/>
      </c>
      <c r="AB1424" s="14">
        <f>IF(OR($E1424="",$AA1424=""),"",IF($E1424&gt;=$AA1424,"×",IF($E1424&gt;=$AA1424*設定!$C$5,"△","○")))</f>
        <v/>
      </c>
      <c r="AC1424" s="15">
        <f>IF($AB1424="","",IF($AB1424="×",0,IF($AB1424="○",ROUNDDOWN($E1424*設定!$C$4,0),ROUNDDOWN($E1424*ROUND((9*$AA1424-9*$E1424)/(10*$E1424),4),0))))</f>
        <v/>
      </c>
      <c r="AD1424" s="13" t="n"/>
      <c r="AE1424" s="15">
        <f>IF($B1424="","",IF($AD1424&lt;&gt;"",$AD1424,IF($AC1424="","",IF($AC1424&lt;=設定!$C$3,0,$AC1424))))</f>
        <v/>
      </c>
      <c r="AF1424" s="14">
        <f>IF($B1424="","",IF(AND($AG1424&lt;&gt;"",$AI1424="",$AL1424=""),"保留中",IF($AL1424&lt;&gt;"",IF(N($AE1424)&gt;0,"支給済","不支給"),IF($AE1424="","要確認",IF($AE1424=0,"不支給","未処理")))))</f>
        <v/>
      </c>
      <c r="AG1424" s="12" t="n"/>
      <c r="AH1424" s="11" t="n"/>
      <c r="AI1424" s="11" t="n"/>
      <c r="AJ1424" s="11" t="n"/>
      <c r="AK1424" s="14">
        <f>IF(AND($AF1424="保留中",$AH1424&lt;&gt;""),TODAY()-$AH1424,"")</f>
        <v/>
      </c>
      <c r="AL1424" s="12" t="n"/>
      <c r="AM1424" s="14">
        <f>IF($B1424="","",IF($AQ1424="","対象年月が未入力／","")&amp;IF($B1424="","",IF($AP1424="","職員マスタに未登録の職員番号／",IF($AA1424="","標準報酬月額が未登録／","")&amp;IF(AND($AQ1424&lt;&gt;"",OR(AND(INDEX(職員マスタ!$G$6:$G$405,$AP1424)&lt;&gt;"",INDEX(職員マスタ!$G$6:$G$405,$AP1424)&gt;EOMONTH($AQ1424,0)),AND(INDEX(職員マスタ!$H$6:$H$405,$AP1424)&lt;&gt;"",INDEX(職員マスタ!$H$6:$H$405,$AP1424)&lt;$AQ1424))),"対象月が時短期間外／","")&amp;IF(AND(INDEX(職員マスタ!$K$6:$K$405,$AP1424)&lt;&gt;"",N($W1424)&gt;0,INDEX(職員マスタ!$K$6:$K$405,$AP1424)&lt;&gt;$W1424),"標準報酬月額が申請書と相違（台帳"&amp;TEXT(INDEX(職員マスタ!$K$6:$K$405,$AP1424),"#,##0")&amp;"円／申請書"&amp;TEXT($W1424,"#,##0")&amp;"円）／","")&amp;IF(AND(INDEX(職員マスタ!$F$6:$F$405,$AP1424)&lt;&gt;"",$AQ1424&lt;&gt;"",INDEX(職員マスタ!$F$6:$F$405,$AP1424)&lt;$AQ1424),"対象月に子が2歳到達済／","")&amp;IF(AND($H1424&lt;&gt;"",INDEX(職員マスタ!$B$6:$B$405,$AP1424)&lt;&gt;"",SUBSTITUTE(SUBSTITUTE($H1424," ","")," ","")&lt;&gt;SUBSTITUTE(SUBSTITUTE(INDEX(職員マスタ!$B$6:$B$405,$AP1424)," ","")," ","")),"氏名がマスタと相違／","")&amp;IF(AND($Q1424&lt;&gt;"",INDEX(職員マスタ!$E$6:$E$405,$AP1424)&lt;&gt;"",$Q1424&lt;&gt;INDEX(職員マスタ!$E$6:$E$405,$AP1424)),"子の生年月日がマスタと相違／","")&amp;IF(AND($L1424&lt;&gt;"",INDEX(職員マスタ!$G$6:$G$405,$AP1424)&lt;&gt;"",$L1424&lt;&gt;INDEX(職員マスタ!$G$6:$G$405,$AP1424)),"時短開始日がマスタと相違／","")&amp;IF(AND($M1424&lt;&gt;"",INDEX(職員マスタ!$H$6:$H$405,$AP1424)&lt;&gt;"",$M1424&lt;&gt;INDEX(職員マスタ!$H$6:$H$405,$AP1424)),"時短終了日がマスタと相違／","")))&amp;IF(AND($B1424&lt;&gt;"",$E1424=""),"報酬額が未入力／","")&amp;IF(N($U1424)&gt;0,"申請書に入力エラーが残っています／","")&amp;IF(AND($B1424&lt;&gt;"",$AQ1424&lt;&gt;""),IF(COUNTIFS($B$6:$B$3005,$B1424,$C$6:$C$3005,$C1424,$D$6:$D$3005,$D1424)&gt;1,"同じ月の請求が重複しています／",""),"")&amp;IF(AND(N($E1424)&gt;0,$AB1424&lt;&gt;"",$AB1424&lt;&gt;"×",$AE1424=0,$AD1424=""),"計算額が下限以下のため不支給／",""))</f>
        <v/>
      </c>
      <c r="AN1424" s="12" t="n"/>
      <c r="AO1424" s="14">
        <f>IF($AF1424="保留中",COUNTIF($AF$6:$AF1424,"保留中"),"")</f>
        <v/>
      </c>
      <c r="AP1424" s="14">
        <f>IF($AQ1424="","",IF(SUMPRODUCT(MAX((職員マスタ!$A$6:$A$405=$B1424)*(((職員マスタ!$G$6:$G$405="")+(職員マスタ!$G$6:$G$405&lt;=EOMONTH($AQ1424,0)))&gt;0)*(((職員マスタ!$H$6:$H$405="")+(職員マスタ!$H$6:$H$405&gt;=$AQ1424))&gt;0)*(ROW(職員マスタ!$A$6:$A$405)-5)))&gt;0,SUMPRODUCT(MAX((職員マスタ!$A$6:$A$405=$B1424)*(((職員マスタ!$G$6:$G$405="")+(職員マスタ!$G$6:$G$405&lt;=EOMONTH($AQ1424,0)))&gt;0)*(((職員マスタ!$H$6:$H$405="")+(職員マスタ!$H$6:$H$405&gt;=$AQ1424))&gt;0)*(ROW(職員マスタ!$A$6:$A$405)-5))),IFERROR(MATCH($B1424,職員マスタ!$A$6:$A$405,0),"")))</f>
        <v/>
      </c>
      <c r="AQ1424" s="16">
        <f>IF(OR($B1424="",$C1424="",$D1424=""),"",DATE($C1424+2018,$D1424,1))</f>
        <v/>
      </c>
    </row>
    <row r="1425">
      <c r="A1425" s="11" t="n"/>
      <c r="B1425" s="12" t="n"/>
      <c r="C1425" s="12" t="n"/>
      <c r="D1425" s="12" t="n"/>
      <c r="E1425" s="13" t="n"/>
      <c r="F1425" s="12" t="n"/>
      <c r="G1425" s="13" t="n"/>
      <c r="H1425" s="12" t="n"/>
      <c r="I1425" s="12" t="n"/>
      <c r="J1425" s="12" t="n"/>
      <c r="K1425" s="12" t="n"/>
      <c r="L1425" s="11" t="n"/>
      <c r="M1425" s="11" t="n"/>
      <c r="N1425" s="11" t="n"/>
      <c r="O1425" s="11" t="n"/>
      <c r="P1425" s="12" t="n"/>
      <c r="Q1425" s="11" t="n"/>
      <c r="R1425" s="12" t="n"/>
      <c r="S1425" s="11" t="n"/>
      <c r="T1425" s="12" t="n"/>
      <c r="U1425" s="12" t="n"/>
      <c r="V1425" s="12" t="n"/>
      <c r="W1425" s="13" t="n"/>
      <c r="X1425" s="14">
        <f>IF($AP1425="",IF($B1425="","",$H1425),IF(INDEX(職員マスタ!$B$6:$B$405,$AP1425)="",$H1425,INDEX(職員マスタ!$B$6:$B$405,$AP1425)))</f>
        <v/>
      </c>
      <c r="Y1425" s="14">
        <f>IF($AP1425="",IF($B1425="","",$R1425),IF(INDEX(職員マスタ!$C$6:$C$405,$AP1425)="",$R1425,INDEX(職員マスタ!$C$6:$C$405,$AP1425)))</f>
        <v/>
      </c>
      <c r="Z1425" s="14">
        <f>IF($AQ1425="","","R"&amp;$C1425&amp;"."&amp;$D1425)</f>
        <v/>
      </c>
      <c r="AA1425" s="15">
        <f>IF(IF($AP1425="",FALSE,INDEX(職員マスタ!$K$6:$K$405,$AP1425)&lt;&gt;""),INDEX(職員マスタ!$K$6:$K$405,$AP1425),IF(N($W1425)&gt;0,$W1425,""))</f>
        <v/>
      </c>
      <c r="AB1425" s="14">
        <f>IF(OR($E1425="",$AA1425=""),"",IF($E1425&gt;=$AA1425,"×",IF($E1425&gt;=$AA1425*設定!$C$5,"△","○")))</f>
        <v/>
      </c>
      <c r="AC1425" s="15">
        <f>IF($AB1425="","",IF($AB1425="×",0,IF($AB1425="○",ROUNDDOWN($E1425*設定!$C$4,0),ROUNDDOWN($E1425*ROUND((9*$AA1425-9*$E1425)/(10*$E1425),4),0))))</f>
        <v/>
      </c>
      <c r="AD1425" s="13" t="n"/>
      <c r="AE1425" s="15">
        <f>IF($B1425="","",IF($AD1425&lt;&gt;"",$AD1425,IF($AC1425="","",IF($AC1425&lt;=設定!$C$3,0,$AC1425))))</f>
        <v/>
      </c>
      <c r="AF1425" s="14">
        <f>IF($B1425="","",IF(AND($AG1425&lt;&gt;"",$AI1425="",$AL1425=""),"保留中",IF($AL1425&lt;&gt;"",IF(N($AE1425)&gt;0,"支給済","不支給"),IF($AE1425="","要確認",IF($AE1425=0,"不支給","未処理")))))</f>
        <v/>
      </c>
      <c r="AG1425" s="12" t="n"/>
      <c r="AH1425" s="11" t="n"/>
      <c r="AI1425" s="11" t="n"/>
      <c r="AJ1425" s="11" t="n"/>
      <c r="AK1425" s="14">
        <f>IF(AND($AF1425="保留中",$AH1425&lt;&gt;""),TODAY()-$AH1425,"")</f>
        <v/>
      </c>
      <c r="AL1425" s="12" t="n"/>
      <c r="AM1425" s="14">
        <f>IF($B1425="","",IF($AQ1425="","対象年月が未入力／","")&amp;IF($B1425="","",IF($AP1425="","職員マスタに未登録の職員番号／",IF($AA1425="","標準報酬月額が未登録／","")&amp;IF(AND($AQ1425&lt;&gt;"",OR(AND(INDEX(職員マスタ!$G$6:$G$405,$AP1425)&lt;&gt;"",INDEX(職員マスタ!$G$6:$G$405,$AP1425)&gt;EOMONTH($AQ1425,0)),AND(INDEX(職員マスタ!$H$6:$H$405,$AP1425)&lt;&gt;"",INDEX(職員マスタ!$H$6:$H$405,$AP1425)&lt;$AQ1425))),"対象月が時短期間外／","")&amp;IF(AND(INDEX(職員マスタ!$K$6:$K$405,$AP1425)&lt;&gt;"",N($W1425)&gt;0,INDEX(職員マスタ!$K$6:$K$405,$AP1425)&lt;&gt;$W1425),"標準報酬月額が申請書と相違（台帳"&amp;TEXT(INDEX(職員マスタ!$K$6:$K$405,$AP1425),"#,##0")&amp;"円／申請書"&amp;TEXT($W1425,"#,##0")&amp;"円）／","")&amp;IF(AND(INDEX(職員マスタ!$F$6:$F$405,$AP1425)&lt;&gt;"",$AQ1425&lt;&gt;"",INDEX(職員マスタ!$F$6:$F$405,$AP1425)&lt;$AQ1425),"対象月に子が2歳到達済／","")&amp;IF(AND($H1425&lt;&gt;"",INDEX(職員マスタ!$B$6:$B$405,$AP1425)&lt;&gt;"",SUBSTITUTE(SUBSTITUTE($H1425," ","")," ","")&lt;&gt;SUBSTITUTE(SUBSTITUTE(INDEX(職員マスタ!$B$6:$B$405,$AP1425)," ","")," ","")),"氏名がマスタと相違／","")&amp;IF(AND($Q1425&lt;&gt;"",INDEX(職員マスタ!$E$6:$E$405,$AP1425)&lt;&gt;"",$Q1425&lt;&gt;INDEX(職員マスタ!$E$6:$E$405,$AP1425)),"子の生年月日がマスタと相違／","")&amp;IF(AND($L1425&lt;&gt;"",INDEX(職員マスタ!$G$6:$G$405,$AP1425)&lt;&gt;"",$L1425&lt;&gt;INDEX(職員マスタ!$G$6:$G$405,$AP1425)),"時短開始日がマスタと相違／","")&amp;IF(AND($M1425&lt;&gt;"",INDEX(職員マスタ!$H$6:$H$405,$AP1425)&lt;&gt;"",$M1425&lt;&gt;INDEX(職員マスタ!$H$6:$H$405,$AP1425)),"時短終了日がマスタと相違／","")))&amp;IF(AND($B1425&lt;&gt;"",$E1425=""),"報酬額が未入力／","")&amp;IF(N($U1425)&gt;0,"申請書に入力エラーが残っています／","")&amp;IF(AND($B1425&lt;&gt;"",$AQ1425&lt;&gt;""),IF(COUNTIFS($B$6:$B$3005,$B1425,$C$6:$C$3005,$C1425,$D$6:$D$3005,$D1425)&gt;1,"同じ月の請求が重複しています／",""),"")&amp;IF(AND(N($E1425)&gt;0,$AB1425&lt;&gt;"",$AB1425&lt;&gt;"×",$AE1425=0,$AD1425=""),"計算額が下限以下のため不支給／",""))</f>
        <v/>
      </c>
      <c r="AN1425" s="12" t="n"/>
      <c r="AO1425" s="14">
        <f>IF($AF1425="保留中",COUNTIF($AF$6:$AF1425,"保留中"),"")</f>
        <v/>
      </c>
      <c r="AP1425" s="14">
        <f>IF($AQ1425="","",IF(SUMPRODUCT(MAX((職員マスタ!$A$6:$A$405=$B1425)*(((職員マスタ!$G$6:$G$405="")+(職員マスタ!$G$6:$G$405&lt;=EOMONTH($AQ1425,0)))&gt;0)*(((職員マスタ!$H$6:$H$405="")+(職員マスタ!$H$6:$H$405&gt;=$AQ1425))&gt;0)*(ROW(職員マスタ!$A$6:$A$405)-5)))&gt;0,SUMPRODUCT(MAX((職員マスタ!$A$6:$A$405=$B1425)*(((職員マスタ!$G$6:$G$405="")+(職員マスタ!$G$6:$G$405&lt;=EOMONTH($AQ1425,0)))&gt;0)*(((職員マスタ!$H$6:$H$405="")+(職員マスタ!$H$6:$H$405&gt;=$AQ1425))&gt;0)*(ROW(職員マスタ!$A$6:$A$405)-5))),IFERROR(MATCH($B1425,職員マスタ!$A$6:$A$405,0),"")))</f>
        <v/>
      </c>
      <c r="AQ1425" s="16">
        <f>IF(OR($B1425="",$C1425="",$D1425=""),"",DATE($C1425+2018,$D1425,1))</f>
        <v/>
      </c>
    </row>
    <row r="1426">
      <c r="A1426" s="11" t="n"/>
      <c r="B1426" s="12" t="n"/>
      <c r="C1426" s="12" t="n"/>
      <c r="D1426" s="12" t="n"/>
      <c r="E1426" s="13" t="n"/>
      <c r="F1426" s="12" t="n"/>
      <c r="G1426" s="13" t="n"/>
      <c r="H1426" s="12" t="n"/>
      <c r="I1426" s="12" t="n"/>
      <c r="J1426" s="12" t="n"/>
      <c r="K1426" s="12" t="n"/>
      <c r="L1426" s="11" t="n"/>
      <c r="M1426" s="11" t="n"/>
      <c r="N1426" s="11" t="n"/>
      <c r="O1426" s="11" t="n"/>
      <c r="P1426" s="12" t="n"/>
      <c r="Q1426" s="11" t="n"/>
      <c r="R1426" s="12" t="n"/>
      <c r="S1426" s="11" t="n"/>
      <c r="T1426" s="12" t="n"/>
      <c r="U1426" s="12" t="n"/>
      <c r="V1426" s="12" t="n"/>
      <c r="W1426" s="13" t="n"/>
      <c r="X1426" s="14">
        <f>IF($AP1426="",IF($B1426="","",$H1426),IF(INDEX(職員マスタ!$B$6:$B$405,$AP1426)="",$H1426,INDEX(職員マスタ!$B$6:$B$405,$AP1426)))</f>
        <v/>
      </c>
      <c r="Y1426" s="14">
        <f>IF($AP1426="",IF($B1426="","",$R1426),IF(INDEX(職員マスタ!$C$6:$C$405,$AP1426)="",$R1426,INDEX(職員マスタ!$C$6:$C$405,$AP1426)))</f>
        <v/>
      </c>
      <c r="Z1426" s="14">
        <f>IF($AQ1426="","","R"&amp;$C1426&amp;"."&amp;$D1426)</f>
        <v/>
      </c>
      <c r="AA1426" s="15">
        <f>IF(IF($AP1426="",FALSE,INDEX(職員マスタ!$K$6:$K$405,$AP1426)&lt;&gt;""),INDEX(職員マスタ!$K$6:$K$405,$AP1426),IF(N($W1426)&gt;0,$W1426,""))</f>
        <v/>
      </c>
      <c r="AB1426" s="14">
        <f>IF(OR($E1426="",$AA1426=""),"",IF($E1426&gt;=$AA1426,"×",IF($E1426&gt;=$AA1426*設定!$C$5,"△","○")))</f>
        <v/>
      </c>
      <c r="AC1426" s="15">
        <f>IF($AB1426="","",IF($AB1426="×",0,IF($AB1426="○",ROUNDDOWN($E1426*設定!$C$4,0),ROUNDDOWN($E1426*ROUND((9*$AA1426-9*$E1426)/(10*$E1426),4),0))))</f>
        <v/>
      </c>
      <c r="AD1426" s="13" t="n"/>
      <c r="AE1426" s="15">
        <f>IF($B1426="","",IF($AD1426&lt;&gt;"",$AD1426,IF($AC1426="","",IF($AC1426&lt;=設定!$C$3,0,$AC1426))))</f>
        <v/>
      </c>
      <c r="AF1426" s="14">
        <f>IF($B1426="","",IF(AND($AG1426&lt;&gt;"",$AI1426="",$AL1426=""),"保留中",IF($AL1426&lt;&gt;"",IF(N($AE1426)&gt;0,"支給済","不支給"),IF($AE1426="","要確認",IF($AE1426=0,"不支給","未処理")))))</f>
        <v/>
      </c>
      <c r="AG1426" s="12" t="n"/>
      <c r="AH1426" s="11" t="n"/>
      <c r="AI1426" s="11" t="n"/>
      <c r="AJ1426" s="11" t="n"/>
      <c r="AK1426" s="14">
        <f>IF(AND($AF1426="保留中",$AH1426&lt;&gt;""),TODAY()-$AH1426,"")</f>
        <v/>
      </c>
      <c r="AL1426" s="12" t="n"/>
      <c r="AM1426" s="14">
        <f>IF($B1426="","",IF($AQ1426="","対象年月が未入力／","")&amp;IF($B1426="","",IF($AP1426="","職員マスタに未登録の職員番号／",IF($AA1426="","標準報酬月額が未登録／","")&amp;IF(AND($AQ1426&lt;&gt;"",OR(AND(INDEX(職員マスタ!$G$6:$G$405,$AP1426)&lt;&gt;"",INDEX(職員マスタ!$G$6:$G$405,$AP1426)&gt;EOMONTH($AQ1426,0)),AND(INDEX(職員マスタ!$H$6:$H$405,$AP1426)&lt;&gt;"",INDEX(職員マスタ!$H$6:$H$405,$AP1426)&lt;$AQ1426))),"対象月が時短期間外／","")&amp;IF(AND(INDEX(職員マスタ!$K$6:$K$405,$AP1426)&lt;&gt;"",N($W1426)&gt;0,INDEX(職員マスタ!$K$6:$K$405,$AP1426)&lt;&gt;$W1426),"標準報酬月額が申請書と相違（台帳"&amp;TEXT(INDEX(職員マスタ!$K$6:$K$405,$AP1426),"#,##0")&amp;"円／申請書"&amp;TEXT($W1426,"#,##0")&amp;"円）／","")&amp;IF(AND(INDEX(職員マスタ!$F$6:$F$405,$AP1426)&lt;&gt;"",$AQ1426&lt;&gt;"",INDEX(職員マスタ!$F$6:$F$405,$AP1426)&lt;$AQ1426),"対象月に子が2歳到達済／","")&amp;IF(AND($H1426&lt;&gt;"",INDEX(職員マスタ!$B$6:$B$405,$AP1426)&lt;&gt;"",SUBSTITUTE(SUBSTITUTE($H1426," ","")," ","")&lt;&gt;SUBSTITUTE(SUBSTITUTE(INDEX(職員マスタ!$B$6:$B$405,$AP1426)," ","")," ","")),"氏名がマスタと相違／","")&amp;IF(AND($Q1426&lt;&gt;"",INDEX(職員マスタ!$E$6:$E$405,$AP1426)&lt;&gt;"",$Q1426&lt;&gt;INDEX(職員マスタ!$E$6:$E$405,$AP1426)),"子の生年月日がマスタと相違／","")&amp;IF(AND($L1426&lt;&gt;"",INDEX(職員マスタ!$G$6:$G$405,$AP1426)&lt;&gt;"",$L1426&lt;&gt;INDEX(職員マスタ!$G$6:$G$405,$AP1426)),"時短開始日がマスタと相違／","")&amp;IF(AND($M1426&lt;&gt;"",INDEX(職員マスタ!$H$6:$H$405,$AP1426)&lt;&gt;"",$M1426&lt;&gt;INDEX(職員マスタ!$H$6:$H$405,$AP1426)),"時短終了日がマスタと相違／","")))&amp;IF(AND($B1426&lt;&gt;"",$E1426=""),"報酬額が未入力／","")&amp;IF(N($U1426)&gt;0,"申請書に入力エラーが残っています／","")&amp;IF(AND($B1426&lt;&gt;"",$AQ1426&lt;&gt;""),IF(COUNTIFS($B$6:$B$3005,$B1426,$C$6:$C$3005,$C1426,$D$6:$D$3005,$D1426)&gt;1,"同じ月の請求が重複しています／",""),"")&amp;IF(AND(N($E1426)&gt;0,$AB1426&lt;&gt;"",$AB1426&lt;&gt;"×",$AE1426=0,$AD1426=""),"計算額が下限以下のため不支給／",""))</f>
        <v/>
      </c>
      <c r="AN1426" s="12" t="n"/>
      <c r="AO1426" s="14">
        <f>IF($AF1426="保留中",COUNTIF($AF$6:$AF1426,"保留中"),"")</f>
        <v/>
      </c>
      <c r="AP1426" s="14">
        <f>IF($AQ1426="","",IF(SUMPRODUCT(MAX((職員マスタ!$A$6:$A$405=$B1426)*(((職員マスタ!$G$6:$G$405="")+(職員マスタ!$G$6:$G$405&lt;=EOMONTH($AQ1426,0)))&gt;0)*(((職員マスタ!$H$6:$H$405="")+(職員マスタ!$H$6:$H$405&gt;=$AQ1426))&gt;0)*(ROW(職員マスタ!$A$6:$A$405)-5)))&gt;0,SUMPRODUCT(MAX((職員マスタ!$A$6:$A$405=$B1426)*(((職員マスタ!$G$6:$G$405="")+(職員マスタ!$G$6:$G$405&lt;=EOMONTH($AQ1426,0)))&gt;0)*(((職員マスタ!$H$6:$H$405="")+(職員マスタ!$H$6:$H$405&gt;=$AQ1426))&gt;0)*(ROW(職員マスタ!$A$6:$A$405)-5))),IFERROR(MATCH($B1426,職員マスタ!$A$6:$A$405,0),"")))</f>
        <v/>
      </c>
      <c r="AQ1426" s="16">
        <f>IF(OR($B1426="",$C1426="",$D1426=""),"",DATE($C1426+2018,$D1426,1))</f>
        <v/>
      </c>
    </row>
    <row r="1427">
      <c r="A1427" s="11" t="n"/>
      <c r="B1427" s="12" t="n"/>
      <c r="C1427" s="12" t="n"/>
      <c r="D1427" s="12" t="n"/>
      <c r="E1427" s="13" t="n"/>
      <c r="F1427" s="12" t="n"/>
      <c r="G1427" s="13" t="n"/>
      <c r="H1427" s="12" t="n"/>
      <c r="I1427" s="12" t="n"/>
      <c r="J1427" s="12" t="n"/>
      <c r="K1427" s="12" t="n"/>
      <c r="L1427" s="11" t="n"/>
      <c r="M1427" s="11" t="n"/>
      <c r="N1427" s="11" t="n"/>
      <c r="O1427" s="11" t="n"/>
      <c r="P1427" s="12" t="n"/>
      <c r="Q1427" s="11" t="n"/>
      <c r="R1427" s="12" t="n"/>
      <c r="S1427" s="11" t="n"/>
      <c r="T1427" s="12" t="n"/>
      <c r="U1427" s="12" t="n"/>
      <c r="V1427" s="12" t="n"/>
      <c r="W1427" s="13" t="n"/>
      <c r="X1427" s="14">
        <f>IF($AP1427="",IF($B1427="","",$H1427),IF(INDEX(職員マスタ!$B$6:$B$405,$AP1427)="",$H1427,INDEX(職員マスタ!$B$6:$B$405,$AP1427)))</f>
        <v/>
      </c>
      <c r="Y1427" s="14">
        <f>IF($AP1427="",IF($B1427="","",$R1427),IF(INDEX(職員マスタ!$C$6:$C$405,$AP1427)="",$R1427,INDEX(職員マスタ!$C$6:$C$405,$AP1427)))</f>
        <v/>
      </c>
      <c r="Z1427" s="14">
        <f>IF($AQ1427="","","R"&amp;$C1427&amp;"."&amp;$D1427)</f>
        <v/>
      </c>
      <c r="AA1427" s="15">
        <f>IF(IF($AP1427="",FALSE,INDEX(職員マスタ!$K$6:$K$405,$AP1427)&lt;&gt;""),INDEX(職員マスタ!$K$6:$K$405,$AP1427),IF(N($W1427)&gt;0,$W1427,""))</f>
        <v/>
      </c>
      <c r="AB1427" s="14">
        <f>IF(OR($E1427="",$AA1427=""),"",IF($E1427&gt;=$AA1427,"×",IF($E1427&gt;=$AA1427*設定!$C$5,"△","○")))</f>
        <v/>
      </c>
      <c r="AC1427" s="15">
        <f>IF($AB1427="","",IF($AB1427="×",0,IF($AB1427="○",ROUNDDOWN($E1427*設定!$C$4,0),ROUNDDOWN($E1427*ROUND((9*$AA1427-9*$E1427)/(10*$E1427),4),0))))</f>
        <v/>
      </c>
      <c r="AD1427" s="13" t="n"/>
      <c r="AE1427" s="15">
        <f>IF($B1427="","",IF($AD1427&lt;&gt;"",$AD1427,IF($AC1427="","",IF($AC1427&lt;=設定!$C$3,0,$AC1427))))</f>
        <v/>
      </c>
      <c r="AF1427" s="14">
        <f>IF($B1427="","",IF(AND($AG1427&lt;&gt;"",$AI1427="",$AL1427=""),"保留中",IF($AL1427&lt;&gt;"",IF(N($AE1427)&gt;0,"支給済","不支給"),IF($AE1427="","要確認",IF($AE1427=0,"不支給","未処理")))))</f>
        <v/>
      </c>
      <c r="AG1427" s="12" t="n"/>
      <c r="AH1427" s="11" t="n"/>
      <c r="AI1427" s="11" t="n"/>
      <c r="AJ1427" s="11" t="n"/>
      <c r="AK1427" s="14">
        <f>IF(AND($AF1427="保留中",$AH1427&lt;&gt;""),TODAY()-$AH1427,"")</f>
        <v/>
      </c>
      <c r="AL1427" s="12" t="n"/>
      <c r="AM1427" s="14">
        <f>IF($B1427="","",IF($AQ1427="","対象年月が未入力／","")&amp;IF($B1427="","",IF($AP1427="","職員マスタに未登録の職員番号／",IF($AA1427="","標準報酬月額が未登録／","")&amp;IF(AND($AQ1427&lt;&gt;"",OR(AND(INDEX(職員マスタ!$G$6:$G$405,$AP1427)&lt;&gt;"",INDEX(職員マスタ!$G$6:$G$405,$AP1427)&gt;EOMONTH($AQ1427,0)),AND(INDEX(職員マスタ!$H$6:$H$405,$AP1427)&lt;&gt;"",INDEX(職員マスタ!$H$6:$H$405,$AP1427)&lt;$AQ1427))),"対象月が時短期間外／","")&amp;IF(AND(INDEX(職員マスタ!$K$6:$K$405,$AP1427)&lt;&gt;"",N($W1427)&gt;0,INDEX(職員マスタ!$K$6:$K$405,$AP1427)&lt;&gt;$W1427),"標準報酬月額が申請書と相違（台帳"&amp;TEXT(INDEX(職員マスタ!$K$6:$K$405,$AP1427),"#,##0")&amp;"円／申請書"&amp;TEXT($W1427,"#,##0")&amp;"円）／","")&amp;IF(AND(INDEX(職員マスタ!$F$6:$F$405,$AP1427)&lt;&gt;"",$AQ1427&lt;&gt;"",INDEX(職員マスタ!$F$6:$F$405,$AP1427)&lt;$AQ1427),"対象月に子が2歳到達済／","")&amp;IF(AND($H1427&lt;&gt;"",INDEX(職員マスタ!$B$6:$B$405,$AP1427)&lt;&gt;"",SUBSTITUTE(SUBSTITUTE($H1427," ","")," ","")&lt;&gt;SUBSTITUTE(SUBSTITUTE(INDEX(職員マスタ!$B$6:$B$405,$AP1427)," ","")," ","")),"氏名がマスタと相違／","")&amp;IF(AND($Q1427&lt;&gt;"",INDEX(職員マスタ!$E$6:$E$405,$AP1427)&lt;&gt;"",$Q1427&lt;&gt;INDEX(職員マスタ!$E$6:$E$405,$AP1427)),"子の生年月日がマスタと相違／","")&amp;IF(AND($L1427&lt;&gt;"",INDEX(職員マスタ!$G$6:$G$405,$AP1427)&lt;&gt;"",$L1427&lt;&gt;INDEX(職員マスタ!$G$6:$G$405,$AP1427)),"時短開始日がマスタと相違／","")&amp;IF(AND($M1427&lt;&gt;"",INDEX(職員マスタ!$H$6:$H$405,$AP1427)&lt;&gt;"",$M1427&lt;&gt;INDEX(職員マスタ!$H$6:$H$405,$AP1427)),"時短終了日がマスタと相違／","")))&amp;IF(AND($B1427&lt;&gt;"",$E1427=""),"報酬額が未入力／","")&amp;IF(N($U1427)&gt;0,"申請書に入力エラーが残っています／","")&amp;IF(AND($B1427&lt;&gt;"",$AQ1427&lt;&gt;""),IF(COUNTIFS($B$6:$B$3005,$B1427,$C$6:$C$3005,$C1427,$D$6:$D$3005,$D1427)&gt;1,"同じ月の請求が重複しています／",""),"")&amp;IF(AND(N($E1427)&gt;0,$AB1427&lt;&gt;"",$AB1427&lt;&gt;"×",$AE1427=0,$AD1427=""),"計算額が下限以下のため不支給／",""))</f>
        <v/>
      </c>
      <c r="AN1427" s="12" t="n"/>
      <c r="AO1427" s="14">
        <f>IF($AF1427="保留中",COUNTIF($AF$6:$AF1427,"保留中"),"")</f>
        <v/>
      </c>
      <c r="AP1427" s="14">
        <f>IF($AQ1427="","",IF(SUMPRODUCT(MAX((職員マスタ!$A$6:$A$405=$B1427)*(((職員マスタ!$G$6:$G$405="")+(職員マスタ!$G$6:$G$405&lt;=EOMONTH($AQ1427,0)))&gt;0)*(((職員マスタ!$H$6:$H$405="")+(職員マスタ!$H$6:$H$405&gt;=$AQ1427))&gt;0)*(ROW(職員マスタ!$A$6:$A$405)-5)))&gt;0,SUMPRODUCT(MAX((職員マスタ!$A$6:$A$405=$B1427)*(((職員マスタ!$G$6:$G$405="")+(職員マスタ!$G$6:$G$405&lt;=EOMONTH($AQ1427,0)))&gt;0)*(((職員マスタ!$H$6:$H$405="")+(職員マスタ!$H$6:$H$405&gt;=$AQ1427))&gt;0)*(ROW(職員マスタ!$A$6:$A$405)-5))),IFERROR(MATCH($B1427,職員マスタ!$A$6:$A$405,0),"")))</f>
        <v/>
      </c>
      <c r="AQ1427" s="16">
        <f>IF(OR($B1427="",$C1427="",$D1427=""),"",DATE($C1427+2018,$D1427,1))</f>
        <v/>
      </c>
    </row>
    <row r="1428">
      <c r="A1428" s="11" t="n"/>
      <c r="B1428" s="12" t="n"/>
      <c r="C1428" s="12" t="n"/>
      <c r="D1428" s="12" t="n"/>
      <c r="E1428" s="13" t="n"/>
      <c r="F1428" s="12" t="n"/>
      <c r="G1428" s="13" t="n"/>
      <c r="H1428" s="12" t="n"/>
      <c r="I1428" s="12" t="n"/>
      <c r="J1428" s="12" t="n"/>
      <c r="K1428" s="12" t="n"/>
      <c r="L1428" s="11" t="n"/>
      <c r="M1428" s="11" t="n"/>
      <c r="N1428" s="11" t="n"/>
      <c r="O1428" s="11" t="n"/>
      <c r="P1428" s="12" t="n"/>
      <c r="Q1428" s="11" t="n"/>
      <c r="R1428" s="12" t="n"/>
      <c r="S1428" s="11" t="n"/>
      <c r="T1428" s="12" t="n"/>
      <c r="U1428" s="12" t="n"/>
      <c r="V1428" s="12" t="n"/>
      <c r="W1428" s="13" t="n"/>
      <c r="X1428" s="14">
        <f>IF($AP1428="",IF($B1428="","",$H1428),IF(INDEX(職員マスタ!$B$6:$B$405,$AP1428)="",$H1428,INDEX(職員マスタ!$B$6:$B$405,$AP1428)))</f>
        <v/>
      </c>
      <c r="Y1428" s="14">
        <f>IF($AP1428="",IF($B1428="","",$R1428),IF(INDEX(職員マスタ!$C$6:$C$405,$AP1428)="",$R1428,INDEX(職員マスタ!$C$6:$C$405,$AP1428)))</f>
        <v/>
      </c>
      <c r="Z1428" s="14">
        <f>IF($AQ1428="","","R"&amp;$C1428&amp;"."&amp;$D1428)</f>
        <v/>
      </c>
      <c r="AA1428" s="15">
        <f>IF(IF($AP1428="",FALSE,INDEX(職員マスタ!$K$6:$K$405,$AP1428)&lt;&gt;""),INDEX(職員マスタ!$K$6:$K$405,$AP1428),IF(N($W1428)&gt;0,$W1428,""))</f>
        <v/>
      </c>
      <c r="AB1428" s="14">
        <f>IF(OR($E1428="",$AA1428=""),"",IF($E1428&gt;=$AA1428,"×",IF($E1428&gt;=$AA1428*設定!$C$5,"△","○")))</f>
        <v/>
      </c>
      <c r="AC1428" s="15">
        <f>IF($AB1428="","",IF($AB1428="×",0,IF($AB1428="○",ROUNDDOWN($E1428*設定!$C$4,0),ROUNDDOWN($E1428*ROUND((9*$AA1428-9*$E1428)/(10*$E1428),4),0))))</f>
        <v/>
      </c>
      <c r="AD1428" s="13" t="n"/>
      <c r="AE1428" s="15">
        <f>IF($B1428="","",IF($AD1428&lt;&gt;"",$AD1428,IF($AC1428="","",IF($AC1428&lt;=設定!$C$3,0,$AC1428))))</f>
        <v/>
      </c>
      <c r="AF1428" s="14">
        <f>IF($B1428="","",IF(AND($AG1428&lt;&gt;"",$AI1428="",$AL1428=""),"保留中",IF($AL1428&lt;&gt;"",IF(N($AE1428)&gt;0,"支給済","不支給"),IF($AE1428="","要確認",IF($AE1428=0,"不支給","未処理")))))</f>
        <v/>
      </c>
      <c r="AG1428" s="12" t="n"/>
      <c r="AH1428" s="11" t="n"/>
      <c r="AI1428" s="11" t="n"/>
      <c r="AJ1428" s="11" t="n"/>
      <c r="AK1428" s="14">
        <f>IF(AND($AF1428="保留中",$AH1428&lt;&gt;""),TODAY()-$AH1428,"")</f>
        <v/>
      </c>
      <c r="AL1428" s="12" t="n"/>
      <c r="AM1428" s="14">
        <f>IF($B1428="","",IF($AQ1428="","対象年月が未入力／","")&amp;IF($B1428="","",IF($AP1428="","職員マスタに未登録の職員番号／",IF($AA1428="","標準報酬月額が未登録／","")&amp;IF(AND($AQ1428&lt;&gt;"",OR(AND(INDEX(職員マスタ!$G$6:$G$405,$AP1428)&lt;&gt;"",INDEX(職員マスタ!$G$6:$G$405,$AP1428)&gt;EOMONTH($AQ1428,0)),AND(INDEX(職員マスタ!$H$6:$H$405,$AP1428)&lt;&gt;"",INDEX(職員マスタ!$H$6:$H$405,$AP1428)&lt;$AQ1428))),"対象月が時短期間外／","")&amp;IF(AND(INDEX(職員マスタ!$K$6:$K$405,$AP1428)&lt;&gt;"",N($W1428)&gt;0,INDEX(職員マスタ!$K$6:$K$405,$AP1428)&lt;&gt;$W1428),"標準報酬月額が申請書と相違（台帳"&amp;TEXT(INDEX(職員マスタ!$K$6:$K$405,$AP1428),"#,##0")&amp;"円／申請書"&amp;TEXT($W1428,"#,##0")&amp;"円）／","")&amp;IF(AND(INDEX(職員マスタ!$F$6:$F$405,$AP1428)&lt;&gt;"",$AQ1428&lt;&gt;"",INDEX(職員マスタ!$F$6:$F$405,$AP1428)&lt;$AQ1428),"対象月に子が2歳到達済／","")&amp;IF(AND($H1428&lt;&gt;"",INDEX(職員マスタ!$B$6:$B$405,$AP1428)&lt;&gt;"",SUBSTITUTE(SUBSTITUTE($H1428," ","")," ","")&lt;&gt;SUBSTITUTE(SUBSTITUTE(INDEX(職員マスタ!$B$6:$B$405,$AP1428)," ","")," ","")),"氏名がマスタと相違／","")&amp;IF(AND($Q1428&lt;&gt;"",INDEX(職員マスタ!$E$6:$E$405,$AP1428)&lt;&gt;"",$Q1428&lt;&gt;INDEX(職員マスタ!$E$6:$E$405,$AP1428)),"子の生年月日がマスタと相違／","")&amp;IF(AND($L1428&lt;&gt;"",INDEX(職員マスタ!$G$6:$G$405,$AP1428)&lt;&gt;"",$L1428&lt;&gt;INDEX(職員マスタ!$G$6:$G$405,$AP1428)),"時短開始日がマスタと相違／","")&amp;IF(AND($M1428&lt;&gt;"",INDEX(職員マスタ!$H$6:$H$405,$AP1428)&lt;&gt;"",$M1428&lt;&gt;INDEX(職員マスタ!$H$6:$H$405,$AP1428)),"時短終了日がマスタと相違／","")))&amp;IF(AND($B1428&lt;&gt;"",$E1428=""),"報酬額が未入力／","")&amp;IF(N($U1428)&gt;0,"申請書に入力エラーが残っています／","")&amp;IF(AND($B1428&lt;&gt;"",$AQ1428&lt;&gt;""),IF(COUNTIFS($B$6:$B$3005,$B1428,$C$6:$C$3005,$C1428,$D$6:$D$3005,$D1428)&gt;1,"同じ月の請求が重複しています／",""),"")&amp;IF(AND(N($E1428)&gt;0,$AB1428&lt;&gt;"",$AB1428&lt;&gt;"×",$AE1428=0,$AD1428=""),"計算額が下限以下のため不支給／",""))</f>
        <v/>
      </c>
      <c r="AN1428" s="12" t="n"/>
      <c r="AO1428" s="14">
        <f>IF($AF1428="保留中",COUNTIF($AF$6:$AF1428,"保留中"),"")</f>
        <v/>
      </c>
      <c r="AP1428" s="14">
        <f>IF($AQ1428="","",IF(SUMPRODUCT(MAX((職員マスタ!$A$6:$A$405=$B1428)*(((職員マスタ!$G$6:$G$405="")+(職員マスタ!$G$6:$G$405&lt;=EOMONTH($AQ1428,0)))&gt;0)*(((職員マスタ!$H$6:$H$405="")+(職員マスタ!$H$6:$H$405&gt;=$AQ1428))&gt;0)*(ROW(職員マスタ!$A$6:$A$405)-5)))&gt;0,SUMPRODUCT(MAX((職員マスタ!$A$6:$A$405=$B1428)*(((職員マスタ!$G$6:$G$405="")+(職員マスタ!$G$6:$G$405&lt;=EOMONTH($AQ1428,0)))&gt;0)*(((職員マスタ!$H$6:$H$405="")+(職員マスタ!$H$6:$H$405&gt;=$AQ1428))&gt;0)*(ROW(職員マスタ!$A$6:$A$405)-5))),IFERROR(MATCH($B1428,職員マスタ!$A$6:$A$405,0),"")))</f>
        <v/>
      </c>
      <c r="AQ1428" s="16">
        <f>IF(OR($B1428="",$C1428="",$D1428=""),"",DATE($C1428+2018,$D1428,1))</f>
        <v/>
      </c>
    </row>
    <row r="1429">
      <c r="A1429" s="11" t="n"/>
      <c r="B1429" s="12" t="n"/>
      <c r="C1429" s="12" t="n"/>
      <c r="D1429" s="12" t="n"/>
      <c r="E1429" s="13" t="n"/>
      <c r="F1429" s="12" t="n"/>
      <c r="G1429" s="13" t="n"/>
      <c r="H1429" s="12" t="n"/>
      <c r="I1429" s="12" t="n"/>
      <c r="J1429" s="12" t="n"/>
      <c r="K1429" s="12" t="n"/>
      <c r="L1429" s="11" t="n"/>
      <c r="M1429" s="11" t="n"/>
      <c r="N1429" s="11" t="n"/>
      <c r="O1429" s="11" t="n"/>
      <c r="P1429" s="12" t="n"/>
      <c r="Q1429" s="11" t="n"/>
      <c r="R1429" s="12" t="n"/>
      <c r="S1429" s="11" t="n"/>
      <c r="T1429" s="12" t="n"/>
      <c r="U1429" s="12" t="n"/>
      <c r="V1429" s="12" t="n"/>
      <c r="W1429" s="13" t="n"/>
      <c r="X1429" s="14">
        <f>IF($AP1429="",IF($B1429="","",$H1429),IF(INDEX(職員マスタ!$B$6:$B$405,$AP1429)="",$H1429,INDEX(職員マスタ!$B$6:$B$405,$AP1429)))</f>
        <v/>
      </c>
      <c r="Y1429" s="14">
        <f>IF($AP1429="",IF($B1429="","",$R1429),IF(INDEX(職員マスタ!$C$6:$C$405,$AP1429)="",$R1429,INDEX(職員マスタ!$C$6:$C$405,$AP1429)))</f>
        <v/>
      </c>
      <c r="Z1429" s="14">
        <f>IF($AQ1429="","","R"&amp;$C1429&amp;"."&amp;$D1429)</f>
        <v/>
      </c>
      <c r="AA1429" s="15">
        <f>IF(IF($AP1429="",FALSE,INDEX(職員マスタ!$K$6:$K$405,$AP1429)&lt;&gt;""),INDEX(職員マスタ!$K$6:$K$405,$AP1429),IF(N($W1429)&gt;0,$W1429,""))</f>
        <v/>
      </c>
      <c r="AB1429" s="14">
        <f>IF(OR($E1429="",$AA1429=""),"",IF($E1429&gt;=$AA1429,"×",IF($E1429&gt;=$AA1429*設定!$C$5,"△","○")))</f>
        <v/>
      </c>
      <c r="AC1429" s="15">
        <f>IF($AB1429="","",IF($AB1429="×",0,IF($AB1429="○",ROUNDDOWN($E1429*設定!$C$4,0),ROUNDDOWN($E1429*ROUND((9*$AA1429-9*$E1429)/(10*$E1429),4),0))))</f>
        <v/>
      </c>
      <c r="AD1429" s="13" t="n"/>
      <c r="AE1429" s="15">
        <f>IF($B1429="","",IF($AD1429&lt;&gt;"",$AD1429,IF($AC1429="","",IF($AC1429&lt;=設定!$C$3,0,$AC1429))))</f>
        <v/>
      </c>
      <c r="AF1429" s="14">
        <f>IF($B1429="","",IF(AND($AG1429&lt;&gt;"",$AI1429="",$AL1429=""),"保留中",IF($AL1429&lt;&gt;"",IF(N($AE1429)&gt;0,"支給済","不支給"),IF($AE1429="","要確認",IF($AE1429=0,"不支給","未処理")))))</f>
        <v/>
      </c>
      <c r="AG1429" s="12" t="n"/>
      <c r="AH1429" s="11" t="n"/>
      <c r="AI1429" s="11" t="n"/>
      <c r="AJ1429" s="11" t="n"/>
      <c r="AK1429" s="14">
        <f>IF(AND($AF1429="保留中",$AH1429&lt;&gt;""),TODAY()-$AH1429,"")</f>
        <v/>
      </c>
      <c r="AL1429" s="12" t="n"/>
      <c r="AM1429" s="14">
        <f>IF($B1429="","",IF($AQ1429="","対象年月が未入力／","")&amp;IF($B1429="","",IF($AP1429="","職員マスタに未登録の職員番号／",IF($AA1429="","標準報酬月額が未登録／","")&amp;IF(AND($AQ1429&lt;&gt;"",OR(AND(INDEX(職員マスタ!$G$6:$G$405,$AP1429)&lt;&gt;"",INDEX(職員マスタ!$G$6:$G$405,$AP1429)&gt;EOMONTH($AQ1429,0)),AND(INDEX(職員マスタ!$H$6:$H$405,$AP1429)&lt;&gt;"",INDEX(職員マスタ!$H$6:$H$405,$AP1429)&lt;$AQ1429))),"対象月が時短期間外／","")&amp;IF(AND(INDEX(職員マスタ!$K$6:$K$405,$AP1429)&lt;&gt;"",N($W1429)&gt;0,INDEX(職員マスタ!$K$6:$K$405,$AP1429)&lt;&gt;$W1429),"標準報酬月額が申請書と相違（台帳"&amp;TEXT(INDEX(職員マスタ!$K$6:$K$405,$AP1429),"#,##0")&amp;"円／申請書"&amp;TEXT($W1429,"#,##0")&amp;"円）／","")&amp;IF(AND(INDEX(職員マスタ!$F$6:$F$405,$AP1429)&lt;&gt;"",$AQ1429&lt;&gt;"",INDEX(職員マスタ!$F$6:$F$405,$AP1429)&lt;$AQ1429),"対象月に子が2歳到達済／","")&amp;IF(AND($H1429&lt;&gt;"",INDEX(職員マスタ!$B$6:$B$405,$AP1429)&lt;&gt;"",SUBSTITUTE(SUBSTITUTE($H1429," ","")," ","")&lt;&gt;SUBSTITUTE(SUBSTITUTE(INDEX(職員マスタ!$B$6:$B$405,$AP1429)," ","")," ","")),"氏名がマスタと相違／","")&amp;IF(AND($Q1429&lt;&gt;"",INDEX(職員マスタ!$E$6:$E$405,$AP1429)&lt;&gt;"",$Q1429&lt;&gt;INDEX(職員マスタ!$E$6:$E$405,$AP1429)),"子の生年月日がマスタと相違／","")&amp;IF(AND($L1429&lt;&gt;"",INDEX(職員マスタ!$G$6:$G$405,$AP1429)&lt;&gt;"",$L1429&lt;&gt;INDEX(職員マスタ!$G$6:$G$405,$AP1429)),"時短開始日がマスタと相違／","")&amp;IF(AND($M1429&lt;&gt;"",INDEX(職員マスタ!$H$6:$H$405,$AP1429)&lt;&gt;"",$M1429&lt;&gt;INDEX(職員マスタ!$H$6:$H$405,$AP1429)),"時短終了日がマスタと相違／","")))&amp;IF(AND($B1429&lt;&gt;"",$E1429=""),"報酬額が未入力／","")&amp;IF(N($U1429)&gt;0,"申請書に入力エラーが残っています／","")&amp;IF(AND($B1429&lt;&gt;"",$AQ1429&lt;&gt;""),IF(COUNTIFS($B$6:$B$3005,$B1429,$C$6:$C$3005,$C1429,$D$6:$D$3005,$D1429)&gt;1,"同じ月の請求が重複しています／",""),"")&amp;IF(AND(N($E1429)&gt;0,$AB1429&lt;&gt;"",$AB1429&lt;&gt;"×",$AE1429=0,$AD1429=""),"計算額が下限以下のため不支給／",""))</f>
        <v/>
      </c>
      <c r="AN1429" s="12" t="n"/>
      <c r="AO1429" s="14">
        <f>IF($AF1429="保留中",COUNTIF($AF$6:$AF1429,"保留中"),"")</f>
        <v/>
      </c>
      <c r="AP1429" s="14">
        <f>IF($AQ1429="","",IF(SUMPRODUCT(MAX((職員マスタ!$A$6:$A$405=$B1429)*(((職員マスタ!$G$6:$G$405="")+(職員マスタ!$G$6:$G$405&lt;=EOMONTH($AQ1429,0)))&gt;0)*(((職員マスタ!$H$6:$H$405="")+(職員マスタ!$H$6:$H$405&gt;=$AQ1429))&gt;0)*(ROW(職員マスタ!$A$6:$A$405)-5)))&gt;0,SUMPRODUCT(MAX((職員マスタ!$A$6:$A$405=$B1429)*(((職員マスタ!$G$6:$G$405="")+(職員マスタ!$G$6:$G$405&lt;=EOMONTH($AQ1429,0)))&gt;0)*(((職員マスタ!$H$6:$H$405="")+(職員マスタ!$H$6:$H$405&gt;=$AQ1429))&gt;0)*(ROW(職員マスタ!$A$6:$A$405)-5))),IFERROR(MATCH($B1429,職員マスタ!$A$6:$A$405,0),"")))</f>
        <v/>
      </c>
      <c r="AQ1429" s="16">
        <f>IF(OR($B1429="",$C1429="",$D1429=""),"",DATE($C1429+2018,$D1429,1))</f>
        <v/>
      </c>
    </row>
    <row r="1430">
      <c r="A1430" s="11" t="n"/>
      <c r="B1430" s="12" t="n"/>
      <c r="C1430" s="12" t="n"/>
      <c r="D1430" s="12" t="n"/>
      <c r="E1430" s="13" t="n"/>
      <c r="F1430" s="12" t="n"/>
      <c r="G1430" s="13" t="n"/>
      <c r="H1430" s="12" t="n"/>
      <c r="I1430" s="12" t="n"/>
      <c r="J1430" s="12" t="n"/>
      <c r="K1430" s="12" t="n"/>
      <c r="L1430" s="11" t="n"/>
      <c r="M1430" s="11" t="n"/>
      <c r="N1430" s="11" t="n"/>
      <c r="O1430" s="11" t="n"/>
      <c r="P1430" s="12" t="n"/>
      <c r="Q1430" s="11" t="n"/>
      <c r="R1430" s="12" t="n"/>
      <c r="S1430" s="11" t="n"/>
      <c r="T1430" s="12" t="n"/>
      <c r="U1430" s="12" t="n"/>
      <c r="V1430" s="12" t="n"/>
      <c r="W1430" s="13" t="n"/>
      <c r="X1430" s="14">
        <f>IF($AP1430="",IF($B1430="","",$H1430),IF(INDEX(職員マスタ!$B$6:$B$405,$AP1430)="",$H1430,INDEX(職員マスタ!$B$6:$B$405,$AP1430)))</f>
        <v/>
      </c>
      <c r="Y1430" s="14">
        <f>IF($AP1430="",IF($B1430="","",$R1430),IF(INDEX(職員マスタ!$C$6:$C$405,$AP1430)="",$R1430,INDEX(職員マスタ!$C$6:$C$405,$AP1430)))</f>
        <v/>
      </c>
      <c r="Z1430" s="14">
        <f>IF($AQ1430="","","R"&amp;$C1430&amp;"."&amp;$D1430)</f>
        <v/>
      </c>
      <c r="AA1430" s="15">
        <f>IF(IF($AP1430="",FALSE,INDEX(職員マスタ!$K$6:$K$405,$AP1430)&lt;&gt;""),INDEX(職員マスタ!$K$6:$K$405,$AP1430),IF(N($W1430)&gt;0,$W1430,""))</f>
        <v/>
      </c>
      <c r="AB1430" s="14">
        <f>IF(OR($E1430="",$AA1430=""),"",IF($E1430&gt;=$AA1430,"×",IF($E1430&gt;=$AA1430*設定!$C$5,"△","○")))</f>
        <v/>
      </c>
      <c r="AC1430" s="15">
        <f>IF($AB1430="","",IF($AB1430="×",0,IF($AB1430="○",ROUNDDOWN($E1430*設定!$C$4,0),ROUNDDOWN($E1430*ROUND((9*$AA1430-9*$E1430)/(10*$E1430),4),0))))</f>
        <v/>
      </c>
      <c r="AD1430" s="13" t="n"/>
      <c r="AE1430" s="15">
        <f>IF($B1430="","",IF($AD1430&lt;&gt;"",$AD1430,IF($AC1430="","",IF($AC1430&lt;=設定!$C$3,0,$AC1430))))</f>
        <v/>
      </c>
      <c r="AF1430" s="14">
        <f>IF($B1430="","",IF(AND($AG1430&lt;&gt;"",$AI1430="",$AL1430=""),"保留中",IF($AL1430&lt;&gt;"",IF(N($AE1430)&gt;0,"支給済","不支給"),IF($AE1430="","要確認",IF($AE1430=0,"不支給","未処理")))))</f>
        <v/>
      </c>
      <c r="AG1430" s="12" t="n"/>
      <c r="AH1430" s="11" t="n"/>
      <c r="AI1430" s="11" t="n"/>
      <c r="AJ1430" s="11" t="n"/>
      <c r="AK1430" s="14">
        <f>IF(AND($AF1430="保留中",$AH1430&lt;&gt;""),TODAY()-$AH1430,"")</f>
        <v/>
      </c>
      <c r="AL1430" s="12" t="n"/>
      <c r="AM1430" s="14">
        <f>IF($B1430="","",IF($AQ1430="","対象年月が未入力／","")&amp;IF($B1430="","",IF($AP1430="","職員マスタに未登録の職員番号／",IF($AA1430="","標準報酬月額が未登録／","")&amp;IF(AND($AQ1430&lt;&gt;"",OR(AND(INDEX(職員マスタ!$G$6:$G$405,$AP1430)&lt;&gt;"",INDEX(職員マスタ!$G$6:$G$405,$AP1430)&gt;EOMONTH($AQ1430,0)),AND(INDEX(職員マスタ!$H$6:$H$405,$AP1430)&lt;&gt;"",INDEX(職員マスタ!$H$6:$H$405,$AP1430)&lt;$AQ1430))),"対象月が時短期間外／","")&amp;IF(AND(INDEX(職員マスタ!$K$6:$K$405,$AP1430)&lt;&gt;"",N($W1430)&gt;0,INDEX(職員マスタ!$K$6:$K$405,$AP1430)&lt;&gt;$W1430),"標準報酬月額が申請書と相違（台帳"&amp;TEXT(INDEX(職員マスタ!$K$6:$K$405,$AP1430),"#,##0")&amp;"円／申請書"&amp;TEXT($W1430,"#,##0")&amp;"円）／","")&amp;IF(AND(INDEX(職員マスタ!$F$6:$F$405,$AP1430)&lt;&gt;"",$AQ1430&lt;&gt;"",INDEX(職員マスタ!$F$6:$F$405,$AP1430)&lt;$AQ1430),"対象月に子が2歳到達済／","")&amp;IF(AND($H1430&lt;&gt;"",INDEX(職員マスタ!$B$6:$B$405,$AP1430)&lt;&gt;"",SUBSTITUTE(SUBSTITUTE($H1430," ","")," ","")&lt;&gt;SUBSTITUTE(SUBSTITUTE(INDEX(職員マスタ!$B$6:$B$405,$AP1430)," ","")," ","")),"氏名がマスタと相違／","")&amp;IF(AND($Q1430&lt;&gt;"",INDEX(職員マスタ!$E$6:$E$405,$AP1430)&lt;&gt;"",$Q1430&lt;&gt;INDEX(職員マスタ!$E$6:$E$405,$AP1430)),"子の生年月日がマスタと相違／","")&amp;IF(AND($L1430&lt;&gt;"",INDEX(職員マスタ!$G$6:$G$405,$AP1430)&lt;&gt;"",$L1430&lt;&gt;INDEX(職員マスタ!$G$6:$G$405,$AP1430)),"時短開始日がマスタと相違／","")&amp;IF(AND($M1430&lt;&gt;"",INDEX(職員マスタ!$H$6:$H$405,$AP1430)&lt;&gt;"",$M1430&lt;&gt;INDEX(職員マスタ!$H$6:$H$405,$AP1430)),"時短終了日がマスタと相違／","")))&amp;IF(AND($B1430&lt;&gt;"",$E1430=""),"報酬額が未入力／","")&amp;IF(N($U1430)&gt;0,"申請書に入力エラーが残っています／","")&amp;IF(AND($B1430&lt;&gt;"",$AQ1430&lt;&gt;""),IF(COUNTIFS($B$6:$B$3005,$B1430,$C$6:$C$3005,$C1430,$D$6:$D$3005,$D1430)&gt;1,"同じ月の請求が重複しています／",""),"")&amp;IF(AND(N($E1430)&gt;0,$AB1430&lt;&gt;"",$AB1430&lt;&gt;"×",$AE1430=0,$AD1430=""),"計算額が下限以下のため不支給／",""))</f>
        <v/>
      </c>
      <c r="AN1430" s="12" t="n"/>
      <c r="AO1430" s="14">
        <f>IF($AF1430="保留中",COUNTIF($AF$6:$AF1430,"保留中"),"")</f>
        <v/>
      </c>
      <c r="AP1430" s="14">
        <f>IF($AQ1430="","",IF(SUMPRODUCT(MAX((職員マスタ!$A$6:$A$405=$B1430)*(((職員マスタ!$G$6:$G$405="")+(職員マスタ!$G$6:$G$405&lt;=EOMONTH($AQ1430,0)))&gt;0)*(((職員マスタ!$H$6:$H$405="")+(職員マスタ!$H$6:$H$405&gt;=$AQ1430))&gt;0)*(ROW(職員マスタ!$A$6:$A$405)-5)))&gt;0,SUMPRODUCT(MAX((職員マスタ!$A$6:$A$405=$B1430)*(((職員マスタ!$G$6:$G$405="")+(職員マスタ!$G$6:$G$405&lt;=EOMONTH($AQ1430,0)))&gt;0)*(((職員マスタ!$H$6:$H$405="")+(職員マスタ!$H$6:$H$405&gt;=$AQ1430))&gt;0)*(ROW(職員マスタ!$A$6:$A$405)-5))),IFERROR(MATCH($B1430,職員マスタ!$A$6:$A$405,0),"")))</f>
        <v/>
      </c>
      <c r="AQ1430" s="16">
        <f>IF(OR($B1430="",$C1430="",$D1430=""),"",DATE($C1430+2018,$D1430,1))</f>
        <v/>
      </c>
    </row>
    <row r="1431">
      <c r="A1431" s="11" t="n"/>
      <c r="B1431" s="12" t="n"/>
      <c r="C1431" s="12" t="n"/>
      <c r="D1431" s="12" t="n"/>
      <c r="E1431" s="13" t="n"/>
      <c r="F1431" s="12" t="n"/>
      <c r="G1431" s="13" t="n"/>
      <c r="H1431" s="12" t="n"/>
      <c r="I1431" s="12" t="n"/>
      <c r="J1431" s="12" t="n"/>
      <c r="K1431" s="12" t="n"/>
      <c r="L1431" s="11" t="n"/>
      <c r="M1431" s="11" t="n"/>
      <c r="N1431" s="11" t="n"/>
      <c r="O1431" s="11" t="n"/>
      <c r="P1431" s="12" t="n"/>
      <c r="Q1431" s="11" t="n"/>
      <c r="R1431" s="12" t="n"/>
      <c r="S1431" s="11" t="n"/>
      <c r="T1431" s="12" t="n"/>
      <c r="U1431" s="12" t="n"/>
      <c r="V1431" s="12" t="n"/>
      <c r="W1431" s="13" t="n"/>
      <c r="X1431" s="14">
        <f>IF($AP1431="",IF($B1431="","",$H1431),IF(INDEX(職員マスタ!$B$6:$B$405,$AP1431)="",$H1431,INDEX(職員マスタ!$B$6:$B$405,$AP1431)))</f>
        <v/>
      </c>
      <c r="Y1431" s="14">
        <f>IF($AP1431="",IF($B1431="","",$R1431),IF(INDEX(職員マスタ!$C$6:$C$405,$AP1431)="",$R1431,INDEX(職員マスタ!$C$6:$C$405,$AP1431)))</f>
        <v/>
      </c>
      <c r="Z1431" s="14">
        <f>IF($AQ1431="","","R"&amp;$C1431&amp;"."&amp;$D1431)</f>
        <v/>
      </c>
      <c r="AA1431" s="15">
        <f>IF(IF($AP1431="",FALSE,INDEX(職員マスタ!$K$6:$K$405,$AP1431)&lt;&gt;""),INDEX(職員マスタ!$K$6:$K$405,$AP1431),IF(N($W1431)&gt;0,$W1431,""))</f>
        <v/>
      </c>
      <c r="AB1431" s="14">
        <f>IF(OR($E1431="",$AA1431=""),"",IF($E1431&gt;=$AA1431,"×",IF($E1431&gt;=$AA1431*設定!$C$5,"△","○")))</f>
        <v/>
      </c>
      <c r="AC1431" s="15">
        <f>IF($AB1431="","",IF($AB1431="×",0,IF($AB1431="○",ROUNDDOWN($E1431*設定!$C$4,0),ROUNDDOWN($E1431*ROUND((9*$AA1431-9*$E1431)/(10*$E1431),4),0))))</f>
        <v/>
      </c>
      <c r="AD1431" s="13" t="n"/>
      <c r="AE1431" s="15">
        <f>IF($B1431="","",IF($AD1431&lt;&gt;"",$AD1431,IF($AC1431="","",IF($AC1431&lt;=設定!$C$3,0,$AC1431))))</f>
        <v/>
      </c>
      <c r="AF1431" s="14">
        <f>IF($B1431="","",IF(AND($AG1431&lt;&gt;"",$AI1431="",$AL1431=""),"保留中",IF($AL1431&lt;&gt;"",IF(N($AE1431)&gt;0,"支給済","不支給"),IF($AE1431="","要確認",IF($AE1431=0,"不支給","未処理")))))</f>
        <v/>
      </c>
      <c r="AG1431" s="12" t="n"/>
      <c r="AH1431" s="11" t="n"/>
      <c r="AI1431" s="11" t="n"/>
      <c r="AJ1431" s="11" t="n"/>
      <c r="AK1431" s="14">
        <f>IF(AND($AF1431="保留中",$AH1431&lt;&gt;""),TODAY()-$AH1431,"")</f>
        <v/>
      </c>
      <c r="AL1431" s="12" t="n"/>
      <c r="AM1431" s="14">
        <f>IF($B1431="","",IF($AQ1431="","対象年月が未入力／","")&amp;IF($B1431="","",IF($AP1431="","職員マスタに未登録の職員番号／",IF($AA1431="","標準報酬月額が未登録／","")&amp;IF(AND($AQ1431&lt;&gt;"",OR(AND(INDEX(職員マスタ!$G$6:$G$405,$AP1431)&lt;&gt;"",INDEX(職員マスタ!$G$6:$G$405,$AP1431)&gt;EOMONTH($AQ1431,0)),AND(INDEX(職員マスタ!$H$6:$H$405,$AP1431)&lt;&gt;"",INDEX(職員マスタ!$H$6:$H$405,$AP1431)&lt;$AQ1431))),"対象月が時短期間外／","")&amp;IF(AND(INDEX(職員マスタ!$K$6:$K$405,$AP1431)&lt;&gt;"",N($W1431)&gt;0,INDEX(職員マスタ!$K$6:$K$405,$AP1431)&lt;&gt;$W1431),"標準報酬月額が申請書と相違（台帳"&amp;TEXT(INDEX(職員マスタ!$K$6:$K$405,$AP1431),"#,##0")&amp;"円／申請書"&amp;TEXT($W1431,"#,##0")&amp;"円）／","")&amp;IF(AND(INDEX(職員マスタ!$F$6:$F$405,$AP1431)&lt;&gt;"",$AQ1431&lt;&gt;"",INDEX(職員マスタ!$F$6:$F$405,$AP1431)&lt;$AQ1431),"対象月に子が2歳到達済／","")&amp;IF(AND($H1431&lt;&gt;"",INDEX(職員マスタ!$B$6:$B$405,$AP1431)&lt;&gt;"",SUBSTITUTE(SUBSTITUTE($H1431," ","")," ","")&lt;&gt;SUBSTITUTE(SUBSTITUTE(INDEX(職員マスタ!$B$6:$B$405,$AP1431)," ","")," ","")),"氏名がマスタと相違／","")&amp;IF(AND($Q1431&lt;&gt;"",INDEX(職員マスタ!$E$6:$E$405,$AP1431)&lt;&gt;"",$Q1431&lt;&gt;INDEX(職員マスタ!$E$6:$E$405,$AP1431)),"子の生年月日がマスタと相違／","")&amp;IF(AND($L1431&lt;&gt;"",INDEX(職員マスタ!$G$6:$G$405,$AP1431)&lt;&gt;"",$L1431&lt;&gt;INDEX(職員マスタ!$G$6:$G$405,$AP1431)),"時短開始日がマスタと相違／","")&amp;IF(AND($M1431&lt;&gt;"",INDEX(職員マスタ!$H$6:$H$405,$AP1431)&lt;&gt;"",$M1431&lt;&gt;INDEX(職員マスタ!$H$6:$H$405,$AP1431)),"時短終了日がマスタと相違／","")))&amp;IF(AND($B1431&lt;&gt;"",$E1431=""),"報酬額が未入力／","")&amp;IF(N($U1431)&gt;0,"申請書に入力エラーが残っています／","")&amp;IF(AND($B1431&lt;&gt;"",$AQ1431&lt;&gt;""),IF(COUNTIFS($B$6:$B$3005,$B1431,$C$6:$C$3005,$C1431,$D$6:$D$3005,$D1431)&gt;1,"同じ月の請求が重複しています／",""),"")&amp;IF(AND(N($E1431)&gt;0,$AB1431&lt;&gt;"",$AB1431&lt;&gt;"×",$AE1431=0,$AD1431=""),"計算額が下限以下のため不支給／",""))</f>
        <v/>
      </c>
      <c r="AN1431" s="12" t="n"/>
      <c r="AO1431" s="14">
        <f>IF($AF1431="保留中",COUNTIF($AF$6:$AF1431,"保留中"),"")</f>
        <v/>
      </c>
      <c r="AP1431" s="14">
        <f>IF($AQ1431="","",IF(SUMPRODUCT(MAX((職員マスタ!$A$6:$A$405=$B1431)*(((職員マスタ!$G$6:$G$405="")+(職員マスタ!$G$6:$G$405&lt;=EOMONTH($AQ1431,0)))&gt;0)*(((職員マスタ!$H$6:$H$405="")+(職員マスタ!$H$6:$H$405&gt;=$AQ1431))&gt;0)*(ROW(職員マスタ!$A$6:$A$405)-5)))&gt;0,SUMPRODUCT(MAX((職員マスタ!$A$6:$A$405=$B1431)*(((職員マスタ!$G$6:$G$405="")+(職員マスタ!$G$6:$G$405&lt;=EOMONTH($AQ1431,0)))&gt;0)*(((職員マスタ!$H$6:$H$405="")+(職員マスタ!$H$6:$H$405&gt;=$AQ1431))&gt;0)*(ROW(職員マスタ!$A$6:$A$405)-5))),IFERROR(MATCH($B1431,職員マスタ!$A$6:$A$405,0),"")))</f>
        <v/>
      </c>
      <c r="AQ1431" s="16">
        <f>IF(OR($B1431="",$C1431="",$D1431=""),"",DATE($C1431+2018,$D1431,1))</f>
        <v/>
      </c>
    </row>
    <row r="1432">
      <c r="A1432" s="11" t="n"/>
      <c r="B1432" s="12" t="n"/>
      <c r="C1432" s="12" t="n"/>
      <c r="D1432" s="12" t="n"/>
      <c r="E1432" s="13" t="n"/>
      <c r="F1432" s="12" t="n"/>
      <c r="G1432" s="13" t="n"/>
      <c r="H1432" s="12" t="n"/>
      <c r="I1432" s="12" t="n"/>
      <c r="J1432" s="12" t="n"/>
      <c r="K1432" s="12" t="n"/>
      <c r="L1432" s="11" t="n"/>
      <c r="M1432" s="11" t="n"/>
      <c r="N1432" s="11" t="n"/>
      <c r="O1432" s="11" t="n"/>
      <c r="P1432" s="12" t="n"/>
      <c r="Q1432" s="11" t="n"/>
      <c r="R1432" s="12" t="n"/>
      <c r="S1432" s="11" t="n"/>
      <c r="T1432" s="12" t="n"/>
      <c r="U1432" s="12" t="n"/>
      <c r="V1432" s="12" t="n"/>
      <c r="W1432" s="13" t="n"/>
      <c r="X1432" s="14">
        <f>IF($AP1432="",IF($B1432="","",$H1432),IF(INDEX(職員マスタ!$B$6:$B$405,$AP1432)="",$H1432,INDEX(職員マスタ!$B$6:$B$405,$AP1432)))</f>
        <v/>
      </c>
      <c r="Y1432" s="14">
        <f>IF($AP1432="",IF($B1432="","",$R1432),IF(INDEX(職員マスタ!$C$6:$C$405,$AP1432)="",$R1432,INDEX(職員マスタ!$C$6:$C$405,$AP1432)))</f>
        <v/>
      </c>
      <c r="Z1432" s="14">
        <f>IF($AQ1432="","","R"&amp;$C1432&amp;"."&amp;$D1432)</f>
        <v/>
      </c>
      <c r="AA1432" s="15">
        <f>IF(IF($AP1432="",FALSE,INDEX(職員マスタ!$K$6:$K$405,$AP1432)&lt;&gt;""),INDEX(職員マスタ!$K$6:$K$405,$AP1432),IF(N($W1432)&gt;0,$W1432,""))</f>
        <v/>
      </c>
      <c r="AB1432" s="14">
        <f>IF(OR($E1432="",$AA1432=""),"",IF($E1432&gt;=$AA1432,"×",IF($E1432&gt;=$AA1432*設定!$C$5,"△","○")))</f>
        <v/>
      </c>
      <c r="AC1432" s="15">
        <f>IF($AB1432="","",IF($AB1432="×",0,IF($AB1432="○",ROUNDDOWN($E1432*設定!$C$4,0),ROUNDDOWN($E1432*ROUND((9*$AA1432-9*$E1432)/(10*$E1432),4),0))))</f>
        <v/>
      </c>
      <c r="AD1432" s="13" t="n"/>
      <c r="AE1432" s="15">
        <f>IF($B1432="","",IF($AD1432&lt;&gt;"",$AD1432,IF($AC1432="","",IF($AC1432&lt;=設定!$C$3,0,$AC1432))))</f>
        <v/>
      </c>
      <c r="AF1432" s="14">
        <f>IF($B1432="","",IF(AND($AG1432&lt;&gt;"",$AI1432="",$AL1432=""),"保留中",IF($AL1432&lt;&gt;"",IF(N($AE1432)&gt;0,"支給済","不支給"),IF($AE1432="","要確認",IF($AE1432=0,"不支給","未処理")))))</f>
        <v/>
      </c>
      <c r="AG1432" s="12" t="n"/>
      <c r="AH1432" s="11" t="n"/>
      <c r="AI1432" s="11" t="n"/>
      <c r="AJ1432" s="11" t="n"/>
      <c r="AK1432" s="14">
        <f>IF(AND($AF1432="保留中",$AH1432&lt;&gt;""),TODAY()-$AH1432,"")</f>
        <v/>
      </c>
      <c r="AL1432" s="12" t="n"/>
      <c r="AM1432" s="14">
        <f>IF($B1432="","",IF($AQ1432="","対象年月が未入力／","")&amp;IF($B1432="","",IF($AP1432="","職員マスタに未登録の職員番号／",IF($AA1432="","標準報酬月額が未登録／","")&amp;IF(AND($AQ1432&lt;&gt;"",OR(AND(INDEX(職員マスタ!$G$6:$G$405,$AP1432)&lt;&gt;"",INDEX(職員マスタ!$G$6:$G$405,$AP1432)&gt;EOMONTH($AQ1432,0)),AND(INDEX(職員マスタ!$H$6:$H$405,$AP1432)&lt;&gt;"",INDEX(職員マスタ!$H$6:$H$405,$AP1432)&lt;$AQ1432))),"対象月が時短期間外／","")&amp;IF(AND(INDEX(職員マスタ!$K$6:$K$405,$AP1432)&lt;&gt;"",N($W1432)&gt;0,INDEX(職員マスタ!$K$6:$K$405,$AP1432)&lt;&gt;$W1432),"標準報酬月額が申請書と相違（台帳"&amp;TEXT(INDEX(職員マスタ!$K$6:$K$405,$AP1432),"#,##0")&amp;"円／申請書"&amp;TEXT($W1432,"#,##0")&amp;"円）／","")&amp;IF(AND(INDEX(職員マスタ!$F$6:$F$405,$AP1432)&lt;&gt;"",$AQ1432&lt;&gt;"",INDEX(職員マスタ!$F$6:$F$405,$AP1432)&lt;$AQ1432),"対象月に子が2歳到達済／","")&amp;IF(AND($H1432&lt;&gt;"",INDEX(職員マスタ!$B$6:$B$405,$AP1432)&lt;&gt;"",SUBSTITUTE(SUBSTITUTE($H1432," ","")," ","")&lt;&gt;SUBSTITUTE(SUBSTITUTE(INDEX(職員マスタ!$B$6:$B$405,$AP1432)," ","")," ","")),"氏名がマスタと相違／","")&amp;IF(AND($Q1432&lt;&gt;"",INDEX(職員マスタ!$E$6:$E$405,$AP1432)&lt;&gt;"",$Q1432&lt;&gt;INDEX(職員マスタ!$E$6:$E$405,$AP1432)),"子の生年月日がマスタと相違／","")&amp;IF(AND($L1432&lt;&gt;"",INDEX(職員マスタ!$G$6:$G$405,$AP1432)&lt;&gt;"",$L1432&lt;&gt;INDEX(職員マスタ!$G$6:$G$405,$AP1432)),"時短開始日がマスタと相違／","")&amp;IF(AND($M1432&lt;&gt;"",INDEX(職員マスタ!$H$6:$H$405,$AP1432)&lt;&gt;"",$M1432&lt;&gt;INDEX(職員マスタ!$H$6:$H$405,$AP1432)),"時短終了日がマスタと相違／","")))&amp;IF(AND($B1432&lt;&gt;"",$E1432=""),"報酬額が未入力／","")&amp;IF(N($U1432)&gt;0,"申請書に入力エラーが残っています／","")&amp;IF(AND($B1432&lt;&gt;"",$AQ1432&lt;&gt;""),IF(COUNTIFS($B$6:$B$3005,$B1432,$C$6:$C$3005,$C1432,$D$6:$D$3005,$D1432)&gt;1,"同じ月の請求が重複しています／",""),"")&amp;IF(AND(N($E1432)&gt;0,$AB1432&lt;&gt;"",$AB1432&lt;&gt;"×",$AE1432=0,$AD1432=""),"計算額が下限以下のため不支給／",""))</f>
        <v/>
      </c>
      <c r="AN1432" s="12" t="n"/>
      <c r="AO1432" s="14">
        <f>IF($AF1432="保留中",COUNTIF($AF$6:$AF1432,"保留中"),"")</f>
        <v/>
      </c>
      <c r="AP1432" s="14">
        <f>IF($AQ1432="","",IF(SUMPRODUCT(MAX((職員マスタ!$A$6:$A$405=$B1432)*(((職員マスタ!$G$6:$G$405="")+(職員マスタ!$G$6:$G$405&lt;=EOMONTH($AQ1432,0)))&gt;0)*(((職員マスタ!$H$6:$H$405="")+(職員マスタ!$H$6:$H$405&gt;=$AQ1432))&gt;0)*(ROW(職員マスタ!$A$6:$A$405)-5)))&gt;0,SUMPRODUCT(MAX((職員マスタ!$A$6:$A$405=$B1432)*(((職員マスタ!$G$6:$G$405="")+(職員マスタ!$G$6:$G$405&lt;=EOMONTH($AQ1432,0)))&gt;0)*(((職員マスタ!$H$6:$H$405="")+(職員マスタ!$H$6:$H$405&gt;=$AQ1432))&gt;0)*(ROW(職員マスタ!$A$6:$A$405)-5))),IFERROR(MATCH($B1432,職員マスタ!$A$6:$A$405,0),"")))</f>
        <v/>
      </c>
      <c r="AQ1432" s="16">
        <f>IF(OR($B1432="",$C1432="",$D1432=""),"",DATE($C1432+2018,$D1432,1))</f>
        <v/>
      </c>
    </row>
    <row r="1433">
      <c r="A1433" s="11" t="n"/>
      <c r="B1433" s="12" t="n"/>
      <c r="C1433" s="12" t="n"/>
      <c r="D1433" s="12" t="n"/>
      <c r="E1433" s="13" t="n"/>
      <c r="F1433" s="12" t="n"/>
      <c r="G1433" s="13" t="n"/>
      <c r="H1433" s="12" t="n"/>
      <c r="I1433" s="12" t="n"/>
      <c r="J1433" s="12" t="n"/>
      <c r="K1433" s="12" t="n"/>
      <c r="L1433" s="11" t="n"/>
      <c r="M1433" s="11" t="n"/>
      <c r="N1433" s="11" t="n"/>
      <c r="O1433" s="11" t="n"/>
      <c r="P1433" s="12" t="n"/>
      <c r="Q1433" s="11" t="n"/>
      <c r="R1433" s="12" t="n"/>
      <c r="S1433" s="11" t="n"/>
      <c r="T1433" s="12" t="n"/>
      <c r="U1433" s="12" t="n"/>
      <c r="V1433" s="12" t="n"/>
      <c r="W1433" s="13" t="n"/>
      <c r="X1433" s="14">
        <f>IF($AP1433="",IF($B1433="","",$H1433),IF(INDEX(職員マスタ!$B$6:$B$405,$AP1433)="",$H1433,INDEX(職員マスタ!$B$6:$B$405,$AP1433)))</f>
        <v/>
      </c>
      <c r="Y1433" s="14">
        <f>IF($AP1433="",IF($B1433="","",$R1433),IF(INDEX(職員マスタ!$C$6:$C$405,$AP1433)="",$R1433,INDEX(職員マスタ!$C$6:$C$405,$AP1433)))</f>
        <v/>
      </c>
      <c r="Z1433" s="14">
        <f>IF($AQ1433="","","R"&amp;$C1433&amp;"."&amp;$D1433)</f>
        <v/>
      </c>
      <c r="AA1433" s="15">
        <f>IF(IF($AP1433="",FALSE,INDEX(職員マスタ!$K$6:$K$405,$AP1433)&lt;&gt;""),INDEX(職員マスタ!$K$6:$K$405,$AP1433),IF(N($W1433)&gt;0,$W1433,""))</f>
        <v/>
      </c>
      <c r="AB1433" s="14">
        <f>IF(OR($E1433="",$AA1433=""),"",IF($E1433&gt;=$AA1433,"×",IF($E1433&gt;=$AA1433*設定!$C$5,"△","○")))</f>
        <v/>
      </c>
      <c r="AC1433" s="15">
        <f>IF($AB1433="","",IF($AB1433="×",0,IF($AB1433="○",ROUNDDOWN($E1433*設定!$C$4,0),ROUNDDOWN($E1433*ROUND((9*$AA1433-9*$E1433)/(10*$E1433),4),0))))</f>
        <v/>
      </c>
      <c r="AD1433" s="13" t="n"/>
      <c r="AE1433" s="15">
        <f>IF($B1433="","",IF($AD1433&lt;&gt;"",$AD1433,IF($AC1433="","",IF($AC1433&lt;=設定!$C$3,0,$AC1433))))</f>
        <v/>
      </c>
      <c r="AF1433" s="14">
        <f>IF($B1433="","",IF(AND($AG1433&lt;&gt;"",$AI1433="",$AL1433=""),"保留中",IF($AL1433&lt;&gt;"",IF(N($AE1433)&gt;0,"支給済","不支給"),IF($AE1433="","要確認",IF($AE1433=0,"不支給","未処理")))))</f>
        <v/>
      </c>
      <c r="AG1433" s="12" t="n"/>
      <c r="AH1433" s="11" t="n"/>
      <c r="AI1433" s="11" t="n"/>
      <c r="AJ1433" s="11" t="n"/>
      <c r="AK1433" s="14">
        <f>IF(AND($AF1433="保留中",$AH1433&lt;&gt;""),TODAY()-$AH1433,"")</f>
        <v/>
      </c>
      <c r="AL1433" s="12" t="n"/>
      <c r="AM1433" s="14">
        <f>IF($B1433="","",IF($AQ1433="","対象年月が未入力／","")&amp;IF($B1433="","",IF($AP1433="","職員マスタに未登録の職員番号／",IF($AA1433="","標準報酬月額が未登録／","")&amp;IF(AND($AQ1433&lt;&gt;"",OR(AND(INDEX(職員マスタ!$G$6:$G$405,$AP1433)&lt;&gt;"",INDEX(職員マスタ!$G$6:$G$405,$AP1433)&gt;EOMONTH($AQ1433,0)),AND(INDEX(職員マスタ!$H$6:$H$405,$AP1433)&lt;&gt;"",INDEX(職員マスタ!$H$6:$H$405,$AP1433)&lt;$AQ1433))),"対象月が時短期間外／","")&amp;IF(AND(INDEX(職員マスタ!$K$6:$K$405,$AP1433)&lt;&gt;"",N($W1433)&gt;0,INDEX(職員マスタ!$K$6:$K$405,$AP1433)&lt;&gt;$W1433),"標準報酬月額が申請書と相違（台帳"&amp;TEXT(INDEX(職員マスタ!$K$6:$K$405,$AP1433),"#,##0")&amp;"円／申請書"&amp;TEXT($W1433,"#,##0")&amp;"円）／","")&amp;IF(AND(INDEX(職員マスタ!$F$6:$F$405,$AP1433)&lt;&gt;"",$AQ1433&lt;&gt;"",INDEX(職員マスタ!$F$6:$F$405,$AP1433)&lt;$AQ1433),"対象月に子が2歳到達済／","")&amp;IF(AND($H1433&lt;&gt;"",INDEX(職員マスタ!$B$6:$B$405,$AP1433)&lt;&gt;"",SUBSTITUTE(SUBSTITUTE($H1433," ","")," ","")&lt;&gt;SUBSTITUTE(SUBSTITUTE(INDEX(職員マスタ!$B$6:$B$405,$AP1433)," ","")," ","")),"氏名がマスタと相違／","")&amp;IF(AND($Q1433&lt;&gt;"",INDEX(職員マスタ!$E$6:$E$405,$AP1433)&lt;&gt;"",$Q1433&lt;&gt;INDEX(職員マスタ!$E$6:$E$405,$AP1433)),"子の生年月日がマスタと相違／","")&amp;IF(AND($L1433&lt;&gt;"",INDEX(職員マスタ!$G$6:$G$405,$AP1433)&lt;&gt;"",$L1433&lt;&gt;INDEX(職員マスタ!$G$6:$G$405,$AP1433)),"時短開始日がマスタと相違／","")&amp;IF(AND($M1433&lt;&gt;"",INDEX(職員マスタ!$H$6:$H$405,$AP1433)&lt;&gt;"",$M1433&lt;&gt;INDEX(職員マスタ!$H$6:$H$405,$AP1433)),"時短終了日がマスタと相違／","")))&amp;IF(AND($B1433&lt;&gt;"",$E1433=""),"報酬額が未入力／","")&amp;IF(N($U1433)&gt;0,"申請書に入力エラーが残っています／","")&amp;IF(AND($B1433&lt;&gt;"",$AQ1433&lt;&gt;""),IF(COUNTIFS($B$6:$B$3005,$B1433,$C$6:$C$3005,$C1433,$D$6:$D$3005,$D1433)&gt;1,"同じ月の請求が重複しています／",""),"")&amp;IF(AND(N($E1433)&gt;0,$AB1433&lt;&gt;"",$AB1433&lt;&gt;"×",$AE1433=0,$AD1433=""),"計算額が下限以下のため不支給／",""))</f>
        <v/>
      </c>
      <c r="AN1433" s="12" t="n"/>
      <c r="AO1433" s="14">
        <f>IF($AF1433="保留中",COUNTIF($AF$6:$AF1433,"保留中"),"")</f>
        <v/>
      </c>
      <c r="AP1433" s="14">
        <f>IF($AQ1433="","",IF(SUMPRODUCT(MAX((職員マスタ!$A$6:$A$405=$B1433)*(((職員マスタ!$G$6:$G$405="")+(職員マスタ!$G$6:$G$405&lt;=EOMONTH($AQ1433,0)))&gt;0)*(((職員マスタ!$H$6:$H$405="")+(職員マスタ!$H$6:$H$405&gt;=$AQ1433))&gt;0)*(ROW(職員マスタ!$A$6:$A$405)-5)))&gt;0,SUMPRODUCT(MAX((職員マスタ!$A$6:$A$405=$B1433)*(((職員マスタ!$G$6:$G$405="")+(職員マスタ!$G$6:$G$405&lt;=EOMONTH($AQ1433,0)))&gt;0)*(((職員マスタ!$H$6:$H$405="")+(職員マスタ!$H$6:$H$405&gt;=$AQ1433))&gt;0)*(ROW(職員マスタ!$A$6:$A$405)-5))),IFERROR(MATCH($B1433,職員マスタ!$A$6:$A$405,0),"")))</f>
        <v/>
      </c>
      <c r="AQ1433" s="16">
        <f>IF(OR($B1433="",$C1433="",$D1433=""),"",DATE($C1433+2018,$D1433,1))</f>
        <v/>
      </c>
    </row>
    <row r="1434">
      <c r="A1434" s="11" t="n"/>
      <c r="B1434" s="12" t="n"/>
      <c r="C1434" s="12" t="n"/>
      <c r="D1434" s="12" t="n"/>
      <c r="E1434" s="13" t="n"/>
      <c r="F1434" s="12" t="n"/>
      <c r="G1434" s="13" t="n"/>
      <c r="H1434" s="12" t="n"/>
      <c r="I1434" s="12" t="n"/>
      <c r="J1434" s="12" t="n"/>
      <c r="K1434" s="12" t="n"/>
      <c r="L1434" s="11" t="n"/>
      <c r="M1434" s="11" t="n"/>
      <c r="N1434" s="11" t="n"/>
      <c r="O1434" s="11" t="n"/>
      <c r="P1434" s="12" t="n"/>
      <c r="Q1434" s="11" t="n"/>
      <c r="R1434" s="12" t="n"/>
      <c r="S1434" s="11" t="n"/>
      <c r="T1434" s="12" t="n"/>
      <c r="U1434" s="12" t="n"/>
      <c r="V1434" s="12" t="n"/>
      <c r="W1434" s="13" t="n"/>
      <c r="X1434" s="14">
        <f>IF($AP1434="",IF($B1434="","",$H1434),IF(INDEX(職員マスタ!$B$6:$B$405,$AP1434)="",$H1434,INDEX(職員マスタ!$B$6:$B$405,$AP1434)))</f>
        <v/>
      </c>
      <c r="Y1434" s="14">
        <f>IF($AP1434="",IF($B1434="","",$R1434),IF(INDEX(職員マスタ!$C$6:$C$405,$AP1434)="",$R1434,INDEX(職員マスタ!$C$6:$C$405,$AP1434)))</f>
        <v/>
      </c>
      <c r="Z1434" s="14">
        <f>IF($AQ1434="","","R"&amp;$C1434&amp;"."&amp;$D1434)</f>
        <v/>
      </c>
      <c r="AA1434" s="15">
        <f>IF(IF($AP1434="",FALSE,INDEX(職員マスタ!$K$6:$K$405,$AP1434)&lt;&gt;""),INDEX(職員マスタ!$K$6:$K$405,$AP1434),IF(N($W1434)&gt;0,$W1434,""))</f>
        <v/>
      </c>
      <c r="AB1434" s="14">
        <f>IF(OR($E1434="",$AA1434=""),"",IF($E1434&gt;=$AA1434,"×",IF($E1434&gt;=$AA1434*設定!$C$5,"△","○")))</f>
        <v/>
      </c>
      <c r="AC1434" s="15">
        <f>IF($AB1434="","",IF($AB1434="×",0,IF($AB1434="○",ROUNDDOWN($E1434*設定!$C$4,0),ROUNDDOWN($E1434*ROUND((9*$AA1434-9*$E1434)/(10*$E1434),4),0))))</f>
        <v/>
      </c>
      <c r="AD1434" s="13" t="n"/>
      <c r="AE1434" s="15">
        <f>IF($B1434="","",IF($AD1434&lt;&gt;"",$AD1434,IF($AC1434="","",IF($AC1434&lt;=設定!$C$3,0,$AC1434))))</f>
        <v/>
      </c>
      <c r="AF1434" s="14">
        <f>IF($B1434="","",IF(AND($AG1434&lt;&gt;"",$AI1434="",$AL1434=""),"保留中",IF($AL1434&lt;&gt;"",IF(N($AE1434)&gt;0,"支給済","不支給"),IF($AE1434="","要確認",IF($AE1434=0,"不支給","未処理")))))</f>
        <v/>
      </c>
      <c r="AG1434" s="12" t="n"/>
      <c r="AH1434" s="11" t="n"/>
      <c r="AI1434" s="11" t="n"/>
      <c r="AJ1434" s="11" t="n"/>
      <c r="AK1434" s="14">
        <f>IF(AND($AF1434="保留中",$AH1434&lt;&gt;""),TODAY()-$AH1434,"")</f>
        <v/>
      </c>
      <c r="AL1434" s="12" t="n"/>
      <c r="AM1434" s="14">
        <f>IF($B1434="","",IF($AQ1434="","対象年月が未入力／","")&amp;IF($B1434="","",IF($AP1434="","職員マスタに未登録の職員番号／",IF($AA1434="","標準報酬月額が未登録／","")&amp;IF(AND($AQ1434&lt;&gt;"",OR(AND(INDEX(職員マスタ!$G$6:$G$405,$AP1434)&lt;&gt;"",INDEX(職員マスタ!$G$6:$G$405,$AP1434)&gt;EOMONTH($AQ1434,0)),AND(INDEX(職員マスタ!$H$6:$H$405,$AP1434)&lt;&gt;"",INDEX(職員マスタ!$H$6:$H$405,$AP1434)&lt;$AQ1434))),"対象月が時短期間外／","")&amp;IF(AND(INDEX(職員マスタ!$K$6:$K$405,$AP1434)&lt;&gt;"",N($W1434)&gt;0,INDEX(職員マスタ!$K$6:$K$405,$AP1434)&lt;&gt;$W1434),"標準報酬月額が申請書と相違（台帳"&amp;TEXT(INDEX(職員マスタ!$K$6:$K$405,$AP1434),"#,##0")&amp;"円／申請書"&amp;TEXT($W1434,"#,##0")&amp;"円）／","")&amp;IF(AND(INDEX(職員マスタ!$F$6:$F$405,$AP1434)&lt;&gt;"",$AQ1434&lt;&gt;"",INDEX(職員マスタ!$F$6:$F$405,$AP1434)&lt;$AQ1434),"対象月に子が2歳到達済／","")&amp;IF(AND($H1434&lt;&gt;"",INDEX(職員マスタ!$B$6:$B$405,$AP1434)&lt;&gt;"",SUBSTITUTE(SUBSTITUTE($H1434," ","")," ","")&lt;&gt;SUBSTITUTE(SUBSTITUTE(INDEX(職員マスタ!$B$6:$B$405,$AP1434)," ","")," ","")),"氏名がマスタと相違／","")&amp;IF(AND($Q1434&lt;&gt;"",INDEX(職員マスタ!$E$6:$E$405,$AP1434)&lt;&gt;"",$Q1434&lt;&gt;INDEX(職員マスタ!$E$6:$E$405,$AP1434)),"子の生年月日がマスタと相違／","")&amp;IF(AND($L1434&lt;&gt;"",INDEX(職員マスタ!$G$6:$G$405,$AP1434)&lt;&gt;"",$L1434&lt;&gt;INDEX(職員マスタ!$G$6:$G$405,$AP1434)),"時短開始日がマスタと相違／","")&amp;IF(AND($M1434&lt;&gt;"",INDEX(職員マスタ!$H$6:$H$405,$AP1434)&lt;&gt;"",$M1434&lt;&gt;INDEX(職員マスタ!$H$6:$H$405,$AP1434)),"時短終了日がマスタと相違／","")))&amp;IF(AND($B1434&lt;&gt;"",$E1434=""),"報酬額が未入力／","")&amp;IF(N($U1434)&gt;0,"申請書に入力エラーが残っています／","")&amp;IF(AND($B1434&lt;&gt;"",$AQ1434&lt;&gt;""),IF(COUNTIFS($B$6:$B$3005,$B1434,$C$6:$C$3005,$C1434,$D$6:$D$3005,$D1434)&gt;1,"同じ月の請求が重複しています／",""),"")&amp;IF(AND(N($E1434)&gt;0,$AB1434&lt;&gt;"",$AB1434&lt;&gt;"×",$AE1434=0,$AD1434=""),"計算額が下限以下のため不支給／",""))</f>
        <v/>
      </c>
      <c r="AN1434" s="12" t="n"/>
      <c r="AO1434" s="14">
        <f>IF($AF1434="保留中",COUNTIF($AF$6:$AF1434,"保留中"),"")</f>
        <v/>
      </c>
      <c r="AP1434" s="14">
        <f>IF($AQ1434="","",IF(SUMPRODUCT(MAX((職員マスタ!$A$6:$A$405=$B1434)*(((職員マスタ!$G$6:$G$405="")+(職員マスタ!$G$6:$G$405&lt;=EOMONTH($AQ1434,0)))&gt;0)*(((職員マスタ!$H$6:$H$405="")+(職員マスタ!$H$6:$H$405&gt;=$AQ1434))&gt;0)*(ROW(職員マスタ!$A$6:$A$405)-5)))&gt;0,SUMPRODUCT(MAX((職員マスタ!$A$6:$A$405=$B1434)*(((職員マスタ!$G$6:$G$405="")+(職員マスタ!$G$6:$G$405&lt;=EOMONTH($AQ1434,0)))&gt;0)*(((職員マスタ!$H$6:$H$405="")+(職員マスタ!$H$6:$H$405&gt;=$AQ1434))&gt;0)*(ROW(職員マスタ!$A$6:$A$405)-5))),IFERROR(MATCH($B1434,職員マスタ!$A$6:$A$405,0),"")))</f>
        <v/>
      </c>
      <c r="AQ1434" s="16">
        <f>IF(OR($B1434="",$C1434="",$D1434=""),"",DATE($C1434+2018,$D1434,1))</f>
        <v/>
      </c>
    </row>
    <row r="1435">
      <c r="A1435" s="11" t="n"/>
      <c r="B1435" s="12" t="n"/>
      <c r="C1435" s="12" t="n"/>
      <c r="D1435" s="12" t="n"/>
      <c r="E1435" s="13" t="n"/>
      <c r="F1435" s="12" t="n"/>
      <c r="G1435" s="13" t="n"/>
      <c r="H1435" s="12" t="n"/>
      <c r="I1435" s="12" t="n"/>
      <c r="J1435" s="12" t="n"/>
      <c r="K1435" s="12" t="n"/>
      <c r="L1435" s="11" t="n"/>
      <c r="M1435" s="11" t="n"/>
      <c r="N1435" s="11" t="n"/>
      <c r="O1435" s="11" t="n"/>
      <c r="P1435" s="12" t="n"/>
      <c r="Q1435" s="11" t="n"/>
      <c r="R1435" s="12" t="n"/>
      <c r="S1435" s="11" t="n"/>
      <c r="T1435" s="12" t="n"/>
      <c r="U1435" s="12" t="n"/>
      <c r="V1435" s="12" t="n"/>
      <c r="W1435" s="13" t="n"/>
      <c r="X1435" s="14">
        <f>IF($AP1435="",IF($B1435="","",$H1435),IF(INDEX(職員マスタ!$B$6:$B$405,$AP1435)="",$H1435,INDEX(職員マスタ!$B$6:$B$405,$AP1435)))</f>
        <v/>
      </c>
      <c r="Y1435" s="14">
        <f>IF($AP1435="",IF($B1435="","",$R1435),IF(INDEX(職員マスタ!$C$6:$C$405,$AP1435)="",$R1435,INDEX(職員マスタ!$C$6:$C$405,$AP1435)))</f>
        <v/>
      </c>
      <c r="Z1435" s="14">
        <f>IF($AQ1435="","","R"&amp;$C1435&amp;"."&amp;$D1435)</f>
        <v/>
      </c>
      <c r="AA1435" s="15">
        <f>IF(IF($AP1435="",FALSE,INDEX(職員マスタ!$K$6:$K$405,$AP1435)&lt;&gt;""),INDEX(職員マスタ!$K$6:$K$405,$AP1435),IF(N($W1435)&gt;0,$W1435,""))</f>
        <v/>
      </c>
      <c r="AB1435" s="14">
        <f>IF(OR($E1435="",$AA1435=""),"",IF($E1435&gt;=$AA1435,"×",IF($E1435&gt;=$AA1435*設定!$C$5,"△","○")))</f>
        <v/>
      </c>
      <c r="AC1435" s="15">
        <f>IF($AB1435="","",IF($AB1435="×",0,IF($AB1435="○",ROUNDDOWN($E1435*設定!$C$4,0),ROUNDDOWN($E1435*ROUND((9*$AA1435-9*$E1435)/(10*$E1435),4),0))))</f>
        <v/>
      </c>
      <c r="AD1435" s="13" t="n"/>
      <c r="AE1435" s="15">
        <f>IF($B1435="","",IF($AD1435&lt;&gt;"",$AD1435,IF($AC1435="","",IF($AC1435&lt;=設定!$C$3,0,$AC1435))))</f>
        <v/>
      </c>
      <c r="AF1435" s="14">
        <f>IF($B1435="","",IF(AND($AG1435&lt;&gt;"",$AI1435="",$AL1435=""),"保留中",IF($AL1435&lt;&gt;"",IF(N($AE1435)&gt;0,"支給済","不支給"),IF($AE1435="","要確認",IF($AE1435=0,"不支給","未処理")))))</f>
        <v/>
      </c>
      <c r="AG1435" s="12" t="n"/>
      <c r="AH1435" s="11" t="n"/>
      <c r="AI1435" s="11" t="n"/>
      <c r="AJ1435" s="11" t="n"/>
      <c r="AK1435" s="14">
        <f>IF(AND($AF1435="保留中",$AH1435&lt;&gt;""),TODAY()-$AH1435,"")</f>
        <v/>
      </c>
      <c r="AL1435" s="12" t="n"/>
      <c r="AM1435" s="14">
        <f>IF($B1435="","",IF($AQ1435="","対象年月が未入力／","")&amp;IF($B1435="","",IF($AP1435="","職員マスタに未登録の職員番号／",IF($AA1435="","標準報酬月額が未登録／","")&amp;IF(AND($AQ1435&lt;&gt;"",OR(AND(INDEX(職員マスタ!$G$6:$G$405,$AP1435)&lt;&gt;"",INDEX(職員マスタ!$G$6:$G$405,$AP1435)&gt;EOMONTH($AQ1435,0)),AND(INDEX(職員マスタ!$H$6:$H$405,$AP1435)&lt;&gt;"",INDEX(職員マスタ!$H$6:$H$405,$AP1435)&lt;$AQ1435))),"対象月が時短期間外／","")&amp;IF(AND(INDEX(職員マスタ!$K$6:$K$405,$AP1435)&lt;&gt;"",N($W1435)&gt;0,INDEX(職員マスタ!$K$6:$K$405,$AP1435)&lt;&gt;$W1435),"標準報酬月額が申請書と相違（台帳"&amp;TEXT(INDEX(職員マスタ!$K$6:$K$405,$AP1435),"#,##0")&amp;"円／申請書"&amp;TEXT($W1435,"#,##0")&amp;"円）／","")&amp;IF(AND(INDEX(職員マスタ!$F$6:$F$405,$AP1435)&lt;&gt;"",$AQ1435&lt;&gt;"",INDEX(職員マスタ!$F$6:$F$405,$AP1435)&lt;$AQ1435),"対象月に子が2歳到達済／","")&amp;IF(AND($H1435&lt;&gt;"",INDEX(職員マスタ!$B$6:$B$405,$AP1435)&lt;&gt;"",SUBSTITUTE(SUBSTITUTE($H1435," ","")," ","")&lt;&gt;SUBSTITUTE(SUBSTITUTE(INDEX(職員マスタ!$B$6:$B$405,$AP1435)," ","")," ","")),"氏名がマスタと相違／","")&amp;IF(AND($Q1435&lt;&gt;"",INDEX(職員マスタ!$E$6:$E$405,$AP1435)&lt;&gt;"",$Q1435&lt;&gt;INDEX(職員マスタ!$E$6:$E$405,$AP1435)),"子の生年月日がマスタと相違／","")&amp;IF(AND($L1435&lt;&gt;"",INDEX(職員マスタ!$G$6:$G$405,$AP1435)&lt;&gt;"",$L1435&lt;&gt;INDEX(職員マスタ!$G$6:$G$405,$AP1435)),"時短開始日がマスタと相違／","")&amp;IF(AND($M1435&lt;&gt;"",INDEX(職員マスタ!$H$6:$H$405,$AP1435)&lt;&gt;"",$M1435&lt;&gt;INDEX(職員マスタ!$H$6:$H$405,$AP1435)),"時短終了日がマスタと相違／","")))&amp;IF(AND($B1435&lt;&gt;"",$E1435=""),"報酬額が未入力／","")&amp;IF(N($U1435)&gt;0,"申請書に入力エラーが残っています／","")&amp;IF(AND($B1435&lt;&gt;"",$AQ1435&lt;&gt;""),IF(COUNTIFS($B$6:$B$3005,$B1435,$C$6:$C$3005,$C1435,$D$6:$D$3005,$D1435)&gt;1,"同じ月の請求が重複しています／",""),"")&amp;IF(AND(N($E1435)&gt;0,$AB1435&lt;&gt;"",$AB1435&lt;&gt;"×",$AE1435=0,$AD1435=""),"計算額が下限以下のため不支給／",""))</f>
        <v/>
      </c>
      <c r="AN1435" s="12" t="n"/>
      <c r="AO1435" s="14">
        <f>IF($AF1435="保留中",COUNTIF($AF$6:$AF1435,"保留中"),"")</f>
        <v/>
      </c>
      <c r="AP1435" s="14">
        <f>IF($AQ1435="","",IF(SUMPRODUCT(MAX((職員マスタ!$A$6:$A$405=$B1435)*(((職員マスタ!$G$6:$G$405="")+(職員マスタ!$G$6:$G$405&lt;=EOMONTH($AQ1435,0)))&gt;0)*(((職員マスタ!$H$6:$H$405="")+(職員マスタ!$H$6:$H$405&gt;=$AQ1435))&gt;0)*(ROW(職員マスタ!$A$6:$A$405)-5)))&gt;0,SUMPRODUCT(MAX((職員マスタ!$A$6:$A$405=$B1435)*(((職員マスタ!$G$6:$G$405="")+(職員マスタ!$G$6:$G$405&lt;=EOMONTH($AQ1435,0)))&gt;0)*(((職員マスタ!$H$6:$H$405="")+(職員マスタ!$H$6:$H$405&gt;=$AQ1435))&gt;0)*(ROW(職員マスタ!$A$6:$A$405)-5))),IFERROR(MATCH($B1435,職員マスタ!$A$6:$A$405,0),"")))</f>
        <v/>
      </c>
      <c r="AQ1435" s="16">
        <f>IF(OR($B1435="",$C1435="",$D1435=""),"",DATE($C1435+2018,$D1435,1))</f>
        <v/>
      </c>
    </row>
    <row r="1436">
      <c r="A1436" s="11" t="n"/>
      <c r="B1436" s="12" t="n"/>
      <c r="C1436" s="12" t="n"/>
      <c r="D1436" s="12" t="n"/>
      <c r="E1436" s="13" t="n"/>
      <c r="F1436" s="12" t="n"/>
      <c r="G1436" s="13" t="n"/>
      <c r="H1436" s="12" t="n"/>
      <c r="I1436" s="12" t="n"/>
      <c r="J1436" s="12" t="n"/>
      <c r="K1436" s="12" t="n"/>
      <c r="L1436" s="11" t="n"/>
      <c r="M1436" s="11" t="n"/>
      <c r="N1436" s="11" t="n"/>
      <c r="O1436" s="11" t="n"/>
      <c r="P1436" s="12" t="n"/>
      <c r="Q1436" s="11" t="n"/>
      <c r="R1436" s="12" t="n"/>
      <c r="S1436" s="11" t="n"/>
      <c r="T1436" s="12" t="n"/>
      <c r="U1436" s="12" t="n"/>
      <c r="V1436" s="12" t="n"/>
      <c r="W1436" s="13" t="n"/>
      <c r="X1436" s="14">
        <f>IF($AP1436="",IF($B1436="","",$H1436),IF(INDEX(職員マスタ!$B$6:$B$405,$AP1436)="",$H1436,INDEX(職員マスタ!$B$6:$B$405,$AP1436)))</f>
        <v/>
      </c>
      <c r="Y1436" s="14">
        <f>IF($AP1436="",IF($B1436="","",$R1436),IF(INDEX(職員マスタ!$C$6:$C$405,$AP1436)="",$R1436,INDEX(職員マスタ!$C$6:$C$405,$AP1436)))</f>
        <v/>
      </c>
      <c r="Z1436" s="14">
        <f>IF($AQ1436="","","R"&amp;$C1436&amp;"."&amp;$D1436)</f>
        <v/>
      </c>
      <c r="AA1436" s="15">
        <f>IF(IF($AP1436="",FALSE,INDEX(職員マスタ!$K$6:$K$405,$AP1436)&lt;&gt;""),INDEX(職員マスタ!$K$6:$K$405,$AP1436),IF(N($W1436)&gt;0,$W1436,""))</f>
        <v/>
      </c>
      <c r="AB1436" s="14">
        <f>IF(OR($E1436="",$AA1436=""),"",IF($E1436&gt;=$AA1436,"×",IF($E1436&gt;=$AA1436*設定!$C$5,"△","○")))</f>
        <v/>
      </c>
      <c r="AC1436" s="15">
        <f>IF($AB1436="","",IF($AB1436="×",0,IF($AB1436="○",ROUNDDOWN($E1436*設定!$C$4,0),ROUNDDOWN($E1436*ROUND((9*$AA1436-9*$E1436)/(10*$E1436),4),0))))</f>
        <v/>
      </c>
      <c r="AD1436" s="13" t="n"/>
      <c r="AE1436" s="15">
        <f>IF($B1436="","",IF($AD1436&lt;&gt;"",$AD1436,IF($AC1436="","",IF($AC1436&lt;=設定!$C$3,0,$AC1436))))</f>
        <v/>
      </c>
      <c r="AF1436" s="14">
        <f>IF($B1436="","",IF(AND($AG1436&lt;&gt;"",$AI1436="",$AL1436=""),"保留中",IF($AL1436&lt;&gt;"",IF(N($AE1436)&gt;0,"支給済","不支給"),IF($AE1436="","要確認",IF($AE1436=0,"不支給","未処理")))))</f>
        <v/>
      </c>
      <c r="AG1436" s="12" t="n"/>
      <c r="AH1436" s="11" t="n"/>
      <c r="AI1436" s="11" t="n"/>
      <c r="AJ1436" s="11" t="n"/>
      <c r="AK1436" s="14">
        <f>IF(AND($AF1436="保留中",$AH1436&lt;&gt;""),TODAY()-$AH1436,"")</f>
        <v/>
      </c>
      <c r="AL1436" s="12" t="n"/>
      <c r="AM1436" s="14">
        <f>IF($B1436="","",IF($AQ1436="","対象年月が未入力／","")&amp;IF($B1436="","",IF($AP1436="","職員マスタに未登録の職員番号／",IF($AA1436="","標準報酬月額が未登録／","")&amp;IF(AND($AQ1436&lt;&gt;"",OR(AND(INDEX(職員マスタ!$G$6:$G$405,$AP1436)&lt;&gt;"",INDEX(職員マスタ!$G$6:$G$405,$AP1436)&gt;EOMONTH($AQ1436,0)),AND(INDEX(職員マスタ!$H$6:$H$405,$AP1436)&lt;&gt;"",INDEX(職員マスタ!$H$6:$H$405,$AP1436)&lt;$AQ1436))),"対象月が時短期間外／","")&amp;IF(AND(INDEX(職員マスタ!$K$6:$K$405,$AP1436)&lt;&gt;"",N($W1436)&gt;0,INDEX(職員マスタ!$K$6:$K$405,$AP1436)&lt;&gt;$W1436),"標準報酬月額が申請書と相違（台帳"&amp;TEXT(INDEX(職員マスタ!$K$6:$K$405,$AP1436),"#,##0")&amp;"円／申請書"&amp;TEXT($W1436,"#,##0")&amp;"円）／","")&amp;IF(AND(INDEX(職員マスタ!$F$6:$F$405,$AP1436)&lt;&gt;"",$AQ1436&lt;&gt;"",INDEX(職員マスタ!$F$6:$F$405,$AP1436)&lt;$AQ1436),"対象月に子が2歳到達済／","")&amp;IF(AND($H1436&lt;&gt;"",INDEX(職員マスタ!$B$6:$B$405,$AP1436)&lt;&gt;"",SUBSTITUTE(SUBSTITUTE($H1436," ","")," ","")&lt;&gt;SUBSTITUTE(SUBSTITUTE(INDEX(職員マスタ!$B$6:$B$405,$AP1436)," ","")," ","")),"氏名がマスタと相違／","")&amp;IF(AND($Q1436&lt;&gt;"",INDEX(職員マスタ!$E$6:$E$405,$AP1436)&lt;&gt;"",$Q1436&lt;&gt;INDEX(職員マスタ!$E$6:$E$405,$AP1436)),"子の生年月日がマスタと相違／","")&amp;IF(AND($L1436&lt;&gt;"",INDEX(職員マスタ!$G$6:$G$405,$AP1436)&lt;&gt;"",$L1436&lt;&gt;INDEX(職員マスタ!$G$6:$G$405,$AP1436)),"時短開始日がマスタと相違／","")&amp;IF(AND($M1436&lt;&gt;"",INDEX(職員マスタ!$H$6:$H$405,$AP1436)&lt;&gt;"",$M1436&lt;&gt;INDEX(職員マスタ!$H$6:$H$405,$AP1436)),"時短終了日がマスタと相違／","")))&amp;IF(AND($B1436&lt;&gt;"",$E1436=""),"報酬額が未入力／","")&amp;IF(N($U1436)&gt;0,"申請書に入力エラーが残っています／","")&amp;IF(AND($B1436&lt;&gt;"",$AQ1436&lt;&gt;""),IF(COUNTIFS($B$6:$B$3005,$B1436,$C$6:$C$3005,$C1436,$D$6:$D$3005,$D1436)&gt;1,"同じ月の請求が重複しています／",""),"")&amp;IF(AND(N($E1436)&gt;0,$AB1436&lt;&gt;"",$AB1436&lt;&gt;"×",$AE1436=0,$AD1436=""),"計算額が下限以下のため不支給／",""))</f>
        <v/>
      </c>
      <c r="AN1436" s="12" t="n"/>
      <c r="AO1436" s="14">
        <f>IF($AF1436="保留中",COUNTIF($AF$6:$AF1436,"保留中"),"")</f>
        <v/>
      </c>
      <c r="AP1436" s="14">
        <f>IF($AQ1436="","",IF(SUMPRODUCT(MAX((職員マスタ!$A$6:$A$405=$B1436)*(((職員マスタ!$G$6:$G$405="")+(職員マスタ!$G$6:$G$405&lt;=EOMONTH($AQ1436,0)))&gt;0)*(((職員マスタ!$H$6:$H$405="")+(職員マスタ!$H$6:$H$405&gt;=$AQ1436))&gt;0)*(ROW(職員マスタ!$A$6:$A$405)-5)))&gt;0,SUMPRODUCT(MAX((職員マスタ!$A$6:$A$405=$B1436)*(((職員マスタ!$G$6:$G$405="")+(職員マスタ!$G$6:$G$405&lt;=EOMONTH($AQ1436,0)))&gt;0)*(((職員マスタ!$H$6:$H$405="")+(職員マスタ!$H$6:$H$405&gt;=$AQ1436))&gt;0)*(ROW(職員マスタ!$A$6:$A$405)-5))),IFERROR(MATCH($B1436,職員マスタ!$A$6:$A$405,0),"")))</f>
        <v/>
      </c>
      <c r="AQ1436" s="16">
        <f>IF(OR($B1436="",$C1436="",$D1436=""),"",DATE($C1436+2018,$D1436,1))</f>
        <v/>
      </c>
    </row>
    <row r="1437">
      <c r="A1437" s="11" t="n"/>
      <c r="B1437" s="12" t="n"/>
      <c r="C1437" s="12" t="n"/>
      <c r="D1437" s="12" t="n"/>
      <c r="E1437" s="13" t="n"/>
      <c r="F1437" s="12" t="n"/>
      <c r="G1437" s="13" t="n"/>
      <c r="H1437" s="12" t="n"/>
      <c r="I1437" s="12" t="n"/>
      <c r="J1437" s="12" t="n"/>
      <c r="K1437" s="12" t="n"/>
      <c r="L1437" s="11" t="n"/>
      <c r="M1437" s="11" t="n"/>
      <c r="N1437" s="11" t="n"/>
      <c r="O1437" s="11" t="n"/>
      <c r="P1437" s="12" t="n"/>
      <c r="Q1437" s="11" t="n"/>
      <c r="R1437" s="12" t="n"/>
      <c r="S1437" s="11" t="n"/>
      <c r="T1437" s="12" t="n"/>
      <c r="U1437" s="12" t="n"/>
      <c r="V1437" s="12" t="n"/>
      <c r="W1437" s="13" t="n"/>
      <c r="X1437" s="14">
        <f>IF($AP1437="",IF($B1437="","",$H1437),IF(INDEX(職員マスタ!$B$6:$B$405,$AP1437)="",$H1437,INDEX(職員マスタ!$B$6:$B$405,$AP1437)))</f>
        <v/>
      </c>
      <c r="Y1437" s="14">
        <f>IF($AP1437="",IF($B1437="","",$R1437),IF(INDEX(職員マスタ!$C$6:$C$405,$AP1437)="",$R1437,INDEX(職員マスタ!$C$6:$C$405,$AP1437)))</f>
        <v/>
      </c>
      <c r="Z1437" s="14">
        <f>IF($AQ1437="","","R"&amp;$C1437&amp;"."&amp;$D1437)</f>
        <v/>
      </c>
      <c r="AA1437" s="15">
        <f>IF(IF($AP1437="",FALSE,INDEX(職員マスタ!$K$6:$K$405,$AP1437)&lt;&gt;""),INDEX(職員マスタ!$K$6:$K$405,$AP1437),IF(N($W1437)&gt;0,$W1437,""))</f>
        <v/>
      </c>
      <c r="AB1437" s="14">
        <f>IF(OR($E1437="",$AA1437=""),"",IF($E1437&gt;=$AA1437,"×",IF($E1437&gt;=$AA1437*設定!$C$5,"△","○")))</f>
        <v/>
      </c>
      <c r="AC1437" s="15">
        <f>IF($AB1437="","",IF($AB1437="×",0,IF($AB1437="○",ROUNDDOWN($E1437*設定!$C$4,0),ROUNDDOWN($E1437*ROUND((9*$AA1437-9*$E1437)/(10*$E1437),4),0))))</f>
        <v/>
      </c>
      <c r="AD1437" s="13" t="n"/>
      <c r="AE1437" s="15">
        <f>IF($B1437="","",IF($AD1437&lt;&gt;"",$AD1437,IF($AC1437="","",IF($AC1437&lt;=設定!$C$3,0,$AC1437))))</f>
        <v/>
      </c>
      <c r="AF1437" s="14">
        <f>IF($B1437="","",IF(AND($AG1437&lt;&gt;"",$AI1437="",$AL1437=""),"保留中",IF($AL1437&lt;&gt;"",IF(N($AE1437)&gt;0,"支給済","不支給"),IF($AE1437="","要確認",IF($AE1437=0,"不支給","未処理")))))</f>
        <v/>
      </c>
      <c r="AG1437" s="12" t="n"/>
      <c r="AH1437" s="11" t="n"/>
      <c r="AI1437" s="11" t="n"/>
      <c r="AJ1437" s="11" t="n"/>
      <c r="AK1437" s="14">
        <f>IF(AND($AF1437="保留中",$AH1437&lt;&gt;""),TODAY()-$AH1437,"")</f>
        <v/>
      </c>
      <c r="AL1437" s="12" t="n"/>
      <c r="AM1437" s="14">
        <f>IF($B1437="","",IF($AQ1437="","対象年月が未入力／","")&amp;IF($B1437="","",IF($AP1437="","職員マスタに未登録の職員番号／",IF($AA1437="","標準報酬月額が未登録／","")&amp;IF(AND($AQ1437&lt;&gt;"",OR(AND(INDEX(職員マスタ!$G$6:$G$405,$AP1437)&lt;&gt;"",INDEX(職員マスタ!$G$6:$G$405,$AP1437)&gt;EOMONTH($AQ1437,0)),AND(INDEX(職員マスタ!$H$6:$H$405,$AP1437)&lt;&gt;"",INDEX(職員マスタ!$H$6:$H$405,$AP1437)&lt;$AQ1437))),"対象月が時短期間外／","")&amp;IF(AND(INDEX(職員マスタ!$K$6:$K$405,$AP1437)&lt;&gt;"",N($W1437)&gt;0,INDEX(職員マスタ!$K$6:$K$405,$AP1437)&lt;&gt;$W1437),"標準報酬月額が申請書と相違（台帳"&amp;TEXT(INDEX(職員マスタ!$K$6:$K$405,$AP1437),"#,##0")&amp;"円／申請書"&amp;TEXT($W1437,"#,##0")&amp;"円）／","")&amp;IF(AND(INDEX(職員マスタ!$F$6:$F$405,$AP1437)&lt;&gt;"",$AQ1437&lt;&gt;"",INDEX(職員マスタ!$F$6:$F$405,$AP1437)&lt;$AQ1437),"対象月に子が2歳到達済／","")&amp;IF(AND($H1437&lt;&gt;"",INDEX(職員マスタ!$B$6:$B$405,$AP1437)&lt;&gt;"",SUBSTITUTE(SUBSTITUTE($H1437," ","")," ","")&lt;&gt;SUBSTITUTE(SUBSTITUTE(INDEX(職員マスタ!$B$6:$B$405,$AP1437)," ","")," ","")),"氏名がマスタと相違／","")&amp;IF(AND($Q1437&lt;&gt;"",INDEX(職員マスタ!$E$6:$E$405,$AP1437)&lt;&gt;"",$Q1437&lt;&gt;INDEX(職員マスタ!$E$6:$E$405,$AP1437)),"子の生年月日がマスタと相違／","")&amp;IF(AND($L1437&lt;&gt;"",INDEX(職員マスタ!$G$6:$G$405,$AP1437)&lt;&gt;"",$L1437&lt;&gt;INDEX(職員マスタ!$G$6:$G$405,$AP1437)),"時短開始日がマスタと相違／","")&amp;IF(AND($M1437&lt;&gt;"",INDEX(職員マスタ!$H$6:$H$405,$AP1437)&lt;&gt;"",$M1437&lt;&gt;INDEX(職員マスタ!$H$6:$H$405,$AP1437)),"時短終了日がマスタと相違／","")))&amp;IF(AND($B1437&lt;&gt;"",$E1437=""),"報酬額が未入力／","")&amp;IF(N($U1437)&gt;0,"申請書に入力エラーが残っています／","")&amp;IF(AND($B1437&lt;&gt;"",$AQ1437&lt;&gt;""),IF(COUNTIFS($B$6:$B$3005,$B1437,$C$6:$C$3005,$C1437,$D$6:$D$3005,$D1437)&gt;1,"同じ月の請求が重複しています／",""),"")&amp;IF(AND(N($E1437)&gt;0,$AB1437&lt;&gt;"",$AB1437&lt;&gt;"×",$AE1437=0,$AD1437=""),"計算額が下限以下のため不支給／",""))</f>
        <v/>
      </c>
      <c r="AN1437" s="12" t="n"/>
      <c r="AO1437" s="14">
        <f>IF($AF1437="保留中",COUNTIF($AF$6:$AF1437,"保留中"),"")</f>
        <v/>
      </c>
      <c r="AP1437" s="14">
        <f>IF($AQ1437="","",IF(SUMPRODUCT(MAX((職員マスタ!$A$6:$A$405=$B1437)*(((職員マスタ!$G$6:$G$405="")+(職員マスタ!$G$6:$G$405&lt;=EOMONTH($AQ1437,0)))&gt;0)*(((職員マスタ!$H$6:$H$405="")+(職員マスタ!$H$6:$H$405&gt;=$AQ1437))&gt;0)*(ROW(職員マスタ!$A$6:$A$405)-5)))&gt;0,SUMPRODUCT(MAX((職員マスタ!$A$6:$A$405=$B1437)*(((職員マスタ!$G$6:$G$405="")+(職員マスタ!$G$6:$G$405&lt;=EOMONTH($AQ1437,0)))&gt;0)*(((職員マスタ!$H$6:$H$405="")+(職員マスタ!$H$6:$H$405&gt;=$AQ1437))&gt;0)*(ROW(職員マスタ!$A$6:$A$405)-5))),IFERROR(MATCH($B1437,職員マスタ!$A$6:$A$405,0),"")))</f>
        <v/>
      </c>
      <c r="AQ1437" s="16">
        <f>IF(OR($B1437="",$C1437="",$D1437=""),"",DATE($C1437+2018,$D1437,1))</f>
        <v/>
      </c>
    </row>
    <row r="1438">
      <c r="A1438" s="11" t="n"/>
      <c r="B1438" s="12" t="n"/>
      <c r="C1438" s="12" t="n"/>
      <c r="D1438" s="12" t="n"/>
      <c r="E1438" s="13" t="n"/>
      <c r="F1438" s="12" t="n"/>
      <c r="G1438" s="13" t="n"/>
      <c r="H1438" s="12" t="n"/>
      <c r="I1438" s="12" t="n"/>
      <c r="J1438" s="12" t="n"/>
      <c r="K1438" s="12" t="n"/>
      <c r="L1438" s="11" t="n"/>
      <c r="M1438" s="11" t="n"/>
      <c r="N1438" s="11" t="n"/>
      <c r="O1438" s="11" t="n"/>
      <c r="P1438" s="12" t="n"/>
      <c r="Q1438" s="11" t="n"/>
      <c r="R1438" s="12" t="n"/>
      <c r="S1438" s="11" t="n"/>
      <c r="T1438" s="12" t="n"/>
      <c r="U1438" s="12" t="n"/>
      <c r="V1438" s="12" t="n"/>
      <c r="W1438" s="13" t="n"/>
      <c r="X1438" s="14">
        <f>IF($AP1438="",IF($B1438="","",$H1438),IF(INDEX(職員マスタ!$B$6:$B$405,$AP1438)="",$H1438,INDEX(職員マスタ!$B$6:$B$405,$AP1438)))</f>
        <v/>
      </c>
      <c r="Y1438" s="14">
        <f>IF($AP1438="",IF($B1438="","",$R1438),IF(INDEX(職員マスタ!$C$6:$C$405,$AP1438)="",$R1438,INDEX(職員マスタ!$C$6:$C$405,$AP1438)))</f>
        <v/>
      </c>
      <c r="Z1438" s="14">
        <f>IF($AQ1438="","","R"&amp;$C1438&amp;"."&amp;$D1438)</f>
        <v/>
      </c>
      <c r="AA1438" s="15">
        <f>IF(IF($AP1438="",FALSE,INDEX(職員マスタ!$K$6:$K$405,$AP1438)&lt;&gt;""),INDEX(職員マスタ!$K$6:$K$405,$AP1438),IF(N($W1438)&gt;0,$W1438,""))</f>
        <v/>
      </c>
      <c r="AB1438" s="14">
        <f>IF(OR($E1438="",$AA1438=""),"",IF($E1438&gt;=$AA1438,"×",IF($E1438&gt;=$AA1438*設定!$C$5,"△","○")))</f>
        <v/>
      </c>
      <c r="AC1438" s="15">
        <f>IF($AB1438="","",IF($AB1438="×",0,IF($AB1438="○",ROUNDDOWN($E1438*設定!$C$4,0),ROUNDDOWN($E1438*ROUND((9*$AA1438-9*$E1438)/(10*$E1438),4),0))))</f>
        <v/>
      </c>
      <c r="AD1438" s="13" t="n"/>
      <c r="AE1438" s="15">
        <f>IF($B1438="","",IF($AD1438&lt;&gt;"",$AD1438,IF($AC1438="","",IF($AC1438&lt;=設定!$C$3,0,$AC1438))))</f>
        <v/>
      </c>
      <c r="AF1438" s="14">
        <f>IF($B1438="","",IF(AND($AG1438&lt;&gt;"",$AI1438="",$AL1438=""),"保留中",IF($AL1438&lt;&gt;"",IF(N($AE1438)&gt;0,"支給済","不支給"),IF($AE1438="","要確認",IF($AE1438=0,"不支給","未処理")))))</f>
        <v/>
      </c>
      <c r="AG1438" s="12" t="n"/>
      <c r="AH1438" s="11" t="n"/>
      <c r="AI1438" s="11" t="n"/>
      <c r="AJ1438" s="11" t="n"/>
      <c r="AK1438" s="14">
        <f>IF(AND($AF1438="保留中",$AH1438&lt;&gt;""),TODAY()-$AH1438,"")</f>
        <v/>
      </c>
      <c r="AL1438" s="12" t="n"/>
      <c r="AM1438" s="14">
        <f>IF($B1438="","",IF($AQ1438="","対象年月が未入力／","")&amp;IF($B1438="","",IF($AP1438="","職員マスタに未登録の職員番号／",IF($AA1438="","標準報酬月額が未登録／","")&amp;IF(AND($AQ1438&lt;&gt;"",OR(AND(INDEX(職員マスタ!$G$6:$G$405,$AP1438)&lt;&gt;"",INDEX(職員マスタ!$G$6:$G$405,$AP1438)&gt;EOMONTH($AQ1438,0)),AND(INDEX(職員マスタ!$H$6:$H$405,$AP1438)&lt;&gt;"",INDEX(職員マスタ!$H$6:$H$405,$AP1438)&lt;$AQ1438))),"対象月が時短期間外／","")&amp;IF(AND(INDEX(職員マスタ!$K$6:$K$405,$AP1438)&lt;&gt;"",N($W1438)&gt;0,INDEX(職員マスタ!$K$6:$K$405,$AP1438)&lt;&gt;$W1438),"標準報酬月額が申請書と相違（台帳"&amp;TEXT(INDEX(職員マスタ!$K$6:$K$405,$AP1438),"#,##0")&amp;"円／申請書"&amp;TEXT($W1438,"#,##0")&amp;"円）／","")&amp;IF(AND(INDEX(職員マスタ!$F$6:$F$405,$AP1438)&lt;&gt;"",$AQ1438&lt;&gt;"",INDEX(職員マスタ!$F$6:$F$405,$AP1438)&lt;$AQ1438),"対象月に子が2歳到達済／","")&amp;IF(AND($H1438&lt;&gt;"",INDEX(職員マスタ!$B$6:$B$405,$AP1438)&lt;&gt;"",SUBSTITUTE(SUBSTITUTE($H1438," ","")," ","")&lt;&gt;SUBSTITUTE(SUBSTITUTE(INDEX(職員マスタ!$B$6:$B$405,$AP1438)," ","")," ","")),"氏名がマスタと相違／","")&amp;IF(AND($Q1438&lt;&gt;"",INDEX(職員マスタ!$E$6:$E$405,$AP1438)&lt;&gt;"",$Q1438&lt;&gt;INDEX(職員マスタ!$E$6:$E$405,$AP1438)),"子の生年月日がマスタと相違／","")&amp;IF(AND($L1438&lt;&gt;"",INDEX(職員マスタ!$G$6:$G$405,$AP1438)&lt;&gt;"",$L1438&lt;&gt;INDEX(職員マスタ!$G$6:$G$405,$AP1438)),"時短開始日がマスタと相違／","")&amp;IF(AND($M1438&lt;&gt;"",INDEX(職員マスタ!$H$6:$H$405,$AP1438)&lt;&gt;"",$M1438&lt;&gt;INDEX(職員マスタ!$H$6:$H$405,$AP1438)),"時短終了日がマスタと相違／","")))&amp;IF(AND($B1438&lt;&gt;"",$E1438=""),"報酬額が未入力／","")&amp;IF(N($U1438)&gt;0,"申請書に入力エラーが残っています／","")&amp;IF(AND($B1438&lt;&gt;"",$AQ1438&lt;&gt;""),IF(COUNTIFS($B$6:$B$3005,$B1438,$C$6:$C$3005,$C1438,$D$6:$D$3005,$D1438)&gt;1,"同じ月の請求が重複しています／",""),"")&amp;IF(AND(N($E1438)&gt;0,$AB1438&lt;&gt;"",$AB1438&lt;&gt;"×",$AE1438=0,$AD1438=""),"計算額が下限以下のため不支給／",""))</f>
        <v/>
      </c>
      <c r="AN1438" s="12" t="n"/>
      <c r="AO1438" s="14">
        <f>IF($AF1438="保留中",COUNTIF($AF$6:$AF1438,"保留中"),"")</f>
        <v/>
      </c>
      <c r="AP1438" s="14">
        <f>IF($AQ1438="","",IF(SUMPRODUCT(MAX((職員マスタ!$A$6:$A$405=$B1438)*(((職員マスタ!$G$6:$G$405="")+(職員マスタ!$G$6:$G$405&lt;=EOMONTH($AQ1438,0)))&gt;0)*(((職員マスタ!$H$6:$H$405="")+(職員マスタ!$H$6:$H$405&gt;=$AQ1438))&gt;0)*(ROW(職員マスタ!$A$6:$A$405)-5)))&gt;0,SUMPRODUCT(MAX((職員マスタ!$A$6:$A$405=$B1438)*(((職員マスタ!$G$6:$G$405="")+(職員マスタ!$G$6:$G$405&lt;=EOMONTH($AQ1438,0)))&gt;0)*(((職員マスタ!$H$6:$H$405="")+(職員マスタ!$H$6:$H$405&gt;=$AQ1438))&gt;0)*(ROW(職員マスタ!$A$6:$A$405)-5))),IFERROR(MATCH($B1438,職員マスタ!$A$6:$A$405,0),"")))</f>
        <v/>
      </c>
      <c r="AQ1438" s="16">
        <f>IF(OR($B1438="",$C1438="",$D1438=""),"",DATE($C1438+2018,$D1438,1))</f>
        <v/>
      </c>
    </row>
    <row r="1439">
      <c r="A1439" s="11" t="n"/>
      <c r="B1439" s="12" t="n"/>
      <c r="C1439" s="12" t="n"/>
      <c r="D1439" s="12" t="n"/>
      <c r="E1439" s="13" t="n"/>
      <c r="F1439" s="12" t="n"/>
      <c r="G1439" s="13" t="n"/>
      <c r="H1439" s="12" t="n"/>
      <c r="I1439" s="12" t="n"/>
      <c r="J1439" s="12" t="n"/>
      <c r="K1439" s="12" t="n"/>
      <c r="L1439" s="11" t="n"/>
      <c r="M1439" s="11" t="n"/>
      <c r="N1439" s="11" t="n"/>
      <c r="O1439" s="11" t="n"/>
      <c r="P1439" s="12" t="n"/>
      <c r="Q1439" s="11" t="n"/>
      <c r="R1439" s="12" t="n"/>
      <c r="S1439" s="11" t="n"/>
      <c r="T1439" s="12" t="n"/>
      <c r="U1439" s="12" t="n"/>
      <c r="V1439" s="12" t="n"/>
      <c r="W1439" s="13" t="n"/>
      <c r="X1439" s="14">
        <f>IF($AP1439="",IF($B1439="","",$H1439),IF(INDEX(職員マスタ!$B$6:$B$405,$AP1439)="",$H1439,INDEX(職員マスタ!$B$6:$B$405,$AP1439)))</f>
        <v/>
      </c>
      <c r="Y1439" s="14">
        <f>IF($AP1439="",IF($B1439="","",$R1439),IF(INDEX(職員マスタ!$C$6:$C$405,$AP1439)="",$R1439,INDEX(職員マスタ!$C$6:$C$405,$AP1439)))</f>
        <v/>
      </c>
      <c r="Z1439" s="14">
        <f>IF($AQ1439="","","R"&amp;$C1439&amp;"."&amp;$D1439)</f>
        <v/>
      </c>
      <c r="AA1439" s="15">
        <f>IF(IF($AP1439="",FALSE,INDEX(職員マスタ!$K$6:$K$405,$AP1439)&lt;&gt;""),INDEX(職員マスタ!$K$6:$K$405,$AP1439),IF(N($W1439)&gt;0,$W1439,""))</f>
        <v/>
      </c>
      <c r="AB1439" s="14">
        <f>IF(OR($E1439="",$AA1439=""),"",IF($E1439&gt;=$AA1439,"×",IF($E1439&gt;=$AA1439*設定!$C$5,"△","○")))</f>
        <v/>
      </c>
      <c r="AC1439" s="15">
        <f>IF($AB1439="","",IF($AB1439="×",0,IF($AB1439="○",ROUNDDOWN($E1439*設定!$C$4,0),ROUNDDOWN($E1439*ROUND((9*$AA1439-9*$E1439)/(10*$E1439),4),0))))</f>
        <v/>
      </c>
      <c r="AD1439" s="13" t="n"/>
      <c r="AE1439" s="15">
        <f>IF($B1439="","",IF($AD1439&lt;&gt;"",$AD1439,IF($AC1439="","",IF($AC1439&lt;=設定!$C$3,0,$AC1439))))</f>
        <v/>
      </c>
      <c r="AF1439" s="14">
        <f>IF($B1439="","",IF(AND($AG1439&lt;&gt;"",$AI1439="",$AL1439=""),"保留中",IF($AL1439&lt;&gt;"",IF(N($AE1439)&gt;0,"支給済","不支給"),IF($AE1439="","要確認",IF($AE1439=0,"不支給","未処理")))))</f>
        <v/>
      </c>
      <c r="AG1439" s="12" t="n"/>
      <c r="AH1439" s="11" t="n"/>
      <c r="AI1439" s="11" t="n"/>
      <c r="AJ1439" s="11" t="n"/>
      <c r="AK1439" s="14">
        <f>IF(AND($AF1439="保留中",$AH1439&lt;&gt;""),TODAY()-$AH1439,"")</f>
        <v/>
      </c>
      <c r="AL1439" s="12" t="n"/>
      <c r="AM1439" s="14">
        <f>IF($B1439="","",IF($AQ1439="","対象年月が未入力／","")&amp;IF($B1439="","",IF($AP1439="","職員マスタに未登録の職員番号／",IF($AA1439="","標準報酬月額が未登録／","")&amp;IF(AND($AQ1439&lt;&gt;"",OR(AND(INDEX(職員マスタ!$G$6:$G$405,$AP1439)&lt;&gt;"",INDEX(職員マスタ!$G$6:$G$405,$AP1439)&gt;EOMONTH($AQ1439,0)),AND(INDEX(職員マスタ!$H$6:$H$405,$AP1439)&lt;&gt;"",INDEX(職員マスタ!$H$6:$H$405,$AP1439)&lt;$AQ1439))),"対象月が時短期間外／","")&amp;IF(AND(INDEX(職員マスタ!$K$6:$K$405,$AP1439)&lt;&gt;"",N($W1439)&gt;0,INDEX(職員マスタ!$K$6:$K$405,$AP1439)&lt;&gt;$W1439),"標準報酬月額が申請書と相違（台帳"&amp;TEXT(INDEX(職員マスタ!$K$6:$K$405,$AP1439),"#,##0")&amp;"円／申請書"&amp;TEXT($W1439,"#,##0")&amp;"円）／","")&amp;IF(AND(INDEX(職員マスタ!$F$6:$F$405,$AP1439)&lt;&gt;"",$AQ1439&lt;&gt;"",INDEX(職員マスタ!$F$6:$F$405,$AP1439)&lt;$AQ1439),"対象月に子が2歳到達済／","")&amp;IF(AND($H1439&lt;&gt;"",INDEX(職員マスタ!$B$6:$B$405,$AP1439)&lt;&gt;"",SUBSTITUTE(SUBSTITUTE($H1439," ","")," ","")&lt;&gt;SUBSTITUTE(SUBSTITUTE(INDEX(職員マスタ!$B$6:$B$405,$AP1439)," ","")," ","")),"氏名がマスタと相違／","")&amp;IF(AND($Q1439&lt;&gt;"",INDEX(職員マスタ!$E$6:$E$405,$AP1439)&lt;&gt;"",$Q1439&lt;&gt;INDEX(職員マスタ!$E$6:$E$405,$AP1439)),"子の生年月日がマスタと相違／","")&amp;IF(AND($L1439&lt;&gt;"",INDEX(職員マスタ!$G$6:$G$405,$AP1439)&lt;&gt;"",$L1439&lt;&gt;INDEX(職員マスタ!$G$6:$G$405,$AP1439)),"時短開始日がマスタと相違／","")&amp;IF(AND($M1439&lt;&gt;"",INDEX(職員マスタ!$H$6:$H$405,$AP1439)&lt;&gt;"",$M1439&lt;&gt;INDEX(職員マスタ!$H$6:$H$405,$AP1439)),"時短終了日がマスタと相違／","")))&amp;IF(AND($B1439&lt;&gt;"",$E1439=""),"報酬額が未入力／","")&amp;IF(N($U1439)&gt;0,"申請書に入力エラーが残っています／","")&amp;IF(AND($B1439&lt;&gt;"",$AQ1439&lt;&gt;""),IF(COUNTIFS($B$6:$B$3005,$B1439,$C$6:$C$3005,$C1439,$D$6:$D$3005,$D1439)&gt;1,"同じ月の請求が重複しています／",""),"")&amp;IF(AND(N($E1439)&gt;0,$AB1439&lt;&gt;"",$AB1439&lt;&gt;"×",$AE1439=0,$AD1439=""),"計算額が下限以下のため不支給／",""))</f>
        <v/>
      </c>
      <c r="AN1439" s="12" t="n"/>
      <c r="AO1439" s="14">
        <f>IF($AF1439="保留中",COUNTIF($AF$6:$AF1439,"保留中"),"")</f>
        <v/>
      </c>
      <c r="AP1439" s="14">
        <f>IF($AQ1439="","",IF(SUMPRODUCT(MAX((職員マスタ!$A$6:$A$405=$B1439)*(((職員マスタ!$G$6:$G$405="")+(職員マスタ!$G$6:$G$405&lt;=EOMONTH($AQ1439,0)))&gt;0)*(((職員マスタ!$H$6:$H$405="")+(職員マスタ!$H$6:$H$405&gt;=$AQ1439))&gt;0)*(ROW(職員マスタ!$A$6:$A$405)-5)))&gt;0,SUMPRODUCT(MAX((職員マスタ!$A$6:$A$405=$B1439)*(((職員マスタ!$G$6:$G$405="")+(職員マスタ!$G$6:$G$405&lt;=EOMONTH($AQ1439,0)))&gt;0)*(((職員マスタ!$H$6:$H$405="")+(職員マスタ!$H$6:$H$405&gt;=$AQ1439))&gt;0)*(ROW(職員マスタ!$A$6:$A$405)-5))),IFERROR(MATCH($B1439,職員マスタ!$A$6:$A$405,0),"")))</f>
        <v/>
      </c>
      <c r="AQ1439" s="16">
        <f>IF(OR($B1439="",$C1439="",$D1439=""),"",DATE($C1439+2018,$D1439,1))</f>
        <v/>
      </c>
    </row>
    <row r="1440">
      <c r="A1440" s="11" t="n"/>
      <c r="B1440" s="12" t="n"/>
      <c r="C1440" s="12" t="n"/>
      <c r="D1440" s="12" t="n"/>
      <c r="E1440" s="13" t="n"/>
      <c r="F1440" s="12" t="n"/>
      <c r="G1440" s="13" t="n"/>
      <c r="H1440" s="12" t="n"/>
      <c r="I1440" s="12" t="n"/>
      <c r="J1440" s="12" t="n"/>
      <c r="K1440" s="12" t="n"/>
      <c r="L1440" s="11" t="n"/>
      <c r="M1440" s="11" t="n"/>
      <c r="N1440" s="11" t="n"/>
      <c r="O1440" s="11" t="n"/>
      <c r="P1440" s="12" t="n"/>
      <c r="Q1440" s="11" t="n"/>
      <c r="R1440" s="12" t="n"/>
      <c r="S1440" s="11" t="n"/>
      <c r="T1440" s="12" t="n"/>
      <c r="U1440" s="12" t="n"/>
      <c r="V1440" s="12" t="n"/>
      <c r="W1440" s="13" t="n"/>
      <c r="X1440" s="14">
        <f>IF($AP1440="",IF($B1440="","",$H1440),IF(INDEX(職員マスタ!$B$6:$B$405,$AP1440)="",$H1440,INDEX(職員マスタ!$B$6:$B$405,$AP1440)))</f>
        <v/>
      </c>
      <c r="Y1440" s="14">
        <f>IF($AP1440="",IF($B1440="","",$R1440),IF(INDEX(職員マスタ!$C$6:$C$405,$AP1440)="",$R1440,INDEX(職員マスタ!$C$6:$C$405,$AP1440)))</f>
        <v/>
      </c>
      <c r="Z1440" s="14">
        <f>IF($AQ1440="","","R"&amp;$C1440&amp;"."&amp;$D1440)</f>
        <v/>
      </c>
      <c r="AA1440" s="15">
        <f>IF(IF($AP1440="",FALSE,INDEX(職員マスタ!$K$6:$K$405,$AP1440)&lt;&gt;""),INDEX(職員マスタ!$K$6:$K$405,$AP1440),IF(N($W1440)&gt;0,$W1440,""))</f>
        <v/>
      </c>
      <c r="AB1440" s="14">
        <f>IF(OR($E1440="",$AA1440=""),"",IF($E1440&gt;=$AA1440,"×",IF($E1440&gt;=$AA1440*設定!$C$5,"△","○")))</f>
        <v/>
      </c>
      <c r="AC1440" s="15">
        <f>IF($AB1440="","",IF($AB1440="×",0,IF($AB1440="○",ROUNDDOWN($E1440*設定!$C$4,0),ROUNDDOWN($E1440*ROUND((9*$AA1440-9*$E1440)/(10*$E1440),4),0))))</f>
        <v/>
      </c>
      <c r="AD1440" s="13" t="n"/>
      <c r="AE1440" s="15">
        <f>IF($B1440="","",IF($AD1440&lt;&gt;"",$AD1440,IF($AC1440="","",IF($AC1440&lt;=設定!$C$3,0,$AC1440))))</f>
        <v/>
      </c>
      <c r="AF1440" s="14">
        <f>IF($B1440="","",IF(AND($AG1440&lt;&gt;"",$AI1440="",$AL1440=""),"保留中",IF($AL1440&lt;&gt;"",IF(N($AE1440)&gt;0,"支給済","不支給"),IF($AE1440="","要確認",IF($AE1440=0,"不支給","未処理")))))</f>
        <v/>
      </c>
      <c r="AG1440" s="12" t="n"/>
      <c r="AH1440" s="11" t="n"/>
      <c r="AI1440" s="11" t="n"/>
      <c r="AJ1440" s="11" t="n"/>
      <c r="AK1440" s="14">
        <f>IF(AND($AF1440="保留中",$AH1440&lt;&gt;""),TODAY()-$AH1440,"")</f>
        <v/>
      </c>
      <c r="AL1440" s="12" t="n"/>
      <c r="AM1440" s="14">
        <f>IF($B1440="","",IF($AQ1440="","対象年月が未入力／","")&amp;IF($B1440="","",IF($AP1440="","職員マスタに未登録の職員番号／",IF($AA1440="","標準報酬月額が未登録／","")&amp;IF(AND($AQ1440&lt;&gt;"",OR(AND(INDEX(職員マスタ!$G$6:$G$405,$AP1440)&lt;&gt;"",INDEX(職員マスタ!$G$6:$G$405,$AP1440)&gt;EOMONTH($AQ1440,0)),AND(INDEX(職員マスタ!$H$6:$H$405,$AP1440)&lt;&gt;"",INDEX(職員マスタ!$H$6:$H$405,$AP1440)&lt;$AQ1440))),"対象月が時短期間外／","")&amp;IF(AND(INDEX(職員マスタ!$K$6:$K$405,$AP1440)&lt;&gt;"",N($W1440)&gt;0,INDEX(職員マスタ!$K$6:$K$405,$AP1440)&lt;&gt;$W1440),"標準報酬月額が申請書と相違（台帳"&amp;TEXT(INDEX(職員マスタ!$K$6:$K$405,$AP1440),"#,##0")&amp;"円／申請書"&amp;TEXT($W1440,"#,##0")&amp;"円）／","")&amp;IF(AND(INDEX(職員マスタ!$F$6:$F$405,$AP1440)&lt;&gt;"",$AQ1440&lt;&gt;"",INDEX(職員マスタ!$F$6:$F$405,$AP1440)&lt;$AQ1440),"対象月に子が2歳到達済／","")&amp;IF(AND($H1440&lt;&gt;"",INDEX(職員マスタ!$B$6:$B$405,$AP1440)&lt;&gt;"",SUBSTITUTE(SUBSTITUTE($H1440," ","")," ","")&lt;&gt;SUBSTITUTE(SUBSTITUTE(INDEX(職員マスタ!$B$6:$B$405,$AP1440)," ","")," ","")),"氏名がマスタと相違／","")&amp;IF(AND($Q1440&lt;&gt;"",INDEX(職員マスタ!$E$6:$E$405,$AP1440)&lt;&gt;"",$Q1440&lt;&gt;INDEX(職員マスタ!$E$6:$E$405,$AP1440)),"子の生年月日がマスタと相違／","")&amp;IF(AND($L1440&lt;&gt;"",INDEX(職員マスタ!$G$6:$G$405,$AP1440)&lt;&gt;"",$L1440&lt;&gt;INDEX(職員マスタ!$G$6:$G$405,$AP1440)),"時短開始日がマスタと相違／","")&amp;IF(AND($M1440&lt;&gt;"",INDEX(職員マスタ!$H$6:$H$405,$AP1440)&lt;&gt;"",$M1440&lt;&gt;INDEX(職員マスタ!$H$6:$H$405,$AP1440)),"時短終了日がマスタと相違／","")))&amp;IF(AND($B1440&lt;&gt;"",$E1440=""),"報酬額が未入力／","")&amp;IF(N($U1440)&gt;0,"申請書に入力エラーが残っています／","")&amp;IF(AND($B1440&lt;&gt;"",$AQ1440&lt;&gt;""),IF(COUNTIFS($B$6:$B$3005,$B1440,$C$6:$C$3005,$C1440,$D$6:$D$3005,$D1440)&gt;1,"同じ月の請求が重複しています／",""),"")&amp;IF(AND(N($E1440)&gt;0,$AB1440&lt;&gt;"",$AB1440&lt;&gt;"×",$AE1440=0,$AD1440=""),"計算額が下限以下のため不支給／",""))</f>
        <v/>
      </c>
      <c r="AN1440" s="12" t="n"/>
      <c r="AO1440" s="14">
        <f>IF($AF1440="保留中",COUNTIF($AF$6:$AF1440,"保留中"),"")</f>
        <v/>
      </c>
      <c r="AP1440" s="14">
        <f>IF($AQ1440="","",IF(SUMPRODUCT(MAX((職員マスタ!$A$6:$A$405=$B1440)*(((職員マスタ!$G$6:$G$405="")+(職員マスタ!$G$6:$G$405&lt;=EOMONTH($AQ1440,0)))&gt;0)*(((職員マスタ!$H$6:$H$405="")+(職員マスタ!$H$6:$H$405&gt;=$AQ1440))&gt;0)*(ROW(職員マスタ!$A$6:$A$405)-5)))&gt;0,SUMPRODUCT(MAX((職員マスタ!$A$6:$A$405=$B1440)*(((職員マスタ!$G$6:$G$405="")+(職員マスタ!$G$6:$G$405&lt;=EOMONTH($AQ1440,0)))&gt;0)*(((職員マスタ!$H$6:$H$405="")+(職員マスタ!$H$6:$H$405&gt;=$AQ1440))&gt;0)*(ROW(職員マスタ!$A$6:$A$405)-5))),IFERROR(MATCH($B1440,職員マスタ!$A$6:$A$405,0),"")))</f>
        <v/>
      </c>
      <c r="AQ1440" s="16">
        <f>IF(OR($B1440="",$C1440="",$D1440=""),"",DATE($C1440+2018,$D1440,1))</f>
        <v/>
      </c>
    </row>
    <row r="1441">
      <c r="A1441" s="11" t="n"/>
      <c r="B1441" s="12" t="n"/>
      <c r="C1441" s="12" t="n"/>
      <c r="D1441" s="12" t="n"/>
      <c r="E1441" s="13" t="n"/>
      <c r="F1441" s="12" t="n"/>
      <c r="G1441" s="13" t="n"/>
      <c r="H1441" s="12" t="n"/>
      <c r="I1441" s="12" t="n"/>
      <c r="J1441" s="12" t="n"/>
      <c r="K1441" s="12" t="n"/>
      <c r="L1441" s="11" t="n"/>
      <c r="M1441" s="11" t="n"/>
      <c r="N1441" s="11" t="n"/>
      <c r="O1441" s="11" t="n"/>
      <c r="P1441" s="12" t="n"/>
      <c r="Q1441" s="11" t="n"/>
      <c r="R1441" s="12" t="n"/>
      <c r="S1441" s="11" t="n"/>
      <c r="T1441" s="12" t="n"/>
      <c r="U1441" s="12" t="n"/>
      <c r="V1441" s="12" t="n"/>
      <c r="W1441" s="13" t="n"/>
      <c r="X1441" s="14">
        <f>IF($AP1441="",IF($B1441="","",$H1441),IF(INDEX(職員マスタ!$B$6:$B$405,$AP1441)="",$H1441,INDEX(職員マスタ!$B$6:$B$405,$AP1441)))</f>
        <v/>
      </c>
      <c r="Y1441" s="14">
        <f>IF($AP1441="",IF($B1441="","",$R1441),IF(INDEX(職員マスタ!$C$6:$C$405,$AP1441)="",$R1441,INDEX(職員マスタ!$C$6:$C$405,$AP1441)))</f>
        <v/>
      </c>
      <c r="Z1441" s="14">
        <f>IF($AQ1441="","","R"&amp;$C1441&amp;"."&amp;$D1441)</f>
        <v/>
      </c>
      <c r="AA1441" s="15">
        <f>IF(IF($AP1441="",FALSE,INDEX(職員マスタ!$K$6:$K$405,$AP1441)&lt;&gt;""),INDEX(職員マスタ!$K$6:$K$405,$AP1441),IF(N($W1441)&gt;0,$W1441,""))</f>
        <v/>
      </c>
      <c r="AB1441" s="14">
        <f>IF(OR($E1441="",$AA1441=""),"",IF($E1441&gt;=$AA1441,"×",IF($E1441&gt;=$AA1441*設定!$C$5,"△","○")))</f>
        <v/>
      </c>
      <c r="AC1441" s="15">
        <f>IF($AB1441="","",IF($AB1441="×",0,IF($AB1441="○",ROUNDDOWN($E1441*設定!$C$4,0),ROUNDDOWN($E1441*ROUND((9*$AA1441-9*$E1441)/(10*$E1441),4),0))))</f>
        <v/>
      </c>
      <c r="AD1441" s="13" t="n"/>
      <c r="AE1441" s="15">
        <f>IF($B1441="","",IF($AD1441&lt;&gt;"",$AD1441,IF($AC1441="","",IF($AC1441&lt;=設定!$C$3,0,$AC1441))))</f>
        <v/>
      </c>
      <c r="AF1441" s="14">
        <f>IF($B1441="","",IF(AND($AG1441&lt;&gt;"",$AI1441="",$AL1441=""),"保留中",IF($AL1441&lt;&gt;"",IF(N($AE1441)&gt;0,"支給済","不支給"),IF($AE1441="","要確認",IF($AE1441=0,"不支給","未処理")))))</f>
        <v/>
      </c>
      <c r="AG1441" s="12" t="n"/>
      <c r="AH1441" s="11" t="n"/>
      <c r="AI1441" s="11" t="n"/>
      <c r="AJ1441" s="11" t="n"/>
      <c r="AK1441" s="14">
        <f>IF(AND($AF1441="保留中",$AH1441&lt;&gt;""),TODAY()-$AH1441,"")</f>
        <v/>
      </c>
      <c r="AL1441" s="12" t="n"/>
      <c r="AM1441" s="14">
        <f>IF($B1441="","",IF($AQ1441="","対象年月が未入力／","")&amp;IF($B1441="","",IF($AP1441="","職員マスタに未登録の職員番号／",IF($AA1441="","標準報酬月額が未登録／","")&amp;IF(AND($AQ1441&lt;&gt;"",OR(AND(INDEX(職員マスタ!$G$6:$G$405,$AP1441)&lt;&gt;"",INDEX(職員マスタ!$G$6:$G$405,$AP1441)&gt;EOMONTH($AQ1441,0)),AND(INDEX(職員マスタ!$H$6:$H$405,$AP1441)&lt;&gt;"",INDEX(職員マスタ!$H$6:$H$405,$AP1441)&lt;$AQ1441))),"対象月が時短期間外／","")&amp;IF(AND(INDEX(職員マスタ!$K$6:$K$405,$AP1441)&lt;&gt;"",N($W1441)&gt;0,INDEX(職員マスタ!$K$6:$K$405,$AP1441)&lt;&gt;$W1441),"標準報酬月額が申請書と相違（台帳"&amp;TEXT(INDEX(職員マスタ!$K$6:$K$405,$AP1441),"#,##0")&amp;"円／申請書"&amp;TEXT($W1441,"#,##0")&amp;"円）／","")&amp;IF(AND(INDEX(職員マスタ!$F$6:$F$405,$AP1441)&lt;&gt;"",$AQ1441&lt;&gt;"",INDEX(職員マスタ!$F$6:$F$405,$AP1441)&lt;$AQ1441),"対象月に子が2歳到達済／","")&amp;IF(AND($H1441&lt;&gt;"",INDEX(職員マスタ!$B$6:$B$405,$AP1441)&lt;&gt;"",SUBSTITUTE(SUBSTITUTE($H1441," ","")," ","")&lt;&gt;SUBSTITUTE(SUBSTITUTE(INDEX(職員マスタ!$B$6:$B$405,$AP1441)," ","")," ","")),"氏名がマスタと相違／","")&amp;IF(AND($Q1441&lt;&gt;"",INDEX(職員マスタ!$E$6:$E$405,$AP1441)&lt;&gt;"",$Q1441&lt;&gt;INDEX(職員マスタ!$E$6:$E$405,$AP1441)),"子の生年月日がマスタと相違／","")&amp;IF(AND($L1441&lt;&gt;"",INDEX(職員マスタ!$G$6:$G$405,$AP1441)&lt;&gt;"",$L1441&lt;&gt;INDEX(職員マスタ!$G$6:$G$405,$AP1441)),"時短開始日がマスタと相違／","")&amp;IF(AND($M1441&lt;&gt;"",INDEX(職員マスタ!$H$6:$H$405,$AP1441)&lt;&gt;"",$M1441&lt;&gt;INDEX(職員マスタ!$H$6:$H$405,$AP1441)),"時短終了日がマスタと相違／","")))&amp;IF(AND($B1441&lt;&gt;"",$E1441=""),"報酬額が未入力／","")&amp;IF(N($U1441)&gt;0,"申請書に入力エラーが残っています／","")&amp;IF(AND($B1441&lt;&gt;"",$AQ1441&lt;&gt;""),IF(COUNTIFS($B$6:$B$3005,$B1441,$C$6:$C$3005,$C1441,$D$6:$D$3005,$D1441)&gt;1,"同じ月の請求が重複しています／",""),"")&amp;IF(AND(N($E1441)&gt;0,$AB1441&lt;&gt;"",$AB1441&lt;&gt;"×",$AE1441=0,$AD1441=""),"計算額が下限以下のため不支給／",""))</f>
        <v/>
      </c>
      <c r="AN1441" s="12" t="n"/>
      <c r="AO1441" s="14">
        <f>IF($AF1441="保留中",COUNTIF($AF$6:$AF1441,"保留中"),"")</f>
        <v/>
      </c>
      <c r="AP1441" s="14">
        <f>IF($AQ1441="","",IF(SUMPRODUCT(MAX((職員マスタ!$A$6:$A$405=$B1441)*(((職員マスタ!$G$6:$G$405="")+(職員マスタ!$G$6:$G$405&lt;=EOMONTH($AQ1441,0)))&gt;0)*(((職員マスタ!$H$6:$H$405="")+(職員マスタ!$H$6:$H$405&gt;=$AQ1441))&gt;0)*(ROW(職員マスタ!$A$6:$A$405)-5)))&gt;0,SUMPRODUCT(MAX((職員マスタ!$A$6:$A$405=$B1441)*(((職員マスタ!$G$6:$G$405="")+(職員マスタ!$G$6:$G$405&lt;=EOMONTH($AQ1441,0)))&gt;0)*(((職員マスタ!$H$6:$H$405="")+(職員マスタ!$H$6:$H$405&gt;=$AQ1441))&gt;0)*(ROW(職員マスタ!$A$6:$A$405)-5))),IFERROR(MATCH($B1441,職員マスタ!$A$6:$A$405,0),"")))</f>
        <v/>
      </c>
      <c r="AQ1441" s="16">
        <f>IF(OR($B1441="",$C1441="",$D1441=""),"",DATE($C1441+2018,$D1441,1))</f>
        <v/>
      </c>
    </row>
    <row r="1442">
      <c r="A1442" s="11" t="n"/>
      <c r="B1442" s="12" t="n"/>
      <c r="C1442" s="12" t="n"/>
      <c r="D1442" s="12" t="n"/>
      <c r="E1442" s="13" t="n"/>
      <c r="F1442" s="12" t="n"/>
      <c r="G1442" s="13" t="n"/>
      <c r="H1442" s="12" t="n"/>
      <c r="I1442" s="12" t="n"/>
      <c r="J1442" s="12" t="n"/>
      <c r="K1442" s="12" t="n"/>
      <c r="L1442" s="11" t="n"/>
      <c r="M1442" s="11" t="n"/>
      <c r="N1442" s="11" t="n"/>
      <c r="O1442" s="11" t="n"/>
      <c r="P1442" s="12" t="n"/>
      <c r="Q1442" s="11" t="n"/>
      <c r="R1442" s="12" t="n"/>
      <c r="S1442" s="11" t="n"/>
      <c r="T1442" s="12" t="n"/>
      <c r="U1442" s="12" t="n"/>
      <c r="V1442" s="12" t="n"/>
      <c r="W1442" s="13" t="n"/>
      <c r="X1442" s="14">
        <f>IF($AP1442="",IF($B1442="","",$H1442),IF(INDEX(職員マスタ!$B$6:$B$405,$AP1442)="",$H1442,INDEX(職員マスタ!$B$6:$B$405,$AP1442)))</f>
        <v/>
      </c>
      <c r="Y1442" s="14">
        <f>IF($AP1442="",IF($B1442="","",$R1442),IF(INDEX(職員マスタ!$C$6:$C$405,$AP1442)="",$R1442,INDEX(職員マスタ!$C$6:$C$405,$AP1442)))</f>
        <v/>
      </c>
      <c r="Z1442" s="14">
        <f>IF($AQ1442="","","R"&amp;$C1442&amp;"."&amp;$D1442)</f>
        <v/>
      </c>
      <c r="AA1442" s="15">
        <f>IF(IF($AP1442="",FALSE,INDEX(職員マスタ!$K$6:$K$405,$AP1442)&lt;&gt;""),INDEX(職員マスタ!$K$6:$K$405,$AP1442),IF(N($W1442)&gt;0,$W1442,""))</f>
        <v/>
      </c>
      <c r="AB1442" s="14">
        <f>IF(OR($E1442="",$AA1442=""),"",IF($E1442&gt;=$AA1442,"×",IF($E1442&gt;=$AA1442*設定!$C$5,"△","○")))</f>
        <v/>
      </c>
      <c r="AC1442" s="15">
        <f>IF($AB1442="","",IF($AB1442="×",0,IF($AB1442="○",ROUNDDOWN($E1442*設定!$C$4,0),ROUNDDOWN($E1442*ROUND((9*$AA1442-9*$E1442)/(10*$E1442),4),0))))</f>
        <v/>
      </c>
      <c r="AD1442" s="13" t="n"/>
      <c r="AE1442" s="15">
        <f>IF($B1442="","",IF($AD1442&lt;&gt;"",$AD1442,IF($AC1442="","",IF($AC1442&lt;=設定!$C$3,0,$AC1442))))</f>
        <v/>
      </c>
      <c r="AF1442" s="14">
        <f>IF($B1442="","",IF(AND($AG1442&lt;&gt;"",$AI1442="",$AL1442=""),"保留中",IF($AL1442&lt;&gt;"",IF(N($AE1442)&gt;0,"支給済","不支給"),IF($AE1442="","要確認",IF($AE1442=0,"不支給","未処理")))))</f>
        <v/>
      </c>
      <c r="AG1442" s="12" t="n"/>
      <c r="AH1442" s="11" t="n"/>
      <c r="AI1442" s="11" t="n"/>
      <c r="AJ1442" s="11" t="n"/>
      <c r="AK1442" s="14">
        <f>IF(AND($AF1442="保留中",$AH1442&lt;&gt;""),TODAY()-$AH1442,"")</f>
        <v/>
      </c>
      <c r="AL1442" s="12" t="n"/>
      <c r="AM1442" s="14">
        <f>IF($B1442="","",IF($AQ1442="","対象年月が未入力／","")&amp;IF($B1442="","",IF($AP1442="","職員マスタに未登録の職員番号／",IF($AA1442="","標準報酬月額が未登録／","")&amp;IF(AND($AQ1442&lt;&gt;"",OR(AND(INDEX(職員マスタ!$G$6:$G$405,$AP1442)&lt;&gt;"",INDEX(職員マスタ!$G$6:$G$405,$AP1442)&gt;EOMONTH($AQ1442,0)),AND(INDEX(職員マスタ!$H$6:$H$405,$AP1442)&lt;&gt;"",INDEX(職員マスタ!$H$6:$H$405,$AP1442)&lt;$AQ1442))),"対象月が時短期間外／","")&amp;IF(AND(INDEX(職員マスタ!$K$6:$K$405,$AP1442)&lt;&gt;"",N($W1442)&gt;0,INDEX(職員マスタ!$K$6:$K$405,$AP1442)&lt;&gt;$W1442),"標準報酬月額が申請書と相違（台帳"&amp;TEXT(INDEX(職員マスタ!$K$6:$K$405,$AP1442),"#,##0")&amp;"円／申請書"&amp;TEXT($W1442,"#,##0")&amp;"円）／","")&amp;IF(AND(INDEX(職員マスタ!$F$6:$F$405,$AP1442)&lt;&gt;"",$AQ1442&lt;&gt;"",INDEX(職員マスタ!$F$6:$F$405,$AP1442)&lt;$AQ1442),"対象月に子が2歳到達済／","")&amp;IF(AND($H1442&lt;&gt;"",INDEX(職員マスタ!$B$6:$B$405,$AP1442)&lt;&gt;"",SUBSTITUTE(SUBSTITUTE($H1442," ","")," ","")&lt;&gt;SUBSTITUTE(SUBSTITUTE(INDEX(職員マスタ!$B$6:$B$405,$AP1442)," ","")," ","")),"氏名がマスタと相違／","")&amp;IF(AND($Q1442&lt;&gt;"",INDEX(職員マスタ!$E$6:$E$405,$AP1442)&lt;&gt;"",$Q1442&lt;&gt;INDEX(職員マスタ!$E$6:$E$405,$AP1442)),"子の生年月日がマスタと相違／","")&amp;IF(AND($L1442&lt;&gt;"",INDEX(職員マスタ!$G$6:$G$405,$AP1442)&lt;&gt;"",$L1442&lt;&gt;INDEX(職員マスタ!$G$6:$G$405,$AP1442)),"時短開始日がマスタと相違／","")&amp;IF(AND($M1442&lt;&gt;"",INDEX(職員マスタ!$H$6:$H$405,$AP1442)&lt;&gt;"",$M1442&lt;&gt;INDEX(職員マスタ!$H$6:$H$405,$AP1442)),"時短終了日がマスタと相違／","")))&amp;IF(AND($B1442&lt;&gt;"",$E1442=""),"報酬額が未入力／","")&amp;IF(N($U1442)&gt;0,"申請書に入力エラーが残っています／","")&amp;IF(AND($B1442&lt;&gt;"",$AQ1442&lt;&gt;""),IF(COUNTIFS($B$6:$B$3005,$B1442,$C$6:$C$3005,$C1442,$D$6:$D$3005,$D1442)&gt;1,"同じ月の請求が重複しています／",""),"")&amp;IF(AND(N($E1442)&gt;0,$AB1442&lt;&gt;"",$AB1442&lt;&gt;"×",$AE1442=0,$AD1442=""),"計算額が下限以下のため不支給／",""))</f>
        <v/>
      </c>
      <c r="AN1442" s="12" t="n"/>
      <c r="AO1442" s="14">
        <f>IF($AF1442="保留中",COUNTIF($AF$6:$AF1442,"保留中"),"")</f>
        <v/>
      </c>
      <c r="AP1442" s="14">
        <f>IF($AQ1442="","",IF(SUMPRODUCT(MAX((職員マスタ!$A$6:$A$405=$B1442)*(((職員マスタ!$G$6:$G$405="")+(職員マスタ!$G$6:$G$405&lt;=EOMONTH($AQ1442,0)))&gt;0)*(((職員マスタ!$H$6:$H$405="")+(職員マスタ!$H$6:$H$405&gt;=$AQ1442))&gt;0)*(ROW(職員マスタ!$A$6:$A$405)-5)))&gt;0,SUMPRODUCT(MAX((職員マスタ!$A$6:$A$405=$B1442)*(((職員マスタ!$G$6:$G$405="")+(職員マスタ!$G$6:$G$405&lt;=EOMONTH($AQ1442,0)))&gt;0)*(((職員マスタ!$H$6:$H$405="")+(職員マスタ!$H$6:$H$405&gt;=$AQ1442))&gt;0)*(ROW(職員マスタ!$A$6:$A$405)-5))),IFERROR(MATCH($B1442,職員マスタ!$A$6:$A$405,0),"")))</f>
        <v/>
      </c>
      <c r="AQ1442" s="16">
        <f>IF(OR($B1442="",$C1442="",$D1442=""),"",DATE($C1442+2018,$D1442,1))</f>
        <v/>
      </c>
    </row>
    <row r="1443">
      <c r="A1443" s="11" t="n"/>
      <c r="B1443" s="12" t="n"/>
      <c r="C1443" s="12" t="n"/>
      <c r="D1443" s="12" t="n"/>
      <c r="E1443" s="13" t="n"/>
      <c r="F1443" s="12" t="n"/>
      <c r="G1443" s="13" t="n"/>
      <c r="H1443" s="12" t="n"/>
      <c r="I1443" s="12" t="n"/>
      <c r="J1443" s="12" t="n"/>
      <c r="K1443" s="12" t="n"/>
      <c r="L1443" s="11" t="n"/>
      <c r="M1443" s="11" t="n"/>
      <c r="N1443" s="11" t="n"/>
      <c r="O1443" s="11" t="n"/>
      <c r="P1443" s="12" t="n"/>
      <c r="Q1443" s="11" t="n"/>
      <c r="R1443" s="12" t="n"/>
      <c r="S1443" s="11" t="n"/>
      <c r="T1443" s="12" t="n"/>
      <c r="U1443" s="12" t="n"/>
      <c r="V1443" s="12" t="n"/>
      <c r="W1443" s="13" t="n"/>
      <c r="X1443" s="14">
        <f>IF($AP1443="",IF($B1443="","",$H1443),IF(INDEX(職員マスタ!$B$6:$B$405,$AP1443)="",$H1443,INDEX(職員マスタ!$B$6:$B$405,$AP1443)))</f>
        <v/>
      </c>
      <c r="Y1443" s="14">
        <f>IF($AP1443="",IF($B1443="","",$R1443),IF(INDEX(職員マスタ!$C$6:$C$405,$AP1443)="",$R1443,INDEX(職員マスタ!$C$6:$C$405,$AP1443)))</f>
        <v/>
      </c>
      <c r="Z1443" s="14">
        <f>IF($AQ1443="","","R"&amp;$C1443&amp;"."&amp;$D1443)</f>
        <v/>
      </c>
      <c r="AA1443" s="15">
        <f>IF(IF($AP1443="",FALSE,INDEX(職員マスタ!$K$6:$K$405,$AP1443)&lt;&gt;""),INDEX(職員マスタ!$K$6:$K$405,$AP1443),IF(N($W1443)&gt;0,$W1443,""))</f>
        <v/>
      </c>
      <c r="AB1443" s="14">
        <f>IF(OR($E1443="",$AA1443=""),"",IF($E1443&gt;=$AA1443,"×",IF($E1443&gt;=$AA1443*設定!$C$5,"△","○")))</f>
        <v/>
      </c>
      <c r="AC1443" s="15">
        <f>IF($AB1443="","",IF($AB1443="×",0,IF($AB1443="○",ROUNDDOWN($E1443*設定!$C$4,0),ROUNDDOWN($E1443*ROUND((9*$AA1443-9*$E1443)/(10*$E1443),4),0))))</f>
        <v/>
      </c>
      <c r="AD1443" s="13" t="n"/>
      <c r="AE1443" s="15">
        <f>IF($B1443="","",IF($AD1443&lt;&gt;"",$AD1443,IF($AC1443="","",IF($AC1443&lt;=設定!$C$3,0,$AC1443))))</f>
        <v/>
      </c>
      <c r="AF1443" s="14">
        <f>IF($B1443="","",IF(AND($AG1443&lt;&gt;"",$AI1443="",$AL1443=""),"保留中",IF($AL1443&lt;&gt;"",IF(N($AE1443)&gt;0,"支給済","不支給"),IF($AE1443="","要確認",IF($AE1443=0,"不支給","未処理")))))</f>
        <v/>
      </c>
      <c r="AG1443" s="12" t="n"/>
      <c r="AH1443" s="11" t="n"/>
      <c r="AI1443" s="11" t="n"/>
      <c r="AJ1443" s="11" t="n"/>
      <c r="AK1443" s="14">
        <f>IF(AND($AF1443="保留中",$AH1443&lt;&gt;""),TODAY()-$AH1443,"")</f>
        <v/>
      </c>
      <c r="AL1443" s="12" t="n"/>
      <c r="AM1443" s="14">
        <f>IF($B1443="","",IF($AQ1443="","対象年月が未入力／","")&amp;IF($B1443="","",IF($AP1443="","職員マスタに未登録の職員番号／",IF($AA1443="","標準報酬月額が未登録／","")&amp;IF(AND($AQ1443&lt;&gt;"",OR(AND(INDEX(職員マスタ!$G$6:$G$405,$AP1443)&lt;&gt;"",INDEX(職員マスタ!$G$6:$G$405,$AP1443)&gt;EOMONTH($AQ1443,0)),AND(INDEX(職員マスタ!$H$6:$H$405,$AP1443)&lt;&gt;"",INDEX(職員マスタ!$H$6:$H$405,$AP1443)&lt;$AQ1443))),"対象月が時短期間外／","")&amp;IF(AND(INDEX(職員マスタ!$K$6:$K$405,$AP1443)&lt;&gt;"",N($W1443)&gt;0,INDEX(職員マスタ!$K$6:$K$405,$AP1443)&lt;&gt;$W1443),"標準報酬月額が申請書と相違（台帳"&amp;TEXT(INDEX(職員マスタ!$K$6:$K$405,$AP1443),"#,##0")&amp;"円／申請書"&amp;TEXT($W1443,"#,##0")&amp;"円）／","")&amp;IF(AND(INDEX(職員マスタ!$F$6:$F$405,$AP1443)&lt;&gt;"",$AQ1443&lt;&gt;"",INDEX(職員マスタ!$F$6:$F$405,$AP1443)&lt;$AQ1443),"対象月に子が2歳到達済／","")&amp;IF(AND($H1443&lt;&gt;"",INDEX(職員マスタ!$B$6:$B$405,$AP1443)&lt;&gt;"",SUBSTITUTE(SUBSTITUTE($H1443," ","")," ","")&lt;&gt;SUBSTITUTE(SUBSTITUTE(INDEX(職員マスタ!$B$6:$B$405,$AP1443)," ","")," ","")),"氏名がマスタと相違／","")&amp;IF(AND($Q1443&lt;&gt;"",INDEX(職員マスタ!$E$6:$E$405,$AP1443)&lt;&gt;"",$Q1443&lt;&gt;INDEX(職員マスタ!$E$6:$E$405,$AP1443)),"子の生年月日がマスタと相違／","")&amp;IF(AND($L1443&lt;&gt;"",INDEX(職員マスタ!$G$6:$G$405,$AP1443)&lt;&gt;"",$L1443&lt;&gt;INDEX(職員マスタ!$G$6:$G$405,$AP1443)),"時短開始日がマスタと相違／","")&amp;IF(AND($M1443&lt;&gt;"",INDEX(職員マスタ!$H$6:$H$405,$AP1443)&lt;&gt;"",$M1443&lt;&gt;INDEX(職員マスタ!$H$6:$H$405,$AP1443)),"時短終了日がマスタと相違／","")))&amp;IF(AND($B1443&lt;&gt;"",$E1443=""),"報酬額が未入力／","")&amp;IF(N($U1443)&gt;0,"申請書に入力エラーが残っています／","")&amp;IF(AND($B1443&lt;&gt;"",$AQ1443&lt;&gt;""),IF(COUNTIFS($B$6:$B$3005,$B1443,$C$6:$C$3005,$C1443,$D$6:$D$3005,$D1443)&gt;1,"同じ月の請求が重複しています／",""),"")&amp;IF(AND(N($E1443)&gt;0,$AB1443&lt;&gt;"",$AB1443&lt;&gt;"×",$AE1443=0,$AD1443=""),"計算額が下限以下のため不支給／",""))</f>
        <v/>
      </c>
      <c r="AN1443" s="12" t="n"/>
      <c r="AO1443" s="14">
        <f>IF($AF1443="保留中",COUNTIF($AF$6:$AF1443,"保留中"),"")</f>
        <v/>
      </c>
      <c r="AP1443" s="14">
        <f>IF($AQ1443="","",IF(SUMPRODUCT(MAX((職員マスタ!$A$6:$A$405=$B1443)*(((職員マスタ!$G$6:$G$405="")+(職員マスタ!$G$6:$G$405&lt;=EOMONTH($AQ1443,0)))&gt;0)*(((職員マスタ!$H$6:$H$405="")+(職員マスタ!$H$6:$H$405&gt;=$AQ1443))&gt;0)*(ROW(職員マスタ!$A$6:$A$405)-5)))&gt;0,SUMPRODUCT(MAX((職員マスタ!$A$6:$A$405=$B1443)*(((職員マスタ!$G$6:$G$405="")+(職員マスタ!$G$6:$G$405&lt;=EOMONTH($AQ1443,0)))&gt;0)*(((職員マスタ!$H$6:$H$405="")+(職員マスタ!$H$6:$H$405&gt;=$AQ1443))&gt;0)*(ROW(職員マスタ!$A$6:$A$405)-5))),IFERROR(MATCH($B1443,職員マスタ!$A$6:$A$405,0),"")))</f>
        <v/>
      </c>
      <c r="AQ1443" s="16">
        <f>IF(OR($B1443="",$C1443="",$D1443=""),"",DATE($C1443+2018,$D1443,1))</f>
        <v/>
      </c>
    </row>
    <row r="1444">
      <c r="A1444" s="11" t="n"/>
      <c r="B1444" s="12" t="n"/>
      <c r="C1444" s="12" t="n"/>
      <c r="D1444" s="12" t="n"/>
      <c r="E1444" s="13" t="n"/>
      <c r="F1444" s="12" t="n"/>
      <c r="G1444" s="13" t="n"/>
      <c r="H1444" s="12" t="n"/>
      <c r="I1444" s="12" t="n"/>
      <c r="J1444" s="12" t="n"/>
      <c r="K1444" s="12" t="n"/>
      <c r="L1444" s="11" t="n"/>
      <c r="M1444" s="11" t="n"/>
      <c r="N1444" s="11" t="n"/>
      <c r="O1444" s="11" t="n"/>
      <c r="P1444" s="12" t="n"/>
      <c r="Q1444" s="11" t="n"/>
      <c r="R1444" s="12" t="n"/>
      <c r="S1444" s="11" t="n"/>
      <c r="T1444" s="12" t="n"/>
      <c r="U1444" s="12" t="n"/>
      <c r="V1444" s="12" t="n"/>
      <c r="W1444" s="13" t="n"/>
      <c r="X1444" s="14">
        <f>IF($AP1444="",IF($B1444="","",$H1444),IF(INDEX(職員マスタ!$B$6:$B$405,$AP1444)="",$H1444,INDEX(職員マスタ!$B$6:$B$405,$AP1444)))</f>
        <v/>
      </c>
      <c r="Y1444" s="14">
        <f>IF($AP1444="",IF($B1444="","",$R1444),IF(INDEX(職員マスタ!$C$6:$C$405,$AP1444)="",$R1444,INDEX(職員マスタ!$C$6:$C$405,$AP1444)))</f>
        <v/>
      </c>
      <c r="Z1444" s="14">
        <f>IF($AQ1444="","","R"&amp;$C1444&amp;"."&amp;$D1444)</f>
        <v/>
      </c>
      <c r="AA1444" s="15">
        <f>IF(IF($AP1444="",FALSE,INDEX(職員マスタ!$K$6:$K$405,$AP1444)&lt;&gt;""),INDEX(職員マスタ!$K$6:$K$405,$AP1444),IF(N($W1444)&gt;0,$W1444,""))</f>
        <v/>
      </c>
      <c r="AB1444" s="14">
        <f>IF(OR($E1444="",$AA1444=""),"",IF($E1444&gt;=$AA1444,"×",IF($E1444&gt;=$AA1444*設定!$C$5,"△","○")))</f>
        <v/>
      </c>
      <c r="AC1444" s="15">
        <f>IF($AB1444="","",IF($AB1444="×",0,IF($AB1444="○",ROUNDDOWN($E1444*設定!$C$4,0),ROUNDDOWN($E1444*ROUND((9*$AA1444-9*$E1444)/(10*$E1444),4),0))))</f>
        <v/>
      </c>
      <c r="AD1444" s="13" t="n"/>
      <c r="AE1444" s="15">
        <f>IF($B1444="","",IF($AD1444&lt;&gt;"",$AD1444,IF($AC1444="","",IF($AC1444&lt;=設定!$C$3,0,$AC1444))))</f>
        <v/>
      </c>
      <c r="AF1444" s="14">
        <f>IF($B1444="","",IF(AND($AG1444&lt;&gt;"",$AI1444="",$AL1444=""),"保留中",IF($AL1444&lt;&gt;"",IF(N($AE1444)&gt;0,"支給済","不支給"),IF($AE1444="","要確認",IF($AE1444=0,"不支給","未処理")))))</f>
        <v/>
      </c>
      <c r="AG1444" s="12" t="n"/>
      <c r="AH1444" s="11" t="n"/>
      <c r="AI1444" s="11" t="n"/>
      <c r="AJ1444" s="11" t="n"/>
      <c r="AK1444" s="14">
        <f>IF(AND($AF1444="保留中",$AH1444&lt;&gt;""),TODAY()-$AH1444,"")</f>
        <v/>
      </c>
      <c r="AL1444" s="12" t="n"/>
      <c r="AM1444" s="14">
        <f>IF($B1444="","",IF($AQ1444="","対象年月が未入力／","")&amp;IF($B1444="","",IF($AP1444="","職員マスタに未登録の職員番号／",IF($AA1444="","標準報酬月額が未登録／","")&amp;IF(AND($AQ1444&lt;&gt;"",OR(AND(INDEX(職員マスタ!$G$6:$G$405,$AP1444)&lt;&gt;"",INDEX(職員マスタ!$G$6:$G$405,$AP1444)&gt;EOMONTH($AQ1444,0)),AND(INDEX(職員マスタ!$H$6:$H$405,$AP1444)&lt;&gt;"",INDEX(職員マスタ!$H$6:$H$405,$AP1444)&lt;$AQ1444))),"対象月が時短期間外／","")&amp;IF(AND(INDEX(職員マスタ!$K$6:$K$405,$AP1444)&lt;&gt;"",N($W1444)&gt;0,INDEX(職員マスタ!$K$6:$K$405,$AP1444)&lt;&gt;$W1444),"標準報酬月額が申請書と相違（台帳"&amp;TEXT(INDEX(職員マスタ!$K$6:$K$405,$AP1444),"#,##0")&amp;"円／申請書"&amp;TEXT($W1444,"#,##0")&amp;"円）／","")&amp;IF(AND(INDEX(職員マスタ!$F$6:$F$405,$AP1444)&lt;&gt;"",$AQ1444&lt;&gt;"",INDEX(職員マスタ!$F$6:$F$405,$AP1444)&lt;$AQ1444),"対象月に子が2歳到達済／","")&amp;IF(AND($H1444&lt;&gt;"",INDEX(職員マスタ!$B$6:$B$405,$AP1444)&lt;&gt;"",SUBSTITUTE(SUBSTITUTE($H1444," ","")," ","")&lt;&gt;SUBSTITUTE(SUBSTITUTE(INDEX(職員マスタ!$B$6:$B$405,$AP1444)," ","")," ","")),"氏名がマスタと相違／","")&amp;IF(AND($Q1444&lt;&gt;"",INDEX(職員マスタ!$E$6:$E$405,$AP1444)&lt;&gt;"",$Q1444&lt;&gt;INDEX(職員マスタ!$E$6:$E$405,$AP1444)),"子の生年月日がマスタと相違／","")&amp;IF(AND($L1444&lt;&gt;"",INDEX(職員マスタ!$G$6:$G$405,$AP1444)&lt;&gt;"",$L1444&lt;&gt;INDEX(職員マスタ!$G$6:$G$405,$AP1444)),"時短開始日がマスタと相違／","")&amp;IF(AND($M1444&lt;&gt;"",INDEX(職員マスタ!$H$6:$H$405,$AP1444)&lt;&gt;"",$M1444&lt;&gt;INDEX(職員マスタ!$H$6:$H$405,$AP1444)),"時短終了日がマスタと相違／","")))&amp;IF(AND($B1444&lt;&gt;"",$E1444=""),"報酬額が未入力／","")&amp;IF(N($U1444)&gt;0,"申請書に入力エラーが残っています／","")&amp;IF(AND($B1444&lt;&gt;"",$AQ1444&lt;&gt;""),IF(COUNTIFS($B$6:$B$3005,$B1444,$C$6:$C$3005,$C1444,$D$6:$D$3005,$D1444)&gt;1,"同じ月の請求が重複しています／",""),"")&amp;IF(AND(N($E1444)&gt;0,$AB1444&lt;&gt;"",$AB1444&lt;&gt;"×",$AE1444=0,$AD1444=""),"計算額が下限以下のため不支給／",""))</f>
        <v/>
      </c>
      <c r="AN1444" s="12" t="n"/>
      <c r="AO1444" s="14">
        <f>IF($AF1444="保留中",COUNTIF($AF$6:$AF1444,"保留中"),"")</f>
        <v/>
      </c>
      <c r="AP1444" s="14">
        <f>IF($AQ1444="","",IF(SUMPRODUCT(MAX((職員マスタ!$A$6:$A$405=$B1444)*(((職員マスタ!$G$6:$G$405="")+(職員マスタ!$G$6:$G$405&lt;=EOMONTH($AQ1444,0)))&gt;0)*(((職員マスタ!$H$6:$H$405="")+(職員マスタ!$H$6:$H$405&gt;=$AQ1444))&gt;0)*(ROW(職員マスタ!$A$6:$A$405)-5)))&gt;0,SUMPRODUCT(MAX((職員マスタ!$A$6:$A$405=$B1444)*(((職員マスタ!$G$6:$G$405="")+(職員マスタ!$G$6:$G$405&lt;=EOMONTH($AQ1444,0)))&gt;0)*(((職員マスタ!$H$6:$H$405="")+(職員マスタ!$H$6:$H$405&gt;=$AQ1444))&gt;0)*(ROW(職員マスタ!$A$6:$A$405)-5))),IFERROR(MATCH($B1444,職員マスタ!$A$6:$A$405,0),"")))</f>
        <v/>
      </c>
      <c r="AQ1444" s="16">
        <f>IF(OR($B1444="",$C1444="",$D1444=""),"",DATE($C1444+2018,$D1444,1))</f>
        <v/>
      </c>
    </row>
    <row r="1445">
      <c r="A1445" s="11" t="n"/>
      <c r="B1445" s="12" t="n"/>
      <c r="C1445" s="12" t="n"/>
      <c r="D1445" s="12" t="n"/>
      <c r="E1445" s="13" t="n"/>
      <c r="F1445" s="12" t="n"/>
      <c r="G1445" s="13" t="n"/>
      <c r="H1445" s="12" t="n"/>
      <c r="I1445" s="12" t="n"/>
      <c r="J1445" s="12" t="n"/>
      <c r="K1445" s="12" t="n"/>
      <c r="L1445" s="11" t="n"/>
      <c r="M1445" s="11" t="n"/>
      <c r="N1445" s="11" t="n"/>
      <c r="O1445" s="11" t="n"/>
      <c r="P1445" s="12" t="n"/>
      <c r="Q1445" s="11" t="n"/>
      <c r="R1445" s="12" t="n"/>
      <c r="S1445" s="11" t="n"/>
      <c r="T1445" s="12" t="n"/>
      <c r="U1445" s="12" t="n"/>
      <c r="V1445" s="12" t="n"/>
      <c r="W1445" s="13" t="n"/>
      <c r="X1445" s="14">
        <f>IF($AP1445="",IF($B1445="","",$H1445),IF(INDEX(職員マスタ!$B$6:$B$405,$AP1445)="",$H1445,INDEX(職員マスタ!$B$6:$B$405,$AP1445)))</f>
        <v/>
      </c>
      <c r="Y1445" s="14">
        <f>IF($AP1445="",IF($B1445="","",$R1445),IF(INDEX(職員マスタ!$C$6:$C$405,$AP1445)="",$R1445,INDEX(職員マスタ!$C$6:$C$405,$AP1445)))</f>
        <v/>
      </c>
      <c r="Z1445" s="14">
        <f>IF($AQ1445="","","R"&amp;$C1445&amp;"."&amp;$D1445)</f>
        <v/>
      </c>
      <c r="AA1445" s="15">
        <f>IF(IF($AP1445="",FALSE,INDEX(職員マスタ!$K$6:$K$405,$AP1445)&lt;&gt;""),INDEX(職員マスタ!$K$6:$K$405,$AP1445),IF(N($W1445)&gt;0,$W1445,""))</f>
        <v/>
      </c>
      <c r="AB1445" s="14">
        <f>IF(OR($E1445="",$AA1445=""),"",IF($E1445&gt;=$AA1445,"×",IF($E1445&gt;=$AA1445*設定!$C$5,"△","○")))</f>
        <v/>
      </c>
      <c r="AC1445" s="15">
        <f>IF($AB1445="","",IF($AB1445="×",0,IF($AB1445="○",ROUNDDOWN($E1445*設定!$C$4,0),ROUNDDOWN($E1445*ROUND((9*$AA1445-9*$E1445)/(10*$E1445),4),0))))</f>
        <v/>
      </c>
      <c r="AD1445" s="13" t="n"/>
      <c r="AE1445" s="15">
        <f>IF($B1445="","",IF($AD1445&lt;&gt;"",$AD1445,IF($AC1445="","",IF($AC1445&lt;=設定!$C$3,0,$AC1445))))</f>
        <v/>
      </c>
      <c r="AF1445" s="14">
        <f>IF($B1445="","",IF(AND($AG1445&lt;&gt;"",$AI1445="",$AL1445=""),"保留中",IF($AL1445&lt;&gt;"",IF(N($AE1445)&gt;0,"支給済","不支給"),IF($AE1445="","要確認",IF($AE1445=0,"不支給","未処理")))))</f>
        <v/>
      </c>
      <c r="AG1445" s="12" t="n"/>
      <c r="AH1445" s="11" t="n"/>
      <c r="AI1445" s="11" t="n"/>
      <c r="AJ1445" s="11" t="n"/>
      <c r="AK1445" s="14">
        <f>IF(AND($AF1445="保留中",$AH1445&lt;&gt;""),TODAY()-$AH1445,"")</f>
        <v/>
      </c>
      <c r="AL1445" s="12" t="n"/>
      <c r="AM1445" s="14">
        <f>IF($B1445="","",IF($AQ1445="","対象年月が未入力／","")&amp;IF($B1445="","",IF($AP1445="","職員マスタに未登録の職員番号／",IF($AA1445="","標準報酬月額が未登録／","")&amp;IF(AND($AQ1445&lt;&gt;"",OR(AND(INDEX(職員マスタ!$G$6:$G$405,$AP1445)&lt;&gt;"",INDEX(職員マスタ!$G$6:$G$405,$AP1445)&gt;EOMONTH($AQ1445,0)),AND(INDEX(職員マスタ!$H$6:$H$405,$AP1445)&lt;&gt;"",INDEX(職員マスタ!$H$6:$H$405,$AP1445)&lt;$AQ1445))),"対象月が時短期間外／","")&amp;IF(AND(INDEX(職員マスタ!$K$6:$K$405,$AP1445)&lt;&gt;"",N($W1445)&gt;0,INDEX(職員マスタ!$K$6:$K$405,$AP1445)&lt;&gt;$W1445),"標準報酬月額が申請書と相違（台帳"&amp;TEXT(INDEX(職員マスタ!$K$6:$K$405,$AP1445),"#,##0")&amp;"円／申請書"&amp;TEXT($W1445,"#,##0")&amp;"円）／","")&amp;IF(AND(INDEX(職員マスタ!$F$6:$F$405,$AP1445)&lt;&gt;"",$AQ1445&lt;&gt;"",INDEX(職員マスタ!$F$6:$F$405,$AP1445)&lt;$AQ1445),"対象月に子が2歳到達済／","")&amp;IF(AND($H1445&lt;&gt;"",INDEX(職員マスタ!$B$6:$B$405,$AP1445)&lt;&gt;"",SUBSTITUTE(SUBSTITUTE($H1445," ","")," ","")&lt;&gt;SUBSTITUTE(SUBSTITUTE(INDEX(職員マスタ!$B$6:$B$405,$AP1445)," ","")," ","")),"氏名がマスタと相違／","")&amp;IF(AND($Q1445&lt;&gt;"",INDEX(職員マスタ!$E$6:$E$405,$AP1445)&lt;&gt;"",$Q1445&lt;&gt;INDEX(職員マスタ!$E$6:$E$405,$AP1445)),"子の生年月日がマスタと相違／","")&amp;IF(AND($L1445&lt;&gt;"",INDEX(職員マスタ!$G$6:$G$405,$AP1445)&lt;&gt;"",$L1445&lt;&gt;INDEX(職員マスタ!$G$6:$G$405,$AP1445)),"時短開始日がマスタと相違／","")&amp;IF(AND($M1445&lt;&gt;"",INDEX(職員マスタ!$H$6:$H$405,$AP1445)&lt;&gt;"",$M1445&lt;&gt;INDEX(職員マスタ!$H$6:$H$405,$AP1445)),"時短終了日がマスタと相違／","")))&amp;IF(AND($B1445&lt;&gt;"",$E1445=""),"報酬額が未入力／","")&amp;IF(N($U1445)&gt;0,"申請書に入力エラーが残っています／","")&amp;IF(AND($B1445&lt;&gt;"",$AQ1445&lt;&gt;""),IF(COUNTIFS($B$6:$B$3005,$B1445,$C$6:$C$3005,$C1445,$D$6:$D$3005,$D1445)&gt;1,"同じ月の請求が重複しています／",""),"")&amp;IF(AND(N($E1445)&gt;0,$AB1445&lt;&gt;"",$AB1445&lt;&gt;"×",$AE1445=0,$AD1445=""),"計算額が下限以下のため不支給／",""))</f>
        <v/>
      </c>
      <c r="AN1445" s="12" t="n"/>
      <c r="AO1445" s="14">
        <f>IF($AF1445="保留中",COUNTIF($AF$6:$AF1445,"保留中"),"")</f>
        <v/>
      </c>
      <c r="AP1445" s="14">
        <f>IF($AQ1445="","",IF(SUMPRODUCT(MAX((職員マスタ!$A$6:$A$405=$B1445)*(((職員マスタ!$G$6:$G$405="")+(職員マスタ!$G$6:$G$405&lt;=EOMONTH($AQ1445,0)))&gt;0)*(((職員マスタ!$H$6:$H$405="")+(職員マスタ!$H$6:$H$405&gt;=$AQ1445))&gt;0)*(ROW(職員マスタ!$A$6:$A$405)-5)))&gt;0,SUMPRODUCT(MAX((職員マスタ!$A$6:$A$405=$B1445)*(((職員マスタ!$G$6:$G$405="")+(職員マスタ!$G$6:$G$405&lt;=EOMONTH($AQ1445,0)))&gt;0)*(((職員マスタ!$H$6:$H$405="")+(職員マスタ!$H$6:$H$405&gt;=$AQ1445))&gt;0)*(ROW(職員マスタ!$A$6:$A$405)-5))),IFERROR(MATCH($B1445,職員マスタ!$A$6:$A$405,0),"")))</f>
        <v/>
      </c>
      <c r="AQ1445" s="16">
        <f>IF(OR($B1445="",$C1445="",$D1445=""),"",DATE($C1445+2018,$D1445,1))</f>
        <v/>
      </c>
    </row>
    <row r="1446">
      <c r="A1446" s="11" t="n"/>
      <c r="B1446" s="12" t="n"/>
      <c r="C1446" s="12" t="n"/>
      <c r="D1446" s="12" t="n"/>
      <c r="E1446" s="13" t="n"/>
      <c r="F1446" s="12" t="n"/>
      <c r="G1446" s="13" t="n"/>
      <c r="H1446" s="12" t="n"/>
      <c r="I1446" s="12" t="n"/>
      <c r="J1446" s="12" t="n"/>
      <c r="K1446" s="12" t="n"/>
      <c r="L1446" s="11" t="n"/>
      <c r="M1446" s="11" t="n"/>
      <c r="N1446" s="11" t="n"/>
      <c r="O1446" s="11" t="n"/>
      <c r="P1446" s="12" t="n"/>
      <c r="Q1446" s="11" t="n"/>
      <c r="R1446" s="12" t="n"/>
      <c r="S1446" s="11" t="n"/>
      <c r="T1446" s="12" t="n"/>
      <c r="U1446" s="12" t="n"/>
      <c r="V1446" s="12" t="n"/>
      <c r="W1446" s="13" t="n"/>
      <c r="X1446" s="14">
        <f>IF($AP1446="",IF($B1446="","",$H1446),IF(INDEX(職員マスタ!$B$6:$B$405,$AP1446)="",$H1446,INDEX(職員マスタ!$B$6:$B$405,$AP1446)))</f>
        <v/>
      </c>
      <c r="Y1446" s="14">
        <f>IF($AP1446="",IF($B1446="","",$R1446),IF(INDEX(職員マスタ!$C$6:$C$405,$AP1446)="",$R1446,INDEX(職員マスタ!$C$6:$C$405,$AP1446)))</f>
        <v/>
      </c>
      <c r="Z1446" s="14">
        <f>IF($AQ1446="","","R"&amp;$C1446&amp;"."&amp;$D1446)</f>
        <v/>
      </c>
      <c r="AA1446" s="15">
        <f>IF(IF($AP1446="",FALSE,INDEX(職員マスタ!$K$6:$K$405,$AP1446)&lt;&gt;""),INDEX(職員マスタ!$K$6:$K$405,$AP1446),IF(N($W1446)&gt;0,$W1446,""))</f>
        <v/>
      </c>
      <c r="AB1446" s="14">
        <f>IF(OR($E1446="",$AA1446=""),"",IF($E1446&gt;=$AA1446,"×",IF($E1446&gt;=$AA1446*設定!$C$5,"△","○")))</f>
        <v/>
      </c>
      <c r="AC1446" s="15">
        <f>IF($AB1446="","",IF($AB1446="×",0,IF($AB1446="○",ROUNDDOWN($E1446*設定!$C$4,0),ROUNDDOWN($E1446*ROUND((9*$AA1446-9*$E1446)/(10*$E1446),4),0))))</f>
        <v/>
      </c>
      <c r="AD1446" s="13" t="n"/>
      <c r="AE1446" s="15">
        <f>IF($B1446="","",IF($AD1446&lt;&gt;"",$AD1446,IF($AC1446="","",IF($AC1446&lt;=設定!$C$3,0,$AC1446))))</f>
        <v/>
      </c>
      <c r="AF1446" s="14">
        <f>IF($B1446="","",IF(AND($AG1446&lt;&gt;"",$AI1446="",$AL1446=""),"保留中",IF($AL1446&lt;&gt;"",IF(N($AE1446)&gt;0,"支給済","不支給"),IF($AE1446="","要確認",IF($AE1446=0,"不支給","未処理")))))</f>
        <v/>
      </c>
      <c r="AG1446" s="12" t="n"/>
      <c r="AH1446" s="11" t="n"/>
      <c r="AI1446" s="11" t="n"/>
      <c r="AJ1446" s="11" t="n"/>
      <c r="AK1446" s="14">
        <f>IF(AND($AF1446="保留中",$AH1446&lt;&gt;""),TODAY()-$AH1446,"")</f>
        <v/>
      </c>
      <c r="AL1446" s="12" t="n"/>
      <c r="AM1446" s="14">
        <f>IF($B1446="","",IF($AQ1446="","対象年月が未入力／","")&amp;IF($B1446="","",IF($AP1446="","職員マスタに未登録の職員番号／",IF($AA1446="","標準報酬月額が未登録／","")&amp;IF(AND($AQ1446&lt;&gt;"",OR(AND(INDEX(職員マスタ!$G$6:$G$405,$AP1446)&lt;&gt;"",INDEX(職員マスタ!$G$6:$G$405,$AP1446)&gt;EOMONTH($AQ1446,0)),AND(INDEX(職員マスタ!$H$6:$H$405,$AP1446)&lt;&gt;"",INDEX(職員マスタ!$H$6:$H$405,$AP1446)&lt;$AQ1446))),"対象月が時短期間外／","")&amp;IF(AND(INDEX(職員マスタ!$K$6:$K$405,$AP1446)&lt;&gt;"",N($W1446)&gt;0,INDEX(職員マスタ!$K$6:$K$405,$AP1446)&lt;&gt;$W1446),"標準報酬月額が申請書と相違（台帳"&amp;TEXT(INDEX(職員マスタ!$K$6:$K$405,$AP1446),"#,##0")&amp;"円／申請書"&amp;TEXT($W1446,"#,##0")&amp;"円）／","")&amp;IF(AND(INDEX(職員マスタ!$F$6:$F$405,$AP1446)&lt;&gt;"",$AQ1446&lt;&gt;"",INDEX(職員マスタ!$F$6:$F$405,$AP1446)&lt;$AQ1446),"対象月に子が2歳到達済／","")&amp;IF(AND($H1446&lt;&gt;"",INDEX(職員マスタ!$B$6:$B$405,$AP1446)&lt;&gt;"",SUBSTITUTE(SUBSTITUTE($H1446," ","")," ","")&lt;&gt;SUBSTITUTE(SUBSTITUTE(INDEX(職員マスタ!$B$6:$B$405,$AP1446)," ","")," ","")),"氏名がマスタと相違／","")&amp;IF(AND($Q1446&lt;&gt;"",INDEX(職員マスタ!$E$6:$E$405,$AP1446)&lt;&gt;"",$Q1446&lt;&gt;INDEX(職員マスタ!$E$6:$E$405,$AP1446)),"子の生年月日がマスタと相違／","")&amp;IF(AND($L1446&lt;&gt;"",INDEX(職員マスタ!$G$6:$G$405,$AP1446)&lt;&gt;"",$L1446&lt;&gt;INDEX(職員マスタ!$G$6:$G$405,$AP1446)),"時短開始日がマスタと相違／","")&amp;IF(AND($M1446&lt;&gt;"",INDEX(職員マスタ!$H$6:$H$405,$AP1446)&lt;&gt;"",$M1446&lt;&gt;INDEX(職員マスタ!$H$6:$H$405,$AP1446)),"時短終了日がマスタと相違／","")))&amp;IF(AND($B1446&lt;&gt;"",$E1446=""),"報酬額が未入力／","")&amp;IF(N($U1446)&gt;0,"申請書に入力エラーが残っています／","")&amp;IF(AND($B1446&lt;&gt;"",$AQ1446&lt;&gt;""),IF(COUNTIFS($B$6:$B$3005,$B1446,$C$6:$C$3005,$C1446,$D$6:$D$3005,$D1446)&gt;1,"同じ月の請求が重複しています／",""),"")&amp;IF(AND(N($E1446)&gt;0,$AB1446&lt;&gt;"",$AB1446&lt;&gt;"×",$AE1446=0,$AD1446=""),"計算額が下限以下のため不支給／",""))</f>
        <v/>
      </c>
      <c r="AN1446" s="12" t="n"/>
      <c r="AO1446" s="14">
        <f>IF($AF1446="保留中",COUNTIF($AF$6:$AF1446,"保留中"),"")</f>
        <v/>
      </c>
      <c r="AP1446" s="14">
        <f>IF($AQ1446="","",IF(SUMPRODUCT(MAX((職員マスタ!$A$6:$A$405=$B1446)*(((職員マスタ!$G$6:$G$405="")+(職員マスタ!$G$6:$G$405&lt;=EOMONTH($AQ1446,0)))&gt;0)*(((職員マスタ!$H$6:$H$405="")+(職員マスタ!$H$6:$H$405&gt;=$AQ1446))&gt;0)*(ROW(職員マスタ!$A$6:$A$405)-5)))&gt;0,SUMPRODUCT(MAX((職員マスタ!$A$6:$A$405=$B1446)*(((職員マスタ!$G$6:$G$405="")+(職員マスタ!$G$6:$G$405&lt;=EOMONTH($AQ1446,0)))&gt;0)*(((職員マスタ!$H$6:$H$405="")+(職員マスタ!$H$6:$H$405&gt;=$AQ1446))&gt;0)*(ROW(職員マスタ!$A$6:$A$405)-5))),IFERROR(MATCH($B1446,職員マスタ!$A$6:$A$405,0),"")))</f>
        <v/>
      </c>
      <c r="AQ1446" s="16">
        <f>IF(OR($B1446="",$C1446="",$D1446=""),"",DATE($C1446+2018,$D1446,1))</f>
        <v/>
      </c>
    </row>
    <row r="1447">
      <c r="A1447" s="11" t="n"/>
      <c r="B1447" s="12" t="n"/>
      <c r="C1447" s="12" t="n"/>
      <c r="D1447" s="12" t="n"/>
      <c r="E1447" s="13" t="n"/>
      <c r="F1447" s="12" t="n"/>
      <c r="G1447" s="13" t="n"/>
      <c r="H1447" s="12" t="n"/>
      <c r="I1447" s="12" t="n"/>
      <c r="J1447" s="12" t="n"/>
      <c r="K1447" s="12" t="n"/>
      <c r="L1447" s="11" t="n"/>
      <c r="M1447" s="11" t="n"/>
      <c r="N1447" s="11" t="n"/>
      <c r="O1447" s="11" t="n"/>
      <c r="P1447" s="12" t="n"/>
      <c r="Q1447" s="11" t="n"/>
      <c r="R1447" s="12" t="n"/>
      <c r="S1447" s="11" t="n"/>
      <c r="T1447" s="12" t="n"/>
      <c r="U1447" s="12" t="n"/>
      <c r="V1447" s="12" t="n"/>
      <c r="W1447" s="13" t="n"/>
      <c r="X1447" s="14">
        <f>IF($AP1447="",IF($B1447="","",$H1447),IF(INDEX(職員マスタ!$B$6:$B$405,$AP1447)="",$H1447,INDEX(職員マスタ!$B$6:$B$405,$AP1447)))</f>
        <v/>
      </c>
      <c r="Y1447" s="14">
        <f>IF($AP1447="",IF($B1447="","",$R1447),IF(INDEX(職員マスタ!$C$6:$C$405,$AP1447)="",$R1447,INDEX(職員マスタ!$C$6:$C$405,$AP1447)))</f>
        <v/>
      </c>
      <c r="Z1447" s="14">
        <f>IF($AQ1447="","","R"&amp;$C1447&amp;"."&amp;$D1447)</f>
        <v/>
      </c>
      <c r="AA1447" s="15">
        <f>IF(IF($AP1447="",FALSE,INDEX(職員マスタ!$K$6:$K$405,$AP1447)&lt;&gt;""),INDEX(職員マスタ!$K$6:$K$405,$AP1447),IF(N($W1447)&gt;0,$W1447,""))</f>
        <v/>
      </c>
      <c r="AB1447" s="14">
        <f>IF(OR($E1447="",$AA1447=""),"",IF($E1447&gt;=$AA1447,"×",IF($E1447&gt;=$AA1447*設定!$C$5,"△","○")))</f>
        <v/>
      </c>
      <c r="AC1447" s="15">
        <f>IF($AB1447="","",IF($AB1447="×",0,IF($AB1447="○",ROUNDDOWN($E1447*設定!$C$4,0),ROUNDDOWN($E1447*ROUND((9*$AA1447-9*$E1447)/(10*$E1447),4),0))))</f>
        <v/>
      </c>
      <c r="AD1447" s="13" t="n"/>
      <c r="AE1447" s="15">
        <f>IF($B1447="","",IF($AD1447&lt;&gt;"",$AD1447,IF($AC1447="","",IF($AC1447&lt;=設定!$C$3,0,$AC1447))))</f>
        <v/>
      </c>
      <c r="AF1447" s="14">
        <f>IF($B1447="","",IF(AND($AG1447&lt;&gt;"",$AI1447="",$AL1447=""),"保留中",IF($AL1447&lt;&gt;"",IF(N($AE1447)&gt;0,"支給済","不支給"),IF($AE1447="","要確認",IF($AE1447=0,"不支給","未処理")))))</f>
        <v/>
      </c>
      <c r="AG1447" s="12" t="n"/>
      <c r="AH1447" s="11" t="n"/>
      <c r="AI1447" s="11" t="n"/>
      <c r="AJ1447" s="11" t="n"/>
      <c r="AK1447" s="14">
        <f>IF(AND($AF1447="保留中",$AH1447&lt;&gt;""),TODAY()-$AH1447,"")</f>
        <v/>
      </c>
      <c r="AL1447" s="12" t="n"/>
      <c r="AM1447" s="14">
        <f>IF($B1447="","",IF($AQ1447="","対象年月が未入力／","")&amp;IF($B1447="","",IF($AP1447="","職員マスタに未登録の職員番号／",IF($AA1447="","標準報酬月額が未登録／","")&amp;IF(AND($AQ1447&lt;&gt;"",OR(AND(INDEX(職員マスタ!$G$6:$G$405,$AP1447)&lt;&gt;"",INDEX(職員マスタ!$G$6:$G$405,$AP1447)&gt;EOMONTH($AQ1447,0)),AND(INDEX(職員マスタ!$H$6:$H$405,$AP1447)&lt;&gt;"",INDEX(職員マスタ!$H$6:$H$405,$AP1447)&lt;$AQ1447))),"対象月が時短期間外／","")&amp;IF(AND(INDEX(職員マスタ!$K$6:$K$405,$AP1447)&lt;&gt;"",N($W1447)&gt;0,INDEX(職員マスタ!$K$6:$K$405,$AP1447)&lt;&gt;$W1447),"標準報酬月額が申請書と相違（台帳"&amp;TEXT(INDEX(職員マスタ!$K$6:$K$405,$AP1447),"#,##0")&amp;"円／申請書"&amp;TEXT($W1447,"#,##0")&amp;"円）／","")&amp;IF(AND(INDEX(職員マスタ!$F$6:$F$405,$AP1447)&lt;&gt;"",$AQ1447&lt;&gt;"",INDEX(職員マスタ!$F$6:$F$405,$AP1447)&lt;$AQ1447),"対象月に子が2歳到達済／","")&amp;IF(AND($H1447&lt;&gt;"",INDEX(職員マスタ!$B$6:$B$405,$AP1447)&lt;&gt;"",SUBSTITUTE(SUBSTITUTE($H1447," ","")," ","")&lt;&gt;SUBSTITUTE(SUBSTITUTE(INDEX(職員マスタ!$B$6:$B$405,$AP1447)," ","")," ","")),"氏名がマスタと相違／","")&amp;IF(AND($Q1447&lt;&gt;"",INDEX(職員マスタ!$E$6:$E$405,$AP1447)&lt;&gt;"",$Q1447&lt;&gt;INDEX(職員マスタ!$E$6:$E$405,$AP1447)),"子の生年月日がマスタと相違／","")&amp;IF(AND($L1447&lt;&gt;"",INDEX(職員マスタ!$G$6:$G$405,$AP1447)&lt;&gt;"",$L1447&lt;&gt;INDEX(職員マスタ!$G$6:$G$405,$AP1447)),"時短開始日がマスタと相違／","")&amp;IF(AND($M1447&lt;&gt;"",INDEX(職員マスタ!$H$6:$H$405,$AP1447)&lt;&gt;"",$M1447&lt;&gt;INDEX(職員マスタ!$H$6:$H$405,$AP1447)),"時短終了日がマスタと相違／","")))&amp;IF(AND($B1447&lt;&gt;"",$E1447=""),"報酬額が未入力／","")&amp;IF(N($U1447)&gt;0,"申請書に入力エラーが残っています／","")&amp;IF(AND($B1447&lt;&gt;"",$AQ1447&lt;&gt;""),IF(COUNTIFS($B$6:$B$3005,$B1447,$C$6:$C$3005,$C1447,$D$6:$D$3005,$D1447)&gt;1,"同じ月の請求が重複しています／",""),"")&amp;IF(AND(N($E1447)&gt;0,$AB1447&lt;&gt;"",$AB1447&lt;&gt;"×",$AE1447=0,$AD1447=""),"計算額が下限以下のため不支給／",""))</f>
        <v/>
      </c>
      <c r="AN1447" s="12" t="n"/>
      <c r="AO1447" s="14">
        <f>IF($AF1447="保留中",COUNTIF($AF$6:$AF1447,"保留中"),"")</f>
        <v/>
      </c>
      <c r="AP1447" s="14">
        <f>IF($AQ1447="","",IF(SUMPRODUCT(MAX((職員マスタ!$A$6:$A$405=$B1447)*(((職員マスタ!$G$6:$G$405="")+(職員マスタ!$G$6:$G$405&lt;=EOMONTH($AQ1447,0)))&gt;0)*(((職員マスタ!$H$6:$H$405="")+(職員マスタ!$H$6:$H$405&gt;=$AQ1447))&gt;0)*(ROW(職員マスタ!$A$6:$A$405)-5)))&gt;0,SUMPRODUCT(MAX((職員マスタ!$A$6:$A$405=$B1447)*(((職員マスタ!$G$6:$G$405="")+(職員マスタ!$G$6:$G$405&lt;=EOMONTH($AQ1447,0)))&gt;0)*(((職員マスタ!$H$6:$H$405="")+(職員マスタ!$H$6:$H$405&gt;=$AQ1447))&gt;0)*(ROW(職員マスタ!$A$6:$A$405)-5))),IFERROR(MATCH($B1447,職員マスタ!$A$6:$A$405,0),"")))</f>
        <v/>
      </c>
      <c r="AQ1447" s="16">
        <f>IF(OR($B1447="",$C1447="",$D1447=""),"",DATE($C1447+2018,$D1447,1))</f>
        <v/>
      </c>
    </row>
    <row r="1448">
      <c r="A1448" s="11" t="n"/>
      <c r="B1448" s="12" t="n"/>
      <c r="C1448" s="12" t="n"/>
      <c r="D1448" s="12" t="n"/>
      <c r="E1448" s="13" t="n"/>
      <c r="F1448" s="12" t="n"/>
      <c r="G1448" s="13" t="n"/>
      <c r="H1448" s="12" t="n"/>
      <c r="I1448" s="12" t="n"/>
      <c r="J1448" s="12" t="n"/>
      <c r="K1448" s="12" t="n"/>
      <c r="L1448" s="11" t="n"/>
      <c r="M1448" s="11" t="n"/>
      <c r="N1448" s="11" t="n"/>
      <c r="O1448" s="11" t="n"/>
      <c r="P1448" s="12" t="n"/>
      <c r="Q1448" s="11" t="n"/>
      <c r="R1448" s="12" t="n"/>
      <c r="S1448" s="11" t="n"/>
      <c r="T1448" s="12" t="n"/>
      <c r="U1448" s="12" t="n"/>
      <c r="V1448" s="12" t="n"/>
      <c r="W1448" s="13" t="n"/>
      <c r="X1448" s="14">
        <f>IF($AP1448="",IF($B1448="","",$H1448),IF(INDEX(職員マスタ!$B$6:$B$405,$AP1448)="",$H1448,INDEX(職員マスタ!$B$6:$B$405,$AP1448)))</f>
        <v/>
      </c>
      <c r="Y1448" s="14">
        <f>IF($AP1448="",IF($B1448="","",$R1448),IF(INDEX(職員マスタ!$C$6:$C$405,$AP1448)="",$R1448,INDEX(職員マスタ!$C$6:$C$405,$AP1448)))</f>
        <v/>
      </c>
      <c r="Z1448" s="14">
        <f>IF($AQ1448="","","R"&amp;$C1448&amp;"."&amp;$D1448)</f>
        <v/>
      </c>
      <c r="AA1448" s="15">
        <f>IF(IF($AP1448="",FALSE,INDEX(職員マスタ!$K$6:$K$405,$AP1448)&lt;&gt;""),INDEX(職員マスタ!$K$6:$K$405,$AP1448),IF(N($W1448)&gt;0,$W1448,""))</f>
        <v/>
      </c>
      <c r="AB1448" s="14">
        <f>IF(OR($E1448="",$AA1448=""),"",IF($E1448&gt;=$AA1448,"×",IF($E1448&gt;=$AA1448*設定!$C$5,"△","○")))</f>
        <v/>
      </c>
      <c r="AC1448" s="15">
        <f>IF($AB1448="","",IF($AB1448="×",0,IF($AB1448="○",ROUNDDOWN($E1448*設定!$C$4,0),ROUNDDOWN($E1448*ROUND((9*$AA1448-9*$E1448)/(10*$E1448),4),0))))</f>
        <v/>
      </c>
      <c r="AD1448" s="13" t="n"/>
      <c r="AE1448" s="15">
        <f>IF($B1448="","",IF($AD1448&lt;&gt;"",$AD1448,IF($AC1448="","",IF($AC1448&lt;=設定!$C$3,0,$AC1448))))</f>
        <v/>
      </c>
      <c r="AF1448" s="14">
        <f>IF($B1448="","",IF(AND($AG1448&lt;&gt;"",$AI1448="",$AL1448=""),"保留中",IF($AL1448&lt;&gt;"",IF(N($AE1448)&gt;0,"支給済","不支給"),IF($AE1448="","要確認",IF($AE1448=0,"不支給","未処理")))))</f>
        <v/>
      </c>
      <c r="AG1448" s="12" t="n"/>
      <c r="AH1448" s="11" t="n"/>
      <c r="AI1448" s="11" t="n"/>
      <c r="AJ1448" s="11" t="n"/>
      <c r="AK1448" s="14">
        <f>IF(AND($AF1448="保留中",$AH1448&lt;&gt;""),TODAY()-$AH1448,"")</f>
        <v/>
      </c>
      <c r="AL1448" s="12" t="n"/>
      <c r="AM1448" s="14">
        <f>IF($B1448="","",IF($AQ1448="","対象年月が未入力／","")&amp;IF($B1448="","",IF($AP1448="","職員マスタに未登録の職員番号／",IF($AA1448="","標準報酬月額が未登録／","")&amp;IF(AND($AQ1448&lt;&gt;"",OR(AND(INDEX(職員マスタ!$G$6:$G$405,$AP1448)&lt;&gt;"",INDEX(職員マスタ!$G$6:$G$405,$AP1448)&gt;EOMONTH($AQ1448,0)),AND(INDEX(職員マスタ!$H$6:$H$405,$AP1448)&lt;&gt;"",INDEX(職員マスタ!$H$6:$H$405,$AP1448)&lt;$AQ1448))),"対象月が時短期間外／","")&amp;IF(AND(INDEX(職員マスタ!$K$6:$K$405,$AP1448)&lt;&gt;"",N($W1448)&gt;0,INDEX(職員マスタ!$K$6:$K$405,$AP1448)&lt;&gt;$W1448),"標準報酬月額が申請書と相違（台帳"&amp;TEXT(INDEX(職員マスタ!$K$6:$K$405,$AP1448),"#,##0")&amp;"円／申請書"&amp;TEXT($W1448,"#,##0")&amp;"円）／","")&amp;IF(AND(INDEX(職員マスタ!$F$6:$F$405,$AP1448)&lt;&gt;"",$AQ1448&lt;&gt;"",INDEX(職員マスタ!$F$6:$F$405,$AP1448)&lt;$AQ1448),"対象月に子が2歳到達済／","")&amp;IF(AND($H1448&lt;&gt;"",INDEX(職員マスタ!$B$6:$B$405,$AP1448)&lt;&gt;"",SUBSTITUTE(SUBSTITUTE($H1448," ","")," ","")&lt;&gt;SUBSTITUTE(SUBSTITUTE(INDEX(職員マスタ!$B$6:$B$405,$AP1448)," ","")," ","")),"氏名がマスタと相違／","")&amp;IF(AND($Q1448&lt;&gt;"",INDEX(職員マスタ!$E$6:$E$405,$AP1448)&lt;&gt;"",$Q1448&lt;&gt;INDEX(職員マスタ!$E$6:$E$405,$AP1448)),"子の生年月日がマスタと相違／","")&amp;IF(AND($L1448&lt;&gt;"",INDEX(職員マスタ!$G$6:$G$405,$AP1448)&lt;&gt;"",$L1448&lt;&gt;INDEX(職員マスタ!$G$6:$G$405,$AP1448)),"時短開始日がマスタと相違／","")&amp;IF(AND($M1448&lt;&gt;"",INDEX(職員マスタ!$H$6:$H$405,$AP1448)&lt;&gt;"",$M1448&lt;&gt;INDEX(職員マスタ!$H$6:$H$405,$AP1448)),"時短終了日がマスタと相違／","")))&amp;IF(AND($B1448&lt;&gt;"",$E1448=""),"報酬額が未入力／","")&amp;IF(N($U1448)&gt;0,"申請書に入力エラーが残っています／","")&amp;IF(AND($B1448&lt;&gt;"",$AQ1448&lt;&gt;""),IF(COUNTIFS($B$6:$B$3005,$B1448,$C$6:$C$3005,$C1448,$D$6:$D$3005,$D1448)&gt;1,"同じ月の請求が重複しています／",""),"")&amp;IF(AND(N($E1448)&gt;0,$AB1448&lt;&gt;"",$AB1448&lt;&gt;"×",$AE1448=0,$AD1448=""),"計算額が下限以下のため不支給／",""))</f>
        <v/>
      </c>
      <c r="AN1448" s="12" t="n"/>
      <c r="AO1448" s="14">
        <f>IF($AF1448="保留中",COUNTIF($AF$6:$AF1448,"保留中"),"")</f>
        <v/>
      </c>
      <c r="AP1448" s="14">
        <f>IF($AQ1448="","",IF(SUMPRODUCT(MAX((職員マスタ!$A$6:$A$405=$B1448)*(((職員マスタ!$G$6:$G$405="")+(職員マスタ!$G$6:$G$405&lt;=EOMONTH($AQ1448,0)))&gt;0)*(((職員マスタ!$H$6:$H$405="")+(職員マスタ!$H$6:$H$405&gt;=$AQ1448))&gt;0)*(ROW(職員マスタ!$A$6:$A$405)-5)))&gt;0,SUMPRODUCT(MAX((職員マスタ!$A$6:$A$405=$B1448)*(((職員マスタ!$G$6:$G$405="")+(職員マスタ!$G$6:$G$405&lt;=EOMONTH($AQ1448,0)))&gt;0)*(((職員マスタ!$H$6:$H$405="")+(職員マスタ!$H$6:$H$405&gt;=$AQ1448))&gt;0)*(ROW(職員マスタ!$A$6:$A$405)-5))),IFERROR(MATCH($B1448,職員マスタ!$A$6:$A$405,0),"")))</f>
        <v/>
      </c>
      <c r="AQ1448" s="16">
        <f>IF(OR($B1448="",$C1448="",$D1448=""),"",DATE($C1448+2018,$D1448,1))</f>
        <v/>
      </c>
    </row>
    <row r="1449">
      <c r="A1449" s="11" t="n"/>
      <c r="B1449" s="12" t="n"/>
      <c r="C1449" s="12" t="n"/>
      <c r="D1449" s="12" t="n"/>
      <c r="E1449" s="13" t="n"/>
      <c r="F1449" s="12" t="n"/>
      <c r="G1449" s="13" t="n"/>
      <c r="H1449" s="12" t="n"/>
      <c r="I1449" s="12" t="n"/>
      <c r="J1449" s="12" t="n"/>
      <c r="K1449" s="12" t="n"/>
      <c r="L1449" s="11" t="n"/>
      <c r="M1449" s="11" t="n"/>
      <c r="N1449" s="11" t="n"/>
      <c r="O1449" s="11" t="n"/>
      <c r="P1449" s="12" t="n"/>
      <c r="Q1449" s="11" t="n"/>
      <c r="R1449" s="12" t="n"/>
      <c r="S1449" s="11" t="n"/>
      <c r="T1449" s="12" t="n"/>
      <c r="U1449" s="12" t="n"/>
      <c r="V1449" s="12" t="n"/>
      <c r="W1449" s="13" t="n"/>
      <c r="X1449" s="14">
        <f>IF($AP1449="",IF($B1449="","",$H1449),IF(INDEX(職員マスタ!$B$6:$B$405,$AP1449)="",$H1449,INDEX(職員マスタ!$B$6:$B$405,$AP1449)))</f>
        <v/>
      </c>
      <c r="Y1449" s="14">
        <f>IF($AP1449="",IF($B1449="","",$R1449),IF(INDEX(職員マスタ!$C$6:$C$405,$AP1449)="",$R1449,INDEX(職員マスタ!$C$6:$C$405,$AP1449)))</f>
        <v/>
      </c>
      <c r="Z1449" s="14">
        <f>IF($AQ1449="","","R"&amp;$C1449&amp;"."&amp;$D1449)</f>
        <v/>
      </c>
      <c r="AA1449" s="15">
        <f>IF(IF($AP1449="",FALSE,INDEX(職員マスタ!$K$6:$K$405,$AP1449)&lt;&gt;""),INDEX(職員マスタ!$K$6:$K$405,$AP1449),IF(N($W1449)&gt;0,$W1449,""))</f>
        <v/>
      </c>
      <c r="AB1449" s="14">
        <f>IF(OR($E1449="",$AA1449=""),"",IF($E1449&gt;=$AA1449,"×",IF($E1449&gt;=$AA1449*設定!$C$5,"△","○")))</f>
        <v/>
      </c>
      <c r="AC1449" s="15">
        <f>IF($AB1449="","",IF($AB1449="×",0,IF($AB1449="○",ROUNDDOWN($E1449*設定!$C$4,0),ROUNDDOWN($E1449*ROUND((9*$AA1449-9*$E1449)/(10*$E1449),4),0))))</f>
        <v/>
      </c>
      <c r="AD1449" s="13" t="n"/>
      <c r="AE1449" s="15">
        <f>IF($B1449="","",IF($AD1449&lt;&gt;"",$AD1449,IF($AC1449="","",IF($AC1449&lt;=設定!$C$3,0,$AC1449))))</f>
        <v/>
      </c>
      <c r="AF1449" s="14">
        <f>IF($B1449="","",IF(AND($AG1449&lt;&gt;"",$AI1449="",$AL1449=""),"保留中",IF($AL1449&lt;&gt;"",IF(N($AE1449)&gt;0,"支給済","不支給"),IF($AE1449="","要確認",IF($AE1449=0,"不支給","未処理")))))</f>
        <v/>
      </c>
      <c r="AG1449" s="12" t="n"/>
      <c r="AH1449" s="11" t="n"/>
      <c r="AI1449" s="11" t="n"/>
      <c r="AJ1449" s="11" t="n"/>
      <c r="AK1449" s="14">
        <f>IF(AND($AF1449="保留中",$AH1449&lt;&gt;""),TODAY()-$AH1449,"")</f>
        <v/>
      </c>
      <c r="AL1449" s="12" t="n"/>
      <c r="AM1449" s="14">
        <f>IF($B1449="","",IF($AQ1449="","対象年月が未入力／","")&amp;IF($B1449="","",IF($AP1449="","職員マスタに未登録の職員番号／",IF($AA1449="","標準報酬月額が未登録／","")&amp;IF(AND($AQ1449&lt;&gt;"",OR(AND(INDEX(職員マスタ!$G$6:$G$405,$AP1449)&lt;&gt;"",INDEX(職員マスタ!$G$6:$G$405,$AP1449)&gt;EOMONTH($AQ1449,0)),AND(INDEX(職員マスタ!$H$6:$H$405,$AP1449)&lt;&gt;"",INDEX(職員マスタ!$H$6:$H$405,$AP1449)&lt;$AQ1449))),"対象月が時短期間外／","")&amp;IF(AND(INDEX(職員マスタ!$K$6:$K$405,$AP1449)&lt;&gt;"",N($W1449)&gt;0,INDEX(職員マスタ!$K$6:$K$405,$AP1449)&lt;&gt;$W1449),"標準報酬月額が申請書と相違（台帳"&amp;TEXT(INDEX(職員マスタ!$K$6:$K$405,$AP1449),"#,##0")&amp;"円／申請書"&amp;TEXT($W1449,"#,##0")&amp;"円）／","")&amp;IF(AND(INDEX(職員マスタ!$F$6:$F$405,$AP1449)&lt;&gt;"",$AQ1449&lt;&gt;"",INDEX(職員マスタ!$F$6:$F$405,$AP1449)&lt;$AQ1449),"対象月に子が2歳到達済／","")&amp;IF(AND($H1449&lt;&gt;"",INDEX(職員マスタ!$B$6:$B$405,$AP1449)&lt;&gt;"",SUBSTITUTE(SUBSTITUTE($H1449," ","")," ","")&lt;&gt;SUBSTITUTE(SUBSTITUTE(INDEX(職員マスタ!$B$6:$B$405,$AP1449)," ","")," ","")),"氏名がマスタと相違／","")&amp;IF(AND($Q1449&lt;&gt;"",INDEX(職員マスタ!$E$6:$E$405,$AP1449)&lt;&gt;"",$Q1449&lt;&gt;INDEX(職員マスタ!$E$6:$E$405,$AP1449)),"子の生年月日がマスタと相違／","")&amp;IF(AND($L1449&lt;&gt;"",INDEX(職員マスタ!$G$6:$G$405,$AP1449)&lt;&gt;"",$L1449&lt;&gt;INDEX(職員マスタ!$G$6:$G$405,$AP1449)),"時短開始日がマスタと相違／","")&amp;IF(AND($M1449&lt;&gt;"",INDEX(職員マスタ!$H$6:$H$405,$AP1449)&lt;&gt;"",$M1449&lt;&gt;INDEX(職員マスタ!$H$6:$H$405,$AP1449)),"時短終了日がマスタと相違／","")))&amp;IF(AND($B1449&lt;&gt;"",$E1449=""),"報酬額が未入力／","")&amp;IF(N($U1449)&gt;0,"申請書に入力エラーが残っています／","")&amp;IF(AND($B1449&lt;&gt;"",$AQ1449&lt;&gt;""),IF(COUNTIFS($B$6:$B$3005,$B1449,$C$6:$C$3005,$C1449,$D$6:$D$3005,$D1449)&gt;1,"同じ月の請求が重複しています／",""),"")&amp;IF(AND(N($E1449)&gt;0,$AB1449&lt;&gt;"",$AB1449&lt;&gt;"×",$AE1449=0,$AD1449=""),"計算額が下限以下のため不支給／",""))</f>
        <v/>
      </c>
      <c r="AN1449" s="12" t="n"/>
      <c r="AO1449" s="14">
        <f>IF($AF1449="保留中",COUNTIF($AF$6:$AF1449,"保留中"),"")</f>
        <v/>
      </c>
      <c r="AP1449" s="14">
        <f>IF($AQ1449="","",IF(SUMPRODUCT(MAX((職員マスタ!$A$6:$A$405=$B1449)*(((職員マスタ!$G$6:$G$405="")+(職員マスタ!$G$6:$G$405&lt;=EOMONTH($AQ1449,0)))&gt;0)*(((職員マスタ!$H$6:$H$405="")+(職員マスタ!$H$6:$H$405&gt;=$AQ1449))&gt;0)*(ROW(職員マスタ!$A$6:$A$405)-5)))&gt;0,SUMPRODUCT(MAX((職員マスタ!$A$6:$A$405=$B1449)*(((職員マスタ!$G$6:$G$405="")+(職員マスタ!$G$6:$G$405&lt;=EOMONTH($AQ1449,0)))&gt;0)*(((職員マスタ!$H$6:$H$405="")+(職員マスタ!$H$6:$H$405&gt;=$AQ1449))&gt;0)*(ROW(職員マスタ!$A$6:$A$405)-5))),IFERROR(MATCH($B1449,職員マスタ!$A$6:$A$405,0),"")))</f>
        <v/>
      </c>
      <c r="AQ1449" s="16">
        <f>IF(OR($B1449="",$C1449="",$D1449=""),"",DATE($C1449+2018,$D1449,1))</f>
        <v/>
      </c>
    </row>
    <row r="1450">
      <c r="A1450" s="11" t="n"/>
      <c r="B1450" s="12" t="n"/>
      <c r="C1450" s="12" t="n"/>
      <c r="D1450" s="12" t="n"/>
      <c r="E1450" s="13" t="n"/>
      <c r="F1450" s="12" t="n"/>
      <c r="G1450" s="13" t="n"/>
      <c r="H1450" s="12" t="n"/>
      <c r="I1450" s="12" t="n"/>
      <c r="J1450" s="12" t="n"/>
      <c r="K1450" s="12" t="n"/>
      <c r="L1450" s="11" t="n"/>
      <c r="M1450" s="11" t="n"/>
      <c r="N1450" s="11" t="n"/>
      <c r="O1450" s="11" t="n"/>
      <c r="P1450" s="12" t="n"/>
      <c r="Q1450" s="11" t="n"/>
      <c r="R1450" s="12" t="n"/>
      <c r="S1450" s="11" t="n"/>
      <c r="T1450" s="12" t="n"/>
      <c r="U1450" s="12" t="n"/>
      <c r="V1450" s="12" t="n"/>
      <c r="W1450" s="13" t="n"/>
      <c r="X1450" s="14">
        <f>IF($AP1450="",IF($B1450="","",$H1450),IF(INDEX(職員マスタ!$B$6:$B$405,$AP1450)="",$H1450,INDEX(職員マスタ!$B$6:$B$405,$AP1450)))</f>
        <v/>
      </c>
      <c r="Y1450" s="14">
        <f>IF($AP1450="",IF($B1450="","",$R1450),IF(INDEX(職員マスタ!$C$6:$C$405,$AP1450)="",$R1450,INDEX(職員マスタ!$C$6:$C$405,$AP1450)))</f>
        <v/>
      </c>
      <c r="Z1450" s="14">
        <f>IF($AQ1450="","","R"&amp;$C1450&amp;"."&amp;$D1450)</f>
        <v/>
      </c>
      <c r="AA1450" s="15">
        <f>IF(IF($AP1450="",FALSE,INDEX(職員マスタ!$K$6:$K$405,$AP1450)&lt;&gt;""),INDEX(職員マスタ!$K$6:$K$405,$AP1450),IF(N($W1450)&gt;0,$W1450,""))</f>
        <v/>
      </c>
      <c r="AB1450" s="14">
        <f>IF(OR($E1450="",$AA1450=""),"",IF($E1450&gt;=$AA1450,"×",IF($E1450&gt;=$AA1450*設定!$C$5,"△","○")))</f>
        <v/>
      </c>
      <c r="AC1450" s="15">
        <f>IF($AB1450="","",IF($AB1450="×",0,IF($AB1450="○",ROUNDDOWN($E1450*設定!$C$4,0),ROUNDDOWN($E1450*ROUND((9*$AA1450-9*$E1450)/(10*$E1450),4),0))))</f>
        <v/>
      </c>
      <c r="AD1450" s="13" t="n"/>
      <c r="AE1450" s="15">
        <f>IF($B1450="","",IF($AD1450&lt;&gt;"",$AD1450,IF($AC1450="","",IF($AC1450&lt;=設定!$C$3,0,$AC1450))))</f>
        <v/>
      </c>
      <c r="AF1450" s="14">
        <f>IF($B1450="","",IF(AND($AG1450&lt;&gt;"",$AI1450="",$AL1450=""),"保留中",IF($AL1450&lt;&gt;"",IF(N($AE1450)&gt;0,"支給済","不支給"),IF($AE1450="","要確認",IF($AE1450=0,"不支給","未処理")))))</f>
        <v/>
      </c>
      <c r="AG1450" s="12" t="n"/>
      <c r="AH1450" s="11" t="n"/>
      <c r="AI1450" s="11" t="n"/>
      <c r="AJ1450" s="11" t="n"/>
      <c r="AK1450" s="14">
        <f>IF(AND($AF1450="保留中",$AH1450&lt;&gt;""),TODAY()-$AH1450,"")</f>
        <v/>
      </c>
      <c r="AL1450" s="12" t="n"/>
      <c r="AM1450" s="14">
        <f>IF($B1450="","",IF($AQ1450="","対象年月が未入力／","")&amp;IF($B1450="","",IF($AP1450="","職員マスタに未登録の職員番号／",IF($AA1450="","標準報酬月額が未登録／","")&amp;IF(AND($AQ1450&lt;&gt;"",OR(AND(INDEX(職員マスタ!$G$6:$G$405,$AP1450)&lt;&gt;"",INDEX(職員マスタ!$G$6:$G$405,$AP1450)&gt;EOMONTH($AQ1450,0)),AND(INDEX(職員マスタ!$H$6:$H$405,$AP1450)&lt;&gt;"",INDEX(職員マスタ!$H$6:$H$405,$AP1450)&lt;$AQ1450))),"対象月が時短期間外／","")&amp;IF(AND(INDEX(職員マスタ!$K$6:$K$405,$AP1450)&lt;&gt;"",N($W1450)&gt;0,INDEX(職員マスタ!$K$6:$K$405,$AP1450)&lt;&gt;$W1450),"標準報酬月額が申請書と相違（台帳"&amp;TEXT(INDEX(職員マスタ!$K$6:$K$405,$AP1450),"#,##0")&amp;"円／申請書"&amp;TEXT($W1450,"#,##0")&amp;"円）／","")&amp;IF(AND(INDEX(職員マスタ!$F$6:$F$405,$AP1450)&lt;&gt;"",$AQ1450&lt;&gt;"",INDEX(職員マスタ!$F$6:$F$405,$AP1450)&lt;$AQ1450),"対象月に子が2歳到達済／","")&amp;IF(AND($H1450&lt;&gt;"",INDEX(職員マスタ!$B$6:$B$405,$AP1450)&lt;&gt;"",SUBSTITUTE(SUBSTITUTE($H1450," ","")," ","")&lt;&gt;SUBSTITUTE(SUBSTITUTE(INDEX(職員マスタ!$B$6:$B$405,$AP1450)," ","")," ","")),"氏名がマスタと相違／","")&amp;IF(AND($Q1450&lt;&gt;"",INDEX(職員マスタ!$E$6:$E$405,$AP1450)&lt;&gt;"",$Q1450&lt;&gt;INDEX(職員マスタ!$E$6:$E$405,$AP1450)),"子の生年月日がマスタと相違／","")&amp;IF(AND($L1450&lt;&gt;"",INDEX(職員マスタ!$G$6:$G$405,$AP1450)&lt;&gt;"",$L1450&lt;&gt;INDEX(職員マスタ!$G$6:$G$405,$AP1450)),"時短開始日がマスタと相違／","")&amp;IF(AND($M1450&lt;&gt;"",INDEX(職員マスタ!$H$6:$H$405,$AP1450)&lt;&gt;"",$M1450&lt;&gt;INDEX(職員マスタ!$H$6:$H$405,$AP1450)),"時短終了日がマスタと相違／","")))&amp;IF(AND($B1450&lt;&gt;"",$E1450=""),"報酬額が未入力／","")&amp;IF(N($U1450)&gt;0,"申請書に入力エラーが残っています／","")&amp;IF(AND($B1450&lt;&gt;"",$AQ1450&lt;&gt;""),IF(COUNTIFS($B$6:$B$3005,$B1450,$C$6:$C$3005,$C1450,$D$6:$D$3005,$D1450)&gt;1,"同じ月の請求が重複しています／",""),"")&amp;IF(AND(N($E1450)&gt;0,$AB1450&lt;&gt;"",$AB1450&lt;&gt;"×",$AE1450=0,$AD1450=""),"計算額が下限以下のため不支給／",""))</f>
        <v/>
      </c>
      <c r="AN1450" s="12" t="n"/>
      <c r="AO1450" s="14">
        <f>IF($AF1450="保留中",COUNTIF($AF$6:$AF1450,"保留中"),"")</f>
        <v/>
      </c>
      <c r="AP1450" s="14">
        <f>IF($AQ1450="","",IF(SUMPRODUCT(MAX((職員マスタ!$A$6:$A$405=$B1450)*(((職員マスタ!$G$6:$G$405="")+(職員マスタ!$G$6:$G$405&lt;=EOMONTH($AQ1450,0)))&gt;0)*(((職員マスタ!$H$6:$H$405="")+(職員マスタ!$H$6:$H$405&gt;=$AQ1450))&gt;0)*(ROW(職員マスタ!$A$6:$A$405)-5)))&gt;0,SUMPRODUCT(MAX((職員マスタ!$A$6:$A$405=$B1450)*(((職員マスタ!$G$6:$G$405="")+(職員マスタ!$G$6:$G$405&lt;=EOMONTH($AQ1450,0)))&gt;0)*(((職員マスタ!$H$6:$H$405="")+(職員マスタ!$H$6:$H$405&gt;=$AQ1450))&gt;0)*(ROW(職員マスタ!$A$6:$A$405)-5))),IFERROR(MATCH($B1450,職員マスタ!$A$6:$A$405,0),"")))</f>
        <v/>
      </c>
      <c r="AQ1450" s="16">
        <f>IF(OR($B1450="",$C1450="",$D1450=""),"",DATE($C1450+2018,$D1450,1))</f>
        <v/>
      </c>
    </row>
    <row r="1451">
      <c r="A1451" s="11" t="n"/>
      <c r="B1451" s="12" t="n"/>
      <c r="C1451" s="12" t="n"/>
      <c r="D1451" s="12" t="n"/>
      <c r="E1451" s="13" t="n"/>
      <c r="F1451" s="12" t="n"/>
      <c r="G1451" s="13" t="n"/>
      <c r="H1451" s="12" t="n"/>
      <c r="I1451" s="12" t="n"/>
      <c r="J1451" s="12" t="n"/>
      <c r="K1451" s="12" t="n"/>
      <c r="L1451" s="11" t="n"/>
      <c r="M1451" s="11" t="n"/>
      <c r="N1451" s="11" t="n"/>
      <c r="O1451" s="11" t="n"/>
      <c r="P1451" s="12" t="n"/>
      <c r="Q1451" s="11" t="n"/>
      <c r="R1451" s="12" t="n"/>
      <c r="S1451" s="11" t="n"/>
      <c r="T1451" s="12" t="n"/>
      <c r="U1451" s="12" t="n"/>
      <c r="V1451" s="12" t="n"/>
      <c r="W1451" s="13" t="n"/>
      <c r="X1451" s="14">
        <f>IF($AP1451="",IF($B1451="","",$H1451),IF(INDEX(職員マスタ!$B$6:$B$405,$AP1451)="",$H1451,INDEX(職員マスタ!$B$6:$B$405,$AP1451)))</f>
        <v/>
      </c>
      <c r="Y1451" s="14">
        <f>IF($AP1451="",IF($B1451="","",$R1451),IF(INDEX(職員マスタ!$C$6:$C$405,$AP1451)="",$R1451,INDEX(職員マスタ!$C$6:$C$405,$AP1451)))</f>
        <v/>
      </c>
      <c r="Z1451" s="14">
        <f>IF($AQ1451="","","R"&amp;$C1451&amp;"."&amp;$D1451)</f>
        <v/>
      </c>
      <c r="AA1451" s="15">
        <f>IF(IF($AP1451="",FALSE,INDEX(職員マスタ!$K$6:$K$405,$AP1451)&lt;&gt;""),INDEX(職員マスタ!$K$6:$K$405,$AP1451),IF(N($W1451)&gt;0,$W1451,""))</f>
        <v/>
      </c>
      <c r="AB1451" s="14">
        <f>IF(OR($E1451="",$AA1451=""),"",IF($E1451&gt;=$AA1451,"×",IF($E1451&gt;=$AA1451*設定!$C$5,"△","○")))</f>
        <v/>
      </c>
      <c r="AC1451" s="15">
        <f>IF($AB1451="","",IF($AB1451="×",0,IF($AB1451="○",ROUNDDOWN($E1451*設定!$C$4,0),ROUNDDOWN($E1451*ROUND((9*$AA1451-9*$E1451)/(10*$E1451),4),0))))</f>
        <v/>
      </c>
      <c r="AD1451" s="13" t="n"/>
      <c r="AE1451" s="15">
        <f>IF($B1451="","",IF($AD1451&lt;&gt;"",$AD1451,IF($AC1451="","",IF($AC1451&lt;=設定!$C$3,0,$AC1451))))</f>
        <v/>
      </c>
      <c r="AF1451" s="14">
        <f>IF($B1451="","",IF(AND($AG1451&lt;&gt;"",$AI1451="",$AL1451=""),"保留中",IF($AL1451&lt;&gt;"",IF(N($AE1451)&gt;0,"支給済","不支給"),IF($AE1451="","要確認",IF($AE1451=0,"不支給","未処理")))))</f>
        <v/>
      </c>
      <c r="AG1451" s="12" t="n"/>
      <c r="AH1451" s="11" t="n"/>
      <c r="AI1451" s="11" t="n"/>
      <c r="AJ1451" s="11" t="n"/>
      <c r="AK1451" s="14">
        <f>IF(AND($AF1451="保留中",$AH1451&lt;&gt;""),TODAY()-$AH1451,"")</f>
        <v/>
      </c>
      <c r="AL1451" s="12" t="n"/>
      <c r="AM1451" s="14">
        <f>IF($B1451="","",IF($AQ1451="","対象年月が未入力／","")&amp;IF($B1451="","",IF($AP1451="","職員マスタに未登録の職員番号／",IF($AA1451="","標準報酬月額が未登録／","")&amp;IF(AND($AQ1451&lt;&gt;"",OR(AND(INDEX(職員マスタ!$G$6:$G$405,$AP1451)&lt;&gt;"",INDEX(職員マスタ!$G$6:$G$405,$AP1451)&gt;EOMONTH($AQ1451,0)),AND(INDEX(職員マスタ!$H$6:$H$405,$AP1451)&lt;&gt;"",INDEX(職員マスタ!$H$6:$H$405,$AP1451)&lt;$AQ1451))),"対象月が時短期間外／","")&amp;IF(AND(INDEX(職員マスタ!$K$6:$K$405,$AP1451)&lt;&gt;"",N($W1451)&gt;0,INDEX(職員マスタ!$K$6:$K$405,$AP1451)&lt;&gt;$W1451),"標準報酬月額が申請書と相違（台帳"&amp;TEXT(INDEX(職員マスタ!$K$6:$K$405,$AP1451),"#,##0")&amp;"円／申請書"&amp;TEXT($W1451,"#,##0")&amp;"円）／","")&amp;IF(AND(INDEX(職員マスタ!$F$6:$F$405,$AP1451)&lt;&gt;"",$AQ1451&lt;&gt;"",INDEX(職員マスタ!$F$6:$F$405,$AP1451)&lt;$AQ1451),"対象月に子が2歳到達済／","")&amp;IF(AND($H1451&lt;&gt;"",INDEX(職員マスタ!$B$6:$B$405,$AP1451)&lt;&gt;"",SUBSTITUTE(SUBSTITUTE($H1451," ","")," ","")&lt;&gt;SUBSTITUTE(SUBSTITUTE(INDEX(職員マスタ!$B$6:$B$405,$AP1451)," ","")," ","")),"氏名がマスタと相違／","")&amp;IF(AND($Q1451&lt;&gt;"",INDEX(職員マスタ!$E$6:$E$405,$AP1451)&lt;&gt;"",$Q1451&lt;&gt;INDEX(職員マスタ!$E$6:$E$405,$AP1451)),"子の生年月日がマスタと相違／","")&amp;IF(AND($L1451&lt;&gt;"",INDEX(職員マスタ!$G$6:$G$405,$AP1451)&lt;&gt;"",$L1451&lt;&gt;INDEX(職員マスタ!$G$6:$G$405,$AP1451)),"時短開始日がマスタと相違／","")&amp;IF(AND($M1451&lt;&gt;"",INDEX(職員マスタ!$H$6:$H$405,$AP1451)&lt;&gt;"",$M1451&lt;&gt;INDEX(職員マスタ!$H$6:$H$405,$AP1451)),"時短終了日がマスタと相違／","")))&amp;IF(AND($B1451&lt;&gt;"",$E1451=""),"報酬額が未入力／","")&amp;IF(N($U1451)&gt;0,"申請書に入力エラーが残っています／","")&amp;IF(AND($B1451&lt;&gt;"",$AQ1451&lt;&gt;""),IF(COUNTIFS($B$6:$B$3005,$B1451,$C$6:$C$3005,$C1451,$D$6:$D$3005,$D1451)&gt;1,"同じ月の請求が重複しています／",""),"")&amp;IF(AND(N($E1451)&gt;0,$AB1451&lt;&gt;"",$AB1451&lt;&gt;"×",$AE1451=0,$AD1451=""),"計算額が下限以下のため不支給／",""))</f>
        <v/>
      </c>
      <c r="AN1451" s="12" t="n"/>
      <c r="AO1451" s="14">
        <f>IF($AF1451="保留中",COUNTIF($AF$6:$AF1451,"保留中"),"")</f>
        <v/>
      </c>
      <c r="AP1451" s="14">
        <f>IF($AQ1451="","",IF(SUMPRODUCT(MAX((職員マスタ!$A$6:$A$405=$B1451)*(((職員マスタ!$G$6:$G$405="")+(職員マスタ!$G$6:$G$405&lt;=EOMONTH($AQ1451,0)))&gt;0)*(((職員マスタ!$H$6:$H$405="")+(職員マスタ!$H$6:$H$405&gt;=$AQ1451))&gt;0)*(ROW(職員マスタ!$A$6:$A$405)-5)))&gt;0,SUMPRODUCT(MAX((職員マスタ!$A$6:$A$405=$B1451)*(((職員マスタ!$G$6:$G$405="")+(職員マスタ!$G$6:$G$405&lt;=EOMONTH($AQ1451,0)))&gt;0)*(((職員マスタ!$H$6:$H$405="")+(職員マスタ!$H$6:$H$405&gt;=$AQ1451))&gt;0)*(ROW(職員マスタ!$A$6:$A$405)-5))),IFERROR(MATCH($B1451,職員マスタ!$A$6:$A$405,0),"")))</f>
        <v/>
      </c>
      <c r="AQ1451" s="16">
        <f>IF(OR($B1451="",$C1451="",$D1451=""),"",DATE($C1451+2018,$D1451,1))</f>
        <v/>
      </c>
    </row>
    <row r="1452">
      <c r="A1452" s="11" t="n"/>
      <c r="B1452" s="12" t="n"/>
      <c r="C1452" s="12" t="n"/>
      <c r="D1452" s="12" t="n"/>
      <c r="E1452" s="13" t="n"/>
      <c r="F1452" s="12" t="n"/>
      <c r="G1452" s="13" t="n"/>
      <c r="H1452" s="12" t="n"/>
      <c r="I1452" s="12" t="n"/>
      <c r="J1452" s="12" t="n"/>
      <c r="K1452" s="12" t="n"/>
      <c r="L1452" s="11" t="n"/>
      <c r="M1452" s="11" t="n"/>
      <c r="N1452" s="11" t="n"/>
      <c r="O1452" s="11" t="n"/>
      <c r="P1452" s="12" t="n"/>
      <c r="Q1452" s="11" t="n"/>
      <c r="R1452" s="12" t="n"/>
      <c r="S1452" s="11" t="n"/>
      <c r="T1452" s="12" t="n"/>
      <c r="U1452" s="12" t="n"/>
      <c r="V1452" s="12" t="n"/>
      <c r="W1452" s="13" t="n"/>
      <c r="X1452" s="14">
        <f>IF($AP1452="",IF($B1452="","",$H1452),IF(INDEX(職員マスタ!$B$6:$B$405,$AP1452)="",$H1452,INDEX(職員マスタ!$B$6:$B$405,$AP1452)))</f>
        <v/>
      </c>
      <c r="Y1452" s="14">
        <f>IF($AP1452="",IF($B1452="","",$R1452),IF(INDEX(職員マスタ!$C$6:$C$405,$AP1452)="",$R1452,INDEX(職員マスタ!$C$6:$C$405,$AP1452)))</f>
        <v/>
      </c>
      <c r="Z1452" s="14">
        <f>IF($AQ1452="","","R"&amp;$C1452&amp;"."&amp;$D1452)</f>
        <v/>
      </c>
      <c r="AA1452" s="15">
        <f>IF(IF($AP1452="",FALSE,INDEX(職員マスタ!$K$6:$K$405,$AP1452)&lt;&gt;""),INDEX(職員マスタ!$K$6:$K$405,$AP1452),IF(N($W1452)&gt;0,$W1452,""))</f>
        <v/>
      </c>
      <c r="AB1452" s="14">
        <f>IF(OR($E1452="",$AA1452=""),"",IF($E1452&gt;=$AA1452,"×",IF($E1452&gt;=$AA1452*設定!$C$5,"△","○")))</f>
        <v/>
      </c>
      <c r="AC1452" s="15">
        <f>IF($AB1452="","",IF($AB1452="×",0,IF($AB1452="○",ROUNDDOWN($E1452*設定!$C$4,0),ROUNDDOWN($E1452*ROUND((9*$AA1452-9*$E1452)/(10*$E1452),4),0))))</f>
        <v/>
      </c>
      <c r="AD1452" s="13" t="n"/>
      <c r="AE1452" s="15">
        <f>IF($B1452="","",IF($AD1452&lt;&gt;"",$AD1452,IF($AC1452="","",IF($AC1452&lt;=設定!$C$3,0,$AC1452))))</f>
        <v/>
      </c>
      <c r="AF1452" s="14">
        <f>IF($B1452="","",IF(AND($AG1452&lt;&gt;"",$AI1452="",$AL1452=""),"保留中",IF($AL1452&lt;&gt;"",IF(N($AE1452)&gt;0,"支給済","不支給"),IF($AE1452="","要確認",IF($AE1452=0,"不支給","未処理")))))</f>
        <v/>
      </c>
      <c r="AG1452" s="12" t="n"/>
      <c r="AH1452" s="11" t="n"/>
      <c r="AI1452" s="11" t="n"/>
      <c r="AJ1452" s="11" t="n"/>
      <c r="AK1452" s="14">
        <f>IF(AND($AF1452="保留中",$AH1452&lt;&gt;""),TODAY()-$AH1452,"")</f>
        <v/>
      </c>
      <c r="AL1452" s="12" t="n"/>
      <c r="AM1452" s="14">
        <f>IF($B1452="","",IF($AQ1452="","対象年月が未入力／","")&amp;IF($B1452="","",IF($AP1452="","職員マスタに未登録の職員番号／",IF($AA1452="","標準報酬月額が未登録／","")&amp;IF(AND($AQ1452&lt;&gt;"",OR(AND(INDEX(職員マスタ!$G$6:$G$405,$AP1452)&lt;&gt;"",INDEX(職員マスタ!$G$6:$G$405,$AP1452)&gt;EOMONTH($AQ1452,0)),AND(INDEX(職員マスタ!$H$6:$H$405,$AP1452)&lt;&gt;"",INDEX(職員マスタ!$H$6:$H$405,$AP1452)&lt;$AQ1452))),"対象月が時短期間外／","")&amp;IF(AND(INDEX(職員マスタ!$K$6:$K$405,$AP1452)&lt;&gt;"",N($W1452)&gt;0,INDEX(職員マスタ!$K$6:$K$405,$AP1452)&lt;&gt;$W1452),"標準報酬月額が申請書と相違（台帳"&amp;TEXT(INDEX(職員マスタ!$K$6:$K$405,$AP1452),"#,##0")&amp;"円／申請書"&amp;TEXT($W1452,"#,##0")&amp;"円）／","")&amp;IF(AND(INDEX(職員マスタ!$F$6:$F$405,$AP1452)&lt;&gt;"",$AQ1452&lt;&gt;"",INDEX(職員マスタ!$F$6:$F$405,$AP1452)&lt;$AQ1452),"対象月に子が2歳到達済／","")&amp;IF(AND($H1452&lt;&gt;"",INDEX(職員マスタ!$B$6:$B$405,$AP1452)&lt;&gt;"",SUBSTITUTE(SUBSTITUTE($H1452," ","")," ","")&lt;&gt;SUBSTITUTE(SUBSTITUTE(INDEX(職員マスタ!$B$6:$B$405,$AP1452)," ","")," ","")),"氏名がマスタと相違／","")&amp;IF(AND($Q1452&lt;&gt;"",INDEX(職員マスタ!$E$6:$E$405,$AP1452)&lt;&gt;"",$Q1452&lt;&gt;INDEX(職員マスタ!$E$6:$E$405,$AP1452)),"子の生年月日がマスタと相違／","")&amp;IF(AND($L1452&lt;&gt;"",INDEX(職員マスタ!$G$6:$G$405,$AP1452)&lt;&gt;"",$L1452&lt;&gt;INDEX(職員マスタ!$G$6:$G$405,$AP1452)),"時短開始日がマスタと相違／","")&amp;IF(AND($M1452&lt;&gt;"",INDEX(職員マスタ!$H$6:$H$405,$AP1452)&lt;&gt;"",$M1452&lt;&gt;INDEX(職員マスタ!$H$6:$H$405,$AP1452)),"時短終了日がマスタと相違／","")))&amp;IF(AND($B1452&lt;&gt;"",$E1452=""),"報酬額が未入力／","")&amp;IF(N($U1452)&gt;0,"申請書に入力エラーが残っています／","")&amp;IF(AND($B1452&lt;&gt;"",$AQ1452&lt;&gt;""),IF(COUNTIFS($B$6:$B$3005,$B1452,$C$6:$C$3005,$C1452,$D$6:$D$3005,$D1452)&gt;1,"同じ月の請求が重複しています／",""),"")&amp;IF(AND(N($E1452)&gt;0,$AB1452&lt;&gt;"",$AB1452&lt;&gt;"×",$AE1452=0,$AD1452=""),"計算額が下限以下のため不支給／",""))</f>
        <v/>
      </c>
      <c r="AN1452" s="12" t="n"/>
      <c r="AO1452" s="14">
        <f>IF($AF1452="保留中",COUNTIF($AF$6:$AF1452,"保留中"),"")</f>
        <v/>
      </c>
      <c r="AP1452" s="14">
        <f>IF($AQ1452="","",IF(SUMPRODUCT(MAX((職員マスタ!$A$6:$A$405=$B1452)*(((職員マスタ!$G$6:$G$405="")+(職員マスタ!$G$6:$G$405&lt;=EOMONTH($AQ1452,0)))&gt;0)*(((職員マスタ!$H$6:$H$405="")+(職員マスタ!$H$6:$H$405&gt;=$AQ1452))&gt;0)*(ROW(職員マスタ!$A$6:$A$405)-5)))&gt;0,SUMPRODUCT(MAX((職員マスタ!$A$6:$A$405=$B1452)*(((職員マスタ!$G$6:$G$405="")+(職員マスタ!$G$6:$G$405&lt;=EOMONTH($AQ1452,0)))&gt;0)*(((職員マスタ!$H$6:$H$405="")+(職員マスタ!$H$6:$H$405&gt;=$AQ1452))&gt;0)*(ROW(職員マスタ!$A$6:$A$405)-5))),IFERROR(MATCH($B1452,職員マスタ!$A$6:$A$405,0),"")))</f>
        <v/>
      </c>
      <c r="AQ1452" s="16">
        <f>IF(OR($B1452="",$C1452="",$D1452=""),"",DATE($C1452+2018,$D1452,1))</f>
        <v/>
      </c>
    </row>
    <row r="1453">
      <c r="A1453" s="11" t="n"/>
      <c r="B1453" s="12" t="n"/>
      <c r="C1453" s="12" t="n"/>
      <c r="D1453" s="12" t="n"/>
      <c r="E1453" s="13" t="n"/>
      <c r="F1453" s="12" t="n"/>
      <c r="G1453" s="13" t="n"/>
      <c r="H1453" s="12" t="n"/>
      <c r="I1453" s="12" t="n"/>
      <c r="J1453" s="12" t="n"/>
      <c r="K1453" s="12" t="n"/>
      <c r="L1453" s="11" t="n"/>
      <c r="M1453" s="11" t="n"/>
      <c r="N1453" s="11" t="n"/>
      <c r="O1453" s="11" t="n"/>
      <c r="P1453" s="12" t="n"/>
      <c r="Q1453" s="11" t="n"/>
      <c r="R1453" s="12" t="n"/>
      <c r="S1453" s="11" t="n"/>
      <c r="T1453" s="12" t="n"/>
      <c r="U1453" s="12" t="n"/>
      <c r="V1453" s="12" t="n"/>
      <c r="W1453" s="13" t="n"/>
      <c r="X1453" s="14">
        <f>IF($AP1453="",IF($B1453="","",$H1453),IF(INDEX(職員マスタ!$B$6:$B$405,$AP1453)="",$H1453,INDEX(職員マスタ!$B$6:$B$405,$AP1453)))</f>
        <v/>
      </c>
      <c r="Y1453" s="14">
        <f>IF($AP1453="",IF($B1453="","",$R1453),IF(INDEX(職員マスタ!$C$6:$C$405,$AP1453)="",$R1453,INDEX(職員マスタ!$C$6:$C$405,$AP1453)))</f>
        <v/>
      </c>
      <c r="Z1453" s="14">
        <f>IF($AQ1453="","","R"&amp;$C1453&amp;"."&amp;$D1453)</f>
        <v/>
      </c>
      <c r="AA1453" s="15">
        <f>IF(IF($AP1453="",FALSE,INDEX(職員マスタ!$K$6:$K$405,$AP1453)&lt;&gt;""),INDEX(職員マスタ!$K$6:$K$405,$AP1453),IF(N($W1453)&gt;0,$W1453,""))</f>
        <v/>
      </c>
      <c r="AB1453" s="14">
        <f>IF(OR($E1453="",$AA1453=""),"",IF($E1453&gt;=$AA1453,"×",IF($E1453&gt;=$AA1453*設定!$C$5,"△","○")))</f>
        <v/>
      </c>
      <c r="AC1453" s="15">
        <f>IF($AB1453="","",IF($AB1453="×",0,IF($AB1453="○",ROUNDDOWN($E1453*設定!$C$4,0),ROUNDDOWN($E1453*ROUND((9*$AA1453-9*$E1453)/(10*$E1453),4),0))))</f>
        <v/>
      </c>
      <c r="AD1453" s="13" t="n"/>
      <c r="AE1453" s="15">
        <f>IF($B1453="","",IF($AD1453&lt;&gt;"",$AD1453,IF($AC1453="","",IF($AC1453&lt;=設定!$C$3,0,$AC1453))))</f>
        <v/>
      </c>
      <c r="AF1453" s="14">
        <f>IF($B1453="","",IF(AND($AG1453&lt;&gt;"",$AI1453="",$AL1453=""),"保留中",IF($AL1453&lt;&gt;"",IF(N($AE1453)&gt;0,"支給済","不支給"),IF($AE1453="","要確認",IF($AE1453=0,"不支給","未処理")))))</f>
        <v/>
      </c>
      <c r="AG1453" s="12" t="n"/>
      <c r="AH1453" s="11" t="n"/>
      <c r="AI1453" s="11" t="n"/>
      <c r="AJ1453" s="11" t="n"/>
      <c r="AK1453" s="14">
        <f>IF(AND($AF1453="保留中",$AH1453&lt;&gt;""),TODAY()-$AH1453,"")</f>
        <v/>
      </c>
      <c r="AL1453" s="12" t="n"/>
      <c r="AM1453" s="14">
        <f>IF($B1453="","",IF($AQ1453="","対象年月が未入力／","")&amp;IF($B1453="","",IF($AP1453="","職員マスタに未登録の職員番号／",IF($AA1453="","標準報酬月額が未登録／","")&amp;IF(AND($AQ1453&lt;&gt;"",OR(AND(INDEX(職員マスタ!$G$6:$G$405,$AP1453)&lt;&gt;"",INDEX(職員マスタ!$G$6:$G$405,$AP1453)&gt;EOMONTH($AQ1453,0)),AND(INDEX(職員マスタ!$H$6:$H$405,$AP1453)&lt;&gt;"",INDEX(職員マスタ!$H$6:$H$405,$AP1453)&lt;$AQ1453))),"対象月が時短期間外／","")&amp;IF(AND(INDEX(職員マスタ!$K$6:$K$405,$AP1453)&lt;&gt;"",N($W1453)&gt;0,INDEX(職員マスタ!$K$6:$K$405,$AP1453)&lt;&gt;$W1453),"標準報酬月額が申請書と相違（台帳"&amp;TEXT(INDEX(職員マスタ!$K$6:$K$405,$AP1453),"#,##0")&amp;"円／申請書"&amp;TEXT($W1453,"#,##0")&amp;"円）／","")&amp;IF(AND(INDEX(職員マスタ!$F$6:$F$405,$AP1453)&lt;&gt;"",$AQ1453&lt;&gt;"",INDEX(職員マスタ!$F$6:$F$405,$AP1453)&lt;$AQ1453),"対象月に子が2歳到達済／","")&amp;IF(AND($H1453&lt;&gt;"",INDEX(職員マスタ!$B$6:$B$405,$AP1453)&lt;&gt;"",SUBSTITUTE(SUBSTITUTE($H1453," ","")," ","")&lt;&gt;SUBSTITUTE(SUBSTITUTE(INDEX(職員マスタ!$B$6:$B$405,$AP1453)," ","")," ","")),"氏名がマスタと相違／","")&amp;IF(AND($Q1453&lt;&gt;"",INDEX(職員マスタ!$E$6:$E$405,$AP1453)&lt;&gt;"",$Q1453&lt;&gt;INDEX(職員マスタ!$E$6:$E$405,$AP1453)),"子の生年月日がマスタと相違／","")&amp;IF(AND($L1453&lt;&gt;"",INDEX(職員マスタ!$G$6:$G$405,$AP1453)&lt;&gt;"",$L1453&lt;&gt;INDEX(職員マスタ!$G$6:$G$405,$AP1453)),"時短開始日がマスタと相違／","")&amp;IF(AND($M1453&lt;&gt;"",INDEX(職員マスタ!$H$6:$H$405,$AP1453)&lt;&gt;"",$M1453&lt;&gt;INDEX(職員マスタ!$H$6:$H$405,$AP1453)),"時短終了日がマスタと相違／","")))&amp;IF(AND($B1453&lt;&gt;"",$E1453=""),"報酬額が未入力／","")&amp;IF(N($U1453)&gt;0,"申請書に入力エラーが残っています／","")&amp;IF(AND($B1453&lt;&gt;"",$AQ1453&lt;&gt;""),IF(COUNTIFS($B$6:$B$3005,$B1453,$C$6:$C$3005,$C1453,$D$6:$D$3005,$D1453)&gt;1,"同じ月の請求が重複しています／",""),"")&amp;IF(AND(N($E1453)&gt;0,$AB1453&lt;&gt;"",$AB1453&lt;&gt;"×",$AE1453=0,$AD1453=""),"計算額が下限以下のため不支給／",""))</f>
        <v/>
      </c>
      <c r="AN1453" s="12" t="n"/>
      <c r="AO1453" s="14">
        <f>IF($AF1453="保留中",COUNTIF($AF$6:$AF1453,"保留中"),"")</f>
        <v/>
      </c>
      <c r="AP1453" s="14">
        <f>IF($AQ1453="","",IF(SUMPRODUCT(MAX((職員マスタ!$A$6:$A$405=$B1453)*(((職員マスタ!$G$6:$G$405="")+(職員マスタ!$G$6:$G$405&lt;=EOMONTH($AQ1453,0)))&gt;0)*(((職員マスタ!$H$6:$H$405="")+(職員マスタ!$H$6:$H$405&gt;=$AQ1453))&gt;0)*(ROW(職員マスタ!$A$6:$A$405)-5)))&gt;0,SUMPRODUCT(MAX((職員マスタ!$A$6:$A$405=$B1453)*(((職員マスタ!$G$6:$G$405="")+(職員マスタ!$G$6:$G$405&lt;=EOMONTH($AQ1453,0)))&gt;0)*(((職員マスタ!$H$6:$H$405="")+(職員マスタ!$H$6:$H$405&gt;=$AQ1453))&gt;0)*(ROW(職員マスタ!$A$6:$A$405)-5))),IFERROR(MATCH($B1453,職員マスタ!$A$6:$A$405,0),"")))</f>
        <v/>
      </c>
      <c r="AQ1453" s="16">
        <f>IF(OR($B1453="",$C1453="",$D1453=""),"",DATE($C1453+2018,$D1453,1))</f>
        <v/>
      </c>
    </row>
    <row r="1454">
      <c r="A1454" s="11" t="n"/>
      <c r="B1454" s="12" t="n"/>
      <c r="C1454" s="12" t="n"/>
      <c r="D1454" s="12" t="n"/>
      <c r="E1454" s="13" t="n"/>
      <c r="F1454" s="12" t="n"/>
      <c r="G1454" s="13" t="n"/>
      <c r="H1454" s="12" t="n"/>
      <c r="I1454" s="12" t="n"/>
      <c r="J1454" s="12" t="n"/>
      <c r="K1454" s="12" t="n"/>
      <c r="L1454" s="11" t="n"/>
      <c r="M1454" s="11" t="n"/>
      <c r="N1454" s="11" t="n"/>
      <c r="O1454" s="11" t="n"/>
      <c r="P1454" s="12" t="n"/>
      <c r="Q1454" s="11" t="n"/>
      <c r="R1454" s="12" t="n"/>
      <c r="S1454" s="11" t="n"/>
      <c r="T1454" s="12" t="n"/>
      <c r="U1454" s="12" t="n"/>
      <c r="V1454" s="12" t="n"/>
      <c r="W1454" s="13" t="n"/>
      <c r="X1454" s="14">
        <f>IF($AP1454="",IF($B1454="","",$H1454),IF(INDEX(職員マスタ!$B$6:$B$405,$AP1454)="",$H1454,INDEX(職員マスタ!$B$6:$B$405,$AP1454)))</f>
        <v/>
      </c>
      <c r="Y1454" s="14">
        <f>IF($AP1454="",IF($B1454="","",$R1454),IF(INDEX(職員マスタ!$C$6:$C$405,$AP1454)="",$R1454,INDEX(職員マスタ!$C$6:$C$405,$AP1454)))</f>
        <v/>
      </c>
      <c r="Z1454" s="14">
        <f>IF($AQ1454="","","R"&amp;$C1454&amp;"."&amp;$D1454)</f>
        <v/>
      </c>
      <c r="AA1454" s="15">
        <f>IF(IF($AP1454="",FALSE,INDEX(職員マスタ!$K$6:$K$405,$AP1454)&lt;&gt;""),INDEX(職員マスタ!$K$6:$K$405,$AP1454),IF(N($W1454)&gt;0,$W1454,""))</f>
        <v/>
      </c>
      <c r="AB1454" s="14">
        <f>IF(OR($E1454="",$AA1454=""),"",IF($E1454&gt;=$AA1454,"×",IF($E1454&gt;=$AA1454*設定!$C$5,"△","○")))</f>
        <v/>
      </c>
      <c r="AC1454" s="15">
        <f>IF($AB1454="","",IF($AB1454="×",0,IF($AB1454="○",ROUNDDOWN($E1454*設定!$C$4,0),ROUNDDOWN($E1454*ROUND((9*$AA1454-9*$E1454)/(10*$E1454),4),0))))</f>
        <v/>
      </c>
      <c r="AD1454" s="13" t="n"/>
      <c r="AE1454" s="15">
        <f>IF($B1454="","",IF($AD1454&lt;&gt;"",$AD1454,IF($AC1454="","",IF($AC1454&lt;=設定!$C$3,0,$AC1454))))</f>
        <v/>
      </c>
      <c r="AF1454" s="14">
        <f>IF($B1454="","",IF(AND($AG1454&lt;&gt;"",$AI1454="",$AL1454=""),"保留中",IF($AL1454&lt;&gt;"",IF(N($AE1454)&gt;0,"支給済","不支給"),IF($AE1454="","要確認",IF($AE1454=0,"不支給","未処理")))))</f>
        <v/>
      </c>
      <c r="AG1454" s="12" t="n"/>
      <c r="AH1454" s="11" t="n"/>
      <c r="AI1454" s="11" t="n"/>
      <c r="AJ1454" s="11" t="n"/>
      <c r="AK1454" s="14">
        <f>IF(AND($AF1454="保留中",$AH1454&lt;&gt;""),TODAY()-$AH1454,"")</f>
        <v/>
      </c>
      <c r="AL1454" s="12" t="n"/>
      <c r="AM1454" s="14">
        <f>IF($B1454="","",IF($AQ1454="","対象年月が未入力／","")&amp;IF($B1454="","",IF($AP1454="","職員マスタに未登録の職員番号／",IF($AA1454="","標準報酬月額が未登録／","")&amp;IF(AND($AQ1454&lt;&gt;"",OR(AND(INDEX(職員マスタ!$G$6:$G$405,$AP1454)&lt;&gt;"",INDEX(職員マスタ!$G$6:$G$405,$AP1454)&gt;EOMONTH($AQ1454,0)),AND(INDEX(職員マスタ!$H$6:$H$405,$AP1454)&lt;&gt;"",INDEX(職員マスタ!$H$6:$H$405,$AP1454)&lt;$AQ1454))),"対象月が時短期間外／","")&amp;IF(AND(INDEX(職員マスタ!$K$6:$K$405,$AP1454)&lt;&gt;"",N($W1454)&gt;0,INDEX(職員マスタ!$K$6:$K$405,$AP1454)&lt;&gt;$W1454),"標準報酬月額が申請書と相違（台帳"&amp;TEXT(INDEX(職員マスタ!$K$6:$K$405,$AP1454),"#,##0")&amp;"円／申請書"&amp;TEXT($W1454,"#,##0")&amp;"円）／","")&amp;IF(AND(INDEX(職員マスタ!$F$6:$F$405,$AP1454)&lt;&gt;"",$AQ1454&lt;&gt;"",INDEX(職員マスタ!$F$6:$F$405,$AP1454)&lt;$AQ1454),"対象月に子が2歳到達済／","")&amp;IF(AND($H1454&lt;&gt;"",INDEX(職員マスタ!$B$6:$B$405,$AP1454)&lt;&gt;"",SUBSTITUTE(SUBSTITUTE($H1454," ","")," ","")&lt;&gt;SUBSTITUTE(SUBSTITUTE(INDEX(職員マスタ!$B$6:$B$405,$AP1454)," ","")," ","")),"氏名がマスタと相違／","")&amp;IF(AND($Q1454&lt;&gt;"",INDEX(職員マスタ!$E$6:$E$405,$AP1454)&lt;&gt;"",$Q1454&lt;&gt;INDEX(職員マスタ!$E$6:$E$405,$AP1454)),"子の生年月日がマスタと相違／","")&amp;IF(AND($L1454&lt;&gt;"",INDEX(職員マスタ!$G$6:$G$405,$AP1454)&lt;&gt;"",$L1454&lt;&gt;INDEX(職員マスタ!$G$6:$G$405,$AP1454)),"時短開始日がマスタと相違／","")&amp;IF(AND($M1454&lt;&gt;"",INDEX(職員マスタ!$H$6:$H$405,$AP1454)&lt;&gt;"",$M1454&lt;&gt;INDEX(職員マスタ!$H$6:$H$405,$AP1454)),"時短終了日がマスタと相違／","")))&amp;IF(AND($B1454&lt;&gt;"",$E1454=""),"報酬額が未入力／","")&amp;IF(N($U1454)&gt;0,"申請書に入力エラーが残っています／","")&amp;IF(AND($B1454&lt;&gt;"",$AQ1454&lt;&gt;""),IF(COUNTIFS($B$6:$B$3005,$B1454,$C$6:$C$3005,$C1454,$D$6:$D$3005,$D1454)&gt;1,"同じ月の請求が重複しています／",""),"")&amp;IF(AND(N($E1454)&gt;0,$AB1454&lt;&gt;"",$AB1454&lt;&gt;"×",$AE1454=0,$AD1454=""),"計算額が下限以下のため不支給／",""))</f>
        <v/>
      </c>
      <c r="AN1454" s="12" t="n"/>
      <c r="AO1454" s="14">
        <f>IF($AF1454="保留中",COUNTIF($AF$6:$AF1454,"保留中"),"")</f>
        <v/>
      </c>
      <c r="AP1454" s="14">
        <f>IF($AQ1454="","",IF(SUMPRODUCT(MAX((職員マスタ!$A$6:$A$405=$B1454)*(((職員マスタ!$G$6:$G$405="")+(職員マスタ!$G$6:$G$405&lt;=EOMONTH($AQ1454,0)))&gt;0)*(((職員マスタ!$H$6:$H$405="")+(職員マスタ!$H$6:$H$405&gt;=$AQ1454))&gt;0)*(ROW(職員マスタ!$A$6:$A$405)-5)))&gt;0,SUMPRODUCT(MAX((職員マスタ!$A$6:$A$405=$B1454)*(((職員マスタ!$G$6:$G$405="")+(職員マスタ!$G$6:$G$405&lt;=EOMONTH($AQ1454,0)))&gt;0)*(((職員マスタ!$H$6:$H$405="")+(職員マスタ!$H$6:$H$405&gt;=$AQ1454))&gt;0)*(ROW(職員マスタ!$A$6:$A$405)-5))),IFERROR(MATCH($B1454,職員マスタ!$A$6:$A$405,0),"")))</f>
        <v/>
      </c>
      <c r="AQ1454" s="16">
        <f>IF(OR($B1454="",$C1454="",$D1454=""),"",DATE($C1454+2018,$D1454,1))</f>
        <v/>
      </c>
    </row>
    <row r="1455">
      <c r="A1455" s="11" t="n"/>
      <c r="B1455" s="12" t="n"/>
      <c r="C1455" s="12" t="n"/>
      <c r="D1455" s="12" t="n"/>
      <c r="E1455" s="13" t="n"/>
      <c r="F1455" s="12" t="n"/>
      <c r="G1455" s="13" t="n"/>
      <c r="H1455" s="12" t="n"/>
      <c r="I1455" s="12" t="n"/>
      <c r="J1455" s="12" t="n"/>
      <c r="K1455" s="12" t="n"/>
      <c r="L1455" s="11" t="n"/>
      <c r="M1455" s="11" t="n"/>
      <c r="N1455" s="11" t="n"/>
      <c r="O1455" s="11" t="n"/>
      <c r="P1455" s="12" t="n"/>
      <c r="Q1455" s="11" t="n"/>
      <c r="R1455" s="12" t="n"/>
      <c r="S1455" s="11" t="n"/>
      <c r="T1455" s="12" t="n"/>
      <c r="U1455" s="12" t="n"/>
      <c r="V1455" s="12" t="n"/>
      <c r="W1455" s="13" t="n"/>
      <c r="X1455" s="14">
        <f>IF($AP1455="",IF($B1455="","",$H1455),IF(INDEX(職員マスタ!$B$6:$B$405,$AP1455)="",$H1455,INDEX(職員マスタ!$B$6:$B$405,$AP1455)))</f>
        <v/>
      </c>
      <c r="Y1455" s="14">
        <f>IF($AP1455="",IF($B1455="","",$R1455),IF(INDEX(職員マスタ!$C$6:$C$405,$AP1455)="",$R1455,INDEX(職員マスタ!$C$6:$C$405,$AP1455)))</f>
        <v/>
      </c>
      <c r="Z1455" s="14">
        <f>IF($AQ1455="","","R"&amp;$C1455&amp;"."&amp;$D1455)</f>
        <v/>
      </c>
      <c r="AA1455" s="15">
        <f>IF(IF($AP1455="",FALSE,INDEX(職員マスタ!$K$6:$K$405,$AP1455)&lt;&gt;""),INDEX(職員マスタ!$K$6:$K$405,$AP1455),IF(N($W1455)&gt;0,$W1455,""))</f>
        <v/>
      </c>
      <c r="AB1455" s="14">
        <f>IF(OR($E1455="",$AA1455=""),"",IF($E1455&gt;=$AA1455,"×",IF($E1455&gt;=$AA1455*設定!$C$5,"△","○")))</f>
        <v/>
      </c>
      <c r="AC1455" s="15">
        <f>IF($AB1455="","",IF($AB1455="×",0,IF($AB1455="○",ROUNDDOWN($E1455*設定!$C$4,0),ROUNDDOWN($E1455*ROUND((9*$AA1455-9*$E1455)/(10*$E1455),4),0))))</f>
        <v/>
      </c>
      <c r="AD1455" s="13" t="n"/>
      <c r="AE1455" s="15">
        <f>IF($B1455="","",IF($AD1455&lt;&gt;"",$AD1455,IF($AC1455="","",IF($AC1455&lt;=設定!$C$3,0,$AC1455))))</f>
        <v/>
      </c>
      <c r="AF1455" s="14">
        <f>IF($B1455="","",IF(AND($AG1455&lt;&gt;"",$AI1455="",$AL1455=""),"保留中",IF($AL1455&lt;&gt;"",IF(N($AE1455)&gt;0,"支給済","不支給"),IF($AE1455="","要確認",IF($AE1455=0,"不支給","未処理")))))</f>
        <v/>
      </c>
      <c r="AG1455" s="12" t="n"/>
      <c r="AH1455" s="11" t="n"/>
      <c r="AI1455" s="11" t="n"/>
      <c r="AJ1455" s="11" t="n"/>
      <c r="AK1455" s="14">
        <f>IF(AND($AF1455="保留中",$AH1455&lt;&gt;""),TODAY()-$AH1455,"")</f>
        <v/>
      </c>
      <c r="AL1455" s="12" t="n"/>
      <c r="AM1455" s="14">
        <f>IF($B1455="","",IF($AQ1455="","対象年月が未入力／","")&amp;IF($B1455="","",IF($AP1455="","職員マスタに未登録の職員番号／",IF($AA1455="","標準報酬月額が未登録／","")&amp;IF(AND($AQ1455&lt;&gt;"",OR(AND(INDEX(職員マスタ!$G$6:$G$405,$AP1455)&lt;&gt;"",INDEX(職員マスタ!$G$6:$G$405,$AP1455)&gt;EOMONTH($AQ1455,0)),AND(INDEX(職員マスタ!$H$6:$H$405,$AP1455)&lt;&gt;"",INDEX(職員マスタ!$H$6:$H$405,$AP1455)&lt;$AQ1455))),"対象月が時短期間外／","")&amp;IF(AND(INDEX(職員マスタ!$K$6:$K$405,$AP1455)&lt;&gt;"",N($W1455)&gt;0,INDEX(職員マスタ!$K$6:$K$405,$AP1455)&lt;&gt;$W1455),"標準報酬月額が申請書と相違（台帳"&amp;TEXT(INDEX(職員マスタ!$K$6:$K$405,$AP1455),"#,##0")&amp;"円／申請書"&amp;TEXT($W1455,"#,##0")&amp;"円）／","")&amp;IF(AND(INDEX(職員マスタ!$F$6:$F$405,$AP1455)&lt;&gt;"",$AQ1455&lt;&gt;"",INDEX(職員マスタ!$F$6:$F$405,$AP1455)&lt;$AQ1455),"対象月に子が2歳到達済／","")&amp;IF(AND($H1455&lt;&gt;"",INDEX(職員マスタ!$B$6:$B$405,$AP1455)&lt;&gt;"",SUBSTITUTE(SUBSTITUTE($H1455," ","")," ","")&lt;&gt;SUBSTITUTE(SUBSTITUTE(INDEX(職員マスタ!$B$6:$B$405,$AP1455)," ","")," ","")),"氏名がマスタと相違／","")&amp;IF(AND($Q1455&lt;&gt;"",INDEX(職員マスタ!$E$6:$E$405,$AP1455)&lt;&gt;"",$Q1455&lt;&gt;INDEX(職員マスタ!$E$6:$E$405,$AP1455)),"子の生年月日がマスタと相違／","")&amp;IF(AND($L1455&lt;&gt;"",INDEX(職員マスタ!$G$6:$G$405,$AP1455)&lt;&gt;"",$L1455&lt;&gt;INDEX(職員マスタ!$G$6:$G$405,$AP1455)),"時短開始日がマスタと相違／","")&amp;IF(AND($M1455&lt;&gt;"",INDEX(職員マスタ!$H$6:$H$405,$AP1455)&lt;&gt;"",$M1455&lt;&gt;INDEX(職員マスタ!$H$6:$H$405,$AP1455)),"時短終了日がマスタと相違／","")))&amp;IF(AND($B1455&lt;&gt;"",$E1455=""),"報酬額が未入力／","")&amp;IF(N($U1455)&gt;0,"申請書に入力エラーが残っています／","")&amp;IF(AND($B1455&lt;&gt;"",$AQ1455&lt;&gt;""),IF(COUNTIFS($B$6:$B$3005,$B1455,$C$6:$C$3005,$C1455,$D$6:$D$3005,$D1455)&gt;1,"同じ月の請求が重複しています／",""),"")&amp;IF(AND(N($E1455)&gt;0,$AB1455&lt;&gt;"",$AB1455&lt;&gt;"×",$AE1455=0,$AD1455=""),"計算額が下限以下のため不支給／",""))</f>
        <v/>
      </c>
      <c r="AN1455" s="12" t="n"/>
      <c r="AO1455" s="14">
        <f>IF($AF1455="保留中",COUNTIF($AF$6:$AF1455,"保留中"),"")</f>
        <v/>
      </c>
      <c r="AP1455" s="14">
        <f>IF($AQ1455="","",IF(SUMPRODUCT(MAX((職員マスタ!$A$6:$A$405=$B1455)*(((職員マスタ!$G$6:$G$405="")+(職員マスタ!$G$6:$G$405&lt;=EOMONTH($AQ1455,0)))&gt;0)*(((職員マスタ!$H$6:$H$405="")+(職員マスタ!$H$6:$H$405&gt;=$AQ1455))&gt;0)*(ROW(職員マスタ!$A$6:$A$405)-5)))&gt;0,SUMPRODUCT(MAX((職員マスタ!$A$6:$A$405=$B1455)*(((職員マスタ!$G$6:$G$405="")+(職員マスタ!$G$6:$G$405&lt;=EOMONTH($AQ1455,0)))&gt;0)*(((職員マスタ!$H$6:$H$405="")+(職員マスタ!$H$6:$H$405&gt;=$AQ1455))&gt;0)*(ROW(職員マスタ!$A$6:$A$405)-5))),IFERROR(MATCH($B1455,職員マスタ!$A$6:$A$405,0),"")))</f>
        <v/>
      </c>
      <c r="AQ1455" s="16">
        <f>IF(OR($B1455="",$C1455="",$D1455=""),"",DATE($C1455+2018,$D1455,1))</f>
        <v/>
      </c>
    </row>
    <row r="1456">
      <c r="A1456" s="11" t="n"/>
      <c r="B1456" s="12" t="n"/>
      <c r="C1456" s="12" t="n"/>
      <c r="D1456" s="12" t="n"/>
      <c r="E1456" s="13" t="n"/>
      <c r="F1456" s="12" t="n"/>
      <c r="G1456" s="13" t="n"/>
      <c r="H1456" s="12" t="n"/>
      <c r="I1456" s="12" t="n"/>
      <c r="J1456" s="12" t="n"/>
      <c r="K1456" s="12" t="n"/>
      <c r="L1456" s="11" t="n"/>
      <c r="M1456" s="11" t="n"/>
      <c r="N1456" s="11" t="n"/>
      <c r="O1456" s="11" t="n"/>
      <c r="P1456" s="12" t="n"/>
      <c r="Q1456" s="11" t="n"/>
      <c r="R1456" s="12" t="n"/>
      <c r="S1456" s="11" t="n"/>
      <c r="T1456" s="12" t="n"/>
      <c r="U1456" s="12" t="n"/>
      <c r="V1456" s="12" t="n"/>
      <c r="W1456" s="13" t="n"/>
      <c r="X1456" s="14">
        <f>IF($AP1456="",IF($B1456="","",$H1456),IF(INDEX(職員マスタ!$B$6:$B$405,$AP1456)="",$H1456,INDEX(職員マスタ!$B$6:$B$405,$AP1456)))</f>
        <v/>
      </c>
      <c r="Y1456" s="14">
        <f>IF($AP1456="",IF($B1456="","",$R1456),IF(INDEX(職員マスタ!$C$6:$C$405,$AP1456)="",$R1456,INDEX(職員マスタ!$C$6:$C$405,$AP1456)))</f>
        <v/>
      </c>
      <c r="Z1456" s="14">
        <f>IF($AQ1456="","","R"&amp;$C1456&amp;"."&amp;$D1456)</f>
        <v/>
      </c>
      <c r="AA1456" s="15">
        <f>IF(IF($AP1456="",FALSE,INDEX(職員マスタ!$K$6:$K$405,$AP1456)&lt;&gt;""),INDEX(職員マスタ!$K$6:$K$405,$AP1456),IF(N($W1456)&gt;0,$W1456,""))</f>
        <v/>
      </c>
      <c r="AB1456" s="14">
        <f>IF(OR($E1456="",$AA1456=""),"",IF($E1456&gt;=$AA1456,"×",IF($E1456&gt;=$AA1456*設定!$C$5,"△","○")))</f>
        <v/>
      </c>
      <c r="AC1456" s="15">
        <f>IF($AB1456="","",IF($AB1456="×",0,IF($AB1456="○",ROUNDDOWN($E1456*設定!$C$4,0),ROUNDDOWN($E1456*ROUND((9*$AA1456-9*$E1456)/(10*$E1456),4),0))))</f>
        <v/>
      </c>
      <c r="AD1456" s="13" t="n"/>
      <c r="AE1456" s="15">
        <f>IF($B1456="","",IF($AD1456&lt;&gt;"",$AD1456,IF($AC1456="","",IF($AC1456&lt;=設定!$C$3,0,$AC1456))))</f>
        <v/>
      </c>
      <c r="AF1456" s="14">
        <f>IF($B1456="","",IF(AND($AG1456&lt;&gt;"",$AI1456="",$AL1456=""),"保留中",IF($AL1456&lt;&gt;"",IF(N($AE1456)&gt;0,"支給済","不支給"),IF($AE1456="","要確認",IF($AE1456=0,"不支給","未処理")))))</f>
        <v/>
      </c>
      <c r="AG1456" s="12" t="n"/>
      <c r="AH1456" s="11" t="n"/>
      <c r="AI1456" s="11" t="n"/>
      <c r="AJ1456" s="11" t="n"/>
      <c r="AK1456" s="14">
        <f>IF(AND($AF1456="保留中",$AH1456&lt;&gt;""),TODAY()-$AH1456,"")</f>
        <v/>
      </c>
      <c r="AL1456" s="12" t="n"/>
      <c r="AM1456" s="14">
        <f>IF($B1456="","",IF($AQ1456="","対象年月が未入力／","")&amp;IF($B1456="","",IF($AP1456="","職員マスタに未登録の職員番号／",IF($AA1456="","標準報酬月額が未登録／","")&amp;IF(AND($AQ1456&lt;&gt;"",OR(AND(INDEX(職員マスタ!$G$6:$G$405,$AP1456)&lt;&gt;"",INDEX(職員マスタ!$G$6:$G$405,$AP1456)&gt;EOMONTH($AQ1456,0)),AND(INDEX(職員マスタ!$H$6:$H$405,$AP1456)&lt;&gt;"",INDEX(職員マスタ!$H$6:$H$405,$AP1456)&lt;$AQ1456))),"対象月が時短期間外／","")&amp;IF(AND(INDEX(職員マスタ!$K$6:$K$405,$AP1456)&lt;&gt;"",N($W1456)&gt;0,INDEX(職員マスタ!$K$6:$K$405,$AP1456)&lt;&gt;$W1456),"標準報酬月額が申請書と相違（台帳"&amp;TEXT(INDEX(職員マスタ!$K$6:$K$405,$AP1456),"#,##0")&amp;"円／申請書"&amp;TEXT($W1456,"#,##0")&amp;"円）／","")&amp;IF(AND(INDEX(職員マスタ!$F$6:$F$405,$AP1456)&lt;&gt;"",$AQ1456&lt;&gt;"",INDEX(職員マスタ!$F$6:$F$405,$AP1456)&lt;$AQ1456),"対象月に子が2歳到達済／","")&amp;IF(AND($H1456&lt;&gt;"",INDEX(職員マスタ!$B$6:$B$405,$AP1456)&lt;&gt;"",SUBSTITUTE(SUBSTITUTE($H1456," ","")," ","")&lt;&gt;SUBSTITUTE(SUBSTITUTE(INDEX(職員マスタ!$B$6:$B$405,$AP1456)," ","")," ","")),"氏名がマスタと相違／","")&amp;IF(AND($Q1456&lt;&gt;"",INDEX(職員マスタ!$E$6:$E$405,$AP1456)&lt;&gt;"",$Q1456&lt;&gt;INDEX(職員マスタ!$E$6:$E$405,$AP1456)),"子の生年月日がマスタと相違／","")&amp;IF(AND($L1456&lt;&gt;"",INDEX(職員マスタ!$G$6:$G$405,$AP1456)&lt;&gt;"",$L1456&lt;&gt;INDEX(職員マスタ!$G$6:$G$405,$AP1456)),"時短開始日がマスタと相違／","")&amp;IF(AND($M1456&lt;&gt;"",INDEX(職員マスタ!$H$6:$H$405,$AP1456)&lt;&gt;"",$M1456&lt;&gt;INDEX(職員マスタ!$H$6:$H$405,$AP1456)),"時短終了日がマスタと相違／","")))&amp;IF(AND($B1456&lt;&gt;"",$E1456=""),"報酬額が未入力／","")&amp;IF(N($U1456)&gt;0,"申請書に入力エラーが残っています／","")&amp;IF(AND($B1456&lt;&gt;"",$AQ1456&lt;&gt;""),IF(COUNTIFS($B$6:$B$3005,$B1456,$C$6:$C$3005,$C1456,$D$6:$D$3005,$D1456)&gt;1,"同じ月の請求が重複しています／",""),"")&amp;IF(AND(N($E1456)&gt;0,$AB1456&lt;&gt;"",$AB1456&lt;&gt;"×",$AE1456=0,$AD1456=""),"計算額が下限以下のため不支給／",""))</f>
        <v/>
      </c>
      <c r="AN1456" s="12" t="n"/>
      <c r="AO1456" s="14">
        <f>IF($AF1456="保留中",COUNTIF($AF$6:$AF1456,"保留中"),"")</f>
        <v/>
      </c>
      <c r="AP1456" s="14">
        <f>IF($AQ1456="","",IF(SUMPRODUCT(MAX((職員マスタ!$A$6:$A$405=$B1456)*(((職員マスタ!$G$6:$G$405="")+(職員マスタ!$G$6:$G$405&lt;=EOMONTH($AQ1456,0)))&gt;0)*(((職員マスタ!$H$6:$H$405="")+(職員マスタ!$H$6:$H$405&gt;=$AQ1456))&gt;0)*(ROW(職員マスタ!$A$6:$A$405)-5)))&gt;0,SUMPRODUCT(MAX((職員マスタ!$A$6:$A$405=$B1456)*(((職員マスタ!$G$6:$G$405="")+(職員マスタ!$G$6:$G$405&lt;=EOMONTH($AQ1456,0)))&gt;0)*(((職員マスタ!$H$6:$H$405="")+(職員マスタ!$H$6:$H$405&gt;=$AQ1456))&gt;0)*(ROW(職員マスタ!$A$6:$A$405)-5))),IFERROR(MATCH($B1456,職員マスタ!$A$6:$A$405,0),"")))</f>
        <v/>
      </c>
      <c r="AQ1456" s="16">
        <f>IF(OR($B1456="",$C1456="",$D1456=""),"",DATE($C1456+2018,$D1456,1))</f>
        <v/>
      </c>
    </row>
    <row r="1457">
      <c r="A1457" s="11" t="n"/>
      <c r="B1457" s="12" t="n"/>
      <c r="C1457" s="12" t="n"/>
      <c r="D1457" s="12" t="n"/>
      <c r="E1457" s="13" t="n"/>
      <c r="F1457" s="12" t="n"/>
      <c r="G1457" s="13" t="n"/>
      <c r="H1457" s="12" t="n"/>
      <c r="I1457" s="12" t="n"/>
      <c r="J1457" s="12" t="n"/>
      <c r="K1457" s="12" t="n"/>
      <c r="L1457" s="11" t="n"/>
      <c r="M1457" s="11" t="n"/>
      <c r="N1457" s="11" t="n"/>
      <c r="O1457" s="11" t="n"/>
      <c r="P1457" s="12" t="n"/>
      <c r="Q1457" s="11" t="n"/>
      <c r="R1457" s="12" t="n"/>
      <c r="S1457" s="11" t="n"/>
      <c r="T1457" s="12" t="n"/>
      <c r="U1457" s="12" t="n"/>
      <c r="V1457" s="12" t="n"/>
      <c r="W1457" s="13" t="n"/>
      <c r="X1457" s="14">
        <f>IF($AP1457="",IF($B1457="","",$H1457),IF(INDEX(職員マスタ!$B$6:$B$405,$AP1457)="",$H1457,INDEX(職員マスタ!$B$6:$B$405,$AP1457)))</f>
        <v/>
      </c>
      <c r="Y1457" s="14">
        <f>IF($AP1457="",IF($B1457="","",$R1457),IF(INDEX(職員マスタ!$C$6:$C$405,$AP1457)="",$R1457,INDEX(職員マスタ!$C$6:$C$405,$AP1457)))</f>
        <v/>
      </c>
      <c r="Z1457" s="14">
        <f>IF($AQ1457="","","R"&amp;$C1457&amp;"."&amp;$D1457)</f>
        <v/>
      </c>
      <c r="AA1457" s="15">
        <f>IF(IF($AP1457="",FALSE,INDEX(職員マスタ!$K$6:$K$405,$AP1457)&lt;&gt;""),INDEX(職員マスタ!$K$6:$K$405,$AP1457),IF(N($W1457)&gt;0,$W1457,""))</f>
        <v/>
      </c>
      <c r="AB1457" s="14">
        <f>IF(OR($E1457="",$AA1457=""),"",IF($E1457&gt;=$AA1457,"×",IF($E1457&gt;=$AA1457*設定!$C$5,"△","○")))</f>
        <v/>
      </c>
      <c r="AC1457" s="15">
        <f>IF($AB1457="","",IF($AB1457="×",0,IF($AB1457="○",ROUNDDOWN($E1457*設定!$C$4,0),ROUNDDOWN($E1457*ROUND((9*$AA1457-9*$E1457)/(10*$E1457),4),0))))</f>
        <v/>
      </c>
      <c r="AD1457" s="13" t="n"/>
      <c r="AE1457" s="15">
        <f>IF($B1457="","",IF($AD1457&lt;&gt;"",$AD1457,IF($AC1457="","",IF($AC1457&lt;=設定!$C$3,0,$AC1457))))</f>
        <v/>
      </c>
      <c r="AF1457" s="14">
        <f>IF($B1457="","",IF(AND($AG1457&lt;&gt;"",$AI1457="",$AL1457=""),"保留中",IF($AL1457&lt;&gt;"",IF(N($AE1457)&gt;0,"支給済","不支給"),IF($AE1457="","要確認",IF($AE1457=0,"不支給","未処理")))))</f>
        <v/>
      </c>
      <c r="AG1457" s="12" t="n"/>
      <c r="AH1457" s="11" t="n"/>
      <c r="AI1457" s="11" t="n"/>
      <c r="AJ1457" s="11" t="n"/>
      <c r="AK1457" s="14">
        <f>IF(AND($AF1457="保留中",$AH1457&lt;&gt;""),TODAY()-$AH1457,"")</f>
        <v/>
      </c>
      <c r="AL1457" s="12" t="n"/>
      <c r="AM1457" s="14">
        <f>IF($B1457="","",IF($AQ1457="","対象年月が未入力／","")&amp;IF($B1457="","",IF($AP1457="","職員マスタに未登録の職員番号／",IF($AA1457="","標準報酬月額が未登録／","")&amp;IF(AND($AQ1457&lt;&gt;"",OR(AND(INDEX(職員マスタ!$G$6:$G$405,$AP1457)&lt;&gt;"",INDEX(職員マスタ!$G$6:$G$405,$AP1457)&gt;EOMONTH($AQ1457,0)),AND(INDEX(職員マスタ!$H$6:$H$405,$AP1457)&lt;&gt;"",INDEX(職員マスタ!$H$6:$H$405,$AP1457)&lt;$AQ1457))),"対象月が時短期間外／","")&amp;IF(AND(INDEX(職員マスタ!$K$6:$K$405,$AP1457)&lt;&gt;"",N($W1457)&gt;0,INDEX(職員マスタ!$K$6:$K$405,$AP1457)&lt;&gt;$W1457),"標準報酬月額が申請書と相違（台帳"&amp;TEXT(INDEX(職員マスタ!$K$6:$K$405,$AP1457),"#,##0")&amp;"円／申請書"&amp;TEXT($W1457,"#,##0")&amp;"円）／","")&amp;IF(AND(INDEX(職員マスタ!$F$6:$F$405,$AP1457)&lt;&gt;"",$AQ1457&lt;&gt;"",INDEX(職員マスタ!$F$6:$F$405,$AP1457)&lt;$AQ1457),"対象月に子が2歳到達済／","")&amp;IF(AND($H1457&lt;&gt;"",INDEX(職員マスタ!$B$6:$B$405,$AP1457)&lt;&gt;"",SUBSTITUTE(SUBSTITUTE($H1457," ","")," ","")&lt;&gt;SUBSTITUTE(SUBSTITUTE(INDEX(職員マスタ!$B$6:$B$405,$AP1457)," ","")," ","")),"氏名がマスタと相違／","")&amp;IF(AND($Q1457&lt;&gt;"",INDEX(職員マスタ!$E$6:$E$405,$AP1457)&lt;&gt;"",$Q1457&lt;&gt;INDEX(職員マスタ!$E$6:$E$405,$AP1457)),"子の生年月日がマスタと相違／","")&amp;IF(AND($L1457&lt;&gt;"",INDEX(職員マスタ!$G$6:$G$405,$AP1457)&lt;&gt;"",$L1457&lt;&gt;INDEX(職員マスタ!$G$6:$G$405,$AP1457)),"時短開始日がマスタと相違／","")&amp;IF(AND($M1457&lt;&gt;"",INDEX(職員マスタ!$H$6:$H$405,$AP1457)&lt;&gt;"",$M1457&lt;&gt;INDEX(職員マスタ!$H$6:$H$405,$AP1457)),"時短終了日がマスタと相違／","")))&amp;IF(AND($B1457&lt;&gt;"",$E1457=""),"報酬額が未入力／","")&amp;IF(N($U1457)&gt;0,"申請書に入力エラーが残っています／","")&amp;IF(AND($B1457&lt;&gt;"",$AQ1457&lt;&gt;""),IF(COUNTIFS($B$6:$B$3005,$B1457,$C$6:$C$3005,$C1457,$D$6:$D$3005,$D1457)&gt;1,"同じ月の請求が重複しています／",""),"")&amp;IF(AND(N($E1457)&gt;0,$AB1457&lt;&gt;"",$AB1457&lt;&gt;"×",$AE1457=0,$AD1457=""),"計算額が下限以下のため不支給／",""))</f>
        <v/>
      </c>
      <c r="AN1457" s="12" t="n"/>
      <c r="AO1457" s="14">
        <f>IF($AF1457="保留中",COUNTIF($AF$6:$AF1457,"保留中"),"")</f>
        <v/>
      </c>
      <c r="AP1457" s="14">
        <f>IF($AQ1457="","",IF(SUMPRODUCT(MAX((職員マスタ!$A$6:$A$405=$B1457)*(((職員マスタ!$G$6:$G$405="")+(職員マスタ!$G$6:$G$405&lt;=EOMONTH($AQ1457,0)))&gt;0)*(((職員マスタ!$H$6:$H$405="")+(職員マスタ!$H$6:$H$405&gt;=$AQ1457))&gt;0)*(ROW(職員マスタ!$A$6:$A$405)-5)))&gt;0,SUMPRODUCT(MAX((職員マスタ!$A$6:$A$405=$B1457)*(((職員マスタ!$G$6:$G$405="")+(職員マスタ!$G$6:$G$405&lt;=EOMONTH($AQ1457,0)))&gt;0)*(((職員マスタ!$H$6:$H$405="")+(職員マスタ!$H$6:$H$405&gt;=$AQ1457))&gt;0)*(ROW(職員マスタ!$A$6:$A$405)-5))),IFERROR(MATCH($B1457,職員マスタ!$A$6:$A$405,0),"")))</f>
        <v/>
      </c>
      <c r="AQ1457" s="16">
        <f>IF(OR($B1457="",$C1457="",$D1457=""),"",DATE($C1457+2018,$D1457,1))</f>
        <v/>
      </c>
    </row>
    <row r="1458">
      <c r="A1458" s="11" t="n"/>
      <c r="B1458" s="12" t="n"/>
      <c r="C1458" s="12" t="n"/>
      <c r="D1458" s="12" t="n"/>
      <c r="E1458" s="13" t="n"/>
      <c r="F1458" s="12" t="n"/>
      <c r="G1458" s="13" t="n"/>
      <c r="H1458" s="12" t="n"/>
      <c r="I1458" s="12" t="n"/>
      <c r="J1458" s="12" t="n"/>
      <c r="K1458" s="12" t="n"/>
      <c r="L1458" s="11" t="n"/>
      <c r="M1458" s="11" t="n"/>
      <c r="N1458" s="11" t="n"/>
      <c r="O1458" s="11" t="n"/>
      <c r="P1458" s="12" t="n"/>
      <c r="Q1458" s="11" t="n"/>
      <c r="R1458" s="12" t="n"/>
      <c r="S1458" s="11" t="n"/>
      <c r="T1458" s="12" t="n"/>
      <c r="U1458" s="12" t="n"/>
      <c r="V1458" s="12" t="n"/>
      <c r="W1458" s="13" t="n"/>
      <c r="X1458" s="14">
        <f>IF($AP1458="",IF($B1458="","",$H1458),IF(INDEX(職員マスタ!$B$6:$B$405,$AP1458)="",$H1458,INDEX(職員マスタ!$B$6:$B$405,$AP1458)))</f>
        <v/>
      </c>
      <c r="Y1458" s="14">
        <f>IF($AP1458="",IF($B1458="","",$R1458),IF(INDEX(職員マスタ!$C$6:$C$405,$AP1458)="",$R1458,INDEX(職員マスタ!$C$6:$C$405,$AP1458)))</f>
        <v/>
      </c>
      <c r="Z1458" s="14">
        <f>IF($AQ1458="","","R"&amp;$C1458&amp;"."&amp;$D1458)</f>
        <v/>
      </c>
      <c r="AA1458" s="15">
        <f>IF(IF($AP1458="",FALSE,INDEX(職員マスタ!$K$6:$K$405,$AP1458)&lt;&gt;""),INDEX(職員マスタ!$K$6:$K$405,$AP1458),IF(N($W1458)&gt;0,$W1458,""))</f>
        <v/>
      </c>
      <c r="AB1458" s="14">
        <f>IF(OR($E1458="",$AA1458=""),"",IF($E1458&gt;=$AA1458,"×",IF($E1458&gt;=$AA1458*設定!$C$5,"△","○")))</f>
        <v/>
      </c>
      <c r="AC1458" s="15">
        <f>IF($AB1458="","",IF($AB1458="×",0,IF($AB1458="○",ROUNDDOWN($E1458*設定!$C$4,0),ROUNDDOWN($E1458*ROUND((9*$AA1458-9*$E1458)/(10*$E1458),4),0))))</f>
        <v/>
      </c>
      <c r="AD1458" s="13" t="n"/>
      <c r="AE1458" s="15">
        <f>IF($B1458="","",IF($AD1458&lt;&gt;"",$AD1458,IF($AC1458="","",IF($AC1458&lt;=設定!$C$3,0,$AC1458))))</f>
        <v/>
      </c>
      <c r="AF1458" s="14">
        <f>IF($B1458="","",IF(AND($AG1458&lt;&gt;"",$AI1458="",$AL1458=""),"保留中",IF($AL1458&lt;&gt;"",IF(N($AE1458)&gt;0,"支給済","不支給"),IF($AE1458="","要確認",IF($AE1458=0,"不支給","未処理")))))</f>
        <v/>
      </c>
      <c r="AG1458" s="12" t="n"/>
      <c r="AH1458" s="11" t="n"/>
      <c r="AI1458" s="11" t="n"/>
      <c r="AJ1458" s="11" t="n"/>
      <c r="AK1458" s="14">
        <f>IF(AND($AF1458="保留中",$AH1458&lt;&gt;""),TODAY()-$AH1458,"")</f>
        <v/>
      </c>
      <c r="AL1458" s="12" t="n"/>
      <c r="AM1458" s="14">
        <f>IF($B1458="","",IF($AQ1458="","対象年月が未入力／","")&amp;IF($B1458="","",IF($AP1458="","職員マスタに未登録の職員番号／",IF($AA1458="","標準報酬月額が未登録／","")&amp;IF(AND($AQ1458&lt;&gt;"",OR(AND(INDEX(職員マスタ!$G$6:$G$405,$AP1458)&lt;&gt;"",INDEX(職員マスタ!$G$6:$G$405,$AP1458)&gt;EOMONTH($AQ1458,0)),AND(INDEX(職員マスタ!$H$6:$H$405,$AP1458)&lt;&gt;"",INDEX(職員マスタ!$H$6:$H$405,$AP1458)&lt;$AQ1458))),"対象月が時短期間外／","")&amp;IF(AND(INDEX(職員マスタ!$K$6:$K$405,$AP1458)&lt;&gt;"",N($W1458)&gt;0,INDEX(職員マスタ!$K$6:$K$405,$AP1458)&lt;&gt;$W1458),"標準報酬月額が申請書と相違（台帳"&amp;TEXT(INDEX(職員マスタ!$K$6:$K$405,$AP1458),"#,##0")&amp;"円／申請書"&amp;TEXT($W1458,"#,##0")&amp;"円）／","")&amp;IF(AND(INDEX(職員マスタ!$F$6:$F$405,$AP1458)&lt;&gt;"",$AQ1458&lt;&gt;"",INDEX(職員マスタ!$F$6:$F$405,$AP1458)&lt;$AQ1458),"対象月に子が2歳到達済／","")&amp;IF(AND($H1458&lt;&gt;"",INDEX(職員マスタ!$B$6:$B$405,$AP1458)&lt;&gt;"",SUBSTITUTE(SUBSTITUTE($H1458," ","")," ","")&lt;&gt;SUBSTITUTE(SUBSTITUTE(INDEX(職員マスタ!$B$6:$B$405,$AP1458)," ","")," ","")),"氏名がマスタと相違／","")&amp;IF(AND($Q1458&lt;&gt;"",INDEX(職員マスタ!$E$6:$E$405,$AP1458)&lt;&gt;"",$Q1458&lt;&gt;INDEX(職員マスタ!$E$6:$E$405,$AP1458)),"子の生年月日がマスタと相違／","")&amp;IF(AND($L1458&lt;&gt;"",INDEX(職員マスタ!$G$6:$G$405,$AP1458)&lt;&gt;"",$L1458&lt;&gt;INDEX(職員マスタ!$G$6:$G$405,$AP1458)),"時短開始日がマスタと相違／","")&amp;IF(AND($M1458&lt;&gt;"",INDEX(職員マスタ!$H$6:$H$405,$AP1458)&lt;&gt;"",$M1458&lt;&gt;INDEX(職員マスタ!$H$6:$H$405,$AP1458)),"時短終了日がマスタと相違／","")))&amp;IF(AND($B1458&lt;&gt;"",$E1458=""),"報酬額が未入力／","")&amp;IF(N($U1458)&gt;0,"申請書に入力エラーが残っています／","")&amp;IF(AND($B1458&lt;&gt;"",$AQ1458&lt;&gt;""),IF(COUNTIFS($B$6:$B$3005,$B1458,$C$6:$C$3005,$C1458,$D$6:$D$3005,$D1458)&gt;1,"同じ月の請求が重複しています／",""),"")&amp;IF(AND(N($E1458)&gt;0,$AB1458&lt;&gt;"",$AB1458&lt;&gt;"×",$AE1458=0,$AD1458=""),"計算額が下限以下のため不支給／",""))</f>
        <v/>
      </c>
      <c r="AN1458" s="12" t="n"/>
      <c r="AO1458" s="14">
        <f>IF($AF1458="保留中",COUNTIF($AF$6:$AF1458,"保留中"),"")</f>
        <v/>
      </c>
      <c r="AP1458" s="14">
        <f>IF($AQ1458="","",IF(SUMPRODUCT(MAX((職員マスタ!$A$6:$A$405=$B1458)*(((職員マスタ!$G$6:$G$405="")+(職員マスタ!$G$6:$G$405&lt;=EOMONTH($AQ1458,0)))&gt;0)*(((職員マスタ!$H$6:$H$405="")+(職員マスタ!$H$6:$H$405&gt;=$AQ1458))&gt;0)*(ROW(職員マスタ!$A$6:$A$405)-5)))&gt;0,SUMPRODUCT(MAX((職員マスタ!$A$6:$A$405=$B1458)*(((職員マスタ!$G$6:$G$405="")+(職員マスタ!$G$6:$G$405&lt;=EOMONTH($AQ1458,0)))&gt;0)*(((職員マスタ!$H$6:$H$405="")+(職員マスタ!$H$6:$H$405&gt;=$AQ1458))&gt;0)*(ROW(職員マスタ!$A$6:$A$405)-5))),IFERROR(MATCH($B1458,職員マスタ!$A$6:$A$405,0),"")))</f>
        <v/>
      </c>
      <c r="AQ1458" s="16">
        <f>IF(OR($B1458="",$C1458="",$D1458=""),"",DATE($C1458+2018,$D1458,1))</f>
        <v/>
      </c>
    </row>
    <row r="1459">
      <c r="A1459" s="11" t="n"/>
      <c r="B1459" s="12" t="n"/>
      <c r="C1459" s="12" t="n"/>
      <c r="D1459" s="12" t="n"/>
      <c r="E1459" s="13" t="n"/>
      <c r="F1459" s="12" t="n"/>
      <c r="G1459" s="13" t="n"/>
      <c r="H1459" s="12" t="n"/>
      <c r="I1459" s="12" t="n"/>
      <c r="J1459" s="12" t="n"/>
      <c r="K1459" s="12" t="n"/>
      <c r="L1459" s="11" t="n"/>
      <c r="M1459" s="11" t="n"/>
      <c r="N1459" s="11" t="n"/>
      <c r="O1459" s="11" t="n"/>
      <c r="P1459" s="12" t="n"/>
      <c r="Q1459" s="11" t="n"/>
      <c r="R1459" s="12" t="n"/>
      <c r="S1459" s="11" t="n"/>
      <c r="T1459" s="12" t="n"/>
      <c r="U1459" s="12" t="n"/>
      <c r="V1459" s="12" t="n"/>
      <c r="W1459" s="13" t="n"/>
      <c r="X1459" s="14">
        <f>IF($AP1459="",IF($B1459="","",$H1459),IF(INDEX(職員マスタ!$B$6:$B$405,$AP1459)="",$H1459,INDEX(職員マスタ!$B$6:$B$405,$AP1459)))</f>
        <v/>
      </c>
      <c r="Y1459" s="14">
        <f>IF($AP1459="",IF($B1459="","",$R1459),IF(INDEX(職員マスタ!$C$6:$C$405,$AP1459)="",$R1459,INDEX(職員マスタ!$C$6:$C$405,$AP1459)))</f>
        <v/>
      </c>
      <c r="Z1459" s="14">
        <f>IF($AQ1459="","","R"&amp;$C1459&amp;"."&amp;$D1459)</f>
        <v/>
      </c>
      <c r="AA1459" s="15">
        <f>IF(IF($AP1459="",FALSE,INDEX(職員マスタ!$K$6:$K$405,$AP1459)&lt;&gt;""),INDEX(職員マスタ!$K$6:$K$405,$AP1459),IF(N($W1459)&gt;0,$W1459,""))</f>
        <v/>
      </c>
      <c r="AB1459" s="14">
        <f>IF(OR($E1459="",$AA1459=""),"",IF($E1459&gt;=$AA1459,"×",IF($E1459&gt;=$AA1459*設定!$C$5,"△","○")))</f>
        <v/>
      </c>
      <c r="AC1459" s="15">
        <f>IF($AB1459="","",IF($AB1459="×",0,IF($AB1459="○",ROUNDDOWN($E1459*設定!$C$4,0),ROUNDDOWN($E1459*ROUND((9*$AA1459-9*$E1459)/(10*$E1459),4),0))))</f>
        <v/>
      </c>
      <c r="AD1459" s="13" t="n"/>
      <c r="AE1459" s="15">
        <f>IF($B1459="","",IF($AD1459&lt;&gt;"",$AD1459,IF($AC1459="","",IF($AC1459&lt;=設定!$C$3,0,$AC1459))))</f>
        <v/>
      </c>
      <c r="AF1459" s="14">
        <f>IF($B1459="","",IF(AND($AG1459&lt;&gt;"",$AI1459="",$AL1459=""),"保留中",IF($AL1459&lt;&gt;"",IF(N($AE1459)&gt;0,"支給済","不支給"),IF($AE1459="","要確認",IF($AE1459=0,"不支給","未処理")))))</f>
        <v/>
      </c>
      <c r="AG1459" s="12" t="n"/>
      <c r="AH1459" s="11" t="n"/>
      <c r="AI1459" s="11" t="n"/>
      <c r="AJ1459" s="11" t="n"/>
      <c r="AK1459" s="14">
        <f>IF(AND($AF1459="保留中",$AH1459&lt;&gt;""),TODAY()-$AH1459,"")</f>
        <v/>
      </c>
      <c r="AL1459" s="12" t="n"/>
      <c r="AM1459" s="14">
        <f>IF($B1459="","",IF($AQ1459="","対象年月が未入力／","")&amp;IF($B1459="","",IF($AP1459="","職員マスタに未登録の職員番号／",IF($AA1459="","標準報酬月額が未登録／","")&amp;IF(AND($AQ1459&lt;&gt;"",OR(AND(INDEX(職員マスタ!$G$6:$G$405,$AP1459)&lt;&gt;"",INDEX(職員マスタ!$G$6:$G$405,$AP1459)&gt;EOMONTH($AQ1459,0)),AND(INDEX(職員マスタ!$H$6:$H$405,$AP1459)&lt;&gt;"",INDEX(職員マスタ!$H$6:$H$405,$AP1459)&lt;$AQ1459))),"対象月が時短期間外／","")&amp;IF(AND(INDEX(職員マスタ!$K$6:$K$405,$AP1459)&lt;&gt;"",N($W1459)&gt;0,INDEX(職員マスタ!$K$6:$K$405,$AP1459)&lt;&gt;$W1459),"標準報酬月額が申請書と相違（台帳"&amp;TEXT(INDEX(職員マスタ!$K$6:$K$405,$AP1459),"#,##0")&amp;"円／申請書"&amp;TEXT($W1459,"#,##0")&amp;"円）／","")&amp;IF(AND(INDEX(職員マスタ!$F$6:$F$405,$AP1459)&lt;&gt;"",$AQ1459&lt;&gt;"",INDEX(職員マスタ!$F$6:$F$405,$AP1459)&lt;$AQ1459),"対象月に子が2歳到達済／","")&amp;IF(AND($H1459&lt;&gt;"",INDEX(職員マスタ!$B$6:$B$405,$AP1459)&lt;&gt;"",SUBSTITUTE(SUBSTITUTE($H1459," ","")," ","")&lt;&gt;SUBSTITUTE(SUBSTITUTE(INDEX(職員マスタ!$B$6:$B$405,$AP1459)," ","")," ","")),"氏名がマスタと相違／","")&amp;IF(AND($Q1459&lt;&gt;"",INDEX(職員マスタ!$E$6:$E$405,$AP1459)&lt;&gt;"",$Q1459&lt;&gt;INDEX(職員マスタ!$E$6:$E$405,$AP1459)),"子の生年月日がマスタと相違／","")&amp;IF(AND($L1459&lt;&gt;"",INDEX(職員マスタ!$G$6:$G$405,$AP1459)&lt;&gt;"",$L1459&lt;&gt;INDEX(職員マスタ!$G$6:$G$405,$AP1459)),"時短開始日がマスタと相違／","")&amp;IF(AND($M1459&lt;&gt;"",INDEX(職員マスタ!$H$6:$H$405,$AP1459)&lt;&gt;"",$M1459&lt;&gt;INDEX(職員マスタ!$H$6:$H$405,$AP1459)),"時短終了日がマスタと相違／","")))&amp;IF(AND($B1459&lt;&gt;"",$E1459=""),"報酬額が未入力／","")&amp;IF(N($U1459)&gt;0,"申請書に入力エラーが残っています／","")&amp;IF(AND($B1459&lt;&gt;"",$AQ1459&lt;&gt;""),IF(COUNTIFS($B$6:$B$3005,$B1459,$C$6:$C$3005,$C1459,$D$6:$D$3005,$D1459)&gt;1,"同じ月の請求が重複しています／",""),"")&amp;IF(AND(N($E1459)&gt;0,$AB1459&lt;&gt;"",$AB1459&lt;&gt;"×",$AE1459=0,$AD1459=""),"計算額が下限以下のため不支給／",""))</f>
        <v/>
      </c>
      <c r="AN1459" s="12" t="n"/>
      <c r="AO1459" s="14">
        <f>IF($AF1459="保留中",COUNTIF($AF$6:$AF1459,"保留中"),"")</f>
        <v/>
      </c>
      <c r="AP1459" s="14">
        <f>IF($AQ1459="","",IF(SUMPRODUCT(MAX((職員マスタ!$A$6:$A$405=$B1459)*(((職員マスタ!$G$6:$G$405="")+(職員マスタ!$G$6:$G$405&lt;=EOMONTH($AQ1459,0)))&gt;0)*(((職員マスタ!$H$6:$H$405="")+(職員マスタ!$H$6:$H$405&gt;=$AQ1459))&gt;0)*(ROW(職員マスタ!$A$6:$A$405)-5)))&gt;0,SUMPRODUCT(MAX((職員マスタ!$A$6:$A$405=$B1459)*(((職員マスタ!$G$6:$G$405="")+(職員マスタ!$G$6:$G$405&lt;=EOMONTH($AQ1459,0)))&gt;0)*(((職員マスタ!$H$6:$H$405="")+(職員マスタ!$H$6:$H$405&gt;=$AQ1459))&gt;0)*(ROW(職員マスタ!$A$6:$A$405)-5))),IFERROR(MATCH($B1459,職員マスタ!$A$6:$A$405,0),"")))</f>
        <v/>
      </c>
      <c r="AQ1459" s="16">
        <f>IF(OR($B1459="",$C1459="",$D1459=""),"",DATE($C1459+2018,$D1459,1))</f>
        <v/>
      </c>
    </row>
    <row r="1460">
      <c r="A1460" s="11" t="n"/>
      <c r="B1460" s="12" t="n"/>
      <c r="C1460" s="12" t="n"/>
      <c r="D1460" s="12" t="n"/>
      <c r="E1460" s="13" t="n"/>
      <c r="F1460" s="12" t="n"/>
      <c r="G1460" s="13" t="n"/>
      <c r="H1460" s="12" t="n"/>
      <c r="I1460" s="12" t="n"/>
      <c r="J1460" s="12" t="n"/>
      <c r="K1460" s="12" t="n"/>
      <c r="L1460" s="11" t="n"/>
      <c r="M1460" s="11" t="n"/>
      <c r="N1460" s="11" t="n"/>
      <c r="O1460" s="11" t="n"/>
      <c r="P1460" s="12" t="n"/>
      <c r="Q1460" s="11" t="n"/>
      <c r="R1460" s="12" t="n"/>
      <c r="S1460" s="11" t="n"/>
      <c r="T1460" s="12" t="n"/>
      <c r="U1460" s="12" t="n"/>
      <c r="V1460" s="12" t="n"/>
      <c r="W1460" s="13" t="n"/>
      <c r="X1460" s="14">
        <f>IF($AP1460="",IF($B1460="","",$H1460),IF(INDEX(職員マスタ!$B$6:$B$405,$AP1460)="",$H1460,INDEX(職員マスタ!$B$6:$B$405,$AP1460)))</f>
        <v/>
      </c>
      <c r="Y1460" s="14">
        <f>IF($AP1460="",IF($B1460="","",$R1460),IF(INDEX(職員マスタ!$C$6:$C$405,$AP1460)="",$R1460,INDEX(職員マスタ!$C$6:$C$405,$AP1460)))</f>
        <v/>
      </c>
      <c r="Z1460" s="14">
        <f>IF($AQ1460="","","R"&amp;$C1460&amp;"."&amp;$D1460)</f>
        <v/>
      </c>
      <c r="AA1460" s="15">
        <f>IF(IF($AP1460="",FALSE,INDEX(職員マスタ!$K$6:$K$405,$AP1460)&lt;&gt;""),INDEX(職員マスタ!$K$6:$K$405,$AP1460),IF(N($W1460)&gt;0,$W1460,""))</f>
        <v/>
      </c>
      <c r="AB1460" s="14">
        <f>IF(OR($E1460="",$AA1460=""),"",IF($E1460&gt;=$AA1460,"×",IF($E1460&gt;=$AA1460*設定!$C$5,"△","○")))</f>
        <v/>
      </c>
      <c r="AC1460" s="15">
        <f>IF($AB1460="","",IF($AB1460="×",0,IF($AB1460="○",ROUNDDOWN($E1460*設定!$C$4,0),ROUNDDOWN($E1460*ROUND((9*$AA1460-9*$E1460)/(10*$E1460),4),0))))</f>
        <v/>
      </c>
      <c r="AD1460" s="13" t="n"/>
      <c r="AE1460" s="15">
        <f>IF($B1460="","",IF($AD1460&lt;&gt;"",$AD1460,IF($AC1460="","",IF($AC1460&lt;=設定!$C$3,0,$AC1460))))</f>
        <v/>
      </c>
      <c r="AF1460" s="14">
        <f>IF($B1460="","",IF(AND($AG1460&lt;&gt;"",$AI1460="",$AL1460=""),"保留中",IF($AL1460&lt;&gt;"",IF(N($AE1460)&gt;0,"支給済","不支給"),IF($AE1460="","要確認",IF($AE1460=0,"不支給","未処理")))))</f>
        <v/>
      </c>
      <c r="AG1460" s="12" t="n"/>
      <c r="AH1460" s="11" t="n"/>
      <c r="AI1460" s="11" t="n"/>
      <c r="AJ1460" s="11" t="n"/>
      <c r="AK1460" s="14">
        <f>IF(AND($AF1460="保留中",$AH1460&lt;&gt;""),TODAY()-$AH1460,"")</f>
        <v/>
      </c>
      <c r="AL1460" s="12" t="n"/>
      <c r="AM1460" s="14">
        <f>IF($B1460="","",IF($AQ1460="","対象年月が未入力／","")&amp;IF($B1460="","",IF($AP1460="","職員マスタに未登録の職員番号／",IF($AA1460="","標準報酬月額が未登録／","")&amp;IF(AND($AQ1460&lt;&gt;"",OR(AND(INDEX(職員マスタ!$G$6:$G$405,$AP1460)&lt;&gt;"",INDEX(職員マスタ!$G$6:$G$405,$AP1460)&gt;EOMONTH($AQ1460,0)),AND(INDEX(職員マスタ!$H$6:$H$405,$AP1460)&lt;&gt;"",INDEX(職員マスタ!$H$6:$H$405,$AP1460)&lt;$AQ1460))),"対象月が時短期間外／","")&amp;IF(AND(INDEX(職員マスタ!$K$6:$K$405,$AP1460)&lt;&gt;"",N($W1460)&gt;0,INDEX(職員マスタ!$K$6:$K$405,$AP1460)&lt;&gt;$W1460),"標準報酬月額が申請書と相違（台帳"&amp;TEXT(INDEX(職員マスタ!$K$6:$K$405,$AP1460),"#,##0")&amp;"円／申請書"&amp;TEXT($W1460,"#,##0")&amp;"円）／","")&amp;IF(AND(INDEX(職員マスタ!$F$6:$F$405,$AP1460)&lt;&gt;"",$AQ1460&lt;&gt;"",INDEX(職員マスタ!$F$6:$F$405,$AP1460)&lt;$AQ1460),"対象月に子が2歳到達済／","")&amp;IF(AND($H1460&lt;&gt;"",INDEX(職員マスタ!$B$6:$B$405,$AP1460)&lt;&gt;"",SUBSTITUTE(SUBSTITUTE($H1460," ","")," ","")&lt;&gt;SUBSTITUTE(SUBSTITUTE(INDEX(職員マスタ!$B$6:$B$405,$AP1460)," ","")," ","")),"氏名がマスタと相違／","")&amp;IF(AND($Q1460&lt;&gt;"",INDEX(職員マスタ!$E$6:$E$405,$AP1460)&lt;&gt;"",$Q1460&lt;&gt;INDEX(職員マスタ!$E$6:$E$405,$AP1460)),"子の生年月日がマスタと相違／","")&amp;IF(AND($L1460&lt;&gt;"",INDEX(職員マスタ!$G$6:$G$405,$AP1460)&lt;&gt;"",$L1460&lt;&gt;INDEX(職員マスタ!$G$6:$G$405,$AP1460)),"時短開始日がマスタと相違／","")&amp;IF(AND($M1460&lt;&gt;"",INDEX(職員マスタ!$H$6:$H$405,$AP1460)&lt;&gt;"",$M1460&lt;&gt;INDEX(職員マスタ!$H$6:$H$405,$AP1460)),"時短終了日がマスタと相違／","")))&amp;IF(AND($B1460&lt;&gt;"",$E1460=""),"報酬額が未入力／","")&amp;IF(N($U1460)&gt;0,"申請書に入力エラーが残っています／","")&amp;IF(AND($B1460&lt;&gt;"",$AQ1460&lt;&gt;""),IF(COUNTIFS($B$6:$B$3005,$B1460,$C$6:$C$3005,$C1460,$D$6:$D$3005,$D1460)&gt;1,"同じ月の請求が重複しています／",""),"")&amp;IF(AND(N($E1460)&gt;0,$AB1460&lt;&gt;"",$AB1460&lt;&gt;"×",$AE1460=0,$AD1460=""),"計算額が下限以下のため不支給／",""))</f>
        <v/>
      </c>
      <c r="AN1460" s="12" t="n"/>
      <c r="AO1460" s="14">
        <f>IF($AF1460="保留中",COUNTIF($AF$6:$AF1460,"保留中"),"")</f>
        <v/>
      </c>
      <c r="AP1460" s="14">
        <f>IF($AQ1460="","",IF(SUMPRODUCT(MAX((職員マスタ!$A$6:$A$405=$B1460)*(((職員マスタ!$G$6:$G$405="")+(職員マスタ!$G$6:$G$405&lt;=EOMONTH($AQ1460,0)))&gt;0)*(((職員マスタ!$H$6:$H$405="")+(職員マスタ!$H$6:$H$405&gt;=$AQ1460))&gt;0)*(ROW(職員マスタ!$A$6:$A$405)-5)))&gt;0,SUMPRODUCT(MAX((職員マスタ!$A$6:$A$405=$B1460)*(((職員マスタ!$G$6:$G$405="")+(職員マスタ!$G$6:$G$405&lt;=EOMONTH($AQ1460,0)))&gt;0)*(((職員マスタ!$H$6:$H$405="")+(職員マスタ!$H$6:$H$405&gt;=$AQ1460))&gt;0)*(ROW(職員マスタ!$A$6:$A$405)-5))),IFERROR(MATCH($B1460,職員マスタ!$A$6:$A$405,0),"")))</f>
        <v/>
      </c>
      <c r="AQ1460" s="16">
        <f>IF(OR($B1460="",$C1460="",$D1460=""),"",DATE($C1460+2018,$D1460,1))</f>
        <v/>
      </c>
    </row>
    <row r="1461">
      <c r="A1461" s="11" t="n"/>
      <c r="B1461" s="12" t="n"/>
      <c r="C1461" s="12" t="n"/>
      <c r="D1461" s="12" t="n"/>
      <c r="E1461" s="13" t="n"/>
      <c r="F1461" s="12" t="n"/>
      <c r="G1461" s="13" t="n"/>
      <c r="H1461" s="12" t="n"/>
      <c r="I1461" s="12" t="n"/>
      <c r="J1461" s="12" t="n"/>
      <c r="K1461" s="12" t="n"/>
      <c r="L1461" s="11" t="n"/>
      <c r="M1461" s="11" t="n"/>
      <c r="N1461" s="11" t="n"/>
      <c r="O1461" s="11" t="n"/>
      <c r="P1461" s="12" t="n"/>
      <c r="Q1461" s="11" t="n"/>
      <c r="R1461" s="12" t="n"/>
      <c r="S1461" s="11" t="n"/>
      <c r="T1461" s="12" t="n"/>
      <c r="U1461" s="12" t="n"/>
      <c r="V1461" s="12" t="n"/>
      <c r="W1461" s="13" t="n"/>
      <c r="X1461" s="14">
        <f>IF($AP1461="",IF($B1461="","",$H1461),IF(INDEX(職員マスタ!$B$6:$B$405,$AP1461)="",$H1461,INDEX(職員マスタ!$B$6:$B$405,$AP1461)))</f>
        <v/>
      </c>
      <c r="Y1461" s="14">
        <f>IF($AP1461="",IF($B1461="","",$R1461),IF(INDEX(職員マスタ!$C$6:$C$405,$AP1461)="",$R1461,INDEX(職員マスタ!$C$6:$C$405,$AP1461)))</f>
        <v/>
      </c>
      <c r="Z1461" s="14">
        <f>IF($AQ1461="","","R"&amp;$C1461&amp;"."&amp;$D1461)</f>
        <v/>
      </c>
      <c r="AA1461" s="15">
        <f>IF(IF($AP1461="",FALSE,INDEX(職員マスタ!$K$6:$K$405,$AP1461)&lt;&gt;""),INDEX(職員マスタ!$K$6:$K$405,$AP1461),IF(N($W1461)&gt;0,$W1461,""))</f>
        <v/>
      </c>
      <c r="AB1461" s="14">
        <f>IF(OR($E1461="",$AA1461=""),"",IF($E1461&gt;=$AA1461,"×",IF($E1461&gt;=$AA1461*設定!$C$5,"△","○")))</f>
        <v/>
      </c>
      <c r="AC1461" s="15">
        <f>IF($AB1461="","",IF($AB1461="×",0,IF($AB1461="○",ROUNDDOWN($E1461*設定!$C$4,0),ROUNDDOWN($E1461*ROUND((9*$AA1461-9*$E1461)/(10*$E1461),4),0))))</f>
        <v/>
      </c>
      <c r="AD1461" s="13" t="n"/>
      <c r="AE1461" s="15">
        <f>IF($B1461="","",IF($AD1461&lt;&gt;"",$AD1461,IF($AC1461="","",IF($AC1461&lt;=設定!$C$3,0,$AC1461))))</f>
        <v/>
      </c>
      <c r="AF1461" s="14">
        <f>IF($B1461="","",IF(AND($AG1461&lt;&gt;"",$AI1461="",$AL1461=""),"保留中",IF($AL1461&lt;&gt;"",IF(N($AE1461)&gt;0,"支給済","不支給"),IF($AE1461="","要確認",IF($AE1461=0,"不支給","未処理")))))</f>
        <v/>
      </c>
      <c r="AG1461" s="12" t="n"/>
      <c r="AH1461" s="11" t="n"/>
      <c r="AI1461" s="11" t="n"/>
      <c r="AJ1461" s="11" t="n"/>
      <c r="AK1461" s="14">
        <f>IF(AND($AF1461="保留中",$AH1461&lt;&gt;""),TODAY()-$AH1461,"")</f>
        <v/>
      </c>
      <c r="AL1461" s="12" t="n"/>
      <c r="AM1461" s="14">
        <f>IF($B1461="","",IF($AQ1461="","対象年月が未入力／","")&amp;IF($B1461="","",IF($AP1461="","職員マスタに未登録の職員番号／",IF($AA1461="","標準報酬月額が未登録／","")&amp;IF(AND($AQ1461&lt;&gt;"",OR(AND(INDEX(職員マスタ!$G$6:$G$405,$AP1461)&lt;&gt;"",INDEX(職員マスタ!$G$6:$G$405,$AP1461)&gt;EOMONTH($AQ1461,0)),AND(INDEX(職員マスタ!$H$6:$H$405,$AP1461)&lt;&gt;"",INDEX(職員マスタ!$H$6:$H$405,$AP1461)&lt;$AQ1461))),"対象月が時短期間外／","")&amp;IF(AND(INDEX(職員マスタ!$K$6:$K$405,$AP1461)&lt;&gt;"",N($W1461)&gt;0,INDEX(職員マスタ!$K$6:$K$405,$AP1461)&lt;&gt;$W1461),"標準報酬月額が申請書と相違（台帳"&amp;TEXT(INDEX(職員マスタ!$K$6:$K$405,$AP1461),"#,##0")&amp;"円／申請書"&amp;TEXT($W1461,"#,##0")&amp;"円）／","")&amp;IF(AND(INDEX(職員マスタ!$F$6:$F$405,$AP1461)&lt;&gt;"",$AQ1461&lt;&gt;"",INDEX(職員マスタ!$F$6:$F$405,$AP1461)&lt;$AQ1461),"対象月に子が2歳到達済／","")&amp;IF(AND($H1461&lt;&gt;"",INDEX(職員マスタ!$B$6:$B$405,$AP1461)&lt;&gt;"",SUBSTITUTE(SUBSTITUTE($H1461," ","")," ","")&lt;&gt;SUBSTITUTE(SUBSTITUTE(INDEX(職員マスタ!$B$6:$B$405,$AP1461)," ","")," ","")),"氏名がマスタと相違／","")&amp;IF(AND($Q1461&lt;&gt;"",INDEX(職員マスタ!$E$6:$E$405,$AP1461)&lt;&gt;"",$Q1461&lt;&gt;INDEX(職員マスタ!$E$6:$E$405,$AP1461)),"子の生年月日がマスタと相違／","")&amp;IF(AND($L1461&lt;&gt;"",INDEX(職員マスタ!$G$6:$G$405,$AP1461)&lt;&gt;"",$L1461&lt;&gt;INDEX(職員マスタ!$G$6:$G$405,$AP1461)),"時短開始日がマスタと相違／","")&amp;IF(AND($M1461&lt;&gt;"",INDEX(職員マスタ!$H$6:$H$405,$AP1461)&lt;&gt;"",$M1461&lt;&gt;INDEX(職員マスタ!$H$6:$H$405,$AP1461)),"時短終了日がマスタと相違／","")))&amp;IF(AND($B1461&lt;&gt;"",$E1461=""),"報酬額が未入力／","")&amp;IF(N($U1461)&gt;0,"申請書に入力エラーが残っています／","")&amp;IF(AND($B1461&lt;&gt;"",$AQ1461&lt;&gt;""),IF(COUNTIFS($B$6:$B$3005,$B1461,$C$6:$C$3005,$C1461,$D$6:$D$3005,$D1461)&gt;1,"同じ月の請求が重複しています／",""),"")&amp;IF(AND(N($E1461)&gt;0,$AB1461&lt;&gt;"",$AB1461&lt;&gt;"×",$AE1461=0,$AD1461=""),"計算額が下限以下のため不支給／",""))</f>
        <v/>
      </c>
      <c r="AN1461" s="12" t="n"/>
      <c r="AO1461" s="14">
        <f>IF($AF1461="保留中",COUNTIF($AF$6:$AF1461,"保留中"),"")</f>
        <v/>
      </c>
      <c r="AP1461" s="14">
        <f>IF($AQ1461="","",IF(SUMPRODUCT(MAX((職員マスタ!$A$6:$A$405=$B1461)*(((職員マスタ!$G$6:$G$405="")+(職員マスタ!$G$6:$G$405&lt;=EOMONTH($AQ1461,0)))&gt;0)*(((職員マスタ!$H$6:$H$405="")+(職員マスタ!$H$6:$H$405&gt;=$AQ1461))&gt;0)*(ROW(職員マスタ!$A$6:$A$405)-5)))&gt;0,SUMPRODUCT(MAX((職員マスタ!$A$6:$A$405=$B1461)*(((職員マスタ!$G$6:$G$405="")+(職員マスタ!$G$6:$G$405&lt;=EOMONTH($AQ1461,0)))&gt;0)*(((職員マスタ!$H$6:$H$405="")+(職員マスタ!$H$6:$H$405&gt;=$AQ1461))&gt;0)*(ROW(職員マスタ!$A$6:$A$405)-5))),IFERROR(MATCH($B1461,職員マスタ!$A$6:$A$405,0),"")))</f>
        <v/>
      </c>
      <c r="AQ1461" s="16">
        <f>IF(OR($B1461="",$C1461="",$D1461=""),"",DATE($C1461+2018,$D1461,1))</f>
        <v/>
      </c>
    </row>
    <row r="1462">
      <c r="A1462" s="11" t="n"/>
      <c r="B1462" s="12" t="n"/>
      <c r="C1462" s="12" t="n"/>
      <c r="D1462" s="12" t="n"/>
      <c r="E1462" s="13" t="n"/>
      <c r="F1462" s="12" t="n"/>
      <c r="G1462" s="13" t="n"/>
      <c r="H1462" s="12" t="n"/>
      <c r="I1462" s="12" t="n"/>
      <c r="J1462" s="12" t="n"/>
      <c r="K1462" s="12" t="n"/>
      <c r="L1462" s="11" t="n"/>
      <c r="M1462" s="11" t="n"/>
      <c r="N1462" s="11" t="n"/>
      <c r="O1462" s="11" t="n"/>
      <c r="P1462" s="12" t="n"/>
      <c r="Q1462" s="11" t="n"/>
      <c r="R1462" s="12" t="n"/>
      <c r="S1462" s="11" t="n"/>
      <c r="T1462" s="12" t="n"/>
      <c r="U1462" s="12" t="n"/>
      <c r="V1462" s="12" t="n"/>
      <c r="W1462" s="13" t="n"/>
      <c r="X1462" s="14">
        <f>IF($AP1462="",IF($B1462="","",$H1462),IF(INDEX(職員マスタ!$B$6:$B$405,$AP1462)="",$H1462,INDEX(職員マスタ!$B$6:$B$405,$AP1462)))</f>
        <v/>
      </c>
      <c r="Y1462" s="14">
        <f>IF($AP1462="",IF($B1462="","",$R1462),IF(INDEX(職員マスタ!$C$6:$C$405,$AP1462)="",$R1462,INDEX(職員マスタ!$C$6:$C$405,$AP1462)))</f>
        <v/>
      </c>
      <c r="Z1462" s="14">
        <f>IF($AQ1462="","","R"&amp;$C1462&amp;"."&amp;$D1462)</f>
        <v/>
      </c>
      <c r="AA1462" s="15">
        <f>IF(IF($AP1462="",FALSE,INDEX(職員マスタ!$K$6:$K$405,$AP1462)&lt;&gt;""),INDEX(職員マスタ!$K$6:$K$405,$AP1462),IF(N($W1462)&gt;0,$W1462,""))</f>
        <v/>
      </c>
      <c r="AB1462" s="14">
        <f>IF(OR($E1462="",$AA1462=""),"",IF($E1462&gt;=$AA1462,"×",IF($E1462&gt;=$AA1462*設定!$C$5,"△","○")))</f>
        <v/>
      </c>
      <c r="AC1462" s="15">
        <f>IF($AB1462="","",IF($AB1462="×",0,IF($AB1462="○",ROUNDDOWN($E1462*設定!$C$4,0),ROUNDDOWN($E1462*ROUND((9*$AA1462-9*$E1462)/(10*$E1462),4),0))))</f>
        <v/>
      </c>
      <c r="AD1462" s="13" t="n"/>
      <c r="AE1462" s="15">
        <f>IF($B1462="","",IF($AD1462&lt;&gt;"",$AD1462,IF($AC1462="","",IF($AC1462&lt;=設定!$C$3,0,$AC1462))))</f>
        <v/>
      </c>
      <c r="AF1462" s="14">
        <f>IF($B1462="","",IF(AND($AG1462&lt;&gt;"",$AI1462="",$AL1462=""),"保留中",IF($AL1462&lt;&gt;"",IF(N($AE1462)&gt;0,"支給済","不支給"),IF($AE1462="","要確認",IF($AE1462=0,"不支給","未処理")))))</f>
        <v/>
      </c>
      <c r="AG1462" s="12" t="n"/>
      <c r="AH1462" s="11" t="n"/>
      <c r="AI1462" s="11" t="n"/>
      <c r="AJ1462" s="11" t="n"/>
      <c r="AK1462" s="14">
        <f>IF(AND($AF1462="保留中",$AH1462&lt;&gt;""),TODAY()-$AH1462,"")</f>
        <v/>
      </c>
      <c r="AL1462" s="12" t="n"/>
      <c r="AM1462" s="14">
        <f>IF($B1462="","",IF($AQ1462="","対象年月が未入力／","")&amp;IF($B1462="","",IF($AP1462="","職員マスタに未登録の職員番号／",IF($AA1462="","標準報酬月額が未登録／","")&amp;IF(AND($AQ1462&lt;&gt;"",OR(AND(INDEX(職員マスタ!$G$6:$G$405,$AP1462)&lt;&gt;"",INDEX(職員マスタ!$G$6:$G$405,$AP1462)&gt;EOMONTH($AQ1462,0)),AND(INDEX(職員マスタ!$H$6:$H$405,$AP1462)&lt;&gt;"",INDEX(職員マスタ!$H$6:$H$405,$AP1462)&lt;$AQ1462))),"対象月が時短期間外／","")&amp;IF(AND(INDEX(職員マスタ!$K$6:$K$405,$AP1462)&lt;&gt;"",N($W1462)&gt;0,INDEX(職員マスタ!$K$6:$K$405,$AP1462)&lt;&gt;$W1462),"標準報酬月額が申請書と相違（台帳"&amp;TEXT(INDEX(職員マスタ!$K$6:$K$405,$AP1462),"#,##0")&amp;"円／申請書"&amp;TEXT($W1462,"#,##0")&amp;"円）／","")&amp;IF(AND(INDEX(職員マスタ!$F$6:$F$405,$AP1462)&lt;&gt;"",$AQ1462&lt;&gt;"",INDEX(職員マスタ!$F$6:$F$405,$AP1462)&lt;$AQ1462),"対象月に子が2歳到達済／","")&amp;IF(AND($H1462&lt;&gt;"",INDEX(職員マスタ!$B$6:$B$405,$AP1462)&lt;&gt;"",SUBSTITUTE(SUBSTITUTE($H1462," ","")," ","")&lt;&gt;SUBSTITUTE(SUBSTITUTE(INDEX(職員マスタ!$B$6:$B$405,$AP1462)," ","")," ","")),"氏名がマスタと相違／","")&amp;IF(AND($Q1462&lt;&gt;"",INDEX(職員マスタ!$E$6:$E$405,$AP1462)&lt;&gt;"",$Q1462&lt;&gt;INDEX(職員マスタ!$E$6:$E$405,$AP1462)),"子の生年月日がマスタと相違／","")&amp;IF(AND($L1462&lt;&gt;"",INDEX(職員マスタ!$G$6:$G$405,$AP1462)&lt;&gt;"",$L1462&lt;&gt;INDEX(職員マスタ!$G$6:$G$405,$AP1462)),"時短開始日がマスタと相違／","")&amp;IF(AND($M1462&lt;&gt;"",INDEX(職員マスタ!$H$6:$H$405,$AP1462)&lt;&gt;"",$M1462&lt;&gt;INDEX(職員マスタ!$H$6:$H$405,$AP1462)),"時短終了日がマスタと相違／","")))&amp;IF(AND($B1462&lt;&gt;"",$E1462=""),"報酬額が未入力／","")&amp;IF(N($U1462)&gt;0,"申請書に入力エラーが残っています／","")&amp;IF(AND($B1462&lt;&gt;"",$AQ1462&lt;&gt;""),IF(COUNTIFS($B$6:$B$3005,$B1462,$C$6:$C$3005,$C1462,$D$6:$D$3005,$D1462)&gt;1,"同じ月の請求が重複しています／",""),"")&amp;IF(AND(N($E1462)&gt;0,$AB1462&lt;&gt;"",$AB1462&lt;&gt;"×",$AE1462=0,$AD1462=""),"計算額が下限以下のため不支給／",""))</f>
        <v/>
      </c>
      <c r="AN1462" s="12" t="n"/>
      <c r="AO1462" s="14">
        <f>IF($AF1462="保留中",COUNTIF($AF$6:$AF1462,"保留中"),"")</f>
        <v/>
      </c>
      <c r="AP1462" s="14">
        <f>IF($AQ1462="","",IF(SUMPRODUCT(MAX((職員マスタ!$A$6:$A$405=$B1462)*(((職員マスタ!$G$6:$G$405="")+(職員マスタ!$G$6:$G$405&lt;=EOMONTH($AQ1462,0)))&gt;0)*(((職員マスタ!$H$6:$H$405="")+(職員マスタ!$H$6:$H$405&gt;=$AQ1462))&gt;0)*(ROW(職員マスタ!$A$6:$A$405)-5)))&gt;0,SUMPRODUCT(MAX((職員マスタ!$A$6:$A$405=$B1462)*(((職員マスタ!$G$6:$G$405="")+(職員マスタ!$G$6:$G$405&lt;=EOMONTH($AQ1462,0)))&gt;0)*(((職員マスタ!$H$6:$H$405="")+(職員マスタ!$H$6:$H$405&gt;=$AQ1462))&gt;0)*(ROW(職員マスタ!$A$6:$A$405)-5))),IFERROR(MATCH($B1462,職員マスタ!$A$6:$A$405,0),"")))</f>
        <v/>
      </c>
      <c r="AQ1462" s="16">
        <f>IF(OR($B1462="",$C1462="",$D1462=""),"",DATE($C1462+2018,$D1462,1))</f>
        <v/>
      </c>
    </row>
    <row r="1463">
      <c r="A1463" s="11" t="n"/>
      <c r="B1463" s="12" t="n"/>
      <c r="C1463" s="12" t="n"/>
      <c r="D1463" s="12" t="n"/>
      <c r="E1463" s="13" t="n"/>
      <c r="F1463" s="12" t="n"/>
      <c r="G1463" s="13" t="n"/>
      <c r="H1463" s="12" t="n"/>
      <c r="I1463" s="12" t="n"/>
      <c r="J1463" s="12" t="n"/>
      <c r="K1463" s="12" t="n"/>
      <c r="L1463" s="11" t="n"/>
      <c r="M1463" s="11" t="n"/>
      <c r="N1463" s="11" t="n"/>
      <c r="O1463" s="11" t="n"/>
      <c r="P1463" s="12" t="n"/>
      <c r="Q1463" s="11" t="n"/>
      <c r="R1463" s="12" t="n"/>
      <c r="S1463" s="11" t="n"/>
      <c r="T1463" s="12" t="n"/>
      <c r="U1463" s="12" t="n"/>
      <c r="V1463" s="12" t="n"/>
      <c r="W1463" s="13" t="n"/>
      <c r="X1463" s="14">
        <f>IF($AP1463="",IF($B1463="","",$H1463),IF(INDEX(職員マスタ!$B$6:$B$405,$AP1463)="",$H1463,INDEX(職員マスタ!$B$6:$B$405,$AP1463)))</f>
        <v/>
      </c>
      <c r="Y1463" s="14">
        <f>IF($AP1463="",IF($B1463="","",$R1463),IF(INDEX(職員マスタ!$C$6:$C$405,$AP1463)="",$R1463,INDEX(職員マスタ!$C$6:$C$405,$AP1463)))</f>
        <v/>
      </c>
      <c r="Z1463" s="14">
        <f>IF($AQ1463="","","R"&amp;$C1463&amp;"."&amp;$D1463)</f>
        <v/>
      </c>
      <c r="AA1463" s="15">
        <f>IF(IF($AP1463="",FALSE,INDEX(職員マスタ!$K$6:$K$405,$AP1463)&lt;&gt;""),INDEX(職員マスタ!$K$6:$K$405,$AP1463),IF(N($W1463)&gt;0,$W1463,""))</f>
        <v/>
      </c>
      <c r="AB1463" s="14">
        <f>IF(OR($E1463="",$AA1463=""),"",IF($E1463&gt;=$AA1463,"×",IF($E1463&gt;=$AA1463*設定!$C$5,"△","○")))</f>
        <v/>
      </c>
      <c r="AC1463" s="15">
        <f>IF($AB1463="","",IF($AB1463="×",0,IF($AB1463="○",ROUNDDOWN($E1463*設定!$C$4,0),ROUNDDOWN($E1463*ROUND((9*$AA1463-9*$E1463)/(10*$E1463),4),0))))</f>
        <v/>
      </c>
      <c r="AD1463" s="13" t="n"/>
      <c r="AE1463" s="15">
        <f>IF($B1463="","",IF($AD1463&lt;&gt;"",$AD1463,IF($AC1463="","",IF($AC1463&lt;=設定!$C$3,0,$AC1463))))</f>
        <v/>
      </c>
      <c r="AF1463" s="14">
        <f>IF($B1463="","",IF(AND($AG1463&lt;&gt;"",$AI1463="",$AL1463=""),"保留中",IF($AL1463&lt;&gt;"",IF(N($AE1463)&gt;0,"支給済","不支給"),IF($AE1463="","要確認",IF($AE1463=0,"不支給","未処理")))))</f>
        <v/>
      </c>
      <c r="AG1463" s="12" t="n"/>
      <c r="AH1463" s="11" t="n"/>
      <c r="AI1463" s="11" t="n"/>
      <c r="AJ1463" s="11" t="n"/>
      <c r="AK1463" s="14">
        <f>IF(AND($AF1463="保留中",$AH1463&lt;&gt;""),TODAY()-$AH1463,"")</f>
        <v/>
      </c>
      <c r="AL1463" s="12" t="n"/>
      <c r="AM1463" s="14">
        <f>IF($B1463="","",IF($AQ1463="","対象年月が未入力／","")&amp;IF($B1463="","",IF($AP1463="","職員マスタに未登録の職員番号／",IF($AA1463="","標準報酬月額が未登録／","")&amp;IF(AND($AQ1463&lt;&gt;"",OR(AND(INDEX(職員マスタ!$G$6:$G$405,$AP1463)&lt;&gt;"",INDEX(職員マスタ!$G$6:$G$405,$AP1463)&gt;EOMONTH($AQ1463,0)),AND(INDEX(職員マスタ!$H$6:$H$405,$AP1463)&lt;&gt;"",INDEX(職員マスタ!$H$6:$H$405,$AP1463)&lt;$AQ1463))),"対象月が時短期間外／","")&amp;IF(AND(INDEX(職員マスタ!$K$6:$K$405,$AP1463)&lt;&gt;"",N($W1463)&gt;0,INDEX(職員マスタ!$K$6:$K$405,$AP1463)&lt;&gt;$W1463),"標準報酬月額が申請書と相違（台帳"&amp;TEXT(INDEX(職員マスタ!$K$6:$K$405,$AP1463),"#,##0")&amp;"円／申請書"&amp;TEXT($W1463,"#,##0")&amp;"円）／","")&amp;IF(AND(INDEX(職員マスタ!$F$6:$F$405,$AP1463)&lt;&gt;"",$AQ1463&lt;&gt;"",INDEX(職員マスタ!$F$6:$F$405,$AP1463)&lt;$AQ1463),"対象月に子が2歳到達済／","")&amp;IF(AND($H1463&lt;&gt;"",INDEX(職員マスタ!$B$6:$B$405,$AP1463)&lt;&gt;"",SUBSTITUTE(SUBSTITUTE($H1463," ","")," ","")&lt;&gt;SUBSTITUTE(SUBSTITUTE(INDEX(職員マスタ!$B$6:$B$405,$AP1463)," ","")," ","")),"氏名がマスタと相違／","")&amp;IF(AND($Q1463&lt;&gt;"",INDEX(職員マスタ!$E$6:$E$405,$AP1463)&lt;&gt;"",$Q1463&lt;&gt;INDEX(職員マスタ!$E$6:$E$405,$AP1463)),"子の生年月日がマスタと相違／","")&amp;IF(AND($L1463&lt;&gt;"",INDEX(職員マスタ!$G$6:$G$405,$AP1463)&lt;&gt;"",$L1463&lt;&gt;INDEX(職員マスタ!$G$6:$G$405,$AP1463)),"時短開始日がマスタと相違／","")&amp;IF(AND($M1463&lt;&gt;"",INDEX(職員マスタ!$H$6:$H$405,$AP1463)&lt;&gt;"",$M1463&lt;&gt;INDEX(職員マスタ!$H$6:$H$405,$AP1463)),"時短終了日がマスタと相違／","")))&amp;IF(AND($B1463&lt;&gt;"",$E1463=""),"報酬額が未入力／","")&amp;IF(N($U1463)&gt;0,"申請書に入力エラーが残っています／","")&amp;IF(AND($B1463&lt;&gt;"",$AQ1463&lt;&gt;""),IF(COUNTIFS($B$6:$B$3005,$B1463,$C$6:$C$3005,$C1463,$D$6:$D$3005,$D1463)&gt;1,"同じ月の請求が重複しています／",""),"")&amp;IF(AND(N($E1463)&gt;0,$AB1463&lt;&gt;"",$AB1463&lt;&gt;"×",$AE1463=0,$AD1463=""),"計算額が下限以下のため不支給／",""))</f>
        <v/>
      </c>
      <c r="AN1463" s="12" t="n"/>
      <c r="AO1463" s="14">
        <f>IF($AF1463="保留中",COUNTIF($AF$6:$AF1463,"保留中"),"")</f>
        <v/>
      </c>
      <c r="AP1463" s="14">
        <f>IF($AQ1463="","",IF(SUMPRODUCT(MAX((職員マスタ!$A$6:$A$405=$B1463)*(((職員マスタ!$G$6:$G$405="")+(職員マスタ!$G$6:$G$405&lt;=EOMONTH($AQ1463,0)))&gt;0)*(((職員マスタ!$H$6:$H$405="")+(職員マスタ!$H$6:$H$405&gt;=$AQ1463))&gt;0)*(ROW(職員マスタ!$A$6:$A$405)-5)))&gt;0,SUMPRODUCT(MAX((職員マスタ!$A$6:$A$405=$B1463)*(((職員マスタ!$G$6:$G$405="")+(職員マスタ!$G$6:$G$405&lt;=EOMONTH($AQ1463,0)))&gt;0)*(((職員マスタ!$H$6:$H$405="")+(職員マスタ!$H$6:$H$405&gt;=$AQ1463))&gt;0)*(ROW(職員マスタ!$A$6:$A$405)-5))),IFERROR(MATCH($B1463,職員マスタ!$A$6:$A$405,0),"")))</f>
        <v/>
      </c>
      <c r="AQ1463" s="16">
        <f>IF(OR($B1463="",$C1463="",$D1463=""),"",DATE($C1463+2018,$D1463,1))</f>
        <v/>
      </c>
    </row>
    <row r="1464">
      <c r="A1464" s="11" t="n"/>
      <c r="B1464" s="12" t="n"/>
      <c r="C1464" s="12" t="n"/>
      <c r="D1464" s="12" t="n"/>
      <c r="E1464" s="13" t="n"/>
      <c r="F1464" s="12" t="n"/>
      <c r="G1464" s="13" t="n"/>
      <c r="H1464" s="12" t="n"/>
      <c r="I1464" s="12" t="n"/>
      <c r="J1464" s="12" t="n"/>
      <c r="K1464" s="12" t="n"/>
      <c r="L1464" s="11" t="n"/>
      <c r="M1464" s="11" t="n"/>
      <c r="N1464" s="11" t="n"/>
      <c r="O1464" s="11" t="n"/>
      <c r="P1464" s="12" t="n"/>
      <c r="Q1464" s="11" t="n"/>
      <c r="R1464" s="12" t="n"/>
      <c r="S1464" s="11" t="n"/>
      <c r="T1464" s="12" t="n"/>
      <c r="U1464" s="12" t="n"/>
      <c r="V1464" s="12" t="n"/>
      <c r="W1464" s="13" t="n"/>
      <c r="X1464" s="14">
        <f>IF($AP1464="",IF($B1464="","",$H1464),IF(INDEX(職員マスタ!$B$6:$B$405,$AP1464)="",$H1464,INDEX(職員マスタ!$B$6:$B$405,$AP1464)))</f>
        <v/>
      </c>
      <c r="Y1464" s="14">
        <f>IF($AP1464="",IF($B1464="","",$R1464),IF(INDEX(職員マスタ!$C$6:$C$405,$AP1464)="",$R1464,INDEX(職員マスタ!$C$6:$C$405,$AP1464)))</f>
        <v/>
      </c>
      <c r="Z1464" s="14">
        <f>IF($AQ1464="","","R"&amp;$C1464&amp;"."&amp;$D1464)</f>
        <v/>
      </c>
      <c r="AA1464" s="15">
        <f>IF(IF($AP1464="",FALSE,INDEX(職員マスタ!$K$6:$K$405,$AP1464)&lt;&gt;""),INDEX(職員マスタ!$K$6:$K$405,$AP1464),IF(N($W1464)&gt;0,$W1464,""))</f>
        <v/>
      </c>
      <c r="AB1464" s="14">
        <f>IF(OR($E1464="",$AA1464=""),"",IF($E1464&gt;=$AA1464,"×",IF($E1464&gt;=$AA1464*設定!$C$5,"△","○")))</f>
        <v/>
      </c>
      <c r="AC1464" s="15">
        <f>IF($AB1464="","",IF($AB1464="×",0,IF($AB1464="○",ROUNDDOWN($E1464*設定!$C$4,0),ROUNDDOWN($E1464*ROUND((9*$AA1464-9*$E1464)/(10*$E1464),4),0))))</f>
        <v/>
      </c>
      <c r="AD1464" s="13" t="n"/>
      <c r="AE1464" s="15">
        <f>IF($B1464="","",IF($AD1464&lt;&gt;"",$AD1464,IF($AC1464="","",IF($AC1464&lt;=設定!$C$3,0,$AC1464))))</f>
        <v/>
      </c>
      <c r="AF1464" s="14">
        <f>IF($B1464="","",IF(AND($AG1464&lt;&gt;"",$AI1464="",$AL1464=""),"保留中",IF($AL1464&lt;&gt;"",IF(N($AE1464)&gt;0,"支給済","不支給"),IF($AE1464="","要確認",IF($AE1464=0,"不支給","未処理")))))</f>
        <v/>
      </c>
      <c r="AG1464" s="12" t="n"/>
      <c r="AH1464" s="11" t="n"/>
      <c r="AI1464" s="11" t="n"/>
      <c r="AJ1464" s="11" t="n"/>
      <c r="AK1464" s="14">
        <f>IF(AND($AF1464="保留中",$AH1464&lt;&gt;""),TODAY()-$AH1464,"")</f>
        <v/>
      </c>
      <c r="AL1464" s="12" t="n"/>
      <c r="AM1464" s="14">
        <f>IF($B1464="","",IF($AQ1464="","対象年月が未入力／","")&amp;IF($B1464="","",IF($AP1464="","職員マスタに未登録の職員番号／",IF($AA1464="","標準報酬月額が未登録／","")&amp;IF(AND($AQ1464&lt;&gt;"",OR(AND(INDEX(職員マスタ!$G$6:$G$405,$AP1464)&lt;&gt;"",INDEX(職員マスタ!$G$6:$G$405,$AP1464)&gt;EOMONTH($AQ1464,0)),AND(INDEX(職員マスタ!$H$6:$H$405,$AP1464)&lt;&gt;"",INDEX(職員マスタ!$H$6:$H$405,$AP1464)&lt;$AQ1464))),"対象月が時短期間外／","")&amp;IF(AND(INDEX(職員マスタ!$K$6:$K$405,$AP1464)&lt;&gt;"",N($W1464)&gt;0,INDEX(職員マスタ!$K$6:$K$405,$AP1464)&lt;&gt;$W1464),"標準報酬月額が申請書と相違（台帳"&amp;TEXT(INDEX(職員マスタ!$K$6:$K$405,$AP1464),"#,##0")&amp;"円／申請書"&amp;TEXT($W1464,"#,##0")&amp;"円）／","")&amp;IF(AND(INDEX(職員マスタ!$F$6:$F$405,$AP1464)&lt;&gt;"",$AQ1464&lt;&gt;"",INDEX(職員マスタ!$F$6:$F$405,$AP1464)&lt;$AQ1464),"対象月に子が2歳到達済／","")&amp;IF(AND($H1464&lt;&gt;"",INDEX(職員マスタ!$B$6:$B$405,$AP1464)&lt;&gt;"",SUBSTITUTE(SUBSTITUTE($H1464," ","")," ","")&lt;&gt;SUBSTITUTE(SUBSTITUTE(INDEX(職員マスタ!$B$6:$B$405,$AP1464)," ","")," ","")),"氏名がマスタと相違／","")&amp;IF(AND($Q1464&lt;&gt;"",INDEX(職員マスタ!$E$6:$E$405,$AP1464)&lt;&gt;"",$Q1464&lt;&gt;INDEX(職員マスタ!$E$6:$E$405,$AP1464)),"子の生年月日がマスタと相違／","")&amp;IF(AND($L1464&lt;&gt;"",INDEX(職員マスタ!$G$6:$G$405,$AP1464)&lt;&gt;"",$L1464&lt;&gt;INDEX(職員マスタ!$G$6:$G$405,$AP1464)),"時短開始日がマスタと相違／","")&amp;IF(AND($M1464&lt;&gt;"",INDEX(職員マスタ!$H$6:$H$405,$AP1464)&lt;&gt;"",$M1464&lt;&gt;INDEX(職員マスタ!$H$6:$H$405,$AP1464)),"時短終了日がマスタと相違／","")))&amp;IF(AND($B1464&lt;&gt;"",$E1464=""),"報酬額が未入力／","")&amp;IF(N($U1464)&gt;0,"申請書に入力エラーが残っています／","")&amp;IF(AND($B1464&lt;&gt;"",$AQ1464&lt;&gt;""),IF(COUNTIFS($B$6:$B$3005,$B1464,$C$6:$C$3005,$C1464,$D$6:$D$3005,$D1464)&gt;1,"同じ月の請求が重複しています／",""),"")&amp;IF(AND(N($E1464)&gt;0,$AB1464&lt;&gt;"",$AB1464&lt;&gt;"×",$AE1464=0,$AD1464=""),"計算額が下限以下のため不支給／",""))</f>
        <v/>
      </c>
      <c r="AN1464" s="12" t="n"/>
      <c r="AO1464" s="14">
        <f>IF($AF1464="保留中",COUNTIF($AF$6:$AF1464,"保留中"),"")</f>
        <v/>
      </c>
      <c r="AP1464" s="14">
        <f>IF($AQ1464="","",IF(SUMPRODUCT(MAX((職員マスタ!$A$6:$A$405=$B1464)*(((職員マスタ!$G$6:$G$405="")+(職員マスタ!$G$6:$G$405&lt;=EOMONTH($AQ1464,0)))&gt;0)*(((職員マスタ!$H$6:$H$405="")+(職員マスタ!$H$6:$H$405&gt;=$AQ1464))&gt;0)*(ROW(職員マスタ!$A$6:$A$405)-5)))&gt;0,SUMPRODUCT(MAX((職員マスタ!$A$6:$A$405=$B1464)*(((職員マスタ!$G$6:$G$405="")+(職員マスタ!$G$6:$G$405&lt;=EOMONTH($AQ1464,0)))&gt;0)*(((職員マスタ!$H$6:$H$405="")+(職員マスタ!$H$6:$H$405&gt;=$AQ1464))&gt;0)*(ROW(職員マスタ!$A$6:$A$405)-5))),IFERROR(MATCH($B1464,職員マスタ!$A$6:$A$405,0),"")))</f>
        <v/>
      </c>
      <c r="AQ1464" s="16">
        <f>IF(OR($B1464="",$C1464="",$D1464=""),"",DATE($C1464+2018,$D1464,1))</f>
        <v/>
      </c>
    </row>
    <row r="1465">
      <c r="A1465" s="11" t="n"/>
      <c r="B1465" s="12" t="n"/>
      <c r="C1465" s="12" t="n"/>
      <c r="D1465" s="12" t="n"/>
      <c r="E1465" s="13" t="n"/>
      <c r="F1465" s="12" t="n"/>
      <c r="G1465" s="13" t="n"/>
      <c r="H1465" s="12" t="n"/>
      <c r="I1465" s="12" t="n"/>
      <c r="J1465" s="12" t="n"/>
      <c r="K1465" s="12" t="n"/>
      <c r="L1465" s="11" t="n"/>
      <c r="M1465" s="11" t="n"/>
      <c r="N1465" s="11" t="n"/>
      <c r="O1465" s="11" t="n"/>
      <c r="P1465" s="12" t="n"/>
      <c r="Q1465" s="11" t="n"/>
      <c r="R1465" s="12" t="n"/>
      <c r="S1465" s="11" t="n"/>
      <c r="T1465" s="12" t="n"/>
      <c r="U1465" s="12" t="n"/>
      <c r="V1465" s="12" t="n"/>
      <c r="W1465" s="13" t="n"/>
      <c r="X1465" s="14">
        <f>IF($AP1465="",IF($B1465="","",$H1465),IF(INDEX(職員マスタ!$B$6:$B$405,$AP1465)="",$H1465,INDEX(職員マスタ!$B$6:$B$405,$AP1465)))</f>
        <v/>
      </c>
      <c r="Y1465" s="14">
        <f>IF($AP1465="",IF($B1465="","",$R1465),IF(INDEX(職員マスタ!$C$6:$C$405,$AP1465)="",$R1465,INDEX(職員マスタ!$C$6:$C$405,$AP1465)))</f>
        <v/>
      </c>
      <c r="Z1465" s="14">
        <f>IF($AQ1465="","","R"&amp;$C1465&amp;"."&amp;$D1465)</f>
        <v/>
      </c>
      <c r="AA1465" s="15">
        <f>IF(IF($AP1465="",FALSE,INDEX(職員マスタ!$K$6:$K$405,$AP1465)&lt;&gt;""),INDEX(職員マスタ!$K$6:$K$405,$AP1465),IF(N($W1465)&gt;0,$W1465,""))</f>
        <v/>
      </c>
      <c r="AB1465" s="14">
        <f>IF(OR($E1465="",$AA1465=""),"",IF($E1465&gt;=$AA1465,"×",IF($E1465&gt;=$AA1465*設定!$C$5,"△","○")))</f>
        <v/>
      </c>
      <c r="AC1465" s="15">
        <f>IF($AB1465="","",IF($AB1465="×",0,IF($AB1465="○",ROUNDDOWN($E1465*設定!$C$4,0),ROUNDDOWN($E1465*ROUND((9*$AA1465-9*$E1465)/(10*$E1465),4),0))))</f>
        <v/>
      </c>
      <c r="AD1465" s="13" t="n"/>
      <c r="AE1465" s="15">
        <f>IF($B1465="","",IF($AD1465&lt;&gt;"",$AD1465,IF($AC1465="","",IF($AC1465&lt;=設定!$C$3,0,$AC1465))))</f>
        <v/>
      </c>
      <c r="AF1465" s="14">
        <f>IF($B1465="","",IF(AND($AG1465&lt;&gt;"",$AI1465="",$AL1465=""),"保留中",IF($AL1465&lt;&gt;"",IF(N($AE1465)&gt;0,"支給済","不支給"),IF($AE1465="","要確認",IF($AE1465=0,"不支給","未処理")))))</f>
        <v/>
      </c>
      <c r="AG1465" s="12" t="n"/>
      <c r="AH1465" s="11" t="n"/>
      <c r="AI1465" s="11" t="n"/>
      <c r="AJ1465" s="11" t="n"/>
      <c r="AK1465" s="14">
        <f>IF(AND($AF1465="保留中",$AH1465&lt;&gt;""),TODAY()-$AH1465,"")</f>
        <v/>
      </c>
      <c r="AL1465" s="12" t="n"/>
      <c r="AM1465" s="14">
        <f>IF($B1465="","",IF($AQ1465="","対象年月が未入力／","")&amp;IF($B1465="","",IF($AP1465="","職員マスタに未登録の職員番号／",IF($AA1465="","標準報酬月額が未登録／","")&amp;IF(AND($AQ1465&lt;&gt;"",OR(AND(INDEX(職員マスタ!$G$6:$G$405,$AP1465)&lt;&gt;"",INDEX(職員マスタ!$G$6:$G$405,$AP1465)&gt;EOMONTH($AQ1465,0)),AND(INDEX(職員マスタ!$H$6:$H$405,$AP1465)&lt;&gt;"",INDEX(職員マスタ!$H$6:$H$405,$AP1465)&lt;$AQ1465))),"対象月が時短期間外／","")&amp;IF(AND(INDEX(職員マスタ!$K$6:$K$405,$AP1465)&lt;&gt;"",N($W1465)&gt;0,INDEX(職員マスタ!$K$6:$K$405,$AP1465)&lt;&gt;$W1465),"標準報酬月額が申請書と相違（台帳"&amp;TEXT(INDEX(職員マスタ!$K$6:$K$405,$AP1465),"#,##0")&amp;"円／申請書"&amp;TEXT($W1465,"#,##0")&amp;"円）／","")&amp;IF(AND(INDEX(職員マスタ!$F$6:$F$405,$AP1465)&lt;&gt;"",$AQ1465&lt;&gt;"",INDEX(職員マスタ!$F$6:$F$405,$AP1465)&lt;$AQ1465),"対象月に子が2歳到達済／","")&amp;IF(AND($H1465&lt;&gt;"",INDEX(職員マスタ!$B$6:$B$405,$AP1465)&lt;&gt;"",SUBSTITUTE(SUBSTITUTE($H1465," ","")," ","")&lt;&gt;SUBSTITUTE(SUBSTITUTE(INDEX(職員マスタ!$B$6:$B$405,$AP1465)," ","")," ","")),"氏名がマスタと相違／","")&amp;IF(AND($Q1465&lt;&gt;"",INDEX(職員マスタ!$E$6:$E$405,$AP1465)&lt;&gt;"",$Q1465&lt;&gt;INDEX(職員マスタ!$E$6:$E$405,$AP1465)),"子の生年月日がマスタと相違／","")&amp;IF(AND($L1465&lt;&gt;"",INDEX(職員マスタ!$G$6:$G$405,$AP1465)&lt;&gt;"",$L1465&lt;&gt;INDEX(職員マスタ!$G$6:$G$405,$AP1465)),"時短開始日がマスタと相違／","")&amp;IF(AND($M1465&lt;&gt;"",INDEX(職員マスタ!$H$6:$H$405,$AP1465)&lt;&gt;"",$M1465&lt;&gt;INDEX(職員マスタ!$H$6:$H$405,$AP1465)),"時短終了日がマスタと相違／","")))&amp;IF(AND($B1465&lt;&gt;"",$E1465=""),"報酬額が未入力／","")&amp;IF(N($U1465)&gt;0,"申請書に入力エラーが残っています／","")&amp;IF(AND($B1465&lt;&gt;"",$AQ1465&lt;&gt;""),IF(COUNTIFS($B$6:$B$3005,$B1465,$C$6:$C$3005,$C1465,$D$6:$D$3005,$D1465)&gt;1,"同じ月の請求が重複しています／",""),"")&amp;IF(AND(N($E1465)&gt;0,$AB1465&lt;&gt;"",$AB1465&lt;&gt;"×",$AE1465=0,$AD1465=""),"計算額が下限以下のため不支給／",""))</f>
        <v/>
      </c>
      <c r="AN1465" s="12" t="n"/>
      <c r="AO1465" s="14">
        <f>IF($AF1465="保留中",COUNTIF($AF$6:$AF1465,"保留中"),"")</f>
        <v/>
      </c>
      <c r="AP1465" s="14">
        <f>IF($AQ1465="","",IF(SUMPRODUCT(MAX((職員マスタ!$A$6:$A$405=$B1465)*(((職員マスタ!$G$6:$G$405="")+(職員マスタ!$G$6:$G$405&lt;=EOMONTH($AQ1465,0)))&gt;0)*(((職員マスタ!$H$6:$H$405="")+(職員マスタ!$H$6:$H$405&gt;=$AQ1465))&gt;0)*(ROW(職員マスタ!$A$6:$A$405)-5)))&gt;0,SUMPRODUCT(MAX((職員マスタ!$A$6:$A$405=$B1465)*(((職員マスタ!$G$6:$G$405="")+(職員マスタ!$G$6:$G$405&lt;=EOMONTH($AQ1465,0)))&gt;0)*(((職員マスタ!$H$6:$H$405="")+(職員マスタ!$H$6:$H$405&gt;=$AQ1465))&gt;0)*(ROW(職員マスタ!$A$6:$A$405)-5))),IFERROR(MATCH($B1465,職員マスタ!$A$6:$A$405,0),"")))</f>
        <v/>
      </c>
      <c r="AQ1465" s="16">
        <f>IF(OR($B1465="",$C1465="",$D1465=""),"",DATE($C1465+2018,$D1465,1))</f>
        <v/>
      </c>
    </row>
    <row r="1466">
      <c r="A1466" s="11" t="n"/>
      <c r="B1466" s="12" t="n"/>
      <c r="C1466" s="12" t="n"/>
      <c r="D1466" s="12" t="n"/>
      <c r="E1466" s="13" t="n"/>
      <c r="F1466" s="12" t="n"/>
      <c r="G1466" s="13" t="n"/>
      <c r="H1466" s="12" t="n"/>
      <c r="I1466" s="12" t="n"/>
      <c r="J1466" s="12" t="n"/>
      <c r="K1466" s="12" t="n"/>
      <c r="L1466" s="11" t="n"/>
      <c r="M1466" s="11" t="n"/>
      <c r="N1466" s="11" t="n"/>
      <c r="O1466" s="11" t="n"/>
      <c r="P1466" s="12" t="n"/>
      <c r="Q1466" s="11" t="n"/>
      <c r="R1466" s="12" t="n"/>
      <c r="S1466" s="11" t="n"/>
      <c r="T1466" s="12" t="n"/>
      <c r="U1466" s="12" t="n"/>
      <c r="V1466" s="12" t="n"/>
      <c r="W1466" s="13" t="n"/>
      <c r="X1466" s="14">
        <f>IF($AP1466="",IF($B1466="","",$H1466),IF(INDEX(職員マスタ!$B$6:$B$405,$AP1466)="",$H1466,INDEX(職員マスタ!$B$6:$B$405,$AP1466)))</f>
        <v/>
      </c>
      <c r="Y1466" s="14">
        <f>IF($AP1466="",IF($B1466="","",$R1466),IF(INDEX(職員マスタ!$C$6:$C$405,$AP1466)="",$R1466,INDEX(職員マスタ!$C$6:$C$405,$AP1466)))</f>
        <v/>
      </c>
      <c r="Z1466" s="14">
        <f>IF($AQ1466="","","R"&amp;$C1466&amp;"."&amp;$D1466)</f>
        <v/>
      </c>
      <c r="AA1466" s="15">
        <f>IF(IF($AP1466="",FALSE,INDEX(職員マスタ!$K$6:$K$405,$AP1466)&lt;&gt;""),INDEX(職員マスタ!$K$6:$K$405,$AP1466),IF(N($W1466)&gt;0,$W1466,""))</f>
        <v/>
      </c>
      <c r="AB1466" s="14">
        <f>IF(OR($E1466="",$AA1466=""),"",IF($E1466&gt;=$AA1466,"×",IF($E1466&gt;=$AA1466*設定!$C$5,"△","○")))</f>
        <v/>
      </c>
      <c r="AC1466" s="15">
        <f>IF($AB1466="","",IF($AB1466="×",0,IF($AB1466="○",ROUNDDOWN($E1466*設定!$C$4,0),ROUNDDOWN($E1466*ROUND((9*$AA1466-9*$E1466)/(10*$E1466),4),0))))</f>
        <v/>
      </c>
      <c r="AD1466" s="13" t="n"/>
      <c r="AE1466" s="15">
        <f>IF($B1466="","",IF($AD1466&lt;&gt;"",$AD1466,IF($AC1466="","",IF($AC1466&lt;=設定!$C$3,0,$AC1466))))</f>
        <v/>
      </c>
      <c r="AF1466" s="14">
        <f>IF($B1466="","",IF(AND($AG1466&lt;&gt;"",$AI1466="",$AL1466=""),"保留中",IF($AL1466&lt;&gt;"",IF(N($AE1466)&gt;0,"支給済","不支給"),IF($AE1466="","要確認",IF($AE1466=0,"不支給","未処理")))))</f>
        <v/>
      </c>
      <c r="AG1466" s="12" t="n"/>
      <c r="AH1466" s="11" t="n"/>
      <c r="AI1466" s="11" t="n"/>
      <c r="AJ1466" s="11" t="n"/>
      <c r="AK1466" s="14">
        <f>IF(AND($AF1466="保留中",$AH1466&lt;&gt;""),TODAY()-$AH1466,"")</f>
        <v/>
      </c>
      <c r="AL1466" s="12" t="n"/>
      <c r="AM1466" s="14">
        <f>IF($B1466="","",IF($AQ1466="","対象年月が未入力／","")&amp;IF($B1466="","",IF($AP1466="","職員マスタに未登録の職員番号／",IF($AA1466="","標準報酬月額が未登録／","")&amp;IF(AND($AQ1466&lt;&gt;"",OR(AND(INDEX(職員マスタ!$G$6:$G$405,$AP1466)&lt;&gt;"",INDEX(職員マスタ!$G$6:$G$405,$AP1466)&gt;EOMONTH($AQ1466,0)),AND(INDEX(職員マスタ!$H$6:$H$405,$AP1466)&lt;&gt;"",INDEX(職員マスタ!$H$6:$H$405,$AP1466)&lt;$AQ1466))),"対象月が時短期間外／","")&amp;IF(AND(INDEX(職員マスタ!$K$6:$K$405,$AP1466)&lt;&gt;"",N($W1466)&gt;0,INDEX(職員マスタ!$K$6:$K$405,$AP1466)&lt;&gt;$W1466),"標準報酬月額が申請書と相違（台帳"&amp;TEXT(INDEX(職員マスタ!$K$6:$K$405,$AP1466),"#,##0")&amp;"円／申請書"&amp;TEXT($W1466,"#,##0")&amp;"円）／","")&amp;IF(AND(INDEX(職員マスタ!$F$6:$F$405,$AP1466)&lt;&gt;"",$AQ1466&lt;&gt;"",INDEX(職員マスタ!$F$6:$F$405,$AP1466)&lt;$AQ1466),"対象月に子が2歳到達済／","")&amp;IF(AND($H1466&lt;&gt;"",INDEX(職員マスタ!$B$6:$B$405,$AP1466)&lt;&gt;"",SUBSTITUTE(SUBSTITUTE($H1466," ","")," ","")&lt;&gt;SUBSTITUTE(SUBSTITUTE(INDEX(職員マスタ!$B$6:$B$405,$AP1466)," ","")," ","")),"氏名がマスタと相違／","")&amp;IF(AND($Q1466&lt;&gt;"",INDEX(職員マスタ!$E$6:$E$405,$AP1466)&lt;&gt;"",$Q1466&lt;&gt;INDEX(職員マスタ!$E$6:$E$405,$AP1466)),"子の生年月日がマスタと相違／","")&amp;IF(AND($L1466&lt;&gt;"",INDEX(職員マスタ!$G$6:$G$405,$AP1466)&lt;&gt;"",$L1466&lt;&gt;INDEX(職員マスタ!$G$6:$G$405,$AP1466)),"時短開始日がマスタと相違／","")&amp;IF(AND($M1466&lt;&gt;"",INDEX(職員マスタ!$H$6:$H$405,$AP1466)&lt;&gt;"",$M1466&lt;&gt;INDEX(職員マスタ!$H$6:$H$405,$AP1466)),"時短終了日がマスタと相違／","")))&amp;IF(AND($B1466&lt;&gt;"",$E1466=""),"報酬額が未入力／","")&amp;IF(N($U1466)&gt;0,"申請書に入力エラーが残っています／","")&amp;IF(AND($B1466&lt;&gt;"",$AQ1466&lt;&gt;""),IF(COUNTIFS($B$6:$B$3005,$B1466,$C$6:$C$3005,$C1466,$D$6:$D$3005,$D1466)&gt;1,"同じ月の請求が重複しています／",""),"")&amp;IF(AND(N($E1466)&gt;0,$AB1466&lt;&gt;"",$AB1466&lt;&gt;"×",$AE1466=0,$AD1466=""),"計算額が下限以下のため不支給／",""))</f>
        <v/>
      </c>
      <c r="AN1466" s="12" t="n"/>
      <c r="AO1466" s="14">
        <f>IF($AF1466="保留中",COUNTIF($AF$6:$AF1466,"保留中"),"")</f>
        <v/>
      </c>
      <c r="AP1466" s="14">
        <f>IF($AQ1466="","",IF(SUMPRODUCT(MAX((職員マスタ!$A$6:$A$405=$B1466)*(((職員マスタ!$G$6:$G$405="")+(職員マスタ!$G$6:$G$405&lt;=EOMONTH($AQ1466,0)))&gt;0)*(((職員マスタ!$H$6:$H$405="")+(職員マスタ!$H$6:$H$405&gt;=$AQ1466))&gt;0)*(ROW(職員マスタ!$A$6:$A$405)-5)))&gt;0,SUMPRODUCT(MAX((職員マスタ!$A$6:$A$405=$B1466)*(((職員マスタ!$G$6:$G$405="")+(職員マスタ!$G$6:$G$405&lt;=EOMONTH($AQ1466,0)))&gt;0)*(((職員マスタ!$H$6:$H$405="")+(職員マスタ!$H$6:$H$405&gt;=$AQ1466))&gt;0)*(ROW(職員マスタ!$A$6:$A$405)-5))),IFERROR(MATCH($B1466,職員マスタ!$A$6:$A$405,0),"")))</f>
        <v/>
      </c>
      <c r="AQ1466" s="16">
        <f>IF(OR($B1466="",$C1466="",$D1466=""),"",DATE($C1466+2018,$D1466,1))</f>
        <v/>
      </c>
    </row>
    <row r="1467">
      <c r="A1467" s="11" t="n"/>
      <c r="B1467" s="12" t="n"/>
      <c r="C1467" s="12" t="n"/>
      <c r="D1467" s="12" t="n"/>
      <c r="E1467" s="13" t="n"/>
      <c r="F1467" s="12" t="n"/>
      <c r="G1467" s="13" t="n"/>
      <c r="H1467" s="12" t="n"/>
      <c r="I1467" s="12" t="n"/>
      <c r="J1467" s="12" t="n"/>
      <c r="K1467" s="12" t="n"/>
      <c r="L1467" s="11" t="n"/>
      <c r="M1467" s="11" t="n"/>
      <c r="N1467" s="11" t="n"/>
      <c r="O1467" s="11" t="n"/>
      <c r="P1467" s="12" t="n"/>
      <c r="Q1467" s="11" t="n"/>
      <c r="R1467" s="12" t="n"/>
      <c r="S1467" s="11" t="n"/>
      <c r="T1467" s="12" t="n"/>
      <c r="U1467" s="12" t="n"/>
      <c r="V1467" s="12" t="n"/>
      <c r="W1467" s="13" t="n"/>
      <c r="X1467" s="14">
        <f>IF($AP1467="",IF($B1467="","",$H1467),IF(INDEX(職員マスタ!$B$6:$B$405,$AP1467)="",$H1467,INDEX(職員マスタ!$B$6:$B$405,$AP1467)))</f>
        <v/>
      </c>
      <c r="Y1467" s="14">
        <f>IF($AP1467="",IF($B1467="","",$R1467),IF(INDEX(職員マスタ!$C$6:$C$405,$AP1467)="",$R1467,INDEX(職員マスタ!$C$6:$C$405,$AP1467)))</f>
        <v/>
      </c>
      <c r="Z1467" s="14">
        <f>IF($AQ1467="","","R"&amp;$C1467&amp;"."&amp;$D1467)</f>
        <v/>
      </c>
      <c r="AA1467" s="15">
        <f>IF(IF($AP1467="",FALSE,INDEX(職員マスタ!$K$6:$K$405,$AP1467)&lt;&gt;""),INDEX(職員マスタ!$K$6:$K$405,$AP1467),IF(N($W1467)&gt;0,$W1467,""))</f>
        <v/>
      </c>
      <c r="AB1467" s="14">
        <f>IF(OR($E1467="",$AA1467=""),"",IF($E1467&gt;=$AA1467,"×",IF($E1467&gt;=$AA1467*設定!$C$5,"△","○")))</f>
        <v/>
      </c>
      <c r="AC1467" s="15">
        <f>IF($AB1467="","",IF($AB1467="×",0,IF($AB1467="○",ROUNDDOWN($E1467*設定!$C$4,0),ROUNDDOWN($E1467*ROUND((9*$AA1467-9*$E1467)/(10*$E1467),4),0))))</f>
        <v/>
      </c>
      <c r="AD1467" s="13" t="n"/>
      <c r="AE1467" s="15">
        <f>IF($B1467="","",IF($AD1467&lt;&gt;"",$AD1467,IF($AC1467="","",IF($AC1467&lt;=設定!$C$3,0,$AC1467))))</f>
        <v/>
      </c>
      <c r="AF1467" s="14">
        <f>IF($B1467="","",IF(AND($AG1467&lt;&gt;"",$AI1467="",$AL1467=""),"保留中",IF($AL1467&lt;&gt;"",IF(N($AE1467)&gt;0,"支給済","不支給"),IF($AE1467="","要確認",IF($AE1467=0,"不支給","未処理")))))</f>
        <v/>
      </c>
      <c r="AG1467" s="12" t="n"/>
      <c r="AH1467" s="11" t="n"/>
      <c r="AI1467" s="11" t="n"/>
      <c r="AJ1467" s="11" t="n"/>
      <c r="AK1467" s="14">
        <f>IF(AND($AF1467="保留中",$AH1467&lt;&gt;""),TODAY()-$AH1467,"")</f>
        <v/>
      </c>
      <c r="AL1467" s="12" t="n"/>
      <c r="AM1467" s="14">
        <f>IF($B1467="","",IF($AQ1467="","対象年月が未入力／","")&amp;IF($B1467="","",IF($AP1467="","職員マスタに未登録の職員番号／",IF($AA1467="","標準報酬月額が未登録／","")&amp;IF(AND($AQ1467&lt;&gt;"",OR(AND(INDEX(職員マスタ!$G$6:$G$405,$AP1467)&lt;&gt;"",INDEX(職員マスタ!$G$6:$G$405,$AP1467)&gt;EOMONTH($AQ1467,0)),AND(INDEX(職員マスタ!$H$6:$H$405,$AP1467)&lt;&gt;"",INDEX(職員マスタ!$H$6:$H$405,$AP1467)&lt;$AQ1467))),"対象月が時短期間外／","")&amp;IF(AND(INDEX(職員マスタ!$K$6:$K$405,$AP1467)&lt;&gt;"",N($W1467)&gt;0,INDEX(職員マスタ!$K$6:$K$405,$AP1467)&lt;&gt;$W1467),"標準報酬月額が申請書と相違（台帳"&amp;TEXT(INDEX(職員マスタ!$K$6:$K$405,$AP1467),"#,##0")&amp;"円／申請書"&amp;TEXT($W1467,"#,##0")&amp;"円）／","")&amp;IF(AND(INDEX(職員マスタ!$F$6:$F$405,$AP1467)&lt;&gt;"",$AQ1467&lt;&gt;"",INDEX(職員マスタ!$F$6:$F$405,$AP1467)&lt;$AQ1467),"対象月に子が2歳到達済／","")&amp;IF(AND($H1467&lt;&gt;"",INDEX(職員マスタ!$B$6:$B$405,$AP1467)&lt;&gt;"",SUBSTITUTE(SUBSTITUTE($H1467," ","")," ","")&lt;&gt;SUBSTITUTE(SUBSTITUTE(INDEX(職員マスタ!$B$6:$B$405,$AP1467)," ","")," ","")),"氏名がマスタと相違／","")&amp;IF(AND($Q1467&lt;&gt;"",INDEX(職員マスタ!$E$6:$E$405,$AP1467)&lt;&gt;"",$Q1467&lt;&gt;INDEX(職員マスタ!$E$6:$E$405,$AP1467)),"子の生年月日がマスタと相違／","")&amp;IF(AND($L1467&lt;&gt;"",INDEX(職員マスタ!$G$6:$G$405,$AP1467)&lt;&gt;"",$L1467&lt;&gt;INDEX(職員マスタ!$G$6:$G$405,$AP1467)),"時短開始日がマスタと相違／","")&amp;IF(AND($M1467&lt;&gt;"",INDEX(職員マスタ!$H$6:$H$405,$AP1467)&lt;&gt;"",$M1467&lt;&gt;INDEX(職員マスタ!$H$6:$H$405,$AP1467)),"時短終了日がマスタと相違／","")))&amp;IF(AND($B1467&lt;&gt;"",$E1467=""),"報酬額が未入力／","")&amp;IF(N($U1467)&gt;0,"申請書に入力エラーが残っています／","")&amp;IF(AND($B1467&lt;&gt;"",$AQ1467&lt;&gt;""),IF(COUNTIFS($B$6:$B$3005,$B1467,$C$6:$C$3005,$C1467,$D$6:$D$3005,$D1467)&gt;1,"同じ月の請求が重複しています／",""),"")&amp;IF(AND(N($E1467)&gt;0,$AB1467&lt;&gt;"",$AB1467&lt;&gt;"×",$AE1467=0,$AD1467=""),"計算額が下限以下のため不支給／",""))</f>
        <v/>
      </c>
      <c r="AN1467" s="12" t="n"/>
      <c r="AO1467" s="14">
        <f>IF($AF1467="保留中",COUNTIF($AF$6:$AF1467,"保留中"),"")</f>
        <v/>
      </c>
      <c r="AP1467" s="14">
        <f>IF($AQ1467="","",IF(SUMPRODUCT(MAX((職員マスタ!$A$6:$A$405=$B1467)*(((職員マスタ!$G$6:$G$405="")+(職員マスタ!$G$6:$G$405&lt;=EOMONTH($AQ1467,0)))&gt;0)*(((職員マスタ!$H$6:$H$405="")+(職員マスタ!$H$6:$H$405&gt;=$AQ1467))&gt;0)*(ROW(職員マスタ!$A$6:$A$405)-5)))&gt;0,SUMPRODUCT(MAX((職員マスタ!$A$6:$A$405=$B1467)*(((職員マスタ!$G$6:$G$405="")+(職員マスタ!$G$6:$G$405&lt;=EOMONTH($AQ1467,0)))&gt;0)*(((職員マスタ!$H$6:$H$405="")+(職員マスタ!$H$6:$H$405&gt;=$AQ1467))&gt;0)*(ROW(職員マスタ!$A$6:$A$405)-5))),IFERROR(MATCH($B1467,職員マスタ!$A$6:$A$405,0),"")))</f>
        <v/>
      </c>
      <c r="AQ1467" s="16">
        <f>IF(OR($B1467="",$C1467="",$D1467=""),"",DATE($C1467+2018,$D1467,1))</f>
        <v/>
      </c>
    </row>
    <row r="1468">
      <c r="A1468" s="11" t="n"/>
      <c r="B1468" s="12" t="n"/>
      <c r="C1468" s="12" t="n"/>
      <c r="D1468" s="12" t="n"/>
      <c r="E1468" s="13" t="n"/>
      <c r="F1468" s="12" t="n"/>
      <c r="G1468" s="13" t="n"/>
      <c r="H1468" s="12" t="n"/>
      <c r="I1468" s="12" t="n"/>
      <c r="J1468" s="12" t="n"/>
      <c r="K1468" s="12" t="n"/>
      <c r="L1468" s="11" t="n"/>
      <c r="M1468" s="11" t="n"/>
      <c r="N1468" s="11" t="n"/>
      <c r="O1468" s="11" t="n"/>
      <c r="P1468" s="12" t="n"/>
      <c r="Q1468" s="11" t="n"/>
      <c r="R1468" s="12" t="n"/>
      <c r="S1468" s="11" t="n"/>
      <c r="T1468" s="12" t="n"/>
      <c r="U1468" s="12" t="n"/>
      <c r="V1468" s="12" t="n"/>
      <c r="W1468" s="13" t="n"/>
      <c r="X1468" s="14">
        <f>IF($AP1468="",IF($B1468="","",$H1468),IF(INDEX(職員マスタ!$B$6:$B$405,$AP1468)="",$H1468,INDEX(職員マスタ!$B$6:$B$405,$AP1468)))</f>
        <v/>
      </c>
      <c r="Y1468" s="14">
        <f>IF($AP1468="",IF($B1468="","",$R1468),IF(INDEX(職員マスタ!$C$6:$C$405,$AP1468)="",$R1468,INDEX(職員マスタ!$C$6:$C$405,$AP1468)))</f>
        <v/>
      </c>
      <c r="Z1468" s="14">
        <f>IF($AQ1468="","","R"&amp;$C1468&amp;"."&amp;$D1468)</f>
        <v/>
      </c>
      <c r="AA1468" s="15">
        <f>IF(IF($AP1468="",FALSE,INDEX(職員マスタ!$K$6:$K$405,$AP1468)&lt;&gt;""),INDEX(職員マスタ!$K$6:$K$405,$AP1468),IF(N($W1468)&gt;0,$W1468,""))</f>
        <v/>
      </c>
      <c r="AB1468" s="14">
        <f>IF(OR($E1468="",$AA1468=""),"",IF($E1468&gt;=$AA1468,"×",IF($E1468&gt;=$AA1468*設定!$C$5,"△","○")))</f>
        <v/>
      </c>
      <c r="AC1468" s="15">
        <f>IF($AB1468="","",IF($AB1468="×",0,IF($AB1468="○",ROUNDDOWN($E1468*設定!$C$4,0),ROUNDDOWN($E1468*ROUND((9*$AA1468-9*$E1468)/(10*$E1468),4),0))))</f>
        <v/>
      </c>
      <c r="AD1468" s="13" t="n"/>
      <c r="AE1468" s="15">
        <f>IF($B1468="","",IF($AD1468&lt;&gt;"",$AD1468,IF($AC1468="","",IF($AC1468&lt;=設定!$C$3,0,$AC1468))))</f>
        <v/>
      </c>
      <c r="AF1468" s="14">
        <f>IF($B1468="","",IF(AND($AG1468&lt;&gt;"",$AI1468="",$AL1468=""),"保留中",IF($AL1468&lt;&gt;"",IF(N($AE1468)&gt;0,"支給済","不支給"),IF($AE1468="","要確認",IF($AE1468=0,"不支給","未処理")))))</f>
        <v/>
      </c>
      <c r="AG1468" s="12" t="n"/>
      <c r="AH1468" s="11" t="n"/>
      <c r="AI1468" s="11" t="n"/>
      <c r="AJ1468" s="11" t="n"/>
      <c r="AK1468" s="14">
        <f>IF(AND($AF1468="保留中",$AH1468&lt;&gt;""),TODAY()-$AH1468,"")</f>
        <v/>
      </c>
      <c r="AL1468" s="12" t="n"/>
      <c r="AM1468" s="14">
        <f>IF($B1468="","",IF($AQ1468="","対象年月が未入力／","")&amp;IF($B1468="","",IF($AP1468="","職員マスタに未登録の職員番号／",IF($AA1468="","標準報酬月額が未登録／","")&amp;IF(AND($AQ1468&lt;&gt;"",OR(AND(INDEX(職員マスタ!$G$6:$G$405,$AP1468)&lt;&gt;"",INDEX(職員マスタ!$G$6:$G$405,$AP1468)&gt;EOMONTH($AQ1468,0)),AND(INDEX(職員マスタ!$H$6:$H$405,$AP1468)&lt;&gt;"",INDEX(職員マスタ!$H$6:$H$405,$AP1468)&lt;$AQ1468))),"対象月が時短期間外／","")&amp;IF(AND(INDEX(職員マスタ!$K$6:$K$405,$AP1468)&lt;&gt;"",N($W1468)&gt;0,INDEX(職員マスタ!$K$6:$K$405,$AP1468)&lt;&gt;$W1468),"標準報酬月額が申請書と相違（台帳"&amp;TEXT(INDEX(職員マスタ!$K$6:$K$405,$AP1468),"#,##0")&amp;"円／申請書"&amp;TEXT($W1468,"#,##0")&amp;"円）／","")&amp;IF(AND(INDEX(職員マスタ!$F$6:$F$405,$AP1468)&lt;&gt;"",$AQ1468&lt;&gt;"",INDEX(職員マスタ!$F$6:$F$405,$AP1468)&lt;$AQ1468),"対象月に子が2歳到達済／","")&amp;IF(AND($H1468&lt;&gt;"",INDEX(職員マスタ!$B$6:$B$405,$AP1468)&lt;&gt;"",SUBSTITUTE(SUBSTITUTE($H1468," ","")," ","")&lt;&gt;SUBSTITUTE(SUBSTITUTE(INDEX(職員マスタ!$B$6:$B$405,$AP1468)," ","")," ","")),"氏名がマスタと相違／","")&amp;IF(AND($Q1468&lt;&gt;"",INDEX(職員マスタ!$E$6:$E$405,$AP1468)&lt;&gt;"",$Q1468&lt;&gt;INDEX(職員マスタ!$E$6:$E$405,$AP1468)),"子の生年月日がマスタと相違／","")&amp;IF(AND($L1468&lt;&gt;"",INDEX(職員マスタ!$G$6:$G$405,$AP1468)&lt;&gt;"",$L1468&lt;&gt;INDEX(職員マスタ!$G$6:$G$405,$AP1468)),"時短開始日がマスタと相違／","")&amp;IF(AND($M1468&lt;&gt;"",INDEX(職員マスタ!$H$6:$H$405,$AP1468)&lt;&gt;"",$M1468&lt;&gt;INDEX(職員マスタ!$H$6:$H$405,$AP1468)),"時短終了日がマスタと相違／","")))&amp;IF(AND($B1468&lt;&gt;"",$E1468=""),"報酬額が未入力／","")&amp;IF(N($U1468)&gt;0,"申請書に入力エラーが残っています／","")&amp;IF(AND($B1468&lt;&gt;"",$AQ1468&lt;&gt;""),IF(COUNTIFS($B$6:$B$3005,$B1468,$C$6:$C$3005,$C1468,$D$6:$D$3005,$D1468)&gt;1,"同じ月の請求が重複しています／",""),"")&amp;IF(AND(N($E1468)&gt;0,$AB1468&lt;&gt;"",$AB1468&lt;&gt;"×",$AE1468=0,$AD1468=""),"計算額が下限以下のため不支給／",""))</f>
        <v/>
      </c>
      <c r="AN1468" s="12" t="n"/>
      <c r="AO1468" s="14">
        <f>IF($AF1468="保留中",COUNTIF($AF$6:$AF1468,"保留中"),"")</f>
        <v/>
      </c>
      <c r="AP1468" s="14">
        <f>IF($AQ1468="","",IF(SUMPRODUCT(MAX((職員マスタ!$A$6:$A$405=$B1468)*(((職員マスタ!$G$6:$G$405="")+(職員マスタ!$G$6:$G$405&lt;=EOMONTH($AQ1468,0)))&gt;0)*(((職員マスタ!$H$6:$H$405="")+(職員マスタ!$H$6:$H$405&gt;=$AQ1468))&gt;0)*(ROW(職員マスタ!$A$6:$A$405)-5)))&gt;0,SUMPRODUCT(MAX((職員マスタ!$A$6:$A$405=$B1468)*(((職員マスタ!$G$6:$G$405="")+(職員マスタ!$G$6:$G$405&lt;=EOMONTH($AQ1468,0)))&gt;0)*(((職員マスタ!$H$6:$H$405="")+(職員マスタ!$H$6:$H$405&gt;=$AQ1468))&gt;0)*(ROW(職員マスタ!$A$6:$A$405)-5))),IFERROR(MATCH($B1468,職員マスタ!$A$6:$A$405,0),"")))</f>
        <v/>
      </c>
      <c r="AQ1468" s="16">
        <f>IF(OR($B1468="",$C1468="",$D1468=""),"",DATE($C1468+2018,$D1468,1))</f>
        <v/>
      </c>
    </row>
    <row r="1469">
      <c r="A1469" s="11" t="n"/>
      <c r="B1469" s="12" t="n"/>
      <c r="C1469" s="12" t="n"/>
      <c r="D1469" s="12" t="n"/>
      <c r="E1469" s="13" t="n"/>
      <c r="F1469" s="12" t="n"/>
      <c r="G1469" s="13" t="n"/>
      <c r="H1469" s="12" t="n"/>
      <c r="I1469" s="12" t="n"/>
      <c r="J1469" s="12" t="n"/>
      <c r="K1469" s="12" t="n"/>
      <c r="L1469" s="11" t="n"/>
      <c r="M1469" s="11" t="n"/>
      <c r="N1469" s="11" t="n"/>
      <c r="O1469" s="11" t="n"/>
      <c r="P1469" s="12" t="n"/>
      <c r="Q1469" s="11" t="n"/>
      <c r="R1469" s="12" t="n"/>
      <c r="S1469" s="11" t="n"/>
      <c r="T1469" s="12" t="n"/>
      <c r="U1469" s="12" t="n"/>
      <c r="V1469" s="12" t="n"/>
      <c r="W1469" s="13" t="n"/>
      <c r="X1469" s="14">
        <f>IF($AP1469="",IF($B1469="","",$H1469),IF(INDEX(職員マスタ!$B$6:$B$405,$AP1469)="",$H1469,INDEX(職員マスタ!$B$6:$B$405,$AP1469)))</f>
        <v/>
      </c>
      <c r="Y1469" s="14">
        <f>IF($AP1469="",IF($B1469="","",$R1469),IF(INDEX(職員マスタ!$C$6:$C$405,$AP1469)="",$R1469,INDEX(職員マスタ!$C$6:$C$405,$AP1469)))</f>
        <v/>
      </c>
      <c r="Z1469" s="14">
        <f>IF($AQ1469="","","R"&amp;$C1469&amp;"."&amp;$D1469)</f>
        <v/>
      </c>
      <c r="AA1469" s="15">
        <f>IF(IF($AP1469="",FALSE,INDEX(職員マスタ!$K$6:$K$405,$AP1469)&lt;&gt;""),INDEX(職員マスタ!$K$6:$K$405,$AP1469),IF(N($W1469)&gt;0,$W1469,""))</f>
        <v/>
      </c>
      <c r="AB1469" s="14">
        <f>IF(OR($E1469="",$AA1469=""),"",IF($E1469&gt;=$AA1469,"×",IF($E1469&gt;=$AA1469*設定!$C$5,"△","○")))</f>
        <v/>
      </c>
      <c r="AC1469" s="15">
        <f>IF($AB1469="","",IF($AB1469="×",0,IF($AB1469="○",ROUNDDOWN($E1469*設定!$C$4,0),ROUNDDOWN($E1469*ROUND((9*$AA1469-9*$E1469)/(10*$E1469),4),0))))</f>
        <v/>
      </c>
      <c r="AD1469" s="13" t="n"/>
      <c r="AE1469" s="15">
        <f>IF($B1469="","",IF($AD1469&lt;&gt;"",$AD1469,IF($AC1469="","",IF($AC1469&lt;=設定!$C$3,0,$AC1469))))</f>
        <v/>
      </c>
      <c r="AF1469" s="14">
        <f>IF($B1469="","",IF(AND($AG1469&lt;&gt;"",$AI1469="",$AL1469=""),"保留中",IF($AL1469&lt;&gt;"",IF(N($AE1469)&gt;0,"支給済","不支給"),IF($AE1469="","要確認",IF($AE1469=0,"不支給","未処理")))))</f>
        <v/>
      </c>
      <c r="AG1469" s="12" t="n"/>
      <c r="AH1469" s="11" t="n"/>
      <c r="AI1469" s="11" t="n"/>
      <c r="AJ1469" s="11" t="n"/>
      <c r="AK1469" s="14">
        <f>IF(AND($AF1469="保留中",$AH1469&lt;&gt;""),TODAY()-$AH1469,"")</f>
        <v/>
      </c>
      <c r="AL1469" s="12" t="n"/>
      <c r="AM1469" s="14">
        <f>IF($B1469="","",IF($AQ1469="","対象年月が未入力／","")&amp;IF($B1469="","",IF($AP1469="","職員マスタに未登録の職員番号／",IF($AA1469="","標準報酬月額が未登録／","")&amp;IF(AND($AQ1469&lt;&gt;"",OR(AND(INDEX(職員マスタ!$G$6:$G$405,$AP1469)&lt;&gt;"",INDEX(職員マスタ!$G$6:$G$405,$AP1469)&gt;EOMONTH($AQ1469,0)),AND(INDEX(職員マスタ!$H$6:$H$405,$AP1469)&lt;&gt;"",INDEX(職員マスタ!$H$6:$H$405,$AP1469)&lt;$AQ1469))),"対象月が時短期間外／","")&amp;IF(AND(INDEX(職員マスタ!$K$6:$K$405,$AP1469)&lt;&gt;"",N($W1469)&gt;0,INDEX(職員マスタ!$K$6:$K$405,$AP1469)&lt;&gt;$W1469),"標準報酬月額が申請書と相違（台帳"&amp;TEXT(INDEX(職員マスタ!$K$6:$K$405,$AP1469),"#,##0")&amp;"円／申請書"&amp;TEXT($W1469,"#,##0")&amp;"円）／","")&amp;IF(AND(INDEX(職員マスタ!$F$6:$F$405,$AP1469)&lt;&gt;"",$AQ1469&lt;&gt;"",INDEX(職員マスタ!$F$6:$F$405,$AP1469)&lt;$AQ1469),"対象月に子が2歳到達済／","")&amp;IF(AND($H1469&lt;&gt;"",INDEX(職員マスタ!$B$6:$B$405,$AP1469)&lt;&gt;"",SUBSTITUTE(SUBSTITUTE($H1469," ","")," ","")&lt;&gt;SUBSTITUTE(SUBSTITUTE(INDEX(職員マスタ!$B$6:$B$405,$AP1469)," ","")," ","")),"氏名がマスタと相違／","")&amp;IF(AND($Q1469&lt;&gt;"",INDEX(職員マスタ!$E$6:$E$405,$AP1469)&lt;&gt;"",$Q1469&lt;&gt;INDEX(職員マスタ!$E$6:$E$405,$AP1469)),"子の生年月日がマスタと相違／","")&amp;IF(AND($L1469&lt;&gt;"",INDEX(職員マスタ!$G$6:$G$405,$AP1469)&lt;&gt;"",$L1469&lt;&gt;INDEX(職員マスタ!$G$6:$G$405,$AP1469)),"時短開始日がマスタと相違／","")&amp;IF(AND($M1469&lt;&gt;"",INDEX(職員マスタ!$H$6:$H$405,$AP1469)&lt;&gt;"",$M1469&lt;&gt;INDEX(職員マスタ!$H$6:$H$405,$AP1469)),"時短終了日がマスタと相違／","")))&amp;IF(AND($B1469&lt;&gt;"",$E1469=""),"報酬額が未入力／","")&amp;IF(N($U1469)&gt;0,"申請書に入力エラーが残っています／","")&amp;IF(AND($B1469&lt;&gt;"",$AQ1469&lt;&gt;""),IF(COUNTIFS($B$6:$B$3005,$B1469,$C$6:$C$3005,$C1469,$D$6:$D$3005,$D1469)&gt;1,"同じ月の請求が重複しています／",""),"")&amp;IF(AND(N($E1469)&gt;0,$AB1469&lt;&gt;"",$AB1469&lt;&gt;"×",$AE1469=0,$AD1469=""),"計算額が下限以下のため不支給／",""))</f>
        <v/>
      </c>
      <c r="AN1469" s="12" t="n"/>
      <c r="AO1469" s="14">
        <f>IF($AF1469="保留中",COUNTIF($AF$6:$AF1469,"保留中"),"")</f>
        <v/>
      </c>
      <c r="AP1469" s="14">
        <f>IF($AQ1469="","",IF(SUMPRODUCT(MAX((職員マスタ!$A$6:$A$405=$B1469)*(((職員マスタ!$G$6:$G$405="")+(職員マスタ!$G$6:$G$405&lt;=EOMONTH($AQ1469,0)))&gt;0)*(((職員マスタ!$H$6:$H$405="")+(職員マスタ!$H$6:$H$405&gt;=$AQ1469))&gt;0)*(ROW(職員マスタ!$A$6:$A$405)-5)))&gt;0,SUMPRODUCT(MAX((職員マスタ!$A$6:$A$405=$B1469)*(((職員マスタ!$G$6:$G$405="")+(職員マスタ!$G$6:$G$405&lt;=EOMONTH($AQ1469,0)))&gt;0)*(((職員マスタ!$H$6:$H$405="")+(職員マスタ!$H$6:$H$405&gt;=$AQ1469))&gt;0)*(ROW(職員マスタ!$A$6:$A$405)-5))),IFERROR(MATCH($B1469,職員マスタ!$A$6:$A$405,0),"")))</f>
        <v/>
      </c>
      <c r="AQ1469" s="16">
        <f>IF(OR($B1469="",$C1469="",$D1469=""),"",DATE($C1469+2018,$D1469,1))</f>
        <v/>
      </c>
    </row>
    <row r="1470">
      <c r="A1470" s="11" t="n"/>
      <c r="B1470" s="12" t="n"/>
      <c r="C1470" s="12" t="n"/>
      <c r="D1470" s="12" t="n"/>
      <c r="E1470" s="13" t="n"/>
      <c r="F1470" s="12" t="n"/>
      <c r="G1470" s="13" t="n"/>
      <c r="H1470" s="12" t="n"/>
      <c r="I1470" s="12" t="n"/>
      <c r="J1470" s="12" t="n"/>
      <c r="K1470" s="12" t="n"/>
      <c r="L1470" s="11" t="n"/>
      <c r="M1470" s="11" t="n"/>
      <c r="N1470" s="11" t="n"/>
      <c r="O1470" s="11" t="n"/>
      <c r="P1470" s="12" t="n"/>
      <c r="Q1470" s="11" t="n"/>
      <c r="R1470" s="12" t="n"/>
      <c r="S1470" s="11" t="n"/>
      <c r="T1470" s="12" t="n"/>
      <c r="U1470" s="12" t="n"/>
      <c r="V1470" s="12" t="n"/>
      <c r="W1470" s="13" t="n"/>
      <c r="X1470" s="14">
        <f>IF($AP1470="",IF($B1470="","",$H1470),IF(INDEX(職員マスタ!$B$6:$B$405,$AP1470)="",$H1470,INDEX(職員マスタ!$B$6:$B$405,$AP1470)))</f>
        <v/>
      </c>
      <c r="Y1470" s="14">
        <f>IF($AP1470="",IF($B1470="","",$R1470),IF(INDEX(職員マスタ!$C$6:$C$405,$AP1470)="",$R1470,INDEX(職員マスタ!$C$6:$C$405,$AP1470)))</f>
        <v/>
      </c>
      <c r="Z1470" s="14">
        <f>IF($AQ1470="","","R"&amp;$C1470&amp;"."&amp;$D1470)</f>
        <v/>
      </c>
      <c r="AA1470" s="15">
        <f>IF(IF($AP1470="",FALSE,INDEX(職員マスタ!$K$6:$K$405,$AP1470)&lt;&gt;""),INDEX(職員マスタ!$K$6:$K$405,$AP1470),IF(N($W1470)&gt;0,$W1470,""))</f>
        <v/>
      </c>
      <c r="AB1470" s="14">
        <f>IF(OR($E1470="",$AA1470=""),"",IF($E1470&gt;=$AA1470,"×",IF($E1470&gt;=$AA1470*設定!$C$5,"△","○")))</f>
        <v/>
      </c>
      <c r="AC1470" s="15">
        <f>IF($AB1470="","",IF($AB1470="×",0,IF($AB1470="○",ROUNDDOWN($E1470*設定!$C$4,0),ROUNDDOWN($E1470*ROUND((9*$AA1470-9*$E1470)/(10*$E1470),4),0))))</f>
        <v/>
      </c>
      <c r="AD1470" s="13" t="n"/>
      <c r="AE1470" s="15">
        <f>IF($B1470="","",IF($AD1470&lt;&gt;"",$AD1470,IF($AC1470="","",IF($AC1470&lt;=設定!$C$3,0,$AC1470))))</f>
        <v/>
      </c>
      <c r="AF1470" s="14">
        <f>IF($B1470="","",IF(AND($AG1470&lt;&gt;"",$AI1470="",$AL1470=""),"保留中",IF($AL1470&lt;&gt;"",IF(N($AE1470)&gt;0,"支給済","不支給"),IF($AE1470="","要確認",IF($AE1470=0,"不支給","未処理")))))</f>
        <v/>
      </c>
      <c r="AG1470" s="12" t="n"/>
      <c r="AH1470" s="11" t="n"/>
      <c r="AI1470" s="11" t="n"/>
      <c r="AJ1470" s="11" t="n"/>
      <c r="AK1470" s="14">
        <f>IF(AND($AF1470="保留中",$AH1470&lt;&gt;""),TODAY()-$AH1470,"")</f>
        <v/>
      </c>
      <c r="AL1470" s="12" t="n"/>
      <c r="AM1470" s="14">
        <f>IF($B1470="","",IF($AQ1470="","対象年月が未入力／","")&amp;IF($B1470="","",IF($AP1470="","職員マスタに未登録の職員番号／",IF($AA1470="","標準報酬月額が未登録／","")&amp;IF(AND($AQ1470&lt;&gt;"",OR(AND(INDEX(職員マスタ!$G$6:$G$405,$AP1470)&lt;&gt;"",INDEX(職員マスタ!$G$6:$G$405,$AP1470)&gt;EOMONTH($AQ1470,0)),AND(INDEX(職員マスタ!$H$6:$H$405,$AP1470)&lt;&gt;"",INDEX(職員マスタ!$H$6:$H$405,$AP1470)&lt;$AQ1470))),"対象月が時短期間外／","")&amp;IF(AND(INDEX(職員マスタ!$K$6:$K$405,$AP1470)&lt;&gt;"",N($W1470)&gt;0,INDEX(職員マスタ!$K$6:$K$405,$AP1470)&lt;&gt;$W1470),"標準報酬月額が申請書と相違（台帳"&amp;TEXT(INDEX(職員マスタ!$K$6:$K$405,$AP1470),"#,##0")&amp;"円／申請書"&amp;TEXT($W1470,"#,##0")&amp;"円）／","")&amp;IF(AND(INDEX(職員マスタ!$F$6:$F$405,$AP1470)&lt;&gt;"",$AQ1470&lt;&gt;"",INDEX(職員マスタ!$F$6:$F$405,$AP1470)&lt;$AQ1470),"対象月に子が2歳到達済／","")&amp;IF(AND($H1470&lt;&gt;"",INDEX(職員マスタ!$B$6:$B$405,$AP1470)&lt;&gt;"",SUBSTITUTE(SUBSTITUTE($H1470," ","")," ","")&lt;&gt;SUBSTITUTE(SUBSTITUTE(INDEX(職員マスタ!$B$6:$B$405,$AP1470)," ","")," ","")),"氏名がマスタと相違／","")&amp;IF(AND($Q1470&lt;&gt;"",INDEX(職員マスタ!$E$6:$E$405,$AP1470)&lt;&gt;"",$Q1470&lt;&gt;INDEX(職員マスタ!$E$6:$E$405,$AP1470)),"子の生年月日がマスタと相違／","")&amp;IF(AND($L1470&lt;&gt;"",INDEX(職員マスタ!$G$6:$G$405,$AP1470)&lt;&gt;"",$L1470&lt;&gt;INDEX(職員マスタ!$G$6:$G$405,$AP1470)),"時短開始日がマスタと相違／","")&amp;IF(AND($M1470&lt;&gt;"",INDEX(職員マスタ!$H$6:$H$405,$AP1470)&lt;&gt;"",$M1470&lt;&gt;INDEX(職員マスタ!$H$6:$H$405,$AP1470)),"時短終了日がマスタと相違／","")))&amp;IF(AND($B1470&lt;&gt;"",$E1470=""),"報酬額が未入力／","")&amp;IF(N($U1470)&gt;0,"申請書に入力エラーが残っています／","")&amp;IF(AND($B1470&lt;&gt;"",$AQ1470&lt;&gt;""),IF(COUNTIFS($B$6:$B$3005,$B1470,$C$6:$C$3005,$C1470,$D$6:$D$3005,$D1470)&gt;1,"同じ月の請求が重複しています／",""),"")&amp;IF(AND(N($E1470)&gt;0,$AB1470&lt;&gt;"",$AB1470&lt;&gt;"×",$AE1470=0,$AD1470=""),"計算額が下限以下のため不支給／",""))</f>
        <v/>
      </c>
      <c r="AN1470" s="12" t="n"/>
      <c r="AO1470" s="14">
        <f>IF($AF1470="保留中",COUNTIF($AF$6:$AF1470,"保留中"),"")</f>
        <v/>
      </c>
      <c r="AP1470" s="14">
        <f>IF($AQ1470="","",IF(SUMPRODUCT(MAX((職員マスタ!$A$6:$A$405=$B1470)*(((職員マスタ!$G$6:$G$405="")+(職員マスタ!$G$6:$G$405&lt;=EOMONTH($AQ1470,0)))&gt;0)*(((職員マスタ!$H$6:$H$405="")+(職員マスタ!$H$6:$H$405&gt;=$AQ1470))&gt;0)*(ROW(職員マスタ!$A$6:$A$405)-5)))&gt;0,SUMPRODUCT(MAX((職員マスタ!$A$6:$A$405=$B1470)*(((職員マスタ!$G$6:$G$405="")+(職員マスタ!$G$6:$G$405&lt;=EOMONTH($AQ1470,0)))&gt;0)*(((職員マスタ!$H$6:$H$405="")+(職員マスタ!$H$6:$H$405&gt;=$AQ1470))&gt;0)*(ROW(職員マスタ!$A$6:$A$405)-5))),IFERROR(MATCH($B1470,職員マスタ!$A$6:$A$405,0),"")))</f>
        <v/>
      </c>
      <c r="AQ1470" s="16">
        <f>IF(OR($B1470="",$C1470="",$D1470=""),"",DATE($C1470+2018,$D1470,1))</f>
        <v/>
      </c>
    </row>
    <row r="1471">
      <c r="A1471" s="11" t="n"/>
      <c r="B1471" s="12" t="n"/>
      <c r="C1471" s="12" t="n"/>
      <c r="D1471" s="12" t="n"/>
      <c r="E1471" s="13" t="n"/>
      <c r="F1471" s="12" t="n"/>
      <c r="G1471" s="13" t="n"/>
      <c r="H1471" s="12" t="n"/>
      <c r="I1471" s="12" t="n"/>
      <c r="J1471" s="12" t="n"/>
      <c r="K1471" s="12" t="n"/>
      <c r="L1471" s="11" t="n"/>
      <c r="M1471" s="11" t="n"/>
      <c r="N1471" s="11" t="n"/>
      <c r="O1471" s="11" t="n"/>
      <c r="P1471" s="12" t="n"/>
      <c r="Q1471" s="11" t="n"/>
      <c r="R1471" s="12" t="n"/>
      <c r="S1471" s="11" t="n"/>
      <c r="T1471" s="12" t="n"/>
      <c r="U1471" s="12" t="n"/>
      <c r="V1471" s="12" t="n"/>
      <c r="W1471" s="13" t="n"/>
      <c r="X1471" s="14">
        <f>IF($AP1471="",IF($B1471="","",$H1471),IF(INDEX(職員マスタ!$B$6:$B$405,$AP1471)="",$H1471,INDEX(職員マスタ!$B$6:$B$405,$AP1471)))</f>
        <v/>
      </c>
      <c r="Y1471" s="14">
        <f>IF($AP1471="",IF($B1471="","",$R1471),IF(INDEX(職員マスタ!$C$6:$C$405,$AP1471)="",$R1471,INDEX(職員マスタ!$C$6:$C$405,$AP1471)))</f>
        <v/>
      </c>
      <c r="Z1471" s="14">
        <f>IF($AQ1471="","","R"&amp;$C1471&amp;"."&amp;$D1471)</f>
        <v/>
      </c>
      <c r="AA1471" s="15">
        <f>IF(IF($AP1471="",FALSE,INDEX(職員マスタ!$K$6:$K$405,$AP1471)&lt;&gt;""),INDEX(職員マスタ!$K$6:$K$405,$AP1471),IF(N($W1471)&gt;0,$W1471,""))</f>
        <v/>
      </c>
      <c r="AB1471" s="14">
        <f>IF(OR($E1471="",$AA1471=""),"",IF($E1471&gt;=$AA1471,"×",IF($E1471&gt;=$AA1471*設定!$C$5,"△","○")))</f>
        <v/>
      </c>
      <c r="AC1471" s="15">
        <f>IF($AB1471="","",IF($AB1471="×",0,IF($AB1471="○",ROUNDDOWN($E1471*設定!$C$4,0),ROUNDDOWN($E1471*ROUND((9*$AA1471-9*$E1471)/(10*$E1471),4),0))))</f>
        <v/>
      </c>
      <c r="AD1471" s="13" t="n"/>
      <c r="AE1471" s="15">
        <f>IF($B1471="","",IF($AD1471&lt;&gt;"",$AD1471,IF($AC1471="","",IF($AC1471&lt;=設定!$C$3,0,$AC1471))))</f>
        <v/>
      </c>
      <c r="AF1471" s="14">
        <f>IF($B1471="","",IF(AND($AG1471&lt;&gt;"",$AI1471="",$AL1471=""),"保留中",IF($AL1471&lt;&gt;"",IF(N($AE1471)&gt;0,"支給済","不支給"),IF($AE1471="","要確認",IF($AE1471=0,"不支給","未処理")))))</f>
        <v/>
      </c>
      <c r="AG1471" s="12" t="n"/>
      <c r="AH1471" s="11" t="n"/>
      <c r="AI1471" s="11" t="n"/>
      <c r="AJ1471" s="11" t="n"/>
      <c r="AK1471" s="14">
        <f>IF(AND($AF1471="保留中",$AH1471&lt;&gt;""),TODAY()-$AH1471,"")</f>
        <v/>
      </c>
      <c r="AL1471" s="12" t="n"/>
      <c r="AM1471" s="14">
        <f>IF($B1471="","",IF($AQ1471="","対象年月が未入力／","")&amp;IF($B1471="","",IF($AP1471="","職員マスタに未登録の職員番号／",IF($AA1471="","標準報酬月額が未登録／","")&amp;IF(AND($AQ1471&lt;&gt;"",OR(AND(INDEX(職員マスタ!$G$6:$G$405,$AP1471)&lt;&gt;"",INDEX(職員マスタ!$G$6:$G$405,$AP1471)&gt;EOMONTH($AQ1471,0)),AND(INDEX(職員マスタ!$H$6:$H$405,$AP1471)&lt;&gt;"",INDEX(職員マスタ!$H$6:$H$405,$AP1471)&lt;$AQ1471))),"対象月が時短期間外／","")&amp;IF(AND(INDEX(職員マスタ!$K$6:$K$405,$AP1471)&lt;&gt;"",N($W1471)&gt;0,INDEX(職員マスタ!$K$6:$K$405,$AP1471)&lt;&gt;$W1471),"標準報酬月額が申請書と相違（台帳"&amp;TEXT(INDEX(職員マスタ!$K$6:$K$405,$AP1471),"#,##0")&amp;"円／申請書"&amp;TEXT($W1471,"#,##0")&amp;"円）／","")&amp;IF(AND(INDEX(職員マスタ!$F$6:$F$405,$AP1471)&lt;&gt;"",$AQ1471&lt;&gt;"",INDEX(職員マスタ!$F$6:$F$405,$AP1471)&lt;$AQ1471),"対象月に子が2歳到達済／","")&amp;IF(AND($H1471&lt;&gt;"",INDEX(職員マスタ!$B$6:$B$405,$AP1471)&lt;&gt;"",SUBSTITUTE(SUBSTITUTE($H1471," ","")," ","")&lt;&gt;SUBSTITUTE(SUBSTITUTE(INDEX(職員マスタ!$B$6:$B$405,$AP1471)," ","")," ","")),"氏名がマスタと相違／","")&amp;IF(AND($Q1471&lt;&gt;"",INDEX(職員マスタ!$E$6:$E$405,$AP1471)&lt;&gt;"",$Q1471&lt;&gt;INDEX(職員マスタ!$E$6:$E$405,$AP1471)),"子の生年月日がマスタと相違／","")&amp;IF(AND($L1471&lt;&gt;"",INDEX(職員マスタ!$G$6:$G$405,$AP1471)&lt;&gt;"",$L1471&lt;&gt;INDEX(職員マスタ!$G$6:$G$405,$AP1471)),"時短開始日がマスタと相違／","")&amp;IF(AND($M1471&lt;&gt;"",INDEX(職員マスタ!$H$6:$H$405,$AP1471)&lt;&gt;"",$M1471&lt;&gt;INDEX(職員マスタ!$H$6:$H$405,$AP1471)),"時短終了日がマスタと相違／","")))&amp;IF(AND($B1471&lt;&gt;"",$E1471=""),"報酬額が未入力／","")&amp;IF(N($U1471)&gt;0,"申請書に入力エラーが残っています／","")&amp;IF(AND($B1471&lt;&gt;"",$AQ1471&lt;&gt;""),IF(COUNTIFS($B$6:$B$3005,$B1471,$C$6:$C$3005,$C1471,$D$6:$D$3005,$D1471)&gt;1,"同じ月の請求が重複しています／",""),"")&amp;IF(AND(N($E1471)&gt;0,$AB1471&lt;&gt;"",$AB1471&lt;&gt;"×",$AE1471=0,$AD1471=""),"計算額が下限以下のため不支給／",""))</f>
        <v/>
      </c>
      <c r="AN1471" s="12" t="n"/>
      <c r="AO1471" s="14">
        <f>IF($AF1471="保留中",COUNTIF($AF$6:$AF1471,"保留中"),"")</f>
        <v/>
      </c>
      <c r="AP1471" s="14">
        <f>IF($AQ1471="","",IF(SUMPRODUCT(MAX((職員マスタ!$A$6:$A$405=$B1471)*(((職員マスタ!$G$6:$G$405="")+(職員マスタ!$G$6:$G$405&lt;=EOMONTH($AQ1471,0)))&gt;0)*(((職員マスタ!$H$6:$H$405="")+(職員マスタ!$H$6:$H$405&gt;=$AQ1471))&gt;0)*(ROW(職員マスタ!$A$6:$A$405)-5)))&gt;0,SUMPRODUCT(MAX((職員マスタ!$A$6:$A$405=$B1471)*(((職員マスタ!$G$6:$G$405="")+(職員マスタ!$G$6:$G$405&lt;=EOMONTH($AQ1471,0)))&gt;0)*(((職員マスタ!$H$6:$H$405="")+(職員マスタ!$H$6:$H$405&gt;=$AQ1471))&gt;0)*(ROW(職員マスタ!$A$6:$A$405)-5))),IFERROR(MATCH($B1471,職員マスタ!$A$6:$A$405,0),"")))</f>
        <v/>
      </c>
      <c r="AQ1471" s="16">
        <f>IF(OR($B1471="",$C1471="",$D1471=""),"",DATE($C1471+2018,$D1471,1))</f>
        <v/>
      </c>
    </row>
    <row r="1472">
      <c r="A1472" s="11" t="n"/>
      <c r="B1472" s="12" t="n"/>
      <c r="C1472" s="12" t="n"/>
      <c r="D1472" s="12" t="n"/>
      <c r="E1472" s="13" t="n"/>
      <c r="F1472" s="12" t="n"/>
      <c r="G1472" s="13" t="n"/>
      <c r="H1472" s="12" t="n"/>
      <c r="I1472" s="12" t="n"/>
      <c r="J1472" s="12" t="n"/>
      <c r="K1472" s="12" t="n"/>
      <c r="L1472" s="11" t="n"/>
      <c r="M1472" s="11" t="n"/>
      <c r="N1472" s="11" t="n"/>
      <c r="O1472" s="11" t="n"/>
      <c r="P1472" s="12" t="n"/>
      <c r="Q1472" s="11" t="n"/>
      <c r="R1472" s="12" t="n"/>
      <c r="S1472" s="11" t="n"/>
      <c r="T1472" s="12" t="n"/>
      <c r="U1472" s="12" t="n"/>
      <c r="V1472" s="12" t="n"/>
      <c r="W1472" s="13" t="n"/>
      <c r="X1472" s="14">
        <f>IF($AP1472="",IF($B1472="","",$H1472),IF(INDEX(職員マスタ!$B$6:$B$405,$AP1472)="",$H1472,INDEX(職員マスタ!$B$6:$B$405,$AP1472)))</f>
        <v/>
      </c>
      <c r="Y1472" s="14">
        <f>IF($AP1472="",IF($B1472="","",$R1472),IF(INDEX(職員マスタ!$C$6:$C$405,$AP1472)="",$R1472,INDEX(職員マスタ!$C$6:$C$405,$AP1472)))</f>
        <v/>
      </c>
      <c r="Z1472" s="14">
        <f>IF($AQ1472="","","R"&amp;$C1472&amp;"."&amp;$D1472)</f>
        <v/>
      </c>
      <c r="AA1472" s="15">
        <f>IF(IF($AP1472="",FALSE,INDEX(職員マスタ!$K$6:$K$405,$AP1472)&lt;&gt;""),INDEX(職員マスタ!$K$6:$K$405,$AP1472),IF(N($W1472)&gt;0,$W1472,""))</f>
        <v/>
      </c>
      <c r="AB1472" s="14">
        <f>IF(OR($E1472="",$AA1472=""),"",IF($E1472&gt;=$AA1472,"×",IF($E1472&gt;=$AA1472*設定!$C$5,"△","○")))</f>
        <v/>
      </c>
      <c r="AC1472" s="15">
        <f>IF($AB1472="","",IF($AB1472="×",0,IF($AB1472="○",ROUNDDOWN($E1472*設定!$C$4,0),ROUNDDOWN($E1472*ROUND((9*$AA1472-9*$E1472)/(10*$E1472),4),0))))</f>
        <v/>
      </c>
      <c r="AD1472" s="13" t="n"/>
      <c r="AE1472" s="15">
        <f>IF($B1472="","",IF($AD1472&lt;&gt;"",$AD1472,IF($AC1472="","",IF($AC1472&lt;=設定!$C$3,0,$AC1472))))</f>
        <v/>
      </c>
      <c r="AF1472" s="14">
        <f>IF($B1472="","",IF(AND($AG1472&lt;&gt;"",$AI1472="",$AL1472=""),"保留中",IF($AL1472&lt;&gt;"",IF(N($AE1472)&gt;0,"支給済","不支給"),IF($AE1472="","要確認",IF($AE1472=0,"不支給","未処理")))))</f>
        <v/>
      </c>
      <c r="AG1472" s="12" t="n"/>
      <c r="AH1472" s="11" t="n"/>
      <c r="AI1472" s="11" t="n"/>
      <c r="AJ1472" s="11" t="n"/>
      <c r="AK1472" s="14">
        <f>IF(AND($AF1472="保留中",$AH1472&lt;&gt;""),TODAY()-$AH1472,"")</f>
        <v/>
      </c>
      <c r="AL1472" s="12" t="n"/>
      <c r="AM1472" s="14">
        <f>IF($B1472="","",IF($AQ1472="","対象年月が未入力／","")&amp;IF($B1472="","",IF($AP1472="","職員マスタに未登録の職員番号／",IF($AA1472="","標準報酬月額が未登録／","")&amp;IF(AND($AQ1472&lt;&gt;"",OR(AND(INDEX(職員マスタ!$G$6:$G$405,$AP1472)&lt;&gt;"",INDEX(職員マスタ!$G$6:$G$405,$AP1472)&gt;EOMONTH($AQ1472,0)),AND(INDEX(職員マスタ!$H$6:$H$405,$AP1472)&lt;&gt;"",INDEX(職員マスタ!$H$6:$H$405,$AP1472)&lt;$AQ1472))),"対象月が時短期間外／","")&amp;IF(AND(INDEX(職員マスタ!$K$6:$K$405,$AP1472)&lt;&gt;"",N($W1472)&gt;0,INDEX(職員マスタ!$K$6:$K$405,$AP1472)&lt;&gt;$W1472),"標準報酬月額が申請書と相違（台帳"&amp;TEXT(INDEX(職員マスタ!$K$6:$K$405,$AP1472),"#,##0")&amp;"円／申請書"&amp;TEXT($W1472,"#,##0")&amp;"円）／","")&amp;IF(AND(INDEX(職員マスタ!$F$6:$F$405,$AP1472)&lt;&gt;"",$AQ1472&lt;&gt;"",INDEX(職員マスタ!$F$6:$F$405,$AP1472)&lt;$AQ1472),"対象月に子が2歳到達済／","")&amp;IF(AND($H1472&lt;&gt;"",INDEX(職員マスタ!$B$6:$B$405,$AP1472)&lt;&gt;"",SUBSTITUTE(SUBSTITUTE($H1472," ","")," ","")&lt;&gt;SUBSTITUTE(SUBSTITUTE(INDEX(職員マスタ!$B$6:$B$405,$AP1472)," ","")," ","")),"氏名がマスタと相違／","")&amp;IF(AND($Q1472&lt;&gt;"",INDEX(職員マスタ!$E$6:$E$405,$AP1472)&lt;&gt;"",$Q1472&lt;&gt;INDEX(職員マスタ!$E$6:$E$405,$AP1472)),"子の生年月日がマスタと相違／","")&amp;IF(AND($L1472&lt;&gt;"",INDEX(職員マスタ!$G$6:$G$405,$AP1472)&lt;&gt;"",$L1472&lt;&gt;INDEX(職員マスタ!$G$6:$G$405,$AP1472)),"時短開始日がマスタと相違／","")&amp;IF(AND($M1472&lt;&gt;"",INDEX(職員マスタ!$H$6:$H$405,$AP1472)&lt;&gt;"",$M1472&lt;&gt;INDEX(職員マスタ!$H$6:$H$405,$AP1472)),"時短終了日がマスタと相違／","")))&amp;IF(AND($B1472&lt;&gt;"",$E1472=""),"報酬額が未入力／","")&amp;IF(N($U1472)&gt;0,"申請書に入力エラーが残っています／","")&amp;IF(AND($B1472&lt;&gt;"",$AQ1472&lt;&gt;""),IF(COUNTIFS($B$6:$B$3005,$B1472,$C$6:$C$3005,$C1472,$D$6:$D$3005,$D1472)&gt;1,"同じ月の請求が重複しています／",""),"")&amp;IF(AND(N($E1472)&gt;0,$AB1472&lt;&gt;"",$AB1472&lt;&gt;"×",$AE1472=0,$AD1472=""),"計算額が下限以下のため不支給／",""))</f>
        <v/>
      </c>
      <c r="AN1472" s="12" t="n"/>
      <c r="AO1472" s="14">
        <f>IF($AF1472="保留中",COUNTIF($AF$6:$AF1472,"保留中"),"")</f>
        <v/>
      </c>
      <c r="AP1472" s="14">
        <f>IF($AQ1472="","",IF(SUMPRODUCT(MAX((職員マスタ!$A$6:$A$405=$B1472)*(((職員マスタ!$G$6:$G$405="")+(職員マスタ!$G$6:$G$405&lt;=EOMONTH($AQ1472,0)))&gt;0)*(((職員マスタ!$H$6:$H$405="")+(職員マスタ!$H$6:$H$405&gt;=$AQ1472))&gt;0)*(ROW(職員マスタ!$A$6:$A$405)-5)))&gt;0,SUMPRODUCT(MAX((職員マスタ!$A$6:$A$405=$B1472)*(((職員マスタ!$G$6:$G$405="")+(職員マスタ!$G$6:$G$405&lt;=EOMONTH($AQ1472,0)))&gt;0)*(((職員マスタ!$H$6:$H$405="")+(職員マスタ!$H$6:$H$405&gt;=$AQ1472))&gt;0)*(ROW(職員マスタ!$A$6:$A$405)-5))),IFERROR(MATCH($B1472,職員マスタ!$A$6:$A$405,0),"")))</f>
        <v/>
      </c>
      <c r="AQ1472" s="16">
        <f>IF(OR($B1472="",$C1472="",$D1472=""),"",DATE($C1472+2018,$D1472,1))</f>
        <v/>
      </c>
    </row>
    <row r="1473">
      <c r="A1473" s="11" t="n"/>
      <c r="B1473" s="12" t="n"/>
      <c r="C1473" s="12" t="n"/>
      <c r="D1473" s="12" t="n"/>
      <c r="E1473" s="13" t="n"/>
      <c r="F1473" s="12" t="n"/>
      <c r="G1473" s="13" t="n"/>
      <c r="H1473" s="12" t="n"/>
      <c r="I1473" s="12" t="n"/>
      <c r="J1473" s="12" t="n"/>
      <c r="K1473" s="12" t="n"/>
      <c r="L1473" s="11" t="n"/>
      <c r="M1473" s="11" t="n"/>
      <c r="N1473" s="11" t="n"/>
      <c r="O1473" s="11" t="n"/>
      <c r="P1473" s="12" t="n"/>
      <c r="Q1473" s="11" t="n"/>
      <c r="R1473" s="12" t="n"/>
      <c r="S1473" s="11" t="n"/>
      <c r="T1473" s="12" t="n"/>
      <c r="U1473" s="12" t="n"/>
      <c r="V1473" s="12" t="n"/>
      <c r="W1473" s="13" t="n"/>
      <c r="X1473" s="14">
        <f>IF($AP1473="",IF($B1473="","",$H1473),IF(INDEX(職員マスタ!$B$6:$B$405,$AP1473)="",$H1473,INDEX(職員マスタ!$B$6:$B$405,$AP1473)))</f>
        <v/>
      </c>
      <c r="Y1473" s="14">
        <f>IF($AP1473="",IF($B1473="","",$R1473),IF(INDEX(職員マスタ!$C$6:$C$405,$AP1473)="",$R1473,INDEX(職員マスタ!$C$6:$C$405,$AP1473)))</f>
        <v/>
      </c>
      <c r="Z1473" s="14">
        <f>IF($AQ1473="","","R"&amp;$C1473&amp;"."&amp;$D1473)</f>
        <v/>
      </c>
      <c r="AA1473" s="15">
        <f>IF(IF($AP1473="",FALSE,INDEX(職員マスタ!$K$6:$K$405,$AP1473)&lt;&gt;""),INDEX(職員マスタ!$K$6:$K$405,$AP1473),IF(N($W1473)&gt;0,$W1473,""))</f>
        <v/>
      </c>
      <c r="AB1473" s="14">
        <f>IF(OR($E1473="",$AA1473=""),"",IF($E1473&gt;=$AA1473,"×",IF($E1473&gt;=$AA1473*設定!$C$5,"△","○")))</f>
        <v/>
      </c>
      <c r="AC1473" s="15">
        <f>IF($AB1473="","",IF($AB1473="×",0,IF($AB1473="○",ROUNDDOWN($E1473*設定!$C$4,0),ROUNDDOWN($E1473*ROUND((9*$AA1473-9*$E1473)/(10*$E1473),4),0))))</f>
        <v/>
      </c>
      <c r="AD1473" s="13" t="n"/>
      <c r="AE1473" s="15">
        <f>IF($B1473="","",IF($AD1473&lt;&gt;"",$AD1473,IF($AC1473="","",IF($AC1473&lt;=設定!$C$3,0,$AC1473))))</f>
        <v/>
      </c>
      <c r="AF1473" s="14">
        <f>IF($B1473="","",IF(AND($AG1473&lt;&gt;"",$AI1473="",$AL1473=""),"保留中",IF($AL1473&lt;&gt;"",IF(N($AE1473)&gt;0,"支給済","不支給"),IF($AE1473="","要確認",IF($AE1473=0,"不支給","未処理")))))</f>
        <v/>
      </c>
      <c r="AG1473" s="12" t="n"/>
      <c r="AH1473" s="11" t="n"/>
      <c r="AI1473" s="11" t="n"/>
      <c r="AJ1473" s="11" t="n"/>
      <c r="AK1473" s="14">
        <f>IF(AND($AF1473="保留中",$AH1473&lt;&gt;""),TODAY()-$AH1473,"")</f>
        <v/>
      </c>
      <c r="AL1473" s="12" t="n"/>
      <c r="AM1473" s="14">
        <f>IF($B1473="","",IF($AQ1473="","対象年月が未入力／","")&amp;IF($B1473="","",IF($AP1473="","職員マスタに未登録の職員番号／",IF($AA1473="","標準報酬月額が未登録／","")&amp;IF(AND($AQ1473&lt;&gt;"",OR(AND(INDEX(職員マスタ!$G$6:$G$405,$AP1473)&lt;&gt;"",INDEX(職員マスタ!$G$6:$G$405,$AP1473)&gt;EOMONTH($AQ1473,0)),AND(INDEX(職員マスタ!$H$6:$H$405,$AP1473)&lt;&gt;"",INDEX(職員マスタ!$H$6:$H$405,$AP1473)&lt;$AQ1473))),"対象月が時短期間外／","")&amp;IF(AND(INDEX(職員マスタ!$K$6:$K$405,$AP1473)&lt;&gt;"",N($W1473)&gt;0,INDEX(職員マスタ!$K$6:$K$405,$AP1473)&lt;&gt;$W1473),"標準報酬月額が申請書と相違（台帳"&amp;TEXT(INDEX(職員マスタ!$K$6:$K$405,$AP1473),"#,##0")&amp;"円／申請書"&amp;TEXT($W1473,"#,##0")&amp;"円）／","")&amp;IF(AND(INDEX(職員マスタ!$F$6:$F$405,$AP1473)&lt;&gt;"",$AQ1473&lt;&gt;"",INDEX(職員マスタ!$F$6:$F$405,$AP1473)&lt;$AQ1473),"対象月に子が2歳到達済／","")&amp;IF(AND($H1473&lt;&gt;"",INDEX(職員マスタ!$B$6:$B$405,$AP1473)&lt;&gt;"",SUBSTITUTE(SUBSTITUTE($H1473," ","")," ","")&lt;&gt;SUBSTITUTE(SUBSTITUTE(INDEX(職員マスタ!$B$6:$B$405,$AP1473)," ","")," ","")),"氏名がマスタと相違／","")&amp;IF(AND($Q1473&lt;&gt;"",INDEX(職員マスタ!$E$6:$E$405,$AP1473)&lt;&gt;"",$Q1473&lt;&gt;INDEX(職員マスタ!$E$6:$E$405,$AP1473)),"子の生年月日がマスタと相違／","")&amp;IF(AND($L1473&lt;&gt;"",INDEX(職員マスタ!$G$6:$G$405,$AP1473)&lt;&gt;"",$L1473&lt;&gt;INDEX(職員マスタ!$G$6:$G$405,$AP1473)),"時短開始日がマスタと相違／","")&amp;IF(AND($M1473&lt;&gt;"",INDEX(職員マスタ!$H$6:$H$405,$AP1473)&lt;&gt;"",$M1473&lt;&gt;INDEX(職員マスタ!$H$6:$H$405,$AP1473)),"時短終了日がマスタと相違／","")))&amp;IF(AND($B1473&lt;&gt;"",$E1473=""),"報酬額が未入力／","")&amp;IF(N($U1473)&gt;0,"申請書に入力エラーが残っています／","")&amp;IF(AND($B1473&lt;&gt;"",$AQ1473&lt;&gt;""),IF(COUNTIFS($B$6:$B$3005,$B1473,$C$6:$C$3005,$C1473,$D$6:$D$3005,$D1473)&gt;1,"同じ月の請求が重複しています／",""),"")&amp;IF(AND(N($E1473)&gt;0,$AB1473&lt;&gt;"",$AB1473&lt;&gt;"×",$AE1473=0,$AD1473=""),"計算額が下限以下のため不支給／",""))</f>
        <v/>
      </c>
      <c r="AN1473" s="12" t="n"/>
      <c r="AO1473" s="14">
        <f>IF($AF1473="保留中",COUNTIF($AF$6:$AF1473,"保留中"),"")</f>
        <v/>
      </c>
      <c r="AP1473" s="14">
        <f>IF($AQ1473="","",IF(SUMPRODUCT(MAX((職員マスタ!$A$6:$A$405=$B1473)*(((職員マスタ!$G$6:$G$405="")+(職員マスタ!$G$6:$G$405&lt;=EOMONTH($AQ1473,0)))&gt;0)*(((職員マスタ!$H$6:$H$405="")+(職員マスタ!$H$6:$H$405&gt;=$AQ1473))&gt;0)*(ROW(職員マスタ!$A$6:$A$405)-5)))&gt;0,SUMPRODUCT(MAX((職員マスタ!$A$6:$A$405=$B1473)*(((職員マスタ!$G$6:$G$405="")+(職員マスタ!$G$6:$G$405&lt;=EOMONTH($AQ1473,0)))&gt;0)*(((職員マスタ!$H$6:$H$405="")+(職員マスタ!$H$6:$H$405&gt;=$AQ1473))&gt;0)*(ROW(職員マスタ!$A$6:$A$405)-5))),IFERROR(MATCH($B1473,職員マスタ!$A$6:$A$405,0),"")))</f>
        <v/>
      </c>
      <c r="AQ1473" s="16">
        <f>IF(OR($B1473="",$C1473="",$D1473=""),"",DATE($C1473+2018,$D1473,1))</f>
        <v/>
      </c>
    </row>
    <row r="1474">
      <c r="A1474" s="11" t="n"/>
      <c r="B1474" s="12" t="n"/>
      <c r="C1474" s="12" t="n"/>
      <c r="D1474" s="12" t="n"/>
      <c r="E1474" s="13" t="n"/>
      <c r="F1474" s="12" t="n"/>
      <c r="G1474" s="13" t="n"/>
      <c r="H1474" s="12" t="n"/>
      <c r="I1474" s="12" t="n"/>
      <c r="J1474" s="12" t="n"/>
      <c r="K1474" s="12" t="n"/>
      <c r="L1474" s="11" t="n"/>
      <c r="M1474" s="11" t="n"/>
      <c r="N1474" s="11" t="n"/>
      <c r="O1474" s="11" t="n"/>
      <c r="P1474" s="12" t="n"/>
      <c r="Q1474" s="11" t="n"/>
      <c r="R1474" s="12" t="n"/>
      <c r="S1474" s="11" t="n"/>
      <c r="T1474" s="12" t="n"/>
      <c r="U1474" s="12" t="n"/>
      <c r="V1474" s="12" t="n"/>
      <c r="W1474" s="13" t="n"/>
      <c r="X1474" s="14">
        <f>IF($AP1474="",IF($B1474="","",$H1474),IF(INDEX(職員マスタ!$B$6:$B$405,$AP1474)="",$H1474,INDEX(職員マスタ!$B$6:$B$405,$AP1474)))</f>
        <v/>
      </c>
      <c r="Y1474" s="14">
        <f>IF($AP1474="",IF($B1474="","",$R1474),IF(INDEX(職員マスタ!$C$6:$C$405,$AP1474)="",$R1474,INDEX(職員マスタ!$C$6:$C$405,$AP1474)))</f>
        <v/>
      </c>
      <c r="Z1474" s="14">
        <f>IF($AQ1474="","","R"&amp;$C1474&amp;"."&amp;$D1474)</f>
        <v/>
      </c>
      <c r="AA1474" s="15">
        <f>IF(IF($AP1474="",FALSE,INDEX(職員マスタ!$K$6:$K$405,$AP1474)&lt;&gt;""),INDEX(職員マスタ!$K$6:$K$405,$AP1474),IF(N($W1474)&gt;0,$W1474,""))</f>
        <v/>
      </c>
      <c r="AB1474" s="14">
        <f>IF(OR($E1474="",$AA1474=""),"",IF($E1474&gt;=$AA1474,"×",IF($E1474&gt;=$AA1474*設定!$C$5,"△","○")))</f>
        <v/>
      </c>
      <c r="AC1474" s="15">
        <f>IF($AB1474="","",IF($AB1474="×",0,IF($AB1474="○",ROUNDDOWN($E1474*設定!$C$4,0),ROUNDDOWN($E1474*ROUND((9*$AA1474-9*$E1474)/(10*$E1474),4),0))))</f>
        <v/>
      </c>
      <c r="AD1474" s="13" t="n"/>
      <c r="AE1474" s="15">
        <f>IF($B1474="","",IF($AD1474&lt;&gt;"",$AD1474,IF($AC1474="","",IF($AC1474&lt;=設定!$C$3,0,$AC1474))))</f>
        <v/>
      </c>
      <c r="AF1474" s="14">
        <f>IF($B1474="","",IF(AND($AG1474&lt;&gt;"",$AI1474="",$AL1474=""),"保留中",IF($AL1474&lt;&gt;"",IF(N($AE1474)&gt;0,"支給済","不支給"),IF($AE1474="","要確認",IF($AE1474=0,"不支給","未処理")))))</f>
        <v/>
      </c>
      <c r="AG1474" s="12" t="n"/>
      <c r="AH1474" s="11" t="n"/>
      <c r="AI1474" s="11" t="n"/>
      <c r="AJ1474" s="11" t="n"/>
      <c r="AK1474" s="14">
        <f>IF(AND($AF1474="保留中",$AH1474&lt;&gt;""),TODAY()-$AH1474,"")</f>
        <v/>
      </c>
      <c r="AL1474" s="12" t="n"/>
      <c r="AM1474" s="14">
        <f>IF($B1474="","",IF($AQ1474="","対象年月が未入力／","")&amp;IF($B1474="","",IF($AP1474="","職員マスタに未登録の職員番号／",IF($AA1474="","標準報酬月額が未登録／","")&amp;IF(AND($AQ1474&lt;&gt;"",OR(AND(INDEX(職員マスタ!$G$6:$G$405,$AP1474)&lt;&gt;"",INDEX(職員マスタ!$G$6:$G$405,$AP1474)&gt;EOMONTH($AQ1474,0)),AND(INDEX(職員マスタ!$H$6:$H$405,$AP1474)&lt;&gt;"",INDEX(職員マスタ!$H$6:$H$405,$AP1474)&lt;$AQ1474))),"対象月が時短期間外／","")&amp;IF(AND(INDEX(職員マスタ!$K$6:$K$405,$AP1474)&lt;&gt;"",N($W1474)&gt;0,INDEX(職員マスタ!$K$6:$K$405,$AP1474)&lt;&gt;$W1474),"標準報酬月額が申請書と相違（台帳"&amp;TEXT(INDEX(職員マスタ!$K$6:$K$405,$AP1474),"#,##0")&amp;"円／申請書"&amp;TEXT($W1474,"#,##0")&amp;"円）／","")&amp;IF(AND(INDEX(職員マスタ!$F$6:$F$405,$AP1474)&lt;&gt;"",$AQ1474&lt;&gt;"",INDEX(職員マスタ!$F$6:$F$405,$AP1474)&lt;$AQ1474),"対象月に子が2歳到達済／","")&amp;IF(AND($H1474&lt;&gt;"",INDEX(職員マスタ!$B$6:$B$405,$AP1474)&lt;&gt;"",SUBSTITUTE(SUBSTITUTE($H1474," ","")," ","")&lt;&gt;SUBSTITUTE(SUBSTITUTE(INDEX(職員マスタ!$B$6:$B$405,$AP1474)," ","")," ","")),"氏名がマスタと相違／","")&amp;IF(AND($Q1474&lt;&gt;"",INDEX(職員マスタ!$E$6:$E$405,$AP1474)&lt;&gt;"",$Q1474&lt;&gt;INDEX(職員マスタ!$E$6:$E$405,$AP1474)),"子の生年月日がマスタと相違／","")&amp;IF(AND($L1474&lt;&gt;"",INDEX(職員マスタ!$G$6:$G$405,$AP1474)&lt;&gt;"",$L1474&lt;&gt;INDEX(職員マスタ!$G$6:$G$405,$AP1474)),"時短開始日がマスタと相違／","")&amp;IF(AND($M1474&lt;&gt;"",INDEX(職員マスタ!$H$6:$H$405,$AP1474)&lt;&gt;"",$M1474&lt;&gt;INDEX(職員マスタ!$H$6:$H$405,$AP1474)),"時短終了日がマスタと相違／","")))&amp;IF(AND($B1474&lt;&gt;"",$E1474=""),"報酬額が未入力／","")&amp;IF(N($U1474)&gt;0,"申請書に入力エラーが残っています／","")&amp;IF(AND($B1474&lt;&gt;"",$AQ1474&lt;&gt;""),IF(COUNTIFS($B$6:$B$3005,$B1474,$C$6:$C$3005,$C1474,$D$6:$D$3005,$D1474)&gt;1,"同じ月の請求が重複しています／",""),"")&amp;IF(AND(N($E1474)&gt;0,$AB1474&lt;&gt;"",$AB1474&lt;&gt;"×",$AE1474=0,$AD1474=""),"計算額が下限以下のため不支給／",""))</f>
        <v/>
      </c>
      <c r="AN1474" s="12" t="n"/>
      <c r="AO1474" s="14">
        <f>IF($AF1474="保留中",COUNTIF($AF$6:$AF1474,"保留中"),"")</f>
        <v/>
      </c>
      <c r="AP1474" s="14">
        <f>IF($AQ1474="","",IF(SUMPRODUCT(MAX((職員マスタ!$A$6:$A$405=$B1474)*(((職員マスタ!$G$6:$G$405="")+(職員マスタ!$G$6:$G$405&lt;=EOMONTH($AQ1474,0)))&gt;0)*(((職員マスタ!$H$6:$H$405="")+(職員マスタ!$H$6:$H$405&gt;=$AQ1474))&gt;0)*(ROW(職員マスタ!$A$6:$A$405)-5)))&gt;0,SUMPRODUCT(MAX((職員マスタ!$A$6:$A$405=$B1474)*(((職員マスタ!$G$6:$G$405="")+(職員マスタ!$G$6:$G$405&lt;=EOMONTH($AQ1474,0)))&gt;0)*(((職員マスタ!$H$6:$H$405="")+(職員マスタ!$H$6:$H$405&gt;=$AQ1474))&gt;0)*(ROW(職員マスタ!$A$6:$A$405)-5))),IFERROR(MATCH($B1474,職員マスタ!$A$6:$A$405,0),"")))</f>
        <v/>
      </c>
      <c r="AQ1474" s="16">
        <f>IF(OR($B1474="",$C1474="",$D1474=""),"",DATE($C1474+2018,$D1474,1))</f>
        <v/>
      </c>
    </row>
    <row r="1475">
      <c r="A1475" s="11" t="n"/>
      <c r="B1475" s="12" t="n"/>
      <c r="C1475" s="12" t="n"/>
      <c r="D1475" s="12" t="n"/>
      <c r="E1475" s="13" t="n"/>
      <c r="F1475" s="12" t="n"/>
      <c r="G1475" s="13" t="n"/>
      <c r="H1475" s="12" t="n"/>
      <c r="I1475" s="12" t="n"/>
      <c r="J1475" s="12" t="n"/>
      <c r="K1475" s="12" t="n"/>
      <c r="L1475" s="11" t="n"/>
      <c r="M1475" s="11" t="n"/>
      <c r="N1475" s="11" t="n"/>
      <c r="O1475" s="11" t="n"/>
      <c r="P1475" s="12" t="n"/>
      <c r="Q1475" s="11" t="n"/>
      <c r="R1475" s="12" t="n"/>
      <c r="S1475" s="11" t="n"/>
      <c r="T1475" s="12" t="n"/>
      <c r="U1475" s="12" t="n"/>
      <c r="V1475" s="12" t="n"/>
      <c r="W1475" s="13" t="n"/>
      <c r="X1475" s="14">
        <f>IF($AP1475="",IF($B1475="","",$H1475),IF(INDEX(職員マスタ!$B$6:$B$405,$AP1475)="",$H1475,INDEX(職員マスタ!$B$6:$B$405,$AP1475)))</f>
        <v/>
      </c>
      <c r="Y1475" s="14">
        <f>IF($AP1475="",IF($B1475="","",$R1475),IF(INDEX(職員マスタ!$C$6:$C$405,$AP1475)="",$R1475,INDEX(職員マスタ!$C$6:$C$405,$AP1475)))</f>
        <v/>
      </c>
      <c r="Z1475" s="14">
        <f>IF($AQ1475="","","R"&amp;$C1475&amp;"."&amp;$D1475)</f>
        <v/>
      </c>
      <c r="AA1475" s="15">
        <f>IF(IF($AP1475="",FALSE,INDEX(職員マスタ!$K$6:$K$405,$AP1475)&lt;&gt;""),INDEX(職員マスタ!$K$6:$K$405,$AP1475),IF(N($W1475)&gt;0,$W1475,""))</f>
        <v/>
      </c>
      <c r="AB1475" s="14">
        <f>IF(OR($E1475="",$AA1475=""),"",IF($E1475&gt;=$AA1475,"×",IF($E1475&gt;=$AA1475*設定!$C$5,"△","○")))</f>
        <v/>
      </c>
      <c r="AC1475" s="15">
        <f>IF($AB1475="","",IF($AB1475="×",0,IF($AB1475="○",ROUNDDOWN($E1475*設定!$C$4,0),ROUNDDOWN($E1475*ROUND((9*$AA1475-9*$E1475)/(10*$E1475),4),0))))</f>
        <v/>
      </c>
      <c r="AD1475" s="13" t="n"/>
      <c r="AE1475" s="15">
        <f>IF($B1475="","",IF($AD1475&lt;&gt;"",$AD1475,IF($AC1475="","",IF($AC1475&lt;=設定!$C$3,0,$AC1475))))</f>
        <v/>
      </c>
      <c r="AF1475" s="14">
        <f>IF($B1475="","",IF(AND($AG1475&lt;&gt;"",$AI1475="",$AL1475=""),"保留中",IF($AL1475&lt;&gt;"",IF(N($AE1475)&gt;0,"支給済","不支給"),IF($AE1475="","要確認",IF($AE1475=0,"不支給","未処理")))))</f>
        <v/>
      </c>
      <c r="AG1475" s="12" t="n"/>
      <c r="AH1475" s="11" t="n"/>
      <c r="AI1475" s="11" t="n"/>
      <c r="AJ1475" s="11" t="n"/>
      <c r="AK1475" s="14">
        <f>IF(AND($AF1475="保留中",$AH1475&lt;&gt;""),TODAY()-$AH1475,"")</f>
        <v/>
      </c>
      <c r="AL1475" s="12" t="n"/>
      <c r="AM1475" s="14">
        <f>IF($B1475="","",IF($AQ1475="","対象年月が未入力／","")&amp;IF($B1475="","",IF($AP1475="","職員マスタに未登録の職員番号／",IF($AA1475="","標準報酬月額が未登録／","")&amp;IF(AND($AQ1475&lt;&gt;"",OR(AND(INDEX(職員マスタ!$G$6:$G$405,$AP1475)&lt;&gt;"",INDEX(職員マスタ!$G$6:$G$405,$AP1475)&gt;EOMONTH($AQ1475,0)),AND(INDEX(職員マスタ!$H$6:$H$405,$AP1475)&lt;&gt;"",INDEX(職員マスタ!$H$6:$H$405,$AP1475)&lt;$AQ1475))),"対象月が時短期間外／","")&amp;IF(AND(INDEX(職員マスタ!$K$6:$K$405,$AP1475)&lt;&gt;"",N($W1475)&gt;0,INDEX(職員マスタ!$K$6:$K$405,$AP1475)&lt;&gt;$W1475),"標準報酬月額が申請書と相違（台帳"&amp;TEXT(INDEX(職員マスタ!$K$6:$K$405,$AP1475),"#,##0")&amp;"円／申請書"&amp;TEXT($W1475,"#,##0")&amp;"円）／","")&amp;IF(AND(INDEX(職員マスタ!$F$6:$F$405,$AP1475)&lt;&gt;"",$AQ1475&lt;&gt;"",INDEX(職員マスタ!$F$6:$F$405,$AP1475)&lt;$AQ1475),"対象月に子が2歳到達済／","")&amp;IF(AND($H1475&lt;&gt;"",INDEX(職員マスタ!$B$6:$B$405,$AP1475)&lt;&gt;"",SUBSTITUTE(SUBSTITUTE($H1475," ","")," ","")&lt;&gt;SUBSTITUTE(SUBSTITUTE(INDEX(職員マスタ!$B$6:$B$405,$AP1475)," ","")," ","")),"氏名がマスタと相違／","")&amp;IF(AND($Q1475&lt;&gt;"",INDEX(職員マスタ!$E$6:$E$405,$AP1475)&lt;&gt;"",$Q1475&lt;&gt;INDEX(職員マスタ!$E$6:$E$405,$AP1475)),"子の生年月日がマスタと相違／","")&amp;IF(AND($L1475&lt;&gt;"",INDEX(職員マスタ!$G$6:$G$405,$AP1475)&lt;&gt;"",$L1475&lt;&gt;INDEX(職員マスタ!$G$6:$G$405,$AP1475)),"時短開始日がマスタと相違／","")&amp;IF(AND($M1475&lt;&gt;"",INDEX(職員マスタ!$H$6:$H$405,$AP1475)&lt;&gt;"",$M1475&lt;&gt;INDEX(職員マスタ!$H$6:$H$405,$AP1475)),"時短終了日がマスタと相違／","")))&amp;IF(AND($B1475&lt;&gt;"",$E1475=""),"報酬額が未入力／","")&amp;IF(N($U1475)&gt;0,"申請書に入力エラーが残っています／","")&amp;IF(AND($B1475&lt;&gt;"",$AQ1475&lt;&gt;""),IF(COUNTIFS($B$6:$B$3005,$B1475,$C$6:$C$3005,$C1475,$D$6:$D$3005,$D1475)&gt;1,"同じ月の請求が重複しています／",""),"")&amp;IF(AND(N($E1475)&gt;0,$AB1475&lt;&gt;"",$AB1475&lt;&gt;"×",$AE1475=0,$AD1475=""),"計算額が下限以下のため不支給／",""))</f>
        <v/>
      </c>
      <c r="AN1475" s="12" t="n"/>
      <c r="AO1475" s="14">
        <f>IF($AF1475="保留中",COUNTIF($AF$6:$AF1475,"保留中"),"")</f>
        <v/>
      </c>
      <c r="AP1475" s="14">
        <f>IF($AQ1475="","",IF(SUMPRODUCT(MAX((職員マスタ!$A$6:$A$405=$B1475)*(((職員マスタ!$G$6:$G$405="")+(職員マスタ!$G$6:$G$405&lt;=EOMONTH($AQ1475,0)))&gt;0)*(((職員マスタ!$H$6:$H$405="")+(職員マスタ!$H$6:$H$405&gt;=$AQ1475))&gt;0)*(ROW(職員マスタ!$A$6:$A$405)-5)))&gt;0,SUMPRODUCT(MAX((職員マスタ!$A$6:$A$405=$B1475)*(((職員マスタ!$G$6:$G$405="")+(職員マスタ!$G$6:$G$405&lt;=EOMONTH($AQ1475,0)))&gt;0)*(((職員マスタ!$H$6:$H$405="")+(職員マスタ!$H$6:$H$405&gt;=$AQ1475))&gt;0)*(ROW(職員マスタ!$A$6:$A$405)-5))),IFERROR(MATCH($B1475,職員マスタ!$A$6:$A$405,0),"")))</f>
        <v/>
      </c>
      <c r="AQ1475" s="16">
        <f>IF(OR($B1475="",$C1475="",$D1475=""),"",DATE($C1475+2018,$D1475,1))</f>
        <v/>
      </c>
    </row>
    <row r="1476">
      <c r="A1476" s="11" t="n"/>
      <c r="B1476" s="12" t="n"/>
      <c r="C1476" s="12" t="n"/>
      <c r="D1476" s="12" t="n"/>
      <c r="E1476" s="13" t="n"/>
      <c r="F1476" s="12" t="n"/>
      <c r="G1476" s="13" t="n"/>
      <c r="H1476" s="12" t="n"/>
      <c r="I1476" s="12" t="n"/>
      <c r="J1476" s="12" t="n"/>
      <c r="K1476" s="12" t="n"/>
      <c r="L1476" s="11" t="n"/>
      <c r="M1476" s="11" t="n"/>
      <c r="N1476" s="11" t="n"/>
      <c r="O1476" s="11" t="n"/>
      <c r="P1476" s="12" t="n"/>
      <c r="Q1476" s="11" t="n"/>
      <c r="R1476" s="12" t="n"/>
      <c r="S1476" s="11" t="n"/>
      <c r="T1476" s="12" t="n"/>
      <c r="U1476" s="12" t="n"/>
      <c r="V1476" s="12" t="n"/>
      <c r="W1476" s="13" t="n"/>
      <c r="X1476" s="14">
        <f>IF($AP1476="",IF($B1476="","",$H1476),IF(INDEX(職員マスタ!$B$6:$B$405,$AP1476)="",$H1476,INDEX(職員マスタ!$B$6:$B$405,$AP1476)))</f>
        <v/>
      </c>
      <c r="Y1476" s="14">
        <f>IF($AP1476="",IF($B1476="","",$R1476),IF(INDEX(職員マスタ!$C$6:$C$405,$AP1476)="",$R1476,INDEX(職員マスタ!$C$6:$C$405,$AP1476)))</f>
        <v/>
      </c>
      <c r="Z1476" s="14">
        <f>IF($AQ1476="","","R"&amp;$C1476&amp;"."&amp;$D1476)</f>
        <v/>
      </c>
      <c r="AA1476" s="15">
        <f>IF(IF($AP1476="",FALSE,INDEX(職員マスタ!$K$6:$K$405,$AP1476)&lt;&gt;""),INDEX(職員マスタ!$K$6:$K$405,$AP1476),IF(N($W1476)&gt;0,$W1476,""))</f>
        <v/>
      </c>
      <c r="AB1476" s="14">
        <f>IF(OR($E1476="",$AA1476=""),"",IF($E1476&gt;=$AA1476,"×",IF($E1476&gt;=$AA1476*設定!$C$5,"△","○")))</f>
        <v/>
      </c>
      <c r="AC1476" s="15">
        <f>IF($AB1476="","",IF($AB1476="×",0,IF($AB1476="○",ROUNDDOWN($E1476*設定!$C$4,0),ROUNDDOWN($E1476*ROUND((9*$AA1476-9*$E1476)/(10*$E1476),4),0))))</f>
        <v/>
      </c>
      <c r="AD1476" s="13" t="n"/>
      <c r="AE1476" s="15">
        <f>IF($B1476="","",IF($AD1476&lt;&gt;"",$AD1476,IF($AC1476="","",IF($AC1476&lt;=設定!$C$3,0,$AC1476))))</f>
        <v/>
      </c>
      <c r="AF1476" s="14">
        <f>IF($B1476="","",IF(AND($AG1476&lt;&gt;"",$AI1476="",$AL1476=""),"保留中",IF($AL1476&lt;&gt;"",IF(N($AE1476)&gt;0,"支給済","不支給"),IF($AE1476="","要確認",IF($AE1476=0,"不支給","未処理")))))</f>
        <v/>
      </c>
      <c r="AG1476" s="12" t="n"/>
      <c r="AH1476" s="11" t="n"/>
      <c r="AI1476" s="11" t="n"/>
      <c r="AJ1476" s="11" t="n"/>
      <c r="AK1476" s="14">
        <f>IF(AND($AF1476="保留中",$AH1476&lt;&gt;""),TODAY()-$AH1476,"")</f>
        <v/>
      </c>
      <c r="AL1476" s="12" t="n"/>
      <c r="AM1476" s="14">
        <f>IF($B1476="","",IF($AQ1476="","対象年月が未入力／","")&amp;IF($B1476="","",IF($AP1476="","職員マスタに未登録の職員番号／",IF($AA1476="","標準報酬月額が未登録／","")&amp;IF(AND($AQ1476&lt;&gt;"",OR(AND(INDEX(職員マスタ!$G$6:$G$405,$AP1476)&lt;&gt;"",INDEX(職員マスタ!$G$6:$G$405,$AP1476)&gt;EOMONTH($AQ1476,0)),AND(INDEX(職員マスタ!$H$6:$H$405,$AP1476)&lt;&gt;"",INDEX(職員マスタ!$H$6:$H$405,$AP1476)&lt;$AQ1476))),"対象月が時短期間外／","")&amp;IF(AND(INDEX(職員マスタ!$K$6:$K$405,$AP1476)&lt;&gt;"",N($W1476)&gt;0,INDEX(職員マスタ!$K$6:$K$405,$AP1476)&lt;&gt;$W1476),"標準報酬月額が申請書と相違（台帳"&amp;TEXT(INDEX(職員マスタ!$K$6:$K$405,$AP1476),"#,##0")&amp;"円／申請書"&amp;TEXT($W1476,"#,##0")&amp;"円）／","")&amp;IF(AND(INDEX(職員マスタ!$F$6:$F$405,$AP1476)&lt;&gt;"",$AQ1476&lt;&gt;"",INDEX(職員マスタ!$F$6:$F$405,$AP1476)&lt;$AQ1476),"対象月に子が2歳到達済／","")&amp;IF(AND($H1476&lt;&gt;"",INDEX(職員マスタ!$B$6:$B$405,$AP1476)&lt;&gt;"",SUBSTITUTE(SUBSTITUTE($H1476," ","")," ","")&lt;&gt;SUBSTITUTE(SUBSTITUTE(INDEX(職員マスタ!$B$6:$B$405,$AP1476)," ","")," ","")),"氏名がマスタと相違／","")&amp;IF(AND($Q1476&lt;&gt;"",INDEX(職員マスタ!$E$6:$E$405,$AP1476)&lt;&gt;"",$Q1476&lt;&gt;INDEX(職員マスタ!$E$6:$E$405,$AP1476)),"子の生年月日がマスタと相違／","")&amp;IF(AND($L1476&lt;&gt;"",INDEX(職員マスタ!$G$6:$G$405,$AP1476)&lt;&gt;"",$L1476&lt;&gt;INDEX(職員マスタ!$G$6:$G$405,$AP1476)),"時短開始日がマスタと相違／","")&amp;IF(AND($M1476&lt;&gt;"",INDEX(職員マスタ!$H$6:$H$405,$AP1476)&lt;&gt;"",$M1476&lt;&gt;INDEX(職員マスタ!$H$6:$H$405,$AP1476)),"時短終了日がマスタと相違／","")))&amp;IF(AND($B1476&lt;&gt;"",$E1476=""),"報酬額が未入力／","")&amp;IF(N($U1476)&gt;0,"申請書に入力エラーが残っています／","")&amp;IF(AND($B1476&lt;&gt;"",$AQ1476&lt;&gt;""),IF(COUNTIFS($B$6:$B$3005,$B1476,$C$6:$C$3005,$C1476,$D$6:$D$3005,$D1476)&gt;1,"同じ月の請求が重複しています／",""),"")&amp;IF(AND(N($E1476)&gt;0,$AB1476&lt;&gt;"",$AB1476&lt;&gt;"×",$AE1476=0,$AD1476=""),"計算額が下限以下のため不支給／",""))</f>
        <v/>
      </c>
      <c r="AN1476" s="12" t="n"/>
      <c r="AO1476" s="14">
        <f>IF($AF1476="保留中",COUNTIF($AF$6:$AF1476,"保留中"),"")</f>
        <v/>
      </c>
      <c r="AP1476" s="14">
        <f>IF($AQ1476="","",IF(SUMPRODUCT(MAX((職員マスタ!$A$6:$A$405=$B1476)*(((職員マスタ!$G$6:$G$405="")+(職員マスタ!$G$6:$G$405&lt;=EOMONTH($AQ1476,0)))&gt;0)*(((職員マスタ!$H$6:$H$405="")+(職員マスタ!$H$6:$H$405&gt;=$AQ1476))&gt;0)*(ROW(職員マスタ!$A$6:$A$405)-5)))&gt;0,SUMPRODUCT(MAX((職員マスタ!$A$6:$A$405=$B1476)*(((職員マスタ!$G$6:$G$405="")+(職員マスタ!$G$6:$G$405&lt;=EOMONTH($AQ1476,0)))&gt;0)*(((職員マスタ!$H$6:$H$405="")+(職員マスタ!$H$6:$H$405&gt;=$AQ1476))&gt;0)*(ROW(職員マスタ!$A$6:$A$405)-5))),IFERROR(MATCH($B1476,職員マスタ!$A$6:$A$405,0),"")))</f>
        <v/>
      </c>
      <c r="AQ1476" s="16">
        <f>IF(OR($B1476="",$C1476="",$D1476=""),"",DATE($C1476+2018,$D1476,1))</f>
        <v/>
      </c>
    </row>
    <row r="1477">
      <c r="A1477" s="11" t="n"/>
      <c r="B1477" s="12" t="n"/>
      <c r="C1477" s="12" t="n"/>
      <c r="D1477" s="12" t="n"/>
      <c r="E1477" s="13" t="n"/>
      <c r="F1477" s="12" t="n"/>
      <c r="G1477" s="13" t="n"/>
      <c r="H1477" s="12" t="n"/>
      <c r="I1477" s="12" t="n"/>
      <c r="J1477" s="12" t="n"/>
      <c r="K1477" s="12" t="n"/>
      <c r="L1477" s="11" t="n"/>
      <c r="M1477" s="11" t="n"/>
      <c r="N1477" s="11" t="n"/>
      <c r="O1477" s="11" t="n"/>
      <c r="P1477" s="12" t="n"/>
      <c r="Q1477" s="11" t="n"/>
      <c r="R1477" s="12" t="n"/>
      <c r="S1477" s="11" t="n"/>
      <c r="T1477" s="12" t="n"/>
      <c r="U1477" s="12" t="n"/>
      <c r="V1477" s="12" t="n"/>
      <c r="W1477" s="13" t="n"/>
      <c r="X1477" s="14">
        <f>IF($AP1477="",IF($B1477="","",$H1477),IF(INDEX(職員マスタ!$B$6:$B$405,$AP1477)="",$H1477,INDEX(職員マスタ!$B$6:$B$405,$AP1477)))</f>
        <v/>
      </c>
      <c r="Y1477" s="14">
        <f>IF($AP1477="",IF($B1477="","",$R1477),IF(INDEX(職員マスタ!$C$6:$C$405,$AP1477)="",$R1477,INDEX(職員マスタ!$C$6:$C$405,$AP1477)))</f>
        <v/>
      </c>
      <c r="Z1477" s="14">
        <f>IF($AQ1477="","","R"&amp;$C1477&amp;"."&amp;$D1477)</f>
        <v/>
      </c>
      <c r="AA1477" s="15">
        <f>IF(IF($AP1477="",FALSE,INDEX(職員マスタ!$K$6:$K$405,$AP1477)&lt;&gt;""),INDEX(職員マスタ!$K$6:$K$405,$AP1477),IF(N($W1477)&gt;0,$W1477,""))</f>
        <v/>
      </c>
      <c r="AB1477" s="14">
        <f>IF(OR($E1477="",$AA1477=""),"",IF($E1477&gt;=$AA1477,"×",IF($E1477&gt;=$AA1477*設定!$C$5,"△","○")))</f>
        <v/>
      </c>
      <c r="AC1477" s="15">
        <f>IF($AB1477="","",IF($AB1477="×",0,IF($AB1477="○",ROUNDDOWN($E1477*設定!$C$4,0),ROUNDDOWN($E1477*ROUND((9*$AA1477-9*$E1477)/(10*$E1477),4),0))))</f>
        <v/>
      </c>
      <c r="AD1477" s="13" t="n"/>
      <c r="AE1477" s="15">
        <f>IF($B1477="","",IF($AD1477&lt;&gt;"",$AD1477,IF($AC1477="","",IF($AC1477&lt;=設定!$C$3,0,$AC1477))))</f>
        <v/>
      </c>
      <c r="AF1477" s="14">
        <f>IF($B1477="","",IF(AND($AG1477&lt;&gt;"",$AI1477="",$AL1477=""),"保留中",IF($AL1477&lt;&gt;"",IF(N($AE1477)&gt;0,"支給済","不支給"),IF($AE1477="","要確認",IF($AE1477=0,"不支給","未処理")))))</f>
        <v/>
      </c>
      <c r="AG1477" s="12" t="n"/>
      <c r="AH1477" s="11" t="n"/>
      <c r="AI1477" s="11" t="n"/>
      <c r="AJ1477" s="11" t="n"/>
      <c r="AK1477" s="14">
        <f>IF(AND($AF1477="保留中",$AH1477&lt;&gt;""),TODAY()-$AH1477,"")</f>
        <v/>
      </c>
      <c r="AL1477" s="12" t="n"/>
      <c r="AM1477" s="14">
        <f>IF($B1477="","",IF($AQ1477="","対象年月が未入力／","")&amp;IF($B1477="","",IF($AP1477="","職員マスタに未登録の職員番号／",IF($AA1477="","標準報酬月額が未登録／","")&amp;IF(AND($AQ1477&lt;&gt;"",OR(AND(INDEX(職員マスタ!$G$6:$G$405,$AP1477)&lt;&gt;"",INDEX(職員マスタ!$G$6:$G$405,$AP1477)&gt;EOMONTH($AQ1477,0)),AND(INDEX(職員マスタ!$H$6:$H$405,$AP1477)&lt;&gt;"",INDEX(職員マスタ!$H$6:$H$405,$AP1477)&lt;$AQ1477))),"対象月が時短期間外／","")&amp;IF(AND(INDEX(職員マスタ!$K$6:$K$405,$AP1477)&lt;&gt;"",N($W1477)&gt;0,INDEX(職員マスタ!$K$6:$K$405,$AP1477)&lt;&gt;$W1477),"標準報酬月額が申請書と相違（台帳"&amp;TEXT(INDEX(職員マスタ!$K$6:$K$405,$AP1477),"#,##0")&amp;"円／申請書"&amp;TEXT($W1477,"#,##0")&amp;"円）／","")&amp;IF(AND(INDEX(職員マスタ!$F$6:$F$405,$AP1477)&lt;&gt;"",$AQ1477&lt;&gt;"",INDEX(職員マスタ!$F$6:$F$405,$AP1477)&lt;$AQ1477),"対象月に子が2歳到達済／","")&amp;IF(AND($H1477&lt;&gt;"",INDEX(職員マスタ!$B$6:$B$405,$AP1477)&lt;&gt;"",SUBSTITUTE(SUBSTITUTE($H1477," ","")," ","")&lt;&gt;SUBSTITUTE(SUBSTITUTE(INDEX(職員マスタ!$B$6:$B$405,$AP1477)," ","")," ","")),"氏名がマスタと相違／","")&amp;IF(AND($Q1477&lt;&gt;"",INDEX(職員マスタ!$E$6:$E$405,$AP1477)&lt;&gt;"",$Q1477&lt;&gt;INDEX(職員マスタ!$E$6:$E$405,$AP1477)),"子の生年月日がマスタと相違／","")&amp;IF(AND($L1477&lt;&gt;"",INDEX(職員マスタ!$G$6:$G$405,$AP1477)&lt;&gt;"",$L1477&lt;&gt;INDEX(職員マスタ!$G$6:$G$405,$AP1477)),"時短開始日がマスタと相違／","")&amp;IF(AND($M1477&lt;&gt;"",INDEX(職員マスタ!$H$6:$H$405,$AP1477)&lt;&gt;"",$M1477&lt;&gt;INDEX(職員マスタ!$H$6:$H$405,$AP1477)),"時短終了日がマスタと相違／","")))&amp;IF(AND($B1477&lt;&gt;"",$E1477=""),"報酬額が未入力／","")&amp;IF(N($U1477)&gt;0,"申請書に入力エラーが残っています／","")&amp;IF(AND($B1477&lt;&gt;"",$AQ1477&lt;&gt;""),IF(COUNTIFS($B$6:$B$3005,$B1477,$C$6:$C$3005,$C1477,$D$6:$D$3005,$D1477)&gt;1,"同じ月の請求が重複しています／",""),"")&amp;IF(AND(N($E1477)&gt;0,$AB1477&lt;&gt;"",$AB1477&lt;&gt;"×",$AE1477=0,$AD1477=""),"計算額が下限以下のため不支給／",""))</f>
        <v/>
      </c>
      <c r="AN1477" s="12" t="n"/>
      <c r="AO1477" s="14">
        <f>IF($AF1477="保留中",COUNTIF($AF$6:$AF1477,"保留中"),"")</f>
        <v/>
      </c>
      <c r="AP1477" s="14">
        <f>IF($AQ1477="","",IF(SUMPRODUCT(MAX((職員マスタ!$A$6:$A$405=$B1477)*(((職員マスタ!$G$6:$G$405="")+(職員マスタ!$G$6:$G$405&lt;=EOMONTH($AQ1477,0)))&gt;0)*(((職員マスタ!$H$6:$H$405="")+(職員マスタ!$H$6:$H$405&gt;=$AQ1477))&gt;0)*(ROW(職員マスタ!$A$6:$A$405)-5)))&gt;0,SUMPRODUCT(MAX((職員マスタ!$A$6:$A$405=$B1477)*(((職員マスタ!$G$6:$G$405="")+(職員マスタ!$G$6:$G$405&lt;=EOMONTH($AQ1477,0)))&gt;0)*(((職員マスタ!$H$6:$H$405="")+(職員マスタ!$H$6:$H$405&gt;=$AQ1477))&gt;0)*(ROW(職員マスタ!$A$6:$A$405)-5))),IFERROR(MATCH($B1477,職員マスタ!$A$6:$A$405,0),"")))</f>
        <v/>
      </c>
      <c r="AQ1477" s="16">
        <f>IF(OR($B1477="",$C1477="",$D1477=""),"",DATE($C1477+2018,$D1477,1))</f>
        <v/>
      </c>
    </row>
    <row r="1478">
      <c r="A1478" s="11" t="n"/>
      <c r="B1478" s="12" t="n"/>
      <c r="C1478" s="12" t="n"/>
      <c r="D1478" s="12" t="n"/>
      <c r="E1478" s="13" t="n"/>
      <c r="F1478" s="12" t="n"/>
      <c r="G1478" s="13" t="n"/>
      <c r="H1478" s="12" t="n"/>
      <c r="I1478" s="12" t="n"/>
      <c r="J1478" s="12" t="n"/>
      <c r="K1478" s="12" t="n"/>
      <c r="L1478" s="11" t="n"/>
      <c r="M1478" s="11" t="n"/>
      <c r="N1478" s="11" t="n"/>
      <c r="O1478" s="11" t="n"/>
      <c r="P1478" s="12" t="n"/>
      <c r="Q1478" s="11" t="n"/>
      <c r="R1478" s="12" t="n"/>
      <c r="S1478" s="11" t="n"/>
      <c r="T1478" s="12" t="n"/>
      <c r="U1478" s="12" t="n"/>
      <c r="V1478" s="12" t="n"/>
      <c r="W1478" s="13" t="n"/>
      <c r="X1478" s="14">
        <f>IF($AP1478="",IF($B1478="","",$H1478),IF(INDEX(職員マスタ!$B$6:$B$405,$AP1478)="",$H1478,INDEX(職員マスタ!$B$6:$B$405,$AP1478)))</f>
        <v/>
      </c>
      <c r="Y1478" s="14">
        <f>IF($AP1478="",IF($B1478="","",$R1478),IF(INDEX(職員マスタ!$C$6:$C$405,$AP1478)="",$R1478,INDEX(職員マスタ!$C$6:$C$405,$AP1478)))</f>
        <v/>
      </c>
      <c r="Z1478" s="14">
        <f>IF($AQ1478="","","R"&amp;$C1478&amp;"."&amp;$D1478)</f>
        <v/>
      </c>
      <c r="AA1478" s="15">
        <f>IF(IF($AP1478="",FALSE,INDEX(職員マスタ!$K$6:$K$405,$AP1478)&lt;&gt;""),INDEX(職員マスタ!$K$6:$K$405,$AP1478),IF(N($W1478)&gt;0,$W1478,""))</f>
        <v/>
      </c>
      <c r="AB1478" s="14">
        <f>IF(OR($E1478="",$AA1478=""),"",IF($E1478&gt;=$AA1478,"×",IF($E1478&gt;=$AA1478*設定!$C$5,"△","○")))</f>
        <v/>
      </c>
      <c r="AC1478" s="15">
        <f>IF($AB1478="","",IF($AB1478="×",0,IF($AB1478="○",ROUNDDOWN($E1478*設定!$C$4,0),ROUNDDOWN($E1478*ROUND((9*$AA1478-9*$E1478)/(10*$E1478),4),0))))</f>
        <v/>
      </c>
      <c r="AD1478" s="13" t="n"/>
      <c r="AE1478" s="15">
        <f>IF($B1478="","",IF($AD1478&lt;&gt;"",$AD1478,IF($AC1478="","",IF($AC1478&lt;=設定!$C$3,0,$AC1478))))</f>
        <v/>
      </c>
      <c r="AF1478" s="14">
        <f>IF($B1478="","",IF(AND($AG1478&lt;&gt;"",$AI1478="",$AL1478=""),"保留中",IF($AL1478&lt;&gt;"",IF(N($AE1478)&gt;0,"支給済","不支給"),IF($AE1478="","要確認",IF($AE1478=0,"不支給","未処理")))))</f>
        <v/>
      </c>
      <c r="AG1478" s="12" t="n"/>
      <c r="AH1478" s="11" t="n"/>
      <c r="AI1478" s="11" t="n"/>
      <c r="AJ1478" s="11" t="n"/>
      <c r="AK1478" s="14">
        <f>IF(AND($AF1478="保留中",$AH1478&lt;&gt;""),TODAY()-$AH1478,"")</f>
        <v/>
      </c>
      <c r="AL1478" s="12" t="n"/>
      <c r="AM1478" s="14">
        <f>IF($B1478="","",IF($AQ1478="","対象年月が未入力／","")&amp;IF($B1478="","",IF($AP1478="","職員マスタに未登録の職員番号／",IF($AA1478="","標準報酬月額が未登録／","")&amp;IF(AND($AQ1478&lt;&gt;"",OR(AND(INDEX(職員マスタ!$G$6:$G$405,$AP1478)&lt;&gt;"",INDEX(職員マスタ!$G$6:$G$405,$AP1478)&gt;EOMONTH($AQ1478,0)),AND(INDEX(職員マスタ!$H$6:$H$405,$AP1478)&lt;&gt;"",INDEX(職員マスタ!$H$6:$H$405,$AP1478)&lt;$AQ1478))),"対象月が時短期間外／","")&amp;IF(AND(INDEX(職員マスタ!$K$6:$K$405,$AP1478)&lt;&gt;"",N($W1478)&gt;0,INDEX(職員マスタ!$K$6:$K$405,$AP1478)&lt;&gt;$W1478),"標準報酬月額が申請書と相違（台帳"&amp;TEXT(INDEX(職員マスタ!$K$6:$K$405,$AP1478),"#,##0")&amp;"円／申請書"&amp;TEXT($W1478,"#,##0")&amp;"円）／","")&amp;IF(AND(INDEX(職員マスタ!$F$6:$F$405,$AP1478)&lt;&gt;"",$AQ1478&lt;&gt;"",INDEX(職員マスタ!$F$6:$F$405,$AP1478)&lt;$AQ1478),"対象月に子が2歳到達済／","")&amp;IF(AND($H1478&lt;&gt;"",INDEX(職員マスタ!$B$6:$B$405,$AP1478)&lt;&gt;"",SUBSTITUTE(SUBSTITUTE($H1478," ","")," ","")&lt;&gt;SUBSTITUTE(SUBSTITUTE(INDEX(職員マスタ!$B$6:$B$405,$AP1478)," ","")," ","")),"氏名がマスタと相違／","")&amp;IF(AND($Q1478&lt;&gt;"",INDEX(職員マスタ!$E$6:$E$405,$AP1478)&lt;&gt;"",$Q1478&lt;&gt;INDEX(職員マスタ!$E$6:$E$405,$AP1478)),"子の生年月日がマスタと相違／","")&amp;IF(AND($L1478&lt;&gt;"",INDEX(職員マスタ!$G$6:$G$405,$AP1478)&lt;&gt;"",$L1478&lt;&gt;INDEX(職員マスタ!$G$6:$G$405,$AP1478)),"時短開始日がマスタと相違／","")&amp;IF(AND($M1478&lt;&gt;"",INDEX(職員マスタ!$H$6:$H$405,$AP1478)&lt;&gt;"",$M1478&lt;&gt;INDEX(職員マスタ!$H$6:$H$405,$AP1478)),"時短終了日がマスタと相違／","")))&amp;IF(AND($B1478&lt;&gt;"",$E1478=""),"報酬額が未入力／","")&amp;IF(N($U1478)&gt;0,"申請書に入力エラーが残っています／","")&amp;IF(AND($B1478&lt;&gt;"",$AQ1478&lt;&gt;""),IF(COUNTIFS($B$6:$B$3005,$B1478,$C$6:$C$3005,$C1478,$D$6:$D$3005,$D1478)&gt;1,"同じ月の請求が重複しています／",""),"")&amp;IF(AND(N($E1478)&gt;0,$AB1478&lt;&gt;"",$AB1478&lt;&gt;"×",$AE1478=0,$AD1478=""),"計算額が下限以下のため不支給／",""))</f>
        <v/>
      </c>
      <c r="AN1478" s="12" t="n"/>
      <c r="AO1478" s="14">
        <f>IF($AF1478="保留中",COUNTIF($AF$6:$AF1478,"保留中"),"")</f>
        <v/>
      </c>
      <c r="AP1478" s="14">
        <f>IF($AQ1478="","",IF(SUMPRODUCT(MAX((職員マスタ!$A$6:$A$405=$B1478)*(((職員マスタ!$G$6:$G$405="")+(職員マスタ!$G$6:$G$405&lt;=EOMONTH($AQ1478,0)))&gt;0)*(((職員マスタ!$H$6:$H$405="")+(職員マスタ!$H$6:$H$405&gt;=$AQ1478))&gt;0)*(ROW(職員マスタ!$A$6:$A$405)-5)))&gt;0,SUMPRODUCT(MAX((職員マスタ!$A$6:$A$405=$B1478)*(((職員マスタ!$G$6:$G$405="")+(職員マスタ!$G$6:$G$405&lt;=EOMONTH($AQ1478,0)))&gt;0)*(((職員マスタ!$H$6:$H$405="")+(職員マスタ!$H$6:$H$405&gt;=$AQ1478))&gt;0)*(ROW(職員マスタ!$A$6:$A$405)-5))),IFERROR(MATCH($B1478,職員マスタ!$A$6:$A$405,0),"")))</f>
        <v/>
      </c>
      <c r="AQ1478" s="16">
        <f>IF(OR($B1478="",$C1478="",$D1478=""),"",DATE($C1478+2018,$D1478,1))</f>
        <v/>
      </c>
    </row>
    <row r="1479">
      <c r="A1479" s="11" t="n"/>
      <c r="B1479" s="12" t="n"/>
      <c r="C1479" s="12" t="n"/>
      <c r="D1479" s="12" t="n"/>
      <c r="E1479" s="13" t="n"/>
      <c r="F1479" s="12" t="n"/>
      <c r="G1479" s="13" t="n"/>
      <c r="H1479" s="12" t="n"/>
      <c r="I1479" s="12" t="n"/>
      <c r="J1479" s="12" t="n"/>
      <c r="K1479" s="12" t="n"/>
      <c r="L1479" s="11" t="n"/>
      <c r="M1479" s="11" t="n"/>
      <c r="N1479" s="11" t="n"/>
      <c r="O1479" s="11" t="n"/>
      <c r="P1479" s="12" t="n"/>
      <c r="Q1479" s="11" t="n"/>
      <c r="R1479" s="12" t="n"/>
      <c r="S1479" s="11" t="n"/>
      <c r="T1479" s="12" t="n"/>
      <c r="U1479" s="12" t="n"/>
      <c r="V1479" s="12" t="n"/>
      <c r="W1479" s="13" t="n"/>
      <c r="X1479" s="14">
        <f>IF($AP1479="",IF($B1479="","",$H1479),IF(INDEX(職員マスタ!$B$6:$B$405,$AP1479)="",$H1479,INDEX(職員マスタ!$B$6:$B$405,$AP1479)))</f>
        <v/>
      </c>
      <c r="Y1479" s="14">
        <f>IF($AP1479="",IF($B1479="","",$R1479),IF(INDEX(職員マスタ!$C$6:$C$405,$AP1479)="",$R1479,INDEX(職員マスタ!$C$6:$C$405,$AP1479)))</f>
        <v/>
      </c>
      <c r="Z1479" s="14">
        <f>IF($AQ1479="","","R"&amp;$C1479&amp;"."&amp;$D1479)</f>
        <v/>
      </c>
      <c r="AA1479" s="15">
        <f>IF(IF($AP1479="",FALSE,INDEX(職員マスタ!$K$6:$K$405,$AP1479)&lt;&gt;""),INDEX(職員マスタ!$K$6:$K$405,$AP1479),IF(N($W1479)&gt;0,$W1479,""))</f>
        <v/>
      </c>
      <c r="AB1479" s="14">
        <f>IF(OR($E1479="",$AA1479=""),"",IF($E1479&gt;=$AA1479,"×",IF($E1479&gt;=$AA1479*設定!$C$5,"△","○")))</f>
        <v/>
      </c>
      <c r="AC1479" s="15">
        <f>IF($AB1479="","",IF($AB1479="×",0,IF($AB1479="○",ROUNDDOWN($E1479*設定!$C$4,0),ROUNDDOWN($E1479*ROUND((9*$AA1479-9*$E1479)/(10*$E1479),4),0))))</f>
        <v/>
      </c>
      <c r="AD1479" s="13" t="n"/>
      <c r="AE1479" s="15">
        <f>IF($B1479="","",IF($AD1479&lt;&gt;"",$AD1479,IF($AC1479="","",IF($AC1479&lt;=設定!$C$3,0,$AC1479))))</f>
        <v/>
      </c>
      <c r="AF1479" s="14">
        <f>IF($B1479="","",IF(AND($AG1479&lt;&gt;"",$AI1479="",$AL1479=""),"保留中",IF($AL1479&lt;&gt;"",IF(N($AE1479)&gt;0,"支給済","不支給"),IF($AE1479="","要確認",IF($AE1479=0,"不支給","未処理")))))</f>
        <v/>
      </c>
      <c r="AG1479" s="12" t="n"/>
      <c r="AH1479" s="11" t="n"/>
      <c r="AI1479" s="11" t="n"/>
      <c r="AJ1479" s="11" t="n"/>
      <c r="AK1479" s="14">
        <f>IF(AND($AF1479="保留中",$AH1479&lt;&gt;""),TODAY()-$AH1479,"")</f>
        <v/>
      </c>
      <c r="AL1479" s="12" t="n"/>
      <c r="AM1479" s="14">
        <f>IF($B1479="","",IF($AQ1479="","対象年月が未入力／","")&amp;IF($B1479="","",IF($AP1479="","職員マスタに未登録の職員番号／",IF($AA1479="","標準報酬月額が未登録／","")&amp;IF(AND($AQ1479&lt;&gt;"",OR(AND(INDEX(職員マスタ!$G$6:$G$405,$AP1479)&lt;&gt;"",INDEX(職員マスタ!$G$6:$G$405,$AP1479)&gt;EOMONTH($AQ1479,0)),AND(INDEX(職員マスタ!$H$6:$H$405,$AP1479)&lt;&gt;"",INDEX(職員マスタ!$H$6:$H$405,$AP1479)&lt;$AQ1479))),"対象月が時短期間外／","")&amp;IF(AND(INDEX(職員マスタ!$K$6:$K$405,$AP1479)&lt;&gt;"",N($W1479)&gt;0,INDEX(職員マスタ!$K$6:$K$405,$AP1479)&lt;&gt;$W1479),"標準報酬月額が申請書と相違（台帳"&amp;TEXT(INDEX(職員マスタ!$K$6:$K$405,$AP1479),"#,##0")&amp;"円／申請書"&amp;TEXT($W1479,"#,##0")&amp;"円）／","")&amp;IF(AND(INDEX(職員マスタ!$F$6:$F$405,$AP1479)&lt;&gt;"",$AQ1479&lt;&gt;"",INDEX(職員マスタ!$F$6:$F$405,$AP1479)&lt;$AQ1479),"対象月に子が2歳到達済／","")&amp;IF(AND($H1479&lt;&gt;"",INDEX(職員マスタ!$B$6:$B$405,$AP1479)&lt;&gt;"",SUBSTITUTE(SUBSTITUTE($H1479," ","")," ","")&lt;&gt;SUBSTITUTE(SUBSTITUTE(INDEX(職員マスタ!$B$6:$B$405,$AP1479)," ","")," ","")),"氏名がマスタと相違／","")&amp;IF(AND($Q1479&lt;&gt;"",INDEX(職員マスタ!$E$6:$E$405,$AP1479)&lt;&gt;"",$Q1479&lt;&gt;INDEX(職員マスタ!$E$6:$E$405,$AP1479)),"子の生年月日がマスタと相違／","")&amp;IF(AND($L1479&lt;&gt;"",INDEX(職員マスタ!$G$6:$G$405,$AP1479)&lt;&gt;"",$L1479&lt;&gt;INDEX(職員マスタ!$G$6:$G$405,$AP1479)),"時短開始日がマスタと相違／","")&amp;IF(AND($M1479&lt;&gt;"",INDEX(職員マスタ!$H$6:$H$405,$AP1479)&lt;&gt;"",$M1479&lt;&gt;INDEX(職員マスタ!$H$6:$H$405,$AP1479)),"時短終了日がマスタと相違／","")))&amp;IF(AND($B1479&lt;&gt;"",$E1479=""),"報酬額が未入力／","")&amp;IF(N($U1479)&gt;0,"申請書に入力エラーが残っています／","")&amp;IF(AND($B1479&lt;&gt;"",$AQ1479&lt;&gt;""),IF(COUNTIFS($B$6:$B$3005,$B1479,$C$6:$C$3005,$C1479,$D$6:$D$3005,$D1479)&gt;1,"同じ月の請求が重複しています／",""),"")&amp;IF(AND(N($E1479)&gt;0,$AB1479&lt;&gt;"",$AB1479&lt;&gt;"×",$AE1479=0,$AD1479=""),"計算額が下限以下のため不支給／",""))</f>
        <v/>
      </c>
      <c r="AN1479" s="12" t="n"/>
      <c r="AO1479" s="14">
        <f>IF($AF1479="保留中",COUNTIF($AF$6:$AF1479,"保留中"),"")</f>
        <v/>
      </c>
      <c r="AP1479" s="14">
        <f>IF($AQ1479="","",IF(SUMPRODUCT(MAX((職員マスタ!$A$6:$A$405=$B1479)*(((職員マスタ!$G$6:$G$405="")+(職員マスタ!$G$6:$G$405&lt;=EOMONTH($AQ1479,0)))&gt;0)*(((職員マスタ!$H$6:$H$405="")+(職員マスタ!$H$6:$H$405&gt;=$AQ1479))&gt;0)*(ROW(職員マスタ!$A$6:$A$405)-5)))&gt;0,SUMPRODUCT(MAX((職員マスタ!$A$6:$A$405=$B1479)*(((職員マスタ!$G$6:$G$405="")+(職員マスタ!$G$6:$G$405&lt;=EOMONTH($AQ1479,0)))&gt;0)*(((職員マスタ!$H$6:$H$405="")+(職員マスタ!$H$6:$H$405&gt;=$AQ1479))&gt;0)*(ROW(職員マスタ!$A$6:$A$405)-5))),IFERROR(MATCH($B1479,職員マスタ!$A$6:$A$405,0),"")))</f>
        <v/>
      </c>
      <c r="AQ1479" s="16">
        <f>IF(OR($B1479="",$C1479="",$D1479=""),"",DATE($C1479+2018,$D1479,1))</f>
        <v/>
      </c>
    </row>
    <row r="1480">
      <c r="A1480" s="11" t="n"/>
      <c r="B1480" s="12" t="n"/>
      <c r="C1480" s="12" t="n"/>
      <c r="D1480" s="12" t="n"/>
      <c r="E1480" s="13" t="n"/>
      <c r="F1480" s="12" t="n"/>
      <c r="G1480" s="13" t="n"/>
      <c r="H1480" s="12" t="n"/>
      <c r="I1480" s="12" t="n"/>
      <c r="J1480" s="12" t="n"/>
      <c r="K1480" s="12" t="n"/>
      <c r="L1480" s="11" t="n"/>
      <c r="M1480" s="11" t="n"/>
      <c r="N1480" s="11" t="n"/>
      <c r="O1480" s="11" t="n"/>
      <c r="P1480" s="12" t="n"/>
      <c r="Q1480" s="11" t="n"/>
      <c r="R1480" s="12" t="n"/>
      <c r="S1480" s="11" t="n"/>
      <c r="T1480" s="12" t="n"/>
      <c r="U1480" s="12" t="n"/>
      <c r="V1480" s="12" t="n"/>
      <c r="W1480" s="13" t="n"/>
      <c r="X1480" s="14">
        <f>IF($AP1480="",IF($B1480="","",$H1480),IF(INDEX(職員マスタ!$B$6:$B$405,$AP1480)="",$H1480,INDEX(職員マスタ!$B$6:$B$405,$AP1480)))</f>
        <v/>
      </c>
      <c r="Y1480" s="14">
        <f>IF($AP1480="",IF($B1480="","",$R1480),IF(INDEX(職員マスタ!$C$6:$C$405,$AP1480)="",$R1480,INDEX(職員マスタ!$C$6:$C$405,$AP1480)))</f>
        <v/>
      </c>
      <c r="Z1480" s="14">
        <f>IF($AQ1480="","","R"&amp;$C1480&amp;"."&amp;$D1480)</f>
        <v/>
      </c>
      <c r="AA1480" s="15">
        <f>IF(IF($AP1480="",FALSE,INDEX(職員マスタ!$K$6:$K$405,$AP1480)&lt;&gt;""),INDEX(職員マスタ!$K$6:$K$405,$AP1480),IF(N($W1480)&gt;0,$W1480,""))</f>
        <v/>
      </c>
      <c r="AB1480" s="14">
        <f>IF(OR($E1480="",$AA1480=""),"",IF($E1480&gt;=$AA1480,"×",IF($E1480&gt;=$AA1480*設定!$C$5,"△","○")))</f>
        <v/>
      </c>
      <c r="AC1480" s="15">
        <f>IF($AB1480="","",IF($AB1480="×",0,IF($AB1480="○",ROUNDDOWN($E1480*設定!$C$4,0),ROUNDDOWN($E1480*ROUND((9*$AA1480-9*$E1480)/(10*$E1480),4),0))))</f>
        <v/>
      </c>
      <c r="AD1480" s="13" t="n"/>
      <c r="AE1480" s="15">
        <f>IF($B1480="","",IF($AD1480&lt;&gt;"",$AD1480,IF($AC1480="","",IF($AC1480&lt;=設定!$C$3,0,$AC1480))))</f>
        <v/>
      </c>
      <c r="AF1480" s="14">
        <f>IF($B1480="","",IF(AND($AG1480&lt;&gt;"",$AI1480="",$AL1480=""),"保留中",IF($AL1480&lt;&gt;"",IF(N($AE1480)&gt;0,"支給済","不支給"),IF($AE1480="","要確認",IF($AE1480=0,"不支給","未処理")))))</f>
        <v/>
      </c>
      <c r="AG1480" s="12" t="n"/>
      <c r="AH1480" s="11" t="n"/>
      <c r="AI1480" s="11" t="n"/>
      <c r="AJ1480" s="11" t="n"/>
      <c r="AK1480" s="14">
        <f>IF(AND($AF1480="保留中",$AH1480&lt;&gt;""),TODAY()-$AH1480,"")</f>
        <v/>
      </c>
      <c r="AL1480" s="12" t="n"/>
      <c r="AM1480" s="14">
        <f>IF($B1480="","",IF($AQ1480="","対象年月が未入力／","")&amp;IF($B1480="","",IF($AP1480="","職員マスタに未登録の職員番号／",IF($AA1480="","標準報酬月額が未登録／","")&amp;IF(AND($AQ1480&lt;&gt;"",OR(AND(INDEX(職員マスタ!$G$6:$G$405,$AP1480)&lt;&gt;"",INDEX(職員マスタ!$G$6:$G$405,$AP1480)&gt;EOMONTH($AQ1480,0)),AND(INDEX(職員マスタ!$H$6:$H$405,$AP1480)&lt;&gt;"",INDEX(職員マスタ!$H$6:$H$405,$AP1480)&lt;$AQ1480))),"対象月が時短期間外／","")&amp;IF(AND(INDEX(職員マスタ!$K$6:$K$405,$AP1480)&lt;&gt;"",N($W1480)&gt;0,INDEX(職員マスタ!$K$6:$K$405,$AP1480)&lt;&gt;$W1480),"標準報酬月額が申請書と相違（台帳"&amp;TEXT(INDEX(職員マスタ!$K$6:$K$405,$AP1480),"#,##0")&amp;"円／申請書"&amp;TEXT($W1480,"#,##0")&amp;"円）／","")&amp;IF(AND(INDEX(職員マスタ!$F$6:$F$405,$AP1480)&lt;&gt;"",$AQ1480&lt;&gt;"",INDEX(職員マスタ!$F$6:$F$405,$AP1480)&lt;$AQ1480),"対象月に子が2歳到達済／","")&amp;IF(AND($H1480&lt;&gt;"",INDEX(職員マスタ!$B$6:$B$405,$AP1480)&lt;&gt;"",SUBSTITUTE(SUBSTITUTE($H1480," ","")," ","")&lt;&gt;SUBSTITUTE(SUBSTITUTE(INDEX(職員マスタ!$B$6:$B$405,$AP1480)," ","")," ","")),"氏名がマスタと相違／","")&amp;IF(AND($Q1480&lt;&gt;"",INDEX(職員マスタ!$E$6:$E$405,$AP1480)&lt;&gt;"",$Q1480&lt;&gt;INDEX(職員マスタ!$E$6:$E$405,$AP1480)),"子の生年月日がマスタと相違／","")&amp;IF(AND($L1480&lt;&gt;"",INDEX(職員マスタ!$G$6:$G$405,$AP1480)&lt;&gt;"",$L1480&lt;&gt;INDEX(職員マスタ!$G$6:$G$405,$AP1480)),"時短開始日がマスタと相違／","")&amp;IF(AND($M1480&lt;&gt;"",INDEX(職員マスタ!$H$6:$H$405,$AP1480)&lt;&gt;"",$M1480&lt;&gt;INDEX(職員マスタ!$H$6:$H$405,$AP1480)),"時短終了日がマスタと相違／","")))&amp;IF(AND($B1480&lt;&gt;"",$E1480=""),"報酬額が未入力／","")&amp;IF(N($U1480)&gt;0,"申請書に入力エラーが残っています／","")&amp;IF(AND($B1480&lt;&gt;"",$AQ1480&lt;&gt;""),IF(COUNTIFS($B$6:$B$3005,$B1480,$C$6:$C$3005,$C1480,$D$6:$D$3005,$D1480)&gt;1,"同じ月の請求が重複しています／",""),"")&amp;IF(AND(N($E1480)&gt;0,$AB1480&lt;&gt;"",$AB1480&lt;&gt;"×",$AE1480=0,$AD1480=""),"計算額が下限以下のため不支給／",""))</f>
        <v/>
      </c>
      <c r="AN1480" s="12" t="n"/>
      <c r="AO1480" s="14">
        <f>IF($AF1480="保留中",COUNTIF($AF$6:$AF1480,"保留中"),"")</f>
        <v/>
      </c>
      <c r="AP1480" s="14">
        <f>IF($AQ1480="","",IF(SUMPRODUCT(MAX((職員マスタ!$A$6:$A$405=$B1480)*(((職員マスタ!$G$6:$G$405="")+(職員マスタ!$G$6:$G$405&lt;=EOMONTH($AQ1480,0)))&gt;0)*(((職員マスタ!$H$6:$H$405="")+(職員マスタ!$H$6:$H$405&gt;=$AQ1480))&gt;0)*(ROW(職員マスタ!$A$6:$A$405)-5)))&gt;0,SUMPRODUCT(MAX((職員マスタ!$A$6:$A$405=$B1480)*(((職員マスタ!$G$6:$G$405="")+(職員マスタ!$G$6:$G$405&lt;=EOMONTH($AQ1480,0)))&gt;0)*(((職員マスタ!$H$6:$H$405="")+(職員マスタ!$H$6:$H$405&gt;=$AQ1480))&gt;0)*(ROW(職員マスタ!$A$6:$A$405)-5))),IFERROR(MATCH($B1480,職員マスタ!$A$6:$A$405,0),"")))</f>
        <v/>
      </c>
      <c r="AQ1480" s="16">
        <f>IF(OR($B1480="",$C1480="",$D1480=""),"",DATE($C1480+2018,$D1480,1))</f>
        <v/>
      </c>
    </row>
    <row r="1481">
      <c r="A1481" s="11" t="n"/>
      <c r="B1481" s="12" t="n"/>
      <c r="C1481" s="12" t="n"/>
      <c r="D1481" s="12" t="n"/>
      <c r="E1481" s="13" t="n"/>
      <c r="F1481" s="12" t="n"/>
      <c r="G1481" s="13" t="n"/>
      <c r="H1481" s="12" t="n"/>
      <c r="I1481" s="12" t="n"/>
      <c r="J1481" s="12" t="n"/>
      <c r="K1481" s="12" t="n"/>
      <c r="L1481" s="11" t="n"/>
      <c r="M1481" s="11" t="n"/>
      <c r="N1481" s="11" t="n"/>
      <c r="O1481" s="11" t="n"/>
      <c r="P1481" s="12" t="n"/>
      <c r="Q1481" s="11" t="n"/>
      <c r="R1481" s="12" t="n"/>
      <c r="S1481" s="11" t="n"/>
      <c r="T1481" s="12" t="n"/>
      <c r="U1481" s="12" t="n"/>
      <c r="V1481" s="12" t="n"/>
      <c r="W1481" s="13" t="n"/>
      <c r="X1481" s="14">
        <f>IF($AP1481="",IF($B1481="","",$H1481),IF(INDEX(職員マスタ!$B$6:$B$405,$AP1481)="",$H1481,INDEX(職員マスタ!$B$6:$B$405,$AP1481)))</f>
        <v/>
      </c>
      <c r="Y1481" s="14">
        <f>IF($AP1481="",IF($B1481="","",$R1481),IF(INDEX(職員マスタ!$C$6:$C$405,$AP1481)="",$R1481,INDEX(職員マスタ!$C$6:$C$405,$AP1481)))</f>
        <v/>
      </c>
      <c r="Z1481" s="14">
        <f>IF($AQ1481="","","R"&amp;$C1481&amp;"."&amp;$D1481)</f>
        <v/>
      </c>
      <c r="AA1481" s="15">
        <f>IF(IF($AP1481="",FALSE,INDEX(職員マスタ!$K$6:$K$405,$AP1481)&lt;&gt;""),INDEX(職員マスタ!$K$6:$K$405,$AP1481),IF(N($W1481)&gt;0,$W1481,""))</f>
        <v/>
      </c>
      <c r="AB1481" s="14">
        <f>IF(OR($E1481="",$AA1481=""),"",IF($E1481&gt;=$AA1481,"×",IF($E1481&gt;=$AA1481*設定!$C$5,"△","○")))</f>
        <v/>
      </c>
      <c r="AC1481" s="15">
        <f>IF($AB1481="","",IF($AB1481="×",0,IF($AB1481="○",ROUNDDOWN($E1481*設定!$C$4,0),ROUNDDOWN($E1481*ROUND((9*$AA1481-9*$E1481)/(10*$E1481),4),0))))</f>
        <v/>
      </c>
      <c r="AD1481" s="13" t="n"/>
      <c r="AE1481" s="15">
        <f>IF($B1481="","",IF($AD1481&lt;&gt;"",$AD1481,IF($AC1481="","",IF($AC1481&lt;=設定!$C$3,0,$AC1481))))</f>
        <v/>
      </c>
      <c r="AF1481" s="14">
        <f>IF($B1481="","",IF(AND($AG1481&lt;&gt;"",$AI1481="",$AL1481=""),"保留中",IF($AL1481&lt;&gt;"",IF(N($AE1481)&gt;0,"支給済","不支給"),IF($AE1481="","要確認",IF($AE1481=0,"不支給","未処理")))))</f>
        <v/>
      </c>
      <c r="AG1481" s="12" t="n"/>
      <c r="AH1481" s="11" t="n"/>
      <c r="AI1481" s="11" t="n"/>
      <c r="AJ1481" s="11" t="n"/>
      <c r="AK1481" s="14">
        <f>IF(AND($AF1481="保留中",$AH1481&lt;&gt;""),TODAY()-$AH1481,"")</f>
        <v/>
      </c>
      <c r="AL1481" s="12" t="n"/>
      <c r="AM1481" s="14">
        <f>IF($B1481="","",IF($AQ1481="","対象年月が未入力／","")&amp;IF($B1481="","",IF($AP1481="","職員マスタに未登録の職員番号／",IF($AA1481="","標準報酬月額が未登録／","")&amp;IF(AND($AQ1481&lt;&gt;"",OR(AND(INDEX(職員マスタ!$G$6:$G$405,$AP1481)&lt;&gt;"",INDEX(職員マスタ!$G$6:$G$405,$AP1481)&gt;EOMONTH($AQ1481,0)),AND(INDEX(職員マスタ!$H$6:$H$405,$AP1481)&lt;&gt;"",INDEX(職員マスタ!$H$6:$H$405,$AP1481)&lt;$AQ1481))),"対象月が時短期間外／","")&amp;IF(AND(INDEX(職員マスタ!$K$6:$K$405,$AP1481)&lt;&gt;"",N($W1481)&gt;0,INDEX(職員マスタ!$K$6:$K$405,$AP1481)&lt;&gt;$W1481),"標準報酬月額が申請書と相違（台帳"&amp;TEXT(INDEX(職員マスタ!$K$6:$K$405,$AP1481),"#,##0")&amp;"円／申請書"&amp;TEXT($W1481,"#,##0")&amp;"円）／","")&amp;IF(AND(INDEX(職員マスタ!$F$6:$F$405,$AP1481)&lt;&gt;"",$AQ1481&lt;&gt;"",INDEX(職員マスタ!$F$6:$F$405,$AP1481)&lt;$AQ1481),"対象月に子が2歳到達済／","")&amp;IF(AND($H1481&lt;&gt;"",INDEX(職員マスタ!$B$6:$B$405,$AP1481)&lt;&gt;"",SUBSTITUTE(SUBSTITUTE($H1481," ","")," ","")&lt;&gt;SUBSTITUTE(SUBSTITUTE(INDEX(職員マスタ!$B$6:$B$405,$AP1481)," ","")," ","")),"氏名がマスタと相違／","")&amp;IF(AND($Q1481&lt;&gt;"",INDEX(職員マスタ!$E$6:$E$405,$AP1481)&lt;&gt;"",$Q1481&lt;&gt;INDEX(職員マスタ!$E$6:$E$405,$AP1481)),"子の生年月日がマスタと相違／","")&amp;IF(AND($L1481&lt;&gt;"",INDEX(職員マスタ!$G$6:$G$405,$AP1481)&lt;&gt;"",$L1481&lt;&gt;INDEX(職員マスタ!$G$6:$G$405,$AP1481)),"時短開始日がマスタと相違／","")&amp;IF(AND($M1481&lt;&gt;"",INDEX(職員マスタ!$H$6:$H$405,$AP1481)&lt;&gt;"",$M1481&lt;&gt;INDEX(職員マスタ!$H$6:$H$405,$AP1481)),"時短終了日がマスタと相違／","")))&amp;IF(AND($B1481&lt;&gt;"",$E1481=""),"報酬額が未入力／","")&amp;IF(N($U1481)&gt;0,"申請書に入力エラーが残っています／","")&amp;IF(AND($B1481&lt;&gt;"",$AQ1481&lt;&gt;""),IF(COUNTIFS($B$6:$B$3005,$B1481,$C$6:$C$3005,$C1481,$D$6:$D$3005,$D1481)&gt;1,"同じ月の請求が重複しています／",""),"")&amp;IF(AND(N($E1481)&gt;0,$AB1481&lt;&gt;"",$AB1481&lt;&gt;"×",$AE1481=0,$AD1481=""),"計算額が下限以下のため不支給／",""))</f>
        <v/>
      </c>
      <c r="AN1481" s="12" t="n"/>
      <c r="AO1481" s="14">
        <f>IF($AF1481="保留中",COUNTIF($AF$6:$AF1481,"保留中"),"")</f>
        <v/>
      </c>
      <c r="AP1481" s="14">
        <f>IF($AQ1481="","",IF(SUMPRODUCT(MAX((職員マスタ!$A$6:$A$405=$B1481)*(((職員マスタ!$G$6:$G$405="")+(職員マスタ!$G$6:$G$405&lt;=EOMONTH($AQ1481,0)))&gt;0)*(((職員マスタ!$H$6:$H$405="")+(職員マスタ!$H$6:$H$405&gt;=$AQ1481))&gt;0)*(ROW(職員マスタ!$A$6:$A$405)-5)))&gt;0,SUMPRODUCT(MAX((職員マスタ!$A$6:$A$405=$B1481)*(((職員マスタ!$G$6:$G$405="")+(職員マスタ!$G$6:$G$405&lt;=EOMONTH($AQ1481,0)))&gt;0)*(((職員マスタ!$H$6:$H$405="")+(職員マスタ!$H$6:$H$405&gt;=$AQ1481))&gt;0)*(ROW(職員マスタ!$A$6:$A$405)-5))),IFERROR(MATCH($B1481,職員マスタ!$A$6:$A$405,0),"")))</f>
        <v/>
      </c>
      <c r="AQ1481" s="16">
        <f>IF(OR($B1481="",$C1481="",$D1481=""),"",DATE($C1481+2018,$D1481,1))</f>
        <v/>
      </c>
    </row>
    <row r="1482">
      <c r="A1482" s="11" t="n"/>
      <c r="B1482" s="12" t="n"/>
      <c r="C1482" s="12" t="n"/>
      <c r="D1482" s="12" t="n"/>
      <c r="E1482" s="13" t="n"/>
      <c r="F1482" s="12" t="n"/>
      <c r="G1482" s="13" t="n"/>
      <c r="H1482" s="12" t="n"/>
      <c r="I1482" s="12" t="n"/>
      <c r="J1482" s="12" t="n"/>
      <c r="K1482" s="12" t="n"/>
      <c r="L1482" s="11" t="n"/>
      <c r="M1482" s="11" t="n"/>
      <c r="N1482" s="11" t="n"/>
      <c r="O1482" s="11" t="n"/>
      <c r="P1482" s="12" t="n"/>
      <c r="Q1482" s="11" t="n"/>
      <c r="R1482" s="12" t="n"/>
      <c r="S1482" s="11" t="n"/>
      <c r="T1482" s="12" t="n"/>
      <c r="U1482" s="12" t="n"/>
      <c r="V1482" s="12" t="n"/>
      <c r="W1482" s="13" t="n"/>
      <c r="X1482" s="14">
        <f>IF($AP1482="",IF($B1482="","",$H1482),IF(INDEX(職員マスタ!$B$6:$B$405,$AP1482)="",$H1482,INDEX(職員マスタ!$B$6:$B$405,$AP1482)))</f>
        <v/>
      </c>
      <c r="Y1482" s="14">
        <f>IF($AP1482="",IF($B1482="","",$R1482),IF(INDEX(職員マスタ!$C$6:$C$405,$AP1482)="",$R1482,INDEX(職員マスタ!$C$6:$C$405,$AP1482)))</f>
        <v/>
      </c>
      <c r="Z1482" s="14">
        <f>IF($AQ1482="","","R"&amp;$C1482&amp;"."&amp;$D1482)</f>
        <v/>
      </c>
      <c r="AA1482" s="15">
        <f>IF(IF($AP1482="",FALSE,INDEX(職員マスタ!$K$6:$K$405,$AP1482)&lt;&gt;""),INDEX(職員マスタ!$K$6:$K$405,$AP1482),IF(N($W1482)&gt;0,$W1482,""))</f>
        <v/>
      </c>
      <c r="AB1482" s="14">
        <f>IF(OR($E1482="",$AA1482=""),"",IF($E1482&gt;=$AA1482,"×",IF($E1482&gt;=$AA1482*設定!$C$5,"△","○")))</f>
        <v/>
      </c>
      <c r="AC1482" s="15">
        <f>IF($AB1482="","",IF($AB1482="×",0,IF($AB1482="○",ROUNDDOWN($E1482*設定!$C$4,0),ROUNDDOWN($E1482*ROUND((9*$AA1482-9*$E1482)/(10*$E1482),4),0))))</f>
        <v/>
      </c>
      <c r="AD1482" s="13" t="n"/>
      <c r="AE1482" s="15">
        <f>IF($B1482="","",IF($AD1482&lt;&gt;"",$AD1482,IF($AC1482="","",IF($AC1482&lt;=設定!$C$3,0,$AC1482))))</f>
        <v/>
      </c>
      <c r="AF1482" s="14">
        <f>IF($B1482="","",IF(AND($AG1482&lt;&gt;"",$AI1482="",$AL1482=""),"保留中",IF($AL1482&lt;&gt;"",IF(N($AE1482)&gt;0,"支給済","不支給"),IF($AE1482="","要確認",IF($AE1482=0,"不支給","未処理")))))</f>
        <v/>
      </c>
      <c r="AG1482" s="12" t="n"/>
      <c r="AH1482" s="11" t="n"/>
      <c r="AI1482" s="11" t="n"/>
      <c r="AJ1482" s="11" t="n"/>
      <c r="AK1482" s="14">
        <f>IF(AND($AF1482="保留中",$AH1482&lt;&gt;""),TODAY()-$AH1482,"")</f>
        <v/>
      </c>
      <c r="AL1482" s="12" t="n"/>
      <c r="AM1482" s="14">
        <f>IF($B1482="","",IF($AQ1482="","対象年月が未入力／","")&amp;IF($B1482="","",IF($AP1482="","職員マスタに未登録の職員番号／",IF($AA1482="","標準報酬月額が未登録／","")&amp;IF(AND($AQ1482&lt;&gt;"",OR(AND(INDEX(職員マスタ!$G$6:$G$405,$AP1482)&lt;&gt;"",INDEX(職員マスタ!$G$6:$G$405,$AP1482)&gt;EOMONTH($AQ1482,0)),AND(INDEX(職員マスタ!$H$6:$H$405,$AP1482)&lt;&gt;"",INDEX(職員マスタ!$H$6:$H$405,$AP1482)&lt;$AQ1482))),"対象月が時短期間外／","")&amp;IF(AND(INDEX(職員マスタ!$K$6:$K$405,$AP1482)&lt;&gt;"",N($W1482)&gt;0,INDEX(職員マスタ!$K$6:$K$405,$AP1482)&lt;&gt;$W1482),"標準報酬月額が申請書と相違（台帳"&amp;TEXT(INDEX(職員マスタ!$K$6:$K$405,$AP1482),"#,##0")&amp;"円／申請書"&amp;TEXT($W1482,"#,##0")&amp;"円）／","")&amp;IF(AND(INDEX(職員マスタ!$F$6:$F$405,$AP1482)&lt;&gt;"",$AQ1482&lt;&gt;"",INDEX(職員マスタ!$F$6:$F$405,$AP1482)&lt;$AQ1482),"対象月に子が2歳到達済／","")&amp;IF(AND($H1482&lt;&gt;"",INDEX(職員マスタ!$B$6:$B$405,$AP1482)&lt;&gt;"",SUBSTITUTE(SUBSTITUTE($H1482," ","")," ","")&lt;&gt;SUBSTITUTE(SUBSTITUTE(INDEX(職員マスタ!$B$6:$B$405,$AP1482)," ","")," ","")),"氏名がマスタと相違／","")&amp;IF(AND($Q1482&lt;&gt;"",INDEX(職員マスタ!$E$6:$E$405,$AP1482)&lt;&gt;"",$Q1482&lt;&gt;INDEX(職員マスタ!$E$6:$E$405,$AP1482)),"子の生年月日がマスタと相違／","")&amp;IF(AND($L1482&lt;&gt;"",INDEX(職員マスタ!$G$6:$G$405,$AP1482)&lt;&gt;"",$L1482&lt;&gt;INDEX(職員マスタ!$G$6:$G$405,$AP1482)),"時短開始日がマスタと相違／","")&amp;IF(AND($M1482&lt;&gt;"",INDEX(職員マスタ!$H$6:$H$405,$AP1482)&lt;&gt;"",$M1482&lt;&gt;INDEX(職員マスタ!$H$6:$H$405,$AP1482)),"時短終了日がマスタと相違／","")))&amp;IF(AND($B1482&lt;&gt;"",$E1482=""),"報酬額が未入力／","")&amp;IF(N($U1482)&gt;0,"申請書に入力エラーが残っています／","")&amp;IF(AND($B1482&lt;&gt;"",$AQ1482&lt;&gt;""),IF(COUNTIFS($B$6:$B$3005,$B1482,$C$6:$C$3005,$C1482,$D$6:$D$3005,$D1482)&gt;1,"同じ月の請求が重複しています／",""),"")&amp;IF(AND(N($E1482)&gt;0,$AB1482&lt;&gt;"",$AB1482&lt;&gt;"×",$AE1482=0,$AD1482=""),"計算額が下限以下のため不支給／",""))</f>
        <v/>
      </c>
      <c r="AN1482" s="12" t="n"/>
      <c r="AO1482" s="14">
        <f>IF($AF1482="保留中",COUNTIF($AF$6:$AF1482,"保留中"),"")</f>
        <v/>
      </c>
      <c r="AP1482" s="14">
        <f>IF($AQ1482="","",IF(SUMPRODUCT(MAX((職員マスタ!$A$6:$A$405=$B1482)*(((職員マスタ!$G$6:$G$405="")+(職員マスタ!$G$6:$G$405&lt;=EOMONTH($AQ1482,0)))&gt;0)*(((職員マスタ!$H$6:$H$405="")+(職員マスタ!$H$6:$H$405&gt;=$AQ1482))&gt;0)*(ROW(職員マスタ!$A$6:$A$405)-5)))&gt;0,SUMPRODUCT(MAX((職員マスタ!$A$6:$A$405=$B1482)*(((職員マスタ!$G$6:$G$405="")+(職員マスタ!$G$6:$G$405&lt;=EOMONTH($AQ1482,0)))&gt;0)*(((職員マスタ!$H$6:$H$405="")+(職員マスタ!$H$6:$H$405&gt;=$AQ1482))&gt;0)*(ROW(職員マスタ!$A$6:$A$405)-5))),IFERROR(MATCH($B1482,職員マスタ!$A$6:$A$405,0),"")))</f>
        <v/>
      </c>
      <c r="AQ1482" s="16">
        <f>IF(OR($B1482="",$C1482="",$D1482=""),"",DATE($C1482+2018,$D1482,1))</f>
        <v/>
      </c>
    </row>
    <row r="1483">
      <c r="A1483" s="11" t="n"/>
      <c r="B1483" s="12" t="n"/>
      <c r="C1483" s="12" t="n"/>
      <c r="D1483" s="12" t="n"/>
      <c r="E1483" s="13" t="n"/>
      <c r="F1483" s="12" t="n"/>
      <c r="G1483" s="13" t="n"/>
      <c r="H1483" s="12" t="n"/>
      <c r="I1483" s="12" t="n"/>
      <c r="J1483" s="12" t="n"/>
      <c r="K1483" s="12" t="n"/>
      <c r="L1483" s="11" t="n"/>
      <c r="M1483" s="11" t="n"/>
      <c r="N1483" s="11" t="n"/>
      <c r="O1483" s="11" t="n"/>
      <c r="P1483" s="12" t="n"/>
      <c r="Q1483" s="11" t="n"/>
      <c r="R1483" s="12" t="n"/>
      <c r="S1483" s="11" t="n"/>
      <c r="T1483" s="12" t="n"/>
      <c r="U1483" s="12" t="n"/>
      <c r="V1483" s="12" t="n"/>
      <c r="W1483" s="13" t="n"/>
      <c r="X1483" s="14">
        <f>IF($AP1483="",IF($B1483="","",$H1483),IF(INDEX(職員マスタ!$B$6:$B$405,$AP1483)="",$H1483,INDEX(職員マスタ!$B$6:$B$405,$AP1483)))</f>
        <v/>
      </c>
      <c r="Y1483" s="14">
        <f>IF($AP1483="",IF($B1483="","",$R1483),IF(INDEX(職員マスタ!$C$6:$C$405,$AP1483)="",$R1483,INDEX(職員マスタ!$C$6:$C$405,$AP1483)))</f>
        <v/>
      </c>
      <c r="Z1483" s="14">
        <f>IF($AQ1483="","","R"&amp;$C1483&amp;"."&amp;$D1483)</f>
        <v/>
      </c>
      <c r="AA1483" s="15">
        <f>IF(IF($AP1483="",FALSE,INDEX(職員マスタ!$K$6:$K$405,$AP1483)&lt;&gt;""),INDEX(職員マスタ!$K$6:$K$405,$AP1483),IF(N($W1483)&gt;0,$W1483,""))</f>
        <v/>
      </c>
      <c r="AB1483" s="14">
        <f>IF(OR($E1483="",$AA1483=""),"",IF($E1483&gt;=$AA1483,"×",IF($E1483&gt;=$AA1483*設定!$C$5,"△","○")))</f>
        <v/>
      </c>
      <c r="AC1483" s="15">
        <f>IF($AB1483="","",IF($AB1483="×",0,IF($AB1483="○",ROUNDDOWN($E1483*設定!$C$4,0),ROUNDDOWN($E1483*ROUND((9*$AA1483-9*$E1483)/(10*$E1483),4),0))))</f>
        <v/>
      </c>
      <c r="AD1483" s="13" t="n"/>
      <c r="AE1483" s="15">
        <f>IF($B1483="","",IF($AD1483&lt;&gt;"",$AD1483,IF($AC1483="","",IF($AC1483&lt;=設定!$C$3,0,$AC1483))))</f>
        <v/>
      </c>
      <c r="AF1483" s="14">
        <f>IF($B1483="","",IF(AND($AG1483&lt;&gt;"",$AI1483="",$AL1483=""),"保留中",IF($AL1483&lt;&gt;"",IF(N($AE1483)&gt;0,"支給済","不支給"),IF($AE1483="","要確認",IF($AE1483=0,"不支給","未処理")))))</f>
        <v/>
      </c>
      <c r="AG1483" s="12" t="n"/>
      <c r="AH1483" s="11" t="n"/>
      <c r="AI1483" s="11" t="n"/>
      <c r="AJ1483" s="11" t="n"/>
      <c r="AK1483" s="14">
        <f>IF(AND($AF1483="保留中",$AH1483&lt;&gt;""),TODAY()-$AH1483,"")</f>
        <v/>
      </c>
      <c r="AL1483" s="12" t="n"/>
      <c r="AM1483" s="14">
        <f>IF($B1483="","",IF($AQ1483="","対象年月が未入力／","")&amp;IF($B1483="","",IF($AP1483="","職員マスタに未登録の職員番号／",IF($AA1483="","標準報酬月額が未登録／","")&amp;IF(AND($AQ1483&lt;&gt;"",OR(AND(INDEX(職員マスタ!$G$6:$G$405,$AP1483)&lt;&gt;"",INDEX(職員マスタ!$G$6:$G$405,$AP1483)&gt;EOMONTH($AQ1483,0)),AND(INDEX(職員マスタ!$H$6:$H$405,$AP1483)&lt;&gt;"",INDEX(職員マスタ!$H$6:$H$405,$AP1483)&lt;$AQ1483))),"対象月が時短期間外／","")&amp;IF(AND(INDEX(職員マスタ!$K$6:$K$405,$AP1483)&lt;&gt;"",N($W1483)&gt;0,INDEX(職員マスタ!$K$6:$K$405,$AP1483)&lt;&gt;$W1483),"標準報酬月額が申請書と相違（台帳"&amp;TEXT(INDEX(職員マスタ!$K$6:$K$405,$AP1483),"#,##0")&amp;"円／申請書"&amp;TEXT($W1483,"#,##0")&amp;"円）／","")&amp;IF(AND(INDEX(職員マスタ!$F$6:$F$405,$AP1483)&lt;&gt;"",$AQ1483&lt;&gt;"",INDEX(職員マスタ!$F$6:$F$405,$AP1483)&lt;$AQ1483),"対象月に子が2歳到達済／","")&amp;IF(AND($H1483&lt;&gt;"",INDEX(職員マスタ!$B$6:$B$405,$AP1483)&lt;&gt;"",SUBSTITUTE(SUBSTITUTE($H1483," ","")," ","")&lt;&gt;SUBSTITUTE(SUBSTITUTE(INDEX(職員マスタ!$B$6:$B$405,$AP1483)," ","")," ","")),"氏名がマスタと相違／","")&amp;IF(AND($Q1483&lt;&gt;"",INDEX(職員マスタ!$E$6:$E$405,$AP1483)&lt;&gt;"",$Q1483&lt;&gt;INDEX(職員マスタ!$E$6:$E$405,$AP1483)),"子の生年月日がマスタと相違／","")&amp;IF(AND($L1483&lt;&gt;"",INDEX(職員マスタ!$G$6:$G$405,$AP1483)&lt;&gt;"",$L1483&lt;&gt;INDEX(職員マスタ!$G$6:$G$405,$AP1483)),"時短開始日がマスタと相違／","")&amp;IF(AND($M1483&lt;&gt;"",INDEX(職員マスタ!$H$6:$H$405,$AP1483)&lt;&gt;"",$M1483&lt;&gt;INDEX(職員マスタ!$H$6:$H$405,$AP1483)),"時短終了日がマスタと相違／","")))&amp;IF(AND($B1483&lt;&gt;"",$E1483=""),"報酬額が未入力／","")&amp;IF(N($U1483)&gt;0,"申請書に入力エラーが残っています／","")&amp;IF(AND($B1483&lt;&gt;"",$AQ1483&lt;&gt;""),IF(COUNTIFS($B$6:$B$3005,$B1483,$C$6:$C$3005,$C1483,$D$6:$D$3005,$D1483)&gt;1,"同じ月の請求が重複しています／",""),"")&amp;IF(AND(N($E1483)&gt;0,$AB1483&lt;&gt;"",$AB1483&lt;&gt;"×",$AE1483=0,$AD1483=""),"計算額が下限以下のため不支給／",""))</f>
        <v/>
      </c>
      <c r="AN1483" s="12" t="n"/>
      <c r="AO1483" s="14">
        <f>IF($AF1483="保留中",COUNTIF($AF$6:$AF1483,"保留中"),"")</f>
        <v/>
      </c>
      <c r="AP1483" s="14">
        <f>IF($AQ1483="","",IF(SUMPRODUCT(MAX((職員マスタ!$A$6:$A$405=$B1483)*(((職員マスタ!$G$6:$G$405="")+(職員マスタ!$G$6:$G$405&lt;=EOMONTH($AQ1483,0)))&gt;0)*(((職員マスタ!$H$6:$H$405="")+(職員マスタ!$H$6:$H$405&gt;=$AQ1483))&gt;0)*(ROW(職員マスタ!$A$6:$A$405)-5)))&gt;0,SUMPRODUCT(MAX((職員マスタ!$A$6:$A$405=$B1483)*(((職員マスタ!$G$6:$G$405="")+(職員マスタ!$G$6:$G$405&lt;=EOMONTH($AQ1483,0)))&gt;0)*(((職員マスタ!$H$6:$H$405="")+(職員マスタ!$H$6:$H$405&gt;=$AQ1483))&gt;0)*(ROW(職員マスタ!$A$6:$A$405)-5))),IFERROR(MATCH($B1483,職員マスタ!$A$6:$A$405,0),"")))</f>
        <v/>
      </c>
      <c r="AQ1483" s="16">
        <f>IF(OR($B1483="",$C1483="",$D1483=""),"",DATE($C1483+2018,$D1483,1))</f>
        <v/>
      </c>
    </row>
    <row r="1484">
      <c r="A1484" s="11" t="n"/>
      <c r="B1484" s="12" t="n"/>
      <c r="C1484" s="12" t="n"/>
      <c r="D1484" s="12" t="n"/>
      <c r="E1484" s="13" t="n"/>
      <c r="F1484" s="12" t="n"/>
      <c r="G1484" s="13" t="n"/>
      <c r="H1484" s="12" t="n"/>
      <c r="I1484" s="12" t="n"/>
      <c r="J1484" s="12" t="n"/>
      <c r="K1484" s="12" t="n"/>
      <c r="L1484" s="11" t="n"/>
      <c r="M1484" s="11" t="n"/>
      <c r="N1484" s="11" t="n"/>
      <c r="O1484" s="11" t="n"/>
      <c r="P1484" s="12" t="n"/>
      <c r="Q1484" s="11" t="n"/>
      <c r="R1484" s="12" t="n"/>
      <c r="S1484" s="11" t="n"/>
      <c r="T1484" s="12" t="n"/>
      <c r="U1484" s="12" t="n"/>
      <c r="V1484" s="12" t="n"/>
      <c r="W1484" s="13" t="n"/>
      <c r="X1484" s="14">
        <f>IF($AP1484="",IF($B1484="","",$H1484),IF(INDEX(職員マスタ!$B$6:$B$405,$AP1484)="",$H1484,INDEX(職員マスタ!$B$6:$B$405,$AP1484)))</f>
        <v/>
      </c>
      <c r="Y1484" s="14">
        <f>IF($AP1484="",IF($B1484="","",$R1484),IF(INDEX(職員マスタ!$C$6:$C$405,$AP1484)="",$R1484,INDEX(職員マスタ!$C$6:$C$405,$AP1484)))</f>
        <v/>
      </c>
      <c r="Z1484" s="14">
        <f>IF($AQ1484="","","R"&amp;$C1484&amp;"."&amp;$D1484)</f>
        <v/>
      </c>
      <c r="AA1484" s="15">
        <f>IF(IF($AP1484="",FALSE,INDEX(職員マスタ!$K$6:$K$405,$AP1484)&lt;&gt;""),INDEX(職員マスタ!$K$6:$K$405,$AP1484),IF(N($W1484)&gt;0,$W1484,""))</f>
        <v/>
      </c>
      <c r="AB1484" s="14">
        <f>IF(OR($E1484="",$AA1484=""),"",IF($E1484&gt;=$AA1484,"×",IF($E1484&gt;=$AA1484*設定!$C$5,"△","○")))</f>
        <v/>
      </c>
      <c r="AC1484" s="15">
        <f>IF($AB1484="","",IF($AB1484="×",0,IF($AB1484="○",ROUNDDOWN($E1484*設定!$C$4,0),ROUNDDOWN($E1484*ROUND((9*$AA1484-9*$E1484)/(10*$E1484),4),0))))</f>
        <v/>
      </c>
      <c r="AD1484" s="13" t="n"/>
      <c r="AE1484" s="15">
        <f>IF($B1484="","",IF($AD1484&lt;&gt;"",$AD1484,IF($AC1484="","",IF($AC1484&lt;=設定!$C$3,0,$AC1484))))</f>
        <v/>
      </c>
      <c r="AF1484" s="14">
        <f>IF($B1484="","",IF(AND($AG1484&lt;&gt;"",$AI1484="",$AL1484=""),"保留中",IF($AL1484&lt;&gt;"",IF(N($AE1484)&gt;0,"支給済","不支給"),IF($AE1484="","要確認",IF($AE1484=0,"不支給","未処理")))))</f>
        <v/>
      </c>
      <c r="AG1484" s="12" t="n"/>
      <c r="AH1484" s="11" t="n"/>
      <c r="AI1484" s="11" t="n"/>
      <c r="AJ1484" s="11" t="n"/>
      <c r="AK1484" s="14">
        <f>IF(AND($AF1484="保留中",$AH1484&lt;&gt;""),TODAY()-$AH1484,"")</f>
        <v/>
      </c>
      <c r="AL1484" s="12" t="n"/>
      <c r="AM1484" s="14">
        <f>IF($B1484="","",IF($AQ1484="","対象年月が未入力／","")&amp;IF($B1484="","",IF($AP1484="","職員マスタに未登録の職員番号／",IF($AA1484="","標準報酬月額が未登録／","")&amp;IF(AND($AQ1484&lt;&gt;"",OR(AND(INDEX(職員マスタ!$G$6:$G$405,$AP1484)&lt;&gt;"",INDEX(職員マスタ!$G$6:$G$405,$AP1484)&gt;EOMONTH($AQ1484,0)),AND(INDEX(職員マスタ!$H$6:$H$405,$AP1484)&lt;&gt;"",INDEX(職員マスタ!$H$6:$H$405,$AP1484)&lt;$AQ1484))),"対象月が時短期間外／","")&amp;IF(AND(INDEX(職員マスタ!$K$6:$K$405,$AP1484)&lt;&gt;"",N($W1484)&gt;0,INDEX(職員マスタ!$K$6:$K$405,$AP1484)&lt;&gt;$W1484),"標準報酬月額が申請書と相違（台帳"&amp;TEXT(INDEX(職員マスタ!$K$6:$K$405,$AP1484),"#,##0")&amp;"円／申請書"&amp;TEXT($W1484,"#,##0")&amp;"円）／","")&amp;IF(AND(INDEX(職員マスタ!$F$6:$F$405,$AP1484)&lt;&gt;"",$AQ1484&lt;&gt;"",INDEX(職員マスタ!$F$6:$F$405,$AP1484)&lt;$AQ1484),"対象月に子が2歳到達済／","")&amp;IF(AND($H1484&lt;&gt;"",INDEX(職員マスタ!$B$6:$B$405,$AP1484)&lt;&gt;"",SUBSTITUTE(SUBSTITUTE($H1484," ","")," ","")&lt;&gt;SUBSTITUTE(SUBSTITUTE(INDEX(職員マスタ!$B$6:$B$405,$AP1484)," ","")," ","")),"氏名がマスタと相違／","")&amp;IF(AND($Q1484&lt;&gt;"",INDEX(職員マスタ!$E$6:$E$405,$AP1484)&lt;&gt;"",$Q1484&lt;&gt;INDEX(職員マスタ!$E$6:$E$405,$AP1484)),"子の生年月日がマスタと相違／","")&amp;IF(AND($L1484&lt;&gt;"",INDEX(職員マスタ!$G$6:$G$405,$AP1484)&lt;&gt;"",$L1484&lt;&gt;INDEX(職員マスタ!$G$6:$G$405,$AP1484)),"時短開始日がマスタと相違／","")&amp;IF(AND($M1484&lt;&gt;"",INDEX(職員マスタ!$H$6:$H$405,$AP1484)&lt;&gt;"",$M1484&lt;&gt;INDEX(職員マスタ!$H$6:$H$405,$AP1484)),"時短終了日がマスタと相違／","")))&amp;IF(AND($B1484&lt;&gt;"",$E1484=""),"報酬額が未入力／","")&amp;IF(N($U1484)&gt;0,"申請書に入力エラーが残っています／","")&amp;IF(AND($B1484&lt;&gt;"",$AQ1484&lt;&gt;""),IF(COUNTIFS($B$6:$B$3005,$B1484,$C$6:$C$3005,$C1484,$D$6:$D$3005,$D1484)&gt;1,"同じ月の請求が重複しています／",""),"")&amp;IF(AND(N($E1484)&gt;0,$AB1484&lt;&gt;"",$AB1484&lt;&gt;"×",$AE1484=0,$AD1484=""),"計算額が下限以下のため不支給／",""))</f>
        <v/>
      </c>
      <c r="AN1484" s="12" t="n"/>
      <c r="AO1484" s="14">
        <f>IF($AF1484="保留中",COUNTIF($AF$6:$AF1484,"保留中"),"")</f>
        <v/>
      </c>
      <c r="AP1484" s="14">
        <f>IF($AQ1484="","",IF(SUMPRODUCT(MAX((職員マスタ!$A$6:$A$405=$B1484)*(((職員マスタ!$G$6:$G$405="")+(職員マスタ!$G$6:$G$405&lt;=EOMONTH($AQ1484,0)))&gt;0)*(((職員マスタ!$H$6:$H$405="")+(職員マスタ!$H$6:$H$405&gt;=$AQ1484))&gt;0)*(ROW(職員マスタ!$A$6:$A$405)-5)))&gt;0,SUMPRODUCT(MAX((職員マスタ!$A$6:$A$405=$B1484)*(((職員マスタ!$G$6:$G$405="")+(職員マスタ!$G$6:$G$405&lt;=EOMONTH($AQ1484,0)))&gt;0)*(((職員マスタ!$H$6:$H$405="")+(職員マスタ!$H$6:$H$405&gt;=$AQ1484))&gt;0)*(ROW(職員マスタ!$A$6:$A$405)-5))),IFERROR(MATCH($B1484,職員マスタ!$A$6:$A$405,0),"")))</f>
        <v/>
      </c>
      <c r="AQ1484" s="16">
        <f>IF(OR($B1484="",$C1484="",$D1484=""),"",DATE($C1484+2018,$D1484,1))</f>
        <v/>
      </c>
    </row>
    <row r="1485">
      <c r="A1485" s="11" t="n"/>
      <c r="B1485" s="12" t="n"/>
      <c r="C1485" s="12" t="n"/>
      <c r="D1485" s="12" t="n"/>
      <c r="E1485" s="13" t="n"/>
      <c r="F1485" s="12" t="n"/>
      <c r="G1485" s="13" t="n"/>
      <c r="H1485" s="12" t="n"/>
      <c r="I1485" s="12" t="n"/>
      <c r="J1485" s="12" t="n"/>
      <c r="K1485" s="12" t="n"/>
      <c r="L1485" s="11" t="n"/>
      <c r="M1485" s="11" t="n"/>
      <c r="N1485" s="11" t="n"/>
      <c r="O1485" s="11" t="n"/>
      <c r="P1485" s="12" t="n"/>
      <c r="Q1485" s="11" t="n"/>
      <c r="R1485" s="12" t="n"/>
      <c r="S1485" s="11" t="n"/>
      <c r="T1485" s="12" t="n"/>
      <c r="U1485" s="12" t="n"/>
      <c r="V1485" s="12" t="n"/>
      <c r="W1485" s="13" t="n"/>
      <c r="X1485" s="14">
        <f>IF($AP1485="",IF($B1485="","",$H1485),IF(INDEX(職員マスタ!$B$6:$B$405,$AP1485)="",$H1485,INDEX(職員マスタ!$B$6:$B$405,$AP1485)))</f>
        <v/>
      </c>
      <c r="Y1485" s="14">
        <f>IF($AP1485="",IF($B1485="","",$R1485),IF(INDEX(職員マスタ!$C$6:$C$405,$AP1485)="",$R1485,INDEX(職員マスタ!$C$6:$C$405,$AP1485)))</f>
        <v/>
      </c>
      <c r="Z1485" s="14">
        <f>IF($AQ1485="","","R"&amp;$C1485&amp;"."&amp;$D1485)</f>
        <v/>
      </c>
      <c r="AA1485" s="15">
        <f>IF(IF($AP1485="",FALSE,INDEX(職員マスタ!$K$6:$K$405,$AP1485)&lt;&gt;""),INDEX(職員マスタ!$K$6:$K$405,$AP1485),IF(N($W1485)&gt;0,$W1485,""))</f>
        <v/>
      </c>
      <c r="AB1485" s="14">
        <f>IF(OR($E1485="",$AA1485=""),"",IF($E1485&gt;=$AA1485,"×",IF($E1485&gt;=$AA1485*設定!$C$5,"△","○")))</f>
        <v/>
      </c>
      <c r="AC1485" s="15">
        <f>IF($AB1485="","",IF($AB1485="×",0,IF($AB1485="○",ROUNDDOWN($E1485*設定!$C$4,0),ROUNDDOWN($E1485*ROUND((9*$AA1485-9*$E1485)/(10*$E1485),4),0))))</f>
        <v/>
      </c>
      <c r="AD1485" s="13" t="n"/>
      <c r="AE1485" s="15">
        <f>IF($B1485="","",IF($AD1485&lt;&gt;"",$AD1485,IF($AC1485="","",IF($AC1485&lt;=設定!$C$3,0,$AC1485))))</f>
        <v/>
      </c>
      <c r="AF1485" s="14">
        <f>IF($B1485="","",IF(AND($AG1485&lt;&gt;"",$AI1485="",$AL1485=""),"保留中",IF($AL1485&lt;&gt;"",IF(N($AE1485)&gt;0,"支給済","不支給"),IF($AE1485="","要確認",IF($AE1485=0,"不支給","未処理")))))</f>
        <v/>
      </c>
      <c r="AG1485" s="12" t="n"/>
      <c r="AH1485" s="11" t="n"/>
      <c r="AI1485" s="11" t="n"/>
      <c r="AJ1485" s="11" t="n"/>
      <c r="AK1485" s="14">
        <f>IF(AND($AF1485="保留中",$AH1485&lt;&gt;""),TODAY()-$AH1485,"")</f>
        <v/>
      </c>
      <c r="AL1485" s="12" t="n"/>
      <c r="AM1485" s="14">
        <f>IF($B1485="","",IF($AQ1485="","対象年月が未入力／","")&amp;IF($B1485="","",IF($AP1485="","職員マスタに未登録の職員番号／",IF($AA1485="","標準報酬月額が未登録／","")&amp;IF(AND($AQ1485&lt;&gt;"",OR(AND(INDEX(職員マスタ!$G$6:$G$405,$AP1485)&lt;&gt;"",INDEX(職員マスタ!$G$6:$G$405,$AP1485)&gt;EOMONTH($AQ1485,0)),AND(INDEX(職員マスタ!$H$6:$H$405,$AP1485)&lt;&gt;"",INDEX(職員マスタ!$H$6:$H$405,$AP1485)&lt;$AQ1485))),"対象月が時短期間外／","")&amp;IF(AND(INDEX(職員マスタ!$K$6:$K$405,$AP1485)&lt;&gt;"",N($W1485)&gt;0,INDEX(職員マスタ!$K$6:$K$405,$AP1485)&lt;&gt;$W1485),"標準報酬月額が申請書と相違（台帳"&amp;TEXT(INDEX(職員マスタ!$K$6:$K$405,$AP1485),"#,##0")&amp;"円／申請書"&amp;TEXT($W1485,"#,##0")&amp;"円）／","")&amp;IF(AND(INDEX(職員マスタ!$F$6:$F$405,$AP1485)&lt;&gt;"",$AQ1485&lt;&gt;"",INDEX(職員マスタ!$F$6:$F$405,$AP1485)&lt;$AQ1485),"対象月に子が2歳到達済／","")&amp;IF(AND($H1485&lt;&gt;"",INDEX(職員マスタ!$B$6:$B$405,$AP1485)&lt;&gt;"",SUBSTITUTE(SUBSTITUTE($H1485," ","")," ","")&lt;&gt;SUBSTITUTE(SUBSTITUTE(INDEX(職員マスタ!$B$6:$B$405,$AP1485)," ","")," ","")),"氏名がマスタと相違／","")&amp;IF(AND($Q1485&lt;&gt;"",INDEX(職員マスタ!$E$6:$E$405,$AP1485)&lt;&gt;"",$Q1485&lt;&gt;INDEX(職員マスタ!$E$6:$E$405,$AP1485)),"子の生年月日がマスタと相違／","")&amp;IF(AND($L1485&lt;&gt;"",INDEX(職員マスタ!$G$6:$G$405,$AP1485)&lt;&gt;"",$L1485&lt;&gt;INDEX(職員マスタ!$G$6:$G$405,$AP1485)),"時短開始日がマスタと相違／","")&amp;IF(AND($M1485&lt;&gt;"",INDEX(職員マスタ!$H$6:$H$405,$AP1485)&lt;&gt;"",$M1485&lt;&gt;INDEX(職員マスタ!$H$6:$H$405,$AP1485)),"時短終了日がマスタと相違／","")))&amp;IF(AND($B1485&lt;&gt;"",$E1485=""),"報酬額が未入力／","")&amp;IF(N($U1485)&gt;0,"申請書に入力エラーが残っています／","")&amp;IF(AND($B1485&lt;&gt;"",$AQ1485&lt;&gt;""),IF(COUNTIFS($B$6:$B$3005,$B1485,$C$6:$C$3005,$C1485,$D$6:$D$3005,$D1485)&gt;1,"同じ月の請求が重複しています／",""),"")&amp;IF(AND(N($E1485)&gt;0,$AB1485&lt;&gt;"",$AB1485&lt;&gt;"×",$AE1485=0,$AD1485=""),"計算額が下限以下のため不支給／",""))</f>
        <v/>
      </c>
      <c r="AN1485" s="12" t="n"/>
      <c r="AO1485" s="14">
        <f>IF($AF1485="保留中",COUNTIF($AF$6:$AF1485,"保留中"),"")</f>
        <v/>
      </c>
      <c r="AP1485" s="14">
        <f>IF($AQ1485="","",IF(SUMPRODUCT(MAX((職員マスタ!$A$6:$A$405=$B1485)*(((職員マスタ!$G$6:$G$405="")+(職員マスタ!$G$6:$G$405&lt;=EOMONTH($AQ1485,0)))&gt;0)*(((職員マスタ!$H$6:$H$405="")+(職員マスタ!$H$6:$H$405&gt;=$AQ1485))&gt;0)*(ROW(職員マスタ!$A$6:$A$405)-5)))&gt;0,SUMPRODUCT(MAX((職員マスタ!$A$6:$A$405=$B1485)*(((職員マスタ!$G$6:$G$405="")+(職員マスタ!$G$6:$G$405&lt;=EOMONTH($AQ1485,0)))&gt;0)*(((職員マスタ!$H$6:$H$405="")+(職員マスタ!$H$6:$H$405&gt;=$AQ1485))&gt;0)*(ROW(職員マスタ!$A$6:$A$405)-5))),IFERROR(MATCH($B1485,職員マスタ!$A$6:$A$405,0),"")))</f>
        <v/>
      </c>
      <c r="AQ1485" s="16">
        <f>IF(OR($B1485="",$C1485="",$D1485=""),"",DATE($C1485+2018,$D1485,1))</f>
        <v/>
      </c>
    </row>
    <row r="1486">
      <c r="A1486" s="11" t="n"/>
      <c r="B1486" s="12" t="n"/>
      <c r="C1486" s="12" t="n"/>
      <c r="D1486" s="12" t="n"/>
      <c r="E1486" s="13" t="n"/>
      <c r="F1486" s="12" t="n"/>
      <c r="G1486" s="13" t="n"/>
      <c r="H1486" s="12" t="n"/>
      <c r="I1486" s="12" t="n"/>
      <c r="J1486" s="12" t="n"/>
      <c r="K1486" s="12" t="n"/>
      <c r="L1486" s="11" t="n"/>
      <c r="M1486" s="11" t="n"/>
      <c r="N1486" s="11" t="n"/>
      <c r="O1486" s="11" t="n"/>
      <c r="P1486" s="12" t="n"/>
      <c r="Q1486" s="11" t="n"/>
      <c r="R1486" s="12" t="n"/>
      <c r="S1486" s="11" t="n"/>
      <c r="T1486" s="12" t="n"/>
      <c r="U1486" s="12" t="n"/>
      <c r="V1486" s="12" t="n"/>
      <c r="W1486" s="13" t="n"/>
      <c r="X1486" s="14">
        <f>IF($AP1486="",IF($B1486="","",$H1486),IF(INDEX(職員マスタ!$B$6:$B$405,$AP1486)="",$H1486,INDEX(職員マスタ!$B$6:$B$405,$AP1486)))</f>
        <v/>
      </c>
      <c r="Y1486" s="14">
        <f>IF($AP1486="",IF($B1486="","",$R1486),IF(INDEX(職員マスタ!$C$6:$C$405,$AP1486)="",$R1486,INDEX(職員マスタ!$C$6:$C$405,$AP1486)))</f>
        <v/>
      </c>
      <c r="Z1486" s="14">
        <f>IF($AQ1486="","","R"&amp;$C1486&amp;"."&amp;$D1486)</f>
        <v/>
      </c>
      <c r="AA1486" s="15">
        <f>IF(IF($AP1486="",FALSE,INDEX(職員マスタ!$K$6:$K$405,$AP1486)&lt;&gt;""),INDEX(職員マスタ!$K$6:$K$405,$AP1486),IF(N($W1486)&gt;0,$W1486,""))</f>
        <v/>
      </c>
      <c r="AB1486" s="14">
        <f>IF(OR($E1486="",$AA1486=""),"",IF($E1486&gt;=$AA1486,"×",IF($E1486&gt;=$AA1486*設定!$C$5,"△","○")))</f>
        <v/>
      </c>
      <c r="AC1486" s="15">
        <f>IF($AB1486="","",IF($AB1486="×",0,IF($AB1486="○",ROUNDDOWN($E1486*設定!$C$4,0),ROUNDDOWN($E1486*ROUND((9*$AA1486-9*$E1486)/(10*$E1486),4),0))))</f>
        <v/>
      </c>
      <c r="AD1486" s="13" t="n"/>
      <c r="AE1486" s="15">
        <f>IF($B1486="","",IF($AD1486&lt;&gt;"",$AD1486,IF($AC1486="","",IF($AC1486&lt;=設定!$C$3,0,$AC1486))))</f>
        <v/>
      </c>
      <c r="AF1486" s="14">
        <f>IF($B1486="","",IF(AND($AG1486&lt;&gt;"",$AI1486="",$AL1486=""),"保留中",IF($AL1486&lt;&gt;"",IF(N($AE1486)&gt;0,"支給済","不支給"),IF($AE1486="","要確認",IF($AE1486=0,"不支給","未処理")))))</f>
        <v/>
      </c>
      <c r="AG1486" s="12" t="n"/>
      <c r="AH1486" s="11" t="n"/>
      <c r="AI1486" s="11" t="n"/>
      <c r="AJ1486" s="11" t="n"/>
      <c r="AK1486" s="14">
        <f>IF(AND($AF1486="保留中",$AH1486&lt;&gt;""),TODAY()-$AH1486,"")</f>
        <v/>
      </c>
      <c r="AL1486" s="12" t="n"/>
      <c r="AM1486" s="14">
        <f>IF($B1486="","",IF($AQ1486="","対象年月が未入力／","")&amp;IF($B1486="","",IF($AP1486="","職員マスタに未登録の職員番号／",IF($AA1486="","標準報酬月額が未登録／","")&amp;IF(AND($AQ1486&lt;&gt;"",OR(AND(INDEX(職員マスタ!$G$6:$G$405,$AP1486)&lt;&gt;"",INDEX(職員マスタ!$G$6:$G$405,$AP1486)&gt;EOMONTH($AQ1486,0)),AND(INDEX(職員マスタ!$H$6:$H$405,$AP1486)&lt;&gt;"",INDEX(職員マスタ!$H$6:$H$405,$AP1486)&lt;$AQ1486))),"対象月が時短期間外／","")&amp;IF(AND(INDEX(職員マスタ!$K$6:$K$405,$AP1486)&lt;&gt;"",N($W1486)&gt;0,INDEX(職員マスタ!$K$6:$K$405,$AP1486)&lt;&gt;$W1486),"標準報酬月額が申請書と相違（台帳"&amp;TEXT(INDEX(職員マスタ!$K$6:$K$405,$AP1486),"#,##0")&amp;"円／申請書"&amp;TEXT($W1486,"#,##0")&amp;"円）／","")&amp;IF(AND(INDEX(職員マスタ!$F$6:$F$405,$AP1486)&lt;&gt;"",$AQ1486&lt;&gt;"",INDEX(職員マスタ!$F$6:$F$405,$AP1486)&lt;$AQ1486),"対象月に子が2歳到達済／","")&amp;IF(AND($H1486&lt;&gt;"",INDEX(職員マスタ!$B$6:$B$405,$AP1486)&lt;&gt;"",SUBSTITUTE(SUBSTITUTE($H1486," ","")," ","")&lt;&gt;SUBSTITUTE(SUBSTITUTE(INDEX(職員マスタ!$B$6:$B$405,$AP1486)," ","")," ","")),"氏名がマスタと相違／","")&amp;IF(AND($Q1486&lt;&gt;"",INDEX(職員マスタ!$E$6:$E$405,$AP1486)&lt;&gt;"",$Q1486&lt;&gt;INDEX(職員マスタ!$E$6:$E$405,$AP1486)),"子の生年月日がマスタと相違／","")&amp;IF(AND($L1486&lt;&gt;"",INDEX(職員マスタ!$G$6:$G$405,$AP1486)&lt;&gt;"",$L1486&lt;&gt;INDEX(職員マスタ!$G$6:$G$405,$AP1486)),"時短開始日がマスタと相違／","")&amp;IF(AND($M1486&lt;&gt;"",INDEX(職員マスタ!$H$6:$H$405,$AP1486)&lt;&gt;"",$M1486&lt;&gt;INDEX(職員マスタ!$H$6:$H$405,$AP1486)),"時短終了日がマスタと相違／","")))&amp;IF(AND($B1486&lt;&gt;"",$E1486=""),"報酬額が未入力／","")&amp;IF(N($U1486)&gt;0,"申請書に入力エラーが残っています／","")&amp;IF(AND($B1486&lt;&gt;"",$AQ1486&lt;&gt;""),IF(COUNTIFS($B$6:$B$3005,$B1486,$C$6:$C$3005,$C1486,$D$6:$D$3005,$D1486)&gt;1,"同じ月の請求が重複しています／",""),"")&amp;IF(AND(N($E1486)&gt;0,$AB1486&lt;&gt;"",$AB1486&lt;&gt;"×",$AE1486=0,$AD1486=""),"計算額が下限以下のため不支給／",""))</f>
        <v/>
      </c>
      <c r="AN1486" s="12" t="n"/>
      <c r="AO1486" s="14">
        <f>IF($AF1486="保留中",COUNTIF($AF$6:$AF1486,"保留中"),"")</f>
        <v/>
      </c>
      <c r="AP1486" s="14">
        <f>IF($AQ1486="","",IF(SUMPRODUCT(MAX((職員マスタ!$A$6:$A$405=$B1486)*(((職員マスタ!$G$6:$G$405="")+(職員マスタ!$G$6:$G$405&lt;=EOMONTH($AQ1486,0)))&gt;0)*(((職員マスタ!$H$6:$H$405="")+(職員マスタ!$H$6:$H$405&gt;=$AQ1486))&gt;0)*(ROW(職員マスタ!$A$6:$A$405)-5)))&gt;0,SUMPRODUCT(MAX((職員マスタ!$A$6:$A$405=$B1486)*(((職員マスタ!$G$6:$G$405="")+(職員マスタ!$G$6:$G$405&lt;=EOMONTH($AQ1486,0)))&gt;0)*(((職員マスタ!$H$6:$H$405="")+(職員マスタ!$H$6:$H$405&gt;=$AQ1486))&gt;0)*(ROW(職員マスタ!$A$6:$A$405)-5))),IFERROR(MATCH($B1486,職員マスタ!$A$6:$A$405,0),"")))</f>
        <v/>
      </c>
      <c r="AQ1486" s="16">
        <f>IF(OR($B1486="",$C1486="",$D1486=""),"",DATE($C1486+2018,$D1486,1))</f>
        <v/>
      </c>
    </row>
    <row r="1487">
      <c r="A1487" s="11" t="n"/>
      <c r="B1487" s="12" t="n"/>
      <c r="C1487" s="12" t="n"/>
      <c r="D1487" s="12" t="n"/>
      <c r="E1487" s="13" t="n"/>
      <c r="F1487" s="12" t="n"/>
      <c r="G1487" s="13" t="n"/>
      <c r="H1487" s="12" t="n"/>
      <c r="I1487" s="12" t="n"/>
      <c r="J1487" s="12" t="n"/>
      <c r="K1487" s="12" t="n"/>
      <c r="L1487" s="11" t="n"/>
      <c r="M1487" s="11" t="n"/>
      <c r="N1487" s="11" t="n"/>
      <c r="O1487" s="11" t="n"/>
      <c r="P1487" s="12" t="n"/>
      <c r="Q1487" s="11" t="n"/>
      <c r="R1487" s="12" t="n"/>
      <c r="S1487" s="11" t="n"/>
      <c r="T1487" s="12" t="n"/>
      <c r="U1487" s="12" t="n"/>
      <c r="V1487" s="12" t="n"/>
      <c r="W1487" s="13" t="n"/>
      <c r="X1487" s="14">
        <f>IF($AP1487="",IF($B1487="","",$H1487),IF(INDEX(職員マスタ!$B$6:$B$405,$AP1487)="",$H1487,INDEX(職員マスタ!$B$6:$B$405,$AP1487)))</f>
        <v/>
      </c>
      <c r="Y1487" s="14">
        <f>IF($AP1487="",IF($B1487="","",$R1487),IF(INDEX(職員マスタ!$C$6:$C$405,$AP1487)="",$R1487,INDEX(職員マスタ!$C$6:$C$405,$AP1487)))</f>
        <v/>
      </c>
      <c r="Z1487" s="14">
        <f>IF($AQ1487="","","R"&amp;$C1487&amp;"."&amp;$D1487)</f>
        <v/>
      </c>
      <c r="AA1487" s="15">
        <f>IF(IF($AP1487="",FALSE,INDEX(職員マスタ!$K$6:$K$405,$AP1487)&lt;&gt;""),INDEX(職員マスタ!$K$6:$K$405,$AP1487),IF(N($W1487)&gt;0,$W1487,""))</f>
        <v/>
      </c>
      <c r="AB1487" s="14">
        <f>IF(OR($E1487="",$AA1487=""),"",IF($E1487&gt;=$AA1487,"×",IF($E1487&gt;=$AA1487*設定!$C$5,"△","○")))</f>
        <v/>
      </c>
      <c r="AC1487" s="15">
        <f>IF($AB1487="","",IF($AB1487="×",0,IF($AB1487="○",ROUNDDOWN($E1487*設定!$C$4,0),ROUNDDOWN($E1487*ROUND((9*$AA1487-9*$E1487)/(10*$E1487),4),0))))</f>
        <v/>
      </c>
      <c r="AD1487" s="13" t="n"/>
      <c r="AE1487" s="15">
        <f>IF($B1487="","",IF($AD1487&lt;&gt;"",$AD1487,IF($AC1487="","",IF($AC1487&lt;=設定!$C$3,0,$AC1487))))</f>
        <v/>
      </c>
      <c r="AF1487" s="14">
        <f>IF($B1487="","",IF(AND($AG1487&lt;&gt;"",$AI1487="",$AL1487=""),"保留中",IF($AL1487&lt;&gt;"",IF(N($AE1487)&gt;0,"支給済","不支給"),IF($AE1487="","要確認",IF($AE1487=0,"不支給","未処理")))))</f>
        <v/>
      </c>
      <c r="AG1487" s="12" t="n"/>
      <c r="AH1487" s="11" t="n"/>
      <c r="AI1487" s="11" t="n"/>
      <c r="AJ1487" s="11" t="n"/>
      <c r="AK1487" s="14">
        <f>IF(AND($AF1487="保留中",$AH1487&lt;&gt;""),TODAY()-$AH1487,"")</f>
        <v/>
      </c>
      <c r="AL1487" s="12" t="n"/>
      <c r="AM1487" s="14">
        <f>IF($B1487="","",IF($AQ1487="","対象年月が未入力／","")&amp;IF($B1487="","",IF($AP1487="","職員マスタに未登録の職員番号／",IF($AA1487="","標準報酬月額が未登録／","")&amp;IF(AND($AQ1487&lt;&gt;"",OR(AND(INDEX(職員マスタ!$G$6:$G$405,$AP1487)&lt;&gt;"",INDEX(職員マスタ!$G$6:$G$405,$AP1487)&gt;EOMONTH($AQ1487,0)),AND(INDEX(職員マスタ!$H$6:$H$405,$AP1487)&lt;&gt;"",INDEX(職員マスタ!$H$6:$H$405,$AP1487)&lt;$AQ1487))),"対象月が時短期間外／","")&amp;IF(AND(INDEX(職員マスタ!$K$6:$K$405,$AP1487)&lt;&gt;"",N($W1487)&gt;0,INDEX(職員マスタ!$K$6:$K$405,$AP1487)&lt;&gt;$W1487),"標準報酬月額が申請書と相違（台帳"&amp;TEXT(INDEX(職員マスタ!$K$6:$K$405,$AP1487),"#,##0")&amp;"円／申請書"&amp;TEXT($W1487,"#,##0")&amp;"円）／","")&amp;IF(AND(INDEX(職員マスタ!$F$6:$F$405,$AP1487)&lt;&gt;"",$AQ1487&lt;&gt;"",INDEX(職員マスタ!$F$6:$F$405,$AP1487)&lt;$AQ1487),"対象月に子が2歳到達済／","")&amp;IF(AND($H1487&lt;&gt;"",INDEX(職員マスタ!$B$6:$B$405,$AP1487)&lt;&gt;"",SUBSTITUTE(SUBSTITUTE($H1487," ","")," ","")&lt;&gt;SUBSTITUTE(SUBSTITUTE(INDEX(職員マスタ!$B$6:$B$405,$AP1487)," ","")," ","")),"氏名がマスタと相違／","")&amp;IF(AND($Q1487&lt;&gt;"",INDEX(職員マスタ!$E$6:$E$405,$AP1487)&lt;&gt;"",$Q1487&lt;&gt;INDEX(職員マスタ!$E$6:$E$405,$AP1487)),"子の生年月日がマスタと相違／","")&amp;IF(AND($L1487&lt;&gt;"",INDEX(職員マスタ!$G$6:$G$405,$AP1487)&lt;&gt;"",$L1487&lt;&gt;INDEX(職員マスタ!$G$6:$G$405,$AP1487)),"時短開始日がマスタと相違／","")&amp;IF(AND($M1487&lt;&gt;"",INDEX(職員マスタ!$H$6:$H$405,$AP1487)&lt;&gt;"",$M1487&lt;&gt;INDEX(職員マスタ!$H$6:$H$405,$AP1487)),"時短終了日がマスタと相違／","")))&amp;IF(AND($B1487&lt;&gt;"",$E1487=""),"報酬額が未入力／","")&amp;IF(N($U1487)&gt;0,"申請書に入力エラーが残っています／","")&amp;IF(AND($B1487&lt;&gt;"",$AQ1487&lt;&gt;""),IF(COUNTIFS($B$6:$B$3005,$B1487,$C$6:$C$3005,$C1487,$D$6:$D$3005,$D1487)&gt;1,"同じ月の請求が重複しています／",""),"")&amp;IF(AND(N($E1487)&gt;0,$AB1487&lt;&gt;"",$AB1487&lt;&gt;"×",$AE1487=0,$AD1487=""),"計算額が下限以下のため不支給／",""))</f>
        <v/>
      </c>
      <c r="AN1487" s="12" t="n"/>
      <c r="AO1487" s="14">
        <f>IF($AF1487="保留中",COUNTIF($AF$6:$AF1487,"保留中"),"")</f>
        <v/>
      </c>
      <c r="AP1487" s="14">
        <f>IF($AQ1487="","",IF(SUMPRODUCT(MAX((職員マスタ!$A$6:$A$405=$B1487)*(((職員マスタ!$G$6:$G$405="")+(職員マスタ!$G$6:$G$405&lt;=EOMONTH($AQ1487,0)))&gt;0)*(((職員マスタ!$H$6:$H$405="")+(職員マスタ!$H$6:$H$405&gt;=$AQ1487))&gt;0)*(ROW(職員マスタ!$A$6:$A$405)-5)))&gt;0,SUMPRODUCT(MAX((職員マスタ!$A$6:$A$405=$B1487)*(((職員マスタ!$G$6:$G$405="")+(職員マスタ!$G$6:$G$405&lt;=EOMONTH($AQ1487,0)))&gt;0)*(((職員マスタ!$H$6:$H$405="")+(職員マスタ!$H$6:$H$405&gt;=$AQ1487))&gt;0)*(ROW(職員マスタ!$A$6:$A$405)-5))),IFERROR(MATCH($B1487,職員マスタ!$A$6:$A$405,0),"")))</f>
        <v/>
      </c>
      <c r="AQ1487" s="16">
        <f>IF(OR($B1487="",$C1487="",$D1487=""),"",DATE($C1487+2018,$D1487,1))</f>
        <v/>
      </c>
    </row>
    <row r="1488">
      <c r="A1488" s="11" t="n"/>
      <c r="B1488" s="12" t="n"/>
      <c r="C1488" s="12" t="n"/>
      <c r="D1488" s="12" t="n"/>
      <c r="E1488" s="13" t="n"/>
      <c r="F1488" s="12" t="n"/>
      <c r="G1488" s="13" t="n"/>
      <c r="H1488" s="12" t="n"/>
      <c r="I1488" s="12" t="n"/>
      <c r="J1488" s="12" t="n"/>
      <c r="K1488" s="12" t="n"/>
      <c r="L1488" s="11" t="n"/>
      <c r="M1488" s="11" t="n"/>
      <c r="N1488" s="11" t="n"/>
      <c r="O1488" s="11" t="n"/>
      <c r="P1488" s="12" t="n"/>
      <c r="Q1488" s="11" t="n"/>
      <c r="R1488" s="12" t="n"/>
      <c r="S1488" s="11" t="n"/>
      <c r="T1488" s="12" t="n"/>
      <c r="U1488" s="12" t="n"/>
      <c r="V1488" s="12" t="n"/>
      <c r="W1488" s="13" t="n"/>
      <c r="X1488" s="14">
        <f>IF($AP1488="",IF($B1488="","",$H1488),IF(INDEX(職員マスタ!$B$6:$B$405,$AP1488)="",$H1488,INDEX(職員マスタ!$B$6:$B$405,$AP1488)))</f>
        <v/>
      </c>
      <c r="Y1488" s="14">
        <f>IF($AP1488="",IF($B1488="","",$R1488),IF(INDEX(職員マスタ!$C$6:$C$405,$AP1488)="",$R1488,INDEX(職員マスタ!$C$6:$C$405,$AP1488)))</f>
        <v/>
      </c>
      <c r="Z1488" s="14">
        <f>IF($AQ1488="","","R"&amp;$C1488&amp;"."&amp;$D1488)</f>
        <v/>
      </c>
      <c r="AA1488" s="15">
        <f>IF(IF($AP1488="",FALSE,INDEX(職員マスタ!$K$6:$K$405,$AP1488)&lt;&gt;""),INDEX(職員マスタ!$K$6:$K$405,$AP1488),IF(N($W1488)&gt;0,$W1488,""))</f>
        <v/>
      </c>
      <c r="AB1488" s="14">
        <f>IF(OR($E1488="",$AA1488=""),"",IF($E1488&gt;=$AA1488,"×",IF($E1488&gt;=$AA1488*設定!$C$5,"△","○")))</f>
        <v/>
      </c>
      <c r="AC1488" s="15">
        <f>IF($AB1488="","",IF($AB1488="×",0,IF($AB1488="○",ROUNDDOWN($E1488*設定!$C$4,0),ROUNDDOWN($E1488*ROUND((9*$AA1488-9*$E1488)/(10*$E1488),4),0))))</f>
        <v/>
      </c>
      <c r="AD1488" s="13" t="n"/>
      <c r="AE1488" s="15">
        <f>IF($B1488="","",IF($AD1488&lt;&gt;"",$AD1488,IF($AC1488="","",IF($AC1488&lt;=設定!$C$3,0,$AC1488))))</f>
        <v/>
      </c>
      <c r="AF1488" s="14">
        <f>IF($B1488="","",IF(AND($AG1488&lt;&gt;"",$AI1488="",$AL1488=""),"保留中",IF($AL1488&lt;&gt;"",IF(N($AE1488)&gt;0,"支給済","不支給"),IF($AE1488="","要確認",IF($AE1488=0,"不支給","未処理")))))</f>
        <v/>
      </c>
      <c r="AG1488" s="12" t="n"/>
      <c r="AH1488" s="11" t="n"/>
      <c r="AI1488" s="11" t="n"/>
      <c r="AJ1488" s="11" t="n"/>
      <c r="AK1488" s="14">
        <f>IF(AND($AF1488="保留中",$AH1488&lt;&gt;""),TODAY()-$AH1488,"")</f>
        <v/>
      </c>
      <c r="AL1488" s="12" t="n"/>
      <c r="AM1488" s="14">
        <f>IF($B1488="","",IF($AQ1488="","対象年月が未入力／","")&amp;IF($B1488="","",IF($AP1488="","職員マスタに未登録の職員番号／",IF($AA1488="","標準報酬月額が未登録／","")&amp;IF(AND($AQ1488&lt;&gt;"",OR(AND(INDEX(職員マスタ!$G$6:$G$405,$AP1488)&lt;&gt;"",INDEX(職員マスタ!$G$6:$G$405,$AP1488)&gt;EOMONTH($AQ1488,0)),AND(INDEX(職員マスタ!$H$6:$H$405,$AP1488)&lt;&gt;"",INDEX(職員マスタ!$H$6:$H$405,$AP1488)&lt;$AQ1488))),"対象月が時短期間外／","")&amp;IF(AND(INDEX(職員マスタ!$K$6:$K$405,$AP1488)&lt;&gt;"",N($W1488)&gt;0,INDEX(職員マスタ!$K$6:$K$405,$AP1488)&lt;&gt;$W1488),"標準報酬月額が申請書と相違（台帳"&amp;TEXT(INDEX(職員マスタ!$K$6:$K$405,$AP1488),"#,##0")&amp;"円／申請書"&amp;TEXT($W1488,"#,##0")&amp;"円）／","")&amp;IF(AND(INDEX(職員マスタ!$F$6:$F$405,$AP1488)&lt;&gt;"",$AQ1488&lt;&gt;"",INDEX(職員マスタ!$F$6:$F$405,$AP1488)&lt;$AQ1488),"対象月に子が2歳到達済／","")&amp;IF(AND($H1488&lt;&gt;"",INDEX(職員マスタ!$B$6:$B$405,$AP1488)&lt;&gt;"",SUBSTITUTE(SUBSTITUTE($H1488," ","")," ","")&lt;&gt;SUBSTITUTE(SUBSTITUTE(INDEX(職員マスタ!$B$6:$B$405,$AP1488)," ","")," ","")),"氏名がマスタと相違／","")&amp;IF(AND($Q1488&lt;&gt;"",INDEX(職員マスタ!$E$6:$E$405,$AP1488)&lt;&gt;"",$Q1488&lt;&gt;INDEX(職員マスタ!$E$6:$E$405,$AP1488)),"子の生年月日がマスタと相違／","")&amp;IF(AND($L1488&lt;&gt;"",INDEX(職員マスタ!$G$6:$G$405,$AP1488)&lt;&gt;"",$L1488&lt;&gt;INDEX(職員マスタ!$G$6:$G$405,$AP1488)),"時短開始日がマスタと相違／","")&amp;IF(AND($M1488&lt;&gt;"",INDEX(職員マスタ!$H$6:$H$405,$AP1488)&lt;&gt;"",$M1488&lt;&gt;INDEX(職員マスタ!$H$6:$H$405,$AP1488)),"時短終了日がマスタと相違／","")))&amp;IF(AND($B1488&lt;&gt;"",$E1488=""),"報酬額が未入力／","")&amp;IF(N($U1488)&gt;0,"申請書に入力エラーが残っています／","")&amp;IF(AND($B1488&lt;&gt;"",$AQ1488&lt;&gt;""),IF(COUNTIFS($B$6:$B$3005,$B1488,$C$6:$C$3005,$C1488,$D$6:$D$3005,$D1488)&gt;1,"同じ月の請求が重複しています／",""),"")&amp;IF(AND(N($E1488)&gt;0,$AB1488&lt;&gt;"",$AB1488&lt;&gt;"×",$AE1488=0,$AD1488=""),"計算額が下限以下のため不支給／",""))</f>
        <v/>
      </c>
      <c r="AN1488" s="12" t="n"/>
      <c r="AO1488" s="14">
        <f>IF($AF1488="保留中",COUNTIF($AF$6:$AF1488,"保留中"),"")</f>
        <v/>
      </c>
      <c r="AP1488" s="14">
        <f>IF($AQ1488="","",IF(SUMPRODUCT(MAX((職員マスタ!$A$6:$A$405=$B1488)*(((職員マスタ!$G$6:$G$405="")+(職員マスタ!$G$6:$G$405&lt;=EOMONTH($AQ1488,0)))&gt;0)*(((職員マスタ!$H$6:$H$405="")+(職員マスタ!$H$6:$H$405&gt;=$AQ1488))&gt;0)*(ROW(職員マスタ!$A$6:$A$405)-5)))&gt;0,SUMPRODUCT(MAX((職員マスタ!$A$6:$A$405=$B1488)*(((職員マスタ!$G$6:$G$405="")+(職員マスタ!$G$6:$G$405&lt;=EOMONTH($AQ1488,0)))&gt;0)*(((職員マスタ!$H$6:$H$405="")+(職員マスタ!$H$6:$H$405&gt;=$AQ1488))&gt;0)*(ROW(職員マスタ!$A$6:$A$405)-5))),IFERROR(MATCH($B1488,職員マスタ!$A$6:$A$405,0),"")))</f>
        <v/>
      </c>
      <c r="AQ1488" s="16">
        <f>IF(OR($B1488="",$C1488="",$D1488=""),"",DATE($C1488+2018,$D1488,1))</f>
        <v/>
      </c>
    </row>
    <row r="1489">
      <c r="A1489" s="11" t="n"/>
      <c r="B1489" s="12" t="n"/>
      <c r="C1489" s="12" t="n"/>
      <c r="D1489" s="12" t="n"/>
      <c r="E1489" s="13" t="n"/>
      <c r="F1489" s="12" t="n"/>
      <c r="G1489" s="13" t="n"/>
      <c r="H1489" s="12" t="n"/>
      <c r="I1489" s="12" t="n"/>
      <c r="J1489" s="12" t="n"/>
      <c r="K1489" s="12" t="n"/>
      <c r="L1489" s="11" t="n"/>
      <c r="M1489" s="11" t="n"/>
      <c r="N1489" s="11" t="n"/>
      <c r="O1489" s="11" t="n"/>
      <c r="P1489" s="12" t="n"/>
      <c r="Q1489" s="11" t="n"/>
      <c r="R1489" s="12" t="n"/>
      <c r="S1489" s="11" t="n"/>
      <c r="T1489" s="12" t="n"/>
      <c r="U1489" s="12" t="n"/>
      <c r="V1489" s="12" t="n"/>
      <c r="W1489" s="13" t="n"/>
      <c r="X1489" s="14">
        <f>IF($AP1489="",IF($B1489="","",$H1489),IF(INDEX(職員マスタ!$B$6:$B$405,$AP1489)="",$H1489,INDEX(職員マスタ!$B$6:$B$405,$AP1489)))</f>
        <v/>
      </c>
      <c r="Y1489" s="14">
        <f>IF($AP1489="",IF($B1489="","",$R1489),IF(INDEX(職員マスタ!$C$6:$C$405,$AP1489)="",$R1489,INDEX(職員マスタ!$C$6:$C$405,$AP1489)))</f>
        <v/>
      </c>
      <c r="Z1489" s="14">
        <f>IF($AQ1489="","","R"&amp;$C1489&amp;"."&amp;$D1489)</f>
        <v/>
      </c>
      <c r="AA1489" s="15">
        <f>IF(IF($AP1489="",FALSE,INDEX(職員マスタ!$K$6:$K$405,$AP1489)&lt;&gt;""),INDEX(職員マスタ!$K$6:$K$405,$AP1489),IF(N($W1489)&gt;0,$W1489,""))</f>
        <v/>
      </c>
      <c r="AB1489" s="14">
        <f>IF(OR($E1489="",$AA1489=""),"",IF($E1489&gt;=$AA1489,"×",IF($E1489&gt;=$AA1489*設定!$C$5,"△","○")))</f>
        <v/>
      </c>
      <c r="AC1489" s="15">
        <f>IF($AB1489="","",IF($AB1489="×",0,IF($AB1489="○",ROUNDDOWN($E1489*設定!$C$4,0),ROUNDDOWN($E1489*ROUND((9*$AA1489-9*$E1489)/(10*$E1489),4),0))))</f>
        <v/>
      </c>
      <c r="AD1489" s="13" t="n"/>
      <c r="AE1489" s="15">
        <f>IF($B1489="","",IF($AD1489&lt;&gt;"",$AD1489,IF($AC1489="","",IF($AC1489&lt;=設定!$C$3,0,$AC1489))))</f>
        <v/>
      </c>
      <c r="AF1489" s="14">
        <f>IF($B1489="","",IF(AND($AG1489&lt;&gt;"",$AI1489="",$AL1489=""),"保留中",IF($AL1489&lt;&gt;"",IF(N($AE1489)&gt;0,"支給済","不支給"),IF($AE1489="","要確認",IF($AE1489=0,"不支給","未処理")))))</f>
        <v/>
      </c>
      <c r="AG1489" s="12" t="n"/>
      <c r="AH1489" s="11" t="n"/>
      <c r="AI1489" s="11" t="n"/>
      <c r="AJ1489" s="11" t="n"/>
      <c r="AK1489" s="14">
        <f>IF(AND($AF1489="保留中",$AH1489&lt;&gt;""),TODAY()-$AH1489,"")</f>
        <v/>
      </c>
      <c r="AL1489" s="12" t="n"/>
      <c r="AM1489" s="14">
        <f>IF($B1489="","",IF($AQ1489="","対象年月が未入力／","")&amp;IF($B1489="","",IF($AP1489="","職員マスタに未登録の職員番号／",IF($AA1489="","標準報酬月額が未登録／","")&amp;IF(AND($AQ1489&lt;&gt;"",OR(AND(INDEX(職員マスタ!$G$6:$G$405,$AP1489)&lt;&gt;"",INDEX(職員マスタ!$G$6:$G$405,$AP1489)&gt;EOMONTH($AQ1489,0)),AND(INDEX(職員マスタ!$H$6:$H$405,$AP1489)&lt;&gt;"",INDEX(職員マスタ!$H$6:$H$405,$AP1489)&lt;$AQ1489))),"対象月が時短期間外／","")&amp;IF(AND(INDEX(職員マスタ!$K$6:$K$405,$AP1489)&lt;&gt;"",N($W1489)&gt;0,INDEX(職員マスタ!$K$6:$K$405,$AP1489)&lt;&gt;$W1489),"標準報酬月額が申請書と相違（台帳"&amp;TEXT(INDEX(職員マスタ!$K$6:$K$405,$AP1489),"#,##0")&amp;"円／申請書"&amp;TEXT($W1489,"#,##0")&amp;"円）／","")&amp;IF(AND(INDEX(職員マスタ!$F$6:$F$405,$AP1489)&lt;&gt;"",$AQ1489&lt;&gt;"",INDEX(職員マスタ!$F$6:$F$405,$AP1489)&lt;$AQ1489),"対象月に子が2歳到達済／","")&amp;IF(AND($H1489&lt;&gt;"",INDEX(職員マスタ!$B$6:$B$405,$AP1489)&lt;&gt;"",SUBSTITUTE(SUBSTITUTE($H1489," ","")," ","")&lt;&gt;SUBSTITUTE(SUBSTITUTE(INDEX(職員マスタ!$B$6:$B$405,$AP1489)," ","")," ","")),"氏名がマスタと相違／","")&amp;IF(AND($Q1489&lt;&gt;"",INDEX(職員マスタ!$E$6:$E$405,$AP1489)&lt;&gt;"",$Q1489&lt;&gt;INDEX(職員マスタ!$E$6:$E$405,$AP1489)),"子の生年月日がマスタと相違／","")&amp;IF(AND($L1489&lt;&gt;"",INDEX(職員マスタ!$G$6:$G$405,$AP1489)&lt;&gt;"",$L1489&lt;&gt;INDEX(職員マスタ!$G$6:$G$405,$AP1489)),"時短開始日がマスタと相違／","")&amp;IF(AND($M1489&lt;&gt;"",INDEX(職員マスタ!$H$6:$H$405,$AP1489)&lt;&gt;"",$M1489&lt;&gt;INDEX(職員マスタ!$H$6:$H$405,$AP1489)),"時短終了日がマスタと相違／","")))&amp;IF(AND($B1489&lt;&gt;"",$E1489=""),"報酬額が未入力／","")&amp;IF(N($U1489)&gt;0,"申請書に入力エラーが残っています／","")&amp;IF(AND($B1489&lt;&gt;"",$AQ1489&lt;&gt;""),IF(COUNTIFS($B$6:$B$3005,$B1489,$C$6:$C$3005,$C1489,$D$6:$D$3005,$D1489)&gt;1,"同じ月の請求が重複しています／",""),"")&amp;IF(AND(N($E1489)&gt;0,$AB1489&lt;&gt;"",$AB1489&lt;&gt;"×",$AE1489=0,$AD1489=""),"計算額が下限以下のため不支給／",""))</f>
        <v/>
      </c>
      <c r="AN1489" s="12" t="n"/>
      <c r="AO1489" s="14">
        <f>IF($AF1489="保留中",COUNTIF($AF$6:$AF1489,"保留中"),"")</f>
        <v/>
      </c>
      <c r="AP1489" s="14">
        <f>IF($AQ1489="","",IF(SUMPRODUCT(MAX((職員マスタ!$A$6:$A$405=$B1489)*(((職員マスタ!$G$6:$G$405="")+(職員マスタ!$G$6:$G$405&lt;=EOMONTH($AQ1489,0)))&gt;0)*(((職員マスタ!$H$6:$H$405="")+(職員マスタ!$H$6:$H$405&gt;=$AQ1489))&gt;0)*(ROW(職員マスタ!$A$6:$A$405)-5)))&gt;0,SUMPRODUCT(MAX((職員マスタ!$A$6:$A$405=$B1489)*(((職員マスタ!$G$6:$G$405="")+(職員マスタ!$G$6:$G$405&lt;=EOMONTH($AQ1489,0)))&gt;0)*(((職員マスタ!$H$6:$H$405="")+(職員マスタ!$H$6:$H$405&gt;=$AQ1489))&gt;0)*(ROW(職員マスタ!$A$6:$A$405)-5))),IFERROR(MATCH($B1489,職員マスタ!$A$6:$A$405,0),"")))</f>
        <v/>
      </c>
      <c r="AQ1489" s="16">
        <f>IF(OR($B1489="",$C1489="",$D1489=""),"",DATE($C1489+2018,$D1489,1))</f>
        <v/>
      </c>
    </row>
    <row r="1490">
      <c r="A1490" s="11" t="n"/>
      <c r="B1490" s="12" t="n"/>
      <c r="C1490" s="12" t="n"/>
      <c r="D1490" s="12" t="n"/>
      <c r="E1490" s="13" t="n"/>
      <c r="F1490" s="12" t="n"/>
      <c r="G1490" s="13" t="n"/>
      <c r="H1490" s="12" t="n"/>
      <c r="I1490" s="12" t="n"/>
      <c r="J1490" s="12" t="n"/>
      <c r="K1490" s="12" t="n"/>
      <c r="L1490" s="11" t="n"/>
      <c r="M1490" s="11" t="n"/>
      <c r="N1490" s="11" t="n"/>
      <c r="O1490" s="11" t="n"/>
      <c r="P1490" s="12" t="n"/>
      <c r="Q1490" s="11" t="n"/>
      <c r="R1490" s="12" t="n"/>
      <c r="S1490" s="11" t="n"/>
      <c r="T1490" s="12" t="n"/>
      <c r="U1490" s="12" t="n"/>
      <c r="V1490" s="12" t="n"/>
      <c r="W1490" s="13" t="n"/>
      <c r="X1490" s="14">
        <f>IF($AP1490="",IF($B1490="","",$H1490),IF(INDEX(職員マスタ!$B$6:$B$405,$AP1490)="",$H1490,INDEX(職員マスタ!$B$6:$B$405,$AP1490)))</f>
        <v/>
      </c>
      <c r="Y1490" s="14">
        <f>IF($AP1490="",IF($B1490="","",$R1490),IF(INDEX(職員マスタ!$C$6:$C$405,$AP1490)="",$R1490,INDEX(職員マスタ!$C$6:$C$405,$AP1490)))</f>
        <v/>
      </c>
      <c r="Z1490" s="14">
        <f>IF($AQ1490="","","R"&amp;$C1490&amp;"."&amp;$D1490)</f>
        <v/>
      </c>
      <c r="AA1490" s="15">
        <f>IF(IF($AP1490="",FALSE,INDEX(職員マスタ!$K$6:$K$405,$AP1490)&lt;&gt;""),INDEX(職員マスタ!$K$6:$K$405,$AP1490),IF(N($W1490)&gt;0,$W1490,""))</f>
        <v/>
      </c>
      <c r="AB1490" s="14">
        <f>IF(OR($E1490="",$AA1490=""),"",IF($E1490&gt;=$AA1490,"×",IF($E1490&gt;=$AA1490*設定!$C$5,"△","○")))</f>
        <v/>
      </c>
      <c r="AC1490" s="15">
        <f>IF($AB1490="","",IF($AB1490="×",0,IF($AB1490="○",ROUNDDOWN($E1490*設定!$C$4,0),ROUNDDOWN($E1490*ROUND((9*$AA1490-9*$E1490)/(10*$E1490),4),0))))</f>
        <v/>
      </c>
      <c r="AD1490" s="13" t="n"/>
      <c r="AE1490" s="15">
        <f>IF($B1490="","",IF($AD1490&lt;&gt;"",$AD1490,IF($AC1490="","",IF($AC1490&lt;=設定!$C$3,0,$AC1490))))</f>
        <v/>
      </c>
      <c r="AF1490" s="14">
        <f>IF($B1490="","",IF(AND($AG1490&lt;&gt;"",$AI1490="",$AL1490=""),"保留中",IF($AL1490&lt;&gt;"",IF(N($AE1490)&gt;0,"支給済","不支給"),IF($AE1490="","要確認",IF($AE1490=0,"不支給","未処理")))))</f>
        <v/>
      </c>
      <c r="AG1490" s="12" t="n"/>
      <c r="AH1490" s="11" t="n"/>
      <c r="AI1490" s="11" t="n"/>
      <c r="AJ1490" s="11" t="n"/>
      <c r="AK1490" s="14">
        <f>IF(AND($AF1490="保留中",$AH1490&lt;&gt;""),TODAY()-$AH1490,"")</f>
        <v/>
      </c>
      <c r="AL1490" s="12" t="n"/>
      <c r="AM1490" s="14">
        <f>IF($B1490="","",IF($AQ1490="","対象年月が未入力／","")&amp;IF($B1490="","",IF($AP1490="","職員マスタに未登録の職員番号／",IF($AA1490="","標準報酬月額が未登録／","")&amp;IF(AND($AQ1490&lt;&gt;"",OR(AND(INDEX(職員マスタ!$G$6:$G$405,$AP1490)&lt;&gt;"",INDEX(職員マスタ!$G$6:$G$405,$AP1490)&gt;EOMONTH($AQ1490,0)),AND(INDEX(職員マスタ!$H$6:$H$405,$AP1490)&lt;&gt;"",INDEX(職員マスタ!$H$6:$H$405,$AP1490)&lt;$AQ1490))),"対象月が時短期間外／","")&amp;IF(AND(INDEX(職員マスタ!$K$6:$K$405,$AP1490)&lt;&gt;"",N($W1490)&gt;0,INDEX(職員マスタ!$K$6:$K$405,$AP1490)&lt;&gt;$W1490),"標準報酬月額が申請書と相違（台帳"&amp;TEXT(INDEX(職員マスタ!$K$6:$K$405,$AP1490),"#,##0")&amp;"円／申請書"&amp;TEXT($W1490,"#,##0")&amp;"円）／","")&amp;IF(AND(INDEX(職員マスタ!$F$6:$F$405,$AP1490)&lt;&gt;"",$AQ1490&lt;&gt;"",INDEX(職員マスタ!$F$6:$F$405,$AP1490)&lt;$AQ1490),"対象月に子が2歳到達済／","")&amp;IF(AND($H1490&lt;&gt;"",INDEX(職員マスタ!$B$6:$B$405,$AP1490)&lt;&gt;"",SUBSTITUTE(SUBSTITUTE($H1490," ","")," ","")&lt;&gt;SUBSTITUTE(SUBSTITUTE(INDEX(職員マスタ!$B$6:$B$405,$AP1490)," ","")," ","")),"氏名がマスタと相違／","")&amp;IF(AND($Q1490&lt;&gt;"",INDEX(職員マスタ!$E$6:$E$405,$AP1490)&lt;&gt;"",$Q1490&lt;&gt;INDEX(職員マスタ!$E$6:$E$405,$AP1490)),"子の生年月日がマスタと相違／","")&amp;IF(AND($L1490&lt;&gt;"",INDEX(職員マスタ!$G$6:$G$405,$AP1490)&lt;&gt;"",$L1490&lt;&gt;INDEX(職員マスタ!$G$6:$G$405,$AP1490)),"時短開始日がマスタと相違／","")&amp;IF(AND($M1490&lt;&gt;"",INDEX(職員マスタ!$H$6:$H$405,$AP1490)&lt;&gt;"",$M1490&lt;&gt;INDEX(職員マスタ!$H$6:$H$405,$AP1490)),"時短終了日がマスタと相違／","")))&amp;IF(AND($B1490&lt;&gt;"",$E1490=""),"報酬額が未入力／","")&amp;IF(N($U1490)&gt;0,"申請書に入力エラーが残っています／","")&amp;IF(AND($B1490&lt;&gt;"",$AQ1490&lt;&gt;""),IF(COUNTIFS($B$6:$B$3005,$B1490,$C$6:$C$3005,$C1490,$D$6:$D$3005,$D1490)&gt;1,"同じ月の請求が重複しています／",""),"")&amp;IF(AND(N($E1490)&gt;0,$AB1490&lt;&gt;"",$AB1490&lt;&gt;"×",$AE1490=0,$AD1490=""),"計算額が下限以下のため不支給／",""))</f>
        <v/>
      </c>
      <c r="AN1490" s="12" t="n"/>
      <c r="AO1490" s="14">
        <f>IF($AF1490="保留中",COUNTIF($AF$6:$AF1490,"保留中"),"")</f>
        <v/>
      </c>
      <c r="AP1490" s="14">
        <f>IF($AQ1490="","",IF(SUMPRODUCT(MAX((職員マスタ!$A$6:$A$405=$B1490)*(((職員マスタ!$G$6:$G$405="")+(職員マスタ!$G$6:$G$405&lt;=EOMONTH($AQ1490,0)))&gt;0)*(((職員マスタ!$H$6:$H$405="")+(職員マスタ!$H$6:$H$405&gt;=$AQ1490))&gt;0)*(ROW(職員マスタ!$A$6:$A$405)-5)))&gt;0,SUMPRODUCT(MAX((職員マスタ!$A$6:$A$405=$B1490)*(((職員マスタ!$G$6:$G$405="")+(職員マスタ!$G$6:$G$405&lt;=EOMONTH($AQ1490,0)))&gt;0)*(((職員マスタ!$H$6:$H$405="")+(職員マスタ!$H$6:$H$405&gt;=$AQ1490))&gt;0)*(ROW(職員マスタ!$A$6:$A$405)-5))),IFERROR(MATCH($B1490,職員マスタ!$A$6:$A$405,0),"")))</f>
        <v/>
      </c>
      <c r="AQ1490" s="16">
        <f>IF(OR($B1490="",$C1490="",$D1490=""),"",DATE($C1490+2018,$D1490,1))</f>
        <v/>
      </c>
    </row>
    <row r="1491">
      <c r="A1491" s="11" t="n"/>
      <c r="B1491" s="12" t="n"/>
      <c r="C1491" s="12" t="n"/>
      <c r="D1491" s="12" t="n"/>
      <c r="E1491" s="13" t="n"/>
      <c r="F1491" s="12" t="n"/>
      <c r="G1491" s="13" t="n"/>
      <c r="H1491" s="12" t="n"/>
      <c r="I1491" s="12" t="n"/>
      <c r="J1491" s="12" t="n"/>
      <c r="K1491" s="12" t="n"/>
      <c r="L1491" s="11" t="n"/>
      <c r="M1491" s="11" t="n"/>
      <c r="N1491" s="11" t="n"/>
      <c r="O1491" s="11" t="n"/>
      <c r="P1491" s="12" t="n"/>
      <c r="Q1491" s="11" t="n"/>
      <c r="R1491" s="12" t="n"/>
      <c r="S1491" s="11" t="n"/>
      <c r="T1491" s="12" t="n"/>
      <c r="U1491" s="12" t="n"/>
      <c r="V1491" s="12" t="n"/>
      <c r="W1491" s="13" t="n"/>
      <c r="X1491" s="14">
        <f>IF($AP1491="",IF($B1491="","",$H1491),IF(INDEX(職員マスタ!$B$6:$B$405,$AP1491)="",$H1491,INDEX(職員マスタ!$B$6:$B$405,$AP1491)))</f>
        <v/>
      </c>
      <c r="Y1491" s="14">
        <f>IF($AP1491="",IF($B1491="","",$R1491),IF(INDEX(職員マスタ!$C$6:$C$405,$AP1491)="",$R1491,INDEX(職員マスタ!$C$6:$C$405,$AP1491)))</f>
        <v/>
      </c>
      <c r="Z1491" s="14">
        <f>IF($AQ1491="","","R"&amp;$C1491&amp;"."&amp;$D1491)</f>
        <v/>
      </c>
      <c r="AA1491" s="15">
        <f>IF(IF($AP1491="",FALSE,INDEX(職員マスタ!$K$6:$K$405,$AP1491)&lt;&gt;""),INDEX(職員マスタ!$K$6:$K$405,$AP1491),IF(N($W1491)&gt;0,$W1491,""))</f>
        <v/>
      </c>
      <c r="AB1491" s="14">
        <f>IF(OR($E1491="",$AA1491=""),"",IF($E1491&gt;=$AA1491,"×",IF($E1491&gt;=$AA1491*設定!$C$5,"△","○")))</f>
        <v/>
      </c>
      <c r="AC1491" s="15">
        <f>IF($AB1491="","",IF($AB1491="×",0,IF($AB1491="○",ROUNDDOWN($E1491*設定!$C$4,0),ROUNDDOWN($E1491*ROUND((9*$AA1491-9*$E1491)/(10*$E1491),4),0))))</f>
        <v/>
      </c>
      <c r="AD1491" s="13" t="n"/>
      <c r="AE1491" s="15">
        <f>IF($B1491="","",IF($AD1491&lt;&gt;"",$AD1491,IF($AC1491="","",IF($AC1491&lt;=設定!$C$3,0,$AC1491))))</f>
        <v/>
      </c>
      <c r="AF1491" s="14">
        <f>IF($B1491="","",IF(AND($AG1491&lt;&gt;"",$AI1491="",$AL1491=""),"保留中",IF($AL1491&lt;&gt;"",IF(N($AE1491)&gt;0,"支給済","不支給"),IF($AE1491="","要確認",IF($AE1491=0,"不支給","未処理")))))</f>
        <v/>
      </c>
      <c r="AG1491" s="12" t="n"/>
      <c r="AH1491" s="11" t="n"/>
      <c r="AI1491" s="11" t="n"/>
      <c r="AJ1491" s="11" t="n"/>
      <c r="AK1491" s="14">
        <f>IF(AND($AF1491="保留中",$AH1491&lt;&gt;""),TODAY()-$AH1491,"")</f>
        <v/>
      </c>
      <c r="AL1491" s="12" t="n"/>
      <c r="AM1491" s="14">
        <f>IF($B1491="","",IF($AQ1491="","対象年月が未入力／","")&amp;IF($B1491="","",IF($AP1491="","職員マスタに未登録の職員番号／",IF($AA1491="","標準報酬月額が未登録／","")&amp;IF(AND($AQ1491&lt;&gt;"",OR(AND(INDEX(職員マスタ!$G$6:$G$405,$AP1491)&lt;&gt;"",INDEX(職員マスタ!$G$6:$G$405,$AP1491)&gt;EOMONTH($AQ1491,0)),AND(INDEX(職員マスタ!$H$6:$H$405,$AP1491)&lt;&gt;"",INDEX(職員マスタ!$H$6:$H$405,$AP1491)&lt;$AQ1491))),"対象月が時短期間外／","")&amp;IF(AND(INDEX(職員マスタ!$K$6:$K$405,$AP1491)&lt;&gt;"",N($W1491)&gt;0,INDEX(職員マスタ!$K$6:$K$405,$AP1491)&lt;&gt;$W1491),"標準報酬月額が申請書と相違（台帳"&amp;TEXT(INDEX(職員マスタ!$K$6:$K$405,$AP1491),"#,##0")&amp;"円／申請書"&amp;TEXT($W1491,"#,##0")&amp;"円）／","")&amp;IF(AND(INDEX(職員マスタ!$F$6:$F$405,$AP1491)&lt;&gt;"",$AQ1491&lt;&gt;"",INDEX(職員マスタ!$F$6:$F$405,$AP1491)&lt;$AQ1491),"対象月に子が2歳到達済／","")&amp;IF(AND($H1491&lt;&gt;"",INDEX(職員マスタ!$B$6:$B$405,$AP1491)&lt;&gt;"",SUBSTITUTE(SUBSTITUTE($H1491," ","")," ","")&lt;&gt;SUBSTITUTE(SUBSTITUTE(INDEX(職員マスタ!$B$6:$B$405,$AP1491)," ","")," ","")),"氏名がマスタと相違／","")&amp;IF(AND($Q1491&lt;&gt;"",INDEX(職員マスタ!$E$6:$E$405,$AP1491)&lt;&gt;"",$Q1491&lt;&gt;INDEX(職員マスタ!$E$6:$E$405,$AP1491)),"子の生年月日がマスタと相違／","")&amp;IF(AND($L1491&lt;&gt;"",INDEX(職員マスタ!$G$6:$G$405,$AP1491)&lt;&gt;"",$L1491&lt;&gt;INDEX(職員マスタ!$G$6:$G$405,$AP1491)),"時短開始日がマスタと相違／","")&amp;IF(AND($M1491&lt;&gt;"",INDEX(職員マスタ!$H$6:$H$405,$AP1491)&lt;&gt;"",$M1491&lt;&gt;INDEX(職員マスタ!$H$6:$H$405,$AP1491)),"時短終了日がマスタと相違／","")))&amp;IF(AND($B1491&lt;&gt;"",$E1491=""),"報酬額が未入力／","")&amp;IF(N($U1491)&gt;0,"申請書に入力エラーが残っています／","")&amp;IF(AND($B1491&lt;&gt;"",$AQ1491&lt;&gt;""),IF(COUNTIFS($B$6:$B$3005,$B1491,$C$6:$C$3005,$C1491,$D$6:$D$3005,$D1491)&gt;1,"同じ月の請求が重複しています／",""),"")&amp;IF(AND(N($E1491)&gt;0,$AB1491&lt;&gt;"",$AB1491&lt;&gt;"×",$AE1491=0,$AD1491=""),"計算額が下限以下のため不支給／",""))</f>
        <v/>
      </c>
      <c r="AN1491" s="12" t="n"/>
      <c r="AO1491" s="14">
        <f>IF($AF1491="保留中",COUNTIF($AF$6:$AF1491,"保留中"),"")</f>
        <v/>
      </c>
      <c r="AP1491" s="14">
        <f>IF($AQ1491="","",IF(SUMPRODUCT(MAX((職員マスタ!$A$6:$A$405=$B1491)*(((職員マスタ!$G$6:$G$405="")+(職員マスタ!$G$6:$G$405&lt;=EOMONTH($AQ1491,0)))&gt;0)*(((職員マスタ!$H$6:$H$405="")+(職員マスタ!$H$6:$H$405&gt;=$AQ1491))&gt;0)*(ROW(職員マスタ!$A$6:$A$405)-5)))&gt;0,SUMPRODUCT(MAX((職員マスタ!$A$6:$A$405=$B1491)*(((職員マスタ!$G$6:$G$405="")+(職員マスタ!$G$6:$G$405&lt;=EOMONTH($AQ1491,0)))&gt;0)*(((職員マスタ!$H$6:$H$405="")+(職員マスタ!$H$6:$H$405&gt;=$AQ1491))&gt;0)*(ROW(職員マスタ!$A$6:$A$405)-5))),IFERROR(MATCH($B1491,職員マスタ!$A$6:$A$405,0),"")))</f>
        <v/>
      </c>
      <c r="AQ1491" s="16">
        <f>IF(OR($B1491="",$C1491="",$D1491=""),"",DATE($C1491+2018,$D1491,1))</f>
        <v/>
      </c>
    </row>
    <row r="1492">
      <c r="A1492" s="11" t="n"/>
      <c r="B1492" s="12" t="n"/>
      <c r="C1492" s="12" t="n"/>
      <c r="D1492" s="12" t="n"/>
      <c r="E1492" s="13" t="n"/>
      <c r="F1492" s="12" t="n"/>
      <c r="G1492" s="13" t="n"/>
      <c r="H1492" s="12" t="n"/>
      <c r="I1492" s="12" t="n"/>
      <c r="J1492" s="12" t="n"/>
      <c r="K1492" s="12" t="n"/>
      <c r="L1492" s="11" t="n"/>
      <c r="M1492" s="11" t="n"/>
      <c r="N1492" s="11" t="n"/>
      <c r="O1492" s="11" t="n"/>
      <c r="P1492" s="12" t="n"/>
      <c r="Q1492" s="11" t="n"/>
      <c r="R1492" s="12" t="n"/>
      <c r="S1492" s="11" t="n"/>
      <c r="T1492" s="12" t="n"/>
      <c r="U1492" s="12" t="n"/>
      <c r="V1492" s="12" t="n"/>
      <c r="W1492" s="13" t="n"/>
      <c r="X1492" s="14">
        <f>IF($AP1492="",IF($B1492="","",$H1492),IF(INDEX(職員マスタ!$B$6:$B$405,$AP1492)="",$H1492,INDEX(職員マスタ!$B$6:$B$405,$AP1492)))</f>
        <v/>
      </c>
      <c r="Y1492" s="14">
        <f>IF($AP1492="",IF($B1492="","",$R1492),IF(INDEX(職員マスタ!$C$6:$C$405,$AP1492)="",$R1492,INDEX(職員マスタ!$C$6:$C$405,$AP1492)))</f>
        <v/>
      </c>
      <c r="Z1492" s="14">
        <f>IF($AQ1492="","","R"&amp;$C1492&amp;"."&amp;$D1492)</f>
        <v/>
      </c>
      <c r="AA1492" s="15">
        <f>IF(IF($AP1492="",FALSE,INDEX(職員マスタ!$K$6:$K$405,$AP1492)&lt;&gt;""),INDEX(職員マスタ!$K$6:$K$405,$AP1492),IF(N($W1492)&gt;0,$W1492,""))</f>
        <v/>
      </c>
      <c r="AB1492" s="14">
        <f>IF(OR($E1492="",$AA1492=""),"",IF($E1492&gt;=$AA1492,"×",IF($E1492&gt;=$AA1492*設定!$C$5,"△","○")))</f>
        <v/>
      </c>
      <c r="AC1492" s="15">
        <f>IF($AB1492="","",IF($AB1492="×",0,IF($AB1492="○",ROUNDDOWN($E1492*設定!$C$4,0),ROUNDDOWN($E1492*ROUND((9*$AA1492-9*$E1492)/(10*$E1492),4),0))))</f>
        <v/>
      </c>
      <c r="AD1492" s="13" t="n"/>
      <c r="AE1492" s="15">
        <f>IF($B1492="","",IF($AD1492&lt;&gt;"",$AD1492,IF($AC1492="","",IF($AC1492&lt;=設定!$C$3,0,$AC1492))))</f>
        <v/>
      </c>
      <c r="AF1492" s="14">
        <f>IF($B1492="","",IF(AND($AG1492&lt;&gt;"",$AI1492="",$AL1492=""),"保留中",IF($AL1492&lt;&gt;"",IF(N($AE1492)&gt;0,"支給済","不支給"),IF($AE1492="","要確認",IF($AE1492=0,"不支給","未処理")))))</f>
        <v/>
      </c>
      <c r="AG1492" s="12" t="n"/>
      <c r="AH1492" s="11" t="n"/>
      <c r="AI1492" s="11" t="n"/>
      <c r="AJ1492" s="11" t="n"/>
      <c r="AK1492" s="14">
        <f>IF(AND($AF1492="保留中",$AH1492&lt;&gt;""),TODAY()-$AH1492,"")</f>
        <v/>
      </c>
      <c r="AL1492" s="12" t="n"/>
      <c r="AM1492" s="14">
        <f>IF($B1492="","",IF($AQ1492="","対象年月が未入力／","")&amp;IF($B1492="","",IF($AP1492="","職員マスタに未登録の職員番号／",IF($AA1492="","標準報酬月額が未登録／","")&amp;IF(AND($AQ1492&lt;&gt;"",OR(AND(INDEX(職員マスタ!$G$6:$G$405,$AP1492)&lt;&gt;"",INDEX(職員マスタ!$G$6:$G$405,$AP1492)&gt;EOMONTH($AQ1492,0)),AND(INDEX(職員マスタ!$H$6:$H$405,$AP1492)&lt;&gt;"",INDEX(職員マスタ!$H$6:$H$405,$AP1492)&lt;$AQ1492))),"対象月が時短期間外／","")&amp;IF(AND(INDEX(職員マスタ!$K$6:$K$405,$AP1492)&lt;&gt;"",N($W1492)&gt;0,INDEX(職員マスタ!$K$6:$K$405,$AP1492)&lt;&gt;$W1492),"標準報酬月額が申請書と相違（台帳"&amp;TEXT(INDEX(職員マスタ!$K$6:$K$405,$AP1492),"#,##0")&amp;"円／申請書"&amp;TEXT($W1492,"#,##0")&amp;"円）／","")&amp;IF(AND(INDEX(職員マスタ!$F$6:$F$405,$AP1492)&lt;&gt;"",$AQ1492&lt;&gt;"",INDEX(職員マスタ!$F$6:$F$405,$AP1492)&lt;$AQ1492),"対象月に子が2歳到達済／","")&amp;IF(AND($H1492&lt;&gt;"",INDEX(職員マスタ!$B$6:$B$405,$AP1492)&lt;&gt;"",SUBSTITUTE(SUBSTITUTE($H1492," ","")," ","")&lt;&gt;SUBSTITUTE(SUBSTITUTE(INDEX(職員マスタ!$B$6:$B$405,$AP1492)," ","")," ","")),"氏名がマスタと相違／","")&amp;IF(AND($Q1492&lt;&gt;"",INDEX(職員マスタ!$E$6:$E$405,$AP1492)&lt;&gt;"",$Q1492&lt;&gt;INDEX(職員マスタ!$E$6:$E$405,$AP1492)),"子の生年月日がマスタと相違／","")&amp;IF(AND($L1492&lt;&gt;"",INDEX(職員マスタ!$G$6:$G$405,$AP1492)&lt;&gt;"",$L1492&lt;&gt;INDEX(職員マスタ!$G$6:$G$405,$AP1492)),"時短開始日がマスタと相違／","")&amp;IF(AND($M1492&lt;&gt;"",INDEX(職員マスタ!$H$6:$H$405,$AP1492)&lt;&gt;"",$M1492&lt;&gt;INDEX(職員マスタ!$H$6:$H$405,$AP1492)),"時短終了日がマスタと相違／","")))&amp;IF(AND($B1492&lt;&gt;"",$E1492=""),"報酬額が未入力／","")&amp;IF(N($U1492)&gt;0,"申請書に入力エラーが残っています／","")&amp;IF(AND($B1492&lt;&gt;"",$AQ1492&lt;&gt;""),IF(COUNTIFS($B$6:$B$3005,$B1492,$C$6:$C$3005,$C1492,$D$6:$D$3005,$D1492)&gt;1,"同じ月の請求が重複しています／",""),"")&amp;IF(AND(N($E1492)&gt;0,$AB1492&lt;&gt;"",$AB1492&lt;&gt;"×",$AE1492=0,$AD1492=""),"計算額が下限以下のため不支給／",""))</f>
        <v/>
      </c>
      <c r="AN1492" s="12" t="n"/>
      <c r="AO1492" s="14">
        <f>IF($AF1492="保留中",COUNTIF($AF$6:$AF1492,"保留中"),"")</f>
        <v/>
      </c>
      <c r="AP1492" s="14">
        <f>IF($AQ1492="","",IF(SUMPRODUCT(MAX((職員マスタ!$A$6:$A$405=$B1492)*(((職員マスタ!$G$6:$G$405="")+(職員マスタ!$G$6:$G$405&lt;=EOMONTH($AQ1492,0)))&gt;0)*(((職員マスタ!$H$6:$H$405="")+(職員マスタ!$H$6:$H$405&gt;=$AQ1492))&gt;0)*(ROW(職員マスタ!$A$6:$A$405)-5)))&gt;0,SUMPRODUCT(MAX((職員マスタ!$A$6:$A$405=$B1492)*(((職員マスタ!$G$6:$G$405="")+(職員マスタ!$G$6:$G$405&lt;=EOMONTH($AQ1492,0)))&gt;0)*(((職員マスタ!$H$6:$H$405="")+(職員マスタ!$H$6:$H$405&gt;=$AQ1492))&gt;0)*(ROW(職員マスタ!$A$6:$A$405)-5))),IFERROR(MATCH($B1492,職員マスタ!$A$6:$A$405,0),"")))</f>
        <v/>
      </c>
      <c r="AQ1492" s="16">
        <f>IF(OR($B1492="",$C1492="",$D1492=""),"",DATE($C1492+2018,$D1492,1))</f>
        <v/>
      </c>
    </row>
    <row r="1493">
      <c r="A1493" s="11" t="n"/>
      <c r="B1493" s="12" t="n"/>
      <c r="C1493" s="12" t="n"/>
      <c r="D1493" s="12" t="n"/>
      <c r="E1493" s="13" t="n"/>
      <c r="F1493" s="12" t="n"/>
      <c r="G1493" s="13" t="n"/>
      <c r="H1493" s="12" t="n"/>
      <c r="I1493" s="12" t="n"/>
      <c r="J1493" s="12" t="n"/>
      <c r="K1493" s="12" t="n"/>
      <c r="L1493" s="11" t="n"/>
      <c r="M1493" s="11" t="n"/>
      <c r="N1493" s="11" t="n"/>
      <c r="O1493" s="11" t="n"/>
      <c r="P1493" s="12" t="n"/>
      <c r="Q1493" s="11" t="n"/>
      <c r="R1493" s="12" t="n"/>
      <c r="S1493" s="11" t="n"/>
      <c r="T1493" s="12" t="n"/>
      <c r="U1493" s="12" t="n"/>
      <c r="V1493" s="12" t="n"/>
      <c r="W1493" s="13" t="n"/>
      <c r="X1493" s="14">
        <f>IF($AP1493="",IF($B1493="","",$H1493),IF(INDEX(職員マスタ!$B$6:$B$405,$AP1493)="",$H1493,INDEX(職員マスタ!$B$6:$B$405,$AP1493)))</f>
        <v/>
      </c>
      <c r="Y1493" s="14">
        <f>IF($AP1493="",IF($B1493="","",$R1493),IF(INDEX(職員マスタ!$C$6:$C$405,$AP1493)="",$R1493,INDEX(職員マスタ!$C$6:$C$405,$AP1493)))</f>
        <v/>
      </c>
      <c r="Z1493" s="14">
        <f>IF($AQ1493="","","R"&amp;$C1493&amp;"."&amp;$D1493)</f>
        <v/>
      </c>
      <c r="AA1493" s="15">
        <f>IF(IF($AP1493="",FALSE,INDEX(職員マスタ!$K$6:$K$405,$AP1493)&lt;&gt;""),INDEX(職員マスタ!$K$6:$K$405,$AP1493),IF(N($W1493)&gt;0,$W1493,""))</f>
        <v/>
      </c>
      <c r="AB1493" s="14">
        <f>IF(OR($E1493="",$AA1493=""),"",IF($E1493&gt;=$AA1493,"×",IF($E1493&gt;=$AA1493*設定!$C$5,"△","○")))</f>
        <v/>
      </c>
      <c r="AC1493" s="15">
        <f>IF($AB1493="","",IF($AB1493="×",0,IF($AB1493="○",ROUNDDOWN($E1493*設定!$C$4,0),ROUNDDOWN($E1493*ROUND((9*$AA1493-9*$E1493)/(10*$E1493),4),0))))</f>
        <v/>
      </c>
      <c r="AD1493" s="13" t="n"/>
      <c r="AE1493" s="15">
        <f>IF($B1493="","",IF($AD1493&lt;&gt;"",$AD1493,IF($AC1493="","",IF($AC1493&lt;=設定!$C$3,0,$AC1493))))</f>
        <v/>
      </c>
      <c r="AF1493" s="14">
        <f>IF($B1493="","",IF(AND($AG1493&lt;&gt;"",$AI1493="",$AL1493=""),"保留中",IF($AL1493&lt;&gt;"",IF(N($AE1493)&gt;0,"支給済","不支給"),IF($AE1493="","要確認",IF($AE1493=0,"不支給","未処理")))))</f>
        <v/>
      </c>
      <c r="AG1493" s="12" t="n"/>
      <c r="AH1493" s="11" t="n"/>
      <c r="AI1493" s="11" t="n"/>
      <c r="AJ1493" s="11" t="n"/>
      <c r="AK1493" s="14">
        <f>IF(AND($AF1493="保留中",$AH1493&lt;&gt;""),TODAY()-$AH1493,"")</f>
        <v/>
      </c>
      <c r="AL1493" s="12" t="n"/>
      <c r="AM1493" s="14">
        <f>IF($B1493="","",IF($AQ1493="","対象年月が未入力／","")&amp;IF($B1493="","",IF($AP1493="","職員マスタに未登録の職員番号／",IF($AA1493="","標準報酬月額が未登録／","")&amp;IF(AND($AQ1493&lt;&gt;"",OR(AND(INDEX(職員マスタ!$G$6:$G$405,$AP1493)&lt;&gt;"",INDEX(職員マスタ!$G$6:$G$405,$AP1493)&gt;EOMONTH($AQ1493,0)),AND(INDEX(職員マスタ!$H$6:$H$405,$AP1493)&lt;&gt;"",INDEX(職員マスタ!$H$6:$H$405,$AP1493)&lt;$AQ1493))),"対象月が時短期間外／","")&amp;IF(AND(INDEX(職員マスタ!$K$6:$K$405,$AP1493)&lt;&gt;"",N($W1493)&gt;0,INDEX(職員マスタ!$K$6:$K$405,$AP1493)&lt;&gt;$W1493),"標準報酬月額が申請書と相違（台帳"&amp;TEXT(INDEX(職員マスタ!$K$6:$K$405,$AP1493),"#,##0")&amp;"円／申請書"&amp;TEXT($W1493,"#,##0")&amp;"円）／","")&amp;IF(AND(INDEX(職員マスタ!$F$6:$F$405,$AP1493)&lt;&gt;"",$AQ1493&lt;&gt;"",INDEX(職員マスタ!$F$6:$F$405,$AP1493)&lt;$AQ1493),"対象月に子が2歳到達済／","")&amp;IF(AND($H1493&lt;&gt;"",INDEX(職員マスタ!$B$6:$B$405,$AP1493)&lt;&gt;"",SUBSTITUTE(SUBSTITUTE($H1493," ","")," ","")&lt;&gt;SUBSTITUTE(SUBSTITUTE(INDEX(職員マスタ!$B$6:$B$405,$AP1493)," ","")," ","")),"氏名がマスタと相違／","")&amp;IF(AND($Q1493&lt;&gt;"",INDEX(職員マスタ!$E$6:$E$405,$AP1493)&lt;&gt;"",$Q1493&lt;&gt;INDEX(職員マスタ!$E$6:$E$405,$AP1493)),"子の生年月日がマスタと相違／","")&amp;IF(AND($L1493&lt;&gt;"",INDEX(職員マスタ!$G$6:$G$405,$AP1493)&lt;&gt;"",$L1493&lt;&gt;INDEX(職員マスタ!$G$6:$G$405,$AP1493)),"時短開始日がマスタと相違／","")&amp;IF(AND($M1493&lt;&gt;"",INDEX(職員マスタ!$H$6:$H$405,$AP1493)&lt;&gt;"",$M1493&lt;&gt;INDEX(職員マスタ!$H$6:$H$405,$AP1493)),"時短終了日がマスタと相違／","")))&amp;IF(AND($B1493&lt;&gt;"",$E1493=""),"報酬額が未入力／","")&amp;IF(N($U1493)&gt;0,"申請書に入力エラーが残っています／","")&amp;IF(AND($B1493&lt;&gt;"",$AQ1493&lt;&gt;""),IF(COUNTIFS($B$6:$B$3005,$B1493,$C$6:$C$3005,$C1493,$D$6:$D$3005,$D1493)&gt;1,"同じ月の請求が重複しています／",""),"")&amp;IF(AND(N($E1493)&gt;0,$AB1493&lt;&gt;"",$AB1493&lt;&gt;"×",$AE1493=0,$AD1493=""),"計算額が下限以下のため不支給／",""))</f>
        <v/>
      </c>
      <c r="AN1493" s="12" t="n"/>
      <c r="AO1493" s="14">
        <f>IF($AF1493="保留中",COUNTIF($AF$6:$AF1493,"保留中"),"")</f>
        <v/>
      </c>
      <c r="AP1493" s="14">
        <f>IF($AQ1493="","",IF(SUMPRODUCT(MAX((職員マスタ!$A$6:$A$405=$B1493)*(((職員マスタ!$G$6:$G$405="")+(職員マスタ!$G$6:$G$405&lt;=EOMONTH($AQ1493,0)))&gt;0)*(((職員マスタ!$H$6:$H$405="")+(職員マスタ!$H$6:$H$405&gt;=$AQ1493))&gt;0)*(ROW(職員マスタ!$A$6:$A$405)-5)))&gt;0,SUMPRODUCT(MAX((職員マスタ!$A$6:$A$405=$B1493)*(((職員マスタ!$G$6:$G$405="")+(職員マスタ!$G$6:$G$405&lt;=EOMONTH($AQ1493,0)))&gt;0)*(((職員マスタ!$H$6:$H$405="")+(職員マスタ!$H$6:$H$405&gt;=$AQ1493))&gt;0)*(ROW(職員マスタ!$A$6:$A$405)-5))),IFERROR(MATCH($B1493,職員マスタ!$A$6:$A$405,0),"")))</f>
        <v/>
      </c>
      <c r="AQ1493" s="16">
        <f>IF(OR($B1493="",$C1493="",$D1493=""),"",DATE($C1493+2018,$D1493,1))</f>
        <v/>
      </c>
    </row>
    <row r="1494">
      <c r="A1494" s="11" t="n"/>
      <c r="B1494" s="12" t="n"/>
      <c r="C1494" s="12" t="n"/>
      <c r="D1494" s="12" t="n"/>
      <c r="E1494" s="13" t="n"/>
      <c r="F1494" s="12" t="n"/>
      <c r="G1494" s="13" t="n"/>
      <c r="H1494" s="12" t="n"/>
      <c r="I1494" s="12" t="n"/>
      <c r="J1494" s="12" t="n"/>
      <c r="K1494" s="12" t="n"/>
      <c r="L1494" s="11" t="n"/>
      <c r="M1494" s="11" t="n"/>
      <c r="N1494" s="11" t="n"/>
      <c r="O1494" s="11" t="n"/>
      <c r="P1494" s="12" t="n"/>
      <c r="Q1494" s="11" t="n"/>
      <c r="R1494" s="12" t="n"/>
      <c r="S1494" s="11" t="n"/>
      <c r="T1494" s="12" t="n"/>
      <c r="U1494" s="12" t="n"/>
      <c r="V1494" s="12" t="n"/>
      <c r="W1494" s="13" t="n"/>
      <c r="X1494" s="14">
        <f>IF($AP1494="",IF($B1494="","",$H1494),IF(INDEX(職員マスタ!$B$6:$B$405,$AP1494)="",$H1494,INDEX(職員マスタ!$B$6:$B$405,$AP1494)))</f>
        <v/>
      </c>
      <c r="Y1494" s="14">
        <f>IF($AP1494="",IF($B1494="","",$R1494),IF(INDEX(職員マスタ!$C$6:$C$405,$AP1494)="",$R1494,INDEX(職員マスタ!$C$6:$C$405,$AP1494)))</f>
        <v/>
      </c>
      <c r="Z1494" s="14">
        <f>IF($AQ1494="","","R"&amp;$C1494&amp;"."&amp;$D1494)</f>
        <v/>
      </c>
      <c r="AA1494" s="15">
        <f>IF(IF($AP1494="",FALSE,INDEX(職員マスタ!$K$6:$K$405,$AP1494)&lt;&gt;""),INDEX(職員マスタ!$K$6:$K$405,$AP1494),IF(N($W1494)&gt;0,$W1494,""))</f>
        <v/>
      </c>
      <c r="AB1494" s="14">
        <f>IF(OR($E1494="",$AA1494=""),"",IF($E1494&gt;=$AA1494,"×",IF($E1494&gt;=$AA1494*設定!$C$5,"△","○")))</f>
        <v/>
      </c>
      <c r="AC1494" s="15">
        <f>IF($AB1494="","",IF($AB1494="×",0,IF($AB1494="○",ROUNDDOWN($E1494*設定!$C$4,0),ROUNDDOWN($E1494*ROUND((9*$AA1494-9*$E1494)/(10*$E1494),4),0))))</f>
        <v/>
      </c>
      <c r="AD1494" s="13" t="n"/>
      <c r="AE1494" s="15">
        <f>IF($B1494="","",IF($AD1494&lt;&gt;"",$AD1494,IF($AC1494="","",IF($AC1494&lt;=設定!$C$3,0,$AC1494))))</f>
        <v/>
      </c>
      <c r="AF1494" s="14">
        <f>IF($B1494="","",IF(AND($AG1494&lt;&gt;"",$AI1494="",$AL1494=""),"保留中",IF($AL1494&lt;&gt;"",IF(N($AE1494)&gt;0,"支給済","不支給"),IF($AE1494="","要確認",IF($AE1494=0,"不支給","未処理")))))</f>
        <v/>
      </c>
      <c r="AG1494" s="12" t="n"/>
      <c r="AH1494" s="11" t="n"/>
      <c r="AI1494" s="11" t="n"/>
      <c r="AJ1494" s="11" t="n"/>
      <c r="AK1494" s="14">
        <f>IF(AND($AF1494="保留中",$AH1494&lt;&gt;""),TODAY()-$AH1494,"")</f>
        <v/>
      </c>
      <c r="AL1494" s="12" t="n"/>
      <c r="AM1494" s="14">
        <f>IF($B1494="","",IF($AQ1494="","対象年月が未入力／","")&amp;IF($B1494="","",IF($AP1494="","職員マスタに未登録の職員番号／",IF($AA1494="","標準報酬月額が未登録／","")&amp;IF(AND($AQ1494&lt;&gt;"",OR(AND(INDEX(職員マスタ!$G$6:$G$405,$AP1494)&lt;&gt;"",INDEX(職員マスタ!$G$6:$G$405,$AP1494)&gt;EOMONTH($AQ1494,0)),AND(INDEX(職員マスタ!$H$6:$H$405,$AP1494)&lt;&gt;"",INDEX(職員マスタ!$H$6:$H$405,$AP1494)&lt;$AQ1494))),"対象月が時短期間外／","")&amp;IF(AND(INDEX(職員マスタ!$K$6:$K$405,$AP1494)&lt;&gt;"",N($W1494)&gt;0,INDEX(職員マスタ!$K$6:$K$405,$AP1494)&lt;&gt;$W1494),"標準報酬月額が申請書と相違（台帳"&amp;TEXT(INDEX(職員マスタ!$K$6:$K$405,$AP1494),"#,##0")&amp;"円／申請書"&amp;TEXT($W1494,"#,##0")&amp;"円）／","")&amp;IF(AND(INDEX(職員マスタ!$F$6:$F$405,$AP1494)&lt;&gt;"",$AQ1494&lt;&gt;"",INDEX(職員マスタ!$F$6:$F$405,$AP1494)&lt;$AQ1494),"対象月に子が2歳到達済／","")&amp;IF(AND($H1494&lt;&gt;"",INDEX(職員マスタ!$B$6:$B$405,$AP1494)&lt;&gt;"",SUBSTITUTE(SUBSTITUTE($H1494," ","")," ","")&lt;&gt;SUBSTITUTE(SUBSTITUTE(INDEX(職員マスタ!$B$6:$B$405,$AP1494)," ","")," ","")),"氏名がマスタと相違／","")&amp;IF(AND($Q1494&lt;&gt;"",INDEX(職員マスタ!$E$6:$E$405,$AP1494)&lt;&gt;"",$Q1494&lt;&gt;INDEX(職員マスタ!$E$6:$E$405,$AP1494)),"子の生年月日がマスタと相違／","")&amp;IF(AND($L1494&lt;&gt;"",INDEX(職員マスタ!$G$6:$G$405,$AP1494)&lt;&gt;"",$L1494&lt;&gt;INDEX(職員マスタ!$G$6:$G$405,$AP1494)),"時短開始日がマスタと相違／","")&amp;IF(AND($M1494&lt;&gt;"",INDEX(職員マスタ!$H$6:$H$405,$AP1494)&lt;&gt;"",$M1494&lt;&gt;INDEX(職員マスタ!$H$6:$H$405,$AP1494)),"時短終了日がマスタと相違／","")))&amp;IF(AND($B1494&lt;&gt;"",$E1494=""),"報酬額が未入力／","")&amp;IF(N($U1494)&gt;0,"申請書に入力エラーが残っています／","")&amp;IF(AND($B1494&lt;&gt;"",$AQ1494&lt;&gt;""),IF(COUNTIFS($B$6:$B$3005,$B1494,$C$6:$C$3005,$C1494,$D$6:$D$3005,$D1494)&gt;1,"同じ月の請求が重複しています／",""),"")&amp;IF(AND(N($E1494)&gt;0,$AB1494&lt;&gt;"",$AB1494&lt;&gt;"×",$AE1494=0,$AD1494=""),"計算額が下限以下のため不支給／",""))</f>
        <v/>
      </c>
      <c r="AN1494" s="12" t="n"/>
      <c r="AO1494" s="14">
        <f>IF($AF1494="保留中",COUNTIF($AF$6:$AF1494,"保留中"),"")</f>
        <v/>
      </c>
      <c r="AP1494" s="14">
        <f>IF($AQ1494="","",IF(SUMPRODUCT(MAX((職員マスタ!$A$6:$A$405=$B1494)*(((職員マスタ!$G$6:$G$405="")+(職員マスタ!$G$6:$G$405&lt;=EOMONTH($AQ1494,0)))&gt;0)*(((職員マスタ!$H$6:$H$405="")+(職員マスタ!$H$6:$H$405&gt;=$AQ1494))&gt;0)*(ROW(職員マスタ!$A$6:$A$405)-5)))&gt;0,SUMPRODUCT(MAX((職員マスタ!$A$6:$A$405=$B1494)*(((職員マスタ!$G$6:$G$405="")+(職員マスタ!$G$6:$G$405&lt;=EOMONTH($AQ1494,0)))&gt;0)*(((職員マスタ!$H$6:$H$405="")+(職員マスタ!$H$6:$H$405&gt;=$AQ1494))&gt;0)*(ROW(職員マスタ!$A$6:$A$405)-5))),IFERROR(MATCH($B1494,職員マスタ!$A$6:$A$405,0),"")))</f>
        <v/>
      </c>
      <c r="AQ1494" s="16">
        <f>IF(OR($B1494="",$C1494="",$D1494=""),"",DATE($C1494+2018,$D1494,1))</f>
        <v/>
      </c>
    </row>
    <row r="1495">
      <c r="A1495" s="11" t="n"/>
      <c r="B1495" s="12" t="n"/>
      <c r="C1495" s="12" t="n"/>
      <c r="D1495" s="12" t="n"/>
      <c r="E1495" s="13" t="n"/>
      <c r="F1495" s="12" t="n"/>
      <c r="G1495" s="13" t="n"/>
      <c r="H1495" s="12" t="n"/>
      <c r="I1495" s="12" t="n"/>
      <c r="J1495" s="12" t="n"/>
      <c r="K1495" s="12" t="n"/>
      <c r="L1495" s="11" t="n"/>
      <c r="M1495" s="11" t="n"/>
      <c r="N1495" s="11" t="n"/>
      <c r="O1495" s="11" t="n"/>
      <c r="P1495" s="12" t="n"/>
      <c r="Q1495" s="11" t="n"/>
      <c r="R1495" s="12" t="n"/>
      <c r="S1495" s="11" t="n"/>
      <c r="T1495" s="12" t="n"/>
      <c r="U1495" s="12" t="n"/>
      <c r="V1495" s="12" t="n"/>
      <c r="W1495" s="13" t="n"/>
      <c r="X1495" s="14">
        <f>IF($AP1495="",IF($B1495="","",$H1495),IF(INDEX(職員マスタ!$B$6:$B$405,$AP1495)="",$H1495,INDEX(職員マスタ!$B$6:$B$405,$AP1495)))</f>
        <v/>
      </c>
      <c r="Y1495" s="14">
        <f>IF($AP1495="",IF($B1495="","",$R1495),IF(INDEX(職員マスタ!$C$6:$C$405,$AP1495)="",$R1495,INDEX(職員マスタ!$C$6:$C$405,$AP1495)))</f>
        <v/>
      </c>
      <c r="Z1495" s="14">
        <f>IF($AQ1495="","","R"&amp;$C1495&amp;"."&amp;$D1495)</f>
        <v/>
      </c>
      <c r="AA1495" s="15">
        <f>IF(IF($AP1495="",FALSE,INDEX(職員マスタ!$K$6:$K$405,$AP1495)&lt;&gt;""),INDEX(職員マスタ!$K$6:$K$405,$AP1495),IF(N($W1495)&gt;0,$W1495,""))</f>
        <v/>
      </c>
      <c r="AB1495" s="14">
        <f>IF(OR($E1495="",$AA1495=""),"",IF($E1495&gt;=$AA1495,"×",IF($E1495&gt;=$AA1495*設定!$C$5,"△","○")))</f>
        <v/>
      </c>
      <c r="AC1495" s="15">
        <f>IF($AB1495="","",IF($AB1495="×",0,IF($AB1495="○",ROUNDDOWN($E1495*設定!$C$4,0),ROUNDDOWN($E1495*ROUND((9*$AA1495-9*$E1495)/(10*$E1495),4),0))))</f>
        <v/>
      </c>
      <c r="AD1495" s="13" t="n"/>
      <c r="AE1495" s="15">
        <f>IF($B1495="","",IF($AD1495&lt;&gt;"",$AD1495,IF($AC1495="","",IF($AC1495&lt;=設定!$C$3,0,$AC1495))))</f>
        <v/>
      </c>
      <c r="AF1495" s="14">
        <f>IF($B1495="","",IF(AND($AG1495&lt;&gt;"",$AI1495="",$AL1495=""),"保留中",IF($AL1495&lt;&gt;"",IF(N($AE1495)&gt;0,"支給済","不支給"),IF($AE1495="","要確認",IF($AE1495=0,"不支給","未処理")))))</f>
        <v/>
      </c>
      <c r="AG1495" s="12" t="n"/>
      <c r="AH1495" s="11" t="n"/>
      <c r="AI1495" s="11" t="n"/>
      <c r="AJ1495" s="11" t="n"/>
      <c r="AK1495" s="14">
        <f>IF(AND($AF1495="保留中",$AH1495&lt;&gt;""),TODAY()-$AH1495,"")</f>
        <v/>
      </c>
      <c r="AL1495" s="12" t="n"/>
      <c r="AM1495" s="14">
        <f>IF($B1495="","",IF($AQ1495="","対象年月が未入力／","")&amp;IF($B1495="","",IF($AP1495="","職員マスタに未登録の職員番号／",IF($AA1495="","標準報酬月額が未登録／","")&amp;IF(AND($AQ1495&lt;&gt;"",OR(AND(INDEX(職員マスタ!$G$6:$G$405,$AP1495)&lt;&gt;"",INDEX(職員マスタ!$G$6:$G$405,$AP1495)&gt;EOMONTH($AQ1495,0)),AND(INDEX(職員マスタ!$H$6:$H$405,$AP1495)&lt;&gt;"",INDEX(職員マスタ!$H$6:$H$405,$AP1495)&lt;$AQ1495))),"対象月が時短期間外／","")&amp;IF(AND(INDEX(職員マスタ!$K$6:$K$405,$AP1495)&lt;&gt;"",N($W1495)&gt;0,INDEX(職員マスタ!$K$6:$K$405,$AP1495)&lt;&gt;$W1495),"標準報酬月額が申請書と相違（台帳"&amp;TEXT(INDEX(職員マスタ!$K$6:$K$405,$AP1495),"#,##0")&amp;"円／申請書"&amp;TEXT($W1495,"#,##0")&amp;"円）／","")&amp;IF(AND(INDEX(職員マスタ!$F$6:$F$405,$AP1495)&lt;&gt;"",$AQ1495&lt;&gt;"",INDEX(職員マスタ!$F$6:$F$405,$AP1495)&lt;$AQ1495),"対象月に子が2歳到達済／","")&amp;IF(AND($H1495&lt;&gt;"",INDEX(職員マスタ!$B$6:$B$405,$AP1495)&lt;&gt;"",SUBSTITUTE(SUBSTITUTE($H1495," ","")," ","")&lt;&gt;SUBSTITUTE(SUBSTITUTE(INDEX(職員マスタ!$B$6:$B$405,$AP1495)," ","")," ","")),"氏名がマスタと相違／","")&amp;IF(AND($Q1495&lt;&gt;"",INDEX(職員マスタ!$E$6:$E$405,$AP1495)&lt;&gt;"",$Q1495&lt;&gt;INDEX(職員マスタ!$E$6:$E$405,$AP1495)),"子の生年月日がマスタと相違／","")&amp;IF(AND($L1495&lt;&gt;"",INDEX(職員マスタ!$G$6:$G$405,$AP1495)&lt;&gt;"",$L1495&lt;&gt;INDEX(職員マスタ!$G$6:$G$405,$AP1495)),"時短開始日がマスタと相違／","")&amp;IF(AND($M1495&lt;&gt;"",INDEX(職員マスタ!$H$6:$H$405,$AP1495)&lt;&gt;"",$M1495&lt;&gt;INDEX(職員マスタ!$H$6:$H$405,$AP1495)),"時短終了日がマスタと相違／","")))&amp;IF(AND($B1495&lt;&gt;"",$E1495=""),"報酬額が未入力／","")&amp;IF(N($U1495)&gt;0,"申請書に入力エラーが残っています／","")&amp;IF(AND($B1495&lt;&gt;"",$AQ1495&lt;&gt;""),IF(COUNTIFS($B$6:$B$3005,$B1495,$C$6:$C$3005,$C1495,$D$6:$D$3005,$D1495)&gt;1,"同じ月の請求が重複しています／",""),"")&amp;IF(AND(N($E1495)&gt;0,$AB1495&lt;&gt;"",$AB1495&lt;&gt;"×",$AE1495=0,$AD1495=""),"計算額が下限以下のため不支給／",""))</f>
        <v/>
      </c>
      <c r="AN1495" s="12" t="n"/>
      <c r="AO1495" s="14">
        <f>IF($AF1495="保留中",COUNTIF($AF$6:$AF1495,"保留中"),"")</f>
        <v/>
      </c>
      <c r="AP1495" s="14">
        <f>IF($AQ1495="","",IF(SUMPRODUCT(MAX((職員マスタ!$A$6:$A$405=$B1495)*(((職員マスタ!$G$6:$G$405="")+(職員マスタ!$G$6:$G$405&lt;=EOMONTH($AQ1495,0)))&gt;0)*(((職員マスタ!$H$6:$H$405="")+(職員マスタ!$H$6:$H$405&gt;=$AQ1495))&gt;0)*(ROW(職員マスタ!$A$6:$A$405)-5)))&gt;0,SUMPRODUCT(MAX((職員マスタ!$A$6:$A$405=$B1495)*(((職員マスタ!$G$6:$G$405="")+(職員マスタ!$G$6:$G$405&lt;=EOMONTH($AQ1495,0)))&gt;0)*(((職員マスタ!$H$6:$H$405="")+(職員マスタ!$H$6:$H$405&gt;=$AQ1495))&gt;0)*(ROW(職員マスタ!$A$6:$A$405)-5))),IFERROR(MATCH($B1495,職員マスタ!$A$6:$A$405,0),"")))</f>
        <v/>
      </c>
      <c r="AQ1495" s="16">
        <f>IF(OR($B1495="",$C1495="",$D1495=""),"",DATE($C1495+2018,$D1495,1))</f>
        <v/>
      </c>
    </row>
    <row r="1496">
      <c r="A1496" s="11" t="n"/>
      <c r="B1496" s="12" t="n"/>
      <c r="C1496" s="12" t="n"/>
      <c r="D1496" s="12" t="n"/>
      <c r="E1496" s="13" t="n"/>
      <c r="F1496" s="12" t="n"/>
      <c r="G1496" s="13" t="n"/>
      <c r="H1496" s="12" t="n"/>
      <c r="I1496" s="12" t="n"/>
      <c r="J1496" s="12" t="n"/>
      <c r="K1496" s="12" t="n"/>
      <c r="L1496" s="11" t="n"/>
      <c r="M1496" s="11" t="n"/>
      <c r="N1496" s="11" t="n"/>
      <c r="O1496" s="11" t="n"/>
      <c r="P1496" s="12" t="n"/>
      <c r="Q1496" s="11" t="n"/>
      <c r="R1496" s="12" t="n"/>
      <c r="S1496" s="11" t="n"/>
      <c r="T1496" s="12" t="n"/>
      <c r="U1496" s="12" t="n"/>
      <c r="V1496" s="12" t="n"/>
      <c r="W1496" s="13" t="n"/>
      <c r="X1496" s="14">
        <f>IF($AP1496="",IF($B1496="","",$H1496),IF(INDEX(職員マスタ!$B$6:$B$405,$AP1496)="",$H1496,INDEX(職員マスタ!$B$6:$B$405,$AP1496)))</f>
        <v/>
      </c>
      <c r="Y1496" s="14">
        <f>IF($AP1496="",IF($B1496="","",$R1496),IF(INDEX(職員マスタ!$C$6:$C$405,$AP1496)="",$R1496,INDEX(職員マスタ!$C$6:$C$405,$AP1496)))</f>
        <v/>
      </c>
      <c r="Z1496" s="14">
        <f>IF($AQ1496="","","R"&amp;$C1496&amp;"."&amp;$D1496)</f>
        <v/>
      </c>
      <c r="AA1496" s="15">
        <f>IF(IF($AP1496="",FALSE,INDEX(職員マスタ!$K$6:$K$405,$AP1496)&lt;&gt;""),INDEX(職員マスタ!$K$6:$K$405,$AP1496),IF(N($W1496)&gt;0,$W1496,""))</f>
        <v/>
      </c>
      <c r="AB1496" s="14">
        <f>IF(OR($E1496="",$AA1496=""),"",IF($E1496&gt;=$AA1496,"×",IF($E1496&gt;=$AA1496*設定!$C$5,"△","○")))</f>
        <v/>
      </c>
      <c r="AC1496" s="15">
        <f>IF($AB1496="","",IF($AB1496="×",0,IF($AB1496="○",ROUNDDOWN($E1496*設定!$C$4,0),ROUNDDOWN($E1496*ROUND((9*$AA1496-9*$E1496)/(10*$E1496),4),0))))</f>
        <v/>
      </c>
      <c r="AD1496" s="13" t="n"/>
      <c r="AE1496" s="15">
        <f>IF($B1496="","",IF($AD1496&lt;&gt;"",$AD1496,IF($AC1496="","",IF($AC1496&lt;=設定!$C$3,0,$AC1496))))</f>
        <v/>
      </c>
      <c r="AF1496" s="14">
        <f>IF($B1496="","",IF(AND($AG1496&lt;&gt;"",$AI1496="",$AL1496=""),"保留中",IF($AL1496&lt;&gt;"",IF(N($AE1496)&gt;0,"支給済","不支給"),IF($AE1496="","要確認",IF($AE1496=0,"不支給","未処理")))))</f>
        <v/>
      </c>
      <c r="AG1496" s="12" t="n"/>
      <c r="AH1496" s="11" t="n"/>
      <c r="AI1496" s="11" t="n"/>
      <c r="AJ1496" s="11" t="n"/>
      <c r="AK1496" s="14">
        <f>IF(AND($AF1496="保留中",$AH1496&lt;&gt;""),TODAY()-$AH1496,"")</f>
        <v/>
      </c>
      <c r="AL1496" s="12" t="n"/>
      <c r="AM1496" s="14">
        <f>IF($B1496="","",IF($AQ1496="","対象年月が未入力／","")&amp;IF($B1496="","",IF($AP1496="","職員マスタに未登録の職員番号／",IF($AA1496="","標準報酬月額が未登録／","")&amp;IF(AND($AQ1496&lt;&gt;"",OR(AND(INDEX(職員マスタ!$G$6:$G$405,$AP1496)&lt;&gt;"",INDEX(職員マスタ!$G$6:$G$405,$AP1496)&gt;EOMONTH($AQ1496,0)),AND(INDEX(職員マスタ!$H$6:$H$405,$AP1496)&lt;&gt;"",INDEX(職員マスタ!$H$6:$H$405,$AP1496)&lt;$AQ1496))),"対象月が時短期間外／","")&amp;IF(AND(INDEX(職員マスタ!$K$6:$K$405,$AP1496)&lt;&gt;"",N($W1496)&gt;0,INDEX(職員マスタ!$K$6:$K$405,$AP1496)&lt;&gt;$W1496),"標準報酬月額が申請書と相違（台帳"&amp;TEXT(INDEX(職員マスタ!$K$6:$K$405,$AP1496),"#,##0")&amp;"円／申請書"&amp;TEXT($W1496,"#,##0")&amp;"円）／","")&amp;IF(AND(INDEX(職員マスタ!$F$6:$F$405,$AP1496)&lt;&gt;"",$AQ1496&lt;&gt;"",INDEX(職員マスタ!$F$6:$F$405,$AP1496)&lt;$AQ1496),"対象月に子が2歳到達済／","")&amp;IF(AND($H1496&lt;&gt;"",INDEX(職員マスタ!$B$6:$B$405,$AP1496)&lt;&gt;"",SUBSTITUTE(SUBSTITUTE($H1496," ","")," ","")&lt;&gt;SUBSTITUTE(SUBSTITUTE(INDEX(職員マスタ!$B$6:$B$405,$AP1496)," ","")," ","")),"氏名がマスタと相違／","")&amp;IF(AND($Q1496&lt;&gt;"",INDEX(職員マスタ!$E$6:$E$405,$AP1496)&lt;&gt;"",$Q1496&lt;&gt;INDEX(職員マスタ!$E$6:$E$405,$AP1496)),"子の生年月日がマスタと相違／","")&amp;IF(AND($L1496&lt;&gt;"",INDEX(職員マスタ!$G$6:$G$405,$AP1496)&lt;&gt;"",$L1496&lt;&gt;INDEX(職員マスタ!$G$6:$G$405,$AP1496)),"時短開始日がマスタと相違／","")&amp;IF(AND($M1496&lt;&gt;"",INDEX(職員マスタ!$H$6:$H$405,$AP1496)&lt;&gt;"",$M1496&lt;&gt;INDEX(職員マスタ!$H$6:$H$405,$AP1496)),"時短終了日がマスタと相違／","")))&amp;IF(AND($B1496&lt;&gt;"",$E1496=""),"報酬額が未入力／","")&amp;IF(N($U1496)&gt;0,"申請書に入力エラーが残っています／","")&amp;IF(AND($B1496&lt;&gt;"",$AQ1496&lt;&gt;""),IF(COUNTIFS($B$6:$B$3005,$B1496,$C$6:$C$3005,$C1496,$D$6:$D$3005,$D1496)&gt;1,"同じ月の請求が重複しています／",""),"")&amp;IF(AND(N($E1496)&gt;0,$AB1496&lt;&gt;"",$AB1496&lt;&gt;"×",$AE1496=0,$AD1496=""),"計算額が下限以下のため不支給／",""))</f>
        <v/>
      </c>
      <c r="AN1496" s="12" t="n"/>
      <c r="AO1496" s="14">
        <f>IF($AF1496="保留中",COUNTIF($AF$6:$AF1496,"保留中"),"")</f>
        <v/>
      </c>
      <c r="AP1496" s="14">
        <f>IF($AQ1496="","",IF(SUMPRODUCT(MAX((職員マスタ!$A$6:$A$405=$B1496)*(((職員マスタ!$G$6:$G$405="")+(職員マスタ!$G$6:$G$405&lt;=EOMONTH($AQ1496,0)))&gt;0)*(((職員マスタ!$H$6:$H$405="")+(職員マスタ!$H$6:$H$405&gt;=$AQ1496))&gt;0)*(ROW(職員マスタ!$A$6:$A$405)-5)))&gt;0,SUMPRODUCT(MAX((職員マスタ!$A$6:$A$405=$B1496)*(((職員マスタ!$G$6:$G$405="")+(職員マスタ!$G$6:$G$405&lt;=EOMONTH($AQ1496,0)))&gt;0)*(((職員マスタ!$H$6:$H$405="")+(職員マスタ!$H$6:$H$405&gt;=$AQ1496))&gt;0)*(ROW(職員マスタ!$A$6:$A$405)-5))),IFERROR(MATCH($B1496,職員マスタ!$A$6:$A$405,0),"")))</f>
        <v/>
      </c>
      <c r="AQ1496" s="16">
        <f>IF(OR($B1496="",$C1496="",$D1496=""),"",DATE($C1496+2018,$D1496,1))</f>
        <v/>
      </c>
    </row>
    <row r="1497">
      <c r="A1497" s="11" t="n"/>
      <c r="B1497" s="12" t="n"/>
      <c r="C1497" s="12" t="n"/>
      <c r="D1497" s="12" t="n"/>
      <c r="E1497" s="13" t="n"/>
      <c r="F1497" s="12" t="n"/>
      <c r="G1497" s="13" t="n"/>
      <c r="H1497" s="12" t="n"/>
      <c r="I1497" s="12" t="n"/>
      <c r="J1497" s="12" t="n"/>
      <c r="K1497" s="12" t="n"/>
      <c r="L1497" s="11" t="n"/>
      <c r="M1497" s="11" t="n"/>
      <c r="N1497" s="11" t="n"/>
      <c r="O1497" s="11" t="n"/>
      <c r="P1497" s="12" t="n"/>
      <c r="Q1497" s="11" t="n"/>
      <c r="R1497" s="12" t="n"/>
      <c r="S1497" s="11" t="n"/>
      <c r="T1497" s="12" t="n"/>
      <c r="U1497" s="12" t="n"/>
      <c r="V1497" s="12" t="n"/>
      <c r="W1497" s="13" t="n"/>
      <c r="X1497" s="14">
        <f>IF($AP1497="",IF($B1497="","",$H1497),IF(INDEX(職員マスタ!$B$6:$B$405,$AP1497)="",$H1497,INDEX(職員マスタ!$B$6:$B$405,$AP1497)))</f>
        <v/>
      </c>
      <c r="Y1497" s="14">
        <f>IF($AP1497="",IF($B1497="","",$R1497),IF(INDEX(職員マスタ!$C$6:$C$405,$AP1497)="",$R1497,INDEX(職員マスタ!$C$6:$C$405,$AP1497)))</f>
        <v/>
      </c>
      <c r="Z1497" s="14">
        <f>IF($AQ1497="","","R"&amp;$C1497&amp;"."&amp;$D1497)</f>
        <v/>
      </c>
      <c r="AA1497" s="15">
        <f>IF(IF($AP1497="",FALSE,INDEX(職員マスタ!$K$6:$K$405,$AP1497)&lt;&gt;""),INDEX(職員マスタ!$K$6:$K$405,$AP1497),IF(N($W1497)&gt;0,$W1497,""))</f>
        <v/>
      </c>
      <c r="AB1497" s="14">
        <f>IF(OR($E1497="",$AA1497=""),"",IF($E1497&gt;=$AA1497,"×",IF($E1497&gt;=$AA1497*設定!$C$5,"△","○")))</f>
        <v/>
      </c>
      <c r="AC1497" s="15">
        <f>IF($AB1497="","",IF($AB1497="×",0,IF($AB1497="○",ROUNDDOWN($E1497*設定!$C$4,0),ROUNDDOWN($E1497*ROUND((9*$AA1497-9*$E1497)/(10*$E1497),4),0))))</f>
        <v/>
      </c>
      <c r="AD1497" s="13" t="n"/>
      <c r="AE1497" s="15">
        <f>IF($B1497="","",IF($AD1497&lt;&gt;"",$AD1497,IF($AC1497="","",IF($AC1497&lt;=設定!$C$3,0,$AC1497))))</f>
        <v/>
      </c>
      <c r="AF1497" s="14">
        <f>IF($B1497="","",IF(AND($AG1497&lt;&gt;"",$AI1497="",$AL1497=""),"保留中",IF($AL1497&lt;&gt;"",IF(N($AE1497)&gt;0,"支給済","不支給"),IF($AE1497="","要確認",IF($AE1497=0,"不支給","未処理")))))</f>
        <v/>
      </c>
      <c r="AG1497" s="12" t="n"/>
      <c r="AH1497" s="11" t="n"/>
      <c r="AI1497" s="11" t="n"/>
      <c r="AJ1497" s="11" t="n"/>
      <c r="AK1497" s="14">
        <f>IF(AND($AF1497="保留中",$AH1497&lt;&gt;""),TODAY()-$AH1497,"")</f>
        <v/>
      </c>
      <c r="AL1497" s="12" t="n"/>
      <c r="AM1497" s="14">
        <f>IF($B1497="","",IF($AQ1497="","対象年月が未入力／","")&amp;IF($B1497="","",IF($AP1497="","職員マスタに未登録の職員番号／",IF($AA1497="","標準報酬月額が未登録／","")&amp;IF(AND($AQ1497&lt;&gt;"",OR(AND(INDEX(職員マスタ!$G$6:$G$405,$AP1497)&lt;&gt;"",INDEX(職員マスタ!$G$6:$G$405,$AP1497)&gt;EOMONTH($AQ1497,0)),AND(INDEX(職員マスタ!$H$6:$H$405,$AP1497)&lt;&gt;"",INDEX(職員マスタ!$H$6:$H$405,$AP1497)&lt;$AQ1497))),"対象月が時短期間外／","")&amp;IF(AND(INDEX(職員マスタ!$K$6:$K$405,$AP1497)&lt;&gt;"",N($W1497)&gt;0,INDEX(職員マスタ!$K$6:$K$405,$AP1497)&lt;&gt;$W1497),"標準報酬月額が申請書と相違（台帳"&amp;TEXT(INDEX(職員マスタ!$K$6:$K$405,$AP1497),"#,##0")&amp;"円／申請書"&amp;TEXT($W1497,"#,##0")&amp;"円）／","")&amp;IF(AND(INDEX(職員マスタ!$F$6:$F$405,$AP1497)&lt;&gt;"",$AQ1497&lt;&gt;"",INDEX(職員マスタ!$F$6:$F$405,$AP1497)&lt;$AQ1497),"対象月に子が2歳到達済／","")&amp;IF(AND($H1497&lt;&gt;"",INDEX(職員マスタ!$B$6:$B$405,$AP1497)&lt;&gt;"",SUBSTITUTE(SUBSTITUTE($H1497," ","")," ","")&lt;&gt;SUBSTITUTE(SUBSTITUTE(INDEX(職員マスタ!$B$6:$B$405,$AP1497)," ","")," ","")),"氏名がマスタと相違／","")&amp;IF(AND($Q1497&lt;&gt;"",INDEX(職員マスタ!$E$6:$E$405,$AP1497)&lt;&gt;"",$Q1497&lt;&gt;INDEX(職員マスタ!$E$6:$E$405,$AP1497)),"子の生年月日がマスタと相違／","")&amp;IF(AND($L1497&lt;&gt;"",INDEX(職員マスタ!$G$6:$G$405,$AP1497)&lt;&gt;"",$L1497&lt;&gt;INDEX(職員マスタ!$G$6:$G$405,$AP1497)),"時短開始日がマスタと相違／","")&amp;IF(AND($M1497&lt;&gt;"",INDEX(職員マスタ!$H$6:$H$405,$AP1497)&lt;&gt;"",$M1497&lt;&gt;INDEX(職員マスタ!$H$6:$H$405,$AP1497)),"時短終了日がマスタと相違／","")))&amp;IF(AND($B1497&lt;&gt;"",$E1497=""),"報酬額が未入力／","")&amp;IF(N($U1497)&gt;0,"申請書に入力エラーが残っています／","")&amp;IF(AND($B1497&lt;&gt;"",$AQ1497&lt;&gt;""),IF(COUNTIFS($B$6:$B$3005,$B1497,$C$6:$C$3005,$C1497,$D$6:$D$3005,$D1497)&gt;1,"同じ月の請求が重複しています／",""),"")&amp;IF(AND(N($E1497)&gt;0,$AB1497&lt;&gt;"",$AB1497&lt;&gt;"×",$AE1497=0,$AD1497=""),"計算額が下限以下のため不支給／",""))</f>
        <v/>
      </c>
      <c r="AN1497" s="12" t="n"/>
      <c r="AO1497" s="14">
        <f>IF($AF1497="保留中",COUNTIF($AF$6:$AF1497,"保留中"),"")</f>
        <v/>
      </c>
      <c r="AP1497" s="14">
        <f>IF($AQ1497="","",IF(SUMPRODUCT(MAX((職員マスタ!$A$6:$A$405=$B1497)*(((職員マスタ!$G$6:$G$405="")+(職員マスタ!$G$6:$G$405&lt;=EOMONTH($AQ1497,0)))&gt;0)*(((職員マスタ!$H$6:$H$405="")+(職員マスタ!$H$6:$H$405&gt;=$AQ1497))&gt;0)*(ROW(職員マスタ!$A$6:$A$405)-5)))&gt;0,SUMPRODUCT(MAX((職員マスタ!$A$6:$A$405=$B1497)*(((職員マスタ!$G$6:$G$405="")+(職員マスタ!$G$6:$G$405&lt;=EOMONTH($AQ1497,0)))&gt;0)*(((職員マスタ!$H$6:$H$405="")+(職員マスタ!$H$6:$H$405&gt;=$AQ1497))&gt;0)*(ROW(職員マスタ!$A$6:$A$405)-5))),IFERROR(MATCH($B1497,職員マスタ!$A$6:$A$405,0),"")))</f>
        <v/>
      </c>
      <c r="AQ1497" s="16">
        <f>IF(OR($B1497="",$C1497="",$D1497=""),"",DATE($C1497+2018,$D1497,1))</f>
        <v/>
      </c>
    </row>
    <row r="1498">
      <c r="A1498" s="11" t="n"/>
      <c r="B1498" s="12" t="n"/>
      <c r="C1498" s="12" t="n"/>
      <c r="D1498" s="12" t="n"/>
      <c r="E1498" s="13" t="n"/>
      <c r="F1498" s="12" t="n"/>
      <c r="G1498" s="13" t="n"/>
      <c r="H1498" s="12" t="n"/>
      <c r="I1498" s="12" t="n"/>
      <c r="J1498" s="12" t="n"/>
      <c r="K1498" s="12" t="n"/>
      <c r="L1498" s="11" t="n"/>
      <c r="M1498" s="11" t="n"/>
      <c r="N1498" s="11" t="n"/>
      <c r="O1498" s="11" t="n"/>
      <c r="P1498" s="12" t="n"/>
      <c r="Q1498" s="11" t="n"/>
      <c r="R1498" s="12" t="n"/>
      <c r="S1498" s="11" t="n"/>
      <c r="T1498" s="12" t="n"/>
      <c r="U1498" s="12" t="n"/>
      <c r="V1498" s="12" t="n"/>
      <c r="W1498" s="13" t="n"/>
      <c r="X1498" s="14">
        <f>IF($AP1498="",IF($B1498="","",$H1498),IF(INDEX(職員マスタ!$B$6:$B$405,$AP1498)="",$H1498,INDEX(職員マスタ!$B$6:$B$405,$AP1498)))</f>
        <v/>
      </c>
      <c r="Y1498" s="14">
        <f>IF($AP1498="",IF($B1498="","",$R1498),IF(INDEX(職員マスタ!$C$6:$C$405,$AP1498)="",$R1498,INDEX(職員マスタ!$C$6:$C$405,$AP1498)))</f>
        <v/>
      </c>
      <c r="Z1498" s="14">
        <f>IF($AQ1498="","","R"&amp;$C1498&amp;"."&amp;$D1498)</f>
        <v/>
      </c>
      <c r="AA1498" s="15">
        <f>IF(IF($AP1498="",FALSE,INDEX(職員マスタ!$K$6:$K$405,$AP1498)&lt;&gt;""),INDEX(職員マスタ!$K$6:$K$405,$AP1498),IF(N($W1498)&gt;0,$W1498,""))</f>
        <v/>
      </c>
      <c r="AB1498" s="14">
        <f>IF(OR($E1498="",$AA1498=""),"",IF($E1498&gt;=$AA1498,"×",IF($E1498&gt;=$AA1498*設定!$C$5,"△","○")))</f>
        <v/>
      </c>
      <c r="AC1498" s="15">
        <f>IF($AB1498="","",IF($AB1498="×",0,IF($AB1498="○",ROUNDDOWN($E1498*設定!$C$4,0),ROUNDDOWN($E1498*ROUND((9*$AA1498-9*$E1498)/(10*$E1498),4),0))))</f>
        <v/>
      </c>
      <c r="AD1498" s="13" t="n"/>
      <c r="AE1498" s="15">
        <f>IF($B1498="","",IF($AD1498&lt;&gt;"",$AD1498,IF($AC1498="","",IF($AC1498&lt;=設定!$C$3,0,$AC1498))))</f>
        <v/>
      </c>
      <c r="AF1498" s="14">
        <f>IF($B1498="","",IF(AND($AG1498&lt;&gt;"",$AI1498="",$AL1498=""),"保留中",IF($AL1498&lt;&gt;"",IF(N($AE1498)&gt;0,"支給済","不支給"),IF($AE1498="","要確認",IF($AE1498=0,"不支給","未処理")))))</f>
        <v/>
      </c>
      <c r="AG1498" s="12" t="n"/>
      <c r="AH1498" s="11" t="n"/>
      <c r="AI1498" s="11" t="n"/>
      <c r="AJ1498" s="11" t="n"/>
      <c r="AK1498" s="14">
        <f>IF(AND($AF1498="保留中",$AH1498&lt;&gt;""),TODAY()-$AH1498,"")</f>
        <v/>
      </c>
      <c r="AL1498" s="12" t="n"/>
      <c r="AM1498" s="14">
        <f>IF($B1498="","",IF($AQ1498="","対象年月が未入力／","")&amp;IF($B1498="","",IF($AP1498="","職員マスタに未登録の職員番号／",IF($AA1498="","標準報酬月額が未登録／","")&amp;IF(AND($AQ1498&lt;&gt;"",OR(AND(INDEX(職員マスタ!$G$6:$G$405,$AP1498)&lt;&gt;"",INDEX(職員マスタ!$G$6:$G$405,$AP1498)&gt;EOMONTH($AQ1498,0)),AND(INDEX(職員マスタ!$H$6:$H$405,$AP1498)&lt;&gt;"",INDEX(職員マスタ!$H$6:$H$405,$AP1498)&lt;$AQ1498))),"対象月が時短期間外／","")&amp;IF(AND(INDEX(職員マスタ!$K$6:$K$405,$AP1498)&lt;&gt;"",N($W1498)&gt;0,INDEX(職員マスタ!$K$6:$K$405,$AP1498)&lt;&gt;$W1498),"標準報酬月額が申請書と相違（台帳"&amp;TEXT(INDEX(職員マスタ!$K$6:$K$405,$AP1498),"#,##0")&amp;"円／申請書"&amp;TEXT($W1498,"#,##0")&amp;"円）／","")&amp;IF(AND(INDEX(職員マスタ!$F$6:$F$405,$AP1498)&lt;&gt;"",$AQ1498&lt;&gt;"",INDEX(職員マスタ!$F$6:$F$405,$AP1498)&lt;$AQ1498),"対象月に子が2歳到達済／","")&amp;IF(AND($H1498&lt;&gt;"",INDEX(職員マスタ!$B$6:$B$405,$AP1498)&lt;&gt;"",SUBSTITUTE(SUBSTITUTE($H1498," ","")," ","")&lt;&gt;SUBSTITUTE(SUBSTITUTE(INDEX(職員マスタ!$B$6:$B$405,$AP1498)," ","")," ","")),"氏名がマスタと相違／","")&amp;IF(AND($Q1498&lt;&gt;"",INDEX(職員マスタ!$E$6:$E$405,$AP1498)&lt;&gt;"",$Q1498&lt;&gt;INDEX(職員マスタ!$E$6:$E$405,$AP1498)),"子の生年月日がマスタと相違／","")&amp;IF(AND($L1498&lt;&gt;"",INDEX(職員マスタ!$G$6:$G$405,$AP1498)&lt;&gt;"",$L1498&lt;&gt;INDEX(職員マスタ!$G$6:$G$405,$AP1498)),"時短開始日がマスタと相違／","")&amp;IF(AND($M1498&lt;&gt;"",INDEX(職員マスタ!$H$6:$H$405,$AP1498)&lt;&gt;"",$M1498&lt;&gt;INDEX(職員マスタ!$H$6:$H$405,$AP1498)),"時短終了日がマスタと相違／","")))&amp;IF(AND($B1498&lt;&gt;"",$E1498=""),"報酬額が未入力／","")&amp;IF(N($U1498)&gt;0,"申請書に入力エラーが残っています／","")&amp;IF(AND($B1498&lt;&gt;"",$AQ1498&lt;&gt;""),IF(COUNTIFS($B$6:$B$3005,$B1498,$C$6:$C$3005,$C1498,$D$6:$D$3005,$D1498)&gt;1,"同じ月の請求が重複しています／",""),"")&amp;IF(AND(N($E1498)&gt;0,$AB1498&lt;&gt;"",$AB1498&lt;&gt;"×",$AE1498=0,$AD1498=""),"計算額が下限以下のため不支給／",""))</f>
        <v/>
      </c>
      <c r="AN1498" s="12" t="n"/>
      <c r="AO1498" s="14">
        <f>IF($AF1498="保留中",COUNTIF($AF$6:$AF1498,"保留中"),"")</f>
        <v/>
      </c>
      <c r="AP1498" s="14">
        <f>IF($AQ1498="","",IF(SUMPRODUCT(MAX((職員マスタ!$A$6:$A$405=$B1498)*(((職員マスタ!$G$6:$G$405="")+(職員マスタ!$G$6:$G$405&lt;=EOMONTH($AQ1498,0)))&gt;0)*(((職員マスタ!$H$6:$H$405="")+(職員マスタ!$H$6:$H$405&gt;=$AQ1498))&gt;0)*(ROW(職員マスタ!$A$6:$A$405)-5)))&gt;0,SUMPRODUCT(MAX((職員マスタ!$A$6:$A$405=$B1498)*(((職員マスタ!$G$6:$G$405="")+(職員マスタ!$G$6:$G$405&lt;=EOMONTH($AQ1498,0)))&gt;0)*(((職員マスタ!$H$6:$H$405="")+(職員マスタ!$H$6:$H$405&gt;=$AQ1498))&gt;0)*(ROW(職員マスタ!$A$6:$A$405)-5))),IFERROR(MATCH($B1498,職員マスタ!$A$6:$A$405,0),"")))</f>
        <v/>
      </c>
      <c r="AQ1498" s="16">
        <f>IF(OR($B1498="",$C1498="",$D1498=""),"",DATE($C1498+2018,$D1498,1))</f>
        <v/>
      </c>
    </row>
    <row r="1499">
      <c r="A1499" s="11" t="n"/>
      <c r="B1499" s="12" t="n"/>
      <c r="C1499" s="12" t="n"/>
      <c r="D1499" s="12" t="n"/>
      <c r="E1499" s="13" t="n"/>
      <c r="F1499" s="12" t="n"/>
      <c r="G1499" s="13" t="n"/>
      <c r="H1499" s="12" t="n"/>
      <c r="I1499" s="12" t="n"/>
      <c r="J1499" s="12" t="n"/>
      <c r="K1499" s="12" t="n"/>
      <c r="L1499" s="11" t="n"/>
      <c r="M1499" s="11" t="n"/>
      <c r="N1499" s="11" t="n"/>
      <c r="O1499" s="11" t="n"/>
      <c r="P1499" s="12" t="n"/>
      <c r="Q1499" s="11" t="n"/>
      <c r="R1499" s="12" t="n"/>
      <c r="S1499" s="11" t="n"/>
      <c r="T1499" s="12" t="n"/>
      <c r="U1499" s="12" t="n"/>
      <c r="V1499" s="12" t="n"/>
      <c r="W1499" s="13" t="n"/>
      <c r="X1499" s="14">
        <f>IF($AP1499="",IF($B1499="","",$H1499),IF(INDEX(職員マスタ!$B$6:$B$405,$AP1499)="",$H1499,INDEX(職員マスタ!$B$6:$B$405,$AP1499)))</f>
        <v/>
      </c>
      <c r="Y1499" s="14">
        <f>IF($AP1499="",IF($B1499="","",$R1499),IF(INDEX(職員マスタ!$C$6:$C$405,$AP1499)="",$R1499,INDEX(職員マスタ!$C$6:$C$405,$AP1499)))</f>
        <v/>
      </c>
      <c r="Z1499" s="14">
        <f>IF($AQ1499="","","R"&amp;$C1499&amp;"."&amp;$D1499)</f>
        <v/>
      </c>
      <c r="AA1499" s="15">
        <f>IF(IF($AP1499="",FALSE,INDEX(職員マスタ!$K$6:$K$405,$AP1499)&lt;&gt;""),INDEX(職員マスタ!$K$6:$K$405,$AP1499),IF(N($W1499)&gt;0,$W1499,""))</f>
        <v/>
      </c>
      <c r="AB1499" s="14">
        <f>IF(OR($E1499="",$AA1499=""),"",IF($E1499&gt;=$AA1499,"×",IF($E1499&gt;=$AA1499*設定!$C$5,"△","○")))</f>
        <v/>
      </c>
      <c r="AC1499" s="15">
        <f>IF($AB1499="","",IF($AB1499="×",0,IF($AB1499="○",ROUNDDOWN($E1499*設定!$C$4,0),ROUNDDOWN($E1499*ROUND((9*$AA1499-9*$E1499)/(10*$E1499),4),0))))</f>
        <v/>
      </c>
      <c r="AD1499" s="13" t="n"/>
      <c r="AE1499" s="15">
        <f>IF($B1499="","",IF($AD1499&lt;&gt;"",$AD1499,IF($AC1499="","",IF($AC1499&lt;=設定!$C$3,0,$AC1499))))</f>
        <v/>
      </c>
      <c r="AF1499" s="14">
        <f>IF($B1499="","",IF(AND($AG1499&lt;&gt;"",$AI1499="",$AL1499=""),"保留中",IF($AL1499&lt;&gt;"",IF(N($AE1499)&gt;0,"支給済","不支給"),IF($AE1499="","要確認",IF($AE1499=0,"不支給","未処理")))))</f>
        <v/>
      </c>
      <c r="AG1499" s="12" t="n"/>
      <c r="AH1499" s="11" t="n"/>
      <c r="AI1499" s="11" t="n"/>
      <c r="AJ1499" s="11" t="n"/>
      <c r="AK1499" s="14">
        <f>IF(AND($AF1499="保留中",$AH1499&lt;&gt;""),TODAY()-$AH1499,"")</f>
        <v/>
      </c>
      <c r="AL1499" s="12" t="n"/>
      <c r="AM1499" s="14">
        <f>IF($B1499="","",IF($AQ1499="","対象年月が未入力／","")&amp;IF($B1499="","",IF($AP1499="","職員マスタに未登録の職員番号／",IF($AA1499="","標準報酬月額が未登録／","")&amp;IF(AND($AQ1499&lt;&gt;"",OR(AND(INDEX(職員マスタ!$G$6:$G$405,$AP1499)&lt;&gt;"",INDEX(職員マスタ!$G$6:$G$405,$AP1499)&gt;EOMONTH($AQ1499,0)),AND(INDEX(職員マスタ!$H$6:$H$405,$AP1499)&lt;&gt;"",INDEX(職員マスタ!$H$6:$H$405,$AP1499)&lt;$AQ1499))),"対象月が時短期間外／","")&amp;IF(AND(INDEX(職員マスタ!$K$6:$K$405,$AP1499)&lt;&gt;"",N($W1499)&gt;0,INDEX(職員マスタ!$K$6:$K$405,$AP1499)&lt;&gt;$W1499),"標準報酬月額が申請書と相違（台帳"&amp;TEXT(INDEX(職員マスタ!$K$6:$K$405,$AP1499),"#,##0")&amp;"円／申請書"&amp;TEXT($W1499,"#,##0")&amp;"円）／","")&amp;IF(AND(INDEX(職員マスタ!$F$6:$F$405,$AP1499)&lt;&gt;"",$AQ1499&lt;&gt;"",INDEX(職員マスタ!$F$6:$F$405,$AP1499)&lt;$AQ1499),"対象月に子が2歳到達済／","")&amp;IF(AND($H1499&lt;&gt;"",INDEX(職員マスタ!$B$6:$B$405,$AP1499)&lt;&gt;"",SUBSTITUTE(SUBSTITUTE($H1499," ","")," ","")&lt;&gt;SUBSTITUTE(SUBSTITUTE(INDEX(職員マスタ!$B$6:$B$405,$AP1499)," ","")," ","")),"氏名がマスタと相違／","")&amp;IF(AND($Q1499&lt;&gt;"",INDEX(職員マスタ!$E$6:$E$405,$AP1499)&lt;&gt;"",$Q1499&lt;&gt;INDEX(職員マスタ!$E$6:$E$405,$AP1499)),"子の生年月日がマスタと相違／","")&amp;IF(AND($L1499&lt;&gt;"",INDEX(職員マスタ!$G$6:$G$405,$AP1499)&lt;&gt;"",$L1499&lt;&gt;INDEX(職員マスタ!$G$6:$G$405,$AP1499)),"時短開始日がマスタと相違／","")&amp;IF(AND($M1499&lt;&gt;"",INDEX(職員マスタ!$H$6:$H$405,$AP1499)&lt;&gt;"",$M1499&lt;&gt;INDEX(職員マスタ!$H$6:$H$405,$AP1499)),"時短終了日がマスタと相違／","")))&amp;IF(AND($B1499&lt;&gt;"",$E1499=""),"報酬額が未入力／","")&amp;IF(N($U1499)&gt;0,"申請書に入力エラーが残っています／","")&amp;IF(AND($B1499&lt;&gt;"",$AQ1499&lt;&gt;""),IF(COUNTIFS($B$6:$B$3005,$B1499,$C$6:$C$3005,$C1499,$D$6:$D$3005,$D1499)&gt;1,"同じ月の請求が重複しています／",""),"")&amp;IF(AND(N($E1499)&gt;0,$AB1499&lt;&gt;"",$AB1499&lt;&gt;"×",$AE1499=0,$AD1499=""),"計算額が下限以下のため不支給／",""))</f>
        <v/>
      </c>
      <c r="AN1499" s="12" t="n"/>
      <c r="AO1499" s="14">
        <f>IF($AF1499="保留中",COUNTIF($AF$6:$AF1499,"保留中"),"")</f>
        <v/>
      </c>
      <c r="AP1499" s="14">
        <f>IF($AQ1499="","",IF(SUMPRODUCT(MAX((職員マスタ!$A$6:$A$405=$B1499)*(((職員マスタ!$G$6:$G$405="")+(職員マスタ!$G$6:$G$405&lt;=EOMONTH($AQ1499,0)))&gt;0)*(((職員マスタ!$H$6:$H$405="")+(職員マスタ!$H$6:$H$405&gt;=$AQ1499))&gt;0)*(ROW(職員マスタ!$A$6:$A$405)-5)))&gt;0,SUMPRODUCT(MAX((職員マスタ!$A$6:$A$405=$B1499)*(((職員マスタ!$G$6:$G$405="")+(職員マスタ!$G$6:$G$405&lt;=EOMONTH($AQ1499,0)))&gt;0)*(((職員マスタ!$H$6:$H$405="")+(職員マスタ!$H$6:$H$405&gt;=$AQ1499))&gt;0)*(ROW(職員マスタ!$A$6:$A$405)-5))),IFERROR(MATCH($B1499,職員マスタ!$A$6:$A$405,0),"")))</f>
        <v/>
      </c>
      <c r="AQ1499" s="16">
        <f>IF(OR($B1499="",$C1499="",$D1499=""),"",DATE($C1499+2018,$D1499,1))</f>
        <v/>
      </c>
    </row>
    <row r="1500">
      <c r="A1500" s="11" t="n"/>
      <c r="B1500" s="12" t="n"/>
      <c r="C1500" s="12" t="n"/>
      <c r="D1500" s="12" t="n"/>
      <c r="E1500" s="13" t="n"/>
      <c r="F1500" s="12" t="n"/>
      <c r="G1500" s="13" t="n"/>
      <c r="H1500" s="12" t="n"/>
      <c r="I1500" s="12" t="n"/>
      <c r="J1500" s="12" t="n"/>
      <c r="K1500" s="12" t="n"/>
      <c r="L1500" s="11" t="n"/>
      <c r="M1500" s="11" t="n"/>
      <c r="N1500" s="11" t="n"/>
      <c r="O1500" s="11" t="n"/>
      <c r="P1500" s="12" t="n"/>
      <c r="Q1500" s="11" t="n"/>
      <c r="R1500" s="12" t="n"/>
      <c r="S1500" s="11" t="n"/>
      <c r="T1500" s="12" t="n"/>
      <c r="U1500" s="12" t="n"/>
      <c r="V1500" s="12" t="n"/>
      <c r="W1500" s="13" t="n"/>
      <c r="X1500" s="14">
        <f>IF($AP1500="",IF($B1500="","",$H1500),IF(INDEX(職員マスタ!$B$6:$B$405,$AP1500)="",$H1500,INDEX(職員マスタ!$B$6:$B$405,$AP1500)))</f>
        <v/>
      </c>
      <c r="Y1500" s="14">
        <f>IF($AP1500="",IF($B1500="","",$R1500),IF(INDEX(職員マスタ!$C$6:$C$405,$AP1500)="",$R1500,INDEX(職員マスタ!$C$6:$C$405,$AP1500)))</f>
        <v/>
      </c>
      <c r="Z1500" s="14">
        <f>IF($AQ1500="","","R"&amp;$C1500&amp;"."&amp;$D1500)</f>
        <v/>
      </c>
      <c r="AA1500" s="15">
        <f>IF(IF($AP1500="",FALSE,INDEX(職員マスタ!$K$6:$K$405,$AP1500)&lt;&gt;""),INDEX(職員マスタ!$K$6:$K$405,$AP1500),IF(N($W1500)&gt;0,$W1500,""))</f>
        <v/>
      </c>
      <c r="AB1500" s="14">
        <f>IF(OR($E1500="",$AA1500=""),"",IF($E1500&gt;=$AA1500,"×",IF($E1500&gt;=$AA1500*設定!$C$5,"△","○")))</f>
        <v/>
      </c>
      <c r="AC1500" s="15">
        <f>IF($AB1500="","",IF($AB1500="×",0,IF($AB1500="○",ROUNDDOWN($E1500*設定!$C$4,0),ROUNDDOWN($E1500*ROUND((9*$AA1500-9*$E1500)/(10*$E1500),4),0))))</f>
        <v/>
      </c>
      <c r="AD1500" s="13" t="n"/>
      <c r="AE1500" s="15">
        <f>IF($B1500="","",IF($AD1500&lt;&gt;"",$AD1500,IF($AC1500="","",IF($AC1500&lt;=設定!$C$3,0,$AC1500))))</f>
        <v/>
      </c>
      <c r="AF1500" s="14">
        <f>IF($B1500="","",IF(AND($AG1500&lt;&gt;"",$AI1500="",$AL1500=""),"保留中",IF($AL1500&lt;&gt;"",IF(N($AE1500)&gt;0,"支給済","不支給"),IF($AE1500="","要確認",IF($AE1500=0,"不支給","未処理")))))</f>
        <v/>
      </c>
      <c r="AG1500" s="12" t="n"/>
      <c r="AH1500" s="11" t="n"/>
      <c r="AI1500" s="11" t="n"/>
      <c r="AJ1500" s="11" t="n"/>
      <c r="AK1500" s="14">
        <f>IF(AND($AF1500="保留中",$AH1500&lt;&gt;""),TODAY()-$AH1500,"")</f>
        <v/>
      </c>
      <c r="AL1500" s="12" t="n"/>
      <c r="AM1500" s="14">
        <f>IF($B1500="","",IF($AQ1500="","対象年月が未入力／","")&amp;IF($B1500="","",IF($AP1500="","職員マスタに未登録の職員番号／",IF($AA1500="","標準報酬月額が未登録／","")&amp;IF(AND($AQ1500&lt;&gt;"",OR(AND(INDEX(職員マスタ!$G$6:$G$405,$AP1500)&lt;&gt;"",INDEX(職員マスタ!$G$6:$G$405,$AP1500)&gt;EOMONTH($AQ1500,0)),AND(INDEX(職員マスタ!$H$6:$H$405,$AP1500)&lt;&gt;"",INDEX(職員マスタ!$H$6:$H$405,$AP1500)&lt;$AQ1500))),"対象月が時短期間外／","")&amp;IF(AND(INDEX(職員マスタ!$K$6:$K$405,$AP1500)&lt;&gt;"",N($W1500)&gt;0,INDEX(職員マスタ!$K$6:$K$405,$AP1500)&lt;&gt;$W1500),"標準報酬月額が申請書と相違（台帳"&amp;TEXT(INDEX(職員マスタ!$K$6:$K$405,$AP1500),"#,##0")&amp;"円／申請書"&amp;TEXT($W1500,"#,##0")&amp;"円）／","")&amp;IF(AND(INDEX(職員マスタ!$F$6:$F$405,$AP1500)&lt;&gt;"",$AQ1500&lt;&gt;"",INDEX(職員マスタ!$F$6:$F$405,$AP1500)&lt;$AQ1500),"対象月に子が2歳到達済／","")&amp;IF(AND($H1500&lt;&gt;"",INDEX(職員マスタ!$B$6:$B$405,$AP1500)&lt;&gt;"",SUBSTITUTE(SUBSTITUTE($H1500," ","")," ","")&lt;&gt;SUBSTITUTE(SUBSTITUTE(INDEX(職員マスタ!$B$6:$B$405,$AP1500)," ","")," ","")),"氏名がマスタと相違／","")&amp;IF(AND($Q1500&lt;&gt;"",INDEX(職員マスタ!$E$6:$E$405,$AP1500)&lt;&gt;"",$Q1500&lt;&gt;INDEX(職員マスタ!$E$6:$E$405,$AP1500)),"子の生年月日がマスタと相違／","")&amp;IF(AND($L1500&lt;&gt;"",INDEX(職員マスタ!$G$6:$G$405,$AP1500)&lt;&gt;"",$L1500&lt;&gt;INDEX(職員マスタ!$G$6:$G$405,$AP1500)),"時短開始日がマスタと相違／","")&amp;IF(AND($M1500&lt;&gt;"",INDEX(職員マスタ!$H$6:$H$405,$AP1500)&lt;&gt;"",$M1500&lt;&gt;INDEX(職員マスタ!$H$6:$H$405,$AP1500)),"時短終了日がマスタと相違／","")))&amp;IF(AND($B1500&lt;&gt;"",$E1500=""),"報酬額が未入力／","")&amp;IF(N($U1500)&gt;0,"申請書に入力エラーが残っています／","")&amp;IF(AND($B1500&lt;&gt;"",$AQ1500&lt;&gt;""),IF(COUNTIFS($B$6:$B$3005,$B1500,$C$6:$C$3005,$C1500,$D$6:$D$3005,$D1500)&gt;1,"同じ月の請求が重複しています／",""),"")&amp;IF(AND(N($E1500)&gt;0,$AB1500&lt;&gt;"",$AB1500&lt;&gt;"×",$AE1500=0,$AD1500=""),"計算額が下限以下のため不支給／",""))</f>
        <v/>
      </c>
      <c r="AN1500" s="12" t="n"/>
      <c r="AO1500" s="14">
        <f>IF($AF1500="保留中",COUNTIF($AF$6:$AF1500,"保留中"),"")</f>
        <v/>
      </c>
      <c r="AP1500" s="14">
        <f>IF($AQ1500="","",IF(SUMPRODUCT(MAX((職員マスタ!$A$6:$A$405=$B1500)*(((職員マスタ!$G$6:$G$405="")+(職員マスタ!$G$6:$G$405&lt;=EOMONTH($AQ1500,0)))&gt;0)*(((職員マスタ!$H$6:$H$405="")+(職員マスタ!$H$6:$H$405&gt;=$AQ1500))&gt;0)*(ROW(職員マスタ!$A$6:$A$405)-5)))&gt;0,SUMPRODUCT(MAX((職員マスタ!$A$6:$A$405=$B1500)*(((職員マスタ!$G$6:$G$405="")+(職員マスタ!$G$6:$G$405&lt;=EOMONTH($AQ1500,0)))&gt;0)*(((職員マスタ!$H$6:$H$405="")+(職員マスタ!$H$6:$H$405&gt;=$AQ1500))&gt;0)*(ROW(職員マスタ!$A$6:$A$405)-5))),IFERROR(MATCH($B1500,職員マスタ!$A$6:$A$405,0),"")))</f>
        <v/>
      </c>
      <c r="AQ1500" s="16">
        <f>IF(OR($B1500="",$C1500="",$D1500=""),"",DATE($C1500+2018,$D1500,1))</f>
        <v/>
      </c>
    </row>
    <row r="1501">
      <c r="A1501" s="11" t="n"/>
      <c r="B1501" s="12" t="n"/>
      <c r="C1501" s="12" t="n"/>
      <c r="D1501" s="12" t="n"/>
      <c r="E1501" s="13" t="n"/>
      <c r="F1501" s="12" t="n"/>
      <c r="G1501" s="13" t="n"/>
      <c r="H1501" s="12" t="n"/>
      <c r="I1501" s="12" t="n"/>
      <c r="J1501" s="12" t="n"/>
      <c r="K1501" s="12" t="n"/>
      <c r="L1501" s="11" t="n"/>
      <c r="M1501" s="11" t="n"/>
      <c r="N1501" s="11" t="n"/>
      <c r="O1501" s="11" t="n"/>
      <c r="P1501" s="12" t="n"/>
      <c r="Q1501" s="11" t="n"/>
      <c r="R1501" s="12" t="n"/>
      <c r="S1501" s="11" t="n"/>
      <c r="T1501" s="12" t="n"/>
      <c r="U1501" s="12" t="n"/>
      <c r="V1501" s="12" t="n"/>
      <c r="W1501" s="13" t="n"/>
      <c r="X1501" s="14">
        <f>IF($AP1501="",IF($B1501="","",$H1501),IF(INDEX(職員マスタ!$B$6:$B$405,$AP1501)="",$H1501,INDEX(職員マスタ!$B$6:$B$405,$AP1501)))</f>
        <v/>
      </c>
      <c r="Y1501" s="14">
        <f>IF($AP1501="",IF($B1501="","",$R1501),IF(INDEX(職員マスタ!$C$6:$C$405,$AP1501)="",$R1501,INDEX(職員マスタ!$C$6:$C$405,$AP1501)))</f>
        <v/>
      </c>
      <c r="Z1501" s="14">
        <f>IF($AQ1501="","","R"&amp;$C1501&amp;"."&amp;$D1501)</f>
        <v/>
      </c>
      <c r="AA1501" s="15">
        <f>IF(IF($AP1501="",FALSE,INDEX(職員マスタ!$K$6:$K$405,$AP1501)&lt;&gt;""),INDEX(職員マスタ!$K$6:$K$405,$AP1501),IF(N($W1501)&gt;0,$W1501,""))</f>
        <v/>
      </c>
      <c r="AB1501" s="14">
        <f>IF(OR($E1501="",$AA1501=""),"",IF($E1501&gt;=$AA1501,"×",IF($E1501&gt;=$AA1501*設定!$C$5,"△","○")))</f>
        <v/>
      </c>
      <c r="AC1501" s="15">
        <f>IF($AB1501="","",IF($AB1501="×",0,IF($AB1501="○",ROUNDDOWN($E1501*設定!$C$4,0),ROUNDDOWN($E1501*ROUND((9*$AA1501-9*$E1501)/(10*$E1501),4),0))))</f>
        <v/>
      </c>
      <c r="AD1501" s="13" t="n"/>
      <c r="AE1501" s="15">
        <f>IF($B1501="","",IF($AD1501&lt;&gt;"",$AD1501,IF($AC1501="","",IF($AC1501&lt;=設定!$C$3,0,$AC1501))))</f>
        <v/>
      </c>
      <c r="AF1501" s="14">
        <f>IF($B1501="","",IF(AND($AG1501&lt;&gt;"",$AI1501="",$AL1501=""),"保留中",IF($AL1501&lt;&gt;"",IF(N($AE1501)&gt;0,"支給済","不支給"),IF($AE1501="","要確認",IF($AE1501=0,"不支給","未処理")))))</f>
        <v/>
      </c>
      <c r="AG1501" s="12" t="n"/>
      <c r="AH1501" s="11" t="n"/>
      <c r="AI1501" s="11" t="n"/>
      <c r="AJ1501" s="11" t="n"/>
      <c r="AK1501" s="14">
        <f>IF(AND($AF1501="保留中",$AH1501&lt;&gt;""),TODAY()-$AH1501,"")</f>
        <v/>
      </c>
      <c r="AL1501" s="12" t="n"/>
      <c r="AM1501" s="14">
        <f>IF($B1501="","",IF($AQ1501="","対象年月が未入力／","")&amp;IF($B1501="","",IF($AP1501="","職員マスタに未登録の職員番号／",IF($AA1501="","標準報酬月額が未登録／","")&amp;IF(AND($AQ1501&lt;&gt;"",OR(AND(INDEX(職員マスタ!$G$6:$G$405,$AP1501)&lt;&gt;"",INDEX(職員マスタ!$G$6:$G$405,$AP1501)&gt;EOMONTH($AQ1501,0)),AND(INDEX(職員マスタ!$H$6:$H$405,$AP1501)&lt;&gt;"",INDEX(職員マスタ!$H$6:$H$405,$AP1501)&lt;$AQ1501))),"対象月が時短期間外／","")&amp;IF(AND(INDEX(職員マスタ!$K$6:$K$405,$AP1501)&lt;&gt;"",N($W1501)&gt;0,INDEX(職員マスタ!$K$6:$K$405,$AP1501)&lt;&gt;$W1501),"標準報酬月額が申請書と相違（台帳"&amp;TEXT(INDEX(職員マスタ!$K$6:$K$405,$AP1501),"#,##0")&amp;"円／申請書"&amp;TEXT($W1501,"#,##0")&amp;"円）／","")&amp;IF(AND(INDEX(職員マスタ!$F$6:$F$405,$AP1501)&lt;&gt;"",$AQ1501&lt;&gt;"",INDEX(職員マスタ!$F$6:$F$405,$AP1501)&lt;$AQ1501),"対象月に子が2歳到達済／","")&amp;IF(AND($H1501&lt;&gt;"",INDEX(職員マスタ!$B$6:$B$405,$AP1501)&lt;&gt;"",SUBSTITUTE(SUBSTITUTE($H1501," ","")," ","")&lt;&gt;SUBSTITUTE(SUBSTITUTE(INDEX(職員マスタ!$B$6:$B$405,$AP1501)," ","")," ","")),"氏名がマスタと相違／","")&amp;IF(AND($Q1501&lt;&gt;"",INDEX(職員マスタ!$E$6:$E$405,$AP1501)&lt;&gt;"",$Q1501&lt;&gt;INDEX(職員マスタ!$E$6:$E$405,$AP1501)),"子の生年月日がマスタと相違／","")&amp;IF(AND($L1501&lt;&gt;"",INDEX(職員マスタ!$G$6:$G$405,$AP1501)&lt;&gt;"",$L1501&lt;&gt;INDEX(職員マスタ!$G$6:$G$405,$AP1501)),"時短開始日がマスタと相違／","")&amp;IF(AND($M1501&lt;&gt;"",INDEX(職員マスタ!$H$6:$H$405,$AP1501)&lt;&gt;"",$M1501&lt;&gt;INDEX(職員マスタ!$H$6:$H$405,$AP1501)),"時短終了日がマスタと相違／","")))&amp;IF(AND($B1501&lt;&gt;"",$E1501=""),"報酬額が未入力／","")&amp;IF(N($U1501)&gt;0,"申請書に入力エラーが残っています／","")&amp;IF(AND($B1501&lt;&gt;"",$AQ1501&lt;&gt;""),IF(COUNTIFS($B$6:$B$3005,$B1501,$C$6:$C$3005,$C1501,$D$6:$D$3005,$D1501)&gt;1,"同じ月の請求が重複しています／",""),"")&amp;IF(AND(N($E1501)&gt;0,$AB1501&lt;&gt;"",$AB1501&lt;&gt;"×",$AE1501=0,$AD1501=""),"計算額が下限以下のため不支給／",""))</f>
        <v/>
      </c>
      <c r="AN1501" s="12" t="n"/>
      <c r="AO1501" s="14">
        <f>IF($AF1501="保留中",COUNTIF($AF$6:$AF1501,"保留中"),"")</f>
        <v/>
      </c>
      <c r="AP1501" s="14">
        <f>IF($AQ1501="","",IF(SUMPRODUCT(MAX((職員マスタ!$A$6:$A$405=$B1501)*(((職員マスタ!$G$6:$G$405="")+(職員マスタ!$G$6:$G$405&lt;=EOMONTH($AQ1501,0)))&gt;0)*(((職員マスタ!$H$6:$H$405="")+(職員マスタ!$H$6:$H$405&gt;=$AQ1501))&gt;0)*(ROW(職員マスタ!$A$6:$A$405)-5)))&gt;0,SUMPRODUCT(MAX((職員マスタ!$A$6:$A$405=$B1501)*(((職員マスタ!$G$6:$G$405="")+(職員マスタ!$G$6:$G$405&lt;=EOMONTH($AQ1501,0)))&gt;0)*(((職員マスタ!$H$6:$H$405="")+(職員マスタ!$H$6:$H$405&gt;=$AQ1501))&gt;0)*(ROW(職員マスタ!$A$6:$A$405)-5))),IFERROR(MATCH($B1501,職員マスタ!$A$6:$A$405,0),"")))</f>
        <v/>
      </c>
      <c r="AQ1501" s="16">
        <f>IF(OR($B1501="",$C1501="",$D1501=""),"",DATE($C1501+2018,$D1501,1))</f>
        <v/>
      </c>
    </row>
    <row r="1502">
      <c r="A1502" s="11" t="n"/>
      <c r="B1502" s="12" t="n"/>
      <c r="C1502" s="12" t="n"/>
      <c r="D1502" s="12" t="n"/>
      <c r="E1502" s="13" t="n"/>
      <c r="F1502" s="12" t="n"/>
      <c r="G1502" s="13" t="n"/>
      <c r="H1502" s="12" t="n"/>
      <c r="I1502" s="12" t="n"/>
      <c r="J1502" s="12" t="n"/>
      <c r="K1502" s="12" t="n"/>
      <c r="L1502" s="11" t="n"/>
      <c r="M1502" s="11" t="n"/>
      <c r="N1502" s="11" t="n"/>
      <c r="O1502" s="11" t="n"/>
      <c r="P1502" s="12" t="n"/>
      <c r="Q1502" s="11" t="n"/>
      <c r="R1502" s="12" t="n"/>
      <c r="S1502" s="11" t="n"/>
      <c r="T1502" s="12" t="n"/>
      <c r="U1502" s="12" t="n"/>
      <c r="V1502" s="12" t="n"/>
      <c r="W1502" s="13" t="n"/>
      <c r="X1502" s="14">
        <f>IF($AP1502="",IF($B1502="","",$H1502),IF(INDEX(職員マスタ!$B$6:$B$405,$AP1502)="",$H1502,INDEX(職員マスタ!$B$6:$B$405,$AP1502)))</f>
        <v/>
      </c>
      <c r="Y1502" s="14">
        <f>IF($AP1502="",IF($B1502="","",$R1502),IF(INDEX(職員マスタ!$C$6:$C$405,$AP1502)="",$R1502,INDEX(職員マスタ!$C$6:$C$405,$AP1502)))</f>
        <v/>
      </c>
      <c r="Z1502" s="14">
        <f>IF($AQ1502="","","R"&amp;$C1502&amp;"."&amp;$D1502)</f>
        <v/>
      </c>
      <c r="AA1502" s="15">
        <f>IF(IF($AP1502="",FALSE,INDEX(職員マスタ!$K$6:$K$405,$AP1502)&lt;&gt;""),INDEX(職員マスタ!$K$6:$K$405,$AP1502),IF(N($W1502)&gt;0,$W1502,""))</f>
        <v/>
      </c>
      <c r="AB1502" s="14">
        <f>IF(OR($E1502="",$AA1502=""),"",IF($E1502&gt;=$AA1502,"×",IF($E1502&gt;=$AA1502*設定!$C$5,"△","○")))</f>
        <v/>
      </c>
      <c r="AC1502" s="15">
        <f>IF($AB1502="","",IF($AB1502="×",0,IF($AB1502="○",ROUNDDOWN($E1502*設定!$C$4,0),ROUNDDOWN($E1502*ROUND((9*$AA1502-9*$E1502)/(10*$E1502),4),0))))</f>
        <v/>
      </c>
      <c r="AD1502" s="13" t="n"/>
      <c r="AE1502" s="15">
        <f>IF($B1502="","",IF($AD1502&lt;&gt;"",$AD1502,IF($AC1502="","",IF($AC1502&lt;=設定!$C$3,0,$AC1502))))</f>
        <v/>
      </c>
      <c r="AF1502" s="14">
        <f>IF($B1502="","",IF(AND($AG1502&lt;&gt;"",$AI1502="",$AL1502=""),"保留中",IF($AL1502&lt;&gt;"",IF(N($AE1502)&gt;0,"支給済","不支給"),IF($AE1502="","要確認",IF($AE1502=0,"不支給","未処理")))))</f>
        <v/>
      </c>
      <c r="AG1502" s="12" t="n"/>
      <c r="AH1502" s="11" t="n"/>
      <c r="AI1502" s="11" t="n"/>
      <c r="AJ1502" s="11" t="n"/>
      <c r="AK1502" s="14">
        <f>IF(AND($AF1502="保留中",$AH1502&lt;&gt;""),TODAY()-$AH1502,"")</f>
        <v/>
      </c>
      <c r="AL1502" s="12" t="n"/>
      <c r="AM1502" s="14">
        <f>IF($B1502="","",IF($AQ1502="","対象年月が未入力／","")&amp;IF($B1502="","",IF($AP1502="","職員マスタに未登録の職員番号／",IF($AA1502="","標準報酬月額が未登録／","")&amp;IF(AND($AQ1502&lt;&gt;"",OR(AND(INDEX(職員マスタ!$G$6:$G$405,$AP1502)&lt;&gt;"",INDEX(職員マスタ!$G$6:$G$405,$AP1502)&gt;EOMONTH($AQ1502,0)),AND(INDEX(職員マスタ!$H$6:$H$405,$AP1502)&lt;&gt;"",INDEX(職員マスタ!$H$6:$H$405,$AP1502)&lt;$AQ1502))),"対象月が時短期間外／","")&amp;IF(AND(INDEX(職員マスタ!$K$6:$K$405,$AP1502)&lt;&gt;"",N($W1502)&gt;0,INDEX(職員マスタ!$K$6:$K$405,$AP1502)&lt;&gt;$W1502),"標準報酬月額が申請書と相違（台帳"&amp;TEXT(INDEX(職員マスタ!$K$6:$K$405,$AP1502),"#,##0")&amp;"円／申請書"&amp;TEXT($W1502,"#,##0")&amp;"円）／","")&amp;IF(AND(INDEX(職員マスタ!$F$6:$F$405,$AP1502)&lt;&gt;"",$AQ1502&lt;&gt;"",INDEX(職員マスタ!$F$6:$F$405,$AP1502)&lt;$AQ1502),"対象月に子が2歳到達済／","")&amp;IF(AND($H1502&lt;&gt;"",INDEX(職員マスタ!$B$6:$B$405,$AP1502)&lt;&gt;"",SUBSTITUTE(SUBSTITUTE($H1502," ","")," ","")&lt;&gt;SUBSTITUTE(SUBSTITUTE(INDEX(職員マスタ!$B$6:$B$405,$AP1502)," ","")," ","")),"氏名がマスタと相違／","")&amp;IF(AND($Q1502&lt;&gt;"",INDEX(職員マスタ!$E$6:$E$405,$AP1502)&lt;&gt;"",$Q1502&lt;&gt;INDEX(職員マスタ!$E$6:$E$405,$AP1502)),"子の生年月日がマスタと相違／","")&amp;IF(AND($L1502&lt;&gt;"",INDEX(職員マスタ!$G$6:$G$405,$AP1502)&lt;&gt;"",$L1502&lt;&gt;INDEX(職員マスタ!$G$6:$G$405,$AP1502)),"時短開始日がマスタと相違／","")&amp;IF(AND($M1502&lt;&gt;"",INDEX(職員マスタ!$H$6:$H$405,$AP1502)&lt;&gt;"",$M1502&lt;&gt;INDEX(職員マスタ!$H$6:$H$405,$AP1502)),"時短終了日がマスタと相違／","")))&amp;IF(AND($B1502&lt;&gt;"",$E1502=""),"報酬額が未入力／","")&amp;IF(N($U1502)&gt;0,"申請書に入力エラーが残っています／","")&amp;IF(AND($B1502&lt;&gt;"",$AQ1502&lt;&gt;""),IF(COUNTIFS($B$6:$B$3005,$B1502,$C$6:$C$3005,$C1502,$D$6:$D$3005,$D1502)&gt;1,"同じ月の請求が重複しています／",""),"")&amp;IF(AND(N($E1502)&gt;0,$AB1502&lt;&gt;"",$AB1502&lt;&gt;"×",$AE1502=0,$AD1502=""),"計算額が下限以下のため不支給／",""))</f>
        <v/>
      </c>
      <c r="AN1502" s="12" t="n"/>
      <c r="AO1502" s="14">
        <f>IF($AF1502="保留中",COUNTIF($AF$6:$AF1502,"保留中"),"")</f>
        <v/>
      </c>
      <c r="AP1502" s="14">
        <f>IF($AQ1502="","",IF(SUMPRODUCT(MAX((職員マスタ!$A$6:$A$405=$B1502)*(((職員マスタ!$G$6:$G$405="")+(職員マスタ!$G$6:$G$405&lt;=EOMONTH($AQ1502,0)))&gt;0)*(((職員マスタ!$H$6:$H$405="")+(職員マスタ!$H$6:$H$405&gt;=$AQ1502))&gt;0)*(ROW(職員マスタ!$A$6:$A$405)-5)))&gt;0,SUMPRODUCT(MAX((職員マスタ!$A$6:$A$405=$B1502)*(((職員マスタ!$G$6:$G$405="")+(職員マスタ!$G$6:$G$405&lt;=EOMONTH($AQ1502,0)))&gt;0)*(((職員マスタ!$H$6:$H$405="")+(職員マスタ!$H$6:$H$405&gt;=$AQ1502))&gt;0)*(ROW(職員マスタ!$A$6:$A$405)-5))),IFERROR(MATCH($B1502,職員マスタ!$A$6:$A$405,0),"")))</f>
        <v/>
      </c>
      <c r="AQ1502" s="16">
        <f>IF(OR($B1502="",$C1502="",$D1502=""),"",DATE($C1502+2018,$D1502,1))</f>
        <v/>
      </c>
    </row>
    <row r="1503">
      <c r="A1503" s="11" t="n"/>
      <c r="B1503" s="12" t="n"/>
      <c r="C1503" s="12" t="n"/>
      <c r="D1503" s="12" t="n"/>
      <c r="E1503" s="13" t="n"/>
      <c r="F1503" s="12" t="n"/>
      <c r="G1503" s="13" t="n"/>
      <c r="H1503" s="12" t="n"/>
      <c r="I1503" s="12" t="n"/>
      <c r="J1503" s="12" t="n"/>
      <c r="K1503" s="12" t="n"/>
      <c r="L1503" s="11" t="n"/>
      <c r="M1503" s="11" t="n"/>
      <c r="N1503" s="11" t="n"/>
      <c r="O1503" s="11" t="n"/>
      <c r="P1503" s="12" t="n"/>
      <c r="Q1503" s="11" t="n"/>
      <c r="R1503" s="12" t="n"/>
      <c r="S1503" s="11" t="n"/>
      <c r="T1503" s="12" t="n"/>
      <c r="U1503" s="12" t="n"/>
      <c r="V1503" s="12" t="n"/>
      <c r="W1503" s="13" t="n"/>
      <c r="X1503" s="14">
        <f>IF($AP1503="",IF($B1503="","",$H1503),IF(INDEX(職員マスタ!$B$6:$B$405,$AP1503)="",$H1503,INDEX(職員マスタ!$B$6:$B$405,$AP1503)))</f>
        <v/>
      </c>
      <c r="Y1503" s="14">
        <f>IF($AP1503="",IF($B1503="","",$R1503),IF(INDEX(職員マスタ!$C$6:$C$405,$AP1503)="",$R1503,INDEX(職員マスタ!$C$6:$C$405,$AP1503)))</f>
        <v/>
      </c>
      <c r="Z1503" s="14">
        <f>IF($AQ1503="","","R"&amp;$C1503&amp;"."&amp;$D1503)</f>
        <v/>
      </c>
      <c r="AA1503" s="15">
        <f>IF(IF($AP1503="",FALSE,INDEX(職員マスタ!$K$6:$K$405,$AP1503)&lt;&gt;""),INDEX(職員マスタ!$K$6:$K$405,$AP1503),IF(N($W1503)&gt;0,$W1503,""))</f>
        <v/>
      </c>
      <c r="AB1503" s="14">
        <f>IF(OR($E1503="",$AA1503=""),"",IF($E1503&gt;=$AA1503,"×",IF($E1503&gt;=$AA1503*設定!$C$5,"△","○")))</f>
        <v/>
      </c>
      <c r="AC1503" s="15">
        <f>IF($AB1503="","",IF($AB1503="×",0,IF($AB1503="○",ROUNDDOWN($E1503*設定!$C$4,0),ROUNDDOWN($E1503*ROUND((9*$AA1503-9*$E1503)/(10*$E1503),4),0))))</f>
        <v/>
      </c>
      <c r="AD1503" s="13" t="n"/>
      <c r="AE1503" s="15">
        <f>IF($B1503="","",IF($AD1503&lt;&gt;"",$AD1503,IF($AC1503="","",IF($AC1503&lt;=設定!$C$3,0,$AC1503))))</f>
        <v/>
      </c>
      <c r="AF1503" s="14">
        <f>IF($B1503="","",IF(AND($AG1503&lt;&gt;"",$AI1503="",$AL1503=""),"保留中",IF($AL1503&lt;&gt;"",IF(N($AE1503)&gt;0,"支給済","不支給"),IF($AE1503="","要確認",IF($AE1503=0,"不支給","未処理")))))</f>
        <v/>
      </c>
      <c r="AG1503" s="12" t="n"/>
      <c r="AH1503" s="11" t="n"/>
      <c r="AI1503" s="11" t="n"/>
      <c r="AJ1503" s="11" t="n"/>
      <c r="AK1503" s="14">
        <f>IF(AND($AF1503="保留中",$AH1503&lt;&gt;""),TODAY()-$AH1503,"")</f>
        <v/>
      </c>
      <c r="AL1503" s="12" t="n"/>
      <c r="AM1503" s="14">
        <f>IF($B1503="","",IF($AQ1503="","対象年月が未入力／","")&amp;IF($B1503="","",IF($AP1503="","職員マスタに未登録の職員番号／",IF($AA1503="","標準報酬月額が未登録／","")&amp;IF(AND($AQ1503&lt;&gt;"",OR(AND(INDEX(職員マスタ!$G$6:$G$405,$AP1503)&lt;&gt;"",INDEX(職員マスタ!$G$6:$G$405,$AP1503)&gt;EOMONTH($AQ1503,0)),AND(INDEX(職員マスタ!$H$6:$H$405,$AP1503)&lt;&gt;"",INDEX(職員マスタ!$H$6:$H$405,$AP1503)&lt;$AQ1503))),"対象月が時短期間外／","")&amp;IF(AND(INDEX(職員マスタ!$K$6:$K$405,$AP1503)&lt;&gt;"",N($W1503)&gt;0,INDEX(職員マスタ!$K$6:$K$405,$AP1503)&lt;&gt;$W1503),"標準報酬月額が申請書と相違（台帳"&amp;TEXT(INDEX(職員マスタ!$K$6:$K$405,$AP1503),"#,##0")&amp;"円／申請書"&amp;TEXT($W1503,"#,##0")&amp;"円）／","")&amp;IF(AND(INDEX(職員マスタ!$F$6:$F$405,$AP1503)&lt;&gt;"",$AQ1503&lt;&gt;"",INDEX(職員マスタ!$F$6:$F$405,$AP1503)&lt;$AQ1503),"対象月に子が2歳到達済／","")&amp;IF(AND($H1503&lt;&gt;"",INDEX(職員マスタ!$B$6:$B$405,$AP1503)&lt;&gt;"",SUBSTITUTE(SUBSTITUTE($H1503," ","")," ","")&lt;&gt;SUBSTITUTE(SUBSTITUTE(INDEX(職員マスタ!$B$6:$B$405,$AP1503)," ","")," ","")),"氏名がマスタと相違／","")&amp;IF(AND($Q1503&lt;&gt;"",INDEX(職員マスタ!$E$6:$E$405,$AP1503)&lt;&gt;"",$Q1503&lt;&gt;INDEX(職員マスタ!$E$6:$E$405,$AP1503)),"子の生年月日がマスタと相違／","")&amp;IF(AND($L1503&lt;&gt;"",INDEX(職員マスタ!$G$6:$G$405,$AP1503)&lt;&gt;"",$L1503&lt;&gt;INDEX(職員マスタ!$G$6:$G$405,$AP1503)),"時短開始日がマスタと相違／","")&amp;IF(AND($M1503&lt;&gt;"",INDEX(職員マスタ!$H$6:$H$405,$AP1503)&lt;&gt;"",$M1503&lt;&gt;INDEX(職員マスタ!$H$6:$H$405,$AP1503)),"時短終了日がマスタと相違／","")))&amp;IF(AND($B1503&lt;&gt;"",$E1503=""),"報酬額が未入力／","")&amp;IF(N($U1503)&gt;0,"申請書に入力エラーが残っています／","")&amp;IF(AND($B1503&lt;&gt;"",$AQ1503&lt;&gt;""),IF(COUNTIFS($B$6:$B$3005,$B1503,$C$6:$C$3005,$C1503,$D$6:$D$3005,$D1503)&gt;1,"同じ月の請求が重複しています／",""),"")&amp;IF(AND(N($E1503)&gt;0,$AB1503&lt;&gt;"",$AB1503&lt;&gt;"×",$AE1503=0,$AD1503=""),"計算額が下限以下のため不支給／",""))</f>
        <v/>
      </c>
      <c r="AN1503" s="12" t="n"/>
      <c r="AO1503" s="14">
        <f>IF($AF1503="保留中",COUNTIF($AF$6:$AF1503,"保留中"),"")</f>
        <v/>
      </c>
      <c r="AP1503" s="14">
        <f>IF($AQ1503="","",IF(SUMPRODUCT(MAX((職員マスタ!$A$6:$A$405=$B1503)*(((職員マスタ!$G$6:$G$405="")+(職員マスタ!$G$6:$G$405&lt;=EOMONTH($AQ1503,0)))&gt;0)*(((職員マスタ!$H$6:$H$405="")+(職員マスタ!$H$6:$H$405&gt;=$AQ1503))&gt;0)*(ROW(職員マスタ!$A$6:$A$405)-5)))&gt;0,SUMPRODUCT(MAX((職員マスタ!$A$6:$A$405=$B1503)*(((職員マスタ!$G$6:$G$405="")+(職員マスタ!$G$6:$G$405&lt;=EOMONTH($AQ1503,0)))&gt;0)*(((職員マスタ!$H$6:$H$405="")+(職員マスタ!$H$6:$H$405&gt;=$AQ1503))&gt;0)*(ROW(職員マスタ!$A$6:$A$405)-5))),IFERROR(MATCH($B1503,職員マスタ!$A$6:$A$405,0),"")))</f>
        <v/>
      </c>
      <c r="AQ1503" s="16">
        <f>IF(OR($B1503="",$C1503="",$D1503=""),"",DATE($C1503+2018,$D1503,1))</f>
        <v/>
      </c>
    </row>
    <row r="1504">
      <c r="A1504" s="11" t="n"/>
      <c r="B1504" s="12" t="n"/>
      <c r="C1504" s="12" t="n"/>
      <c r="D1504" s="12" t="n"/>
      <c r="E1504" s="13" t="n"/>
      <c r="F1504" s="12" t="n"/>
      <c r="G1504" s="13" t="n"/>
      <c r="H1504" s="12" t="n"/>
      <c r="I1504" s="12" t="n"/>
      <c r="J1504" s="12" t="n"/>
      <c r="K1504" s="12" t="n"/>
      <c r="L1504" s="11" t="n"/>
      <c r="M1504" s="11" t="n"/>
      <c r="N1504" s="11" t="n"/>
      <c r="O1504" s="11" t="n"/>
      <c r="P1504" s="12" t="n"/>
      <c r="Q1504" s="11" t="n"/>
      <c r="R1504" s="12" t="n"/>
      <c r="S1504" s="11" t="n"/>
      <c r="T1504" s="12" t="n"/>
      <c r="U1504" s="12" t="n"/>
      <c r="V1504" s="12" t="n"/>
      <c r="W1504" s="13" t="n"/>
      <c r="X1504" s="14">
        <f>IF($AP1504="",IF($B1504="","",$H1504),IF(INDEX(職員マスタ!$B$6:$B$405,$AP1504)="",$H1504,INDEX(職員マスタ!$B$6:$B$405,$AP1504)))</f>
        <v/>
      </c>
      <c r="Y1504" s="14">
        <f>IF($AP1504="",IF($B1504="","",$R1504),IF(INDEX(職員マスタ!$C$6:$C$405,$AP1504)="",$R1504,INDEX(職員マスタ!$C$6:$C$405,$AP1504)))</f>
        <v/>
      </c>
      <c r="Z1504" s="14">
        <f>IF($AQ1504="","","R"&amp;$C1504&amp;"."&amp;$D1504)</f>
        <v/>
      </c>
      <c r="AA1504" s="15">
        <f>IF(IF($AP1504="",FALSE,INDEX(職員マスタ!$K$6:$K$405,$AP1504)&lt;&gt;""),INDEX(職員マスタ!$K$6:$K$405,$AP1504),IF(N($W1504)&gt;0,$W1504,""))</f>
        <v/>
      </c>
      <c r="AB1504" s="14">
        <f>IF(OR($E1504="",$AA1504=""),"",IF($E1504&gt;=$AA1504,"×",IF($E1504&gt;=$AA1504*設定!$C$5,"△","○")))</f>
        <v/>
      </c>
      <c r="AC1504" s="15">
        <f>IF($AB1504="","",IF($AB1504="×",0,IF($AB1504="○",ROUNDDOWN($E1504*設定!$C$4,0),ROUNDDOWN($E1504*ROUND((9*$AA1504-9*$E1504)/(10*$E1504),4),0))))</f>
        <v/>
      </c>
      <c r="AD1504" s="13" t="n"/>
      <c r="AE1504" s="15">
        <f>IF($B1504="","",IF($AD1504&lt;&gt;"",$AD1504,IF($AC1504="","",IF($AC1504&lt;=設定!$C$3,0,$AC1504))))</f>
        <v/>
      </c>
      <c r="AF1504" s="14">
        <f>IF($B1504="","",IF(AND($AG1504&lt;&gt;"",$AI1504="",$AL1504=""),"保留中",IF($AL1504&lt;&gt;"",IF(N($AE1504)&gt;0,"支給済","不支給"),IF($AE1504="","要確認",IF($AE1504=0,"不支給","未処理")))))</f>
        <v/>
      </c>
      <c r="AG1504" s="12" t="n"/>
      <c r="AH1504" s="11" t="n"/>
      <c r="AI1504" s="11" t="n"/>
      <c r="AJ1504" s="11" t="n"/>
      <c r="AK1504" s="14">
        <f>IF(AND($AF1504="保留中",$AH1504&lt;&gt;""),TODAY()-$AH1504,"")</f>
        <v/>
      </c>
      <c r="AL1504" s="12" t="n"/>
      <c r="AM1504" s="14">
        <f>IF($B1504="","",IF($AQ1504="","対象年月が未入力／","")&amp;IF($B1504="","",IF($AP1504="","職員マスタに未登録の職員番号／",IF($AA1504="","標準報酬月額が未登録／","")&amp;IF(AND($AQ1504&lt;&gt;"",OR(AND(INDEX(職員マスタ!$G$6:$G$405,$AP1504)&lt;&gt;"",INDEX(職員マスタ!$G$6:$G$405,$AP1504)&gt;EOMONTH($AQ1504,0)),AND(INDEX(職員マスタ!$H$6:$H$405,$AP1504)&lt;&gt;"",INDEX(職員マスタ!$H$6:$H$405,$AP1504)&lt;$AQ1504))),"対象月が時短期間外／","")&amp;IF(AND(INDEX(職員マスタ!$K$6:$K$405,$AP1504)&lt;&gt;"",N($W1504)&gt;0,INDEX(職員マスタ!$K$6:$K$405,$AP1504)&lt;&gt;$W1504),"標準報酬月額が申請書と相違（台帳"&amp;TEXT(INDEX(職員マスタ!$K$6:$K$405,$AP1504),"#,##0")&amp;"円／申請書"&amp;TEXT($W1504,"#,##0")&amp;"円）／","")&amp;IF(AND(INDEX(職員マスタ!$F$6:$F$405,$AP1504)&lt;&gt;"",$AQ1504&lt;&gt;"",INDEX(職員マスタ!$F$6:$F$405,$AP1504)&lt;$AQ1504),"対象月に子が2歳到達済／","")&amp;IF(AND($H1504&lt;&gt;"",INDEX(職員マスタ!$B$6:$B$405,$AP1504)&lt;&gt;"",SUBSTITUTE(SUBSTITUTE($H1504," ","")," ","")&lt;&gt;SUBSTITUTE(SUBSTITUTE(INDEX(職員マスタ!$B$6:$B$405,$AP1504)," ","")," ","")),"氏名がマスタと相違／","")&amp;IF(AND($Q1504&lt;&gt;"",INDEX(職員マスタ!$E$6:$E$405,$AP1504)&lt;&gt;"",$Q1504&lt;&gt;INDEX(職員マスタ!$E$6:$E$405,$AP1504)),"子の生年月日がマスタと相違／","")&amp;IF(AND($L1504&lt;&gt;"",INDEX(職員マスタ!$G$6:$G$405,$AP1504)&lt;&gt;"",$L1504&lt;&gt;INDEX(職員マスタ!$G$6:$G$405,$AP1504)),"時短開始日がマスタと相違／","")&amp;IF(AND($M1504&lt;&gt;"",INDEX(職員マスタ!$H$6:$H$405,$AP1504)&lt;&gt;"",$M1504&lt;&gt;INDEX(職員マスタ!$H$6:$H$405,$AP1504)),"時短終了日がマスタと相違／","")))&amp;IF(AND($B1504&lt;&gt;"",$E1504=""),"報酬額が未入力／","")&amp;IF(N($U1504)&gt;0,"申請書に入力エラーが残っています／","")&amp;IF(AND($B1504&lt;&gt;"",$AQ1504&lt;&gt;""),IF(COUNTIFS($B$6:$B$3005,$B1504,$C$6:$C$3005,$C1504,$D$6:$D$3005,$D1504)&gt;1,"同じ月の請求が重複しています／",""),"")&amp;IF(AND(N($E1504)&gt;0,$AB1504&lt;&gt;"",$AB1504&lt;&gt;"×",$AE1504=0,$AD1504=""),"計算額が下限以下のため不支給／",""))</f>
        <v/>
      </c>
      <c r="AN1504" s="12" t="n"/>
      <c r="AO1504" s="14">
        <f>IF($AF1504="保留中",COUNTIF($AF$6:$AF1504,"保留中"),"")</f>
        <v/>
      </c>
      <c r="AP1504" s="14">
        <f>IF($AQ1504="","",IF(SUMPRODUCT(MAX((職員マスタ!$A$6:$A$405=$B1504)*(((職員マスタ!$G$6:$G$405="")+(職員マスタ!$G$6:$G$405&lt;=EOMONTH($AQ1504,0)))&gt;0)*(((職員マスタ!$H$6:$H$405="")+(職員マスタ!$H$6:$H$405&gt;=$AQ1504))&gt;0)*(ROW(職員マスタ!$A$6:$A$405)-5)))&gt;0,SUMPRODUCT(MAX((職員マスタ!$A$6:$A$405=$B1504)*(((職員マスタ!$G$6:$G$405="")+(職員マスタ!$G$6:$G$405&lt;=EOMONTH($AQ1504,0)))&gt;0)*(((職員マスタ!$H$6:$H$405="")+(職員マスタ!$H$6:$H$405&gt;=$AQ1504))&gt;0)*(ROW(職員マスタ!$A$6:$A$405)-5))),IFERROR(MATCH($B1504,職員マスタ!$A$6:$A$405,0),"")))</f>
        <v/>
      </c>
      <c r="AQ1504" s="16">
        <f>IF(OR($B1504="",$C1504="",$D1504=""),"",DATE($C1504+2018,$D1504,1))</f>
        <v/>
      </c>
    </row>
    <row r="1505">
      <c r="A1505" s="11" t="n"/>
      <c r="B1505" s="12" t="n"/>
      <c r="C1505" s="12" t="n"/>
      <c r="D1505" s="12" t="n"/>
      <c r="E1505" s="13" t="n"/>
      <c r="F1505" s="12" t="n"/>
      <c r="G1505" s="13" t="n"/>
      <c r="H1505" s="12" t="n"/>
      <c r="I1505" s="12" t="n"/>
      <c r="J1505" s="12" t="n"/>
      <c r="K1505" s="12" t="n"/>
      <c r="L1505" s="11" t="n"/>
      <c r="M1505" s="11" t="n"/>
      <c r="N1505" s="11" t="n"/>
      <c r="O1505" s="11" t="n"/>
      <c r="P1505" s="12" t="n"/>
      <c r="Q1505" s="11" t="n"/>
      <c r="R1505" s="12" t="n"/>
      <c r="S1505" s="11" t="n"/>
      <c r="T1505" s="12" t="n"/>
      <c r="U1505" s="12" t="n"/>
      <c r="V1505" s="12" t="n"/>
      <c r="W1505" s="13" t="n"/>
      <c r="X1505" s="14">
        <f>IF($AP1505="",IF($B1505="","",$H1505),IF(INDEX(職員マスタ!$B$6:$B$405,$AP1505)="",$H1505,INDEX(職員マスタ!$B$6:$B$405,$AP1505)))</f>
        <v/>
      </c>
      <c r="Y1505" s="14">
        <f>IF($AP1505="",IF($B1505="","",$R1505),IF(INDEX(職員マスタ!$C$6:$C$405,$AP1505)="",$R1505,INDEX(職員マスタ!$C$6:$C$405,$AP1505)))</f>
        <v/>
      </c>
      <c r="Z1505" s="14">
        <f>IF($AQ1505="","","R"&amp;$C1505&amp;"."&amp;$D1505)</f>
        <v/>
      </c>
      <c r="AA1505" s="15">
        <f>IF(IF($AP1505="",FALSE,INDEX(職員マスタ!$K$6:$K$405,$AP1505)&lt;&gt;""),INDEX(職員マスタ!$K$6:$K$405,$AP1505),IF(N($W1505)&gt;0,$W1505,""))</f>
        <v/>
      </c>
      <c r="AB1505" s="14">
        <f>IF(OR($E1505="",$AA1505=""),"",IF($E1505&gt;=$AA1505,"×",IF($E1505&gt;=$AA1505*設定!$C$5,"△","○")))</f>
        <v/>
      </c>
      <c r="AC1505" s="15">
        <f>IF($AB1505="","",IF($AB1505="×",0,IF($AB1505="○",ROUNDDOWN($E1505*設定!$C$4,0),ROUNDDOWN($E1505*ROUND((9*$AA1505-9*$E1505)/(10*$E1505),4),0))))</f>
        <v/>
      </c>
      <c r="AD1505" s="13" t="n"/>
      <c r="AE1505" s="15">
        <f>IF($B1505="","",IF($AD1505&lt;&gt;"",$AD1505,IF($AC1505="","",IF($AC1505&lt;=設定!$C$3,0,$AC1505))))</f>
        <v/>
      </c>
      <c r="AF1505" s="14">
        <f>IF($B1505="","",IF(AND($AG1505&lt;&gt;"",$AI1505="",$AL1505=""),"保留中",IF($AL1505&lt;&gt;"",IF(N($AE1505)&gt;0,"支給済","不支給"),IF($AE1505="","要確認",IF($AE1505=0,"不支給","未処理")))))</f>
        <v/>
      </c>
      <c r="AG1505" s="12" t="n"/>
      <c r="AH1505" s="11" t="n"/>
      <c r="AI1505" s="11" t="n"/>
      <c r="AJ1505" s="11" t="n"/>
      <c r="AK1505" s="14">
        <f>IF(AND($AF1505="保留中",$AH1505&lt;&gt;""),TODAY()-$AH1505,"")</f>
        <v/>
      </c>
      <c r="AL1505" s="12" t="n"/>
      <c r="AM1505" s="14">
        <f>IF($B1505="","",IF($AQ1505="","対象年月が未入力／","")&amp;IF($B1505="","",IF($AP1505="","職員マスタに未登録の職員番号／",IF($AA1505="","標準報酬月額が未登録／","")&amp;IF(AND($AQ1505&lt;&gt;"",OR(AND(INDEX(職員マスタ!$G$6:$G$405,$AP1505)&lt;&gt;"",INDEX(職員マスタ!$G$6:$G$405,$AP1505)&gt;EOMONTH($AQ1505,0)),AND(INDEX(職員マスタ!$H$6:$H$405,$AP1505)&lt;&gt;"",INDEX(職員マスタ!$H$6:$H$405,$AP1505)&lt;$AQ1505))),"対象月が時短期間外／","")&amp;IF(AND(INDEX(職員マスタ!$K$6:$K$405,$AP1505)&lt;&gt;"",N($W1505)&gt;0,INDEX(職員マスタ!$K$6:$K$405,$AP1505)&lt;&gt;$W1505),"標準報酬月額が申請書と相違（台帳"&amp;TEXT(INDEX(職員マスタ!$K$6:$K$405,$AP1505),"#,##0")&amp;"円／申請書"&amp;TEXT($W1505,"#,##0")&amp;"円）／","")&amp;IF(AND(INDEX(職員マスタ!$F$6:$F$405,$AP1505)&lt;&gt;"",$AQ1505&lt;&gt;"",INDEX(職員マスタ!$F$6:$F$405,$AP1505)&lt;$AQ1505),"対象月に子が2歳到達済／","")&amp;IF(AND($H1505&lt;&gt;"",INDEX(職員マスタ!$B$6:$B$405,$AP1505)&lt;&gt;"",SUBSTITUTE(SUBSTITUTE($H1505," ","")," ","")&lt;&gt;SUBSTITUTE(SUBSTITUTE(INDEX(職員マスタ!$B$6:$B$405,$AP1505)," ","")," ","")),"氏名がマスタと相違／","")&amp;IF(AND($Q1505&lt;&gt;"",INDEX(職員マスタ!$E$6:$E$405,$AP1505)&lt;&gt;"",$Q1505&lt;&gt;INDEX(職員マスタ!$E$6:$E$405,$AP1505)),"子の生年月日がマスタと相違／","")&amp;IF(AND($L1505&lt;&gt;"",INDEX(職員マスタ!$G$6:$G$405,$AP1505)&lt;&gt;"",$L1505&lt;&gt;INDEX(職員マスタ!$G$6:$G$405,$AP1505)),"時短開始日がマスタと相違／","")&amp;IF(AND($M1505&lt;&gt;"",INDEX(職員マスタ!$H$6:$H$405,$AP1505)&lt;&gt;"",$M1505&lt;&gt;INDEX(職員マスタ!$H$6:$H$405,$AP1505)),"時短終了日がマスタと相違／","")))&amp;IF(AND($B1505&lt;&gt;"",$E1505=""),"報酬額が未入力／","")&amp;IF(N($U1505)&gt;0,"申請書に入力エラーが残っています／","")&amp;IF(AND($B1505&lt;&gt;"",$AQ1505&lt;&gt;""),IF(COUNTIFS($B$6:$B$3005,$B1505,$C$6:$C$3005,$C1505,$D$6:$D$3005,$D1505)&gt;1,"同じ月の請求が重複しています／",""),"")&amp;IF(AND(N($E1505)&gt;0,$AB1505&lt;&gt;"",$AB1505&lt;&gt;"×",$AE1505=0,$AD1505=""),"計算額が下限以下のため不支給／",""))</f>
        <v/>
      </c>
      <c r="AN1505" s="12" t="n"/>
      <c r="AO1505" s="14">
        <f>IF($AF1505="保留中",COUNTIF($AF$6:$AF1505,"保留中"),"")</f>
        <v/>
      </c>
      <c r="AP1505" s="14">
        <f>IF($AQ1505="","",IF(SUMPRODUCT(MAX((職員マスタ!$A$6:$A$405=$B1505)*(((職員マスタ!$G$6:$G$405="")+(職員マスタ!$G$6:$G$405&lt;=EOMONTH($AQ1505,0)))&gt;0)*(((職員マスタ!$H$6:$H$405="")+(職員マスタ!$H$6:$H$405&gt;=$AQ1505))&gt;0)*(ROW(職員マスタ!$A$6:$A$405)-5)))&gt;0,SUMPRODUCT(MAX((職員マスタ!$A$6:$A$405=$B1505)*(((職員マスタ!$G$6:$G$405="")+(職員マスタ!$G$6:$G$405&lt;=EOMONTH($AQ1505,0)))&gt;0)*(((職員マスタ!$H$6:$H$405="")+(職員マスタ!$H$6:$H$405&gt;=$AQ1505))&gt;0)*(ROW(職員マスタ!$A$6:$A$405)-5))),IFERROR(MATCH($B1505,職員マスタ!$A$6:$A$405,0),"")))</f>
        <v/>
      </c>
      <c r="AQ1505" s="16">
        <f>IF(OR($B1505="",$C1505="",$D1505=""),"",DATE($C1505+2018,$D1505,1))</f>
        <v/>
      </c>
    </row>
    <row r="1506">
      <c r="A1506" s="11" t="n"/>
      <c r="B1506" s="12" t="n"/>
      <c r="C1506" s="12" t="n"/>
      <c r="D1506" s="12" t="n"/>
      <c r="E1506" s="13" t="n"/>
      <c r="F1506" s="12" t="n"/>
      <c r="G1506" s="13" t="n"/>
      <c r="H1506" s="12" t="n"/>
      <c r="I1506" s="12" t="n"/>
      <c r="J1506" s="12" t="n"/>
      <c r="K1506" s="12" t="n"/>
      <c r="L1506" s="11" t="n"/>
      <c r="M1506" s="11" t="n"/>
      <c r="N1506" s="11" t="n"/>
      <c r="O1506" s="11" t="n"/>
      <c r="P1506" s="12" t="n"/>
      <c r="Q1506" s="11" t="n"/>
      <c r="R1506" s="12" t="n"/>
      <c r="S1506" s="11" t="n"/>
      <c r="T1506" s="12" t="n"/>
      <c r="U1506" s="12" t="n"/>
      <c r="V1506" s="12" t="n"/>
      <c r="W1506" s="13" t="n"/>
      <c r="X1506" s="14">
        <f>IF($AP1506="",IF($B1506="","",$H1506),IF(INDEX(職員マスタ!$B$6:$B$405,$AP1506)="",$H1506,INDEX(職員マスタ!$B$6:$B$405,$AP1506)))</f>
        <v/>
      </c>
      <c r="Y1506" s="14">
        <f>IF($AP1506="",IF($B1506="","",$R1506),IF(INDEX(職員マスタ!$C$6:$C$405,$AP1506)="",$R1506,INDEX(職員マスタ!$C$6:$C$405,$AP1506)))</f>
        <v/>
      </c>
      <c r="Z1506" s="14">
        <f>IF($AQ1506="","","R"&amp;$C1506&amp;"."&amp;$D1506)</f>
        <v/>
      </c>
      <c r="AA1506" s="15">
        <f>IF(IF($AP1506="",FALSE,INDEX(職員マスタ!$K$6:$K$405,$AP1506)&lt;&gt;""),INDEX(職員マスタ!$K$6:$K$405,$AP1506),IF(N($W1506)&gt;0,$W1506,""))</f>
        <v/>
      </c>
      <c r="AB1506" s="14">
        <f>IF(OR($E1506="",$AA1506=""),"",IF($E1506&gt;=$AA1506,"×",IF($E1506&gt;=$AA1506*設定!$C$5,"△","○")))</f>
        <v/>
      </c>
      <c r="AC1506" s="15">
        <f>IF($AB1506="","",IF($AB1506="×",0,IF($AB1506="○",ROUNDDOWN($E1506*設定!$C$4,0),ROUNDDOWN($E1506*ROUND((9*$AA1506-9*$E1506)/(10*$E1506),4),0))))</f>
        <v/>
      </c>
      <c r="AD1506" s="13" t="n"/>
      <c r="AE1506" s="15">
        <f>IF($B1506="","",IF($AD1506&lt;&gt;"",$AD1506,IF($AC1506="","",IF($AC1506&lt;=設定!$C$3,0,$AC1506))))</f>
        <v/>
      </c>
      <c r="AF1506" s="14">
        <f>IF($B1506="","",IF(AND($AG1506&lt;&gt;"",$AI1506="",$AL1506=""),"保留中",IF($AL1506&lt;&gt;"",IF(N($AE1506)&gt;0,"支給済","不支給"),IF($AE1506="","要確認",IF($AE1506=0,"不支給","未処理")))))</f>
        <v/>
      </c>
      <c r="AG1506" s="12" t="n"/>
      <c r="AH1506" s="11" t="n"/>
      <c r="AI1506" s="11" t="n"/>
      <c r="AJ1506" s="11" t="n"/>
      <c r="AK1506" s="14">
        <f>IF(AND($AF1506="保留中",$AH1506&lt;&gt;""),TODAY()-$AH1506,"")</f>
        <v/>
      </c>
      <c r="AL1506" s="12" t="n"/>
      <c r="AM1506" s="14">
        <f>IF($B1506="","",IF($AQ1506="","対象年月が未入力／","")&amp;IF($B1506="","",IF($AP1506="","職員マスタに未登録の職員番号／",IF($AA1506="","標準報酬月額が未登録／","")&amp;IF(AND($AQ1506&lt;&gt;"",OR(AND(INDEX(職員マスタ!$G$6:$G$405,$AP1506)&lt;&gt;"",INDEX(職員マスタ!$G$6:$G$405,$AP1506)&gt;EOMONTH($AQ1506,0)),AND(INDEX(職員マスタ!$H$6:$H$405,$AP1506)&lt;&gt;"",INDEX(職員マスタ!$H$6:$H$405,$AP1506)&lt;$AQ1506))),"対象月が時短期間外／","")&amp;IF(AND(INDEX(職員マスタ!$K$6:$K$405,$AP1506)&lt;&gt;"",N($W1506)&gt;0,INDEX(職員マスタ!$K$6:$K$405,$AP1506)&lt;&gt;$W1506),"標準報酬月額が申請書と相違（台帳"&amp;TEXT(INDEX(職員マスタ!$K$6:$K$405,$AP1506),"#,##0")&amp;"円／申請書"&amp;TEXT($W1506,"#,##0")&amp;"円）／","")&amp;IF(AND(INDEX(職員マスタ!$F$6:$F$405,$AP1506)&lt;&gt;"",$AQ1506&lt;&gt;"",INDEX(職員マスタ!$F$6:$F$405,$AP1506)&lt;$AQ1506),"対象月に子が2歳到達済／","")&amp;IF(AND($H1506&lt;&gt;"",INDEX(職員マスタ!$B$6:$B$405,$AP1506)&lt;&gt;"",SUBSTITUTE(SUBSTITUTE($H1506," ","")," ","")&lt;&gt;SUBSTITUTE(SUBSTITUTE(INDEX(職員マスタ!$B$6:$B$405,$AP1506)," ","")," ","")),"氏名がマスタと相違／","")&amp;IF(AND($Q1506&lt;&gt;"",INDEX(職員マスタ!$E$6:$E$405,$AP1506)&lt;&gt;"",$Q1506&lt;&gt;INDEX(職員マスタ!$E$6:$E$405,$AP1506)),"子の生年月日がマスタと相違／","")&amp;IF(AND($L1506&lt;&gt;"",INDEX(職員マスタ!$G$6:$G$405,$AP1506)&lt;&gt;"",$L1506&lt;&gt;INDEX(職員マスタ!$G$6:$G$405,$AP1506)),"時短開始日がマスタと相違／","")&amp;IF(AND($M1506&lt;&gt;"",INDEX(職員マスタ!$H$6:$H$405,$AP1506)&lt;&gt;"",$M1506&lt;&gt;INDEX(職員マスタ!$H$6:$H$405,$AP1506)),"時短終了日がマスタと相違／","")))&amp;IF(AND($B1506&lt;&gt;"",$E1506=""),"報酬額が未入力／","")&amp;IF(N($U1506)&gt;0,"申請書に入力エラーが残っています／","")&amp;IF(AND($B1506&lt;&gt;"",$AQ1506&lt;&gt;""),IF(COUNTIFS($B$6:$B$3005,$B1506,$C$6:$C$3005,$C1506,$D$6:$D$3005,$D1506)&gt;1,"同じ月の請求が重複しています／",""),"")&amp;IF(AND(N($E1506)&gt;0,$AB1506&lt;&gt;"",$AB1506&lt;&gt;"×",$AE1506=0,$AD1506=""),"計算額が下限以下のため不支給／",""))</f>
        <v/>
      </c>
      <c r="AN1506" s="12" t="n"/>
      <c r="AO1506" s="14">
        <f>IF($AF1506="保留中",COUNTIF($AF$6:$AF1506,"保留中"),"")</f>
        <v/>
      </c>
      <c r="AP1506" s="14">
        <f>IF($AQ1506="","",IF(SUMPRODUCT(MAX((職員マスタ!$A$6:$A$405=$B1506)*(((職員マスタ!$G$6:$G$405="")+(職員マスタ!$G$6:$G$405&lt;=EOMONTH($AQ1506,0)))&gt;0)*(((職員マスタ!$H$6:$H$405="")+(職員マスタ!$H$6:$H$405&gt;=$AQ1506))&gt;0)*(ROW(職員マスタ!$A$6:$A$405)-5)))&gt;0,SUMPRODUCT(MAX((職員マスタ!$A$6:$A$405=$B1506)*(((職員マスタ!$G$6:$G$405="")+(職員マスタ!$G$6:$G$405&lt;=EOMONTH($AQ1506,0)))&gt;0)*(((職員マスタ!$H$6:$H$405="")+(職員マスタ!$H$6:$H$405&gt;=$AQ1506))&gt;0)*(ROW(職員マスタ!$A$6:$A$405)-5))),IFERROR(MATCH($B1506,職員マスタ!$A$6:$A$405,0),"")))</f>
        <v/>
      </c>
      <c r="AQ1506" s="16">
        <f>IF(OR($B1506="",$C1506="",$D1506=""),"",DATE($C1506+2018,$D1506,1))</f>
        <v/>
      </c>
    </row>
    <row r="1507">
      <c r="A1507" s="11" t="n"/>
      <c r="B1507" s="12" t="n"/>
      <c r="C1507" s="12" t="n"/>
      <c r="D1507" s="12" t="n"/>
      <c r="E1507" s="13" t="n"/>
      <c r="F1507" s="12" t="n"/>
      <c r="G1507" s="13" t="n"/>
      <c r="H1507" s="12" t="n"/>
      <c r="I1507" s="12" t="n"/>
      <c r="J1507" s="12" t="n"/>
      <c r="K1507" s="12" t="n"/>
      <c r="L1507" s="11" t="n"/>
      <c r="M1507" s="11" t="n"/>
      <c r="N1507" s="11" t="n"/>
      <c r="O1507" s="11" t="n"/>
      <c r="P1507" s="12" t="n"/>
      <c r="Q1507" s="11" t="n"/>
      <c r="R1507" s="12" t="n"/>
      <c r="S1507" s="11" t="n"/>
      <c r="T1507" s="12" t="n"/>
      <c r="U1507" s="12" t="n"/>
      <c r="V1507" s="12" t="n"/>
      <c r="W1507" s="13" t="n"/>
      <c r="X1507" s="14">
        <f>IF($AP1507="",IF($B1507="","",$H1507),IF(INDEX(職員マスタ!$B$6:$B$405,$AP1507)="",$H1507,INDEX(職員マスタ!$B$6:$B$405,$AP1507)))</f>
        <v/>
      </c>
      <c r="Y1507" s="14">
        <f>IF($AP1507="",IF($B1507="","",$R1507),IF(INDEX(職員マスタ!$C$6:$C$405,$AP1507)="",$R1507,INDEX(職員マスタ!$C$6:$C$405,$AP1507)))</f>
        <v/>
      </c>
      <c r="Z1507" s="14">
        <f>IF($AQ1507="","","R"&amp;$C1507&amp;"."&amp;$D1507)</f>
        <v/>
      </c>
      <c r="AA1507" s="15">
        <f>IF(IF($AP1507="",FALSE,INDEX(職員マスタ!$K$6:$K$405,$AP1507)&lt;&gt;""),INDEX(職員マスタ!$K$6:$K$405,$AP1507),IF(N($W1507)&gt;0,$W1507,""))</f>
        <v/>
      </c>
      <c r="AB1507" s="14">
        <f>IF(OR($E1507="",$AA1507=""),"",IF($E1507&gt;=$AA1507,"×",IF($E1507&gt;=$AA1507*設定!$C$5,"△","○")))</f>
        <v/>
      </c>
      <c r="AC1507" s="15">
        <f>IF($AB1507="","",IF($AB1507="×",0,IF($AB1507="○",ROUNDDOWN($E1507*設定!$C$4,0),ROUNDDOWN($E1507*ROUND((9*$AA1507-9*$E1507)/(10*$E1507),4),0))))</f>
        <v/>
      </c>
      <c r="AD1507" s="13" t="n"/>
      <c r="AE1507" s="15">
        <f>IF($B1507="","",IF($AD1507&lt;&gt;"",$AD1507,IF($AC1507="","",IF($AC1507&lt;=設定!$C$3,0,$AC1507))))</f>
        <v/>
      </c>
      <c r="AF1507" s="14">
        <f>IF($B1507="","",IF(AND($AG1507&lt;&gt;"",$AI1507="",$AL1507=""),"保留中",IF($AL1507&lt;&gt;"",IF(N($AE1507)&gt;0,"支給済","不支給"),IF($AE1507="","要確認",IF($AE1507=0,"不支給","未処理")))))</f>
        <v/>
      </c>
      <c r="AG1507" s="12" t="n"/>
      <c r="AH1507" s="11" t="n"/>
      <c r="AI1507" s="11" t="n"/>
      <c r="AJ1507" s="11" t="n"/>
      <c r="AK1507" s="14">
        <f>IF(AND($AF1507="保留中",$AH1507&lt;&gt;""),TODAY()-$AH1507,"")</f>
        <v/>
      </c>
      <c r="AL1507" s="12" t="n"/>
      <c r="AM1507" s="14">
        <f>IF($B1507="","",IF($AQ1507="","対象年月が未入力／","")&amp;IF($B1507="","",IF($AP1507="","職員マスタに未登録の職員番号／",IF($AA1507="","標準報酬月額が未登録／","")&amp;IF(AND($AQ1507&lt;&gt;"",OR(AND(INDEX(職員マスタ!$G$6:$G$405,$AP1507)&lt;&gt;"",INDEX(職員マスタ!$G$6:$G$405,$AP1507)&gt;EOMONTH($AQ1507,0)),AND(INDEX(職員マスタ!$H$6:$H$405,$AP1507)&lt;&gt;"",INDEX(職員マスタ!$H$6:$H$405,$AP1507)&lt;$AQ1507))),"対象月が時短期間外／","")&amp;IF(AND(INDEX(職員マスタ!$K$6:$K$405,$AP1507)&lt;&gt;"",N($W1507)&gt;0,INDEX(職員マスタ!$K$6:$K$405,$AP1507)&lt;&gt;$W1507),"標準報酬月額が申請書と相違（台帳"&amp;TEXT(INDEX(職員マスタ!$K$6:$K$405,$AP1507),"#,##0")&amp;"円／申請書"&amp;TEXT($W1507,"#,##0")&amp;"円）／","")&amp;IF(AND(INDEX(職員マスタ!$F$6:$F$405,$AP1507)&lt;&gt;"",$AQ1507&lt;&gt;"",INDEX(職員マスタ!$F$6:$F$405,$AP1507)&lt;$AQ1507),"対象月に子が2歳到達済／","")&amp;IF(AND($H1507&lt;&gt;"",INDEX(職員マスタ!$B$6:$B$405,$AP1507)&lt;&gt;"",SUBSTITUTE(SUBSTITUTE($H1507," ","")," ","")&lt;&gt;SUBSTITUTE(SUBSTITUTE(INDEX(職員マスタ!$B$6:$B$405,$AP1507)," ","")," ","")),"氏名がマスタと相違／","")&amp;IF(AND($Q1507&lt;&gt;"",INDEX(職員マスタ!$E$6:$E$405,$AP1507)&lt;&gt;"",$Q1507&lt;&gt;INDEX(職員マスタ!$E$6:$E$405,$AP1507)),"子の生年月日がマスタと相違／","")&amp;IF(AND($L1507&lt;&gt;"",INDEX(職員マスタ!$G$6:$G$405,$AP1507)&lt;&gt;"",$L1507&lt;&gt;INDEX(職員マスタ!$G$6:$G$405,$AP1507)),"時短開始日がマスタと相違／","")&amp;IF(AND($M1507&lt;&gt;"",INDEX(職員マスタ!$H$6:$H$405,$AP1507)&lt;&gt;"",$M1507&lt;&gt;INDEX(職員マスタ!$H$6:$H$405,$AP1507)),"時短終了日がマスタと相違／","")))&amp;IF(AND($B1507&lt;&gt;"",$E1507=""),"報酬額が未入力／","")&amp;IF(N($U1507)&gt;0,"申請書に入力エラーが残っています／","")&amp;IF(AND($B1507&lt;&gt;"",$AQ1507&lt;&gt;""),IF(COUNTIFS($B$6:$B$3005,$B1507,$C$6:$C$3005,$C1507,$D$6:$D$3005,$D1507)&gt;1,"同じ月の請求が重複しています／",""),"")&amp;IF(AND(N($E1507)&gt;0,$AB1507&lt;&gt;"",$AB1507&lt;&gt;"×",$AE1507=0,$AD1507=""),"計算額が下限以下のため不支給／",""))</f>
        <v/>
      </c>
      <c r="AN1507" s="12" t="n"/>
      <c r="AO1507" s="14">
        <f>IF($AF1507="保留中",COUNTIF($AF$6:$AF1507,"保留中"),"")</f>
        <v/>
      </c>
      <c r="AP1507" s="14">
        <f>IF($AQ1507="","",IF(SUMPRODUCT(MAX((職員マスタ!$A$6:$A$405=$B1507)*(((職員マスタ!$G$6:$G$405="")+(職員マスタ!$G$6:$G$405&lt;=EOMONTH($AQ1507,0)))&gt;0)*(((職員マスタ!$H$6:$H$405="")+(職員マスタ!$H$6:$H$405&gt;=$AQ1507))&gt;0)*(ROW(職員マスタ!$A$6:$A$405)-5)))&gt;0,SUMPRODUCT(MAX((職員マスタ!$A$6:$A$405=$B1507)*(((職員マスタ!$G$6:$G$405="")+(職員マスタ!$G$6:$G$405&lt;=EOMONTH($AQ1507,0)))&gt;0)*(((職員マスタ!$H$6:$H$405="")+(職員マスタ!$H$6:$H$405&gt;=$AQ1507))&gt;0)*(ROW(職員マスタ!$A$6:$A$405)-5))),IFERROR(MATCH($B1507,職員マスタ!$A$6:$A$405,0),"")))</f>
        <v/>
      </c>
      <c r="AQ1507" s="16">
        <f>IF(OR($B1507="",$C1507="",$D1507=""),"",DATE($C1507+2018,$D1507,1))</f>
        <v/>
      </c>
    </row>
    <row r="1508">
      <c r="A1508" s="11" t="n"/>
      <c r="B1508" s="12" t="n"/>
      <c r="C1508" s="12" t="n"/>
      <c r="D1508" s="12" t="n"/>
      <c r="E1508" s="13" t="n"/>
      <c r="F1508" s="12" t="n"/>
      <c r="G1508" s="13" t="n"/>
      <c r="H1508" s="12" t="n"/>
      <c r="I1508" s="12" t="n"/>
      <c r="J1508" s="12" t="n"/>
      <c r="K1508" s="12" t="n"/>
      <c r="L1508" s="11" t="n"/>
      <c r="M1508" s="11" t="n"/>
      <c r="N1508" s="11" t="n"/>
      <c r="O1508" s="11" t="n"/>
      <c r="P1508" s="12" t="n"/>
      <c r="Q1508" s="11" t="n"/>
      <c r="R1508" s="12" t="n"/>
      <c r="S1508" s="11" t="n"/>
      <c r="T1508" s="12" t="n"/>
      <c r="U1508" s="12" t="n"/>
      <c r="V1508" s="12" t="n"/>
      <c r="W1508" s="13" t="n"/>
      <c r="X1508" s="14">
        <f>IF($AP1508="",IF($B1508="","",$H1508),IF(INDEX(職員マスタ!$B$6:$B$405,$AP1508)="",$H1508,INDEX(職員マスタ!$B$6:$B$405,$AP1508)))</f>
        <v/>
      </c>
      <c r="Y1508" s="14">
        <f>IF($AP1508="",IF($B1508="","",$R1508),IF(INDEX(職員マスタ!$C$6:$C$405,$AP1508)="",$R1508,INDEX(職員マスタ!$C$6:$C$405,$AP1508)))</f>
        <v/>
      </c>
      <c r="Z1508" s="14">
        <f>IF($AQ1508="","","R"&amp;$C1508&amp;"."&amp;$D1508)</f>
        <v/>
      </c>
      <c r="AA1508" s="15">
        <f>IF(IF($AP1508="",FALSE,INDEX(職員マスタ!$K$6:$K$405,$AP1508)&lt;&gt;""),INDEX(職員マスタ!$K$6:$K$405,$AP1508),IF(N($W1508)&gt;0,$W1508,""))</f>
        <v/>
      </c>
      <c r="AB1508" s="14">
        <f>IF(OR($E1508="",$AA1508=""),"",IF($E1508&gt;=$AA1508,"×",IF($E1508&gt;=$AA1508*設定!$C$5,"△","○")))</f>
        <v/>
      </c>
      <c r="AC1508" s="15">
        <f>IF($AB1508="","",IF($AB1508="×",0,IF($AB1508="○",ROUNDDOWN($E1508*設定!$C$4,0),ROUNDDOWN($E1508*ROUND((9*$AA1508-9*$E1508)/(10*$E1508),4),0))))</f>
        <v/>
      </c>
      <c r="AD1508" s="13" t="n"/>
      <c r="AE1508" s="15">
        <f>IF($B1508="","",IF($AD1508&lt;&gt;"",$AD1508,IF($AC1508="","",IF($AC1508&lt;=設定!$C$3,0,$AC1508))))</f>
        <v/>
      </c>
      <c r="AF1508" s="14">
        <f>IF($B1508="","",IF(AND($AG1508&lt;&gt;"",$AI1508="",$AL1508=""),"保留中",IF($AL1508&lt;&gt;"",IF(N($AE1508)&gt;0,"支給済","不支給"),IF($AE1508="","要確認",IF($AE1508=0,"不支給","未処理")))))</f>
        <v/>
      </c>
      <c r="AG1508" s="12" t="n"/>
      <c r="AH1508" s="11" t="n"/>
      <c r="AI1508" s="11" t="n"/>
      <c r="AJ1508" s="11" t="n"/>
      <c r="AK1508" s="14">
        <f>IF(AND($AF1508="保留中",$AH1508&lt;&gt;""),TODAY()-$AH1508,"")</f>
        <v/>
      </c>
      <c r="AL1508" s="12" t="n"/>
      <c r="AM1508" s="14">
        <f>IF($B1508="","",IF($AQ1508="","対象年月が未入力／","")&amp;IF($B1508="","",IF($AP1508="","職員マスタに未登録の職員番号／",IF($AA1508="","標準報酬月額が未登録／","")&amp;IF(AND($AQ1508&lt;&gt;"",OR(AND(INDEX(職員マスタ!$G$6:$G$405,$AP1508)&lt;&gt;"",INDEX(職員マスタ!$G$6:$G$405,$AP1508)&gt;EOMONTH($AQ1508,0)),AND(INDEX(職員マスタ!$H$6:$H$405,$AP1508)&lt;&gt;"",INDEX(職員マスタ!$H$6:$H$405,$AP1508)&lt;$AQ1508))),"対象月が時短期間外／","")&amp;IF(AND(INDEX(職員マスタ!$K$6:$K$405,$AP1508)&lt;&gt;"",N($W1508)&gt;0,INDEX(職員マスタ!$K$6:$K$405,$AP1508)&lt;&gt;$W1508),"標準報酬月額が申請書と相違（台帳"&amp;TEXT(INDEX(職員マスタ!$K$6:$K$405,$AP1508),"#,##0")&amp;"円／申請書"&amp;TEXT($W1508,"#,##0")&amp;"円）／","")&amp;IF(AND(INDEX(職員マスタ!$F$6:$F$405,$AP1508)&lt;&gt;"",$AQ1508&lt;&gt;"",INDEX(職員マスタ!$F$6:$F$405,$AP1508)&lt;$AQ1508),"対象月に子が2歳到達済／","")&amp;IF(AND($H1508&lt;&gt;"",INDEX(職員マスタ!$B$6:$B$405,$AP1508)&lt;&gt;"",SUBSTITUTE(SUBSTITUTE($H1508," ","")," ","")&lt;&gt;SUBSTITUTE(SUBSTITUTE(INDEX(職員マスタ!$B$6:$B$405,$AP1508)," ","")," ","")),"氏名がマスタと相違／","")&amp;IF(AND($Q1508&lt;&gt;"",INDEX(職員マスタ!$E$6:$E$405,$AP1508)&lt;&gt;"",$Q1508&lt;&gt;INDEX(職員マスタ!$E$6:$E$405,$AP1508)),"子の生年月日がマスタと相違／","")&amp;IF(AND($L1508&lt;&gt;"",INDEX(職員マスタ!$G$6:$G$405,$AP1508)&lt;&gt;"",$L1508&lt;&gt;INDEX(職員マスタ!$G$6:$G$405,$AP1508)),"時短開始日がマスタと相違／","")&amp;IF(AND($M1508&lt;&gt;"",INDEX(職員マスタ!$H$6:$H$405,$AP1508)&lt;&gt;"",$M1508&lt;&gt;INDEX(職員マスタ!$H$6:$H$405,$AP1508)),"時短終了日がマスタと相違／","")))&amp;IF(AND($B1508&lt;&gt;"",$E1508=""),"報酬額が未入力／","")&amp;IF(N($U1508)&gt;0,"申請書に入力エラーが残っています／","")&amp;IF(AND($B1508&lt;&gt;"",$AQ1508&lt;&gt;""),IF(COUNTIFS($B$6:$B$3005,$B1508,$C$6:$C$3005,$C1508,$D$6:$D$3005,$D1508)&gt;1,"同じ月の請求が重複しています／",""),"")&amp;IF(AND(N($E1508)&gt;0,$AB1508&lt;&gt;"",$AB1508&lt;&gt;"×",$AE1508=0,$AD1508=""),"計算額が下限以下のため不支給／",""))</f>
        <v/>
      </c>
      <c r="AN1508" s="12" t="n"/>
      <c r="AO1508" s="14">
        <f>IF($AF1508="保留中",COUNTIF($AF$6:$AF1508,"保留中"),"")</f>
        <v/>
      </c>
      <c r="AP1508" s="14">
        <f>IF($AQ1508="","",IF(SUMPRODUCT(MAX((職員マスタ!$A$6:$A$405=$B1508)*(((職員マスタ!$G$6:$G$405="")+(職員マスタ!$G$6:$G$405&lt;=EOMONTH($AQ1508,0)))&gt;0)*(((職員マスタ!$H$6:$H$405="")+(職員マスタ!$H$6:$H$405&gt;=$AQ1508))&gt;0)*(ROW(職員マスタ!$A$6:$A$405)-5)))&gt;0,SUMPRODUCT(MAX((職員マスタ!$A$6:$A$405=$B1508)*(((職員マスタ!$G$6:$G$405="")+(職員マスタ!$G$6:$G$405&lt;=EOMONTH($AQ1508,0)))&gt;0)*(((職員マスタ!$H$6:$H$405="")+(職員マスタ!$H$6:$H$405&gt;=$AQ1508))&gt;0)*(ROW(職員マスタ!$A$6:$A$405)-5))),IFERROR(MATCH($B1508,職員マスタ!$A$6:$A$405,0),"")))</f>
        <v/>
      </c>
      <c r="AQ1508" s="16">
        <f>IF(OR($B1508="",$C1508="",$D1508=""),"",DATE($C1508+2018,$D1508,1))</f>
        <v/>
      </c>
    </row>
    <row r="1509">
      <c r="A1509" s="11" t="n"/>
      <c r="B1509" s="12" t="n"/>
      <c r="C1509" s="12" t="n"/>
      <c r="D1509" s="12" t="n"/>
      <c r="E1509" s="13" t="n"/>
      <c r="F1509" s="12" t="n"/>
      <c r="G1509" s="13" t="n"/>
      <c r="H1509" s="12" t="n"/>
      <c r="I1509" s="12" t="n"/>
      <c r="J1509" s="12" t="n"/>
      <c r="K1509" s="12" t="n"/>
      <c r="L1509" s="11" t="n"/>
      <c r="M1509" s="11" t="n"/>
      <c r="N1509" s="11" t="n"/>
      <c r="O1509" s="11" t="n"/>
      <c r="P1509" s="12" t="n"/>
      <c r="Q1509" s="11" t="n"/>
      <c r="R1509" s="12" t="n"/>
      <c r="S1509" s="11" t="n"/>
      <c r="T1509" s="12" t="n"/>
      <c r="U1509" s="12" t="n"/>
      <c r="V1509" s="12" t="n"/>
      <c r="W1509" s="13" t="n"/>
      <c r="X1509" s="14">
        <f>IF($AP1509="",IF($B1509="","",$H1509),IF(INDEX(職員マスタ!$B$6:$B$405,$AP1509)="",$H1509,INDEX(職員マスタ!$B$6:$B$405,$AP1509)))</f>
        <v/>
      </c>
      <c r="Y1509" s="14">
        <f>IF($AP1509="",IF($B1509="","",$R1509),IF(INDEX(職員マスタ!$C$6:$C$405,$AP1509)="",$R1509,INDEX(職員マスタ!$C$6:$C$405,$AP1509)))</f>
        <v/>
      </c>
      <c r="Z1509" s="14">
        <f>IF($AQ1509="","","R"&amp;$C1509&amp;"."&amp;$D1509)</f>
        <v/>
      </c>
      <c r="AA1509" s="15">
        <f>IF(IF($AP1509="",FALSE,INDEX(職員マスタ!$K$6:$K$405,$AP1509)&lt;&gt;""),INDEX(職員マスタ!$K$6:$K$405,$AP1509),IF(N($W1509)&gt;0,$W1509,""))</f>
        <v/>
      </c>
      <c r="AB1509" s="14">
        <f>IF(OR($E1509="",$AA1509=""),"",IF($E1509&gt;=$AA1509,"×",IF($E1509&gt;=$AA1509*設定!$C$5,"△","○")))</f>
        <v/>
      </c>
      <c r="AC1509" s="15">
        <f>IF($AB1509="","",IF($AB1509="×",0,IF($AB1509="○",ROUNDDOWN($E1509*設定!$C$4,0),ROUNDDOWN($E1509*ROUND((9*$AA1509-9*$E1509)/(10*$E1509),4),0))))</f>
        <v/>
      </c>
      <c r="AD1509" s="13" t="n"/>
      <c r="AE1509" s="15">
        <f>IF($B1509="","",IF($AD1509&lt;&gt;"",$AD1509,IF($AC1509="","",IF($AC1509&lt;=設定!$C$3,0,$AC1509))))</f>
        <v/>
      </c>
      <c r="AF1509" s="14">
        <f>IF($B1509="","",IF(AND($AG1509&lt;&gt;"",$AI1509="",$AL1509=""),"保留中",IF($AL1509&lt;&gt;"",IF(N($AE1509)&gt;0,"支給済","不支給"),IF($AE1509="","要確認",IF($AE1509=0,"不支給","未処理")))))</f>
        <v/>
      </c>
      <c r="AG1509" s="12" t="n"/>
      <c r="AH1509" s="11" t="n"/>
      <c r="AI1509" s="11" t="n"/>
      <c r="AJ1509" s="11" t="n"/>
      <c r="AK1509" s="14">
        <f>IF(AND($AF1509="保留中",$AH1509&lt;&gt;""),TODAY()-$AH1509,"")</f>
        <v/>
      </c>
      <c r="AL1509" s="12" t="n"/>
      <c r="AM1509" s="14">
        <f>IF($B1509="","",IF($AQ1509="","対象年月が未入力／","")&amp;IF($B1509="","",IF($AP1509="","職員マスタに未登録の職員番号／",IF($AA1509="","標準報酬月額が未登録／","")&amp;IF(AND($AQ1509&lt;&gt;"",OR(AND(INDEX(職員マスタ!$G$6:$G$405,$AP1509)&lt;&gt;"",INDEX(職員マスタ!$G$6:$G$405,$AP1509)&gt;EOMONTH($AQ1509,0)),AND(INDEX(職員マスタ!$H$6:$H$405,$AP1509)&lt;&gt;"",INDEX(職員マスタ!$H$6:$H$405,$AP1509)&lt;$AQ1509))),"対象月が時短期間外／","")&amp;IF(AND(INDEX(職員マスタ!$K$6:$K$405,$AP1509)&lt;&gt;"",N($W1509)&gt;0,INDEX(職員マスタ!$K$6:$K$405,$AP1509)&lt;&gt;$W1509),"標準報酬月額が申請書と相違（台帳"&amp;TEXT(INDEX(職員マスタ!$K$6:$K$405,$AP1509),"#,##0")&amp;"円／申請書"&amp;TEXT($W1509,"#,##0")&amp;"円）／","")&amp;IF(AND(INDEX(職員マスタ!$F$6:$F$405,$AP1509)&lt;&gt;"",$AQ1509&lt;&gt;"",INDEX(職員マスタ!$F$6:$F$405,$AP1509)&lt;$AQ1509),"対象月に子が2歳到達済／","")&amp;IF(AND($H1509&lt;&gt;"",INDEX(職員マスタ!$B$6:$B$405,$AP1509)&lt;&gt;"",SUBSTITUTE(SUBSTITUTE($H1509," ","")," ","")&lt;&gt;SUBSTITUTE(SUBSTITUTE(INDEX(職員マスタ!$B$6:$B$405,$AP1509)," ","")," ","")),"氏名がマスタと相違／","")&amp;IF(AND($Q1509&lt;&gt;"",INDEX(職員マスタ!$E$6:$E$405,$AP1509)&lt;&gt;"",$Q1509&lt;&gt;INDEX(職員マスタ!$E$6:$E$405,$AP1509)),"子の生年月日がマスタと相違／","")&amp;IF(AND($L1509&lt;&gt;"",INDEX(職員マスタ!$G$6:$G$405,$AP1509)&lt;&gt;"",$L1509&lt;&gt;INDEX(職員マスタ!$G$6:$G$405,$AP1509)),"時短開始日がマスタと相違／","")&amp;IF(AND($M1509&lt;&gt;"",INDEX(職員マスタ!$H$6:$H$405,$AP1509)&lt;&gt;"",$M1509&lt;&gt;INDEX(職員マスタ!$H$6:$H$405,$AP1509)),"時短終了日がマスタと相違／","")))&amp;IF(AND($B1509&lt;&gt;"",$E1509=""),"報酬額が未入力／","")&amp;IF(N($U1509)&gt;0,"申請書に入力エラーが残っています／","")&amp;IF(AND($B1509&lt;&gt;"",$AQ1509&lt;&gt;""),IF(COUNTIFS($B$6:$B$3005,$B1509,$C$6:$C$3005,$C1509,$D$6:$D$3005,$D1509)&gt;1,"同じ月の請求が重複しています／",""),"")&amp;IF(AND(N($E1509)&gt;0,$AB1509&lt;&gt;"",$AB1509&lt;&gt;"×",$AE1509=0,$AD1509=""),"計算額が下限以下のため不支給／",""))</f>
        <v/>
      </c>
      <c r="AN1509" s="12" t="n"/>
      <c r="AO1509" s="14">
        <f>IF($AF1509="保留中",COUNTIF($AF$6:$AF1509,"保留中"),"")</f>
        <v/>
      </c>
      <c r="AP1509" s="14">
        <f>IF($AQ1509="","",IF(SUMPRODUCT(MAX((職員マスタ!$A$6:$A$405=$B1509)*(((職員マスタ!$G$6:$G$405="")+(職員マスタ!$G$6:$G$405&lt;=EOMONTH($AQ1509,0)))&gt;0)*(((職員マスタ!$H$6:$H$405="")+(職員マスタ!$H$6:$H$405&gt;=$AQ1509))&gt;0)*(ROW(職員マスタ!$A$6:$A$405)-5)))&gt;0,SUMPRODUCT(MAX((職員マスタ!$A$6:$A$405=$B1509)*(((職員マスタ!$G$6:$G$405="")+(職員マスタ!$G$6:$G$405&lt;=EOMONTH($AQ1509,0)))&gt;0)*(((職員マスタ!$H$6:$H$405="")+(職員マスタ!$H$6:$H$405&gt;=$AQ1509))&gt;0)*(ROW(職員マスタ!$A$6:$A$405)-5))),IFERROR(MATCH($B1509,職員マスタ!$A$6:$A$405,0),"")))</f>
        <v/>
      </c>
      <c r="AQ1509" s="16">
        <f>IF(OR($B1509="",$C1509="",$D1509=""),"",DATE($C1509+2018,$D1509,1))</f>
        <v/>
      </c>
    </row>
    <row r="1510">
      <c r="A1510" s="11" t="n"/>
      <c r="B1510" s="12" t="n"/>
      <c r="C1510" s="12" t="n"/>
      <c r="D1510" s="12" t="n"/>
      <c r="E1510" s="13" t="n"/>
      <c r="F1510" s="12" t="n"/>
      <c r="G1510" s="13" t="n"/>
      <c r="H1510" s="12" t="n"/>
      <c r="I1510" s="12" t="n"/>
      <c r="J1510" s="12" t="n"/>
      <c r="K1510" s="12" t="n"/>
      <c r="L1510" s="11" t="n"/>
      <c r="M1510" s="11" t="n"/>
      <c r="N1510" s="11" t="n"/>
      <c r="O1510" s="11" t="n"/>
      <c r="P1510" s="12" t="n"/>
      <c r="Q1510" s="11" t="n"/>
      <c r="R1510" s="12" t="n"/>
      <c r="S1510" s="11" t="n"/>
      <c r="T1510" s="12" t="n"/>
      <c r="U1510" s="12" t="n"/>
      <c r="V1510" s="12" t="n"/>
      <c r="W1510" s="13" t="n"/>
      <c r="X1510" s="14">
        <f>IF($AP1510="",IF($B1510="","",$H1510),IF(INDEX(職員マスタ!$B$6:$B$405,$AP1510)="",$H1510,INDEX(職員マスタ!$B$6:$B$405,$AP1510)))</f>
        <v/>
      </c>
      <c r="Y1510" s="14">
        <f>IF($AP1510="",IF($B1510="","",$R1510),IF(INDEX(職員マスタ!$C$6:$C$405,$AP1510)="",$R1510,INDEX(職員マスタ!$C$6:$C$405,$AP1510)))</f>
        <v/>
      </c>
      <c r="Z1510" s="14">
        <f>IF($AQ1510="","","R"&amp;$C1510&amp;"."&amp;$D1510)</f>
        <v/>
      </c>
      <c r="AA1510" s="15">
        <f>IF(IF($AP1510="",FALSE,INDEX(職員マスタ!$K$6:$K$405,$AP1510)&lt;&gt;""),INDEX(職員マスタ!$K$6:$K$405,$AP1510),IF(N($W1510)&gt;0,$W1510,""))</f>
        <v/>
      </c>
      <c r="AB1510" s="14">
        <f>IF(OR($E1510="",$AA1510=""),"",IF($E1510&gt;=$AA1510,"×",IF($E1510&gt;=$AA1510*設定!$C$5,"△","○")))</f>
        <v/>
      </c>
      <c r="AC1510" s="15">
        <f>IF($AB1510="","",IF($AB1510="×",0,IF($AB1510="○",ROUNDDOWN($E1510*設定!$C$4,0),ROUNDDOWN($E1510*ROUND((9*$AA1510-9*$E1510)/(10*$E1510),4),0))))</f>
        <v/>
      </c>
      <c r="AD1510" s="13" t="n"/>
      <c r="AE1510" s="15">
        <f>IF($B1510="","",IF($AD1510&lt;&gt;"",$AD1510,IF($AC1510="","",IF($AC1510&lt;=設定!$C$3,0,$AC1510))))</f>
        <v/>
      </c>
      <c r="AF1510" s="14">
        <f>IF($B1510="","",IF(AND($AG1510&lt;&gt;"",$AI1510="",$AL1510=""),"保留中",IF($AL1510&lt;&gt;"",IF(N($AE1510)&gt;0,"支給済","不支給"),IF($AE1510="","要確認",IF($AE1510=0,"不支給","未処理")))))</f>
        <v/>
      </c>
      <c r="AG1510" s="12" t="n"/>
      <c r="AH1510" s="11" t="n"/>
      <c r="AI1510" s="11" t="n"/>
      <c r="AJ1510" s="11" t="n"/>
      <c r="AK1510" s="14">
        <f>IF(AND($AF1510="保留中",$AH1510&lt;&gt;""),TODAY()-$AH1510,"")</f>
        <v/>
      </c>
      <c r="AL1510" s="12" t="n"/>
      <c r="AM1510" s="14">
        <f>IF($B1510="","",IF($AQ1510="","対象年月が未入力／","")&amp;IF($B1510="","",IF($AP1510="","職員マスタに未登録の職員番号／",IF($AA1510="","標準報酬月額が未登録／","")&amp;IF(AND($AQ1510&lt;&gt;"",OR(AND(INDEX(職員マスタ!$G$6:$G$405,$AP1510)&lt;&gt;"",INDEX(職員マスタ!$G$6:$G$405,$AP1510)&gt;EOMONTH($AQ1510,0)),AND(INDEX(職員マスタ!$H$6:$H$405,$AP1510)&lt;&gt;"",INDEX(職員マスタ!$H$6:$H$405,$AP1510)&lt;$AQ1510))),"対象月が時短期間外／","")&amp;IF(AND(INDEX(職員マスタ!$K$6:$K$405,$AP1510)&lt;&gt;"",N($W1510)&gt;0,INDEX(職員マスタ!$K$6:$K$405,$AP1510)&lt;&gt;$W1510),"標準報酬月額が申請書と相違（台帳"&amp;TEXT(INDEX(職員マスタ!$K$6:$K$405,$AP1510),"#,##0")&amp;"円／申請書"&amp;TEXT($W1510,"#,##0")&amp;"円）／","")&amp;IF(AND(INDEX(職員マスタ!$F$6:$F$405,$AP1510)&lt;&gt;"",$AQ1510&lt;&gt;"",INDEX(職員マスタ!$F$6:$F$405,$AP1510)&lt;$AQ1510),"対象月に子が2歳到達済／","")&amp;IF(AND($H1510&lt;&gt;"",INDEX(職員マスタ!$B$6:$B$405,$AP1510)&lt;&gt;"",SUBSTITUTE(SUBSTITUTE($H1510," ","")," ","")&lt;&gt;SUBSTITUTE(SUBSTITUTE(INDEX(職員マスタ!$B$6:$B$405,$AP1510)," ","")," ","")),"氏名がマスタと相違／","")&amp;IF(AND($Q1510&lt;&gt;"",INDEX(職員マスタ!$E$6:$E$405,$AP1510)&lt;&gt;"",$Q1510&lt;&gt;INDEX(職員マスタ!$E$6:$E$405,$AP1510)),"子の生年月日がマスタと相違／","")&amp;IF(AND($L1510&lt;&gt;"",INDEX(職員マスタ!$G$6:$G$405,$AP1510)&lt;&gt;"",$L1510&lt;&gt;INDEX(職員マスタ!$G$6:$G$405,$AP1510)),"時短開始日がマスタと相違／","")&amp;IF(AND($M1510&lt;&gt;"",INDEX(職員マスタ!$H$6:$H$405,$AP1510)&lt;&gt;"",$M1510&lt;&gt;INDEX(職員マスタ!$H$6:$H$405,$AP1510)),"時短終了日がマスタと相違／","")))&amp;IF(AND($B1510&lt;&gt;"",$E1510=""),"報酬額が未入力／","")&amp;IF(N($U1510)&gt;0,"申請書に入力エラーが残っています／","")&amp;IF(AND($B1510&lt;&gt;"",$AQ1510&lt;&gt;""),IF(COUNTIFS($B$6:$B$3005,$B1510,$C$6:$C$3005,$C1510,$D$6:$D$3005,$D1510)&gt;1,"同じ月の請求が重複しています／",""),"")&amp;IF(AND(N($E1510)&gt;0,$AB1510&lt;&gt;"",$AB1510&lt;&gt;"×",$AE1510=0,$AD1510=""),"計算額が下限以下のため不支給／",""))</f>
        <v/>
      </c>
      <c r="AN1510" s="12" t="n"/>
      <c r="AO1510" s="14">
        <f>IF($AF1510="保留中",COUNTIF($AF$6:$AF1510,"保留中"),"")</f>
        <v/>
      </c>
      <c r="AP1510" s="14">
        <f>IF($AQ1510="","",IF(SUMPRODUCT(MAX((職員マスタ!$A$6:$A$405=$B1510)*(((職員マスタ!$G$6:$G$405="")+(職員マスタ!$G$6:$G$405&lt;=EOMONTH($AQ1510,0)))&gt;0)*(((職員マスタ!$H$6:$H$405="")+(職員マスタ!$H$6:$H$405&gt;=$AQ1510))&gt;0)*(ROW(職員マスタ!$A$6:$A$405)-5)))&gt;0,SUMPRODUCT(MAX((職員マスタ!$A$6:$A$405=$B1510)*(((職員マスタ!$G$6:$G$405="")+(職員マスタ!$G$6:$G$405&lt;=EOMONTH($AQ1510,0)))&gt;0)*(((職員マスタ!$H$6:$H$405="")+(職員マスタ!$H$6:$H$405&gt;=$AQ1510))&gt;0)*(ROW(職員マスタ!$A$6:$A$405)-5))),IFERROR(MATCH($B1510,職員マスタ!$A$6:$A$405,0),"")))</f>
        <v/>
      </c>
      <c r="AQ1510" s="16">
        <f>IF(OR($B1510="",$C1510="",$D1510=""),"",DATE($C1510+2018,$D1510,1))</f>
        <v/>
      </c>
    </row>
    <row r="1511">
      <c r="A1511" s="11" t="n"/>
      <c r="B1511" s="12" t="n"/>
      <c r="C1511" s="12" t="n"/>
      <c r="D1511" s="12" t="n"/>
      <c r="E1511" s="13" t="n"/>
      <c r="F1511" s="12" t="n"/>
      <c r="G1511" s="13" t="n"/>
      <c r="H1511" s="12" t="n"/>
      <c r="I1511" s="12" t="n"/>
      <c r="J1511" s="12" t="n"/>
      <c r="K1511" s="12" t="n"/>
      <c r="L1511" s="11" t="n"/>
      <c r="M1511" s="11" t="n"/>
      <c r="N1511" s="11" t="n"/>
      <c r="O1511" s="11" t="n"/>
      <c r="P1511" s="12" t="n"/>
      <c r="Q1511" s="11" t="n"/>
      <c r="R1511" s="12" t="n"/>
      <c r="S1511" s="11" t="n"/>
      <c r="T1511" s="12" t="n"/>
      <c r="U1511" s="12" t="n"/>
      <c r="V1511" s="12" t="n"/>
      <c r="W1511" s="13" t="n"/>
      <c r="X1511" s="14">
        <f>IF($AP1511="",IF($B1511="","",$H1511),IF(INDEX(職員マスタ!$B$6:$B$405,$AP1511)="",$H1511,INDEX(職員マスタ!$B$6:$B$405,$AP1511)))</f>
        <v/>
      </c>
      <c r="Y1511" s="14">
        <f>IF($AP1511="",IF($B1511="","",$R1511),IF(INDEX(職員マスタ!$C$6:$C$405,$AP1511)="",$R1511,INDEX(職員マスタ!$C$6:$C$405,$AP1511)))</f>
        <v/>
      </c>
      <c r="Z1511" s="14">
        <f>IF($AQ1511="","","R"&amp;$C1511&amp;"."&amp;$D1511)</f>
        <v/>
      </c>
      <c r="AA1511" s="15">
        <f>IF(IF($AP1511="",FALSE,INDEX(職員マスタ!$K$6:$K$405,$AP1511)&lt;&gt;""),INDEX(職員マスタ!$K$6:$K$405,$AP1511),IF(N($W1511)&gt;0,$W1511,""))</f>
        <v/>
      </c>
      <c r="AB1511" s="14">
        <f>IF(OR($E1511="",$AA1511=""),"",IF($E1511&gt;=$AA1511,"×",IF($E1511&gt;=$AA1511*設定!$C$5,"△","○")))</f>
        <v/>
      </c>
      <c r="AC1511" s="15">
        <f>IF($AB1511="","",IF($AB1511="×",0,IF($AB1511="○",ROUNDDOWN($E1511*設定!$C$4,0),ROUNDDOWN($E1511*ROUND((9*$AA1511-9*$E1511)/(10*$E1511),4),0))))</f>
        <v/>
      </c>
      <c r="AD1511" s="13" t="n"/>
      <c r="AE1511" s="15">
        <f>IF($B1511="","",IF($AD1511&lt;&gt;"",$AD1511,IF($AC1511="","",IF($AC1511&lt;=設定!$C$3,0,$AC1511))))</f>
        <v/>
      </c>
      <c r="AF1511" s="14">
        <f>IF($B1511="","",IF(AND($AG1511&lt;&gt;"",$AI1511="",$AL1511=""),"保留中",IF($AL1511&lt;&gt;"",IF(N($AE1511)&gt;0,"支給済","不支給"),IF($AE1511="","要確認",IF($AE1511=0,"不支給","未処理")))))</f>
        <v/>
      </c>
      <c r="AG1511" s="12" t="n"/>
      <c r="AH1511" s="11" t="n"/>
      <c r="AI1511" s="11" t="n"/>
      <c r="AJ1511" s="11" t="n"/>
      <c r="AK1511" s="14">
        <f>IF(AND($AF1511="保留中",$AH1511&lt;&gt;""),TODAY()-$AH1511,"")</f>
        <v/>
      </c>
      <c r="AL1511" s="12" t="n"/>
      <c r="AM1511" s="14">
        <f>IF($B1511="","",IF($AQ1511="","対象年月が未入力／","")&amp;IF($B1511="","",IF($AP1511="","職員マスタに未登録の職員番号／",IF($AA1511="","標準報酬月額が未登録／","")&amp;IF(AND($AQ1511&lt;&gt;"",OR(AND(INDEX(職員マスタ!$G$6:$G$405,$AP1511)&lt;&gt;"",INDEX(職員マスタ!$G$6:$G$405,$AP1511)&gt;EOMONTH($AQ1511,0)),AND(INDEX(職員マスタ!$H$6:$H$405,$AP1511)&lt;&gt;"",INDEX(職員マスタ!$H$6:$H$405,$AP1511)&lt;$AQ1511))),"対象月が時短期間外／","")&amp;IF(AND(INDEX(職員マスタ!$K$6:$K$405,$AP1511)&lt;&gt;"",N($W1511)&gt;0,INDEX(職員マスタ!$K$6:$K$405,$AP1511)&lt;&gt;$W1511),"標準報酬月額が申請書と相違（台帳"&amp;TEXT(INDEX(職員マスタ!$K$6:$K$405,$AP1511),"#,##0")&amp;"円／申請書"&amp;TEXT($W1511,"#,##0")&amp;"円）／","")&amp;IF(AND(INDEX(職員マスタ!$F$6:$F$405,$AP1511)&lt;&gt;"",$AQ1511&lt;&gt;"",INDEX(職員マスタ!$F$6:$F$405,$AP1511)&lt;$AQ1511),"対象月に子が2歳到達済／","")&amp;IF(AND($H1511&lt;&gt;"",INDEX(職員マスタ!$B$6:$B$405,$AP1511)&lt;&gt;"",SUBSTITUTE(SUBSTITUTE($H1511," ","")," ","")&lt;&gt;SUBSTITUTE(SUBSTITUTE(INDEX(職員マスタ!$B$6:$B$405,$AP1511)," ","")," ","")),"氏名がマスタと相違／","")&amp;IF(AND($Q1511&lt;&gt;"",INDEX(職員マスタ!$E$6:$E$405,$AP1511)&lt;&gt;"",$Q1511&lt;&gt;INDEX(職員マスタ!$E$6:$E$405,$AP1511)),"子の生年月日がマスタと相違／","")&amp;IF(AND($L1511&lt;&gt;"",INDEX(職員マスタ!$G$6:$G$405,$AP1511)&lt;&gt;"",$L1511&lt;&gt;INDEX(職員マスタ!$G$6:$G$405,$AP1511)),"時短開始日がマスタと相違／","")&amp;IF(AND($M1511&lt;&gt;"",INDEX(職員マスタ!$H$6:$H$405,$AP1511)&lt;&gt;"",$M1511&lt;&gt;INDEX(職員マスタ!$H$6:$H$405,$AP1511)),"時短終了日がマスタと相違／","")))&amp;IF(AND($B1511&lt;&gt;"",$E1511=""),"報酬額が未入力／","")&amp;IF(N($U1511)&gt;0,"申請書に入力エラーが残っています／","")&amp;IF(AND($B1511&lt;&gt;"",$AQ1511&lt;&gt;""),IF(COUNTIFS($B$6:$B$3005,$B1511,$C$6:$C$3005,$C1511,$D$6:$D$3005,$D1511)&gt;1,"同じ月の請求が重複しています／",""),"")&amp;IF(AND(N($E1511)&gt;0,$AB1511&lt;&gt;"",$AB1511&lt;&gt;"×",$AE1511=0,$AD1511=""),"計算額が下限以下のため不支給／",""))</f>
        <v/>
      </c>
      <c r="AN1511" s="12" t="n"/>
      <c r="AO1511" s="14">
        <f>IF($AF1511="保留中",COUNTIF($AF$6:$AF1511,"保留中"),"")</f>
        <v/>
      </c>
      <c r="AP1511" s="14">
        <f>IF($AQ1511="","",IF(SUMPRODUCT(MAX((職員マスタ!$A$6:$A$405=$B1511)*(((職員マスタ!$G$6:$G$405="")+(職員マスタ!$G$6:$G$405&lt;=EOMONTH($AQ1511,0)))&gt;0)*(((職員マスタ!$H$6:$H$405="")+(職員マスタ!$H$6:$H$405&gt;=$AQ1511))&gt;0)*(ROW(職員マスタ!$A$6:$A$405)-5)))&gt;0,SUMPRODUCT(MAX((職員マスタ!$A$6:$A$405=$B1511)*(((職員マスタ!$G$6:$G$405="")+(職員マスタ!$G$6:$G$405&lt;=EOMONTH($AQ1511,0)))&gt;0)*(((職員マスタ!$H$6:$H$405="")+(職員マスタ!$H$6:$H$405&gt;=$AQ1511))&gt;0)*(ROW(職員マスタ!$A$6:$A$405)-5))),IFERROR(MATCH($B1511,職員マスタ!$A$6:$A$405,0),"")))</f>
        <v/>
      </c>
      <c r="AQ1511" s="16">
        <f>IF(OR($B1511="",$C1511="",$D1511=""),"",DATE($C1511+2018,$D1511,1))</f>
        <v/>
      </c>
    </row>
    <row r="1512">
      <c r="A1512" s="11" t="n"/>
      <c r="B1512" s="12" t="n"/>
      <c r="C1512" s="12" t="n"/>
      <c r="D1512" s="12" t="n"/>
      <c r="E1512" s="13" t="n"/>
      <c r="F1512" s="12" t="n"/>
      <c r="G1512" s="13" t="n"/>
      <c r="H1512" s="12" t="n"/>
      <c r="I1512" s="12" t="n"/>
      <c r="J1512" s="12" t="n"/>
      <c r="K1512" s="12" t="n"/>
      <c r="L1512" s="11" t="n"/>
      <c r="M1512" s="11" t="n"/>
      <c r="N1512" s="11" t="n"/>
      <c r="O1512" s="11" t="n"/>
      <c r="P1512" s="12" t="n"/>
      <c r="Q1512" s="11" t="n"/>
      <c r="R1512" s="12" t="n"/>
      <c r="S1512" s="11" t="n"/>
      <c r="T1512" s="12" t="n"/>
      <c r="U1512" s="12" t="n"/>
      <c r="V1512" s="12" t="n"/>
      <c r="W1512" s="13" t="n"/>
      <c r="X1512" s="14">
        <f>IF($AP1512="",IF($B1512="","",$H1512),IF(INDEX(職員マスタ!$B$6:$B$405,$AP1512)="",$H1512,INDEX(職員マスタ!$B$6:$B$405,$AP1512)))</f>
        <v/>
      </c>
      <c r="Y1512" s="14">
        <f>IF($AP1512="",IF($B1512="","",$R1512),IF(INDEX(職員マスタ!$C$6:$C$405,$AP1512)="",$R1512,INDEX(職員マスタ!$C$6:$C$405,$AP1512)))</f>
        <v/>
      </c>
      <c r="Z1512" s="14">
        <f>IF($AQ1512="","","R"&amp;$C1512&amp;"."&amp;$D1512)</f>
        <v/>
      </c>
      <c r="AA1512" s="15">
        <f>IF(IF($AP1512="",FALSE,INDEX(職員マスタ!$K$6:$K$405,$AP1512)&lt;&gt;""),INDEX(職員マスタ!$K$6:$K$405,$AP1512),IF(N($W1512)&gt;0,$W1512,""))</f>
        <v/>
      </c>
      <c r="AB1512" s="14">
        <f>IF(OR($E1512="",$AA1512=""),"",IF($E1512&gt;=$AA1512,"×",IF($E1512&gt;=$AA1512*設定!$C$5,"△","○")))</f>
        <v/>
      </c>
      <c r="AC1512" s="15">
        <f>IF($AB1512="","",IF($AB1512="×",0,IF($AB1512="○",ROUNDDOWN($E1512*設定!$C$4,0),ROUNDDOWN($E1512*ROUND((9*$AA1512-9*$E1512)/(10*$E1512),4),0))))</f>
        <v/>
      </c>
      <c r="AD1512" s="13" t="n"/>
      <c r="AE1512" s="15">
        <f>IF($B1512="","",IF($AD1512&lt;&gt;"",$AD1512,IF($AC1512="","",IF($AC1512&lt;=設定!$C$3,0,$AC1512))))</f>
        <v/>
      </c>
      <c r="AF1512" s="14">
        <f>IF($B1512="","",IF(AND($AG1512&lt;&gt;"",$AI1512="",$AL1512=""),"保留中",IF($AL1512&lt;&gt;"",IF(N($AE1512)&gt;0,"支給済","不支給"),IF($AE1512="","要確認",IF($AE1512=0,"不支給","未処理")))))</f>
        <v/>
      </c>
      <c r="AG1512" s="12" t="n"/>
      <c r="AH1512" s="11" t="n"/>
      <c r="AI1512" s="11" t="n"/>
      <c r="AJ1512" s="11" t="n"/>
      <c r="AK1512" s="14">
        <f>IF(AND($AF1512="保留中",$AH1512&lt;&gt;""),TODAY()-$AH1512,"")</f>
        <v/>
      </c>
      <c r="AL1512" s="12" t="n"/>
      <c r="AM1512" s="14">
        <f>IF($B1512="","",IF($AQ1512="","対象年月が未入力／","")&amp;IF($B1512="","",IF($AP1512="","職員マスタに未登録の職員番号／",IF($AA1512="","標準報酬月額が未登録／","")&amp;IF(AND($AQ1512&lt;&gt;"",OR(AND(INDEX(職員マスタ!$G$6:$G$405,$AP1512)&lt;&gt;"",INDEX(職員マスタ!$G$6:$G$405,$AP1512)&gt;EOMONTH($AQ1512,0)),AND(INDEX(職員マスタ!$H$6:$H$405,$AP1512)&lt;&gt;"",INDEX(職員マスタ!$H$6:$H$405,$AP1512)&lt;$AQ1512))),"対象月が時短期間外／","")&amp;IF(AND(INDEX(職員マスタ!$K$6:$K$405,$AP1512)&lt;&gt;"",N($W1512)&gt;0,INDEX(職員マスタ!$K$6:$K$405,$AP1512)&lt;&gt;$W1512),"標準報酬月額が申請書と相違（台帳"&amp;TEXT(INDEX(職員マスタ!$K$6:$K$405,$AP1512),"#,##0")&amp;"円／申請書"&amp;TEXT($W1512,"#,##0")&amp;"円）／","")&amp;IF(AND(INDEX(職員マスタ!$F$6:$F$405,$AP1512)&lt;&gt;"",$AQ1512&lt;&gt;"",INDEX(職員マスタ!$F$6:$F$405,$AP1512)&lt;$AQ1512),"対象月に子が2歳到達済／","")&amp;IF(AND($H1512&lt;&gt;"",INDEX(職員マスタ!$B$6:$B$405,$AP1512)&lt;&gt;"",SUBSTITUTE(SUBSTITUTE($H1512," ","")," ","")&lt;&gt;SUBSTITUTE(SUBSTITUTE(INDEX(職員マスタ!$B$6:$B$405,$AP1512)," ","")," ","")),"氏名がマスタと相違／","")&amp;IF(AND($Q1512&lt;&gt;"",INDEX(職員マスタ!$E$6:$E$405,$AP1512)&lt;&gt;"",$Q1512&lt;&gt;INDEX(職員マスタ!$E$6:$E$405,$AP1512)),"子の生年月日がマスタと相違／","")&amp;IF(AND($L1512&lt;&gt;"",INDEX(職員マスタ!$G$6:$G$405,$AP1512)&lt;&gt;"",$L1512&lt;&gt;INDEX(職員マスタ!$G$6:$G$405,$AP1512)),"時短開始日がマスタと相違／","")&amp;IF(AND($M1512&lt;&gt;"",INDEX(職員マスタ!$H$6:$H$405,$AP1512)&lt;&gt;"",$M1512&lt;&gt;INDEX(職員マスタ!$H$6:$H$405,$AP1512)),"時短終了日がマスタと相違／","")))&amp;IF(AND($B1512&lt;&gt;"",$E1512=""),"報酬額が未入力／","")&amp;IF(N($U1512)&gt;0,"申請書に入力エラーが残っています／","")&amp;IF(AND($B1512&lt;&gt;"",$AQ1512&lt;&gt;""),IF(COUNTIFS($B$6:$B$3005,$B1512,$C$6:$C$3005,$C1512,$D$6:$D$3005,$D1512)&gt;1,"同じ月の請求が重複しています／",""),"")&amp;IF(AND(N($E1512)&gt;0,$AB1512&lt;&gt;"",$AB1512&lt;&gt;"×",$AE1512=0,$AD1512=""),"計算額が下限以下のため不支給／",""))</f>
        <v/>
      </c>
      <c r="AN1512" s="12" t="n"/>
      <c r="AO1512" s="14">
        <f>IF($AF1512="保留中",COUNTIF($AF$6:$AF1512,"保留中"),"")</f>
        <v/>
      </c>
      <c r="AP1512" s="14">
        <f>IF($AQ1512="","",IF(SUMPRODUCT(MAX((職員マスタ!$A$6:$A$405=$B1512)*(((職員マスタ!$G$6:$G$405="")+(職員マスタ!$G$6:$G$405&lt;=EOMONTH($AQ1512,0)))&gt;0)*(((職員マスタ!$H$6:$H$405="")+(職員マスタ!$H$6:$H$405&gt;=$AQ1512))&gt;0)*(ROW(職員マスタ!$A$6:$A$405)-5)))&gt;0,SUMPRODUCT(MAX((職員マスタ!$A$6:$A$405=$B1512)*(((職員マスタ!$G$6:$G$405="")+(職員マスタ!$G$6:$G$405&lt;=EOMONTH($AQ1512,0)))&gt;0)*(((職員マスタ!$H$6:$H$405="")+(職員マスタ!$H$6:$H$405&gt;=$AQ1512))&gt;0)*(ROW(職員マスタ!$A$6:$A$405)-5))),IFERROR(MATCH($B1512,職員マスタ!$A$6:$A$405,0),"")))</f>
        <v/>
      </c>
      <c r="AQ1512" s="16">
        <f>IF(OR($B1512="",$C1512="",$D1512=""),"",DATE($C1512+2018,$D1512,1))</f>
        <v/>
      </c>
    </row>
    <row r="1513">
      <c r="A1513" s="11" t="n"/>
      <c r="B1513" s="12" t="n"/>
      <c r="C1513" s="12" t="n"/>
      <c r="D1513" s="12" t="n"/>
      <c r="E1513" s="13" t="n"/>
      <c r="F1513" s="12" t="n"/>
      <c r="G1513" s="13" t="n"/>
      <c r="H1513" s="12" t="n"/>
      <c r="I1513" s="12" t="n"/>
      <c r="J1513" s="12" t="n"/>
      <c r="K1513" s="12" t="n"/>
      <c r="L1513" s="11" t="n"/>
      <c r="M1513" s="11" t="n"/>
      <c r="N1513" s="11" t="n"/>
      <c r="O1513" s="11" t="n"/>
      <c r="P1513" s="12" t="n"/>
      <c r="Q1513" s="11" t="n"/>
      <c r="R1513" s="12" t="n"/>
      <c r="S1513" s="11" t="n"/>
      <c r="T1513" s="12" t="n"/>
      <c r="U1513" s="12" t="n"/>
      <c r="V1513" s="12" t="n"/>
      <c r="W1513" s="13" t="n"/>
      <c r="X1513" s="14">
        <f>IF($AP1513="",IF($B1513="","",$H1513),IF(INDEX(職員マスタ!$B$6:$B$405,$AP1513)="",$H1513,INDEX(職員マスタ!$B$6:$B$405,$AP1513)))</f>
        <v/>
      </c>
      <c r="Y1513" s="14">
        <f>IF($AP1513="",IF($B1513="","",$R1513),IF(INDEX(職員マスタ!$C$6:$C$405,$AP1513)="",$R1513,INDEX(職員マスタ!$C$6:$C$405,$AP1513)))</f>
        <v/>
      </c>
      <c r="Z1513" s="14">
        <f>IF($AQ1513="","","R"&amp;$C1513&amp;"."&amp;$D1513)</f>
        <v/>
      </c>
      <c r="AA1513" s="15">
        <f>IF(IF($AP1513="",FALSE,INDEX(職員マスタ!$K$6:$K$405,$AP1513)&lt;&gt;""),INDEX(職員マスタ!$K$6:$K$405,$AP1513),IF(N($W1513)&gt;0,$W1513,""))</f>
        <v/>
      </c>
      <c r="AB1513" s="14">
        <f>IF(OR($E1513="",$AA1513=""),"",IF($E1513&gt;=$AA1513,"×",IF($E1513&gt;=$AA1513*設定!$C$5,"△","○")))</f>
        <v/>
      </c>
      <c r="AC1513" s="15">
        <f>IF($AB1513="","",IF($AB1513="×",0,IF($AB1513="○",ROUNDDOWN($E1513*設定!$C$4,0),ROUNDDOWN($E1513*ROUND((9*$AA1513-9*$E1513)/(10*$E1513),4),0))))</f>
        <v/>
      </c>
      <c r="AD1513" s="13" t="n"/>
      <c r="AE1513" s="15">
        <f>IF($B1513="","",IF($AD1513&lt;&gt;"",$AD1513,IF($AC1513="","",IF($AC1513&lt;=設定!$C$3,0,$AC1513))))</f>
        <v/>
      </c>
      <c r="AF1513" s="14">
        <f>IF($B1513="","",IF(AND($AG1513&lt;&gt;"",$AI1513="",$AL1513=""),"保留中",IF($AL1513&lt;&gt;"",IF(N($AE1513)&gt;0,"支給済","不支給"),IF($AE1513="","要確認",IF($AE1513=0,"不支給","未処理")))))</f>
        <v/>
      </c>
      <c r="AG1513" s="12" t="n"/>
      <c r="AH1513" s="11" t="n"/>
      <c r="AI1513" s="11" t="n"/>
      <c r="AJ1513" s="11" t="n"/>
      <c r="AK1513" s="14">
        <f>IF(AND($AF1513="保留中",$AH1513&lt;&gt;""),TODAY()-$AH1513,"")</f>
        <v/>
      </c>
      <c r="AL1513" s="12" t="n"/>
      <c r="AM1513" s="14">
        <f>IF($B1513="","",IF($AQ1513="","対象年月が未入力／","")&amp;IF($B1513="","",IF($AP1513="","職員マスタに未登録の職員番号／",IF($AA1513="","標準報酬月額が未登録／","")&amp;IF(AND($AQ1513&lt;&gt;"",OR(AND(INDEX(職員マスタ!$G$6:$G$405,$AP1513)&lt;&gt;"",INDEX(職員マスタ!$G$6:$G$405,$AP1513)&gt;EOMONTH($AQ1513,0)),AND(INDEX(職員マスタ!$H$6:$H$405,$AP1513)&lt;&gt;"",INDEX(職員マスタ!$H$6:$H$405,$AP1513)&lt;$AQ1513))),"対象月が時短期間外／","")&amp;IF(AND(INDEX(職員マスタ!$K$6:$K$405,$AP1513)&lt;&gt;"",N($W1513)&gt;0,INDEX(職員マスタ!$K$6:$K$405,$AP1513)&lt;&gt;$W1513),"標準報酬月額が申請書と相違（台帳"&amp;TEXT(INDEX(職員マスタ!$K$6:$K$405,$AP1513),"#,##0")&amp;"円／申請書"&amp;TEXT($W1513,"#,##0")&amp;"円）／","")&amp;IF(AND(INDEX(職員マスタ!$F$6:$F$405,$AP1513)&lt;&gt;"",$AQ1513&lt;&gt;"",INDEX(職員マスタ!$F$6:$F$405,$AP1513)&lt;$AQ1513),"対象月に子が2歳到達済／","")&amp;IF(AND($H1513&lt;&gt;"",INDEX(職員マスタ!$B$6:$B$405,$AP1513)&lt;&gt;"",SUBSTITUTE(SUBSTITUTE($H1513," ","")," ","")&lt;&gt;SUBSTITUTE(SUBSTITUTE(INDEX(職員マスタ!$B$6:$B$405,$AP1513)," ","")," ","")),"氏名がマスタと相違／","")&amp;IF(AND($Q1513&lt;&gt;"",INDEX(職員マスタ!$E$6:$E$405,$AP1513)&lt;&gt;"",$Q1513&lt;&gt;INDEX(職員マスタ!$E$6:$E$405,$AP1513)),"子の生年月日がマスタと相違／","")&amp;IF(AND($L1513&lt;&gt;"",INDEX(職員マスタ!$G$6:$G$405,$AP1513)&lt;&gt;"",$L1513&lt;&gt;INDEX(職員マスタ!$G$6:$G$405,$AP1513)),"時短開始日がマスタと相違／","")&amp;IF(AND($M1513&lt;&gt;"",INDEX(職員マスタ!$H$6:$H$405,$AP1513)&lt;&gt;"",$M1513&lt;&gt;INDEX(職員マスタ!$H$6:$H$405,$AP1513)),"時短終了日がマスタと相違／","")))&amp;IF(AND($B1513&lt;&gt;"",$E1513=""),"報酬額が未入力／","")&amp;IF(N($U1513)&gt;0,"申請書に入力エラーが残っています／","")&amp;IF(AND($B1513&lt;&gt;"",$AQ1513&lt;&gt;""),IF(COUNTIFS($B$6:$B$3005,$B1513,$C$6:$C$3005,$C1513,$D$6:$D$3005,$D1513)&gt;1,"同じ月の請求が重複しています／",""),"")&amp;IF(AND(N($E1513)&gt;0,$AB1513&lt;&gt;"",$AB1513&lt;&gt;"×",$AE1513=0,$AD1513=""),"計算額が下限以下のため不支給／",""))</f>
        <v/>
      </c>
      <c r="AN1513" s="12" t="n"/>
      <c r="AO1513" s="14">
        <f>IF($AF1513="保留中",COUNTIF($AF$6:$AF1513,"保留中"),"")</f>
        <v/>
      </c>
      <c r="AP1513" s="14">
        <f>IF($AQ1513="","",IF(SUMPRODUCT(MAX((職員マスタ!$A$6:$A$405=$B1513)*(((職員マスタ!$G$6:$G$405="")+(職員マスタ!$G$6:$G$405&lt;=EOMONTH($AQ1513,0)))&gt;0)*(((職員マスタ!$H$6:$H$405="")+(職員マスタ!$H$6:$H$405&gt;=$AQ1513))&gt;0)*(ROW(職員マスタ!$A$6:$A$405)-5)))&gt;0,SUMPRODUCT(MAX((職員マスタ!$A$6:$A$405=$B1513)*(((職員マスタ!$G$6:$G$405="")+(職員マスタ!$G$6:$G$405&lt;=EOMONTH($AQ1513,0)))&gt;0)*(((職員マスタ!$H$6:$H$405="")+(職員マスタ!$H$6:$H$405&gt;=$AQ1513))&gt;0)*(ROW(職員マスタ!$A$6:$A$405)-5))),IFERROR(MATCH($B1513,職員マスタ!$A$6:$A$405,0),"")))</f>
        <v/>
      </c>
      <c r="AQ1513" s="16">
        <f>IF(OR($B1513="",$C1513="",$D1513=""),"",DATE($C1513+2018,$D1513,1))</f>
        <v/>
      </c>
    </row>
    <row r="1514">
      <c r="A1514" s="11" t="n"/>
      <c r="B1514" s="12" t="n"/>
      <c r="C1514" s="12" t="n"/>
      <c r="D1514" s="12" t="n"/>
      <c r="E1514" s="13" t="n"/>
      <c r="F1514" s="12" t="n"/>
      <c r="G1514" s="13" t="n"/>
      <c r="H1514" s="12" t="n"/>
      <c r="I1514" s="12" t="n"/>
      <c r="J1514" s="12" t="n"/>
      <c r="K1514" s="12" t="n"/>
      <c r="L1514" s="11" t="n"/>
      <c r="M1514" s="11" t="n"/>
      <c r="N1514" s="11" t="n"/>
      <c r="O1514" s="11" t="n"/>
      <c r="P1514" s="12" t="n"/>
      <c r="Q1514" s="11" t="n"/>
      <c r="R1514" s="12" t="n"/>
      <c r="S1514" s="11" t="n"/>
      <c r="T1514" s="12" t="n"/>
      <c r="U1514" s="12" t="n"/>
      <c r="V1514" s="12" t="n"/>
      <c r="W1514" s="13" t="n"/>
      <c r="X1514" s="14">
        <f>IF($AP1514="",IF($B1514="","",$H1514),IF(INDEX(職員マスタ!$B$6:$B$405,$AP1514)="",$H1514,INDEX(職員マスタ!$B$6:$B$405,$AP1514)))</f>
        <v/>
      </c>
      <c r="Y1514" s="14">
        <f>IF($AP1514="",IF($B1514="","",$R1514),IF(INDEX(職員マスタ!$C$6:$C$405,$AP1514)="",$R1514,INDEX(職員マスタ!$C$6:$C$405,$AP1514)))</f>
        <v/>
      </c>
      <c r="Z1514" s="14">
        <f>IF($AQ1514="","","R"&amp;$C1514&amp;"."&amp;$D1514)</f>
        <v/>
      </c>
      <c r="AA1514" s="15">
        <f>IF(IF($AP1514="",FALSE,INDEX(職員マスタ!$K$6:$K$405,$AP1514)&lt;&gt;""),INDEX(職員マスタ!$K$6:$K$405,$AP1514),IF(N($W1514)&gt;0,$W1514,""))</f>
        <v/>
      </c>
      <c r="AB1514" s="14">
        <f>IF(OR($E1514="",$AA1514=""),"",IF($E1514&gt;=$AA1514,"×",IF($E1514&gt;=$AA1514*設定!$C$5,"△","○")))</f>
        <v/>
      </c>
      <c r="AC1514" s="15">
        <f>IF($AB1514="","",IF($AB1514="×",0,IF($AB1514="○",ROUNDDOWN($E1514*設定!$C$4,0),ROUNDDOWN($E1514*ROUND((9*$AA1514-9*$E1514)/(10*$E1514),4),0))))</f>
        <v/>
      </c>
      <c r="AD1514" s="13" t="n"/>
      <c r="AE1514" s="15">
        <f>IF($B1514="","",IF($AD1514&lt;&gt;"",$AD1514,IF($AC1514="","",IF($AC1514&lt;=設定!$C$3,0,$AC1514))))</f>
        <v/>
      </c>
      <c r="AF1514" s="14">
        <f>IF($B1514="","",IF(AND($AG1514&lt;&gt;"",$AI1514="",$AL1514=""),"保留中",IF($AL1514&lt;&gt;"",IF(N($AE1514)&gt;0,"支給済","不支給"),IF($AE1514="","要確認",IF($AE1514=0,"不支給","未処理")))))</f>
        <v/>
      </c>
      <c r="AG1514" s="12" t="n"/>
      <c r="AH1514" s="11" t="n"/>
      <c r="AI1514" s="11" t="n"/>
      <c r="AJ1514" s="11" t="n"/>
      <c r="AK1514" s="14">
        <f>IF(AND($AF1514="保留中",$AH1514&lt;&gt;""),TODAY()-$AH1514,"")</f>
        <v/>
      </c>
      <c r="AL1514" s="12" t="n"/>
      <c r="AM1514" s="14">
        <f>IF($B1514="","",IF($AQ1514="","対象年月が未入力／","")&amp;IF($B1514="","",IF($AP1514="","職員マスタに未登録の職員番号／",IF($AA1514="","標準報酬月額が未登録／","")&amp;IF(AND($AQ1514&lt;&gt;"",OR(AND(INDEX(職員マスタ!$G$6:$G$405,$AP1514)&lt;&gt;"",INDEX(職員マスタ!$G$6:$G$405,$AP1514)&gt;EOMONTH($AQ1514,0)),AND(INDEX(職員マスタ!$H$6:$H$405,$AP1514)&lt;&gt;"",INDEX(職員マスタ!$H$6:$H$405,$AP1514)&lt;$AQ1514))),"対象月が時短期間外／","")&amp;IF(AND(INDEX(職員マスタ!$K$6:$K$405,$AP1514)&lt;&gt;"",N($W1514)&gt;0,INDEX(職員マスタ!$K$6:$K$405,$AP1514)&lt;&gt;$W1514),"標準報酬月額が申請書と相違（台帳"&amp;TEXT(INDEX(職員マスタ!$K$6:$K$405,$AP1514),"#,##0")&amp;"円／申請書"&amp;TEXT($W1514,"#,##0")&amp;"円）／","")&amp;IF(AND(INDEX(職員マスタ!$F$6:$F$405,$AP1514)&lt;&gt;"",$AQ1514&lt;&gt;"",INDEX(職員マスタ!$F$6:$F$405,$AP1514)&lt;$AQ1514),"対象月に子が2歳到達済／","")&amp;IF(AND($H1514&lt;&gt;"",INDEX(職員マスタ!$B$6:$B$405,$AP1514)&lt;&gt;"",SUBSTITUTE(SUBSTITUTE($H1514," ","")," ","")&lt;&gt;SUBSTITUTE(SUBSTITUTE(INDEX(職員マスタ!$B$6:$B$405,$AP1514)," ","")," ","")),"氏名がマスタと相違／","")&amp;IF(AND($Q1514&lt;&gt;"",INDEX(職員マスタ!$E$6:$E$405,$AP1514)&lt;&gt;"",$Q1514&lt;&gt;INDEX(職員マスタ!$E$6:$E$405,$AP1514)),"子の生年月日がマスタと相違／","")&amp;IF(AND($L1514&lt;&gt;"",INDEX(職員マスタ!$G$6:$G$405,$AP1514)&lt;&gt;"",$L1514&lt;&gt;INDEX(職員マスタ!$G$6:$G$405,$AP1514)),"時短開始日がマスタと相違／","")&amp;IF(AND($M1514&lt;&gt;"",INDEX(職員マスタ!$H$6:$H$405,$AP1514)&lt;&gt;"",$M1514&lt;&gt;INDEX(職員マスタ!$H$6:$H$405,$AP1514)),"時短終了日がマスタと相違／","")))&amp;IF(AND($B1514&lt;&gt;"",$E1514=""),"報酬額が未入力／","")&amp;IF(N($U1514)&gt;0,"申請書に入力エラーが残っています／","")&amp;IF(AND($B1514&lt;&gt;"",$AQ1514&lt;&gt;""),IF(COUNTIFS($B$6:$B$3005,$B1514,$C$6:$C$3005,$C1514,$D$6:$D$3005,$D1514)&gt;1,"同じ月の請求が重複しています／",""),"")&amp;IF(AND(N($E1514)&gt;0,$AB1514&lt;&gt;"",$AB1514&lt;&gt;"×",$AE1514=0,$AD1514=""),"計算額が下限以下のため不支給／",""))</f>
        <v/>
      </c>
      <c r="AN1514" s="12" t="n"/>
      <c r="AO1514" s="14">
        <f>IF($AF1514="保留中",COUNTIF($AF$6:$AF1514,"保留中"),"")</f>
        <v/>
      </c>
      <c r="AP1514" s="14">
        <f>IF($AQ1514="","",IF(SUMPRODUCT(MAX((職員マスタ!$A$6:$A$405=$B1514)*(((職員マスタ!$G$6:$G$405="")+(職員マスタ!$G$6:$G$405&lt;=EOMONTH($AQ1514,0)))&gt;0)*(((職員マスタ!$H$6:$H$405="")+(職員マスタ!$H$6:$H$405&gt;=$AQ1514))&gt;0)*(ROW(職員マスタ!$A$6:$A$405)-5)))&gt;0,SUMPRODUCT(MAX((職員マスタ!$A$6:$A$405=$B1514)*(((職員マスタ!$G$6:$G$405="")+(職員マスタ!$G$6:$G$405&lt;=EOMONTH($AQ1514,0)))&gt;0)*(((職員マスタ!$H$6:$H$405="")+(職員マスタ!$H$6:$H$405&gt;=$AQ1514))&gt;0)*(ROW(職員マスタ!$A$6:$A$405)-5))),IFERROR(MATCH($B1514,職員マスタ!$A$6:$A$405,0),"")))</f>
        <v/>
      </c>
      <c r="AQ1514" s="16">
        <f>IF(OR($B1514="",$C1514="",$D1514=""),"",DATE($C1514+2018,$D1514,1))</f>
        <v/>
      </c>
    </row>
    <row r="1515">
      <c r="A1515" s="11" t="n"/>
      <c r="B1515" s="12" t="n"/>
      <c r="C1515" s="12" t="n"/>
      <c r="D1515" s="12" t="n"/>
      <c r="E1515" s="13" t="n"/>
      <c r="F1515" s="12" t="n"/>
      <c r="G1515" s="13" t="n"/>
      <c r="H1515" s="12" t="n"/>
      <c r="I1515" s="12" t="n"/>
      <c r="J1515" s="12" t="n"/>
      <c r="K1515" s="12" t="n"/>
      <c r="L1515" s="11" t="n"/>
      <c r="M1515" s="11" t="n"/>
      <c r="N1515" s="11" t="n"/>
      <c r="O1515" s="11" t="n"/>
      <c r="P1515" s="12" t="n"/>
      <c r="Q1515" s="11" t="n"/>
      <c r="R1515" s="12" t="n"/>
      <c r="S1515" s="11" t="n"/>
      <c r="T1515" s="12" t="n"/>
      <c r="U1515" s="12" t="n"/>
      <c r="V1515" s="12" t="n"/>
      <c r="W1515" s="13" t="n"/>
      <c r="X1515" s="14">
        <f>IF($AP1515="",IF($B1515="","",$H1515),IF(INDEX(職員マスタ!$B$6:$B$405,$AP1515)="",$H1515,INDEX(職員マスタ!$B$6:$B$405,$AP1515)))</f>
        <v/>
      </c>
      <c r="Y1515" s="14">
        <f>IF($AP1515="",IF($B1515="","",$R1515),IF(INDEX(職員マスタ!$C$6:$C$405,$AP1515)="",$R1515,INDEX(職員マスタ!$C$6:$C$405,$AP1515)))</f>
        <v/>
      </c>
      <c r="Z1515" s="14">
        <f>IF($AQ1515="","","R"&amp;$C1515&amp;"."&amp;$D1515)</f>
        <v/>
      </c>
      <c r="AA1515" s="15">
        <f>IF(IF($AP1515="",FALSE,INDEX(職員マスタ!$K$6:$K$405,$AP1515)&lt;&gt;""),INDEX(職員マスタ!$K$6:$K$405,$AP1515),IF(N($W1515)&gt;0,$W1515,""))</f>
        <v/>
      </c>
      <c r="AB1515" s="14">
        <f>IF(OR($E1515="",$AA1515=""),"",IF($E1515&gt;=$AA1515,"×",IF($E1515&gt;=$AA1515*設定!$C$5,"△","○")))</f>
        <v/>
      </c>
      <c r="AC1515" s="15">
        <f>IF($AB1515="","",IF($AB1515="×",0,IF($AB1515="○",ROUNDDOWN($E1515*設定!$C$4,0),ROUNDDOWN($E1515*ROUND((9*$AA1515-9*$E1515)/(10*$E1515),4),0))))</f>
        <v/>
      </c>
      <c r="AD1515" s="13" t="n"/>
      <c r="AE1515" s="15">
        <f>IF($B1515="","",IF($AD1515&lt;&gt;"",$AD1515,IF($AC1515="","",IF($AC1515&lt;=設定!$C$3,0,$AC1515))))</f>
        <v/>
      </c>
      <c r="AF1515" s="14">
        <f>IF($B1515="","",IF(AND($AG1515&lt;&gt;"",$AI1515="",$AL1515=""),"保留中",IF($AL1515&lt;&gt;"",IF(N($AE1515)&gt;0,"支給済","不支給"),IF($AE1515="","要確認",IF($AE1515=0,"不支給","未処理")))))</f>
        <v/>
      </c>
      <c r="AG1515" s="12" t="n"/>
      <c r="AH1515" s="11" t="n"/>
      <c r="AI1515" s="11" t="n"/>
      <c r="AJ1515" s="11" t="n"/>
      <c r="AK1515" s="14">
        <f>IF(AND($AF1515="保留中",$AH1515&lt;&gt;""),TODAY()-$AH1515,"")</f>
        <v/>
      </c>
      <c r="AL1515" s="12" t="n"/>
      <c r="AM1515" s="14">
        <f>IF($B1515="","",IF($AQ1515="","対象年月が未入力／","")&amp;IF($B1515="","",IF($AP1515="","職員マスタに未登録の職員番号／",IF($AA1515="","標準報酬月額が未登録／","")&amp;IF(AND($AQ1515&lt;&gt;"",OR(AND(INDEX(職員マスタ!$G$6:$G$405,$AP1515)&lt;&gt;"",INDEX(職員マスタ!$G$6:$G$405,$AP1515)&gt;EOMONTH($AQ1515,0)),AND(INDEX(職員マスタ!$H$6:$H$405,$AP1515)&lt;&gt;"",INDEX(職員マスタ!$H$6:$H$405,$AP1515)&lt;$AQ1515))),"対象月が時短期間外／","")&amp;IF(AND(INDEX(職員マスタ!$K$6:$K$405,$AP1515)&lt;&gt;"",N($W1515)&gt;0,INDEX(職員マスタ!$K$6:$K$405,$AP1515)&lt;&gt;$W1515),"標準報酬月額が申請書と相違（台帳"&amp;TEXT(INDEX(職員マスタ!$K$6:$K$405,$AP1515),"#,##0")&amp;"円／申請書"&amp;TEXT($W1515,"#,##0")&amp;"円）／","")&amp;IF(AND(INDEX(職員マスタ!$F$6:$F$405,$AP1515)&lt;&gt;"",$AQ1515&lt;&gt;"",INDEX(職員マスタ!$F$6:$F$405,$AP1515)&lt;$AQ1515),"対象月に子が2歳到達済／","")&amp;IF(AND($H1515&lt;&gt;"",INDEX(職員マスタ!$B$6:$B$405,$AP1515)&lt;&gt;"",SUBSTITUTE(SUBSTITUTE($H1515," ","")," ","")&lt;&gt;SUBSTITUTE(SUBSTITUTE(INDEX(職員マスタ!$B$6:$B$405,$AP1515)," ","")," ","")),"氏名がマスタと相違／","")&amp;IF(AND($Q1515&lt;&gt;"",INDEX(職員マスタ!$E$6:$E$405,$AP1515)&lt;&gt;"",$Q1515&lt;&gt;INDEX(職員マスタ!$E$6:$E$405,$AP1515)),"子の生年月日がマスタと相違／","")&amp;IF(AND($L1515&lt;&gt;"",INDEX(職員マスタ!$G$6:$G$405,$AP1515)&lt;&gt;"",$L1515&lt;&gt;INDEX(職員マスタ!$G$6:$G$405,$AP1515)),"時短開始日がマスタと相違／","")&amp;IF(AND($M1515&lt;&gt;"",INDEX(職員マスタ!$H$6:$H$405,$AP1515)&lt;&gt;"",$M1515&lt;&gt;INDEX(職員マスタ!$H$6:$H$405,$AP1515)),"時短終了日がマスタと相違／","")))&amp;IF(AND($B1515&lt;&gt;"",$E1515=""),"報酬額が未入力／","")&amp;IF(N($U1515)&gt;0,"申請書に入力エラーが残っています／","")&amp;IF(AND($B1515&lt;&gt;"",$AQ1515&lt;&gt;""),IF(COUNTIFS($B$6:$B$3005,$B1515,$C$6:$C$3005,$C1515,$D$6:$D$3005,$D1515)&gt;1,"同じ月の請求が重複しています／",""),"")&amp;IF(AND(N($E1515)&gt;0,$AB1515&lt;&gt;"",$AB1515&lt;&gt;"×",$AE1515=0,$AD1515=""),"計算額が下限以下のため不支給／",""))</f>
        <v/>
      </c>
      <c r="AN1515" s="12" t="n"/>
      <c r="AO1515" s="14">
        <f>IF($AF1515="保留中",COUNTIF($AF$6:$AF1515,"保留中"),"")</f>
        <v/>
      </c>
      <c r="AP1515" s="14">
        <f>IF($AQ1515="","",IF(SUMPRODUCT(MAX((職員マスタ!$A$6:$A$405=$B1515)*(((職員マスタ!$G$6:$G$405="")+(職員マスタ!$G$6:$G$405&lt;=EOMONTH($AQ1515,0)))&gt;0)*(((職員マスタ!$H$6:$H$405="")+(職員マスタ!$H$6:$H$405&gt;=$AQ1515))&gt;0)*(ROW(職員マスタ!$A$6:$A$405)-5)))&gt;0,SUMPRODUCT(MAX((職員マスタ!$A$6:$A$405=$B1515)*(((職員マスタ!$G$6:$G$405="")+(職員マスタ!$G$6:$G$405&lt;=EOMONTH($AQ1515,0)))&gt;0)*(((職員マスタ!$H$6:$H$405="")+(職員マスタ!$H$6:$H$405&gt;=$AQ1515))&gt;0)*(ROW(職員マスタ!$A$6:$A$405)-5))),IFERROR(MATCH($B1515,職員マスタ!$A$6:$A$405,0),"")))</f>
        <v/>
      </c>
      <c r="AQ1515" s="16">
        <f>IF(OR($B1515="",$C1515="",$D1515=""),"",DATE($C1515+2018,$D1515,1))</f>
        <v/>
      </c>
    </row>
    <row r="1516">
      <c r="A1516" s="11" t="n"/>
      <c r="B1516" s="12" t="n"/>
      <c r="C1516" s="12" t="n"/>
      <c r="D1516" s="12" t="n"/>
      <c r="E1516" s="13" t="n"/>
      <c r="F1516" s="12" t="n"/>
      <c r="G1516" s="13" t="n"/>
      <c r="H1516" s="12" t="n"/>
      <c r="I1516" s="12" t="n"/>
      <c r="J1516" s="12" t="n"/>
      <c r="K1516" s="12" t="n"/>
      <c r="L1516" s="11" t="n"/>
      <c r="M1516" s="11" t="n"/>
      <c r="N1516" s="11" t="n"/>
      <c r="O1516" s="11" t="n"/>
      <c r="P1516" s="12" t="n"/>
      <c r="Q1516" s="11" t="n"/>
      <c r="R1516" s="12" t="n"/>
      <c r="S1516" s="11" t="n"/>
      <c r="T1516" s="12" t="n"/>
      <c r="U1516" s="12" t="n"/>
      <c r="V1516" s="12" t="n"/>
      <c r="W1516" s="13" t="n"/>
      <c r="X1516" s="14">
        <f>IF($AP1516="",IF($B1516="","",$H1516),IF(INDEX(職員マスタ!$B$6:$B$405,$AP1516)="",$H1516,INDEX(職員マスタ!$B$6:$B$405,$AP1516)))</f>
        <v/>
      </c>
      <c r="Y1516" s="14">
        <f>IF($AP1516="",IF($B1516="","",$R1516),IF(INDEX(職員マスタ!$C$6:$C$405,$AP1516)="",$R1516,INDEX(職員マスタ!$C$6:$C$405,$AP1516)))</f>
        <v/>
      </c>
      <c r="Z1516" s="14">
        <f>IF($AQ1516="","","R"&amp;$C1516&amp;"."&amp;$D1516)</f>
        <v/>
      </c>
      <c r="AA1516" s="15">
        <f>IF(IF($AP1516="",FALSE,INDEX(職員マスタ!$K$6:$K$405,$AP1516)&lt;&gt;""),INDEX(職員マスタ!$K$6:$K$405,$AP1516),IF(N($W1516)&gt;0,$W1516,""))</f>
        <v/>
      </c>
      <c r="AB1516" s="14">
        <f>IF(OR($E1516="",$AA1516=""),"",IF($E1516&gt;=$AA1516,"×",IF($E1516&gt;=$AA1516*設定!$C$5,"△","○")))</f>
        <v/>
      </c>
      <c r="AC1516" s="15">
        <f>IF($AB1516="","",IF($AB1516="×",0,IF($AB1516="○",ROUNDDOWN($E1516*設定!$C$4,0),ROUNDDOWN($E1516*ROUND((9*$AA1516-9*$E1516)/(10*$E1516),4),0))))</f>
        <v/>
      </c>
      <c r="AD1516" s="13" t="n"/>
      <c r="AE1516" s="15">
        <f>IF($B1516="","",IF($AD1516&lt;&gt;"",$AD1516,IF($AC1516="","",IF($AC1516&lt;=設定!$C$3,0,$AC1516))))</f>
        <v/>
      </c>
      <c r="AF1516" s="14">
        <f>IF($B1516="","",IF(AND($AG1516&lt;&gt;"",$AI1516="",$AL1516=""),"保留中",IF($AL1516&lt;&gt;"",IF(N($AE1516)&gt;0,"支給済","不支給"),IF($AE1516="","要確認",IF($AE1516=0,"不支給","未処理")))))</f>
        <v/>
      </c>
      <c r="AG1516" s="12" t="n"/>
      <c r="AH1516" s="11" t="n"/>
      <c r="AI1516" s="11" t="n"/>
      <c r="AJ1516" s="11" t="n"/>
      <c r="AK1516" s="14">
        <f>IF(AND($AF1516="保留中",$AH1516&lt;&gt;""),TODAY()-$AH1516,"")</f>
        <v/>
      </c>
      <c r="AL1516" s="12" t="n"/>
      <c r="AM1516" s="14">
        <f>IF($B1516="","",IF($AQ1516="","対象年月が未入力／","")&amp;IF($B1516="","",IF($AP1516="","職員マスタに未登録の職員番号／",IF($AA1516="","標準報酬月額が未登録／","")&amp;IF(AND($AQ1516&lt;&gt;"",OR(AND(INDEX(職員マスタ!$G$6:$G$405,$AP1516)&lt;&gt;"",INDEX(職員マスタ!$G$6:$G$405,$AP1516)&gt;EOMONTH($AQ1516,0)),AND(INDEX(職員マスタ!$H$6:$H$405,$AP1516)&lt;&gt;"",INDEX(職員マスタ!$H$6:$H$405,$AP1516)&lt;$AQ1516))),"対象月が時短期間外／","")&amp;IF(AND(INDEX(職員マスタ!$K$6:$K$405,$AP1516)&lt;&gt;"",N($W1516)&gt;0,INDEX(職員マスタ!$K$6:$K$405,$AP1516)&lt;&gt;$W1516),"標準報酬月額が申請書と相違（台帳"&amp;TEXT(INDEX(職員マスタ!$K$6:$K$405,$AP1516),"#,##0")&amp;"円／申請書"&amp;TEXT($W1516,"#,##0")&amp;"円）／","")&amp;IF(AND(INDEX(職員マスタ!$F$6:$F$405,$AP1516)&lt;&gt;"",$AQ1516&lt;&gt;"",INDEX(職員マスタ!$F$6:$F$405,$AP1516)&lt;$AQ1516),"対象月に子が2歳到達済／","")&amp;IF(AND($H1516&lt;&gt;"",INDEX(職員マスタ!$B$6:$B$405,$AP1516)&lt;&gt;"",SUBSTITUTE(SUBSTITUTE($H1516," ","")," ","")&lt;&gt;SUBSTITUTE(SUBSTITUTE(INDEX(職員マスタ!$B$6:$B$405,$AP1516)," ","")," ","")),"氏名がマスタと相違／","")&amp;IF(AND($Q1516&lt;&gt;"",INDEX(職員マスタ!$E$6:$E$405,$AP1516)&lt;&gt;"",$Q1516&lt;&gt;INDEX(職員マスタ!$E$6:$E$405,$AP1516)),"子の生年月日がマスタと相違／","")&amp;IF(AND($L1516&lt;&gt;"",INDEX(職員マスタ!$G$6:$G$405,$AP1516)&lt;&gt;"",$L1516&lt;&gt;INDEX(職員マスタ!$G$6:$G$405,$AP1516)),"時短開始日がマスタと相違／","")&amp;IF(AND($M1516&lt;&gt;"",INDEX(職員マスタ!$H$6:$H$405,$AP1516)&lt;&gt;"",$M1516&lt;&gt;INDEX(職員マスタ!$H$6:$H$405,$AP1516)),"時短終了日がマスタと相違／","")))&amp;IF(AND($B1516&lt;&gt;"",$E1516=""),"報酬額が未入力／","")&amp;IF(N($U1516)&gt;0,"申請書に入力エラーが残っています／","")&amp;IF(AND($B1516&lt;&gt;"",$AQ1516&lt;&gt;""),IF(COUNTIFS($B$6:$B$3005,$B1516,$C$6:$C$3005,$C1516,$D$6:$D$3005,$D1516)&gt;1,"同じ月の請求が重複しています／",""),"")&amp;IF(AND(N($E1516)&gt;0,$AB1516&lt;&gt;"",$AB1516&lt;&gt;"×",$AE1516=0,$AD1516=""),"計算額が下限以下のため不支給／",""))</f>
        <v/>
      </c>
      <c r="AN1516" s="12" t="n"/>
      <c r="AO1516" s="14">
        <f>IF($AF1516="保留中",COUNTIF($AF$6:$AF1516,"保留中"),"")</f>
        <v/>
      </c>
      <c r="AP1516" s="14">
        <f>IF($AQ1516="","",IF(SUMPRODUCT(MAX((職員マスタ!$A$6:$A$405=$B1516)*(((職員マスタ!$G$6:$G$405="")+(職員マスタ!$G$6:$G$405&lt;=EOMONTH($AQ1516,0)))&gt;0)*(((職員マスタ!$H$6:$H$405="")+(職員マスタ!$H$6:$H$405&gt;=$AQ1516))&gt;0)*(ROW(職員マスタ!$A$6:$A$405)-5)))&gt;0,SUMPRODUCT(MAX((職員マスタ!$A$6:$A$405=$B1516)*(((職員マスタ!$G$6:$G$405="")+(職員マスタ!$G$6:$G$405&lt;=EOMONTH($AQ1516,0)))&gt;0)*(((職員マスタ!$H$6:$H$405="")+(職員マスタ!$H$6:$H$405&gt;=$AQ1516))&gt;0)*(ROW(職員マスタ!$A$6:$A$405)-5))),IFERROR(MATCH($B1516,職員マスタ!$A$6:$A$405,0),"")))</f>
        <v/>
      </c>
      <c r="AQ1516" s="16">
        <f>IF(OR($B1516="",$C1516="",$D1516=""),"",DATE($C1516+2018,$D1516,1))</f>
        <v/>
      </c>
    </row>
    <row r="1517">
      <c r="A1517" s="11" t="n"/>
      <c r="B1517" s="12" t="n"/>
      <c r="C1517" s="12" t="n"/>
      <c r="D1517" s="12" t="n"/>
      <c r="E1517" s="13" t="n"/>
      <c r="F1517" s="12" t="n"/>
      <c r="G1517" s="13" t="n"/>
      <c r="H1517" s="12" t="n"/>
      <c r="I1517" s="12" t="n"/>
      <c r="J1517" s="12" t="n"/>
      <c r="K1517" s="12" t="n"/>
      <c r="L1517" s="11" t="n"/>
      <c r="M1517" s="11" t="n"/>
      <c r="N1517" s="11" t="n"/>
      <c r="O1517" s="11" t="n"/>
      <c r="P1517" s="12" t="n"/>
      <c r="Q1517" s="11" t="n"/>
      <c r="R1517" s="12" t="n"/>
      <c r="S1517" s="11" t="n"/>
      <c r="T1517" s="12" t="n"/>
      <c r="U1517" s="12" t="n"/>
      <c r="V1517" s="12" t="n"/>
      <c r="W1517" s="13" t="n"/>
      <c r="X1517" s="14">
        <f>IF($AP1517="",IF($B1517="","",$H1517),IF(INDEX(職員マスタ!$B$6:$B$405,$AP1517)="",$H1517,INDEX(職員マスタ!$B$6:$B$405,$AP1517)))</f>
        <v/>
      </c>
      <c r="Y1517" s="14">
        <f>IF($AP1517="",IF($B1517="","",$R1517),IF(INDEX(職員マスタ!$C$6:$C$405,$AP1517)="",$R1517,INDEX(職員マスタ!$C$6:$C$405,$AP1517)))</f>
        <v/>
      </c>
      <c r="Z1517" s="14">
        <f>IF($AQ1517="","","R"&amp;$C1517&amp;"."&amp;$D1517)</f>
        <v/>
      </c>
      <c r="AA1517" s="15">
        <f>IF(IF($AP1517="",FALSE,INDEX(職員マスタ!$K$6:$K$405,$AP1517)&lt;&gt;""),INDEX(職員マスタ!$K$6:$K$405,$AP1517),IF(N($W1517)&gt;0,$W1517,""))</f>
        <v/>
      </c>
      <c r="AB1517" s="14">
        <f>IF(OR($E1517="",$AA1517=""),"",IF($E1517&gt;=$AA1517,"×",IF($E1517&gt;=$AA1517*設定!$C$5,"△","○")))</f>
        <v/>
      </c>
      <c r="AC1517" s="15">
        <f>IF($AB1517="","",IF($AB1517="×",0,IF($AB1517="○",ROUNDDOWN($E1517*設定!$C$4,0),ROUNDDOWN($E1517*ROUND((9*$AA1517-9*$E1517)/(10*$E1517),4),0))))</f>
        <v/>
      </c>
      <c r="AD1517" s="13" t="n"/>
      <c r="AE1517" s="15">
        <f>IF($B1517="","",IF($AD1517&lt;&gt;"",$AD1517,IF($AC1517="","",IF($AC1517&lt;=設定!$C$3,0,$AC1517))))</f>
        <v/>
      </c>
      <c r="AF1517" s="14">
        <f>IF($B1517="","",IF(AND($AG1517&lt;&gt;"",$AI1517="",$AL1517=""),"保留中",IF($AL1517&lt;&gt;"",IF(N($AE1517)&gt;0,"支給済","不支給"),IF($AE1517="","要確認",IF($AE1517=0,"不支給","未処理")))))</f>
        <v/>
      </c>
      <c r="AG1517" s="12" t="n"/>
      <c r="AH1517" s="11" t="n"/>
      <c r="AI1517" s="11" t="n"/>
      <c r="AJ1517" s="11" t="n"/>
      <c r="AK1517" s="14">
        <f>IF(AND($AF1517="保留中",$AH1517&lt;&gt;""),TODAY()-$AH1517,"")</f>
        <v/>
      </c>
      <c r="AL1517" s="12" t="n"/>
      <c r="AM1517" s="14">
        <f>IF($B1517="","",IF($AQ1517="","対象年月が未入力／","")&amp;IF($B1517="","",IF($AP1517="","職員マスタに未登録の職員番号／",IF($AA1517="","標準報酬月額が未登録／","")&amp;IF(AND($AQ1517&lt;&gt;"",OR(AND(INDEX(職員マスタ!$G$6:$G$405,$AP1517)&lt;&gt;"",INDEX(職員マスタ!$G$6:$G$405,$AP1517)&gt;EOMONTH($AQ1517,0)),AND(INDEX(職員マスタ!$H$6:$H$405,$AP1517)&lt;&gt;"",INDEX(職員マスタ!$H$6:$H$405,$AP1517)&lt;$AQ1517))),"対象月が時短期間外／","")&amp;IF(AND(INDEX(職員マスタ!$K$6:$K$405,$AP1517)&lt;&gt;"",N($W1517)&gt;0,INDEX(職員マスタ!$K$6:$K$405,$AP1517)&lt;&gt;$W1517),"標準報酬月額が申請書と相違（台帳"&amp;TEXT(INDEX(職員マスタ!$K$6:$K$405,$AP1517),"#,##0")&amp;"円／申請書"&amp;TEXT($W1517,"#,##0")&amp;"円）／","")&amp;IF(AND(INDEX(職員マスタ!$F$6:$F$405,$AP1517)&lt;&gt;"",$AQ1517&lt;&gt;"",INDEX(職員マスタ!$F$6:$F$405,$AP1517)&lt;$AQ1517),"対象月に子が2歳到達済／","")&amp;IF(AND($H1517&lt;&gt;"",INDEX(職員マスタ!$B$6:$B$405,$AP1517)&lt;&gt;"",SUBSTITUTE(SUBSTITUTE($H1517," ","")," ","")&lt;&gt;SUBSTITUTE(SUBSTITUTE(INDEX(職員マスタ!$B$6:$B$405,$AP1517)," ","")," ","")),"氏名がマスタと相違／","")&amp;IF(AND($Q1517&lt;&gt;"",INDEX(職員マスタ!$E$6:$E$405,$AP1517)&lt;&gt;"",$Q1517&lt;&gt;INDEX(職員マスタ!$E$6:$E$405,$AP1517)),"子の生年月日がマスタと相違／","")&amp;IF(AND($L1517&lt;&gt;"",INDEX(職員マスタ!$G$6:$G$405,$AP1517)&lt;&gt;"",$L1517&lt;&gt;INDEX(職員マスタ!$G$6:$G$405,$AP1517)),"時短開始日がマスタと相違／","")&amp;IF(AND($M1517&lt;&gt;"",INDEX(職員マスタ!$H$6:$H$405,$AP1517)&lt;&gt;"",$M1517&lt;&gt;INDEX(職員マスタ!$H$6:$H$405,$AP1517)),"時短終了日がマスタと相違／","")))&amp;IF(AND($B1517&lt;&gt;"",$E1517=""),"報酬額が未入力／","")&amp;IF(N($U1517)&gt;0,"申請書に入力エラーが残っています／","")&amp;IF(AND($B1517&lt;&gt;"",$AQ1517&lt;&gt;""),IF(COUNTIFS($B$6:$B$3005,$B1517,$C$6:$C$3005,$C1517,$D$6:$D$3005,$D1517)&gt;1,"同じ月の請求が重複しています／",""),"")&amp;IF(AND(N($E1517)&gt;0,$AB1517&lt;&gt;"",$AB1517&lt;&gt;"×",$AE1517=0,$AD1517=""),"計算額が下限以下のため不支給／",""))</f>
        <v/>
      </c>
      <c r="AN1517" s="12" t="n"/>
      <c r="AO1517" s="14">
        <f>IF($AF1517="保留中",COUNTIF($AF$6:$AF1517,"保留中"),"")</f>
        <v/>
      </c>
      <c r="AP1517" s="14">
        <f>IF($AQ1517="","",IF(SUMPRODUCT(MAX((職員マスタ!$A$6:$A$405=$B1517)*(((職員マスタ!$G$6:$G$405="")+(職員マスタ!$G$6:$G$405&lt;=EOMONTH($AQ1517,0)))&gt;0)*(((職員マスタ!$H$6:$H$405="")+(職員マスタ!$H$6:$H$405&gt;=$AQ1517))&gt;0)*(ROW(職員マスタ!$A$6:$A$405)-5)))&gt;0,SUMPRODUCT(MAX((職員マスタ!$A$6:$A$405=$B1517)*(((職員マスタ!$G$6:$G$405="")+(職員マスタ!$G$6:$G$405&lt;=EOMONTH($AQ1517,0)))&gt;0)*(((職員マスタ!$H$6:$H$405="")+(職員マスタ!$H$6:$H$405&gt;=$AQ1517))&gt;0)*(ROW(職員マスタ!$A$6:$A$405)-5))),IFERROR(MATCH($B1517,職員マスタ!$A$6:$A$405,0),"")))</f>
        <v/>
      </c>
      <c r="AQ1517" s="16">
        <f>IF(OR($B1517="",$C1517="",$D1517=""),"",DATE($C1517+2018,$D1517,1))</f>
        <v/>
      </c>
    </row>
    <row r="1518">
      <c r="A1518" s="11" t="n"/>
      <c r="B1518" s="12" t="n"/>
      <c r="C1518" s="12" t="n"/>
      <c r="D1518" s="12" t="n"/>
      <c r="E1518" s="13" t="n"/>
      <c r="F1518" s="12" t="n"/>
      <c r="G1518" s="13" t="n"/>
      <c r="H1518" s="12" t="n"/>
      <c r="I1518" s="12" t="n"/>
      <c r="J1518" s="12" t="n"/>
      <c r="K1518" s="12" t="n"/>
      <c r="L1518" s="11" t="n"/>
      <c r="M1518" s="11" t="n"/>
      <c r="N1518" s="11" t="n"/>
      <c r="O1518" s="11" t="n"/>
      <c r="P1518" s="12" t="n"/>
      <c r="Q1518" s="11" t="n"/>
      <c r="R1518" s="12" t="n"/>
      <c r="S1518" s="11" t="n"/>
      <c r="T1518" s="12" t="n"/>
      <c r="U1518" s="12" t="n"/>
      <c r="V1518" s="12" t="n"/>
      <c r="W1518" s="13" t="n"/>
      <c r="X1518" s="14">
        <f>IF($AP1518="",IF($B1518="","",$H1518),IF(INDEX(職員マスタ!$B$6:$B$405,$AP1518)="",$H1518,INDEX(職員マスタ!$B$6:$B$405,$AP1518)))</f>
        <v/>
      </c>
      <c r="Y1518" s="14">
        <f>IF($AP1518="",IF($B1518="","",$R1518),IF(INDEX(職員マスタ!$C$6:$C$405,$AP1518)="",$R1518,INDEX(職員マスタ!$C$6:$C$405,$AP1518)))</f>
        <v/>
      </c>
      <c r="Z1518" s="14">
        <f>IF($AQ1518="","","R"&amp;$C1518&amp;"."&amp;$D1518)</f>
        <v/>
      </c>
      <c r="AA1518" s="15">
        <f>IF(IF($AP1518="",FALSE,INDEX(職員マスタ!$K$6:$K$405,$AP1518)&lt;&gt;""),INDEX(職員マスタ!$K$6:$K$405,$AP1518),IF(N($W1518)&gt;0,$W1518,""))</f>
        <v/>
      </c>
      <c r="AB1518" s="14">
        <f>IF(OR($E1518="",$AA1518=""),"",IF($E1518&gt;=$AA1518,"×",IF($E1518&gt;=$AA1518*設定!$C$5,"△","○")))</f>
        <v/>
      </c>
      <c r="AC1518" s="15">
        <f>IF($AB1518="","",IF($AB1518="×",0,IF($AB1518="○",ROUNDDOWN($E1518*設定!$C$4,0),ROUNDDOWN($E1518*ROUND((9*$AA1518-9*$E1518)/(10*$E1518),4),0))))</f>
        <v/>
      </c>
      <c r="AD1518" s="13" t="n"/>
      <c r="AE1518" s="15">
        <f>IF($B1518="","",IF($AD1518&lt;&gt;"",$AD1518,IF($AC1518="","",IF($AC1518&lt;=設定!$C$3,0,$AC1518))))</f>
        <v/>
      </c>
      <c r="AF1518" s="14">
        <f>IF($B1518="","",IF(AND($AG1518&lt;&gt;"",$AI1518="",$AL1518=""),"保留中",IF($AL1518&lt;&gt;"",IF(N($AE1518)&gt;0,"支給済","不支給"),IF($AE1518="","要確認",IF($AE1518=0,"不支給","未処理")))))</f>
        <v/>
      </c>
      <c r="AG1518" s="12" t="n"/>
      <c r="AH1518" s="11" t="n"/>
      <c r="AI1518" s="11" t="n"/>
      <c r="AJ1518" s="11" t="n"/>
      <c r="AK1518" s="14">
        <f>IF(AND($AF1518="保留中",$AH1518&lt;&gt;""),TODAY()-$AH1518,"")</f>
        <v/>
      </c>
      <c r="AL1518" s="12" t="n"/>
      <c r="AM1518" s="14">
        <f>IF($B1518="","",IF($AQ1518="","対象年月が未入力／","")&amp;IF($B1518="","",IF($AP1518="","職員マスタに未登録の職員番号／",IF($AA1518="","標準報酬月額が未登録／","")&amp;IF(AND($AQ1518&lt;&gt;"",OR(AND(INDEX(職員マスタ!$G$6:$G$405,$AP1518)&lt;&gt;"",INDEX(職員マスタ!$G$6:$G$405,$AP1518)&gt;EOMONTH($AQ1518,0)),AND(INDEX(職員マスタ!$H$6:$H$405,$AP1518)&lt;&gt;"",INDEX(職員マスタ!$H$6:$H$405,$AP1518)&lt;$AQ1518))),"対象月が時短期間外／","")&amp;IF(AND(INDEX(職員マスタ!$K$6:$K$405,$AP1518)&lt;&gt;"",N($W1518)&gt;0,INDEX(職員マスタ!$K$6:$K$405,$AP1518)&lt;&gt;$W1518),"標準報酬月額が申請書と相違（台帳"&amp;TEXT(INDEX(職員マスタ!$K$6:$K$405,$AP1518),"#,##0")&amp;"円／申請書"&amp;TEXT($W1518,"#,##0")&amp;"円）／","")&amp;IF(AND(INDEX(職員マスタ!$F$6:$F$405,$AP1518)&lt;&gt;"",$AQ1518&lt;&gt;"",INDEX(職員マスタ!$F$6:$F$405,$AP1518)&lt;$AQ1518),"対象月に子が2歳到達済／","")&amp;IF(AND($H1518&lt;&gt;"",INDEX(職員マスタ!$B$6:$B$405,$AP1518)&lt;&gt;"",SUBSTITUTE(SUBSTITUTE($H1518," ","")," ","")&lt;&gt;SUBSTITUTE(SUBSTITUTE(INDEX(職員マスタ!$B$6:$B$405,$AP1518)," ","")," ","")),"氏名がマスタと相違／","")&amp;IF(AND($Q1518&lt;&gt;"",INDEX(職員マスタ!$E$6:$E$405,$AP1518)&lt;&gt;"",$Q1518&lt;&gt;INDEX(職員マスタ!$E$6:$E$405,$AP1518)),"子の生年月日がマスタと相違／","")&amp;IF(AND($L1518&lt;&gt;"",INDEX(職員マスタ!$G$6:$G$405,$AP1518)&lt;&gt;"",$L1518&lt;&gt;INDEX(職員マスタ!$G$6:$G$405,$AP1518)),"時短開始日がマスタと相違／","")&amp;IF(AND($M1518&lt;&gt;"",INDEX(職員マスタ!$H$6:$H$405,$AP1518)&lt;&gt;"",$M1518&lt;&gt;INDEX(職員マスタ!$H$6:$H$405,$AP1518)),"時短終了日がマスタと相違／","")))&amp;IF(AND($B1518&lt;&gt;"",$E1518=""),"報酬額が未入力／","")&amp;IF(N($U1518)&gt;0,"申請書に入力エラーが残っています／","")&amp;IF(AND($B1518&lt;&gt;"",$AQ1518&lt;&gt;""),IF(COUNTIFS($B$6:$B$3005,$B1518,$C$6:$C$3005,$C1518,$D$6:$D$3005,$D1518)&gt;1,"同じ月の請求が重複しています／",""),"")&amp;IF(AND(N($E1518)&gt;0,$AB1518&lt;&gt;"",$AB1518&lt;&gt;"×",$AE1518=0,$AD1518=""),"計算額が下限以下のため不支給／",""))</f>
        <v/>
      </c>
      <c r="AN1518" s="12" t="n"/>
      <c r="AO1518" s="14">
        <f>IF($AF1518="保留中",COUNTIF($AF$6:$AF1518,"保留中"),"")</f>
        <v/>
      </c>
      <c r="AP1518" s="14">
        <f>IF($AQ1518="","",IF(SUMPRODUCT(MAX((職員マスタ!$A$6:$A$405=$B1518)*(((職員マスタ!$G$6:$G$405="")+(職員マスタ!$G$6:$G$405&lt;=EOMONTH($AQ1518,0)))&gt;0)*(((職員マスタ!$H$6:$H$405="")+(職員マスタ!$H$6:$H$405&gt;=$AQ1518))&gt;0)*(ROW(職員マスタ!$A$6:$A$405)-5)))&gt;0,SUMPRODUCT(MAX((職員マスタ!$A$6:$A$405=$B1518)*(((職員マスタ!$G$6:$G$405="")+(職員マスタ!$G$6:$G$405&lt;=EOMONTH($AQ1518,0)))&gt;0)*(((職員マスタ!$H$6:$H$405="")+(職員マスタ!$H$6:$H$405&gt;=$AQ1518))&gt;0)*(ROW(職員マスタ!$A$6:$A$405)-5))),IFERROR(MATCH($B1518,職員マスタ!$A$6:$A$405,0),"")))</f>
        <v/>
      </c>
      <c r="AQ1518" s="16">
        <f>IF(OR($B1518="",$C1518="",$D1518=""),"",DATE($C1518+2018,$D1518,1))</f>
        <v/>
      </c>
    </row>
    <row r="1519">
      <c r="A1519" s="11" t="n"/>
      <c r="B1519" s="12" t="n"/>
      <c r="C1519" s="12" t="n"/>
      <c r="D1519" s="12" t="n"/>
      <c r="E1519" s="13" t="n"/>
      <c r="F1519" s="12" t="n"/>
      <c r="G1519" s="13" t="n"/>
      <c r="H1519" s="12" t="n"/>
      <c r="I1519" s="12" t="n"/>
      <c r="J1519" s="12" t="n"/>
      <c r="K1519" s="12" t="n"/>
      <c r="L1519" s="11" t="n"/>
      <c r="M1519" s="11" t="n"/>
      <c r="N1519" s="11" t="n"/>
      <c r="O1519" s="11" t="n"/>
      <c r="P1519" s="12" t="n"/>
      <c r="Q1519" s="11" t="n"/>
      <c r="R1519" s="12" t="n"/>
      <c r="S1519" s="11" t="n"/>
      <c r="T1519" s="12" t="n"/>
      <c r="U1519" s="12" t="n"/>
      <c r="V1519" s="12" t="n"/>
      <c r="W1519" s="13" t="n"/>
      <c r="X1519" s="14">
        <f>IF($AP1519="",IF($B1519="","",$H1519),IF(INDEX(職員マスタ!$B$6:$B$405,$AP1519)="",$H1519,INDEX(職員マスタ!$B$6:$B$405,$AP1519)))</f>
        <v/>
      </c>
      <c r="Y1519" s="14">
        <f>IF($AP1519="",IF($B1519="","",$R1519),IF(INDEX(職員マスタ!$C$6:$C$405,$AP1519)="",$R1519,INDEX(職員マスタ!$C$6:$C$405,$AP1519)))</f>
        <v/>
      </c>
      <c r="Z1519" s="14">
        <f>IF($AQ1519="","","R"&amp;$C1519&amp;"."&amp;$D1519)</f>
        <v/>
      </c>
      <c r="AA1519" s="15">
        <f>IF(IF($AP1519="",FALSE,INDEX(職員マスタ!$K$6:$K$405,$AP1519)&lt;&gt;""),INDEX(職員マスタ!$K$6:$K$405,$AP1519),IF(N($W1519)&gt;0,$W1519,""))</f>
        <v/>
      </c>
      <c r="AB1519" s="14">
        <f>IF(OR($E1519="",$AA1519=""),"",IF($E1519&gt;=$AA1519,"×",IF($E1519&gt;=$AA1519*設定!$C$5,"△","○")))</f>
        <v/>
      </c>
      <c r="AC1519" s="15">
        <f>IF($AB1519="","",IF($AB1519="×",0,IF($AB1519="○",ROUNDDOWN($E1519*設定!$C$4,0),ROUNDDOWN($E1519*ROUND((9*$AA1519-9*$E1519)/(10*$E1519),4),0))))</f>
        <v/>
      </c>
      <c r="AD1519" s="13" t="n"/>
      <c r="AE1519" s="15">
        <f>IF($B1519="","",IF($AD1519&lt;&gt;"",$AD1519,IF($AC1519="","",IF($AC1519&lt;=設定!$C$3,0,$AC1519))))</f>
        <v/>
      </c>
      <c r="AF1519" s="14">
        <f>IF($B1519="","",IF(AND($AG1519&lt;&gt;"",$AI1519="",$AL1519=""),"保留中",IF($AL1519&lt;&gt;"",IF(N($AE1519)&gt;0,"支給済","不支給"),IF($AE1519="","要確認",IF($AE1519=0,"不支給","未処理")))))</f>
        <v/>
      </c>
      <c r="AG1519" s="12" t="n"/>
      <c r="AH1519" s="11" t="n"/>
      <c r="AI1519" s="11" t="n"/>
      <c r="AJ1519" s="11" t="n"/>
      <c r="AK1519" s="14">
        <f>IF(AND($AF1519="保留中",$AH1519&lt;&gt;""),TODAY()-$AH1519,"")</f>
        <v/>
      </c>
      <c r="AL1519" s="12" t="n"/>
      <c r="AM1519" s="14">
        <f>IF($B1519="","",IF($AQ1519="","対象年月が未入力／","")&amp;IF($B1519="","",IF($AP1519="","職員マスタに未登録の職員番号／",IF($AA1519="","標準報酬月額が未登録／","")&amp;IF(AND($AQ1519&lt;&gt;"",OR(AND(INDEX(職員マスタ!$G$6:$G$405,$AP1519)&lt;&gt;"",INDEX(職員マスタ!$G$6:$G$405,$AP1519)&gt;EOMONTH($AQ1519,0)),AND(INDEX(職員マスタ!$H$6:$H$405,$AP1519)&lt;&gt;"",INDEX(職員マスタ!$H$6:$H$405,$AP1519)&lt;$AQ1519))),"対象月が時短期間外／","")&amp;IF(AND(INDEX(職員マスタ!$K$6:$K$405,$AP1519)&lt;&gt;"",N($W1519)&gt;0,INDEX(職員マスタ!$K$6:$K$405,$AP1519)&lt;&gt;$W1519),"標準報酬月額が申請書と相違（台帳"&amp;TEXT(INDEX(職員マスタ!$K$6:$K$405,$AP1519),"#,##0")&amp;"円／申請書"&amp;TEXT($W1519,"#,##0")&amp;"円）／","")&amp;IF(AND(INDEX(職員マスタ!$F$6:$F$405,$AP1519)&lt;&gt;"",$AQ1519&lt;&gt;"",INDEX(職員マスタ!$F$6:$F$405,$AP1519)&lt;$AQ1519),"対象月に子が2歳到達済／","")&amp;IF(AND($H1519&lt;&gt;"",INDEX(職員マスタ!$B$6:$B$405,$AP1519)&lt;&gt;"",SUBSTITUTE(SUBSTITUTE($H1519," ","")," ","")&lt;&gt;SUBSTITUTE(SUBSTITUTE(INDEX(職員マスタ!$B$6:$B$405,$AP1519)," ","")," ","")),"氏名がマスタと相違／","")&amp;IF(AND($Q1519&lt;&gt;"",INDEX(職員マスタ!$E$6:$E$405,$AP1519)&lt;&gt;"",$Q1519&lt;&gt;INDEX(職員マスタ!$E$6:$E$405,$AP1519)),"子の生年月日がマスタと相違／","")&amp;IF(AND($L1519&lt;&gt;"",INDEX(職員マスタ!$G$6:$G$405,$AP1519)&lt;&gt;"",$L1519&lt;&gt;INDEX(職員マスタ!$G$6:$G$405,$AP1519)),"時短開始日がマスタと相違／","")&amp;IF(AND($M1519&lt;&gt;"",INDEX(職員マスタ!$H$6:$H$405,$AP1519)&lt;&gt;"",$M1519&lt;&gt;INDEX(職員マスタ!$H$6:$H$405,$AP1519)),"時短終了日がマスタと相違／","")))&amp;IF(AND($B1519&lt;&gt;"",$E1519=""),"報酬額が未入力／","")&amp;IF(N($U1519)&gt;0,"申請書に入力エラーが残っています／","")&amp;IF(AND($B1519&lt;&gt;"",$AQ1519&lt;&gt;""),IF(COUNTIFS($B$6:$B$3005,$B1519,$C$6:$C$3005,$C1519,$D$6:$D$3005,$D1519)&gt;1,"同じ月の請求が重複しています／",""),"")&amp;IF(AND(N($E1519)&gt;0,$AB1519&lt;&gt;"",$AB1519&lt;&gt;"×",$AE1519=0,$AD1519=""),"計算額が下限以下のため不支給／",""))</f>
        <v/>
      </c>
      <c r="AN1519" s="12" t="n"/>
      <c r="AO1519" s="14">
        <f>IF($AF1519="保留中",COUNTIF($AF$6:$AF1519,"保留中"),"")</f>
        <v/>
      </c>
      <c r="AP1519" s="14">
        <f>IF($AQ1519="","",IF(SUMPRODUCT(MAX((職員マスタ!$A$6:$A$405=$B1519)*(((職員マスタ!$G$6:$G$405="")+(職員マスタ!$G$6:$G$405&lt;=EOMONTH($AQ1519,0)))&gt;0)*(((職員マスタ!$H$6:$H$405="")+(職員マスタ!$H$6:$H$405&gt;=$AQ1519))&gt;0)*(ROW(職員マスタ!$A$6:$A$405)-5)))&gt;0,SUMPRODUCT(MAX((職員マスタ!$A$6:$A$405=$B1519)*(((職員マスタ!$G$6:$G$405="")+(職員マスタ!$G$6:$G$405&lt;=EOMONTH($AQ1519,0)))&gt;0)*(((職員マスタ!$H$6:$H$405="")+(職員マスタ!$H$6:$H$405&gt;=$AQ1519))&gt;0)*(ROW(職員マスタ!$A$6:$A$405)-5))),IFERROR(MATCH($B1519,職員マスタ!$A$6:$A$405,0),"")))</f>
        <v/>
      </c>
      <c r="AQ1519" s="16">
        <f>IF(OR($B1519="",$C1519="",$D1519=""),"",DATE($C1519+2018,$D1519,1))</f>
        <v/>
      </c>
    </row>
    <row r="1520">
      <c r="A1520" s="11" t="n"/>
      <c r="B1520" s="12" t="n"/>
      <c r="C1520" s="12" t="n"/>
      <c r="D1520" s="12" t="n"/>
      <c r="E1520" s="13" t="n"/>
      <c r="F1520" s="12" t="n"/>
      <c r="G1520" s="13" t="n"/>
      <c r="H1520" s="12" t="n"/>
      <c r="I1520" s="12" t="n"/>
      <c r="J1520" s="12" t="n"/>
      <c r="K1520" s="12" t="n"/>
      <c r="L1520" s="11" t="n"/>
      <c r="M1520" s="11" t="n"/>
      <c r="N1520" s="11" t="n"/>
      <c r="O1520" s="11" t="n"/>
      <c r="P1520" s="12" t="n"/>
      <c r="Q1520" s="11" t="n"/>
      <c r="R1520" s="12" t="n"/>
      <c r="S1520" s="11" t="n"/>
      <c r="T1520" s="12" t="n"/>
      <c r="U1520" s="12" t="n"/>
      <c r="V1520" s="12" t="n"/>
      <c r="W1520" s="13" t="n"/>
      <c r="X1520" s="14">
        <f>IF($AP1520="",IF($B1520="","",$H1520),IF(INDEX(職員マスタ!$B$6:$B$405,$AP1520)="",$H1520,INDEX(職員マスタ!$B$6:$B$405,$AP1520)))</f>
        <v/>
      </c>
      <c r="Y1520" s="14">
        <f>IF($AP1520="",IF($B1520="","",$R1520),IF(INDEX(職員マスタ!$C$6:$C$405,$AP1520)="",$R1520,INDEX(職員マスタ!$C$6:$C$405,$AP1520)))</f>
        <v/>
      </c>
      <c r="Z1520" s="14">
        <f>IF($AQ1520="","","R"&amp;$C1520&amp;"."&amp;$D1520)</f>
        <v/>
      </c>
      <c r="AA1520" s="15">
        <f>IF(IF($AP1520="",FALSE,INDEX(職員マスタ!$K$6:$K$405,$AP1520)&lt;&gt;""),INDEX(職員マスタ!$K$6:$K$405,$AP1520),IF(N($W1520)&gt;0,$W1520,""))</f>
        <v/>
      </c>
      <c r="AB1520" s="14">
        <f>IF(OR($E1520="",$AA1520=""),"",IF($E1520&gt;=$AA1520,"×",IF($E1520&gt;=$AA1520*設定!$C$5,"△","○")))</f>
        <v/>
      </c>
      <c r="AC1520" s="15">
        <f>IF($AB1520="","",IF($AB1520="×",0,IF($AB1520="○",ROUNDDOWN($E1520*設定!$C$4,0),ROUNDDOWN($E1520*ROUND((9*$AA1520-9*$E1520)/(10*$E1520),4),0))))</f>
        <v/>
      </c>
      <c r="AD1520" s="13" t="n"/>
      <c r="AE1520" s="15">
        <f>IF($B1520="","",IF($AD1520&lt;&gt;"",$AD1520,IF($AC1520="","",IF($AC1520&lt;=設定!$C$3,0,$AC1520))))</f>
        <v/>
      </c>
      <c r="AF1520" s="14">
        <f>IF($B1520="","",IF(AND($AG1520&lt;&gt;"",$AI1520="",$AL1520=""),"保留中",IF($AL1520&lt;&gt;"",IF(N($AE1520)&gt;0,"支給済","不支給"),IF($AE1520="","要確認",IF($AE1520=0,"不支給","未処理")))))</f>
        <v/>
      </c>
      <c r="AG1520" s="12" t="n"/>
      <c r="AH1520" s="11" t="n"/>
      <c r="AI1520" s="11" t="n"/>
      <c r="AJ1520" s="11" t="n"/>
      <c r="AK1520" s="14">
        <f>IF(AND($AF1520="保留中",$AH1520&lt;&gt;""),TODAY()-$AH1520,"")</f>
        <v/>
      </c>
      <c r="AL1520" s="12" t="n"/>
      <c r="AM1520" s="14">
        <f>IF($B1520="","",IF($AQ1520="","対象年月が未入力／","")&amp;IF($B1520="","",IF($AP1520="","職員マスタに未登録の職員番号／",IF($AA1520="","標準報酬月額が未登録／","")&amp;IF(AND($AQ1520&lt;&gt;"",OR(AND(INDEX(職員マスタ!$G$6:$G$405,$AP1520)&lt;&gt;"",INDEX(職員マスタ!$G$6:$G$405,$AP1520)&gt;EOMONTH($AQ1520,0)),AND(INDEX(職員マスタ!$H$6:$H$405,$AP1520)&lt;&gt;"",INDEX(職員マスタ!$H$6:$H$405,$AP1520)&lt;$AQ1520))),"対象月が時短期間外／","")&amp;IF(AND(INDEX(職員マスタ!$K$6:$K$405,$AP1520)&lt;&gt;"",N($W1520)&gt;0,INDEX(職員マスタ!$K$6:$K$405,$AP1520)&lt;&gt;$W1520),"標準報酬月額が申請書と相違（台帳"&amp;TEXT(INDEX(職員マスタ!$K$6:$K$405,$AP1520),"#,##0")&amp;"円／申請書"&amp;TEXT($W1520,"#,##0")&amp;"円）／","")&amp;IF(AND(INDEX(職員マスタ!$F$6:$F$405,$AP1520)&lt;&gt;"",$AQ1520&lt;&gt;"",INDEX(職員マスタ!$F$6:$F$405,$AP1520)&lt;$AQ1520),"対象月に子が2歳到達済／","")&amp;IF(AND($H1520&lt;&gt;"",INDEX(職員マスタ!$B$6:$B$405,$AP1520)&lt;&gt;"",SUBSTITUTE(SUBSTITUTE($H1520," ","")," ","")&lt;&gt;SUBSTITUTE(SUBSTITUTE(INDEX(職員マスタ!$B$6:$B$405,$AP1520)," ","")," ","")),"氏名がマスタと相違／","")&amp;IF(AND($Q1520&lt;&gt;"",INDEX(職員マスタ!$E$6:$E$405,$AP1520)&lt;&gt;"",$Q1520&lt;&gt;INDEX(職員マスタ!$E$6:$E$405,$AP1520)),"子の生年月日がマスタと相違／","")&amp;IF(AND($L1520&lt;&gt;"",INDEX(職員マスタ!$G$6:$G$405,$AP1520)&lt;&gt;"",$L1520&lt;&gt;INDEX(職員マスタ!$G$6:$G$405,$AP1520)),"時短開始日がマスタと相違／","")&amp;IF(AND($M1520&lt;&gt;"",INDEX(職員マスタ!$H$6:$H$405,$AP1520)&lt;&gt;"",$M1520&lt;&gt;INDEX(職員マスタ!$H$6:$H$405,$AP1520)),"時短終了日がマスタと相違／","")))&amp;IF(AND($B1520&lt;&gt;"",$E1520=""),"報酬額が未入力／","")&amp;IF(N($U1520)&gt;0,"申請書に入力エラーが残っています／","")&amp;IF(AND($B1520&lt;&gt;"",$AQ1520&lt;&gt;""),IF(COUNTIFS($B$6:$B$3005,$B1520,$C$6:$C$3005,$C1520,$D$6:$D$3005,$D1520)&gt;1,"同じ月の請求が重複しています／",""),"")&amp;IF(AND(N($E1520)&gt;0,$AB1520&lt;&gt;"",$AB1520&lt;&gt;"×",$AE1520=0,$AD1520=""),"計算額が下限以下のため不支給／",""))</f>
        <v/>
      </c>
      <c r="AN1520" s="12" t="n"/>
      <c r="AO1520" s="14">
        <f>IF($AF1520="保留中",COUNTIF($AF$6:$AF1520,"保留中"),"")</f>
        <v/>
      </c>
      <c r="AP1520" s="14">
        <f>IF($AQ1520="","",IF(SUMPRODUCT(MAX((職員マスタ!$A$6:$A$405=$B1520)*(((職員マスタ!$G$6:$G$405="")+(職員マスタ!$G$6:$G$405&lt;=EOMONTH($AQ1520,0)))&gt;0)*(((職員マスタ!$H$6:$H$405="")+(職員マスタ!$H$6:$H$405&gt;=$AQ1520))&gt;0)*(ROW(職員マスタ!$A$6:$A$405)-5)))&gt;0,SUMPRODUCT(MAX((職員マスタ!$A$6:$A$405=$B1520)*(((職員マスタ!$G$6:$G$405="")+(職員マスタ!$G$6:$G$405&lt;=EOMONTH($AQ1520,0)))&gt;0)*(((職員マスタ!$H$6:$H$405="")+(職員マスタ!$H$6:$H$405&gt;=$AQ1520))&gt;0)*(ROW(職員マスタ!$A$6:$A$405)-5))),IFERROR(MATCH($B1520,職員マスタ!$A$6:$A$405,0),"")))</f>
        <v/>
      </c>
      <c r="AQ1520" s="16">
        <f>IF(OR($B1520="",$C1520="",$D1520=""),"",DATE($C1520+2018,$D1520,1))</f>
        <v/>
      </c>
    </row>
    <row r="1521">
      <c r="A1521" s="11" t="n"/>
      <c r="B1521" s="12" t="n"/>
      <c r="C1521" s="12" t="n"/>
      <c r="D1521" s="12" t="n"/>
      <c r="E1521" s="13" t="n"/>
      <c r="F1521" s="12" t="n"/>
      <c r="G1521" s="13" t="n"/>
      <c r="H1521" s="12" t="n"/>
      <c r="I1521" s="12" t="n"/>
      <c r="J1521" s="12" t="n"/>
      <c r="K1521" s="12" t="n"/>
      <c r="L1521" s="11" t="n"/>
      <c r="M1521" s="11" t="n"/>
      <c r="N1521" s="11" t="n"/>
      <c r="O1521" s="11" t="n"/>
      <c r="P1521" s="12" t="n"/>
      <c r="Q1521" s="11" t="n"/>
      <c r="R1521" s="12" t="n"/>
      <c r="S1521" s="11" t="n"/>
      <c r="T1521" s="12" t="n"/>
      <c r="U1521" s="12" t="n"/>
      <c r="V1521" s="12" t="n"/>
      <c r="W1521" s="13" t="n"/>
      <c r="X1521" s="14">
        <f>IF($AP1521="",IF($B1521="","",$H1521),IF(INDEX(職員マスタ!$B$6:$B$405,$AP1521)="",$H1521,INDEX(職員マスタ!$B$6:$B$405,$AP1521)))</f>
        <v/>
      </c>
      <c r="Y1521" s="14">
        <f>IF($AP1521="",IF($B1521="","",$R1521),IF(INDEX(職員マスタ!$C$6:$C$405,$AP1521)="",$R1521,INDEX(職員マスタ!$C$6:$C$405,$AP1521)))</f>
        <v/>
      </c>
      <c r="Z1521" s="14">
        <f>IF($AQ1521="","","R"&amp;$C1521&amp;"."&amp;$D1521)</f>
        <v/>
      </c>
      <c r="AA1521" s="15">
        <f>IF(IF($AP1521="",FALSE,INDEX(職員マスタ!$K$6:$K$405,$AP1521)&lt;&gt;""),INDEX(職員マスタ!$K$6:$K$405,$AP1521),IF(N($W1521)&gt;0,$W1521,""))</f>
        <v/>
      </c>
      <c r="AB1521" s="14">
        <f>IF(OR($E1521="",$AA1521=""),"",IF($E1521&gt;=$AA1521,"×",IF($E1521&gt;=$AA1521*設定!$C$5,"△","○")))</f>
        <v/>
      </c>
      <c r="AC1521" s="15">
        <f>IF($AB1521="","",IF($AB1521="×",0,IF($AB1521="○",ROUNDDOWN($E1521*設定!$C$4,0),ROUNDDOWN($E1521*ROUND((9*$AA1521-9*$E1521)/(10*$E1521),4),0))))</f>
        <v/>
      </c>
      <c r="AD1521" s="13" t="n"/>
      <c r="AE1521" s="15">
        <f>IF($B1521="","",IF($AD1521&lt;&gt;"",$AD1521,IF($AC1521="","",IF($AC1521&lt;=設定!$C$3,0,$AC1521))))</f>
        <v/>
      </c>
      <c r="AF1521" s="14">
        <f>IF($B1521="","",IF(AND($AG1521&lt;&gt;"",$AI1521="",$AL1521=""),"保留中",IF($AL1521&lt;&gt;"",IF(N($AE1521)&gt;0,"支給済","不支給"),IF($AE1521="","要確認",IF($AE1521=0,"不支給","未処理")))))</f>
        <v/>
      </c>
      <c r="AG1521" s="12" t="n"/>
      <c r="AH1521" s="11" t="n"/>
      <c r="AI1521" s="11" t="n"/>
      <c r="AJ1521" s="11" t="n"/>
      <c r="AK1521" s="14">
        <f>IF(AND($AF1521="保留中",$AH1521&lt;&gt;""),TODAY()-$AH1521,"")</f>
        <v/>
      </c>
      <c r="AL1521" s="12" t="n"/>
      <c r="AM1521" s="14">
        <f>IF($B1521="","",IF($AQ1521="","対象年月が未入力／","")&amp;IF($B1521="","",IF($AP1521="","職員マスタに未登録の職員番号／",IF($AA1521="","標準報酬月額が未登録／","")&amp;IF(AND($AQ1521&lt;&gt;"",OR(AND(INDEX(職員マスタ!$G$6:$G$405,$AP1521)&lt;&gt;"",INDEX(職員マスタ!$G$6:$G$405,$AP1521)&gt;EOMONTH($AQ1521,0)),AND(INDEX(職員マスタ!$H$6:$H$405,$AP1521)&lt;&gt;"",INDEX(職員マスタ!$H$6:$H$405,$AP1521)&lt;$AQ1521))),"対象月が時短期間外／","")&amp;IF(AND(INDEX(職員マスタ!$K$6:$K$405,$AP1521)&lt;&gt;"",N($W1521)&gt;0,INDEX(職員マスタ!$K$6:$K$405,$AP1521)&lt;&gt;$W1521),"標準報酬月額が申請書と相違（台帳"&amp;TEXT(INDEX(職員マスタ!$K$6:$K$405,$AP1521),"#,##0")&amp;"円／申請書"&amp;TEXT($W1521,"#,##0")&amp;"円）／","")&amp;IF(AND(INDEX(職員マスタ!$F$6:$F$405,$AP1521)&lt;&gt;"",$AQ1521&lt;&gt;"",INDEX(職員マスタ!$F$6:$F$405,$AP1521)&lt;$AQ1521),"対象月に子が2歳到達済／","")&amp;IF(AND($H1521&lt;&gt;"",INDEX(職員マスタ!$B$6:$B$405,$AP1521)&lt;&gt;"",SUBSTITUTE(SUBSTITUTE($H1521," ","")," ","")&lt;&gt;SUBSTITUTE(SUBSTITUTE(INDEX(職員マスタ!$B$6:$B$405,$AP1521)," ","")," ","")),"氏名がマスタと相違／","")&amp;IF(AND($Q1521&lt;&gt;"",INDEX(職員マスタ!$E$6:$E$405,$AP1521)&lt;&gt;"",$Q1521&lt;&gt;INDEX(職員マスタ!$E$6:$E$405,$AP1521)),"子の生年月日がマスタと相違／","")&amp;IF(AND($L1521&lt;&gt;"",INDEX(職員マスタ!$G$6:$G$405,$AP1521)&lt;&gt;"",$L1521&lt;&gt;INDEX(職員マスタ!$G$6:$G$405,$AP1521)),"時短開始日がマスタと相違／","")&amp;IF(AND($M1521&lt;&gt;"",INDEX(職員マスタ!$H$6:$H$405,$AP1521)&lt;&gt;"",$M1521&lt;&gt;INDEX(職員マスタ!$H$6:$H$405,$AP1521)),"時短終了日がマスタと相違／","")))&amp;IF(AND($B1521&lt;&gt;"",$E1521=""),"報酬額が未入力／","")&amp;IF(N($U1521)&gt;0,"申請書に入力エラーが残っています／","")&amp;IF(AND($B1521&lt;&gt;"",$AQ1521&lt;&gt;""),IF(COUNTIFS($B$6:$B$3005,$B1521,$C$6:$C$3005,$C1521,$D$6:$D$3005,$D1521)&gt;1,"同じ月の請求が重複しています／",""),"")&amp;IF(AND(N($E1521)&gt;0,$AB1521&lt;&gt;"",$AB1521&lt;&gt;"×",$AE1521=0,$AD1521=""),"計算額が下限以下のため不支給／",""))</f>
        <v/>
      </c>
      <c r="AN1521" s="12" t="n"/>
      <c r="AO1521" s="14">
        <f>IF($AF1521="保留中",COUNTIF($AF$6:$AF1521,"保留中"),"")</f>
        <v/>
      </c>
      <c r="AP1521" s="14">
        <f>IF($AQ1521="","",IF(SUMPRODUCT(MAX((職員マスタ!$A$6:$A$405=$B1521)*(((職員マスタ!$G$6:$G$405="")+(職員マスタ!$G$6:$G$405&lt;=EOMONTH($AQ1521,0)))&gt;0)*(((職員マスタ!$H$6:$H$405="")+(職員マスタ!$H$6:$H$405&gt;=$AQ1521))&gt;0)*(ROW(職員マスタ!$A$6:$A$405)-5)))&gt;0,SUMPRODUCT(MAX((職員マスタ!$A$6:$A$405=$B1521)*(((職員マスタ!$G$6:$G$405="")+(職員マスタ!$G$6:$G$405&lt;=EOMONTH($AQ1521,0)))&gt;0)*(((職員マスタ!$H$6:$H$405="")+(職員マスタ!$H$6:$H$405&gt;=$AQ1521))&gt;0)*(ROW(職員マスタ!$A$6:$A$405)-5))),IFERROR(MATCH($B1521,職員マスタ!$A$6:$A$405,0),"")))</f>
        <v/>
      </c>
      <c r="AQ1521" s="16">
        <f>IF(OR($B1521="",$C1521="",$D1521=""),"",DATE($C1521+2018,$D1521,1))</f>
        <v/>
      </c>
    </row>
    <row r="1522">
      <c r="A1522" s="11" t="n"/>
      <c r="B1522" s="12" t="n"/>
      <c r="C1522" s="12" t="n"/>
      <c r="D1522" s="12" t="n"/>
      <c r="E1522" s="13" t="n"/>
      <c r="F1522" s="12" t="n"/>
      <c r="G1522" s="13" t="n"/>
      <c r="H1522" s="12" t="n"/>
      <c r="I1522" s="12" t="n"/>
      <c r="J1522" s="12" t="n"/>
      <c r="K1522" s="12" t="n"/>
      <c r="L1522" s="11" t="n"/>
      <c r="M1522" s="11" t="n"/>
      <c r="N1522" s="11" t="n"/>
      <c r="O1522" s="11" t="n"/>
      <c r="P1522" s="12" t="n"/>
      <c r="Q1522" s="11" t="n"/>
      <c r="R1522" s="12" t="n"/>
      <c r="S1522" s="11" t="n"/>
      <c r="T1522" s="12" t="n"/>
      <c r="U1522" s="12" t="n"/>
      <c r="V1522" s="12" t="n"/>
      <c r="W1522" s="13" t="n"/>
      <c r="X1522" s="14">
        <f>IF($AP1522="",IF($B1522="","",$H1522),IF(INDEX(職員マスタ!$B$6:$B$405,$AP1522)="",$H1522,INDEX(職員マスタ!$B$6:$B$405,$AP1522)))</f>
        <v/>
      </c>
      <c r="Y1522" s="14">
        <f>IF($AP1522="",IF($B1522="","",$R1522),IF(INDEX(職員マスタ!$C$6:$C$405,$AP1522)="",$R1522,INDEX(職員マスタ!$C$6:$C$405,$AP1522)))</f>
        <v/>
      </c>
      <c r="Z1522" s="14">
        <f>IF($AQ1522="","","R"&amp;$C1522&amp;"."&amp;$D1522)</f>
        <v/>
      </c>
      <c r="AA1522" s="15">
        <f>IF(IF($AP1522="",FALSE,INDEX(職員マスタ!$K$6:$K$405,$AP1522)&lt;&gt;""),INDEX(職員マスタ!$K$6:$K$405,$AP1522),IF(N($W1522)&gt;0,$W1522,""))</f>
        <v/>
      </c>
      <c r="AB1522" s="14">
        <f>IF(OR($E1522="",$AA1522=""),"",IF($E1522&gt;=$AA1522,"×",IF($E1522&gt;=$AA1522*設定!$C$5,"△","○")))</f>
        <v/>
      </c>
      <c r="AC1522" s="15">
        <f>IF($AB1522="","",IF($AB1522="×",0,IF($AB1522="○",ROUNDDOWN($E1522*設定!$C$4,0),ROUNDDOWN($E1522*ROUND((9*$AA1522-9*$E1522)/(10*$E1522),4),0))))</f>
        <v/>
      </c>
      <c r="AD1522" s="13" t="n"/>
      <c r="AE1522" s="15">
        <f>IF($B1522="","",IF($AD1522&lt;&gt;"",$AD1522,IF($AC1522="","",IF($AC1522&lt;=設定!$C$3,0,$AC1522))))</f>
        <v/>
      </c>
      <c r="AF1522" s="14">
        <f>IF($B1522="","",IF(AND($AG1522&lt;&gt;"",$AI1522="",$AL1522=""),"保留中",IF($AL1522&lt;&gt;"",IF(N($AE1522)&gt;0,"支給済","不支給"),IF($AE1522="","要確認",IF($AE1522=0,"不支給","未処理")))))</f>
        <v/>
      </c>
      <c r="AG1522" s="12" t="n"/>
      <c r="AH1522" s="11" t="n"/>
      <c r="AI1522" s="11" t="n"/>
      <c r="AJ1522" s="11" t="n"/>
      <c r="AK1522" s="14">
        <f>IF(AND($AF1522="保留中",$AH1522&lt;&gt;""),TODAY()-$AH1522,"")</f>
        <v/>
      </c>
      <c r="AL1522" s="12" t="n"/>
      <c r="AM1522" s="14">
        <f>IF($B1522="","",IF($AQ1522="","対象年月が未入力／","")&amp;IF($B1522="","",IF($AP1522="","職員マスタに未登録の職員番号／",IF($AA1522="","標準報酬月額が未登録／","")&amp;IF(AND($AQ1522&lt;&gt;"",OR(AND(INDEX(職員マスタ!$G$6:$G$405,$AP1522)&lt;&gt;"",INDEX(職員マスタ!$G$6:$G$405,$AP1522)&gt;EOMONTH($AQ1522,0)),AND(INDEX(職員マスタ!$H$6:$H$405,$AP1522)&lt;&gt;"",INDEX(職員マスタ!$H$6:$H$405,$AP1522)&lt;$AQ1522))),"対象月が時短期間外／","")&amp;IF(AND(INDEX(職員マスタ!$K$6:$K$405,$AP1522)&lt;&gt;"",N($W1522)&gt;0,INDEX(職員マスタ!$K$6:$K$405,$AP1522)&lt;&gt;$W1522),"標準報酬月額が申請書と相違（台帳"&amp;TEXT(INDEX(職員マスタ!$K$6:$K$405,$AP1522),"#,##0")&amp;"円／申請書"&amp;TEXT($W1522,"#,##0")&amp;"円）／","")&amp;IF(AND(INDEX(職員マスタ!$F$6:$F$405,$AP1522)&lt;&gt;"",$AQ1522&lt;&gt;"",INDEX(職員マスタ!$F$6:$F$405,$AP1522)&lt;$AQ1522),"対象月に子が2歳到達済／","")&amp;IF(AND($H1522&lt;&gt;"",INDEX(職員マスタ!$B$6:$B$405,$AP1522)&lt;&gt;"",SUBSTITUTE(SUBSTITUTE($H1522," ","")," ","")&lt;&gt;SUBSTITUTE(SUBSTITUTE(INDEX(職員マスタ!$B$6:$B$405,$AP1522)," ","")," ","")),"氏名がマスタと相違／","")&amp;IF(AND($Q1522&lt;&gt;"",INDEX(職員マスタ!$E$6:$E$405,$AP1522)&lt;&gt;"",$Q1522&lt;&gt;INDEX(職員マスタ!$E$6:$E$405,$AP1522)),"子の生年月日がマスタと相違／","")&amp;IF(AND($L1522&lt;&gt;"",INDEX(職員マスタ!$G$6:$G$405,$AP1522)&lt;&gt;"",$L1522&lt;&gt;INDEX(職員マスタ!$G$6:$G$405,$AP1522)),"時短開始日がマスタと相違／","")&amp;IF(AND($M1522&lt;&gt;"",INDEX(職員マスタ!$H$6:$H$405,$AP1522)&lt;&gt;"",$M1522&lt;&gt;INDEX(職員マスタ!$H$6:$H$405,$AP1522)),"時短終了日がマスタと相違／","")))&amp;IF(AND($B1522&lt;&gt;"",$E1522=""),"報酬額が未入力／","")&amp;IF(N($U1522)&gt;0,"申請書に入力エラーが残っています／","")&amp;IF(AND($B1522&lt;&gt;"",$AQ1522&lt;&gt;""),IF(COUNTIFS($B$6:$B$3005,$B1522,$C$6:$C$3005,$C1522,$D$6:$D$3005,$D1522)&gt;1,"同じ月の請求が重複しています／",""),"")&amp;IF(AND(N($E1522)&gt;0,$AB1522&lt;&gt;"",$AB1522&lt;&gt;"×",$AE1522=0,$AD1522=""),"計算額が下限以下のため不支給／",""))</f>
        <v/>
      </c>
      <c r="AN1522" s="12" t="n"/>
      <c r="AO1522" s="14">
        <f>IF($AF1522="保留中",COUNTIF($AF$6:$AF1522,"保留中"),"")</f>
        <v/>
      </c>
      <c r="AP1522" s="14">
        <f>IF($AQ1522="","",IF(SUMPRODUCT(MAX((職員マスタ!$A$6:$A$405=$B1522)*(((職員マスタ!$G$6:$G$405="")+(職員マスタ!$G$6:$G$405&lt;=EOMONTH($AQ1522,0)))&gt;0)*(((職員マスタ!$H$6:$H$405="")+(職員マスタ!$H$6:$H$405&gt;=$AQ1522))&gt;0)*(ROW(職員マスタ!$A$6:$A$405)-5)))&gt;0,SUMPRODUCT(MAX((職員マスタ!$A$6:$A$405=$B1522)*(((職員マスタ!$G$6:$G$405="")+(職員マスタ!$G$6:$G$405&lt;=EOMONTH($AQ1522,0)))&gt;0)*(((職員マスタ!$H$6:$H$405="")+(職員マスタ!$H$6:$H$405&gt;=$AQ1522))&gt;0)*(ROW(職員マスタ!$A$6:$A$405)-5))),IFERROR(MATCH($B1522,職員マスタ!$A$6:$A$405,0),"")))</f>
        <v/>
      </c>
      <c r="AQ1522" s="16">
        <f>IF(OR($B1522="",$C1522="",$D1522=""),"",DATE($C1522+2018,$D1522,1))</f>
        <v/>
      </c>
    </row>
    <row r="1523">
      <c r="A1523" s="11" t="n"/>
      <c r="B1523" s="12" t="n"/>
      <c r="C1523" s="12" t="n"/>
      <c r="D1523" s="12" t="n"/>
      <c r="E1523" s="13" t="n"/>
      <c r="F1523" s="12" t="n"/>
      <c r="G1523" s="13" t="n"/>
      <c r="H1523" s="12" t="n"/>
      <c r="I1523" s="12" t="n"/>
      <c r="J1523" s="12" t="n"/>
      <c r="K1523" s="12" t="n"/>
      <c r="L1523" s="11" t="n"/>
      <c r="M1523" s="11" t="n"/>
      <c r="N1523" s="11" t="n"/>
      <c r="O1523" s="11" t="n"/>
      <c r="P1523" s="12" t="n"/>
      <c r="Q1523" s="11" t="n"/>
      <c r="R1523" s="12" t="n"/>
      <c r="S1523" s="11" t="n"/>
      <c r="T1523" s="12" t="n"/>
      <c r="U1523" s="12" t="n"/>
      <c r="V1523" s="12" t="n"/>
      <c r="W1523" s="13" t="n"/>
      <c r="X1523" s="14">
        <f>IF($AP1523="",IF($B1523="","",$H1523),IF(INDEX(職員マスタ!$B$6:$B$405,$AP1523)="",$H1523,INDEX(職員マスタ!$B$6:$B$405,$AP1523)))</f>
        <v/>
      </c>
      <c r="Y1523" s="14">
        <f>IF($AP1523="",IF($B1523="","",$R1523),IF(INDEX(職員マスタ!$C$6:$C$405,$AP1523)="",$R1523,INDEX(職員マスタ!$C$6:$C$405,$AP1523)))</f>
        <v/>
      </c>
      <c r="Z1523" s="14">
        <f>IF($AQ1523="","","R"&amp;$C1523&amp;"."&amp;$D1523)</f>
        <v/>
      </c>
      <c r="AA1523" s="15">
        <f>IF(IF($AP1523="",FALSE,INDEX(職員マスタ!$K$6:$K$405,$AP1523)&lt;&gt;""),INDEX(職員マスタ!$K$6:$K$405,$AP1523),IF(N($W1523)&gt;0,$W1523,""))</f>
        <v/>
      </c>
      <c r="AB1523" s="14">
        <f>IF(OR($E1523="",$AA1523=""),"",IF($E1523&gt;=$AA1523,"×",IF($E1523&gt;=$AA1523*設定!$C$5,"△","○")))</f>
        <v/>
      </c>
      <c r="AC1523" s="15">
        <f>IF($AB1523="","",IF($AB1523="×",0,IF($AB1523="○",ROUNDDOWN($E1523*設定!$C$4,0),ROUNDDOWN($E1523*ROUND((9*$AA1523-9*$E1523)/(10*$E1523),4),0))))</f>
        <v/>
      </c>
      <c r="AD1523" s="13" t="n"/>
      <c r="AE1523" s="15">
        <f>IF($B1523="","",IF($AD1523&lt;&gt;"",$AD1523,IF($AC1523="","",IF($AC1523&lt;=設定!$C$3,0,$AC1523))))</f>
        <v/>
      </c>
      <c r="AF1523" s="14">
        <f>IF($B1523="","",IF(AND($AG1523&lt;&gt;"",$AI1523="",$AL1523=""),"保留中",IF($AL1523&lt;&gt;"",IF(N($AE1523)&gt;0,"支給済","不支給"),IF($AE1523="","要確認",IF($AE1523=0,"不支給","未処理")))))</f>
        <v/>
      </c>
      <c r="AG1523" s="12" t="n"/>
      <c r="AH1523" s="11" t="n"/>
      <c r="AI1523" s="11" t="n"/>
      <c r="AJ1523" s="11" t="n"/>
      <c r="AK1523" s="14">
        <f>IF(AND($AF1523="保留中",$AH1523&lt;&gt;""),TODAY()-$AH1523,"")</f>
        <v/>
      </c>
      <c r="AL1523" s="12" t="n"/>
      <c r="AM1523" s="14">
        <f>IF($B1523="","",IF($AQ1523="","対象年月が未入力／","")&amp;IF($B1523="","",IF($AP1523="","職員マスタに未登録の職員番号／",IF($AA1523="","標準報酬月額が未登録／","")&amp;IF(AND($AQ1523&lt;&gt;"",OR(AND(INDEX(職員マスタ!$G$6:$G$405,$AP1523)&lt;&gt;"",INDEX(職員マスタ!$G$6:$G$405,$AP1523)&gt;EOMONTH($AQ1523,0)),AND(INDEX(職員マスタ!$H$6:$H$405,$AP1523)&lt;&gt;"",INDEX(職員マスタ!$H$6:$H$405,$AP1523)&lt;$AQ1523))),"対象月が時短期間外／","")&amp;IF(AND(INDEX(職員マスタ!$K$6:$K$405,$AP1523)&lt;&gt;"",N($W1523)&gt;0,INDEX(職員マスタ!$K$6:$K$405,$AP1523)&lt;&gt;$W1523),"標準報酬月額が申請書と相違（台帳"&amp;TEXT(INDEX(職員マスタ!$K$6:$K$405,$AP1523),"#,##0")&amp;"円／申請書"&amp;TEXT($W1523,"#,##0")&amp;"円）／","")&amp;IF(AND(INDEX(職員マスタ!$F$6:$F$405,$AP1523)&lt;&gt;"",$AQ1523&lt;&gt;"",INDEX(職員マスタ!$F$6:$F$405,$AP1523)&lt;$AQ1523),"対象月に子が2歳到達済／","")&amp;IF(AND($H1523&lt;&gt;"",INDEX(職員マスタ!$B$6:$B$405,$AP1523)&lt;&gt;"",SUBSTITUTE(SUBSTITUTE($H1523," ","")," ","")&lt;&gt;SUBSTITUTE(SUBSTITUTE(INDEX(職員マスタ!$B$6:$B$405,$AP1523)," ","")," ","")),"氏名がマスタと相違／","")&amp;IF(AND($Q1523&lt;&gt;"",INDEX(職員マスタ!$E$6:$E$405,$AP1523)&lt;&gt;"",$Q1523&lt;&gt;INDEX(職員マスタ!$E$6:$E$405,$AP1523)),"子の生年月日がマスタと相違／","")&amp;IF(AND($L1523&lt;&gt;"",INDEX(職員マスタ!$G$6:$G$405,$AP1523)&lt;&gt;"",$L1523&lt;&gt;INDEX(職員マスタ!$G$6:$G$405,$AP1523)),"時短開始日がマスタと相違／","")&amp;IF(AND($M1523&lt;&gt;"",INDEX(職員マスタ!$H$6:$H$405,$AP1523)&lt;&gt;"",$M1523&lt;&gt;INDEX(職員マスタ!$H$6:$H$405,$AP1523)),"時短終了日がマスタと相違／","")))&amp;IF(AND($B1523&lt;&gt;"",$E1523=""),"報酬額が未入力／","")&amp;IF(N($U1523)&gt;0,"申請書に入力エラーが残っています／","")&amp;IF(AND($B1523&lt;&gt;"",$AQ1523&lt;&gt;""),IF(COUNTIFS($B$6:$B$3005,$B1523,$C$6:$C$3005,$C1523,$D$6:$D$3005,$D1523)&gt;1,"同じ月の請求が重複しています／",""),"")&amp;IF(AND(N($E1523)&gt;0,$AB1523&lt;&gt;"",$AB1523&lt;&gt;"×",$AE1523=0,$AD1523=""),"計算額が下限以下のため不支給／",""))</f>
        <v/>
      </c>
      <c r="AN1523" s="12" t="n"/>
      <c r="AO1523" s="14">
        <f>IF($AF1523="保留中",COUNTIF($AF$6:$AF1523,"保留中"),"")</f>
        <v/>
      </c>
      <c r="AP1523" s="14">
        <f>IF($AQ1523="","",IF(SUMPRODUCT(MAX((職員マスタ!$A$6:$A$405=$B1523)*(((職員マスタ!$G$6:$G$405="")+(職員マスタ!$G$6:$G$405&lt;=EOMONTH($AQ1523,0)))&gt;0)*(((職員マスタ!$H$6:$H$405="")+(職員マスタ!$H$6:$H$405&gt;=$AQ1523))&gt;0)*(ROW(職員マスタ!$A$6:$A$405)-5)))&gt;0,SUMPRODUCT(MAX((職員マスタ!$A$6:$A$405=$B1523)*(((職員マスタ!$G$6:$G$405="")+(職員マスタ!$G$6:$G$405&lt;=EOMONTH($AQ1523,0)))&gt;0)*(((職員マスタ!$H$6:$H$405="")+(職員マスタ!$H$6:$H$405&gt;=$AQ1523))&gt;0)*(ROW(職員マスタ!$A$6:$A$405)-5))),IFERROR(MATCH($B1523,職員マスタ!$A$6:$A$405,0),"")))</f>
        <v/>
      </c>
      <c r="AQ1523" s="16">
        <f>IF(OR($B1523="",$C1523="",$D1523=""),"",DATE($C1523+2018,$D1523,1))</f>
        <v/>
      </c>
    </row>
    <row r="1524">
      <c r="A1524" s="11" t="n"/>
      <c r="B1524" s="12" t="n"/>
      <c r="C1524" s="12" t="n"/>
      <c r="D1524" s="12" t="n"/>
      <c r="E1524" s="13" t="n"/>
      <c r="F1524" s="12" t="n"/>
      <c r="G1524" s="13" t="n"/>
      <c r="H1524" s="12" t="n"/>
      <c r="I1524" s="12" t="n"/>
      <c r="J1524" s="12" t="n"/>
      <c r="K1524" s="12" t="n"/>
      <c r="L1524" s="11" t="n"/>
      <c r="M1524" s="11" t="n"/>
      <c r="N1524" s="11" t="n"/>
      <c r="O1524" s="11" t="n"/>
      <c r="P1524" s="12" t="n"/>
      <c r="Q1524" s="11" t="n"/>
      <c r="R1524" s="12" t="n"/>
      <c r="S1524" s="11" t="n"/>
      <c r="T1524" s="12" t="n"/>
      <c r="U1524" s="12" t="n"/>
      <c r="V1524" s="12" t="n"/>
      <c r="W1524" s="13" t="n"/>
      <c r="X1524" s="14">
        <f>IF($AP1524="",IF($B1524="","",$H1524),IF(INDEX(職員マスタ!$B$6:$B$405,$AP1524)="",$H1524,INDEX(職員マスタ!$B$6:$B$405,$AP1524)))</f>
        <v/>
      </c>
      <c r="Y1524" s="14">
        <f>IF($AP1524="",IF($B1524="","",$R1524),IF(INDEX(職員マスタ!$C$6:$C$405,$AP1524)="",$R1524,INDEX(職員マスタ!$C$6:$C$405,$AP1524)))</f>
        <v/>
      </c>
      <c r="Z1524" s="14">
        <f>IF($AQ1524="","","R"&amp;$C1524&amp;"."&amp;$D1524)</f>
        <v/>
      </c>
      <c r="AA1524" s="15">
        <f>IF(IF($AP1524="",FALSE,INDEX(職員マスタ!$K$6:$K$405,$AP1524)&lt;&gt;""),INDEX(職員マスタ!$K$6:$K$405,$AP1524),IF(N($W1524)&gt;0,$W1524,""))</f>
        <v/>
      </c>
      <c r="AB1524" s="14">
        <f>IF(OR($E1524="",$AA1524=""),"",IF($E1524&gt;=$AA1524,"×",IF($E1524&gt;=$AA1524*設定!$C$5,"△","○")))</f>
        <v/>
      </c>
      <c r="AC1524" s="15">
        <f>IF($AB1524="","",IF($AB1524="×",0,IF($AB1524="○",ROUNDDOWN($E1524*設定!$C$4,0),ROUNDDOWN($E1524*ROUND((9*$AA1524-9*$E1524)/(10*$E1524),4),0))))</f>
        <v/>
      </c>
      <c r="AD1524" s="13" t="n"/>
      <c r="AE1524" s="15">
        <f>IF($B1524="","",IF($AD1524&lt;&gt;"",$AD1524,IF($AC1524="","",IF($AC1524&lt;=設定!$C$3,0,$AC1524))))</f>
        <v/>
      </c>
      <c r="AF1524" s="14">
        <f>IF($B1524="","",IF(AND($AG1524&lt;&gt;"",$AI1524="",$AL1524=""),"保留中",IF($AL1524&lt;&gt;"",IF(N($AE1524)&gt;0,"支給済","不支給"),IF($AE1524="","要確認",IF($AE1524=0,"不支給","未処理")))))</f>
        <v/>
      </c>
      <c r="AG1524" s="12" t="n"/>
      <c r="AH1524" s="11" t="n"/>
      <c r="AI1524" s="11" t="n"/>
      <c r="AJ1524" s="11" t="n"/>
      <c r="AK1524" s="14">
        <f>IF(AND($AF1524="保留中",$AH1524&lt;&gt;""),TODAY()-$AH1524,"")</f>
        <v/>
      </c>
      <c r="AL1524" s="12" t="n"/>
      <c r="AM1524" s="14">
        <f>IF($B1524="","",IF($AQ1524="","対象年月が未入力／","")&amp;IF($B1524="","",IF($AP1524="","職員マスタに未登録の職員番号／",IF($AA1524="","標準報酬月額が未登録／","")&amp;IF(AND($AQ1524&lt;&gt;"",OR(AND(INDEX(職員マスタ!$G$6:$G$405,$AP1524)&lt;&gt;"",INDEX(職員マスタ!$G$6:$G$405,$AP1524)&gt;EOMONTH($AQ1524,0)),AND(INDEX(職員マスタ!$H$6:$H$405,$AP1524)&lt;&gt;"",INDEX(職員マスタ!$H$6:$H$405,$AP1524)&lt;$AQ1524))),"対象月が時短期間外／","")&amp;IF(AND(INDEX(職員マスタ!$K$6:$K$405,$AP1524)&lt;&gt;"",N($W1524)&gt;0,INDEX(職員マスタ!$K$6:$K$405,$AP1524)&lt;&gt;$W1524),"標準報酬月額が申請書と相違（台帳"&amp;TEXT(INDEX(職員マスタ!$K$6:$K$405,$AP1524),"#,##0")&amp;"円／申請書"&amp;TEXT($W1524,"#,##0")&amp;"円）／","")&amp;IF(AND(INDEX(職員マスタ!$F$6:$F$405,$AP1524)&lt;&gt;"",$AQ1524&lt;&gt;"",INDEX(職員マスタ!$F$6:$F$405,$AP1524)&lt;$AQ1524),"対象月に子が2歳到達済／","")&amp;IF(AND($H1524&lt;&gt;"",INDEX(職員マスタ!$B$6:$B$405,$AP1524)&lt;&gt;"",SUBSTITUTE(SUBSTITUTE($H1524," ","")," ","")&lt;&gt;SUBSTITUTE(SUBSTITUTE(INDEX(職員マスタ!$B$6:$B$405,$AP1524)," ","")," ","")),"氏名がマスタと相違／","")&amp;IF(AND($Q1524&lt;&gt;"",INDEX(職員マスタ!$E$6:$E$405,$AP1524)&lt;&gt;"",$Q1524&lt;&gt;INDEX(職員マスタ!$E$6:$E$405,$AP1524)),"子の生年月日がマスタと相違／","")&amp;IF(AND($L1524&lt;&gt;"",INDEX(職員マスタ!$G$6:$G$405,$AP1524)&lt;&gt;"",$L1524&lt;&gt;INDEX(職員マスタ!$G$6:$G$405,$AP1524)),"時短開始日がマスタと相違／","")&amp;IF(AND($M1524&lt;&gt;"",INDEX(職員マスタ!$H$6:$H$405,$AP1524)&lt;&gt;"",$M1524&lt;&gt;INDEX(職員マスタ!$H$6:$H$405,$AP1524)),"時短終了日がマスタと相違／","")))&amp;IF(AND($B1524&lt;&gt;"",$E1524=""),"報酬額が未入力／","")&amp;IF(N($U1524)&gt;0,"申請書に入力エラーが残っています／","")&amp;IF(AND($B1524&lt;&gt;"",$AQ1524&lt;&gt;""),IF(COUNTIFS($B$6:$B$3005,$B1524,$C$6:$C$3005,$C1524,$D$6:$D$3005,$D1524)&gt;1,"同じ月の請求が重複しています／",""),"")&amp;IF(AND(N($E1524)&gt;0,$AB1524&lt;&gt;"",$AB1524&lt;&gt;"×",$AE1524=0,$AD1524=""),"計算額が下限以下のため不支給／",""))</f>
        <v/>
      </c>
      <c r="AN1524" s="12" t="n"/>
      <c r="AO1524" s="14">
        <f>IF($AF1524="保留中",COUNTIF($AF$6:$AF1524,"保留中"),"")</f>
        <v/>
      </c>
      <c r="AP1524" s="14">
        <f>IF($AQ1524="","",IF(SUMPRODUCT(MAX((職員マスタ!$A$6:$A$405=$B1524)*(((職員マスタ!$G$6:$G$405="")+(職員マスタ!$G$6:$G$405&lt;=EOMONTH($AQ1524,0)))&gt;0)*(((職員マスタ!$H$6:$H$405="")+(職員マスタ!$H$6:$H$405&gt;=$AQ1524))&gt;0)*(ROW(職員マスタ!$A$6:$A$405)-5)))&gt;0,SUMPRODUCT(MAX((職員マスタ!$A$6:$A$405=$B1524)*(((職員マスタ!$G$6:$G$405="")+(職員マスタ!$G$6:$G$405&lt;=EOMONTH($AQ1524,0)))&gt;0)*(((職員マスタ!$H$6:$H$405="")+(職員マスタ!$H$6:$H$405&gt;=$AQ1524))&gt;0)*(ROW(職員マスタ!$A$6:$A$405)-5))),IFERROR(MATCH($B1524,職員マスタ!$A$6:$A$405,0),"")))</f>
        <v/>
      </c>
      <c r="AQ1524" s="16">
        <f>IF(OR($B1524="",$C1524="",$D1524=""),"",DATE($C1524+2018,$D1524,1))</f>
        <v/>
      </c>
    </row>
    <row r="1525">
      <c r="A1525" s="11" t="n"/>
      <c r="B1525" s="12" t="n"/>
      <c r="C1525" s="12" t="n"/>
      <c r="D1525" s="12" t="n"/>
      <c r="E1525" s="13" t="n"/>
      <c r="F1525" s="12" t="n"/>
      <c r="G1525" s="13" t="n"/>
      <c r="H1525" s="12" t="n"/>
      <c r="I1525" s="12" t="n"/>
      <c r="J1525" s="12" t="n"/>
      <c r="K1525" s="12" t="n"/>
      <c r="L1525" s="11" t="n"/>
      <c r="M1525" s="11" t="n"/>
      <c r="N1525" s="11" t="n"/>
      <c r="O1525" s="11" t="n"/>
      <c r="P1525" s="12" t="n"/>
      <c r="Q1525" s="11" t="n"/>
      <c r="R1525" s="12" t="n"/>
      <c r="S1525" s="11" t="n"/>
      <c r="T1525" s="12" t="n"/>
      <c r="U1525" s="12" t="n"/>
      <c r="V1525" s="12" t="n"/>
      <c r="W1525" s="13" t="n"/>
      <c r="X1525" s="14">
        <f>IF($AP1525="",IF($B1525="","",$H1525),IF(INDEX(職員マスタ!$B$6:$B$405,$AP1525)="",$H1525,INDEX(職員マスタ!$B$6:$B$405,$AP1525)))</f>
        <v/>
      </c>
      <c r="Y1525" s="14">
        <f>IF($AP1525="",IF($B1525="","",$R1525),IF(INDEX(職員マスタ!$C$6:$C$405,$AP1525)="",$R1525,INDEX(職員マスタ!$C$6:$C$405,$AP1525)))</f>
        <v/>
      </c>
      <c r="Z1525" s="14">
        <f>IF($AQ1525="","","R"&amp;$C1525&amp;"."&amp;$D1525)</f>
        <v/>
      </c>
      <c r="AA1525" s="15">
        <f>IF(IF($AP1525="",FALSE,INDEX(職員マスタ!$K$6:$K$405,$AP1525)&lt;&gt;""),INDEX(職員マスタ!$K$6:$K$405,$AP1525),IF(N($W1525)&gt;0,$W1525,""))</f>
        <v/>
      </c>
      <c r="AB1525" s="14">
        <f>IF(OR($E1525="",$AA1525=""),"",IF($E1525&gt;=$AA1525,"×",IF($E1525&gt;=$AA1525*設定!$C$5,"△","○")))</f>
        <v/>
      </c>
      <c r="AC1525" s="15">
        <f>IF($AB1525="","",IF($AB1525="×",0,IF($AB1525="○",ROUNDDOWN($E1525*設定!$C$4,0),ROUNDDOWN($E1525*ROUND((9*$AA1525-9*$E1525)/(10*$E1525),4),0))))</f>
        <v/>
      </c>
      <c r="AD1525" s="13" t="n"/>
      <c r="AE1525" s="15">
        <f>IF($B1525="","",IF($AD1525&lt;&gt;"",$AD1525,IF($AC1525="","",IF($AC1525&lt;=設定!$C$3,0,$AC1525))))</f>
        <v/>
      </c>
      <c r="AF1525" s="14">
        <f>IF($B1525="","",IF(AND($AG1525&lt;&gt;"",$AI1525="",$AL1525=""),"保留中",IF($AL1525&lt;&gt;"",IF(N($AE1525)&gt;0,"支給済","不支給"),IF($AE1525="","要確認",IF($AE1525=0,"不支給","未処理")))))</f>
        <v/>
      </c>
      <c r="AG1525" s="12" t="n"/>
      <c r="AH1525" s="11" t="n"/>
      <c r="AI1525" s="11" t="n"/>
      <c r="AJ1525" s="11" t="n"/>
      <c r="AK1525" s="14">
        <f>IF(AND($AF1525="保留中",$AH1525&lt;&gt;""),TODAY()-$AH1525,"")</f>
        <v/>
      </c>
      <c r="AL1525" s="12" t="n"/>
      <c r="AM1525" s="14">
        <f>IF($B1525="","",IF($AQ1525="","対象年月が未入力／","")&amp;IF($B1525="","",IF($AP1525="","職員マスタに未登録の職員番号／",IF($AA1525="","標準報酬月額が未登録／","")&amp;IF(AND($AQ1525&lt;&gt;"",OR(AND(INDEX(職員マスタ!$G$6:$G$405,$AP1525)&lt;&gt;"",INDEX(職員マスタ!$G$6:$G$405,$AP1525)&gt;EOMONTH($AQ1525,0)),AND(INDEX(職員マスタ!$H$6:$H$405,$AP1525)&lt;&gt;"",INDEX(職員マスタ!$H$6:$H$405,$AP1525)&lt;$AQ1525))),"対象月が時短期間外／","")&amp;IF(AND(INDEX(職員マスタ!$K$6:$K$405,$AP1525)&lt;&gt;"",N($W1525)&gt;0,INDEX(職員マスタ!$K$6:$K$405,$AP1525)&lt;&gt;$W1525),"標準報酬月額が申請書と相違（台帳"&amp;TEXT(INDEX(職員マスタ!$K$6:$K$405,$AP1525),"#,##0")&amp;"円／申請書"&amp;TEXT($W1525,"#,##0")&amp;"円）／","")&amp;IF(AND(INDEX(職員マスタ!$F$6:$F$405,$AP1525)&lt;&gt;"",$AQ1525&lt;&gt;"",INDEX(職員マスタ!$F$6:$F$405,$AP1525)&lt;$AQ1525),"対象月に子が2歳到達済／","")&amp;IF(AND($H1525&lt;&gt;"",INDEX(職員マスタ!$B$6:$B$405,$AP1525)&lt;&gt;"",SUBSTITUTE(SUBSTITUTE($H1525," ","")," ","")&lt;&gt;SUBSTITUTE(SUBSTITUTE(INDEX(職員マスタ!$B$6:$B$405,$AP1525)," ","")," ","")),"氏名がマスタと相違／","")&amp;IF(AND($Q1525&lt;&gt;"",INDEX(職員マスタ!$E$6:$E$405,$AP1525)&lt;&gt;"",$Q1525&lt;&gt;INDEX(職員マスタ!$E$6:$E$405,$AP1525)),"子の生年月日がマスタと相違／","")&amp;IF(AND($L1525&lt;&gt;"",INDEX(職員マスタ!$G$6:$G$405,$AP1525)&lt;&gt;"",$L1525&lt;&gt;INDEX(職員マスタ!$G$6:$G$405,$AP1525)),"時短開始日がマスタと相違／","")&amp;IF(AND($M1525&lt;&gt;"",INDEX(職員マスタ!$H$6:$H$405,$AP1525)&lt;&gt;"",$M1525&lt;&gt;INDEX(職員マスタ!$H$6:$H$405,$AP1525)),"時短終了日がマスタと相違／","")))&amp;IF(AND($B1525&lt;&gt;"",$E1525=""),"報酬額が未入力／","")&amp;IF(N($U1525)&gt;0,"申請書に入力エラーが残っています／","")&amp;IF(AND($B1525&lt;&gt;"",$AQ1525&lt;&gt;""),IF(COUNTIFS($B$6:$B$3005,$B1525,$C$6:$C$3005,$C1525,$D$6:$D$3005,$D1525)&gt;1,"同じ月の請求が重複しています／",""),"")&amp;IF(AND(N($E1525)&gt;0,$AB1525&lt;&gt;"",$AB1525&lt;&gt;"×",$AE1525=0,$AD1525=""),"計算額が下限以下のため不支給／",""))</f>
        <v/>
      </c>
      <c r="AN1525" s="12" t="n"/>
      <c r="AO1525" s="14">
        <f>IF($AF1525="保留中",COUNTIF($AF$6:$AF1525,"保留中"),"")</f>
        <v/>
      </c>
      <c r="AP1525" s="14">
        <f>IF($AQ1525="","",IF(SUMPRODUCT(MAX((職員マスタ!$A$6:$A$405=$B1525)*(((職員マスタ!$G$6:$G$405="")+(職員マスタ!$G$6:$G$405&lt;=EOMONTH($AQ1525,0)))&gt;0)*(((職員マスタ!$H$6:$H$405="")+(職員マスタ!$H$6:$H$405&gt;=$AQ1525))&gt;0)*(ROW(職員マスタ!$A$6:$A$405)-5)))&gt;0,SUMPRODUCT(MAX((職員マスタ!$A$6:$A$405=$B1525)*(((職員マスタ!$G$6:$G$405="")+(職員マスタ!$G$6:$G$405&lt;=EOMONTH($AQ1525,0)))&gt;0)*(((職員マスタ!$H$6:$H$405="")+(職員マスタ!$H$6:$H$405&gt;=$AQ1525))&gt;0)*(ROW(職員マスタ!$A$6:$A$405)-5))),IFERROR(MATCH($B1525,職員マスタ!$A$6:$A$405,0),"")))</f>
        <v/>
      </c>
      <c r="AQ1525" s="16">
        <f>IF(OR($B1525="",$C1525="",$D1525=""),"",DATE($C1525+2018,$D1525,1))</f>
        <v/>
      </c>
    </row>
    <row r="1526">
      <c r="A1526" s="11" t="n"/>
      <c r="B1526" s="12" t="n"/>
      <c r="C1526" s="12" t="n"/>
      <c r="D1526" s="12" t="n"/>
      <c r="E1526" s="13" t="n"/>
      <c r="F1526" s="12" t="n"/>
      <c r="G1526" s="13" t="n"/>
      <c r="H1526" s="12" t="n"/>
      <c r="I1526" s="12" t="n"/>
      <c r="J1526" s="12" t="n"/>
      <c r="K1526" s="12" t="n"/>
      <c r="L1526" s="11" t="n"/>
      <c r="M1526" s="11" t="n"/>
      <c r="N1526" s="11" t="n"/>
      <c r="O1526" s="11" t="n"/>
      <c r="P1526" s="12" t="n"/>
      <c r="Q1526" s="11" t="n"/>
      <c r="R1526" s="12" t="n"/>
      <c r="S1526" s="11" t="n"/>
      <c r="T1526" s="12" t="n"/>
      <c r="U1526" s="12" t="n"/>
      <c r="V1526" s="12" t="n"/>
      <c r="W1526" s="13" t="n"/>
      <c r="X1526" s="14">
        <f>IF($AP1526="",IF($B1526="","",$H1526),IF(INDEX(職員マスタ!$B$6:$B$405,$AP1526)="",$H1526,INDEX(職員マスタ!$B$6:$B$405,$AP1526)))</f>
        <v/>
      </c>
      <c r="Y1526" s="14">
        <f>IF($AP1526="",IF($B1526="","",$R1526),IF(INDEX(職員マスタ!$C$6:$C$405,$AP1526)="",$R1526,INDEX(職員マスタ!$C$6:$C$405,$AP1526)))</f>
        <v/>
      </c>
      <c r="Z1526" s="14">
        <f>IF($AQ1526="","","R"&amp;$C1526&amp;"."&amp;$D1526)</f>
        <v/>
      </c>
      <c r="AA1526" s="15">
        <f>IF(IF($AP1526="",FALSE,INDEX(職員マスタ!$K$6:$K$405,$AP1526)&lt;&gt;""),INDEX(職員マスタ!$K$6:$K$405,$AP1526),IF(N($W1526)&gt;0,$W1526,""))</f>
        <v/>
      </c>
      <c r="AB1526" s="14">
        <f>IF(OR($E1526="",$AA1526=""),"",IF($E1526&gt;=$AA1526,"×",IF($E1526&gt;=$AA1526*設定!$C$5,"△","○")))</f>
        <v/>
      </c>
      <c r="AC1526" s="15">
        <f>IF($AB1526="","",IF($AB1526="×",0,IF($AB1526="○",ROUNDDOWN($E1526*設定!$C$4,0),ROUNDDOWN($E1526*ROUND((9*$AA1526-9*$E1526)/(10*$E1526),4),0))))</f>
        <v/>
      </c>
      <c r="AD1526" s="13" t="n"/>
      <c r="AE1526" s="15">
        <f>IF($B1526="","",IF($AD1526&lt;&gt;"",$AD1526,IF($AC1526="","",IF($AC1526&lt;=設定!$C$3,0,$AC1526))))</f>
        <v/>
      </c>
      <c r="AF1526" s="14">
        <f>IF($B1526="","",IF(AND($AG1526&lt;&gt;"",$AI1526="",$AL1526=""),"保留中",IF($AL1526&lt;&gt;"",IF(N($AE1526)&gt;0,"支給済","不支給"),IF($AE1526="","要確認",IF($AE1526=0,"不支給","未処理")))))</f>
        <v/>
      </c>
      <c r="AG1526" s="12" t="n"/>
      <c r="AH1526" s="11" t="n"/>
      <c r="AI1526" s="11" t="n"/>
      <c r="AJ1526" s="11" t="n"/>
      <c r="AK1526" s="14">
        <f>IF(AND($AF1526="保留中",$AH1526&lt;&gt;""),TODAY()-$AH1526,"")</f>
        <v/>
      </c>
      <c r="AL1526" s="12" t="n"/>
      <c r="AM1526" s="14">
        <f>IF($B1526="","",IF($AQ1526="","対象年月が未入力／","")&amp;IF($B1526="","",IF($AP1526="","職員マスタに未登録の職員番号／",IF($AA1526="","標準報酬月額が未登録／","")&amp;IF(AND($AQ1526&lt;&gt;"",OR(AND(INDEX(職員マスタ!$G$6:$G$405,$AP1526)&lt;&gt;"",INDEX(職員マスタ!$G$6:$G$405,$AP1526)&gt;EOMONTH($AQ1526,0)),AND(INDEX(職員マスタ!$H$6:$H$405,$AP1526)&lt;&gt;"",INDEX(職員マスタ!$H$6:$H$405,$AP1526)&lt;$AQ1526))),"対象月が時短期間外／","")&amp;IF(AND(INDEX(職員マスタ!$K$6:$K$405,$AP1526)&lt;&gt;"",N($W1526)&gt;0,INDEX(職員マスタ!$K$6:$K$405,$AP1526)&lt;&gt;$W1526),"標準報酬月額が申請書と相違（台帳"&amp;TEXT(INDEX(職員マスタ!$K$6:$K$405,$AP1526),"#,##0")&amp;"円／申請書"&amp;TEXT($W1526,"#,##0")&amp;"円）／","")&amp;IF(AND(INDEX(職員マスタ!$F$6:$F$405,$AP1526)&lt;&gt;"",$AQ1526&lt;&gt;"",INDEX(職員マスタ!$F$6:$F$405,$AP1526)&lt;$AQ1526),"対象月に子が2歳到達済／","")&amp;IF(AND($H1526&lt;&gt;"",INDEX(職員マスタ!$B$6:$B$405,$AP1526)&lt;&gt;"",SUBSTITUTE(SUBSTITUTE($H1526," ","")," ","")&lt;&gt;SUBSTITUTE(SUBSTITUTE(INDEX(職員マスタ!$B$6:$B$405,$AP1526)," ","")," ","")),"氏名がマスタと相違／","")&amp;IF(AND($Q1526&lt;&gt;"",INDEX(職員マスタ!$E$6:$E$405,$AP1526)&lt;&gt;"",$Q1526&lt;&gt;INDEX(職員マスタ!$E$6:$E$405,$AP1526)),"子の生年月日がマスタと相違／","")&amp;IF(AND($L1526&lt;&gt;"",INDEX(職員マスタ!$G$6:$G$405,$AP1526)&lt;&gt;"",$L1526&lt;&gt;INDEX(職員マスタ!$G$6:$G$405,$AP1526)),"時短開始日がマスタと相違／","")&amp;IF(AND($M1526&lt;&gt;"",INDEX(職員マスタ!$H$6:$H$405,$AP1526)&lt;&gt;"",$M1526&lt;&gt;INDEX(職員マスタ!$H$6:$H$405,$AP1526)),"時短終了日がマスタと相違／","")))&amp;IF(AND($B1526&lt;&gt;"",$E1526=""),"報酬額が未入力／","")&amp;IF(N($U1526)&gt;0,"申請書に入力エラーが残っています／","")&amp;IF(AND($B1526&lt;&gt;"",$AQ1526&lt;&gt;""),IF(COUNTIFS($B$6:$B$3005,$B1526,$C$6:$C$3005,$C1526,$D$6:$D$3005,$D1526)&gt;1,"同じ月の請求が重複しています／",""),"")&amp;IF(AND(N($E1526)&gt;0,$AB1526&lt;&gt;"",$AB1526&lt;&gt;"×",$AE1526=0,$AD1526=""),"計算額が下限以下のため不支給／",""))</f>
        <v/>
      </c>
      <c r="AN1526" s="12" t="n"/>
      <c r="AO1526" s="14">
        <f>IF($AF1526="保留中",COUNTIF($AF$6:$AF1526,"保留中"),"")</f>
        <v/>
      </c>
      <c r="AP1526" s="14">
        <f>IF($AQ1526="","",IF(SUMPRODUCT(MAX((職員マスタ!$A$6:$A$405=$B1526)*(((職員マスタ!$G$6:$G$405="")+(職員マスタ!$G$6:$G$405&lt;=EOMONTH($AQ1526,0)))&gt;0)*(((職員マスタ!$H$6:$H$405="")+(職員マスタ!$H$6:$H$405&gt;=$AQ1526))&gt;0)*(ROW(職員マスタ!$A$6:$A$405)-5)))&gt;0,SUMPRODUCT(MAX((職員マスタ!$A$6:$A$405=$B1526)*(((職員マスタ!$G$6:$G$405="")+(職員マスタ!$G$6:$G$405&lt;=EOMONTH($AQ1526,0)))&gt;0)*(((職員マスタ!$H$6:$H$405="")+(職員マスタ!$H$6:$H$405&gt;=$AQ1526))&gt;0)*(ROW(職員マスタ!$A$6:$A$405)-5))),IFERROR(MATCH($B1526,職員マスタ!$A$6:$A$405,0),"")))</f>
        <v/>
      </c>
      <c r="AQ1526" s="16">
        <f>IF(OR($B1526="",$C1526="",$D1526=""),"",DATE($C1526+2018,$D1526,1))</f>
        <v/>
      </c>
    </row>
    <row r="1527">
      <c r="A1527" s="11" t="n"/>
      <c r="B1527" s="12" t="n"/>
      <c r="C1527" s="12" t="n"/>
      <c r="D1527" s="12" t="n"/>
      <c r="E1527" s="13" t="n"/>
      <c r="F1527" s="12" t="n"/>
      <c r="G1527" s="13" t="n"/>
      <c r="H1527" s="12" t="n"/>
      <c r="I1527" s="12" t="n"/>
      <c r="J1527" s="12" t="n"/>
      <c r="K1527" s="12" t="n"/>
      <c r="L1527" s="11" t="n"/>
      <c r="M1527" s="11" t="n"/>
      <c r="N1527" s="11" t="n"/>
      <c r="O1527" s="11" t="n"/>
      <c r="P1527" s="12" t="n"/>
      <c r="Q1527" s="11" t="n"/>
      <c r="R1527" s="12" t="n"/>
      <c r="S1527" s="11" t="n"/>
      <c r="T1527" s="12" t="n"/>
      <c r="U1527" s="12" t="n"/>
      <c r="V1527" s="12" t="n"/>
      <c r="W1527" s="13" t="n"/>
      <c r="X1527" s="14">
        <f>IF($AP1527="",IF($B1527="","",$H1527),IF(INDEX(職員マスタ!$B$6:$B$405,$AP1527)="",$H1527,INDEX(職員マスタ!$B$6:$B$405,$AP1527)))</f>
        <v/>
      </c>
      <c r="Y1527" s="14">
        <f>IF($AP1527="",IF($B1527="","",$R1527),IF(INDEX(職員マスタ!$C$6:$C$405,$AP1527)="",$R1527,INDEX(職員マスタ!$C$6:$C$405,$AP1527)))</f>
        <v/>
      </c>
      <c r="Z1527" s="14">
        <f>IF($AQ1527="","","R"&amp;$C1527&amp;"."&amp;$D1527)</f>
        <v/>
      </c>
      <c r="AA1527" s="15">
        <f>IF(IF($AP1527="",FALSE,INDEX(職員マスタ!$K$6:$K$405,$AP1527)&lt;&gt;""),INDEX(職員マスタ!$K$6:$K$405,$AP1527),IF(N($W1527)&gt;0,$W1527,""))</f>
        <v/>
      </c>
      <c r="AB1527" s="14">
        <f>IF(OR($E1527="",$AA1527=""),"",IF($E1527&gt;=$AA1527,"×",IF($E1527&gt;=$AA1527*設定!$C$5,"△","○")))</f>
        <v/>
      </c>
      <c r="AC1527" s="15">
        <f>IF($AB1527="","",IF($AB1527="×",0,IF($AB1527="○",ROUNDDOWN($E1527*設定!$C$4,0),ROUNDDOWN($E1527*ROUND((9*$AA1527-9*$E1527)/(10*$E1527),4),0))))</f>
        <v/>
      </c>
      <c r="AD1527" s="13" t="n"/>
      <c r="AE1527" s="15">
        <f>IF($B1527="","",IF($AD1527&lt;&gt;"",$AD1527,IF($AC1527="","",IF($AC1527&lt;=設定!$C$3,0,$AC1527))))</f>
        <v/>
      </c>
      <c r="AF1527" s="14">
        <f>IF($B1527="","",IF(AND($AG1527&lt;&gt;"",$AI1527="",$AL1527=""),"保留中",IF($AL1527&lt;&gt;"",IF(N($AE1527)&gt;0,"支給済","不支給"),IF($AE1527="","要確認",IF($AE1527=0,"不支給","未処理")))))</f>
        <v/>
      </c>
      <c r="AG1527" s="12" t="n"/>
      <c r="AH1527" s="11" t="n"/>
      <c r="AI1527" s="11" t="n"/>
      <c r="AJ1527" s="11" t="n"/>
      <c r="AK1527" s="14">
        <f>IF(AND($AF1527="保留中",$AH1527&lt;&gt;""),TODAY()-$AH1527,"")</f>
        <v/>
      </c>
      <c r="AL1527" s="12" t="n"/>
      <c r="AM1527" s="14">
        <f>IF($B1527="","",IF($AQ1527="","対象年月が未入力／","")&amp;IF($B1527="","",IF($AP1527="","職員マスタに未登録の職員番号／",IF($AA1527="","標準報酬月額が未登録／","")&amp;IF(AND($AQ1527&lt;&gt;"",OR(AND(INDEX(職員マスタ!$G$6:$G$405,$AP1527)&lt;&gt;"",INDEX(職員マスタ!$G$6:$G$405,$AP1527)&gt;EOMONTH($AQ1527,0)),AND(INDEX(職員マスタ!$H$6:$H$405,$AP1527)&lt;&gt;"",INDEX(職員マスタ!$H$6:$H$405,$AP1527)&lt;$AQ1527))),"対象月が時短期間外／","")&amp;IF(AND(INDEX(職員マスタ!$K$6:$K$405,$AP1527)&lt;&gt;"",N($W1527)&gt;0,INDEX(職員マスタ!$K$6:$K$405,$AP1527)&lt;&gt;$W1527),"標準報酬月額が申請書と相違（台帳"&amp;TEXT(INDEX(職員マスタ!$K$6:$K$405,$AP1527),"#,##0")&amp;"円／申請書"&amp;TEXT($W1527,"#,##0")&amp;"円）／","")&amp;IF(AND(INDEX(職員マスタ!$F$6:$F$405,$AP1527)&lt;&gt;"",$AQ1527&lt;&gt;"",INDEX(職員マスタ!$F$6:$F$405,$AP1527)&lt;$AQ1527),"対象月に子が2歳到達済／","")&amp;IF(AND($H1527&lt;&gt;"",INDEX(職員マスタ!$B$6:$B$405,$AP1527)&lt;&gt;"",SUBSTITUTE(SUBSTITUTE($H1527," ","")," ","")&lt;&gt;SUBSTITUTE(SUBSTITUTE(INDEX(職員マスタ!$B$6:$B$405,$AP1527)," ","")," ","")),"氏名がマスタと相違／","")&amp;IF(AND($Q1527&lt;&gt;"",INDEX(職員マスタ!$E$6:$E$405,$AP1527)&lt;&gt;"",$Q1527&lt;&gt;INDEX(職員マスタ!$E$6:$E$405,$AP1527)),"子の生年月日がマスタと相違／","")&amp;IF(AND($L1527&lt;&gt;"",INDEX(職員マスタ!$G$6:$G$405,$AP1527)&lt;&gt;"",$L1527&lt;&gt;INDEX(職員マスタ!$G$6:$G$405,$AP1527)),"時短開始日がマスタと相違／","")&amp;IF(AND($M1527&lt;&gt;"",INDEX(職員マスタ!$H$6:$H$405,$AP1527)&lt;&gt;"",$M1527&lt;&gt;INDEX(職員マスタ!$H$6:$H$405,$AP1527)),"時短終了日がマスタと相違／","")))&amp;IF(AND($B1527&lt;&gt;"",$E1527=""),"報酬額が未入力／","")&amp;IF(N($U1527)&gt;0,"申請書に入力エラーが残っています／","")&amp;IF(AND($B1527&lt;&gt;"",$AQ1527&lt;&gt;""),IF(COUNTIFS($B$6:$B$3005,$B1527,$C$6:$C$3005,$C1527,$D$6:$D$3005,$D1527)&gt;1,"同じ月の請求が重複しています／",""),"")&amp;IF(AND(N($E1527)&gt;0,$AB1527&lt;&gt;"",$AB1527&lt;&gt;"×",$AE1527=0,$AD1527=""),"計算額が下限以下のため不支給／",""))</f>
        <v/>
      </c>
      <c r="AN1527" s="12" t="n"/>
      <c r="AO1527" s="14">
        <f>IF($AF1527="保留中",COUNTIF($AF$6:$AF1527,"保留中"),"")</f>
        <v/>
      </c>
      <c r="AP1527" s="14">
        <f>IF($AQ1527="","",IF(SUMPRODUCT(MAX((職員マスタ!$A$6:$A$405=$B1527)*(((職員マスタ!$G$6:$G$405="")+(職員マスタ!$G$6:$G$405&lt;=EOMONTH($AQ1527,0)))&gt;0)*(((職員マスタ!$H$6:$H$405="")+(職員マスタ!$H$6:$H$405&gt;=$AQ1527))&gt;0)*(ROW(職員マスタ!$A$6:$A$405)-5)))&gt;0,SUMPRODUCT(MAX((職員マスタ!$A$6:$A$405=$B1527)*(((職員マスタ!$G$6:$G$405="")+(職員マスタ!$G$6:$G$405&lt;=EOMONTH($AQ1527,0)))&gt;0)*(((職員マスタ!$H$6:$H$405="")+(職員マスタ!$H$6:$H$405&gt;=$AQ1527))&gt;0)*(ROW(職員マスタ!$A$6:$A$405)-5))),IFERROR(MATCH($B1527,職員マスタ!$A$6:$A$405,0),"")))</f>
        <v/>
      </c>
      <c r="AQ1527" s="16">
        <f>IF(OR($B1527="",$C1527="",$D1527=""),"",DATE($C1527+2018,$D1527,1))</f>
        <v/>
      </c>
    </row>
    <row r="1528">
      <c r="A1528" s="11" t="n"/>
      <c r="B1528" s="12" t="n"/>
      <c r="C1528" s="12" t="n"/>
      <c r="D1528" s="12" t="n"/>
      <c r="E1528" s="13" t="n"/>
      <c r="F1528" s="12" t="n"/>
      <c r="G1528" s="13" t="n"/>
      <c r="H1528" s="12" t="n"/>
      <c r="I1528" s="12" t="n"/>
      <c r="J1528" s="12" t="n"/>
      <c r="K1528" s="12" t="n"/>
      <c r="L1528" s="11" t="n"/>
      <c r="M1528" s="11" t="n"/>
      <c r="N1528" s="11" t="n"/>
      <c r="O1528" s="11" t="n"/>
      <c r="P1528" s="12" t="n"/>
      <c r="Q1528" s="11" t="n"/>
      <c r="R1528" s="12" t="n"/>
      <c r="S1528" s="11" t="n"/>
      <c r="T1528" s="12" t="n"/>
      <c r="U1528" s="12" t="n"/>
      <c r="V1528" s="12" t="n"/>
      <c r="W1528" s="13" t="n"/>
      <c r="X1528" s="14">
        <f>IF($AP1528="",IF($B1528="","",$H1528),IF(INDEX(職員マスタ!$B$6:$B$405,$AP1528)="",$H1528,INDEX(職員マスタ!$B$6:$B$405,$AP1528)))</f>
        <v/>
      </c>
      <c r="Y1528" s="14">
        <f>IF($AP1528="",IF($B1528="","",$R1528),IF(INDEX(職員マスタ!$C$6:$C$405,$AP1528)="",$R1528,INDEX(職員マスタ!$C$6:$C$405,$AP1528)))</f>
        <v/>
      </c>
      <c r="Z1528" s="14">
        <f>IF($AQ1528="","","R"&amp;$C1528&amp;"."&amp;$D1528)</f>
        <v/>
      </c>
      <c r="AA1528" s="15">
        <f>IF(IF($AP1528="",FALSE,INDEX(職員マスタ!$K$6:$K$405,$AP1528)&lt;&gt;""),INDEX(職員マスタ!$K$6:$K$405,$AP1528),IF(N($W1528)&gt;0,$W1528,""))</f>
        <v/>
      </c>
      <c r="AB1528" s="14">
        <f>IF(OR($E1528="",$AA1528=""),"",IF($E1528&gt;=$AA1528,"×",IF($E1528&gt;=$AA1528*設定!$C$5,"△","○")))</f>
        <v/>
      </c>
      <c r="AC1528" s="15">
        <f>IF($AB1528="","",IF($AB1528="×",0,IF($AB1528="○",ROUNDDOWN($E1528*設定!$C$4,0),ROUNDDOWN($E1528*ROUND((9*$AA1528-9*$E1528)/(10*$E1528),4),0))))</f>
        <v/>
      </c>
      <c r="AD1528" s="13" t="n"/>
      <c r="AE1528" s="15">
        <f>IF($B1528="","",IF($AD1528&lt;&gt;"",$AD1528,IF($AC1528="","",IF($AC1528&lt;=設定!$C$3,0,$AC1528))))</f>
        <v/>
      </c>
      <c r="AF1528" s="14">
        <f>IF($B1528="","",IF(AND($AG1528&lt;&gt;"",$AI1528="",$AL1528=""),"保留中",IF($AL1528&lt;&gt;"",IF(N($AE1528)&gt;0,"支給済","不支給"),IF($AE1528="","要確認",IF($AE1528=0,"不支給","未処理")))))</f>
        <v/>
      </c>
      <c r="AG1528" s="12" t="n"/>
      <c r="AH1528" s="11" t="n"/>
      <c r="AI1528" s="11" t="n"/>
      <c r="AJ1528" s="11" t="n"/>
      <c r="AK1528" s="14">
        <f>IF(AND($AF1528="保留中",$AH1528&lt;&gt;""),TODAY()-$AH1528,"")</f>
        <v/>
      </c>
      <c r="AL1528" s="12" t="n"/>
      <c r="AM1528" s="14">
        <f>IF($B1528="","",IF($AQ1528="","対象年月が未入力／","")&amp;IF($B1528="","",IF($AP1528="","職員マスタに未登録の職員番号／",IF($AA1528="","標準報酬月額が未登録／","")&amp;IF(AND($AQ1528&lt;&gt;"",OR(AND(INDEX(職員マスタ!$G$6:$G$405,$AP1528)&lt;&gt;"",INDEX(職員マスタ!$G$6:$G$405,$AP1528)&gt;EOMONTH($AQ1528,0)),AND(INDEX(職員マスタ!$H$6:$H$405,$AP1528)&lt;&gt;"",INDEX(職員マスタ!$H$6:$H$405,$AP1528)&lt;$AQ1528))),"対象月が時短期間外／","")&amp;IF(AND(INDEX(職員マスタ!$K$6:$K$405,$AP1528)&lt;&gt;"",N($W1528)&gt;0,INDEX(職員マスタ!$K$6:$K$405,$AP1528)&lt;&gt;$W1528),"標準報酬月額が申請書と相違（台帳"&amp;TEXT(INDEX(職員マスタ!$K$6:$K$405,$AP1528),"#,##0")&amp;"円／申請書"&amp;TEXT($W1528,"#,##0")&amp;"円）／","")&amp;IF(AND(INDEX(職員マスタ!$F$6:$F$405,$AP1528)&lt;&gt;"",$AQ1528&lt;&gt;"",INDEX(職員マスタ!$F$6:$F$405,$AP1528)&lt;$AQ1528),"対象月に子が2歳到達済／","")&amp;IF(AND($H1528&lt;&gt;"",INDEX(職員マスタ!$B$6:$B$405,$AP1528)&lt;&gt;"",SUBSTITUTE(SUBSTITUTE($H1528," ","")," ","")&lt;&gt;SUBSTITUTE(SUBSTITUTE(INDEX(職員マスタ!$B$6:$B$405,$AP1528)," ","")," ","")),"氏名がマスタと相違／","")&amp;IF(AND($Q1528&lt;&gt;"",INDEX(職員マスタ!$E$6:$E$405,$AP1528)&lt;&gt;"",$Q1528&lt;&gt;INDEX(職員マスタ!$E$6:$E$405,$AP1528)),"子の生年月日がマスタと相違／","")&amp;IF(AND($L1528&lt;&gt;"",INDEX(職員マスタ!$G$6:$G$405,$AP1528)&lt;&gt;"",$L1528&lt;&gt;INDEX(職員マスタ!$G$6:$G$405,$AP1528)),"時短開始日がマスタと相違／","")&amp;IF(AND($M1528&lt;&gt;"",INDEX(職員マスタ!$H$6:$H$405,$AP1528)&lt;&gt;"",$M1528&lt;&gt;INDEX(職員マスタ!$H$6:$H$405,$AP1528)),"時短終了日がマスタと相違／","")))&amp;IF(AND($B1528&lt;&gt;"",$E1528=""),"報酬額が未入力／","")&amp;IF(N($U1528)&gt;0,"申請書に入力エラーが残っています／","")&amp;IF(AND($B1528&lt;&gt;"",$AQ1528&lt;&gt;""),IF(COUNTIFS($B$6:$B$3005,$B1528,$C$6:$C$3005,$C1528,$D$6:$D$3005,$D1528)&gt;1,"同じ月の請求が重複しています／",""),"")&amp;IF(AND(N($E1528)&gt;0,$AB1528&lt;&gt;"",$AB1528&lt;&gt;"×",$AE1528=0,$AD1528=""),"計算額が下限以下のため不支給／",""))</f>
        <v/>
      </c>
      <c r="AN1528" s="12" t="n"/>
      <c r="AO1528" s="14">
        <f>IF($AF1528="保留中",COUNTIF($AF$6:$AF1528,"保留中"),"")</f>
        <v/>
      </c>
      <c r="AP1528" s="14">
        <f>IF($AQ1528="","",IF(SUMPRODUCT(MAX((職員マスタ!$A$6:$A$405=$B1528)*(((職員マスタ!$G$6:$G$405="")+(職員マスタ!$G$6:$G$405&lt;=EOMONTH($AQ1528,0)))&gt;0)*(((職員マスタ!$H$6:$H$405="")+(職員マスタ!$H$6:$H$405&gt;=$AQ1528))&gt;0)*(ROW(職員マスタ!$A$6:$A$405)-5)))&gt;0,SUMPRODUCT(MAX((職員マスタ!$A$6:$A$405=$B1528)*(((職員マスタ!$G$6:$G$405="")+(職員マスタ!$G$6:$G$405&lt;=EOMONTH($AQ1528,0)))&gt;0)*(((職員マスタ!$H$6:$H$405="")+(職員マスタ!$H$6:$H$405&gt;=$AQ1528))&gt;0)*(ROW(職員マスタ!$A$6:$A$405)-5))),IFERROR(MATCH($B1528,職員マスタ!$A$6:$A$405,0),"")))</f>
        <v/>
      </c>
      <c r="AQ1528" s="16">
        <f>IF(OR($B1528="",$C1528="",$D1528=""),"",DATE($C1528+2018,$D1528,1))</f>
        <v/>
      </c>
    </row>
    <row r="1529">
      <c r="A1529" s="11" t="n"/>
      <c r="B1529" s="12" t="n"/>
      <c r="C1529" s="12" t="n"/>
      <c r="D1529" s="12" t="n"/>
      <c r="E1529" s="13" t="n"/>
      <c r="F1529" s="12" t="n"/>
      <c r="G1529" s="13" t="n"/>
      <c r="H1529" s="12" t="n"/>
      <c r="I1529" s="12" t="n"/>
      <c r="J1529" s="12" t="n"/>
      <c r="K1529" s="12" t="n"/>
      <c r="L1529" s="11" t="n"/>
      <c r="M1529" s="11" t="n"/>
      <c r="N1529" s="11" t="n"/>
      <c r="O1529" s="11" t="n"/>
      <c r="P1529" s="12" t="n"/>
      <c r="Q1529" s="11" t="n"/>
      <c r="R1529" s="12" t="n"/>
      <c r="S1529" s="11" t="n"/>
      <c r="T1529" s="12" t="n"/>
      <c r="U1529" s="12" t="n"/>
      <c r="V1529" s="12" t="n"/>
      <c r="W1529" s="13" t="n"/>
      <c r="X1529" s="14">
        <f>IF($AP1529="",IF($B1529="","",$H1529),IF(INDEX(職員マスタ!$B$6:$B$405,$AP1529)="",$H1529,INDEX(職員マスタ!$B$6:$B$405,$AP1529)))</f>
        <v/>
      </c>
      <c r="Y1529" s="14">
        <f>IF($AP1529="",IF($B1529="","",$R1529),IF(INDEX(職員マスタ!$C$6:$C$405,$AP1529)="",$R1529,INDEX(職員マスタ!$C$6:$C$405,$AP1529)))</f>
        <v/>
      </c>
      <c r="Z1529" s="14">
        <f>IF($AQ1529="","","R"&amp;$C1529&amp;"."&amp;$D1529)</f>
        <v/>
      </c>
      <c r="AA1529" s="15">
        <f>IF(IF($AP1529="",FALSE,INDEX(職員マスタ!$K$6:$K$405,$AP1529)&lt;&gt;""),INDEX(職員マスタ!$K$6:$K$405,$AP1529),IF(N($W1529)&gt;0,$W1529,""))</f>
        <v/>
      </c>
      <c r="AB1529" s="14">
        <f>IF(OR($E1529="",$AA1529=""),"",IF($E1529&gt;=$AA1529,"×",IF($E1529&gt;=$AA1529*設定!$C$5,"△","○")))</f>
        <v/>
      </c>
      <c r="AC1529" s="15">
        <f>IF($AB1529="","",IF($AB1529="×",0,IF($AB1529="○",ROUNDDOWN($E1529*設定!$C$4,0),ROUNDDOWN($E1529*ROUND((9*$AA1529-9*$E1529)/(10*$E1529),4),0))))</f>
        <v/>
      </c>
      <c r="AD1529" s="13" t="n"/>
      <c r="AE1529" s="15">
        <f>IF($B1529="","",IF($AD1529&lt;&gt;"",$AD1529,IF($AC1529="","",IF($AC1529&lt;=設定!$C$3,0,$AC1529))))</f>
        <v/>
      </c>
      <c r="AF1529" s="14">
        <f>IF($B1529="","",IF(AND($AG1529&lt;&gt;"",$AI1529="",$AL1529=""),"保留中",IF($AL1529&lt;&gt;"",IF(N($AE1529)&gt;0,"支給済","不支給"),IF($AE1529="","要確認",IF($AE1529=0,"不支給","未処理")))))</f>
        <v/>
      </c>
      <c r="AG1529" s="12" t="n"/>
      <c r="AH1529" s="11" t="n"/>
      <c r="AI1529" s="11" t="n"/>
      <c r="AJ1529" s="11" t="n"/>
      <c r="AK1529" s="14">
        <f>IF(AND($AF1529="保留中",$AH1529&lt;&gt;""),TODAY()-$AH1529,"")</f>
        <v/>
      </c>
      <c r="AL1529" s="12" t="n"/>
      <c r="AM1529" s="14">
        <f>IF($B1529="","",IF($AQ1529="","対象年月が未入力／","")&amp;IF($B1529="","",IF($AP1529="","職員マスタに未登録の職員番号／",IF($AA1529="","標準報酬月額が未登録／","")&amp;IF(AND($AQ1529&lt;&gt;"",OR(AND(INDEX(職員マスタ!$G$6:$G$405,$AP1529)&lt;&gt;"",INDEX(職員マスタ!$G$6:$G$405,$AP1529)&gt;EOMONTH($AQ1529,0)),AND(INDEX(職員マスタ!$H$6:$H$405,$AP1529)&lt;&gt;"",INDEX(職員マスタ!$H$6:$H$405,$AP1529)&lt;$AQ1529))),"対象月が時短期間外／","")&amp;IF(AND(INDEX(職員マスタ!$K$6:$K$405,$AP1529)&lt;&gt;"",N($W1529)&gt;0,INDEX(職員マスタ!$K$6:$K$405,$AP1529)&lt;&gt;$W1529),"標準報酬月額が申請書と相違（台帳"&amp;TEXT(INDEX(職員マスタ!$K$6:$K$405,$AP1529),"#,##0")&amp;"円／申請書"&amp;TEXT($W1529,"#,##0")&amp;"円）／","")&amp;IF(AND(INDEX(職員マスタ!$F$6:$F$405,$AP1529)&lt;&gt;"",$AQ1529&lt;&gt;"",INDEX(職員マスタ!$F$6:$F$405,$AP1529)&lt;$AQ1529),"対象月に子が2歳到達済／","")&amp;IF(AND($H1529&lt;&gt;"",INDEX(職員マスタ!$B$6:$B$405,$AP1529)&lt;&gt;"",SUBSTITUTE(SUBSTITUTE($H1529," ","")," ","")&lt;&gt;SUBSTITUTE(SUBSTITUTE(INDEX(職員マスタ!$B$6:$B$405,$AP1529)," ","")," ","")),"氏名がマスタと相違／","")&amp;IF(AND($Q1529&lt;&gt;"",INDEX(職員マスタ!$E$6:$E$405,$AP1529)&lt;&gt;"",$Q1529&lt;&gt;INDEX(職員マスタ!$E$6:$E$405,$AP1529)),"子の生年月日がマスタと相違／","")&amp;IF(AND($L1529&lt;&gt;"",INDEX(職員マスタ!$G$6:$G$405,$AP1529)&lt;&gt;"",$L1529&lt;&gt;INDEX(職員マスタ!$G$6:$G$405,$AP1529)),"時短開始日がマスタと相違／","")&amp;IF(AND($M1529&lt;&gt;"",INDEX(職員マスタ!$H$6:$H$405,$AP1529)&lt;&gt;"",$M1529&lt;&gt;INDEX(職員マスタ!$H$6:$H$405,$AP1529)),"時短終了日がマスタと相違／","")))&amp;IF(AND($B1529&lt;&gt;"",$E1529=""),"報酬額が未入力／","")&amp;IF(N($U1529)&gt;0,"申請書に入力エラーが残っています／","")&amp;IF(AND($B1529&lt;&gt;"",$AQ1529&lt;&gt;""),IF(COUNTIFS($B$6:$B$3005,$B1529,$C$6:$C$3005,$C1529,$D$6:$D$3005,$D1529)&gt;1,"同じ月の請求が重複しています／",""),"")&amp;IF(AND(N($E1529)&gt;0,$AB1529&lt;&gt;"",$AB1529&lt;&gt;"×",$AE1529=0,$AD1529=""),"計算額が下限以下のため不支給／",""))</f>
        <v/>
      </c>
      <c r="AN1529" s="12" t="n"/>
      <c r="AO1529" s="14">
        <f>IF($AF1529="保留中",COUNTIF($AF$6:$AF1529,"保留中"),"")</f>
        <v/>
      </c>
      <c r="AP1529" s="14">
        <f>IF($AQ1529="","",IF(SUMPRODUCT(MAX((職員マスタ!$A$6:$A$405=$B1529)*(((職員マスタ!$G$6:$G$405="")+(職員マスタ!$G$6:$G$405&lt;=EOMONTH($AQ1529,0)))&gt;0)*(((職員マスタ!$H$6:$H$405="")+(職員マスタ!$H$6:$H$405&gt;=$AQ1529))&gt;0)*(ROW(職員マスタ!$A$6:$A$405)-5)))&gt;0,SUMPRODUCT(MAX((職員マスタ!$A$6:$A$405=$B1529)*(((職員マスタ!$G$6:$G$405="")+(職員マスタ!$G$6:$G$405&lt;=EOMONTH($AQ1529,0)))&gt;0)*(((職員マスタ!$H$6:$H$405="")+(職員マスタ!$H$6:$H$405&gt;=$AQ1529))&gt;0)*(ROW(職員マスタ!$A$6:$A$405)-5))),IFERROR(MATCH($B1529,職員マスタ!$A$6:$A$405,0),"")))</f>
        <v/>
      </c>
      <c r="AQ1529" s="16">
        <f>IF(OR($B1529="",$C1529="",$D1529=""),"",DATE($C1529+2018,$D1529,1))</f>
        <v/>
      </c>
    </row>
    <row r="1530">
      <c r="A1530" s="11" t="n"/>
      <c r="B1530" s="12" t="n"/>
      <c r="C1530" s="12" t="n"/>
      <c r="D1530" s="12" t="n"/>
      <c r="E1530" s="13" t="n"/>
      <c r="F1530" s="12" t="n"/>
      <c r="G1530" s="13" t="n"/>
      <c r="H1530" s="12" t="n"/>
      <c r="I1530" s="12" t="n"/>
      <c r="J1530" s="12" t="n"/>
      <c r="K1530" s="12" t="n"/>
      <c r="L1530" s="11" t="n"/>
      <c r="M1530" s="11" t="n"/>
      <c r="N1530" s="11" t="n"/>
      <c r="O1530" s="11" t="n"/>
      <c r="P1530" s="12" t="n"/>
      <c r="Q1530" s="11" t="n"/>
      <c r="R1530" s="12" t="n"/>
      <c r="S1530" s="11" t="n"/>
      <c r="T1530" s="12" t="n"/>
      <c r="U1530" s="12" t="n"/>
      <c r="V1530" s="12" t="n"/>
      <c r="W1530" s="13" t="n"/>
      <c r="X1530" s="14">
        <f>IF($AP1530="",IF($B1530="","",$H1530),IF(INDEX(職員マスタ!$B$6:$B$405,$AP1530)="",$H1530,INDEX(職員マスタ!$B$6:$B$405,$AP1530)))</f>
        <v/>
      </c>
      <c r="Y1530" s="14">
        <f>IF($AP1530="",IF($B1530="","",$R1530),IF(INDEX(職員マスタ!$C$6:$C$405,$AP1530)="",$R1530,INDEX(職員マスタ!$C$6:$C$405,$AP1530)))</f>
        <v/>
      </c>
      <c r="Z1530" s="14">
        <f>IF($AQ1530="","","R"&amp;$C1530&amp;"."&amp;$D1530)</f>
        <v/>
      </c>
      <c r="AA1530" s="15">
        <f>IF(IF($AP1530="",FALSE,INDEX(職員マスタ!$K$6:$K$405,$AP1530)&lt;&gt;""),INDEX(職員マスタ!$K$6:$K$405,$AP1530),IF(N($W1530)&gt;0,$W1530,""))</f>
        <v/>
      </c>
      <c r="AB1530" s="14">
        <f>IF(OR($E1530="",$AA1530=""),"",IF($E1530&gt;=$AA1530,"×",IF($E1530&gt;=$AA1530*設定!$C$5,"△","○")))</f>
        <v/>
      </c>
      <c r="AC1530" s="15">
        <f>IF($AB1530="","",IF($AB1530="×",0,IF($AB1530="○",ROUNDDOWN($E1530*設定!$C$4,0),ROUNDDOWN($E1530*ROUND((9*$AA1530-9*$E1530)/(10*$E1530),4),0))))</f>
        <v/>
      </c>
      <c r="AD1530" s="13" t="n"/>
      <c r="AE1530" s="15">
        <f>IF($B1530="","",IF($AD1530&lt;&gt;"",$AD1530,IF($AC1530="","",IF($AC1530&lt;=設定!$C$3,0,$AC1530))))</f>
        <v/>
      </c>
      <c r="AF1530" s="14">
        <f>IF($B1530="","",IF(AND($AG1530&lt;&gt;"",$AI1530="",$AL1530=""),"保留中",IF($AL1530&lt;&gt;"",IF(N($AE1530)&gt;0,"支給済","不支給"),IF($AE1530="","要確認",IF($AE1530=0,"不支給","未処理")))))</f>
        <v/>
      </c>
      <c r="AG1530" s="12" t="n"/>
      <c r="AH1530" s="11" t="n"/>
      <c r="AI1530" s="11" t="n"/>
      <c r="AJ1530" s="11" t="n"/>
      <c r="AK1530" s="14">
        <f>IF(AND($AF1530="保留中",$AH1530&lt;&gt;""),TODAY()-$AH1530,"")</f>
        <v/>
      </c>
      <c r="AL1530" s="12" t="n"/>
      <c r="AM1530" s="14">
        <f>IF($B1530="","",IF($AQ1530="","対象年月が未入力／","")&amp;IF($B1530="","",IF($AP1530="","職員マスタに未登録の職員番号／",IF($AA1530="","標準報酬月額が未登録／","")&amp;IF(AND($AQ1530&lt;&gt;"",OR(AND(INDEX(職員マスタ!$G$6:$G$405,$AP1530)&lt;&gt;"",INDEX(職員マスタ!$G$6:$G$405,$AP1530)&gt;EOMONTH($AQ1530,0)),AND(INDEX(職員マスタ!$H$6:$H$405,$AP1530)&lt;&gt;"",INDEX(職員マスタ!$H$6:$H$405,$AP1530)&lt;$AQ1530))),"対象月が時短期間外／","")&amp;IF(AND(INDEX(職員マスタ!$K$6:$K$405,$AP1530)&lt;&gt;"",N($W1530)&gt;0,INDEX(職員マスタ!$K$6:$K$405,$AP1530)&lt;&gt;$W1530),"標準報酬月額が申請書と相違（台帳"&amp;TEXT(INDEX(職員マスタ!$K$6:$K$405,$AP1530),"#,##0")&amp;"円／申請書"&amp;TEXT($W1530,"#,##0")&amp;"円）／","")&amp;IF(AND(INDEX(職員マスタ!$F$6:$F$405,$AP1530)&lt;&gt;"",$AQ1530&lt;&gt;"",INDEX(職員マスタ!$F$6:$F$405,$AP1530)&lt;$AQ1530),"対象月に子が2歳到達済／","")&amp;IF(AND($H1530&lt;&gt;"",INDEX(職員マスタ!$B$6:$B$405,$AP1530)&lt;&gt;"",SUBSTITUTE(SUBSTITUTE($H1530," ","")," ","")&lt;&gt;SUBSTITUTE(SUBSTITUTE(INDEX(職員マスタ!$B$6:$B$405,$AP1530)," ","")," ","")),"氏名がマスタと相違／","")&amp;IF(AND($Q1530&lt;&gt;"",INDEX(職員マスタ!$E$6:$E$405,$AP1530)&lt;&gt;"",$Q1530&lt;&gt;INDEX(職員マスタ!$E$6:$E$405,$AP1530)),"子の生年月日がマスタと相違／","")&amp;IF(AND($L1530&lt;&gt;"",INDEX(職員マスタ!$G$6:$G$405,$AP1530)&lt;&gt;"",$L1530&lt;&gt;INDEX(職員マスタ!$G$6:$G$405,$AP1530)),"時短開始日がマスタと相違／","")&amp;IF(AND($M1530&lt;&gt;"",INDEX(職員マスタ!$H$6:$H$405,$AP1530)&lt;&gt;"",$M1530&lt;&gt;INDEX(職員マスタ!$H$6:$H$405,$AP1530)),"時短終了日がマスタと相違／","")))&amp;IF(AND($B1530&lt;&gt;"",$E1530=""),"報酬額が未入力／","")&amp;IF(N($U1530)&gt;0,"申請書に入力エラーが残っています／","")&amp;IF(AND($B1530&lt;&gt;"",$AQ1530&lt;&gt;""),IF(COUNTIFS($B$6:$B$3005,$B1530,$C$6:$C$3005,$C1530,$D$6:$D$3005,$D1530)&gt;1,"同じ月の請求が重複しています／",""),"")&amp;IF(AND(N($E1530)&gt;0,$AB1530&lt;&gt;"",$AB1530&lt;&gt;"×",$AE1530=0,$AD1530=""),"計算額が下限以下のため不支給／",""))</f>
        <v/>
      </c>
      <c r="AN1530" s="12" t="n"/>
      <c r="AO1530" s="14">
        <f>IF($AF1530="保留中",COUNTIF($AF$6:$AF1530,"保留中"),"")</f>
        <v/>
      </c>
      <c r="AP1530" s="14">
        <f>IF($AQ1530="","",IF(SUMPRODUCT(MAX((職員マスタ!$A$6:$A$405=$B1530)*(((職員マスタ!$G$6:$G$405="")+(職員マスタ!$G$6:$G$405&lt;=EOMONTH($AQ1530,0)))&gt;0)*(((職員マスタ!$H$6:$H$405="")+(職員マスタ!$H$6:$H$405&gt;=$AQ1530))&gt;0)*(ROW(職員マスタ!$A$6:$A$405)-5)))&gt;0,SUMPRODUCT(MAX((職員マスタ!$A$6:$A$405=$B1530)*(((職員マスタ!$G$6:$G$405="")+(職員マスタ!$G$6:$G$405&lt;=EOMONTH($AQ1530,0)))&gt;0)*(((職員マスタ!$H$6:$H$405="")+(職員マスタ!$H$6:$H$405&gt;=$AQ1530))&gt;0)*(ROW(職員マスタ!$A$6:$A$405)-5))),IFERROR(MATCH($B1530,職員マスタ!$A$6:$A$405,0),"")))</f>
        <v/>
      </c>
      <c r="AQ1530" s="16">
        <f>IF(OR($B1530="",$C1530="",$D1530=""),"",DATE($C1530+2018,$D1530,1))</f>
        <v/>
      </c>
    </row>
    <row r="1531">
      <c r="A1531" s="11" t="n"/>
      <c r="B1531" s="12" t="n"/>
      <c r="C1531" s="12" t="n"/>
      <c r="D1531" s="12" t="n"/>
      <c r="E1531" s="13" t="n"/>
      <c r="F1531" s="12" t="n"/>
      <c r="G1531" s="13" t="n"/>
      <c r="H1531" s="12" t="n"/>
      <c r="I1531" s="12" t="n"/>
      <c r="J1531" s="12" t="n"/>
      <c r="K1531" s="12" t="n"/>
      <c r="L1531" s="11" t="n"/>
      <c r="M1531" s="11" t="n"/>
      <c r="N1531" s="11" t="n"/>
      <c r="O1531" s="11" t="n"/>
      <c r="P1531" s="12" t="n"/>
      <c r="Q1531" s="11" t="n"/>
      <c r="R1531" s="12" t="n"/>
      <c r="S1531" s="11" t="n"/>
      <c r="T1531" s="12" t="n"/>
      <c r="U1531" s="12" t="n"/>
      <c r="V1531" s="12" t="n"/>
      <c r="W1531" s="13" t="n"/>
      <c r="X1531" s="14">
        <f>IF($AP1531="",IF($B1531="","",$H1531),IF(INDEX(職員マスタ!$B$6:$B$405,$AP1531)="",$H1531,INDEX(職員マスタ!$B$6:$B$405,$AP1531)))</f>
        <v/>
      </c>
      <c r="Y1531" s="14">
        <f>IF($AP1531="",IF($B1531="","",$R1531),IF(INDEX(職員マスタ!$C$6:$C$405,$AP1531)="",$R1531,INDEX(職員マスタ!$C$6:$C$405,$AP1531)))</f>
        <v/>
      </c>
      <c r="Z1531" s="14">
        <f>IF($AQ1531="","","R"&amp;$C1531&amp;"."&amp;$D1531)</f>
        <v/>
      </c>
      <c r="AA1531" s="15">
        <f>IF(IF($AP1531="",FALSE,INDEX(職員マスタ!$K$6:$K$405,$AP1531)&lt;&gt;""),INDEX(職員マスタ!$K$6:$K$405,$AP1531),IF(N($W1531)&gt;0,$W1531,""))</f>
        <v/>
      </c>
      <c r="AB1531" s="14">
        <f>IF(OR($E1531="",$AA1531=""),"",IF($E1531&gt;=$AA1531,"×",IF($E1531&gt;=$AA1531*設定!$C$5,"△","○")))</f>
        <v/>
      </c>
      <c r="AC1531" s="15">
        <f>IF($AB1531="","",IF($AB1531="×",0,IF($AB1531="○",ROUNDDOWN($E1531*設定!$C$4,0),ROUNDDOWN($E1531*ROUND((9*$AA1531-9*$E1531)/(10*$E1531),4),0))))</f>
        <v/>
      </c>
      <c r="AD1531" s="13" t="n"/>
      <c r="AE1531" s="15">
        <f>IF($B1531="","",IF($AD1531&lt;&gt;"",$AD1531,IF($AC1531="","",IF($AC1531&lt;=設定!$C$3,0,$AC1531))))</f>
        <v/>
      </c>
      <c r="AF1531" s="14">
        <f>IF($B1531="","",IF(AND($AG1531&lt;&gt;"",$AI1531="",$AL1531=""),"保留中",IF($AL1531&lt;&gt;"",IF(N($AE1531)&gt;0,"支給済","不支給"),IF($AE1531="","要確認",IF($AE1531=0,"不支給","未処理")))))</f>
        <v/>
      </c>
      <c r="AG1531" s="12" t="n"/>
      <c r="AH1531" s="11" t="n"/>
      <c r="AI1531" s="11" t="n"/>
      <c r="AJ1531" s="11" t="n"/>
      <c r="AK1531" s="14">
        <f>IF(AND($AF1531="保留中",$AH1531&lt;&gt;""),TODAY()-$AH1531,"")</f>
        <v/>
      </c>
      <c r="AL1531" s="12" t="n"/>
      <c r="AM1531" s="14">
        <f>IF($B1531="","",IF($AQ1531="","対象年月が未入力／","")&amp;IF($B1531="","",IF($AP1531="","職員マスタに未登録の職員番号／",IF($AA1531="","標準報酬月額が未登録／","")&amp;IF(AND($AQ1531&lt;&gt;"",OR(AND(INDEX(職員マスタ!$G$6:$G$405,$AP1531)&lt;&gt;"",INDEX(職員マスタ!$G$6:$G$405,$AP1531)&gt;EOMONTH($AQ1531,0)),AND(INDEX(職員マスタ!$H$6:$H$405,$AP1531)&lt;&gt;"",INDEX(職員マスタ!$H$6:$H$405,$AP1531)&lt;$AQ1531))),"対象月が時短期間外／","")&amp;IF(AND(INDEX(職員マスタ!$K$6:$K$405,$AP1531)&lt;&gt;"",N($W1531)&gt;0,INDEX(職員マスタ!$K$6:$K$405,$AP1531)&lt;&gt;$W1531),"標準報酬月額が申請書と相違（台帳"&amp;TEXT(INDEX(職員マスタ!$K$6:$K$405,$AP1531),"#,##0")&amp;"円／申請書"&amp;TEXT($W1531,"#,##0")&amp;"円）／","")&amp;IF(AND(INDEX(職員マスタ!$F$6:$F$405,$AP1531)&lt;&gt;"",$AQ1531&lt;&gt;"",INDEX(職員マスタ!$F$6:$F$405,$AP1531)&lt;$AQ1531),"対象月に子が2歳到達済／","")&amp;IF(AND($H1531&lt;&gt;"",INDEX(職員マスタ!$B$6:$B$405,$AP1531)&lt;&gt;"",SUBSTITUTE(SUBSTITUTE($H1531," ","")," ","")&lt;&gt;SUBSTITUTE(SUBSTITUTE(INDEX(職員マスタ!$B$6:$B$405,$AP1531)," ","")," ","")),"氏名がマスタと相違／","")&amp;IF(AND($Q1531&lt;&gt;"",INDEX(職員マスタ!$E$6:$E$405,$AP1531)&lt;&gt;"",$Q1531&lt;&gt;INDEX(職員マスタ!$E$6:$E$405,$AP1531)),"子の生年月日がマスタと相違／","")&amp;IF(AND($L1531&lt;&gt;"",INDEX(職員マスタ!$G$6:$G$405,$AP1531)&lt;&gt;"",$L1531&lt;&gt;INDEX(職員マスタ!$G$6:$G$405,$AP1531)),"時短開始日がマスタと相違／","")&amp;IF(AND($M1531&lt;&gt;"",INDEX(職員マスタ!$H$6:$H$405,$AP1531)&lt;&gt;"",$M1531&lt;&gt;INDEX(職員マスタ!$H$6:$H$405,$AP1531)),"時短終了日がマスタと相違／","")))&amp;IF(AND($B1531&lt;&gt;"",$E1531=""),"報酬額が未入力／","")&amp;IF(N($U1531)&gt;0,"申請書に入力エラーが残っています／","")&amp;IF(AND($B1531&lt;&gt;"",$AQ1531&lt;&gt;""),IF(COUNTIFS($B$6:$B$3005,$B1531,$C$6:$C$3005,$C1531,$D$6:$D$3005,$D1531)&gt;1,"同じ月の請求が重複しています／",""),"")&amp;IF(AND(N($E1531)&gt;0,$AB1531&lt;&gt;"",$AB1531&lt;&gt;"×",$AE1531=0,$AD1531=""),"計算額が下限以下のため不支給／",""))</f>
        <v/>
      </c>
      <c r="AN1531" s="12" t="n"/>
      <c r="AO1531" s="14">
        <f>IF($AF1531="保留中",COUNTIF($AF$6:$AF1531,"保留中"),"")</f>
        <v/>
      </c>
      <c r="AP1531" s="14">
        <f>IF($AQ1531="","",IF(SUMPRODUCT(MAX((職員マスタ!$A$6:$A$405=$B1531)*(((職員マスタ!$G$6:$G$405="")+(職員マスタ!$G$6:$G$405&lt;=EOMONTH($AQ1531,0)))&gt;0)*(((職員マスタ!$H$6:$H$405="")+(職員マスタ!$H$6:$H$405&gt;=$AQ1531))&gt;0)*(ROW(職員マスタ!$A$6:$A$405)-5)))&gt;0,SUMPRODUCT(MAX((職員マスタ!$A$6:$A$405=$B1531)*(((職員マスタ!$G$6:$G$405="")+(職員マスタ!$G$6:$G$405&lt;=EOMONTH($AQ1531,0)))&gt;0)*(((職員マスタ!$H$6:$H$405="")+(職員マスタ!$H$6:$H$405&gt;=$AQ1531))&gt;0)*(ROW(職員マスタ!$A$6:$A$405)-5))),IFERROR(MATCH($B1531,職員マスタ!$A$6:$A$405,0),"")))</f>
        <v/>
      </c>
      <c r="AQ1531" s="16">
        <f>IF(OR($B1531="",$C1531="",$D1531=""),"",DATE($C1531+2018,$D1531,1))</f>
        <v/>
      </c>
    </row>
    <row r="1532">
      <c r="A1532" s="11" t="n"/>
      <c r="B1532" s="12" t="n"/>
      <c r="C1532" s="12" t="n"/>
      <c r="D1532" s="12" t="n"/>
      <c r="E1532" s="13" t="n"/>
      <c r="F1532" s="12" t="n"/>
      <c r="G1532" s="13" t="n"/>
      <c r="H1532" s="12" t="n"/>
      <c r="I1532" s="12" t="n"/>
      <c r="J1532" s="12" t="n"/>
      <c r="K1532" s="12" t="n"/>
      <c r="L1532" s="11" t="n"/>
      <c r="M1532" s="11" t="n"/>
      <c r="N1532" s="11" t="n"/>
      <c r="O1532" s="11" t="n"/>
      <c r="P1532" s="12" t="n"/>
      <c r="Q1532" s="11" t="n"/>
      <c r="R1532" s="12" t="n"/>
      <c r="S1532" s="11" t="n"/>
      <c r="T1532" s="12" t="n"/>
      <c r="U1532" s="12" t="n"/>
      <c r="V1532" s="12" t="n"/>
      <c r="W1532" s="13" t="n"/>
      <c r="X1532" s="14">
        <f>IF($AP1532="",IF($B1532="","",$H1532),IF(INDEX(職員マスタ!$B$6:$B$405,$AP1532)="",$H1532,INDEX(職員マスタ!$B$6:$B$405,$AP1532)))</f>
        <v/>
      </c>
      <c r="Y1532" s="14">
        <f>IF($AP1532="",IF($B1532="","",$R1532),IF(INDEX(職員マスタ!$C$6:$C$405,$AP1532)="",$R1532,INDEX(職員マスタ!$C$6:$C$405,$AP1532)))</f>
        <v/>
      </c>
      <c r="Z1532" s="14">
        <f>IF($AQ1532="","","R"&amp;$C1532&amp;"."&amp;$D1532)</f>
        <v/>
      </c>
      <c r="AA1532" s="15">
        <f>IF(IF($AP1532="",FALSE,INDEX(職員マスタ!$K$6:$K$405,$AP1532)&lt;&gt;""),INDEX(職員マスタ!$K$6:$K$405,$AP1532),IF(N($W1532)&gt;0,$W1532,""))</f>
        <v/>
      </c>
      <c r="AB1532" s="14">
        <f>IF(OR($E1532="",$AA1532=""),"",IF($E1532&gt;=$AA1532,"×",IF($E1532&gt;=$AA1532*設定!$C$5,"△","○")))</f>
        <v/>
      </c>
      <c r="AC1532" s="15">
        <f>IF($AB1532="","",IF($AB1532="×",0,IF($AB1532="○",ROUNDDOWN($E1532*設定!$C$4,0),ROUNDDOWN($E1532*ROUND((9*$AA1532-9*$E1532)/(10*$E1532),4),0))))</f>
        <v/>
      </c>
      <c r="AD1532" s="13" t="n"/>
      <c r="AE1532" s="15">
        <f>IF($B1532="","",IF($AD1532&lt;&gt;"",$AD1532,IF($AC1532="","",IF($AC1532&lt;=設定!$C$3,0,$AC1532))))</f>
        <v/>
      </c>
      <c r="AF1532" s="14">
        <f>IF($B1532="","",IF(AND($AG1532&lt;&gt;"",$AI1532="",$AL1532=""),"保留中",IF($AL1532&lt;&gt;"",IF(N($AE1532)&gt;0,"支給済","不支給"),IF($AE1532="","要確認",IF($AE1532=0,"不支給","未処理")))))</f>
        <v/>
      </c>
      <c r="AG1532" s="12" t="n"/>
      <c r="AH1532" s="11" t="n"/>
      <c r="AI1532" s="11" t="n"/>
      <c r="AJ1532" s="11" t="n"/>
      <c r="AK1532" s="14">
        <f>IF(AND($AF1532="保留中",$AH1532&lt;&gt;""),TODAY()-$AH1532,"")</f>
        <v/>
      </c>
      <c r="AL1532" s="12" t="n"/>
      <c r="AM1532" s="14">
        <f>IF($B1532="","",IF($AQ1532="","対象年月が未入力／","")&amp;IF($B1532="","",IF($AP1532="","職員マスタに未登録の職員番号／",IF($AA1532="","標準報酬月額が未登録／","")&amp;IF(AND($AQ1532&lt;&gt;"",OR(AND(INDEX(職員マスタ!$G$6:$G$405,$AP1532)&lt;&gt;"",INDEX(職員マスタ!$G$6:$G$405,$AP1532)&gt;EOMONTH($AQ1532,0)),AND(INDEX(職員マスタ!$H$6:$H$405,$AP1532)&lt;&gt;"",INDEX(職員マスタ!$H$6:$H$405,$AP1532)&lt;$AQ1532))),"対象月が時短期間外／","")&amp;IF(AND(INDEX(職員マスタ!$K$6:$K$405,$AP1532)&lt;&gt;"",N($W1532)&gt;0,INDEX(職員マスタ!$K$6:$K$405,$AP1532)&lt;&gt;$W1532),"標準報酬月額が申請書と相違（台帳"&amp;TEXT(INDEX(職員マスタ!$K$6:$K$405,$AP1532),"#,##0")&amp;"円／申請書"&amp;TEXT($W1532,"#,##0")&amp;"円）／","")&amp;IF(AND(INDEX(職員マスタ!$F$6:$F$405,$AP1532)&lt;&gt;"",$AQ1532&lt;&gt;"",INDEX(職員マスタ!$F$6:$F$405,$AP1532)&lt;$AQ1532),"対象月に子が2歳到達済／","")&amp;IF(AND($H1532&lt;&gt;"",INDEX(職員マスタ!$B$6:$B$405,$AP1532)&lt;&gt;"",SUBSTITUTE(SUBSTITUTE($H1532," ","")," ","")&lt;&gt;SUBSTITUTE(SUBSTITUTE(INDEX(職員マスタ!$B$6:$B$405,$AP1532)," ","")," ","")),"氏名がマスタと相違／","")&amp;IF(AND($Q1532&lt;&gt;"",INDEX(職員マスタ!$E$6:$E$405,$AP1532)&lt;&gt;"",$Q1532&lt;&gt;INDEX(職員マスタ!$E$6:$E$405,$AP1532)),"子の生年月日がマスタと相違／","")&amp;IF(AND($L1532&lt;&gt;"",INDEX(職員マスタ!$G$6:$G$405,$AP1532)&lt;&gt;"",$L1532&lt;&gt;INDEX(職員マスタ!$G$6:$G$405,$AP1532)),"時短開始日がマスタと相違／","")&amp;IF(AND($M1532&lt;&gt;"",INDEX(職員マスタ!$H$6:$H$405,$AP1532)&lt;&gt;"",$M1532&lt;&gt;INDEX(職員マスタ!$H$6:$H$405,$AP1532)),"時短終了日がマスタと相違／","")))&amp;IF(AND($B1532&lt;&gt;"",$E1532=""),"報酬額が未入力／","")&amp;IF(N($U1532)&gt;0,"申請書に入力エラーが残っています／","")&amp;IF(AND($B1532&lt;&gt;"",$AQ1532&lt;&gt;""),IF(COUNTIFS($B$6:$B$3005,$B1532,$C$6:$C$3005,$C1532,$D$6:$D$3005,$D1532)&gt;1,"同じ月の請求が重複しています／",""),"")&amp;IF(AND(N($E1532)&gt;0,$AB1532&lt;&gt;"",$AB1532&lt;&gt;"×",$AE1532=0,$AD1532=""),"計算額が下限以下のため不支給／",""))</f>
        <v/>
      </c>
      <c r="AN1532" s="12" t="n"/>
      <c r="AO1532" s="14">
        <f>IF($AF1532="保留中",COUNTIF($AF$6:$AF1532,"保留中"),"")</f>
        <v/>
      </c>
      <c r="AP1532" s="14">
        <f>IF($AQ1532="","",IF(SUMPRODUCT(MAX((職員マスタ!$A$6:$A$405=$B1532)*(((職員マスタ!$G$6:$G$405="")+(職員マスタ!$G$6:$G$405&lt;=EOMONTH($AQ1532,0)))&gt;0)*(((職員マスタ!$H$6:$H$405="")+(職員マスタ!$H$6:$H$405&gt;=$AQ1532))&gt;0)*(ROW(職員マスタ!$A$6:$A$405)-5)))&gt;0,SUMPRODUCT(MAX((職員マスタ!$A$6:$A$405=$B1532)*(((職員マスタ!$G$6:$G$405="")+(職員マスタ!$G$6:$G$405&lt;=EOMONTH($AQ1532,0)))&gt;0)*(((職員マスタ!$H$6:$H$405="")+(職員マスタ!$H$6:$H$405&gt;=$AQ1532))&gt;0)*(ROW(職員マスタ!$A$6:$A$405)-5))),IFERROR(MATCH($B1532,職員マスタ!$A$6:$A$405,0),"")))</f>
        <v/>
      </c>
      <c r="AQ1532" s="16">
        <f>IF(OR($B1532="",$C1532="",$D1532=""),"",DATE($C1532+2018,$D1532,1))</f>
        <v/>
      </c>
    </row>
    <row r="1533">
      <c r="A1533" s="11" t="n"/>
      <c r="B1533" s="12" t="n"/>
      <c r="C1533" s="12" t="n"/>
      <c r="D1533" s="12" t="n"/>
      <c r="E1533" s="13" t="n"/>
      <c r="F1533" s="12" t="n"/>
      <c r="G1533" s="13" t="n"/>
      <c r="H1533" s="12" t="n"/>
      <c r="I1533" s="12" t="n"/>
      <c r="J1533" s="12" t="n"/>
      <c r="K1533" s="12" t="n"/>
      <c r="L1533" s="11" t="n"/>
      <c r="M1533" s="11" t="n"/>
      <c r="N1533" s="11" t="n"/>
      <c r="O1533" s="11" t="n"/>
      <c r="P1533" s="12" t="n"/>
      <c r="Q1533" s="11" t="n"/>
      <c r="R1533" s="12" t="n"/>
      <c r="S1533" s="11" t="n"/>
      <c r="T1533" s="12" t="n"/>
      <c r="U1533" s="12" t="n"/>
      <c r="V1533" s="12" t="n"/>
      <c r="W1533" s="13" t="n"/>
      <c r="X1533" s="14">
        <f>IF($AP1533="",IF($B1533="","",$H1533),IF(INDEX(職員マスタ!$B$6:$B$405,$AP1533)="",$H1533,INDEX(職員マスタ!$B$6:$B$405,$AP1533)))</f>
        <v/>
      </c>
      <c r="Y1533" s="14">
        <f>IF($AP1533="",IF($B1533="","",$R1533),IF(INDEX(職員マスタ!$C$6:$C$405,$AP1533)="",$R1533,INDEX(職員マスタ!$C$6:$C$405,$AP1533)))</f>
        <v/>
      </c>
      <c r="Z1533" s="14">
        <f>IF($AQ1533="","","R"&amp;$C1533&amp;"."&amp;$D1533)</f>
        <v/>
      </c>
      <c r="AA1533" s="15">
        <f>IF(IF($AP1533="",FALSE,INDEX(職員マスタ!$K$6:$K$405,$AP1533)&lt;&gt;""),INDEX(職員マスタ!$K$6:$K$405,$AP1533),IF(N($W1533)&gt;0,$W1533,""))</f>
        <v/>
      </c>
      <c r="AB1533" s="14">
        <f>IF(OR($E1533="",$AA1533=""),"",IF($E1533&gt;=$AA1533,"×",IF($E1533&gt;=$AA1533*設定!$C$5,"△","○")))</f>
        <v/>
      </c>
      <c r="AC1533" s="15">
        <f>IF($AB1533="","",IF($AB1533="×",0,IF($AB1533="○",ROUNDDOWN($E1533*設定!$C$4,0),ROUNDDOWN($E1533*ROUND((9*$AA1533-9*$E1533)/(10*$E1533),4),0))))</f>
        <v/>
      </c>
      <c r="AD1533" s="13" t="n"/>
      <c r="AE1533" s="15">
        <f>IF($B1533="","",IF($AD1533&lt;&gt;"",$AD1533,IF($AC1533="","",IF($AC1533&lt;=設定!$C$3,0,$AC1533))))</f>
        <v/>
      </c>
      <c r="AF1533" s="14">
        <f>IF($B1533="","",IF(AND($AG1533&lt;&gt;"",$AI1533="",$AL1533=""),"保留中",IF($AL1533&lt;&gt;"",IF(N($AE1533)&gt;0,"支給済","不支給"),IF($AE1533="","要確認",IF($AE1533=0,"不支給","未処理")))))</f>
        <v/>
      </c>
      <c r="AG1533" s="12" t="n"/>
      <c r="AH1533" s="11" t="n"/>
      <c r="AI1533" s="11" t="n"/>
      <c r="AJ1533" s="11" t="n"/>
      <c r="AK1533" s="14">
        <f>IF(AND($AF1533="保留中",$AH1533&lt;&gt;""),TODAY()-$AH1533,"")</f>
        <v/>
      </c>
      <c r="AL1533" s="12" t="n"/>
      <c r="AM1533" s="14">
        <f>IF($B1533="","",IF($AQ1533="","対象年月が未入力／","")&amp;IF($B1533="","",IF($AP1533="","職員マスタに未登録の職員番号／",IF($AA1533="","標準報酬月額が未登録／","")&amp;IF(AND($AQ1533&lt;&gt;"",OR(AND(INDEX(職員マスタ!$G$6:$G$405,$AP1533)&lt;&gt;"",INDEX(職員マスタ!$G$6:$G$405,$AP1533)&gt;EOMONTH($AQ1533,0)),AND(INDEX(職員マスタ!$H$6:$H$405,$AP1533)&lt;&gt;"",INDEX(職員マスタ!$H$6:$H$405,$AP1533)&lt;$AQ1533))),"対象月が時短期間外／","")&amp;IF(AND(INDEX(職員マスタ!$K$6:$K$405,$AP1533)&lt;&gt;"",N($W1533)&gt;0,INDEX(職員マスタ!$K$6:$K$405,$AP1533)&lt;&gt;$W1533),"標準報酬月額が申請書と相違（台帳"&amp;TEXT(INDEX(職員マスタ!$K$6:$K$405,$AP1533),"#,##0")&amp;"円／申請書"&amp;TEXT($W1533,"#,##0")&amp;"円）／","")&amp;IF(AND(INDEX(職員マスタ!$F$6:$F$405,$AP1533)&lt;&gt;"",$AQ1533&lt;&gt;"",INDEX(職員マスタ!$F$6:$F$405,$AP1533)&lt;$AQ1533),"対象月に子が2歳到達済／","")&amp;IF(AND($H1533&lt;&gt;"",INDEX(職員マスタ!$B$6:$B$405,$AP1533)&lt;&gt;"",SUBSTITUTE(SUBSTITUTE($H1533," ","")," ","")&lt;&gt;SUBSTITUTE(SUBSTITUTE(INDEX(職員マスタ!$B$6:$B$405,$AP1533)," ","")," ","")),"氏名がマスタと相違／","")&amp;IF(AND($Q1533&lt;&gt;"",INDEX(職員マスタ!$E$6:$E$405,$AP1533)&lt;&gt;"",$Q1533&lt;&gt;INDEX(職員マスタ!$E$6:$E$405,$AP1533)),"子の生年月日がマスタと相違／","")&amp;IF(AND($L1533&lt;&gt;"",INDEX(職員マスタ!$G$6:$G$405,$AP1533)&lt;&gt;"",$L1533&lt;&gt;INDEX(職員マスタ!$G$6:$G$405,$AP1533)),"時短開始日がマスタと相違／","")&amp;IF(AND($M1533&lt;&gt;"",INDEX(職員マスタ!$H$6:$H$405,$AP1533)&lt;&gt;"",$M1533&lt;&gt;INDEX(職員マスタ!$H$6:$H$405,$AP1533)),"時短終了日がマスタと相違／","")))&amp;IF(AND($B1533&lt;&gt;"",$E1533=""),"報酬額が未入力／","")&amp;IF(N($U1533)&gt;0,"申請書に入力エラーが残っています／","")&amp;IF(AND($B1533&lt;&gt;"",$AQ1533&lt;&gt;""),IF(COUNTIFS($B$6:$B$3005,$B1533,$C$6:$C$3005,$C1533,$D$6:$D$3005,$D1533)&gt;1,"同じ月の請求が重複しています／",""),"")&amp;IF(AND(N($E1533)&gt;0,$AB1533&lt;&gt;"",$AB1533&lt;&gt;"×",$AE1533=0,$AD1533=""),"計算額が下限以下のため不支給／",""))</f>
        <v/>
      </c>
      <c r="AN1533" s="12" t="n"/>
      <c r="AO1533" s="14">
        <f>IF($AF1533="保留中",COUNTIF($AF$6:$AF1533,"保留中"),"")</f>
        <v/>
      </c>
      <c r="AP1533" s="14">
        <f>IF($AQ1533="","",IF(SUMPRODUCT(MAX((職員マスタ!$A$6:$A$405=$B1533)*(((職員マスタ!$G$6:$G$405="")+(職員マスタ!$G$6:$G$405&lt;=EOMONTH($AQ1533,0)))&gt;0)*(((職員マスタ!$H$6:$H$405="")+(職員マスタ!$H$6:$H$405&gt;=$AQ1533))&gt;0)*(ROW(職員マスタ!$A$6:$A$405)-5)))&gt;0,SUMPRODUCT(MAX((職員マスタ!$A$6:$A$405=$B1533)*(((職員マスタ!$G$6:$G$405="")+(職員マスタ!$G$6:$G$405&lt;=EOMONTH($AQ1533,0)))&gt;0)*(((職員マスタ!$H$6:$H$405="")+(職員マスタ!$H$6:$H$405&gt;=$AQ1533))&gt;0)*(ROW(職員マスタ!$A$6:$A$405)-5))),IFERROR(MATCH($B1533,職員マスタ!$A$6:$A$405,0),"")))</f>
        <v/>
      </c>
      <c r="AQ1533" s="16">
        <f>IF(OR($B1533="",$C1533="",$D1533=""),"",DATE($C1533+2018,$D1533,1))</f>
        <v/>
      </c>
    </row>
    <row r="1534">
      <c r="A1534" s="11" t="n"/>
      <c r="B1534" s="12" t="n"/>
      <c r="C1534" s="12" t="n"/>
      <c r="D1534" s="12" t="n"/>
      <c r="E1534" s="13" t="n"/>
      <c r="F1534" s="12" t="n"/>
      <c r="G1534" s="13" t="n"/>
      <c r="H1534" s="12" t="n"/>
      <c r="I1534" s="12" t="n"/>
      <c r="J1534" s="12" t="n"/>
      <c r="K1534" s="12" t="n"/>
      <c r="L1534" s="11" t="n"/>
      <c r="M1534" s="11" t="n"/>
      <c r="N1534" s="11" t="n"/>
      <c r="O1534" s="11" t="n"/>
      <c r="P1534" s="12" t="n"/>
      <c r="Q1534" s="11" t="n"/>
      <c r="R1534" s="12" t="n"/>
      <c r="S1534" s="11" t="n"/>
      <c r="T1534" s="12" t="n"/>
      <c r="U1534" s="12" t="n"/>
      <c r="V1534" s="12" t="n"/>
      <c r="W1534" s="13" t="n"/>
      <c r="X1534" s="14">
        <f>IF($AP1534="",IF($B1534="","",$H1534),IF(INDEX(職員マスタ!$B$6:$B$405,$AP1534)="",$H1534,INDEX(職員マスタ!$B$6:$B$405,$AP1534)))</f>
        <v/>
      </c>
      <c r="Y1534" s="14">
        <f>IF($AP1534="",IF($B1534="","",$R1534),IF(INDEX(職員マスタ!$C$6:$C$405,$AP1534)="",$R1534,INDEX(職員マスタ!$C$6:$C$405,$AP1534)))</f>
        <v/>
      </c>
      <c r="Z1534" s="14">
        <f>IF($AQ1534="","","R"&amp;$C1534&amp;"."&amp;$D1534)</f>
        <v/>
      </c>
      <c r="AA1534" s="15">
        <f>IF(IF($AP1534="",FALSE,INDEX(職員マスタ!$K$6:$K$405,$AP1534)&lt;&gt;""),INDEX(職員マスタ!$K$6:$K$405,$AP1534),IF(N($W1534)&gt;0,$W1534,""))</f>
        <v/>
      </c>
      <c r="AB1534" s="14">
        <f>IF(OR($E1534="",$AA1534=""),"",IF($E1534&gt;=$AA1534,"×",IF($E1534&gt;=$AA1534*設定!$C$5,"△","○")))</f>
        <v/>
      </c>
      <c r="AC1534" s="15">
        <f>IF($AB1534="","",IF($AB1534="×",0,IF($AB1534="○",ROUNDDOWN($E1534*設定!$C$4,0),ROUNDDOWN($E1534*ROUND((9*$AA1534-9*$E1534)/(10*$E1534),4),0))))</f>
        <v/>
      </c>
      <c r="AD1534" s="13" t="n"/>
      <c r="AE1534" s="15">
        <f>IF($B1534="","",IF($AD1534&lt;&gt;"",$AD1534,IF($AC1534="","",IF($AC1534&lt;=設定!$C$3,0,$AC1534))))</f>
        <v/>
      </c>
      <c r="AF1534" s="14">
        <f>IF($B1534="","",IF(AND($AG1534&lt;&gt;"",$AI1534="",$AL1534=""),"保留中",IF($AL1534&lt;&gt;"",IF(N($AE1534)&gt;0,"支給済","不支給"),IF($AE1534="","要確認",IF($AE1534=0,"不支給","未処理")))))</f>
        <v/>
      </c>
      <c r="AG1534" s="12" t="n"/>
      <c r="AH1534" s="11" t="n"/>
      <c r="AI1534" s="11" t="n"/>
      <c r="AJ1534" s="11" t="n"/>
      <c r="AK1534" s="14">
        <f>IF(AND($AF1534="保留中",$AH1534&lt;&gt;""),TODAY()-$AH1534,"")</f>
        <v/>
      </c>
      <c r="AL1534" s="12" t="n"/>
      <c r="AM1534" s="14">
        <f>IF($B1534="","",IF($AQ1534="","対象年月が未入力／","")&amp;IF($B1534="","",IF($AP1534="","職員マスタに未登録の職員番号／",IF($AA1534="","標準報酬月額が未登録／","")&amp;IF(AND($AQ1534&lt;&gt;"",OR(AND(INDEX(職員マスタ!$G$6:$G$405,$AP1534)&lt;&gt;"",INDEX(職員マスタ!$G$6:$G$405,$AP1534)&gt;EOMONTH($AQ1534,0)),AND(INDEX(職員マスタ!$H$6:$H$405,$AP1534)&lt;&gt;"",INDEX(職員マスタ!$H$6:$H$405,$AP1534)&lt;$AQ1534))),"対象月が時短期間外／","")&amp;IF(AND(INDEX(職員マスタ!$K$6:$K$405,$AP1534)&lt;&gt;"",N($W1534)&gt;0,INDEX(職員マスタ!$K$6:$K$405,$AP1534)&lt;&gt;$W1534),"標準報酬月額が申請書と相違（台帳"&amp;TEXT(INDEX(職員マスタ!$K$6:$K$405,$AP1534),"#,##0")&amp;"円／申請書"&amp;TEXT($W1534,"#,##0")&amp;"円）／","")&amp;IF(AND(INDEX(職員マスタ!$F$6:$F$405,$AP1534)&lt;&gt;"",$AQ1534&lt;&gt;"",INDEX(職員マスタ!$F$6:$F$405,$AP1534)&lt;$AQ1534),"対象月に子が2歳到達済／","")&amp;IF(AND($H1534&lt;&gt;"",INDEX(職員マスタ!$B$6:$B$405,$AP1534)&lt;&gt;"",SUBSTITUTE(SUBSTITUTE($H1534," ","")," ","")&lt;&gt;SUBSTITUTE(SUBSTITUTE(INDEX(職員マスタ!$B$6:$B$405,$AP1534)," ","")," ","")),"氏名がマスタと相違／","")&amp;IF(AND($Q1534&lt;&gt;"",INDEX(職員マスタ!$E$6:$E$405,$AP1534)&lt;&gt;"",$Q1534&lt;&gt;INDEX(職員マスタ!$E$6:$E$405,$AP1534)),"子の生年月日がマスタと相違／","")&amp;IF(AND($L1534&lt;&gt;"",INDEX(職員マスタ!$G$6:$G$405,$AP1534)&lt;&gt;"",$L1534&lt;&gt;INDEX(職員マスタ!$G$6:$G$405,$AP1534)),"時短開始日がマスタと相違／","")&amp;IF(AND($M1534&lt;&gt;"",INDEX(職員マスタ!$H$6:$H$405,$AP1534)&lt;&gt;"",$M1534&lt;&gt;INDEX(職員マスタ!$H$6:$H$405,$AP1534)),"時短終了日がマスタと相違／","")))&amp;IF(AND($B1534&lt;&gt;"",$E1534=""),"報酬額が未入力／","")&amp;IF(N($U1534)&gt;0,"申請書に入力エラーが残っています／","")&amp;IF(AND($B1534&lt;&gt;"",$AQ1534&lt;&gt;""),IF(COUNTIFS($B$6:$B$3005,$B1534,$C$6:$C$3005,$C1534,$D$6:$D$3005,$D1534)&gt;1,"同じ月の請求が重複しています／",""),"")&amp;IF(AND(N($E1534)&gt;0,$AB1534&lt;&gt;"",$AB1534&lt;&gt;"×",$AE1534=0,$AD1534=""),"計算額が下限以下のため不支給／",""))</f>
        <v/>
      </c>
      <c r="AN1534" s="12" t="n"/>
      <c r="AO1534" s="14">
        <f>IF($AF1534="保留中",COUNTIF($AF$6:$AF1534,"保留中"),"")</f>
        <v/>
      </c>
      <c r="AP1534" s="14">
        <f>IF($AQ1534="","",IF(SUMPRODUCT(MAX((職員マスタ!$A$6:$A$405=$B1534)*(((職員マスタ!$G$6:$G$405="")+(職員マスタ!$G$6:$G$405&lt;=EOMONTH($AQ1534,0)))&gt;0)*(((職員マスタ!$H$6:$H$405="")+(職員マスタ!$H$6:$H$405&gt;=$AQ1534))&gt;0)*(ROW(職員マスタ!$A$6:$A$405)-5)))&gt;0,SUMPRODUCT(MAX((職員マスタ!$A$6:$A$405=$B1534)*(((職員マスタ!$G$6:$G$405="")+(職員マスタ!$G$6:$G$405&lt;=EOMONTH($AQ1534,0)))&gt;0)*(((職員マスタ!$H$6:$H$405="")+(職員マスタ!$H$6:$H$405&gt;=$AQ1534))&gt;0)*(ROW(職員マスタ!$A$6:$A$405)-5))),IFERROR(MATCH($B1534,職員マスタ!$A$6:$A$405,0),"")))</f>
        <v/>
      </c>
      <c r="AQ1534" s="16">
        <f>IF(OR($B1534="",$C1534="",$D1534=""),"",DATE($C1534+2018,$D1534,1))</f>
        <v/>
      </c>
    </row>
    <row r="1535">
      <c r="A1535" s="11" t="n"/>
      <c r="B1535" s="12" t="n"/>
      <c r="C1535" s="12" t="n"/>
      <c r="D1535" s="12" t="n"/>
      <c r="E1535" s="13" t="n"/>
      <c r="F1535" s="12" t="n"/>
      <c r="G1535" s="13" t="n"/>
      <c r="H1535" s="12" t="n"/>
      <c r="I1535" s="12" t="n"/>
      <c r="J1535" s="12" t="n"/>
      <c r="K1535" s="12" t="n"/>
      <c r="L1535" s="11" t="n"/>
      <c r="M1535" s="11" t="n"/>
      <c r="N1535" s="11" t="n"/>
      <c r="O1535" s="11" t="n"/>
      <c r="P1535" s="12" t="n"/>
      <c r="Q1535" s="11" t="n"/>
      <c r="R1535" s="12" t="n"/>
      <c r="S1535" s="11" t="n"/>
      <c r="T1535" s="12" t="n"/>
      <c r="U1535" s="12" t="n"/>
      <c r="V1535" s="12" t="n"/>
      <c r="W1535" s="13" t="n"/>
      <c r="X1535" s="14">
        <f>IF($AP1535="",IF($B1535="","",$H1535),IF(INDEX(職員マスタ!$B$6:$B$405,$AP1535)="",$H1535,INDEX(職員マスタ!$B$6:$B$405,$AP1535)))</f>
        <v/>
      </c>
      <c r="Y1535" s="14">
        <f>IF($AP1535="",IF($B1535="","",$R1535),IF(INDEX(職員マスタ!$C$6:$C$405,$AP1535)="",$R1535,INDEX(職員マスタ!$C$6:$C$405,$AP1535)))</f>
        <v/>
      </c>
      <c r="Z1535" s="14">
        <f>IF($AQ1535="","","R"&amp;$C1535&amp;"."&amp;$D1535)</f>
        <v/>
      </c>
      <c r="AA1535" s="15">
        <f>IF(IF($AP1535="",FALSE,INDEX(職員マスタ!$K$6:$K$405,$AP1535)&lt;&gt;""),INDEX(職員マスタ!$K$6:$K$405,$AP1535),IF(N($W1535)&gt;0,$W1535,""))</f>
        <v/>
      </c>
      <c r="AB1535" s="14">
        <f>IF(OR($E1535="",$AA1535=""),"",IF($E1535&gt;=$AA1535,"×",IF($E1535&gt;=$AA1535*設定!$C$5,"△","○")))</f>
        <v/>
      </c>
      <c r="AC1535" s="15">
        <f>IF($AB1535="","",IF($AB1535="×",0,IF($AB1535="○",ROUNDDOWN($E1535*設定!$C$4,0),ROUNDDOWN($E1535*ROUND((9*$AA1535-9*$E1535)/(10*$E1535),4),0))))</f>
        <v/>
      </c>
      <c r="AD1535" s="13" t="n"/>
      <c r="AE1535" s="15">
        <f>IF($B1535="","",IF($AD1535&lt;&gt;"",$AD1535,IF($AC1535="","",IF($AC1535&lt;=設定!$C$3,0,$AC1535))))</f>
        <v/>
      </c>
      <c r="AF1535" s="14">
        <f>IF($B1535="","",IF(AND($AG1535&lt;&gt;"",$AI1535="",$AL1535=""),"保留中",IF($AL1535&lt;&gt;"",IF(N($AE1535)&gt;0,"支給済","不支給"),IF($AE1535="","要確認",IF($AE1535=0,"不支給","未処理")))))</f>
        <v/>
      </c>
      <c r="AG1535" s="12" t="n"/>
      <c r="AH1535" s="11" t="n"/>
      <c r="AI1535" s="11" t="n"/>
      <c r="AJ1535" s="11" t="n"/>
      <c r="AK1535" s="14">
        <f>IF(AND($AF1535="保留中",$AH1535&lt;&gt;""),TODAY()-$AH1535,"")</f>
        <v/>
      </c>
      <c r="AL1535" s="12" t="n"/>
      <c r="AM1535" s="14">
        <f>IF($B1535="","",IF($AQ1535="","対象年月が未入力／","")&amp;IF($B1535="","",IF($AP1535="","職員マスタに未登録の職員番号／",IF($AA1535="","標準報酬月額が未登録／","")&amp;IF(AND($AQ1535&lt;&gt;"",OR(AND(INDEX(職員マスタ!$G$6:$G$405,$AP1535)&lt;&gt;"",INDEX(職員マスタ!$G$6:$G$405,$AP1535)&gt;EOMONTH($AQ1535,0)),AND(INDEX(職員マスタ!$H$6:$H$405,$AP1535)&lt;&gt;"",INDEX(職員マスタ!$H$6:$H$405,$AP1535)&lt;$AQ1535))),"対象月が時短期間外／","")&amp;IF(AND(INDEX(職員マスタ!$K$6:$K$405,$AP1535)&lt;&gt;"",N($W1535)&gt;0,INDEX(職員マスタ!$K$6:$K$405,$AP1535)&lt;&gt;$W1535),"標準報酬月額が申請書と相違（台帳"&amp;TEXT(INDEX(職員マスタ!$K$6:$K$405,$AP1535),"#,##0")&amp;"円／申請書"&amp;TEXT($W1535,"#,##0")&amp;"円）／","")&amp;IF(AND(INDEX(職員マスタ!$F$6:$F$405,$AP1535)&lt;&gt;"",$AQ1535&lt;&gt;"",INDEX(職員マスタ!$F$6:$F$405,$AP1535)&lt;$AQ1535),"対象月に子が2歳到達済／","")&amp;IF(AND($H1535&lt;&gt;"",INDEX(職員マスタ!$B$6:$B$405,$AP1535)&lt;&gt;"",SUBSTITUTE(SUBSTITUTE($H1535," ","")," ","")&lt;&gt;SUBSTITUTE(SUBSTITUTE(INDEX(職員マスタ!$B$6:$B$405,$AP1535)," ","")," ","")),"氏名がマスタと相違／","")&amp;IF(AND($Q1535&lt;&gt;"",INDEX(職員マスタ!$E$6:$E$405,$AP1535)&lt;&gt;"",$Q1535&lt;&gt;INDEX(職員マスタ!$E$6:$E$405,$AP1535)),"子の生年月日がマスタと相違／","")&amp;IF(AND($L1535&lt;&gt;"",INDEX(職員マスタ!$G$6:$G$405,$AP1535)&lt;&gt;"",$L1535&lt;&gt;INDEX(職員マスタ!$G$6:$G$405,$AP1535)),"時短開始日がマスタと相違／","")&amp;IF(AND($M1535&lt;&gt;"",INDEX(職員マスタ!$H$6:$H$405,$AP1535)&lt;&gt;"",$M1535&lt;&gt;INDEX(職員マスタ!$H$6:$H$405,$AP1535)),"時短終了日がマスタと相違／","")))&amp;IF(AND($B1535&lt;&gt;"",$E1535=""),"報酬額が未入力／","")&amp;IF(N($U1535)&gt;0,"申請書に入力エラーが残っています／","")&amp;IF(AND($B1535&lt;&gt;"",$AQ1535&lt;&gt;""),IF(COUNTIFS($B$6:$B$3005,$B1535,$C$6:$C$3005,$C1535,$D$6:$D$3005,$D1535)&gt;1,"同じ月の請求が重複しています／",""),"")&amp;IF(AND(N($E1535)&gt;0,$AB1535&lt;&gt;"",$AB1535&lt;&gt;"×",$AE1535=0,$AD1535=""),"計算額が下限以下のため不支給／",""))</f>
        <v/>
      </c>
      <c r="AN1535" s="12" t="n"/>
      <c r="AO1535" s="14">
        <f>IF($AF1535="保留中",COUNTIF($AF$6:$AF1535,"保留中"),"")</f>
        <v/>
      </c>
      <c r="AP1535" s="14">
        <f>IF($AQ1535="","",IF(SUMPRODUCT(MAX((職員マスタ!$A$6:$A$405=$B1535)*(((職員マスタ!$G$6:$G$405="")+(職員マスタ!$G$6:$G$405&lt;=EOMONTH($AQ1535,0)))&gt;0)*(((職員マスタ!$H$6:$H$405="")+(職員マスタ!$H$6:$H$405&gt;=$AQ1535))&gt;0)*(ROW(職員マスタ!$A$6:$A$405)-5)))&gt;0,SUMPRODUCT(MAX((職員マスタ!$A$6:$A$405=$B1535)*(((職員マスタ!$G$6:$G$405="")+(職員マスタ!$G$6:$G$405&lt;=EOMONTH($AQ1535,0)))&gt;0)*(((職員マスタ!$H$6:$H$405="")+(職員マスタ!$H$6:$H$405&gt;=$AQ1535))&gt;0)*(ROW(職員マスタ!$A$6:$A$405)-5))),IFERROR(MATCH($B1535,職員マスタ!$A$6:$A$405,0),"")))</f>
        <v/>
      </c>
      <c r="AQ1535" s="16">
        <f>IF(OR($B1535="",$C1535="",$D1535=""),"",DATE($C1535+2018,$D1535,1))</f>
        <v/>
      </c>
    </row>
    <row r="1536">
      <c r="A1536" s="11" t="n"/>
      <c r="B1536" s="12" t="n"/>
      <c r="C1536" s="12" t="n"/>
      <c r="D1536" s="12" t="n"/>
      <c r="E1536" s="13" t="n"/>
      <c r="F1536" s="12" t="n"/>
      <c r="G1536" s="13" t="n"/>
      <c r="H1536" s="12" t="n"/>
      <c r="I1536" s="12" t="n"/>
      <c r="J1536" s="12" t="n"/>
      <c r="K1536" s="12" t="n"/>
      <c r="L1536" s="11" t="n"/>
      <c r="M1536" s="11" t="n"/>
      <c r="N1536" s="11" t="n"/>
      <c r="O1536" s="11" t="n"/>
      <c r="P1536" s="12" t="n"/>
      <c r="Q1536" s="11" t="n"/>
      <c r="R1536" s="12" t="n"/>
      <c r="S1536" s="11" t="n"/>
      <c r="T1536" s="12" t="n"/>
      <c r="U1536" s="12" t="n"/>
      <c r="V1536" s="12" t="n"/>
      <c r="W1536" s="13" t="n"/>
      <c r="X1536" s="14">
        <f>IF($AP1536="",IF($B1536="","",$H1536),IF(INDEX(職員マスタ!$B$6:$B$405,$AP1536)="",$H1536,INDEX(職員マスタ!$B$6:$B$405,$AP1536)))</f>
        <v/>
      </c>
      <c r="Y1536" s="14">
        <f>IF($AP1536="",IF($B1536="","",$R1536),IF(INDEX(職員マスタ!$C$6:$C$405,$AP1536)="",$R1536,INDEX(職員マスタ!$C$6:$C$405,$AP1536)))</f>
        <v/>
      </c>
      <c r="Z1536" s="14">
        <f>IF($AQ1536="","","R"&amp;$C1536&amp;"."&amp;$D1536)</f>
        <v/>
      </c>
      <c r="AA1536" s="15">
        <f>IF(IF($AP1536="",FALSE,INDEX(職員マスタ!$K$6:$K$405,$AP1536)&lt;&gt;""),INDEX(職員マスタ!$K$6:$K$405,$AP1536),IF(N($W1536)&gt;0,$W1536,""))</f>
        <v/>
      </c>
      <c r="AB1536" s="14">
        <f>IF(OR($E1536="",$AA1536=""),"",IF($E1536&gt;=$AA1536,"×",IF($E1536&gt;=$AA1536*設定!$C$5,"△","○")))</f>
        <v/>
      </c>
      <c r="AC1536" s="15">
        <f>IF($AB1536="","",IF($AB1536="×",0,IF($AB1536="○",ROUNDDOWN($E1536*設定!$C$4,0),ROUNDDOWN($E1536*ROUND((9*$AA1536-9*$E1536)/(10*$E1536),4),0))))</f>
        <v/>
      </c>
      <c r="AD1536" s="13" t="n"/>
      <c r="AE1536" s="15">
        <f>IF($B1536="","",IF($AD1536&lt;&gt;"",$AD1536,IF($AC1536="","",IF($AC1536&lt;=設定!$C$3,0,$AC1536))))</f>
        <v/>
      </c>
      <c r="AF1536" s="14">
        <f>IF($B1536="","",IF(AND($AG1536&lt;&gt;"",$AI1536="",$AL1536=""),"保留中",IF($AL1536&lt;&gt;"",IF(N($AE1536)&gt;0,"支給済","不支給"),IF($AE1536="","要確認",IF($AE1536=0,"不支給","未処理")))))</f>
        <v/>
      </c>
      <c r="AG1536" s="12" t="n"/>
      <c r="AH1536" s="11" t="n"/>
      <c r="AI1536" s="11" t="n"/>
      <c r="AJ1536" s="11" t="n"/>
      <c r="AK1536" s="14">
        <f>IF(AND($AF1536="保留中",$AH1536&lt;&gt;""),TODAY()-$AH1536,"")</f>
        <v/>
      </c>
      <c r="AL1536" s="12" t="n"/>
      <c r="AM1536" s="14">
        <f>IF($B1536="","",IF($AQ1536="","対象年月が未入力／","")&amp;IF($B1536="","",IF($AP1536="","職員マスタに未登録の職員番号／",IF($AA1536="","標準報酬月額が未登録／","")&amp;IF(AND($AQ1536&lt;&gt;"",OR(AND(INDEX(職員マスタ!$G$6:$G$405,$AP1536)&lt;&gt;"",INDEX(職員マスタ!$G$6:$G$405,$AP1536)&gt;EOMONTH($AQ1536,0)),AND(INDEX(職員マスタ!$H$6:$H$405,$AP1536)&lt;&gt;"",INDEX(職員マスタ!$H$6:$H$405,$AP1536)&lt;$AQ1536))),"対象月が時短期間外／","")&amp;IF(AND(INDEX(職員マスタ!$K$6:$K$405,$AP1536)&lt;&gt;"",N($W1536)&gt;0,INDEX(職員マスタ!$K$6:$K$405,$AP1536)&lt;&gt;$W1536),"標準報酬月額が申請書と相違（台帳"&amp;TEXT(INDEX(職員マスタ!$K$6:$K$405,$AP1536),"#,##0")&amp;"円／申請書"&amp;TEXT($W1536,"#,##0")&amp;"円）／","")&amp;IF(AND(INDEX(職員マスタ!$F$6:$F$405,$AP1536)&lt;&gt;"",$AQ1536&lt;&gt;"",INDEX(職員マスタ!$F$6:$F$405,$AP1536)&lt;$AQ1536),"対象月に子が2歳到達済／","")&amp;IF(AND($H1536&lt;&gt;"",INDEX(職員マスタ!$B$6:$B$405,$AP1536)&lt;&gt;"",SUBSTITUTE(SUBSTITUTE($H1536," ","")," ","")&lt;&gt;SUBSTITUTE(SUBSTITUTE(INDEX(職員マスタ!$B$6:$B$405,$AP1536)," ","")," ","")),"氏名がマスタと相違／","")&amp;IF(AND($Q1536&lt;&gt;"",INDEX(職員マスタ!$E$6:$E$405,$AP1536)&lt;&gt;"",$Q1536&lt;&gt;INDEX(職員マスタ!$E$6:$E$405,$AP1536)),"子の生年月日がマスタと相違／","")&amp;IF(AND($L1536&lt;&gt;"",INDEX(職員マスタ!$G$6:$G$405,$AP1536)&lt;&gt;"",$L1536&lt;&gt;INDEX(職員マスタ!$G$6:$G$405,$AP1536)),"時短開始日がマスタと相違／","")&amp;IF(AND($M1536&lt;&gt;"",INDEX(職員マスタ!$H$6:$H$405,$AP1536)&lt;&gt;"",$M1536&lt;&gt;INDEX(職員マスタ!$H$6:$H$405,$AP1536)),"時短終了日がマスタと相違／","")))&amp;IF(AND($B1536&lt;&gt;"",$E1536=""),"報酬額が未入力／","")&amp;IF(N($U1536)&gt;0,"申請書に入力エラーが残っています／","")&amp;IF(AND($B1536&lt;&gt;"",$AQ1536&lt;&gt;""),IF(COUNTIFS($B$6:$B$3005,$B1536,$C$6:$C$3005,$C1536,$D$6:$D$3005,$D1536)&gt;1,"同じ月の請求が重複しています／",""),"")&amp;IF(AND(N($E1536)&gt;0,$AB1536&lt;&gt;"",$AB1536&lt;&gt;"×",$AE1536=0,$AD1536=""),"計算額が下限以下のため不支給／",""))</f>
        <v/>
      </c>
      <c r="AN1536" s="12" t="n"/>
      <c r="AO1536" s="14">
        <f>IF($AF1536="保留中",COUNTIF($AF$6:$AF1536,"保留中"),"")</f>
        <v/>
      </c>
      <c r="AP1536" s="14">
        <f>IF($AQ1536="","",IF(SUMPRODUCT(MAX((職員マスタ!$A$6:$A$405=$B1536)*(((職員マスタ!$G$6:$G$405="")+(職員マスタ!$G$6:$G$405&lt;=EOMONTH($AQ1536,0)))&gt;0)*(((職員マスタ!$H$6:$H$405="")+(職員マスタ!$H$6:$H$405&gt;=$AQ1536))&gt;0)*(ROW(職員マスタ!$A$6:$A$405)-5)))&gt;0,SUMPRODUCT(MAX((職員マスタ!$A$6:$A$405=$B1536)*(((職員マスタ!$G$6:$G$405="")+(職員マスタ!$G$6:$G$405&lt;=EOMONTH($AQ1536,0)))&gt;0)*(((職員マスタ!$H$6:$H$405="")+(職員マスタ!$H$6:$H$405&gt;=$AQ1536))&gt;0)*(ROW(職員マスタ!$A$6:$A$405)-5))),IFERROR(MATCH($B1536,職員マスタ!$A$6:$A$405,0),"")))</f>
        <v/>
      </c>
      <c r="AQ1536" s="16">
        <f>IF(OR($B1536="",$C1536="",$D1536=""),"",DATE($C1536+2018,$D1536,1))</f>
        <v/>
      </c>
    </row>
    <row r="1537">
      <c r="A1537" s="11" t="n"/>
      <c r="B1537" s="12" t="n"/>
      <c r="C1537" s="12" t="n"/>
      <c r="D1537" s="12" t="n"/>
      <c r="E1537" s="13" t="n"/>
      <c r="F1537" s="12" t="n"/>
      <c r="G1537" s="13" t="n"/>
      <c r="H1537" s="12" t="n"/>
      <c r="I1537" s="12" t="n"/>
      <c r="J1537" s="12" t="n"/>
      <c r="K1537" s="12" t="n"/>
      <c r="L1537" s="11" t="n"/>
      <c r="M1537" s="11" t="n"/>
      <c r="N1537" s="11" t="n"/>
      <c r="O1537" s="11" t="n"/>
      <c r="P1537" s="12" t="n"/>
      <c r="Q1537" s="11" t="n"/>
      <c r="R1537" s="12" t="n"/>
      <c r="S1537" s="11" t="n"/>
      <c r="T1537" s="12" t="n"/>
      <c r="U1537" s="12" t="n"/>
      <c r="V1537" s="12" t="n"/>
      <c r="W1537" s="13" t="n"/>
      <c r="X1537" s="14">
        <f>IF($AP1537="",IF($B1537="","",$H1537),IF(INDEX(職員マスタ!$B$6:$B$405,$AP1537)="",$H1537,INDEX(職員マスタ!$B$6:$B$405,$AP1537)))</f>
        <v/>
      </c>
      <c r="Y1537" s="14">
        <f>IF($AP1537="",IF($B1537="","",$R1537),IF(INDEX(職員マスタ!$C$6:$C$405,$AP1537)="",$R1537,INDEX(職員マスタ!$C$6:$C$405,$AP1537)))</f>
        <v/>
      </c>
      <c r="Z1537" s="14">
        <f>IF($AQ1537="","","R"&amp;$C1537&amp;"."&amp;$D1537)</f>
        <v/>
      </c>
      <c r="AA1537" s="15">
        <f>IF(IF($AP1537="",FALSE,INDEX(職員マスタ!$K$6:$K$405,$AP1537)&lt;&gt;""),INDEX(職員マスタ!$K$6:$K$405,$AP1537),IF(N($W1537)&gt;0,$W1537,""))</f>
        <v/>
      </c>
      <c r="AB1537" s="14">
        <f>IF(OR($E1537="",$AA1537=""),"",IF($E1537&gt;=$AA1537,"×",IF($E1537&gt;=$AA1537*設定!$C$5,"△","○")))</f>
        <v/>
      </c>
      <c r="AC1537" s="15">
        <f>IF($AB1537="","",IF($AB1537="×",0,IF($AB1537="○",ROUNDDOWN($E1537*設定!$C$4,0),ROUNDDOWN($E1537*ROUND((9*$AA1537-9*$E1537)/(10*$E1537),4),0))))</f>
        <v/>
      </c>
      <c r="AD1537" s="13" t="n"/>
      <c r="AE1537" s="15">
        <f>IF($B1537="","",IF($AD1537&lt;&gt;"",$AD1537,IF($AC1537="","",IF($AC1537&lt;=設定!$C$3,0,$AC1537))))</f>
        <v/>
      </c>
      <c r="AF1537" s="14">
        <f>IF($B1537="","",IF(AND($AG1537&lt;&gt;"",$AI1537="",$AL1537=""),"保留中",IF($AL1537&lt;&gt;"",IF(N($AE1537)&gt;0,"支給済","不支給"),IF($AE1537="","要確認",IF($AE1537=0,"不支給","未処理")))))</f>
        <v/>
      </c>
      <c r="AG1537" s="12" t="n"/>
      <c r="AH1537" s="11" t="n"/>
      <c r="AI1537" s="11" t="n"/>
      <c r="AJ1537" s="11" t="n"/>
      <c r="AK1537" s="14">
        <f>IF(AND($AF1537="保留中",$AH1537&lt;&gt;""),TODAY()-$AH1537,"")</f>
        <v/>
      </c>
      <c r="AL1537" s="12" t="n"/>
      <c r="AM1537" s="14">
        <f>IF($B1537="","",IF($AQ1537="","対象年月が未入力／","")&amp;IF($B1537="","",IF($AP1537="","職員マスタに未登録の職員番号／",IF($AA1537="","標準報酬月額が未登録／","")&amp;IF(AND($AQ1537&lt;&gt;"",OR(AND(INDEX(職員マスタ!$G$6:$G$405,$AP1537)&lt;&gt;"",INDEX(職員マスタ!$G$6:$G$405,$AP1537)&gt;EOMONTH($AQ1537,0)),AND(INDEX(職員マスタ!$H$6:$H$405,$AP1537)&lt;&gt;"",INDEX(職員マスタ!$H$6:$H$405,$AP1537)&lt;$AQ1537))),"対象月が時短期間外／","")&amp;IF(AND(INDEX(職員マスタ!$K$6:$K$405,$AP1537)&lt;&gt;"",N($W1537)&gt;0,INDEX(職員マスタ!$K$6:$K$405,$AP1537)&lt;&gt;$W1537),"標準報酬月額が申請書と相違（台帳"&amp;TEXT(INDEX(職員マスタ!$K$6:$K$405,$AP1537),"#,##0")&amp;"円／申請書"&amp;TEXT($W1537,"#,##0")&amp;"円）／","")&amp;IF(AND(INDEX(職員マスタ!$F$6:$F$405,$AP1537)&lt;&gt;"",$AQ1537&lt;&gt;"",INDEX(職員マスタ!$F$6:$F$405,$AP1537)&lt;$AQ1537),"対象月に子が2歳到達済／","")&amp;IF(AND($H1537&lt;&gt;"",INDEX(職員マスタ!$B$6:$B$405,$AP1537)&lt;&gt;"",SUBSTITUTE(SUBSTITUTE($H1537," ","")," ","")&lt;&gt;SUBSTITUTE(SUBSTITUTE(INDEX(職員マスタ!$B$6:$B$405,$AP1537)," ","")," ","")),"氏名がマスタと相違／","")&amp;IF(AND($Q1537&lt;&gt;"",INDEX(職員マスタ!$E$6:$E$405,$AP1537)&lt;&gt;"",$Q1537&lt;&gt;INDEX(職員マスタ!$E$6:$E$405,$AP1537)),"子の生年月日がマスタと相違／","")&amp;IF(AND($L1537&lt;&gt;"",INDEX(職員マスタ!$G$6:$G$405,$AP1537)&lt;&gt;"",$L1537&lt;&gt;INDEX(職員マスタ!$G$6:$G$405,$AP1537)),"時短開始日がマスタと相違／","")&amp;IF(AND($M1537&lt;&gt;"",INDEX(職員マスタ!$H$6:$H$405,$AP1537)&lt;&gt;"",$M1537&lt;&gt;INDEX(職員マスタ!$H$6:$H$405,$AP1537)),"時短終了日がマスタと相違／","")))&amp;IF(AND($B1537&lt;&gt;"",$E1537=""),"報酬額が未入力／","")&amp;IF(N($U1537)&gt;0,"申請書に入力エラーが残っています／","")&amp;IF(AND($B1537&lt;&gt;"",$AQ1537&lt;&gt;""),IF(COUNTIFS($B$6:$B$3005,$B1537,$C$6:$C$3005,$C1537,$D$6:$D$3005,$D1537)&gt;1,"同じ月の請求が重複しています／",""),"")&amp;IF(AND(N($E1537)&gt;0,$AB1537&lt;&gt;"",$AB1537&lt;&gt;"×",$AE1537=0,$AD1537=""),"計算額が下限以下のため不支給／",""))</f>
        <v/>
      </c>
      <c r="AN1537" s="12" t="n"/>
      <c r="AO1537" s="14">
        <f>IF($AF1537="保留中",COUNTIF($AF$6:$AF1537,"保留中"),"")</f>
        <v/>
      </c>
      <c r="AP1537" s="14">
        <f>IF($AQ1537="","",IF(SUMPRODUCT(MAX((職員マスタ!$A$6:$A$405=$B1537)*(((職員マスタ!$G$6:$G$405="")+(職員マスタ!$G$6:$G$405&lt;=EOMONTH($AQ1537,0)))&gt;0)*(((職員マスタ!$H$6:$H$405="")+(職員マスタ!$H$6:$H$405&gt;=$AQ1537))&gt;0)*(ROW(職員マスタ!$A$6:$A$405)-5)))&gt;0,SUMPRODUCT(MAX((職員マスタ!$A$6:$A$405=$B1537)*(((職員マスタ!$G$6:$G$405="")+(職員マスタ!$G$6:$G$405&lt;=EOMONTH($AQ1537,0)))&gt;0)*(((職員マスタ!$H$6:$H$405="")+(職員マスタ!$H$6:$H$405&gt;=$AQ1537))&gt;0)*(ROW(職員マスタ!$A$6:$A$405)-5))),IFERROR(MATCH($B1537,職員マスタ!$A$6:$A$405,0),"")))</f>
        <v/>
      </c>
      <c r="AQ1537" s="16">
        <f>IF(OR($B1537="",$C1537="",$D1537=""),"",DATE($C1537+2018,$D1537,1))</f>
        <v/>
      </c>
    </row>
    <row r="1538">
      <c r="A1538" s="11" t="n"/>
      <c r="B1538" s="12" t="n"/>
      <c r="C1538" s="12" t="n"/>
      <c r="D1538" s="12" t="n"/>
      <c r="E1538" s="13" t="n"/>
      <c r="F1538" s="12" t="n"/>
      <c r="G1538" s="13" t="n"/>
      <c r="H1538" s="12" t="n"/>
      <c r="I1538" s="12" t="n"/>
      <c r="J1538" s="12" t="n"/>
      <c r="K1538" s="12" t="n"/>
      <c r="L1538" s="11" t="n"/>
      <c r="M1538" s="11" t="n"/>
      <c r="N1538" s="11" t="n"/>
      <c r="O1538" s="11" t="n"/>
      <c r="P1538" s="12" t="n"/>
      <c r="Q1538" s="11" t="n"/>
      <c r="R1538" s="12" t="n"/>
      <c r="S1538" s="11" t="n"/>
      <c r="T1538" s="12" t="n"/>
      <c r="U1538" s="12" t="n"/>
      <c r="V1538" s="12" t="n"/>
      <c r="W1538" s="13" t="n"/>
      <c r="X1538" s="14">
        <f>IF($AP1538="",IF($B1538="","",$H1538),IF(INDEX(職員マスタ!$B$6:$B$405,$AP1538)="",$H1538,INDEX(職員マスタ!$B$6:$B$405,$AP1538)))</f>
        <v/>
      </c>
      <c r="Y1538" s="14">
        <f>IF($AP1538="",IF($B1538="","",$R1538),IF(INDEX(職員マスタ!$C$6:$C$405,$AP1538)="",$R1538,INDEX(職員マスタ!$C$6:$C$405,$AP1538)))</f>
        <v/>
      </c>
      <c r="Z1538" s="14">
        <f>IF($AQ1538="","","R"&amp;$C1538&amp;"."&amp;$D1538)</f>
        <v/>
      </c>
      <c r="AA1538" s="15">
        <f>IF(IF($AP1538="",FALSE,INDEX(職員マスタ!$K$6:$K$405,$AP1538)&lt;&gt;""),INDEX(職員マスタ!$K$6:$K$405,$AP1538),IF(N($W1538)&gt;0,$W1538,""))</f>
        <v/>
      </c>
      <c r="AB1538" s="14">
        <f>IF(OR($E1538="",$AA1538=""),"",IF($E1538&gt;=$AA1538,"×",IF($E1538&gt;=$AA1538*設定!$C$5,"△","○")))</f>
        <v/>
      </c>
      <c r="AC1538" s="15">
        <f>IF($AB1538="","",IF($AB1538="×",0,IF($AB1538="○",ROUNDDOWN($E1538*設定!$C$4,0),ROUNDDOWN($E1538*ROUND((9*$AA1538-9*$E1538)/(10*$E1538),4),0))))</f>
        <v/>
      </c>
      <c r="AD1538" s="13" t="n"/>
      <c r="AE1538" s="15">
        <f>IF($B1538="","",IF($AD1538&lt;&gt;"",$AD1538,IF($AC1538="","",IF($AC1538&lt;=設定!$C$3,0,$AC1538))))</f>
        <v/>
      </c>
      <c r="AF1538" s="14">
        <f>IF($B1538="","",IF(AND($AG1538&lt;&gt;"",$AI1538="",$AL1538=""),"保留中",IF($AL1538&lt;&gt;"",IF(N($AE1538)&gt;0,"支給済","不支給"),IF($AE1538="","要確認",IF($AE1538=0,"不支給","未処理")))))</f>
        <v/>
      </c>
      <c r="AG1538" s="12" t="n"/>
      <c r="AH1538" s="11" t="n"/>
      <c r="AI1538" s="11" t="n"/>
      <c r="AJ1538" s="11" t="n"/>
      <c r="AK1538" s="14">
        <f>IF(AND($AF1538="保留中",$AH1538&lt;&gt;""),TODAY()-$AH1538,"")</f>
        <v/>
      </c>
      <c r="AL1538" s="12" t="n"/>
      <c r="AM1538" s="14">
        <f>IF($B1538="","",IF($AQ1538="","対象年月が未入力／","")&amp;IF($B1538="","",IF($AP1538="","職員マスタに未登録の職員番号／",IF($AA1538="","標準報酬月額が未登録／","")&amp;IF(AND($AQ1538&lt;&gt;"",OR(AND(INDEX(職員マスタ!$G$6:$G$405,$AP1538)&lt;&gt;"",INDEX(職員マスタ!$G$6:$G$405,$AP1538)&gt;EOMONTH($AQ1538,0)),AND(INDEX(職員マスタ!$H$6:$H$405,$AP1538)&lt;&gt;"",INDEX(職員マスタ!$H$6:$H$405,$AP1538)&lt;$AQ1538))),"対象月が時短期間外／","")&amp;IF(AND(INDEX(職員マスタ!$K$6:$K$405,$AP1538)&lt;&gt;"",N($W1538)&gt;0,INDEX(職員マスタ!$K$6:$K$405,$AP1538)&lt;&gt;$W1538),"標準報酬月額が申請書と相違（台帳"&amp;TEXT(INDEX(職員マスタ!$K$6:$K$405,$AP1538),"#,##0")&amp;"円／申請書"&amp;TEXT($W1538,"#,##0")&amp;"円）／","")&amp;IF(AND(INDEX(職員マスタ!$F$6:$F$405,$AP1538)&lt;&gt;"",$AQ1538&lt;&gt;"",INDEX(職員マスタ!$F$6:$F$405,$AP1538)&lt;$AQ1538),"対象月に子が2歳到達済／","")&amp;IF(AND($H1538&lt;&gt;"",INDEX(職員マスタ!$B$6:$B$405,$AP1538)&lt;&gt;"",SUBSTITUTE(SUBSTITUTE($H1538," ","")," ","")&lt;&gt;SUBSTITUTE(SUBSTITUTE(INDEX(職員マスタ!$B$6:$B$405,$AP1538)," ","")," ","")),"氏名がマスタと相違／","")&amp;IF(AND($Q1538&lt;&gt;"",INDEX(職員マスタ!$E$6:$E$405,$AP1538)&lt;&gt;"",$Q1538&lt;&gt;INDEX(職員マスタ!$E$6:$E$405,$AP1538)),"子の生年月日がマスタと相違／","")&amp;IF(AND($L1538&lt;&gt;"",INDEX(職員マスタ!$G$6:$G$405,$AP1538)&lt;&gt;"",$L1538&lt;&gt;INDEX(職員マスタ!$G$6:$G$405,$AP1538)),"時短開始日がマスタと相違／","")&amp;IF(AND($M1538&lt;&gt;"",INDEX(職員マスタ!$H$6:$H$405,$AP1538)&lt;&gt;"",$M1538&lt;&gt;INDEX(職員マスタ!$H$6:$H$405,$AP1538)),"時短終了日がマスタと相違／","")))&amp;IF(AND($B1538&lt;&gt;"",$E1538=""),"報酬額が未入力／","")&amp;IF(N($U1538)&gt;0,"申請書に入力エラーが残っています／","")&amp;IF(AND($B1538&lt;&gt;"",$AQ1538&lt;&gt;""),IF(COUNTIFS($B$6:$B$3005,$B1538,$C$6:$C$3005,$C1538,$D$6:$D$3005,$D1538)&gt;1,"同じ月の請求が重複しています／",""),"")&amp;IF(AND(N($E1538)&gt;0,$AB1538&lt;&gt;"",$AB1538&lt;&gt;"×",$AE1538=0,$AD1538=""),"計算額が下限以下のため不支給／",""))</f>
        <v/>
      </c>
      <c r="AN1538" s="12" t="n"/>
      <c r="AO1538" s="14">
        <f>IF($AF1538="保留中",COUNTIF($AF$6:$AF1538,"保留中"),"")</f>
        <v/>
      </c>
      <c r="AP1538" s="14">
        <f>IF($AQ1538="","",IF(SUMPRODUCT(MAX((職員マスタ!$A$6:$A$405=$B1538)*(((職員マスタ!$G$6:$G$405="")+(職員マスタ!$G$6:$G$405&lt;=EOMONTH($AQ1538,0)))&gt;0)*(((職員マスタ!$H$6:$H$405="")+(職員マスタ!$H$6:$H$405&gt;=$AQ1538))&gt;0)*(ROW(職員マスタ!$A$6:$A$405)-5)))&gt;0,SUMPRODUCT(MAX((職員マスタ!$A$6:$A$405=$B1538)*(((職員マスタ!$G$6:$G$405="")+(職員マスタ!$G$6:$G$405&lt;=EOMONTH($AQ1538,0)))&gt;0)*(((職員マスタ!$H$6:$H$405="")+(職員マスタ!$H$6:$H$405&gt;=$AQ1538))&gt;0)*(ROW(職員マスタ!$A$6:$A$405)-5))),IFERROR(MATCH($B1538,職員マスタ!$A$6:$A$405,0),"")))</f>
        <v/>
      </c>
      <c r="AQ1538" s="16">
        <f>IF(OR($B1538="",$C1538="",$D1538=""),"",DATE($C1538+2018,$D1538,1))</f>
        <v/>
      </c>
    </row>
    <row r="1539">
      <c r="A1539" s="11" t="n"/>
      <c r="B1539" s="12" t="n"/>
      <c r="C1539" s="12" t="n"/>
      <c r="D1539" s="12" t="n"/>
      <c r="E1539" s="13" t="n"/>
      <c r="F1539" s="12" t="n"/>
      <c r="G1539" s="13" t="n"/>
      <c r="H1539" s="12" t="n"/>
      <c r="I1539" s="12" t="n"/>
      <c r="J1539" s="12" t="n"/>
      <c r="K1539" s="12" t="n"/>
      <c r="L1539" s="11" t="n"/>
      <c r="M1539" s="11" t="n"/>
      <c r="N1539" s="11" t="n"/>
      <c r="O1539" s="11" t="n"/>
      <c r="P1539" s="12" t="n"/>
      <c r="Q1539" s="11" t="n"/>
      <c r="R1539" s="12" t="n"/>
      <c r="S1539" s="11" t="n"/>
      <c r="T1539" s="12" t="n"/>
      <c r="U1539" s="12" t="n"/>
      <c r="V1539" s="12" t="n"/>
      <c r="W1539" s="13" t="n"/>
      <c r="X1539" s="14">
        <f>IF($AP1539="",IF($B1539="","",$H1539),IF(INDEX(職員マスタ!$B$6:$B$405,$AP1539)="",$H1539,INDEX(職員マスタ!$B$6:$B$405,$AP1539)))</f>
        <v/>
      </c>
      <c r="Y1539" s="14">
        <f>IF($AP1539="",IF($B1539="","",$R1539),IF(INDEX(職員マスタ!$C$6:$C$405,$AP1539)="",$R1539,INDEX(職員マスタ!$C$6:$C$405,$AP1539)))</f>
        <v/>
      </c>
      <c r="Z1539" s="14">
        <f>IF($AQ1539="","","R"&amp;$C1539&amp;"."&amp;$D1539)</f>
        <v/>
      </c>
      <c r="AA1539" s="15">
        <f>IF(IF($AP1539="",FALSE,INDEX(職員マスタ!$K$6:$K$405,$AP1539)&lt;&gt;""),INDEX(職員マスタ!$K$6:$K$405,$AP1539),IF(N($W1539)&gt;0,$W1539,""))</f>
        <v/>
      </c>
      <c r="AB1539" s="14">
        <f>IF(OR($E1539="",$AA1539=""),"",IF($E1539&gt;=$AA1539,"×",IF($E1539&gt;=$AA1539*設定!$C$5,"△","○")))</f>
        <v/>
      </c>
      <c r="AC1539" s="15">
        <f>IF($AB1539="","",IF($AB1539="×",0,IF($AB1539="○",ROUNDDOWN($E1539*設定!$C$4,0),ROUNDDOWN($E1539*ROUND((9*$AA1539-9*$E1539)/(10*$E1539),4),0))))</f>
        <v/>
      </c>
      <c r="AD1539" s="13" t="n"/>
      <c r="AE1539" s="15">
        <f>IF($B1539="","",IF($AD1539&lt;&gt;"",$AD1539,IF($AC1539="","",IF($AC1539&lt;=設定!$C$3,0,$AC1539))))</f>
        <v/>
      </c>
      <c r="AF1539" s="14">
        <f>IF($B1539="","",IF(AND($AG1539&lt;&gt;"",$AI1539="",$AL1539=""),"保留中",IF($AL1539&lt;&gt;"",IF(N($AE1539)&gt;0,"支給済","不支給"),IF($AE1539="","要確認",IF($AE1539=0,"不支給","未処理")))))</f>
        <v/>
      </c>
      <c r="AG1539" s="12" t="n"/>
      <c r="AH1539" s="11" t="n"/>
      <c r="AI1539" s="11" t="n"/>
      <c r="AJ1539" s="11" t="n"/>
      <c r="AK1539" s="14">
        <f>IF(AND($AF1539="保留中",$AH1539&lt;&gt;""),TODAY()-$AH1539,"")</f>
        <v/>
      </c>
      <c r="AL1539" s="12" t="n"/>
      <c r="AM1539" s="14">
        <f>IF($B1539="","",IF($AQ1539="","対象年月が未入力／","")&amp;IF($B1539="","",IF($AP1539="","職員マスタに未登録の職員番号／",IF($AA1539="","標準報酬月額が未登録／","")&amp;IF(AND($AQ1539&lt;&gt;"",OR(AND(INDEX(職員マスタ!$G$6:$G$405,$AP1539)&lt;&gt;"",INDEX(職員マスタ!$G$6:$G$405,$AP1539)&gt;EOMONTH($AQ1539,0)),AND(INDEX(職員マスタ!$H$6:$H$405,$AP1539)&lt;&gt;"",INDEX(職員マスタ!$H$6:$H$405,$AP1539)&lt;$AQ1539))),"対象月が時短期間外／","")&amp;IF(AND(INDEX(職員マスタ!$K$6:$K$405,$AP1539)&lt;&gt;"",N($W1539)&gt;0,INDEX(職員マスタ!$K$6:$K$405,$AP1539)&lt;&gt;$W1539),"標準報酬月額が申請書と相違（台帳"&amp;TEXT(INDEX(職員マスタ!$K$6:$K$405,$AP1539),"#,##0")&amp;"円／申請書"&amp;TEXT($W1539,"#,##0")&amp;"円）／","")&amp;IF(AND(INDEX(職員マスタ!$F$6:$F$405,$AP1539)&lt;&gt;"",$AQ1539&lt;&gt;"",INDEX(職員マスタ!$F$6:$F$405,$AP1539)&lt;$AQ1539),"対象月に子が2歳到達済／","")&amp;IF(AND($H1539&lt;&gt;"",INDEX(職員マスタ!$B$6:$B$405,$AP1539)&lt;&gt;"",SUBSTITUTE(SUBSTITUTE($H1539," ","")," ","")&lt;&gt;SUBSTITUTE(SUBSTITUTE(INDEX(職員マスタ!$B$6:$B$405,$AP1539)," ","")," ","")),"氏名がマスタと相違／","")&amp;IF(AND($Q1539&lt;&gt;"",INDEX(職員マスタ!$E$6:$E$405,$AP1539)&lt;&gt;"",$Q1539&lt;&gt;INDEX(職員マスタ!$E$6:$E$405,$AP1539)),"子の生年月日がマスタと相違／","")&amp;IF(AND($L1539&lt;&gt;"",INDEX(職員マスタ!$G$6:$G$405,$AP1539)&lt;&gt;"",$L1539&lt;&gt;INDEX(職員マスタ!$G$6:$G$405,$AP1539)),"時短開始日がマスタと相違／","")&amp;IF(AND($M1539&lt;&gt;"",INDEX(職員マスタ!$H$6:$H$405,$AP1539)&lt;&gt;"",$M1539&lt;&gt;INDEX(職員マスタ!$H$6:$H$405,$AP1539)),"時短終了日がマスタと相違／","")))&amp;IF(AND($B1539&lt;&gt;"",$E1539=""),"報酬額が未入力／","")&amp;IF(N($U1539)&gt;0,"申請書に入力エラーが残っています／","")&amp;IF(AND($B1539&lt;&gt;"",$AQ1539&lt;&gt;""),IF(COUNTIFS($B$6:$B$3005,$B1539,$C$6:$C$3005,$C1539,$D$6:$D$3005,$D1539)&gt;1,"同じ月の請求が重複しています／",""),"")&amp;IF(AND(N($E1539)&gt;0,$AB1539&lt;&gt;"",$AB1539&lt;&gt;"×",$AE1539=0,$AD1539=""),"計算額が下限以下のため不支給／",""))</f>
        <v/>
      </c>
      <c r="AN1539" s="12" t="n"/>
      <c r="AO1539" s="14">
        <f>IF($AF1539="保留中",COUNTIF($AF$6:$AF1539,"保留中"),"")</f>
        <v/>
      </c>
      <c r="AP1539" s="14">
        <f>IF($AQ1539="","",IF(SUMPRODUCT(MAX((職員マスタ!$A$6:$A$405=$B1539)*(((職員マスタ!$G$6:$G$405="")+(職員マスタ!$G$6:$G$405&lt;=EOMONTH($AQ1539,0)))&gt;0)*(((職員マスタ!$H$6:$H$405="")+(職員マスタ!$H$6:$H$405&gt;=$AQ1539))&gt;0)*(ROW(職員マスタ!$A$6:$A$405)-5)))&gt;0,SUMPRODUCT(MAX((職員マスタ!$A$6:$A$405=$B1539)*(((職員マスタ!$G$6:$G$405="")+(職員マスタ!$G$6:$G$405&lt;=EOMONTH($AQ1539,0)))&gt;0)*(((職員マスタ!$H$6:$H$405="")+(職員マスタ!$H$6:$H$405&gt;=$AQ1539))&gt;0)*(ROW(職員マスタ!$A$6:$A$405)-5))),IFERROR(MATCH($B1539,職員マスタ!$A$6:$A$405,0),"")))</f>
        <v/>
      </c>
      <c r="AQ1539" s="16">
        <f>IF(OR($B1539="",$C1539="",$D1539=""),"",DATE($C1539+2018,$D1539,1))</f>
        <v/>
      </c>
    </row>
    <row r="1540">
      <c r="A1540" s="11" t="n"/>
      <c r="B1540" s="12" t="n"/>
      <c r="C1540" s="12" t="n"/>
      <c r="D1540" s="12" t="n"/>
      <c r="E1540" s="13" t="n"/>
      <c r="F1540" s="12" t="n"/>
      <c r="G1540" s="13" t="n"/>
      <c r="H1540" s="12" t="n"/>
      <c r="I1540" s="12" t="n"/>
      <c r="J1540" s="12" t="n"/>
      <c r="K1540" s="12" t="n"/>
      <c r="L1540" s="11" t="n"/>
      <c r="M1540" s="11" t="n"/>
      <c r="N1540" s="11" t="n"/>
      <c r="O1540" s="11" t="n"/>
      <c r="P1540" s="12" t="n"/>
      <c r="Q1540" s="11" t="n"/>
      <c r="R1540" s="12" t="n"/>
      <c r="S1540" s="11" t="n"/>
      <c r="T1540" s="12" t="n"/>
      <c r="U1540" s="12" t="n"/>
      <c r="V1540" s="12" t="n"/>
      <c r="W1540" s="13" t="n"/>
      <c r="X1540" s="14">
        <f>IF($AP1540="",IF($B1540="","",$H1540),IF(INDEX(職員マスタ!$B$6:$B$405,$AP1540)="",$H1540,INDEX(職員マスタ!$B$6:$B$405,$AP1540)))</f>
        <v/>
      </c>
      <c r="Y1540" s="14">
        <f>IF($AP1540="",IF($B1540="","",$R1540),IF(INDEX(職員マスタ!$C$6:$C$405,$AP1540)="",$R1540,INDEX(職員マスタ!$C$6:$C$405,$AP1540)))</f>
        <v/>
      </c>
      <c r="Z1540" s="14">
        <f>IF($AQ1540="","","R"&amp;$C1540&amp;"."&amp;$D1540)</f>
        <v/>
      </c>
      <c r="AA1540" s="15">
        <f>IF(IF($AP1540="",FALSE,INDEX(職員マスタ!$K$6:$K$405,$AP1540)&lt;&gt;""),INDEX(職員マスタ!$K$6:$K$405,$AP1540),IF(N($W1540)&gt;0,$W1540,""))</f>
        <v/>
      </c>
      <c r="AB1540" s="14">
        <f>IF(OR($E1540="",$AA1540=""),"",IF($E1540&gt;=$AA1540,"×",IF($E1540&gt;=$AA1540*設定!$C$5,"△","○")))</f>
        <v/>
      </c>
      <c r="AC1540" s="15">
        <f>IF($AB1540="","",IF($AB1540="×",0,IF($AB1540="○",ROUNDDOWN($E1540*設定!$C$4,0),ROUNDDOWN($E1540*ROUND((9*$AA1540-9*$E1540)/(10*$E1540),4),0))))</f>
        <v/>
      </c>
      <c r="AD1540" s="13" t="n"/>
      <c r="AE1540" s="15">
        <f>IF($B1540="","",IF($AD1540&lt;&gt;"",$AD1540,IF($AC1540="","",IF($AC1540&lt;=設定!$C$3,0,$AC1540))))</f>
        <v/>
      </c>
      <c r="AF1540" s="14">
        <f>IF($B1540="","",IF(AND($AG1540&lt;&gt;"",$AI1540="",$AL1540=""),"保留中",IF($AL1540&lt;&gt;"",IF(N($AE1540)&gt;0,"支給済","不支給"),IF($AE1540="","要確認",IF($AE1540=0,"不支給","未処理")))))</f>
        <v/>
      </c>
      <c r="AG1540" s="12" t="n"/>
      <c r="AH1540" s="11" t="n"/>
      <c r="AI1540" s="11" t="n"/>
      <c r="AJ1540" s="11" t="n"/>
      <c r="AK1540" s="14">
        <f>IF(AND($AF1540="保留中",$AH1540&lt;&gt;""),TODAY()-$AH1540,"")</f>
        <v/>
      </c>
      <c r="AL1540" s="12" t="n"/>
      <c r="AM1540" s="14">
        <f>IF($B1540="","",IF($AQ1540="","対象年月が未入力／","")&amp;IF($B1540="","",IF($AP1540="","職員マスタに未登録の職員番号／",IF($AA1540="","標準報酬月額が未登録／","")&amp;IF(AND($AQ1540&lt;&gt;"",OR(AND(INDEX(職員マスタ!$G$6:$G$405,$AP1540)&lt;&gt;"",INDEX(職員マスタ!$G$6:$G$405,$AP1540)&gt;EOMONTH($AQ1540,0)),AND(INDEX(職員マスタ!$H$6:$H$405,$AP1540)&lt;&gt;"",INDEX(職員マスタ!$H$6:$H$405,$AP1540)&lt;$AQ1540))),"対象月が時短期間外／","")&amp;IF(AND(INDEX(職員マスタ!$K$6:$K$405,$AP1540)&lt;&gt;"",N($W1540)&gt;0,INDEX(職員マスタ!$K$6:$K$405,$AP1540)&lt;&gt;$W1540),"標準報酬月額が申請書と相違（台帳"&amp;TEXT(INDEX(職員マスタ!$K$6:$K$405,$AP1540),"#,##0")&amp;"円／申請書"&amp;TEXT($W1540,"#,##0")&amp;"円）／","")&amp;IF(AND(INDEX(職員マスタ!$F$6:$F$405,$AP1540)&lt;&gt;"",$AQ1540&lt;&gt;"",INDEX(職員マスタ!$F$6:$F$405,$AP1540)&lt;$AQ1540),"対象月に子が2歳到達済／","")&amp;IF(AND($H1540&lt;&gt;"",INDEX(職員マスタ!$B$6:$B$405,$AP1540)&lt;&gt;"",SUBSTITUTE(SUBSTITUTE($H1540," ","")," ","")&lt;&gt;SUBSTITUTE(SUBSTITUTE(INDEX(職員マスタ!$B$6:$B$405,$AP1540)," ","")," ","")),"氏名がマスタと相違／","")&amp;IF(AND($Q1540&lt;&gt;"",INDEX(職員マスタ!$E$6:$E$405,$AP1540)&lt;&gt;"",$Q1540&lt;&gt;INDEX(職員マスタ!$E$6:$E$405,$AP1540)),"子の生年月日がマスタと相違／","")&amp;IF(AND($L1540&lt;&gt;"",INDEX(職員マスタ!$G$6:$G$405,$AP1540)&lt;&gt;"",$L1540&lt;&gt;INDEX(職員マスタ!$G$6:$G$405,$AP1540)),"時短開始日がマスタと相違／","")&amp;IF(AND($M1540&lt;&gt;"",INDEX(職員マスタ!$H$6:$H$405,$AP1540)&lt;&gt;"",$M1540&lt;&gt;INDEX(職員マスタ!$H$6:$H$405,$AP1540)),"時短終了日がマスタと相違／","")))&amp;IF(AND($B1540&lt;&gt;"",$E1540=""),"報酬額が未入力／","")&amp;IF(N($U1540)&gt;0,"申請書に入力エラーが残っています／","")&amp;IF(AND($B1540&lt;&gt;"",$AQ1540&lt;&gt;""),IF(COUNTIFS($B$6:$B$3005,$B1540,$C$6:$C$3005,$C1540,$D$6:$D$3005,$D1540)&gt;1,"同じ月の請求が重複しています／",""),"")&amp;IF(AND(N($E1540)&gt;0,$AB1540&lt;&gt;"",$AB1540&lt;&gt;"×",$AE1540=0,$AD1540=""),"計算額が下限以下のため不支給／",""))</f>
        <v/>
      </c>
      <c r="AN1540" s="12" t="n"/>
      <c r="AO1540" s="14">
        <f>IF($AF1540="保留中",COUNTIF($AF$6:$AF1540,"保留中"),"")</f>
        <v/>
      </c>
      <c r="AP1540" s="14">
        <f>IF($AQ1540="","",IF(SUMPRODUCT(MAX((職員マスタ!$A$6:$A$405=$B1540)*(((職員マスタ!$G$6:$G$405="")+(職員マスタ!$G$6:$G$405&lt;=EOMONTH($AQ1540,0)))&gt;0)*(((職員マスタ!$H$6:$H$405="")+(職員マスタ!$H$6:$H$405&gt;=$AQ1540))&gt;0)*(ROW(職員マスタ!$A$6:$A$405)-5)))&gt;0,SUMPRODUCT(MAX((職員マスタ!$A$6:$A$405=$B1540)*(((職員マスタ!$G$6:$G$405="")+(職員マスタ!$G$6:$G$405&lt;=EOMONTH($AQ1540,0)))&gt;0)*(((職員マスタ!$H$6:$H$405="")+(職員マスタ!$H$6:$H$405&gt;=$AQ1540))&gt;0)*(ROW(職員マスタ!$A$6:$A$405)-5))),IFERROR(MATCH($B1540,職員マスタ!$A$6:$A$405,0),"")))</f>
        <v/>
      </c>
      <c r="AQ1540" s="16">
        <f>IF(OR($B1540="",$C1540="",$D1540=""),"",DATE($C1540+2018,$D1540,1))</f>
        <v/>
      </c>
    </row>
    <row r="1541">
      <c r="A1541" s="11" t="n"/>
      <c r="B1541" s="12" t="n"/>
      <c r="C1541" s="12" t="n"/>
      <c r="D1541" s="12" t="n"/>
      <c r="E1541" s="13" t="n"/>
      <c r="F1541" s="12" t="n"/>
      <c r="G1541" s="13" t="n"/>
      <c r="H1541" s="12" t="n"/>
      <c r="I1541" s="12" t="n"/>
      <c r="J1541" s="12" t="n"/>
      <c r="K1541" s="12" t="n"/>
      <c r="L1541" s="11" t="n"/>
      <c r="M1541" s="11" t="n"/>
      <c r="N1541" s="11" t="n"/>
      <c r="O1541" s="11" t="n"/>
      <c r="P1541" s="12" t="n"/>
      <c r="Q1541" s="11" t="n"/>
      <c r="R1541" s="12" t="n"/>
      <c r="S1541" s="11" t="n"/>
      <c r="T1541" s="12" t="n"/>
      <c r="U1541" s="12" t="n"/>
      <c r="V1541" s="12" t="n"/>
      <c r="W1541" s="13" t="n"/>
      <c r="X1541" s="14">
        <f>IF($AP1541="",IF($B1541="","",$H1541),IF(INDEX(職員マスタ!$B$6:$B$405,$AP1541)="",$H1541,INDEX(職員マスタ!$B$6:$B$405,$AP1541)))</f>
        <v/>
      </c>
      <c r="Y1541" s="14">
        <f>IF($AP1541="",IF($B1541="","",$R1541),IF(INDEX(職員マスタ!$C$6:$C$405,$AP1541)="",$R1541,INDEX(職員マスタ!$C$6:$C$405,$AP1541)))</f>
        <v/>
      </c>
      <c r="Z1541" s="14">
        <f>IF($AQ1541="","","R"&amp;$C1541&amp;"."&amp;$D1541)</f>
        <v/>
      </c>
      <c r="AA1541" s="15">
        <f>IF(IF($AP1541="",FALSE,INDEX(職員マスタ!$K$6:$K$405,$AP1541)&lt;&gt;""),INDEX(職員マスタ!$K$6:$K$405,$AP1541),IF(N($W1541)&gt;0,$W1541,""))</f>
        <v/>
      </c>
      <c r="AB1541" s="14">
        <f>IF(OR($E1541="",$AA1541=""),"",IF($E1541&gt;=$AA1541,"×",IF($E1541&gt;=$AA1541*設定!$C$5,"△","○")))</f>
        <v/>
      </c>
      <c r="AC1541" s="15">
        <f>IF($AB1541="","",IF($AB1541="×",0,IF($AB1541="○",ROUNDDOWN($E1541*設定!$C$4,0),ROUNDDOWN($E1541*ROUND((9*$AA1541-9*$E1541)/(10*$E1541),4),0))))</f>
        <v/>
      </c>
      <c r="AD1541" s="13" t="n"/>
      <c r="AE1541" s="15">
        <f>IF($B1541="","",IF($AD1541&lt;&gt;"",$AD1541,IF($AC1541="","",IF($AC1541&lt;=設定!$C$3,0,$AC1541))))</f>
        <v/>
      </c>
      <c r="AF1541" s="14">
        <f>IF($B1541="","",IF(AND($AG1541&lt;&gt;"",$AI1541="",$AL1541=""),"保留中",IF($AL1541&lt;&gt;"",IF(N($AE1541)&gt;0,"支給済","不支給"),IF($AE1541="","要確認",IF($AE1541=0,"不支給","未処理")))))</f>
        <v/>
      </c>
      <c r="AG1541" s="12" t="n"/>
      <c r="AH1541" s="11" t="n"/>
      <c r="AI1541" s="11" t="n"/>
      <c r="AJ1541" s="11" t="n"/>
      <c r="AK1541" s="14">
        <f>IF(AND($AF1541="保留中",$AH1541&lt;&gt;""),TODAY()-$AH1541,"")</f>
        <v/>
      </c>
      <c r="AL1541" s="12" t="n"/>
      <c r="AM1541" s="14">
        <f>IF($B1541="","",IF($AQ1541="","対象年月が未入力／","")&amp;IF($B1541="","",IF($AP1541="","職員マスタに未登録の職員番号／",IF($AA1541="","標準報酬月額が未登録／","")&amp;IF(AND($AQ1541&lt;&gt;"",OR(AND(INDEX(職員マスタ!$G$6:$G$405,$AP1541)&lt;&gt;"",INDEX(職員マスタ!$G$6:$G$405,$AP1541)&gt;EOMONTH($AQ1541,0)),AND(INDEX(職員マスタ!$H$6:$H$405,$AP1541)&lt;&gt;"",INDEX(職員マスタ!$H$6:$H$405,$AP1541)&lt;$AQ1541))),"対象月が時短期間外／","")&amp;IF(AND(INDEX(職員マスタ!$K$6:$K$405,$AP1541)&lt;&gt;"",N($W1541)&gt;0,INDEX(職員マスタ!$K$6:$K$405,$AP1541)&lt;&gt;$W1541),"標準報酬月額が申請書と相違（台帳"&amp;TEXT(INDEX(職員マスタ!$K$6:$K$405,$AP1541),"#,##0")&amp;"円／申請書"&amp;TEXT($W1541,"#,##0")&amp;"円）／","")&amp;IF(AND(INDEX(職員マスタ!$F$6:$F$405,$AP1541)&lt;&gt;"",$AQ1541&lt;&gt;"",INDEX(職員マスタ!$F$6:$F$405,$AP1541)&lt;$AQ1541),"対象月に子が2歳到達済／","")&amp;IF(AND($H1541&lt;&gt;"",INDEX(職員マスタ!$B$6:$B$405,$AP1541)&lt;&gt;"",SUBSTITUTE(SUBSTITUTE($H1541," ","")," ","")&lt;&gt;SUBSTITUTE(SUBSTITUTE(INDEX(職員マスタ!$B$6:$B$405,$AP1541)," ","")," ","")),"氏名がマスタと相違／","")&amp;IF(AND($Q1541&lt;&gt;"",INDEX(職員マスタ!$E$6:$E$405,$AP1541)&lt;&gt;"",$Q1541&lt;&gt;INDEX(職員マスタ!$E$6:$E$405,$AP1541)),"子の生年月日がマスタと相違／","")&amp;IF(AND($L1541&lt;&gt;"",INDEX(職員マスタ!$G$6:$G$405,$AP1541)&lt;&gt;"",$L1541&lt;&gt;INDEX(職員マスタ!$G$6:$G$405,$AP1541)),"時短開始日がマスタと相違／","")&amp;IF(AND($M1541&lt;&gt;"",INDEX(職員マスタ!$H$6:$H$405,$AP1541)&lt;&gt;"",$M1541&lt;&gt;INDEX(職員マスタ!$H$6:$H$405,$AP1541)),"時短終了日がマスタと相違／","")))&amp;IF(AND($B1541&lt;&gt;"",$E1541=""),"報酬額が未入力／","")&amp;IF(N($U1541)&gt;0,"申請書に入力エラーが残っています／","")&amp;IF(AND($B1541&lt;&gt;"",$AQ1541&lt;&gt;""),IF(COUNTIFS($B$6:$B$3005,$B1541,$C$6:$C$3005,$C1541,$D$6:$D$3005,$D1541)&gt;1,"同じ月の請求が重複しています／",""),"")&amp;IF(AND(N($E1541)&gt;0,$AB1541&lt;&gt;"",$AB1541&lt;&gt;"×",$AE1541=0,$AD1541=""),"計算額が下限以下のため不支給／",""))</f>
        <v/>
      </c>
      <c r="AN1541" s="12" t="n"/>
      <c r="AO1541" s="14">
        <f>IF($AF1541="保留中",COUNTIF($AF$6:$AF1541,"保留中"),"")</f>
        <v/>
      </c>
      <c r="AP1541" s="14">
        <f>IF($AQ1541="","",IF(SUMPRODUCT(MAX((職員マスタ!$A$6:$A$405=$B1541)*(((職員マスタ!$G$6:$G$405="")+(職員マスタ!$G$6:$G$405&lt;=EOMONTH($AQ1541,0)))&gt;0)*(((職員マスタ!$H$6:$H$405="")+(職員マスタ!$H$6:$H$405&gt;=$AQ1541))&gt;0)*(ROW(職員マスタ!$A$6:$A$405)-5)))&gt;0,SUMPRODUCT(MAX((職員マスタ!$A$6:$A$405=$B1541)*(((職員マスタ!$G$6:$G$405="")+(職員マスタ!$G$6:$G$405&lt;=EOMONTH($AQ1541,0)))&gt;0)*(((職員マスタ!$H$6:$H$405="")+(職員マスタ!$H$6:$H$405&gt;=$AQ1541))&gt;0)*(ROW(職員マスタ!$A$6:$A$405)-5))),IFERROR(MATCH($B1541,職員マスタ!$A$6:$A$405,0),"")))</f>
        <v/>
      </c>
      <c r="AQ1541" s="16">
        <f>IF(OR($B1541="",$C1541="",$D1541=""),"",DATE($C1541+2018,$D1541,1))</f>
        <v/>
      </c>
    </row>
    <row r="1542">
      <c r="A1542" s="11" t="n"/>
      <c r="B1542" s="12" t="n"/>
      <c r="C1542" s="12" t="n"/>
      <c r="D1542" s="12" t="n"/>
      <c r="E1542" s="13" t="n"/>
      <c r="F1542" s="12" t="n"/>
      <c r="G1542" s="13" t="n"/>
      <c r="H1542" s="12" t="n"/>
      <c r="I1542" s="12" t="n"/>
      <c r="J1542" s="12" t="n"/>
      <c r="K1542" s="12" t="n"/>
      <c r="L1542" s="11" t="n"/>
      <c r="M1542" s="11" t="n"/>
      <c r="N1542" s="11" t="n"/>
      <c r="O1542" s="11" t="n"/>
      <c r="P1542" s="12" t="n"/>
      <c r="Q1542" s="11" t="n"/>
      <c r="R1542" s="12" t="n"/>
      <c r="S1542" s="11" t="n"/>
      <c r="T1542" s="12" t="n"/>
      <c r="U1542" s="12" t="n"/>
      <c r="V1542" s="12" t="n"/>
      <c r="W1542" s="13" t="n"/>
      <c r="X1542" s="14">
        <f>IF($AP1542="",IF($B1542="","",$H1542),IF(INDEX(職員マスタ!$B$6:$B$405,$AP1542)="",$H1542,INDEX(職員マスタ!$B$6:$B$405,$AP1542)))</f>
        <v/>
      </c>
      <c r="Y1542" s="14">
        <f>IF($AP1542="",IF($B1542="","",$R1542),IF(INDEX(職員マスタ!$C$6:$C$405,$AP1542)="",$R1542,INDEX(職員マスタ!$C$6:$C$405,$AP1542)))</f>
        <v/>
      </c>
      <c r="Z1542" s="14">
        <f>IF($AQ1542="","","R"&amp;$C1542&amp;"."&amp;$D1542)</f>
        <v/>
      </c>
      <c r="AA1542" s="15">
        <f>IF(IF($AP1542="",FALSE,INDEX(職員マスタ!$K$6:$K$405,$AP1542)&lt;&gt;""),INDEX(職員マスタ!$K$6:$K$405,$AP1542),IF(N($W1542)&gt;0,$W1542,""))</f>
        <v/>
      </c>
      <c r="AB1542" s="14">
        <f>IF(OR($E1542="",$AA1542=""),"",IF($E1542&gt;=$AA1542,"×",IF($E1542&gt;=$AA1542*設定!$C$5,"△","○")))</f>
        <v/>
      </c>
      <c r="AC1542" s="15">
        <f>IF($AB1542="","",IF($AB1542="×",0,IF($AB1542="○",ROUNDDOWN($E1542*設定!$C$4,0),ROUNDDOWN($E1542*ROUND((9*$AA1542-9*$E1542)/(10*$E1542),4),0))))</f>
        <v/>
      </c>
      <c r="AD1542" s="13" t="n"/>
      <c r="AE1542" s="15">
        <f>IF($B1542="","",IF($AD1542&lt;&gt;"",$AD1542,IF($AC1542="","",IF($AC1542&lt;=設定!$C$3,0,$AC1542))))</f>
        <v/>
      </c>
      <c r="AF1542" s="14">
        <f>IF($B1542="","",IF(AND($AG1542&lt;&gt;"",$AI1542="",$AL1542=""),"保留中",IF($AL1542&lt;&gt;"",IF(N($AE1542)&gt;0,"支給済","不支給"),IF($AE1542="","要確認",IF($AE1542=0,"不支給","未処理")))))</f>
        <v/>
      </c>
      <c r="AG1542" s="12" t="n"/>
      <c r="AH1542" s="11" t="n"/>
      <c r="AI1542" s="11" t="n"/>
      <c r="AJ1542" s="11" t="n"/>
      <c r="AK1542" s="14">
        <f>IF(AND($AF1542="保留中",$AH1542&lt;&gt;""),TODAY()-$AH1542,"")</f>
        <v/>
      </c>
      <c r="AL1542" s="12" t="n"/>
      <c r="AM1542" s="14">
        <f>IF($B1542="","",IF($AQ1542="","対象年月が未入力／","")&amp;IF($B1542="","",IF($AP1542="","職員マスタに未登録の職員番号／",IF($AA1542="","標準報酬月額が未登録／","")&amp;IF(AND($AQ1542&lt;&gt;"",OR(AND(INDEX(職員マスタ!$G$6:$G$405,$AP1542)&lt;&gt;"",INDEX(職員マスタ!$G$6:$G$405,$AP1542)&gt;EOMONTH($AQ1542,0)),AND(INDEX(職員マスタ!$H$6:$H$405,$AP1542)&lt;&gt;"",INDEX(職員マスタ!$H$6:$H$405,$AP1542)&lt;$AQ1542))),"対象月が時短期間外／","")&amp;IF(AND(INDEX(職員マスタ!$K$6:$K$405,$AP1542)&lt;&gt;"",N($W1542)&gt;0,INDEX(職員マスタ!$K$6:$K$405,$AP1542)&lt;&gt;$W1542),"標準報酬月額が申請書と相違（台帳"&amp;TEXT(INDEX(職員マスタ!$K$6:$K$405,$AP1542),"#,##0")&amp;"円／申請書"&amp;TEXT($W1542,"#,##0")&amp;"円）／","")&amp;IF(AND(INDEX(職員マスタ!$F$6:$F$405,$AP1542)&lt;&gt;"",$AQ1542&lt;&gt;"",INDEX(職員マスタ!$F$6:$F$405,$AP1542)&lt;$AQ1542),"対象月に子が2歳到達済／","")&amp;IF(AND($H1542&lt;&gt;"",INDEX(職員マスタ!$B$6:$B$405,$AP1542)&lt;&gt;"",SUBSTITUTE(SUBSTITUTE($H1542," ","")," ","")&lt;&gt;SUBSTITUTE(SUBSTITUTE(INDEX(職員マスタ!$B$6:$B$405,$AP1542)," ","")," ","")),"氏名がマスタと相違／","")&amp;IF(AND($Q1542&lt;&gt;"",INDEX(職員マスタ!$E$6:$E$405,$AP1542)&lt;&gt;"",$Q1542&lt;&gt;INDEX(職員マスタ!$E$6:$E$405,$AP1542)),"子の生年月日がマスタと相違／","")&amp;IF(AND($L1542&lt;&gt;"",INDEX(職員マスタ!$G$6:$G$405,$AP1542)&lt;&gt;"",$L1542&lt;&gt;INDEX(職員マスタ!$G$6:$G$405,$AP1542)),"時短開始日がマスタと相違／","")&amp;IF(AND($M1542&lt;&gt;"",INDEX(職員マスタ!$H$6:$H$405,$AP1542)&lt;&gt;"",$M1542&lt;&gt;INDEX(職員マスタ!$H$6:$H$405,$AP1542)),"時短終了日がマスタと相違／","")))&amp;IF(AND($B1542&lt;&gt;"",$E1542=""),"報酬額が未入力／","")&amp;IF(N($U1542)&gt;0,"申請書に入力エラーが残っています／","")&amp;IF(AND($B1542&lt;&gt;"",$AQ1542&lt;&gt;""),IF(COUNTIFS($B$6:$B$3005,$B1542,$C$6:$C$3005,$C1542,$D$6:$D$3005,$D1542)&gt;1,"同じ月の請求が重複しています／",""),"")&amp;IF(AND(N($E1542)&gt;0,$AB1542&lt;&gt;"",$AB1542&lt;&gt;"×",$AE1542=0,$AD1542=""),"計算額が下限以下のため不支給／",""))</f>
        <v/>
      </c>
      <c r="AN1542" s="12" t="n"/>
      <c r="AO1542" s="14">
        <f>IF($AF1542="保留中",COUNTIF($AF$6:$AF1542,"保留中"),"")</f>
        <v/>
      </c>
      <c r="AP1542" s="14">
        <f>IF($AQ1542="","",IF(SUMPRODUCT(MAX((職員マスタ!$A$6:$A$405=$B1542)*(((職員マスタ!$G$6:$G$405="")+(職員マスタ!$G$6:$G$405&lt;=EOMONTH($AQ1542,0)))&gt;0)*(((職員マスタ!$H$6:$H$405="")+(職員マスタ!$H$6:$H$405&gt;=$AQ1542))&gt;0)*(ROW(職員マスタ!$A$6:$A$405)-5)))&gt;0,SUMPRODUCT(MAX((職員マスタ!$A$6:$A$405=$B1542)*(((職員マスタ!$G$6:$G$405="")+(職員マスタ!$G$6:$G$405&lt;=EOMONTH($AQ1542,0)))&gt;0)*(((職員マスタ!$H$6:$H$405="")+(職員マスタ!$H$6:$H$405&gt;=$AQ1542))&gt;0)*(ROW(職員マスタ!$A$6:$A$405)-5))),IFERROR(MATCH($B1542,職員マスタ!$A$6:$A$405,0),"")))</f>
        <v/>
      </c>
      <c r="AQ1542" s="16">
        <f>IF(OR($B1542="",$C1542="",$D1542=""),"",DATE($C1542+2018,$D1542,1))</f>
        <v/>
      </c>
    </row>
    <row r="1543">
      <c r="A1543" s="11" t="n"/>
      <c r="B1543" s="12" t="n"/>
      <c r="C1543" s="12" t="n"/>
      <c r="D1543" s="12" t="n"/>
      <c r="E1543" s="13" t="n"/>
      <c r="F1543" s="12" t="n"/>
      <c r="G1543" s="13" t="n"/>
      <c r="H1543" s="12" t="n"/>
      <c r="I1543" s="12" t="n"/>
      <c r="J1543" s="12" t="n"/>
      <c r="K1543" s="12" t="n"/>
      <c r="L1543" s="11" t="n"/>
      <c r="M1543" s="11" t="n"/>
      <c r="N1543" s="11" t="n"/>
      <c r="O1543" s="11" t="n"/>
      <c r="P1543" s="12" t="n"/>
      <c r="Q1543" s="11" t="n"/>
      <c r="R1543" s="12" t="n"/>
      <c r="S1543" s="11" t="n"/>
      <c r="T1543" s="12" t="n"/>
      <c r="U1543" s="12" t="n"/>
      <c r="V1543" s="12" t="n"/>
      <c r="W1543" s="13" t="n"/>
      <c r="X1543" s="14">
        <f>IF($AP1543="",IF($B1543="","",$H1543),IF(INDEX(職員マスタ!$B$6:$B$405,$AP1543)="",$H1543,INDEX(職員マスタ!$B$6:$B$405,$AP1543)))</f>
        <v/>
      </c>
      <c r="Y1543" s="14">
        <f>IF($AP1543="",IF($B1543="","",$R1543),IF(INDEX(職員マスタ!$C$6:$C$405,$AP1543)="",$R1543,INDEX(職員マスタ!$C$6:$C$405,$AP1543)))</f>
        <v/>
      </c>
      <c r="Z1543" s="14">
        <f>IF($AQ1543="","","R"&amp;$C1543&amp;"."&amp;$D1543)</f>
        <v/>
      </c>
      <c r="AA1543" s="15">
        <f>IF(IF($AP1543="",FALSE,INDEX(職員マスタ!$K$6:$K$405,$AP1543)&lt;&gt;""),INDEX(職員マスタ!$K$6:$K$405,$AP1543),IF(N($W1543)&gt;0,$W1543,""))</f>
        <v/>
      </c>
      <c r="AB1543" s="14">
        <f>IF(OR($E1543="",$AA1543=""),"",IF($E1543&gt;=$AA1543,"×",IF($E1543&gt;=$AA1543*設定!$C$5,"△","○")))</f>
        <v/>
      </c>
      <c r="AC1543" s="15">
        <f>IF($AB1543="","",IF($AB1543="×",0,IF($AB1543="○",ROUNDDOWN($E1543*設定!$C$4,0),ROUNDDOWN($E1543*ROUND((9*$AA1543-9*$E1543)/(10*$E1543),4),0))))</f>
        <v/>
      </c>
      <c r="AD1543" s="13" t="n"/>
      <c r="AE1543" s="15">
        <f>IF($B1543="","",IF($AD1543&lt;&gt;"",$AD1543,IF($AC1543="","",IF($AC1543&lt;=設定!$C$3,0,$AC1543))))</f>
        <v/>
      </c>
      <c r="AF1543" s="14">
        <f>IF($B1543="","",IF(AND($AG1543&lt;&gt;"",$AI1543="",$AL1543=""),"保留中",IF($AL1543&lt;&gt;"",IF(N($AE1543)&gt;0,"支給済","不支給"),IF($AE1543="","要確認",IF($AE1543=0,"不支給","未処理")))))</f>
        <v/>
      </c>
      <c r="AG1543" s="12" t="n"/>
      <c r="AH1543" s="11" t="n"/>
      <c r="AI1543" s="11" t="n"/>
      <c r="AJ1543" s="11" t="n"/>
      <c r="AK1543" s="14">
        <f>IF(AND($AF1543="保留中",$AH1543&lt;&gt;""),TODAY()-$AH1543,"")</f>
        <v/>
      </c>
      <c r="AL1543" s="12" t="n"/>
      <c r="AM1543" s="14">
        <f>IF($B1543="","",IF($AQ1543="","対象年月が未入力／","")&amp;IF($B1543="","",IF($AP1543="","職員マスタに未登録の職員番号／",IF($AA1543="","標準報酬月額が未登録／","")&amp;IF(AND($AQ1543&lt;&gt;"",OR(AND(INDEX(職員マスタ!$G$6:$G$405,$AP1543)&lt;&gt;"",INDEX(職員マスタ!$G$6:$G$405,$AP1543)&gt;EOMONTH($AQ1543,0)),AND(INDEX(職員マスタ!$H$6:$H$405,$AP1543)&lt;&gt;"",INDEX(職員マスタ!$H$6:$H$405,$AP1543)&lt;$AQ1543))),"対象月が時短期間外／","")&amp;IF(AND(INDEX(職員マスタ!$K$6:$K$405,$AP1543)&lt;&gt;"",N($W1543)&gt;0,INDEX(職員マスタ!$K$6:$K$405,$AP1543)&lt;&gt;$W1543),"標準報酬月額が申請書と相違（台帳"&amp;TEXT(INDEX(職員マスタ!$K$6:$K$405,$AP1543),"#,##0")&amp;"円／申請書"&amp;TEXT($W1543,"#,##0")&amp;"円）／","")&amp;IF(AND(INDEX(職員マスタ!$F$6:$F$405,$AP1543)&lt;&gt;"",$AQ1543&lt;&gt;"",INDEX(職員マスタ!$F$6:$F$405,$AP1543)&lt;$AQ1543),"対象月に子が2歳到達済／","")&amp;IF(AND($H1543&lt;&gt;"",INDEX(職員マスタ!$B$6:$B$405,$AP1543)&lt;&gt;"",SUBSTITUTE(SUBSTITUTE($H1543," ","")," ","")&lt;&gt;SUBSTITUTE(SUBSTITUTE(INDEX(職員マスタ!$B$6:$B$405,$AP1543)," ","")," ","")),"氏名がマスタと相違／","")&amp;IF(AND($Q1543&lt;&gt;"",INDEX(職員マスタ!$E$6:$E$405,$AP1543)&lt;&gt;"",$Q1543&lt;&gt;INDEX(職員マスタ!$E$6:$E$405,$AP1543)),"子の生年月日がマスタと相違／","")&amp;IF(AND($L1543&lt;&gt;"",INDEX(職員マスタ!$G$6:$G$405,$AP1543)&lt;&gt;"",$L1543&lt;&gt;INDEX(職員マスタ!$G$6:$G$405,$AP1543)),"時短開始日がマスタと相違／","")&amp;IF(AND($M1543&lt;&gt;"",INDEX(職員マスタ!$H$6:$H$405,$AP1543)&lt;&gt;"",$M1543&lt;&gt;INDEX(職員マスタ!$H$6:$H$405,$AP1543)),"時短終了日がマスタと相違／","")))&amp;IF(AND($B1543&lt;&gt;"",$E1543=""),"報酬額が未入力／","")&amp;IF(N($U1543)&gt;0,"申請書に入力エラーが残っています／","")&amp;IF(AND($B1543&lt;&gt;"",$AQ1543&lt;&gt;""),IF(COUNTIFS($B$6:$B$3005,$B1543,$C$6:$C$3005,$C1543,$D$6:$D$3005,$D1543)&gt;1,"同じ月の請求が重複しています／",""),"")&amp;IF(AND(N($E1543)&gt;0,$AB1543&lt;&gt;"",$AB1543&lt;&gt;"×",$AE1543=0,$AD1543=""),"計算額が下限以下のため不支給／",""))</f>
        <v/>
      </c>
      <c r="AN1543" s="12" t="n"/>
      <c r="AO1543" s="14">
        <f>IF($AF1543="保留中",COUNTIF($AF$6:$AF1543,"保留中"),"")</f>
        <v/>
      </c>
      <c r="AP1543" s="14">
        <f>IF($AQ1543="","",IF(SUMPRODUCT(MAX((職員マスタ!$A$6:$A$405=$B1543)*(((職員マスタ!$G$6:$G$405="")+(職員マスタ!$G$6:$G$405&lt;=EOMONTH($AQ1543,0)))&gt;0)*(((職員マスタ!$H$6:$H$405="")+(職員マスタ!$H$6:$H$405&gt;=$AQ1543))&gt;0)*(ROW(職員マスタ!$A$6:$A$405)-5)))&gt;0,SUMPRODUCT(MAX((職員マスタ!$A$6:$A$405=$B1543)*(((職員マスタ!$G$6:$G$405="")+(職員マスタ!$G$6:$G$405&lt;=EOMONTH($AQ1543,0)))&gt;0)*(((職員マスタ!$H$6:$H$405="")+(職員マスタ!$H$6:$H$405&gt;=$AQ1543))&gt;0)*(ROW(職員マスタ!$A$6:$A$405)-5))),IFERROR(MATCH($B1543,職員マスタ!$A$6:$A$405,0),"")))</f>
        <v/>
      </c>
      <c r="AQ1543" s="16">
        <f>IF(OR($B1543="",$C1543="",$D1543=""),"",DATE($C1543+2018,$D1543,1))</f>
        <v/>
      </c>
    </row>
    <row r="1544">
      <c r="A1544" s="11" t="n"/>
      <c r="B1544" s="12" t="n"/>
      <c r="C1544" s="12" t="n"/>
      <c r="D1544" s="12" t="n"/>
      <c r="E1544" s="13" t="n"/>
      <c r="F1544" s="12" t="n"/>
      <c r="G1544" s="13" t="n"/>
      <c r="H1544" s="12" t="n"/>
      <c r="I1544" s="12" t="n"/>
      <c r="J1544" s="12" t="n"/>
      <c r="K1544" s="12" t="n"/>
      <c r="L1544" s="11" t="n"/>
      <c r="M1544" s="11" t="n"/>
      <c r="N1544" s="11" t="n"/>
      <c r="O1544" s="11" t="n"/>
      <c r="P1544" s="12" t="n"/>
      <c r="Q1544" s="11" t="n"/>
      <c r="R1544" s="12" t="n"/>
      <c r="S1544" s="11" t="n"/>
      <c r="T1544" s="12" t="n"/>
      <c r="U1544" s="12" t="n"/>
      <c r="V1544" s="12" t="n"/>
      <c r="W1544" s="13" t="n"/>
      <c r="X1544" s="14">
        <f>IF($AP1544="",IF($B1544="","",$H1544),IF(INDEX(職員マスタ!$B$6:$B$405,$AP1544)="",$H1544,INDEX(職員マスタ!$B$6:$B$405,$AP1544)))</f>
        <v/>
      </c>
      <c r="Y1544" s="14">
        <f>IF($AP1544="",IF($B1544="","",$R1544),IF(INDEX(職員マスタ!$C$6:$C$405,$AP1544)="",$R1544,INDEX(職員マスタ!$C$6:$C$405,$AP1544)))</f>
        <v/>
      </c>
      <c r="Z1544" s="14">
        <f>IF($AQ1544="","","R"&amp;$C1544&amp;"."&amp;$D1544)</f>
        <v/>
      </c>
      <c r="AA1544" s="15">
        <f>IF(IF($AP1544="",FALSE,INDEX(職員マスタ!$K$6:$K$405,$AP1544)&lt;&gt;""),INDEX(職員マスタ!$K$6:$K$405,$AP1544),IF(N($W1544)&gt;0,$W1544,""))</f>
        <v/>
      </c>
      <c r="AB1544" s="14">
        <f>IF(OR($E1544="",$AA1544=""),"",IF($E1544&gt;=$AA1544,"×",IF($E1544&gt;=$AA1544*設定!$C$5,"△","○")))</f>
        <v/>
      </c>
      <c r="AC1544" s="15">
        <f>IF($AB1544="","",IF($AB1544="×",0,IF($AB1544="○",ROUNDDOWN($E1544*設定!$C$4,0),ROUNDDOWN($E1544*ROUND((9*$AA1544-9*$E1544)/(10*$E1544),4),0))))</f>
        <v/>
      </c>
      <c r="AD1544" s="13" t="n"/>
      <c r="AE1544" s="15">
        <f>IF($B1544="","",IF($AD1544&lt;&gt;"",$AD1544,IF($AC1544="","",IF($AC1544&lt;=設定!$C$3,0,$AC1544))))</f>
        <v/>
      </c>
      <c r="AF1544" s="14">
        <f>IF($B1544="","",IF(AND($AG1544&lt;&gt;"",$AI1544="",$AL1544=""),"保留中",IF($AL1544&lt;&gt;"",IF(N($AE1544)&gt;0,"支給済","不支給"),IF($AE1544="","要確認",IF($AE1544=0,"不支給","未処理")))))</f>
        <v/>
      </c>
      <c r="AG1544" s="12" t="n"/>
      <c r="AH1544" s="11" t="n"/>
      <c r="AI1544" s="11" t="n"/>
      <c r="AJ1544" s="11" t="n"/>
      <c r="AK1544" s="14">
        <f>IF(AND($AF1544="保留中",$AH1544&lt;&gt;""),TODAY()-$AH1544,"")</f>
        <v/>
      </c>
      <c r="AL1544" s="12" t="n"/>
      <c r="AM1544" s="14">
        <f>IF($B1544="","",IF($AQ1544="","対象年月が未入力／","")&amp;IF($B1544="","",IF($AP1544="","職員マスタに未登録の職員番号／",IF($AA1544="","標準報酬月額が未登録／","")&amp;IF(AND($AQ1544&lt;&gt;"",OR(AND(INDEX(職員マスタ!$G$6:$G$405,$AP1544)&lt;&gt;"",INDEX(職員マスタ!$G$6:$G$405,$AP1544)&gt;EOMONTH($AQ1544,0)),AND(INDEX(職員マスタ!$H$6:$H$405,$AP1544)&lt;&gt;"",INDEX(職員マスタ!$H$6:$H$405,$AP1544)&lt;$AQ1544))),"対象月が時短期間外／","")&amp;IF(AND(INDEX(職員マスタ!$K$6:$K$405,$AP1544)&lt;&gt;"",N($W1544)&gt;0,INDEX(職員マスタ!$K$6:$K$405,$AP1544)&lt;&gt;$W1544),"標準報酬月額が申請書と相違（台帳"&amp;TEXT(INDEX(職員マスタ!$K$6:$K$405,$AP1544),"#,##0")&amp;"円／申請書"&amp;TEXT($W1544,"#,##0")&amp;"円）／","")&amp;IF(AND(INDEX(職員マスタ!$F$6:$F$405,$AP1544)&lt;&gt;"",$AQ1544&lt;&gt;"",INDEX(職員マスタ!$F$6:$F$405,$AP1544)&lt;$AQ1544),"対象月に子が2歳到達済／","")&amp;IF(AND($H1544&lt;&gt;"",INDEX(職員マスタ!$B$6:$B$405,$AP1544)&lt;&gt;"",SUBSTITUTE(SUBSTITUTE($H1544," ","")," ","")&lt;&gt;SUBSTITUTE(SUBSTITUTE(INDEX(職員マスタ!$B$6:$B$405,$AP1544)," ","")," ","")),"氏名がマスタと相違／","")&amp;IF(AND($Q1544&lt;&gt;"",INDEX(職員マスタ!$E$6:$E$405,$AP1544)&lt;&gt;"",$Q1544&lt;&gt;INDEX(職員マスタ!$E$6:$E$405,$AP1544)),"子の生年月日がマスタと相違／","")&amp;IF(AND($L1544&lt;&gt;"",INDEX(職員マスタ!$G$6:$G$405,$AP1544)&lt;&gt;"",$L1544&lt;&gt;INDEX(職員マスタ!$G$6:$G$405,$AP1544)),"時短開始日がマスタと相違／","")&amp;IF(AND($M1544&lt;&gt;"",INDEX(職員マスタ!$H$6:$H$405,$AP1544)&lt;&gt;"",$M1544&lt;&gt;INDEX(職員マスタ!$H$6:$H$405,$AP1544)),"時短終了日がマスタと相違／","")))&amp;IF(AND($B1544&lt;&gt;"",$E1544=""),"報酬額が未入力／","")&amp;IF(N($U1544)&gt;0,"申請書に入力エラーが残っています／","")&amp;IF(AND($B1544&lt;&gt;"",$AQ1544&lt;&gt;""),IF(COUNTIFS($B$6:$B$3005,$B1544,$C$6:$C$3005,$C1544,$D$6:$D$3005,$D1544)&gt;1,"同じ月の請求が重複しています／",""),"")&amp;IF(AND(N($E1544)&gt;0,$AB1544&lt;&gt;"",$AB1544&lt;&gt;"×",$AE1544=0,$AD1544=""),"計算額が下限以下のため不支給／",""))</f>
        <v/>
      </c>
      <c r="AN1544" s="12" t="n"/>
      <c r="AO1544" s="14">
        <f>IF($AF1544="保留中",COUNTIF($AF$6:$AF1544,"保留中"),"")</f>
        <v/>
      </c>
      <c r="AP1544" s="14">
        <f>IF($AQ1544="","",IF(SUMPRODUCT(MAX((職員マスタ!$A$6:$A$405=$B1544)*(((職員マスタ!$G$6:$G$405="")+(職員マスタ!$G$6:$G$405&lt;=EOMONTH($AQ1544,0)))&gt;0)*(((職員マスタ!$H$6:$H$405="")+(職員マスタ!$H$6:$H$405&gt;=$AQ1544))&gt;0)*(ROW(職員マスタ!$A$6:$A$405)-5)))&gt;0,SUMPRODUCT(MAX((職員マスタ!$A$6:$A$405=$B1544)*(((職員マスタ!$G$6:$G$405="")+(職員マスタ!$G$6:$G$405&lt;=EOMONTH($AQ1544,0)))&gt;0)*(((職員マスタ!$H$6:$H$405="")+(職員マスタ!$H$6:$H$405&gt;=$AQ1544))&gt;0)*(ROW(職員マスタ!$A$6:$A$405)-5))),IFERROR(MATCH($B1544,職員マスタ!$A$6:$A$405,0),"")))</f>
        <v/>
      </c>
      <c r="AQ1544" s="16">
        <f>IF(OR($B1544="",$C1544="",$D1544=""),"",DATE($C1544+2018,$D1544,1))</f>
        <v/>
      </c>
    </row>
    <row r="1545">
      <c r="A1545" s="11" t="n"/>
      <c r="B1545" s="12" t="n"/>
      <c r="C1545" s="12" t="n"/>
      <c r="D1545" s="12" t="n"/>
      <c r="E1545" s="13" t="n"/>
      <c r="F1545" s="12" t="n"/>
      <c r="G1545" s="13" t="n"/>
      <c r="H1545" s="12" t="n"/>
      <c r="I1545" s="12" t="n"/>
      <c r="J1545" s="12" t="n"/>
      <c r="K1545" s="12" t="n"/>
      <c r="L1545" s="11" t="n"/>
      <c r="M1545" s="11" t="n"/>
      <c r="N1545" s="11" t="n"/>
      <c r="O1545" s="11" t="n"/>
      <c r="P1545" s="12" t="n"/>
      <c r="Q1545" s="11" t="n"/>
      <c r="R1545" s="12" t="n"/>
      <c r="S1545" s="11" t="n"/>
      <c r="T1545" s="12" t="n"/>
      <c r="U1545" s="12" t="n"/>
      <c r="V1545" s="12" t="n"/>
      <c r="W1545" s="13" t="n"/>
      <c r="X1545" s="14">
        <f>IF($AP1545="",IF($B1545="","",$H1545),IF(INDEX(職員マスタ!$B$6:$B$405,$AP1545)="",$H1545,INDEX(職員マスタ!$B$6:$B$405,$AP1545)))</f>
        <v/>
      </c>
      <c r="Y1545" s="14">
        <f>IF($AP1545="",IF($B1545="","",$R1545),IF(INDEX(職員マスタ!$C$6:$C$405,$AP1545)="",$R1545,INDEX(職員マスタ!$C$6:$C$405,$AP1545)))</f>
        <v/>
      </c>
      <c r="Z1545" s="14">
        <f>IF($AQ1545="","","R"&amp;$C1545&amp;"."&amp;$D1545)</f>
        <v/>
      </c>
      <c r="AA1545" s="15">
        <f>IF(IF($AP1545="",FALSE,INDEX(職員マスタ!$K$6:$K$405,$AP1545)&lt;&gt;""),INDEX(職員マスタ!$K$6:$K$405,$AP1545),IF(N($W1545)&gt;0,$W1545,""))</f>
        <v/>
      </c>
      <c r="AB1545" s="14">
        <f>IF(OR($E1545="",$AA1545=""),"",IF($E1545&gt;=$AA1545,"×",IF($E1545&gt;=$AA1545*設定!$C$5,"△","○")))</f>
        <v/>
      </c>
      <c r="AC1545" s="15">
        <f>IF($AB1545="","",IF($AB1545="×",0,IF($AB1545="○",ROUNDDOWN($E1545*設定!$C$4,0),ROUNDDOWN($E1545*ROUND((9*$AA1545-9*$E1545)/(10*$E1545),4),0))))</f>
        <v/>
      </c>
      <c r="AD1545" s="13" t="n"/>
      <c r="AE1545" s="15">
        <f>IF($B1545="","",IF($AD1545&lt;&gt;"",$AD1545,IF($AC1545="","",IF($AC1545&lt;=設定!$C$3,0,$AC1545))))</f>
        <v/>
      </c>
      <c r="AF1545" s="14">
        <f>IF($B1545="","",IF(AND($AG1545&lt;&gt;"",$AI1545="",$AL1545=""),"保留中",IF($AL1545&lt;&gt;"",IF(N($AE1545)&gt;0,"支給済","不支給"),IF($AE1545="","要確認",IF($AE1545=0,"不支給","未処理")))))</f>
        <v/>
      </c>
      <c r="AG1545" s="12" t="n"/>
      <c r="AH1545" s="11" t="n"/>
      <c r="AI1545" s="11" t="n"/>
      <c r="AJ1545" s="11" t="n"/>
      <c r="AK1545" s="14">
        <f>IF(AND($AF1545="保留中",$AH1545&lt;&gt;""),TODAY()-$AH1545,"")</f>
        <v/>
      </c>
      <c r="AL1545" s="12" t="n"/>
      <c r="AM1545" s="14">
        <f>IF($B1545="","",IF($AQ1545="","対象年月が未入力／","")&amp;IF($B1545="","",IF($AP1545="","職員マスタに未登録の職員番号／",IF($AA1545="","標準報酬月額が未登録／","")&amp;IF(AND($AQ1545&lt;&gt;"",OR(AND(INDEX(職員マスタ!$G$6:$G$405,$AP1545)&lt;&gt;"",INDEX(職員マスタ!$G$6:$G$405,$AP1545)&gt;EOMONTH($AQ1545,0)),AND(INDEX(職員マスタ!$H$6:$H$405,$AP1545)&lt;&gt;"",INDEX(職員マスタ!$H$6:$H$405,$AP1545)&lt;$AQ1545))),"対象月が時短期間外／","")&amp;IF(AND(INDEX(職員マスタ!$K$6:$K$405,$AP1545)&lt;&gt;"",N($W1545)&gt;0,INDEX(職員マスタ!$K$6:$K$405,$AP1545)&lt;&gt;$W1545),"標準報酬月額が申請書と相違（台帳"&amp;TEXT(INDEX(職員マスタ!$K$6:$K$405,$AP1545),"#,##0")&amp;"円／申請書"&amp;TEXT($W1545,"#,##0")&amp;"円）／","")&amp;IF(AND(INDEX(職員マスタ!$F$6:$F$405,$AP1545)&lt;&gt;"",$AQ1545&lt;&gt;"",INDEX(職員マスタ!$F$6:$F$405,$AP1545)&lt;$AQ1545),"対象月に子が2歳到達済／","")&amp;IF(AND($H1545&lt;&gt;"",INDEX(職員マスタ!$B$6:$B$405,$AP1545)&lt;&gt;"",SUBSTITUTE(SUBSTITUTE($H1545," ","")," ","")&lt;&gt;SUBSTITUTE(SUBSTITUTE(INDEX(職員マスタ!$B$6:$B$405,$AP1545)," ","")," ","")),"氏名がマスタと相違／","")&amp;IF(AND($Q1545&lt;&gt;"",INDEX(職員マスタ!$E$6:$E$405,$AP1545)&lt;&gt;"",$Q1545&lt;&gt;INDEX(職員マスタ!$E$6:$E$405,$AP1545)),"子の生年月日がマスタと相違／","")&amp;IF(AND($L1545&lt;&gt;"",INDEX(職員マスタ!$G$6:$G$405,$AP1545)&lt;&gt;"",$L1545&lt;&gt;INDEX(職員マスタ!$G$6:$G$405,$AP1545)),"時短開始日がマスタと相違／","")&amp;IF(AND($M1545&lt;&gt;"",INDEX(職員マスタ!$H$6:$H$405,$AP1545)&lt;&gt;"",$M1545&lt;&gt;INDEX(職員マスタ!$H$6:$H$405,$AP1545)),"時短終了日がマスタと相違／","")))&amp;IF(AND($B1545&lt;&gt;"",$E1545=""),"報酬額が未入力／","")&amp;IF(N($U1545)&gt;0,"申請書に入力エラーが残っています／","")&amp;IF(AND($B1545&lt;&gt;"",$AQ1545&lt;&gt;""),IF(COUNTIFS($B$6:$B$3005,$B1545,$C$6:$C$3005,$C1545,$D$6:$D$3005,$D1545)&gt;1,"同じ月の請求が重複しています／",""),"")&amp;IF(AND(N($E1545)&gt;0,$AB1545&lt;&gt;"",$AB1545&lt;&gt;"×",$AE1545=0,$AD1545=""),"計算額が下限以下のため不支給／",""))</f>
        <v/>
      </c>
      <c r="AN1545" s="12" t="n"/>
      <c r="AO1545" s="14">
        <f>IF($AF1545="保留中",COUNTIF($AF$6:$AF1545,"保留中"),"")</f>
        <v/>
      </c>
      <c r="AP1545" s="14">
        <f>IF($AQ1545="","",IF(SUMPRODUCT(MAX((職員マスタ!$A$6:$A$405=$B1545)*(((職員マスタ!$G$6:$G$405="")+(職員マスタ!$G$6:$G$405&lt;=EOMONTH($AQ1545,0)))&gt;0)*(((職員マスタ!$H$6:$H$405="")+(職員マスタ!$H$6:$H$405&gt;=$AQ1545))&gt;0)*(ROW(職員マスタ!$A$6:$A$405)-5)))&gt;0,SUMPRODUCT(MAX((職員マスタ!$A$6:$A$405=$B1545)*(((職員マスタ!$G$6:$G$405="")+(職員マスタ!$G$6:$G$405&lt;=EOMONTH($AQ1545,0)))&gt;0)*(((職員マスタ!$H$6:$H$405="")+(職員マスタ!$H$6:$H$405&gt;=$AQ1545))&gt;0)*(ROW(職員マスタ!$A$6:$A$405)-5))),IFERROR(MATCH($B1545,職員マスタ!$A$6:$A$405,0),"")))</f>
        <v/>
      </c>
      <c r="AQ1545" s="16">
        <f>IF(OR($B1545="",$C1545="",$D1545=""),"",DATE($C1545+2018,$D1545,1))</f>
        <v/>
      </c>
    </row>
    <row r="1546">
      <c r="A1546" s="11" t="n"/>
      <c r="B1546" s="12" t="n"/>
      <c r="C1546" s="12" t="n"/>
      <c r="D1546" s="12" t="n"/>
      <c r="E1546" s="13" t="n"/>
      <c r="F1546" s="12" t="n"/>
      <c r="G1546" s="13" t="n"/>
      <c r="H1546" s="12" t="n"/>
      <c r="I1546" s="12" t="n"/>
      <c r="J1546" s="12" t="n"/>
      <c r="K1546" s="12" t="n"/>
      <c r="L1546" s="11" t="n"/>
      <c r="M1546" s="11" t="n"/>
      <c r="N1546" s="11" t="n"/>
      <c r="O1546" s="11" t="n"/>
      <c r="P1546" s="12" t="n"/>
      <c r="Q1546" s="11" t="n"/>
      <c r="R1546" s="12" t="n"/>
      <c r="S1546" s="11" t="n"/>
      <c r="T1546" s="12" t="n"/>
      <c r="U1546" s="12" t="n"/>
      <c r="V1546" s="12" t="n"/>
      <c r="W1546" s="13" t="n"/>
      <c r="X1546" s="14">
        <f>IF($AP1546="",IF($B1546="","",$H1546),IF(INDEX(職員マスタ!$B$6:$B$405,$AP1546)="",$H1546,INDEX(職員マスタ!$B$6:$B$405,$AP1546)))</f>
        <v/>
      </c>
      <c r="Y1546" s="14">
        <f>IF($AP1546="",IF($B1546="","",$R1546),IF(INDEX(職員マスタ!$C$6:$C$405,$AP1546)="",$R1546,INDEX(職員マスタ!$C$6:$C$405,$AP1546)))</f>
        <v/>
      </c>
      <c r="Z1546" s="14">
        <f>IF($AQ1546="","","R"&amp;$C1546&amp;"."&amp;$D1546)</f>
        <v/>
      </c>
      <c r="AA1546" s="15">
        <f>IF(IF($AP1546="",FALSE,INDEX(職員マスタ!$K$6:$K$405,$AP1546)&lt;&gt;""),INDEX(職員マスタ!$K$6:$K$405,$AP1546),IF(N($W1546)&gt;0,$W1546,""))</f>
        <v/>
      </c>
      <c r="AB1546" s="14">
        <f>IF(OR($E1546="",$AA1546=""),"",IF($E1546&gt;=$AA1546,"×",IF($E1546&gt;=$AA1546*設定!$C$5,"△","○")))</f>
        <v/>
      </c>
      <c r="AC1546" s="15">
        <f>IF($AB1546="","",IF($AB1546="×",0,IF($AB1546="○",ROUNDDOWN($E1546*設定!$C$4,0),ROUNDDOWN($E1546*ROUND((9*$AA1546-9*$E1546)/(10*$E1546),4),0))))</f>
        <v/>
      </c>
      <c r="AD1546" s="13" t="n"/>
      <c r="AE1546" s="15">
        <f>IF($B1546="","",IF($AD1546&lt;&gt;"",$AD1546,IF($AC1546="","",IF($AC1546&lt;=設定!$C$3,0,$AC1546))))</f>
        <v/>
      </c>
      <c r="AF1546" s="14">
        <f>IF($B1546="","",IF(AND($AG1546&lt;&gt;"",$AI1546="",$AL1546=""),"保留中",IF($AL1546&lt;&gt;"",IF(N($AE1546)&gt;0,"支給済","不支給"),IF($AE1546="","要確認",IF($AE1546=0,"不支給","未処理")))))</f>
        <v/>
      </c>
      <c r="AG1546" s="12" t="n"/>
      <c r="AH1546" s="11" t="n"/>
      <c r="AI1546" s="11" t="n"/>
      <c r="AJ1546" s="11" t="n"/>
      <c r="AK1546" s="14">
        <f>IF(AND($AF1546="保留中",$AH1546&lt;&gt;""),TODAY()-$AH1546,"")</f>
        <v/>
      </c>
      <c r="AL1546" s="12" t="n"/>
      <c r="AM1546" s="14">
        <f>IF($B1546="","",IF($AQ1546="","対象年月が未入力／","")&amp;IF($B1546="","",IF($AP1546="","職員マスタに未登録の職員番号／",IF($AA1546="","標準報酬月額が未登録／","")&amp;IF(AND($AQ1546&lt;&gt;"",OR(AND(INDEX(職員マスタ!$G$6:$G$405,$AP1546)&lt;&gt;"",INDEX(職員マスタ!$G$6:$G$405,$AP1546)&gt;EOMONTH($AQ1546,0)),AND(INDEX(職員マスタ!$H$6:$H$405,$AP1546)&lt;&gt;"",INDEX(職員マスタ!$H$6:$H$405,$AP1546)&lt;$AQ1546))),"対象月が時短期間外／","")&amp;IF(AND(INDEX(職員マスタ!$K$6:$K$405,$AP1546)&lt;&gt;"",N($W1546)&gt;0,INDEX(職員マスタ!$K$6:$K$405,$AP1546)&lt;&gt;$W1546),"標準報酬月額が申請書と相違（台帳"&amp;TEXT(INDEX(職員マスタ!$K$6:$K$405,$AP1546),"#,##0")&amp;"円／申請書"&amp;TEXT($W1546,"#,##0")&amp;"円）／","")&amp;IF(AND(INDEX(職員マスタ!$F$6:$F$405,$AP1546)&lt;&gt;"",$AQ1546&lt;&gt;"",INDEX(職員マスタ!$F$6:$F$405,$AP1546)&lt;$AQ1546),"対象月に子が2歳到達済／","")&amp;IF(AND($H1546&lt;&gt;"",INDEX(職員マスタ!$B$6:$B$405,$AP1546)&lt;&gt;"",SUBSTITUTE(SUBSTITUTE($H1546," ","")," ","")&lt;&gt;SUBSTITUTE(SUBSTITUTE(INDEX(職員マスタ!$B$6:$B$405,$AP1546)," ","")," ","")),"氏名がマスタと相違／","")&amp;IF(AND($Q1546&lt;&gt;"",INDEX(職員マスタ!$E$6:$E$405,$AP1546)&lt;&gt;"",$Q1546&lt;&gt;INDEX(職員マスタ!$E$6:$E$405,$AP1546)),"子の生年月日がマスタと相違／","")&amp;IF(AND($L1546&lt;&gt;"",INDEX(職員マスタ!$G$6:$G$405,$AP1546)&lt;&gt;"",$L1546&lt;&gt;INDEX(職員マスタ!$G$6:$G$405,$AP1546)),"時短開始日がマスタと相違／","")&amp;IF(AND($M1546&lt;&gt;"",INDEX(職員マスタ!$H$6:$H$405,$AP1546)&lt;&gt;"",$M1546&lt;&gt;INDEX(職員マスタ!$H$6:$H$405,$AP1546)),"時短終了日がマスタと相違／","")))&amp;IF(AND($B1546&lt;&gt;"",$E1546=""),"報酬額が未入力／","")&amp;IF(N($U1546)&gt;0,"申請書に入力エラーが残っています／","")&amp;IF(AND($B1546&lt;&gt;"",$AQ1546&lt;&gt;""),IF(COUNTIFS($B$6:$B$3005,$B1546,$C$6:$C$3005,$C1546,$D$6:$D$3005,$D1546)&gt;1,"同じ月の請求が重複しています／",""),"")&amp;IF(AND(N($E1546)&gt;0,$AB1546&lt;&gt;"",$AB1546&lt;&gt;"×",$AE1546=0,$AD1546=""),"計算額が下限以下のため不支給／",""))</f>
        <v/>
      </c>
      <c r="AN1546" s="12" t="n"/>
      <c r="AO1546" s="14">
        <f>IF($AF1546="保留中",COUNTIF($AF$6:$AF1546,"保留中"),"")</f>
        <v/>
      </c>
      <c r="AP1546" s="14">
        <f>IF($AQ1546="","",IF(SUMPRODUCT(MAX((職員マスタ!$A$6:$A$405=$B1546)*(((職員マスタ!$G$6:$G$405="")+(職員マスタ!$G$6:$G$405&lt;=EOMONTH($AQ1546,0)))&gt;0)*(((職員マスタ!$H$6:$H$405="")+(職員マスタ!$H$6:$H$405&gt;=$AQ1546))&gt;0)*(ROW(職員マスタ!$A$6:$A$405)-5)))&gt;0,SUMPRODUCT(MAX((職員マスタ!$A$6:$A$405=$B1546)*(((職員マスタ!$G$6:$G$405="")+(職員マスタ!$G$6:$G$405&lt;=EOMONTH($AQ1546,0)))&gt;0)*(((職員マスタ!$H$6:$H$405="")+(職員マスタ!$H$6:$H$405&gt;=$AQ1546))&gt;0)*(ROW(職員マスタ!$A$6:$A$405)-5))),IFERROR(MATCH($B1546,職員マスタ!$A$6:$A$405,0),"")))</f>
        <v/>
      </c>
      <c r="AQ1546" s="16">
        <f>IF(OR($B1546="",$C1546="",$D1546=""),"",DATE($C1546+2018,$D1546,1))</f>
        <v/>
      </c>
    </row>
    <row r="1547">
      <c r="A1547" s="11" t="n"/>
      <c r="B1547" s="12" t="n"/>
      <c r="C1547" s="12" t="n"/>
      <c r="D1547" s="12" t="n"/>
      <c r="E1547" s="13" t="n"/>
      <c r="F1547" s="12" t="n"/>
      <c r="G1547" s="13" t="n"/>
      <c r="H1547" s="12" t="n"/>
      <c r="I1547" s="12" t="n"/>
      <c r="J1547" s="12" t="n"/>
      <c r="K1547" s="12" t="n"/>
      <c r="L1547" s="11" t="n"/>
      <c r="M1547" s="11" t="n"/>
      <c r="N1547" s="11" t="n"/>
      <c r="O1547" s="11" t="n"/>
      <c r="P1547" s="12" t="n"/>
      <c r="Q1547" s="11" t="n"/>
      <c r="R1547" s="12" t="n"/>
      <c r="S1547" s="11" t="n"/>
      <c r="T1547" s="12" t="n"/>
      <c r="U1547" s="12" t="n"/>
      <c r="V1547" s="12" t="n"/>
      <c r="W1547" s="13" t="n"/>
      <c r="X1547" s="14">
        <f>IF($AP1547="",IF($B1547="","",$H1547),IF(INDEX(職員マスタ!$B$6:$B$405,$AP1547)="",$H1547,INDEX(職員マスタ!$B$6:$B$405,$AP1547)))</f>
        <v/>
      </c>
      <c r="Y1547" s="14">
        <f>IF($AP1547="",IF($B1547="","",$R1547),IF(INDEX(職員マスタ!$C$6:$C$405,$AP1547)="",$R1547,INDEX(職員マスタ!$C$6:$C$405,$AP1547)))</f>
        <v/>
      </c>
      <c r="Z1547" s="14">
        <f>IF($AQ1547="","","R"&amp;$C1547&amp;"."&amp;$D1547)</f>
        <v/>
      </c>
      <c r="AA1547" s="15">
        <f>IF(IF($AP1547="",FALSE,INDEX(職員マスタ!$K$6:$K$405,$AP1547)&lt;&gt;""),INDEX(職員マスタ!$K$6:$K$405,$AP1547),IF(N($W1547)&gt;0,$W1547,""))</f>
        <v/>
      </c>
      <c r="AB1547" s="14">
        <f>IF(OR($E1547="",$AA1547=""),"",IF($E1547&gt;=$AA1547,"×",IF($E1547&gt;=$AA1547*設定!$C$5,"△","○")))</f>
        <v/>
      </c>
      <c r="AC1547" s="15">
        <f>IF($AB1547="","",IF($AB1547="×",0,IF($AB1547="○",ROUNDDOWN($E1547*設定!$C$4,0),ROUNDDOWN($E1547*ROUND((9*$AA1547-9*$E1547)/(10*$E1547),4),0))))</f>
        <v/>
      </c>
      <c r="AD1547" s="13" t="n"/>
      <c r="AE1547" s="15">
        <f>IF($B1547="","",IF($AD1547&lt;&gt;"",$AD1547,IF($AC1547="","",IF($AC1547&lt;=設定!$C$3,0,$AC1547))))</f>
        <v/>
      </c>
      <c r="AF1547" s="14">
        <f>IF($B1547="","",IF(AND($AG1547&lt;&gt;"",$AI1547="",$AL1547=""),"保留中",IF($AL1547&lt;&gt;"",IF(N($AE1547)&gt;0,"支給済","不支給"),IF($AE1547="","要確認",IF($AE1547=0,"不支給","未処理")))))</f>
        <v/>
      </c>
      <c r="AG1547" s="12" t="n"/>
      <c r="AH1547" s="11" t="n"/>
      <c r="AI1547" s="11" t="n"/>
      <c r="AJ1547" s="11" t="n"/>
      <c r="AK1547" s="14">
        <f>IF(AND($AF1547="保留中",$AH1547&lt;&gt;""),TODAY()-$AH1547,"")</f>
        <v/>
      </c>
      <c r="AL1547" s="12" t="n"/>
      <c r="AM1547" s="14">
        <f>IF($B1547="","",IF($AQ1547="","対象年月が未入力／","")&amp;IF($B1547="","",IF($AP1547="","職員マスタに未登録の職員番号／",IF($AA1547="","標準報酬月額が未登録／","")&amp;IF(AND($AQ1547&lt;&gt;"",OR(AND(INDEX(職員マスタ!$G$6:$G$405,$AP1547)&lt;&gt;"",INDEX(職員マスタ!$G$6:$G$405,$AP1547)&gt;EOMONTH($AQ1547,0)),AND(INDEX(職員マスタ!$H$6:$H$405,$AP1547)&lt;&gt;"",INDEX(職員マスタ!$H$6:$H$405,$AP1547)&lt;$AQ1547))),"対象月が時短期間外／","")&amp;IF(AND(INDEX(職員マスタ!$K$6:$K$405,$AP1547)&lt;&gt;"",N($W1547)&gt;0,INDEX(職員マスタ!$K$6:$K$405,$AP1547)&lt;&gt;$W1547),"標準報酬月額が申請書と相違（台帳"&amp;TEXT(INDEX(職員マスタ!$K$6:$K$405,$AP1547),"#,##0")&amp;"円／申請書"&amp;TEXT($W1547,"#,##0")&amp;"円）／","")&amp;IF(AND(INDEX(職員マスタ!$F$6:$F$405,$AP1547)&lt;&gt;"",$AQ1547&lt;&gt;"",INDEX(職員マスタ!$F$6:$F$405,$AP1547)&lt;$AQ1547),"対象月に子が2歳到達済／","")&amp;IF(AND($H1547&lt;&gt;"",INDEX(職員マスタ!$B$6:$B$405,$AP1547)&lt;&gt;"",SUBSTITUTE(SUBSTITUTE($H1547," ","")," ","")&lt;&gt;SUBSTITUTE(SUBSTITUTE(INDEX(職員マスタ!$B$6:$B$405,$AP1547)," ","")," ","")),"氏名がマスタと相違／","")&amp;IF(AND($Q1547&lt;&gt;"",INDEX(職員マスタ!$E$6:$E$405,$AP1547)&lt;&gt;"",$Q1547&lt;&gt;INDEX(職員マスタ!$E$6:$E$405,$AP1547)),"子の生年月日がマスタと相違／","")&amp;IF(AND($L1547&lt;&gt;"",INDEX(職員マスタ!$G$6:$G$405,$AP1547)&lt;&gt;"",$L1547&lt;&gt;INDEX(職員マスタ!$G$6:$G$405,$AP1547)),"時短開始日がマスタと相違／","")&amp;IF(AND($M1547&lt;&gt;"",INDEX(職員マスタ!$H$6:$H$405,$AP1547)&lt;&gt;"",$M1547&lt;&gt;INDEX(職員マスタ!$H$6:$H$405,$AP1547)),"時短終了日がマスタと相違／","")))&amp;IF(AND($B1547&lt;&gt;"",$E1547=""),"報酬額が未入力／","")&amp;IF(N($U1547)&gt;0,"申請書に入力エラーが残っています／","")&amp;IF(AND($B1547&lt;&gt;"",$AQ1547&lt;&gt;""),IF(COUNTIFS($B$6:$B$3005,$B1547,$C$6:$C$3005,$C1547,$D$6:$D$3005,$D1547)&gt;1,"同じ月の請求が重複しています／",""),"")&amp;IF(AND(N($E1547)&gt;0,$AB1547&lt;&gt;"",$AB1547&lt;&gt;"×",$AE1547=0,$AD1547=""),"計算額が下限以下のため不支給／",""))</f>
        <v/>
      </c>
      <c r="AN1547" s="12" t="n"/>
      <c r="AO1547" s="14">
        <f>IF($AF1547="保留中",COUNTIF($AF$6:$AF1547,"保留中"),"")</f>
        <v/>
      </c>
      <c r="AP1547" s="14">
        <f>IF($AQ1547="","",IF(SUMPRODUCT(MAX((職員マスタ!$A$6:$A$405=$B1547)*(((職員マスタ!$G$6:$G$405="")+(職員マスタ!$G$6:$G$405&lt;=EOMONTH($AQ1547,0)))&gt;0)*(((職員マスタ!$H$6:$H$405="")+(職員マスタ!$H$6:$H$405&gt;=$AQ1547))&gt;0)*(ROW(職員マスタ!$A$6:$A$405)-5)))&gt;0,SUMPRODUCT(MAX((職員マスタ!$A$6:$A$405=$B1547)*(((職員マスタ!$G$6:$G$405="")+(職員マスタ!$G$6:$G$405&lt;=EOMONTH($AQ1547,0)))&gt;0)*(((職員マスタ!$H$6:$H$405="")+(職員マスタ!$H$6:$H$405&gt;=$AQ1547))&gt;0)*(ROW(職員マスタ!$A$6:$A$405)-5))),IFERROR(MATCH($B1547,職員マスタ!$A$6:$A$405,0),"")))</f>
        <v/>
      </c>
      <c r="AQ1547" s="16">
        <f>IF(OR($B1547="",$C1547="",$D1547=""),"",DATE($C1547+2018,$D1547,1))</f>
        <v/>
      </c>
    </row>
    <row r="1548">
      <c r="A1548" s="11" t="n"/>
      <c r="B1548" s="12" t="n"/>
      <c r="C1548" s="12" t="n"/>
      <c r="D1548" s="12" t="n"/>
      <c r="E1548" s="13" t="n"/>
      <c r="F1548" s="12" t="n"/>
      <c r="G1548" s="13" t="n"/>
      <c r="H1548" s="12" t="n"/>
      <c r="I1548" s="12" t="n"/>
      <c r="J1548" s="12" t="n"/>
      <c r="K1548" s="12" t="n"/>
      <c r="L1548" s="11" t="n"/>
      <c r="M1548" s="11" t="n"/>
      <c r="N1548" s="11" t="n"/>
      <c r="O1548" s="11" t="n"/>
      <c r="P1548" s="12" t="n"/>
      <c r="Q1548" s="11" t="n"/>
      <c r="R1548" s="12" t="n"/>
      <c r="S1548" s="11" t="n"/>
      <c r="T1548" s="12" t="n"/>
      <c r="U1548" s="12" t="n"/>
      <c r="V1548" s="12" t="n"/>
      <c r="W1548" s="13" t="n"/>
      <c r="X1548" s="14">
        <f>IF($AP1548="",IF($B1548="","",$H1548),IF(INDEX(職員マスタ!$B$6:$B$405,$AP1548)="",$H1548,INDEX(職員マスタ!$B$6:$B$405,$AP1548)))</f>
        <v/>
      </c>
      <c r="Y1548" s="14">
        <f>IF($AP1548="",IF($B1548="","",$R1548),IF(INDEX(職員マスタ!$C$6:$C$405,$AP1548)="",$R1548,INDEX(職員マスタ!$C$6:$C$405,$AP1548)))</f>
        <v/>
      </c>
      <c r="Z1548" s="14">
        <f>IF($AQ1548="","","R"&amp;$C1548&amp;"."&amp;$D1548)</f>
        <v/>
      </c>
      <c r="AA1548" s="15">
        <f>IF(IF($AP1548="",FALSE,INDEX(職員マスタ!$K$6:$K$405,$AP1548)&lt;&gt;""),INDEX(職員マスタ!$K$6:$K$405,$AP1548),IF(N($W1548)&gt;0,$W1548,""))</f>
        <v/>
      </c>
      <c r="AB1548" s="14">
        <f>IF(OR($E1548="",$AA1548=""),"",IF($E1548&gt;=$AA1548,"×",IF($E1548&gt;=$AA1548*設定!$C$5,"△","○")))</f>
        <v/>
      </c>
      <c r="AC1548" s="15">
        <f>IF($AB1548="","",IF($AB1548="×",0,IF($AB1548="○",ROUNDDOWN($E1548*設定!$C$4,0),ROUNDDOWN($E1548*ROUND((9*$AA1548-9*$E1548)/(10*$E1548),4),0))))</f>
        <v/>
      </c>
      <c r="AD1548" s="13" t="n"/>
      <c r="AE1548" s="15">
        <f>IF($B1548="","",IF($AD1548&lt;&gt;"",$AD1548,IF($AC1548="","",IF($AC1548&lt;=設定!$C$3,0,$AC1548))))</f>
        <v/>
      </c>
      <c r="AF1548" s="14">
        <f>IF($B1548="","",IF(AND($AG1548&lt;&gt;"",$AI1548="",$AL1548=""),"保留中",IF($AL1548&lt;&gt;"",IF(N($AE1548)&gt;0,"支給済","不支給"),IF($AE1548="","要確認",IF($AE1548=0,"不支給","未処理")))))</f>
        <v/>
      </c>
      <c r="AG1548" s="12" t="n"/>
      <c r="AH1548" s="11" t="n"/>
      <c r="AI1548" s="11" t="n"/>
      <c r="AJ1548" s="11" t="n"/>
      <c r="AK1548" s="14">
        <f>IF(AND($AF1548="保留中",$AH1548&lt;&gt;""),TODAY()-$AH1548,"")</f>
        <v/>
      </c>
      <c r="AL1548" s="12" t="n"/>
      <c r="AM1548" s="14">
        <f>IF($B1548="","",IF($AQ1548="","対象年月が未入力／","")&amp;IF($B1548="","",IF($AP1548="","職員マスタに未登録の職員番号／",IF($AA1548="","標準報酬月額が未登録／","")&amp;IF(AND($AQ1548&lt;&gt;"",OR(AND(INDEX(職員マスタ!$G$6:$G$405,$AP1548)&lt;&gt;"",INDEX(職員マスタ!$G$6:$G$405,$AP1548)&gt;EOMONTH($AQ1548,0)),AND(INDEX(職員マスタ!$H$6:$H$405,$AP1548)&lt;&gt;"",INDEX(職員マスタ!$H$6:$H$405,$AP1548)&lt;$AQ1548))),"対象月が時短期間外／","")&amp;IF(AND(INDEX(職員マスタ!$K$6:$K$405,$AP1548)&lt;&gt;"",N($W1548)&gt;0,INDEX(職員マスタ!$K$6:$K$405,$AP1548)&lt;&gt;$W1548),"標準報酬月額が申請書と相違（台帳"&amp;TEXT(INDEX(職員マスタ!$K$6:$K$405,$AP1548),"#,##0")&amp;"円／申請書"&amp;TEXT($W1548,"#,##0")&amp;"円）／","")&amp;IF(AND(INDEX(職員マスタ!$F$6:$F$405,$AP1548)&lt;&gt;"",$AQ1548&lt;&gt;"",INDEX(職員マスタ!$F$6:$F$405,$AP1548)&lt;$AQ1548),"対象月に子が2歳到達済／","")&amp;IF(AND($H1548&lt;&gt;"",INDEX(職員マスタ!$B$6:$B$405,$AP1548)&lt;&gt;"",SUBSTITUTE(SUBSTITUTE($H1548," ","")," ","")&lt;&gt;SUBSTITUTE(SUBSTITUTE(INDEX(職員マスタ!$B$6:$B$405,$AP1548)," ","")," ","")),"氏名がマスタと相違／","")&amp;IF(AND($Q1548&lt;&gt;"",INDEX(職員マスタ!$E$6:$E$405,$AP1548)&lt;&gt;"",$Q1548&lt;&gt;INDEX(職員マスタ!$E$6:$E$405,$AP1548)),"子の生年月日がマスタと相違／","")&amp;IF(AND($L1548&lt;&gt;"",INDEX(職員マスタ!$G$6:$G$405,$AP1548)&lt;&gt;"",$L1548&lt;&gt;INDEX(職員マスタ!$G$6:$G$405,$AP1548)),"時短開始日がマスタと相違／","")&amp;IF(AND($M1548&lt;&gt;"",INDEX(職員マスタ!$H$6:$H$405,$AP1548)&lt;&gt;"",$M1548&lt;&gt;INDEX(職員マスタ!$H$6:$H$405,$AP1548)),"時短終了日がマスタと相違／","")))&amp;IF(AND($B1548&lt;&gt;"",$E1548=""),"報酬額が未入力／","")&amp;IF(N($U1548)&gt;0,"申請書に入力エラーが残っています／","")&amp;IF(AND($B1548&lt;&gt;"",$AQ1548&lt;&gt;""),IF(COUNTIFS($B$6:$B$3005,$B1548,$C$6:$C$3005,$C1548,$D$6:$D$3005,$D1548)&gt;1,"同じ月の請求が重複しています／",""),"")&amp;IF(AND(N($E1548)&gt;0,$AB1548&lt;&gt;"",$AB1548&lt;&gt;"×",$AE1548=0,$AD1548=""),"計算額が下限以下のため不支給／",""))</f>
        <v/>
      </c>
      <c r="AN1548" s="12" t="n"/>
      <c r="AO1548" s="14">
        <f>IF($AF1548="保留中",COUNTIF($AF$6:$AF1548,"保留中"),"")</f>
        <v/>
      </c>
      <c r="AP1548" s="14">
        <f>IF($AQ1548="","",IF(SUMPRODUCT(MAX((職員マスタ!$A$6:$A$405=$B1548)*(((職員マスタ!$G$6:$G$405="")+(職員マスタ!$G$6:$G$405&lt;=EOMONTH($AQ1548,0)))&gt;0)*(((職員マスタ!$H$6:$H$405="")+(職員マスタ!$H$6:$H$405&gt;=$AQ1548))&gt;0)*(ROW(職員マスタ!$A$6:$A$405)-5)))&gt;0,SUMPRODUCT(MAX((職員マスタ!$A$6:$A$405=$B1548)*(((職員マスタ!$G$6:$G$405="")+(職員マスタ!$G$6:$G$405&lt;=EOMONTH($AQ1548,0)))&gt;0)*(((職員マスタ!$H$6:$H$405="")+(職員マスタ!$H$6:$H$405&gt;=$AQ1548))&gt;0)*(ROW(職員マスタ!$A$6:$A$405)-5))),IFERROR(MATCH($B1548,職員マスタ!$A$6:$A$405,0),"")))</f>
        <v/>
      </c>
      <c r="AQ1548" s="16">
        <f>IF(OR($B1548="",$C1548="",$D1548=""),"",DATE($C1548+2018,$D1548,1))</f>
        <v/>
      </c>
    </row>
    <row r="1549">
      <c r="A1549" s="11" t="n"/>
      <c r="B1549" s="12" t="n"/>
      <c r="C1549" s="12" t="n"/>
      <c r="D1549" s="12" t="n"/>
      <c r="E1549" s="13" t="n"/>
      <c r="F1549" s="12" t="n"/>
      <c r="G1549" s="13" t="n"/>
      <c r="H1549" s="12" t="n"/>
      <c r="I1549" s="12" t="n"/>
      <c r="J1549" s="12" t="n"/>
      <c r="K1549" s="12" t="n"/>
      <c r="L1549" s="11" t="n"/>
      <c r="M1549" s="11" t="n"/>
      <c r="N1549" s="11" t="n"/>
      <c r="O1549" s="11" t="n"/>
      <c r="P1549" s="12" t="n"/>
      <c r="Q1549" s="11" t="n"/>
      <c r="R1549" s="12" t="n"/>
      <c r="S1549" s="11" t="n"/>
      <c r="T1549" s="12" t="n"/>
      <c r="U1549" s="12" t="n"/>
      <c r="V1549" s="12" t="n"/>
      <c r="W1549" s="13" t="n"/>
      <c r="X1549" s="14">
        <f>IF($AP1549="",IF($B1549="","",$H1549),IF(INDEX(職員マスタ!$B$6:$B$405,$AP1549)="",$H1549,INDEX(職員マスタ!$B$6:$B$405,$AP1549)))</f>
        <v/>
      </c>
      <c r="Y1549" s="14">
        <f>IF($AP1549="",IF($B1549="","",$R1549),IF(INDEX(職員マスタ!$C$6:$C$405,$AP1549)="",$R1549,INDEX(職員マスタ!$C$6:$C$405,$AP1549)))</f>
        <v/>
      </c>
      <c r="Z1549" s="14">
        <f>IF($AQ1549="","","R"&amp;$C1549&amp;"."&amp;$D1549)</f>
        <v/>
      </c>
      <c r="AA1549" s="15">
        <f>IF(IF($AP1549="",FALSE,INDEX(職員マスタ!$K$6:$K$405,$AP1549)&lt;&gt;""),INDEX(職員マスタ!$K$6:$K$405,$AP1549),IF(N($W1549)&gt;0,$W1549,""))</f>
        <v/>
      </c>
      <c r="AB1549" s="14">
        <f>IF(OR($E1549="",$AA1549=""),"",IF($E1549&gt;=$AA1549,"×",IF($E1549&gt;=$AA1549*設定!$C$5,"△","○")))</f>
        <v/>
      </c>
      <c r="AC1549" s="15">
        <f>IF($AB1549="","",IF($AB1549="×",0,IF($AB1549="○",ROUNDDOWN($E1549*設定!$C$4,0),ROUNDDOWN($E1549*ROUND((9*$AA1549-9*$E1549)/(10*$E1549),4),0))))</f>
        <v/>
      </c>
      <c r="AD1549" s="13" t="n"/>
      <c r="AE1549" s="15">
        <f>IF($B1549="","",IF($AD1549&lt;&gt;"",$AD1549,IF($AC1549="","",IF($AC1549&lt;=設定!$C$3,0,$AC1549))))</f>
        <v/>
      </c>
      <c r="AF1549" s="14">
        <f>IF($B1549="","",IF(AND($AG1549&lt;&gt;"",$AI1549="",$AL1549=""),"保留中",IF($AL1549&lt;&gt;"",IF(N($AE1549)&gt;0,"支給済","不支給"),IF($AE1549="","要確認",IF($AE1549=0,"不支給","未処理")))))</f>
        <v/>
      </c>
      <c r="AG1549" s="12" t="n"/>
      <c r="AH1549" s="11" t="n"/>
      <c r="AI1549" s="11" t="n"/>
      <c r="AJ1549" s="11" t="n"/>
      <c r="AK1549" s="14">
        <f>IF(AND($AF1549="保留中",$AH1549&lt;&gt;""),TODAY()-$AH1549,"")</f>
        <v/>
      </c>
      <c r="AL1549" s="12" t="n"/>
      <c r="AM1549" s="14">
        <f>IF($B1549="","",IF($AQ1549="","対象年月が未入力／","")&amp;IF($B1549="","",IF($AP1549="","職員マスタに未登録の職員番号／",IF($AA1549="","標準報酬月額が未登録／","")&amp;IF(AND($AQ1549&lt;&gt;"",OR(AND(INDEX(職員マスタ!$G$6:$G$405,$AP1549)&lt;&gt;"",INDEX(職員マスタ!$G$6:$G$405,$AP1549)&gt;EOMONTH($AQ1549,0)),AND(INDEX(職員マスタ!$H$6:$H$405,$AP1549)&lt;&gt;"",INDEX(職員マスタ!$H$6:$H$405,$AP1549)&lt;$AQ1549))),"対象月が時短期間外／","")&amp;IF(AND(INDEX(職員マスタ!$K$6:$K$405,$AP1549)&lt;&gt;"",N($W1549)&gt;0,INDEX(職員マスタ!$K$6:$K$405,$AP1549)&lt;&gt;$W1549),"標準報酬月額が申請書と相違（台帳"&amp;TEXT(INDEX(職員マスタ!$K$6:$K$405,$AP1549),"#,##0")&amp;"円／申請書"&amp;TEXT($W1549,"#,##0")&amp;"円）／","")&amp;IF(AND(INDEX(職員マスタ!$F$6:$F$405,$AP1549)&lt;&gt;"",$AQ1549&lt;&gt;"",INDEX(職員マスタ!$F$6:$F$405,$AP1549)&lt;$AQ1549),"対象月に子が2歳到達済／","")&amp;IF(AND($H1549&lt;&gt;"",INDEX(職員マスタ!$B$6:$B$405,$AP1549)&lt;&gt;"",SUBSTITUTE(SUBSTITUTE($H1549," ","")," ","")&lt;&gt;SUBSTITUTE(SUBSTITUTE(INDEX(職員マスタ!$B$6:$B$405,$AP1549)," ","")," ","")),"氏名がマスタと相違／","")&amp;IF(AND($Q1549&lt;&gt;"",INDEX(職員マスタ!$E$6:$E$405,$AP1549)&lt;&gt;"",$Q1549&lt;&gt;INDEX(職員マスタ!$E$6:$E$405,$AP1549)),"子の生年月日がマスタと相違／","")&amp;IF(AND($L1549&lt;&gt;"",INDEX(職員マスタ!$G$6:$G$405,$AP1549)&lt;&gt;"",$L1549&lt;&gt;INDEX(職員マスタ!$G$6:$G$405,$AP1549)),"時短開始日がマスタと相違／","")&amp;IF(AND($M1549&lt;&gt;"",INDEX(職員マスタ!$H$6:$H$405,$AP1549)&lt;&gt;"",$M1549&lt;&gt;INDEX(職員マスタ!$H$6:$H$405,$AP1549)),"時短終了日がマスタと相違／","")))&amp;IF(AND($B1549&lt;&gt;"",$E1549=""),"報酬額が未入力／","")&amp;IF(N($U1549)&gt;0,"申請書に入力エラーが残っています／","")&amp;IF(AND($B1549&lt;&gt;"",$AQ1549&lt;&gt;""),IF(COUNTIFS($B$6:$B$3005,$B1549,$C$6:$C$3005,$C1549,$D$6:$D$3005,$D1549)&gt;1,"同じ月の請求が重複しています／",""),"")&amp;IF(AND(N($E1549)&gt;0,$AB1549&lt;&gt;"",$AB1549&lt;&gt;"×",$AE1549=0,$AD1549=""),"計算額が下限以下のため不支給／",""))</f>
        <v/>
      </c>
      <c r="AN1549" s="12" t="n"/>
      <c r="AO1549" s="14">
        <f>IF($AF1549="保留中",COUNTIF($AF$6:$AF1549,"保留中"),"")</f>
        <v/>
      </c>
      <c r="AP1549" s="14">
        <f>IF($AQ1549="","",IF(SUMPRODUCT(MAX((職員マスタ!$A$6:$A$405=$B1549)*(((職員マスタ!$G$6:$G$405="")+(職員マスタ!$G$6:$G$405&lt;=EOMONTH($AQ1549,0)))&gt;0)*(((職員マスタ!$H$6:$H$405="")+(職員マスタ!$H$6:$H$405&gt;=$AQ1549))&gt;0)*(ROW(職員マスタ!$A$6:$A$405)-5)))&gt;0,SUMPRODUCT(MAX((職員マスタ!$A$6:$A$405=$B1549)*(((職員マスタ!$G$6:$G$405="")+(職員マスタ!$G$6:$G$405&lt;=EOMONTH($AQ1549,0)))&gt;0)*(((職員マスタ!$H$6:$H$405="")+(職員マスタ!$H$6:$H$405&gt;=$AQ1549))&gt;0)*(ROW(職員マスタ!$A$6:$A$405)-5))),IFERROR(MATCH($B1549,職員マスタ!$A$6:$A$405,0),"")))</f>
        <v/>
      </c>
      <c r="AQ1549" s="16">
        <f>IF(OR($B1549="",$C1549="",$D1549=""),"",DATE($C1549+2018,$D1549,1))</f>
        <v/>
      </c>
    </row>
    <row r="1550">
      <c r="A1550" s="11" t="n"/>
      <c r="B1550" s="12" t="n"/>
      <c r="C1550" s="12" t="n"/>
      <c r="D1550" s="12" t="n"/>
      <c r="E1550" s="13" t="n"/>
      <c r="F1550" s="12" t="n"/>
      <c r="G1550" s="13" t="n"/>
      <c r="H1550" s="12" t="n"/>
      <c r="I1550" s="12" t="n"/>
      <c r="J1550" s="12" t="n"/>
      <c r="K1550" s="12" t="n"/>
      <c r="L1550" s="11" t="n"/>
      <c r="M1550" s="11" t="n"/>
      <c r="N1550" s="11" t="n"/>
      <c r="O1550" s="11" t="n"/>
      <c r="P1550" s="12" t="n"/>
      <c r="Q1550" s="11" t="n"/>
      <c r="R1550" s="12" t="n"/>
      <c r="S1550" s="11" t="n"/>
      <c r="T1550" s="12" t="n"/>
      <c r="U1550" s="12" t="n"/>
      <c r="V1550" s="12" t="n"/>
      <c r="W1550" s="13" t="n"/>
      <c r="X1550" s="14">
        <f>IF($AP1550="",IF($B1550="","",$H1550),IF(INDEX(職員マスタ!$B$6:$B$405,$AP1550)="",$H1550,INDEX(職員マスタ!$B$6:$B$405,$AP1550)))</f>
        <v/>
      </c>
      <c r="Y1550" s="14">
        <f>IF($AP1550="",IF($B1550="","",$R1550),IF(INDEX(職員マスタ!$C$6:$C$405,$AP1550)="",$R1550,INDEX(職員マスタ!$C$6:$C$405,$AP1550)))</f>
        <v/>
      </c>
      <c r="Z1550" s="14">
        <f>IF($AQ1550="","","R"&amp;$C1550&amp;"."&amp;$D1550)</f>
        <v/>
      </c>
      <c r="AA1550" s="15">
        <f>IF(IF($AP1550="",FALSE,INDEX(職員マスタ!$K$6:$K$405,$AP1550)&lt;&gt;""),INDEX(職員マスタ!$K$6:$K$405,$AP1550),IF(N($W1550)&gt;0,$W1550,""))</f>
        <v/>
      </c>
      <c r="AB1550" s="14">
        <f>IF(OR($E1550="",$AA1550=""),"",IF($E1550&gt;=$AA1550,"×",IF($E1550&gt;=$AA1550*設定!$C$5,"△","○")))</f>
        <v/>
      </c>
      <c r="AC1550" s="15">
        <f>IF($AB1550="","",IF($AB1550="×",0,IF($AB1550="○",ROUNDDOWN($E1550*設定!$C$4,0),ROUNDDOWN($E1550*ROUND((9*$AA1550-9*$E1550)/(10*$E1550),4),0))))</f>
        <v/>
      </c>
      <c r="AD1550" s="13" t="n"/>
      <c r="AE1550" s="15">
        <f>IF($B1550="","",IF($AD1550&lt;&gt;"",$AD1550,IF($AC1550="","",IF($AC1550&lt;=設定!$C$3,0,$AC1550))))</f>
        <v/>
      </c>
      <c r="AF1550" s="14">
        <f>IF($B1550="","",IF(AND($AG1550&lt;&gt;"",$AI1550="",$AL1550=""),"保留中",IF($AL1550&lt;&gt;"",IF(N($AE1550)&gt;0,"支給済","不支給"),IF($AE1550="","要確認",IF($AE1550=0,"不支給","未処理")))))</f>
        <v/>
      </c>
      <c r="AG1550" s="12" t="n"/>
      <c r="AH1550" s="11" t="n"/>
      <c r="AI1550" s="11" t="n"/>
      <c r="AJ1550" s="11" t="n"/>
      <c r="AK1550" s="14">
        <f>IF(AND($AF1550="保留中",$AH1550&lt;&gt;""),TODAY()-$AH1550,"")</f>
        <v/>
      </c>
      <c r="AL1550" s="12" t="n"/>
      <c r="AM1550" s="14">
        <f>IF($B1550="","",IF($AQ1550="","対象年月が未入力／","")&amp;IF($B1550="","",IF($AP1550="","職員マスタに未登録の職員番号／",IF($AA1550="","標準報酬月額が未登録／","")&amp;IF(AND($AQ1550&lt;&gt;"",OR(AND(INDEX(職員マスタ!$G$6:$G$405,$AP1550)&lt;&gt;"",INDEX(職員マスタ!$G$6:$G$405,$AP1550)&gt;EOMONTH($AQ1550,0)),AND(INDEX(職員マスタ!$H$6:$H$405,$AP1550)&lt;&gt;"",INDEX(職員マスタ!$H$6:$H$405,$AP1550)&lt;$AQ1550))),"対象月が時短期間外／","")&amp;IF(AND(INDEX(職員マスタ!$K$6:$K$405,$AP1550)&lt;&gt;"",N($W1550)&gt;0,INDEX(職員マスタ!$K$6:$K$405,$AP1550)&lt;&gt;$W1550),"標準報酬月額が申請書と相違（台帳"&amp;TEXT(INDEX(職員マスタ!$K$6:$K$405,$AP1550),"#,##0")&amp;"円／申請書"&amp;TEXT($W1550,"#,##0")&amp;"円）／","")&amp;IF(AND(INDEX(職員マスタ!$F$6:$F$405,$AP1550)&lt;&gt;"",$AQ1550&lt;&gt;"",INDEX(職員マスタ!$F$6:$F$405,$AP1550)&lt;$AQ1550),"対象月に子が2歳到達済／","")&amp;IF(AND($H1550&lt;&gt;"",INDEX(職員マスタ!$B$6:$B$405,$AP1550)&lt;&gt;"",SUBSTITUTE(SUBSTITUTE($H1550," ","")," ","")&lt;&gt;SUBSTITUTE(SUBSTITUTE(INDEX(職員マスタ!$B$6:$B$405,$AP1550)," ","")," ","")),"氏名がマスタと相違／","")&amp;IF(AND($Q1550&lt;&gt;"",INDEX(職員マスタ!$E$6:$E$405,$AP1550)&lt;&gt;"",$Q1550&lt;&gt;INDEX(職員マスタ!$E$6:$E$405,$AP1550)),"子の生年月日がマスタと相違／","")&amp;IF(AND($L1550&lt;&gt;"",INDEX(職員マスタ!$G$6:$G$405,$AP1550)&lt;&gt;"",$L1550&lt;&gt;INDEX(職員マスタ!$G$6:$G$405,$AP1550)),"時短開始日がマスタと相違／","")&amp;IF(AND($M1550&lt;&gt;"",INDEX(職員マスタ!$H$6:$H$405,$AP1550)&lt;&gt;"",$M1550&lt;&gt;INDEX(職員マスタ!$H$6:$H$405,$AP1550)),"時短終了日がマスタと相違／","")))&amp;IF(AND($B1550&lt;&gt;"",$E1550=""),"報酬額が未入力／","")&amp;IF(N($U1550)&gt;0,"申請書に入力エラーが残っています／","")&amp;IF(AND($B1550&lt;&gt;"",$AQ1550&lt;&gt;""),IF(COUNTIFS($B$6:$B$3005,$B1550,$C$6:$C$3005,$C1550,$D$6:$D$3005,$D1550)&gt;1,"同じ月の請求が重複しています／",""),"")&amp;IF(AND(N($E1550)&gt;0,$AB1550&lt;&gt;"",$AB1550&lt;&gt;"×",$AE1550=0,$AD1550=""),"計算額が下限以下のため不支給／",""))</f>
        <v/>
      </c>
      <c r="AN1550" s="12" t="n"/>
      <c r="AO1550" s="14">
        <f>IF($AF1550="保留中",COUNTIF($AF$6:$AF1550,"保留中"),"")</f>
        <v/>
      </c>
      <c r="AP1550" s="14">
        <f>IF($AQ1550="","",IF(SUMPRODUCT(MAX((職員マスタ!$A$6:$A$405=$B1550)*(((職員マスタ!$G$6:$G$405="")+(職員マスタ!$G$6:$G$405&lt;=EOMONTH($AQ1550,0)))&gt;0)*(((職員マスタ!$H$6:$H$405="")+(職員マスタ!$H$6:$H$405&gt;=$AQ1550))&gt;0)*(ROW(職員マスタ!$A$6:$A$405)-5)))&gt;0,SUMPRODUCT(MAX((職員マスタ!$A$6:$A$405=$B1550)*(((職員マスタ!$G$6:$G$405="")+(職員マスタ!$G$6:$G$405&lt;=EOMONTH($AQ1550,0)))&gt;0)*(((職員マスタ!$H$6:$H$405="")+(職員マスタ!$H$6:$H$405&gt;=$AQ1550))&gt;0)*(ROW(職員マスタ!$A$6:$A$405)-5))),IFERROR(MATCH($B1550,職員マスタ!$A$6:$A$405,0),"")))</f>
        <v/>
      </c>
      <c r="AQ1550" s="16">
        <f>IF(OR($B1550="",$C1550="",$D1550=""),"",DATE($C1550+2018,$D1550,1))</f>
        <v/>
      </c>
    </row>
    <row r="1551">
      <c r="A1551" s="11" t="n"/>
      <c r="B1551" s="12" t="n"/>
      <c r="C1551" s="12" t="n"/>
      <c r="D1551" s="12" t="n"/>
      <c r="E1551" s="13" t="n"/>
      <c r="F1551" s="12" t="n"/>
      <c r="G1551" s="13" t="n"/>
      <c r="H1551" s="12" t="n"/>
      <c r="I1551" s="12" t="n"/>
      <c r="J1551" s="12" t="n"/>
      <c r="K1551" s="12" t="n"/>
      <c r="L1551" s="11" t="n"/>
      <c r="M1551" s="11" t="n"/>
      <c r="N1551" s="11" t="n"/>
      <c r="O1551" s="11" t="n"/>
      <c r="P1551" s="12" t="n"/>
      <c r="Q1551" s="11" t="n"/>
      <c r="R1551" s="12" t="n"/>
      <c r="S1551" s="11" t="n"/>
      <c r="T1551" s="12" t="n"/>
      <c r="U1551" s="12" t="n"/>
      <c r="V1551" s="12" t="n"/>
      <c r="W1551" s="13" t="n"/>
      <c r="X1551" s="14">
        <f>IF($AP1551="",IF($B1551="","",$H1551),IF(INDEX(職員マスタ!$B$6:$B$405,$AP1551)="",$H1551,INDEX(職員マスタ!$B$6:$B$405,$AP1551)))</f>
        <v/>
      </c>
      <c r="Y1551" s="14">
        <f>IF($AP1551="",IF($B1551="","",$R1551),IF(INDEX(職員マスタ!$C$6:$C$405,$AP1551)="",$R1551,INDEX(職員マスタ!$C$6:$C$405,$AP1551)))</f>
        <v/>
      </c>
      <c r="Z1551" s="14">
        <f>IF($AQ1551="","","R"&amp;$C1551&amp;"."&amp;$D1551)</f>
        <v/>
      </c>
      <c r="AA1551" s="15">
        <f>IF(IF($AP1551="",FALSE,INDEX(職員マスタ!$K$6:$K$405,$AP1551)&lt;&gt;""),INDEX(職員マスタ!$K$6:$K$405,$AP1551),IF(N($W1551)&gt;0,$W1551,""))</f>
        <v/>
      </c>
      <c r="AB1551" s="14">
        <f>IF(OR($E1551="",$AA1551=""),"",IF($E1551&gt;=$AA1551,"×",IF($E1551&gt;=$AA1551*設定!$C$5,"△","○")))</f>
        <v/>
      </c>
      <c r="AC1551" s="15">
        <f>IF($AB1551="","",IF($AB1551="×",0,IF($AB1551="○",ROUNDDOWN($E1551*設定!$C$4,0),ROUNDDOWN($E1551*ROUND((9*$AA1551-9*$E1551)/(10*$E1551),4),0))))</f>
        <v/>
      </c>
      <c r="AD1551" s="13" t="n"/>
      <c r="AE1551" s="15">
        <f>IF($B1551="","",IF($AD1551&lt;&gt;"",$AD1551,IF($AC1551="","",IF($AC1551&lt;=設定!$C$3,0,$AC1551))))</f>
        <v/>
      </c>
      <c r="AF1551" s="14">
        <f>IF($B1551="","",IF(AND($AG1551&lt;&gt;"",$AI1551="",$AL1551=""),"保留中",IF($AL1551&lt;&gt;"",IF(N($AE1551)&gt;0,"支給済","不支給"),IF($AE1551="","要確認",IF($AE1551=0,"不支給","未処理")))))</f>
        <v/>
      </c>
      <c r="AG1551" s="12" t="n"/>
      <c r="AH1551" s="11" t="n"/>
      <c r="AI1551" s="11" t="n"/>
      <c r="AJ1551" s="11" t="n"/>
      <c r="AK1551" s="14">
        <f>IF(AND($AF1551="保留中",$AH1551&lt;&gt;""),TODAY()-$AH1551,"")</f>
        <v/>
      </c>
      <c r="AL1551" s="12" t="n"/>
      <c r="AM1551" s="14">
        <f>IF($B1551="","",IF($AQ1551="","対象年月が未入力／","")&amp;IF($B1551="","",IF($AP1551="","職員マスタに未登録の職員番号／",IF($AA1551="","標準報酬月額が未登録／","")&amp;IF(AND($AQ1551&lt;&gt;"",OR(AND(INDEX(職員マスタ!$G$6:$G$405,$AP1551)&lt;&gt;"",INDEX(職員マスタ!$G$6:$G$405,$AP1551)&gt;EOMONTH($AQ1551,0)),AND(INDEX(職員マスタ!$H$6:$H$405,$AP1551)&lt;&gt;"",INDEX(職員マスタ!$H$6:$H$405,$AP1551)&lt;$AQ1551))),"対象月が時短期間外／","")&amp;IF(AND(INDEX(職員マスタ!$K$6:$K$405,$AP1551)&lt;&gt;"",N($W1551)&gt;0,INDEX(職員マスタ!$K$6:$K$405,$AP1551)&lt;&gt;$W1551),"標準報酬月額が申請書と相違（台帳"&amp;TEXT(INDEX(職員マスタ!$K$6:$K$405,$AP1551),"#,##0")&amp;"円／申請書"&amp;TEXT($W1551,"#,##0")&amp;"円）／","")&amp;IF(AND(INDEX(職員マスタ!$F$6:$F$405,$AP1551)&lt;&gt;"",$AQ1551&lt;&gt;"",INDEX(職員マスタ!$F$6:$F$405,$AP1551)&lt;$AQ1551),"対象月に子が2歳到達済／","")&amp;IF(AND($H1551&lt;&gt;"",INDEX(職員マスタ!$B$6:$B$405,$AP1551)&lt;&gt;"",SUBSTITUTE(SUBSTITUTE($H1551," ","")," ","")&lt;&gt;SUBSTITUTE(SUBSTITUTE(INDEX(職員マスタ!$B$6:$B$405,$AP1551)," ","")," ","")),"氏名がマスタと相違／","")&amp;IF(AND($Q1551&lt;&gt;"",INDEX(職員マスタ!$E$6:$E$405,$AP1551)&lt;&gt;"",$Q1551&lt;&gt;INDEX(職員マスタ!$E$6:$E$405,$AP1551)),"子の生年月日がマスタと相違／","")&amp;IF(AND($L1551&lt;&gt;"",INDEX(職員マスタ!$G$6:$G$405,$AP1551)&lt;&gt;"",$L1551&lt;&gt;INDEX(職員マスタ!$G$6:$G$405,$AP1551)),"時短開始日がマスタと相違／","")&amp;IF(AND($M1551&lt;&gt;"",INDEX(職員マスタ!$H$6:$H$405,$AP1551)&lt;&gt;"",$M1551&lt;&gt;INDEX(職員マスタ!$H$6:$H$405,$AP1551)),"時短終了日がマスタと相違／","")))&amp;IF(AND($B1551&lt;&gt;"",$E1551=""),"報酬額が未入力／","")&amp;IF(N($U1551)&gt;0,"申請書に入力エラーが残っています／","")&amp;IF(AND($B1551&lt;&gt;"",$AQ1551&lt;&gt;""),IF(COUNTIFS($B$6:$B$3005,$B1551,$C$6:$C$3005,$C1551,$D$6:$D$3005,$D1551)&gt;1,"同じ月の請求が重複しています／",""),"")&amp;IF(AND(N($E1551)&gt;0,$AB1551&lt;&gt;"",$AB1551&lt;&gt;"×",$AE1551=0,$AD1551=""),"計算額が下限以下のため不支給／",""))</f>
        <v/>
      </c>
      <c r="AN1551" s="12" t="n"/>
      <c r="AO1551" s="14">
        <f>IF($AF1551="保留中",COUNTIF($AF$6:$AF1551,"保留中"),"")</f>
        <v/>
      </c>
      <c r="AP1551" s="14">
        <f>IF($AQ1551="","",IF(SUMPRODUCT(MAX((職員マスタ!$A$6:$A$405=$B1551)*(((職員マスタ!$G$6:$G$405="")+(職員マスタ!$G$6:$G$405&lt;=EOMONTH($AQ1551,0)))&gt;0)*(((職員マスタ!$H$6:$H$405="")+(職員マスタ!$H$6:$H$405&gt;=$AQ1551))&gt;0)*(ROW(職員マスタ!$A$6:$A$405)-5)))&gt;0,SUMPRODUCT(MAX((職員マスタ!$A$6:$A$405=$B1551)*(((職員マスタ!$G$6:$G$405="")+(職員マスタ!$G$6:$G$405&lt;=EOMONTH($AQ1551,0)))&gt;0)*(((職員マスタ!$H$6:$H$405="")+(職員マスタ!$H$6:$H$405&gt;=$AQ1551))&gt;0)*(ROW(職員マスタ!$A$6:$A$405)-5))),IFERROR(MATCH($B1551,職員マスタ!$A$6:$A$405,0),"")))</f>
        <v/>
      </c>
      <c r="AQ1551" s="16">
        <f>IF(OR($B1551="",$C1551="",$D1551=""),"",DATE($C1551+2018,$D1551,1))</f>
        <v/>
      </c>
    </row>
    <row r="1552">
      <c r="A1552" s="11" t="n"/>
      <c r="B1552" s="12" t="n"/>
      <c r="C1552" s="12" t="n"/>
      <c r="D1552" s="12" t="n"/>
      <c r="E1552" s="13" t="n"/>
      <c r="F1552" s="12" t="n"/>
      <c r="G1552" s="13" t="n"/>
      <c r="H1552" s="12" t="n"/>
      <c r="I1552" s="12" t="n"/>
      <c r="J1552" s="12" t="n"/>
      <c r="K1552" s="12" t="n"/>
      <c r="L1552" s="11" t="n"/>
      <c r="M1552" s="11" t="n"/>
      <c r="N1552" s="11" t="n"/>
      <c r="O1552" s="11" t="n"/>
      <c r="P1552" s="12" t="n"/>
      <c r="Q1552" s="11" t="n"/>
      <c r="R1552" s="12" t="n"/>
      <c r="S1552" s="11" t="n"/>
      <c r="T1552" s="12" t="n"/>
      <c r="U1552" s="12" t="n"/>
      <c r="V1552" s="12" t="n"/>
      <c r="W1552" s="13" t="n"/>
      <c r="X1552" s="14">
        <f>IF($AP1552="",IF($B1552="","",$H1552),IF(INDEX(職員マスタ!$B$6:$B$405,$AP1552)="",$H1552,INDEX(職員マスタ!$B$6:$B$405,$AP1552)))</f>
        <v/>
      </c>
      <c r="Y1552" s="14">
        <f>IF($AP1552="",IF($B1552="","",$R1552),IF(INDEX(職員マスタ!$C$6:$C$405,$AP1552)="",$R1552,INDEX(職員マスタ!$C$6:$C$405,$AP1552)))</f>
        <v/>
      </c>
      <c r="Z1552" s="14">
        <f>IF($AQ1552="","","R"&amp;$C1552&amp;"."&amp;$D1552)</f>
        <v/>
      </c>
      <c r="AA1552" s="15">
        <f>IF(IF($AP1552="",FALSE,INDEX(職員マスタ!$K$6:$K$405,$AP1552)&lt;&gt;""),INDEX(職員マスタ!$K$6:$K$405,$AP1552),IF(N($W1552)&gt;0,$W1552,""))</f>
        <v/>
      </c>
      <c r="AB1552" s="14">
        <f>IF(OR($E1552="",$AA1552=""),"",IF($E1552&gt;=$AA1552,"×",IF($E1552&gt;=$AA1552*設定!$C$5,"△","○")))</f>
        <v/>
      </c>
      <c r="AC1552" s="15">
        <f>IF($AB1552="","",IF($AB1552="×",0,IF($AB1552="○",ROUNDDOWN($E1552*設定!$C$4,0),ROUNDDOWN($E1552*ROUND((9*$AA1552-9*$E1552)/(10*$E1552),4),0))))</f>
        <v/>
      </c>
      <c r="AD1552" s="13" t="n"/>
      <c r="AE1552" s="15">
        <f>IF($B1552="","",IF($AD1552&lt;&gt;"",$AD1552,IF($AC1552="","",IF($AC1552&lt;=設定!$C$3,0,$AC1552))))</f>
        <v/>
      </c>
      <c r="AF1552" s="14">
        <f>IF($B1552="","",IF(AND($AG1552&lt;&gt;"",$AI1552="",$AL1552=""),"保留中",IF($AL1552&lt;&gt;"",IF(N($AE1552)&gt;0,"支給済","不支給"),IF($AE1552="","要確認",IF($AE1552=0,"不支給","未処理")))))</f>
        <v/>
      </c>
      <c r="AG1552" s="12" t="n"/>
      <c r="AH1552" s="11" t="n"/>
      <c r="AI1552" s="11" t="n"/>
      <c r="AJ1552" s="11" t="n"/>
      <c r="AK1552" s="14">
        <f>IF(AND($AF1552="保留中",$AH1552&lt;&gt;""),TODAY()-$AH1552,"")</f>
        <v/>
      </c>
      <c r="AL1552" s="12" t="n"/>
      <c r="AM1552" s="14">
        <f>IF($B1552="","",IF($AQ1552="","対象年月が未入力／","")&amp;IF($B1552="","",IF($AP1552="","職員マスタに未登録の職員番号／",IF($AA1552="","標準報酬月額が未登録／","")&amp;IF(AND($AQ1552&lt;&gt;"",OR(AND(INDEX(職員マスタ!$G$6:$G$405,$AP1552)&lt;&gt;"",INDEX(職員マスタ!$G$6:$G$405,$AP1552)&gt;EOMONTH($AQ1552,0)),AND(INDEX(職員マスタ!$H$6:$H$405,$AP1552)&lt;&gt;"",INDEX(職員マスタ!$H$6:$H$405,$AP1552)&lt;$AQ1552))),"対象月が時短期間外／","")&amp;IF(AND(INDEX(職員マスタ!$K$6:$K$405,$AP1552)&lt;&gt;"",N($W1552)&gt;0,INDEX(職員マスタ!$K$6:$K$405,$AP1552)&lt;&gt;$W1552),"標準報酬月額が申請書と相違（台帳"&amp;TEXT(INDEX(職員マスタ!$K$6:$K$405,$AP1552),"#,##0")&amp;"円／申請書"&amp;TEXT($W1552,"#,##0")&amp;"円）／","")&amp;IF(AND(INDEX(職員マスタ!$F$6:$F$405,$AP1552)&lt;&gt;"",$AQ1552&lt;&gt;"",INDEX(職員マスタ!$F$6:$F$405,$AP1552)&lt;$AQ1552),"対象月に子が2歳到達済／","")&amp;IF(AND($H1552&lt;&gt;"",INDEX(職員マスタ!$B$6:$B$405,$AP1552)&lt;&gt;"",SUBSTITUTE(SUBSTITUTE($H1552," ","")," ","")&lt;&gt;SUBSTITUTE(SUBSTITUTE(INDEX(職員マスタ!$B$6:$B$405,$AP1552)," ","")," ","")),"氏名がマスタと相違／","")&amp;IF(AND($Q1552&lt;&gt;"",INDEX(職員マスタ!$E$6:$E$405,$AP1552)&lt;&gt;"",$Q1552&lt;&gt;INDEX(職員マスタ!$E$6:$E$405,$AP1552)),"子の生年月日がマスタと相違／","")&amp;IF(AND($L1552&lt;&gt;"",INDEX(職員マスタ!$G$6:$G$405,$AP1552)&lt;&gt;"",$L1552&lt;&gt;INDEX(職員マスタ!$G$6:$G$405,$AP1552)),"時短開始日がマスタと相違／","")&amp;IF(AND($M1552&lt;&gt;"",INDEX(職員マスタ!$H$6:$H$405,$AP1552)&lt;&gt;"",$M1552&lt;&gt;INDEX(職員マスタ!$H$6:$H$405,$AP1552)),"時短終了日がマスタと相違／","")))&amp;IF(AND($B1552&lt;&gt;"",$E1552=""),"報酬額が未入力／","")&amp;IF(N($U1552)&gt;0,"申請書に入力エラーが残っています／","")&amp;IF(AND($B1552&lt;&gt;"",$AQ1552&lt;&gt;""),IF(COUNTIFS($B$6:$B$3005,$B1552,$C$6:$C$3005,$C1552,$D$6:$D$3005,$D1552)&gt;1,"同じ月の請求が重複しています／",""),"")&amp;IF(AND(N($E1552)&gt;0,$AB1552&lt;&gt;"",$AB1552&lt;&gt;"×",$AE1552=0,$AD1552=""),"計算額が下限以下のため不支給／",""))</f>
        <v/>
      </c>
      <c r="AN1552" s="12" t="n"/>
      <c r="AO1552" s="14">
        <f>IF($AF1552="保留中",COUNTIF($AF$6:$AF1552,"保留中"),"")</f>
        <v/>
      </c>
      <c r="AP1552" s="14">
        <f>IF($AQ1552="","",IF(SUMPRODUCT(MAX((職員マスタ!$A$6:$A$405=$B1552)*(((職員マスタ!$G$6:$G$405="")+(職員マスタ!$G$6:$G$405&lt;=EOMONTH($AQ1552,0)))&gt;0)*(((職員マスタ!$H$6:$H$405="")+(職員マスタ!$H$6:$H$405&gt;=$AQ1552))&gt;0)*(ROW(職員マスタ!$A$6:$A$405)-5)))&gt;0,SUMPRODUCT(MAX((職員マスタ!$A$6:$A$405=$B1552)*(((職員マスタ!$G$6:$G$405="")+(職員マスタ!$G$6:$G$405&lt;=EOMONTH($AQ1552,0)))&gt;0)*(((職員マスタ!$H$6:$H$405="")+(職員マスタ!$H$6:$H$405&gt;=$AQ1552))&gt;0)*(ROW(職員マスタ!$A$6:$A$405)-5))),IFERROR(MATCH($B1552,職員マスタ!$A$6:$A$405,0),"")))</f>
        <v/>
      </c>
      <c r="AQ1552" s="16">
        <f>IF(OR($B1552="",$C1552="",$D1552=""),"",DATE($C1552+2018,$D1552,1))</f>
        <v/>
      </c>
    </row>
    <row r="1553">
      <c r="A1553" s="11" t="n"/>
      <c r="B1553" s="12" t="n"/>
      <c r="C1553" s="12" t="n"/>
      <c r="D1553" s="12" t="n"/>
      <c r="E1553" s="13" t="n"/>
      <c r="F1553" s="12" t="n"/>
      <c r="G1553" s="13" t="n"/>
      <c r="H1553" s="12" t="n"/>
      <c r="I1553" s="12" t="n"/>
      <c r="J1553" s="12" t="n"/>
      <c r="K1553" s="12" t="n"/>
      <c r="L1553" s="11" t="n"/>
      <c r="M1553" s="11" t="n"/>
      <c r="N1553" s="11" t="n"/>
      <c r="O1553" s="11" t="n"/>
      <c r="P1553" s="12" t="n"/>
      <c r="Q1553" s="11" t="n"/>
      <c r="R1553" s="12" t="n"/>
      <c r="S1553" s="11" t="n"/>
      <c r="T1553" s="12" t="n"/>
      <c r="U1553" s="12" t="n"/>
      <c r="V1553" s="12" t="n"/>
      <c r="W1553" s="13" t="n"/>
      <c r="X1553" s="14">
        <f>IF($AP1553="",IF($B1553="","",$H1553),IF(INDEX(職員マスタ!$B$6:$B$405,$AP1553)="",$H1553,INDEX(職員マスタ!$B$6:$B$405,$AP1553)))</f>
        <v/>
      </c>
      <c r="Y1553" s="14">
        <f>IF($AP1553="",IF($B1553="","",$R1553),IF(INDEX(職員マスタ!$C$6:$C$405,$AP1553)="",$R1553,INDEX(職員マスタ!$C$6:$C$405,$AP1553)))</f>
        <v/>
      </c>
      <c r="Z1553" s="14">
        <f>IF($AQ1553="","","R"&amp;$C1553&amp;"."&amp;$D1553)</f>
        <v/>
      </c>
      <c r="AA1553" s="15">
        <f>IF(IF($AP1553="",FALSE,INDEX(職員マスタ!$K$6:$K$405,$AP1553)&lt;&gt;""),INDEX(職員マスタ!$K$6:$K$405,$AP1553),IF(N($W1553)&gt;0,$W1553,""))</f>
        <v/>
      </c>
      <c r="AB1553" s="14">
        <f>IF(OR($E1553="",$AA1553=""),"",IF($E1553&gt;=$AA1553,"×",IF($E1553&gt;=$AA1553*設定!$C$5,"△","○")))</f>
        <v/>
      </c>
      <c r="AC1553" s="15">
        <f>IF($AB1553="","",IF($AB1553="×",0,IF($AB1553="○",ROUNDDOWN($E1553*設定!$C$4,0),ROUNDDOWN($E1553*ROUND((9*$AA1553-9*$E1553)/(10*$E1553),4),0))))</f>
        <v/>
      </c>
      <c r="AD1553" s="13" t="n"/>
      <c r="AE1553" s="15">
        <f>IF($B1553="","",IF($AD1553&lt;&gt;"",$AD1553,IF($AC1553="","",IF($AC1553&lt;=設定!$C$3,0,$AC1553))))</f>
        <v/>
      </c>
      <c r="AF1553" s="14">
        <f>IF($B1553="","",IF(AND($AG1553&lt;&gt;"",$AI1553="",$AL1553=""),"保留中",IF($AL1553&lt;&gt;"",IF(N($AE1553)&gt;0,"支給済","不支給"),IF($AE1553="","要確認",IF($AE1553=0,"不支給","未処理")))))</f>
        <v/>
      </c>
      <c r="AG1553" s="12" t="n"/>
      <c r="AH1553" s="11" t="n"/>
      <c r="AI1553" s="11" t="n"/>
      <c r="AJ1553" s="11" t="n"/>
      <c r="AK1553" s="14">
        <f>IF(AND($AF1553="保留中",$AH1553&lt;&gt;""),TODAY()-$AH1553,"")</f>
        <v/>
      </c>
      <c r="AL1553" s="12" t="n"/>
      <c r="AM1553" s="14">
        <f>IF($B1553="","",IF($AQ1553="","対象年月が未入力／","")&amp;IF($B1553="","",IF($AP1553="","職員マスタに未登録の職員番号／",IF($AA1553="","標準報酬月額が未登録／","")&amp;IF(AND($AQ1553&lt;&gt;"",OR(AND(INDEX(職員マスタ!$G$6:$G$405,$AP1553)&lt;&gt;"",INDEX(職員マスタ!$G$6:$G$405,$AP1553)&gt;EOMONTH($AQ1553,0)),AND(INDEX(職員マスタ!$H$6:$H$405,$AP1553)&lt;&gt;"",INDEX(職員マスタ!$H$6:$H$405,$AP1553)&lt;$AQ1553))),"対象月が時短期間外／","")&amp;IF(AND(INDEX(職員マスタ!$K$6:$K$405,$AP1553)&lt;&gt;"",N($W1553)&gt;0,INDEX(職員マスタ!$K$6:$K$405,$AP1553)&lt;&gt;$W1553),"標準報酬月額が申請書と相違（台帳"&amp;TEXT(INDEX(職員マスタ!$K$6:$K$405,$AP1553),"#,##0")&amp;"円／申請書"&amp;TEXT($W1553,"#,##0")&amp;"円）／","")&amp;IF(AND(INDEX(職員マスタ!$F$6:$F$405,$AP1553)&lt;&gt;"",$AQ1553&lt;&gt;"",INDEX(職員マスタ!$F$6:$F$405,$AP1553)&lt;$AQ1553),"対象月に子が2歳到達済／","")&amp;IF(AND($H1553&lt;&gt;"",INDEX(職員マスタ!$B$6:$B$405,$AP1553)&lt;&gt;"",SUBSTITUTE(SUBSTITUTE($H1553," ","")," ","")&lt;&gt;SUBSTITUTE(SUBSTITUTE(INDEX(職員マスタ!$B$6:$B$405,$AP1553)," ","")," ","")),"氏名がマスタと相違／","")&amp;IF(AND($Q1553&lt;&gt;"",INDEX(職員マスタ!$E$6:$E$405,$AP1553)&lt;&gt;"",$Q1553&lt;&gt;INDEX(職員マスタ!$E$6:$E$405,$AP1553)),"子の生年月日がマスタと相違／","")&amp;IF(AND($L1553&lt;&gt;"",INDEX(職員マスタ!$G$6:$G$405,$AP1553)&lt;&gt;"",$L1553&lt;&gt;INDEX(職員マスタ!$G$6:$G$405,$AP1553)),"時短開始日がマスタと相違／","")&amp;IF(AND($M1553&lt;&gt;"",INDEX(職員マスタ!$H$6:$H$405,$AP1553)&lt;&gt;"",$M1553&lt;&gt;INDEX(職員マスタ!$H$6:$H$405,$AP1553)),"時短終了日がマスタと相違／","")))&amp;IF(AND($B1553&lt;&gt;"",$E1553=""),"報酬額が未入力／","")&amp;IF(N($U1553)&gt;0,"申請書に入力エラーが残っています／","")&amp;IF(AND($B1553&lt;&gt;"",$AQ1553&lt;&gt;""),IF(COUNTIFS($B$6:$B$3005,$B1553,$C$6:$C$3005,$C1553,$D$6:$D$3005,$D1553)&gt;1,"同じ月の請求が重複しています／",""),"")&amp;IF(AND(N($E1553)&gt;0,$AB1553&lt;&gt;"",$AB1553&lt;&gt;"×",$AE1553=0,$AD1553=""),"計算額が下限以下のため不支給／",""))</f>
        <v/>
      </c>
      <c r="AN1553" s="12" t="n"/>
      <c r="AO1553" s="14">
        <f>IF($AF1553="保留中",COUNTIF($AF$6:$AF1553,"保留中"),"")</f>
        <v/>
      </c>
      <c r="AP1553" s="14">
        <f>IF($AQ1553="","",IF(SUMPRODUCT(MAX((職員マスタ!$A$6:$A$405=$B1553)*(((職員マスタ!$G$6:$G$405="")+(職員マスタ!$G$6:$G$405&lt;=EOMONTH($AQ1553,0)))&gt;0)*(((職員マスタ!$H$6:$H$405="")+(職員マスタ!$H$6:$H$405&gt;=$AQ1553))&gt;0)*(ROW(職員マスタ!$A$6:$A$405)-5)))&gt;0,SUMPRODUCT(MAX((職員マスタ!$A$6:$A$405=$B1553)*(((職員マスタ!$G$6:$G$405="")+(職員マスタ!$G$6:$G$405&lt;=EOMONTH($AQ1553,0)))&gt;0)*(((職員マスタ!$H$6:$H$405="")+(職員マスタ!$H$6:$H$405&gt;=$AQ1553))&gt;0)*(ROW(職員マスタ!$A$6:$A$405)-5))),IFERROR(MATCH($B1553,職員マスタ!$A$6:$A$405,0),"")))</f>
        <v/>
      </c>
      <c r="AQ1553" s="16">
        <f>IF(OR($B1553="",$C1553="",$D1553=""),"",DATE($C1553+2018,$D1553,1))</f>
        <v/>
      </c>
    </row>
    <row r="1554">
      <c r="A1554" s="11" t="n"/>
      <c r="B1554" s="12" t="n"/>
      <c r="C1554" s="12" t="n"/>
      <c r="D1554" s="12" t="n"/>
      <c r="E1554" s="13" t="n"/>
      <c r="F1554" s="12" t="n"/>
      <c r="G1554" s="13" t="n"/>
      <c r="H1554" s="12" t="n"/>
      <c r="I1554" s="12" t="n"/>
      <c r="J1554" s="12" t="n"/>
      <c r="K1554" s="12" t="n"/>
      <c r="L1554" s="11" t="n"/>
      <c r="M1554" s="11" t="n"/>
      <c r="N1554" s="11" t="n"/>
      <c r="O1554" s="11" t="n"/>
      <c r="P1554" s="12" t="n"/>
      <c r="Q1554" s="11" t="n"/>
      <c r="R1554" s="12" t="n"/>
      <c r="S1554" s="11" t="n"/>
      <c r="T1554" s="12" t="n"/>
      <c r="U1554" s="12" t="n"/>
      <c r="V1554" s="12" t="n"/>
      <c r="W1554" s="13" t="n"/>
      <c r="X1554" s="14">
        <f>IF($AP1554="",IF($B1554="","",$H1554),IF(INDEX(職員マスタ!$B$6:$B$405,$AP1554)="",$H1554,INDEX(職員マスタ!$B$6:$B$405,$AP1554)))</f>
        <v/>
      </c>
      <c r="Y1554" s="14">
        <f>IF($AP1554="",IF($B1554="","",$R1554),IF(INDEX(職員マスタ!$C$6:$C$405,$AP1554)="",$R1554,INDEX(職員マスタ!$C$6:$C$405,$AP1554)))</f>
        <v/>
      </c>
      <c r="Z1554" s="14">
        <f>IF($AQ1554="","","R"&amp;$C1554&amp;"."&amp;$D1554)</f>
        <v/>
      </c>
      <c r="AA1554" s="15">
        <f>IF(IF($AP1554="",FALSE,INDEX(職員マスタ!$K$6:$K$405,$AP1554)&lt;&gt;""),INDEX(職員マスタ!$K$6:$K$405,$AP1554),IF(N($W1554)&gt;0,$W1554,""))</f>
        <v/>
      </c>
      <c r="AB1554" s="14">
        <f>IF(OR($E1554="",$AA1554=""),"",IF($E1554&gt;=$AA1554,"×",IF($E1554&gt;=$AA1554*設定!$C$5,"△","○")))</f>
        <v/>
      </c>
      <c r="AC1554" s="15">
        <f>IF($AB1554="","",IF($AB1554="×",0,IF($AB1554="○",ROUNDDOWN($E1554*設定!$C$4,0),ROUNDDOWN($E1554*ROUND((9*$AA1554-9*$E1554)/(10*$E1554),4),0))))</f>
        <v/>
      </c>
      <c r="AD1554" s="13" t="n"/>
      <c r="AE1554" s="15">
        <f>IF($B1554="","",IF($AD1554&lt;&gt;"",$AD1554,IF($AC1554="","",IF($AC1554&lt;=設定!$C$3,0,$AC1554))))</f>
        <v/>
      </c>
      <c r="AF1554" s="14">
        <f>IF($B1554="","",IF(AND($AG1554&lt;&gt;"",$AI1554="",$AL1554=""),"保留中",IF($AL1554&lt;&gt;"",IF(N($AE1554)&gt;0,"支給済","不支給"),IF($AE1554="","要確認",IF($AE1554=0,"不支給","未処理")))))</f>
        <v/>
      </c>
      <c r="AG1554" s="12" t="n"/>
      <c r="AH1554" s="11" t="n"/>
      <c r="AI1554" s="11" t="n"/>
      <c r="AJ1554" s="11" t="n"/>
      <c r="AK1554" s="14">
        <f>IF(AND($AF1554="保留中",$AH1554&lt;&gt;""),TODAY()-$AH1554,"")</f>
        <v/>
      </c>
      <c r="AL1554" s="12" t="n"/>
      <c r="AM1554" s="14">
        <f>IF($B1554="","",IF($AQ1554="","対象年月が未入力／","")&amp;IF($B1554="","",IF($AP1554="","職員マスタに未登録の職員番号／",IF($AA1554="","標準報酬月額が未登録／","")&amp;IF(AND($AQ1554&lt;&gt;"",OR(AND(INDEX(職員マスタ!$G$6:$G$405,$AP1554)&lt;&gt;"",INDEX(職員マスタ!$G$6:$G$405,$AP1554)&gt;EOMONTH($AQ1554,0)),AND(INDEX(職員マスタ!$H$6:$H$405,$AP1554)&lt;&gt;"",INDEX(職員マスタ!$H$6:$H$405,$AP1554)&lt;$AQ1554))),"対象月が時短期間外／","")&amp;IF(AND(INDEX(職員マスタ!$K$6:$K$405,$AP1554)&lt;&gt;"",N($W1554)&gt;0,INDEX(職員マスタ!$K$6:$K$405,$AP1554)&lt;&gt;$W1554),"標準報酬月額が申請書と相違（台帳"&amp;TEXT(INDEX(職員マスタ!$K$6:$K$405,$AP1554),"#,##0")&amp;"円／申請書"&amp;TEXT($W1554,"#,##0")&amp;"円）／","")&amp;IF(AND(INDEX(職員マスタ!$F$6:$F$405,$AP1554)&lt;&gt;"",$AQ1554&lt;&gt;"",INDEX(職員マスタ!$F$6:$F$405,$AP1554)&lt;$AQ1554),"対象月に子が2歳到達済／","")&amp;IF(AND($H1554&lt;&gt;"",INDEX(職員マスタ!$B$6:$B$405,$AP1554)&lt;&gt;"",SUBSTITUTE(SUBSTITUTE($H1554," ","")," ","")&lt;&gt;SUBSTITUTE(SUBSTITUTE(INDEX(職員マスタ!$B$6:$B$405,$AP1554)," ","")," ","")),"氏名がマスタと相違／","")&amp;IF(AND($Q1554&lt;&gt;"",INDEX(職員マスタ!$E$6:$E$405,$AP1554)&lt;&gt;"",$Q1554&lt;&gt;INDEX(職員マスタ!$E$6:$E$405,$AP1554)),"子の生年月日がマスタと相違／","")&amp;IF(AND($L1554&lt;&gt;"",INDEX(職員マスタ!$G$6:$G$405,$AP1554)&lt;&gt;"",$L1554&lt;&gt;INDEX(職員マスタ!$G$6:$G$405,$AP1554)),"時短開始日がマスタと相違／","")&amp;IF(AND($M1554&lt;&gt;"",INDEX(職員マスタ!$H$6:$H$405,$AP1554)&lt;&gt;"",$M1554&lt;&gt;INDEX(職員マスタ!$H$6:$H$405,$AP1554)),"時短終了日がマスタと相違／","")))&amp;IF(AND($B1554&lt;&gt;"",$E1554=""),"報酬額が未入力／","")&amp;IF(N($U1554)&gt;0,"申請書に入力エラーが残っています／","")&amp;IF(AND($B1554&lt;&gt;"",$AQ1554&lt;&gt;""),IF(COUNTIFS($B$6:$B$3005,$B1554,$C$6:$C$3005,$C1554,$D$6:$D$3005,$D1554)&gt;1,"同じ月の請求が重複しています／",""),"")&amp;IF(AND(N($E1554)&gt;0,$AB1554&lt;&gt;"",$AB1554&lt;&gt;"×",$AE1554=0,$AD1554=""),"計算額が下限以下のため不支給／",""))</f>
        <v/>
      </c>
      <c r="AN1554" s="12" t="n"/>
      <c r="AO1554" s="14">
        <f>IF($AF1554="保留中",COUNTIF($AF$6:$AF1554,"保留中"),"")</f>
        <v/>
      </c>
      <c r="AP1554" s="14">
        <f>IF($AQ1554="","",IF(SUMPRODUCT(MAX((職員マスタ!$A$6:$A$405=$B1554)*(((職員マスタ!$G$6:$G$405="")+(職員マスタ!$G$6:$G$405&lt;=EOMONTH($AQ1554,0)))&gt;0)*(((職員マスタ!$H$6:$H$405="")+(職員マスタ!$H$6:$H$405&gt;=$AQ1554))&gt;0)*(ROW(職員マスタ!$A$6:$A$405)-5)))&gt;0,SUMPRODUCT(MAX((職員マスタ!$A$6:$A$405=$B1554)*(((職員マスタ!$G$6:$G$405="")+(職員マスタ!$G$6:$G$405&lt;=EOMONTH($AQ1554,0)))&gt;0)*(((職員マスタ!$H$6:$H$405="")+(職員マスタ!$H$6:$H$405&gt;=$AQ1554))&gt;0)*(ROW(職員マスタ!$A$6:$A$405)-5))),IFERROR(MATCH($B1554,職員マスタ!$A$6:$A$405,0),"")))</f>
        <v/>
      </c>
      <c r="AQ1554" s="16">
        <f>IF(OR($B1554="",$C1554="",$D1554=""),"",DATE($C1554+2018,$D1554,1))</f>
        <v/>
      </c>
    </row>
    <row r="1555">
      <c r="A1555" s="11" t="n"/>
      <c r="B1555" s="12" t="n"/>
      <c r="C1555" s="12" t="n"/>
      <c r="D1555" s="12" t="n"/>
      <c r="E1555" s="13" t="n"/>
      <c r="F1555" s="12" t="n"/>
      <c r="G1555" s="13" t="n"/>
      <c r="H1555" s="12" t="n"/>
      <c r="I1555" s="12" t="n"/>
      <c r="J1555" s="12" t="n"/>
      <c r="K1555" s="12" t="n"/>
      <c r="L1555" s="11" t="n"/>
      <c r="M1555" s="11" t="n"/>
      <c r="N1555" s="11" t="n"/>
      <c r="O1555" s="11" t="n"/>
      <c r="P1555" s="12" t="n"/>
      <c r="Q1555" s="11" t="n"/>
      <c r="R1555" s="12" t="n"/>
      <c r="S1555" s="11" t="n"/>
      <c r="T1555" s="12" t="n"/>
      <c r="U1555" s="12" t="n"/>
      <c r="V1555" s="12" t="n"/>
      <c r="W1555" s="13" t="n"/>
      <c r="X1555" s="14">
        <f>IF($AP1555="",IF($B1555="","",$H1555),IF(INDEX(職員マスタ!$B$6:$B$405,$AP1555)="",$H1555,INDEX(職員マスタ!$B$6:$B$405,$AP1555)))</f>
        <v/>
      </c>
      <c r="Y1555" s="14">
        <f>IF($AP1555="",IF($B1555="","",$R1555),IF(INDEX(職員マスタ!$C$6:$C$405,$AP1555)="",$R1555,INDEX(職員マスタ!$C$6:$C$405,$AP1555)))</f>
        <v/>
      </c>
      <c r="Z1555" s="14">
        <f>IF($AQ1555="","","R"&amp;$C1555&amp;"."&amp;$D1555)</f>
        <v/>
      </c>
      <c r="AA1555" s="15">
        <f>IF(IF($AP1555="",FALSE,INDEX(職員マスタ!$K$6:$K$405,$AP1555)&lt;&gt;""),INDEX(職員マスタ!$K$6:$K$405,$AP1555),IF(N($W1555)&gt;0,$W1555,""))</f>
        <v/>
      </c>
      <c r="AB1555" s="14">
        <f>IF(OR($E1555="",$AA1555=""),"",IF($E1555&gt;=$AA1555,"×",IF($E1555&gt;=$AA1555*設定!$C$5,"△","○")))</f>
        <v/>
      </c>
      <c r="AC1555" s="15">
        <f>IF($AB1555="","",IF($AB1555="×",0,IF($AB1555="○",ROUNDDOWN($E1555*設定!$C$4,0),ROUNDDOWN($E1555*ROUND((9*$AA1555-9*$E1555)/(10*$E1555),4),0))))</f>
        <v/>
      </c>
      <c r="AD1555" s="13" t="n"/>
      <c r="AE1555" s="15">
        <f>IF($B1555="","",IF($AD1555&lt;&gt;"",$AD1555,IF($AC1555="","",IF($AC1555&lt;=設定!$C$3,0,$AC1555))))</f>
        <v/>
      </c>
      <c r="AF1555" s="14">
        <f>IF($B1555="","",IF(AND($AG1555&lt;&gt;"",$AI1555="",$AL1555=""),"保留中",IF($AL1555&lt;&gt;"",IF(N($AE1555)&gt;0,"支給済","不支給"),IF($AE1555="","要確認",IF($AE1555=0,"不支給","未処理")))))</f>
        <v/>
      </c>
      <c r="AG1555" s="12" t="n"/>
      <c r="AH1555" s="11" t="n"/>
      <c r="AI1555" s="11" t="n"/>
      <c r="AJ1555" s="11" t="n"/>
      <c r="AK1555" s="14">
        <f>IF(AND($AF1555="保留中",$AH1555&lt;&gt;""),TODAY()-$AH1555,"")</f>
        <v/>
      </c>
      <c r="AL1555" s="12" t="n"/>
      <c r="AM1555" s="14">
        <f>IF($B1555="","",IF($AQ1555="","対象年月が未入力／","")&amp;IF($B1555="","",IF($AP1555="","職員マスタに未登録の職員番号／",IF($AA1555="","標準報酬月額が未登録／","")&amp;IF(AND($AQ1555&lt;&gt;"",OR(AND(INDEX(職員マスタ!$G$6:$G$405,$AP1555)&lt;&gt;"",INDEX(職員マスタ!$G$6:$G$405,$AP1555)&gt;EOMONTH($AQ1555,0)),AND(INDEX(職員マスタ!$H$6:$H$405,$AP1555)&lt;&gt;"",INDEX(職員マスタ!$H$6:$H$405,$AP1555)&lt;$AQ1555))),"対象月が時短期間外／","")&amp;IF(AND(INDEX(職員マスタ!$K$6:$K$405,$AP1555)&lt;&gt;"",N($W1555)&gt;0,INDEX(職員マスタ!$K$6:$K$405,$AP1555)&lt;&gt;$W1555),"標準報酬月額が申請書と相違（台帳"&amp;TEXT(INDEX(職員マスタ!$K$6:$K$405,$AP1555),"#,##0")&amp;"円／申請書"&amp;TEXT($W1555,"#,##0")&amp;"円）／","")&amp;IF(AND(INDEX(職員マスタ!$F$6:$F$405,$AP1555)&lt;&gt;"",$AQ1555&lt;&gt;"",INDEX(職員マスタ!$F$6:$F$405,$AP1555)&lt;$AQ1555),"対象月に子が2歳到達済／","")&amp;IF(AND($H1555&lt;&gt;"",INDEX(職員マスタ!$B$6:$B$405,$AP1555)&lt;&gt;"",SUBSTITUTE(SUBSTITUTE($H1555," ","")," ","")&lt;&gt;SUBSTITUTE(SUBSTITUTE(INDEX(職員マスタ!$B$6:$B$405,$AP1555)," ","")," ","")),"氏名がマスタと相違／","")&amp;IF(AND($Q1555&lt;&gt;"",INDEX(職員マスタ!$E$6:$E$405,$AP1555)&lt;&gt;"",$Q1555&lt;&gt;INDEX(職員マスタ!$E$6:$E$405,$AP1555)),"子の生年月日がマスタと相違／","")&amp;IF(AND($L1555&lt;&gt;"",INDEX(職員マスタ!$G$6:$G$405,$AP1555)&lt;&gt;"",$L1555&lt;&gt;INDEX(職員マスタ!$G$6:$G$405,$AP1555)),"時短開始日がマスタと相違／","")&amp;IF(AND($M1555&lt;&gt;"",INDEX(職員マスタ!$H$6:$H$405,$AP1555)&lt;&gt;"",$M1555&lt;&gt;INDEX(職員マスタ!$H$6:$H$405,$AP1555)),"時短終了日がマスタと相違／","")))&amp;IF(AND($B1555&lt;&gt;"",$E1555=""),"報酬額が未入力／","")&amp;IF(N($U1555)&gt;0,"申請書に入力エラーが残っています／","")&amp;IF(AND($B1555&lt;&gt;"",$AQ1555&lt;&gt;""),IF(COUNTIFS($B$6:$B$3005,$B1555,$C$6:$C$3005,$C1555,$D$6:$D$3005,$D1555)&gt;1,"同じ月の請求が重複しています／",""),"")&amp;IF(AND(N($E1555)&gt;0,$AB1555&lt;&gt;"",$AB1555&lt;&gt;"×",$AE1555=0,$AD1555=""),"計算額が下限以下のため不支給／",""))</f>
        <v/>
      </c>
      <c r="AN1555" s="12" t="n"/>
      <c r="AO1555" s="14">
        <f>IF($AF1555="保留中",COUNTIF($AF$6:$AF1555,"保留中"),"")</f>
        <v/>
      </c>
      <c r="AP1555" s="14">
        <f>IF($AQ1555="","",IF(SUMPRODUCT(MAX((職員マスタ!$A$6:$A$405=$B1555)*(((職員マスタ!$G$6:$G$405="")+(職員マスタ!$G$6:$G$405&lt;=EOMONTH($AQ1555,0)))&gt;0)*(((職員マスタ!$H$6:$H$405="")+(職員マスタ!$H$6:$H$405&gt;=$AQ1555))&gt;0)*(ROW(職員マスタ!$A$6:$A$405)-5)))&gt;0,SUMPRODUCT(MAX((職員マスタ!$A$6:$A$405=$B1555)*(((職員マスタ!$G$6:$G$405="")+(職員マスタ!$G$6:$G$405&lt;=EOMONTH($AQ1555,0)))&gt;0)*(((職員マスタ!$H$6:$H$405="")+(職員マスタ!$H$6:$H$405&gt;=$AQ1555))&gt;0)*(ROW(職員マスタ!$A$6:$A$405)-5))),IFERROR(MATCH($B1555,職員マスタ!$A$6:$A$405,0),"")))</f>
        <v/>
      </c>
      <c r="AQ1555" s="16">
        <f>IF(OR($B1555="",$C1555="",$D1555=""),"",DATE($C1555+2018,$D1555,1))</f>
        <v/>
      </c>
    </row>
    <row r="1556">
      <c r="A1556" s="11" t="n"/>
      <c r="B1556" s="12" t="n"/>
      <c r="C1556" s="12" t="n"/>
      <c r="D1556" s="12" t="n"/>
      <c r="E1556" s="13" t="n"/>
      <c r="F1556" s="12" t="n"/>
      <c r="G1556" s="13" t="n"/>
      <c r="H1556" s="12" t="n"/>
      <c r="I1556" s="12" t="n"/>
      <c r="J1556" s="12" t="n"/>
      <c r="K1556" s="12" t="n"/>
      <c r="L1556" s="11" t="n"/>
      <c r="M1556" s="11" t="n"/>
      <c r="N1556" s="11" t="n"/>
      <c r="O1556" s="11" t="n"/>
      <c r="P1556" s="12" t="n"/>
      <c r="Q1556" s="11" t="n"/>
      <c r="R1556" s="12" t="n"/>
      <c r="S1556" s="11" t="n"/>
      <c r="T1556" s="12" t="n"/>
      <c r="U1556" s="12" t="n"/>
      <c r="V1556" s="12" t="n"/>
      <c r="W1556" s="13" t="n"/>
      <c r="X1556" s="14">
        <f>IF($AP1556="",IF($B1556="","",$H1556),IF(INDEX(職員マスタ!$B$6:$B$405,$AP1556)="",$H1556,INDEX(職員マスタ!$B$6:$B$405,$AP1556)))</f>
        <v/>
      </c>
      <c r="Y1556" s="14">
        <f>IF($AP1556="",IF($B1556="","",$R1556),IF(INDEX(職員マスタ!$C$6:$C$405,$AP1556)="",$R1556,INDEX(職員マスタ!$C$6:$C$405,$AP1556)))</f>
        <v/>
      </c>
      <c r="Z1556" s="14">
        <f>IF($AQ1556="","","R"&amp;$C1556&amp;"."&amp;$D1556)</f>
        <v/>
      </c>
      <c r="AA1556" s="15">
        <f>IF(IF($AP1556="",FALSE,INDEX(職員マスタ!$K$6:$K$405,$AP1556)&lt;&gt;""),INDEX(職員マスタ!$K$6:$K$405,$AP1556),IF(N($W1556)&gt;0,$W1556,""))</f>
        <v/>
      </c>
      <c r="AB1556" s="14">
        <f>IF(OR($E1556="",$AA1556=""),"",IF($E1556&gt;=$AA1556,"×",IF($E1556&gt;=$AA1556*設定!$C$5,"△","○")))</f>
        <v/>
      </c>
      <c r="AC1556" s="15">
        <f>IF($AB1556="","",IF($AB1556="×",0,IF($AB1556="○",ROUNDDOWN($E1556*設定!$C$4,0),ROUNDDOWN($E1556*ROUND((9*$AA1556-9*$E1556)/(10*$E1556),4),0))))</f>
        <v/>
      </c>
      <c r="AD1556" s="13" t="n"/>
      <c r="AE1556" s="15">
        <f>IF($B1556="","",IF($AD1556&lt;&gt;"",$AD1556,IF($AC1556="","",IF($AC1556&lt;=設定!$C$3,0,$AC1556))))</f>
        <v/>
      </c>
      <c r="AF1556" s="14">
        <f>IF($B1556="","",IF(AND($AG1556&lt;&gt;"",$AI1556="",$AL1556=""),"保留中",IF($AL1556&lt;&gt;"",IF(N($AE1556)&gt;0,"支給済","不支給"),IF($AE1556="","要確認",IF($AE1556=0,"不支給","未処理")))))</f>
        <v/>
      </c>
      <c r="AG1556" s="12" t="n"/>
      <c r="AH1556" s="11" t="n"/>
      <c r="AI1556" s="11" t="n"/>
      <c r="AJ1556" s="11" t="n"/>
      <c r="AK1556" s="14">
        <f>IF(AND($AF1556="保留中",$AH1556&lt;&gt;""),TODAY()-$AH1556,"")</f>
        <v/>
      </c>
      <c r="AL1556" s="12" t="n"/>
      <c r="AM1556" s="14">
        <f>IF($B1556="","",IF($AQ1556="","対象年月が未入力／","")&amp;IF($B1556="","",IF($AP1556="","職員マスタに未登録の職員番号／",IF($AA1556="","標準報酬月額が未登録／","")&amp;IF(AND($AQ1556&lt;&gt;"",OR(AND(INDEX(職員マスタ!$G$6:$G$405,$AP1556)&lt;&gt;"",INDEX(職員マスタ!$G$6:$G$405,$AP1556)&gt;EOMONTH($AQ1556,0)),AND(INDEX(職員マスタ!$H$6:$H$405,$AP1556)&lt;&gt;"",INDEX(職員マスタ!$H$6:$H$405,$AP1556)&lt;$AQ1556))),"対象月が時短期間外／","")&amp;IF(AND(INDEX(職員マスタ!$K$6:$K$405,$AP1556)&lt;&gt;"",N($W1556)&gt;0,INDEX(職員マスタ!$K$6:$K$405,$AP1556)&lt;&gt;$W1556),"標準報酬月額が申請書と相違（台帳"&amp;TEXT(INDEX(職員マスタ!$K$6:$K$405,$AP1556),"#,##0")&amp;"円／申請書"&amp;TEXT($W1556,"#,##0")&amp;"円）／","")&amp;IF(AND(INDEX(職員マスタ!$F$6:$F$405,$AP1556)&lt;&gt;"",$AQ1556&lt;&gt;"",INDEX(職員マスタ!$F$6:$F$405,$AP1556)&lt;$AQ1556),"対象月に子が2歳到達済／","")&amp;IF(AND($H1556&lt;&gt;"",INDEX(職員マスタ!$B$6:$B$405,$AP1556)&lt;&gt;"",SUBSTITUTE(SUBSTITUTE($H1556," ","")," ","")&lt;&gt;SUBSTITUTE(SUBSTITUTE(INDEX(職員マスタ!$B$6:$B$405,$AP1556)," ","")," ","")),"氏名がマスタと相違／","")&amp;IF(AND($Q1556&lt;&gt;"",INDEX(職員マスタ!$E$6:$E$405,$AP1556)&lt;&gt;"",$Q1556&lt;&gt;INDEX(職員マスタ!$E$6:$E$405,$AP1556)),"子の生年月日がマスタと相違／","")&amp;IF(AND($L1556&lt;&gt;"",INDEX(職員マスタ!$G$6:$G$405,$AP1556)&lt;&gt;"",$L1556&lt;&gt;INDEX(職員マスタ!$G$6:$G$405,$AP1556)),"時短開始日がマスタと相違／","")&amp;IF(AND($M1556&lt;&gt;"",INDEX(職員マスタ!$H$6:$H$405,$AP1556)&lt;&gt;"",$M1556&lt;&gt;INDEX(職員マスタ!$H$6:$H$405,$AP1556)),"時短終了日がマスタと相違／","")))&amp;IF(AND($B1556&lt;&gt;"",$E1556=""),"報酬額が未入力／","")&amp;IF(N($U1556)&gt;0,"申請書に入力エラーが残っています／","")&amp;IF(AND($B1556&lt;&gt;"",$AQ1556&lt;&gt;""),IF(COUNTIFS($B$6:$B$3005,$B1556,$C$6:$C$3005,$C1556,$D$6:$D$3005,$D1556)&gt;1,"同じ月の請求が重複しています／",""),"")&amp;IF(AND(N($E1556)&gt;0,$AB1556&lt;&gt;"",$AB1556&lt;&gt;"×",$AE1556=0,$AD1556=""),"計算額が下限以下のため不支給／",""))</f>
        <v/>
      </c>
      <c r="AN1556" s="12" t="n"/>
      <c r="AO1556" s="14">
        <f>IF($AF1556="保留中",COUNTIF($AF$6:$AF1556,"保留中"),"")</f>
        <v/>
      </c>
      <c r="AP1556" s="14">
        <f>IF($AQ1556="","",IF(SUMPRODUCT(MAX((職員マスタ!$A$6:$A$405=$B1556)*(((職員マスタ!$G$6:$G$405="")+(職員マスタ!$G$6:$G$405&lt;=EOMONTH($AQ1556,0)))&gt;0)*(((職員マスタ!$H$6:$H$405="")+(職員マスタ!$H$6:$H$405&gt;=$AQ1556))&gt;0)*(ROW(職員マスタ!$A$6:$A$405)-5)))&gt;0,SUMPRODUCT(MAX((職員マスタ!$A$6:$A$405=$B1556)*(((職員マスタ!$G$6:$G$405="")+(職員マスタ!$G$6:$G$405&lt;=EOMONTH($AQ1556,0)))&gt;0)*(((職員マスタ!$H$6:$H$405="")+(職員マスタ!$H$6:$H$405&gt;=$AQ1556))&gt;0)*(ROW(職員マスタ!$A$6:$A$405)-5))),IFERROR(MATCH($B1556,職員マスタ!$A$6:$A$405,0),"")))</f>
        <v/>
      </c>
      <c r="AQ1556" s="16">
        <f>IF(OR($B1556="",$C1556="",$D1556=""),"",DATE($C1556+2018,$D1556,1))</f>
        <v/>
      </c>
    </row>
    <row r="1557">
      <c r="A1557" s="11" t="n"/>
      <c r="B1557" s="12" t="n"/>
      <c r="C1557" s="12" t="n"/>
      <c r="D1557" s="12" t="n"/>
      <c r="E1557" s="13" t="n"/>
      <c r="F1557" s="12" t="n"/>
      <c r="G1557" s="13" t="n"/>
      <c r="H1557" s="12" t="n"/>
      <c r="I1557" s="12" t="n"/>
      <c r="J1557" s="12" t="n"/>
      <c r="K1557" s="12" t="n"/>
      <c r="L1557" s="11" t="n"/>
      <c r="M1557" s="11" t="n"/>
      <c r="N1557" s="11" t="n"/>
      <c r="O1557" s="11" t="n"/>
      <c r="P1557" s="12" t="n"/>
      <c r="Q1557" s="11" t="n"/>
      <c r="R1557" s="12" t="n"/>
      <c r="S1557" s="11" t="n"/>
      <c r="T1557" s="12" t="n"/>
      <c r="U1557" s="12" t="n"/>
      <c r="V1557" s="12" t="n"/>
      <c r="W1557" s="13" t="n"/>
      <c r="X1557" s="14">
        <f>IF($AP1557="",IF($B1557="","",$H1557),IF(INDEX(職員マスタ!$B$6:$B$405,$AP1557)="",$H1557,INDEX(職員マスタ!$B$6:$B$405,$AP1557)))</f>
        <v/>
      </c>
      <c r="Y1557" s="14">
        <f>IF($AP1557="",IF($B1557="","",$R1557),IF(INDEX(職員マスタ!$C$6:$C$405,$AP1557)="",$R1557,INDEX(職員マスタ!$C$6:$C$405,$AP1557)))</f>
        <v/>
      </c>
      <c r="Z1557" s="14">
        <f>IF($AQ1557="","","R"&amp;$C1557&amp;"."&amp;$D1557)</f>
        <v/>
      </c>
      <c r="AA1557" s="15">
        <f>IF(IF($AP1557="",FALSE,INDEX(職員マスタ!$K$6:$K$405,$AP1557)&lt;&gt;""),INDEX(職員マスタ!$K$6:$K$405,$AP1557),IF(N($W1557)&gt;0,$W1557,""))</f>
        <v/>
      </c>
      <c r="AB1557" s="14">
        <f>IF(OR($E1557="",$AA1557=""),"",IF($E1557&gt;=$AA1557,"×",IF($E1557&gt;=$AA1557*設定!$C$5,"△","○")))</f>
        <v/>
      </c>
      <c r="AC1557" s="15">
        <f>IF($AB1557="","",IF($AB1557="×",0,IF($AB1557="○",ROUNDDOWN($E1557*設定!$C$4,0),ROUNDDOWN($E1557*ROUND((9*$AA1557-9*$E1557)/(10*$E1557),4),0))))</f>
        <v/>
      </c>
      <c r="AD1557" s="13" t="n"/>
      <c r="AE1557" s="15">
        <f>IF($B1557="","",IF($AD1557&lt;&gt;"",$AD1557,IF($AC1557="","",IF($AC1557&lt;=設定!$C$3,0,$AC1557))))</f>
        <v/>
      </c>
      <c r="AF1557" s="14">
        <f>IF($B1557="","",IF(AND($AG1557&lt;&gt;"",$AI1557="",$AL1557=""),"保留中",IF($AL1557&lt;&gt;"",IF(N($AE1557)&gt;0,"支給済","不支給"),IF($AE1557="","要確認",IF($AE1557=0,"不支給","未処理")))))</f>
        <v/>
      </c>
      <c r="AG1557" s="12" t="n"/>
      <c r="AH1557" s="11" t="n"/>
      <c r="AI1557" s="11" t="n"/>
      <c r="AJ1557" s="11" t="n"/>
      <c r="AK1557" s="14">
        <f>IF(AND($AF1557="保留中",$AH1557&lt;&gt;""),TODAY()-$AH1557,"")</f>
        <v/>
      </c>
      <c r="AL1557" s="12" t="n"/>
      <c r="AM1557" s="14">
        <f>IF($B1557="","",IF($AQ1557="","対象年月が未入力／","")&amp;IF($B1557="","",IF($AP1557="","職員マスタに未登録の職員番号／",IF($AA1557="","標準報酬月額が未登録／","")&amp;IF(AND($AQ1557&lt;&gt;"",OR(AND(INDEX(職員マスタ!$G$6:$G$405,$AP1557)&lt;&gt;"",INDEX(職員マスタ!$G$6:$G$405,$AP1557)&gt;EOMONTH($AQ1557,0)),AND(INDEX(職員マスタ!$H$6:$H$405,$AP1557)&lt;&gt;"",INDEX(職員マスタ!$H$6:$H$405,$AP1557)&lt;$AQ1557))),"対象月が時短期間外／","")&amp;IF(AND(INDEX(職員マスタ!$K$6:$K$405,$AP1557)&lt;&gt;"",N($W1557)&gt;0,INDEX(職員マスタ!$K$6:$K$405,$AP1557)&lt;&gt;$W1557),"標準報酬月額が申請書と相違（台帳"&amp;TEXT(INDEX(職員マスタ!$K$6:$K$405,$AP1557),"#,##0")&amp;"円／申請書"&amp;TEXT($W1557,"#,##0")&amp;"円）／","")&amp;IF(AND(INDEX(職員マスタ!$F$6:$F$405,$AP1557)&lt;&gt;"",$AQ1557&lt;&gt;"",INDEX(職員マスタ!$F$6:$F$405,$AP1557)&lt;$AQ1557),"対象月に子が2歳到達済／","")&amp;IF(AND($H1557&lt;&gt;"",INDEX(職員マスタ!$B$6:$B$405,$AP1557)&lt;&gt;"",SUBSTITUTE(SUBSTITUTE($H1557," ","")," ","")&lt;&gt;SUBSTITUTE(SUBSTITUTE(INDEX(職員マスタ!$B$6:$B$405,$AP1557)," ","")," ","")),"氏名がマスタと相違／","")&amp;IF(AND($Q1557&lt;&gt;"",INDEX(職員マスタ!$E$6:$E$405,$AP1557)&lt;&gt;"",$Q1557&lt;&gt;INDEX(職員マスタ!$E$6:$E$405,$AP1557)),"子の生年月日がマスタと相違／","")&amp;IF(AND($L1557&lt;&gt;"",INDEX(職員マスタ!$G$6:$G$405,$AP1557)&lt;&gt;"",$L1557&lt;&gt;INDEX(職員マスタ!$G$6:$G$405,$AP1557)),"時短開始日がマスタと相違／","")&amp;IF(AND($M1557&lt;&gt;"",INDEX(職員マスタ!$H$6:$H$405,$AP1557)&lt;&gt;"",$M1557&lt;&gt;INDEX(職員マスタ!$H$6:$H$405,$AP1557)),"時短終了日がマスタと相違／","")))&amp;IF(AND($B1557&lt;&gt;"",$E1557=""),"報酬額が未入力／","")&amp;IF(N($U1557)&gt;0,"申請書に入力エラーが残っています／","")&amp;IF(AND($B1557&lt;&gt;"",$AQ1557&lt;&gt;""),IF(COUNTIFS($B$6:$B$3005,$B1557,$C$6:$C$3005,$C1557,$D$6:$D$3005,$D1557)&gt;1,"同じ月の請求が重複しています／",""),"")&amp;IF(AND(N($E1557)&gt;0,$AB1557&lt;&gt;"",$AB1557&lt;&gt;"×",$AE1557=0,$AD1557=""),"計算額が下限以下のため不支給／",""))</f>
        <v/>
      </c>
      <c r="AN1557" s="12" t="n"/>
      <c r="AO1557" s="14">
        <f>IF($AF1557="保留中",COUNTIF($AF$6:$AF1557,"保留中"),"")</f>
        <v/>
      </c>
      <c r="AP1557" s="14">
        <f>IF($AQ1557="","",IF(SUMPRODUCT(MAX((職員マスタ!$A$6:$A$405=$B1557)*(((職員マスタ!$G$6:$G$405="")+(職員マスタ!$G$6:$G$405&lt;=EOMONTH($AQ1557,0)))&gt;0)*(((職員マスタ!$H$6:$H$405="")+(職員マスタ!$H$6:$H$405&gt;=$AQ1557))&gt;0)*(ROW(職員マスタ!$A$6:$A$405)-5)))&gt;0,SUMPRODUCT(MAX((職員マスタ!$A$6:$A$405=$B1557)*(((職員マスタ!$G$6:$G$405="")+(職員マスタ!$G$6:$G$405&lt;=EOMONTH($AQ1557,0)))&gt;0)*(((職員マスタ!$H$6:$H$405="")+(職員マスタ!$H$6:$H$405&gt;=$AQ1557))&gt;0)*(ROW(職員マスタ!$A$6:$A$405)-5))),IFERROR(MATCH($B1557,職員マスタ!$A$6:$A$405,0),"")))</f>
        <v/>
      </c>
      <c r="AQ1557" s="16">
        <f>IF(OR($B1557="",$C1557="",$D1557=""),"",DATE($C1557+2018,$D1557,1))</f>
        <v/>
      </c>
    </row>
    <row r="1558">
      <c r="A1558" s="11" t="n"/>
      <c r="B1558" s="12" t="n"/>
      <c r="C1558" s="12" t="n"/>
      <c r="D1558" s="12" t="n"/>
      <c r="E1558" s="13" t="n"/>
      <c r="F1558" s="12" t="n"/>
      <c r="G1558" s="13" t="n"/>
      <c r="H1558" s="12" t="n"/>
      <c r="I1558" s="12" t="n"/>
      <c r="J1558" s="12" t="n"/>
      <c r="K1558" s="12" t="n"/>
      <c r="L1558" s="11" t="n"/>
      <c r="M1558" s="11" t="n"/>
      <c r="N1558" s="11" t="n"/>
      <c r="O1558" s="11" t="n"/>
      <c r="P1558" s="12" t="n"/>
      <c r="Q1558" s="11" t="n"/>
      <c r="R1558" s="12" t="n"/>
      <c r="S1558" s="11" t="n"/>
      <c r="T1558" s="12" t="n"/>
      <c r="U1558" s="12" t="n"/>
      <c r="V1558" s="12" t="n"/>
      <c r="W1558" s="13" t="n"/>
      <c r="X1558" s="14">
        <f>IF($AP1558="",IF($B1558="","",$H1558),IF(INDEX(職員マスタ!$B$6:$B$405,$AP1558)="",$H1558,INDEX(職員マスタ!$B$6:$B$405,$AP1558)))</f>
        <v/>
      </c>
      <c r="Y1558" s="14">
        <f>IF($AP1558="",IF($B1558="","",$R1558),IF(INDEX(職員マスタ!$C$6:$C$405,$AP1558)="",$R1558,INDEX(職員マスタ!$C$6:$C$405,$AP1558)))</f>
        <v/>
      </c>
      <c r="Z1558" s="14">
        <f>IF($AQ1558="","","R"&amp;$C1558&amp;"."&amp;$D1558)</f>
        <v/>
      </c>
      <c r="AA1558" s="15">
        <f>IF(IF($AP1558="",FALSE,INDEX(職員マスタ!$K$6:$K$405,$AP1558)&lt;&gt;""),INDEX(職員マスタ!$K$6:$K$405,$AP1558),IF(N($W1558)&gt;0,$W1558,""))</f>
        <v/>
      </c>
      <c r="AB1558" s="14">
        <f>IF(OR($E1558="",$AA1558=""),"",IF($E1558&gt;=$AA1558,"×",IF($E1558&gt;=$AA1558*設定!$C$5,"△","○")))</f>
        <v/>
      </c>
      <c r="AC1558" s="15">
        <f>IF($AB1558="","",IF($AB1558="×",0,IF($AB1558="○",ROUNDDOWN($E1558*設定!$C$4,0),ROUNDDOWN($E1558*ROUND((9*$AA1558-9*$E1558)/(10*$E1558),4),0))))</f>
        <v/>
      </c>
      <c r="AD1558" s="13" t="n"/>
      <c r="AE1558" s="15">
        <f>IF($B1558="","",IF($AD1558&lt;&gt;"",$AD1558,IF($AC1558="","",IF($AC1558&lt;=設定!$C$3,0,$AC1558))))</f>
        <v/>
      </c>
      <c r="AF1558" s="14">
        <f>IF($B1558="","",IF(AND($AG1558&lt;&gt;"",$AI1558="",$AL1558=""),"保留中",IF($AL1558&lt;&gt;"",IF(N($AE1558)&gt;0,"支給済","不支給"),IF($AE1558="","要確認",IF($AE1558=0,"不支給","未処理")))))</f>
        <v/>
      </c>
      <c r="AG1558" s="12" t="n"/>
      <c r="AH1558" s="11" t="n"/>
      <c r="AI1558" s="11" t="n"/>
      <c r="AJ1558" s="11" t="n"/>
      <c r="AK1558" s="14">
        <f>IF(AND($AF1558="保留中",$AH1558&lt;&gt;""),TODAY()-$AH1558,"")</f>
        <v/>
      </c>
      <c r="AL1558" s="12" t="n"/>
      <c r="AM1558" s="14">
        <f>IF($B1558="","",IF($AQ1558="","対象年月が未入力／","")&amp;IF($B1558="","",IF($AP1558="","職員マスタに未登録の職員番号／",IF($AA1558="","標準報酬月額が未登録／","")&amp;IF(AND($AQ1558&lt;&gt;"",OR(AND(INDEX(職員マスタ!$G$6:$G$405,$AP1558)&lt;&gt;"",INDEX(職員マスタ!$G$6:$G$405,$AP1558)&gt;EOMONTH($AQ1558,0)),AND(INDEX(職員マスタ!$H$6:$H$405,$AP1558)&lt;&gt;"",INDEX(職員マスタ!$H$6:$H$405,$AP1558)&lt;$AQ1558))),"対象月が時短期間外／","")&amp;IF(AND(INDEX(職員マスタ!$K$6:$K$405,$AP1558)&lt;&gt;"",N($W1558)&gt;0,INDEX(職員マスタ!$K$6:$K$405,$AP1558)&lt;&gt;$W1558),"標準報酬月額が申請書と相違（台帳"&amp;TEXT(INDEX(職員マスタ!$K$6:$K$405,$AP1558),"#,##0")&amp;"円／申請書"&amp;TEXT($W1558,"#,##0")&amp;"円）／","")&amp;IF(AND(INDEX(職員マスタ!$F$6:$F$405,$AP1558)&lt;&gt;"",$AQ1558&lt;&gt;"",INDEX(職員マスタ!$F$6:$F$405,$AP1558)&lt;$AQ1558),"対象月に子が2歳到達済／","")&amp;IF(AND($H1558&lt;&gt;"",INDEX(職員マスタ!$B$6:$B$405,$AP1558)&lt;&gt;"",SUBSTITUTE(SUBSTITUTE($H1558," ","")," ","")&lt;&gt;SUBSTITUTE(SUBSTITUTE(INDEX(職員マスタ!$B$6:$B$405,$AP1558)," ","")," ","")),"氏名がマスタと相違／","")&amp;IF(AND($Q1558&lt;&gt;"",INDEX(職員マスタ!$E$6:$E$405,$AP1558)&lt;&gt;"",$Q1558&lt;&gt;INDEX(職員マスタ!$E$6:$E$405,$AP1558)),"子の生年月日がマスタと相違／","")&amp;IF(AND($L1558&lt;&gt;"",INDEX(職員マスタ!$G$6:$G$405,$AP1558)&lt;&gt;"",$L1558&lt;&gt;INDEX(職員マスタ!$G$6:$G$405,$AP1558)),"時短開始日がマスタと相違／","")&amp;IF(AND($M1558&lt;&gt;"",INDEX(職員マスタ!$H$6:$H$405,$AP1558)&lt;&gt;"",$M1558&lt;&gt;INDEX(職員マスタ!$H$6:$H$405,$AP1558)),"時短終了日がマスタと相違／","")))&amp;IF(AND($B1558&lt;&gt;"",$E1558=""),"報酬額が未入力／","")&amp;IF(N($U1558)&gt;0,"申請書に入力エラーが残っています／","")&amp;IF(AND($B1558&lt;&gt;"",$AQ1558&lt;&gt;""),IF(COUNTIFS($B$6:$B$3005,$B1558,$C$6:$C$3005,$C1558,$D$6:$D$3005,$D1558)&gt;1,"同じ月の請求が重複しています／",""),"")&amp;IF(AND(N($E1558)&gt;0,$AB1558&lt;&gt;"",$AB1558&lt;&gt;"×",$AE1558=0,$AD1558=""),"計算額が下限以下のため不支給／",""))</f>
        <v/>
      </c>
      <c r="AN1558" s="12" t="n"/>
      <c r="AO1558" s="14">
        <f>IF($AF1558="保留中",COUNTIF($AF$6:$AF1558,"保留中"),"")</f>
        <v/>
      </c>
      <c r="AP1558" s="14">
        <f>IF($AQ1558="","",IF(SUMPRODUCT(MAX((職員マスタ!$A$6:$A$405=$B1558)*(((職員マスタ!$G$6:$G$405="")+(職員マスタ!$G$6:$G$405&lt;=EOMONTH($AQ1558,0)))&gt;0)*(((職員マスタ!$H$6:$H$405="")+(職員マスタ!$H$6:$H$405&gt;=$AQ1558))&gt;0)*(ROW(職員マスタ!$A$6:$A$405)-5)))&gt;0,SUMPRODUCT(MAX((職員マスタ!$A$6:$A$405=$B1558)*(((職員マスタ!$G$6:$G$405="")+(職員マスタ!$G$6:$G$405&lt;=EOMONTH($AQ1558,0)))&gt;0)*(((職員マスタ!$H$6:$H$405="")+(職員マスタ!$H$6:$H$405&gt;=$AQ1558))&gt;0)*(ROW(職員マスタ!$A$6:$A$405)-5))),IFERROR(MATCH($B1558,職員マスタ!$A$6:$A$405,0),"")))</f>
        <v/>
      </c>
      <c r="AQ1558" s="16">
        <f>IF(OR($B1558="",$C1558="",$D1558=""),"",DATE($C1558+2018,$D1558,1))</f>
        <v/>
      </c>
    </row>
    <row r="1559">
      <c r="A1559" s="11" t="n"/>
      <c r="B1559" s="12" t="n"/>
      <c r="C1559" s="12" t="n"/>
      <c r="D1559" s="12" t="n"/>
      <c r="E1559" s="13" t="n"/>
      <c r="F1559" s="12" t="n"/>
      <c r="G1559" s="13" t="n"/>
      <c r="H1559" s="12" t="n"/>
      <c r="I1559" s="12" t="n"/>
      <c r="J1559" s="12" t="n"/>
      <c r="K1559" s="12" t="n"/>
      <c r="L1559" s="11" t="n"/>
      <c r="M1559" s="11" t="n"/>
      <c r="N1559" s="11" t="n"/>
      <c r="O1559" s="11" t="n"/>
      <c r="P1559" s="12" t="n"/>
      <c r="Q1559" s="11" t="n"/>
      <c r="R1559" s="12" t="n"/>
      <c r="S1559" s="11" t="n"/>
      <c r="T1559" s="12" t="n"/>
      <c r="U1559" s="12" t="n"/>
      <c r="V1559" s="12" t="n"/>
      <c r="W1559" s="13" t="n"/>
      <c r="X1559" s="14">
        <f>IF($AP1559="",IF($B1559="","",$H1559),IF(INDEX(職員マスタ!$B$6:$B$405,$AP1559)="",$H1559,INDEX(職員マスタ!$B$6:$B$405,$AP1559)))</f>
        <v/>
      </c>
      <c r="Y1559" s="14">
        <f>IF($AP1559="",IF($B1559="","",$R1559),IF(INDEX(職員マスタ!$C$6:$C$405,$AP1559)="",$R1559,INDEX(職員マスタ!$C$6:$C$405,$AP1559)))</f>
        <v/>
      </c>
      <c r="Z1559" s="14">
        <f>IF($AQ1559="","","R"&amp;$C1559&amp;"."&amp;$D1559)</f>
        <v/>
      </c>
      <c r="AA1559" s="15">
        <f>IF(IF($AP1559="",FALSE,INDEX(職員マスタ!$K$6:$K$405,$AP1559)&lt;&gt;""),INDEX(職員マスタ!$K$6:$K$405,$AP1559),IF(N($W1559)&gt;0,$W1559,""))</f>
        <v/>
      </c>
      <c r="AB1559" s="14">
        <f>IF(OR($E1559="",$AA1559=""),"",IF($E1559&gt;=$AA1559,"×",IF($E1559&gt;=$AA1559*設定!$C$5,"△","○")))</f>
        <v/>
      </c>
      <c r="AC1559" s="15">
        <f>IF($AB1559="","",IF($AB1559="×",0,IF($AB1559="○",ROUNDDOWN($E1559*設定!$C$4,0),ROUNDDOWN($E1559*ROUND((9*$AA1559-9*$E1559)/(10*$E1559),4),0))))</f>
        <v/>
      </c>
      <c r="AD1559" s="13" t="n"/>
      <c r="AE1559" s="15">
        <f>IF($B1559="","",IF($AD1559&lt;&gt;"",$AD1559,IF($AC1559="","",IF($AC1559&lt;=設定!$C$3,0,$AC1559))))</f>
        <v/>
      </c>
      <c r="AF1559" s="14">
        <f>IF($B1559="","",IF(AND($AG1559&lt;&gt;"",$AI1559="",$AL1559=""),"保留中",IF($AL1559&lt;&gt;"",IF(N($AE1559)&gt;0,"支給済","不支給"),IF($AE1559="","要確認",IF($AE1559=0,"不支給","未処理")))))</f>
        <v/>
      </c>
      <c r="AG1559" s="12" t="n"/>
      <c r="AH1559" s="11" t="n"/>
      <c r="AI1559" s="11" t="n"/>
      <c r="AJ1559" s="11" t="n"/>
      <c r="AK1559" s="14">
        <f>IF(AND($AF1559="保留中",$AH1559&lt;&gt;""),TODAY()-$AH1559,"")</f>
        <v/>
      </c>
      <c r="AL1559" s="12" t="n"/>
      <c r="AM1559" s="14">
        <f>IF($B1559="","",IF($AQ1559="","対象年月が未入力／","")&amp;IF($B1559="","",IF($AP1559="","職員マスタに未登録の職員番号／",IF($AA1559="","標準報酬月額が未登録／","")&amp;IF(AND($AQ1559&lt;&gt;"",OR(AND(INDEX(職員マスタ!$G$6:$G$405,$AP1559)&lt;&gt;"",INDEX(職員マスタ!$G$6:$G$405,$AP1559)&gt;EOMONTH($AQ1559,0)),AND(INDEX(職員マスタ!$H$6:$H$405,$AP1559)&lt;&gt;"",INDEX(職員マスタ!$H$6:$H$405,$AP1559)&lt;$AQ1559))),"対象月が時短期間外／","")&amp;IF(AND(INDEX(職員マスタ!$K$6:$K$405,$AP1559)&lt;&gt;"",N($W1559)&gt;0,INDEX(職員マスタ!$K$6:$K$405,$AP1559)&lt;&gt;$W1559),"標準報酬月額が申請書と相違（台帳"&amp;TEXT(INDEX(職員マスタ!$K$6:$K$405,$AP1559),"#,##0")&amp;"円／申請書"&amp;TEXT($W1559,"#,##0")&amp;"円）／","")&amp;IF(AND(INDEX(職員マスタ!$F$6:$F$405,$AP1559)&lt;&gt;"",$AQ1559&lt;&gt;"",INDEX(職員マスタ!$F$6:$F$405,$AP1559)&lt;$AQ1559),"対象月に子が2歳到達済／","")&amp;IF(AND($H1559&lt;&gt;"",INDEX(職員マスタ!$B$6:$B$405,$AP1559)&lt;&gt;"",SUBSTITUTE(SUBSTITUTE($H1559," ","")," ","")&lt;&gt;SUBSTITUTE(SUBSTITUTE(INDEX(職員マスタ!$B$6:$B$405,$AP1559)," ","")," ","")),"氏名がマスタと相違／","")&amp;IF(AND($Q1559&lt;&gt;"",INDEX(職員マスタ!$E$6:$E$405,$AP1559)&lt;&gt;"",$Q1559&lt;&gt;INDEX(職員マスタ!$E$6:$E$405,$AP1559)),"子の生年月日がマスタと相違／","")&amp;IF(AND($L1559&lt;&gt;"",INDEX(職員マスタ!$G$6:$G$405,$AP1559)&lt;&gt;"",$L1559&lt;&gt;INDEX(職員マスタ!$G$6:$G$405,$AP1559)),"時短開始日がマスタと相違／","")&amp;IF(AND($M1559&lt;&gt;"",INDEX(職員マスタ!$H$6:$H$405,$AP1559)&lt;&gt;"",$M1559&lt;&gt;INDEX(職員マスタ!$H$6:$H$405,$AP1559)),"時短終了日がマスタと相違／","")))&amp;IF(AND($B1559&lt;&gt;"",$E1559=""),"報酬額が未入力／","")&amp;IF(N($U1559)&gt;0,"申請書に入力エラーが残っています／","")&amp;IF(AND($B1559&lt;&gt;"",$AQ1559&lt;&gt;""),IF(COUNTIFS($B$6:$B$3005,$B1559,$C$6:$C$3005,$C1559,$D$6:$D$3005,$D1559)&gt;1,"同じ月の請求が重複しています／",""),"")&amp;IF(AND(N($E1559)&gt;0,$AB1559&lt;&gt;"",$AB1559&lt;&gt;"×",$AE1559=0,$AD1559=""),"計算額が下限以下のため不支給／",""))</f>
        <v/>
      </c>
      <c r="AN1559" s="12" t="n"/>
      <c r="AO1559" s="14">
        <f>IF($AF1559="保留中",COUNTIF($AF$6:$AF1559,"保留中"),"")</f>
        <v/>
      </c>
      <c r="AP1559" s="14">
        <f>IF($AQ1559="","",IF(SUMPRODUCT(MAX((職員マスタ!$A$6:$A$405=$B1559)*(((職員マスタ!$G$6:$G$405="")+(職員マスタ!$G$6:$G$405&lt;=EOMONTH($AQ1559,0)))&gt;0)*(((職員マスタ!$H$6:$H$405="")+(職員マスタ!$H$6:$H$405&gt;=$AQ1559))&gt;0)*(ROW(職員マスタ!$A$6:$A$405)-5)))&gt;0,SUMPRODUCT(MAX((職員マスタ!$A$6:$A$405=$B1559)*(((職員マスタ!$G$6:$G$405="")+(職員マスタ!$G$6:$G$405&lt;=EOMONTH($AQ1559,0)))&gt;0)*(((職員マスタ!$H$6:$H$405="")+(職員マスタ!$H$6:$H$405&gt;=$AQ1559))&gt;0)*(ROW(職員マスタ!$A$6:$A$405)-5))),IFERROR(MATCH($B1559,職員マスタ!$A$6:$A$405,0),"")))</f>
        <v/>
      </c>
      <c r="AQ1559" s="16">
        <f>IF(OR($B1559="",$C1559="",$D1559=""),"",DATE($C1559+2018,$D1559,1))</f>
        <v/>
      </c>
    </row>
    <row r="1560">
      <c r="A1560" s="11" t="n"/>
      <c r="B1560" s="12" t="n"/>
      <c r="C1560" s="12" t="n"/>
      <c r="D1560" s="12" t="n"/>
      <c r="E1560" s="13" t="n"/>
      <c r="F1560" s="12" t="n"/>
      <c r="G1560" s="13" t="n"/>
      <c r="H1560" s="12" t="n"/>
      <c r="I1560" s="12" t="n"/>
      <c r="J1560" s="12" t="n"/>
      <c r="K1560" s="12" t="n"/>
      <c r="L1560" s="11" t="n"/>
      <c r="M1560" s="11" t="n"/>
      <c r="N1560" s="11" t="n"/>
      <c r="O1560" s="11" t="n"/>
      <c r="P1560" s="12" t="n"/>
      <c r="Q1560" s="11" t="n"/>
      <c r="R1560" s="12" t="n"/>
      <c r="S1560" s="11" t="n"/>
      <c r="T1560" s="12" t="n"/>
      <c r="U1560" s="12" t="n"/>
      <c r="V1560" s="12" t="n"/>
      <c r="W1560" s="13" t="n"/>
      <c r="X1560" s="14">
        <f>IF($AP1560="",IF($B1560="","",$H1560),IF(INDEX(職員マスタ!$B$6:$B$405,$AP1560)="",$H1560,INDEX(職員マスタ!$B$6:$B$405,$AP1560)))</f>
        <v/>
      </c>
      <c r="Y1560" s="14">
        <f>IF($AP1560="",IF($B1560="","",$R1560),IF(INDEX(職員マスタ!$C$6:$C$405,$AP1560)="",$R1560,INDEX(職員マスタ!$C$6:$C$405,$AP1560)))</f>
        <v/>
      </c>
      <c r="Z1560" s="14">
        <f>IF($AQ1560="","","R"&amp;$C1560&amp;"."&amp;$D1560)</f>
        <v/>
      </c>
      <c r="AA1560" s="15">
        <f>IF(IF($AP1560="",FALSE,INDEX(職員マスタ!$K$6:$K$405,$AP1560)&lt;&gt;""),INDEX(職員マスタ!$K$6:$K$405,$AP1560),IF(N($W1560)&gt;0,$W1560,""))</f>
        <v/>
      </c>
      <c r="AB1560" s="14">
        <f>IF(OR($E1560="",$AA1560=""),"",IF($E1560&gt;=$AA1560,"×",IF($E1560&gt;=$AA1560*設定!$C$5,"△","○")))</f>
        <v/>
      </c>
      <c r="AC1560" s="15">
        <f>IF($AB1560="","",IF($AB1560="×",0,IF($AB1560="○",ROUNDDOWN($E1560*設定!$C$4,0),ROUNDDOWN($E1560*ROUND((9*$AA1560-9*$E1560)/(10*$E1560),4),0))))</f>
        <v/>
      </c>
      <c r="AD1560" s="13" t="n"/>
      <c r="AE1560" s="15">
        <f>IF($B1560="","",IF($AD1560&lt;&gt;"",$AD1560,IF($AC1560="","",IF($AC1560&lt;=設定!$C$3,0,$AC1560))))</f>
        <v/>
      </c>
      <c r="AF1560" s="14">
        <f>IF($B1560="","",IF(AND($AG1560&lt;&gt;"",$AI1560="",$AL1560=""),"保留中",IF($AL1560&lt;&gt;"",IF(N($AE1560)&gt;0,"支給済","不支給"),IF($AE1560="","要確認",IF($AE1560=0,"不支給","未処理")))))</f>
        <v/>
      </c>
      <c r="AG1560" s="12" t="n"/>
      <c r="AH1560" s="11" t="n"/>
      <c r="AI1560" s="11" t="n"/>
      <c r="AJ1560" s="11" t="n"/>
      <c r="AK1560" s="14">
        <f>IF(AND($AF1560="保留中",$AH1560&lt;&gt;""),TODAY()-$AH1560,"")</f>
        <v/>
      </c>
      <c r="AL1560" s="12" t="n"/>
      <c r="AM1560" s="14">
        <f>IF($B1560="","",IF($AQ1560="","対象年月が未入力／","")&amp;IF($B1560="","",IF($AP1560="","職員マスタに未登録の職員番号／",IF($AA1560="","標準報酬月額が未登録／","")&amp;IF(AND($AQ1560&lt;&gt;"",OR(AND(INDEX(職員マスタ!$G$6:$G$405,$AP1560)&lt;&gt;"",INDEX(職員マスタ!$G$6:$G$405,$AP1560)&gt;EOMONTH($AQ1560,0)),AND(INDEX(職員マスタ!$H$6:$H$405,$AP1560)&lt;&gt;"",INDEX(職員マスタ!$H$6:$H$405,$AP1560)&lt;$AQ1560))),"対象月が時短期間外／","")&amp;IF(AND(INDEX(職員マスタ!$K$6:$K$405,$AP1560)&lt;&gt;"",N($W1560)&gt;0,INDEX(職員マスタ!$K$6:$K$405,$AP1560)&lt;&gt;$W1560),"標準報酬月額が申請書と相違（台帳"&amp;TEXT(INDEX(職員マスタ!$K$6:$K$405,$AP1560),"#,##0")&amp;"円／申請書"&amp;TEXT($W1560,"#,##0")&amp;"円）／","")&amp;IF(AND(INDEX(職員マスタ!$F$6:$F$405,$AP1560)&lt;&gt;"",$AQ1560&lt;&gt;"",INDEX(職員マスタ!$F$6:$F$405,$AP1560)&lt;$AQ1560),"対象月に子が2歳到達済／","")&amp;IF(AND($H1560&lt;&gt;"",INDEX(職員マスタ!$B$6:$B$405,$AP1560)&lt;&gt;"",SUBSTITUTE(SUBSTITUTE($H1560," ","")," ","")&lt;&gt;SUBSTITUTE(SUBSTITUTE(INDEX(職員マスタ!$B$6:$B$405,$AP1560)," ","")," ","")),"氏名がマスタと相違／","")&amp;IF(AND($Q1560&lt;&gt;"",INDEX(職員マスタ!$E$6:$E$405,$AP1560)&lt;&gt;"",$Q1560&lt;&gt;INDEX(職員マスタ!$E$6:$E$405,$AP1560)),"子の生年月日がマスタと相違／","")&amp;IF(AND($L1560&lt;&gt;"",INDEX(職員マスタ!$G$6:$G$405,$AP1560)&lt;&gt;"",$L1560&lt;&gt;INDEX(職員マスタ!$G$6:$G$405,$AP1560)),"時短開始日がマスタと相違／","")&amp;IF(AND($M1560&lt;&gt;"",INDEX(職員マスタ!$H$6:$H$405,$AP1560)&lt;&gt;"",$M1560&lt;&gt;INDEX(職員マスタ!$H$6:$H$405,$AP1560)),"時短終了日がマスタと相違／","")))&amp;IF(AND($B1560&lt;&gt;"",$E1560=""),"報酬額が未入力／","")&amp;IF(N($U1560)&gt;0,"申請書に入力エラーが残っています／","")&amp;IF(AND($B1560&lt;&gt;"",$AQ1560&lt;&gt;""),IF(COUNTIFS($B$6:$B$3005,$B1560,$C$6:$C$3005,$C1560,$D$6:$D$3005,$D1560)&gt;1,"同じ月の請求が重複しています／",""),"")&amp;IF(AND(N($E1560)&gt;0,$AB1560&lt;&gt;"",$AB1560&lt;&gt;"×",$AE1560=0,$AD1560=""),"計算額が下限以下のため不支給／",""))</f>
        <v/>
      </c>
      <c r="AN1560" s="12" t="n"/>
      <c r="AO1560" s="14">
        <f>IF($AF1560="保留中",COUNTIF($AF$6:$AF1560,"保留中"),"")</f>
        <v/>
      </c>
      <c r="AP1560" s="14">
        <f>IF($AQ1560="","",IF(SUMPRODUCT(MAX((職員マスタ!$A$6:$A$405=$B1560)*(((職員マスタ!$G$6:$G$405="")+(職員マスタ!$G$6:$G$405&lt;=EOMONTH($AQ1560,0)))&gt;0)*(((職員マスタ!$H$6:$H$405="")+(職員マスタ!$H$6:$H$405&gt;=$AQ1560))&gt;0)*(ROW(職員マスタ!$A$6:$A$405)-5)))&gt;0,SUMPRODUCT(MAX((職員マスタ!$A$6:$A$405=$B1560)*(((職員マスタ!$G$6:$G$405="")+(職員マスタ!$G$6:$G$405&lt;=EOMONTH($AQ1560,0)))&gt;0)*(((職員マスタ!$H$6:$H$405="")+(職員マスタ!$H$6:$H$405&gt;=$AQ1560))&gt;0)*(ROW(職員マスタ!$A$6:$A$405)-5))),IFERROR(MATCH($B1560,職員マスタ!$A$6:$A$405,0),"")))</f>
        <v/>
      </c>
      <c r="AQ1560" s="16">
        <f>IF(OR($B1560="",$C1560="",$D1560=""),"",DATE($C1560+2018,$D1560,1))</f>
        <v/>
      </c>
    </row>
    <row r="1561">
      <c r="A1561" s="11" t="n"/>
      <c r="B1561" s="12" t="n"/>
      <c r="C1561" s="12" t="n"/>
      <c r="D1561" s="12" t="n"/>
      <c r="E1561" s="13" t="n"/>
      <c r="F1561" s="12" t="n"/>
      <c r="G1561" s="13" t="n"/>
      <c r="H1561" s="12" t="n"/>
      <c r="I1561" s="12" t="n"/>
      <c r="J1561" s="12" t="n"/>
      <c r="K1561" s="12" t="n"/>
      <c r="L1561" s="11" t="n"/>
      <c r="M1561" s="11" t="n"/>
      <c r="N1561" s="11" t="n"/>
      <c r="O1561" s="11" t="n"/>
      <c r="P1561" s="12" t="n"/>
      <c r="Q1561" s="11" t="n"/>
      <c r="R1561" s="12" t="n"/>
      <c r="S1561" s="11" t="n"/>
      <c r="T1561" s="12" t="n"/>
      <c r="U1561" s="12" t="n"/>
      <c r="V1561" s="12" t="n"/>
      <c r="W1561" s="13" t="n"/>
      <c r="X1561" s="14">
        <f>IF($AP1561="",IF($B1561="","",$H1561),IF(INDEX(職員マスタ!$B$6:$B$405,$AP1561)="",$H1561,INDEX(職員マスタ!$B$6:$B$405,$AP1561)))</f>
        <v/>
      </c>
      <c r="Y1561" s="14">
        <f>IF($AP1561="",IF($B1561="","",$R1561),IF(INDEX(職員マスタ!$C$6:$C$405,$AP1561)="",$R1561,INDEX(職員マスタ!$C$6:$C$405,$AP1561)))</f>
        <v/>
      </c>
      <c r="Z1561" s="14">
        <f>IF($AQ1561="","","R"&amp;$C1561&amp;"."&amp;$D1561)</f>
        <v/>
      </c>
      <c r="AA1561" s="15">
        <f>IF(IF($AP1561="",FALSE,INDEX(職員マスタ!$K$6:$K$405,$AP1561)&lt;&gt;""),INDEX(職員マスタ!$K$6:$K$405,$AP1561),IF(N($W1561)&gt;0,$W1561,""))</f>
        <v/>
      </c>
      <c r="AB1561" s="14">
        <f>IF(OR($E1561="",$AA1561=""),"",IF($E1561&gt;=$AA1561,"×",IF($E1561&gt;=$AA1561*設定!$C$5,"△","○")))</f>
        <v/>
      </c>
      <c r="AC1561" s="15">
        <f>IF($AB1561="","",IF($AB1561="×",0,IF($AB1561="○",ROUNDDOWN($E1561*設定!$C$4,0),ROUNDDOWN($E1561*ROUND((9*$AA1561-9*$E1561)/(10*$E1561),4),0))))</f>
        <v/>
      </c>
      <c r="AD1561" s="13" t="n"/>
      <c r="AE1561" s="15">
        <f>IF($B1561="","",IF($AD1561&lt;&gt;"",$AD1561,IF($AC1561="","",IF($AC1561&lt;=設定!$C$3,0,$AC1561))))</f>
        <v/>
      </c>
      <c r="AF1561" s="14">
        <f>IF($B1561="","",IF(AND($AG1561&lt;&gt;"",$AI1561="",$AL1561=""),"保留中",IF($AL1561&lt;&gt;"",IF(N($AE1561)&gt;0,"支給済","不支給"),IF($AE1561="","要確認",IF($AE1561=0,"不支給","未処理")))))</f>
        <v/>
      </c>
      <c r="AG1561" s="12" t="n"/>
      <c r="AH1561" s="11" t="n"/>
      <c r="AI1561" s="11" t="n"/>
      <c r="AJ1561" s="11" t="n"/>
      <c r="AK1561" s="14">
        <f>IF(AND($AF1561="保留中",$AH1561&lt;&gt;""),TODAY()-$AH1561,"")</f>
        <v/>
      </c>
      <c r="AL1561" s="12" t="n"/>
      <c r="AM1561" s="14">
        <f>IF($B1561="","",IF($AQ1561="","対象年月が未入力／","")&amp;IF($B1561="","",IF($AP1561="","職員マスタに未登録の職員番号／",IF($AA1561="","標準報酬月額が未登録／","")&amp;IF(AND($AQ1561&lt;&gt;"",OR(AND(INDEX(職員マスタ!$G$6:$G$405,$AP1561)&lt;&gt;"",INDEX(職員マスタ!$G$6:$G$405,$AP1561)&gt;EOMONTH($AQ1561,0)),AND(INDEX(職員マスタ!$H$6:$H$405,$AP1561)&lt;&gt;"",INDEX(職員マスタ!$H$6:$H$405,$AP1561)&lt;$AQ1561))),"対象月が時短期間外／","")&amp;IF(AND(INDEX(職員マスタ!$K$6:$K$405,$AP1561)&lt;&gt;"",N($W1561)&gt;0,INDEX(職員マスタ!$K$6:$K$405,$AP1561)&lt;&gt;$W1561),"標準報酬月額が申請書と相違（台帳"&amp;TEXT(INDEX(職員マスタ!$K$6:$K$405,$AP1561),"#,##0")&amp;"円／申請書"&amp;TEXT($W1561,"#,##0")&amp;"円）／","")&amp;IF(AND(INDEX(職員マスタ!$F$6:$F$405,$AP1561)&lt;&gt;"",$AQ1561&lt;&gt;"",INDEX(職員マスタ!$F$6:$F$405,$AP1561)&lt;$AQ1561),"対象月に子が2歳到達済／","")&amp;IF(AND($H1561&lt;&gt;"",INDEX(職員マスタ!$B$6:$B$405,$AP1561)&lt;&gt;"",SUBSTITUTE(SUBSTITUTE($H1561," ","")," ","")&lt;&gt;SUBSTITUTE(SUBSTITUTE(INDEX(職員マスタ!$B$6:$B$405,$AP1561)," ","")," ","")),"氏名がマスタと相違／","")&amp;IF(AND($Q1561&lt;&gt;"",INDEX(職員マスタ!$E$6:$E$405,$AP1561)&lt;&gt;"",$Q1561&lt;&gt;INDEX(職員マスタ!$E$6:$E$405,$AP1561)),"子の生年月日がマスタと相違／","")&amp;IF(AND($L1561&lt;&gt;"",INDEX(職員マスタ!$G$6:$G$405,$AP1561)&lt;&gt;"",$L1561&lt;&gt;INDEX(職員マスタ!$G$6:$G$405,$AP1561)),"時短開始日がマスタと相違／","")&amp;IF(AND($M1561&lt;&gt;"",INDEX(職員マスタ!$H$6:$H$405,$AP1561)&lt;&gt;"",$M1561&lt;&gt;INDEX(職員マスタ!$H$6:$H$405,$AP1561)),"時短終了日がマスタと相違／","")))&amp;IF(AND($B1561&lt;&gt;"",$E1561=""),"報酬額が未入力／","")&amp;IF(N($U1561)&gt;0,"申請書に入力エラーが残っています／","")&amp;IF(AND($B1561&lt;&gt;"",$AQ1561&lt;&gt;""),IF(COUNTIFS($B$6:$B$3005,$B1561,$C$6:$C$3005,$C1561,$D$6:$D$3005,$D1561)&gt;1,"同じ月の請求が重複しています／",""),"")&amp;IF(AND(N($E1561)&gt;0,$AB1561&lt;&gt;"",$AB1561&lt;&gt;"×",$AE1561=0,$AD1561=""),"計算額が下限以下のため不支給／",""))</f>
        <v/>
      </c>
      <c r="AN1561" s="12" t="n"/>
      <c r="AO1561" s="14">
        <f>IF($AF1561="保留中",COUNTIF($AF$6:$AF1561,"保留中"),"")</f>
        <v/>
      </c>
      <c r="AP1561" s="14">
        <f>IF($AQ1561="","",IF(SUMPRODUCT(MAX((職員マスタ!$A$6:$A$405=$B1561)*(((職員マスタ!$G$6:$G$405="")+(職員マスタ!$G$6:$G$405&lt;=EOMONTH($AQ1561,0)))&gt;0)*(((職員マスタ!$H$6:$H$405="")+(職員マスタ!$H$6:$H$405&gt;=$AQ1561))&gt;0)*(ROW(職員マスタ!$A$6:$A$405)-5)))&gt;0,SUMPRODUCT(MAX((職員マスタ!$A$6:$A$405=$B1561)*(((職員マスタ!$G$6:$G$405="")+(職員マスタ!$G$6:$G$405&lt;=EOMONTH($AQ1561,0)))&gt;0)*(((職員マスタ!$H$6:$H$405="")+(職員マスタ!$H$6:$H$405&gt;=$AQ1561))&gt;0)*(ROW(職員マスタ!$A$6:$A$405)-5))),IFERROR(MATCH($B1561,職員マスタ!$A$6:$A$405,0),"")))</f>
        <v/>
      </c>
      <c r="AQ1561" s="16">
        <f>IF(OR($B1561="",$C1561="",$D1561=""),"",DATE($C1561+2018,$D1561,1))</f>
        <v/>
      </c>
    </row>
    <row r="1562">
      <c r="A1562" s="11" t="n"/>
      <c r="B1562" s="12" t="n"/>
      <c r="C1562" s="12" t="n"/>
      <c r="D1562" s="12" t="n"/>
      <c r="E1562" s="13" t="n"/>
      <c r="F1562" s="12" t="n"/>
      <c r="G1562" s="13" t="n"/>
      <c r="H1562" s="12" t="n"/>
      <c r="I1562" s="12" t="n"/>
      <c r="J1562" s="12" t="n"/>
      <c r="K1562" s="12" t="n"/>
      <c r="L1562" s="11" t="n"/>
      <c r="M1562" s="11" t="n"/>
      <c r="N1562" s="11" t="n"/>
      <c r="O1562" s="11" t="n"/>
      <c r="P1562" s="12" t="n"/>
      <c r="Q1562" s="11" t="n"/>
      <c r="R1562" s="12" t="n"/>
      <c r="S1562" s="11" t="n"/>
      <c r="T1562" s="12" t="n"/>
      <c r="U1562" s="12" t="n"/>
      <c r="V1562" s="12" t="n"/>
      <c r="W1562" s="13" t="n"/>
      <c r="X1562" s="14">
        <f>IF($AP1562="",IF($B1562="","",$H1562),IF(INDEX(職員マスタ!$B$6:$B$405,$AP1562)="",$H1562,INDEX(職員マスタ!$B$6:$B$405,$AP1562)))</f>
        <v/>
      </c>
      <c r="Y1562" s="14">
        <f>IF($AP1562="",IF($B1562="","",$R1562),IF(INDEX(職員マスタ!$C$6:$C$405,$AP1562)="",$R1562,INDEX(職員マスタ!$C$6:$C$405,$AP1562)))</f>
        <v/>
      </c>
      <c r="Z1562" s="14">
        <f>IF($AQ1562="","","R"&amp;$C1562&amp;"."&amp;$D1562)</f>
        <v/>
      </c>
      <c r="AA1562" s="15">
        <f>IF(IF($AP1562="",FALSE,INDEX(職員マスタ!$K$6:$K$405,$AP1562)&lt;&gt;""),INDEX(職員マスタ!$K$6:$K$405,$AP1562),IF(N($W1562)&gt;0,$W1562,""))</f>
        <v/>
      </c>
      <c r="AB1562" s="14">
        <f>IF(OR($E1562="",$AA1562=""),"",IF($E1562&gt;=$AA1562,"×",IF($E1562&gt;=$AA1562*設定!$C$5,"△","○")))</f>
        <v/>
      </c>
      <c r="AC1562" s="15">
        <f>IF($AB1562="","",IF($AB1562="×",0,IF($AB1562="○",ROUNDDOWN($E1562*設定!$C$4,0),ROUNDDOWN($E1562*ROUND((9*$AA1562-9*$E1562)/(10*$E1562),4),0))))</f>
        <v/>
      </c>
      <c r="AD1562" s="13" t="n"/>
      <c r="AE1562" s="15">
        <f>IF($B1562="","",IF($AD1562&lt;&gt;"",$AD1562,IF($AC1562="","",IF($AC1562&lt;=設定!$C$3,0,$AC1562))))</f>
        <v/>
      </c>
      <c r="AF1562" s="14">
        <f>IF($B1562="","",IF(AND($AG1562&lt;&gt;"",$AI1562="",$AL1562=""),"保留中",IF($AL1562&lt;&gt;"",IF(N($AE1562)&gt;0,"支給済","不支給"),IF($AE1562="","要確認",IF($AE1562=0,"不支給","未処理")))))</f>
        <v/>
      </c>
      <c r="AG1562" s="12" t="n"/>
      <c r="AH1562" s="11" t="n"/>
      <c r="AI1562" s="11" t="n"/>
      <c r="AJ1562" s="11" t="n"/>
      <c r="AK1562" s="14">
        <f>IF(AND($AF1562="保留中",$AH1562&lt;&gt;""),TODAY()-$AH1562,"")</f>
        <v/>
      </c>
      <c r="AL1562" s="12" t="n"/>
      <c r="AM1562" s="14">
        <f>IF($B1562="","",IF($AQ1562="","対象年月が未入力／","")&amp;IF($B1562="","",IF($AP1562="","職員マスタに未登録の職員番号／",IF($AA1562="","標準報酬月額が未登録／","")&amp;IF(AND($AQ1562&lt;&gt;"",OR(AND(INDEX(職員マスタ!$G$6:$G$405,$AP1562)&lt;&gt;"",INDEX(職員マスタ!$G$6:$G$405,$AP1562)&gt;EOMONTH($AQ1562,0)),AND(INDEX(職員マスタ!$H$6:$H$405,$AP1562)&lt;&gt;"",INDEX(職員マスタ!$H$6:$H$405,$AP1562)&lt;$AQ1562))),"対象月が時短期間外／","")&amp;IF(AND(INDEX(職員マスタ!$K$6:$K$405,$AP1562)&lt;&gt;"",N($W1562)&gt;0,INDEX(職員マスタ!$K$6:$K$405,$AP1562)&lt;&gt;$W1562),"標準報酬月額が申請書と相違（台帳"&amp;TEXT(INDEX(職員マスタ!$K$6:$K$405,$AP1562),"#,##0")&amp;"円／申請書"&amp;TEXT($W1562,"#,##0")&amp;"円）／","")&amp;IF(AND(INDEX(職員マスタ!$F$6:$F$405,$AP1562)&lt;&gt;"",$AQ1562&lt;&gt;"",INDEX(職員マスタ!$F$6:$F$405,$AP1562)&lt;$AQ1562),"対象月に子が2歳到達済／","")&amp;IF(AND($H1562&lt;&gt;"",INDEX(職員マスタ!$B$6:$B$405,$AP1562)&lt;&gt;"",SUBSTITUTE(SUBSTITUTE($H1562," ","")," ","")&lt;&gt;SUBSTITUTE(SUBSTITUTE(INDEX(職員マスタ!$B$6:$B$405,$AP1562)," ","")," ","")),"氏名がマスタと相違／","")&amp;IF(AND($Q1562&lt;&gt;"",INDEX(職員マスタ!$E$6:$E$405,$AP1562)&lt;&gt;"",$Q1562&lt;&gt;INDEX(職員マスタ!$E$6:$E$405,$AP1562)),"子の生年月日がマスタと相違／","")&amp;IF(AND($L1562&lt;&gt;"",INDEX(職員マスタ!$G$6:$G$405,$AP1562)&lt;&gt;"",$L1562&lt;&gt;INDEX(職員マスタ!$G$6:$G$405,$AP1562)),"時短開始日がマスタと相違／","")&amp;IF(AND($M1562&lt;&gt;"",INDEX(職員マスタ!$H$6:$H$405,$AP1562)&lt;&gt;"",$M1562&lt;&gt;INDEX(職員マスタ!$H$6:$H$405,$AP1562)),"時短終了日がマスタと相違／","")))&amp;IF(AND($B1562&lt;&gt;"",$E1562=""),"報酬額が未入力／","")&amp;IF(N($U1562)&gt;0,"申請書に入力エラーが残っています／","")&amp;IF(AND($B1562&lt;&gt;"",$AQ1562&lt;&gt;""),IF(COUNTIFS($B$6:$B$3005,$B1562,$C$6:$C$3005,$C1562,$D$6:$D$3005,$D1562)&gt;1,"同じ月の請求が重複しています／",""),"")&amp;IF(AND(N($E1562)&gt;0,$AB1562&lt;&gt;"",$AB1562&lt;&gt;"×",$AE1562=0,$AD1562=""),"計算額が下限以下のため不支給／",""))</f>
        <v/>
      </c>
      <c r="AN1562" s="12" t="n"/>
      <c r="AO1562" s="14">
        <f>IF($AF1562="保留中",COUNTIF($AF$6:$AF1562,"保留中"),"")</f>
        <v/>
      </c>
      <c r="AP1562" s="14">
        <f>IF($AQ1562="","",IF(SUMPRODUCT(MAX((職員マスタ!$A$6:$A$405=$B1562)*(((職員マスタ!$G$6:$G$405="")+(職員マスタ!$G$6:$G$405&lt;=EOMONTH($AQ1562,0)))&gt;0)*(((職員マスタ!$H$6:$H$405="")+(職員マスタ!$H$6:$H$405&gt;=$AQ1562))&gt;0)*(ROW(職員マスタ!$A$6:$A$405)-5)))&gt;0,SUMPRODUCT(MAX((職員マスタ!$A$6:$A$405=$B1562)*(((職員マスタ!$G$6:$G$405="")+(職員マスタ!$G$6:$G$405&lt;=EOMONTH($AQ1562,0)))&gt;0)*(((職員マスタ!$H$6:$H$405="")+(職員マスタ!$H$6:$H$405&gt;=$AQ1562))&gt;0)*(ROW(職員マスタ!$A$6:$A$405)-5))),IFERROR(MATCH($B1562,職員マスタ!$A$6:$A$405,0),"")))</f>
        <v/>
      </c>
      <c r="AQ1562" s="16">
        <f>IF(OR($B1562="",$C1562="",$D1562=""),"",DATE($C1562+2018,$D1562,1))</f>
        <v/>
      </c>
    </row>
    <row r="1563">
      <c r="A1563" s="11" t="n"/>
      <c r="B1563" s="12" t="n"/>
      <c r="C1563" s="12" t="n"/>
      <c r="D1563" s="12" t="n"/>
      <c r="E1563" s="13" t="n"/>
      <c r="F1563" s="12" t="n"/>
      <c r="G1563" s="13" t="n"/>
      <c r="H1563" s="12" t="n"/>
      <c r="I1563" s="12" t="n"/>
      <c r="J1563" s="12" t="n"/>
      <c r="K1563" s="12" t="n"/>
      <c r="L1563" s="11" t="n"/>
      <c r="M1563" s="11" t="n"/>
      <c r="N1563" s="11" t="n"/>
      <c r="O1563" s="11" t="n"/>
      <c r="P1563" s="12" t="n"/>
      <c r="Q1563" s="11" t="n"/>
      <c r="R1563" s="12" t="n"/>
      <c r="S1563" s="11" t="n"/>
      <c r="T1563" s="12" t="n"/>
      <c r="U1563" s="12" t="n"/>
      <c r="V1563" s="12" t="n"/>
      <c r="W1563" s="13" t="n"/>
      <c r="X1563" s="14">
        <f>IF($AP1563="",IF($B1563="","",$H1563),IF(INDEX(職員マスタ!$B$6:$B$405,$AP1563)="",$H1563,INDEX(職員マスタ!$B$6:$B$405,$AP1563)))</f>
        <v/>
      </c>
      <c r="Y1563" s="14">
        <f>IF($AP1563="",IF($B1563="","",$R1563),IF(INDEX(職員マスタ!$C$6:$C$405,$AP1563)="",$R1563,INDEX(職員マスタ!$C$6:$C$405,$AP1563)))</f>
        <v/>
      </c>
      <c r="Z1563" s="14">
        <f>IF($AQ1563="","","R"&amp;$C1563&amp;"."&amp;$D1563)</f>
        <v/>
      </c>
      <c r="AA1563" s="15">
        <f>IF(IF($AP1563="",FALSE,INDEX(職員マスタ!$K$6:$K$405,$AP1563)&lt;&gt;""),INDEX(職員マスタ!$K$6:$K$405,$AP1563),IF(N($W1563)&gt;0,$W1563,""))</f>
        <v/>
      </c>
      <c r="AB1563" s="14">
        <f>IF(OR($E1563="",$AA1563=""),"",IF($E1563&gt;=$AA1563,"×",IF($E1563&gt;=$AA1563*設定!$C$5,"△","○")))</f>
        <v/>
      </c>
      <c r="AC1563" s="15">
        <f>IF($AB1563="","",IF($AB1563="×",0,IF($AB1563="○",ROUNDDOWN($E1563*設定!$C$4,0),ROUNDDOWN($E1563*ROUND((9*$AA1563-9*$E1563)/(10*$E1563),4),0))))</f>
        <v/>
      </c>
      <c r="AD1563" s="13" t="n"/>
      <c r="AE1563" s="15">
        <f>IF($B1563="","",IF($AD1563&lt;&gt;"",$AD1563,IF($AC1563="","",IF($AC1563&lt;=設定!$C$3,0,$AC1563))))</f>
        <v/>
      </c>
      <c r="AF1563" s="14">
        <f>IF($B1563="","",IF(AND($AG1563&lt;&gt;"",$AI1563="",$AL1563=""),"保留中",IF($AL1563&lt;&gt;"",IF(N($AE1563)&gt;0,"支給済","不支給"),IF($AE1563="","要確認",IF($AE1563=0,"不支給","未処理")))))</f>
        <v/>
      </c>
      <c r="AG1563" s="12" t="n"/>
      <c r="AH1563" s="11" t="n"/>
      <c r="AI1563" s="11" t="n"/>
      <c r="AJ1563" s="11" t="n"/>
      <c r="AK1563" s="14">
        <f>IF(AND($AF1563="保留中",$AH1563&lt;&gt;""),TODAY()-$AH1563,"")</f>
        <v/>
      </c>
      <c r="AL1563" s="12" t="n"/>
      <c r="AM1563" s="14">
        <f>IF($B1563="","",IF($AQ1563="","対象年月が未入力／","")&amp;IF($B1563="","",IF($AP1563="","職員マスタに未登録の職員番号／",IF($AA1563="","標準報酬月額が未登録／","")&amp;IF(AND($AQ1563&lt;&gt;"",OR(AND(INDEX(職員マスタ!$G$6:$G$405,$AP1563)&lt;&gt;"",INDEX(職員マスタ!$G$6:$G$405,$AP1563)&gt;EOMONTH($AQ1563,0)),AND(INDEX(職員マスタ!$H$6:$H$405,$AP1563)&lt;&gt;"",INDEX(職員マスタ!$H$6:$H$405,$AP1563)&lt;$AQ1563))),"対象月が時短期間外／","")&amp;IF(AND(INDEX(職員マスタ!$K$6:$K$405,$AP1563)&lt;&gt;"",N($W1563)&gt;0,INDEX(職員マスタ!$K$6:$K$405,$AP1563)&lt;&gt;$W1563),"標準報酬月額が申請書と相違（台帳"&amp;TEXT(INDEX(職員マスタ!$K$6:$K$405,$AP1563),"#,##0")&amp;"円／申請書"&amp;TEXT($W1563,"#,##0")&amp;"円）／","")&amp;IF(AND(INDEX(職員マスタ!$F$6:$F$405,$AP1563)&lt;&gt;"",$AQ1563&lt;&gt;"",INDEX(職員マスタ!$F$6:$F$405,$AP1563)&lt;$AQ1563),"対象月に子が2歳到達済／","")&amp;IF(AND($H1563&lt;&gt;"",INDEX(職員マスタ!$B$6:$B$405,$AP1563)&lt;&gt;"",SUBSTITUTE(SUBSTITUTE($H1563," ","")," ","")&lt;&gt;SUBSTITUTE(SUBSTITUTE(INDEX(職員マスタ!$B$6:$B$405,$AP1563)," ","")," ","")),"氏名がマスタと相違／","")&amp;IF(AND($Q1563&lt;&gt;"",INDEX(職員マスタ!$E$6:$E$405,$AP1563)&lt;&gt;"",$Q1563&lt;&gt;INDEX(職員マスタ!$E$6:$E$405,$AP1563)),"子の生年月日がマスタと相違／","")&amp;IF(AND($L1563&lt;&gt;"",INDEX(職員マスタ!$G$6:$G$405,$AP1563)&lt;&gt;"",$L1563&lt;&gt;INDEX(職員マスタ!$G$6:$G$405,$AP1563)),"時短開始日がマスタと相違／","")&amp;IF(AND($M1563&lt;&gt;"",INDEX(職員マスタ!$H$6:$H$405,$AP1563)&lt;&gt;"",$M1563&lt;&gt;INDEX(職員マスタ!$H$6:$H$405,$AP1563)),"時短終了日がマスタと相違／","")))&amp;IF(AND($B1563&lt;&gt;"",$E1563=""),"報酬額が未入力／","")&amp;IF(N($U1563)&gt;0,"申請書に入力エラーが残っています／","")&amp;IF(AND($B1563&lt;&gt;"",$AQ1563&lt;&gt;""),IF(COUNTIFS($B$6:$B$3005,$B1563,$C$6:$C$3005,$C1563,$D$6:$D$3005,$D1563)&gt;1,"同じ月の請求が重複しています／",""),"")&amp;IF(AND(N($E1563)&gt;0,$AB1563&lt;&gt;"",$AB1563&lt;&gt;"×",$AE1563=0,$AD1563=""),"計算額が下限以下のため不支給／",""))</f>
        <v/>
      </c>
      <c r="AN1563" s="12" t="n"/>
      <c r="AO1563" s="14">
        <f>IF($AF1563="保留中",COUNTIF($AF$6:$AF1563,"保留中"),"")</f>
        <v/>
      </c>
      <c r="AP1563" s="14">
        <f>IF($AQ1563="","",IF(SUMPRODUCT(MAX((職員マスタ!$A$6:$A$405=$B1563)*(((職員マスタ!$G$6:$G$405="")+(職員マスタ!$G$6:$G$405&lt;=EOMONTH($AQ1563,0)))&gt;0)*(((職員マスタ!$H$6:$H$405="")+(職員マスタ!$H$6:$H$405&gt;=$AQ1563))&gt;0)*(ROW(職員マスタ!$A$6:$A$405)-5)))&gt;0,SUMPRODUCT(MAX((職員マスタ!$A$6:$A$405=$B1563)*(((職員マスタ!$G$6:$G$405="")+(職員マスタ!$G$6:$G$405&lt;=EOMONTH($AQ1563,0)))&gt;0)*(((職員マスタ!$H$6:$H$405="")+(職員マスタ!$H$6:$H$405&gt;=$AQ1563))&gt;0)*(ROW(職員マスタ!$A$6:$A$405)-5))),IFERROR(MATCH($B1563,職員マスタ!$A$6:$A$405,0),"")))</f>
        <v/>
      </c>
      <c r="AQ1563" s="16">
        <f>IF(OR($B1563="",$C1563="",$D1563=""),"",DATE($C1563+2018,$D1563,1))</f>
        <v/>
      </c>
    </row>
    <row r="1564">
      <c r="A1564" s="11" t="n"/>
      <c r="B1564" s="12" t="n"/>
      <c r="C1564" s="12" t="n"/>
      <c r="D1564" s="12" t="n"/>
      <c r="E1564" s="13" t="n"/>
      <c r="F1564" s="12" t="n"/>
      <c r="G1564" s="13" t="n"/>
      <c r="H1564" s="12" t="n"/>
      <c r="I1564" s="12" t="n"/>
      <c r="J1564" s="12" t="n"/>
      <c r="K1564" s="12" t="n"/>
      <c r="L1564" s="11" t="n"/>
      <c r="M1564" s="11" t="n"/>
      <c r="N1564" s="11" t="n"/>
      <c r="O1564" s="11" t="n"/>
      <c r="P1564" s="12" t="n"/>
      <c r="Q1564" s="11" t="n"/>
      <c r="R1564" s="12" t="n"/>
      <c r="S1564" s="11" t="n"/>
      <c r="T1564" s="12" t="n"/>
      <c r="U1564" s="12" t="n"/>
      <c r="V1564" s="12" t="n"/>
      <c r="W1564" s="13" t="n"/>
      <c r="X1564" s="14">
        <f>IF($AP1564="",IF($B1564="","",$H1564),IF(INDEX(職員マスタ!$B$6:$B$405,$AP1564)="",$H1564,INDEX(職員マスタ!$B$6:$B$405,$AP1564)))</f>
        <v/>
      </c>
      <c r="Y1564" s="14">
        <f>IF($AP1564="",IF($B1564="","",$R1564),IF(INDEX(職員マスタ!$C$6:$C$405,$AP1564)="",$R1564,INDEX(職員マスタ!$C$6:$C$405,$AP1564)))</f>
        <v/>
      </c>
      <c r="Z1564" s="14">
        <f>IF($AQ1564="","","R"&amp;$C1564&amp;"."&amp;$D1564)</f>
        <v/>
      </c>
      <c r="AA1564" s="15">
        <f>IF(IF($AP1564="",FALSE,INDEX(職員マスタ!$K$6:$K$405,$AP1564)&lt;&gt;""),INDEX(職員マスタ!$K$6:$K$405,$AP1564),IF(N($W1564)&gt;0,$W1564,""))</f>
        <v/>
      </c>
      <c r="AB1564" s="14">
        <f>IF(OR($E1564="",$AA1564=""),"",IF($E1564&gt;=$AA1564,"×",IF($E1564&gt;=$AA1564*設定!$C$5,"△","○")))</f>
        <v/>
      </c>
      <c r="AC1564" s="15">
        <f>IF($AB1564="","",IF($AB1564="×",0,IF($AB1564="○",ROUNDDOWN($E1564*設定!$C$4,0),ROUNDDOWN($E1564*ROUND((9*$AA1564-9*$E1564)/(10*$E1564),4),0))))</f>
        <v/>
      </c>
      <c r="AD1564" s="13" t="n"/>
      <c r="AE1564" s="15">
        <f>IF($B1564="","",IF($AD1564&lt;&gt;"",$AD1564,IF($AC1564="","",IF($AC1564&lt;=設定!$C$3,0,$AC1564))))</f>
        <v/>
      </c>
      <c r="AF1564" s="14">
        <f>IF($B1564="","",IF(AND($AG1564&lt;&gt;"",$AI1564="",$AL1564=""),"保留中",IF($AL1564&lt;&gt;"",IF(N($AE1564)&gt;0,"支給済","不支給"),IF($AE1564="","要確認",IF($AE1564=0,"不支給","未処理")))))</f>
        <v/>
      </c>
      <c r="AG1564" s="12" t="n"/>
      <c r="AH1564" s="11" t="n"/>
      <c r="AI1564" s="11" t="n"/>
      <c r="AJ1564" s="11" t="n"/>
      <c r="AK1564" s="14">
        <f>IF(AND($AF1564="保留中",$AH1564&lt;&gt;""),TODAY()-$AH1564,"")</f>
        <v/>
      </c>
      <c r="AL1564" s="12" t="n"/>
      <c r="AM1564" s="14">
        <f>IF($B1564="","",IF($AQ1564="","対象年月が未入力／","")&amp;IF($B1564="","",IF($AP1564="","職員マスタに未登録の職員番号／",IF($AA1564="","標準報酬月額が未登録／","")&amp;IF(AND($AQ1564&lt;&gt;"",OR(AND(INDEX(職員マスタ!$G$6:$G$405,$AP1564)&lt;&gt;"",INDEX(職員マスタ!$G$6:$G$405,$AP1564)&gt;EOMONTH($AQ1564,0)),AND(INDEX(職員マスタ!$H$6:$H$405,$AP1564)&lt;&gt;"",INDEX(職員マスタ!$H$6:$H$405,$AP1564)&lt;$AQ1564))),"対象月が時短期間外／","")&amp;IF(AND(INDEX(職員マスタ!$K$6:$K$405,$AP1564)&lt;&gt;"",N($W1564)&gt;0,INDEX(職員マスタ!$K$6:$K$405,$AP1564)&lt;&gt;$W1564),"標準報酬月額が申請書と相違（台帳"&amp;TEXT(INDEX(職員マスタ!$K$6:$K$405,$AP1564),"#,##0")&amp;"円／申請書"&amp;TEXT($W1564,"#,##0")&amp;"円）／","")&amp;IF(AND(INDEX(職員マスタ!$F$6:$F$405,$AP1564)&lt;&gt;"",$AQ1564&lt;&gt;"",INDEX(職員マスタ!$F$6:$F$405,$AP1564)&lt;$AQ1564),"対象月に子が2歳到達済／","")&amp;IF(AND($H1564&lt;&gt;"",INDEX(職員マスタ!$B$6:$B$405,$AP1564)&lt;&gt;"",SUBSTITUTE(SUBSTITUTE($H1564," ","")," ","")&lt;&gt;SUBSTITUTE(SUBSTITUTE(INDEX(職員マスタ!$B$6:$B$405,$AP1564)," ","")," ","")),"氏名がマスタと相違／","")&amp;IF(AND($Q1564&lt;&gt;"",INDEX(職員マスタ!$E$6:$E$405,$AP1564)&lt;&gt;"",$Q1564&lt;&gt;INDEX(職員マスタ!$E$6:$E$405,$AP1564)),"子の生年月日がマスタと相違／","")&amp;IF(AND($L1564&lt;&gt;"",INDEX(職員マスタ!$G$6:$G$405,$AP1564)&lt;&gt;"",$L1564&lt;&gt;INDEX(職員マスタ!$G$6:$G$405,$AP1564)),"時短開始日がマスタと相違／","")&amp;IF(AND($M1564&lt;&gt;"",INDEX(職員マスタ!$H$6:$H$405,$AP1564)&lt;&gt;"",$M1564&lt;&gt;INDEX(職員マスタ!$H$6:$H$405,$AP1564)),"時短終了日がマスタと相違／","")))&amp;IF(AND($B1564&lt;&gt;"",$E1564=""),"報酬額が未入力／","")&amp;IF(N($U1564)&gt;0,"申請書に入力エラーが残っています／","")&amp;IF(AND($B1564&lt;&gt;"",$AQ1564&lt;&gt;""),IF(COUNTIFS($B$6:$B$3005,$B1564,$C$6:$C$3005,$C1564,$D$6:$D$3005,$D1564)&gt;1,"同じ月の請求が重複しています／",""),"")&amp;IF(AND(N($E1564)&gt;0,$AB1564&lt;&gt;"",$AB1564&lt;&gt;"×",$AE1564=0,$AD1564=""),"計算額が下限以下のため不支給／",""))</f>
        <v/>
      </c>
      <c r="AN1564" s="12" t="n"/>
      <c r="AO1564" s="14">
        <f>IF($AF1564="保留中",COUNTIF($AF$6:$AF1564,"保留中"),"")</f>
        <v/>
      </c>
      <c r="AP1564" s="14">
        <f>IF($AQ1564="","",IF(SUMPRODUCT(MAX((職員マスタ!$A$6:$A$405=$B1564)*(((職員マスタ!$G$6:$G$405="")+(職員マスタ!$G$6:$G$405&lt;=EOMONTH($AQ1564,0)))&gt;0)*(((職員マスタ!$H$6:$H$405="")+(職員マスタ!$H$6:$H$405&gt;=$AQ1564))&gt;0)*(ROW(職員マスタ!$A$6:$A$405)-5)))&gt;0,SUMPRODUCT(MAX((職員マスタ!$A$6:$A$405=$B1564)*(((職員マスタ!$G$6:$G$405="")+(職員マスタ!$G$6:$G$405&lt;=EOMONTH($AQ1564,0)))&gt;0)*(((職員マスタ!$H$6:$H$405="")+(職員マスタ!$H$6:$H$405&gt;=$AQ1564))&gt;0)*(ROW(職員マスタ!$A$6:$A$405)-5))),IFERROR(MATCH($B1564,職員マスタ!$A$6:$A$405,0),"")))</f>
        <v/>
      </c>
      <c r="AQ1564" s="16">
        <f>IF(OR($B1564="",$C1564="",$D1564=""),"",DATE($C1564+2018,$D1564,1))</f>
        <v/>
      </c>
    </row>
    <row r="1565">
      <c r="A1565" s="11" t="n"/>
      <c r="B1565" s="12" t="n"/>
      <c r="C1565" s="12" t="n"/>
      <c r="D1565" s="12" t="n"/>
      <c r="E1565" s="13" t="n"/>
      <c r="F1565" s="12" t="n"/>
      <c r="G1565" s="13" t="n"/>
      <c r="H1565" s="12" t="n"/>
      <c r="I1565" s="12" t="n"/>
      <c r="J1565" s="12" t="n"/>
      <c r="K1565" s="12" t="n"/>
      <c r="L1565" s="11" t="n"/>
      <c r="M1565" s="11" t="n"/>
      <c r="N1565" s="11" t="n"/>
      <c r="O1565" s="11" t="n"/>
      <c r="P1565" s="12" t="n"/>
      <c r="Q1565" s="11" t="n"/>
      <c r="R1565" s="12" t="n"/>
      <c r="S1565" s="11" t="n"/>
      <c r="T1565" s="12" t="n"/>
      <c r="U1565" s="12" t="n"/>
      <c r="V1565" s="12" t="n"/>
      <c r="W1565" s="13" t="n"/>
      <c r="X1565" s="14">
        <f>IF($AP1565="",IF($B1565="","",$H1565),IF(INDEX(職員マスタ!$B$6:$B$405,$AP1565)="",$H1565,INDEX(職員マスタ!$B$6:$B$405,$AP1565)))</f>
        <v/>
      </c>
      <c r="Y1565" s="14">
        <f>IF($AP1565="",IF($B1565="","",$R1565),IF(INDEX(職員マスタ!$C$6:$C$405,$AP1565)="",$R1565,INDEX(職員マスタ!$C$6:$C$405,$AP1565)))</f>
        <v/>
      </c>
      <c r="Z1565" s="14">
        <f>IF($AQ1565="","","R"&amp;$C1565&amp;"."&amp;$D1565)</f>
        <v/>
      </c>
      <c r="AA1565" s="15">
        <f>IF(IF($AP1565="",FALSE,INDEX(職員マスタ!$K$6:$K$405,$AP1565)&lt;&gt;""),INDEX(職員マスタ!$K$6:$K$405,$AP1565),IF(N($W1565)&gt;0,$W1565,""))</f>
        <v/>
      </c>
      <c r="AB1565" s="14">
        <f>IF(OR($E1565="",$AA1565=""),"",IF($E1565&gt;=$AA1565,"×",IF($E1565&gt;=$AA1565*設定!$C$5,"△","○")))</f>
        <v/>
      </c>
      <c r="AC1565" s="15">
        <f>IF($AB1565="","",IF($AB1565="×",0,IF($AB1565="○",ROUNDDOWN($E1565*設定!$C$4,0),ROUNDDOWN($E1565*ROUND((9*$AA1565-9*$E1565)/(10*$E1565),4),0))))</f>
        <v/>
      </c>
      <c r="AD1565" s="13" t="n"/>
      <c r="AE1565" s="15">
        <f>IF($B1565="","",IF($AD1565&lt;&gt;"",$AD1565,IF($AC1565="","",IF($AC1565&lt;=設定!$C$3,0,$AC1565))))</f>
        <v/>
      </c>
      <c r="AF1565" s="14">
        <f>IF($B1565="","",IF(AND($AG1565&lt;&gt;"",$AI1565="",$AL1565=""),"保留中",IF($AL1565&lt;&gt;"",IF(N($AE1565)&gt;0,"支給済","不支給"),IF($AE1565="","要確認",IF($AE1565=0,"不支給","未処理")))))</f>
        <v/>
      </c>
      <c r="AG1565" s="12" t="n"/>
      <c r="AH1565" s="11" t="n"/>
      <c r="AI1565" s="11" t="n"/>
      <c r="AJ1565" s="11" t="n"/>
      <c r="AK1565" s="14">
        <f>IF(AND($AF1565="保留中",$AH1565&lt;&gt;""),TODAY()-$AH1565,"")</f>
        <v/>
      </c>
      <c r="AL1565" s="12" t="n"/>
      <c r="AM1565" s="14">
        <f>IF($B1565="","",IF($AQ1565="","対象年月が未入力／","")&amp;IF($B1565="","",IF($AP1565="","職員マスタに未登録の職員番号／",IF($AA1565="","標準報酬月額が未登録／","")&amp;IF(AND($AQ1565&lt;&gt;"",OR(AND(INDEX(職員マスタ!$G$6:$G$405,$AP1565)&lt;&gt;"",INDEX(職員マスタ!$G$6:$G$405,$AP1565)&gt;EOMONTH($AQ1565,0)),AND(INDEX(職員マスタ!$H$6:$H$405,$AP1565)&lt;&gt;"",INDEX(職員マスタ!$H$6:$H$405,$AP1565)&lt;$AQ1565))),"対象月が時短期間外／","")&amp;IF(AND(INDEX(職員マスタ!$K$6:$K$405,$AP1565)&lt;&gt;"",N($W1565)&gt;0,INDEX(職員マスタ!$K$6:$K$405,$AP1565)&lt;&gt;$W1565),"標準報酬月額が申請書と相違（台帳"&amp;TEXT(INDEX(職員マスタ!$K$6:$K$405,$AP1565),"#,##0")&amp;"円／申請書"&amp;TEXT($W1565,"#,##0")&amp;"円）／","")&amp;IF(AND(INDEX(職員マスタ!$F$6:$F$405,$AP1565)&lt;&gt;"",$AQ1565&lt;&gt;"",INDEX(職員マスタ!$F$6:$F$405,$AP1565)&lt;$AQ1565),"対象月に子が2歳到達済／","")&amp;IF(AND($H1565&lt;&gt;"",INDEX(職員マスタ!$B$6:$B$405,$AP1565)&lt;&gt;"",SUBSTITUTE(SUBSTITUTE($H1565," ","")," ","")&lt;&gt;SUBSTITUTE(SUBSTITUTE(INDEX(職員マスタ!$B$6:$B$405,$AP1565)," ","")," ","")),"氏名がマスタと相違／","")&amp;IF(AND($Q1565&lt;&gt;"",INDEX(職員マスタ!$E$6:$E$405,$AP1565)&lt;&gt;"",$Q1565&lt;&gt;INDEX(職員マスタ!$E$6:$E$405,$AP1565)),"子の生年月日がマスタと相違／","")&amp;IF(AND($L1565&lt;&gt;"",INDEX(職員マスタ!$G$6:$G$405,$AP1565)&lt;&gt;"",$L1565&lt;&gt;INDEX(職員マスタ!$G$6:$G$405,$AP1565)),"時短開始日がマスタと相違／","")&amp;IF(AND($M1565&lt;&gt;"",INDEX(職員マスタ!$H$6:$H$405,$AP1565)&lt;&gt;"",$M1565&lt;&gt;INDEX(職員マスタ!$H$6:$H$405,$AP1565)),"時短終了日がマスタと相違／","")))&amp;IF(AND($B1565&lt;&gt;"",$E1565=""),"報酬額が未入力／","")&amp;IF(N($U1565)&gt;0,"申請書に入力エラーが残っています／","")&amp;IF(AND($B1565&lt;&gt;"",$AQ1565&lt;&gt;""),IF(COUNTIFS($B$6:$B$3005,$B1565,$C$6:$C$3005,$C1565,$D$6:$D$3005,$D1565)&gt;1,"同じ月の請求が重複しています／",""),"")&amp;IF(AND(N($E1565)&gt;0,$AB1565&lt;&gt;"",$AB1565&lt;&gt;"×",$AE1565=0,$AD1565=""),"計算額が下限以下のため不支給／",""))</f>
        <v/>
      </c>
      <c r="AN1565" s="12" t="n"/>
      <c r="AO1565" s="14">
        <f>IF($AF1565="保留中",COUNTIF($AF$6:$AF1565,"保留中"),"")</f>
        <v/>
      </c>
      <c r="AP1565" s="14">
        <f>IF($AQ1565="","",IF(SUMPRODUCT(MAX((職員マスタ!$A$6:$A$405=$B1565)*(((職員マスタ!$G$6:$G$405="")+(職員マスタ!$G$6:$G$405&lt;=EOMONTH($AQ1565,0)))&gt;0)*(((職員マスタ!$H$6:$H$405="")+(職員マスタ!$H$6:$H$405&gt;=$AQ1565))&gt;0)*(ROW(職員マスタ!$A$6:$A$405)-5)))&gt;0,SUMPRODUCT(MAX((職員マスタ!$A$6:$A$405=$B1565)*(((職員マスタ!$G$6:$G$405="")+(職員マスタ!$G$6:$G$405&lt;=EOMONTH($AQ1565,0)))&gt;0)*(((職員マスタ!$H$6:$H$405="")+(職員マスタ!$H$6:$H$405&gt;=$AQ1565))&gt;0)*(ROW(職員マスタ!$A$6:$A$405)-5))),IFERROR(MATCH($B1565,職員マスタ!$A$6:$A$405,0),"")))</f>
        <v/>
      </c>
      <c r="AQ1565" s="16">
        <f>IF(OR($B1565="",$C1565="",$D1565=""),"",DATE($C1565+2018,$D1565,1))</f>
        <v/>
      </c>
    </row>
    <row r="1566">
      <c r="A1566" s="11" t="n"/>
      <c r="B1566" s="12" t="n"/>
      <c r="C1566" s="12" t="n"/>
      <c r="D1566" s="12" t="n"/>
      <c r="E1566" s="13" t="n"/>
      <c r="F1566" s="12" t="n"/>
      <c r="G1566" s="13" t="n"/>
      <c r="H1566" s="12" t="n"/>
      <c r="I1566" s="12" t="n"/>
      <c r="J1566" s="12" t="n"/>
      <c r="K1566" s="12" t="n"/>
      <c r="L1566" s="11" t="n"/>
      <c r="M1566" s="11" t="n"/>
      <c r="N1566" s="11" t="n"/>
      <c r="O1566" s="11" t="n"/>
      <c r="P1566" s="12" t="n"/>
      <c r="Q1566" s="11" t="n"/>
      <c r="R1566" s="12" t="n"/>
      <c r="S1566" s="11" t="n"/>
      <c r="T1566" s="12" t="n"/>
      <c r="U1566" s="12" t="n"/>
      <c r="V1566" s="12" t="n"/>
      <c r="W1566" s="13" t="n"/>
      <c r="X1566" s="14">
        <f>IF($AP1566="",IF($B1566="","",$H1566),IF(INDEX(職員マスタ!$B$6:$B$405,$AP1566)="",$H1566,INDEX(職員マスタ!$B$6:$B$405,$AP1566)))</f>
        <v/>
      </c>
      <c r="Y1566" s="14">
        <f>IF($AP1566="",IF($B1566="","",$R1566),IF(INDEX(職員マスタ!$C$6:$C$405,$AP1566)="",$R1566,INDEX(職員マスタ!$C$6:$C$405,$AP1566)))</f>
        <v/>
      </c>
      <c r="Z1566" s="14">
        <f>IF($AQ1566="","","R"&amp;$C1566&amp;"."&amp;$D1566)</f>
        <v/>
      </c>
      <c r="AA1566" s="15">
        <f>IF(IF($AP1566="",FALSE,INDEX(職員マスタ!$K$6:$K$405,$AP1566)&lt;&gt;""),INDEX(職員マスタ!$K$6:$K$405,$AP1566),IF(N($W1566)&gt;0,$W1566,""))</f>
        <v/>
      </c>
      <c r="AB1566" s="14">
        <f>IF(OR($E1566="",$AA1566=""),"",IF($E1566&gt;=$AA1566,"×",IF($E1566&gt;=$AA1566*設定!$C$5,"△","○")))</f>
        <v/>
      </c>
      <c r="AC1566" s="15">
        <f>IF($AB1566="","",IF($AB1566="×",0,IF($AB1566="○",ROUNDDOWN($E1566*設定!$C$4,0),ROUNDDOWN($E1566*ROUND((9*$AA1566-9*$E1566)/(10*$E1566),4),0))))</f>
        <v/>
      </c>
      <c r="AD1566" s="13" t="n"/>
      <c r="AE1566" s="15">
        <f>IF($B1566="","",IF($AD1566&lt;&gt;"",$AD1566,IF($AC1566="","",IF($AC1566&lt;=設定!$C$3,0,$AC1566))))</f>
        <v/>
      </c>
      <c r="AF1566" s="14">
        <f>IF($B1566="","",IF(AND($AG1566&lt;&gt;"",$AI1566="",$AL1566=""),"保留中",IF($AL1566&lt;&gt;"",IF(N($AE1566)&gt;0,"支給済","不支給"),IF($AE1566="","要確認",IF($AE1566=0,"不支給","未処理")))))</f>
        <v/>
      </c>
      <c r="AG1566" s="12" t="n"/>
      <c r="AH1566" s="11" t="n"/>
      <c r="AI1566" s="11" t="n"/>
      <c r="AJ1566" s="11" t="n"/>
      <c r="AK1566" s="14">
        <f>IF(AND($AF1566="保留中",$AH1566&lt;&gt;""),TODAY()-$AH1566,"")</f>
        <v/>
      </c>
      <c r="AL1566" s="12" t="n"/>
      <c r="AM1566" s="14">
        <f>IF($B1566="","",IF($AQ1566="","対象年月が未入力／","")&amp;IF($B1566="","",IF($AP1566="","職員マスタに未登録の職員番号／",IF($AA1566="","標準報酬月額が未登録／","")&amp;IF(AND($AQ1566&lt;&gt;"",OR(AND(INDEX(職員マスタ!$G$6:$G$405,$AP1566)&lt;&gt;"",INDEX(職員マスタ!$G$6:$G$405,$AP1566)&gt;EOMONTH($AQ1566,0)),AND(INDEX(職員マスタ!$H$6:$H$405,$AP1566)&lt;&gt;"",INDEX(職員マスタ!$H$6:$H$405,$AP1566)&lt;$AQ1566))),"対象月が時短期間外／","")&amp;IF(AND(INDEX(職員マスタ!$K$6:$K$405,$AP1566)&lt;&gt;"",N($W1566)&gt;0,INDEX(職員マスタ!$K$6:$K$405,$AP1566)&lt;&gt;$W1566),"標準報酬月額が申請書と相違（台帳"&amp;TEXT(INDEX(職員マスタ!$K$6:$K$405,$AP1566),"#,##0")&amp;"円／申請書"&amp;TEXT($W1566,"#,##0")&amp;"円）／","")&amp;IF(AND(INDEX(職員マスタ!$F$6:$F$405,$AP1566)&lt;&gt;"",$AQ1566&lt;&gt;"",INDEX(職員マスタ!$F$6:$F$405,$AP1566)&lt;$AQ1566),"対象月に子が2歳到達済／","")&amp;IF(AND($H1566&lt;&gt;"",INDEX(職員マスタ!$B$6:$B$405,$AP1566)&lt;&gt;"",SUBSTITUTE(SUBSTITUTE($H1566," ","")," ","")&lt;&gt;SUBSTITUTE(SUBSTITUTE(INDEX(職員マスタ!$B$6:$B$405,$AP1566)," ","")," ","")),"氏名がマスタと相違／","")&amp;IF(AND($Q1566&lt;&gt;"",INDEX(職員マスタ!$E$6:$E$405,$AP1566)&lt;&gt;"",$Q1566&lt;&gt;INDEX(職員マスタ!$E$6:$E$405,$AP1566)),"子の生年月日がマスタと相違／","")&amp;IF(AND($L1566&lt;&gt;"",INDEX(職員マスタ!$G$6:$G$405,$AP1566)&lt;&gt;"",$L1566&lt;&gt;INDEX(職員マスタ!$G$6:$G$405,$AP1566)),"時短開始日がマスタと相違／","")&amp;IF(AND($M1566&lt;&gt;"",INDEX(職員マスタ!$H$6:$H$405,$AP1566)&lt;&gt;"",$M1566&lt;&gt;INDEX(職員マスタ!$H$6:$H$405,$AP1566)),"時短終了日がマスタと相違／","")))&amp;IF(AND($B1566&lt;&gt;"",$E1566=""),"報酬額が未入力／","")&amp;IF(N($U1566)&gt;0,"申請書に入力エラーが残っています／","")&amp;IF(AND($B1566&lt;&gt;"",$AQ1566&lt;&gt;""),IF(COUNTIFS($B$6:$B$3005,$B1566,$C$6:$C$3005,$C1566,$D$6:$D$3005,$D1566)&gt;1,"同じ月の請求が重複しています／",""),"")&amp;IF(AND(N($E1566)&gt;0,$AB1566&lt;&gt;"",$AB1566&lt;&gt;"×",$AE1566=0,$AD1566=""),"計算額が下限以下のため不支給／",""))</f>
        <v/>
      </c>
      <c r="AN1566" s="12" t="n"/>
      <c r="AO1566" s="14">
        <f>IF($AF1566="保留中",COUNTIF($AF$6:$AF1566,"保留中"),"")</f>
        <v/>
      </c>
      <c r="AP1566" s="14">
        <f>IF($AQ1566="","",IF(SUMPRODUCT(MAX((職員マスタ!$A$6:$A$405=$B1566)*(((職員マスタ!$G$6:$G$405="")+(職員マスタ!$G$6:$G$405&lt;=EOMONTH($AQ1566,0)))&gt;0)*(((職員マスタ!$H$6:$H$405="")+(職員マスタ!$H$6:$H$405&gt;=$AQ1566))&gt;0)*(ROW(職員マスタ!$A$6:$A$405)-5)))&gt;0,SUMPRODUCT(MAX((職員マスタ!$A$6:$A$405=$B1566)*(((職員マスタ!$G$6:$G$405="")+(職員マスタ!$G$6:$G$405&lt;=EOMONTH($AQ1566,0)))&gt;0)*(((職員マスタ!$H$6:$H$405="")+(職員マスタ!$H$6:$H$405&gt;=$AQ1566))&gt;0)*(ROW(職員マスタ!$A$6:$A$405)-5))),IFERROR(MATCH($B1566,職員マスタ!$A$6:$A$405,0),"")))</f>
        <v/>
      </c>
      <c r="AQ1566" s="16">
        <f>IF(OR($B1566="",$C1566="",$D1566=""),"",DATE($C1566+2018,$D1566,1))</f>
        <v/>
      </c>
    </row>
    <row r="1567">
      <c r="A1567" s="11" t="n"/>
      <c r="B1567" s="12" t="n"/>
      <c r="C1567" s="12" t="n"/>
      <c r="D1567" s="12" t="n"/>
      <c r="E1567" s="13" t="n"/>
      <c r="F1567" s="12" t="n"/>
      <c r="G1567" s="13" t="n"/>
      <c r="H1567" s="12" t="n"/>
      <c r="I1567" s="12" t="n"/>
      <c r="J1567" s="12" t="n"/>
      <c r="K1567" s="12" t="n"/>
      <c r="L1567" s="11" t="n"/>
      <c r="M1567" s="11" t="n"/>
      <c r="N1567" s="11" t="n"/>
      <c r="O1567" s="11" t="n"/>
      <c r="P1567" s="12" t="n"/>
      <c r="Q1567" s="11" t="n"/>
      <c r="R1567" s="12" t="n"/>
      <c r="S1567" s="11" t="n"/>
      <c r="T1567" s="12" t="n"/>
      <c r="U1567" s="12" t="n"/>
      <c r="V1567" s="12" t="n"/>
      <c r="W1567" s="13" t="n"/>
      <c r="X1567" s="14">
        <f>IF($AP1567="",IF($B1567="","",$H1567),IF(INDEX(職員マスタ!$B$6:$B$405,$AP1567)="",$H1567,INDEX(職員マスタ!$B$6:$B$405,$AP1567)))</f>
        <v/>
      </c>
      <c r="Y1567" s="14">
        <f>IF($AP1567="",IF($B1567="","",$R1567),IF(INDEX(職員マスタ!$C$6:$C$405,$AP1567)="",$R1567,INDEX(職員マスタ!$C$6:$C$405,$AP1567)))</f>
        <v/>
      </c>
      <c r="Z1567" s="14">
        <f>IF($AQ1567="","","R"&amp;$C1567&amp;"."&amp;$D1567)</f>
        <v/>
      </c>
      <c r="AA1567" s="15">
        <f>IF(IF($AP1567="",FALSE,INDEX(職員マスタ!$K$6:$K$405,$AP1567)&lt;&gt;""),INDEX(職員マスタ!$K$6:$K$405,$AP1567),IF(N($W1567)&gt;0,$W1567,""))</f>
        <v/>
      </c>
      <c r="AB1567" s="14">
        <f>IF(OR($E1567="",$AA1567=""),"",IF($E1567&gt;=$AA1567,"×",IF($E1567&gt;=$AA1567*設定!$C$5,"△","○")))</f>
        <v/>
      </c>
      <c r="AC1567" s="15">
        <f>IF($AB1567="","",IF($AB1567="×",0,IF($AB1567="○",ROUNDDOWN($E1567*設定!$C$4,0),ROUNDDOWN($E1567*ROUND((9*$AA1567-9*$E1567)/(10*$E1567),4),0))))</f>
        <v/>
      </c>
      <c r="AD1567" s="13" t="n"/>
      <c r="AE1567" s="15">
        <f>IF($B1567="","",IF($AD1567&lt;&gt;"",$AD1567,IF($AC1567="","",IF($AC1567&lt;=設定!$C$3,0,$AC1567))))</f>
        <v/>
      </c>
      <c r="AF1567" s="14">
        <f>IF($B1567="","",IF(AND($AG1567&lt;&gt;"",$AI1567="",$AL1567=""),"保留中",IF($AL1567&lt;&gt;"",IF(N($AE1567)&gt;0,"支給済","不支給"),IF($AE1567="","要確認",IF($AE1567=0,"不支給","未処理")))))</f>
        <v/>
      </c>
      <c r="AG1567" s="12" t="n"/>
      <c r="AH1567" s="11" t="n"/>
      <c r="AI1567" s="11" t="n"/>
      <c r="AJ1567" s="11" t="n"/>
      <c r="AK1567" s="14">
        <f>IF(AND($AF1567="保留中",$AH1567&lt;&gt;""),TODAY()-$AH1567,"")</f>
        <v/>
      </c>
      <c r="AL1567" s="12" t="n"/>
      <c r="AM1567" s="14">
        <f>IF($B1567="","",IF($AQ1567="","対象年月が未入力／","")&amp;IF($B1567="","",IF($AP1567="","職員マスタに未登録の職員番号／",IF($AA1567="","標準報酬月額が未登録／","")&amp;IF(AND($AQ1567&lt;&gt;"",OR(AND(INDEX(職員マスタ!$G$6:$G$405,$AP1567)&lt;&gt;"",INDEX(職員マスタ!$G$6:$G$405,$AP1567)&gt;EOMONTH($AQ1567,0)),AND(INDEX(職員マスタ!$H$6:$H$405,$AP1567)&lt;&gt;"",INDEX(職員マスタ!$H$6:$H$405,$AP1567)&lt;$AQ1567))),"対象月が時短期間外／","")&amp;IF(AND(INDEX(職員マスタ!$K$6:$K$405,$AP1567)&lt;&gt;"",N($W1567)&gt;0,INDEX(職員マスタ!$K$6:$K$405,$AP1567)&lt;&gt;$W1567),"標準報酬月額が申請書と相違（台帳"&amp;TEXT(INDEX(職員マスタ!$K$6:$K$405,$AP1567),"#,##0")&amp;"円／申請書"&amp;TEXT($W1567,"#,##0")&amp;"円）／","")&amp;IF(AND(INDEX(職員マスタ!$F$6:$F$405,$AP1567)&lt;&gt;"",$AQ1567&lt;&gt;"",INDEX(職員マスタ!$F$6:$F$405,$AP1567)&lt;$AQ1567),"対象月に子が2歳到達済／","")&amp;IF(AND($H1567&lt;&gt;"",INDEX(職員マスタ!$B$6:$B$405,$AP1567)&lt;&gt;"",SUBSTITUTE(SUBSTITUTE($H1567," ","")," ","")&lt;&gt;SUBSTITUTE(SUBSTITUTE(INDEX(職員マスタ!$B$6:$B$405,$AP1567)," ","")," ","")),"氏名がマスタと相違／","")&amp;IF(AND($Q1567&lt;&gt;"",INDEX(職員マスタ!$E$6:$E$405,$AP1567)&lt;&gt;"",$Q1567&lt;&gt;INDEX(職員マスタ!$E$6:$E$405,$AP1567)),"子の生年月日がマスタと相違／","")&amp;IF(AND($L1567&lt;&gt;"",INDEX(職員マスタ!$G$6:$G$405,$AP1567)&lt;&gt;"",$L1567&lt;&gt;INDEX(職員マスタ!$G$6:$G$405,$AP1567)),"時短開始日がマスタと相違／","")&amp;IF(AND($M1567&lt;&gt;"",INDEX(職員マスタ!$H$6:$H$405,$AP1567)&lt;&gt;"",$M1567&lt;&gt;INDEX(職員マスタ!$H$6:$H$405,$AP1567)),"時短終了日がマスタと相違／","")))&amp;IF(AND($B1567&lt;&gt;"",$E1567=""),"報酬額が未入力／","")&amp;IF(N($U1567)&gt;0,"申請書に入力エラーが残っています／","")&amp;IF(AND($B1567&lt;&gt;"",$AQ1567&lt;&gt;""),IF(COUNTIFS($B$6:$B$3005,$B1567,$C$6:$C$3005,$C1567,$D$6:$D$3005,$D1567)&gt;1,"同じ月の請求が重複しています／",""),"")&amp;IF(AND(N($E1567)&gt;0,$AB1567&lt;&gt;"",$AB1567&lt;&gt;"×",$AE1567=0,$AD1567=""),"計算額が下限以下のため不支給／",""))</f>
        <v/>
      </c>
      <c r="AN1567" s="12" t="n"/>
      <c r="AO1567" s="14">
        <f>IF($AF1567="保留中",COUNTIF($AF$6:$AF1567,"保留中"),"")</f>
        <v/>
      </c>
      <c r="AP1567" s="14">
        <f>IF($AQ1567="","",IF(SUMPRODUCT(MAX((職員マスタ!$A$6:$A$405=$B1567)*(((職員マスタ!$G$6:$G$405="")+(職員マスタ!$G$6:$G$405&lt;=EOMONTH($AQ1567,0)))&gt;0)*(((職員マスタ!$H$6:$H$405="")+(職員マスタ!$H$6:$H$405&gt;=$AQ1567))&gt;0)*(ROW(職員マスタ!$A$6:$A$405)-5)))&gt;0,SUMPRODUCT(MAX((職員マスタ!$A$6:$A$405=$B1567)*(((職員マスタ!$G$6:$G$405="")+(職員マスタ!$G$6:$G$405&lt;=EOMONTH($AQ1567,0)))&gt;0)*(((職員マスタ!$H$6:$H$405="")+(職員マスタ!$H$6:$H$405&gt;=$AQ1567))&gt;0)*(ROW(職員マスタ!$A$6:$A$405)-5))),IFERROR(MATCH($B1567,職員マスタ!$A$6:$A$405,0),"")))</f>
        <v/>
      </c>
      <c r="AQ1567" s="16">
        <f>IF(OR($B1567="",$C1567="",$D1567=""),"",DATE($C1567+2018,$D1567,1))</f>
        <v/>
      </c>
    </row>
    <row r="1568">
      <c r="A1568" s="11" t="n"/>
      <c r="B1568" s="12" t="n"/>
      <c r="C1568" s="12" t="n"/>
      <c r="D1568" s="12" t="n"/>
      <c r="E1568" s="13" t="n"/>
      <c r="F1568" s="12" t="n"/>
      <c r="G1568" s="13" t="n"/>
      <c r="H1568" s="12" t="n"/>
      <c r="I1568" s="12" t="n"/>
      <c r="J1568" s="12" t="n"/>
      <c r="K1568" s="12" t="n"/>
      <c r="L1568" s="11" t="n"/>
      <c r="M1568" s="11" t="n"/>
      <c r="N1568" s="11" t="n"/>
      <c r="O1568" s="11" t="n"/>
      <c r="P1568" s="12" t="n"/>
      <c r="Q1568" s="11" t="n"/>
      <c r="R1568" s="12" t="n"/>
      <c r="S1568" s="11" t="n"/>
      <c r="T1568" s="12" t="n"/>
      <c r="U1568" s="12" t="n"/>
      <c r="V1568" s="12" t="n"/>
      <c r="W1568" s="13" t="n"/>
      <c r="X1568" s="14">
        <f>IF($AP1568="",IF($B1568="","",$H1568),IF(INDEX(職員マスタ!$B$6:$B$405,$AP1568)="",$H1568,INDEX(職員マスタ!$B$6:$B$405,$AP1568)))</f>
        <v/>
      </c>
      <c r="Y1568" s="14">
        <f>IF($AP1568="",IF($B1568="","",$R1568),IF(INDEX(職員マスタ!$C$6:$C$405,$AP1568)="",$R1568,INDEX(職員マスタ!$C$6:$C$405,$AP1568)))</f>
        <v/>
      </c>
      <c r="Z1568" s="14">
        <f>IF($AQ1568="","","R"&amp;$C1568&amp;"."&amp;$D1568)</f>
        <v/>
      </c>
      <c r="AA1568" s="15">
        <f>IF(IF($AP1568="",FALSE,INDEX(職員マスタ!$K$6:$K$405,$AP1568)&lt;&gt;""),INDEX(職員マスタ!$K$6:$K$405,$AP1568),IF(N($W1568)&gt;0,$W1568,""))</f>
        <v/>
      </c>
      <c r="AB1568" s="14">
        <f>IF(OR($E1568="",$AA1568=""),"",IF($E1568&gt;=$AA1568,"×",IF($E1568&gt;=$AA1568*設定!$C$5,"△","○")))</f>
        <v/>
      </c>
      <c r="AC1568" s="15">
        <f>IF($AB1568="","",IF($AB1568="×",0,IF($AB1568="○",ROUNDDOWN($E1568*設定!$C$4,0),ROUNDDOWN($E1568*ROUND((9*$AA1568-9*$E1568)/(10*$E1568),4),0))))</f>
        <v/>
      </c>
      <c r="AD1568" s="13" t="n"/>
      <c r="AE1568" s="15">
        <f>IF($B1568="","",IF($AD1568&lt;&gt;"",$AD1568,IF($AC1568="","",IF($AC1568&lt;=設定!$C$3,0,$AC1568))))</f>
        <v/>
      </c>
      <c r="AF1568" s="14">
        <f>IF($B1568="","",IF(AND($AG1568&lt;&gt;"",$AI1568="",$AL1568=""),"保留中",IF($AL1568&lt;&gt;"",IF(N($AE1568)&gt;0,"支給済","不支給"),IF($AE1568="","要確認",IF($AE1568=0,"不支給","未処理")))))</f>
        <v/>
      </c>
      <c r="AG1568" s="12" t="n"/>
      <c r="AH1568" s="11" t="n"/>
      <c r="AI1568" s="11" t="n"/>
      <c r="AJ1568" s="11" t="n"/>
      <c r="AK1568" s="14">
        <f>IF(AND($AF1568="保留中",$AH1568&lt;&gt;""),TODAY()-$AH1568,"")</f>
        <v/>
      </c>
      <c r="AL1568" s="12" t="n"/>
      <c r="AM1568" s="14">
        <f>IF($B1568="","",IF($AQ1568="","対象年月が未入力／","")&amp;IF($B1568="","",IF($AP1568="","職員マスタに未登録の職員番号／",IF($AA1568="","標準報酬月額が未登録／","")&amp;IF(AND($AQ1568&lt;&gt;"",OR(AND(INDEX(職員マスタ!$G$6:$G$405,$AP1568)&lt;&gt;"",INDEX(職員マスタ!$G$6:$G$405,$AP1568)&gt;EOMONTH($AQ1568,0)),AND(INDEX(職員マスタ!$H$6:$H$405,$AP1568)&lt;&gt;"",INDEX(職員マスタ!$H$6:$H$405,$AP1568)&lt;$AQ1568))),"対象月が時短期間外／","")&amp;IF(AND(INDEX(職員マスタ!$K$6:$K$405,$AP1568)&lt;&gt;"",N($W1568)&gt;0,INDEX(職員マスタ!$K$6:$K$405,$AP1568)&lt;&gt;$W1568),"標準報酬月額が申請書と相違（台帳"&amp;TEXT(INDEX(職員マスタ!$K$6:$K$405,$AP1568),"#,##0")&amp;"円／申請書"&amp;TEXT($W1568,"#,##0")&amp;"円）／","")&amp;IF(AND(INDEX(職員マスタ!$F$6:$F$405,$AP1568)&lt;&gt;"",$AQ1568&lt;&gt;"",INDEX(職員マスタ!$F$6:$F$405,$AP1568)&lt;$AQ1568),"対象月に子が2歳到達済／","")&amp;IF(AND($H1568&lt;&gt;"",INDEX(職員マスタ!$B$6:$B$405,$AP1568)&lt;&gt;"",SUBSTITUTE(SUBSTITUTE($H1568," ","")," ","")&lt;&gt;SUBSTITUTE(SUBSTITUTE(INDEX(職員マスタ!$B$6:$B$405,$AP1568)," ","")," ","")),"氏名がマスタと相違／","")&amp;IF(AND($Q1568&lt;&gt;"",INDEX(職員マスタ!$E$6:$E$405,$AP1568)&lt;&gt;"",$Q1568&lt;&gt;INDEX(職員マスタ!$E$6:$E$405,$AP1568)),"子の生年月日がマスタと相違／","")&amp;IF(AND($L1568&lt;&gt;"",INDEX(職員マスタ!$G$6:$G$405,$AP1568)&lt;&gt;"",$L1568&lt;&gt;INDEX(職員マスタ!$G$6:$G$405,$AP1568)),"時短開始日がマスタと相違／","")&amp;IF(AND($M1568&lt;&gt;"",INDEX(職員マスタ!$H$6:$H$405,$AP1568)&lt;&gt;"",$M1568&lt;&gt;INDEX(職員マスタ!$H$6:$H$405,$AP1568)),"時短終了日がマスタと相違／","")))&amp;IF(AND($B1568&lt;&gt;"",$E1568=""),"報酬額が未入力／","")&amp;IF(N($U1568)&gt;0,"申請書に入力エラーが残っています／","")&amp;IF(AND($B1568&lt;&gt;"",$AQ1568&lt;&gt;""),IF(COUNTIFS($B$6:$B$3005,$B1568,$C$6:$C$3005,$C1568,$D$6:$D$3005,$D1568)&gt;1,"同じ月の請求が重複しています／",""),"")&amp;IF(AND(N($E1568)&gt;0,$AB1568&lt;&gt;"",$AB1568&lt;&gt;"×",$AE1568=0,$AD1568=""),"計算額が下限以下のため不支給／",""))</f>
        <v/>
      </c>
      <c r="AN1568" s="12" t="n"/>
      <c r="AO1568" s="14">
        <f>IF($AF1568="保留中",COUNTIF($AF$6:$AF1568,"保留中"),"")</f>
        <v/>
      </c>
      <c r="AP1568" s="14">
        <f>IF($AQ1568="","",IF(SUMPRODUCT(MAX((職員マスタ!$A$6:$A$405=$B1568)*(((職員マスタ!$G$6:$G$405="")+(職員マスタ!$G$6:$G$405&lt;=EOMONTH($AQ1568,0)))&gt;0)*(((職員マスタ!$H$6:$H$405="")+(職員マスタ!$H$6:$H$405&gt;=$AQ1568))&gt;0)*(ROW(職員マスタ!$A$6:$A$405)-5)))&gt;0,SUMPRODUCT(MAX((職員マスタ!$A$6:$A$405=$B1568)*(((職員マスタ!$G$6:$G$405="")+(職員マスタ!$G$6:$G$405&lt;=EOMONTH($AQ1568,0)))&gt;0)*(((職員マスタ!$H$6:$H$405="")+(職員マスタ!$H$6:$H$405&gt;=$AQ1568))&gt;0)*(ROW(職員マスタ!$A$6:$A$405)-5))),IFERROR(MATCH($B1568,職員マスタ!$A$6:$A$405,0),"")))</f>
        <v/>
      </c>
      <c r="AQ1568" s="16">
        <f>IF(OR($B1568="",$C1568="",$D1568=""),"",DATE($C1568+2018,$D1568,1))</f>
        <v/>
      </c>
    </row>
    <row r="1569">
      <c r="A1569" s="11" t="n"/>
      <c r="B1569" s="12" t="n"/>
      <c r="C1569" s="12" t="n"/>
      <c r="D1569" s="12" t="n"/>
      <c r="E1569" s="13" t="n"/>
      <c r="F1569" s="12" t="n"/>
      <c r="G1569" s="13" t="n"/>
      <c r="H1569" s="12" t="n"/>
      <c r="I1569" s="12" t="n"/>
      <c r="J1569" s="12" t="n"/>
      <c r="K1569" s="12" t="n"/>
      <c r="L1569" s="11" t="n"/>
      <c r="M1569" s="11" t="n"/>
      <c r="N1569" s="11" t="n"/>
      <c r="O1569" s="11" t="n"/>
      <c r="P1569" s="12" t="n"/>
      <c r="Q1569" s="11" t="n"/>
      <c r="R1569" s="12" t="n"/>
      <c r="S1569" s="11" t="n"/>
      <c r="T1569" s="12" t="n"/>
      <c r="U1569" s="12" t="n"/>
      <c r="V1569" s="12" t="n"/>
      <c r="W1569" s="13" t="n"/>
      <c r="X1569" s="14">
        <f>IF($AP1569="",IF($B1569="","",$H1569),IF(INDEX(職員マスタ!$B$6:$B$405,$AP1569)="",$H1569,INDEX(職員マスタ!$B$6:$B$405,$AP1569)))</f>
        <v/>
      </c>
      <c r="Y1569" s="14">
        <f>IF($AP1569="",IF($B1569="","",$R1569),IF(INDEX(職員マスタ!$C$6:$C$405,$AP1569)="",$R1569,INDEX(職員マスタ!$C$6:$C$405,$AP1569)))</f>
        <v/>
      </c>
      <c r="Z1569" s="14">
        <f>IF($AQ1569="","","R"&amp;$C1569&amp;"."&amp;$D1569)</f>
        <v/>
      </c>
      <c r="AA1569" s="15">
        <f>IF(IF($AP1569="",FALSE,INDEX(職員マスタ!$K$6:$K$405,$AP1569)&lt;&gt;""),INDEX(職員マスタ!$K$6:$K$405,$AP1569),IF(N($W1569)&gt;0,$W1569,""))</f>
        <v/>
      </c>
      <c r="AB1569" s="14">
        <f>IF(OR($E1569="",$AA1569=""),"",IF($E1569&gt;=$AA1569,"×",IF($E1569&gt;=$AA1569*設定!$C$5,"△","○")))</f>
        <v/>
      </c>
      <c r="AC1569" s="15">
        <f>IF($AB1569="","",IF($AB1569="×",0,IF($AB1569="○",ROUNDDOWN($E1569*設定!$C$4,0),ROUNDDOWN($E1569*ROUND((9*$AA1569-9*$E1569)/(10*$E1569),4),0))))</f>
        <v/>
      </c>
      <c r="AD1569" s="13" t="n"/>
      <c r="AE1569" s="15">
        <f>IF($B1569="","",IF($AD1569&lt;&gt;"",$AD1569,IF($AC1569="","",IF($AC1569&lt;=設定!$C$3,0,$AC1569))))</f>
        <v/>
      </c>
      <c r="AF1569" s="14">
        <f>IF($B1569="","",IF(AND($AG1569&lt;&gt;"",$AI1569="",$AL1569=""),"保留中",IF($AL1569&lt;&gt;"",IF(N($AE1569)&gt;0,"支給済","不支給"),IF($AE1569="","要確認",IF($AE1569=0,"不支給","未処理")))))</f>
        <v/>
      </c>
      <c r="AG1569" s="12" t="n"/>
      <c r="AH1569" s="11" t="n"/>
      <c r="AI1569" s="11" t="n"/>
      <c r="AJ1569" s="11" t="n"/>
      <c r="AK1569" s="14">
        <f>IF(AND($AF1569="保留中",$AH1569&lt;&gt;""),TODAY()-$AH1569,"")</f>
        <v/>
      </c>
      <c r="AL1569" s="12" t="n"/>
      <c r="AM1569" s="14">
        <f>IF($B1569="","",IF($AQ1569="","対象年月が未入力／","")&amp;IF($B1569="","",IF($AP1569="","職員マスタに未登録の職員番号／",IF($AA1569="","標準報酬月額が未登録／","")&amp;IF(AND($AQ1569&lt;&gt;"",OR(AND(INDEX(職員マスタ!$G$6:$G$405,$AP1569)&lt;&gt;"",INDEX(職員マスタ!$G$6:$G$405,$AP1569)&gt;EOMONTH($AQ1569,0)),AND(INDEX(職員マスタ!$H$6:$H$405,$AP1569)&lt;&gt;"",INDEX(職員マスタ!$H$6:$H$405,$AP1569)&lt;$AQ1569))),"対象月が時短期間外／","")&amp;IF(AND(INDEX(職員マスタ!$K$6:$K$405,$AP1569)&lt;&gt;"",N($W1569)&gt;0,INDEX(職員マスタ!$K$6:$K$405,$AP1569)&lt;&gt;$W1569),"標準報酬月額が申請書と相違（台帳"&amp;TEXT(INDEX(職員マスタ!$K$6:$K$405,$AP1569),"#,##0")&amp;"円／申請書"&amp;TEXT($W1569,"#,##0")&amp;"円）／","")&amp;IF(AND(INDEX(職員マスタ!$F$6:$F$405,$AP1569)&lt;&gt;"",$AQ1569&lt;&gt;"",INDEX(職員マスタ!$F$6:$F$405,$AP1569)&lt;$AQ1569),"対象月に子が2歳到達済／","")&amp;IF(AND($H1569&lt;&gt;"",INDEX(職員マスタ!$B$6:$B$405,$AP1569)&lt;&gt;"",SUBSTITUTE(SUBSTITUTE($H1569," ","")," ","")&lt;&gt;SUBSTITUTE(SUBSTITUTE(INDEX(職員マスタ!$B$6:$B$405,$AP1569)," ","")," ","")),"氏名がマスタと相違／","")&amp;IF(AND($Q1569&lt;&gt;"",INDEX(職員マスタ!$E$6:$E$405,$AP1569)&lt;&gt;"",$Q1569&lt;&gt;INDEX(職員マスタ!$E$6:$E$405,$AP1569)),"子の生年月日がマスタと相違／","")&amp;IF(AND($L1569&lt;&gt;"",INDEX(職員マスタ!$G$6:$G$405,$AP1569)&lt;&gt;"",$L1569&lt;&gt;INDEX(職員マスタ!$G$6:$G$405,$AP1569)),"時短開始日がマスタと相違／","")&amp;IF(AND($M1569&lt;&gt;"",INDEX(職員マスタ!$H$6:$H$405,$AP1569)&lt;&gt;"",$M1569&lt;&gt;INDEX(職員マスタ!$H$6:$H$405,$AP1569)),"時短終了日がマスタと相違／","")))&amp;IF(AND($B1569&lt;&gt;"",$E1569=""),"報酬額が未入力／","")&amp;IF(N($U1569)&gt;0,"申請書に入力エラーが残っています／","")&amp;IF(AND($B1569&lt;&gt;"",$AQ1569&lt;&gt;""),IF(COUNTIFS($B$6:$B$3005,$B1569,$C$6:$C$3005,$C1569,$D$6:$D$3005,$D1569)&gt;1,"同じ月の請求が重複しています／",""),"")&amp;IF(AND(N($E1569)&gt;0,$AB1569&lt;&gt;"",$AB1569&lt;&gt;"×",$AE1569=0,$AD1569=""),"計算額が下限以下のため不支給／",""))</f>
        <v/>
      </c>
      <c r="AN1569" s="12" t="n"/>
      <c r="AO1569" s="14">
        <f>IF($AF1569="保留中",COUNTIF($AF$6:$AF1569,"保留中"),"")</f>
        <v/>
      </c>
      <c r="AP1569" s="14">
        <f>IF($AQ1569="","",IF(SUMPRODUCT(MAX((職員マスタ!$A$6:$A$405=$B1569)*(((職員マスタ!$G$6:$G$405="")+(職員マスタ!$G$6:$G$405&lt;=EOMONTH($AQ1569,0)))&gt;0)*(((職員マスタ!$H$6:$H$405="")+(職員マスタ!$H$6:$H$405&gt;=$AQ1569))&gt;0)*(ROW(職員マスタ!$A$6:$A$405)-5)))&gt;0,SUMPRODUCT(MAX((職員マスタ!$A$6:$A$405=$B1569)*(((職員マスタ!$G$6:$G$405="")+(職員マスタ!$G$6:$G$405&lt;=EOMONTH($AQ1569,0)))&gt;0)*(((職員マスタ!$H$6:$H$405="")+(職員マスタ!$H$6:$H$405&gt;=$AQ1569))&gt;0)*(ROW(職員マスタ!$A$6:$A$405)-5))),IFERROR(MATCH($B1569,職員マスタ!$A$6:$A$405,0),"")))</f>
        <v/>
      </c>
      <c r="AQ1569" s="16">
        <f>IF(OR($B1569="",$C1569="",$D1569=""),"",DATE($C1569+2018,$D1569,1))</f>
        <v/>
      </c>
    </row>
    <row r="1570">
      <c r="A1570" s="11" t="n"/>
      <c r="B1570" s="12" t="n"/>
      <c r="C1570" s="12" t="n"/>
      <c r="D1570" s="12" t="n"/>
      <c r="E1570" s="13" t="n"/>
      <c r="F1570" s="12" t="n"/>
      <c r="G1570" s="13" t="n"/>
      <c r="H1570" s="12" t="n"/>
      <c r="I1570" s="12" t="n"/>
      <c r="J1570" s="12" t="n"/>
      <c r="K1570" s="12" t="n"/>
      <c r="L1570" s="11" t="n"/>
      <c r="M1570" s="11" t="n"/>
      <c r="N1570" s="11" t="n"/>
      <c r="O1570" s="11" t="n"/>
      <c r="P1570" s="12" t="n"/>
      <c r="Q1570" s="11" t="n"/>
      <c r="R1570" s="12" t="n"/>
      <c r="S1570" s="11" t="n"/>
      <c r="T1570" s="12" t="n"/>
      <c r="U1570" s="12" t="n"/>
      <c r="V1570" s="12" t="n"/>
      <c r="W1570" s="13" t="n"/>
      <c r="X1570" s="14">
        <f>IF($AP1570="",IF($B1570="","",$H1570),IF(INDEX(職員マスタ!$B$6:$B$405,$AP1570)="",$H1570,INDEX(職員マスタ!$B$6:$B$405,$AP1570)))</f>
        <v/>
      </c>
      <c r="Y1570" s="14">
        <f>IF($AP1570="",IF($B1570="","",$R1570),IF(INDEX(職員マスタ!$C$6:$C$405,$AP1570)="",$R1570,INDEX(職員マスタ!$C$6:$C$405,$AP1570)))</f>
        <v/>
      </c>
      <c r="Z1570" s="14">
        <f>IF($AQ1570="","","R"&amp;$C1570&amp;"."&amp;$D1570)</f>
        <v/>
      </c>
      <c r="AA1570" s="15">
        <f>IF(IF($AP1570="",FALSE,INDEX(職員マスタ!$K$6:$K$405,$AP1570)&lt;&gt;""),INDEX(職員マスタ!$K$6:$K$405,$AP1570),IF(N($W1570)&gt;0,$W1570,""))</f>
        <v/>
      </c>
      <c r="AB1570" s="14">
        <f>IF(OR($E1570="",$AA1570=""),"",IF($E1570&gt;=$AA1570,"×",IF($E1570&gt;=$AA1570*設定!$C$5,"△","○")))</f>
        <v/>
      </c>
      <c r="AC1570" s="15">
        <f>IF($AB1570="","",IF($AB1570="×",0,IF($AB1570="○",ROUNDDOWN($E1570*設定!$C$4,0),ROUNDDOWN($E1570*ROUND((9*$AA1570-9*$E1570)/(10*$E1570),4),0))))</f>
        <v/>
      </c>
      <c r="AD1570" s="13" t="n"/>
      <c r="AE1570" s="15">
        <f>IF($B1570="","",IF($AD1570&lt;&gt;"",$AD1570,IF($AC1570="","",IF($AC1570&lt;=設定!$C$3,0,$AC1570))))</f>
        <v/>
      </c>
      <c r="AF1570" s="14">
        <f>IF($B1570="","",IF(AND($AG1570&lt;&gt;"",$AI1570="",$AL1570=""),"保留中",IF($AL1570&lt;&gt;"",IF(N($AE1570)&gt;0,"支給済","不支給"),IF($AE1570="","要確認",IF($AE1570=0,"不支給","未処理")))))</f>
        <v/>
      </c>
      <c r="AG1570" s="12" t="n"/>
      <c r="AH1570" s="11" t="n"/>
      <c r="AI1570" s="11" t="n"/>
      <c r="AJ1570" s="11" t="n"/>
      <c r="AK1570" s="14">
        <f>IF(AND($AF1570="保留中",$AH1570&lt;&gt;""),TODAY()-$AH1570,"")</f>
        <v/>
      </c>
      <c r="AL1570" s="12" t="n"/>
      <c r="AM1570" s="14">
        <f>IF($B1570="","",IF($AQ1570="","対象年月が未入力／","")&amp;IF($B1570="","",IF($AP1570="","職員マスタに未登録の職員番号／",IF($AA1570="","標準報酬月額が未登録／","")&amp;IF(AND($AQ1570&lt;&gt;"",OR(AND(INDEX(職員マスタ!$G$6:$G$405,$AP1570)&lt;&gt;"",INDEX(職員マスタ!$G$6:$G$405,$AP1570)&gt;EOMONTH($AQ1570,0)),AND(INDEX(職員マスタ!$H$6:$H$405,$AP1570)&lt;&gt;"",INDEX(職員マスタ!$H$6:$H$405,$AP1570)&lt;$AQ1570))),"対象月が時短期間外／","")&amp;IF(AND(INDEX(職員マスタ!$K$6:$K$405,$AP1570)&lt;&gt;"",N($W1570)&gt;0,INDEX(職員マスタ!$K$6:$K$405,$AP1570)&lt;&gt;$W1570),"標準報酬月額が申請書と相違（台帳"&amp;TEXT(INDEX(職員マスタ!$K$6:$K$405,$AP1570),"#,##0")&amp;"円／申請書"&amp;TEXT($W1570,"#,##0")&amp;"円）／","")&amp;IF(AND(INDEX(職員マスタ!$F$6:$F$405,$AP1570)&lt;&gt;"",$AQ1570&lt;&gt;"",INDEX(職員マスタ!$F$6:$F$405,$AP1570)&lt;$AQ1570),"対象月に子が2歳到達済／","")&amp;IF(AND($H1570&lt;&gt;"",INDEX(職員マスタ!$B$6:$B$405,$AP1570)&lt;&gt;"",SUBSTITUTE(SUBSTITUTE($H1570," ","")," ","")&lt;&gt;SUBSTITUTE(SUBSTITUTE(INDEX(職員マスタ!$B$6:$B$405,$AP1570)," ","")," ","")),"氏名がマスタと相違／","")&amp;IF(AND($Q1570&lt;&gt;"",INDEX(職員マスタ!$E$6:$E$405,$AP1570)&lt;&gt;"",$Q1570&lt;&gt;INDEX(職員マスタ!$E$6:$E$405,$AP1570)),"子の生年月日がマスタと相違／","")&amp;IF(AND($L1570&lt;&gt;"",INDEX(職員マスタ!$G$6:$G$405,$AP1570)&lt;&gt;"",$L1570&lt;&gt;INDEX(職員マスタ!$G$6:$G$405,$AP1570)),"時短開始日がマスタと相違／","")&amp;IF(AND($M1570&lt;&gt;"",INDEX(職員マスタ!$H$6:$H$405,$AP1570)&lt;&gt;"",$M1570&lt;&gt;INDEX(職員マスタ!$H$6:$H$405,$AP1570)),"時短終了日がマスタと相違／","")))&amp;IF(AND($B1570&lt;&gt;"",$E1570=""),"報酬額が未入力／","")&amp;IF(N($U1570)&gt;0,"申請書に入力エラーが残っています／","")&amp;IF(AND($B1570&lt;&gt;"",$AQ1570&lt;&gt;""),IF(COUNTIFS($B$6:$B$3005,$B1570,$C$6:$C$3005,$C1570,$D$6:$D$3005,$D1570)&gt;1,"同じ月の請求が重複しています／",""),"")&amp;IF(AND(N($E1570)&gt;0,$AB1570&lt;&gt;"",$AB1570&lt;&gt;"×",$AE1570=0,$AD1570=""),"計算額が下限以下のため不支給／",""))</f>
        <v/>
      </c>
      <c r="AN1570" s="12" t="n"/>
      <c r="AO1570" s="14">
        <f>IF($AF1570="保留中",COUNTIF($AF$6:$AF1570,"保留中"),"")</f>
        <v/>
      </c>
      <c r="AP1570" s="14">
        <f>IF($AQ1570="","",IF(SUMPRODUCT(MAX((職員マスタ!$A$6:$A$405=$B1570)*(((職員マスタ!$G$6:$G$405="")+(職員マスタ!$G$6:$G$405&lt;=EOMONTH($AQ1570,0)))&gt;0)*(((職員マスタ!$H$6:$H$405="")+(職員マスタ!$H$6:$H$405&gt;=$AQ1570))&gt;0)*(ROW(職員マスタ!$A$6:$A$405)-5)))&gt;0,SUMPRODUCT(MAX((職員マスタ!$A$6:$A$405=$B1570)*(((職員マスタ!$G$6:$G$405="")+(職員マスタ!$G$6:$G$405&lt;=EOMONTH($AQ1570,0)))&gt;0)*(((職員マスタ!$H$6:$H$405="")+(職員マスタ!$H$6:$H$405&gt;=$AQ1570))&gt;0)*(ROW(職員マスタ!$A$6:$A$405)-5))),IFERROR(MATCH($B1570,職員マスタ!$A$6:$A$405,0),"")))</f>
        <v/>
      </c>
      <c r="AQ1570" s="16">
        <f>IF(OR($B1570="",$C1570="",$D1570=""),"",DATE($C1570+2018,$D1570,1))</f>
        <v/>
      </c>
    </row>
    <row r="1571">
      <c r="A1571" s="11" t="n"/>
      <c r="B1571" s="12" t="n"/>
      <c r="C1571" s="12" t="n"/>
      <c r="D1571" s="12" t="n"/>
      <c r="E1571" s="13" t="n"/>
      <c r="F1571" s="12" t="n"/>
      <c r="G1571" s="13" t="n"/>
      <c r="H1571" s="12" t="n"/>
      <c r="I1571" s="12" t="n"/>
      <c r="J1571" s="12" t="n"/>
      <c r="K1571" s="12" t="n"/>
      <c r="L1571" s="11" t="n"/>
      <c r="M1571" s="11" t="n"/>
      <c r="N1571" s="11" t="n"/>
      <c r="O1571" s="11" t="n"/>
      <c r="P1571" s="12" t="n"/>
      <c r="Q1571" s="11" t="n"/>
      <c r="R1571" s="12" t="n"/>
      <c r="S1571" s="11" t="n"/>
      <c r="T1571" s="12" t="n"/>
      <c r="U1571" s="12" t="n"/>
      <c r="V1571" s="12" t="n"/>
      <c r="W1571" s="13" t="n"/>
      <c r="X1571" s="14">
        <f>IF($AP1571="",IF($B1571="","",$H1571),IF(INDEX(職員マスタ!$B$6:$B$405,$AP1571)="",$H1571,INDEX(職員マスタ!$B$6:$B$405,$AP1571)))</f>
        <v/>
      </c>
      <c r="Y1571" s="14">
        <f>IF($AP1571="",IF($B1571="","",$R1571),IF(INDEX(職員マスタ!$C$6:$C$405,$AP1571)="",$R1571,INDEX(職員マスタ!$C$6:$C$405,$AP1571)))</f>
        <v/>
      </c>
      <c r="Z1571" s="14">
        <f>IF($AQ1571="","","R"&amp;$C1571&amp;"."&amp;$D1571)</f>
        <v/>
      </c>
      <c r="AA1571" s="15">
        <f>IF(IF($AP1571="",FALSE,INDEX(職員マスタ!$K$6:$K$405,$AP1571)&lt;&gt;""),INDEX(職員マスタ!$K$6:$K$405,$AP1571),IF(N($W1571)&gt;0,$W1571,""))</f>
        <v/>
      </c>
      <c r="AB1571" s="14">
        <f>IF(OR($E1571="",$AA1571=""),"",IF($E1571&gt;=$AA1571,"×",IF($E1571&gt;=$AA1571*設定!$C$5,"△","○")))</f>
        <v/>
      </c>
      <c r="AC1571" s="15">
        <f>IF($AB1571="","",IF($AB1571="×",0,IF($AB1571="○",ROUNDDOWN($E1571*設定!$C$4,0),ROUNDDOWN($E1571*ROUND((9*$AA1571-9*$E1571)/(10*$E1571),4),0))))</f>
        <v/>
      </c>
      <c r="AD1571" s="13" t="n"/>
      <c r="AE1571" s="15">
        <f>IF($B1571="","",IF($AD1571&lt;&gt;"",$AD1571,IF($AC1571="","",IF($AC1571&lt;=設定!$C$3,0,$AC1571))))</f>
        <v/>
      </c>
      <c r="AF1571" s="14">
        <f>IF($B1571="","",IF(AND($AG1571&lt;&gt;"",$AI1571="",$AL1571=""),"保留中",IF($AL1571&lt;&gt;"",IF(N($AE1571)&gt;0,"支給済","不支給"),IF($AE1571="","要確認",IF($AE1571=0,"不支給","未処理")))))</f>
        <v/>
      </c>
      <c r="AG1571" s="12" t="n"/>
      <c r="AH1571" s="11" t="n"/>
      <c r="AI1571" s="11" t="n"/>
      <c r="AJ1571" s="11" t="n"/>
      <c r="AK1571" s="14">
        <f>IF(AND($AF1571="保留中",$AH1571&lt;&gt;""),TODAY()-$AH1571,"")</f>
        <v/>
      </c>
      <c r="AL1571" s="12" t="n"/>
      <c r="AM1571" s="14">
        <f>IF($B1571="","",IF($AQ1571="","対象年月が未入力／","")&amp;IF($B1571="","",IF($AP1571="","職員マスタに未登録の職員番号／",IF($AA1571="","標準報酬月額が未登録／","")&amp;IF(AND($AQ1571&lt;&gt;"",OR(AND(INDEX(職員マスタ!$G$6:$G$405,$AP1571)&lt;&gt;"",INDEX(職員マスタ!$G$6:$G$405,$AP1571)&gt;EOMONTH($AQ1571,0)),AND(INDEX(職員マスタ!$H$6:$H$405,$AP1571)&lt;&gt;"",INDEX(職員マスタ!$H$6:$H$405,$AP1571)&lt;$AQ1571))),"対象月が時短期間外／","")&amp;IF(AND(INDEX(職員マスタ!$K$6:$K$405,$AP1571)&lt;&gt;"",N($W1571)&gt;0,INDEX(職員マスタ!$K$6:$K$405,$AP1571)&lt;&gt;$W1571),"標準報酬月額が申請書と相違（台帳"&amp;TEXT(INDEX(職員マスタ!$K$6:$K$405,$AP1571),"#,##0")&amp;"円／申請書"&amp;TEXT($W1571,"#,##0")&amp;"円）／","")&amp;IF(AND(INDEX(職員マスタ!$F$6:$F$405,$AP1571)&lt;&gt;"",$AQ1571&lt;&gt;"",INDEX(職員マスタ!$F$6:$F$405,$AP1571)&lt;$AQ1571),"対象月に子が2歳到達済／","")&amp;IF(AND($H1571&lt;&gt;"",INDEX(職員マスタ!$B$6:$B$405,$AP1571)&lt;&gt;"",SUBSTITUTE(SUBSTITUTE($H1571," ","")," ","")&lt;&gt;SUBSTITUTE(SUBSTITUTE(INDEX(職員マスタ!$B$6:$B$405,$AP1571)," ","")," ","")),"氏名がマスタと相違／","")&amp;IF(AND($Q1571&lt;&gt;"",INDEX(職員マスタ!$E$6:$E$405,$AP1571)&lt;&gt;"",$Q1571&lt;&gt;INDEX(職員マスタ!$E$6:$E$405,$AP1571)),"子の生年月日がマスタと相違／","")&amp;IF(AND($L1571&lt;&gt;"",INDEX(職員マスタ!$G$6:$G$405,$AP1571)&lt;&gt;"",$L1571&lt;&gt;INDEX(職員マスタ!$G$6:$G$405,$AP1571)),"時短開始日がマスタと相違／","")&amp;IF(AND($M1571&lt;&gt;"",INDEX(職員マスタ!$H$6:$H$405,$AP1571)&lt;&gt;"",$M1571&lt;&gt;INDEX(職員マスタ!$H$6:$H$405,$AP1571)),"時短終了日がマスタと相違／","")))&amp;IF(AND($B1571&lt;&gt;"",$E1571=""),"報酬額が未入力／","")&amp;IF(N($U1571)&gt;0,"申請書に入力エラーが残っています／","")&amp;IF(AND($B1571&lt;&gt;"",$AQ1571&lt;&gt;""),IF(COUNTIFS($B$6:$B$3005,$B1571,$C$6:$C$3005,$C1571,$D$6:$D$3005,$D1571)&gt;1,"同じ月の請求が重複しています／",""),"")&amp;IF(AND(N($E1571)&gt;0,$AB1571&lt;&gt;"",$AB1571&lt;&gt;"×",$AE1571=0,$AD1571=""),"計算額が下限以下のため不支給／",""))</f>
        <v/>
      </c>
      <c r="AN1571" s="12" t="n"/>
      <c r="AO1571" s="14">
        <f>IF($AF1571="保留中",COUNTIF($AF$6:$AF1571,"保留中"),"")</f>
        <v/>
      </c>
      <c r="AP1571" s="14">
        <f>IF($AQ1571="","",IF(SUMPRODUCT(MAX((職員マスタ!$A$6:$A$405=$B1571)*(((職員マスタ!$G$6:$G$405="")+(職員マスタ!$G$6:$G$405&lt;=EOMONTH($AQ1571,0)))&gt;0)*(((職員マスタ!$H$6:$H$405="")+(職員マスタ!$H$6:$H$405&gt;=$AQ1571))&gt;0)*(ROW(職員マスタ!$A$6:$A$405)-5)))&gt;0,SUMPRODUCT(MAX((職員マスタ!$A$6:$A$405=$B1571)*(((職員マスタ!$G$6:$G$405="")+(職員マスタ!$G$6:$G$405&lt;=EOMONTH($AQ1571,0)))&gt;0)*(((職員マスタ!$H$6:$H$405="")+(職員マスタ!$H$6:$H$405&gt;=$AQ1571))&gt;0)*(ROW(職員マスタ!$A$6:$A$405)-5))),IFERROR(MATCH($B1571,職員マスタ!$A$6:$A$405,0),"")))</f>
        <v/>
      </c>
      <c r="AQ1571" s="16">
        <f>IF(OR($B1571="",$C1571="",$D1571=""),"",DATE($C1571+2018,$D1571,1))</f>
        <v/>
      </c>
    </row>
    <row r="1572">
      <c r="A1572" s="11" t="n"/>
      <c r="B1572" s="12" t="n"/>
      <c r="C1572" s="12" t="n"/>
      <c r="D1572" s="12" t="n"/>
      <c r="E1572" s="13" t="n"/>
      <c r="F1572" s="12" t="n"/>
      <c r="G1572" s="13" t="n"/>
      <c r="H1572" s="12" t="n"/>
      <c r="I1572" s="12" t="n"/>
      <c r="J1572" s="12" t="n"/>
      <c r="K1572" s="12" t="n"/>
      <c r="L1572" s="11" t="n"/>
      <c r="M1572" s="11" t="n"/>
      <c r="N1572" s="11" t="n"/>
      <c r="O1572" s="11" t="n"/>
      <c r="P1572" s="12" t="n"/>
      <c r="Q1572" s="11" t="n"/>
      <c r="R1572" s="12" t="n"/>
      <c r="S1572" s="11" t="n"/>
      <c r="T1572" s="12" t="n"/>
      <c r="U1572" s="12" t="n"/>
      <c r="V1572" s="12" t="n"/>
      <c r="W1572" s="13" t="n"/>
      <c r="X1572" s="14">
        <f>IF($AP1572="",IF($B1572="","",$H1572),IF(INDEX(職員マスタ!$B$6:$B$405,$AP1572)="",$H1572,INDEX(職員マスタ!$B$6:$B$405,$AP1572)))</f>
        <v/>
      </c>
      <c r="Y1572" s="14">
        <f>IF($AP1572="",IF($B1572="","",$R1572),IF(INDEX(職員マスタ!$C$6:$C$405,$AP1572)="",$R1572,INDEX(職員マスタ!$C$6:$C$405,$AP1572)))</f>
        <v/>
      </c>
      <c r="Z1572" s="14">
        <f>IF($AQ1572="","","R"&amp;$C1572&amp;"."&amp;$D1572)</f>
        <v/>
      </c>
      <c r="AA1572" s="15">
        <f>IF(IF($AP1572="",FALSE,INDEX(職員マスタ!$K$6:$K$405,$AP1572)&lt;&gt;""),INDEX(職員マスタ!$K$6:$K$405,$AP1572),IF(N($W1572)&gt;0,$W1572,""))</f>
        <v/>
      </c>
      <c r="AB1572" s="14">
        <f>IF(OR($E1572="",$AA1572=""),"",IF($E1572&gt;=$AA1572,"×",IF($E1572&gt;=$AA1572*設定!$C$5,"△","○")))</f>
        <v/>
      </c>
      <c r="AC1572" s="15">
        <f>IF($AB1572="","",IF($AB1572="×",0,IF($AB1572="○",ROUNDDOWN($E1572*設定!$C$4,0),ROUNDDOWN($E1572*ROUND((9*$AA1572-9*$E1572)/(10*$E1572),4),0))))</f>
        <v/>
      </c>
      <c r="AD1572" s="13" t="n"/>
      <c r="AE1572" s="15">
        <f>IF($B1572="","",IF($AD1572&lt;&gt;"",$AD1572,IF($AC1572="","",IF($AC1572&lt;=設定!$C$3,0,$AC1572))))</f>
        <v/>
      </c>
      <c r="AF1572" s="14">
        <f>IF($B1572="","",IF(AND($AG1572&lt;&gt;"",$AI1572="",$AL1572=""),"保留中",IF($AL1572&lt;&gt;"",IF(N($AE1572)&gt;0,"支給済","不支給"),IF($AE1572="","要確認",IF($AE1572=0,"不支給","未処理")))))</f>
        <v/>
      </c>
      <c r="AG1572" s="12" t="n"/>
      <c r="AH1572" s="11" t="n"/>
      <c r="AI1572" s="11" t="n"/>
      <c r="AJ1572" s="11" t="n"/>
      <c r="AK1572" s="14">
        <f>IF(AND($AF1572="保留中",$AH1572&lt;&gt;""),TODAY()-$AH1572,"")</f>
        <v/>
      </c>
      <c r="AL1572" s="12" t="n"/>
      <c r="AM1572" s="14">
        <f>IF($B1572="","",IF($AQ1572="","対象年月が未入力／","")&amp;IF($B1572="","",IF($AP1572="","職員マスタに未登録の職員番号／",IF($AA1572="","標準報酬月額が未登録／","")&amp;IF(AND($AQ1572&lt;&gt;"",OR(AND(INDEX(職員マスタ!$G$6:$G$405,$AP1572)&lt;&gt;"",INDEX(職員マスタ!$G$6:$G$405,$AP1572)&gt;EOMONTH($AQ1572,0)),AND(INDEX(職員マスタ!$H$6:$H$405,$AP1572)&lt;&gt;"",INDEX(職員マスタ!$H$6:$H$405,$AP1572)&lt;$AQ1572))),"対象月が時短期間外／","")&amp;IF(AND(INDEX(職員マスタ!$K$6:$K$405,$AP1572)&lt;&gt;"",N($W1572)&gt;0,INDEX(職員マスタ!$K$6:$K$405,$AP1572)&lt;&gt;$W1572),"標準報酬月額が申請書と相違（台帳"&amp;TEXT(INDEX(職員マスタ!$K$6:$K$405,$AP1572),"#,##0")&amp;"円／申請書"&amp;TEXT($W1572,"#,##0")&amp;"円）／","")&amp;IF(AND(INDEX(職員マスタ!$F$6:$F$405,$AP1572)&lt;&gt;"",$AQ1572&lt;&gt;"",INDEX(職員マスタ!$F$6:$F$405,$AP1572)&lt;$AQ1572),"対象月に子が2歳到達済／","")&amp;IF(AND($H1572&lt;&gt;"",INDEX(職員マスタ!$B$6:$B$405,$AP1572)&lt;&gt;"",SUBSTITUTE(SUBSTITUTE($H1572," ","")," ","")&lt;&gt;SUBSTITUTE(SUBSTITUTE(INDEX(職員マスタ!$B$6:$B$405,$AP1572)," ","")," ","")),"氏名がマスタと相違／","")&amp;IF(AND($Q1572&lt;&gt;"",INDEX(職員マスタ!$E$6:$E$405,$AP1572)&lt;&gt;"",$Q1572&lt;&gt;INDEX(職員マスタ!$E$6:$E$405,$AP1572)),"子の生年月日がマスタと相違／","")&amp;IF(AND($L1572&lt;&gt;"",INDEX(職員マスタ!$G$6:$G$405,$AP1572)&lt;&gt;"",$L1572&lt;&gt;INDEX(職員マスタ!$G$6:$G$405,$AP1572)),"時短開始日がマスタと相違／","")&amp;IF(AND($M1572&lt;&gt;"",INDEX(職員マスタ!$H$6:$H$405,$AP1572)&lt;&gt;"",$M1572&lt;&gt;INDEX(職員マスタ!$H$6:$H$405,$AP1572)),"時短終了日がマスタと相違／","")))&amp;IF(AND($B1572&lt;&gt;"",$E1572=""),"報酬額が未入力／","")&amp;IF(N($U1572)&gt;0,"申請書に入力エラーが残っています／","")&amp;IF(AND($B1572&lt;&gt;"",$AQ1572&lt;&gt;""),IF(COUNTIFS($B$6:$B$3005,$B1572,$C$6:$C$3005,$C1572,$D$6:$D$3005,$D1572)&gt;1,"同じ月の請求が重複しています／",""),"")&amp;IF(AND(N($E1572)&gt;0,$AB1572&lt;&gt;"",$AB1572&lt;&gt;"×",$AE1572=0,$AD1572=""),"計算額が下限以下のため不支給／",""))</f>
        <v/>
      </c>
      <c r="AN1572" s="12" t="n"/>
      <c r="AO1572" s="14">
        <f>IF($AF1572="保留中",COUNTIF($AF$6:$AF1572,"保留中"),"")</f>
        <v/>
      </c>
      <c r="AP1572" s="14">
        <f>IF($AQ1572="","",IF(SUMPRODUCT(MAX((職員マスタ!$A$6:$A$405=$B1572)*(((職員マスタ!$G$6:$G$405="")+(職員マスタ!$G$6:$G$405&lt;=EOMONTH($AQ1572,0)))&gt;0)*(((職員マスタ!$H$6:$H$405="")+(職員マスタ!$H$6:$H$405&gt;=$AQ1572))&gt;0)*(ROW(職員マスタ!$A$6:$A$405)-5)))&gt;0,SUMPRODUCT(MAX((職員マスタ!$A$6:$A$405=$B1572)*(((職員マスタ!$G$6:$G$405="")+(職員マスタ!$G$6:$G$405&lt;=EOMONTH($AQ1572,0)))&gt;0)*(((職員マスタ!$H$6:$H$405="")+(職員マスタ!$H$6:$H$405&gt;=$AQ1572))&gt;0)*(ROW(職員マスタ!$A$6:$A$405)-5))),IFERROR(MATCH($B1572,職員マスタ!$A$6:$A$405,0),"")))</f>
        <v/>
      </c>
      <c r="AQ1572" s="16">
        <f>IF(OR($B1572="",$C1572="",$D1572=""),"",DATE($C1572+2018,$D1572,1))</f>
        <v/>
      </c>
    </row>
    <row r="1573">
      <c r="A1573" s="11" t="n"/>
      <c r="B1573" s="12" t="n"/>
      <c r="C1573" s="12" t="n"/>
      <c r="D1573" s="12" t="n"/>
      <c r="E1573" s="13" t="n"/>
      <c r="F1573" s="12" t="n"/>
      <c r="G1573" s="13" t="n"/>
      <c r="H1573" s="12" t="n"/>
      <c r="I1573" s="12" t="n"/>
      <c r="J1573" s="12" t="n"/>
      <c r="K1573" s="12" t="n"/>
      <c r="L1573" s="11" t="n"/>
      <c r="M1573" s="11" t="n"/>
      <c r="N1573" s="11" t="n"/>
      <c r="O1573" s="11" t="n"/>
      <c r="P1573" s="12" t="n"/>
      <c r="Q1573" s="11" t="n"/>
      <c r="R1573" s="12" t="n"/>
      <c r="S1573" s="11" t="n"/>
      <c r="T1573" s="12" t="n"/>
      <c r="U1573" s="12" t="n"/>
      <c r="V1573" s="12" t="n"/>
      <c r="W1573" s="13" t="n"/>
      <c r="X1573" s="14">
        <f>IF($AP1573="",IF($B1573="","",$H1573),IF(INDEX(職員マスタ!$B$6:$B$405,$AP1573)="",$H1573,INDEX(職員マスタ!$B$6:$B$405,$AP1573)))</f>
        <v/>
      </c>
      <c r="Y1573" s="14">
        <f>IF($AP1573="",IF($B1573="","",$R1573),IF(INDEX(職員マスタ!$C$6:$C$405,$AP1573)="",$R1573,INDEX(職員マスタ!$C$6:$C$405,$AP1573)))</f>
        <v/>
      </c>
      <c r="Z1573" s="14">
        <f>IF($AQ1573="","","R"&amp;$C1573&amp;"."&amp;$D1573)</f>
        <v/>
      </c>
      <c r="AA1573" s="15">
        <f>IF(IF($AP1573="",FALSE,INDEX(職員マスタ!$K$6:$K$405,$AP1573)&lt;&gt;""),INDEX(職員マスタ!$K$6:$K$405,$AP1573),IF(N($W1573)&gt;0,$W1573,""))</f>
        <v/>
      </c>
      <c r="AB1573" s="14">
        <f>IF(OR($E1573="",$AA1573=""),"",IF($E1573&gt;=$AA1573,"×",IF($E1573&gt;=$AA1573*設定!$C$5,"△","○")))</f>
        <v/>
      </c>
      <c r="AC1573" s="15">
        <f>IF($AB1573="","",IF($AB1573="×",0,IF($AB1573="○",ROUNDDOWN($E1573*設定!$C$4,0),ROUNDDOWN($E1573*ROUND((9*$AA1573-9*$E1573)/(10*$E1573),4),0))))</f>
        <v/>
      </c>
      <c r="AD1573" s="13" t="n"/>
      <c r="AE1573" s="15">
        <f>IF($B1573="","",IF($AD1573&lt;&gt;"",$AD1573,IF($AC1573="","",IF($AC1573&lt;=設定!$C$3,0,$AC1573))))</f>
        <v/>
      </c>
      <c r="AF1573" s="14">
        <f>IF($B1573="","",IF(AND($AG1573&lt;&gt;"",$AI1573="",$AL1573=""),"保留中",IF($AL1573&lt;&gt;"",IF(N($AE1573)&gt;0,"支給済","不支給"),IF($AE1573="","要確認",IF($AE1573=0,"不支給","未処理")))))</f>
        <v/>
      </c>
      <c r="AG1573" s="12" t="n"/>
      <c r="AH1573" s="11" t="n"/>
      <c r="AI1573" s="11" t="n"/>
      <c r="AJ1573" s="11" t="n"/>
      <c r="AK1573" s="14">
        <f>IF(AND($AF1573="保留中",$AH1573&lt;&gt;""),TODAY()-$AH1573,"")</f>
        <v/>
      </c>
      <c r="AL1573" s="12" t="n"/>
      <c r="AM1573" s="14">
        <f>IF($B1573="","",IF($AQ1573="","対象年月が未入力／","")&amp;IF($B1573="","",IF($AP1573="","職員マスタに未登録の職員番号／",IF($AA1573="","標準報酬月額が未登録／","")&amp;IF(AND($AQ1573&lt;&gt;"",OR(AND(INDEX(職員マスタ!$G$6:$G$405,$AP1573)&lt;&gt;"",INDEX(職員マスタ!$G$6:$G$405,$AP1573)&gt;EOMONTH($AQ1573,0)),AND(INDEX(職員マスタ!$H$6:$H$405,$AP1573)&lt;&gt;"",INDEX(職員マスタ!$H$6:$H$405,$AP1573)&lt;$AQ1573))),"対象月が時短期間外／","")&amp;IF(AND(INDEX(職員マスタ!$K$6:$K$405,$AP1573)&lt;&gt;"",N($W1573)&gt;0,INDEX(職員マスタ!$K$6:$K$405,$AP1573)&lt;&gt;$W1573),"標準報酬月額が申請書と相違（台帳"&amp;TEXT(INDEX(職員マスタ!$K$6:$K$405,$AP1573),"#,##0")&amp;"円／申請書"&amp;TEXT($W1573,"#,##0")&amp;"円）／","")&amp;IF(AND(INDEX(職員マスタ!$F$6:$F$405,$AP1573)&lt;&gt;"",$AQ1573&lt;&gt;"",INDEX(職員マスタ!$F$6:$F$405,$AP1573)&lt;$AQ1573),"対象月に子が2歳到達済／","")&amp;IF(AND($H1573&lt;&gt;"",INDEX(職員マスタ!$B$6:$B$405,$AP1573)&lt;&gt;"",SUBSTITUTE(SUBSTITUTE($H1573," ","")," ","")&lt;&gt;SUBSTITUTE(SUBSTITUTE(INDEX(職員マスタ!$B$6:$B$405,$AP1573)," ","")," ","")),"氏名がマスタと相違／","")&amp;IF(AND($Q1573&lt;&gt;"",INDEX(職員マスタ!$E$6:$E$405,$AP1573)&lt;&gt;"",$Q1573&lt;&gt;INDEX(職員マスタ!$E$6:$E$405,$AP1573)),"子の生年月日がマスタと相違／","")&amp;IF(AND($L1573&lt;&gt;"",INDEX(職員マスタ!$G$6:$G$405,$AP1573)&lt;&gt;"",$L1573&lt;&gt;INDEX(職員マスタ!$G$6:$G$405,$AP1573)),"時短開始日がマスタと相違／","")&amp;IF(AND($M1573&lt;&gt;"",INDEX(職員マスタ!$H$6:$H$405,$AP1573)&lt;&gt;"",$M1573&lt;&gt;INDEX(職員マスタ!$H$6:$H$405,$AP1573)),"時短終了日がマスタと相違／","")))&amp;IF(AND($B1573&lt;&gt;"",$E1573=""),"報酬額が未入力／","")&amp;IF(N($U1573)&gt;0,"申請書に入力エラーが残っています／","")&amp;IF(AND($B1573&lt;&gt;"",$AQ1573&lt;&gt;""),IF(COUNTIFS($B$6:$B$3005,$B1573,$C$6:$C$3005,$C1573,$D$6:$D$3005,$D1573)&gt;1,"同じ月の請求が重複しています／",""),"")&amp;IF(AND(N($E1573)&gt;0,$AB1573&lt;&gt;"",$AB1573&lt;&gt;"×",$AE1573=0,$AD1573=""),"計算額が下限以下のため不支給／",""))</f>
        <v/>
      </c>
      <c r="AN1573" s="12" t="n"/>
      <c r="AO1573" s="14">
        <f>IF($AF1573="保留中",COUNTIF($AF$6:$AF1573,"保留中"),"")</f>
        <v/>
      </c>
      <c r="AP1573" s="14">
        <f>IF($AQ1573="","",IF(SUMPRODUCT(MAX((職員マスタ!$A$6:$A$405=$B1573)*(((職員マスタ!$G$6:$G$405="")+(職員マスタ!$G$6:$G$405&lt;=EOMONTH($AQ1573,0)))&gt;0)*(((職員マスタ!$H$6:$H$405="")+(職員マスタ!$H$6:$H$405&gt;=$AQ1573))&gt;0)*(ROW(職員マスタ!$A$6:$A$405)-5)))&gt;0,SUMPRODUCT(MAX((職員マスタ!$A$6:$A$405=$B1573)*(((職員マスタ!$G$6:$G$405="")+(職員マスタ!$G$6:$G$405&lt;=EOMONTH($AQ1573,0)))&gt;0)*(((職員マスタ!$H$6:$H$405="")+(職員マスタ!$H$6:$H$405&gt;=$AQ1573))&gt;0)*(ROW(職員マスタ!$A$6:$A$405)-5))),IFERROR(MATCH($B1573,職員マスタ!$A$6:$A$405,0),"")))</f>
        <v/>
      </c>
      <c r="AQ1573" s="16">
        <f>IF(OR($B1573="",$C1573="",$D1573=""),"",DATE($C1573+2018,$D1573,1))</f>
        <v/>
      </c>
    </row>
    <row r="1574">
      <c r="A1574" s="11" t="n"/>
      <c r="B1574" s="12" t="n"/>
      <c r="C1574" s="12" t="n"/>
      <c r="D1574" s="12" t="n"/>
      <c r="E1574" s="13" t="n"/>
      <c r="F1574" s="12" t="n"/>
      <c r="G1574" s="13" t="n"/>
      <c r="H1574" s="12" t="n"/>
      <c r="I1574" s="12" t="n"/>
      <c r="J1574" s="12" t="n"/>
      <c r="K1574" s="12" t="n"/>
      <c r="L1574" s="11" t="n"/>
      <c r="M1574" s="11" t="n"/>
      <c r="N1574" s="11" t="n"/>
      <c r="O1574" s="11" t="n"/>
      <c r="P1574" s="12" t="n"/>
      <c r="Q1574" s="11" t="n"/>
      <c r="R1574" s="12" t="n"/>
      <c r="S1574" s="11" t="n"/>
      <c r="T1574" s="12" t="n"/>
      <c r="U1574" s="12" t="n"/>
      <c r="V1574" s="12" t="n"/>
      <c r="W1574" s="13" t="n"/>
      <c r="X1574" s="14">
        <f>IF($AP1574="",IF($B1574="","",$H1574),IF(INDEX(職員マスタ!$B$6:$B$405,$AP1574)="",$H1574,INDEX(職員マスタ!$B$6:$B$405,$AP1574)))</f>
        <v/>
      </c>
      <c r="Y1574" s="14">
        <f>IF($AP1574="",IF($B1574="","",$R1574),IF(INDEX(職員マスタ!$C$6:$C$405,$AP1574)="",$R1574,INDEX(職員マスタ!$C$6:$C$405,$AP1574)))</f>
        <v/>
      </c>
      <c r="Z1574" s="14">
        <f>IF($AQ1574="","","R"&amp;$C1574&amp;"."&amp;$D1574)</f>
        <v/>
      </c>
      <c r="AA1574" s="15">
        <f>IF(IF($AP1574="",FALSE,INDEX(職員マスタ!$K$6:$K$405,$AP1574)&lt;&gt;""),INDEX(職員マスタ!$K$6:$K$405,$AP1574),IF(N($W1574)&gt;0,$W1574,""))</f>
        <v/>
      </c>
      <c r="AB1574" s="14">
        <f>IF(OR($E1574="",$AA1574=""),"",IF($E1574&gt;=$AA1574,"×",IF($E1574&gt;=$AA1574*設定!$C$5,"△","○")))</f>
        <v/>
      </c>
      <c r="AC1574" s="15">
        <f>IF($AB1574="","",IF($AB1574="×",0,IF($AB1574="○",ROUNDDOWN($E1574*設定!$C$4,0),ROUNDDOWN($E1574*ROUND((9*$AA1574-9*$E1574)/(10*$E1574),4),0))))</f>
        <v/>
      </c>
      <c r="AD1574" s="13" t="n"/>
      <c r="AE1574" s="15">
        <f>IF($B1574="","",IF($AD1574&lt;&gt;"",$AD1574,IF($AC1574="","",IF($AC1574&lt;=設定!$C$3,0,$AC1574))))</f>
        <v/>
      </c>
      <c r="AF1574" s="14">
        <f>IF($B1574="","",IF(AND($AG1574&lt;&gt;"",$AI1574="",$AL1574=""),"保留中",IF($AL1574&lt;&gt;"",IF(N($AE1574)&gt;0,"支給済","不支給"),IF($AE1574="","要確認",IF($AE1574=0,"不支給","未処理")))))</f>
        <v/>
      </c>
      <c r="AG1574" s="12" t="n"/>
      <c r="AH1574" s="11" t="n"/>
      <c r="AI1574" s="11" t="n"/>
      <c r="AJ1574" s="11" t="n"/>
      <c r="AK1574" s="14">
        <f>IF(AND($AF1574="保留中",$AH1574&lt;&gt;""),TODAY()-$AH1574,"")</f>
        <v/>
      </c>
      <c r="AL1574" s="12" t="n"/>
      <c r="AM1574" s="14">
        <f>IF($B1574="","",IF($AQ1574="","対象年月が未入力／","")&amp;IF($B1574="","",IF($AP1574="","職員マスタに未登録の職員番号／",IF($AA1574="","標準報酬月額が未登録／","")&amp;IF(AND($AQ1574&lt;&gt;"",OR(AND(INDEX(職員マスタ!$G$6:$G$405,$AP1574)&lt;&gt;"",INDEX(職員マスタ!$G$6:$G$405,$AP1574)&gt;EOMONTH($AQ1574,0)),AND(INDEX(職員マスタ!$H$6:$H$405,$AP1574)&lt;&gt;"",INDEX(職員マスタ!$H$6:$H$405,$AP1574)&lt;$AQ1574))),"対象月が時短期間外／","")&amp;IF(AND(INDEX(職員マスタ!$K$6:$K$405,$AP1574)&lt;&gt;"",N($W1574)&gt;0,INDEX(職員マスタ!$K$6:$K$405,$AP1574)&lt;&gt;$W1574),"標準報酬月額が申請書と相違（台帳"&amp;TEXT(INDEX(職員マスタ!$K$6:$K$405,$AP1574),"#,##0")&amp;"円／申請書"&amp;TEXT($W1574,"#,##0")&amp;"円）／","")&amp;IF(AND(INDEX(職員マスタ!$F$6:$F$405,$AP1574)&lt;&gt;"",$AQ1574&lt;&gt;"",INDEX(職員マスタ!$F$6:$F$405,$AP1574)&lt;$AQ1574),"対象月に子が2歳到達済／","")&amp;IF(AND($H1574&lt;&gt;"",INDEX(職員マスタ!$B$6:$B$405,$AP1574)&lt;&gt;"",SUBSTITUTE(SUBSTITUTE($H1574," ","")," ","")&lt;&gt;SUBSTITUTE(SUBSTITUTE(INDEX(職員マスタ!$B$6:$B$405,$AP1574)," ","")," ","")),"氏名がマスタと相違／","")&amp;IF(AND($Q1574&lt;&gt;"",INDEX(職員マスタ!$E$6:$E$405,$AP1574)&lt;&gt;"",$Q1574&lt;&gt;INDEX(職員マスタ!$E$6:$E$405,$AP1574)),"子の生年月日がマスタと相違／","")&amp;IF(AND($L1574&lt;&gt;"",INDEX(職員マスタ!$G$6:$G$405,$AP1574)&lt;&gt;"",$L1574&lt;&gt;INDEX(職員マスタ!$G$6:$G$405,$AP1574)),"時短開始日がマスタと相違／","")&amp;IF(AND($M1574&lt;&gt;"",INDEX(職員マスタ!$H$6:$H$405,$AP1574)&lt;&gt;"",$M1574&lt;&gt;INDEX(職員マスタ!$H$6:$H$405,$AP1574)),"時短終了日がマスタと相違／","")))&amp;IF(AND($B1574&lt;&gt;"",$E1574=""),"報酬額が未入力／","")&amp;IF(N($U1574)&gt;0,"申請書に入力エラーが残っています／","")&amp;IF(AND($B1574&lt;&gt;"",$AQ1574&lt;&gt;""),IF(COUNTIFS($B$6:$B$3005,$B1574,$C$6:$C$3005,$C1574,$D$6:$D$3005,$D1574)&gt;1,"同じ月の請求が重複しています／",""),"")&amp;IF(AND(N($E1574)&gt;0,$AB1574&lt;&gt;"",$AB1574&lt;&gt;"×",$AE1574=0,$AD1574=""),"計算額が下限以下のため不支給／",""))</f>
        <v/>
      </c>
      <c r="AN1574" s="12" t="n"/>
      <c r="AO1574" s="14">
        <f>IF($AF1574="保留中",COUNTIF($AF$6:$AF1574,"保留中"),"")</f>
        <v/>
      </c>
      <c r="AP1574" s="14">
        <f>IF($AQ1574="","",IF(SUMPRODUCT(MAX((職員マスタ!$A$6:$A$405=$B1574)*(((職員マスタ!$G$6:$G$405="")+(職員マスタ!$G$6:$G$405&lt;=EOMONTH($AQ1574,0)))&gt;0)*(((職員マスタ!$H$6:$H$405="")+(職員マスタ!$H$6:$H$405&gt;=$AQ1574))&gt;0)*(ROW(職員マスタ!$A$6:$A$405)-5)))&gt;0,SUMPRODUCT(MAX((職員マスタ!$A$6:$A$405=$B1574)*(((職員マスタ!$G$6:$G$405="")+(職員マスタ!$G$6:$G$405&lt;=EOMONTH($AQ1574,0)))&gt;0)*(((職員マスタ!$H$6:$H$405="")+(職員マスタ!$H$6:$H$405&gt;=$AQ1574))&gt;0)*(ROW(職員マスタ!$A$6:$A$405)-5))),IFERROR(MATCH($B1574,職員マスタ!$A$6:$A$405,0),"")))</f>
        <v/>
      </c>
      <c r="AQ1574" s="16">
        <f>IF(OR($B1574="",$C1574="",$D1574=""),"",DATE($C1574+2018,$D1574,1))</f>
        <v/>
      </c>
    </row>
    <row r="1575">
      <c r="A1575" s="11" t="n"/>
      <c r="B1575" s="12" t="n"/>
      <c r="C1575" s="12" t="n"/>
      <c r="D1575" s="12" t="n"/>
      <c r="E1575" s="13" t="n"/>
      <c r="F1575" s="12" t="n"/>
      <c r="G1575" s="13" t="n"/>
      <c r="H1575" s="12" t="n"/>
      <c r="I1575" s="12" t="n"/>
      <c r="J1575" s="12" t="n"/>
      <c r="K1575" s="12" t="n"/>
      <c r="L1575" s="11" t="n"/>
      <c r="M1575" s="11" t="n"/>
      <c r="N1575" s="11" t="n"/>
      <c r="O1575" s="11" t="n"/>
      <c r="P1575" s="12" t="n"/>
      <c r="Q1575" s="11" t="n"/>
      <c r="R1575" s="12" t="n"/>
      <c r="S1575" s="11" t="n"/>
      <c r="T1575" s="12" t="n"/>
      <c r="U1575" s="12" t="n"/>
      <c r="V1575" s="12" t="n"/>
      <c r="W1575" s="13" t="n"/>
      <c r="X1575" s="14">
        <f>IF($AP1575="",IF($B1575="","",$H1575),IF(INDEX(職員マスタ!$B$6:$B$405,$AP1575)="",$H1575,INDEX(職員マスタ!$B$6:$B$405,$AP1575)))</f>
        <v/>
      </c>
      <c r="Y1575" s="14">
        <f>IF($AP1575="",IF($B1575="","",$R1575),IF(INDEX(職員マスタ!$C$6:$C$405,$AP1575)="",$R1575,INDEX(職員マスタ!$C$6:$C$405,$AP1575)))</f>
        <v/>
      </c>
      <c r="Z1575" s="14">
        <f>IF($AQ1575="","","R"&amp;$C1575&amp;"."&amp;$D1575)</f>
        <v/>
      </c>
      <c r="AA1575" s="15">
        <f>IF(IF($AP1575="",FALSE,INDEX(職員マスタ!$K$6:$K$405,$AP1575)&lt;&gt;""),INDEX(職員マスタ!$K$6:$K$405,$AP1575),IF(N($W1575)&gt;0,$W1575,""))</f>
        <v/>
      </c>
      <c r="AB1575" s="14">
        <f>IF(OR($E1575="",$AA1575=""),"",IF($E1575&gt;=$AA1575,"×",IF($E1575&gt;=$AA1575*設定!$C$5,"△","○")))</f>
        <v/>
      </c>
      <c r="AC1575" s="15">
        <f>IF($AB1575="","",IF($AB1575="×",0,IF($AB1575="○",ROUNDDOWN($E1575*設定!$C$4,0),ROUNDDOWN($E1575*ROUND((9*$AA1575-9*$E1575)/(10*$E1575),4),0))))</f>
        <v/>
      </c>
      <c r="AD1575" s="13" t="n"/>
      <c r="AE1575" s="15">
        <f>IF($B1575="","",IF($AD1575&lt;&gt;"",$AD1575,IF($AC1575="","",IF($AC1575&lt;=設定!$C$3,0,$AC1575))))</f>
        <v/>
      </c>
      <c r="AF1575" s="14">
        <f>IF($B1575="","",IF(AND($AG1575&lt;&gt;"",$AI1575="",$AL1575=""),"保留中",IF($AL1575&lt;&gt;"",IF(N($AE1575)&gt;0,"支給済","不支給"),IF($AE1575="","要確認",IF($AE1575=0,"不支給","未処理")))))</f>
        <v/>
      </c>
      <c r="AG1575" s="12" t="n"/>
      <c r="AH1575" s="11" t="n"/>
      <c r="AI1575" s="11" t="n"/>
      <c r="AJ1575" s="11" t="n"/>
      <c r="AK1575" s="14">
        <f>IF(AND($AF1575="保留中",$AH1575&lt;&gt;""),TODAY()-$AH1575,"")</f>
        <v/>
      </c>
      <c r="AL1575" s="12" t="n"/>
      <c r="AM1575" s="14">
        <f>IF($B1575="","",IF($AQ1575="","対象年月が未入力／","")&amp;IF($B1575="","",IF($AP1575="","職員マスタに未登録の職員番号／",IF($AA1575="","標準報酬月額が未登録／","")&amp;IF(AND($AQ1575&lt;&gt;"",OR(AND(INDEX(職員マスタ!$G$6:$G$405,$AP1575)&lt;&gt;"",INDEX(職員マスタ!$G$6:$G$405,$AP1575)&gt;EOMONTH($AQ1575,0)),AND(INDEX(職員マスタ!$H$6:$H$405,$AP1575)&lt;&gt;"",INDEX(職員マスタ!$H$6:$H$405,$AP1575)&lt;$AQ1575))),"対象月が時短期間外／","")&amp;IF(AND(INDEX(職員マスタ!$K$6:$K$405,$AP1575)&lt;&gt;"",N($W1575)&gt;0,INDEX(職員マスタ!$K$6:$K$405,$AP1575)&lt;&gt;$W1575),"標準報酬月額が申請書と相違（台帳"&amp;TEXT(INDEX(職員マスタ!$K$6:$K$405,$AP1575),"#,##0")&amp;"円／申請書"&amp;TEXT($W1575,"#,##0")&amp;"円）／","")&amp;IF(AND(INDEX(職員マスタ!$F$6:$F$405,$AP1575)&lt;&gt;"",$AQ1575&lt;&gt;"",INDEX(職員マスタ!$F$6:$F$405,$AP1575)&lt;$AQ1575),"対象月に子が2歳到達済／","")&amp;IF(AND($H1575&lt;&gt;"",INDEX(職員マスタ!$B$6:$B$405,$AP1575)&lt;&gt;"",SUBSTITUTE(SUBSTITUTE($H1575," ","")," ","")&lt;&gt;SUBSTITUTE(SUBSTITUTE(INDEX(職員マスタ!$B$6:$B$405,$AP1575)," ","")," ","")),"氏名がマスタと相違／","")&amp;IF(AND($Q1575&lt;&gt;"",INDEX(職員マスタ!$E$6:$E$405,$AP1575)&lt;&gt;"",$Q1575&lt;&gt;INDEX(職員マスタ!$E$6:$E$405,$AP1575)),"子の生年月日がマスタと相違／","")&amp;IF(AND($L1575&lt;&gt;"",INDEX(職員マスタ!$G$6:$G$405,$AP1575)&lt;&gt;"",$L1575&lt;&gt;INDEX(職員マスタ!$G$6:$G$405,$AP1575)),"時短開始日がマスタと相違／","")&amp;IF(AND($M1575&lt;&gt;"",INDEX(職員マスタ!$H$6:$H$405,$AP1575)&lt;&gt;"",$M1575&lt;&gt;INDEX(職員マスタ!$H$6:$H$405,$AP1575)),"時短終了日がマスタと相違／","")))&amp;IF(AND($B1575&lt;&gt;"",$E1575=""),"報酬額が未入力／","")&amp;IF(N($U1575)&gt;0,"申請書に入力エラーが残っています／","")&amp;IF(AND($B1575&lt;&gt;"",$AQ1575&lt;&gt;""),IF(COUNTIFS($B$6:$B$3005,$B1575,$C$6:$C$3005,$C1575,$D$6:$D$3005,$D1575)&gt;1,"同じ月の請求が重複しています／",""),"")&amp;IF(AND(N($E1575)&gt;0,$AB1575&lt;&gt;"",$AB1575&lt;&gt;"×",$AE1575=0,$AD1575=""),"計算額が下限以下のため不支給／",""))</f>
        <v/>
      </c>
      <c r="AN1575" s="12" t="n"/>
      <c r="AO1575" s="14">
        <f>IF($AF1575="保留中",COUNTIF($AF$6:$AF1575,"保留中"),"")</f>
        <v/>
      </c>
      <c r="AP1575" s="14">
        <f>IF($AQ1575="","",IF(SUMPRODUCT(MAX((職員マスタ!$A$6:$A$405=$B1575)*(((職員マスタ!$G$6:$G$405="")+(職員マスタ!$G$6:$G$405&lt;=EOMONTH($AQ1575,0)))&gt;0)*(((職員マスタ!$H$6:$H$405="")+(職員マスタ!$H$6:$H$405&gt;=$AQ1575))&gt;0)*(ROW(職員マスタ!$A$6:$A$405)-5)))&gt;0,SUMPRODUCT(MAX((職員マスタ!$A$6:$A$405=$B1575)*(((職員マスタ!$G$6:$G$405="")+(職員マスタ!$G$6:$G$405&lt;=EOMONTH($AQ1575,0)))&gt;0)*(((職員マスタ!$H$6:$H$405="")+(職員マスタ!$H$6:$H$405&gt;=$AQ1575))&gt;0)*(ROW(職員マスタ!$A$6:$A$405)-5))),IFERROR(MATCH($B1575,職員マスタ!$A$6:$A$405,0),"")))</f>
        <v/>
      </c>
      <c r="AQ1575" s="16">
        <f>IF(OR($B1575="",$C1575="",$D1575=""),"",DATE($C1575+2018,$D1575,1))</f>
        <v/>
      </c>
    </row>
    <row r="1576">
      <c r="A1576" s="11" t="n"/>
      <c r="B1576" s="12" t="n"/>
      <c r="C1576" s="12" t="n"/>
      <c r="D1576" s="12" t="n"/>
      <c r="E1576" s="13" t="n"/>
      <c r="F1576" s="12" t="n"/>
      <c r="G1576" s="13" t="n"/>
      <c r="H1576" s="12" t="n"/>
      <c r="I1576" s="12" t="n"/>
      <c r="J1576" s="12" t="n"/>
      <c r="K1576" s="12" t="n"/>
      <c r="L1576" s="11" t="n"/>
      <c r="M1576" s="11" t="n"/>
      <c r="N1576" s="11" t="n"/>
      <c r="O1576" s="11" t="n"/>
      <c r="P1576" s="12" t="n"/>
      <c r="Q1576" s="11" t="n"/>
      <c r="R1576" s="12" t="n"/>
      <c r="S1576" s="11" t="n"/>
      <c r="T1576" s="12" t="n"/>
      <c r="U1576" s="12" t="n"/>
      <c r="V1576" s="12" t="n"/>
      <c r="W1576" s="13" t="n"/>
      <c r="X1576" s="14">
        <f>IF($AP1576="",IF($B1576="","",$H1576),IF(INDEX(職員マスタ!$B$6:$B$405,$AP1576)="",$H1576,INDEX(職員マスタ!$B$6:$B$405,$AP1576)))</f>
        <v/>
      </c>
      <c r="Y1576" s="14">
        <f>IF($AP1576="",IF($B1576="","",$R1576),IF(INDEX(職員マスタ!$C$6:$C$405,$AP1576)="",$R1576,INDEX(職員マスタ!$C$6:$C$405,$AP1576)))</f>
        <v/>
      </c>
      <c r="Z1576" s="14">
        <f>IF($AQ1576="","","R"&amp;$C1576&amp;"."&amp;$D1576)</f>
        <v/>
      </c>
      <c r="AA1576" s="15">
        <f>IF(IF($AP1576="",FALSE,INDEX(職員マスタ!$K$6:$K$405,$AP1576)&lt;&gt;""),INDEX(職員マスタ!$K$6:$K$405,$AP1576),IF(N($W1576)&gt;0,$W1576,""))</f>
        <v/>
      </c>
      <c r="AB1576" s="14">
        <f>IF(OR($E1576="",$AA1576=""),"",IF($E1576&gt;=$AA1576,"×",IF($E1576&gt;=$AA1576*設定!$C$5,"△","○")))</f>
        <v/>
      </c>
      <c r="AC1576" s="15">
        <f>IF($AB1576="","",IF($AB1576="×",0,IF($AB1576="○",ROUNDDOWN($E1576*設定!$C$4,0),ROUNDDOWN($E1576*ROUND((9*$AA1576-9*$E1576)/(10*$E1576),4),0))))</f>
        <v/>
      </c>
      <c r="AD1576" s="13" t="n"/>
      <c r="AE1576" s="15">
        <f>IF($B1576="","",IF($AD1576&lt;&gt;"",$AD1576,IF($AC1576="","",IF($AC1576&lt;=設定!$C$3,0,$AC1576))))</f>
        <v/>
      </c>
      <c r="AF1576" s="14">
        <f>IF($B1576="","",IF(AND($AG1576&lt;&gt;"",$AI1576="",$AL1576=""),"保留中",IF($AL1576&lt;&gt;"",IF(N($AE1576)&gt;0,"支給済","不支給"),IF($AE1576="","要確認",IF($AE1576=0,"不支給","未処理")))))</f>
        <v/>
      </c>
      <c r="AG1576" s="12" t="n"/>
      <c r="AH1576" s="11" t="n"/>
      <c r="AI1576" s="11" t="n"/>
      <c r="AJ1576" s="11" t="n"/>
      <c r="AK1576" s="14">
        <f>IF(AND($AF1576="保留中",$AH1576&lt;&gt;""),TODAY()-$AH1576,"")</f>
        <v/>
      </c>
      <c r="AL1576" s="12" t="n"/>
      <c r="AM1576" s="14">
        <f>IF($B1576="","",IF($AQ1576="","対象年月が未入力／","")&amp;IF($B1576="","",IF($AP1576="","職員マスタに未登録の職員番号／",IF($AA1576="","標準報酬月額が未登録／","")&amp;IF(AND($AQ1576&lt;&gt;"",OR(AND(INDEX(職員マスタ!$G$6:$G$405,$AP1576)&lt;&gt;"",INDEX(職員マスタ!$G$6:$G$405,$AP1576)&gt;EOMONTH($AQ1576,0)),AND(INDEX(職員マスタ!$H$6:$H$405,$AP1576)&lt;&gt;"",INDEX(職員マスタ!$H$6:$H$405,$AP1576)&lt;$AQ1576))),"対象月が時短期間外／","")&amp;IF(AND(INDEX(職員マスタ!$K$6:$K$405,$AP1576)&lt;&gt;"",N($W1576)&gt;0,INDEX(職員マスタ!$K$6:$K$405,$AP1576)&lt;&gt;$W1576),"標準報酬月額が申請書と相違（台帳"&amp;TEXT(INDEX(職員マスタ!$K$6:$K$405,$AP1576),"#,##0")&amp;"円／申請書"&amp;TEXT($W1576,"#,##0")&amp;"円）／","")&amp;IF(AND(INDEX(職員マスタ!$F$6:$F$405,$AP1576)&lt;&gt;"",$AQ1576&lt;&gt;"",INDEX(職員マスタ!$F$6:$F$405,$AP1576)&lt;$AQ1576),"対象月に子が2歳到達済／","")&amp;IF(AND($H1576&lt;&gt;"",INDEX(職員マスタ!$B$6:$B$405,$AP1576)&lt;&gt;"",SUBSTITUTE(SUBSTITUTE($H1576," ","")," ","")&lt;&gt;SUBSTITUTE(SUBSTITUTE(INDEX(職員マスタ!$B$6:$B$405,$AP1576)," ","")," ","")),"氏名がマスタと相違／","")&amp;IF(AND($Q1576&lt;&gt;"",INDEX(職員マスタ!$E$6:$E$405,$AP1576)&lt;&gt;"",$Q1576&lt;&gt;INDEX(職員マスタ!$E$6:$E$405,$AP1576)),"子の生年月日がマスタと相違／","")&amp;IF(AND($L1576&lt;&gt;"",INDEX(職員マスタ!$G$6:$G$405,$AP1576)&lt;&gt;"",$L1576&lt;&gt;INDEX(職員マスタ!$G$6:$G$405,$AP1576)),"時短開始日がマスタと相違／","")&amp;IF(AND($M1576&lt;&gt;"",INDEX(職員マスタ!$H$6:$H$405,$AP1576)&lt;&gt;"",$M1576&lt;&gt;INDEX(職員マスタ!$H$6:$H$405,$AP1576)),"時短終了日がマスタと相違／","")))&amp;IF(AND($B1576&lt;&gt;"",$E1576=""),"報酬額が未入力／","")&amp;IF(N($U1576)&gt;0,"申請書に入力エラーが残っています／","")&amp;IF(AND($B1576&lt;&gt;"",$AQ1576&lt;&gt;""),IF(COUNTIFS($B$6:$B$3005,$B1576,$C$6:$C$3005,$C1576,$D$6:$D$3005,$D1576)&gt;1,"同じ月の請求が重複しています／",""),"")&amp;IF(AND(N($E1576)&gt;0,$AB1576&lt;&gt;"",$AB1576&lt;&gt;"×",$AE1576=0,$AD1576=""),"計算額が下限以下のため不支給／",""))</f>
        <v/>
      </c>
      <c r="AN1576" s="12" t="n"/>
      <c r="AO1576" s="14">
        <f>IF($AF1576="保留中",COUNTIF($AF$6:$AF1576,"保留中"),"")</f>
        <v/>
      </c>
      <c r="AP1576" s="14">
        <f>IF($AQ1576="","",IF(SUMPRODUCT(MAX((職員マスタ!$A$6:$A$405=$B1576)*(((職員マスタ!$G$6:$G$405="")+(職員マスタ!$G$6:$G$405&lt;=EOMONTH($AQ1576,0)))&gt;0)*(((職員マスタ!$H$6:$H$405="")+(職員マスタ!$H$6:$H$405&gt;=$AQ1576))&gt;0)*(ROW(職員マスタ!$A$6:$A$405)-5)))&gt;0,SUMPRODUCT(MAX((職員マスタ!$A$6:$A$405=$B1576)*(((職員マスタ!$G$6:$G$405="")+(職員マスタ!$G$6:$G$405&lt;=EOMONTH($AQ1576,0)))&gt;0)*(((職員マスタ!$H$6:$H$405="")+(職員マスタ!$H$6:$H$405&gt;=$AQ1576))&gt;0)*(ROW(職員マスタ!$A$6:$A$405)-5))),IFERROR(MATCH($B1576,職員マスタ!$A$6:$A$405,0),"")))</f>
        <v/>
      </c>
      <c r="AQ1576" s="16">
        <f>IF(OR($B1576="",$C1576="",$D1576=""),"",DATE($C1576+2018,$D1576,1))</f>
        <v/>
      </c>
    </row>
    <row r="1577">
      <c r="A1577" s="11" t="n"/>
      <c r="B1577" s="12" t="n"/>
      <c r="C1577" s="12" t="n"/>
      <c r="D1577" s="12" t="n"/>
      <c r="E1577" s="13" t="n"/>
      <c r="F1577" s="12" t="n"/>
      <c r="G1577" s="13" t="n"/>
      <c r="H1577" s="12" t="n"/>
      <c r="I1577" s="12" t="n"/>
      <c r="J1577" s="12" t="n"/>
      <c r="K1577" s="12" t="n"/>
      <c r="L1577" s="11" t="n"/>
      <c r="M1577" s="11" t="n"/>
      <c r="N1577" s="11" t="n"/>
      <c r="O1577" s="11" t="n"/>
      <c r="P1577" s="12" t="n"/>
      <c r="Q1577" s="11" t="n"/>
      <c r="R1577" s="12" t="n"/>
      <c r="S1577" s="11" t="n"/>
      <c r="T1577" s="12" t="n"/>
      <c r="U1577" s="12" t="n"/>
      <c r="V1577" s="12" t="n"/>
      <c r="W1577" s="13" t="n"/>
      <c r="X1577" s="14">
        <f>IF($AP1577="",IF($B1577="","",$H1577),IF(INDEX(職員マスタ!$B$6:$B$405,$AP1577)="",$H1577,INDEX(職員マスタ!$B$6:$B$405,$AP1577)))</f>
        <v/>
      </c>
      <c r="Y1577" s="14">
        <f>IF($AP1577="",IF($B1577="","",$R1577),IF(INDEX(職員マスタ!$C$6:$C$405,$AP1577)="",$R1577,INDEX(職員マスタ!$C$6:$C$405,$AP1577)))</f>
        <v/>
      </c>
      <c r="Z1577" s="14">
        <f>IF($AQ1577="","","R"&amp;$C1577&amp;"."&amp;$D1577)</f>
        <v/>
      </c>
      <c r="AA1577" s="15">
        <f>IF(IF($AP1577="",FALSE,INDEX(職員マスタ!$K$6:$K$405,$AP1577)&lt;&gt;""),INDEX(職員マスタ!$K$6:$K$405,$AP1577),IF(N($W1577)&gt;0,$W1577,""))</f>
        <v/>
      </c>
      <c r="AB1577" s="14">
        <f>IF(OR($E1577="",$AA1577=""),"",IF($E1577&gt;=$AA1577,"×",IF($E1577&gt;=$AA1577*設定!$C$5,"△","○")))</f>
        <v/>
      </c>
      <c r="AC1577" s="15">
        <f>IF($AB1577="","",IF($AB1577="×",0,IF($AB1577="○",ROUNDDOWN($E1577*設定!$C$4,0),ROUNDDOWN($E1577*ROUND((9*$AA1577-9*$E1577)/(10*$E1577),4),0))))</f>
        <v/>
      </c>
      <c r="AD1577" s="13" t="n"/>
      <c r="AE1577" s="15">
        <f>IF($B1577="","",IF($AD1577&lt;&gt;"",$AD1577,IF($AC1577="","",IF($AC1577&lt;=設定!$C$3,0,$AC1577))))</f>
        <v/>
      </c>
      <c r="AF1577" s="14">
        <f>IF($B1577="","",IF(AND($AG1577&lt;&gt;"",$AI1577="",$AL1577=""),"保留中",IF($AL1577&lt;&gt;"",IF(N($AE1577)&gt;0,"支給済","不支給"),IF($AE1577="","要確認",IF($AE1577=0,"不支給","未処理")))))</f>
        <v/>
      </c>
      <c r="AG1577" s="12" t="n"/>
      <c r="AH1577" s="11" t="n"/>
      <c r="AI1577" s="11" t="n"/>
      <c r="AJ1577" s="11" t="n"/>
      <c r="AK1577" s="14">
        <f>IF(AND($AF1577="保留中",$AH1577&lt;&gt;""),TODAY()-$AH1577,"")</f>
        <v/>
      </c>
      <c r="AL1577" s="12" t="n"/>
      <c r="AM1577" s="14">
        <f>IF($B1577="","",IF($AQ1577="","対象年月が未入力／","")&amp;IF($B1577="","",IF($AP1577="","職員マスタに未登録の職員番号／",IF($AA1577="","標準報酬月額が未登録／","")&amp;IF(AND($AQ1577&lt;&gt;"",OR(AND(INDEX(職員マスタ!$G$6:$G$405,$AP1577)&lt;&gt;"",INDEX(職員マスタ!$G$6:$G$405,$AP1577)&gt;EOMONTH($AQ1577,0)),AND(INDEX(職員マスタ!$H$6:$H$405,$AP1577)&lt;&gt;"",INDEX(職員マスタ!$H$6:$H$405,$AP1577)&lt;$AQ1577))),"対象月が時短期間外／","")&amp;IF(AND(INDEX(職員マスタ!$K$6:$K$405,$AP1577)&lt;&gt;"",N($W1577)&gt;0,INDEX(職員マスタ!$K$6:$K$405,$AP1577)&lt;&gt;$W1577),"標準報酬月額が申請書と相違（台帳"&amp;TEXT(INDEX(職員マスタ!$K$6:$K$405,$AP1577),"#,##0")&amp;"円／申請書"&amp;TEXT($W1577,"#,##0")&amp;"円）／","")&amp;IF(AND(INDEX(職員マスタ!$F$6:$F$405,$AP1577)&lt;&gt;"",$AQ1577&lt;&gt;"",INDEX(職員マスタ!$F$6:$F$405,$AP1577)&lt;$AQ1577),"対象月に子が2歳到達済／","")&amp;IF(AND($H1577&lt;&gt;"",INDEX(職員マスタ!$B$6:$B$405,$AP1577)&lt;&gt;"",SUBSTITUTE(SUBSTITUTE($H1577," ","")," ","")&lt;&gt;SUBSTITUTE(SUBSTITUTE(INDEX(職員マスタ!$B$6:$B$405,$AP1577)," ","")," ","")),"氏名がマスタと相違／","")&amp;IF(AND($Q1577&lt;&gt;"",INDEX(職員マスタ!$E$6:$E$405,$AP1577)&lt;&gt;"",$Q1577&lt;&gt;INDEX(職員マスタ!$E$6:$E$405,$AP1577)),"子の生年月日がマスタと相違／","")&amp;IF(AND($L1577&lt;&gt;"",INDEX(職員マスタ!$G$6:$G$405,$AP1577)&lt;&gt;"",$L1577&lt;&gt;INDEX(職員マスタ!$G$6:$G$405,$AP1577)),"時短開始日がマスタと相違／","")&amp;IF(AND($M1577&lt;&gt;"",INDEX(職員マスタ!$H$6:$H$405,$AP1577)&lt;&gt;"",$M1577&lt;&gt;INDEX(職員マスタ!$H$6:$H$405,$AP1577)),"時短終了日がマスタと相違／","")))&amp;IF(AND($B1577&lt;&gt;"",$E1577=""),"報酬額が未入力／","")&amp;IF(N($U1577)&gt;0,"申請書に入力エラーが残っています／","")&amp;IF(AND($B1577&lt;&gt;"",$AQ1577&lt;&gt;""),IF(COUNTIFS($B$6:$B$3005,$B1577,$C$6:$C$3005,$C1577,$D$6:$D$3005,$D1577)&gt;1,"同じ月の請求が重複しています／",""),"")&amp;IF(AND(N($E1577)&gt;0,$AB1577&lt;&gt;"",$AB1577&lt;&gt;"×",$AE1577=0,$AD1577=""),"計算額が下限以下のため不支給／",""))</f>
        <v/>
      </c>
      <c r="AN1577" s="12" t="n"/>
      <c r="AO1577" s="14">
        <f>IF($AF1577="保留中",COUNTIF($AF$6:$AF1577,"保留中"),"")</f>
        <v/>
      </c>
      <c r="AP1577" s="14">
        <f>IF($AQ1577="","",IF(SUMPRODUCT(MAX((職員マスタ!$A$6:$A$405=$B1577)*(((職員マスタ!$G$6:$G$405="")+(職員マスタ!$G$6:$G$405&lt;=EOMONTH($AQ1577,0)))&gt;0)*(((職員マスタ!$H$6:$H$405="")+(職員マスタ!$H$6:$H$405&gt;=$AQ1577))&gt;0)*(ROW(職員マスタ!$A$6:$A$405)-5)))&gt;0,SUMPRODUCT(MAX((職員マスタ!$A$6:$A$405=$B1577)*(((職員マスタ!$G$6:$G$405="")+(職員マスタ!$G$6:$G$405&lt;=EOMONTH($AQ1577,0)))&gt;0)*(((職員マスタ!$H$6:$H$405="")+(職員マスタ!$H$6:$H$405&gt;=$AQ1577))&gt;0)*(ROW(職員マスタ!$A$6:$A$405)-5))),IFERROR(MATCH($B1577,職員マスタ!$A$6:$A$405,0),"")))</f>
        <v/>
      </c>
      <c r="AQ1577" s="16">
        <f>IF(OR($B1577="",$C1577="",$D1577=""),"",DATE($C1577+2018,$D1577,1))</f>
        <v/>
      </c>
    </row>
    <row r="1578">
      <c r="A1578" s="11" t="n"/>
      <c r="B1578" s="12" t="n"/>
      <c r="C1578" s="12" t="n"/>
      <c r="D1578" s="12" t="n"/>
      <c r="E1578" s="13" t="n"/>
      <c r="F1578" s="12" t="n"/>
      <c r="G1578" s="13" t="n"/>
      <c r="H1578" s="12" t="n"/>
      <c r="I1578" s="12" t="n"/>
      <c r="J1578" s="12" t="n"/>
      <c r="K1578" s="12" t="n"/>
      <c r="L1578" s="11" t="n"/>
      <c r="M1578" s="11" t="n"/>
      <c r="N1578" s="11" t="n"/>
      <c r="O1578" s="11" t="n"/>
      <c r="P1578" s="12" t="n"/>
      <c r="Q1578" s="11" t="n"/>
      <c r="R1578" s="12" t="n"/>
      <c r="S1578" s="11" t="n"/>
      <c r="T1578" s="12" t="n"/>
      <c r="U1578" s="12" t="n"/>
      <c r="V1578" s="12" t="n"/>
      <c r="W1578" s="13" t="n"/>
      <c r="X1578" s="14">
        <f>IF($AP1578="",IF($B1578="","",$H1578),IF(INDEX(職員マスタ!$B$6:$B$405,$AP1578)="",$H1578,INDEX(職員マスタ!$B$6:$B$405,$AP1578)))</f>
        <v/>
      </c>
      <c r="Y1578" s="14">
        <f>IF($AP1578="",IF($B1578="","",$R1578),IF(INDEX(職員マスタ!$C$6:$C$405,$AP1578)="",$R1578,INDEX(職員マスタ!$C$6:$C$405,$AP1578)))</f>
        <v/>
      </c>
      <c r="Z1578" s="14">
        <f>IF($AQ1578="","","R"&amp;$C1578&amp;"."&amp;$D1578)</f>
        <v/>
      </c>
      <c r="AA1578" s="15">
        <f>IF(IF($AP1578="",FALSE,INDEX(職員マスタ!$K$6:$K$405,$AP1578)&lt;&gt;""),INDEX(職員マスタ!$K$6:$K$405,$AP1578),IF(N($W1578)&gt;0,$W1578,""))</f>
        <v/>
      </c>
      <c r="AB1578" s="14">
        <f>IF(OR($E1578="",$AA1578=""),"",IF($E1578&gt;=$AA1578,"×",IF($E1578&gt;=$AA1578*設定!$C$5,"△","○")))</f>
        <v/>
      </c>
      <c r="AC1578" s="15">
        <f>IF($AB1578="","",IF($AB1578="×",0,IF($AB1578="○",ROUNDDOWN($E1578*設定!$C$4,0),ROUNDDOWN($E1578*ROUND((9*$AA1578-9*$E1578)/(10*$E1578),4),0))))</f>
        <v/>
      </c>
      <c r="AD1578" s="13" t="n"/>
      <c r="AE1578" s="15">
        <f>IF($B1578="","",IF($AD1578&lt;&gt;"",$AD1578,IF($AC1578="","",IF($AC1578&lt;=設定!$C$3,0,$AC1578))))</f>
        <v/>
      </c>
      <c r="AF1578" s="14">
        <f>IF($B1578="","",IF(AND($AG1578&lt;&gt;"",$AI1578="",$AL1578=""),"保留中",IF($AL1578&lt;&gt;"",IF(N($AE1578)&gt;0,"支給済","不支給"),IF($AE1578="","要確認",IF($AE1578=0,"不支給","未処理")))))</f>
        <v/>
      </c>
      <c r="AG1578" s="12" t="n"/>
      <c r="AH1578" s="11" t="n"/>
      <c r="AI1578" s="11" t="n"/>
      <c r="AJ1578" s="11" t="n"/>
      <c r="AK1578" s="14">
        <f>IF(AND($AF1578="保留中",$AH1578&lt;&gt;""),TODAY()-$AH1578,"")</f>
        <v/>
      </c>
      <c r="AL1578" s="12" t="n"/>
      <c r="AM1578" s="14">
        <f>IF($B1578="","",IF($AQ1578="","対象年月が未入力／","")&amp;IF($B1578="","",IF($AP1578="","職員マスタに未登録の職員番号／",IF($AA1578="","標準報酬月額が未登録／","")&amp;IF(AND($AQ1578&lt;&gt;"",OR(AND(INDEX(職員マスタ!$G$6:$G$405,$AP1578)&lt;&gt;"",INDEX(職員マスタ!$G$6:$G$405,$AP1578)&gt;EOMONTH($AQ1578,0)),AND(INDEX(職員マスタ!$H$6:$H$405,$AP1578)&lt;&gt;"",INDEX(職員マスタ!$H$6:$H$405,$AP1578)&lt;$AQ1578))),"対象月が時短期間外／","")&amp;IF(AND(INDEX(職員マスタ!$K$6:$K$405,$AP1578)&lt;&gt;"",N($W1578)&gt;0,INDEX(職員マスタ!$K$6:$K$405,$AP1578)&lt;&gt;$W1578),"標準報酬月額が申請書と相違（台帳"&amp;TEXT(INDEX(職員マスタ!$K$6:$K$405,$AP1578),"#,##0")&amp;"円／申請書"&amp;TEXT($W1578,"#,##0")&amp;"円）／","")&amp;IF(AND(INDEX(職員マスタ!$F$6:$F$405,$AP1578)&lt;&gt;"",$AQ1578&lt;&gt;"",INDEX(職員マスタ!$F$6:$F$405,$AP1578)&lt;$AQ1578),"対象月に子が2歳到達済／","")&amp;IF(AND($H1578&lt;&gt;"",INDEX(職員マスタ!$B$6:$B$405,$AP1578)&lt;&gt;"",SUBSTITUTE(SUBSTITUTE($H1578," ","")," ","")&lt;&gt;SUBSTITUTE(SUBSTITUTE(INDEX(職員マスタ!$B$6:$B$405,$AP1578)," ","")," ","")),"氏名がマスタと相違／","")&amp;IF(AND($Q1578&lt;&gt;"",INDEX(職員マスタ!$E$6:$E$405,$AP1578)&lt;&gt;"",$Q1578&lt;&gt;INDEX(職員マスタ!$E$6:$E$405,$AP1578)),"子の生年月日がマスタと相違／","")&amp;IF(AND($L1578&lt;&gt;"",INDEX(職員マスタ!$G$6:$G$405,$AP1578)&lt;&gt;"",$L1578&lt;&gt;INDEX(職員マスタ!$G$6:$G$405,$AP1578)),"時短開始日がマスタと相違／","")&amp;IF(AND($M1578&lt;&gt;"",INDEX(職員マスタ!$H$6:$H$405,$AP1578)&lt;&gt;"",$M1578&lt;&gt;INDEX(職員マスタ!$H$6:$H$405,$AP1578)),"時短終了日がマスタと相違／","")))&amp;IF(AND($B1578&lt;&gt;"",$E1578=""),"報酬額が未入力／","")&amp;IF(N($U1578)&gt;0,"申請書に入力エラーが残っています／","")&amp;IF(AND($B1578&lt;&gt;"",$AQ1578&lt;&gt;""),IF(COUNTIFS($B$6:$B$3005,$B1578,$C$6:$C$3005,$C1578,$D$6:$D$3005,$D1578)&gt;1,"同じ月の請求が重複しています／",""),"")&amp;IF(AND(N($E1578)&gt;0,$AB1578&lt;&gt;"",$AB1578&lt;&gt;"×",$AE1578=0,$AD1578=""),"計算額が下限以下のため不支給／",""))</f>
        <v/>
      </c>
      <c r="AN1578" s="12" t="n"/>
      <c r="AO1578" s="14">
        <f>IF($AF1578="保留中",COUNTIF($AF$6:$AF1578,"保留中"),"")</f>
        <v/>
      </c>
      <c r="AP1578" s="14">
        <f>IF($AQ1578="","",IF(SUMPRODUCT(MAX((職員マスタ!$A$6:$A$405=$B1578)*(((職員マスタ!$G$6:$G$405="")+(職員マスタ!$G$6:$G$405&lt;=EOMONTH($AQ1578,0)))&gt;0)*(((職員マスタ!$H$6:$H$405="")+(職員マスタ!$H$6:$H$405&gt;=$AQ1578))&gt;0)*(ROW(職員マスタ!$A$6:$A$405)-5)))&gt;0,SUMPRODUCT(MAX((職員マスタ!$A$6:$A$405=$B1578)*(((職員マスタ!$G$6:$G$405="")+(職員マスタ!$G$6:$G$405&lt;=EOMONTH($AQ1578,0)))&gt;0)*(((職員マスタ!$H$6:$H$405="")+(職員マスタ!$H$6:$H$405&gt;=$AQ1578))&gt;0)*(ROW(職員マスタ!$A$6:$A$405)-5))),IFERROR(MATCH($B1578,職員マスタ!$A$6:$A$405,0),"")))</f>
        <v/>
      </c>
      <c r="AQ1578" s="16">
        <f>IF(OR($B1578="",$C1578="",$D1578=""),"",DATE($C1578+2018,$D1578,1))</f>
        <v/>
      </c>
    </row>
    <row r="1579">
      <c r="A1579" s="11" t="n"/>
      <c r="B1579" s="12" t="n"/>
      <c r="C1579" s="12" t="n"/>
      <c r="D1579" s="12" t="n"/>
      <c r="E1579" s="13" t="n"/>
      <c r="F1579" s="12" t="n"/>
      <c r="G1579" s="13" t="n"/>
      <c r="H1579" s="12" t="n"/>
      <c r="I1579" s="12" t="n"/>
      <c r="J1579" s="12" t="n"/>
      <c r="K1579" s="12" t="n"/>
      <c r="L1579" s="11" t="n"/>
      <c r="M1579" s="11" t="n"/>
      <c r="N1579" s="11" t="n"/>
      <c r="O1579" s="11" t="n"/>
      <c r="P1579" s="12" t="n"/>
      <c r="Q1579" s="11" t="n"/>
      <c r="R1579" s="12" t="n"/>
      <c r="S1579" s="11" t="n"/>
      <c r="T1579" s="12" t="n"/>
      <c r="U1579" s="12" t="n"/>
      <c r="V1579" s="12" t="n"/>
      <c r="W1579" s="13" t="n"/>
      <c r="X1579" s="14">
        <f>IF($AP1579="",IF($B1579="","",$H1579),IF(INDEX(職員マスタ!$B$6:$B$405,$AP1579)="",$H1579,INDEX(職員マスタ!$B$6:$B$405,$AP1579)))</f>
        <v/>
      </c>
      <c r="Y1579" s="14">
        <f>IF($AP1579="",IF($B1579="","",$R1579),IF(INDEX(職員マスタ!$C$6:$C$405,$AP1579)="",$R1579,INDEX(職員マスタ!$C$6:$C$405,$AP1579)))</f>
        <v/>
      </c>
      <c r="Z1579" s="14">
        <f>IF($AQ1579="","","R"&amp;$C1579&amp;"."&amp;$D1579)</f>
        <v/>
      </c>
      <c r="AA1579" s="15">
        <f>IF(IF($AP1579="",FALSE,INDEX(職員マスタ!$K$6:$K$405,$AP1579)&lt;&gt;""),INDEX(職員マスタ!$K$6:$K$405,$AP1579),IF(N($W1579)&gt;0,$W1579,""))</f>
        <v/>
      </c>
      <c r="AB1579" s="14">
        <f>IF(OR($E1579="",$AA1579=""),"",IF($E1579&gt;=$AA1579,"×",IF($E1579&gt;=$AA1579*設定!$C$5,"△","○")))</f>
        <v/>
      </c>
      <c r="AC1579" s="15">
        <f>IF($AB1579="","",IF($AB1579="×",0,IF($AB1579="○",ROUNDDOWN($E1579*設定!$C$4,0),ROUNDDOWN($E1579*ROUND((9*$AA1579-9*$E1579)/(10*$E1579),4),0))))</f>
        <v/>
      </c>
      <c r="AD1579" s="13" t="n"/>
      <c r="AE1579" s="15">
        <f>IF($B1579="","",IF($AD1579&lt;&gt;"",$AD1579,IF($AC1579="","",IF($AC1579&lt;=設定!$C$3,0,$AC1579))))</f>
        <v/>
      </c>
      <c r="AF1579" s="14">
        <f>IF($B1579="","",IF(AND($AG1579&lt;&gt;"",$AI1579="",$AL1579=""),"保留中",IF($AL1579&lt;&gt;"",IF(N($AE1579)&gt;0,"支給済","不支給"),IF($AE1579="","要確認",IF($AE1579=0,"不支給","未処理")))))</f>
        <v/>
      </c>
      <c r="AG1579" s="12" t="n"/>
      <c r="AH1579" s="11" t="n"/>
      <c r="AI1579" s="11" t="n"/>
      <c r="AJ1579" s="11" t="n"/>
      <c r="AK1579" s="14">
        <f>IF(AND($AF1579="保留中",$AH1579&lt;&gt;""),TODAY()-$AH1579,"")</f>
        <v/>
      </c>
      <c r="AL1579" s="12" t="n"/>
      <c r="AM1579" s="14">
        <f>IF($B1579="","",IF($AQ1579="","対象年月が未入力／","")&amp;IF($B1579="","",IF($AP1579="","職員マスタに未登録の職員番号／",IF($AA1579="","標準報酬月額が未登録／","")&amp;IF(AND($AQ1579&lt;&gt;"",OR(AND(INDEX(職員マスタ!$G$6:$G$405,$AP1579)&lt;&gt;"",INDEX(職員マスタ!$G$6:$G$405,$AP1579)&gt;EOMONTH($AQ1579,0)),AND(INDEX(職員マスタ!$H$6:$H$405,$AP1579)&lt;&gt;"",INDEX(職員マスタ!$H$6:$H$405,$AP1579)&lt;$AQ1579))),"対象月が時短期間外／","")&amp;IF(AND(INDEX(職員マスタ!$K$6:$K$405,$AP1579)&lt;&gt;"",N($W1579)&gt;0,INDEX(職員マスタ!$K$6:$K$405,$AP1579)&lt;&gt;$W1579),"標準報酬月額が申請書と相違（台帳"&amp;TEXT(INDEX(職員マスタ!$K$6:$K$405,$AP1579),"#,##0")&amp;"円／申請書"&amp;TEXT($W1579,"#,##0")&amp;"円）／","")&amp;IF(AND(INDEX(職員マスタ!$F$6:$F$405,$AP1579)&lt;&gt;"",$AQ1579&lt;&gt;"",INDEX(職員マスタ!$F$6:$F$405,$AP1579)&lt;$AQ1579),"対象月に子が2歳到達済／","")&amp;IF(AND($H1579&lt;&gt;"",INDEX(職員マスタ!$B$6:$B$405,$AP1579)&lt;&gt;"",SUBSTITUTE(SUBSTITUTE($H1579," ","")," ","")&lt;&gt;SUBSTITUTE(SUBSTITUTE(INDEX(職員マスタ!$B$6:$B$405,$AP1579)," ","")," ","")),"氏名がマスタと相違／","")&amp;IF(AND($Q1579&lt;&gt;"",INDEX(職員マスタ!$E$6:$E$405,$AP1579)&lt;&gt;"",$Q1579&lt;&gt;INDEX(職員マスタ!$E$6:$E$405,$AP1579)),"子の生年月日がマスタと相違／","")&amp;IF(AND($L1579&lt;&gt;"",INDEX(職員マスタ!$G$6:$G$405,$AP1579)&lt;&gt;"",$L1579&lt;&gt;INDEX(職員マスタ!$G$6:$G$405,$AP1579)),"時短開始日がマスタと相違／","")&amp;IF(AND($M1579&lt;&gt;"",INDEX(職員マスタ!$H$6:$H$405,$AP1579)&lt;&gt;"",$M1579&lt;&gt;INDEX(職員マスタ!$H$6:$H$405,$AP1579)),"時短終了日がマスタと相違／","")))&amp;IF(AND($B1579&lt;&gt;"",$E1579=""),"報酬額が未入力／","")&amp;IF(N($U1579)&gt;0,"申請書に入力エラーが残っています／","")&amp;IF(AND($B1579&lt;&gt;"",$AQ1579&lt;&gt;""),IF(COUNTIFS($B$6:$B$3005,$B1579,$C$6:$C$3005,$C1579,$D$6:$D$3005,$D1579)&gt;1,"同じ月の請求が重複しています／",""),"")&amp;IF(AND(N($E1579)&gt;0,$AB1579&lt;&gt;"",$AB1579&lt;&gt;"×",$AE1579=0,$AD1579=""),"計算額が下限以下のため不支給／",""))</f>
        <v/>
      </c>
      <c r="AN1579" s="12" t="n"/>
      <c r="AO1579" s="14">
        <f>IF($AF1579="保留中",COUNTIF($AF$6:$AF1579,"保留中"),"")</f>
        <v/>
      </c>
      <c r="AP1579" s="14">
        <f>IF($AQ1579="","",IF(SUMPRODUCT(MAX((職員マスタ!$A$6:$A$405=$B1579)*(((職員マスタ!$G$6:$G$405="")+(職員マスタ!$G$6:$G$405&lt;=EOMONTH($AQ1579,0)))&gt;0)*(((職員マスタ!$H$6:$H$405="")+(職員マスタ!$H$6:$H$405&gt;=$AQ1579))&gt;0)*(ROW(職員マスタ!$A$6:$A$405)-5)))&gt;0,SUMPRODUCT(MAX((職員マスタ!$A$6:$A$405=$B1579)*(((職員マスタ!$G$6:$G$405="")+(職員マスタ!$G$6:$G$405&lt;=EOMONTH($AQ1579,0)))&gt;0)*(((職員マスタ!$H$6:$H$405="")+(職員マスタ!$H$6:$H$405&gt;=$AQ1579))&gt;0)*(ROW(職員マスタ!$A$6:$A$405)-5))),IFERROR(MATCH($B1579,職員マスタ!$A$6:$A$405,0),"")))</f>
        <v/>
      </c>
      <c r="AQ1579" s="16">
        <f>IF(OR($B1579="",$C1579="",$D1579=""),"",DATE($C1579+2018,$D1579,1))</f>
        <v/>
      </c>
    </row>
    <row r="1580">
      <c r="A1580" s="11" t="n"/>
      <c r="B1580" s="12" t="n"/>
      <c r="C1580" s="12" t="n"/>
      <c r="D1580" s="12" t="n"/>
      <c r="E1580" s="13" t="n"/>
      <c r="F1580" s="12" t="n"/>
      <c r="G1580" s="13" t="n"/>
      <c r="H1580" s="12" t="n"/>
      <c r="I1580" s="12" t="n"/>
      <c r="J1580" s="12" t="n"/>
      <c r="K1580" s="12" t="n"/>
      <c r="L1580" s="11" t="n"/>
      <c r="M1580" s="11" t="n"/>
      <c r="N1580" s="11" t="n"/>
      <c r="O1580" s="11" t="n"/>
      <c r="P1580" s="12" t="n"/>
      <c r="Q1580" s="11" t="n"/>
      <c r="R1580" s="12" t="n"/>
      <c r="S1580" s="11" t="n"/>
      <c r="T1580" s="12" t="n"/>
      <c r="U1580" s="12" t="n"/>
      <c r="V1580" s="12" t="n"/>
      <c r="W1580" s="13" t="n"/>
      <c r="X1580" s="14">
        <f>IF($AP1580="",IF($B1580="","",$H1580),IF(INDEX(職員マスタ!$B$6:$B$405,$AP1580)="",$H1580,INDEX(職員マスタ!$B$6:$B$405,$AP1580)))</f>
        <v/>
      </c>
      <c r="Y1580" s="14">
        <f>IF($AP1580="",IF($B1580="","",$R1580),IF(INDEX(職員マスタ!$C$6:$C$405,$AP1580)="",$R1580,INDEX(職員マスタ!$C$6:$C$405,$AP1580)))</f>
        <v/>
      </c>
      <c r="Z1580" s="14">
        <f>IF($AQ1580="","","R"&amp;$C1580&amp;"."&amp;$D1580)</f>
        <v/>
      </c>
      <c r="AA1580" s="15">
        <f>IF(IF($AP1580="",FALSE,INDEX(職員マスタ!$K$6:$K$405,$AP1580)&lt;&gt;""),INDEX(職員マスタ!$K$6:$K$405,$AP1580),IF(N($W1580)&gt;0,$W1580,""))</f>
        <v/>
      </c>
      <c r="AB1580" s="14">
        <f>IF(OR($E1580="",$AA1580=""),"",IF($E1580&gt;=$AA1580,"×",IF($E1580&gt;=$AA1580*設定!$C$5,"△","○")))</f>
        <v/>
      </c>
      <c r="AC1580" s="15">
        <f>IF($AB1580="","",IF($AB1580="×",0,IF($AB1580="○",ROUNDDOWN($E1580*設定!$C$4,0),ROUNDDOWN($E1580*ROUND((9*$AA1580-9*$E1580)/(10*$E1580),4),0))))</f>
        <v/>
      </c>
      <c r="AD1580" s="13" t="n"/>
      <c r="AE1580" s="15">
        <f>IF($B1580="","",IF($AD1580&lt;&gt;"",$AD1580,IF($AC1580="","",IF($AC1580&lt;=設定!$C$3,0,$AC1580))))</f>
        <v/>
      </c>
      <c r="AF1580" s="14">
        <f>IF($B1580="","",IF(AND($AG1580&lt;&gt;"",$AI1580="",$AL1580=""),"保留中",IF($AL1580&lt;&gt;"",IF(N($AE1580)&gt;0,"支給済","不支給"),IF($AE1580="","要確認",IF($AE1580=0,"不支給","未処理")))))</f>
        <v/>
      </c>
      <c r="AG1580" s="12" t="n"/>
      <c r="AH1580" s="11" t="n"/>
      <c r="AI1580" s="11" t="n"/>
      <c r="AJ1580" s="11" t="n"/>
      <c r="AK1580" s="14">
        <f>IF(AND($AF1580="保留中",$AH1580&lt;&gt;""),TODAY()-$AH1580,"")</f>
        <v/>
      </c>
      <c r="AL1580" s="12" t="n"/>
      <c r="AM1580" s="14">
        <f>IF($B1580="","",IF($AQ1580="","対象年月が未入力／","")&amp;IF($B1580="","",IF($AP1580="","職員マスタに未登録の職員番号／",IF($AA1580="","標準報酬月額が未登録／","")&amp;IF(AND($AQ1580&lt;&gt;"",OR(AND(INDEX(職員マスタ!$G$6:$G$405,$AP1580)&lt;&gt;"",INDEX(職員マスタ!$G$6:$G$405,$AP1580)&gt;EOMONTH($AQ1580,0)),AND(INDEX(職員マスタ!$H$6:$H$405,$AP1580)&lt;&gt;"",INDEX(職員マスタ!$H$6:$H$405,$AP1580)&lt;$AQ1580))),"対象月が時短期間外／","")&amp;IF(AND(INDEX(職員マスタ!$K$6:$K$405,$AP1580)&lt;&gt;"",N($W1580)&gt;0,INDEX(職員マスタ!$K$6:$K$405,$AP1580)&lt;&gt;$W1580),"標準報酬月額が申請書と相違（台帳"&amp;TEXT(INDEX(職員マスタ!$K$6:$K$405,$AP1580),"#,##0")&amp;"円／申請書"&amp;TEXT($W1580,"#,##0")&amp;"円）／","")&amp;IF(AND(INDEX(職員マスタ!$F$6:$F$405,$AP1580)&lt;&gt;"",$AQ1580&lt;&gt;"",INDEX(職員マスタ!$F$6:$F$405,$AP1580)&lt;$AQ1580),"対象月に子が2歳到達済／","")&amp;IF(AND($H1580&lt;&gt;"",INDEX(職員マスタ!$B$6:$B$405,$AP1580)&lt;&gt;"",SUBSTITUTE(SUBSTITUTE($H1580," ","")," ","")&lt;&gt;SUBSTITUTE(SUBSTITUTE(INDEX(職員マスタ!$B$6:$B$405,$AP1580)," ","")," ","")),"氏名がマスタと相違／","")&amp;IF(AND($Q1580&lt;&gt;"",INDEX(職員マスタ!$E$6:$E$405,$AP1580)&lt;&gt;"",$Q1580&lt;&gt;INDEX(職員マスタ!$E$6:$E$405,$AP1580)),"子の生年月日がマスタと相違／","")&amp;IF(AND($L1580&lt;&gt;"",INDEX(職員マスタ!$G$6:$G$405,$AP1580)&lt;&gt;"",$L1580&lt;&gt;INDEX(職員マスタ!$G$6:$G$405,$AP1580)),"時短開始日がマスタと相違／","")&amp;IF(AND($M1580&lt;&gt;"",INDEX(職員マスタ!$H$6:$H$405,$AP1580)&lt;&gt;"",$M1580&lt;&gt;INDEX(職員マスタ!$H$6:$H$405,$AP1580)),"時短終了日がマスタと相違／","")))&amp;IF(AND($B1580&lt;&gt;"",$E1580=""),"報酬額が未入力／","")&amp;IF(N($U1580)&gt;0,"申請書に入力エラーが残っています／","")&amp;IF(AND($B1580&lt;&gt;"",$AQ1580&lt;&gt;""),IF(COUNTIFS($B$6:$B$3005,$B1580,$C$6:$C$3005,$C1580,$D$6:$D$3005,$D1580)&gt;1,"同じ月の請求が重複しています／",""),"")&amp;IF(AND(N($E1580)&gt;0,$AB1580&lt;&gt;"",$AB1580&lt;&gt;"×",$AE1580=0,$AD1580=""),"計算額が下限以下のため不支給／",""))</f>
        <v/>
      </c>
      <c r="AN1580" s="12" t="n"/>
      <c r="AO1580" s="14">
        <f>IF($AF1580="保留中",COUNTIF($AF$6:$AF1580,"保留中"),"")</f>
        <v/>
      </c>
      <c r="AP1580" s="14">
        <f>IF($AQ1580="","",IF(SUMPRODUCT(MAX((職員マスタ!$A$6:$A$405=$B1580)*(((職員マスタ!$G$6:$G$405="")+(職員マスタ!$G$6:$G$405&lt;=EOMONTH($AQ1580,0)))&gt;0)*(((職員マスタ!$H$6:$H$405="")+(職員マスタ!$H$6:$H$405&gt;=$AQ1580))&gt;0)*(ROW(職員マスタ!$A$6:$A$405)-5)))&gt;0,SUMPRODUCT(MAX((職員マスタ!$A$6:$A$405=$B1580)*(((職員マスタ!$G$6:$G$405="")+(職員マスタ!$G$6:$G$405&lt;=EOMONTH($AQ1580,0)))&gt;0)*(((職員マスタ!$H$6:$H$405="")+(職員マスタ!$H$6:$H$405&gt;=$AQ1580))&gt;0)*(ROW(職員マスタ!$A$6:$A$405)-5))),IFERROR(MATCH($B1580,職員マスタ!$A$6:$A$405,0),"")))</f>
        <v/>
      </c>
      <c r="AQ1580" s="16">
        <f>IF(OR($B1580="",$C1580="",$D1580=""),"",DATE($C1580+2018,$D1580,1))</f>
        <v/>
      </c>
    </row>
    <row r="1581">
      <c r="A1581" s="11" t="n"/>
      <c r="B1581" s="12" t="n"/>
      <c r="C1581" s="12" t="n"/>
      <c r="D1581" s="12" t="n"/>
      <c r="E1581" s="13" t="n"/>
      <c r="F1581" s="12" t="n"/>
      <c r="G1581" s="13" t="n"/>
      <c r="H1581" s="12" t="n"/>
      <c r="I1581" s="12" t="n"/>
      <c r="J1581" s="12" t="n"/>
      <c r="K1581" s="12" t="n"/>
      <c r="L1581" s="11" t="n"/>
      <c r="M1581" s="11" t="n"/>
      <c r="N1581" s="11" t="n"/>
      <c r="O1581" s="11" t="n"/>
      <c r="P1581" s="12" t="n"/>
      <c r="Q1581" s="11" t="n"/>
      <c r="R1581" s="12" t="n"/>
      <c r="S1581" s="11" t="n"/>
      <c r="T1581" s="12" t="n"/>
      <c r="U1581" s="12" t="n"/>
      <c r="V1581" s="12" t="n"/>
      <c r="W1581" s="13" t="n"/>
      <c r="X1581" s="14">
        <f>IF($AP1581="",IF($B1581="","",$H1581),IF(INDEX(職員マスタ!$B$6:$B$405,$AP1581)="",$H1581,INDEX(職員マスタ!$B$6:$B$405,$AP1581)))</f>
        <v/>
      </c>
      <c r="Y1581" s="14">
        <f>IF($AP1581="",IF($B1581="","",$R1581),IF(INDEX(職員マスタ!$C$6:$C$405,$AP1581)="",$R1581,INDEX(職員マスタ!$C$6:$C$405,$AP1581)))</f>
        <v/>
      </c>
      <c r="Z1581" s="14">
        <f>IF($AQ1581="","","R"&amp;$C1581&amp;"."&amp;$D1581)</f>
        <v/>
      </c>
      <c r="AA1581" s="15">
        <f>IF(IF($AP1581="",FALSE,INDEX(職員マスタ!$K$6:$K$405,$AP1581)&lt;&gt;""),INDEX(職員マスタ!$K$6:$K$405,$AP1581),IF(N($W1581)&gt;0,$W1581,""))</f>
        <v/>
      </c>
      <c r="AB1581" s="14">
        <f>IF(OR($E1581="",$AA1581=""),"",IF($E1581&gt;=$AA1581,"×",IF($E1581&gt;=$AA1581*設定!$C$5,"△","○")))</f>
        <v/>
      </c>
      <c r="AC1581" s="15">
        <f>IF($AB1581="","",IF($AB1581="×",0,IF($AB1581="○",ROUNDDOWN($E1581*設定!$C$4,0),ROUNDDOWN($E1581*ROUND((9*$AA1581-9*$E1581)/(10*$E1581),4),0))))</f>
        <v/>
      </c>
      <c r="AD1581" s="13" t="n"/>
      <c r="AE1581" s="15">
        <f>IF($B1581="","",IF($AD1581&lt;&gt;"",$AD1581,IF($AC1581="","",IF($AC1581&lt;=設定!$C$3,0,$AC1581))))</f>
        <v/>
      </c>
      <c r="AF1581" s="14">
        <f>IF($B1581="","",IF(AND($AG1581&lt;&gt;"",$AI1581="",$AL1581=""),"保留中",IF($AL1581&lt;&gt;"",IF(N($AE1581)&gt;0,"支給済","不支給"),IF($AE1581="","要確認",IF($AE1581=0,"不支給","未処理")))))</f>
        <v/>
      </c>
      <c r="AG1581" s="12" t="n"/>
      <c r="AH1581" s="11" t="n"/>
      <c r="AI1581" s="11" t="n"/>
      <c r="AJ1581" s="11" t="n"/>
      <c r="AK1581" s="14">
        <f>IF(AND($AF1581="保留中",$AH1581&lt;&gt;""),TODAY()-$AH1581,"")</f>
        <v/>
      </c>
      <c r="AL1581" s="12" t="n"/>
      <c r="AM1581" s="14">
        <f>IF($B1581="","",IF($AQ1581="","対象年月が未入力／","")&amp;IF($B1581="","",IF($AP1581="","職員マスタに未登録の職員番号／",IF($AA1581="","標準報酬月額が未登録／","")&amp;IF(AND($AQ1581&lt;&gt;"",OR(AND(INDEX(職員マスタ!$G$6:$G$405,$AP1581)&lt;&gt;"",INDEX(職員マスタ!$G$6:$G$405,$AP1581)&gt;EOMONTH($AQ1581,0)),AND(INDEX(職員マスタ!$H$6:$H$405,$AP1581)&lt;&gt;"",INDEX(職員マスタ!$H$6:$H$405,$AP1581)&lt;$AQ1581))),"対象月が時短期間外／","")&amp;IF(AND(INDEX(職員マスタ!$K$6:$K$405,$AP1581)&lt;&gt;"",N($W1581)&gt;0,INDEX(職員マスタ!$K$6:$K$405,$AP1581)&lt;&gt;$W1581),"標準報酬月額が申請書と相違（台帳"&amp;TEXT(INDEX(職員マスタ!$K$6:$K$405,$AP1581),"#,##0")&amp;"円／申請書"&amp;TEXT($W1581,"#,##0")&amp;"円）／","")&amp;IF(AND(INDEX(職員マスタ!$F$6:$F$405,$AP1581)&lt;&gt;"",$AQ1581&lt;&gt;"",INDEX(職員マスタ!$F$6:$F$405,$AP1581)&lt;$AQ1581),"対象月に子が2歳到達済／","")&amp;IF(AND($H1581&lt;&gt;"",INDEX(職員マスタ!$B$6:$B$405,$AP1581)&lt;&gt;"",SUBSTITUTE(SUBSTITUTE($H1581," ","")," ","")&lt;&gt;SUBSTITUTE(SUBSTITUTE(INDEX(職員マスタ!$B$6:$B$405,$AP1581)," ","")," ","")),"氏名がマスタと相違／","")&amp;IF(AND($Q1581&lt;&gt;"",INDEX(職員マスタ!$E$6:$E$405,$AP1581)&lt;&gt;"",$Q1581&lt;&gt;INDEX(職員マスタ!$E$6:$E$405,$AP1581)),"子の生年月日がマスタと相違／","")&amp;IF(AND($L1581&lt;&gt;"",INDEX(職員マスタ!$G$6:$G$405,$AP1581)&lt;&gt;"",$L1581&lt;&gt;INDEX(職員マスタ!$G$6:$G$405,$AP1581)),"時短開始日がマスタと相違／","")&amp;IF(AND($M1581&lt;&gt;"",INDEX(職員マスタ!$H$6:$H$405,$AP1581)&lt;&gt;"",$M1581&lt;&gt;INDEX(職員マスタ!$H$6:$H$405,$AP1581)),"時短終了日がマスタと相違／","")))&amp;IF(AND($B1581&lt;&gt;"",$E1581=""),"報酬額が未入力／","")&amp;IF(N($U1581)&gt;0,"申請書に入力エラーが残っています／","")&amp;IF(AND($B1581&lt;&gt;"",$AQ1581&lt;&gt;""),IF(COUNTIFS($B$6:$B$3005,$B1581,$C$6:$C$3005,$C1581,$D$6:$D$3005,$D1581)&gt;1,"同じ月の請求が重複しています／",""),"")&amp;IF(AND(N($E1581)&gt;0,$AB1581&lt;&gt;"",$AB1581&lt;&gt;"×",$AE1581=0,$AD1581=""),"計算額が下限以下のため不支給／",""))</f>
        <v/>
      </c>
      <c r="AN1581" s="12" t="n"/>
      <c r="AO1581" s="14">
        <f>IF($AF1581="保留中",COUNTIF($AF$6:$AF1581,"保留中"),"")</f>
        <v/>
      </c>
      <c r="AP1581" s="14">
        <f>IF($AQ1581="","",IF(SUMPRODUCT(MAX((職員マスタ!$A$6:$A$405=$B1581)*(((職員マスタ!$G$6:$G$405="")+(職員マスタ!$G$6:$G$405&lt;=EOMONTH($AQ1581,0)))&gt;0)*(((職員マスタ!$H$6:$H$405="")+(職員マスタ!$H$6:$H$405&gt;=$AQ1581))&gt;0)*(ROW(職員マスタ!$A$6:$A$405)-5)))&gt;0,SUMPRODUCT(MAX((職員マスタ!$A$6:$A$405=$B1581)*(((職員マスタ!$G$6:$G$405="")+(職員マスタ!$G$6:$G$405&lt;=EOMONTH($AQ1581,0)))&gt;0)*(((職員マスタ!$H$6:$H$405="")+(職員マスタ!$H$6:$H$405&gt;=$AQ1581))&gt;0)*(ROW(職員マスタ!$A$6:$A$405)-5))),IFERROR(MATCH($B1581,職員マスタ!$A$6:$A$405,0),"")))</f>
        <v/>
      </c>
      <c r="AQ1581" s="16">
        <f>IF(OR($B1581="",$C1581="",$D1581=""),"",DATE($C1581+2018,$D1581,1))</f>
        <v/>
      </c>
    </row>
    <row r="1582">
      <c r="A1582" s="11" t="n"/>
      <c r="B1582" s="12" t="n"/>
      <c r="C1582" s="12" t="n"/>
      <c r="D1582" s="12" t="n"/>
      <c r="E1582" s="13" t="n"/>
      <c r="F1582" s="12" t="n"/>
      <c r="G1582" s="13" t="n"/>
      <c r="H1582" s="12" t="n"/>
      <c r="I1582" s="12" t="n"/>
      <c r="J1582" s="12" t="n"/>
      <c r="K1582" s="12" t="n"/>
      <c r="L1582" s="11" t="n"/>
      <c r="M1582" s="11" t="n"/>
      <c r="N1582" s="11" t="n"/>
      <c r="O1582" s="11" t="n"/>
      <c r="P1582" s="12" t="n"/>
      <c r="Q1582" s="11" t="n"/>
      <c r="R1582" s="12" t="n"/>
      <c r="S1582" s="11" t="n"/>
      <c r="T1582" s="12" t="n"/>
      <c r="U1582" s="12" t="n"/>
      <c r="V1582" s="12" t="n"/>
      <c r="W1582" s="13" t="n"/>
      <c r="X1582" s="14">
        <f>IF($AP1582="",IF($B1582="","",$H1582),IF(INDEX(職員マスタ!$B$6:$B$405,$AP1582)="",$H1582,INDEX(職員マスタ!$B$6:$B$405,$AP1582)))</f>
        <v/>
      </c>
      <c r="Y1582" s="14">
        <f>IF($AP1582="",IF($B1582="","",$R1582),IF(INDEX(職員マスタ!$C$6:$C$405,$AP1582)="",$R1582,INDEX(職員マスタ!$C$6:$C$405,$AP1582)))</f>
        <v/>
      </c>
      <c r="Z1582" s="14">
        <f>IF($AQ1582="","","R"&amp;$C1582&amp;"."&amp;$D1582)</f>
        <v/>
      </c>
      <c r="AA1582" s="15">
        <f>IF(IF($AP1582="",FALSE,INDEX(職員マスタ!$K$6:$K$405,$AP1582)&lt;&gt;""),INDEX(職員マスタ!$K$6:$K$405,$AP1582),IF(N($W1582)&gt;0,$W1582,""))</f>
        <v/>
      </c>
      <c r="AB1582" s="14">
        <f>IF(OR($E1582="",$AA1582=""),"",IF($E1582&gt;=$AA1582,"×",IF($E1582&gt;=$AA1582*設定!$C$5,"△","○")))</f>
        <v/>
      </c>
      <c r="AC1582" s="15">
        <f>IF($AB1582="","",IF($AB1582="×",0,IF($AB1582="○",ROUNDDOWN($E1582*設定!$C$4,0),ROUNDDOWN($E1582*ROUND((9*$AA1582-9*$E1582)/(10*$E1582),4),0))))</f>
        <v/>
      </c>
      <c r="AD1582" s="13" t="n"/>
      <c r="AE1582" s="15">
        <f>IF($B1582="","",IF($AD1582&lt;&gt;"",$AD1582,IF($AC1582="","",IF($AC1582&lt;=設定!$C$3,0,$AC1582))))</f>
        <v/>
      </c>
      <c r="AF1582" s="14">
        <f>IF($B1582="","",IF(AND($AG1582&lt;&gt;"",$AI1582="",$AL1582=""),"保留中",IF($AL1582&lt;&gt;"",IF(N($AE1582)&gt;0,"支給済","不支給"),IF($AE1582="","要確認",IF($AE1582=0,"不支給","未処理")))))</f>
        <v/>
      </c>
      <c r="AG1582" s="12" t="n"/>
      <c r="AH1582" s="11" t="n"/>
      <c r="AI1582" s="11" t="n"/>
      <c r="AJ1582" s="11" t="n"/>
      <c r="AK1582" s="14">
        <f>IF(AND($AF1582="保留中",$AH1582&lt;&gt;""),TODAY()-$AH1582,"")</f>
        <v/>
      </c>
      <c r="AL1582" s="12" t="n"/>
      <c r="AM1582" s="14">
        <f>IF($B1582="","",IF($AQ1582="","対象年月が未入力／","")&amp;IF($B1582="","",IF($AP1582="","職員マスタに未登録の職員番号／",IF($AA1582="","標準報酬月額が未登録／","")&amp;IF(AND($AQ1582&lt;&gt;"",OR(AND(INDEX(職員マスタ!$G$6:$G$405,$AP1582)&lt;&gt;"",INDEX(職員マスタ!$G$6:$G$405,$AP1582)&gt;EOMONTH($AQ1582,0)),AND(INDEX(職員マスタ!$H$6:$H$405,$AP1582)&lt;&gt;"",INDEX(職員マスタ!$H$6:$H$405,$AP1582)&lt;$AQ1582))),"対象月が時短期間外／","")&amp;IF(AND(INDEX(職員マスタ!$K$6:$K$405,$AP1582)&lt;&gt;"",N($W1582)&gt;0,INDEX(職員マスタ!$K$6:$K$405,$AP1582)&lt;&gt;$W1582),"標準報酬月額が申請書と相違（台帳"&amp;TEXT(INDEX(職員マスタ!$K$6:$K$405,$AP1582),"#,##0")&amp;"円／申請書"&amp;TEXT($W1582,"#,##0")&amp;"円）／","")&amp;IF(AND(INDEX(職員マスタ!$F$6:$F$405,$AP1582)&lt;&gt;"",$AQ1582&lt;&gt;"",INDEX(職員マスタ!$F$6:$F$405,$AP1582)&lt;$AQ1582),"対象月に子が2歳到達済／","")&amp;IF(AND($H1582&lt;&gt;"",INDEX(職員マスタ!$B$6:$B$405,$AP1582)&lt;&gt;"",SUBSTITUTE(SUBSTITUTE($H1582," ","")," ","")&lt;&gt;SUBSTITUTE(SUBSTITUTE(INDEX(職員マスタ!$B$6:$B$405,$AP1582)," ","")," ","")),"氏名がマスタと相違／","")&amp;IF(AND($Q1582&lt;&gt;"",INDEX(職員マスタ!$E$6:$E$405,$AP1582)&lt;&gt;"",$Q1582&lt;&gt;INDEX(職員マスタ!$E$6:$E$405,$AP1582)),"子の生年月日がマスタと相違／","")&amp;IF(AND($L1582&lt;&gt;"",INDEX(職員マスタ!$G$6:$G$405,$AP1582)&lt;&gt;"",$L1582&lt;&gt;INDEX(職員マスタ!$G$6:$G$405,$AP1582)),"時短開始日がマスタと相違／","")&amp;IF(AND($M1582&lt;&gt;"",INDEX(職員マスタ!$H$6:$H$405,$AP1582)&lt;&gt;"",$M1582&lt;&gt;INDEX(職員マスタ!$H$6:$H$405,$AP1582)),"時短終了日がマスタと相違／","")))&amp;IF(AND($B1582&lt;&gt;"",$E1582=""),"報酬額が未入力／","")&amp;IF(N($U1582)&gt;0,"申請書に入力エラーが残っています／","")&amp;IF(AND($B1582&lt;&gt;"",$AQ1582&lt;&gt;""),IF(COUNTIFS($B$6:$B$3005,$B1582,$C$6:$C$3005,$C1582,$D$6:$D$3005,$D1582)&gt;1,"同じ月の請求が重複しています／",""),"")&amp;IF(AND(N($E1582)&gt;0,$AB1582&lt;&gt;"",$AB1582&lt;&gt;"×",$AE1582=0,$AD1582=""),"計算額が下限以下のため不支給／",""))</f>
        <v/>
      </c>
      <c r="AN1582" s="12" t="n"/>
      <c r="AO1582" s="14">
        <f>IF($AF1582="保留中",COUNTIF($AF$6:$AF1582,"保留中"),"")</f>
        <v/>
      </c>
      <c r="AP1582" s="14">
        <f>IF($AQ1582="","",IF(SUMPRODUCT(MAX((職員マスタ!$A$6:$A$405=$B1582)*(((職員マスタ!$G$6:$G$405="")+(職員マスタ!$G$6:$G$405&lt;=EOMONTH($AQ1582,0)))&gt;0)*(((職員マスタ!$H$6:$H$405="")+(職員マスタ!$H$6:$H$405&gt;=$AQ1582))&gt;0)*(ROW(職員マスタ!$A$6:$A$405)-5)))&gt;0,SUMPRODUCT(MAX((職員マスタ!$A$6:$A$405=$B1582)*(((職員マスタ!$G$6:$G$405="")+(職員マスタ!$G$6:$G$405&lt;=EOMONTH($AQ1582,0)))&gt;0)*(((職員マスタ!$H$6:$H$405="")+(職員マスタ!$H$6:$H$405&gt;=$AQ1582))&gt;0)*(ROW(職員マスタ!$A$6:$A$405)-5))),IFERROR(MATCH($B1582,職員マスタ!$A$6:$A$405,0),"")))</f>
        <v/>
      </c>
      <c r="AQ1582" s="16">
        <f>IF(OR($B1582="",$C1582="",$D1582=""),"",DATE($C1582+2018,$D1582,1))</f>
        <v/>
      </c>
    </row>
    <row r="1583">
      <c r="A1583" s="11" t="n"/>
      <c r="B1583" s="12" t="n"/>
      <c r="C1583" s="12" t="n"/>
      <c r="D1583" s="12" t="n"/>
      <c r="E1583" s="13" t="n"/>
      <c r="F1583" s="12" t="n"/>
      <c r="G1583" s="13" t="n"/>
      <c r="H1583" s="12" t="n"/>
      <c r="I1583" s="12" t="n"/>
      <c r="J1583" s="12" t="n"/>
      <c r="K1583" s="12" t="n"/>
      <c r="L1583" s="11" t="n"/>
      <c r="M1583" s="11" t="n"/>
      <c r="N1583" s="11" t="n"/>
      <c r="O1583" s="11" t="n"/>
      <c r="P1583" s="12" t="n"/>
      <c r="Q1583" s="11" t="n"/>
      <c r="R1583" s="12" t="n"/>
      <c r="S1583" s="11" t="n"/>
      <c r="T1583" s="12" t="n"/>
      <c r="U1583" s="12" t="n"/>
      <c r="V1583" s="12" t="n"/>
      <c r="W1583" s="13" t="n"/>
      <c r="X1583" s="14">
        <f>IF($AP1583="",IF($B1583="","",$H1583),IF(INDEX(職員マスタ!$B$6:$B$405,$AP1583)="",$H1583,INDEX(職員マスタ!$B$6:$B$405,$AP1583)))</f>
        <v/>
      </c>
      <c r="Y1583" s="14">
        <f>IF($AP1583="",IF($B1583="","",$R1583),IF(INDEX(職員マスタ!$C$6:$C$405,$AP1583)="",$R1583,INDEX(職員マスタ!$C$6:$C$405,$AP1583)))</f>
        <v/>
      </c>
      <c r="Z1583" s="14">
        <f>IF($AQ1583="","","R"&amp;$C1583&amp;"."&amp;$D1583)</f>
        <v/>
      </c>
      <c r="AA1583" s="15">
        <f>IF(IF($AP1583="",FALSE,INDEX(職員マスタ!$K$6:$K$405,$AP1583)&lt;&gt;""),INDEX(職員マスタ!$K$6:$K$405,$AP1583),IF(N($W1583)&gt;0,$W1583,""))</f>
        <v/>
      </c>
      <c r="AB1583" s="14">
        <f>IF(OR($E1583="",$AA1583=""),"",IF($E1583&gt;=$AA1583,"×",IF($E1583&gt;=$AA1583*設定!$C$5,"△","○")))</f>
        <v/>
      </c>
      <c r="AC1583" s="15">
        <f>IF($AB1583="","",IF($AB1583="×",0,IF($AB1583="○",ROUNDDOWN($E1583*設定!$C$4,0),ROUNDDOWN($E1583*ROUND((9*$AA1583-9*$E1583)/(10*$E1583),4),0))))</f>
        <v/>
      </c>
      <c r="AD1583" s="13" t="n"/>
      <c r="AE1583" s="15">
        <f>IF($B1583="","",IF($AD1583&lt;&gt;"",$AD1583,IF($AC1583="","",IF($AC1583&lt;=設定!$C$3,0,$AC1583))))</f>
        <v/>
      </c>
      <c r="AF1583" s="14">
        <f>IF($B1583="","",IF(AND($AG1583&lt;&gt;"",$AI1583="",$AL1583=""),"保留中",IF($AL1583&lt;&gt;"",IF(N($AE1583)&gt;0,"支給済","不支給"),IF($AE1583="","要確認",IF($AE1583=0,"不支給","未処理")))))</f>
        <v/>
      </c>
      <c r="AG1583" s="12" t="n"/>
      <c r="AH1583" s="11" t="n"/>
      <c r="AI1583" s="11" t="n"/>
      <c r="AJ1583" s="11" t="n"/>
      <c r="AK1583" s="14">
        <f>IF(AND($AF1583="保留中",$AH1583&lt;&gt;""),TODAY()-$AH1583,"")</f>
        <v/>
      </c>
      <c r="AL1583" s="12" t="n"/>
      <c r="AM1583" s="14">
        <f>IF($B1583="","",IF($AQ1583="","対象年月が未入力／","")&amp;IF($B1583="","",IF($AP1583="","職員マスタに未登録の職員番号／",IF($AA1583="","標準報酬月額が未登録／","")&amp;IF(AND($AQ1583&lt;&gt;"",OR(AND(INDEX(職員マスタ!$G$6:$G$405,$AP1583)&lt;&gt;"",INDEX(職員マスタ!$G$6:$G$405,$AP1583)&gt;EOMONTH($AQ1583,0)),AND(INDEX(職員マスタ!$H$6:$H$405,$AP1583)&lt;&gt;"",INDEX(職員マスタ!$H$6:$H$405,$AP1583)&lt;$AQ1583))),"対象月が時短期間外／","")&amp;IF(AND(INDEX(職員マスタ!$K$6:$K$405,$AP1583)&lt;&gt;"",N($W1583)&gt;0,INDEX(職員マスタ!$K$6:$K$405,$AP1583)&lt;&gt;$W1583),"標準報酬月額が申請書と相違（台帳"&amp;TEXT(INDEX(職員マスタ!$K$6:$K$405,$AP1583),"#,##0")&amp;"円／申請書"&amp;TEXT($W1583,"#,##0")&amp;"円）／","")&amp;IF(AND(INDEX(職員マスタ!$F$6:$F$405,$AP1583)&lt;&gt;"",$AQ1583&lt;&gt;"",INDEX(職員マスタ!$F$6:$F$405,$AP1583)&lt;$AQ1583),"対象月に子が2歳到達済／","")&amp;IF(AND($H1583&lt;&gt;"",INDEX(職員マスタ!$B$6:$B$405,$AP1583)&lt;&gt;"",SUBSTITUTE(SUBSTITUTE($H1583," ","")," ","")&lt;&gt;SUBSTITUTE(SUBSTITUTE(INDEX(職員マスタ!$B$6:$B$405,$AP1583)," ","")," ","")),"氏名がマスタと相違／","")&amp;IF(AND($Q1583&lt;&gt;"",INDEX(職員マスタ!$E$6:$E$405,$AP1583)&lt;&gt;"",$Q1583&lt;&gt;INDEX(職員マスタ!$E$6:$E$405,$AP1583)),"子の生年月日がマスタと相違／","")&amp;IF(AND($L1583&lt;&gt;"",INDEX(職員マスタ!$G$6:$G$405,$AP1583)&lt;&gt;"",$L1583&lt;&gt;INDEX(職員マスタ!$G$6:$G$405,$AP1583)),"時短開始日がマスタと相違／","")&amp;IF(AND($M1583&lt;&gt;"",INDEX(職員マスタ!$H$6:$H$405,$AP1583)&lt;&gt;"",$M1583&lt;&gt;INDEX(職員マスタ!$H$6:$H$405,$AP1583)),"時短終了日がマスタと相違／","")))&amp;IF(AND($B1583&lt;&gt;"",$E1583=""),"報酬額が未入力／","")&amp;IF(N($U1583)&gt;0,"申請書に入力エラーが残っています／","")&amp;IF(AND($B1583&lt;&gt;"",$AQ1583&lt;&gt;""),IF(COUNTIFS($B$6:$B$3005,$B1583,$C$6:$C$3005,$C1583,$D$6:$D$3005,$D1583)&gt;1,"同じ月の請求が重複しています／",""),"")&amp;IF(AND(N($E1583)&gt;0,$AB1583&lt;&gt;"",$AB1583&lt;&gt;"×",$AE1583=0,$AD1583=""),"計算額が下限以下のため不支給／",""))</f>
        <v/>
      </c>
      <c r="AN1583" s="12" t="n"/>
      <c r="AO1583" s="14">
        <f>IF($AF1583="保留中",COUNTIF($AF$6:$AF1583,"保留中"),"")</f>
        <v/>
      </c>
      <c r="AP1583" s="14">
        <f>IF($AQ1583="","",IF(SUMPRODUCT(MAX((職員マスタ!$A$6:$A$405=$B1583)*(((職員マスタ!$G$6:$G$405="")+(職員マスタ!$G$6:$G$405&lt;=EOMONTH($AQ1583,0)))&gt;0)*(((職員マスタ!$H$6:$H$405="")+(職員マスタ!$H$6:$H$405&gt;=$AQ1583))&gt;0)*(ROW(職員マスタ!$A$6:$A$405)-5)))&gt;0,SUMPRODUCT(MAX((職員マスタ!$A$6:$A$405=$B1583)*(((職員マスタ!$G$6:$G$405="")+(職員マスタ!$G$6:$G$405&lt;=EOMONTH($AQ1583,0)))&gt;0)*(((職員マスタ!$H$6:$H$405="")+(職員マスタ!$H$6:$H$405&gt;=$AQ1583))&gt;0)*(ROW(職員マスタ!$A$6:$A$405)-5))),IFERROR(MATCH($B1583,職員マスタ!$A$6:$A$405,0),"")))</f>
        <v/>
      </c>
      <c r="AQ1583" s="16">
        <f>IF(OR($B1583="",$C1583="",$D1583=""),"",DATE($C1583+2018,$D1583,1))</f>
        <v/>
      </c>
    </row>
    <row r="1584">
      <c r="A1584" s="11" t="n"/>
      <c r="B1584" s="12" t="n"/>
      <c r="C1584" s="12" t="n"/>
      <c r="D1584" s="12" t="n"/>
      <c r="E1584" s="13" t="n"/>
      <c r="F1584" s="12" t="n"/>
      <c r="G1584" s="13" t="n"/>
      <c r="H1584" s="12" t="n"/>
      <c r="I1584" s="12" t="n"/>
      <c r="J1584" s="12" t="n"/>
      <c r="K1584" s="12" t="n"/>
      <c r="L1584" s="11" t="n"/>
      <c r="M1584" s="11" t="n"/>
      <c r="N1584" s="11" t="n"/>
      <c r="O1584" s="11" t="n"/>
      <c r="P1584" s="12" t="n"/>
      <c r="Q1584" s="11" t="n"/>
      <c r="R1584" s="12" t="n"/>
      <c r="S1584" s="11" t="n"/>
      <c r="T1584" s="12" t="n"/>
      <c r="U1584" s="12" t="n"/>
      <c r="V1584" s="12" t="n"/>
      <c r="W1584" s="13" t="n"/>
      <c r="X1584" s="14">
        <f>IF($AP1584="",IF($B1584="","",$H1584),IF(INDEX(職員マスタ!$B$6:$B$405,$AP1584)="",$H1584,INDEX(職員マスタ!$B$6:$B$405,$AP1584)))</f>
        <v/>
      </c>
      <c r="Y1584" s="14">
        <f>IF($AP1584="",IF($B1584="","",$R1584),IF(INDEX(職員マスタ!$C$6:$C$405,$AP1584)="",$R1584,INDEX(職員マスタ!$C$6:$C$405,$AP1584)))</f>
        <v/>
      </c>
      <c r="Z1584" s="14">
        <f>IF($AQ1584="","","R"&amp;$C1584&amp;"."&amp;$D1584)</f>
        <v/>
      </c>
      <c r="AA1584" s="15">
        <f>IF(IF($AP1584="",FALSE,INDEX(職員マスタ!$K$6:$K$405,$AP1584)&lt;&gt;""),INDEX(職員マスタ!$K$6:$K$405,$AP1584),IF(N($W1584)&gt;0,$W1584,""))</f>
        <v/>
      </c>
      <c r="AB1584" s="14">
        <f>IF(OR($E1584="",$AA1584=""),"",IF($E1584&gt;=$AA1584,"×",IF($E1584&gt;=$AA1584*設定!$C$5,"△","○")))</f>
        <v/>
      </c>
      <c r="AC1584" s="15">
        <f>IF($AB1584="","",IF($AB1584="×",0,IF($AB1584="○",ROUNDDOWN($E1584*設定!$C$4,0),ROUNDDOWN($E1584*ROUND((9*$AA1584-9*$E1584)/(10*$E1584),4),0))))</f>
        <v/>
      </c>
      <c r="AD1584" s="13" t="n"/>
      <c r="AE1584" s="15">
        <f>IF($B1584="","",IF($AD1584&lt;&gt;"",$AD1584,IF($AC1584="","",IF($AC1584&lt;=設定!$C$3,0,$AC1584))))</f>
        <v/>
      </c>
      <c r="AF1584" s="14">
        <f>IF($B1584="","",IF(AND($AG1584&lt;&gt;"",$AI1584="",$AL1584=""),"保留中",IF($AL1584&lt;&gt;"",IF(N($AE1584)&gt;0,"支給済","不支給"),IF($AE1584="","要確認",IF($AE1584=0,"不支給","未処理")))))</f>
        <v/>
      </c>
      <c r="AG1584" s="12" t="n"/>
      <c r="AH1584" s="11" t="n"/>
      <c r="AI1584" s="11" t="n"/>
      <c r="AJ1584" s="11" t="n"/>
      <c r="AK1584" s="14">
        <f>IF(AND($AF1584="保留中",$AH1584&lt;&gt;""),TODAY()-$AH1584,"")</f>
        <v/>
      </c>
      <c r="AL1584" s="12" t="n"/>
      <c r="AM1584" s="14">
        <f>IF($B1584="","",IF($AQ1584="","対象年月が未入力／","")&amp;IF($B1584="","",IF($AP1584="","職員マスタに未登録の職員番号／",IF($AA1584="","標準報酬月額が未登録／","")&amp;IF(AND($AQ1584&lt;&gt;"",OR(AND(INDEX(職員マスタ!$G$6:$G$405,$AP1584)&lt;&gt;"",INDEX(職員マスタ!$G$6:$G$405,$AP1584)&gt;EOMONTH($AQ1584,0)),AND(INDEX(職員マスタ!$H$6:$H$405,$AP1584)&lt;&gt;"",INDEX(職員マスタ!$H$6:$H$405,$AP1584)&lt;$AQ1584))),"対象月が時短期間外／","")&amp;IF(AND(INDEX(職員マスタ!$K$6:$K$405,$AP1584)&lt;&gt;"",N($W1584)&gt;0,INDEX(職員マスタ!$K$6:$K$405,$AP1584)&lt;&gt;$W1584),"標準報酬月額が申請書と相違（台帳"&amp;TEXT(INDEX(職員マスタ!$K$6:$K$405,$AP1584),"#,##0")&amp;"円／申請書"&amp;TEXT($W1584,"#,##0")&amp;"円）／","")&amp;IF(AND(INDEX(職員マスタ!$F$6:$F$405,$AP1584)&lt;&gt;"",$AQ1584&lt;&gt;"",INDEX(職員マスタ!$F$6:$F$405,$AP1584)&lt;$AQ1584),"対象月に子が2歳到達済／","")&amp;IF(AND($H1584&lt;&gt;"",INDEX(職員マスタ!$B$6:$B$405,$AP1584)&lt;&gt;"",SUBSTITUTE(SUBSTITUTE($H1584," ","")," ","")&lt;&gt;SUBSTITUTE(SUBSTITUTE(INDEX(職員マスタ!$B$6:$B$405,$AP1584)," ","")," ","")),"氏名がマスタと相違／","")&amp;IF(AND($Q1584&lt;&gt;"",INDEX(職員マスタ!$E$6:$E$405,$AP1584)&lt;&gt;"",$Q1584&lt;&gt;INDEX(職員マスタ!$E$6:$E$405,$AP1584)),"子の生年月日がマスタと相違／","")&amp;IF(AND($L1584&lt;&gt;"",INDEX(職員マスタ!$G$6:$G$405,$AP1584)&lt;&gt;"",$L1584&lt;&gt;INDEX(職員マスタ!$G$6:$G$405,$AP1584)),"時短開始日がマスタと相違／","")&amp;IF(AND($M1584&lt;&gt;"",INDEX(職員マスタ!$H$6:$H$405,$AP1584)&lt;&gt;"",$M1584&lt;&gt;INDEX(職員マスタ!$H$6:$H$405,$AP1584)),"時短終了日がマスタと相違／","")))&amp;IF(AND($B1584&lt;&gt;"",$E1584=""),"報酬額が未入力／","")&amp;IF(N($U1584)&gt;0,"申請書に入力エラーが残っています／","")&amp;IF(AND($B1584&lt;&gt;"",$AQ1584&lt;&gt;""),IF(COUNTIFS($B$6:$B$3005,$B1584,$C$6:$C$3005,$C1584,$D$6:$D$3005,$D1584)&gt;1,"同じ月の請求が重複しています／",""),"")&amp;IF(AND(N($E1584)&gt;0,$AB1584&lt;&gt;"",$AB1584&lt;&gt;"×",$AE1584=0,$AD1584=""),"計算額が下限以下のため不支給／",""))</f>
        <v/>
      </c>
      <c r="AN1584" s="12" t="n"/>
      <c r="AO1584" s="14">
        <f>IF($AF1584="保留中",COUNTIF($AF$6:$AF1584,"保留中"),"")</f>
        <v/>
      </c>
      <c r="AP1584" s="14">
        <f>IF($AQ1584="","",IF(SUMPRODUCT(MAX((職員マスタ!$A$6:$A$405=$B1584)*(((職員マスタ!$G$6:$G$405="")+(職員マスタ!$G$6:$G$405&lt;=EOMONTH($AQ1584,0)))&gt;0)*(((職員マスタ!$H$6:$H$405="")+(職員マスタ!$H$6:$H$405&gt;=$AQ1584))&gt;0)*(ROW(職員マスタ!$A$6:$A$405)-5)))&gt;0,SUMPRODUCT(MAX((職員マスタ!$A$6:$A$405=$B1584)*(((職員マスタ!$G$6:$G$405="")+(職員マスタ!$G$6:$G$405&lt;=EOMONTH($AQ1584,0)))&gt;0)*(((職員マスタ!$H$6:$H$405="")+(職員マスタ!$H$6:$H$405&gt;=$AQ1584))&gt;0)*(ROW(職員マスタ!$A$6:$A$405)-5))),IFERROR(MATCH($B1584,職員マスタ!$A$6:$A$405,0),"")))</f>
        <v/>
      </c>
      <c r="AQ1584" s="16">
        <f>IF(OR($B1584="",$C1584="",$D1584=""),"",DATE($C1584+2018,$D1584,1))</f>
        <v/>
      </c>
    </row>
    <row r="1585">
      <c r="A1585" s="11" t="n"/>
      <c r="B1585" s="12" t="n"/>
      <c r="C1585" s="12" t="n"/>
      <c r="D1585" s="12" t="n"/>
      <c r="E1585" s="13" t="n"/>
      <c r="F1585" s="12" t="n"/>
      <c r="G1585" s="13" t="n"/>
      <c r="H1585" s="12" t="n"/>
      <c r="I1585" s="12" t="n"/>
      <c r="J1585" s="12" t="n"/>
      <c r="K1585" s="12" t="n"/>
      <c r="L1585" s="11" t="n"/>
      <c r="M1585" s="11" t="n"/>
      <c r="N1585" s="11" t="n"/>
      <c r="O1585" s="11" t="n"/>
      <c r="P1585" s="12" t="n"/>
      <c r="Q1585" s="11" t="n"/>
      <c r="R1585" s="12" t="n"/>
      <c r="S1585" s="11" t="n"/>
      <c r="T1585" s="12" t="n"/>
      <c r="U1585" s="12" t="n"/>
      <c r="V1585" s="12" t="n"/>
      <c r="W1585" s="13" t="n"/>
      <c r="X1585" s="14">
        <f>IF($AP1585="",IF($B1585="","",$H1585),IF(INDEX(職員マスタ!$B$6:$B$405,$AP1585)="",$H1585,INDEX(職員マスタ!$B$6:$B$405,$AP1585)))</f>
        <v/>
      </c>
      <c r="Y1585" s="14">
        <f>IF($AP1585="",IF($B1585="","",$R1585),IF(INDEX(職員マスタ!$C$6:$C$405,$AP1585)="",$R1585,INDEX(職員マスタ!$C$6:$C$405,$AP1585)))</f>
        <v/>
      </c>
      <c r="Z1585" s="14">
        <f>IF($AQ1585="","","R"&amp;$C1585&amp;"."&amp;$D1585)</f>
        <v/>
      </c>
      <c r="AA1585" s="15">
        <f>IF(IF($AP1585="",FALSE,INDEX(職員マスタ!$K$6:$K$405,$AP1585)&lt;&gt;""),INDEX(職員マスタ!$K$6:$K$405,$AP1585),IF(N($W1585)&gt;0,$W1585,""))</f>
        <v/>
      </c>
      <c r="AB1585" s="14">
        <f>IF(OR($E1585="",$AA1585=""),"",IF($E1585&gt;=$AA1585,"×",IF($E1585&gt;=$AA1585*設定!$C$5,"△","○")))</f>
        <v/>
      </c>
      <c r="AC1585" s="15">
        <f>IF($AB1585="","",IF($AB1585="×",0,IF($AB1585="○",ROUNDDOWN($E1585*設定!$C$4,0),ROUNDDOWN($E1585*ROUND((9*$AA1585-9*$E1585)/(10*$E1585),4),0))))</f>
        <v/>
      </c>
      <c r="AD1585" s="13" t="n"/>
      <c r="AE1585" s="15">
        <f>IF($B1585="","",IF($AD1585&lt;&gt;"",$AD1585,IF($AC1585="","",IF($AC1585&lt;=設定!$C$3,0,$AC1585))))</f>
        <v/>
      </c>
      <c r="AF1585" s="14">
        <f>IF($B1585="","",IF(AND($AG1585&lt;&gt;"",$AI1585="",$AL1585=""),"保留中",IF($AL1585&lt;&gt;"",IF(N($AE1585)&gt;0,"支給済","不支給"),IF($AE1585="","要確認",IF($AE1585=0,"不支給","未処理")))))</f>
        <v/>
      </c>
      <c r="AG1585" s="12" t="n"/>
      <c r="AH1585" s="11" t="n"/>
      <c r="AI1585" s="11" t="n"/>
      <c r="AJ1585" s="11" t="n"/>
      <c r="AK1585" s="14">
        <f>IF(AND($AF1585="保留中",$AH1585&lt;&gt;""),TODAY()-$AH1585,"")</f>
        <v/>
      </c>
      <c r="AL1585" s="12" t="n"/>
      <c r="AM1585" s="14">
        <f>IF($B1585="","",IF($AQ1585="","対象年月が未入力／","")&amp;IF($B1585="","",IF($AP1585="","職員マスタに未登録の職員番号／",IF($AA1585="","標準報酬月額が未登録／","")&amp;IF(AND($AQ1585&lt;&gt;"",OR(AND(INDEX(職員マスタ!$G$6:$G$405,$AP1585)&lt;&gt;"",INDEX(職員マスタ!$G$6:$G$405,$AP1585)&gt;EOMONTH($AQ1585,0)),AND(INDEX(職員マスタ!$H$6:$H$405,$AP1585)&lt;&gt;"",INDEX(職員マスタ!$H$6:$H$405,$AP1585)&lt;$AQ1585))),"対象月が時短期間外／","")&amp;IF(AND(INDEX(職員マスタ!$K$6:$K$405,$AP1585)&lt;&gt;"",N($W1585)&gt;0,INDEX(職員マスタ!$K$6:$K$405,$AP1585)&lt;&gt;$W1585),"標準報酬月額が申請書と相違（台帳"&amp;TEXT(INDEX(職員マスタ!$K$6:$K$405,$AP1585),"#,##0")&amp;"円／申請書"&amp;TEXT($W1585,"#,##0")&amp;"円）／","")&amp;IF(AND(INDEX(職員マスタ!$F$6:$F$405,$AP1585)&lt;&gt;"",$AQ1585&lt;&gt;"",INDEX(職員マスタ!$F$6:$F$405,$AP1585)&lt;$AQ1585),"対象月に子が2歳到達済／","")&amp;IF(AND($H1585&lt;&gt;"",INDEX(職員マスタ!$B$6:$B$405,$AP1585)&lt;&gt;"",SUBSTITUTE(SUBSTITUTE($H1585," ","")," ","")&lt;&gt;SUBSTITUTE(SUBSTITUTE(INDEX(職員マスタ!$B$6:$B$405,$AP1585)," ","")," ","")),"氏名がマスタと相違／","")&amp;IF(AND($Q1585&lt;&gt;"",INDEX(職員マスタ!$E$6:$E$405,$AP1585)&lt;&gt;"",$Q1585&lt;&gt;INDEX(職員マスタ!$E$6:$E$405,$AP1585)),"子の生年月日がマスタと相違／","")&amp;IF(AND($L1585&lt;&gt;"",INDEX(職員マスタ!$G$6:$G$405,$AP1585)&lt;&gt;"",$L1585&lt;&gt;INDEX(職員マスタ!$G$6:$G$405,$AP1585)),"時短開始日がマスタと相違／","")&amp;IF(AND($M1585&lt;&gt;"",INDEX(職員マスタ!$H$6:$H$405,$AP1585)&lt;&gt;"",$M1585&lt;&gt;INDEX(職員マスタ!$H$6:$H$405,$AP1585)),"時短終了日がマスタと相違／","")))&amp;IF(AND($B1585&lt;&gt;"",$E1585=""),"報酬額が未入力／","")&amp;IF(N($U1585)&gt;0,"申請書に入力エラーが残っています／","")&amp;IF(AND($B1585&lt;&gt;"",$AQ1585&lt;&gt;""),IF(COUNTIFS($B$6:$B$3005,$B1585,$C$6:$C$3005,$C1585,$D$6:$D$3005,$D1585)&gt;1,"同じ月の請求が重複しています／",""),"")&amp;IF(AND(N($E1585)&gt;0,$AB1585&lt;&gt;"",$AB1585&lt;&gt;"×",$AE1585=0,$AD1585=""),"計算額が下限以下のため不支給／",""))</f>
        <v/>
      </c>
      <c r="AN1585" s="12" t="n"/>
      <c r="AO1585" s="14">
        <f>IF($AF1585="保留中",COUNTIF($AF$6:$AF1585,"保留中"),"")</f>
        <v/>
      </c>
      <c r="AP1585" s="14">
        <f>IF($AQ1585="","",IF(SUMPRODUCT(MAX((職員マスタ!$A$6:$A$405=$B1585)*(((職員マスタ!$G$6:$G$405="")+(職員マスタ!$G$6:$G$405&lt;=EOMONTH($AQ1585,0)))&gt;0)*(((職員マスタ!$H$6:$H$405="")+(職員マスタ!$H$6:$H$405&gt;=$AQ1585))&gt;0)*(ROW(職員マスタ!$A$6:$A$405)-5)))&gt;0,SUMPRODUCT(MAX((職員マスタ!$A$6:$A$405=$B1585)*(((職員マスタ!$G$6:$G$405="")+(職員マスタ!$G$6:$G$405&lt;=EOMONTH($AQ1585,0)))&gt;0)*(((職員マスタ!$H$6:$H$405="")+(職員マスタ!$H$6:$H$405&gt;=$AQ1585))&gt;0)*(ROW(職員マスタ!$A$6:$A$405)-5))),IFERROR(MATCH($B1585,職員マスタ!$A$6:$A$405,0),"")))</f>
        <v/>
      </c>
      <c r="AQ1585" s="16">
        <f>IF(OR($B1585="",$C1585="",$D1585=""),"",DATE($C1585+2018,$D1585,1))</f>
        <v/>
      </c>
    </row>
    <row r="1586">
      <c r="A1586" s="11" t="n"/>
      <c r="B1586" s="12" t="n"/>
      <c r="C1586" s="12" t="n"/>
      <c r="D1586" s="12" t="n"/>
      <c r="E1586" s="13" t="n"/>
      <c r="F1586" s="12" t="n"/>
      <c r="G1586" s="13" t="n"/>
      <c r="H1586" s="12" t="n"/>
      <c r="I1586" s="12" t="n"/>
      <c r="J1586" s="12" t="n"/>
      <c r="K1586" s="12" t="n"/>
      <c r="L1586" s="11" t="n"/>
      <c r="M1586" s="11" t="n"/>
      <c r="N1586" s="11" t="n"/>
      <c r="O1586" s="11" t="n"/>
      <c r="P1586" s="12" t="n"/>
      <c r="Q1586" s="11" t="n"/>
      <c r="R1586" s="12" t="n"/>
      <c r="S1586" s="11" t="n"/>
      <c r="T1586" s="12" t="n"/>
      <c r="U1586" s="12" t="n"/>
      <c r="V1586" s="12" t="n"/>
      <c r="W1586" s="13" t="n"/>
      <c r="X1586" s="14">
        <f>IF($AP1586="",IF($B1586="","",$H1586),IF(INDEX(職員マスタ!$B$6:$B$405,$AP1586)="",$H1586,INDEX(職員マスタ!$B$6:$B$405,$AP1586)))</f>
        <v/>
      </c>
      <c r="Y1586" s="14">
        <f>IF($AP1586="",IF($B1586="","",$R1586),IF(INDEX(職員マスタ!$C$6:$C$405,$AP1586)="",$R1586,INDEX(職員マスタ!$C$6:$C$405,$AP1586)))</f>
        <v/>
      </c>
      <c r="Z1586" s="14">
        <f>IF($AQ1586="","","R"&amp;$C1586&amp;"."&amp;$D1586)</f>
        <v/>
      </c>
      <c r="AA1586" s="15">
        <f>IF(IF($AP1586="",FALSE,INDEX(職員マスタ!$K$6:$K$405,$AP1586)&lt;&gt;""),INDEX(職員マスタ!$K$6:$K$405,$AP1586),IF(N($W1586)&gt;0,$W1586,""))</f>
        <v/>
      </c>
      <c r="AB1586" s="14">
        <f>IF(OR($E1586="",$AA1586=""),"",IF($E1586&gt;=$AA1586,"×",IF($E1586&gt;=$AA1586*設定!$C$5,"△","○")))</f>
        <v/>
      </c>
      <c r="AC1586" s="15">
        <f>IF($AB1586="","",IF($AB1586="×",0,IF($AB1586="○",ROUNDDOWN($E1586*設定!$C$4,0),ROUNDDOWN($E1586*ROUND((9*$AA1586-9*$E1586)/(10*$E1586),4),0))))</f>
        <v/>
      </c>
      <c r="AD1586" s="13" t="n"/>
      <c r="AE1586" s="15">
        <f>IF($B1586="","",IF($AD1586&lt;&gt;"",$AD1586,IF($AC1586="","",IF($AC1586&lt;=設定!$C$3,0,$AC1586))))</f>
        <v/>
      </c>
      <c r="AF1586" s="14">
        <f>IF($B1586="","",IF(AND($AG1586&lt;&gt;"",$AI1586="",$AL1586=""),"保留中",IF($AL1586&lt;&gt;"",IF(N($AE1586)&gt;0,"支給済","不支給"),IF($AE1586="","要確認",IF($AE1586=0,"不支給","未処理")))))</f>
        <v/>
      </c>
      <c r="AG1586" s="12" t="n"/>
      <c r="AH1586" s="11" t="n"/>
      <c r="AI1586" s="11" t="n"/>
      <c r="AJ1586" s="11" t="n"/>
      <c r="AK1586" s="14">
        <f>IF(AND($AF1586="保留中",$AH1586&lt;&gt;""),TODAY()-$AH1586,"")</f>
        <v/>
      </c>
      <c r="AL1586" s="12" t="n"/>
      <c r="AM1586" s="14">
        <f>IF($B1586="","",IF($AQ1586="","対象年月が未入力／","")&amp;IF($B1586="","",IF($AP1586="","職員マスタに未登録の職員番号／",IF($AA1586="","標準報酬月額が未登録／","")&amp;IF(AND($AQ1586&lt;&gt;"",OR(AND(INDEX(職員マスタ!$G$6:$G$405,$AP1586)&lt;&gt;"",INDEX(職員マスタ!$G$6:$G$405,$AP1586)&gt;EOMONTH($AQ1586,0)),AND(INDEX(職員マスタ!$H$6:$H$405,$AP1586)&lt;&gt;"",INDEX(職員マスタ!$H$6:$H$405,$AP1586)&lt;$AQ1586))),"対象月が時短期間外／","")&amp;IF(AND(INDEX(職員マスタ!$K$6:$K$405,$AP1586)&lt;&gt;"",N($W1586)&gt;0,INDEX(職員マスタ!$K$6:$K$405,$AP1586)&lt;&gt;$W1586),"標準報酬月額が申請書と相違（台帳"&amp;TEXT(INDEX(職員マスタ!$K$6:$K$405,$AP1586),"#,##0")&amp;"円／申請書"&amp;TEXT($W1586,"#,##0")&amp;"円）／","")&amp;IF(AND(INDEX(職員マスタ!$F$6:$F$405,$AP1586)&lt;&gt;"",$AQ1586&lt;&gt;"",INDEX(職員マスタ!$F$6:$F$405,$AP1586)&lt;$AQ1586),"対象月に子が2歳到達済／","")&amp;IF(AND($H1586&lt;&gt;"",INDEX(職員マスタ!$B$6:$B$405,$AP1586)&lt;&gt;"",SUBSTITUTE(SUBSTITUTE($H1586," ","")," ","")&lt;&gt;SUBSTITUTE(SUBSTITUTE(INDEX(職員マスタ!$B$6:$B$405,$AP1586)," ","")," ","")),"氏名がマスタと相違／","")&amp;IF(AND($Q1586&lt;&gt;"",INDEX(職員マスタ!$E$6:$E$405,$AP1586)&lt;&gt;"",$Q1586&lt;&gt;INDEX(職員マスタ!$E$6:$E$405,$AP1586)),"子の生年月日がマスタと相違／","")&amp;IF(AND($L1586&lt;&gt;"",INDEX(職員マスタ!$G$6:$G$405,$AP1586)&lt;&gt;"",$L1586&lt;&gt;INDEX(職員マスタ!$G$6:$G$405,$AP1586)),"時短開始日がマスタと相違／","")&amp;IF(AND($M1586&lt;&gt;"",INDEX(職員マスタ!$H$6:$H$405,$AP1586)&lt;&gt;"",$M1586&lt;&gt;INDEX(職員マスタ!$H$6:$H$405,$AP1586)),"時短終了日がマスタと相違／","")))&amp;IF(AND($B1586&lt;&gt;"",$E1586=""),"報酬額が未入力／","")&amp;IF(N($U1586)&gt;0,"申請書に入力エラーが残っています／","")&amp;IF(AND($B1586&lt;&gt;"",$AQ1586&lt;&gt;""),IF(COUNTIFS($B$6:$B$3005,$B1586,$C$6:$C$3005,$C1586,$D$6:$D$3005,$D1586)&gt;1,"同じ月の請求が重複しています／",""),"")&amp;IF(AND(N($E1586)&gt;0,$AB1586&lt;&gt;"",$AB1586&lt;&gt;"×",$AE1586=0,$AD1586=""),"計算額が下限以下のため不支給／",""))</f>
        <v/>
      </c>
      <c r="AN1586" s="12" t="n"/>
      <c r="AO1586" s="14">
        <f>IF($AF1586="保留中",COUNTIF($AF$6:$AF1586,"保留中"),"")</f>
        <v/>
      </c>
      <c r="AP1586" s="14">
        <f>IF($AQ1586="","",IF(SUMPRODUCT(MAX((職員マスタ!$A$6:$A$405=$B1586)*(((職員マスタ!$G$6:$G$405="")+(職員マスタ!$G$6:$G$405&lt;=EOMONTH($AQ1586,0)))&gt;0)*(((職員マスタ!$H$6:$H$405="")+(職員マスタ!$H$6:$H$405&gt;=$AQ1586))&gt;0)*(ROW(職員マスタ!$A$6:$A$405)-5)))&gt;0,SUMPRODUCT(MAX((職員マスタ!$A$6:$A$405=$B1586)*(((職員マスタ!$G$6:$G$405="")+(職員マスタ!$G$6:$G$405&lt;=EOMONTH($AQ1586,0)))&gt;0)*(((職員マスタ!$H$6:$H$405="")+(職員マスタ!$H$6:$H$405&gt;=$AQ1586))&gt;0)*(ROW(職員マスタ!$A$6:$A$405)-5))),IFERROR(MATCH($B1586,職員マスタ!$A$6:$A$405,0),"")))</f>
        <v/>
      </c>
      <c r="AQ1586" s="16">
        <f>IF(OR($B1586="",$C1586="",$D1586=""),"",DATE($C1586+2018,$D1586,1))</f>
        <v/>
      </c>
    </row>
    <row r="1587">
      <c r="A1587" s="11" t="n"/>
      <c r="B1587" s="12" t="n"/>
      <c r="C1587" s="12" t="n"/>
      <c r="D1587" s="12" t="n"/>
      <c r="E1587" s="13" t="n"/>
      <c r="F1587" s="12" t="n"/>
      <c r="G1587" s="13" t="n"/>
      <c r="H1587" s="12" t="n"/>
      <c r="I1587" s="12" t="n"/>
      <c r="J1587" s="12" t="n"/>
      <c r="K1587" s="12" t="n"/>
      <c r="L1587" s="11" t="n"/>
      <c r="M1587" s="11" t="n"/>
      <c r="N1587" s="11" t="n"/>
      <c r="O1587" s="11" t="n"/>
      <c r="P1587" s="12" t="n"/>
      <c r="Q1587" s="11" t="n"/>
      <c r="R1587" s="12" t="n"/>
      <c r="S1587" s="11" t="n"/>
      <c r="T1587" s="12" t="n"/>
      <c r="U1587" s="12" t="n"/>
      <c r="V1587" s="12" t="n"/>
      <c r="W1587" s="13" t="n"/>
      <c r="X1587" s="14">
        <f>IF($AP1587="",IF($B1587="","",$H1587),IF(INDEX(職員マスタ!$B$6:$B$405,$AP1587)="",$H1587,INDEX(職員マスタ!$B$6:$B$405,$AP1587)))</f>
        <v/>
      </c>
      <c r="Y1587" s="14">
        <f>IF($AP1587="",IF($B1587="","",$R1587),IF(INDEX(職員マスタ!$C$6:$C$405,$AP1587)="",$R1587,INDEX(職員マスタ!$C$6:$C$405,$AP1587)))</f>
        <v/>
      </c>
      <c r="Z1587" s="14">
        <f>IF($AQ1587="","","R"&amp;$C1587&amp;"."&amp;$D1587)</f>
        <v/>
      </c>
      <c r="AA1587" s="15">
        <f>IF(IF($AP1587="",FALSE,INDEX(職員マスタ!$K$6:$K$405,$AP1587)&lt;&gt;""),INDEX(職員マスタ!$K$6:$K$405,$AP1587),IF(N($W1587)&gt;0,$W1587,""))</f>
        <v/>
      </c>
      <c r="AB1587" s="14">
        <f>IF(OR($E1587="",$AA1587=""),"",IF($E1587&gt;=$AA1587,"×",IF($E1587&gt;=$AA1587*設定!$C$5,"△","○")))</f>
        <v/>
      </c>
      <c r="AC1587" s="15">
        <f>IF($AB1587="","",IF($AB1587="×",0,IF($AB1587="○",ROUNDDOWN($E1587*設定!$C$4,0),ROUNDDOWN($E1587*ROUND((9*$AA1587-9*$E1587)/(10*$E1587),4),0))))</f>
        <v/>
      </c>
      <c r="AD1587" s="13" t="n"/>
      <c r="AE1587" s="15">
        <f>IF($B1587="","",IF($AD1587&lt;&gt;"",$AD1587,IF($AC1587="","",IF($AC1587&lt;=設定!$C$3,0,$AC1587))))</f>
        <v/>
      </c>
      <c r="AF1587" s="14">
        <f>IF($B1587="","",IF(AND($AG1587&lt;&gt;"",$AI1587="",$AL1587=""),"保留中",IF($AL1587&lt;&gt;"",IF(N($AE1587)&gt;0,"支給済","不支給"),IF($AE1587="","要確認",IF($AE1587=0,"不支給","未処理")))))</f>
        <v/>
      </c>
      <c r="AG1587" s="12" t="n"/>
      <c r="AH1587" s="11" t="n"/>
      <c r="AI1587" s="11" t="n"/>
      <c r="AJ1587" s="11" t="n"/>
      <c r="AK1587" s="14">
        <f>IF(AND($AF1587="保留中",$AH1587&lt;&gt;""),TODAY()-$AH1587,"")</f>
        <v/>
      </c>
      <c r="AL1587" s="12" t="n"/>
      <c r="AM1587" s="14">
        <f>IF($B1587="","",IF($AQ1587="","対象年月が未入力／","")&amp;IF($B1587="","",IF($AP1587="","職員マスタに未登録の職員番号／",IF($AA1587="","標準報酬月額が未登録／","")&amp;IF(AND($AQ1587&lt;&gt;"",OR(AND(INDEX(職員マスタ!$G$6:$G$405,$AP1587)&lt;&gt;"",INDEX(職員マスタ!$G$6:$G$405,$AP1587)&gt;EOMONTH($AQ1587,0)),AND(INDEX(職員マスタ!$H$6:$H$405,$AP1587)&lt;&gt;"",INDEX(職員マスタ!$H$6:$H$405,$AP1587)&lt;$AQ1587))),"対象月が時短期間外／","")&amp;IF(AND(INDEX(職員マスタ!$K$6:$K$405,$AP1587)&lt;&gt;"",N($W1587)&gt;0,INDEX(職員マスタ!$K$6:$K$405,$AP1587)&lt;&gt;$W1587),"標準報酬月額が申請書と相違（台帳"&amp;TEXT(INDEX(職員マスタ!$K$6:$K$405,$AP1587),"#,##0")&amp;"円／申請書"&amp;TEXT($W1587,"#,##0")&amp;"円）／","")&amp;IF(AND(INDEX(職員マスタ!$F$6:$F$405,$AP1587)&lt;&gt;"",$AQ1587&lt;&gt;"",INDEX(職員マスタ!$F$6:$F$405,$AP1587)&lt;$AQ1587),"対象月に子が2歳到達済／","")&amp;IF(AND($H1587&lt;&gt;"",INDEX(職員マスタ!$B$6:$B$405,$AP1587)&lt;&gt;"",SUBSTITUTE(SUBSTITUTE($H1587," ","")," ","")&lt;&gt;SUBSTITUTE(SUBSTITUTE(INDEX(職員マスタ!$B$6:$B$405,$AP1587)," ","")," ","")),"氏名がマスタと相違／","")&amp;IF(AND($Q1587&lt;&gt;"",INDEX(職員マスタ!$E$6:$E$405,$AP1587)&lt;&gt;"",$Q1587&lt;&gt;INDEX(職員マスタ!$E$6:$E$405,$AP1587)),"子の生年月日がマスタと相違／","")&amp;IF(AND($L1587&lt;&gt;"",INDEX(職員マスタ!$G$6:$G$405,$AP1587)&lt;&gt;"",$L1587&lt;&gt;INDEX(職員マスタ!$G$6:$G$405,$AP1587)),"時短開始日がマスタと相違／","")&amp;IF(AND($M1587&lt;&gt;"",INDEX(職員マスタ!$H$6:$H$405,$AP1587)&lt;&gt;"",$M1587&lt;&gt;INDEX(職員マスタ!$H$6:$H$405,$AP1587)),"時短終了日がマスタと相違／","")))&amp;IF(AND($B1587&lt;&gt;"",$E1587=""),"報酬額が未入力／","")&amp;IF(N($U1587)&gt;0,"申請書に入力エラーが残っています／","")&amp;IF(AND($B1587&lt;&gt;"",$AQ1587&lt;&gt;""),IF(COUNTIFS($B$6:$B$3005,$B1587,$C$6:$C$3005,$C1587,$D$6:$D$3005,$D1587)&gt;1,"同じ月の請求が重複しています／",""),"")&amp;IF(AND(N($E1587)&gt;0,$AB1587&lt;&gt;"",$AB1587&lt;&gt;"×",$AE1587=0,$AD1587=""),"計算額が下限以下のため不支給／",""))</f>
        <v/>
      </c>
      <c r="AN1587" s="12" t="n"/>
      <c r="AO1587" s="14">
        <f>IF($AF1587="保留中",COUNTIF($AF$6:$AF1587,"保留中"),"")</f>
        <v/>
      </c>
      <c r="AP1587" s="14">
        <f>IF($AQ1587="","",IF(SUMPRODUCT(MAX((職員マスタ!$A$6:$A$405=$B1587)*(((職員マスタ!$G$6:$G$405="")+(職員マスタ!$G$6:$G$405&lt;=EOMONTH($AQ1587,0)))&gt;0)*(((職員マスタ!$H$6:$H$405="")+(職員マスタ!$H$6:$H$405&gt;=$AQ1587))&gt;0)*(ROW(職員マスタ!$A$6:$A$405)-5)))&gt;0,SUMPRODUCT(MAX((職員マスタ!$A$6:$A$405=$B1587)*(((職員マスタ!$G$6:$G$405="")+(職員マスタ!$G$6:$G$405&lt;=EOMONTH($AQ1587,0)))&gt;0)*(((職員マスタ!$H$6:$H$405="")+(職員マスタ!$H$6:$H$405&gt;=$AQ1587))&gt;0)*(ROW(職員マスタ!$A$6:$A$405)-5))),IFERROR(MATCH($B1587,職員マスタ!$A$6:$A$405,0),"")))</f>
        <v/>
      </c>
      <c r="AQ1587" s="16">
        <f>IF(OR($B1587="",$C1587="",$D1587=""),"",DATE($C1587+2018,$D1587,1))</f>
        <v/>
      </c>
    </row>
    <row r="1588">
      <c r="A1588" s="11" t="n"/>
      <c r="B1588" s="12" t="n"/>
      <c r="C1588" s="12" t="n"/>
      <c r="D1588" s="12" t="n"/>
      <c r="E1588" s="13" t="n"/>
      <c r="F1588" s="12" t="n"/>
      <c r="G1588" s="13" t="n"/>
      <c r="H1588" s="12" t="n"/>
      <c r="I1588" s="12" t="n"/>
      <c r="J1588" s="12" t="n"/>
      <c r="K1588" s="12" t="n"/>
      <c r="L1588" s="11" t="n"/>
      <c r="M1588" s="11" t="n"/>
      <c r="N1588" s="11" t="n"/>
      <c r="O1588" s="11" t="n"/>
      <c r="P1588" s="12" t="n"/>
      <c r="Q1588" s="11" t="n"/>
      <c r="R1588" s="12" t="n"/>
      <c r="S1588" s="11" t="n"/>
      <c r="T1588" s="12" t="n"/>
      <c r="U1588" s="12" t="n"/>
      <c r="V1588" s="12" t="n"/>
      <c r="W1588" s="13" t="n"/>
      <c r="X1588" s="14">
        <f>IF($AP1588="",IF($B1588="","",$H1588),IF(INDEX(職員マスタ!$B$6:$B$405,$AP1588)="",$H1588,INDEX(職員マスタ!$B$6:$B$405,$AP1588)))</f>
        <v/>
      </c>
      <c r="Y1588" s="14">
        <f>IF($AP1588="",IF($B1588="","",$R1588),IF(INDEX(職員マスタ!$C$6:$C$405,$AP1588)="",$R1588,INDEX(職員マスタ!$C$6:$C$405,$AP1588)))</f>
        <v/>
      </c>
      <c r="Z1588" s="14">
        <f>IF($AQ1588="","","R"&amp;$C1588&amp;"."&amp;$D1588)</f>
        <v/>
      </c>
      <c r="AA1588" s="15">
        <f>IF(IF($AP1588="",FALSE,INDEX(職員マスタ!$K$6:$K$405,$AP1588)&lt;&gt;""),INDEX(職員マスタ!$K$6:$K$405,$AP1588),IF(N($W1588)&gt;0,$W1588,""))</f>
        <v/>
      </c>
      <c r="AB1588" s="14">
        <f>IF(OR($E1588="",$AA1588=""),"",IF($E1588&gt;=$AA1588,"×",IF($E1588&gt;=$AA1588*設定!$C$5,"△","○")))</f>
        <v/>
      </c>
      <c r="AC1588" s="15">
        <f>IF($AB1588="","",IF($AB1588="×",0,IF($AB1588="○",ROUNDDOWN($E1588*設定!$C$4,0),ROUNDDOWN($E1588*ROUND((9*$AA1588-9*$E1588)/(10*$E1588),4),0))))</f>
        <v/>
      </c>
      <c r="AD1588" s="13" t="n"/>
      <c r="AE1588" s="15">
        <f>IF($B1588="","",IF($AD1588&lt;&gt;"",$AD1588,IF($AC1588="","",IF($AC1588&lt;=設定!$C$3,0,$AC1588))))</f>
        <v/>
      </c>
      <c r="AF1588" s="14">
        <f>IF($B1588="","",IF(AND($AG1588&lt;&gt;"",$AI1588="",$AL1588=""),"保留中",IF($AL1588&lt;&gt;"",IF(N($AE1588)&gt;0,"支給済","不支給"),IF($AE1588="","要確認",IF($AE1588=0,"不支給","未処理")))))</f>
        <v/>
      </c>
      <c r="AG1588" s="12" t="n"/>
      <c r="AH1588" s="11" t="n"/>
      <c r="AI1588" s="11" t="n"/>
      <c r="AJ1588" s="11" t="n"/>
      <c r="AK1588" s="14">
        <f>IF(AND($AF1588="保留中",$AH1588&lt;&gt;""),TODAY()-$AH1588,"")</f>
        <v/>
      </c>
      <c r="AL1588" s="12" t="n"/>
      <c r="AM1588" s="14">
        <f>IF($B1588="","",IF($AQ1588="","対象年月が未入力／","")&amp;IF($B1588="","",IF($AP1588="","職員マスタに未登録の職員番号／",IF($AA1588="","標準報酬月額が未登録／","")&amp;IF(AND($AQ1588&lt;&gt;"",OR(AND(INDEX(職員マスタ!$G$6:$G$405,$AP1588)&lt;&gt;"",INDEX(職員マスタ!$G$6:$G$405,$AP1588)&gt;EOMONTH($AQ1588,0)),AND(INDEX(職員マスタ!$H$6:$H$405,$AP1588)&lt;&gt;"",INDEX(職員マスタ!$H$6:$H$405,$AP1588)&lt;$AQ1588))),"対象月が時短期間外／","")&amp;IF(AND(INDEX(職員マスタ!$K$6:$K$405,$AP1588)&lt;&gt;"",N($W1588)&gt;0,INDEX(職員マスタ!$K$6:$K$405,$AP1588)&lt;&gt;$W1588),"標準報酬月額が申請書と相違（台帳"&amp;TEXT(INDEX(職員マスタ!$K$6:$K$405,$AP1588),"#,##0")&amp;"円／申請書"&amp;TEXT($W1588,"#,##0")&amp;"円）／","")&amp;IF(AND(INDEX(職員マスタ!$F$6:$F$405,$AP1588)&lt;&gt;"",$AQ1588&lt;&gt;"",INDEX(職員マスタ!$F$6:$F$405,$AP1588)&lt;$AQ1588),"対象月に子が2歳到達済／","")&amp;IF(AND($H1588&lt;&gt;"",INDEX(職員マスタ!$B$6:$B$405,$AP1588)&lt;&gt;"",SUBSTITUTE(SUBSTITUTE($H1588," ","")," ","")&lt;&gt;SUBSTITUTE(SUBSTITUTE(INDEX(職員マスタ!$B$6:$B$405,$AP1588)," ","")," ","")),"氏名がマスタと相違／","")&amp;IF(AND($Q1588&lt;&gt;"",INDEX(職員マスタ!$E$6:$E$405,$AP1588)&lt;&gt;"",$Q1588&lt;&gt;INDEX(職員マスタ!$E$6:$E$405,$AP1588)),"子の生年月日がマスタと相違／","")&amp;IF(AND($L1588&lt;&gt;"",INDEX(職員マスタ!$G$6:$G$405,$AP1588)&lt;&gt;"",$L1588&lt;&gt;INDEX(職員マスタ!$G$6:$G$405,$AP1588)),"時短開始日がマスタと相違／","")&amp;IF(AND($M1588&lt;&gt;"",INDEX(職員マスタ!$H$6:$H$405,$AP1588)&lt;&gt;"",$M1588&lt;&gt;INDEX(職員マスタ!$H$6:$H$405,$AP1588)),"時短終了日がマスタと相違／","")))&amp;IF(AND($B1588&lt;&gt;"",$E1588=""),"報酬額が未入力／","")&amp;IF(N($U1588)&gt;0,"申請書に入力エラーが残っています／","")&amp;IF(AND($B1588&lt;&gt;"",$AQ1588&lt;&gt;""),IF(COUNTIFS($B$6:$B$3005,$B1588,$C$6:$C$3005,$C1588,$D$6:$D$3005,$D1588)&gt;1,"同じ月の請求が重複しています／",""),"")&amp;IF(AND(N($E1588)&gt;0,$AB1588&lt;&gt;"",$AB1588&lt;&gt;"×",$AE1588=0,$AD1588=""),"計算額が下限以下のため不支給／",""))</f>
        <v/>
      </c>
      <c r="AN1588" s="12" t="n"/>
      <c r="AO1588" s="14">
        <f>IF($AF1588="保留中",COUNTIF($AF$6:$AF1588,"保留中"),"")</f>
        <v/>
      </c>
      <c r="AP1588" s="14">
        <f>IF($AQ1588="","",IF(SUMPRODUCT(MAX((職員マスタ!$A$6:$A$405=$B1588)*(((職員マスタ!$G$6:$G$405="")+(職員マスタ!$G$6:$G$405&lt;=EOMONTH($AQ1588,0)))&gt;0)*(((職員マスタ!$H$6:$H$405="")+(職員マスタ!$H$6:$H$405&gt;=$AQ1588))&gt;0)*(ROW(職員マスタ!$A$6:$A$405)-5)))&gt;0,SUMPRODUCT(MAX((職員マスタ!$A$6:$A$405=$B1588)*(((職員マスタ!$G$6:$G$405="")+(職員マスタ!$G$6:$G$405&lt;=EOMONTH($AQ1588,0)))&gt;0)*(((職員マスタ!$H$6:$H$405="")+(職員マスタ!$H$6:$H$405&gt;=$AQ1588))&gt;0)*(ROW(職員マスタ!$A$6:$A$405)-5))),IFERROR(MATCH($B1588,職員マスタ!$A$6:$A$405,0),"")))</f>
        <v/>
      </c>
      <c r="AQ1588" s="16">
        <f>IF(OR($B1588="",$C1588="",$D1588=""),"",DATE($C1588+2018,$D1588,1))</f>
        <v/>
      </c>
    </row>
    <row r="1589">
      <c r="A1589" s="11" t="n"/>
      <c r="B1589" s="12" t="n"/>
      <c r="C1589" s="12" t="n"/>
      <c r="D1589" s="12" t="n"/>
      <c r="E1589" s="13" t="n"/>
      <c r="F1589" s="12" t="n"/>
      <c r="G1589" s="13" t="n"/>
      <c r="H1589" s="12" t="n"/>
      <c r="I1589" s="12" t="n"/>
      <c r="J1589" s="12" t="n"/>
      <c r="K1589" s="12" t="n"/>
      <c r="L1589" s="11" t="n"/>
      <c r="M1589" s="11" t="n"/>
      <c r="N1589" s="11" t="n"/>
      <c r="O1589" s="11" t="n"/>
      <c r="P1589" s="12" t="n"/>
      <c r="Q1589" s="11" t="n"/>
      <c r="R1589" s="12" t="n"/>
      <c r="S1589" s="11" t="n"/>
      <c r="T1589" s="12" t="n"/>
      <c r="U1589" s="12" t="n"/>
      <c r="V1589" s="12" t="n"/>
      <c r="W1589" s="13" t="n"/>
      <c r="X1589" s="14">
        <f>IF($AP1589="",IF($B1589="","",$H1589),IF(INDEX(職員マスタ!$B$6:$B$405,$AP1589)="",$H1589,INDEX(職員マスタ!$B$6:$B$405,$AP1589)))</f>
        <v/>
      </c>
      <c r="Y1589" s="14">
        <f>IF($AP1589="",IF($B1589="","",$R1589),IF(INDEX(職員マスタ!$C$6:$C$405,$AP1589)="",$R1589,INDEX(職員マスタ!$C$6:$C$405,$AP1589)))</f>
        <v/>
      </c>
      <c r="Z1589" s="14">
        <f>IF($AQ1589="","","R"&amp;$C1589&amp;"."&amp;$D1589)</f>
        <v/>
      </c>
      <c r="AA1589" s="15">
        <f>IF(IF($AP1589="",FALSE,INDEX(職員マスタ!$K$6:$K$405,$AP1589)&lt;&gt;""),INDEX(職員マスタ!$K$6:$K$405,$AP1589),IF(N($W1589)&gt;0,$W1589,""))</f>
        <v/>
      </c>
      <c r="AB1589" s="14">
        <f>IF(OR($E1589="",$AA1589=""),"",IF($E1589&gt;=$AA1589,"×",IF($E1589&gt;=$AA1589*設定!$C$5,"△","○")))</f>
        <v/>
      </c>
      <c r="AC1589" s="15">
        <f>IF($AB1589="","",IF($AB1589="×",0,IF($AB1589="○",ROUNDDOWN($E1589*設定!$C$4,0),ROUNDDOWN($E1589*ROUND((9*$AA1589-9*$E1589)/(10*$E1589),4),0))))</f>
        <v/>
      </c>
      <c r="AD1589" s="13" t="n"/>
      <c r="AE1589" s="15">
        <f>IF($B1589="","",IF($AD1589&lt;&gt;"",$AD1589,IF($AC1589="","",IF($AC1589&lt;=設定!$C$3,0,$AC1589))))</f>
        <v/>
      </c>
      <c r="AF1589" s="14">
        <f>IF($B1589="","",IF(AND($AG1589&lt;&gt;"",$AI1589="",$AL1589=""),"保留中",IF($AL1589&lt;&gt;"",IF(N($AE1589)&gt;0,"支給済","不支給"),IF($AE1589="","要確認",IF($AE1589=0,"不支給","未処理")))))</f>
        <v/>
      </c>
      <c r="AG1589" s="12" t="n"/>
      <c r="AH1589" s="11" t="n"/>
      <c r="AI1589" s="11" t="n"/>
      <c r="AJ1589" s="11" t="n"/>
      <c r="AK1589" s="14">
        <f>IF(AND($AF1589="保留中",$AH1589&lt;&gt;""),TODAY()-$AH1589,"")</f>
        <v/>
      </c>
      <c r="AL1589" s="12" t="n"/>
      <c r="AM1589" s="14">
        <f>IF($B1589="","",IF($AQ1589="","対象年月が未入力／","")&amp;IF($B1589="","",IF($AP1589="","職員マスタに未登録の職員番号／",IF($AA1589="","標準報酬月額が未登録／","")&amp;IF(AND($AQ1589&lt;&gt;"",OR(AND(INDEX(職員マスタ!$G$6:$G$405,$AP1589)&lt;&gt;"",INDEX(職員マスタ!$G$6:$G$405,$AP1589)&gt;EOMONTH($AQ1589,0)),AND(INDEX(職員マスタ!$H$6:$H$405,$AP1589)&lt;&gt;"",INDEX(職員マスタ!$H$6:$H$405,$AP1589)&lt;$AQ1589))),"対象月が時短期間外／","")&amp;IF(AND(INDEX(職員マスタ!$K$6:$K$405,$AP1589)&lt;&gt;"",N($W1589)&gt;0,INDEX(職員マスタ!$K$6:$K$405,$AP1589)&lt;&gt;$W1589),"標準報酬月額が申請書と相違（台帳"&amp;TEXT(INDEX(職員マスタ!$K$6:$K$405,$AP1589),"#,##0")&amp;"円／申請書"&amp;TEXT($W1589,"#,##0")&amp;"円）／","")&amp;IF(AND(INDEX(職員マスタ!$F$6:$F$405,$AP1589)&lt;&gt;"",$AQ1589&lt;&gt;"",INDEX(職員マスタ!$F$6:$F$405,$AP1589)&lt;$AQ1589),"対象月に子が2歳到達済／","")&amp;IF(AND($H1589&lt;&gt;"",INDEX(職員マスタ!$B$6:$B$405,$AP1589)&lt;&gt;"",SUBSTITUTE(SUBSTITUTE($H1589," ","")," ","")&lt;&gt;SUBSTITUTE(SUBSTITUTE(INDEX(職員マスタ!$B$6:$B$405,$AP1589)," ","")," ","")),"氏名がマスタと相違／","")&amp;IF(AND($Q1589&lt;&gt;"",INDEX(職員マスタ!$E$6:$E$405,$AP1589)&lt;&gt;"",$Q1589&lt;&gt;INDEX(職員マスタ!$E$6:$E$405,$AP1589)),"子の生年月日がマスタと相違／","")&amp;IF(AND($L1589&lt;&gt;"",INDEX(職員マスタ!$G$6:$G$405,$AP1589)&lt;&gt;"",$L1589&lt;&gt;INDEX(職員マスタ!$G$6:$G$405,$AP1589)),"時短開始日がマスタと相違／","")&amp;IF(AND($M1589&lt;&gt;"",INDEX(職員マスタ!$H$6:$H$405,$AP1589)&lt;&gt;"",$M1589&lt;&gt;INDEX(職員マスタ!$H$6:$H$405,$AP1589)),"時短終了日がマスタと相違／","")))&amp;IF(AND($B1589&lt;&gt;"",$E1589=""),"報酬額が未入力／","")&amp;IF(N($U1589)&gt;0,"申請書に入力エラーが残っています／","")&amp;IF(AND($B1589&lt;&gt;"",$AQ1589&lt;&gt;""),IF(COUNTIFS($B$6:$B$3005,$B1589,$C$6:$C$3005,$C1589,$D$6:$D$3005,$D1589)&gt;1,"同じ月の請求が重複しています／",""),"")&amp;IF(AND(N($E1589)&gt;0,$AB1589&lt;&gt;"",$AB1589&lt;&gt;"×",$AE1589=0,$AD1589=""),"計算額が下限以下のため不支給／",""))</f>
        <v/>
      </c>
      <c r="AN1589" s="12" t="n"/>
      <c r="AO1589" s="14">
        <f>IF($AF1589="保留中",COUNTIF($AF$6:$AF1589,"保留中"),"")</f>
        <v/>
      </c>
      <c r="AP1589" s="14">
        <f>IF($AQ1589="","",IF(SUMPRODUCT(MAX((職員マスタ!$A$6:$A$405=$B1589)*(((職員マスタ!$G$6:$G$405="")+(職員マスタ!$G$6:$G$405&lt;=EOMONTH($AQ1589,0)))&gt;0)*(((職員マスタ!$H$6:$H$405="")+(職員マスタ!$H$6:$H$405&gt;=$AQ1589))&gt;0)*(ROW(職員マスタ!$A$6:$A$405)-5)))&gt;0,SUMPRODUCT(MAX((職員マスタ!$A$6:$A$405=$B1589)*(((職員マスタ!$G$6:$G$405="")+(職員マスタ!$G$6:$G$405&lt;=EOMONTH($AQ1589,0)))&gt;0)*(((職員マスタ!$H$6:$H$405="")+(職員マスタ!$H$6:$H$405&gt;=$AQ1589))&gt;0)*(ROW(職員マスタ!$A$6:$A$405)-5))),IFERROR(MATCH($B1589,職員マスタ!$A$6:$A$405,0),"")))</f>
        <v/>
      </c>
      <c r="AQ1589" s="16">
        <f>IF(OR($B1589="",$C1589="",$D1589=""),"",DATE($C1589+2018,$D1589,1))</f>
        <v/>
      </c>
    </row>
    <row r="1590">
      <c r="A1590" s="11" t="n"/>
      <c r="B1590" s="12" t="n"/>
      <c r="C1590" s="12" t="n"/>
      <c r="D1590" s="12" t="n"/>
      <c r="E1590" s="13" t="n"/>
      <c r="F1590" s="12" t="n"/>
      <c r="G1590" s="13" t="n"/>
      <c r="H1590" s="12" t="n"/>
      <c r="I1590" s="12" t="n"/>
      <c r="J1590" s="12" t="n"/>
      <c r="K1590" s="12" t="n"/>
      <c r="L1590" s="11" t="n"/>
      <c r="M1590" s="11" t="n"/>
      <c r="N1590" s="11" t="n"/>
      <c r="O1590" s="11" t="n"/>
      <c r="P1590" s="12" t="n"/>
      <c r="Q1590" s="11" t="n"/>
      <c r="R1590" s="12" t="n"/>
      <c r="S1590" s="11" t="n"/>
      <c r="T1590" s="12" t="n"/>
      <c r="U1590" s="12" t="n"/>
      <c r="V1590" s="12" t="n"/>
      <c r="W1590" s="13" t="n"/>
      <c r="X1590" s="14">
        <f>IF($AP1590="",IF($B1590="","",$H1590),IF(INDEX(職員マスタ!$B$6:$B$405,$AP1590)="",$H1590,INDEX(職員マスタ!$B$6:$B$405,$AP1590)))</f>
        <v/>
      </c>
      <c r="Y1590" s="14">
        <f>IF($AP1590="",IF($B1590="","",$R1590),IF(INDEX(職員マスタ!$C$6:$C$405,$AP1590)="",$R1590,INDEX(職員マスタ!$C$6:$C$405,$AP1590)))</f>
        <v/>
      </c>
      <c r="Z1590" s="14">
        <f>IF($AQ1590="","","R"&amp;$C1590&amp;"."&amp;$D1590)</f>
        <v/>
      </c>
      <c r="AA1590" s="15">
        <f>IF(IF($AP1590="",FALSE,INDEX(職員マスタ!$K$6:$K$405,$AP1590)&lt;&gt;""),INDEX(職員マスタ!$K$6:$K$405,$AP1590),IF(N($W1590)&gt;0,$W1590,""))</f>
        <v/>
      </c>
      <c r="AB1590" s="14">
        <f>IF(OR($E1590="",$AA1590=""),"",IF($E1590&gt;=$AA1590,"×",IF($E1590&gt;=$AA1590*設定!$C$5,"△","○")))</f>
        <v/>
      </c>
      <c r="AC1590" s="15">
        <f>IF($AB1590="","",IF($AB1590="×",0,IF($AB1590="○",ROUNDDOWN($E1590*設定!$C$4,0),ROUNDDOWN($E1590*ROUND((9*$AA1590-9*$E1590)/(10*$E1590),4),0))))</f>
        <v/>
      </c>
      <c r="AD1590" s="13" t="n"/>
      <c r="AE1590" s="15">
        <f>IF($B1590="","",IF($AD1590&lt;&gt;"",$AD1590,IF($AC1590="","",IF($AC1590&lt;=設定!$C$3,0,$AC1590))))</f>
        <v/>
      </c>
      <c r="AF1590" s="14">
        <f>IF($B1590="","",IF(AND($AG1590&lt;&gt;"",$AI1590="",$AL1590=""),"保留中",IF($AL1590&lt;&gt;"",IF(N($AE1590)&gt;0,"支給済","不支給"),IF($AE1590="","要確認",IF($AE1590=0,"不支給","未処理")))))</f>
        <v/>
      </c>
      <c r="AG1590" s="12" t="n"/>
      <c r="AH1590" s="11" t="n"/>
      <c r="AI1590" s="11" t="n"/>
      <c r="AJ1590" s="11" t="n"/>
      <c r="AK1590" s="14">
        <f>IF(AND($AF1590="保留中",$AH1590&lt;&gt;""),TODAY()-$AH1590,"")</f>
        <v/>
      </c>
      <c r="AL1590" s="12" t="n"/>
      <c r="AM1590" s="14">
        <f>IF($B1590="","",IF($AQ1590="","対象年月が未入力／","")&amp;IF($B1590="","",IF($AP1590="","職員マスタに未登録の職員番号／",IF($AA1590="","標準報酬月額が未登録／","")&amp;IF(AND($AQ1590&lt;&gt;"",OR(AND(INDEX(職員マスタ!$G$6:$G$405,$AP1590)&lt;&gt;"",INDEX(職員マスタ!$G$6:$G$405,$AP1590)&gt;EOMONTH($AQ1590,0)),AND(INDEX(職員マスタ!$H$6:$H$405,$AP1590)&lt;&gt;"",INDEX(職員マスタ!$H$6:$H$405,$AP1590)&lt;$AQ1590))),"対象月が時短期間外／","")&amp;IF(AND(INDEX(職員マスタ!$K$6:$K$405,$AP1590)&lt;&gt;"",N($W1590)&gt;0,INDEX(職員マスタ!$K$6:$K$405,$AP1590)&lt;&gt;$W1590),"標準報酬月額が申請書と相違（台帳"&amp;TEXT(INDEX(職員マスタ!$K$6:$K$405,$AP1590),"#,##0")&amp;"円／申請書"&amp;TEXT($W1590,"#,##0")&amp;"円）／","")&amp;IF(AND(INDEX(職員マスタ!$F$6:$F$405,$AP1590)&lt;&gt;"",$AQ1590&lt;&gt;"",INDEX(職員マスタ!$F$6:$F$405,$AP1590)&lt;$AQ1590),"対象月に子が2歳到達済／","")&amp;IF(AND($H1590&lt;&gt;"",INDEX(職員マスタ!$B$6:$B$405,$AP1590)&lt;&gt;"",SUBSTITUTE(SUBSTITUTE($H1590," ","")," ","")&lt;&gt;SUBSTITUTE(SUBSTITUTE(INDEX(職員マスタ!$B$6:$B$405,$AP1590)," ","")," ","")),"氏名がマスタと相違／","")&amp;IF(AND($Q1590&lt;&gt;"",INDEX(職員マスタ!$E$6:$E$405,$AP1590)&lt;&gt;"",$Q1590&lt;&gt;INDEX(職員マスタ!$E$6:$E$405,$AP1590)),"子の生年月日がマスタと相違／","")&amp;IF(AND($L1590&lt;&gt;"",INDEX(職員マスタ!$G$6:$G$405,$AP1590)&lt;&gt;"",$L1590&lt;&gt;INDEX(職員マスタ!$G$6:$G$405,$AP1590)),"時短開始日がマスタと相違／","")&amp;IF(AND($M1590&lt;&gt;"",INDEX(職員マスタ!$H$6:$H$405,$AP1590)&lt;&gt;"",$M1590&lt;&gt;INDEX(職員マスタ!$H$6:$H$405,$AP1590)),"時短終了日がマスタと相違／","")))&amp;IF(AND($B1590&lt;&gt;"",$E1590=""),"報酬額が未入力／","")&amp;IF(N($U1590)&gt;0,"申請書に入力エラーが残っています／","")&amp;IF(AND($B1590&lt;&gt;"",$AQ1590&lt;&gt;""),IF(COUNTIFS($B$6:$B$3005,$B1590,$C$6:$C$3005,$C1590,$D$6:$D$3005,$D1590)&gt;1,"同じ月の請求が重複しています／",""),"")&amp;IF(AND(N($E1590)&gt;0,$AB1590&lt;&gt;"",$AB1590&lt;&gt;"×",$AE1590=0,$AD1590=""),"計算額が下限以下のため不支給／",""))</f>
        <v/>
      </c>
      <c r="AN1590" s="12" t="n"/>
      <c r="AO1590" s="14">
        <f>IF($AF1590="保留中",COUNTIF($AF$6:$AF1590,"保留中"),"")</f>
        <v/>
      </c>
      <c r="AP1590" s="14">
        <f>IF($AQ1590="","",IF(SUMPRODUCT(MAX((職員マスタ!$A$6:$A$405=$B1590)*(((職員マスタ!$G$6:$G$405="")+(職員マスタ!$G$6:$G$405&lt;=EOMONTH($AQ1590,0)))&gt;0)*(((職員マスタ!$H$6:$H$405="")+(職員マスタ!$H$6:$H$405&gt;=$AQ1590))&gt;0)*(ROW(職員マスタ!$A$6:$A$405)-5)))&gt;0,SUMPRODUCT(MAX((職員マスタ!$A$6:$A$405=$B1590)*(((職員マスタ!$G$6:$G$405="")+(職員マスタ!$G$6:$G$405&lt;=EOMONTH($AQ1590,0)))&gt;0)*(((職員マスタ!$H$6:$H$405="")+(職員マスタ!$H$6:$H$405&gt;=$AQ1590))&gt;0)*(ROW(職員マスタ!$A$6:$A$405)-5))),IFERROR(MATCH($B1590,職員マスタ!$A$6:$A$405,0),"")))</f>
        <v/>
      </c>
      <c r="AQ1590" s="16">
        <f>IF(OR($B1590="",$C1590="",$D1590=""),"",DATE($C1590+2018,$D1590,1))</f>
        <v/>
      </c>
    </row>
    <row r="1591">
      <c r="A1591" s="11" t="n"/>
      <c r="B1591" s="12" t="n"/>
      <c r="C1591" s="12" t="n"/>
      <c r="D1591" s="12" t="n"/>
      <c r="E1591" s="13" t="n"/>
      <c r="F1591" s="12" t="n"/>
      <c r="G1591" s="13" t="n"/>
      <c r="H1591" s="12" t="n"/>
      <c r="I1591" s="12" t="n"/>
      <c r="J1591" s="12" t="n"/>
      <c r="K1591" s="12" t="n"/>
      <c r="L1591" s="11" t="n"/>
      <c r="M1591" s="11" t="n"/>
      <c r="N1591" s="11" t="n"/>
      <c r="O1591" s="11" t="n"/>
      <c r="P1591" s="12" t="n"/>
      <c r="Q1591" s="11" t="n"/>
      <c r="R1591" s="12" t="n"/>
      <c r="S1591" s="11" t="n"/>
      <c r="T1591" s="12" t="n"/>
      <c r="U1591" s="12" t="n"/>
      <c r="V1591" s="12" t="n"/>
      <c r="W1591" s="13" t="n"/>
      <c r="X1591" s="14">
        <f>IF($AP1591="",IF($B1591="","",$H1591),IF(INDEX(職員マスタ!$B$6:$B$405,$AP1591)="",$H1591,INDEX(職員マスタ!$B$6:$B$405,$AP1591)))</f>
        <v/>
      </c>
      <c r="Y1591" s="14">
        <f>IF($AP1591="",IF($B1591="","",$R1591),IF(INDEX(職員マスタ!$C$6:$C$405,$AP1591)="",$R1591,INDEX(職員マスタ!$C$6:$C$405,$AP1591)))</f>
        <v/>
      </c>
      <c r="Z1591" s="14">
        <f>IF($AQ1591="","","R"&amp;$C1591&amp;"."&amp;$D1591)</f>
        <v/>
      </c>
      <c r="AA1591" s="15">
        <f>IF(IF($AP1591="",FALSE,INDEX(職員マスタ!$K$6:$K$405,$AP1591)&lt;&gt;""),INDEX(職員マスタ!$K$6:$K$405,$AP1591),IF(N($W1591)&gt;0,$W1591,""))</f>
        <v/>
      </c>
      <c r="AB1591" s="14">
        <f>IF(OR($E1591="",$AA1591=""),"",IF($E1591&gt;=$AA1591,"×",IF($E1591&gt;=$AA1591*設定!$C$5,"△","○")))</f>
        <v/>
      </c>
      <c r="AC1591" s="15">
        <f>IF($AB1591="","",IF($AB1591="×",0,IF($AB1591="○",ROUNDDOWN($E1591*設定!$C$4,0),ROUNDDOWN($E1591*ROUND((9*$AA1591-9*$E1591)/(10*$E1591),4),0))))</f>
        <v/>
      </c>
      <c r="AD1591" s="13" t="n"/>
      <c r="AE1591" s="15">
        <f>IF($B1591="","",IF($AD1591&lt;&gt;"",$AD1591,IF($AC1591="","",IF($AC1591&lt;=設定!$C$3,0,$AC1591))))</f>
        <v/>
      </c>
      <c r="AF1591" s="14">
        <f>IF($B1591="","",IF(AND($AG1591&lt;&gt;"",$AI1591="",$AL1591=""),"保留中",IF($AL1591&lt;&gt;"",IF(N($AE1591)&gt;0,"支給済","不支給"),IF($AE1591="","要確認",IF($AE1591=0,"不支給","未処理")))))</f>
        <v/>
      </c>
      <c r="AG1591" s="12" t="n"/>
      <c r="AH1591" s="11" t="n"/>
      <c r="AI1591" s="11" t="n"/>
      <c r="AJ1591" s="11" t="n"/>
      <c r="AK1591" s="14">
        <f>IF(AND($AF1591="保留中",$AH1591&lt;&gt;""),TODAY()-$AH1591,"")</f>
        <v/>
      </c>
      <c r="AL1591" s="12" t="n"/>
      <c r="AM1591" s="14">
        <f>IF($B1591="","",IF($AQ1591="","対象年月が未入力／","")&amp;IF($B1591="","",IF($AP1591="","職員マスタに未登録の職員番号／",IF($AA1591="","標準報酬月額が未登録／","")&amp;IF(AND($AQ1591&lt;&gt;"",OR(AND(INDEX(職員マスタ!$G$6:$G$405,$AP1591)&lt;&gt;"",INDEX(職員マスタ!$G$6:$G$405,$AP1591)&gt;EOMONTH($AQ1591,0)),AND(INDEX(職員マスタ!$H$6:$H$405,$AP1591)&lt;&gt;"",INDEX(職員マスタ!$H$6:$H$405,$AP1591)&lt;$AQ1591))),"対象月が時短期間外／","")&amp;IF(AND(INDEX(職員マスタ!$K$6:$K$405,$AP1591)&lt;&gt;"",N($W1591)&gt;0,INDEX(職員マスタ!$K$6:$K$405,$AP1591)&lt;&gt;$W1591),"標準報酬月額が申請書と相違（台帳"&amp;TEXT(INDEX(職員マスタ!$K$6:$K$405,$AP1591),"#,##0")&amp;"円／申請書"&amp;TEXT($W1591,"#,##0")&amp;"円）／","")&amp;IF(AND(INDEX(職員マスタ!$F$6:$F$405,$AP1591)&lt;&gt;"",$AQ1591&lt;&gt;"",INDEX(職員マスタ!$F$6:$F$405,$AP1591)&lt;$AQ1591),"対象月に子が2歳到達済／","")&amp;IF(AND($H1591&lt;&gt;"",INDEX(職員マスタ!$B$6:$B$405,$AP1591)&lt;&gt;"",SUBSTITUTE(SUBSTITUTE($H1591," ","")," ","")&lt;&gt;SUBSTITUTE(SUBSTITUTE(INDEX(職員マスタ!$B$6:$B$405,$AP1591)," ","")," ","")),"氏名がマスタと相違／","")&amp;IF(AND($Q1591&lt;&gt;"",INDEX(職員マスタ!$E$6:$E$405,$AP1591)&lt;&gt;"",$Q1591&lt;&gt;INDEX(職員マスタ!$E$6:$E$405,$AP1591)),"子の生年月日がマスタと相違／","")&amp;IF(AND($L1591&lt;&gt;"",INDEX(職員マスタ!$G$6:$G$405,$AP1591)&lt;&gt;"",$L1591&lt;&gt;INDEX(職員マスタ!$G$6:$G$405,$AP1591)),"時短開始日がマスタと相違／","")&amp;IF(AND($M1591&lt;&gt;"",INDEX(職員マスタ!$H$6:$H$405,$AP1591)&lt;&gt;"",$M1591&lt;&gt;INDEX(職員マスタ!$H$6:$H$405,$AP1591)),"時短終了日がマスタと相違／","")))&amp;IF(AND($B1591&lt;&gt;"",$E1591=""),"報酬額が未入力／","")&amp;IF(N($U1591)&gt;0,"申請書に入力エラーが残っています／","")&amp;IF(AND($B1591&lt;&gt;"",$AQ1591&lt;&gt;""),IF(COUNTIFS($B$6:$B$3005,$B1591,$C$6:$C$3005,$C1591,$D$6:$D$3005,$D1591)&gt;1,"同じ月の請求が重複しています／",""),"")&amp;IF(AND(N($E1591)&gt;0,$AB1591&lt;&gt;"",$AB1591&lt;&gt;"×",$AE1591=0,$AD1591=""),"計算額が下限以下のため不支給／",""))</f>
        <v/>
      </c>
      <c r="AN1591" s="12" t="n"/>
      <c r="AO1591" s="14">
        <f>IF($AF1591="保留中",COUNTIF($AF$6:$AF1591,"保留中"),"")</f>
        <v/>
      </c>
      <c r="AP1591" s="14">
        <f>IF($AQ1591="","",IF(SUMPRODUCT(MAX((職員マスタ!$A$6:$A$405=$B1591)*(((職員マスタ!$G$6:$G$405="")+(職員マスタ!$G$6:$G$405&lt;=EOMONTH($AQ1591,0)))&gt;0)*(((職員マスタ!$H$6:$H$405="")+(職員マスタ!$H$6:$H$405&gt;=$AQ1591))&gt;0)*(ROW(職員マスタ!$A$6:$A$405)-5)))&gt;0,SUMPRODUCT(MAX((職員マスタ!$A$6:$A$405=$B1591)*(((職員マスタ!$G$6:$G$405="")+(職員マスタ!$G$6:$G$405&lt;=EOMONTH($AQ1591,0)))&gt;0)*(((職員マスタ!$H$6:$H$405="")+(職員マスタ!$H$6:$H$405&gt;=$AQ1591))&gt;0)*(ROW(職員マスタ!$A$6:$A$405)-5))),IFERROR(MATCH($B1591,職員マスタ!$A$6:$A$405,0),"")))</f>
        <v/>
      </c>
      <c r="AQ1591" s="16">
        <f>IF(OR($B1591="",$C1591="",$D1591=""),"",DATE($C1591+2018,$D1591,1))</f>
        <v/>
      </c>
    </row>
    <row r="1592">
      <c r="A1592" s="11" t="n"/>
      <c r="B1592" s="12" t="n"/>
      <c r="C1592" s="12" t="n"/>
      <c r="D1592" s="12" t="n"/>
      <c r="E1592" s="13" t="n"/>
      <c r="F1592" s="12" t="n"/>
      <c r="G1592" s="13" t="n"/>
      <c r="H1592" s="12" t="n"/>
      <c r="I1592" s="12" t="n"/>
      <c r="J1592" s="12" t="n"/>
      <c r="K1592" s="12" t="n"/>
      <c r="L1592" s="11" t="n"/>
      <c r="M1592" s="11" t="n"/>
      <c r="N1592" s="11" t="n"/>
      <c r="O1592" s="11" t="n"/>
      <c r="P1592" s="12" t="n"/>
      <c r="Q1592" s="11" t="n"/>
      <c r="R1592" s="12" t="n"/>
      <c r="S1592" s="11" t="n"/>
      <c r="T1592" s="12" t="n"/>
      <c r="U1592" s="12" t="n"/>
      <c r="V1592" s="12" t="n"/>
      <c r="W1592" s="13" t="n"/>
      <c r="X1592" s="14">
        <f>IF($AP1592="",IF($B1592="","",$H1592),IF(INDEX(職員マスタ!$B$6:$B$405,$AP1592)="",$H1592,INDEX(職員マスタ!$B$6:$B$405,$AP1592)))</f>
        <v/>
      </c>
      <c r="Y1592" s="14">
        <f>IF($AP1592="",IF($B1592="","",$R1592),IF(INDEX(職員マスタ!$C$6:$C$405,$AP1592)="",$R1592,INDEX(職員マスタ!$C$6:$C$405,$AP1592)))</f>
        <v/>
      </c>
      <c r="Z1592" s="14">
        <f>IF($AQ1592="","","R"&amp;$C1592&amp;"."&amp;$D1592)</f>
        <v/>
      </c>
      <c r="AA1592" s="15">
        <f>IF(IF($AP1592="",FALSE,INDEX(職員マスタ!$K$6:$K$405,$AP1592)&lt;&gt;""),INDEX(職員マスタ!$K$6:$K$405,$AP1592),IF(N($W1592)&gt;0,$W1592,""))</f>
        <v/>
      </c>
      <c r="AB1592" s="14">
        <f>IF(OR($E1592="",$AA1592=""),"",IF($E1592&gt;=$AA1592,"×",IF($E1592&gt;=$AA1592*設定!$C$5,"△","○")))</f>
        <v/>
      </c>
      <c r="AC1592" s="15">
        <f>IF($AB1592="","",IF($AB1592="×",0,IF($AB1592="○",ROUNDDOWN($E1592*設定!$C$4,0),ROUNDDOWN($E1592*ROUND((9*$AA1592-9*$E1592)/(10*$E1592),4),0))))</f>
        <v/>
      </c>
      <c r="AD1592" s="13" t="n"/>
      <c r="AE1592" s="15">
        <f>IF($B1592="","",IF($AD1592&lt;&gt;"",$AD1592,IF($AC1592="","",IF($AC1592&lt;=設定!$C$3,0,$AC1592))))</f>
        <v/>
      </c>
      <c r="AF1592" s="14">
        <f>IF($B1592="","",IF(AND($AG1592&lt;&gt;"",$AI1592="",$AL1592=""),"保留中",IF($AL1592&lt;&gt;"",IF(N($AE1592)&gt;0,"支給済","不支給"),IF($AE1592="","要確認",IF($AE1592=0,"不支給","未処理")))))</f>
        <v/>
      </c>
      <c r="AG1592" s="12" t="n"/>
      <c r="AH1592" s="11" t="n"/>
      <c r="AI1592" s="11" t="n"/>
      <c r="AJ1592" s="11" t="n"/>
      <c r="AK1592" s="14">
        <f>IF(AND($AF1592="保留中",$AH1592&lt;&gt;""),TODAY()-$AH1592,"")</f>
        <v/>
      </c>
      <c r="AL1592" s="12" t="n"/>
      <c r="AM1592" s="14">
        <f>IF($B1592="","",IF($AQ1592="","対象年月が未入力／","")&amp;IF($B1592="","",IF($AP1592="","職員マスタに未登録の職員番号／",IF($AA1592="","標準報酬月額が未登録／","")&amp;IF(AND($AQ1592&lt;&gt;"",OR(AND(INDEX(職員マスタ!$G$6:$G$405,$AP1592)&lt;&gt;"",INDEX(職員マスタ!$G$6:$G$405,$AP1592)&gt;EOMONTH($AQ1592,0)),AND(INDEX(職員マスタ!$H$6:$H$405,$AP1592)&lt;&gt;"",INDEX(職員マスタ!$H$6:$H$405,$AP1592)&lt;$AQ1592))),"対象月が時短期間外／","")&amp;IF(AND(INDEX(職員マスタ!$K$6:$K$405,$AP1592)&lt;&gt;"",N($W1592)&gt;0,INDEX(職員マスタ!$K$6:$K$405,$AP1592)&lt;&gt;$W1592),"標準報酬月額が申請書と相違（台帳"&amp;TEXT(INDEX(職員マスタ!$K$6:$K$405,$AP1592),"#,##0")&amp;"円／申請書"&amp;TEXT($W1592,"#,##0")&amp;"円）／","")&amp;IF(AND(INDEX(職員マスタ!$F$6:$F$405,$AP1592)&lt;&gt;"",$AQ1592&lt;&gt;"",INDEX(職員マスタ!$F$6:$F$405,$AP1592)&lt;$AQ1592),"対象月に子が2歳到達済／","")&amp;IF(AND($H1592&lt;&gt;"",INDEX(職員マスタ!$B$6:$B$405,$AP1592)&lt;&gt;"",SUBSTITUTE(SUBSTITUTE($H1592," ","")," ","")&lt;&gt;SUBSTITUTE(SUBSTITUTE(INDEX(職員マスタ!$B$6:$B$405,$AP1592)," ","")," ","")),"氏名がマスタと相違／","")&amp;IF(AND($Q1592&lt;&gt;"",INDEX(職員マスタ!$E$6:$E$405,$AP1592)&lt;&gt;"",$Q1592&lt;&gt;INDEX(職員マスタ!$E$6:$E$405,$AP1592)),"子の生年月日がマスタと相違／","")&amp;IF(AND($L1592&lt;&gt;"",INDEX(職員マスタ!$G$6:$G$405,$AP1592)&lt;&gt;"",$L1592&lt;&gt;INDEX(職員マスタ!$G$6:$G$405,$AP1592)),"時短開始日がマスタと相違／","")&amp;IF(AND($M1592&lt;&gt;"",INDEX(職員マスタ!$H$6:$H$405,$AP1592)&lt;&gt;"",$M1592&lt;&gt;INDEX(職員マスタ!$H$6:$H$405,$AP1592)),"時短終了日がマスタと相違／","")))&amp;IF(AND($B1592&lt;&gt;"",$E1592=""),"報酬額が未入力／","")&amp;IF(N($U1592)&gt;0,"申請書に入力エラーが残っています／","")&amp;IF(AND($B1592&lt;&gt;"",$AQ1592&lt;&gt;""),IF(COUNTIFS($B$6:$B$3005,$B1592,$C$6:$C$3005,$C1592,$D$6:$D$3005,$D1592)&gt;1,"同じ月の請求が重複しています／",""),"")&amp;IF(AND(N($E1592)&gt;0,$AB1592&lt;&gt;"",$AB1592&lt;&gt;"×",$AE1592=0,$AD1592=""),"計算額が下限以下のため不支給／",""))</f>
        <v/>
      </c>
      <c r="AN1592" s="12" t="n"/>
      <c r="AO1592" s="14">
        <f>IF($AF1592="保留中",COUNTIF($AF$6:$AF1592,"保留中"),"")</f>
        <v/>
      </c>
      <c r="AP1592" s="14">
        <f>IF($AQ1592="","",IF(SUMPRODUCT(MAX((職員マスタ!$A$6:$A$405=$B1592)*(((職員マスタ!$G$6:$G$405="")+(職員マスタ!$G$6:$G$405&lt;=EOMONTH($AQ1592,0)))&gt;0)*(((職員マスタ!$H$6:$H$405="")+(職員マスタ!$H$6:$H$405&gt;=$AQ1592))&gt;0)*(ROW(職員マスタ!$A$6:$A$405)-5)))&gt;0,SUMPRODUCT(MAX((職員マスタ!$A$6:$A$405=$B1592)*(((職員マスタ!$G$6:$G$405="")+(職員マスタ!$G$6:$G$405&lt;=EOMONTH($AQ1592,0)))&gt;0)*(((職員マスタ!$H$6:$H$405="")+(職員マスタ!$H$6:$H$405&gt;=$AQ1592))&gt;0)*(ROW(職員マスタ!$A$6:$A$405)-5))),IFERROR(MATCH($B1592,職員マスタ!$A$6:$A$405,0),"")))</f>
        <v/>
      </c>
      <c r="AQ1592" s="16">
        <f>IF(OR($B1592="",$C1592="",$D1592=""),"",DATE($C1592+2018,$D1592,1))</f>
        <v/>
      </c>
    </row>
    <row r="1593">
      <c r="A1593" s="11" t="n"/>
      <c r="B1593" s="12" t="n"/>
      <c r="C1593" s="12" t="n"/>
      <c r="D1593" s="12" t="n"/>
      <c r="E1593" s="13" t="n"/>
      <c r="F1593" s="12" t="n"/>
      <c r="G1593" s="13" t="n"/>
      <c r="H1593" s="12" t="n"/>
      <c r="I1593" s="12" t="n"/>
      <c r="J1593" s="12" t="n"/>
      <c r="K1593" s="12" t="n"/>
      <c r="L1593" s="11" t="n"/>
      <c r="M1593" s="11" t="n"/>
      <c r="N1593" s="11" t="n"/>
      <c r="O1593" s="11" t="n"/>
      <c r="P1593" s="12" t="n"/>
      <c r="Q1593" s="11" t="n"/>
      <c r="R1593" s="12" t="n"/>
      <c r="S1593" s="11" t="n"/>
      <c r="T1593" s="12" t="n"/>
      <c r="U1593" s="12" t="n"/>
      <c r="V1593" s="12" t="n"/>
      <c r="W1593" s="13" t="n"/>
      <c r="X1593" s="14">
        <f>IF($AP1593="",IF($B1593="","",$H1593),IF(INDEX(職員マスタ!$B$6:$B$405,$AP1593)="",$H1593,INDEX(職員マスタ!$B$6:$B$405,$AP1593)))</f>
        <v/>
      </c>
      <c r="Y1593" s="14">
        <f>IF($AP1593="",IF($B1593="","",$R1593),IF(INDEX(職員マスタ!$C$6:$C$405,$AP1593)="",$R1593,INDEX(職員マスタ!$C$6:$C$405,$AP1593)))</f>
        <v/>
      </c>
      <c r="Z1593" s="14">
        <f>IF($AQ1593="","","R"&amp;$C1593&amp;"."&amp;$D1593)</f>
        <v/>
      </c>
      <c r="AA1593" s="15">
        <f>IF(IF($AP1593="",FALSE,INDEX(職員マスタ!$K$6:$K$405,$AP1593)&lt;&gt;""),INDEX(職員マスタ!$K$6:$K$405,$AP1593),IF(N($W1593)&gt;0,$W1593,""))</f>
        <v/>
      </c>
      <c r="AB1593" s="14">
        <f>IF(OR($E1593="",$AA1593=""),"",IF($E1593&gt;=$AA1593,"×",IF($E1593&gt;=$AA1593*設定!$C$5,"△","○")))</f>
        <v/>
      </c>
      <c r="AC1593" s="15">
        <f>IF($AB1593="","",IF($AB1593="×",0,IF($AB1593="○",ROUNDDOWN($E1593*設定!$C$4,0),ROUNDDOWN($E1593*ROUND((9*$AA1593-9*$E1593)/(10*$E1593),4),0))))</f>
        <v/>
      </c>
      <c r="AD1593" s="13" t="n"/>
      <c r="AE1593" s="15">
        <f>IF($B1593="","",IF($AD1593&lt;&gt;"",$AD1593,IF($AC1593="","",IF($AC1593&lt;=設定!$C$3,0,$AC1593))))</f>
        <v/>
      </c>
      <c r="AF1593" s="14">
        <f>IF($B1593="","",IF(AND($AG1593&lt;&gt;"",$AI1593="",$AL1593=""),"保留中",IF($AL1593&lt;&gt;"",IF(N($AE1593)&gt;0,"支給済","不支給"),IF($AE1593="","要確認",IF($AE1593=0,"不支給","未処理")))))</f>
        <v/>
      </c>
      <c r="AG1593" s="12" t="n"/>
      <c r="AH1593" s="11" t="n"/>
      <c r="AI1593" s="11" t="n"/>
      <c r="AJ1593" s="11" t="n"/>
      <c r="AK1593" s="14">
        <f>IF(AND($AF1593="保留中",$AH1593&lt;&gt;""),TODAY()-$AH1593,"")</f>
        <v/>
      </c>
      <c r="AL1593" s="12" t="n"/>
      <c r="AM1593" s="14">
        <f>IF($B1593="","",IF($AQ1593="","対象年月が未入力／","")&amp;IF($B1593="","",IF($AP1593="","職員マスタに未登録の職員番号／",IF($AA1593="","標準報酬月額が未登録／","")&amp;IF(AND($AQ1593&lt;&gt;"",OR(AND(INDEX(職員マスタ!$G$6:$G$405,$AP1593)&lt;&gt;"",INDEX(職員マスタ!$G$6:$G$405,$AP1593)&gt;EOMONTH($AQ1593,0)),AND(INDEX(職員マスタ!$H$6:$H$405,$AP1593)&lt;&gt;"",INDEX(職員マスタ!$H$6:$H$405,$AP1593)&lt;$AQ1593))),"対象月が時短期間外／","")&amp;IF(AND(INDEX(職員マスタ!$K$6:$K$405,$AP1593)&lt;&gt;"",N($W1593)&gt;0,INDEX(職員マスタ!$K$6:$K$405,$AP1593)&lt;&gt;$W1593),"標準報酬月額が申請書と相違（台帳"&amp;TEXT(INDEX(職員マスタ!$K$6:$K$405,$AP1593),"#,##0")&amp;"円／申請書"&amp;TEXT($W1593,"#,##0")&amp;"円）／","")&amp;IF(AND(INDEX(職員マスタ!$F$6:$F$405,$AP1593)&lt;&gt;"",$AQ1593&lt;&gt;"",INDEX(職員マスタ!$F$6:$F$405,$AP1593)&lt;$AQ1593),"対象月に子が2歳到達済／","")&amp;IF(AND($H1593&lt;&gt;"",INDEX(職員マスタ!$B$6:$B$405,$AP1593)&lt;&gt;"",SUBSTITUTE(SUBSTITUTE($H1593," ","")," ","")&lt;&gt;SUBSTITUTE(SUBSTITUTE(INDEX(職員マスタ!$B$6:$B$405,$AP1593)," ","")," ","")),"氏名がマスタと相違／","")&amp;IF(AND($Q1593&lt;&gt;"",INDEX(職員マスタ!$E$6:$E$405,$AP1593)&lt;&gt;"",$Q1593&lt;&gt;INDEX(職員マスタ!$E$6:$E$405,$AP1593)),"子の生年月日がマスタと相違／","")&amp;IF(AND($L1593&lt;&gt;"",INDEX(職員マスタ!$G$6:$G$405,$AP1593)&lt;&gt;"",$L1593&lt;&gt;INDEX(職員マスタ!$G$6:$G$405,$AP1593)),"時短開始日がマスタと相違／","")&amp;IF(AND($M1593&lt;&gt;"",INDEX(職員マスタ!$H$6:$H$405,$AP1593)&lt;&gt;"",$M1593&lt;&gt;INDEX(職員マスタ!$H$6:$H$405,$AP1593)),"時短終了日がマスタと相違／","")))&amp;IF(AND($B1593&lt;&gt;"",$E1593=""),"報酬額が未入力／","")&amp;IF(N($U1593)&gt;0,"申請書に入力エラーが残っています／","")&amp;IF(AND($B1593&lt;&gt;"",$AQ1593&lt;&gt;""),IF(COUNTIFS($B$6:$B$3005,$B1593,$C$6:$C$3005,$C1593,$D$6:$D$3005,$D1593)&gt;1,"同じ月の請求が重複しています／",""),"")&amp;IF(AND(N($E1593)&gt;0,$AB1593&lt;&gt;"",$AB1593&lt;&gt;"×",$AE1593=0,$AD1593=""),"計算額が下限以下のため不支給／",""))</f>
        <v/>
      </c>
      <c r="AN1593" s="12" t="n"/>
      <c r="AO1593" s="14">
        <f>IF($AF1593="保留中",COUNTIF($AF$6:$AF1593,"保留中"),"")</f>
        <v/>
      </c>
      <c r="AP1593" s="14">
        <f>IF($AQ1593="","",IF(SUMPRODUCT(MAX((職員マスタ!$A$6:$A$405=$B1593)*(((職員マスタ!$G$6:$G$405="")+(職員マスタ!$G$6:$G$405&lt;=EOMONTH($AQ1593,0)))&gt;0)*(((職員マスタ!$H$6:$H$405="")+(職員マスタ!$H$6:$H$405&gt;=$AQ1593))&gt;0)*(ROW(職員マスタ!$A$6:$A$405)-5)))&gt;0,SUMPRODUCT(MAX((職員マスタ!$A$6:$A$405=$B1593)*(((職員マスタ!$G$6:$G$405="")+(職員マスタ!$G$6:$G$405&lt;=EOMONTH($AQ1593,0)))&gt;0)*(((職員マスタ!$H$6:$H$405="")+(職員マスタ!$H$6:$H$405&gt;=$AQ1593))&gt;0)*(ROW(職員マスタ!$A$6:$A$405)-5))),IFERROR(MATCH($B1593,職員マスタ!$A$6:$A$405,0),"")))</f>
        <v/>
      </c>
      <c r="AQ1593" s="16">
        <f>IF(OR($B1593="",$C1593="",$D1593=""),"",DATE($C1593+2018,$D1593,1))</f>
        <v/>
      </c>
    </row>
    <row r="1594">
      <c r="A1594" s="11" t="n"/>
      <c r="B1594" s="12" t="n"/>
      <c r="C1594" s="12" t="n"/>
      <c r="D1594" s="12" t="n"/>
      <c r="E1594" s="13" t="n"/>
      <c r="F1594" s="12" t="n"/>
      <c r="G1594" s="13" t="n"/>
      <c r="H1594" s="12" t="n"/>
      <c r="I1594" s="12" t="n"/>
      <c r="J1594" s="12" t="n"/>
      <c r="K1594" s="12" t="n"/>
      <c r="L1594" s="11" t="n"/>
      <c r="M1594" s="11" t="n"/>
      <c r="N1594" s="11" t="n"/>
      <c r="O1594" s="11" t="n"/>
      <c r="P1594" s="12" t="n"/>
      <c r="Q1594" s="11" t="n"/>
      <c r="R1594" s="12" t="n"/>
      <c r="S1594" s="11" t="n"/>
      <c r="T1594" s="12" t="n"/>
      <c r="U1594" s="12" t="n"/>
      <c r="V1594" s="12" t="n"/>
      <c r="W1594" s="13" t="n"/>
      <c r="X1594" s="14">
        <f>IF($AP1594="",IF($B1594="","",$H1594),IF(INDEX(職員マスタ!$B$6:$B$405,$AP1594)="",$H1594,INDEX(職員マスタ!$B$6:$B$405,$AP1594)))</f>
        <v/>
      </c>
      <c r="Y1594" s="14">
        <f>IF($AP1594="",IF($B1594="","",$R1594),IF(INDEX(職員マスタ!$C$6:$C$405,$AP1594)="",$R1594,INDEX(職員マスタ!$C$6:$C$405,$AP1594)))</f>
        <v/>
      </c>
      <c r="Z1594" s="14">
        <f>IF($AQ1594="","","R"&amp;$C1594&amp;"."&amp;$D1594)</f>
        <v/>
      </c>
      <c r="AA1594" s="15">
        <f>IF(IF($AP1594="",FALSE,INDEX(職員マスタ!$K$6:$K$405,$AP1594)&lt;&gt;""),INDEX(職員マスタ!$K$6:$K$405,$AP1594),IF(N($W1594)&gt;0,$W1594,""))</f>
        <v/>
      </c>
      <c r="AB1594" s="14">
        <f>IF(OR($E1594="",$AA1594=""),"",IF($E1594&gt;=$AA1594,"×",IF($E1594&gt;=$AA1594*設定!$C$5,"△","○")))</f>
        <v/>
      </c>
      <c r="AC1594" s="15">
        <f>IF($AB1594="","",IF($AB1594="×",0,IF($AB1594="○",ROUNDDOWN($E1594*設定!$C$4,0),ROUNDDOWN($E1594*ROUND((9*$AA1594-9*$E1594)/(10*$E1594),4),0))))</f>
        <v/>
      </c>
      <c r="AD1594" s="13" t="n"/>
      <c r="AE1594" s="15">
        <f>IF($B1594="","",IF($AD1594&lt;&gt;"",$AD1594,IF($AC1594="","",IF($AC1594&lt;=設定!$C$3,0,$AC1594))))</f>
        <v/>
      </c>
      <c r="AF1594" s="14">
        <f>IF($B1594="","",IF(AND($AG1594&lt;&gt;"",$AI1594="",$AL1594=""),"保留中",IF($AL1594&lt;&gt;"",IF(N($AE1594)&gt;0,"支給済","不支給"),IF($AE1594="","要確認",IF($AE1594=0,"不支給","未処理")))))</f>
        <v/>
      </c>
      <c r="AG1594" s="12" t="n"/>
      <c r="AH1594" s="11" t="n"/>
      <c r="AI1594" s="11" t="n"/>
      <c r="AJ1594" s="11" t="n"/>
      <c r="AK1594" s="14">
        <f>IF(AND($AF1594="保留中",$AH1594&lt;&gt;""),TODAY()-$AH1594,"")</f>
        <v/>
      </c>
      <c r="AL1594" s="12" t="n"/>
      <c r="AM1594" s="14">
        <f>IF($B1594="","",IF($AQ1594="","対象年月が未入力／","")&amp;IF($B1594="","",IF($AP1594="","職員マスタに未登録の職員番号／",IF($AA1594="","標準報酬月額が未登録／","")&amp;IF(AND($AQ1594&lt;&gt;"",OR(AND(INDEX(職員マスタ!$G$6:$G$405,$AP1594)&lt;&gt;"",INDEX(職員マスタ!$G$6:$G$405,$AP1594)&gt;EOMONTH($AQ1594,0)),AND(INDEX(職員マスタ!$H$6:$H$405,$AP1594)&lt;&gt;"",INDEX(職員マスタ!$H$6:$H$405,$AP1594)&lt;$AQ1594))),"対象月が時短期間外／","")&amp;IF(AND(INDEX(職員マスタ!$K$6:$K$405,$AP1594)&lt;&gt;"",N($W1594)&gt;0,INDEX(職員マスタ!$K$6:$K$405,$AP1594)&lt;&gt;$W1594),"標準報酬月額が申請書と相違（台帳"&amp;TEXT(INDEX(職員マスタ!$K$6:$K$405,$AP1594),"#,##0")&amp;"円／申請書"&amp;TEXT($W1594,"#,##0")&amp;"円）／","")&amp;IF(AND(INDEX(職員マスタ!$F$6:$F$405,$AP1594)&lt;&gt;"",$AQ1594&lt;&gt;"",INDEX(職員マスタ!$F$6:$F$405,$AP1594)&lt;$AQ1594),"対象月に子が2歳到達済／","")&amp;IF(AND($H1594&lt;&gt;"",INDEX(職員マスタ!$B$6:$B$405,$AP1594)&lt;&gt;"",SUBSTITUTE(SUBSTITUTE($H1594," ","")," ","")&lt;&gt;SUBSTITUTE(SUBSTITUTE(INDEX(職員マスタ!$B$6:$B$405,$AP1594)," ","")," ","")),"氏名がマスタと相違／","")&amp;IF(AND($Q1594&lt;&gt;"",INDEX(職員マスタ!$E$6:$E$405,$AP1594)&lt;&gt;"",$Q1594&lt;&gt;INDEX(職員マスタ!$E$6:$E$405,$AP1594)),"子の生年月日がマスタと相違／","")&amp;IF(AND($L1594&lt;&gt;"",INDEX(職員マスタ!$G$6:$G$405,$AP1594)&lt;&gt;"",$L1594&lt;&gt;INDEX(職員マスタ!$G$6:$G$405,$AP1594)),"時短開始日がマスタと相違／","")&amp;IF(AND($M1594&lt;&gt;"",INDEX(職員マスタ!$H$6:$H$405,$AP1594)&lt;&gt;"",$M1594&lt;&gt;INDEX(職員マスタ!$H$6:$H$405,$AP1594)),"時短終了日がマスタと相違／","")))&amp;IF(AND($B1594&lt;&gt;"",$E1594=""),"報酬額が未入力／","")&amp;IF(N($U1594)&gt;0,"申請書に入力エラーが残っています／","")&amp;IF(AND($B1594&lt;&gt;"",$AQ1594&lt;&gt;""),IF(COUNTIFS($B$6:$B$3005,$B1594,$C$6:$C$3005,$C1594,$D$6:$D$3005,$D1594)&gt;1,"同じ月の請求が重複しています／",""),"")&amp;IF(AND(N($E1594)&gt;0,$AB1594&lt;&gt;"",$AB1594&lt;&gt;"×",$AE1594=0,$AD1594=""),"計算額が下限以下のため不支給／",""))</f>
        <v/>
      </c>
      <c r="AN1594" s="12" t="n"/>
      <c r="AO1594" s="14">
        <f>IF($AF1594="保留中",COUNTIF($AF$6:$AF1594,"保留中"),"")</f>
        <v/>
      </c>
      <c r="AP1594" s="14">
        <f>IF($AQ1594="","",IF(SUMPRODUCT(MAX((職員マスタ!$A$6:$A$405=$B1594)*(((職員マスタ!$G$6:$G$405="")+(職員マスタ!$G$6:$G$405&lt;=EOMONTH($AQ1594,0)))&gt;0)*(((職員マスタ!$H$6:$H$405="")+(職員マスタ!$H$6:$H$405&gt;=$AQ1594))&gt;0)*(ROW(職員マスタ!$A$6:$A$405)-5)))&gt;0,SUMPRODUCT(MAX((職員マスタ!$A$6:$A$405=$B1594)*(((職員マスタ!$G$6:$G$405="")+(職員マスタ!$G$6:$G$405&lt;=EOMONTH($AQ1594,0)))&gt;0)*(((職員マスタ!$H$6:$H$405="")+(職員マスタ!$H$6:$H$405&gt;=$AQ1594))&gt;0)*(ROW(職員マスタ!$A$6:$A$405)-5))),IFERROR(MATCH($B1594,職員マスタ!$A$6:$A$405,0),"")))</f>
        <v/>
      </c>
      <c r="AQ1594" s="16">
        <f>IF(OR($B1594="",$C1594="",$D1594=""),"",DATE($C1594+2018,$D1594,1))</f>
        <v/>
      </c>
    </row>
    <row r="1595">
      <c r="A1595" s="11" t="n"/>
      <c r="B1595" s="12" t="n"/>
      <c r="C1595" s="12" t="n"/>
      <c r="D1595" s="12" t="n"/>
      <c r="E1595" s="13" t="n"/>
      <c r="F1595" s="12" t="n"/>
      <c r="G1595" s="13" t="n"/>
      <c r="H1595" s="12" t="n"/>
      <c r="I1595" s="12" t="n"/>
      <c r="J1595" s="12" t="n"/>
      <c r="K1595" s="12" t="n"/>
      <c r="L1595" s="11" t="n"/>
      <c r="M1595" s="11" t="n"/>
      <c r="N1595" s="11" t="n"/>
      <c r="O1595" s="11" t="n"/>
      <c r="P1595" s="12" t="n"/>
      <c r="Q1595" s="11" t="n"/>
      <c r="R1595" s="12" t="n"/>
      <c r="S1595" s="11" t="n"/>
      <c r="T1595" s="12" t="n"/>
      <c r="U1595" s="12" t="n"/>
      <c r="V1595" s="12" t="n"/>
      <c r="W1595" s="13" t="n"/>
      <c r="X1595" s="14">
        <f>IF($AP1595="",IF($B1595="","",$H1595),IF(INDEX(職員マスタ!$B$6:$B$405,$AP1595)="",$H1595,INDEX(職員マスタ!$B$6:$B$405,$AP1595)))</f>
        <v/>
      </c>
      <c r="Y1595" s="14">
        <f>IF($AP1595="",IF($B1595="","",$R1595),IF(INDEX(職員マスタ!$C$6:$C$405,$AP1595)="",$R1595,INDEX(職員マスタ!$C$6:$C$405,$AP1595)))</f>
        <v/>
      </c>
      <c r="Z1595" s="14">
        <f>IF($AQ1595="","","R"&amp;$C1595&amp;"."&amp;$D1595)</f>
        <v/>
      </c>
      <c r="AA1595" s="15">
        <f>IF(IF($AP1595="",FALSE,INDEX(職員マスタ!$K$6:$K$405,$AP1595)&lt;&gt;""),INDEX(職員マスタ!$K$6:$K$405,$AP1595),IF(N($W1595)&gt;0,$W1595,""))</f>
        <v/>
      </c>
      <c r="AB1595" s="14">
        <f>IF(OR($E1595="",$AA1595=""),"",IF($E1595&gt;=$AA1595,"×",IF($E1595&gt;=$AA1595*設定!$C$5,"△","○")))</f>
        <v/>
      </c>
      <c r="AC1595" s="15">
        <f>IF($AB1595="","",IF($AB1595="×",0,IF($AB1595="○",ROUNDDOWN($E1595*設定!$C$4,0),ROUNDDOWN($E1595*ROUND((9*$AA1595-9*$E1595)/(10*$E1595),4),0))))</f>
        <v/>
      </c>
      <c r="AD1595" s="13" t="n"/>
      <c r="AE1595" s="15">
        <f>IF($B1595="","",IF($AD1595&lt;&gt;"",$AD1595,IF($AC1595="","",IF($AC1595&lt;=設定!$C$3,0,$AC1595))))</f>
        <v/>
      </c>
      <c r="AF1595" s="14">
        <f>IF($B1595="","",IF(AND($AG1595&lt;&gt;"",$AI1595="",$AL1595=""),"保留中",IF($AL1595&lt;&gt;"",IF(N($AE1595)&gt;0,"支給済","不支給"),IF($AE1595="","要確認",IF($AE1595=0,"不支給","未処理")))))</f>
        <v/>
      </c>
      <c r="AG1595" s="12" t="n"/>
      <c r="AH1595" s="11" t="n"/>
      <c r="AI1595" s="11" t="n"/>
      <c r="AJ1595" s="11" t="n"/>
      <c r="AK1595" s="14">
        <f>IF(AND($AF1595="保留中",$AH1595&lt;&gt;""),TODAY()-$AH1595,"")</f>
        <v/>
      </c>
      <c r="AL1595" s="12" t="n"/>
      <c r="AM1595" s="14">
        <f>IF($B1595="","",IF($AQ1595="","対象年月が未入力／","")&amp;IF($B1595="","",IF($AP1595="","職員マスタに未登録の職員番号／",IF($AA1595="","標準報酬月額が未登録／","")&amp;IF(AND($AQ1595&lt;&gt;"",OR(AND(INDEX(職員マスタ!$G$6:$G$405,$AP1595)&lt;&gt;"",INDEX(職員マスタ!$G$6:$G$405,$AP1595)&gt;EOMONTH($AQ1595,0)),AND(INDEX(職員マスタ!$H$6:$H$405,$AP1595)&lt;&gt;"",INDEX(職員マスタ!$H$6:$H$405,$AP1595)&lt;$AQ1595))),"対象月が時短期間外／","")&amp;IF(AND(INDEX(職員マスタ!$K$6:$K$405,$AP1595)&lt;&gt;"",N($W1595)&gt;0,INDEX(職員マスタ!$K$6:$K$405,$AP1595)&lt;&gt;$W1595),"標準報酬月額が申請書と相違（台帳"&amp;TEXT(INDEX(職員マスタ!$K$6:$K$405,$AP1595),"#,##0")&amp;"円／申請書"&amp;TEXT($W1595,"#,##0")&amp;"円）／","")&amp;IF(AND(INDEX(職員マスタ!$F$6:$F$405,$AP1595)&lt;&gt;"",$AQ1595&lt;&gt;"",INDEX(職員マスタ!$F$6:$F$405,$AP1595)&lt;$AQ1595),"対象月に子が2歳到達済／","")&amp;IF(AND($H1595&lt;&gt;"",INDEX(職員マスタ!$B$6:$B$405,$AP1595)&lt;&gt;"",SUBSTITUTE(SUBSTITUTE($H1595," ","")," ","")&lt;&gt;SUBSTITUTE(SUBSTITUTE(INDEX(職員マスタ!$B$6:$B$405,$AP1595)," ","")," ","")),"氏名がマスタと相違／","")&amp;IF(AND($Q1595&lt;&gt;"",INDEX(職員マスタ!$E$6:$E$405,$AP1595)&lt;&gt;"",$Q1595&lt;&gt;INDEX(職員マスタ!$E$6:$E$405,$AP1595)),"子の生年月日がマスタと相違／","")&amp;IF(AND($L1595&lt;&gt;"",INDEX(職員マスタ!$G$6:$G$405,$AP1595)&lt;&gt;"",$L1595&lt;&gt;INDEX(職員マスタ!$G$6:$G$405,$AP1595)),"時短開始日がマスタと相違／","")&amp;IF(AND($M1595&lt;&gt;"",INDEX(職員マスタ!$H$6:$H$405,$AP1595)&lt;&gt;"",$M1595&lt;&gt;INDEX(職員マスタ!$H$6:$H$405,$AP1595)),"時短終了日がマスタと相違／","")))&amp;IF(AND($B1595&lt;&gt;"",$E1595=""),"報酬額が未入力／","")&amp;IF(N($U1595)&gt;0,"申請書に入力エラーが残っています／","")&amp;IF(AND($B1595&lt;&gt;"",$AQ1595&lt;&gt;""),IF(COUNTIFS($B$6:$B$3005,$B1595,$C$6:$C$3005,$C1595,$D$6:$D$3005,$D1595)&gt;1,"同じ月の請求が重複しています／",""),"")&amp;IF(AND(N($E1595)&gt;0,$AB1595&lt;&gt;"",$AB1595&lt;&gt;"×",$AE1595=0,$AD1595=""),"計算額が下限以下のため不支給／",""))</f>
        <v/>
      </c>
      <c r="AN1595" s="12" t="n"/>
      <c r="AO1595" s="14">
        <f>IF($AF1595="保留中",COUNTIF($AF$6:$AF1595,"保留中"),"")</f>
        <v/>
      </c>
      <c r="AP1595" s="14">
        <f>IF($AQ1595="","",IF(SUMPRODUCT(MAX((職員マスタ!$A$6:$A$405=$B1595)*(((職員マスタ!$G$6:$G$405="")+(職員マスタ!$G$6:$G$405&lt;=EOMONTH($AQ1595,0)))&gt;0)*(((職員マスタ!$H$6:$H$405="")+(職員マスタ!$H$6:$H$405&gt;=$AQ1595))&gt;0)*(ROW(職員マスタ!$A$6:$A$405)-5)))&gt;0,SUMPRODUCT(MAX((職員マスタ!$A$6:$A$405=$B1595)*(((職員マスタ!$G$6:$G$405="")+(職員マスタ!$G$6:$G$405&lt;=EOMONTH($AQ1595,0)))&gt;0)*(((職員マスタ!$H$6:$H$405="")+(職員マスタ!$H$6:$H$405&gt;=$AQ1595))&gt;0)*(ROW(職員マスタ!$A$6:$A$405)-5))),IFERROR(MATCH($B1595,職員マスタ!$A$6:$A$405,0),"")))</f>
        <v/>
      </c>
      <c r="AQ1595" s="16">
        <f>IF(OR($B1595="",$C1595="",$D1595=""),"",DATE($C1595+2018,$D1595,1))</f>
        <v/>
      </c>
    </row>
    <row r="1596">
      <c r="A1596" s="11" t="n"/>
      <c r="B1596" s="12" t="n"/>
      <c r="C1596" s="12" t="n"/>
      <c r="D1596" s="12" t="n"/>
      <c r="E1596" s="13" t="n"/>
      <c r="F1596" s="12" t="n"/>
      <c r="G1596" s="13" t="n"/>
      <c r="H1596" s="12" t="n"/>
      <c r="I1596" s="12" t="n"/>
      <c r="J1596" s="12" t="n"/>
      <c r="K1596" s="12" t="n"/>
      <c r="L1596" s="11" t="n"/>
      <c r="M1596" s="11" t="n"/>
      <c r="N1596" s="11" t="n"/>
      <c r="O1596" s="11" t="n"/>
      <c r="P1596" s="12" t="n"/>
      <c r="Q1596" s="11" t="n"/>
      <c r="R1596" s="12" t="n"/>
      <c r="S1596" s="11" t="n"/>
      <c r="T1596" s="12" t="n"/>
      <c r="U1596" s="12" t="n"/>
      <c r="V1596" s="12" t="n"/>
      <c r="W1596" s="13" t="n"/>
      <c r="X1596" s="14">
        <f>IF($AP1596="",IF($B1596="","",$H1596),IF(INDEX(職員マスタ!$B$6:$B$405,$AP1596)="",$H1596,INDEX(職員マスタ!$B$6:$B$405,$AP1596)))</f>
        <v/>
      </c>
      <c r="Y1596" s="14">
        <f>IF($AP1596="",IF($B1596="","",$R1596),IF(INDEX(職員マスタ!$C$6:$C$405,$AP1596)="",$R1596,INDEX(職員マスタ!$C$6:$C$405,$AP1596)))</f>
        <v/>
      </c>
      <c r="Z1596" s="14">
        <f>IF($AQ1596="","","R"&amp;$C1596&amp;"."&amp;$D1596)</f>
        <v/>
      </c>
      <c r="AA1596" s="15">
        <f>IF(IF($AP1596="",FALSE,INDEX(職員マスタ!$K$6:$K$405,$AP1596)&lt;&gt;""),INDEX(職員マスタ!$K$6:$K$405,$AP1596),IF(N($W1596)&gt;0,$W1596,""))</f>
        <v/>
      </c>
      <c r="AB1596" s="14">
        <f>IF(OR($E1596="",$AA1596=""),"",IF($E1596&gt;=$AA1596,"×",IF($E1596&gt;=$AA1596*設定!$C$5,"△","○")))</f>
        <v/>
      </c>
      <c r="AC1596" s="15">
        <f>IF($AB1596="","",IF($AB1596="×",0,IF($AB1596="○",ROUNDDOWN($E1596*設定!$C$4,0),ROUNDDOWN($E1596*ROUND((9*$AA1596-9*$E1596)/(10*$E1596),4),0))))</f>
        <v/>
      </c>
      <c r="AD1596" s="13" t="n"/>
      <c r="AE1596" s="15">
        <f>IF($B1596="","",IF($AD1596&lt;&gt;"",$AD1596,IF($AC1596="","",IF($AC1596&lt;=設定!$C$3,0,$AC1596))))</f>
        <v/>
      </c>
      <c r="AF1596" s="14">
        <f>IF($B1596="","",IF(AND($AG1596&lt;&gt;"",$AI1596="",$AL1596=""),"保留中",IF($AL1596&lt;&gt;"",IF(N($AE1596)&gt;0,"支給済","不支給"),IF($AE1596="","要確認",IF($AE1596=0,"不支給","未処理")))))</f>
        <v/>
      </c>
      <c r="AG1596" s="12" t="n"/>
      <c r="AH1596" s="11" t="n"/>
      <c r="AI1596" s="11" t="n"/>
      <c r="AJ1596" s="11" t="n"/>
      <c r="AK1596" s="14">
        <f>IF(AND($AF1596="保留中",$AH1596&lt;&gt;""),TODAY()-$AH1596,"")</f>
        <v/>
      </c>
      <c r="AL1596" s="12" t="n"/>
      <c r="AM1596" s="14">
        <f>IF($B1596="","",IF($AQ1596="","対象年月が未入力／","")&amp;IF($B1596="","",IF($AP1596="","職員マスタに未登録の職員番号／",IF($AA1596="","標準報酬月額が未登録／","")&amp;IF(AND($AQ1596&lt;&gt;"",OR(AND(INDEX(職員マスタ!$G$6:$G$405,$AP1596)&lt;&gt;"",INDEX(職員マスタ!$G$6:$G$405,$AP1596)&gt;EOMONTH($AQ1596,0)),AND(INDEX(職員マスタ!$H$6:$H$405,$AP1596)&lt;&gt;"",INDEX(職員マスタ!$H$6:$H$405,$AP1596)&lt;$AQ1596))),"対象月が時短期間外／","")&amp;IF(AND(INDEX(職員マスタ!$K$6:$K$405,$AP1596)&lt;&gt;"",N($W1596)&gt;0,INDEX(職員マスタ!$K$6:$K$405,$AP1596)&lt;&gt;$W1596),"標準報酬月額が申請書と相違（台帳"&amp;TEXT(INDEX(職員マスタ!$K$6:$K$405,$AP1596),"#,##0")&amp;"円／申請書"&amp;TEXT($W1596,"#,##0")&amp;"円）／","")&amp;IF(AND(INDEX(職員マスタ!$F$6:$F$405,$AP1596)&lt;&gt;"",$AQ1596&lt;&gt;"",INDEX(職員マスタ!$F$6:$F$405,$AP1596)&lt;$AQ1596),"対象月に子が2歳到達済／","")&amp;IF(AND($H1596&lt;&gt;"",INDEX(職員マスタ!$B$6:$B$405,$AP1596)&lt;&gt;"",SUBSTITUTE(SUBSTITUTE($H1596," ","")," ","")&lt;&gt;SUBSTITUTE(SUBSTITUTE(INDEX(職員マスタ!$B$6:$B$405,$AP1596)," ","")," ","")),"氏名がマスタと相違／","")&amp;IF(AND($Q1596&lt;&gt;"",INDEX(職員マスタ!$E$6:$E$405,$AP1596)&lt;&gt;"",$Q1596&lt;&gt;INDEX(職員マスタ!$E$6:$E$405,$AP1596)),"子の生年月日がマスタと相違／","")&amp;IF(AND($L1596&lt;&gt;"",INDEX(職員マスタ!$G$6:$G$405,$AP1596)&lt;&gt;"",$L1596&lt;&gt;INDEX(職員マスタ!$G$6:$G$405,$AP1596)),"時短開始日がマスタと相違／","")&amp;IF(AND($M1596&lt;&gt;"",INDEX(職員マスタ!$H$6:$H$405,$AP1596)&lt;&gt;"",$M1596&lt;&gt;INDEX(職員マスタ!$H$6:$H$405,$AP1596)),"時短終了日がマスタと相違／","")))&amp;IF(AND($B1596&lt;&gt;"",$E1596=""),"報酬額が未入力／","")&amp;IF(N($U1596)&gt;0,"申請書に入力エラーが残っています／","")&amp;IF(AND($B1596&lt;&gt;"",$AQ1596&lt;&gt;""),IF(COUNTIFS($B$6:$B$3005,$B1596,$C$6:$C$3005,$C1596,$D$6:$D$3005,$D1596)&gt;1,"同じ月の請求が重複しています／",""),"")&amp;IF(AND(N($E1596)&gt;0,$AB1596&lt;&gt;"",$AB1596&lt;&gt;"×",$AE1596=0,$AD1596=""),"計算額が下限以下のため不支給／",""))</f>
        <v/>
      </c>
      <c r="AN1596" s="12" t="n"/>
      <c r="AO1596" s="14">
        <f>IF($AF1596="保留中",COUNTIF($AF$6:$AF1596,"保留中"),"")</f>
        <v/>
      </c>
      <c r="AP1596" s="14">
        <f>IF($AQ1596="","",IF(SUMPRODUCT(MAX((職員マスタ!$A$6:$A$405=$B1596)*(((職員マスタ!$G$6:$G$405="")+(職員マスタ!$G$6:$G$405&lt;=EOMONTH($AQ1596,0)))&gt;0)*(((職員マスタ!$H$6:$H$405="")+(職員マスタ!$H$6:$H$405&gt;=$AQ1596))&gt;0)*(ROW(職員マスタ!$A$6:$A$405)-5)))&gt;0,SUMPRODUCT(MAX((職員マスタ!$A$6:$A$405=$B1596)*(((職員マスタ!$G$6:$G$405="")+(職員マスタ!$G$6:$G$405&lt;=EOMONTH($AQ1596,0)))&gt;0)*(((職員マスタ!$H$6:$H$405="")+(職員マスタ!$H$6:$H$405&gt;=$AQ1596))&gt;0)*(ROW(職員マスタ!$A$6:$A$405)-5))),IFERROR(MATCH($B1596,職員マスタ!$A$6:$A$405,0),"")))</f>
        <v/>
      </c>
      <c r="AQ1596" s="16">
        <f>IF(OR($B1596="",$C1596="",$D1596=""),"",DATE($C1596+2018,$D1596,1))</f>
        <v/>
      </c>
    </row>
    <row r="1597">
      <c r="A1597" s="11" t="n"/>
      <c r="B1597" s="12" t="n"/>
      <c r="C1597" s="12" t="n"/>
      <c r="D1597" s="12" t="n"/>
      <c r="E1597" s="13" t="n"/>
      <c r="F1597" s="12" t="n"/>
      <c r="G1597" s="13" t="n"/>
      <c r="H1597" s="12" t="n"/>
      <c r="I1597" s="12" t="n"/>
      <c r="J1597" s="12" t="n"/>
      <c r="K1597" s="12" t="n"/>
      <c r="L1597" s="11" t="n"/>
      <c r="M1597" s="11" t="n"/>
      <c r="N1597" s="11" t="n"/>
      <c r="O1597" s="11" t="n"/>
      <c r="P1597" s="12" t="n"/>
      <c r="Q1597" s="11" t="n"/>
      <c r="R1597" s="12" t="n"/>
      <c r="S1597" s="11" t="n"/>
      <c r="T1597" s="12" t="n"/>
      <c r="U1597" s="12" t="n"/>
      <c r="V1597" s="12" t="n"/>
      <c r="W1597" s="13" t="n"/>
      <c r="X1597" s="14">
        <f>IF($AP1597="",IF($B1597="","",$H1597),IF(INDEX(職員マスタ!$B$6:$B$405,$AP1597)="",$H1597,INDEX(職員マスタ!$B$6:$B$405,$AP1597)))</f>
        <v/>
      </c>
      <c r="Y1597" s="14">
        <f>IF($AP1597="",IF($B1597="","",$R1597),IF(INDEX(職員マスタ!$C$6:$C$405,$AP1597)="",$R1597,INDEX(職員マスタ!$C$6:$C$405,$AP1597)))</f>
        <v/>
      </c>
      <c r="Z1597" s="14">
        <f>IF($AQ1597="","","R"&amp;$C1597&amp;"."&amp;$D1597)</f>
        <v/>
      </c>
      <c r="AA1597" s="15">
        <f>IF(IF($AP1597="",FALSE,INDEX(職員マスタ!$K$6:$K$405,$AP1597)&lt;&gt;""),INDEX(職員マスタ!$K$6:$K$405,$AP1597),IF(N($W1597)&gt;0,$W1597,""))</f>
        <v/>
      </c>
      <c r="AB1597" s="14">
        <f>IF(OR($E1597="",$AA1597=""),"",IF($E1597&gt;=$AA1597,"×",IF($E1597&gt;=$AA1597*設定!$C$5,"△","○")))</f>
        <v/>
      </c>
      <c r="AC1597" s="15">
        <f>IF($AB1597="","",IF($AB1597="×",0,IF($AB1597="○",ROUNDDOWN($E1597*設定!$C$4,0),ROUNDDOWN($E1597*ROUND((9*$AA1597-9*$E1597)/(10*$E1597),4),0))))</f>
        <v/>
      </c>
      <c r="AD1597" s="13" t="n"/>
      <c r="AE1597" s="15">
        <f>IF($B1597="","",IF($AD1597&lt;&gt;"",$AD1597,IF($AC1597="","",IF($AC1597&lt;=設定!$C$3,0,$AC1597))))</f>
        <v/>
      </c>
      <c r="AF1597" s="14">
        <f>IF($B1597="","",IF(AND($AG1597&lt;&gt;"",$AI1597="",$AL1597=""),"保留中",IF($AL1597&lt;&gt;"",IF(N($AE1597)&gt;0,"支給済","不支給"),IF($AE1597="","要確認",IF($AE1597=0,"不支給","未処理")))))</f>
        <v/>
      </c>
      <c r="AG1597" s="12" t="n"/>
      <c r="AH1597" s="11" t="n"/>
      <c r="AI1597" s="11" t="n"/>
      <c r="AJ1597" s="11" t="n"/>
      <c r="AK1597" s="14">
        <f>IF(AND($AF1597="保留中",$AH1597&lt;&gt;""),TODAY()-$AH1597,"")</f>
        <v/>
      </c>
      <c r="AL1597" s="12" t="n"/>
      <c r="AM1597" s="14">
        <f>IF($B1597="","",IF($AQ1597="","対象年月が未入力／","")&amp;IF($B1597="","",IF($AP1597="","職員マスタに未登録の職員番号／",IF($AA1597="","標準報酬月額が未登録／","")&amp;IF(AND($AQ1597&lt;&gt;"",OR(AND(INDEX(職員マスタ!$G$6:$G$405,$AP1597)&lt;&gt;"",INDEX(職員マスタ!$G$6:$G$405,$AP1597)&gt;EOMONTH($AQ1597,0)),AND(INDEX(職員マスタ!$H$6:$H$405,$AP1597)&lt;&gt;"",INDEX(職員マスタ!$H$6:$H$405,$AP1597)&lt;$AQ1597))),"対象月が時短期間外／","")&amp;IF(AND(INDEX(職員マスタ!$K$6:$K$405,$AP1597)&lt;&gt;"",N($W1597)&gt;0,INDEX(職員マスタ!$K$6:$K$405,$AP1597)&lt;&gt;$W1597),"標準報酬月額が申請書と相違（台帳"&amp;TEXT(INDEX(職員マスタ!$K$6:$K$405,$AP1597),"#,##0")&amp;"円／申請書"&amp;TEXT($W1597,"#,##0")&amp;"円）／","")&amp;IF(AND(INDEX(職員マスタ!$F$6:$F$405,$AP1597)&lt;&gt;"",$AQ1597&lt;&gt;"",INDEX(職員マスタ!$F$6:$F$405,$AP1597)&lt;$AQ1597),"対象月に子が2歳到達済／","")&amp;IF(AND($H1597&lt;&gt;"",INDEX(職員マスタ!$B$6:$B$405,$AP1597)&lt;&gt;"",SUBSTITUTE(SUBSTITUTE($H1597," ","")," ","")&lt;&gt;SUBSTITUTE(SUBSTITUTE(INDEX(職員マスタ!$B$6:$B$405,$AP1597)," ","")," ","")),"氏名がマスタと相違／","")&amp;IF(AND($Q1597&lt;&gt;"",INDEX(職員マスタ!$E$6:$E$405,$AP1597)&lt;&gt;"",$Q1597&lt;&gt;INDEX(職員マスタ!$E$6:$E$405,$AP1597)),"子の生年月日がマスタと相違／","")&amp;IF(AND($L1597&lt;&gt;"",INDEX(職員マスタ!$G$6:$G$405,$AP1597)&lt;&gt;"",$L1597&lt;&gt;INDEX(職員マスタ!$G$6:$G$405,$AP1597)),"時短開始日がマスタと相違／","")&amp;IF(AND($M1597&lt;&gt;"",INDEX(職員マスタ!$H$6:$H$405,$AP1597)&lt;&gt;"",$M1597&lt;&gt;INDEX(職員マスタ!$H$6:$H$405,$AP1597)),"時短終了日がマスタと相違／","")))&amp;IF(AND($B1597&lt;&gt;"",$E1597=""),"報酬額が未入力／","")&amp;IF(N($U1597)&gt;0,"申請書に入力エラーが残っています／","")&amp;IF(AND($B1597&lt;&gt;"",$AQ1597&lt;&gt;""),IF(COUNTIFS($B$6:$B$3005,$B1597,$C$6:$C$3005,$C1597,$D$6:$D$3005,$D1597)&gt;1,"同じ月の請求が重複しています／",""),"")&amp;IF(AND(N($E1597)&gt;0,$AB1597&lt;&gt;"",$AB1597&lt;&gt;"×",$AE1597=0,$AD1597=""),"計算額が下限以下のため不支給／",""))</f>
        <v/>
      </c>
      <c r="AN1597" s="12" t="n"/>
      <c r="AO1597" s="14">
        <f>IF($AF1597="保留中",COUNTIF($AF$6:$AF1597,"保留中"),"")</f>
        <v/>
      </c>
      <c r="AP1597" s="14">
        <f>IF($AQ1597="","",IF(SUMPRODUCT(MAX((職員マスタ!$A$6:$A$405=$B1597)*(((職員マスタ!$G$6:$G$405="")+(職員マスタ!$G$6:$G$405&lt;=EOMONTH($AQ1597,0)))&gt;0)*(((職員マスタ!$H$6:$H$405="")+(職員マスタ!$H$6:$H$405&gt;=$AQ1597))&gt;0)*(ROW(職員マスタ!$A$6:$A$405)-5)))&gt;0,SUMPRODUCT(MAX((職員マスタ!$A$6:$A$405=$B1597)*(((職員マスタ!$G$6:$G$405="")+(職員マスタ!$G$6:$G$405&lt;=EOMONTH($AQ1597,0)))&gt;0)*(((職員マスタ!$H$6:$H$405="")+(職員マスタ!$H$6:$H$405&gt;=$AQ1597))&gt;0)*(ROW(職員マスタ!$A$6:$A$405)-5))),IFERROR(MATCH($B1597,職員マスタ!$A$6:$A$405,0),"")))</f>
        <v/>
      </c>
      <c r="AQ1597" s="16">
        <f>IF(OR($B1597="",$C1597="",$D1597=""),"",DATE($C1597+2018,$D1597,1))</f>
        <v/>
      </c>
    </row>
    <row r="1598">
      <c r="A1598" s="11" t="n"/>
      <c r="B1598" s="12" t="n"/>
      <c r="C1598" s="12" t="n"/>
      <c r="D1598" s="12" t="n"/>
      <c r="E1598" s="13" t="n"/>
      <c r="F1598" s="12" t="n"/>
      <c r="G1598" s="13" t="n"/>
      <c r="H1598" s="12" t="n"/>
      <c r="I1598" s="12" t="n"/>
      <c r="J1598" s="12" t="n"/>
      <c r="K1598" s="12" t="n"/>
      <c r="L1598" s="11" t="n"/>
      <c r="M1598" s="11" t="n"/>
      <c r="N1598" s="11" t="n"/>
      <c r="O1598" s="11" t="n"/>
      <c r="P1598" s="12" t="n"/>
      <c r="Q1598" s="11" t="n"/>
      <c r="R1598" s="12" t="n"/>
      <c r="S1598" s="11" t="n"/>
      <c r="T1598" s="12" t="n"/>
      <c r="U1598" s="12" t="n"/>
      <c r="V1598" s="12" t="n"/>
      <c r="W1598" s="13" t="n"/>
      <c r="X1598" s="14">
        <f>IF($AP1598="",IF($B1598="","",$H1598),IF(INDEX(職員マスタ!$B$6:$B$405,$AP1598)="",$H1598,INDEX(職員マスタ!$B$6:$B$405,$AP1598)))</f>
        <v/>
      </c>
      <c r="Y1598" s="14">
        <f>IF($AP1598="",IF($B1598="","",$R1598),IF(INDEX(職員マスタ!$C$6:$C$405,$AP1598)="",$R1598,INDEX(職員マスタ!$C$6:$C$405,$AP1598)))</f>
        <v/>
      </c>
      <c r="Z1598" s="14">
        <f>IF($AQ1598="","","R"&amp;$C1598&amp;"."&amp;$D1598)</f>
        <v/>
      </c>
      <c r="AA1598" s="15">
        <f>IF(IF($AP1598="",FALSE,INDEX(職員マスタ!$K$6:$K$405,$AP1598)&lt;&gt;""),INDEX(職員マスタ!$K$6:$K$405,$AP1598),IF(N($W1598)&gt;0,$W1598,""))</f>
        <v/>
      </c>
      <c r="AB1598" s="14">
        <f>IF(OR($E1598="",$AA1598=""),"",IF($E1598&gt;=$AA1598,"×",IF($E1598&gt;=$AA1598*設定!$C$5,"△","○")))</f>
        <v/>
      </c>
      <c r="AC1598" s="15">
        <f>IF($AB1598="","",IF($AB1598="×",0,IF($AB1598="○",ROUNDDOWN($E1598*設定!$C$4,0),ROUNDDOWN($E1598*ROUND((9*$AA1598-9*$E1598)/(10*$E1598),4),0))))</f>
        <v/>
      </c>
      <c r="AD1598" s="13" t="n"/>
      <c r="AE1598" s="15">
        <f>IF($B1598="","",IF($AD1598&lt;&gt;"",$AD1598,IF($AC1598="","",IF($AC1598&lt;=設定!$C$3,0,$AC1598))))</f>
        <v/>
      </c>
      <c r="AF1598" s="14">
        <f>IF($B1598="","",IF(AND($AG1598&lt;&gt;"",$AI1598="",$AL1598=""),"保留中",IF($AL1598&lt;&gt;"",IF(N($AE1598)&gt;0,"支給済","不支給"),IF($AE1598="","要確認",IF($AE1598=0,"不支給","未処理")))))</f>
        <v/>
      </c>
      <c r="AG1598" s="12" t="n"/>
      <c r="AH1598" s="11" t="n"/>
      <c r="AI1598" s="11" t="n"/>
      <c r="AJ1598" s="11" t="n"/>
      <c r="AK1598" s="14">
        <f>IF(AND($AF1598="保留中",$AH1598&lt;&gt;""),TODAY()-$AH1598,"")</f>
        <v/>
      </c>
      <c r="AL1598" s="12" t="n"/>
      <c r="AM1598" s="14">
        <f>IF($B1598="","",IF($AQ1598="","対象年月が未入力／","")&amp;IF($B1598="","",IF($AP1598="","職員マスタに未登録の職員番号／",IF($AA1598="","標準報酬月額が未登録／","")&amp;IF(AND($AQ1598&lt;&gt;"",OR(AND(INDEX(職員マスタ!$G$6:$G$405,$AP1598)&lt;&gt;"",INDEX(職員マスタ!$G$6:$G$405,$AP1598)&gt;EOMONTH($AQ1598,0)),AND(INDEX(職員マスタ!$H$6:$H$405,$AP1598)&lt;&gt;"",INDEX(職員マスタ!$H$6:$H$405,$AP1598)&lt;$AQ1598))),"対象月が時短期間外／","")&amp;IF(AND(INDEX(職員マスタ!$K$6:$K$405,$AP1598)&lt;&gt;"",N($W1598)&gt;0,INDEX(職員マスタ!$K$6:$K$405,$AP1598)&lt;&gt;$W1598),"標準報酬月額が申請書と相違（台帳"&amp;TEXT(INDEX(職員マスタ!$K$6:$K$405,$AP1598),"#,##0")&amp;"円／申請書"&amp;TEXT($W1598,"#,##0")&amp;"円）／","")&amp;IF(AND(INDEX(職員マスタ!$F$6:$F$405,$AP1598)&lt;&gt;"",$AQ1598&lt;&gt;"",INDEX(職員マスタ!$F$6:$F$405,$AP1598)&lt;$AQ1598),"対象月に子が2歳到達済／","")&amp;IF(AND($H1598&lt;&gt;"",INDEX(職員マスタ!$B$6:$B$405,$AP1598)&lt;&gt;"",SUBSTITUTE(SUBSTITUTE($H1598," ","")," ","")&lt;&gt;SUBSTITUTE(SUBSTITUTE(INDEX(職員マスタ!$B$6:$B$405,$AP1598)," ","")," ","")),"氏名がマスタと相違／","")&amp;IF(AND($Q1598&lt;&gt;"",INDEX(職員マスタ!$E$6:$E$405,$AP1598)&lt;&gt;"",$Q1598&lt;&gt;INDEX(職員マスタ!$E$6:$E$405,$AP1598)),"子の生年月日がマスタと相違／","")&amp;IF(AND($L1598&lt;&gt;"",INDEX(職員マスタ!$G$6:$G$405,$AP1598)&lt;&gt;"",$L1598&lt;&gt;INDEX(職員マスタ!$G$6:$G$405,$AP1598)),"時短開始日がマスタと相違／","")&amp;IF(AND($M1598&lt;&gt;"",INDEX(職員マスタ!$H$6:$H$405,$AP1598)&lt;&gt;"",$M1598&lt;&gt;INDEX(職員マスタ!$H$6:$H$405,$AP1598)),"時短終了日がマスタと相違／","")))&amp;IF(AND($B1598&lt;&gt;"",$E1598=""),"報酬額が未入力／","")&amp;IF(N($U1598)&gt;0,"申請書に入力エラーが残っています／","")&amp;IF(AND($B1598&lt;&gt;"",$AQ1598&lt;&gt;""),IF(COUNTIFS($B$6:$B$3005,$B1598,$C$6:$C$3005,$C1598,$D$6:$D$3005,$D1598)&gt;1,"同じ月の請求が重複しています／",""),"")&amp;IF(AND(N($E1598)&gt;0,$AB1598&lt;&gt;"",$AB1598&lt;&gt;"×",$AE1598=0,$AD1598=""),"計算額が下限以下のため不支給／",""))</f>
        <v/>
      </c>
      <c r="AN1598" s="12" t="n"/>
      <c r="AO1598" s="14">
        <f>IF($AF1598="保留中",COUNTIF($AF$6:$AF1598,"保留中"),"")</f>
        <v/>
      </c>
      <c r="AP1598" s="14">
        <f>IF($AQ1598="","",IF(SUMPRODUCT(MAX((職員マスタ!$A$6:$A$405=$B1598)*(((職員マスタ!$G$6:$G$405="")+(職員マスタ!$G$6:$G$405&lt;=EOMONTH($AQ1598,0)))&gt;0)*(((職員マスタ!$H$6:$H$405="")+(職員マスタ!$H$6:$H$405&gt;=$AQ1598))&gt;0)*(ROW(職員マスタ!$A$6:$A$405)-5)))&gt;0,SUMPRODUCT(MAX((職員マスタ!$A$6:$A$405=$B1598)*(((職員マスタ!$G$6:$G$405="")+(職員マスタ!$G$6:$G$405&lt;=EOMONTH($AQ1598,0)))&gt;0)*(((職員マスタ!$H$6:$H$405="")+(職員マスタ!$H$6:$H$405&gt;=$AQ1598))&gt;0)*(ROW(職員マスタ!$A$6:$A$405)-5))),IFERROR(MATCH($B1598,職員マスタ!$A$6:$A$405,0),"")))</f>
        <v/>
      </c>
      <c r="AQ1598" s="16">
        <f>IF(OR($B1598="",$C1598="",$D1598=""),"",DATE($C1598+2018,$D1598,1))</f>
        <v/>
      </c>
    </row>
    <row r="1599">
      <c r="A1599" s="11" t="n"/>
      <c r="B1599" s="12" t="n"/>
      <c r="C1599" s="12" t="n"/>
      <c r="D1599" s="12" t="n"/>
      <c r="E1599" s="13" t="n"/>
      <c r="F1599" s="12" t="n"/>
      <c r="G1599" s="13" t="n"/>
      <c r="H1599" s="12" t="n"/>
      <c r="I1599" s="12" t="n"/>
      <c r="J1599" s="12" t="n"/>
      <c r="K1599" s="12" t="n"/>
      <c r="L1599" s="11" t="n"/>
      <c r="M1599" s="11" t="n"/>
      <c r="N1599" s="11" t="n"/>
      <c r="O1599" s="11" t="n"/>
      <c r="P1599" s="12" t="n"/>
      <c r="Q1599" s="11" t="n"/>
      <c r="R1599" s="12" t="n"/>
      <c r="S1599" s="11" t="n"/>
      <c r="T1599" s="12" t="n"/>
      <c r="U1599" s="12" t="n"/>
      <c r="V1599" s="12" t="n"/>
      <c r="W1599" s="13" t="n"/>
      <c r="X1599" s="14">
        <f>IF($AP1599="",IF($B1599="","",$H1599),IF(INDEX(職員マスタ!$B$6:$B$405,$AP1599)="",$H1599,INDEX(職員マスタ!$B$6:$B$405,$AP1599)))</f>
        <v/>
      </c>
      <c r="Y1599" s="14">
        <f>IF($AP1599="",IF($B1599="","",$R1599),IF(INDEX(職員マスタ!$C$6:$C$405,$AP1599)="",$R1599,INDEX(職員マスタ!$C$6:$C$405,$AP1599)))</f>
        <v/>
      </c>
      <c r="Z1599" s="14">
        <f>IF($AQ1599="","","R"&amp;$C1599&amp;"."&amp;$D1599)</f>
        <v/>
      </c>
      <c r="AA1599" s="15">
        <f>IF(IF($AP1599="",FALSE,INDEX(職員マスタ!$K$6:$K$405,$AP1599)&lt;&gt;""),INDEX(職員マスタ!$K$6:$K$405,$AP1599),IF(N($W1599)&gt;0,$W1599,""))</f>
        <v/>
      </c>
      <c r="AB1599" s="14">
        <f>IF(OR($E1599="",$AA1599=""),"",IF($E1599&gt;=$AA1599,"×",IF($E1599&gt;=$AA1599*設定!$C$5,"△","○")))</f>
        <v/>
      </c>
      <c r="AC1599" s="15">
        <f>IF($AB1599="","",IF($AB1599="×",0,IF($AB1599="○",ROUNDDOWN($E1599*設定!$C$4,0),ROUNDDOWN($E1599*ROUND((9*$AA1599-9*$E1599)/(10*$E1599),4),0))))</f>
        <v/>
      </c>
      <c r="AD1599" s="13" t="n"/>
      <c r="AE1599" s="15">
        <f>IF($B1599="","",IF($AD1599&lt;&gt;"",$AD1599,IF($AC1599="","",IF($AC1599&lt;=設定!$C$3,0,$AC1599))))</f>
        <v/>
      </c>
      <c r="AF1599" s="14">
        <f>IF($B1599="","",IF(AND($AG1599&lt;&gt;"",$AI1599="",$AL1599=""),"保留中",IF($AL1599&lt;&gt;"",IF(N($AE1599)&gt;0,"支給済","不支給"),IF($AE1599="","要確認",IF($AE1599=0,"不支給","未処理")))))</f>
        <v/>
      </c>
      <c r="AG1599" s="12" t="n"/>
      <c r="AH1599" s="11" t="n"/>
      <c r="AI1599" s="11" t="n"/>
      <c r="AJ1599" s="11" t="n"/>
      <c r="AK1599" s="14">
        <f>IF(AND($AF1599="保留中",$AH1599&lt;&gt;""),TODAY()-$AH1599,"")</f>
        <v/>
      </c>
      <c r="AL1599" s="12" t="n"/>
      <c r="AM1599" s="14">
        <f>IF($B1599="","",IF($AQ1599="","対象年月が未入力／","")&amp;IF($B1599="","",IF($AP1599="","職員マスタに未登録の職員番号／",IF($AA1599="","標準報酬月額が未登録／","")&amp;IF(AND($AQ1599&lt;&gt;"",OR(AND(INDEX(職員マスタ!$G$6:$G$405,$AP1599)&lt;&gt;"",INDEX(職員マスタ!$G$6:$G$405,$AP1599)&gt;EOMONTH($AQ1599,0)),AND(INDEX(職員マスタ!$H$6:$H$405,$AP1599)&lt;&gt;"",INDEX(職員マスタ!$H$6:$H$405,$AP1599)&lt;$AQ1599))),"対象月が時短期間外／","")&amp;IF(AND(INDEX(職員マスタ!$K$6:$K$405,$AP1599)&lt;&gt;"",N($W1599)&gt;0,INDEX(職員マスタ!$K$6:$K$405,$AP1599)&lt;&gt;$W1599),"標準報酬月額が申請書と相違（台帳"&amp;TEXT(INDEX(職員マスタ!$K$6:$K$405,$AP1599),"#,##0")&amp;"円／申請書"&amp;TEXT($W1599,"#,##0")&amp;"円）／","")&amp;IF(AND(INDEX(職員マスタ!$F$6:$F$405,$AP1599)&lt;&gt;"",$AQ1599&lt;&gt;"",INDEX(職員マスタ!$F$6:$F$405,$AP1599)&lt;$AQ1599),"対象月に子が2歳到達済／","")&amp;IF(AND($H1599&lt;&gt;"",INDEX(職員マスタ!$B$6:$B$405,$AP1599)&lt;&gt;"",SUBSTITUTE(SUBSTITUTE($H1599," ","")," ","")&lt;&gt;SUBSTITUTE(SUBSTITUTE(INDEX(職員マスタ!$B$6:$B$405,$AP1599)," ","")," ","")),"氏名がマスタと相違／","")&amp;IF(AND($Q1599&lt;&gt;"",INDEX(職員マスタ!$E$6:$E$405,$AP1599)&lt;&gt;"",$Q1599&lt;&gt;INDEX(職員マスタ!$E$6:$E$405,$AP1599)),"子の生年月日がマスタと相違／","")&amp;IF(AND($L1599&lt;&gt;"",INDEX(職員マスタ!$G$6:$G$405,$AP1599)&lt;&gt;"",$L1599&lt;&gt;INDEX(職員マスタ!$G$6:$G$405,$AP1599)),"時短開始日がマスタと相違／","")&amp;IF(AND($M1599&lt;&gt;"",INDEX(職員マスタ!$H$6:$H$405,$AP1599)&lt;&gt;"",$M1599&lt;&gt;INDEX(職員マスタ!$H$6:$H$405,$AP1599)),"時短終了日がマスタと相違／","")))&amp;IF(AND($B1599&lt;&gt;"",$E1599=""),"報酬額が未入力／","")&amp;IF(N($U1599)&gt;0,"申請書に入力エラーが残っています／","")&amp;IF(AND($B1599&lt;&gt;"",$AQ1599&lt;&gt;""),IF(COUNTIFS($B$6:$B$3005,$B1599,$C$6:$C$3005,$C1599,$D$6:$D$3005,$D1599)&gt;1,"同じ月の請求が重複しています／",""),"")&amp;IF(AND(N($E1599)&gt;0,$AB1599&lt;&gt;"",$AB1599&lt;&gt;"×",$AE1599=0,$AD1599=""),"計算額が下限以下のため不支給／",""))</f>
        <v/>
      </c>
      <c r="AN1599" s="12" t="n"/>
      <c r="AO1599" s="14">
        <f>IF($AF1599="保留中",COUNTIF($AF$6:$AF1599,"保留中"),"")</f>
        <v/>
      </c>
      <c r="AP1599" s="14">
        <f>IF($AQ1599="","",IF(SUMPRODUCT(MAX((職員マスタ!$A$6:$A$405=$B1599)*(((職員マスタ!$G$6:$G$405="")+(職員マスタ!$G$6:$G$405&lt;=EOMONTH($AQ1599,0)))&gt;0)*(((職員マスタ!$H$6:$H$405="")+(職員マスタ!$H$6:$H$405&gt;=$AQ1599))&gt;0)*(ROW(職員マスタ!$A$6:$A$405)-5)))&gt;0,SUMPRODUCT(MAX((職員マスタ!$A$6:$A$405=$B1599)*(((職員マスタ!$G$6:$G$405="")+(職員マスタ!$G$6:$G$405&lt;=EOMONTH($AQ1599,0)))&gt;0)*(((職員マスタ!$H$6:$H$405="")+(職員マスタ!$H$6:$H$405&gt;=$AQ1599))&gt;0)*(ROW(職員マスタ!$A$6:$A$405)-5))),IFERROR(MATCH($B1599,職員マスタ!$A$6:$A$405,0),"")))</f>
        <v/>
      </c>
      <c r="AQ1599" s="16">
        <f>IF(OR($B1599="",$C1599="",$D1599=""),"",DATE($C1599+2018,$D1599,1))</f>
        <v/>
      </c>
    </row>
    <row r="1600">
      <c r="A1600" s="11" t="n"/>
      <c r="B1600" s="12" t="n"/>
      <c r="C1600" s="12" t="n"/>
      <c r="D1600" s="12" t="n"/>
      <c r="E1600" s="13" t="n"/>
      <c r="F1600" s="12" t="n"/>
      <c r="G1600" s="13" t="n"/>
      <c r="H1600" s="12" t="n"/>
      <c r="I1600" s="12" t="n"/>
      <c r="J1600" s="12" t="n"/>
      <c r="K1600" s="12" t="n"/>
      <c r="L1600" s="11" t="n"/>
      <c r="M1600" s="11" t="n"/>
      <c r="N1600" s="11" t="n"/>
      <c r="O1600" s="11" t="n"/>
      <c r="P1600" s="12" t="n"/>
      <c r="Q1600" s="11" t="n"/>
      <c r="R1600" s="12" t="n"/>
      <c r="S1600" s="11" t="n"/>
      <c r="T1600" s="12" t="n"/>
      <c r="U1600" s="12" t="n"/>
      <c r="V1600" s="12" t="n"/>
      <c r="W1600" s="13" t="n"/>
      <c r="X1600" s="14">
        <f>IF($AP1600="",IF($B1600="","",$H1600),IF(INDEX(職員マスタ!$B$6:$B$405,$AP1600)="",$H1600,INDEX(職員マスタ!$B$6:$B$405,$AP1600)))</f>
        <v/>
      </c>
      <c r="Y1600" s="14">
        <f>IF($AP1600="",IF($B1600="","",$R1600),IF(INDEX(職員マスタ!$C$6:$C$405,$AP1600)="",$R1600,INDEX(職員マスタ!$C$6:$C$405,$AP1600)))</f>
        <v/>
      </c>
      <c r="Z1600" s="14">
        <f>IF($AQ1600="","","R"&amp;$C1600&amp;"."&amp;$D1600)</f>
        <v/>
      </c>
      <c r="AA1600" s="15">
        <f>IF(IF($AP1600="",FALSE,INDEX(職員マスタ!$K$6:$K$405,$AP1600)&lt;&gt;""),INDEX(職員マスタ!$K$6:$K$405,$AP1600),IF(N($W1600)&gt;0,$W1600,""))</f>
        <v/>
      </c>
      <c r="AB1600" s="14">
        <f>IF(OR($E1600="",$AA1600=""),"",IF($E1600&gt;=$AA1600,"×",IF($E1600&gt;=$AA1600*設定!$C$5,"△","○")))</f>
        <v/>
      </c>
      <c r="AC1600" s="15">
        <f>IF($AB1600="","",IF($AB1600="×",0,IF($AB1600="○",ROUNDDOWN($E1600*設定!$C$4,0),ROUNDDOWN($E1600*ROUND((9*$AA1600-9*$E1600)/(10*$E1600),4),0))))</f>
        <v/>
      </c>
      <c r="AD1600" s="13" t="n"/>
      <c r="AE1600" s="15">
        <f>IF($B1600="","",IF($AD1600&lt;&gt;"",$AD1600,IF($AC1600="","",IF($AC1600&lt;=設定!$C$3,0,$AC1600))))</f>
        <v/>
      </c>
      <c r="AF1600" s="14">
        <f>IF($B1600="","",IF(AND($AG1600&lt;&gt;"",$AI1600="",$AL1600=""),"保留中",IF($AL1600&lt;&gt;"",IF(N($AE1600)&gt;0,"支給済","不支給"),IF($AE1600="","要確認",IF($AE1600=0,"不支給","未処理")))))</f>
        <v/>
      </c>
      <c r="AG1600" s="12" t="n"/>
      <c r="AH1600" s="11" t="n"/>
      <c r="AI1600" s="11" t="n"/>
      <c r="AJ1600" s="11" t="n"/>
      <c r="AK1600" s="14">
        <f>IF(AND($AF1600="保留中",$AH1600&lt;&gt;""),TODAY()-$AH1600,"")</f>
        <v/>
      </c>
      <c r="AL1600" s="12" t="n"/>
      <c r="AM1600" s="14">
        <f>IF($B1600="","",IF($AQ1600="","対象年月が未入力／","")&amp;IF($B1600="","",IF($AP1600="","職員マスタに未登録の職員番号／",IF($AA1600="","標準報酬月額が未登録／","")&amp;IF(AND($AQ1600&lt;&gt;"",OR(AND(INDEX(職員マスタ!$G$6:$G$405,$AP1600)&lt;&gt;"",INDEX(職員マスタ!$G$6:$G$405,$AP1600)&gt;EOMONTH($AQ1600,0)),AND(INDEX(職員マスタ!$H$6:$H$405,$AP1600)&lt;&gt;"",INDEX(職員マスタ!$H$6:$H$405,$AP1600)&lt;$AQ1600))),"対象月が時短期間外／","")&amp;IF(AND(INDEX(職員マスタ!$K$6:$K$405,$AP1600)&lt;&gt;"",N($W1600)&gt;0,INDEX(職員マスタ!$K$6:$K$405,$AP1600)&lt;&gt;$W1600),"標準報酬月額が申請書と相違（台帳"&amp;TEXT(INDEX(職員マスタ!$K$6:$K$405,$AP1600),"#,##0")&amp;"円／申請書"&amp;TEXT($W1600,"#,##0")&amp;"円）／","")&amp;IF(AND(INDEX(職員マスタ!$F$6:$F$405,$AP1600)&lt;&gt;"",$AQ1600&lt;&gt;"",INDEX(職員マスタ!$F$6:$F$405,$AP1600)&lt;$AQ1600),"対象月に子が2歳到達済／","")&amp;IF(AND($H1600&lt;&gt;"",INDEX(職員マスタ!$B$6:$B$405,$AP1600)&lt;&gt;"",SUBSTITUTE(SUBSTITUTE($H1600," ","")," ","")&lt;&gt;SUBSTITUTE(SUBSTITUTE(INDEX(職員マスタ!$B$6:$B$405,$AP1600)," ","")," ","")),"氏名がマスタと相違／","")&amp;IF(AND($Q1600&lt;&gt;"",INDEX(職員マスタ!$E$6:$E$405,$AP1600)&lt;&gt;"",$Q1600&lt;&gt;INDEX(職員マスタ!$E$6:$E$405,$AP1600)),"子の生年月日がマスタと相違／","")&amp;IF(AND($L1600&lt;&gt;"",INDEX(職員マスタ!$G$6:$G$405,$AP1600)&lt;&gt;"",$L1600&lt;&gt;INDEX(職員マスタ!$G$6:$G$405,$AP1600)),"時短開始日がマスタと相違／","")&amp;IF(AND($M1600&lt;&gt;"",INDEX(職員マスタ!$H$6:$H$405,$AP1600)&lt;&gt;"",$M1600&lt;&gt;INDEX(職員マスタ!$H$6:$H$405,$AP1600)),"時短終了日がマスタと相違／","")))&amp;IF(AND($B1600&lt;&gt;"",$E1600=""),"報酬額が未入力／","")&amp;IF(N($U1600)&gt;0,"申請書に入力エラーが残っています／","")&amp;IF(AND($B1600&lt;&gt;"",$AQ1600&lt;&gt;""),IF(COUNTIFS($B$6:$B$3005,$B1600,$C$6:$C$3005,$C1600,$D$6:$D$3005,$D1600)&gt;1,"同じ月の請求が重複しています／",""),"")&amp;IF(AND(N($E1600)&gt;0,$AB1600&lt;&gt;"",$AB1600&lt;&gt;"×",$AE1600=0,$AD1600=""),"計算額が下限以下のため不支給／",""))</f>
        <v/>
      </c>
      <c r="AN1600" s="12" t="n"/>
      <c r="AO1600" s="14">
        <f>IF($AF1600="保留中",COUNTIF($AF$6:$AF1600,"保留中"),"")</f>
        <v/>
      </c>
      <c r="AP1600" s="14">
        <f>IF($AQ1600="","",IF(SUMPRODUCT(MAX((職員マスタ!$A$6:$A$405=$B1600)*(((職員マスタ!$G$6:$G$405="")+(職員マスタ!$G$6:$G$405&lt;=EOMONTH($AQ1600,0)))&gt;0)*(((職員マスタ!$H$6:$H$405="")+(職員マスタ!$H$6:$H$405&gt;=$AQ1600))&gt;0)*(ROW(職員マスタ!$A$6:$A$405)-5)))&gt;0,SUMPRODUCT(MAX((職員マスタ!$A$6:$A$405=$B1600)*(((職員マスタ!$G$6:$G$405="")+(職員マスタ!$G$6:$G$405&lt;=EOMONTH($AQ1600,0)))&gt;0)*(((職員マスタ!$H$6:$H$405="")+(職員マスタ!$H$6:$H$405&gt;=$AQ1600))&gt;0)*(ROW(職員マスタ!$A$6:$A$405)-5))),IFERROR(MATCH($B1600,職員マスタ!$A$6:$A$405,0),"")))</f>
        <v/>
      </c>
      <c r="AQ1600" s="16">
        <f>IF(OR($B1600="",$C1600="",$D1600=""),"",DATE($C1600+2018,$D1600,1))</f>
        <v/>
      </c>
    </row>
    <row r="1601">
      <c r="A1601" s="11" t="n"/>
      <c r="B1601" s="12" t="n"/>
      <c r="C1601" s="12" t="n"/>
      <c r="D1601" s="12" t="n"/>
      <c r="E1601" s="13" t="n"/>
      <c r="F1601" s="12" t="n"/>
      <c r="G1601" s="13" t="n"/>
      <c r="H1601" s="12" t="n"/>
      <c r="I1601" s="12" t="n"/>
      <c r="J1601" s="12" t="n"/>
      <c r="K1601" s="12" t="n"/>
      <c r="L1601" s="11" t="n"/>
      <c r="M1601" s="11" t="n"/>
      <c r="N1601" s="11" t="n"/>
      <c r="O1601" s="11" t="n"/>
      <c r="P1601" s="12" t="n"/>
      <c r="Q1601" s="11" t="n"/>
      <c r="R1601" s="12" t="n"/>
      <c r="S1601" s="11" t="n"/>
      <c r="T1601" s="12" t="n"/>
      <c r="U1601" s="12" t="n"/>
      <c r="V1601" s="12" t="n"/>
      <c r="W1601" s="13" t="n"/>
      <c r="X1601" s="14">
        <f>IF($AP1601="",IF($B1601="","",$H1601),IF(INDEX(職員マスタ!$B$6:$B$405,$AP1601)="",$H1601,INDEX(職員マスタ!$B$6:$B$405,$AP1601)))</f>
        <v/>
      </c>
      <c r="Y1601" s="14">
        <f>IF($AP1601="",IF($B1601="","",$R1601),IF(INDEX(職員マスタ!$C$6:$C$405,$AP1601)="",$R1601,INDEX(職員マスタ!$C$6:$C$405,$AP1601)))</f>
        <v/>
      </c>
      <c r="Z1601" s="14">
        <f>IF($AQ1601="","","R"&amp;$C1601&amp;"."&amp;$D1601)</f>
        <v/>
      </c>
      <c r="AA1601" s="15">
        <f>IF(IF($AP1601="",FALSE,INDEX(職員マスタ!$K$6:$K$405,$AP1601)&lt;&gt;""),INDEX(職員マスタ!$K$6:$K$405,$AP1601),IF(N($W1601)&gt;0,$W1601,""))</f>
        <v/>
      </c>
      <c r="AB1601" s="14">
        <f>IF(OR($E1601="",$AA1601=""),"",IF($E1601&gt;=$AA1601,"×",IF($E1601&gt;=$AA1601*設定!$C$5,"△","○")))</f>
        <v/>
      </c>
      <c r="AC1601" s="15">
        <f>IF($AB1601="","",IF($AB1601="×",0,IF($AB1601="○",ROUNDDOWN($E1601*設定!$C$4,0),ROUNDDOWN($E1601*ROUND((9*$AA1601-9*$E1601)/(10*$E1601),4),0))))</f>
        <v/>
      </c>
      <c r="AD1601" s="13" t="n"/>
      <c r="AE1601" s="15">
        <f>IF($B1601="","",IF($AD1601&lt;&gt;"",$AD1601,IF($AC1601="","",IF($AC1601&lt;=設定!$C$3,0,$AC1601))))</f>
        <v/>
      </c>
      <c r="AF1601" s="14">
        <f>IF($B1601="","",IF(AND($AG1601&lt;&gt;"",$AI1601="",$AL1601=""),"保留中",IF($AL1601&lt;&gt;"",IF(N($AE1601)&gt;0,"支給済","不支給"),IF($AE1601="","要確認",IF($AE1601=0,"不支給","未処理")))))</f>
        <v/>
      </c>
      <c r="AG1601" s="12" t="n"/>
      <c r="AH1601" s="11" t="n"/>
      <c r="AI1601" s="11" t="n"/>
      <c r="AJ1601" s="11" t="n"/>
      <c r="AK1601" s="14">
        <f>IF(AND($AF1601="保留中",$AH1601&lt;&gt;""),TODAY()-$AH1601,"")</f>
        <v/>
      </c>
      <c r="AL1601" s="12" t="n"/>
      <c r="AM1601" s="14">
        <f>IF($B1601="","",IF($AQ1601="","対象年月が未入力／","")&amp;IF($B1601="","",IF($AP1601="","職員マスタに未登録の職員番号／",IF($AA1601="","標準報酬月額が未登録／","")&amp;IF(AND($AQ1601&lt;&gt;"",OR(AND(INDEX(職員マスタ!$G$6:$G$405,$AP1601)&lt;&gt;"",INDEX(職員マスタ!$G$6:$G$405,$AP1601)&gt;EOMONTH($AQ1601,0)),AND(INDEX(職員マスタ!$H$6:$H$405,$AP1601)&lt;&gt;"",INDEX(職員マスタ!$H$6:$H$405,$AP1601)&lt;$AQ1601))),"対象月が時短期間外／","")&amp;IF(AND(INDEX(職員マスタ!$K$6:$K$405,$AP1601)&lt;&gt;"",N($W1601)&gt;0,INDEX(職員マスタ!$K$6:$K$405,$AP1601)&lt;&gt;$W1601),"標準報酬月額が申請書と相違（台帳"&amp;TEXT(INDEX(職員マスタ!$K$6:$K$405,$AP1601),"#,##0")&amp;"円／申請書"&amp;TEXT($W1601,"#,##0")&amp;"円）／","")&amp;IF(AND(INDEX(職員マスタ!$F$6:$F$405,$AP1601)&lt;&gt;"",$AQ1601&lt;&gt;"",INDEX(職員マスタ!$F$6:$F$405,$AP1601)&lt;$AQ1601),"対象月に子が2歳到達済／","")&amp;IF(AND($H1601&lt;&gt;"",INDEX(職員マスタ!$B$6:$B$405,$AP1601)&lt;&gt;"",SUBSTITUTE(SUBSTITUTE($H1601," ","")," ","")&lt;&gt;SUBSTITUTE(SUBSTITUTE(INDEX(職員マスタ!$B$6:$B$405,$AP1601)," ","")," ","")),"氏名がマスタと相違／","")&amp;IF(AND($Q1601&lt;&gt;"",INDEX(職員マスタ!$E$6:$E$405,$AP1601)&lt;&gt;"",$Q1601&lt;&gt;INDEX(職員マスタ!$E$6:$E$405,$AP1601)),"子の生年月日がマスタと相違／","")&amp;IF(AND($L1601&lt;&gt;"",INDEX(職員マスタ!$G$6:$G$405,$AP1601)&lt;&gt;"",$L1601&lt;&gt;INDEX(職員マスタ!$G$6:$G$405,$AP1601)),"時短開始日がマスタと相違／","")&amp;IF(AND($M1601&lt;&gt;"",INDEX(職員マスタ!$H$6:$H$405,$AP1601)&lt;&gt;"",$M1601&lt;&gt;INDEX(職員マスタ!$H$6:$H$405,$AP1601)),"時短終了日がマスタと相違／","")))&amp;IF(AND($B1601&lt;&gt;"",$E1601=""),"報酬額が未入力／","")&amp;IF(N($U1601)&gt;0,"申請書に入力エラーが残っています／","")&amp;IF(AND($B1601&lt;&gt;"",$AQ1601&lt;&gt;""),IF(COUNTIFS($B$6:$B$3005,$B1601,$C$6:$C$3005,$C1601,$D$6:$D$3005,$D1601)&gt;1,"同じ月の請求が重複しています／",""),"")&amp;IF(AND(N($E1601)&gt;0,$AB1601&lt;&gt;"",$AB1601&lt;&gt;"×",$AE1601=0,$AD1601=""),"計算額が下限以下のため不支給／",""))</f>
        <v/>
      </c>
      <c r="AN1601" s="12" t="n"/>
      <c r="AO1601" s="14">
        <f>IF($AF1601="保留中",COUNTIF($AF$6:$AF1601,"保留中"),"")</f>
        <v/>
      </c>
      <c r="AP1601" s="14">
        <f>IF($AQ1601="","",IF(SUMPRODUCT(MAX((職員マスタ!$A$6:$A$405=$B1601)*(((職員マスタ!$G$6:$G$405="")+(職員マスタ!$G$6:$G$405&lt;=EOMONTH($AQ1601,0)))&gt;0)*(((職員マスタ!$H$6:$H$405="")+(職員マスタ!$H$6:$H$405&gt;=$AQ1601))&gt;0)*(ROW(職員マスタ!$A$6:$A$405)-5)))&gt;0,SUMPRODUCT(MAX((職員マスタ!$A$6:$A$405=$B1601)*(((職員マスタ!$G$6:$G$405="")+(職員マスタ!$G$6:$G$405&lt;=EOMONTH($AQ1601,0)))&gt;0)*(((職員マスタ!$H$6:$H$405="")+(職員マスタ!$H$6:$H$405&gt;=$AQ1601))&gt;0)*(ROW(職員マスタ!$A$6:$A$405)-5))),IFERROR(MATCH($B1601,職員マスタ!$A$6:$A$405,0),"")))</f>
        <v/>
      </c>
      <c r="AQ1601" s="16">
        <f>IF(OR($B1601="",$C1601="",$D1601=""),"",DATE($C1601+2018,$D1601,1))</f>
        <v/>
      </c>
    </row>
    <row r="1602">
      <c r="A1602" s="11" t="n"/>
      <c r="B1602" s="12" t="n"/>
      <c r="C1602" s="12" t="n"/>
      <c r="D1602" s="12" t="n"/>
      <c r="E1602" s="13" t="n"/>
      <c r="F1602" s="12" t="n"/>
      <c r="G1602" s="13" t="n"/>
      <c r="H1602" s="12" t="n"/>
      <c r="I1602" s="12" t="n"/>
      <c r="J1602" s="12" t="n"/>
      <c r="K1602" s="12" t="n"/>
      <c r="L1602" s="11" t="n"/>
      <c r="M1602" s="11" t="n"/>
      <c r="N1602" s="11" t="n"/>
      <c r="O1602" s="11" t="n"/>
      <c r="P1602" s="12" t="n"/>
      <c r="Q1602" s="11" t="n"/>
      <c r="R1602" s="12" t="n"/>
      <c r="S1602" s="11" t="n"/>
      <c r="T1602" s="12" t="n"/>
      <c r="U1602" s="12" t="n"/>
      <c r="V1602" s="12" t="n"/>
      <c r="W1602" s="13" t="n"/>
      <c r="X1602" s="14">
        <f>IF($AP1602="",IF($B1602="","",$H1602),IF(INDEX(職員マスタ!$B$6:$B$405,$AP1602)="",$H1602,INDEX(職員マスタ!$B$6:$B$405,$AP1602)))</f>
        <v/>
      </c>
      <c r="Y1602" s="14">
        <f>IF($AP1602="",IF($B1602="","",$R1602),IF(INDEX(職員マスタ!$C$6:$C$405,$AP1602)="",$R1602,INDEX(職員マスタ!$C$6:$C$405,$AP1602)))</f>
        <v/>
      </c>
      <c r="Z1602" s="14">
        <f>IF($AQ1602="","","R"&amp;$C1602&amp;"."&amp;$D1602)</f>
        <v/>
      </c>
      <c r="AA1602" s="15">
        <f>IF(IF($AP1602="",FALSE,INDEX(職員マスタ!$K$6:$K$405,$AP1602)&lt;&gt;""),INDEX(職員マスタ!$K$6:$K$405,$AP1602),IF(N($W1602)&gt;0,$W1602,""))</f>
        <v/>
      </c>
      <c r="AB1602" s="14">
        <f>IF(OR($E1602="",$AA1602=""),"",IF($E1602&gt;=$AA1602,"×",IF($E1602&gt;=$AA1602*設定!$C$5,"△","○")))</f>
        <v/>
      </c>
      <c r="AC1602" s="15">
        <f>IF($AB1602="","",IF($AB1602="×",0,IF($AB1602="○",ROUNDDOWN($E1602*設定!$C$4,0),ROUNDDOWN($E1602*ROUND((9*$AA1602-9*$E1602)/(10*$E1602),4),0))))</f>
        <v/>
      </c>
      <c r="AD1602" s="13" t="n"/>
      <c r="AE1602" s="15">
        <f>IF($B1602="","",IF($AD1602&lt;&gt;"",$AD1602,IF($AC1602="","",IF($AC1602&lt;=設定!$C$3,0,$AC1602))))</f>
        <v/>
      </c>
      <c r="AF1602" s="14">
        <f>IF($B1602="","",IF(AND($AG1602&lt;&gt;"",$AI1602="",$AL1602=""),"保留中",IF($AL1602&lt;&gt;"",IF(N($AE1602)&gt;0,"支給済","不支給"),IF($AE1602="","要確認",IF($AE1602=0,"不支給","未処理")))))</f>
        <v/>
      </c>
      <c r="AG1602" s="12" t="n"/>
      <c r="AH1602" s="11" t="n"/>
      <c r="AI1602" s="11" t="n"/>
      <c r="AJ1602" s="11" t="n"/>
      <c r="AK1602" s="14">
        <f>IF(AND($AF1602="保留中",$AH1602&lt;&gt;""),TODAY()-$AH1602,"")</f>
        <v/>
      </c>
      <c r="AL1602" s="12" t="n"/>
      <c r="AM1602" s="14">
        <f>IF($B1602="","",IF($AQ1602="","対象年月が未入力／","")&amp;IF($B1602="","",IF($AP1602="","職員マスタに未登録の職員番号／",IF($AA1602="","標準報酬月額が未登録／","")&amp;IF(AND($AQ1602&lt;&gt;"",OR(AND(INDEX(職員マスタ!$G$6:$G$405,$AP1602)&lt;&gt;"",INDEX(職員マスタ!$G$6:$G$405,$AP1602)&gt;EOMONTH($AQ1602,0)),AND(INDEX(職員マスタ!$H$6:$H$405,$AP1602)&lt;&gt;"",INDEX(職員マスタ!$H$6:$H$405,$AP1602)&lt;$AQ1602))),"対象月が時短期間外／","")&amp;IF(AND(INDEX(職員マスタ!$K$6:$K$405,$AP1602)&lt;&gt;"",N($W1602)&gt;0,INDEX(職員マスタ!$K$6:$K$405,$AP1602)&lt;&gt;$W1602),"標準報酬月額が申請書と相違（台帳"&amp;TEXT(INDEX(職員マスタ!$K$6:$K$405,$AP1602),"#,##0")&amp;"円／申請書"&amp;TEXT($W1602,"#,##0")&amp;"円）／","")&amp;IF(AND(INDEX(職員マスタ!$F$6:$F$405,$AP1602)&lt;&gt;"",$AQ1602&lt;&gt;"",INDEX(職員マスタ!$F$6:$F$405,$AP1602)&lt;$AQ1602),"対象月に子が2歳到達済／","")&amp;IF(AND($H1602&lt;&gt;"",INDEX(職員マスタ!$B$6:$B$405,$AP1602)&lt;&gt;"",SUBSTITUTE(SUBSTITUTE($H1602," ","")," ","")&lt;&gt;SUBSTITUTE(SUBSTITUTE(INDEX(職員マスタ!$B$6:$B$405,$AP1602)," ","")," ","")),"氏名がマスタと相違／","")&amp;IF(AND($Q1602&lt;&gt;"",INDEX(職員マスタ!$E$6:$E$405,$AP1602)&lt;&gt;"",$Q1602&lt;&gt;INDEX(職員マスタ!$E$6:$E$405,$AP1602)),"子の生年月日がマスタと相違／","")&amp;IF(AND($L1602&lt;&gt;"",INDEX(職員マスタ!$G$6:$G$405,$AP1602)&lt;&gt;"",$L1602&lt;&gt;INDEX(職員マスタ!$G$6:$G$405,$AP1602)),"時短開始日がマスタと相違／","")&amp;IF(AND($M1602&lt;&gt;"",INDEX(職員マスタ!$H$6:$H$405,$AP1602)&lt;&gt;"",$M1602&lt;&gt;INDEX(職員マスタ!$H$6:$H$405,$AP1602)),"時短終了日がマスタと相違／","")))&amp;IF(AND($B1602&lt;&gt;"",$E1602=""),"報酬額が未入力／","")&amp;IF(N($U1602)&gt;0,"申請書に入力エラーが残っています／","")&amp;IF(AND($B1602&lt;&gt;"",$AQ1602&lt;&gt;""),IF(COUNTIFS($B$6:$B$3005,$B1602,$C$6:$C$3005,$C1602,$D$6:$D$3005,$D1602)&gt;1,"同じ月の請求が重複しています／",""),"")&amp;IF(AND(N($E1602)&gt;0,$AB1602&lt;&gt;"",$AB1602&lt;&gt;"×",$AE1602=0,$AD1602=""),"計算額が下限以下のため不支給／",""))</f>
        <v/>
      </c>
      <c r="AN1602" s="12" t="n"/>
      <c r="AO1602" s="14">
        <f>IF($AF1602="保留中",COUNTIF($AF$6:$AF1602,"保留中"),"")</f>
        <v/>
      </c>
      <c r="AP1602" s="14">
        <f>IF($AQ1602="","",IF(SUMPRODUCT(MAX((職員マスタ!$A$6:$A$405=$B1602)*(((職員マスタ!$G$6:$G$405="")+(職員マスタ!$G$6:$G$405&lt;=EOMONTH($AQ1602,0)))&gt;0)*(((職員マスタ!$H$6:$H$405="")+(職員マスタ!$H$6:$H$405&gt;=$AQ1602))&gt;0)*(ROW(職員マスタ!$A$6:$A$405)-5)))&gt;0,SUMPRODUCT(MAX((職員マスタ!$A$6:$A$405=$B1602)*(((職員マスタ!$G$6:$G$405="")+(職員マスタ!$G$6:$G$405&lt;=EOMONTH($AQ1602,0)))&gt;0)*(((職員マスタ!$H$6:$H$405="")+(職員マスタ!$H$6:$H$405&gt;=$AQ1602))&gt;0)*(ROW(職員マスタ!$A$6:$A$405)-5))),IFERROR(MATCH($B1602,職員マスタ!$A$6:$A$405,0),"")))</f>
        <v/>
      </c>
      <c r="AQ1602" s="16">
        <f>IF(OR($B1602="",$C1602="",$D1602=""),"",DATE($C1602+2018,$D1602,1))</f>
        <v/>
      </c>
    </row>
    <row r="1603">
      <c r="A1603" s="11" t="n"/>
      <c r="B1603" s="12" t="n"/>
      <c r="C1603" s="12" t="n"/>
      <c r="D1603" s="12" t="n"/>
      <c r="E1603" s="13" t="n"/>
      <c r="F1603" s="12" t="n"/>
      <c r="G1603" s="13" t="n"/>
      <c r="H1603" s="12" t="n"/>
      <c r="I1603" s="12" t="n"/>
      <c r="J1603" s="12" t="n"/>
      <c r="K1603" s="12" t="n"/>
      <c r="L1603" s="11" t="n"/>
      <c r="M1603" s="11" t="n"/>
      <c r="N1603" s="11" t="n"/>
      <c r="O1603" s="11" t="n"/>
      <c r="P1603" s="12" t="n"/>
      <c r="Q1603" s="11" t="n"/>
      <c r="R1603" s="12" t="n"/>
      <c r="S1603" s="11" t="n"/>
      <c r="T1603" s="12" t="n"/>
      <c r="U1603" s="12" t="n"/>
      <c r="V1603" s="12" t="n"/>
      <c r="W1603" s="13" t="n"/>
      <c r="X1603" s="14">
        <f>IF($AP1603="",IF($B1603="","",$H1603),IF(INDEX(職員マスタ!$B$6:$B$405,$AP1603)="",$H1603,INDEX(職員マスタ!$B$6:$B$405,$AP1603)))</f>
        <v/>
      </c>
      <c r="Y1603" s="14">
        <f>IF($AP1603="",IF($B1603="","",$R1603),IF(INDEX(職員マスタ!$C$6:$C$405,$AP1603)="",$R1603,INDEX(職員マスタ!$C$6:$C$405,$AP1603)))</f>
        <v/>
      </c>
      <c r="Z1603" s="14">
        <f>IF($AQ1603="","","R"&amp;$C1603&amp;"."&amp;$D1603)</f>
        <v/>
      </c>
      <c r="AA1603" s="15">
        <f>IF(IF($AP1603="",FALSE,INDEX(職員マスタ!$K$6:$K$405,$AP1603)&lt;&gt;""),INDEX(職員マスタ!$K$6:$K$405,$AP1603),IF(N($W1603)&gt;0,$W1603,""))</f>
        <v/>
      </c>
      <c r="AB1603" s="14">
        <f>IF(OR($E1603="",$AA1603=""),"",IF($E1603&gt;=$AA1603,"×",IF($E1603&gt;=$AA1603*設定!$C$5,"△","○")))</f>
        <v/>
      </c>
      <c r="AC1603" s="15">
        <f>IF($AB1603="","",IF($AB1603="×",0,IF($AB1603="○",ROUNDDOWN($E1603*設定!$C$4,0),ROUNDDOWN($E1603*ROUND((9*$AA1603-9*$E1603)/(10*$E1603),4),0))))</f>
        <v/>
      </c>
      <c r="AD1603" s="13" t="n"/>
      <c r="AE1603" s="15">
        <f>IF($B1603="","",IF($AD1603&lt;&gt;"",$AD1603,IF($AC1603="","",IF($AC1603&lt;=設定!$C$3,0,$AC1603))))</f>
        <v/>
      </c>
      <c r="AF1603" s="14">
        <f>IF($B1603="","",IF(AND($AG1603&lt;&gt;"",$AI1603="",$AL1603=""),"保留中",IF($AL1603&lt;&gt;"",IF(N($AE1603)&gt;0,"支給済","不支給"),IF($AE1603="","要確認",IF($AE1603=0,"不支給","未処理")))))</f>
        <v/>
      </c>
      <c r="AG1603" s="12" t="n"/>
      <c r="AH1603" s="11" t="n"/>
      <c r="AI1603" s="11" t="n"/>
      <c r="AJ1603" s="11" t="n"/>
      <c r="AK1603" s="14">
        <f>IF(AND($AF1603="保留中",$AH1603&lt;&gt;""),TODAY()-$AH1603,"")</f>
        <v/>
      </c>
      <c r="AL1603" s="12" t="n"/>
      <c r="AM1603" s="14">
        <f>IF($B1603="","",IF($AQ1603="","対象年月が未入力／","")&amp;IF($B1603="","",IF($AP1603="","職員マスタに未登録の職員番号／",IF($AA1603="","標準報酬月額が未登録／","")&amp;IF(AND($AQ1603&lt;&gt;"",OR(AND(INDEX(職員マスタ!$G$6:$G$405,$AP1603)&lt;&gt;"",INDEX(職員マスタ!$G$6:$G$405,$AP1603)&gt;EOMONTH($AQ1603,0)),AND(INDEX(職員マスタ!$H$6:$H$405,$AP1603)&lt;&gt;"",INDEX(職員マスタ!$H$6:$H$405,$AP1603)&lt;$AQ1603))),"対象月が時短期間外／","")&amp;IF(AND(INDEX(職員マスタ!$K$6:$K$405,$AP1603)&lt;&gt;"",N($W1603)&gt;0,INDEX(職員マスタ!$K$6:$K$405,$AP1603)&lt;&gt;$W1603),"標準報酬月額が申請書と相違（台帳"&amp;TEXT(INDEX(職員マスタ!$K$6:$K$405,$AP1603),"#,##0")&amp;"円／申請書"&amp;TEXT($W1603,"#,##0")&amp;"円）／","")&amp;IF(AND(INDEX(職員マスタ!$F$6:$F$405,$AP1603)&lt;&gt;"",$AQ1603&lt;&gt;"",INDEX(職員マスタ!$F$6:$F$405,$AP1603)&lt;$AQ1603),"対象月に子が2歳到達済／","")&amp;IF(AND($H1603&lt;&gt;"",INDEX(職員マスタ!$B$6:$B$405,$AP1603)&lt;&gt;"",SUBSTITUTE(SUBSTITUTE($H1603," ","")," ","")&lt;&gt;SUBSTITUTE(SUBSTITUTE(INDEX(職員マスタ!$B$6:$B$405,$AP1603)," ","")," ","")),"氏名がマスタと相違／","")&amp;IF(AND($Q1603&lt;&gt;"",INDEX(職員マスタ!$E$6:$E$405,$AP1603)&lt;&gt;"",$Q1603&lt;&gt;INDEX(職員マスタ!$E$6:$E$405,$AP1603)),"子の生年月日がマスタと相違／","")&amp;IF(AND($L1603&lt;&gt;"",INDEX(職員マスタ!$G$6:$G$405,$AP1603)&lt;&gt;"",$L1603&lt;&gt;INDEX(職員マスタ!$G$6:$G$405,$AP1603)),"時短開始日がマスタと相違／","")&amp;IF(AND($M1603&lt;&gt;"",INDEX(職員マスタ!$H$6:$H$405,$AP1603)&lt;&gt;"",$M1603&lt;&gt;INDEX(職員マスタ!$H$6:$H$405,$AP1603)),"時短終了日がマスタと相違／","")))&amp;IF(AND($B1603&lt;&gt;"",$E1603=""),"報酬額が未入力／","")&amp;IF(N($U1603)&gt;0,"申請書に入力エラーが残っています／","")&amp;IF(AND($B1603&lt;&gt;"",$AQ1603&lt;&gt;""),IF(COUNTIFS($B$6:$B$3005,$B1603,$C$6:$C$3005,$C1603,$D$6:$D$3005,$D1603)&gt;1,"同じ月の請求が重複しています／",""),"")&amp;IF(AND(N($E1603)&gt;0,$AB1603&lt;&gt;"",$AB1603&lt;&gt;"×",$AE1603=0,$AD1603=""),"計算額が下限以下のため不支給／",""))</f>
        <v/>
      </c>
      <c r="AN1603" s="12" t="n"/>
      <c r="AO1603" s="14">
        <f>IF($AF1603="保留中",COUNTIF($AF$6:$AF1603,"保留中"),"")</f>
        <v/>
      </c>
      <c r="AP1603" s="14">
        <f>IF($AQ1603="","",IF(SUMPRODUCT(MAX((職員マスタ!$A$6:$A$405=$B1603)*(((職員マスタ!$G$6:$G$405="")+(職員マスタ!$G$6:$G$405&lt;=EOMONTH($AQ1603,0)))&gt;0)*(((職員マスタ!$H$6:$H$405="")+(職員マスタ!$H$6:$H$405&gt;=$AQ1603))&gt;0)*(ROW(職員マスタ!$A$6:$A$405)-5)))&gt;0,SUMPRODUCT(MAX((職員マスタ!$A$6:$A$405=$B1603)*(((職員マスタ!$G$6:$G$405="")+(職員マスタ!$G$6:$G$405&lt;=EOMONTH($AQ1603,0)))&gt;0)*(((職員マスタ!$H$6:$H$405="")+(職員マスタ!$H$6:$H$405&gt;=$AQ1603))&gt;0)*(ROW(職員マスタ!$A$6:$A$405)-5))),IFERROR(MATCH($B1603,職員マスタ!$A$6:$A$405,0),"")))</f>
        <v/>
      </c>
      <c r="AQ1603" s="16">
        <f>IF(OR($B1603="",$C1603="",$D1603=""),"",DATE($C1603+2018,$D1603,1))</f>
        <v/>
      </c>
    </row>
    <row r="1604">
      <c r="A1604" s="11" t="n"/>
      <c r="B1604" s="12" t="n"/>
      <c r="C1604" s="12" t="n"/>
      <c r="D1604" s="12" t="n"/>
      <c r="E1604" s="13" t="n"/>
      <c r="F1604" s="12" t="n"/>
      <c r="G1604" s="13" t="n"/>
      <c r="H1604" s="12" t="n"/>
      <c r="I1604" s="12" t="n"/>
      <c r="J1604" s="12" t="n"/>
      <c r="K1604" s="12" t="n"/>
      <c r="L1604" s="11" t="n"/>
      <c r="M1604" s="11" t="n"/>
      <c r="N1604" s="11" t="n"/>
      <c r="O1604" s="11" t="n"/>
      <c r="P1604" s="12" t="n"/>
      <c r="Q1604" s="11" t="n"/>
      <c r="R1604" s="12" t="n"/>
      <c r="S1604" s="11" t="n"/>
      <c r="T1604" s="12" t="n"/>
      <c r="U1604" s="12" t="n"/>
      <c r="V1604" s="12" t="n"/>
      <c r="W1604" s="13" t="n"/>
      <c r="X1604" s="14">
        <f>IF($AP1604="",IF($B1604="","",$H1604),IF(INDEX(職員マスタ!$B$6:$B$405,$AP1604)="",$H1604,INDEX(職員マスタ!$B$6:$B$405,$AP1604)))</f>
        <v/>
      </c>
      <c r="Y1604" s="14">
        <f>IF($AP1604="",IF($B1604="","",$R1604),IF(INDEX(職員マスタ!$C$6:$C$405,$AP1604)="",$R1604,INDEX(職員マスタ!$C$6:$C$405,$AP1604)))</f>
        <v/>
      </c>
      <c r="Z1604" s="14">
        <f>IF($AQ1604="","","R"&amp;$C1604&amp;"."&amp;$D1604)</f>
        <v/>
      </c>
      <c r="AA1604" s="15">
        <f>IF(IF($AP1604="",FALSE,INDEX(職員マスタ!$K$6:$K$405,$AP1604)&lt;&gt;""),INDEX(職員マスタ!$K$6:$K$405,$AP1604),IF(N($W1604)&gt;0,$W1604,""))</f>
        <v/>
      </c>
      <c r="AB1604" s="14">
        <f>IF(OR($E1604="",$AA1604=""),"",IF($E1604&gt;=$AA1604,"×",IF($E1604&gt;=$AA1604*設定!$C$5,"△","○")))</f>
        <v/>
      </c>
      <c r="AC1604" s="15">
        <f>IF($AB1604="","",IF($AB1604="×",0,IF($AB1604="○",ROUNDDOWN($E1604*設定!$C$4,0),ROUNDDOWN($E1604*ROUND((9*$AA1604-9*$E1604)/(10*$E1604),4),0))))</f>
        <v/>
      </c>
      <c r="AD1604" s="13" t="n"/>
      <c r="AE1604" s="15">
        <f>IF($B1604="","",IF($AD1604&lt;&gt;"",$AD1604,IF($AC1604="","",IF($AC1604&lt;=設定!$C$3,0,$AC1604))))</f>
        <v/>
      </c>
      <c r="AF1604" s="14">
        <f>IF($B1604="","",IF(AND($AG1604&lt;&gt;"",$AI1604="",$AL1604=""),"保留中",IF($AL1604&lt;&gt;"",IF(N($AE1604)&gt;0,"支給済","不支給"),IF($AE1604="","要確認",IF($AE1604=0,"不支給","未処理")))))</f>
        <v/>
      </c>
      <c r="AG1604" s="12" t="n"/>
      <c r="AH1604" s="11" t="n"/>
      <c r="AI1604" s="11" t="n"/>
      <c r="AJ1604" s="11" t="n"/>
      <c r="AK1604" s="14">
        <f>IF(AND($AF1604="保留中",$AH1604&lt;&gt;""),TODAY()-$AH1604,"")</f>
        <v/>
      </c>
      <c r="AL1604" s="12" t="n"/>
      <c r="AM1604" s="14">
        <f>IF($B1604="","",IF($AQ1604="","対象年月が未入力／","")&amp;IF($B1604="","",IF($AP1604="","職員マスタに未登録の職員番号／",IF($AA1604="","標準報酬月額が未登録／","")&amp;IF(AND($AQ1604&lt;&gt;"",OR(AND(INDEX(職員マスタ!$G$6:$G$405,$AP1604)&lt;&gt;"",INDEX(職員マスタ!$G$6:$G$405,$AP1604)&gt;EOMONTH($AQ1604,0)),AND(INDEX(職員マスタ!$H$6:$H$405,$AP1604)&lt;&gt;"",INDEX(職員マスタ!$H$6:$H$405,$AP1604)&lt;$AQ1604))),"対象月が時短期間外／","")&amp;IF(AND(INDEX(職員マスタ!$K$6:$K$405,$AP1604)&lt;&gt;"",N($W1604)&gt;0,INDEX(職員マスタ!$K$6:$K$405,$AP1604)&lt;&gt;$W1604),"標準報酬月額が申請書と相違（台帳"&amp;TEXT(INDEX(職員マスタ!$K$6:$K$405,$AP1604),"#,##0")&amp;"円／申請書"&amp;TEXT($W1604,"#,##0")&amp;"円）／","")&amp;IF(AND(INDEX(職員マスタ!$F$6:$F$405,$AP1604)&lt;&gt;"",$AQ1604&lt;&gt;"",INDEX(職員マスタ!$F$6:$F$405,$AP1604)&lt;$AQ1604),"対象月に子が2歳到達済／","")&amp;IF(AND($H1604&lt;&gt;"",INDEX(職員マスタ!$B$6:$B$405,$AP1604)&lt;&gt;"",SUBSTITUTE(SUBSTITUTE($H1604," ","")," ","")&lt;&gt;SUBSTITUTE(SUBSTITUTE(INDEX(職員マスタ!$B$6:$B$405,$AP1604)," ","")," ","")),"氏名がマスタと相違／","")&amp;IF(AND($Q1604&lt;&gt;"",INDEX(職員マスタ!$E$6:$E$405,$AP1604)&lt;&gt;"",$Q1604&lt;&gt;INDEX(職員マスタ!$E$6:$E$405,$AP1604)),"子の生年月日がマスタと相違／","")&amp;IF(AND($L1604&lt;&gt;"",INDEX(職員マスタ!$G$6:$G$405,$AP1604)&lt;&gt;"",$L1604&lt;&gt;INDEX(職員マスタ!$G$6:$G$405,$AP1604)),"時短開始日がマスタと相違／","")&amp;IF(AND($M1604&lt;&gt;"",INDEX(職員マスタ!$H$6:$H$405,$AP1604)&lt;&gt;"",$M1604&lt;&gt;INDEX(職員マスタ!$H$6:$H$405,$AP1604)),"時短終了日がマスタと相違／","")))&amp;IF(AND($B1604&lt;&gt;"",$E1604=""),"報酬額が未入力／","")&amp;IF(N($U1604)&gt;0,"申請書に入力エラーが残っています／","")&amp;IF(AND($B1604&lt;&gt;"",$AQ1604&lt;&gt;""),IF(COUNTIFS($B$6:$B$3005,$B1604,$C$6:$C$3005,$C1604,$D$6:$D$3005,$D1604)&gt;1,"同じ月の請求が重複しています／",""),"")&amp;IF(AND(N($E1604)&gt;0,$AB1604&lt;&gt;"",$AB1604&lt;&gt;"×",$AE1604=0,$AD1604=""),"計算額が下限以下のため不支給／",""))</f>
        <v/>
      </c>
      <c r="AN1604" s="12" t="n"/>
      <c r="AO1604" s="14">
        <f>IF($AF1604="保留中",COUNTIF($AF$6:$AF1604,"保留中"),"")</f>
        <v/>
      </c>
      <c r="AP1604" s="14">
        <f>IF($AQ1604="","",IF(SUMPRODUCT(MAX((職員マスタ!$A$6:$A$405=$B1604)*(((職員マスタ!$G$6:$G$405="")+(職員マスタ!$G$6:$G$405&lt;=EOMONTH($AQ1604,0)))&gt;0)*(((職員マスタ!$H$6:$H$405="")+(職員マスタ!$H$6:$H$405&gt;=$AQ1604))&gt;0)*(ROW(職員マスタ!$A$6:$A$405)-5)))&gt;0,SUMPRODUCT(MAX((職員マスタ!$A$6:$A$405=$B1604)*(((職員マスタ!$G$6:$G$405="")+(職員マスタ!$G$6:$G$405&lt;=EOMONTH($AQ1604,0)))&gt;0)*(((職員マスタ!$H$6:$H$405="")+(職員マスタ!$H$6:$H$405&gt;=$AQ1604))&gt;0)*(ROW(職員マスタ!$A$6:$A$405)-5))),IFERROR(MATCH($B1604,職員マスタ!$A$6:$A$405,0),"")))</f>
        <v/>
      </c>
      <c r="AQ1604" s="16">
        <f>IF(OR($B1604="",$C1604="",$D1604=""),"",DATE($C1604+2018,$D1604,1))</f>
        <v/>
      </c>
    </row>
    <row r="1605">
      <c r="A1605" s="11" t="n"/>
      <c r="B1605" s="12" t="n"/>
      <c r="C1605" s="12" t="n"/>
      <c r="D1605" s="12" t="n"/>
      <c r="E1605" s="13" t="n"/>
      <c r="F1605" s="12" t="n"/>
      <c r="G1605" s="13" t="n"/>
      <c r="H1605" s="12" t="n"/>
      <c r="I1605" s="12" t="n"/>
      <c r="J1605" s="12" t="n"/>
      <c r="K1605" s="12" t="n"/>
      <c r="L1605" s="11" t="n"/>
      <c r="M1605" s="11" t="n"/>
      <c r="N1605" s="11" t="n"/>
      <c r="O1605" s="11" t="n"/>
      <c r="P1605" s="12" t="n"/>
      <c r="Q1605" s="11" t="n"/>
      <c r="R1605" s="12" t="n"/>
      <c r="S1605" s="11" t="n"/>
      <c r="T1605" s="12" t="n"/>
      <c r="U1605" s="12" t="n"/>
      <c r="V1605" s="12" t="n"/>
      <c r="W1605" s="13" t="n"/>
      <c r="X1605" s="14">
        <f>IF($AP1605="",IF($B1605="","",$H1605),IF(INDEX(職員マスタ!$B$6:$B$405,$AP1605)="",$H1605,INDEX(職員マスタ!$B$6:$B$405,$AP1605)))</f>
        <v/>
      </c>
      <c r="Y1605" s="14">
        <f>IF($AP1605="",IF($B1605="","",$R1605),IF(INDEX(職員マスタ!$C$6:$C$405,$AP1605)="",$R1605,INDEX(職員マスタ!$C$6:$C$405,$AP1605)))</f>
        <v/>
      </c>
      <c r="Z1605" s="14">
        <f>IF($AQ1605="","","R"&amp;$C1605&amp;"."&amp;$D1605)</f>
        <v/>
      </c>
      <c r="AA1605" s="15">
        <f>IF(IF($AP1605="",FALSE,INDEX(職員マスタ!$K$6:$K$405,$AP1605)&lt;&gt;""),INDEX(職員マスタ!$K$6:$K$405,$AP1605),IF(N($W1605)&gt;0,$W1605,""))</f>
        <v/>
      </c>
      <c r="AB1605" s="14">
        <f>IF(OR($E1605="",$AA1605=""),"",IF($E1605&gt;=$AA1605,"×",IF($E1605&gt;=$AA1605*設定!$C$5,"△","○")))</f>
        <v/>
      </c>
      <c r="AC1605" s="15">
        <f>IF($AB1605="","",IF($AB1605="×",0,IF($AB1605="○",ROUNDDOWN($E1605*設定!$C$4,0),ROUNDDOWN($E1605*ROUND((9*$AA1605-9*$E1605)/(10*$E1605),4),0))))</f>
        <v/>
      </c>
      <c r="AD1605" s="13" t="n"/>
      <c r="AE1605" s="15">
        <f>IF($B1605="","",IF($AD1605&lt;&gt;"",$AD1605,IF($AC1605="","",IF($AC1605&lt;=設定!$C$3,0,$AC1605))))</f>
        <v/>
      </c>
      <c r="AF1605" s="14">
        <f>IF($B1605="","",IF(AND($AG1605&lt;&gt;"",$AI1605="",$AL1605=""),"保留中",IF($AL1605&lt;&gt;"",IF(N($AE1605)&gt;0,"支給済","不支給"),IF($AE1605="","要確認",IF($AE1605=0,"不支給","未処理")))))</f>
        <v/>
      </c>
      <c r="AG1605" s="12" t="n"/>
      <c r="AH1605" s="11" t="n"/>
      <c r="AI1605" s="11" t="n"/>
      <c r="AJ1605" s="11" t="n"/>
      <c r="AK1605" s="14">
        <f>IF(AND($AF1605="保留中",$AH1605&lt;&gt;""),TODAY()-$AH1605,"")</f>
        <v/>
      </c>
      <c r="AL1605" s="12" t="n"/>
      <c r="AM1605" s="14">
        <f>IF($B1605="","",IF($AQ1605="","対象年月が未入力／","")&amp;IF($B1605="","",IF($AP1605="","職員マスタに未登録の職員番号／",IF($AA1605="","標準報酬月額が未登録／","")&amp;IF(AND($AQ1605&lt;&gt;"",OR(AND(INDEX(職員マスタ!$G$6:$G$405,$AP1605)&lt;&gt;"",INDEX(職員マスタ!$G$6:$G$405,$AP1605)&gt;EOMONTH($AQ1605,0)),AND(INDEX(職員マスタ!$H$6:$H$405,$AP1605)&lt;&gt;"",INDEX(職員マスタ!$H$6:$H$405,$AP1605)&lt;$AQ1605))),"対象月が時短期間外／","")&amp;IF(AND(INDEX(職員マスタ!$K$6:$K$405,$AP1605)&lt;&gt;"",N($W1605)&gt;0,INDEX(職員マスタ!$K$6:$K$405,$AP1605)&lt;&gt;$W1605),"標準報酬月額が申請書と相違（台帳"&amp;TEXT(INDEX(職員マスタ!$K$6:$K$405,$AP1605),"#,##0")&amp;"円／申請書"&amp;TEXT($W1605,"#,##0")&amp;"円）／","")&amp;IF(AND(INDEX(職員マスタ!$F$6:$F$405,$AP1605)&lt;&gt;"",$AQ1605&lt;&gt;"",INDEX(職員マスタ!$F$6:$F$405,$AP1605)&lt;$AQ1605),"対象月に子が2歳到達済／","")&amp;IF(AND($H1605&lt;&gt;"",INDEX(職員マスタ!$B$6:$B$405,$AP1605)&lt;&gt;"",SUBSTITUTE(SUBSTITUTE($H1605," ","")," ","")&lt;&gt;SUBSTITUTE(SUBSTITUTE(INDEX(職員マスタ!$B$6:$B$405,$AP1605)," ","")," ","")),"氏名がマスタと相違／","")&amp;IF(AND($Q1605&lt;&gt;"",INDEX(職員マスタ!$E$6:$E$405,$AP1605)&lt;&gt;"",$Q1605&lt;&gt;INDEX(職員マスタ!$E$6:$E$405,$AP1605)),"子の生年月日がマスタと相違／","")&amp;IF(AND($L1605&lt;&gt;"",INDEX(職員マスタ!$G$6:$G$405,$AP1605)&lt;&gt;"",$L1605&lt;&gt;INDEX(職員マスタ!$G$6:$G$405,$AP1605)),"時短開始日がマスタと相違／","")&amp;IF(AND($M1605&lt;&gt;"",INDEX(職員マスタ!$H$6:$H$405,$AP1605)&lt;&gt;"",$M1605&lt;&gt;INDEX(職員マスタ!$H$6:$H$405,$AP1605)),"時短終了日がマスタと相違／","")))&amp;IF(AND($B1605&lt;&gt;"",$E1605=""),"報酬額が未入力／","")&amp;IF(N($U1605)&gt;0,"申請書に入力エラーが残っています／","")&amp;IF(AND($B1605&lt;&gt;"",$AQ1605&lt;&gt;""),IF(COUNTIFS($B$6:$B$3005,$B1605,$C$6:$C$3005,$C1605,$D$6:$D$3005,$D1605)&gt;1,"同じ月の請求が重複しています／",""),"")&amp;IF(AND(N($E1605)&gt;0,$AB1605&lt;&gt;"",$AB1605&lt;&gt;"×",$AE1605=0,$AD1605=""),"計算額が下限以下のため不支給／",""))</f>
        <v/>
      </c>
      <c r="AN1605" s="12" t="n"/>
      <c r="AO1605" s="14">
        <f>IF($AF1605="保留中",COUNTIF($AF$6:$AF1605,"保留中"),"")</f>
        <v/>
      </c>
      <c r="AP1605" s="14">
        <f>IF($AQ1605="","",IF(SUMPRODUCT(MAX((職員マスタ!$A$6:$A$405=$B1605)*(((職員マスタ!$G$6:$G$405="")+(職員マスタ!$G$6:$G$405&lt;=EOMONTH($AQ1605,0)))&gt;0)*(((職員マスタ!$H$6:$H$405="")+(職員マスタ!$H$6:$H$405&gt;=$AQ1605))&gt;0)*(ROW(職員マスタ!$A$6:$A$405)-5)))&gt;0,SUMPRODUCT(MAX((職員マスタ!$A$6:$A$405=$B1605)*(((職員マスタ!$G$6:$G$405="")+(職員マスタ!$G$6:$G$405&lt;=EOMONTH($AQ1605,0)))&gt;0)*(((職員マスタ!$H$6:$H$405="")+(職員マスタ!$H$6:$H$405&gt;=$AQ1605))&gt;0)*(ROW(職員マスタ!$A$6:$A$405)-5))),IFERROR(MATCH($B1605,職員マスタ!$A$6:$A$405,0),"")))</f>
        <v/>
      </c>
      <c r="AQ1605" s="16">
        <f>IF(OR($B1605="",$C1605="",$D1605=""),"",DATE($C1605+2018,$D1605,1))</f>
        <v/>
      </c>
    </row>
    <row r="1606">
      <c r="A1606" s="11" t="n"/>
      <c r="B1606" s="12" t="n"/>
      <c r="C1606" s="12" t="n"/>
      <c r="D1606" s="12" t="n"/>
      <c r="E1606" s="13" t="n"/>
      <c r="F1606" s="12" t="n"/>
      <c r="G1606" s="13" t="n"/>
      <c r="H1606" s="12" t="n"/>
      <c r="I1606" s="12" t="n"/>
      <c r="J1606" s="12" t="n"/>
      <c r="K1606" s="12" t="n"/>
      <c r="L1606" s="11" t="n"/>
      <c r="M1606" s="11" t="n"/>
      <c r="N1606" s="11" t="n"/>
      <c r="O1606" s="11" t="n"/>
      <c r="P1606" s="12" t="n"/>
      <c r="Q1606" s="11" t="n"/>
      <c r="R1606" s="12" t="n"/>
      <c r="S1606" s="11" t="n"/>
      <c r="T1606" s="12" t="n"/>
      <c r="U1606" s="12" t="n"/>
      <c r="V1606" s="12" t="n"/>
      <c r="W1606" s="13" t="n"/>
      <c r="X1606" s="14">
        <f>IF($AP1606="",IF($B1606="","",$H1606),IF(INDEX(職員マスタ!$B$6:$B$405,$AP1606)="",$H1606,INDEX(職員マスタ!$B$6:$B$405,$AP1606)))</f>
        <v/>
      </c>
      <c r="Y1606" s="14">
        <f>IF($AP1606="",IF($B1606="","",$R1606),IF(INDEX(職員マスタ!$C$6:$C$405,$AP1606)="",$R1606,INDEX(職員マスタ!$C$6:$C$405,$AP1606)))</f>
        <v/>
      </c>
      <c r="Z1606" s="14">
        <f>IF($AQ1606="","","R"&amp;$C1606&amp;"."&amp;$D1606)</f>
        <v/>
      </c>
      <c r="AA1606" s="15">
        <f>IF(IF($AP1606="",FALSE,INDEX(職員マスタ!$K$6:$K$405,$AP1606)&lt;&gt;""),INDEX(職員マスタ!$K$6:$K$405,$AP1606),IF(N($W1606)&gt;0,$W1606,""))</f>
        <v/>
      </c>
      <c r="AB1606" s="14">
        <f>IF(OR($E1606="",$AA1606=""),"",IF($E1606&gt;=$AA1606,"×",IF($E1606&gt;=$AA1606*設定!$C$5,"△","○")))</f>
        <v/>
      </c>
      <c r="AC1606" s="15">
        <f>IF($AB1606="","",IF($AB1606="×",0,IF($AB1606="○",ROUNDDOWN($E1606*設定!$C$4,0),ROUNDDOWN($E1606*ROUND((9*$AA1606-9*$E1606)/(10*$E1606),4),0))))</f>
        <v/>
      </c>
      <c r="AD1606" s="13" t="n"/>
      <c r="AE1606" s="15">
        <f>IF($B1606="","",IF($AD1606&lt;&gt;"",$AD1606,IF($AC1606="","",IF($AC1606&lt;=設定!$C$3,0,$AC1606))))</f>
        <v/>
      </c>
      <c r="AF1606" s="14">
        <f>IF($B1606="","",IF(AND($AG1606&lt;&gt;"",$AI1606="",$AL1606=""),"保留中",IF($AL1606&lt;&gt;"",IF(N($AE1606)&gt;0,"支給済","不支給"),IF($AE1606="","要確認",IF($AE1606=0,"不支給","未処理")))))</f>
        <v/>
      </c>
      <c r="AG1606" s="12" t="n"/>
      <c r="AH1606" s="11" t="n"/>
      <c r="AI1606" s="11" t="n"/>
      <c r="AJ1606" s="11" t="n"/>
      <c r="AK1606" s="14">
        <f>IF(AND($AF1606="保留中",$AH1606&lt;&gt;""),TODAY()-$AH1606,"")</f>
        <v/>
      </c>
      <c r="AL1606" s="12" t="n"/>
      <c r="AM1606" s="14">
        <f>IF($B1606="","",IF($AQ1606="","対象年月が未入力／","")&amp;IF($B1606="","",IF($AP1606="","職員マスタに未登録の職員番号／",IF($AA1606="","標準報酬月額が未登録／","")&amp;IF(AND($AQ1606&lt;&gt;"",OR(AND(INDEX(職員マスタ!$G$6:$G$405,$AP1606)&lt;&gt;"",INDEX(職員マスタ!$G$6:$G$405,$AP1606)&gt;EOMONTH($AQ1606,0)),AND(INDEX(職員マスタ!$H$6:$H$405,$AP1606)&lt;&gt;"",INDEX(職員マスタ!$H$6:$H$405,$AP1606)&lt;$AQ1606))),"対象月が時短期間外／","")&amp;IF(AND(INDEX(職員マスタ!$K$6:$K$405,$AP1606)&lt;&gt;"",N($W1606)&gt;0,INDEX(職員マスタ!$K$6:$K$405,$AP1606)&lt;&gt;$W1606),"標準報酬月額が申請書と相違（台帳"&amp;TEXT(INDEX(職員マスタ!$K$6:$K$405,$AP1606),"#,##0")&amp;"円／申請書"&amp;TEXT($W1606,"#,##0")&amp;"円）／","")&amp;IF(AND(INDEX(職員マスタ!$F$6:$F$405,$AP1606)&lt;&gt;"",$AQ1606&lt;&gt;"",INDEX(職員マスタ!$F$6:$F$405,$AP1606)&lt;$AQ1606),"対象月に子が2歳到達済／","")&amp;IF(AND($H1606&lt;&gt;"",INDEX(職員マスタ!$B$6:$B$405,$AP1606)&lt;&gt;"",SUBSTITUTE(SUBSTITUTE($H1606," ","")," ","")&lt;&gt;SUBSTITUTE(SUBSTITUTE(INDEX(職員マスタ!$B$6:$B$405,$AP1606)," ","")," ","")),"氏名がマスタと相違／","")&amp;IF(AND($Q1606&lt;&gt;"",INDEX(職員マスタ!$E$6:$E$405,$AP1606)&lt;&gt;"",$Q1606&lt;&gt;INDEX(職員マスタ!$E$6:$E$405,$AP1606)),"子の生年月日がマスタと相違／","")&amp;IF(AND($L1606&lt;&gt;"",INDEX(職員マスタ!$G$6:$G$405,$AP1606)&lt;&gt;"",$L1606&lt;&gt;INDEX(職員マスタ!$G$6:$G$405,$AP1606)),"時短開始日がマスタと相違／","")&amp;IF(AND($M1606&lt;&gt;"",INDEX(職員マスタ!$H$6:$H$405,$AP1606)&lt;&gt;"",$M1606&lt;&gt;INDEX(職員マスタ!$H$6:$H$405,$AP1606)),"時短終了日がマスタと相違／","")))&amp;IF(AND($B1606&lt;&gt;"",$E1606=""),"報酬額が未入力／","")&amp;IF(N($U1606)&gt;0,"申請書に入力エラーが残っています／","")&amp;IF(AND($B1606&lt;&gt;"",$AQ1606&lt;&gt;""),IF(COUNTIFS($B$6:$B$3005,$B1606,$C$6:$C$3005,$C1606,$D$6:$D$3005,$D1606)&gt;1,"同じ月の請求が重複しています／",""),"")&amp;IF(AND(N($E1606)&gt;0,$AB1606&lt;&gt;"",$AB1606&lt;&gt;"×",$AE1606=0,$AD1606=""),"計算額が下限以下のため不支給／",""))</f>
        <v/>
      </c>
      <c r="AN1606" s="12" t="n"/>
      <c r="AO1606" s="14">
        <f>IF($AF1606="保留中",COUNTIF($AF$6:$AF1606,"保留中"),"")</f>
        <v/>
      </c>
      <c r="AP1606" s="14">
        <f>IF($AQ1606="","",IF(SUMPRODUCT(MAX((職員マスタ!$A$6:$A$405=$B1606)*(((職員マスタ!$G$6:$G$405="")+(職員マスタ!$G$6:$G$405&lt;=EOMONTH($AQ1606,0)))&gt;0)*(((職員マスタ!$H$6:$H$405="")+(職員マスタ!$H$6:$H$405&gt;=$AQ1606))&gt;0)*(ROW(職員マスタ!$A$6:$A$405)-5)))&gt;0,SUMPRODUCT(MAX((職員マスタ!$A$6:$A$405=$B1606)*(((職員マスタ!$G$6:$G$405="")+(職員マスタ!$G$6:$G$405&lt;=EOMONTH($AQ1606,0)))&gt;0)*(((職員マスタ!$H$6:$H$405="")+(職員マスタ!$H$6:$H$405&gt;=$AQ1606))&gt;0)*(ROW(職員マスタ!$A$6:$A$405)-5))),IFERROR(MATCH($B1606,職員マスタ!$A$6:$A$405,0),"")))</f>
        <v/>
      </c>
      <c r="AQ1606" s="16">
        <f>IF(OR($B1606="",$C1606="",$D1606=""),"",DATE($C1606+2018,$D1606,1))</f>
        <v/>
      </c>
    </row>
    <row r="1607">
      <c r="A1607" s="11" t="n"/>
      <c r="B1607" s="12" t="n"/>
      <c r="C1607" s="12" t="n"/>
      <c r="D1607" s="12" t="n"/>
      <c r="E1607" s="13" t="n"/>
      <c r="F1607" s="12" t="n"/>
      <c r="G1607" s="13" t="n"/>
      <c r="H1607" s="12" t="n"/>
      <c r="I1607" s="12" t="n"/>
      <c r="J1607" s="12" t="n"/>
      <c r="K1607" s="12" t="n"/>
      <c r="L1607" s="11" t="n"/>
      <c r="M1607" s="11" t="n"/>
      <c r="N1607" s="11" t="n"/>
      <c r="O1607" s="11" t="n"/>
      <c r="P1607" s="12" t="n"/>
      <c r="Q1607" s="11" t="n"/>
      <c r="R1607" s="12" t="n"/>
      <c r="S1607" s="11" t="n"/>
      <c r="T1607" s="12" t="n"/>
      <c r="U1607" s="12" t="n"/>
      <c r="V1607" s="12" t="n"/>
      <c r="W1607" s="13" t="n"/>
      <c r="X1607" s="14">
        <f>IF($AP1607="",IF($B1607="","",$H1607),IF(INDEX(職員マスタ!$B$6:$B$405,$AP1607)="",$H1607,INDEX(職員マスタ!$B$6:$B$405,$AP1607)))</f>
        <v/>
      </c>
      <c r="Y1607" s="14">
        <f>IF($AP1607="",IF($B1607="","",$R1607),IF(INDEX(職員マスタ!$C$6:$C$405,$AP1607)="",$R1607,INDEX(職員マスタ!$C$6:$C$405,$AP1607)))</f>
        <v/>
      </c>
      <c r="Z1607" s="14">
        <f>IF($AQ1607="","","R"&amp;$C1607&amp;"."&amp;$D1607)</f>
        <v/>
      </c>
      <c r="AA1607" s="15">
        <f>IF(IF($AP1607="",FALSE,INDEX(職員マスタ!$K$6:$K$405,$AP1607)&lt;&gt;""),INDEX(職員マスタ!$K$6:$K$405,$AP1607),IF(N($W1607)&gt;0,$W1607,""))</f>
        <v/>
      </c>
      <c r="AB1607" s="14">
        <f>IF(OR($E1607="",$AA1607=""),"",IF($E1607&gt;=$AA1607,"×",IF($E1607&gt;=$AA1607*設定!$C$5,"△","○")))</f>
        <v/>
      </c>
      <c r="AC1607" s="15">
        <f>IF($AB1607="","",IF($AB1607="×",0,IF($AB1607="○",ROUNDDOWN($E1607*設定!$C$4,0),ROUNDDOWN($E1607*ROUND((9*$AA1607-9*$E1607)/(10*$E1607),4),0))))</f>
        <v/>
      </c>
      <c r="AD1607" s="13" t="n"/>
      <c r="AE1607" s="15">
        <f>IF($B1607="","",IF($AD1607&lt;&gt;"",$AD1607,IF($AC1607="","",IF($AC1607&lt;=設定!$C$3,0,$AC1607))))</f>
        <v/>
      </c>
      <c r="AF1607" s="14">
        <f>IF($B1607="","",IF(AND($AG1607&lt;&gt;"",$AI1607="",$AL1607=""),"保留中",IF($AL1607&lt;&gt;"",IF(N($AE1607)&gt;0,"支給済","不支給"),IF($AE1607="","要確認",IF($AE1607=0,"不支給","未処理")))))</f>
        <v/>
      </c>
      <c r="AG1607" s="12" t="n"/>
      <c r="AH1607" s="11" t="n"/>
      <c r="AI1607" s="11" t="n"/>
      <c r="AJ1607" s="11" t="n"/>
      <c r="AK1607" s="14">
        <f>IF(AND($AF1607="保留中",$AH1607&lt;&gt;""),TODAY()-$AH1607,"")</f>
        <v/>
      </c>
      <c r="AL1607" s="12" t="n"/>
      <c r="AM1607" s="14">
        <f>IF($B1607="","",IF($AQ1607="","対象年月が未入力／","")&amp;IF($B1607="","",IF($AP1607="","職員マスタに未登録の職員番号／",IF($AA1607="","標準報酬月額が未登録／","")&amp;IF(AND($AQ1607&lt;&gt;"",OR(AND(INDEX(職員マスタ!$G$6:$G$405,$AP1607)&lt;&gt;"",INDEX(職員マスタ!$G$6:$G$405,$AP1607)&gt;EOMONTH($AQ1607,0)),AND(INDEX(職員マスタ!$H$6:$H$405,$AP1607)&lt;&gt;"",INDEX(職員マスタ!$H$6:$H$405,$AP1607)&lt;$AQ1607))),"対象月が時短期間外／","")&amp;IF(AND(INDEX(職員マスタ!$K$6:$K$405,$AP1607)&lt;&gt;"",N($W1607)&gt;0,INDEX(職員マスタ!$K$6:$K$405,$AP1607)&lt;&gt;$W1607),"標準報酬月額が申請書と相違（台帳"&amp;TEXT(INDEX(職員マスタ!$K$6:$K$405,$AP1607),"#,##0")&amp;"円／申請書"&amp;TEXT($W1607,"#,##0")&amp;"円）／","")&amp;IF(AND(INDEX(職員マスタ!$F$6:$F$405,$AP1607)&lt;&gt;"",$AQ1607&lt;&gt;"",INDEX(職員マスタ!$F$6:$F$405,$AP1607)&lt;$AQ1607),"対象月に子が2歳到達済／","")&amp;IF(AND($H1607&lt;&gt;"",INDEX(職員マスタ!$B$6:$B$405,$AP1607)&lt;&gt;"",SUBSTITUTE(SUBSTITUTE($H1607," ","")," ","")&lt;&gt;SUBSTITUTE(SUBSTITUTE(INDEX(職員マスタ!$B$6:$B$405,$AP1607)," ","")," ","")),"氏名がマスタと相違／","")&amp;IF(AND($Q1607&lt;&gt;"",INDEX(職員マスタ!$E$6:$E$405,$AP1607)&lt;&gt;"",$Q1607&lt;&gt;INDEX(職員マスタ!$E$6:$E$405,$AP1607)),"子の生年月日がマスタと相違／","")&amp;IF(AND($L1607&lt;&gt;"",INDEX(職員マスタ!$G$6:$G$405,$AP1607)&lt;&gt;"",$L1607&lt;&gt;INDEX(職員マスタ!$G$6:$G$405,$AP1607)),"時短開始日がマスタと相違／","")&amp;IF(AND($M1607&lt;&gt;"",INDEX(職員マスタ!$H$6:$H$405,$AP1607)&lt;&gt;"",$M1607&lt;&gt;INDEX(職員マスタ!$H$6:$H$405,$AP1607)),"時短終了日がマスタと相違／","")))&amp;IF(AND($B1607&lt;&gt;"",$E1607=""),"報酬額が未入力／","")&amp;IF(N($U1607)&gt;0,"申請書に入力エラーが残っています／","")&amp;IF(AND($B1607&lt;&gt;"",$AQ1607&lt;&gt;""),IF(COUNTIFS($B$6:$B$3005,$B1607,$C$6:$C$3005,$C1607,$D$6:$D$3005,$D1607)&gt;1,"同じ月の請求が重複しています／",""),"")&amp;IF(AND(N($E1607)&gt;0,$AB1607&lt;&gt;"",$AB1607&lt;&gt;"×",$AE1607=0,$AD1607=""),"計算額が下限以下のため不支給／",""))</f>
        <v/>
      </c>
      <c r="AN1607" s="12" t="n"/>
      <c r="AO1607" s="14">
        <f>IF($AF1607="保留中",COUNTIF($AF$6:$AF1607,"保留中"),"")</f>
        <v/>
      </c>
      <c r="AP1607" s="14">
        <f>IF($AQ1607="","",IF(SUMPRODUCT(MAX((職員マスタ!$A$6:$A$405=$B1607)*(((職員マスタ!$G$6:$G$405="")+(職員マスタ!$G$6:$G$405&lt;=EOMONTH($AQ1607,0)))&gt;0)*(((職員マスタ!$H$6:$H$405="")+(職員マスタ!$H$6:$H$405&gt;=$AQ1607))&gt;0)*(ROW(職員マスタ!$A$6:$A$405)-5)))&gt;0,SUMPRODUCT(MAX((職員マスタ!$A$6:$A$405=$B1607)*(((職員マスタ!$G$6:$G$405="")+(職員マスタ!$G$6:$G$405&lt;=EOMONTH($AQ1607,0)))&gt;0)*(((職員マスタ!$H$6:$H$405="")+(職員マスタ!$H$6:$H$405&gt;=$AQ1607))&gt;0)*(ROW(職員マスタ!$A$6:$A$405)-5))),IFERROR(MATCH($B1607,職員マスタ!$A$6:$A$405,0),"")))</f>
        <v/>
      </c>
      <c r="AQ1607" s="16">
        <f>IF(OR($B1607="",$C1607="",$D1607=""),"",DATE($C1607+2018,$D1607,1))</f>
        <v/>
      </c>
    </row>
    <row r="1608">
      <c r="A1608" s="11" t="n"/>
      <c r="B1608" s="12" t="n"/>
      <c r="C1608" s="12" t="n"/>
      <c r="D1608" s="12" t="n"/>
      <c r="E1608" s="13" t="n"/>
      <c r="F1608" s="12" t="n"/>
      <c r="G1608" s="13" t="n"/>
      <c r="H1608" s="12" t="n"/>
      <c r="I1608" s="12" t="n"/>
      <c r="J1608" s="12" t="n"/>
      <c r="K1608" s="12" t="n"/>
      <c r="L1608" s="11" t="n"/>
      <c r="M1608" s="11" t="n"/>
      <c r="N1608" s="11" t="n"/>
      <c r="O1608" s="11" t="n"/>
      <c r="P1608" s="12" t="n"/>
      <c r="Q1608" s="11" t="n"/>
      <c r="R1608" s="12" t="n"/>
      <c r="S1608" s="11" t="n"/>
      <c r="T1608" s="12" t="n"/>
      <c r="U1608" s="12" t="n"/>
      <c r="V1608" s="12" t="n"/>
      <c r="W1608" s="13" t="n"/>
      <c r="X1608" s="14">
        <f>IF($AP1608="",IF($B1608="","",$H1608),IF(INDEX(職員マスタ!$B$6:$B$405,$AP1608)="",$H1608,INDEX(職員マスタ!$B$6:$B$405,$AP1608)))</f>
        <v/>
      </c>
      <c r="Y1608" s="14">
        <f>IF($AP1608="",IF($B1608="","",$R1608),IF(INDEX(職員マスタ!$C$6:$C$405,$AP1608)="",$R1608,INDEX(職員マスタ!$C$6:$C$405,$AP1608)))</f>
        <v/>
      </c>
      <c r="Z1608" s="14">
        <f>IF($AQ1608="","","R"&amp;$C1608&amp;"."&amp;$D1608)</f>
        <v/>
      </c>
      <c r="AA1608" s="15">
        <f>IF(IF($AP1608="",FALSE,INDEX(職員マスタ!$K$6:$K$405,$AP1608)&lt;&gt;""),INDEX(職員マスタ!$K$6:$K$405,$AP1608),IF(N($W1608)&gt;0,$W1608,""))</f>
        <v/>
      </c>
      <c r="AB1608" s="14">
        <f>IF(OR($E1608="",$AA1608=""),"",IF($E1608&gt;=$AA1608,"×",IF($E1608&gt;=$AA1608*設定!$C$5,"△","○")))</f>
        <v/>
      </c>
      <c r="AC1608" s="15">
        <f>IF($AB1608="","",IF($AB1608="×",0,IF($AB1608="○",ROUNDDOWN($E1608*設定!$C$4,0),ROUNDDOWN($E1608*ROUND((9*$AA1608-9*$E1608)/(10*$E1608),4),0))))</f>
        <v/>
      </c>
      <c r="AD1608" s="13" t="n"/>
      <c r="AE1608" s="15">
        <f>IF($B1608="","",IF($AD1608&lt;&gt;"",$AD1608,IF($AC1608="","",IF($AC1608&lt;=設定!$C$3,0,$AC1608))))</f>
        <v/>
      </c>
      <c r="AF1608" s="14">
        <f>IF($B1608="","",IF(AND($AG1608&lt;&gt;"",$AI1608="",$AL1608=""),"保留中",IF($AL1608&lt;&gt;"",IF(N($AE1608)&gt;0,"支給済","不支給"),IF($AE1608="","要確認",IF($AE1608=0,"不支給","未処理")))))</f>
        <v/>
      </c>
      <c r="AG1608" s="12" t="n"/>
      <c r="AH1608" s="11" t="n"/>
      <c r="AI1608" s="11" t="n"/>
      <c r="AJ1608" s="11" t="n"/>
      <c r="AK1608" s="14">
        <f>IF(AND($AF1608="保留中",$AH1608&lt;&gt;""),TODAY()-$AH1608,"")</f>
        <v/>
      </c>
      <c r="AL1608" s="12" t="n"/>
      <c r="AM1608" s="14">
        <f>IF($B1608="","",IF($AQ1608="","対象年月が未入力／","")&amp;IF($B1608="","",IF($AP1608="","職員マスタに未登録の職員番号／",IF($AA1608="","標準報酬月額が未登録／","")&amp;IF(AND($AQ1608&lt;&gt;"",OR(AND(INDEX(職員マスタ!$G$6:$G$405,$AP1608)&lt;&gt;"",INDEX(職員マスタ!$G$6:$G$405,$AP1608)&gt;EOMONTH($AQ1608,0)),AND(INDEX(職員マスタ!$H$6:$H$405,$AP1608)&lt;&gt;"",INDEX(職員マスタ!$H$6:$H$405,$AP1608)&lt;$AQ1608))),"対象月が時短期間外／","")&amp;IF(AND(INDEX(職員マスタ!$K$6:$K$405,$AP1608)&lt;&gt;"",N($W1608)&gt;0,INDEX(職員マスタ!$K$6:$K$405,$AP1608)&lt;&gt;$W1608),"標準報酬月額が申請書と相違（台帳"&amp;TEXT(INDEX(職員マスタ!$K$6:$K$405,$AP1608),"#,##0")&amp;"円／申請書"&amp;TEXT($W1608,"#,##0")&amp;"円）／","")&amp;IF(AND(INDEX(職員マスタ!$F$6:$F$405,$AP1608)&lt;&gt;"",$AQ1608&lt;&gt;"",INDEX(職員マスタ!$F$6:$F$405,$AP1608)&lt;$AQ1608),"対象月に子が2歳到達済／","")&amp;IF(AND($H1608&lt;&gt;"",INDEX(職員マスタ!$B$6:$B$405,$AP1608)&lt;&gt;"",SUBSTITUTE(SUBSTITUTE($H1608," ","")," ","")&lt;&gt;SUBSTITUTE(SUBSTITUTE(INDEX(職員マスタ!$B$6:$B$405,$AP1608)," ","")," ","")),"氏名がマスタと相違／","")&amp;IF(AND($Q1608&lt;&gt;"",INDEX(職員マスタ!$E$6:$E$405,$AP1608)&lt;&gt;"",$Q1608&lt;&gt;INDEX(職員マスタ!$E$6:$E$405,$AP1608)),"子の生年月日がマスタと相違／","")&amp;IF(AND($L1608&lt;&gt;"",INDEX(職員マスタ!$G$6:$G$405,$AP1608)&lt;&gt;"",$L1608&lt;&gt;INDEX(職員マスタ!$G$6:$G$405,$AP1608)),"時短開始日がマスタと相違／","")&amp;IF(AND($M1608&lt;&gt;"",INDEX(職員マスタ!$H$6:$H$405,$AP1608)&lt;&gt;"",$M1608&lt;&gt;INDEX(職員マスタ!$H$6:$H$405,$AP1608)),"時短終了日がマスタと相違／","")))&amp;IF(AND($B1608&lt;&gt;"",$E1608=""),"報酬額が未入力／","")&amp;IF(N($U1608)&gt;0,"申請書に入力エラーが残っています／","")&amp;IF(AND($B1608&lt;&gt;"",$AQ1608&lt;&gt;""),IF(COUNTIFS($B$6:$B$3005,$B1608,$C$6:$C$3005,$C1608,$D$6:$D$3005,$D1608)&gt;1,"同じ月の請求が重複しています／",""),"")&amp;IF(AND(N($E1608)&gt;0,$AB1608&lt;&gt;"",$AB1608&lt;&gt;"×",$AE1608=0,$AD1608=""),"計算額が下限以下のため不支給／",""))</f>
        <v/>
      </c>
      <c r="AN1608" s="12" t="n"/>
      <c r="AO1608" s="14">
        <f>IF($AF1608="保留中",COUNTIF($AF$6:$AF1608,"保留中"),"")</f>
        <v/>
      </c>
      <c r="AP1608" s="14">
        <f>IF($AQ1608="","",IF(SUMPRODUCT(MAX((職員マスタ!$A$6:$A$405=$B1608)*(((職員マスタ!$G$6:$G$405="")+(職員マスタ!$G$6:$G$405&lt;=EOMONTH($AQ1608,0)))&gt;0)*(((職員マスタ!$H$6:$H$405="")+(職員マスタ!$H$6:$H$405&gt;=$AQ1608))&gt;0)*(ROW(職員マスタ!$A$6:$A$405)-5)))&gt;0,SUMPRODUCT(MAX((職員マスタ!$A$6:$A$405=$B1608)*(((職員マスタ!$G$6:$G$405="")+(職員マスタ!$G$6:$G$405&lt;=EOMONTH($AQ1608,0)))&gt;0)*(((職員マスタ!$H$6:$H$405="")+(職員マスタ!$H$6:$H$405&gt;=$AQ1608))&gt;0)*(ROW(職員マスタ!$A$6:$A$405)-5))),IFERROR(MATCH($B1608,職員マスタ!$A$6:$A$405,0),"")))</f>
        <v/>
      </c>
      <c r="AQ1608" s="16">
        <f>IF(OR($B1608="",$C1608="",$D1608=""),"",DATE($C1608+2018,$D1608,1))</f>
        <v/>
      </c>
    </row>
    <row r="1609">
      <c r="A1609" s="11" t="n"/>
      <c r="B1609" s="12" t="n"/>
      <c r="C1609" s="12" t="n"/>
      <c r="D1609" s="12" t="n"/>
      <c r="E1609" s="13" t="n"/>
      <c r="F1609" s="12" t="n"/>
      <c r="G1609" s="13" t="n"/>
      <c r="H1609" s="12" t="n"/>
      <c r="I1609" s="12" t="n"/>
      <c r="J1609" s="12" t="n"/>
      <c r="K1609" s="12" t="n"/>
      <c r="L1609" s="11" t="n"/>
      <c r="M1609" s="11" t="n"/>
      <c r="N1609" s="11" t="n"/>
      <c r="O1609" s="11" t="n"/>
      <c r="P1609" s="12" t="n"/>
      <c r="Q1609" s="11" t="n"/>
      <c r="R1609" s="12" t="n"/>
      <c r="S1609" s="11" t="n"/>
      <c r="T1609" s="12" t="n"/>
      <c r="U1609" s="12" t="n"/>
      <c r="V1609" s="12" t="n"/>
      <c r="W1609" s="13" t="n"/>
      <c r="X1609" s="14">
        <f>IF($AP1609="",IF($B1609="","",$H1609),IF(INDEX(職員マスタ!$B$6:$B$405,$AP1609)="",$H1609,INDEX(職員マスタ!$B$6:$B$405,$AP1609)))</f>
        <v/>
      </c>
      <c r="Y1609" s="14">
        <f>IF($AP1609="",IF($B1609="","",$R1609),IF(INDEX(職員マスタ!$C$6:$C$405,$AP1609)="",$R1609,INDEX(職員マスタ!$C$6:$C$405,$AP1609)))</f>
        <v/>
      </c>
      <c r="Z1609" s="14">
        <f>IF($AQ1609="","","R"&amp;$C1609&amp;"."&amp;$D1609)</f>
        <v/>
      </c>
      <c r="AA1609" s="15">
        <f>IF(IF($AP1609="",FALSE,INDEX(職員マスタ!$K$6:$K$405,$AP1609)&lt;&gt;""),INDEX(職員マスタ!$K$6:$K$405,$AP1609),IF(N($W1609)&gt;0,$W1609,""))</f>
        <v/>
      </c>
      <c r="AB1609" s="14">
        <f>IF(OR($E1609="",$AA1609=""),"",IF($E1609&gt;=$AA1609,"×",IF($E1609&gt;=$AA1609*設定!$C$5,"△","○")))</f>
        <v/>
      </c>
      <c r="AC1609" s="15">
        <f>IF($AB1609="","",IF($AB1609="×",0,IF($AB1609="○",ROUNDDOWN($E1609*設定!$C$4,0),ROUNDDOWN($E1609*ROUND((9*$AA1609-9*$E1609)/(10*$E1609),4),0))))</f>
        <v/>
      </c>
      <c r="AD1609" s="13" t="n"/>
      <c r="AE1609" s="15">
        <f>IF($B1609="","",IF($AD1609&lt;&gt;"",$AD1609,IF($AC1609="","",IF($AC1609&lt;=設定!$C$3,0,$AC1609))))</f>
        <v/>
      </c>
      <c r="AF1609" s="14">
        <f>IF($B1609="","",IF(AND($AG1609&lt;&gt;"",$AI1609="",$AL1609=""),"保留中",IF($AL1609&lt;&gt;"",IF(N($AE1609)&gt;0,"支給済","不支給"),IF($AE1609="","要確認",IF($AE1609=0,"不支給","未処理")))))</f>
        <v/>
      </c>
      <c r="AG1609" s="12" t="n"/>
      <c r="AH1609" s="11" t="n"/>
      <c r="AI1609" s="11" t="n"/>
      <c r="AJ1609" s="11" t="n"/>
      <c r="AK1609" s="14">
        <f>IF(AND($AF1609="保留中",$AH1609&lt;&gt;""),TODAY()-$AH1609,"")</f>
        <v/>
      </c>
      <c r="AL1609" s="12" t="n"/>
      <c r="AM1609" s="14">
        <f>IF($B1609="","",IF($AQ1609="","対象年月が未入力／","")&amp;IF($B1609="","",IF($AP1609="","職員マスタに未登録の職員番号／",IF($AA1609="","標準報酬月額が未登録／","")&amp;IF(AND($AQ1609&lt;&gt;"",OR(AND(INDEX(職員マスタ!$G$6:$G$405,$AP1609)&lt;&gt;"",INDEX(職員マスタ!$G$6:$G$405,$AP1609)&gt;EOMONTH($AQ1609,0)),AND(INDEX(職員マスタ!$H$6:$H$405,$AP1609)&lt;&gt;"",INDEX(職員マスタ!$H$6:$H$405,$AP1609)&lt;$AQ1609))),"対象月が時短期間外／","")&amp;IF(AND(INDEX(職員マスタ!$K$6:$K$405,$AP1609)&lt;&gt;"",N($W1609)&gt;0,INDEX(職員マスタ!$K$6:$K$405,$AP1609)&lt;&gt;$W1609),"標準報酬月額が申請書と相違（台帳"&amp;TEXT(INDEX(職員マスタ!$K$6:$K$405,$AP1609),"#,##0")&amp;"円／申請書"&amp;TEXT($W1609,"#,##0")&amp;"円）／","")&amp;IF(AND(INDEX(職員マスタ!$F$6:$F$405,$AP1609)&lt;&gt;"",$AQ1609&lt;&gt;"",INDEX(職員マスタ!$F$6:$F$405,$AP1609)&lt;$AQ1609),"対象月に子が2歳到達済／","")&amp;IF(AND($H1609&lt;&gt;"",INDEX(職員マスタ!$B$6:$B$405,$AP1609)&lt;&gt;"",SUBSTITUTE(SUBSTITUTE($H1609," ","")," ","")&lt;&gt;SUBSTITUTE(SUBSTITUTE(INDEX(職員マスタ!$B$6:$B$405,$AP1609)," ","")," ","")),"氏名がマスタと相違／","")&amp;IF(AND($Q1609&lt;&gt;"",INDEX(職員マスタ!$E$6:$E$405,$AP1609)&lt;&gt;"",$Q1609&lt;&gt;INDEX(職員マスタ!$E$6:$E$405,$AP1609)),"子の生年月日がマスタと相違／","")&amp;IF(AND($L1609&lt;&gt;"",INDEX(職員マスタ!$G$6:$G$405,$AP1609)&lt;&gt;"",$L1609&lt;&gt;INDEX(職員マスタ!$G$6:$G$405,$AP1609)),"時短開始日がマスタと相違／","")&amp;IF(AND($M1609&lt;&gt;"",INDEX(職員マスタ!$H$6:$H$405,$AP1609)&lt;&gt;"",$M1609&lt;&gt;INDEX(職員マスタ!$H$6:$H$405,$AP1609)),"時短終了日がマスタと相違／","")))&amp;IF(AND($B1609&lt;&gt;"",$E1609=""),"報酬額が未入力／","")&amp;IF(N($U1609)&gt;0,"申請書に入力エラーが残っています／","")&amp;IF(AND($B1609&lt;&gt;"",$AQ1609&lt;&gt;""),IF(COUNTIFS($B$6:$B$3005,$B1609,$C$6:$C$3005,$C1609,$D$6:$D$3005,$D1609)&gt;1,"同じ月の請求が重複しています／",""),"")&amp;IF(AND(N($E1609)&gt;0,$AB1609&lt;&gt;"",$AB1609&lt;&gt;"×",$AE1609=0,$AD1609=""),"計算額が下限以下のため不支給／",""))</f>
        <v/>
      </c>
      <c r="AN1609" s="12" t="n"/>
      <c r="AO1609" s="14">
        <f>IF($AF1609="保留中",COUNTIF($AF$6:$AF1609,"保留中"),"")</f>
        <v/>
      </c>
      <c r="AP1609" s="14">
        <f>IF($AQ1609="","",IF(SUMPRODUCT(MAX((職員マスタ!$A$6:$A$405=$B1609)*(((職員マスタ!$G$6:$G$405="")+(職員マスタ!$G$6:$G$405&lt;=EOMONTH($AQ1609,0)))&gt;0)*(((職員マスタ!$H$6:$H$405="")+(職員マスタ!$H$6:$H$405&gt;=$AQ1609))&gt;0)*(ROW(職員マスタ!$A$6:$A$405)-5)))&gt;0,SUMPRODUCT(MAX((職員マスタ!$A$6:$A$405=$B1609)*(((職員マスタ!$G$6:$G$405="")+(職員マスタ!$G$6:$G$405&lt;=EOMONTH($AQ1609,0)))&gt;0)*(((職員マスタ!$H$6:$H$405="")+(職員マスタ!$H$6:$H$405&gt;=$AQ1609))&gt;0)*(ROW(職員マスタ!$A$6:$A$405)-5))),IFERROR(MATCH($B1609,職員マスタ!$A$6:$A$405,0),"")))</f>
        <v/>
      </c>
      <c r="AQ1609" s="16">
        <f>IF(OR($B1609="",$C1609="",$D1609=""),"",DATE($C1609+2018,$D1609,1))</f>
        <v/>
      </c>
    </row>
    <row r="1610">
      <c r="A1610" s="11" t="n"/>
      <c r="B1610" s="12" t="n"/>
      <c r="C1610" s="12" t="n"/>
      <c r="D1610" s="12" t="n"/>
      <c r="E1610" s="13" t="n"/>
      <c r="F1610" s="12" t="n"/>
      <c r="G1610" s="13" t="n"/>
      <c r="H1610" s="12" t="n"/>
      <c r="I1610" s="12" t="n"/>
      <c r="J1610" s="12" t="n"/>
      <c r="K1610" s="12" t="n"/>
      <c r="L1610" s="11" t="n"/>
      <c r="M1610" s="11" t="n"/>
      <c r="N1610" s="11" t="n"/>
      <c r="O1610" s="11" t="n"/>
      <c r="P1610" s="12" t="n"/>
      <c r="Q1610" s="11" t="n"/>
      <c r="R1610" s="12" t="n"/>
      <c r="S1610" s="11" t="n"/>
      <c r="T1610" s="12" t="n"/>
      <c r="U1610" s="12" t="n"/>
      <c r="V1610" s="12" t="n"/>
      <c r="W1610" s="13" t="n"/>
      <c r="X1610" s="14">
        <f>IF($AP1610="",IF($B1610="","",$H1610),IF(INDEX(職員マスタ!$B$6:$B$405,$AP1610)="",$H1610,INDEX(職員マスタ!$B$6:$B$405,$AP1610)))</f>
        <v/>
      </c>
      <c r="Y1610" s="14">
        <f>IF($AP1610="",IF($B1610="","",$R1610),IF(INDEX(職員マスタ!$C$6:$C$405,$AP1610)="",$R1610,INDEX(職員マスタ!$C$6:$C$405,$AP1610)))</f>
        <v/>
      </c>
      <c r="Z1610" s="14">
        <f>IF($AQ1610="","","R"&amp;$C1610&amp;"."&amp;$D1610)</f>
        <v/>
      </c>
      <c r="AA1610" s="15">
        <f>IF(IF($AP1610="",FALSE,INDEX(職員マスタ!$K$6:$K$405,$AP1610)&lt;&gt;""),INDEX(職員マスタ!$K$6:$K$405,$AP1610),IF(N($W1610)&gt;0,$W1610,""))</f>
        <v/>
      </c>
      <c r="AB1610" s="14">
        <f>IF(OR($E1610="",$AA1610=""),"",IF($E1610&gt;=$AA1610,"×",IF($E1610&gt;=$AA1610*設定!$C$5,"△","○")))</f>
        <v/>
      </c>
      <c r="AC1610" s="15">
        <f>IF($AB1610="","",IF($AB1610="×",0,IF($AB1610="○",ROUNDDOWN($E1610*設定!$C$4,0),ROUNDDOWN($E1610*ROUND((9*$AA1610-9*$E1610)/(10*$E1610),4),0))))</f>
        <v/>
      </c>
      <c r="AD1610" s="13" t="n"/>
      <c r="AE1610" s="15">
        <f>IF($B1610="","",IF($AD1610&lt;&gt;"",$AD1610,IF($AC1610="","",IF($AC1610&lt;=設定!$C$3,0,$AC1610))))</f>
        <v/>
      </c>
      <c r="AF1610" s="14">
        <f>IF($B1610="","",IF(AND($AG1610&lt;&gt;"",$AI1610="",$AL1610=""),"保留中",IF($AL1610&lt;&gt;"",IF(N($AE1610)&gt;0,"支給済","不支給"),IF($AE1610="","要確認",IF($AE1610=0,"不支給","未処理")))))</f>
        <v/>
      </c>
      <c r="AG1610" s="12" t="n"/>
      <c r="AH1610" s="11" t="n"/>
      <c r="AI1610" s="11" t="n"/>
      <c r="AJ1610" s="11" t="n"/>
      <c r="AK1610" s="14">
        <f>IF(AND($AF1610="保留中",$AH1610&lt;&gt;""),TODAY()-$AH1610,"")</f>
        <v/>
      </c>
      <c r="AL1610" s="12" t="n"/>
      <c r="AM1610" s="14">
        <f>IF($B1610="","",IF($AQ1610="","対象年月が未入力／","")&amp;IF($B1610="","",IF($AP1610="","職員マスタに未登録の職員番号／",IF($AA1610="","標準報酬月額が未登録／","")&amp;IF(AND($AQ1610&lt;&gt;"",OR(AND(INDEX(職員マスタ!$G$6:$G$405,$AP1610)&lt;&gt;"",INDEX(職員マスタ!$G$6:$G$405,$AP1610)&gt;EOMONTH($AQ1610,0)),AND(INDEX(職員マスタ!$H$6:$H$405,$AP1610)&lt;&gt;"",INDEX(職員マスタ!$H$6:$H$405,$AP1610)&lt;$AQ1610))),"対象月が時短期間外／","")&amp;IF(AND(INDEX(職員マスタ!$K$6:$K$405,$AP1610)&lt;&gt;"",N($W1610)&gt;0,INDEX(職員マスタ!$K$6:$K$405,$AP1610)&lt;&gt;$W1610),"標準報酬月額が申請書と相違（台帳"&amp;TEXT(INDEX(職員マスタ!$K$6:$K$405,$AP1610),"#,##0")&amp;"円／申請書"&amp;TEXT($W1610,"#,##0")&amp;"円）／","")&amp;IF(AND(INDEX(職員マスタ!$F$6:$F$405,$AP1610)&lt;&gt;"",$AQ1610&lt;&gt;"",INDEX(職員マスタ!$F$6:$F$405,$AP1610)&lt;$AQ1610),"対象月に子が2歳到達済／","")&amp;IF(AND($H1610&lt;&gt;"",INDEX(職員マスタ!$B$6:$B$405,$AP1610)&lt;&gt;"",SUBSTITUTE(SUBSTITUTE($H1610," ","")," ","")&lt;&gt;SUBSTITUTE(SUBSTITUTE(INDEX(職員マスタ!$B$6:$B$405,$AP1610)," ","")," ","")),"氏名がマスタと相違／","")&amp;IF(AND($Q1610&lt;&gt;"",INDEX(職員マスタ!$E$6:$E$405,$AP1610)&lt;&gt;"",$Q1610&lt;&gt;INDEX(職員マスタ!$E$6:$E$405,$AP1610)),"子の生年月日がマスタと相違／","")&amp;IF(AND($L1610&lt;&gt;"",INDEX(職員マスタ!$G$6:$G$405,$AP1610)&lt;&gt;"",$L1610&lt;&gt;INDEX(職員マスタ!$G$6:$G$405,$AP1610)),"時短開始日がマスタと相違／","")&amp;IF(AND($M1610&lt;&gt;"",INDEX(職員マスタ!$H$6:$H$405,$AP1610)&lt;&gt;"",$M1610&lt;&gt;INDEX(職員マスタ!$H$6:$H$405,$AP1610)),"時短終了日がマスタと相違／","")))&amp;IF(AND($B1610&lt;&gt;"",$E1610=""),"報酬額が未入力／","")&amp;IF(N($U1610)&gt;0,"申請書に入力エラーが残っています／","")&amp;IF(AND($B1610&lt;&gt;"",$AQ1610&lt;&gt;""),IF(COUNTIFS($B$6:$B$3005,$B1610,$C$6:$C$3005,$C1610,$D$6:$D$3005,$D1610)&gt;1,"同じ月の請求が重複しています／",""),"")&amp;IF(AND(N($E1610)&gt;0,$AB1610&lt;&gt;"",$AB1610&lt;&gt;"×",$AE1610=0,$AD1610=""),"計算額が下限以下のため不支給／",""))</f>
        <v/>
      </c>
      <c r="AN1610" s="12" t="n"/>
      <c r="AO1610" s="14">
        <f>IF($AF1610="保留中",COUNTIF($AF$6:$AF1610,"保留中"),"")</f>
        <v/>
      </c>
      <c r="AP1610" s="14">
        <f>IF($AQ1610="","",IF(SUMPRODUCT(MAX((職員マスタ!$A$6:$A$405=$B1610)*(((職員マスタ!$G$6:$G$405="")+(職員マスタ!$G$6:$G$405&lt;=EOMONTH($AQ1610,0)))&gt;0)*(((職員マスタ!$H$6:$H$405="")+(職員マスタ!$H$6:$H$405&gt;=$AQ1610))&gt;0)*(ROW(職員マスタ!$A$6:$A$405)-5)))&gt;0,SUMPRODUCT(MAX((職員マスタ!$A$6:$A$405=$B1610)*(((職員マスタ!$G$6:$G$405="")+(職員マスタ!$G$6:$G$405&lt;=EOMONTH($AQ1610,0)))&gt;0)*(((職員マスタ!$H$6:$H$405="")+(職員マスタ!$H$6:$H$405&gt;=$AQ1610))&gt;0)*(ROW(職員マスタ!$A$6:$A$405)-5))),IFERROR(MATCH($B1610,職員マスタ!$A$6:$A$405,0),"")))</f>
        <v/>
      </c>
      <c r="AQ1610" s="16">
        <f>IF(OR($B1610="",$C1610="",$D1610=""),"",DATE($C1610+2018,$D1610,1))</f>
        <v/>
      </c>
    </row>
    <row r="1611">
      <c r="A1611" s="11" t="n"/>
      <c r="B1611" s="12" t="n"/>
      <c r="C1611" s="12" t="n"/>
      <c r="D1611" s="12" t="n"/>
      <c r="E1611" s="13" t="n"/>
      <c r="F1611" s="12" t="n"/>
      <c r="G1611" s="13" t="n"/>
      <c r="H1611" s="12" t="n"/>
      <c r="I1611" s="12" t="n"/>
      <c r="J1611" s="12" t="n"/>
      <c r="K1611" s="12" t="n"/>
      <c r="L1611" s="11" t="n"/>
      <c r="M1611" s="11" t="n"/>
      <c r="N1611" s="11" t="n"/>
      <c r="O1611" s="11" t="n"/>
      <c r="P1611" s="12" t="n"/>
      <c r="Q1611" s="11" t="n"/>
      <c r="R1611" s="12" t="n"/>
      <c r="S1611" s="11" t="n"/>
      <c r="T1611" s="12" t="n"/>
      <c r="U1611" s="12" t="n"/>
      <c r="V1611" s="12" t="n"/>
      <c r="W1611" s="13" t="n"/>
      <c r="X1611" s="14">
        <f>IF($AP1611="",IF($B1611="","",$H1611),IF(INDEX(職員マスタ!$B$6:$B$405,$AP1611)="",$H1611,INDEX(職員マスタ!$B$6:$B$405,$AP1611)))</f>
        <v/>
      </c>
      <c r="Y1611" s="14">
        <f>IF($AP1611="",IF($B1611="","",$R1611),IF(INDEX(職員マスタ!$C$6:$C$405,$AP1611)="",$R1611,INDEX(職員マスタ!$C$6:$C$405,$AP1611)))</f>
        <v/>
      </c>
      <c r="Z1611" s="14">
        <f>IF($AQ1611="","","R"&amp;$C1611&amp;"."&amp;$D1611)</f>
        <v/>
      </c>
      <c r="AA1611" s="15">
        <f>IF(IF($AP1611="",FALSE,INDEX(職員マスタ!$K$6:$K$405,$AP1611)&lt;&gt;""),INDEX(職員マスタ!$K$6:$K$405,$AP1611),IF(N($W1611)&gt;0,$W1611,""))</f>
        <v/>
      </c>
      <c r="AB1611" s="14">
        <f>IF(OR($E1611="",$AA1611=""),"",IF($E1611&gt;=$AA1611,"×",IF($E1611&gt;=$AA1611*設定!$C$5,"△","○")))</f>
        <v/>
      </c>
      <c r="AC1611" s="15">
        <f>IF($AB1611="","",IF($AB1611="×",0,IF($AB1611="○",ROUNDDOWN($E1611*設定!$C$4,0),ROUNDDOWN($E1611*ROUND((9*$AA1611-9*$E1611)/(10*$E1611),4),0))))</f>
        <v/>
      </c>
      <c r="AD1611" s="13" t="n"/>
      <c r="AE1611" s="15">
        <f>IF($B1611="","",IF($AD1611&lt;&gt;"",$AD1611,IF($AC1611="","",IF($AC1611&lt;=設定!$C$3,0,$AC1611))))</f>
        <v/>
      </c>
      <c r="AF1611" s="14">
        <f>IF($B1611="","",IF(AND($AG1611&lt;&gt;"",$AI1611="",$AL1611=""),"保留中",IF($AL1611&lt;&gt;"",IF(N($AE1611)&gt;0,"支給済","不支給"),IF($AE1611="","要確認",IF($AE1611=0,"不支給","未処理")))))</f>
        <v/>
      </c>
      <c r="AG1611" s="12" t="n"/>
      <c r="AH1611" s="11" t="n"/>
      <c r="AI1611" s="11" t="n"/>
      <c r="AJ1611" s="11" t="n"/>
      <c r="AK1611" s="14">
        <f>IF(AND($AF1611="保留中",$AH1611&lt;&gt;""),TODAY()-$AH1611,"")</f>
        <v/>
      </c>
      <c r="AL1611" s="12" t="n"/>
      <c r="AM1611" s="14">
        <f>IF($B1611="","",IF($AQ1611="","対象年月が未入力／","")&amp;IF($B1611="","",IF($AP1611="","職員マスタに未登録の職員番号／",IF($AA1611="","標準報酬月額が未登録／","")&amp;IF(AND($AQ1611&lt;&gt;"",OR(AND(INDEX(職員マスタ!$G$6:$G$405,$AP1611)&lt;&gt;"",INDEX(職員マスタ!$G$6:$G$405,$AP1611)&gt;EOMONTH($AQ1611,0)),AND(INDEX(職員マスタ!$H$6:$H$405,$AP1611)&lt;&gt;"",INDEX(職員マスタ!$H$6:$H$405,$AP1611)&lt;$AQ1611))),"対象月が時短期間外／","")&amp;IF(AND(INDEX(職員マスタ!$K$6:$K$405,$AP1611)&lt;&gt;"",N($W1611)&gt;0,INDEX(職員マスタ!$K$6:$K$405,$AP1611)&lt;&gt;$W1611),"標準報酬月額が申請書と相違（台帳"&amp;TEXT(INDEX(職員マスタ!$K$6:$K$405,$AP1611),"#,##0")&amp;"円／申請書"&amp;TEXT($W1611,"#,##0")&amp;"円）／","")&amp;IF(AND(INDEX(職員マスタ!$F$6:$F$405,$AP1611)&lt;&gt;"",$AQ1611&lt;&gt;"",INDEX(職員マスタ!$F$6:$F$405,$AP1611)&lt;$AQ1611),"対象月に子が2歳到達済／","")&amp;IF(AND($H1611&lt;&gt;"",INDEX(職員マスタ!$B$6:$B$405,$AP1611)&lt;&gt;"",SUBSTITUTE(SUBSTITUTE($H1611," ","")," ","")&lt;&gt;SUBSTITUTE(SUBSTITUTE(INDEX(職員マスタ!$B$6:$B$405,$AP1611)," ","")," ","")),"氏名がマスタと相違／","")&amp;IF(AND($Q1611&lt;&gt;"",INDEX(職員マスタ!$E$6:$E$405,$AP1611)&lt;&gt;"",$Q1611&lt;&gt;INDEX(職員マスタ!$E$6:$E$405,$AP1611)),"子の生年月日がマスタと相違／","")&amp;IF(AND($L1611&lt;&gt;"",INDEX(職員マスタ!$G$6:$G$405,$AP1611)&lt;&gt;"",$L1611&lt;&gt;INDEX(職員マスタ!$G$6:$G$405,$AP1611)),"時短開始日がマスタと相違／","")&amp;IF(AND($M1611&lt;&gt;"",INDEX(職員マスタ!$H$6:$H$405,$AP1611)&lt;&gt;"",$M1611&lt;&gt;INDEX(職員マスタ!$H$6:$H$405,$AP1611)),"時短終了日がマスタと相違／","")))&amp;IF(AND($B1611&lt;&gt;"",$E1611=""),"報酬額が未入力／","")&amp;IF(N($U1611)&gt;0,"申請書に入力エラーが残っています／","")&amp;IF(AND($B1611&lt;&gt;"",$AQ1611&lt;&gt;""),IF(COUNTIFS($B$6:$B$3005,$B1611,$C$6:$C$3005,$C1611,$D$6:$D$3005,$D1611)&gt;1,"同じ月の請求が重複しています／",""),"")&amp;IF(AND(N($E1611)&gt;0,$AB1611&lt;&gt;"",$AB1611&lt;&gt;"×",$AE1611=0,$AD1611=""),"計算額が下限以下のため不支給／",""))</f>
        <v/>
      </c>
      <c r="AN1611" s="12" t="n"/>
      <c r="AO1611" s="14">
        <f>IF($AF1611="保留中",COUNTIF($AF$6:$AF1611,"保留中"),"")</f>
        <v/>
      </c>
      <c r="AP1611" s="14">
        <f>IF($AQ1611="","",IF(SUMPRODUCT(MAX((職員マスタ!$A$6:$A$405=$B1611)*(((職員マスタ!$G$6:$G$405="")+(職員マスタ!$G$6:$G$405&lt;=EOMONTH($AQ1611,0)))&gt;0)*(((職員マスタ!$H$6:$H$405="")+(職員マスタ!$H$6:$H$405&gt;=$AQ1611))&gt;0)*(ROW(職員マスタ!$A$6:$A$405)-5)))&gt;0,SUMPRODUCT(MAX((職員マスタ!$A$6:$A$405=$B1611)*(((職員マスタ!$G$6:$G$405="")+(職員マスタ!$G$6:$G$405&lt;=EOMONTH($AQ1611,0)))&gt;0)*(((職員マスタ!$H$6:$H$405="")+(職員マスタ!$H$6:$H$405&gt;=$AQ1611))&gt;0)*(ROW(職員マスタ!$A$6:$A$405)-5))),IFERROR(MATCH($B1611,職員マスタ!$A$6:$A$405,0),"")))</f>
        <v/>
      </c>
      <c r="AQ1611" s="16">
        <f>IF(OR($B1611="",$C1611="",$D1611=""),"",DATE($C1611+2018,$D1611,1))</f>
        <v/>
      </c>
    </row>
    <row r="1612">
      <c r="A1612" s="11" t="n"/>
      <c r="B1612" s="12" t="n"/>
      <c r="C1612" s="12" t="n"/>
      <c r="D1612" s="12" t="n"/>
      <c r="E1612" s="13" t="n"/>
      <c r="F1612" s="12" t="n"/>
      <c r="G1612" s="13" t="n"/>
      <c r="H1612" s="12" t="n"/>
      <c r="I1612" s="12" t="n"/>
      <c r="J1612" s="12" t="n"/>
      <c r="K1612" s="12" t="n"/>
      <c r="L1612" s="11" t="n"/>
      <c r="M1612" s="11" t="n"/>
      <c r="N1612" s="11" t="n"/>
      <c r="O1612" s="11" t="n"/>
      <c r="P1612" s="12" t="n"/>
      <c r="Q1612" s="11" t="n"/>
      <c r="R1612" s="12" t="n"/>
      <c r="S1612" s="11" t="n"/>
      <c r="T1612" s="12" t="n"/>
      <c r="U1612" s="12" t="n"/>
      <c r="V1612" s="12" t="n"/>
      <c r="W1612" s="13" t="n"/>
      <c r="X1612" s="14">
        <f>IF($AP1612="",IF($B1612="","",$H1612),IF(INDEX(職員マスタ!$B$6:$B$405,$AP1612)="",$H1612,INDEX(職員マスタ!$B$6:$B$405,$AP1612)))</f>
        <v/>
      </c>
      <c r="Y1612" s="14">
        <f>IF($AP1612="",IF($B1612="","",$R1612),IF(INDEX(職員マスタ!$C$6:$C$405,$AP1612)="",$R1612,INDEX(職員マスタ!$C$6:$C$405,$AP1612)))</f>
        <v/>
      </c>
      <c r="Z1612" s="14">
        <f>IF($AQ1612="","","R"&amp;$C1612&amp;"."&amp;$D1612)</f>
        <v/>
      </c>
      <c r="AA1612" s="15">
        <f>IF(IF($AP1612="",FALSE,INDEX(職員マスタ!$K$6:$K$405,$AP1612)&lt;&gt;""),INDEX(職員マスタ!$K$6:$K$405,$AP1612),IF(N($W1612)&gt;0,$W1612,""))</f>
        <v/>
      </c>
      <c r="AB1612" s="14">
        <f>IF(OR($E1612="",$AA1612=""),"",IF($E1612&gt;=$AA1612,"×",IF($E1612&gt;=$AA1612*設定!$C$5,"△","○")))</f>
        <v/>
      </c>
      <c r="AC1612" s="15">
        <f>IF($AB1612="","",IF($AB1612="×",0,IF($AB1612="○",ROUNDDOWN($E1612*設定!$C$4,0),ROUNDDOWN($E1612*ROUND((9*$AA1612-9*$E1612)/(10*$E1612),4),0))))</f>
        <v/>
      </c>
      <c r="AD1612" s="13" t="n"/>
      <c r="AE1612" s="15">
        <f>IF($B1612="","",IF($AD1612&lt;&gt;"",$AD1612,IF($AC1612="","",IF($AC1612&lt;=設定!$C$3,0,$AC1612))))</f>
        <v/>
      </c>
      <c r="AF1612" s="14">
        <f>IF($B1612="","",IF(AND($AG1612&lt;&gt;"",$AI1612="",$AL1612=""),"保留中",IF($AL1612&lt;&gt;"",IF(N($AE1612)&gt;0,"支給済","不支給"),IF($AE1612="","要確認",IF($AE1612=0,"不支給","未処理")))))</f>
        <v/>
      </c>
      <c r="AG1612" s="12" t="n"/>
      <c r="AH1612" s="11" t="n"/>
      <c r="AI1612" s="11" t="n"/>
      <c r="AJ1612" s="11" t="n"/>
      <c r="AK1612" s="14">
        <f>IF(AND($AF1612="保留中",$AH1612&lt;&gt;""),TODAY()-$AH1612,"")</f>
        <v/>
      </c>
      <c r="AL1612" s="12" t="n"/>
      <c r="AM1612" s="14">
        <f>IF($B1612="","",IF($AQ1612="","対象年月が未入力／","")&amp;IF($B1612="","",IF($AP1612="","職員マスタに未登録の職員番号／",IF($AA1612="","標準報酬月額が未登録／","")&amp;IF(AND($AQ1612&lt;&gt;"",OR(AND(INDEX(職員マスタ!$G$6:$G$405,$AP1612)&lt;&gt;"",INDEX(職員マスタ!$G$6:$G$405,$AP1612)&gt;EOMONTH($AQ1612,0)),AND(INDEX(職員マスタ!$H$6:$H$405,$AP1612)&lt;&gt;"",INDEX(職員マスタ!$H$6:$H$405,$AP1612)&lt;$AQ1612))),"対象月が時短期間外／","")&amp;IF(AND(INDEX(職員マスタ!$K$6:$K$405,$AP1612)&lt;&gt;"",N($W1612)&gt;0,INDEX(職員マスタ!$K$6:$K$405,$AP1612)&lt;&gt;$W1612),"標準報酬月額が申請書と相違（台帳"&amp;TEXT(INDEX(職員マスタ!$K$6:$K$405,$AP1612),"#,##0")&amp;"円／申請書"&amp;TEXT($W1612,"#,##0")&amp;"円）／","")&amp;IF(AND(INDEX(職員マスタ!$F$6:$F$405,$AP1612)&lt;&gt;"",$AQ1612&lt;&gt;"",INDEX(職員マスタ!$F$6:$F$405,$AP1612)&lt;$AQ1612),"対象月に子が2歳到達済／","")&amp;IF(AND($H1612&lt;&gt;"",INDEX(職員マスタ!$B$6:$B$405,$AP1612)&lt;&gt;"",SUBSTITUTE(SUBSTITUTE($H1612," ","")," ","")&lt;&gt;SUBSTITUTE(SUBSTITUTE(INDEX(職員マスタ!$B$6:$B$405,$AP1612)," ","")," ","")),"氏名がマスタと相違／","")&amp;IF(AND($Q1612&lt;&gt;"",INDEX(職員マスタ!$E$6:$E$405,$AP1612)&lt;&gt;"",$Q1612&lt;&gt;INDEX(職員マスタ!$E$6:$E$405,$AP1612)),"子の生年月日がマスタと相違／","")&amp;IF(AND($L1612&lt;&gt;"",INDEX(職員マスタ!$G$6:$G$405,$AP1612)&lt;&gt;"",$L1612&lt;&gt;INDEX(職員マスタ!$G$6:$G$405,$AP1612)),"時短開始日がマスタと相違／","")&amp;IF(AND($M1612&lt;&gt;"",INDEX(職員マスタ!$H$6:$H$405,$AP1612)&lt;&gt;"",$M1612&lt;&gt;INDEX(職員マスタ!$H$6:$H$405,$AP1612)),"時短終了日がマスタと相違／","")))&amp;IF(AND($B1612&lt;&gt;"",$E1612=""),"報酬額が未入力／","")&amp;IF(N($U1612)&gt;0,"申請書に入力エラーが残っています／","")&amp;IF(AND($B1612&lt;&gt;"",$AQ1612&lt;&gt;""),IF(COUNTIFS($B$6:$B$3005,$B1612,$C$6:$C$3005,$C1612,$D$6:$D$3005,$D1612)&gt;1,"同じ月の請求が重複しています／",""),"")&amp;IF(AND(N($E1612)&gt;0,$AB1612&lt;&gt;"",$AB1612&lt;&gt;"×",$AE1612=0,$AD1612=""),"計算額が下限以下のため不支給／",""))</f>
        <v/>
      </c>
      <c r="AN1612" s="12" t="n"/>
      <c r="AO1612" s="14">
        <f>IF($AF1612="保留中",COUNTIF($AF$6:$AF1612,"保留中"),"")</f>
        <v/>
      </c>
      <c r="AP1612" s="14">
        <f>IF($AQ1612="","",IF(SUMPRODUCT(MAX((職員マスタ!$A$6:$A$405=$B1612)*(((職員マスタ!$G$6:$G$405="")+(職員マスタ!$G$6:$G$405&lt;=EOMONTH($AQ1612,0)))&gt;0)*(((職員マスタ!$H$6:$H$405="")+(職員マスタ!$H$6:$H$405&gt;=$AQ1612))&gt;0)*(ROW(職員マスタ!$A$6:$A$405)-5)))&gt;0,SUMPRODUCT(MAX((職員マスタ!$A$6:$A$405=$B1612)*(((職員マスタ!$G$6:$G$405="")+(職員マスタ!$G$6:$G$405&lt;=EOMONTH($AQ1612,0)))&gt;0)*(((職員マスタ!$H$6:$H$405="")+(職員マスタ!$H$6:$H$405&gt;=$AQ1612))&gt;0)*(ROW(職員マスタ!$A$6:$A$405)-5))),IFERROR(MATCH($B1612,職員マスタ!$A$6:$A$405,0),"")))</f>
        <v/>
      </c>
      <c r="AQ1612" s="16">
        <f>IF(OR($B1612="",$C1612="",$D1612=""),"",DATE($C1612+2018,$D1612,1))</f>
        <v/>
      </c>
    </row>
    <row r="1613">
      <c r="A1613" s="11" t="n"/>
      <c r="B1613" s="12" t="n"/>
      <c r="C1613" s="12" t="n"/>
      <c r="D1613" s="12" t="n"/>
      <c r="E1613" s="13" t="n"/>
      <c r="F1613" s="12" t="n"/>
      <c r="G1613" s="13" t="n"/>
      <c r="H1613" s="12" t="n"/>
      <c r="I1613" s="12" t="n"/>
      <c r="J1613" s="12" t="n"/>
      <c r="K1613" s="12" t="n"/>
      <c r="L1613" s="11" t="n"/>
      <c r="M1613" s="11" t="n"/>
      <c r="N1613" s="11" t="n"/>
      <c r="O1613" s="11" t="n"/>
      <c r="P1613" s="12" t="n"/>
      <c r="Q1613" s="11" t="n"/>
      <c r="R1613" s="12" t="n"/>
      <c r="S1613" s="11" t="n"/>
      <c r="T1613" s="12" t="n"/>
      <c r="U1613" s="12" t="n"/>
      <c r="V1613" s="12" t="n"/>
      <c r="W1613" s="13" t="n"/>
      <c r="X1613" s="14">
        <f>IF($AP1613="",IF($B1613="","",$H1613),IF(INDEX(職員マスタ!$B$6:$B$405,$AP1613)="",$H1613,INDEX(職員マスタ!$B$6:$B$405,$AP1613)))</f>
        <v/>
      </c>
      <c r="Y1613" s="14">
        <f>IF($AP1613="",IF($B1613="","",$R1613),IF(INDEX(職員マスタ!$C$6:$C$405,$AP1613)="",$R1613,INDEX(職員マスタ!$C$6:$C$405,$AP1613)))</f>
        <v/>
      </c>
      <c r="Z1613" s="14">
        <f>IF($AQ1613="","","R"&amp;$C1613&amp;"."&amp;$D1613)</f>
        <v/>
      </c>
      <c r="AA1613" s="15">
        <f>IF(IF($AP1613="",FALSE,INDEX(職員マスタ!$K$6:$K$405,$AP1613)&lt;&gt;""),INDEX(職員マスタ!$K$6:$K$405,$AP1613),IF(N($W1613)&gt;0,$W1613,""))</f>
        <v/>
      </c>
      <c r="AB1613" s="14">
        <f>IF(OR($E1613="",$AA1613=""),"",IF($E1613&gt;=$AA1613,"×",IF($E1613&gt;=$AA1613*設定!$C$5,"△","○")))</f>
        <v/>
      </c>
      <c r="AC1613" s="15">
        <f>IF($AB1613="","",IF($AB1613="×",0,IF($AB1613="○",ROUNDDOWN($E1613*設定!$C$4,0),ROUNDDOWN($E1613*ROUND((9*$AA1613-9*$E1613)/(10*$E1613),4),0))))</f>
        <v/>
      </c>
      <c r="AD1613" s="13" t="n"/>
      <c r="AE1613" s="15">
        <f>IF($B1613="","",IF($AD1613&lt;&gt;"",$AD1613,IF($AC1613="","",IF($AC1613&lt;=設定!$C$3,0,$AC1613))))</f>
        <v/>
      </c>
      <c r="AF1613" s="14">
        <f>IF($B1613="","",IF(AND($AG1613&lt;&gt;"",$AI1613="",$AL1613=""),"保留中",IF($AL1613&lt;&gt;"",IF(N($AE1613)&gt;0,"支給済","不支給"),IF($AE1613="","要確認",IF($AE1613=0,"不支給","未処理")))))</f>
        <v/>
      </c>
      <c r="AG1613" s="12" t="n"/>
      <c r="AH1613" s="11" t="n"/>
      <c r="AI1613" s="11" t="n"/>
      <c r="AJ1613" s="11" t="n"/>
      <c r="AK1613" s="14">
        <f>IF(AND($AF1613="保留中",$AH1613&lt;&gt;""),TODAY()-$AH1613,"")</f>
        <v/>
      </c>
      <c r="AL1613" s="12" t="n"/>
      <c r="AM1613" s="14">
        <f>IF($B1613="","",IF($AQ1613="","対象年月が未入力／","")&amp;IF($B1613="","",IF($AP1613="","職員マスタに未登録の職員番号／",IF($AA1613="","標準報酬月額が未登録／","")&amp;IF(AND($AQ1613&lt;&gt;"",OR(AND(INDEX(職員マスタ!$G$6:$G$405,$AP1613)&lt;&gt;"",INDEX(職員マスタ!$G$6:$G$405,$AP1613)&gt;EOMONTH($AQ1613,0)),AND(INDEX(職員マスタ!$H$6:$H$405,$AP1613)&lt;&gt;"",INDEX(職員マスタ!$H$6:$H$405,$AP1613)&lt;$AQ1613))),"対象月が時短期間外／","")&amp;IF(AND(INDEX(職員マスタ!$K$6:$K$405,$AP1613)&lt;&gt;"",N($W1613)&gt;0,INDEX(職員マスタ!$K$6:$K$405,$AP1613)&lt;&gt;$W1613),"標準報酬月額が申請書と相違（台帳"&amp;TEXT(INDEX(職員マスタ!$K$6:$K$405,$AP1613),"#,##0")&amp;"円／申請書"&amp;TEXT($W1613,"#,##0")&amp;"円）／","")&amp;IF(AND(INDEX(職員マスタ!$F$6:$F$405,$AP1613)&lt;&gt;"",$AQ1613&lt;&gt;"",INDEX(職員マスタ!$F$6:$F$405,$AP1613)&lt;$AQ1613),"対象月に子が2歳到達済／","")&amp;IF(AND($H1613&lt;&gt;"",INDEX(職員マスタ!$B$6:$B$405,$AP1613)&lt;&gt;"",SUBSTITUTE(SUBSTITUTE($H1613," ","")," ","")&lt;&gt;SUBSTITUTE(SUBSTITUTE(INDEX(職員マスタ!$B$6:$B$405,$AP1613)," ","")," ","")),"氏名がマスタと相違／","")&amp;IF(AND($Q1613&lt;&gt;"",INDEX(職員マスタ!$E$6:$E$405,$AP1613)&lt;&gt;"",$Q1613&lt;&gt;INDEX(職員マスタ!$E$6:$E$405,$AP1613)),"子の生年月日がマスタと相違／","")&amp;IF(AND($L1613&lt;&gt;"",INDEX(職員マスタ!$G$6:$G$405,$AP1613)&lt;&gt;"",$L1613&lt;&gt;INDEX(職員マスタ!$G$6:$G$405,$AP1613)),"時短開始日がマスタと相違／","")&amp;IF(AND($M1613&lt;&gt;"",INDEX(職員マスタ!$H$6:$H$405,$AP1613)&lt;&gt;"",$M1613&lt;&gt;INDEX(職員マスタ!$H$6:$H$405,$AP1613)),"時短終了日がマスタと相違／","")))&amp;IF(AND($B1613&lt;&gt;"",$E1613=""),"報酬額が未入力／","")&amp;IF(N($U1613)&gt;0,"申請書に入力エラーが残っています／","")&amp;IF(AND($B1613&lt;&gt;"",$AQ1613&lt;&gt;""),IF(COUNTIFS($B$6:$B$3005,$B1613,$C$6:$C$3005,$C1613,$D$6:$D$3005,$D1613)&gt;1,"同じ月の請求が重複しています／",""),"")&amp;IF(AND(N($E1613)&gt;0,$AB1613&lt;&gt;"",$AB1613&lt;&gt;"×",$AE1613=0,$AD1613=""),"計算額が下限以下のため不支給／",""))</f>
        <v/>
      </c>
      <c r="AN1613" s="12" t="n"/>
      <c r="AO1613" s="14">
        <f>IF($AF1613="保留中",COUNTIF($AF$6:$AF1613,"保留中"),"")</f>
        <v/>
      </c>
      <c r="AP1613" s="14">
        <f>IF($AQ1613="","",IF(SUMPRODUCT(MAX((職員マスタ!$A$6:$A$405=$B1613)*(((職員マスタ!$G$6:$G$405="")+(職員マスタ!$G$6:$G$405&lt;=EOMONTH($AQ1613,0)))&gt;0)*(((職員マスタ!$H$6:$H$405="")+(職員マスタ!$H$6:$H$405&gt;=$AQ1613))&gt;0)*(ROW(職員マスタ!$A$6:$A$405)-5)))&gt;0,SUMPRODUCT(MAX((職員マスタ!$A$6:$A$405=$B1613)*(((職員マスタ!$G$6:$G$405="")+(職員マスタ!$G$6:$G$405&lt;=EOMONTH($AQ1613,0)))&gt;0)*(((職員マスタ!$H$6:$H$405="")+(職員マスタ!$H$6:$H$405&gt;=$AQ1613))&gt;0)*(ROW(職員マスタ!$A$6:$A$405)-5))),IFERROR(MATCH($B1613,職員マスタ!$A$6:$A$405,0),"")))</f>
        <v/>
      </c>
      <c r="AQ1613" s="16">
        <f>IF(OR($B1613="",$C1613="",$D1613=""),"",DATE($C1613+2018,$D1613,1))</f>
        <v/>
      </c>
    </row>
    <row r="1614">
      <c r="A1614" s="11" t="n"/>
      <c r="B1614" s="12" t="n"/>
      <c r="C1614" s="12" t="n"/>
      <c r="D1614" s="12" t="n"/>
      <c r="E1614" s="13" t="n"/>
      <c r="F1614" s="12" t="n"/>
      <c r="G1614" s="13" t="n"/>
      <c r="H1614" s="12" t="n"/>
      <c r="I1614" s="12" t="n"/>
      <c r="J1614" s="12" t="n"/>
      <c r="K1614" s="12" t="n"/>
      <c r="L1614" s="11" t="n"/>
      <c r="M1614" s="11" t="n"/>
      <c r="N1614" s="11" t="n"/>
      <c r="O1614" s="11" t="n"/>
      <c r="P1614" s="12" t="n"/>
      <c r="Q1614" s="11" t="n"/>
      <c r="R1614" s="12" t="n"/>
      <c r="S1614" s="11" t="n"/>
      <c r="T1614" s="12" t="n"/>
      <c r="U1614" s="12" t="n"/>
      <c r="V1614" s="12" t="n"/>
      <c r="W1614" s="13" t="n"/>
      <c r="X1614" s="14">
        <f>IF($AP1614="",IF($B1614="","",$H1614),IF(INDEX(職員マスタ!$B$6:$B$405,$AP1614)="",$H1614,INDEX(職員マスタ!$B$6:$B$405,$AP1614)))</f>
        <v/>
      </c>
      <c r="Y1614" s="14">
        <f>IF($AP1614="",IF($B1614="","",$R1614),IF(INDEX(職員マスタ!$C$6:$C$405,$AP1614)="",$R1614,INDEX(職員マスタ!$C$6:$C$405,$AP1614)))</f>
        <v/>
      </c>
      <c r="Z1614" s="14">
        <f>IF($AQ1614="","","R"&amp;$C1614&amp;"."&amp;$D1614)</f>
        <v/>
      </c>
      <c r="AA1614" s="15">
        <f>IF(IF($AP1614="",FALSE,INDEX(職員マスタ!$K$6:$K$405,$AP1614)&lt;&gt;""),INDEX(職員マスタ!$K$6:$K$405,$AP1614),IF(N($W1614)&gt;0,$W1614,""))</f>
        <v/>
      </c>
      <c r="AB1614" s="14">
        <f>IF(OR($E1614="",$AA1614=""),"",IF($E1614&gt;=$AA1614,"×",IF($E1614&gt;=$AA1614*設定!$C$5,"△","○")))</f>
        <v/>
      </c>
      <c r="AC1614" s="15">
        <f>IF($AB1614="","",IF($AB1614="×",0,IF($AB1614="○",ROUNDDOWN($E1614*設定!$C$4,0),ROUNDDOWN($E1614*ROUND((9*$AA1614-9*$E1614)/(10*$E1614),4),0))))</f>
        <v/>
      </c>
      <c r="AD1614" s="13" t="n"/>
      <c r="AE1614" s="15">
        <f>IF($B1614="","",IF($AD1614&lt;&gt;"",$AD1614,IF($AC1614="","",IF($AC1614&lt;=設定!$C$3,0,$AC1614))))</f>
        <v/>
      </c>
      <c r="AF1614" s="14">
        <f>IF($B1614="","",IF(AND($AG1614&lt;&gt;"",$AI1614="",$AL1614=""),"保留中",IF($AL1614&lt;&gt;"",IF(N($AE1614)&gt;0,"支給済","不支給"),IF($AE1614="","要確認",IF($AE1614=0,"不支給","未処理")))))</f>
        <v/>
      </c>
      <c r="AG1614" s="12" t="n"/>
      <c r="AH1614" s="11" t="n"/>
      <c r="AI1614" s="11" t="n"/>
      <c r="AJ1614" s="11" t="n"/>
      <c r="AK1614" s="14">
        <f>IF(AND($AF1614="保留中",$AH1614&lt;&gt;""),TODAY()-$AH1614,"")</f>
        <v/>
      </c>
      <c r="AL1614" s="12" t="n"/>
      <c r="AM1614" s="14">
        <f>IF($B1614="","",IF($AQ1614="","対象年月が未入力／","")&amp;IF($B1614="","",IF($AP1614="","職員マスタに未登録の職員番号／",IF($AA1614="","標準報酬月額が未登録／","")&amp;IF(AND($AQ1614&lt;&gt;"",OR(AND(INDEX(職員マスタ!$G$6:$G$405,$AP1614)&lt;&gt;"",INDEX(職員マスタ!$G$6:$G$405,$AP1614)&gt;EOMONTH($AQ1614,0)),AND(INDEX(職員マスタ!$H$6:$H$405,$AP1614)&lt;&gt;"",INDEX(職員マスタ!$H$6:$H$405,$AP1614)&lt;$AQ1614))),"対象月が時短期間外／","")&amp;IF(AND(INDEX(職員マスタ!$K$6:$K$405,$AP1614)&lt;&gt;"",N($W1614)&gt;0,INDEX(職員マスタ!$K$6:$K$405,$AP1614)&lt;&gt;$W1614),"標準報酬月額が申請書と相違（台帳"&amp;TEXT(INDEX(職員マスタ!$K$6:$K$405,$AP1614),"#,##0")&amp;"円／申請書"&amp;TEXT($W1614,"#,##0")&amp;"円）／","")&amp;IF(AND(INDEX(職員マスタ!$F$6:$F$405,$AP1614)&lt;&gt;"",$AQ1614&lt;&gt;"",INDEX(職員マスタ!$F$6:$F$405,$AP1614)&lt;$AQ1614),"対象月に子が2歳到達済／","")&amp;IF(AND($H1614&lt;&gt;"",INDEX(職員マスタ!$B$6:$B$405,$AP1614)&lt;&gt;"",SUBSTITUTE(SUBSTITUTE($H1614," ","")," ","")&lt;&gt;SUBSTITUTE(SUBSTITUTE(INDEX(職員マスタ!$B$6:$B$405,$AP1614)," ","")," ","")),"氏名がマスタと相違／","")&amp;IF(AND($Q1614&lt;&gt;"",INDEX(職員マスタ!$E$6:$E$405,$AP1614)&lt;&gt;"",$Q1614&lt;&gt;INDEX(職員マスタ!$E$6:$E$405,$AP1614)),"子の生年月日がマスタと相違／","")&amp;IF(AND($L1614&lt;&gt;"",INDEX(職員マスタ!$G$6:$G$405,$AP1614)&lt;&gt;"",$L1614&lt;&gt;INDEX(職員マスタ!$G$6:$G$405,$AP1614)),"時短開始日がマスタと相違／","")&amp;IF(AND($M1614&lt;&gt;"",INDEX(職員マスタ!$H$6:$H$405,$AP1614)&lt;&gt;"",$M1614&lt;&gt;INDEX(職員マスタ!$H$6:$H$405,$AP1614)),"時短終了日がマスタと相違／","")))&amp;IF(AND($B1614&lt;&gt;"",$E1614=""),"報酬額が未入力／","")&amp;IF(N($U1614)&gt;0,"申請書に入力エラーが残っています／","")&amp;IF(AND($B1614&lt;&gt;"",$AQ1614&lt;&gt;""),IF(COUNTIFS($B$6:$B$3005,$B1614,$C$6:$C$3005,$C1614,$D$6:$D$3005,$D1614)&gt;1,"同じ月の請求が重複しています／",""),"")&amp;IF(AND(N($E1614)&gt;0,$AB1614&lt;&gt;"",$AB1614&lt;&gt;"×",$AE1614=0,$AD1614=""),"計算額が下限以下のため不支給／",""))</f>
        <v/>
      </c>
      <c r="AN1614" s="12" t="n"/>
      <c r="AO1614" s="14">
        <f>IF($AF1614="保留中",COUNTIF($AF$6:$AF1614,"保留中"),"")</f>
        <v/>
      </c>
      <c r="AP1614" s="14">
        <f>IF($AQ1614="","",IF(SUMPRODUCT(MAX((職員マスタ!$A$6:$A$405=$B1614)*(((職員マスタ!$G$6:$G$405="")+(職員マスタ!$G$6:$G$405&lt;=EOMONTH($AQ1614,0)))&gt;0)*(((職員マスタ!$H$6:$H$405="")+(職員マスタ!$H$6:$H$405&gt;=$AQ1614))&gt;0)*(ROW(職員マスタ!$A$6:$A$405)-5)))&gt;0,SUMPRODUCT(MAX((職員マスタ!$A$6:$A$405=$B1614)*(((職員マスタ!$G$6:$G$405="")+(職員マスタ!$G$6:$G$405&lt;=EOMONTH($AQ1614,0)))&gt;0)*(((職員マスタ!$H$6:$H$405="")+(職員マスタ!$H$6:$H$405&gt;=$AQ1614))&gt;0)*(ROW(職員マスタ!$A$6:$A$405)-5))),IFERROR(MATCH($B1614,職員マスタ!$A$6:$A$405,0),"")))</f>
        <v/>
      </c>
      <c r="AQ1614" s="16">
        <f>IF(OR($B1614="",$C1614="",$D1614=""),"",DATE($C1614+2018,$D1614,1))</f>
        <v/>
      </c>
    </row>
    <row r="1615">
      <c r="A1615" s="11" t="n"/>
      <c r="B1615" s="12" t="n"/>
      <c r="C1615" s="12" t="n"/>
      <c r="D1615" s="12" t="n"/>
      <c r="E1615" s="13" t="n"/>
      <c r="F1615" s="12" t="n"/>
      <c r="G1615" s="13" t="n"/>
      <c r="H1615" s="12" t="n"/>
      <c r="I1615" s="12" t="n"/>
      <c r="J1615" s="12" t="n"/>
      <c r="K1615" s="12" t="n"/>
      <c r="L1615" s="11" t="n"/>
      <c r="M1615" s="11" t="n"/>
      <c r="N1615" s="11" t="n"/>
      <c r="O1615" s="11" t="n"/>
      <c r="P1615" s="12" t="n"/>
      <c r="Q1615" s="11" t="n"/>
      <c r="R1615" s="12" t="n"/>
      <c r="S1615" s="11" t="n"/>
      <c r="T1615" s="12" t="n"/>
      <c r="U1615" s="12" t="n"/>
      <c r="V1615" s="12" t="n"/>
      <c r="W1615" s="13" t="n"/>
      <c r="X1615" s="14">
        <f>IF($AP1615="",IF($B1615="","",$H1615),IF(INDEX(職員マスタ!$B$6:$B$405,$AP1615)="",$H1615,INDEX(職員マスタ!$B$6:$B$405,$AP1615)))</f>
        <v/>
      </c>
      <c r="Y1615" s="14">
        <f>IF($AP1615="",IF($B1615="","",$R1615),IF(INDEX(職員マスタ!$C$6:$C$405,$AP1615)="",$R1615,INDEX(職員マスタ!$C$6:$C$405,$AP1615)))</f>
        <v/>
      </c>
      <c r="Z1615" s="14">
        <f>IF($AQ1615="","","R"&amp;$C1615&amp;"."&amp;$D1615)</f>
        <v/>
      </c>
      <c r="AA1615" s="15">
        <f>IF(IF($AP1615="",FALSE,INDEX(職員マスタ!$K$6:$K$405,$AP1615)&lt;&gt;""),INDEX(職員マスタ!$K$6:$K$405,$AP1615),IF(N($W1615)&gt;0,$W1615,""))</f>
        <v/>
      </c>
      <c r="AB1615" s="14">
        <f>IF(OR($E1615="",$AA1615=""),"",IF($E1615&gt;=$AA1615,"×",IF($E1615&gt;=$AA1615*設定!$C$5,"△","○")))</f>
        <v/>
      </c>
      <c r="AC1615" s="15">
        <f>IF($AB1615="","",IF($AB1615="×",0,IF($AB1615="○",ROUNDDOWN($E1615*設定!$C$4,0),ROUNDDOWN($E1615*ROUND((9*$AA1615-9*$E1615)/(10*$E1615),4),0))))</f>
        <v/>
      </c>
      <c r="AD1615" s="13" t="n"/>
      <c r="AE1615" s="15">
        <f>IF($B1615="","",IF($AD1615&lt;&gt;"",$AD1615,IF($AC1615="","",IF($AC1615&lt;=設定!$C$3,0,$AC1615))))</f>
        <v/>
      </c>
      <c r="AF1615" s="14">
        <f>IF($B1615="","",IF(AND($AG1615&lt;&gt;"",$AI1615="",$AL1615=""),"保留中",IF($AL1615&lt;&gt;"",IF(N($AE1615)&gt;0,"支給済","不支給"),IF($AE1615="","要確認",IF($AE1615=0,"不支給","未処理")))))</f>
        <v/>
      </c>
      <c r="AG1615" s="12" t="n"/>
      <c r="AH1615" s="11" t="n"/>
      <c r="AI1615" s="11" t="n"/>
      <c r="AJ1615" s="11" t="n"/>
      <c r="AK1615" s="14">
        <f>IF(AND($AF1615="保留中",$AH1615&lt;&gt;""),TODAY()-$AH1615,"")</f>
        <v/>
      </c>
      <c r="AL1615" s="12" t="n"/>
      <c r="AM1615" s="14">
        <f>IF($B1615="","",IF($AQ1615="","対象年月が未入力／","")&amp;IF($B1615="","",IF($AP1615="","職員マスタに未登録の職員番号／",IF($AA1615="","標準報酬月額が未登録／","")&amp;IF(AND($AQ1615&lt;&gt;"",OR(AND(INDEX(職員マスタ!$G$6:$G$405,$AP1615)&lt;&gt;"",INDEX(職員マスタ!$G$6:$G$405,$AP1615)&gt;EOMONTH($AQ1615,0)),AND(INDEX(職員マスタ!$H$6:$H$405,$AP1615)&lt;&gt;"",INDEX(職員マスタ!$H$6:$H$405,$AP1615)&lt;$AQ1615))),"対象月が時短期間外／","")&amp;IF(AND(INDEX(職員マスタ!$K$6:$K$405,$AP1615)&lt;&gt;"",N($W1615)&gt;0,INDEX(職員マスタ!$K$6:$K$405,$AP1615)&lt;&gt;$W1615),"標準報酬月額が申請書と相違（台帳"&amp;TEXT(INDEX(職員マスタ!$K$6:$K$405,$AP1615),"#,##0")&amp;"円／申請書"&amp;TEXT($W1615,"#,##0")&amp;"円）／","")&amp;IF(AND(INDEX(職員マスタ!$F$6:$F$405,$AP1615)&lt;&gt;"",$AQ1615&lt;&gt;"",INDEX(職員マスタ!$F$6:$F$405,$AP1615)&lt;$AQ1615),"対象月に子が2歳到達済／","")&amp;IF(AND($H1615&lt;&gt;"",INDEX(職員マスタ!$B$6:$B$405,$AP1615)&lt;&gt;"",SUBSTITUTE(SUBSTITUTE($H1615," ","")," ","")&lt;&gt;SUBSTITUTE(SUBSTITUTE(INDEX(職員マスタ!$B$6:$B$405,$AP1615)," ","")," ","")),"氏名がマスタと相違／","")&amp;IF(AND($Q1615&lt;&gt;"",INDEX(職員マスタ!$E$6:$E$405,$AP1615)&lt;&gt;"",$Q1615&lt;&gt;INDEX(職員マスタ!$E$6:$E$405,$AP1615)),"子の生年月日がマスタと相違／","")&amp;IF(AND($L1615&lt;&gt;"",INDEX(職員マスタ!$G$6:$G$405,$AP1615)&lt;&gt;"",$L1615&lt;&gt;INDEX(職員マスタ!$G$6:$G$405,$AP1615)),"時短開始日がマスタと相違／","")&amp;IF(AND($M1615&lt;&gt;"",INDEX(職員マスタ!$H$6:$H$405,$AP1615)&lt;&gt;"",$M1615&lt;&gt;INDEX(職員マスタ!$H$6:$H$405,$AP1615)),"時短終了日がマスタと相違／","")))&amp;IF(AND($B1615&lt;&gt;"",$E1615=""),"報酬額が未入力／","")&amp;IF(N($U1615)&gt;0,"申請書に入力エラーが残っています／","")&amp;IF(AND($B1615&lt;&gt;"",$AQ1615&lt;&gt;""),IF(COUNTIFS($B$6:$B$3005,$B1615,$C$6:$C$3005,$C1615,$D$6:$D$3005,$D1615)&gt;1,"同じ月の請求が重複しています／",""),"")&amp;IF(AND(N($E1615)&gt;0,$AB1615&lt;&gt;"",$AB1615&lt;&gt;"×",$AE1615=0,$AD1615=""),"計算額が下限以下のため不支給／",""))</f>
        <v/>
      </c>
      <c r="AN1615" s="12" t="n"/>
      <c r="AO1615" s="14">
        <f>IF($AF1615="保留中",COUNTIF($AF$6:$AF1615,"保留中"),"")</f>
        <v/>
      </c>
      <c r="AP1615" s="14">
        <f>IF($AQ1615="","",IF(SUMPRODUCT(MAX((職員マスタ!$A$6:$A$405=$B1615)*(((職員マスタ!$G$6:$G$405="")+(職員マスタ!$G$6:$G$405&lt;=EOMONTH($AQ1615,0)))&gt;0)*(((職員マスタ!$H$6:$H$405="")+(職員マスタ!$H$6:$H$405&gt;=$AQ1615))&gt;0)*(ROW(職員マスタ!$A$6:$A$405)-5)))&gt;0,SUMPRODUCT(MAX((職員マスタ!$A$6:$A$405=$B1615)*(((職員マスタ!$G$6:$G$405="")+(職員マスタ!$G$6:$G$405&lt;=EOMONTH($AQ1615,0)))&gt;0)*(((職員マスタ!$H$6:$H$405="")+(職員マスタ!$H$6:$H$405&gt;=$AQ1615))&gt;0)*(ROW(職員マスタ!$A$6:$A$405)-5))),IFERROR(MATCH($B1615,職員マスタ!$A$6:$A$405,0),"")))</f>
        <v/>
      </c>
      <c r="AQ1615" s="16">
        <f>IF(OR($B1615="",$C1615="",$D1615=""),"",DATE($C1615+2018,$D1615,1))</f>
        <v/>
      </c>
    </row>
    <row r="1616">
      <c r="A1616" s="11" t="n"/>
      <c r="B1616" s="12" t="n"/>
      <c r="C1616" s="12" t="n"/>
      <c r="D1616" s="12" t="n"/>
      <c r="E1616" s="13" t="n"/>
      <c r="F1616" s="12" t="n"/>
      <c r="G1616" s="13" t="n"/>
      <c r="H1616" s="12" t="n"/>
      <c r="I1616" s="12" t="n"/>
      <c r="J1616" s="12" t="n"/>
      <c r="K1616" s="12" t="n"/>
      <c r="L1616" s="11" t="n"/>
      <c r="M1616" s="11" t="n"/>
      <c r="N1616" s="11" t="n"/>
      <c r="O1616" s="11" t="n"/>
      <c r="P1616" s="12" t="n"/>
      <c r="Q1616" s="11" t="n"/>
      <c r="R1616" s="12" t="n"/>
      <c r="S1616" s="11" t="n"/>
      <c r="T1616" s="12" t="n"/>
      <c r="U1616" s="12" t="n"/>
      <c r="V1616" s="12" t="n"/>
      <c r="W1616" s="13" t="n"/>
      <c r="X1616" s="14">
        <f>IF($AP1616="",IF($B1616="","",$H1616),IF(INDEX(職員マスタ!$B$6:$B$405,$AP1616)="",$H1616,INDEX(職員マスタ!$B$6:$B$405,$AP1616)))</f>
        <v/>
      </c>
      <c r="Y1616" s="14">
        <f>IF($AP1616="",IF($B1616="","",$R1616),IF(INDEX(職員マスタ!$C$6:$C$405,$AP1616)="",$R1616,INDEX(職員マスタ!$C$6:$C$405,$AP1616)))</f>
        <v/>
      </c>
      <c r="Z1616" s="14">
        <f>IF($AQ1616="","","R"&amp;$C1616&amp;"."&amp;$D1616)</f>
        <v/>
      </c>
      <c r="AA1616" s="15">
        <f>IF(IF($AP1616="",FALSE,INDEX(職員マスタ!$K$6:$K$405,$AP1616)&lt;&gt;""),INDEX(職員マスタ!$K$6:$K$405,$AP1616),IF(N($W1616)&gt;0,$W1616,""))</f>
        <v/>
      </c>
      <c r="AB1616" s="14">
        <f>IF(OR($E1616="",$AA1616=""),"",IF($E1616&gt;=$AA1616,"×",IF($E1616&gt;=$AA1616*設定!$C$5,"△","○")))</f>
        <v/>
      </c>
      <c r="AC1616" s="15">
        <f>IF($AB1616="","",IF($AB1616="×",0,IF($AB1616="○",ROUNDDOWN($E1616*設定!$C$4,0),ROUNDDOWN($E1616*ROUND((9*$AA1616-9*$E1616)/(10*$E1616),4),0))))</f>
        <v/>
      </c>
      <c r="AD1616" s="13" t="n"/>
      <c r="AE1616" s="15">
        <f>IF($B1616="","",IF($AD1616&lt;&gt;"",$AD1616,IF($AC1616="","",IF($AC1616&lt;=設定!$C$3,0,$AC1616))))</f>
        <v/>
      </c>
      <c r="AF1616" s="14">
        <f>IF($B1616="","",IF(AND($AG1616&lt;&gt;"",$AI1616="",$AL1616=""),"保留中",IF($AL1616&lt;&gt;"",IF(N($AE1616)&gt;0,"支給済","不支給"),IF($AE1616="","要確認",IF($AE1616=0,"不支給","未処理")))))</f>
        <v/>
      </c>
      <c r="AG1616" s="12" t="n"/>
      <c r="AH1616" s="11" t="n"/>
      <c r="AI1616" s="11" t="n"/>
      <c r="AJ1616" s="11" t="n"/>
      <c r="AK1616" s="14">
        <f>IF(AND($AF1616="保留中",$AH1616&lt;&gt;""),TODAY()-$AH1616,"")</f>
        <v/>
      </c>
      <c r="AL1616" s="12" t="n"/>
      <c r="AM1616" s="14">
        <f>IF($B1616="","",IF($AQ1616="","対象年月が未入力／","")&amp;IF($B1616="","",IF($AP1616="","職員マスタに未登録の職員番号／",IF($AA1616="","標準報酬月額が未登録／","")&amp;IF(AND($AQ1616&lt;&gt;"",OR(AND(INDEX(職員マスタ!$G$6:$G$405,$AP1616)&lt;&gt;"",INDEX(職員マスタ!$G$6:$G$405,$AP1616)&gt;EOMONTH($AQ1616,0)),AND(INDEX(職員マスタ!$H$6:$H$405,$AP1616)&lt;&gt;"",INDEX(職員マスタ!$H$6:$H$405,$AP1616)&lt;$AQ1616))),"対象月が時短期間外／","")&amp;IF(AND(INDEX(職員マスタ!$K$6:$K$405,$AP1616)&lt;&gt;"",N($W1616)&gt;0,INDEX(職員マスタ!$K$6:$K$405,$AP1616)&lt;&gt;$W1616),"標準報酬月額が申請書と相違（台帳"&amp;TEXT(INDEX(職員マスタ!$K$6:$K$405,$AP1616),"#,##0")&amp;"円／申請書"&amp;TEXT($W1616,"#,##0")&amp;"円）／","")&amp;IF(AND(INDEX(職員マスタ!$F$6:$F$405,$AP1616)&lt;&gt;"",$AQ1616&lt;&gt;"",INDEX(職員マスタ!$F$6:$F$405,$AP1616)&lt;$AQ1616),"対象月に子が2歳到達済／","")&amp;IF(AND($H1616&lt;&gt;"",INDEX(職員マスタ!$B$6:$B$405,$AP1616)&lt;&gt;"",SUBSTITUTE(SUBSTITUTE($H1616," ","")," ","")&lt;&gt;SUBSTITUTE(SUBSTITUTE(INDEX(職員マスタ!$B$6:$B$405,$AP1616)," ","")," ","")),"氏名がマスタと相違／","")&amp;IF(AND($Q1616&lt;&gt;"",INDEX(職員マスタ!$E$6:$E$405,$AP1616)&lt;&gt;"",$Q1616&lt;&gt;INDEX(職員マスタ!$E$6:$E$405,$AP1616)),"子の生年月日がマスタと相違／","")&amp;IF(AND($L1616&lt;&gt;"",INDEX(職員マスタ!$G$6:$G$405,$AP1616)&lt;&gt;"",$L1616&lt;&gt;INDEX(職員マスタ!$G$6:$G$405,$AP1616)),"時短開始日がマスタと相違／","")&amp;IF(AND($M1616&lt;&gt;"",INDEX(職員マスタ!$H$6:$H$405,$AP1616)&lt;&gt;"",$M1616&lt;&gt;INDEX(職員マスタ!$H$6:$H$405,$AP1616)),"時短終了日がマスタと相違／","")))&amp;IF(AND($B1616&lt;&gt;"",$E1616=""),"報酬額が未入力／","")&amp;IF(N($U1616)&gt;0,"申請書に入力エラーが残っています／","")&amp;IF(AND($B1616&lt;&gt;"",$AQ1616&lt;&gt;""),IF(COUNTIFS($B$6:$B$3005,$B1616,$C$6:$C$3005,$C1616,$D$6:$D$3005,$D1616)&gt;1,"同じ月の請求が重複しています／",""),"")&amp;IF(AND(N($E1616)&gt;0,$AB1616&lt;&gt;"",$AB1616&lt;&gt;"×",$AE1616=0,$AD1616=""),"計算額が下限以下のため不支給／",""))</f>
        <v/>
      </c>
      <c r="AN1616" s="12" t="n"/>
      <c r="AO1616" s="14">
        <f>IF($AF1616="保留中",COUNTIF($AF$6:$AF1616,"保留中"),"")</f>
        <v/>
      </c>
      <c r="AP1616" s="14">
        <f>IF($AQ1616="","",IF(SUMPRODUCT(MAX((職員マスタ!$A$6:$A$405=$B1616)*(((職員マスタ!$G$6:$G$405="")+(職員マスタ!$G$6:$G$405&lt;=EOMONTH($AQ1616,0)))&gt;0)*(((職員マスタ!$H$6:$H$405="")+(職員マスタ!$H$6:$H$405&gt;=$AQ1616))&gt;0)*(ROW(職員マスタ!$A$6:$A$405)-5)))&gt;0,SUMPRODUCT(MAX((職員マスタ!$A$6:$A$405=$B1616)*(((職員マスタ!$G$6:$G$405="")+(職員マスタ!$G$6:$G$405&lt;=EOMONTH($AQ1616,0)))&gt;0)*(((職員マスタ!$H$6:$H$405="")+(職員マスタ!$H$6:$H$405&gt;=$AQ1616))&gt;0)*(ROW(職員マスタ!$A$6:$A$405)-5))),IFERROR(MATCH($B1616,職員マスタ!$A$6:$A$405,0),"")))</f>
        <v/>
      </c>
      <c r="AQ1616" s="16">
        <f>IF(OR($B1616="",$C1616="",$D1616=""),"",DATE($C1616+2018,$D1616,1))</f>
        <v/>
      </c>
    </row>
    <row r="1617">
      <c r="A1617" s="11" t="n"/>
      <c r="B1617" s="12" t="n"/>
      <c r="C1617" s="12" t="n"/>
      <c r="D1617" s="12" t="n"/>
      <c r="E1617" s="13" t="n"/>
      <c r="F1617" s="12" t="n"/>
      <c r="G1617" s="13" t="n"/>
      <c r="H1617" s="12" t="n"/>
      <c r="I1617" s="12" t="n"/>
      <c r="J1617" s="12" t="n"/>
      <c r="K1617" s="12" t="n"/>
      <c r="L1617" s="11" t="n"/>
      <c r="M1617" s="11" t="n"/>
      <c r="N1617" s="11" t="n"/>
      <c r="O1617" s="11" t="n"/>
      <c r="P1617" s="12" t="n"/>
      <c r="Q1617" s="11" t="n"/>
      <c r="R1617" s="12" t="n"/>
      <c r="S1617" s="11" t="n"/>
      <c r="T1617" s="12" t="n"/>
      <c r="U1617" s="12" t="n"/>
      <c r="V1617" s="12" t="n"/>
      <c r="W1617" s="13" t="n"/>
      <c r="X1617" s="14">
        <f>IF($AP1617="",IF($B1617="","",$H1617),IF(INDEX(職員マスタ!$B$6:$B$405,$AP1617)="",$H1617,INDEX(職員マスタ!$B$6:$B$405,$AP1617)))</f>
        <v/>
      </c>
      <c r="Y1617" s="14">
        <f>IF($AP1617="",IF($B1617="","",$R1617),IF(INDEX(職員マスタ!$C$6:$C$405,$AP1617)="",$R1617,INDEX(職員マスタ!$C$6:$C$405,$AP1617)))</f>
        <v/>
      </c>
      <c r="Z1617" s="14">
        <f>IF($AQ1617="","","R"&amp;$C1617&amp;"."&amp;$D1617)</f>
        <v/>
      </c>
      <c r="AA1617" s="15">
        <f>IF(IF($AP1617="",FALSE,INDEX(職員マスタ!$K$6:$K$405,$AP1617)&lt;&gt;""),INDEX(職員マスタ!$K$6:$K$405,$AP1617),IF(N($W1617)&gt;0,$W1617,""))</f>
        <v/>
      </c>
      <c r="AB1617" s="14">
        <f>IF(OR($E1617="",$AA1617=""),"",IF($E1617&gt;=$AA1617,"×",IF($E1617&gt;=$AA1617*設定!$C$5,"△","○")))</f>
        <v/>
      </c>
      <c r="AC1617" s="15">
        <f>IF($AB1617="","",IF($AB1617="×",0,IF($AB1617="○",ROUNDDOWN($E1617*設定!$C$4,0),ROUNDDOWN($E1617*ROUND((9*$AA1617-9*$E1617)/(10*$E1617),4),0))))</f>
        <v/>
      </c>
      <c r="AD1617" s="13" t="n"/>
      <c r="AE1617" s="15">
        <f>IF($B1617="","",IF($AD1617&lt;&gt;"",$AD1617,IF($AC1617="","",IF($AC1617&lt;=設定!$C$3,0,$AC1617))))</f>
        <v/>
      </c>
      <c r="AF1617" s="14">
        <f>IF($B1617="","",IF(AND($AG1617&lt;&gt;"",$AI1617="",$AL1617=""),"保留中",IF($AL1617&lt;&gt;"",IF(N($AE1617)&gt;0,"支給済","不支給"),IF($AE1617="","要確認",IF($AE1617=0,"不支給","未処理")))))</f>
        <v/>
      </c>
      <c r="AG1617" s="12" t="n"/>
      <c r="AH1617" s="11" t="n"/>
      <c r="AI1617" s="11" t="n"/>
      <c r="AJ1617" s="11" t="n"/>
      <c r="AK1617" s="14">
        <f>IF(AND($AF1617="保留中",$AH1617&lt;&gt;""),TODAY()-$AH1617,"")</f>
        <v/>
      </c>
      <c r="AL1617" s="12" t="n"/>
      <c r="AM1617" s="14">
        <f>IF($B1617="","",IF($AQ1617="","対象年月が未入力／","")&amp;IF($B1617="","",IF($AP1617="","職員マスタに未登録の職員番号／",IF($AA1617="","標準報酬月額が未登録／","")&amp;IF(AND($AQ1617&lt;&gt;"",OR(AND(INDEX(職員マスタ!$G$6:$G$405,$AP1617)&lt;&gt;"",INDEX(職員マスタ!$G$6:$G$405,$AP1617)&gt;EOMONTH($AQ1617,0)),AND(INDEX(職員マスタ!$H$6:$H$405,$AP1617)&lt;&gt;"",INDEX(職員マスタ!$H$6:$H$405,$AP1617)&lt;$AQ1617))),"対象月が時短期間外／","")&amp;IF(AND(INDEX(職員マスタ!$K$6:$K$405,$AP1617)&lt;&gt;"",N($W1617)&gt;0,INDEX(職員マスタ!$K$6:$K$405,$AP1617)&lt;&gt;$W1617),"標準報酬月額が申請書と相違（台帳"&amp;TEXT(INDEX(職員マスタ!$K$6:$K$405,$AP1617),"#,##0")&amp;"円／申請書"&amp;TEXT($W1617,"#,##0")&amp;"円）／","")&amp;IF(AND(INDEX(職員マスタ!$F$6:$F$405,$AP1617)&lt;&gt;"",$AQ1617&lt;&gt;"",INDEX(職員マスタ!$F$6:$F$405,$AP1617)&lt;$AQ1617),"対象月に子が2歳到達済／","")&amp;IF(AND($H1617&lt;&gt;"",INDEX(職員マスタ!$B$6:$B$405,$AP1617)&lt;&gt;"",SUBSTITUTE(SUBSTITUTE($H1617," ","")," ","")&lt;&gt;SUBSTITUTE(SUBSTITUTE(INDEX(職員マスタ!$B$6:$B$405,$AP1617)," ","")," ","")),"氏名がマスタと相違／","")&amp;IF(AND($Q1617&lt;&gt;"",INDEX(職員マスタ!$E$6:$E$405,$AP1617)&lt;&gt;"",$Q1617&lt;&gt;INDEX(職員マスタ!$E$6:$E$405,$AP1617)),"子の生年月日がマスタと相違／","")&amp;IF(AND($L1617&lt;&gt;"",INDEX(職員マスタ!$G$6:$G$405,$AP1617)&lt;&gt;"",$L1617&lt;&gt;INDEX(職員マスタ!$G$6:$G$405,$AP1617)),"時短開始日がマスタと相違／","")&amp;IF(AND($M1617&lt;&gt;"",INDEX(職員マスタ!$H$6:$H$405,$AP1617)&lt;&gt;"",$M1617&lt;&gt;INDEX(職員マスタ!$H$6:$H$405,$AP1617)),"時短終了日がマスタと相違／","")))&amp;IF(AND($B1617&lt;&gt;"",$E1617=""),"報酬額が未入力／","")&amp;IF(N($U1617)&gt;0,"申請書に入力エラーが残っています／","")&amp;IF(AND($B1617&lt;&gt;"",$AQ1617&lt;&gt;""),IF(COUNTIFS($B$6:$B$3005,$B1617,$C$6:$C$3005,$C1617,$D$6:$D$3005,$D1617)&gt;1,"同じ月の請求が重複しています／",""),"")&amp;IF(AND(N($E1617)&gt;0,$AB1617&lt;&gt;"",$AB1617&lt;&gt;"×",$AE1617=0,$AD1617=""),"計算額が下限以下のため不支給／",""))</f>
        <v/>
      </c>
      <c r="AN1617" s="12" t="n"/>
      <c r="AO1617" s="14">
        <f>IF($AF1617="保留中",COUNTIF($AF$6:$AF1617,"保留中"),"")</f>
        <v/>
      </c>
      <c r="AP1617" s="14">
        <f>IF($AQ1617="","",IF(SUMPRODUCT(MAX((職員マスタ!$A$6:$A$405=$B1617)*(((職員マスタ!$G$6:$G$405="")+(職員マスタ!$G$6:$G$405&lt;=EOMONTH($AQ1617,0)))&gt;0)*(((職員マスタ!$H$6:$H$405="")+(職員マスタ!$H$6:$H$405&gt;=$AQ1617))&gt;0)*(ROW(職員マスタ!$A$6:$A$405)-5)))&gt;0,SUMPRODUCT(MAX((職員マスタ!$A$6:$A$405=$B1617)*(((職員マスタ!$G$6:$G$405="")+(職員マスタ!$G$6:$G$405&lt;=EOMONTH($AQ1617,0)))&gt;0)*(((職員マスタ!$H$6:$H$405="")+(職員マスタ!$H$6:$H$405&gt;=$AQ1617))&gt;0)*(ROW(職員マスタ!$A$6:$A$405)-5))),IFERROR(MATCH($B1617,職員マスタ!$A$6:$A$405,0),"")))</f>
        <v/>
      </c>
      <c r="AQ1617" s="16">
        <f>IF(OR($B1617="",$C1617="",$D1617=""),"",DATE($C1617+2018,$D1617,1))</f>
        <v/>
      </c>
    </row>
    <row r="1618">
      <c r="A1618" s="11" t="n"/>
      <c r="B1618" s="12" t="n"/>
      <c r="C1618" s="12" t="n"/>
      <c r="D1618" s="12" t="n"/>
      <c r="E1618" s="13" t="n"/>
      <c r="F1618" s="12" t="n"/>
      <c r="G1618" s="13" t="n"/>
      <c r="H1618" s="12" t="n"/>
      <c r="I1618" s="12" t="n"/>
      <c r="J1618" s="12" t="n"/>
      <c r="K1618" s="12" t="n"/>
      <c r="L1618" s="11" t="n"/>
      <c r="M1618" s="11" t="n"/>
      <c r="N1618" s="11" t="n"/>
      <c r="O1618" s="11" t="n"/>
      <c r="P1618" s="12" t="n"/>
      <c r="Q1618" s="11" t="n"/>
      <c r="R1618" s="12" t="n"/>
      <c r="S1618" s="11" t="n"/>
      <c r="T1618" s="12" t="n"/>
      <c r="U1618" s="12" t="n"/>
      <c r="V1618" s="12" t="n"/>
      <c r="W1618" s="13" t="n"/>
      <c r="X1618" s="14">
        <f>IF($AP1618="",IF($B1618="","",$H1618),IF(INDEX(職員マスタ!$B$6:$B$405,$AP1618)="",$H1618,INDEX(職員マスタ!$B$6:$B$405,$AP1618)))</f>
        <v/>
      </c>
      <c r="Y1618" s="14">
        <f>IF($AP1618="",IF($B1618="","",$R1618),IF(INDEX(職員マスタ!$C$6:$C$405,$AP1618)="",$R1618,INDEX(職員マスタ!$C$6:$C$405,$AP1618)))</f>
        <v/>
      </c>
      <c r="Z1618" s="14">
        <f>IF($AQ1618="","","R"&amp;$C1618&amp;"."&amp;$D1618)</f>
        <v/>
      </c>
      <c r="AA1618" s="15">
        <f>IF(IF($AP1618="",FALSE,INDEX(職員マスタ!$K$6:$K$405,$AP1618)&lt;&gt;""),INDEX(職員マスタ!$K$6:$K$405,$AP1618),IF(N($W1618)&gt;0,$W1618,""))</f>
        <v/>
      </c>
      <c r="AB1618" s="14">
        <f>IF(OR($E1618="",$AA1618=""),"",IF($E1618&gt;=$AA1618,"×",IF($E1618&gt;=$AA1618*設定!$C$5,"△","○")))</f>
        <v/>
      </c>
      <c r="AC1618" s="15">
        <f>IF($AB1618="","",IF($AB1618="×",0,IF($AB1618="○",ROUNDDOWN($E1618*設定!$C$4,0),ROUNDDOWN($E1618*ROUND((9*$AA1618-9*$E1618)/(10*$E1618),4),0))))</f>
        <v/>
      </c>
      <c r="AD1618" s="13" t="n"/>
      <c r="AE1618" s="15">
        <f>IF($B1618="","",IF($AD1618&lt;&gt;"",$AD1618,IF($AC1618="","",IF($AC1618&lt;=設定!$C$3,0,$AC1618))))</f>
        <v/>
      </c>
      <c r="AF1618" s="14">
        <f>IF($B1618="","",IF(AND($AG1618&lt;&gt;"",$AI1618="",$AL1618=""),"保留中",IF($AL1618&lt;&gt;"",IF(N($AE1618)&gt;0,"支給済","不支給"),IF($AE1618="","要確認",IF($AE1618=0,"不支給","未処理")))))</f>
        <v/>
      </c>
      <c r="AG1618" s="12" t="n"/>
      <c r="AH1618" s="11" t="n"/>
      <c r="AI1618" s="11" t="n"/>
      <c r="AJ1618" s="11" t="n"/>
      <c r="AK1618" s="14">
        <f>IF(AND($AF1618="保留中",$AH1618&lt;&gt;""),TODAY()-$AH1618,"")</f>
        <v/>
      </c>
      <c r="AL1618" s="12" t="n"/>
      <c r="AM1618" s="14">
        <f>IF($B1618="","",IF($AQ1618="","対象年月が未入力／","")&amp;IF($B1618="","",IF($AP1618="","職員マスタに未登録の職員番号／",IF($AA1618="","標準報酬月額が未登録／","")&amp;IF(AND($AQ1618&lt;&gt;"",OR(AND(INDEX(職員マスタ!$G$6:$G$405,$AP1618)&lt;&gt;"",INDEX(職員マスタ!$G$6:$G$405,$AP1618)&gt;EOMONTH($AQ1618,0)),AND(INDEX(職員マスタ!$H$6:$H$405,$AP1618)&lt;&gt;"",INDEX(職員マスタ!$H$6:$H$405,$AP1618)&lt;$AQ1618))),"対象月が時短期間外／","")&amp;IF(AND(INDEX(職員マスタ!$K$6:$K$405,$AP1618)&lt;&gt;"",N($W1618)&gt;0,INDEX(職員マスタ!$K$6:$K$405,$AP1618)&lt;&gt;$W1618),"標準報酬月額が申請書と相違（台帳"&amp;TEXT(INDEX(職員マスタ!$K$6:$K$405,$AP1618),"#,##0")&amp;"円／申請書"&amp;TEXT($W1618,"#,##0")&amp;"円）／","")&amp;IF(AND(INDEX(職員マスタ!$F$6:$F$405,$AP1618)&lt;&gt;"",$AQ1618&lt;&gt;"",INDEX(職員マスタ!$F$6:$F$405,$AP1618)&lt;$AQ1618),"対象月に子が2歳到達済／","")&amp;IF(AND($H1618&lt;&gt;"",INDEX(職員マスタ!$B$6:$B$405,$AP1618)&lt;&gt;"",SUBSTITUTE(SUBSTITUTE($H1618," ","")," ","")&lt;&gt;SUBSTITUTE(SUBSTITUTE(INDEX(職員マスタ!$B$6:$B$405,$AP1618)," ","")," ","")),"氏名がマスタと相違／","")&amp;IF(AND($Q1618&lt;&gt;"",INDEX(職員マスタ!$E$6:$E$405,$AP1618)&lt;&gt;"",$Q1618&lt;&gt;INDEX(職員マスタ!$E$6:$E$405,$AP1618)),"子の生年月日がマスタと相違／","")&amp;IF(AND($L1618&lt;&gt;"",INDEX(職員マスタ!$G$6:$G$405,$AP1618)&lt;&gt;"",$L1618&lt;&gt;INDEX(職員マスタ!$G$6:$G$405,$AP1618)),"時短開始日がマスタと相違／","")&amp;IF(AND($M1618&lt;&gt;"",INDEX(職員マスタ!$H$6:$H$405,$AP1618)&lt;&gt;"",$M1618&lt;&gt;INDEX(職員マスタ!$H$6:$H$405,$AP1618)),"時短終了日がマスタと相違／","")))&amp;IF(AND($B1618&lt;&gt;"",$E1618=""),"報酬額が未入力／","")&amp;IF(N($U1618)&gt;0,"申請書に入力エラーが残っています／","")&amp;IF(AND($B1618&lt;&gt;"",$AQ1618&lt;&gt;""),IF(COUNTIFS($B$6:$B$3005,$B1618,$C$6:$C$3005,$C1618,$D$6:$D$3005,$D1618)&gt;1,"同じ月の請求が重複しています／",""),"")&amp;IF(AND(N($E1618)&gt;0,$AB1618&lt;&gt;"",$AB1618&lt;&gt;"×",$AE1618=0,$AD1618=""),"計算額が下限以下のため不支給／",""))</f>
        <v/>
      </c>
      <c r="AN1618" s="12" t="n"/>
      <c r="AO1618" s="14">
        <f>IF($AF1618="保留中",COUNTIF($AF$6:$AF1618,"保留中"),"")</f>
        <v/>
      </c>
      <c r="AP1618" s="14">
        <f>IF($AQ1618="","",IF(SUMPRODUCT(MAX((職員マスタ!$A$6:$A$405=$B1618)*(((職員マスタ!$G$6:$G$405="")+(職員マスタ!$G$6:$G$405&lt;=EOMONTH($AQ1618,0)))&gt;0)*(((職員マスタ!$H$6:$H$405="")+(職員マスタ!$H$6:$H$405&gt;=$AQ1618))&gt;0)*(ROW(職員マスタ!$A$6:$A$405)-5)))&gt;0,SUMPRODUCT(MAX((職員マスタ!$A$6:$A$405=$B1618)*(((職員マスタ!$G$6:$G$405="")+(職員マスタ!$G$6:$G$405&lt;=EOMONTH($AQ1618,0)))&gt;0)*(((職員マスタ!$H$6:$H$405="")+(職員マスタ!$H$6:$H$405&gt;=$AQ1618))&gt;0)*(ROW(職員マスタ!$A$6:$A$405)-5))),IFERROR(MATCH($B1618,職員マスタ!$A$6:$A$405,0),"")))</f>
        <v/>
      </c>
      <c r="AQ1618" s="16">
        <f>IF(OR($B1618="",$C1618="",$D1618=""),"",DATE($C1618+2018,$D1618,1))</f>
        <v/>
      </c>
    </row>
    <row r="1619">
      <c r="A1619" s="11" t="n"/>
      <c r="B1619" s="12" t="n"/>
      <c r="C1619" s="12" t="n"/>
      <c r="D1619" s="12" t="n"/>
      <c r="E1619" s="13" t="n"/>
      <c r="F1619" s="12" t="n"/>
      <c r="G1619" s="13" t="n"/>
      <c r="H1619" s="12" t="n"/>
      <c r="I1619" s="12" t="n"/>
      <c r="J1619" s="12" t="n"/>
      <c r="K1619" s="12" t="n"/>
      <c r="L1619" s="11" t="n"/>
      <c r="M1619" s="11" t="n"/>
      <c r="N1619" s="11" t="n"/>
      <c r="O1619" s="11" t="n"/>
      <c r="P1619" s="12" t="n"/>
      <c r="Q1619" s="11" t="n"/>
      <c r="R1619" s="12" t="n"/>
      <c r="S1619" s="11" t="n"/>
      <c r="T1619" s="12" t="n"/>
      <c r="U1619" s="12" t="n"/>
      <c r="V1619" s="12" t="n"/>
      <c r="W1619" s="13" t="n"/>
      <c r="X1619" s="14">
        <f>IF($AP1619="",IF($B1619="","",$H1619),IF(INDEX(職員マスタ!$B$6:$B$405,$AP1619)="",$H1619,INDEX(職員マスタ!$B$6:$B$405,$AP1619)))</f>
        <v/>
      </c>
      <c r="Y1619" s="14">
        <f>IF($AP1619="",IF($B1619="","",$R1619),IF(INDEX(職員マスタ!$C$6:$C$405,$AP1619)="",$R1619,INDEX(職員マスタ!$C$6:$C$405,$AP1619)))</f>
        <v/>
      </c>
      <c r="Z1619" s="14">
        <f>IF($AQ1619="","","R"&amp;$C1619&amp;"."&amp;$D1619)</f>
        <v/>
      </c>
      <c r="AA1619" s="15">
        <f>IF(IF($AP1619="",FALSE,INDEX(職員マスタ!$K$6:$K$405,$AP1619)&lt;&gt;""),INDEX(職員マスタ!$K$6:$K$405,$AP1619),IF(N($W1619)&gt;0,$W1619,""))</f>
        <v/>
      </c>
      <c r="AB1619" s="14">
        <f>IF(OR($E1619="",$AA1619=""),"",IF($E1619&gt;=$AA1619,"×",IF($E1619&gt;=$AA1619*設定!$C$5,"△","○")))</f>
        <v/>
      </c>
      <c r="AC1619" s="15">
        <f>IF($AB1619="","",IF($AB1619="×",0,IF($AB1619="○",ROUNDDOWN($E1619*設定!$C$4,0),ROUNDDOWN($E1619*ROUND((9*$AA1619-9*$E1619)/(10*$E1619),4),0))))</f>
        <v/>
      </c>
      <c r="AD1619" s="13" t="n"/>
      <c r="AE1619" s="15">
        <f>IF($B1619="","",IF($AD1619&lt;&gt;"",$AD1619,IF($AC1619="","",IF($AC1619&lt;=設定!$C$3,0,$AC1619))))</f>
        <v/>
      </c>
      <c r="AF1619" s="14">
        <f>IF($B1619="","",IF(AND($AG1619&lt;&gt;"",$AI1619="",$AL1619=""),"保留中",IF($AL1619&lt;&gt;"",IF(N($AE1619)&gt;0,"支給済","不支給"),IF($AE1619="","要確認",IF($AE1619=0,"不支給","未処理")))))</f>
        <v/>
      </c>
      <c r="AG1619" s="12" t="n"/>
      <c r="AH1619" s="11" t="n"/>
      <c r="AI1619" s="11" t="n"/>
      <c r="AJ1619" s="11" t="n"/>
      <c r="AK1619" s="14">
        <f>IF(AND($AF1619="保留中",$AH1619&lt;&gt;""),TODAY()-$AH1619,"")</f>
        <v/>
      </c>
      <c r="AL1619" s="12" t="n"/>
      <c r="AM1619" s="14">
        <f>IF($B1619="","",IF($AQ1619="","対象年月が未入力／","")&amp;IF($B1619="","",IF($AP1619="","職員マスタに未登録の職員番号／",IF($AA1619="","標準報酬月額が未登録／","")&amp;IF(AND($AQ1619&lt;&gt;"",OR(AND(INDEX(職員マスタ!$G$6:$G$405,$AP1619)&lt;&gt;"",INDEX(職員マスタ!$G$6:$G$405,$AP1619)&gt;EOMONTH($AQ1619,0)),AND(INDEX(職員マスタ!$H$6:$H$405,$AP1619)&lt;&gt;"",INDEX(職員マスタ!$H$6:$H$405,$AP1619)&lt;$AQ1619))),"対象月が時短期間外／","")&amp;IF(AND(INDEX(職員マスタ!$K$6:$K$405,$AP1619)&lt;&gt;"",N($W1619)&gt;0,INDEX(職員マスタ!$K$6:$K$405,$AP1619)&lt;&gt;$W1619),"標準報酬月額が申請書と相違（台帳"&amp;TEXT(INDEX(職員マスタ!$K$6:$K$405,$AP1619),"#,##0")&amp;"円／申請書"&amp;TEXT($W1619,"#,##0")&amp;"円）／","")&amp;IF(AND(INDEX(職員マスタ!$F$6:$F$405,$AP1619)&lt;&gt;"",$AQ1619&lt;&gt;"",INDEX(職員マスタ!$F$6:$F$405,$AP1619)&lt;$AQ1619),"対象月に子が2歳到達済／","")&amp;IF(AND($H1619&lt;&gt;"",INDEX(職員マスタ!$B$6:$B$405,$AP1619)&lt;&gt;"",SUBSTITUTE(SUBSTITUTE($H1619," ","")," ","")&lt;&gt;SUBSTITUTE(SUBSTITUTE(INDEX(職員マスタ!$B$6:$B$405,$AP1619)," ","")," ","")),"氏名がマスタと相違／","")&amp;IF(AND($Q1619&lt;&gt;"",INDEX(職員マスタ!$E$6:$E$405,$AP1619)&lt;&gt;"",$Q1619&lt;&gt;INDEX(職員マスタ!$E$6:$E$405,$AP1619)),"子の生年月日がマスタと相違／","")&amp;IF(AND($L1619&lt;&gt;"",INDEX(職員マスタ!$G$6:$G$405,$AP1619)&lt;&gt;"",$L1619&lt;&gt;INDEX(職員マスタ!$G$6:$G$405,$AP1619)),"時短開始日がマスタと相違／","")&amp;IF(AND($M1619&lt;&gt;"",INDEX(職員マスタ!$H$6:$H$405,$AP1619)&lt;&gt;"",$M1619&lt;&gt;INDEX(職員マスタ!$H$6:$H$405,$AP1619)),"時短終了日がマスタと相違／","")))&amp;IF(AND($B1619&lt;&gt;"",$E1619=""),"報酬額が未入力／","")&amp;IF(N($U1619)&gt;0,"申請書に入力エラーが残っています／","")&amp;IF(AND($B1619&lt;&gt;"",$AQ1619&lt;&gt;""),IF(COUNTIFS($B$6:$B$3005,$B1619,$C$6:$C$3005,$C1619,$D$6:$D$3005,$D1619)&gt;1,"同じ月の請求が重複しています／",""),"")&amp;IF(AND(N($E1619)&gt;0,$AB1619&lt;&gt;"",$AB1619&lt;&gt;"×",$AE1619=0,$AD1619=""),"計算額が下限以下のため不支給／",""))</f>
        <v/>
      </c>
      <c r="AN1619" s="12" t="n"/>
      <c r="AO1619" s="14">
        <f>IF($AF1619="保留中",COUNTIF($AF$6:$AF1619,"保留中"),"")</f>
        <v/>
      </c>
      <c r="AP1619" s="14">
        <f>IF($AQ1619="","",IF(SUMPRODUCT(MAX((職員マスタ!$A$6:$A$405=$B1619)*(((職員マスタ!$G$6:$G$405="")+(職員マスタ!$G$6:$G$405&lt;=EOMONTH($AQ1619,0)))&gt;0)*(((職員マスタ!$H$6:$H$405="")+(職員マスタ!$H$6:$H$405&gt;=$AQ1619))&gt;0)*(ROW(職員マスタ!$A$6:$A$405)-5)))&gt;0,SUMPRODUCT(MAX((職員マスタ!$A$6:$A$405=$B1619)*(((職員マスタ!$G$6:$G$405="")+(職員マスタ!$G$6:$G$405&lt;=EOMONTH($AQ1619,0)))&gt;0)*(((職員マスタ!$H$6:$H$405="")+(職員マスタ!$H$6:$H$405&gt;=$AQ1619))&gt;0)*(ROW(職員マスタ!$A$6:$A$405)-5))),IFERROR(MATCH($B1619,職員マスタ!$A$6:$A$405,0),"")))</f>
        <v/>
      </c>
      <c r="AQ1619" s="16">
        <f>IF(OR($B1619="",$C1619="",$D1619=""),"",DATE($C1619+2018,$D1619,1))</f>
        <v/>
      </c>
    </row>
    <row r="1620">
      <c r="A1620" s="11" t="n"/>
      <c r="B1620" s="12" t="n"/>
      <c r="C1620" s="12" t="n"/>
      <c r="D1620" s="12" t="n"/>
      <c r="E1620" s="13" t="n"/>
      <c r="F1620" s="12" t="n"/>
      <c r="G1620" s="13" t="n"/>
      <c r="H1620" s="12" t="n"/>
      <c r="I1620" s="12" t="n"/>
      <c r="J1620" s="12" t="n"/>
      <c r="K1620" s="12" t="n"/>
      <c r="L1620" s="11" t="n"/>
      <c r="M1620" s="11" t="n"/>
      <c r="N1620" s="11" t="n"/>
      <c r="O1620" s="11" t="n"/>
      <c r="P1620" s="12" t="n"/>
      <c r="Q1620" s="11" t="n"/>
      <c r="R1620" s="12" t="n"/>
      <c r="S1620" s="11" t="n"/>
      <c r="T1620" s="12" t="n"/>
      <c r="U1620" s="12" t="n"/>
      <c r="V1620" s="12" t="n"/>
      <c r="W1620" s="13" t="n"/>
      <c r="X1620" s="14">
        <f>IF($AP1620="",IF($B1620="","",$H1620),IF(INDEX(職員マスタ!$B$6:$B$405,$AP1620)="",$H1620,INDEX(職員マスタ!$B$6:$B$405,$AP1620)))</f>
        <v/>
      </c>
      <c r="Y1620" s="14">
        <f>IF($AP1620="",IF($B1620="","",$R1620),IF(INDEX(職員マスタ!$C$6:$C$405,$AP1620)="",$R1620,INDEX(職員マスタ!$C$6:$C$405,$AP1620)))</f>
        <v/>
      </c>
      <c r="Z1620" s="14">
        <f>IF($AQ1620="","","R"&amp;$C1620&amp;"."&amp;$D1620)</f>
        <v/>
      </c>
      <c r="AA1620" s="15">
        <f>IF(IF($AP1620="",FALSE,INDEX(職員マスタ!$K$6:$K$405,$AP1620)&lt;&gt;""),INDEX(職員マスタ!$K$6:$K$405,$AP1620),IF(N($W1620)&gt;0,$W1620,""))</f>
        <v/>
      </c>
      <c r="AB1620" s="14">
        <f>IF(OR($E1620="",$AA1620=""),"",IF($E1620&gt;=$AA1620,"×",IF($E1620&gt;=$AA1620*設定!$C$5,"△","○")))</f>
        <v/>
      </c>
      <c r="AC1620" s="15">
        <f>IF($AB1620="","",IF($AB1620="×",0,IF($AB1620="○",ROUNDDOWN($E1620*設定!$C$4,0),ROUNDDOWN($E1620*ROUND((9*$AA1620-9*$E1620)/(10*$E1620),4),0))))</f>
        <v/>
      </c>
      <c r="AD1620" s="13" t="n"/>
      <c r="AE1620" s="15">
        <f>IF($B1620="","",IF($AD1620&lt;&gt;"",$AD1620,IF($AC1620="","",IF($AC1620&lt;=設定!$C$3,0,$AC1620))))</f>
        <v/>
      </c>
      <c r="AF1620" s="14">
        <f>IF($B1620="","",IF(AND($AG1620&lt;&gt;"",$AI1620="",$AL1620=""),"保留中",IF($AL1620&lt;&gt;"",IF(N($AE1620)&gt;0,"支給済","不支給"),IF($AE1620="","要確認",IF($AE1620=0,"不支給","未処理")))))</f>
        <v/>
      </c>
      <c r="AG1620" s="12" t="n"/>
      <c r="AH1620" s="11" t="n"/>
      <c r="AI1620" s="11" t="n"/>
      <c r="AJ1620" s="11" t="n"/>
      <c r="AK1620" s="14">
        <f>IF(AND($AF1620="保留中",$AH1620&lt;&gt;""),TODAY()-$AH1620,"")</f>
        <v/>
      </c>
      <c r="AL1620" s="12" t="n"/>
      <c r="AM1620" s="14">
        <f>IF($B1620="","",IF($AQ1620="","対象年月が未入力／","")&amp;IF($B1620="","",IF($AP1620="","職員マスタに未登録の職員番号／",IF($AA1620="","標準報酬月額が未登録／","")&amp;IF(AND($AQ1620&lt;&gt;"",OR(AND(INDEX(職員マスタ!$G$6:$G$405,$AP1620)&lt;&gt;"",INDEX(職員マスタ!$G$6:$G$405,$AP1620)&gt;EOMONTH($AQ1620,0)),AND(INDEX(職員マスタ!$H$6:$H$405,$AP1620)&lt;&gt;"",INDEX(職員マスタ!$H$6:$H$405,$AP1620)&lt;$AQ1620))),"対象月が時短期間外／","")&amp;IF(AND(INDEX(職員マスタ!$K$6:$K$405,$AP1620)&lt;&gt;"",N($W1620)&gt;0,INDEX(職員マスタ!$K$6:$K$405,$AP1620)&lt;&gt;$W1620),"標準報酬月額が申請書と相違（台帳"&amp;TEXT(INDEX(職員マスタ!$K$6:$K$405,$AP1620),"#,##0")&amp;"円／申請書"&amp;TEXT($W1620,"#,##0")&amp;"円）／","")&amp;IF(AND(INDEX(職員マスタ!$F$6:$F$405,$AP1620)&lt;&gt;"",$AQ1620&lt;&gt;"",INDEX(職員マスタ!$F$6:$F$405,$AP1620)&lt;$AQ1620),"対象月に子が2歳到達済／","")&amp;IF(AND($H1620&lt;&gt;"",INDEX(職員マスタ!$B$6:$B$405,$AP1620)&lt;&gt;"",SUBSTITUTE(SUBSTITUTE($H1620," ","")," ","")&lt;&gt;SUBSTITUTE(SUBSTITUTE(INDEX(職員マスタ!$B$6:$B$405,$AP1620)," ","")," ","")),"氏名がマスタと相違／","")&amp;IF(AND($Q1620&lt;&gt;"",INDEX(職員マスタ!$E$6:$E$405,$AP1620)&lt;&gt;"",$Q1620&lt;&gt;INDEX(職員マスタ!$E$6:$E$405,$AP1620)),"子の生年月日がマスタと相違／","")&amp;IF(AND($L1620&lt;&gt;"",INDEX(職員マスタ!$G$6:$G$405,$AP1620)&lt;&gt;"",$L1620&lt;&gt;INDEX(職員マスタ!$G$6:$G$405,$AP1620)),"時短開始日がマスタと相違／","")&amp;IF(AND($M1620&lt;&gt;"",INDEX(職員マスタ!$H$6:$H$405,$AP1620)&lt;&gt;"",$M1620&lt;&gt;INDEX(職員マスタ!$H$6:$H$405,$AP1620)),"時短終了日がマスタと相違／","")))&amp;IF(AND($B1620&lt;&gt;"",$E1620=""),"報酬額が未入力／","")&amp;IF(N($U1620)&gt;0,"申請書に入力エラーが残っています／","")&amp;IF(AND($B1620&lt;&gt;"",$AQ1620&lt;&gt;""),IF(COUNTIFS($B$6:$B$3005,$B1620,$C$6:$C$3005,$C1620,$D$6:$D$3005,$D1620)&gt;1,"同じ月の請求が重複しています／",""),"")&amp;IF(AND(N($E1620)&gt;0,$AB1620&lt;&gt;"",$AB1620&lt;&gt;"×",$AE1620=0,$AD1620=""),"計算額が下限以下のため不支給／",""))</f>
        <v/>
      </c>
      <c r="AN1620" s="12" t="n"/>
      <c r="AO1620" s="14">
        <f>IF($AF1620="保留中",COUNTIF($AF$6:$AF1620,"保留中"),"")</f>
        <v/>
      </c>
      <c r="AP1620" s="14">
        <f>IF($AQ1620="","",IF(SUMPRODUCT(MAX((職員マスタ!$A$6:$A$405=$B1620)*(((職員マスタ!$G$6:$G$405="")+(職員マスタ!$G$6:$G$405&lt;=EOMONTH($AQ1620,0)))&gt;0)*(((職員マスタ!$H$6:$H$405="")+(職員マスタ!$H$6:$H$405&gt;=$AQ1620))&gt;0)*(ROW(職員マスタ!$A$6:$A$405)-5)))&gt;0,SUMPRODUCT(MAX((職員マスタ!$A$6:$A$405=$B1620)*(((職員マスタ!$G$6:$G$405="")+(職員マスタ!$G$6:$G$405&lt;=EOMONTH($AQ1620,0)))&gt;0)*(((職員マスタ!$H$6:$H$405="")+(職員マスタ!$H$6:$H$405&gt;=$AQ1620))&gt;0)*(ROW(職員マスタ!$A$6:$A$405)-5))),IFERROR(MATCH($B1620,職員マスタ!$A$6:$A$405,0),"")))</f>
        <v/>
      </c>
      <c r="AQ1620" s="16">
        <f>IF(OR($B1620="",$C1620="",$D1620=""),"",DATE($C1620+2018,$D1620,1))</f>
        <v/>
      </c>
    </row>
    <row r="1621">
      <c r="A1621" s="11" t="n"/>
      <c r="B1621" s="12" t="n"/>
      <c r="C1621" s="12" t="n"/>
      <c r="D1621" s="12" t="n"/>
      <c r="E1621" s="13" t="n"/>
      <c r="F1621" s="12" t="n"/>
      <c r="G1621" s="13" t="n"/>
      <c r="H1621" s="12" t="n"/>
      <c r="I1621" s="12" t="n"/>
      <c r="J1621" s="12" t="n"/>
      <c r="K1621" s="12" t="n"/>
      <c r="L1621" s="11" t="n"/>
      <c r="M1621" s="11" t="n"/>
      <c r="N1621" s="11" t="n"/>
      <c r="O1621" s="11" t="n"/>
      <c r="P1621" s="12" t="n"/>
      <c r="Q1621" s="11" t="n"/>
      <c r="R1621" s="12" t="n"/>
      <c r="S1621" s="11" t="n"/>
      <c r="T1621" s="12" t="n"/>
      <c r="U1621" s="12" t="n"/>
      <c r="V1621" s="12" t="n"/>
      <c r="W1621" s="13" t="n"/>
      <c r="X1621" s="14">
        <f>IF($AP1621="",IF($B1621="","",$H1621),IF(INDEX(職員マスタ!$B$6:$B$405,$AP1621)="",$H1621,INDEX(職員マスタ!$B$6:$B$405,$AP1621)))</f>
        <v/>
      </c>
      <c r="Y1621" s="14">
        <f>IF($AP1621="",IF($B1621="","",$R1621),IF(INDEX(職員マスタ!$C$6:$C$405,$AP1621)="",$R1621,INDEX(職員マスタ!$C$6:$C$405,$AP1621)))</f>
        <v/>
      </c>
      <c r="Z1621" s="14">
        <f>IF($AQ1621="","","R"&amp;$C1621&amp;"."&amp;$D1621)</f>
        <v/>
      </c>
      <c r="AA1621" s="15">
        <f>IF(IF($AP1621="",FALSE,INDEX(職員マスタ!$K$6:$K$405,$AP1621)&lt;&gt;""),INDEX(職員マスタ!$K$6:$K$405,$AP1621),IF(N($W1621)&gt;0,$W1621,""))</f>
        <v/>
      </c>
      <c r="AB1621" s="14">
        <f>IF(OR($E1621="",$AA1621=""),"",IF($E1621&gt;=$AA1621,"×",IF($E1621&gt;=$AA1621*設定!$C$5,"△","○")))</f>
        <v/>
      </c>
      <c r="AC1621" s="15">
        <f>IF($AB1621="","",IF($AB1621="×",0,IF($AB1621="○",ROUNDDOWN($E1621*設定!$C$4,0),ROUNDDOWN($E1621*ROUND((9*$AA1621-9*$E1621)/(10*$E1621),4),0))))</f>
        <v/>
      </c>
      <c r="AD1621" s="13" t="n"/>
      <c r="AE1621" s="15">
        <f>IF($B1621="","",IF($AD1621&lt;&gt;"",$AD1621,IF($AC1621="","",IF($AC1621&lt;=設定!$C$3,0,$AC1621))))</f>
        <v/>
      </c>
      <c r="AF1621" s="14">
        <f>IF($B1621="","",IF(AND($AG1621&lt;&gt;"",$AI1621="",$AL1621=""),"保留中",IF($AL1621&lt;&gt;"",IF(N($AE1621)&gt;0,"支給済","不支給"),IF($AE1621="","要確認",IF($AE1621=0,"不支給","未処理")))))</f>
        <v/>
      </c>
      <c r="AG1621" s="12" t="n"/>
      <c r="AH1621" s="11" t="n"/>
      <c r="AI1621" s="11" t="n"/>
      <c r="AJ1621" s="11" t="n"/>
      <c r="AK1621" s="14">
        <f>IF(AND($AF1621="保留中",$AH1621&lt;&gt;""),TODAY()-$AH1621,"")</f>
        <v/>
      </c>
      <c r="AL1621" s="12" t="n"/>
      <c r="AM1621" s="14">
        <f>IF($B1621="","",IF($AQ1621="","対象年月が未入力／","")&amp;IF($B1621="","",IF($AP1621="","職員マスタに未登録の職員番号／",IF($AA1621="","標準報酬月額が未登録／","")&amp;IF(AND($AQ1621&lt;&gt;"",OR(AND(INDEX(職員マスタ!$G$6:$G$405,$AP1621)&lt;&gt;"",INDEX(職員マスタ!$G$6:$G$405,$AP1621)&gt;EOMONTH($AQ1621,0)),AND(INDEX(職員マスタ!$H$6:$H$405,$AP1621)&lt;&gt;"",INDEX(職員マスタ!$H$6:$H$405,$AP1621)&lt;$AQ1621))),"対象月が時短期間外／","")&amp;IF(AND(INDEX(職員マスタ!$K$6:$K$405,$AP1621)&lt;&gt;"",N($W1621)&gt;0,INDEX(職員マスタ!$K$6:$K$405,$AP1621)&lt;&gt;$W1621),"標準報酬月額が申請書と相違（台帳"&amp;TEXT(INDEX(職員マスタ!$K$6:$K$405,$AP1621),"#,##0")&amp;"円／申請書"&amp;TEXT($W1621,"#,##0")&amp;"円）／","")&amp;IF(AND(INDEX(職員マスタ!$F$6:$F$405,$AP1621)&lt;&gt;"",$AQ1621&lt;&gt;"",INDEX(職員マスタ!$F$6:$F$405,$AP1621)&lt;$AQ1621),"対象月に子が2歳到達済／","")&amp;IF(AND($H1621&lt;&gt;"",INDEX(職員マスタ!$B$6:$B$405,$AP1621)&lt;&gt;"",SUBSTITUTE(SUBSTITUTE($H1621," ","")," ","")&lt;&gt;SUBSTITUTE(SUBSTITUTE(INDEX(職員マスタ!$B$6:$B$405,$AP1621)," ","")," ","")),"氏名がマスタと相違／","")&amp;IF(AND($Q1621&lt;&gt;"",INDEX(職員マスタ!$E$6:$E$405,$AP1621)&lt;&gt;"",$Q1621&lt;&gt;INDEX(職員マスタ!$E$6:$E$405,$AP1621)),"子の生年月日がマスタと相違／","")&amp;IF(AND($L1621&lt;&gt;"",INDEX(職員マスタ!$G$6:$G$405,$AP1621)&lt;&gt;"",$L1621&lt;&gt;INDEX(職員マスタ!$G$6:$G$405,$AP1621)),"時短開始日がマスタと相違／","")&amp;IF(AND($M1621&lt;&gt;"",INDEX(職員マスタ!$H$6:$H$405,$AP1621)&lt;&gt;"",$M1621&lt;&gt;INDEX(職員マスタ!$H$6:$H$405,$AP1621)),"時短終了日がマスタと相違／","")))&amp;IF(AND($B1621&lt;&gt;"",$E1621=""),"報酬額が未入力／","")&amp;IF(N($U1621)&gt;0,"申請書に入力エラーが残っています／","")&amp;IF(AND($B1621&lt;&gt;"",$AQ1621&lt;&gt;""),IF(COUNTIFS($B$6:$B$3005,$B1621,$C$6:$C$3005,$C1621,$D$6:$D$3005,$D1621)&gt;1,"同じ月の請求が重複しています／",""),"")&amp;IF(AND(N($E1621)&gt;0,$AB1621&lt;&gt;"",$AB1621&lt;&gt;"×",$AE1621=0,$AD1621=""),"計算額が下限以下のため不支給／",""))</f>
        <v/>
      </c>
      <c r="AN1621" s="12" t="n"/>
      <c r="AO1621" s="14">
        <f>IF($AF1621="保留中",COUNTIF($AF$6:$AF1621,"保留中"),"")</f>
        <v/>
      </c>
      <c r="AP1621" s="14">
        <f>IF($AQ1621="","",IF(SUMPRODUCT(MAX((職員マスタ!$A$6:$A$405=$B1621)*(((職員マスタ!$G$6:$G$405="")+(職員マスタ!$G$6:$G$405&lt;=EOMONTH($AQ1621,0)))&gt;0)*(((職員マスタ!$H$6:$H$405="")+(職員マスタ!$H$6:$H$405&gt;=$AQ1621))&gt;0)*(ROW(職員マスタ!$A$6:$A$405)-5)))&gt;0,SUMPRODUCT(MAX((職員マスタ!$A$6:$A$405=$B1621)*(((職員マスタ!$G$6:$G$405="")+(職員マスタ!$G$6:$G$405&lt;=EOMONTH($AQ1621,0)))&gt;0)*(((職員マスタ!$H$6:$H$405="")+(職員マスタ!$H$6:$H$405&gt;=$AQ1621))&gt;0)*(ROW(職員マスタ!$A$6:$A$405)-5))),IFERROR(MATCH($B1621,職員マスタ!$A$6:$A$405,0),"")))</f>
        <v/>
      </c>
      <c r="AQ1621" s="16">
        <f>IF(OR($B1621="",$C1621="",$D1621=""),"",DATE($C1621+2018,$D1621,1))</f>
        <v/>
      </c>
    </row>
    <row r="1622">
      <c r="A1622" s="11" t="n"/>
      <c r="B1622" s="12" t="n"/>
      <c r="C1622" s="12" t="n"/>
      <c r="D1622" s="12" t="n"/>
      <c r="E1622" s="13" t="n"/>
      <c r="F1622" s="12" t="n"/>
      <c r="G1622" s="13" t="n"/>
      <c r="H1622" s="12" t="n"/>
      <c r="I1622" s="12" t="n"/>
      <c r="J1622" s="12" t="n"/>
      <c r="K1622" s="12" t="n"/>
      <c r="L1622" s="11" t="n"/>
      <c r="M1622" s="11" t="n"/>
      <c r="N1622" s="11" t="n"/>
      <c r="O1622" s="11" t="n"/>
      <c r="P1622" s="12" t="n"/>
      <c r="Q1622" s="11" t="n"/>
      <c r="R1622" s="12" t="n"/>
      <c r="S1622" s="11" t="n"/>
      <c r="T1622" s="12" t="n"/>
      <c r="U1622" s="12" t="n"/>
      <c r="V1622" s="12" t="n"/>
      <c r="W1622" s="13" t="n"/>
      <c r="X1622" s="14">
        <f>IF($AP1622="",IF($B1622="","",$H1622),IF(INDEX(職員マスタ!$B$6:$B$405,$AP1622)="",$H1622,INDEX(職員マスタ!$B$6:$B$405,$AP1622)))</f>
        <v/>
      </c>
      <c r="Y1622" s="14">
        <f>IF($AP1622="",IF($B1622="","",$R1622),IF(INDEX(職員マスタ!$C$6:$C$405,$AP1622)="",$R1622,INDEX(職員マスタ!$C$6:$C$405,$AP1622)))</f>
        <v/>
      </c>
      <c r="Z1622" s="14">
        <f>IF($AQ1622="","","R"&amp;$C1622&amp;"."&amp;$D1622)</f>
        <v/>
      </c>
      <c r="AA1622" s="15">
        <f>IF(IF($AP1622="",FALSE,INDEX(職員マスタ!$K$6:$K$405,$AP1622)&lt;&gt;""),INDEX(職員マスタ!$K$6:$K$405,$AP1622),IF(N($W1622)&gt;0,$W1622,""))</f>
        <v/>
      </c>
      <c r="AB1622" s="14">
        <f>IF(OR($E1622="",$AA1622=""),"",IF($E1622&gt;=$AA1622,"×",IF($E1622&gt;=$AA1622*設定!$C$5,"△","○")))</f>
        <v/>
      </c>
      <c r="AC1622" s="15">
        <f>IF($AB1622="","",IF($AB1622="×",0,IF($AB1622="○",ROUNDDOWN($E1622*設定!$C$4,0),ROUNDDOWN($E1622*ROUND((9*$AA1622-9*$E1622)/(10*$E1622),4),0))))</f>
        <v/>
      </c>
      <c r="AD1622" s="13" t="n"/>
      <c r="AE1622" s="15">
        <f>IF($B1622="","",IF($AD1622&lt;&gt;"",$AD1622,IF($AC1622="","",IF($AC1622&lt;=設定!$C$3,0,$AC1622))))</f>
        <v/>
      </c>
      <c r="AF1622" s="14">
        <f>IF($B1622="","",IF(AND($AG1622&lt;&gt;"",$AI1622="",$AL1622=""),"保留中",IF($AL1622&lt;&gt;"",IF(N($AE1622)&gt;0,"支給済","不支給"),IF($AE1622="","要確認",IF($AE1622=0,"不支給","未処理")))))</f>
        <v/>
      </c>
      <c r="AG1622" s="12" t="n"/>
      <c r="AH1622" s="11" t="n"/>
      <c r="AI1622" s="11" t="n"/>
      <c r="AJ1622" s="11" t="n"/>
      <c r="AK1622" s="14">
        <f>IF(AND($AF1622="保留中",$AH1622&lt;&gt;""),TODAY()-$AH1622,"")</f>
        <v/>
      </c>
      <c r="AL1622" s="12" t="n"/>
      <c r="AM1622" s="14">
        <f>IF($B1622="","",IF($AQ1622="","対象年月が未入力／","")&amp;IF($B1622="","",IF($AP1622="","職員マスタに未登録の職員番号／",IF($AA1622="","標準報酬月額が未登録／","")&amp;IF(AND($AQ1622&lt;&gt;"",OR(AND(INDEX(職員マスタ!$G$6:$G$405,$AP1622)&lt;&gt;"",INDEX(職員マスタ!$G$6:$G$405,$AP1622)&gt;EOMONTH($AQ1622,0)),AND(INDEX(職員マスタ!$H$6:$H$405,$AP1622)&lt;&gt;"",INDEX(職員マスタ!$H$6:$H$405,$AP1622)&lt;$AQ1622))),"対象月が時短期間外／","")&amp;IF(AND(INDEX(職員マスタ!$K$6:$K$405,$AP1622)&lt;&gt;"",N($W1622)&gt;0,INDEX(職員マスタ!$K$6:$K$405,$AP1622)&lt;&gt;$W1622),"標準報酬月額が申請書と相違（台帳"&amp;TEXT(INDEX(職員マスタ!$K$6:$K$405,$AP1622),"#,##0")&amp;"円／申請書"&amp;TEXT($W1622,"#,##0")&amp;"円）／","")&amp;IF(AND(INDEX(職員マスタ!$F$6:$F$405,$AP1622)&lt;&gt;"",$AQ1622&lt;&gt;"",INDEX(職員マスタ!$F$6:$F$405,$AP1622)&lt;$AQ1622),"対象月に子が2歳到達済／","")&amp;IF(AND($H1622&lt;&gt;"",INDEX(職員マスタ!$B$6:$B$405,$AP1622)&lt;&gt;"",SUBSTITUTE(SUBSTITUTE($H1622," ","")," ","")&lt;&gt;SUBSTITUTE(SUBSTITUTE(INDEX(職員マスタ!$B$6:$B$405,$AP1622)," ","")," ","")),"氏名がマスタと相違／","")&amp;IF(AND($Q1622&lt;&gt;"",INDEX(職員マスタ!$E$6:$E$405,$AP1622)&lt;&gt;"",$Q1622&lt;&gt;INDEX(職員マスタ!$E$6:$E$405,$AP1622)),"子の生年月日がマスタと相違／","")&amp;IF(AND($L1622&lt;&gt;"",INDEX(職員マスタ!$G$6:$G$405,$AP1622)&lt;&gt;"",$L1622&lt;&gt;INDEX(職員マスタ!$G$6:$G$405,$AP1622)),"時短開始日がマスタと相違／","")&amp;IF(AND($M1622&lt;&gt;"",INDEX(職員マスタ!$H$6:$H$405,$AP1622)&lt;&gt;"",$M1622&lt;&gt;INDEX(職員マスタ!$H$6:$H$405,$AP1622)),"時短終了日がマスタと相違／","")))&amp;IF(AND($B1622&lt;&gt;"",$E1622=""),"報酬額が未入力／","")&amp;IF(N($U1622)&gt;0,"申請書に入力エラーが残っています／","")&amp;IF(AND($B1622&lt;&gt;"",$AQ1622&lt;&gt;""),IF(COUNTIFS($B$6:$B$3005,$B1622,$C$6:$C$3005,$C1622,$D$6:$D$3005,$D1622)&gt;1,"同じ月の請求が重複しています／",""),"")&amp;IF(AND(N($E1622)&gt;0,$AB1622&lt;&gt;"",$AB1622&lt;&gt;"×",$AE1622=0,$AD1622=""),"計算額が下限以下のため不支給／",""))</f>
        <v/>
      </c>
      <c r="AN1622" s="12" t="n"/>
      <c r="AO1622" s="14">
        <f>IF($AF1622="保留中",COUNTIF($AF$6:$AF1622,"保留中"),"")</f>
        <v/>
      </c>
      <c r="AP1622" s="14">
        <f>IF($AQ1622="","",IF(SUMPRODUCT(MAX((職員マスタ!$A$6:$A$405=$B1622)*(((職員マスタ!$G$6:$G$405="")+(職員マスタ!$G$6:$G$405&lt;=EOMONTH($AQ1622,0)))&gt;0)*(((職員マスタ!$H$6:$H$405="")+(職員マスタ!$H$6:$H$405&gt;=$AQ1622))&gt;0)*(ROW(職員マスタ!$A$6:$A$405)-5)))&gt;0,SUMPRODUCT(MAX((職員マスタ!$A$6:$A$405=$B1622)*(((職員マスタ!$G$6:$G$405="")+(職員マスタ!$G$6:$G$405&lt;=EOMONTH($AQ1622,0)))&gt;0)*(((職員マスタ!$H$6:$H$405="")+(職員マスタ!$H$6:$H$405&gt;=$AQ1622))&gt;0)*(ROW(職員マスタ!$A$6:$A$405)-5))),IFERROR(MATCH($B1622,職員マスタ!$A$6:$A$405,0),"")))</f>
        <v/>
      </c>
      <c r="AQ1622" s="16">
        <f>IF(OR($B1622="",$C1622="",$D1622=""),"",DATE($C1622+2018,$D1622,1))</f>
        <v/>
      </c>
    </row>
    <row r="1623">
      <c r="A1623" s="11" t="n"/>
      <c r="B1623" s="12" t="n"/>
      <c r="C1623" s="12" t="n"/>
      <c r="D1623" s="12" t="n"/>
      <c r="E1623" s="13" t="n"/>
      <c r="F1623" s="12" t="n"/>
      <c r="G1623" s="13" t="n"/>
      <c r="H1623" s="12" t="n"/>
      <c r="I1623" s="12" t="n"/>
      <c r="J1623" s="12" t="n"/>
      <c r="K1623" s="12" t="n"/>
      <c r="L1623" s="11" t="n"/>
      <c r="M1623" s="11" t="n"/>
      <c r="N1623" s="11" t="n"/>
      <c r="O1623" s="11" t="n"/>
      <c r="P1623" s="12" t="n"/>
      <c r="Q1623" s="11" t="n"/>
      <c r="R1623" s="12" t="n"/>
      <c r="S1623" s="11" t="n"/>
      <c r="T1623" s="12" t="n"/>
      <c r="U1623" s="12" t="n"/>
      <c r="V1623" s="12" t="n"/>
      <c r="W1623" s="13" t="n"/>
      <c r="X1623" s="14">
        <f>IF($AP1623="",IF($B1623="","",$H1623),IF(INDEX(職員マスタ!$B$6:$B$405,$AP1623)="",$H1623,INDEX(職員マスタ!$B$6:$B$405,$AP1623)))</f>
        <v/>
      </c>
      <c r="Y1623" s="14">
        <f>IF($AP1623="",IF($B1623="","",$R1623),IF(INDEX(職員マスタ!$C$6:$C$405,$AP1623)="",$R1623,INDEX(職員マスタ!$C$6:$C$405,$AP1623)))</f>
        <v/>
      </c>
      <c r="Z1623" s="14">
        <f>IF($AQ1623="","","R"&amp;$C1623&amp;"."&amp;$D1623)</f>
        <v/>
      </c>
      <c r="AA1623" s="15">
        <f>IF(IF($AP1623="",FALSE,INDEX(職員マスタ!$K$6:$K$405,$AP1623)&lt;&gt;""),INDEX(職員マスタ!$K$6:$K$405,$AP1623),IF(N($W1623)&gt;0,$W1623,""))</f>
        <v/>
      </c>
      <c r="AB1623" s="14">
        <f>IF(OR($E1623="",$AA1623=""),"",IF($E1623&gt;=$AA1623,"×",IF($E1623&gt;=$AA1623*設定!$C$5,"△","○")))</f>
        <v/>
      </c>
      <c r="AC1623" s="15">
        <f>IF($AB1623="","",IF($AB1623="×",0,IF($AB1623="○",ROUNDDOWN($E1623*設定!$C$4,0),ROUNDDOWN($E1623*ROUND((9*$AA1623-9*$E1623)/(10*$E1623),4),0))))</f>
        <v/>
      </c>
      <c r="AD1623" s="13" t="n"/>
      <c r="AE1623" s="15">
        <f>IF($B1623="","",IF($AD1623&lt;&gt;"",$AD1623,IF($AC1623="","",IF($AC1623&lt;=設定!$C$3,0,$AC1623))))</f>
        <v/>
      </c>
      <c r="AF1623" s="14">
        <f>IF($B1623="","",IF(AND($AG1623&lt;&gt;"",$AI1623="",$AL1623=""),"保留中",IF($AL1623&lt;&gt;"",IF(N($AE1623)&gt;0,"支給済","不支給"),IF($AE1623="","要確認",IF($AE1623=0,"不支給","未処理")))))</f>
        <v/>
      </c>
      <c r="AG1623" s="12" t="n"/>
      <c r="AH1623" s="11" t="n"/>
      <c r="AI1623" s="11" t="n"/>
      <c r="AJ1623" s="11" t="n"/>
      <c r="AK1623" s="14">
        <f>IF(AND($AF1623="保留中",$AH1623&lt;&gt;""),TODAY()-$AH1623,"")</f>
        <v/>
      </c>
      <c r="AL1623" s="12" t="n"/>
      <c r="AM1623" s="14">
        <f>IF($B1623="","",IF($AQ1623="","対象年月が未入力／","")&amp;IF($B1623="","",IF($AP1623="","職員マスタに未登録の職員番号／",IF($AA1623="","標準報酬月額が未登録／","")&amp;IF(AND($AQ1623&lt;&gt;"",OR(AND(INDEX(職員マスタ!$G$6:$G$405,$AP1623)&lt;&gt;"",INDEX(職員マスタ!$G$6:$G$405,$AP1623)&gt;EOMONTH($AQ1623,0)),AND(INDEX(職員マスタ!$H$6:$H$405,$AP1623)&lt;&gt;"",INDEX(職員マスタ!$H$6:$H$405,$AP1623)&lt;$AQ1623))),"対象月が時短期間外／","")&amp;IF(AND(INDEX(職員マスタ!$K$6:$K$405,$AP1623)&lt;&gt;"",N($W1623)&gt;0,INDEX(職員マスタ!$K$6:$K$405,$AP1623)&lt;&gt;$W1623),"標準報酬月額が申請書と相違（台帳"&amp;TEXT(INDEX(職員マスタ!$K$6:$K$405,$AP1623),"#,##0")&amp;"円／申請書"&amp;TEXT($W1623,"#,##0")&amp;"円）／","")&amp;IF(AND(INDEX(職員マスタ!$F$6:$F$405,$AP1623)&lt;&gt;"",$AQ1623&lt;&gt;"",INDEX(職員マスタ!$F$6:$F$405,$AP1623)&lt;$AQ1623),"対象月に子が2歳到達済／","")&amp;IF(AND($H1623&lt;&gt;"",INDEX(職員マスタ!$B$6:$B$405,$AP1623)&lt;&gt;"",SUBSTITUTE(SUBSTITUTE($H1623," ","")," ","")&lt;&gt;SUBSTITUTE(SUBSTITUTE(INDEX(職員マスタ!$B$6:$B$405,$AP1623)," ","")," ","")),"氏名がマスタと相違／","")&amp;IF(AND($Q1623&lt;&gt;"",INDEX(職員マスタ!$E$6:$E$405,$AP1623)&lt;&gt;"",$Q1623&lt;&gt;INDEX(職員マスタ!$E$6:$E$405,$AP1623)),"子の生年月日がマスタと相違／","")&amp;IF(AND($L1623&lt;&gt;"",INDEX(職員マスタ!$G$6:$G$405,$AP1623)&lt;&gt;"",$L1623&lt;&gt;INDEX(職員マスタ!$G$6:$G$405,$AP1623)),"時短開始日がマスタと相違／","")&amp;IF(AND($M1623&lt;&gt;"",INDEX(職員マスタ!$H$6:$H$405,$AP1623)&lt;&gt;"",$M1623&lt;&gt;INDEX(職員マスタ!$H$6:$H$405,$AP1623)),"時短終了日がマスタと相違／","")))&amp;IF(AND($B1623&lt;&gt;"",$E1623=""),"報酬額が未入力／","")&amp;IF(N($U1623)&gt;0,"申請書に入力エラーが残っています／","")&amp;IF(AND($B1623&lt;&gt;"",$AQ1623&lt;&gt;""),IF(COUNTIFS($B$6:$B$3005,$B1623,$C$6:$C$3005,$C1623,$D$6:$D$3005,$D1623)&gt;1,"同じ月の請求が重複しています／",""),"")&amp;IF(AND(N($E1623)&gt;0,$AB1623&lt;&gt;"",$AB1623&lt;&gt;"×",$AE1623=0,$AD1623=""),"計算額が下限以下のため不支給／",""))</f>
        <v/>
      </c>
      <c r="AN1623" s="12" t="n"/>
      <c r="AO1623" s="14">
        <f>IF($AF1623="保留中",COUNTIF($AF$6:$AF1623,"保留中"),"")</f>
        <v/>
      </c>
      <c r="AP1623" s="14">
        <f>IF($AQ1623="","",IF(SUMPRODUCT(MAX((職員マスタ!$A$6:$A$405=$B1623)*(((職員マスタ!$G$6:$G$405="")+(職員マスタ!$G$6:$G$405&lt;=EOMONTH($AQ1623,0)))&gt;0)*(((職員マスタ!$H$6:$H$405="")+(職員マスタ!$H$6:$H$405&gt;=$AQ1623))&gt;0)*(ROW(職員マスタ!$A$6:$A$405)-5)))&gt;0,SUMPRODUCT(MAX((職員マスタ!$A$6:$A$405=$B1623)*(((職員マスタ!$G$6:$G$405="")+(職員マスタ!$G$6:$G$405&lt;=EOMONTH($AQ1623,0)))&gt;0)*(((職員マスタ!$H$6:$H$405="")+(職員マスタ!$H$6:$H$405&gt;=$AQ1623))&gt;0)*(ROW(職員マスタ!$A$6:$A$405)-5))),IFERROR(MATCH($B1623,職員マスタ!$A$6:$A$405,0),"")))</f>
        <v/>
      </c>
      <c r="AQ1623" s="16">
        <f>IF(OR($B1623="",$C1623="",$D1623=""),"",DATE($C1623+2018,$D1623,1))</f>
        <v/>
      </c>
    </row>
    <row r="1624">
      <c r="A1624" s="11" t="n"/>
      <c r="B1624" s="12" t="n"/>
      <c r="C1624" s="12" t="n"/>
      <c r="D1624" s="12" t="n"/>
      <c r="E1624" s="13" t="n"/>
      <c r="F1624" s="12" t="n"/>
      <c r="G1624" s="13" t="n"/>
      <c r="H1624" s="12" t="n"/>
      <c r="I1624" s="12" t="n"/>
      <c r="J1624" s="12" t="n"/>
      <c r="K1624" s="12" t="n"/>
      <c r="L1624" s="11" t="n"/>
      <c r="M1624" s="11" t="n"/>
      <c r="N1624" s="11" t="n"/>
      <c r="O1624" s="11" t="n"/>
      <c r="P1624" s="12" t="n"/>
      <c r="Q1624" s="11" t="n"/>
      <c r="R1624" s="12" t="n"/>
      <c r="S1624" s="11" t="n"/>
      <c r="T1624" s="12" t="n"/>
      <c r="U1624" s="12" t="n"/>
      <c r="V1624" s="12" t="n"/>
      <c r="W1624" s="13" t="n"/>
      <c r="X1624" s="14">
        <f>IF($AP1624="",IF($B1624="","",$H1624),IF(INDEX(職員マスタ!$B$6:$B$405,$AP1624)="",$H1624,INDEX(職員マスタ!$B$6:$B$405,$AP1624)))</f>
        <v/>
      </c>
      <c r="Y1624" s="14">
        <f>IF($AP1624="",IF($B1624="","",$R1624),IF(INDEX(職員マスタ!$C$6:$C$405,$AP1624)="",$R1624,INDEX(職員マスタ!$C$6:$C$405,$AP1624)))</f>
        <v/>
      </c>
      <c r="Z1624" s="14">
        <f>IF($AQ1624="","","R"&amp;$C1624&amp;"."&amp;$D1624)</f>
        <v/>
      </c>
      <c r="AA1624" s="15">
        <f>IF(IF($AP1624="",FALSE,INDEX(職員マスタ!$K$6:$K$405,$AP1624)&lt;&gt;""),INDEX(職員マスタ!$K$6:$K$405,$AP1624),IF(N($W1624)&gt;0,$W1624,""))</f>
        <v/>
      </c>
      <c r="AB1624" s="14">
        <f>IF(OR($E1624="",$AA1624=""),"",IF($E1624&gt;=$AA1624,"×",IF($E1624&gt;=$AA1624*設定!$C$5,"△","○")))</f>
        <v/>
      </c>
      <c r="AC1624" s="15">
        <f>IF($AB1624="","",IF($AB1624="×",0,IF($AB1624="○",ROUNDDOWN($E1624*設定!$C$4,0),ROUNDDOWN($E1624*ROUND((9*$AA1624-9*$E1624)/(10*$E1624),4),0))))</f>
        <v/>
      </c>
      <c r="AD1624" s="13" t="n"/>
      <c r="AE1624" s="15">
        <f>IF($B1624="","",IF($AD1624&lt;&gt;"",$AD1624,IF($AC1624="","",IF($AC1624&lt;=設定!$C$3,0,$AC1624))))</f>
        <v/>
      </c>
      <c r="AF1624" s="14">
        <f>IF($B1624="","",IF(AND($AG1624&lt;&gt;"",$AI1624="",$AL1624=""),"保留中",IF($AL1624&lt;&gt;"",IF(N($AE1624)&gt;0,"支給済","不支給"),IF($AE1624="","要確認",IF($AE1624=0,"不支給","未処理")))))</f>
        <v/>
      </c>
      <c r="AG1624" s="12" t="n"/>
      <c r="AH1624" s="11" t="n"/>
      <c r="AI1624" s="11" t="n"/>
      <c r="AJ1624" s="11" t="n"/>
      <c r="AK1624" s="14">
        <f>IF(AND($AF1624="保留中",$AH1624&lt;&gt;""),TODAY()-$AH1624,"")</f>
        <v/>
      </c>
      <c r="AL1624" s="12" t="n"/>
      <c r="AM1624" s="14">
        <f>IF($B1624="","",IF($AQ1624="","対象年月が未入力／","")&amp;IF($B1624="","",IF($AP1624="","職員マスタに未登録の職員番号／",IF($AA1624="","標準報酬月額が未登録／","")&amp;IF(AND($AQ1624&lt;&gt;"",OR(AND(INDEX(職員マスタ!$G$6:$G$405,$AP1624)&lt;&gt;"",INDEX(職員マスタ!$G$6:$G$405,$AP1624)&gt;EOMONTH($AQ1624,0)),AND(INDEX(職員マスタ!$H$6:$H$405,$AP1624)&lt;&gt;"",INDEX(職員マスタ!$H$6:$H$405,$AP1624)&lt;$AQ1624))),"対象月が時短期間外／","")&amp;IF(AND(INDEX(職員マスタ!$K$6:$K$405,$AP1624)&lt;&gt;"",N($W1624)&gt;0,INDEX(職員マスタ!$K$6:$K$405,$AP1624)&lt;&gt;$W1624),"標準報酬月額が申請書と相違（台帳"&amp;TEXT(INDEX(職員マスタ!$K$6:$K$405,$AP1624),"#,##0")&amp;"円／申請書"&amp;TEXT($W1624,"#,##0")&amp;"円）／","")&amp;IF(AND(INDEX(職員マスタ!$F$6:$F$405,$AP1624)&lt;&gt;"",$AQ1624&lt;&gt;"",INDEX(職員マスタ!$F$6:$F$405,$AP1624)&lt;$AQ1624),"対象月に子が2歳到達済／","")&amp;IF(AND($H1624&lt;&gt;"",INDEX(職員マスタ!$B$6:$B$405,$AP1624)&lt;&gt;"",SUBSTITUTE(SUBSTITUTE($H1624," ","")," ","")&lt;&gt;SUBSTITUTE(SUBSTITUTE(INDEX(職員マスタ!$B$6:$B$405,$AP1624)," ","")," ","")),"氏名がマスタと相違／","")&amp;IF(AND($Q1624&lt;&gt;"",INDEX(職員マスタ!$E$6:$E$405,$AP1624)&lt;&gt;"",$Q1624&lt;&gt;INDEX(職員マスタ!$E$6:$E$405,$AP1624)),"子の生年月日がマスタと相違／","")&amp;IF(AND($L1624&lt;&gt;"",INDEX(職員マスタ!$G$6:$G$405,$AP1624)&lt;&gt;"",$L1624&lt;&gt;INDEX(職員マスタ!$G$6:$G$405,$AP1624)),"時短開始日がマスタと相違／","")&amp;IF(AND($M1624&lt;&gt;"",INDEX(職員マスタ!$H$6:$H$405,$AP1624)&lt;&gt;"",$M1624&lt;&gt;INDEX(職員マスタ!$H$6:$H$405,$AP1624)),"時短終了日がマスタと相違／","")))&amp;IF(AND($B1624&lt;&gt;"",$E1624=""),"報酬額が未入力／","")&amp;IF(N($U1624)&gt;0,"申請書に入力エラーが残っています／","")&amp;IF(AND($B1624&lt;&gt;"",$AQ1624&lt;&gt;""),IF(COUNTIFS($B$6:$B$3005,$B1624,$C$6:$C$3005,$C1624,$D$6:$D$3005,$D1624)&gt;1,"同じ月の請求が重複しています／",""),"")&amp;IF(AND(N($E1624)&gt;0,$AB1624&lt;&gt;"",$AB1624&lt;&gt;"×",$AE1624=0,$AD1624=""),"計算額が下限以下のため不支給／",""))</f>
        <v/>
      </c>
      <c r="AN1624" s="12" t="n"/>
      <c r="AO1624" s="14">
        <f>IF($AF1624="保留中",COUNTIF($AF$6:$AF1624,"保留中"),"")</f>
        <v/>
      </c>
      <c r="AP1624" s="14">
        <f>IF($AQ1624="","",IF(SUMPRODUCT(MAX((職員マスタ!$A$6:$A$405=$B1624)*(((職員マスタ!$G$6:$G$405="")+(職員マスタ!$G$6:$G$405&lt;=EOMONTH($AQ1624,0)))&gt;0)*(((職員マスタ!$H$6:$H$405="")+(職員マスタ!$H$6:$H$405&gt;=$AQ1624))&gt;0)*(ROW(職員マスタ!$A$6:$A$405)-5)))&gt;0,SUMPRODUCT(MAX((職員マスタ!$A$6:$A$405=$B1624)*(((職員マスタ!$G$6:$G$405="")+(職員マスタ!$G$6:$G$405&lt;=EOMONTH($AQ1624,0)))&gt;0)*(((職員マスタ!$H$6:$H$405="")+(職員マスタ!$H$6:$H$405&gt;=$AQ1624))&gt;0)*(ROW(職員マスタ!$A$6:$A$405)-5))),IFERROR(MATCH($B1624,職員マスタ!$A$6:$A$405,0),"")))</f>
        <v/>
      </c>
      <c r="AQ1624" s="16">
        <f>IF(OR($B1624="",$C1624="",$D1624=""),"",DATE($C1624+2018,$D1624,1))</f>
        <v/>
      </c>
    </row>
    <row r="1625">
      <c r="A1625" s="11" t="n"/>
      <c r="B1625" s="12" t="n"/>
      <c r="C1625" s="12" t="n"/>
      <c r="D1625" s="12" t="n"/>
      <c r="E1625" s="13" t="n"/>
      <c r="F1625" s="12" t="n"/>
      <c r="G1625" s="13" t="n"/>
      <c r="H1625" s="12" t="n"/>
      <c r="I1625" s="12" t="n"/>
      <c r="J1625" s="12" t="n"/>
      <c r="K1625" s="12" t="n"/>
      <c r="L1625" s="11" t="n"/>
      <c r="M1625" s="11" t="n"/>
      <c r="N1625" s="11" t="n"/>
      <c r="O1625" s="11" t="n"/>
      <c r="P1625" s="12" t="n"/>
      <c r="Q1625" s="11" t="n"/>
      <c r="R1625" s="12" t="n"/>
      <c r="S1625" s="11" t="n"/>
      <c r="T1625" s="12" t="n"/>
      <c r="U1625" s="12" t="n"/>
      <c r="V1625" s="12" t="n"/>
      <c r="W1625" s="13" t="n"/>
      <c r="X1625" s="14">
        <f>IF($AP1625="",IF($B1625="","",$H1625),IF(INDEX(職員マスタ!$B$6:$B$405,$AP1625)="",$H1625,INDEX(職員マスタ!$B$6:$B$405,$AP1625)))</f>
        <v/>
      </c>
      <c r="Y1625" s="14">
        <f>IF($AP1625="",IF($B1625="","",$R1625),IF(INDEX(職員マスタ!$C$6:$C$405,$AP1625)="",$R1625,INDEX(職員マスタ!$C$6:$C$405,$AP1625)))</f>
        <v/>
      </c>
      <c r="Z1625" s="14">
        <f>IF($AQ1625="","","R"&amp;$C1625&amp;"."&amp;$D1625)</f>
        <v/>
      </c>
      <c r="AA1625" s="15">
        <f>IF(IF($AP1625="",FALSE,INDEX(職員マスタ!$K$6:$K$405,$AP1625)&lt;&gt;""),INDEX(職員マスタ!$K$6:$K$405,$AP1625),IF(N($W1625)&gt;0,$W1625,""))</f>
        <v/>
      </c>
      <c r="AB1625" s="14">
        <f>IF(OR($E1625="",$AA1625=""),"",IF($E1625&gt;=$AA1625,"×",IF($E1625&gt;=$AA1625*設定!$C$5,"△","○")))</f>
        <v/>
      </c>
      <c r="AC1625" s="15">
        <f>IF($AB1625="","",IF($AB1625="×",0,IF($AB1625="○",ROUNDDOWN($E1625*設定!$C$4,0),ROUNDDOWN($E1625*ROUND((9*$AA1625-9*$E1625)/(10*$E1625),4),0))))</f>
        <v/>
      </c>
      <c r="AD1625" s="13" t="n"/>
      <c r="AE1625" s="15">
        <f>IF($B1625="","",IF($AD1625&lt;&gt;"",$AD1625,IF($AC1625="","",IF($AC1625&lt;=設定!$C$3,0,$AC1625))))</f>
        <v/>
      </c>
      <c r="AF1625" s="14">
        <f>IF($B1625="","",IF(AND($AG1625&lt;&gt;"",$AI1625="",$AL1625=""),"保留中",IF($AL1625&lt;&gt;"",IF(N($AE1625)&gt;0,"支給済","不支給"),IF($AE1625="","要確認",IF($AE1625=0,"不支給","未処理")))))</f>
        <v/>
      </c>
      <c r="AG1625" s="12" t="n"/>
      <c r="AH1625" s="11" t="n"/>
      <c r="AI1625" s="11" t="n"/>
      <c r="AJ1625" s="11" t="n"/>
      <c r="AK1625" s="14">
        <f>IF(AND($AF1625="保留中",$AH1625&lt;&gt;""),TODAY()-$AH1625,"")</f>
        <v/>
      </c>
      <c r="AL1625" s="12" t="n"/>
      <c r="AM1625" s="14">
        <f>IF($B1625="","",IF($AQ1625="","対象年月が未入力／","")&amp;IF($B1625="","",IF($AP1625="","職員マスタに未登録の職員番号／",IF($AA1625="","標準報酬月額が未登録／","")&amp;IF(AND($AQ1625&lt;&gt;"",OR(AND(INDEX(職員マスタ!$G$6:$G$405,$AP1625)&lt;&gt;"",INDEX(職員マスタ!$G$6:$G$405,$AP1625)&gt;EOMONTH($AQ1625,0)),AND(INDEX(職員マスタ!$H$6:$H$405,$AP1625)&lt;&gt;"",INDEX(職員マスタ!$H$6:$H$405,$AP1625)&lt;$AQ1625))),"対象月が時短期間外／","")&amp;IF(AND(INDEX(職員マスタ!$K$6:$K$405,$AP1625)&lt;&gt;"",N($W1625)&gt;0,INDEX(職員マスタ!$K$6:$K$405,$AP1625)&lt;&gt;$W1625),"標準報酬月額が申請書と相違（台帳"&amp;TEXT(INDEX(職員マスタ!$K$6:$K$405,$AP1625),"#,##0")&amp;"円／申請書"&amp;TEXT($W1625,"#,##0")&amp;"円）／","")&amp;IF(AND(INDEX(職員マスタ!$F$6:$F$405,$AP1625)&lt;&gt;"",$AQ1625&lt;&gt;"",INDEX(職員マスタ!$F$6:$F$405,$AP1625)&lt;$AQ1625),"対象月に子が2歳到達済／","")&amp;IF(AND($H1625&lt;&gt;"",INDEX(職員マスタ!$B$6:$B$405,$AP1625)&lt;&gt;"",SUBSTITUTE(SUBSTITUTE($H1625," ","")," ","")&lt;&gt;SUBSTITUTE(SUBSTITUTE(INDEX(職員マスタ!$B$6:$B$405,$AP1625)," ","")," ","")),"氏名がマスタと相違／","")&amp;IF(AND($Q1625&lt;&gt;"",INDEX(職員マスタ!$E$6:$E$405,$AP1625)&lt;&gt;"",$Q1625&lt;&gt;INDEX(職員マスタ!$E$6:$E$405,$AP1625)),"子の生年月日がマスタと相違／","")&amp;IF(AND($L1625&lt;&gt;"",INDEX(職員マスタ!$G$6:$G$405,$AP1625)&lt;&gt;"",$L1625&lt;&gt;INDEX(職員マスタ!$G$6:$G$405,$AP1625)),"時短開始日がマスタと相違／","")&amp;IF(AND($M1625&lt;&gt;"",INDEX(職員マスタ!$H$6:$H$405,$AP1625)&lt;&gt;"",$M1625&lt;&gt;INDEX(職員マスタ!$H$6:$H$405,$AP1625)),"時短終了日がマスタと相違／","")))&amp;IF(AND($B1625&lt;&gt;"",$E1625=""),"報酬額が未入力／","")&amp;IF(N($U1625)&gt;0,"申請書に入力エラーが残っています／","")&amp;IF(AND($B1625&lt;&gt;"",$AQ1625&lt;&gt;""),IF(COUNTIFS($B$6:$B$3005,$B1625,$C$6:$C$3005,$C1625,$D$6:$D$3005,$D1625)&gt;1,"同じ月の請求が重複しています／",""),"")&amp;IF(AND(N($E1625)&gt;0,$AB1625&lt;&gt;"",$AB1625&lt;&gt;"×",$AE1625=0,$AD1625=""),"計算額が下限以下のため不支給／",""))</f>
        <v/>
      </c>
      <c r="AN1625" s="12" t="n"/>
      <c r="AO1625" s="14">
        <f>IF($AF1625="保留中",COUNTIF($AF$6:$AF1625,"保留中"),"")</f>
        <v/>
      </c>
      <c r="AP1625" s="14">
        <f>IF($AQ1625="","",IF(SUMPRODUCT(MAX((職員マスタ!$A$6:$A$405=$B1625)*(((職員マスタ!$G$6:$G$405="")+(職員マスタ!$G$6:$G$405&lt;=EOMONTH($AQ1625,0)))&gt;0)*(((職員マスタ!$H$6:$H$405="")+(職員マスタ!$H$6:$H$405&gt;=$AQ1625))&gt;0)*(ROW(職員マスタ!$A$6:$A$405)-5)))&gt;0,SUMPRODUCT(MAX((職員マスタ!$A$6:$A$405=$B1625)*(((職員マスタ!$G$6:$G$405="")+(職員マスタ!$G$6:$G$405&lt;=EOMONTH($AQ1625,0)))&gt;0)*(((職員マスタ!$H$6:$H$405="")+(職員マスタ!$H$6:$H$405&gt;=$AQ1625))&gt;0)*(ROW(職員マスタ!$A$6:$A$405)-5))),IFERROR(MATCH($B1625,職員マスタ!$A$6:$A$405,0),"")))</f>
        <v/>
      </c>
      <c r="AQ1625" s="16">
        <f>IF(OR($B1625="",$C1625="",$D1625=""),"",DATE($C1625+2018,$D1625,1))</f>
        <v/>
      </c>
    </row>
    <row r="1626">
      <c r="A1626" s="11" t="n"/>
      <c r="B1626" s="12" t="n"/>
      <c r="C1626" s="12" t="n"/>
      <c r="D1626" s="12" t="n"/>
      <c r="E1626" s="13" t="n"/>
      <c r="F1626" s="12" t="n"/>
      <c r="G1626" s="13" t="n"/>
      <c r="H1626" s="12" t="n"/>
      <c r="I1626" s="12" t="n"/>
      <c r="J1626" s="12" t="n"/>
      <c r="K1626" s="12" t="n"/>
      <c r="L1626" s="11" t="n"/>
      <c r="M1626" s="11" t="n"/>
      <c r="N1626" s="11" t="n"/>
      <c r="O1626" s="11" t="n"/>
      <c r="P1626" s="12" t="n"/>
      <c r="Q1626" s="11" t="n"/>
      <c r="R1626" s="12" t="n"/>
      <c r="S1626" s="11" t="n"/>
      <c r="T1626" s="12" t="n"/>
      <c r="U1626" s="12" t="n"/>
      <c r="V1626" s="12" t="n"/>
      <c r="W1626" s="13" t="n"/>
      <c r="X1626" s="14">
        <f>IF($AP1626="",IF($B1626="","",$H1626),IF(INDEX(職員マスタ!$B$6:$B$405,$AP1626)="",$H1626,INDEX(職員マスタ!$B$6:$B$405,$AP1626)))</f>
        <v/>
      </c>
      <c r="Y1626" s="14">
        <f>IF($AP1626="",IF($B1626="","",$R1626),IF(INDEX(職員マスタ!$C$6:$C$405,$AP1626)="",$R1626,INDEX(職員マスタ!$C$6:$C$405,$AP1626)))</f>
        <v/>
      </c>
      <c r="Z1626" s="14">
        <f>IF($AQ1626="","","R"&amp;$C1626&amp;"."&amp;$D1626)</f>
        <v/>
      </c>
      <c r="AA1626" s="15">
        <f>IF(IF($AP1626="",FALSE,INDEX(職員マスタ!$K$6:$K$405,$AP1626)&lt;&gt;""),INDEX(職員マスタ!$K$6:$K$405,$AP1626),IF(N($W1626)&gt;0,$W1626,""))</f>
        <v/>
      </c>
      <c r="AB1626" s="14">
        <f>IF(OR($E1626="",$AA1626=""),"",IF($E1626&gt;=$AA1626,"×",IF($E1626&gt;=$AA1626*設定!$C$5,"△","○")))</f>
        <v/>
      </c>
      <c r="AC1626" s="15">
        <f>IF($AB1626="","",IF($AB1626="×",0,IF($AB1626="○",ROUNDDOWN($E1626*設定!$C$4,0),ROUNDDOWN($E1626*ROUND((9*$AA1626-9*$E1626)/(10*$E1626),4),0))))</f>
        <v/>
      </c>
      <c r="AD1626" s="13" t="n"/>
      <c r="AE1626" s="15">
        <f>IF($B1626="","",IF($AD1626&lt;&gt;"",$AD1626,IF($AC1626="","",IF($AC1626&lt;=設定!$C$3,0,$AC1626))))</f>
        <v/>
      </c>
      <c r="AF1626" s="14">
        <f>IF($B1626="","",IF(AND($AG1626&lt;&gt;"",$AI1626="",$AL1626=""),"保留中",IF($AL1626&lt;&gt;"",IF(N($AE1626)&gt;0,"支給済","不支給"),IF($AE1626="","要確認",IF($AE1626=0,"不支給","未処理")))))</f>
        <v/>
      </c>
      <c r="AG1626" s="12" t="n"/>
      <c r="AH1626" s="11" t="n"/>
      <c r="AI1626" s="11" t="n"/>
      <c r="AJ1626" s="11" t="n"/>
      <c r="AK1626" s="14">
        <f>IF(AND($AF1626="保留中",$AH1626&lt;&gt;""),TODAY()-$AH1626,"")</f>
        <v/>
      </c>
      <c r="AL1626" s="12" t="n"/>
      <c r="AM1626" s="14">
        <f>IF($B1626="","",IF($AQ1626="","対象年月が未入力／","")&amp;IF($B1626="","",IF($AP1626="","職員マスタに未登録の職員番号／",IF($AA1626="","標準報酬月額が未登録／","")&amp;IF(AND($AQ1626&lt;&gt;"",OR(AND(INDEX(職員マスタ!$G$6:$G$405,$AP1626)&lt;&gt;"",INDEX(職員マスタ!$G$6:$G$405,$AP1626)&gt;EOMONTH($AQ1626,0)),AND(INDEX(職員マスタ!$H$6:$H$405,$AP1626)&lt;&gt;"",INDEX(職員マスタ!$H$6:$H$405,$AP1626)&lt;$AQ1626))),"対象月が時短期間外／","")&amp;IF(AND(INDEX(職員マスタ!$K$6:$K$405,$AP1626)&lt;&gt;"",N($W1626)&gt;0,INDEX(職員マスタ!$K$6:$K$405,$AP1626)&lt;&gt;$W1626),"標準報酬月額が申請書と相違（台帳"&amp;TEXT(INDEX(職員マスタ!$K$6:$K$405,$AP1626),"#,##0")&amp;"円／申請書"&amp;TEXT($W1626,"#,##0")&amp;"円）／","")&amp;IF(AND(INDEX(職員マスタ!$F$6:$F$405,$AP1626)&lt;&gt;"",$AQ1626&lt;&gt;"",INDEX(職員マスタ!$F$6:$F$405,$AP1626)&lt;$AQ1626),"対象月に子が2歳到達済／","")&amp;IF(AND($H1626&lt;&gt;"",INDEX(職員マスタ!$B$6:$B$405,$AP1626)&lt;&gt;"",SUBSTITUTE(SUBSTITUTE($H1626," ","")," ","")&lt;&gt;SUBSTITUTE(SUBSTITUTE(INDEX(職員マスタ!$B$6:$B$405,$AP1626)," ","")," ","")),"氏名がマスタと相違／","")&amp;IF(AND($Q1626&lt;&gt;"",INDEX(職員マスタ!$E$6:$E$405,$AP1626)&lt;&gt;"",$Q1626&lt;&gt;INDEX(職員マスタ!$E$6:$E$405,$AP1626)),"子の生年月日がマスタと相違／","")&amp;IF(AND($L1626&lt;&gt;"",INDEX(職員マスタ!$G$6:$G$405,$AP1626)&lt;&gt;"",$L1626&lt;&gt;INDEX(職員マスタ!$G$6:$G$405,$AP1626)),"時短開始日がマスタと相違／","")&amp;IF(AND($M1626&lt;&gt;"",INDEX(職員マスタ!$H$6:$H$405,$AP1626)&lt;&gt;"",$M1626&lt;&gt;INDEX(職員マスタ!$H$6:$H$405,$AP1626)),"時短終了日がマスタと相違／","")))&amp;IF(AND($B1626&lt;&gt;"",$E1626=""),"報酬額が未入力／","")&amp;IF(N($U1626)&gt;0,"申請書に入力エラーが残っています／","")&amp;IF(AND($B1626&lt;&gt;"",$AQ1626&lt;&gt;""),IF(COUNTIFS($B$6:$B$3005,$B1626,$C$6:$C$3005,$C1626,$D$6:$D$3005,$D1626)&gt;1,"同じ月の請求が重複しています／",""),"")&amp;IF(AND(N($E1626)&gt;0,$AB1626&lt;&gt;"",$AB1626&lt;&gt;"×",$AE1626=0,$AD1626=""),"計算額が下限以下のため不支給／",""))</f>
        <v/>
      </c>
      <c r="AN1626" s="12" t="n"/>
      <c r="AO1626" s="14">
        <f>IF($AF1626="保留中",COUNTIF($AF$6:$AF1626,"保留中"),"")</f>
        <v/>
      </c>
      <c r="AP1626" s="14">
        <f>IF($AQ1626="","",IF(SUMPRODUCT(MAX((職員マスタ!$A$6:$A$405=$B1626)*(((職員マスタ!$G$6:$G$405="")+(職員マスタ!$G$6:$G$405&lt;=EOMONTH($AQ1626,0)))&gt;0)*(((職員マスタ!$H$6:$H$405="")+(職員マスタ!$H$6:$H$405&gt;=$AQ1626))&gt;0)*(ROW(職員マスタ!$A$6:$A$405)-5)))&gt;0,SUMPRODUCT(MAX((職員マスタ!$A$6:$A$405=$B1626)*(((職員マスタ!$G$6:$G$405="")+(職員マスタ!$G$6:$G$405&lt;=EOMONTH($AQ1626,0)))&gt;0)*(((職員マスタ!$H$6:$H$405="")+(職員マスタ!$H$6:$H$405&gt;=$AQ1626))&gt;0)*(ROW(職員マスタ!$A$6:$A$405)-5))),IFERROR(MATCH($B1626,職員マスタ!$A$6:$A$405,0),"")))</f>
        <v/>
      </c>
      <c r="AQ1626" s="16">
        <f>IF(OR($B1626="",$C1626="",$D1626=""),"",DATE($C1626+2018,$D1626,1))</f>
        <v/>
      </c>
    </row>
    <row r="1627">
      <c r="A1627" s="11" t="n"/>
      <c r="B1627" s="12" t="n"/>
      <c r="C1627" s="12" t="n"/>
      <c r="D1627" s="12" t="n"/>
      <c r="E1627" s="13" t="n"/>
      <c r="F1627" s="12" t="n"/>
      <c r="G1627" s="13" t="n"/>
      <c r="H1627" s="12" t="n"/>
      <c r="I1627" s="12" t="n"/>
      <c r="J1627" s="12" t="n"/>
      <c r="K1627" s="12" t="n"/>
      <c r="L1627" s="11" t="n"/>
      <c r="M1627" s="11" t="n"/>
      <c r="N1627" s="11" t="n"/>
      <c r="O1627" s="11" t="n"/>
      <c r="P1627" s="12" t="n"/>
      <c r="Q1627" s="11" t="n"/>
      <c r="R1627" s="12" t="n"/>
      <c r="S1627" s="11" t="n"/>
      <c r="T1627" s="12" t="n"/>
      <c r="U1627" s="12" t="n"/>
      <c r="V1627" s="12" t="n"/>
      <c r="W1627" s="13" t="n"/>
      <c r="X1627" s="14">
        <f>IF($AP1627="",IF($B1627="","",$H1627),IF(INDEX(職員マスタ!$B$6:$B$405,$AP1627)="",$H1627,INDEX(職員マスタ!$B$6:$B$405,$AP1627)))</f>
        <v/>
      </c>
      <c r="Y1627" s="14">
        <f>IF($AP1627="",IF($B1627="","",$R1627),IF(INDEX(職員マスタ!$C$6:$C$405,$AP1627)="",$R1627,INDEX(職員マスタ!$C$6:$C$405,$AP1627)))</f>
        <v/>
      </c>
      <c r="Z1627" s="14">
        <f>IF($AQ1627="","","R"&amp;$C1627&amp;"."&amp;$D1627)</f>
        <v/>
      </c>
      <c r="AA1627" s="15">
        <f>IF(IF($AP1627="",FALSE,INDEX(職員マスタ!$K$6:$K$405,$AP1627)&lt;&gt;""),INDEX(職員マスタ!$K$6:$K$405,$AP1627),IF(N($W1627)&gt;0,$W1627,""))</f>
        <v/>
      </c>
      <c r="AB1627" s="14">
        <f>IF(OR($E1627="",$AA1627=""),"",IF($E1627&gt;=$AA1627,"×",IF($E1627&gt;=$AA1627*設定!$C$5,"△","○")))</f>
        <v/>
      </c>
      <c r="AC1627" s="15">
        <f>IF($AB1627="","",IF($AB1627="×",0,IF($AB1627="○",ROUNDDOWN($E1627*設定!$C$4,0),ROUNDDOWN($E1627*ROUND((9*$AA1627-9*$E1627)/(10*$E1627),4),0))))</f>
        <v/>
      </c>
      <c r="AD1627" s="13" t="n"/>
      <c r="AE1627" s="15">
        <f>IF($B1627="","",IF($AD1627&lt;&gt;"",$AD1627,IF($AC1627="","",IF($AC1627&lt;=設定!$C$3,0,$AC1627))))</f>
        <v/>
      </c>
      <c r="AF1627" s="14">
        <f>IF($B1627="","",IF(AND($AG1627&lt;&gt;"",$AI1627="",$AL1627=""),"保留中",IF($AL1627&lt;&gt;"",IF(N($AE1627)&gt;0,"支給済","不支給"),IF($AE1627="","要確認",IF($AE1627=0,"不支給","未処理")))))</f>
        <v/>
      </c>
      <c r="AG1627" s="12" t="n"/>
      <c r="AH1627" s="11" t="n"/>
      <c r="AI1627" s="11" t="n"/>
      <c r="AJ1627" s="11" t="n"/>
      <c r="AK1627" s="14">
        <f>IF(AND($AF1627="保留中",$AH1627&lt;&gt;""),TODAY()-$AH1627,"")</f>
        <v/>
      </c>
      <c r="AL1627" s="12" t="n"/>
      <c r="AM1627" s="14">
        <f>IF($B1627="","",IF($AQ1627="","対象年月が未入力／","")&amp;IF($B1627="","",IF($AP1627="","職員マスタに未登録の職員番号／",IF($AA1627="","標準報酬月額が未登録／","")&amp;IF(AND($AQ1627&lt;&gt;"",OR(AND(INDEX(職員マスタ!$G$6:$G$405,$AP1627)&lt;&gt;"",INDEX(職員マスタ!$G$6:$G$405,$AP1627)&gt;EOMONTH($AQ1627,0)),AND(INDEX(職員マスタ!$H$6:$H$405,$AP1627)&lt;&gt;"",INDEX(職員マスタ!$H$6:$H$405,$AP1627)&lt;$AQ1627))),"対象月が時短期間外／","")&amp;IF(AND(INDEX(職員マスタ!$K$6:$K$405,$AP1627)&lt;&gt;"",N($W1627)&gt;0,INDEX(職員マスタ!$K$6:$K$405,$AP1627)&lt;&gt;$W1627),"標準報酬月額が申請書と相違（台帳"&amp;TEXT(INDEX(職員マスタ!$K$6:$K$405,$AP1627),"#,##0")&amp;"円／申請書"&amp;TEXT($W1627,"#,##0")&amp;"円）／","")&amp;IF(AND(INDEX(職員マスタ!$F$6:$F$405,$AP1627)&lt;&gt;"",$AQ1627&lt;&gt;"",INDEX(職員マスタ!$F$6:$F$405,$AP1627)&lt;$AQ1627),"対象月に子が2歳到達済／","")&amp;IF(AND($H1627&lt;&gt;"",INDEX(職員マスタ!$B$6:$B$405,$AP1627)&lt;&gt;"",SUBSTITUTE(SUBSTITUTE($H1627," ","")," ","")&lt;&gt;SUBSTITUTE(SUBSTITUTE(INDEX(職員マスタ!$B$6:$B$405,$AP1627)," ","")," ","")),"氏名がマスタと相違／","")&amp;IF(AND($Q1627&lt;&gt;"",INDEX(職員マスタ!$E$6:$E$405,$AP1627)&lt;&gt;"",$Q1627&lt;&gt;INDEX(職員マスタ!$E$6:$E$405,$AP1627)),"子の生年月日がマスタと相違／","")&amp;IF(AND($L1627&lt;&gt;"",INDEX(職員マスタ!$G$6:$G$405,$AP1627)&lt;&gt;"",$L1627&lt;&gt;INDEX(職員マスタ!$G$6:$G$405,$AP1627)),"時短開始日がマスタと相違／","")&amp;IF(AND($M1627&lt;&gt;"",INDEX(職員マスタ!$H$6:$H$405,$AP1627)&lt;&gt;"",$M1627&lt;&gt;INDEX(職員マスタ!$H$6:$H$405,$AP1627)),"時短終了日がマスタと相違／","")))&amp;IF(AND($B1627&lt;&gt;"",$E1627=""),"報酬額が未入力／","")&amp;IF(N($U1627)&gt;0,"申請書に入力エラーが残っています／","")&amp;IF(AND($B1627&lt;&gt;"",$AQ1627&lt;&gt;""),IF(COUNTIFS($B$6:$B$3005,$B1627,$C$6:$C$3005,$C1627,$D$6:$D$3005,$D1627)&gt;1,"同じ月の請求が重複しています／",""),"")&amp;IF(AND(N($E1627)&gt;0,$AB1627&lt;&gt;"",$AB1627&lt;&gt;"×",$AE1627=0,$AD1627=""),"計算額が下限以下のため不支給／",""))</f>
        <v/>
      </c>
      <c r="AN1627" s="12" t="n"/>
      <c r="AO1627" s="14">
        <f>IF($AF1627="保留中",COUNTIF($AF$6:$AF1627,"保留中"),"")</f>
        <v/>
      </c>
      <c r="AP1627" s="14">
        <f>IF($AQ1627="","",IF(SUMPRODUCT(MAX((職員マスタ!$A$6:$A$405=$B1627)*(((職員マスタ!$G$6:$G$405="")+(職員マスタ!$G$6:$G$405&lt;=EOMONTH($AQ1627,0)))&gt;0)*(((職員マスタ!$H$6:$H$405="")+(職員マスタ!$H$6:$H$405&gt;=$AQ1627))&gt;0)*(ROW(職員マスタ!$A$6:$A$405)-5)))&gt;0,SUMPRODUCT(MAX((職員マスタ!$A$6:$A$405=$B1627)*(((職員マスタ!$G$6:$G$405="")+(職員マスタ!$G$6:$G$405&lt;=EOMONTH($AQ1627,0)))&gt;0)*(((職員マスタ!$H$6:$H$405="")+(職員マスタ!$H$6:$H$405&gt;=$AQ1627))&gt;0)*(ROW(職員マスタ!$A$6:$A$405)-5))),IFERROR(MATCH($B1627,職員マスタ!$A$6:$A$405,0),"")))</f>
        <v/>
      </c>
      <c r="AQ1627" s="16">
        <f>IF(OR($B1627="",$C1627="",$D1627=""),"",DATE($C1627+2018,$D1627,1))</f>
        <v/>
      </c>
    </row>
    <row r="1628">
      <c r="A1628" s="11" t="n"/>
      <c r="B1628" s="12" t="n"/>
      <c r="C1628" s="12" t="n"/>
      <c r="D1628" s="12" t="n"/>
      <c r="E1628" s="13" t="n"/>
      <c r="F1628" s="12" t="n"/>
      <c r="G1628" s="13" t="n"/>
      <c r="H1628" s="12" t="n"/>
      <c r="I1628" s="12" t="n"/>
      <c r="J1628" s="12" t="n"/>
      <c r="K1628" s="12" t="n"/>
      <c r="L1628" s="11" t="n"/>
      <c r="M1628" s="11" t="n"/>
      <c r="N1628" s="11" t="n"/>
      <c r="O1628" s="11" t="n"/>
      <c r="P1628" s="12" t="n"/>
      <c r="Q1628" s="11" t="n"/>
      <c r="R1628" s="12" t="n"/>
      <c r="S1628" s="11" t="n"/>
      <c r="T1628" s="12" t="n"/>
      <c r="U1628" s="12" t="n"/>
      <c r="V1628" s="12" t="n"/>
      <c r="W1628" s="13" t="n"/>
      <c r="X1628" s="14">
        <f>IF($AP1628="",IF($B1628="","",$H1628),IF(INDEX(職員マスタ!$B$6:$B$405,$AP1628)="",$H1628,INDEX(職員マスタ!$B$6:$B$405,$AP1628)))</f>
        <v/>
      </c>
      <c r="Y1628" s="14">
        <f>IF($AP1628="",IF($B1628="","",$R1628),IF(INDEX(職員マスタ!$C$6:$C$405,$AP1628)="",$R1628,INDEX(職員マスタ!$C$6:$C$405,$AP1628)))</f>
        <v/>
      </c>
      <c r="Z1628" s="14">
        <f>IF($AQ1628="","","R"&amp;$C1628&amp;"."&amp;$D1628)</f>
        <v/>
      </c>
      <c r="AA1628" s="15">
        <f>IF(IF($AP1628="",FALSE,INDEX(職員マスタ!$K$6:$K$405,$AP1628)&lt;&gt;""),INDEX(職員マスタ!$K$6:$K$405,$AP1628),IF(N($W1628)&gt;0,$W1628,""))</f>
        <v/>
      </c>
      <c r="AB1628" s="14">
        <f>IF(OR($E1628="",$AA1628=""),"",IF($E1628&gt;=$AA1628,"×",IF($E1628&gt;=$AA1628*設定!$C$5,"△","○")))</f>
        <v/>
      </c>
      <c r="AC1628" s="15">
        <f>IF($AB1628="","",IF($AB1628="×",0,IF($AB1628="○",ROUNDDOWN($E1628*設定!$C$4,0),ROUNDDOWN($E1628*ROUND((9*$AA1628-9*$E1628)/(10*$E1628),4),0))))</f>
        <v/>
      </c>
      <c r="AD1628" s="13" t="n"/>
      <c r="AE1628" s="15">
        <f>IF($B1628="","",IF($AD1628&lt;&gt;"",$AD1628,IF($AC1628="","",IF($AC1628&lt;=設定!$C$3,0,$AC1628))))</f>
        <v/>
      </c>
      <c r="AF1628" s="14">
        <f>IF($B1628="","",IF(AND($AG1628&lt;&gt;"",$AI1628="",$AL1628=""),"保留中",IF($AL1628&lt;&gt;"",IF(N($AE1628)&gt;0,"支給済","不支給"),IF($AE1628="","要確認",IF($AE1628=0,"不支給","未処理")))))</f>
        <v/>
      </c>
      <c r="AG1628" s="12" t="n"/>
      <c r="AH1628" s="11" t="n"/>
      <c r="AI1628" s="11" t="n"/>
      <c r="AJ1628" s="11" t="n"/>
      <c r="AK1628" s="14">
        <f>IF(AND($AF1628="保留中",$AH1628&lt;&gt;""),TODAY()-$AH1628,"")</f>
        <v/>
      </c>
      <c r="AL1628" s="12" t="n"/>
      <c r="AM1628" s="14">
        <f>IF($B1628="","",IF($AQ1628="","対象年月が未入力／","")&amp;IF($B1628="","",IF($AP1628="","職員マスタに未登録の職員番号／",IF($AA1628="","標準報酬月額が未登録／","")&amp;IF(AND($AQ1628&lt;&gt;"",OR(AND(INDEX(職員マスタ!$G$6:$G$405,$AP1628)&lt;&gt;"",INDEX(職員マスタ!$G$6:$G$405,$AP1628)&gt;EOMONTH($AQ1628,0)),AND(INDEX(職員マスタ!$H$6:$H$405,$AP1628)&lt;&gt;"",INDEX(職員マスタ!$H$6:$H$405,$AP1628)&lt;$AQ1628))),"対象月が時短期間外／","")&amp;IF(AND(INDEX(職員マスタ!$K$6:$K$405,$AP1628)&lt;&gt;"",N($W1628)&gt;0,INDEX(職員マスタ!$K$6:$K$405,$AP1628)&lt;&gt;$W1628),"標準報酬月額が申請書と相違（台帳"&amp;TEXT(INDEX(職員マスタ!$K$6:$K$405,$AP1628),"#,##0")&amp;"円／申請書"&amp;TEXT($W1628,"#,##0")&amp;"円）／","")&amp;IF(AND(INDEX(職員マスタ!$F$6:$F$405,$AP1628)&lt;&gt;"",$AQ1628&lt;&gt;"",INDEX(職員マスタ!$F$6:$F$405,$AP1628)&lt;$AQ1628),"対象月に子が2歳到達済／","")&amp;IF(AND($H1628&lt;&gt;"",INDEX(職員マスタ!$B$6:$B$405,$AP1628)&lt;&gt;"",SUBSTITUTE(SUBSTITUTE($H1628," ","")," ","")&lt;&gt;SUBSTITUTE(SUBSTITUTE(INDEX(職員マスタ!$B$6:$B$405,$AP1628)," ","")," ","")),"氏名がマスタと相違／","")&amp;IF(AND($Q1628&lt;&gt;"",INDEX(職員マスタ!$E$6:$E$405,$AP1628)&lt;&gt;"",$Q1628&lt;&gt;INDEX(職員マスタ!$E$6:$E$405,$AP1628)),"子の生年月日がマスタと相違／","")&amp;IF(AND($L1628&lt;&gt;"",INDEX(職員マスタ!$G$6:$G$405,$AP1628)&lt;&gt;"",$L1628&lt;&gt;INDEX(職員マスタ!$G$6:$G$405,$AP1628)),"時短開始日がマスタと相違／","")&amp;IF(AND($M1628&lt;&gt;"",INDEX(職員マスタ!$H$6:$H$405,$AP1628)&lt;&gt;"",$M1628&lt;&gt;INDEX(職員マスタ!$H$6:$H$405,$AP1628)),"時短終了日がマスタと相違／","")))&amp;IF(AND($B1628&lt;&gt;"",$E1628=""),"報酬額が未入力／","")&amp;IF(N($U1628)&gt;0,"申請書に入力エラーが残っています／","")&amp;IF(AND($B1628&lt;&gt;"",$AQ1628&lt;&gt;""),IF(COUNTIFS($B$6:$B$3005,$B1628,$C$6:$C$3005,$C1628,$D$6:$D$3005,$D1628)&gt;1,"同じ月の請求が重複しています／",""),"")&amp;IF(AND(N($E1628)&gt;0,$AB1628&lt;&gt;"",$AB1628&lt;&gt;"×",$AE1628=0,$AD1628=""),"計算額が下限以下のため不支給／",""))</f>
        <v/>
      </c>
      <c r="AN1628" s="12" t="n"/>
      <c r="AO1628" s="14">
        <f>IF($AF1628="保留中",COUNTIF($AF$6:$AF1628,"保留中"),"")</f>
        <v/>
      </c>
      <c r="AP1628" s="14">
        <f>IF($AQ1628="","",IF(SUMPRODUCT(MAX((職員マスタ!$A$6:$A$405=$B1628)*(((職員マスタ!$G$6:$G$405="")+(職員マスタ!$G$6:$G$405&lt;=EOMONTH($AQ1628,0)))&gt;0)*(((職員マスタ!$H$6:$H$405="")+(職員マスタ!$H$6:$H$405&gt;=$AQ1628))&gt;0)*(ROW(職員マスタ!$A$6:$A$405)-5)))&gt;0,SUMPRODUCT(MAX((職員マスタ!$A$6:$A$405=$B1628)*(((職員マスタ!$G$6:$G$405="")+(職員マスタ!$G$6:$G$405&lt;=EOMONTH($AQ1628,0)))&gt;0)*(((職員マスタ!$H$6:$H$405="")+(職員マスタ!$H$6:$H$405&gt;=$AQ1628))&gt;0)*(ROW(職員マスタ!$A$6:$A$405)-5))),IFERROR(MATCH($B1628,職員マスタ!$A$6:$A$405,0),"")))</f>
        <v/>
      </c>
      <c r="AQ1628" s="16">
        <f>IF(OR($B1628="",$C1628="",$D1628=""),"",DATE($C1628+2018,$D1628,1))</f>
        <v/>
      </c>
    </row>
    <row r="1629">
      <c r="A1629" s="11" t="n"/>
      <c r="B1629" s="12" t="n"/>
      <c r="C1629" s="12" t="n"/>
      <c r="D1629" s="12" t="n"/>
      <c r="E1629" s="13" t="n"/>
      <c r="F1629" s="12" t="n"/>
      <c r="G1629" s="13" t="n"/>
      <c r="H1629" s="12" t="n"/>
      <c r="I1629" s="12" t="n"/>
      <c r="J1629" s="12" t="n"/>
      <c r="K1629" s="12" t="n"/>
      <c r="L1629" s="11" t="n"/>
      <c r="M1629" s="11" t="n"/>
      <c r="N1629" s="11" t="n"/>
      <c r="O1629" s="11" t="n"/>
      <c r="P1629" s="12" t="n"/>
      <c r="Q1629" s="11" t="n"/>
      <c r="R1629" s="12" t="n"/>
      <c r="S1629" s="11" t="n"/>
      <c r="T1629" s="12" t="n"/>
      <c r="U1629" s="12" t="n"/>
      <c r="V1629" s="12" t="n"/>
      <c r="W1629" s="13" t="n"/>
      <c r="X1629" s="14">
        <f>IF($AP1629="",IF($B1629="","",$H1629),IF(INDEX(職員マスタ!$B$6:$B$405,$AP1629)="",$H1629,INDEX(職員マスタ!$B$6:$B$405,$AP1629)))</f>
        <v/>
      </c>
      <c r="Y1629" s="14">
        <f>IF($AP1629="",IF($B1629="","",$R1629),IF(INDEX(職員マスタ!$C$6:$C$405,$AP1629)="",$R1629,INDEX(職員マスタ!$C$6:$C$405,$AP1629)))</f>
        <v/>
      </c>
      <c r="Z1629" s="14">
        <f>IF($AQ1629="","","R"&amp;$C1629&amp;"."&amp;$D1629)</f>
        <v/>
      </c>
      <c r="AA1629" s="15">
        <f>IF(IF($AP1629="",FALSE,INDEX(職員マスタ!$K$6:$K$405,$AP1629)&lt;&gt;""),INDEX(職員マスタ!$K$6:$K$405,$AP1629),IF(N($W1629)&gt;0,$W1629,""))</f>
        <v/>
      </c>
      <c r="AB1629" s="14">
        <f>IF(OR($E1629="",$AA1629=""),"",IF($E1629&gt;=$AA1629,"×",IF($E1629&gt;=$AA1629*設定!$C$5,"△","○")))</f>
        <v/>
      </c>
      <c r="AC1629" s="15">
        <f>IF($AB1629="","",IF($AB1629="×",0,IF($AB1629="○",ROUNDDOWN($E1629*設定!$C$4,0),ROUNDDOWN($E1629*ROUND((9*$AA1629-9*$E1629)/(10*$E1629),4),0))))</f>
        <v/>
      </c>
      <c r="AD1629" s="13" t="n"/>
      <c r="AE1629" s="15">
        <f>IF($B1629="","",IF($AD1629&lt;&gt;"",$AD1629,IF($AC1629="","",IF($AC1629&lt;=設定!$C$3,0,$AC1629))))</f>
        <v/>
      </c>
      <c r="AF1629" s="14">
        <f>IF($B1629="","",IF(AND($AG1629&lt;&gt;"",$AI1629="",$AL1629=""),"保留中",IF($AL1629&lt;&gt;"",IF(N($AE1629)&gt;0,"支給済","不支給"),IF($AE1629="","要確認",IF($AE1629=0,"不支給","未処理")))))</f>
        <v/>
      </c>
      <c r="AG1629" s="12" t="n"/>
      <c r="AH1629" s="11" t="n"/>
      <c r="AI1629" s="11" t="n"/>
      <c r="AJ1629" s="11" t="n"/>
      <c r="AK1629" s="14">
        <f>IF(AND($AF1629="保留中",$AH1629&lt;&gt;""),TODAY()-$AH1629,"")</f>
        <v/>
      </c>
      <c r="AL1629" s="12" t="n"/>
      <c r="AM1629" s="14">
        <f>IF($B1629="","",IF($AQ1629="","対象年月が未入力／","")&amp;IF($B1629="","",IF($AP1629="","職員マスタに未登録の職員番号／",IF($AA1629="","標準報酬月額が未登録／","")&amp;IF(AND($AQ1629&lt;&gt;"",OR(AND(INDEX(職員マスタ!$G$6:$G$405,$AP1629)&lt;&gt;"",INDEX(職員マスタ!$G$6:$G$405,$AP1629)&gt;EOMONTH($AQ1629,0)),AND(INDEX(職員マスタ!$H$6:$H$405,$AP1629)&lt;&gt;"",INDEX(職員マスタ!$H$6:$H$405,$AP1629)&lt;$AQ1629))),"対象月が時短期間外／","")&amp;IF(AND(INDEX(職員マスタ!$K$6:$K$405,$AP1629)&lt;&gt;"",N($W1629)&gt;0,INDEX(職員マスタ!$K$6:$K$405,$AP1629)&lt;&gt;$W1629),"標準報酬月額が申請書と相違（台帳"&amp;TEXT(INDEX(職員マスタ!$K$6:$K$405,$AP1629),"#,##0")&amp;"円／申請書"&amp;TEXT($W1629,"#,##0")&amp;"円）／","")&amp;IF(AND(INDEX(職員マスタ!$F$6:$F$405,$AP1629)&lt;&gt;"",$AQ1629&lt;&gt;"",INDEX(職員マスタ!$F$6:$F$405,$AP1629)&lt;$AQ1629),"対象月に子が2歳到達済／","")&amp;IF(AND($H1629&lt;&gt;"",INDEX(職員マスタ!$B$6:$B$405,$AP1629)&lt;&gt;"",SUBSTITUTE(SUBSTITUTE($H1629," ","")," ","")&lt;&gt;SUBSTITUTE(SUBSTITUTE(INDEX(職員マスタ!$B$6:$B$405,$AP1629)," ","")," ","")),"氏名がマスタと相違／","")&amp;IF(AND($Q1629&lt;&gt;"",INDEX(職員マスタ!$E$6:$E$405,$AP1629)&lt;&gt;"",$Q1629&lt;&gt;INDEX(職員マスタ!$E$6:$E$405,$AP1629)),"子の生年月日がマスタと相違／","")&amp;IF(AND($L1629&lt;&gt;"",INDEX(職員マスタ!$G$6:$G$405,$AP1629)&lt;&gt;"",$L1629&lt;&gt;INDEX(職員マスタ!$G$6:$G$405,$AP1629)),"時短開始日がマスタと相違／","")&amp;IF(AND($M1629&lt;&gt;"",INDEX(職員マスタ!$H$6:$H$405,$AP1629)&lt;&gt;"",$M1629&lt;&gt;INDEX(職員マスタ!$H$6:$H$405,$AP1629)),"時短終了日がマスタと相違／","")))&amp;IF(AND($B1629&lt;&gt;"",$E1629=""),"報酬額が未入力／","")&amp;IF(N($U1629)&gt;0,"申請書に入力エラーが残っています／","")&amp;IF(AND($B1629&lt;&gt;"",$AQ1629&lt;&gt;""),IF(COUNTIFS($B$6:$B$3005,$B1629,$C$6:$C$3005,$C1629,$D$6:$D$3005,$D1629)&gt;1,"同じ月の請求が重複しています／",""),"")&amp;IF(AND(N($E1629)&gt;0,$AB1629&lt;&gt;"",$AB1629&lt;&gt;"×",$AE1629=0,$AD1629=""),"計算額が下限以下のため不支給／",""))</f>
        <v/>
      </c>
      <c r="AN1629" s="12" t="n"/>
      <c r="AO1629" s="14">
        <f>IF($AF1629="保留中",COUNTIF($AF$6:$AF1629,"保留中"),"")</f>
        <v/>
      </c>
      <c r="AP1629" s="14">
        <f>IF($AQ1629="","",IF(SUMPRODUCT(MAX((職員マスタ!$A$6:$A$405=$B1629)*(((職員マスタ!$G$6:$G$405="")+(職員マスタ!$G$6:$G$405&lt;=EOMONTH($AQ1629,0)))&gt;0)*(((職員マスタ!$H$6:$H$405="")+(職員マスタ!$H$6:$H$405&gt;=$AQ1629))&gt;0)*(ROW(職員マスタ!$A$6:$A$405)-5)))&gt;0,SUMPRODUCT(MAX((職員マスタ!$A$6:$A$405=$B1629)*(((職員マスタ!$G$6:$G$405="")+(職員マスタ!$G$6:$G$405&lt;=EOMONTH($AQ1629,0)))&gt;0)*(((職員マスタ!$H$6:$H$405="")+(職員マスタ!$H$6:$H$405&gt;=$AQ1629))&gt;0)*(ROW(職員マスタ!$A$6:$A$405)-5))),IFERROR(MATCH($B1629,職員マスタ!$A$6:$A$405,0),"")))</f>
        <v/>
      </c>
      <c r="AQ1629" s="16">
        <f>IF(OR($B1629="",$C1629="",$D1629=""),"",DATE($C1629+2018,$D1629,1))</f>
        <v/>
      </c>
    </row>
    <row r="1630">
      <c r="A1630" s="11" t="n"/>
      <c r="B1630" s="12" t="n"/>
      <c r="C1630" s="12" t="n"/>
      <c r="D1630" s="12" t="n"/>
      <c r="E1630" s="13" t="n"/>
      <c r="F1630" s="12" t="n"/>
      <c r="G1630" s="13" t="n"/>
      <c r="H1630" s="12" t="n"/>
      <c r="I1630" s="12" t="n"/>
      <c r="J1630" s="12" t="n"/>
      <c r="K1630" s="12" t="n"/>
      <c r="L1630" s="11" t="n"/>
      <c r="M1630" s="11" t="n"/>
      <c r="N1630" s="11" t="n"/>
      <c r="O1630" s="11" t="n"/>
      <c r="P1630" s="12" t="n"/>
      <c r="Q1630" s="11" t="n"/>
      <c r="R1630" s="12" t="n"/>
      <c r="S1630" s="11" t="n"/>
      <c r="T1630" s="12" t="n"/>
      <c r="U1630" s="12" t="n"/>
      <c r="V1630" s="12" t="n"/>
      <c r="W1630" s="13" t="n"/>
      <c r="X1630" s="14">
        <f>IF($AP1630="",IF($B1630="","",$H1630),IF(INDEX(職員マスタ!$B$6:$B$405,$AP1630)="",$H1630,INDEX(職員マスタ!$B$6:$B$405,$AP1630)))</f>
        <v/>
      </c>
      <c r="Y1630" s="14">
        <f>IF($AP1630="",IF($B1630="","",$R1630),IF(INDEX(職員マスタ!$C$6:$C$405,$AP1630)="",$R1630,INDEX(職員マスタ!$C$6:$C$405,$AP1630)))</f>
        <v/>
      </c>
      <c r="Z1630" s="14">
        <f>IF($AQ1630="","","R"&amp;$C1630&amp;"."&amp;$D1630)</f>
        <v/>
      </c>
      <c r="AA1630" s="15">
        <f>IF(IF($AP1630="",FALSE,INDEX(職員マスタ!$K$6:$K$405,$AP1630)&lt;&gt;""),INDEX(職員マスタ!$K$6:$K$405,$AP1630),IF(N($W1630)&gt;0,$W1630,""))</f>
        <v/>
      </c>
      <c r="AB1630" s="14">
        <f>IF(OR($E1630="",$AA1630=""),"",IF($E1630&gt;=$AA1630,"×",IF($E1630&gt;=$AA1630*設定!$C$5,"△","○")))</f>
        <v/>
      </c>
      <c r="AC1630" s="15">
        <f>IF($AB1630="","",IF($AB1630="×",0,IF($AB1630="○",ROUNDDOWN($E1630*設定!$C$4,0),ROUNDDOWN($E1630*ROUND((9*$AA1630-9*$E1630)/(10*$E1630),4),0))))</f>
        <v/>
      </c>
      <c r="AD1630" s="13" t="n"/>
      <c r="AE1630" s="15">
        <f>IF($B1630="","",IF($AD1630&lt;&gt;"",$AD1630,IF($AC1630="","",IF($AC1630&lt;=設定!$C$3,0,$AC1630))))</f>
        <v/>
      </c>
      <c r="AF1630" s="14">
        <f>IF($B1630="","",IF(AND($AG1630&lt;&gt;"",$AI1630="",$AL1630=""),"保留中",IF($AL1630&lt;&gt;"",IF(N($AE1630)&gt;0,"支給済","不支給"),IF($AE1630="","要確認",IF($AE1630=0,"不支給","未処理")))))</f>
        <v/>
      </c>
      <c r="AG1630" s="12" t="n"/>
      <c r="AH1630" s="11" t="n"/>
      <c r="AI1630" s="11" t="n"/>
      <c r="AJ1630" s="11" t="n"/>
      <c r="AK1630" s="14">
        <f>IF(AND($AF1630="保留中",$AH1630&lt;&gt;""),TODAY()-$AH1630,"")</f>
        <v/>
      </c>
      <c r="AL1630" s="12" t="n"/>
      <c r="AM1630" s="14">
        <f>IF($B1630="","",IF($AQ1630="","対象年月が未入力／","")&amp;IF($B1630="","",IF($AP1630="","職員マスタに未登録の職員番号／",IF($AA1630="","標準報酬月額が未登録／","")&amp;IF(AND($AQ1630&lt;&gt;"",OR(AND(INDEX(職員マスタ!$G$6:$G$405,$AP1630)&lt;&gt;"",INDEX(職員マスタ!$G$6:$G$405,$AP1630)&gt;EOMONTH($AQ1630,0)),AND(INDEX(職員マスタ!$H$6:$H$405,$AP1630)&lt;&gt;"",INDEX(職員マスタ!$H$6:$H$405,$AP1630)&lt;$AQ1630))),"対象月が時短期間外／","")&amp;IF(AND(INDEX(職員マスタ!$K$6:$K$405,$AP1630)&lt;&gt;"",N($W1630)&gt;0,INDEX(職員マスタ!$K$6:$K$405,$AP1630)&lt;&gt;$W1630),"標準報酬月額が申請書と相違（台帳"&amp;TEXT(INDEX(職員マスタ!$K$6:$K$405,$AP1630),"#,##0")&amp;"円／申請書"&amp;TEXT($W1630,"#,##0")&amp;"円）／","")&amp;IF(AND(INDEX(職員マスタ!$F$6:$F$405,$AP1630)&lt;&gt;"",$AQ1630&lt;&gt;"",INDEX(職員マスタ!$F$6:$F$405,$AP1630)&lt;$AQ1630),"対象月に子が2歳到達済／","")&amp;IF(AND($H1630&lt;&gt;"",INDEX(職員マスタ!$B$6:$B$405,$AP1630)&lt;&gt;"",SUBSTITUTE(SUBSTITUTE($H1630," ","")," ","")&lt;&gt;SUBSTITUTE(SUBSTITUTE(INDEX(職員マスタ!$B$6:$B$405,$AP1630)," ","")," ","")),"氏名がマスタと相違／","")&amp;IF(AND($Q1630&lt;&gt;"",INDEX(職員マスタ!$E$6:$E$405,$AP1630)&lt;&gt;"",$Q1630&lt;&gt;INDEX(職員マスタ!$E$6:$E$405,$AP1630)),"子の生年月日がマスタと相違／","")&amp;IF(AND($L1630&lt;&gt;"",INDEX(職員マスタ!$G$6:$G$405,$AP1630)&lt;&gt;"",$L1630&lt;&gt;INDEX(職員マスタ!$G$6:$G$405,$AP1630)),"時短開始日がマスタと相違／","")&amp;IF(AND($M1630&lt;&gt;"",INDEX(職員マスタ!$H$6:$H$405,$AP1630)&lt;&gt;"",$M1630&lt;&gt;INDEX(職員マスタ!$H$6:$H$405,$AP1630)),"時短終了日がマスタと相違／","")))&amp;IF(AND($B1630&lt;&gt;"",$E1630=""),"報酬額が未入力／","")&amp;IF(N($U1630)&gt;0,"申請書に入力エラーが残っています／","")&amp;IF(AND($B1630&lt;&gt;"",$AQ1630&lt;&gt;""),IF(COUNTIFS($B$6:$B$3005,$B1630,$C$6:$C$3005,$C1630,$D$6:$D$3005,$D1630)&gt;1,"同じ月の請求が重複しています／",""),"")&amp;IF(AND(N($E1630)&gt;0,$AB1630&lt;&gt;"",$AB1630&lt;&gt;"×",$AE1630=0,$AD1630=""),"計算額が下限以下のため不支給／",""))</f>
        <v/>
      </c>
      <c r="AN1630" s="12" t="n"/>
      <c r="AO1630" s="14">
        <f>IF($AF1630="保留中",COUNTIF($AF$6:$AF1630,"保留中"),"")</f>
        <v/>
      </c>
      <c r="AP1630" s="14">
        <f>IF($AQ1630="","",IF(SUMPRODUCT(MAX((職員マスタ!$A$6:$A$405=$B1630)*(((職員マスタ!$G$6:$G$405="")+(職員マスタ!$G$6:$G$405&lt;=EOMONTH($AQ1630,0)))&gt;0)*(((職員マスタ!$H$6:$H$405="")+(職員マスタ!$H$6:$H$405&gt;=$AQ1630))&gt;0)*(ROW(職員マスタ!$A$6:$A$405)-5)))&gt;0,SUMPRODUCT(MAX((職員マスタ!$A$6:$A$405=$B1630)*(((職員マスタ!$G$6:$G$405="")+(職員マスタ!$G$6:$G$405&lt;=EOMONTH($AQ1630,0)))&gt;0)*(((職員マスタ!$H$6:$H$405="")+(職員マスタ!$H$6:$H$405&gt;=$AQ1630))&gt;0)*(ROW(職員マスタ!$A$6:$A$405)-5))),IFERROR(MATCH($B1630,職員マスタ!$A$6:$A$405,0),"")))</f>
        <v/>
      </c>
      <c r="AQ1630" s="16">
        <f>IF(OR($B1630="",$C1630="",$D1630=""),"",DATE($C1630+2018,$D1630,1))</f>
        <v/>
      </c>
    </row>
    <row r="1631">
      <c r="A1631" s="11" t="n"/>
      <c r="B1631" s="12" t="n"/>
      <c r="C1631" s="12" t="n"/>
      <c r="D1631" s="12" t="n"/>
      <c r="E1631" s="13" t="n"/>
      <c r="F1631" s="12" t="n"/>
      <c r="G1631" s="13" t="n"/>
      <c r="H1631" s="12" t="n"/>
      <c r="I1631" s="12" t="n"/>
      <c r="J1631" s="12" t="n"/>
      <c r="K1631" s="12" t="n"/>
      <c r="L1631" s="11" t="n"/>
      <c r="M1631" s="11" t="n"/>
      <c r="N1631" s="11" t="n"/>
      <c r="O1631" s="11" t="n"/>
      <c r="P1631" s="12" t="n"/>
      <c r="Q1631" s="11" t="n"/>
      <c r="R1631" s="12" t="n"/>
      <c r="S1631" s="11" t="n"/>
      <c r="T1631" s="12" t="n"/>
      <c r="U1631" s="12" t="n"/>
      <c r="V1631" s="12" t="n"/>
      <c r="W1631" s="13" t="n"/>
      <c r="X1631" s="14">
        <f>IF($AP1631="",IF($B1631="","",$H1631),IF(INDEX(職員マスタ!$B$6:$B$405,$AP1631)="",$H1631,INDEX(職員マスタ!$B$6:$B$405,$AP1631)))</f>
        <v/>
      </c>
      <c r="Y1631" s="14">
        <f>IF($AP1631="",IF($B1631="","",$R1631),IF(INDEX(職員マスタ!$C$6:$C$405,$AP1631)="",$R1631,INDEX(職員マスタ!$C$6:$C$405,$AP1631)))</f>
        <v/>
      </c>
      <c r="Z1631" s="14">
        <f>IF($AQ1631="","","R"&amp;$C1631&amp;"."&amp;$D1631)</f>
        <v/>
      </c>
      <c r="AA1631" s="15">
        <f>IF(IF($AP1631="",FALSE,INDEX(職員マスタ!$K$6:$K$405,$AP1631)&lt;&gt;""),INDEX(職員マスタ!$K$6:$K$405,$AP1631),IF(N($W1631)&gt;0,$W1631,""))</f>
        <v/>
      </c>
      <c r="AB1631" s="14">
        <f>IF(OR($E1631="",$AA1631=""),"",IF($E1631&gt;=$AA1631,"×",IF($E1631&gt;=$AA1631*設定!$C$5,"△","○")))</f>
        <v/>
      </c>
      <c r="AC1631" s="15">
        <f>IF($AB1631="","",IF($AB1631="×",0,IF($AB1631="○",ROUNDDOWN($E1631*設定!$C$4,0),ROUNDDOWN($E1631*ROUND((9*$AA1631-9*$E1631)/(10*$E1631),4),0))))</f>
        <v/>
      </c>
      <c r="AD1631" s="13" t="n"/>
      <c r="AE1631" s="15">
        <f>IF($B1631="","",IF($AD1631&lt;&gt;"",$AD1631,IF($AC1631="","",IF($AC1631&lt;=設定!$C$3,0,$AC1631))))</f>
        <v/>
      </c>
      <c r="AF1631" s="14">
        <f>IF($B1631="","",IF(AND($AG1631&lt;&gt;"",$AI1631="",$AL1631=""),"保留中",IF($AL1631&lt;&gt;"",IF(N($AE1631)&gt;0,"支給済","不支給"),IF($AE1631="","要確認",IF($AE1631=0,"不支給","未処理")))))</f>
        <v/>
      </c>
      <c r="AG1631" s="12" t="n"/>
      <c r="AH1631" s="11" t="n"/>
      <c r="AI1631" s="11" t="n"/>
      <c r="AJ1631" s="11" t="n"/>
      <c r="AK1631" s="14">
        <f>IF(AND($AF1631="保留中",$AH1631&lt;&gt;""),TODAY()-$AH1631,"")</f>
        <v/>
      </c>
      <c r="AL1631" s="12" t="n"/>
      <c r="AM1631" s="14">
        <f>IF($B1631="","",IF($AQ1631="","対象年月が未入力／","")&amp;IF($B1631="","",IF($AP1631="","職員マスタに未登録の職員番号／",IF($AA1631="","標準報酬月額が未登録／","")&amp;IF(AND($AQ1631&lt;&gt;"",OR(AND(INDEX(職員マスタ!$G$6:$G$405,$AP1631)&lt;&gt;"",INDEX(職員マスタ!$G$6:$G$405,$AP1631)&gt;EOMONTH($AQ1631,0)),AND(INDEX(職員マスタ!$H$6:$H$405,$AP1631)&lt;&gt;"",INDEX(職員マスタ!$H$6:$H$405,$AP1631)&lt;$AQ1631))),"対象月が時短期間外／","")&amp;IF(AND(INDEX(職員マスタ!$K$6:$K$405,$AP1631)&lt;&gt;"",N($W1631)&gt;0,INDEX(職員マスタ!$K$6:$K$405,$AP1631)&lt;&gt;$W1631),"標準報酬月額が申請書と相違（台帳"&amp;TEXT(INDEX(職員マスタ!$K$6:$K$405,$AP1631),"#,##0")&amp;"円／申請書"&amp;TEXT($W1631,"#,##0")&amp;"円）／","")&amp;IF(AND(INDEX(職員マスタ!$F$6:$F$405,$AP1631)&lt;&gt;"",$AQ1631&lt;&gt;"",INDEX(職員マスタ!$F$6:$F$405,$AP1631)&lt;$AQ1631),"対象月に子が2歳到達済／","")&amp;IF(AND($H1631&lt;&gt;"",INDEX(職員マスタ!$B$6:$B$405,$AP1631)&lt;&gt;"",SUBSTITUTE(SUBSTITUTE($H1631," ","")," ","")&lt;&gt;SUBSTITUTE(SUBSTITUTE(INDEX(職員マスタ!$B$6:$B$405,$AP1631)," ","")," ","")),"氏名がマスタと相違／","")&amp;IF(AND($Q1631&lt;&gt;"",INDEX(職員マスタ!$E$6:$E$405,$AP1631)&lt;&gt;"",$Q1631&lt;&gt;INDEX(職員マスタ!$E$6:$E$405,$AP1631)),"子の生年月日がマスタと相違／","")&amp;IF(AND($L1631&lt;&gt;"",INDEX(職員マスタ!$G$6:$G$405,$AP1631)&lt;&gt;"",$L1631&lt;&gt;INDEX(職員マスタ!$G$6:$G$405,$AP1631)),"時短開始日がマスタと相違／","")&amp;IF(AND($M1631&lt;&gt;"",INDEX(職員マスタ!$H$6:$H$405,$AP1631)&lt;&gt;"",$M1631&lt;&gt;INDEX(職員マスタ!$H$6:$H$405,$AP1631)),"時短終了日がマスタと相違／","")))&amp;IF(AND($B1631&lt;&gt;"",$E1631=""),"報酬額が未入力／","")&amp;IF(N($U1631)&gt;0,"申請書に入力エラーが残っています／","")&amp;IF(AND($B1631&lt;&gt;"",$AQ1631&lt;&gt;""),IF(COUNTIFS($B$6:$B$3005,$B1631,$C$6:$C$3005,$C1631,$D$6:$D$3005,$D1631)&gt;1,"同じ月の請求が重複しています／",""),"")&amp;IF(AND(N($E1631)&gt;0,$AB1631&lt;&gt;"",$AB1631&lt;&gt;"×",$AE1631=0,$AD1631=""),"計算額が下限以下のため不支給／",""))</f>
        <v/>
      </c>
      <c r="AN1631" s="12" t="n"/>
      <c r="AO1631" s="14">
        <f>IF($AF1631="保留中",COUNTIF($AF$6:$AF1631,"保留中"),"")</f>
        <v/>
      </c>
      <c r="AP1631" s="14">
        <f>IF($AQ1631="","",IF(SUMPRODUCT(MAX((職員マスタ!$A$6:$A$405=$B1631)*(((職員マスタ!$G$6:$G$405="")+(職員マスタ!$G$6:$G$405&lt;=EOMONTH($AQ1631,0)))&gt;0)*(((職員マスタ!$H$6:$H$405="")+(職員マスタ!$H$6:$H$405&gt;=$AQ1631))&gt;0)*(ROW(職員マスタ!$A$6:$A$405)-5)))&gt;0,SUMPRODUCT(MAX((職員マスタ!$A$6:$A$405=$B1631)*(((職員マスタ!$G$6:$G$405="")+(職員マスタ!$G$6:$G$405&lt;=EOMONTH($AQ1631,0)))&gt;0)*(((職員マスタ!$H$6:$H$405="")+(職員マスタ!$H$6:$H$405&gt;=$AQ1631))&gt;0)*(ROW(職員マスタ!$A$6:$A$405)-5))),IFERROR(MATCH($B1631,職員マスタ!$A$6:$A$405,0),"")))</f>
        <v/>
      </c>
      <c r="AQ1631" s="16">
        <f>IF(OR($B1631="",$C1631="",$D1631=""),"",DATE($C1631+2018,$D1631,1))</f>
        <v/>
      </c>
    </row>
    <row r="1632">
      <c r="A1632" s="11" t="n"/>
      <c r="B1632" s="12" t="n"/>
      <c r="C1632" s="12" t="n"/>
      <c r="D1632" s="12" t="n"/>
      <c r="E1632" s="13" t="n"/>
      <c r="F1632" s="12" t="n"/>
      <c r="G1632" s="13" t="n"/>
      <c r="H1632" s="12" t="n"/>
      <c r="I1632" s="12" t="n"/>
      <c r="J1632" s="12" t="n"/>
      <c r="K1632" s="12" t="n"/>
      <c r="L1632" s="11" t="n"/>
      <c r="M1632" s="11" t="n"/>
      <c r="N1632" s="11" t="n"/>
      <c r="O1632" s="11" t="n"/>
      <c r="P1632" s="12" t="n"/>
      <c r="Q1632" s="11" t="n"/>
      <c r="R1632" s="12" t="n"/>
      <c r="S1632" s="11" t="n"/>
      <c r="T1632" s="12" t="n"/>
      <c r="U1632" s="12" t="n"/>
      <c r="V1632" s="12" t="n"/>
      <c r="W1632" s="13" t="n"/>
      <c r="X1632" s="14">
        <f>IF($AP1632="",IF($B1632="","",$H1632),IF(INDEX(職員マスタ!$B$6:$B$405,$AP1632)="",$H1632,INDEX(職員マスタ!$B$6:$B$405,$AP1632)))</f>
        <v/>
      </c>
      <c r="Y1632" s="14">
        <f>IF($AP1632="",IF($B1632="","",$R1632),IF(INDEX(職員マスタ!$C$6:$C$405,$AP1632)="",$R1632,INDEX(職員マスタ!$C$6:$C$405,$AP1632)))</f>
        <v/>
      </c>
      <c r="Z1632" s="14">
        <f>IF($AQ1632="","","R"&amp;$C1632&amp;"."&amp;$D1632)</f>
        <v/>
      </c>
      <c r="AA1632" s="15">
        <f>IF(IF($AP1632="",FALSE,INDEX(職員マスタ!$K$6:$K$405,$AP1632)&lt;&gt;""),INDEX(職員マスタ!$K$6:$K$405,$AP1632),IF(N($W1632)&gt;0,$W1632,""))</f>
        <v/>
      </c>
      <c r="AB1632" s="14">
        <f>IF(OR($E1632="",$AA1632=""),"",IF($E1632&gt;=$AA1632,"×",IF($E1632&gt;=$AA1632*設定!$C$5,"△","○")))</f>
        <v/>
      </c>
      <c r="AC1632" s="15">
        <f>IF($AB1632="","",IF($AB1632="×",0,IF($AB1632="○",ROUNDDOWN($E1632*設定!$C$4,0),ROUNDDOWN($E1632*ROUND((9*$AA1632-9*$E1632)/(10*$E1632),4),0))))</f>
        <v/>
      </c>
      <c r="AD1632" s="13" t="n"/>
      <c r="AE1632" s="15">
        <f>IF($B1632="","",IF($AD1632&lt;&gt;"",$AD1632,IF($AC1632="","",IF($AC1632&lt;=設定!$C$3,0,$AC1632))))</f>
        <v/>
      </c>
      <c r="AF1632" s="14">
        <f>IF($B1632="","",IF(AND($AG1632&lt;&gt;"",$AI1632="",$AL1632=""),"保留中",IF($AL1632&lt;&gt;"",IF(N($AE1632)&gt;0,"支給済","不支給"),IF($AE1632="","要確認",IF($AE1632=0,"不支給","未処理")))))</f>
        <v/>
      </c>
      <c r="AG1632" s="12" t="n"/>
      <c r="AH1632" s="11" t="n"/>
      <c r="AI1632" s="11" t="n"/>
      <c r="AJ1632" s="11" t="n"/>
      <c r="AK1632" s="14">
        <f>IF(AND($AF1632="保留中",$AH1632&lt;&gt;""),TODAY()-$AH1632,"")</f>
        <v/>
      </c>
      <c r="AL1632" s="12" t="n"/>
      <c r="AM1632" s="14">
        <f>IF($B1632="","",IF($AQ1632="","対象年月が未入力／","")&amp;IF($B1632="","",IF($AP1632="","職員マスタに未登録の職員番号／",IF($AA1632="","標準報酬月額が未登録／","")&amp;IF(AND($AQ1632&lt;&gt;"",OR(AND(INDEX(職員マスタ!$G$6:$G$405,$AP1632)&lt;&gt;"",INDEX(職員マスタ!$G$6:$G$405,$AP1632)&gt;EOMONTH($AQ1632,0)),AND(INDEX(職員マスタ!$H$6:$H$405,$AP1632)&lt;&gt;"",INDEX(職員マスタ!$H$6:$H$405,$AP1632)&lt;$AQ1632))),"対象月が時短期間外／","")&amp;IF(AND(INDEX(職員マスタ!$K$6:$K$405,$AP1632)&lt;&gt;"",N($W1632)&gt;0,INDEX(職員マスタ!$K$6:$K$405,$AP1632)&lt;&gt;$W1632),"標準報酬月額が申請書と相違（台帳"&amp;TEXT(INDEX(職員マスタ!$K$6:$K$405,$AP1632),"#,##0")&amp;"円／申請書"&amp;TEXT($W1632,"#,##0")&amp;"円）／","")&amp;IF(AND(INDEX(職員マスタ!$F$6:$F$405,$AP1632)&lt;&gt;"",$AQ1632&lt;&gt;"",INDEX(職員マスタ!$F$6:$F$405,$AP1632)&lt;$AQ1632),"対象月に子が2歳到達済／","")&amp;IF(AND($H1632&lt;&gt;"",INDEX(職員マスタ!$B$6:$B$405,$AP1632)&lt;&gt;"",SUBSTITUTE(SUBSTITUTE($H1632," ","")," ","")&lt;&gt;SUBSTITUTE(SUBSTITUTE(INDEX(職員マスタ!$B$6:$B$405,$AP1632)," ","")," ","")),"氏名がマスタと相違／","")&amp;IF(AND($Q1632&lt;&gt;"",INDEX(職員マスタ!$E$6:$E$405,$AP1632)&lt;&gt;"",$Q1632&lt;&gt;INDEX(職員マスタ!$E$6:$E$405,$AP1632)),"子の生年月日がマスタと相違／","")&amp;IF(AND($L1632&lt;&gt;"",INDEX(職員マスタ!$G$6:$G$405,$AP1632)&lt;&gt;"",$L1632&lt;&gt;INDEX(職員マスタ!$G$6:$G$405,$AP1632)),"時短開始日がマスタと相違／","")&amp;IF(AND($M1632&lt;&gt;"",INDEX(職員マスタ!$H$6:$H$405,$AP1632)&lt;&gt;"",$M1632&lt;&gt;INDEX(職員マスタ!$H$6:$H$405,$AP1632)),"時短終了日がマスタと相違／","")))&amp;IF(AND($B1632&lt;&gt;"",$E1632=""),"報酬額が未入力／","")&amp;IF(N($U1632)&gt;0,"申請書に入力エラーが残っています／","")&amp;IF(AND($B1632&lt;&gt;"",$AQ1632&lt;&gt;""),IF(COUNTIFS($B$6:$B$3005,$B1632,$C$6:$C$3005,$C1632,$D$6:$D$3005,$D1632)&gt;1,"同じ月の請求が重複しています／",""),"")&amp;IF(AND(N($E1632)&gt;0,$AB1632&lt;&gt;"",$AB1632&lt;&gt;"×",$AE1632=0,$AD1632=""),"計算額が下限以下のため不支給／",""))</f>
        <v/>
      </c>
      <c r="AN1632" s="12" t="n"/>
      <c r="AO1632" s="14">
        <f>IF($AF1632="保留中",COUNTIF($AF$6:$AF1632,"保留中"),"")</f>
        <v/>
      </c>
      <c r="AP1632" s="14">
        <f>IF($AQ1632="","",IF(SUMPRODUCT(MAX((職員マスタ!$A$6:$A$405=$B1632)*(((職員マスタ!$G$6:$G$405="")+(職員マスタ!$G$6:$G$405&lt;=EOMONTH($AQ1632,0)))&gt;0)*(((職員マスタ!$H$6:$H$405="")+(職員マスタ!$H$6:$H$405&gt;=$AQ1632))&gt;0)*(ROW(職員マスタ!$A$6:$A$405)-5)))&gt;0,SUMPRODUCT(MAX((職員マスタ!$A$6:$A$405=$B1632)*(((職員マスタ!$G$6:$G$405="")+(職員マスタ!$G$6:$G$405&lt;=EOMONTH($AQ1632,0)))&gt;0)*(((職員マスタ!$H$6:$H$405="")+(職員マスタ!$H$6:$H$405&gt;=$AQ1632))&gt;0)*(ROW(職員マスタ!$A$6:$A$405)-5))),IFERROR(MATCH($B1632,職員マスタ!$A$6:$A$405,0),"")))</f>
        <v/>
      </c>
      <c r="AQ1632" s="16">
        <f>IF(OR($B1632="",$C1632="",$D1632=""),"",DATE($C1632+2018,$D1632,1))</f>
        <v/>
      </c>
    </row>
    <row r="1633">
      <c r="A1633" s="11" t="n"/>
      <c r="B1633" s="12" t="n"/>
      <c r="C1633" s="12" t="n"/>
      <c r="D1633" s="12" t="n"/>
      <c r="E1633" s="13" t="n"/>
      <c r="F1633" s="12" t="n"/>
      <c r="G1633" s="13" t="n"/>
      <c r="H1633" s="12" t="n"/>
      <c r="I1633" s="12" t="n"/>
      <c r="J1633" s="12" t="n"/>
      <c r="K1633" s="12" t="n"/>
      <c r="L1633" s="11" t="n"/>
      <c r="M1633" s="11" t="n"/>
      <c r="N1633" s="11" t="n"/>
      <c r="O1633" s="11" t="n"/>
      <c r="P1633" s="12" t="n"/>
      <c r="Q1633" s="11" t="n"/>
      <c r="R1633" s="12" t="n"/>
      <c r="S1633" s="11" t="n"/>
      <c r="T1633" s="12" t="n"/>
      <c r="U1633" s="12" t="n"/>
      <c r="V1633" s="12" t="n"/>
      <c r="W1633" s="13" t="n"/>
      <c r="X1633" s="14">
        <f>IF($AP1633="",IF($B1633="","",$H1633),IF(INDEX(職員マスタ!$B$6:$B$405,$AP1633)="",$H1633,INDEX(職員マスタ!$B$6:$B$405,$AP1633)))</f>
        <v/>
      </c>
      <c r="Y1633" s="14">
        <f>IF($AP1633="",IF($B1633="","",$R1633),IF(INDEX(職員マスタ!$C$6:$C$405,$AP1633)="",$R1633,INDEX(職員マスタ!$C$6:$C$405,$AP1633)))</f>
        <v/>
      </c>
      <c r="Z1633" s="14">
        <f>IF($AQ1633="","","R"&amp;$C1633&amp;"."&amp;$D1633)</f>
        <v/>
      </c>
      <c r="AA1633" s="15">
        <f>IF(IF($AP1633="",FALSE,INDEX(職員マスタ!$K$6:$K$405,$AP1633)&lt;&gt;""),INDEX(職員マスタ!$K$6:$K$405,$AP1633),IF(N($W1633)&gt;0,$W1633,""))</f>
        <v/>
      </c>
      <c r="AB1633" s="14">
        <f>IF(OR($E1633="",$AA1633=""),"",IF($E1633&gt;=$AA1633,"×",IF($E1633&gt;=$AA1633*設定!$C$5,"△","○")))</f>
        <v/>
      </c>
      <c r="AC1633" s="15">
        <f>IF($AB1633="","",IF($AB1633="×",0,IF($AB1633="○",ROUNDDOWN($E1633*設定!$C$4,0),ROUNDDOWN($E1633*ROUND((9*$AA1633-9*$E1633)/(10*$E1633),4),0))))</f>
        <v/>
      </c>
      <c r="AD1633" s="13" t="n"/>
      <c r="AE1633" s="15">
        <f>IF($B1633="","",IF($AD1633&lt;&gt;"",$AD1633,IF($AC1633="","",IF($AC1633&lt;=設定!$C$3,0,$AC1633))))</f>
        <v/>
      </c>
      <c r="AF1633" s="14">
        <f>IF($B1633="","",IF(AND($AG1633&lt;&gt;"",$AI1633="",$AL1633=""),"保留中",IF($AL1633&lt;&gt;"",IF(N($AE1633)&gt;0,"支給済","不支給"),IF($AE1633="","要確認",IF($AE1633=0,"不支給","未処理")))))</f>
        <v/>
      </c>
      <c r="AG1633" s="12" t="n"/>
      <c r="AH1633" s="11" t="n"/>
      <c r="AI1633" s="11" t="n"/>
      <c r="AJ1633" s="11" t="n"/>
      <c r="AK1633" s="14">
        <f>IF(AND($AF1633="保留中",$AH1633&lt;&gt;""),TODAY()-$AH1633,"")</f>
        <v/>
      </c>
      <c r="AL1633" s="12" t="n"/>
      <c r="AM1633" s="14">
        <f>IF($B1633="","",IF($AQ1633="","対象年月が未入力／","")&amp;IF($B1633="","",IF($AP1633="","職員マスタに未登録の職員番号／",IF($AA1633="","標準報酬月額が未登録／","")&amp;IF(AND($AQ1633&lt;&gt;"",OR(AND(INDEX(職員マスタ!$G$6:$G$405,$AP1633)&lt;&gt;"",INDEX(職員マスタ!$G$6:$G$405,$AP1633)&gt;EOMONTH($AQ1633,0)),AND(INDEX(職員マスタ!$H$6:$H$405,$AP1633)&lt;&gt;"",INDEX(職員マスタ!$H$6:$H$405,$AP1633)&lt;$AQ1633))),"対象月が時短期間外／","")&amp;IF(AND(INDEX(職員マスタ!$K$6:$K$405,$AP1633)&lt;&gt;"",N($W1633)&gt;0,INDEX(職員マスタ!$K$6:$K$405,$AP1633)&lt;&gt;$W1633),"標準報酬月額が申請書と相違（台帳"&amp;TEXT(INDEX(職員マスタ!$K$6:$K$405,$AP1633),"#,##0")&amp;"円／申請書"&amp;TEXT($W1633,"#,##0")&amp;"円）／","")&amp;IF(AND(INDEX(職員マスタ!$F$6:$F$405,$AP1633)&lt;&gt;"",$AQ1633&lt;&gt;"",INDEX(職員マスタ!$F$6:$F$405,$AP1633)&lt;$AQ1633),"対象月に子が2歳到達済／","")&amp;IF(AND($H1633&lt;&gt;"",INDEX(職員マスタ!$B$6:$B$405,$AP1633)&lt;&gt;"",SUBSTITUTE(SUBSTITUTE($H1633," ","")," ","")&lt;&gt;SUBSTITUTE(SUBSTITUTE(INDEX(職員マスタ!$B$6:$B$405,$AP1633)," ","")," ","")),"氏名がマスタと相違／","")&amp;IF(AND($Q1633&lt;&gt;"",INDEX(職員マスタ!$E$6:$E$405,$AP1633)&lt;&gt;"",$Q1633&lt;&gt;INDEX(職員マスタ!$E$6:$E$405,$AP1633)),"子の生年月日がマスタと相違／","")&amp;IF(AND($L1633&lt;&gt;"",INDEX(職員マスタ!$G$6:$G$405,$AP1633)&lt;&gt;"",$L1633&lt;&gt;INDEX(職員マスタ!$G$6:$G$405,$AP1633)),"時短開始日がマスタと相違／","")&amp;IF(AND($M1633&lt;&gt;"",INDEX(職員マスタ!$H$6:$H$405,$AP1633)&lt;&gt;"",$M1633&lt;&gt;INDEX(職員マスタ!$H$6:$H$405,$AP1633)),"時短終了日がマスタと相違／","")))&amp;IF(AND($B1633&lt;&gt;"",$E1633=""),"報酬額が未入力／","")&amp;IF(N($U1633)&gt;0,"申請書に入力エラーが残っています／","")&amp;IF(AND($B1633&lt;&gt;"",$AQ1633&lt;&gt;""),IF(COUNTIFS($B$6:$B$3005,$B1633,$C$6:$C$3005,$C1633,$D$6:$D$3005,$D1633)&gt;1,"同じ月の請求が重複しています／",""),"")&amp;IF(AND(N($E1633)&gt;0,$AB1633&lt;&gt;"",$AB1633&lt;&gt;"×",$AE1633=0,$AD1633=""),"計算額が下限以下のため不支給／",""))</f>
        <v/>
      </c>
      <c r="AN1633" s="12" t="n"/>
      <c r="AO1633" s="14">
        <f>IF($AF1633="保留中",COUNTIF($AF$6:$AF1633,"保留中"),"")</f>
        <v/>
      </c>
      <c r="AP1633" s="14">
        <f>IF($AQ1633="","",IF(SUMPRODUCT(MAX((職員マスタ!$A$6:$A$405=$B1633)*(((職員マスタ!$G$6:$G$405="")+(職員マスタ!$G$6:$G$405&lt;=EOMONTH($AQ1633,0)))&gt;0)*(((職員マスタ!$H$6:$H$405="")+(職員マスタ!$H$6:$H$405&gt;=$AQ1633))&gt;0)*(ROW(職員マスタ!$A$6:$A$405)-5)))&gt;0,SUMPRODUCT(MAX((職員マスタ!$A$6:$A$405=$B1633)*(((職員マスタ!$G$6:$G$405="")+(職員マスタ!$G$6:$G$405&lt;=EOMONTH($AQ1633,0)))&gt;0)*(((職員マスタ!$H$6:$H$405="")+(職員マスタ!$H$6:$H$405&gt;=$AQ1633))&gt;0)*(ROW(職員マスタ!$A$6:$A$405)-5))),IFERROR(MATCH($B1633,職員マスタ!$A$6:$A$405,0),"")))</f>
        <v/>
      </c>
      <c r="AQ1633" s="16">
        <f>IF(OR($B1633="",$C1633="",$D1633=""),"",DATE($C1633+2018,$D1633,1))</f>
        <v/>
      </c>
    </row>
    <row r="1634">
      <c r="A1634" s="11" t="n"/>
      <c r="B1634" s="12" t="n"/>
      <c r="C1634" s="12" t="n"/>
      <c r="D1634" s="12" t="n"/>
      <c r="E1634" s="13" t="n"/>
      <c r="F1634" s="12" t="n"/>
      <c r="G1634" s="13" t="n"/>
      <c r="H1634" s="12" t="n"/>
      <c r="I1634" s="12" t="n"/>
      <c r="J1634" s="12" t="n"/>
      <c r="K1634" s="12" t="n"/>
      <c r="L1634" s="11" t="n"/>
      <c r="M1634" s="11" t="n"/>
      <c r="N1634" s="11" t="n"/>
      <c r="O1634" s="11" t="n"/>
      <c r="P1634" s="12" t="n"/>
      <c r="Q1634" s="11" t="n"/>
      <c r="R1634" s="12" t="n"/>
      <c r="S1634" s="11" t="n"/>
      <c r="T1634" s="12" t="n"/>
      <c r="U1634" s="12" t="n"/>
      <c r="V1634" s="12" t="n"/>
      <c r="W1634" s="13" t="n"/>
      <c r="X1634" s="14">
        <f>IF($AP1634="",IF($B1634="","",$H1634),IF(INDEX(職員マスタ!$B$6:$B$405,$AP1634)="",$H1634,INDEX(職員マスタ!$B$6:$B$405,$AP1634)))</f>
        <v/>
      </c>
      <c r="Y1634" s="14">
        <f>IF($AP1634="",IF($B1634="","",$R1634),IF(INDEX(職員マスタ!$C$6:$C$405,$AP1634)="",$R1634,INDEX(職員マスタ!$C$6:$C$405,$AP1634)))</f>
        <v/>
      </c>
      <c r="Z1634" s="14">
        <f>IF($AQ1634="","","R"&amp;$C1634&amp;"."&amp;$D1634)</f>
        <v/>
      </c>
      <c r="AA1634" s="15">
        <f>IF(IF($AP1634="",FALSE,INDEX(職員マスタ!$K$6:$K$405,$AP1634)&lt;&gt;""),INDEX(職員マスタ!$K$6:$K$405,$AP1634),IF(N($W1634)&gt;0,$W1634,""))</f>
        <v/>
      </c>
      <c r="AB1634" s="14">
        <f>IF(OR($E1634="",$AA1634=""),"",IF($E1634&gt;=$AA1634,"×",IF($E1634&gt;=$AA1634*設定!$C$5,"△","○")))</f>
        <v/>
      </c>
      <c r="AC1634" s="15">
        <f>IF($AB1634="","",IF($AB1634="×",0,IF($AB1634="○",ROUNDDOWN($E1634*設定!$C$4,0),ROUNDDOWN($E1634*ROUND((9*$AA1634-9*$E1634)/(10*$E1634),4),0))))</f>
        <v/>
      </c>
      <c r="AD1634" s="13" t="n"/>
      <c r="AE1634" s="15">
        <f>IF($B1634="","",IF($AD1634&lt;&gt;"",$AD1634,IF($AC1634="","",IF($AC1634&lt;=設定!$C$3,0,$AC1634))))</f>
        <v/>
      </c>
      <c r="AF1634" s="14">
        <f>IF($B1634="","",IF(AND($AG1634&lt;&gt;"",$AI1634="",$AL1634=""),"保留中",IF($AL1634&lt;&gt;"",IF(N($AE1634)&gt;0,"支給済","不支給"),IF($AE1634="","要確認",IF($AE1634=0,"不支給","未処理")))))</f>
        <v/>
      </c>
      <c r="AG1634" s="12" t="n"/>
      <c r="AH1634" s="11" t="n"/>
      <c r="AI1634" s="11" t="n"/>
      <c r="AJ1634" s="11" t="n"/>
      <c r="AK1634" s="14">
        <f>IF(AND($AF1634="保留中",$AH1634&lt;&gt;""),TODAY()-$AH1634,"")</f>
        <v/>
      </c>
      <c r="AL1634" s="12" t="n"/>
      <c r="AM1634" s="14">
        <f>IF($B1634="","",IF($AQ1634="","対象年月が未入力／","")&amp;IF($B1634="","",IF($AP1634="","職員マスタに未登録の職員番号／",IF($AA1634="","標準報酬月額が未登録／","")&amp;IF(AND($AQ1634&lt;&gt;"",OR(AND(INDEX(職員マスタ!$G$6:$G$405,$AP1634)&lt;&gt;"",INDEX(職員マスタ!$G$6:$G$405,$AP1634)&gt;EOMONTH($AQ1634,0)),AND(INDEX(職員マスタ!$H$6:$H$405,$AP1634)&lt;&gt;"",INDEX(職員マスタ!$H$6:$H$405,$AP1634)&lt;$AQ1634))),"対象月が時短期間外／","")&amp;IF(AND(INDEX(職員マスタ!$K$6:$K$405,$AP1634)&lt;&gt;"",N($W1634)&gt;0,INDEX(職員マスタ!$K$6:$K$405,$AP1634)&lt;&gt;$W1634),"標準報酬月額が申請書と相違（台帳"&amp;TEXT(INDEX(職員マスタ!$K$6:$K$405,$AP1634),"#,##0")&amp;"円／申請書"&amp;TEXT($W1634,"#,##0")&amp;"円）／","")&amp;IF(AND(INDEX(職員マスタ!$F$6:$F$405,$AP1634)&lt;&gt;"",$AQ1634&lt;&gt;"",INDEX(職員マスタ!$F$6:$F$405,$AP1634)&lt;$AQ1634),"対象月に子が2歳到達済／","")&amp;IF(AND($H1634&lt;&gt;"",INDEX(職員マスタ!$B$6:$B$405,$AP1634)&lt;&gt;"",SUBSTITUTE(SUBSTITUTE($H1634," ","")," ","")&lt;&gt;SUBSTITUTE(SUBSTITUTE(INDEX(職員マスタ!$B$6:$B$405,$AP1634)," ","")," ","")),"氏名がマスタと相違／","")&amp;IF(AND($Q1634&lt;&gt;"",INDEX(職員マスタ!$E$6:$E$405,$AP1634)&lt;&gt;"",$Q1634&lt;&gt;INDEX(職員マスタ!$E$6:$E$405,$AP1634)),"子の生年月日がマスタと相違／","")&amp;IF(AND($L1634&lt;&gt;"",INDEX(職員マスタ!$G$6:$G$405,$AP1634)&lt;&gt;"",$L1634&lt;&gt;INDEX(職員マスタ!$G$6:$G$405,$AP1634)),"時短開始日がマスタと相違／","")&amp;IF(AND($M1634&lt;&gt;"",INDEX(職員マスタ!$H$6:$H$405,$AP1634)&lt;&gt;"",$M1634&lt;&gt;INDEX(職員マスタ!$H$6:$H$405,$AP1634)),"時短終了日がマスタと相違／","")))&amp;IF(AND($B1634&lt;&gt;"",$E1634=""),"報酬額が未入力／","")&amp;IF(N($U1634)&gt;0,"申請書に入力エラーが残っています／","")&amp;IF(AND($B1634&lt;&gt;"",$AQ1634&lt;&gt;""),IF(COUNTIFS($B$6:$B$3005,$B1634,$C$6:$C$3005,$C1634,$D$6:$D$3005,$D1634)&gt;1,"同じ月の請求が重複しています／",""),"")&amp;IF(AND(N($E1634)&gt;0,$AB1634&lt;&gt;"",$AB1634&lt;&gt;"×",$AE1634=0,$AD1634=""),"計算額が下限以下のため不支給／",""))</f>
        <v/>
      </c>
      <c r="AN1634" s="12" t="n"/>
      <c r="AO1634" s="14">
        <f>IF($AF1634="保留中",COUNTIF($AF$6:$AF1634,"保留中"),"")</f>
        <v/>
      </c>
      <c r="AP1634" s="14">
        <f>IF($AQ1634="","",IF(SUMPRODUCT(MAX((職員マスタ!$A$6:$A$405=$B1634)*(((職員マスタ!$G$6:$G$405="")+(職員マスタ!$G$6:$G$405&lt;=EOMONTH($AQ1634,0)))&gt;0)*(((職員マスタ!$H$6:$H$405="")+(職員マスタ!$H$6:$H$405&gt;=$AQ1634))&gt;0)*(ROW(職員マスタ!$A$6:$A$405)-5)))&gt;0,SUMPRODUCT(MAX((職員マスタ!$A$6:$A$405=$B1634)*(((職員マスタ!$G$6:$G$405="")+(職員マスタ!$G$6:$G$405&lt;=EOMONTH($AQ1634,0)))&gt;0)*(((職員マスタ!$H$6:$H$405="")+(職員マスタ!$H$6:$H$405&gt;=$AQ1634))&gt;0)*(ROW(職員マスタ!$A$6:$A$405)-5))),IFERROR(MATCH($B1634,職員マスタ!$A$6:$A$405,0),"")))</f>
        <v/>
      </c>
      <c r="AQ1634" s="16">
        <f>IF(OR($B1634="",$C1634="",$D1634=""),"",DATE($C1634+2018,$D1634,1))</f>
        <v/>
      </c>
    </row>
    <row r="1635">
      <c r="A1635" s="11" t="n"/>
      <c r="B1635" s="12" t="n"/>
      <c r="C1635" s="12" t="n"/>
      <c r="D1635" s="12" t="n"/>
      <c r="E1635" s="13" t="n"/>
      <c r="F1635" s="12" t="n"/>
      <c r="G1635" s="13" t="n"/>
      <c r="H1635" s="12" t="n"/>
      <c r="I1635" s="12" t="n"/>
      <c r="J1635" s="12" t="n"/>
      <c r="K1635" s="12" t="n"/>
      <c r="L1635" s="11" t="n"/>
      <c r="M1635" s="11" t="n"/>
      <c r="N1635" s="11" t="n"/>
      <c r="O1635" s="11" t="n"/>
      <c r="P1635" s="12" t="n"/>
      <c r="Q1635" s="11" t="n"/>
      <c r="R1635" s="12" t="n"/>
      <c r="S1635" s="11" t="n"/>
      <c r="T1635" s="12" t="n"/>
      <c r="U1635" s="12" t="n"/>
      <c r="V1635" s="12" t="n"/>
      <c r="W1635" s="13" t="n"/>
      <c r="X1635" s="14">
        <f>IF($AP1635="",IF($B1635="","",$H1635),IF(INDEX(職員マスタ!$B$6:$B$405,$AP1635)="",$H1635,INDEX(職員マスタ!$B$6:$B$405,$AP1635)))</f>
        <v/>
      </c>
      <c r="Y1635" s="14">
        <f>IF($AP1635="",IF($B1635="","",$R1635),IF(INDEX(職員マスタ!$C$6:$C$405,$AP1635)="",$R1635,INDEX(職員マスタ!$C$6:$C$405,$AP1635)))</f>
        <v/>
      </c>
      <c r="Z1635" s="14">
        <f>IF($AQ1635="","","R"&amp;$C1635&amp;"."&amp;$D1635)</f>
        <v/>
      </c>
      <c r="AA1635" s="15">
        <f>IF(IF($AP1635="",FALSE,INDEX(職員マスタ!$K$6:$K$405,$AP1635)&lt;&gt;""),INDEX(職員マスタ!$K$6:$K$405,$AP1635),IF(N($W1635)&gt;0,$W1635,""))</f>
        <v/>
      </c>
      <c r="AB1635" s="14">
        <f>IF(OR($E1635="",$AA1635=""),"",IF($E1635&gt;=$AA1635,"×",IF($E1635&gt;=$AA1635*設定!$C$5,"△","○")))</f>
        <v/>
      </c>
      <c r="AC1635" s="15">
        <f>IF($AB1635="","",IF($AB1635="×",0,IF($AB1635="○",ROUNDDOWN($E1635*設定!$C$4,0),ROUNDDOWN($E1635*ROUND((9*$AA1635-9*$E1635)/(10*$E1635),4),0))))</f>
        <v/>
      </c>
      <c r="AD1635" s="13" t="n"/>
      <c r="AE1635" s="15">
        <f>IF($B1635="","",IF($AD1635&lt;&gt;"",$AD1635,IF($AC1635="","",IF($AC1635&lt;=設定!$C$3,0,$AC1635))))</f>
        <v/>
      </c>
      <c r="AF1635" s="14">
        <f>IF($B1635="","",IF(AND($AG1635&lt;&gt;"",$AI1635="",$AL1635=""),"保留中",IF($AL1635&lt;&gt;"",IF(N($AE1635)&gt;0,"支給済","不支給"),IF($AE1635="","要確認",IF($AE1635=0,"不支給","未処理")))))</f>
        <v/>
      </c>
      <c r="AG1635" s="12" t="n"/>
      <c r="AH1635" s="11" t="n"/>
      <c r="AI1635" s="11" t="n"/>
      <c r="AJ1635" s="11" t="n"/>
      <c r="AK1635" s="14">
        <f>IF(AND($AF1635="保留中",$AH1635&lt;&gt;""),TODAY()-$AH1635,"")</f>
        <v/>
      </c>
      <c r="AL1635" s="12" t="n"/>
      <c r="AM1635" s="14">
        <f>IF($B1635="","",IF($AQ1635="","対象年月が未入力／","")&amp;IF($B1635="","",IF($AP1635="","職員マスタに未登録の職員番号／",IF($AA1635="","標準報酬月額が未登録／","")&amp;IF(AND($AQ1635&lt;&gt;"",OR(AND(INDEX(職員マスタ!$G$6:$G$405,$AP1635)&lt;&gt;"",INDEX(職員マスタ!$G$6:$G$405,$AP1635)&gt;EOMONTH($AQ1635,0)),AND(INDEX(職員マスタ!$H$6:$H$405,$AP1635)&lt;&gt;"",INDEX(職員マスタ!$H$6:$H$405,$AP1635)&lt;$AQ1635))),"対象月が時短期間外／","")&amp;IF(AND(INDEX(職員マスタ!$K$6:$K$405,$AP1635)&lt;&gt;"",N($W1635)&gt;0,INDEX(職員マスタ!$K$6:$K$405,$AP1635)&lt;&gt;$W1635),"標準報酬月額が申請書と相違（台帳"&amp;TEXT(INDEX(職員マスタ!$K$6:$K$405,$AP1635),"#,##0")&amp;"円／申請書"&amp;TEXT($W1635,"#,##0")&amp;"円）／","")&amp;IF(AND(INDEX(職員マスタ!$F$6:$F$405,$AP1635)&lt;&gt;"",$AQ1635&lt;&gt;"",INDEX(職員マスタ!$F$6:$F$405,$AP1635)&lt;$AQ1635),"対象月に子が2歳到達済／","")&amp;IF(AND($H1635&lt;&gt;"",INDEX(職員マスタ!$B$6:$B$405,$AP1635)&lt;&gt;"",SUBSTITUTE(SUBSTITUTE($H1635," ","")," ","")&lt;&gt;SUBSTITUTE(SUBSTITUTE(INDEX(職員マスタ!$B$6:$B$405,$AP1635)," ","")," ","")),"氏名がマスタと相違／","")&amp;IF(AND($Q1635&lt;&gt;"",INDEX(職員マスタ!$E$6:$E$405,$AP1635)&lt;&gt;"",$Q1635&lt;&gt;INDEX(職員マスタ!$E$6:$E$405,$AP1635)),"子の生年月日がマスタと相違／","")&amp;IF(AND($L1635&lt;&gt;"",INDEX(職員マスタ!$G$6:$G$405,$AP1635)&lt;&gt;"",$L1635&lt;&gt;INDEX(職員マスタ!$G$6:$G$405,$AP1635)),"時短開始日がマスタと相違／","")&amp;IF(AND($M1635&lt;&gt;"",INDEX(職員マスタ!$H$6:$H$405,$AP1635)&lt;&gt;"",$M1635&lt;&gt;INDEX(職員マスタ!$H$6:$H$405,$AP1635)),"時短終了日がマスタと相違／","")))&amp;IF(AND($B1635&lt;&gt;"",$E1635=""),"報酬額が未入力／","")&amp;IF(N($U1635)&gt;0,"申請書に入力エラーが残っています／","")&amp;IF(AND($B1635&lt;&gt;"",$AQ1635&lt;&gt;""),IF(COUNTIFS($B$6:$B$3005,$B1635,$C$6:$C$3005,$C1635,$D$6:$D$3005,$D1635)&gt;1,"同じ月の請求が重複しています／",""),"")&amp;IF(AND(N($E1635)&gt;0,$AB1635&lt;&gt;"",$AB1635&lt;&gt;"×",$AE1635=0,$AD1635=""),"計算額が下限以下のため不支給／",""))</f>
        <v/>
      </c>
      <c r="AN1635" s="12" t="n"/>
      <c r="AO1635" s="14">
        <f>IF($AF1635="保留中",COUNTIF($AF$6:$AF1635,"保留中"),"")</f>
        <v/>
      </c>
      <c r="AP1635" s="14">
        <f>IF($AQ1635="","",IF(SUMPRODUCT(MAX((職員マスタ!$A$6:$A$405=$B1635)*(((職員マスタ!$G$6:$G$405="")+(職員マスタ!$G$6:$G$405&lt;=EOMONTH($AQ1635,0)))&gt;0)*(((職員マスタ!$H$6:$H$405="")+(職員マスタ!$H$6:$H$405&gt;=$AQ1635))&gt;0)*(ROW(職員マスタ!$A$6:$A$405)-5)))&gt;0,SUMPRODUCT(MAX((職員マスタ!$A$6:$A$405=$B1635)*(((職員マスタ!$G$6:$G$405="")+(職員マスタ!$G$6:$G$405&lt;=EOMONTH($AQ1635,0)))&gt;0)*(((職員マスタ!$H$6:$H$405="")+(職員マスタ!$H$6:$H$405&gt;=$AQ1635))&gt;0)*(ROW(職員マスタ!$A$6:$A$405)-5))),IFERROR(MATCH($B1635,職員マスタ!$A$6:$A$405,0),"")))</f>
        <v/>
      </c>
      <c r="AQ1635" s="16">
        <f>IF(OR($B1635="",$C1635="",$D1635=""),"",DATE($C1635+2018,$D1635,1))</f>
        <v/>
      </c>
    </row>
    <row r="1636">
      <c r="A1636" s="11" t="n"/>
      <c r="B1636" s="12" t="n"/>
      <c r="C1636" s="12" t="n"/>
      <c r="D1636" s="12" t="n"/>
      <c r="E1636" s="13" t="n"/>
      <c r="F1636" s="12" t="n"/>
      <c r="G1636" s="13" t="n"/>
      <c r="H1636" s="12" t="n"/>
      <c r="I1636" s="12" t="n"/>
      <c r="J1636" s="12" t="n"/>
      <c r="K1636" s="12" t="n"/>
      <c r="L1636" s="11" t="n"/>
      <c r="M1636" s="11" t="n"/>
      <c r="N1636" s="11" t="n"/>
      <c r="O1636" s="11" t="n"/>
      <c r="P1636" s="12" t="n"/>
      <c r="Q1636" s="11" t="n"/>
      <c r="R1636" s="12" t="n"/>
      <c r="S1636" s="11" t="n"/>
      <c r="T1636" s="12" t="n"/>
      <c r="U1636" s="12" t="n"/>
      <c r="V1636" s="12" t="n"/>
      <c r="W1636" s="13" t="n"/>
      <c r="X1636" s="14">
        <f>IF($AP1636="",IF($B1636="","",$H1636),IF(INDEX(職員マスタ!$B$6:$B$405,$AP1636)="",$H1636,INDEX(職員マスタ!$B$6:$B$405,$AP1636)))</f>
        <v/>
      </c>
      <c r="Y1636" s="14">
        <f>IF($AP1636="",IF($B1636="","",$R1636),IF(INDEX(職員マスタ!$C$6:$C$405,$AP1636)="",$R1636,INDEX(職員マスタ!$C$6:$C$405,$AP1636)))</f>
        <v/>
      </c>
      <c r="Z1636" s="14">
        <f>IF($AQ1636="","","R"&amp;$C1636&amp;"."&amp;$D1636)</f>
        <v/>
      </c>
      <c r="AA1636" s="15">
        <f>IF(IF($AP1636="",FALSE,INDEX(職員マスタ!$K$6:$K$405,$AP1636)&lt;&gt;""),INDEX(職員マスタ!$K$6:$K$405,$AP1636),IF(N($W1636)&gt;0,$W1636,""))</f>
        <v/>
      </c>
      <c r="AB1636" s="14">
        <f>IF(OR($E1636="",$AA1636=""),"",IF($E1636&gt;=$AA1636,"×",IF($E1636&gt;=$AA1636*設定!$C$5,"△","○")))</f>
        <v/>
      </c>
      <c r="AC1636" s="15">
        <f>IF($AB1636="","",IF($AB1636="×",0,IF($AB1636="○",ROUNDDOWN($E1636*設定!$C$4,0),ROUNDDOWN($E1636*ROUND((9*$AA1636-9*$E1636)/(10*$E1636),4),0))))</f>
        <v/>
      </c>
      <c r="AD1636" s="13" t="n"/>
      <c r="AE1636" s="15">
        <f>IF($B1636="","",IF($AD1636&lt;&gt;"",$AD1636,IF($AC1636="","",IF($AC1636&lt;=設定!$C$3,0,$AC1636))))</f>
        <v/>
      </c>
      <c r="AF1636" s="14">
        <f>IF($B1636="","",IF(AND($AG1636&lt;&gt;"",$AI1636="",$AL1636=""),"保留中",IF($AL1636&lt;&gt;"",IF(N($AE1636)&gt;0,"支給済","不支給"),IF($AE1636="","要確認",IF($AE1636=0,"不支給","未処理")))))</f>
        <v/>
      </c>
      <c r="AG1636" s="12" t="n"/>
      <c r="AH1636" s="11" t="n"/>
      <c r="AI1636" s="11" t="n"/>
      <c r="AJ1636" s="11" t="n"/>
      <c r="AK1636" s="14">
        <f>IF(AND($AF1636="保留中",$AH1636&lt;&gt;""),TODAY()-$AH1636,"")</f>
        <v/>
      </c>
      <c r="AL1636" s="12" t="n"/>
      <c r="AM1636" s="14">
        <f>IF($B1636="","",IF($AQ1636="","対象年月が未入力／","")&amp;IF($B1636="","",IF($AP1636="","職員マスタに未登録の職員番号／",IF($AA1636="","標準報酬月額が未登録／","")&amp;IF(AND($AQ1636&lt;&gt;"",OR(AND(INDEX(職員マスタ!$G$6:$G$405,$AP1636)&lt;&gt;"",INDEX(職員マスタ!$G$6:$G$405,$AP1636)&gt;EOMONTH($AQ1636,0)),AND(INDEX(職員マスタ!$H$6:$H$405,$AP1636)&lt;&gt;"",INDEX(職員マスタ!$H$6:$H$405,$AP1636)&lt;$AQ1636))),"対象月が時短期間外／","")&amp;IF(AND(INDEX(職員マスタ!$K$6:$K$405,$AP1636)&lt;&gt;"",N($W1636)&gt;0,INDEX(職員マスタ!$K$6:$K$405,$AP1636)&lt;&gt;$W1636),"標準報酬月額が申請書と相違（台帳"&amp;TEXT(INDEX(職員マスタ!$K$6:$K$405,$AP1636),"#,##0")&amp;"円／申請書"&amp;TEXT($W1636,"#,##0")&amp;"円）／","")&amp;IF(AND(INDEX(職員マスタ!$F$6:$F$405,$AP1636)&lt;&gt;"",$AQ1636&lt;&gt;"",INDEX(職員マスタ!$F$6:$F$405,$AP1636)&lt;$AQ1636),"対象月に子が2歳到達済／","")&amp;IF(AND($H1636&lt;&gt;"",INDEX(職員マスタ!$B$6:$B$405,$AP1636)&lt;&gt;"",SUBSTITUTE(SUBSTITUTE($H1636," ","")," ","")&lt;&gt;SUBSTITUTE(SUBSTITUTE(INDEX(職員マスタ!$B$6:$B$405,$AP1636)," ","")," ","")),"氏名がマスタと相違／","")&amp;IF(AND($Q1636&lt;&gt;"",INDEX(職員マスタ!$E$6:$E$405,$AP1636)&lt;&gt;"",$Q1636&lt;&gt;INDEX(職員マスタ!$E$6:$E$405,$AP1636)),"子の生年月日がマスタと相違／","")&amp;IF(AND($L1636&lt;&gt;"",INDEX(職員マスタ!$G$6:$G$405,$AP1636)&lt;&gt;"",$L1636&lt;&gt;INDEX(職員マスタ!$G$6:$G$405,$AP1636)),"時短開始日がマスタと相違／","")&amp;IF(AND($M1636&lt;&gt;"",INDEX(職員マスタ!$H$6:$H$405,$AP1636)&lt;&gt;"",$M1636&lt;&gt;INDEX(職員マスタ!$H$6:$H$405,$AP1636)),"時短終了日がマスタと相違／","")))&amp;IF(AND($B1636&lt;&gt;"",$E1636=""),"報酬額が未入力／","")&amp;IF(N($U1636)&gt;0,"申請書に入力エラーが残っています／","")&amp;IF(AND($B1636&lt;&gt;"",$AQ1636&lt;&gt;""),IF(COUNTIFS($B$6:$B$3005,$B1636,$C$6:$C$3005,$C1636,$D$6:$D$3005,$D1636)&gt;1,"同じ月の請求が重複しています／",""),"")&amp;IF(AND(N($E1636)&gt;0,$AB1636&lt;&gt;"",$AB1636&lt;&gt;"×",$AE1636=0,$AD1636=""),"計算額が下限以下のため不支給／",""))</f>
        <v/>
      </c>
      <c r="AN1636" s="12" t="n"/>
      <c r="AO1636" s="14">
        <f>IF($AF1636="保留中",COUNTIF($AF$6:$AF1636,"保留中"),"")</f>
        <v/>
      </c>
      <c r="AP1636" s="14">
        <f>IF($AQ1636="","",IF(SUMPRODUCT(MAX((職員マスタ!$A$6:$A$405=$B1636)*(((職員マスタ!$G$6:$G$405="")+(職員マスタ!$G$6:$G$405&lt;=EOMONTH($AQ1636,0)))&gt;0)*(((職員マスタ!$H$6:$H$405="")+(職員マスタ!$H$6:$H$405&gt;=$AQ1636))&gt;0)*(ROW(職員マスタ!$A$6:$A$405)-5)))&gt;0,SUMPRODUCT(MAX((職員マスタ!$A$6:$A$405=$B1636)*(((職員マスタ!$G$6:$G$405="")+(職員マスタ!$G$6:$G$405&lt;=EOMONTH($AQ1636,0)))&gt;0)*(((職員マスタ!$H$6:$H$405="")+(職員マスタ!$H$6:$H$405&gt;=$AQ1636))&gt;0)*(ROW(職員マスタ!$A$6:$A$405)-5))),IFERROR(MATCH($B1636,職員マスタ!$A$6:$A$405,0),"")))</f>
        <v/>
      </c>
      <c r="AQ1636" s="16">
        <f>IF(OR($B1636="",$C1636="",$D1636=""),"",DATE($C1636+2018,$D1636,1))</f>
        <v/>
      </c>
    </row>
    <row r="1637">
      <c r="A1637" s="11" t="n"/>
      <c r="B1637" s="12" t="n"/>
      <c r="C1637" s="12" t="n"/>
      <c r="D1637" s="12" t="n"/>
      <c r="E1637" s="13" t="n"/>
      <c r="F1637" s="12" t="n"/>
      <c r="G1637" s="13" t="n"/>
      <c r="H1637" s="12" t="n"/>
      <c r="I1637" s="12" t="n"/>
      <c r="J1637" s="12" t="n"/>
      <c r="K1637" s="12" t="n"/>
      <c r="L1637" s="11" t="n"/>
      <c r="M1637" s="11" t="n"/>
      <c r="N1637" s="11" t="n"/>
      <c r="O1637" s="11" t="n"/>
      <c r="P1637" s="12" t="n"/>
      <c r="Q1637" s="11" t="n"/>
      <c r="R1637" s="12" t="n"/>
      <c r="S1637" s="11" t="n"/>
      <c r="T1637" s="12" t="n"/>
      <c r="U1637" s="12" t="n"/>
      <c r="V1637" s="12" t="n"/>
      <c r="W1637" s="13" t="n"/>
      <c r="X1637" s="14">
        <f>IF($AP1637="",IF($B1637="","",$H1637),IF(INDEX(職員マスタ!$B$6:$B$405,$AP1637)="",$H1637,INDEX(職員マスタ!$B$6:$B$405,$AP1637)))</f>
        <v/>
      </c>
      <c r="Y1637" s="14">
        <f>IF($AP1637="",IF($B1637="","",$R1637),IF(INDEX(職員マスタ!$C$6:$C$405,$AP1637)="",$R1637,INDEX(職員マスタ!$C$6:$C$405,$AP1637)))</f>
        <v/>
      </c>
      <c r="Z1637" s="14">
        <f>IF($AQ1637="","","R"&amp;$C1637&amp;"."&amp;$D1637)</f>
        <v/>
      </c>
      <c r="AA1637" s="15">
        <f>IF(IF($AP1637="",FALSE,INDEX(職員マスタ!$K$6:$K$405,$AP1637)&lt;&gt;""),INDEX(職員マスタ!$K$6:$K$405,$AP1637),IF(N($W1637)&gt;0,$W1637,""))</f>
        <v/>
      </c>
      <c r="AB1637" s="14">
        <f>IF(OR($E1637="",$AA1637=""),"",IF($E1637&gt;=$AA1637,"×",IF($E1637&gt;=$AA1637*設定!$C$5,"△","○")))</f>
        <v/>
      </c>
      <c r="AC1637" s="15">
        <f>IF($AB1637="","",IF($AB1637="×",0,IF($AB1637="○",ROUNDDOWN($E1637*設定!$C$4,0),ROUNDDOWN($E1637*ROUND((9*$AA1637-9*$E1637)/(10*$E1637),4),0))))</f>
        <v/>
      </c>
      <c r="AD1637" s="13" t="n"/>
      <c r="AE1637" s="15">
        <f>IF($B1637="","",IF($AD1637&lt;&gt;"",$AD1637,IF($AC1637="","",IF($AC1637&lt;=設定!$C$3,0,$AC1637))))</f>
        <v/>
      </c>
      <c r="AF1637" s="14">
        <f>IF($B1637="","",IF(AND($AG1637&lt;&gt;"",$AI1637="",$AL1637=""),"保留中",IF($AL1637&lt;&gt;"",IF(N($AE1637)&gt;0,"支給済","不支給"),IF($AE1637="","要確認",IF($AE1637=0,"不支給","未処理")))))</f>
        <v/>
      </c>
      <c r="AG1637" s="12" t="n"/>
      <c r="AH1637" s="11" t="n"/>
      <c r="AI1637" s="11" t="n"/>
      <c r="AJ1637" s="11" t="n"/>
      <c r="AK1637" s="14">
        <f>IF(AND($AF1637="保留中",$AH1637&lt;&gt;""),TODAY()-$AH1637,"")</f>
        <v/>
      </c>
      <c r="AL1637" s="12" t="n"/>
      <c r="AM1637" s="14">
        <f>IF($B1637="","",IF($AQ1637="","対象年月が未入力／","")&amp;IF($B1637="","",IF($AP1637="","職員マスタに未登録の職員番号／",IF($AA1637="","標準報酬月額が未登録／","")&amp;IF(AND($AQ1637&lt;&gt;"",OR(AND(INDEX(職員マスタ!$G$6:$G$405,$AP1637)&lt;&gt;"",INDEX(職員マスタ!$G$6:$G$405,$AP1637)&gt;EOMONTH($AQ1637,0)),AND(INDEX(職員マスタ!$H$6:$H$405,$AP1637)&lt;&gt;"",INDEX(職員マスタ!$H$6:$H$405,$AP1637)&lt;$AQ1637))),"対象月が時短期間外／","")&amp;IF(AND(INDEX(職員マスタ!$K$6:$K$405,$AP1637)&lt;&gt;"",N($W1637)&gt;0,INDEX(職員マスタ!$K$6:$K$405,$AP1637)&lt;&gt;$W1637),"標準報酬月額が申請書と相違（台帳"&amp;TEXT(INDEX(職員マスタ!$K$6:$K$405,$AP1637),"#,##0")&amp;"円／申請書"&amp;TEXT($W1637,"#,##0")&amp;"円）／","")&amp;IF(AND(INDEX(職員マスタ!$F$6:$F$405,$AP1637)&lt;&gt;"",$AQ1637&lt;&gt;"",INDEX(職員マスタ!$F$6:$F$405,$AP1637)&lt;$AQ1637),"対象月に子が2歳到達済／","")&amp;IF(AND($H1637&lt;&gt;"",INDEX(職員マスタ!$B$6:$B$405,$AP1637)&lt;&gt;"",SUBSTITUTE(SUBSTITUTE($H1637," ","")," ","")&lt;&gt;SUBSTITUTE(SUBSTITUTE(INDEX(職員マスタ!$B$6:$B$405,$AP1637)," ","")," ","")),"氏名がマスタと相違／","")&amp;IF(AND($Q1637&lt;&gt;"",INDEX(職員マスタ!$E$6:$E$405,$AP1637)&lt;&gt;"",$Q1637&lt;&gt;INDEX(職員マスタ!$E$6:$E$405,$AP1637)),"子の生年月日がマスタと相違／","")&amp;IF(AND($L1637&lt;&gt;"",INDEX(職員マスタ!$G$6:$G$405,$AP1637)&lt;&gt;"",$L1637&lt;&gt;INDEX(職員マスタ!$G$6:$G$405,$AP1637)),"時短開始日がマスタと相違／","")&amp;IF(AND($M1637&lt;&gt;"",INDEX(職員マスタ!$H$6:$H$405,$AP1637)&lt;&gt;"",$M1637&lt;&gt;INDEX(職員マスタ!$H$6:$H$405,$AP1637)),"時短終了日がマスタと相違／","")))&amp;IF(AND($B1637&lt;&gt;"",$E1637=""),"報酬額が未入力／","")&amp;IF(N($U1637)&gt;0,"申請書に入力エラーが残っています／","")&amp;IF(AND($B1637&lt;&gt;"",$AQ1637&lt;&gt;""),IF(COUNTIFS($B$6:$B$3005,$B1637,$C$6:$C$3005,$C1637,$D$6:$D$3005,$D1637)&gt;1,"同じ月の請求が重複しています／",""),"")&amp;IF(AND(N($E1637)&gt;0,$AB1637&lt;&gt;"",$AB1637&lt;&gt;"×",$AE1637=0,$AD1637=""),"計算額が下限以下のため不支給／",""))</f>
        <v/>
      </c>
      <c r="AN1637" s="12" t="n"/>
      <c r="AO1637" s="14">
        <f>IF($AF1637="保留中",COUNTIF($AF$6:$AF1637,"保留中"),"")</f>
        <v/>
      </c>
      <c r="AP1637" s="14">
        <f>IF($AQ1637="","",IF(SUMPRODUCT(MAX((職員マスタ!$A$6:$A$405=$B1637)*(((職員マスタ!$G$6:$G$405="")+(職員マスタ!$G$6:$G$405&lt;=EOMONTH($AQ1637,0)))&gt;0)*(((職員マスタ!$H$6:$H$405="")+(職員マスタ!$H$6:$H$405&gt;=$AQ1637))&gt;0)*(ROW(職員マスタ!$A$6:$A$405)-5)))&gt;0,SUMPRODUCT(MAX((職員マスタ!$A$6:$A$405=$B1637)*(((職員マスタ!$G$6:$G$405="")+(職員マスタ!$G$6:$G$405&lt;=EOMONTH($AQ1637,0)))&gt;0)*(((職員マスタ!$H$6:$H$405="")+(職員マスタ!$H$6:$H$405&gt;=$AQ1637))&gt;0)*(ROW(職員マスタ!$A$6:$A$405)-5))),IFERROR(MATCH($B1637,職員マスタ!$A$6:$A$405,0),"")))</f>
        <v/>
      </c>
      <c r="AQ1637" s="16">
        <f>IF(OR($B1637="",$C1637="",$D1637=""),"",DATE($C1637+2018,$D1637,1))</f>
        <v/>
      </c>
    </row>
    <row r="1638">
      <c r="A1638" s="11" t="n"/>
      <c r="B1638" s="12" t="n"/>
      <c r="C1638" s="12" t="n"/>
      <c r="D1638" s="12" t="n"/>
      <c r="E1638" s="13" t="n"/>
      <c r="F1638" s="12" t="n"/>
      <c r="G1638" s="13" t="n"/>
      <c r="H1638" s="12" t="n"/>
      <c r="I1638" s="12" t="n"/>
      <c r="J1638" s="12" t="n"/>
      <c r="K1638" s="12" t="n"/>
      <c r="L1638" s="11" t="n"/>
      <c r="M1638" s="11" t="n"/>
      <c r="N1638" s="11" t="n"/>
      <c r="O1638" s="11" t="n"/>
      <c r="P1638" s="12" t="n"/>
      <c r="Q1638" s="11" t="n"/>
      <c r="R1638" s="12" t="n"/>
      <c r="S1638" s="11" t="n"/>
      <c r="T1638" s="12" t="n"/>
      <c r="U1638" s="12" t="n"/>
      <c r="V1638" s="12" t="n"/>
      <c r="W1638" s="13" t="n"/>
      <c r="X1638" s="14">
        <f>IF($AP1638="",IF($B1638="","",$H1638),IF(INDEX(職員マスタ!$B$6:$B$405,$AP1638)="",$H1638,INDEX(職員マスタ!$B$6:$B$405,$AP1638)))</f>
        <v/>
      </c>
      <c r="Y1638" s="14">
        <f>IF($AP1638="",IF($B1638="","",$R1638),IF(INDEX(職員マスタ!$C$6:$C$405,$AP1638)="",$R1638,INDEX(職員マスタ!$C$6:$C$405,$AP1638)))</f>
        <v/>
      </c>
      <c r="Z1638" s="14">
        <f>IF($AQ1638="","","R"&amp;$C1638&amp;"."&amp;$D1638)</f>
        <v/>
      </c>
      <c r="AA1638" s="15">
        <f>IF(IF($AP1638="",FALSE,INDEX(職員マスタ!$K$6:$K$405,$AP1638)&lt;&gt;""),INDEX(職員マスタ!$K$6:$K$405,$AP1638),IF(N($W1638)&gt;0,$W1638,""))</f>
        <v/>
      </c>
      <c r="AB1638" s="14">
        <f>IF(OR($E1638="",$AA1638=""),"",IF($E1638&gt;=$AA1638,"×",IF($E1638&gt;=$AA1638*設定!$C$5,"△","○")))</f>
        <v/>
      </c>
      <c r="AC1638" s="15">
        <f>IF($AB1638="","",IF($AB1638="×",0,IF($AB1638="○",ROUNDDOWN($E1638*設定!$C$4,0),ROUNDDOWN($E1638*ROUND((9*$AA1638-9*$E1638)/(10*$E1638),4),0))))</f>
        <v/>
      </c>
      <c r="AD1638" s="13" t="n"/>
      <c r="AE1638" s="15">
        <f>IF($B1638="","",IF($AD1638&lt;&gt;"",$AD1638,IF($AC1638="","",IF($AC1638&lt;=設定!$C$3,0,$AC1638))))</f>
        <v/>
      </c>
      <c r="AF1638" s="14">
        <f>IF($B1638="","",IF(AND($AG1638&lt;&gt;"",$AI1638="",$AL1638=""),"保留中",IF($AL1638&lt;&gt;"",IF(N($AE1638)&gt;0,"支給済","不支給"),IF($AE1638="","要確認",IF($AE1638=0,"不支給","未処理")))))</f>
        <v/>
      </c>
      <c r="AG1638" s="12" t="n"/>
      <c r="AH1638" s="11" t="n"/>
      <c r="AI1638" s="11" t="n"/>
      <c r="AJ1638" s="11" t="n"/>
      <c r="AK1638" s="14">
        <f>IF(AND($AF1638="保留中",$AH1638&lt;&gt;""),TODAY()-$AH1638,"")</f>
        <v/>
      </c>
      <c r="AL1638" s="12" t="n"/>
      <c r="AM1638" s="14">
        <f>IF($B1638="","",IF($AQ1638="","対象年月が未入力／","")&amp;IF($B1638="","",IF($AP1638="","職員マスタに未登録の職員番号／",IF($AA1638="","標準報酬月額が未登録／","")&amp;IF(AND($AQ1638&lt;&gt;"",OR(AND(INDEX(職員マスタ!$G$6:$G$405,$AP1638)&lt;&gt;"",INDEX(職員マスタ!$G$6:$G$405,$AP1638)&gt;EOMONTH($AQ1638,0)),AND(INDEX(職員マスタ!$H$6:$H$405,$AP1638)&lt;&gt;"",INDEX(職員マスタ!$H$6:$H$405,$AP1638)&lt;$AQ1638))),"対象月が時短期間外／","")&amp;IF(AND(INDEX(職員マスタ!$K$6:$K$405,$AP1638)&lt;&gt;"",N($W1638)&gt;0,INDEX(職員マスタ!$K$6:$K$405,$AP1638)&lt;&gt;$W1638),"標準報酬月額が申請書と相違（台帳"&amp;TEXT(INDEX(職員マスタ!$K$6:$K$405,$AP1638),"#,##0")&amp;"円／申請書"&amp;TEXT($W1638,"#,##0")&amp;"円）／","")&amp;IF(AND(INDEX(職員マスタ!$F$6:$F$405,$AP1638)&lt;&gt;"",$AQ1638&lt;&gt;"",INDEX(職員マスタ!$F$6:$F$405,$AP1638)&lt;$AQ1638),"対象月に子が2歳到達済／","")&amp;IF(AND($H1638&lt;&gt;"",INDEX(職員マスタ!$B$6:$B$405,$AP1638)&lt;&gt;"",SUBSTITUTE(SUBSTITUTE($H1638," ","")," ","")&lt;&gt;SUBSTITUTE(SUBSTITUTE(INDEX(職員マスタ!$B$6:$B$405,$AP1638)," ","")," ","")),"氏名がマスタと相違／","")&amp;IF(AND($Q1638&lt;&gt;"",INDEX(職員マスタ!$E$6:$E$405,$AP1638)&lt;&gt;"",$Q1638&lt;&gt;INDEX(職員マスタ!$E$6:$E$405,$AP1638)),"子の生年月日がマスタと相違／","")&amp;IF(AND($L1638&lt;&gt;"",INDEX(職員マスタ!$G$6:$G$405,$AP1638)&lt;&gt;"",$L1638&lt;&gt;INDEX(職員マスタ!$G$6:$G$405,$AP1638)),"時短開始日がマスタと相違／","")&amp;IF(AND($M1638&lt;&gt;"",INDEX(職員マスタ!$H$6:$H$405,$AP1638)&lt;&gt;"",$M1638&lt;&gt;INDEX(職員マスタ!$H$6:$H$405,$AP1638)),"時短終了日がマスタと相違／","")))&amp;IF(AND($B1638&lt;&gt;"",$E1638=""),"報酬額が未入力／","")&amp;IF(N($U1638)&gt;0,"申請書に入力エラーが残っています／","")&amp;IF(AND($B1638&lt;&gt;"",$AQ1638&lt;&gt;""),IF(COUNTIFS($B$6:$B$3005,$B1638,$C$6:$C$3005,$C1638,$D$6:$D$3005,$D1638)&gt;1,"同じ月の請求が重複しています／",""),"")&amp;IF(AND(N($E1638)&gt;0,$AB1638&lt;&gt;"",$AB1638&lt;&gt;"×",$AE1638=0,$AD1638=""),"計算額が下限以下のため不支給／",""))</f>
        <v/>
      </c>
      <c r="AN1638" s="12" t="n"/>
      <c r="AO1638" s="14">
        <f>IF($AF1638="保留中",COUNTIF($AF$6:$AF1638,"保留中"),"")</f>
        <v/>
      </c>
      <c r="AP1638" s="14">
        <f>IF($AQ1638="","",IF(SUMPRODUCT(MAX((職員マスタ!$A$6:$A$405=$B1638)*(((職員マスタ!$G$6:$G$405="")+(職員マスタ!$G$6:$G$405&lt;=EOMONTH($AQ1638,0)))&gt;0)*(((職員マスタ!$H$6:$H$405="")+(職員マスタ!$H$6:$H$405&gt;=$AQ1638))&gt;0)*(ROW(職員マスタ!$A$6:$A$405)-5)))&gt;0,SUMPRODUCT(MAX((職員マスタ!$A$6:$A$405=$B1638)*(((職員マスタ!$G$6:$G$405="")+(職員マスタ!$G$6:$G$405&lt;=EOMONTH($AQ1638,0)))&gt;0)*(((職員マスタ!$H$6:$H$405="")+(職員マスタ!$H$6:$H$405&gt;=$AQ1638))&gt;0)*(ROW(職員マスタ!$A$6:$A$405)-5))),IFERROR(MATCH($B1638,職員マスタ!$A$6:$A$405,0),"")))</f>
        <v/>
      </c>
      <c r="AQ1638" s="16">
        <f>IF(OR($B1638="",$C1638="",$D1638=""),"",DATE($C1638+2018,$D1638,1))</f>
        <v/>
      </c>
    </row>
    <row r="1639">
      <c r="A1639" s="11" t="n"/>
      <c r="B1639" s="12" t="n"/>
      <c r="C1639" s="12" t="n"/>
      <c r="D1639" s="12" t="n"/>
      <c r="E1639" s="13" t="n"/>
      <c r="F1639" s="12" t="n"/>
      <c r="G1639" s="13" t="n"/>
      <c r="H1639" s="12" t="n"/>
      <c r="I1639" s="12" t="n"/>
      <c r="J1639" s="12" t="n"/>
      <c r="K1639" s="12" t="n"/>
      <c r="L1639" s="11" t="n"/>
      <c r="M1639" s="11" t="n"/>
      <c r="N1639" s="11" t="n"/>
      <c r="O1639" s="11" t="n"/>
      <c r="P1639" s="12" t="n"/>
      <c r="Q1639" s="11" t="n"/>
      <c r="R1639" s="12" t="n"/>
      <c r="S1639" s="11" t="n"/>
      <c r="T1639" s="12" t="n"/>
      <c r="U1639" s="12" t="n"/>
      <c r="V1639" s="12" t="n"/>
      <c r="W1639" s="13" t="n"/>
      <c r="X1639" s="14">
        <f>IF($AP1639="",IF($B1639="","",$H1639),IF(INDEX(職員マスタ!$B$6:$B$405,$AP1639)="",$H1639,INDEX(職員マスタ!$B$6:$B$405,$AP1639)))</f>
        <v/>
      </c>
      <c r="Y1639" s="14">
        <f>IF($AP1639="",IF($B1639="","",$R1639),IF(INDEX(職員マスタ!$C$6:$C$405,$AP1639)="",$R1639,INDEX(職員マスタ!$C$6:$C$405,$AP1639)))</f>
        <v/>
      </c>
      <c r="Z1639" s="14">
        <f>IF($AQ1639="","","R"&amp;$C1639&amp;"."&amp;$D1639)</f>
        <v/>
      </c>
      <c r="AA1639" s="15">
        <f>IF(IF($AP1639="",FALSE,INDEX(職員マスタ!$K$6:$K$405,$AP1639)&lt;&gt;""),INDEX(職員マスタ!$K$6:$K$405,$AP1639),IF(N($W1639)&gt;0,$W1639,""))</f>
        <v/>
      </c>
      <c r="AB1639" s="14">
        <f>IF(OR($E1639="",$AA1639=""),"",IF($E1639&gt;=$AA1639,"×",IF($E1639&gt;=$AA1639*設定!$C$5,"△","○")))</f>
        <v/>
      </c>
      <c r="AC1639" s="15">
        <f>IF($AB1639="","",IF($AB1639="×",0,IF($AB1639="○",ROUNDDOWN($E1639*設定!$C$4,0),ROUNDDOWN($E1639*ROUND((9*$AA1639-9*$E1639)/(10*$E1639),4),0))))</f>
        <v/>
      </c>
      <c r="AD1639" s="13" t="n"/>
      <c r="AE1639" s="15">
        <f>IF($B1639="","",IF($AD1639&lt;&gt;"",$AD1639,IF($AC1639="","",IF($AC1639&lt;=設定!$C$3,0,$AC1639))))</f>
        <v/>
      </c>
      <c r="AF1639" s="14">
        <f>IF($B1639="","",IF(AND($AG1639&lt;&gt;"",$AI1639="",$AL1639=""),"保留中",IF($AL1639&lt;&gt;"",IF(N($AE1639)&gt;0,"支給済","不支給"),IF($AE1639="","要確認",IF($AE1639=0,"不支給","未処理")))))</f>
        <v/>
      </c>
      <c r="AG1639" s="12" t="n"/>
      <c r="AH1639" s="11" t="n"/>
      <c r="AI1639" s="11" t="n"/>
      <c r="AJ1639" s="11" t="n"/>
      <c r="AK1639" s="14">
        <f>IF(AND($AF1639="保留中",$AH1639&lt;&gt;""),TODAY()-$AH1639,"")</f>
        <v/>
      </c>
      <c r="AL1639" s="12" t="n"/>
      <c r="AM1639" s="14">
        <f>IF($B1639="","",IF($AQ1639="","対象年月が未入力／","")&amp;IF($B1639="","",IF($AP1639="","職員マスタに未登録の職員番号／",IF($AA1639="","標準報酬月額が未登録／","")&amp;IF(AND($AQ1639&lt;&gt;"",OR(AND(INDEX(職員マスタ!$G$6:$G$405,$AP1639)&lt;&gt;"",INDEX(職員マスタ!$G$6:$G$405,$AP1639)&gt;EOMONTH($AQ1639,0)),AND(INDEX(職員マスタ!$H$6:$H$405,$AP1639)&lt;&gt;"",INDEX(職員マスタ!$H$6:$H$405,$AP1639)&lt;$AQ1639))),"対象月が時短期間外／","")&amp;IF(AND(INDEX(職員マスタ!$K$6:$K$405,$AP1639)&lt;&gt;"",N($W1639)&gt;0,INDEX(職員マスタ!$K$6:$K$405,$AP1639)&lt;&gt;$W1639),"標準報酬月額が申請書と相違（台帳"&amp;TEXT(INDEX(職員マスタ!$K$6:$K$405,$AP1639),"#,##0")&amp;"円／申請書"&amp;TEXT($W1639,"#,##0")&amp;"円）／","")&amp;IF(AND(INDEX(職員マスタ!$F$6:$F$405,$AP1639)&lt;&gt;"",$AQ1639&lt;&gt;"",INDEX(職員マスタ!$F$6:$F$405,$AP1639)&lt;$AQ1639),"対象月に子が2歳到達済／","")&amp;IF(AND($H1639&lt;&gt;"",INDEX(職員マスタ!$B$6:$B$405,$AP1639)&lt;&gt;"",SUBSTITUTE(SUBSTITUTE($H1639," ","")," ","")&lt;&gt;SUBSTITUTE(SUBSTITUTE(INDEX(職員マスタ!$B$6:$B$405,$AP1639)," ","")," ","")),"氏名がマスタと相違／","")&amp;IF(AND($Q1639&lt;&gt;"",INDEX(職員マスタ!$E$6:$E$405,$AP1639)&lt;&gt;"",$Q1639&lt;&gt;INDEX(職員マスタ!$E$6:$E$405,$AP1639)),"子の生年月日がマスタと相違／","")&amp;IF(AND($L1639&lt;&gt;"",INDEX(職員マスタ!$G$6:$G$405,$AP1639)&lt;&gt;"",$L1639&lt;&gt;INDEX(職員マスタ!$G$6:$G$405,$AP1639)),"時短開始日がマスタと相違／","")&amp;IF(AND($M1639&lt;&gt;"",INDEX(職員マスタ!$H$6:$H$405,$AP1639)&lt;&gt;"",$M1639&lt;&gt;INDEX(職員マスタ!$H$6:$H$405,$AP1639)),"時短終了日がマスタと相違／","")))&amp;IF(AND($B1639&lt;&gt;"",$E1639=""),"報酬額が未入力／","")&amp;IF(N($U1639)&gt;0,"申請書に入力エラーが残っています／","")&amp;IF(AND($B1639&lt;&gt;"",$AQ1639&lt;&gt;""),IF(COUNTIFS($B$6:$B$3005,$B1639,$C$6:$C$3005,$C1639,$D$6:$D$3005,$D1639)&gt;1,"同じ月の請求が重複しています／",""),"")&amp;IF(AND(N($E1639)&gt;0,$AB1639&lt;&gt;"",$AB1639&lt;&gt;"×",$AE1639=0,$AD1639=""),"計算額が下限以下のため不支給／",""))</f>
        <v/>
      </c>
      <c r="AN1639" s="12" t="n"/>
      <c r="AO1639" s="14">
        <f>IF($AF1639="保留中",COUNTIF($AF$6:$AF1639,"保留中"),"")</f>
        <v/>
      </c>
      <c r="AP1639" s="14">
        <f>IF($AQ1639="","",IF(SUMPRODUCT(MAX((職員マスタ!$A$6:$A$405=$B1639)*(((職員マスタ!$G$6:$G$405="")+(職員マスタ!$G$6:$G$405&lt;=EOMONTH($AQ1639,0)))&gt;0)*(((職員マスタ!$H$6:$H$405="")+(職員マスタ!$H$6:$H$405&gt;=$AQ1639))&gt;0)*(ROW(職員マスタ!$A$6:$A$405)-5)))&gt;0,SUMPRODUCT(MAX((職員マスタ!$A$6:$A$405=$B1639)*(((職員マスタ!$G$6:$G$405="")+(職員マスタ!$G$6:$G$405&lt;=EOMONTH($AQ1639,0)))&gt;0)*(((職員マスタ!$H$6:$H$405="")+(職員マスタ!$H$6:$H$405&gt;=$AQ1639))&gt;0)*(ROW(職員マスタ!$A$6:$A$405)-5))),IFERROR(MATCH($B1639,職員マスタ!$A$6:$A$405,0),"")))</f>
        <v/>
      </c>
      <c r="AQ1639" s="16">
        <f>IF(OR($B1639="",$C1639="",$D1639=""),"",DATE($C1639+2018,$D1639,1))</f>
        <v/>
      </c>
    </row>
    <row r="1640">
      <c r="A1640" s="11" t="n"/>
      <c r="B1640" s="12" t="n"/>
      <c r="C1640" s="12" t="n"/>
      <c r="D1640" s="12" t="n"/>
      <c r="E1640" s="13" t="n"/>
      <c r="F1640" s="12" t="n"/>
      <c r="G1640" s="13" t="n"/>
      <c r="H1640" s="12" t="n"/>
      <c r="I1640" s="12" t="n"/>
      <c r="J1640" s="12" t="n"/>
      <c r="K1640" s="12" t="n"/>
      <c r="L1640" s="11" t="n"/>
      <c r="M1640" s="11" t="n"/>
      <c r="N1640" s="11" t="n"/>
      <c r="O1640" s="11" t="n"/>
      <c r="P1640" s="12" t="n"/>
      <c r="Q1640" s="11" t="n"/>
      <c r="R1640" s="12" t="n"/>
      <c r="S1640" s="11" t="n"/>
      <c r="T1640" s="12" t="n"/>
      <c r="U1640" s="12" t="n"/>
      <c r="V1640" s="12" t="n"/>
      <c r="W1640" s="13" t="n"/>
      <c r="X1640" s="14">
        <f>IF($AP1640="",IF($B1640="","",$H1640),IF(INDEX(職員マスタ!$B$6:$B$405,$AP1640)="",$H1640,INDEX(職員マスタ!$B$6:$B$405,$AP1640)))</f>
        <v/>
      </c>
      <c r="Y1640" s="14">
        <f>IF($AP1640="",IF($B1640="","",$R1640),IF(INDEX(職員マスタ!$C$6:$C$405,$AP1640)="",$R1640,INDEX(職員マスタ!$C$6:$C$405,$AP1640)))</f>
        <v/>
      </c>
      <c r="Z1640" s="14">
        <f>IF($AQ1640="","","R"&amp;$C1640&amp;"."&amp;$D1640)</f>
        <v/>
      </c>
      <c r="AA1640" s="15">
        <f>IF(IF($AP1640="",FALSE,INDEX(職員マスタ!$K$6:$K$405,$AP1640)&lt;&gt;""),INDEX(職員マスタ!$K$6:$K$405,$AP1640),IF(N($W1640)&gt;0,$W1640,""))</f>
        <v/>
      </c>
      <c r="AB1640" s="14">
        <f>IF(OR($E1640="",$AA1640=""),"",IF($E1640&gt;=$AA1640,"×",IF($E1640&gt;=$AA1640*設定!$C$5,"△","○")))</f>
        <v/>
      </c>
      <c r="AC1640" s="15">
        <f>IF($AB1640="","",IF($AB1640="×",0,IF($AB1640="○",ROUNDDOWN($E1640*設定!$C$4,0),ROUNDDOWN($E1640*ROUND((9*$AA1640-9*$E1640)/(10*$E1640),4),0))))</f>
        <v/>
      </c>
      <c r="AD1640" s="13" t="n"/>
      <c r="AE1640" s="15">
        <f>IF($B1640="","",IF($AD1640&lt;&gt;"",$AD1640,IF($AC1640="","",IF($AC1640&lt;=設定!$C$3,0,$AC1640))))</f>
        <v/>
      </c>
      <c r="AF1640" s="14">
        <f>IF($B1640="","",IF(AND($AG1640&lt;&gt;"",$AI1640="",$AL1640=""),"保留中",IF($AL1640&lt;&gt;"",IF(N($AE1640)&gt;0,"支給済","不支給"),IF($AE1640="","要確認",IF($AE1640=0,"不支給","未処理")))))</f>
        <v/>
      </c>
      <c r="AG1640" s="12" t="n"/>
      <c r="AH1640" s="11" t="n"/>
      <c r="AI1640" s="11" t="n"/>
      <c r="AJ1640" s="11" t="n"/>
      <c r="AK1640" s="14">
        <f>IF(AND($AF1640="保留中",$AH1640&lt;&gt;""),TODAY()-$AH1640,"")</f>
        <v/>
      </c>
      <c r="AL1640" s="12" t="n"/>
      <c r="AM1640" s="14">
        <f>IF($B1640="","",IF($AQ1640="","対象年月が未入力／","")&amp;IF($B1640="","",IF($AP1640="","職員マスタに未登録の職員番号／",IF($AA1640="","標準報酬月額が未登録／","")&amp;IF(AND($AQ1640&lt;&gt;"",OR(AND(INDEX(職員マスタ!$G$6:$G$405,$AP1640)&lt;&gt;"",INDEX(職員マスタ!$G$6:$G$405,$AP1640)&gt;EOMONTH($AQ1640,0)),AND(INDEX(職員マスタ!$H$6:$H$405,$AP1640)&lt;&gt;"",INDEX(職員マスタ!$H$6:$H$405,$AP1640)&lt;$AQ1640))),"対象月が時短期間外／","")&amp;IF(AND(INDEX(職員マスタ!$K$6:$K$405,$AP1640)&lt;&gt;"",N($W1640)&gt;0,INDEX(職員マスタ!$K$6:$K$405,$AP1640)&lt;&gt;$W1640),"標準報酬月額が申請書と相違（台帳"&amp;TEXT(INDEX(職員マスタ!$K$6:$K$405,$AP1640),"#,##0")&amp;"円／申請書"&amp;TEXT($W1640,"#,##0")&amp;"円）／","")&amp;IF(AND(INDEX(職員マスタ!$F$6:$F$405,$AP1640)&lt;&gt;"",$AQ1640&lt;&gt;"",INDEX(職員マスタ!$F$6:$F$405,$AP1640)&lt;$AQ1640),"対象月に子が2歳到達済／","")&amp;IF(AND($H1640&lt;&gt;"",INDEX(職員マスタ!$B$6:$B$405,$AP1640)&lt;&gt;"",SUBSTITUTE(SUBSTITUTE($H1640," ","")," ","")&lt;&gt;SUBSTITUTE(SUBSTITUTE(INDEX(職員マスタ!$B$6:$B$405,$AP1640)," ","")," ","")),"氏名がマスタと相違／","")&amp;IF(AND($Q1640&lt;&gt;"",INDEX(職員マスタ!$E$6:$E$405,$AP1640)&lt;&gt;"",$Q1640&lt;&gt;INDEX(職員マスタ!$E$6:$E$405,$AP1640)),"子の生年月日がマスタと相違／","")&amp;IF(AND($L1640&lt;&gt;"",INDEX(職員マスタ!$G$6:$G$405,$AP1640)&lt;&gt;"",$L1640&lt;&gt;INDEX(職員マスタ!$G$6:$G$405,$AP1640)),"時短開始日がマスタと相違／","")&amp;IF(AND($M1640&lt;&gt;"",INDEX(職員マスタ!$H$6:$H$405,$AP1640)&lt;&gt;"",$M1640&lt;&gt;INDEX(職員マスタ!$H$6:$H$405,$AP1640)),"時短終了日がマスタと相違／","")))&amp;IF(AND($B1640&lt;&gt;"",$E1640=""),"報酬額が未入力／","")&amp;IF(N($U1640)&gt;0,"申請書に入力エラーが残っています／","")&amp;IF(AND($B1640&lt;&gt;"",$AQ1640&lt;&gt;""),IF(COUNTIFS($B$6:$B$3005,$B1640,$C$6:$C$3005,$C1640,$D$6:$D$3005,$D1640)&gt;1,"同じ月の請求が重複しています／",""),"")&amp;IF(AND(N($E1640)&gt;0,$AB1640&lt;&gt;"",$AB1640&lt;&gt;"×",$AE1640=0,$AD1640=""),"計算額が下限以下のため不支給／",""))</f>
        <v/>
      </c>
      <c r="AN1640" s="12" t="n"/>
      <c r="AO1640" s="14">
        <f>IF($AF1640="保留中",COUNTIF($AF$6:$AF1640,"保留中"),"")</f>
        <v/>
      </c>
      <c r="AP1640" s="14">
        <f>IF($AQ1640="","",IF(SUMPRODUCT(MAX((職員マスタ!$A$6:$A$405=$B1640)*(((職員マスタ!$G$6:$G$405="")+(職員マスタ!$G$6:$G$405&lt;=EOMONTH($AQ1640,0)))&gt;0)*(((職員マスタ!$H$6:$H$405="")+(職員マスタ!$H$6:$H$405&gt;=$AQ1640))&gt;0)*(ROW(職員マスタ!$A$6:$A$405)-5)))&gt;0,SUMPRODUCT(MAX((職員マスタ!$A$6:$A$405=$B1640)*(((職員マスタ!$G$6:$G$405="")+(職員マスタ!$G$6:$G$405&lt;=EOMONTH($AQ1640,0)))&gt;0)*(((職員マスタ!$H$6:$H$405="")+(職員マスタ!$H$6:$H$405&gt;=$AQ1640))&gt;0)*(ROW(職員マスタ!$A$6:$A$405)-5))),IFERROR(MATCH($B1640,職員マスタ!$A$6:$A$405,0),"")))</f>
        <v/>
      </c>
      <c r="AQ1640" s="16">
        <f>IF(OR($B1640="",$C1640="",$D1640=""),"",DATE($C1640+2018,$D1640,1))</f>
        <v/>
      </c>
    </row>
    <row r="1641">
      <c r="A1641" s="11" t="n"/>
      <c r="B1641" s="12" t="n"/>
      <c r="C1641" s="12" t="n"/>
      <c r="D1641" s="12" t="n"/>
      <c r="E1641" s="13" t="n"/>
      <c r="F1641" s="12" t="n"/>
      <c r="G1641" s="13" t="n"/>
      <c r="H1641" s="12" t="n"/>
      <c r="I1641" s="12" t="n"/>
      <c r="J1641" s="12" t="n"/>
      <c r="K1641" s="12" t="n"/>
      <c r="L1641" s="11" t="n"/>
      <c r="M1641" s="11" t="n"/>
      <c r="N1641" s="11" t="n"/>
      <c r="O1641" s="11" t="n"/>
      <c r="P1641" s="12" t="n"/>
      <c r="Q1641" s="11" t="n"/>
      <c r="R1641" s="12" t="n"/>
      <c r="S1641" s="11" t="n"/>
      <c r="T1641" s="12" t="n"/>
      <c r="U1641" s="12" t="n"/>
      <c r="V1641" s="12" t="n"/>
      <c r="W1641" s="13" t="n"/>
      <c r="X1641" s="14">
        <f>IF($AP1641="",IF($B1641="","",$H1641),IF(INDEX(職員マスタ!$B$6:$B$405,$AP1641)="",$H1641,INDEX(職員マスタ!$B$6:$B$405,$AP1641)))</f>
        <v/>
      </c>
      <c r="Y1641" s="14">
        <f>IF($AP1641="",IF($B1641="","",$R1641),IF(INDEX(職員マスタ!$C$6:$C$405,$AP1641)="",$R1641,INDEX(職員マスタ!$C$6:$C$405,$AP1641)))</f>
        <v/>
      </c>
      <c r="Z1641" s="14">
        <f>IF($AQ1641="","","R"&amp;$C1641&amp;"."&amp;$D1641)</f>
        <v/>
      </c>
      <c r="AA1641" s="15">
        <f>IF(IF($AP1641="",FALSE,INDEX(職員マスタ!$K$6:$K$405,$AP1641)&lt;&gt;""),INDEX(職員マスタ!$K$6:$K$405,$AP1641),IF(N($W1641)&gt;0,$W1641,""))</f>
        <v/>
      </c>
      <c r="AB1641" s="14">
        <f>IF(OR($E1641="",$AA1641=""),"",IF($E1641&gt;=$AA1641,"×",IF($E1641&gt;=$AA1641*設定!$C$5,"△","○")))</f>
        <v/>
      </c>
      <c r="AC1641" s="15">
        <f>IF($AB1641="","",IF($AB1641="×",0,IF($AB1641="○",ROUNDDOWN($E1641*設定!$C$4,0),ROUNDDOWN($E1641*ROUND((9*$AA1641-9*$E1641)/(10*$E1641),4),0))))</f>
        <v/>
      </c>
      <c r="AD1641" s="13" t="n"/>
      <c r="AE1641" s="15">
        <f>IF($B1641="","",IF($AD1641&lt;&gt;"",$AD1641,IF($AC1641="","",IF($AC1641&lt;=設定!$C$3,0,$AC1641))))</f>
        <v/>
      </c>
      <c r="AF1641" s="14">
        <f>IF($B1641="","",IF(AND($AG1641&lt;&gt;"",$AI1641="",$AL1641=""),"保留中",IF($AL1641&lt;&gt;"",IF(N($AE1641)&gt;0,"支給済","不支給"),IF($AE1641="","要確認",IF($AE1641=0,"不支給","未処理")))))</f>
        <v/>
      </c>
      <c r="AG1641" s="12" t="n"/>
      <c r="AH1641" s="11" t="n"/>
      <c r="AI1641" s="11" t="n"/>
      <c r="AJ1641" s="11" t="n"/>
      <c r="AK1641" s="14">
        <f>IF(AND($AF1641="保留中",$AH1641&lt;&gt;""),TODAY()-$AH1641,"")</f>
        <v/>
      </c>
      <c r="AL1641" s="12" t="n"/>
      <c r="AM1641" s="14">
        <f>IF($B1641="","",IF($AQ1641="","対象年月が未入力／","")&amp;IF($B1641="","",IF($AP1641="","職員マスタに未登録の職員番号／",IF($AA1641="","標準報酬月額が未登録／","")&amp;IF(AND($AQ1641&lt;&gt;"",OR(AND(INDEX(職員マスタ!$G$6:$G$405,$AP1641)&lt;&gt;"",INDEX(職員マスタ!$G$6:$G$405,$AP1641)&gt;EOMONTH($AQ1641,0)),AND(INDEX(職員マスタ!$H$6:$H$405,$AP1641)&lt;&gt;"",INDEX(職員マスタ!$H$6:$H$405,$AP1641)&lt;$AQ1641))),"対象月が時短期間外／","")&amp;IF(AND(INDEX(職員マスタ!$K$6:$K$405,$AP1641)&lt;&gt;"",N($W1641)&gt;0,INDEX(職員マスタ!$K$6:$K$405,$AP1641)&lt;&gt;$W1641),"標準報酬月額が申請書と相違（台帳"&amp;TEXT(INDEX(職員マスタ!$K$6:$K$405,$AP1641),"#,##0")&amp;"円／申請書"&amp;TEXT($W1641,"#,##0")&amp;"円）／","")&amp;IF(AND(INDEX(職員マスタ!$F$6:$F$405,$AP1641)&lt;&gt;"",$AQ1641&lt;&gt;"",INDEX(職員マスタ!$F$6:$F$405,$AP1641)&lt;$AQ1641),"対象月に子が2歳到達済／","")&amp;IF(AND($H1641&lt;&gt;"",INDEX(職員マスタ!$B$6:$B$405,$AP1641)&lt;&gt;"",SUBSTITUTE(SUBSTITUTE($H1641," ","")," ","")&lt;&gt;SUBSTITUTE(SUBSTITUTE(INDEX(職員マスタ!$B$6:$B$405,$AP1641)," ","")," ","")),"氏名がマスタと相違／","")&amp;IF(AND($Q1641&lt;&gt;"",INDEX(職員マスタ!$E$6:$E$405,$AP1641)&lt;&gt;"",$Q1641&lt;&gt;INDEX(職員マスタ!$E$6:$E$405,$AP1641)),"子の生年月日がマスタと相違／","")&amp;IF(AND($L1641&lt;&gt;"",INDEX(職員マスタ!$G$6:$G$405,$AP1641)&lt;&gt;"",$L1641&lt;&gt;INDEX(職員マスタ!$G$6:$G$405,$AP1641)),"時短開始日がマスタと相違／","")&amp;IF(AND($M1641&lt;&gt;"",INDEX(職員マスタ!$H$6:$H$405,$AP1641)&lt;&gt;"",$M1641&lt;&gt;INDEX(職員マスタ!$H$6:$H$405,$AP1641)),"時短終了日がマスタと相違／","")))&amp;IF(AND($B1641&lt;&gt;"",$E1641=""),"報酬額が未入力／","")&amp;IF(N($U1641)&gt;0,"申請書に入力エラーが残っています／","")&amp;IF(AND($B1641&lt;&gt;"",$AQ1641&lt;&gt;""),IF(COUNTIFS($B$6:$B$3005,$B1641,$C$6:$C$3005,$C1641,$D$6:$D$3005,$D1641)&gt;1,"同じ月の請求が重複しています／",""),"")&amp;IF(AND(N($E1641)&gt;0,$AB1641&lt;&gt;"",$AB1641&lt;&gt;"×",$AE1641=0,$AD1641=""),"計算額が下限以下のため不支給／",""))</f>
        <v/>
      </c>
      <c r="AN1641" s="12" t="n"/>
      <c r="AO1641" s="14">
        <f>IF($AF1641="保留中",COUNTIF($AF$6:$AF1641,"保留中"),"")</f>
        <v/>
      </c>
      <c r="AP1641" s="14">
        <f>IF($AQ1641="","",IF(SUMPRODUCT(MAX((職員マスタ!$A$6:$A$405=$B1641)*(((職員マスタ!$G$6:$G$405="")+(職員マスタ!$G$6:$G$405&lt;=EOMONTH($AQ1641,0)))&gt;0)*(((職員マスタ!$H$6:$H$405="")+(職員マスタ!$H$6:$H$405&gt;=$AQ1641))&gt;0)*(ROW(職員マスタ!$A$6:$A$405)-5)))&gt;0,SUMPRODUCT(MAX((職員マスタ!$A$6:$A$405=$B1641)*(((職員マスタ!$G$6:$G$405="")+(職員マスタ!$G$6:$G$405&lt;=EOMONTH($AQ1641,0)))&gt;0)*(((職員マスタ!$H$6:$H$405="")+(職員マスタ!$H$6:$H$405&gt;=$AQ1641))&gt;0)*(ROW(職員マスタ!$A$6:$A$405)-5))),IFERROR(MATCH($B1641,職員マスタ!$A$6:$A$405,0),"")))</f>
        <v/>
      </c>
      <c r="AQ1641" s="16">
        <f>IF(OR($B1641="",$C1641="",$D1641=""),"",DATE($C1641+2018,$D1641,1))</f>
        <v/>
      </c>
    </row>
    <row r="1642">
      <c r="A1642" s="11" t="n"/>
      <c r="B1642" s="12" t="n"/>
      <c r="C1642" s="12" t="n"/>
      <c r="D1642" s="12" t="n"/>
      <c r="E1642" s="13" t="n"/>
      <c r="F1642" s="12" t="n"/>
      <c r="G1642" s="13" t="n"/>
      <c r="H1642" s="12" t="n"/>
      <c r="I1642" s="12" t="n"/>
      <c r="J1642" s="12" t="n"/>
      <c r="K1642" s="12" t="n"/>
      <c r="L1642" s="11" t="n"/>
      <c r="M1642" s="11" t="n"/>
      <c r="N1642" s="11" t="n"/>
      <c r="O1642" s="11" t="n"/>
      <c r="P1642" s="12" t="n"/>
      <c r="Q1642" s="11" t="n"/>
      <c r="R1642" s="12" t="n"/>
      <c r="S1642" s="11" t="n"/>
      <c r="T1642" s="12" t="n"/>
      <c r="U1642" s="12" t="n"/>
      <c r="V1642" s="12" t="n"/>
      <c r="W1642" s="13" t="n"/>
      <c r="X1642" s="14">
        <f>IF($AP1642="",IF($B1642="","",$H1642),IF(INDEX(職員マスタ!$B$6:$B$405,$AP1642)="",$H1642,INDEX(職員マスタ!$B$6:$B$405,$AP1642)))</f>
        <v/>
      </c>
      <c r="Y1642" s="14">
        <f>IF($AP1642="",IF($B1642="","",$R1642),IF(INDEX(職員マスタ!$C$6:$C$405,$AP1642)="",$R1642,INDEX(職員マスタ!$C$6:$C$405,$AP1642)))</f>
        <v/>
      </c>
      <c r="Z1642" s="14">
        <f>IF($AQ1642="","","R"&amp;$C1642&amp;"."&amp;$D1642)</f>
        <v/>
      </c>
      <c r="AA1642" s="15">
        <f>IF(IF($AP1642="",FALSE,INDEX(職員マスタ!$K$6:$K$405,$AP1642)&lt;&gt;""),INDEX(職員マスタ!$K$6:$K$405,$AP1642),IF(N($W1642)&gt;0,$W1642,""))</f>
        <v/>
      </c>
      <c r="AB1642" s="14">
        <f>IF(OR($E1642="",$AA1642=""),"",IF($E1642&gt;=$AA1642,"×",IF($E1642&gt;=$AA1642*設定!$C$5,"△","○")))</f>
        <v/>
      </c>
      <c r="AC1642" s="15">
        <f>IF($AB1642="","",IF($AB1642="×",0,IF($AB1642="○",ROUNDDOWN($E1642*設定!$C$4,0),ROUNDDOWN($E1642*ROUND((9*$AA1642-9*$E1642)/(10*$E1642),4),0))))</f>
        <v/>
      </c>
      <c r="AD1642" s="13" t="n"/>
      <c r="AE1642" s="15">
        <f>IF($B1642="","",IF($AD1642&lt;&gt;"",$AD1642,IF($AC1642="","",IF($AC1642&lt;=設定!$C$3,0,$AC1642))))</f>
        <v/>
      </c>
      <c r="AF1642" s="14">
        <f>IF($B1642="","",IF(AND($AG1642&lt;&gt;"",$AI1642="",$AL1642=""),"保留中",IF($AL1642&lt;&gt;"",IF(N($AE1642)&gt;0,"支給済","不支給"),IF($AE1642="","要確認",IF($AE1642=0,"不支給","未処理")))))</f>
        <v/>
      </c>
      <c r="AG1642" s="12" t="n"/>
      <c r="AH1642" s="11" t="n"/>
      <c r="AI1642" s="11" t="n"/>
      <c r="AJ1642" s="11" t="n"/>
      <c r="AK1642" s="14">
        <f>IF(AND($AF1642="保留中",$AH1642&lt;&gt;""),TODAY()-$AH1642,"")</f>
        <v/>
      </c>
      <c r="AL1642" s="12" t="n"/>
      <c r="AM1642" s="14">
        <f>IF($B1642="","",IF($AQ1642="","対象年月が未入力／","")&amp;IF($B1642="","",IF($AP1642="","職員マスタに未登録の職員番号／",IF($AA1642="","標準報酬月額が未登録／","")&amp;IF(AND($AQ1642&lt;&gt;"",OR(AND(INDEX(職員マスタ!$G$6:$G$405,$AP1642)&lt;&gt;"",INDEX(職員マスタ!$G$6:$G$405,$AP1642)&gt;EOMONTH($AQ1642,0)),AND(INDEX(職員マスタ!$H$6:$H$405,$AP1642)&lt;&gt;"",INDEX(職員マスタ!$H$6:$H$405,$AP1642)&lt;$AQ1642))),"対象月が時短期間外／","")&amp;IF(AND(INDEX(職員マスタ!$K$6:$K$405,$AP1642)&lt;&gt;"",N($W1642)&gt;0,INDEX(職員マスタ!$K$6:$K$405,$AP1642)&lt;&gt;$W1642),"標準報酬月額が申請書と相違（台帳"&amp;TEXT(INDEX(職員マスタ!$K$6:$K$405,$AP1642),"#,##0")&amp;"円／申請書"&amp;TEXT($W1642,"#,##0")&amp;"円）／","")&amp;IF(AND(INDEX(職員マスタ!$F$6:$F$405,$AP1642)&lt;&gt;"",$AQ1642&lt;&gt;"",INDEX(職員マスタ!$F$6:$F$405,$AP1642)&lt;$AQ1642),"対象月に子が2歳到達済／","")&amp;IF(AND($H1642&lt;&gt;"",INDEX(職員マスタ!$B$6:$B$405,$AP1642)&lt;&gt;"",SUBSTITUTE(SUBSTITUTE($H1642," ","")," ","")&lt;&gt;SUBSTITUTE(SUBSTITUTE(INDEX(職員マスタ!$B$6:$B$405,$AP1642)," ","")," ","")),"氏名がマスタと相違／","")&amp;IF(AND($Q1642&lt;&gt;"",INDEX(職員マスタ!$E$6:$E$405,$AP1642)&lt;&gt;"",$Q1642&lt;&gt;INDEX(職員マスタ!$E$6:$E$405,$AP1642)),"子の生年月日がマスタと相違／","")&amp;IF(AND($L1642&lt;&gt;"",INDEX(職員マスタ!$G$6:$G$405,$AP1642)&lt;&gt;"",$L1642&lt;&gt;INDEX(職員マスタ!$G$6:$G$405,$AP1642)),"時短開始日がマスタと相違／","")&amp;IF(AND($M1642&lt;&gt;"",INDEX(職員マスタ!$H$6:$H$405,$AP1642)&lt;&gt;"",$M1642&lt;&gt;INDEX(職員マスタ!$H$6:$H$405,$AP1642)),"時短終了日がマスタと相違／","")))&amp;IF(AND($B1642&lt;&gt;"",$E1642=""),"報酬額が未入力／","")&amp;IF(N($U1642)&gt;0,"申請書に入力エラーが残っています／","")&amp;IF(AND($B1642&lt;&gt;"",$AQ1642&lt;&gt;""),IF(COUNTIFS($B$6:$B$3005,$B1642,$C$6:$C$3005,$C1642,$D$6:$D$3005,$D1642)&gt;1,"同じ月の請求が重複しています／",""),"")&amp;IF(AND(N($E1642)&gt;0,$AB1642&lt;&gt;"",$AB1642&lt;&gt;"×",$AE1642=0,$AD1642=""),"計算額が下限以下のため不支給／",""))</f>
        <v/>
      </c>
      <c r="AN1642" s="12" t="n"/>
      <c r="AO1642" s="14">
        <f>IF($AF1642="保留中",COUNTIF($AF$6:$AF1642,"保留中"),"")</f>
        <v/>
      </c>
      <c r="AP1642" s="14">
        <f>IF($AQ1642="","",IF(SUMPRODUCT(MAX((職員マスタ!$A$6:$A$405=$B1642)*(((職員マスタ!$G$6:$G$405="")+(職員マスタ!$G$6:$G$405&lt;=EOMONTH($AQ1642,0)))&gt;0)*(((職員マスタ!$H$6:$H$405="")+(職員マスタ!$H$6:$H$405&gt;=$AQ1642))&gt;0)*(ROW(職員マスタ!$A$6:$A$405)-5)))&gt;0,SUMPRODUCT(MAX((職員マスタ!$A$6:$A$405=$B1642)*(((職員マスタ!$G$6:$G$405="")+(職員マスタ!$G$6:$G$405&lt;=EOMONTH($AQ1642,0)))&gt;0)*(((職員マスタ!$H$6:$H$405="")+(職員マスタ!$H$6:$H$405&gt;=$AQ1642))&gt;0)*(ROW(職員マスタ!$A$6:$A$405)-5))),IFERROR(MATCH($B1642,職員マスタ!$A$6:$A$405,0),"")))</f>
        <v/>
      </c>
      <c r="AQ1642" s="16">
        <f>IF(OR($B1642="",$C1642="",$D1642=""),"",DATE($C1642+2018,$D1642,1))</f>
        <v/>
      </c>
    </row>
    <row r="1643">
      <c r="A1643" s="11" t="n"/>
      <c r="B1643" s="12" t="n"/>
      <c r="C1643" s="12" t="n"/>
      <c r="D1643" s="12" t="n"/>
      <c r="E1643" s="13" t="n"/>
      <c r="F1643" s="12" t="n"/>
      <c r="G1643" s="13" t="n"/>
      <c r="H1643" s="12" t="n"/>
      <c r="I1643" s="12" t="n"/>
      <c r="J1643" s="12" t="n"/>
      <c r="K1643" s="12" t="n"/>
      <c r="L1643" s="11" t="n"/>
      <c r="M1643" s="11" t="n"/>
      <c r="N1643" s="11" t="n"/>
      <c r="O1643" s="11" t="n"/>
      <c r="P1643" s="12" t="n"/>
      <c r="Q1643" s="11" t="n"/>
      <c r="R1643" s="12" t="n"/>
      <c r="S1643" s="11" t="n"/>
      <c r="T1643" s="12" t="n"/>
      <c r="U1643" s="12" t="n"/>
      <c r="V1643" s="12" t="n"/>
      <c r="W1643" s="13" t="n"/>
      <c r="X1643" s="14">
        <f>IF($AP1643="",IF($B1643="","",$H1643),IF(INDEX(職員マスタ!$B$6:$B$405,$AP1643)="",$H1643,INDEX(職員マスタ!$B$6:$B$405,$AP1643)))</f>
        <v/>
      </c>
      <c r="Y1643" s="14">
        <f>IF($AP1643="",IF($B1643="","",$R1643),IF(INDEX(職員マスタ!$C$6:$C$405,$AP1643)="",$R1643,INDEX(職員マスタ!$C$6:$C$405,$AP1643)))</f>
        <v/>
      </c>
      <c r="Z1643" s="14">
        <f>IF($AQ1643="","","R"&amp;$C1643&amp;"."&amp;$D1643)</f>
        <v/>
      </c>
      <c r="AA1643" s="15">
        <f>IF(IF($AP1643="",FALSE,INDEX(職員マスタ!$K$6:$K$405,$AP1643)&lt;&gt;""),INDEX(職員マスタ!$K$6:$K$405,$AP1643),IF(N($W1643)&gt;0,$W1643,""))</f>
        <v/>
      </c>
      <c r="AB1643" s="14">
        <f>IF(OR($E1643="",$AA1643=""),"",IF($E1643&gt;=$AA1643,"×",IF($E1643&gt;=$AA1643*設定!$C$5,"△","○")))</f>
        <v/>
      </c>
      <c r="AC1643" s="15">
        <f>IF($AB1643="","",IF($AB1643="×",0,IF($AB1643="○",ROUNDDOWN($E1643*設定!$C$4,0),ROUNDDOWN($E1643*ROUND((9*$AA1643-9*$E1643)/(10*$E1643),4),0))))</f>
        <v/>
      </c>
      <c r="AD1643" s="13" t="n"/>
      <c r="AE1643" s="15">
        <f>IF($B1643="","",IF($AD1643&lt;&gt;"",$AD1643,IF($AC1643="","",IF($AC1643&lt;=設定!$C$3,0,$AC1643))))</f>
        <v/>
      </c>
      <c r="AF1643" s="14">
        <f>IF($B1643="","",IF(AND($AG1643&lt;&gt;"",$AI1643="",$AL1643=""),"保留中",IF($AL1643&lt;&gt;"",IF(N($AE1643)&gt;0,"支給済","不支給"),IF($AE1643="","要確認",IF($AE1643=0,"不支給","未処理")))))</f>
        <v/>
      </c>
      <c r="AG1643" s="12" t="n"/>
      <c r="AH1643" s="11" t="n"/>
      <c r="AI1643" s="11" t="n"/>
      <c r="AJ1643" s="11" t="n"/>
      <c r="AK1643" s="14">
        <f>IF(AND($AF1643="保留中",$AH1643&lt;&gt;""),TODAY()-$AH1643,"")</f>
        <v/>
      </c>
      <c r="AL1643" s="12" t="n"/>
      <c r="AM1643" s="14">
        <f>IF($B1643="","",IF($AQ1643="","対象年月が未入力／","")&amp;IF($B1643="","",IF($AP1643="","職員マスタに未登録の職員番号／",IF($AA1643="","標準報酬月額が未登録／","")&amp;IF(AND($AQ1643&lt;&gt;"",OR(AND(INDEX(職員マスタ!$G$6:$G$405,$AP1643)&lt;&gt;"",INDEX(職員マスタ!$G$6:$G$405,$AP1643)&gt;EOMONTH($AQ1643,0)),AND(INDEX(職員マスタ!$H$6:$H$405,$AP1643)&lt;&gt;"",INDEX(職員マスタ!$H$6:$H$405,$AP1643)&lt;$AQ1643))),"対象月が時短期間外／","")&amp;IF(AND(INDEX(職員マスタ!$K$6:$K$405,$AP1643)&lt;&gt;"",N($W1643)&gt;0,INDEX(職員マスタ!$K$6:$K$405,$AP1643)&lt;&gt;$W1643),"標準報酬月額が申請書と相違（台帳"&amp;TEXT(INDEX(職員マスタ!$K$6:$K$405,$AP1643),"#,##0")&amp;"円／申請書"&amp;TEXT($W1643,"#,##0")&amp;"円）／","")&amp;IF(AND(INDEX(職員マスタ!$F$6:$F$405,$AP1643)&lt;&gt;"",$AQ1643&lt;&gt;"",INDEX(職員マスタ!$F$6:$F$405,$AP1643)&lt;$AQ1643),"対象月に子が2歳到達済／","")&amp;IF(AND($H1643&lt;&gt;"",INDEX(職員マスタ!$B$6:$B$405,$AP1643)&lt;&gt;"",SUBSTITUTE(SUBSTITUTE($H1643," ","")," ","")&lt;&gt;SUBSTITUTE(SUBSTITUTE(INDEX(職員マスタ!$B$6:$B$405,$AP1643)," ","")," ","")),"氏名がマスタと相違／","")&amp;IF(AND($Q1643&lt;&gt;"",INDEX(職員マスタ!$E$6:$E$405,$AP1643)&lt;&gt;"",$Q1643&lt;&gt;INDEX(職員マスタ!$E$6:$E$405,$AP1643)),"子の生年月日がマスタと相違／","")&amp;IF(AND($L1643&lt;&gt;"",INDEX(職員マスタ!$G$6:$G$405,$AP1643)&lt;&gt;"",$L1643&lt;&gt;INDEX(職員マスタ!$G$6:$G$405,$AP1643)),"時短開始日がマスタと相違／","")&amp;IF(AND($M1643&lt;&gt;"",INDEX(職員マスタ!$H$6:$H$405,$AP1643)&lt;&gt;"",$M1643&lt;&gt;INDEX(職員マスタ!$H$6:$H$405,$AP1643)),"時短終了日がマスタと相違／","")))&amp;IF(AND($B1643&lt;&gt;"",$E1643=""),"報酬額が未入力／","")&amp;IF(N($U1643)&gt;0,"申請書に入力エラーが残っています／","")&amp;IF(AND($B1643&lt;&gt;"",$AQ1643&lt;&gt;""),IF(COUNTIFS($B$6:$B$3005,$B1643,$C$6:$C$3005,$C1643,$D$6:$D$3005,$D1643)&gt;1,"同じ月の請求が重複しています／",""),"")&amp;IF(AND(N($E1643)&gt;0,$AB1643&lt;&gt;"",$AB1643&lt;&gt;"×",$AE1643=0,$AD1643=""),"計算額が下限以下のため不支給／",""))</f>
        <v/>
      </c>
      <c r="AN1643" s="12" t="n"/>
      <c r="AO1643" s="14">
        <f>IF($AF1643="保留中",COUNTIF($AF$6:$AF1643,"保留中"),"")</f>
        <v/>
      </c>
      <c r="AP1643" s="14">
        <f>IF($AQ1643="","",IF(SUMPRODUCT(MAX((職員マスタ!$A$6:$A$405=$B1643)*(((職員マスタ!$G$6:$G$405="")+(職員マスタ!$G$6:$G$405&lt;=EOMONTH($AQ1643,0)))&gt;0)*(((職員マスタ!$H$6:$H$405="")+(職員マスタ!$H$6:$H$405&gt;=$AQ1643))&gt;0)*(ROW(職員マスタ!$A$6:$A$405)-5)))&gt;0,SUMPRODUCT(MAX((職員マスタ!$A$6:$A$405=$B1643)*(((職員マスタ!$G$6:$G$405="")+(職員マスタ!$G$6:$G$405&lt;=EOMONTH($AQ1643,0)))&gt;0)*(((職員マスタ!$H$6:$H$405="")+(職員マスタ!$H$6:$H$405&gt;=$AQ1643))&gt;0)*(ROW(職員マスタ!$A$6:$A$405)-5))),IFERROR(MATCH($B1643,職員マスタ!$A$6:$A$405,0),"")))</f>
        <v/>
      </c>
      <c r="AQ1643" s="16">
        <f>IF(OR($B1643="",$C1643="",$D1643=""),"",DATE($C1643+2018,$D1643,1))</f>
        <v/>
      </c>
    </row>
    <row r="1644">
      <c r="A1644" s="11" t="n"/>
      <c r="B1644" s="12" t="n"/>
      <c r="C1644" s="12" t="n"/>
      <c r="D1644" s="12" t="n"/>
      <c r="E1644" s="13" t="n"/>
      <c r="F1644" s="12" t="n"/>
      <c r="G1644" s="13" t="n"/>
      <c r="H1644" s="12" t="n"/>
      <c r="I1644" s="12" t="n"/>
      <c r="J1644" s="12" t="n"/>
      <c r="K1644" s="12" t="n"/>
      <c r="L1644" s="11" t="n"/>
      <c r="M1644" s="11" t="n"/>
      <c r="N1644" s="11" t="n"/>
      <c r="O1644" s="11" t="n"/>
      <c r="P1644" s="12" t="n"/>
      <c r="Q1644" s="11" t="n"/>
      <c r="R1644" s="12" t="n"/>
      <c r="S1644" s="11" t="n"/>
      <c r="T1644" s="12" t="n"/>
      <c r="U1644" s="12" t="n"/>
      <c r="V1644" s="12" t="n"/>
      <c r="W1644" s="13" t="n"/>
      <c r="X1644" s="14">
        <f>IF($AP1644="",IF($B1644="","",$H1644),IF(INDEX(職員マスタ!$B$6:$B$405,$AP1644)="",$H1644,INDEX(職員マスタ!$B$6:$B$405,$AP1644)))</f>
        <v/>
      </c>
      <c r="Y1644" s="14">
        <f>IF($AP1644="",IF($B1644="","",$R1644),IF(INDEX(職員マスタ!$C$6:$C$405,$AP1644)="",$R1644,INDEX(職員マスタ!$C$6:$C$405,$AP1644)))</f>
        <v/>
      </c>
      <c r="Z1644" s="14">
        <f>IF($AQ1644="","","R"&amp;$C1644&amp;"."&amp;$D1644)</f>
        <v/>
      </c>
      <c r="AA1644" s="15">
        <f>IF(IF($AP1644="",FALSE,INDEX(職員マスタ!$K$6:$K$405,$AP1644)&lt;&gt;""),INDEX(職員マスタ!$K$6:$K$405,$AP1644),IF(N($W1644)&gt;0,$W1644,""))</f>
        <v/>
      </c>
      <c r="AB1644" s="14">
        <f>IF(OR($E1644="",$AA1644=""),"",IF($E1644&gt;=$AA1644,"×",IF($E1644&gt;=$AA1644*設定!$C$5,"△","○")))</f>
        <v/>
      </c>
      <c r="AC1644" s="15">
        <f>IF($AB1644="","",IF($AB1644="×",0,IF($AB1644="○",ROUNDDOWN($E1644*設定!$C$4,0),ROUNDDOWN($E1644*ROUND((9*$AA1644-9*$E1644)/(10*$E1644),4),0))))</f>
        <v/>
      </c>
      <c r="AD1644" s="13" t="n"/>
      <c r="AE1644" s="15">
        <f>IF($B1644="","",IF($AD1644&lt;&gt;"",$AD1644,IF($AC1644="","",IF($AC1644&lt;=設定!$C$3,0,$AC1644))))</f>
        <v/>
      </c>
      <c r="AF1644" s="14">
        <f>IF($B1644="","",IF(AND($AG1644&lt;&gt;"",$AI1644="",$AL1644=""),"保留中",IF($AL1644&lt;&gt;"",IF(N($AE1644)&gt;0,"支給済","不支給"),IF($AE1644="","要確認",IF($AE1644=0,"不支給","未処理")))))</f>
        <v/>
      </c>
      <c r="AG1644" s="12" t="n"/>
      <c r="AH1644" s="11" t="n"/>
      <c r="AI1644" s="11" t="n"/>
      <c r="AJ1644" s="11" t="n"/>
      <c r="AK1644" s="14">
        <f>IF(AND($AF1644="保留中",$AH1644&lt;&gt;""),TODAY()-$AH1644,"")</f>
        <v/>
      </c>
      <c r="AL1644" s="12" t="n"/>
      <c r="AM1644" s="14">
        <f>IF($B1644="","",IF($AQ1644="","対象年月が未入力／","")&amp;IF($B1644="","",IF($AP1644="","職員マスタに未登録の職員番号／",IF($AA1644="","標準報酬月額が未登録／","")&amp;IF(AND($AQ1644&lt;&gt;"",OR(AND(INDEX(職員マスタ!$G$6:$G$405,$AP1644)&lt;&gt;"",INDEX(職員マスタ!$G$6:$G$405,$AP1644)&gt;EOMONTH($AQ1644,0)),AND(INDEX(職員マスタ!$H$6:$H$405,$AP1644)&lt;&gt;"",INDEX(職員マスタ!$H$6:$H$405,$AP1644)&lt;$AQ1644))),"対象月が時短期間外／","")&amp;IF(AND(INDEX(職員マスタ!$K$6:$K$405,$AP1644)&lt;&gt;"",N($W1644)&gt;0,INDEX(職員マスタ!$K$6:$K$405,$AP1644)&lt;&gt;$W1644),"標準報酬月額が申請書と相違（台帳"&amp;TEXT(INDEX(職員マスタ!$K$6:$K$405,$AP1644),"#,##0")&amp;"円／申請書"&amp;TEXT($W1644,"#,##0")&amp;"円）／","")&amp;IF(AND(INDEX(職員マスタ!$F$6:$F$405,$AP1644)&lt;&gt;"",$AQ1644&lt;&gt;"",INDEX(職員マスタ!$F$6:$F$405,$AP1644)&lt;$AQ1644),"対象月に子が2歳到達済／","")&amp;IF(AND($H1644&lt;&gt;"",INDEX(職員マスタ!$B$6:$B$405,$AP1644)&lt;&gt;"",SUBSTITUTE(SUBSTITUTE($H1644," ","")," ","")&lt;&gt;SUBSTITUTE(SUBSTITUTE(INDEX(職員マスタ!$B$6:$B$405,$AP1644)," ","")," ","")),"氏名がマスタと相違／","")&amp;IF(AND($Q1644&lt;&gt;"",INDEX(職員マスタ!$E$6:$E$405,$AP1644)&lt;&gt;"",$Q1644&lt;&gt;INDEX(職員マスタ!$E$6:$E$405,$AP1644)),"子の生年月日がマスタと相違／","")&amp;IF(AND($L1644&lt;&gt;"",INDEX(職員マスタ!$G$6:$G$405,$AP1644)&lt;&gt;"",$L1644&lt;&gt;INDEX(職員マスタ!$G$6:$G$405,$AP1644)),"時短開始日がマスタと相違／","")&amp;IF(AND($M1644&lt;&gt;"",INDEX(職員マスタ!$H$6:$H$405,$AP1644)&lt;&gt;"",$M1644&lt;&gt;INDEX(職員マスタ!$H$6:$H$405,$AP1644)),"時短終了日がマスタと相違／","")))&amp;IF(AND($B1644&lt;&gt;"",$E1644=""),"報酬額が未入力／","")&amp;IF(N($U1644)&gt;0,"申請書に入力エラーが残っています／","")&amp;IF(AND($B1644&lt;&gt;"",$AQ1644&lt;&gt;""),IF(COUNTIFS($B$6:$B$3005,$B1644,$C$6:$C$3005,$C1644,$D$6:$D$3005,$D1644)&gt;1,"同じ月の請求が重複しています／",""),"")&amp;IF(AND(N($E1644)&gt;0,$AB1644&lt;&gt;"",$AB1644&lt;&gt;"×",$AE1644=0,$AD1644=""),"計算額が下限以下のため不支給／",""))</f>
        <v/>
      </c>
      <c r="AN1644" s="12" t="n"/>
      <c r="AO1644" s="14">
        <f>IF($AF1644="保留中",COUNTIF($AF$6:$AF1644,"保留中"),"")</f>
        <v/>
      </c>
      <c r="AP1644" s="14">
        <f>IF($AQ1644="","",IF(SUMPRODUCT(MAX((職員マスタ!$A$6:$A$405=$B1644)*(((職員マスタ!$G$6:$G$405="")+(職員マスタ!$G$6:$G$405&lt;=EOMONTH($AQ1644,0)))&gt;0)*(((職員マスタ!$H$6:$H$405="")+(職員マスタ!$H$6:$H$405&gt;=$AQ1644))&gt;0)*(ROW(職員マスタ!$A$6:$A$405)-5)))&gt;0,SUMPRODUCT(MAX((職員マスタ!$A$6:$A$405=$B1644)*(((職員マスタ!$G$6:$G$405="")+(職員マスタ!$G$6:$G$405&lt;=EOMONTH($AQ1644,0)))&gt;0)*(((職員マスタ!$H$6:$H$405="")+(職員マスタ!$H$6:$H$405&gt;=$AQ1644))&gt;0)*(ROW(職員マスタ!$A$6:$A$405)-5))),IFERROR(MATCH($B1644,職員マスタ!$A$6:$A$405,0),"")))</f>
        <v/>
      </c>
      <c r="AQ1644" s="16">
        <f>IF(OR($B1644="",$C1644="",$D1644=""),"",DATE($C1644+2018,$D1644,1))</f>
        <v/>
      </c>
    </row>
    <row r="1645">
      <c r="A1645" s="11" t="n"/>
      <c r="B1645" s="12" t="n"/>
      <c r="C1645" s="12" t="n"/>
      <c r="D1645" s="12" t="n"/>
      <c r="E1645" s="13" t="n"/>
      <c r="F1645" s="12" t="n"/>
      <c r="G1645" s="13" t="n"/>
      <c r="H1645" s="12" t="n"/>
      <c r="I1645" s="12" t="n"/>
      <c r="J1645" s="12" t="n"/>
      <c r="K1645" s="12" t="n"/>
      <c r="L1645" s="11" t="n"/>
      <c r="M1645" s="11" t="n"/>
      <c r="N1645" s="11" t="n"/>
      <c r="O1645" s="11" t="n"/>
      <c r="P1645" s="12" t="n"/>
      <c r="Q1645" s="11" t="n"/>
      <c r="R1645" s="12" t="n"/>
      <c r="S1645" s="11" t="n"/>
      <c r="T1645" s="12" t="n"/>
      <c r="U1645" s="12" t="n"/>
      <c r="V1645" s="12" t="n"/>
      <c r="W1645" s="13" t="n"/>
      <c r="X1645" s="14">
        <f>IF($AP1645="",IF($B1645="","",$H1645),IF(INDEX(職員マスタ!$B$6:$B$405,$AP1645)="",$H1645,INDEX(職員マスタ!$B$6:$B$405,$AP1645)))</f>
        <v/>
      </c>
      <c r="Y1645" s="14">
        <f>IF($AP1645="",IF($B1645="","",$R1645),IF(INDEX(職員マスタ!$C$6:$C$405,$AP1645)="",$R1645,INDEX(職員マスタ!$C$6:$C$405,$AP1645)))</f>
        <v/>
      </c>
      <c r="Z1645" s="14">
        <f>IF($AQ1645="","","R"&amp;$C1645&amp;"."&amp;$D1645)</f>
        <v/>
      </c>
      <c r="AA1645" s="15">
        <f>IF(IF($AP1645="",FALSE,INDEX(職員マスタ!$K$6:$K$405,$AP1645)&lt;&gt;""),INDEX(職員マスタ!$K$6:$K$405,$AP1645),IF(N($W1645)&gt;0,$W1645,""))</f>
        <v/>
      </c>
      <c r="AB1645" s="14">
        <f>IF(OR($E1645="",$AA1645=""),"",IF($E1645&gt;=$AA1645,"×",IF($E1645&gt;=$AA1645*設定!$C$5,"△","○")))</f>
        <v/>
      </c>
      <c r="AC1645" s="15">
        <f>IF($AB1645="","",IF($AB1645="×",0,IF($AB1645="○",ROUNDDOWN($E1645*設定!$C$4,0),ROUNDDOWN($E1645*ROUND((9*$AA1645-9*$E1645)/(10*$E1645),4),0))))</f>
        <v/>
      </c>
      <c r="AD1645" s="13" t="n"/>
      <c r="AE1645" s="15">
        <f>IF($B1645="","",IF($AD1645&lt;&gt;"",$AD1645,IF($AC1645="","",IF($AC1645&lt;=設定!$C$3,0,$AC1645))))</f>
        <v/>
      </c>
      <c r="AF1645" s="14">
        <f>IF($B1645="","",IF(AND($AG1645&lt;&gt;"",$AI1645="",$AL1645=""),"保留中",IF($AL1645&lt;&gt;"",IF(N($AE1645)&gt;0,"支給済","不支給"),IF($AE1645="","要確認",IF($AE1645=0,"不支給","未処理")))))</f>
        <v/>
      </c>
      <c r="AG1645" s="12" t="n"/>
      <c r="AH1645" s="11" t="n"/>
      <c r="AI1645" s="11" t="n"/>
      <c r="AJ1645" s="11" t="n"/>
      <c r="AK1645" s="14">
        <f>IF(AND($AF1645="保留中",$AH1645&lt;&gt;""),TODAY()-$AH1645,"")</f>
        <v/>
      </c>
      <c r="AL1645" s="12" t="n"/>
      <c r="AM1645" s="14">
        <f>IF($B1645="","",IF($AQ1645="","対象年月が未入力／","")&amp;IF($B1645="","",IF($AP1645="","職員マスタに未登録の職員番号／",IF($AA1645="","標準報酬月額が未登録／","")&amp;IF(AND($AQ1645&lt;&gt;"",OR(AND(INDEX(職員マスタ!$G$6:$G$405,$AP1645)&lt;&gt;"",INDEX(職員マスタ!$G$6:$G$405,$AP1645)&gt;EOMONTH($AQ1645,0)),AND(INDEX(職員マスタ!$H$6:$H$405,$AP1645)&lt;&gt;"",INDEX(職員マスタ!$H$6:$H$405,$AP1645)&lt;$AQ1645))),"対象月が時短期間外／","")&amp;IF(AND(INDEX(職員マスタ!$K$6:$K$405,$AP1645)&lt;&gt;"",N($W1645)&gt;0,INDEX(職員マスタ!$K$6:$K$405,$AP1645)&lt;&gt;$W1645),"標準報酬月額が申請書と相違（台帳"&amp;TEXT(INDEX(職員マスタ!$K$6:$K$405,$AP1645),"#,##0")&amp;"円／申請書"&amp;TEXT($W1645,"#,##0")&amp;"円）／","")&amp;IF(AND(INDEX(職員マスタ!$F$6:$F$405,$AP1645)&lt;&gt;"",$AQ1645&lt;&gt;"",INDEX(職員マスタ!$F$6:$F$405,$AP1645)&lt;$AQ1645),"対象月に子が2歳到達済／","")&amp;IF(AND($H1645&lt;&gt;"",INDEX(職員マスタ!$B$6:$B$405,$AP1645)&lt;&gt;"",SUBSTITUTE(SUBSTITUTE($H1645," ","")," ","")&lt;&gt;SUBSTITUTE(SUBSTITUTE(INDEX(職員マスタ!$B$6:$B$405,$AP1645)," ","")," ","")),"氏名がマスタと相違／","")&amp;IF(AND($Q1645&lt;&gt;"",INDEX(職員マスタ!$E$6:$E$405,$AP1645)&lt;&gt;"",$Q1645&lt;&gt;INDEX(職員マスタ!$E$6:$E$405,$AP1645)),"子の生年月日がマスタと相違／","")&amp;IF(AND($L1645&lt;&gt;"",INDEX(職員マスタ!$G$6:$G$405,$AP1645)&lt;&gt;"",$L1645&lt;&gt;INDEX(職員マスタ!$G$6:$G$405,$AP1645)),"時短開始日がマスタと相違／","")&amp;IF(AND($M1645&lt;&gt;"",INDEX(職員マスタ!$H$6:$H$405,$AP1645)&lt;&gt;"",$M1645&lt;&gt;INDEX(職員マスタ!$H$6:$H$405,$AP1645)),"時短終了日がマスタと相違／","")))&amp;IF(AND($B1645&lt;&gt;"",$E1645=""),"報酬額が未入力／","")&amp;IF(N($U1645)&gt;0,"申請書に入力エラーが残っています／","")&amp;IF(AND($B1645&lt;&gt;"",$AQ1645&lt;&gt;""),IF(COUNTIFS($B$6:$B$3005,$B1645,$C$6:$C$3005,$C1645,$D$6:$D$3005,$D1645)&gt;1,"同じ月の請求が重複しています／",""),"")&amp;IF(AND(N($E1645)&gt;0,$AB1645&lt;&gt;"",$AB1645&lt;&gt;"×",$AE1645=0,$AD1645=""),"計算額が下限以下のため不支給／",""))</f>
        <v/>
      </c>
      <c r="AN1645" s="12" t="n"/>
      <c r="AO1645" s="14">
        <f>IF($AF1645="保留中",COUNTIF($AF$6:$AF1645,"保留中"),"")</f>
        <v/>
      </c>
      <c r="AP1645" s="14">
        <f>IF($AQ1645="","",IF(SUMPRODUCT(MAX((職員マスタ!$A$6:$A$405=$B1645)*(((職員マスタ!$G$6:$G$405="")+(職員マスタ!$G$6:$G$405&lt;=EOMONTH($AQ1645,0)))&gt;0)*(((職員マスタ!$H$6:$H$405="")+(職員マスタ!$H$6:$H$405&gt;=$AQ1645))&gt;0)*(ROW(職員マスタ!$A$6:$A$405)-5)))&gt;0,SUMPRODUCT(MAX((職員マスタ!$A$6:$A$405=$B1645)*(((職員マスタ!$G$6:$G$405="")+(職員マスタ!$G$6:$G$405&lt;=EOMONTH($AQ1645,0)))&gt;0)*(((職員マスタ!$H$6:$H$405="")+(職員マスタ!$H$6:$H$405&gt;=$AQ1645))&gt;0)*(ROW(職員マスタ!$A$6:$A$405)-5))),IFERROR(MATCH($B1645,職員マスタ!$A$6:$A$405,0),"")))</f>
        <v/>
      </c>
      <c r="AQ1645" s="16">
        <f>IF(OR($B1645="",$C1645="",$D1645=""),"",DATE($C1645+2018,$D1645,1))</f>
        <v/>
      </c>
    </row>
    <row r="1646">
      <c r="A1646" s="11" t="n"/>
      <c r="B1646" s="12" t="n"/>
      <c r="C1646" s="12" t="n"/>
      <c r="D1646" s="12" t="n"/>
      <c r="E1646" s="13" t="n"/>
      <c r="F1646" s="12" t="n"/>
      <c r="G1646" s="13" t="n"/>
      <c r="H1646" s="12" t="n"/>
      <c r="I1646" s="12" t="n"/>
      <c r="J1646" s="12" t="n"/>
      <c r="K1646" s="12" t="n"/>
      <c r="L1646" s="11" t="n"/>
      <c r="M1646" s="11" t="n"/>
      <c r="N1646" s="11" t="n"/>
      <c r="O1646" s="11" t="n"/>
      <c r="P1646" s="12" t="n"/>
      <c r="Q1646" s="11" t="n"/>
      <c r="R1646" s="12" t="n"/>
      <c r="S1646" s="11" t="n"/>
      <c r="T1646" s="12" t="n"/>
      <c r="U1646" s="12" t="n"/>
      <c r="V1646" s="12" t="n"/>
      <c r="W1646" s="13" t="n"/>
      <c r="X1646" s="14">
        <f>IF($AP1646="",IF($B1646="","",$H1646),IF(INDEX(職員マスタ!$B$6:$B$405,$AP1646)="",$H1646,INDEX(職員マスタ!$B$6:$B$405,$AP1646)))</f>
        <v/>
      </c>
      <c r="Y1646" s="14">
        <f>IF($AP1646="",IF($B1646="","",$R1646),IF(INDEX(職員マスタ!$C$6:$C$405,$AP1646)="",$R1646,INDEX(職員マスタ!$C$6:$C$405,$AP1646)))</f>
        <v/>
      </c>
      <c r="Z1646" s="14">
        <f>IF($AQ1646="","","R"&amp;$C1646&amp;"."&amp;$D1646)</f>
        <v/>
      </c>
      <c r="AA1646" s="15">
        <f>IF(IF($AP1646="",FALSE,INDEX(職員マスタ!$K$6:$K$405,$AP1646)&lt;&gt;""),INDEX(職員マスタ!$K$6:$K$405,$AP1646),IF(N($W1646)&gt;0,$W1646,""))</f>
        <v/>
      </c>
      <c r="AB1646" s="14">
        <f>IF(OR($E1646="",$AA1646=""),"",IF($E1646&gt;=$AA1646,"×",IF($E1646&gt;=$AA1646*設定!$C$5,"△","○")))</f>
        <v/>
      </c>
      <c r="AC1646" s="15">
        <f>IF($AB1646="","",IF($AB1646="×",0,IF($AB1646="○",ROUNDDOWN($E1646*設定!$C$4,0),ROUNDDOWN($E1646*ROUND((9*$AA1646-9*$E1646)/(10*$E1646),4),0))))</f>
        <v/>
      </c>
      <c r="AD1646" s="13" t="n"/>
      <c r="AE1646" s="15">
        <f>IF($B1646="","",IF($AD1646&lt;&gt;"",$AD1646,IF($AC1646="","",IF($AC1646&lt;=設定!$C$3,0,$AC1646))))</f>
        <v/>
      </c>
      <c r="AF1646" s="14">
        <f>IF($B1646="","",IF(AND($AG1646&lt;&gt;"",$AI1646="",$AL1646=""),"保留中",IF($AL1646&lt;&gt;"",IF(N($AE1646)&gt;0,"支給済","不支給"),IF($AE1646="","要確認",IF($AE1646=0,"不支給","未処理")))))</f>
        <v/>
      </c>
      <c r="AG1646" s="12" t="n"/>
      <c r="AH1646" s="11" t="n"/>
      <c r="AI1646" s="11" t="n"/>
      <c r="AJ1646" s="11" t="n"/>
      <c r="AK1646" s="14">
        <f>IF(AND($AF1646="保留中",$AH1646&lt;&gt;""),TODAY()-$AH1646,"")</f>
        <v/>
      </c>
      <c r="AL1646" s="12" t="n"/>
      <c r="AM1646" s="14">
        <f>IF($B1646="","",IF($AQ1646="","対象年月が未入力／","")&amp;IF($B1646="","",IF($AP1646="","職員マスタに未登録の職員番号／",IF($AA1646="","標準報酬月額が未登録／","")&amp;IF(AND($AQ1646&lt;&gt;"",OR(AND(INDEX(職員マスタ!$G$6:$G$405,$AP1646)&lt;&gt;"",INDEX(職員マスタ!$G$6:$G$405,$AP1646)&gt;EOMONTH($AQ1646,0)),AND(INDEX(職員マスタ!$H$6:$H$405,$AP1646)&lt;&gt;"",INDEX(職員マスタ!$H$6:$H$405,$AP1646)&lt;$AQ1646))),"対象月が時短期間外／","")&amp;IF(AND(INDEX(職員マスタ!$K$6:$K$405,$AP1646)&lt;&gt;"",N($W1646)&gt;0,INDEX(職員マスタ!$K$6:$K$405,$AP1646)&lt;&gt;$W1646),"標準報酬月額が申請書と相違（台帳"&amp;TEXT(INDEX(職員マスタ!$K$6:$K$405,$AP1646),"#,##0")&amp;"円／申請書"&amp;TEXT($W1646,"#,##0")&amp;"円）／","")&amp;IF(AND(INDEX(職員マスタ!$F$6:$F$405,$AP1646)&lt;&gt;"",$AQ1646&lt;&gt;"",INDEX(職員マスタ!$F$6:$F$405,$AP1646)&lt;$AQ1646),"対象月に子が2歳到達済／","")&amp;IF(AND($H1646&lt;&gt;"",INDEX(職員マスタ!$B$6:$B$405,$AP1646)&lt;&gt;"",SUBSTITUTE(SUBSTITUTE($H1646," ","")," ","")&lt;&gt;SUBSTITUTE(SUBSTITUTE(INDEX(職員マスタ!$B$6:$B$405,$AP1646)," ","")," ","")),"氏名がマスタと相違／","")&amp;IF(AND($Q1646&lt;&gt;"",INDEX(職員マスタ!$E$6:$E$405,$AP1646)&lt;&gt;"",$Q1646&lt;&gt;INDEX(職員マスタ!$E$6:$E$405,$AP1646)),"子の生年月日がマスタと相違／","")&amp;IF(AND($L1646&lt;&gt;"",INDEX(職員マスタ!$G$6:$G$405,$AP1646)&lt;&gt;"",$L1646&lt;&gt;INDEX(職員マスタ!$G$6:$G$405,$AP1646)),"時短開始日がマスタと相違／","")&amp;IF(AND($M1646&lt;&gt;"",INDEX(職員マスタ!$H$6:$H$405,$AP1646)&lt;&gt;"",$M1646&lt;&gt;INDEX(職員マスタ!$H$6:$H$405,$AP1646)),"時短終了日がマスタと相違／","")))&amp;IF(AND($B1646&lt;&gt;"",$E1646=""),"報酬額が未入力／","")&amp;IF(N($U1646)&gt;0,"申請書に入力エラーが残っています／","")&amp;IF(AND($B1646&lt;&gt;"",$AQ1646&lt;&gt;""),IF(COUNTIFS($B$6:$B$3005,$B1646,$C$6:$C$3005,$C1646,$D$6:$D$3005,$D1646)&gt;1,"同じ月の請求が重複しています／",""),"")&amp;IF(AND(N($E1646)&gt;0,$AB1646&lt;&gt;"",$AB1646&lt;&gt;"×",$AE1646=0,$AD1646=""),"計算額が下限以下のため不支給／",""))</f>
        <v/>
      </c>
      <c r="AN1646" s="12" t="n"/>
      <c r="AO1646" s="14">
        <f>IF($AF1646="保留中",COUNTIF($AF$6:$AF1646,"保留中"),"")</f>
        <v/>
      </c>
      <c r="AP1646" s="14">
        <f>IF($AQ1646="","",IF(SUMPRODUCT(MAX((職員マスタ!$A$6:$A$405=$B1646)*(((職員マスタ!$G$6:$G$405="")+(職員マスタ!$G$6:$G$405&lt;=EOMONTH($AQ1646,0)))&gt;0)*(((職員マスタ!$H$6:$H$405="")+(職員マスタ!$H$6:$H$405&gt;=$AQ1646))&gt;0)*(ROW(職員マスタ!$A$6:$A$405)-5)))&gt;0,SUMPRODUCT(MAX((職員マスタ!$A$6:$A$405=$B1646)*(((職員マスタ!$G$6:$G$405="")+(職員マスタ!$G$6:$G$405&lt;=EOMONTH($AQ1646,0)))&gt;0)*(((職員マスタ!$H$6:$H$405="")+(職員マスタ!$H$6:$H$405&gt;=$AQ1646))&gt;0)*(ROW(職員マスタ!$A$6:$A$405)-5))),IFERROR(MATCH($B1646,職員マスタ!$A$6:$A$405,0),"")))</f>
        <v/>
      </c>
      <c r="AQ1646" s="16">
        <f>IF(OR($B1646="",$C1646="",$D1646=""),"",DATE($C1646+2018,$D1646,1))</f>
        <v/>
      </c>
    </row>
    <row r="1647">
      <c r="A1647" s="11" t="n"/>
      <c r="B1647" s="12" t="n"/>
      <c r="C1647" s="12" t="n"/>
      <c r="D1647" s="12" t="n"/>
      <c r="E1647" s="13" t="n"/>
      <c r="F1647" s="12" t="n"/>
      <c r="G1647" s="13" t="n"/>
      <c r="H1647" s="12" t="n"/>
      <c r="I1647" s="12" t="n"/>
      <c r="J1647" s="12" t="n"/>
      <c r="K1647" s="12" t="n"/>
      <c r="L1647" s="11" t="n"/>
      <c r="M1647" s="11" t="n"/>
      <c r="N1647" s="11" t="n"/>
      <c r="O1647" s="11" t="n"/>
      <c r="P1647" s="12" t="n"/>
      <c r="Q1647" s="11" t="n"/>
      <c r="R1647" s="12" t="n"/>
      <c r="S1647" s="11" t="n"/>
      <c r="T1647" s="12" t="n"/>
      <c r="U1647" s="12" t="n"/>
      <c r="V1647" s="12" t="n"/>
      <c r="W1647" s="13" t="n"/>
      <c r="X1647" s="14">
        <f>IF($AP1647="",IF($B1647="","",$H1647),IF(INDEX(職員マスタ!$B$6:$B$405,$AP1647)="",$H1647,INDEX(職員マスタ!$B$6:$B$405,$AP1647)))</f>
        <v/>
      </c>
      <c r="Y1647" s="14">
        <f>IF($AP1647="",IF($B1647="","",$R1647),IF(INDEX(職員マスタ!$C$6:$C$405,$AP1647)="",$R1647,INDEX(職員マスタ!$C$6:$C$405,$AP1647)))</f>
        <v/>
      </c>
      <c r="Z1647" s="14">
        <f>IF($AQ1647="","","R"&amp;$C1647&amp;"."&amp;$D1647)</f>
        <v/>
      </c>
      <c r="AA1647" s="15">
        <f>IF(IF($AP1647="",FALSE,INDEX(職員マスタ!$K$6:$K$405,$AP1647)&lt;&gt;""),INDEX(職員マスタ!$K$6:$K$405,$AP1647),IF(N($W1647)&gt;0,$W1647,""))</f>
        <v/>
      </c>
      <c r="AB1647" s="14">
        <f>IF(OR($E1647="",$AA1647=""),"",IF($E1647&gt;=$AA1647,"×",IF($E1647&gt;=$AA1647*設定!$C$5,"△","○")))</f>
        <v/>
      </c>
      <c r="AC1647" s="15">
        <f>IF($AB1647="","",IF($AB1647="×",0,IF($AB1647="○",ROUNDDOWN($E1647*設定!$C$4,0),ROUNDDOWN($E1647*ROUND((9*$AA1647-9*$E1647)/(10*$E1647),4),0))))</f>
        <v/>
      </c>
      <c r="AD1647" s="13" t="n"/>
      <c r="AE1647" s="15">
        <f>IF($B1647="","",IF($AD1647&lt;&gt;"",$AD1647,IF($AC1647="","",IF($AC1647&lt;=設定!$C$3,0,$AC1647))))</f>
        <v/>
      </c>
      <c r="AF1647" s="14">
        <f>IF($B1647="","",IF(AND($AG1647&lt;&gt;"",$AI1647="",$AL1647=""),"保留中",IF($AL1647&lt;&gt;"",IF(N($AE1647)&gt;0,"支給済","不支給"),IF($AE1647="","要確認",IF($AE1647=0,"不支給","未処理")))))</f>
        <v/>
      </c>
      <c r="AG1647" s="12" t="n"/>
      <c r="AH1647" s="11" t="n"/>
      <c r="AI1647" s="11" t="n"/>
      <c r="AJ1647" s="11" t="n"/>
      <c r="AK1647" s="14">
        <f>IF(AND($AF1647="保留中",$AH1647&lt;&gt;""),TODAY()-$AH1647,"")</f>
        <v/>
      </c>
      <c r="AL1647" s="12" t="n"/>
      <c r="AM1647" s="14">
        <f>IF($B1647="","",IF($AQ1647="","対象年月が未入力／","")&amp;IF($B1647="","",IF($AP1647="","職員マスタに未登録の職員番号／",IF($AA1647="","標準報酬月額が未登録／","")&amp;IF(AND($AQ1647&lt;&gt;"",OR(AND(INDEX(職員マスタ!$G$6:$G$405,$AP1647)&lt;&gt;"",INDEX(職員マスタ!$G$6:$G$405,$AP1647)&gt;EOMONTH($AQ1647,0)),AND(INDEX(職員マスタ!$H$6:$H$405,$AP1647)&lt;&gt;"",INDEX(職員マスタ!$H$6:$H$405,$AP1647)&lt;$AQ1647))),"対象月が時短期間外／","")&amp;IF(AND(INDEX(職員マスタ!$K$6:$K$405,$AP1647)&lt;&gt;"",N($W1647)&gt;0,INDEX(職員マスタ!$K$6:$K$405,$AP1647)&lt;&gt;$W1647),"標準報酬月額が申請書と相違（台帳"&amp;TEXT(INDEX(職員マスタ!$K$6:$K$405,$AP1647),"#,##0")&amp;"円／申請書"&amp;TEXT($W1647,"#,##0")&amp;"円）／","")&amp;IF(AND(INDEX(職員マスタ!$F$6:$F$405,$AP1647)&lt;&gt;"",$AQ1647&lt;&gt;"",INDEX(職員マスタ!$F$6:$F$405,$AP1647)&lt;$AQ1647),"対象月に子が2歳到達済／","")&amp;IF(AND($H1647&lt;&gt;"",INDEX(職員マスタ!$B$6:$B$405,$AP1647)&lt;&gt;"",SUBSTITUTE(SUBSTITUTE($H1647," ","")," ","")&lt;&gt;SUBSTITUTE(SUBSTITUTE(INDEX(職員マスタ!$B$6:$B$405,$AP1647)," ","")," ","")),"氏名がマスタと相違／","")&amp;IF(AND($Q1647&lt;&gt;"",INDEX(職員マスタ!$E$6:$E$405,$AP1647)&lt;&gt;"",$Q1647&lt;&gt;INDEX(職員マスタ!$E$6:$E$405,$AP1647)),"子の生年月日がマスタと相違／","")&amp;IF(AND($L1647&lt;&gt;"",INDEX(職員マスタ!$G$6:$G$405,$AP1647)&lt;&gt;"",$L1647&lt;&gt;INDEX(職員マスタ!$G$6:$G$405,$AP1647)),"時短開始日がマスタと相違／","")&amp;IF(AND($M1647&lt;&gt;"",INDEX(職員マスタ!$H$6:$H$405,$AP1647)&lt;&gt;"",$M1647&lt;&gt;INDEX(職員マスタ!$H$6:$H$405,$AP1647)),"時短終了日がマスタと相違／","")))&amp;IF(AND($B1647&lt;&gt;"",$E1647=""),"報酬額が未入力／","")&amp;IF(N($U1647)&gt;0,"申請書に入力エラーが残っています／","")&amp;IF(AND($B1647&lt;&gt;"",$AQ1647&lt;&gt;""),IF(COUNTIFS($B$6:$B$3005,$B1647,$C$6:$C$3005,$C1647,$D$6:$D$3005,$D1647)&gt;1,"同じ月の請求が重複しています／",""),"")&amp;IF(AND(N($E1647)&gt;0,$AB1647&lt;&gt;"",$AB1647&lt;&gt;"×",$AE1647=0,$AD1647=""),"計算額が下限以下のため不支給／",""))</f>
        <v/>
      </c>
      <c r="AN1647" s="12" t="n"/>
      <c r="AO1647" s="14">
        <f>IF($AF1647="保留中",COUNTIF($AF$6:$AF1647,"保留中"),"")</f>
        <v/>
      </c>
      <c r="AP1647" s="14">
        <f>IF($AQ1647="","",IF(SUMPRODUCT(MAX((職員マスタ!$A$6:$A$405=$B1647)*(((職員マスタ!$G$6:$G$405="")+(職員マスタ!$G$6:$G$405&lt;=EOMONTH($AQ1647,0)))&gt;0)*(((職員マスタ!$H$6:$H$405="")+(職員マスタ!$H$6:$H$405&gt;=$AQ1647))&gt;0)*(ROW(職員マスタ!$A$6:$A$405)-5)))&gt;0,SUMPRODUCT(MAX((職員マスタ!$A$6:$A$405=$B1647)*(((職員マスタ!$G$6:$G$405="")+(職員マスタ!$G$6:$G$405&lt;=EOMONTH($AQ1647,0)))&gt;0)*(((職員マスタ!$H$6:$H$405="")+(職員マスタ!$H$6:$H$405&gt;=$AQ1647))&gt;0)*(ROW(職員マスタ!$A$6:$A$405)-5))),IFERROR(MATCH($B1647,職員マスタ!$A$6:$A$405,0),"")))</f>
        <v/>
      </c>
      <c r="AQ1647" s="16">
        <f>IF(OR($B1647="",$C1647="",$D1647=""),"",DATE($C1647+2018,$D1647,1))</f>
        <v/>
      </c>
    </row>
    <row r="1648">
      <c r="A1648" s="11" t="n"/>
      <c r="B1648" s="12" t="n"/>
      <c r="C1648" s="12" t="n"/>
      <c r="D1648" s="12" t="n"/>
      <c r="E1648" s="13" t="n"/>
      <c r="F1648" s="12" t="n"/>
      <c r="G1648" s="13" t="n"/>
      <c r="H1648" s="12" t="n"/>
      <c r="I1648" s="12" t="n"/>
      <c r="J1648" s="12" t="n"/>
      <c r="K1648" s="12" t="n"/>
      <c r="L1648" s="11" t="n"/>
      <c r="M1648" s="11" t="n"/>
      <c r="N1648" s="11" t="n"/>
      <c r="O1648" s="11" t="n"/>
      <c r="P1648" s="12" t="n"/>
      <c r="Q1648" s="11" t="n"/>
      <c r="R1648" s="12" t="n"/>
      <c r="S1648" s="11" t="n"/>
      <c r="T1648" s="12" t="n"/>
      <c r="U1648" s="12" t="n"/>
      <c r="V1648" s="12" t="n"/>
      <c r="W1648" s="13" t="n"/>
      <c r="X1648" s="14">
        <f>IF($AP1648="",IF($B1648="","",$H1648),IF(INDEX(職員マスタ!$B$6:$B$405,$AP1648)="",$H1648,INDEX(職員マスタ!$B$6:$B$405,$AP1648)))</f>
        <v/>
      </c>
      <c r="Y1648" s="14">
        <f>IF($AP1648="",IF($B1648="","",$R1648),IF(INDEX(職員マスタ!$C$6:$C$405,$AP1648)="",$R1648,INDEX(職員マスタ!$C$6:$C$405,$AP1648)))</f>
        <v/>
      </c>
      <c r="Z1648" s="14">
        <f>IF($AQ1648="","","R"&amp;$C1648&amp;"."&amp;$D1648)</f>
        <v/>
      </c>
      <c r="AA1648" s="15">
        <f>IF(IF($AP1648="",FALSE,INDEX(職員マスタ!$K$6:$K$405,$AP1648)&lt;&gt;""),INDEX(職員マスタ!$K$6:$K$405,$AP1648),IF(N($W1648)&gt;0,$W1648,""))</f>
        <v/>
      </c>
      <c r="AB1648" s="14">
        <f>IF(OR($E1648="",$AA1648=""),"",IF($E1648&gt;=$AA1648,"×",IF($E1648&gt;=$AA1648*設定!$C$5,"△","○")))</f>
        <v/>
      </c>
      <c r="AC1648" s="15">
        <f>IF($AB1648="","",IF($AB1648="×",0,IF($AB1648="○",ROUNDDOWN($E1648*設定!$C$4,0),ROUNDDOWN($E1648*ROUND((9*$AA1648-9*$E1648)/(10*$E1648),4),0))))</f>
        <v/>
      </c>
      <c r="AD1648" s="13" t="n"/>
      <c r="AE1648" s="15">
        <f>IF($B1648="","",IF($AD1648&lt;&gt;"",$AD1648,IF($AC1648="","",IF($AC1648&lt;=設定!$C$3,0,$AC1648))))</f>
        <v/>
      </c>
      <c r="AF1648" s="14">
        <f>IF($B1648="","",IF(AND($AG1648&lt;&gt;"",$AI1648="",$AL1648=""),"保留中",IF($AL1648&lt;&gt;"",IF(N($AE1648)&gt;0,"支給済","不支給"),IF($AE1648="","要確認",IF($AE1648=0,"不支給","未処理")))))</f>
        <v/>
      </c>
      <c r="AG1648" s="12" t="n"/>
      <c r="AH1648" s="11" t="n"/>
      <c r="AI1648" s="11" t="n"/>
      <c r="AJ1648" s="11" t="n"/>
      <c r="AK1648" s="14">
        <f>IF(AND($AF1648="保留中",$AH1648&lt;&gt;""),TODAY()-$AH1648,"")</f>
        <v/>
      </c>
      <c r="AL1648" s="12" t="n"/>
      <c r="AM1648" s="14">
        <f>IF($B1648="","",IF($AQ1648="","対象年月が未入力／","")&amp;IF($B1648="","",IF($AP1648="","職員マスタに未登録の職員番号／",IF($AA1648="","標準報酬月額が未登録／","")&amp;IF(AND($AQ1648&lt;&gt;"",OR(AND(INDEX(職員マスタ!$G$6:$G$405,$AP1648)&lt;&gt;"",INDEX(職員マスタ!$G$6:$G$405,$AP1648)&gt;EOMONTH($AQ1648,0)),AND(INDEX(職員マスタ!$H$6:$H$405,$AP1648)&lt;&gt;"",INDEX(職員マスタ!$H$6:$H$405,$AP1648)&lt;$AQ1648))),"対象月が時短期間外／","")&amp;IF(AND(INDEX(職員マスタ!$K$6:$K$405,$AP1648)&lt;&gt;"",N($W1648)&gt;0,INDEX(職員マスタ!$K$6:$K$405,$AP1648)&lt;&gt;$W1648),"標準報酬月額が申請書と相違（台帳"&amp;TEXT(INDEX(職員マスタ!$K$6:$K$405,$AP1648),"#,##0")&amp;"円／申請書"&amp;TEXT($W1648,"#,##0")&amp;"円）／","")&amp;IF(AND(INDEX(職員マスタ!$F$6:$F$405,$AP1648)&lt;&gt;"",$AQ1648&lt;&gt;"",INDEX(職員マスタ!$F$6:$F$405,$AP1648)&lt;$AQ1648),"対象月に子が2歳到達済／","")&amp;IF(AND($H1648&lt;&gt;"",INDEX(職員マスタ!$B$6:$B$405,$AP1648)&lt;&gt;"",SUBSTITUTE(SUBSTITUTE($H1648," ","")," ","")&lt;&gt;SUBSTITUTE(SUBSTITUTE(INDEX(職員マスタ!$B$6:$B$405,$AP1648)," ","")," ","")),"氏名がマスタと相違／","")&amp;IF(AND($Q1648&lt;&gt;"",INDEX(職員マスタ!$E$6:$E$405,$AP1648)&lt;&gt;"",$Q1648&lt;&gt;INDEX(職員マスタ!$E$6:$E$405,$AP1648)),"子の生年月日がマスタと相違／","")&amp;IF(AND($L1648&lt;&gt;"",INDEX(職員マスタ!$G$6:$G$405,$AP1648)&lt;&gt;"",$L1648&lt;&gt;INDEX(職員マスタ!$G$6:$G$405,$AP1648)),"時短開始日がマスタと相違／","")&amp;IF(AND($M1648&lt;&gt;"",INDEX(職員マスタ!$H$6:$H$405,$AP1648)&lt;&gt;"",$M1648&lt;&gt;INDEX(職員マスタ!$H$6:$H$405,$AP1648)),"時短終了日がマスタと相違／","")))&amp;IF(AND($B1648&lt;&gt;"",$E1648=""),"報酬額が未入力／","")&amp;IF(N($U1648)&gt;0,"申請書に入力エラーが残っています／","")&amp;IF(AND($B1648&lt;&gt;"",$AQ1648&lt;&gt;""),IF(COUNTIFS($B$6:$B$3005,$B1648,$C$6:$C$3005,$C1648,$D$6:$D$3005,$D1648)&gt;1,"同じ月の請求が重複しています／",""),"")&amp;IF(AND(N($E1648)&gt;0,$AB1648&lt;&gt;"",$AB1648&lt;&gt;"×",$AE1648=0,$AD1648=""),"計算額が下限以下のため不支給／",""))</f>
        <v/>
      </c>
      <c r="AN1648" s="12" t="n"/>
      <c r="AO1648" s="14">
        <f>IF($AF1648="保留中",COUNTIF($AF$6:$AF1648,"保留中"),"")</f>
        <v/>
      </c>
      <c r="AP1648" s="14">
        <f>IF($AQ1648="","",IF(SUMPRODUCT(MAX((職員マスタ!$A$6:$A$405=$B1648)*(((職員マスタ!$G$6:$G$405="")+(職員マスタ!$G$6:$G$405&lt;=EOMONTH($AQ1648,0)))&gt;0)*(((職員マスタ!$H$6:$H$405="")+(職員マスタ!$H$6:$H$405&gt;=$AQ1648))&gt;0)*(ROW(職員マスタ!$A$6:$A$405)-5)))&gt;0,SUMPRODUCT(MAX((職員マスタ!$A$6:$A$405=$B1648)*(((職員マスタ!$G$6:$G$405="")+(職員マスタ!$G$6:$G$405&lt;=EOMONTH($AQ1648,0)))&gt;0)*(((職員マスタ!$H$6:$H$405="")+(職員マスタ!$H$6:$H$405&gt;=$AQ1648))&gt;0)*(ROW(職員マスタ!$A$6:$A$405)-5))),IFERROR(MATCH($B1648,職員マスタ!$A$6:$A$405,0),"")))</f>
        <v/>
      </c>
      <c r="AQ1648" s="16">
        <f>IF(OR($B1648="",$C1648="",$D1648=""),"",DATE($C1648+2018,$D1648,1))</f>
        <v/>
      </c>
    </row>
    <row r="1649">
      <c r="A1649" s="11" t="n"/>
      <c r="B1649" s="12" t="n"/>
      <c r="C1649" s="12" t="n"/>
      <c r="D1649" s="12" t="n"/>
      <c r="E1649" s="13" t="n"/>
      <c r="F1649" s="12" t="n"/>
      <c r="G1649" s="13" t="n"/>
      <c r="H1649" s="12" t="n"/>
      <c r="I1649" s="12" t="n"/>
      <c r="J1649" s="12" t="n"/>
      <c r="K1649" s="12" t="n"/>
      <c r="L1649" s="11" t="n"/>
      <c r="M1649" s="11" t="n"/>
      <c r="N1649" s="11" t="n"/>
      <c r="O1649" s="11" t="n"/>
      <c r="P1649" s="12" t="n"/>
      <c r="Q1649" s="11" t="n"/>
      <c r="R1649" s="12" t="n"/>
      <c r="S1649" s="11" t="n"/>
      <c r="T1649" s="12" t="n"/>
      <c r="U1649" s="12" t="n"/>
      <c r="V1649" s="12" t="n"/>
      <c r="W1649" s="13" t="n"/>
      <c r="X1649" s="14">
        <f>IF($AP1649="",IF($B1649="","",$H1649),IF(INDEX(職員マスタ!$B$6:$B$405,$AP1649)="",$H1649,INDEX(職員マスタ!$B$6:$B$405,$AP1649)))</f>
        <v/>
      </c>
      <c r="Y1649" s="14">
        <f>IF($AP1649="",IF($B1649="","",$R1649),IF(INDEX(職員マスタ!$C$6:$C$405,$AP1649)="",$R1649,INDEX(職員マスタ!$C$6:$C$405,$AP1649)))</f>
        <v/>
      </c>
      <c r="Z1649" s="14">
        <f>IF($AQ1649="","","R"&amp;$C1649&amp;"."&amp;$D1649)</f>
        <v/>
      </c>
      <c r="AA1649" s="15">
        <f>IF(IF($AP1649="",FALSE,INDEX(職員マスタ!$K$6:$K$405,$AP1649)&lt;&gt;""),INDEX(職員マスタ!$K$6:$K$405,$AP1649),IF(N($W1649)&gt;0,$W1649,""))</f>
        <v/>
      </c>
      <c r="AB1649" s="14">
        <f>IF(OR($E1649="",$AA1649=""),"",IF($E1649&gt;=$AA1649,"×",IF($E1649&gt;=$AA1649*設定!$C$5,"△","○")))</f>
        <v/>
      </c>
      <c r="AC1649" s="15">
        <f>IF($AB1649="","",IF($AB1649="×",0,IF($AB1649="○",ROUNDDOWN($E1649*設定!$C$4,0),ROUNDDOWN($E1649*ROUND((9*$AA1649-9*$E1649)/(10*$E1649),4),0))))</f>
        <v/>
      </c>
      <c r="AD1649" s="13" t="n"/>
      <c r="AE1649" s="15">
        <f>IF($B1649="","",IF($AD1649&lt;&gt;"",$AD1649,IF($AC1649="","",IF($AC1649&lt;=設定!$C$3,0,$AC1649))))</f>
        <v/>
      </c>
      <c r="AF1649" s="14">
        <f>IF($B1649="","",IF(AND($AG1649&lt;&gt;"",$AI1649="",$AL1649=""),"保留中",IF($AL1649&lt;&gt;"",IF(N($AE1649)&gt;0,"支給済","不支給"),IF($AE1649="","要確認",IF($AE1649=0,"不支給","未処理")))))</f>
        <v/>
      </c>
      <c r="AG1649" s="12" t="n"/>
      <c r="AH1649" s="11" t="n"/>
      <c r="AI1649" s="11" t="n"/>
      <c r="AJ1649" s="11" t="n"/>
      <c r="AK1649" s="14">
        <f>IF(AND($AF1649="保留中",$AH1649&lt;&gt;""),TODAY()-$AH1649,"")</f>
        <v/>
      </c>
      <c r="AL1649" s="12" t="n"/>
      <c r="AM1649" s="14">
        <f>IF($B1649="","",IF($AQ1649="","対象年月が未入力／","")&amp;IF($B1649="","",IF($AP1649="","職員マスタに未登録の職員番号／",IF($AA1649="","標準報酬月額が未登録／","")&amp;IF(AND($AQ1649&lt;&gt;"",OR(AND(INDEX(職員マスタ!$G$6:$G$405,$AP1649)&lt;&gt;"",INDEX(職員マスタ!$G$6:$G$405,$AP1649)&gt;EOMONTH($AQ1649,0)),AND(INDEX(職員マスタ!$H$6:$H$405,$AP1649)&lt;&gt;"",INDEX(職員マスタ!$H$6:$H$405,$AP1649)&lt;$AQ1649))),"対象月が時短期間外／","")&amp;IF(AND(INDEX(職員マスタ!$K$6:$K$405,$AP1649)&lt;&gt;"",N($W1649)&gt;0,INDEX(職員マスタ!$K$6:$K$405,$AP1649)&lt;&gt;$W1649),"標準報酬月額が申請書と相違（台帳"&amp;TEXT(INDEX(職員マスタ!$K$6:$K$405,$AP1649),"#,##0")&amp;"円／申請書"&amp;TEXT($W1649,"#,##0")&amp;"円）／","")&amp;IF(AND(INDEX(職員マスタ!$F$6:$F$405,$AP1649)&lt;&gt;"",$AQ1649&lt;&gt;"",INDEX(職員マスタ!$F$6:$F$405,$AP1649)&lt;$AQ1649),"対象月に子が2歳到達済／","")&amp;IF(AND($H1649&lt;&gt;"",INDEX(職員マスタ!$B$6:$B$405,$AP1649)&lt;&gt;"",SUBSTITUTE(SUBSTITUTE($H1649," ","")," ","")&lt;&gt;SUBSTITUTE(SUBSTITUTE(INDEX(職員マスタ!$B$6:$B$405,$AP1649)," ","")," ","")),"氏名がマスタと相違／","")&amp;IF(AND($Q1649&lt;&gt;"",INDEX(職員マスタ!$E$6:$E$405,$AP1649)&lt;&gt;"",$Q1649&lt;&gt;INDEX(職員マスタ!$E$6:$E$405,$AP1649)),"子の生年月日がマスタと相違／","")&amp;IF(AND($L1649&lt;&gt;"",INDEX(職員マスタ!$G$6:$G$405,$AP1649)&lt;&gt;"",$L1649&lt;&gt;INDEX(職員マスタ!$G$6:$G$405,$AP1649)),"時短開始日がマスタと相違／","")&amp;IF(AND($M1649&lt;&gt;"",INDEX(職員マスタ!$H$6:$H$405,$AP1649)&lt;&gt;"",$M1649&lt;&gt;INDEX(職員マスタ!$H$6:$H$405,$AP1649)),"時短終了日がマスタと相違／","")))&amp;IF(AND($B1649&lt;&gt;"",$E1649=""),"報酬額が未入力／","")&amp;IF(N($U1649)&gt;0,"申請書に入力エラーが残っています／","")&amp;IF(AND($B1649&lt;&gt;"",$AQ1649&lt;&gt;""),IF(COUNTIFS($B$6:$B$3005,$B1649,$C$6:$C$3005,$C1649,$D$6:$D$3005,$D1649)&gt;1,"同じ月の請求が重複しています／",""),"")&amp;IF(AND(N($E1649)&gt;0,$AB1649&lt;&gt;"",$AB1649&lt;&gt;"×",$AE1649=0,$AD1649=""),"計算額が下限以下のため不支給／",""))</f>
        <v/>
      </c>
      <c r="AN1649" s="12" t="n"/>
      <c r="AO1649" s="14">
        <f>IF($AF1649="保留中",COUNTIF($AF$6:$AF1649,"保留中"),"")</f>
        <v/>
      </c>
      <c r="AP1649" s="14">
        <f>IF($AQ1649="","",IF(SUMPRODUCT(MAX((職員マスタ!$A$6:$A$405=$B1649)*(((職員マスタ!$G$6:$G$405="")+(職員マスタ!$G$6:$G$405&lt;=EOMONTH($AQ1649,0)))&gt;0)*(((職員マスタ!$H$6:$H$405="")+(職員マスタ!$H$6:$H$405&gt;=$AQ1649))&gt;0)*(ROW(職員マスタ!$A$6:$A$405)-5)))&gt;0,SUMPRODUCT(MAX((職員マスタ!$A$6:$A$405=$B1649)*(((職員マスタ!$G$6:$G$405="")+(職員マスタ!$G$6:$G$405&lt;=EOMONTH($AQ1649,0)))&gt;0)*(((職員マスタ!$H$6:$H$405="")+(職員マスタ!$H$6:$H$405&gt;=$AQ1649))&gt;0)*(ROW(職員マスタ!$A$6:$A$405)-5))),IFERROR(MATCH($B1649,職員マスタ!$A$6:$A$405,0),"")))</f>
        <v/>
      </c>
      <c r="AQ1649" s="16">
        <f>IF(OR($B1649="",$C1649="",$D1649=""),"",DATE($C1649+2018,$D1649,1))</f>
        <v/>
      </c>
    </row>
    <row r="1650">
      <c r="A1650" s="11" t="n"/>
      <c r="B1650" s="12" t="n"/>
      <c r="C1650" s="12" t="n"/>
      <c r="D1650" s="12" t="n"/>
      <c r="E1650" s="13" t="n"/>
      <c r="F1650" s="12" t="n"/>
      <c r="G1650" s="13" t="n"/>
      <c r="H1650" s="12" t="n"/>
      <c r="I1650" s="12" t="n"/>
      <c r="J1650" s="12" t="n"/>
      <c r="K1650" s="12" t="n"/>
      <c r="L1650" s="11" t="n"/>
      <c r="M1650" s="11" t="n"/>
      <c r="N1650" s="11" t="n"/>
      <c r="O1650" s="11" t="n"/>
      <c r="P1650" s="12" t="n"/>
      <c r="Q1650" s="11" t="n"/>
      <c r="R1650" s="12" t="n"/>
      <c r="S1650" s="11" t="n"/>
      <c r="T1650" s="12" t="n"/>
      <c r="U1650" s="12" t="n"/>
      <c r="V1650" s="12" t="n"/>
      <c r="W1650" s="13" t="n"/>
      <c r="X1650" s="14">
        <f>IF($AP1650="",IF($B1650="","",$H1650),IF(INDEX(職員マスタ!$B$6:$B$405,$AP1650)="",$H1650,INDEX(職員マスタ!$B$6:$B$405,$AP1650)))</f>
        <v/>
      </c>
      <c r="Y1650" s="14">
        <f>IF($AP1650="",IF($B1650="","",$R1650),IF(INDEX(職員マスタ!$C$6:$C$405,$AP1650)="",$R1650,INDEX(職員マスタ!$C$6:$C$405,$AP1650)))</f>
        <v/>
      </c>
      <c r="Z1650" s="14">
        <f>IF($AQ1650="","","R"&amp;$C1650&amp;"."&amp;$D1650)</f>
        <v/>
      </c>
      <c r="AA1650" s="15">
        <f>IF(IF($AP1650="",FALSE,INDEX(職員マスタ!$K$6:$K$405,$AP1650)&lt;&gt;""),INDEX(職員マスタ!$K$6:$K$405,$AP1650),IF(N($W1650)&gt;0,$W1650,""))</f>
        <v/>
      </c>
      <c r="AB1650" s="14">
        <f>IF(OR($E1650="",$AA1650=""),"",IF($E1650&gt;=$AA1650,"×",IF($E1650&gt;=$AA1650*設定!$C$5,"△","○")))</f>
        <v/>
      </c>
      <c r="AC1650" s="15">
        <f>IF($AB1650="","",IF($AB1650="×",0,IF($AB1650="○",ROUNDDOWN($E1650*設定!$C$4,0),ROUNDDOWN($E1650*ROUND((9*$AA1650-9*$E1650)/(10*$E1650),4),0))))</f>
        <v/>
      </c>
      <c r="AD1650" s="13" t="n"/>
      <c r="AE1650" s="15">
        <f>IF($B1650="","",IF($AD1650&lt;&gt;"",$AD1650,IF($AC1650="","",IF($AC1650&lt;=設定!$C$3,0,$AC1650))))</f>
        <v/>
      </c>
      <c r="AF1650" s="14">
        <f>IF($B1650="","",IF(AND($AG1650&lt;&gt;"",$AI1650="",$AL1650=""),"保留中",IF($AL1650&lt;&gt;"",IF(N($AE1650)&gt;0,"支給済","不支給"),IF($AE1650="","要確認",IF($AE1650=0,"不支給","未処理")))))</f>
        <v/>
      </c>
      <c r="AG1650" s="12" t="n"/>
      <c r="AH1650" s="11" t="n"/>
      <c r="AI1650" s="11" t="n"/>
      <c r="AJ1650" s="11" t="n"/>
      <c r="AK1650" s="14">
        <f>IF(AND($AF1650="保留中",$AH1650&lt;&gt;""),TODAY()-$AH1650,"")</f>
        <v/>
      </c>
      <c r="AL1650" s="12" t="n"/>
      <c r="AM1650" s="14">
        <f>IF($B1650="","",IF($AQ1650="","対象年月が未入力／","")&amp;IF($B1650="","",IF($AP1650="","職員マスタに未登録の職員番号／",IF($AA1650="","標準報酬月額が未登録／","")&amp;IF(AND($AQ1650&lt;&gt;"",OR(AND(INDEX(職員マスタ!$G$6:$G$405,$AP1650)&lt;&gt;"",INDEX(職員マスタ!$G$6:$G$405,$AP1650)&gt;EOMONTH($AQ1650,0)),AND(INDEX(職員マスタ!$H$6:$H$405,$AP1650)&lt;&gt;"",INDEX(職員マスタ!$H$6:$H$405,$AP1650)&lt;$AQ1650))),"対象月が時短期間外／","")&amp;IF(AND(INDEX(職員マスタ!$K$6:$K$405,$AP1650)&lt;&gt;"",N($W1650)&gt;0,INDEX(職員マスタ!$K$6:$K$405,$AP1650)&lt;&gt;$W1650),"標準報酬月額が申請書と相違（台帳"&amp;TEXT(INDEX(職員マスタ!$K$6:$K$405,$AP1650),"#,##0")&amp;"円／申請書"&amp;TEXT($W1650,"#,##0")&amp;"円）／","")&amp;IF(AND(INDEX(職員マスタ!$F$6:$F$405,$AP1650)&lt;&gt;"",$AQ1650&lt;&gt;"",INDEX(職員マスタ!$F$6:$F$405,$AP1650)&lt;$AQ1650),"対象月に子が2歳到達済／","")&amp;IF(AND($H1650&lt;&gt;"",INDEX(職員マスタ!$B$6:$B$405,$AP1650)&lt;&gt;"",SUBSTITUTE(SUBSTITUTE($H1650," ","")," ","")&lt;&gt;SUBSTITUTE(SUBSTITUTE(INDEX(職員マスタ!$B$6:$B$405,$AP1650)," ","")," ","")),"氏名がマスタと相違／","")&amp;IF(AND($Q1650&lt;&gt;"",INDEX(職員マスタ!$E$6:$E$405,$AP1650)&lt;&gt;"",$Q1650&lt;&gt;INDEX(職員マスタ!$E$6:$E$405,$AP1650)),"子の生年月日がマスタと相違／","")&amp;IF(AND($L1650&lt;&gt;"",INDEX(職員マスタ!$G$6:$G$405,$AP1650)&lt;&gt;"",$L1650&lt;&gt;INDEX(職員マスタ!$G$6:$G$405,$AP1650)),"時短開始日がマスタと相違／","")&amp;IF(AND($M1650&lt;&gt;"",INDEX(職員マスタ!$H$6:$H$405,$AP1650)&lt;&gt;"",$M1650&lt;&gt;INDEX(職員マスタ!$H$6:$H$405,$AP1650)),"時短終了日がマスタと相違／","")))&amp;IF(AND($B1650&lt;&gt;"",$E1650=""),"報酬額が未入力／","")&amp;IF(N($U1650)&gt;0,"申請書に入力エラーが残っています／","")&amp;IF(AND($B1650&lt;&gt;"",$AQ1650&lt;&gt;""),IF(COUNTIFS($B$6:$B$3005,$B1650,$C$6:$C$3005,$C1650,$D$6:$D$3005,$D1650)&gt;1,"同じ月の請求が重複しています／",""),"")&amp;IF(AND(N($E1650)&gt;0,$AB1650&lt;&gt;"",$AB1650&lt;&gt;"×",$AE1650=0,$AD1650=""),"計算額が下限以下のため不支給／",""))</f>
        <v/>
      </c>
      <c r="AN1650" s="12" t="n"/>
      <c r="AO1650" s="14">
        <f>IF($AF1650="保留中",COUNTIF($AF$6:$AF1650,"保留中"),"")</f>
        <v/>
      </c>
      <c r="AP1650" s="14">
        <f>IF($AQ1650="","",IF(SUMPRODUCT(MAX((職員マスタ!$A$6:$A$405=$B1650)*(((職員マスタ!$G$6:$G$405="")+(職員マスタ!$G$6:$G$405&lt;=EOMONTH($AQ1650,0)))&gt;0)*(((職員マスタ!$H$6:$H$405="")+(職員マスタ!$H$6:$H$405&gt;=$AQ1650))&gt;0)*(ROW(職員マスタ!$A$6:$A$405)-5)))&gt;0,SUMPRODUCT(MAX((職員マスタ!$A$6:$A$405=$B1650)*(((職員マスタ!$G$6:$G$405="")+(職員マスタ!$G$6:$G$405&lt;=EOMONTH($AQ1650,0)))&gt;0)*(((職員マスタ!$H$6:$H$405="")+(職員マスタ!$H$6:$H$405&gt;=$AQ1650))&gt;0)*(ROW(職員マスタ!$A$6:$A$405)-5))),IFERROR(MATCH($B1650,職員マスタ!$A$6:$A$405,0),"")))</f>
        <v/>
      </c>
      <c r="AQ1650" s="16">
        <f>IF(OR($B1650="",$C1650="",$D1650=""),"",DATE($C1650+2018,$D1650,1))</f>
        <v/>
      </c>
    </row>
    <row r="1651">
      <c r="A1651" s="11" t="n"/>
      <c r="B1651" s="12" t="n"/>
      <c r="C1651" s="12" t="n"/>
      <c r="D1651" s="12" t="n"/>
      <c r="E1651" s="13" t="n"/>
      <c r="F1651" s="12" t="n"/>
      <c r="G1651" s="13" t="n"/>
      <c r="H1651" s="12" t="n"/>
      <c r="I1651" s="12" t="n"/>
      <c r="J1651" s="12" t="n"/>
      <c r="K1651" s="12" t="n"/>
      <c r="L1651" s="11" t="n"/>
      <c r="M1651" s="11" t="n"/>
      <c r="N1651" s="11" t="n"/>
      <c r="O1651" s="11" t="n"/>
      <c r="P1651" s="12" t="n"/>
      <c r="Q1651" s="11" t="n"/>
      <c r="R1651" s="12" t="n"/>
      <c r="S1651" s="11" t="n"/>
      <c r="T1651" s="12" t="n"/>
      <c r="U1651" s="12" t="n"/>
      <c r="V1651" s="12" t="n"/>
      <c r="W1651" s="13" t="n"/>
      <c r="X1651" s="14">
        <f>IF($AP1651="",IF($B1651="","",$H1651),IF(INDEX(職員マスタ!$B$6:$B$405,$AP1651)="",$H1651,INDEX(職員マスタ!$B$6:$B$405,$AP1651)))</f>
        <v/>
      </c>
      <c r="Y1651" s="14">
        <f>IF($AP1651="",IF($B1651="","",$R1651),IF(INDEX(職員マスタ!$C$6:$C$405,$AP1651)="",$R1651,INDEX(職員マスタ!$C$6:$C$405,$AP1651)))</f>
        <v/>
      </c>
      <c r="Z1651" s="14">
        <f>IF($AQ1651="","","R"&amp;$C1651&amp;"."&amp;$D1651)</f>
        <v/>
      </c>
      <c r="AA1651" s="15">
        <f>IF(IF($AP1651="",FALSE,INDEX(職員マスタ!$K$6:$K$405,$AP1651)&lt;&gt;""),INDEX(職員マスタ!$K$6:$K$405,$AP1651),IF(N($W1651)&gt;0,$W1651,""))</f>
        <v/>
      </c>
      <c r="AB1651" s="14">
        <f>IF(OR($E1651="",$AA1651=""),"",IF($E1651&gt;=$AA1651,"×",IF($E1651&gt;=$AA1651*設定!$C$5,"△","○")))</f>
        <v/>
      </c>
      <c r="AC1651" s="15">
        <f>IF($AB1651="","",IF($AB1651="×",0,IF($AB1651="○",ROUNDDOWN($E1651*設定!$C$4,0),ROUNDDOWN($E1651*ROUND((9*$AA1651-9*$E1651)/(10*$E1651),4),0))))</f>
        <v/>
      </c>
      <c r="AD1651" s="13" t="n"/>
      <c r="AE1651" s="15">
        <f>IF($B1651="","",IF($AD1651&lt;&gt;"",$AD1651,IF($AC1651="","",IF($AC1651&lt;=設定!$C$3,0,$AC1651))))</f>
        <v/>
      </c>
      <c r="AF1651" s="14">
        <f>IF($B1651="","",IF(AND($AG1651&lt;&gt;"",$AI1651="",$AL1651=""),"保留中",IF($AL1651&lt;&gt;"",IF(N($AE1651)&gt;0,"支給済","不支給"),IF($AE1651="","要確認",IF($AE1651=0,"不支給","未処理")))))</f>
        <v/>
      </c>
      <c r="AG1651" s="12" t="n"/>
      <c r="AH1651" s="11" t="n"/>
      <c r="AI1651" s="11" t="n"/>
      <c r="AJ1651" s="11" t="n"/>
      <c r="AK1651" s="14">
        <f>IF(AND($AF1651="保留中",$AH1651&lt;&gt;""),TODAY()-$AH1651,"")</f>
        <v/>
      </c>
      <c r="AL1651" s="12" t="n"/>
      <c r="AM1651" s="14">
        <f>IF($B1651="","",IF($AQ1651="","対象年月が未入力／","")&amp;IF($B1651="","",IF($AP1651="","職員マスタに未登録の職員番号／",IF($AA1651="","標準報酬月額が未登録／","")&amp;IF(AND($AQ1651&lt;&gt;"",OR(AND(INDEX(職員マスタ!$G$6:$G$405,$AP1651)&lt;&gt;"",INDEX(職員マスタ!$G$6:$G$405,$AP1651)&gt;EOMONTH($AQ1651,0)),AND(INDEX(職員マスタ!$H$6:$H$405,$AP1651)&lt;&gt;"",INDEX(職員マスタ!$H$6:$H$405,$AP1651)&lt;$AQ1651))),"対象月が時短期間外／","")&amp;IF(AND(INDEX(職員マスタ!$K$6:$K$405,$AP1651)&lt;&gt;"",N($W1651)&gt;0,INDEX(職員マスタ!$K$6:$K$405,$AP1651)&lt;&gt;$W1651),"標準報酬月額が申請書と相違（台帳"&amp;TEXT(INDEX(職員マスタ!$K$6:$K$405,$AP1651),"#,##0")&amp;"円／申請書"&amp;TEXT($W1651,"#,##0")&amp;"円）／","")&amp;IF(AND(INDEX(職員マスタ!$F$6:$F$405,$AP1651)&lt;&gt;"",$AQ1651&lt;&gt;"",INDEX(職員マスタ!$F$6:$F$405,$AP1651)&lt;$AQ1651),"対象月に子が2歳到達済／","")&amp;IF(AND($H1651&lt;&gt;"",INDEX(職員マスタ!$B$6:$B$405,$AP1651)&lt;&gt;"",SUBSTITUTE(SUBSTITUTE($H1651," ","")," ","")&lt;&gt;SUBSTITUTE(SUBSTITUTE(INDEX(職員マスタ!$B$6:$B$405,$AP1651)," ","")," ","")),"氏名がマスタと相違／","")&amp;IF(AND($Q1651&lt;&gt;"",INDEX(職員マスタ!$E$6:$E$405,$AP1651)&lt;&gt;"",$Q1651&lt;&gt;INDEX(職員マスタ!$E$6:$E$405,$AP1651)),"子の生年月日がマスタと相違／","")&amp;IF(AND($L1651&lt;&gt;"",INDEX(職員マスタ!$G$6:$G$405,$AP1651)&lt;&gt;"",$L1651&lt;&gt;INDEX(職員マスタ!$G$6:$G$405,$AP1651)),"時短開始日がマスタと相違／","")&amp;IF(AND($M1651&lt;&gt;"",INDEX(職員マスタ!$H$6:$H$405,$AP1651)&lt;&gt;"",$M1651&lt;&gt;INDEX(職員マスタ!$H$6:$H$405,$AP1651)),"時短終了日がマスタと相違／","")))&amp;IF(AND($B1651&lt;&gt;"",$E1651=""),"報酬額が未入力／","")&amp;IF(N($U1651)&gt;0,"申請書に入力エラーが残っています／","")&amp;IF(AND($B1651&lt;&gt;"",$AQ1651&lt;&gt;""),IF(COUNTIFS($B$6:$B$3005,$B1651,$C$6:$C$3005,$C1651,$D$6:$D$3005,$D1651)&gt;1,"同じ月の請求が重複しています／",""),"")&amp;IF(AND(N($E1651)&gt;0,$AB1651&lt;&gt;"",$AB1651&lt;&gt;"×",$AE1651=0,$AD1651=""),"計算額が下限以下のため不支給／",""))</f>
        <v/>
      </c>
      <c r="AN1651" s="12" t="n"/>
      <c r="AO1651" s="14">
        <f>IF($AF1651="保留中",COUNTIF($AF$6:$AF1651,"保留中"),"")</f>
        <v/>
      </c>
      <c r="AP1651" s="14">
        <f>IF($AQ1651="","",IF(SUMPRODUCT(MAX((職員マスタ!$A$6:$A$405=$B1651)*(((職員マスタ!$G$6:$G$405="")+(職員マスタ!$G$6:$G$405&lt;=EOMONTH($AQ1651,0)))&gt;0)*(((職員マスタ!$H$6:$H$405="")+(職員マスタ!$H$6:$H$405&gt;=$AQ1651))&gt;0)*(ROW(職員マスタ!$A$6:$A$405)-5)))&gt;0,SUMPRODUCT(MAX((職員マスタ!$A$6:$A$405=$B1651)*(((職員マスタ!$G$6:$G$405="")+(職員マスタ!$G$6:$G$405&lt;=EOMONTH($AQ1651,0)))&gt;0)*(((職員マスタ!$H$6:$H$405="")+(職員マスタ!$H$6:$H$405&gt;=$AQ1651))&gt;0)*(ROW(職員マスタ!$A$6:$A$405)-5))),IFERROR(MATCH($B1651,職員マスタ!$A$6:$A$405,0),"")))</f>
        <v/>
      </c>
      <c r="AQ1651" s="16">
        <f>IF(OR($B1651="",$C1651="",$D1651=""),"",DATE($C1651+2018,$D1651,1))</f>
        <v/>
      </c>
    </row>
    <row r="1652">
      <c r="A1652" s="11" t="n"/>
      <c r="B1652" s="12" t="n"/>
      <c r="C1652" s="12" t="n"/>
      <c r="D1652" s="12" t="n"/>
      <c r="E1652" s="13" t="n"/>
      <c r="F1652" s="12" t="n"/>
      <c r="G1652" s="13" t="n"/>
      <c r="H1652" s="12" t="n"/>
      <c r="I1652" s="12" t="n"/>
      <c r="J1652" s="12" t="n"/>
      <c r="K1652" s="12" t="n"/>
      <c r="L1652" s="11" t="n"/>
      <c r="M1652" s="11" t="n"/>
      <c r="N1652" s="11" t="n"/>
      <c r="O1652" s="11" t="n"/>
      <c r="P1652" s="12" t="n"/>
      <c r="Q1652" s="11" t="n"/>
      <c r="R1652" s="12" t="n"/>
      <c r="S1652" s="11" t="n"/>
      <c r="T1652" s="12" t="n"/>
      <c r="U1652" s="12" t="n"/>
      <c r="V1652" s="12" t="n"/>
      <c r="W1652" s="13" t="n"/>
      <c r="X1652" s="14">
        <f>IF($AP1652="",IF($B1652="","",$H1652),IF(INDEX(職員マスタ!$B$6:$B$405,$AP1652)="",$H1652,INDEX(職員マスタ!$B$6:$B$405,$AP1652)))</f>
        <v/>
      </c>
      <c r="Y1652" s="14">
        <f>IF($AP1652="",IF($B1652="","",$R1652),IF(INDEX(職員マスタ!$C$6:$C$405,$AP1652)="",$R1652,INDEX(職員マスタ!$C$6:$C$405,$AP1652)))</f>
        <v/>
      </c>
      <c r="Z1652" s="14">
        <f>IF($AQ1652="","","R"&amp;$C1652&amp;"."&amp;$D1652)</f>
        <v/>
      </c>
      <c r="AA1652" s="15">
        <f>IF(IF($AP1652="",FALSE,INDEX(職員マスタ!$K$6:$K$405,$AP1652)&lt;&gt;""),INDEX(職員マスタ!$K$6:$K$405,$AP1652),IF(N($W1652)&gt;0,$W1652,""))</f>
        <v/>
      </c>
      <c r="AB1652" s="14">
        <f>IF(OR($E1652="",$AA1652=""),"",IF($E1652&gt;=$AA1652,"×",IF($E1652&gt;=$AA1652*設定!$C$5,"△","○")))</f>
        <v/>
      </c>
      <c r="AC1652" s="15">
        <f>IF($AB1652="","",IF($AB1652="×",0,IF($AB1652="○",ROUNDDOWN($E1652*設定!$C$4,0),ROUNDDOWN($E1652*ROUND((9*$AA1652-9*$E1652)/(10*$E1652),4),0))))</f>
        <v/>
      </c>
      <c r="AD1652" s="13" t="n"/>
      <c r="AE1652" s="15">
        <f>IF($B1652="","",IF($AD1652&lt;&gt;"",$AD1652,IF($AC1652="","",IF($AC1652&lt;=設定!$C$3,0,$AC1652))))</f>
        <v/>
      </c>
      <c r="AF1652" s="14">
        <f>IF($B1652="","",IF(AND($AG1652&lt;&gt;"",$AI1652="",$AL1652=""),"保留中",IF($AL1652&lt;&gt;"",IF(N($AE1652)&gt;0,"支給済","不支給"),IF($AE1652="","要確認",IF($AE1652=0,"不支給","未処理")))))</f>
        <v/>
      </c>
      <c r="AG1652" s="12" t="n"/>
      <c r="AH1652" s="11" t="n"/>
      <c r="AI1652" s="11" t="n"/>
      <c r="AJ1652" s="11" t="n"/>
      <c r="AK1652" s="14">
        <f>IF(AND($AF1652="保留中",$AH1652&lt;&gt;""),TODAY()-$AH1652,"")</f>
        <v/>
      </c>
      <c r="AL1652" s="12" t="n"/>
      <c r="AM1652" s="14">
        <f>IF($B1652="","",IF($AQ1652="","対象年月が未入力／","")&amp;IF($B1652="","",IF($AP1652="","職員マスタに未登録の職員番号／",IF($AA1652="","標準報酬月額が未登録／","")&amp;IF(AND($AQ1652&lt;&gt;"",OR(AND(INDEX(職員マスタ!$G$6:$G$405,$AP1652)&lt;&gt;"",INDEX(職員マスタ!$G$6:$G$405,$AP1652)&gt;EOMONTH($AQ1652,0)),AND(INDEX(職員マスタ!$H$6:$H$405,$AP1652)&lt;&gt;"",INDEX(職員マスタ!$H$6:$H$405,$AP1652)&lt;$AQ1652))),"対象月が時短期間外／","")&amp;IF(AND(INDEX(職員マスタ!$K$6:$K$405,$AP1652)&lt;&gt;"",N($W1652)&gt;0,INDEX(職員マスタ!$K$6:$K$405,$AP1652)&lt;&gt;$W1652),"標準報酬月額が申請書と相違（台帳"&amp;TEXT(INDEX(職員マスタ!$K$6:$K$405,$AP1652),"#,##0")&amp;"円／申請書"&amp;TEXT($W1652,"#,##0")&amp;"円）／","")&amp;IF(AND(INDEX(職員マスタ!$F$6:$F$405,$AP1652)&lt;&gt;"",$AQ1652&lt;&gt;"",INDEX(職員マスタ!$F$6:$F$405,$AP1652)&lt;$AQ1652),"対象月に子が2歳到達済／","")&amp;IF(AND($H1652&lt;&gt;"",INDEX(職員マスタ!$B$6:$B$405,$AP1652)&lt;&gt;"",SUBSTITUTE(SUBSTITUTE($H1652," ","")," ","")&lt;&gt;SUBSTITUTE(SUBSTITUTE(INDEX(職員マスタ!$B$6:$B$405,$AP1652)," ","")," ","")),"氏名がマスタと相違／","")&amp;IF(AND($Q1652&lt;&gt;"",INDEX(職員マスタ!$E$6:$E$405,$AP1652)&lt;&gt;"",$Q1652&lt;&gt;INDEX(職員マスタ!$E$6:$E$405,$AP1652)),"子の生年月日がマスタと相違／","")&amp;IF(AND($L1652&lt;&gt;"",INDEX(職員マスタ!$G$6:$G$405,$AP1652)&lt;&gt;"",$L1652&lt;&gt;INDEX(職員マスタ!$G$6:$G$405,$AP1652)),"時短開始日がマスタと相違／","")&amp;IF(AND($M1652&lt;&gt;"",INDEX(職員マスタ!$H$6:$H$405,$AP1652)&lt;&gt;"",$M1652&lt;&gt;INDEX(職員マスタ!$H$6:$H$405,$AP1652)),"時短終了日がマスタと相違／","")))&amp;IF(AND($B1652&lt;&gt;"",$E1652=""),"報酬額が未入力／","")&amp;IF(N($U1652)&gt;0,"申請書に入力エラーが残っています／","")&amp;IF(AND($B1652&lt;&gt;"",$AQ1652&lt;&gt;""),IF(COUNTIFS($B$6:$B$3005,$B1652,$C$6:$C$3005,$C1652,$D$6:$D$3005,$D1652)&gt;1,"同じ月の請求が重複しています／",""),"")&amp;IF(AND(N($E1652)&gt;0,$AB1652&lt;&gt;"",$AB1652&lt;&gt;"×",$AE1652=0,$AD1652=""),"計算額が下限以下のため不支給／",""))</f>
        <v/>
      </c>
      <c r="AN1652" s="12" t="n"/>
      <c r="AO1652" s="14">
        <f>IF($AF1652="保留中",COUNTIF($AF$6:$AF1652,"保留中"),"")</f>
        <v/>
      </c>
      <c r="AP1652" s="14">
        <f>IF($AQ1652="","",IF(SUMPRODUCT(MAX((職員マスタ!$A$6:$A$405=$B1652)*(((職員マスタ!$G$6:$G$405="")+(職員マスタ!$G$6:$G$405&lt;=EOMONTH($AQ1652,0)))&gt;0)*(((職員マスタ!$H$6:$H$405="")+(職員マスタ!$H$6:$H$405&gt;=$AQ1652))&gt;0)*(ROW(職員マスタ!$A$6:$A$405)-5)))&gt;0,SUMPRODUCT(MAX((職員マスタ!$A$6:$A$405=$B1652)*(((職員マスタ!$G$6:$G$405="")+(職員マスタ!$G$6:$G$405&lt;=EOMONTH($AQ1652,0)))&gt;0)*(((職員マスタ!$H$6:$H$405="")+(職員マスタ!$H$6:$H$405&gt;=$AQ1652))&gt;0)*(ROW(職員マスタ!$A$6:$A$405)-5))),IFERROR(MATCH($B1652,職員マスタ!$A$6:$A$405,0),"")))</f>
        <v/>
      </c>
      <c r="AQ1652" s="16">
        <f>IF(OR($B1652="",$C1652="",$D1652=""),"",DATE($C1652+2018,$D1652,1))</f>
        <v/>
      </c>
    </row>
    <row r="1653">
      <c r="A1653" s="11" t="n"/>
      <c r="B1653" s="12" t="n"/>
      <c r="C1653" s="12" t="n"/>
      <c r="D1653" s="12" t="n"/>
      <c r="E1653" s="13" t="n"/>
      <c r="F1653" s="12" t="n"/>
      <c r="G1653" s="13" t="n"/>
      <c r="H1653" s="12" t="n"/>
      <c r="I1653" s="12" t="n"/>
      <c r="J1653" s="12" t="n"/>
      <c r="K1653" s="12" t="n"/>
      <c r="L1653" s="11" t="n"/>
      <c r="M1653" s="11" t="n"/>
      <c r="N1653" s="11" t="n"/>
      <c r="O1653" s="11" t="n"/>
      <c r="P1653" s="12" t="n"/>
      <c r="Q1653" s="11" t="n"/>
      <c r="R1653" s="12" t="n"/>
      <c r="S1653" s="11" t="n"/>
      <c r="T1653" s="12" t="n"/>
      <c r="U1653" s="12" t="n"/>
      <c r="V1653" s="12" t="n"/>
      <c r="W1653" s="13" t="n"/>
      <c r="X1653" s="14">
        <f>IF($AP1653="",IF($B1653="","",$H1653),IF(INDEX(職員マスタ!$B$6:$B$405,$AP1653)="",$H1653,INDEX(職員マスタ!$B$6:$B$405,$AP1653)))</f>
        <v/>
      </c>
      <c r="Y1653" s="14">
        <f>IF($AP1653="",IF($B1653="","",$R1653),IF(INDEX(職員マスタ!$C$6:$C$405,$AP1653)="",$R1653,INDEX(職員マスタ!$C$6:$C$405,$AP1653)))</f>
        <v/>
      </c>
      <c r="Z1653" s="14">
        <f>IF($AQ1653="","","R"&amp;$C1653&amp;"."&amp;$D1653)</f>
        <v/>
      </c>
      <c r="AA1653" s="15">
        <f>IF(IF($AP1653="",FALSE,INDEX(職員マスタ!$K$6:$K$405,$AP1653)&lt;&gt;""),INDEX(職員マスタ!$K$6:$K$405,$AP1653),IF(N($W1653)&gt;0,$W1653,""))</f>
        <v/>
      </c>
      <c r="AB1653" s="14">
        <f>IF(OR($E1653="",$AA1653=""),"",IF($E1653&gt;=$AA1653,"×",IF($E1653&gt;=$AA1653*設定!$C$5,"△","○")))</f>
        <v/>
      </c>
      <c r="AC1653" s="15">
        <f>IF($AB1653="","",IF($AB1653="×",0,IF($AB1653="○",ROUNDDOWN($E1653*設定!$C$4,0),ROUNDDOWN($E1653*ROUND((9*$AA1653-9*$E1653)/(10*$E1653),4),0))))</f>
        <v/>
      </c>
      <c r="AD1653" s="13" t="n"/>
      <c r="AE1653" s="15">
        <f>IF($B1653="","",IF($AD1653&lt;&gt;"",$AD1653,IF($AC1653="","",IF($AC1653&lt;=設定!$C$3,0,$AC1653))))</f>
        <v/>
      </c>
      <c r="AF1653" s="14">
        <f>IF($B1653="","",IF(AND($AG1653&lt;&gt;"",$AI1653="",$AL1653=""),"保留中",IF($AL1653&lt;&gt;"",IF(N($AE1653)&gt;0,"支給済","不支給"),IF($AE1653="","要確認",IF($AE1653=0,"不支給","未処理")))))</f>
        <v/>
      </c>
      <c r="AG1653" s="12" t="n"/>
      <c r="AH1653" s="11" t="n"/>
      <c r="AI1653" s="11" t="n"/>
      <c r="AJ1653" s="11" t="n"/>
      <c r="AK1653" s="14">
        <f>IF(AND($AF1653="保留中",$AH1653&lt;&gt;""),TODAY()-$AH1653,"")</f>
        <v/>
      </c>
      <c r="AL1653" s="12" t="n"/>
      <c r="AM1653" s="14">
        <f>IF($B1653="","",IF($AQ1653="","対象年月が未入力／","")&amp;IF($B1653="","",IF($AP1653="","職員マスタに未登録の職員番号／",IF($AA1653="","標準報酬月額が未登録／","")&amp;IF(AND($AQ1653&lt;&gt;"",OR(AND(INDEX(職員マスタ!$G$6:$G$405,$AP1653)&lt;&gt;"",INDEX(職員マスタ!$G$6:$G$405,$AP1653)&gt;EOMONTH($AQ1653,0)),AND(INDEX(職員マスタ!$H$6:$H$405,$AP1653)&lt;&gt;"",INDEX(職員マスタ!$H$6:$H$405,$AP1653)&lt;$AQ1653))),"対象月が時短期間外／","")&amp;IF(AND(INDEX(職員マスタ!$K$6:$K$405,$AP1653)&lt;&gt;"",N($W1653)&gt;0,INDEX(職員マスタ!$K$6:$K$405,$AP1653)&lt;&gt;$W1653),"標準報酬月額が申請書と相違（台帳"&amp;TEXT(INDEX(職員マスタ!$K$6:$K$405,$AP1653),"#,##0")&amp;"円／申請書"&amp;TEXT($W1653,"#,##0")&amp;"円）／","")&amp;IF(AND(INDEX(職員マスタ!$F$6:$F$405,$AP1653)&lt;&gt;"",$AQ1653&lt;&gt;"",INDEX(職員マスタ!$F$6:$F$405,$AP1653)&lt;$AQ1653),"対象月に子が2歳到達済／","")&amp;IF(AND($H1653&lt;&gt;"",INDEX(職員マスタ!$B$6:$B$405,$AP1653)&lt;&gt;"",SUBSTITUTE(SUBSTITUTE($H1653," ","")," ","")&lt;&gt;SUBSTITUTE(SUBSTITUTE(INDEX(職員マスタ!$B$6:$B$405,$AP1653)," ","")," ","")),"氏名がマスタと相違／","")&amp;IF(AND($Q1653&lt;&gt;"",INDEX(職員マスタ!$E$6:$E$405,$AP1653)&lt;&gt;"",$Q1653&lt;&gt;INDEX(職員マスタ!$E$6:$E$405,$AP1653)),"子の生年月日がマスタと相違／","")&amp;IF(AND($L1653&lt;&gt;"",INDEX(職員マスタ!$G$6:$G$405,$AP1653)&lt;&gt;"",$L1653&lt;&gt;INDEX(職員マスタ!$G$6:$G$405,$AP1653)),"時短開始日がマスタと相違／","")&amp;IF(AND($M1653&lt;&gt;"",INDEX(職員マスタ!$H$6:$H$405,$AP1653)&lt;&gt;"",$M1653&lt;&gt;INDEX(職員マスタ!$H$6:$H$405,$AP1653)),"時短終了日がマスタと相違／","")))&amp;IF(AND($B1653&lt;&gt;"",$E1653=""),"報酬額が未入力／","")&amp;IF(N($U1653)&gt;0,"申請書に入力エラーが残っています／","")&amp;IF(AND($B1653&lt;&gt;"",$AQ1653&lt;&gt;""),IF(COUNTIFS($B$6:$B$3005,$B1653,$C$6:$C$3005,$C1653,$D$6:$D$3005,$D1653)&gt;1,"同じ月の請求が重複しています／",""),"")&amp;IF(AND(N($E1653)&gt;0,$AB1653&lt;&gt;"",$AB1653&lt;&gt;"×",$AE1653=0,$AD1653=""),"計算額が下限以下のため不支給／",""))</f>
        <v/>
      </c>
      <c r="AN1653" s="12" t="n"/>
      <c r="AO1653" s="14">
        <f>IF($AF1653="保留中",COUNTIF($AF$6:$AF1653,"保留中"),"")</f>
        <v/>
      </c>
      <c r="AP1653" s="14">
        <f>IF($AQ1653="","",IF(SUMPRODUCT(MAX((職員マスタ!$A$6:$A$405=$B1653)*(((職員マスタ!$G$6:$G$405="")+(職員マスタ!$G$6:$G$405&lt;=EOMONTH($AQ1653,0)))&gt;0)*(((職員マスタ!$H$6:$H$405="")+(職員マスタ!$H$6:$H$405&gt;=$AQ1653))&gt;0)*(ROW(職員マスタ!$A$6:$A$405)-5)))&gt;0,SUMPRODUCT(MAX((職員マスタ!$A$6:$A$405=$B1653)*(((職員マスタ!$G$6:$G$405="")+(職員マスタ!$G$6:$G$405&lt;=EOMONTH($AQ1653,0)))&gt;0)*(((職員マスタ!$H$6:$H$405="")+(職員マスタ!$H$6:$H$405&gt;=$AQ1653))&gt;0)*(ROW(職員マスタ!$A$6:$A$405)-5))),IFERROR(MATCH($B1653,職員マスタ!$A$6:$A$405,0),"")))</f>
        <v/>
      </c>
      <c r="AQ1653" s="16">
        <f>IF(OR($B1653="",$C1653="",$D1653=""),"",DATE($C1653+2018,$D1653,1))</f>
        <v/>
      </c>
    </row>
    <row r="1654">
      <c r="A1654" s="11" t="n"/>
      <c r="B1654" s="12" t="n"/>
      <c r="C1654" s="12" t="n"/>
      <c r="D1654" s="12" t="n"/>
      <c r="E1654" s="13" t="n"/>
      <c r="F1654" s="12" t="n"/>
      <c r="G1654" s="13" t="n"/>
      <c r="H1654" s="12" t="n"/>
      <c r="I1654" s="12" t="n"/>
      <c r="J1654" s="12" t="n"/>
      <c r="K1654" s="12" t="n"/>
      <c r="L1654" s="11" t="n"/>
      <c r="M1654" s="11" t="n"/>
      <c r="N1654" s="11" t="n"/>
      <c r="O1654" s="11" t="n"/>
      <c r="P1654" s="12" t="n"/>
      <c r="Q1654" s="11" t="n"/>
      <c r="R1654" s="12" t="n"/>
      <c r="S1654" s="11" t="n"/>
      <c r="T1654" s="12" t="n"/>
      <c r="U1654" s="12" t="n"/>
      <c r="V1654" s="12" t="n"/>
      <c r="W1654" s="13" t="n"/>
      <c r="X1654" s="14">
        <f>IF($AP1654="",IF($B1654="","",$H1654),IF(INDEX(職員マスタ!$B$6:$B$405,$AP1654)="",$H1654,INDEX(職員マスタ!$B$6:$B$405,$AP1654)))</f>
        <v/>
      </c>
      <c r="Y1654" s="14">
        <f>IF($AP1654="",IF($B1654="","",$R1654),IF(INDEX(職員マスタ!$C$6:$C$405,$AP1654)="",$R1654,INDEX(職員マスタ!$C$6:$C$405,$AP1654)))</f>
        <v/>
      </c>
      <c r="Z1654" s="14">
        <f>IF($AQ1654="","","R"&amp;$C1654&amp;"."&amp;$D1654)</f>
        <v/>
      </c>
      <c r="AA1654" s="15">
        <f>IF(IF($AP1654="",FALSE,INDEX(職員マスタ!$K$6:$K$405,$AP1654)&lt;&gt;""),INDEX(職員マスタ!$K$6:$K$405,$AP1654),IF(N($W1654)&gt;0,$W1654,""))</f>
        <v/>
      </c>
      <c r="AB1654" s="14">
        <f>IF(OR($E1654="",$AA1654=""),"",IF($E1654&gt;=$AA1654,"×",IF($E1654&gt;=$AA1654*設定!$C$5,"△","○")))</f>
        <v/>
      </c>
      <c r="AC1654" s="15">
        <f>IF($AB1654="","",IF($AB1654="×",0,IF($AB1654="○",ROUNDDOWN($E1654*設定!$C$4,0),ROUNDDOWN($E1654*ROUND((9*$AA1654-9*$E1654)/(10*$E1654),4),0))))</f>
        <v/>
      </c>
      <c r="AD1654" s="13" t="n"/>
      <c r="AE1654" s="15">
        <f>IF($B1654="","",IF($AD1654&lt;&gt;"",$AD1654,IF($AC1654="","",IF($AC1654&lt;=設定!$C$3,0,$AC1654))))</f>
        <v/>
      </c>
      <c r="AF1654" s="14">
        <f>IF($B1654="","",IF(AND($AG1654&lt;&gt;"",$AI1654="",$AL1654=""),"保留中",IF($AL1654&lt;&gt;"",IF(N($AE1654)&gt;0,"支給済","不支給"),IF($AE1654="","要確認",IF($AE1654=0,"不支給","未処理")))))</f>
        <v/>
      </c>
      <c r="AG1654" s="12" t="n"/>
      <c r="AH1654" s="11" t="n"/>
      <c r="AI1654" s="11" t="n"/>
      <c r="AJ1654" s="11" t="n"/>
      <c r="AK1654" s="14">
        <f>IF(AND($AF1654="保留中",$AH1654&lt;&gt;""),TODAY()-$AH1654,"")</f>
        <v/>
      </c>
      <c r="AL1654" s="12" t="n"/>
      <c r="AM1654" s="14">
        <f>IF($B1654="","",IF($AQ1654="","対象年月が未入力／","")&amp;IF($B1654="","",IF($AP1654="","職員マスタに未登録の職員番号／",IF($AA1654="","標準報酬月額が未登録／","")&amp;IF(AND($AQ1654&lt;&gt;"",OR(AND(INDEX(職員マスタ!$G$6:$G$405,$AP1654)&lt;&gt;"",INDEX(職員マスタ!$G$6:$G$405,$AP1654)&gt;EOMONTH($AQ1654,0)),AND(INDEX(職員マスタ!$H$6:$H$405,$AP1654)&lt;&gt;"",INDEX(職員マスタ!$H$6:$H$405,$AP1654)&lt;$AQ1654))),"対象月が時短期間外／","")&amp;IF(AND(INDEX(職員マスタ!$K$6:$K$405,$AP1654)&lt;&gt;"",N($W1654)&gt;0,INDEX(職員マスタ!$K$6:$K$405,$AP1654)&lt;&gt;$W1654),"標準報酬月額が申請書と相違（台帳"&amp;TEXT(INDEX(職員マスタ!$K$6:$K$405,$AP1654),"#,##0")&amp;"円／申請書"&amp;TEXT($W1654,"#,##0")&amp;"円）／","")&amp;IF(AND(INDEX(職員マスタ!$F$6:$F$405,$AP1654)&lt;&gt;"",$AQ1654&lt;&gt;"",INDEX(職員マスタ!$F$6:$F$405,$AP1654)&lt;$AQ1654),"対象月に子が2歳到達済／","")&amp;IF(AND($H1654&lt;&gt;"",INDEX(職員マスタ!$B$6:$B$405,$AP1654)&lt;&gt;"",SUBSTITUTE(SUBSTITUTE($H1654," ","")," ","")&lt;&gt;SUBSTITUTE(SUBSTITUTE(INDEX(職員マスタ!$B$6:$B$405,$AP1654)," ","")," ","")),"氏名がマスタと相違／","")&amp;IF(AND($Q1654&lt;&gt;"",INDEX(職員マスタ!$E$6:$E$405,$AP1654)&lt;&gt;"",$Q1654&lt;&gt;INDEX(職員マスタ!$E$6:$E$405,$AP1654)),"子の生年月日がマスタと相違／","")&amp;IF(AND($L1654&lt;&gt;"",INDEX(職員マスタ!$G$6:$G$405,$AP1654)&lt;&gt;"",$L1654&lt;&gt;INDEX(職員マスタ!$G$6:$G$405,$AP1654)),"時短開始日がマスタと相違／","")&amp;IF(AND($M1654&lt;&gt;"",INDEX(職員マスタ!$H$6:$H$405,$AP1654)&lt;&gt;"",$M1654&lt;&gt;INDEX(職員マスタ!$H$6:$H$405,$AP1654)),"時短終了日がマスタと相違／","")))&amp;IF(AND($B1654&lt;&gt;"",$E1654=""),"報酬額が未入力／","")&amp;IF(N($U1654)&gt;0,"申請書に入力エラーが残っています／","")&amp;IF(AND($B1654&lt;&gt;"",$AQ1654&lt;&gt;""),IF(COUNTIFS($B$6:$B$3005,$B1654,$C$6:$C$3005,$C1654,$D$6:$D$3005,$D1654)&gt;1,"同じ月の請求が重複しています／",""),"")&amp;IF(AND(N($E1654)&gt;0,$AB1654&lt;&gt;"",$AB1654&lt;&gt;"×",$AE1654=0,$AD1654=""),"計算額が下限以下のため不支給／",""))</f>
        <v/>
      </c>
      <c r="AN1654" s="12" t="n"/>
      <c r="AO1654" s="14">
        <f>IF($AF1654="保留中",COUNTIF($AF$6:$AF1654,"保留中"),"")</f>
        <v/>
      </c>
      <c r="AP1654" s="14">
        <f>IF($AQ1654="","",IF(SUMPRODUCT(MAX((職員マスタ!$A$6:$A$405=$B1654)*(((職員マスタ!$G$6:$G$405="")+(職員マスタ!$G$6:$G$405&lt;=EOMONTH($AQ1654,0)))&gt;0)*(((職員マスタ!$H$6:$H$405="")+(職員マスタ!$H$6:$H$405&gt;=$AQ1654))&gt;0)*(ROW(職員マスタ!$A$6:$A$405)-5)))&gt;0,SUMPRODUCT(MAX((職員マスタ!$A$6:$A$405=$B1654)*(((職員マスタ!$G$6:$G$405="")+(職員マスタ!$G$6:$G$405&lt;=EOMONTH($AQ1654,0)))&gt;0)*(((職員マスタ!$H$6:$H$405="")+(職員マスタ!$H$6:$H$405&gt;=$AQ1654))&gt;0)*(ROW(職員マスタ!$A$6:$A$405)-5))),IFERROR(MATCH($B1654,職員マスタ!$A$6:$A$405,0),"")))</f>
        <v/>
      </c>
      <c r="AQ1654" s="16">
        <f>IF(OR($B1654="",$C1654="",$D1654=""),"",DATE($C1654+2018,$D1654,1))</f>
        <v/>
      </c>
    </row>
    <row r="1655">
      <c r="A1655" s="11" t="n"/>
      <c r="B1655" s="12" t="n"/>
      <c r="C1655" s="12" t="n"/>
      <c r="D1655" s="12" t="n"/>
      <c r="E1655" s="13" t="n"/>
      <c r="F1655" s="12" t="n"/>
      <c r="G1655" s="13" t="n"/>
      <c r="H1655" s="12" t="n"/>
      <c r="I1655" s="12" t="n"/>
      <c r="J1655" s="12" t="n"/>
      <c r="K1655" s="12" t="n"/>
      <c r="L1655" s="11" t="n"/>
      <c r="M1655" s="11" t="n"/>
      <c r="N1655" s="11" t="n"/>
      <c r="O1655" s="11" t="n"/>
      <c r="P1655" s="12" t="n"/>
      <c r="Q1655" s="11" t="n"/>
      <c r="R1655" s="12" t="n"/>
      <c r="S1655" s="11" t="n"/>
      <c r="T1655" s="12" t="n"/>
      <c r="U1655" s="12" t="n"/>
      <c r="V1655" s="12" t="n"/>
      <c r="W1655" s="13" t="n"/>
      <c r="X1655" s="14">
        <f>IF($AP1655="",IF($B1655="","",$H1655),IF(INDEX(職員マスタ!$B$6:$B$405,$AP1655)="",$H1655,INDEX(職員マスタ!$B$6:$B$405,$AP1655)))</f>
        <v/>
      </c>
      <c r="Y1655" s="14">
        <f>IF($AP1655="",IF($B1655="","",$R1655),IF(INDEX(職員マスタ!$C$6:$C$405,$AP1655)="",$R1655,INDEX(職員マスタ!$C$6:$C$405,$AP1655)))</f>
        <v/>
      </c>
      <c r="Z1655" s="14">
        <f>IF($AQ1655="","","R"&amp;$C1655&amp;"."&amp;$D1655)</f>
        <v/>
      </c>
      <c r="AA1655" s="15">
        <f>IF(IF($AP1655="",FALSE,INDEX(職員マスタ!$K$6:$K$405,$AP1655)&lt;&gt;""),INDEX(職員マスタ!$K$6:$K$405,$AP1655),IF(N($W1655)&gt;0,$W1655,""))</f>
        <v/>
      </c>
      <c r="AB1655" s="14">
        <f>IF(OR($E1655="",$AA1655=""),"",IF($E1655&gt;=$AA1655,"×",IF($E1655&gt;=$AA1655*設定!$C$5,"△","○")))</f>
        <v/>
      </c>
      <c r="AC1655" s="15">
        <f>IF($AB1655="","",IF($AB1655="×",0,IF($AB1655="○",ROUNDDOWN($E1655*設定!$C$4,0),ROUNDDOWN($E1655*ROUND((9*$AA1655-9*$E1655)/(10*$E1655),4),0))))</f>
        <v/>
      </c>
      <c r="AD1655" s="13" t="n"/>
      <c r="AE1655" s="15">
        <f>IF($B1655="","",IF($AD1655&lt;&gt;"",$AD1655,IF($AC1655="","",IF($AC1655&lt;=設定!$C$3,0,$AC1655))))</f>
        <v/>
      </c>
      <c r="AF1655" s="14">
        <f>IF($B1655="","",IF(AND($AG1655&lt;&gt;"",$AI1655="",$AL1655=""),"保留中",IF($AL1655&lt;&gt;"",IF(N($AE1655)&gt;0,"支給済","不支給"),IF($AE1655="","要確認",IF($AE1655=0,"不支給","未処理")))))</f>
        <v/>
      </c>
      <c r="AG1655" s="12" t="n"/>
      <c r="AH1655" s="11" t="n"/>
      <c r="AI1655" s="11" t="n"/>
      <c r="AJ1655" s="11" t="n"/>
      <c r="AK1655" s="14">
        <f>IF(AND($AF1655="保留中",$AH1655&lt;&gt;""),TODAY()-$AH1655,"")</f>
        <v/>
      </c>
      <c r="AL1655" s="12" t="n"/>
      <c r="AM1655" s="14">
        <f>IF($B1655="","",IF($AQ1655="","対象年月が未入力／","")&amp;IF($B1655="","",IF($AP1655="","職員マスタに未登録の職員番号／",IF($AA1655="","標準報酬月額が未登録／","")&amp;IF(AND($AQ1655&lt;&gt;"",OR(AND(INDEX(職員マスタ!$G$6:$G$405,$AP1655)&lt;&gt;"",INDEX(職員マスタ!$G$6:$G$405,$AP1655)&gt;EOMONTH($AQ1655,0)),AND(INDEX(職員マスタ!$H$6:$H$405,$AP1655)&lt;&gt;"",INDEX(職員マスタ!$H$6:$H$405,$AP1655)&lt;$AQ1655))),"対象月が時短期間外／","")&amp;IF(AND(INDEX(職員マスタ!$K$6:$K$405,$AP1655)&lt;&gt;"",N($W1655)&gt;0,INDEX(職員マスタ!$K$6:$K$405,$AP1655)&lt;&gt;$W1655),"標準報酬月額が申請書と相違（台帳"&amp;TEXT(INDEX(職員マスタ!$K$6:$K$405,$AP1655),"#,##0")&amp;"円／申請書"&amp;TEXT($W1655,"#,##0")&amp;"円）／","")&amp;IF(AND(INDEX(職員マスタ!$F$6:$F$405,$AP1655)&lt;&gt;"",$AQ1655&lt;&gt;"",INDEX(職員マスタ!$F$6:$F$405,$AP1655)&lt;$AQ1655),"対象月に子が2歳到達済／","")&amp;IF(AND($H1655&lt;&gt;"",INDEX(職員マスタ!$B$6:$B$405,$AP1655)&lt;&gt;"",SUBSTITUTE(SUBSTITUTE($H1655," ","")," ","")&lt;&gt;SUBSTITUTE(SUBSTITUTE(INDEX(職員マスタ!$B$6:$B$405,$AP1655)," ","")," ","")),"氏名がマスタと相違／","")&amp;IF(AND($Q1655&lt;&gt;"",INDEX(職員マスタ!$E$6:$E$405,$AP1655)&lt;&gt;"",$Q1655&lt;&gt;INDEX(職員マスタ!$E$6:$E$405,$AP1655)),"子の生年月日がマスタと相違／","")&amp;IF(AND($L1655&lt;&gt;"",INDEX(職員マスタ!$G$6:$G$405,$AP1655)&lt;&gt;"",$L1655&lt;&gt;INDEX(職員マスタ!$G$6:$G$405,$AP1655)),"時短開始日がマスタと相違／","")&amp;IF(AND($M1655&lt;&gt;"",INDEX(職員マスタ!$H$6:$H$405,$AP1655)&lt;&gt;"",$M1655&lt;&gt;INDEX(職員マスタ!$H$6:$H$405,$AP1655)),"時短終了日がマスタと相違／","")))&amp;IF(AND($B1655&lt;&gt;"",$E1655=""),"報酬額が未入力／","")&amp;IF(N($U1655)&gt;0,"申請書に入力エラーが残っています／","")&amp;IF(AND($B1655&lt;&gt;"",$AQ1655&lt;&gt;""),IF(COUNTIFS($B$6:$B$3005,$B1655,$C$6:$C$3005,$C1655,$D$6:$D$3005,$D1655)&gt;1,"同じ月の請求が重複しています／",""),"")&amp;IF(AND(N($E1655)&gt;0,$AB1655&lt;&gt;"",$AB1655&lt;&gt;"×",$AE1655=0,$AD1655=""),"計算額が下限以下のため不支給／",""))</f>
        <v/>
      </c>
      <c r="AN1655" s="12" t="n"/>
      <c r="AO1655" s="14">
        <f>IF($AF1655="保留中",COUNTIF($AF$6:$AF1655,"保留中"),"")</f>
        <v/>
      </c>
      <c r="AP1655" s="14">
        <f>IF($AQ1655="","",IF(SUMPRODUCT(MAX((職員マスタ!$A$6:$A$405=$B1655)*(((職員マスタ!$G$6:$G$405="")+(職員マスタ!$G$6:$G$405&lt;=EOMONTH($AQ1655,0)))&gt;0)*(((職員マスタ!$H$6:$H$405="")+(職員マスタ!$H$6:$H$405&gt;=$AQ1655))&gt;0)*(ROW(職員マスタ!$A$6:$A$405)-5)))&gt;0,SUMPRODUCT(MAX((職員マスタ!$A$6:$A$405=$B1655)*(((職員マスタ!$G$6:$G$405="")+(職員マスタ!$G$6:$G$405&lt;=EOMONTH($AQ1655,0)))&gt;0)*(((職員マスタ!$H$6:$H$405="")+(職員マスタ!$H$6:$H$405&gt;=$AQ1655))&gt;0)*(ROW(職員マスタ!$A$6:$A$405)-5))),IFERROR(MATCH($B1655,職員マスタ!$A$6:$A$405,0),"")))</f>
        <v/>
      </c>
      <c r="AQ1655" s="16">
        <f>IF(OR($B1655="",$C1655="",$D1655=""),"",DATE($C1655+2018,$D1655,1))</f>
        <v/>
      </c>
    </row>
    <row r="1656">
      <c r="A1656" s="11" t="n"/>
      <c r="B1656" s="12" t="n"/>
      <c r="C1656" s="12" t="n"/>
      <c r="D1656" s="12" t="n"/>
      <c r="E1656" s="13" t="n"/>
      <c r="F1656" s="12" t="n"/>
      <c r="G1656" s="13" t="n"/>
      <c r="H1656" s="12" t="n"/>
      <c r="I1656" s="12" t="n"/>
      <c r="J1656" s="12" t="n"/>
      <c r="K1656" s="12" t="n"/>
      <c r="L1656" s="11" t="n"/>
      <c r="M1656" s="11" t="n"/>
      <c r="N1656" s="11" t="n"/>
      <c r="O1656" s="11" t="n"/>
      <c r="P1656" s="12" t="n"/>
      <c r="Q1656" s="11" t="n"/>
      <c r="R1656" s="12" t="n"/>
      <c r="S1656" s="11" t="n"/>
      <c r="T1656" s="12" t="n"/>
      <c r="U1656" s="12" t="n"/>
      <c r="V1656" s="12" t="n"/>
      <c r="W1656" s="13" t="n"/>
      <c r="X1656" s="14">
        <f>IF($AP1656="",IF($B1656="","",$H1656),IF(INDEX(職員マスタ!$B$6:$B$405,$AP1656)="",$H1656,INDEX(職員マスタ!$B$6:$B$405,$AP1656)))</f>
        <v/>
      </c>
      <c r="Y1656" s="14">
        <f>IF($AP1656="",IF($B1656="","",$R1656),IF(INDEX(職員マスタ!$C$6:$C$405,$AP1656)="",$R1656,INDEX(職員マスタ!$C$6:$C$405,$AP1656)))</f>
        <v/>
      </c>
      <c r="Z1656" s="14">
        <f>IF($AQ1656="","","R"&amp;$C1656&amp;"."&amp;$D1656)</f>
        <v/>
      </c>
      <c r="AA1656" s="15">
        <f>IF(IF($AP1656="",FALSE,INDEX(職員マスタ!$K$6:$K$405,$AP1656)&lt;&gt;""),INDEX(職員マスタ!$K$6:$K$405,$AP1656),IF(N($W1656)&gt;0,$W1656,""))</f>
        <v/>
      </c>
      <c r="AB1656" s="14">
        <f>IF(OR($E1656="",$AA1656=""),"",IF($E1656&gt;=$AA1656,"×",IF($E1656&gt;=$AA1656*設定!$C$5,"△","○")))</f>
        <v/>
      </c>
      <c r="AC1656" s="15">
        <f>IF($AB1656="","",IF($AB1656="×",0,IF($AB1656="○",ROUNDDOWN($E1656*設定!$C$4,0),ROUNDDOWN($E1656*ROUND((9*$AA1656-9*$E1656)/(10*$E1656),4),0))))</f>
        <v/>
      </c>
      <c r="AD1656" s="13" t="n"/>
      <c r="AE1656" s="15">
        <f>IF($B1656="","",IF($AD1656&lt;&gt;"",$AD1656,IF($AC1656="","",IF($AC1656&lt;=設定!$C$3,0,$AC1656))))</f>
        <v/>
      </c>
      <c r="AF1656" s="14">
        <f>IF($B1656="","",IF(AND($AG1656&lt;&gt;"",$AI1656="",$AL1656=""),"保留中",IF($AL1656&lt;&gt;"",IF(N($AE1656)&gt;0,"支給済","不支給"),IF($AE1656="","要確認",IF($AE1656=0,"不支給","未処理")))))</f>
        <v/>
      </c>
      <c r="AG1656" s="12" t="n"/>
      <c r="AH1656" s="11" t="n"/>
      <c r="AI1656" s="11" t="n"/>
      <c r="AJ1656" s="11" t="n"/>
      <c r="AK1656" s="14">
        <f>IF(AND($AF1656="保留中",$AH1656&lt;&gt;""),TODAY()-$AH1656,"")</f>
        <v/>
      </c>
      <c r="AL1656" s="12" t="n"/>
      <c r="AM1656" s="14">
        <f>IF($B1656="","",IF($AQ1656="","対象年月が未入力／","")&amp;IF($B1656="","",IF($AP1656="","職員マスタに未登録の職員番号／",IF($AA1656="","標準報酬月額が未登録／","")&amp;IF(AND($AQ1656&lt;&gt;"",OR(AND(INDEX(職員マスタ!$G$6:$G$405,$AP1656)&lt;&gt;"",INDEX(職員マスタ!$G$6:$G$405,$AP1656)&gt;EOMONTH($AQ1656,0)),AND(INDEX(職員マスタ!$H$6:$H$405,$AP1656)&lt;&gt;"",INDEX(職員マスタ!$H$6:$H$405,$AP1656)&lt;$AQ1656))),"対象月が時短期間外／","")&amp;IF(AND(INDEX(職員マスタ!$K$6:$K$405,$AP1656)&lt;&gt;"",N($W1656)&gt;0,INDEX(職員マスタ!$K$6:$K$405,$AP1656)&lt;&gt;$W1656),"標準報酬月額が申請書と相違（台帳"&amp;TEXT(INDEX(職員マスタ!$K$6:$K$405,$AP1656),"#,##0")&amp;"円／申請書"&amp;TEXT($W1656,"#,##0")&amp;"円）／","")&amp;IF(AND(INDEX(職員マスタ!$F$6:$F$405,$AP1656)&lt;&gt;"",$AQ1656&lt;&gt;"",INDEX(職員マスタ!$F$6:$F$405,$AP1656)&lt;$AQ1656),"対象月に子が2歳到達済／","")&amp;IF(AND($H1656&lt;&gt;"",INDEX(職員マスタ!$B$6:$B$405,$AP1656)&lt;&gt;"",SUBSTITUTE(SUBSTITUTE($H1656," ","")," ","")&lt;&gt;SUBSTITUTE(SUBSTITUTE(INDEX(職員マスタ!$B$6:$B$405,$AP1656)," ","")," ","")),"氏名がマスタと相違／","")&amp;IF(AND($Q1656&lt;&gt;"",INDEX(職員マスタ!$E$6:$E$405,$AP1656)&lt;&gt;"",$Q1656&lt;&gt;INDEX(職員マスタ!$E$6:$E$405,$AP1656)),"子の生年月日がマスタと相違／","")&amp;IF(AND($L1656&lt;&gt;"",INDEX(職員マスタ!$G$6:$G$405,$AP1656)&lt;&gt;"",$L1656&lt;&gt;INDEX(職員マスタ!$G$6:$G$405,$AP1656)),"時短開始日がマスタと相違／","")&amp;IF(AND($M1656&lt;&gt;"",INDEX(職員マスタ!$H$6:$H$405,$AP1656)&lt;&gt;"",$M1656&lt;&gt;INDEX(職員マスタ!$H$6:$H$405,$AP1656)),"時短終了日がマスタと相違／","")))&amp;IF(AND($B1656&lt;&gt;"",$E1656=""),"報酬額が未入力／","")&amp;IF(N($U1656)&gt;0,"申請書に入力エラーが残っています／","")&amp;IF(AND($B1656&lt;&gt;"",$AQ1656&lt;&gt;""),IF(COUNTIFS($B$6:$B$3005,$B1656,$C$6:$C$3005,$C1656,$D$6:$D$3005,$D1656)&gt;1,"同じ月の請求が重複しています／",""),"")&amp;IF(AND(N($E1656)&gt;0,$AB1656&lt;&gt;"",$AB1656&lt;&gt;"×",$AE1656=0,$AD1656=""),"計算額が下限以下のため不支給／",""))</f>
        <v/>
      </c>
      <c r="AN1656" s="12" t="n"/>
      <c r="AO1656" s="14">
        <f>IF($AF1656="保留中",COUNTIF($AF$6:$AF1656,"保留中"),"")</f>
        <v/>
      </c>
      <c r="AP1656" s="14">
        <f>IF($AQ1656="","",IF(SUMPRODUCT(MAX((職員マスタ!$A$6:$A$405=$B1656)*(((職員マスタ!$G$6:$G$405="")+(職員マスタ!$G$6:$G$405&lt;=EOMONTH($AQ1656,0)))&gt;0)*(((職員マスタ!$H$6:$H$405="")+(職員マスタ!$H$6:$H$405&gt;=$AQ1656))&gt;0)*(ROW(職員マスタ!$A$6:$A$405)-5)))&gt;0,SUMPRODUCT(MAX((職員マスタ!$A$6:$A$405=$B1656)*(((職員マスタ!$G$6:$G$405="")+(職員マスタ!$G$6:$G$405&lt;=EOMONTH($AQ1656,0)))&gt;0)*(((職員マスタ!$H$6:$H$405="")+(職員マスタ!$H$6:$H$405&gt;=$AQ1656))&gt;0)*(ROW(職員マスタ!$A$6:$A$405)-5))),IFERROR(MATCH($B1656,職員マスタ!$A$6:$A$405,0),"")))</f>
        <v/>
      </c>
      <c r="AQ1656" s="16">
        <f>IF(OR($B1656="",$C1656="",$D1656=""),"",DATE($C1656+2018,$D1656,1))</f>
        <v/>
      </c>
    </row>
    <row r="1657">
      <c r="A1657" s="11" t="n"/>
      <c r="B1657" s="12" t="n"/>
      <c r="C1657" s="12" t="n"/>
      <c r="D1657" s="12" t="n"/>
      <c r="E1657" s="13" t="n"/>
      <c r="F1657" s="12" t="n"/>
      <c r="G1657" s="13" t="n"/>
      <c r="H1657" s="12" t="n"/>
      <c r="I1657" s="12" t="n"/>
      <c r="J1657" s="12" t="n"/>
      <c r="K1657" s="12" t="n"/>
      <c r="L1657" s="11" t="n"/>
      <c r="M1657" s="11" t="n"/>
      <c r="N1657" s="11" t="n"/>
      <c r="O1657" s="11" t="n"/>
      <c r="P1657" s="12" t="n"/>
      <c r="Q1657" s="11" t="n"/>
      <c r="R1657" s="12" t="n"/>
      <c r="S1657" s="11" t="n"/>
      <c r="T1657" s="12" t="n"/>
      <c r="U1657" s="12" t="n"/>
      <c r="V1657" s="12" t="n"/>
      <c r="W1657" s="13" t="n"/>
      <c r="X1657" s="14">
        <f>IF($AP1657="",IF($B1657="","",$H1657),IF(INDEX(職員マスタ!$B$6:$B$405,$AP1657)="",$H1657,INDEX(職員マスタ!$B$6:$B$405,$AP1657)))</f>
        <v/>
      </c>
      <c r="Y1657" s="14">
        <f>IF($AP1657="",IF($B1657="","",$R1657),IF(INDEX(職員マスタ!$C$6:$C$405,$AP1657)="",$R1657,INDEX(職員マスタ!$C$6:$C$405,$AP1657)))</f>
        <v/>
      </c>
      <c r="Z1657" s="14">
        <f>IF($AQ1657="","","R"&amp;$C1657&amp;"."&amp;$D1657)</f>
        <v/>
      </c>
      <c r="AA1657" s="15">
        <f>IF(IF($AP1657="",FALSE,INDEX(職員マスタ!$K$6:$K$405,$AP1657)&lt;&gt;""),INDEX(職員マスタ!$K$6:$K$405,$AP1657),IF(N($W1657)&gt;0,$W1657,""))</f>
        <v/>
      </c>
      <c r="AB1657" s="14">
        <f>IF(OR($E1657="",$AA1657=""),"",IF($E1657&gt;=$AA1657,"×",IF($E1657&gt;=$AA1657*設定!$C$5,"△","○")))</f>
        <v/>
      </c>
      <c r="AC1657" s="15">
        <f>IF($AB1657="","",IF($AB1657="×",0,IF($AB1657="○",ROUNDDOWN($E1657*設定!$C$4,0),ROUNDDOWN($E1657*ROUND((9*$AA1657-9*$E1657)/(10*$E1657),4),0))))</f>
        <v/>
      </c>
      <c r="AD1657" s="13" t="n"/>
      <c r="AE1657" s="15">
        <f>IF($B1657="","",IF($AD1657&lt;&gt;"",$AD1657,IF($AC1657="","",IF($AC1657&lt;=設定!$C$3,0,$AC1657))))</f>
        <v/>
      </c>
      <c r="AF1657" s="14">
        <f>IF($B1657="","",IF(AND($AG1657&lt;&gt;"",$AI1657="",$AL1657=""),"保留中",IF($AL1657&lt;&gt;"",IF(N($AE1657)&gt;0,"支給済","不支給"),IF($AE1657="","要確認",IF($AE1657=0,"不支給","未処理")))))</f>
        <v/>
      </c>
      <c r="AG1657" s="12" t="n"/>
      <c r="AH1657" s="11" t="n"/>
      <c r="AI1657" s="11" t="n"/>
      <c r="AJ1657" s="11" t="n"/>
      <c r="AK1657" s="14">
        <f>IF(AND($AF1657="保留中",$AH1657&lt;&gt;""),TODAY()-$AH1657,"")</f>
        <v/>
      </c>
      <c r="AL1657" s="12" t="n"/>
      <c r="AM1657" s="14">
        <f>IF($B1657="","",IF($AQ1657="","対象年月が未入力／","")&amp;IF($B1657="","",IF($AP1657="","職員マスタに未登録の職員番号／",IF($AA1657="","標準報酬月額が未登録／","")&amp;IF(AND($AQ1657&lt;&gt;"",OR(AND(INDEX(職員マスタ!$G$6:$G$405,$AP1657)&lt;&gt;"",INDEX(職員マスタ!$G$6:$G$405,$AP1657)&gt;EOMONTH($AQ1657,0)),AND(INDEX(職員マスタ!$H$6:$H$405,$AP1657)&lt;&gt;"",INDEX(職員マスタ!$H$6:$H$405,$AP1657)&lt;$AQ1657))),"対象月が時短期間外／","")&amp;IF(AND(INDEX(職員マスタ!$K$6:$K$405,$AP1657)&lt;&gt;"",N($W1657)&gt;0,INDEX(職員マスタ!$K$6:$K$405,$AP1657)&lt;&gt;$W1657),"標準報酬月額が申請書と相違（台帳"&amp;TEXT(INDEX(職員マスタ!$K$6:$K$405,$AP1657),"#,##0")&amp;"円／申請書"&amp;TEXT($W1657,"#,##0")&amp;"円）／","")&amp;IF(AND(INDEX(職員マスタ!$F$6:$F$405,$AP1657)&lt;&gt;"",$AQ1657&lt;&gt;"",INDEX(職員マスタ!$F$6:$F$405,$AP1657)&lt;$AQ1657),"対象月に子が2歳到達済／","")&amp;IF(AND($H1657&lt;&gt;"",INDEX(職員マスタ!$B$6:$B$405,$AP1657)&lt;&gt;"",SUBSTITUTE(SUBSTITUTE($H1657," ","")," ","")&lt;&gt;SUBSTITUTE(SUBSTITUTE(INDEX(職員マスタ!$B$6:$B$405,$AP1657)," ","")," ","")),"氏名がマスタと相違／","")&amp;IF(AND($Q1657&lt;&gt;"",INDEX(職員マスタ!$E$6:$E$405,$AP1657)&lt;&gt;"",$Q1657&lt;&gt;INDEX(職員マスタ!$E$6:$E$405,$AP1657)),"子の生年月日がマスタと相違／","")&amp;IF(AND($L1657&lt;&gt;"",INDEX(職員マスタ!$G$6:$G$405,$AP1657)&lt;&gt;"",$L1657&lt;&gt;INDEX(職員マスタ!$G$6:$G$405,$AP1657)),"時短開始日がマスタと相違／","")&amp;IF(AND($M1657&lt;&gt;"",INDEX(職員マスタ!$H$6:$H$405,$AP1657)&lt;&gt;"",$M1657&lt;&gt;INDEX(職員マスタ!$H$6:$H$405,$AP1657)),"時短終了日がマスタと相違／","")))&amp;IF(AND($B1657&lt;&gt;"",$E1657=""),"報酬額が未入力／","")&amp;IF(N($U1657)&gt;0,"申請書に入力エラーが残っています／","")&amp;IF(AND($B1657&lt;&gt;"",$AQ1657&lt;&gt;""),IF(COUNTIFS($B$6:$B$3005,$B1657,$C$6:$C$3005,$C1657,$D$6:$D$3005,$D1657)&gt;1,"同じ月の請求が重複しています／",""),"")&amp;IF(AND(N($E1657)&gt;0,$AB1657&lt;&gt;"",$AB1657&lt;&gt;"×",$AE1657=0,$AD1657=""),"計算額が下限以下のため不支給／",""))</f>
        <v/>
      </c>
      <c r="AN1657" s="12" t="n"/>
      <c r="AO1657" s="14">
        <f>IF($AF1657="保留中",COUNTIF($AF$6:$AF1657,"保留中"),"")</f>
        <v/>
      </c>
      <c r="AP1657" s="14">
        <f>IF($AQ1657="","",IF(SUMPRODUCT(MAX((職員マスタ!$A$6:$A$405=$B1657)*(((職員マスタ!$G$6:$G$405="")+(職員マスタ!$G$6:$G$405&lt;=EOMONTH($AQ1657,0)))&gt;0)*(((職員マスタ!$H$6:$H$405="")+(職員マスタ!$H$6:$H$405&gt;=$AQ1657))&gt;0)*(ROW(職員マスタ!$A$6:$A$405)-5)))&gt;0,SUMPRODUCT(MAX((職員マスタ!$A$6:$A$405=$B1657)*(((職員マスタ!$G$6:$G$405="")+(職員マスタ!$G$6:$G$405&lt;=EOMONTH($AQ1657,0)))&gt;0)*(((職員マスタ!$H$6:$H$405="")+(職員マスタ!$H$6:$H$405&gt;=$AQ1657))&gt;0)*(ROW(職員マスタ!$A$6:$A$405)-5))),IFERROR(MATCH($B1657,職員マスタ!$A$6:$A$405,0),"")))</f>
        <v/>
      </c>
      <c r="AQ1657" s="16">
        <f>IF(OR($B1657="",$C1657="",$D1657=""),"",DATE($C1657+2018,$D1657,1))</f>
        <v/>
      </c>
    </row>
    <row r="1658">
      <c r="A1658" s="11" t="n"/>
      <c r="B1658" s="12" t="n"/>
      <c r="C1658" s="12" t="n"/>
      <c r="D1658" s="12" t="n"/>
      <c r="E1658" s="13" t="n"/>
      <c r="F1658" s="12" t="n"/>
      <c r="G1658" s="13" t="n"/>
      <c r="H1658" s="12" t="n"/>
      <c r="I1658" s="12" t="n"/>
      <c r="J1658" s="12" t="n"/>
      <c r="K1658" s="12" t="n"/>
      <c r="L1658" s="11" t="n"/>
      <c r="M1658" s="11" t="n"/>
      <c r="N1658" s="11" t="n"/>
      <c r="O1658" s="11" t="n"/>
      <c r="P1658" s="12" t="n"/>
      <c r="Q1658" s="11" t="n"/>
      <c r="R1658" s="12" t="n"/>
      <c r="S1658" s="11" t="n"/>
      <c r="T1658" s="12" t="n"/>
      <c r="U1658" s="12" t="n"/>
      <c r="V1658" s="12" t="n"/>
      <c r="W1658" s="13" t="n"/>
      <c r="X1658" s="14">
        <f>IF($AP1658="",IF($B1658="","",$H1658),IF(INDEX(職員マスタ!$B$6:$B$405,$AP1658)="",$H1658,INDEX(職員マスタ!$B$6:$B$405,$AP1658)))</f>
        <v/>
      </c>
      <c r="Y1658" s="14">
        <f>IF($AP1658="",IF($B1658="","",$R1658),IF(INDEX(職員マスタ!$C$6:$C$405,$AP1658)="",$R1658,INDEX(職員マスタ!$C$6:$C$405,$AP1658)))</f>
        <v/>
      </c>
      <c r="Z1658" s="14">
        <f>IF($AQ1658="","","R"&amp;$C1658&amp;"."&amp;$D1658)</f>
        <v/>
      </c>
      <c r="AA1658" s="15">
        <f>IF(IF($AP1658="",FALSE,INDEX(職員マスタ!$K$6:$K$405,$AP1658)&lt;&gt;""),INDEX(職員マスタ!$K$6:$K$405,$AP1658),IF(N($W1658)&gt;0,$W1658,""))</f>
        <v/>
      </c>
      <c r="AB1658" s="14">
        <f>IF(OR($E1658="",$AA1658=""),"",IF($E1658&gt;=$AA1658,"×",IF($E1658&gt;=$AA1658*設定!$C$5,"△","○")))</f>
        <v/>
      </c>
      <c r="AC1658" s="15">
        <f>IF($AB1658="","",IF($AB1658="×",0,IF($AB1658="○",ROUNDDOWN($E1658*設定!$C$4,0),ROUNDDOWN($E1658*ROUND((9*$AA1658-9*$E1658)/(10*$E1658),4),0))))</f>
        <v/>
      </c>
      <c r="AD1658" s="13" t="n"/>
      <c r="AE1658" s="15">
        <f>IF($B1658="","",IF($AD1658&lt;&gt;"",$AD1658,IF($AC1658="","",IF($AC1658&lt;=設定!$C$3,0,$AC1658))))</f>
        <v/>
      </c>
      <c r="AF1658" s="14">
        <f>IF($B1658="","",IF(AND($AG1658&lt;&gt;"",$AI1658="",$AL1658=""),"保留中",IF($AL1658&lt;&gt;"",IF(N($AE1658)&gt;0,"支給済","不支給"),IF($AE1658="","要確認",IF($AE1658=0,"不支給","未処理")))))</f>
        <v/>
      </c>
      <c r="AG1658" s="12" t="n"/>
      <c r="AH1658" s="11" t="n"/>
      <c r="AI1658" s="11" t="n"/>
      <c r="AJ1658" s="11" t="n"/>
      <c r="AK1658" s="14">
        <f>IF(AND($AF1658="保留中",$AH1658&lt;&gt;""),TODAY()-$AH1658,"")</f>
        <v/>
      </c>
      <c r="AL1658" s="12" t="n"/>
      <c r="AM1658" s="14">
        <f>IF($B1658="","",IF($AQ1658="","対象年月が未入力／","")&amp;IF($B1658="","",IF($AP1658="","職員マスタに未登録の職員番号／",IF($AA1658="","標準報酬月額が未登録／","")&amp;IF(AND($AQ1658&lt;&gt;"",OR(AND(INDEX(職員マスタ!$G$6:$G$405,$AP1658)&lt;&gt;"",INDEX(職員マスタ!$G$6:$G$405,$AP1658)&gt;EOMONTH($AQ1658,0)),AND(INDEX(職員マスタ!$H$6:$H$405,$AP1658)&lt;&gt;"",INDEX(職員マスタ!$H$6:$H$405,$AP1658)&lt;$AQ1658))),"対象月が時短期間外／","")&amp;IF(AND(INDEX(職員マスタ!$K$6:$K$405,$AP1658)&lt;&gt;"",N($W1658)&gt;0,INDEX(職員マスタ!$K$6:$K$405,$AP1658)&lt;&gt;$W1658),"標準報酬月額が申請書と相違（台帳"&amp;TEXT(INDEX(職員マスタ!$K$6:$K$405,$AP1658),"#,##0")&amp;"円／申請書"&amp;TEXT($W1658,"#,##0")&amp;"円）／","")&amp;IF(AND(INDEX(職員マスタ!$F$6:$F$405,$AP1658)&lt;&gt;"",$AQ1658&lt;&gt;"",INDEX(職員マスタ!$F$6:$F$405,$AP1658)&lt;$AQ1658),"対象月に子が2歳到達済／","")&amp;IF(AND($H1658&lt;&gt;"",INDEX(職員マスタ!$B$6:$B$405,$AP1658)&lt;&gt;"",SUBSTITUTE(SUBSTITUTE($H1658," ","")," ","")&lt;&gt;SUBSTITUTE(SUBSTITUTE(INDEX(職員マスタ!$B$6:$B$405,$AP1658)," ","")," ","")),"氏名がマスタと相違／","")&amp;IF(AND($Q1658&lt;&gt;"",INDEX(職員マスタ!$E$6:$E$405,$AP1658)&lt;&gt;"",$Q1658&lt;&gt;INDEX(職員マスタ!$E$6:$E$405,$AP1658)),"子の生年月日がマスタと相違／","")&amp;IF(AND($L1658&lt;&gt;"",INDEX(職員マスタ!$G$6:$G$405,$AP1658)&lt;&gt;"",$L1658&lt;&gt;INDEX(職員マスタ!$G$6:$G$405,$AP1658)),"時短開始日がマスタと相違／","")&amp;IF(AND($M1658&lt;&gt;"",INDEX(職員マスタ!$H$6:$H$405,$AP1658)&lt;&gt;"",$M1658&lt;&gt;INDEX(職員マスタ!$H$6:$H$405,$AP1658)),"時短終了日がマスタと相違／","")))&amp;IF(AND($B1658&lt;&gt;"",$E1658=""),"報酬額が未入力／","")&amp;IF(N($U1658)&gt;0,"申請書に入力エラーが残っています／","")&amp;IF(AND($B1658&lt;&gt;"",$AQ1658&lt;&gt;""),IF(COUNTIFS($B$6:$B$3005,$B1658,$C$6:$C$3005,$C1658,$D$6:$D$3005,$D1658)&gt;1,"同じ月の請求が重複しています／",""),"")&amp;IF(AND(N($E1658)&gt;0,$AB1658&lt;&gt;"",$AB1658&lt;&gt;"×",$AE1658=0,$AD1658=""),"計算額が下限以下のため不支給／",""))</f>
        <v/>
      </c>
      <c r="AN1658" s="12" t="n"/>
      <c r="AO1658" s="14">
        <f>IF($AF1658="保留中",COUNTIF($AF$6:$AF1658,"保留中"),"")</f>
        <v/>
      </c>
      <c r="AP1658" s="14">
        <f>IF($AQ1658="","",IF(SUMPRODUCT(MAX((職員マスタ!$A$6:$A$405=$B1658)*(((職員マスタ!$G$6:$G$405="")+(職員マスタ!$G$6:$G$405&lt;=EOMONTH($AQ1658,0)))&gt;0)*(((職員マスタ!$H$6:$H$405="")+(職員マスタ!$H$6:$H$405&gt;=$AQ1658))&gt;0)*(ROW(職員マスタ!$A$6:$A$405)-5)))&gt;0,SUMPRODUCT(MAX((職員マスタ!$A$6:$A$405=$B1658)*(((職員マスタ!$G$6:$G$405="")+(職員マスタ!$G$6:$G$405&lt;=EOMONTH($AQ1658,0)))&gt;0)*(((職員マスタ!$H$6:$H$405="")+(職員マスタ!$H$6:$H$405&gt;=$AQ1658))&gt;0)*(ROW(職員マスタ!$A$6:$A$405)-5))),IFERROR(MATCH($B1658,職員マスタ!$A$6:$A$405,0),"")))</f>
        <v/>
      </c>
      <c r="AQ1658" s="16">
        <f>IF(OR($B1658="",$C1658="",$D1658=""),"",DATE($C1658+2018,$D1658,1))</f>
        <v/>
      </c>
    </row>
    <row r="1659">
      <c r="A1659" s="11" t="n"/>
      <c r="B1659" s="12" t="n"/>
      <c r="C1659" s="12" t="n"/>
      <c r="D1659" s="12" t="n"/>
      <c r="E1659" s="13" t="n"/>
      <c r="F1659" s="12" t="n"/>
      <c r="G1659" s="13" t="n"/>
      <c r="H1659" s="12" t="n"/>
      <c r="I1659" s="12" t="n"/>
      <c r="J1659" s="12" t="n"/>
      <c r="K1659" s="12" t="n"/>
      <c r="L1659" s="11" t="n"/>
      <c r="M1659" s="11" t="n"/>
      <c r="N1659" s="11" t="n"/>
      <c r="O1659" s="11" t="n"/>
      <c r="P1659" s="12" t="n"/>
      <c r="Q1659" s="11" t="n"/>
      <c r="R1659" s="12" t="n"/>
      <c r="S1659" s="11" t="n"/>
      <c r="T1659" s="12" t="n"/>
      <c r="U1659" s="12" t="n"/>
      <c r="V1659" s="12" t="n"/>
      <c r="W1659" s="13" t="n"/>
      <c r="X1659" s="14">
        <f>IF($AP1659="",IF($B1659="","",$H1659),IF(INDEX(職員マスタ!$B$6:$B$405,$AP1659)="",$H1659,INDEX(職員マスタ!$B$6:$B$405,$AP1659)))</f>
        <v/>
      </c>
      <c r="Y1659" s="14">
        <f>IF($AP1659="",IF($B1659="","",$R1659),IF(INDEX(職員マスタ!$C$6:$C$405,$AP1659)="",$R1659,INDEX(職員マスタ!$C$6:$C$405,$AP1659)))</f>
        <v/>
      </c>
      <c r="Z1659" s="14">
        <f>IF($AQ1659="","","R"&amp;$C1659&amp;"."&amp;$D1659)</f>
        <v/>
      </c>
      <c r="AA1659" s="15">
        <f>IF(IF($AP1659="",FALSE,INDEX(職員マスタ!$K$6:$K$405,$AP1659)&lt;&gt;""),INDEX(職員マスタ!$K$6:$K$405,$AP1659),IF(N($W1659)&gt;0,$W1659,""))</f>
        <v/>
      </c>
      <c r="AB1659" s="14">
        <f>IF(OR($E1659="",$AA1659=""),"",IF($E1659&gt;=$AA1659,"×",IF($E1659&gt;=$AA1659*設定!$C$5,"△","○")))</f>
        <v/>
      </c>
      <c r="AC1659" s="15">
        <f>IF($AB1659="","",IF($AB1659="×",0,IF($AB1659="○",ROUNDDOWN($E1659*設定!$C$4,0),ROUNDDOWN($E1659*ROUND((9*$AA1659-9*$E1659)/(10*$E1659),4),0))))</f>
        <v/>
      </c>
      <c r="AD1659" s="13" t="n"/>
      <c r="AE1659" s="15">
        <f>IF($B1659="","",IF($AD1659&lt;&gt;"",$AD1659,IF($AC1659="","",IF($AC1659&lt;=設定!$C$3,0,$AC1659))))</f>
        <v/>
      </c>
      <c r="AF1659" s="14">
        <f>IF($B1659="","",IF(AND($AG1659&lt;&gt;"",$AI1659="",$AL1659=""),"保留中",IF($AL1659&lt;&gt;"",IF(N($AE1659)&gt;0,"支給済","不支給"),IF($AE1659="","要確認",IF($AE1659=0,"不支給","未処理")))))</f>
        <v/>
      </c>
      <c r="AG1659" s="12" t="n"/>
      <c r="AH1659" s="11" t="n"/>
      <c r="AI1659" s="11" t="n"/>
      <c r="AJ1659" s="11" t="n"/>
      <c r="AK1659" s="14">
        <f>IF(AND($AF1659="保留中",$AH1659&lt;&gt;""),TODAY()-$AH1659,"")</f>
        <v/>
      </c>
      <c r="AL1659" s="12" t="n"/>
      <c r="AM1659" s="14">
        <f>IF($B1659="","",IF($AQ1659="","対象年月が未入力／","")&amp;IF($B1659="","",IF($AP1659="","職員マスタに未登録の職員番号／",IF($AA1659="","標準報酬月額が未登録／","")&amp;IF(AND($AQ1659&lt;&gt;"",OR(AND(INDEX(職員マスタ!$G$6:$G$405,$AP1659)&lt;&gt;"",INDEX(職員マスタ!$G$6:$G$405,$AP1659)&gt;EOMONTH($AQ1659,0)),AND(INDEX(職員マスタ!$H$6:$H$405,$AP1659)&lt;&gt;"",INDEX(職員マスタ!$H$6:$H$405,$AP1659)&lt;$AQ1659))),"対象月が時短期間外／","")&amp;IF(AND(INDEX(職員マスタ!$K$6:$K$405,$AP1659)&lt;&gt;"",N($W1659)&gt;0,INDEX(職員マスタ!$K$6:$K$405,$AP1659)&lt;&gt;$W1659),"標準報酬月額が申請書と相違（台帳"&amp;TEXT(INDEX(職員マスタ!$K$6:$K$405,$AP1659),"#,##0")&amp;"円／申請書"&amp;TEXT($W1659,"#,##0")&amp;"円）／","")&amp;IF(AND(INDEX(職員マスタ!$F$6:$F$405,$AP1659)&lt;&gt;"",$AQ1659&lt;&gt;"",INDEX(職員マスタ!$F$6:$F$405,$AP1659)&lt;$AQ1659),"対象月に子が2歳到達済／","")&amp;IF(AND($H1659&lt;&gt;"",INDEX(職員マスタ!$B$6:$B$405,$AP1659)&lt;&gt;"",SUBSTITUTE(SUBSTITUTE($H1659," ","")," ","")&lt;&gt;SUBSTITUTE(SUBSTITUTE(INDEX(職員マスタ!$B$6:$B$405,$AP1659)," ","")," ","")),"氏名がマスタと相違／","")&amp;IF(AND($Q1659&lt;&gt;"",INDEX(職員マスタ!$E$6:$E$405,$AP1659)&lt;&gt;"",$Q1659&lt;&gt;INDEX(職員マスタ!$E$6:$E$405,$AP1659)),"子の生年月日がマスタと相違／","")&amp;IF(AND($L1659&lt;&gt;"",INDEX(職員マスタ!$G$6:$G$405,$AP1659)&lt;&gt;"",$L1659&lt;&gt;INDEX(職員マスタ!$G$6:$G$405,$AP1659)),"時短開始日がマスタと相違／","")&amp;IF(AND($M1659&lt;&gt;"",INDEX(職員マスタ!$H$6:$H$405,$AP1659)&lt;&gt;"",$M1659&lt;&gt;INDEX(職員マスタ!$H$6:$H$405,$AP1659)),"時短終了日がマスタと相違／","")))&amp;IF(AND($B1659&lt;&gt;"",$E1659=""),"報酬額が未入力／","")&amp;IF(N($U1659)&gt;0,"申請書に入力エラーが残っています／","")&amp;IF(AND($B1659&lt;&gt;"",$AQ1659&lt;&gt;""),IF(COUNTIFS($B$6:$B$3005,$B1659,$C$6:$C$3005,$C1659,$D$6:$D$3005,$D1659)&gt;1,"同じ月の請求が重複しています／",""),"")&amp;IF(AND(N($E1659)&gt;0,$AB1659&lt;&gt;"",$AB1659&lt;&gt;"×",$AE1659=0,$AD1659=""),"計算額が下限以下のため不支給／",""))</f>
        <v/>
      </c>
      <c r="AN1659" s="12" t="n"/>
      <c r="AO1659" s="14">
        <f>IF($AF1659="保留中",COUNTIF($AF$6:$AF1659,"保留中"),"")</f>
        <v/>
      </c>
      <c r="AP1659" s="14">
        <f>IF($AQ1659="","",IF(SUMPRODUCT(MAX((職員マスタ!$A$6:$A$405=$B1659)*(((職員マスタ!$G$6:$G$405="")+(職員マスタ!$G$6:$G$405&lt;=EOMONTH($AQ1659,0)))&gt;0)*(((職員マスタ!$H$6:$H$405="")+(職員マスタ!$H$6:$H$405&gt;=$AQ1659))&gt;0)*(ROW(職員マスタ!$A$6:$A$405)-5)))&gt;0,SUMPRODUCT(MAX((職員マスタ!$A$6:$A$405=$B1659)*(((職員マスタ!$G$6:$G$405="")+(職員マスタ!$G$6:$G$405&lt;=EOMONTH($AQ1659,0)))&gt;0)*(((職員マスタ!$H$6:$H$405="")+(職員マスタ!$H$6:$H$405&gt;=$AQ1659))&gt;0)*(ROW(職員マスタ!$A$6:$A$405)-5))),IFERROR(MATCH($B1659,職員マスタ!$A$6:$A$405,0),"")))</f>
        <v/>
      </c>
      <c r="AQ1659" s="16">
        <f>IF(OR($B1659="",$C1659="",$D1659=""),"",DATE($C1659+2018,$D1659,1))</f>
        <v/>
      </c>
    </row>
    <row r="1660">
      <c r="A1660" s="11" t="n"/>
      <c r="B1660" s="12" t="n"/>
      <c r="C1660" s="12" t="n"/>
      <c r="D1660" s="12" t="n"/>
      <c r="E1660" s="13" t="n"/>
      <c r="F1660" s="12" t="n"/>
      <c r="G1660" s="13" t="n"/>
      <c r="H1660" s="12" t="n"/>
      <c r="I1660" s="12" t="n"/>
      <c r="J1660" s="12" t="n"/>
      <c r="K1660" s="12" t="n"/>
      <c r="L1660" s="11" t="n"/>
      <c r="M1660" s="11" t="n"/>
      <c r="N1660" s="11" t="n"/>
      <c r="O1660" s="11" t="n"/>
      <c r="P1660" s="12" t="n"/>
      <c r="Q1660" s="11" t="n"/>
      <c r="R1660" s="12" t="n"/>
      <c r="S1660" s="11" t="n"/>
      <c r="T1660" s="12" t="n"/>
      <c r="U1660" s="12" t="n"/>
      <c r="V1660" s="12" t="n"/>
      <c r="W1660" s="13" t="n"/>
      <c r="X1660" s="14">
        <f>IF($AP1660="",IF($B1660="","",$H1660),IF(INDEX(職員マスタ!$B$6:$B$405,$AP1660)="",$H1660,INDEX(職員マスタ!$B$6:$B$405,$AP1660)))</f>
        <v/>
      </c>
      <c r="Y1660" s="14">
        <f>IF($AP1660="",IF($B1660="","",$R1660),IF(INDEX(職員マスタ!$C$6:$C$405,$AP1660)="",$R1660,INDEX(職員マスタ!$C$6:$C$405,$AP1660)))</f>
        <v/>
      </c>
      <c r="Z1660" s="14">
        <f>IF($AQ1660="","","R"&amp;$C1660&amp;"."&amp;$D1660)</f>
        <v/>
      </c>
      <c r="AA1660" s="15">
        <f>IF(IF($AP1660="",FALSE,INDEX(職員マスタ!$K$6:$K$405,$AP1660)&lt;&gt;""),INDEX(職員マスタ!$K$6:$K$405,$AP1660),IF(N($W1660)&gt;0,$W1660,""))</f>
        <v/>
      </c>
      <c r="AB1660" s="14">
        <f>IF(OR($E1660="",$AA1660=""),"",IF($E1660&gt;=$AA1660,"×",IF($E1660&gt;=$AA1660*設定!$C$5,"△","○")))</f>
        <v/>
      </c>
      <c r="AC1660" s="15">
        <f>IF($AB1660="","",IF($AB1660="×",0,IF($AB1660="○",ROUNDDOWN($E1660*設定!$C$4,0),ROUNDDOWN($E1660*ROUND((9*$AA1660-9*$E1660)/(10*$E1660),4),0))))</f>
        <v/>
      </c>
      <c r="AD1660" s="13" t="n"/>
      <c r="AE1660" s="15">
        <f>IF($B1660="","",IF($AD1660&lt;&gt;"",$AD1660,IF($AC1660="","",IF($AC1660&lt;=設定!$C$3,0,$AC1660))))</f>
        <v/>
      </c>
      <c r="AF1660" s="14">
        <f>IF($B1660="","",IF(AND($AG1660&lt;&gt;"",$AI1660="",$AL1660=""),"保留中",IF($AL1660&lt;&gt;"",IF(N($AE1660)&gt;0,"支給済","不支給"),IF($AE1660="","要確認",IF($AE1660=0,"不支給","未処理")))))</f>
        <v/>
      </c>
      <c r="AG1660" s="12" t="n"/>
      <c r="AH1660" s="11" t="n"/>
      <c r="AI1660" s="11" t="n"/>
      <c r="AJ1660" s="11" t="n"/>
      <c r="AK1660" s="14">
        <f>IF(AND($AF1660="保留中",$AH1660&lt;&gt;""),TODAY()-$AH1660,"")</f>
        <v/>
      </c>
      <c r="AL1660" s="12" t="n"/>
      <c r="AM1660" s="14">
        <f>IF($B1660="","",IF($AQ1660="","対象年月が未入力／","")&amp;IF($B1660="","",IF($AP1660="","職員マスタに未登録の職員番号／",IF($AA1660="","標準報酬月額が未登録／","")&amp;IF(AND($AQ1660&lt;&gt;"",OR(AND(INDEX(職員マスタ!$G$6:$G$405,$AP1660)&lt;&gt;"",INDEX(職員マスタ!$G$6:$G$405,$AP1660)&gt;EOMONTH($AQ1660,0)),AND(INDEX(職員マスタ!$H$6:$H$405,$AP1660)&lt;&gt;"",INDEX(職員マスタ!$H$6:$H$405,$AP1660)&lt;$AQ1660))),"対象月が時短期間外／","")&amp;IF(AND(INDEX(職員マスタ!$K$6:$K$405,$AP1660)&lt;&gt;"",N($W1660)&gt;0,INDEX(職員マスタ!$K$6:$K$405,$AP1660)&lt;&gt;$W1660),"標準報酬月額が申請書と相違（台帳"&amp;TEXT(INDEX(職員マスタ!$K$6:$K$405,$AP1660),"#,##0")&amp;"円／申請書"&amp;TEXT($W1660,"#,##0")&amp;"円）／","")&amp;IF(AND(INDEX(職員マスタ!$F$6:$F$405,$AP1660)&lt;&gt;"",$AQ1660&lt;&gt;"",INDEX(職員マスタ!$F$6:$F$405,$AP1660)&lt;$AQ1660),"対象月に子が2歳到達済／","")&amp;IF(AND($H1660&lt;&gt;"",INDEX(職員マスタ!$B$6:$B$405,$AP1660)&lt;&gt;"",SUBSTITUTE(SUBSTITUTE($H1660," ","")," ","")&lt;&gt;SUBSTITUTE(SUBSTITUTE(INDEX(職員マスタ!$B$6:$B$405,$AP1660)," ","")," ","")),"氏名がマスタと相違／","")&amp;IF(AND($Q1660&lt;&gt;"",INDEX(職員マスタ!$E$6:$E$405,$AP1660)&lt;&gt;"",$Q1660&lt;&gt;INDEX(職員マスタ!$E$6:$E$405,$AP1660)),"子の生年月日がマスタと相違／","")&amp;IF(AND($L1660&lt;&gt;"",INDEX(職員マスタ!$G$6:$G$405,$AP1660)&lt;&gt;"",$L1660&lt;&gt;INDEX(職員マスタ!$G$6:$G$405,$AP1660)),"時短開始日がマスタと相違／","")&amp;IF(AND($M1660&lt;&gt;"",INDEX(職員マスタ!$H$6:$H$405,$AP1660)&lt;&gt;"",$M1660&lt;&gt;INDEX(職員マスタ!$H$6:$H$405,$AP1660)),"時短終了日がマスタと相違／","")))&amp;IF(AND($B1660&lt;&gt;"",$E1660=""),"報酬額が未入力／","")&amp;IF(N($U1660)&gt;0,"申請書に入力エラーが残っています／","")&amp;IF(AND($B1660&lt;&gt;"",$AQ1660&lt;&gt;""),IF(COUNTIFS($B$6:$B$3005,$B1660,$C$6:$C$3005,$C1660,$D$6:$D$3005,$D1660)&gt;1,"同じ月の請求が重複しています／",""),"")&amp;IF(AND(N($E1660)&gt;0,$AB1660&lt;&gt;"",$AB1660&lt;&gt;"×",$AE1660=0,$AD1660=""),"計算額が下限以下のため不支給／",""))</f>
        <v/>
      </c>
      <c r="AN1660" s="12" t="n"/>
      <c r="AO1660" s="14">
        <f>IF($AF1660="保留中",COUNTIF($AF$6:$AF1660,"保留中"),"")</f>
        <v/>
      </c>
      <c r="AP1660" s="14">
        <f>IF($AQ1660="","",IF(SUMPRODUCT(MAX((職員マスタ!$A$6:$A$405=$B1660)*(((職員マスタ!$G$6:$G$405="")+(職員マスタ!$G$6:$G$405&lt;=EOMONTH($AQ1660,0)))&gt;0)*(((職員マスタ!$H$6:$H$405="")+(職員マスタ!$H$6:$H$405&gt;=$AQ1660))&gt;0)*(ROW(職員マスタ!$A$6:$A$405)-5)))&gt;0,SUMPRODUCT(MAX((職員マスタ!$A$6:$A$405=$B1660)*(((職員マスタ!$G$6:$G$405="")+(職員マスタ!$G$6:$G$405&lt;=EOMONTH($AQ1660,0)))&gt;0)*(((職員マスタ!$H$6:$H$405="")+(職員マスタ!$H$6:$H$405&gt;=$AQ1660))&gt;0)*(ROW(職員マスタ!$A$6:$A$405)-5))),IFERROR(MATCH($B1660,職員マスタ!$A$6:$A$405,0),"")))</f>
        <v/>
      </c>
      <c r="AQ1660" s="16">
        <f>IF(OR($B1660="",$C1660="",$D1660=""),"",DATE($C1660+2018,$D1660,1))</f>
        <v/>
      </c>
    </row>
    <row r="1661">
      <c r="A1661" s="11" t="n"/>
      <c r="B1661" s="12" t="n"/>
      <c r="C1661" s="12" t="n"/>
      <c r="D1661" s="12" t="n"/>
      <c r="E1661" s="13" t="n"/>
      <c r="F1661" s="12" t="n"/>
      <c r="G1661" s="13" t="n"/>
      <c r="H1661" s="12" t="n"/>
      <c r="I1661" s="12" t="n"/>
      <c r="J1661" s="12" t="n"/>
      <c r="K1661" s="12" t="n"/>
      <c r="L1661" s="11" t="n"/>
      <c r="M1661" s="11" t="n"/>
      <c r="N1661" s="11" t="n"/>
      <c r="O1661" s="11" t="n"/>
      <c r="P1661" s="12" t="n"/>
      <c r="Q1661" s="11" t="n"/>
      <c r="R1661" s="12" t="n"/>
      <c r="S1661" s="11" t="n"/>
      <c r="T1661" s="12" t="n"/>
      <c r="U1661" s="12" t="n"/>
      <c r="V1661" s="12" t="n"/>
      <c r="W1661" s="13" t="n"/>
      <c r="X1661" s="14">
        <f>IF($AP1661="",IF($B1661="","",$H1661),IF(INDEX(職員マスタ!$B$6:$B$405,$AP1661)="",$H1661,INDEX(職員マスタ!$B$6:$B$405,$AP1661)))</f>
        <v/>
      </c>
      <c r="Y1661" s="14">
        <f>IF($AP1661="",IF($B1661="","",$R1661),IF(INDEX(職員マスタ!$C$6:$C$405,$AP1661)="",$R1661,INDEX(職員マスタ!$C$6:$C$405,$AP1661)))</f>
        <v/>
      </c>
      <c r="Z1661" s="14">
        <f>IF($AQ1661="","","R"&amp;$C1661&amp;"."&amp;$D1661)</f>
        <v/>
      </c>
      <c r="AA1661" s="15">
        <f>IF(IF($AP1661="",FALSE,INDEX(職員マスタ!$K$6:$K$405,$AP1661)&lt;&gt;""),INDEX(職員マスタ!$K$6:$K$405,$AP1661),IF(N($W1661)&gt;0,$W1661,""))</f>
        <v/>
      </c>
      <c r="AB1661" s="14">
        <f>IF(OR($E1661="",$AA1661=""),"",IF($E1661&gt;=$AA1661,"×",IF($E1661&gt;=$AA1661*設定!$C$5,"△","○")))</f>
        <v/>
      </c>
      <c r="AC1661" s="15">
        <f>IF($AB1661="","",IF($AB1661="×",0,IF($AB1661="○",ROUNDDOWN($E1661*設定!$C$4,0),ROUNDDOWN($E1661*ROUND((9*$AA1661-9*$E1661)/(10*$E1661),4),0))))</f>
        <v/>
      </c>
      <c r="AD1661" s="13" t="n"/>
      <c r="AE1661" s="15">
        <f>IF($B1661="","",IF($AD1661&lt;&gt;"",$AD1661,IF($AC1661="","",IF($AC1661&lt;=設定!$C$3,0,$AC1661))))</f>
        <v/>
      </c>
      <c r="AF1661" s="14">
        <f>IF($B1661="","",IF(AND($AG1661&lt;&gt;"",$AI1661="",$AL1661=""),"保留中",IF($AL1661&lt;&gt;"",IF(N($AE1661)&gt;0,"支給済","不支給"),IF($AE1661="","要確認",IF($AE1661=0,"不支給","未処理")))))</f>
        <v/>
      </c>
      <c r="AG1661" s="12" t="n"/>
      <c r="AH1661" s="11" t="n"/>
      <c r="AI1661" s="11" t="n"/>
      <c r="AJ1661" s="11" t="n"/>
      <c r="AK1661" s="14">
        <f>IF(AND($AF1661="保留中",$AH1661&lt;&gt;""),TODAY()-$AH1661,"")</f>
        <v/>
      </c>
      <c r="AL1661" s="12" t="n"/>
      <c r="AM1661" s="14">
        <f>IF($B1661="","",IF($AQ1661="","対象年月が未入力／","")&amp;IF($B1661="","",IF($AP1661="","職員マスタに未登録の職員番号／",IF($AA1661="","標準報酬月額が未登録／","")&amp;IF(AND($AQ1661&lt;&gt;"",OR(AND(INDEX(職員マスタ!$G$6:$G$405,$AP1661)&lt;&gt;"",INDEX(職員マスタ!$G$6:$G$405,$AP1661)&gt;EOMONTH($AQ1661,0)),AND(INDEX(職員マスタ!$H$6:$H$405,$AP1661)&lt;&gt;"",INDEX(職員マスタ!$H$6:$H$405,$AP1661)&lt;$AQ1661))),"対象月が時短期間外／","")&amp;IF(AND(INDEX(職員マスタ!$K$6:$K$405,$AP1661)&lt;&gt;"",N($W1661)&gt;0,INDEX(職員マスタ!$K$6:$K$405,$AP1661)&lt;&gt;$W1661),"標準報酬月額が申請書と相違（台帳"&amp;TEXT(INDEX(職員マスタ!$K$6:$K$405,$AP1661),"#,##0")&amp;"円／申請書"&amp;TEXT($W1661,"#,##0")&amp;"円）／","")&amp;IF(AND(INDEX(職員マスタ!$F$6:$F$405,$AP1661)&lt;&gt;"",$AQ1661&lt;&gt;"",INDEX(職員マスタ!$F$6:$F$405,$AP1661)&lt;$AQ1661),"対象月に子が2歳到達済／","")&amp;IF(AND($H1661&lt;&gt;"",INDEX(職員マスタ!$B$6:$B$405,$AP1661)&lt;&gt;"",SUBSTITUTE(SUBSTITUTE($H1661," ","")," ","")&lt;&gt;SUBSTITUTE(SUBSTITUTE(INDEX(職員マスタ!$B$6:$B$405,$AP1661)," ","")," ","")),"氏名がマスタと相違／","")&amp;IF(AND($Q1661&lt;&gt;"",INDEX(職員マスタ!$E$6:$E$405,$AP1661)&lt;&gt;"",$Q1661&lt;&gt;INDEX(職員マスタ!$E$6:$E$405,$AP1661)),"子の生年月日がマスタと相違／","")&amp;IF(AND($L1661&lt;&gt;"",INDEX(職員マスタ!$G$6:$G$405,$AP1661)&lt;&gt;"",$L1661&lt;&gt;INDEX(職員マスタ!$G$6:$G$405,$AP1661)),"時短開始日がマスタと相違／","")&amp;IF(AND($M1661&lt;&gt;"",INDEX(職員マスタ!$H$6:$H$405,$AP1661)&lt;&gt;"",$M1661&lt;&gt;INDEX(職員マスタ!$H$6:$H$405,$AP1661)),"時短終了日がマスタと相違／","")))&amp;IF(AND($B1661&lt;&gt;"",$E1661=""),"報酬額が未入力／","")&amp;IF(N($U1661)&gt;0,"申請書に入力エラーが残っています／","")&amp;IF(AND($B1661&lt;&gt;"",$AQ1661&lt;&gt;""),IF(COUNTIFS($B$6:$B$3005,$B1661,$C$6:$C$3005,$C1661,$D$6:$D$3005,$D1661)&gt;1,"同じ月の請求が重複しています／",""),"")&amp;IF(AND(N($E1661)&gt;0,$AB1661&lt;&gt;"",$AB1661&lt;&gt;"×",$AE1661=0,$AD1661=""),"計算額が下限以下のため不支給／",""))</f>
        <v/>
      </c>
      <c r="AN1661" s="12" t="n"/>
      <c r="AO1661" s="14">
        <f>IF($AF1661="保留中",COUNTIF($AF$6:$AF1661,"保留中"),"")</f>
        <v/>
      </c>
      <c r="AP1661" s="14">
        <f>IF($AQ1661="","",IF(SUMPRODUCT(MAX((職員マスタ!$A$6:$A$405=$B1661)*(((職員マスタ!$G$6:$G$405="")+(職員マスタ!$G$6:$G$405&lt;=EOMONTH($AQ1661,0)))&gt;0)*(((職員マスタ!$H$6:$H$405="")+(職員マスタ!$H$6:$H$405&gt;=$AQ1661))&gt;0)*(ROW(職員マスタ!$A$6:$A$405)-5)))&gt;0,SUMPRODUCT(MAX((職員マスタ!$A$6:$A$405=$B1661)*(((職員マスタ!$G$6:$G$405="")+(職員マスタ!$G$6:$G$405&lt;=EOMONTH($AQ1661,0)))&gt;0)*(((職員マスタ!$H$6:$H$405="")+(職員マスタ!$H$6:$H$405&gt;=$AQ1661))&gt;0)*(ROW(職員マスタ!$A$6:$A$405)-5))),IFERROR(MATCH($B1661,職員マスタ!$A$6:$A$405,0),"")))</f>
        <v/>
      </c>
      <c r="AQ1661" s="16">
        <f>IF(OR($B1661="",$C1661="",$D1661=""),"",DATE($C1661+2018,$D1661,1))</f>
        <v/>
      </c>
    </row>
    <row r="1662">
      <c r="A1662" s="11" t="n"/>
      <c r="B1662" s="12" t="n"/>
      <c r="C1662" s="12" t="n"/>
      <c r="D1662" s="12" t="n"/>
      <c r="E1662" s="13" t="n"/>
      <c r="F1662" s="12" t="n"/>
      <c r="G1662" s="13" t="n"/>
      <c r="H1662" s="12" t="n"/>
      <c r="I1662" s="12" t="n"/>
      <c r="J1662" s="12" t="n"/>
      <c r="K1662" s="12" t="n"/>
      <c r="L1662" s="11" t="n"/>
      <c r="M1662" s="11" t="n"/>
      <c r="N1662" s="11" t="n"/>
      <c r="O1662" s="11" t="n"/>
      <c r="P1662" s="12" t="n"/>
      <c r="Q1662" s="11" t="n"/>
      <c r="R1662" s="12" t="n"/>
      <c r="S1662" s="11" t="n"/>
      <c r="T1662" s="12" t="n"/>
      <c r="U1662" s="12" t="n"/>
      <c r="V1662" s="12" t="n"/>
      <c r="W1662" s="13" t="n"/>
      <c r="X1662" s="14">
        <f>IF($AP1662="",IF($B1662="","",$H1662),IF(INDEX(職員マスタ!$B$6:$B$405,$AP1662)="",$H1662,INDEX(職員マスタ!$B$6:$B$405,$AP1662)))</f>
        <v/>
      </c>
      <c r="Y1662" s="14">
        <f>IF($AP1662="",IF($B1662="","",$R1662),IF(INDEX(職員マスタ!$C$6:$C$405,$AP1662)="",$R1662,INDEX(職員マスタ!$C$6:$C$405,$AP1662)))</f>
        <v/>
      </c>
      <c r="Z1662" s="14">
        <f>IF($AQ1662="","","R"&amp;$C1662&amp;"."&amp;$D1662)</f>
        <v/>
      </c>
      <c r="AA1662" s="15">
        <f>IF(IF($AP1662="",FALSE,INDEX(職員マスタ!$K$6:$K$405,$AP1662)&lt;&gt;""),INDEX(職員マスタ!$K$6:$K$405,$AP1662),IF(N($W1662)&gt;0,$W1662,""))</f>
        <v/>
      </c>
      <c r="AB1662" s="14">
        <f>IF(OR($E1662="",$AA1662=""),"",IF($E1662&gt;=$AA1662,"×",IF($E1662&gt;=$AA1662*設定!$C$5,"△","○")))</f>
        <v/>
      </c>
      <c r="AC1662" s="15">
        <f>IF($AB1662="","",IF($AB1662="×",0,IF($AB1662="○",ROUNDDOWN($E1662*設定!$C$4,0),ROUNDDOWN($E1662*ROUND((9*$AA1662-9*$E1662)/(10*$E1662),4),0))))</f>
        <v/>
      </c>
      <c r="AD1662" s="13" t="n"/>
      <c r="AE1662" s="15">
        <f>IF($B1662="","",IF($AD1662&lt;&gt;"",$AD1662,IF($AC1662="","",IF($AC1662&lt;=設定!$C$3,0,$AC1662))))</f>
        <v/>
      </c>
      <c r="AF1662" s="14">
        <f>IF($B1662="","",IF(AND($AG1662&lt;&gt;"",$AI1662="",$AL1662=""),"保留中",IF($AL1662&lt;&gt;"",IF(N($AE1662)&gt;0,"支給済","不支給"),IF($AE1662="","要確認",IF($AE1662=0,"不支給","未処理")))))</f>
        <v/>
      </c>
      <c r="AG1662" s="12" t="n"/>
      <c r="AH1662" s="11" t="n"/>
      <c r="AI1662" s="11" t="n"/>
      <c r="AJ1662" s="11" t="n"/>
      <c r="AK1662" s="14">
        <f>IF(AND($AF1662="保留中",$AH1662&lt;&gt;""),TODAY()-$AH1662,"")</f>
        <v/>
      </c>
      <c r="AL1662" s="12" t="n"/>
      <c r="AM1662" s="14">
        <f>IF($B1662="","",IF($AQ1662="","対象年月が未入力／","")&amp;IF($B1662="","",IF($AP1662="","職員マスタに未登録の職員番号／",IF($AA1662="","標準報酬月額が未登録／","")&amp;IF(AND($AQ1662&lt;&gt;"",OR(AND(INDEX(職員マスタ!$G$6:$G$405,$AP1662)&lt;&gt;"",INDEX(職員マスタ!$G$6:$G$405,$AP1662)&gt;EOMONTH($AQ1662,0)),AND(INDEX(職員マスタ!$H$6:$H$405,$AP1662)&lt;&gt;"",INDEX(職員マスタ!$H$6:$H$405,$AP1662)&lt;$AQ1662))),"対象月が時短期間外／","")&amp;IF(AND(INDEX(職員マスタ!$K$6:$K$405,$AP1662)&lt;&gt;"",N($W1662)&gt;0,INDEX(職員マスタ!$K$6:$K$405,$AP1662)&lt;&gt;$W1662),"標準報酬月額が申請書と相違（台帳"&amp;TEXT(INDEX(職員マスタ!$K$6:$K$405,$AP1662),"#,##0")&amp;"円／申請書"&amp;TEXT($W1662,"#,##0")&amp;"円）／","")&amp;IF(AND(INDEX(職員マスタ!$F$6:$F$405,$AP1662)&lt;&gt;"",$AQ1662&lt;&gt;"",INDEX(職員マスタ!$F$6:$F$405,$AP1662)&lt;$AQ1662),"対象月に子が2歳到達済／","")&amp;IF(AND($H1662&lt;&gt;"",INDEX(職員マスタ!$B$6:$B$405,$AP1662)&lt;&gt;"",SUBSTITUTE(SUBSTITUTE($H1662," ","")," ","")&lt;&gt;SUBSTITUTE(SUBSTITUTE(INDEX(職員マスタ!$B$6:$B$405,$AP1662)," ","")," ","")),"氏名がマスタと相違／","")&amp;IF(AND($Q1662&lt;&gt;"",INDEX(職員マスタ!$E$6:$E$405,$AP1662)&lt;&gt;"",$Q1662&lt;&gt;INDEX(職員マスタ!$E$6:$E$405,$AP1662)),"子の生年月日がマスタと相違／","")&amp;IF(AND($L1662&lt;&gt;"",INDEX(職員マスタ!$G$6:$G$405,$AP1662)&lt;&gt;"",$L1662&lt;&gt;INDEX(職員マスタ!$G$6:$G$405,$AP1662)),"時短開始日がマスタと相違／","")&amp;IF(AND($M1662&lt;&gt;"",INDEX(職員マスタ!$H$6:$H$405,$AP1662)&lt;&gt;"",$M1662&lt;&gt;INDEX(職員マスタ!$H$6:$H$405,$AP1662)),"時短終了日がマスタと相違／","")))&amp;IF(AND($B1662&lt;&gt;"",$E1662=""),"報酬額が未入力／","")&amp;IF(N($U1662)&gt;0,"申請書に入力エラーが残っています／","")&amp;IF(AND($B1662&lt;&gt;"",$AQ1662&lt;&gt;""),IF(COUNTIFS($B$6:$B$3005,$B1662,$C$6:$C$3005,$C1662,$D$6:$D$3005,$D1662)&gt;1,"同じ月の請求が重複しています／",""),"")&amp;IF(AND(N($E1662)&gt;0,$AB1662&lt;&gt;"",$AB1662&lt;&gt;"×",$AE1662=0,$AD1662=""),"計算額が下限以下のため不支給／",""))</f>
        <v/>
      </c>
      <c r="AN1662" s="12" t="n"/>
      <c r="AO1662" s="14">
        <f>IF($AF1662="保留中",COUNTIF($AF$6:$AF1662,"保留中"),"")</f>
        <v/>
      </c>
      <c r="AP1662" s="14">
        <f>IF($AQ1662="","",IF(SUMPRODUCT(MAX((職員マスタ!$A$6:$A$405=$B1662)*(((職員マスタ!$G$6:$G$405="")+(職員マスタ!$G$6:$G$405&lt;=EOMONTH($AQ1662,0)))&gt;0)*(((職員マスタ!$H$6:$H$405="")+(職員マスタ!$H$6:$H$405&gt;=$AQ1662))&gt;0)*(ROW(職員マスタ!$A$6:$A$405)-5)))&gt;0,SUMPRODUCT(MAX((職員マスタ!$A$6:$A$405=$B1662)*(((職員マスタ!$G$6:$G$405="")+(職員マスタ!$G$6:$G$405&lt;=EOMONTH($AQ1662,0)))&gt;0)*(((職員マスタ!$H$6:$H$405="")+(職員マスタ!$H$6:$H$405&gt;=$AQ1662))&gt;0)*(ROW(職員マスタ!$A$6:$A$405)-5))),IFERROR(MATCH($B1662,職員マスタ!$A$6:$A$405,0),"")))</f>
        <v/>
      </c>
      <c r="AQ1662" s="16">
        <f>IF(OR($B1662="",$C1662="",$D1662=""),"",DATE($C1662+2018,$D1662,1))</f>
        <v/>
      </c>
    </row>
    <row r="1663">
      <c r="A1663" s="11" t="n"/>
      <c r="B1663" s="12" t="n"/>
      <c r="C1663" s="12" t="n"/>
      <c r="D1663" s="12" t="n"/>
      <c r="E1663" s="13" t="n"/>
      <c r="F1663" s="12" t="n"/>
      <c r="G1663" s="13" t="n"/>
      <c r="H1663" s="12" t="n"/>
      <c r="I1663" s="12" t="n"/>
      <c r="J1663" s="12" t="n"/>
      <c r="K1663" s="12" t="n"/>
      <c r="L1663" s="11" t="n"/>
      <c r="M1663" s="11" t="n"/>
      <c r="N1663" s="11" t="n"/>
      <c r="O1663" s="11" t="n"/>
      <c r="P1663" s="12" t="n"/>
      <c r="Q1663" s="11" t="n"/>
      <c r="R1663" s="12" t="n"/>
      <c r="S1663" s="11" t="n"/>
      <c r="T1663" s="12" t="n"/>
      <c r="U1663" s="12" t="n"/>
      <c r="V1663" s="12" t="n"/>
      <c r="W1663" s="13" t="n"/>
      <c r="X1663" s="14">
        <f>IF($AP1663="",IF($B1663="","",$H1663),IF(INDEX(職員マスタ!$B$6:$B$405,$AP1663)="",$H1663,INDEX(職員マスタ!$B$6:$B$405,$AP1663)))</f>
        <v/>
      </c>
      <c r="Y1663" s="14">
        <f>IF($AP1663="",IF($B1663="","",$R1663),IF(INDEX(職員マスタ!$C$6:$C$405,$AP1663)="",$R1663,INDEX(職員マスタ!$C$6:$C$405,$AP1663)))</f>
        <v/>
      </c>
      <c r="Z1663" s="14">
        <f>IF($AQ1663="","","R"&amp;$C1663&amp;"."&amp;$D1663)</f>
        <v/>
      </c>
      <c r="AA1663" s="15">
        <f>IF(IF($AP1663="",FALSE,INDEX(職員マスタ!$K$6:$K$405,$AP1663)&lt;&gt;""),INDEX(職員マスタ!$K$6:$K$405,$AP1663),IF(N($W1663)&gt;0,$W1663,""))</f>
        <v/>
      </c>
      <c r="AB1663" s="14">
        <f>IF(OR($E1663="",$AA1663=""),"",IF($E1663&gt;=$AA1663,"×",IF($E1663&gt;=$AA1663*設定!$C$5,"△","○")))</f>
        <v/>
      </c>
      <c r="AC1663" s="15">
        <f>IF($AB1663="","",IF($AB1663="×",0,IF($AB1663="○",ROUNDDOWN($E1663*設定!$C$4,0),ROUNDDOWN($E1663*ROUND((9*$AA1663-9*$E1663)/(10*$E1663),4),0))))</f>
        <v/>
      </c>
      <c r="AD1663" s="13" t="n"/>
      <c r="AE1663" s="15">
        <f>IF($B1663="","",IF($AD1663&lt;&gt;"",$AD1663,IF($AC1663="","",IF($AC1663&lt;=設定!$C$3,0,$AC1663))))</f>
        <v/>
      </c>
      <c r="AF1663" s="14">
        <f>IF($B1663="","",IF(AND($AG1663&lt;&gt;"",$AI1663="",$AL1663=""),"保留中",IF($AL1663&lt;&gt;"",IF(N($AE1663)&gt;0,"支給済","不支給"),IF($AE1663="","要確認",IF($AE1663=0,"不支給","未処理")))))</f>
        <v/>
      </c>
      <c r="AG1663" s="12" t="n"/>
      <c r="AH1663" s="11" t="n"/>
      <c r="AI1663" s="11" t="n"/>
      <c r="AJ1663" s="11" t="n"/>
      <c r="AK1663" s="14">
        <f>IF(AND($AF1663="保留中",$AH1663&lt;&gt;""),TODAY()-$AH1663,"")</f>
        <v/>
      </c>
      <c r="AL1663" s="12" t="n"/>
      <c r="AM1663" s="14">
        <f>IF($B1663="","",IF($AQ1663="","対象年月が未入力／","")&amp;IF($B1663="","",IF($AP1663="","職員マスタに未登録の職員番号／",IF($AA1663="","標準報酬月額が未登録／","")&amp;IF(AND($AQ1663&lt;&gt;"",OR(AND(INDEX(職員マスタ!$G$6:$G$405,$AP1663)&lt;&gt;"",INDEX(職員マスタ!$G$6:$G$405,$AP1663)&gt;EOMONTH($AQ1663,0)),AND(INDEX(職員マスタ!$H$6:$H$405,$AP1663)&lt;&gt;"",INDEX(職員マスタ!$H$6:$H$405,$AP1663)&lt;$AQ1663))),"対象月が時短期間外／","")&amp;IF(AND(INDEX(職員マスタ!$K$6:$K$405,$AP1663)&lt;&gt;"",N($W1663)&gt;0,INDEX(職員マスタ!$K$6:$K$405,$AP1663)&lt;&gt;$W1663),"標準報酬月額が申請書と相違（台帳"&amp;TEXT(INDEX(職員マスタ!$K$6:$K$405,$AP1663),"#,##0")&amp;"円／申請書"&amp;TEXT($W1663,"#,##0")&amp;"円）／","")&amp;IF(AND(INDEX(職員マスタ!$F$6:$F$405,$AP1663)&lt;&gt;"",$AQ1663&lt;&gt;"",INDEX(職員マスタ!$F$6:$F$405,$AP1663)&lt;$AQ1663),"対象月に子が2歳到達済／","")&amp;IF(AND($H1663&lt;&gt;"",INDEX(職員マスタ!$B$6:$B$405,$AP1663)&lt;&gt;"",SUBSTITUTE(SUBSTITUTE($H1663," ","")," ","")&lt;&gt;SUBSTITUTE(SUBSTITUTE(INDEX(職員マスタ!$B$6:$B$405,$AP1663)," ","")," ","")),"氏名がマスタと相違／","")&amp;IF(AND($Q1663&lt;&gt;"",INDEX(職員マスタ!$E$6:$E$405,$AP1663)&lt;&gt;"",$Q1663&lt;&gt;INDEX(職員マスタ!$E$6:$E$405,$AP1663)),"子の生年月日がマスタと相違／","")&amp;IF(AND($L1663&lt;&gt;"",INDEX(職員マスタ!$G$6:$G$405,$AP1663)&lt;&gt;"",$L1663&lt;&gt;INDEX(職員マスタ!$G$6:$G$405,$AP1663)),"時短開始日がマスタと相違／","")&amp;IF(AND($M1663&lt;&gt;"",INDEX(職員マスタ!$H$6:$H$405,$AP1663)&lt;&gt;"",$M1663&lt;&gt;INDEX(職員マスタ!$H$6:$H$405,$AP1663)),"時短終了日がマスタと相違／","")))&amp;IF(AND($B1663&lt;&gt;"",$E1663=""),"報酬額が未入力／","")&amp;IF(N($U1663)&gt;0,"申請書に入力エラーが残っています／","")&amp;IF(AND($B1663&lt;&gt;"",$AQ1663&lt;&gt;""),IF(COUNTIFS($B$6:$B$3005,$B1663,$C$6:$C$3005,$C1663,$D$6:$D$3005,$D1663)&gt;1,"同じ月の請求が重複しています／",""),"")&amp;IF(AND(N($E1663)&gt;0,$AB1663&lt;&gt;"",$AB1663&lt;&gt;"×",$AE1663=0,$AD1663=""),"計算額が下限以下のため不支給／",""))</f>
        <v/>
      </c>
      <c r="AN1663" s="12" t="n"/>
      <c r="AO1663" s="14">
        <f>IF($AF1663="保留中",COUNTIF($AF$6:$AF1663,"保留中"),"")</f>
        <v/>
      </c>
      <c r="AP1663" s="14">
        <f>IF($AQ1663="","",IF(SUMPRODUCT(MAX((職員マスタ!$A$6:$A$405=$B1663)*(((職員マスタ!$G$6:$G$405="")+(職員マスタ!$G$6:$G$405&lt;=EOMONTH($AQ1663,0)))&gt;0)*(((職員マスタ!$H$6:$H$405="")+(職員マスタ!$H$6:$H$405&gt;=$AQ1663))&gt;0)*(ROW(職員マスタ!$A$6:$A$405)-5)))&gt;0,SUMPRODUCT(MAX((職員マスタ!$A$6:$A$405=$B1663)*(((職員マスタ!$G$6:$G$405="")+(職員マスタ!$G$6:$G$405&lt;=EOMONTH($AQ1663,0)))&gt;0)*(((職員マスタ!$H$6:$H$405="")+(職員マスタ!$H$6:$H$405&gt;=$AQ1663))&gt;0)*(ROW(職員マスタ!$A$6:$A$405)-5))),IFERROR(MATCH($B1663,職員マスタ!$A$6:$A$405,0),"")))</f>
        <v/>
      </c>
      <c r="AQ1663" s="16">
        <f>IF(OR($B1663="",$C1663="",$D1663=""),"",DATE($C1663+2018,$D1663,1))</f>
        <v/>
      </c>
    </row>
    <row r="1664">
      <c r="A1664" s="11" t="n"/>
      <c r="B1664" s="12" t="n"/>
      <c r="C1664" s="12" t="n"/>
      <c r="D1664" s="12" t="n"/>
      <c r="E1664" s="13" t="n"/>
      <c r="F1664" s="12" t="n"/>
      <c r="G1664" s="13" t="n"/>
      <c r="H1664" s="12" t="n"/>
      <c r="I1664" s="12" t="n"/>
      <c r="J1664" s="12" t="n"/>
      <c r="K1664" s="12" t="n"/>
      <c r="L1664" s="11" t="n"/>
      <c r="M1664" s="11" t="n"/>
      <c r="N1664" s="11" t="n"/>
      <c r="O1664" s="11" t="n"/>
      <c r="P1664" s="12" t="n"/>
      <c r="Q1664" s="11" t="n"/>
      <c r="R1664" s="12" t="n"/>
      <c r="S1664" s="11" t="n"/>
      <c r="T1664" s="12" t="n"/>
      <c r="U1664" s="12" t="n"/>
      <c r="V1664" s="12" t="n"/>
      <c r="W1664" s="13" t="n"/>
      <c r="X1664" s="14">
        <f>IF($AP1664="",IF($B1664="","",$H1664),IF(INDEX(職員マスタ!$B$6:$B$405,$AP1664)="",$H1664,INDEX(職員マスタ!$B$6:$B$405,$AP1664)))</f>
        <v/>
      </c>
      <c r="Y1664" s="14">
        <f>IF($AP1664="",IF($B1664="","",$R1664),IF(INDEX(職員マスタ!$C$6:$C$405,$AP1664)="",$R1664,INDEX(職員マスタ!$C$6:$C$405,$AP1664)))</f>
        <v/>
      </c>
      <c r="Z1664" s="14">
        <f>IF($AQ1664="","","R"&amp;$C1664&amp;"."&amp;$D1664)</f>
        <v/>
      </c>
      <c r="AA1664" s="15">
        <f>IF(IF($AP1664="",FALSE,INDEX(職員マスタ!$K$6:$K$405,$AP1664)&lt;&gt;""),INDEX(職員マスタ!$K$6:$K$405,$AP1664),IF(N($W1664)&gt;0,$W1664,""))</f>
        <v/>
      </c>
      <c r="AB1664" s="14">
        <f>IF(OR($E1664="",$AA1664=""),"",IF($E1664&gt;=$AA1664,"×",IF($E1664&gt;=$AA1664*設定!$C$5,"△","○")))</f>
        <v/>
      </c>
      <c r="AC1664" s="15">
        <f>IF($AB1664="","",IF($AB1664="×",0,IF($AB1664="○",ROUNDDOWN($E1664*設定!$C$4,0),ROUNDDOWN($E1664*ROUND((9*$AA1664-9*$E1664)/(10*$E1664),4),0))))</f>
        <v/>
      </c>
      <c r="AD1664" s="13" t="n"/>
      <c r="AE1664" s="15">
        <f>IF($B1664="","",IF($AD1664&lt;&gt;"",$AD1664,IF($AC1664="","",IF($AC1664&lt;=設定!$C$3,0,$AC1664))))</f>
        <v/>
      </c>
      <c r="AF1664" s="14">
        <f>IF($B1664="","",IF(AND($AG1664&lt;&gt;"",$AI1664="",$AL1664=""),"保留中",IF($AL1664&lt;&gt;"",IF(N($AE1664)&gt;0,"支給済","不支給"),IF($AE1664="","要確認",IF($AE1664=0,"不支給","未処理")))))</f>
        <v/>
      </c>
      <c r="AG1664" s="12" t="n"/>
      <c r="AH1664" s="11" t="n"/>
      <c r="AI1664" s="11" t="n"/>
      <c r="AJ1664" s="11" t="n"/>
      <c r="AK1664" s="14">
        <f>IF(AND($AF1664="保留中",$AH1664&lt;&gt;""),TODAY()-$AH1664,"")</f>
        <v/>
      </c>
      <c r="AL1664" s="12" t="n"/>
      <c r="AM1664" s="14">
        <f>IF($B1664="","",IF($AQ1664="","対象年月が未入力／","")&amp;IF($B1664="","",IF($AP1664="","職員マスタに未登録の職員番号／",IF($AA1664="","標準報酬月額が未登録／","")&amp;IF(AND($AQ1664&lt;&gt;"",OR(AND(INDEX(職員マスタ!$G$6:$G$405,$AP1664)&lt;&gt;"",INDEX(職員マスタ!$G$6:$G$405,$AP1664)&gt;EOMONTH($AQ1664,0)),AND(INDEX(職員マスタ!$H$6:$H$405,$AP1664)&lt;&gt;"",INDEX(職員マスタ!$H$6:$H$405,$AP1664)&lt;$AQ1664))),"対象月が時短期間外／","")&amp;IF(AND(INDEX(職員マスタ!$K$6:$K$405,$AP1664)&lt;&gt;"",N($W1664)&gt;0,INDEX(職員マスタ!$K$6:$K$405,$AP1664)&lt;&gt;$W1664),"標準報酬月額が申請書と相違（台帳"&amp;TEXT(INDEX(職員マスタ!$K$6:$K$405,$AP1664),"#,##0")&amp;"円／申請書"&amp;TEXT($W1664,"#,##0")&amp;"円）／","")&amp;IF(AND(INDEX(職員マスタ!$F$6:$F$405,$AP1664)&lt;&gt;"",$AQ1664&lt;&gt;"",INDEX(職員マスタ!$F$6:$F$405,$AP1664)&lt;$AQ1664),"対象月に子が2歳到達済／","")&amp;IF(AND($H1664&lt;&gt;"",INDEX(職員マスタ!$B$6:$B$405,$AP1664)&lt;&gt;"",SUBSTITUTE(SUBSTITUTE($H1664," ","")," ","")&lt;&gt;SUBSTITUTE(SUBSTITUTE(INDEX(職員マスタ!$B$6:$B$405,$AP1664)," ","")," ","")),"氏名がマスタと相違／","")&amp;IF(AND($Q1664&lt;&gt;"",INDEX(職員マスタ!$E$6:$E$405,$AP1664)&lt;&gt;"",$Q1664&lt;&gt;INDEX(職員マスタ!$E$6:$E$405,$AP1664)),"子の生年月日がマスタと相違／","")&amp;IF(AND($L1664&lt;&gt;"",INDEX(職員マスタ!$G$6:$G$405,$AP1664)&lt;&gt;"",$L1664&lt;&gt;INDEX(職員マスタ!$G$6:$G$405,$AP1664)),"時短開始日がマスタと相違／","")&amp;IF(AND($M1664&lt;&gt;"",INDEX(職員マスタ!$H$6:$H$405,$AP1664)&lt;&gt;"",$M1664&lt;&gt;INDEX(職員マスタ!$H$6:$H$405,$AP1664)),"時短終了日がマスタと相違／","")))&amp;IF(AND($B1664&lt;&gt;"",$E1664=""),"報酬額が未入力／","")&amp;IF(N($U1664)&gt;0,"申請書に入力エラーが残っています／","")&amp;IF(AND($B1664&lt;&gt;"",$AQ1664&lt;&gt;""),IF(COUNTIFS($B$6:$B$3005,$B1664,$C$6:$C$3005,$C1664,$D$6:$D$3005,$D1664)&gt;1,"同じ月の請求が重複しています／",""),"")&amp;IF(AND(N($E1664)&gt;0,$AB1664&lt;&gt;"",$AB1664&lt;&gt;"×",$AE1664=0,$AD1664=""),"計算額が下限以下のため不支給／",""))</f>
        <v/>
      </c>
      <c r="AN1664" s="12" t="n"/>
      <c r="AO1664" s="14">
        <f>IF($AF1664="保留中",COUNTIF($AF$6:$AF1664,"保留中"),"")</f>
        <v/>
      </c>
      <c r="AP1664" s="14">
        <f>IF($AQ1664="","",IF(SUMPRODUCT(MAX((職員マスタ!$A$6:$A$405=$B1664)*(((職員マスタ!$G$6:$G$405="")+(職員マスタ!$G$6:$G$405&lt;=EOMONTH($AQ1664,0)))&gt;0)*(((職員マスタ!$H$6:$H$405="")+(職員マスタ!$H$6:$H$405&gt;=$AQ1664))&gt;0)*(ROW(職員マスタ!$A$6:$A$405)-5)))&gt;0,SUMPRODUCT(MAX((職員マスタ!$A$6:$A$405=$B1664)*(((職員マスタ!$G$6:$G$405="")+(職員マスタ!$G$6:$G$405&lt;=EOMONTH($AQ1664,0)))&gt;0)*(((職員マスタ!$H$6:$H$405="")+(職員マスタ!$H$6:$H$405&gt;=$AQ1664))&gt;0)*(ROW(職員マスタ!$A$6:$A$405)-5))),IFERROR(MATCH($B1664,職員マスタ!$A$6:$A$405,0),"")))</f>
        <v/>
      </c>
      <c r="AQ1664" s="16">
        <f>IF(OR($B1664="",$C1664="",$D1664=""),"",DATE($C1664+2018,$D1664,1))</f>
        <v/>
      </c>
    </row>
    <row r="1665">
      <c r="A1665" s="11" t="n"/>
      <c r="B1665" s="12" t="n"/>
      <c r="C1665" s="12" t="n"/>
      <c r="D1665" s="12" t="n"/>
      <c r="E1665" s="13" t="n"/>
      <c r="F1665" s="12" t="n"/>
      <c r="G1665" s="13" t="n"/>
      <c r="H1665" s="12" t="n"/>
      <c r="I1665" s="12" t="n"/>
      <c r="J1665" s="12" t="n"/>
      <c r="K1665" s="12" t="n"/>
      <c r="L1665" s="11" t="n"/>
      <c r="M1665" s="11" t="n"/>
      <c r="N1665" s="11" t="n"/>
      <c r="O1665" s="11" t="n"/>
      <c r="P1665" s="12" t="n"/>
      <c r="Q1665" s="11" t="n"/>
      <c r="R1665" s="12" t="n"/>
      <c r="S1665" s="11" t="n"/>
      <c r="T1665" s="12" t="n"/>
      <c r="U1665" s="12" t="n"/>
      <c r="V1665" s="12" t="n"/>
      <c r="W1665" s="13" t="n"/>
      <c r="X1665" s="14">
        <f>IF($AP1665="",IF($B1665="","",$H1665),IF(INDEX(職員マスタ!$B$6:$B$405,$AP1665)="",$H1665,INDEX(職員マスタ!$B$6:$B$405,$AP1665)))</f>
        <v/>
      </c>
      <c r="Y1665" s="14">
        <f>IF($AP1665="",IF($B1665="","",$R1665),IF(INDEX(職員マスタ!$C$6:$C$405,$AP1665)="",$R1665,INDEX(職員マスタ!$C$6:$C$405,$AP1665)))</f>
        <v/>
      </c>
      <c r="Z1665" s="14">
        <f>IF($AQ1665="","","R"&amp;$C1665&amp;"."&amp;$D1665)</f>
        <v/>
      </c>
      <c r="AA1665" s="15">
        <f>IF(IF($AP1665="",FALSE,INDEX(職員マスタ!$K$6:$K$405,$AP1665)&lt;&gt;""),INDEX(職員マスタ!$K$6:$K$405,$AP1665),IF(N($W1665)&gt;0,$W1665,""))</f>
        <v/>
      </c>
      <c r="AB1665" s="14">
        <f>IF(OR($E1665="",$AA1665=""),"",IF($E1665&gt;=$AA1665,"×",IF($E1665&gt;=$AA1665*設定!$C$5,"△","○")))</f>
        <v/>
      </c>
      <c r="AC1665" s="15">
        <f>IF($AB1665="","",IF($AB1665="×",0,IF($AB1665="○",ROUNDDOWN($E1665*設定!$C$4,0),ROUNDDOWN($E1665*ROUND((9*$AA1665-9*$E1665)/(10*$E1665),4),0))))</f>
        <v/>
      </c>
      <c r="AD1665" s="13" t="n"/>
      <c r="AE1665" s="15">
        <f>IF($B1665="","",IF($AD1665&lt;&gt;"",$AD1665,IF($AC1665="","",IF($AC1665&lt;=設定!$C$3,0,$AC1665))))</f>
        <v/>
      </c>
      <c r="AF1665" s="14">
        <f>IF($B1665="","",IF(AND($AG1665&lt;&gt;"",$AI1665="",$AL1665=""),"保留中",IF($AL1665&lt;&gt;"",IF(N($AE1665)&gt;0,"支給済","不支給"),IF($AE1665="","要確認",IF($AE1665=0,"不支給","未処理")))))</f>
        <v/>
      </c>
      <c r="AG1665" s="12" t="n"/>
      <c r="AH1665" s="11" t="n"/>
      <c r="AI1665" s="11" t="n"/>
      <c r="AJ1665" s="11" t="n"/>
      <c r="AK1665" s="14">
        <f>IF(AND($AF1665="保留中",$AH1665&lt;&gt;""),TODAY()-$AH1665,"")</f>
        <v/>
      </c>
      <c r="AL1665" s="12" t="n"/>
      <c r="AM1665" s="14">
        <f>IF($B1665="","",IF($AQ1665="","対象年月が未入力／","")&amp;IF($B1665="","",IF($AP1665="","職員マスタに未登録の職員番号／",IF($AA1665="","標準報酬月額が未登録／","")&amp;IF(AND($AQ1665&lt;&gt;"",OR(AND(INDEX(職員マスタ!$G$6:$G$405,$AP1665)&lt;&gt;"",INDEX(職員マスタ!$G$6:$G$405,$AP1665)&gt;EOMONTH($AQ1665,0)),AND(INDEX(職員マスタ!$H$6:$H$405,$AP1665)&lt;&gt;"",INDEX(職員マスタ!$H$6:$H$405,$AP1665)&lt;$AQ1665))),"対象月が時短期間外／","")&amp;IF(AND(INDEX(職員マスタ!$K$6:$K$405,$AP1665)&lt;&gt;"",N($W1665)&gt;0,INDEX(職員マスタ!$K$6:$K$405,$AP1665)&lt;&gt;$W1665),"標準報酬月額が申請書と相違（台帳"&amp;TEXT(INDEX(職員マスタ!$K$6:$K$405,$AP1665),"#,##0")&amp;"円／申請書"&amp;TEXT($W1665,"#,##0")&amp;"円）／","")&amp;IF(AND(INDEX(職員マスタ!$F$6:$F$405,$AP1665)&lt;&gt;"",$AQ1665&lt;&gt;"",INDEX(職員マスタ!$F$6:$F$405,$AP1665)&lt;$AQ1665),"対象月に子が2歳到達済／","")&amp;IF(AND($H1665&lt;&gt;"",INDEX(職員マスタ!$B$6:$B$405,$AP1665)&lt;&gt;"",SUBSTITUTE(SUBSTITUTE($H1665," ","")," ","")&lt;&gt;SUBSTITUTE(SUBSTITUTE(INDEX(職員マスタ!$B$6:$B$405,$AP1665)," ","")," ","")),"氏名がマスタと相違／","")&amp;IF(AND($Q1665&lt;&gt;"",INDEX(職員マスタ!$E$6:$E$405,$AP1665)&lt;&gt;"",$Q1665&lt;&gt;INDEX(職員マスタ!$E$6:$E$405,$AP1665)),"子の生年月日がマスタと相違／","")&amp;IF(AND($L1665&lt;&gt;"",INDEX(職員マスタ!$G$6:$G$405,$AP1665)&lt;&gt;"",$L1665&lt;&gt;INDEX(職員マスタ!$G$6:$G$405,$AP1665)),"時短開始日がマスタと相違／","")&amp;IF(AND($M1665&lt;&gt;"",INDEX(職員マスタ!$H$6:$H$405,$AP1665)&lt;&gt;"",$M1665&lt;&gt;INDEX(職員マスタ!$H$6:$H$405,$AP1665)),"時短終了日がマスタと相違／","")))&amp;IF(AND($B1665&lt;&gt;"",$E1665=""),"報酬額が未入力／","")&amp;IF(N($U1665)&gt;0,"申請書に入力エラーが残っています／","")&amp;IF(AND($B1665&lt;&gt;"",$AQ1665&lt;&gt;""),IF(COUNTIFS($B$6:$B$3005,$B1665,$C$6:$C$3005,$C1665,$D$6:$D$3005,$D1665)&gt;1,"同じ月の請求が重複しています／",""),"")&amp;IF(AND(N($E1665)&gt;0,$AB1665&lt;&gt;"",$AB1665&lt;&gt;"×",$AE1665=0,$AD1665=""),"計算額が下限以下のため不支給／",""))</f>
        <v/>
      </c>
      <c r="AN1665" s="12" t="n"/>
      <c r="AO1665" s="14">
        <f>IF($AF1665="保留中",COUNTIF($AF$6:$AF1665,"保留中"),"")</f>
        <v/>
      </c>
      <c r="AP1665" s="14">
        <f>IF($AQ1665="","",IF(SUMPRODUCT(MAX((職員マスタ!$A$6:$A$405=$B1665)*(((職員マスタ!$G$6:$G$405="")+(職員マスタ!$G$6:$G$405&lt;=EOMONTH($AQ1665,0)))&gt;0)*(((職員マスタ!$H$6:$H$405="")+(職員マスタ!$H$6:$H$405&gt;=$AQ1665))&gt;0)*(ROW(職員マスタ!$A$6:$A$405)-5)))&gt;0,SUMPRODUCT(MAX((職員マスタ!$A$6:$A$405=$B1665)*(((職員マスタ!$G$6:$G$405="")+(職員マスタ!$G$6:$G$405&lt;=EOMONTH($AQ1665,0)))&gt;0)*(((職員マスタ!$H$6:$H$405="")+(職員マスタ!$H$6:$H$405&gt;=$AQ1665))&gt;0)*(ROW(職員マスタ!$A$6:$A$405)-5))),IFERROR(MATCH($B1665,職員マスタ!$A$6:$A$405,0),"")))</f>
        <v/>
      </c>
      <c r="AQ1665" s="16">
        <f>IF(OR($B1665="",$C1665="",$D1665=""),"",DATE($C1665+2018,$D1665,1))</f>
        <v/>
      </c>
    </row>
    <row r="1666">
      <c r="A1666" s="11" t="n"/>
      <c r="B1666" s="12" t="n"/>
      <c r="C1666" s="12" t="n"/>
      <c r="D1666" s="12" t="n"/>
      <c r="E1666" s="13" t="n"/>
      <c r="F1666" s="12" t="n"/>
      <c r="G1666" s="13" t="n"/>
      <c r="H1666" s="12" t="n"/>
      <c r="I1666" s="12" t="n"/>
      <c r="J1666" s="12" t="n"/>
      <c r="K1666" s="12" t="n"/>
      <c r="L1666" s="11" t="n"/>
      <c r="M1666" s="11" t="n"/>
      <c r="N1666" s="11" t="n"/>
      <c r="O1666" s="11" t="n"/>
      <c r="P1666" s="12" t="n"/>
      <c r="Q1666" s="11" t="n"/>
      <c r="R1666" s="12" t="n"/>
      <c r="S1666" s="11" t="n"/>
      <c r="T1666" s="12" t="n"/>
      <c r="U1666" s="12" t="n"/>
      <c r="V1666" s="12" t="n"/>
      <c r="W1666" s="13" t="n"/>
      <c r="X1666" s="14">
        <f>IF($AP1666="",IF($B1666="","",$H1666),IF(INDEX(職員マスタ!$B$6:$B$405,$AP1666)="",$H1666,INDEX(職員マスタ!$B$6:$B$405,$AP1666)))</f>
        <v/>
      </c>
      <c r="Y1666" s="14">
        <f>IF($AP1666="",IF($B1666="","",$R1666),IF(INDEX(職員マスタ!$C$6:$C$405,$AP1666)="",$R1666,INDEX(職員マスタ!$C$6:$C$405,$AP1666)))</f>
        <v/>
      </c>
      <c r="Z1666" s="14">
        <f>IF($AQ1666="","","R"&amp;$C1666&amp;"."&amp;$D1666)</f>
        <v/>
      </c>
      <c r="AA1666" s="15">
        <f>IF(IF($AP1666="",FALSE,INDEX(職員マスタ!$K$6:$K$405,$AP1666)&lt;&gt;""),INDEX(職員マスタ!$K$6:$K$405,$AP1666),IF(N($W1666)&gt;0,$W1666,""))</f>
        <v/>
      </c>
      <c r="AB1666" s="14">
        <f>IF(OR($E1666="",$AA1666=""),"",IF($E1666&gt;=$AA1666,"×",IF($E1666&gt;=$AA1666*設定!$C$5,"△","○")))</f>
        <v/>
      </c>
      <c r="AC1666" s="15">
        <f>IF($AB1666="","",IF($AB1666="×",0,IF($AB1666="○",ROUNDDOWN($E1666*設定!$C$4,0),ROUNDDOWN($E1666*ROUND((9*$AA1666-9*$E1666)/(10*$E1666),4),0))))</f>
        <v/>
      </c>
      <c r="AD1666" s="13" t="n"/>
      <c r="AE1666" s="15">
        <f>IF($B1666="","",IF($AD1666&lt;&gt;"",$AD1666,IF($AC1666="","",IF($AC1666&lt;=設定!$C$3,0,$AC1666))))</f>
        <v/>
      </c>
      <c r="AF1666" s="14">
        <f>IF($B1666="","",IF(AND($AG1666&lt;&gt;"",$AI1666="",$AL1666=""),"保留中",IF($AL1666&lt;&gt;"",IF(N($AE1666)&gt;0,"支給済","不支給"),IF($AE1666="","要確認",IF($AE1666=0,"不支給","未処理")))))</f>
        <v/>
      </c>
      <c r="AG1666" s="12" t="n"/>
      <c r="AH1666" s="11" t="n"/>
      <c r="AI1666" s="11" t="n"/>
      <c r="AJ1666" s="11" t="n"/>
      <c r="AK1666" s="14">
        <f>IF(AND($AF1666="保留中",$AH1666&lt;&gt;""),TODAY()-$AH1666,"")</f>
        <v/>
      </c>
      <c r="AL1666" s="12" t="n"/>
      <c r="AM1666" s="14">
        <f>IF($B1666="","",IF($AQ1666="","対象年月が未入力／","")&amp;IF($B1666="","",IF($AP1666="","職員マスタに未登録の職員番号／",IF($AA1666="","標準報酬月額が未登録／","")&amp;IF(AND($AQ1666&lt;&gt;"",OR(AND(INDEX(職員マスタ!$G$6:$G$405,$AP1666)&lt;&gt;"",INDEX(職員マスタ!$G$6:$G$405,$AP1666)&gt;EOMONTH($AQ1666,0)),AND(INDEX(職員マスタ!$H$6:$H$405,$AP1666)&lt;&gt;"",INDEX(職員マスタ!$H$6:$H$405,$AP1666)&lt;$AQ1666))),"対象月が時短期間外／","")&amp;IF(AND(INDEX(職員マスタ!$K$6:$K$405,$AP1666)&lt;&gt;"",N($W1666)&gt;0,INDEX(職員マスタ!$K$6:$K$405,$AP1666)&lt;&gt;$W1666),"標準報酬月額が申請書と相違（台帳"&amp;TEXT(INDEX(職員マスタ!$K$6:$K$405,$AP1666),"#,##0")&amp;"円／申請書"&amp;TEXT($W1666,"#,##0")&amp;"円）／","")&amp;IF(AND(INDEX(職員マスタ!$F$6:$F$405,$AP1666)&lt;&gt;"",$AQ1666&lt;&gt;"",INDEX(職員マスタ!$F$6:$F$405,$AP1666)&lt;$AQ1666),"対象月に子が2歳到達済／","")&amp;IF(AND($H1666&lt;&gt;"",INDEX(職員マスタ!$B$6:$B$405,$AP1666)&lt;&gt;"",SUBSTITUTE(SUBSTITUTE($H1666," ","")," ","")&lt;&gt;SUBSTITUTE(SUBSTITUTE(INDEX(職員マスタ!$B$6:$B$405,$AP1666)," ","")," ","")),"氏名がマスタと相違／","")&amp;IF(AND($Q1666&lt;&gt;"",INDEX(職員マスタ!$E$6:$E$405,$AP1666)&lt;&gt;"",$Q1666&lt;&gt;INDEX(職員マスタ!$E$6:$E$405,$AP1666)),"子の生年月日がマスタと相違／","")&amp;IF(AND($L1666&lt;&gt;"",INDEX(職員マスタ!$G$6:$G$405,$AP1666)&lt;&gt;"",$L1666&lt;&gt;INDEX(職員マスタ!$G$6:$G$405,$AP1666)),"時短開始日がマスタと相違／","")&amp;IF(AND($M1666&lt;&gt;"",INDEX(職員マスタ!$H$6:$H$405,$AP1666)&lt;&gt;"",$M1666&lt;&gt;INDEX(職員マスタ!$H$6:$H$405,$AP1666)),"時短終了日がマスタと相違／","")))&amp;IF(AND($B1666&lt;&gt;"",$E1666=""),"報酬額が未入力／","")&amp;IF(N($U1666)&gt;0,"申請書に入力エラーが残っています／","")&amp;IF(AND($B1666&lt;&gt;"",$AQ1666&lt;&gt;""),IF(COUNTIFS($B$6:$B$3005,$B1666,$C$6:$C$3005,$C1666,$D$6:$D$3005,$D1666)&gt;1,"同じ月の請求が重複しています／",""),"")&amp;IF(AND(N($E1666)&gt;0,$AB1666&lt;&gt;"",$AB1666&lt;&gt;"×",$AE1666=0,$AD1666=""),"計算額が下限以下のため不支給／",""))</f>
        <v/>
      </c>
      <c r="AN1666" s="12" t="n"/>
      <c r="AO1666" s="14">
        <f>IF($AF1666="保留中",COUNTIF($AF$6:$AF1666,"保留中"),"")</f>
        <v/>
      </c>
      <c r="AP1666" s="14">
        <f>IF($AQ1666="","",IF(SUMPRODUCT(MAX((職員マスタ!$A$6:$A$405=$B1666)*(((職員マスタ!$G$6:$G$405="")+(職員マスタ!$G$6:$G$405&lt;=EOMONTH($AQ1666,0)))&gt;0)*(((職員マスタ!$H$6:$H$405="")+(職員マスタ!$H$6:$H$405&gt;=$AQ1666))&gt;0)*(ROW(職員マスタ!$A$6:$A$405)-5)))&gt;0,SUMPRODUCT(MAX((職員マスタ!$A$6:$A$405=$B1666)*(((職員マスタ!$G$6:$G$405="")+(職員マスタ!$G$6:$G$405&lt;=EOMONTH($AQ1666,0)))&gt;0)*(((職員マスタ!$H$6:$H$405="")+(職員マスタ!$H$6:$H$405&gt;=$AQ1666))&gt;0)*(ROW(職員マスタ!$A$6:$A$405)-5))),IFERROR(MATCH($B1666,職員マスタ!$A$6:$A$405,0),"")))</f>
        <v/>
      </c>
      <c r="AQ1666" s="16">
        <f>IF(OR($B1666="",$C1666="",$D1666=""),"",DATE($C1666+2018,$D1666,1))</f>
        <v/>
      </c>
    </row>
    <row r="1667">
      <c r="A1667" s="11" t="n"/>
      <c r="B1667" s="12" t="n"/>
      <c r="C1667" s="12" t="n"/>
      <c r="D1667" s="12" t="n"/>
      <c r="E1667" s="13" t="n"/>
      <c r="F1667" s="12" t="n"/>
      <c r="G1667" s="13" t="n"/>
      <c r="H1667" s="12" t="n"/>
      <c r="I1667" s="12" t="n"/>
      <c r="J1667" s="12" t="n"/>
      <c r="K1667" s="12" t="n"/>
      <c r="L1667" s="11" t="n"/>
      <c r="M1667" s="11" t="n"/>
      <c r="N1667" s="11" t="n"/>
      <c r="O1667" s="11" t="n"/>
      <c r="P1667" s="12" t="n"/>
      <c r="Q1667" s="11" t="n"/>
      <c r="R1667" s="12" t="n"/>
      <c r="S1667" s="11" t="n"/>
      <c r="T1667" s="12" t="n"/>
      <c r="U1667" s="12" t="n"/>
      <c r="V1667" s="12" t="n"/>
      <c r="W1667" s="13" t="n"/>
      <c r="X1667" s="14">
        <f>IF($AP1667="",IF($B1667="","",$H1667),IF(INDEX(職員マスタ!$B$6:$B$405,$AP1667)="",$H1667,INDEX(職員マスタ!$B$6:$B$405,$AP1667)))</f>
        <v/>
      </c>
      <c r="Y1667" s="14">
        <f>IF($AP1667="",IF($B1667="","",$R1667),IF(INDEX(職員マスタ!$C$6:$C$405,$AP1667)="",$R1667,INDEX(職員マスタ!$C$6:$C$405,$AP1667)))</f>
        <v/>
      </c>
      <c r="Z1667" s="14">
        <f>IF($AQ1667="","","R"&amp;$C1667&amp;"."&amp;$D1667)</f>
        <v/>
      </c>
      <c r="AA1667" s="15">
        <f>IF(IF($AP1667="",FALSE,INDEX(職員マスタ!$K$6:$K$405,$AP1667)&lt;&gt;""),INDEX(職員マスタ!$K$6:$K$405,$AP1667),IF(N($W1667)&gt;0,$W1667,""))</f>
        <v/>
      </c>
      <c r="AB1667" s="14">
        <f>IF(OR($E1667="",$AA1667=""),"",IF($E1667&gt;=$AA1667,"×",IF($E1667&gt;=$AA1667*設定!$C$5,"△","○")))</f>
        <v/>
      </c>
      <c r="AC1667" s="15">
        <f>IF($AB1667="","",IF($AB1667="×",0,IF($AB1667="○",ROUNDDOWN($E1667*設定!$C$4,0),ROUNDDOWN($E1667*ROUND((9*$AA1667-9*$E1667)/(10*$E1667),4),0))))</f>
        <v/>
      </c>
      <c r="AD1667" s="13" t="n"/>
      <c r="AE1667" s="15">
        <f>IF($B1667="","",IF($AD1667&lt;&gt;"",$AD1667,IF($AC1667="","",IF($AC1667&lt;=設定!$C$3,0,$AC1667))))</f>
        <v/>
      </c>
      <c r="AF1667" s="14">
        <f>IF($B1667="","",IF(AND($AG1667&lt;&gt;"",$AI1667="",$AL1667=""),"保留中",IF($AL1667&lt;&gt;"",IF(N($AE1667)&gt;0,"支給済","不支給"),IF($AE1667="","要確認",IF($AE1667=0,"不支給","未処理")))))</f>
        <v/>
      </c>
      <c r="AG1667" s="12" t="n"/>
      <c r="AH1667" s="11" t="n"/>
      <c r="AI1667" s="11" t="n"/>
      <c r="AJ1667" s="11" t="n"/>
      <c r="AK1667" s="14">
        <f>IF(AND($AF1667="保留中",$AH1667&lt;&gt;""),TODAY()-$AH1667,"")</f>
        <v/>
      </c>
      <c r="AL1667" s="12" t="n"/>
      <c r="AM1667" s="14">
        <f>IF($B1667="","",IF($AQ1667="","対象年月が未入力／","")&amp;IF($B1667="","",IF($AP1667="","職員マスタに未登録の職員番号／",IF($AA1667="","標準報酬月額が未登録／","")&amp;IF(AND($AQ1667&lt;&gt;"",OR(AND(INDEX(職員マスタ!$G$6:$G$405,$AP1667)&lt;&gt;"",INDEX(職員マスタ!$G$6:$G$405,$AP1667)&gt;EOMONTH($AQ1667,0)),AND(INDEX(職員マスタ!$H$6:$H$405,$AP1667)&lt;&gt;"",INDEX(職員マスタ!$H$6:$H$405,$AP1667)&lt;$AQ1667))),"対象月が時短期間外／","")&amp;IF(AND(INDEX(職員マスタ!$K$6:$K$405,$AP1667)&lt;&gt;"",N($W1667)&gt;0,INDEX(職員マスタ!$K$6:$K$405,$AP1667)&lt;&gt;$W1667),"標準報酬月額が申請書と相違（台帳"&amp;TEXT(INDEX(職員マスタ!$K$6:$K$405,$AP1667),"#,##0")&amp;"円／申請書"&amp;TEXT($W1667,"#,##0")&amp;"円）／","")&amp;IF(AND(INDEX(職員マスタ!$F$6:$F$405,$AP1667)&lt;&gt;"",$AQ1667&lt;&gt;"",INDEX(職員マスタ!$F$6:$F$405,$AP1667)&lt;$AQ1667),"対象月に子が2歳到達済／","")&amp;IF(AND($H1667&lt;&gt;"",INDEX(職員マスタ!$B$6:$B$405,$AP1667)&lt;&gt;"",SUBSTITUTE(SUBSTITUTE($H1667," ","")," ","")&lt;&gt;SUBSTITUTE(SUBSTITUTE(INDEX(職員マスタ!$B$6:$B$405,$AP1667)," ","")," ","")),"氏名がマスタと相違／","")&amp;IF(AND($Q1667&lt;&gt;"",INDEX(職員マスタ!$E$6:$E$405,$AP1667)&lt;&gt;"",$Q1667&lt;&gt;INDEX(職員マスタ!$E$6:$E$405,$AP1667)),"子の生年月日がマスタと相違／","")&amp;IF(AND($L1667&lt;&gt;"",INDEX(職員マスタ!$G$6:$G$405,$AP1667)&lt;&gt;"",$L1667&lt;&gt;INDEX(職員マスタ!$G$6:$G$405,$AP1667)),"時短開始日がマスタと相違／","")&amp;IF(AND($M1667&lt;&gt;"",INDEX(職員マスタ!$H$6:$H$405,$AP1667)&lt;&gt;"",$M1667&lt;&gt;INDEX(職員マスタ!$H$6:$H$405,$AP1667)),"時短終了日がマスタと相違／","")))&amp;IF(AND($B1667&lt;&gt;"",$E1667=""),"報酬額が未入力／","")&amp;IF(N($U1667)&gt;0,"申請書に入力エラーが残っています／","")&amp;IF(AND($B1667&lt;&gt;"",$AQ1667&lt;&gt;""),IF(COUNTIFS($B$6:$B$3005,$B1667,$C$6:$C$3005,$C1667,$D$6:$D$3005,$D1667)&gt;1,"同じ月の請求が重複しています／",""),"")&amp;IF(AND(N($E1667)&gt;0,$AB1667&lt;&gt;"",$AB1667&lt;&gt;"×",$AE1667=0,$AD1667=""),"計算額が下限以下のため不支給／",""))</f>
        <v/>
      </c>
      <c r="AN1667" s="12" t="n"/>
      <c r="AO1667" s="14">
        <f>IF($AF1667="保留中",COUNTIF($AF$6:$AF1667,"保留中"),"")</f>
        <v/>
      </c>
      <c r="AP1667" s="14">
        <f>IF($AQ1667="","",IF(SUMPRODUCT(MAX((職員マスタ!$A$6:$A$405=$B1667)*(((職員マスタ!$G$6:$G$405="")+(職員マスタ!$G$6:$G$405&lt;=EOMONTH($AQ1667,0)))&gt;0)*(((職員マスタ!$H$6:$H$405="")+(職員マスタ!$H$6:$H$405&gt;=$AQ1667))&gt;0)*(ROW(職員マスタ!$A$6:$A$405)-5)))&gt;0,SUMPRODUCT(MAX((職員マスタ!$A$6:$A$405=$B1667)*(((職員マスタ!$G$6:$G$405="")+(職員マスタ!$G$6:$G$405&lt;=EOMONTH($AQ1667,0)))&gt;0)*(((職員マスタ!$H$6:$H$405="")+(職員マスタ!$H$6:$H$405&gt;=$AQ1667))&gt;0)*(ROW(職員マスタ!$A$6:$A$405)-5))),IFERROR(MATCH($B1667,職員マスタ!$A$6:$A$405,0),"")))</f>
        <v/>
      </c>
      <c r="AQ1667" s="16">
        <f>IF(OR($B1667="",$C1667="",$D1667=""),"",DATE($C1667+2018,$D1667,1))</f>
        <v/>
      </c>
    </row>
    <row r="1668">
      <c r="A1668" s="11" t="n"/>
      <c r="B1668" s="12" t="n"/>
      <c r="C1668" s="12" t="n"/>
      <c r="D1668" s="12" t="n"/>
      <c r="E1668" s="13" t="n"/>
      <c r="F1668" s="12" t="n"/>
      <c r="G1668" s="13" t="n"/>
      <c r="H1668" s="12" t="n"/>
      <c r="I1668" s="12" t="n"/>
      <c r="J1668" s="12" t="n"/>
      <c r="K1668" s="12" t="n"/>
      <c r="L1668" s="11" t="n"/>
      <c r="M1668" s="11" t="n"/>
      <c r="N1668" s="11" t="n"/>
      <c r="O1668" s="11" t="n"/>
      <c r="P1668" s="12" t="n"/>
      <c r="Q1668" s="11" t="n"/>
      <c r="R1668" s="12" t="n"/>
      <c r="S1668" s="11" t="n"/>
      <c r="T1668" s="12" t="n"/>
      <c r="U1668" s="12" t="n"/>
      <c r="V1668" s="12" t="n"/>
      <c r="W1668" s="13" t="n"/>
      <c r="X1668" s="14">
        <f>IF($AP1668="",IF($B1668="","",$H1668),IF(INDEX(職員マスタ!$B$6:$B$405,$AP1668)="",$H1668,INDEX(職員マスタ!$B$6:$B$405,$AP1668)))</f>
        <v/>
      </c>
      <c r="Y1668" s="14">
        <f>IF($AP1668="",IF($B1668="","",$R1668),IF(INDEX(職員マスタ!$C$6:$C$405,$AP1668)="",$R1668,INDEX(職員マスタ!$C$6:$C$405,$AP1668)))</f>
        <v/>
      </c>
      <c r="Z1668" s="14">
        <f>IF($AQ1668="","","R"&amp;$C1668&amp;"."&amp;$D1668)</f>
        <v/>
      </c>
      <c r="AA1668" s="15">
        <f>IF(IF($AP1668="",FALSE,INDEX(職員マスタ!$K$6:$K$405,$AP1668)&lt;&gt;""),INDEX(職員マスタ!$K$6:$K$405,$AP1668),IF(N($W1668)&gt;0,$W1668,""))</f>
        <v/>
      </c>
      <c r="AB1668" s="14">
        <f>IF(OR($E1668="",$AA1668=""),"",IF($E1668&gt;=$AA1668,"×",IF($E1668&gt;=$AA1668*設定!$C$5,"△","○")))</f>
        <v/>
      </c>
      <c r="AC1668" s="15">
        <f>IF($AB1668="","",IF($AB1668="×",0,IF($AB1668="○",ROUNDDOWN($E1668*設定!$C$4,0),ROUNDDOWN($E1668*ROUND((9*$AA1668-9*$E1668)/(10*$E1668),4),0))))</f>
        <v/>
      </c>
      <c r="AD1668" s="13" t="n"/>
      <c r="AE1668" s="15">
        <f>IF($B1668="","",IF($AD1668&lt;&gt;"",$AD1668,IF($AC1668="","",IF($AC1668&lt;=設定!$C$3,0,$AC1668))))</f>
        <v/>
      </c>
      <c r="AF1668" s="14">
        <f>IF($B1668="","",IF(AND($AG1668&lt;&gt;"",$AI1668="",$AL1668=""),"保留中",IF($AL1668&lt;&gt;"",IF(N($AE1668)&gt;0,"支給済","不支給"),IF($AE1668="","要確認",IF($AE1668=0,"不支給","未処理")))))</f>
        <v/>
      </c>
      <c r="AG1668" s="12" t="n"/>
      <c r="AH1668" s="11" t="n"/>
      <c r="AI1668" s="11" t="n"/>
      <c r="AJ1668" s="11" t="n"/>
      <c r="AK1668" s="14">
        <f>IF(AND($AF1668="保留中",$AH1668&lt;&gt;""),TODAY()-$AH1668,"")</f>
        <v/>
      </c>
      <c r="AL1668" s="12" t="n"/>
      <c r="AM1668" s="14">
        <f>IF($B1668="","",IF($AQ1668="","対象年月が未入力／","")&amp;IF($B1668="","",IF($AP1668="","職員マスタに未登録の職員番号／",IF($AA1668="","標準報酬月額が未登録／","")&amp;IF(AND($AQ1668&lt;&gt;"",OR(AND(INDEX(職員マスタ!$G$6:$G$405,$AP1668)&lt;&gt;"",INDEX(職員マスタ!$G$6:$G$405,$AP1668)&gt;EOMONTH($AQ1668,0)),AND(INDEX(職員マスタ!$H$6:$H$405,$AP1668)&lt;&gt;"",INDEX(職員マスタ!$H$6:$H$405,$AP1668)&lt;$AQ1668))),"対象月が時短期間外／","")&amp;IF(AND(INDEX(職員マスタ!$K$6:$K$405,$AP1668)&lt;&gt;"",N($W1668)&gt;0,INDEX(職員マスタ!$K$6:$K$405,$AP1668)&lt;&gt;$W1668),"標準報酬月額が申請書と相違（台帳"&amp;TEXT(INDEX(職員マスタ!$K$6:$K$405,$AP1668),"#,##0")&amp;"円／申請書"&amp;TEXT($W1668,"#,##0")&amp;"円）／","")&amp;IF(AND(INDEX(職員マスタ!$F$6:$F$405,$AP1668)&lt;&gt;"",$AQ1668&lt;&gt;"",INDEX(職員マスタ!$F$6:$F$405,$AP1668)&lt;$AQ1668),"対象月に子が2歳到達済／","")&amp;IF(AND($H1668&lt;&gt;"",INDEX(職員マスタ!$B$6:$B$405,$AP1668)&lt;&gt;"",SUBSTITUTE(SUBSTITUTE($H1668," ","")," ","")&lt;&gt;SUBSTITUTE(SUBSTITUTE(INDEX(職員マスタ!$B$6:$B$405,$AP1668)," ","")," ","")),"氏名がマスタと相違／","")&amp;IF(AND($Q1668&lt;&gt;"",INDEX(職員マスタ!$E$6:$E$405,$AP1668)&lt;&gt;"",$Q1668&lt;&gt;INDEX(職員マスタ!$E$6:$E$405,$AP1668)),"子の生年月日がマスタと相違／","")&amp;IF(AND($L1668&lt;&gt;"",INDEX(職員マスタ!$G$6:$G$405,$AP1668)&lt;&gt;"",$L1668&lt;&gt;INDEX(職員マスタ!$G$6:$G$405,$AP1668)),"時短開始日がマスタと相違／","")&amp;IF(AND($M1668&lt;&gt;"",INDEX(職員マスタ!$H$6:$H$405,$AP1668)&lt;&gt;"",$M1668&lt;&gt;INDEX(職員マスタ!$H$6:$H$405,$AP1668)),"時短終了日がマスタと相違／","")))&amp;IF(AND($B1668&lt;&gt;"",$E1668=""),"報酬額が未入力／","")&amp;IF(N($U1668)&gt;0,"申請書に入力エラーが残っています／","")&amp;IF(AND($B1668&lt;&gt;"",$AQ1668&lt;&gt;""),IF(COUNTIFS($B$6:$B$3005,$B1668,$C$6:$C$3005,$C1668,$D$6:$D$3005,$D1668)&gt;1,"同じ月の請求が重複しています／",""),"")&amp;IF(AND(N($E1668)&gt;0,$AB1668&lt;&gt;"",$AB1668&lt;&gt;"×",$AE1668=0,$AD1668=""),"計算額が下限以下のため不支給／",""))</f>
        <v/>
      </c>
      <c r="AN1668" s="12" t="n"/>
      <c r="AO1668" s="14">
        <f>IF($AF1668="保留中",COUNTIF($AF$6:$AF1668,"保留中"),"")</f>
        <v/>
      </c>
      <c r="AP1668" s="14">
        <f>IF($AQ1668="","",IF(SUMPRODUCT(MAX((職員マスタ!$A$6:$A$405=$B1668)*(((職員マスタ!$G$6:$G$405="")+(職員マスタ!$G$6:$G$405&lt;=EOMONTH($AQ1668,0)))&gt;0)*(((職員マスタ!$H$6:$H$405="")+(職員マスタ!$H$6:$H$405&gt;=$AQ1668))&gt;0)*(ROW(職員マスタ!$A$6:$A$405)-5)))&gt;0,SUMPRODUCT(MAX((職員マスタ!$A$6:$A$405=$B1668)*(((職員マスタ!$G$6:$G$405="")+(職員マスタ!$G$6:$G$405&lt;=EOMONTH($AQ1668,0)))&gt;0)*(((職員マスタ!$H$6:$H$405="")+(職員マスタ!$H$6:$H$405&gt;=$AQ1668))&gt;0)*(ROW(職員マスタ!$A$6:$A$405)-5))),IFERROR(MATCH($B1668,職員マスタ!$A$6:$A$405,0),"")))</f>
        <v/>
      </c>
      <c r="AQ1668" s="16">
        <f>IF(OR($B1668="",$C1668="",$D1668=""),"",DATE($C1668+2018,$D1668,1))</f>
        <v/>
      </c>
    </row>
    <row r="1669">
      <c r="A1669" s="11" t="n"/>
      <c r="B1669" s="12" t="n"/>
      <c r="C1669" s="12" t="n"/>
      <c r="D1669" s="12" t="n"/>
      <c r="E1669" s="13" t="n"/>
      <c r="F1669" s="12" t="n"/>
      <c r="G1669" s="13" t="n"/>
      <c r="H1669" s="12" t="n"/>
      <c r="I1669" s="12" t="n"/>
      <c r="J1669" s="12" t="n"/>
      <c r="K1669" s="12" t="n"/>
      <c r="L1669" s="11" t="n"/>
      <c r="M1669" s="11" t="n"/>
      <c r="N1669" s="11" t="n"/>
      <c r="O1669" s="11" t="n"/>
      <c r="P1669" s="12" t="n"/>
      <c r="Q1669" s="11" t="n"/>
      <c r="R1669" s="12" t="n"/>
      <c r="S1669" s="11" t="n"/>
      <c r="T1669" s="12" t="n"/>
      <c r="U1669" s="12" t="n"/>
      <c r="V1669" s="12" t="n"/>
      <c r="W1669" s="13" t="n"/>
      <c r="X1669" s="14">
        <f>IF($AP1669="",IF($B1669="","",$H1669),IF(INDEX(職員マスタ!$B$6:$B$405,$AP1669)="",$H1669,INDEX(職員マスタ!$B$6:$B$405,$AP1669)))</f>
        <v/>
      </c>
      <c r="Y1669" s="14">
        <f>IF($AP1669="",IF($B1669="","",$R1669),IF(INDEX(職員マスタ!$C$6:$C$405,$AP1669)="",$R1669,INDEX(職員マスタ!$C$6:$C$405,$AP1669)))</f>
        <v/>
      </c>
      <c r="Z1669" s="14">
        <f>IF($AQ1669="","","R"&amp;$C1669&amp;"."&amp;$D1669)</f>
        <v/>
      </c>
      <c r="AA1669" s="15">
        <f>IF(IF($AP1669="",FALSE,INDEX(職員マスタ!$K$6:$K$405,$AP1669)&lt;&gt;""),INDEX(職員マスタ!$K$6:$K$405,$AP1669),IF(N($W1669)&gt;0,$W1669,""))</f>
        <v/>
      </c>
      <c r="AB1669" s="14">
        <f>IF(OR($E1669="",$AA1669=""),"",IF($E1669&gt;=$AA1669,"×",IF($E1669&gt;=$AA1669*設定!$C$5,"△","○")))</f>
        <v/>
      </c>
      <c r="AC1669" s="15">
        <f>IF($AB1669="","",IF($AB1669="×",0,IF($AB1669="○",ROUNDDOWN($E1669*設定!$C$4,0),ROUNDDOWN($E1669*ROUND((9*$AA1669-9*$E1669)/(10*$E1669),4),0))))</f>
        <v/>
      </c>
      <c r="AD1669" s="13" t="n"/>
      <c r="AE1669" s="15">
        <f>IF($B1669="","",IF($AD1669&lt;&gt;"",$AD1669,IF($AC1669="","",IF($AC1669&lt;=設定!$C$3,0,$AC1669))))</f>
        <v/>
      </c>
      <c r="AF1669" s="14">
        <f>IF($B1669="","",IF(AND($AG1669&lt;&gt;"",$AI1669="",$AL1669=""),"保留中",IF($AL1669&lt;&gt;"",IF(N($AE1669)&gt;0,"支給済","不支給"),IF($AE1669="","要確認",IF($AE1669=0,"不支給","未処理")))))</f>
        <v/>
      </c>
      <c r="AG1669" s="12" t="n"/>
      <c r="AH1669" s="11" t="n"/>
      <c r="AI1669" s="11" t="n"/>
      <c r="AJ1669" s="11" t="n"/>
      <c r="AK1669" s="14">
        <f>IF(AND($AF1669="保留中",$AH1669&lt;&gt;""),TODAY()-$AH1669,"")</f>
        <v/>
      </c>
      <c r="AL1669" s="12" t="n"/>
      <c r="AM1669" s="14">
        <f>IF($B1669="","",IF($AQ1669="","対象年月が未入力／","")&amp;IF($B1669="","",IF($AP1669="","職員マスタに未登録の職員番号／",IF($AA1669="","標準報酬月額が未登録／","")&amp;IF(AND($AQ1669&lt;&gt;"",OR(AND(INDEX(職員マスタ!$G$6:$G$405,$AP1669)&lt;&gt;"",INDEX(職員マスタ!$G$6:$G$405,$AP1669)&gt;EOMONTH($AQ1669,0)),AND(INDEX(職員マスタ!$H$6:$H$405,$AP1669)&lt;&gt;"",INDEX(職員マスタ!$H$6:$H$405,$AP1669)&lt;$AQ1669))),"対象月が時短期間外／","")&amp;IF(AND(INDEX(職員マスタ!$K$6:$K$405,$AP1669)&lt;&gt;"",N($W1669)&gt;0,INDEX(職員マスタ!$K$6:$K$405,$AP1669)&lt;&gt;$W1669),"標準報酬月額が申請書と相違（台帳"&amp;TEXT(INDEX(職員マスタ!$K$6:$K$405,$AP1669),"#,##0")&amp;"円／申請書"&amp;TEXT($W1669,"#,##0")&amp;"円）／","")&amp;IF(AND(INDEX(職員マスタ!$F$6:$F$405,$AP1669)&lt;&gt;"",$AQ1669&lt;&gt;"",INDEX(職員マスタ!$F$6:$F$405,$AP1669)&lt;$AQ1669),"対象月に子が2歳到達済／","")&amp;IF(AND($H1669&lt;&gt;"",INDEX(職員マスタ!$B$6:$B$405,$AP1669)&lt;&gt;"",SUBSTITUTE(SUBSTITUTE($H1669," ","")," ","")&lt;&gt;SUBSTITUTE(SUBSTITUTE(INDEX(職員マスタ!$B$6:$B$405,$AP1669)," ","")," ","")),"氏名がマスタと相違／","")&amp;IF(AND($Q1669&lt;&gt;"",INDEX(職員マスタ!$E$6:$E$405,$AP1669)&lt;&gt;"",$Q1669&lt;&gt;INDEX(職員マスタ!$E$6:$E$405,$AP1669)),"子の生年月日がマスタと相違／","")&amp;IF(AND($L1669&lt;&gt;"",INDEX(職員マスタ!$G$6:$G$405,$AP1669)&lt;&gt;"",$L1669&lt;&gt;INDEX(職員マスタ!$G$6:$G$405,$AP1669)),"時短開始日がマスタと相違／","")&amp;IF(AND($M1669&lt;&gt;"",INDEX(職員マスタ!$H$6:$H$405,$AP1669)&lt;&gt;"",$M1669&lt;&gt;INDEX(職員マスタ!$H$6:$H$405,$AP1669)),"時短終了日がマスタと相違／","")))&amp;IF(AND($B1669&lt;&gt;"",$E1669=""),"報酬額が未入力／","")&amp;IF(N($U1669)&gt;0,"申請書に入力エラーが残っています／","")&amp;IF(AND($B1669&lt;&gt;"",$AQ1669&lt;&gt;""),IF(COUNTIFS($B$6:$B$3005,$B1669,$C$6:$C$3005,$C1669,$D$6:$D$3005,$D1669)&gt;1,"同じ月の請求が重複しています／",""),"")&amp;IF(AND(N($E1669)&gt;0,$AB1669&lt;&gt;"",$AB1669&lt;&gt;"×",$AE1669=0,$AD1669=""),"計算額が下限以下のため不支給／",""))</f>
        <v/>
      </c>
      <c r="AN1669" s="12" t="n"/>
      <c r="AO1669" s="14">
        <f>IF($AF1669="保留中",COUNTIF($AF$6:$AF1669,"保留中"),"")</f>
        <v/>
      </c>
      <c r="AP1669" s="14">
        <f>IF($AQ1669="","",IF(SUMPRODUCT(MAX((職員マスタ!$A$6:$A$405=$B1669)*(((職員マスタ!$G$6:$G$405="")+(職員マスタ!$G$6:$G$405&lt;=EOMONTH($AQ1669,0)))&gt;0)*(((職員マスタ!$H$6:$H$405="")+(職員マスタ!$H$6:$H$405&gt;=$AQ1669))&gt;0)*(ROW(職員マスタ!$A$6:$A$405)-5)))&gt;0,SUMPRODUCT(MAX((職員マスタ!$A$6:$A$405=$B1669)*(((職員マスタ!$G$6:$G$405="")+(職員マスタ!$G$6:$G$405&lt;=EOMONTH($AQ1669,0)))&gt;0)*(((職員マスタ!$H$6:$H$405="")+(職員マスタ!$H$6:$H$405&gt;=$AQ1669))&gt;0)*(ROW(職員マスタ!$A$6:$A$405)-5))),IFERROR(MATCH($B1669,職員マスタ!$A$6:$A$405,0),"")))</f>
        <v/>
      </c>
      <c r="AQ1669" s="16">
        <f>IF(OR($B1669="",$C1669="",$D1669=""),"",DATE($C1669+2018,$D1669,1))</f>
        <v/>
      </c>
    </row>
    <row r="1670">
      <c r="A1670" s="11" t="n"/>
      <c r="B1670" s="12" t="n"/>
      <c r="C1670" s="12" t="n"/>
      <c r="D1670" s="12" t="n"/>
      <c r="E1670" s="13" t="n"/>
      <c r="F1670" s="12" t="n"/>
      <c r="G1670" s="13" t="n"/>
      <c r="H1670" s="12" t="n"/>
      <c r="I1670" s="12" t="n"/>
      <c r="J1670" s="12" t="n"/>
      <c r="K1670" s="12" t="n"/>
      <c r="L1670" s="11" t="n"/>
      <c r="M1670" s="11" t="n"/>
      <c r="N1670" s="11" t="n"/>
      <c r="O1670" s="11" t="n"/>
      <c r="P1670" s="12" t="n"/>
      <c r="Q1670" s="11" t="n"/>
      <c r="R1670" s="12" t="n"/>
      <c r="S1670" s="11" t="n"/>
      <c r="T1670" s="12" t="n"/>
      <c r="U1670" s="12" t="n"/>
      <c r="V1670" s="12" t="n"/>
      <c r="W1670" s="13" t="n"/>
      <c r="X1670" s="14">
        <f>IF($AP1670="",IF($B1670="","",$H1670),IF(INDEX(職員マスタ!$B$6:$B$405,$AP1670)="",$H1670,INDEX(職員マスタ!$B$6:$B$405,$AP1670)))</f>
        <v/>
      </c>
      <c r="Y1670" s="14">
        <f>IF($AP1670="",IF($B1670="","",$R1670),IF(INDEX(職員マスタ!$C$6:$C$405,$AP1670)="",$R1670,INDEX(職員マスタ!$C$6:$C$405,$AP1670)))</f>
        <v/>
      </c>
      <c r="Z1670" s="14">
        <f>IF($AQ1670="","","R"&amp;$C1670&amp;"."&amp;$D1670)</f>
        <v/>
      </c>
      <c r="AA1670" s="15">
        <f>IF(IF($AP1670="",FALSE,INDEX(職員マスタ!$K$6:$K$405,$AP1670)&lt;&gt;""),INDEX(職員マスタ!$K$6:$K$405,$AP1670),IF(N($W1670)&gt;0,$W1670,""))</f>
        <v/>
      </c>
      <c r="AB1670" s="14">
        <f>IF(OR($E1670="",$AA1670=""),"",IF($E1670&gt;=$AA1670,"×",IF($E1670&gt;=$AA1670*設定!$C$5,"△","○")))</f>
        <v/>
      </c>
      <c r="AC1670" s="15">
        <f>IF($AB1670="","",IF($AB1670="×",0,IF($AB1670="○",ROUNDDOWN($E1670*設定!$C$4,0),ROUNDDOWN($E1670*ROUND((9*$AA1670-9*$E1670)/(10*$E1670),4),0))))</f>
        <v/>
      </c>
      <c r="AD1670" s="13" t="n"/>
      <c r="AE1670" s="15">
        <f>IF($B1670="","",IF($AD1670&lt;&gt;"",$AD1670,IF($AC1670="","",IF($AC1670&lt;=設定!$C$3,0,$AC1670))))</f>
        <v/>
      </c>
      <c r="AF1670" s="14">
        <f>IF($B1670="","",IF(AND($AG1670&lt;&gt;"",$AI1670="",$AL1670=""),"保留中",IF($AL1670&lt;&gt;"",IF(N($AE1670)&gt;0,"支給済","不支給"),IF($AE1670="","要確認",IF($AE1670=0,"不支給","未処理")))))</f>
        <v/>
      </c>
      <c r="AG1670" s="12" t="n"/>
      <c r="AH1670" s="11" t="n"/>
      <c r="AI1670" s="11" t="n"/>
      <c r="AJ1670" s="11" t="n"/>
      <c r="AK1670" s="14">
        <f>IF(AND($AF1670="保留中",$AH1670&lt;&gt;""),TODAY()-$AH1670,"")</f>
        <v/>
      </c>
      <c r="AL1670" s="12" t="n"/>
      <c r="AM1670" s="14">
        <f>IF($B1670="","",IF($AQ1670="","対象年月が未入力／","")&amp;IF($B1670="","",IF($AP1670="","職員マスタに未登録の職員番号／",IF($AA1670="","標準報酬月額が未登録／","")&amp;IF(AND($AQ1670&lt;&gt;"",OR(AND(INDEX(職員マスタ!$G$6:$G$405,$AP1670)&lt;&gt;"",INDEX(職員マスタ!$G$6:$G$405,$AP1670)&gt;EOMONTH($AQ1670,0)),AND(INDEX(職員マスタ!$H$6:$H$405,$AP1670)&lt;&gt;"",INDEX(職員マスタ!$H$6:$H$405,$AP1670)&lt;$AQ1670))),"対象月が時短期間外／","")&amp;IF(AND(INDEX(職員マスタ!$K$6:$K$405,$AP1670)&lt;&gt;"",N($W1670)&gt;0,INDEX(職員マスタ!$K$6:$K$405,$AP1670)&lt;&gt;$W1670),"標準報酬月額が申請書と相違（台帳"&amp;TEXT(INDEX(職員マスタ!$K$6:$K$405,$AP1670),"#,##0")&amp;"円／申請書"&amp;TEXT($W1670,"#,##0")&amp;"円）／","")&amp;IF(AND(INDEX(職員マスタ!$F$6:$F$405,$AP1670)&lt;&gt;"",$AQ1670&lt;&gt;"",INDEX(職員マスタ!$F$6:$F$405,$AP1670)&lt;$AQ1670),"対象月に子が2歳到達済／","")&amp;IF(AND($H1670&lt;&gt;"",INDEX(職員マスタ!$B$6:$B$405,$AP1670)&lt;&gt;"",SUBSTITUTE(SUBSTITUTE($H1670," ","")," ","")&lt;&gt;SUBSTITUTE(SUBSTITUTE(INDEX(職員マスタ!$B$6:$B$405,$AP1670)," ","")," ","")),"氏名がマスタと相違／","")&amp;IF(AND($Q1670&lt;&gt;"",INDEX(職員マスタ!$E$6:$E$405,$AP1670)&lt;&gt;"",$Q1670&lt;&gt;INDEX(職員マスタ!$E$6:$E$405,$AP1670)),"子の生年月日がマスタと相違／","")&amp;IF(AND($L1670&lt;&gt;"",INDEX(職員マスタ!$G$6:$G$405,$AP1670)&lt;&gt;"",$L1670&lt;&gt;INDEX(職員マスタ!$G$6:$G$405,$AP1670)),"時短開始日がマスタと相違／","")&amp;IF(AND($M1670&lt;&gt;"",INDEX(職員マスタ!$H$6:$H$405,$AP1670)&lt;&gt;"",$M1670&lt;&gt;INDEX(職員マスタ!$H$6:$H$405,$AP1670)),"時短終了日がマスタと相違／","")))&amp;IF(AND($B1670&lt;&gt;"",$E1670=""),"報酬額が未入力／","")&amp;IF(N($U1670)&gt;0,"申請書に入力エラーが残っています／","")&amp;IF(AND($B1670&lt;&gt;"",$AQ1670&lt;&gt;""),IF(COUNTIFS($B$6:$B$3005,$B1670,$C$6:$C$3005,$C1670,$D$6:$D$3005,$D1670)&gt;1,"同じ月の請求が重複しています／",""),"")&amp;IF(AND(N($E1670)&gt;0,$AB1670&lt;&gt;"",$AB1670&lt;&gt;"×",$AE1670=0,$AD1670=""),"計算額が下限以下のため不支給／",""))</f>
        <v/>
      </c>
      <c r="AN1670" s="12" t="n"/>
      <c r="AO1670" s="14">
        <f>IF($AF1670="保留中",COUNTIF($AF$6:$AF1670,"保留中"),"")</f>
        <v/>
      </c>
      <c r="AP1670" s="14">
        <f>IF($AQ1670="","",IF(SUMPRODUCT(MAX((職員マスタ!$A$6:$A$405=$B1670)*(((職員マスタ!$G$6:$G$405="")+(職員マスタ!$G$6:$G$405&lt;=EOMONTH($AQ1670,0)))&gt;0)*(((職員マスタ!$H$6:$H$405="")+(職員マスタ!$H$6:$H$405&gt;=$AQ1670))&gt;0)*(ROW(職員マスタ!$A$6:$A$405)-5)))&gt;0,SUMPRODUCT(MAX((職員マスタ!$A$6:$A$405=$B1670)*(((職員マスタ!$G$6:$G$405="")+(職員マスタ!$G$6:$G$405&lt;=EOMONTH($AQ1670,0)))&gt;0)*(((職員マスタ!$H$6:$H$405="")+(職員マスタ!$H$6:$H$405&gt;=$AQ1670))&gt;0)*(ROW(職員マスタ!$A$6:$A$405)-5))),IFERROR(MATCH($B1670,職員マスタ!$A$6:$A$405,0),"")))</f>
        <v/>
      </c>
      <c r="AQ1670" s="16">
        <f>IF(OR($B1670="",$C1670="",$D1670=""),"",DATE($C1670+2018,$D1670,1))</f>
        <v/>
      </c>
    </row>
    <row r="1671">
      <c r="A1671" s="11" t="n"/>
      <c r="B1671" s="12" t="n"/>
      <c r="C1671" s="12" t="n"/>
      <c r="D1671" s="12" t="n"/>
      <c r="E1671" s="13" t="n"/>
      <c r="F1671" s="12" t="n"/>
      <c r="G1671" s="13" t="n"/>
      <c r="H1671" s="12" t="n"/>
      <c r="I1671" s="12" t="n"/>
      <c r="J1671" s="12" t="n"/>
      <c r="K1671" s="12" t="n"/>
      <c r="L1671" s="11" t="n"/>
      <c r="M1671" s="11" t="n"/>
      <c r="N1671" s="11" t="n"/>
      <c r="O1671" s="11" t="n"/>
      <c r="P1671" s="12" t="n"/>
      <c r="Q1671" s="11" t="n"/>
      <c r="R1671" s="12" t="n"/>
      <c r="S1671" s="11" t="n"/>
      <c r="T1671" s="12" t="n"/>
      <c r="U1671" s="12" t="n"/>
      <c r="V1671" s="12" t="n"/>
      <c r="W1671" s="13" t="n"/>
      <c r="X1671" s="14">
        <f>IF($AP1671="",IF($B1671="","",$H1671),IF(INDEX(職員マスタ!$B$6:$B$405,$AP1671)="",$H1671,INDEX(職員マスタ!$B$6:$B$405,$AP1671)))</f>
        <v/>
      </c>
      <c r="Y1671" s="14">
        <f>IF($AP1671="",IF($B1671="","",$R1671),IF(INDEX(職員マスタ!$C$6:$C$405,$AP1671)="",$R1671,INDEX(職員マスタ!$C$6:$C$405,$AP1671)))</f>
        <v/>
      </c>
      <c r="Z1671" s="14">
        <f>IF($AQ1671="","","R"&amp;$C1671&amp;"."&amp;$D1671)</f>
        <v/>
      </c>
      <c r="AA1671" s="15">
        <f>IF(IF($AP1671="",FALSE,INDEX(職員マスタ!$K$6:$K$405,$AP1671)&lt;&gt;""),INDEX(職員マスタ!$K$6:$K$405,$AP1671),IF(N($W1671)&gt;0,$W1671,""))</f>
        <v/>
      </c>
      <c r="AB1671" s="14">
        <f>IF(OR($E1671="",$AA1671=""),"",IF($E1671&gt;=$AA1671,"×",IF($E1671&gt;=$AA1671*設定!$C$5,"△","○")))</f>
        <v/>
      </c>
      <c r="AC1671" s="15">
        <f>IF($AB1671="","",IF($AB1671="×",0,IF($AB1671="○",ROUNDDOWN($E1671*設定!$C$4,0),ROUNDDOWN($E1671*ROUND((9*$AA1671-9*$E1671)/(10*$E1671),4),0))))</f>
        <v/>
      </c>
      <c r="AD1671" s="13" t="n"/>
      <c r="AE1671" s="15">
        <f>IF($B1671="","",IF($AD1671&lt;&gt;"",$AD1671,IF($AC1671="","",IF($AC1671&lt;=設定!$C$3,0,$AC1671))))</f>
        <v/>
      </c>
      <c r="AF1671" s="14">
        <f>IF($B1671="","",IF(AND($AG1671&lt;&gt;"",$AI1671="",$AL1671=""),"保留中",IF($AL1671&lt;&gt;"",IF(N($AE1671)&gt;0,"支給済","不支給"),IF($AE1671="","要確認",IF($AE1671=0,"不支給","未処理")))))</f>
        <v/>
      </c>
      <c r="AG1671" s="12" t="n"/>
      <c r="AH1671" s="11" t="n"/>
      <c r="AI1671" s="11" t="n"/>
      <c r="AJ1671" s="11" t="n"/>
      <c r="AK1671" s="14">
        <f>IF(AND($AF1671="保留中",$AH1671&lt;&gt;""),TODAY()-$AH1671,"")</f>
        <v/>
      </c>
      <c r="AL1671" s="12" t="n"/>
      <c r="AM1671" s="14">
        <f>IF($B1671="","",IF($AQ1671="","対象年月が未入力／","")&amp;IF($B1671="","",IF($AP1671="","職員マスタに未登録の職員番号／",IF($AA1671="","標準報酬月額が未登録／","")&amp;IF(AND($AQ1671&lt;&gt;"",OR(AND(INDEX(職員マスタ!$G$6:$G$405,$AP1671)&lt;&gt;"",INDEX(職員マスタ!$G$6:$G$405,$AP1671)&gt;EOMONTH($AQ1671,0)),AND(INDEX(職員マスタ!$H$6:$H$405,$AP1671)&lt;&gt;"",INDEX(職員マスタ!$H$6:$H$405,$AP1671)&lt;$AQ1671))),"対象月が時短期間外／","")&amp;IF(AND(INDEX(職員マスタ!$K$6:$K$405,$AP1671)&lt;&gt;"",N($W1671)&gt;0,INDEX(職員マスタ!$K$6:$K$405,$AP1671)&lt;&gt;$W1671),"標準報酬月額が申請書と相違（台帳"&amp;TEXT(INDEX(職員マスタ!$K$6:$K$405,$AP1671),"#,##0")&amp;"円／申請書"&amp;TEXT($W1671,"#,##0")&amp;"円）／","")&amp;IF(AND(INDEX(職員マスタ!$F$6:$F$405,$AP1671)&lt;&gt;"",$AQ1671&lt;&gt;"",INDEX(職員マスタ!$F$6:$F$405,$AP1671)&lt;$AQ1671),"対象月に子が2歳到達済／","")&amp;IF(AND($H1671&lt;&gt;"",INDEX(職員マスタ!$B$6:$B$405,$AP1671)&lt;&gt;"",SUBSTITUTE(SUBSTITUTE($H1671," ","")," ","")&lt;&gt;SUBSTITUTE(SUBSTITUTE(INDEX(職員マスタ!$B$6:$B$405,$AP1671)," ","")," ","")),"氏名がマスタと相違／","")&amp;IF(AND($Q1671&lt;&gt;"",INDEX(職員マスタ!$E$6:$E$405,$AP1671)&lt;&gt;"",$Q1671&lt;&gt;INDEX(職員マスタ!$E$6:$E$405,$AP1671)),"子の生年月日がマスタと相違／","")&amp;IF(AND($L1671&lt;&gt;"",INDEX(職員マスタ!$G$6:$G$405,$AP1671)&lt;&gt;"",$L1671&lt;&gt;INDEX(職員マスタ!$G$6:$G$405,$AP1671)),"時短開始日がマスタと相違／","")&amp;IF(AND($M1671&lt;&gt;"",INDEX(職員マスタ!$H$6:$H$405,$AP1671)&lt;&gt;"",$M1671&lt;&gt;INDEX(職員マスタ!$H$6:$H$405,$AP1671)),"時短終了日がマスタと相違／","")))&amp;IF(AND($B1671&lt;&gt;"",$E1671=""),"報酬額が未入力／","")&amp;IF(N($U1671)&gt;0,"申請書に入力エラーが残っています／","")&amp;IF(AND($B1671&lt;&gt;"",$AQ1671&lt;&gt;""),IF(COUNTIFS($B$6:$B$3005,$B1671,$C$6:$C$3005,$C1671,$D$6:$D$3005,$D1671)&gt;1,"同じ月の請求が重複しています／",""),"")&amp;IF(AND(N($E1671)&gt;0,$AB1671&lt;&gt;"",$AB1671&lt;&gt;"×",$AE1671=0,$AD1671=""),"計算額が下限以下のため不支給／",""))</f>
        <v/>
      </c>
      <c r="AN1671" s="12" t="n"/>
      <c r="AO1671" s="14">
        <f>IF($AF1671="保留中",COUNTIF($AF$6:$AF1671,"保留中"),"")</f>
        <v/>
      </c>
      <c r="AP1671" s="14">
        <f>IF($AQ1671="","",IF(SUMPRODUCT(MAX((職員マスタ!$A$6:$A$405=$B1671)*(((職員マスタ!$G$6:$G$405="")+(職員マスタ!$G$6:$G$405&lt;=EOMONTH($AQ1671,0)))&gt;0)*(((職員マスタ!$H$6:$H$405="")+(職員マスタ!$H$6:$H$405&gt;=$AQ1671))&gt;0)*(ROW(職員マスタ!$A$6:$A$405)-5)))&gt;0,SUMPRODUCT(MAX((職員マスタ!$A$6:$A$405=$B1671)*(((職員マスタ!$G$6:$G$405="")+(職員マスタ!$G$6:$G$405&lt;=EOMONTH($AQ1671,0)))&gt;0)*(((職員マスタ!$H$6:$H$405="")+(職員マスタ!$H$6:$H$405&gt;=$AQ1671))&gt;0)*(ROW(職員マスタ!$A$6:$A$405)-5))),IFERROR(MATCH($B1671,職員マスタ!$A$6:$A$405,0),"")))</f>
        <v/>
      </c>
      <c r="AQ1671" s="16">
        <f>IF(OR($B1671="",$C1671="",$D1671=""),"",DATE($C1671+2018,$D1671,1))</f>
        <v/>
      </c>
    </row>
    <row r="1672">
      <c r="A1672" s="11" t="n"/>
      <c r="B1672" s="12" t="n"/>
      <c r="C1672" s="12" t="n"/>
      <c r="D1672" s="12" t="n"/>
      <c r="E1672" s="13" t="n"/>
      <c r="F1672" s="12" t="n"/>
      <c r="G1672" s="13" t="n"/>
      <c r="H1672" s="12" t="n"/>
      <c r="I1672" s="12" t="n"/>
      <c r="J1672" s="12" t="n"/>
      <c r="K1672" s="12" t="n"/>
      <c r="L1672" s="11" t="n"/>
      <c r="M1672" s="11" t="n"/>
      <c r="N1672" s="11" t="n"/>
      <c r="O1672" s="11" t="n"/>
      <c r="P1672" s="12" t="n"/>
      <c r="Q1672" s="11" t="n"/>
      <c r="R1672" s="12" t="n"/>
      <c r="S1672" s="11" t="n"/>
      <c r="T1672" s="12" t="n"/>
      <c r="U1672" s="12" t="n"/>
      <c r="V1672" s="12" t="n"/>
      <c r="W1672" s="13" t="n"/>
      <c r="X1672" s="14">
        <f>IF($AP1672="",IF($B1672="","",$H1672),IF(INDEX(職員マスタ!$B$6:$B$405,$AP1672)="",$H1672,INDEX(職員マスタ!$B$6:$B$405,$AP1672)))</f>
        <v/>
      </c>
      <c r="Y1672" s="14">
        <f>IF($AP1672="",IF($B1672="","",$R1672),IF(INDEX(職員マスタ!$C$6:$C$405,$AP1672)="",$R1672,INDEX(職員マスタ!$C$6:$C$405,$AP1672)))</f>
        <v/>
      </c>
      <c r="Z1672" s="14">
        <f>IF($AQ1672="","","R"&amp;$C1672&amp;"."&amp;$D1672)</f>
        <v/>
      </c>
      <c r="AA1672" s="15">
        <f>IF(IF($AP1672="",FALSE,INDEX(職員マスタ!$K$6:$K$405,$AP1672)&lt;&gt;""),INDEX(職員マスタ!$K$6:$K$405,$AP1672),IF(N($W1672)&gt;0,$W1672,""))</f>
        <v/>
      </c>
      <c r="AB1672" s="14">
        <f>IF(OR($E1672="",$AA1672=""),"",IF($E1672&gt;=$AA1672,"×",IF($E1672&gt;=$AA1672*設定!$C$5,"△","○")))</f>
        <v/>
      </c>
      <c r="AC1672" s="15">
        <f>IF($AB1672="","",IF($AB1672="×",0,IF($AB1672="○",ROUNDDOWN($E1672*設定!$C$4,0),ROUNDDOWN($E1672*ROUND((9*$AA1672-9*$E1672)/(10*$E1672),4),0))))</f>
        <v/>
      </c>
      <c r="AD1672" s="13" t="n"/>
      <c r="AE1672" s="15">
        <f>IF($B1672="","",IF($AD1672&lt;&gt;"",$AD1672,IF($AC1672="","",IF($AC1672&lt;=設定!$C$3,0,$AC1672))))</f>
        <v/>
      </c>
      <c r="AF1672" s="14">
        <f>IF($B1672="","",IF(AND($AG1672&lt;&gt;"",$AI1672="",$AL1672=""),"保留中",IF($AL1672&lt;&gt;"",IF(N($AE1672)&gt;0,"支給済","不支給"),IF($AE1672="","要確認",IF($AE1672=0,"不支給","未処理")))))</f>
        <v/>
      </c>
      <c r="AG1672" s="12" t="n"/>
      <c r="AH1672" s="11" t="n"/>
      <c r="AI1672" s="11" t="n"/>
      <c r="AJ1672" s="11" t="n"/>
      <c r="AK1672" s="14">
        <f>IF(AND($AF1672="保留中",$AH1672&lt;&gt;""),TODAY()-$AH1672,"")</f>
        <v/>
      </c>
      <c r="AL1672" s="12" t="n"/>
      <c r="AM1672" s="14">
        <f>IF($B1672="","",IF($AQ1672="","対象年月が未入力／","")&amp;IF($B1672="","",IF($AP1672="","職員マスタに未登録の職員番号／",IF($AA1672="","標準報酬月額が未登録／","")&amp;IF(AND($AQ1672&lt;&gt;"",OR(AND(INDEX(職員マスタ!$G$6:$G$405,$AP1672)&lt;&gt;"",INDEX(職員マスタ!$G$6:$G$405,$AP1672)&gt;EOMONTH($AQ1672,0)),AND(INDEX(職員マスタ!$H$6:$H$405,$AP1672)&lt;&gt;"",INDEX(職員マスタ!$H$6:$H$405,$AP1672)&lt;$AQ1672))),"対象月が時短期間外／","")&amp;IF(AND(INDEX(職員マスタ!$K$6:$K$405,$AP1672)&lt;&gt;"",N($W1672)&gt;0,INDEX(職員マスタ!$K$6:$K$405,$AP1672)&lt;&gt;$W1672),"標準報酬月額が申請書と相違（台帳"&amp;TEXT(INDEX(職員マスタ!$K$6:$K$405,$AP1672),"#,##0")&amp;"円／申請書"&amp;TEXT($W1672,"#,##0")&amp;"円）／","")&amp;IF(AND(INDEX(職員マスタ!$F$6:$F$405,$AP1672)&lt;&gt;"",$AQ1672&lt;&gt;"",INDEX(職員マスタ!$F$6:$F$405,$AP1672)&lt;$AQ1672),"対象月に子が2歳到達済／","")&amp;IF(AND($H1672&lt;&gt;"",INDEX(職員マスタ!$B$6:$B$405,$AP1672)&lt;&gt;"",SUBSTITUTE(SUBSTITUTE($H1672," ","")," ","")&lt;&gt;SUBSTITUTE(SUBSTITUTE(INDEX(職員マスタ!$B$6:$B$405,$AP1672)," ","")," ","")),"氏名がマスタと相違／","")&amp;IF(AND($Q1672&lt;&gt;"",INDEX(職員マスタ!$E$6:$E$405,$AP1672)&lt;&gt;"",$Q1672&lt;&gt;INDEX(職員マスタ!$E$6:$E$405,$AP1672)),"子の生年月日がマスタと相違／","")&amp;IF(AND($L1672&lt;&gt;"",INDEX(職員マスタ!$G$6:$G$405,$AP1672)&lt;&gt;"",$L1672&lt;&gt;INDEX(職員マスタ!$G$6:$G$405,$AP1672)),"時短開始日がマスタと相違／","")&amp;IF(AND($M1672&lt;&gt;"",INDEX(職員マスタ!$H$6:$H$405,$AP1672)&lt;&gt;"",$M1672&lt;&gt;INDEX(職員マスタ!$H$6:$H$405,$AP1672)),"時短終了日がマスタと相違／","")))&amp;IF(AND($B1672&lt;&gt;"",$E1672=""),"報酬額が未入力／","")&amp;IF(N($U1672)&gt;0,"申請書に入力エラーが残っています／","")&amp;IF(AND($B1672&lt;&gt;"",$AQ1672&lt;&gt;""),IF(COUNTIFS($B$6:$B$3005,$B1672,$C$6:$C$3005,$C1672,$D$6:$D$3005,$D1672)&gt;1,"同じ月の請求が重複しています／",""),"")&amp;IF(AND(N($E1672)&gt;0,$AB1672&lt;&gt;"",$AB1672&lt;&gt;"×",$AE1672=0,$AD1672=""),"計算額が下限以下のため不支給／",""))</f>
        <v/>
      </c>
      <c r="AN1672" s="12" t="n"/>
      <c r="AO1672" s="14">
        <f>IF($AF1672="保留中",COUNTIF($AF$6:$AF1672,"保留中"),"")</f>
        <v/>
      </c>
      <c r="AP1672" s="14">
        <f>IF($AQ1672="","",IF(SUMPRODUCT(MAX((職員マスタ!$A$6:$A$405=$B1672)*(((職員マスタ!$G$6:$G$405="")+(職員マスタ!$G$6:$G$405&lt;=EOMONTH($AQ1672,0)))&gt;0)*(((職員マスタ!$H$6:$H$405="")+(職員マスタ!$H$6:$H$405&gt;=$AQ1672))&gt;0)*(ROW(職員マスタ!$A$6:$A$405)-5)))&gt;0,SUMPRODUCT(MAX((職員マスタ!$A$6:$A$405=$B1672)*(((職員マスタ!$G$6:$G$405="")+(職員マスタ!$G$6:$G$405&lt;=EOMONTH($AQ1672,0)))&gt;0)*(((職員マスタ!$H$6:$H$405="")+(職員マスタ!$H$6:$H$405&gt;=$AQ1672))&gt;0)*(ROW(職員マスタ!$A$6:$A$405)-5))),IFERROR(MATCH($B1672,職員マスタ!$A$6:$A$405,0),"")))</f>
        <v/>
      </c>
      <c r="AQ1672" s="16">
        <f>IF(OR($B1672="",$C1672="",$D1672=""),"",DATE($C1672+2018,$D1672,1))</f>
        <v/>
      </c>
    </row>
    <row r="1673">
      <c r="A1673" s="11" t="n"/>
      <c r="B1673" s="12" t="n"/>
      <c r="C1673" s="12" t="n"/>
      <c r="D1673" s="12" t="n"/>
      <c r="E1673" s="13" t="n"/>
      <c r="F1673" s="12" t="n"/>
      <c r="G1673" s="13" t="n"/>
      <c r="H1673" s="12" t="n"/>
      <c r="I1673" s="12" t="n"/>
      <c r="J1673" s="12" t="n"/>
      <c r="K1673" s="12" t="n"/>
      <c r="L1673" s="11" t="n"/>
      <c r="M1673" s="11" t="n"/>
      <c r="N1673" s="11" t="n"/>
      <c r="O1673" s="11" t="n"/>
      <c r="P1673" s="12" t="n"/>
      <c r="Q1673" s="11" t="n"/>
      <c r="R1673" s="12" t="n"/>
      <c r="S1673" s="11" t="n"/>
      <c r="T1673" s="12" t="n"/>
      <c r="U1673" s="12" t="n"/>
      <c r="V1673" s="12" t="n"/>
      <c r="W1673" s="13" t="n"/>
      <c r="X1673" s="14">
        <f>IF($AP1673="",IF($B1673="","",$H1673),IF(INDEX(職員マスタ!$B$6:$B$405,$AP1673)="",$H1673,INDEX(職員マスタ!$B$6:$B$405,$AP1673)))</f>
        <v/>
      </c>
      <c r="Y1673" s="14">
        <f>IF($AP1673="",IF($B1673="","",$R1673),IF(INDEX(職員マスタ!$C$6:$C$405,$AP1673)="",$R1673,INDEX(職員マスタ!$C$6:$C$405,$AP1673)))</f>
        <v/>
      </c>
      <c r="Z1673" s="14">
        <f>IF($AQ1673="","","R"&amp;$C1673&amp;"."&amp;$D1673)</f>
        <v/>
      </c>
      <c r="AA1673" s="15">
        <f>IF(IF($AP1673="",FALSE,INDEX(職員マスタ!$K$6:$K$405,$AP1673)&lt;&gt;""),INDEX(職員マスタ!$K$6:$K$405,$AP1673),IF(N($W1673)&gt;0,$W1673,""))</f>
        <v/>
      </c>
      <c r="AB1673" s="14">
        <f>IF(OR($E1673="",$AA1673=""),"",IF($E1673&gt;=$AA1673,"×",IF($E1673&gt;=$AA1673*設定!$C$5,"△","○")))</f>
        <v/>
      </c>
      <c r="AC1673" s="15">
        <f>IF($AB1673="","",IF($AB1673="×",0,IF($AB1673="○",ROUNDDOWN($E1673*設定!$C$4,0),ROUNDDOWN($E1673*ROUND((9*$AA1673-9*$E1673)/(10*$E1673),4),0))))</f>
        <v/>
      </c>
      <c r="AD1673" s="13" t="n"/>
      <c r="AE1673" s="15">
        <f>IF($B1673="","",IF($AD1673&lt;&gt;"",$AD1673,IF($AC1673="","",IF($AC1673&lt;=設定!$C$3,0,$AC1673))))</f>
        <v/>
      </c>
      <c r="AF1673" s="14">
        <f>IF($B1673="","",IF(AND($AG1673&lt;&gt;"",$AI1673="",$AL1673=""),"保留中",IF($AL1673&lt;&gt;"",IF(N($AE1673)&gt;0,"支給済","不支給"),IF($AE1673="","要確認",IF($AE1673=0,"不支給","未処理")))))</f>
        <v/>
      </c>
      <c r="AG1673" s="12" t="n"/>
      <c r="AH1673" s="11" t="n"/>
      <c r="AI1673" s="11" t="n"/>
      <c r="AJ1673" s="11" t="n"/>
      <c r="AK1673" s="14">
        <f>IF(AND($AF1673="保留中",$AH1673&lt;&gt;""),TODAY()-$AH1673,"")</f>
        <v/>
      </c>
      <c r="AL1673" s="12" t="n"/>
      <c r="AM1673" s="14">
        <f>IF($B1673="","",IF($AQ1673="","対象年月が未入力／","")&amp;IF($B1673="","",IF($AP1673="","職員マスタに未登録の職員番号／",IF($AA1673="","標準報酬月額が未登録／","")&amp;IF(AND($AQ1673&lt;&gt;"",OR(AND(INDEX(職員マスタ!$G$6:$G$405,$AP1673)&lt;&gt;"",INDEX(職員マスタ!$G$6:$G$405,$AP1673)&gt;EOMONTH($AQ1673,0)),AND(INDEX(職員マスタ!$H$6:$H$405,$AP1673)&lt;&gt;"",INDEX(職員マスタ!$H$6:$H$405,$AP1673)&lt;$AQ1673))),"対象月が時短期間外／","")&amp;IF(AND(INDEX(職員マスタ!$K$6:$K$405,$AP1673)&lt;&gt;"",N($W1673)&gt;0,INDEX(職員マスタ!$K$6:$K$405,$AP1673)&lt;&gt;$W1673),"標準報酬月額が申請書と相違（台帳"&amp;TEXT(INDEX(職員マスタ!$K$6:$K$405,$AP1673),"#,##0")&amp;"円／申請書"&amp;TEXT($W1673,"#,##0")&amp;"円）／","")&amp;IF(AND(INDEX(職員マスタ!$F$6:$F$405,$AP1673)&lt;&gt;"",$AQ1673&lt;&gt;"",INDEX(職員マスタ!$F$6:$F$405,$AP1673)&lt;$AQ1673),"対象月に子が2歳到達済／","")&amp;IF(AND($H1673&lt;&gt;"",INDEX(職員マスタ!$B$6:$B$405,$AP1673)&lt;&gt;"",SUBSTITUTE(SUBSTITUTE($H1673," ","")," ","")&lt;&gt;SUBSTITUTE(SUBSTITUTE(INDEX(職員マスタ!$B$6:$B$405,$AP1673)," ","")," ","")),"氏名がマスタと相違／","")&amp;IF(AND($Q1673&lt;&gt;"",INDEX(職員マスタ!$E$6:$E$405,$AP1673)&lt;&gt;"",$Q1673&lt;&gt;INDEX(職員マスタ!$E$6:$E$405,$AP1673)),"子の生年月日がマスタと相違／","")&amp;IF(AND($L1673&lt;&gt;"",INDEX(職員マスタ!$G$6:$G$405,$AP1673)&lt;&gt;"",$L1673&lt;&gt;INDEX(職員マスタ!$G$6:$G$405,$AP1673)),"時短開始日がマスタと相違／","")&amp;IF(AND($M1673&lt;&gt;"",INDEX(職員マスタ!$H$6:$H$405,$AP1673)&lt;&gt;"",$M1673&lt;&gt;INDEX(職員マスタ!$H$6:$H$405,$AP1673)),"時短終了日がマスタと相違／","")))&amp;IF(AND($B1673&lt;&gt;"",$E1673=""),"報酬額が未入力／","")&amp;IF(N($U1673)&gt;0,"申請書に入力エラーが残っています／","")&amp;IF(AND($B1673&lt;&gt;"",$AQ1673&lt;&gt;""),IF(COUNTIFS($B$6:$B$3005,$B1673,$C$6:$C$3005,$C1673,$D$6:$D$3005,$D1673)&gt;1,"同じ月の請求が重複しています／",""),"")&amp;IF(AND(N($E1673)&gt;0,$AB1673&lt;&gt;"",$AB1673&lt;&gt;"×",$AE1673=0,$AD1673=""),"計算額が下限以下のため不支給／",""))</f>
        <v/>
      </c>
      <c r="AN1673" s="12" t="n"/>
      <c r="AO1673" s="14">
        <f>IF($AF1673="保留中",COUNTIF($AF$6:$AF1673,"保留中"),"")</f>
        <v/>
      </c>
      <c r="AP1673" s="14">
        <f>IF($AQ1673="","",IF(SUMPRODUCT(MAX((職員マスタ!$A$6:$A$405=$B1673)*(((職員マスタ!$G$6:$G$405="")+(職員マスタ!$G$6:$G$405&lt;=EOMONTH($AQ1673,0)))&gt;0)*(((職員マスタ!$H$6:$H$405="")+(職員マスタ!$H$6:$H$405&gt;=$AQ1673))&gt;0)*(ROW(職員マスタ!$A$6:$A$405)-5)))&gt;0,SUMPRODUCT(MAX((職員マスタ!$A$6:$A$405=$B1673)*(((職員マスタ!$G$6:$G$405="")+(職員マスタ!$G$6:$G$405&lt;=EOMONTH($AQ1673,0)))&gt;0)*(((職員マスタ!$H$6:$H$405="")+(職員マスタ!$H$6:$H$405&gt;=$AQ1673))&gt;0)*(ROW(職員マスタ!$A$6:$A$405)-5))),IFERROR(MATCH($B1673,職員マスタ!$A$6:$A$405,0),"")))</f>
        <v/>
      </c>
      <c r="AQ1673" s="16">
        <f>IF(OR($B1673="",$C1673="",$D1673=""),"",DATE($C1673+2018,$D1673,1))</f>
        <v/>
      </c>
    </row>
    <row r="1674">
      <c r="A1674" s="11" t="n"/>
      <c r="B1674" s="12" t="n"/>
      <c r="C1674" s="12" t="n"/>
      <c r="D1674" s="12" t="n"/>
      <c r="E1674" s="13" t="n"/>
      <c r="F1674" s="12" t="n"/>
      <c r="G1674" s="13" t="n"/>
      <c r="H1674" s="12" t="n"/>
      <c r="I1674" s="12" t="n"/>
      <c r="J1674" s="12" t="n"/>
      <c r="K1674" s="12" t="n"/>
      <c r="L1674" s="11" t="n"/>
      <c r="M1674" s="11" t="n"/>
      <c r="N1674" s="11" t="n"/>
      <c r="O1674" s="11" t="n"/>
      <c r="P1674" s="12" t="n"/>
      <c r="Q1674" s="11" t="n"/>
      <c r="R1674" s="12" t="n"/>
      <c r="S1674" s="11" t="n"/>
      <c r="T1674" s="12" t="n"/>
      <c r="U1674" s="12" t="n"/>
      <c r="V1674" s="12" t="n"/>
      <c r="W1674" s="13" t="n"/>
      <c r="X1674" s="14">
        <f>IF($AP1674="",IF($B1674="","",$H1674),IF(INDEX(職員マスタ!$B$6:$B$405,$AP1674)="",$H1674,INDEX(職員マスタ!$B$6:$B$405,$AP1674)))</f>
        <v/>
      </c>
      <c r="Y1674" s="14">
        <f>IF($AP1674="",IF($B1674="","",$R1674),IF(INDEX(職員マスタ!$C$6:$C$405,$AP1674)="",$R1674,INDEX(職員マスタ!$C$6:$C$405,$AP1674)))</f>
        <v/>
      </c>
      <c r="Z1674" s="14">
        <f>IF($AQ1674="","","R"&amp;$C1674&amp;"."&amp;$D1674)</f>
        <v/>
      </c>
      <c r="AA1674" s="15">
        <f>IF(IF($AP1674="",FALSE,INDEX(職員マスタ!$K$6:$K$405,$AP1674)&lt;&gt;""),INDEX(職員マスタ!$K$6:$K$405,$AP1674),IF(N($W1674)&gt;0,$W1674,""))</f>
        <v/>
      </c>
      <c r="AB1674" s="14">
        <f>IF(OR($E1674="",$AA1674=""),"",IF($E1674&gt;=$AA1674,"×",IF($E1674&gt;=$AA1674*設定!$C$5,"△","○")))</f>
        <v/>
      </c>
      <c r="AC1674" s="15">
        <f>IF($AB1674="","",IF($AB1674="×",0,IF($AB1674="○",ROUNDDOWN($E1674*設定!$C$4,0),ROUNDDOWN($E1674*ROUND((9*$AA1674-9*$E1674)/(10*$E1674),4),0))))</f>
        <v/>
      </c>
      <c r="AD1674" s="13" t="n"/>
      <c r="AE1674" s="15">
        <f>IF($B1674="","",IF($AD1674&lt;&gt;"",$AD1674,IF($AC1674="","",IF($AC1674&lt;=設定!$C$3,0,$AC1674))))</f>
        <v/>
      </c>
      <c r="AF1674" s="14">
        <f>IF($B1674="","",IF(AND($AG1674&lt;&gt;"",$AI1674="",$AL1674=""),"保留中",IF($AL1674&lt;&gt;"",IF(N($AE1674)&gt;0,"支給済","不支給"),IF($AE1674="","要確認",IF($AE1674=0,"不支給","未処理")))))</f>
        <v/>
      </c>
      <c r="AG1674" s="12" t="n"/>
      <c r="AH1674" s="11" t="n"/>
      <c r="AI1674" s="11" t="n"/>
      <c r="AJ1674" s="11" t="n"/>
      <c r="AK1674" s="14">
        <f>IF(AND($AF1674="保留中",$AH1674&lt;&gt;""),TODAY()-$AH1674,"")</f>
        <v/>
      </c>
      <c r="AL1674" s="12" t="n"/>
      <c r="AM1674" s="14">
        <f>IF($B1674="","",IF($AQ1674="","対象年月が未入力／","")&amp;IF($B1674="","",IF($AP1674="","職員マスタに未登録の職員番号／",IF($AA1674="","標準報酬月額が未登録／","")&amp;IF(AND($AQ1674&lt;&gt;"",OR(AND(INDEX(職員マスタ!$G$6:$G$405,$AP1674)&lt;&gt;"",INDEX(職員マスタ!$G$6:$G$405,$AP1674)&gt;EOMONTH($AQ1674,0)),AND(INDEX(職員マスタ!$H$6:$H$405,$AP1674)&lt;&gt;"",INDEX(職員マスタ!$H$6:$H$405,$AP1674)&lt;$AQ1674))),"対象月が時短期間外／","")&amp;IF(AND(INDEX(職員マスタ!$K$6:$K$405,$AP1674)&lt;&gt;"",N($W1674)&gt;0,INDEX(職員マスタ!$K$6:$K$405,$AP1674)&lt;&gt;$W1674),"標準報酬月額が申請書と相違（台帳"&amp;TEXT(INDEX(職員マスタ!$K$6:$K$405,$AP1674),"#,##0")&amp;"円／申請書"&amp;TEXT($W1674,"#,##0")&amp;"円）／","")&amp;IF(AND(INDEX(職員マスタ!$F$6:$F$405,$AP1674)&lt;&gt;"",$AQ1674&lt;&gt;"",INDEX(職員マスタ!$F$6:$F$405,$AP1674)&lt;$AQ1674),"対象月に子が2歳到達済／","")&amp;IF(AND($H1674&lt;&gt;"",INDEX(職員マスタ!$B$6:$B$405,$AP1674)&lt;&gt;"",SUBSTITUTE(SUBSTITUTE($H1674," ","")," ","")&lt;&gt;SUBSTITUTE(SUBSTITUTE(INDEX(職員マスタ!$B$6:$B$405,$AP1674)," ","")," ","")),"氏名がマスタと相違／","")&amp;IF(AND($Q1674&lt;&gt;"",INDEX(職員マスタ!$E$6:$E$405,$AP1674)&lt;&gt;"",$Q1674&lt;&gt;INDEX(職員マスタ!$E$6:$E$405,$AP1674)),"子の生年月日がマスタと相違／","")&amp;IF(AND($L1674&lt;&gt;"",INDEX(職員マスタ!$G$6:$G$405,$AP1674)&lt;&gt;"",$L1674&lt;&gt;INDEX(職員マスタ!$G$6:$G$405,$AP1674)),"時短開始日がマスタと相違／","")&amp;IF(AND($M1674&lt;&gt;"",INDEX(職員マスタ!$H$6:$H$405,$AP1674)&lt;&gt;"",$M1674&lt;&gt;INDEX(職員マスタ!$H$6:$H$405,$AP1674)),"時短終了日がマスタと相違／","")))&amp;IF(AND($B1674&lt;&gt;"",$E1674=""),"報酬額が未入力／","")&amp;IF(N($U1674)&gt;0,"申請書に入力エラーが残っています／","")&amp;IF(AND($B1674&lt;&gt;"",$AQ1674&lt;&gt;""),IF(COUNTIFS($B$6:$B$3005,$B1674,$C$6:$C$3005,$C1674,$D$6:$D$3005,$D1674)&gt;1,"同じ月の請求が重複しています／",""),"")&amp;IF(AND(N($E1674)&gt;0,$AB1674&lt;&gt;"",$AB1674&lt;&gt;"×",$AE1674=0,$AD1674=""),"計算額が下限以下のため不支給／",""))</f>
        <v/>
      </c>
      <c r="AN1674" s="12" t="n"/>
      <c r="AO1674" s="14">
        <f>IF($AF1674="保留中",COUNTIF($AF$6:$AF1674,"保留中"),"")</f>
        <v/>
      </c>
      <c r="AP1674" s="14">
        <f>IF($AQ1674="","",IF(SUMPRODUCT(MAX((職員マスタ!$A$6:$A$405=$B1674)*(((職員マスタ!$G$6:$G$405="")+(職員マスタ!$G$6:$G$405&lt;=EOMONTH($AQ1674,0)))&gt;0)*(((職員マスタ!$H$6:$H$405="")+(職員マスタ!$H$6:$H$405&gt;=$AQ1674))&gt;0)*(ROW(職員マスタ!$A$6:$A$405)-5)))&gt;0,SUMPRODUCT(MAX((職員マスタ!$A$6:$A$405=$B1674)*(((職員マスタ!$G$6:$G$405="")+(職員マスタ!$G$6:$G$405&lt;=EOMONTH($AQ1674,0)))&gt;0)*(((職員マスタ!$H$6:$H$405="")+(職員マスタ!$H$6:$H$405&gt;=$AQ1674))&gt;0)*(ROW(職員マスタ!$A$6:$A$405)-5))),IFERROR(MATCH($B1674,職員マスタ!$A$6:$A$405,0),"")))</f>
        <v/>
      </c>
      <c r="AQ1674" s="16">
        <f>IF(OR($B1674="",$C1674="",$D1674=""),"",DATE($C1674+2018,$D1674,1))</f>
        <v/>
      </c>
    </row>
    <row r="1675">
      <c r="A1675" s="11" t="n"/>
      <c r="B1675" s="12" t="n"/>
      <c r="C1675" s="12" t="n"/>
      <c r="D1675" s="12" t="n"/>
      <c r="E1675" s="13" t="n"/>
      <c r="F1675" s="12" t="n"/>
      <c r="G1675" s="13" t="n"/>
      <c r="H1675" s="12" t="n"/>
      <c r="I1675" s="12" t="n"/>
      <c r="J1675" s="12" t="n"/>
      <c r="K1675" s="12" t="n"/>
      <c r="L1675" s="11" t="n"/>
      <c r="M1675" s="11" t="n"/>
      <c r="N1675" s="11" t="n"/>
      <c r="O1675" s="11" t="n"/>
      <c r="P1675" s="12" t="n"/>
      <c r="Q1675" s="11" t="n"/>
      <c r="R1675" s="12" t="n"/>
      <c r="S1675" s="11" t="n"/>
      <c r="T1675" s="12" t="n"/>
      <c r="U1675" s="12" t="n"/>
      <c r="V1675" s="12" t="n"/>
      <c r="W1675" s="13" t="n"/>
      <c r="X1675" s="14">
        <f>IF($AP1675="",IF($B1675="","",$H1675),IF(INDEX(職員マスタ!$B$6:$B$405,$AP1675)="",$H1675,INDEX(職員マスタ!$B$6:$B$405,$AP1675)))</f>
        <v/>
      </c>
      <c r="Y1675" s="14">
        <f>IF($AP1675="",IF($B1675="","",$R1675),IF(INDEX(職員マスタ!$C$6:$C$405,$AP1675)="",$R1675,INDEX(職員マスタ!$C$6:$C$405,$AP1675)))</f>
        <v/>
      </c>
      <c r="Z1675" s="14">
        <f>IF($AQ1675="","","R"&amp;$C1675&amp;"."&amp;$D1675)</f>
        <v/>
      </c>
      <c r="AA1675" s="15">
        <f>IF(IF($AP1675="",FALSE,INDEX(職員マスタ!$K$6:$K$405,$AP1675)&lt;&gt;""),INDEX(職員マスタ!$K$6:$K$405,$AP1675),IF(N($W1675)&gt;0,$W1675,""))</f>
        <v/>
      </c>
      <c r="AB1675" s="14">
        <f>IF(OR($E1675="",$AA1675=""),"",IF($E1675&gt;=$AA1675,"×",IF($E1675&gt;=$AA1675*設定!$C$5,"△","○")))</f>
        <v/>
      </c>
      <c r="AC1675" s="15">
        <f>IF($AB1675="","",IF($AB1675="×",0,IF($AB1675="○",ROUNDDOWN($E1675*設定!$C$4,0),ROUNDDOWN($E1675*ROUND((9*$AA1675-9*$E1675)/(10*$E1675),4),0))))</f>
        <v/>
      </c>
      <c r="AD1675" s="13" t="n"/>
      <c r="AE1675" s="15">
        <f>IF($B1675="","",IF($AD1675&lt;&gt;"",$AD1675,IF($AC1675="","",IF($AC1675&lt;=設定!$C$3,0,$AC1675))))</f>
        <v/>
      </c>
      <c r="AF1675" s="14">
        <f>IF($B1675="","",IF(AND($AG1675&lt;&gt;"",$AI1675="",$AL1675=""),"保留中",IF($AL1675&lt;&gt;"",IF(N($AE1675)&gt;0,"支給済","不支給"),IF($AE1675="","要確認",IF($AE1675=0,"不支給","未処理")))))</f>
        <v/>
      </c>
      <c r="AG1675" s="12" t="n"/>
      <c r="AH1675" s="11" t="n"/>
      <c r="AI1675" s="11" t="n"/>
      <c r="AJ1675" s="11" t="n"/>
      <c r="AK1675" s="14">
        <f>IF(AND($AF1675="保留中",$AH1675&lt;&gt;""),TODAY()-$AH1675,"")</f>
        <v/>
      </c>
      <c r="AL1675" s="12" t="n"/>
      <c r="AM1675" s="14">
        <f>IF($B1675="","",IF($AQ1675="","対象年月が未入力／","")&amp;IF($B1675="","",IF($AP1675="","職員マスタに未登録の職員番号／",IF($AA1675="","標準報酬月額が未登録／","")&amp;IF(AND($AQ1675&lt;&gt;"",OR(AND(INDEX(職員マスタ!$G$6:$G$405,$AP1675)&lt;&gt;"",INDEX(職員マスタ!$G$6:$G$405,$AP1675)&gt;EOMONTH($AQ1675,0)),AND(INDEX(職員マスタ!$H$6:$H$405,$AP1675)&lt;&gt;"",INDEX(職員マスタ!$H$6:$H$405,$AP1675)&lt;$AQ1675))),"対象月が時短期間外／","")&amp;IF(AND(INDEX(職員マスタ!$K$6:$K$405,$AP1675)&lt;&gt;"",N($W1675)&gt;0,INDEX(職員マスタ!$K$6:$K$405,$AP1675)&lt;&gt;$W1675),"標準報酬月額が申請書と相違（台帳"&amp;TEXT(INDEX(職員マスタ!$K$6:$K$405,$AP1675),"#,##0")&amp;"円／申請書"&amp;TEXT($W1675,"#,##0")&amp;"円）／","")&amp;IF(AND(INDEX(職員マスタ!$F$6:$F$405,$AP1675)&lt;&gt;"",$AQ1675&lt;&gt;"",INDEX(職員マスタ!$F$6:$F$405,$AP1675)&lt;$AQ1675),"対象月に子が2歳到達済／","")&amp;IF(AND($H1675&lt;&gt;"",INDEX(職員マスタ!$B$6:$B$405,$AP1675)&lt;&gt;"",SUBSTITUTE(SUBSTITUTE($H1675," ","")," ","")&lt;&gt;SUBSTITUTE(SUBSTITUTE(INDEX(職員マスタ!$B$6:$B$405,$AP1675)," ","")," ","")),"氏名がマスタと相違／","")&amp;IF(AND($Q1675&lt;&gt;"",INDEX(職員マスタ!$E$6:$E$405,$AP1675)&lt;&gt;"",$Q1675&lt;&gt;INDEX(職員マスタ!$E$6:$E$405,$AP1675)),"子の生年月日がマスタと相違／","")&amp;IF(AND($L1675&lt;&gt;"",INDEX(職員マスタ!$G$6:$G$405,$AP1675)&lt;&gt;"",$L1675&lt;&gt;INDEX(職員マスタ!$G$6:$G$405,$AP1675)),"時短開始日がマスタと相違／","")&amp;IF(AND($M1675&lt;&gt;"",INDEX(職員マスタ!$H$6:$H$405,$AP1675)&lt;&gt;"",$M1675&lt;&gt;INDEX(職員マスタ!$H$6:$H$405,$AP1675)),"時短終了日がマスタと相違／","")))&amp;IF(AND($B1675&lt;&gt;"",$E1675=""),"報酬額が未入力／","")&amp;IF(N($U1675)&gt;0,"申請書に入力エラーが残っています／","")&amp;IF(AND($B1675&lt;&gt;"",$AQ1675&lt;&gt;""),IF(COUNTIFS($B$6:$B$3005,$B1675,$C$6:$C$3005,$C1675,$D$6:$D$3005,$D1675)&gt;1,"同じ月の請求が重複しています／",""),"")&amp;IF(AND(N($E1675)&gt;0,$AB1675&lt;&gt;"",$AB1675&lt;&gt;"×",$AE1675=0,$AD1675=""),"計算額が下限以下のため不支給／",""))</f>
        <v/>
      </c>
      <c r="AN1675" s="12" t="n"/>
      <c r="AO1675" s="14">
        <f>IF($AF1675="保留中",COUNTIF($AF$6:$AF1675,"保留中"),"")</f>
        <v/>
      </c>
      <c r="AP1675" s="14">
        <f>IF($AQ1675="","",IF(SUMPRODUCT(MAX((職員マスタ!$A$6:$A$405=$B1675)*(((職員マスタ!$G$6:$G$405="")+(職員マスタ!$G$6:$G$405&lt;=EOMONTH($AQ1675,0)))&gt;0)*(((職員マスタ!$H$6:$H$405="")+(職員マスタ!$H$6:$H$405&gt;=$AQ1675))&gt;0)*(ROW(職員マスタ!$A$6:$A$405)-5)))&gt;0,SUMPRODUCT(MAX((職員マスタ!$A$6:$A$405=$B1675)*(((職員マスタ!$G$6:$G$405="")+(職員マスタ!$G$6:$G$405&lt;=EOMONTH($AQ1675,0)))&gt;0)*(((職員マスタ!$H$6:$H$405="")+(職員マスタ!$H$6:$H$405&gt;=$AQ1675))&gt;0)*(ROW(職員マスタ!$A$6:$A$405)-5))),IFERROR(MATCH($B1675,職員マスタ!$A$6:$A$405,0),"")))</f>
        <v/>
      </c>
      <c r="AQ1675" s="16">
        <f>IF(OR($B1675="",$C1675="",$D1675=""),"",DATE($C1675+2018,$D1675,1))</f>
        <v/>
      </c>
    </row>
    <row r="1676">
      <c r="A1676" s="11" t="n"/>
      <c r="B1676" s="12" t="n"/>
      <c r="C1676" s="12" t="n"/>
      <c r="D1676" s="12" t="n"/>
      <c r="E1676" s="13" t="n"/>
      <c r="F1676" s="12" t="n"/>
      <c r="G1676" s="13" t="n"/>
      <c r="H1676" s="12" t="n"/>
      <c r="I1676" s="12" t="n"/>
      <c r="J1676" s="12" t="n"/>
      <c r="K1676" s="12" t="n"/>
      <c r="L1676" s="11" t="n"/>
      <c r="M1676" s="11" t="n"/>
      <c r="N1676" s="11" t="n"/>
      <c r="O1676" s="11" t="n"/>
      <c r="P1676" s="12" t="n"/>
      <c r="Q1676" s="11" t="n"/>
      <c r="R1676" s="12" t="n"/>
      <c r="S1676" s="11" t="n"/>
      <c r="T1676" s="12" t="n"/>
      <c r="U1676" s="12" t="n"/>
      <c r="V1676" s="12" t="n"/>
      <c r="W1676" s="13" t="n"/>
      <c r="X1676" s="14">
        <f>IF($AP1676="",IF($B1676="","",$H1676),IF(INDEX(職員マスタ!$B$6:$B$405,$AP1676)="",$H1676,INDEX(職員マスタ!$B$6:$B$405,$AP1676)))</f>
        <v/>
      </c>
      <c r="Y1676" s="14">
        <f>IF($AP1676="",IF($B1676="","",$R1676),IF(INDEX(職員マスタ!$C$6:$C$405,$AP1676)="",$R1676,INDEX(職員マスタ!$C$6:$C$405,$AP1676)))</f>
        <v/>
      </c>
      <c r="Z1676" s="14">
        <f>IF($AQ1676="","","R"&amp;$C1676&amp;"."&amp;$D1676)</f>
        <v/>
      </c>
      <c r="AA1676" s="15">
        <f>IF(IF($AP1676="",FALSE,INDEX(職員マスタ!$K$6:$K$405,$AP1676)&lt;&gt;""),INDEX(職員マスタ!$K$6:$K$405,$AP1676),IF(N($W1676)&gt;0,$W1676,""))</f>
        <v/>
      </c>
      <c r="AB1676" s="14">
        <f>IF(OR($E1676="",$AA1676=""),"",IF($E1676&gt;=$AA1676,"×",IF($E1676&gt;=$AA1676*設定!$C$5,"△","○")))</f>
        <v/>
      </c>
      <c r="AC1676" s="15">
        <f>IF($AB1676="","",IF($AB1676="×",0,IF($AB1676="○",ROUNDDOWN($E1676*設定!$C$4,0),ROUNDDOWN($E1676*ROUND((9*$AA1676-9*$E1676)/(10*$E1676),4),0))))</f>
        <v/>
      </c>
      <c r="AD1676" s="13" t="n"/>
      <c r="AE1676" s="15">
        <f>IF($B1676="","",IF($AD1676&lt;&gt;"",$AD1676,IF($AC1676="","",IF($AC1676&lt;=設定!$C$3,0,$AC1676))))</f>
        <v/>
      </c>
      <c r="AF1676" s="14">
        <f>IF($B1676="","",IF(AND($AG1676&lt;&gt;"",$AI1676="",$AL1676=""),"保留中",IF($AL1676&lt;&gt;"",IF(N($AE1676)&gt;0,"支給済","不支給"),IF($AE1676="","要確認",IF($AE1676=0,"不支給","未処理")))))</f>
        <v/>
      </c>
      <c r="AG1676" s="12" t="n"/>
      <c r="AH1676" s="11" t="n"/>
      <c r="AI1676" s="11" t="n"/>
      <c r="AJ1676" s="11" t="n"/>
      <c r="AK1676" s="14">
        <f>IF(AND($AF1676="保留中",$AH1676&lt;&gt;""),TODAY()-$AH1676,"")</f>
        <v/>
      </c>
      <c r="AL1676" s="12" t="n"/>
      <c r="AM1676" s="14">
        <f>IF($B1676="","",IF($AQ1676="","対象年月が未入力／","")&amp;IF($B1676="","",IF($AP1676="","職員マスタに未登録の職員番号／",IF($AA1676="","標準報酬月額が未登録／","")&amp;IF(AND($AQ1676&lt;&gt;"",OR(AND(INDEX(職員マスタ!$G$6:$G$405,$AP1676)&lt;&gt;"",INDEX(職員マスタ!$G$6:$G$405,$AP1676)&gt;EOMONTH($AQ1676,0)),AND(INDEX(職員マスタ!$H$6:$H$405,$AP1676)&lt;&gt;"",INDEX(職員マスタ!$H$6:$H$405,$AP1676)&lt;$AQ1676))),"対象月が時短期間外／","")&amp;IF(AND(INDEX(職員マスタ!$K$6:$K$405,$AP1676)&lt;&gt;"",N($W1676)&gt;0,INDEX(職員マスタ!$K$6:$K$405,$AP1676)&lt;&gt;$W1676),"標準報酬月額が申請書と相違（台帳"&amp;TEXT(INDEX(職員マスタ!$K$6:$K$405,$AP1676),"#,##0")&amp;"円／申請書"&amp;TEXT($W1676,"#,##0")&amp;"円）／","")&amp;IF(AND(INDEX(職員マスタ!$F$6:$F$405,$AP1676)&lt;&gt;"",$AQ1676&lt;&gt;"",INDEX(職員マスタ!$F$6:$F$405,$AP1676)&lt;$AQ1676),"対象月に子が2歳到達済／","")&amp;IF(AND($H1676&lt;&gt;"",INDEX(職員マスタ!$B$6:$B$405,$AP1676)&lt;&gt;"",SUBSTITUTE(SUBSTITUTE($H1676," ","")," ","")&lt;&gt;SUBSTITUTE(SUBSTITUTE(INDEX(職員マスタ!$B$6:$B$405,$AP1676)," ","")," ","")),"氏名がマスタと相違／","")&amp;IF(AND($Q1676&lt;&gt;"",INDEX(職員マスタ!$E$6:$E$405,$AP1676)&lt;&gt;"",$Q1676&lt;&gt;INDEX(職員マスタ!$E$6:$E$405,$AP1676)),"子の生年月日がマスタと相違／","")&amp;IF(AND($L1676&lt;&gt;"",INDEX(職員マスタ!$G$6:$G$405,$AP1676)&lt;&gt;"",$L1676&lt;&gt;INDEX(職員マスタ!$G$6:$G$405,$AP1676)),"時短開始日がマスタと相違／","")&amp;IF(AND($M1676&lt;&gt;"",INDEX(職員マスタ!$H$6:$H$405,$AP1676)&lt;&gt;"",$M1676&lt;&gt;INDEX(職員マスタ!$H$6:$H$405,$AP1676)),"時短終了日がマスタと相違／","")))&amp;IF(AND($B1676&lt;&gt;"",$E1676=""),"報酬額が未入力／","")&amp;IF(N($U1676)&gt;0,"申請書に入力エラーが残っています／","")&amp;IF(AND($B1676&lt;&gt;"",$AQ1676&lt;&gt;""),IF(COUNTIFS($B$6:$B$3005,$B1676,$C$6:$C$3005,$C1676,$D$6:$D$3005,$D1676)&gt;1,"同じ月の請求が重複しています／",""),"")&amp;IF(AND(N($E1676)&gt;0,$AB1676&lt;&gt;"",$AB1676&lt;&gt;"×",$AE1676=0,$AD1676=""),"計算額が下限以下のため不支給／",""))</f>
        <v/>
      </c>
      <c r="AN1676" s="12" t="n"/>
      <c r="AO1676" s="14">
        <f>IF($AF1676="保留中",COUNTIF($AF$6:$AF1676,"保留中"),"")</f>
        <v/>
      </c>
      <c r="AP1676" s="14">
        <f>IF($AQ1676="","",IF(SUMPRODUCT(MAX((職員マスタ!$A$6:$A$405=$B1676)*(((職員マスタ!$G$6:$G$405="")+(職員マスタ!$G$6:$G$405&lt;=EOMONTH($AQ1676,0)))&gt;0)*(((職員マスタ!$H$6:$H$405="")+(職員マスタ!$H$6:$H$405&gt;=$AQ1676))&gt;0)*(ROW(職員マスタ!$A$6:$A$405)-5)))&gt;0,SUMPRODUCT(MAX((職員マスタ!$A$6:$A$405=$B1676)*(((職員マスタ!$G$6:$G$405="")+(職員マスタ!$G$6:$G$405&lt;=EOMONTH($AQ1676,0)))&gt;0)*(((職員マスタ!$H$6:$H$405="")+(職員マスタ!$H$6:$H$405&gt;=$AQ1676))&gt;0)*(ROW(職員マスタ!$A$6:$A$405)-5))),IFERROR(MATCH($B1676,職員マスタ!$A$6:$A$405,0),"")))</f>
        <v/>
      </c>
      <c r="AQ1676" s="16">
        <f>IF(OR($B1676="",$C1676="",$D1676=""),"",DATE($C1676+2018,$D1676,1))</f>
        <v/>
      </c>
    </row>
    <row r="1677">
      <c r="A1677" s="11" t="n"/>
      <c r="B1677" s="12" t="n"/>
      <c r="C1677" s="12" t="n"/>
      <c r="D1677" s="12" t="n"/>
      <c r="E1677" s="13" t="n"/>
      <c r="F1677" s="12" t="n"/>
      <c r="G1677" s="13" t="n"/>
      <c r="H1677" s="12" t="n"/>
      <c r="I1677" s="12" t="n"/>
      <c r="J1677" s="12" t="n"/>
      <c r="K1677" s="12" t="n"/>
      <c r="L1677" s="11" t="n"/>
      <c r="M1677" s="11" t="n"/>
      <c r="N1677" s="11" t="n"/>
      <c r="O1677" s="11" t="n"/>
      <c r="P1677" s="12" t="n"/>
      <c r="Q1677" s="11" t="n"/>
      <c r="R1677" s="12" t="n"/>
      <c r="S1677" s="11" t="n"/>
      <c r="T1677" s="12" t="n"/>
      <c r="U1677" s="12" t="n"/>
      <c r="V1677" s="12" t="n"/>
      <c r="W1677" s="13" t="n"/>
      <c r="X1677" s="14">
        <f>IF($AP1677="",IF($B1677="","",$H1677),IF(INDEX(職員マスタ!$B$6:$B$405,$AP1677)="",$H1677,INDEX(職員マスタ!$B$6:$B$405,$AP1677)))</f>
        <v/>
      </c>
      <c r="Y1677" s="14">
        <f>IF($AP1677="",IF($B1677="","",$R1677),IF(INDEX(職員マスタ!$C$6:$C$405,$AP1677)="",$R1677,INDEX(職員マスタ!$C$6:$C$405,$AP1677)))</f>
        <v/>
      </c>
      <c r="Z1677" s="14">
        <f>IF($AQ1677="","","R"&amp;$C1677&amp;"."&amp;$D1677)</f>
        <v/>
      </c>
      <c r="AA1677" s="15">
        <f>IF(IF($AP1677="",FALSE,INDEX(職員マスタ!$K$6:$K$405,$AP1677)&lt;&gt;""),INDEX(職員マスタ!$K$6:$K$405,$AP1677),IF(N($W1677)&gt;0,$W1677,""))</f>
        <v/>
      </c>
      <c r="AB1677" s="14">
        <f>IF(OR($E1677="",$AA1677=""),"",IF($E1677&gt;=$AA1677,"×",IF($E1677&gt;=$AA1677*設定!$C$5,"△","○")))</f>
        <v/>
      </c>
      <c r="AC1677" s="15">
        <f>IF($AB1677="","",IF($AB1677="×",0,IF($AB1677="○",ROUNDDOWN($E1677*設定!$C$4,0),ROUNDDOWN($E1677*ROUND((9*$AA1677-9*$E1677)/(10*$E1677),4),0))))</f>
        <v/>
      </c>
      <c r="AD1677" s="13" t="n"/>
      <c r="AE1677" s="15">
        <f>IF($B1677="","",IF($AD1677&lt;&gt;"",$AD1677,IF($AC1677="","",IF($AC1677&lt;=設定!$C$3,0,$AC1677))))</f>
        <v/>
      </c>
      <c r="AF1677" s="14">
        <f>IF($B1677="","",IF(AND($AG1677&lt;&gt;"",$AI1677="",$AL1677=""),"保留中",IF($AL1677&lt;&gt;"",IF(N($AE1677)&gt;0,"支給済","不支給"),IF($AE1677="","要確認",IF($AE1677=0,"不支給","未処理")))))</f>
        <v/>
      </c>
      <c r="AG1677" s="12" t="n"/>
      <c r="AH1677" s="11" t="n"/>
      <c r="AI1677" s="11" t="n"/>
      <c r="AJ1677" s="11" t="n"/>
      <c r="AK1677" s="14">
        <f>IF(AND($AF1677="保留中",$AH1677&lt;&gt;""),TODAY()-$AH1677,"")</f>
        <v/>
      </c>
      <c r="AL1677" s="12" t="n"/>
      <c r="AM1677" s="14">
        <f>IF($B1677="","",IF($AQ1677="","対象年月が未入力／","")&amp;IF($B1677="","",IF($AP1677="","職員マスタに未登録の職員番号／",IF($AA1677="","標準報酬月額が未登録／","")&amp;IF(AND($AQ1677&lt;&gt;"",OR(AND(INDEX(職員マスタ!$G$6:$G$405,$AP1677)&lt;&gt;"",INDEX(職員マスタ!$G$6:$G$405,$AP1677)&gt;EOMONTH($AQ1677,0)),AND(INDEX(職員マスタ!$H$6:$H$405,$AP1677)&lt;&gt;"",INDEX(職員マスタ!$H$6:$H$405,$AP1677)&lt;$AQ1677))),"対象月が時短期間外／","")&amp;IF(AND(INDEX(職員マスタ!$K$6:$K$405,$AP1677)&lt;&gt;"",N($W1677)&gt;0,INDEX(職員マスタ!$K$6:$K$405,$AP1677)&lt;&gt;$W1677),"標準報酬月額が申請書と相違（台帳"&amp;TEXT(INDEX(職員マスタ!$K$6:$K$405,$AP1677),"#,##0")&amp;"円／申請書"&amp;TEXT($W1677,"#,##0")&amp;"円）／","")&amp;IF(AND(INDEX(職員マスタ!$F$6:$F$405,$AP1677)&lt;&gt;"",$AQ1677&lt;&gt;"",INDEX(職員マスタ!$F$6:$F$405,$AP1677)&lt;$AQ1677),"対象月に子が2歳到達済／","")&amp;IF(AND($H1677&lt;&gt;"",INDEX(職員マスタ!$B$6:$B$405,$AP1677)&lt;&gt;"",SUBSTITUTE(SUBSTITUTE($H1677," ","")," ","")&lt;&gt;SUBSTITUTE(SUBSTITUTE(INDEX(職員マスタ!$B$6:$B$405,$AP1677)," ","")," ","")),"氏名がマスタと相違／","")&amp;IF(AND($Q1677&lt;&gt;"",INDEX(職員マスタ!$E$6:$E$405,$AP1677)&lt;&gt;"",$Q1677&lt;&gt;INDEX(職員マスタ!$E$6:$E$405,$AP1677)),"子の生年月日がマスタと相違／","")&amp;IF(AND($L1677&lt;&gt;"",INDEX(職員マスタ!$G$6:$G$405,$AP1677)&lt;&gt;"",$L1677&lt;&gt;INDEX(職員マスタ!$G$6:$G$405,$AP1677)),"時短開始日がマスタと相違／","")&amp;IF(AND($M1677&lt;&gt;"",INDEX(職員マスタ!$H$6:$H$405,$AP1677)&lt;&gt;"",$M1677&lt;&gt;INDEX(職員マスタ!$H$6:$H$405,$AP1677)),"時短終了日がマスタと相違／","")))&amp;IF(AND($B1677&lt;&gt;"",$E1677=""),"報酬額が未入力／","")&amp;IF(N($U1677)&gt;0,"申請書に入力エラーが残っています／","")&amp;IF(AND($B1677&lt;&gt;"",$AQ1677&lt;&gt;""),IF(COUNTIFS($B$6:$B$3005,$B1677,$C$6:$C$3005,$C1677,$D$6:$D$3005,$D1677)&gt;1,"同じ月の請求が重複しています／",""),"")&amp;IF(AND(N($E1677)&gt;0,$AB1677&lt;&gt;"",$AB1677&lt;&gt;"×",$AE1677=0,$AD1677=""),"計算額が下限以下のため不支給／",""))</f>
        <v/>
      </c>
      <c r="AN1677" s="12" t="n"/>
      <c r="AO1677" s="14">
        <f>IF($AF1677="保留中",COUNTIF($AF$6:$AF1677,"保留中"),"")</f>
        <v/>
      </c>
      <c r="AP1677" s="14">
        <f>IF($AQ1677="","",IF(SUMPRODUCT(MAX((職員マスタ!$A$6:$A$405=$B1677)*(((職員マスタ!$G$6:$G$405="")+(職員マスタ!$G$6:$G$405&lt;=EOMONTH($AQ1677,0)))&gt;0)*(((職員マスタ!$H$6:$H$405="")+(職員マスタ!$H$6:$H$405&gt;=$AQ1677))&gt;0)*(ROW(職員マスタ!$A$6:$A$405)-5)))&gt;0,SUMPRODUCT(MAX((職員マスタ!$A$6:$A$405=$B1677)*(((職員マスタ!$G$6:$G$405="")+(職員マスタ!$G$6:$G$405&lt;=EOMONTH($AQ1677,0)))&gt;0)*(((職員マスタ!$H$6:$H$405="")+(職員マスタ!$H$6:$H$405&gt;=$AQ1677))&gt;0)*(ROW(職員マスタ!$A$6:$A$405)-5))),IFERROR(MATCH($B1677,職員マスタ!$A$6:$A$405,0),"")))</f>
        <v/>
      </c>
      <c r="AQ1677" s="16">
        <f>IF(OR($B1677="",$C1677="",$D1677=""),"",DATE($C1677+2018,$D1677,1))</f>
        <v/>
      </c>
    </row>
    <row r="1678">
      <c r="A1678" s="11" t="n"/>
      <c r="B1678" s="12" t="n"/>
      <c r="C1678" s="12" t="n"/>
      <c r="D1678" s="12" t="n"/>
      <c r="E1678" s="13" t="n"/>
      <c r="F1678" s="12" t="n"/>
      <c r="G1678" s="13" t="n"/>
      <c r="H1678" s="12" t="n"/>
      <c r="I1678" s="12" t="n"/>
      <c r="J1678" s="12" t="n"/>
      <c r="K1678" s="12" t="n"/>
      <c r="L1678" s="11" t="n"/>
      <c r="M1678" s="11" t="n"/>
      <c r="N1678" s="11" t="n"/>
      <c r="O1678" s="11" t="n"/>
      <c r="P1678" s="12" t="n"/>
      <c r="Q1678" s="11" t="n"/>
      <c r="R1678" s="12" t="n"/>
      <c r="S1678" s="11" t="n"/>
      <c r="T1678" s="12" t="n"/>
      <c r="U1678" s="12" t="n"/>
      <c r="V1678" s="12" t="n"/>
      <c r="W1678" s="13" t="n"/>
      <c r="X1678" s="14">
        <f>IF($AP1678="",IF($B1678="","",$H1678),IF(INDEX(職員マスタ!$B$6:$B$405,$AP1678)="",$H1678,INDEX(職員マスタ!$B$6:$B$405,$AP1678)))</f>
        <v/>
      </c>
      <c r="Y1678" s="14">
        <f>IF($AP1678="",IF($B1678="","",$R1678),IF(INDEX(職員マスタ!$C$6:$C$405,$AP1678)="",$R1678,INDEX(職員マスタ!$C$6:$C$405,$AP1678)))</f>
        <v/>
      </c>
      <c r="Z1678" s="14">
        <f>IF($AQ1678="","","R"&amp;$C1678&amp;"."&amp;$D1678)</f>
        <v/>
      </c>
      <c r="AA1678" s="15">
        <f>IF(IF($AP1678="",FALSE,INDEX(職員マスタ!$K$6:$K$405,$AP1678)&lt;&gt;""),INDEX(職員マスタ!$K$6:$K$405,$AP1678),IF(N($W1678)&gt;0,$W1678,""))</f>
        <v/>
      </c>
      <c r="AB1678" s="14">
        <f>IF(OR($E1678="",$AA1678=""),"",IF($E1678&gt;=$AA1678,"×",IF($E1678&gt;=$AA1678*設定!$C$5,"△","○")))</f>
        <v/>
      </c>
      <c r="AC1678" s="15">
        <f>IF($AB1678="","",IF($AB1678="×",0,IF($AB1678="○",ROUNDDOWN($E1678*設定!$C$4,0),ROUNDDOWN($E1678*ROUND((9*$AA1678-9*$E1678)/(10*$E1678),4),0))))</f>
        <v/>
      </c>
      <c r="AD1678" s="13" t="n"/>
      <c r="AE1678" s="15">
        <f>IF($B1678="","",IF($AD1678&lt;&gt;"",$AD1678,IF($AC1678="","",IF($AC1678&lt;=設定!$C$3,0,$AC1678))))</f>
        <v/>
      </c>
      <c r="AF1678" s="14">
        <f>IF($B1678="","",IF(AND($AG1678&lt;&gt;"",$AI1678="",$AL1678=""),"保留中",IF($AL1678&lt;&gt;"",IF(N($AE1678)&gt;0,"支給済","不支給"),IF($AE1678="","要確認",IF($AE1678=0,"不支給","未処理")))))</f>
        <v/>
      </c>
      <c r="AG1678" s="12" t="n"/>
      <c r="AH1678" s="11" t="n"/>
      <c r="AI1678" s="11" t="n"/>
      <c r="AJ1678" s="11" t="n"/>
      <c r="AK1678" s="14">
        <f>IF(AND($AF1678="保留中",$AH1678&lt;&gt;""),TODAY()-$AH1678,"")</f>
        <v/>
      </c>
      <c r="AL1678" s="12" t="n"/>
      <c r="AM1678" s="14">
        <f>IF($B1678="","",IF($AQ1678="","対象年月が未入力／","")&amp;IF($B1678="","",IF($AP1678="","職員マスタに未登録の職員番号／",IF($AA1678="","標準報酬月額が未登録／","")&amp;IF(AND($AQ1678&lt;&gt;"",OR(AND(INDEX(職員マスタ!$G$6:$G$405,$AP1678)&lt;&gt;"",INDEX(職員マスタ!$G$6:$G$405,$AP1678)&gt;EOMONTH($AQ1678,0)),AND(INDEX(職員マスタ!$H$6:$H$405,$AP1678)&lt;&gt;"",INDEX(職員マスタ!$H$6:$H$405,$AP1678)&lt;$AQ1678))),"対象月が時短期間外／","")&amp;IF(AND(INDEX(職員マスタ!$K$6:$K$405,$AP1678)&lt;&gt;"",N($W1678)&gt;0,INDEX(職員マスタ!$K$6:$K$405,$AP1678)&lt;&gt;$W1678),"標準報酬月額が申請書と相違（台帳"&amp;TEXT(INDEX(職員マスタ!$K$6:$K$405,$AP1678),"#,##0")&amp;"円／申請書"&amp;TEXT($W1678,"#,##0")&amp;"円）／","")&amp;IF(AND(INDEX(職員マスタ!$F$6:$F$405,$AP1678)&lt;&gt;"",$AQ1678&lt;&gt;"",INDEX(職員マスタ!$F$6:$F$405,$AP1678)&lt;$AQ1678),"対象月に子が2歳到達済／","")&amp;IF(AND($H1678&lt;&gt;"",INDEX(職員マスタ!$B$6:$B$405,$AP1678)&lt;&gt;"",SUBSTITUTE(SUBSTITUTE($H1678," ","")," ","")&lt;&gt;SUBSTITUTE(SUBSTITUTE(INDEX(職員マスタ!$B$6:$B$405,$AP1678)," ","")," ","")),"氏名がマスタと相違／","")&amp;IF(AND($Q1678&lt;&gt;"",INDEX(職員マスタ!$E$6:$E$405,$AP1678)&lt;&gt;"",$Q1678&lt;&gt;INDEX(職員マスタ!$E$6:$E$405,$AP1678)),"子の生年月日がマスタと相違／","")&amp;IF(AND($L1678&lt;&gt;"",INDEX(職員マスタ!$G$6:$G$405,$AP1678)&lt;&gt;"",$L1678&lt;&gt;INDEX(職員マスタ!$G$6:$G$405,$AP1678)),"時短開始日がマスタと相違／","")&amp;IF(AND($M1678&lt;&gt;"",INDEX(職員マスタ!$H$6:$H$405,$AP1678)&lt;&gt;"",$M1678&lt;&gt;INDEX(職員マスタ!$H$6:$H$405,$AP1678)),"時短終了日がマスタと相違／","")))&amp;IF(AND($B1678&lt;&gt;"",$E1678=""),"報酬額が未入力／","")&amp;IF(N($U1678)&gt;0,"申請書に入力エラーが残っています／","")&amp;IF(AND($B1678&lt;&gt;"",$AQ1678&lt;&gt;""),IF(COUNTIFS($B$6:$B$3005,$B1678,$C$6:$C$3005,$C1678,$D$6:$D$3005,$D1678)&gt;1,"同じ月の請求が重複しています／",""),"")&amp;IF(AND(N($E1678)&gt;0,$AB1678&lt;&gt;"",$AB1678&lt;&gt;"×",$AE1678=0,$AD1678=""),"計算額が下限以下のため不支給／",""))</f>
        <v/>
      </c>
      <c r="AN1678" s="12" t="n"/>
      <c r="AO1678" s="14">
        <f>IF($AF1678="保留中",COUNTIF($AF$6:$AF1678,"保留中"),"")</f>
        <v/>
      </c>
      <c r="AP1678" s="14">
        <f>IF($AQ1678="","",IF(SUMPRODUCT(MAX((職員マスタ!$A$6:$A$405=$B1678)*(((職員マスタ!$G$6:$G$405="")+(職員マスタ!$G$6:$G$405&lt;=EOMONTH($AQ1678,0)))&gt;0)*(((職員マスタ!$H$6:$H$405="")+(職員マスタ!$H$6:$H$405&gt;=$AQ1678))&gt;0)*(ROW(職員マスタ!$A$6:$A$405)-5)))&gt;0,SUMPRODUCT(MAX((職員マスタ!$A$6:$A$405=$B1678)*(((職員マスタ!$G$6:$G$405="")+(職員マスタ!$G$6:$G$405&lt;=EOMONTH($AQ1678,0)))&gt;0)*(((職員マスタ!$H$6:$H$405="")+(職員マスタ!$H$6:$H$405&gt;=$AQ1678))&gt;0)*(ROW(職員マスタ!$A$6:$A$405)-5))),IFERROR(MATCH($B1678,職員マスタ!$A$6:$A$405,0),"")))</f>
        <v/>
      </c>
      <c r="AQ1678" s="16">
        <f>IF(OR($B1678="",$C1678="",$D1678=""),"",DATE($C1678+2018,$D1678,1))</f>
        <v/>
      </c>
    </row>
    <row r="1679">
      <c r="A1679" s="11" t="n"/>
      <c r="B1679" s="12" t="n"/>
      <c r="C1679" s="12" t="n"/>
      <c r="D1679" s="12" t="n"/>
      <c r="E1679" s="13" t="n"/>
      <c r="F1679" s="12" t="n"/>
      <c r="G1679" s="13" t="n"/>
      <c r="H1679" s="12" t="n"/>
      <c r="I1679" s="12" t="n"/>
      <c r="J1679" s="12" t="n"/>
      <c r="K1679" s="12" t="n"/>
      <c r="L1679" s="11" t="n"/>
      <c r="M1679" s="11" t="n"/>
      <c r="N1679" s="11" t="n"/>
      <c r="O1679" s="11" t="n"/>
      <c r="P1679" s="12" t="n"/>
      <c r="Q1679" s="11" t="n"/>
      <c r="R1679" s="12" t="n"/>
      <c r="S1679" s="11" t="n"/>
      <c r="T1679" s="12" t="n"/>
      <c r="U1679" s="12" t="n"/>
      <c r="V1679" s="12" t="n"/>
      <c r="W1679" s="13" t="n"/>
      <c r="X1679" s="14">
        <f>IF($AP1679="",IF($B1679="","",$H1679),IF(INDEX(職員マスタ!$B$6:$B$405,$AP1679)="",$H1679,INDEX(職員マスタ!$B$6:$B$405,$AP1679)))</f>
        <v/>
      </c>
      <c r="Y1679" s="14">
        <f>IF($AP1679="",IF($B1679="","",$R1679),IF(INDEX(職員マスタ!$C$6:$C$405,$AP1679)="",$R1679,INDEX(職員マスタ!$C$6:$C$405,$AP1679)))</f>
        <v/>
      </c>
      <c r="Z1679" s="14">
        <f>IF($AQ1679="","","R"&amp;$C1679&amp;"."&amp;$D1679)</f>
        <v/>
      </c>
      <c r="AA1679" s="15">
        <f>IF(IF($AP1679="",FALSE,INDEX(職員マスタ!$K$6:$K$405,$AP1679)&lt;&gt;""),INDEX(職員マスタ!$K$6:$K$405,$AP1679),IF(N($W1679)&gt;0,$W1679,""))</f>
        <v/>
      </c>
      <c r="AB1679" s="14">
        <f>IF(OR($E1679="",$AA1679=""),"",IF($E1679&gt;=$AA1679,"×",IF($E1679&gt;=$AA1679*設定!$C$5,"△","○")))</f>
        <v/>
      </c>
      <c r="AC1679" s="15">
        <f>IF($AB1679="","",IF($AB1679="×",0,IF($AB1679="○",ROUNDDOWN($E1679*設定!$C$4,0),ROUNDDOWN($E1679*ROUND((9*$AA1679-9*$E1679)/(10*$E1679),4),0))))</f>
        <v/>
      </c>
      <c r="AD1679" s="13" t="n"/>
      <c r="AE1679" s="15">
        <f>IF($B1679="","",IF($AD1679&lt;&gt;"",$AD1679,IF($AC1679="","",IF($AC1679&lt;=設定!$C$3,0,$AC1679))))</f>
        <v/>
      </c>
      <c r="AF1679" s="14">
        <f>IF($B1679="","",IF(AND($AG1679&lt;&gt;"",$AI1679="",$AL1679=""),"保留中",IF($AL1679&lt;&gt;"",IF(N($AE1679)&gt;0,"支給済","不支給"),IF($AE1679="","要確認",IF($AE1679=0,"不支給","未処理")))))</f>
        <v/>
      </c>
      <c r="AG1679" s="12" t="n"/>
      <c r="AH1679" s="11" t="n"/>
      <c r="AI1679" s="11" t="n"/>
      <c r="AJ1679" s="11" t="n"/>
      <c r="AK1679" s="14">
        <f>IF(AND($AF1679="保留中",$AH1679&lt;&gt;""),TODAY()-$AH1679,"")</f>
        <v/>
      </c>
      <c r="AL1679" s="12" t="n"/>
      <c r="AM1679" s="14">
        <f>IF($B1679="","",IF($AQ1679="","対象年月が未入力／","")&amp;IF($B1679="","",IF($AP1679="","職員マスタに未登録の職員番号／",IF($AA1679="","標準報酬月額が未登録／","")&amp;IF(AND($AQ1679&lt;&gt;"",OR(AND(INDEX(職員マスタ!$G$6:$G$405,$AP1679)&lt;&gt;"",INDEX(職員マスタ!$G$6:$G$405,$AP1679)&gt;EOMONTH($AQ1679,0)),AND(INDEX(職員マスタ!$H$6:$H$405,$AP1679)&lt;&gt;"",INDEX(職員マスタ!$H$6:$H$405,$AP1679)&lt;$AQ1679))),"対象月が時短期間外／","")&amp;IF(AND(INDEX(職員マスタ!$K$6:$K$405,$AP1679)&lt;&gt;"",N($W1679)&gt;0,INDEX(職員マスタ!$K$6:$K$405,$AP1679)&lt;&gt;$W1679),"標準報酬月額が申請書と相違（台帳"&amp;TEXT(INDEX(職員マスタ!$K$6:$K$405,$AP1679),"#,##0")&amp;"円／申請書"&amp;TEXT($W1679,"#,##0")&amp;"円）／","")&amp;IF(AND(INDEX(職員マスタ!$F$6:$F$405,$AP1679)&lt;&gt;"",$AQ1679&lt;&gt;"",INDEX(職員マスタ!$F$6:$F$405,$AP1679)&lt;$AQ1679),"対象月に子が2歳到達済／","")&amp;IF(AND($H1679&lt;&gt;"",INDEX(職員マスタ!$B$6:$B$405,$AP1679)&lt;&gt;"",SUBSTITUTE(SUBSTITUTE($H1679," ","")," ","")&lt;&gt;SUBSTITUTE(SUBSTITUTE(INDEX(職員マスタ!$B$6:$B$405,$AP1679)," ","")," ","")),"氏名がマスタと相違／","")&amp;IF(AND($Q1679&lt;&gt;"",INDEX(職員マスタ!$E$6:$E$405,$AP1679)&lt;&gt;"",$Q1679&lt;&gt;INDEX(職員マスタ!$E$6:$E$405,$AP1679)),"子の生年月日がマスタと相違／","")&amp;IF(AND($L1679&lt;&gt;"",INDEX(職員マスタ!$G$6:$G$405,$AP1679)&lt;&gt;"",$L1679&lt;&gt;INDEX(職員マスタ!$G$6:$G$405,$AP1679)),"時短開始日がマスタと相違／","")&amp;IF(AND($M1679&lt;&gt;"",INDEX(職員マスタ!$H$6:$H$405,$AP1679)&lt;&gt;"",$M1679&lt;&gt;INDEX(職員マスタ!$H$6:$H$405,$AP1679)),"時短終了日がマスタと相違／","")))&amp;IF(AND($B1679&lt;&gt;"",$E1679=""),"報酬額が未入力／","")&amp;IF(N($U1679)&gt;0,"申請書に入力エラーが残っています／","")&amp;IF(AND($B1679&lt;&gt;"",$AQ1679&lt;&gt;""),IF(COUNTIFS($B$6:$B$3005,$B1679,$C$6:$C$3005,$C1679,$D$6:$D$3005,$D1679)&gt;1,"同じ月の請求が重複しています／",""),"")&amp;IF(AND(N($E1679)&gt;0,$AB1679&lt;&gt;"",$AB1679&lt;&gt;"×",$AE1679=0,$AD1679=""),"計算額が下限以下のため不支給／",""))</f>
        <v/>
      </c>
      <c r="AN1679" s="12" t="n"/>
      <c r="AO1679" s="14">
        <f>IF($AF1679="保留中",COUNTIF($AF$6:$AF1679,"保留中"),"")</f>
        <v/>
      </c>
      <c r="AP1679" s="14">
        <f>IF($AQ1679="","",IF(SUMPRODUCT(MAX((職員マスタ!$A$6:$A$405=$B1679)*(((職員マスタ!$G$6:$G$405="")+(職員マスタ!$G$6:$G$405&lt;=EOMONTH($AQ1679,0)))&gt;0)*(((職員マスタ!$H$6:$H$405="")+(職員マスタ!$H$6:$H$405&gt;=$AQ1679))&gt;0)*(ROW(職員マスタ!$A$6:$A$405)-5)))&gt;0,SUMPRODUCT(MAX((職員マスタ!$A$6:$A$405=$B1679)*(((職員マスタ!$G$6:$G$405="")+(職員マスタ!$G$6:$G$405&lt;=EOMONTH($AQ1679,0)))&gt;0)*(((職員マスタ!$H$6:$H$405="")+(職員マスタ!$H$6:$H$405&gt;=$AQ1679))&gt;0)*(ROW(職員マスタ!$A$6:$A$405)-5))),IFERROR(MATCH($B1679,職員マスタ!$A$6:$A$405,0),"")))</f>
        <v/>
      </c>
      <c r="AQ1679" s="16">
        <f>IF(OR($B1679="",$C1679="",$D1679=""),"",DATE($C1679+2018,$D1679,1))</f>
        <v/>
      </c>
    </row>
    <row r="1680">
      <c r="A1680" s="11" t="n"/>
      <c r="B1680" s="12" t="n"/>
      <c r="C1680" s="12" t="n"/>
      <c r="D1680" s="12" t="n"/>
      <c r="E1680" s="13" t="n"/>
      <c r="F1680" s="12" t="n"/>
      <c r="G1680" s="13" t="n"/>
      <c r="H1680" s="12" t="n"/>
      <c r="I1680" s="12" t="n"/>
      <c r="J1680" s="12" t="n"/>
      <c r="K1680" s="12" t="n"/>
      <c r="L1680" s="11" t="n"/>
      <c r="M1680" s="11" t="n"/>
      <c r="N1680" s="11" t="n"/>
      <c r="O1680" s="11" t="n"/>
      <c r="P1680" s="12" t="n"/>
      <c r="Q1680" s="11" t="n"/>
      <c r="R1680" s="12" t="n"/>
      <c r="S1680" s="11" t="n"/>
      <c r="T1680" s="12" t="n"/>
      <c r="U1680" s="12" t="n"/>
      <c r="V1680" s="12" t="n"/>
      <c r="W1680" s="13" t="n"/>
      <c r="X1680" s="14">
        <f>IF($AP1680="",IF($B1680="","",$H1680),IF(INDEX(職員マスタ!$B$6:$B$405,$AP1680)="",$H1680,INDEX(職員マスタ!$B$6:$B$405,$AP1680)))</f>
        <v/>
      </c>
      <c r="Y1680" s="14">
        <f>IF($AP1680="",IF($B1680="","",$R1680),IF(INDEX(職員マスタ!$C$6:$C$405,$AP1680)="",$R1680,INDEX(職員マスタ!$C$6:$C$405,$AP1680)))</f>
        <v/>
      </c>
      <c r="Z1680" s="14">
        <f>IF($AQ1680="","","R"&amp;$C1680&amp;"."&amp;$D1680)</f>
        <v/>
      </c>
      <c r="AA1680" s="15">
        <f>IF(IF($AP1680="",FALSE,INDEX(職員マスタ!$K$6:$K$405,$AP1680)&lt;&gt;""),INDEX(職員マスタ!$K$6:$K$405,$AP1680),IF(N($W1680)&gt;0,$W1680,""))</f>
        <v/>
      </c>
      <c r="AB1680" s="14">
        <f>IF(OR($E1680="",$AA1680=""),"",IF($E1680&gt;=$AA1680,"×",IF($E1680&gt;=$AA1680*設定!$C$5,"△","○")))</f>
        <v/>
      </c>
      <c r="AC1680" s="15">
        <f>IF($AB1680="","",IF($AB1680="×",0,IF($AB1680="○",ROUNDDOWN($E1680*設定!$C$4,0),ROUNDDOWN($E1680*ROUND((9*$AA1680-9*$E1680)/(10*$E1680),4),0))))</f>
        <v/>
      </c>
      <c r="AD1680" s="13" t="n"/>
      <c r="AE1680" s="15">
        <f>IF($B1680="","",IF($AD1680&lt;&gt;"",$AD1680,IF($AC1680="","",IF($AC1680&lt;=設定!$C$3,0,$AC1680))))</f>
        <v/>
      </c>
      <c r="AF1680" s="14">
        <f>IF($B1680="","",IF(AND($AG1680&lt;&gt;"",$AI1680="",$AL1680=""),"保留中",IF($AL1680&lt;&gt;"",IF(N($AE1680)&gt;0,"支給済","不支給"),IF($AE1680="","要確認",IF($AE1680=0,"不支給","未処理")))))</f>
        <v/>
      </c>
      <c r="AG1680" s="12" t="n"/>
      <c r="AH1680" s="11" t="n"/>
      <c r="AI1680" s="11" t="n"/>
      <c r="AJ1680" s="11" t="n"/>
      <c r="AK1680" s="14">
        <f>IF(AND($AF1680="保留中",$AH1680&lt;&gt;""),TODAY()-$AH1680,"")</f>
        <v/>
      </c>
      <c r="AL1680" s="12" t="n"/>
      <c r="AM1680" s="14">
        <f>IF($B1680="","",IF($AQ1680="","対象年月が未入力／","")&amp;IF($B1680="","",IF($AP1680="","職員マスタに未登録の職員番号／",IF($AA1680="","標準報酬月額が未登録／","")&amp;IF(AND($AQ1680&lt;&gt;"",OR(AND(INDEX(職員マスタ!$G$6:$G$405,$AP1680)&lt;&gt;"",INDEX(職員マスタ!$G$6:$G$405,$AP1680)&gt;EOMONTH($AQ1680,0)),AND(INDEX(職員マスタ!$H$6:$H$405,$AP1680)&lt;&gt;"",INDEX(職員マスタ!$H$6:$H$405,$AP1680)&lt;$AQ1680))),"対象月が時短期間外／","")&amp;IF(AND(INDEX(職員マスタ!$K$6:$K$405,$AP1680)&lt;&gt;"",N($W1680)&gt;0,INDEX(職員マスタ!$K$6:$K$405,$AP1680)&lt;&gt;$W1680),"標準報酬月額が申請書と相違（台帳"&amp;TEXT(INDEX(職員マスタ!$K$6:$K$405,$AP1680),"#,##0")&amp;"円／申請書"&amp;TEXT($W1680,"#,##0")&amp;"円）／","")&amp;IF(AND(INDEX(職員マスタ!$F$6:$F$405,$AP1680)&lt;&gt;"",$AQ1680&lt;&gt;"",INDEX(職員マスタ!$F$6:$F$405,$AP1680)&lt;$AQ1680),"対象月に子が2歳到達済／","")&amp;IF(AND($H1680&lt;&gt;"",INDEX(職員マスタ!$B$6:$B$405,$AP1680)&lt;&gt;"",SUBSTITUTE(SUBSTITUTE($H1680," ","")," ","")&lt;&gt;SUBSTITUTE(SUBSTITUTE(INDEX(職員マスタ!$B$6:$B$405,$AP1680)," ","")," ","")),"氏名がマスタと相違／","")&amp;IF(AND($Q1680&lt;&gt;"",INDEX(職員マスタ!$E$6:$E$405,$AP1680)&lt;&gt;"",$Q1680&lt;&gt;INDEX(職員マスタ!$E$6:$E$405,$AP1680)),"子の生年月日がマスタと相違／","")&amp;IF(AND($L1680&lt;&gt;"",INDEX(職員マスタ!$G$6:$G$405,$AP1680)&lt;&gt;"",$L1680&lt;&gt;INDEX(職員マスタ!$G$6:$G$405,$AP1680)),"時短開始日がマスタと相違／","")&amp;IF(AND($M1680&lt;&gt;"",INDEX(職員マスタ!$H$6:$H$405,$AP1680)&lt;&gt;"",$M1680&lt;&gt;INDEX(職員マスタ!$H$6:$H$405,$AP1680)),"時短終了日がマスタと相違／","")))&amp;IF(AND($B1680&lt;&gt;"",$E1680=""),"報酬額が未入力／","")&amp;IF(N($U1680)&gt;0,"申請書に入力エラーが残っています／","")&amp;IF(AND($B1680&lt;&gt;"",$AQ1680&lt;&gt;""),IF(COUNTIFS($B$6:$B$3005,$B1680,$C$6:$C$3005,$C1680,$D$6:$D$3005,$D1680)&gt;1,"同じ月の請求が重複しています／",""),"")&amp;IF(AND(N($E1680)&gt;0,$AB1680&lt;&gt;"",$AB1680&lt;&gt;"×",$AE1680=0,$AD1680=""),"計算額が下限以下のため不支給／",""))</f>
        <v/>
      </c>
      <c r="AN1680" s="12" t="n"/>
      <c r="AO1680" s="14">
        <f>IF($AF1680="保留中",COUNTIF($AF$6:$AF1680,"保留中"),"")</f>
        <v/>
      </c>
      <c r="AP1680" s="14">
        <f>IF($AQ1680="","",IF(SUMPRODUCT(MAX((職員マスタ!$A$6:$A$405=$B1680)*(((職員マスタ!$G$6:$G$405="")+(職員マスタ!$G$6:$G$405&lt;=EOMONTH($AQ1680,0)))&gt;0)*(((職員マスタ!$H$6:$H$405="")+(職員マスタ!$H$6:$H$405&gt;=$AQ1680))&gt;0)*(ROW(職員マスタ!$A$6:$A$405)-5)))&gt;0,SUMPRODUCT(MAX((職員マスタ!$A$6:$A$405=$B1680)*(((職員マスタ!$G$6:$G$405="")+(職員マスタ!$G$6:$G$405&lt;=EOMONTH($AQ1680,0)))&gt;0)*(((職員マスタ!$H$6:$H$405="")+(職員マスタ!$H$6:$H$405&gt;=$AQ1680))&gt;0)*(ROW(職員マスタ!$A$6:$A$405)-5))),IFERROR(MATCH($B1680,職員マスタ!$A$6:$A$405,0),"")))</f>
        <v/>
      </c>
      <c r="AQ1680" s="16">
        <f>IF(OR($B1680="",$C1680="",$D1680=""),"",DATE($C1680+2018,$D1680,1))</f>
        <v/>
      </c>
    </row>
    <row r="1681">
      <c r="A1681" s="11" t="n"/>
      <c r="B1681" s="12" t="n"/>
      <c r="C1681" s="12" t="n"/>
      <c r="D1681" s="12" t="n"/>
      <c r="E1681" s="13" t="n"/>
      <c r="F1681" s="12" t="n"/>
      <c r="G1681" s="13" t="n"/>
      <c r="H1681" s="12" t="n"/>
      <c r="I1681" s="12" t="n"/>
      <c r="J1681" s="12" t="n"/>
      <c r="K1681" s="12" t="n"/>
      <c r="L1681" s="11" t="n"/>
      <c r="M1681" s="11" t="n"/>
      <c r="N1681" s="11" t="n"/>
      <c r="O1681" s="11" t="n"/>
      <c r="P1681" s="12" t="n"/>
      <c r="Q1681" s="11" t="n"/>
      <c r="R1681" s="12" t="n"/>
      <c r="S1681" s="11" t="n"/>
      <c r="T1681" s="12" t="n"/>
      <c r="U1681" s="12" t="n"/>
      <c r="V1681" s="12" t="n"/>
      <c r="W1681" s="13" t="n"/>
      <c r="X1681" s="14">
        <f>IF($AP1681="",IF($B1681="","",$H1681),IF(INDEX(職員マスタ!$B$6:$B$405,$AP1681)="",$H1681,INDEX(職員マスタ!$B$6:$B$405,$AP1681)))</f>
        <v/>
      </c>
      <c r="Y1681" s="14">
        <f>IF($AP1681="",IF($B1681="","",$R1681),IF(INDEX(職員マスタ!$C$6:$C$405,$AP1681)="",$R1681,INDEX(職員マスタ!$C$6:$C$405,$AP1681)))</f>
        <v/>
      </c>
      <c r="Z1681" s="14">
        <f>IF($AQ1681="","","R"&amp;$C1681&amp;"."&amp;$D1681)</f>
        <v/>
      </c>
      <c r="AA1681" s="15">
        <f>IF(IF($AP1681="",FALSE,INDEX(職員マスタ!$K$6:$K$405,$AP1681)&lt;&gt;""),INDEX(職員マスタ!$K$6:$K$405,$AP1681),IF(N($W1681)&gt;0,$W1681,""))</f>
        <v/>
      </c>
      <c r="AB1681" s="14">
        <f>IF(OR($E1681="",$AA1681=""),"",IF($E1681&gt;=$AA1681,"×",IF($E1681&gt;=$AA1681*設定!$C$5,"△","○")))</f>
        <v/>
      </c>
      <c r="AC1681" s="15">
        <f>IF($AB1681="","",IF($AB1681="×",0,IF($AB1681="○",ROUNDDOWN($E1681*設定!$C$4,0),ROUNDDOWN($E1681*ROUND((9*$AA1681-9*$E1681)/(10*$E1681),4),0))))</f>
        <v/>
      </c>
      <c r="AD1681" s="13" t="n"/>
      <c r="AE1681" s="15">
        <f>IF($B1681="","",IF($AD1681&lt;&gt;"",$AD1681,IF($AC1681="","",IF($AC1681&lt;=設定!$C$3,0,$AC1681))))</f>
        <v/>
      </c>
      <c r="AF1681" s="14">
        <f>IF($B1681="","",IF(AND($AG1681&lt;&gt;"",$AI1681="",$AL1681=""),"保留中",IF($AL1681&lt;&gt;"",IF(N($AE1681)&gt;0,"支給済","不支給"),IF($AE1681="","要確認",IF($AE1681=0,"不支給","未処理")))))</f>
        <v/>
      </c>
      <c r="AG1681" s="12" t="n"/>
      <c r="AH1681" s="11" t="n"/>
      <c r="AI1681" s="11" t="n"/>
      <c r="AJ1681" s="11" t="n"/>
      <c r="AK1681" s="14">
        <f>IF(AND($AF1681="保留中",$AH1681&lt;&gt;""),TODAY()-$AH1681,"")</f>
        <v/>
      </c>
      <c r="AL1681" s="12" t="n"/>
      <c r="AM1681" s="14">
        <f>IF($B1681="","",IF($AQ1681="","対象年月が未入力／","")&amp;IF($B1681="","",IF($AP1681="","職員マスタに未登録の職員番号／",IF($AA1681="","標準報酬月額が未登録／","")&amp;IF(AND($AQ1681&lt;&gt;"",OR(AND(INDEX(職員マスタ!$G$6:$G$405,$AP1681)&lt;&gt;"",INDEX(職員マスタ!$G$6:$G$405,$AP1681)&gt;EOMONTH($AQ1681,0)),AND(INDEX(職員マスタ!$H$6:$H$405,$AP1681)&lt;&gt;"",INDEX(職員マスタ!$H$6:$H$405,$AP1681)&lt;$AQ1681))),"対象月が時短期間外／","")&amp;IF(AND(INDEX(職員マスタ!$K$6:$K$405,$AP1681)&lt;&gt;"",N($W1681)&gt;0,INDEX(職員マスタ!$K$6:$K$405,$AP1681)&lt;&gt;$W1681),"標準報酬月額が申請書と相違（台帳"&amp;TEXT(INDEX(職員マスタ!$K$6:$K$405,$AP1681),"#,##0")&amp;"円／申請書"&amp;TEXT($W1681,"#,##0")&amp;"円）／","")&amp;IF(AND(INDEX(職員マスタ!$F$6:$F$405,$AP1681)&lt;&gt;"",$AQ1681&lt;&gt;"",INDEX(職員マスタ!$F$6:$F$405,$AP1681)&lt;$AQ1681),"対象月に子が2歳到達済／","")&amp;IF(AND($H1681&lt;&gt;"",INDEX(職員マスタ!$B$6:$B$405,$AP1681)&lt;&gt;"",SUBSTITUTE(SUBSTITUTE($H1681," ","")," ","")&lt;&gt;SUBSTITUTE(SUBSTITUTE(INDEX(職員マスタ!$B$6:$B$405,$AP1681)," ","")," ","")),"氏名がマスタと相違／","")&amp;IF(AND($Q1681&lt;&gt;"",INDEX(職員マスタ!$E$6:$E$405,$AP1681)&lt;&gt;"",$Q1681&lt;&gt;INDEX(職員マスタ!$E$6:$E$405,$AP1681)),"子の生年月日がマスタと相違／","")&amp;IF(AND($L1681&lt;&gt;"",INDEX(職員マスタ!$G$6:$G$405,$AP1681)&lt;&gt;"",$L1681&lt;&gt;INDEX(職員マスタ!$G$6:$G$405,$AP1681)),"時短開始日がマスタと相違／","")&amp;IF(AND($M1681&lt;&gt;"",INDEX(職員マスタ!$H$6:$H$405,$AP1681)&lt;&gt;"",$M1681&lt;&gt;INDEX(職員マスタ!$H$6:$H$405,$AP1681)),"時短終了日がマスタと相違／","")))&amp;IF(AND($B1681&lt;&gt;"",$E1681=""),"報酬額が未入力／","")&amp;IF(N($U1681)&gt;0,"申請書に入力エラーが残っています／","")&amp;IF(AND($B1681&lt;&gt;"",$AQ1681&lt;&gt;""),IF(COUNTIFS($B$6:$B$3005,$B1681,$C$6:$C$3005,$C1681,$D$6:$D$3005,$D1681)&gt;1,"同じ月の請求が重複しています／",""),"")&amp;IF(AND(N($E1681)&gt;0,$AB1681&lt;&gt;"",$AB1681&lt;&gt;"×",$AE1681=0,$AD1681=""),"計算額が下限以下のため不支給／",""))</f>
        <v/>
      </c>
      <c r="AN1681" s="12" t="n"/>
      <c r="AO1681" s="14">
        <f>IF($AF1681="保留中",COUNTIF($AF$6:$AF1681,"保留中"),"")</f>
        <v/>
      </c>
      <c r="AP1681" s="14">
        <f>IF($AQ1681="","",IF(SUMPRODUCT(MAX((職員マスタ!$A$6:$A$405=$B1681)*(((職員マスタ!$G$6:$G$405="")+(職員マスタ!$G$6:$G$405&lt;=EOMONTH($AQ1681,0)))&gt;0)*(((職員マスタ!$H$6:$H$405="")+(職員マスタ!$H$6:$H$405&gt;=$AQ1681))&gt;0)*(ROW(職員マスタ!$A$6:$A$405)-5)))&gt;0,SUMPRODUCT(MAX((職員マスタ!$A$6:$A$405=$B1681)*(((職員マスタ!$G$6:$G$405="")+(職員マスタ!$G$6:$G$405&lt;=EOMONTH($AQ1681,0)))&gt;0)*(((職員マスタ!$H$6:$H$405="")+(職員マスタ!$H$6:$H$405&gt;=$AQ1681))&gt;0)*(ROW(職員マスタ!$A$6:$A$405)-5))),IFERROR(MATCH($B1681,職員マスタ!$A$6:$A$405,0),"")))</f>
        <v/>
      </c>
      <c r="AQ1681" s="16">
        <f>IF(OR($B1681="",$C1681="",$D1681=""),"",DATE($C1681+2018,$D1681,1))</f>
        <v/>
      </c>
    </row>
    <row r="1682">
      <c r="A1682" s="11" t="n"/>
      <c r="B1682" s="12" t="n"/>
      <c r="C1682" s="12" t="n"/>
      <c r="D1682" s="12" t="n"/>
      <c r="E1682" s="13" t="n"/>
      <c r="F1682" s="12" t="n"/>
      <c r="G1682" s="13" t="n"/>
      <c r="H1682" s="12" t="n"/>
      <c r="I1682" s="12" t="n"/>
      <c r="J1682" s="12" t="n"/>
      <c r="K1682" s="12" t="n"/>
      <c r="L1682" s="11" t="n"/>
      <c r="M1682" s="11" t="n"/>
      <c r="N1682" s="11" t="n"/>
      <c r="O1682" s="11" t="n"/>
      <c r="P1682" s="12" t="n"/>
      <c r="Q1682" s="11" t="n"/>
      <c r="R1682" s="12" t="n"/>
      <c r="S1682" s="11" t="n"/>
      <c r="T1682" s="12" t="n"/>
      <c r="U1682" s="12" t="n"/>
      <c r="V1682" s="12" t="n"/>
      <c r="W1682" s="13" t="n"/>
      <c r="X1682" s="14">
        <f>IF($AP1682="",IF($B1682="","",$H1682),IF(INDEX(職員マスタ!$B$6:$B$405,$AP1682)="",$H1682,INDEX(職員マスタ!$B$6:$B$405,$AP1682)))</f>
        <v/>
      </c>
      <c r="Y1682" s="14">
        <f>IF($AP1682="",IF($B1682="","",$R1682),IF(INDEX(職員マスタ!$C$6:$C$405,$AP1682)="",$R1682,INDEX(職員マスタ!$C$6:$C$405,$AP1682)))</f>
        <v/>
      </c>
      <c r="Z1682" s="14">
        <f>IF($AQ1682="","","R"&amp;$C1682&amp;"."&amp;$D1682)</f>
        <v/>
      </c>
      <c r="AA1682" s="15">
        <f>IF(IF($AP1682="",FALSE,INDEX(職員マスタ!$K$6:$K$405,$AP1682)&lt;&gt;""),INDEX(職員マスタ!$K$6:$K$405,$AP1682),IF(N($W1682)&gt;0,$W1682,""))</f>
        <v/>
      </c>
      <c r="AB1682" s="14">
        <f>IF(OR($E1682="",$AA1682=""),"",IF($E1682&gt;=$AA1682,"×",IF($E1682&gt;=$AA1682*設定!$C$5,"△","○")))</f>
        <v/>
      </c>
      <c r="AC1682" s="15">
        <f>IF($AB1682="","",IF($AB1682="×",0,IF($AB1682="○",ROUNDDOWN($E1682*設定!$C$4,0),ROUNDDOWN($E1682*ROUND((9*$AA1682-9*$E1682)/(10*$E1682),4),0))))</f>
        <v/>
      </c>
      <c r="AD1682" s="13" t="n"/>
      <c r="AE1682" s="15">
        <f>IF($B1682="","",IF($AD1682&lt;&gt;"",$AD1682,IF($AC1682="","",IF($AC1682&lt;=設定!$C$3,0,$AC1682))))</f>
        <v/>
      </c>
      <c r="AF1682" s="14">
        <f>IF($B1682="","",IF(AND($AG1682&lt;&gt;"",$AI1682="",$AL1682=""),"保留中",IF($AL1682&lt;&gt;"",IF(N($AE1682)&gt;0,"支給済","不支給"),IF($AE1682="","要確認",IF($AE1682=0,"不支給","未処理")))))</f>
        <v/>
      </c>
      <c r="AG1682" s="12" t="n"/>
      <c r="AH1682" s="11" t="n"/>
      <c r="AI1682" s="11" t="n"/>
      <c r="AJ1682" s="11" t="n"/>
      <c r="AK1682" s="14">
        <f>IF(AND($AF1682="保留中",$AH1682&lt;&gt;""),TODAY()-$AH1682,"")</f>
        <v/>
      </c>
      <c r="AL1682" s="12" t="n"/>
      <c r="AM1682" s="14">
        <f>IF($B1682="","",IF($AQ1682="","対象年月が未入力／","")&amp;IF($B1682="","",IF($AP1682="","職員マスタに未登録の職員番号／",IF($AA1682="","標準報酬月額が未登録／","")&amp;IF(AND($AQ1682&lt;&gt;"",OR(AND(INDEX(職員マスタ!$G$6:$G$405,$AP1682)&lt;&gt;"",INDEX(職員マスタ!$G$6:$G$405,$AP1682)&gt;EOMONTH($AQ1682,0)),AND(INDEX(職員マスタ!$H$6:$H$405,$AP1682)&lt;&gt;"",INDEX(職員マスタ!$H$6:$H$405,$AP1682)&lt;$AQ1682))),"対象月が時短期間外／","")&amp;IF(AND(INDEX(職員マスタ!$K$6:$K$405,$AP1682)&lt;&gt;"",N($W1682)&gt;0,INDEX(職員マスタ!$K$6:$K$405,$AP1682)&lt;&gt;$W1682),"標準報酬月額が申請書と相違（台帳"&amp;TEXT(INDEX(職員マスタ!$K$6:$K$405,$AP1682),"#,##0")&amp;"円／申請書"&amp;TEXT($W1682,"#,##0")&amp;"円）／","")&amp;IF(AND(INDEX(職員マスタ!$F$6:$F$405,$AP1682)&lt;&gt;"",$AQ1682&lt;&gt;"",INDEX(職員マスタ!$F$6:$F$405,$AP1682)&lt;$AQ1682),"対象月に子が2歳到達済／","")&amp;IF(AND($H1682&lt;&gt;"",INDEX(職員マスタ!$B$6:$B$405,$AP1682)&lt;&gt;"",SUBSTITUTE(SUBSTITUTE($H1682," ","")," ","")&lt;&gt;SUBSTITUTE(SUBSTITUTE(INDEX(職員マスタ!$B$6:$B$405,$AP1682)," ","")," ","")),"氏名がマスタと相違／","")&amp;IF(AND($Q1682&lt;&gt;"",INDEX(職員マスタ!$E$6:$E$405,$AP1682)&lt;&gt;"",$Q1682&lt;&gt;INDEX(職員マスタ!$E$6:$E$405,$AP1682)),"子の生年月日がマスタと相違／","")&amp;IF(AND($L1682&lt;&gt;"",INDEX(職員マスタ!$G$6:$G$405,$AP1682)&lt;&gt;"",$L1682&lt;&gt;INDEX(職員マスタ!$G$6:$G$405,$AP1682)),"時短開始日がマスタと相違／","")&amp;IF(AND($M1682&lt;&gt;"",INDEX(職員マスタ!$H$6:$H$405,$AP1682)&lt;&gt;"",$M1682&lt;&gt;INDEX(職員マスタ!$H$6:$H$405,$AP1682)),"時短終了日がマスタと相違／","")))&amp;IF(AND($B1682&lt;&gt;"",$E1682=""),"報酬額が未入力／","")&amp;IF(N($U1682)&gt;0,"申請書に入力エラーが残っています／","")&amp;IF(AND($B1682&lt;&gt;"",$AQ1682&lt;&gt;""),IF(COUNTIFS($B$6:$B$3005,$B1682,$C$6:$C$3005,$C1682,$D$6:$D$3005,$D1682)&gt;1,"同じ月の請求が重複しています／",""),"")&amp;IF(AND(N($E1682)&gt;0,$AB1682&lt;&gt;"",$AB1682&lt;&gt;"×",$AE1682=0,$AD1682=""),"計算額が下限以下のため不支給／",""))</f>
        <v/>
      </c>
      <c r="AN1682" s="12" t="n"/>
      <c r="AO1682" s="14">
        <f>IF($AF1682="保留中",COUNTIF($AF$6:$AF1682,"保留中"),"")</f>
        <v/>
      </c>
      <c r="AP1682" s="14">
        <f>IF($AQ1682="","",IF(SUMPRODUCT(MAX((職員マスタ!$A$6:$A$405=$B1682)*(((職員マスタ!$G$6:$G$405="")+(職員マスタ!$G$6:$G$405&lt;=EOMONTH($AQ1682,0)))&gt;0)*(((職員マスタ!$H$6:$H$405="")+(職員マスタ!$H$6:$H$405&gt;=$AQ1682))&gt;0)*(ROW(職員マスタ!$A$6:$A$405)-5)))&gt;0,SUMPRODUCT(MAX((職員マスタ!$A$6:$A$405=$B1682)*(((職員マスタ!$G$6:$G$405="")+(職員マスタ!$G$6:$G$405&lt;=EOMONTH($AQ1682,0)))&gt;0)*(((職員マスタ!$H$6:$H$405="")+(職員マスタ!$H$6:$H$405&gt;=$AQ1682))&gt;0)*(ROW(職員マスタ!$A$6:$A$405)-5))),IFERROR(MATCH($B1682,職員マスタ!$A$6:$A$405,0),"")))</f>
        <v/>
      </c>
      <c r="AQ1682" s="16">
        <f>IF(OR($B1682="",$C1682="",$D1682=""),"",DATE($C1682+2018,$D1682,1))</f>
        <v/>
      </c>
    </row>
    <row r="1683">
      <c r="A1683" s="11" t="n"/>
      <c r="B1683" s="12" t="n"/>
      <c r="C1683" s="12" t="n"/>
      <c r="D1683" s="12" t="n"/>
      <c r="E1683" s="13" t="n"/>
      <c r="F1683" s="12" t="n"/>
      <c r="G1683" s="13" t="n"/>
      <c r="H1683" s="12" t="n"/>
      <c r="I1683" s="12" t="n"/>
      <c r="J1683" s="12" t="n"/>
      <c r="K1683" s="12" t="n"/>
      <c r="L1683" s="11" t="n"/>
      <c r="M1683" s="11" t="n"/>
      <c r="N1683" s="11" t="n"/>
      <c r="O1683" s="11" t="n"/>
      <c r="P1683" s="12" t="n"/>
      <c r="Q1683" s="11" t="n"/>
      <c r="R1683" s="12" t="n"/>
      <c r="S1683" s="11" t="n"/>
      <c r="T1683" s="12" t="n"/>
      <c r="U1683" s="12" t="n"/>
      <c r="V1683" s="12" t="n"/>
      <c r="W1683" s="13" t="n"/>
      <c r="X1683" s="14">
        <f>IF($AP1683="",IF($B1683="","",$H1683),IF(INDEX(職員マスタ!$B$6:$B$405,$AP1683)="",$H1683,INDEX(職員マスタ!$B$6:$B$405,$AP1683)))</f>
        <v/>
      </c>
      <c r="Y1683" s="14">
        <f>IF($AP1683="",IF($B1683="","",$R1683),IF(INDEX(職員マスタ!$C$6:$C$405,$AP1683)="",$R1683,INDEX(職員マスタ!$C$6:$C$405,$AP1683)))</f>
        <v/>
      </c>
      <c r="Z1683" s="14">
        <f>IF($AQ1683="","","R"&amp;$C1683&amp;"."&amp;$D1683)</f>
        <v/>
      </c>
      <c r="AA1683" s="15">
        <f>IF(IF($AP1683="",FALSE,INDEX(職員マスタ!$K$6:$K$405,$AP1683)&lt;&gt;""),INDEX(職員マスタ!$K$6:$K$405,$AP1683),IF(N($W1683)&gt;0,$W1683,""))</f>
        <v/>
      </c>
      <c r="AB1683" s="14">
        <f>IF(OR($E1683="",$AA1683=""),"",IF($E1683&gt;=$AA1683,"×",IF($E1683&gt;=$AA1683*設定!$C$5,"△","○")))</f>
        <v/>
      </c>
      <c r="AC1683" s="15">
        <f>IF($AB1683="","",IF($AB1683="×",0,IF($AB1683="○",ROUNDDOWN($E1683*設定!$C$4,0),ROUNDDOWN($E1683*ROUND((9*$AA1683-9*$E1683)/(10*$E1683),4),0))))</f>
        <v/>
      </c>
      <c r="AD1683" s="13" t="n"/>
      <c r="AE1683" s="15">
        <f>IF($B1683="","",IF($AD1683&lt;&gt;"",$AD1683,IF($AC1683="","",IF($AC1683&lt;=設定!$C$3,0,$AC1683))))</f>
        <v/>
      </c>
      <c r="AF1683" s="14">
        <f>IF($B1683="","",IF(AND($AG1683&lt;&gt;"",$AI1683="",$AL1683=""),"保留中",IF($AL1683&lt;&gt;"",IF(N($AE1683)&gt;0,"支給済","不支給"),IF($AE1683="","要確認",IF($AE1683=0,"不支給","未処理")))))</f>
        <v/>
      </c>
      <c r="AG1683" s="12" t="n"/>
      <c r="AH1683" s="11" t="n"/>
      <c r="AI1683" s="11" t="n"/>
      <c r="AJ1683" s="11" t="n"/>
      <c r="AK1683" s="14">
        <f>IF(AND($AF1683="保留中",$AH1683&lt;&gt;""),TODAY()-$AH1683,"")</f>
        <v/>
      </c>
      <c r="AL1683" s="12" t="n"/>
      <c r="AM1683" s="14">
        <f>IF($B1683="","",IF($AQ1683="","対象年月が未入力／","")&amp;IF($B1683="","",IF($AP1683="","職員マスタに未登録の職員番号／",IF($AA1683="","標準報酬月額が未登録／","")&amp;IF(AND($AQ1683&lt;&gt;"",OR(AND(INDEX(職員マスタ!$G$6:$G$405,$AP1683)&lt;&gt;"",INDEX(職員マスタ!$G$6:$G$405,$AP1683)&gt;EOMONTH($AQ1683,0)),AND(INDEX(職員マスタ!$H$6:$H$405,$AP1683)&lt;&gt;"",INDEX(職員マスタ!$H$6:$H$405,$AP1683)&lt;$AQ1683))),"対象月が時短期間外／","")&amp;IF(AND(INDEX(職員マスタ!$K$6:$K$405,$AP1683)&lt;&gt;"",N($W1683)&gt;0,INDEX(職員マスタ!$K$6:$K$405,$AP1683)&lt;&gt;$W1683),"標準報酬月額が申請書と相違（台帳"&amp;TEXT(INDEX(職員マスタ!$K$6:$K$405,$AP1683),"#,##0")&amp;"円／申請書"&amp;TEXT($W1683,"#,##0")&amp;"円）／","")&amp;IF(AND(INDEX(職員マスタ!$F$6:$F$405,$AP1683)&lt;&gt;"",$AQ1683&lt;&gt;"",INDEX(職員マスタ!$F$6:$F$405,$AP1683)&lt;$AQ1683),"対象月に子が2歳到達済／","")&amp;IF(AND($H1683&lt;&gt;"",INDEX(職員マスタ!$B$6:$B$405,$AP1683)&lt;&gt;"",SUBSTITUTE(SUBSTITUTE($H1683," ","")," ","")&lt;&gt;SUBSTITUTE(SUBSTITUTE(INDEX(職員マスタ!$B$6:$B$405,$AP1683)," ","")," ","")),"氏名がマスタと相違／","")&amp;IF(AND($Q1683&lt;&gt;"",INDEX(職員マスタ!$E$6:$E$405,$AP1683)&lt;&gt;"",$Q1683&lt;&gt;INDEX(職員マスタ!$E$6:$E$405,$AP1683)),"子の生年月日がマスタと相違／","")&amp;IF(AND($L1683&lt;&gt;"",INDEX(職員マスタ!$G$6:$G$405,$AP1683)&lt;&gt;"",$L1683&lt;&gt;INDEX(職員マスタ!$G$6:$G$405,$AP1683)),"時短開始日がマスタと相違／","")&amp;IF(AND($M1683&lt;&gt;"",INDEX(職員マスタ!$H$6:$H$405,$AP1683)&lt;&gt;"",$M1683&lt;&gt;INDEX(職員マスタ!$H$6:$H$405,$AP1683)),"時短終了日がマスタと相違／","")))&amp;IF(AND($B1683&lt;&gt;"",$E1683=""),"報酬額が未入力／","")&amp;IF(N($U1683)&gt;0,"申請書に入力エラーが残っています／","")&amp;IF(AND($B1683&lt;&gt;"",$AQ1683&lt;&gt;""),IF(COUNTIFS($B$6:$B$3005,$B1683,$C$6:$C$3005,$C1683,$D$6:$D$3005,$D1683)&gt;1,"同じ月の請求が重複しています／",""),"")&amp;IF(AND(N($E1683)&gt;0,$AB1683&lt;&gt;"",$AB1683&lt;&gt;"×",$AE1683=0,$AD1683=""),"計算額が下限以下のため不支給／",""))</f>
        <v/>
      </c>
      <c r="AN1683" s="12" t="n"/>
      <c r="AO1683" s="14">
        <f>IF($AF1683="保留中",COUNTIF($AF$6:$AF1683,"保留中"),"")</f>
        <v/>
      </c>
      <c r="AP1683" s="14">
        <f>IF($AQ1683="","",IF(SUMPRODUCT(MAX((職員マスタ!$A$6:$A$405=$B1683)*(((職員マスタ!$G$6:$G$405="")+(職員マスタ!$G$6:$G$405&lt;=EOMONTH($AQ1683,0)))&gt;0)*(((職員マスタ!$H$6:$H$405="")+(職員マスタ!$H$6:$H$405&gt;=$AQ1683))&gt;0)*(ROW(職員マスタ!$A$6:$A$405)-5)))&gt;0,SUMPRODUCT(MAX((職員マスタ!$A$6:$A$405=$B1683)*(((職員マスタ!$G$6:$G$405="")+(職員マスタ!$G$6:$G$405&lt;=EOMONTH($AQ1683,0)))&gt;0)*(((職員マスタ!$H$6:$H$405="")+(職員マスタ!$H$6:$H$405&gt;=$AQ1683))&gt;0)*(ROW(職員マスタ!$A$6:$A$405)-5))),IFERROR(MATCH($B1683,職員マスタ!$A$6:$A$405,0),"")))</f>
        <v/>
      </c>
      <c r="AQ1683" s="16">
        <f>IF(OR($B1683="",$C1683="",$D1683=""),"",DATE($C1683+2018,$D1683,1))</f>
        <v/>
      </c>
    </row>
    <row r="1684">
      <c r="A1684" s="11" t="n"/>
      <c r="B1684" s="12" t="n"/>
      <c r="C1684" s="12" t="n"/>
      <c r="D1684" s="12" t="n"/>
      <c r="E1684" s="13" t="n"/>
      <c r="F1684" s="12" t="n"/>
      <c r="G1684" s="13" t="n"/>
      <c r="H1684" s="12" t="n"/>
      <c r="I1684" s="12" t="n"/>
      <c r="J1684" s="12" t="n"/>
      <c r="K1684" s="12" t="n"/>
      <c r="L1684" s="11" t="n"/>
      <c r="M1684" s="11" t="n"/>
      <c r="N1684" s="11" t="n"/>
      <c r="O1684" s="11" t="n"/>
      <c r="P1684" s="12" t="n"/>
      <c r="Q1684" s="11" t="n"/>
      <c r="R1684" s="12" t="n"/>
      <c r="S1684" s="11" t="n"/>
      <c r="T1684" s="12" t="n"/>
      <c r="U1684" s="12" t="n"/>
      <c r="V1684" s="12" t="n"/>
      <c r="W1684" s="13" t="n"/>
      <c r="X1684" s="14">
        <f>IF($AP1684="",IF($B1684="","",$H1684),IF(INDEX(職員マスタ!$B$6:$B$405,$AP1684)="",$H1684,INDEX(職員マスタ!$B$6:$B$405,$AP1684)))</f>
        <v/>
      </c>
      <c r="Y1684" s="14">
        <f>IF($AP1684="",IF($B1684="","",$R1684),IF(INDEX(職員マスタ!$C$6:$C$405,$AP1684)="",$R1684,INDEX(職員マスタ!$C$6:$C$405,$AP1684)))</f>
        <v/>
      </c>
      <c r="Z1684" s="14">
        <f>IF($AQ1684="","","R"&amp;$C1684&amp;"."&amp;$D1684)</f>
        <v/>
      </c>
      <c r="AA1684" s="15">
        <f>IF(IF($AP1684="",FALSE,INDEX(職員マスタ!$K$6:$K$405,$AP1684)&lt;&gt;""),INDEX(職員マスタ!$K$6:$K$405,$AP1684),IF(N($W1684)&gt;0,$W1684,""))</f>
        <v/>
      </c>
      <c r="AB1684" s="14">
        <f>IF(OR($E1684="",$AA1684=""),"",IF($E1684&gt;=$AA1684,"×",IF($E1684&gt;=$AA1684*設定!$C$5,"△","○")))</f>
        <v/>
      </c>
      <c r="AC1684" s="15">
        <f>IF($AB1684="","",IF($AB1684="×",0,IF($AB1684="○",ROUNDDOWN($E1684*設定!$C$4,0),ROUNDDOWN($E1684*ROUND((9*$AA1684-9*$E1684)/(10*$E1684),4),0))))</f>
        <v/>
      </c>
      <c r="AD1684" s="13" t="n"/>
      <c r="AE1684" s="15">
        <f>IF($B1684="","",IF($AD1684&lt;&gt;"",$AD1684,IF($AC1684="","",IF($AC1684&lt;=設定!$C$3,0,$AC1684))))</f>
        <v/>
      </c>
      <c r="AF1684" s="14">
        <f>IF($B1684="","",IF(AND($AG1684&lt;&gt;"",$AI1684="",$AL1684=""),"保留中",IF($AL1684&lt;&gt;"",IF(N($AE1684)&gt;0,"支給済","不支給"),IF($AE1684="","要確認",IF($AE1684=0,"不支給","未処理")))))</f>
        <v/>
      </c>
      <c r="AG1684" s="12" t="n"/>
      <c r="AH1684" s="11" t="n"/>
      <c r="AI1684" s="11" t="n"/>
      <c r="AJ1684" s="11" t="n"/>
      <c r="AK1684" s="14">
        <f>IF(AND($AF1684="保留中",$AH1684&lt;&gt;""),TODAY()-$AH1684,"")</f>
        <v/>
      </c>
      <c r="AL1684" s="12" t="n"/>
      <c r="AM1684" s="14">
        <f>IF($B1684="","",IF($AQ1684="","対象年月が未入力／","")&amp;IF($B1684="","",IF($AP1684="","職員マスタに未登録の職員番号／",IF($AA1684="","標準報酬月額が未登録／","")&amp;IF(AND($AQ1684&lt;&gt;"",OR(AND(INDEX(職員マスタ!$G$6:$G$405,$AP1684)&lt;&gt;"",INDEX(職員マスタ!$G$6:$G$405,$AP1684)&gt;EOMONTH($AQ1684,0)),AND(INDEX(職員マスタ!$H$6:$H$405,$AP1684)&lt;&gt;"",INDEX(職員マスタ!$H$6:$H$405,$AP1684)&lt;$AQ1684))),"対象月が時短期間外／","")&amp;IF(AND(INDEX(職員マスタ!$K$6:$K$405,$AP1684)&lt;&gt;"",N($W1684)&gt;0,INDEX(職員マスタ!$K$6:$K$405,$AP1684)&lt;&gt;$W1684),"標準報酬月額が申請書と相違（台帳"&amp;TEXT(INDEX(職員マスタ!$K$6:$K$405,$AP1684),"#,##0")&amp;"円／申請書"&amp;TEXT($W1684,"#,##0")&amp;"円）／","")&amp;IF(AND(INDEX(職員マスタ!$F$6:$F$405,$AP1684)&lt;&gt;"",$AQ1684&lt;&gt;"",INDEX(職員マスタ!$F$6:$F$405,$AP1684)&lt;$AQ1684),"対象月に子が2歳到達済／","")&amp;IF(AND($H1684&lt;&gt;"",INDEX(職員マスタ!$B$6:$B$405,$AP1684)&lt;&gt;"",SUBSTITUTE(SUBSTITUTE($H1684," ","")," ","")&lt;&gt;SUBSTITUTE(SUBSTITUTE(INDEX(職員マスタ!$B$6:$B$405,$AP1684)," ","")," ","")),"氏名がマスタと相違／","")&amp;IF(AND($Q1684&lt;&gt;"",INDEX(職員マスタ!$E$6:$E$405,$AP1684)&lt;&gt;"",$Q1684&lt;&gt;INDEX(職員マスタ!$E$6:$E$405,$AP1684)),"子の生年月日がマスタと相違／","")&amp;IF(AND($L1684&lt;&gt;"",INDEX(職員マスタ!$G$6:$G$405,$AP1684)&lt;&gt;"",$L1684&lt;&gt;INDEX(職員マスタ!$G$6:$G$405,$AP1684)),"時短開始日がマスタと相違／","")&amp;IF(AND($M1684&lt;&gt;"",INDEX(職員マスタ!$H$6:$H$405,$AP1684)&lt;&gt;"",$M1684&lt;&gt;INDEX(職員マスタ!$H$6:$H$405,$AP1684)),"時短終了日がマスタと相違／","")))&amp;IF(AND($B1684&lt;&gt;"",$E1684=""),"報酬額が未入力／","")&amp;IF(N($U1684)&gt;0,"申請書に入力エラーが残っています／","")&amp;IF(AND($B1684&lt;&gt;"",$AQ1684&lt;&gt;""),IF(COUNTIFS($B$6:$B$3005,$B1684,$C$6:$C$3005,$C1684,$D$6:$D$3005,$D1684)&gt;1,"同じ月の請求が重複しています／",""),"")&amp;IF(AND(N($E1684)&gt;0,$AB1684&lt;&gt;"",$AB1684&lt;&gt;"×",$AE1684=0,$AD1684=""),"計算額が下限以下のため不支給／",""))</f>
        <v/>
      </c>
      <c r="AN1684" s="12" t="n"/>
      <c r="AO1684" s="14">
        <f>IF($AF1684="保留中",COUNTIF($AF$6:$AF1684,"保留中"),"")</f>
        <v/>
      </c>
      <c r="AP1684" s="14">
        <f>IF($AQ1684="","",IF(SUMPRODUCT(MAX((職員マスタ!$A$6:$A$405=$B1684)*(((職員マスタ!$G$6:$G$405="")+(職員マスタ!$G$6:$G$405&lt;=EOMONTH($AQ1684,0)))&gt;0)*(((職員マスタ!$H$6:$H$405="")+(職員マスタ!$H$6:$H$405&gt;=$AQ1684))&gt;0)*(ROW(職員マスタ!$A$6:$A$405)-5)))&gt;0,SUMPRODUCT(MAX((職員マスタ!$A$6:$A$405=$B1684)*(((職員マスタ!$G$6:$G$405="")+(職員マスタ!$G$6:$G$405&lt;=EOMONTH($AQ1684,0)))&gt;0)*(((職員マスタ!$H$6:$H$405="")+(職員マスタ!$H$6:$H$405&gt;=$AQ1684))&gt;0)*(ROW(職員マスタ!$A$6:$A$405)-5))),IFERROR(MATCH($B1684,職員マスタ!$A$6:$A$405,0),"")))</f>
        <v/>
      </c>
      <c r="AQ1684" s="16">
        <f>IF(OR($B1684="",$C1684="",$D1684=""),"",DATE($C1684+2018,$D1684,1))</f>
        <v/>
      </c>
    </row>
    <row r="1685">
      <c r="A1685" s="11" t="n"/>
      <c r="B1685" s="12" t="n"/>
      <c r="C1685" s="12" t="n"/>
      <c r="D1685" s="12" t="n"/>
      <c r="E1685" s="13" t="n"/>
      <c r="F1685" s="12" t="n"/>
      <c r="G1685" s="13" t="n"/>
      <c r="H1685" s="12" t="n"/>
      <c r="I1685" s="12" t="n"/>
      <c r="J1685" s="12" t="n"/>
      <c r="K1685" s="12" t="n"/>
      <c r="L1685" s="11" t="n"/>
      <c r="M1685" s="11" t="n"/>
      <c r="N1685" s="11" t="n"/>
      <c r="O1685" s="11" t="n"/>
      <c r="P1685" s="12" t="n"/>
      <c r="Q1685" s="11" t="n"/>
      <c r="R1685" s="12" t="n"/>
      <c r="S1685" s="11" t="n"/>
      <c r="T1685" s="12" t="n"/>
      <c r="U1685" s="12" t="n"/>
      <c r="V1685" s="12" t="n"/>
      <c r="W1685" s="13" t="n"/>
      <c r="X1685" s="14">
        <f>IF($AP1685="",IF($B1685="","",$H1685),IF(INDEX(職員マスタ!$B$6:$B$405,$AP1685)="",$H1685,INDEX(職員マスタ!$B$6:$B$405,$AP1685)))</f>
        <v/>
      </c>
      <c r="Y1685" s="14">
        <f>IF($AP1685="",IF($B1685="","",$R1685),IF(INDEX(職員マスタ!$C$6:$C$405,$AP1685)="",$R1685,INDEX(職員マスタ!$C$6:$C$405,$AP1685)))</f>
        <v/>
      </c>
      <c r="Z1685" s="14">
        <f>IF($AQ1685="","","R"&amp;$C1685&amp;"."&amp;$D1685)</f>
        <v/>
      </c>
      <c r="AA1685" s="15">
        <f>IF(IF($AP1685="",FALSE,INDEX(職員マスタ!$K$6:$K$405,$AP1685)&lt;&gt;""),INDEX(職員マスタ!$K$6:$K$405,$AP1685),IF(N($W1685)&gt;0,$W1685,""))</f>
        <v/>
      </c>
      <c r="AB1685" s="14">
        <f>IF(OR($E1685="",$AA1685=""),"",IF($E1685&gt;=$AA1685,"×",IF($E1685&gt;=$AA1685*設定!$C$5,"△","○")))</f>
        <v/>
      </c>
      <c r="AC1685" s="15">
        <f>IF($AB1685="","",IF($AB1685="×",0,IF($AB1685="○",ROUNDDOWN($E1685*設定!$C$4,0),ROUNDDOWN($E1685*ROUND((9*$AA1685-9*$E1685)/(10*$E1685),4),0))))</f>
        <v/>
      </c>
      <c r="AD1685" s="13" t="n"/>
      <c r="AE1685" s="15">
        <f>IF($B1685="","",IF($AD1685&lt;&gt;"",$AD1685,IF($AC1685="","",IF($AC1685&lt;=設定!$C$3,0,$AC1685))))</f>
        <v/>
      </c>
      <c r="AF1685" s="14">
        <f>IF($B1685="","",IF(AND($AG1685&lt;&gt;"",$AI1685="",$AL1685=""),"保留中",IF($AL1685&lt;&gt;"",IF(N($AE1685)&gt;0,"支給済","不支給"),IF($AE1685="","要確認",IF($AE1685=0,"不支給","未処理")))))</f>
        <v/>
      </c>
      <c r="AG1685" s="12" t="n"/>
      <c r="AH1685" s="11" t="n"/>
      <c r="AI1685" s="11" t="n"/>
      <c r="AJ1685" s="11" t="n"/>
      <c r="AK1685" s="14">
        <f>IF(AND($AF1685="保留中",$AH1685&lt;&gt;""),TODAY()-$AH1685,"")</f>
        <v/>
      </c>
      <c r="AL1685" s="12" t="n"/>
      <c r="AM1685" s="14">
        <f>IF($B1685="","",IF($AQ1685="","対象年月が未入力／","")&amp;IF($B1685="","",IF($AP1685="","職員マスタに未登録の職員番号／",IF($AA1685="","標準報酬月額が未登録／","")&amp;IF(AND($AQ1685&lt;&gt;"",OR(AND(INDEX(職員マスタ!$G$6:$G$405,$AP1685)&lt;&gt;"",INDEX(職員マスタ!$G$6:$G$405,$AP1685)&gt;EOMONTH($AQ1685,0)),AND(INDEX(職員マスタ!$H$6:$H$405,$AP1685)&lt;&gt;"",INDEX(職員マスタ!$H$6:$H$405,$AP1685)&lt;$AQ1685))),"対象月が時短期間外／","")&amp;IF(AND(INDEX(職員マスタ!$K$6:$K$405,$AP1685)&lt;&gt;"",N($W1685)&gt;0,INDEX(職員マスタ!$K$6:$K$405,$AP1685)&lt;&gt;$W1685),"標準報酬月額が申請書と相違（台帳"&amp;TEXT(INDEX(職員マスタ!$K$6:$K$405,$AP1685),"#,##0")&amp;"円／申請書"&amp;TEXT($W1685,"#,##0")&amp;"円）／","")&amp;IF(AND(INDEX(職員マスタ!$F$6:$F$405,$AP1685)&lt;&gt;"",$AQ1685&lt;&gt;"",INDEX(職員マスタ!$F$6:$F$405,$AP1685)&lt;$AQ1685),"対象月に子が2歳到達済／","")&amp;IF(AND($H1685&lt;&gt;"",INDEX(職員マスタ!$B$6:$B$405,$AP1685)&lt;&gt;"",SUBSTITUTE(SUBSTITUTE($H1685," ","")," ","")&lt;&gt;SUBSTITUTE(SUBSTITUTE(INDEX(職員マスタ!$B$6:$B$405,$AP1685)," ","")," ","")),"氏名がマスタと相違／","")&amp;IF(AND($Q1685&lt;&gt;"",INDEX(職員マスタ!$E$6:$E$405,$AP1685)&lt;&gt;"",$Q1685&lt;&gt;INDEX(職員マスタ!$E$6:$E$405,$AP1685)),"子の生年月日がマスタと相違／","")&amp;IF(AND($L1685&lt;&gt;"",INDEX(職員マスタ!$G$6:$G$405,$AP1685)&lt;&gt;"",$L1685&lt;&gt;INDEX(職員マスタ!$G$6:$G$405,$AP1685)),"時短開始日がマスタと相違／","")&amp;IF(AND($M1685&lt;&gt;"",INDEX(職員マスタ!$H$6:$H$405,$AP1685)&lt;&gt;"",$M1685&lt;&gt;INDEX(職員マスタ!$H$6:$H$405,$AP1685)),"時短終了日がマスタと相違／","")))&amp;IF(AND($B1685&lt;&gt;"",$E1685=""),"報酬額が未入力／","")&amp;IF(N($U1685)&gt;0,"申請書に入力エラーが残っています／","")&amp;IF(AND($B1685&lt;&gt;"",$AQ1685&lt;&gt;""),IF(COUNTIFS($B$6:$B$3005,$B1685,$C$6:$C$3005,$C1685,$D$6:$D$3005,$D1685)&gt;1,"同じ月の請求が重複しています／",""),"")&amp;IF(AND(N($E1685)&gt;0,$AB1685&lt;&gt;"",$AB1685&lt;&gt;"×",$AE1685=0,$AD1685=""),"計算額が下限以下のため不支給／",""))</f>
        <v/>
      </c>
      <c r="AN1685" s="12" t="n"/>
      <c r="AO1685" s="14">
        <f>IF($AF1685="保留中",COUNTIF($AF$6:$AF1685,"保留中"),"")</f>
        <v/>
      </c>
      <c r="AP1685" s="14">
        <f>IF($AQ1685="","",IF(SUMPRODUCT(MAX((職員マスタ!$A$6:$A$405=$B1685)*(((職員マスタ!$G$6:$G$405="")+(職員マスタ!$G$6:$G$405&lt;=EOMONTH($AQ1685,0)))&gt;0)*(((職員マスタ!$H$6:$H$405="")+(職員マスタ!$H$6:$H$405&gt;=$AQ1685))&gt;0)*(ROW(職員マスタ!$A$6:$A$405)-5)))&gt;0,SUMPRODUCT(MAX((職員マスタ!$A$6:$A$405=$B1685)*(((職員マスタ!$G$6:$G$405="")+(職員マスタ!$G$6:$G$405&lt;=EOMONTH($AQ1685,0)))&gt;0)*(((職員マスタ!$H$6:$H$405="")+(職員マスタ!$H$6:$H$405&gt;=$AQ1685))&gt;0)*(ROW(職員マスタ!$A$6:$A$405)-5))),IFERROR(MATCH($B1685,職員マスタ!$A$6:$A$405,0),"")))</f>
        <v/>
      </c>
      <c r="AQ1685" s="16">
        <f>IF(OR($B1685="",$C1685="",$D1685=""),"",DATE($C1685+2018,$D1685,1))</f>
        <v/>
      </c>
    </row>
    <row r="1686">
      <c r="A1686" s="11" t="n"/>
      <c r="B1686" s="12" t="n"/>
      <c r="C1686" s="12" t="n"/>
      <c r="D1686" s="12" t="n"/>
      <c r="E1686" s="13" t="n"/>
      <c r="F1686" s="12" t="n"/>
      <c r="G1686" s="13" t="n"/>
      <c r="H1686" s="12" t="n"/>
      <c r="I1686" s="12" t="n"/>
      <c r="J1686" s="12" t="n"/>
      <c r="K1686" s="12" t="n"/>
      <c r="L1686" s="11" t="n"/>
      <c r="M1686" s="11" t="n"/>
      <c r="N1686" s="11" t="n"/>
      <c r="O1686" s="11" t="n"/>
      <c r="P1686" s="12" t="n"/>
      <c r="Q1686" s="11" t="n"/>
      <c r="R1686" s="12" t="n"/>
      <c r="S1686" s="11" t="n"/>
      <c r="T1686" s="12" t="n"/>
      <c r="U1686" s="12" t="n"/>
      <c r="V1686" s="12" t="n"/>
      <c r="W1686" s="13" t="n"/>
      <c r="X1686" s="14">
        <f>IF($AP1686="",IF($B1686="","",$H1686),IF(INDEX(職員マスタ!$B$6:$B$405,$AP1686)="",$H1686,INDEX(職員マスタ!$B$6:$B$405,$AP1686)))</f>
        <v/>
      </c>
      <c r="Y1686" s="14">
        <f>IF($AP1686="",IF($B1686="","",$R1686),IF(INDEX(職員マスタ!$C$6:$C$405,$AP1686)="",$R1686,INDEX(職員マスタ!$C$6:$C$405,$AP1686)))</f>
        <v/>
      </c>
      <c r="Z1686" s="14">
        <f>IF($AQ1686="","","R"&amp;$C1686&amp;"."&amp;$D1686)</f>
        <v/>
      </c>
      <c r="AA1686" s="15">
        <f>IF(IF($AP1686="",FALSE,INDEX(職員マスタ!$K$6:$K$405,$AP1686)&lt;&gt;""),INDEX(職員マスタ!$K$6:$K$405,$AP1686),IF(N($W1686)&gt;0,$W1686,""))</f>
        <v/>
      </c>
      <c r="AB1686" s="14">
        <f>IF(OR($E1686="",$AA1686=""),"",IF($E1686&gt;=$AA1686,"×",IF($E1686&gt;=$AA1686*設定!$C$5,"△","○")))</f>
        <v/>
      </c>
      <c r="AC1686" s="15">
        <f>IF($AB1686="","",IF($AB1686="×",0,IF($AB1686="○",ROUNDDOWN($E1686*設定!$C$4,0),ROUNDDOWN($E1686*ROUND((9*$AA1686-9*$E1686)/(10*$E1686),4),0))))</f>
        <v/>
      </c>
      <c r="AD1686" s="13" t="n"/>
      <c r="AE1686" s="15">
        <f>IF($B1686="","",IF($AD1686&lt;&gt;"",$AD1686,IF($AC1686="","",IF($AC1686&lt;=設定!$C$3,0,$AC1686))))</f>
        <v/>
      </c>
      <c r="AF1686" s="14">
        <f>IF($B1686="","",IF(AND($AG1686&lt;&gt;"",$AI1686="",$AL1686=""),"保留中",IF($AL1686&lt;&gt;"",IF(N($AE1686)&gt;0,"支給済","不支給"),IF($AE1686="","要確認",IF($AE1686=0,"不支給","未処理")))))</f>
        <v/>
      </c>
      <c r="AG1686" s="12" t="n"/>
      <c r="AH1686" s="11" t="n"/>
      <c r="AI1686" s="11" t="n"/>
      <c r="AJ1686" s="11" t="n"/>
      <c r="AK1686" s="14">
        <f>IF(AND($AF1686="保留中",$AH1686&lt;&gt;""),TODAY()-$AH1686,"")</f>
        <v/>
      </c>
      <c r="AL1686" s="12" t="n"/>
      <c r="AM1686" s="14">
        <f>IF($B1686="","",IF($AQ1686="","対象年月が未入力／","")&amp;IF($B1686="","",IF($AP1686="","職員マスタに未登録の職員番号／",IF($AA1686="","標準報酬月額が未登録／","")&amp;IF(AND($AQ1686&lt;&gt;"",OR(AND(INDEX(職員マスタ!$G$6:$G$405,$AP1686)&lt;&gt;"",INDEX(職員マスタ!$G$6:$G$405,$AP1686)&gt;EOMONTH($AQ1686,0)),AND(INDEX(職員マスタ!$H$6:$H$405,$AP1686)&lt;&gt;"",INDEX(職員マスタ!$H$6:$H$405,$AP1686)&lt;$AQ1686))),"対象月が時短期間外／","")&amp;IF(AND(INDEX(職員マスタ!$K$6:$K$405,$AP1686)&lt;&gt;"",N($W1686)&gt;0,INDEX(職員マスタ!$K$6:$K$405,$AP1686)&lt;&gt;$W1686),"標準報酬月額が申請書と相違（台帳"&amp;TEXT(INDEX(職員マスタ!$K$6:$K$405,$AP1686),"#,##0")&amp;"円／申請書"&amp;TEXT($W1686,"#,##0")&amp;"円）／","")&amp;IF(AND(INDEX(職員マスタ!$F$6:$F$405,$AP1686)&lt;&gt;"",$AQ1686&lt;&gt;"",INDEX(職員マスタ!$F$6:$F$405,$AP1686)&lt;$AQ1686),"対象月に子が2歳到達済／","")&amp;IF(AND($H1686&lt;&gt;"",INDEX(職員マスタ!$B$6:$B$405,$AP1686)&lt;&gt;"",SUBSTITUTE(SUBSTITUTE($H1686," ","")," ","")&lt;&gt;SUBSTITUTE(SUBSTITUTE(INDEX(職員マスタ!$B$6:$B$405,$AP1686)," ","")," ","")),"氏名がマスタと相違／","")&amp;IF(AND($Q1686&lt;&gt;"",INDEX(職員マスタ!$E$6:$E$405,$AP1686)&lt;&gt;"",$Q1686&lt;&gt;INDEX(職員マスタ!$E$6:$E$405,$AP1686)),"子の生年月日がマスタと相違／","")&amp;IF(AND($L1686&lt;&gt;"",INDEX(職員マスタ!$G$6:$G$405,$AP1686)&lt;&gt;"",$L1686&lt;&gt;INDEX(職員マスタ!$G$6:$G$405,$AP1686)),"時短開始日がマスタと相違／","")&amp;IF(AND($M1686&lt;&gt;"",INDEX(職員マスタ!$H$6:$H$405,$AP1686)&lt;&gt;"",$M1686&lt;&gt;INDEX(職員マスタ!$H$6:$H$405,$AP1686)),"時短終了日がマスタと相違／","")))&amp;IF(AND($B1686&lt;&gt;"",$E1686=""),"報酬額が未入力／","")&amp;IF(N($U1686)&gt;0,"申請書に入力エラーが残っています／","")&amp;IF(AND($B1686&lt;&gt;"",$AQ1686&lt;&gt;""),IF(COUNTIFS($B$6:$B$3005,$B1686,$C$6:$C$3005,$C1686,$D$6:$D$3005,$D1686)&gt;1,"同じ月の請求が重複しています／",""),"")&amp;IF(AND(N($E1686)&gt;0,$AB1686&lt;&gt;"",$AB1686&lt;&gt;"×",$AE1686=0,$AD1686=""),"計算額が下限以下のため不支給／",""))</f>
        <v/>
      </c>
      <c r="AN1686" s="12" t="n"/>
      <c r="AO1686" s="14">
        <f>IF($AF1686="保留中",COUNTIF($AF$6:$AF1686,"保留中"),"")</f>
        <v/>
      </c>
      <c r="AP1686" s="14">
        <f>IF($AQ1686="","",IF(SUMPRODUCT(MAX((職員マスタ!$A$6:$A$405=$B1686)*(((職員マスタ!$G$6:$G$405="")+(職員マスタ!$G$6:$G$405&lt;=EOMONTH($AQ1686,0)))&gt;0)*(((職員マスタ!$H$6:$H$405="")+(職員マスタ!$H$6:$H$405&gt;=$AQ1686))&gt;0)*(ROW(職員マスタ!$A$6:$A$405)-5)))&gt;0,SUMPRODUCT(MAX((職員マスタ!$A$6:$A$405=$B1686)*(((職員マスタ!$G$6:$G$405="")+(職員マスタ!$G$6:$G$405&lt;=EOMONTH($AQ1686,0)))&gt;0)*(((職員マスタ!$H$6:$H$405="")+(職員マスタ!$H$6:$H$405&gt;=$AQ1686))&gt;0)*(ROW(職員マスタ!$A$6:$A$405)-5))),IFERROR(MATCH($B1686,職員マスタ!$A$6:$A$405,0),"")))</f>
        <v/>
      </c>
      <c r="AQ1686" s="16">
        <f>IF(OR($B1686="",$C1686="",$D1686=""),"",DATE($C1686+2018,$D1686,1))</f>
        <v/>
      </c>
    </row>
    <row r="1687">
      <c r="A1687" s="11" t="n"/>
      <c r="B1687" s="12" t="n"/>
      <c r="C1687" s="12" t="n"/>
      <c r="D1687" s="12" t="n"/>
      <c r="E1687" s="13" t="n"/>
      <c r="F1687" s="12" t="n"/>
      <c r="G1687" s="13" t="n"/>
      <c r="H1687" s="12" t="n"/>
      <c r="I1687" s="12" t="n"/>
      <c r="J1687" s="12" t="n"/>
      <c r="K1687" s="12" t="n"/>
      <c r="L1687" s="11" t="n"/>
      <c r="M1687" s="11" t="n"/>
      <c r="N1687" s="11" t="n"/>
      <c r="O1687" s="11" t="n"/>
      <c r="P1687" s="12" t="n"/>
      <c r="Q1687" s="11" t="n"/>
      <c r="R1687" s="12" t="n"/>
      <c r="S1687" s="11" t="n"/>
      <c r="T1687" s="12" t="n"/>
      <c r="U1687" s="12" t="n"/>
      <c r="V1687" s="12" t="n"/>
      <c r="W1687" s="13" t="n"/>
      <c r="X1687" s="14">
        <f>IF($AP1687="",IF($B1687="","",$H1687),IF(INDEX(職員マスタ!$B$6:$B$405,$AP1687)="",$H1687,INDEX(職員マスタ!$B$6:$B$405,$AP1687)))</f>
        <v/>
      </c>
      <c r="Y1687" s="14">
        <f>IF($AP1687="",IF($B1687="","",$R1687),IF(INDEX(職員マスタ!$C$6:$C$405,$AP1687)="",$R1687,INDEX(職員マスタ!$C$6:$C$405,$AP1687)))</f>
        <v/>
      </c>
      <c r="Z1687" s="14">
        <f>IF($AQ1687="","","R"&amp;$C1687&amp;"."&amp;$D1687)</f>
        <v/>
      </c>
      <c r="AA1687" s="15">
        <f>IF(IF($AP1687="",FALSE,INDEX(職員マスタ!$K$6:$K$405,$AP1687)&lt;&gt;""),INDEX(職員マスタ!$K$6:$K$405,$AP1687),IF(N($W1687)&gt;0,$W1687,""))</f>
        <v/>
      </c>
      <c r="AB1687" s="14">
        <f>IF(OR($E1687="",$AA1687=""),"",IF($E1687&gt;=$AA1687,"×",IF($E1687&gt;=$AA1687*設定!$C$5,"△","○")))</f>
        <v/>
      </c>
      <c r="AC1687" s="15">
        <f>IF($AB1687="","",IF($AB1687="×",0,IF($AB1687="○",ROUNDDOWN($E1687*設定!$C$4,0),ROUNDDOWN($E1687*ROUND((9*$AA1687-9*$E1687)/(10*$E1687),4),0))))</f>
        <v/>
      </c>
      <c r="AD1687" s="13" t="n"/>
      <c r="AE1687" s="15">
        <f>IF($B1687="","",IF($AD1687&lt;&gt;"",$AD1687,IF($AC1687="","",IF($AC1687&lt;=設定!$C$3,0,$AC1687))))</f>
        <v/>
      </c>
      <c r="AF1687" s="14">
        <f>IF($B1687="","",IF(AND($AG1687&lt;&gt;"",$AI1687="",$AL1687=""),"保留中",IF($AL1687&lt;&gt;"",IF(N($AE1687)&gt;0,"支給済","不支給"),IF($AE1687="","要確認",IF($AE1687=0,"不支給","未処理")))))</f>
        <v/>
      </c>
      <c r="AG1687" s="12" t="n"/>
      <c r="AH1687" s="11" t="n"/>
      <c r="AI1687" s="11" t="n"/>
      <c r="AJ1687" s="11" t="n"/>
      <c r="AK1687" s="14">
        <f>IF(AND($AF1687="保留中",$AH1687&lt;&gt;""),TODAY()-$AH1687,"")</f>
        <v/>
      </c>
      <c r="AL1687" s="12" t="n"/>
      <c r="AM1687" s="14">
        <f>IF($B1687="","",IF($AQ1687="","対象年月が未入力／","")&amp;IF($B1687="","",IF($AP1687="","職員マスタに未登録の職員番号／",IF($AA1687="","標準報酬月額が未登録／","")&amp;IF(AND($AQ1687&lt;&gt;"",OR(AND(INDEX(職員マスタ!$G$6:$G$405,$AP1687)&lt;&gt;"",INDEX(職員マスタ!$G$6:$G$405,$AP1687)&gt;EOMONTH($AQ1687,0)),AND(INDEX(職員マスタ!$H$6:$H$405,$AP1687)&lt;&gt;"",INDEX(職員マスタ!$H$6:$H$405,$AP1687)&lt;$AQ1687))),"対象月が時短期間外／","")&amp;IF(AND(INDEX(職員マスタ!$K$6:$K$405,$AP1687)&lt;&gt;"",N($W1687)&gt;0,INDEX(職員マスタ!$K$6:$K$405,$AP1687)&lt;&gt;$W1687),"標準報酬月額が申請書と相違（台帳"&amp;TEXT(INDEX(職員マスタ!$K$6:$K$405,$AP1687),"#,##0")&amp;"円／申請書"&amp;TEXT($W1687,"#,##0")&amp;"円）／","")&amp;IF(AND(INDEX(職員マスタ!$F$6:$F$405,$AP1687)&lt;&gt;"",$AQ1687&lt;&gt;"",INDEX(職員マスタ!$F$6:$F$405,$AP1687)&lt;$AQ1687),"対象月に子が2歳到達済／","")&amp;IF(AND($H1687&lt;&gt;"",INDEX(職員マスタ!$B$6:$B$405,$AP1687)&lt;&gt;"",SUBSTITUTE(SUBSTITUTE($H1687," ","")," ","")&lt;&gt;SUBSTITUTE(SUBSTITUTE(INDEX(職員マスタ!$B$6:$B$405,$AP1687)," ","")," ","")),"氏名がマスタと相違／","")&amp;IF(AND($Q1687&lt;&gt;"",INDEX(職員マスタ!$E$6:$E$405,$AP1687)&lt;&gt;"",$Q1687&lt;&gt;INDEX(職員マスタ!$E$6:$E$405,$AP1687)),"子の生年月日がマスタと相違／","")&amp;IF(AND($L1687&lt;&gt;"",INDEX(職員マスタ!$G$6:$G$405,$AP1687)&lt;&gt;"",$L1687&lt;&gt;INDEX(職員マスタ!$G$6:$G$405,$AP1687)),"時短開始日がマスタと相違／","")&amp;IF(AND($M1687&lt;&gt;"",INDEX(職員マスタ!$H$6:$H$405,$AP1687)&lt;&gt;"",$M1687&lt;&gt;INDEX(職員マスタ!$H$6:$H$405,$AP1687)),"時短終了日がマスタと相違／","")))&amp;IF(AND($B1687&lt;&gt;"",$E1687=""),"報酬額が未入力／","")&amp;IF(N($U1687)&gt;0,"申請書に入力エラーが残っています／","")&amp;IF(AND($B1687&lt;&gt;"",$AQ1687&lt;&gt;""),IF(COUNTIFS($B$6:$B$3005,$B1687,$C$6:$C$3005,$C1687,$D$6:$D$3005,$D1687)&gt;1,"同じ月の請求が重複しています／",""),"")&amp;IF(AND(N($E1687)&gt;0,$AB1687&lt;&gt;"",$AB1687&lt;&gt;"×",$AE1687=0,$AD1687=""),"計算額が下限以下のため不支給／",""))</f>
        <v/>
      </c>
      <c r="AN1687" s="12" t="n"/>
      <c r="AO1687" s="14">
        <f>IF($AF1687="保留中",COUNTIF($AF$6:$AF1687,"保留中"),"")</f>
        <v/>
      </c>
      <c r="AP1687" s="14">
        <f>IF($AQ1687="","",IF(SUMPRODUCT(MAX((職員マスタ!$A$6:$A$405=$B1687)*(((職員マスタ!$G$6:$G$405="")+(職員マスタ!$G$6:$G$405&lt;=EOMONTH($AQ1687,0)))&gt;0)*(((職員マスタ!$H$6:$H$405="")+(職員マスタ!$H$6:$H$405&gt;=$AQ1687))&gt;0)*(ROW(職員マスタ!$A$6:$A$405)-5)))&gt;0,SUMPRODUCT(MAX((職員マスタ!$A$6:$A$405=$B1687)*(((職員マスタ!$G$6:$G$405="")+(職員マスタ!$G$6:$G$405&lt;=EOMONTH($AQ1687,0)))&gt;0)*(((職員マスタ!$H$6:$H$405="")+(職員マスタ!$H$6:$H$405&gt;=$AQ1687))&gt;0)*(ROW(職員マスタ!$A$6:$A$405)-5))),IFERROR(MATCH($B1687,職員マスタ!$A$6:$A$405,0),"")))</f>
        <v/>
      </c>
      <c r="AQ1687" s="16">
        <f>IF(OR($B1687="",$C1687="",$D1687=""),"",DATE($C1687+2018,$D1687,1))</f>
        <v/>
      </c>
    </row>
    <row r="1688">
      <c r="A1688" s="11" t="n"/>
      <c r="B1688" s="12" t="n"/>
      <c r="C1688" s="12" t="n"/>
      <c r="D1688" s="12" t="n"/>
      <c r="E1688" s="13" t="n"/>
      <c r="F1688" s="12" t="n"/>
      <c r="G1688" s="13" t="n"/>
      <c r="H1688" s="12" t="n"/>
      <c r="I1688" s="12" t="n"/>
      <c r="J1688" s="12" t="n"/>
      <c r="K1688" s="12" t="n"/>
      <c r="L1688" s="11" t="n"/>
      <c r="M1688" s="11" t="n"/>
      <c r="N1688" s="11" t="n"/>
      <c r="O1688" s="11" t="n"/>
      <c r="P1688" s="12" t="n"/>
      <c r="Q1688" s="11" t="n"/>
      <c r="R1688" s="12" t="n"/>
      <c r="S1688" s="11" t="n"/>
      <c r="T1688" s="12" t="n"/>
      <c r="U1688" s="12" t="n"/>
      <c r="V1688" s="12" t="n"/>
      <c r="W1688" s="13" t="n"/>
      <c r="X1688" s="14">
        <f>IF($AP1688="",IF($B1688="","",$H1688),IF(INDEX(職員マスタ!$B$6:$B$405,$AP1688)="",$H1688,INDEX(職員マスタ!$B$6:$B$405,$AP1688)))</f>
        <v/>
      </c>
      <c r="Y1688" s="14">
        <f>IF($AP1688="",IF($B1688="","",$R1688),IF(INDEX(職員マスタ!$C$6:$C$405,$AP1688)="",$R1688,INDEX(職員マスタ!$C$6:$C$405,$AP1688)))</f>
        <v/>
      </c>
      <c r="Z1688" s="14">
        <f>IF($AQ1688="","","R"&amp;$C1688&amp;"."&amp;$D1688)</f>
        <v/>
      </c>
      <c r="AA1688" s="15">
        <f>IF(IF($AP1688="",FALSE,INDEX(職員マスタ!$K$6:$K$405,$AP1688)&lt;&gt;""),INDEX(職員マスタ!$K$6:$K$405,$AP1688),IF(N($W1688)&gt;0,$W1688,""))</f>
        <v/>
      </c>
      <c r="AB1688" s="14">
        <f>IF(OR($E1688="",$AA1688=""),"",IF($E1688&gt;=$AA1688,"×",IF($E1688&gt;=$AA1688*設定!$C$5,"△","○")))</f>
        <v/>
      </c>
      <c r="AC1688" s="15">
        <f>IF($AB1688="","",IF($AB1688="×",0,IF($AB1688="○",ROUNDDOWN($E1688*設定!$C$4,0),ROUNDDOWN($E1688*ROUND((9*$AA1688-9*$E1688)/(10*$E1688),4),0))))</f>
        <v/>
      </c>
      <c r="AD1688" s="13" t="n"/>
      <c r="AE1688" s="15">
        <f>IF($B1688="","",IF($AD1688&lt;&gt;"",$AD1688,IF($AC1688="","",IF($AC1688&lt;=設定!$C$3,0,$AC1688))))</f>
        <v/>
      </c>
      <c r="AF1688" s="14">
        <f>IF($B1688="","",IF(AND($AG1688&lt;&gt;"",$AI1688="",$AL1688=""),"保留中",IF($AL1688&lt;&gt;"",IF(N($AE1688)&gt;0,"支給済","不支給"),IF($AE1688="","要確認",IF($AE1688=0,"不支給","未処理")))))</f>
        <v/>
      </c>
      <c r="AG1688" s="12" t="n"/>
      <c r="AH1688" s="11" t="n"/>
      <c r="AI1688" s="11" t="n"/>
      <c r="AJ1688" s="11" t="n"/>
      <c r="AK1688" s="14">
        <f>IF(AND($AF1688="保留中",$AH1688&lt;&gt;""),TODAY()-$AH1688,"")</f>
        <v/>
      </c>
      <c r="AL1688" s="12" t="n"/>
      <c r="AM1688" s="14">
        <f>IF($B1688="","",IF($AQ1688="","対象年月が未入力／","")&amp;IF($B1688="","",IF($AP1688="","職員マスタに未登録の職員番号／",IF($AA1688="","標準報酬月額が未登録／","")&amp;IF(AND($AQ1688&lt;&gt;"",OR(AND(INDEX(職員マスタ!$G$6:$G$405,$AP1688)&lt;&gt;"",INDEX(職員マスタ!$G$6:$G$405,$AP1688)&gt;EOMONTH($AQ1688,0)),AND(INDEX(職員マスタ!$H$6:$H$405,$AP1688)&lt;&gt;"",INDEX(職員マスタ!$H$6:$H$405,$AP1688)&lt;$AQ1688))),"対象月が時短期間外／","")&amp;IF(AND(INDEX(職員マスタ!$K$6:$K$405,$AP1688)&lt;&gt;"",N($W1688)&gt;0,INDEX(職員マスタ!$K$6:$K$405,$AP1688)&lt;&gt;$W1688),"標準報酬月額が申請書と相違（台帳"&amp;TEXT(INDEX(職員マスタ!$K$6:$K$405,$AP1688),"#,##0")&amp;"円／申請書"&amp;TEXT($W1688,"#,##0")&amp;"円）／","")&amp;IF(AND(INDEX(職員マスタ!$F$6:$F$405,$AP1688)&lt;&gt;"",$AQ1688&lt;&gt;"",INDEX(職員マスタ!$F$6:$F$405,$AP1688)&lt;$AQ1688),"対象月に子が2歳到達済／","")&amp;IF(AND($H1688&lt;&gt;"",INDEX(職員マスタ!$B$6:$B$405,$AP1688)&lt;&gt;"",SUBSTITUTE(SUBSTITUTE($H1688," ","")," ","")&lt;&gt;SUBSTITUTE(SUBSTITUTE(INDEX(職員マスタ!$B$6:$B$405,$AP1688)," ","")," ","")),"氏名がマスタと相違／","")&amp;IF(AND($Q1688&lt;&gt;"",INDEX(職員マスタ!$E$6:$E$405,$AP1688)&lt;&gt;"",$Q1688&lt;&gt;INDEX(職員マスタ!$E$6:$E$405,$AP1688)),"子の生年月日がマスタと相違／","")&amp;IF(AND($L1688&lt;&gt;"",INDEX(職員マスタ!$G$6:$G$405,$AP1688)&lt;&gt;"",$L1688&lt;&gt;INDEX(職員マスタ!$G$6:$G$405,$AP1688)),"時短開始日がマスタと相違／","")&amp;IF(AND($M1688&lt;&gt;"",INDEX(職員マスタ!$H$6:$H$405,$AP1688)&lt;&gt;"",$M1688&lt;&gt;INDEX(職員マスタ!$H$6:$H$405,$AP1688)),"時短終了日がマスタと相違／","")))&amp;IF(AND($B1688&lt;&gt;"",$E1688=""),"報酬額が未入力／","")&amp;IF(N($U1688)&gt;0,"申請書に入力エラーが残っています／","")&amp;IF(AND($B1688&lt;&gt;"",$AQ1688&lt;&gt;""),IF(COUNTIFS($B$6:$B$3005,$B1688,$C$6:$C$3005,$C1688,$D$6:$D$3005,$D1688)&gt;1,"同じ月の請求が重複しています／",""),"")&amp;IF(AND(N($E1688)&gt;0,$AB1688&lt;&gt;"",$AB1688&lt;&gt;"×",$AE1688=0,$AD1688=""),"計算額が下限以下のため不支給／",""))</f>
        <v/>
      </c>
      <c r="AN1688" s="12" t="n"/>
      <c r="AO1688" s="14">
        <f>IF($AF1688="保留中",COUNTIF($AF$6:$AF1688,"保留中"),"")</f>
        <v/>
      </c>
      <c r="AP1688" s="14">
        <f>IF($AQ1688="","",IF(SUMPRODUCT(MAX((職員マスタ!$A$6:$A$405=$B1688)*(((職員マスタ!$G$6:$G$405="")+(職員マスタ!$G$6:$G$405&lt;=EOMONTH($AQ1688,0)))&gt;0)*(((職員マスタ!$H$6:$H$405="")+(職員マスタ!$H$6:$H$405&gt;=$AQ1688))&gt;0)*(ROW(職員マスタ!$A$6:$A$405)-5)))&gt;0,SUMPRODUCT(MAX((職員マスタ!$A$6:$A$405=$B1688)*(((職員マスタ!$G$6:$G$405="")+(職員マスタ!$G$6:$G$405&lt;=EOMONTH($AQ1688,0)))&gt;0)*(((職員マスタ!$H$6:$H$405="")+(職員マスタ!$H$6:$H$405&gt;=$AQ1688))&gt;0)*(ROW(職員マスタ!$A$6:$A$405)-5))),IFERROR(MATCH($B1688,職員マスタ!$A$6:$A$405,0),"")))</f>
        <v/>
      </c>
      <c r="AQ1688" s="16">
        <f>IF(OR($B1688="",$C1688="",$D1688=""),"",DATE($C1688+2018,$D1688,1))</f>
        <v/>
      </c>
    </row>
    <row r="1689">
      <c r="A1689" s="11" t="n"/>
      <c r="B1689" s="12" t="n"/>
      <c r="C1689" s="12" t="n"/>
      <c r="D1689" s="12" t="n"/>
      <c r="E1689" s="13" t="n"/>
      <c r="F1689" s="12" t="n"/>
      <c r="G1689" s="13" t="n"/>
      <c r="H1689" s="12" t="n"/>
      <c r="I1689" s="12" t="n"/>
      <c r="J1689" s="12" t="n"/>
      <c r="K1689" s="12" t="n"/>
      <c r="L1689" s="11" t="n"/>
      <c r="M1689" s="11" t="n"/>
      <c r="N1689" s="11" t="n"/>
      <c r="O1689" s="11" t="n"/>
      <c r="P1689" s="12" t="n"/>
      <c r="Q1689" s="11" t="n"/>
      <c r="R1689" s="12" t="n"/>
      <c r="S1689" s="11" t="n"/>
      <c r="T1689" s="12" t="n"/>
      <c r="U1689" s="12" t="n"/>
      <c r="V1689" s="12" t="n"/>
      <c r="W1689" s="13" t="n"/>
      <c r="X1689" s="14">
        <f>IF($AP1689="",IF($B1689="","",$H1689),IF(INDEX(職員マスタ!$B$6:$B$405,$AP1689)="",$H1689,INDEX(職員マスタ!$B$6:$B$405,$AP1689)))</f>
        <v/>
      </c>
      <c r="Y1689" s="14">
        <f>IF($AP1689="",IF($B1689="","",$R1689),IF(INDEX(職員マスタ!$C$6:$C$405,$AP1689)="",$R1689,INDEX(職員マスタ!$C$6:$C$405,$AP1689)))</f>
        <v/>
      </c>
      <c r="Z1689" s="14">
        <f>IF($AQ1689="","","R"&amp;$C1689&amp;"."&amp;$D1689)</f>
        <v/>
      </c>
      <c r="AA1689" s="15">
        <f>IF(IF($AP1689="",FALSE,INDEX(職員マスタ!$K$6:$K$405,$AP1689)&lt;&gt;""),INDEX(職員マスタ!$K$6:$K$405,$AP1689),IF(N($W1689)&gt;0,$W1689,""))</f>
        <v/>
      </c>
      <c r="AB1689" s="14">
        <f>IF(OR($E1689="",$AA1689=""),"",IF($E1689&gt;=$AA1689,"×",IF($E1689&gt;=$AA1689*設定!$C$5,"△","○")))</f>
        <v/>
      </c>
      <c r="AC1689" s="15">
        <f>IF($AB1689="","",IF($AB1689="×",0,IF($AB1689="○",ROUNDDOWN($E1689*設定!$C$4,0),ROUNDDOWN($E1689*ROUND((9*$AA1689-9*$E1689)/(10*$E1689),4),0))))</f>
        <v/>
      </c>
      <c r="AD1689" s="13" t="n"/>
      <c r="AE1689" s="15">
        <f>IF($B1689="","",IF($AD1689&lt;&gt;"",$AD1689,IF($AC1689="","",IF($AC1689&lt;=設定!$C$3,0,$AC1689))))</f>
        <v/>
      </c>
      <c r="AF1689" s="14">
        <f>IF($B1689="","",IF(AND($AG1689&lt;&gt;"",$AI1689="",$AL1689=""),"保留中",IF($AL1689&lt;&gt;"",IF(N($AE1689)&gt;0,"支給済","不支給"),IF($AE1689="","要確認",IF($AE1689=0,"不支給","未処理")))))</f>
        <v/>
      </c>
      <c r="AG1689" s="12" t="n"/>
      <c r="AH1689" s="11" t="n"/>
      <c r="AI1689" s="11" t="n"/>
      <c r="AJ1689" s="11" t="n"/>
      <c r="AK1689" s="14">
        <f>IF(AND($AF1689="保留中",$AH1689&lt;&gt;""),TODAY()-$AH1689,"")</f>
        <v/>
      </c>
      <c r="AL1689" s="12" t="n"/>
      <c r="AM1689" s="14">
        <f>IF($B1689="","",IF($AQ1689="","対象年月が未入力／","")&amp;IF($B1689="","",IF($AP1689="","職員マスタに未登録の職員番号／",IF($AA1689="","標準報酬月額が未登録／","")&amp;IF(AND($AQ1689&lt;&gt;"",OR(AND(INDEX(職員マスタ!$G$6:$G$405,$AP1689)&lt;&gt;"",INDEX(職員マスタ!$G$6:$G$405,$AP1689)&gt;EOMONTH($AQ1689,0)),AND(INDEX(職員マスタ!$H$6:$H$405,$AP1689)&lt;&gt;"",INDEX(職員マスタ!$H$6:$H$405,$AP1689)&lt;$AQ1689))),"対象月が時短期間外／","")&amp;IF(AND(INDEX(職員マスタ!$K$6:$K$405,$AP1689)&lt;&gt;"",N($W1689)&gt;0,INDEX(職員マスタ!$K$6:$K$405,$AP1689)&lt;&gt;$W1689),"標準報酬月額が申請書と相違（台帳"&amp;TEXT(INDEX(職員マスタ!$K$6:$K$405,$AP1689),"#,##0")&amp;"円／申請書"&amp;TEXT($W1689,"#,##0")&amp;"円）／","")&amp;IF(AND(INDEX(職員マスタ!$F$6:$F$405,$AP1689)&lt;&gt;"",$AQ1689&lt;&gt;"",INDEX(職員マスタ!$F$6:$F$405,$AP1689)&lt;$AQ1689),"対象月に子が2歳到達済／","")&amp;IF(AND($H1689&lt;&gt;"",INDEX(職員マスタ!$B$6:$B$405,$AP1689)&lt;&gt;"",SUBSTITUTE(SUBSTITUTE($H1689," ","")," ","")&lt;&gt;SUBSTITUTE(SUBSTITUTE(INDEX(職員マスタ!$B$6:$B$405,$AP1689)," ","")," ","")),"氏名がマスタと相違／","")&amp;IF(AND($Q1689&lt;&gt;"",INDEX(職員マスタ!$E$6:$E$405,$AP1689)&lt;&gt;"",$Q1689&lt;&gt;INDEX(職員マスタ!$E$6:$E$405,$AP1689)),"子の生年月日がマスタと相違／","")&amp;IF(AND($L1689&lt;&gt;"",INDEX(職員マスタ!$G$6:$G$405,$AP1689)&lt;&gt;"",$L1689&lt;&gt;INDEX(職員マスタ!$G$6:$G$405,$AP1689)),"時短開始日がマスタと相違／","")&amp;IF(AND($M1689&lt;&gt;"",INDEX(職員マスタ!$H$6:$H$405,$AP1689)&lt;&gt;"",$M1689&lt;&gt;INDEX(職員マスタ!$H$6:$H$405,$AP1689)),"時短終了日がマスタと相違／","")))&amp;IF(AND($B1689&lt;&gt;"",$E1689=""),"報酬額が未入力／","")&amp;IF(N($U1689)&gt;0,"申請書に入力エラーが残っています／","")&amp;IF(AND($B1689&lt;&gt;"",$AQ1689&lt;&gt;""),IF(COUNTIFS($B$6:$B$3005,$B1689,$C$6:$C$3005,$C1689,$D$6:$D$3005,$D1689)&gt;1,"同じ月の請求が重複しています／",""),"")&amp;IF(AND(N($E1689)&gt;0,$AB1689&lt;&gt;"",$AB1689&lt;&gt;"×",$AE1689=0,$AD1689=""),"計算額が下限以下のため不支給／",""))</f>
        <v/>
      </c>
      <c r="AN1689" s="12" t="n"/>
      <c r="AO1689" s="14">
        <f>IF($AF1689="保留中",COUNTIF($AF$6:$AF1689,"保留中"),"")</f>
        <v/>
      </c>
      <c r="AP1689" s="14">
        <f>IF($AQ1689="","",IF(SUMPRODUCT(MAX((職員マスタ!$A$6:$A$405=$B1689)*(((職員マスタ!$G$6:$G$405="")+(職員マスタ!$G$6:$G$405&lt;=EOMONTH($AQ1689,0)))&gt;0)*(((職員マスタ!$H$6:$H$405="")+(職員マスタ!$H$6:$H$405&gt;=$AQ1689))&gt;0)*(ROW(職員マスタ!$A$6:$A$405)-5)))&gt;0,SUMPRODUCT(MAX((職員マスタ!$A$6:$A$405=$B1689)*(((職員マスタ!$G$6:$G$405="")+(職員マスタ!$G$6:$G$405&lt;=EOMONTH($AQ1689,0)))&gt;0)*(((職員マスタ!$H$6:$H$405="")+(職員マスタ!$H$6:$H$405&gt;=$AQ1689))&gt;0)*(ROW(職員マスタ!$A$6:$A$405)-5))),IFERROR(MATCH($B1689,職員マスタ!$A$6:$A$405,0),"")))</f>
        <v/>
      </c>
      <c r="AQ1689" s="16">
        <f>IF(OR($B1689="",$C1689="",$D1689=""),"",DATE($C1689+2018,$D1689,1))</f>
        <v/>
      </c>
    </row>
    <row r="1690">
      <c r="A1690" s="11" t="n"/>
      <c r="B1690" s="12" t="n"/>
      <c r="C1690" s="12" t="n"/>
      <c r="D1690" s="12" t="n"/>
      <c r="E1690" s="13" t="n"/>
      <c r="F1690" s="12" t="n"/>
      <c r="G1690" s="13" t="n"/>
      <c r="H1690" s="12" t="n"/>
      <c r="I1690" s="12" t="n"/>
      <c r="J1690" s="12" t="n"/>
      <c r="K1690" s="12" t="n"/>
      <c r="L1690" s="11" t="n"/>
      <c r="M1690" s="11" t="n"/>
      <c r="N1690" s="11" t="n"/>
      <c r="O1690" s="11" t="n"/>
      <c r="P1690" s="12" t="n"/>
      <c r="Q1690" s="11" t="n"/>
      <c r="R1690" s="12" t="n"/>
      <c r="S1690" s="11" t="n"/>
      <c r="T1690" s="12" t="n"/>
      <c r="U1690" s="12" t="n"/>
      <c r="V1690" s="12" t="n"/>
      <c r="W1690" s="13" t="n"/>
      <c r="X1690" s="14">
        <f>IF($AP1690="",IF($B1690="","",$H1690),IF(INDEX(職員マスタ!$B$6:$B$405,$AP1690)="",$H1690,INDEX(職員マスタ!$B$6:$B$405,$AP1690)))</f>
        <v/>
      </c>
      <c r="Y1690" s="14">
        <f>IF($AP1690="",IF($B1690="","",$R1690),IF(INDEX(職員マスタ!$C$6:$C$405,$AP1690)="",$R1690,INDEX(職員マスタ!$C$6:$C$405,$AP1690)))</f>
        <v/>
      </c>
      <c r="Z1690" s="14">
        <f>IF($AQ1690="","","R"&amp;$C1690&amp;"."&amp;$D1690)</f>
        <v/>
      </c>
      <c r="AA1690" s="15">
        <f>IF(IF($AP1690="",FALSE,INDEX(職員マスタ!$K$6:$K$405,$AP1690)&lt;&gt;""),INDEX(職員マスタ!$K$6:$K$405,$AP1690),IF(N($W1690)&gt;0,$W1690,""))</f>
        <v/>
      </c>
      <c r="AB1690" s="14">
        <f>IF(OR($E1690="",$AA1690=""),"",IF($E1690&gt;=$AA1690,"×",IF($E1690&gt;=$AA1690*設定!$C$5,"△","○")))</f>
        <v/>
      </c>
      <c r="AC1690" s="15">
        <f>IF($AB1690="","",IF($AB1690="×",0,IF($AB1690="○",ROUNDDOWN($E1690*設定!$C$4,0),ROUNDDOWN($E1690*ROUND((9*$AA1690-9*$E1690)/(10*$E1690),4),0))))</f>
        <v/>
      </c>
      <c r="AD1690" s="13" t="n"/>
      <c r="AE1690" s="15">
        <f>IF($B1690="","",IF($AD1690&lt;&gt;"",$AD1690,IF($AC1690="","",IF($AC1690&lt;=設定!$C$3,0,$AC1690))))</f>
        <v/>
      </c>
      <c r="AF1690" s="14">
        <f>IF($B1690="","",IF(AND($AG1690&lt;&gt;"",$AI1690="",$AL1690=""),"保留中",IF($AL1690&lt;&gt;"",IF(N($AE1690)&gt;0,"支給済","不支給"),IF($AE1690="","要確認",IF($AE1690=0,"不支給","未処理")))))</f>
        <v/>
      </c>
      <c r="AG1690" s="12" t="n"/>
      <c r="AH1690" s="11" t="n"/>
      <c r="AI1690" s="11" t="n"/>
      <c r="AJ1690" s="11" t="n"/>
      <c r="AK1690" s="14">
        <f>IF(AND($AF1690="保留中",$AH1690&lt;&gt;""),TODAY()-$AH1690,"")</f>
        <v/>
      </c>
      <c r="AL1690" s="12" t="n"/>
      <c r="AM1690" s="14">
        <f>IF($B1690="","",IF($AQ1690="","対象年月が未入力／","")&amp;IF($B1690="","",IF($AP1690="","職員マスタに未登録の職員番号／",IF($AA1690="","標準報酬月額が未登録／","")&amp;IF(AND($AQ1690&lt;&gt;"",OR(AND(INDEX(職員マスタ!$G$6:$G$405,$AP1690)&lt;&gt;"",INDEX(職員マスタ!$G$6:$G$405,$AP1690)&gt;EOMONTH($AQ1690,0)),AND(INDEX(職員マスタ!$H$6:$H$405,$AP1690)&lt;&gt;"",INDEX(職員マスタ!$H$6:$H$405,$AP1690)&lt;$AQ1690))),"対象月が時短期間外／","")&amp;IF(AND(INDEX(職員マスタ!$K$6:$K$405,$AP1690)&lt;&gt;"",N($W1690)&gt;0,INDEX(職員マスタ!$K$6:$K$405,$AP1690)&lt;&gt;$W1690),"標準報酬月額が申請書と相違（台帳"&amp;TEXT(INDEX(職員マスタ!$K$6:$K$405,$AP1690),"#,##0")&amp;"円／申請書"&amp;TEXT($W1690,"#,##0")&amp;"円）／","")&amp;IF(AND(INDEX(職員マスタ!$F$6:$F$405,$AP1690)&lt;&gt;"",$AQ1690&lt;&gt;"",INDEX(職員マスタ!$F$6:$F$405,$AP1690)&lt;$AQ1690),"対象月に子が2歳到達済／","")&amp;IF(AND($H1690&lt;&gt;"",INDEX(職員マスタ!$B$6:$B$405,$AP1690)&lt;&gt;"",SUBSTITUTE(SUBSTITUTE($H1690," ","")," ","")&lt;&gt;SUBSTITUTE(SUBSTITUTE(INDEX(職員マスタ!$B$6:$B$405,$AP1690)," ","")," ","")),"氏名がマスタと相違／","")&amp;IF(AND($Q1690&lt;&gt;"",INDEX(職員マスタ!$E$6:$E$405,$AP1690)&lt;&gt;"",$Q1690&lt;&gt;INDEX(職員マスタ!$E$6:$E$405,$AP1690)),"子の生年月日がマスタと相違／","")&amp;IF(AND($L1690&lt;&gt;"",INDEX(職員マスタ!$G$6:$G$405,$AP1690)&lt;&gt;"",$L1690&lt;&gt;INDEX(職員マスタ!$G$6:$G$405,$AP1690)),"時短開始日がマスタと相違／","")&amp;IF(AND($M1690&lt;&gt;"",INDEX(職員マスタ!$H$6:$H$405,$AP1690)&lt;&gt;"",$M1690&lt;&gt;INDEX(職員マスタ!$H$6:$H$405,$AP1690)),"時短終了日がマスタと相違／","")))&amp;IF(AND($B1690&lt;&gt;"",$E1690=""),"報酬額が未入力／","")&amp;IF(N($U1690)&gt;0,"申請書に入力エラーが残っています／","")&amp;IF(AND($B1690&lt;&gt;"",$AQ1690&lt;&gt;""),IF(COUNTIFS($B$6:$B$3005,$B1690,$C$6:$C$3005,$C1690,$D$6:$D$3005,$D1690)&gt;1,"同じ月の請求が重複しています／",""),"")&amp;IF(AND(N($E1690)&gt;0,$AB1690&lt;&gt;"",$AB1690&lt;&gt;"×",$AE1690=0,$AD1690=""),"計算額が下限以下のため不支給／",""))</f>
        <v/>
      </c>
      <c r="AN1690" s="12" t="n"/>
      <c r="AO1690" s="14">
        <f>IF($AF1690="保留中",COUNTIF($AF$6:$AF1690,"保留中"),"")</f>
        <v/>
      </c>
      <c r="AP1690" s="14">
        <f>IF($AQ1690="","",IF(SUMPRODUCT(MAX((職員マスタ!$A$6:$A$405=$B1690)*(((職員マスタ!$G$6:$G$405="")+(職員マスタ!$G$6:$G$405&lt;=EOMONTH($AQ1690,0)))&gt;0)*(((職員マスタ!$H$6:$H$405="")+(職員マスタ!$H$6:$H$405&gt;=$AQ1690))&gt;0)*(ROW(職員マスタ!$A$6:$A$405)-5)))&gt;0,SUMPRODUCT(MAX((職員マスタ!$A$6:$A$405=$B1690)*(((職員マスタ!$G$6:$G$405="")+(職員マスタ!$G$6:$G$405&lt;=EOMONTH($AQ1690,0)))&gt;0)*(((職員マスタ!$H$6:$H$405="")+(職員マスタ!$H$6:$H$405&gt;=$AQ1690))&gt;0)*(ROW(職員マスタ!$A$6:$A$405)-5))),IFERROR(MATCH($B1690,職員マスタ!$A$6:$A$405,0),"")))</f>
        <v/>
      </c>
      <c r="AQ1690" s="16">
        <f>IF(OR($B1690="",$C1690="",$D1690=""),"",DATE($C1690+2018,$D1690,1))</f>
        <v/>
      </c>
    </row>
    <row r="1691">
      <c r="A1691" s="11" t="n"/>
      <c r="B1691" s="12" t="n"/>
      <c r="C1691" s="12" t="n"/>
      <c r="D1691" s="12" t="n"/>
      <c r="E1691" s="13" t="n"/>
      <c r="F1691" s="12" t="n"/>
      <c r="G1691" s="13" t="n"/>
      <c r="H1691" s="12" t="n"/>
      <c r="I1691" s="12" t="n"/>
      <c r="J1691" s="12" t="n"/>
      <c r="K1691" s="12" t="n"/>
      <c r="L1691" s="11" t="n"/>
      <c r="M1691" s="11" t="n"/>
      <c r="N1691" s="11" t="n"/>
      <c r="O1691" s="11" t="n"/>
      <c r="P1691" s="12" t="n"/>
      <c r="Q1691" s="11" t="n"/>
      <c r="R1691" s="12" t="n"/>
      <c r="S1691" s="11" t="n"/>
      <c r="T1691" s="12" t="n"/>
      <c r="U1691" s="12" t="n"/>
      <c r="V1691" s="12" t="n"/>
      <c r="W1691" s="13" t="n"/>
      <c r="X1691" s="14">
        <f>IF($AP1691="",IF($B1691="","",$H1691),IF(INDEX(職員マスタ!$B$6:$B$405,$AP1691)="",$H1691,INDEX(職員マスタ!$B$6:$B$405,$AP1691)))</f>
        <v/>
      </c>
      <c r="Y1691" s="14">
        <f>IF($AP1691="",IF($B1691="","",$R1691),IF(INDEX(職員マスタ!$C$6:$C$405,$AP1691)="",$R1691,INDEX(職員マスタ!$C$6:$C$405,$AP1691)))</f>
        <v/>
      </c>
      <c r="Z1691" s="14">
        <f>IF($AQ1691="","","R"&amp;$C1691&amp;"."&amp;$D1691)</f>
        <v/>
      </c>
      <c r="AA1691" s="15">
        <f>IF(IF($AP1691="",FALSE,INDEX(職員マスタ!$K$6:$K$405,$AP1691)&lt;&gt;""),INDEX(職員マスタ!$K$6:$K$405,$AP1691),IF(N($W1691)&gt;0,$W1691,""))</f>
        <v/>
      </c>
      <c r="AB1691" s="14">
        <f>IF(OR($E1691="",$AA1691=""),"",IF($E1691&gt;=$AA1691,"×",IF($E1691&gt;=$AA1691*設定!$C$5,"△","○")))</f>
        <v/>
      </c>
      <c r="AC1691" s="15">
        <f>IF($AB1691="","",IF($AB1691="×",0,IF($AB1691="○",ROUNDDOWN($E1691*設定!$C$4,0),ROUNDDOWN($E1691*ROUND((9*$AA1691-9*$E1691)/(10*$E1691),4),0))))</f>
        <v/>
      </c>
      <c r="AD1691" s="13" t="n"/>
      <c r="AE1691" s="15">
        <f>IF($B1691="","",IF($AD1691&lt;&gt;"",$AD1691,IF($AC1691="","",IF($AC1691&lt;=設定!$C$3,0,$AC1691))))</f>
        <v/>
      </c>
      <c r="AF1691" s="14">
        <f>IF($B1691="","",IF(AND($AG1691&lt;&gt;"",$AI1691="",$AL1691=""),"保留中",IF($AL1691&lt;&gt;"",IF(N($AE1691)&gt;0,"支給済","不支給"),IF($AE1691="","要確認",IF($AE1691=0,"不支給","未処理")))))</f>
        <v/>
      </c>
      <c r="AG1691" s="12" t="n"/>
      <c r="AH1691" s="11" t="n"/>
      <c r="AI1691" s="11" t="n"/>
      <c r="AJ1691" s="11" t="n"/>
      <c r="AK1691" s="14">
        <f>IF(AND($AF1691="保留中",$AH1691&lt;&gt;""),TODAY()-$AH1691,"")</f>
        <v/>
      </c>
      <c r="AL1691" s="12" t="n"/>
      <c r="AM1691" s="14">
        <f>IF($B1691="","",IF($AQ1691="","対象年月が未入力／","")&amp;IF($B1691="","",IF($AP1691="","職員マスタに未登録の職員番号／",IF($AA1691="","標準報酬月額が未登録／","")&amp;IF(AND($AQ1691&lt;&gt;"",OR(AND(INDEX(職員マスタ!$G$6:$G$405,$AP1691)&lt;&gt;"",INDEX(職員マスタ!$G$6:$G$405,$AP1691)&gt;EOMONTH($AQ1691,0)),AND(INDEX(職員マスタ!$H$6:$H$405,$AP1691)&lt;&gt;"",INDEX(職員マスタ!$H$6:$H$405,$AP1691)&lt;$AQ1691))),"対象月が時短期間外／","")&amp;IF(AND(INDEX(職員マスタ!$K$6:$K$405,$AP1691)&lt;&gt;"",N($W1691)&gt;0,INDEX(職員マスタ!$K$6:$K$405,$AP1691)&lt;&gt;$W1691),"標準報酬月額が申請書と相違（台帳"&amp;TEXT(INDEX(職員マスタ!$K$6:$K$405,$AP1691),"#,##0")&amp;"円／申請書"&amp;TEXT($W1691,"#,##0")&amp;"円）／","")&amp;IF(AND(INDEX(職員マスタ!$F$6:$F$405,$AP1691)&lt;&gt;"",$AQ1691&lt;&gt;"",INDEX(職員マスタ!$F$6:$F$405,$AP1691)&lt;$AQ1691),"対象月に子が2歳到達済／","")&amp;IF(AND($H1691&lt;&gt;"",INDEX(職員マスタ!$B$6:$B$405,$AP1691)&lt;&gt;"",SUBSTITUTE(SUBSTITUTE($H1691," ","")," ","")&lt;&gt;SUBSTITUTE(SUBSTITUTE(INDEX(職員マスタ!$B$6:$B$405,$AP1691)," ","")," ","")),"氏名がマスタと相違／","")&amp;IF(AND($Q1691&lt;&gt;"",INDEX(職員マスタ!$E$6:$E$405,$AP1691)&lt;&gt;"",$Q1691&lt;&gt;INDEX(職員マスタ!$E$6:$E$405,$AP1691)),"子の生年月日がマスタと相違／","")&amp;IF(AND($L1691&lt;&gt;"",INDEX(職員マスタ!$G$6:$G$405,$AP1691)&lt;&gt;"",$L1691&lt;&gt;INDEX(職員マスタ!$G$6:$G$405,$AP1691)),"時短開始日がマスタと相違／","")&amp;IF(AND($M1691&lt;&gt;"",INDEX(職員マスタ!$H$6:$H$405,$AP1691)&lt;&gt;"",$M1691&lt;&gt;INDEX(職員マスタ!$H$6:$H$405,$AP1691)),"時短終了日がマスタと相違／","")))&amp;IF(AND($B1691&lt;&gt;"",$E1691=""),"報酬額が未入力／","")&amp;IF(N($U1691)&gt;0,"申請書に入力エラーが残っています／","")&amp;IF(AND($B1691&lt;&gt;"",$AQ1691&lt;&gt;""),IF(COUNTIFS($B$6:$B$3005,$B1691,$C$6:$C$3005,$C1691,$D$6:$D$3005,$D1691)&gt;1,"同じ月の請求が重複しています／",""),"")&amp;IF(AND(N($E1691)&gt;0,$AB1691&lt;&gt;"",$AB1691&lt;&gt;"×",$AE1691=0,$AD1691=""),"計算額が下限以下のため不支給／",""))</f>
        <v/>
      </c>
      <c r="AN1691" s="12" t="n"/>
      <c r="AO1691" s="14">
        <f>IF($AF1691="保留中",COUNTIF($AF$6:$AF1691,"保留中"),"")</f>
        <v/>
      </c>
      <c r="AP1691" s="14">
        <f>IF($AQ1691="","",IF(SUMPRODUCT(MAX((職員マスタ!$A$6:$A$405=$B1691)*(((職員マスタ!$G$6:$G$405="")+(職員マスタ!$G$6:$G$405&lt;=EOMONTH($AQ1691,0)))&gt;0)*(((職員マスタ!$H$6:$H$405="")+(職員マスタ!$H$6:$H$405&gt;=$AQ1691))&gt;0)*(ROW(職員マスタ!$A$6:$A$405)-5)))&gt;0,SUMPRODUCT(MAX((職員マスタ!$A$6:$A$405=$B1691)*(((職員マスタ!$G$6:$G$405="")+(職員マスタ!$G$6:$G$405&lt;=EOMONTH($AQ1691,0)))&gt;0)*(((職員マスタ!$H$6:$H$405="")+(職員マスタ!$H$6:$H$405&gt;=$AQ1691))&gt;0)*(ROW(職員マスタ!$A$6:$A$405)-5))),IFERROR(MATCH($B1691,職員マスタ!$A$6:$A$405,0),"")))</f>
        <v/>
      </c>
      <c r="AQ1691" s="16">
        <f>IF(OR($B1691="",$C1691="",$D1691=""),"",DATE($C1691+2018,$D1691,1))</f>
        <v/>
      </c>
    </row>
    <row r="1692">
      <c r="A1692" s="11" t="n"/>
      <c r="B1692" s="12" t="n"/>
      <c r="C1692" s="12" t="n"/>
      <c r="D1692" s="12" t="n"/>
      <c r="E1692" s="13" t="n"/>
      <c r="F1692" s="12" t="n"/>
      <c r="G1692" s="13" t="n"/>
      <c r="H1692" s="12" t="n"/>
      <c r="I1692" s="12" t="n"/>
      <c r="J1692" s="12" t="n"/>
      <c r="K1692" s="12" t="n"/>
      <c r="L1692" s="11" t="n"/>
      <c r="M1692" s="11" t="n"/>
      <c r="N1692" s="11" t="n"/>
      <c r="O1692" s="11" t="n"/>
      <c r="P1692" s="12" t="n"/>
      <c r="Q1692" s="11" t="n"/>
      <c r="R1692" s="12" t="n"/>
      <c r="S1692" s="11" t="n"/>
      <c r="T1692" s="12" t="n"/>
      <c r="U1692" s="12" t="n"/>
      <c r="V1692" s="12" t="n"/>
      <c r="W1692" s="13" t="n"/>
      <c r="X1692" s="14">
        <f>IF($AP1692="",IF($B1692="","",$H1692),IF(INDEX(職員マスタ!$B$6:$B$405,$AP1692)="",$H1692,INDEX(職員マスタ!$B$6:$B$405,$AP1692)))</f>
        <v/>
      </c>
      <c r="Y1692" s="14">
        <f>IF($AP1692="",IF($B1692="","",$R1692),IF(INDEX(職員マスタ!$C$6:$C$405,$AP1692)="",$R1692,INDEX(職員マスタ!$C$6:$C$405,$AP1692)))</f>
        <v/>
      </c>
      <c r="Z1692" s="14">
        <f>IF($AQ1692="","","R"&amp;$C1692&amp;"."&amp;$D1692)</f>
        <v/>
      </c>
      <c r="AA1692" s="15">
        <f>IF(IF($AP1692="",FALSE,INDEX(職員マスタ!$K$6:$K$405,$AP1692)&lt;&gt;""),INDEX(職員マスタ!$K$6:$K$405,$AP1692),IF(N($W1692)&gt;0,$W1692,""))</f>
        <v/>
      </c>
      <c r="AB1692" s="14">
        <f>IF(OR($E1692="",$AA1692=""),"",IF($E1692&gt;=$AA1692,"×",IF($E1692&gt;=$AA1692*設定!$C$5,"△","○")))</f>
        <v/>
      </c>
      <c r="AC1692" s="15">
        <f>IF($AB1692="","",IF($AB1692="×",0,IF($AB1692="○",ROUNDDOWN($E1692*設定!$C$4,0),ROUNDDOWN($E1692*ROUND((9*$AA1692-9*$E1692)/(10*$E1692),4),0))))</f>
        <v/>
      </c>
      <c r="AD1692" s="13" t="n"/>
      <c r="AE1692" s="15">
        <f>IF($B1692="","",IF($AD1692&lt;&gt;"",$AD1692,IF($AC1692="","",IF($AC1692&lt;=設定!$C$3,0,$AC1692))))</f>
        <v/>
      </c>
      <c r="AF1692" s="14">
        <f>IF($B1692="","",IF(AND($AG1692&lt;&gt;"",$AI1692="",$AL1692=""),"保留中",IF($AL1692&lt;&gt;"",IF(N($AE1692)&gt;0,"支給済","不支給"),IF($AE1692="","要確認",IF($AE1692=0,"不支給","未処理")))))</f>
        <v/>
      </c>
      <c r="AG1692" s="12" t="n"/>
      <c r="AH1692" s="11" t="n"/>
      <c r="AI1692" s="11" t="n"/>
      <c r="AJ1692" s="11" t="n"/>
      <c r="AK1692" s="14">
        <f>IF(AND($AF1692="保留中",$AH1692&lt;&gt;""),TODAY()-$AH1692,"")</f>
        <v/>
      </c>
      <c r="AL1692" s="12" t="n"/>
      <c r="AM1692" s="14">
        <f>IF($B1692="","",IF($AQ1692="","対象年月が未入力／","")&amp;IF($B1692="","",IF($AP1692="","職員マスタに未登録の職員番号／",IF($AA1692="","標準報酬月額が未登録／","")&amp;IF(AND($AQ1692&lt;&gt;"",OR(AND(INDEX(職員マスタ!$G$6:$G$405,$AP1692)&lt;&gt;"",INDEX(職員マスタ!$G$6:$G$405,$AP1692)&gt;EOMONTH($AQ1692,0)),AND(INDEX(職員マスタ!$H$6:$H$405,$AP1692)&lt;&gt;"",INDEX(職員マスタ!$H$6:$H$405,$AP1692)&lt;$AQ1692))),"対象月が時短期間外／","")&amp;IF(AND(INDEX(職員マスタ!$K$6:$K$405,$AP1692)&lt;&gt;"",N($W1692)&gt;0,INDEX(職員マスタ!$K$6:$K$405,$AP1692)&lt;&gt;$W1692),"標準報酬月額が申請書と相違（台帳"&amp;TEXT(INDEX(職員マスタ!$K$6:$K$405,$AP1692),"#,##0")&amp;"円／申請書"&amp;TEXT($W1692,"#,##0")&amp;"円）／","")&amp;IF(AND(INDEX(職員マスタ!$F$6:$F$405,$AP1692)&lt;&gt;"",$AQ1692&lt;&gt;"",INDEX(職員マスタ!$F$6:$F$405,$AP1692)&lt;$AQ1692),"対象月に子が2歳到達済／","")&amp;IF(AND($H1692&lt;&gt;"",INDEX(職員マスタ!$B$6:$B$405,$AP1692)&lt;&gt;"",SUBSTITUTE(SUBSTITUTE($H1692," ","")," ","")&lt;&gt;SUBSTITUTE(SUBSTITUTE(INDEX(職員マスタ!$B$6:$B$405,$AP1692)," ","")," ","")),"氏名がマスタと相違／","")&amp;IF(AND($Q1692&lt;&gt;"",INDEX(職員マスタ!$E$6:$E$405,$AP1692)&lt;&gt;"",$Q1692&lt;&gt;INDEX(職員マスタ!$E$6:$E$405,$AP1692)),"子の生年月日がマスタと相違／","")&amp;IF(AND($L1692&lt;&gt;"",INDEX(職員マスタ!$G$6:$G$405,$AP1692)&lt;&gt;"",$L1692&lt;&gt;INDEX(職員マスタ!$G$6:$G$405,$AP1692)),"時短開始日がマスタと相違／","")&amp;IF(AND($M1692&lt;&gt;"",INDEX(職員マスタ!$H$6:$H$405,$AP1692)&lt;&gt;"",$M1692&lt;&gt;INDEX(職員マスタ!$H$6:$H$405,$AP1692)),"時短終了日がマスタと相違／","")))&amp;IF(AND($B1692&lt;&gt;"",$E1692=""),"報酬額が未入力／","")&amp;IF(N($U1692)&gt;0,"申請書に入力エラーが残っています／","")&amp;IF(AND($B1692&lt;&gt;"",$AQ1692&lt;&gt;""),IF(COUNTIFS($B$6:$B$3005,$B1692,$C$6:$C$3005,$C1692,$D$6:$D$3005,$D1692)&gt;1,"同じ月の請求が重複しています／",""),"")&amp;IF(AND(N($E1692)&gt;0,$AB1692&lt;&gt;"",$AB1692&lt;&gt;"×",$AE1692=0,$AD1692=""),"計算額が下限以下のため不支給／",""))</f>
        <v/>
      </c>
      <c r="AN1692" s="12" t="n"/>
      <c r="AO1692" s="14">
        <f>IF($AF1692="保留中",COUNTIF($AF$6:$AF1692,"保留中"),"")</f>
        <v/>
      </c>
      <c r="AP1692" s="14">
        <f>IF($AQ1692="","",IF(SUMPRODUCT(MAX((職員マスタ!$A$6:$A$405=$B1692)*(((職員マスタ!$G$6:$G$405="")+(職員マスタ!$G$6:$G$405&lt;=EOMONTH($AQ1692,0)))&gt;0)*(((職員マスタ!$H$6:$H$405="")+(職員マスタ!$H$6:$H$405&gt;=$AQ1692))&gt;0)*(ROW(職員マスタ!$A$6:$A$405)-5)))&gt;0,SUMPRODUCT(MAX((職員マスタ!$A$6:$A$405=$B1692)*(((職員マスタ!$G$6:$G$405="")+(職員マスタ!$G$6:$G$405&lt;=EOMONTH($AQ1692,0)))&gt;0)*(((職員マスタ!$H$6:$H$405="")+(職員マスタ!$H$6:$H$405&gt;=$AQ1692))&gt;0)*(ROW(職員マスタ!$A$6:$A$405)-5))),IFERROR(MATCH($B1692,職員マスタ!$A$6:$A$405,0),"")))</f>
        <v/>
      </c>
      <c r="AQ1692" s="16">
        <f>IF(OR($B1692="",$C1692="",$D1692=""),"",DATE($C1692+2018,$D1692,1))</f>
        <v/>
      </c>
    </row>
    <row r="1693">
      <c r="A1693" s="11" t="n"/>
      <c r="B1693" s="12" t="n"/>
      <c r="C1693" s="12" t="n"/>
      <c r="D1693" s="12" t="n"/>
      <c r="E1693" s="13" t="n"/>
      <c r="F1693" s="12" t="n"/>
      <c r="G1693" s="13" t="n"/>
      <c r="H1693" s="12" t="n"/>
      <c r="I1693" s="12" t="n"/>
      <c r="J1693" s="12" t="n"/>
      <c r="K1693" s="12" t="n"/>
      <c r="L1693" s="11" t="n"/>
      <c r="M1693" s="11" t="n"/>
      <c r="N1693" s="11" t="n"/>
      <c r="O1693" s="11" t="n"/>
      <c r="P1693" s="12" t="n"/>
      <c r="Q1693" s="11" t="n"/>
      <c r="R1693" s="12" t="n"/>
      <c r="S1693" s="11" t="n"/>
      <c r="T1693" s="12" t="n"/>
      <c r="U1693" s="12" t="n"/>
      <c r="V1693" s="12" t="n"/>
      <c r="W1693" s="13" t="n"/>
      <c r="X1693" s="14">
        <f>IF($AP1693="",IF($B1693="","",$H1693),IF(INDEX(職員マスタ!$B$6:$B$405,$AP1693)="",$H1693,INDEX(職員マスタ!$B$6:$B$405,$AP1693)))</f>
        <v/>
      </c>
      <c r="Y1693" s="14">
        <f>IF($AP1693="",IF($B1693="","",$R1693),IF(INDEX(職員マスタ!$C$6:$C$405,$AP1693)="",$R1693,INDEX(職員マスタ!$C$6:$C$405,$AP1693)))</f>
        <v/>
      </c>
      <c r="Z1693" s="14">
        <f>IF($AQ1693="","","R"&amp;$C1693&amp;"."&amp;$D1693)</f>
        <v/>
      </c>
      <c r="AA1693" s="15">
        <f>IF(IF($AP1693="",FALSE,INDEX(職員マスタ!$K$6:$K$405,$AP1693)&lt;&gt;""),INDEX(職員マスタ!$K$6:$K$405,$AP1693),IF(N($W1693)&gt;0,$W1693,""))</f>
        <v/>
      </c>
      <c r="AB1693" s="14">
        <f>IF(OR($E1693="",$AA1693=""),"",IF($E1693&gt;=$AA1693,"×",IF($E1693&gt;=$AA1693*設定!$C$5,"△","○")))</f>
        <v/>
      </c>
      <c r="AC1693" s="15">
        <f>IF($AB1693="","",IF($AB1693="×",0,IF($AB1693="○",ROUNDDOWN($E1693*設定!$C$4,0),ROUNDDOWN($E1693*ROUND((9*$AA1693-9*$E1693)/(10*$E1693),4),0))))</f>
        <v/>
      </c>
      <c r="AD1693" s="13" t="n"/>
      <c r="AE1693" s="15">
        <f>IF($B1693="","",IF($AD1693&lt;&gt;"",$AD1693,IF($AC1693="","",IF($AC1693&lt;=設定!$C$3,0,$AC1693))))</f>
        <v/>
      </c>
      <c r="AF1693" s="14">
        <f>IF($B1693="","",IF(AND($AG1693&lt;&gt;"",$AI1693="",$AL1693=""),"保留中",IF($AL1693&lt;&gt;"",IF(N($AE1693)&gt;0,"支給済","不支給"),IF($AE1693="","要確認",IF($AE1693=0,"不支給","未処理")))))</f>
        <v/>
      </c>
      <c r="AG1693" s="12" t="n"/>
      <c r="AH1693" s="11" t="n"/>
      <c r="AI1693" s="11" t="n"/>
      <c r="AJ1693" s="11" t="n"/>
      <c r="AK1693" s="14">
        <f>IF(AND($AF1693="保留中",$AH1693&lt;&gt;""),TODAY()-$AH1693,"")</f>
        <v/>
      </c>
      <c r="AL1693" s="12" t="n"/>
      <c r="AM1693" s="14">
        <f>IF($B1693="","",IF($AQ1693="","対象年月が未入力／","")&amp;IF($B1693="","",IF($AP1693="","職員マスタに未登録の職員番号／",IF($AA1693="","標準報酬月額が未登録／","")&amp;IF(AND($AQ1693&lt;&gt;"",OR(AND(INDEX(職員マスタ!$G$6:$G$405,$AP1693)&lt;&gt;"",INDEX(職員マスタ!$G$6:$G$405,$AP1693)&gt;EOMONTH($AQ1693,0)),AND(INDEX(職員マスタ!$H$6:$H$405,$AP1693)&lt;&gt;"",INDEX(職員マスタ!$H$6:$H$405,$AP1693)&lt;$AQ1693))),"対象月が時短期間外／","")&amp;IF(AND(INDEX(職員マスタ!$K$6:$K$405,$AP1693)&lt;&gt;"",N($W1693)&gt;0,INDEX(職員マスタ!$K$6:$K$405,$AP1693)&lt;&gt;$W1693),"標準報酬月額が申請書と相違（台帳"&amp;TEXT(INDEX(職員マスタ!$K$6:$K$405,$AP1693),"#,##0")&amp;"円／申請書"&amp;TEXT($W1693,"#,##0")&amp;"円）／","")&amp;IF(AND(INDEX(職員マスタ!$F$6:$F$405,$AP1693)&lt;&gt;"",$AQ1693&lt;&gt;"",INDEX(職員マスタ!$F$6:$F$405,$AP1693)&lt;$AQ1693),"対象月に子が2歳到達済／","")&amp;IF(AND($H1693&lt;&gt;"",INDEX(職員マスタ!$B$6:$B$405,$AP1693)&lt;&gt;"",SUBSTITUTE(SUBSTITUTE($H1693," ","")," ","")&lt;&gt;SUBSTITUTE(SUBSTITUTE(INDEX(職員マスタ!$B$6:$B$405,$AP1693)," ","")," ","")),"氏名がマスタと相違／","")&amp;IF(AND($Q1693&lt;&gt;"",INDEX(職員マスタ!$E$6:$E$405,$AP1693)&lt;&gt;"",$Q1693&lt;&gt;INDEX(職員マスタ!$E$6:$E$405,$AP1693)),"子の生年月日がマスタと相違／","")&amp;IF(AND($L1693&lt;&gt;"",INDEX(職員マスタ!$G$6:$G$405,$AP1693)&lt;&gt;"",$L1693&lt;&gt;INDEX(職員マスタ!$G$6:$G$405,$AP1693)),"時短開始日がマスタと相違／","")&amp;IF(AND($M1693&lt;&gt;"",INDEX(職員マスタ!$H$6:$H$405,$AP1693)&lt;&gt;"",$M1693&lt;&gt;INDEX(職員マスタ!$H$6:$H$405,$AP1693)),"時短終了日がマスタと相違／","")))&amp;IF(AND($B1693&lt;&gt;"",$E1693=""),"報酬額が未入力／","")&amp;IF(N($U1693)&gt;0,"申請書に入力エラーが残っています／","")&amp;IF(AND($B1693&lt;&gt;"",$AQ1693&lt;&gt;""),IF(COUNTIFS($B$6:$B$3005,$B1693,$C$6:$C$3005,$C1693,$D$6:$D$3005,$D1693)&gt;1,"同じ月の請求が重複しています／",""),"")&amp;IF(AND(N($E1693)&gt;0,$AB1693&lt;&gt;"",$AB1693&lt;&gt;"×",$AE1693=0,$AD1693=""),"計算額が下限以下のため不支給／",""))</f>
        <v/>
      </c>
      <c r="AN1693" s="12" t="n"/>
      <c r="AO1693" s="14">
        <f>IF($AF1693="保留中",COUNTIF($AF$6:$AF1693,"保留中"),"")</f>
        <v/>
      </c>
      <c r="AP1693" s="14">
        <f>IF($AQ1693="","",IF(SUMPRODUCT(MAX((職員マスタ!$A$6:$A$405=$B1693)*(((職員マスタ!$G$6:$G$405="")+(職員マスタ!$G$6:$G$405&lt;=EOMONTH($AQ1693,0)))&gt;0)*(((職員マスタ!$H$6:$H$405="")+(職員マスタ!$H$6:$H$405&gt;=$AQ1693))&gt;0)*(ROW(職員マスタ!$A$6:$A$405)-5)))&gt;0,SUMPRODUCT(MAX((職員マスタ!$A$6:$A$405=$B1693)*(((職員マスタ!$G$6:$G$405="")+(職員マスタ!$G$6:$G$405&lt;=EOMONTH($AQ1693,0)))&gt;0)*(((職員マスタ!$H$6:$H$405="")+(職員マスタ!$H$6:$H$405&gt;=$AQ1693))&gt;0)*(ROW(職員マスタ!$A$6:$A$405)-5))),IFERROR(MATCH($B1693,職員マスタ!$A$6:$A$405,0),"")))</f>
        <v/>
      </c>
      <c r="AQ1693" s="16">
        <f>IF(OR($B1693="",$C1693="",$D1693=""),"",DATE($C1693+2018,$D1693,1))</f>
        <v/>
      </c>
    </row>
    <row r="1694">
      <c r="A1694" s="11" t="n"/>
      <c r="B1694" s="12" t="n"/>
      <c r="C1694" s="12" t="n"/>
      <c r="D1694" s="12" t="n"/>
      <c r="E1694" s="13" t="n"/>
      <c r="F1694" s="12" t="n"/>
      <c r="G1694" s="13" t="n"/>
      <c r="H1694" s="12" t="n"/>
      <c r="I1694" s="12" t="n"/>
      <c r="J1694" s="12" t="n"/>
      <c r="K1694" s="12" t="n"/>
      <c r="L1694" s="11" t="n"/>
      <c r="M1694" s="11" t="n"/>
      <c r="N1694" s="11" t="n"/>
      <c r="O1694" s="11" t="n"/>
      <c r="P1694" s="12" t="n"/>
      <c r="Q1694" s="11" t="n"/>
      <c r="R1694" s="12" t="n"/>
      <c r="S1694" s="11" t="n"/>
      <c r="T1694" s="12" t="n"/>
      <c r="U1694" s="12" t="n"/>
      <c r="V1694" s="12" t="n"/>
      <c r="W1694" s="13" t="n"/>
      <c r="X1694" s="14">
        <f>IF($AP1694="",IF($B1694="","",$H1694),IF(INDEX(職員マスタ!$B$6:$B$405,$AP1694)="",$H1694,INDEX(職員マスタ!$B$6:$B$405,$AP1694)))</f>
        <v/>
      </c>
      <c r="Y1694" s="14">
        <f>IF($AP1694="",IF($B1694="","",$R1694),IF(INDEX(職員マスタ!$C$6:$C$405,$AP1694)="",$R1694,INDEX(職員マスタ!$C$6:$C$405,$AP1694)))</f>
        <v/>
      </c>
      <c r="Z1694" s="14">
        <f>IF($AQ1694="","","R"&amp;$C1694&amp;"."&amp;$D1694)</f>
        <v/>
      </c>
      <c r="AA1694" s="15">
        <f>IF(IF($AP1694="",FALSE,INDEX(職員マスタ!$K$6:$K$405,$AP1694)&lt;&gt;""),INDEX(職員マスタ!$K$6:$K$405,$AP1694),IF(N($W1694)&gt;0,$W1694,""))</f>
        <v/>
      </c>
      <c r="AB1694" s="14">
        <f>IF(OR($E1694="",$AA1694=""),"",IF($E1694&gt;=$AA1694,"×",IF($E1694&gt;=$AA1694*設定!$C$5,"△","○")))</f>
        <v/>
      </c>
      <c r="AC1694" s="15">
        <f>IF($AB1694="","",IF($AB1694="×",0,IF($AB1694="○",ROUNDDOWN($E1694*設定!$C$4,0),ROUNDDOWN($E1694*ROUND((9*$AA1694-9*$E1694)/(10*$E1694),4),0))))</f>
        <v/>
      </c>
      <c r="AD1694" s="13" t="n"/>
      <c r="AE1694" s="15">
        <f>IF($B1694="","",IF($AD1694&lt;&gt;"",$AD1694,IF($AC1694="","",IF($AC1694&lt;=設定!$C$3,0,$AC1694))))</f>
        <v/>
      </c>
      <c r="AF1694" s="14">
        <f>IF($B1694="","",IF(AND($AG1694&lt;&gt;"",$AI1694="",$AL1694=""),"保留中",IF($AL1694&lt;&gt;"",IF(N($AE1694)&gt;0,"支給済","不支給"),IF($AE1694="","要確認",IF($AE1694=0,"不支給","未処理")))))</f>
        <v/>
      </c>
      <c r="AG1694" s="12" t="n"/>
      <c r="AH1694" s="11" t="n"/>
      <c r="AI1694" s="11" t="n"/>
      <c r="AJ1694" s="11" t="n"/>
      <c r="AK1694" s="14">
        <f>IF(AND($AF1694="保留中",$AH1694&lt;&gt;""),TODAY()-$AH1694,"")</f>
        <v/>
      </c>
      <c r="AL1694" s="12" t="n"/>
      <c r="AM1694" s="14">
        <f>IF($B1694="","",IF($AQ1694="","対象年月が未入力／","")&amp;IF($B1694="","",IF($AP1694="","職員マスタに未登録の職員番号／",IF($AA1694="","標準報酬月額が未登録／","")&amp;IF(AND($AQ1694&lt;&gt;"",OR(AND(INDEX(職員マスタ!$G$6:$G$405,$AP1694)&lt;&gt;"",INDEX(職員マスタ!$G$6:$G$405,$AP1694)&gt;EOMONTH($AQ1694,0)),AND(INDEX(職員マスタ!$H$6:$H$405,$AP1694)&lt;&gt;"",INDEX(職員マスタ!$H$6:$H$405,$AP1694)&lt;$AQ1694))),"対象月が時短期間外／","")&amp;IF(AND(INDEX(職員マスタ!$K$6:$K$405,$AP1694)&lt;&gt;"",N($W1694)&gt;0,INDEX(職員マスタ!$K$6:$K$405,$AP1694)&lt;&gt;$W1694),"標準報酬月額が申請書と相違（台帳"&amp;TEXT(INDEX(職員マスタ!$K$6:$K$405,$AP1694),"#,##0")&amp;"円／申請書"&amp;TEXT($W1694,"#,##0")&amp;"円）／","")&amp;IF(AND(INDEX(職員マスタ!$F$6:$F$405,$AP1694)&lt;&gt;"",$AQ1694&lt;&gt;"",INDEX(職員マスタ!$F$6:$F$405,$AP1694)&lt;$AQ1694),"対象月に子が2歳到達済／","")&amp;IF(AND($H1694&lt;&gt;"",INDEX(職員マスタ!$B$6:$B$405,$AP1694)&lt;&gt;"",SUBSTITUTE(SUBSTITUTE($H1694," ","")," ","")&lt;&gt;SUBSTITUTE(SUBSTITUTE(INDEX(職員マスタ!$B$6:$B$405,$AP1694)," ","")," ","")),"氏名がマスタと相違／","")&amp;IF(AND($Q1694&lt;&gt;"",INDEX(職員マスタ!$E$6:$E$405,$AP1694)&lt;&gt;"",$Q1694&lt;&gt;INDEX(職員マスタ!$E$6:$E$405,$AP1694)),"子の生年月日がマスタと相違／","")&amp;IF(AND($L1694&lt;&gt;"",INDEX(職員マスタ!$G$6:$G$405,$AP1694)&lt;&gt;"",$L1694&lt;&gt;INDEX(職員マスタ!$G$6:$G$405,$AP1694)),"時短開始日がマスタと相違／","")&amp;IF(AND($M1694&lt;&gt;"",INDEX(職員マスタ!$H$6:$H$405,$AP1694)&lt;&gt;"",$M1694&lt;&gt;INDEX(職員マスタ!$H$6:$H$405,$AP1694)),"時短終了日がマスタと相違／","")))&amp;IF(AND($B1694&lt;&gt;"",$E1694=""),"報酬額が未入力／","")&amp;IF(N($U1694)&gt;0,"申請書に入力エラーが残っています／","")&amp;IF(AND($B1694&lt;&gt;"",$AQ1694&lt;&gt;""),IF(COUNTIFS($B$6:$B$3005,$B1694,$C$6:$C$3005,$C1694,$D$6:$D$3005,$D1694)&gt;1,"同じ月の請求が重複しています／",""),"")&amp;IF(AND(N($E1694)&gt;0,$AB1694&lt;&gt;"",$AB1694&lt;&gt;"×",$AE1694=0,$AD1694=""),"計算額が下限以下のため不支給／",""))</f>
        <v/>
      </c>
      <c r="AN1694" s="12" t="n"/>
      <c r="AO1694" s="14">
        <f>IF($AF1694="保留中",COUNTIF($AF$6:$AF1694,"保留中"),"")</f>
        <v/>
      </c>
      <c r="AP1694" s="14">
        <f>IF($AQ1694="","",IF(SUMPRODUCT(MAX((職員マスタ!$A$6:$A$405=$B1694)*(((職員マスタ!$G$6:$G$405="")+(職員マスタ!$G$6:$G$405&lt;=EOMONTH($AQ1694,0)))&gt;0)*(((職員マスタ!$H$6:$H$405="")+(職員マスタ!$H$6:$H$405&gt;=$AQ1694))&gt;0)*(ROW(職員マスタ!$A$6:$A$405)-5)))&gt;0,SUMPRODUCT(MAX((職員マスタ!$A$6:$A$405=$B1694)*(((職員マスタ!$G$6:$G$405="")+(職員マスタ!$G$6:$G$405&lt;=EOMONTH($AQ1694,0)))&gt;0)*(((職員マスタ!$H$6:$H$405="")+(職員マスタ!$H$6:$H$405&gt;=$AQ1694))&gt;0)*(ROW(職員マスタ!$A$6:$A$405)-5))),IFERROR(MATCH($B1694,職員マスタ!$A$6:$A$405,0),"")))</f>
        <v/>
      </c>
      <c r="AQ1694" s="16">
        <f>IF(OR($B1694="",$C1694="",$D1694=""),"",DATE($C1694+2018,$D1694,1))</f>
        <v/>
      </c>
    </row>
    <row r="1695">
      <c r="A1695" s="11" t="n"/>
      <c r="B1695" s="12" t="n"/>
      <c r="C1695" s="12" t="n"/>
      <c r="D1695" s="12" t="n"/>
      <c r="E1695" s="13" t="n"/>
      <c r="F1695" s="12" t="n"/>
      <c r="G1695" s="13" t="n"/>
      <c r="H1695" s="12" t="n"/>
      <c r="I1695" s="12" t="n"/>
      <c r="J1695" s="12" t="n"/>
      <c r="K1695" s="12" t="n"/>
      <c r="L1695" s="11" t="n"/>
      <c r="M1695" s="11" t="n"/>
      <c r="N1695" s="11" t="n"/>
      <c r="O1695" s="11" t="n"/>
      <c r="P1695" s="12" t="n"/>
      <c r="Q1695" s="11" t="n"/>
      <c r="R1695" s="12" t="n"/>
      <c r="S1695" s="11" t="n"/>
      <c r="T1695" s="12" t="n"/>
      <c r="U1695" s="12" t="n"/>
      <c r="V1695" s="12" t="n"/>
      <c r="W1695" s="13" t="n"/>
      <c r="X1695" s="14">
        <f>IF($AP1695="",IF($B1695="","",$H1695),IF(INDEX(職員マスタ!$B$6:$B$405,$AP1695)="",$H1695,INDEX(職員マスタ!$B$6:$B$405,$AP1695)))</f>
        <v/>
      </c>
      <c r="Y1695" s="14">
        <f>IF($AP1695="",IF($B1695="","",$R1695),IF(INDEX(職員マスタ!$C$6:$C$405,$AP1695)="",$R1695,INDEX(職員マスタ!$C$6:$C$405,$AP1695)))</f>
        <v/>
      </c>
      <c r="Z1695" s="14">
        <f>IF($AQ1695="","","R"&amp;$C1695&amp;"."&amp;$D1695)</f>
        <v/>
      </c>
      <c r="AA1695" s="15">
        <f>IF(IF($AP1695="",FALSE,INDEX(職員マスタ!$K$6:$K$405,$AP1695)&lt;&gt;""),INDEX(職員マスタ!$K$6:$K$405,$AP1695),IF(N($W1695)&gt;0,$W1695,""))</f>
        <v/>
      </c>
      <c r="AB1695" s="14">
        <f>IF(OR($E1695="",$AA1695=""),"",IF($E1695&gt;=$AA1695,"×",IF($E1695&gt;=$AA1695*設定!$C$5,"△","○")))</f>
        <v/>
      </c>
      <c r="AC1695" s="15">
        <f>IF($AB1695="","",IF($AB1695="×",0,IF($AB1695="○",ROUNDDOWN($E1695*設定!$C$4,0),ROUNDDOWN($E1695*ROUND((9*$AA1695-9*$E1695)/(10*$E1695),4),0))))</f>
        <v/>
      </c>
      <c r="AD1695" s="13" t="n"/>
      <c r="AE1695" s="15">
        <f>IF($B1695="","",IF($AD1695&lt;&gt;"",$AD1695,IF($AC1695="","",IF($AC1695&lt;=設定!$C$3,0,$AC1695))))</f>
        <v/>
      </c>
      <c r="AF1695" s="14">
        <f>IF($B1695="","",IF(AND($AG1695&lt;&gt;"",$AI1695="",$AL1695=""),"保留中",IF($AL1695&lt;&gt;"",IF(N($AE1695)&gt;0,"支給済","不支給"),IF($AE1695="","要確認",IF($AE1695=0,"不支給","未処理")))))</f>
        <v/>
      </c>
      <c r="AG1695" s="12" t="n"/>
      <c r="AH1695" s="11" t="n"/>
      <c r="AI1695" s="11" t="n"/>
      <c r="AJ1695" s="11" t="n"/>
      <c r="AK1695" s="14">
        <f>IF(AND($AF1695="保留中",$AH1695&lt;&gt;""),TODAY()-$AH1695,"")</f>
        <v/>
      </c>
      <c r="AL1695" s="12" t="n"/>
      <c r="AM1695" s="14">
        <f>IF($B1695="","",IF($AQ1695="","対象年月が未入力／","")&amp;IF($B1695="","",IF($AP1695="","職員マスタに未登録の職員番号／",IF($AA1695="","標準報酬月額が未登録／","")&amp;IF(AND($AQ1695&lt;&gt;"",OR(AND(INDEX(職員マスタ!$G$6:$G$405,$AP1695)&lt;&gt;"",INDEX(職員マスタ!$G$6:$G$405,$AP1695)&gt;EOMONTH($AQ1695,0)),AND(INDEX(職員マスタ!$H$6:$H$405,$AP1695)&lt;&gt;"",INDEX(職員マスタ!$H$6:$H$405,$AP1695)&lt;$AQ1695))),"対象月が時短期間外／","")&amp;IF(AND(INDEX(職員マスタ!$K$6:$K$405,$AP1695)&lt;&gt;"",N($W1695)&gt;0,INDEX(職員マスタ!$K$6:$K$405,$AP1695)&lt;&gt;$W1695),"標準報酬月額が申請書と相違（台帳"&amp;TEXT(INDEX(職員マスタ!$K$6:$K$405,$AP1695),"#,##0")&amp;"円／申請書"&amp;TEXT($W1695,"#,##0")&amp;"円）／","")&amp;IF(AND(INDEX(職員マスタ!$F$6:$F$405,$AP1695)&lt;&gt;"",$AQ1695&lt;&gt;"",INDEX(職員マスタ!$F$6:$F$405,$AP1695)&lt;$AQ1695),"対象月に子が2歳到達済／","")&amp;IF(AND($H1695&lt;&gt;"",INDEX(職員マスタ!$B$6:$B$405,$AP1695)&lt;&gt;"",SUBSTITUTE(SUBSTITUTE($H1695," ","")," ","")&lt;&gt;SUBSTITUTE(SUBSTITUTE(INDEX(職員マスタ!$B$6:$B$405,$AP1695)," ","")," ","")),"氏名がマスタと相違／","")&amp;IF(AND($Q1695&lt;&gt;"",INDEX(職員マスタ!$E$6:$E$405,$AP1695)&lt;&gt;"",$Q1695&lt;&gt;INDEX(職員マスタ!$E$6:$E$405,$AP1695)),"子の生年月日がマスタと相違／","")&amp;IF(AND($L1695&lt;&gt;"",INDEX(職員マスタ!$G$6:$G$405,$AP1695)&lt;&gt;"",$L1695&lt;&gt;INDEX(職員マスタ!$G$6:$G$405,$AP1695)),"時短開始日がマスタと相違／","")&amp;IF(AND($M1695&lt;&gt;"",INDEX(職員マスタ!$H$6:$H$405,$AP1695)&lt;&gt;"",$M1695&lt;&gt;INDEX(職員マスタ!$H$6:$H$405,$AP1695)),"時短終了日がマスタと相違／","")))&amp;IF(AND($B1695&lt;&gt;"",$E1695=""),"報酬額が未入力／","")&amp;IF(N($U1695)&gt;0,"申請書に入力エラーが残っています／","")&amp;IF(AND($B1695&lt;&gt;"",$AQ1695&lt;&gt;""),IF(COUNTIFS($B$6:$B$3005,$B1695,$C$6:$C$3005,$C1695,$D$6:$D$3005,$D1695)&gt;1,"同じ月の請求が重複しています／",""),"")&amp;IF(AND(N($E1695)&gt;0,$AB1695&lt;&gt;"",$AB1695&lt;&gt;"×",$AE1695=0,$AD1695=""),"計算額が下限以下のため不支給／",""))</f>
        <v/>
      </c>
      <c r="AN1695" s="12" t="n"/>
      <c r="AO1695" s="14">
        <f>IF($AF1695="保留中",COUNTIF($AF$6:$AF1695,"保留中"),"")</f>
        <v/>
      </c>
      <c r="AP1695" s="14">
        <f>IF($AQ1695="","",IF(SUMPRODUCT(MAX((職員マスタ!$A$6:$A$405=$B1695)*(((職員マスタ!$G$6:$G$405="")+(職員マスタ!$G$6:$G$405&lt;=EOMONTH($AQ1695,0)))&gt;0)*(((職員マスタ!$H$6:$H$405="")+(職員マスタ!$H$6:$H$405&gt;=$AQ1695))&gt;0)*(ROW(職員マスタ!$A$6:$A$405)-5)))&gt;0,SUMPRODUCT(MAX((職員マスタ!$A$6:$A$405=$B1695)*(((職員マスタ!$G$6:$G$405="")+(職員マスタ!$G$6:$G$405&lt;=EOMONTH($AQ1695,0)))&gt;0)*(((職員マスタ!$H$6:$H$405="")+(職員マスタ!$H$6:$H$405&gt;=$AQ1695))&gt;0)*(ROW(職員マスタ!$A$6:$A$405)-5))),IFERROR(MATCH($B1695,職員マスタ!$A$6:$A$405,0),"")))</f>
        <v/>
      </c>
      <c r="AQ1695" s="16">
        <f>IF(OR($B1695="",$C1695="",$D1695=""),"",DATE($C1695+2018,$D1695,1))</f>
        <v/>
      </c>
    </row>
    <row r="1696">
      <c r="A1696" s="11" t="n"/>
      <c r="B1696" s="12" t="n"/>
      <c r="C1696" s="12" t="n"/>
      <c r="D1696" s="12" t="n"/>
      <c r="E1696" s="13" t="n"/>
      <c r="F1696" s="12" t="n"/>
      <c r="G1696" s="13" t="n"/>
      <c r="H1696" s="12" t="n"/>
      <c r="I1696" s="12" t="n"/>
      <c r="J1696" s="12" t="n"/>
      <c r="K1696" s="12" t="n"/>
      <c r="L1696" s="11" t="n"/>
      <c r="M1696" s="11" t="n"/>
      <c r="N1696" s="11" t="n"/>
      <c r="O1696" s="11" t="n"/>
      <c r="P1696" s="12" t="n"/>
      <c r="Q1696" s="11" t="n"/>
      <c r="R1696" s="12" t="n"/>
      <c r="S1696" s="11" t="n"/>
      <c r="T1696" s="12" t="n"/>
      <c r="U1696" s="12" t="n"/>
      <c r="V1696" s="12" t="n"/>
      <c r="W1696" s="13" t="n"/>
      <c r="X1696" s="14">
        <f>IF($AP1696="",IF($B1696="","",$H1696),IF(INDEX(職員マスタ!$B$6:$B$405,$AP1696)="",$H1696,INDEX(職員マスタ!$B$6:$B$405,$AP1696)))</f>
        <v/>
      </c>
      <c r="Y1696" s="14">
        <f>IF($AP1696="",IF($B1696="","",$R1696),IF(INDEX(職員マスタ!$C$6:$C$405,$AP1696)="",$R1696,INDEX(職員マスタ!$C$6:$C$405,$AP1696)))</f>
        <v/>
      </c>
      <c r="Z1696" s="14">
        <f>IF($AQ1696="","","R"&amp;$C1696&amp;"."&amp;$D1696)</f>
        <v/>
      </c>
      <c r="AA1696" s="15">
        <f>IF(IF($AP1696="",FALSE,INDEX(職員マスタ!$K$6:$K$405,$AP1696)&lt;&gt;""),INDEX(職員マスタ!$K$6:$K$405,$AP1696),IF(N($W1696)&gt;0,$W1696,""))</f>
        <v/>
      </c>
      <c r="AB1696" s="14">
        <f>IF(OR($E1696="",$AA1696=""),"",IF($E1696&gt;=$AA1696,"×",IF($E1696&gt;=$AA1696*設定!$C$5,"△","○")))</f>
        <v/>
      </c>
      <c r="AC1696" s="15">
        <f>IF($AB1696="","",IF($AB1696="×",0,IF($AB1696="○",ROUNDDOWN($E1696*設定!$C$4,0),ROUNDDOWN($E1696*ROUND((9*$AA1696-9*$E1696)/(10*$E1696),4),0))))</f>
        <v/>
      </c>
      <c r="AD1696" s="13" t="n"/>
      <c r="AE1696" s="15">
        <f>IF($B1696="","",IF($AD1696&lt;&gt;"",$AD1696,IF($AC1696="","",IF($AC1696&lt;=設定!$C$3,0,$AC1696))))</f>
        <v/>
      </c>
      <c r="AF1696" s="14">
        <f>IF($B1696="","",IF(AND($AG1696&lt;&gt;"",$AI1696="",$AL1696=""),"保留中",IF($AL1696&lt;&gt;"",IF(N($AE1696)&gt;0,"支給済","不支給"),IF($AE1696="","要確認",IF($AE1696=0,"不支給","未処理")))))</f>
        <v/>
      </c>
      <c r="AG1696" s="12" t="n"/>
      <c r="AH1696" s="11" t="n"/>
      <c r="AI1696" s="11" t="n"/>
      <c r="AJ1696" s="11" t="n"/>
      <c r="AK1696" s="14">
        <f>IF(AND($AF1696="保留中",$AH1696&lt;&gt;""),TODAY()-$AH1696,"")</f>
        <v/>
      </c>
      <c r="AL1696" s="12" t="n"/>
      <c r="AM1696" s="14">
        <f>IF($B1696="","",IF($AQ1696="","対象年月が未入力／","")&amp;IF($B1696="","",IF($AP1696="","職員マスタに未登録の職員番号／",IF($AA1696="","標準報酬月額が未登録／","")&amp;IF(AND($AQ1696&lt;&gt;"",OR(AND(INDEX(職員マスタ!$G$6:$G$405,$AP1696)&lt;&gt;"",INDEX(職員マスタ!$G$6:$G$405,$AP1696)&gt;EOMONTH($AQ1696,0)),AND(INDEX(職員マスタ!$H$6:$H$405,$AP1696)&lt;&gt;"",INDEX(職員マスタ!$H$6:$H$405,$AP1696)&lt;$AQ1696))),"対象月が時短期間外／","")&amp;IF(AND(INDEX(職員マスタ!$K$6:$K$405,$AP1696)&lt;&gt;"",N($W1696)&gt;0,INDEX(職員マスタ!$K$6:$K$405,$AP1696)&lt;&gt;$W1696),"標準報酬月額が申請書と相違（台帳"&amp;TEXT(INDEX(職員マスタ!$K$6:$K$405,$AP1696),"#,##0")&amp;"円／申請書"&amp;TEXT($W1696,"#,##0")&amp;"円）／","")&amp;IF(AND(INDEX(職員マスタ!$F$6:$F$405,$AP1696)&lt;&gt;"",$AQ1696&lt;&gt;"",INDEX(職員マスタ!$F$6:$F$405,$AP1696)&lt;$AQ1696),"対象月に子が2歳到達済／","")&amp;IF(AND($H1696&lt;&gt;"",INDEX(職員マスタ!$B$6:$B$405,$AP1696)&lt;&gt;"",SUBSTITUTE(SUBSTITUTE($H1696," ","")," ","")&lt;&gt;SUBSTITUTE(SUBSTITUTE(INDEX(職員マスタ!$B$6:$B$405,$AP1696)," ","")," ","")),"氏名がマスタと相違／","")&amp;IF(AND($Q1696&lt;&gt;"",INDEX(職員マスタ!$E$6:$E$405,$AP1696)&lt;&gt;"",$Q1696&lt;&gt;INDEX(職員マスタ!$E$6:$E$405,$AP1696)),"子の生年月日がマスタと相違／","")&amp;IF(AND($L1696&lt;&gt;"",INDEX(職員マスタ!$G$6:$G$405,$AP1696)&lt;&gt;"",$L1696&lt;&gt;INDEX(職員マスタ!$G$6:$G$405,$AP1696)),"時短開始日がマスタと相違／","")&amp;IF(AND($M1696&lt;&gt;"",INDEX(職員マスタ!$H$6:$H$405,$AP1696)&lt;&gt;"",$M1696&lt;&gt;INDEX(職員マスタ!$H$6:$H$405,$AP1696)),"時短終了日がマスタと相違／","")))&amp;IF(AND($B1696&lt;&gt;"",$E1696=""),"報酬額が未入力／","")&amp;IF(N($U1696)&gt;0,"申請書に入力エラーが残っています／","")&amp;IF(AND($B1696&lt;&gt;"",$AQ1696&lt;&gt;""),IF(COUNTIFS($B$6:$B$3005,$B1696,$C$6:$C$3005,$C1696,$D$6:$D$3005,$D1696)&gt;1,"同じ月の請求が重複しています／",""),"")&amp;IF(AND(N($E1696)&gt;0,$AB1696&lt;&gt;"",$AB1696&lt;&gt;"×",$AE1696=0,$AD1696=""),"計算額が下限以下のため不支給／",""))</f>
        <v/>
      </c>
      <c r="AN1696" s="12" t="n"/>
      <c r="AO1696" s="14">
        <f>IF($AF1696="保留中",COUNTIF($AF$6:$AF1696,"保留中"),"")</f>
        <v/>
      </c>
      <c r="AP1696" s="14">
        <f>IF($AQ1696="","",IF(SUMPRODUCT(MAX((職員マスタ!$A$6:$A$405=$B1696)*(((職員マスタ!$G$6:$G$405="")+(職員マスタ!$G$6:$G$405&lt;=EOMONTH($AQ1696,0)))&gt;0)*(((職員マスタ!$H$6:$H$405="")+(職員マスタ!$H$6:$H$405&gt;=$AQ1696))&gt;0)*(ROW(職員マスタ!$A$6:$A$405)-5)))&gt;0,SUMPRODUCT(MAX((職員マスタ!$A$6:$A$405=$B1696)*(((職員マスタ!$G$6:$G$405="")+(職員マスタ!$G$6:$G$405&lt;=EOMONTH($AQ1696,0)))&gt;0)*(((職員マスタ!$H$6:$H$405="")+(職員マスタ!$H$6:$H$405&gt;=$AQ1696))&gt;0)*(ROW(職員マスタ!$A$6:$A$405)-5))),IFERROR(MATCH($B1696,職員マスタ!$A$6:$A$405,0),"")))</f>
        <v/>
      </c>
      <c r="AQ1696" s="16">
        <f>IF(OR($B1696="",$C1696="",$D1696=""),"",DATE($C1696+2018,$D1696,1))</f>
        <v/>
      </c>
    </row>
    <row r="1697">
      <c r="A1697" s="11" t="n"/>
      <c r="B1697" s="12" t="n"/>
      <c r="C1697" s="12" t="n"/>
      <c r="D1697" s="12" t="n"/>
      <c r="E1697" s="13" t="n"/>
      <c r="F1697" s="12" t="n"/>
      <c r="G1697" s="13" t="n"/>
      <c r="H1697" s="12" t="n"/>
      <c r="I1697" s="12" t="n"/>
      <c r="J1697" s="12" t="n"/>
      <c r="K1697" s="12" t="n"/>
      <c r="L1697" s="11" t="n"/>
      <c r="M1697" s="11" t="n"/>
      <c r="N1697" s="11" t="n"/>
      <c r="O1697" s="11" t="n"/>
      <c r="P1697" s="12" t="n"/>
      <c r="Q1697" s="11" t="n"/>
      <c r="R1697" s="12" t="n"/>
      <c r="S1697" s="11" t="n"/>
      <c r="T1697" s="12" t="n"/>
      <c r="U1697" s="12" t="n"/>
      <c r="V1697" s="12" t="n"/>
      <c r="W1697" s="13" t="n"/>
      <c r="X1697" s="14">
        <f>IF($AP1697="",IF($B1697="","",$H1697),IF(INDEX(職員マスタ!$B$6:$B$405,$AP1697)="",$H1697,INDEX(職員マスタ!$B$6:$B$405,$AP1697)))</f>
        <v/>
      </c>
      <c r="Y1697" s="14">
        <f>IF($AP1697="",IF($B1697="","",$R1697),IF(INDEX(職員マスタ!$C$6:$C$405,$AP1697)="",$R1697,INDEX(職員マスタ!$C$6:$C$405,$AP1697)))</f>
        <v/>
      </c>
      <c r="Z1697" s="14">
        <f>IF($AQ1697="","","R"&amp;$C1697&amp;"."&amp;$D1697)</f>
        <v/>
      </c>
      <c r="AA1697" s="15">
        <f>IF(IF($AP1697="",FALSE,INDEX(職員マスタ!$K$6:$K$405,$AP1697)&lt;&gt;""),INDEX(職員マスタ!$K$6:$K$405,$AP1697),IF(N($W1697)&gt;0,$W1697,""))</f>
        <v/>
      </c>
      <c r="AB1697" s="14">
        <f>IF(OR($E1697="",$AA1697=""),"",IF($E1697&gt;=$AA1697,"×",IF($E1697&gt;=$AA1697*設定!$C$5,"△","○")))</f>
        <v/>
      </c>
      <c r="AC1697" s="15">
        <f>IF($AB1697="","",IF($AB1697="×",0,IF($AB1697="○",ROUNDDOWN($E1697*設定!$C$4,0),ROUNDDOWN($E1697*ROUND((9*$AA1697-9*$E1697)/(10*$E1697),4),0))))</f>
        <v/>
      </c>
      <c r="AD1697" s="13" t="n"/>
      <c r="AE1697" s="15">
        <f>IF($B1697="","",IF($AD1697&lt;&gt;"",$AD1697,IF($AC1697="","",IF($AC1697&lt;=設定!$C$3,0,$AC1697))))</f>
        <v/>
      </c>
      <c r="AF1697" s="14">
        <f>IF($B1697="","",IF(AND($AG1697&lt;&gt;"",$AI1697="",$AL1697=""),"保留中",IF($AL1697&lt;&gt;"",IF(N($AE1697)&gt;0,"支給済","不支給"),IF($AE1697="","要確認",IF($AE1697=0,"不支給","未処理")))))</f>
        <v/>
      </c>
      <c r="AG1697" s="12" t="n"/>
      <c r="AH1697" s="11" t="n"/>
      <c r="AI1697" s="11" t="n"/>
      <c r="AJ1697" s="11" t="n"/>
      <c r="AK1697" s="14">
        <f>IF(AND($AF1697="保留中",$AH1697&lt;&gt;""),TODAY()-$AH1697,"")</f>
        <v/>
      </c>
      <c r="AL1697" s="12" t="n"/>
      <c r="AM1697" s="14">
        <f>IF($B1697="","",IF($AQ1697="","対象年月が未入力／","")&amp;IF($B1697="","",IF($AP1697="","職員マスタに未登録の職員番号／",IF($AA1697="","標準報酬月額が未登録／","")&amp;IF(AND($AQ1697&lt;&gt;"",OR(AND(INDEX(職員マスタ!$G$6:$G$405,$AP1697)&lt;&gt;"",INDEX(職員マスタ!$G$6:$G$405,$AP1697)&gt;EOMONTH($AQ1697,0)),AND(INDEX(職員マスタ!$H$6:$H$405,$AP1697)&lt;&gt;"",INDEX(職員マスタ!$H$6:$H$405,$AP1697)&lt;$AQ1697))),"対象月が時短期間外／","")&amp;IF(AND(INDEX(職員マスタ!$K$6:$K$405,$AP1697)&lt;&gt;"",N($W1697)&gt;0,INDEX(職員マスタ!$K$6:$K$405,$AP1697)&lt;&gt;$W1697),"標準報酬月額が申請書と相違（台帳"&amp;TEXT(INDEX(職員マスタ!$K$6:$K$405,$AP1697),"#,##0")&amp;"円／申請書"&amp;TEXT($W1697,"#,##0")&amp;"円）／","")&amp;IF(AND(INDEX(職員マスタ!$F$6:$F$405,$AP1697)&lt;&gt;"",$AQ1697&lt;&gt;"",INDEX(職員マスタ!$F$6:$F$405,$AP1697)&lt;$AQ1697),"対象月に子が2歳到達済／","")&amp;IF(AND($H1697&lt;&gt;"",INDEX(職員マスタ!$B$6:$B$405,$AP1697)&lt;&gt;"",SUBSTITUTE(SUBSTITUTE($H1697," ","")," ","")&lt;&gt;SUBSTITUTE(SUBSTITUTE(INDEX(職員マスタ!$B$6:$B$405,$AP1697)," ","")," ","")),"氏名がマスタと相違／","")&amp;IF(AND($Q1697&lt;&gt;"",INDEX(職員マスタ!$E$6:$E$405,$AP1697)&lt;&gt;"",$Q1697&lt;&gt;INDEX(職員マスタ!$E$6:$E$405,$AP1697)),"子の生年月日がマスタと相違／","")&amp;IF(AND($L1697&lt;&gt;"",INDEX(職員マスタ!$G$6:$G$405,$AP1697)&lt;&gt;"",$L1697&lt;&gt;INDEX(職員マスタ!$G$6:$G$405,$AP1697)),"時短開始日がマスタと相違／","")&amp;IF(AND($M1697&lt;&gt;"",INDEX(職員マスタ!$H$6:$H$405,$AP1697)&lt;&gt;"",$M1697&lt;&gt;INDEX(職員マスタ!$H$6:$H$405,$AP1697)),"時短終了日がマスタと相違／","")))&amp;IF(AND($B1697&lt;&gt;"",$E1697=""),"報酬額が未入力／","")&amp;IF(N($U1697)&gt;0,"申請書に入力エラーが残っています／","")&amp;IF(AND($B1697&lt;&gt;"",$AQ1697&lt;&gt;""),IF(COUNTIFS($B$6:$B$3005,$B1697,$C$6:$C$3005,$C1697,$D$6:$D$3005,$D1697)&gt;1,"同じ月の請求が重複しています／",""),"")&amp;IF(AND(N($E1697)&gt;0,$AB1697&lt;&gt;"",$AB1697&lt;&gt;"×",$AE1697=0,$AD1697=""),"計算額が下限以下のため不支給／",""))</f>
        <v/>
      </c>
      <c r="AN1697" s="12" t="n"/>
      <c r="AO1697" s="14">
        <f>IF($AF1697="保留中",COUNTIF($AF$6:$AF1697,"保留中"),"")</f>
        <v/>
      </c>
      <c r="AP1697" s="14">
        <f>IF($AQ1697="","",IF(SUMPRODUCT(MAX((職員マスタ!$A$6:$A$405=$B1697)*(((職員マスタ!$G$6:$G$405="")+(職員マスタ!$G$6:$G$405&lt;=EOMONTH($AQ1697,0)))&gt;0)*(((職員マスタ!$H$6:$H$405="")+(職員マスタ!$H$6:$H$405&gt;=$AQ1697))&gt;0)*(ROW(職員マスタ!$A$6:$A$405)-5)))&gt;0,SUMPRODUCT(MAX((職員マスタ!$A$6:$A$405=$B1697)*(((職員マスタ!$G$6:$G$405="")+(職員マスタ!$G$6:$G$405&lt;=EOMONTH($AQ1697,0)))&gt;0)*(((職員マスタ!$H$6:$H$405="")+(職員マスタ!$H$6:$H$405&gt;=$AQ1697))&gt;0)*(ROW(職員マスタ!$A$6:$A$405)-5))),IFERROR(MATCH($B1697,職員マスタ!$A$6:$A$405,0),"")))</f>
        <v/>
      </c>
      <c r="AQ1697" s="16">
        <f>IF(OR($B1697="",$C1697="",$D1697=""),"",DATE($C1697+2018,$D1697,1))</f>
        <v/>
      </c>
    </row>
    <row r="1698">
      <c r="A1698" s="11" t="n"/>
      <c r="B1698" s="12" t="n"/>
      <c r="C1698" s="12" t="n"/>
      <c r="D1698" s="12" t="n"/>
      <c r="E1698" s="13" t="n"/>
      <c r="F1698" s="12" t="n"/>
      <c r="G1698" s="13" t="n"/>
      <c r="H1698" s="12" t="n"/>
      <c r="I1698" s="12" t="n"/>
      <c r="J1698" s="12" t="n"/>
      <c r="K1698" s="12" t="n"/>
      <c r="L1698" s="11" t="n"/>
      <c r="M1698" s="11" t="n"/>
      <c r="N1698" s="11" t="n"/>
      <c r="O1698" s="11" t="n"/>
      <c r="P1698" s="12" t="n"/>
      <c r="Q1698" s="11" t="n"/>
      <c r="R1698" s="12" t="n"/>
      <c r="S1698" s="11" t="n"/>
      <c r="T1698" s="12" t="n"/>
      <c r="U1698" s="12" t="n"/>
      <c r="V1698" s="12" t="n"/>
      <c r="W1698" s="13" t="n"/>
      <c r="X1698" s="14">
        <f>IF($AP1698="",IF($B1698="","",$H1698),IF(INDEX(職員マスタ!$B$6:$B$405,$AP1698)="",$H1698,INDEX(職員マスタ!$B$6:$B$405,$AP1698)))</f>
        <v/>
      </c>
      <c r="Y1698" s="14">
        <f>IF($AP1698="",IF($B1698="","",$R1698),IF(INDEX(職員マスタ!$C$6:$C$405,$AP1698)="",$R1698,INDEX(職員マスタ!$C$6:$C$405,$AP1698)))</f>
        <v/>
      </c>
      <c r="Z1698" s="14">
        <f>IF($AQ1698="","","R"&amp;$C1698&amp;"."&amp;$D1698)</f>
        <v/>
      </c>
      <c r="AA1698" s="15">
        <f>IF(IF($AP1698="",FALSE,INDEX(職員マスタ!$K$6:$K$405,$AP1698)&lt;&gt;""),INDEX(職員マスタ!$K$6:$K$405,$AP1698),IF(N($W1698)&gt;0,$W1698,""))</f>
        <v/>
      </c>
      <c r="AB1698" s="14">
        <f>IF(OR($E1698="",$AA1698=""),"",IF($E1698&gt;=$AA1698,"×",IF($E1698&gt;=$AA1698*設定!$C$5,"△","○")))</f>
        <v/>
      </c>
      <c r="AC1698" s="15">
        <f>IF($AB1698="","",IF($AB1698="×",0,IF($AB1698="○",ROUNDDOWN($E1698*設定!$C$4,0),ROUNDDOWN($E1698*ROUND((9*$AA1698-9*$E1698)/(10*$E1698),4),0))))</f>
        <v/>
      </c>
      <c r="AD1698" s="13" t="n"/>
      <c r="AE1698" s="15">
        <f>IF($B1698="","",IF($AD1698&lt;&gt;"",$AD1698,IF($AC1698="","",IF($AC1698&lt;=設定!$C$3,0,$AC1698))))</f>
        <v/>
      </c>
      <c r="AF1698" s="14">
        <f>IF($B1698="","",IF(AND($AG1698&lt;&gt;"",$AI1698="",$AL1698=""),"保留中",IF($AL1698&lt;&gt;"",IF(N($AE1698)&gt;0,"支給済","不支給"),IF($AE1698="","要確認",IF($AE1698=0,"不支給","未処理")))))</f>
        <v/>
      </c>
      <c r="AG1698" s="12" t="n"/>
      <c r="AH1698" s="11" t="n"/>
      <c r="AI1698" s="11" t="n"/>
      <c r="AJ1698" s="11" t="n"/>
      <c r="AK1698" s="14">
        <f>IF(AND($AF1698="保留中",$AH1698&lt;&gt;""),TODAY()-$AH1698,"")</f>
        <v/>
      </c>
      <c r="AL1698" s="12" t="n"/>
      <c r="AM1698" s="14">
        <f>IF($B1698="","",IF($AQ1698="","対象年月が未入力／","")&amp;IF($B1698="","",IF($AP1698="","職員マスタに未登録の職員番号／",IF($AA1698="","標準報酬月額が未登録／","")&amp;IF(AND($AQ1698&lt;&gt;"",OR(AND(INDEX(職員マスタ!$G$6:$G$405,$AP1698)&lt;&gt;"",INDEX(職員マスタ!$G$6:$G$405,$AP1698)&gt;EOMONTH($AQ1698,0)),AND(INDEX(職員マスタ!$H$6:$H$405,$AP1698)&lt;&gt;"",INDEX(職員マスタ!$H$6:$H$405,$AP1698)&lt;$AQ1698))),"対象月が時短期間外／","")&amp;IF(AND(INDEX(職員マスタ!$K$6:$K$405,$AP1698)&lt;&gt;"",N($W1698)&gt;0,INDEX(職員マスタ!$K$6:$K$405,$AP1698)&lt;&gt;$W1698),"標準報酬月額が申請書と相違（台帳"&amp;TEXT(INDEX(職員マスタ!$K$6:$K$405,$AP1698),"#,##0")&amp;"円／申請書"&amp;TEXT($W1698,"#,##0")&amp;"円）／","")&amp;IF(AND(INDEX(職員マスタ!$F$6:$F$405,$AP1698)&lt;&gt;"",$AQ1698&lt;&gt;"",INDEX(職員マスタ!$F$6:$F$405,$AP1698)&lt;$AQ1698),"対象月に子が2歳到達済／","")&amp;IF(AND($H1698&lt;&gt;"",INDEX(職員マスタ!$B$6:$B$405,$AP1698)&lt;&gt;"",SUBSTITUTE(SUBSTITUTE($H1698," ","")," ","")&lt;&gt;SUBSTITUTE(SUBSTITUTE(INDEX(職員マスタ!$B$6:$B$405,$AP1698)," ","")," ","")),"氏名がマスタと相違／","")&amp;IF(AND($Q1698&lt;&gt;"",INDEX(職員マスタ!$E$6:$E$405,$AP1698)&lt;&gt;"",$Q1698&lt;&gt;INDEX(職員マスタ!$E$6:$E$405,$AP1698)),"子の生年月日がマスタと相違／","")&amp;IF(AND($L1698&lt;&gt;"",INDEX(職員マスタ!$G$6:$G$405,$AP1698)&lt;&gt;"",$L1698&lt;&gt;INDEX(職員マスタ!$G$6:$G$405,$AP1698)),"時短開始日がマスタと相違／","")&amp;IF(AND($M1698&lt;&gt;"",INDEX(職員マスタ!$H$6:$H$405,$AP1698)&lt;&gt;"",$M1698&lt;&gt;INDEX(職員マスタ!$H$6:$H$405,$AP1698)),"時短終了日がマスタと相違／","")))&amp;IF(AND($B1698&lt;&gt;"",$E1698=""),"報酬額が未入力／","")&amp;IF(N($U1698)&gt;0,"申請書に入力エラーが残っています／","")&amp;IF(AND($B1698&lt;&gt;"",$AQ1698&lt;&gt;""),IF(COUNTIFS($B$6:$B$3005,$B1698,$C$6:$C$3005,$C1698,$D$6:$D$3005,$D1698)&gt;1,"同じ月の請求が重複しています／",""),"")&amp;IF(AND(N($E1698)&gt;0,$AB1698&lt;&gt;"",$AB1698&lt;&gt;"×",$AE1698=0,$AD1698=""),"計算額が下限以下のため不支給／",""))</f>
        <v/>
      </c>
      <c r="AN1698" s="12" t="n"/>
      <c r="AO1698" s="14">
        <f>IF($AF1698="保留中",COUNTIF($AF$6:$AF1698,"保留中"),"")</f>
        <v/>
      </c>
      <c r="AP1698" s="14">
        <f>IF($AQ1698="","",IF(SUMPRODUCT(MAX((職員マスタ!$A$6:$A$405=$B1698)*(((職員マスタ!$G$6:$G$405="")+(職員マスタ!$G$6:$G$405&lt;=EOMONTH($AQ1698,0)))&gt;0)*(((職員マスタ!$H$6:$H$405="")+(職員マスタ!$H$6:$H$405&gt;=$AQ1698))&gt;0)*(ROW(職員マスタ!$A$6:$A$405)-5)))&gt;0,SUMPRODUCT(MAX((職員マスタ!$A$6:$A$405=$B1698)*(((職員マスタ!$G$6:$G$405="")+(職員マスタ!$G$6:$G$405&lt;=EOMONTH($AQ1698,0)))&gt;0)*(((職員マスタ!$H$6:$H$405="")+(職員マスタ!$H$6:$H$405&gt;=$AQ1698))&gt;0)*(ROW(職員マスタ!$A$6:$A$405)-5))),IFERROR(MATCH($B1698,職員マスタ!$A$6:$A$405,0),"")))</f>
        <v/>
      </c>
      <c r="AQ1698" s="16">
        <f>IF(OR($B1698="",$C1698="",$D1698=""),"",DATE($C1698+2018,$D1698,1))</f>
        <v/>
      </c>
    </row>
    <row r="1699">
      <c r="A1699" s="11" t="n"/>
      <c r="B1699" s="12" t="n"/>
      <c r="C1699" s="12" t="n"/>
      <c r="D1699" s="12" t="n"/>
      <c r="E1699" s="13" t="n"/>
      <c r="F1699" s="12" t="n"/>
      <c r="G1699" s="13" t="n"/>
      <c r="H1699" s="12" t="n"/>
      <c r="I1699" s="12" t="n"/>
      <c r="J1699" s="12" t="n"/>
      <c r="K1699" s="12" t="n"/>
      <c r="L1699" s="11" t="n"/>
      <c r="M1699" s="11" t="n"/>
      <c r="N1699" s="11" t="n"/>
      <c r="O1699" s="11" t="n"/>
      <c r="P1699" s="12" t="n"/>
      <c r="Q1699" s="11" t="n"/>
      <c r="R1699" s="12" t="n"/>
      <c r="S1699" s="11" t="n"/>
      <c r="T1699" s="12" t="n"/>
      <c r="U1699" s="12" t="n"/>
      <c r="V1699" s="12" t="n"/>
      <c r="W1699" s="13" t="n"/>
      <c r="X1699" s="14">
        <f>IF($AP1699="",IF($B1699="","",$H1699),IF(INDEX(職員マスタ!$B$6:$B$405,$AP1699)="",$H1699,INDEX(職員マスタ!$B$6:$B$405,$AP1699)))</f>
        <v/>
      </c>
      <c r="Y1699" s="14">
        <f>IF($AP1699="",IF($B1699="","",$R1699),IF(INDEX(職員マスタ!$C$6:$C$405,$AP1699)="",$R1699,INDEX(職員マスタ!$C$6:$C$405,$AP1699)))</f>
        <v/>
      </c>
      <c r="Z1699" s="14">
        <f>IF($AQ1699="","","R"&amp;$C1699&amp;"."&amp;$D1699)</f>
        <v/>
      </c>
      <c r="AA1699" s="15">
        <f>IF(IF($AP1699="",FALSE,INDEX(職員マスタ!$K$6:$K$405,$AP1699)&lt;&gt;""),INDEX(職員マスタ!$K$6:$K$405,$AP1699),IF(N($W1699)&gt;0,$W1699,""))</f>
        <v/>
      </c>
      <c r="AB1699" s="14">
        <f>IF(OR($E1699="",$AA1699=""),"",IF($E1699&gt;=$AA1699,"×",IF($E1699&gt;=$AA1699*設定!$C$5,"△","○")))</f>
        <v/>
      </c>
      <c r="AC1699" s="15">
        <f>IF($AB1699="","",IF($AB1699="×",0,IF($AB1699="○",ROUNDDOWN($E1699*設定!$C$4,0),ROUNDDOWN($E1699*ROUND((9*$AA1699-9*$E1699)/(10*$E1699),4),0))))</f>
        <v/>
      </c>
      <c r="AD1699" s="13" t="n"/>
      <c r="AE1699" s="15">
        <f>IF($B1699="","",IF($AD1699&lt;&gt;"",$AD1699,IF($AC1699="","",IF($AC1699&lt;=設定!$C$3,0,$AC1699))))</f>
        <v/>
      </c>
      <c r="AF1699" s="14">
        <f>IF($B1699="","",IF(AND($AG1699&lt;&gt;"",$AI1699="",$AL1699=""),"保留中",IF($AL1699&lt;&gt;"",IF(N($AE1699)&gt;0,"支給済","不支給"),IF($AE1699="","要確認",IF($AE1699=0,"不支給","未処理")))))</f>
        <v/>
      </c>
      <c r="AG1699" s="12" t="n"/>
      <c r="AH1699" s="11" t="n"/>
      <c r="AI1699" s="11" t="n"/>
      <c r="AJ1699" s="11" t="n"/>
      <c r="AK1699" s="14">
        <f>IF(AND($AF1699="保留中",$AH1699&lt;&gt;""),TODAY()-$AH1699,"")</f>
        <v/>
      </c>
      <c r="AL1699" s="12" t="n"/>
      <c r="AM1699" s="14">
        <f>IF($B1699="","",IF($AQ1699="","対象年月が未入力／","")&amp;IF($B1699="","",IF($AP1699="","職員マスタに未登録の職員番号／",IF($AA1699="","標準報酬月額が未登録／","")&amp;IF(AND($AQ1699&lt;&gt;"",OR(AND(INDEX(職員マスタ!$G$6:$G$405,$AP1699)&lt;&gt;"",INDEX(職員マスタ!$G$6:$G$405,$AP1699)&gt;EOMONTH($AQ1699,0)),AND(INDEX(職員マスタ!$H$6:$H$405,$AP1699)&lt;&gt;"",INDEX(職員マスタ!$H$6:$H$405,$AP1699)&lt;$AQ1699))),"対象月が時短期間外／","")&amp;IF(AND(INDEX(職員マスタ!$K$6:$K$405,$AP1699)&lt;&gt;"",N($W1699)&gt;0,INDEX(職員マスタ!$K$6:$K$405,$AP1699)&lt;&gt;$W1699),"標準報酬月額が申請書と相違（台帳"&amp;TEXT(INDEX(職員マスタ!$K$6:$K$405,$AP1699),"#,##0")&amp;"円／申請書"&amp;TEXT($W1699,"#,##0")&amp;"円）／","")&amp;IF(AND(INDEX(職員マスタ!$F$6:$F$405,$AP1699)&lt;&gt;"",$AQ1699&lt;&gt;"",INDEX(職員マスタ!$F$6:$F$405,$AP1699)&lt;$AQ1699),"対象月に子が2歳到達済／","")&amp;IF(AND($H1699&lt;&gt;"",INDEX(職員マスタ!$B$6:$B$405,$AP1699)&lt;&gt;"",SUBSTITUTE(SUBSTITUTE($H1699," ","")," ","")&lt;&gt;SUBSTITUTE(SUBSTITUTE(INDEX(職員マスタ!$B$6:$B$405,$AP1699)," ","")," ","")),"氏名がマスタと相違／","")&amp;IF(AND($Q1699&lt;&gt;"",INDEX(職員マスタ!$E$6:$E$405,$AP1699)&lt;&gt;"",$Q1699&lt;&gt;INDEX(職員マスタ!$E$6:$E$405,$AP1699)),"子の生年月日がマスタと相違／","")&amp;IF(AND($L1699&lt;&gt;"",INDEX(職員マスタ!$G$6:$G$405,$AP1699)&lt;&gt;"",$L1699&lt;&gt;INDEX(職員マスタ!$G$6:$G$405,$AP1699)),"時短開始日がマスタと相違／","")&amp;IF(AND($M1699&lt;&gt;"",INDEX(職員マスタ!$H$6:$H$405,$AP1699)&lt;&gt;"",$M1699&lt;&gt;INDEX(職員マスタ!$H$6:$H$405,$AP1699)),"時短終了日がマスタと相違／","")))&amp;IF(AND($B1699&lt;&gt;"",$E1699=""),"報酬額が未入力／","")&amp;IF(N($U1699)&gt;0,"申請書に入力エラーが残っています／","")&amp;IF(AND($B1699&lt;&gt;"",$AQ1699&lt;&gt;""),IF(COUNTIFS($B$6:$B$3005,$B1699,$C$6:$C$3005,$C1699,$D$6:$D$3005,$D1699)&gt;1,"同じ月の請求が重複しています／",""),"")&amp;IF(AND(N($E1699)&gt;0,$AB1699&lt;&gt;"",$AB1699&lt;&gt;"×",$AE1699=0,$AD1699=""),"計算額が下限以下のため不支給／",""))</f>
        <v/>
      </c>
      <c r="AN1699" s="12" t="n"/>
      <c r="AO1699" s="14">
        <f>IF($AF1699="保留中",COUNTIF($AF$6:$AF1699,"保留中"),"")</f>
        <v/>
      </c>
      <c r="AP1699" s="14">
        <f>IF($AQ1699="","",IF(SUMPRODUCT(MAX((職員マスタ!$A$6:$A$405=$B1699)*(((職員マスタ!$G$6:$G$405="")+(職員マスタ!$G$6:$G$405&lt;=EOMONTH($AQ1699,0)))&gt;0)*(((職員マスタ!$H$6:$H$405="")+(職員マスタ!$H$6:$H$405&gt;=$AQ1699))&gt;0)*(ROW(職員マスタ!$A$6:$A$405)-5)))&gt;0,SUMPRODUCT(MAX((職員マスタ!$A$6:$A$405=$B1699)*(((職員マスタ!$G$6:$G$405="")+(職員マスタ!$G$6:$G$405&lt;=EOMONTH($AQ1699,0)))&gt;0)*(((職員マスタ!$H$6:$H$405="")+(職員マスタ!$H$6:$H$405&gt;=$AQ1699))&gt;0)*(ROW(職員マスタ!$A$6:$A$405)-5))),IFERROR(MATCH($B1699,職員マスタ!$A$6:$A$405,0),"")))</f>
        <v/>
      </c>
      <c r="AQ1699" s="16">
        <f>IF(OR($B1699="",$C1699="",$D1699=""),"",DATE($C1699+2018,$D1699,1))</f>
        <v/>
      </c>
    </row>
    <row r="1700">
      <c r="A1700" s="11" t="n"/>
      <c r="B1700" s="12" t="n"/>
      <c r="C1700" s="12" t="n"/>
      <c r="D1700" s="12" t="n"/>
      <c r="E1700" s="13" t="n"/>
      <c r="F1700" s="12" t="n"/>
      <c r="G1700" s="13" t="n"/>
      <c r="H1700" s="12" t="n"/>
      <c r="I1700" s="12" t="n"/>
      <c r="J1700" s="12" t="n"/>
      <c r="K1700" s="12" t="n"/>
      <c r="L1700" s="11" t="n"/>
      <c r="M1700" s="11" t="n"/>
      <c r="N1700" s="11" t="n"/>
      <c r="O1700" s="11" t="n"/>
      <c r="P1700" s="12" t="n"/>
      <c r="Q1700" s="11" t="n"/>
      <c r="R1700" s="12" t="n"/>
      <c r="S1700" s="11" t="n"/>
      <c r="T1700" s="12" t="n"/>
      <c r="U1700" s="12" t="n"/>
      <c r="V1700" s="12" t="n"/>
      <c r="W1700" s="13" t="n"/>
      <c r="X1700" s="14">
        <f>IF($AP1700="",IF($B1700="","",$H1700),IF(INDEX(職員マスタ!$B$6:$B$405,$AP1700)="",$H1700,INDEX(職員マスタ!$B$6:$B$405,$AP1700)))</f>
        <v/>
      </c>
      <c r="Y1700" s="14">
        <f>IF($AP1700="",IF($B1700="","",$R1700),IF(INDEX(職員マスタ!$C$6:$C$405,$AP1700)="",$R1700,INDEX(職員マスタ!$C$6:$C$405,$AP1700)))</f>
        <v/>
      </c>
      <c r="Z1700" s="14">
        <f>IF($AQ1700="","","R"&amp;$C1700&amp;"."&amp;$D1700)</f>
        <v/>
      </c>
      <c r="AA1700" s="15">
        <f>IF(IF($AP1700="",FALSE,INDEX(職員マスタ!$K$6:$K$405,$AP1700)&lt;&gt;""),INDEX(職員マスタ!$K$6:$K$405,$AP1700),IF(N($W1700)&gt;0,$W1700,""))</f>
        <v/>
      </c>
      <c r="AB1700" s="14">
        <f>IF(OR($E1700="",$AA1700=""),"",IF($E1700&gt;=$AA1700,"×",IF($E1700&gt;=$AA1700*設定!$C$5,"△","○")))</f>
        <v/>
      </c>
      <c r="AC1700" s="15">
        <f>IF($AB1700="","",IF($AB1700="×",0,IF($AB1700="○",ROUNDDOWN($E1700*設定!$C$4,0),ROUNDDOWN($E1700*ROUND((9*$AA1700-9*$E1700)/(10*$E1700),4),0))))</f>
        <v/>
      </c>
      <c r="AD1700" s="13" t="n"/>
      <c r="AE1700" s="15">
        <f>IF($B1700="","",IF($AD1700&lt;&gt;"",$AD1700,IF($AC1700="","",IF($AC1700&lt;=設定!$C$3,0,$AC1700))))</f>
        <v/>
      </c>
      <c r="AF1700" s="14">
        <f>IF($B1700="","",IF(AND($AG1700&lt;&gt;"",$AI1700="",$AL1700=""),"保留中",IF($AL1700&lt;&gt;"",IF(N($AE1700)&gt;0,"支給済","不支給"),IF($AE1700="","要確認",IF($AE1700=0,"不支給","未処理")))))</f>
        <v/>
      </c>
      <c r="AG1700" s="12" t="n"/>
      <c r="AH1700" s="11" t="n"/>
      <c r="AI1700" s="11" t="n"/>
      <c r="AJ1700" s="11" t="n"/>
      <c r="AK1700" s="14">
        <f>IF(AND($AF1700="保留中",$AH1700&lt;&gt;""),TODAY()-$AH1700,"")</f>
        <v/>
      </c>
      <c r="AL1700" s="12" t="n"/>
      <c r="AM1700" s="14">
        <f>IF($B1700="","",IF($AQ1700="","対象年月が未入力／","")&amp;IF($B1700="","",IF($AP1700="","職員マスタに未登録の職員番号／",IF($AA1700="","標準報酬月額が未登録／","")&amp;IF(AND($AQ1700&lt;&gt;"",OR(AND(INDEX(職員マスタ!$G$6:$G$405,$AP1700)&lt;&gt;"",INDEX(職員マスタ!$G$6:$G$405,$AP1700)&gt;EOMONTH($AQ1700,0)),AND(INDEX(職員マスタ!$H$6:$H$405,$AP1700)&lt;&gt;"",INDEX(職員マスタ!$H$6:$H$405,$AP1700)&lt;$AQ1700))),"対象月が時短期間外／","")&amp;IF(AND(INDEX(職員マスタ!$K$6:$K$405,$AP1700)&lt;&gt;"",N($W1700)&gt;0,INDEX(職員マスタ!$K$6:$K$405,$AP1700)&lt;&gt;$W1700),"標準報酬月額が申請書と相違（台帳"&amp;TEXT(INDEX(職員マスタ!$K$6:$K$405,$AP1700),"#,##0")&amp;"円／申請書"&amp;TEXT($W1700,"#,##0")&amp;"円）／","")&amp;IF(AND(INDEX(職員マスタ!$F$6:$F$405,$AP1700)&lt;&gt;"",$AQ1700&lt;&gt;"",INDEX(職員マスタ!$F$6:$F$405,$AP1700)&lt;$AQ1700),"対象月に子が2歳到達済／","")&amp;IF(AND($H1700&lt;&gt;"",INDEX(職員マスタ!$B$6:$B$405,$AP1700)&lt;&gt;"",SUBSTITUTE(SUBSTITUTE($H1700," ","")," ","")&lt;&gt;SUBSTITUTE(SUBSTITUTE(INDEX(職員マスタ!$B$6:$B$405,$AP1700)," ","")," ","")),"氏名がマスタと相違／","")&amp;IF(AND($Q1700&lt;&gt;"",INDEX(職員マスタ!$E$6:$E$405,$AP1700)&lt;&gt;"",$Q1700&lt;&gt;INDEX(職員マスタ!$E$6:$E$405,$AP1700)),"子の生年月日がマスタと相違／","")&amp;IF(AND($L1700&lt;&gt;"",INDEX(職員マスタ!$G$6:$G$405,$AP1700)&lt;&gt;"",$L1700&lt;&gt;INDEX(職員マスタ!$G$6:$G$405,$AP1700)),"時短開始日がマスタと相違／","")&amp;IF(AND($M1700&lt;&gt;"",INDEX(職員マスタ!$H$6:$H$405,$AP1700)&lt;&gt;"",$M1700&lt;&gt;INDEX(職員マスタ!$H$6:$H$405,$AP1700)),"時短終了日がマスタと相違／","")))&amp;IF(AND($B1700&lt;&gt;"",$E1700=""),"報酬額が未入力／","")&amp;IF(N($U1700)&gt;0,"申請書に入力エラーが残っています／","")&amp;IF(AND($B1700&lt;&gt;"",$AQ1700&lt;&gt;""),IF(COUNTIFS($B$6:$B$3005,$B1700,$C$6:$C$3005,$C1700,$D$6:$D$3005,$D1700)&gt;1,"同じ月の請求が重複しています／",""),"")&amp;IF(AND(N($E1700)&gt;0,$AB1700&lt;&gt;"",$AB1700&lt;&gt;"×",$AE1700=0,$AD1700=""),"計算額が下限以下のため不支給／",""))</f>
        <v/>
      </c>
      <c r="AN1700" s="12" t="n"/>
      <c r="AO1700" s="14">
        <f>IF($AF1700="保留中",COUNTIF($AF$6:$AF1700,"保留中"),"")</f>
        <v/>
      </c>
      <c r="AP1700" s="14">
        <f>IF($AQ1700="","",IF(SUMPRODUCT(MAX((職員マスタ!$A$6:$A$405=$B1700)*(((職員マスタ!$G$6:$G$405="")+(職員マスタ!$G$6:$G$405&lt;=EOMONTH($AQ1700,0)))&gt;0)*(((職員マスタ!$H$6:$H$405="")+(職員マスタ!$H$6:$H$405&gt;=$AQ1700))&gt;0)*(ROW(職員マスタ!$A$6:$A$405)-5)))&gt;0,SUMPRODUCT(MAX((職員マスタ!$A$6:$A$405=$B1700)*(((職員マスタ!$G$6:$G$405="")+(職員マスタ!$G$6:$G$405&lt;=EOMONTH($AQ1700,0)))&gt;0)*(((職員マスタ!$H$6:$H$405="")+(職員マスタ!$H$6:$H$405&gt;=$AQ1700))&gt;0)*(ROW(職員マスタ!$A$6:$A$405)-5))),IFERROR(MATCH($B1700,職員マスタ!$A$6:$A$405,0),"")))</f>
        <v/>
      </c>
      <c r="AQ1700" s="16">
        <f>IF(OR($B1700="",$C1700="",$D1700=""),"",DATE($C1700+2018,$D1700,1))</f>
        <v/>
      </c>
    </row>
    <row r="1701">
      <c r="A1701" s="11" t="n"/>
      <c r="B1701" s="12" t="n"/>
      <c r="C1701" s="12" t="n"/>
      <c r="D1701" s="12" t="n"/>
      <c r="E1701" s="13" t="n"/>
      <c r="F1701" s="12" t="n"/>
      <c r="G1701" s="13" t="n"/>
      <c r="H1701" s="12" t="n"/>
      <c r="I1701" s="12" t="n"/>
      <c r="J1701" s="12" t="n"/>
      <c r="K1701" s="12" t="n"/>
      <c r="L1701" s="11" t="n"/>
      <c r="M1701" s="11" t="n"/>
      <c r="N1701" s="11" t="n"/>
      <c r="O1701" s="11" t="n"/>
      <c r="P1701" s="12" t="n"/>
      <c r="Q1701" s="11" t="n"/>
      <c r="R1701" s="12" t="n"/>
      <c r="S1701" s="11" t="n"/>
      <c r="T1701" s="12" t="n"/>
      <c r="U1701" s="12" t="n"/>
      <c r="V1701" s="12" t="n"/>
      <c r="W1701" s="13" t="n"/>
      <c r="X1701" s="14">
        <f>IF($AP1701="",IF($B1701="","",$H1701),IF(INDEX(職員マスタ!$B$6:$B$405,$AP1701)="",$H1701,INDEX(職員マスタ!$B$6:$B$405,$AP1701)))</f>
        <v/>
      </c>
      <c r="Y1701" s="14">
        <f>IF($AP1701="",IF($B1701="","",$R1701),IF(INDEX(職員マスタ!$C$6:$C$405,$AP1701)="",$R1701,INDEX(職員マスタ!$C$6:$C$405,$AP1701)))</f>
        <v/>
      </c>
      <c r="Z1701" s="14">
        <f>IF($AQ1701="","","R"&amp;$C1701&amp;"."&amp;$D1701)</f>
        <v/>
      </c>
      <c r="AA1701" s="15">
        <f>IF(IF($AP1701="",FALSE,INDEX(職員マスタ!$K$6:$K$405,$AP1701)&lt;&gt;""),INDEX(職員マスタ!$K$6:$K$405,$AP1701),IF(N($W1701)&gt;0,$W1701,""))</f>
        <v/>
      </c>
      <c r="AB1701" s="14">
        <f>IF(OR($E1701="",$AA1701=""),"",IF($E1701&gt;=$AA1701,"×",IF($E1701&gt;=$AA1701*設定!$C$5,"△","○")))</f>
        <v/>
      </c>
      <c r="AC1701" s="15">
        <f>IF($AB1701="","",IF($AB1701="×",0,IF($AB1701="○",ROUNDDOWN($E1701*設定!$C$4,0),ROUNDDOWN($E1701*ROUND((9*$AA1701-9*$E1701)/(10*$E1701),4),0))))</f>
        <v/>
      </c>
      <c r="AD1701" s="13" t="n"/>
      <c r="AE1701" s="15">
        <f>IF($B1701="","",IF($AD1701&lt;&gt;"",$AD1701,IF($AC1701="","",IF($AC1701&lt;=設定!$C$3,0,$AC1701))))</f>
        <v/>
      </c>
      <c r="AF1701" s="14">
        <f>IF($B1701="","",IF(AND($AG1701&lt;&gt;"",$AI1701="",$AL1701=""),"保留中",IF($AL1701&lt;&gt;"",IF(N($AE1701)&gt;0,"支給済","不支給"),IF($AE1701="","要確認",IF($AE1701=0,"不支給","未処理")))))</f>
        <v/>
      </c>
      <c r="AG1701" s="12" t="n"/>
      <c r="AH1701" s="11" t="n"/>
      <c r="AI1701" s="11" t="n"/>
      <c r="AJ1701" s="11" t="n"/>
      <c r="AK1701" s="14">
        <f>IF(AND($AF1701="保留中",$AH1701&lt;&gt;""),TODAY()-$AH1701,"")</f>
        <v/>
      </c>
      <c r="AL1701" s="12" t="n"/>
      <c r="AM1701" s="14">
        <f>IF($B1701="","",IF($AQ1701="","対象年月が未入力／","")&amp;IF($B1701="","",IF($AP1701="","職員マスタに未登録の職員番号／",IF($AA1701="","標準報酬月額が未登録／","")&amp;IF(AND($AQ1701&lt;&gt;"",OR(AND(INDEX(職員マスタ!$G$6:$G$405,$AP1701)&lt;&gt;"",INDEX(職員マスタ!$G$6:$G$405,$AP1701)&gt;EOMONTH($AQ1701,0)),AND(INDEX(職員マスタ!$H$6:$H$405,$AP1701)&lt;&gt;"",INDEX(職員マスタ!$H$6:$H$405,$AP1701)&lt;$AQ1701))),"対象月が時短期間外／","")&amp;IF(AND(INDEX(職員マスタ!$K$6:$K$405,$AP1701)&lt;&gt;"",N($W1701)&gt;0,INDEX(職員マスタ!$K$6:$K$405,$AP1701)&lt;&gt;$W1701),"標準報酬月額が申請書と相違（台帳"&amp;TEXT(INDEX(職員マスタ!$K$6:$K$405,$AP1701),"#,##0")&amp;"円／申請書"&amp;TEXT($W1701,"#,##0")&amp;"円）／","")&amp;IF(AND(INDEX(職員マスタ!$F$6:$F$405,$AP1701)&lt;&gt;"",$AQ1701&lt;&gt;"",INDEX(職員マスタ!$F$6:$F$405,$AP1701)&lt;$AQ1701),"対象月に子が2歳到達済／","")&amp;IF(AND($H1701&lt;&gt;"",INDEX(職員マスタ!$B$6:$B$405,$AP1701)&lt;&gt;"",SUBSTITUTE(SUBSTITUTE($H1701," ","")," ","")&lt;&gt;SUBSTITUTE(SUBSTITUTE(INDEX(職員マスタ!$B$6:$B$405,$AP1701)," ","")," ","")),"氏名がマスタと相違／","")&amp;IF(AND($Q1701&lt;&gt;"",INDEX(職員マスタ!$E$6:$E$405,$AP1701)&lt;&gt;"",$Q1701&lt;&gt;INDEX(職員マスタ!$E$6:$E$405,$AP1701)),"子の生年月日がマスタと相違／","")&amp;IF(AND($L1701&lt;&gt;"",INDEX(職員マスタ!$G$6:$G$405,$AP1701)&lt;&gt;"",$L1701&lt;&gt;INDEX(職員マスタ!$G$6:$G$405,$AP1701)),"時短開始日がマスタと相違／","")&amp;IF(AND($M1701&lt;&gt;"",INDEX(職員マスタ!$H$6:$H$405,$AP1701)&lt;&gt;"",$M1701&lt;&gt;INDEX(職員マスタ!$H$6:$H$405,$AP1701)),"時短終了日がマスタと相違／","")))&amp;IF(AND($B1701&lt;&gt;"",$E1701=""),"報酬額が未入力／","")&amp;IF(N($U1701)&gt;0,"申請書に入力エラーが残っています／","")&amp;IF(AND($B1701&lt;&gt;"",$AQ1701&lt;&gt;""),IF(COUNTIFS($B$6:$B$3005,$B1701,$C$6:$C$3005,$C1701,$D$6:$D$3005,$D1701)&gt;1,"同じ月の請求が重複しています／",""),"")&amp;IF(AND(N($E1701)&gt;0,$AB1701&lt;&gt;"",$AB1701&lt;&gt;"×",$AE1701=0,$AD1701=""),"計算額が下限以下のため不支給／",""))</f>
        <v/>
      </c>
      <c r="AN1701" s="12" t="n"/>
      <c r="AO1701" s="14">
        <f>IF($AF1701="保留中",COUNTIF($AF$6:$AF1701,"保留中"),"")</f>
        <v/>
      </c>
      <c r="AP1701" s="14">
        <f>IF($AQ1701="","",IF(SUMPRODUCT(MAX((職員マスタ!$A$6:$A$405=$B1701)*(((職員マスタ!$G$6:$G$405="")+(職員マスタ!$G$6:$G$405&lt;=EOMONTH($AQ1701,0)))&gt;0)*(((職員マスタ!$H$6:$H$405="")+(職員マスタ!$H$6:$H$405&gt;=$AQ1701))&gt;0)*(ROW(職員マスタ!$A$6:$A$405)-5)))&gt;0,SUMPRODUCT(MAX((職員マスタ!$A$6:$A$405=$B1701)*(((職員マスタ!$G$6:$G$405="")+(職員マスタ!$G$6:$G$405&lt;=EOMONTH($AQ1701,0)))&gt;0)*(((職員マスタ!$H$6:$H$405="")+(職員マスタ!$H$6:$H$405&gt;=$AQ1701))&gt;0)*(ROW(職員マスタ!$A$6:$A$405)-5))),IFERROR(MATCH($B1701,職員マスタ!$A$6:$A$405,0),"")))</f>
        <v/>
      </c>
      <c r="AQ1701" s="16">
        <f>IF(OR($B1701="",$C1701="",$D1701=""),"",DATE($C1701+2018,$D1701,1))</f>
        <v/>
      </c>
    </row>
    <row r="1702">
      <c r="A1702" s="11" t="n"/>
      <c r="B1702" s="12" t="n"/>
      <c r="C1702" s="12" t="n"/>
      <c r="D1702" s="12" t="n"/>
      <c r="E1702" s="13" t="n"/>
      <c r="F1702" s="12" t="n"/>
      <c r="G1702" s="13" t="n"/>
      <c r="H1702" s="12" t="n"/>
      <c r="I1702" s="12" t="n"/>
      <c r="J1702" s="12" t="n"/>
      <c r="K1702" s="12" t="n"/>
      <c r="L1702" s="11" t="n"/>
      <c r="M1702" s="11" t="n"/>
      <c r="N1702" s="11" t="n"/>
      <c r="O1702" s="11" t="n"/>
      <c r="P1702" s="12" t="n"/>
      <c r="Q1702" s="11" t="n"/>
      <c r="R1702" s="12" t="n"/>
      <c r="S1702" s="11" t="n"/>
      <c r="T1702" s="12" t="n"/>
      <c r="U1702" s="12" t="n"/>
      <c r="V1702" s="12" t="n"/>
      <c r="W1702" s="13" t="n"/>
      <c r="X1702" s="14">
        <f>IF($AP1702="",IF($B1702="","",$H1702),IF(INDEX(職員マスタ!$B$6:$B$405,$AP1702)="",$H1702,INDEX(職員マスタ!$B$6:$B$405,$AP1702)))</f>
        <v/>
      </c>
      <c r="Y1702" s="14">
        <f>IF($AP1702="",IF($B1702="","",$R1702),IF(INDEX(職員マスタ!$C$6:$C$405,$AP1702)="",$R1702,INDEX(職員マスタ!$C$6:$C$405,$AP1702)))</f>
        <v/>
      </c>
      <c r="Z1702" s="14">
        <f>IF($AQ1702="","","R"&amp;$C1702&amp;"."&amp;$D1702)</f>
        <v/>
      </c>
      <c r="AA1702" s="15">
        <f>IF(IF($AP1702="",FALSE,INDEX(職員マスタ!$K$6:$K$405,$AP1702)&lt;&gt;""),INDEX(職員マスタ!$K$6:$K$405,$AP1702),IF(N($W1702)&gt;0,$W1702,""))</f>
        <v/>
      </c>
      <c r="AB1702" s="14">
        <f>IF(OR($E1702="",$AA1702=""),"",IF($E1702&gt;=$AA1702,"×",IF($E1702&gt;=$AA1702*設定!$C$5,"△","○")))</f>
        <v/>
      </c>
      <c r="AC1702" s="15">
        <f>IF($AB1702="","",IF($AB1702="×",0,IF($AB1702="○",ROUNDDOWN($E1702*設定!$C$4,0),ROUNDDOWN($E1702*ROUND((9*$AA1702-9*$E1702)/(10*$E1702),4),0))))</f>
        <v/>
      </c>
      <c r="AD1702" s="13" t="n"/>
      <c r="AE1702" s="15">
        <f>IF($B1702="","",IF($AD1702&lt;&gt;"",$AD1702,IF($AC1702="","",IF($AC1702&lt;=設定!$C$3,0,$AC1702))))</f>
        <v/>
      </c>
      <c r="AF1702" s="14">
        <f>IF($B1702="","",IF(AND($AG1702&lt;&gt;"",$AI1702="",$AL1702=""),"保留中",IF($AL1702&lt;&gt;"",IF(N($AE1702)&gt;0,"支給済","不支給"),IF($AE1702="","要確認",IF($AE1702=0,"不支給","未処理")))))</f>
        <v/>
      </c>
      <c r="AG1702" s="12" t="n"/>
      <c r="AH1702" s="11" t="n"/>
      <c r="AI1702" s="11" t="n"/>
      <c r="AJ1702" s="11" t="n"/>
      <c r="AK1702" s="14">
        <f>IF(AND($AF1702="保留中",$AH1702&lt;&gt;""),TODAY()-$AH1702,"")</f>
        <v/>
      </c>
      <c r="AL1702" s="12" t="n"/>
      <c r="AM1702" s="14">
        <f>IF($B1702="","",IF($AQ1702="","対象年月が未入力／","")&amp;IF($B1702="","",IF($AP1702="","職員マスタに未登録の職員番号／",IF($AA1702="","標準報酬月額が未登録／","")&amp;IF(AND($AQ1702&lt;&gt;"",OR(AND(INDEX(職員マスタ!$G$6:$G$405,$AP1702)&lt;&gt;"",INDEX(職員マスタ!$G$6:$G$405,$AP1702)&gt;EOMONTH($AQ1702,0)),AND(INDEX(職員マスタ!$H$6:$H$405,$AP1702)&lt;&gt;"",INDEX(職員マスタ!$H$6:$H$405,$AP1702)&lt;$AQ1702))),"対象月が時短期間外／","")&amp;IF(AND(INDEX(職員マスタ!$K$6:$K$405,$AP1702)&lt;&gt;"",N($W1702)&gt;0,INDEX(職員マスタ!$K$6:$K$405,$AP1702)&lt;&gt;$W1702),"標準報酬月額が申請書と相違（台帳"&amp;TEXT(INDEX(職員マスタ!$K$6:$K$405,$AP1702),"#,##0")&amp;"円／申請書"&amp;TEXT($W1702,"#,##0")&amp;"円）／","")&amp;IF(AND(INDEX(職員マスタ!$F$6:$F$405,$AP1702)&lt;&gt;"",$AQ1702&lt;&gt;"",INDEX(職員マスタ!$F$6:$F$405,$AP1702)&lt;$AQ1702),"対象月に子が2歳到達済／","")&amp;IF(AND($H1702&lt;&gt;"",INDEX(職員マスタ!$B$6:$B$405,$AP1702)&lt;&gt;"",SUBSTITUTE(SUBSTITUTE($H1702," ","")," ","")&lt;&gt;SUBSTITUTE(SUBSTITUTE(INDEX(職員マスタ!$B$6:$B$405,$AP1702)," ","")," ","")),"氏名がマスタと相違／","")&amp;IF(AND($Q1702&lt;&gt;"",INDEX(職員マスタ!$E$6:$E$405,$AP1702)&lt;&gt;"",$Q1702&lt;&gt;INDEX(職員マスタ!$E$6:$E$405,$AP1702)),"子の生年月日がマスタと相違／","")&amp;IF(AND($L1702&lt;&gt;"",INDEX(職員マスタ!$G$6:$G$405,$AP1702)&lt;&gt;"",$L1702&lt;&gt;INDEX(職員マスタ!$G$6:$G$405,$AP1702)),"時短開始日がマスタと相違／","")&amp;IF(AND($M1702&lt;&gt;"",INDEX(職員マスタ!$H$6:$H$405,$AP1702)&lt;&gt;"",$M1702&lt;&gt;INDEX(職員マスタ!$H$6:$H$405,$AP1702)),"時短終了日がマスタと相違／","")))&amp;IF(AND($B1702&lt;&gt;"",$E1702=""),"報酬額が未入力／","")&amp;IF(N($U1702)&gt;0,"申請書に入力エラーが残っています／","")&amp;IF(AND($B1702&lt;&gt;"",$AQ1702&lt;&gt;""),IF(COUNTIFS($B$6:$B$3005,$B1702,$C$6:$C$3005,$C1702,$D$6:$D$3005,$D1702)&gt;1,"同じ月の請求が重複しています／",""),"")&amp;IF(AND(N($E1702)&gt;0,$AB1702&lt;&gt;"",$AB1702&lt;&gt;"×",$AE1702=0,$AD1702=""),"計算額が下限以下のため不支給／",""))</f>
        <v/>
      </c>
      <c r="AN1702" s="12" t="n"/>
      <c r="AO1702" s="14">
        <f>IF($AF1702="保留中",COUNTIF($AF$6:$AF1702,"保留中"),"")</f>
        <v/>
      </c>
      <c r="AP1702" s="14">
        <f>IF($AQ1702="","",IF(SUMPRODUCT(MAX((職員マスタ!$A$6:$A$405=$B1702)*(((職員マスタ!$G$6:$G$405="")+(職員マスタ!$G$6:$G$405&lt;=EOMONTH($AQ1702,0)))&gt;0)*(((職員マスタ!$H$6:$H$405="")+(職員マスタ!$H$6:$H$405&gt;=$AQ1702))&gt;0)*(ROW(職員マスタ!$A$6:$A$405)-5)))&gt;0,SUMPRODUCT(MAX((職員マスタ!$A$6:$A$405=$B1702)*(((職員マスタ!$G$6:$G$405="")+(職員マスタ!$G$6:$G$405&lt;=EOMONTH($AQ1702,0)))&gt;0)*(((職員マスタ!$H$6:$H$405="")+(職員マスタ!$H$6:$H$405&gt;=$AQ1702))&gt;0)*(ROW(職員マスタ!$A$6:$A$405)-5))),IFERROR(MATCH($B1702,職員マスタ!$A$6:$A$405,0),"")))</f>
        <v/>
      </c>
      <c r="AQ1702" s="16">
        <f>IF(OR($B1702="",$C1702="",$D1702=""),"",DATE($C1702+2018,$D1702,1))</f>
        <v/>
      </c>
    </row>
    <row r="1703">
      <c r="A1703" s="11" t="n"/>
      <c r="B1703" s="12" t="n"/>
      <c r="C1703" s="12" t="n"/>
      <c r="D1703" s="12" t="n"/>
      <c r="E1703" s="13" t="n"/>
      <c r="F1703" s="12" t="n"/>
      <c r="G1703" s="13" t="n"/>
      <c r="H1703" s="12" t="n"/>
      <c r="I1703" s="12" t="n"/>
      <c r="J1703" s="12" t="n"/>
      <c r="K1703" s="12" t="n"/>
      <c r="L1703" s="11" t="n"/>
      <c r="M1703" s="11" t="n"/>
      <c r="N1703" s="11" t="n"/>
      <c r="O1703" s="11" t="n"/>
      <c r="P1703" s="12" t="n"/>
      <c r="Q1703" s="11" t="n"/>
      <c r="R1703" s="12" t="n"/>
      <c r="S1703" s="11" t="n"/>
      <c r="T1703" s="12" t="n"/>
      <c r="U1703" s="12" t="n"/>
      <c r="V1703" s="12" t="n"/>
      <c r="W1703" s="13" t="n"/>
      <c r="X1703" s="14">
        <f>IF($AP1703="",IF($B1703="","",$H1703),IF(INDEX(職員マスタ!$B$6:$B$405,$AP1703)="",$H1703,INDEX(職員マスタ!$B$6:$B$405,$AP1703)))</f>
        <v/>
      </c>
      <c r="Y1703" s="14">
        <f>IF($AP1703="",IF($B1703="","",$R1703),IF(INDEX(職員マスタ!$C$6:$C$405,$AP1703)="",$R1703,INDEX(職員マスタ!$C$6:$C$405,$AP1703)))</f>
        <v/>
      </c>
      <c r="Z1703" s="14">
        <f>IF($AQ1703="","","R"&amp;$C1703&amp;"."&amp;$D1703)</f>
        <v/>
      </c>
      <c r="AA1703" s="15">
        <f>IF(IF($AP1703="",FALSE,INDEX(職員マスタ!$K$6:$K$405,$AP1703)&lt;&gt;""),INDEX(職員マスタ!$K$6:$K$405,$AP1703),IF(N($W1703)&gt;0,$W1703,""))</f>
        <v/>
      </c>
      <c r="AB1703" s="14">
        <f>IF(OR($E1703="",$AA1703=""),"",IF($E1703&gt;=$AA1703,"×",IF($E1703&gt;=$AA1703*設定!$C$5,"△","○")))</f>
        <v/>
      </c>
      <c r="AC1703" s="15">
        <f>IF($AB1703="","",IF($AB1703="×",0,IF($AB1703="○",ROUNDDOWN($E1703*設定!$C$4,0),ROUNDDOWN($E1703*ROUND((9*$AA1703-9*$E1703)/(10*$E1703),4),0))))</f>
        <v/>
      </c>
      <c r="AD1703" s="13" t="n"/>
      <c r="AE1703" s="15">
        <f>IF($B1703="","",IF($AD1703&lt;&gt;"",$AD1703,IF($AC1703="","",IF($AC1703&lt;=設定!$C$3,0,$AC1703))))</f>
        <v/>
      </c>
      <c r="AF1703" s="14">
        <f>IF($B1703="","",IF(AND($AG1703&lt;&gt;"",$AI1703="",$AL1703=""),"保留中",IF($AL1703&lt;&gt;"",IF(N($AE1703)&gt;0,"支給済","不支給"),IF($AE1703="","要確認",IF($AE1703=0,"不支給","未処理")))))</f>
        <v/>
      </c>
      <c r="AG1703" s="12" t="n"/>
      <c r="AH1703" s="11" t="n"/>
      <c r="AI1703" s="11" t="n"/>
      <c r="AJ1703" s="11" t="n"/>
      <c r="AK1703" s="14">
        <f>IF(AND($AF1703="保留中",$AH1703&lt;&gt;""),TODAY()-$AH1703,"")</f>
        <v/>
      </c>
      <c r="AL1703" s="12" t="n"/>
      <c r="AM1703" s="14">
        <f>IF($B1703="","",IF($AQ1703="","対象年月が未入力／","")&amp;IF($B1703="","",IF($AP1703="","職員マスタに未登録の職員番号／",IF($AA1703="","標準報酬月額が未登録／","")&amp;IF(AND($AQ1703&lt;&gt;"",OR(AND(INDEX(職員マスタ!$G$6:$G$405,$AP1703)&lt;&gt;"",INDEX(職員マスタ!$G$6:$G$405,$AP1703)&gt;EOMONTH($AQ1703,0)),AND(INDEX(職員マスタ!$H$6:$H$405,$AP1703)&lt;&gt;"",INDEX(職員マスタ!$H$6:$H$405,$AP1703)&lt;$AQ1703))),"対象月が時短期間外／","")&amp;IF(AND(INDEX(職員マスタ!$K$6:$K$405,$AP1703)&lt;&gt;"",N($W1703)&gt;0,INDEX(職員マスタ!$K$6:$K$405,$AP1703)&lt;&gt;$W1703),"標準報酬月額が申請書と相違（台帳"&amp;TEXT(INDEX(職員マスタ!$K$6:$K$405,$AP1703),"#,##0")&amp;"円／申請書"&amp;TEXT($W1703,"#,##0")&amp;"円）／","")&amp;IF(AND(INDEX(職員マスタ!$F$6:$F$405,$AP1703)&lt;&gt;"",$AQ1703&lt;&gt;"",INDEX(職員マスタ!$F$6:$F$405,$AP1703)&lt;$AQ1703),"対象月に子が2歳到達済／","")&amp;IF(AND($H1703&lt;&gt;"",INDEX(職員マスタ!$B$6:$B$405,$AP1703)&lt;&gt;"",SUBSTITUTE(SUBSTITUTE($H1703," ","")," ","")&lt;&gt;SUBSTITUTE(SUBSTITUTE(INDEX(職員マスタ!$B$6:$B$405,$AP1703)," ","")," ","")),"氏名がマスタと相違／","")&amp;IF(AND($Q1703&lt;&gt;"",INDEX(職員マスタ!$E$6:$E$405,$AP1703)&lt;&gt;"",$Q1703&lt;&gt;INDEX(職員マスタ!$E$6:$E$405,$AP1703)),"子の生年月日がマスタと相違／","")&amp;IF(AND($L1703&lt;&gt;"",INDEX(職員マスタ!$G$6:$G$405,$AP1703)&lt;&gt;"",$L1703&lt;&gt;INDEX(職員マスタ!$G$6:$G$405,$AP1703)),"時短開始日がマスタと相違／","")&amp;IF(AND($M1703&lt;&gt;"",INDEX(職員マスタ!$H$6:$H$405,$AP1703)&lt;&gt;"",$M1703&lt;&gt;INDEX(職員マスタ!$H$6:$H$405,$AP1703)),"時短終了日がマスタと相違／","")))&amp;IF(AND($B1703&lt;&gt;"",$E1703=""),"報酬額が未入力／","")&amp;IF(N($U1703)&gt;0,"申請書に入力エラーが残っています／","")&amp;IF(AND($B1703&lt;&gt;"",$AQ1703&lt;&gt;""),IF(COUNTIFS($B$6:$B$3005,$B1703,$C$6:$C$3005,$C1703,$D$6:$D$3005,$D1703)&gt;1,"同じ月の請求が重複しています／",""),"")&amp;IF(AND(N($E1703)&gt;0,$AB1703&lt;&gt;"",$AB1703&lt;&gt;"×",$AE1703=0,$AD1703=""),"計算額が下限以下のため不支給／",""))</f>
        <v/>
      </c>
      <c r="AN1703" s="12" t="n"/>
      <c r="AO1703" s="14">
        <f>IF($AF1703="保留中",COUNTIF($AF$6:$AF1703,"保留中"),"")</f>
        <v/>
      </c>
      <c r="AP1703" s="14">
        <f>IF($AQ1703="","",IF(SUMPRODUCT(MAX((職員マスタ!$A$6:$A$405=$B1703)*(((職員マスタ!$G$6:$G$405="")+(職員マスタ!$G$6:$G$405&lt;=EOMONTH($AQ1703,0)))&gt;0)*(((職員マスタ!$H$6:$H$405="")+(職員マスタ!$H$6:$H$405&gt;=$AQ1703))&gt;0)*(ROW(職員マスタ!$A$6:$A$405)-5)))&gt;0,SUMPRODUCT(MAX((職員マスタ!$A$6:$A$405=$B1703)*(((職員マスタ!$G$6:$G$405="")+(職員マスタ!$G$6:$G$405&lt;=EOMONTH($AQ1703,0)))&gt;0)*(((職員マスタ!$H$6:$H$405="")+(職員マスタ!$H$6:$H$405&gt;=$AQ1703))&gt;0)*(ROW(職員マスタ!$A$6:$A$405)-5))),IFERROR(MATCH($B1703,職員マスタ!$A$6:$A$405,0),"")))</f>
        <v/>
      </c>
      <c r="AQ1703" s="16">
        <f>IF(OR($B1703="",$C1703="",$D1703=""),"",DATE($C1703+2018,$D1703,1))</f>
        <v/>
      </c>
    </row>
    <row r="1704">
      <c r="A1704" s="11" t="n"/>
      <c r="B1704" s="12" t="n"/>
      <c r="C1704" s="12" t="n"/>
      <c r="D1704" s="12" t="n"/>
      <c r="E1704" s="13" t="n"/>
      <c r="F1704" s="12" t="n"/>
      <c r="G1704" s="13" t="n"/>
      <c r="H1704" s="12" t="n"/>
      <c r="I1704" s="12" t="n"/>
      <c r="J1704" s="12" t="n"/>
      <c r="K1704" s="12" t="n"/>
      <c r="L1704" s="11" t="n"/>
      <c r="M1704" s="11" t="n"/>
      <c r="N1704" s="11" t="n"/>
      <c r="O1704" s="11" t="n"/>
      <c r="P1704" s="12" t="n"/>
      <c r="Q1704" s="11" t="n"/>
      <c r="R1704" s="12" t="n"/>
      <c r="S1704" s="11" t="n"/>
      <c r="T1704" s="12" t="n"/>
      <c r="U1704" s="12" t="n"/>
      <c r="V1704" s="12" t="n"/>
      <c r="W1704" s="13" t="n"/>
      <c r="X1704" s="14">
        <f>IF($AP1704="",IF($B1704="","",$H1704),IF(INDEX(職員マスタ!$B$6:$B$405,$AP1704)="",$H1704,INDEX(職員マスタ!$B$6:$B$405,$AP1704)))</f>
        <v/>
      </c>
      <c r="Y1704" s="14">
        <f>IF($AP1704="",IF($B1704="","",$R1704),IF(INDEX(職員マスタ!$C$6:$C$405,$AP1704)="",$R1704,INDEX(職員マスタ!$C$6:$C$405,$AP1704)))</f>
        <v/>
      </c>
      <c r="Z1704" s="14">
        <f>IF($AQ1704="","","R"&amp;$C1704&amp;"."&amp;$D1704)</f>
        <v/>
      </c>
      <c r="AA1704" s="15">
        <f>IF(IF($AP1704="",FALSE,INDEX(職員マスタ!$K$6:$K$405,$AP1704)&lt;&gt;""),INDEX(職員マスタ!$K$6:$K$405,$AP1704),IF(N($W1704)&gt;0,$W1704,""))</f>
        <v/>
      </c>
      <c r="AB1704" s="14">
        <f>IF(OR($E1704="",$AA1704=""),"",IF($E1704&gt;=$AA1704,"×",IF($E1704&gt;=$AA1704*設定!$C$5,"△","○")))</f>
        <v/>
      </c>
      <c r="AC1704" s="15">
        <f>IF($AB1704="","",IF($AB1704="×",0,IF($AB1704="○",ROUNDDOWN($E1704*設定!$C$4,0),ROUNDDOWN($E1704*ROUND((9*$AA1704-9*$E1704)/(10*$E1704),4),0))))</f>
        <v/>
      </c>
      <c r="AD1704" s="13" t="n"/>
      <c r="AE1704" s="15">
        <f>IF($B1704="","",IF($AD1704&lt;&gt;"",$AD1704,IF($AC1704="","",IF($AC1704&lt;=設定!$C$3,0,$AC1704))))</f>
        <v/>
      </c>
      <c r="AF1704" s="14">
        <f>IF($B1704="","",IF(AND($AG1704&lt;&gt;"",$AI1704="",$AL1704=""),"保留中",IF($AL1704&lt;&gt;"",IF(N($AE1704)&gt;0,"支給済","不支給"),IF($AE1704="","要確認",IF($AE1704=0,"不支給","未処理")))))</f>
        <v/>
      </c>
      <c r="AG1704" s="12" t="n"/>
      <c r="AH1704" s="11" t="n"/>
      <c r="AI1704" s="11" t="n"/>
      <c r="AJ1704" s="11" t="n"/>
      <c r="AK1704" s="14">
        <f>IF(AND($AF1704="保留中",$AH1704&lt;&gt;""),TODAY()-$AH1704,"")</f>
        <v/>
      </c>
      <c r="AL1704" s="12" t="n"/>
      <c r="AM1704" s="14">
        <f>IF($B1704="","",IF($AQ1704="","対象年月が未入力／","")&amp;IF($B1704="","",IF($AP1704="","職員マスタに未登録の職員番号／",IF($AA1704="","標準報酬月額が未登録／","")&amp;IF(AND($AQ1704&lt;&gt;"",OR(AND(INDEX(職員マスタ!$G$6:$G$405,$AP1704)&lt;&gt;"",INDEX(職員マスタ!$G$6:$G$405,$AP1704)&gt;EOMONTH($AQ1704,0)),AND(INDEX(職員マスタ!$H$6:$H$405,$AP1704)&lt;&gt;"",INDEX(職員マスタ!$H$6:$H$405,$AP1704)&lt;$AQ1704))),"対象月が時短期間外／","")&amp;IF(AND(INDEX(職員マスタ!$K$6:$K$405,$AP1704)&lt;&gt;"",N($W1704)&gt;0,INDEX(職員マスタ!$K$6:$K$405,$AP1704)&lt;&gt;$W1704),"標準報酬月額が申請書と相違（台帳"&amp;TEXT(INDEX(職員マスタ!$K$6:$K$405,$AP1704),"#,##0")&amp;"円／申請書"&amp;TEXT($W1704,"#,##0")&amp;"円）／","")&amp;IF(AND(INDEX(職員マスタ!$F$6:$F$405,$AP1704)&lt;&gt;"",$AQ1704&lt;&gt;"",INDEX(職員マスタ!$F$6:$F$405,$AP1704)&lt;$AQ1704),"対象月に子が2歳到達済／","")&amp;IF(AND($H1704&lt;&gt;"",INDEX(職員マスタ!$B$6:$B$405,$AP1704)&lt;&gt;"",SUBSTITUTE(SUBSTITUTE($H1704," ","")," ","")&lt;&gt;SUBSTITUTE(SUBSTITUTE(INDEX(職員マスタ!$B$6:$B$405,$AP1704)," ","")," ","")),"氏名がマスタと相違／","")&amp;IF(AND($Q1704&lt;&gt;"",INDEX(職員マスタ!$E$6:$E$405,$AP1704)&lt;&gt;"",$Q1704&lt;&gt;INDEX(職員マスタ!$E$6:$E$405,$AP1704)),"子の生年月日がマスタと相違／","")&amp;IF(AND($L1704&lt;&gt;"",INDEX(職員マスタ!$G$6:$G$405,$AP1704)&lt;&gt;"",$L1704&lt;&gt;INDEX(職員マスタ!$G$6:$G$405,$AP1704)),"時短開始日がマスタと相違／","")&amp;IF(AND($M1704&lt;&gt;"",INDEX(職員マスタ!$H$6:$H$405,$AP1704)&lt;&gt;"",$M1704&lt;&gt;INDEX(職員マスタ!$H$6:$H$405,$AP1704)),"時短終了日がマスタと相違／","")))&amp;IF(AND($B1704&lt;&gt;"",$E1704=""),"報酬額が未入力／","")&amp;IF(N($U1704)&gt;0,"申請書に入力エラーが残っています／","")&amp;IF(AND($B1704&lt;&gt;"",$AQ1704&lt;&gt;""),IF(COUNTIFS($B$6:$B$3005,$B1704,$C$6:$C$3005,$C1704,$D$6:$D$3005,$D1704)&gt;1,"同じ月の請求が重複しています／",""),"")&amp;IF(AND(N($E1704)&gt;0,$AB1704&lt;&gt;"",$AB1704&lt;&gt;"×",$AE1704=0,$AD1704=""),"計算額が下限以下のため不支給／",""))</f>
        <v/>
      </c>
      <c r="AN1704" s="12" t="n"/>
      <c r="AO1704" s="14">
        <f>IF($AF1704="保留中",COUNTIF($AF$6:$AF1704,"保留中"),"")</f>
        <v/>
      </c>
      <c r="AP1704" s="14">
        <f>IF($AQ1704="","",IF(SUMPRODUCT(MAX((職員マスタ!$A$6:$A$405=$B1704)*(((職員マスタ!$G$6:$G$405="")+(職員マスタ!$G$6:$G$405&lt;=EOMONTH($AQ1704,0)))&gt;0)*(((職員マスタ!$H$6:$H$405="")+(職員マスタ!$H$6:$H$405&gt;=$AQ1704))&gt;0)*(ROW(職員マスタ!$A$6:$A$405)-5)))&gt;0,SUMPRODUCT(MAX((職員マスタ!$A$6:$A$405=$B1704)*(((職員マスタ!$G$6:$G$405="")+(職員マスタ!$G$6:$G$405&lt;=EOMONTH($AQ1704,0)))&gt;0)*(((職員マスタ!$H$6:$H$405="")+(職員マスタ!$H$6:$H$405&gt;=$AQ1704))&gt;0)*(ROW(職員マスタ!$A$6:$A$405)-5))),IFERROR(MATCH($B1704,職員マスタ!$A$6:$A$405,0),"")))</f>
        <v/>
      </c>
      <c r="AQ1704" s="16">
        <f>IF(OR($B1704="",$C1704="",$D1704=""),"",DATE($C1704+2018,$D1704,1))</f>
        <v/>
      </c>
    </row>
    <row r="1705">
      <c r="A1705" s="11" t="n"/>
      <c r="B1705" s="12" t="n"/>
      <c r="C1705" s="12" t="n"/>
      <c r="D1705" s="12" t="n"/>
      <c r="E1705" s="13" t="n"/>
      <c r="F1705" s="12" t="n"/>
      <c r="G1705" s="13" t="n"/>
      <c r="H1705" s="12" t="n"/>
      <c r="I1705" s="12" t="n"/>
      <c r="J1705" s="12" t="n"/>
      <c r="K1705" s="12" t="n"/>
      <c r="L1705" s="11" t="n"/>
      <c r="M1705" s="11" t="n"/>
      <c r="N1705" s="11" t="n"/>
      <c r="O1705" s="11" t="n"/>
      <c r="P1705" s="12" t="n"/>
      <c r="Q1705" s="11" t="n"/>
      <c r="R1705" s="12" t="n"/>
      <c r="S1705" s="11" t="n"/>
      <c r="T1705" s="12" t="n"/>
      <c r="U1705" s="12" t="n"/>
      <c r="V1705" s="12" t="n"/>
      <c r="W1705" s="13" t="n"/>
      <c r="X1705" s="14">
        <f>IF($AP1705="",IF($B1705="","",$H1705),IF(INDEX(職員マスタ!$B$6:$B$405,$AP1705)="",$H1705,INDEX(職員マスタ!$B$6:$B$405,$AP1705)))</f>
        <v/>
      </c>
      <c r="Y1705" s="14">
        <f>IF($AP1705="",IF($B1705="","",$R1705),IF(INDEX(職員マスタ!$C$6:$C$405,$AP1705)="",$R1705,INDEX(職員マスタ!$C$6:$C$405,$AP1705)))</f>
        <v/>
      </c>
      <c r="Z1705" s="14">
        <f>IF($AQ1705="","","R"&amp;$C1705&amp;"."&amp;$D1705)</f>
        <v/>
      </c>
      <c r="AA1705" s="15">
        <f>IF(IF($AP1705="",FALSE,INDEX(職員マスタ!$K$6:$K$405,$AP1705)&lt;&gt;""),INDEX(職員マスタ!$K$6:$K$405,$AP1705),IF(N($W1705)&gt;0,$W1705,""))</f>
        <v/>
      </c>
      <c r="AB1705" s="14">
        <f>IF(OR($E1705="",$AA1705=""),"",IF($E1705&gt;=$AA1705,"×",IF($E1705&gt;=$AA1705*設定!$C$5,"△","○")))</f>
        <v/>
      </c>
      <c r="AC1705" s="15">
        <f>IF($AB1705="","",IF($AB1705="×",0,IF($AB1705="○",ROUNDDOWN($E1705*設定!$C$4,0),ROUNDDOWN($E1705*ROUND((9*$AA1705-9*$E1705)/(10*$E1705),4),0))))</f>
        <v/>
      </c>
      <c r="AD1705" s="13" t="n"/>
      <c r="AE1705" s="15">
        <f>IF($B1705="","",IF($AD1705&lt;&gt;"",$AD1705,IF($AC1705="","",IF($AC1705&lt;=設定!$C$3,0,$AC1705))))</f>
        <v/>
      </c>
      <c r="AF1705" s="14">
        <f>IF($B1705="","",IF(AND($AG1705&lt;&gt;"",$AI1705="",$AL1705=""),"保留中",IF($AL1705&lt;&gt;"",IF(N($AE1705)&gt;0,"支給済","不支給"),IF($AE1705="","要確認",IF($AE1705=0,"不支給","未処理")))))</f>
        <v/>
      </c>
      <c r="AG1705" s="12" t="n"/>
      <c r="AH1705" s="11" t="n"/>
      <c r="AI1705" s="11" t="n"/>
      <c r="AJ1705" s="11" t="n"/>
      <c r="AK1705" s="14">
        <f>IF(AND($AF1705="保留中",$AH1705&lt;&gt;""),TODAY()-$AH1705,"")</f>
        <v/>
      </c>
      <c r="AL1705" s="12" t="n"/>
      <c r="AM1705" s="14">
        <f>IF($B1705="","",IF($AQ1705="","対象年月が未入力／","")&amp;IF($B1705="","",IF($AP1705="","職員マスタに未登録の職員番号／",IF($AA1705="","標準報酬月額が未登録／","")&amp;IF(AND($AQ1705&lt;&gt;"",OR(AND(INDEX(職員マスタ!$G$6:$G$405,$AP1705)&lt;&gt;"",INDEX(職員マスタ!$G$6:$G$405,$AP1705)&gt;EOMONTH($AQ1705,0)),AND(INDEX(職員マスタ!$H$6:$H$405,$AP1705)&lt;&gt;"",INDEX(職員マスタ!$H$6:$H$405,$AP1705)&lt;$AQ1705))),"対象月が時短期間外／","")&amp;IF(AND(INDEX(職員マスタ!$K$6:$K$405,$AP1705)&lt;&gt;"",N($W1705)&gt;0,INDEX(職員マスタ!$K$6:$K$405,$AP1705)&lt;&gt;$W1705),"標準報酬月額が申請書と相違（台帳"&amp;TEXT(INDEX(職員マスタ!$K$6:$K$405,$AP1705),"#,##0")&amp;"円／申請書"&amp;TEXT($W1705,"#,##0")&amp;"円）／","")&amp;IF(AND(INDEX(職員マスタ!$F$6:$F$405,$AP1705)&lt;&gt;"",$AQ1705&lt;&gt;"",INDEX(職員マスタ!$F$6:$F$405,$AP1705)&lt;$AQ1705),"対象月に子が2歳到達済／","")&amp;IF(AND($H1705&lt;&gt;"",INDEX(職員マスタ!$B$6:$B$405,$AP1705)&lt;&gt;"",SUBSTITUTE(SUBSTITUTE($H1705," ","")," ","")&lt;&gt;SUBSTITUTE(SUBSTITUTE(INDEX(職員マスタ!$B$6:$B$405,$AP1705)," ","")," ","")),"氏名がマスタと相違／","")&amp;IF(AND($Q1705&lt;&gt;"",INDEX(職員マスタ!$E$6:$E$405,$AP1705)&lt;&gt;"",$Q1705&lt;&gt;INDEX(職員マスタ!$E$6:$E$405,$AP1705)),"子の生年月日がマスタと相違／","")&amp;IF(AND($L1705&lt;&gt;"",INDEX(職員マスタ!$G$6:$G$405,$AP1705)&lt;&gt;"",$L1705&lt;&gt;INDEX(職員マスタ!$G$6:$G$405,$AP1705)),"時短開始日がマスタと相違／","")&amp;IF(AND($M1705&lt;&gt;"",INDEX(職員マスタ!$H$6:$H$405,$AP1705)&lt;&gt;"",$M1705&lt;&gt;INDEX(職員マスタ!$H$6:$H$405,$AP1705)),"時短終了日がマスタと相違／","")))&amp;IF(AND($B1705&lt;&gt;"",$E1705=""),"報酬額が未入力／","")&amp;IF(N($U1705)&gt;0,"申請書に入力エラーが残っています／","")&amp;IF(AND($B1705&lt;&gt;"",$AQ1705&lt;&gt;""),IF(COUNTIFS($B$6:$B$3005,$B1705,$C$6:$C$3005,$C1705,$D$6:$D$3005,$D1705)&gt;1,"同じ月の請求が重複しています／",""),"")&amp;IF(AND(N($E1705)&gt;0,$AB1705&lt;&gt;"",$AB1705&lt;&gt;"×",$AE1705=0,$AD1705=""),"計算額が下限以下のため不支給／",""))</f>
        <v/>
      </c>
      <c r="AN1705" s="12" t="n"/>
      <c r="AO1705" s="14">
        <f>IF($AF1705="保留中",COUNTIF($AF$6:$AF1705,"保留中"),"")</f>
        <v/>
      </c>
      <c r="AP1705" s="14">
        <f>IF($AQ1705="","",IF(SUMPRODUCT(MAX((職員マスタ!$A$6:$A$405=$B1705)*(((職員マスタ!$G$6:$G$405="")+(職員マスタ!$G$6:$G$405&lt;=EOMONTH($AQ1705,0)))&gt;0)*(((職員マスタ!$H$6:$H$405="")+(職員マスタ!$H$6:$H$405&gt;=$AQ1705))&gt;0)*(ROW(職員マスタ!$A$6:$A$405)-5)))&gt;0,SUMPRODUCT(MAX((職員マスタ!$A$6:$A$405=$B1705)*(((職員マスタ!$G$6:$G$405="")+(職員マスタ!$G$6:$G$405&lt;=EOMONTH($AQ1705,0)))&gt;0)*(((職員マスタ!$H$6:$H$405="")+(職員マスタ!$H$6:$H$405&gt;=$AQ1705))&gt;0)*(ROW(職員マスタ!$A$6:$A$405)-5))),IFERROR(MATCH($B1705,職員マスタ!$A$6:$A$405,0),"")))</f>
        <v/>
      </c>
      <c r="AQ1705" s="16">
        <f>IF(OR($B1705="",$C1705="",$D1705=""),"",DATE($C1705+2018,$D1705,1))</f>
        <v/>
      </c>
    </row>
    <row r="1706">
      <c r="A1706" s="11" t="n"/>
      <c r="B1706" s="12" t="n"/>
      <c r="C1706" s="12" t="n"/>
      <c r="D1706" s="12" t="n"/>
      <c r="E1706" s="13" t="n"/>
      <c r="F1706" s="12" t="n"/>
      <c r="G1706" s="13" t="n"/>
      <c r="H1706" s="12" t="n"/>
      <c r="I1706" s="12" t="n"/>
      <c r="J1706" s="12" t="n"/>
      <c r="K1706" s="12" t="n"/>
      <c r="L1706" s="11" t="n"/>
      <c r="M1706" s="11" t="n"/>
      <c r="N1706" s="11" t="n"/>
      <c r="O1706" s="11" t="n"/>
      <c r="P1706" s="12" t="n"/>
      <c r="Q1706" s="11" t="n"/>
      <c r="R1706" s="12" t="n"/>
      <c r="S1706" s="11" t="n"/>
      <c r="T1706" s="12" t="n"/>
      <c r="U1706" s="12" t="n"/>
      <c r="V1706" s="12" t="n"/>
      <c r="W1706" s="13" t="n"/>
      <c r="X1706" s="14">
        <f>IF($AP1706="",IF($B1706="","",$H1706),IF(INDEX(職員マスタ!$B$6:$B$405,$AP1706)="",$H1706,INDEX(職員マスタ!$B$6:$B$405,$AP1706)))</f>
        <v/>
      </c>
      <c r="Y1706" s="14">
        <f>IF($AP1706="",IF($B1706="","",$R1706),IF(INDEX(職員マスタ!$C$6:$C$405,$AP1706)="",$R1706,INDEX(職員マスタ!$C$6:$C$405,$AP1706)))</f>
        <v/>
      </c>
      <c r="Z1706" s="14">
        <f>IF($AQ1706="","","R"&amp;$C1706&amp;"."&amp;$D1706)</f>
        <v/>
      </c>
      <c r="AA1706" s="15">
        <f>IF(IF($AP1706="",FALSE,INDEX(職員マスタ!$K$6:$K$405,$AP1706)&lt;&gt;""),INDEX(職員マスタ!$K$6:$K$405,$AP1706),IF(N($W1706)&gt;0,$W1706,""))</f>
        <v/>
      </c>
      <c r="AB1706" s="14">
        <f>IF(OR($E1706="",$AA1706=""),"",IF($E1706&gt;=$AA1706,"×",IF($E1706&gt;=$AA1706*設定!$C$5,"△","○")))</f>
        <v/>
      </c>
      <c r="AC1706" s="15">
        <f>IF($AB1706="","",IF($AB1706="×",0,IF($AB1706="○",ROUNDDOWN($E1706*設定!$C$4,0),ROUNDDOWN($E1706*ROUND((9*$AA1706-9*$E1706)/(10*$E1706),4),0))))</f>
        <v/>
      </c>
      <c r="AD1706" s="13" t="n"/>
      <c r="AE1706" s="15">
        <f>IF($B1706="","",IF($AD1706&lt;&gt;"",$AD1706,IF($AC1706="","",IF($AC1706&lt;=設定!$C$3,0,$AC1706))))</f>
        <v/>
      </c>
      <c r="AF1706" s="14">
        <f>IF($B1706="","",IF(AND($AG1706&lt;&gt;"",$AI1706="",$AL1706=""),"保留中",IF($AL1706&lt;&gt;"",IF(N($AE1706)&gt;0,"支給済","不支給"),IF($AE1706="","要確認",IF($AE1706=0,"不支給","未処理")))))</f>
        <v/>
      </c>
      <c r="AG1706" s="12" t="n"/>
      <c r="AH1706" s="11" t="n"/>
      <c r="AI1706" s="11" t="n"/>
      <c r="AJ1706" s="11" t="n"/>
      <c r="AK1706" s="14">
        <f>IF(AND($AF1706="保留中",$AH1706&lt;&gt;""),TODAY()-$AH1706,"")</f>
        <v/>
      </c>
      <c r="AL1706" s="12" t="n"/>
      <c r="AM1706" s="14">
        <f>IF($B1706="","",IF($AQ1706="","対象年月が未入力／","")&amp;IF($B1706="","",IF($AP1706="","職員マスタに未登録の職員番号／",IF($AA1706="","標準報酬月額が未登録／","")&amp;IF(AND($AQ1706&lt;&gt;"",OR(AND(INDEX(職員マスタ!$G$6:$G$405,$AP1706)&lt;&gt;"",INDEX(職員マスタ!$G$6:$G$405,$AP1706)&gt;EOMONTH($AQ1706,0)),AND(INDEX(職員マスタ!$H$6:$H$405,$AP1706)&lt;&gt;"",INDEX(職員マスタ!$H$6:$H$405,$AP1706)&lt;$AQ1706))),"対象月が時短期間外／","")&amp;IF(AND(INDEX(職員マスタ!$K$6:$K$405,$AP1706)&lt;&gt;"",N($W1706)&gt;0,INDEX(職員マスタ!$K$6:$K$405,$AP1706)&lt;&gt;$W1706),"標準報酬月額が申請書と相違（台帳"&amp;TEXT(INDEX(職員マスタ!$K$6:$K$405,$AP1706),"#,##0")&amp;"円／申請書"&amp;TEXT($W1706,"#,##0")&amp;"円）／","")&amp;IF(AND(INDEX(職員マスタ!$F$6:$F$405,$AP1706)&lt;&gt;"",$AQ1706&lt;&gt;"",INDEX(職員マスタ!$F$6:$F$405,$AP1706)&lt;$AQ1706),"対象月に子が2歳到達済／","")&amp;IF(AND($H1706&lt;&gt;"",INDEX(職員マスタ!$B$6:$B$405,$AP1706)&lt;&gt;"",SUBSTITUTE(SUBSTITUTE($H1706," ","")," ","")&lt;&gt;SUBSTITUTE(SUBSTITUTE(INDEX(職員マスタ!$B$6:$B$405,$AP1706)," ","")," ","")),"氏名がマスタと相違／","")&amp;IF(AND($Q1706&lt;&gt;"",INDEX(職員マスタ!$E$6:$E$405,$AP1706)&lt;&gt;"",$Q1706&lt;&gt;INDEX(職員マスタ!$E$6:$E$405,$AP1706)),"子の生年月日がマスタと相違／","")&amp;IF(AND($L1706&lt;&gt;"",INDEX(職員マスタ!$G$6:$G$405,$AP1706)&lt;&gt;"",$L1706&lt;&gt;INDEX(職員マスタ!$G$6:$G$405,$AP1706)),"時短開始日がマスタと相違／","")&amp;IF(AND($M1706&lt;&gt;"",INDEX(職員マスタ!$H$6:$H$405,$AP1706)&lt;&gt;"",$M1706&lt;&gt;INDEX(職員マスタ!$H$6:$H$405,$AP1706)),"時短終了日がマスタと相違／","")))&amp;IF(AND($B1706&lt;&gt;"",$E1706=""),"報酬額が未入力／","")&amp;IF(N($U1706)&gt;0,"申請書に入力エラーが残っています／","")&amp;IF(AND($B1706&lt;&gt;"",$AQ1706&lt;&gt;""),IF(COUNTIFS($B$6:$B$3005,$B1706,$C$6:$C$3005,$C1706,$D$6:$D$3005,$D1706)&gt;1,"同じ月の請求が重複しています／",""),"")&amp;IF(AND(N($E1706)&gt;0,$AB1706&lt;&gt;"",$AB1706&lt;&gt;"×",$AE1706=0,$AD1706=""),"計算額が下限以下のため不支給／",""))</f>
        <v/>
      </c>
      <c r="AN1706" s="12" t="n"/>
      <c r="AO1706" s="14">
        <f>IF($AF1706="保留中",COUNTIF($AF$6:$AF1706,"保留中"),"")</f>
        <v/>
      </c>
      <c r="AP1706" s="14">
        <f>IF($AQ1706="","",IF(SUMPRODUCT(MAX((職員マスタ!$A$6:$A$405=$B1706)*(((職員マスタ!$G$6:$G$405="")+(職員マスタ!$G$6:$G$405&lt;=EOMONTH($AQ1706,0)))&gt;0)*(((職員マスタ!$H$6:$H$405="")+(職員マスタ!$H$6:$H$405&gt;=$AQ1706))&gt;0)*(ROW(職員マスタ!$A$6:$A$405)-5)))&gt;0,SUMPRODUCT(MAX((職員マスタ!$A$6:$A$405=$B1706)*(((職員マスタ!$G$6:$G$405="")+(職員マスタ!$G$6:$G$405&lt;=EOMONTH($AQ1706,0)))&gt;0)*(((職員マスタ!$H$6:$H$405="")+(職員マスタ!$H$6:$H$405&gt;=$AQ1706))&gt;0)*(ROW(職員マスタ!$A$6:$A$405)-5))),IFERROR(MATCH($B1706,職員マスタ!$A$6:$A$405,0),"")))</f>
        <v/>
      </c>
      <c r="AQ1706" s="16">
        <f>IF(OR($B1706="",$C1706="",$D1706=""),"",DATE($C1706+2018,$D1706,1))</f>
        <v/>
      </c>
    </row>
    <row r="1707">
      <c r="A1707" s="11" t="n"/>
      <c r="B1707" s="12" t="n"/>
      <c r="C1707" s="12" t="n"/>
      <c r="D1707" s="12" t="n"/>
      <c r="E1707" s="13" t="n"/>
      <c r="F1707" s="12" t="n"/>
      <c r="G1707" s="13" t="n"/>
      <c r="H1707" s="12" t="n"/>
      <c r="I1707" s="12" t="n"/>
      <c r="J1707" s="12" t="n"/>
      <c r="K1707" s="12" t="n"/>
      <c r="L1707" s="11" t="n"/>
      <c r="M1707" s="11" t="n"/>
      <c r="N1707" s="11" t="n"/>
      <c r="O1707" s="11" t="n"/>
      <c r="P1707" s="12" t="n"/>
      <c r="Q1707" s="11" t="n"/>
      <c r="R1707" s="12" t="n"/>
      <c r="S1707" s="11" t="n"/>
      <c r="T1707" s="12" t="n"/>
      <c r="U1707" s="12" t="n"/>
      <c r="V1707" s="12" t="n"/>
      <c r="W1707" s="13" t="n"/>
      <c r="X1707" s="14">
        <f>IF($AP1707="",IF($B1707="","",$H1707),IF(INDEX(職員マスタ!$B$6:$B$405,$AP1707)="",$H1707,INDEX(職員マスタ!$B$6:$B$405,$AP1707)))</f>
        <v/>
      </c>
      <c r="Y1707" s="14">
        <f>IF($AP1707="",IF($B1707="","",$R1707),IF(INDEX(職員マスタ!$C$6:$C$405,$AP1707)="",$R1707,INDEX(職員マスタ!$C$6:$C$405,$AP1707)))</f>
        <v/>
      </c>
      <c r="Z1707" s="14">
        <f>IF($AQ1707="","","R"&amp;$C1707&amp;"."&amp;$D1707)</f>
        <v/>
      </c>
      <c r="AA1707" s="15">
        <f>IF(IF($AP1707="",FALSE,INDEX(職員マスタ!$K$6:$K$405,$AP1707)&lt;&gt;""),INDEX(職員マスタ!$K$6:$K$405,$AP1707),IF(N($W1707)&gt;0,$W1707,""))</f>
        <v/>
      </c>
      <c r="AB1707" s="14">
        <f>IF(OR($E1707="",$AA1707=""),"",IF($E1707&gt;=$AA1707,"×",IF($E1707&gt;=$AA1707*設定!$C$5,"△","○")))</f>
        <v/>
      </c>
      <c r="AC1707" s="15">
        <f>IF($AB1707="","",IF($AB1707="×",0,IF($AB1707="○",ROUNDDOWN($E1707*設定!$C$4,0),ROUNDDOWN($E1707*ROUND((9*$AA1707-9*$E1707)/(10*$E1707),4),0))))</f>
        <v/>
      </c>
      <c r="AD1707" s="13" t="n"/>
      <c r="AE1707" s="15">
        <f>IF($B1707="","",IF($AD1707&lt;&gt;"",$AD1707,IF($AC1707="","",IF($AC1707&lt;=設定!$C$3,0,$AC1707))))</f>
        <v/>
      </c>
      <c r="AF1707" s="14">
        <f>IF($B1707="","",IF(AND($AG1707&lt;&gt;"",$AI1707="",$AL1707=""),"保留中",IF($AL1707&lt;&gt;"",IF(N($AE1707)&gt;0,"支給済","不支給"),IF($AE1707="","要確認",IF($AE1707=0,"不支給","未処理")))))</f>
        <v/>
      </c>
      <c r="AG1707" s="12" t="n"/>
      <c r="AH1707" s="11" t="n"/>
      <c r="AI1707" s="11" t="n"/>
      <c r="AJ1707" s="11" t="n"/>
      <c r="AK1707" s="14">
        <f>IF(AND($AF1707="保留中",$AH1707&lt;&gt;""),TODAY()-$AH1707,"")</f>
        <v/>
      </c>
      <c r="AL1707" s="12" t="n"/>
      <c r="AM1707" s="14">
        <f>IF($B1707="","",IF($AQ1707="","対象年月が未入力／","")&amp;IF($B1707="","",IF($AP1707="","職員マスタに未登録の職員番号／",IF($AA1707="","標準報酬月額が未登録／","")&amp;IF(AND($AQ1707&lt;&gt;"",OR(AND(INDEX(職員マスタ!$G$6:$G$405,$AP1707)&lt;&gt;"",INDEX(職員マスタ!$G$6:$G$405,$AP1707)&gt;EOMONTH($AQ1707,0)),AND(INDEX(職員マスタ!$H$6:$H$405,$AP1707)&lt;&gt;"",INDEX(職員マスタ!$H$6:$H$405,$AP1707)&lt;$AQ1707))),"対象月が時短期間外／","")&amp;IF(AND(INDEX(職員マスタ!$K$6:$K$405,$AP1707)&lt;&gt;"",N($W1707)&gt;0,INDEX(職員マスタ!$K$6:$K$405,$AP1707)&lt;&gt;$W1707),"標準報酬月額が申請書と相違（台帳"&amp;TEXT(INDEX(職員マスタ!$K$6:$K$405,$AP1707),"#,##0")&amp;"円／申請書"&amp;TEXT($W1707,"#,##0")&amp;"円）／","")&amp;IF(AND(INDEX(職員マスタ!$F$6:$F$405,$AP1707)&lt;&gt;"",$AQ1707&lt;&gt;"",INDEX(職員マスタ!$F$6:$F$405,$AP1707)&lt;$AQ1707),"対象月に子が2歳到達済／","")&amp;IF(AND($H1707&lt;&gt;"",INDEX(職員マスタ!$B$6:$B$405,$AP1707)&lt;&gt;"",SUBSTITUTE(SUBSTITUTE($H1707," ","")," ","")&lt;&gt;SUBSTITUTE(SUBSTITUTE(INDEX(職員マスタ!$B$6:$B$405,$AP1707)," ","")," ","")),"氏名がマスタと相違／","")&amp;IF(AND($Q1707&lt;&gt;"",INDEX(職員マスタ!$E$6:$E$405,$AP1707)&lt;&gt;"",$Q1707&lt;&gt;INDEX(職員マスタ!$E$6:$E$405,$AP1707)),"子の生年月日がマスタと相違／","")&amp;IF(AND($L1707&lt;&gt;"",INDEX(職員マスタ!$G$6:$G$405,$AP1707)&lt;&gt;"",$L1707&lt;&gt;INDEX(職員マスタ!$G$6:$G$405,$AP1707)),"時短開始日がマスタと相違／","")&amp;IF(AND($M1707&lt;&gt;"",INDEX(職員マスタ!$H$6:$H$405,$AP1707)&lt;&gt;"",$M1707&lt;&gt;INDEX(職員マスタ!$H$6:$H$405,$AP1707)),"時短終了日がマスタと相違／","")))&amp;IF(AND($B1707&lt;&gt;"",$E1707=""),"報酬額が未入力／","")&amp;IF(N($U1707)&gt;0,"申請書に入力エラーが残っています／","")&amp;IF(AND($B1707&lt;&gt;"",$AQ1707&lt;&gt;""),IF(COUNTIFS($B$6:$B$3005,$B1707,$C$6:$C$3005,$C1707,$D$6:$D$3005,$D1707)&gt;1,"同じ月の請求が重複しています／",""),"")&amp;IF(AND(N($E1707)&gt;0,$AB1707&lt;&gt;"",$AB1707&lt;&gt;"×",$AE1707=0,$AD1707=""),"計算額が下限以下のため不支給／",""))</f>
        <v/>
      </c>
      <c r="AN1707" s="12" t="n"/>
      <c r="AO1707" s="14">
        <f>IF($AF1707="保留中",COUNTIF($AF$6:$AF1707,"保留中"),"")</f>
        <v/>
      </c>
      <c r="AP1707" s="14">
        <f>IF($AQ1707="","",IF(SUMPRODUCT(MAX((職員マスタ!$A$6:$A$405=$B1707)*(((職員マスタ!$G$6:$G$405="")+(職員マスタ!$G$6:$G$405&lt;=EOMONTH($AQ1707,0)))&gt;0)*(((職員マスタ!$H$6:$H$405="")+(職員マスタ!$H$6:$H$405&gt;=$AQ1707))&gt;0)*(ROW(職員マスタ!$A$6:$A$405)-5)))&gt;0,SUMPRODUCT(MAX((職員マスタ!$A$6:$A$405=$B1707)*(((職員マスタ!$G$6:$G$405="")+(職員マスタ!$G$6:$G$405&lt;=EOMONTH($AQ1707,0)))&gt;0)*(((職員マスタ!$H$6:$H$405="")+(職員マスタ!$H$6:$H$405&gt;=$AQ1707))&gt;0)*(ROW(職員マスタ!$A$6:$A$405)-5))),IFERROR(MATCH($B1707,職員マスタ!$A$6:$A$405,0),"")))</f>
        <v/>
      </c>
      <c r="AQ1707" s="16">
        <f>IF(OR($B1707="",$C1707="",$D1707=""),"",DATE($C1707+2018,$D1707,1))</f>
        <v/>
      </c>
    </row>
    <row r="1708">
      <c r="A1708" s="11" t="n"/>
      <c r="B1708" s="12" t="n"/>
      <c r="C1708" s="12" t="n"/>
      <c r="D1708" s="12" t="n"/>
      <c r="E1708" s="13" t="n"/>
      <c r="F1708" s="12" t="n"/>
      <c r="G1708" s="13" t="n"/>
      <c r="H1708" s="12" t="n"/>
      <c r="I1708" s="12" t="n"/>
      <c r="J1708" s="12" t="n"/>
      <c r="K1708" s="12" t="n"/>
      <c r="L1708" s="11" t="n"/>
      <c r="M1708" s="11" t="n"/>
      <c r="N1708" s="11" t="n"/>
      <c r="O1708" s="11" t="n"/>
      <c r="P1708" s="12" t="n"/>
      <c r="Q1708" s="11" t="n"/>
      <c r="R1708" s="12" t="n"/>
      <c r="S1708" s="11" t="n"/>
      <c r="T1708" s="12" t="n"/>
      <c r="U1708" s="12" t="n"/>
      <c r="V1708" s="12" t="n"/>
      <c r="W1708" s="13" t="n"/>
      <c r="X1708" s="14">
        <f>IF($AP1708="",IF($B1708="","",$H1708),IF(INDEX(職員マスタ!$B$6:$B$405,$AP1708)="",$H1708,INDEX(職員マスタ!$B$6:$B$405,$AP1708)))</f>
        <v/>
      </c>
      <c r="Y1708" s="14">
        <f>IF($AP1708="",IF($B1708="","",$R1708),IF(INDEX(職員マスタ!$C$6:$C$405,$AP1708)="",$R1708,INDEX(職員マスタ!$C$6:$C$405,$AP1708)))</f>
        <v/>
      </c>
      <c r="Z1708" s="14">
        <f>IF($AQ1708="","","R"&amp;$C1708&amp;"."&amp;$D1708)</f>
        <v/>
      </c>
      <c r="AA1708" s="15">
        <f>IF(IF($AP1708="",FALSE,INDEX(職員マスタ!$K$6:$K$405,$AP1708)&lt;&gt;""),INDEX(職員マスタ!$K$6:$K$405,$AP1708),IF(N($W1708)&gt;0,$W1708,""))</f>
        <v/>
      </c>
      <c r="AB1708" s="14">
        <f>IF(OR($E1708="",$AA1708=""),"",IF($E1708&gt;=$AA1708,"×",IF($E1708&gt;=$AA1708*設定!$C$5,"△","○")))</f>
        <v/>
      </c>
      <c r="AC1708" s="15">
        <f>IF($AB1708="","",IF($AB1708="×",0,IF($AB1708="○",ROUNDDOWN($E1708*設定!$C$4,0),ROUNDDOWN($E1708*ROUND((9*$AA1708-9*$E1708)/(10*$E1708),4),0))))</f>
        <v/>
      </c>
      <c r="AD1708" s="13" t="n"/>
      <c r="AE1708" s="15">
        <f>IF($B1708="","",IF($AD1708&lt;&gt;"",$AD1708,IF($AC1708="","",IF($AC1708&lt;=設定!$C$3,0,$AC1708))))</f>
        <v/>
      </c>
      <c r="AF1708" s="14">
        <f>IF($B1708="","",IF(AND($AG1708&lt;&gt;"",$AI1708="",$AL1708=""),"保留中",IF($AL1708&lt;&gt;"",IF(N($AE1708)&gt;0,"支給済","不支給"),IF($AE1708="","要確認",IF($AE1708=0,"不支給","未処理")))))</f>
        <v/>
      </c>
      <c r="AG1708" s="12" t="n"/>
      <c r="AH1708" s="11" t="n"/>
      <c r="AI1708" s="11" t="n"/>
      <c r="AJ1708" s="11" t="n"/>
      <c r="AK1708" s="14">
        <f>IF(AND($AF1708="保留中",$AH1708&lt;&gt;""),TODAY()-$AH1708,"")</f>
        <v/>
      </c>
      <c r="AL1708" s="12" t="n"/>
      <c r="AM1708" s="14">
        <f>IF($B1708="","",IF($AQ1708="","対象年月が未入力／","")&amp;IF($B1708="","",IF($AP1708="","職員マスタに未登録の職員番号／",IF($AA1708="","標準報酬月額が未登録／","")&amp;IF(AND($AQ1708&lt;&gt;"",OR(AND(INDEX(職員マスタ!$G$6:$G$405,$AP1708)&lt;&gt;"",INDEX(職員マスタ!$G$6:$G$405,$AP1708)&gt;EOMONTH($AQ1708,0)),AND(INDEX(職員マスタ!$H$6:$H$405,$AP1708)&lt;&gt;"",INDEX(職員マスタ!$H$6:$H$405,$AP1708)&lt;$AQ1708))),"対象月が時短期間外／","")&amp;IF(AND(INDEX(職員マスタ!$K$6:$K$405,$AP1708)&lt;&gt;"",N($W1708)&gt;0,INDEX(職員マスタ!$K$6:$K$405,$AP1708)&lt;&gt;$W1708),"標準報酬月額が申請書と相違（台帳"&amp;TEXT(INDEX(職員マスタ!$K$6:$K$405,$AP1708),"#,##0")&amp;"円／申請書"&amp;TEXT($W1708,"#,##0")&amp;"円）／","")&amp;IF(AND(INDEX(職員マスタ!$F$6:$F$405,$AP1708)&lt;&gt;"",$AQ1708&lt;&gt;"",INDEX(職員マスタ!$F$6:$F$405,$AP1708)&lt;$AQ1708),"対象月に子が2歳到達済／","")&amp;IF(AND($H1708&lt;&gt;"",INDEX(職員マスタ!$B$6:$B$405,$AP1708)&lt;&gt;"",SUBSTITUTE(SUBSTITUTE($H1708," ","")," ","")&lt;&gt;SUBSTITUTE(SUBSTITUTE(INDEX(職員マスタ!$B$6:$B$405,$AP1708)," ","")," ","")),"氏名がマスタと相違／","")&amp;IF(AND($Q1708&lt;&gt;"",INDEX(職員マスタ!$E$6:$E$405,$AP1708)&lt;&gt;"",$Q1708&lt;&gt;INDEX(職員マスタ!$E$6:$E$405,$AP1708)),"子の生年月日がマスタと相違／","")&amp;IF(AND($L1708&lt;&gt;"",INDEX(職員マスタ!$G$6:$G$405,$AP1708)&lt;&gt;"",$L1708&lt;&gt;INDEX(職員マスタ!$G$6:$G$405,$AP1708)),"時短開始日がマスタと相違／","")&amp;IF(AND($M1708&lt;&gt;"",INDEX(職員マスタ!$H$6:$H$405,$AP1708)&lt;&gt;"",$M1708&lt;&gt;INDEX(職員マスタ!$H$6:$H$405,$AP1708)),"時短終了日がマスタと相違／","")))&amp;IF(AND($B1708&lt;&gt;"",$E1708=""),"報酬額が未入力／","")&amp;IF(N($U1708)&gt;0,"申請書に入力エラーが残っています／","")&amp;IF(AND($B1708&lt;&gt;"",$AQ1708&lt;&gt;""),IF(COUNTIFS($B$6:$B$3005,$B1708,$C$6:$C$3005,$C1708,$D$6:$D$3005,$D1708)&gt;1,"同じ月の請求が重複しています／",""),"")&amp;IF(AND(N($E1708)&gt;0,$AB1708&lt;&gt;"",$AB1708&lt;&gt;"×",$AE1708=0,$AD1708=""),"計算額が下限以下のため不支給／",""))</f>
        <v/>
      </c>
      <c r="AN1708" s="12" t="n"/>
      <c r="AO1708" s="14">
        <f>IF($AF1708="保留中",COUNTIF($AF$6:$AF1708,"保留中"),"")</f>
        <v/>
      </c>
      <c r="AP1708" s="14">
        <f>IF($AQ1708="","",IF(SUMPRODUCT(MAX((職員マスタ!$A$6:$A$405=$B1708)*(((職員マスタ!$G$6:$G$405="")+(職員マスタ!$G$6:$G$405&lt;=EOMONTH($AQ1708,0)))&gt;0)*(((職員マスタ!$H$6:$H$405="")+(職員マスタ!$H$6:$H$405&gt;=$AQ1708))&gt;0)*(ROW(職員マスタ!$A$6:$A$405)-5)))&gt;0,SUMPRODUCT(MAX((職員マスタ!$A$6:$A$405=$B1708)*(((職員マスタ!$G$6:$G$405="")+(職員マスタ!$G$6:$G$405&lt;=EOMONTH($AQ1708,0)))&gt;0)*(((職員マスタ!$H$6:$H$405="")+(職員マスタ!$H$6:$H$405&gt;=$AQ1708))&gt;0)*(ROW(職員マスタ!$A$6:$A$405)-5))),IFERROR(MATCH($B1708,職員マスタ!$A$6:$A$405,0),"")))</f>
        <v/>
      </c>
      <c r="AQ1708" s="16">
        <f>IF(OR($B1708="",$C1708="",$D1708=""),"",DATE($C1708+2018,$D1708,1))</f>
        <v/>
      </c>
    </row>
    <row r="1709">
      <c r="A1709" s="11" t="n"/>
      <c r="B1709" s="12" t="n"/>
      <c r="C1709" s="12" t="n"/>
      <c r="D1709" s="12" t="n"/>
      <c r="E1709" s="13" t="n"/>
      <c r="F1709" s="12" t="n"/>
      <c r="G1709" s="13" t="n"/>
      <c r="H1709" s="12" t="n"/>
      <c r="I1709" s="12" t="n"/>
      <c r="J1709" s="12" t="n"/>
      <c r="K1709" s="12" t="n"/>
      <c r="L1709" s="11" t="n"/>
      <c r="M1709" s="11" t="n"/>
      <c r="N1709" s="11" t="n"/>
      <c r="O1709" s="11" t="n"/>
      <c r="P1709" s="12" t="n"/>
      <c r="Q1709" s="11" t="n"/>
      <c r="R1709" s="12" t="n"/>
      <c r="S1709" s="11" t="n"/>
      <c r="T1709" s="12" t="n"/>
      <c r="U1709" s="12" t="n"/>
      <c r="V1709" s="12" t="n"/>
      <c r="W1709" s="13" t="n"/>
      <c r="X1709" s="14">
        <f>IF($AP1709="",IF($B1709="","",$H1709),IF(INDEX(職員マスタ!$B$6:$B$405,$AP1709)="",$H1709,INDEX(職員マスタ!$B$6:$B$405,$AP1709)))</f>
        <v/>
      </c>
      <c r="Y1709" s="14">
        <f>IF($AP1709="",IF($B1709="","",$R1709),IF(INDEX(職員マスタ!$C$6:$C$405,$AP1709)="",$R1709,INDEX(職員マスタ!$C$6:$C$405,$AP1709)))</f>
        <v/>
      </c>
      <c r="Z1709" s="14">
        <f>IF($AQ1709="","","R"&amp;$C1709&amp;"."&amp;$D1709)</f>
        <v/>
      </c>
      <c r="AA1709" s="15">
        <f>IF(IF($AP1709="",FALSE,INDEX(職員マスタ!$K$6:$K$405,$AP1709)&lt;&gt;""),INDEX(職員マスタ!$K$6:$K$405,$AP1709),IF(N($W1709)&gt;0,$W1709,""))</f>
        <v/>
      </c>
      <c r="AB1709" s="14">
        <f>IF(OR($E1709="",$AA1709=""),"",IF($E1709&gt;=$AA1709,"×",IF($E1709&gt;=$AA1709*設定!$C$5,"△","○")))</f>
        <v/>
      </c>
      <c r="AC1709" s="15">
        <f>IF($AB1709="","",IF($AB1709="×",0,IF($AB1709="○",ROUNDDOWN($E1709*設定!$C$4,0),ROUNDDOWN($E1709*ROUND((9*$AA1709-9*$E1709)/(10*$E1709),4),0))))</f>
        <v/>
      </c>
      <c r="AD1709" s="13" t="n"/>
      <c r="AE1709" s="15">
        <f>IF($B1709="","",IF($AD1709&lt;&gt;"",$AD1709,IF($AC1709="","",IF($AC1709&lt;=設定!$C$3,0,$AC1709))))</f>
        <v/>
      </c>
      <c r="AF1709" s="14">
        <f>IF($B1709="","",IF(AND($AG1709&lt;&gt;"",$AI1709="",$AL1709=""),"保留中",IF($AL1709&lt;&gt;"",IF(N($AE1709)&gt;0,"支給済","不支給"),IF($AE1709="","要確認",IF($AE1709=0,"不支給","未処理")))))</f>
        <v/>
      </c>
      <c r="AG1709" s="12" t="n"/>
      <c r="AH1709" s="11" t="n"/>
      <c r="AI1709" s="11" t="n"/>
      <c r="AJ1709" s="11" t="n"/>
      <c r="AK1709" s="14">
        <f>IF(AND($AF1709="保留中",$AH1709&lt;&gt;""),TODAY()-$AH1709,"")</f>
        <v/>
      </c>
      <c r="AL1709" s="12" t="n"/>
      <c r="AM1709" s="14">
        <f>IF($B1709="","",IF($AQ1709="","対象年月が未入力／","")&amp;IF($B1709="","",IF($AP1709="","職員マスタに未登録の職員番号／",IF($AA1709="","標準報酬月額が未登録／","")&amp;IF(AND($AQ1709&lt;&gt;"",OR(AND(INDEX(職員マスタ!$G$6:$G$405,$AP1709)&lt;&gt;"",INDEX(職員マスタ!$G$6:$G$405,$AP1709)&gt;EOMONTH($AQ1709,0)),AND(INDEX(職員マスタ!$H$6:$H$405,$AP1709)&lt;&gt;"",INDEX(職員マスタ!$H$6:$H$405,$AP1709)&lt;$AQ1709))),"対象月が時短期間外／","")&amp;IF(AND(INDEX(職員マスタ!$K$6:$K$405,$AP1709)&lt;&gt;"",N($W1709)&gt;0,INDEX(職員マスタ!$K$6:$K$405,$AP1709)&lt;&gt;$W1709),"標準報酬月額が申請書と相違（台帳"&amp;TEXT(INDEX(職員マスタ!$K$6:$K$405,$AP1709),"#,##0")&amp;"円／申請書"&amp;TEXT($W1709,"#,##0")&amp;"円）／","")&amp;IF(AND(INDEX(職員マスタ!$F$6:$F$405,$AP1709)&lt;&gt;"",$AQ1709&lt;&gt;"",INDEX(職員マスタ!$F$6:$F$405,$AP1709)&lt;$AQ1709),"対象月に子が2歳到達済／","")&amp;IF(AND($H1709&lt;&gt;"",INDEX(職員マスタ!$B$6:$B$405,$AP1709)&lt;&gt;"",SUBSTITUTE(SUBSTITUTE($H1709," ","")," ","")&lt;&gt;SUBSTITUTE(SUBSTITUTE(INDEX(職員マスタ!$B$6:$B$405,$AP1709)," ","")," ","")),"氏名がマスタと相違／","")&amp;IF(AND($Q1709&lt;&gt;"",INDEX(職員マスタ!$E$6:$E$405,$AP1709)&lt;&gt;"",$Q1709&lt;&gt;INDEX(職員マスタ!$E$6:$E$405,$AP1709)),"子の生年月日がマスタと相違／","")&amp;IF(AND($L1709&lt;&gt;"",INDEX(職員マスタ!$G$6:$G$405,$AP1709)&lt;&gt;"",$L1709&lt;&gt;INDEX(職員マスタ!$G$6:$G$405,$AP1709)),"時短開始日がマスタと相違／","")&amp;IF(AND($M1709&lt;&gt;"",INDEX(職員マスタ!$H$6:$H$405,$AP1709)&lt;&gt;"",$M1709&lt;&gt;INDEX(職員マスタ!$H$6:$H$405,$AP1709)),"時短終了日がマスタと相違／","")))&amp;IF(AND($B1709&lt;&gt;"",$E1709=""),"報酬額が未入力／","")&amp;IF(N($U1709)&gt;0,"申請書に入力エラーが残っています／","")&amp;IF(AND($B1709&lt;&gt;"",$AQ1709&lt;&gt;""),IF(COUNTIFS($B$6:$B$3005,$B1709,$C$6:$C$3005,$C1709,$D$6:$D$3005,$D1709)&gt;1,"同じ月の請求が重複しています／",""),"")&amp;IF(AND(N($E1709)&gt;0,$AB1709&lt;&gt;"",$AB1709&lt;&gt;"×",$AE1709=0,$AD1709=""),"計算額が下限以下のため不支給／",""))</f>
        <v/>
      </c>
      <c r="AN1709" s="12" t="n"/>
      <c r="AO1709" s="14">
        <f>IF($AF1709="保留中",COUNTIF($AF$6:$AF1709,"保留中"),"")</f>
        <v/>
      </c>
      <c r="AP1709" s="14">
        <f>IF($AQ1709="","",IF(SUMPRODUCT(MAX((職員マスタ!$A$6:$A$405=$B1709)*(((職員マスタ!$G$6:$G$405="")+(職員マスタ!$G$6:$G$405&lt;=EOMONTH($AQ1709,0)))&gt;0)*(((職員マスタ!$H$6:$H$405="")+(職員マスタ!$H$6:$H$405&gt;=$AQ1709))&gt;0)*(ROW(職員マスタ!$A$6:$A$405)-5)))&gt;0,SUMPRODUCT(MAX((職員マスタ!$A$6:$A$405=$B1709)*(((職員マスタ!$G$6:$G$405="")+(職員マスタ!$G$6:$G$405&lt;=EOMONTH($AQ1709,0)))&gt;0)*(((職員マスタ!$H$6:$H$405="")+(職員マスタ!$H$6:$H$405&gt;=$AQ1709))&gt;0)*(ROW(職員マスタ!$A$6:$A$405)-5))),IFERROR(MATCH($B1709,職員マスタ!$A$6:$A$405,0),"")))</f>
        <v/>
      </c>
      <c r="AQ1709" s="16">
        <f>IF(OR($B1709="",$C1709="",$D1709=""),"",DATE($C1709+2018,$D1709,1))</f>
        <v/>
      </c>
    </row>
    <row r="1710">
      <c r="A1710" s="11" t="n"/>
      <c r="B1710" s="12" t="n"/>
      <c r="C1710" s="12" t="n"/>
      <c r="D1710" s="12" t="n"/>
      <c r="E1710" s="13" t="n"/>
      <c r="F1710" s="12" t="n"/>
      <c r="G1710" s="13" t="n"/>
      <c r="H1710" s="12" t="n"/>
      <c r="I1710" s="12" t="n"/>
      <c r="J1710" s="12" t="n"/>
      <c r="K1710" s="12" t="n"/>
      <c r="L1710" s="11" t="n"/>
      <c r="M1710" s="11" t="n"/>
      <c r="N1710" s="11" t="n"/>
      <c r="O1710" s="11" t="n"/>
      <c r="P1710" s="12" t="n"/>
      <c r="Q1710" s="11" t="n"/>
      <c r="R1710" s="12" t="n"/>
      <c r="S1710" s="11" t="n"/>
      <c r="T1710" s="12" t="n"/>
      <c r="U1710" s="12" t="n"/>
      <c r="V1710" s="12" t="n"/>
      <c r="W1710" s="13" t="n"/>
      <c r="X1710" s="14">
        <f>IF($AP1710="",IF($B1710="","",$H1710),IF(INDEX(職員マスタ!$B$6:$B$405,$AP1710)="",$H1710,INDEX(職員マスタ!$B$6:$B$405,$AP1710)))</f>
        <v/>
      </c>
      <c r="Y1710" s="14">
        <f>IF($AP1710="",IF($B1710="","",$R1710),IF(INDEX(職員マスタ!$C$6:$C$405,$AP1710)="",$R1710,INDEX(職員マスタ!$C$6:$C$405,$AP1710)))</f>
        <v/>
      </c>
      <c r="Z1710" s="14">
        <f>IF($AQ1710="","","R"&amp;$C1710&amp;"."&amp;$D1710)</f>
        <v/>
      </c>
      <c r="AA1710" s="15">
        <f>IF(IF($AP1710="",FALSE,INDEX(職員マスタ!$K$6:$K$405,$AP1710)&lt;&gt;""),INDEX(職員マスタ!$K$6:$K$405,$AP1710),IF(N($W1710)&gt;0,$W1710,""))</f>
        <v/>
      </c>
      <c r="AB1710" s="14">
        <f>IF(OR($E1710="",$AA1710=""),"",IF($E1710&gt;=$AA1710,"×",IF($E1710&gt;=$AA1710*設定!$C$5,"△","○")))</f>
        <v/>
      </c>
      <c r="AC1710" s="15">
        <f>IF($AB1710="","",IF($AB1710="×",0,IF($AB1710="○",ROUNDDOWN($E1710*設定!$C$4,0),ROUNDDOWN($E1710*ROUND((9*$AA1710-9*$E1710)/(10*$E1710),4),0))))</f>
        <v/>
      </c>
      <c r="AD1710" s="13" t="n"/>
      <c r="AE1710" s="15">
        <f>IF($B1710="","",IF($AD1710&lt;&gt;"",$AD1710,IF($AC1710="","",IF($AC1710&lt;=設定!$C$3,0,$AC1710))))</f>
        <v/>
      </c>
      <c r="AF1710" s="14">
        <f>IF($B1710="","",IF(AND($AG1710&lt;&gt;"",$AI1710="",$AL1710=""),"保留中",IF($AL1710&lt;&gt;"",IF(N($AE1710)&gt;0,"支給済","不支給"),IF($AE1710="","要確認",IF($AE1710=0,"不支給","未処理")))))</f>
        <v/>
      </c>
      <c r="AG1710" s="12" t="n"/>
      <c r="AH1710" s="11" t="n"/>
      <c r="AI1710" s="11" t="n"/>
      <c r="AJ1710" s="11" t="n"/>
      <c r="AK1710" s="14">
        <f>IF(AND($AF1710="保留中",$AH1710&lt;&gt;""),TODAY()-$AH1710,"")</f>
        <v/>
      </c>
      <c r="AL1710" s="12" t="n"/>
      <c r="AM1710" s="14">
        <f>IF($B1710="","",IF($AQ1710="","対象年月が未入力／","")&amp;IF($B1710="","",IF($AP1710="","職員マスタに未登録の職員番号／",IF($AA1710="","標準報酬月額が未登録／","")&amp;IF(AND($AQ1710&lt;&gt;"",OR(AND(INDEX(職員マスタ!$G$6:$G$405,$AP1710)&lt;&gt;"",INDEX(職員マスタ!$G$6:$G$405,$AP1710)&gt;EOMONTH($AQ1710,0)),AND(INDEX(職員マスタ!$H$6:$H$405,$AP1710)&lt;&gt;"",INDEX(職員マスタ!$H$6:$H$405,$AP1710)&lt;$AQ1710))),"対象月が時短期間外／","")&amp;IF(AND(INDEX(職員マスタ!$K$6:$K$405,$AP1710)&lt;&gt;"",N($W1710)&gt;0,INDEX(職員マスタ!$K$6:$K$405,$AP1710)&lt;&gt;$W1710),"標準報酬月額が申請書と相違（台帳"&amp;TEXT(INDEX(職員マスタ!$K$6:$K$405,$AP1710),"#,##0")&amp;"円／申請書"&amp;TEXT($W1710,"#,##0")&amp;"円）／","")&amp;IF(AND(INDEX(職員マスタ!$F$6:$F$405,$AP1710)&lt;&gt;"",$AQ1710&lt;&gt;"",INDEX(職員マスタ!$F$6:$F$405,$AP1710)&lt;$AQ1710),"対象月に子が2歳到達済／","")&amp;IF(AND($H1710&lt;&gt;"",INDEX(職員マスタ!$B$6:$B$405,$AP1710)&lt;&gt;"",SUBSTITUTE(SUBSTITUTE($H1710," ","")," ","")&lt;&gt;SUBSTITUTE(SUBSTITUTE(INDEX(職員マスタ!$B$6:$B$405,$AP1710)," ","")," ","")),"氏名がマスタと相違／","")&amp;IF(AND($Q1710&lt;&gt;"",INDEX(職員マスタ!$E$6:$E$405,$AP1710)&lt;&gt;"",$Q1710&lt;&gt;INDEX(職員マスタ!$E$6:$E$405,$AP1710)),"子の生年月日がマスタと相違／","")&amp;IF(AND($L1710&lt;&gt;"",INDEX(職員マスタ!$G$6:$G$405,$AP1710)&lt;&gt;"",$L1710&lt;&gt;INDEX(職員マスタ!$G$6:$G$405,$AP1710)),"時短開始日がマスタと相違／","")&amp;IF(AND($M1710&lt;&gt;"",INDEX(職員マスタ!$H$6:$H$405,$AP1710)&lt;&gt;"",$M1710&lt;&gt;INDEX(職員マスタ!$H$6:$H$405,$AP1710)),"時短終了日がマスタと相違／","")))&amp;IF(AND($B1710&lt;&gt;"",$E1710=""),"報酬額が未入力／","")&amp;IF(N($U1710)&gt;0,"申請書に入力エラーが残っています／","")&amp;IF(AND($B1710&lt;&gt;"",$AQ1710&lt;&gt;""),IF(COUNTIFS($B$6:$B$3005,$B1710,$C$6:$C$3005,$C1710,$D$6:$D$3005,$D1710)&gt;1,"同じ月の請求が重複しています／",""),"")&amp;IF(AND(N($E1710)&gt;0,$AB1710&lt;&gt;"",$AB1710&lt;&gt;"×",$AE1710=0,$AD1710=""),"計算額が下限以下のため不支給／",""))</f>
        <v/>
      </c>
      <c r="AN1710" s="12" t="n"/>
      <c r="AO1710" s="14">
        <f>IF($AF1710="保留中",COUNTIF($AF$6:$AF1710,"保留中"),"")</f>
        <v/>
      </c>
      <c r="AP1710" s="14">
        <f>IF($AQ1710="","",IF(SUMPRODUCT(MAX((職員マスタ!$A$6:$A$405=$B1710)*(((職員マスタ!$G$6:$G$405="")+(職員マスタ!$G$6:$G$405&lt;=EOMONTH($AQ1710,0)))&gt;0)*(((職員マスタ!$H$6:$H$405="")+(職員マスタ!$H$6:$H$405&gt;=$AQ1710))&gt;0)*(ROW(職員マスタ!$A$6:$A$405)-5)))&gt;0,SUMPRODUCT(MAX((職員マスタ!$A$6:$A$405=$B1710)*(((職員マスタ!$G$6:$G$405="")+(職員マスタ!$G$6:$G$405&lt;=EOMONTH($AQ1710,0)))&gt;0)*(((職員マスタ!$H$6:$H$405="")+(職員マスタ!$H$6:$H$405&gt;=$AQ1710))&gt;0)*(ROW(職員マスタ!$A$6:$A$405)-5))),IFERROR(MATCH($B1710,職員マスタ!$A$6:$A$405,0),"")))</f>
        <v/>
      </c>
      <c r="AQ1710" s="16">
        <f>IF(OR($B1710="",$C1710="",$D1710=""),"",DATE($C1710+2018,$D1710,1))</f>
        <v/>
      </c>
    </row>
    <row r="1711">
      <c r="A1711" s="11" t="n"/>
      <c r="B1711" s="12" t="n"/>
      <c r="C1711" s="12" t="n"/>
      <c r="D1711" s="12" t="n"/>
      <c r="E1711" s="13" t="n"/>
      <c r="F1711" s="12" t="n"/>
      <c r="G1711" s="13" t="n"/>
      <c r="H1711" s="12" t="n"/>
      <c r="I1711" s="12" t="n"/>
      <c r="J1711" s="12" t="n"/>
      <c r="K1711" s="12" t="n"/>
      <c r="L1711" s="11" t="n"/>
      <c r="M1711" s="11" t="n"/>
      <c r="N1711" s="11" t="n"/>
      <c r="O1711" s="11" t="n"/>
      <c r="P1711" s="12" t="n"/>
      <c r="Q1711" s="11" t="n"/>
      <c r="R1711" s="12" t="n"/>
      <c r="S1711" s="11" t="n"/>
      <c r="T1711" s="12" t="n"/>
      <c r="U1711" s="12" t="n"/>
      <c r="V1711" s="12" t="n"/>
      <c r="W1711" s="13" t="n"/>
      <c r="X1711" s="14">
        <f>IF($AP1711="",IF($B1711="","",$H1711),IF(INDEX(職員マスタ!$B$6:$B$405,$AP1711)="",$H1711,INDEX(職員マスタ!$B$6:$B$405,$AP1711)))</f>
        <v/>
      </c>
      <c r="Y1711" s="14">
        <f>IF($AP1711="",IF($B1711="","",$R1711),IF(INDEX(職員マスタ!$C$6:$C$405,$AP1711)="",$R1711,INDEX(職員マスタ!$C$6:$C$405,$AP1711)))</f>
        <v/>
      </c>
      <c r="Z1711" s="14">
        <f>IF($AQ1711="","","R"&amp;$C1711&amp;"."&amp;$D1711)</f>
        <v/>
      </c>
      <c r="AA1711" s="15">
        <f>IF(IF($AP1711="",FALSE,INDEX(職員マスタ!$K$6:$K$405,$AP1711)&lt;&gt;""),INDEX(職員マスタ!$K$6:$K$405,$AP1711),IF(N($W1711)&gt;0,$W1711,""))</f>
        <v/>
      </c>
      <c r="AB1711" s="14">
        <f>IF(OR($E1711="",$AA1711=""),"",IF($E1711&gt;=$AA1711,"×",IF($E1711&gt;=$AA1711*設定!$C$5,"△","○")))</f>
        <v/>
      </c>
      <c r="AC1711" s="15">
        <f>IF($AB1711="","",IF($AB1711="×",0,IF($AB1711="○",ROUNDDOWN($E1711*設定!$C$4,0),ROUNDDOWN($E1711*ROUND((9*$AA1711-9*$E1711)/(10*$E1711),4),0))))</f>
        <v/>
      </c>
      <c r="AD1711" s="13" t="n"/>
      <c r="AE1711" s="15">
        <f>IF($B1711="","",IF($AD1711&lt;&gt;"",$AD1711,IF($AC1711="","",IF($AC1711&lt;=設定!$C$3,0,$AC1711))))</f>
        <v/>
      </c>
      <c r="AF1711" s="14">
        <f>IF($B1711="","",IF(AND($AG1711&lt;&gt;"",$AI1711="",$AL1711=""),"保留中",IF($AL1711&lt;&gt;"",IF(N($AE1711)&gt;0,"支給済","不支給"),IF($AE1711="","要確認",IF($AE1711=0,"不支給","未処理")))))</f>
        <v/>
      </c>
      <c r="AG1711" s="12" t="n"/>
      <c r="AH1711" s="11" t="n"/>
      <c r="AI1711" s="11" t="n"/>
      <c r="AJ1711" s="11" t="n"/>
      <c r="AK1711" s="14">
        <f>IF(AND($AF1711="保留中",$AH1711&lt;&gt;""),TODAY()-$AH1711,"")</f>
        <v/>
      </c>
      <c r="AL1711" s="12" t="n"/>
      <c r="AM1711" s="14">
        <f>IF($B1711="","",IF($AQ1711="","対象年月が未入力／","")&amp;IF($B1711="","",IF($AP1711="","職員マスタに未登録の職員番号／",IF($AA1711="","標準報酬月額が未登録／","")&amp;IF(AND($AQ1711&lt;&gt;"",OR(AND(INDEX(職員マスタ!$G$6:$G$405,$AP1711)&lt;&gt;"",INDEX(職員マスタ!$G$6:$G$405,$AP1711)&gt;EOMONTH($AQ1711,0)),AND(INDEX(職員マスタ!$H$6:$H$405,$AP1711)&lt;&gt;"",INDEX(職員マスタ!$H$6:$H$405,$AP1711)&lt;$AQ1711))),"対象月が時短期間外／","")&amp;IF(AND(INDEX(職員マスタ!$K$6:$K$405,$AP1711)&lt;&gt;"",N($W1711)&gt;0,INDEX(職員マスタ!$K$6:$K$405,$AP1711)&lt;&gt;$W1711),"標準報酬月額が申請書と相違（台帳"&amp;TEXT(INDEX(職員マスタ!$K$6:$K$405,$AP1711),"#,##0")&amp;"円／申請書"&amp;TEXT($W1711,"#,##0")&amp;"円）／","")&amp;IF(AND(INDEX(職員マスタ!$F$6:$F$405,$AP1711)&lt;&gt;"",$AQ1711&lt;&gt;"",INDEX(職員マスタ!$F$6:$F$405,$AP1711)&lt;$AQ1711),"対象月に子が2歳到達済／","")&amp;IF(AND($H1711&lt;&gt;"",INDEX(職員マスタ!$B$6:$B$405,$AP1711)&lt;&gt;"",SUBSTITUTE(SUBSTITUTE($H1711," ","")," ","")&lt;&gt;SUBSTITUTE(SUBSTITUTE(INDEX(職員マスタ!$B$6:$B$405,$AP1711)," ","")," ","")),"氏名がマスタと相違／","")&amp;IF(AND($Q1711&lt;&gt;"",INDEX(職員マスタ!$E$6:$E$405,$AP1711)&lt;&gt;"",$Q1711&lt;&gt;INDEX(職員マスタ!$E$6:$E$405,$AP1711)),"子の生年月日がマスタと相違／","")&amp;IF(AND($L1711&lt;&gt;"",INDEX(職員マスタ!$G$6:$G$405,$AP1711)&lt;&gt;"",$L1711&lt;&gt;INDEX(職員マスタ!$G$6:$G$405,$AP1711)),"時短開始日がマスタと相違／","")&amp;IF(AND($M1711&lt;&gt;"",INDEX(職員マスタ!$H$6:$H$405,$AP1711)&lt;&gt;"",$M1711&lt;&gt;INDEX(職員マスタ!$H$6:$H$405,$AP1711)),"時短終了日がマスタと相違／","")))&amp;IF(AND($B1711&lt;&gt;"",$E1711=""),"報酬額が未入力／","")&amp;IF(N($U1711)&gt;0,"申請書に入力エラーが残っています／","")&amp;IF(AND($B1711&lt;&gt;"",$AQ1711&lt;&gt;""),IF(COUNTIFS($B$6:$B$3005,$B1711,$C$6:$C$3005,$C1711,$D$6:$D$3005,$D1711)&gt;1,"同じ月の請求が重複しています／",""),"")&amp;IF(AND(N($E1711)&gt;0,$AB1711&lt;&gt;"",$AB1711&lt;&gt;"×",$AE1711=0,$AD1711=""),"計算額が下限以下のため不支給／",""))</f>
        <v/>
      </c>
      <c r="AN1711" s="12" t="n"/>
      <c r="AO1711" s="14">
        <f>IF($AF1711="保留中",COUNTIF($AF$6:$AF1711,"保留中"),"")</f>
        <v/>
      </c>
      <c r="AP1711" s="14">
        <f>IF($AQ1711="","",IF(SUMPRODUCT(MAX((職員マスタ!$A$6:$A$405=$B1711)*(((職員マスタ!$G$6:$G$405="")+(職員マスタ!$G$6:$G$405&lt;=EOMONTH($AQ1711,0)))&gt;0)*(((職員マスタ!$H$6:$H$405="")+(職員マスタ!$H$6:$H$405&gt;=$AQ1711))&gt;0)*(ROW(職員マスタ!$A$6:$A$405)-5)))&gt;0,SUMPRODUCT(MAX((職員マスタ!$A$6:$A$405=$B1711)*(((職員マスタ!$G$6:$G$405="")+(職員マスタ!$G$6:$G$405&lt;=EOMONTH($AQ1711,0)))&gt;0)*(((職員マスタ!$H$6:$H$405="")+(職員マスタ!$H$6:$H$405&gt;=$AQ1711))&gt;0)*(ROW(職員マスタ!$A$6:$A$405)-5))),IFERROR(MATCH($B1711,職員マスタ!$A$6:$A$405,0),"")))</f>
        <v/>
      </c>
      <c r="AQ1711" s="16">
        <f>IF(OR($B1711="",$C1711="",$D1711=""),"",DATE($C1711+2018,$D1711,1))</f>
        <v/>
      </c>
    </row>
    <row r="1712">
      <c r="A1712" s="11" t="n"/>
      <c r="B1712" s="12" t="n"/>
      <c r="C1712" s="12" t="n"/>
      <c r="D1712" s="12" t="n"/>
      <c r="E1712" s="13" t="n"/>
      <c r="F1712" s="12" t="n"/>
      <c r="G1712" s="13" t="n"/>
      <c r="H1712" s="12" t="n"/>
      <c r="I1712" s="12" t="n"/>
      <c r="J1712" s="12" t="n"/>
      <c r="K1712" s="12" t="n"/>
      <c r="L1712" s="11" t="n"/>
      <c r="M1712" s="11" t="n"/>
      <c r="N1712" s="11" t="n"/>
      <c r="O1712" s="11" t="n"/>
      <c r="P1712" s="12" t="n"/>
      <c r="Q1712" s="11" t="n"/>
      <c r="R1712" s="12" t="n"/>
      <c r="S1712" s="11" t="n"/>
      <c r="T1712" s="12" t="n"/>
      <c r="U1712" s="12" t="n"/>
      <c r="V1712" s="12" t="n"/>
      <c r="W1712" s="13" t="n"/>
      <c r="X1712" s="14">
        <f>IF($AP1712="",IF($B1712="","",$H1712),IF(INDEX(職員マスタ!$B$6:$B$405,$AP1712)="",$H1712,INDEX(職員マスタ!$B$6:$B$405,$AP1712)))</f>
        <v/>
      </c>
      <c r="Y1712" s="14">
        <f>IF($AP1712="",IF($B1712="","",$R1712),IF(INDEX(職員マスタ!$C$6:$C$405,$AP1712)="",$R1712,INDEX(職員マスタ!$C$6:$C$405,$AP1712)))</f>
        <v/>
      </c>
      <c r="Z1712" s="14">
        <f>IF($AQ1712="","","R"&amp;$C1712&amp;"."&amp;$D1712)</f>
        <v/>
      </c>
      <c r="AA1712" s="15">
        <f>IF(IF($AP1712="",FALSE,INDEX(職員マスタ!$K$6:$K$405,$AP1712)&lt;&gt;""),INDEX(職員マスタ!$K$6:$K$405,$AP1712),IF(N($W1712)&gt;0,$W1712,""))</f>
        <v/>
      </c>
      <c r="AB1712" s="14">
        <f>IF(OR($E1712="",$AA1712=""),"",IF($E1712&gt;=$AA1712,"×",IF($E1712&gt;=$AA1712*設定!$C$5,"△","○")))</f>
        <v/>
      </c>
      <c r="AC1712" s="15">
        <f>IF($AB1712="","",IF($AB1712="×",0,IF($AB1712="○",ROUNDDOWN($E1712*設定!$C$4,0),ROUNDDOWN($E1712*ROUND((9*$AA1712-9*$E1712)/(10*$E1712),4),0))))</f>
        <v/>
      </c>
      <c r="AD1712" s="13" t="n"/>
      <c r="AE1712" s="15">
        <f>IF($B1712="","",IF($AD1712&lt;&gt;"",$AD1712,IF($AC1712="","",IF($AC1712&lt;=設定!$C$3,0,$AC1712))))</f>
        <v/>
      </c>
      <c r="AF1712" s="14">
        <f>IF($B1712="","",IF(AND($AG1712&lt;&gt;"",$AI1712="",$AL1712=""),"保留中",IF($AL1712&lt;&gt;"",IF(N($AE1712)&gt;0,"支給済","不支給"),IF($AE1712="","要確認",IF($AE1712=0,"不支給","未処理")))))</f>
        <v/>
      </c>
      <c r="AG1712" s="12" t="n"/>
      <c r="AH1712" s="11" t="n"/>
      <c r="AI1712" s="11" t="n"/>
      <c r="AJ1712" s="11" t="n"/>
      <c r="AK1712" s="14">
        <f>IF(AND($AF1712="保留中",$AH1712&lt;&gt;""),TODAY()-$AH1712,"")</f>
        <v/>
      </c>
      <c r="AL1712" s="12" t="n"/>
      <c r="AM1712" s="14">
        <f>IF($B1712="","",IF($AQ1712="","対象年月が未入力／","")&amp;IF($B1712="","",IF($AP1712="","職員マスタに未登録の職員番号／",IF($AA1712="","標準報酬月額が未登録／","")&amp;IF(AND($AQ1712&lt;&gt;"",OR(AND(INDEX(職員マスタ!$G$6:$G$405,$AP1712)&lt;&gt;"",INDEX(職員マスタ!$G$6:$G$405,$AP1712)&gt;EOMONTH($AQ1712,0)),AND(INDEX(職員マスタ!$H$6:$H$405,$AP1712)&lt;&gt;"",INDEX(職員マスタ!$H$6:$H$405,$AP1712)&lt;$AQ1712))),"対象月が時短期間外／","")&amp;IF(AND(INDEX(職員マスタ!$K$6:$K$405,$AP1712)&lt;&gt;"",N($W1712)&gt;0,INDEX(職員マスタ!$K$6:$K$405,$AP1712)&lt;&gt;$W1712),"標準報酬月額が申請書と相違（台帳"&amp;TEXT(INDEX(職員マスタ!$K$6:$K$405,$AP1712),"#,##0")&amp;"円／申請書"&amp;TEXT($W1712,"#,##0")&amp;"円）／","")&amp;IF(AND(INDEX(職員マスタ!$F$6:$F$405,$AP1712)&lt;&gt;"",$AQ1712&lt;&gt;"",INDEX(職員マスタ!$F$6:$F$405,$AP1712)&lt;$AQ1712),"対象月に子が2歳到達済／","")&amp;IF(AND($H1712&lt;&gt;"",INDEX(職員マスタ!$B$6:$B$405,$AP1712)&lt;&gt;"",SUBSTITUTE(SUBSTITUTE($H1712," ","")," ","")&lt;&gt;SUBSTITUTE(SUBSTITUTE(INDEX(職員マスタ!$B$6:$B$405,$AP1712)," ","")," ","")),"氏名がマスタと相違／","")&amp;IF(AND($Q1712&lt;&gt;"",INDEX(職員マスタ!$E$6:$E$405,$AP1712)&lt;&gt;"",$Q1712&lt;&gt;INDEX(職員マスタ!$E$6:$E$405,$AP1712)),"子の生年月日がマスタと相違／","")&amp;IF(AND($L1712&lt;&gt;"",INDEX(職員マスタ!$G$6:$G$405,$AP1712)&lt;&gt;"",$L1712&lt;&gt;INDEX(職員マスタ!$G$6:$G$405,$AP1712)),"時短開始日がマスタと相違／","")&amp;IF(AND($M1712&lt;&gt;"",INDEX(職員マスタ!$H$6:$H$405,$AP1712)&lt;&gt;"",$M1712&lt;&gt;INDEX(職員マスタ!$H$6:$H$405,$AP1712)),"時短終了日がマスタと相違／","")))&amp;IF(AND($B1712&lt;&gt;"",$E1712=""),"報酬額が未入力／","")&amp;IF(N($U1712)&gt;0,"申請書に入力エラーが残っています／","")&amp;IF(AND($B1712&lt;&gt;"",$AQ1712&lt;&gt;""),IF(COUNTIFS($B$6:$B$3005,$B1712,$C$6:$C$3005,$C1712,$D$6:$D$3005,$D1712)&gt;1,"同じ月の請求が重複しています／",""),"")&amp;IF(AND(N($E1712)&gt;0,$AB1712&lt;&gt;"",$AB1712&lt;&gt;"×",$AE1712=0,$AD1712=""),"計算額が下限以下のため不支給／",""))</f>
        <v/>
      </c>
      <c r="AN1712" s="12" t="n"/>
      <c r="AO1712" s="14">
        <f>IF($AF1712="保留中",COUNTIF($AF$6:$AF1712,"保留中"),"")</f>
        <v/>
      </c>
      <c r="AP1712" s="14">
        <f>IF($AQ1712="","",IF(SUMPRODUCT(MAX((職員マスタ!$A$6:$A$405=$B1712)*(((職員マスタ!$G$6:$G$405="")+(職員マスタ!$G$6:$G$405&lt;=EOMONTH($AQ1712,0)))&gt;0)*(((職員マスタ!$H$6:$H$405="")+(職員マスタ!$H$6:$H$405&gt;=$AQ1712))&gt;0)*(ROW(職員マスタ!$A$6:$A$405)-5)))&gt;0,SUMPRODUCT(MAX((職員マスタ!$A$6:$A$405=$B1712)*(((職員マスタ!$G$6:$G$405="")+(職員マスタ!$G$6:$G$405&lt;=EOMONTH($AQ1712,0)))&gt;0)*(((職員マスタ!$H$6:$H$405="")+(職員マスタ!$H$6:$H$405&gt;=$AQ1712))&gt;0)*(ROW(職員マスタ!$A$6:$A$405)-5))),IFERROR(MATCH($B1712,職員マスタ!$A$6:$A$405,0),"")))</f>
        <v/>
      </c>
      <c r="AQ1712" s="16">
        <f>IF(OR($B1712="",$C1712="",$D1712=""),"",DATE($C1712+2018,$D1712,1))</f>
        <v/>
      </c>
    </row>
    <row r="1713">
      <c r="A1713" s="11" t="n"/>
      <c r="B1713" s="12" t="n"/>
      <c r="C1713" s="12" t="n"/>
      <c r="D1713" s="12" t="n"/>
      <c r="E1713" s="13" t="n"/>
      <c r="F1713" s="12" t="n"/>
      <c r="G1713" s="13" t="n"/>
      <c r="H1713" s="12" t="n"/>
      <c r="I1713" s="12" t="n"/>
      <c r="J1713" s="12" t="n"/>
      <c r="K1713" s="12" t="n"/>
      <c r="L1713" s="11" t="n"/>
      <c r="M1713" s="11" t="n"/>
      <c r="N1713" s="11" t="n"/>
      <c r="O1713" s="11" t="n"/>
      <c r="P1713" s="12" t="n"/>
      <c r="Q1713" s="11" t="n"/>
      <c r="R1713" s="12" t="n"/>
      <c r="S1713" s="11" t="n"/>
      <c r="T1713" s="12" t="n"/>
      <c r="U1713" s="12" t="n"/>
      <c r="V1713" s="12" t="n"/>
      <c r="W1713" s="13" t="n"/>
      <c r="X1713" s="14">
        <f>IF($AP1713="",IF($B1713="","",$H1713),IF(INDEX(職員マスタ!$B$6:$B$405,$AP1713)="",$H1713,INDEX(職員マスタ!$B$6:$B$405,$AP1713)))</f>
        <v/>
      </c>
      <c r="Y1713" s="14">
        <f>IF($AP1713="",IF($B1713="","",$R1713),IF(INDEX(職員マスタ!$C$6:$C$405,$AP1713)="",$R1713,INDEX(職員マスタ!$C$6:$C$405,$AP1713)))</f>
        <v/>
      </c>
      <c r="Z1713" s="14">
        <f>IF($AQ1713="","","R"&amp;$C1713&amp;"."&amp;$D1713)</f>
        <v/>
      </c>
      <c r="AA1713" s="15">
        <f>IF(IF($AP1713="",FALSE,INDEX(職員マスタ!$K$6:$K$405,$AP1713)&lt;&gt;""),INDEX(職員マスタ!$K$6:$K$405,$AP1713),IF(N($W1713)&gt;0,$W1713,""))</f>
        <v/>
      </c>
      <c r="AB1713" s="14">
        <f>IF(OR($E1713="",$AA1713=""),"",IF($E1713&gt;=$AA1713,"×",IF($E1713&gt;=$AA1713*設定!$C$5,"△","○")))</f>
        <v/>
      </c>
      <c r="AC1713" s="15">
        <f>IF($AB1713="","",IF($AB1713="×",0,IF($AB1713="○",ROUNDDOWN($E1713*設定!$C$4,0),ROUNDDOWN($E1713*ROUND((9*$AA1713-9*$E1713)/(10*$E1713),4),0))))</f>
        <v/>
      </c>
      <c r="AD1713" s="13" t="n"/>
      <c r="AE1713" s="15">
        <f>IF($B1713="","",IF($AD1713&lt;&gt;"",$AD1713,IF($AC1713="","",IF($AC1713&lt;=設定!$C$3,0,$AC1713))))</f>
        <v/>
      </c>
      <c r="AF1713" s="14">
        <f>IF($B1713="","",IF(AND($AG1713&lt;&gt;"",$AI1713="",$AL1713=""),"保留中",IF($AL1713&lt;&gt;"",IF(N($AE1713)&gt;0,"支給済","不支給"),IF($AE1713="","要確認",IF($AE1713=0,"不支給","未処理")))))</f>
        <v/>
      </c>
      <c r="AG1713" s="12" t="n"/>
      <c r="AH1713" s="11" t="n"/>
      <c r="AI1713" s="11" t="n"/>
      <c r="AJ1713" s="11" t="n"/>
      <c r="AK1713" s="14">
        <f>IF(AND($AF1713="保留中",$AH1713&lt;&gt;""),TODAY()-$AH1713,"")</f>
        <v/>
      </c>
      <c r="AL1713" s="12" t="n"/>
      <c r="AM1713" s="14">
        <f>IF($B1713="","",IF($AQ1713="","対象年月が未入力／","")&amp;IF($B1713="","",IF($AP1713="","職員マスタに未登録の職員番号／",IF($AA1713="","標準報酬月額が未登録／","")&amp;IF(AND($AQ1713&lt;&gt;"",OR(AND(INDEX(職員マスタ!$G$6:$G$405,$AP1713)&lt;&gt;"",INDEX(職員マスタ!$G$6:$G$405,$AP1713)&gt;EOMONTH($AQ1713,0)),AND(INDEX(職員マスタ!$H$6:$H$405,$AP1713)&lt;&gt;"",INDEX(職員マスタ!$H$6:$H$405,$AP1713)&lt;$AQ1713))),"対象月が時短期間外／","")&amp;IF(AND(INDEX(職員マスタ!$K$6:$K$405,$AP1713)&lt;&gt;"",N($W1713)&gt;0,INDEX(職員マスタ!$K$6:$K$405,$AP1713)&lt;&gt;$W1713),"標準報酬月額が申請書と相違（台帳"&amp;TEXT(INDEX(職員マスタ!$K$6:$K$405,$AP1713),"#,##0")&amp;"円／申請書"&amp;TEXT($W1713,"#,##0")&amp;"円）／","")&amp;IF(AND(INDEX(職員マスタ!$F$6:$F$405,$AP1713)&lt;&gt;"",$AQ1713&lt;&gt;"",INDEX(職員マスタ!$F$6:$F$405,$AP1713)&lt;$AQ1713),"対象月に子が2歳到達済／","")&amp;IF(AND($H1713&lt;&gt;"",INDEX(職員マスタ!$B$6:$B$405,$AP1713)&lt;&gt;"",SUBSTITUTE(SUBSTITUTE($H1713," ","")," ","")&lt;&gt;SUBSTITUTE(SUBSTITUTE(INDEX(職員マスタ!$B$6:$B$405,$AP1713)," ","")," ","")),"氏名がマスタと相違／","")&amp;IF(AND($Q1713&lt;&gt;"",INDEX(職員マスタ!$E$6:$E$405,$AP1713)&lt;&gt;"",$Q1713&lt;&gt;INDEX(職員マスタ!$E$6:$E$405,$AP1713)),"子の生年月日がマスタと相違／","")&amp;IF(AND($L1713&lt;&gt;"",INDEX(職員マスタ!$G$6:$G$405,$AP1713)&lt;&gt;"",$L1713&lt;&gt;INDEX(職員マスタ!$G$6:$G$405,$AP1713)),"時短開始日がマスタと相違／","")&amp;IF(AND($M1713&lt;&gt;"",INDEX(職員マスタ!$H$6:$H$405,$AP1713)&lt;&gt;"",$M1713&lt;&gt;INDEX(職員マスタ!$H$6:$H$405,$AP1713)),"時短終了日がマスタと相違／","")))&amp;IF(AND($B1713&lt;&gt;"",$E1713=""),"報酬額が未入力／","")&amp;IF(N($U1713)&gt;0,"申請書に入力エラーが残っています／","")&amp;IF(AND($B1713&lt;&gt;"",$AQ1713&lt;&gt;""),IF(COUNTIFS($B$6:$B$3005,$B1713,$C$6:$C$3005,$C1713,$D$6:$D$3005,$D1713)&gt;1,"同じ月の請求が重複しています／",""),"")&amp;IF(AND(N($E1713)&gt;0,$AB1713&lt;&gt;"",$AB1713&lt;&gt;"×",$AE1713=0,$AD1713=""),"計算額が下限以下のため不支給／",""))</f>
        <v/>
      </c>
      <c r="AN1713" s="12" t="n"/>
      <c r="AO1713" s="14">
        <f>IF($AF1713="保留中",COUNTIF($AF$6:$AF1713,"保留中"),"")</f>
        <v/>
      </c>
      <c r="AP1713" s="14">
        <f>IF($AQ1713="","",IF(SUMPRODUCT(MAX((職員マスタ!$A$6:$A$405=$B1713)*(((職員マスタ!$G$6:$G$405="")+(職員マスタ!$G$6:$G$405&lt;=EOMONTH($AQ1713,0)))&gt;0)*(((職員マスタ!$H$6:$H$405="")+(職員マスタ!$H$6:$H$405&gt;=$AQ1713))&gt;0)*(ROW(職員マスタ!$A$6:$A$405)-5)))&gt;0,SUMPRODUCT(MAX((職員マスタ!$A$6:$A$405=$B1713)*(((職員マスタ!$G$6:$G$405="")+(職員マスタ!$G$6:$G$405&lt;=EOMONTH($AQ1713,0)))&gt;0)*(((職員マスタ!$H$6:$H$405="")+(職員マスタ!$H$6:$H$405&gt;=$AQ1713))&gt;0)*(ROW(職員マスタ!$A$6:$A$405)-5))),IFERROR(MATCH($B1713,職員マスタ!$A$6:$A$405,0),"")))</f>
        <v/>
      </c>
      <c r="AQ1713" s="16">
        <f>IF(OR($B1713="",$C1713="",$D1713=""),"",DATE($C1713+2018,$D1713,1))</f>
        <v/>
      </c>
    </row>
    <row r="1714">
      <c r="A1714" s="11" t="n"/>
      <c r="B1714" s="12" t="n"/>
      <c r="C1714" s="12" t="n"/>
      <c r="D1714" s="12" t="n"/>
      <c r="E1714" s="13" t="n"/>
      <c r="F1714" s="12" t="n"/>
      <c r="G1714" s="13" t="n"/>
      <c r="H1714" s="12" t="n"/>
      <c r="I1714" s="12" t="n"/>
      <c r="J1714" s="12" t="n"/>
      <c r="K1714" s="12" t="n"/>
      <c r="L1714" s="11" t="n"/>
      <c r="M1714" s="11" t="n"/>
      <c r="N1714" s="11" t="n"/>
      <c r="O1714" s="11" t="n"/>
      <c r="P1714" s="12" t="n"/>
      <c r="Q1714" s="11" t="n"/>
      <c r="R1714" s="12" t="n"/>
      <c r="S1714" s="11" t="n"/>
      <c r="T1714" s="12" t="n"/>
      <c r="U1714" s="12" t="n"/>
      <c r="V1714" s="12" t="n"/>
      <c r="W1714" s="13" t="n"/>
      <c r="X1714" s="14">
        <f>IF($AP1714="",IF($B1714="","",$H1714),IF(INDEX(職員マスタ!$B$6:$B$405,$AP1714)="",$H1714,INDEX(職員マスタ!$B$6:$B$405,$AP1714)))</f>
        <v/>
      </c>
      <c r="Y1714" s="14">
        <f>IF($AP1714="",IF($B1714="","",$R1714),IF(INDEX(職員マスタ!$C$6:$C$405,$AP1714)="",$R1714,INDEX(職員マスタ!$C$6:$C$405,$AP1714)))</f>
        <v/>
      </c>
      <c r="Z1714" s="14">
        <f>IF($AQ1714="","","R"&amp;$C1714&amp;"."&amp;$D1714)</f>
        <v/>
      </c>
      <c r="AA1714" s="15">
        <f>IF(IF($AP1714="",FALSE,INDEX(職員マスタ!$K$6:$K$405,$AP1714)&lt;&gt;""),INDEX(職員マスタ!$K$6:$K$405,$AP1714),IF(N($W1714)&gt;0,$W1714,""))</f>
        <v/>
      </c>
      <c r="AB1714" s="14">
        <f>IF(OR($E1714="",$AA1714=""),"",IF($E1714&gt;=$AA1714,"×",IF($E1714&gt;=$AA1714*設定!$C$5,"△","○")))</f>
        <v/>
      </c>
      <c r="AC1714" s="15">
        <f>IF($AB1714="","",IF($AB1714="×",0,IF($AB1714="○",ROUNDDOWN($E1714*設定!$C$4,0),ROUNDDOWN($E1714*ROUND((9*$AA1714-9*$E1714)/(10*$E1714),4),0))))</f>
        <v/>
      </c>
      <c r="AD1714" s="13" t="n"/>
      <c r="AE1714" s="15">
        <f>IF($B1714="","",IF($AD1714&lt;&gt;"",$AD1714,IF($AC1714="","",IF($AC1714&lt;=設定!$C$3,0,$AC1714))))</f>
        <v/>
      </c>
      <c r="AF1714" s="14">
        <f>IF($B1714="","",IF(AND($AG1714&lt;&gt;"",$AI1714="",$AL1714=""),"保留中",IF($AL1714&lt;&gt;"",IF(N($AE1714)&gt;0,"支給済","不支給"),IF($AE1714="","要確認",IF($AE1714=0,"不支給","未処理")))))</f>
        <v/>
      </c>
      <c r="AG1714" s="12" t="n"/>
      <c r="AH1714" s="11" t="n"/>
      <c r="AI1714" s="11" t="n"/>
      <c r="AJ1714" s="11" t="n"/>
      <c r="AK1714" s="14">
        <f>IF(AND($AF1714="保留中",$AH1714&lt;&gt;""),TODAY()-$AH1714,"")</f>
        <v/>
      </c>
      <c r="AL1714" s="12" t="n"/>
      <c r="AM1714" s="14">
        <f>IF($B1714="","",IF($AQ1714="","対象年月が未入力／","")&amp;IF($B1714="","",IF($AP1714="","職員マスタに未登録の職員番号／",IF($AA1714="","標準報酬月額が未登録／","")&amp;IF(AND($AQ1714&lt;&gt;"",OR(AND(INDEX(職員マスタ!$G$6:$G$405,$AP1714)&lt;&gt;"",INDEX(職員マスタ!$G$6:$G$405,$AP1714)&gt;EOMONTH($AQ1714,0)),AND(INDEX(職員マスタ!$H$6:$H$405,$AP1714)&lt;&gt;"",INDEX(職員マスタ!$H$6:$H$405,$AP1714)&lt;$AQ1714))),"対象月が時短期間外／","")&amp;IF(AND(INDEX(職員マスタ!$K$6:$K$405,$AP1714)&lt;&gt;"",N($W1714)&gt;0,INDEX(職員マスタ!$K$6:$K$405,$AP1714)&lt;&gt;$W1714),"標準報酬月額が申請書と相違（台帳"&amp;TEXT(INDEX(職員マスタ!$K$6:$K$405,$AP1714),"#,##0")&amp;"円／申請書"&amp;TEXT($W1714,"#,##0")&amp;"円）／","")&amp;IF(AND(INDEX(職員マスタ!$F$6:$F$405,$AP1714)&lt;&gt;"",$AQ1714&lt;&gt;"",INDEX(職員マスタ!$F$6:$F$405,$AP1714)&lt;$AQ1714),"対象月に子が2歳到達済／","")&amp;IF(AND($H1714&lt;&gt;"",INDEX(職員マスタ!$B$6:$B$405,$AP1714)&lt;&gt;"",SUBSTITUTE(SUBSTITUTE($H1714," ","")," ","")&lt;&gt;SUBSTITUTE(SUBSTITUTE(INDEX(職員マスタ!$B$6:$B$405,$AP1714)," ","")," ","")),"氏名がマスタと相違／","")&amp;IF(AND($Q1714&lt;&gt;"",INDEX(職員マスタ!$E$6:$E$405,$AP1714)&lt;&gt;"",$Q1714&lt;&gt;INDEX(職員マスタ!$E$6:$E$405,$AP1714)),"子の生年月日がマスタと相違／","")&amp;IF(AND($L1714&lt;&gt;"",INDEX(職員マスタ!$G$6:$G$405,$AP1714)&lt;&gt;"",$L1714&lt;&gt;INDEX(職員マスタ!$G$6:$G$405,$AP1714)),"時短開始日がマスタと相違／","")&amp;IF(AND($M1714&lt;&gt;"",INDEX(職員マスタ!$H$6:$H$405,$AP1714)&lt;&gt;"",$M1714&lt;&gt;INDEX(職員マスタ!$H$6:$H$405,$AP1714)),"時短終了日がマスタと相違／","")))&amp;IF(AND($B1714&lt;&gt;"",$E1714=""),"報酬額が未入力／","")&amp;IF(N($U1714)&gt;0,"申請書に入力エラーが残っています／","")&amp;IF(AND($B1714&lt;&gt;"",$AQ1714&lt;&gt;""),IF(COUNTIFS($B$6:$B$3005,$B1714,$C$6:$C$3005,$C1714,$D$6:$D$3005,$D1714)&gt;1,"同じ月の請求が重複しています／",""),"")&amp;IF(AND(N($E1714)&gt;0,$AB1714&lt;&gt;"",$AB1714&lt;&gt;"×",$AE1714=0,$AD1714=""),"計算額が下限以下のため不支給／",""))</f>
        <v/>
      </c>
      <c r="AN1714" s="12" t="n"/>
      <c r="AO1714" s="14">
        <f>IF($AF1714="保留中",COUNTIF($AF$6:$AF1714,"保留中"),"")</f>
        <v/>
      </c>
      <c r="AP1714" s="14">
        <f>IF($AQ1714="","",IF(SUMPRODUCT(MAX((職員マスタ!$A$6:$A$405=$B1714)*(((職員マスタ!$G$6:$G$405="")+(職員マスタ!$G$6:$G$405&lt;=EOMONTH($AQ1714,0)))&gt;0)*(((職員マスタ!$H$6:$H$405="")+(職員マスタ!$H$6:$H$405&gt;=$AQ1714))&gt;0)*(ROW(職員マスタ!$A$6:$A$405)-5)))&gt;0,SUMPRODUCT(MAX((職員マスタ!$A$6:$A$405=$B1714)*(((職員マスタ!$G$6:$G$405="")+(職員マスタ!$G$6:$G$405&lt;=EOMONTH($AQ1714,0)))&gt;0)*(((職員マスタ!$H$6:$H$405="")+(職員マスタ!$H$6:$H$405&gt;=$AQ1714))&gt;0)*(ROW(職員マスタ!$A$6:$A$405)-5))),IFERROR(MATCH($B1714,職員マスタ!$A$6:$A$405,0),"")))</f>
        <v/>
      </c>
      <c r="AQ1714" s="16">
        <f>IF(OR($B1714="",$C1714="",$D1714=""),"",DATE($C1714+2018,$D1714,1))</f>
        <v/>
      </c>
    </row>
    <row r="1715">
      <c r="A1715" s="11" t="n"/>
      <c r="B1715" s="12" t="n"/>
      <c r="C1715" s="12" t="n"/>
      <c r="D1715" s="12" t="n"/>
      <c r="E1715" s="13" t="n"/>
      <c r="F1715" s="12" t="n"/>
      <c r="G1715" s="13" t="n"/>
      <c r="H1715" s="12" t="n"/>
      <c r="I1715" s="12" t="n"/>
      <c r="J1715" s="12" t="n"/>
      <c r="K1715" s="12" t="n"/>
      <c r="L1715" s="11" t="n"/>
      <c r="M1715" s="11" t="n"/>
      <c r="N1715" s="11" t="n"/>
      <c r="O1715" s="11" t="n"/>
      <c r="P1715" s="12" t="n"/>
      <c r="Q1715" s="11" t="n"/>
      <c r="R1715" s="12" t="n"/>
      <c r="S1715" s="11" t="n"/>
      <c r="T1715" s="12" t="n"/>
      <c r="U1715" s="12" t="n"/>
      <c r="V1715" s="12" t="n"/>
      <c r="W1715" s="13" t="n"/>
      <c r="X1715" s="14">
        <f>IF($AP1715="",IF($B1715="","",$H1715),IF(INDEX(職員マスタ!$B$6:$B$405,$AP1715)="",$H1715,INDEX(職員マスタ!$B$6:$B$405,$AP1715)))</f>
        <v/>
      </c>
      <c r="Y1715" s="14">
        <f>IF($AP1715="",IF($B1715="","",$R1715),IF(INDEX(職員マスタ!$C$6:$C$405,$AP1715)="",$R1715,INDEX(職員マスタ!$C$6:$C$405,$AP1715)))</f>
        <v/>
      </c>
      <c r="Z1715" s="14">
        <f>IF($AQ1715="","","R"&amp;$C1715&amp;"."&amp;$D1715)</f>
        <v/>
      </c>
      <c r="AA1715" s="15">
        <f>IF(IF($AP1715="",FALSE,INDEX(職員マスタ!$K$6:$K$405,$AP1715)&lt;&gt;""),INDEX(職員マスタ!$K$6:$K$405,$AP1715),IF(N($W1715)&gt;0,$W1715,""))</f>
        <v/>
      </c>
      <c r="AB1715" s="14">
        <f>IF(OR($E1715="",$AA1715=""),"",IF($E1715&gt;=$AA1715,"×",IF($E1715&gt;=$AA1715*設定!$C$5,"△","○")))</f>
        <v/>
      </c>
      <c r="AC1715" s="15">
        <f>IF($AB1715="","",IF($AB1715="×",0,IF($AB1715="○",ROUNDDOWN($E1715*設定!$C$4,0),ROUNDDOWN($E1715*ROUND((9*$AA1715-9*$E1715)/(10*$E1715),4),0))))</f>
        <v/>
      </c>
      <c r="AD1715" s="13" t="n"/>
      <c r="AE1715" s="15">
        <f>IF($B1715="","",IF($AD1715&lt;&gt;"",$AD1715,IF($AC1715="","",IF($AC1715&lt;=設定!$C$3,0,$AC1715))))</f>
        <v/>
      </c>
      <c r="AF1715" s="14">
        <f>IF($B1715="","",IF(AND($AG1715&lt;&gt;"",$AI1715="",$AL1715=""),"保留中",IF($AL1715&lt;&gt;"",IF(N($AE1715)&gt;0,"支給済","不支給"),IF($AE1715="","要確認",IF($AE1715=0,"不支給","未処理")))))</f>
        <v/>
      </c>
      <c r="AG1715" s="12" t="n"/>
      <c r="AH1715" s="11" t="n"/>
      <c r="AI1715" s="11" t="n"/>
      <c r="AJ1715" s="11" t="n"/>
      <c r="AK1715" s="14">
        <f>IF(AND($AF1715="保留中",$AH1715&lt;&gt;""),TODAY()-$AH1715,"")</f>
        <v/>
      </c>
      <c r="AL1715" s="12" t="n"/>
      <c r="AM1715" s="14">
        <f>IF($B1715="","",IF($AQ1715="","対象年月が未入力／","")&amp;IF($B1715="","",IF($AP1715="","職員マスタに未登録の職員番号／",IF($AA1715="","標準報酬月額が未登録／","")&amp;IF(AND($AQ1715&lt;&gt;"",OR(AND(INDEX(職員マスタ!$G$6:$G$405,$AP1715)&lt;&gt;"",INDEX(職員マスタ!$G$6:$G$405,$AP1715)&gt;EOMONTH($AQ1715,0)),AND(INDEX(職員マスタ!$H$6:$H$405,$AP1715)&lt;&gt;"",INDEX(職員マスタ!$H$6:$H$405,$AP1715)&lt;$AQ1715))),"対象月が時短期間外／","")&amp;IF(AND(INDEX(職員マスタ!$K$6:$K$405,$AP1715)&lt;&gt;"",N($W1715)&gt;0,INDEX(職員マスタ!$K$6:$K$405,$AP1715)&lt;&gt;$W1715),"標準報酬月額が申請書と相違（台帳"&amp;TEXT(INDEX(職員マスタ!$K$6:$K$405,$AP1715),"#,##0")&amp;"円／申請書"&amp;TEXT($W1715,"#,##0")&amp;"円）／","")&amp;IF(AND(INDEX(職員マスタ!$F$6:$F$405,$AP1715)&lt;&gt;"",$AQ1715&lt;&gt;"",INDEX(職員マスタ!$F$6:$F$405,$AP1715)&lt;$AQ1715),"対象月に子が2歳到達済／","")&amp;IF(AND($H1715&lt;&gt;"",INDEX(職員マスタ!$B$6:$B$405,$AP1715)&lt;&gt;"",SUBSTITUTE(SUBSTITUTE($H1715," ","")," ","")&lt;&gt;SUBSTITUTE(SUBSTITUTE(INDEX(職員マスタ!$B$6:$B$405,$AP1715)," ","")," ","")),"氏名がマスタと相違／","")&amp;IF(AND($Q1715&lt;&gt;"",INDEX(職員マスタ!$E$6:$E$405,$AP1715)&lt;&gt;"",$Q1715&lt;&gt;INDEX(職員マスタ!$E$6:$E$405,$AP1715)),"子の生年月日がマスタと相違／","")&amp;IF(AND($L1715&lt;&gt;"",INDEX(職員マスタ!$G$6:$G$405,$AP1715)&lt;&gt;"",$L1715&lt;&gt;INDEX(職員マスタ!$G$6:$G$405,$AP1715)),"時短開始日がマスタと相違／","")&amp;IF(AND($M1715&lt;&gt;"",INDEX(職員マスタ!$H$6:$H$405,$AP1715)&lt;&gt;"",$M1715&lt;&gt;INDEX(職員マスタ!$H$6:$H$405,$AP1715)),"時短終了日がマスタと相違／","")))&amp;IF(AND($B1715&lt;&gt;"",$E1715=""),"報酬額が未入力／","")&amp;IF(N($U1715)&gt;0,"申請書に入力エラーが残っています／","")&amp;IF(AND($B1715&lt;&gt;"",$AQ1715&lt;&gt;""),IF(COUNTIFS($B$6:$B$3005,$B1715,$C$6:$C$3005,$C1715,$D$6:$D$3005,$D1715)&gt;1,"同じ月の請求が重複しています／",""),"")&amp;IF(AND(N($E1715)&gt;0,$AB1715&lt;&gt;"",$AB1715&lt;&gt;"×",$AE1715=0,$AD1715=""),"計算額が下限以下のため不支給／",""))</f>
        <v/>
      </c>
      <c r="AN1715" s="12" t="n"/>
      <c r="AO1715" s="14">
        <f>IF($AF1715="保留中",COUNTIF($AF$6:$AF1715,"保留中"),"")</f>
        <v/>
      </c>
      <c r="AP1715" s="14">
        <f>IF($AQ1715="","",IF(SUMPRODUCT(MAX((職員マスタ!$A$6:$A$405=$B1715)*(((職員マスタ!$G$6:$G$405="")+(職員マスタ!$G$6:$G$405&lt;=EOMONTH($AQ1715,0)))&gt;0)*(((職員マスタ!$H$6:$H$405="")+(職員マスタ!$H$6:$H$405&gt;=$AQ1715))&gt;0)*(ROW(職員マスタ!$A$6:$A$405)-5)))&gt;0,SUMPRODUCT(MAX((職員マスタ!$A$6:$A$405=$B1715)*(((職員マスタ!$G$6:$G$405="")+(職員マスタ!$G$6:$G$405&lt;=EOMONTH($AQ1715,0)))&gt;0)*(((職員マスタ!$H$6:$H$405="")+(職員マスタ!$H$6:$H$405&gt;=$AQ1715))&gt;0)*(ROW(職員マスタ!$A$6:$A$405)-5))),IFERROR(MATCH($B1715,職員マスタ!$A$6:$A$405,0),"")))</f>
        <v/>
      </c>
      <c r="AQ1715" s="16">
        <f>IF(OR($B1715="",$C1715="",$D1715=""),"",DATE($C1715+2018,$D1715,1))</f>
        <v/>
      </c>
    </row>
    <row r="1716">
      <c r="A1716" s="11" t="n"/>
      <c r="B1716" s="12" t="n"/>
      <c r="C1716" s="12" t="n"/>
      <c r="D1716" s="12" t="n"/>
      <c r="E1716" s="13" t="n"/>
      <c r="F1716" s="12" t="n"/>
      <c r="G1716" s="13" t="n"/>
      <c r="H1716" s="12" t="n"/>
      <c r="I1716" s="12" t="n"/>
      <c r="J1716" s="12" t="n"/>
      <c r="K1716" s="12" t="n"/>
      <c r="L1716" s="11" t="n"/>
      <c r="M1716" s="11" t="n"/>
      <c r="N1716" s="11" t="n"/>
      <c r="O1716" s="11" t="n"/>
      <c r="P1716" s="12" t="n"/>
      <c r="Q1716" s="11" t="n"/>
      <c r="R1716" s="12" t="n"/>
      <c r="S1716" s="11" t="n"/>
      <c r="T1716" s="12" t="n"/>
      <c r="U1716" s="12" t="n"/>
      <c r="V1716" s="12" t="n"/>
      <c r="W1716" s="13" t="n"/>
      <c r="X1716" s="14">
        <f>IF($AP1716="",IF($B1716="","",$H1716),IF(INDEX(職員マスタ!$B$6:$B$405,$AP1716)="",$H1716,INDEX(職員マスタ!$B$6:$B$405,$AP1716)))</f>
        <v/>
      </c>
      <c r="Y1716" s="14">
        <f>IF($AP1716="",IF($B1716="","",$R1716),IF(INDEX(職員マスタ!$C$6:$C$405,$AP1716)="",$R1716,INDEX(職員マスタ!$C$6:$C$405,$AP1716)))</f>
        <v/>
      </c>
      <c r="Z1716" s="14">
        <f>IF($AQ1716="","","R"&amp;$C1716&amp;"."&amp;$D1716)</f>
        <v/>
      </c>
      <c r="AA1716" s="15">
        <f>IF(IF($AP1716="",FALSE,INDEX(職員マスタ!$K$6:$K$405,$AP1716)&lt;&gt;""),INDEX(職員マスタ!$K$6:$K$405,$AP1716),IF(N($W1716)&gt;0,$W1716,""))</f>
        <v/>
      </c>
      <c r="AB1716" s="14">
        <f>IF(OR($E1716="",$AA1716=""),"",IF($E1716&gt;=$AA1716,"×",IF($E1716&gt;=$AA1716*設定!$C$5,"△","○")))</f>
        <v/>
      </c>
      <c r="AC1716" s="15">
        <f>IF($AB1716="","",IF($AB1716="×",0,IF($AB1716="○",ROUNDDOWN($E1716*設定!$C$4,0),ROUNDDOWN($E1716*ROUND((9*$AA1716-9*$E1716)/(10*$E1716),4),0))))</f>
        <v/>
      </c>
      <c r="AD1716" s="13" t="n"/>
      <c r="AE1716" s="15">
        <f>IF($B1716="","",IF($AD1716&lt;&gt;"",$AD1716,IF($AC1716="","",IF($AC1716&lt;=設定!$C$3,0,$AC1716))))</f>
        <v/>
      </c>
      <c r="AF1716" s="14">
        <f>IF($B1716="","",IF(AND($AG1716&lt;&gt;"",$AI1716="",$AL1716=""),"保留中",IF($AL1716&lt;&gt;"",IF(N($AE1716)&gt;0,"支給済","不支給"),IF($AE1716="","要確認",IF($AE1716=0,"不支給","未処理")))))</f>
        <v/>
      </c>
      <c r="AG1716" s="12" t="n"/>
      <c r="AH1716" s="11" t="n"/>
      <c r="AI1716" s="11" t="n"/>
      <c r="AJ1716" s="11" t="n"/>
      <c r="AK1716" s="14">
        <f>IF(AND($AF1716="保留中",$AH1716&lt;&gt;""),TODAY()-$AH1716,"")</f>
        <v/>
      </c>
      <c r="AL1716" s="12" t="n"/>
      <c r="AM1716" s="14">
        <f>IF($B1716="","",IF($AQ1716="","対象年月が未入力／","")&amp;IF($B1716="","",IF($AP1716="","職員マスタに未登録の職員番号／",IF($AA1716="","標準報酬月額が未登録／","")&amp;IF(AND($AQ1716&lt;&gt;"",OR(AND(INDEX(職員マスタ!$G$6:$G$405,$AP1716)&lt;&gt;"",INDEX(職員マスタ!$G$6:$G$405,$AP1716)&gt;EOMONTH($AQ1716,0)),AND(INDEX(職員マスタ!$H$6:$H$405,$AP1716)&lt;&gt;"",INDEX(職員マスタ!$H$6:$H$405,$AP1716)&lt;$AQ1716))),"対象月が時短期間外／","")&amp;IF(AND(INDEX(職員マスタ!$K$6:$K$405,$AP1716)&lt;&gt;"",N($W1716)&gt;0,INDEX(職員マスタ!$K$6:$K$405,$AP1716)&lt;&gt;$W1716),"標準報酬月額が申請書と相違（台帳"&amp;TEXT(INDEX(職員マスタ!$K$6:$K$405,$AP1716),"#,##0")&amp;"円／申請書"&amp;TEXT($W1716,"#,##0")&amp;"円）／","")&amp;IF(AND(INDEX(職員マスタ!$F$6:$F$405,$AP1716)&lt;&gt;"",$AQ1716&lt;&gt;"",INDEX(職員マスタ!$F$6:$F$405,$AP1716)&lt;$AQ1716),"対象月に子が2歳到達済／","")&amp;IF(AND($H1716&lt;&gt;"",INDEX(職員マスタ!$B$6:$B$405,$AP1716)&lt;&gt;"",SUBSTITUTE(SUBSTITUTE($H1716," ","")," ","")&lt;&gt;SUBSTITUTE(SUBSTITUTE(INDEX(職員マスタ!$B$6:$B$405,$AP1716)," ","")," ","")),"氏名がマスタと相違／","")&amp;IF(AND($Q1716&lt;&gt;"",INDEX(職員マスタ!$E$6:$E$405,$AP1716)&lt;&gt;"",$Q1716&lt;&gt;INDEX(職員マスタ!$E$6:$E$405,$AP1716)),"子の生年月日がマスタと相違／","")&amp;IF(AND($L1716&lt;&gt;"",INDEX(職員マスタ!$G$6:$G$405,$AP1716)&lt;&gt;"",$L1716&lt;&gt;INDEX(職員マスタ!$G$6:$G$405,$AP1716)),"時短開始日がマスタと相違／","")&amp;IF(AND($M1716&lt;&gt;"",INDEX(職員マスタ!$H$6:$H$405,$AP1716)&lt;&gt;"",$M1716&lt;&gt;INDEX(職員マスタ!$H$6:$H$405,$AP1716)),"時短終了日がマスタと相違／","")))&amp;IF(AND($B1716&lt;&gt;"",$E1716=""),"報酬額が未入力／","")&amp;IF(N($U1716)&gt;0,"申請書に入力エラーが残っています／","")&amp;IF(AND($B1716&lt;&gt;"",$AQ1716&lt;&gt;""),IF(COUNTIFS($B$6:$B$3005,$B1716,$C$6:$C$3005,$C1716,$D$6:$D$3005,$D1716)&gt;1,"同じ月の請求が重複しています／",""),"")&amp;IF(AND(N($E1716)&gt;0,$AB1716&lt;&gt;"",$AB1716&lt;&gt;"×",$AE1716=0,$AD1716=""),"計算額が下限以下のため不支給／",""))</f>
        <v/>
      </c>
      <c r="AN1716" s="12" t="n"/>
      <c r="AO1716" s="14">
        <f>IF($AF1716="保留中",COUNTIF($AF$6:$AF1716,"保留中"),"")</f>
        <v/>
      </c>
      <c r="AP1716" s="14">
        <f>IF($AQ1716="","",IF(SUMPRODUCT(MAX((職員マスタ!$A$6:$A$405=$B1716)*(((職員マスタ!$G$6:$G$405="")+(職員マスタ!$G$6:$G$405&lt;=EOMONTH($AQ1716,0)))&gt;0)*(((職員マスタ!$H$6:$H$405="")+(職員マスタ!$H$6:$H$405&gt;=$AQ1716))&gt;0)*(ROW(職員マスタ!$A$6:$A$405)-5)))&gt;0,SUMPRODUCT(MAX((職員マスタ!$A$6:$A$405=$B1716)*(((職員マスタ!$G$6:$G$405="")+(職員マスタ!$G$6:$G$405&lt;=EOMONTH($AQ1716,0)))&gt;0)*(((職員マスタ!$H$6:$H$405="")+(職員マスタ!$H$6:$H$405&gt;=$AQ1716))&gt;0)*(ROW(職員マスタ!$A$6:$A$405)-5))),IFERROR(MATCH($B1716,職員マスタ!$A$6:$A$405,0),"")))</f>
        <v/>
      </c>
      <c r="AQ1716" s="16">
        <f>IF(OR($B1716="",$C1716="",$D1716=""),"",DATE($C1716+2018,$D1716,1))</f>
        <v/>
      </c>
    </row>
    <row r="1717">
      <c r="A1717" s="11" t="n"/>
      <c r="B1717" s="12" t="n"/>
      <c r="C1717" s="12" t="n"/>
      <c r="D1717" s="12" t="n"/>
      <c r="E1717" s="13" t="n"/>
      <c r="F1717" s="12" t="n"/>
      <c r="G1717" s="13" t="n"/>
      <c r="H1717" s="12" t="n"/>
      <c r="I1717" s="12" t="n"/>
      <c r="J1717" s="12" t="n"/>
      <c r="K1717" s="12" t="n"/>
      <c r="L1717" s="11" t="n"/>
      <c r="M1717" s="11" t="n"/>
      <c r="N1717" s="11" t="n"/>
      <c r="O1717" s="11" t="n"/>
      <c r="P1717" s="12" t="n"/>
      <c r="Q1717" s="11" t="n"/>
      <c r="R1717" s="12" t="n"/>
      <c r="S1717" s="11" t="n"/>
      <c r="T1717" s="12" t="n"/>
      <c r="U1717" s="12" t="n"/>
      <c r="V1717" s="12" t="n"/>
      <c r="W1717" s="13" t="n"/>
      <c r="X1717" s="14">
        <f>IF($AP1717="",IF($B1717="","",$H1717),IF(INDEX(職員マスタ!$B$6:$B$405,$AP1717)="",$H1717,INDEX(職員マスタ!$B$6:$B$405,$AP1717)))</f>
        <v/>
      </c>
      <c r="Y1717" s="14">
        <f>IF($AP1717="",IF($B1717="","",$R1717),IF(INDEX(職員マスタ!$C$6:$C$405,$AP1717)="",$R1717,INDEX(職員マスタ!$C$6:$C$405,$AP1717)))</f>
        <v/>
      </c>
      <c r="Z1717" s="14">
        <f>IF($AQ1717="","","R"&amp;$C1717&amp;"."&amp;$D1717)</f>
        <v/>
      </c>
      <c r="AA1717" s="15">
        <f>IF(IF($AP1717="",FALSE,INDEX(職員マスタ!$K$6:$K$405,$AP1717)&lt;&gt;""),INDEX(職員マスタ!$K$6:$K$405,$AP1717),IF(N($W1717)&gt;0,$W1717,""))</f>
        <v/>
      </c>
      <c r="AB1717" s="14">
        <f>IF(OR($E1717="",$AA1717=""),"",IF($E1717&gt;=$AA1717,"×",IF($E1717&gt;=$AA1717*設定!$C$5,"△","○")))</f>
        <v/>
      </c>
      <c r="AC1717" s="15">
        <f>IF($AB1717="","",IF($AB1717="×",0,IF($AB1717="○",ROUNDDOWN($E1717*設定!$C$4,0),ROUNDDOWN($E1717*ROUND((9*$AA1717-9*$E1717)/(10*$E1717),4),0))))</f>
        <v/>
      </c>
      <c r="AD1717" s="13" t="n"/>
      <c r="AE1717" s="15">
        <f>IF($B1717="","",IF($AD1717&lt;&gt;"",$AD1717,IF($AC1717="","",IF($AC1717&lt;=設定!$C$3,0,$AC1717))))</f>
        <v/>
      </c>
      <c r="AF1717" s="14">
        <f>IF($B1717="","",IF(AND($AG1717&lt;&gt;"",$AI1717="",$AL1717=""),"保留中",IF($AL1717&lt;&gt;"",IF(N($AE1717)&gt;0,"支給済","不支給"),IF($AE1717="","要確認",IF($AE1717=0,"不支給","未処理")))))</f>
        <v/>
      </c>
      <c r="AG1717" s="12" t="n"/>
      <c r="AH1717" s="11" t="n"/>
      <c r="AI1717" s="11" t="n"/>
      <c r="AJ1717" s="11" t="n"/>
      <c r="AK1717" s="14">
        <f>IF(AND($AF1717="保留中",$AH1717&lt;&gt;""),TODAY()-$AH1717,"")</f>
        <v/>
      </c>
      <c r="AL1717" s="12" t="n"/>
      <c r="AM1717" s="14">
        <f>IF($B1717="","",IF($AQ1717="","対象年月が未入力／","")&amp;IF($B1717="","",IF($AP1717="","職員マスタに未登録の職員番号／",IF($AA1717="","標準報酬月額が未登録／","")&amp;IF(AND($AQ1717&lt;&gt;"",OR(AND(INDEX(職員マスタ!$G$6:$G$405,$AP1717)&lt;&gt;"",INDEX(職員マスタ!$G$6:$G$405,$AP1717)&gt;EOMONTH($AQ1717,0)),AND(INDEX(職員マスタ!$H$6:$H$405,$AP1717)&lt;&gt;"",INDEX(職員マスタ!$H$6:$H$405,$AP1717)&lt;$AQ1717))),"対象月が時短期間外／","")&amp;IF(AND(INDEX(職員マスタ!$K$6:$K$405,$AP1717)&lt;&gt;"",N($W1717)&gt;0,INDEX(職員マスタ!$K$6:$K$405,$AP1717)&lt;&gt;$W1717),"標準報酬月額が申請書と相違（台帳"&amp;TEXT(INDEX(職員マスタ!$K$6:$K$405,$AP1717),"#,##0")&amp;"円／申請書"&amp;TEXT($W1717,"#,##0")&amp;"円）／","")&amp;IF(AND(INDEX(職員マスタ!$F$6:$F$405,$AP1717)&lt;&gt;"",$AQ1717&lt;&gt;"",INDEX(職員マスタ!$F$6:$F$405,$AP1717)&lt;$AQ1717),"対象月に子が2歳到達済／","")&amp;IF(AND($H1717&lt;&gt;"",INDEX(職員マスタ!$B$6:$B$405,$AP1717)&lt;&gt;"",SUBSTITUTE(SUBSTITUTE($H1717," ","")," ","")&lt;&gt;SUBSTITUTE(SUBSTITUTE(INDEX(職員マスタ!$B$6:$B$405,$AP1717)," ","")," ","")),"氏名がマスタと相違／","")&amp;IF(AND($Q1717&lt;&gt;"",INDEX(職員マスタ!$E$6:$E$405,$AP1717)&lt;&gt;"",$Q1717&lt;&gt;INDEX(職員マスタ!$E$6:$E$405,$AP1717)),"子の生年月日がマスタと相違／","")&amp;IF(AND($L1717&lt;&gt;"",INDEX(職員マスタ!$G$6:$G$405,$AP1717)&lt;&gt;"",$L1717&lt;&gt;INDEX(職員マスタ!$G$6:$G$405,$AP1717)),"時短開始日がマスタと相違／","")&amp;IF(AND($M1717&lt;&gt;"",INDEX(職員マスタ!$H$6:$H$405,$AP1717)&lt;&gt;"",$M1717&lt;&gt;INDEX(職員マスタ!$H$6:$H$405,$AP1717)),"時短終了日がマスタと相違／","")))&amp;IF(AND($B1717&lt;&gt;"",$E1717=""),"報酬額が未入力／","")&amp;IF(N($U1717)&gt;0,"申請書に入力エラーが残っています／","")&amp;IF(AND($B1717&lt;&gt;"",$AQ1717&lt;&gt;""),IF(COUNTIFS($B$6:$B$3005,$B1717,$C$6:$C$3005,$C1717,$D$6:$D$3005,$D1717)&gt;1,"同じ月の請求が重複しています／",""),"")&amp;IF(AND(N($E1717)&gt;0,$AB1717&lt;&gt;"",$AB1717&lt;&gt;"×",$AE1717=0,$AD1717=""),"計算額が下限以下のため不支給／",""))</f>
        <v/>
      </c>
      <c r="AN1717" s="12" t="n"/>
      <c r="AO1717" s="14">
        <f>IF($AF1717="保留中",COUNTIF($AF$6:$AF1717,"保留中"),"")</f>
        <v/>
      </c>
      <c r="AP1717" s="14">
        <f>IF($AQ1717="","",IF(SUMPRODUCT(MAX((職員マスタ!$A$6:$A$405=$B1717)*(((職員マスタ!$G$6:$G$405="")+(職員マスタ!$G$6:$G$405&lt;=EOMONTH($AQ1717,0)))&gt;0)*(((職員マスタ!$H$6:$H$405="")+(職員マスタ!$H$6:$H$405&gt;=$AQ1717))&gt;0)*(ROW(職員マスタ!$A$6:$A$405)-5)))&gt;0,SUMPRODUCT(MAX((職員マスタ!$A$6:$A$405=$B1717)*(((職員マスタ!$G$6:$G$405="")+(職員マスタ!$G$6:$G$405&lt;=EOMONTH($AQ1717,0)))&gt;0)*(((職員マスタ!$H$6:$H$405="")+(職員マスタ!$H$6:$H$405&gt;=$AQ1717))&gt;0)*(ROW(職員マスタ!$A$6:$A$405)-5))),IFERROR(MATCH($B1717,職員マスタ!$A$6:$A$405,0),"")))</f>
        <v/>
      </c>
      <c r="AQ1717" s="16">
        <f>IF(OR($B1717="",$C1717="",$D1717=""),"",DATE($C1717+2018,$D1717,1))</f>
        <v/>
      </c>
    </row>
    <row r="1718">
      <c r="A1718" s="11" t="n"/>
      <c r="B1718" s="12" t="n"/>
      <c r="C1718" s="12" t="n"/>
      <c r="D1718" s="12" t="n"/>
      <c r="E1718" s="13" t="n"/>
      <c r="F1718" s="12" t="n"/>
      <c r="G1718" s="13" t="n"/>
      <c r="H1718" s="12" t="n"/>
      <c r="I1718" s="12" t="n"/>
      <c r="J1718" s="12" t="n"/>
      <c r="K1718" s="12" t="n"/>
      <c r="L1718" s="11" t="n"/>
      <c r="M1718" s="11" t="n"/>
      <c r="N1718" s="11" t="n"/>
      <c r="O1718" s="11" t="n"/>
      <c r="P1718" s="12" t="n"/>
      <c r="Q1718" s="11" t="n"/>
      <c r="R1718" s="12" t="n"/>
      <c r="S1718" s="11" t="n"/>
      <c r="T1718" s="12" t="n"/>
      <c r="U1718" s="12" t="n"/>
      <c r="V1718" s="12" t="n"/>
      <c r="W1718" s="13" t="n"/>
      <c r="X1718" s="14">
        <f>IF($AP1718="",IF($B1718="","",$H1718),IF(INDEX(職員マスタ!$B$6:$B$405,$AP1718)="",$H1718,INDEX(職員マスタ!$B$6:$B$405,$AP1718)))</f>
        <v/>
      </c>
      <c r="Y1718" s="14">
        <f>IF($AP1718="",IF($B1718="","",$R1718),IF(INDEX(職員マスタ!$C$6:$C$405,$AP1718)="",$R1718,INDEX(職員マスタ!$C$6:$C$405,$AP1718)))</f>
        <v/>
      </c>
      <c r="Z1718" s="14">
        <f>IF($AQ1718="","","R"&amp;$C1718&amp;"."&amp;$D1718)</f>
        <v/>
      </c>
      <c r="AA1718" s="15">
        <f>IF(IF($AP1718="",FALSE,INDEX(職員マスタ!$K$6:$K$405,$AP1718)&lt;&gt;""),INDEX(職員マスタ!$K$6:$K$405,$AP1718),IF(N($W1718)&gt;0,$W1718,""))</f>
        <v/>
      </c>
      <c r="AB1718" s="14">
        <f>IF(OR($E1718="",$AA1718=""),"",IF($E1718&gt;=$AA1718,"×",IF($E1718&gt;=$AA1718*設定!$C$5,"△","○")))</f>
        <v/>
      </c>
      <c r="AC1718" s="15">
        <f>IF($AB1718="","",IF($AB1718="×",0,IF($AB1718="○",ROUNDDOWN($E1718*設定!$C$4,0),ROUNDDOWN($E1718*ROUND((9*$AA1718-9*$E1718)/(10*$E1718),4),0))))</f>
        <v/>
      </c>
      <c r="AD1718" s="13" t="n"/>
      <c r="AE1718" s="15">
        <f>IF($B1718="","",IF($AD1718&lt;&gt;"",$AD1718,IF($AC1718="","",IF($AC1718&lt;=設定!$C$3,0,$AC1718))))</f>
        <v/>
      </c>
      <c r="AF1718" s="14">
        <f>IF($B1718="","",IF(AND($AG1718&lt;&gt;"",$AI1718="",$AL1718=""),"保留中",IF($AL1718&lt;&gt;"",IF(N($AE1718)&gt;0,"支給済","不支給"),IF($AE1718="","要確認",IF($AE1718=0,"不支給","未処理")))))</f>
        <v/>
      </c>
      <c r="AG1718" s="12" t="n"/>
      <c r="AH1718" s="11" t="n"/>
      <c r="AI1718" s="11" t="n"/>
      <c r="AJ1718" s="11" t="n"/>
      <c r="AK1718" s="14">
        <f>IF(AND($AF1718="保留中",$AH1718&lt;&gt;""),TODAY()-$AH1718,"")</f>
        <v/>
      </c>
      <c r="AL1718" s="12" t="n"/>
      <c r="AM1718" s="14">
        <f>IF($B1718="","",IF($AQ1718="","対象年月が未入力／","")&amp;IF($B1718="","",IF($AP1718="","職員マスタに未登録の職員番号／",IF($AA1718="","標準報酬月額が未登録／","")&amp;IF(AND($AQ1718&lt;&gt;"",OR(AND(INDEX(職員マスタ!$G$6:$G$405,$AP1718)&lt;&gt;"",INDEX(職員マスタ!$G$6:$G$405,$AP1718)&gt;EOMONTH($AQ1718,0)),AND(INDEX(職員マスタ!$H$6:$H$405,$AP1718)&lt;&gt;"",INDEX(職員マスタ!$H$6:$H$405,$AP1718)&lt;$AQ1718))),"対象月が時短期間外／","")&amp;IF(AND(INDEX(職員マスタ!$K$6:$K$405,$AP1718)&lt;&gt;"",N($W1718)&gt;0,INDEX(職員マスタ!$K$6:$K$405,$AP1718)&lt;&gt;$W1718),"標準報酬月額が申請書と相違（台帳"&amp;TEXT(INDEX(職員マスタ!$K$6:$K$405,$AP1718),"#,##0")&amp;"円／申請書"&amp;TEXT($W1718,"#,##0")&amp;"円）／","")&amp;IF(AND(INDEX(職員マスタ!$F$6:$F$405,$AP1718)&lt;&gt;"",$AQ1718&lt;&gt;"",INDEX(職員マスタ!$F$6:$F$405,$AP1718)&lt;$AQ1718),"対象月に子が2歳到達済／","")&amp;IF(AND($H1718&lt;&gt;"",INDEX(職員マスタ!$B$6:$B$405,$AP1718)&lt;&gt;"",SUBSTITUTE(SUBSTITUTE($H1718," ","")," ","")&lt;&gt;SUBSTITUTE(SUBSTITUTE(INDEX(職員マスタ!$B$6:$B$405,$AP1718)," ","")," ","")),"氏名がマスタと相違／","")&amp;IF(AND($Q1718&lt;&gt;"",INDEX(職員マスタ!$E$6:$E$405,$AP1718)&lt;&gt;"",$Q1718&lt;&gt;INDEX(職員マスタ!$E$6:$E$405,$AP1718)),"子の生年月日がマスタと相違／","")&amp;IF(AND($L1718&lt;&gt;"",INDEX(職員マスタ!$G$6:$G$405,$AP1718)&lt;&gt;"",$L1718&lt;&gt;INDEX(職員マスタ!$G$6:$G$405,$AP1718)),"時短開始日がマスタと相違／","")&amp;IF(AND($M1718&lt;&gt;"",INDEX(職員マスタ!$H$6:$H$405,$AP1718)&lt;&gt;"",$M1718&lt;&gt;INDEX(職員マスタ!$H$6:$H$405,$AP1718)),"時短終了日がマスタと相違／","")))&amp;IF(AND($B1718&lt;&gt;"",$E1718=""),"報酬額が未入力／","")&amp;IF(N($U1718)&gt;0,"申請書に入力エラーが残っています／","")&amp;IF(AND($B1718&lt;&gt;"",$AQ1718&lt;&gt;""),IF(COUNTIFS($B$6:$B$3005,$B1718,$C$6:$C$3005,$C1718,$D$6:$D$3005,$D1718)&gt;1,"同じ月の請求が重複しています／",""),"")&amp;IF(AND(N($E1718)&gt;0,$AB1718&lt;&gt;"",$AB1718&lt;&gt;"×",$AE1718=0,$AD1718=""),"計算額が下限以下のため不支給／",""))</f>
        <v/>
      </c>
      <c r="AN1718" s="12" t="n"/>
      <c r="AO1718" s="14">
        <f>IF($AF1718="保留中",COUNTIF($AF$6:$AF1718,"保留中"),"")</f>
        <v/>
      </c>
      <c r="AP1718" s="14">
        <f>IF($AQ1718="","",IF(SUMPRODUCT(MAX((職員マスタ!$A$6:$A$405=$B1718)*(((職員マスタ!$G$6:$G$405="")+(職員マスタ!$G$6:$G$405&lt;=EOMONTH($AQ1718,0)))&gt;0)*(((職員マスタ!$H$6:$H$405="")+(職員マスタ!$H$6:$H$405&gt;=$AQ1718))&gt;0)*(ROW(職員マスタ!$A$6:$A$405)-5)))&gt;0,SUMPRODUCT(MAX((職員マスタ!$A$6:$A$405=$B1718)*(((職員マスタ!$G$6:$G$405="")+(職員マスタ!$G$6:$G$405&lt;=EOMONTH($AQ1718,0)))&gt;0)*(((職員マスタ!$H$6:$H$405="")+(職員マスタ!$H$6:$H$405&gt;=$AQ1718))&gt;0)*(ROW(職員マスタ!$A$6:$A$405)-5))),IFERROR(MATCH($B1718,職員マスタ!$A$6:$A$405,0),"")))</f>
        <v/>
      </c>
      <c r="AQ1718" s="16">
        <f>IF(OR($B1718="",$C1718="",$D1718=""),"",DATE($C1718+2018,$D1718,1))</f>
        <v/>
      </c>
    </row>
    <row r="1719">
      <c r="A1719" s="11" t="n"/>
      <c r="B1719" s="12" t="n"/>
      <c r="C1719" s="12" t="n"/>
      <c r="D1719" s="12" t="n"/>
      <c r="E1719" s="13" t="n"/>
      <c r="F1719" s="12" t="n"/>
      <c r="G1719" s="13" t="n"/>
      <c r="H1719" s="12" t="n"/>
      <c r="I1719" s="12" t="n"/>
      <c r="J1719" s="12" t="n"/>
      <c r="K1719" s="12" t="n"/>
      <c r="L1719" s="11" t="n"/>
      <c r="M1719" s="11" t="n"/>
      <c r="N1719" s="11" t="n"/>
      <c r="O1719" s="11" t="n"/>
      <c r="P1719" s="12" t="n"/>
      <c r="Q1719" s="11" t="n"/>
      <c r="R1719" s="12" t="n"/>
      <c r="S1719" s="11" t="n"/>
      <c r="T1719" s="12" t="n"/>
      <c r="U1719" s="12" t="n"/>
      <c r="V1719" s="12" t="n"/>
      <c r="W1719" s="13" t="n"/>
      <c r="X1719" s="14">
        <f>IF($AP1719="",IF($B1719="","",$H1719),IF(INDEX(職員マスタ!$B$6:$B$405,$AP1719)="",$H1719,INDEX(職員マスタ!$B$6:$B$405,$AP1719)))</f>
        <v/>
      </c>
      <c r="Y1719" s="14">
        <f>IF($AP1719="",IF($B1719="","",$R1719),IF(INDEX(職員マスタ!$C$6:$C$405,$AP1719)="",$R1719,INDEX(職員マスタ!$C$6:$C$405,$AP1719)))</f>
        <v/>
      </c>
      <c r="Z1719" s="14">
        <f>IF($AQ1719="","","R"&amp;$C1719&amp;"."&amp;$D1719)</f>
        <v/>
      </c>
      <c r="AA1719" s="15">
        <f>IF(IF($AP1719="",FALSE,INDEX(職員マスタ!$K$6:$K$405,$AP1719)&lt;&gt;""),INDEX(職員マスタ!$K$6:$K$405,$AP1719),IF(N($W1719)&gt;0,$W1719,""))</f>
        <v/>
      </c>
      <c r="AB1719" s="14">
        <f>IF(OR($E1719="",$AA1719=""),"",IF($E1719&gt;=$AA1719,"×",IF($E1719&gt;=$AA1719*設定!$C$5,"△","○")))</f>
        <v/>
      </c>
      <c r="AC1719" s="15">
        <f>IF($AB1719="","",IF($AB1719="×",0,IF($AB1719="○",ROUNDDOWN($E1719*設定!$C$4,0),ROUNDDOWN($E1719*ROUND((9*$AA1719-9*$E1719)/(10*$E1719),4),0))))</f>
        <v/>
      </c>
      <c r="AD1719" s="13" t="n"/>
      <c r="AE1719" s="15">
        <f>IF($B1719="","",IF($AD1719&lt;&gt;"",$AD1719,IF($AC1719="","",IF($AC1719&lt;=設定!$C$3,0,$AC1719))))</f>
        <v/>
      </c>
      <c r="AF1719" s="14">
        <f>IF($B1719="","",IF(AND($AG1719&lt;&gt;"",$AI1719="",$AL1719=""),"保留中",IF($AL1719&lt;&gt;"",IF(N($AE1719)&gt;0,"支給済","不支給"),IF($AE1719="","要確認",IF($AE1719=0,"不支給","未処理")))))</f>
        <v/>
      </c>
      <c r="AG1719" s="12" t="n"/>
      <c r="AH1719" s="11" t="n"/>
      <c r="AI1719" s="11" t="n"/>
      <c r="AJ1719" s="11" t="n"/>
      <c r="AK1719" s="14">
        <f>IF(AND($AF1719="保留中",$AH1719&lt;&gt;""),TODAY()-$AH1719,"")</f>
        <v/>
      </c>
      <c r="AL1719" s="12" t="n"/>
      <c r="AM1719" s="14">
        <f>IF($B1719="","",IF($AQ1719="","対象年月が未入力／","")&amp;IF($B1719="","",IF($AP1719="","職員マスタに未登録の職員番号／",IF($AA1719="","標準報酬月額が未登録／","")&amp;IF(AND($AQ1719&lt;&gt;"",OR(AND(INDEX(職員マスタ!$G$6:$G$405,$AP1719)&lt;&gt;"",INDEX(職員マスタ!$G$6:$G$405,$AP1719)&gt;EOMONTH($AQ1719,0)),AND(INDEX(職員マスタ!$H$6:$H$405,$AP1719)&lt;&gt;"",INDEX(職員マスタ!$H$6:$H$405,$AP1719)&lt;$AQ1719))),"対象月が時短期間外／","")&amp;IF(AND(INDEX(職員マスタ!$K$6:$K$405,$AP1719)&lt;&gt;"",N($W1719)&gt;0,INDEX(職員マスタ!$K$6:$K$405,$AP1719)&lt;&gt;$W1719),"標準報酬月額が申請書と相違（台帳"&amp;TEXT(INDEX(職員マスタ!$K$6:$K$405,$AP1719),"#,##0")&amp;"円／申請書"&amp;TEXT($W1719,"#,##0")&amp;"円）／","")&amp;IF(AND(INDEX(職員マスタ!$F$6:$F$405,$AP1719)&lt;&gt;"",$AQ1719&lt;&gt;"",INDEX(職員マスタ!$F$6:$F$405,$AP1719)&lt;$AQ1719),"対象月に子が2歳到達済／","")&amp;IF(AND($H1719&lt;&gt;"",INDEX(職員マスタ!$B$6:$B$405,$AP1719)&lt;&gt;"",SUBSTITUTE(SUBSTITUTE($H1719," ","")," ","")&lt;&gt;SUBSTITUTE(SUBSTITUTE(INDEX(職員マスタ!$B$6:$B$405,$AP1719)," ","")," ","")),"氏名がマスタと相違／","")&amp;IF(AND($Q1719&lt;&gt;"",INDEX(職員マスタ!$E$6:$E$405,$AP1719)&lt;&gt;"",$Q1719&lt;&gt;INDEX(職員マスタ!$E$6:$E$405,$AP1719)),"子の生年月日がマスタと相違／","")&amp;IF(AND($L1719&lt;&gt;"",INDEX(職員マスタ!$G$6:$G$405,$AP1719)&lt;&gt;"",$L1719&lt;&gt;INDEX(職員マスタ!$G$6:$G$405,$AP1719)),"時短開始日がマスタと相違／","")&amp;IF(AND($M1719&lt;&gt;"",INDEX(職員マスタ!$H$6:$H$405,$AP1719)&lt;&gt;"",$M1719&lt;&gt;INDEX(職員マスタ!$H$6:$H$405,$AP1719)),"時短終了日がマスタと相違／","")))&amp;IF(AND($B1719&lt;&gt;"",$E1719=""),"報酬額が未入力／","")&amp;IF(N($U1719)&gt;0,"申請書に入力エラーが残っています／","")&amp;IF(AND($B1719&lt;&gt;"",$AQ1719&lt;&gt;""),IF(COUNTIFS($B$6:$B$3005,$B1719,$C$6:$C$3005,$C1719,$D$6:$D$3005,$D1719)&gt;1,"同じ月の請求が重複しています／",""),"")&amp;IF(AND(N($E1719)&gt;0,$AB1719&lt;&gt;"",$AB1719&lt;&gt;"×",$AE1719=0,$AD1719=""),"計算額が下限以下のため不支給／",""))</f>
        <v/>
      </c>
      <c r="AN1719" s="12" t="n"/>
      <c r="AO1719" s="14">
        <f>IF($AF1719="保留中",COUNTIF($AF$6:$AF1719,"保留中"),"")</f>
        <v/>
      </c>
      <c r="AP1719" s="14">
        <f>IF($AQ1719="","",IF(SUMPRODUCT(MAX((職員マスタ!$A$6:$A$405=$B1719)*(((職員マスタ!$G$6:$G$405="")+(職員マスタ!$G$6:$G$405&lt;=EOMONTH($AQ1719,0)))&gt;0)*(((職員マスタ!$H$6:$H$405="")+(職員マスタ!$H$6:$H$405&gt;=$AQ1719))&gt;0)*(ROW(職員マスタ!$A$6:$A$405)-5)))&gt;0,SUMPRODUCT(MAX((職員マスタ!$A$6:$A$405=$B1719)*(((職員マスタ!$G$6:$G$405="")+(職員マスタ!$G$6:$G$405&lt;=EOMONTH($AQ1719,0)))&gt;0)*(((職員マスタ!$H$6:$H$405="")+(職員マスタ!$H$6:$H$405&gt;=$AQ1719))&gt;0)*(ROW(職員マスタ!$A$6:$A$405)-5))),IFERROR(MATCH($B1719,職員マスタ!$A$6:$A$405,0),"")))</f>
        <v/>
      </c>
      <c r="AQ1719" s="16">
        <f>IF(OR($B1719="",$C1719="",$D1719=""),"",DATE($C1719+2018,$D1719,1))</f>
        <v/>
      </c>
    </row>
    <row r="1720">
      <c r="A1720" s="11" t="n"/>
      <c r="B1720" s="12" t="n"/>
      <c r="C1720" s="12" t="n"/>
      <c r="D1720" s="12" t="n"/>
      <c r="E1720" s="13" t="n"/>
      <c r="F1720" s="12" t="n"/>
      <c r="G1720" s="13" t="n"/>
      <c r="H1720" s="12" t="n"/>
      <c r="I1720" s="12" t="n"/>
      <c r="J1720" s="12" t="n"/>
      <c r="K1720" s="12" t="n"/>
      <c r="L1720" s="11" t="n"/>
      <c r="M1720" s="11" t="n"/>
      <c r="N1720" s="11" t="n"/>
      <c r="O1720" s="11" t="n"/>
      <c r="P1720" s="12" t="n"/>
      <c r="Q1720" s="11" t="n"/>
      <c r="R1720" s="12" t="n"/>
      <c r="S1720" s="11" t="n"/>
      <c r="T1720" s="12" t="n"/>
      <c r="U1720" s="12" t="n"/>
      <c r="V1720" s="12" t="n"/>
      <c r="W1720" s="13" t="n"/>
      <c r="X1720" s="14">
        <f>IF($AP1720="",IF($B1720="","",$H1720),IF(INDEX(職員マスタ!$B$6:$B$405,$AP1720)="",$H1720,INDEX(職員マスタ!$B$6:$B$405,$AP1720)))</f>
        <v/>
      </c>
      <c r="Y1720" s="14">
        <f>IF($AP1720="",IF($B1720="","",$R1720),IF(INDEX(職員マスタ!$C$6:$C$405,$AP1720)="",$R1720,INDEX(職員マスタ!$C$6:$C$405,$AP1720)))</f>
        <v/>
      </c>
      <c r="Z1720" s="14">
        <f>IF($AQ1720="","","R"&amp;$C1720&amp;"."&amp;$D1720)</f>
        <v/>
      </c>
      <c r="AA1720" s="15">
        <f>IF(IF($AP1720="",FALSE,INDEX(職員マスタ!$K$6:$K$405,$AP1720)&lt;&gt;""),INDEX(職員マスタ!$K$6:$K$405,$AP1720),IF(N($W1720)&gt;0,$W1720,""))</f>
        <v/>
      </c>
      <c r="AB1720" s="14">
        <f>IF(OR($E1720="",$AA1720=""),"",IF($E1720&gt;=$AA1720,"×",IF($E1720&gt;=$AA1720*設定!$C$5,"△","○")))</f>
        <v/>
      </c>
      <c r="AC1720" s="15">
        <f>IF($AB1720="","",IF($AB1720="×",0,IF($AB1720="○",ROUNDDOWN($E1720*設定!$C$4,0),ROUNDDOWN($E1720*ROUND((9*$AA1720-9*$E1720)/(10*$E1720),4),0))))</f>
        <v/>
      </c>
      <c r="AD1720" s="13" t="n"/>
      <c r="AE1720" s="15">
        <f>IF($B1720="","",IF($AD1720&lt;&gt;"",$AD1720,IF($AC1720="","",IF($AC1720&lt;=設定!$C$3,0,$AC1720))))</f>
        <v/>
      </c>
      <c r="AF1720" s="14">
        <f>IF($B1720="","",IF(AND($AG1720&lt;&gt;"",$AI1720="",$AL1720=""),"保留中",IF($AL1720&lt;&gt;"",IF(N($AE1720)&gt;0,"支給済","不支給"),IF($AE1720="","要確認",IF($AE1720=0,"不支給","未処理")))))</f>
        <v/>
      </c>
      <c r="AG1720" s="12" t="n"/>
      <c r="AH1720" s="11" t="n"/>
      <c r="AI1720" s="11" t="n"/>
      <c r="AJ1720" s="11" t="n"/>
      <c r="AK1720" s="14">
        <f>IF(AND($AF1720="保留中",$AH1720&lt;&gt;""),TODAY()-$AH1720,"")</f>
        <v/>
      </c>
      <c r="AL1720" s="12" t="n"/>
      <c r="AM1720" s="14">
        <f>IF($B1720="","",IF($AQ1720="","対象年月が未入力／","")&amp;IF($B1720="","",IF($AP1720="","職員マスタに未登録の職員番号／",IF($AA1720="","標準報酬月額が未登録／","")&amp;IF(AND($AQ1720&lt;&gt;"",OR(AND(INDEX(職員マスタ!$G$6:$G$405,$AP1720)&lt;&gt;"",INDEX(職員マスタ!$G$6:$G$405,$AP1720)&gt;EOMONTH($AQ1720,0)),AND(INDEX(職員マスタ!$H$6:$H$405,$AP1720)&lt;&gt;"",INDEX(職員マスタ!$H$6:$H$405,$AP1720)&lt;$AQ1720))),"対象月が時短期間外／","")&amp;IF(AND(INDEX(職員マスタ!$K$6:$K$405,$AP1720)&lt;&gt;"",N($W1720)&gt;0,INDEX(職員マスタ!$K$6:$K$405,$AP1720)&lt;&gt;$W1720),"標準報酬月額が申請書と相違（台帳"&amp;TEXT(INDEX(職員マスタ!$K$6:$K$405,$AP1720),"#,##0")&amp;"円／申請書"&amp;TEXT($W1720,"#,##0")&amp;"円）／","")&amp;IF(AND(INDEX(職員マスタ!$F$6:$F$405,$AP1720)&lt;&gt;"",$AQ1720&lt;&gt;"",INDEX(職員マスタ!$F$6:$F$405,$AP1720)&lt;$AQ1720),"対象月に子が2歳到達済／","")&amp;IF(AND($H1720&lt;&gt;"",INDEX(職員マスタ!$B$6:$B$405,$AP1720)&lt;&gt;"",SUBSTITUTE(SUBSTITUTE($H1720," ","")," ","")&lt;&gt;SUBSTITUTE(SUBSTITUTE(INDEX(職員マスタ!$B$6:$B$405,$AP1720)," ","")," ","")),"氏名がマスタと相違／","")&amp;IF(AND($Q1720&lt;&gt;"",INDEX(職員マスタ!$E$6:$E$405,$AP1720)&lt;&gt;"",$Q1720&lt;&gt;INDEX(職員マスタ!$E$6:$E$405,$AP1720)),"子の生年月日がマスタと相違／","")&amp;IF(AND($L1720&lt;&gt;"",INDEX(職員マスタ!$G$6:$G$405,$AP1720)&lt;&gt;"",$L1720&lt;&gt;INDEX(職員マスタ!$G$6:$G$405,$AP1720)),"時短開始日がマスタと相違／","")&amp;IF(AND($M1720&lt;&gt;"",INDEX(職員マスタ!$H$6:$H$405,$AP1720)&lt;&gt;"",$M1720&lt;&gt;INDEX(職員マスタ!$H$6:$H$405,$AP1720)),"時短終了日がマスタと相違／","")))&amp;IF(AND($B1720&lt;&gt;"",$E1720=""),"報酬額が未入力／","")&amp;IF(N($U1720)&gt;0,"申請書に入力エラーが残っています／","")&amp;IF(AND($B1720&lt;&gt;"",$AQ1720&lt;&gt;""),IF(COUNTIFS($B$6:$B$3005,$B1720,$C$6:$C$3005,$C1720,$D$6:$D$3005,$D1720)&gt;1,"同じ月の請求が重複しています／",""),"")&amp;IF(AND(N($E1720)&gt;0,$AB1720&lt;&gt;"",$AB1720&lt;&gt;"×",$AE1720=0,$AD1720=""),"計算額が下限以下のため不支給／",""))</f>
        <v/>
      </c>
      <c r="AN1720" s="12" t="n"/>
      <c r="AO1720" s="14">
        <f>IF($AF1720="保留中",COUNTIF($AF$6:$AF1720,"保留中"),"")</f>
        <v/>
      </c>
      <c r="AP1720" s="14">
        <f>IF($AQ1720="","",IF(SUMPRODUCT(MAX((職員マスタ!$A$6:$A$405=$B1720)*(((職員マスタ!$G$6:$G$405="")+(職員マスタ!$G$6:$G$405&lt;=EOMONTH($AQ1720,0)))&gt;0)*(((職員マスタ!$H$6:$H$405="")+(職員マスタ!$H$6:$H$405&gt;=$AQ1720))&gt;0)*(ROW(職員マスタ!$A$6:$A$405)-5)))&gt;0,SUMPRODUCT(MAX((職員マスタ!$A$6:$A$405=$B1720)*(((職員マスタ!$G$6:$G$405="")+(職員マスタ!$G$6:$G$405&lt;=EOMONTH($AQ1720,0)))&gt;0)*(((職員マスタ!$H$6:$H$405="")+(職員マスタ!$H$6:$H$405&gt;=$AQ1720))&gt;0)*(ROW(職員マスタ!$A$6:$A$405)-5))),IFERROR(MATCH($B1720,職員マスタ!$A$6:$A$405,0),"")))</f>
        <v/>
      </c>
      <c r="AQ1720" s="16">
        <f>IF(OR($B1720="",$C1720="",$D1720=""),"",DATE($C1720+2018,$D1720,1))</f>
        <v/>
      </c>
    </row>
    <row r="1721">
      <c r="A1721" s="11" t="n"/>
      <c r="B1721" s="12" t="n"/>
      <c r="C1721" s="12" t="n"/>
      <c r="D1721" s="12" t="n"/>
      <c r="E1721" s="13" t="n"/>
      <c r="F1721" s="12" t="n"/>
      <c r="G1721" s="13" t="n"/>
      <c r="H1721" s="12" t="n"/>
      <c r="I1721" s="12" t="n"/>
      <c r="J1721" s="12" t="n"/>
      <c r="K1721" s="12" t="n"/>
      <c r="L1721" s="11" t="n"/>
      <c r="M1721" s="11" t="n"/>
      <c r="N1721" s="11" t="n"/>
      <c r="O1721" s="11" t="n"/>
      <c r="P1721" s="12" t="n"/>
      <c r="Q1721" s="11" t="n"/>
      <c r="R1721" s="12" t="n"/>
      <c r="S1721" s="11" t="n"/>
      <c r="T1721" s="12" t="n"/>
      <c r="U1721" s="12" t="n"/>
      <c r="V1721" s="12" t="n"/>
      <c r="W1721" s="13" t="n"/>
      <c r="X1721" s="14">
        <f>IF($AP1721="",IF($B1721="","",$H1721),IF(INDEX(職員マスタ!$B$6:$B$405,$AP1721)="",$H1721,INDEX(職員マスタ!$B$6:$B$405,$AP1721)))</f>
        <v/>
      </c>
      <c r="Y1721" s="14">
        <f>IF($AP1721="",IF($B1721="","",$R1721),IF(INDEX(職員マスタ!$C$6:$C$405,$AP1721)="",$R1721,INDEX(職員マスタ!$C$6:$C$405,$AP1721)))</f>
        <v/>
      </c>
      <c r="Z1721" s="14">
        <f>IF($AQ1721="","","R"&amp;$C1721&amp;"."&amp;$D1721)</f>
        <v/>
      </c>
      <c r="AA1721" s="15">
        <f>IF(IF($AP1721="",FALSE,INDEX(職員マスタ!$K$6:$K$405,$AP1721)&lt;&gt;""),INDEX(職員マスタ!$K$6:$K$405,$AP1721),IF(N($W1721)&gt;0,$W1721,""))</f>
        <v/>
      </c>
      <c r="AB1721" s="14">
        <f>IF(OR($E1721="",$AA1721=""),"",IF($E1721&gt;=$AA1721,"×",IF($E1721&gt;=$AA1721*設定!$C$5,"△","○")))</f>
        <v/>
      </c>
      <c r="AC1721" s="15">
        <f>IF($AB1721="","",IF($AB1721="×",0,IF($AB1721="○",ROUNDDOWN($E1721*設定!$C$4,0),ROUNDDOWN($E1721*ROUND((9*$AA1721-9*$E1721)/(10*$E1721),4),0))))</f>
        <v/>
      </c>
      <c r="AD1721" s="13" t="n"/>
      <c r="AE1721" s="15">
        <f>IF($B1721="","",IF($AD1721&lt;&gt;"",$AD1721,IF($AC1721="","",IF($AC1721&lt;=設定!$C$3,0,$AC1721))))</f>
        <v/>
      </c>
      <c r="AF1721" s="14">
        <f>IF($B1721="","",IF(AND($AG1721&lt;&gt;"",$AI1721="",$AL1721=""),"保留中",IF($AL1721&lt;&gt;"",IF(N($AE1721)&gt;0,"支給済","不支給"),IF($AE1721="","要確認",IF($AE1721=0,"不支給","未処理")))))</f>
        <v/>
      </c>
      <c r="AG1721" s="12" t="n"/>
      <c r="AH1721" s="11" t="n"/>
      <c r="AI1721" s="11" t="n"/>
      <c r="AJ1721" s="11" t="n"/>
      <c r="AK1721" s="14">
        <f>IF(AND($AF1721="保留中",$AH1721&lt;&gt;""),TODAY()-$AH1721,"")</f>
        <v/>
      </c>
      <c r="AL1721" s="12" t="n"/>
      <c r="AM1721" s="14">
        <f>IF($B1721="","",IF($AQ1721="","対象年月が未入力／","")&amp;IF($B1721="","",IF($AP1721="","職員マスタに未登録の職員番号／",IF($AA1721="","標準報酬月額が未登録／","")&amp;IF(AND($AQ1721&lt;&gt;"",OR(AND(INDEX(職員マスタ!$G$6:$G$405,$AP1721)&lt;&gt;"",INDEX(職員マスタ!$G$6:$G$405,$AP1721)&gt;EOMONTH($AQ1721,0)),AND(INDEX(職員マスタ!$H$6:$H$405,$AP1721)&lt;&gt;"",INDEX(職員マスタ!$H$6:$H$405,$AP1721)&lt;$AQ1721))),"対象月が時短期間外／","")&amp;IF(AND(INDEX(職員マスタ!$K$6:$K$405,$AP1721)&lt;&gt;"",N($W1721)&gt;0,INDEX(職員マスタ!$K$6:$K$405,$AP1721)&lt;&gt;$W1721),"標準報酬月額が申請書と相違（台帳"&amp;TEXT(INDEX(職員マスタ!$K$6:$K$405,$AP1721),"#,##0")&amp;"円／申請書"&amp;TEXT($W1721,"#,##0")&amp;"円）／","")&amp;IF(AND(INDEX(職員マスタ!$F$6:$F$405,$AP1721)&lt;&gt;"",$AQ1721&lt;&gt;"",INDEX(職員マスタ!$F$6:$F$405,$AP1721)&lt;$AQ1721),"対象月に子が2歳到達済／","")&amp;IF(AND($H1721&lt;&gt;"",INDEX(職員マスタ!$B$6:$B$405,$AP1721)&lt;&gt;"",SUBSTITUTE(SUBSTITUTE($H1721," ","")," ","")&lt;&gt;SUBSTITUTE(SUBSTITUTE(INDEX(職員マスタ!$B$6:$B$405,$AP1721)," ","")," ","")),"氏名がマスタと相違／","")&amp;IF(AND($Q1721&lt;&gt;"",INDEX(職員マスタ!$E$6:$E$405,$AP1721)&lt;&gt;"",$Q1721&lt;&gt;INDEX(職員マスタ!$E$6:$E$405,$AP1721)),"子の生年月日がマスタと相違／","")&amp;IF(AND($L1721&lt;&gt;"",INDEX(職員マスタ!$G$6:$G$405,$AP1721)&lt;&gt;"",$L1721&lt;&gt;INDEX(職員マスタ!$G$6:$G$405,$AP1721)),"時短開始日がマスタと相違／","")&amp;IF(AND($M1721&lt;&gt;"",INDEX(職員マスタ!$H$6:$H$405,$AP1721)&lt;&gt;"",$M1721&lt;&gt;INDEX(職員マスタ!$H$6:$H$405,$AP1721)),"時短終了日がマスタと相違／","")))&amp;IF(AND($B1721&lt;&gt;"",$E1721=""),"報酬額が未入力／","")&amp;IF(N($U1721)&gt;0,"申請書に入力エラーが残っています／","")&amp;IF(AND($B1721&lt;&gt;"",$AQ1721&lt;&gt;""),IF(COUNTIFS($B$6:$B$3005,$B1721,$C$6:$C$3005,$C1721,$D$6:$D$3005,$D1721)&gt;1,"同じ月の請求が重複しています／",""),"")&amp;IF(AND(N($E1721)&gt;0,$AB1721&lt;&gt;"",$AB1721&lt;&gt;"×",$AE1721=0,$AD1721=""),"計算額が下限以下のため不支給／",""))</f>
        <v/>
      </c>
      <c r="AN1721" s="12" t="n"/>
      <c r="AO1721" s="14">
        <f>IF($AF1721="保留中",COUNTIF($AF$6:$AF1721,"保留中"),"")</f>
        <v/>
      </c>
      <c r="AP1721" s="14">
        <f>IF($AQ1721="","",IF(SUMPRODUCT(MAX((職員マスタ!$A$6:$A$405=$B1721)*(((職員マスタ!$G$6:$G$405="")+(職員マスタ!$G$6:$G$405&lt;=EOMONTH($AQ1721,0)))&gt;0)*(((職員マスタ!$H$6:$H$405="")+(職員マスタ!$H$6:$H$405&gt;=$AQ1721))&gt;0)*(ROW(職員マスタ!$A$6:$A$405)-5)))&gt;0,SUMPRODUCT(MAX((職員マスタ!$A$6:$A$405=$B1721)*(((職員マスタ!$G$6:$G$405="")+(職員マスタ!$G$6:$G$405&lt;=EOMONTH($AQ1721,0)))&gt;0)*(((職員マスタ!$H$6:$H$405="")+(職員マスタ!$H$6:$H$405&gt;=$AQ1721))&gt;0)*(ROW(職員マスタ!$A$6:$A$405)-5))),IFERROR(MATCH($B1721,職員マスタ!$A$6:$A$405,0),"")))</f>
        <v/>
      </c>
      <c r="AQ1721" s="16">
        <f>IF(OR($B1721="",$C1721="",$D1721=""),"",DATE($C1721+2018,$D1721,1))</f>
        <v/>
      </c>
    </row>
    <row r="1722">
      <c r="A1722" s="11" t="n"/>
      <c r="B1722" s="12" t="n"/>
      <c r="C1722" s="12" t="n"/>
      <c r="D1722" s="12" t="n"/>
      <c r="E1722" s="13" t="n"/>
      <c r="F1722" s="12" t="n"/>
      <c r="G1722" s="13" t="n"/>
      <c r="H1722" s="12" t="n"/>
      <c r="I1722" s="12" t="n"/>
      <c r="J1722" s="12" t="n"/>
      <c r="K1722" s="12" t="n"/>
      <c r="L1722" s="11" t="n"/>
      <c r="M1722" s="11" t="n"/>
      <c r="N1722" s="11" t="n"/>
      <c r="O1722" s="11" t="n"/>
      <c r="P1722" s="12" t="n"/>
      <c r="Q1722" s="11" t="n"/>
      <c r="R1722" s="12" t="n"/>
      <c r="S1722" s="11" t="n"/>
      <c r="T1722" s="12" t="n"/>
      <c r="U1722" s="12" t="n"/>
      <c r="V1722" s="12" t="n"/>
      <c r="W1722" s="13" t="n"/>
      <c r="X1722" s="14">
        <f>IF($AP1722="",IF($B1722="","",$H1722),IF(INDEX(職員マスタ!$B$6:$B$405,$AP1722)="",$H1722,INDEX(職員マスタ!$B$6:$B$405,$AP1722)))</f>
        <v/>
      </c>
      <c r="Y1722" s="14">
        <f>IF($AP1722="",IF($B1722="","",$R1722),IF(INDEX(職員マスタ!$C$6:$C$405,$AP1722)="",$R1722,INDEX(職員マスタ!$C$6:$C$405,$AP1722)))</f>
        <v/>
      </c>
      <c r="Z1722" s="14">
        <f>IF($AQ1722="","","R"&amp;$C1722&amp;"."&amp;$D1722)</f>
        <v/>
      </c>
      <c r="AA1722" s="15">
        <f>IF(IF($AP1722="",FALSE,INDEX(職員マスタ!$K$6:$K$405,$AP1722)&lt;&gt;""),INDEX(職員マスタ!$K$6:$K$405,$AP1722),IF(N($W1722)&gt;0,$W1722,""))</f>
        <v/>
      </c>
      <c r="AB1722" s="14">
        <f>IF(OR($E1722="",$AA1722=""),"",IF($E1722&gt;=$AA1722,"×",IF($E1722&gt;=$AA1722*設定!$C$5,"△","○")))</f>
        <v/>
      </c>
      <c r="AC1722" s="15">
        <f>IF($AB1722="","",IF($AB1722="×",0,IF($AB1722="○",ROUNDDOWN($E1722*設定!$C$4,0),ROUNDDOWN($E1722*ROUND((9*$AA1722-9*$E1722)/(10*$E1722),4),0))))</f>
        <v/>
      </c>
      <c r="AD1722" s="13" t="n"/>
      <c r="AE1722" s="15">
        <f>IF($B1722="","",IF($AD1722&lt;&gt;"",$AD1722,IF($AC1722="","",IF($AC1722&lt;=設定!$C$3,0,$AC1722))))</f>
        <v/>
      </c>
      <c r="AF1722" s="14">
        <f>IF($B1722="","",IF(AND($AG1722&lt;&gt;"",$AI1722="",$AL1722=""),"保留中",IF($AL1722&lt;&gt;"",IF(N($AE1722)&gt;0,"支給済","不支給"),IF($AE1722="","要確認",IF($AE1722=0,"不支給","未処理")))))</f>
        <v/>
      </c>
      <c r="AG1722" s="12" t="n"/>
      <c r="AH1722" s="11" t="n"/>
      <c r="AI1722" s="11" t="n"/>
      <c r="AJ1722" s="11" t="n"/>
      <c r="AK1722" s="14">
        <f>IF(AND($AF1722="保留中",$AH1722&lt;&gt;""),TODAY()-$AH1722,"")</f>
        <v/>
      </c>
      <c r="AL1722" s="12" t="n"/>
      <c r="AM1722" s="14">
        <f>IF($B1722="","",IF($AQ1722="","対象年月が未入力／","")&amp;IF($B1722="","",IF($AP1722="","職員マスタに未登録の職員番号／",IF($AA1722="","標準報酬月額が未登録／","")&amp;IF(AND($AQ1722&lt;&gt;"",OR(AND(INDEX(職員マスタ!$G$6:$G$405,$AP1722)&lt;&gt;"",INDEX(職員マスタ!$G$6:$G$405,$AP1722)&gt;EOMONTH($AQ1722,0)),AND(INDEX(職員マスタ!$H$6:$H$405,$AP1722)&lt;&gt;"",INDEX(職員マスタ!$H$6:$H$405,$AP1722)&lt;$AQ1722))),"対象月が時短期間外／","")&amp;IF(AND(INDEX(職員マスタ!$K$6:$K$405,$AP1722)&lt;&gt;"",N($W1722)&gt;0,INDEX(職員マスタ!$K$6:$K$405,$AP1722)&lt;&gt;$W1722),"標準報酬月額が申請書と相違（台帳"&amp;TEXT(INDEX(職員マスタ!$K$6:$K$405,$AP1722),"#,##0")&amp;"円／申請書"&amp;TEXT($W1722,"#,##0")&amp;"円）／","")&amp;IF(AND(INDEX(職員マスタ!$F$6:$F$405,$AP1722)&lt;&gt;"",$AQ1722&lt;&gt;"",INDEX(職員マスタ!$F$6:$F$405,$AP1722)&lt;$AQ1722),"対象月に子が2歳到達済／","")&amp;IF(AND($H1722&lt;&gt;"",INDEX(職員マスタ!$B$6:$B$405,$AP1722)&lt;&gt;"",SUBSTITUTE(SUBSTITUTE($H1722," ","")," ","")&lt;&gt;SUBSTITUTE(SUBSTITUTE(INDEX(職員マスタ!$B$6:$B$405,$AP1722)," ","")," ","")),"氏名がマスタと相違／","")&amp;IF(AND($Q1722&lt;&gt;"",INDEX(職員マスタ!$E$6:$E$405,$AP1722)&lt;&gt;"",$Q1722&lt;&gt;INDEX(職員マスタ!$E$6:$E$405,$AP1722)),"子の生年月日がマスタと相違／","")&amp;IF(AND($L1722&lt;&gt;"",INDEX(職員マスタ!$G$6:$G$405,$AP1722)&lt;&gt;"",$L1722&lt;&gt;INDEX(職員マスタ!$G$6:$G$405,$AP1722)),"時短開始日がマスタと相違／","")&amp;IF(AND($M1722&lt;&gt;"",INDEX(職員マスタ!$H$6:$H$405,$AP1722)&lt;&gt;"",$M1722&lt;&gt;INDEX(職員マスタ!$H$6:$H$405,$AP1722)),"時短終了日がマスタと相違／","")))&amp;IF(AND($B1722&lt;&gt;"",$E1722=""),"報酬額が未入力／","")&amp;IF(N($U1722)&gt;0,"申請書に入力エラーが残っています／","")&amp;IF(AND($B1722&lt;&gt;"",$AQ1722&lt;&gt;""),IF(COUNTIFS($B$6:$B$3005,$B1722,$C$6:$C$3005,$C1722,$D$6:$D$3005,$D1722)&gt;1,"同じ月の請求が重複しています／",""),"")&amp;IF(AND(N($E1722)&gt;0,$AB1722&lt;&gt;"",$AB1722&lt;&gt;"×",$AE1722=0,$AD1722=""),"計算額が下限以下のため不支給／",""))</f>
        <v/>
      </c>
      <c r="AN1722" s="12" t="n"/>
      <c r="AO1722" s="14">
        <f>IF($AF1722="保留中",COUNTIF($AF$6:$AF1722,"保留中"),"")</f>
        <v/>
      </c>
      <c r="AP1722" s="14">
        <f>IF($AQ1722="","",IF(SUMPRODUCT(MAX((職員マスタ!$A$6:$A$405=$B1722)*(((職員マスタ!$G$6:$G$405="")+(職員マスタ!$G$6:$G$405&lt;=EOMONTH($AQ1722,0)))&gt;0)*(((職員マスタ!$H$6:$H$405="")+(職員マスタ!$H$6:$H$405&gt;=$AQ1722))&gt;0)*(ROW(職員マスタ!$A$6:$A$405)-5)))&gt;0,SUMPRODUCT(MAX((職員マスタ!$A$6:$A$405=$B1722)*(((職員マスタ!$G$6:$G$405="")+(職員マスタ!$G$6:$G$405&lt;=EOMONTH($AQ1722,0)))&gt;0)*(((職員マスタ!$H$6:$H$405="")+(職員マスタ!$H$6:$H$405&gt;=$AQ1722))&gt;0)*(ROW(職員マスタ!$A$6:$A$405)-5))),IFERROR(MATCH($B1722,職員マスタ!$A$6:$A$405,0),"")))</f>
        <v/>
      </c>
      <c r="AQ1722" s="16">
        <f>IF(OR($B1722="",$C1722="",$D1722=""),"",DATE($C1722+2018,$D1722,1))</f>
        <v/>
      </c>
    </row>
    <row r="1723">
      <c r="A1723" s="11" t="n"/>
      <c r="B1723" s="12" t="n"/>
      <c r="C1723" s="12" t="n"/>
      <c r="D1723" s="12" t="n"/>
      <c r="E1723" s="13" t="n"/>
      <c r="F1723" s="12" t="n"/>
      <c r="G1723" s="13" t="n"/>
      <c r="H1723" s="12" t="n"/>
      <c r="I1723" s="12" t="n"/>
      <c r="J1723" s="12" t="n"/>
      <c r="K1723" s="12" t="n"/>
      <c r="L1723" s="11" t="n"/>
      <c r="M1723" s="11" t="n"/>
      <c r="N1723" s="11" t="n"/>
      <c r="O1723" s="11" t="n"/>
      <c r="P1723" s="12" t="n"/>
      <c r="Q1723" s="11" t="n"/>
      <c r="R1723" s="12" t="n"/>
      <c r="S1723" s="11" t="n"/>
      <c r="T1723" s="12" t="n"/>
      <c r="U1723" s="12" t="n"/>
      <c r="V1723" s="12" t="n"/>
      <c r="W1723" s="13" t="n"/>
      <c r="X1723" s="14">
        <f>IF($AP1723="",IF($B1723="","",$H1723),IF(INDEX(職員マスタ!$B$6:$B$405,$AP1723)="",$H1723,INDEX(職員マスタ!$B$6:$B$405,$AP1723)))</f>
        <v/>
      </c>
      <c r="Y1723" s="14">
        <f>IF($AP1723="",IF($B1723="","",$R1723),IF(INDEX(職員マスタ!$C$6:$C$405,$AP1723)="",$R1723,INDEX(職員マスタ!$C$6:$C$405,$AP1723)))</f>
        <v/>
      </c>
      <c r="Z1723" s="14">
        <f>IF($AQ1723="","","R"&amp;$C1723&amp;"."&amp;$D1723)</f>
        <v/>
      </c>
      <c r="AA1723" s="15">
        <f>IF(IF($AP1723="",FALSE,INDEX(職員マスタ!$K$6:$K$405,$AP1723)&lt;&gt;""),INDEX(職員マスタ!$K$6:$K$405,$AP1723),IF(N($W1723)&gt;0,$W1723,""))</f>
        <v/>
      </c>
      <c r="AB1723" s="14">
        <f>IF(OR($E1723="",$AA1723=""),"",IF($E1723&gt;=$AA1723,"×",IF($E1723&gt;=$AA1723*設定!$C$5,"△","○")))</f>
        <v/>
      </c>
      <c r="AC1723" s="15">
        <f>IF($AB1723="","",IF($AB1723="×",0,IF($AB1723="○",ROUNDDOWN($E1723*設定!$C$4,0),ROUNDDOWN($E1723*ROUND((9*$AA1723-9*$E1723)/(10*$E1723),4),0))))</f>
        <v/>
      </c>
      <c r="AD1723" s="13" t="n"/>
      <c r="AE1723" s="15">
        <f>IF($B1723="","",IF($AD1723&lt;&gt;"",$AD1723,IF($AC1723="","",IF($AC1723&lt;=設定!$C$3,0,$AC1723))))</f>
        <v/>
      </c>
      <c r="AF1723" s="14">
        <f>IF($B1723="","",IF(AND($AG1723&lt;&gt;"",$AI1723="",$AL1723=""),"保留中",IF($AL1723&lt;&gt;"",IF(N($AE1723)&gt;0,"支給済","不支給"),IF($AE1723="","要確認",IF($AE1723=0,"不支給","未処理")))))</f>
        <v/>
      </c>
      <c r="AG1723" s="12" t="n"/>
      <c r="AH1723" s="11" t="n"/>
      <c r="AI1723" s="11" t="n"/>
      <c r="AJ1723" s="11" t="n"/>
      <c r="AK1723" s="14">
        <f>IF(AND($AF1723="保留中",$AH1723&lt;&gt;""),TODAY()-$AH1723,"")</f>
        <v/>
      </c>
      <c r="AL1723" s="12" t="n"/>
      <c r="AM1723" s="14">
        <f>IF($B1723="","",IF($AQ1723="","対象年月が未入力／","")&amp;IF($B1723="","",IF($AP1723="","職員マスタに未登録の職員番号／",IF($AA1723="","標準報酬月額が未登録／","")&amp;IF(AND($AQ1723&lt;&gt;"",OR(AND(INDEX(職員マスタ!$G$6:$G$405,$AP1723)&lt;&gt;"",INDEX(職員マスタ!$G$6:$G$405,$AP1723)&gt;EOMONTH($AQ1723,0)),AND(INDEX(職員マスタ!$H$6:$H$405,$AP1723)&lt;&gt;"",INDEX(職員マスタ!$H$6:$H$405,$AP1723)&lt;$AQ1723))),"対象月が時短期間外／","")&amp;IF(AND(INDEX(職員マスタ!$K$6:$K$405,$AP1723)&lt;&gt;"",N($W1723)&gt;0,INDEX(職員マスタ!$K$6:$K$405,$AP1723)&lt;&gt;$W1723),"標準報酬月額が申請書と相違（台帳"&amp;TEXT(INDEX(職員マスタ!$K$6:$K$405,$AP1723),"#,##0")&amp;"円／申請書"&amp;TEXT($W1723,"#,##0")&amp;"円）／","")&amp;IF(AND(INDEX(職員マスタ!$F$6:$F$405,$AP1723)&lt;&gt;"",$AQ1723&lt;&gt;"",INDEX(職員マスタ!$F$6:$F$405,$AP1723)&lt;$AQ1723),"対象月に子が2歳到達済／","")&amp;IF(AND($H1723&lt;&gt;"",INDEX(職員マスタ!$B$6:$B$405,$AP1723)&lt;&gt;"",SUBSTITUTE(SUBSTITUTE($H1723," ","")," ","")&lt;&gt;SUBSTITUTE(SUBSTITUTE(INDEX(職員マスタ!$B$6:$B$405,$AP1723)," ","")," ","")),"氏名がマスタと相違／","")&amp;IF(AND($Q1723&lt;&gt;"",INDEX(職員マスタ!$E$6:$E$405,$AP1723)&lt;&gt;"",$Q1723&lt;&gt;INDEX(職員マスタ!$E$6:$E$405,$AP1723)),"子の生年月日がマスタと相違／","")&amp;IF(AND($L1723&lt;&gt;"",INDEX(職員マスタ!$G$6:$G$405,$AP1723)&lt;&gt;"",$L1723&lt;&gt;INDEX(職員マスタ!$G$6:$G$405,$AP1723)),"時短開始日がマスタと相違／","")&amp;IF(AND($M1723&lt;&gt;"",INDEX(職員マスタ!$H$6:$H$405,$AP1723)&lt;&gt;"",$M1723&lt;&gt;INDEX(職員マスタ!$H$6:$H$405,$AP1723)),"時短終了日がマスタと相違／","")))&amp;IF(AND($B1723&lt;&gt;"",$E1723=""),"報酬額が未入力／","")&amp;IF(N($U1723)&gt;0,"申請書に入力エラーが残っています／","")&amp;IF(AND($B1723&lt;&gt;"",$AQ1723&lt;&gt;""),IF(COUNTIFS($B$6:$B$3005,$B1723,$C$6:$C$3005,$C1723,$D$6:$D$3005,$D1723)&gt;1,"同じ月の請求が重複しています／",""),"")&amp;IF(AND(N($E1723)&gt;0,$AB1723&lt;&gt;"",$AB1723&lt;&gt;"×",$AE1723=0,$AD1723=""),"計算額が下限以下のため不支給／",""))</f>
        <v/>
      </c>
      <c r="AN1723" s="12" t="n"/>
      <c r="AO1723" s="14">
        <f>IF($AF1723="保留中",COUNTIF($AF$6:$AF1723,"保留中"),"")</f>
        <v/>
      </c>
      <c r="AP1723" s="14">
        <f>IF($AQ1723="","",IF(SUMPRODUCT(MAX((職員マスタ!$A$6:$A$405=$B1723)*(((職員マスタ!$G$6:$G$405="")+(職員マスタ!$G$6:$G$405&lt;=EOMONTH($AQ1723,0)))&gt;0)*(((職員マスタ!$H$6:$H$405="")+(職員マスタ!$H$6:$H$405&gt;=$AQ1723))&gt;0)*(ROW(職員マスタ!$A$6:$A$405)-5)))&gt;0,SUMPRODUCT(MAX((職員マスタ!$A$6:$A$405=$B1723)*(((職員マスタ!$G$6:$G$405="")+(職員マスタ!$G$6:$G$405&lt;=EOMONTH($AQ1723,0)))&gt;0)*(((職員マスタ!$H$6:$H$405="")+(職員マスタ!$H$6:$H$405&gt;=$AQ1723))&gt;0)*(ROW(職員マスタ!$A$6:$A$405)-5))),IFERROR(MATCH($B1723,職員マスタ!$A$6:$A$405,0),"")))</f>
        <v/>
      </c>
      <c r="AQ1723" s="16">
        <f>IF(OR($B1723="",$C1723="",$D1723=""),"",DATE($C1723+2018,$D1723,1))</f>
        <v/>
      </c>
    </row>
    <row r="1724">
      <c r="A1724" s="11" t="n"/>
      <c r="B1724" s="12" t="n"/>
      <c r="C1724" s="12" t="n"/>
      <c r="D1724" s="12" t="n"/>
      <c r="E1724" s="13" t="n"/>
      <c r="F1724" s="12" t="n"/>
      <c r="G1724" s="13" t="n"/>
      <c r="H1724" s="12" t="n"/>
      <c r="I1724" s="12" t="n"/>
      <c r="J1724" s="12" t="n"/>
      <c r="K1724" s="12" t="n"/>
      <c r="L1724" s="11" t="n"/>
      <c r="M1724" s="11" t="n"/>
      <c r="N1724" s="11" t="n"/>
      <c r="O1724" s="11" t="n"/>
      <c r="P1724" s="12" t="n"/>
      <c r="Q1724" s="11" t="n"/>
      <c r="R1724" s="12" t="n"/>
      <c r="S1724" s="11" t="n"/>
      <c r="T1724" s="12" t="n"/>
      <c r="U1724" s="12" t="n"/>
      <c r="V1724" s="12" t="n"/>
      <c r="W1724" s="13" t="n"/>
      <c r="X1724" s="14">
        <f>IF($AP1724="",IF($B1724="","",$H1724),IF(INDEX(職員マスタ!$B$6:$B$405,$AP1724)="",$H1724,INDEX(職員マスタ!$B$6:$B$405,$AP1724)))</f>
        <v/>
      </c>
      <c r="Y1724" s="14">
        <f>IF($AP1724="",IF($B1724="","",$R1724),IF(INDEX(職員マスタ!$C$6:$C$405,$AP1724)="",$R1724,INDEX(職員マスタ!$C$6:$C$405,$AP1724)))</f>
        <v/>
      </c>
      <c r="Z1724" s="14">
        <f>IF($AQ1724="","","R"&amp;$C1724&amp;"."&amp;$D1724)</f>
        <v/>
      </c>
      <c r="AA1724" s="15">
        <f>IF(IF($AP1724="",FALSE,INDEX(職員マスタ!$K$6:$K$405,$AP1724)&lt;&gt;""),INDEX(職員マスタ!$K$6:$K$405,$AP1724),IF(N($W1724)&gt;0,$W1724,""))</f>
        <v/>
      </c>
      <c r="AB1724" s="14">
        <f>IF(OR($E1724="",$AA1724=""),"",IF($E1724&gt;=$AA1724,"×",IF($E1724&gt;=$AA1724*設定!$C$5,"△","○")))</f>
        <v/>
      </c>
      <c r="AC1724" s="15">
        <f>IF($AB1724="","",IF($AB1724="×",0,IF($AB1724="○",ROUNDDOWN($E1724*設定!$C$4,0),ROUNDDOWN($E1724*ROUND((9*$AA1724-9*$E1724)/(10*$E1724),4),0))))</f>
        <v/>
      </c>
      <c r="AD1724" s="13" t="n"/>
      <c r="AE1724" s="15">
        <f>IF($B1724="","",IF($AD1724&lt;&gt;"",$AD1724,IF($AC1724="","",IF($AC1724&lt;=設定!$C$3,0,$AC1724))))</f>
        <v/>
      </c>
      <c r="AF1724" s="14">
        <f>IF($B1724="","",IF(AND($AG1724&lt;&gt;"",$AI1724="",$AL1724=""),"保留中",IF($AL1724&lt;&gt;"",IF(N($AE1724)&gt;0,"支給済","不支給"),IF($AE1724="","要確認",IF($AE1724=0,"不支給","未処理")))))</f>
        <v/>
      </c>
      <c r="AG1724" s="12" t="n"/>
      <c r="AH1724" s="11" t="n"/>
      <c r="AI1724" s="11" t="n"/>
      <c r="AJ1724" s="11" t="n"/>
      <c r="AK1724" s="14">
        <f>IF(AND($AF1724="保留中",$AH1724&lt;&gt;""),TODAY()-$AH1724,"")</f>
        <v/>
      </c>
      <c r="AL1724" s="12" t="n"/>
      <c r="AM1724" s="14">
        <f>IF($B1724="","",IF($AQ1724="","対象年月が未入力／","")&amp;IF($B1724="","",IF($AP1724="","職員マスタに未登録の職員番号／",IF($AA1724="","標準報酬月額が未登録／","")&amp;IF(AND($AQ1724&lt;&gt;"",OR(AND(INDEX(職員マスタ!$G$6:$G$405,$AP1724)&lt;&gt;"",INDEX(職員マスタ!$G$6:$G$405,$AP1724)&gt;EOMONTH($AQ1724,0)),AND(INDEX(職員マスタ!$H$6:$H$405,$AP1724)&lt;&gt;"",INDEX(職員マスタ!$H$6:$H$405,$AP1724)&lt;$AQ1724))),"対象月が時短期間外／","")&amp;IF(AND(INDEX(職員マスタ!$K$6:$K$405,$AP1724)&lt;&gt;"",N($W1724)&gt;0,INDEX(職員マスタ!$K$6:$K$405,$AP1724)&lt;&gt;$W1724),"標準報酬月額が申請書と相違（台帳"&amp;TEXT(INDEX(職員マスタ!$K$6:$K$405,$AP1724),"#,##0")&amp;"円／申請書"&amp;TEXT($W1724,"#,##0")&amp;"円）／","")&amp;IF(AND(INDEX(職員マスタ!$F$6:$F$405,$AP1724)&lt;&gt;"",$AQ1724&lt;&gt;"",INDEX(職員マスタ!$F$6:$F$405,$AP1724)&lt;$AQ1724),"対象月に子が2歳到達済／","")&amp;IF(AND($H1724&lt;&gt;"",INDEX(職員マスタ!$B$6:$B$405,$AP1724)&lt;&gt;"",SUBSTITUTE(SUBSTITUTE($H1724," ","")," ","")&lt;&gt;SUBSTITUTE(SUBSTITUTE(INDEX(職員マスタ!$B$6:$B$405,$AP1724)," ","")," ","")),"氏名がマスタと相違／","")&amp;IF(AND($Q1724&lt;&gt;"",INDEX(職員マスタ!$E$6:$E$405,$AP1724)&lt;&gt;"",$Q1724&lt;&gt;INDEX(職員マスタ!$E$6:$E$405,$AP1724)),"子の生年月日がマスタと相違／","")&amp;IF(AND($L1724&lt;&gt;"",INDEX(職員マスタ!$G$6:$G$405,$AP1724)&lt;&gt;"",$L1724&lt;&gt;INDEX(職員マスタ!$G$6:$G$405,$AP1724)),"時短開始日がマスタと相違／","")&amp;IF(AND($M1724&lt;&gt;"",INDEX(職員マスタ!$H$6:$H$405,$AP1724)&lt;&gt;"",$M1724&lt;&gt;INDEX(職員マスタ!$H$6:$H$405,$AP1724)),"時短終了日がマスタと相違／","")))&amp;IF(AND($B1724&lt;&gt;"",$E1724=""),"報酬額が未入力／","")&amp;IF(N($U1724)&gt;0,"申請書に入力エラーが残っています／","")&amp;IF(AND($B1724&lt;&gt;"",$AQ1724&lt;&gt;""),IF(COUNTIFS($B$6:$B$3005,$B1724,$C$6:$C$3005,$C1724,$D$6:$D$3005,$D1724)&gt;1,"同じ月の請求が重複しています／",""),"")&amp;IF(AND(N($E1724)&gt;0,$AB1724&lt;&gt;"",$AB1724&lt;&gt;"×",$AE1724=0,$AD1724=""),"計算額が下限以下のため不支給／",""))</f>
        <v/>
      </c>
      <c r="AN1724" s="12" t="n"/>
      <c r="AO1724" s="14">
        <f>IF($AF1724="保留中",COUNTIF($AF$6:$AF1724,"保留中"),"")</f>
        <v/>
      </c>
      <c r="AP1724" s="14">
        <f>IF($AQ1724="","",IF(SUMPRODUCT(MAX((職員マスタ!$A$6:$A$405=$B1724)*(((職員マスタ!$G$6:$G$405="")+(職員マスタ!$G$6:$G$405&lt;=EOMONTH($AQ1724,0)))&gt;0)*(((職員マスタ!$H$6:$H$405="")+(職員マスタ!$H$6:$H$405&gt;=$AQ1724))&gt;0)*(ROW(職員マスタ!$A$6:$A$405)-5)))&gt;0,SUMPRODUCT(MAX((職員マスタ!$A$6:$A$405=$B1724)*(((職員マスタ!$G$6:$G$405="")+(職員マスタ!$G$6:$G$405&lt;=EOMONTH($AQ1724,0)))&gt;0)*(((職員マスタ!$H$6:$H$405="")+(職員マスタ!$H$6:$H$405&gt;=$AQ1724))&gt;0)*(ROW(職員マスタ!$A$6:$A$405)-5))),IFERROR(MATCH($B1724,職員マスタ!$A$6:$A$405,0),"")))</f>
        <v/>
      </c>
      <c r="AQ1724" s="16">
        <f>IF(OR($B1724="",$C1724="",$D1724=""),"",DATE($C1724+2018,$D1724,1))</f>
        <v/>
      </c>
    </row>
    <row r="1725">
      <c r="A1725" s="11" t="n"/>
      <c r="B1725" s="12" t="n"/>
      <c r="C1725" s="12" t="n"/>
      <c r="D1725" s="12" t="n"/>
      <c r="E1725" s="13" t="n"/>
      <c r="F1725" s="12" t="n"/>
      <c r="G1725" s="13" t="n"/>
      <c r="H1725" s="12" t="n"/>
      <c r="I1725" s="12" t="n"/>
      <c r="J1725" s="12" t="n"/>
      <c r="K1725" s="12" t="n"/>
      <c r="L1725" s="11" t="n"/>
      <c r="M1725" s="11" t="n"/>
      <c r="N1725" s="11" t="n"/>
      <c r="O1725" s="11" t="n"/>
      <c r="P1725" s="12" t="n"/>
      <c r="Q1725" s="11" t="n"/>
      <c r="R1725" s="12" t="n"/>
      <c r="S1725" s="11" t="n"/>
      <c r="T1725" s="12" t="n"/>
      <c r="U1725" s="12" t="n"/>
      <c r="V1725" s="12" t="n"/>
      <c r="W1725" s="13" t="n"/>
      <c r="X1725" s="14">
        <f>IF($AP1725="",IF($B1725="","",$H1725),IF(INDEX(職員マスタ!$B$6:$B$405,$AP1725)="",$H1725,INDEX(職員マスタ!$B$6:$B$405,$AP1725)))</f>
        <v/>
      </c>
      <c r="Y1725" s="14">
        <f>IF($AP1725="",IF($B1725="","",$R1725),IF(INDEX(職員マスタ!$C$6:$C$405,$AP1725)="",$R1725,INDEX(職員マスタ!$C$6:$C$405,$AP1725)))</f>
        <v/>
      </c>
      <c r="Z1725" s="14">
        <f>IF($AQ1725="","","R"&amp;$C1725&amp;"."&amp;$D1725)</f>
        <v/>
      </c>
      <c r="AA1725" s="15">
        <f>IF(IF($AP1725="",FALSE,INDEX(職員マスタ!$K$6:$K$405,$AP1725)&lt;&gt;""),INDEX(職員マスタ!$K$6:$K$405,$AP1725),IF(N($W1725)&gt;0,$W1725,""))</f>
        <v/>
      </c>
      <c r="AB1725" s="14">
        <f>IF(OR($E1725="",$AA1725=""),"",IF($E1725&gt;=$AA1725,"×",IF($E1725&gt;=$AA1725*設定!$C$5,"△","○")))</f>
        <v/>
      </c>
      <c r="AC1725" s="15">
        <f>IF($AB1725="","",IF($AB1725="×",0,IF($AB1725="○",ROUNDDOWN($E1725*設定!$C$4,0),ROUNDDOWN($E1725*ROUND((9*$AA1725-9*$E1725)/(10*$E1725),4),0))))</f>
        <v/>
      </c>
      <c r="AD1725" s="13" t="n"/>
      <c r="AE1725" s="15">
        <f>IF($B1725="","",IF($AD1725&lt;&gt;"",$AD1725,IF($AC1725="","",IF($AC1725&lt;=設定!$C$3,0,$AC1725))))</f>
        <v/>
      </c>
      <c r="AF1725" s="14">
        <f>IF($B1725="","",IF(AND($AG1725&lt;&gt;"",$AI1725="",$AL1725=""),"保留中",IF($AL1725&lt;&gt;"",IF(N($AE1725)&gt;0,"支給済","不支給"),IF($AE1725="","要確認",IF($AE1725=0,"不支給","未処理")))))</f>
        <v/>
      </c>
      <c r="AG1725" s="12" t="n"/>
      <c r="AH1725" s="11" t="n"/>
      <c r="AI1725" s="11" t="n"/>
      <c r="AJ1725" s="11" t="n"/>
      <c r="AK1725" s="14">
        <f>IF(AND($AF1725="保留中",$AH1725&lt;&gt;""),TODAY()-$AH1725,"")</f>
        <v/>
      </c>
      <c r="AL1725" s="12" t="n"/>
      <c r="AM1725" s="14">
        <f>IF($B1725="","",IF($AQ1725="","対象年月が未入力／","")&amp;IF($B1725="","",IF($AP1725="","職員マスタに未登録の職員番号／",IF($AA1725="","標準報酬月額が未登録／","")&amp;IF(AND($AQ1725&lt;&gt;"",OR(AND(INDEX(職員マスタ!$G$6:$G$405,$AP1725)&lt;&gt;"",INDEX(職員マスタ!$G$6:$G$405,$AP1725)&gt;EOMONTH($AQ1725,0)),AND(INDEX(職員マスタ!$H$6:$H$405,$AP1725)&lt;&gt;"",INDEX(職員マスタ!$H$6:$H$405,$AP1725)&lt;$AQ1725))),"対象月が時短期間外／","")&amp;IF(AND(INDEX(職員マスタ!$K$6:$K$405,$AP1725)&lt;&gt;"",N($W1725)&gt;0,INDEX(職員マスタ!$K$6:$K$405,$AP1725)&lt;&gt;$W1725),"標準報酬月額が申請書と相違（台帳"&amp;TEXT(INDEX(職員マスタ!$K$6:$K$405,$AP1725),"#,##0")&amp;"円／申請書"&amp;TEXT($W1725,"#,##0")&amp;"円）／","")&amp;IF(AND(INDEX(職員マスタ!$F$6:$F$405,$AP1725)&lt;&gt;"",$AQ1725&lt;&gt;"",INDEX(職員マスタ!$F$6:$F$405,$AP1725)&lt;$AQ1725),"対象月に子が2歳到達済／","")&amp;IF(AND($H1725&lt;&gt;"",INDEX(職員マスタ!$B$6:$B$405,$AP1725)&lt;&gt;"",SUBSTITUTE(SUBSTITUTE($H1725," ","")," ","")&lt;&gt;SUBSTITUTE(SUBSTITUTE(INDEX(職員マスタ!$B$6:$B$405,$AP1725)," ","")," ","")),"氏名がマスタと相違／","")&amp;IF(AND($Q1725&lt;&gt;"",INDEX(職員マスタ!$E$6:$E$405,$AP1725)&lt;&gt;"",$Q1725&lt;&gt;INDEX(職員マスタ!$E$6:$E$405,$AP1725)),"子の生年月日がマスタと相違／","")&amp;IF(AND($L1725&lt;&gt;"",INDEX(職員マスタ!$G$6:$G$405,$AP1725)&lt;&gt;"",$L1725&lt;&gt;INDEX(職員マスタ!$G$6:$G$405,$AP1725)),"時短開始日がマスタと相違／","")&amp;IF(AND($M1725&lt;&gt;"",INDEX(職員マスタ!$H$6:$H$405,$AP1725)&lt;&gt;"",$M1725&lt;&gt;INDEX(職員マスタ!$H$6:$H$405,$AP1725)),"時短終了日がマスタと相違／","")))&amp;IF(AND($B1725&lt;&gt;"",$E1725=""),"報酬額が未入力／","")&amp;IF(N($U1725)&gt;0,"申請書に入力エラーが残っています／","")&amp;IF(AND($B1725&lt;&gt;"",$AQ1725&lt;&gt;""),IF(COUNTIFS($B$6:$B$3005,$B1725,$C$6:$C$3005,$C1725,$D$6:$D$3005,$D1725)&gt;1,"同じ月の請求が重複しています／",""),"")&amp;IF(AND(N($E1725)&gt;0,$AB1725&lt;&gt;"",$AB1725&lt;&gt;"×",$AE1725=0,$AD1725=""),"計算額が下限以下のため不支給／",""))</f>
        <v/>
      </c>
      <c r="AN1725" s="12" t="n"/>
      <c r="AO1725" s="14">
        <f>IF($AF1725="保留中",COUNTIF($AF$6:$AF1725,"保留中"),"")</f>
        <v/>
      </c>
      <c r="AP1725" s="14">
        <f>IF($AQ1725="","",IF(SUMPRODUCT(MAX((職員マスタ!$A$6:$A$405=$B1725)*(((職員マスタ!$G$6:$G$405="")+(職員マスタ!$G$6:$G$405&lt;=EOMONTH($AQ1725,0)))&gt;0)*(((職員マスタ!$H$6:$H$405="")+(職員マスタ!$H$6:$H$405&gt;=$AQ1725))&gt;0)*(ROW(職員マスタ!$A$6:$A$405)-5)))&gt;0,SUMPRODUCT(MAX((職員マスタ!$A$6:$A$405=$B1725)*(((職員マスタ!$G$6:$G$405="")+(職員マスタ!$G$6:$G$405&lt;=EOMONTH($AQ1725,0)))&gt;0)*(((職員マスタ!$H$6:$H$405="")+(職員マスタ!$H$6:$H$405&gt;=$AQ1725))&gt;0)*(ROW(職員マスタ!$A$6:$A$405)-5))),IFERROR(MATCH($B1725,職員マスタ!$A$6:$A$405,0),"")))</f>
        <v/>
      </c>
      <c r="AQ1725" s="16">
        <f>IF(OR($B1725="",$C1725="",$D1725=""),"",DATE($C1725+2018,$D1725,1))</f>
        <v/>
      </c>
    </row>
    <row r="1726">
      <c r="A1726" s="11" t="n"/>
      <c r="B1726" s="12" t="n"/>
      <c r="C1726" s="12" t="n"/>
      <c r="D1726" s="12" t="n"/>
      <c r="E1726" s="13" t="n"/>
      <c r="F1726" s="12" t="n"/>
      <c r="G1726" s="13" t="n"/>
      <c r="H1726" s="12" t="n"/>
      <c r="I1726" s="12" t="n"/>
      <c r="J1726" s="12" t="n"/>
      <c r="K1726" s="12" t="n"/>
      <c r="L1726" s="11" t="n"/>
      <c r="M1726" s="11" t="n"/>
      <c r="N1726" s="11" t="n"/>
      <c r="O1726" s="11" t="n"/>
      <c r="P1726" s="12" t="n"/>
      <c r="Q1726" s="11" t="n"/>
      <c r="R1726" s="12" t="n"/>
      <c r="S1726" s="11" t="n"/>
      <c r="T1726" s="12" t="n"/>
      <c r="U1726" s="12" t="n"/>
      <c r="V1726" s="12" t="n"/>
      <c r="W1726" s="13" t="n"/>
      <c r="X1726" s="14">
        <f>IF($AP1726="",IF($B1726="","",$H1726),IF(INDEX(職員マスタ!$B$6:$B$405,$AP1726)="",$H1726,INDEX(職員マスタ!$B$6:$B$405,$AP1726)))</f>
        <v/>
      </c>
      <c r="Y1726" s="14">
        <f>IF($AP1726="",IF($B1726="","",$R1726),IF(INDEX(職員マスタ!$C$6:$C$405,$AP1726)="",$R1726,INDEX(職員マスタ!$C$6:$C$405,$AP1726)))</f>
        <v/>
      </c>
      <c r="Z1726" s="14">
        <f>IF($AQ1726="","","R"&amp;$C1726&amp;"."&amp;$D1726)</f>
        <v/>
      </c>
      <c r="AA1726" s="15">
        <f>IF(IF($AP1726="",FALSE,INDEX(職員マスタ!$K$6:$K$405,$AP1726)&lt;&gt;""),INDEX(職員マスタ!$K$6:$K$405,$AP1726),IF(N($W1726)&gt;0,$W1726,""))</f>
        <v/>
      </c>
      <c r="AB1726" s="14">
        <f>IF(OR($E1726="",$AA1726=""),"",IF($E1726&gt;=$AA1726,"×",IF($E1726&gt;=$AA1726*設定!$C$5,"△","○")))</f>
        <v/>
      </c>
      <c r="AC1726" s="15">
        <f>IF($AB1726="","",IF($AB1726="×",0,IF($AB1726="○",ROUNDDOWN($E1726*設定!$C$4,0),ROUNDDOWN($E1726*ROUND((9*$AA1726-9*$E1726)/(10*$E1726),4),0))))</f>
        <v/>
      </c>
      <c r="AD1726" s="13" t="n"/>
      <c r="AE1726" s="15">
        <f>IF($B1726="","",IF($AD1726&lt;&gt;"",$AD1726,IF($AC1726="","",IF($AC1726&lt;=設定!$C$3,0,$AC1726))))</f>
        <v/>
      </c>
      <c r="AF1726" s="14">
        <f>IF($B1726="","",IF(AND($AG1726&lt;&gt;"",$AI1726="",$AL1726=""),"保留中",IF($AL1726&lt;&gt;"",IF(N($AE1726)&gt;0,"支給済","不支給"),IF($AE1726="","要確認",IF($AE1726=0,"不支給","未処理")))))</f>
        <v/>
      </c>
      <c r="AG1726" s="12" t="n"/>
      <c r="AH1726" s="11" t="n"/>
      <c r="AI1726" s="11" t="n"/>
      <c r="AJ1726" s="11" t="n"/>
      <c r="AK1726" s="14">
        <f>IF(AND($AF1726="保留中",$AH1726&lt;&gt;""),TODAY()-$AH1726,"")</f>
        <v/>
      </c>
      <c r="AL1726" s="12" t="n"/>
      <c r="AM1726" s="14">
        <f>IF($B1726="","",IF($AQ1726="","対象年月が未入力／","")&amp;IF($B1726="","",IF($AP1726="","職員マスタに未登録の職員番号／",IF($AA1726="","標準報酬月額が未登録／","")&amp;IF(AND($AQ1726&lt;&gt;"",OR(AND(INDEX(職員マスタ!$G$6:$G$405,$AP1726)&lt;&gt;"",INDEX(職員マスタ!$G$6:$G$405,$AP1726)&gt;EOMONTH($AQ1726,0)),AND(INDEX(職員マスタ!$H$6:$H$405,$AP1726)&lt;&gt;"",INDEX(職員マスタ!$H$6:$H$405,$AP1726)&lt;$AQ1726))),"対象月が時短期間外／","")&amp;IF(AND(INDEX(職員マスタ!$K$6:$K$405,$AP1726)&lt;&gt;"",N($W1726)&gt;0,INDEX(職員マスタ!$K$6:$K$405,$AP1726)&lt;&gt;$W1726),"標準報酬月額が申請書と相違（台帳"&amp;TEXT(INDEX(職員マスタ!$K$6:$K$405,$AP1726),"#,##0")&amp;"円／申請書"&amp;TEXT($W1726,"#,##0")&amp;"円）／","")&amp;IF(AND(INDEX(職員マスタ!$F$6:$F$405,$AP1726)&lt;&gt;"",$AQ1726&lt;&gt;"",INDEX(職員マスタ!$F$6:$F$405,$AP1726)&lt;$AQ1726),"対象月に子が2歳到達済／","")&amp;IF(AND($H1726&lt;&gt;"",INDEX(職員マスタ!$B$6:$B$405,$AP1726)&lt;&gt;"",SUBSTITUTE(SUBSTITUTE($H1726," ","")," ","")&lt;&gt;SUBSTITUTE(SUBSTITUTE(INDEX(職員マスタ!$B$6:$B$405,$AP1726)," ","")," ","")),"氏名がマスタと相違／","")&amp;IF(AND($Q1726&lt;&gt;"",INDEX(職員マスタ!$E$6:$E$405,$AP1726)&lt;&gt;"",$Q1726&lt;&gt;INDEX(職員マスタ!$E$6:$E$405,$AP1726)),"子の生年月日がマスタと相違／","")&amp;IF(AND($L1726&lt;&gt;"",INDEX(職員マスタ!$G$6:$G$405,$AP1726)&lt;&gt;"",$L1726&lt;&gt;INDEX(職員マスタ!$G$6:$G$405,$AP1726)),"時短開始日がマスタと相違／","")&amp;IF(AND($M1726&lt;&gt;"",INDEX(職員マスタ!$H$6:$H$405,$AP1726)&lt;&gt;"",$M1726&lt;&gt;INDEX(職員マスタ!$H$6:$H$405,$AP1726)),"時短終了日がマスタと相違／","")))&amp;IF(AND($B1726&lt;&gt;"",$E1726=""),"報酬額が未入力／","")&amp;IF(N($U1726)&gt;0,"申請書に入力エラーが残っています／","")&amp;IF(AND($B1726&lt;&gt;"",$AQ1726&lt;&gt;""),IF(COUNTIFS($B$6:$B$3005,$B1726,$C$6:$C$3005,$C1726,$D$6:$D$3005,$D1726)&gt;1,"同じ月の請求が重複しています／",""),"")&amp;IF(AND(N($E1726)&gt;0,$AB1726&lt;&gt;"",$AB1726&lt;&gt;"×",$AE1726=0,$AD1726=""),"計算額が下限以下のため不支給／",""))</f>
        <v/>
      </c>
      <c r="AN1726" s="12" t="n"/>
      <c r="AO1726" s="14">
        <f>IF($AF1726="保留中",COUNTIF($AF$6:$AF1726,"保留中"),"")</f>
        <v/>
      </c>
      <c r="AP1726" s="14">
        <f>IF($AQ1726="","",IF(SUMPRODUCT(MAX((職員マスタ!$A$6:$A$405=$B1726)*(((職員マスタ!$G$6:$G$405="")+(職員マスタ!$G$6:$G$405&lt;=EOMONTH($AQ1726,0)))&gt;0)*(((職員マスタ!$H$6:$H$405="")+(職員マスタ!$H$6:$H$405&gt;=$AQ1726))&gt;0)*(ROW(職員マスタ!$A$6:$A$405)-5)))&gt;0,SUMPRODUCT(MAX((職員マスタ!$A$6:$A$405=$B1726)*(((職員マスタ!$G$6:$G$405="")+(職員マスタ!$G$6:$G$405&lt;=EOMONTH($AQ1726,0)))&gt;0)*(((職員マスタ!$H$6:$H$405="")+(職員マスタ!$H$6:$H$405&gt;=$AQ1726))&gt;0)*(ROW(職員マスタ!$A$6:$A$405)-5))),IFERROR(MATCH($B1726,職員マスタ!$A$6:$A$405,0),"")))</f>
        <v/>
      </c>
      <c r="AQ1726" s="16">
        <f>IF(OR($B1726="",$C1726="",$D1726=""),"",DATE($C1726+2018,$D1726,1))</f>
        <v/>
      </c>
    </row>
    <row r="1727">
      <c r="A1727" s="11" t="n"/>
      <c r="B1727" s="12" t="n"/>
      <c r="C1727" s="12" t="n"/>
      <c r="D1727" s="12" t="n"/>
      <c r="E1727" s="13" t="n"/>
      <c r="F1727" s="12" t="n"/>
      <c r="G1727" s="13" t="n"/>
      <c r="H1727" s="12" t="n"/>
      <c r="I1727" s="12" t="n"/>
      <c r="J1727" s="12" t="n"/>
      <c r="K1727" s="12" t="n"/>
      <c r="L1727" s="11" t="n"/>
      <c r="M1727" s="11" t="n"/>
      <c r="N1727" s="11" t="n"/>
      <c r="O1727" s="11" t="n"/>
      <c r="P1727" s="12" t="n"/>
      <c r="Q1727" s="11" t="n"/>
      <c r="R1727" s="12" t="n"/>
      <c r="S1727" s="11" t="n"/>
      <c r="T1727" s="12" t="n"/>
      <c r="U1727" s="12" t="n"/>
      <c r="V1727" s="12" t="n"/>
      <c r="W1727" s="13" t="n"/>
      <c r="X1727" s="14">
        <f>IF($AP1727="",IF($B1727="","",$H1727),IF(INDEX(職員マスタ!$B$6:$B$405,$AP1727)="",$H1727,INDEX(職員マスタ!$B$6:$B$405,$AP1727)))</f>
        <v/>
      </c>
      <c r="Y1727" s="14">
        <f>IF($AP1727="",IF($B1727="","",$R1727),IF(INDEX(職員マスタ!$C$6:$C$405,$AP1727)="",$R1727,INDEX(職員マスタ!$C$6:$C$405,$AP1727)))</f>
        <v/>
      </c>
      <c r="Z1727" s="14">
        <f>IF($AQ1727="","","R"&amp;$C1727&amp;"."&amp;$D1727)</f>
        <v/>
      </c>
      <c r="AA1727" s="15">
        <f>IF(IF($AP1727="",FALSE,INDEX(職員マスタ!$K$6:$K$405,$AP1727)&lt;&gt;""),INDEX(職員マスタ!$K$6:$K$405,$AP1727),IF(N($W1727)&gt;0,$W1727,""))</f>
        <v/>
      </c>
      <c r="AB1727" s="14">
        <f>IF(OR($E1727="",$AA1727=""),"",IF($E1727&gt;=$AA1727,"×",IF($E1727&gt;=$AA1727*設定!$C$5,"△","○")))</f>
        <v/>
      </c>
      <c r="AC1727" s="15">
        <f>IF($AB1727="","",IF($AB1727="×",0,IF($AB1727="○",ROUNDDOWN($E1727*設定!$C$4,0),ROUNDDOWN($E1727*ROUND((9*$AA1727-9*$E1727)/(10*$E1727),4),0))))</f>
        <v/>
      </c>
      <c r="AD1727" s="13" t="n"/>
      <c r="AE1727" s="15">
        <f>IF($B1727="","",IF($AD1727&lt;&gt;"",$AD1727,IF($AC1727="","",IF($AC1727&lt;=設定!$C$3,0,$AC1727))))</f>
        <v/>
      </c>
      <c r="AF1727" s="14">
        <f>IF($B1727="","",IF(AND($AG1727&lt;&gt;"",$AI1727="",$AL1727=""),"保留中",IF($AL1727&lt;&gt;"",IF(N($AE1727)&gt;0,"支給済","不支給"),IF($AE1727="","要確認",IF($AE1727=0,"不支給","未処理")))))</f>
        <v/>
      </c>
      <c r="AG1727" s="12" t="n"/>
      <c r="AH1727" s="11" t="n"/>
      <c r="AI1727" s="11" t="n"/>
      <c r="AJ1727" s="11" t="n"/>
      <c r="AK1727" s="14">
        <f>IF(AND($AF1727="保留中",$AH1727&lt;&gt;""),TODAY()-$AH1727,"")</f>
        <v/>
      </c>
      <c r="AL1727" s="12" t="n"/>
      <c r="AM1727" s="14">
        <f>IF($B1727="","",IF($AQ1727="","対象年月が未入力／","")&amp;IF($B1727="","",IF($AP1727="","職員マスタに未登録の職員番号／",IF($AA1727="","標準報酬月額が未登録／","")&amp;IF(AND($AQ1727&lt;&gt;"",OR(AND(INDEX(職員マスタ!$G$6:$G$405,$AP1727)&lt;&gt;"",INDEX(職員マスタ!$G$6:$G$405,$AP1727)&gt;EOMONTH($AQ1727,0)),AND(INDEX(職員マスタ!$H$6:$H$405,$AP1727)&lt;&gt;"",INDEX(職員マスタ!$H$6:$H$405,$AP1727)&lt;$AQ1727))),"対象月が時短期間外／","")&amp;IF(AND(INDEX(職員マスタ!$K$6:$K$405,$AP1727)&lt;&gt;"",N($W1727)&gt;0,INDEX(職員マスタ!$K$6:$K$405,$AP1727)&lt;&gt;$W1727),"標準報酬月額が申請書と相違（台帳"&amp;TEXT(INDEX(職員マスタ!$K$6:$K$405,$AP1727),"#,##0")&amp;"円／申請書"&amp;TEXT($W1727,"#,##0")&amp;"円）／","")&amp;IF(AND(INDEX(職員マスタ!$F$6:$F$405,$AP1727)&lt;&gt;"",$AQ1727&lt;&gt;"",INDEX(職員マスタ!$F$6:$F$405,$AP1727)&lt;$AQ1727),"対象月に子が2歳到達済／","")&amp;IF(AND($H1727&lt;&gt;"",INDEX(職員マスタ!$B$6:$B$405,$AP1727)&lt;&gt;"",SUBSTITUTE(SUBSTITUTE($H1727," ","")," ","")&lt;&gt;SUBSTITUTE(SUBSTITUTE(INDEX(職員マスタ!$B$6:$B$405,$AP1727)," ","")," ","")),"氏名がマスタと相違／","")&amp;IF(AND($Q1727&lt;&gt;"",INDEX(職員マスタ!$E$6:$E$405,$AP1727)&lt;&gt;"",$Q1727&lt;&gt;INDEX(職員マスタ!$E$6:$E$405,$AP1727)),"子の生年月日がマスタと相違／","")&amp;IF(AND($L1727&lt;&gt;"",INDEX(職員マスタ!$G$6:$G$405,$AP1727)&lt;&gt;"",$L1727&lt;&gt;INDEX(職員マスタ!$G$6:$G$405,$AP1727)),"時短開始日がマスタと相違／","")&amp;IF(AND($M1727&lt;&gt;"",INDEX(職員マスタ!$H$6:$H$405,$AP1727)&lt;&gt;"",$M1727&lt;&gt;INDEX(職員マスタ!$H$6:$H$405,$AP1727)),"時短終了日がマスタと相違／","")))&amp;IF(AND($B1727&lt;&gt;"",$E1727=""),"報酬額が未入力／","")&amp;IF(N($U1727)&gt;0,"申請書に入力エラーが残っています／","")&amp;IF(AND($B1727&lt;&gt;"",$AQ1727&lt;&gt;""),IF(COUNTIFS($B$6:$B$3005,$B1727,$C$6:$C$3005,$C1727,$D$6:$D$3005,$D1727)&gt;1,"同じ月の請求が重複しています／",""),"")&amp;IF(AND(N($E1727)&gt;0,$AB1727&lt;&gt;"",$AB1727&lt;&gt;"×",$AE1727=0,$AD1727=""),"計算額が下限以下のため不支給／",""))</f>
        <v/>
      </c>
      <c r="AN1727" s="12" t="n"/>
      <c r="AO1727" s="14">
        <f>IF($AF1727="保留中",COUNTIF($AF$6:$AF1727,"保留中"),"")</f>
        <v/>
      </c>
      <c r="AP1727" s="14">
        <f>IF($AQ1727="","",IF(SUMPRODUCT(MAX((職員マスタ!$A$6:$A$405=$B1727)*(((職員マスタ!$G$6:$G$405="")+(職員マスタ!$G$6:$G$405&lt;=EOMONTH($AQ1727,0)))&gt;0)*(((職員マスタ!$H$6:$H$405="")+(職員マスタ!$H$6:$H$405&gt;=$AQ1727))&gt;0)*(ROW(職員マスタ!$A$6:$A$405)-5)))&gt;0,SUMPRODUCT(MAX((職員マスタ!$A$6:$A$405=$B1727)*(((職員マスタ!$G$6:$G$405="")+(職員マスタ!$G$6:$G$405&lt;=EOMONTH($AQ1727,0)))&gt;0)*(((職員マスタ!$H$6:$H$405="")+(職員マスタ!$H$6:$H$405&gt;=$AQ1727))&gt;0)*(ROW(職員マスタ!$A$6:$A$405)-5))),IFERROR(MATCH($B1727,職員マスタ!$A$6:$A$405,0),"")))</f>
        <v/>
      </c>
      <c r="AQ1727" s="16">
        <f>IF(OR($B1727="",$C1727="",$D1727=""),"",DATE($C1727+2018,$D1727,1))</f>
        <v/>
      </c>
    </row>
    <row r="1728">
      <c r="A1728" s="11" t="n"/>
      <c r="B1728" s="12" t="n"/>
      <c r="C1728" s="12" t="n"/>
      <c r="D1728" s="12" t="n"/>
      <c r="E1728" s="13" t="n"/>
      <c r="F1728" s="12" t="n"/>
      <c r="G1728" s="13" t="n"/>
      <c r="H1728" s="12" t="n"/>
      <c r="I1728" s="12" t="n"/>
      <c r="J1728" s="12" t="n"/>
      <c r="K1728" s="12" t="n"/>
      <c r="L1728" s="11" t="n"/>
      <c r="M1728" s="11" t="n"/>
      <c r="N1728" s="11" t="n"/>
      <c r="O1728" s="11" t="n"/>
      <c r="P1728" s="12" t="n"/>
      <c r="Q1728" s="11" t="n"/>
      <c r="R1728" s="12" t="n"/>
      <c r="S1728" s="11" t="n"/>
      <c r="T1728" s="12" t="n"/>
      <c r="U1728" s="12" t="n"/>
      <c r="V1728" s="12" t="n"/>
      <c r="W1728" s="13" t="n"/>
      <c r="X1728" s="14">
        <f>IF($AP1728="",IF($B1728="","",$H1728),IF(INDEX(職員マスタ!$B$6:$B$405,$AP1728)="",$H1728,INDEX(職員マスタ!$B$6:$B$405,$AP1728)))</f>
        <v/>
      </c>
      <c r="Y1728" s="14">
        <f>IF($AP1728="",IF($B1728="","",$R1728),IF(INDEX(職員マスタ!$C$6:$C$405,$AP1728)="",$R1728,INDEX(職員マスタ!$C$6:$C$405,$AP1728)))</f>
        <v/>
      </c>
      <c r="Z1728" s="14">
        <f>IF($AQ1728="","","R"&amp;$C1728&amp;"."&amp;$D1728)</f>
        <v/>
      </c>
      <c r="AA1728" s="15">
        <f>IF(IF($AP1728="",FALSE,INDEX(職員マスタ!$K$6:$K$405,$AP1728)&lt;&gt;""),INDEX(職員マスタ!$K$6:$K$405,$AP1728),IF(N($W1728)&gt;0,$W1728,""))</f>
        <v/>
      </c>
      <c r="AB1728" s="14">
        <f>IF(OR($E1728="",$AA1728=""),"",IF($E1728&gt;=$AA1728,"×",IF($E1728&gt;=$AA1728*設定!$C$5,"△","○")))</f>
        <v/>
      </c>
      <c r="AC1728" s="15">
        <f>IF($AB1728="","",IF($AB1728="×",0,IF($AB1728="○",ROUNDDOWN($E1728*設定!$C$4,0),ROUNDDOWN($E1728*ROUND((9*$AA1728-9*$E1728)/(10*$E1728),4),0))))</f>
        <v/>
      </c>
      <c r="AD1728" s="13" t="n"/>
      <c r="AE1728" s="15">
        <f>IF($B1728="","",IF($AD1728&lt;&gt;"",$AD1728,IF($AC1728="","",IF($AC1728&lt;=設定!$C$3,0,$AC1728))))</f>
        <v/>
      </c>
      <c r="AF1728" s="14">
        <f>IF($B1728="","",IF(AND($AG1728&lt;&gt;"",$AI1728="",$AL1728=""),"保留中",IF($AL1728&lt;&gt;"",IF(N($AE1728)&gt;0,"支給済","不支給"),IF($AE1728="","要確認",IF($AE1728=0,"不支給","未処理")))))</f>
        <v/>
      </c>
      <c r="AG1728" s="12" t="n"/>
      <c r="AH1728" s="11" t="n"/>
      <c r="AI1728" s="11" t="n"/>
      <c r="AJ1728" s="11" t="n"/>
      <c r="AK1728" s="14">
        <f>IF(AND($AF1728="保留中",$AH1728&lt;&gt;""),TODAY()-$AH1728,"")</f>
        <v/>
      </c>
      <c r="AL1728" s="12" t="n"/>
      <c r="AM1728" s="14">
        <f>IF($B1728="","",IF($AQ1728="","対象年月が未入力／","")&amp;IF($B1728="","",IF($AP1728="","職員マスタに未登録の職員番号／",IF($AA1728="","標準報酬月額が未登録／","")&amp;IF(AND($AQ1728&lt;&gt;"",OR(AND(INDEX(職員マスタ!$G$6:$G$405,$AP1728)&lt;&gt;"",INDEX(職員マスタ!$G$6:$G$405,$AP1728)&gt;EOMONTH($AQ1728,0)),AND(INDEX(職員マスタ!$H$6:$H$405,$AP1728)&lt;&gt;"",INDEX(職員マスタ!$H$6:$H$405,$AP1728)&lt;$AQ1728))),"対象月が時短期間外／","")&amp;IF(AND(INDEX(職員マスタ!$K$6:$K$405,$AP1728)&lt;&gt;"",N($W1728)&gt;0,INDEX(職員マスタ!$K$6:$K$405,$AP1728)&lt;&gt;$W1728),"標準報酬月額が申請書と相違（台帳"&amp;TEXT(INDEX(職員マスタ!$K$6:$K$405,$AP1728),"#,##0")&amp;"円／申請書"&amp;TEXT($W1728,"#,##0")&amp;"円）／","")&amp;IF(AND(INDEX(職員マスタ!$F$6:$F$405,$AP1728)&lt;&gt;"",$AQ1728&lt;&gt;"",INDEX(職員マスタ!$F$6:$F$405,$AP1728)&lt;$AQ1728),"対象月に子が2歳到達済／","")&amp;IF(AND($H1728&lt;&gt;"",INDEX(職員マスタ!$B$6:$B$405,$AP1728)&lt;&gt;"",SUBSTITUTE(SUBSTITUTE($H1728," ","")," ","")&lt;&gt;SUBSTITUTE(SUBSTITUTE(INDEX(職員マスタ!$B$6:$B$405,$AP1728)," ","")," ","")),"氏名がマスタと相違／","")&amp;IF(AND($Q1728&lt;&gt;"",INDEX(職員マスタ!$E$6:$E$405,$AP1728)&lt;&gt;"",$Q1728&lt;&gt;INDEX(職員マスタ!$E$6:$E$405,$AP1728)),"子の生年月日がマスタと相違／","")&amp;IF(AND($L1728&lt;&gt;"",INDEX(職員マスタ!$G$6:$G$405,$AP1728)&lt;&gt;"",$L1728&lt;&gt;INDEX(職員マスタ!$G$6:$G$405,$AP1728)),"時短開始日がマスタと相違／","")&amp;IF(AND($M1728&lt;&gt;"",INDEX(職員マスタ!$H$6:$H$405,$AP1728)&lt;&gt;"",$M1728&lt;&gt;INDEX(職員マスタ!$H$6:$H$405,$AP1728)),"時短終了日がマスタと相違／","")))&amp;IF(AND($B1728&lt;&gt;"",$E1728=""),"報酬額が未入力／","")&amp;IF(N($U1728)&gt;0,"申請書に入力エラーが残っています／","")&amp;IF(AND($B1728&lt;&gt;"",$AQ1728&lt;&gt;""),IF(COUNTIFS($B$6:$B$3005,$B1728,$C$6:$C$3005,$C1728,$D$6:$D$3005,$D1728)&gt;1,"同じ月の請求が重複しています／",""),"")&amp;IF(AND(N($E1728)&gt;0,$AB1728&lt;&gt;"",$AB1728&lt;&gt;"×",$AE1728=0,$AD1728=""),"計算額が下限以下のため不支給／",""))</f>
        <v/>
      </c>
      <c r="AN1728" s="12" t="n"/>
      <c r="AO1728" s="14">
        <f>IF($AF1728="保留中",COUNTIF($AF$6:$AF1728,"保留中"),"")</f>
        <v/>
      </c>
      <c r="AP1728" s="14">
        <f>IF($AQ1728="","",IF(SUMPRODUCT(MAX((職員マスタ!$A$6:$A$405=$B1728)*(((職員マスタ!$G$6:$G$405="")+(職員マスタ!$G$6:$G$405&lt;=EOMONTH($AQ1728,0)))&gt;0)*(((職員マスタ!$H$6:$H$405="")+(職員マスタ!$H$6:$H$405&gt;=$AQ1728))&gt;0)*(ROW(職員マスタ!$A$6:$A$405)-5)))&gt;0,SUMPRODUCT(MAX((職員マスタ!$A$6:$A$405=$B1728)*(((職員マスタ!$G$6:$G$405="")+(職員マスタ!$G$6:$G$405&lt;=EOMONTH($AQ1728,0)))&gt;0)*(((職員マスタ!$H$6:$H$405="")+(職員マスタ!$H$6:$H$405&gt;=$AQ1728))&gt;0)*(ROW(職員マスタ!$A$6:$A$405)-5))),IFERROR(MATCH($B1728,職員マスタ!$A$6:$A$405,0),"")))</f>
        <v/>
      </c>
      <c r="AQ1728" s="16">
        <f>IF(OR($B1728="",$C1728="",$D1728=""),"",DATE($C1728+2018,$D1728,1))</f>
        <v/>
      </c>
    </row>
    <row r="1729">
      <c r="A1729" s="11" t="n"/>
      <c r="B1729" s="12" t="n"/>
      <c r="C1729" s="12" t="n"/>
      <c r="D1729" s="12" t="n"/>
      <c r="E1729" s="13" t="n"/>
      <c r="F1729" s="12" t="n"/>
      <c r="G1729" s="13" t="n"/>
      <c r="H1729" s="12" t="n"/>
      <c r="I1729" s="12" t="n"/>
      <c r="J1729" s="12" t="n"/>
      <c r="K1729" s="12" t="n"/>
      <c r="L1729" s="11" t="n"/>
      <c r="M1729" s="11" t="n"/>
      <c r="N1729" s="11" t="n"/>
      <c r="O1729" s="11" t="n"/>
      <c r="P1729" s="12" t="n"/>
      <c r="Q1729" s="11" t="n"/>
      <c r="R1729" s="12" t="n"/>
      <c r="S1729" s="11" t="n"/>
      <c r="T1729" s="12" t="n"/>
      <c r="U1729" s="12" t="n"/>
      <c r="V1729" s="12" t="n"/>
      <c r="W1729" s="13" t="n"/>
      <c r="X1729" s="14">
        <f>IF($AP1729="",IF($B1729="","",$H1729),IF(INDEX(職員マスタ!$B$6:$B$405,$AP1729)="",$H1729,INDEX(職員マスタ!$B$6:$B$405,$AP1729)))</f>
        <v/>
      </c>
      <c r="Y1729" s="14">
        <f>IF($AP1729="",IF($B1729="","",$R1729),IF(INDEX(職員マスタ!$C$6:$C$405,$AP1729)="",$R1729,INDEX(職員マスタ!$C$6:$C$405,$AP1729)))</f>
        <v/>
      </c>
      <c r="Z1729" s="14">
        <f>IF($AQ1729="","","R"&amp;$C1729&amp;"."&amp;$D1729)</f>
        <v/>
      </c>
      <c r="AA1729" s="15">
        <f>IF(IF($AP1729="",FALSE,INDEX(職員マスタ!$K$6:$K$405,$AP1729)&lt;&gt;""),INDEX(職員マスタ!$K$6:$K$405,$AP1729),IF(N($W1729)&gt;0,$W1729,""))</f>
        <v/>
      </c>
      <c r="AB1729" s="14">
        <f>IF(OR($E1729="",$AA1729=""),"",IF($E1729&gt;=$AA1729,"×",IF($E1729&gt;=$AA1729*設定!$C$5,"△","○")))</f>
        <v/>
      </c>
      <c r="AC1729" s="15">
        <f>IF($AB1729="","",IF($AB1729="×",0,IF($AB1729="○",ROUNDDOWN($E1729*設定!$C$4,0),ROUNDDOWN($E1729*ROUND((9*$AA1729-9*$E1729)/(10*$E1729),4),0))))</f>
        <v/>
      </c>
      <c r="AD1729" s="13" t="n"/>
      <c r="AE1729" s="15">
        <f>IF($B1729="","",IF($AD1729&lt;&gt;"",$AD1729,IF($AC1729="","",IF($AC1729&lt;=設定!$C$3,0,$AC1729))))</f>
        <v/>
      </c>
      <c r="AF1729" s="14">
        <f>IF($B1729="","",IF(AND($AG1729&lt;&gt;"",$AI1729="",$AL1729=""),"保留中",IF($AL1729&lt;&gt;"",IF(N($AE1729)&gt;0,"支給済","不支給"),IF($AE1729="","要確認",IF($AE1729=0,"不支給","未処理")))))</f>
        <v/>
      </c>
      <c r="AG1729" s="12" t="n"/>
      <c r="AH1729" s="11" t="n"/>
      <c r="AI1729" s="11" t="n"/>
      <c r="AJ1729" s="11" t="n"/>
      <c r="AK1729" s="14">
        <f>IF(AND($AF1729="保留中",$AH1729&lt;&gt;""),TODAY()-$AH1729,"")</f>
        <v/>
      </c>
      <c r="AL1729" s="12" t="n"/>
      <c r="AM1729" s="14">
        <f>IF($B1729="","",IF($AQ1729="","対象年月が未入力／","")&amp;IF($B1729="","",IF($AP1729="","職員マスタに未登録の職員番号／",IF($AA1729="","標準報酬月額が未登録／","")&amp;IF(AND($AQ1729&lt;&gt;"",OR(AND(INDEX(職員マスタ!$G$6:$G$405,$AP1729)&lt;&gt;"",INDEX(職員マスタ!$G$6:$G$405,$AP1729)&gt;EOMONTH($AQ1729,0)),AND(INDEX(職員マスタ!$H$6:$H$405,$AP1729)&lt;&gt;"",INDEX(職員マスタ!$H$6:$H$405,$AP1729)&lt;$AQ1729))),"対象月が時短期間外／","")&amp;IF(AND(INDEX(職員マスタ!$K$6:$K$405,$AP1729)&lt;&gt;"",N($W1729)&gt;0,INDEX(職員マスタ!$K$6:$K$405,$AP1729)&lt;&gt;$W1729),"標準報酬月額が申請書と相違（台帳"&amp;TEXT(INDEX(職員マスタ!$K$6:$K$405,$AP1729),"#,##0")&amp;"円／申請書"&amp;TEXT($W1729,"#,##0")&amp;"円）／","")&amp;IF(AND(INDEX(職員マスタ!$F$6:$F$405,$AP1729)&lt;&gt;"",$AQ1729&lt;&gt;"",INDEX(職員マスタ!$F$6:$F$405,$AP1729)&lt;$AQ1729),"対象月に子が2歳到達済／","")&amp;IF(AND($H1729&lt;&gt;"",INDEX(職員マスタ!$B$6:$B$405,$AP1729)&lt;&gt;"",SUBSTITUTE(SUBSTITUTE($H1729," ","")," ","")&lt;&gt;SUBSTITUTE(SUBSTITUTE(INDEX(職員マスタ!$B$6:$B$405,$AP1729)," ","")," ","")),"氏名がマスタと相違／","")&amp;IF(AND($Q1729&lt;&gt;"",INDEX(職員マスタ!$E$6:$E$405,$AP1729)&lt;&gt;"",$Q1729&lt;&gt;INDEX(職員マスタ!$E$6:$E$405,$AP1729)),"子の生年月日がマスタと相違／","")&amp;IF(AND($L1729&lt;&gt;"",INDEX(職員マスタ!$G$6:$G$405,$AP1729)&lt;&gt;"",$L1729&lt;&gt;INDEX(職員マスタ!$G$6:$G$405,$AP1729)),"時短開始日がマスタと相違／","")&amp;IF(AND($M1729&lt;&gt;"",INDEX(職員マスタ!$H$6:$H$405,$AP1729)&lt;&gt;"",$M1729&lt;&gt;INDEX(職員マスタ!$H$6:$H$405,$AP1729)),"時短終了日がマスタと相違／","")))&amp;IF(AND($B1729&lt;&gt;"",$E1729=""),"報酬額が未入力／","")&amp;IF(N($U1729)&gt;0,"申請書に入力エラーが残っています／","")&amp;IF(AND($B1729&lt;&gt;"",$AQ1729&lt;&gt;""),IF(COUNTIFS($B$6:$B$3005,$B1729,$C$6:$C$3005,$C1729,$D$6:$D$3005,$D1729)&gt;1,"同じ月の請求が重複しています／",""),"")&amp;IF(AND(N($E1729)&gt;0,$AB1729&lt;&gt;"",$AB1729&lt;&gt;"×",$AE1729=0,$AD1729=""),"計算額が下限以下のため不支給／",""))</f>
        <v/>
      </c>
      <c r="AN1729" s="12" t="n"/>
      <c r="AO1729" s="14">
        <f>IF($AF1729="保留中",COUNTIF($AF$6:$AF1729,"保留中"),"")</f>
        <v/>
      </c>
      <c r="AP1729" s="14">
        <f>IF($AQ1729="","",IF(SUMPRODUCT(MAX((職員マスタ!$A$6:$A$405=$B1729)*(((職員マスタ!$G$6:$G$405="")+(職員マスタ!$G$6:$G$405&lt;=EOMONTH($AQ1729,0)))&gt;0)*(((職員マスタ!$H$6:$H$405="")+(職員マスタ!$H$6:$H$405&gt;=$AQ1729))&gt;0)*(ROW(職員マスタ!$A$6:$A$405)-5)))&gt;0,SUMPRODUCT(MAX((職員マスタ!$A$6:$A$405=$B1729)*(((職員マスタ!$G$6:$G$405="")+(職員マスタ!$G$6:$G$405&lt;=EOMONTH($AQ1729,0)))&gt;0)*(((職員マスタ!$H$6:$H$405="")+(職員マスタ!$H$6:$H$405&gt;=$AQ1729))&gt;0)*(ROW(職員マスタ!$A$6:$A$405)-5))),IFERROR(MATCH($B1729,職員マスタ!$A$6:$A$405,0),"")))</f>
        <v/>
      </c>
      <c r="AQ1729" s="16">
        <f>IF(OR($B1729="",$C1729="",$D1729=""),"",DATE($C1729+2018,$D1729,1))</f>
        <v/>
      </c>
    </row>
    <row r="1730">
      <c r="A1730" s="11" t="n"/>
      <c r="B1730" s="12" t="n"/>
      <c r="C1730" s="12" t="n"/>
      <c r="D1730" s="12" t="n"/>
      <c r="E1730" s="13" t="n"/>
      <c r="F1730" s="12" t="n"/>
      <c r="G1730" s="13" t="n"/>
      <c r="H1730" s="12" t="n"/>
      <c r="I1730" s="12" t="n"/>
      <c r="J1730" s="12" t="n"/>
      <c r="K1730" s="12" t="n"/>
      <c r="L1730" s="11" t="n"/>
      <c r="M1730" s="11" t="n"/>
      <c r="N1730" s="11" t="n"/>
      <c r="O1730" s="11" t="n"/>
      <c r="P1730" s="12" t="n"/>
      <c r="Q1730" s="11" t="n"/>
      <c r="R1730" s="12" t="n"/>
      <c r="S1730" s="11" t="n"/>
      <c r="T1730" s="12" t="n"/>
      <c r="U1730" s="12" t="n"/>
      <c r="V1730" s="12" t="n"/>
      <c r="W1730" s="13" t="n"/>
      <c r="X1730" s="14">
        <f>IF($AP1730="",IF($B1730="","",$H1730),IF(INDEX(職員マスタ!$B$6:$B$405,$AP1730)="",$H1730,INDEX(職員マスタ!$B$6:$B$405,$AP1730)))</f>
        <v/>
      </c>
      <c r="Y1730" s="14">
        <f>IF($AP1730="",IF($B1730="","",$R1730),IF(INDEX(職員マスタ!$C$6:$C$405,$AP1730)="",$R1730,INDEX(職員マスタ!$C$6:$C$405,$AP1730)))</f>
        <v/>
      </c>
      <c r="Z1730" s="14">
        <f>IF($AQ1730="","","R"&amp;$C1730&amp;"."&amp;$D1730)</f>
        <v/>
      </c>
      <c r="AA1730" s="15">
        <f>IF(IF($AP1730="",FALSE,INDEX(職員マスタ!$K$6:$K$405,$AP1730)&lt;&gt;""),INDEX(職員マスタ!$K$6:$K$405,$AP1730),IF(N($W1730)&gt;0,$W1730,""))</f>
        <v/>
      </c>
      <c r="AB1730" s="14">
        <f>IF(OR($E1730="",$AA1730=""),"",IF($E1730&gt;=$AA1730,"×",IF($E1730&gt;=$AA1730*設定!$C$5,"△","○")))</f>
        <v/>
      </c>
      <c r="AC1730" s="15">
        <f>IF($AB1730="","",IF($AB1730="×",0,IF($AB1730="○",ROUNDDOWN($E1730*設定!$C$4,0),ROUNDDOWN($E1730*ROUND((9*$AA1730-9*$E1730)/(10*$E1730),4),0))))</f>
        <v/>
      </c>
      <c r="AD1730" s="13" t="n"/>
      <c r="AE1730" s="15">
        <f>IF($B1730="","",IF($AD1730&lt;&gt;"",$AD1730,IF($AC1730="","",IF($AC1730&lt;=設定!$C$3,0,$AC1730))))</f>
        <v/>
      </c>
      <c r="AF1730" s="14">
        <f>IF($B1730="","",IF(AND($AG1730&lt;&gt;"",$AI1730="",$AL1730=""),"保留中",IF($AL1730&lt;&gt;"",IF(N($AE1730)&gt;0,"支給済","不支給"),IF($AE1730="","要確認",IF($AE1730=0,"不支給","未処理")))))</f>
        <v/>
      </c>
      <c r="AG1730" s="12" t="n"/>
      <c r="AH1730" s="11" t="n"/>
      <c r="AI1730" s="11" t="n"/>
      <c r="AJ1730" s="11" t="n"/>
      <c r="AK1730" s="14">
        <f>IF(AND($AF1730="保留中",$AH1730&lt;&gt;""),TODAY()-$AH1730,"")</f>
        <v/>
      </c>
      <c r="AL1730" s="12" t="n"/>
      <c r="AM1730" s="14">
        <f>IF($B1730="","",IF($AQ1730="","対象年月が未入力／","")&amp;IF($B1730="","",IF($AP1730="","職員マスタに未登録の職員番号／",IF($AA1730="","標準報酬月額が未登録／","")&amp;IF(AND($AQ1730&lt;&gt;"",OR(AND(INDEX(職員マスタ!$G$6:$G$405,$AP1730)&lt;&gt;"",INDEX(職員マスタ!$G$6:$G$405,$AP1730)&gt;EOMONTH($AQ1730,0)),AND(INDEX(職員マスタ!$H$6:$H$405,$AP1730)&lt;&gt;"",INDEX(職員マスタ!$H$6:$H$405,$AP1730)&lt;$AQ1730))),"対象月が時短期間外／","")&amp;IF(AND(INDEX(職員マスタ!$K$6:$K$405,$AP1730)&lt;&gt;"",N($W1730)&gt;0,INDEX(職員マスタ!$K$6:$K$405,$AP1730)&lt;&gt;$W1730),"標準報酬月額が申請書と相違（台帳"&amp;TEXT(INDEX(職員マスタ!$K$6:$K$405,$AP1730),"#,##0")&amp;"円／申請書"&amp;TEXT($W1730,"#,##0")&amp;"円）／","")&amp;IF(AND(INDEX(職員マスタ!$F$6:$F$405,$AP1730)&lt;&gt;"",$AQ1730&lt;&gt;"",INDEX(職員マスタ!$F$6:$F$405,$AP1730)&lt;$AQ1730),"対象月に子が2歳到達済／","")&amp;IF(AND($H1730&lt;&gt;"",INDEX(職員マスタ!$B$6:$B$405,$AP1730)&lt;&gt;"",SUBSTITUTE(SUBSTITUTE($H1730," ","")," ","")&lt;&gt;SUBSTITUTE(SUBSTITUTE(INDEX(職員マスタ!$B$6:$B$405,$AP1730)," ","")," ","")),"氏名がマスタと相違／","")&amp;IF(AND($Q1730&lt;&gt;"",INDEX(職員マスタ!$E$6:$E$405,$AP1730)&lt;&gt;"",$Q1730&lt;&gt;INDEX(職員マスタ!$E$6:$E$405,$AP1730)),"子の生年月日がマスタと相違／","")&amp;IF(AND($L1730&lt;&gt;"",INDEX(職員マスタ!$G$6:$G$405,$AP1730)&lt;&gt;"",$L1730&lt;&gt;INDEX(職員マスタ!$G$6:$G$405,$AP1730)),"時短開始日がマスタと相違／","")&amp;IF(AND($M1730&lt;&gt;"",INDEX(職員マスタ!$H$6:$H$405,$AP1730)&lt;&gt;"",$M1730&lt;&gt;INDEX(職員マスタ!$H$6:$H$405,$AP1730)),"時短終了日がマスタと相違／","")))&amp;IF(AND($B1730&lt;&gt;"",$E1730=""),"報酬額が未入力／","")&amp;IF(N($U1730)&gt;0,"申請書に入力エラーが残っています／","")&amp;IF(AND($B1730&lt;&gt;"",$AQ1730&lt;&gt;""),IF(COUNTIFS($B$6:$B$3005,$B1730,$C$6:$C$3005,$C1730,$D$6:$D$3005,$D1730)&gt;1,"同じ月の請求が重複しています／",""),"")&amp;IF(AND(N($E1730)&gt;0,$AB1730&lt;&gt;"",$AB1730&lt;&gt;"×",$AE1730=0,$AD1730=""),"計算額が下限以下のため不支給／",""))</f>
        <v/>
      </c>
      <c r="AN1730" s="12" t="n"/>
      <c r="AO1730" s="14">
        <f>IF($AF1730="保留中",COUNTIF($AF$6:$AF1730,"保留中"),"")</f>
        <v/>
      </c>
      <c r="AP1730" s="14">
        <f>IF($AQ1730="","",IF(SUMPRODUCT(MAX((職員マスタ!$A$6:$A$405=$B1730)*(((職員マスタ!$G$6:$G$405="")+(職員マスタ!$G$6:$G$405&lt;=EOMONTH($AQ1730,0)))&gt;0)*(((職員マスタ!$H$6:$H$405="")+(職員マスタ!$H$6:$H$405&gt;=$AQ1730))&gt;0)*(ROW(職員マスタ!$A$6:$A$405)-5)))&gt;0,SUMPRODUCT(MAX((職員マスタ!$A$6:$A$405=$B1730)*(((職員マスタ!$G$6:$G$405="")+(職員マスタ!$G$6:$G$405&lt;=EOMONTH($AQ1730,0)))&gt;0)*(((職員マスタ!$H$6:$H$405="")+(職員マスタ!$H$6:$H$405&gt;=$AQ1730))&gt;0)*(ROW(職員マスタ!$A$6:$A$405)-5))),IFERROR(MATCH($B1730,職員マスタ!$A$6:$A$405,0),"")))</f>
        <v/>
      </c>
      <c r="AQ1730" s="16">
        <f>IF(OR($B1730="",$C1730="",$D1730=""),"",DATE($C1730+2018,$D1730,1))</f>
        <v/>
      </c>
    </row>
    <row r="1731">
      <c r="A1731" s="11" t="n"/>
      <c r="B1731" s="12" t="n"/>
      <c r="C1731" s="12" t="n"/>
      <c r="D1731" s="12" t="n"/>
      <c r="E1731" s="13" t="n"/>
      <c r="F1731" s="12" t="n"/>
      <c r="G1731" s="13" t="n"/>
      <c r="H1731" s="12" t="n"/>
      <c r="I1731" s="12" t="n"/>
      <c r="J1731" s="12" t="n"/>
      <c r="K1731" s="12" t="n"/>
      <c r="L1731" s="11" t="n"/>
      <c r="M1731" s="11" t="n"/>
      <c r="N1731" s="11" t="n"/>
      <c r="O1731" s="11" t="n"/>
      <c r="P1731" s="12" t="n"/>
      <c r="Q1731" s="11" t="n"/>
      <c r="R1731" s="12" t="n"/>
      <c r="S1731" s="11" t="n"/>
      <c r="T1731" s="12" t="n"/>
      <c r="U1731" s="12" t="n"/>
      <c r="V1731" s="12" t="n"/>
      <c r="W1731" s="13" t="n"/>
      <c r="X1731" s="14">
        <f>IF($AP1731="",IF($B1731="","",$H1731),IF(INDEX(職員マスタ!$B$6:$B$405,$AP1731)="",$H1731,INDEX(職員マスタ!$B$6:$B$405,$AP1731)))</f>
        <v/>
      </c>
      <c r="Y1731" s="14">
        <f>IF($AP1731="",IF($B1731="","",$R1731),IF(INDEX(職員マスタ!$C$6:$C$405,$AP1731)="",$R1731,INDEX(職員マスタ!$C$6:$C$405,$AP1731)))</f>
        <v/>
      </c>
      <c r="Z1731" s="14">
        <f>IF($AQ1731="","","R"&amp;$C1731&amp;"."&amp;$D1731)</f>
        <v/>
      </c>
      <c r="AA1731" s="15">
        <f>IF(IF($AP1731="",FALSE,INDEX(職員マスタ!$K$6:$K$405,$AP1731)&lt;&gt;""),INDEX(職員マスタ!$K$6:$K$405,$AP1731),IF(N($W1731)&gt;0,$W1731,""))</f>
        <v/>
      </c>
      <c r="AB1731" s="14">
        <f>IF(OR($E1731="",$AA1731=""),"",IF($E1731&gt;=$AA1731,"×",IF($E1731&gt;=$AA1731*設定!$C$5,"△","○")))</f>
        <v/>
      </c>
      <c r="AC1731" s="15">
        <f>IF($AB1731="","",IF($AB1731="×",0,IF($AB1731="○",ROUNDDOWN($E1731*設定!$C$4,0),ROUNDDOWN($E1731*ROUND((9*$AA1731-9*$E1731)/(10*$E1731),4),0))))</f>
        <v/>
      </c>
      <c r="AD1731" s="13" t="n"/>
      <c r="AE1731" s="15">
        <f>IF($B1731="","",IF($AD1731&lt;&gt;"",$AD1731,IF($AC1731="","",IF($AC1731&lt;=設定!$C$3,0,$AC1731))))</f>
        <v/>
      </c>
      <c r="AF1731" s="14">
        <f>IF($B1731="","",IF(AND($AG1731&lt;&gt;"",$AI1731="",$AL1731=""),"保留中",IF($AL1731&lt;&gt;"",IF(N($AE1731)&gt;0,"支給済","不支給"),IF($AE1731="","要確認",IF($AE1731=0,"不支給","未処理")))))</f>
        <v/>
      </c>
      <c r="AG1731" s="12" t="n"/>
      <c r="AH1731" s="11" t="n"/>
      <c r="AI1731" s="11" t="n"/>
      <c r="AJ1731" s="11" t="n"/>
      <c r="AK1731" s="14">
        <f>IF(AND($AF1731="保留中",$AH1731&lt;&gt;""),TODAY()-$AH1731,"")</f>
        <v/>
      </c>
      <c r="AL1731" s="12" t="n"/>
      <c r="AM1731" s="14">
        <f>IF($B1731="","",IF($AQ1731="","対象年月が未入力／","")&amp;IF($B1731="","",IF($AP1731="","職員マスタに未登録の職員番号／",IF($AA1731="","標準報酬月額が未登録／","")&amp;IF(AND($AQ1731&lt;&gt;"",OR(AND(INDEX(職員マスタ!$G$6:$G$405,$AP1731)&lt;&gt;"",INDEX(職員マスタ!$G$6:$G$405,$AP1731)&gt;EOMONTH($AQ1731,0)),AND(INDEX(職員マスタ!$H$6:$H$405,$AP1731)&lt;&gt;"",INDEX(職員マスタ!$H$6:$H$405,$AP1731)&lt;$AQ1731))),"対象月が時短期間外／","")&amp;IF(AND(INDEX(職員マスタ!$K$6:$K$405,$AP1731)&lt;&gt;"",N($W1731)&gt;0,INDEX(職員マスタ!$K$6:$K$405,$AP1731)&lt;&gt;$W1731),"標準報酬月額が申請書と相違（台帳"&amp;TEXT(INDEX(職員マスタ!$K$6:$K$405,$AP1731),"#,##0")&amp;"円／申請書"&amp;TEXT($W1731,"#,##0")&amp;"円）／","")&amp;IF(AND(INDEX(職員マスタ!$F$6:$F$405,$AP1731)&lt;&gt;"",$AQ1731&lt;&gt;"",INDEX(職員マスタ!$F$6:$F$405,$AP1731)&lt;$AQ1731),"対象月に子が2歳到達済／","")&amp;IF(AND($H1731&lt;&gt;"",INDEX(職員マスタ!$B$6:$B$405,$AP1731)&lt;&gt;"",SUBSTITUTE(SUBSTITUTE($H1731," ","")," ","")&lt;&gt;SUBSTITUTE(SUBSTITUTE(INDEX(職員マスタ!$B$6:$B$405,$AP1731)," ","")," ","")),"氏名がマスタと相違／","")&amp;IF(AND($Q1731&lt;&gt;"",INDEX(職員マスタ!$E$6:$E$405,$AP1731)&lt;&gt;"",$Q1731&lt;&gt;INDEX(職員マスタ!$E$6:$E$405,$AP1731)),"子の生年月日がマスタと相違／","")&amp;IF(AND($L1731&lt;&gt;"",INDEX(職員マスタ!$G$6:$G$405,$AP1731)&lt;&gt;"",$L1731&lt;&gt;INDEX(職員マスタ!$G$6:$G$405,$AP1731)),"時短開始日がマスタと相違／","")&amp;IF(AND($M1731&lt;&gt;"",INDEX(職員マスタ!$H$6:$H$405,$AP1731)&lt;&gt;"",$M1731&lt;&gt;INDEX(職員マスタ!$H$6:$H$405,$AP1731)),"時短終了日がマスタと相違／","")))&amp;IF(AND($B1731&lt;&gt;"",$E1731=""),"報酬額が未入力／","")&amp;IF(N($U1731)&gt;0,"申請書に入力エラーが残っています／","")&amp;IF(AND($B1731&lt;&gt;"",$AQ1731&lt;&gt;""),IF(COUNTIFS($B$6:$B$3005,$B1731,$C$6:$C$3005,$C1731,$D$6:$D$3005,$D1731)&gt;1,"同じ月の請求が重複しています／",""),"")&amp;IF(AND(N($E1731)&gt;0,$AB1731&lt;&gt;"",$AB1731&lt;&gt;"×",$AE1731=0,$AD1731=""),"計算額が下限以下のため不支給／",""))</f>
        <v/>
      </c>
      <c r="AN1731" s="12" t="n"/>
      <c r="AO1731" s="14">
        <f>IF($AF1731="保留中",COUNTIF($AF$6:$AF1731,"保留中"),"")</f>
        <v/>
      </c>
      <c r="AP1731" s="14">
        <f>IF($AQ1731="","",IF(SUMPRODUCT(MAX((職員マスタ!$A$6:$A$405=$B1731)*(((職員マスタ!$G$6:$G$405="")+(職員マスタ!$G$6:$G$405&lt;=EOMONTH($AQ1731,0)))&gt;0)*(((職員マスタ!$H$6:$H$405="")+(職員マスタ!$H$6:$H$405&gt;=$AQ1731))&gt;0)*(ROW(職員マスタ!$A$6:$A$405)-5)))&gt;0,SUMPRODUCT(MAX((職員マスタ!$A$6:$A$405=$B1731)*(((職員マスタ!$G$6:$G$405="")+(職員マスタ!$G$6:$G$405&lt;=EOMONTH($AQ1731,0)))&gt;0)*(((職員マスタ!$H$6:$H$405="")+(職員マスタ!$H$6:$H$405&gt;=$AQ1731))&gt;0)*(ROW(職員マスタ!$A$6:$A$405)-5))),IFERROR(MATCH($B1731,職員マスタ!$A$6:$A$405,0),"")))</f>
        <v/>
      </c>
      <c r="AQ1731" s="16">
        <f>IF(OR($B1731="",$C1731="",$D1731=""),"",DATE($C1731+2018,$D1731,1))</f>
        <v/>
      </c>
    </row>
    <row r="1732">
      <c r="A1732" s="11" t="n"/>
      <c r="B1732" s="12" t="n"/>
      <c r="C1732" s="12" t="n"/>
      <c r="D1732" s="12" t="n"/>
      <c r="E1732" s="13" t="n"/>
      <c r="F1732" s="12" t="n"/>
      <c r="G1732" s="13" t="n"/>
      <c r="H1732" s="12" t="n"/>
      <c r="I1732" s="12" t="n"/>
      <c r="J1732" s="12" t="n"/>
      <c r="K1732" s="12" t="n"/>
      <c r="L1732" s="11" t="n"/>
      <c r="M1732" s="11" t="n"/>
      <c r="N1732" s="11" t="n"/>
      <c r="O1732" s="11" t="n"/>
      <c r="P1732" s="12" t="n"/>
      <c r="Q1732" s="11" t="n"/>
      <c r="R1732" s="12" t="n"/>
      <c r="S1732" s="11" t="n"/>
      <c r="T1732" s="12" t="n"/>
      <c r="U1732" s="12" t="n"/>
      <c r="V1732" s="12" t="n"/>
      <c r="W1732" s="13" t="n"/>
      <c r="X1732" s="14">
        <f>IF($AP1732="",IF($B1732="","",$H1732),IF(INDEX(職員マスタ!$B$6:$B$405,$AP1732)="",$H1732,INDEX(職員マスタ!$B$6:$B$405,$AP1732)))</f>
        <v/>
      </c>
      <c r="Y1732" s="14">
        <f>IF($AP1732="",IF($B1732="","",$R1732),IF(INDEX(職員マスタ!$C$6:$C$405,$AP1732)="",$R1732,INDEX(職員マスタ!$C$6:$C$405,$AP1732)))</f>
        <v/>
      </c>
      <c r="Z1732" s="14">
        <f>IF($AQ1732="","","R"&amp;$C1732&amp;"."&amp;$D1732)</f>
        <v/>
      </c>
      <c r="AA1732" s="15">
        <f>IF(IF($AP1732="",FALSE,INDEX(職員マスタ!$K$6:$K$405,$AP1732)&lt;&gt;""),INDEX(職員マスタ!$K$6:$K$405,$AP1732),IF(N($W1732)&gt;0,$W1732,""))</f>
        <v/>
      </c>
      <c r="AB1732" s="14">
        <f>IF(OR($E1732="",$AA1732=""),"",IF($E1732&gt;=$AA1732,"×",IF($E1732&gt;=$AA1732*設定!$C$5,"△","○")))</f>
        <v/>
      </c>
      <c r="AC1732" s="15">
        <f>IF($AB1732="","",IF($AB1732="×",0,IF($AB1732="○",ROUNDDOWN($E1732*設定!$C$4,0),ROUNDDOWN($E1732*ROUND((9*$AA1732-9*$E1732)/(10*$E1732),4),0))))</f>
        <v/>
      </c>
      <c r="AD1732" s="13" t="n"/>
      <c r="AE1732" s="15">
        <f>IF($B1732="","",IF($AD1732&lt;&gt;"",$AD1732,IF($AC1732="","",IF($AC1732&lt;=設定!$C$3,0,$AC1732))))</f>
        <v/>
      </c>
      <c r="AF1732" s="14">
        <f>IF($B1732="","",IF(AND($AG1732&lt;&gt;"",$AI1732="",$AL1732=""),"保留中",IF($AL1732&lt;&gt;"",IF(N($AE1732)&gt;0,"支給済","不支給"),IF($AE1732="","要確認",IF($AE1732=0,"不支給","未処理")))))</f>
        <v/>
      </c>
      <c r="AG1732" s="12" t="n"/>
      <c r="AH1732" s="11" t="n"/>
      <c r="AI1732" s="11" t="n"/>
      <c r="AJ1732" s="11" t="n"/>
      <c r="AK1732" s="14">
        <f>IF(AND($AF1732="保留中",$AH1732&lt;&gt;""),TODAY()-$AH1732,"")</f>
        <v/>
      </c>
      <c r="AL1732" s="12" t="n"/>
      <c r="AM1732" s="14">
        <f>IF($B1732="","",IF($AQ1732="","対象年月が未入力／","")&amp;IF($B1732="","",IF($AP1732="","職員マスタに未登録の職員番号／",IF($AA1732="","標準報酬月額が未登録／","")&amp;IF(AND($AQ1732&lt;&gt;"",OR(AND(INDEX(職員マスタ!$G$6:$G$405,$AP1732)&lt;&gt;"",INDEX(職員マスタ!$G$6:$G$405,$AP1732)&gt;EOMONTH($AQ1732,0)),AND(INDEX(職員マスタ!$H$6:$H$405,$AP1732)&lt;&gt;"",INDEX(職員マスタ!$H$6:$H$405,$AP1732)&lt;$AQ1732))),"対象月が時短期間外／","")&amp;IF(AND(INDEX(職員マスタ!$K$6:$K$405,$AP1732)&lt;&gt;"",N($W1732)&gt;0,INDEX(職員マスタ!$K$6:$K$405,$AP1732)&lt;&gt;$W1732),"標準報酬月額が申請書と相違（台帳"&amp;TEXT(INDEX(職員マスタ!$K$6:$K$405,$AP1732),"#,##0")&amp;"円／申請書"&amp;TEXT($W1732,"#,##0")&amp;"円）／","")&amp;IF(AND(INDEX(職員マスタ!$F$6:$F$405,$AP1732)&lt;&gt;"",$AQ1732&lt;&gt;"",INDEX(職員マスタ!$F$6:$F$405,$AP1732)&lt;$AQ1732),"対象月に子が2歳到達済／","")&amp;IF(AND($H1732&lt;&gt;"",INDEX(職員マスタ!$B$6:$B$405,$AP1732)&lt;&gt;"",SUBSTITUTE(SUBSTITUTE($H1732," ","")," ","")&lt;&gt;SUBSTITUTE(SUBSTITUTE(INDEX(職員マスタ!$B$6:$B$405,$AP1732)," ","")," ","")),"氏名がマスタと相違／","")&amp;IF(AND($Q1732&lt;&gt;"",INDEX(職員マスタ!$E$6:$E$405,$AP1732)&lt;&gt;"",$Q1732&lt;&gt;INDEX(職員マスタ!$E$6:$E$405,$AP1732)),"子の生年月日がマスタと相違／","")&amp;IF(AND($L1732&lt;&gt;"",INDEX(職員マスタ!$G$6:$G$405,$AP1732)&lt;&gt;"",$L1732&lt;&gt;INDEX(職員マスタ!$G$6:$G$405,$AP1732)),"時短開始日がマスタと相違／","")&amp;IF(AND($M1732&lt;&gt;"",INDEX(職員マスタ!$H$6:$H$405,$AP1732)&lt;&gt;"",$M1732&lt;&gt;INDEX(職員マスタ!$H$6:$H$405,$AP1732)),"時短終了日がマスタと相違／","")))&amp;IF(AND($B1732&lt;&gt;"",$E1732=""),"報酬額が未入力／","")&amp;IF(N($U1732)&gt;0,"申請書に入力エラーが残っています／","")&amp;IF(AND($B1732&lt;&gt;"",$AQ1732&lt;&gt;""),IF(COUNTIFS($B$6:$B$3005,$B1732,$C$6:$C$3005,$C1732,$D$6:$D$3005,$D1732)&gt;1,"同じ月の請求が重複しています／",""),"")&amp;IF(AND(N($E1732)&gt;0,$AB1732&lt;&gt;"",$AB1732&lt;&gt;"×",$AE1732=0,$AD1732=""),"計算額が下限以下のため不支給／",""))</f>
        <v/>
      </c>
      <c r="AN1732" s="12" t="n"/>
      <c r="AO1732" s="14">
        <f>IF($AF1732="保留中",COUNTIF($AF$6:$AF1732,"保留中"),"")</f>
        <v/>
      </c>
      <c r="AP1732" s="14">
        <f>IF($AQ1732="","",IF(SUMPRODUCT(MAX((職員マスタ!$A$6:$A$405=$B1732)*(((職員マスタ!$G$6:$G$405="")+(職員マスタ!$G$6:$G$405&lt;=EOMONTH($AQ1732,0)))&gt;0)*(((職員マスタ!$H$6:$H$405="")+(職員マスタ!$H$6:$H$405&gt;=$AQ1732))&gt;0)*(ROW(職員マスタ!$A$6:$A$405)-5)))&gt;0,SUMPRODUCT(MAX((職員マスタ!$A$6:$A$405=$B1732)*(((職員マスタ!$G$6:$G$405="")+(職員マスタ!$G$6:$G$405&lt;=EOMONTH($AQ1732,0)))&gt;0)*(((職員マスタ!$H$6:$H$405="")+(職員マスタ!$H$6:$H$405&gt;=$AQ1732))&gt;0)*(ROW(職員マスタ!$A$6:$A$405)-5))),IFERROR(MATCH($B1732,職員マスタ!$A$6:$A$405,0),"")))</f>
        <v/>
      </c>
      <c r="AQ1732" s="16">
        <f>IF(OR($B1732="",$C1732="",$D1732=""),"",DATE($C1732+2018,$D1732,1))</f>
        <v/>
      </c>
    </row>
    <row r="1733">
      <c r="A1733" s="11" t="n"/>
      <c r="B1733" s="12" t="n"/>
      <c r="C1733" s="12" t="n"/>
      <c r="D1733" s="12" t="n"/>
      <c r="E1733" s="13" t="n"/>
      <c r="F1733" s="12" t="n"/>
      <c r="G1733" s="13" t="n"/>
      <c r="H1733" s="12" t="n"/>
      <c r="I1733" s="12" t="n"/>
      <c r="J1733" s="12" t="n"/>
      <c r="K1733" s="12" t="n"/>
      <c r="L1733" s="11" t="n"/>
      <c r="M1733" s="11" t="n"/>
      <c r="N1733" s="11" t="n"/>
      <c r="O1733" s="11" t="n"/>
      <c r="P1733" s="12" t="n"/>
      <c r="Q1733" s="11" t="n"/>
      <c r="R1733" s="12" t="n"/>
      <c r="S1733" s="11" t="n"/>
      <c r="T1733" s="12" t="n"/>
      <c r="U1733" s="12" t="n"/>
      <c r="V1733" s="12" t="n"/>
      <c r="W1733" s="13" t="n"/>
      <c r="X1733" s="14">
        <f>IF($AP1733="",IF($B1733="","",$H1733),IF(INDEX(職員マスタ!$B$6:$B$405,$AP1733)="",$H1733,INDEX(職員マスタ!$B$6:$B$405,$AP1733)))</f>
        <v/>
      </c>
      <c r="Y1733" s="14">
        <f>IF($AP1733="",IF($B1733="","",$R1733),IF(INDEX(職員マスタ!$C$6:$C$405,$AP1733)="",$R1733,INDEX(職員マスタ!$C$6:$C$405,$AP1733)))</f>
        <v/>
      </c>
      <c r="Z1733" s="14">
        <f>IF($AQ1733="","","R"&amp;$C1733&amp;"."&amp;$D1733)</f>
        <v/>
      </c>
      <c r="AA1733" s="15">
        <f>IF(IF($AP1733="",FALSE,INDEX(職員マスタ!$K$6:$K$405,$AP1733)&lt;&gt;""),INDEX(職員マスタ!$K$6:$K$405,$AP1733),IF(N($W1733)&gt;0,$W1733,""))</f>
        <v/>
      </c>
      <c r="AB1733" s="14">
        <f>IF(OR($E1733="",$AA1733=""),"",IF($E1733&gt;=$AA1733,"×",IF($E1733&gt;=$AA1733*設定!$C$5,"△","○")))</f>
        <v/>
      </c>
      <c r="AC1733" s="15">
        <f>IF($AB1733="","",IF($AB1733="×",0,IF($AB1733="○",ROUNDDOWN($E1733*設定!$C$4,0),ROUNDDOWN($E1733*ROUND((9*$AA1733-9*$E1733)/(10*$E1733),4),0))))</f>
        <v/>
      </c>
      <c r="AD1733" s="13" t="n"/>
      <c r="AE1733" s="15">
        <f>IF($B1733="","",IF($AD1733&lt;&gt;"",$AD1733,IF($AC1733="","",IF($AC1733&lt;=設定!$C$3,0,$AC1733))))</f>
        <v/>
      </c>
      <c r="AF1733" s="14">
        <f>IF($B1733="","",IF(AND($AG1733&lt;&gt;"",$AI1733="",$AL1733=""),"保留中",IF($AL1733&lt;&gt;"",IF(N($AE1733)&gt;0,"支給済","不支給"),IF($AE1733="","要確認",IF($AE1733=0,"不支給","未処理")))))</f>
        <v/>
      </c>
      <c r="AG1733" s="12" t="n"/>
      <c r="AH1733" s="11" t="n"/>
      <c r="AI1733" s="11" t="n"/>
      <c r="AJ1733" s="11" t="n"/>
      <c r="AK1733" s="14">
        <f>IF(AND($AF1733="保留中",$AH1733&lt;&gt;""),TODAY()-$AH1733,"")</f>
        <v/>
      </c>
      <c r="AL1733" s="12" t="n"/>
      <c r="AM1733" s="14">
        <f>IF($B1733="","",IF($AQ1733="","対象年月が未入力／","")&amp;IF($B1733="","",IF($AP1733="","職員マスタに未登録の職員番号／",IF($AA1733="","標準報酬月額が未登録／","")&amp;IF(AND($AQ1733&lt;&gt;"",OR(AND(INDEX(職員マスタ!$G$6:$G$405,$AP1733)&lt;&gt;"",INDEX(職員マスタ!$G$6:$G$405,$AP1733)&gt;EOMONTH($AQ1733,0)),AND(INDEX(職員マスタ!$H$6:$H$405,$AP1733)&lt;&gt;"",INDEX(職員マスタ!$H$6:$H$405,$AP1733)&lt;$AQ1733))),"対象月が時短期間外／","")&amp;IF(AND(INDEX(職員マスタ!$K$6:$K$405,$AP1733)&lt;&gt;"",N($W1733)&gt;0,INDEX(職員マスタ!$K$6:$K$405,$AP1733)&lt;&gt;$W1733),"標準報酬月額が申請書と相違（台帳"&amp;TEXT(INDEX(職員マスタ!$K$6:$K$405,$AP1733),"#,##0")&amp;"円／申請書"&amp;TEXT($W1733,"#,##0")&amp;"円）／","")&amp;IF(AND(INDEX(職員マスタ!$F$6:$F$405,$AP1733)&lt;&gt;"",$AQ1733&lt;&gt;"",INDEX(職員マスタ!$F$6:$F$405,$AP1733)&lt;$AQ1733),"対象月に子が2歳到達済／","")&amp;IF(AND($H1733&lt;&gt;"",INDEX(職員マスタ!$B$6:$B$405,$AP1733)&lt;&gt;"",SUBSTITUTE(SUBSTITUTE($H1733," ","")," ","")&lt;&gt;SUBSTITUTE(SUBSTITUTE(INDEX(職員マスタ!$B$6:$B$405,$AP1733)," ","")," ","")),"氏名がマスタと相違／","")&amp;IF(AND($Q1733&lt;&gt;"",INDEX(職員マスタ!$E$6:$E$405,$AP1733)&lt;&gt;"",$Q1733&lt;&gt;INDEX(職員マスタ!$E$6:$E$405,$AP1733)),"子の生年月日がマスタと相違／","")&amp;IF(AND($L1733&lt;&gt;"",INDEX(職員マスタ!$G$6:$G$405,$AP1733)&lt;&gt;"",$L1733&lt;&gt;INDEX(職員マスタ!$G$6:$G$405,$AP1733)),"時短開始日がマスタと相違／","")&amp;IF(AND($M1733&lt;&gt;"",INDEX(職員マスタ!$H$6:$H$405,$AP1733)&lt;&gt;"",$M1733&lt;&gt;INDEX(職員マスタ!$H$6:$H$405,$AP1733)),"時短終了日がマスタと相違／","")))&amp;IF(AND($B1733&lt;&gt;"",$E1733=""),"報酬額が未入力／","")&amp;IF(N($U1733)&gt;0,"申請書に入力エラーが残っています／","")&amp;IF(AND($B1733&lt;&gt;"",$AQ1733&lt;&gt;""),IF(COUNTIFS($B$6:$B$3005,$B1733,$C$6:$C$3005,$C1733,$D$6:$D$3005,$D1733)&gt;1,"同じ月の請求が重複しています／",""),"")&amp;IF(AND(N($E1733)&gt;0,$AB1733&lt;&gt;"",$AB1733&lt;&gt;"×",$AE1733=0,$AD1733=""),"計算額が下限以下のため不支給／",""))</f>
        <v/>
      </c>
      <c r="AN1733" s="12" t="n"/>
      <c r="AO1733" s="14">
        <f>IF($AF1733="保留中",COUNTIF($AF$6:$AF1733,"保留中"),"")</f>
        <v/>
      </c>
      <c r="AP1733" s="14">
        <f>IF($AQ1733="","",IF(SUMPRODUCT(MAX((職員マスタ!$A$6:$A$405=$B1733)*(((職員マスタ!$G$6:$G$405="")+(職員マスタ!$G$6:$G$405&lt;=EOMONTH($AQ1733,0)))&gt;0)*(((職員マスタ!$H$6:$H$405="")+(職員マスタ!$H$6:$H$405&gt;=$AQ1733))&gt;0)*(ROW(職員マスタ!$A$6:$A$405)-5)))&gt;0,SUMPRODUCT(MAX((職員マスタ!$A$6:$A$405=$B1733)*(((職員マスタ!$G$6:$G$405="")+(職員マスタ!$G$6:$G$405&lt;=EOMONTH($AQ1733,0)))&gt;0)*(((職員マスタ!$H$6:$H$405="")+(職員マスタ!$H$6:$H$405&gt;=$AQ1733))&gt;0)*(ROW(職員マスタ!$A$6:$A$405)-5))),IFERROR(MATCH($B1733,職員マスタ!$A$6:$A$405,0),"")))</f>
        <v/>
      </c>
      <c r="AQ1733" s="16">
        <f>IF(OR($B1733="",$C1733="",$D1733=""),"",DATE($C1733+2018,$D1733,1))</f>
        <v/>
      </c>
    </row>
    <row r="1734">
      <c r="A1734" s="11" t="n"/>
      <c r="B1734" s="12" t="n"/>
      <c r="C1734" s="12" t="n"/>
      <c r="D1734" s="12" t="n"/>
      <c r="E1734" s="13" t="n"/>
      <c r="F1734" s="12" t="n"/>
      <c r="G1734" s="13" t="n"/>
      <c r="H1734" s="12" t="n"/>
      <c r="I1734" s="12" t="n"/>
      <c r="J1734" s="12" t="n"/>
      <c r="K1734" s="12" t="n"/>
      <c r="L1734" s="11" t="n"/>
      <c r="M1734" s="11" t="n"/>
      <c r="N1734" s="11" t="n"/>
      <c r="O1734" s="11" t="n"/>
      <c r="P1734" s="12" t="n"/>
      <c r="Q1734" s="11" t="n"/>
      <c r="R1734" s="12" t="n"/>
      <c r="S1734" s="11" t="n"/>
      <c r="T1734" s="12" t="n"/>
      <c r="U1734" s="12" t="n"/>
      <c r="V1734" s="12" t="n"/>
      <c r="W1734" s="13" t="n"/>
      <c r="X1734" s="14">
        <f>IF($AP1734="",IF($B1734="","",$H1734),IF(INDEX(職員マスタ!$B$6:$B$405,$AP1734)="",$H1734,INDEX(職員マスタ!$B$6:$B$405,$AP1734)))</f>
        <v/>
      </c>
      <c r="Y1734" s="14">
        <f>IF($AP1734="",IF($B1734="","",$R1734),IF(INDEX(職員マスタ!$C$6:$C$405,$AP1734)="",$R1734,INDEX(職員マスタ!$C$6:$C$405,$AP1734)))</f>
        <v/>
      </c>
      <c r="Z1734" s="14">
        <f>IF($AQ1734="","","R"&amp;$C1734&amp;"."&amp;$D1734)</f>
        <v/>
      </c>
      <c r="AA1734" s="15">
        <f>IF(IF($AP1734="",FALSE,INDEX(職員マスタ!$K$6:$K$405,$AP1734)&lt;&gt;""),INDEX(職員マスタ!$K$6:$K$405,$AP1734),IF(N($W1734)&gt;0,$W1734,""))</f>
        <v/>
      </c>
      <c r="AB1734" s="14">
        <f>IF(OR($E1734="",$AA1734=""),"",IF($E1734&gt;=$AA1734,"×",IF($E1734&gt;=$AA1734*設定!$C$5,"△","○")))</f>
        <v/>
      </c>
      <c r="AC1734" s="15">
        <f>IF($AB1734="","",IF($AB1734="×",0,IF($AB1734="○",ROUNDDOWN($E1734*設定!$C$4,0),ROUNDDOWN($E1734*ROUND((9*$AA1734-9*$E1734)/(10*$E1734),4),0))))</f>
        <v/>
      </c>
      <c r="AD1734" s="13" t="n"/>
      <c r="AE1734" s="15">
        <f>IF($B1734="","",IF($AD1734&lt;&gt;"",$AD1734,IF($AC1734="","",IF($AC1734&lt;=設定!$C$3,0,$AC1734))))</f>
        <v/>
      </c>
      <c r="AF1734" s="14">
        <f>IF($B1734="","",IF(AND($AG1734&lt;&gt;"",$AI1734="",$AL1734=""),"保留中",IF($AL1734&lt;&gt;"",IF(N($AE1734)&gt;0,"支給済","不支給"),IF($AE1734="","要確認",IF($AE1734=0,"不支給","未処理")))))</f>
        <v/>
      </c>
      <c r="AG1734" s="12" t="n"/>
      <c r="AH1734" s="11" t="n"/>
      <c r="AI1734" s="11" t="n"/>
      <c r="AJ1734" s="11" t="n"/>
      <c r="AK1734" s="14">
        <f>IF(AND($AF1734="保留中",$AH1734&lt;&gt;""),TODAY()-$AH1734,"")</f>
        <v/>
      </c>
      <c r="AL1734" s="12" t="n"/>
      <c r="AM1734" s="14">
        <f>IF($B1734="","",IF($AQ1734="","対象年月が未入力／","")&amp;IF($B1734="","",IF($AP1734="","職員マスタに未登録の職員番号／",IF($AA1734="","標準報酬月額が未登録／","")&amp;IF(AND($AQ1734&lt;&gt;"",OR(AND(INDEX(職員マスタ!$G$6:$G$405,$AP1734)&lt;&gt;"",INDEX(職員マスタ!$G$6:$G$405,$AP1734)&gt;EOMONTH($AQ1734,0)),AND(INDEX(職員マスタ!$H$6:$H$405,$AP1734)&lt;&gt;"",INDEX(職員マスタ!$H$6:$H$405,$AP1734)&lt;$AQ1734))),"対象月が時短期間外／","")&amp;IF(AND(INDEX(職員マスタ!$K$6:$K$405,$AP1734)&lt;&gt;"",N($W1734)&gt;0,INDEX(職員マスタ!$K$6:$K$405,$AP1734)&lt;&gt;$W1734),"標準報酬月額が申請書と相違（台帳"&amp;TEXT(INDEX(職員マスタ!$K$6:$K$405,$AP1734),"#,##0")&amp;"円／申請書"&amp;TEXT($W1734,"#,##0")&amp;"円）／","")&amp;IF(AND(INDEX(職員マスタ!$F$6:$F$405,$AP1734)&lt;&gt;"",$AQ1734&lt;&gt;"",INDEX(職員マスタ!$F$6:$F$405,$AP1734)&lt;$AQ1734),"対象月に子が2歳到達済／","")&amp;IF(AND($H1734&lt;&gt;"",INDEX(職員マスタ!$B$6:$B$405,$AP1734)&lt;&gt;"",SUBSTITUTE(SUBSTITUTE($H1734," ","")," ","")&lt;&gt;SUBSTITUTE(SUBSTITUTE(INDEX(職員マスタ!$B$6:$B$405,$AP1734)," ","")," ","")),"氏名がマスタと相違／","")&amp;IF(AND($Q1734&lt;&gt;"",INDEX(職員マスタ!$E$6:$E$405,$AP1734)&lt;&gt;"",$Q1734&lt;&gt;INDEX(職員マスタ!$E$6:$E$405,$AP1734)),"子の生年月日がマスタと相違／","")&amp;IF(AND($L1734&lt;&gt;"",INDEX(職員マスタ!$G$6:$G$405,$AP1734)&lt;&gt;"",$L1734&lt;&gt;INDEX(職員マスタ!$G$6:$G$405,$AP1734)),"時短開始日がマスタと相違／","")&amp;IF(AND($M1734&lt;&gt;"",INDEX(職員マスタ!$H$6:$H$405,$AP1734)&lt;&gt;"",$M1734&lt;&gt;INDEX(職員マスタ!$H$6:$H$405,$AP1734)),"時短終了日がマスタと相違／","")))&amp;IF(AND($B1734&lt;&gt;"",$E1734=""),"報酬額が未入力／","")&amp;IF(N($U1734)&gt;0,"申請書に入力エラーが残っています／","")&amp;IF(AND($B1734&lt;&gt;"",$AQ1734&lt;&gt;""),IF(COUNTIFS($B$6:$B$3005,$B1734,$C$6:$C$3005,$C1734,$D$6:$D$3005,$D1734)&gt;1,"同じ月の請求が重複しています／",""),"")&amp;IF(AND(N($E1734)&gt;0,$AB1734&lt;&gt;"",$AB1734&lt;&gt;"×",$AE1734=0,$AD1734=""),"計算額が下限以下のため不支給／",""))</f>
        <v/>
      </c>
      <c r="AN1734" s="12" t="n"/>
      <c r="AO1734" s="14">
        <f>IF($AF1734="保留中",COUNTIF($AF$6:$AF1734,"保留中"),"")</f>
        <v/>
      </c>
      <c r="AP1734" s="14">
        <f>IF($AQ1734="","",IF(SUMPRODUCT(MAX((職員マスタ!$A$6:$A$405=$B1734)*(((職員マスタ!$G$6:$G$405="")+(職員マスタ!$G$6:$G$405&lt;=EOMONTH($AQ1734,0)))&gt;0)*(((職員マスタ!$H$6:$H$405="")+(職員マスタ!$H$6:$H$405&gt;=$AQ1734))&gt;0)*(ROW(職員マスタ!$A$6:$A$405)-5)))&gt;0,SUMPRODUCT(MAX((職員マスタ!$A$6:$A$405=$B1734)*(((職員マスタ!$G$6:$G$405="")+(職員マスタ!$G$6:$G$405&lt;=EOMONTH($AQ1734,0)))&gt;0)*(((職員マスタ!$H$6:$H$405="")+(職員マスタ!$H$6:$H$405&gt;=$AQ1734))&gt;0)*(ROW(職員マスタ!$A$6:$A$405)-5))),IFERROR(MATCH($B1734,職員マスタ!$A$6:$A$405,0),"")))</f>
        <v/>
      </c>
      <c r="AQ1734" s="16">
        <f>IF(OR($B1734="",$C1734="",$D1734=""),"",DATE($C1734+2018,$D1734,1))</f>
        <v/>
      </c>
    </row>
    <row r="1735">
      <c r="A1735" s="11" t="n"/>
      <c r="B1735" s="12" t="n"/>
      <c r="C1735" s="12" t="n"/>
      <c r="D1735" s="12" t="n"/>
      <c r="E1735" s="13" t="n"/>
      <c r="F1735" s="12" t="n"/>
      <c r="G1735" s="13" t="n"/>
      <c r="H1735" s="12" t="n"/>
      <c r="I1735" s="12" t="n"/>
      <c r="J1735" s="12" t="n"/>
      <c r="K1735" s="12" t="n"/>
      <c r="L1735" s="11" t="n"/>
      <c r="M1735" s="11" t="n"/>
      <c r="N1735" s="11" t="n"/>
      <c r="O1735" s="11" t="n"/>
      <c r="P1735" s="12" t="n"/>
      <c r="Q1735" s="11" t="n"/>
      <c r="R1735" s="12" t="n"/>
      <c r="S1735" s="11" t="n"/>
      <c r="T1735" s="12" t="n"/>
      <c r="U1735" s="12" t="n"/>
      <c r="V1735" s="12" t="n"/>
      <c r="W1735" s="13" t="n"/>
      <c r="X1735" s="14">
        <f>IF($AP1735="",IF($B1735="","",$H1735),IF(INDEX(職員マスタ!$B$6:$B$405,$AP1735)="",$H1735,INDEX(職員マスタ!$B$6:$B$405,$AP1735)))</f>
        <v/>
      </c>
      <c r="Y1735" s="14">
        <f>IF($AP1735="",IF($B1735="","",$R1735),IF(INDEX(職員マスタ!$C$6:$C$405,$AP1735)="",$R1735,INDEX(職員マスタ!$C$6:$C$405,$AP1735)))</f>
        <v/>
      </c>
      <c r="Z1735" s="14">
        <f>IF($AQ1735="","","R"&amp;$C1735&amp;"."&amp;$D1735)</f>
        <v/>
      </c>
      <c r="AA1735" s="15">
        <f>IF(IF($AP1735="",FALSE,INDEX(職員マスタ!$K$6:$K$405,$AP1735)&lt;&gt;""),INDEX(職員マスタ!$K$6:$K$405,$AP1735),IF(N($W1735)&gt;0,$W1735,""))</f>
        <v/>
      </c>
      <c r="AB1735" s="14">
        <f>IF(OR($E1735="",$AA1735=""),"",IF($E1735&gt;=$AA1735,"×",IF($E1735&gt;=$AA1735*設定!$C$5,"△","○")))</f>
        <v/>
      </c>
      <c r="AC1735" s="15">
        <f>IF($AB1735="","",IF($AB1735="×",0,IF($AB1735="○",ROUNDDOWN($E1735*設定!$C$4,0),ROUNDDOWN($E1735*ROUND((9*$AA1735-9*$E1735)/(10*$E1735),4),0))))</f>
        <v/>
      </c>
      <c r="AD1735" s="13" t="n"/>
      <c r="AE1735" s="15">
        <f>IF($B1735="","",IF($AD1735&lt;&gt;"",$AD1735,IF($AC1735="","",IF($AC1735&lt;=設定!$C$3,0,$AC1735))))</f>
        <v/>
      </c>
      <c r="AF1735" s="14">
        <f>IF($B1735="","",IF(AND($AG1735&lt;&gt;"",$AI1735="",$AL1735=""),"保留中",IF($AL1735&lt;&gt;"",IF(N($AE1735)&gt;0,"支給済","不支給"),IF($AE1735="","要確認",IF($AE1735=0,"不支給","未処理")))))</f>
        <v/>
      </c>
      <c r="AG1735" s="12" t="n"/>
      <c r="AH1735" s="11" t="n"/>
      <c r="AI1735" s="11" t="n"/>
      <c r="AJ1735" s="11" t="n"/>
      <c r="AK1735" s="14">
        <f>IF(AND($AF1735="保留中",$AH1735&lt;&gt;""),TODAY()-$AH1735,"")</f>
        <v/>
      </c>
      <c r="AL1735" s="12" t="n"/>
      <c r="AM1735" s="14">
        <f>IF($B1735="","",IF($AQ1735="","対象年月が未入力／","")&amp;IF($B1735="","",IF($AP1735="","職員マスタに未登録の職員番号／",IF($AA1735="","標準報酬月額が未登録／","")&amp;IF(AND($AQ1735&lt;&gt;"",OR(AND(INDEX(職員マスタ!$G$6:$G$405,$AP1735)&lt;&gt;"",INDEX(職員マスタ!$G$6:$G$405,$AP1735)&gt;EOMONTH($AQ1735,0)),AND(INDEX(職員マスタ!$H$6:$H$405,$AP1735)&lt;&gt;"",INDEX(職員マスタ!$H$6:$H$405,$AP1735)&lt;$AQ1735))),"対象月が時短期間外／","")&amp;IF(AND(INDEX(職員マスタ!$K$6:$K$405,$AP1735)&lt;&gt;"",N($W1735)&gt;0,INDEX(職員マスタ!$K$6:$K$405,$AP1735)&lt;&gt;$W1735),"標準報酬月額が申請書と相違（台帳"&amp;TEXT(INDEX(職員マスタ!$K$6:$K$405,$AP1735),"#,##0")&amp;"円／申請書"&amp;TEXT($W1735,"#,##0")&amp;"円）／","")&amp;IF(AND(INDEX(職員マスタ!$F$6:$F$405,$AP1735)&lt;&gt;"",$AQ1735&lt;&gt;"",INDEX(職員マスタ!$F$6:$F$405,$AP1735)&lt;$AQ1735),"対象月に子が2歳到達済／","")&amp;IF(AND($H1735&lt;&gt;"",INDEX(職員マスタ!$B$6:$B$405,$AP1735)&lt;&gt;"",SUBSTITUTE(SUBSTITUTE($H1735," ","")," ","")&lt;&gt;SUBSTITUTE(SUBSTITUTE(INDEX(職員マスタ!$B$6:$B$405,$AP1735)," ","")," ","")),"氏名がマスタと相違／","")&amp;IF(AND($Q1735&lt;&gt;"",INDEX(職員マスタ!$E$6:$E$405,$AP1735)&lt;&gt;"",$Q1735&lt;&gt;INDEX(職員マスタ!$E$6:$E$405,$AP1735)),"子の生年月日がマスタと相違／","")&amp;IF(AND($L1735&lt;&gt;"",INDEX(職員マスタ!$G$6:$G$405,$AP1735)&lt;&gt;"",$L1735&lt;&gt;INDEX(職員マスタ!$G$6:$G$405,$AP1735)),"時短開始日がマスタと相違／","")&amp;IF(AND($M1735&lt;&gt;"",INDEX(職員マスタ!$H$6:$H$405,$AP1735)&lt;&gt;"",$M1735&lt;&gt;INDEX(職員マスタ!$H$6:$H$405,$AP1735)),"時短終了日がマスタと相違／","")))&amp;IF(AND($B1735&lt;&gt;"",$E1735=""),"報酬額が未入力／","")&amp;IF(N($U1735)&gt;0,"申請書に入力エラーが残っています／","")&amp;IF(AND($B1735&lt;&gt;"",$AQ1735&lt;&gt;""),IF(COUNTIFS($B$6:$B$3005,$B1735,$C$6:$C$3005,$C1735,$D$6:$D$3005,$D1735)&gt;1,"同じ月の請求が重複しています／",""),"")&amp;IF(AND(N($E1735)&gt;0,$AB1735&lt;&gt;"",$AB1735&lt;&gt;"×",$AE1735=0,$AD1735=""),"計算額が下限以下のため不支給／",""))</f>
        <v/>
      </c>
      <c r="AN1735" s="12" t="n"/>
      <c r="AO1735" s="14">
        <f>IF($AF1735="保留中",COUNTIF($AF$6:$AF1735,"保留中"),"")</f>
        <v/>
      </c>
      <c r="AP1735" s="14">
        <f>IF($AQ1735="","",IF(SUMPRODUCT(MAX((職員マスタ!$A$6:$A$405=$B1735)*(((職員マスタ!$G$6:$G$405="")+(職員マスタ!$G$6:$G$405&lt;=EOMONTH($AQ1735,0)))&gt;0)*(((職員マスタ!$H$6:$H$405="")+(職員マスタ!$H$6:$H$405&gt;=$AQ1735))&gt;0)*(ROW(職員マスタ!$A$6:$A$405)-5)))&gt;0,SUMPRODUCT(MAX((職員マスタ!$A$6:$A$405=$B1735)*(((職員マスタ!$G$6:$G$405="")+(職員マスタ!$G$6:$G$405&lt;=EOMONTH($AQ1735,0)))&gt;0)*(((職員マスタ!$H$6:$H$405="")+(職員マスタ!$H$6:$H$405&gt;=$AQ1735))&gt;0)*(ROW(職員マスタ!$A$6:$A$405)-5))),IFERROR(MATCH($B1735,職員マスタ!$A$6:$A$405,0),"")))</f>
        <v/>
      </c>
      <c r="AQ1735" s="16">
        <f>IF(OR($B1735="",$C1735="",$D1735=""),"",DATE($C1735+2018,$D1735,1))</f>
        <v/>
      </c>
    </row>
    <row r="1736">
      <c r="A1736" s="11" t="n"/>
      <c r="B1736" s="12" t="n"/>
      <c r="C1736" s="12" t="n"/>
      <c r="D1736" s="12" t="n"/>
      <c r="E1736" s="13" t="n"/>
      <c r="F1736" s="12" t="n"/>
      <c r="G1736" s="13" t="n"/>
      <c r="H1736" s="12" t="n"/>
      <c r="I1736" s="12" t="n"/>
      <c r="J1736" s="12" t="n"/>
      <c r="K1736" s="12" t="n"/>
      <c r="L1736" s="11" t="n"/>
      <c r="M1736" s="11" t="n"/>
      <c r="N1736" s="11" t="n"/>
      <c r="O1736" s="11" t="n"/>
      <c r="P1736" s="12" t="n"/>
      <c r="Q1736" s="11" t="n"/>
      <c r="R1736" s="12" t="n"/>
      <c r="S1736" s="11" t="n"/>
      <c r="T1736" s="12" t="n"/>
      <c r="U1736" s="12" t="n"/>
      <c r="V1736" s="12" t="n"/>
      <c r="W1736" s="13" t="n"/>
      <c r="X1736" s="14">
        <f>IF($AP1736="",IF($B1736="","",$H1736),IF(INDEX(職員マスタ!$B$6:$B$405,$AP1736)="",$H1736,INDEX(職員マスタ!$B$6:$B$405,$AP1736)))</f>
        <v/>
      </c>
      <c r="Y1736" s="14">
        <f>IF($AP1736="",IF($B1736="","",$R1736),IF(INDEX(職員マスタ!$C$6:$C$405,$AP1736)="",$R1736,INDEX(職員マスタ!$C$6:$C$405,$AP1736)))</f>
        <v/>
      </c>
      <c r="Z1736" s="14">
        <f>IF($AQ1736="","","R"&amp;$C1736&amp;"."&amp;$D1736)</f>
        <v/>
      </c>
      <c r="AA1736" s="15">
        <f>IF(IF($AP1736="",FALSE,INDEX(職員マスタ!$K$6:$K$405,$AP1736)&lt;&gt;""),INDEX(職員マスタ!$K$6:$K$405,$AP1736),IF(N($W1736)&gt;0,$W1736,""))</f>
        <v/>
      </c>
      <c r="AB1736" s="14">
        <f>IF(OR($E1736="",$AA1736=""),"",IF($E1736&gt;=$AA1736,"×",IF($E1736&gt;=$AA1736*設定!$C$5,"△","○")))</f>
        <v/>
      </c>
      <c r="AC1736" s="15">
        <f>IF($AB1736="","",IF($AB1736="×",0,IF($AB1736="○",ROUNDDOWN($E1736*設定!$C$4,0),ROUNDDOWN($E1736*ROUND((9*$AA1736-9*$E1736)/(10*$E1736),4),0))))</f>
        <v/>
      </c>
      <c r="AD1736" s="13" t="n"/>
      <c r="AE1736" s="15">
        <f>IF($B1736="","",IF($AD1736&lt;&gt;"",$AD1736,IF($AC1736="","",IF($AC1736&lt;=設定!$C$3,0,$AC1736))))</f>
        <v/>
      </c>
      <c r="AF1736" s="14">
        <f>IF($B1736="","",IF(AND($AG1736&lt;&gt;"",$AI1736="",$AL1736=""),"保留中",IF($AL1736&lt;&gt;"",IF(N($AE1736)&gt;0,"支給済","不支給"),IF($AE1736="","要確認",IF($AE1736=0,"不支給","未処理")))))</f>
        <v/>
      </c>
      <c r="AG1736" s="12" t="n"/>
      <c r="AH1736" s="11" t="n"/>
      <c r="AI1736" s="11" t="n"/>
      <c r="AJ1736" s="11" t="n"/>
      <c r="AK1736" s="14">
        <f>IF(AND($AF1736="保留中",$AH1736&lt;&gt;""),TODAY()-$AH1736,"")</f>
        <v/>
      </c>
      <c r="AL1736" s="12" t="n"/>
      <c r="AM1736" s="14">
        <f>IF($B1736="","",IF($AQ1736="","対象年月が未入力／","")&amp;IF($B1736="","",IF($AP1736="","職員マスタに未登録の職員番号／",IF($AA1736="","標準報酬月額が未登録／","")&amp;IF(AND($AQ1736&lt;&gt;"",OR(AND(INDEX(職員マスタ!$G$6:$G$405,$AP1736)&lt;&gt;"",INDEX(職員マスタ!$G$6:$G$405,$AP1736)&gt;EOMONTH($AQ1736,0)),AND(INDEX(職員マスタ!$H$6:$H$405,$AP1736)&lt;&gt;"",INDEX(職員マスタ!$H$6:$H$405,$AP1736)&lt;$AQ1736))),"対象月が時短期間外／","")&amp;IF(AND(INDEX(職員マスタ!$K$6:$K$405,$AP1736)&lt;&gt;"",N($W1736)&gt;0,INDEX(職員マスタ!$K$6:$K$405,$AP1736)&lt;&gt;$W1736),"標準報酬月額が申請書と相違（台帳"&amp;TEXT(INDEX(職員マスタ!$K$6:$K$405,$AP1736),"#,##0")&amp;"円／申請書"&amp;TEXT($W1736,"#,##0")&amp;"円）／","")&amp;IF(AND(INDEX(職員マスタ!$F$6:$F$405,$AP1736)&lt;&gt;"",$AQ1736&lt;&gt;"",INDEX(職員マスタ!$F$6:$F$405,$AP1736)&lt;$AQ1736),"対象月に子が2歳到達済／","")&amp;IF(AND($H1736&lt;&gt;"",INDEX(職員マスタ!$B$6:$B$405,$AP1736)&lt;&gt;"",SUBSTITUTE(SUBSTITUTE($H1736," ","")," ","")&lt;&gt;SUBSTITUTE(SUBSTITUTE(INDEX(職員マスタ!$B$6:$B$405,$AP1736)," ","")," ","")),"氏名がマスタと相違／","")&amp;IF(AND($Q1736&lt;&gt;"",INDEX(職員マスタ!$E$6:$E$405,$AP1736)&lt;&gt;"",$Q1736&lt;&gt;INDEX(職員マスタ!$E$6:$E$405,$AP1736)),"子の生年月日がマスタと相違／","")&amp;IF(AND($L1736&lt;&gt;"",INDEX(職員マスタ!$G$6:$G$405,$AP1736)&lt;&gt;"",$L1736&lt;&gt;INDEX(職員マスタ!$G$6:$G$405,$AP1736)),"時短開始日がマスタと相違／","")&amp;IF(AND($M1736&lt;&gt;"",INDEX(職員マスタ!$H$6:$H$405,$AP1736)&lt;&gt;"",$M1736&lt;&gt;INDEX(職員マスタ!$H$6:$H$405,$AP1736)),"時短終了日がマスタと相違／","")))&amp;IF(AND($B1736&lt;&gt;"",$E1736=""),"報酬額が未入力／","")&amp;IF(N($U1736)&gt;0,"申請書に入力エラーが残っています／","")&amp;IF(AND($B1736&lt;&gt;"",$AQ1736&lt;&gt;""),IF(COUNTIFS($B$6:$B$3005,$B1736,$C$6:$C$3005,$C1736,$D$6:$D$3005,$D1736)&gt;1,"同じ月の請求が重複しています／",""),"")&amp;IF(AND(N($E1736)&gt;0,$AB1736&lt;&gt;"",$AB1736&lt;&gt;"×",$AE1736=0,$AD1736=""),"計算額が下限以下のため不支給／",""))</f>
        <v/>
      </c>
      <c r="AN1736" s="12" t="n"/>
      <c r="AO1736" s="14">
        <f>IF($AF1736="保留中",COUNTIF($AF$6:$AF1736,"保留中"),"")</f>
        <v/>
      </c>
      <c r="AP1736" s="14">
        <f>IF($AQ1736="","",IF(SUMPRODUCT(MAX((職員マスタ!$A$6:$A$405=$B1736)*(((職員マスタ!$G$6:$G$405="")+(職員マスタ!$G$6:$G$405&lt;=EOMONTH($AQ1736,0)))&gt;0)*(((職員マスタ!$H$6:$H$405="")+(職員マスタ!$H$6:$H$405&gt;=$AQ1736))&gt;0)*(ROW(職員マスタ!$A$6:$A$405)-5)))&gt;0,SUMPRODUCT(MAX((職員マスタ!$A$6:$A$405=$B1736)*(((職員マスタ!$G$6:$G$405="")+(職員マスタ!$G$6:$G$405&lt;=EOMONTH($AQ1736,0)))&gt;0)*(((職員マスタ!$H$6:$H$405="")+(職員マスタ!$H$6:$H$405&gt;=$AQ1736))&gt;0)*(ROW(職員マスタ!$A$6:$A$405)-5))),IFERROR(MATCH($B1736,職員マスタ!$A$6:$A$405,0),"")))</f>
        <v/>
      </c>
      <c r="AQ1736" s="16">
        <f>IF(OR($B1736="",$C1736="",$D1736=""),"",DATE($C1736+2018,$D1736,1))</f>
        <v/>
      </c>
    </row>
    <row r="1737">
      <c r="A1737" s="11" t="n"/>
      <c r="B1737" s="12" t="n"/>
      <c r="C1737" s="12" t="n"/>
      <c r="D1737" s="12" t="n"/>
      <c r="E1737" s="13" t="n"/>
      <c r="F1737" s="12" t="n"/>
      <c r="G1737" s="13" t="n"/>
      <c r="H1737" s="12" t="n"/>
      <c r="I1737" s="12" t="n"/>
      <c r="J1737" s="12" t="n"/>
      <c r="K1737" s="12" t="n"/>
      <c r="L1737" s="11" t="n"/>
      <c r="M1737" s="11" t="n"/>
      <c r="N1737" s="11" t="n"/>
      <c r="O1737" s="11" t="n"/>
      <c r="P1737" s="12" t="n"/>
      <c r="Q1737" s="11" t="n"/>
      <c r="R1737" s="12" t="n"/>
      <c r="S1737" s="11" t="n"/>
      <c r="T1737" s="12" t="n"/>
      <c r="U1737" s="12" t="n"/>
      <c r="V1737" s="12" t="n"/>
      <c r="W1737" s="13" t="n"/>
      <c r="X1737" s="14">
        <f>IF($AP1737="",IF($B1737="","",$H1737),IF(INDEX(職員マスタ!$B$6:$B$405,$AP1737)="",$H1737,INDEX(職員マスタ!$B$6:$B$405,$AP1737)))</f>
        <v/>
      </c>
      <c r="Y1737" s="14">
        <f>IF($AP1737="",IF($B1737="","",$R1737),IF(INDEX(職員マスタ!$C$6:$C$405,$AP1737)="",$R1737,INDEX(職員マスタ!$C$6:$C$405,$AP1737)))</f>
        <v/>
      </c>
      <c r="Z1737" s="14">
        <f>IF($AQ1737="","","R"&amp;$C1737&amp;"."&amp;$D1737)</f>
        <v/>
      </c>
      <c r="AA1737" s="15">
        <f>IF(IF($AP1737="",FALSE,INDEX(職員マスタ!$K$6:$K$405,$AP1737)&lt;&gt;""),INDEX(職員マスタ!$K$6:$K$405,$AP1737),IF(N($W1737)&gt;0,$W1737,""))</f>
        <v/>
      </c>
      <c r="AB1737" s="14">
        <f>IF(OR($E1737="",$AA1737=""),"",IF($E1737&gt;=$AA1737,"×",IF($E1737&gt;=$AA1737*設定!$C$5,"△","○")))</f>
        <v/>
      </c>
      <c r="AC1737" s="15">
        <f>IF($AB1737="","",IF($AB1737="×",0,IF($AB1737="○",ROUNDDOWN($E1737*設定!$C$4,0),ROUNDDOWN($E1737*ROUND((9*$AA1737-9*$E1737)/(10*$E1737),4),0))))</f>
        <v/>
      </c>
      <c r="AD1737" s="13" t="n"/>
      <c r="AE1737" s="15">
        <f>IF($B1737="","",IF($AD1737&lt;&gt;"",$AD1737,IF($AC1737="","",IF($AC1737&lt;=設定!$C$3,0,$AC1737))))</f>
        <v/>
      </c>
      <c r="AF1737" s="14">
        <f>IF($B1737="","",IF(AND($AG1737&lt;&gt;"",$AI1737="",$AL1737=""),"保留中",IF($AL1737&lt;&gt;"",IF(N($AE1737)&gt;0,"支給済","不支給"),IF($AE1737="","要確認",IF($AE1737=0,"不支給","未処理")))))</f>
        <v/>
      </c>
      <c r="AG1737" s="12" t="n"/>
      <c r="AH1737" s="11" t="n"/>
      <c r="AI1737" s="11" t="n"/>
      <c r="AJ1737" s="11" t="n"/>
      <c r="AK1737" s="14">
        <f>IF(AND($AF1737="保留中",$AH1737&lt;&gt;""),TODAY()-$AH1737,"")</f>
        <v/>
      </c>
      <c r="AL1737" s="12" t="n"/>
      <c r="AM1737" s="14">
        <f>IF($B1737="","",IF($AQ1737="","対象年月が未入力／","")&amp;IF($B1737="","",IF($AP1737="","職員マスタに未登録の職員番号／",IF($AA1737="","標準報酬月額が未登録／","")&amp;IF(AND($AQ1737&lt;&gt;"",OR(AND(INDEX(職員マスタ!$G$6:$G$405,$AP1737)&lt;&gt;"",INDEX(職員マスタ!$G$6:$G$405,$AP1737)&gt;EOMONTH($AQ1737,0)),AND(INDEX(職員マスタ!$H$6:$H$405,$AP1737)&lt;&gt;"",INDEX(職員マスタ!$H$6:$H$405,$AP1737)&lt;$AQ1737))),"対象月が時短期間外／","")&amp;IF(AND(INDEX(職員マスタ!$K$6:$K$405,$AP1737)&lt;&gt;"",N($W1737)&gt;0,INDEX(職員マスタ!$K$6:$K$405,$AP1737)&lt;&gt;$W1737),"標準報酬月額が申請書と相違（台帳"&amp;TEXT(INDEX(職員マスタ!$K$6:$K$405,$AP1737),"#,##0")&amp;"円／申請書"&amp;TEXT($W1737,"#,##0")&amp;"円）／","")&amp;IF(AND(INDEX(職員マスタ!$F$6:$F$405,$AP1737)&lt;&gt;"",$AQ1737&lt;&gt;"",INDEX(職員マスタ!$F$6:$F$405,$AP1737)&lt;$AQ1737),"対象月に子が2歳到達済／","")&amp;IF(AND($H1737&lt;&gt;"",INDEX(職員マスタ!$B$6:$B$405,$AP1737)&lt;&gt;"",SUBSTITUTE(SUBSTITUTE($H1737," ","")," ","")&lt;&gt;SUBSTITUTE(SUBSTITUTE(INDEX(職員マスタ!$B$6:$B$405,$AP1737)," ","")," ","")),"氏名がマスタと相違／","")&amp;IF(AND($Q1737&lt;&gt;"",INDEX(職員マスタ!$E$6:$E$405,$AP1737)&lt;&gt;"",$Q1737&lt;&gt;INDEX(職員マスタ!$E$6:$E$405,$AP1737)),"子の生年月日がマスタと相違／","")&amp;IF(AND($L1737&lt;&gt;"",INDEX(職員マスタ!$G$6:$G$405,$AP1737)&lt;&gt;"",$L1737&lt;&gt;INDEX(職員マスタ!$G$6:$G$405,$AP1737)),"時短開始日がマスタと相違／","")&amp;IF(AND($M1737&lt;&gt;"",INDEX(職員マスタ!$H$6:$H$405,$AP1737)&lt;&gt;"",$M1737&lt;&gt;INDEX(職員マスタ!$H$6:$H$405,$AP1737)),"時短終了日がマスタと相違／","")))&amp;IF(AND($B1737&lt;&gt;"",$E1737=""),"報酬額が未入力／","")&amp;IF(N($U1737)&gt;0,"申請書に入力エラーが残っています／","")&amp;IF(AND($B1737&lt;&gt;"",$AQ1737&lt;&gt;""),IF(COUNTIFS($B$6:$B$3005,$B1737,$C$6:$C$3005,$C1737,$D$6:$D$3005,$D1737)&gt;1,"同じ月の請求が重複しています／",""),"")&amp;IF(AND(N($E1737)&gt;0,$AB1737&lt;&gt;"",$AB1737&lt;&gt;"×",$AE1737=0,$AD1737=""),"計算額が下限以下のため不支給／",""))</f>
        <v/>
      </c>
      <c r="AN1737" s="12" t="n"/>
      <c r="AO1737" s="14">
        <f>IF($AF1737="保留中",COUNTIF($AF$6:$AF1737,"保留中"),"")</f>
        <v/>
      </c>
      <c r="AP1737" s="14">
        <f>IF($AQ1737="","",IF(SUMPRODUCT(MAX((職員マスタ!$A$6:$A$405=$B1737)*(((職員マスタ!$G$6:$G$405="")+(職員マスタ!$G$6:$G$405&lt;=EOMONTH($AQ1737,0)))&gt;0)*(((職員マスタ!$H$6:$H$405="")+(職員マスタ!$H$6:$H$405&gt;=$AQ1737))&gt;0)*(ROW(職員マスタ!$A$6:$A$405)-5)))&gt;0,SUMPRODUCT(MAX((職員マスタ!$A$6:$A$405=$B1737)*(((職員マスタ!$G$6:$G$405="")+(職員マスタ!$G$6:$G$405&lt;=EOMONTH($AQ1737,0)))&gt;0)*(((職員マスタ!$H$6:$H$405="")+(職員マスタ!$H$6:$H$405&gt;=$AQ1737))&gt;0)*(ROW(職員マスタ!$A$6:$A$405)-5))),IFERROR(MATCH($B1737,職員マスタ!$A$6:$A$405,0),"")))</f>
        <v/>
      </c>
      <c r="AQ1737" s="16">
        <f>IF(OR($B1737="",$C1737="",$D1737=""),"",DATE($C1737+2018,$D1737,1))</f>
        <v/>
      </c>
    </row>
    <row r="1738">
      <c r="A1738" s="11" t="n"/>
      <c r="B1738" s="12" t="n"/>
      <c r="C1738" s="12" t="n"/>
      <c r="D1738" s="12" t="n"/>
      <c r="E1738" s="13" t="n"/>
      <c r="F1738" s="12" t="n"/>
      <c r="G1738" s="13" t="n"/>
      <c r="H1738" s="12" t="n"/>
      <c r="I1738" s="12" t="n"/>
      <c r="J1738" s="12" t="n"/>
      <c r="K1738" s="12" t="n"/>
      <c r="L1738" s="11" t="n"/>
      <c r="M1738" s="11" t="n"/>
      <c r="N1738" s="11" t="n"/>
      <c r="O1738" s="11" t="n"/>
      <c r="P1738" s="12" t="n"/>
      <c r="Q1738" s="11" t="n"/>
      <c r="R1738" s="12" t="n"/>
      <c r="S1738" s="11" t="n"/>
      <c r="T1738" s="12" t="n"/>
      <c r="U1738" s="12" t="n"/>
      <c r="V1738" s="12" t="n"/>
      <c r="W1738" s="13" t="n"/>
      <c r="X1738" s="14">
        <f>IF($AP1738="",IF($B1738="","",$H1738),IF(INDEX(職員マスタ!$B$6:$B$405,$AP1738)="",$H1738,INDEX(職員マスタ!$B$6:$B$405,$AP1738)))</f>
        <v/>
      </c>
      <c r="Y1738" s="14">
        <f>IF($AP1738="",IF($B1738="","",$R1738),IF(INDEX(職員マスタ!$C$6:$C$405,$AP1738)="",$R1738,INDEX(職員マスタ!$C$6:$C$405,$AP1738)))</f>
        <v/>
      </c>
      <c r="Z1738" s="14">
        <f>IF($AQ1738="","","R"&amp;$C1738&amp;"."&amp;$D1738)</f>
        <v/>
      </c>
      <c r="AA1738" s="15">
        <f>IF(IF($AP1738="",FALSE,INDEX(職員マスタ!$K$6:$K$405,$AP1738)&lt;&gt;""),INDEX(職員マスタ!$K$6:$K$405,$AP1738),IF(N($W1738)&gt;0,$W1738,""))</f>
        <v/>
      </c>
      <c r="AB1738" s="14">
        <f>IF(OR($E1738="",$AA1738=""),"",IF($E1738&gt;=$AA1738,"×",IF($E1738&gt;=$AA1738*設定!$C$5,"△","○")))</f>
        <v/>
      </c>
      <c r="AC1738" s="15">
        <f>IF($AB1738="","",IF($AB1738="×",0,IF($AB1738="○",ROUNDDOWN($E1738*設定!$C$4,0),ROUNDDOWN($E1738*ROUND((9*$AA1738-9*$E1738)/(10*$E1738),4),0))))</f>
        <v/>
      </c>
      <c r="AD1738" s="13" t="n"/>
      <c r="AE1738" s="15">
        <f>IF($B1738="","",IF($AD1738&lt;&gt;"",$AD1738,IF($AC1738="","",IF($AC1738&lt;=設定!$C$3,0,$AC1738))))</f>
        <v/>
      </c>
      <c r="AF1738" s="14">
        <f>IF($B1738="","",IF(AND($AG1738&lt;&gt;"",$AI1738="",$AL1738=""),"保留中",IF($AL1738&lt;&gt;"",IF(N($AE1738)&gt;0,"支給済","不支給"),IF($AE1738="","要確認",IF($AE1738=0,"不支給","未処理")))))</f>
        <v/>
      </c>
      <c r="AG1738" s="12" t="n"/>
      <c r="AH1738" s="11" t="n"/>
      <c r="AI1738" s="11" t="n"/>
      <c r="AJ1738" s="11" t="n"/>
      <c r="AK1738" s="14">
        <f>IF(AND($AF1738="保留中",$AH1738&lt;&gt;""),TODAY()-$AH1738,"")</f>
        <v/>
      </c>
      <c r="AL1738" s="12" t="n"/>
      <c r="AM1738" s="14">
        <f>IF($B1738="","",IF($AQ1738="","対象年月が未入力／","")&amp;IF($B1738="","",IF($AP1738="","職員マスタに未登録の職員番号／",IF($AA1738="","標準報酬月額が未登録／","")&amp;IF(AND($AQ1738&lt;&gt;"",OR(AND(INDEX(職員マスタ!$G$6:$G$405,$AP1738)&lt;&gt;"",INDEX(職員マスタ!$G$6:$G$405,$AP1738)&gt;EOMONTH($AQ1738,0)),AND(INDEX(職員マスタ!$H$6:$H$405,$AP1738)&lt;&gt;"",INDEX(職員マスタ!$H$6:$H$405,$AP1738)&lt;$AQ1738))),"対象月が時短期間外／","")&amp;IF(AND(INDEX(職員マスタ!$K$6:$K$405,$AP1738)&lt;&gt;"",N($W1738)&gt;0,INDEX(職員マスタ!$K$6:$K$405,$AP1738)&lt;&gt;$W1738),"標準報酬月額が申請書と相違（台帳"&amp;TEXT(INDEX(職員マスタ!$K$6:$K$405,$AP1738),"#,##0")&amp;"円／申請書"&amp;TEXT($W1738,"#,##0")&amp;"円）／","")&amp;IF(AND(INDEX(職員マスタ!$F$6:$F$405,$AP1738)&lt;&gt;"",$AQ1738&lt;&gt;"",INDEX(職員マスタ!$F$6:$F$405,$AP1738)&lt;$AQ1738),"対象月に子が2歳到達済／","")&amp;IF(AND($H1738&lt;&gt;"",INDEX(職員マスタ!$B$6:$B$405,$AP1738)&lt;&gt;"",SUBSTITUTE(SUBSTITUTE($H1738," ","")," ","")&lt;&gt;SUBSTITUTE(SUBSTITUTE(INDEX(職員マスタ!$B$6:$B$405,$AP1738)," ","")," ","")),"氏名がマスタと相違／","")&amp;IF(AND($Q1738&lt;&gt;"",INDEX(職員マスタ!$E$6:$E$405,$AP1738)&lt;&gt;"",$Q1738&lt;&gt;INDEX(職員マスタ!$E$6:$E$405,$AP1738)),"子の生年月日がマスタと相違／","")&amp;IF(AND($L1738&lt;&gt;"",INDEX(職員マスタ!$G$6:$G$405,$AP1738)&lt;&gt;"",$L1738&lt;&gt;INDEX(職員マスタ!$G$6:$G$405,$AP1738)),"時短開始日がマスタと相違／","")&amp;IF(AND($M1738&lt;&gt;"",INDEX(職員マスタ!$H$6:$H$405,$AP1738)&lt;&gt;"",$M1738&lt;&gt;INDEX(職員マスタ!$H$6:$H$405,$AP1738)),"時短終了日がマスタと相違／","")))&amp;IF(AND($B1738&lt;&gt;"",$E1738=""),"報酬額が未入力／","")&amp;IF(N($U1738)&gt;0,"申請書に入力エラーが残っています／","")&amp;IF(AND($B1738&lt;&gt;"",$AQ1738&lt;&gt;""),IF(COUNTIFS($B$6:$B$3005,$B1738,$C$6:$C$3005,$C1738,$D$6:$D$3005,$D1738)&gt;1,"同じ月の請求が重複しています／",""),"")&amp;IF(AND(N($E1738)&gt;0,$AB1738&lt;&gt;"",$AB1738&lt;&gt;"×",$AE1738=0,$AD1738=""),"計算額が下限以下のため不支給／",""))</f>
        <v/>
      </c>
      <c r="AN1738" s="12" t="n"/>
      <c r="AO1738" s="14">
        <f>IF($AF1738="保留中",COUNTIF($AF$6:$AF1738,"保留中"),"")</f>
        <v/>
      </c>
      <c r="AP1738" s="14">
        <f>IF($AQ1738="","",IF(SUMPRODUCT(MAX((職員マスタ!$A$6:$A$405=$B1738)*(((職員マスタ!$G$6:$G$405="")+(職員マスタ!$G$6:$G$405&lt;=EOMONTH($AQ1738,0)))&gt;0)*(((職員マスタ!$H$6:$H$405="")+(職員マスタ!$H$6:$H$405&gt;=$AQ1738))&gt;0)*(ROW(職員マスタ!$A$6:$A$405)-5)))&gt;0,SUMPRODUCT(MAX((職員マスタ!$A$6:$A$405=$B1738)*(((職員マスタ!$G$6:$G$405="")+(職員マスタ!$G$6:$G$405&lt;=EOMONTH($AQ1738,0)))&gt;0)*(((職員マスタ!$H$6:$H$405="")+(職員マスタ!$H$6:$H$405&gt;=$AQ1738))&gt;0)*(ROW(職員マスタ!$A$6:$A$405)-5))),IFERROR(MATCH($B1738,職員マスタ!$A$6:$A$405,0),"")))</f>
        <v/>
      </c>
      <c r="AQ1738" s="16">
        <f>IF(OR($B1738="",$C1738="",$D1738=""),"",DATE($C1738+2018,$D1738,1))</f>
        <v/>
      </c>
    </row>
    <row r="1739">
      <c r="A1739" s="11" t="n"/>
      <c r="B1739" s="12" t="n"/>
      <c r="C1739" s="12" t="n"/>
      <c r="D1739" s="12" t="n"/>
      <c r="E1739" s="13" t="n"/>
      <c r="F1739" s="12" t="n"/>
      <c r="G1739" s="13" t="n"/>
      <c r="H1739" s="12" t="n"/>
      <c r="I1739" s="12" t="n"/>
      <c r="J1739" s="12" t="n"/>
      <c r="K1739" s="12" t="n"/>
      <c r="L1739" s="11" t="n"/>
      <c r="M1739" s="11" t="n"/>
      <c r="N1739" s="11" t="n"/>
      <c r="O1739" s="11" t="n"/>
      <c r="P1739" s="12" t="n"/>
      <c r="Q1739" s="11" t="n"/>
      <c r="R1739" s="12" t="n"/>
      <c r="S1739" s="11" t="n"/>
      <c r="T1739" s="12" t="n"/>
      <c r="U1739" s="12" t="n"/>
      <c r="V1739" s="12" t="n"/>
      <c r="W1739" s="13" t="n"/>
      <c r="X1739" s="14">
        <f>IF($AP1739="",IF($B1739="","",$H1739),IF(INDEX(職員マスタ!$B$6:$B$405,$AP1739)="",$H1739,INDEX(職員マスタ!$B$6:$B$405,$AP1739)))</f>
        <v/>
      </c>
      <c r="Y1739" s="14">
        <f>IF($AP1739="",IF($B1739="","",$R1739),IF(INDEX(職員マスタ!$C$6:$C$405,$AP1739)="",$R1739,INDEX(職員マスタ!$C$6:$C$405,$AP1739)))</f>
        <v/>
      </c>
      <c r="Z1739" s="14">
        <f>IF($AQ1739="","","R"&amp;$C1739&amp;"."&amp;$D1739)</f>
        <v/>
      </c>
      <c r="AA1739" s="15">
        <f>IF(IF($AP1739="",FALSE,INDEX(職員マスタ!$K$6:$K$405,$AP1739)&lt;&gt;""),INDEX(職員マスタ!$K$6:$K$405,$AP1739),IF(N($W1739)&gt;0,$W1739,""))</f>
        <v/>
      </c>
      <c r="AB1739" s="14">
        <f>IF(OR($E1739="",$AA1739=""),"",IF($E1739&gt;=$AA1739,"×",IF($E1739&gt;=$AA1739*設定!$C$5,"△","○")))</f>
        <v/>
      </c>
      <c r="AC1739" s="15">
        <f>IF($AB1739="","",IF($AB1739="×",0,IF($AB1739="○",ROUNDDOWN($E1739*設定!$C$4,0),ROUNDDOWN($E1739*ROUND((9*$AA1739-9*$E1739)/(10*$E1739),4),0))))</f>
        <v/>
      </c>
      <c r="AD1739" s="13" t="n"/>
      <c r="AE1739" s="15">
        <f>IF($B1739="","",IF($AD1739&lt;&gt;"",$AD1739,IF($AC1739="","",IF($AC1739&lt;=設定!$C$3,0,$AC1739))))</f>
        <v/>
      </c>
      <c r="AF1739" s="14">
        <f>IF($B1739="","",IF(AND($AG1739&lt;&gt;"",$AI1739="",$AL1739=""),"保留中",IF($AL1739&lt;&gt;"",IF(N($AE1739)&gt;0,"支給済","不支給"),IF($AE1739="","要確認",IF($AE1739=0,"不支給","未処理")))))</f>
        <v/>
      </c>
      <c r="AG1739" s="12" t="n"/>
      <c r="AH1739" s="11" t="n"/>
      <c r="AI1739" s="11" t="n"/>
      <c r="AJ1739" s="11" t="n"/>
      <c r="AK1739" s="14">
        <f>IF(AND($AF1739="保留中",$AH1739&lt;&gt;""),TODAY()-$AH1739,"")</f>
        <v/>
      </c>
      <c r="AL1739" s="12" t="n"/>
      <c r="AM1739" s="14">
        <f>IF($B1739="","",IF($AQ1739="","対象年月が未入力／","")&amp;IF($B1739="","",IF($AP1739="","職員マスタに未登録の職員番号／",IF($AA1739="","標準報酬月額が未登録／","")&amp;IF(AND($AQ1739&lt;&gt;"",OR(AND(INDEX(職員マスタ!$G$6:$G$405,$AP1739)&lt;&gt;"",INDEX(職員マスタ!$G$6:$G$405,$AP1739)&gt;EOMONTH($AQ1739,0)),AND(INDEX(職員マスタ!$H$6:$H$405,$AP1739)&lt;&gt;"",INDEX(職員マスタ!$H$6:$H$405,$AP1739)&lt;$AQ1739))),"対象月が時短期間外／","")&amp;IF(AND(INDEX(職員マスタ!$K$6:$K$405,$AP1739)&lt;&gt;"",N($W1739)&gt;0,INDEX(職員マスタ!$K$6:$K$405,$AP1739)&lt;&gt;$W1739),"標準報酬月額が申請書と相違（台帳"&amp;TEXT(INDEX(職員マスタ!$K$6:$K$405,$AP1739),"#,##0")&amp;"円／申請書"&amp;TEXT($W1739,"#,##0")&amp;"円）／","")&amp;IF(AND(INDEX(職員マスタ!$F$6:$F$405,$AP1739)&lt;&gt;"",$AQ1739&lt;&gt;"",INDEX(職員マスタ!$F$6:$F$405,$AP1739)&lt;$AQ1739),"対象月に子が2歳到達済／","")&amp;IF(AND($H1739&lt;&gt;"",INDEX(職員マスタ!$B$6:$B$405,$AP1739)&lt;&gt;"",SUBSTITUTE(SUBSTITUTE($H1739," ","")," ","")&lt;&gt;SUBSTITUTE(SUBSTITUTE(INDEX(職員マスタ!$B$6:$B$405,$AP1739)," ","")," ","")),"氏名がマスタと相違／","")&amp;IF(AND($Q1739&lt;&gt;"",INDEX(職員マスタ!$E$6:$E$405,$AP1739)&lt;&gt;"",$Q1739&lt;&gt;INDEX(職員マスタ!$E$6:$E$405,$AP1739)),"子の生年月日がマスタと相違／","")&amp;IF(AND($L1739&lt;&gt;"",INDEX(職員マスタ!$G$6:$G$405,$AP1739)&lt;&gt;"",$L1739&lt;&gt;INDEX(職員マスタ!$G$6:$G$405,$AP1739)),"時短開始日がマスタと相違／","")&amp;IF(AND($M1739&lt;&gt;"",INDEX(職員マスタ!$H$6:$H$405,$AP1739)&lt;&gt;"",$M1739&lt;&gt;INDEX(職員マスタ!$H$6:$H$405,$AP1739)),"時短終了日がマスタと相違／","")))&amp;IF(AND($B1739&lt;&gt;"",$E1739=""),"報酬額が未入力／","")&amp;IF(N($U1739)&gt;0,"申請書に入力エラーが残っています／","")&amp;IF(AND($B1739&lt;&gt;"",$AQ1739&lt;&gt;""),IF(COUNTIFS($B$6:$B$3005,$B1739,$C$6:$C$3005,$C1739,$D$6:$D$3005,$D1739)&gt;1,"同じ月の請求が重複しています／",""),"")&amp;IF(AND(N($E1739)&gt;0,$AB1739&lt;&gt;"",$AB1739&lt;&gt;"×",$AE1739=0,$AD1739=""),"計算額が下限以下のため不支給／",""))</f>
        <v/>
      </c>
      <c r="AN1739" s="12" t="n"/>
      <c r="AO1739" s="14">
        <f>IF($AF1739="保留中",COUNTIF($AF$6:$AF1739,"保留中"),"")</f>
        <v/>
      </c>
      <c r="AP1739" s="14">
        <f>IF($AQ1739="","",IF(SUMPRODUCT(MAX((職員マスタ!$A$6:$A$405=$B1739)*(((職員マスタ!$G$6:$G$405="")+(職員マスタ!$G$6:$G$405&lt;=EOMONTH($AQ1739,0)))&gt;0)*(((職員マスタ!$H$6:$H$405="")+(職員マスタ!$H$6:$H$405&gt;=$AQ1739))&gt;0)*(ROW(職員マスタ!$A$6:$A$405)-5)))&gt;0,SUMPRODUCT(MAX((職員マスタ!$A$6:$A$405=$B1739)*(((職員マスタ!$G$6:$G$405="")+(職員マスタ!$G$6:$G$405&lt;=EOMONTH($AQ1739,0)))&gt;0)*(((職員マスタ!$H$6:$H$405="")+(職員マスタ!$H$6:$H$405&gt;=$AQ1739))&gt;0)*(ROW(職員マスタ!$A$6:$A$405)-5))),IFERROR(MATCH($B1739,職員マスタ!$A$6:$A$405,0),"")))</f>
        <v/>
      </c>
      <c r="AQ1739" s="16">
        <f>IF(OR($B1739="",$C1739="",$D1739=""),"",DATE($C1739+2018,$D1739,1))</f>
        <v/>
      </c>
    </row>
    <row r="1740">
      <c r="A1740" s="11" t="n"/>
      <c r="B1740" s="12" t="n"/>
      <c r="C1740" s="12" t="n"/>
      <c r="D1740" s="12" t="n"/>
      <c r="E1740" s="13" t="n"/>
      <c r="F1740" s="12" t="n"/>
      <c r="G1740" s="13" t="n"/>
      <c r="H1740" s="12" t="n"/>
      <c r="I1740" s="12" t="n"/>
      <c r="J1740" s="12" t="n"/>
      <c r="K1740" s="12" t="n"/>
      <c r="L1740" s="11" t="n"/>
      <c r="M1740" s="11" t="n"/>
      <c r="N1740" s="11" t="n"/>
      <c r="O1740" s="11" t="n"/>
      <c r="P1740" s="12" t="n"/>
      <c r="Q1740" s="11" t="n"/>
      <c r="R1740" s="12" t="n"/>
      <c r="S1740" s="11" t="n"/>
      <c r="T1740" s="12" t="n"/>
      <c r="U1740" s="12" t="n"/>
      <c r="V1740" s="12" t="n"/>
      <c r="W1740" s="13" t="n"/>
      <c r="X1740" s="14">
        <f>IF($AP1740="",IF($B1740="","",$H1740),IF(INDEX(職員マスタ!$B$6:$B$405,$AP1740)="",$H1740,INDEX(職員マスタ!$B$6:$B$405,$AP1740)))</f>
        <v/>
      </c>
      <c r="Y1740" s="14">
        <f>IF($AP1740="",IF($B1740="","",$R1740),IF(INDEX(職員マスタ!$C$6:$C$405,$AP1740)="",$R1740,INDEX(職員マスタ!$C$6:$C$405,$AP1740)))</f>
        <v/>
      </c>
      <c r="Z1740" s="14">
        <f>IF($AQ1740="","","R"&amp;$C1740&amp;"."&amp;$D1740)</f>
        <v/>
      </c>
      <c r="AA1740" s="15">
        <f>IF(IF($AP1740="",FALSE,INDEX(職員マスタ!$K$6:$K$405,$AP1740)&lt;&gt;""),INDEX(職員マスタ!$K$6:$K$405,$AP1740),IF(N($W1740)&gt;0,$W1740,""))</f>
        <v/>
      </c>
      <c r="AB1740" s="14">
        <f>IF(OR($E1740="",$AA1740=""),"",IF($E1740&gt;=$AA1740,"×",IF($E1740&gt;=$AA1740*設定!$C$5,"△","○")))</f>
        <v/>
      </c>
      <c r="AC1740" s="15">
        <f>IF($AB1740="","",IF($AB1740="×",0,IF($AB1740="○",ROUNDDOWN($E1740*設定!$C$4,0),ROUNDDOWN($E1740*ROUND((9*$AA1740-9*$E1740)/(10*$E1740),4),0))))</f>
        <v/>
      </c>
      <c r="AD1740" s="13" t="n"/>
      <c r="AE1740" s="15">
        <f>IF($B1740="","",IF($AD1740&lt;&gt;"",$AD1740,IF($AC1740="","",IF($AC1740&lt;=設定!$C$3,0,$AC1740))))</f>
        <v/>
      </c>
      <c r="AF1740" s="14">
        <f>IF($B1740="","",IF(AND($AG1740&lt;&gt;"",$AI1740="",$AL1740=""),"保留中",IF($AL1740&lt;&gt;"",IF(N($AE1740)&gt;0,"支給済","不支給"),IF($AE1740="","要確認",IF($AE1740=0,"不支給","未処理")))))</f>
        <v/>
      </c>
      <c r="AG1740" s="12" t="n"/>
      <c r="AH1740" s="11" t="n"/>
      <c r="AI1740" s="11" t="n"/>
      <c r="AJ1740" s="11" t="n"/>
      <c r="AK1740" s="14">
        <f>IF(AND($AF1740="保留中",$AH1740&lt;&gt;""),TODAY()-$AH1740,"")</f>
        <v/>
      </c>
      <c r="AL1740" s="12" t="n"/>
      <c r="AM1740" s="14">
        <f>IF($B1740="","",IF($AQ1740="","対象年月が未入力／","")&amp;IF($B1740="","",IF($AP1740="","職員マスタに未登録の職員番号／",IF($AA1740="","標準報酬月額が未登録／","")&amp;IF(AND($AQ1740&lt;&gt;"",OR(AND(INDEX(職員マスタ!$G$6:$G$405,$AP1740)&lt;&gt;"",INDEX(職員マスタ!$G$6:$G$405,$AP1740)&gt;EOMONTH($AQ1740,0)),AND(INDEX(職員マスタ!$H$6:$H$405,$AP1740)&lt;&gt;"",INDEX(職員マスタ!$H$6:$H$405,$AP1740)&lt;$AQ1740))),"対象月が時短期間外／","")&amp;IF(AND(INDEX(職員マスタ!$K$6:$K$405,$AP1740)&lt;&gt;"",N($W1740)&gt;0,INDEX(職員マスタ!$K$6:$K$405,$AP1740)&lt;&gt;$W1740),"標準報酬月額が申請書と相違（台帳"&amp;TEXT(INDEX(職員マスタ!$K$6:$K$405,$AP1740),"#,##0")&amp;"円／申請書"&amp;TEXT($W1740,"#,##0")&amp;"円）／","")&amp;IF(AND(INDEX(職員マスタ!$F$6:$F$405,$AP1740)&lt;&gt;"",$AQ1740&lt;&gt;"",INDEX(職員マスタ!$F$6:$F$405,$AP1740)&lt;$AQ1740),"対象月に子が2歳到達済／","")&amp;IF(AND($H1740&lt;&gt;"",INDEX(職員マスタ!$B$6:$B$405,$AP1740)&lt;&gt;"",SUBSTITUTE(SUBSTITUTE($H1740," ","")," ","")&lt;&gt;SUBSTITUTE(SUBSTITUTE(INDEX(職員マスタ!$B$6:$B$405,$AP1740)," ","")," ","")),"氏名がマスタと相違／","")&amp;IF(AND($Q1740&lt;&gt;"",INDEX(職員マスタ!$E$6:$E$405,$AP1740)&lt;&gt;"",$Q1740&lt;&gt;INDEX(職員マスタ!$E$6:$E$405,$AP1740)),"子の生年月日がマスタと相違／","")&amp;IF(AND($L1740&lt;&gt;"",INDEX(職員マスタ!$G$6:$G$405,$AP1740)&lt;&gt;"",$L1740&lt;&gt;INDEX(職員マスタ!$G$6:$G$405,$AP1740)),"時短開始日がマスタと相違／","")&amp;IF(AND($M1740&lt;&gt;"",INDEX(職員マスタ!$H$6:$H$405,$AP1740)&lt;&gt;"",$M1740&lt;&gt;INDEX(職員マスタ!$H$6:$H$405,$AP1740)),"時短終了日がマスタと相違／","")))&amp;IF(AND($B1740&lt;&gt;"",$E1740=""),"報酬額が未入力／","")&amp;IF(N($U1740)&gt;0,"申請書に入力エラーが残っています／","")&amp;IF(AND($B1740&lt;&gt;"",$AQ1740&lt;&gt;""),IF(COUNTIFS($B$6:$B$3005,$B1740,$C$6:$C$3005,$C1740,$D$6:$D$3005,$D1740)&gt;1,"同じ月の請求が重複しています／",""),"")&amp;IF(AND(N($E1740)&gt;0,$AB1740&lt;&gt;"",$AB1740&lt;&gt;"×",$AE1740=0,$AD1740=""),"計算額が下限以下のため不支給／",""))</f>
        <v/>
      </c>
      <c r="AN1740" s="12" t="n"/>
      <c r="AO1740" s="14">
        <f>IF($AF1740="保留中",COUNTIF($AF$6:$AF1740,"保留中"),"")</f>
        <v/>
      </c>
      <c r="AP1740" s="14">
        <f>IF($AQ1740="","",IF(SUMPRODUCT(MAX((職員マスタ!$A$6:$A$405=$B1740)*(((職員マスタ!$G$6:$G$405="")+(職員マスタ!$G$6:$G$405&lt;=EOMONTH($AQ1740,0)))&gt;0)*(((職員マスタ!$H$6:$H$405="")+(職員マスタ!$H$6:$H$405&gt;=$AQ1740))&gt;0)*(ROW(職員マスタ!$A$6:$A$405)-5)))&gt;0,SUMPRODUCT(MAX((職員マスタ!$A$6:$A$405=$B1740)*(((職員マスタ!$G$6:$G$405="")+(職員マスタ!$G$6:$G$405&lt;=EOMONTH($AQ1740,0)))&gt;0)*(((職員マスタ!$H$6:$H$405="")+(職員マスタ!$H$6:$H$405&gt;=$AQ1740))&gt;0)*(ROW(職員マスタ!$A$6:$A$405)-5))),IFERROR(MATCH($B1740,職員マスタ!$A$6:$A$405,0),"")))</f>
        <v/>
      </c>
      <c r="AQ1740" s="16">
        <f>IF(OR($B1740="",$C1740="",$D1740=""),"",DATE($C1740+2018,$D1740,1))</f>
        <v/>
      </c>
    </row>
    <row r="1741">
      <c r="A1741" s="11" t="n"/>
      <c r="B1741" s="12" t="n"/>
      <c r="C1741" s="12" t="n"/>
      <c r="D1741" s="12" t="n"/>
      <c r="E1741" s="13" t="n"/>
      <c r="F1741" s="12" t="n"/>
      <c r="G1741" s="13" t="n"/>
      <c r="H1741" s="12" t="n"/>
      <c r="I1741" s="12" t="n"/>
      <c r="J1741" s="12" t="n"/>
      <c r="K1741" s="12" t="n"/>
      <c r="L1741" s="11" t="n"/>
      <c r="M1741" s="11" t="n"/>
      <c r="N1741" s="11" t="n"/>
      <c r="O1741" s="11" t="n"/>
      <c r="P1741" s="12" t="n"/>
      <c r="Q1741" s="11" t="n"/>
      <c r="R1741" s="12" t="n"/>
      <c r="S1741" s="11" t="n"/>
      <c r="T1741" s="12" t="n"/>
      <c r="U1741" s="12" t="n"/>
      <c r="V1741" s="12" t="n"/>
      <c r="W1741" s="13" t="n"/>
      <c r="X1741" s="14">
        <f>IF($AP1741="",IF($B1741="","",$H1741),IF(INDEX(職員マスタ!$B$6:$B$405,$AP1741)="",$H1741,INDEX(職員マスタ!$B$6:$B$405,$AP1741)))</f>
        <v/>
      </c>
      <c r="Y1741" s="14">
        <f>IF($AP1741="",IF($B1741="","",$R1741),IF(INDEX(職員マスタ!$C$6:$C$405,$AP1741)="",$R1741,INDEX(職員マスタ!$C$6:$C$405,$AP1741)))</f>
        <v/>
      </c>
      <c r="Z1741" s="14">
        <f>IF($AQ1741="","","R"&amp;$C1741&amp;"."&amp;$D1741)</f>
        <v/>
      </c>
      <c r="AA1741" s="15">
        <f>IF(IF($AP1741="",FALSE,INDEX(職員マスタ!$K$6:$K$405,$AP1741)&lt;&gt;""),INDEX(職員マスタ!$K$6:$K$405,$AP1741),IF(N($W1741)&gt;0,$W1741,""))</f>
        <v/>
      </c>
      <c r="AB1741" s="14">
        <f>IF(OR($E1741="",$AA1741=""),"",IF($E1741&gt;=$AA1741,"×",IF($E1741&gt;=$AA1741*設定!$C$5,"△","○")))</f>
        <v/>
      </c>
      <c r="AC1741" s="15">
        <f>IF($AB1741="","",IF($AB1741="×",0,IF($AB1741="○",ROUNDDOWN($E1741*設定!$C$4,0),ROUNDDOWN($E1741*ROUND((9*$AA1741-9*$E1741)/(10*$E1741),4),0))))</f>
        <v/>
      </c>
      <c r="AD1741" s="13" t="n"/>
      <c r="AE1741" s="15">
        <f>IF($B1741="","",IF($AD1741&lt;&gt;"",$AD1741,IF($AC1741="","",IF($AC1741&lt;=設定!$C$3,0,$AC1741))))</f>
        <v/>
      </c>
      <c r="AF1741" s="14">
        <f>IF($B1741="","",IF(AND($AG1741&lt;&gt;"",$AI1741="",$AL1741=""),"保留中",IF($AL1741&lt;&gt;"",IF(N($AE1741)&gt;0,"支給済","不支給"),IF($AE1741="","要確認",IF($AE1741=0,"不支給","未処理")))))</f>
        <v/>
      </c>
      <c r="AG1741" s="12" t="n"/>
      <c r="AH1741" s="11" t="n"/>
      <c r="AI1741" s="11" t="n"/>
      <c r="AJ1741" s="11" t="n"/>
      <c r="AK1741" s="14">
        <f>IF(AND($AF1741="保留中",$AH1741&lt;&gt;""),TODAY()-$AH1741,"")</f>
        <v/>
      </c>
      <c r="AL1741" s="12" t="n"/>
      <c r="AM1741" s="14">
        <f>IF($B1741="","",IF($AQ1741="","対象年月が未入力／","")&amp;IF($B1741="","",IF($AP1741="","職員マスタに未登録の職員番号／",IF($AA1741="","標準報酬月額が未登録／","")&amp;IF(AND($AQ1741&lt;&gt;"",OR(AND(INDEX(職員マスタ!$G$6:$G$405,$AP1741)&lt;&gt;"",INDEX(職員マスタ!$G$6:$G$405,$AP1741)&gt;EOMONTH($AQ1741,0)),AND(INDEX(職員マスタ!$H$6:$H$405,$AP1741)&lt;&gt;"",INDEX(職員マスタ!$H$6:$H$405,$AP1741)&lt;$AQ1741))),"対象月が時短期間外／","")&amp;IF(AND(INDEX(職員マスタ!$K$6:$K$405,$AP1741)&lt;&gt;"",N($W1741)&gt;0,INDEX(職員マスタ!$K$6:$K$405,$AP1741)&lt;&gt;$W1741),"標準報酬月額が申請書と相違（台帳"&amp;TEXT(INDEX(職員マスタ!$K$6:$K$405,$AP1741),"#,##0")&amp;"円／申請書"&amp;TEXT($W1741,"#,##0")&amp;"円）／","")&amp;IF(AND(INDEX(職員マスタ!$F$6:$F$405,$AP1741)&lt;&gt;"",$AQ1741&lt;&gt;"",INDEX(職員マスタ!$F$6:$F$405,$AP1741)&lt;$AQ1741),"対象月に子が2歳到達済／","")&amp;IF(AND($H1741&lt;&gt;"",INDEX(職員マスタ!$B$6:$B$405,$AP1741)&lt;&gt;"",SUBSTITUTE(SUBSTITUTE($H1741," ","")," ","")&lt;&gt;SUBSTITUTE(SUBSTITUTE(INDEX(職員マスタ!$B$6:$B$405,$AP1741)," ","")," ","")),"氏名がマスタと相違／","")&amp;IF(AND($Q1741&lt;&gt;"",INDEX(職員マスタ!$E$6:$E$405,$AP1741)&lt;&gt;"",$Q1741&lt;&gt;INDEX(職員マスタ!$E$6:$E$405,$AP1741)),"子の生年月日がマスタと相違／","")&amp;IF(AND($L1741&lt;&gt;"",INDEX(職員マスタ!$G$6:$G$405,$AP1741)&lt;&gt;"",$L1741&lt;&gt;INDEX(職員マスタ!$G$6:$G$405,$AP1741)),"時短開始日がマスタと相違／","")&amp;IF(AND($M1741&lt;&gt;"",INDEX(職員マスタ!$H$6:$H$405,$AP1741)&lt;&gt;"",$M1741&lt;&gt;INDEX(職員マスタ!$H$6:$H$405,$AP1741)),"時短終了日がマスタと相違／","")))&amp;IF(AND($B1741&lt;&gt;"",$E1741=""),"報酬額が未入力／","")&amp;IF(N($U1741)&gt;0,"申請書に入力エラーが残っています／","")&amp;IF(AND($B1741&lt;&gt;"",$AQ1741&lt;&gt;""),IF(COUNTIFS($B$6:$B$3005,$B1741,$C$6:$C$3005,$C1741,$D$6:$D$3005,$D1741)&gt;1,"同じ月の請求が重複しています／",""),"")&amp;IF(AND(N($E1741)&gt;0,$AB1741&lt;&gt;"",$AB1741&lt;&gt;"×",$AE1741=0,$AD1741=""),"計算額が下限以下のため不支給／",""))</f>
        <v/>
      </c>
      <c r="AN1741" s="12" t="n"/>
      <c r="AO1741" s="14">
        <f>IF($AF1741="保留中",COUNTIF($AF$6:$AF1741,"保留中"),"")</f>
        <v/>
      </c>
      <c r="AP1741" s="14">
        <f>IF($AQ1741="","",IF(SUMPRODUCT(MAX((職員マスタ!$A$6:$A$405=$B1741)*(((職員マスタ!$G$6:$G$405="")+(職員マスタ!$G$6:$G$405&lt;=EOMONTH($AQ1741,0)))&gt;0)*(((職員マスタ!$H$6:$H$405="")+(職員マスタ!$H$6:$H$405&gt;=$AQ1741))&gt;0)*(ROW(職員マスタ!$A$6:$A$405)-5)))&gt;0,SUMPRODUCT(MAX((職員マスタ!$A$6:$A$405=$B1741)*(((職員マスタ!$G$6:$G$405="")+(職員マスタ!$G$6:$G$405&lt;=EOMONTH($AQ1741,0)))&gt;0)*(((職員マスタ!$H$6:$H$405="")+(職員マスタ!$H$6:$H$405&gt;=$AQ1741))&gt;0)*(ROW(職員マスタ!$A$6:$A$405)-5))),IFERROR(MATCH($B1741,職員マスタ!$A$6:$A$405,0),"")))</f>
        <v/>
      </c>
      <c r="AQ1741" s="16">
        <f>IF(OR($B1741="",$C1741="",$D1741=""),"",DATE($C1741+2018,$D1741,1))</f>
        <v/>
      </c>
    </row>
    <row r="1742">
      <c r="A1742" s="11" t="n"/>
      <c r="B1742" s="12" t="n"/>
      <c r="C1742" s="12" t="n"/>
      <c r="D1742" s="12" t="n"/>
      <c r="E1742" s="13" t="n"/>
      <c r="F1742" s="12" t="n"/>
      <c r="G1742" s="13" t="n"/>
      <c r="H1742" s="12" t="n"/>
      <c r="I1742" s="12" t="n"/>
      <c r="J1742" s="12" t="n"/>
      <c r="K1742" s="12" t="n"/>
      <c r="L1742" s="11" t="n"/>
      <c r="M1742" s="11" t="n"/>
      <c r="N1742" s="11" t="n"/>
      <c r="O1742" s="11" t="n"/>
      <c r="P1742" s="12" t="n"/>
      <c r="Q1742" s="11" t="n"/>
      <c r="R1742" s="12" t="n"/>
      <c r="S1742" s="11" t="n"/>
      <c r="T1742" s="12" t="n"/>
      <c r="U1742" s="12" t="n"/>
      <c r="V1742" s="12" t="n"/>
      <c r="W1742" s="13" t="n"/>
      <c r="X1742" s="14">
        <f>IF($AP1742="",IF($B1742="","",$H1742),IF(INDEX(職員マスタ!$B$6:$B$405,$AP1742)="",$H1742,INDEX(職員マスタ!$B$6:$B$405,$AP1742)))</f>
        <v/>
      </c>
      <c r="Y1742" s="14">
        <f>IF($AP1742="",IF($B1742="","",$R1742),IF(INDEX(職員マスタ!$C$6:$C$405,$AP1742)="",$R1742,INDEX(職員マスタ!$C$6:$C$405,$AP1742)))</f>
        <v/>
      </c>
      <c r="Z1742" s="14">
        <f>IF($AQ1742="","","R"&amp;$C1742&amp;"."&amp;$D1742)</f>
        <v/>
      </c>
      <c r="AA1742" s="15">
        <f>IF(IF($AP1742="",FALSE,INDEX(職員マスタ!$K$6:$K$405,$AP1742)&lt;&gt;""),INDEX(職員マスタ!$K$6:$K$405,$AP1742),IF(N($W1742)&gt;0,$W1742,""))</f>
        <v/>
      </c>
      <c r="AB1742" s="14">
        <f>IF(OR($E1742="",$AA1742=""),"",IF($E1742&gt;=$AA1742,"×",IF($E1742&gt;=$AA1742*設定!$C$5,"△","○")))</f>
        <v/>
      </c>
      <c r="AC1742" s="15">
        <f>IF($AB1742="","",IF($AB1742="×",0,IF($AB1742="○",ROUNDDOWN($E1742*設定!$C$4,0),ROUNDDOWN($E1742*ROUND((9*$AA1742-9*$E1742)/(10*$E1742),4),0))))</f>
        <v/>
      </c>
      <c r="AD1742" s="13" t="n"/>
      <c r="AE1742" s="15">
        <f>IF($B1742="","",IF($AD1742&lt;&gt;"",$AD1742,IF($AC1742="","",IF($AC1742&lt;=設定!$C$3,0,$AC1742))))</f>
        <v/>
      </c>
      <c r="AF1742" s="14">
        <f>IF($B1742="","",IF(AND($AG1742&lt;&gt;"",$AI1742="",$AL1742=""),"保留中",IF($AL1742&lt;&gt;"",IF(N($AE1742)&gt;0,"支給済","不支給"),IF($AE1742="","要確認",IF($AE1742=0,"不支給","未処理")))))</f>
        <v/>
      </c>
      <c r="AG1742" s="12" t="n"/>
      <c r="AH1742" s="11" t="n"/>
      <c r="AI1742" s="11" t="n"/>
      <c r="AJ1742" s="11" t="n"/>
      <c r="AK1742" s="14">
        <f>IF(AND($AF1742="保留中",$AH1742&lt;&gt;""),TODAY()-$AH1742,"")</f>
        <v/>
      </c>
      <c r="AL1742" s="12" t="n"/>
      <c r="AM1742" s="14">
        <f>IF($B1742="","",IF($AQ1742="","対象年月が未入力／","")&amp;IF($B1742="","",IF($AP1742="","職員マスタに未登録の職員番号／",IF($AA1742="","標準報酬月額が未登録／","")&amp;IF(AND($AQ1742&lt;&gt;"",OR(AND(INDEX(職員マスタ!$G$6:$G$405,$AP1742)&lt;&gt;"",INDEX(職員マスタ!$G$6:$G$405,$AP1742)&gt;EOMONTH($AQ1742,0)),AND(INDEX(職員マスタ!$H$6:$H$405,$AP1742)&lt;&gt;"",INDEX(職員マスタ!$H$6:$H$405,$AP1742)&lt;$AQ1742))),"対象月が時短期間外／","")&amp;IF(AND(INDEX(職員マスタ!$K$6:$K$405,$AP1742)&lt;&gt;"",N($W1742)&gt;0,INDEX(職員マスタ!$K$6:$K$405,$AP1742)&lt;&gt;$W1742),"標準報酬月額が申請書と相違（台帳"&amp;TEXT(INDEX(職員マスタ!$K$6:$K$405,$AP1742),"#,##0")&amp;"円／申請書"&amp;TEXT($W1742,"#,##0")&amp;"円）／","")&amp;IF(AND(INDEX(職員マスタ!$F$6:$F$405,$AP1742)&lt;&gt;"",$AQ1742&lt;&gt;"",INDEX(職員マスタ!$F$6:$F$405,$AP1742)&lt;$AQ1742),"対象月に子が2歳到達済／","")&amp;IF(AND($H1742&lt;&gt;"",INDEX(職員マスタ!$B$6:$B$405,$AP1742)&lt;&gt;"",SUBSTITUTE(SUBSTITUTE($H1742," ","")," ","")&lt;&gt;SUBSTITUTE(SUBSTITUTE(INDEX(職員マスタ!$B$6:$B$405,$AP1742)," ","")," ","")),"氏名がマスタと相違／","")&amp;IF(AND($Q1742&lt;&gt;"",INDEX(職員マスタ!$E$6:$E$405,$AP1742)&lt;&gt;"",$Q1742&lt;&gt;INDEX(職員マスタ!$E$6:$E$405,$AP1742)),"子の生年月日がマスタと相違／","")&amp;IF(AND($L1742&lt;&gt;"",INDEX(職員マスタ!$G$6:$G$405,$AP1742)&lt;&gt;"",$L1742&lt;&gt;INDEX(職員マスタ!$G$6:$G$405,$AP1742)),"時短開始日がマスタと相違／","")&amp;IF(AND($M1742&lt;&gt;"",INDEX(職員マスタ!$H$6:$H$405,$AP1742)&lt;&gt;"",$M1742&lt;&gt;INDEX(職員マスタ!$H$6:$H$405,$AP1742)),"時短終了日がマスタと相違／","")))&amp;IF(AND($B1742&lt;&gt;"",$E1742=""),"報酬額が未入力／","")&amp;IF(N($U1742)&gt;0,"申請書に入力エラーが残っています／","")&amp;IF(AND($B1742&lt;&gt;"",$AQ1742&lt;&gt;""),IF(COUNTIFS($B$6:$B$3005,$B1742,$C$6:$C$3005,$C1742,$D$6:$D$3005,$D1742)&gt;1,"同じ月の請求が重複しています／",""),"")&amp;IF(AND(N($E1742)&gt;0,$AB1742&lt;&gt;"",$AB1742&lt;&gt;"×",$AE1742=0,$AD1742=""),"計算額が下限以下のため不支給／",""))</f>
        <v/>
      </c>
      <c r="AN1742" s="12" t="n"/>
      <c r="AO1742" s="14">
        <f>IF($AF1742="保留中",COUNTIF($AF$6:$AF1742,"保留中"),"")</f>
        <v/>
      </c>
      <c r="AP1742" s="14">
        <f>IF($AQ1742="","",IF(SUMPRODUCT(MAX((職員マスタ!$A$6:$A$405=$B1742)*(((職員マスタ!$G$6:$G$405="")+(職員マスタ!$G$6:$G$405&lt;=EOMONTH($AQ1742,0)))&gt;0)*(((職員マスタ!$H$6:$H$405="")+(職員マスタ!$H$6:$H$405&gt;=$AQ1742))&gt;0)*(ROW(職員マスタ!$A$6:$A$405)-5)))&gt;0,SUMPRODUCT(MAX((職員マスタ!$A$6:$A$405=$B1742)*(((職員マスタ!$G$6:$G$405="")+(職員マスタ!$G$6:$G$405&lt;=EOMONTH($AQ1742,0)))&gt;0)*(((職員マスタ!$H$6:$H$405="")+(職員マスタ!$H$6:$H$405&gt;=$AQ1742))&gt;0)*(ROW(職員マスタ!$A$6:$A$405)-5))),IFERROR(MATCH($B1742,職員マスタ!$A$6:$A$405,0),"")))</f>
        <v/>
      </c>
      <c r="AQ1742" s="16">
        <f>IF(OR($B1742="",$C1742="",$D1742=""),"",DATE($C1742+2018,$D1742,1))</f>
        <v/>
      </c>
    </row>
    <row r="1743">
      <c r="A1743" s="11" t="n"/>
      <c r="B1743" s="12" t="n"/>
      <c r="C1743" s="12" t="n"/>
      <c r="D1743" s="12" t="n"/>
      <c r="E1743" s="13" t="n"/>
      <c r="F1743" s="12" t="n"/>
      <c r="G1743" s="13" t="n"/>
      <c r="H1743" s="12" t="n"/>
      <c r="I1743" s="12" t="n"/>
      <c r="J1743" s="12" t="n"/>
      <c r="K1743" s="12" t="n"/>
      <c r="L1743" s="11" t="n"/>
      <c r="M1743" s="11" t="n"/>
      <c r="N1743" s="11" t="n"/>
      <c r="O1743" s="11" t="n"/>
      <c r="P1743" s="12" t="n"/>
      <c r="Q1743" s="11" t="n"/>
      <c r="R1743" s="12" t="n"/>
      <c r="S1743" s="11" t="n"/>
      <c r="T1743" s="12" t="n"/>
      <c r="U1743" s="12" t="n"/>
      <c r="V1743" s="12" t="n"/>
      <c r="W1743" s="13" t="n"/>
      <c r="X1743" s="14">
        <f>IF($AP1743="",IF($B1743="","",$H1743),IF(INDEX(職員マスタ!$B$6:$B$405,$AP1743)="",$H1743,INDEX(職員マスタ!$B$6:$B$405,$AP1743)))</f>
        <v/>
      </c>
      <c r="Y1743" s="14">
        <f>IF($AP1743="",IF($B1743="","",$R1743),IF(INDEX(職員マスタ!$C$6:$C$405,$AP1743)="",$R1743,INDEX(職員マスタ!$C$6:$C$405,$AP1743)))</f>
        <v/>
      </c>
      <c r="Z1743" s="14">
        <f>IF($AQ1743="","","R"&amp;$C1743&amp;"."&amp;$D1743)</f>
        <v/>
      </c>
      <c r="AA1743" s="15">
        <f>IF(IF($AP1743="",FALSE,INDEX(職員マスタ!$K$6:$K$405,$AP1743)&lt;&gt;""),INDEX(職員マスタ!$K$6:$K$405,$AP1743),IF(N($W1743)&gt;0,$W1743,""))</f>
        <v/>
      </c>
      <c r="AB1743" s="14">
        <f>IF(OR($E1743="",$AA1743=""),"",IF($E1743&gt;=$AA1743,"×",IF($E1743&gt;=$AA1743*設定!$C$5,"△","○")))</f>
        <v/>
      </c>
      <c r="AC1743" s="15">
        <f>IF($AB1743="","",IF($AB1743="×",0,IF($AB1743="○",ROUNDDOWN($E1743*設定!$C$4,0),ROUNDDOWN($E1743*ROUND((9*$AA1743-9*$E1743)/(10*$E1743),4),0))))</f>
        <v/>
      </c>
      <c r="AD1743" s="13" t="n"/>
      <c r="AE1743" s="15">
        <f>IF($B1743="","",IF($AD1743&lt;&gt;"",$AD1743,IF($AC1743="","",IF($AC1743&lt;=設定!$C$3,0,$AC1743))))</f>
        <v/>
      </c>
      <c r="AF1743" s="14">
        <f>IF($B1743="","",IF(AND($AG1743&lt;&gt;"",$AI1743="",$AL1743=""),"保留中",IF($AL1743&lt;&gt;"",IF(N($AE1743)&gt;0,"支給済","不支給"),IF($AE1743="","要確認",IF($AE1743=0,"不支給","未処理")))))</f>
        <v/>
      </c>
      <c r="AG1743" s="12" t="n"/>
      <c r="AH1743" s="11" t="n"/>
      <c r="AI1743" s="11" t="n"/>
      <c r="AJ1743" s="11" t="n"/>
      <c r="AK1743" s="14">
        <f>IF(AND($AF1743="保留中",$AH1743&lt;&gt;""),TODAY()-$AH1743,"")</f>
        <v/>
      </c>
      <c r="AL1743" s="12" t="n"/>
      <c r="AM1743" s="14">
        <f>IF($B1743="","",IF($AQ1743="","対象年月が未入力／","")&amp;IF($B1743="","",IF($AP1743="","職員マスタに未登録の職員番号／",IF($AA1743="","標準報酬月額が未登録／","")&amp;IF(AND($AQ1743&lt;&gt;"",OR(AND(INDEX(職員マスタ!$G$6:$G$405,$AP1743)&lt;&gt;"",INDEX(職員マスタ!$G$6:$G$405,$AP1743)&gt;EOMONTH($AQ1743,0)),AND(INDEX(職員マスタ!$H$6:$H$405,$AP1743)&lt;&gt;"",INDEX(職員マスタ!$H$6:$H$405,$AP1743)&lt;$AQ1743))),"対象月が時短期間外／","")&amp;IF(AND(INDEX(職員マスタ!$K$6:$K$405,$AP1743)&lt;&gt;"",N($W1743)&gt;0,INDEX(職員マスタ!$K$6:$K$405,$AP1743)&lt;&gt;$W1743),"標準報酬月額が申請書と相違（台帳"&amp;TEXT(INDEX(職員マスタ!$K$6:$K$405,$AP1743),"#,##0")&amp;"円／申請書"&amp;TEXT($W1743,"#,##0")&amp;"円）／","")&amp;IF(AND(INDEX(職員マスタ!$F$6:$F$405,$AP1743)&lt;&gt;"",$AQ1743&lt;&gt;"",INDEX(職員マスタ!$F$6:$F$405,$AP1743)&lt;$AQ1743),"対象月に子が2歳到達済／","")&amp;IF(AND($H1743&lt;&gt;"",INDEX(職員マスタ!$B$6:$B$405,$AP1743)&lt;&gt;"",SUBSTITUTE(SUBSTITUTE($H1743," ","")," ","")&lt;&gt;SUBSTITUTE(SUBSTITUTE(INDEX(職員マスタ!$B$6:$B$405,$AP1743)," ","")," ","")),"氏名がマスタと相違／","")&amp;IF(AND($Q1743&lt;&gt;"",INDEX(職員マスタ!$E$6:$E$405,$AP1743)&lt;&gt;"",$Q1743&lt;&gt;INDEX(職員マスタ!$E$6:$E$405,$AP1743)),"子の生年月日がマスタと相違／","")&amp;IF(AND($L1743&lt;&gt;"",INDEX(職員マスタ!$G$6:$G$405,$AP1743)&lt;&gt;"",$L1743&lt;&gt;INDEX(職員マスタ!$G$6:$G$405,$AP1743)),"時短開始日がマスタと相違／","")&amp;IF(AND($M1743&lt;&gt;"",INDEX(職員マスタ!$H$6:$H$405,$AP1743)&lt;&gt;"",$M1743&lt;&gt;INDEX(職員マスタ!$H$6:$H$405,$AP1743)),"時短終了日がマスタと相違／","")))&amp;IF(AND($B1743&lt;&gt;"",$E1743=""),"報酬額が未入力／","")&amp;IF(N($U1743)&gt;0,"申請書に入力エラーが残っています／","")&amp;IF(AND($B1743&lt;&gt;"",$AQ1743&lt;&gt;""),IF(COUNTIFS($B$6:$B$3005,$B1743,$C$6:$C$3005,$C1743,$D$6:$D$3005,$D1743)&gt;1,"同じ月の請求が重複しています／",""),"")&amp;IF(AND(N($E1743)&gt;0,$AB1743&lt;&gt;"",$AB1743&lt;&gt;"×",$AE1743=0,$AD1743=""),"計算額が下限以下のため不支給／",""))</f>
        <v/>
      </c>
      <c r="AN1743" s="12" t="n"/>
      <c r="AO1743" s="14">
        <f>IF($AF1743="保留中",COUNTIF($AF$6:$AF1743,"保留中"),"")</f>
        <v/>
      </c>
      <c r="AP1743" s="14">
        <f>IF($AQ1743="","",IF(SUMPRODUCT(MAX((職員マスタ!$A$6:$A$405=$B1743)*(((職員マスタ!$G$6:$G$405="")+(職員マスタ!$G$6:$G$405&lt;=EOMONTH($AQ1743,0)))&gt;0)*(((職員マスタ!$H$6:$H$405="")+(職員マスタ!$H$6:$H$405&gt;=$AQ1743))&gt;0)*(ROW(職員マスタ!$A$6:$A$405)-5)))&gt;0,SUMPRODUCT(MAX((職員マスタ!$A$6:$A$405=$B1743)*(((職員マスタ!$G$6:$G$405="")+(職員マスタ!$G$6:$G$405&lt;=EOMONTH($AQ1743,0)))&gt;0)*(((職員マスタ!$H$6:$H$405="")+(職員マスタ!$H$6:$H$405&gt;=$AQ1743))&gt;0)*(ROW(職員マスタ!$A$6:$A$405)-5))),IFERROR(MATCH($B1743,職員マスタ!$A$6:$A$405,0),"")))</f>
        <v/>
      </c>
      <c r="AQ1743" s="16">
        <f>IF(OR($B1743="",$C1743="",$D1743=""),"",DATE($C1743+2018,$D1743,1))</f>
        <v/>
      </c>
    </row>
    <row r="1744">
      <c r="A1744" s="11" t="n"/>
      <c r="B1744" s="12" t="n"/>
      <c r="C1744" s="12" t="n"/>
      <c r="D1744" s="12" t="n"/>
      <c r="E1744" s="13" t="n"/>
      <c r="F1744" s="12" t="n"/>
      <c r="G1744" s="13" t="n"/>
      <c r="H1744" s="12" t="n"/>
      <c r="I1744" s="12" t="n"/>
      <c r="J1744" s="12" t="n"/>
      <c r="K1744" s="12" t="n"/>
      <c r="L1744" s="11" t="n"/>
      <c r="M1744" s="11" t="n"/>
      <c r="N1744" s="11" t="n"/>
      <c r="O1744" s="11" t="n"/>
      <c r="P1744" s="12" t="n"/>
      <c r="Q1744" s="11" t="n"/>
      <c r="R1744" s="12" t="n"/>
      <c r="S1744" s="11" t="n"/>
      <c r="T1744" s="12" t="n"/>
      <c r="U1744" s="12" t="n"/>
      <c r="V1744" s="12" t="n"/>
      <c r="W1744" s="13" t="n"/>
      <c r="X1744" s="14">
        <f>IF($AP1744="",IF($B1744="","",$H1744),IF(INDEX(職員マスタ!$B$6:$B$405,$AP1744)="",$H1744,INDEX(職員マスタ!$B$6:$B$405,$AP1744)))</f>
        <v/>
      </c>
      <c r="Y1744" s="14">
        <f>IF($AP1744="",IF($B1744="","",$R1744),IF(INDEX(職員マスタ!$C$6:$C$405,$AP1744)="",$R1744,INDEX(職員マスタ!$C$6:$C$405,$AP1744)))</f>
        <v/>
      </c>
      <c r="Z1744" s="14">
        <f>IF($AQ1744="","","R"&amp;$C1744&amp;"."&amp;$D1744)</f>
        <v/>
      </c>
      <c r="AA1744" s="15">
        <f>IF(IF($AP1744="",FALSE,INDEX(職員マスタ!$K$6:$K$405,$AP1744)&lt;&gt;""),INDEX(職員マスタ!$K$6:$K$405,$AP1744),IF(N($W1744)&gt;0,$W1744,""))</f>
        <v/>
      </c>
      <c r="AB1744" s="14">
        <f>IF(OR($E1744="",$AA1744=""),"",IF($E1744&gt;=$AA1744,"×",IF($E1744&gt;=$AA1744*設定!$C$5,"△","○")))</f>
        <v/>
      </c>
      <c r="AC1744" s="15">
        <f>IF($AB1744="","",IF($AB1744="×",0,IF($AB1744="○",ROUNDDOWN($E1744*設定!$C$4,0),ROUNDDOWN($E1744*ROUND((9*$AA1744-9*$E1744)/(10*$E1744),4),0))))</f>
        <v/>
      </c>
      <c r="AD1744" s="13" t="n"/>
      <c r="AE1744" s="15">
        <f>IF($B1744="","",IF($AD1744&lt;&gt;"",$AD1744,IF($AC1744="","",IF($AC1744&lt;=設定!$C$3,0,$AC1744))))</f>
        <v/>
      </c>
      <c r="AF1744" s="14">
        <f>IF($B1744="","",IF(AND($AG1744&lt;&gt;"",$AI1744="",$AL1744=""),"保留中",IF($AL1744&lt;&gt;"",IF(N($AE1744)&gt;0,"支給済","不支給"),IF($AE1744="","要確認",IF($AE1744=0,"不支給","未処理")))))</f>
        <v/>
      </c>
      <c r="AG1744" s="12" t="n"/>
      <c r="AH1744" s="11" t="n"/>
      <c r="AI1744" s="11" t="n"/>
      <c r="AJ1744" s="11" t="n"/>
      <c r="AK1744" s="14">
        <f>IF(AND($AF1744="保留中",$AH1744&lt;&gt;""),TODAY()-$AH1744,"")</f>
        <v/>
      </c>
      <c r="AL1744" s="12" t="n"/>
      <c r="AM1744" s="14">
        <f>IF($B1744="","",IF($AQ1744="","対象年月が未入力／","")&amp;IF($B1744="","",IF($AP1744="","職員マスタに未登録の職員番号／",IF($AA1744="","標準報酬月額が未登録／","")&amp;IF(AND($AQ1744&lt;&gt;"",OR(AND(INDEX(職員マスタ!$G$6:$G$405,$AP1744)&lt;&gt;"",INDEX(職員マスタ!$G$6:$G$405,$AP1744)&gt;EOMONTH($AQ1744,0)),AND(INDEX(職員マスタ!$H$6:$H$405,$AP1744)&lt;&gt;"",INDEX(職員マスタ!$H$6:$H$405,$AP1744)&lt;$AQ1744))),"対象月が時短期間外／","")&amp;IF(AND(INDEX(職員マスタ!$K$6:$K$405,$AP1744)&lt;&gt;"",N($W1744)&gt;0,INDEX(職員マスタ!$K$6:$K$405,$AP1744)&lt;&gt;$W1744),"標準報酬月額が申請書と相違（台帳"&amp;TEXT(INDEX(職員マスタ!$K$6:$K$405,$AP1744),"#,##0")&amp;"円／申請書"&amp;TEXT($W1744,"#,##0")&amp;"円）／","")&amp;IF(AND(INDEX(職員マスタ!$F$6:$F$405,$AP1744)&lt;&gt;"",$AQ1744&lt;&gt;"",INDEX(職員マスタ!$F$6:$F$405,$AP1744)&lt;$AQ1744),"対象月に子が2歳到達済／","")&amp;IF(AND($H1744&lt;&gt;"",INDEX(職員マスタ!$B$6:$B$405,$AP1744)&lt;&gt;"",SUBSTITUTE(SUBSTITUTE($H1744," ","")," ","")&lt;&gt;SUBSTITUTE(SUBSTITUTE(INDEX(職員マスタ!$B$6:$B$405,$AP1744)," ","")," ","")),"氏名がマスタと相違／","")&amp;IF(AND($Q1744&lt;&gt;"",INDEX(職員マスタ!$E$6:$E$405,$AP1744)&lt;&gt;"",$Q1744&lt;&gt;INDEX(職員マスタ!$E$6:$E$405,$AP1744)),"子の生年月日がマスタと相違／","")&amp;IF(AND($L1744&lt;&gt;"",INDEX(職員マスタ!$G$6:$G$405,$AP1744)&lt;&gt;"",$L1744&lt;&gt;INDEX(職員マスタ!$G$6:$G$405,$AP1744)),"時短開始日がマスタと相違／","")&amp;IF(AND($M1744&lt;&gt;"",INDEX(職員マスタ!$H$6:$H$405,$AP1744)&lt;&gt;"",$M1744&lt;&gt;INDEX(職員マスタ!$H$6:$H$405,$AP1744)),"時短終了日がマスタと相違／","")))&amp;IF(AND($B1744&lt;&gt;"",$E1744=""),"報酬額が未入力／","")&amp;IF(N($U1744)&gt;0,"申請書に入力エラーが残っています／","")&amp;IF(AND($B1744&lt;&gt;"",$AQ1744&lt;&gt;""),IF(COUNTIFS($B$6:$B$3005,$B1744,$C$6:$C$3005,$C1744,$D$6:$D$3005,$D1744)&gt;1,"同じ月の請求が重複しています／",""),"")&amp;IF(AND(N($E1744)&gt;0,$AB1744&lt;&gt;"",$AB1744&lt;&gt;"×",$AE1744=0,$AD1744=""),"計算額が下限以下のため不支給／",""))</f>
        <v/>
      </c>
      <c r="AN1744" s="12" t="n"/>
      <c r="AO1744" s="14">
        <f>IF($AF1744="保留中",COUNTIF($AF$6:$AF1744,"保留中"),"")</f>
        <v/>
      </c>
      <c r="AP1744" s="14">
        <f>IF($AQ1744="","",IF(SUMPRODUCT(MAX((職員マスタ!$A$6:$A$405=$B1744)*(((職員マスタ!$G$6:$G$405="")+(職員マスタ!$G$6:$G$405&lt;=EOMONTH($AQ1744,0)))&gt;0)*(((職員マスタ!$H$6:$H$405="")+(職員マスタ!$H$6:$H$405&gt;=$AQ1744))&gt;0)*(ROW(職員マスタ!$A$6:$A$405)-5)))&gt;0,SUMPRODUCT(MAX((職員マスタ!$A$6:$A$405=$B1744)*(((職員マスタ!$G$6:$G$405="")+(職員マスタ!$G$6:$G$405&lt;=EOMONTH($AQ1744,0)))&gt;0)*(((職員マスタ!$H$6:$H$405="")+(職員マスタ!$H$6:$H$405&gt;=$AQ1744))&gt;0)*(ROW(職員マスタ!$A$6:$A$405)-5))),IFERROR(MATCH($B1744,職員マスタ!$A$6:$A$405,0),"")))</f>
        <v/>
      </c>
      <c r="AQ1744" s="16">
        <f>IF(OR($B1744="",$C1744="",$D1744=""),"",DATE($C1744+2018,$D1744,1))</f>
        <v/>
      </c>
    </row>
    <row r="1745">
      <c r="A1745" s="11" t="n"/>
      <c r="B1745" s="12" t="n"/>
      <c r="C1745" s="12" t="n"/>
      <c r="D1745" s="12" t="n"/>
      <c r="E1745" s="13" t="n"/>
      <c r="F1745" s="12" t="n"/>
      <c r="G1745" s="13" t="n"/>
      <c r="H1745" s="12" t="n"/>
      <c r="I1745" s="12" t="n"/>
      <c r="J1745" s="12" t="n"/>
      <c r="K1745" s="12" t="n"/>
      <c r="L1745" s="11" t="n"/>
      <c r="M1745" s="11" t="n"/>
      <c r="N1745" s="11" t="n"/>
      <c r="O1745" s="11" t="n"/>
      <c r="P1745" s="12" t="n"/>
      <c r="Q1745" s="11" t="n"/>
      <c r="R1745" s="12" t="n"/>
      <c r="S1745" s="11" t="n"/>
      <c r="T1745" s="12" t="n"/>
      <c r="U1745" s="12" t="n"/>
      <c r="V1745" s="12" t="n"/>
      <c r="W1745" s="13" t="n"/>
      <c r="X1745" s="14">
        <f>IF($AP1745="",IF($B1745="","",$H1745),IF(INDEX(職員マスタ!$B$6:$B$405,$AP1745)="",$H1745,INDEX(職員マスタ!$B$6:$B$405,$AP1745)))</f>
        <v/>
      </c>
      <c r="Y1745" s="14">
        <f>IF($AP1745="",IF($B1745="","",$R1745),IF(INDEX(職員マスタ!$C$6:$C$405,$AP1745)="",$R1745,INDEX(職員マスタ!$C$6:$C$405,$AP1745)))</f>
        <v/>
      </c>
      <c r="Z1745" s="14">
        <f>IF($AQ1745="","","R"&amp;$C1745&amp;"."&amp;$D1745)</f>
        <v/>
      </c>
      <c r="AA1745" s="15">
        <f>IF(IF($AP1745="",FALSE,INDEX(職員マスタ!$K$6:$K$405,$AP1745)&lt;&gt;""),INDEX(職員マスタ!$K$6:$K$405,$AP1745),IF(N($W1745)&gt;0,$W1745,""))</f>
        <v/>
      </c>
      <c r="AB1745" s="14">
        <f>IF(OR($E1745="",$AA1745=""),"",IF($E1745&gt;=$AA1745,"×",IF($E1745&gt;=$AA1745*設定!$C$5,"△","○")))</f>
        <v/>
      </c>
      <c r="AC1745" s="15">
        <f>IF($AB1745="","",IF($AB1745="×",0,IF($AB1745="○",ROUNDDOWN($E1745*設定!$C$4,0),ROUNDDOWN($E1745*ROUND((9*$AA1745-9*$E1745)/(10*$E1745),4),0))))</f>
        <v/>
      </c>
      <c r="AD1745" s="13" t="n"/>
      <c r="AE1745" s="15">
        <f>IF($B1745="","",IF($AD1745&lt;&gt;"",$AD1745,IF($AC1745="","",IF($AC1745&lt;=設定!$C$3,0,$AC1745))))</f>
        <v/>
      </c>
      <c r="AF1745" s="14">
        <f>IF($B1745="","",IF(AND($AG1745&lt;&gt;"",$AI1745="",$AL1745=""),"保留中",IF($AL1745&lt;&gt;"",IF(N($AE1745)&gt;0,"支給済","不支給"),IF($AE1745="","要確認",IF($AE1745=0,"不支給","未処理")))))</f>
        <v/>
      </c>
      <c r="AG1745" s="12" t="n"/>
      <c r="AH1745" s="11" t="n"/>
      <c r="AI1745" s="11" t="n"/>
      <c r="AJ1745" s="11" t="n"/>
      <c r="AK1745" s="14">
        <f>IF(AND($AF1745="保留中",$AH1745&lt;&gt;""),TODAY()-$AH1745,"")</f>
        <v/>
      </c>
      <c r="AL1745" s="12" t="n"/>
      <c r="AM1745" s="14">
        <f>IF($B1745="","",IF($AQ1745="","対象年月が未入力／","")&amp;IF($B1745="","",IF($AP1745="","職員マスタに未登録の職員番号／",IF($AA1745="","標準報酬月額が未登録／","")&amp;IF(AND($AQ1745&lt;&gt;"",OR(AND(INDEX(職員マスタ!$G$6:$G$405,$AP1745)&lt;&gt;"",INDEX(職員マスタ!$G$6:$G$405,$AP1745)&gt;EOMONTH($AQ1745,0)),AND(INDEX(職員マスタ!$H$6:$H$405,$AP1745)&lt;&gt;"",INDEX(職員マスタ!$H$6:$H$405,$AP1745)&lt;$AQ1745))),"対象月が時短期間外／","")&amp;IF(AND(INDEX(職員マスタ!$K$6:$K$405,$AP1745)&lt;&gt;"",N($W1745)&gt;0,INDEX(職員マスタ!$K$6:$K$405,$AP1745)&lt;&gt;$W1745),"標準報酬月額が申請書と相違（台帳"&amp;TEXT(INDEX(職員マスタ!$K$6:$K$405,$AP1745),"#,##0")&amp;"円／申請書"&amp;TEXT($W1745,"#,##0")&amp;"円）／","")&amp;IF(AND(INDEX(職員マスタ!$F$6:$F$405,$AP1745)&lt;&gt;"",$AQ1745&lt;&gt;"",INDEX(職員マスタ!$F$6:$F$405,$AP1745)&lt;$AQ1745),"対象月に子が2歳到達済／","")&amp;IF(AND($H1745&lt;&gt;"",INDEX(職員マスタ!$B$6:$B$405,$AP1745)&lt;&gt;"",SUBSTITUTE(SUBSTITUTE($H1745," ","")," ","")&lt;&gt;SUBSTITUTE(SUBSTITUTE(INDEX(職員マスタ!$B$6:$B$405,$AP1745)," ","")," ","")),"氏名がマスタと相違／","")&amp;IF(AND($Q1745&lt;&gt;"",INDEX(職員マスタ!$E$6:$E$405,$AP1745)&lt;&gt;"",$Q1745&lt;&gt;INDEX(職員マスタ!$E$6:$E$405,$AP1745)),"子の生年月日がマスタと相違／","")&amp;IF(AND($L1745&lt;&gt;"",INDEX(職員マスタ!$G$6:$G$405,$AP1745)&lt;&gt;"",$L1745&lt;&gt;INDEX(職員マスタ!$G$6:$G$405,$AP1745)),"時短開始日がマスタと相違／","")&amp;IF(AND($M1745&lt;&gt;"",INDEX(職員マスタ!$H$6:$H$405,$AP1745)&lt;&gt;"",$M1745&lt;&gt;INDEX(職員マスタ!$H$6:$H$405,$AP1745)),"時短終了日がマスタと相違／","")))&amp;IF(AND($B1745&lt;&gt;"",$E1745=""),"報酬額が未入力／","")&amp;IF(N($U1745)&gt;0,"申請書に入力エラーが残っています／","")&amp;IF(AND($B1745&lt;&gt;"",$AQ1745&lt;&gt;""),IF(COUNTIFS($B$6:$B$3005,$B1745,$C$6:$C$3005,$C1745,$D$6:$D$3005,$D1745)&gt;1,"同じ月の請求が重複しています／",""),"")&amp;IF(AND(N($E1745)&gt;0,$AB1745&lt;&gt;"",$AB1745&lt;&gt;"×",$AE1745=0,$AD1745=""),"計算額が下限以下のため不支給／",""))</f>
        <v/>
      </c>
      <c r="AN1745" s="12" t="n"/>
      <c r="AO1745" s="14">
        <f>IF($AF1745="保留中",COUNTIF($AF$6:$AF1745,"保留中"),"")</f>
        <v/>
      </c>
      <c r="AP1745" s="14">
        <f>IF($AQ1745="","",IF(SUMPRODUCT(MAX((職員マスタ!$A$6:$A$405=$B1745)*(((職員マスタ!$G$6:$G$405="")+(職員マスタ!$G$6:$G$405&lt;=EOMONTH($AQ1745,0)))&gt;0)*(((職員マスタ!$H$6:$H$405="")+(職員マスタ!$H$6:$H$405&gt;=$AQ1745))&gt;0)*(ROW(職員マスタ!$A$6:$A$405)-5)))&gt;0,SUMPRODUCT(MAX((職員マスタ!$A$6:$A$405=$B1745)*(((職員マスタ!$G$6:$G$405="")+(職員マスタ!$G$6:$G$405&lt;=EOMONTH($AQ1745,0)))&gt;0)*(((職員マスタ!$H$6:$H$405="")+(職員マスタ!$H$6:$H$405&gt;=$AQ1745))&gt;0)*(ROW(職員マスタ!$A$6:$A$405)-5))),IFERROR(MATCH($B1745,職員マスタ!$A$6:$A$405,0),"")))</f>
        <v/>
      </c>
      <c r="AQ1745" s="16">
        <f>IF(OR($B1745="",$C1745="",$D1745=""),"",DATE($C1745+2018,$D1745,1))</f>
        <v/>
      </c>
    </row>
    <row r="1746">
      <c r="A1746" s="11" t="n"/>
      <c r="B1746" s="12" t="n"/>
      <c r="C1746" s="12" t="n"/>
      <c r="D1746" s="12" t="n"/>
      <c r="E1746" s="13" t="n"/>
      <c r="F1746" s="12" t="n"/>
      <c r="G1746" s="13" t="n"/>
      <c r="H1746" s="12" t="n"/>
      <c r="I1746" s="12" t="n"/>
      <c r="J1746" s="12" t="n"/>
      <c r="K1746" s="12" t="n"/>
      <c r="L1746" s="11" t="n"/>
      <c r="M1746" s="11" t="n"/>
      <c r="N1746" s="11" t="n"/>
      <c r="O1746" s="11" t="n"/>
      <c r="P1746" s="12" t="n"/>
      <c r="Q1746" s="11" t="n"/>
      <c r="R1746" s="12" t="n"/>
      <c r="S1746" s="11" t="n"/>
      <c r="T1746" s="12" t="n"/>
      <c r="U1746" s="12" t="n"/>
      <c r="V1746" s="12" t="n"/>
      <c r="W1746" s="13" t="n"/>
      <c r="X1746" s="14">
        <f>IF($AP1746="",IF($B1746="","",$H1746),IF(INDEX(職員マスタ!$B$6:$B$405,$AP1746)="",$H1746,INDEX(職員マスタ!$B$6:$B$405,$AP1746)))</f>
        <v/>
      </c>
      <c r="Y1746" s="14">
        <f>IF($AP1746="",IF($B1746="","",$R1746),IF(INDEX(職員マスタ!$C$6:$C$405,$AP1746)="",$R1746,INDEX(職員マスタ!$C$6:$C$405,$AP1746)))</f>
        <v/>
      </c>
      <c r="Z1746" s="14">
        <f>IF($AQ1746="","","R"&amp;$C1746&amp;"."&amp;$D1746)</f>
        <v/>
      </c>
      <c r="AA1746" s="15">
        <f>IF(IF($AP1746="",FALSE,INDEX(職員マスタ!$K$6:$K$405,$AP1746)&lt;&gt;""),INDEX(職員マスタ!$K$6:$K$405,$AP1746),IF(N($W1746)&gt;0,$W1746,""))</f>
        <v/>
      </c>
      <c r="AB1746" s="14">
        <f>IF(OR($E1746="",$AA1746=""),"",IF($E1746&gt;=$AA1746,"×",IF($E1746&gt;=$AA1746*設定!$C$5,"△","○")))</f>
        <v/>
      </c>
      <c r="AC1746" s="15">
        <f>IF($AB1746="","",IF($AB1746="×",0,IF($AB1746="○",ROUNDDOWN($E1746*設定!$C$4,0),ROUNDDOWN($E1746*ROUND((9*$AA1746-9*$E1746)/(10*$E1746),4),0))))</f>
        <v/>
      </c>
      <c r="AD1746" s="13" t="n"/>
      <c r="AE1746" s="15">
        <f>IF($B1746="","",IF($AD1746&lt;&gt;"",$AD1746,IF($AC1746="","",IF($AC1746&lt;=設定!$C$3,0,$AC1746))))</f>
        <v/>
      </c>
      <c r="AF1746" s="14">
        <f>IF($B1746="","",IF(AND($AG1746&lt;&gt;"",$AI1746="",$AL1746=""),"保留中",IF($AL1746&lt;&gt;"",IF(N($AE1746)&gt;0,"支給済","不支給"),IF($AE1746="","要確認",IF($AE1746=0,"不支給","未処理")))))</f>
        <v/>
      </c>
      <c r="AG1746" s="12" t="n"/>
      <c r="AH1746" s="11" t="n"/>
      <c r="AI1746" s="11" t="n"/>
      <c r="AJ1746" s="11" t="n"/>
      <c r="AK1746" s="14">
        <f>IF(AND($AF1746="保留中",$AH1746&lt;&gt;""),TODAY()-$AH1746,"")</f>
        <v/>
      </c>
      <c r="AL1746" s="12" t="n"/>
      <c r="AM1746" s="14">
        <f>IF($B1746="","",IF($AQ1746="","対象年月が未入力／","")&amp;IF($B1746="","",IF($AP1746="","職員マスタに未登録の職員番号／",IF($AA1746="","標準報酬月額が未登録／","")&amp;IF(AND($AQ1746&lt;&gt;"",OR(AND(INDEX(職員マスタ!$G$6:$G$405,$AP1746)&lt;&gt;"",INDEX(職員マスタ!$G$6:$G$405,$AP1746)&gt;EOMONTH($AQ1746,0)),AND(INDEX(職員マスタ!$H$6:$H$405,$AP1746)&lt;&gt;"",INDEX(職員マスタ!$H$6:$H$405,$AP1746)&lt;$AQ1746))),"対象月が時短期間外／","")&amp;IF(AND(INDEX(職員マスタ!$K$6:$K$405,$AP1746)&lt;&gt;"",N($W1746)&gt;0,INDEX(職員マスタ!$K$6:$K$405,$AP1746)&lt;&gt;$W1746),"標準報酬月額が申請書と相違（台帳"&amp;TEXT(INDEX(職員マスタ!$K$6:$K$405,$AP1746),"#,##0")&amp;"円／申請書"&amp;TEXT($W1746,"#,##0")&amp;"円）／","")&amp;IF(AND(INDEX(職員マスタ!$F$6:$F$405,$AP1746)&lt;&gt;"",$AQ1746&lt;&gt;"",INDEX(職員マスタ!$F$6:$F$405,$AP1746)&lt;$AQ1746),"対象月に子が2歳到達済／","")&amp;IF(AND($H1746&lt;&gt;"",INDEX(職員マスタ!$B$6:$B$405,$AP1746)&lt;&gt;"",SUBSTITUTE(SUBSTITUTE($H1746," ","")," ","")&lt;&gt;SUBSTITUTE(SUBSTITUTE(INDEX(職員マスタ!$B$6:$B$405,$AP1746)," ","")," ","")),"氏名がマスタと相違／","")&amp;IF(AND($Q1746&lt;&gt;"",INDEX(職員マスタ!$E$6:$E$405,$AP1746)&lt;&gt;"",$Q1746&lt;&gt;INDEX(職員マスタ!$E$6:$E$405,$AP1746)),"子の生年月日がマスタと相違／","")&amp;IF(AND($L1746&lt;&gt;"",INDEX(職員マスタ!$G$6:$G$405,$AP1746)&lt;&gt;"",$L1746&lt;&gt;INDEX(職員マスタ!$G$6:$G$405,$AP1746)),"時短開始日がマスタと相違／","")&amp;IF(AND($M1746&lt;&gt;"",INDEX(職員マスタ!$H$6:$H$405,$AP1746)&lt;&gt;"",$M1746&lt;&gt;INDEX(職員マスタ!$H$6:$H$405,$AP1746)),"時短終了日がマスタと相違／","")))&amp;IF(AND($B1746&lt;&gt;"",$E1746=""),"報酬額が未入力／","")&amp;IF(N($U1746)&gt;0,"申請書に入力エラーが残っています／","")&amp;IF(AND($B1746&lt;&gt;"",$AQ1746&lt;&gt;""),IF(COUNTIFS($B$6:$B$3005,$B1746,$C$6:$C$3005,$C1746,$D$6:$D$3005,$D1746)&gt;1,"同じ月の請求が重複しています／",""),"")&amp;IF(AND(N($E1746)&gt;0,$AB1746&lt;&gt;"",$AB1746&lt;&gt;"×",$AE1746=0,$AD1746=""),"計算額が下限以下のため不支給／",""))</f>
        <v/>
      </c>
      <c r="AN1746" s="12" t="n"/>
      <c r="AO1746" s="14">
        <f>IF($AF1746="保留中",COUNTIF($AF$6:$AF1746,"保留中"),"")</f>
        <v/>
      </c>
      <c r="AP1746" s="14">
        <f>IF($AQ1746="","",IF(SUMPRODUCT(MAX((職員マスタ!$A$6:$A$405=$B1746)*(((職員マスタ!$G$6:$G$405="")+(職員マスタ!$G$6:$G$405&lt;=EOMONTH($AQ1746,0)))&gt;0)*(((職員マスタ!$H$6:$H$405="")+(職員マスタ!$H$6:$H$405&gt;=$AQ1746))&gt;0)*(ROW(職員マスタ!$A$6:$A$405)-5)))&gt;0,SUMPRODUCT(MAX((職員マスタ!$A$6:$A$405=$B1746)*(((職員マスタ!$G$6:$G$405="")+(職員マスタ!$G$6:$G$405&lt;=EOMONTH($AQ1746,0)))&gt;0)*(((職員マスタ!$H$6:$H$405="")+(職員マスタ!$H$6:$H$405&gt;=$AQ1746))&gt;0)*(ROW(職員マスタ!$A$6:$A$405)-5))),IFERROR(MATCH($B1746,職員マスタ!$A$6:$A$405,0),"")))</f>
        <v/>
      </c>
      <c r="AQ1746" s="16">
        <f>IF(OR($B1746="",$C1746="",$D1746=""),"",DATE($C1746+2018,$D1746,1))</f>
        <v/>
      </c>
    </row>
    <row r="1747">
      <c r="A1747" s="11" t="n"/>
      <c r="B1747" s="12" t="n"/>
      <c r="C1747" s="12" t="n"/>
      <c r="D1747" s="12" t="n"/>
      <c r="E1747" s="13" t="n"/>
      <c r="F1747" s="12" t="n"/>
      <c r="G1747" s="13" t="n"/>
      <c r="H1747" s="12" t="n"/>
      <c r="I1747" s="12" t="n"/>
      <c r="J1747" s="12" t="n"/>
      <c r="K1747" s="12" t="n"/>
      <c r="L1747" s="11" t="n"/>
      <c r="M1747" s="11" t="n"/>
      <c r="N1747" s="11" t="n"/>
      <c r="O1747" s="11" t="n"/>
      <c r="P1747" s="12" t="n"/>
      <c r="Q1747" s="11" t="n"/>
      <c r="R1747" s="12" t="n"/>
      <c r="S1747" s="11" t="n"/>
      <c r="T1747" s="12" t="n"/>
      <c r="U1747" s="12" t="n"/>
      <c r="V1747" s="12" t="n"/>
      <c r="W1747" s="13" t="n"/>
      <c r="X1747" s="14">
        <f>IF($AP1747="",IF($B1747="","",$H1747),IF(INDEX(職員マスタ!$B$6:$B$405,$AP1747)="",$H1747,INDEX(職員マスタ!$B$6:$B$405,$AP1747)))</f>
        <v/>
      </c>
      <c r="Y1747" s="14">
        <f>IF($AP1747="",IF($B1747="","",$R1747),IF(INDEX(職員マスタ!$C$6:$C$405,$AP1747)="",$R1747,INDEX(職員マスタ!$C$6:$C$405,$AP1747)))</f>
        <v/>
      </c>
      <c r="Z1747" s="14">
        <f>IF($AQ1747="","","R"&amp;$C1747&amp;"."&amp;$D1747)</f>
        <v/>
      </c>
      <c r="AA1747" s="15">
        <f>IF(IF($AP1747="",FALSE,INDEX(職員マスタ!$K$6:$K$405,$AP1747)&lt;&gt;""),INDEX(職員マスタ!$K$6:$K$405,$AP1747),IF(N($W1747)&gt;0,$W1747,""))</f>
        <v/>
      </c>
      <c r="AB1747" s="14">
        <f>IF(OR($E1747="",$AA1747=""),"",IF($E1747&gt;=$AA1747,"×",IF($E1747&gt;=$AA1747*設定!$C$5,"△","○")))</f>
        <v/>
      </c>
      <c r="AC1747" s="15">
        <f>IF($AB1747="","",IF($AB1747="×",0,IF($AB1747="○",ROUNDDOWN($E1747*設定!$C$4,0),ROUNDDOWN($E1747*ROUND((9*$AA1747-9*$E1747)/(10*$E1747),4),0))))</f>
        <v/>
      </c>
      <c r="AD1747" s="13" t="n"/>
      <c r="AE1747" s="15">
        <f>IF($B1747="","",IF($AD1747&lt;&gt;"",$AD1747,IF($AC1747="","",IF($AC1747&lt;=設定!$C$3,0,$AC1747))))</f>
        <v/>
      </c>
      <c r="AF1747" s="14">
        <f>IF($B1747="","",IF(AND($AG1747&lt;&gt;"",$AI1747="",$AL1747=""),"保留中",IF($AL1747&lt;&gt;"",IF(N($AE1747)&gt;0,"支給済","不支給"),IF($AE1747="","要確認",IF($AE1747=0,"不支給","未処理")))))</f>
        <v/>
      </c>
      <c r="AG1747" s="12" t="n"/>
      <c r="AH1747" s="11" t="n"/>
      <c r="AI1747" s="11" t="n"/>
      <c r="AJ1747" s="11" t="n"/>
      <c r="AK1747" s="14">
        <f>IF(AND($AF1747="保留中",$AH1747&lt;&gt;""),TODAY()-$AH1747,"")</f>
        <v/>
      </c>
      <c r="AL1747" s="12" t="n"/>
      <c r="AM1747" s="14">
        <f>IF($B1747="","",IF($AQ1747="","対象年月が未入力／","")&amp;IF($B1747="","",IF($AP1747="","職員マスタに未登録の職員番号／",IF($AA1747="","標準報酬月額が未登録／","")&amp;IF(AND($AQ1747&lt;&gt;"",OR(AND(INDEX(職員マスタ!$G$6:$G$405,$AP1747)&lt;&gt;"",INDEX(職員マスタ!$G$6:$G$405,$AP1747)&gt;EOMONTH($AQ1747,0)),AND(INDEX(職員マスタ!$H$6:$H$405,$AP1747)&lt;&gt;"",INDEX(職員マスタ!$H$6:$H$405,$AP1747)&lt;$AQ1747))),"対象月が時短期間外／","")&amp;IF(AND(INDEX(職員マスタ!$K$6:$K$405,$AP1747)&lt;&gt;"",N($W1747)&gt;0,INDEX(職員マスタ!$K$6:$K$405,$AP1747)&lt;&gt;$W1747),"標準報酬月額が申請書と相違（台帳"&amp;TEXT(INDEX(職員マスタ!$K$6:$K$405,$AP1747),"#,##0")&amp;"円／申請書"&amp;TEXT($W1747,"#,##0")&amp;"円）／","")&amp;IF(AND(INDEX(職員マスタ!$F$6:$F$405,$AP1747)&lt;&gt;"",$AQ1747&lt;&gt;"",INDEX(職員マスタ!$F$6:$F$405,$AP1747)&lt;$AQ1747),"対象月に子が2歳到達済／","")&amp;IF(AND($H1747&lt;&gt;"",INDEX(職員マスタ!$B$6:$B$405,$AP1747)&lt;&gt;"",SUBSTITUTE(SUBSTITUTE($H1747," ","")," ","")&lt;&gt;SUBSTITUTE(SUBSTITUTE(INDEX(職員マスタ!$B$6:$B$405,$AP1747)," ","")," ","")),"氏名がマスタと相違／","")&amp;IF(AND($Q1747&lt;&gt;"",INDEX(職員マスタ!$E$6:$E$405,$AP1747)&lt;&gt;"",$Q1747&lt;&gt;INDEX(職員マスタ!$E$6:$E$405,$AP1747)),"子の生年月日がマスタと相違／","")&amp;IF(AND($L1747&lt;&gt;"",INDEX(職員マスタ!$G$6:$G$405,$AP1747)&lt;&gt;"",$L1747&lt;&gt;INDEX(職員マスタ!$G$6:$G$405,$AP1747)),"時短開始日がマスタと相違／","")&amp;IF(AND($M1747&lt;&gt;"",INDEX(職員マスタ!$H$6:$H$405,$AP1747)&lt;&gt;"",$M1747&lt;&gt;INDEX(職員マスタ!$H$6:$H$405,$AP1747)),"時短終了日がマスタと相違／","")))&amp;IF(AND($B1747&lt;&gt;"",$E1747=""),"報酬額が未入力／","")&amp;IF(N($U1747)&gt;0,"申請書に入力エラーが残っています／","")&amp;IF(AND($B1747&lt;&gt;"",$AQ1747&lt;&gt;""),IF(COUNTIFS($B$6:$B$3005,$B1747,$C$6:$C$3005,$C1747,$D$6:$D$3005,$D1747)&gt;1,"同じ月の請求が重複しています／",""),"")&amp;IF(AND(N($E1747)&gt;0,$AB1747&lt;&gt;"",$AB1747&lt;&gt;"×",$AE1747=0,$AD1747=""),"計算額が下限以下のため不支給／",""))</f>
        <v/>
      </c>
      <c r="AN1747" s="12" t="n"/>
      <c r="AO1747" s="14">
        <f>IF($AF1747="保留中",COUNTIF($AF$6:$AF1747,"保留中"),"")</f>
        <v/>
      </c>
      <c r="AP1747" s="14">
        <f>IF($AQ1747="","",IF(SUMPRODUCT(MAX((職員マスタ!$A$6:$A$405=$B1747)*(((職員マスタ!$G$6:$G$405="")+(職員マスタ!$G$6:$G$405&lt;=EOMONTH($AQ1747,0)))&gt;0)*(((職員マスタ!$H$6:$H$405="")+(職員マスタ!$H$6:$H$405&gt;=$AQ1747))&gt;0)*(ROW(職員マスタ!$A$6:$A$405)-5)))&gt;0,SUMPRODUCT(MAX((職員マスタ!$A$6:$A$405=$B1747)*(((職員マスタ!$G$6:$G$405="")+(職員マスタ!$G$6:$G$405&lt;=EOMONTH($AQ1747,0)))&gt;0)*(((職員マスタ!$H$6:$H$405="")+(職員マスタ!$H$6:$H$405&gt;=$AQ1747))&gt;0)*(ROW(職員マスタ!$A$6:$A$405)-5))),IFERROR(MATCH($B1747,職員マスタ!$A$6:$A$405,0),"")))</f>
        <v/>
      </c>
      <c r="AQ1747" s="16">
        <f>IF(OR($B1747="",$C1747="",$D1747=""),"",DATE($C1747+2018,$D1747,1))</f>
        <v/>
      </c>
    </row>
    <row r="1748">
      <c r="A1748" s="11" t="n"/>
      <c r="B1748" s="12" t="n"/>
      <c r="C1748" s="12" t="n"/>
      <c r="D1748" s="12" t="n"/>
      <c r="E1748" s="13" t="n"/>
      <c r="F1748" s="12" t="n"/>
      <c r="G1748" s="13" t="n"/>
      <c r="H1748" s="12" t="n"/>
      <c r="I1748" s="12" t="n"/>
      <c r="J1748" s="12" t="n"/>
      <c r="K1748" s="12" t="n"/>
      <c r="L1748" s="11" t="n"/>
      <c r="M1748" s="11" t="n"/>
      <c r="N1748" s="11" t="n"/>
      <c r="O1748" s="11" t="n"/>
      <c r="P1748" s="12" t="n"/>
      <c r="Q1748" s="11" t="n"/>
      <c r="R1748" s="12" t="n"/>
      <c r="S1748" s="11" t="n"/>
      <c r="T1748" s="12" t="n"/>
      <c r="U1748" s="12" t="n"/>
      <c r="V1748" s="12" t="n"/>
      <c r="W1748" s="13" t="n"/>
      <c r="X1748" s="14">
        <f>IF($AP1748="",IF($B1748="","",$H1748),IF(INDEX(職員マスタ!$B$6:$B$405,$AP1748)="",$H1748,INDEX(職員マスタ!$B$6:$B$405,$AP1748)))</f>
        <v/>
      </c>
      <c r="Y1748" s="14">
        <f>IF($AP1748="",IF($B1748="","",$R1748),IF(INDEX(職員マスタ!$C$6:$C$405,$AP1748)="",$R1748,INDEX(職員マスタ!$C$6:$C$405,$AP1748)))</f>
        <v/>
      </c>
      <c r="Z1748" s="14">
        <f>IF($AQ1748="","","R"&amp;$C1748&amp;"."&amp;$D1748)</f>
        <v/>
      </c>
      <c r="AA1748" s="15">
        <f>IF(IF($AP1748="",FALSE,INDEX(職員マスタ!$K$6:$K$405,$AP1748)&lt;&gt;""),INDEX(職員マスタ!$K$6:$K$405,$AP1748),IF(N($W1748)&gt;0,$W1748,""))</f>
        <v/>
      </c>
      <c r="AB1748" s="14">
        <f>IF(OR($E1748="",$AA1748=""),"",IF($E1748&gt;=$AA1748,"×",IF($E1748&gt;=$AA1748*設定!$C$5,"△","○")))</f>
        <v/>
      </c>
      <c r="AC1748" s="15">
        <f>IF($AB1748="","",IF($AB1748="×",0,IF($AB1748="○",ROUNDDOWN($E1748*設定!$C$4,0),ROUNDDOWN($E1748*ROUND((9*$AA1748-9*$E1748)/(10*$E1748),4),0))))</f>
        <v/>
      </c>
      <c r="AD1748" s="13" t="n"/>
      <c r="AE1748" s="15">
        <f>IF($B1748="","",IF($AD1748&lt;&gt;"",$AD1748,IF($AC1748="","",IF($AC1748&lt;=設定!$C$3,0,$AC1748))))</f>
        <v/>
      </c>
      <c r="AF1748" s="14">
        <f>IF($B1748="","",IF(AND($AG1748&lt;&gt;"",$AI1748="",$AL1748=""),"保留中",IF($AL1748&lt;&gt;"",IF(N($AE1748)&gt;0,"支給済","不支給"),IF($AE1748="","要確認",IF($AE1748=0,"不支給","未処理")))))</f>
        <v/>
      </c>
      <c r="AG1748" s="12" t="n"/>
      <c r="AH1748" s="11" t="n"/>
      <c r="AI1748" s="11" t="n"/>
      <c r="AJ1748" s="11" t="n"/>
      <c r="AK1748" s="14">
        <f>IF(AND($AF1748="保留中",$AH1748&lt;&gt;""),TODAY()-$AH1748,"")</f>
        <v/>
      </c>
      <c r="AL1748" s="12" t="n"/>
      <c r="AM1748" s="14">
        <f>IF($B1748="","",IF($AQ1748="","対象年月が未入力／","")&amp;IF($B1748="","",IF($AP1748="","職員マスタに未登録の職員番号／",IF($AA1748="","標準報酬月額が未登録／","")&amp;IF(AND($AQ1748&lt;&gt;"",OR(AND(INDEX(職員マスタ!$G$6:$G$405,$AP1748)&lt;&gt;"",INDEX(職員マスタ!$G$6:$G$405,$AP1748)&gt;EOMONTH($AQ1748,0)),AND(INDEX(職員マスタ!$H$6:$H$405,$AP1748)&lt;&gt;"",INDEX(職員マスタ!$H$6:$H$405,$AP1748)&lt;$AQ1748))),"対象月が時短期間外／","")&amp;IF(AND(INDEX(職員マスタ!$K$6:$K$405,$AP1748)&lt;&gt;"",N($W1748)&gt;0,INDEX(職員マスタ!$K$6:$K$405,$AP1748)&lt;&gt;$W1748),"標準報酬月額が申請書と相違（台帳"&amp;TEXT(INDEX(職員マスタ!$K$6:$K$405,$AP1748),"#,##0")&amp;"円／申請書"&amp;TEXT($W1748,"#,##0")&amp;"円）／","")&amp;IF(AND(INDEX(職員マスタ!$F$6:$F$405,$AP1748)&lt;&gt;"",$AQ1748&lt;&gt;"",INDEX(職員マスタ!$F$6:$F$405,$AP1748)&lt;$AQ1748),"対象月に子が2歳到達済／","")&amp;IF(AND($H1748&lt;&gt;"",INDEX(職員マスタ!$B$6:$B$405,$AP1748)&lt;&gt;"",SUBSTITUTE(SUBSTITUTE($H1748," ","")," ","")&lt;&gt;SUBSTITUTE(SUBSTITUTE(INDEX(職員マスタ!$B$6:$B$405,$AP1748)," ","")," ","")),"氏名がマスタと相違／","")&amp;IF(AND($Q1748&lt;&gt;"",INDEX(職員マスタ!$E$6:$E$405,$AP1748)&lt;&gt;"",$Q1748&lt;&gt;INDEX(職員マスタ!$E$6:$E$405,$AP1748)),"子の生年月日がマスタと相違／","")&amp;IF(AND($L1748&lt;&gt;"",INDEX(職員マスタ!$G$6:$G$405,$AP1748)&lt;&gt;"",$L1748&lt;&gt;INDEX(職員マスタ!$G$6:$G$405,$AP1748)),"時短開始日がマスタと相違／","")&amp;IF(AND($M1748&lt;&gt;"",INDEX(職員マスタ!$H$6:$H$405,$AP1748)&lt;&gt;"",$M1748&lt;&gt;INDEX(職員マスタ!$H$6:$H$405,$AP1748)),"時短終了日がマスタと相違／","")))&amp;IF(AND($B1748&lt;&gt;"",$E1748=""),"報酬額が未入力／","")&amp;IF(N($U1748)&gt;0,"申請書に入力エラーが残っています／","")&amp;IF(AND($B1748&lt;&gt;"",$AQ1748&lt;&gt;""),IF(COUNTIFS($B$6:$B$3005,$B1748,$C$6:$C$3005,$C1748,$D$6:$D$3005,$D1748)&gt;1,"同じ月の請求が重複しています／",""),"")&amp;IF(AND(N($E1748)&gt;0,$AB1748&lt;&gt;"",$AB1748&lt;&gt;"×",$AE1748=0,$AD1748=""),"計算額が下限以下のため不支給／",""))</f>
        <v/>
      </c>
      <c r="AN1748" s="12" t="n"/>
      <c r="AO1748" s="14">
        <f>IF($AF1748="保留中",COUNTIF($AF$6:$AF1748,"保留中"),"")</f>
        <v/>
      </c>
      <c r="AP1748" s="14">
        <f>IF($AQ1748="","",IF(SUMPRODUCT(MAX((職員マスタ!$A$6:$A$405=$B1748)*(((職員マスタ!$G$6:$G$405="")+(職員マスタ!$G$6:$G$405&lt;=EOMONTH($AQ1748,0)))&gt;0)*(((職員マスタ!$H$6:$H$405="")+(職員マスタ!$H$6:$H$405&gt;=$AQ1748))&gt;0)*(ROW(職員マスタ!$A$6:$A$405)-5)))&gt;0,SUMPRODUCT(MAX((職員マスタ!$A$6:$A$405=$B1748)*(((職員マスタ!$G$6:$G$405="")+(職員マスタ!$G$6:$G$405&lt;=EOMONTH($AQ1748,0)))&gt;0)*(((職員マスタ!$H$6:$H$405="")+(職員マスタ!$H$6:$H$405&gt;=$AQ1748))&gt;0)*(ROW(職員マスタ!$A$6:$A$405)-5))),IFERROR(MATCH($B1748,職員マスタ!$A$6:$A$405,0),"")))</f>
        <v/>
      </c>
      <c r="AQ1748" s="16">
        <f>IF(OR($B1748="",$C1748="",$D1748=""),"",DATE($C1748+2018,$D1748,1))</f>
        <v/>
      </c>
    </row>
    <row r="1749">
      <c r="A1749" s="11" t="n"/>
      <c r="B1749" s="12" t="n"/>
      <c r="C1749" s="12" t="n"/>
      <c r="D1749" s="12" t="n"/>
      <c r="E1749" s="13" t="n"/>
      <c r="F1749" s="12" t="n"/>
      <c r="G1749" s="13" t="n"/>
      <c r="H1749" s="12" t="n"/>
      <c r="I1749" s="12" t="n"/>
      <c r="J1749" s="12" t="n"/>
      <c r="K1749" s="12" t="n"/>
      <c r="L1749" s="11" t="n"/>
      <c r="M1749" s="11" t="n"/>
      <c r="N1749" s="11" t="n"/>
      <c r="O1749" s="11" t="n"/>
      <c r="P1749" s="12" t="n"/>
      <c r="Q1749" s="11" t="n"/>
      <c r="R1749" s="12" t="n"/>
      <c r="S1749" s="11" t="n"/>
      <c r="T1749" s="12" t="n"/>
      <c r="U1749" s="12" t="n"/>
      <c r="V1749" s="12" t="n"/>
      <c r="W1749" s="13" t="n"/>
      <c r="X1749" s="14">
        <f>IF($AP1749="",IF($B1749="","",$H1749),IF(INDEX(職員マスタ!$B$6:$B$405,$AP1749)="",$H1749,INDEX(職員マスタ!$B$6:$B$405,$AP1749)))</f>
        <v/>
      </c>
      <c r="Y1749" s="14">
        <f>IF($AP1749="",IF($B1749="","",$R1749),IF(INDEX(職員マスタ!$C$6:$C$405,$AP1749)="",$R1749,INDEX(職員マスタ!$C$6:$C$405,$AP1749)))</f>
        <v/>
      </c>
      <c r="Z1749" s="14">
        <f>IF($AQ1749="","","R"&amp;$C1749&amp;"."&amp;$D1749)</f>
        <v/>
      </c>
      <c r="AA1749" s="15">
        <f>IF(IF($AP1749="",FALSE,INDEX(職員マスタ!$K$6:$K$405,$AP1749)&lt;&gt;""),INDEX(職員マスタ!$K$6:$K$405,$AP1749),IF(N($W1749)&gt;0,$W1749,""))</f>
        <v/>
      </c>
      <c r="AB1749" s="14">
        <f>IF(OR($E1749="",$AA1749=""),"",IF($E1749&gt;=$AA1749,"×",IF($E1749&gt;=$AA1749*設定!$C$5,"△","○")))</f>
        <v/>
      </c>
      <c r="AC1749" s="15">
        <f>IF($AB1749="","",IF($AB1749="×",0,IF($AB1749="○",ROUNDDOWN($E1749*設定!$C$4,0),ROUNDDOWN($E1749*ROUND((9*$AA1749-9*$E1749)/(10*$E1749),4),0))))</f>
        <v/>
      </c>
      <c r="AD1749" s="13" t="n"/>
      <c r="AE1749" s="15">
        <f>IF($B1749="","",IF($AD1749&lt;&gt;"",$AD1749,IF($AC1749="","",IF($AC1749&lt;=設定!$C$3,0,$AC1749))))</f>
        <v/>
      </c>
      <c r="AF1749" s="14">
        <f>IF($B1749="","",IF(AND($AG1749&lt;&gt;"",$AI1749="",$AL1749=""),"保留中",IF($AL1749&lt;&gt;"",IF(N($AE1749)&gt;0,"支給済","不支給"),IF($AE1749="","要確認",IF($AE1749=0,"不支給","未処理")))))</f>
        <v/>
      </c>
      <c r="AG1749" s="12" t="n"/>
      <c r="AH1749" s="11" t="n"/>
      <c r="AI1749" s="11" t="n"/>
      <c r="AJ1749" s="11" t="n"/>
      <c r="AK1749" s="14">
        <f>IF(AND($AF1749="保留中",$AH1749&lt;&gt;""),TODAY()-$AH1749,"")</f>
        <v/>
      </c>
      <c r="AL1749" s="12" t="n"/>
      <c r="AM1749" s="14">
        <f>IF($B1749="","",IF($AQ1749="","対象年月が未入力／","")&amp;IF($B1749="","",IF($AP1749="","職員マスタに未登録の職員番号／",IF($AA1749="","標準報酬月額が未登録／","")&amp;IF(AND($AQ1749&lt;&gt;"",OR(AND(INDEX(職員マスタ!$G$6:$G$405,$AP1749)&lt;&gt;"",INDEX(職員マスタ!$G$6:$G$405,$AP1749)&gt;EOMONTH($AQ1749,0)),AND(INDEX(職員マスタ!$H$6:$H$405,$AP1749)&lt;&gt;"",INDEX(職員マスタ!$H$6:$H$405,$AP1749)&lt;$AQ1749))),"対象月が時短期間外／","")&amp;IF(AND(INDEX(職員マスタ!$K$6:$K$405,$AP1749)&lt;&gt;"",N($W1749)&gt;0,INDEX(職員マスタ!$K$6:$K$405,$AP1749)&lt;&gt;$W1749),"標準報酬月額が申請書と相違（台帳"&amp;TEXT(INDEX(職員マスタ!$K$6:$K$405,$AP1749),"#,##0")&amp;"円／申請書"&amp;TEXT($W1749,"#,##0")&amp;"円）／","")&amp;IF(AND(INDEX(職員マスタ!$F$6:$F$405,$AP1749)&lt;&gt;"",$AQ1749&lt;&gt;"",INDEX(職員マスタ!$F$6:$F$405,$AP1749)&lt;$AQ1749),"対象月に子が2歳到達済／","")&amp;IF(AND($H1749&lt;&gt;"",INDEX(職員マスタ!$B$6:$B$405,$AP1749)&lt;&gt;"",SUBSTITUTE(SUBSTITUTE($H1749," ","")," ","")&lt;&gt;SUBSTITUTE(SUBSTITUTE(INDEX(職員マスタ!$B$6:$B$405,$AP1749)," ","")," ","")),"氏名がマスタと相違／","")&amp;IF(AND($Q1749&lt;&gt;"",INDEX(職員マスタ!$E$6:$E$405,$AP1749)&lt;&gt;"",$Q1749&lt;&gt;INDEX(職員マスタ!$E$6:$E$405,$AP1749)),"子の生年月日がマスタと相違／","")&amp;IF(AND($L1749&lt;&gt;"",INDEX(職員マスタ!$G$6:$G$405,$AP1749)&lt;&gt;"",$L1749&lt;&gt;INDEX(職員マスタ!$G$6:$G$405,$AP1749)),"時短開始日がマスタと相違／","")&amp;IF(AND($M1749&lt;&gt;"",INDEX(職員マスタ!$H$6:$H$405,$AP1749)&lt;&gt;"",$M1749&lt;&gt;INDEX(職員マスタ!$H$6:$H$405,$AP1749)),"時短終了日がマスタと相違／","")))&amp;IF(AND($B1749&lt;&gt;"",$E1749=""),"報酬額が未入力／","")&amp;IF(N($U1749)&gt;0,"申請書に入力エラーが残っています／","")&amp;IF(AND($B1749&lt;&gt;"",$AQ1749&lt;&gt;""),IF(COUNTIFS($B$6:$B$3005,$B1749,$C$6:$C$3005,$C1749,$D$6:$D$3005,$D1749)&gt;1,"同じ月の請求が重複しています／",""),"")&amp;IF(AND(N($E1749)&gt;0,$AB1749&lt;&gt;"",$AB1749&lt;&gt;"×",$AE1749=0,$AD1749=""),"計算額が下限以下のため不支給／",""))</f>
        <v/>
      </c>
      <c r="AN1749" s="12" t="n"/>
      <c r="AO1749" s="14">
        <f>IF($AF1749="保留中",COUNTIF($AF$6:$AF1749,"保留中"),"")</f>
        <v/>
      </c>
      <c r="AP1749" s="14">
        <f>IF($AQ1749="","",IF(SUMPRODUCT(MAX((職員マスタ!$A$6:$A$405=$B1749)*(((職員マスタ!$G$6:$G$405="")+(職員マスタ!$G$6:$G$405&lt;=EOMONTH($AQ1749,0)))&gt;0)*(((職員マスタ!$H$6:$H$405="")+(職員マスタ!$H$6:$H$405&gt;=$AQ1749))&gt;0)*(ROW(職員マスタ!$A$6:$A$405)-5)))&gt;0,SUMPRODUCT(MAX((職員マスタ!$A$6:$A$405=$B1749)*(((職員マスタ!$G$6:$G$405="")+(職員マスタ!$G$6:$G$405&lt;=EOMONTH($AQ1749,0)))&gt;0)*(((職員マスタ!$H$6:$H$405="")+(職員マスタ!$H$6:$H$405&gt;=$AQ1749))&gt;0)*(ROW(職員マスタ!$A$6:$A$405)-5))),IFERROR(MATCH($B1749,職員マスタ!$A$6:$A$405,0),"")))</f>
        <v/>
      </c>
      <c r="AQ1749" s="16">
        <f>IF(OR($B1749="",$C1749="",$D1749=""),"",DATE($C1749+2018,$D1749,1))</f>
        <v/>
      </c>
    </row>
    <row r="1750">
      <c r="A1750" s="11" t="n"/>
      <c r="B1750" s="12" t="n"/>
      <c r="C1750" s="12" t="n"/>
      <c r="D1750" s="12" t="n"/>
      <c r="E1750" s="13" t="n"/>
      <c r="F1750" s="12" t="n"/>
      <c r="G1750" s="13" t="n"/>
      <c r="H1750" s="12" t="n"/>
      <c r="I1750" s="12" t="n"/>
      <c r="J1750" s="12" t="n"/>
      <c r="K1750" s="12" t="n"/>
      <c r="L1750" s="11" t="n"/>
      <c r="M1750" s="11" t="n"/>
      <c r="N1750" s="11" t="n"/>
      <c r="O1750" s="11" t="n"/>
      <c r="P1750" s="12" t="n"/>
      <c r="Q1750" s="11" t="n"/>
      <c r="R1750" s="12" t="n"/>
      <c r="S1750" s="11" t="n"/>
      <c r="T1750" s="12" t="n"/>
      <c r="U1750" s="12" t="n"/>
      <c r="V1750" s="12" t="n"/>
      <c r="W1750" s="13" t="n"/>
      <c r="X1750" s="14">
        <f>IF($AP1750="",IF($B1750="","",$H1750),IF(INDEX(職員マスタ!$B$6:$B$405,$AP1750)="",$H1750,INDEX(職員マスタ!$B$6:$B$405,$AP1750)))</f>
        <v/>
      </c>
      <c r="Y1750" s="14">
        <f>IF($AP1750="",IF($B1750="","",$R1750),IF(INDEX(職員マスタ!$C$6:$C$405,$AP1750)="",$R1750,INDEX(職員マスタ!$C$6:$C$405,$AP1750)))</f>
        <v/>
      </c>
      <c r="Z1750" s="14">
        <f>IF($AQ1750="","","R"&amp;$C1750&amp;"."&amp;$D1750)</f>
        <v/>
      </c>
      <c r="AA1750" s="15">
        <f>IF(IF($AP1750="",FALSE,INDEX(職員マスタ!$K$6:$K$405,$AP1750)&lt;&gt;""),INDEX(職員マスタ!$K$6:$K$405,$AP1750),IF(N($W1750)&gt;0,$W1750,""))</f>
        <v/>
      </c>
      <c r="AB1750" s="14">
        <f>IF(OR($E1750="",$AA1750=""),"",IF($E1750&gt;=$AA1750,"×",IF($E1750&gt;=$AA1750*設定!$C$5,"△","○")))</f>
        <v/>
      </c>
      <c r="AC1750" s="15">
        <f>IF($AB1750="","",IF($AB1750="×",0,IF($AB1750="○",ROUNDDOWN($E1750*設定!$C$4,0),ROUNDDOWN($E1750*ROUND((9*$AA1750-9*$E1750)/(10*$E1750),4),0))))</f>
        <v/>
      </c>
      <c r="AD1750" s="13" t="n"/>
      <c r="AE1750" s="15">
        <f>IF($B1750="","",IF($AD1750&lt;&gt;"",$AD1750,IF($AC1750="","",IF($AC1750&lt;=設定!$C$3,0,$AC1750))))</f>
        <v/>
      </c>
      <c r="AF1750" s="14">
        <f>IF($B1750="","",IF(AND($AG1750&lt;&gt;"",$AI1750="",$AL1750=""),"保留中",IF($AL1750&lt;&gt;"",IF(N($AE1750)&gt;0,"支給済","不支給"),IF($AE1750="","要確認",IF($AE1750=0,"不支給","未処理")))))</f>
        <v/>
      </c>
      <c r="AG1750" s="12" t="n"/>
      <c r="AH1750" s="11" t="n"/>
      <c r="AI1750" s="11" t="n"/>
      <c r="AJ1750" s="11" t="n"/>
      <c r="AK1750" s="14">
        <f>IF(AND($AF1750="保留中",$AH1750&lt;&gt;""),TODAY()-$AH1750,"")</f>
        <v/>
      </c>
      <c r="AL1750" s="12" t="n"/>
      <c r="AM1750" s="14">
        <f>IF($B1750="","",IF($AQ1750="","対象年月が未入力／","")&amp;IF($B1750="","",IF($AP1750="","職員マスタに未登録の職員番号／",IF($AA1750="","標準報酬月額が未登録／","")&amp;IF(AND($AQ1750&lt;&gt;"",OR(AND(INDEX(職員マスタ!$G$6:$G$405,$AP1750)&lt;&gt;"",INDEX(職員マスタ!$G$6:$G$405,$AP1750)&gt;EOMONTH($AQ1750,0)),AND(INDEX(職員マスタ!$H$6:$H$405,$AP1750)&lt;&gt;"",INDEX(職員マスタ!$H$6:$H$405,$AP1750)&lt;$AQ1750))),"対象月が時短期間外／","")&amp;IF(AND(INDEX(職員マスタ!$K$6:$K$405,$AP1750)&lt;&gt;"",N($W1750)&gt;0,INDEX(職員マスタ!$K$6:$K$405,$AP1750)&lt;&gt;$W1750),"標準報酬月額が申請書と相違（台帳"&amp;TEXT(INDEX(職員マスタ!$K$6:$K$405,$AP1750),"#,##0")&amp;"円／申請書"&amp;TEXT($W1750,"#,##0")&amp;"円）／","")&amp;IF(AND(INDEX(職員マスタ!$F$6:$F$405,$AP1750)&lt;&gt;"",$AQ1750&lt;&gt;"",INDEX(職員マスタ!$F$6:$F$405,$AP1750)&lt;$AQ1750),"対象月に子が2歳到達済／","")&amp;IF(AND($H1750&lt;&gt;"",INDEX(職員マスタ!$B$6:$B$405,$AP1750)&lt;&gt;"",SUBSTITUTE(SUBSTITUTE($H1750," ","")," ","")&lt;&gt;SUBSTITUTE(SUBSTITUTE(INDEX(職員マスタ!$B$6:$B$405,$AP1750)," ","")," ","")),"氏名がマスタと相違／","")&amp;IF(AND($Q1750&lt;&gt;"",INDEX(職員マスタ!$E$6:$E$405,$AP1750)&lt;&gt;"",$Q1750&lt;&gt;INDEX(職員マスタ!$E$6:$E$405,$AP1750)),"子の生年月日がマスタと相違／","")&amp;IF(AND($L1750&lt;&gt;"",INDEX(職員マスタ!$G$6:$G$405,$AP1750)&lt;&gt;"",$L1750&lt;&gt;INDEX(職員マスタ!$G$6:$G$405,$AP1750)),"時短開始日がマスタと相違／","")&amp;IF(AND($M1750&lt;&gt;"",INDEX(職員マスタ!$H$6:$H$405,$AP1750)&lt;&gt;"",$M1750&lt;&gt;INDEX(職員マスタ!$H$6:$H$405,$AP1750)),"時短終了日がマスタと相違／","")))&amp;IF(AND($B1750&lt;&gt;"",$E1750=""),"報酬額が未入力／","")&amp;IF(N($U1750)&gt;0,"申請書に入力エラーが残っています／","")&amp;IF(AND($B1750&lt;&gt;"",$AQ1750&lt;&gt;""),IF(COUNTIFS($B$6:$B$3005,$B1750,$C$6:$C$3005,$C1750,$D$6:$D$3005,$D1750)&gt;1,"同じ月の請求が重複しています／",""),"")&amp;IF(AND(N($E1750)&gt;0,$AB1750&lt;&gt;"",$AB1750&lt;&gt;"×",$AE1750=0,$AD1750=""),"計算額が下限以下のため不支給／",""))</f>
        <v/>
      </c>
      <c r="AN1750" s="12" t="n"/>
      <c r="AO1750" s="14">
        <f>IF($AF1750="保留中",COUNTIF($AF$6:$AF1750,"保留中"),"")</f>
        <v/>
      </c>
      <c r="AP1750" s="14">
        <f>IF($AQ1750="","",IF(SUMPRODUCT(MAX((職員マスタ!$A$6:$A$405=$B1750)*(((職員マスタ!$G$6:$G$405="")+(職員マスタ!$G$6:$G$405&lt;=EOMONTH($AQ1750,0)))&gt;0)*(((職員マスタ!$H$6:$H$405="")+(職員マスタ!$H$6:$H$405&gt;=$AQ1750))&gt;0)*(ROW(職員マスタ!$A$6:$A$405)-5)))&gt;0,SUMPRODUCT(MAX((職員マスタ!$A$6:$A$405=$B1750)*(((職員マスタ!$G$6:$G$405="")+(職員マスタ!$G$6:$G$405&lt;=EOMONTH($AQ1750,0)))&gt;0)*(((職員マスタ!$H$6:$H$405="")+(職員マスタ!$H$6:$H$405&gt;=$AQ1750))&gt;0)*(ROW(職員マスタ!$A$6:$A$405)-5))),IFERROR(MATCH($B1750,職員マスタ!$A$6:$A$405,0),"")))</f>
        <v/>
      </c>
      <c r="AQ1750" s="16">
        <f>IF(OR($B1750="",$C1750="",$D1750=""),"",DATE($C1750+2018,$D1750,1))</f>
        <v/>
      </c>
    </row>
    <row r="1751">
      <c r="A1751" s="11" t="n"/>
      <c r="B1751" s="12" t="n"/>
      <c r="C1751" s="12" t="n"/>
      <c r="D1751" s="12" t="n"/>
      <c r="E1751" s="13" t="n"/>
      <c r="F1751" s="12" t="n"/>
      <c r="G1751" s="13" t="n"/>
      <c r="H1751" s="12" t="n"/>
      <c r="I1751" s="12" t="n"/>
      <c r="J1751" s="12" t="n"/>
      <c r="K1751" s="12" t="n"/>
      <c r="L1751" s="11" t="n"/>
      <c r="M1751" s="11" t="n"/>
      <c r="N1751" s="11" t="n"/>
      <c r="O1751" s="11" t="n"/>
      <c r="P1751" s="12" t="n"/>
      <c r="Q1751" s="11" t="n"/>
      <c r="R1751" s="12" t="n"/>
      <c r="S1751" s="11" t="n"/>
      <c r="T1751" s="12" t="n"/>
      <c r="U1751" s="12" t="n"/>
      <c r="V1751" s="12" t="n"/>
      <c r="W1751" s="13" t="n"/>
      <c r="X1751" s="14">
        <f>IF($AP1751="",IF($B1751="","",$H1751),IF(INDEX(職員マスタ!$B$6:$B$405,$AP1751)="",$H1751,INDEX(職員マスタ!$B$6:$B$405,$AP1751)))</f>
        <v/>
      </c>
      <c r="Y1751" s="14">
        <f>IF($AP1751="",IF($B1751="","",$R1751),IF(INDEX(職員マスタ!$C$6:$C$405,$AP1751)="",$R1751,INDEX(職員マスタ!$C$6:$C$405,$AP1751)))</f>
        <v/>
      </c>
      <c r="Z1751" s="14">
        <f>IF($AQ1751="","","R"&amp;$C1751&amp;"."&amp;$D1751)</f>
        <v/>
      </c>
      <c r="AA1751" s="15">
        <f>IF(IF($AP1751="",FALSE,INDEX(職員マスタ!$K$6:$K$405,$AP1751)&lt;&gt;""),INDEX(職員マスタ!$K$6:$K$405,$AP1751),IF(N($W1751)&gt;0,$W1751,""))</f>
        <v/>
      </c>
      <c r="AB1751" s="14">
        <f>IF(OR($E1751="",$AA1751=""),"",IF($E1751&gt;=$AA1751,"×",IF($E1751&gt;=$AA1751*設定!$C$5,"△","○")))</f>
        <v/>
      </c>
      <c r="AC1751" s="15">
        <f>IF($AB1751="","",IF($AB1751="×",0,IF($AB1751="○",ROUNDDOWN($E1751*設定!$C$4,0),ROUNDDOWN($E1751*ROUND((9*$AA1751-9*$E1751)/(10*$E1751),4),0))))</f>
        <v/>
      </c>
      <c r="AD1751" s="13" t="n"/>
      <c r="AE1751" s="15">
        <f>IF($B1751="","",IF($AD1751&lt;&gt;"",$AD1751,IF($AC1751="","",IF($AC1751&lt;=設定!$C$3,0,$AC1751))))</f>
        <v/>
      </c>
      <c r="AF1751" s="14">
        <f>IF($B1751="","",IF(AND($AG1751&lt;&gt;"",$AI1751="",$AL1751=""),"保留中",IF($AL1751&lt;&gt;"",IF(N($AE1751)&gt;0,"支給済","不支給"),IF($AE1751="","要確認",IF($AE1751=0,"不支給","未処理")))))</f>
        <v/>
      </c>
      <c r="AG1751" s="12" t="n"/>
      <c r="AH1751" s="11" t="n"/>
      <c r="AI1751" s="11" t="n"/>
      <c r="AJ1751" s="11" t="n"/>
      <c r="AK1751" s="14">
        <f>IF(AND($AF1751="保留中",$AH1751&lt;&gt;""),TODAY()-$AH1751,"")</f>
        <v/>
      </c>
      <c r="AL1751" s="12" t="n"/>
      <c r="AM1751" s="14">
        <f>IF($B1751="","",IF($AQ1751="","対象年月が未入力／","")&amp;IF($B1751="","",IF($AP1751="","職員マスタに未登録の職員番号／",IF($AA1751="","標準報酬月額が未登録／","")&amp;IF(AND($AQ1751&lt;&gt;"",OR(AND(INDEX(職員マスタ!$G$6:$G$405,$AP1751)&lt;&gt;"",INDEX(職員マスタ!$G$6:$G$405,$AP1751)&gt;EOMONTH($AQ1751,0)),AND(INDEX(職員マスタ!$H$6:$H$405,$AP1751)&lt;&gt;"",INDEX(職員マスタ!$H$6:$H$405,$AP1751)&lt;$AQ1751))),"対象月が時短期間外／","")&amp;IF(AND(INDEX(職員マスタ!$K$6:$K$405,$AP1751)&lt;&gt;"",N($W1751)&gt;0,INDEX(職員マスタ!$K$6:$K$405,$AP1751)&lt;&gt;$W1751),"標準報酬月額が申請書と相違（台帳"&amp;TEXT(INDEX(職員マスタ!$K$6:$K$405,$AP1751),"#,##0")&amp;"円／申請書"&amp;TEXT($W1751,"#,##0")&amp;"円）／","")&amp;IF(AND(INDEX(職員マスタ!$F$6:$F$405,$AP1751)&lt;&gt;"",$AQ1751&lt;&gt;"",INDEX(職員マスタ!$F$6:$F$405,$AP1751)&lt;$AQ1751),"対象月に子が2歳到達済／","")&amp;IF(AND($H1751&lt;&gt;"",INDEX(職員マスタ!$B$6:$B$405,$AP1751)&lt;&gt;"",SUBSTITUTE(SUBSTITUTE($H1751," ","")," ","")&lt;&gt;SUBSTITUTE(SUBSTITUTE(INDEX(職員マスタ!$B$6:$B$405,$AP1751)," ","")," ","")),"氏名がマスタと相違／","")&amp;IF(AND($Q1751&lt;&gt;"",INDEX(職員マスタ!$E$6:$E$405,$AP1751)&lt;&gt;"",$Q1751&lt;&gt;INDEX(職員マスタ!$E$6:$E$405,$AP1751)),"子の生年月日がマスタと相違／","")&amp;IF(AND($L1751&lt;&gt;"",INDEX(職員マスタ!$G$6:$G$405,$AP1751)&lt;&gt;"",$L1751&lt;&gt;INDEX(職員マスタ!$G$6:$G$405,$AP1751)),"時短開始日がマスタと相違／","")&amp;IF(AND($M1751&lt;&gt;"",INDEX(職員マスタ!$H$6:$H$405,$AP1751)&lt;&gt;"",$M1751&lt;&gt;INDEX(職員マスタ!$H$6:$H$405,$AP1751)),"時短終了日がマスタと相違／","")))&amp;IF(AND($B1751&lt;&gt;"",$E1751=""),"報酬額が未入力／","")&amp;IF(N($U1751)&gt;0,"申請書に入力エラーが残っています／","")&amp;IF(AND($B1751&lt;&gt;"",$AQ1751&lt;&gt;""),IF(COUNTIFS($B$6:$B$3005,$B1751,$C$6:$C$3005,$C1751,$D$6:$D$3005,$D1751)&gt;1,"同じ月の請求が重複しています／",""),"")&amp;IF(AND(N($E1751)&gt;0,$AB1751&lt;&gt;"",$AB1751&lt;&gt;"×",$AE1751=0,$AD1751=""),"計算額が下限以下のため不支給／",""))</f>
        <v/>
      </c>
      <c r="AN1751" s="12" t="n"/>
      <c r="AO1751" s="14">
        <f>IF($AF1751="保留中",COUNTIF($AF$6:$AF1751,"保留中"),"")</f>
        <v/>
      </c>
      <c r="AP1751" s="14">
        <f>IF($AQ1751="","",IF(SUMPRODUCT(MAX((職員マスタ!$A$6:$A$405=$B1751)*(((職員マスタ!$G$6:$G$405="")+(職員マスタ!$G$6:$G$405&lt;=EOMONTH($AQ1751,0)))&gt;0)*(((職員マスタ!$H$6:$H$405="")+(職員マスタ!$H$6:$H$405&gt;=$AQ1751))&gt;0)*(ROW(職員マスタ!$A$6:$A$405)-5)))&gt;0,SUMPRODUCT(MAX((職員マスタ!$A$6:$A$405=$B1751)*(((職員マスタ!$G$6:$G$405="")+(職員マスタ!$G$6:$G$405&lt;=EOMONTH($AQ1751,0)))&gt;0)*(((職員マスタ!$H$6:$H$405="")+(職員マスタ!$H$6:$H$405&gt;=$AQ1751))&gt;0)*(ROW(職員マスタ!$A$6:$A$405)-5))),IFERROR(MATCH($B1751,職員マスタ!$A$6:$A$405,0),"")))</f>
        <v/>
      </c>
      <c r="AQ1751" s="16">
        <f>IF(OR($B1751="",$C1751="",$D1751=""),"",DATE($C1751+2018,$D1751,1))</f>
        <v/>
      </c>
    </row>
    <row r="1752">
      <c r="A1752" s="11" t="n"/>
      <c r="B1752" s="12" t="n"/>
      <c r="C1752" s="12" t="n"/>
      <c r="D1752" s="12" t="n"/>
      <c r="E1752" s="13" t="n"/>
      <c r="F1752" s="12" t="n"/>
      <c r="G1752" s="13" t="n"/>
      <c r="H1752" s="12" t="n"/>
      <c r="I1752" s="12" t="n"/>
      <c r="J1752" s="12" t="n"/>
      <c r="K1752" s="12" t="n"/>
      <c r="L1752" s="11" t="n"/>
      <c r="M1752" s="11" t="n"/>
      <c r="N1752" s="11" t="n"/>
      <c r="O1752" s="11" t="n"/>
      <c r="P1752" s="12" t="n"/>
      <c r="Q1752" s="11" t="n"/>
      <c r="R1752" s="12" t="n"/>
      <c r="S1752" s="11" t="n"/>
      <c r="T1752" s="12" t="n"/>
      <c r="U1752" s="12" t="n"/>
      <c r="V1752" s="12" t="n"/>
      <c r="W1752" s="13" t="n"/>
      <c r="X1752" s="14">
        <f>IF($AP1752="",IF($B1752="","",$H1752),IF(INDEX(職員マスタ!$B$6:$B$405,$AP1752)="",$H1752,INDEX(職員マスタ!$B$6:$B$405,$AP1752)))</f>
        <v/>
      </c>
      <c r="Y1752" s="14">
        <f>IF($AP1752="",IF($B1752="","",$R1752),IF(INDEX(職員マスタ!$C$6:$C$405,$AP1752)="",$R1752,INDEX(職員マスタ!$C$6:$C$405,$AP1752)))</f>
        <v/>
      </c>
      <c r="Z1752" s="14">
        <f>IF($AQ1752="","","R"&amp;$C1752&amp;"."&amp;$D1752)</f>
        <v/>
      </c>
      <c r="AA1752" s="15">
        <f>IF(IF($AP1752="",FALSE,INDEX(職員マスタ!$K$6:$K$405,$AP1752)&lt;&gt;""),INDEX(職員マスタ!$K$6:$K$405,$AP1752),IF(N($W1752)&gt;0,$W1752,""))</f>
        <v/>
      </c>
      <c r="AB1752" s="14">
        <f>IF(OR($E1752="",$AA1752=""),"",IF($E1752&gt;=$AA1752,"×",IF($E1752&gt;=$AA1752*設定!$C$5,"△","○")))</f>
        <v/>
      </c>
      <c r="AC1752" s="15">
        <f>IF($AB1752="","",IF($AB1752="×",0,IF($AB1752="○",ROUNDDOWN($E1752*設定!$C$4,0),ROUNDDOWN($E1752*ROUND((9*$AA1752-9*$E1752)/(10*$E1752),4),0))))</f>
        <v/>
      </c>
      <c r="AD1752" s="13" t="n"/>
      <c r="AE1752" s="15">
        <f>IF($B1752="","",IF($AD1752&lt;&gt;"",$AD1752,IF($AC1752="","",IF($AC1752&lt;=設定!$C$3,0,$AC1752))))</f>
        <v/>
      </c>
      <c r="AF1752" s="14">
        <f>IF($B1752="","",IF(AND($AG1752&lt;&gt;"",$AI1752="",$AL1752=""),"保留中",IF($AL1752&lt;&gt;"",IF(N($AE1752)&gt;0,"支給済","不支給"),IF($AE1752="","要確認",IF($AE1752=0,"不支給","未処理")))))</f>
        <v/>
      </c>
      <c r="AG1752" s="12" t="n"/>
      <c r="AH1752" s="11" t="n"/>
      <c r="AI1752" s="11" t="n"/>
      <c r="AJ1752" s="11" t="n"/>
      <c r="AK1752" s="14">
        <f>IF(AND($AF1752="保留中",$AH1752&lt;&gt;""),TODAY()-$AH1752,"")</f>
        <v/>
      </c>
      <c r="AL1752" s="12" t="n"/>
      <c r="AM1752" s="14">
        <f>IF($B1752="","",IF($AQ1752="","対象年月が未入力／","")&amp;IF($B1752="","",IF($AP1752="","職員マスタに未登録の職員番号／",IF($AA1752="","標準報酬月額が未登録／","")&amp;IF(AND($AQ1752&lt;&gt;"",OR(AND(INDEX(職員マスタ!$G$6:$G$405,$AP1752)&lt;&gt;"",INDEX(職員マスタ!$G$6:$G$405,$AP1752)&gt;EOMONTH($AQ1752,0)),AND(INDEX(職員マスタ!$H$6:$H$405,$AP1752)&lt;&gt;"",INDEX(職員マスタ!$H$6:$H$405,$AP1752)&lt;$AQ1752))),"対象月が時短期間外／","")&amp;IF(AND(INDEX(職員マスタ!$K$6:$K$405,$AP1752)&lt;&gt;"",N($W1752)&gt;0,INDEX(職員マスタ!$K$6:$K$405,$AP1752)&lt;&gt;$W1752),"標準報酬月額が申請書と相違（台帳"&amp;TEXT(INDEX(職員マスタ!$K$6:$K$405,$AP1752),"#,##0")&amp;"円／申請書"&amp;TEXT($W1752,"#,##0")&amp;"円）／","")&amp;IF(AND(INDEX(職員マスタ!$F$6:$F$405,$AP1752)&lt;&gt;"",$AQ1752&lt;&gt;"",INDEX(職員マスタ!$F$6:$F$405,$AP1752)&lt;$AQ1752),"対象月に子が2歳到達済／","")&amp;IF(AND($H1752&lt;&gt;"",INDEX(職員マスタ!$B$6:$B$405,$AP1752)&lt;&gt;"",SUBSTITUTE(SUBSTITUTE($H1752," ","")," ","")&lt;&gt;SUBSTITUTE(SUBSTITUTE(INDEX(職員マスタ!$B$6:$B$405,$AP1752)," ","")," ","")),"氏名がマスタと相違／","")&amp;IF(AND($Q1752&lt;&gt;"",INDEX(職員マスタ!$E$6:$E$405,$AP1752)&lt;&gt;"",$Q1752&lt;&gt;INDEX(職員マスタ!$E$6:$E$405,$AP1752)),"子の生年月日がマスタと相違／","")&amp;IF(AND($L1752&lt;&gt;"",INDEX(職員マスタ!$G$6:$G$405,$AP1752)&lt;&gt;"",$L1752&lt;&gt;INDEX(職員マスタ!$G$6:$G$405,$AP1752)),"時短開始日がマスタと相違／","")&amp;IF(AND($M1752&lt;&gt;"",INDEX(職員マスタ!$H$6:$H$405,$AP1752)&lt;&gt;"",$M1752&lt;&gt;INDEX(職員マスタ!$H$6:$H$405,$AP1752)),"時短終了日がマスタと相違／","")))&amp;IF(AND($B1752&lt;&gt;"",$E1752=""),"報酬額が未入力／","")&amp;IF(N($U1752)&gt;0,"申請書に入力エラーが残っています／","")&amp;IF(AND($B1752&lt;&gt;"",$AQ1752&lt;&gt;""),IF(COUNTIFS($B$6:$B$3005,$B1752,$C$6:$C$3005,$C1752,$D$6:$D$3005,$D1752)&gt;1,"同じ月の請求が重複しています／",""),"")&amp;IF(AND(N($E1752)&gt;0,$AB1752&lt;&gt;"",$AB1752&lt;&gt;"×",$AE1752=0,$AD1752=""),"計算額が下限以下のため不支給／",""))</f>
        <v/>
      </c>
      <c r="AN1752" s="12" t="n"/>
      <c r="AO1752" s="14">
        <f>IF($AF1752="保留中",COUNTIF($AF$6:$AF1752,"保留中"),"")</f>
        <v/>
      </c>
      <c r="AP1752" s="14">
        <f>IF($AQ1752="","",IF(SUMPRODUCT(MAX((職員マスタ!$A$6:$A$405=$B1752)*(((職員マスタ!$G$6:$G$405="")+(職員マスタ!$G$6:$G$405&lt;=EOMONTH($AQ1752,0)))&gt;0)*(((職員マスタ!$H$6:$H$405="")+(職員マスタ!$H$6:$H$405&gt;=$AQ1752))&gt;0)*(ROW(職員マスタ!$A$6:$A$405)-5)))&gt;0,SUMPRODUCT(MAX((職員マスタ!$A$6:$A$405=$B1752)*(((職員マスタ!$G$6:$G$405="")+(職員マスタ!$G$6:$G$405&lt;=EOMONTH($AQ1752,0)))&gt;0)*(((職員マスタ!$H$6:$H$405="")+(職員マスタ!$H$6:$H$405&gt;=$AQ1752))&gt;0)*(ROW(職員マスタ!$A$6:$A$405)-5))),IFERROR(MATCH($B1752,職員マスタ!$A$6:$A$405,0),"")))</f>
        <v/>
      </c>
      <c r="AQ1752" s="16">
        <f>IF(OR($B1752="",$C1752="",$D1752=""),"",DATE($C1752+2018,$D1752,1))</f>
        <v/>
      </c>
    </row>
    <row r="1753">
      <c r="A1753" s="11" t="n"/>
      <c r="B1753" s="12" t="n"/>
      <c r="C1753" s="12" t="n"/>
      <c r="D1753" s="12" t="n"/>
      <c r="E1753" s="13" t="n"/>
      <c r="F1753" s="12" t="n"/>
      <c r="G1753" s="13" t="n"/>
      <c r="H1753" s="12" t="n"/>
      <c r="I1753" s="12" t="n"/>
      <c r="J1753" s="12" t="n"/>
      <c r="K1753" s="12" t="n"/>
      <c r="L1753" s="11" t="n"/>
      <c r="M1753" s="11" t="n"/>
      <c r="N1753" s="11" t="n"/>
      <c r="O1753" s="11" t="n"/>
      <c r="P1753" s="12" t="n"/>
      <c r="Q1753" s="11" t="n"/>
      <c r="R1753" s="12" t="n"/>
      <c r="S1753" s="11" t="n"/>
      <c r="T1753" s="12" t="n"/>
      <c r="U1753" s="12" t="n"/>
      <c r="V1753" s="12" t="n"/>
      <c r="W1753" s="13" t="n"/>
      <c r="X1753" s="14">
        <f>IF($AP1753="",IF($B1753="","",$H1753),IF(INDEX(職員マスタ!$B$6:$B$405,$AP1753)="",$H1753,INDEX(職員マスタ!$B$6:$B$405,$AP1753)))</f>
        <v/>
      </c>
      <c r="Y1753" s="14">
        <f>IF($AP1753="",IF($B1753="","",$R1753),IF(INDEX(職員マスタ!$C$6:$C$405,$AP1753)="",$R1753,INDEX(職員マスタ!$C$6:$C$405,$AP1753)))</f>
        <v/>
      </c>
      <c r="Z1753" s="14">
        <f>IF($AQ1753="","","R"&amp;$C1753&amp;"."&amp;$D1753)</f>
        <v/>
      </c>
      <c r="AA1753" s="15">
        <f>IF(IF($AP1753="",FALSE,INDEX(職員マスタ!$K$6:$K$405,$AP1753)&lt;&gt;""),INDEX(職員マスタ!$K$6:$K$405,$AP1753),IF(N($W1753)&gt;0,$W1753,""))</f>
        <v/>
      </c>
      <c r="AB1753" s="14">
        <f>IF(OR($E1753="",$AA1753=""),"",IF($E1753&gt;=$AA1753,"×",IF($E1753&gt;=$AA1753*設定!$C$5,"△","○")))</f>
        <v/>
      </c>
      <c r="AC1753" s="15">
        <f>IF($AB1753="","",IF($AB1753="×",0,IF($AB1753="○",ROUNDDOWN($E1753*設定!$C$4,0),ROUNDDOWN($E1753*ROUND((9*$AA1753-9*$E1753)/(10*$E1753),4),0))))</f>
        <v/>
      </c>
      <c r="AD1753" s="13" t="n"/>
      <c r="AE1753" s="15">
        <f>IF($B1753="","",IF($AD1753&lt;&gt;"",$AD1753,IF($AC1753="","",IF($AC1753&lt;=設定!$C$3,0,$AC1753))))</f>
        <v/>
      </c>
      <c r="AF1753" s="14">
        <f>IF($B1753="","",IF(AND($AG1753&lt;&gt;"",$AI1753="",$AL1753=""),"保留中",IF($AL1753&lt;&gt;"",IF(N($AE1753)&gt;0,"支給済","不支給"),IF($AE1753="","要確認",IF($AE1753=0,"不支給","未処理")))))</f>
        <v/>
      </c>
      <c r="AG1753" s="12" t="n"/>
      <c r="AH1753" s="11" t="n"/>
      <c r="AI1753" s="11" t="n"/>
      <c r="AJ1753" s="11" t="n"/>
      <c r="AK1753" s="14">
        <f>IF(AND($AF1753="保留中",$AH1753&lt;&gt;""),TODAY()-$AH1753,"")</f>
        <v/>
      </c>
      <c r="AL1753" s="12" t="n"/>
      <c r="AM1753" s="14">
        <f>IF($B1753="","",IF($AQ1753="","対象年月が未入力／","")&amp;IF($B1753="","",IF($AP1753="","職員マスタに未登録の職員番号／",IF($AA1753="","標準報酬月額が未登録／","")&amp;IF(AND($AQ1753&lt;&gt;"",OR(AND(INDEX(職員マスタ!$G$6:$G$405,$AP1753)&lt;&gt;"",INDEX(職員マスタ!$G$6:$G$405,$AP1753)&gt;EOMONTH($AQ1753,0)),AND(INDEX(職員マスタ!$H$6:$H$405,$AP1753)&lt;&gt;"",INDEX(職員マスタ!$H$6:$H$405,$AP1753)&lt;$AQ1753))),"対象月が時短期間外／","")&amp;IF(AND(INDEX(職員マスタ!$K$6:$K$405,$AP1753)&lt;&gt;"",N($W1753)&gt;0,INDEX(職員マスタ!$K$6:$K$405,$AP1753)&lt;&gt;$W1753),"標準報酬月額が申請書と相違（台帳"&amp;TEXT(INDEX(職員マスタ!$K$6:$K$405,$AP1753),"#,##0")&amp;"円／申請書"&amp;TEXT($W1753,"#,##0")&amp;"円）／","")&amp;IF(AND(INDEX(職員マスタ!$F$6:$F$405,$AP1753)&lt;&gt;"",$AQ1753&lt;&gt;"",INDEX(職員マスタ!$F$6:$F$405,$AP1753)&lt;$AQ1753),"対象月に子が2歳到達済／","")&amp;IF(AND($H1753&lt;&gt;"",INDEX(職員マスタ!$B$6:$B$405,$AP1753)&lt;&gt;"",SUBSTITUTE(SUBSTITUTE($H1753," ","")," ","")&lt;&gt;SUBSTITUTE(SUBSTITUTE(INDEX(職員マスタ!$B$6:$B$405,$AP1753)," ","")," ","")),"氏名がマスタと相違／","")&amp;IF(AND($Q1753&lt;&gt;"",INDEX(職員マスタ!$E$6:$E$405,$AP1753)&lt;&gt;"",$Q1753&lt;&gt;INDEX(職員マスタ!$E$6:$E$405,$AP1753)),"子の生年月日がマスタと相違／","")&amp;IF(AND($L1753&lt;&gt;"",INDEX(職員マスタ!$G$6:$G$405,$AP1753)&lt;&gt;"",$L1753&lt;&gt;INDEX(職員マスタ!$G$6:$G$405,$AP1753)),"時短開始日がマスタと相違／","")&amp;IF(AND($M1753&lt;&gt;"",INDEX(職員マスタ!$H$6:$H$405,$AP1753)&lt;&gt;"",$M1753&lt;&gt;INDEX(職員マスタ!$H$6:$H$405,$AP1753)),"時短終了日がマスタと相違／","")))&amp;IF(AND($B1753&lt;&gt;"",$E1753=""),"報酬額が未入力／","")&amp;IF(N($U1753)&gt;0,"申請書に入力エラーが残っています／","")&amp;IF(AND($B1753&lt;&gt;"",$AQ1753&lt;&gt;""),IF(COUNTIFS($B$6:$B$3005,$B1753,$C$6:$C$3005,$C1753,$D$6:$D$3005,$D1753)&gt;1,"同じ月の請求が重複しています／",""),"")&amp;IF(AND(N($E1753)&gt;0,$AB1753&lt;&gt;"",$AB1753&lt;&gt;"×",$AE1753=0,$AD1753=""),"計算額が下限以下のため不支給／",""))</f>
        <v/>
      </c>
      <c r="AN1753" s="12" t="n"/>
      <c r="AO1753" s="14">
        <f>IF($AF1753="保留中",COUNTIF($AF$6:$AF1753,"保留中"),"")</f>
        <v/>
      </c>
      <c r="AP1753" s="14">
        <f>IF($AQ1753="","",IF(SUMPRODUCT(MAX((職員マスタ!$A$6:$A$405=$B1753)*(((職員マスタ!$G$6:$G$405="")+(職員マスタ!$G$6:$G$405&lt;=EOMONTH($AQ1753,0)))&gt;0)*(((職員マスタ!$H$6:$H$405="")+(職員マスタ!$H$6:$H$405&gt;=$AQ1753))&gt;0)*(ROW(職員マスタ!$A$6:$A$405)-5)))&gt;0,SUMPRODUCT(MAX((職員マスタ!$A$6:$A$405=$B1753)*(((職員マスタ!$G$6:$G$405="")+(職員マスタ!$G$6:$G$405&lt;=EOMONTH($AQ1753,0)))&gt;0)*(((職員マスタ!$H$6:$H$405="")+(職員マスタ!$H$6:$H$405&gt;=$AQ1753))&gt;0)*(ROW(職員マスタ!$A$6:$A$405)-5))),IFERROR(MATCH($B1753,職員マスタ!$A$6:$A$405,0),"")))</f>
        <v/>
      </c>
      <c r="AQ1753" s="16">
        <f>IF(OR($B1753="",$C1753="",$D1753=""),"",DATE($C1753+2018,$D1753,1))</f>
        <v/>
      </c>
    </row>
    <row r="1754">
      <c r="A1754" s="11" t="n"/>
      <c r="B1754" s="12" t="n"/>
      <c r="C1754" s="12" t="n"/>
      <c r="D1754" s="12" t="n"/>
      <c r="E1754" s="13" t="n"/>
      <c r="F1754" s="12" t="n"/>
      <c r="G1754" s="13" t="n"/>
      <c r="H1754" s="12" t="n"/>
      <c r="I1754" s="12" t="n"/>
      <c r="J1754" s="12" t="n"/>
      <c r="K1754" s="12" t="n"/>
      <c r="L1754" s="11" t="n"/>
      <c r="M1754" s="11" t="n"/>
      <c r="N1754" s="11" t="n"/>
      <c r="O1754" s="11" t="n"/>
      <c r="P1754" s="12" t="n"/>
      <c r="Q1754" s="11" t="n"/>
      <c r="R1754" s="12" t="n"/>
      <c r="S1754" s="11" t="n"/>
      <c r="T1754" s="12" t="n"/>
      <c r="U1754" s="12" t="n"/>
      <c r="V1754" s="12" t="n"/>
      <c r="W1754" s="13" t="n"/>
      <c r="X1754" s="14">
        <f>IF($AP1754="",IF($B1754="","",$H1754),IF(INDEX(職員マスタ!$B$6:$B$405,$AP1754)="",$H1754,INDEX(職員マスタ!$B$6:$B$405,$AP1754)))</f>
        <v/>
      </c>
      <c r="Y1754" s="14">
        <f>IF($AP1754="",IF($B1754="","",$R1754),IF(INDEX(職員マスタ!$C$6:$C$405,$AP1754)="",$R1754,INDEX(職員マスタ!$C$6:$C$405,$AP1754)))</f>
        <v/>
      </c>
      <c r="Z1754" s="14">
        <f>IF($AQ1754="","","R"&amp;$C1754&amp;"."&amp;$D1754)</f>
        <v/>
      </c>
      <c r="AA1754" s="15">
        <f>IF(IF($AP1754="",FALSE,INDEX(職員マスタ!$K$6:$K$405,$AP1754)&lt;&gt;""),INDEX(職員マスタ!$K$6:$K$405,$AP1754),IF(N($W1754)&gt;0,$W1754,""))</f>
        <v/>
      </c>
      <c r="AB1754" s="14">
        <f>IF(OR($E1754="",$AA1754=""),"",IF($E1754&gt;=$AA1754,"×",IF($E1754&gt;=$AA1754*設定!$C$5,"△","○")))</f>
        <v/>
      </c>
      <c r="AC1754" s="15">
        <f>IF($AB1754="","",IF($AB1754="×",0,IF($AB1754="○",ROUNDDOWN($E1754*設定!$C$4,0),ROUNDDOWN($E1754*ROUND((9*$AA1754-9*$E1754)/(10*$E1754),4),0))))</f>
        <v/>
      </c>
      <c r="AD1754" s="13" t="n"/>
      <c r="AE1754" s="15">
        <f>IF($B1754="","",IF($AD1754&lt;&gt;"",$AD1754,IF($AC1754="","",IF($AC1754&lt;=設定!$C$3,0,$AC1754))))</f>
        <v/>
      </c>
      <c r="AF1754" s="14">
        <f>IF($B1754="","",IF(AND($AG1754&lt;&gt;"",$AI1754="",$AL1754=""),"保留中",IF($AL1754&lt;&gt;"",IF(N($AE1754)&gt;0,"支給済","不支給"),IF($AE1754="","要確認",IF($AE1754=0,"不支給","未処理")))))</f>
        <v/>
      </c>
      <c r="AG1754" s="12" t="n"/>
      <c r="AH1754" s="11" t="n"/>
      <c r="AI1754" s="11" t="n"/>
      <c r="AJ1754" s="11" t="n"/>
      <c r="AK1754" s="14">
        <f>IF(AND($AF1754="保留中",$AH1754&lt;&gt;""),TODAY()-$AH1754,"")</f>
        <v/>
      </c>
      <c r="AL1754" s="12" t="n"/>
      <c r="AM1754" s="14">
        <f>IF($B1754="","",IF($AQ1754="","対象年月が未入力／","")&amp;IF($B1754="","",IF($AP1754="","職員マスタに未登録の職員番号／",IF($AA1754="","標準報酬月額が未登録／","")&amp;IF(AND($AQ1754&lt;&gt;"",OR(AND(INDEX(職員マスタ!$G$6:$G$405,$AP1754)&lt;&gt;"",INDEX(職員マスタ!$G$6:$G$405,$AP1754)&gt;EOMONTH($AQ1754,0)),AND(INDEX(職員マスタ!$H$6:$H$405,$AP1754)&lt;&gt;"",INDEX(職員マスタ!$H$6:$H$405,$AP1754)&lt;$AQ1754))),"対象月が時短期間外／","")&amp;IF(AND(INDEX(職員マスタ!$K$6:$K$405,$AP1754)&lt;&gt;"",N($W1754)&gt;0,INDEX(職員マスタ!$K$6:$K$405,$AP1754)&lt;&gt;$W1754),"標準報酬月額が申請書と相違（台帳"&amp;TEXT(INDEX(職員マスタ!$K$6:$K$405,$AP1754),"#,##0")&amp;"円／申請書"&amp;TEXT($W1754,"#,##0")&amp;"円）／","")&amp;IF(AND(INDEX(職員マスタ!$F$6:$F$405,$AP1754)&lt;&gt;"",$AQ1754&lt;&gt;"",INDEX(職員マスタ!$F$6:$F$405,$AP1754)&lt;$AQ1754),"対象月に子が2歳到達済／","")&amp;IF(AND($H1754&lt;&gt;"",INDEX(職員マスタ!$B$6:$B$405,$AP1754)&lt;&gt;"",SUBSTITUTE(SUBSTITUTE($H1754," ","")," ","")&lt;&gt;SUBSTITUTE(SUBSTITUTE(INDEX(職員マスタ!$B$6:$B$405,$AP1754)," ","")," ","")),"氏名がマスタと相違／","")&amp;IF(AND($Q1754&lt;&gt;"",INDEX(職員マスタ!$E$6:$E$405,$AP1754)&lt;&gt;"",$Q1754&lt;&gt;INDEX(職員マスタ!$E$6:$E$405,$AP1754)),"子の生年月日がマスタと相違／","")&amp;IF(AND($L1754&lt;&gt;"",INDEX(職員マスタ!$G$6:$G$405,$AP1754)&lt;&gt;"",$L1754&lt;&gt;INDEX(職員マスタ!$G$6:$G$405,$AP1754)),"時短開始日がマスタと相違／","")&amp;IF(AND($M1754&lt;&gt;"",INDEX(職員マスタ!$H$6:$H$405,$AP1754)&lt;&gt;"",$M1754&lt;&gt;INDEX(職員マスタ!$H$6:$H$405,$AP1754)),"時短終了日がマスタと相違／","")))&amp;IF(AND($B1754&lt;&gt;"",$E1754=""),"報酬額が未入力／","")&amp;IF(N($U1754)&gt;0,"申請書に入力エラーが残っています／","")&amp;IF(AND($B1754&lt;&gt;"",$AQ1754&lt;&gt;""),IF(COUNTIFS($B$6:$B$3005,$B1754,$C$6:$C$3005,$C1754,$D$6:$D$3005,$D1754)&gt;1,"同じ月の請求が重複しています／",""),"")&amp;IF(AND(N($E1754)&gt;0,$AB1754&lt;&gt;"",$AB1754&lt;&gt;"×",$AE1754=0,$AD1754=""),"計算額が下限以下のため不支給／",""))</f>
        <v/>
      </c>
      <c r="AN1754" s="12" t="n"/>
      <c r="AO1754" s="14">
        <f>IF($AF1754="保留中",COUNTIF($AF$6:$AF1754,"保留中"),"")</f>
        <v/>
      </c>
      <c r="AP1754" s="14">
        <f>IF($AQ1754="","",IF(SUMPRODUCT(MAX((職員マスタ!$A$6:$A$405=$B1754)*(((職員マスタ!$G$6:$G$405="")+(職員マスタ!$G$6:$G$405&lt;=EOMONTH($AQ1754,0)))&gt;0)*(((職員マスタ!$H$6:$H$405="")+(職員マスタ!$H$6:$H$405&gt;=$AQ1754))&gt;0)*(ROW(職員マスタ!$A$6:$A$405)-5)))&gt;0,SUMPRODUCT(MAX((職員マスタ!$A$6:$A$405=$B1754)*(((職員マスタ!$G$6:$G$405="")+(職員マスタ!$G$6:$G$405&lt;=EOMONTH($AQ1754,0)))&gt;0)*(((職員マスタ!$H$6:$H$405="")+(職員マスタ!$H$6:$H$405&gt;=$AQ1754))&gt;0)*(ROW(職員マスタ!$A$6:$A$405)-5))),IFERROR(MATCH($B1754,職員マスタ!$A$6:$A$405,0),"")))</f>
        <v/>
      </c>
      <c r="AQ1754" s="16">
        <f>IF(OR($B1754="",$C1754="",$D1754=""),"",DATE($C1754+2018,$D1754,1))</f>
        <v/>
      </c>
    </row>
    <row r="1755">
      <c r="A1755" s="11" t="n"/>
      <c r="B1755" s="12" t="n"/>
      <c r="C1755" s="12" t="n"/>
      <c r="D1755" s="12" t="n"/>
      <c r="E1755" s="13" t="n"/>
      <c r="F1755" s="12" t="n"/>
      <c r="G1755" s="13" t="n"/>
      <c r="H1755" s="12" t="n"/>
      <c r="I1755" s="12" t="n"/>
      <c r="J1755" s="12" t="n"/>
      <c r="K1755" s="12" t="n"/>
      <c r="L1755" s="11" t="n"/>
      <c r="M1755" s="11" t="n"/>
      <c r="N1755" s="11" t="n"/>
      <c r="O1755" s="11" t="n"/>
      <c r="P1755" s="12" t="n"/>
      <c r="Q1755" s="11" t="n"/>
      <c r="R1755" s="12" t="n"/>
      <c r="S1755" s="11" t="n"/>
      <c r="T1755" s="12" t="n"/>
      <c r="U1755" s="12" t="n"/>
      <c r="V1755" s="12" t="n"/>
      <c r="W1755" s="13" t="n"/>
      <c r="X1755" s="14">
        <f>IF($AP1755="",IF($B1755="","",$H1755),IF(INDEX(職員マスタ!$B$6:$B$405,$AP1755)="",$H1755,INDEX(職員マスタ!$B$6:$B$405,$AP1755)))</f>
        <v/>
      </c>
      <c r="Y1755" s="14">
        <f>IF($AP1755="",IF($B1755="","",$R1755),IF(INDEX(職員マスタ!$C$6:$C$405,$AP1755)="",$R1755,INDEX(職員マスタ!$C$6:$C$405,$AP1755)))</f>
        <v/>
      </c>
      <c r="Z1755" s="14">
        <f>IF($AQ1755="","","R"&amp;$C1755&amp;"."&amp;$D1755)</f>
        <v/>
      </c>
      <c r="AA1755" s="15">
        <f>IF(IF($AP1755="",FALSE,INDEX(職員マスタ!$K$6:$K$405,$AP1755)&lt;&gt;""),INDEX(職員マスタ!$K$6:$K$405,$AP1755),IF(N($W1755)&gt;0,$W1755,""))</f>
        <v/>
      </c>
      <c r="AB1755" s="14">
        <f>IF(OR($E1755="",$AA1755=""),"",IF($E1755&gt;=$AA1755,"×",IF($E1755&gt;=$AA1755*設定!$C$5,"△","○")))</f>
        <v/>
      </c>
      <c r="AC1755" s="15">
        <f>IF($AB1755="","",IF($AB1755="×",0,IF($AB1755="○",ROUNDDOWN($E1755*設定!$C$4,0),ROUNDDOWN($E1755*ROUND((9*$AA1755-9*$E1755)/(10*$E1755),4),0))))</f>
        <v/>
      </c>
      <c r="AD1755" s="13" t="n"/>
      <c r="AE1755" s="15">
        <f>IF($B1755="","",IF($AD1755&lt;&gt;"",$AD1755,IF($AC1755="","",IF($AC1755&lt;=設定!$C$3,0,$AC1755))))</f>
        <v/>
      </c>
      <c r="AF1755" s="14">
        <f>IF($B1755="","",IF(AND($AG1755&lt;&gt;"",$AI1755="",$AL1755=""),"保留中",IF($AL1755&lt;&gt;"",IF(N($AE1755)&gt;0,"支給済","不支給"),IF($AE1755="","要確認",IF($AE1755=0,"不支給","未処理")))))</f>
        <v/>
      </c>
      <c r="AG1755" s="12" t="n"/>
      <c r="AH1755" s="11" t="n"/>
      <c r="AI1755" s="11" t="n"/>
      <c r="AJ1755" s="11" t="n"/>
      <c r="AK1755" s="14">
        <f>IF(AND($AF1755="保留中",$AH1755&lt;&gt;""),TODAY()-$AH1755,"")</f>
        <v/>
      </c>
      <c r="AL1755" s="12" t="n"/>
      <c r="AM1755" s="14">
        <f>IF($B1755="","",IF($AQ1755="","対象年月が未入力／","")&amp;IF($B1755="","",IF($AP1755="","職員マスタに未登録の職員番号／",IF($AA1755="","標準報酬月額が未登録／","")&amp;IF(AND($AQ1755&lt;&gt;"",OR(AND(INDEX(職員マスタ!$G$6:$G$405,$AP1755)&lt;&gt;"",INDEX(職員マスタ!$G$6:$G$405,$AP1755)&gt;EOMONTH($AQ1755,0)),AND(INDEX(職員マスタ!$H$6:$H$405,$AP1755)&lt;&gt;"",INDEX(職員マスタ!$H$6:$H$405,$AP1755)&lt;$AQ1755))),"対象月が時短期間外／","")&amp;IF(AND(INDEX(職員マスタ!$K$6:$K$405,$AP1755)&lt;&gt;"",N($W1755)&gt;0,INDEX(職員マスタ!$K$6:$K$405,$AP1755)&lt;&gt;$W1755),"標準報酬月額が申請書と相違（台帳"&amp;TEXT(INDEX(職員マスタ!$K$6:$K$405,$AP1755),"#,##0")&amp;"円／申請書"&amp;TEXT($W1755,"#,##0")&amp;"円）／","")&amp;IF(AND(INDEX(職員マスタ!$F$6:$F$405,$AP1755)&lt;&gt;"",$AQ1755&lt;&gt;"",INDEX(職員マスタ!$F$6:$F$405,$AP1755)&lt;$AQ1755),"対象月に子が2歳到達済／","")&amp;IF(AND($H1755&lt;&gt;"",INDEX(職員マスタ!$B$6:$B$405,$AP1755)&lt;&gt;"",SUBSTITUTE(SUBSTITUTE($H1755," ","")," ","")&lt;&gt;SUBSTITUTE(SUBSTITUTE(INDEX(職員マスタ!$B$6:$B$405,$AP1755)," ","")," ","")),"氏名がマスタと相違／","")&amp;IF(AND($Q1755&lt;&gt;"",INDEX(職員マスタ!$E$6:$E$405,$AP1755)&lt;&gt;"",$Q1755&lt;&gt;INDEX(職員マスタ!$E$6:$E$405,$AP1755)),"子の生年月日がマスタと相違／","")&amp;IF(AND($L1755&lt;&gt;"",INDEX(職員マスタ!$G$6:$G$405,$AP1755)&lt;&gt;"",$L1755&lt;&gt;INDEX(職員マスタ!$G$6:$G$405,$AP1755)),"時短開始日がマスタと相違／","")&amp;IF(AND($M1755&lt;&gt;"",INDEX(職員マスタ!$H$6:$H$405,$AP1755)&lt;&gt;"",$M1755&lt;&gt;INDEX(職員マスタ!$H$6:$H$405,$AP1755)),"時短終了日がマスタと相違／","")))&amp;IF(AND($B1755&lt;&gt;"",$E1755=""),"報酬額が未入力／","")&amp;IF(N($U1755)&gt;0,"申請書に入力エラーが残っています／","")&amp;IF(AND($B1755&lt;&gt;"",$AQ1755&lt;&gt;""),IF(COUNTIFS($B$6:$B$3005,$B1755,$C$6:$C$3005,$C1755,$D$6:$D$3005,$D1755)&gt;1,"同じ月の請求が重複しています／",""),"")&amp;IF(AND(N($E1755)&gt;0,$AB1755&lt;&gt;"",$AB1755&lt;&gt;"×",$AE1755=0,$AD1755=""),"計算額が下限以下のため不支給／",""))</f>
        <v/>
      </c>
      <c r="AN1755" s="12" t="n"/>
      <c r="AO1755" s="14">
        <f>IF($AF1755="保留中",COUNTIF($AF$6:$AF1755,"保留中"),"")</f>
        <v/>
      </c>
      <c r="AP1755" s="14">
        <f>IF($AQ1755="","",IF(SUMPRODUCT(MAX((職員マスタ!$A$6:$A$405=$B1755)*(((職員マスタ!$G$6:$G$405="")+(職員マスタ!$G$6:$G$405&lt;=EOMONTH($AQ1755,0)))&gt;0)*(((職員マスタ!$H$6:$H$405="")+(職員マスタ!$H$6:$H$405&gt;=$AQ1755))&gt;0)*(ROW(職員マスタ!$A$6:$A$405)-5)))&gt;0,SUMPRODUCT(MAX((職員マスタ!$A$6:$A$405=$B1755)*(((職員マスタ!$G$6:$G$405="")+(職員マスタ!$G$6:$G$405&lt;=EOMONTH($AQ1755,0)))&gt;0)*(((職員マスタ!$H$6:$H$405="")+(職員マスタ!$H$6:$H$405&gt;=$AQ1755))&gt;0)*(ROW(職員マスタ!$A$6:$A$405)-5))),IFERROR(MATCH($B1755,職員マスタ!$A$6:$A$405,0),"")))</f>
        <v/>
      </c>
      <c r="AQ1755" s="16">
        <f>IF(OR($B1755="",$C1755="",$D1755=""),"",DATE($C1755+2018,$D1755,1))</f>
        <v/>
      </c>
    </row>
    <row r="1756">
      <c r="A1756" s="11" t="n"/>
      <c r="B1756" s="12" t="n"/>
      <c r="C1756" s="12" t="n"/>
      <c r="D1756" s="12" t="n"/>
      <c r="E1756" s="13" t="n"/>
      <c r="F1756" s="12" t="n"/>
      <c r="G1756" s="13" t="n"/>
      <c r="H1756" s="12" t="n"/>
      <c r="I1756" s="12" t="n"/>
      <c r="J1756" s="12" t="n"/>
      <c r="K1756" s="12" t="n"/>
      <c r="L1756" s="11" t="n"/>
      <c r="M1756" s="11" t="n"/>
      <c r="N1756" s="11" t="n"/>
      <c r="O1756" s="11" t="n"/>
      <c r="P1756" s="12" t="n"/>
      <c r="Q1756" s="11" t="n"/>
      <c r="R1756" s="12" t="n"/>
      <c r="S1756" s="11" t="n"/>
      <c r="T1756" s="12" t="n"/>
      <c r="U1756" s="12" t="n"/>
      <c r="V1756" s="12" t="n"/>
      <c r="W1756" s="13" t="n"/>
      <c r="X1756" s="14">
        <f>IF($AP1756="",IF($B1756="","",$H1756),IF(INDEX(職員マスタ!$B$6:$B$405,$AP1756)="",$H1756,INDEX(職員マスタ!$B$6:$B$405,$AP1756)))</f>
        <v/>
      </c>
      <c r="Y1756" s="14">
        <f>IF($AP1756="",IF($B1756="","",$R1756),IF(INDEX(職員マスタ!$C$6:$C$405,$AP1756)="",$R1756,INDEX(職員マスタ!$C$6:$C$405,$AP1756)))</f>
        <v/>
      </c>
      <c r="Z1756" s="14">
        <f>IF($AQ1756="","","R"&amp;$C1756&amp;"."&amp;$D1756)</f>
        <v/>
      </c>
      <c r="AA1756" s="15">
        <f>IF(IF($AP1756="",FALSE,INDEX(職員マスタ!$K$6:$K$405,$AP1756)&lt;&gt;""),INDEX(職員マスタ!$K$6:$K$405,$AP1756),IF(N($W1756)&gt;0,$W1756,""))</f>
        <v/>
      </c>
      <c r="AB1756" s="14">
        <f>IF(OR($E1756="",$AA1756=""),"",IF($E1756&gt;=$AA1756,"×",IF($E1756&gt;=$AA1756*設定!$C$5,"△","○")))</f>
        <v/>
      </c>
      <c r="AC1756" s="15">
        <f>IF($AB1756="","",IF($AB1756="×",0,IF($AB1756="○",ROUNDDOWN($E1756*設定!$C$4,0),ROUNDDOWN($E1756*ROUND((9*$AA1756-9*$E1756)/(10*$E1756),4),0))))</f>
        <v/>
      </c>
      <c r="AD1756" s="13" t="n"/>
      <c r="AE1756" s="15">
        <f>IF($B1756="","",IF($AD1756&lt;&gt;"",$AD1756,IF($AC1756="","",IF($AC1756&lt;=設定!$C$3,0,$AC1756))))</f>
        <v/>
      </c>
      <c r="AF1756" s="14">
        <f>IF($B1756="","",IF(AND($AG1756&lt;&gt;"",$AI1756="",$AL1756=""),"保留中",IF($AL1756&lt;&gt;"",IF(N($AE1756)&gt;0,"支給済","不支給"),IF($AE1756="","要確認",IF($AE1756=0,"不支給","未処理")))))</f>
        <v/>
      </c>
      <c r="AG1756" s="12" t="n"/>
      <c r="AH1756" s="11" t="n"/>
      <c r="AI1756" s="11" t="n"/>
      <c r="AJ1756" s="11" t="n"/>
      <c r="AK1756" s="14">
        <f>IF(AND($AF1756="保留中",$AH1756&lt;&gt;""),TODAY()-$AH1756,"")</f>
        <v/>
      </c>
      <c r="AL1756" s="12" t="n"/>
      <c r="AM1756" s="14">
        <f>IF($B1756="","",IF($AQ1756="","対象年月が未入力／","")&amp;IF($B1756="","",IF($AP1756="","職員マスタに未登録の職員番号／",IF($AA1756="","標準報酬月額が未登録／","")&amp;IF(AND($AQ1756&lt;&gt;"",OR(AND(INDEX(職員マスタ!$G$6:$G$405,$AP1756)&lt;&gt;"",INDEX(職員マスタ!$G$6:$G$405,$AP1756)&gt;EOMONTH($AQ1756,0)),AND(INDEX(職員マスタ!$H$6:$H$405,$AP1756)&lt;&gt;"",INDEX(職員マスタ!$H$6:$H$405,$AP1756)&lt;$AQ1756))),"対象月が時短期間外／","")&amp;IF(AND(INDEX(職員マスタ!$K$6:$K$405,$AP1756)&lt;&gt;"",N($W1756)&gt;0,INDEX(職員マスタ!$K$6:$K$405,$AP1756)&lt;&gt;$W1756),"標準報酬月額が申請書と相違（台帳"&amp;TEXT(INDEX(職員マスタ!$K$6:$K$405,$AP1756),"#,##0")&amp;"円／申請書"&amp;TEXT($W1756,"#,##0")&amp;"円）／","")&amp;IF(AND(INDEX(職員マスタ!$F$6:$F$405,$AP1756)&lt;&gt;"",$AQ1756&lt;&gt;"",INDEX(職員マスタ!$F$6:$F$405,$AP1756)&lt;$AQ1756),"対象月に子が2歳到達済／","")&amp;IF(AND($H1756&lt;&gt;"",INDEX(職員マスタ!$B$6:$B$405,$AP1756)&lt;&gt;"",SUBSTITUTE(SUBSTITUTE($H1756," ","")," ","")&lt;&gt;SUBSTITUTE(SUBSTITUTE(INDEX(職員マスタ!$B$6:$B$405,$AP1756)," ","")," ","")),"氏名がマスタと相違／","")&amp;IF(AND($Q1756&lt;&gt;"",INDEX(職員マスタ!$E$6:$E$405,$AP1756)&lt;&gt;"",$Q1756&lt;&gt;INDEX(職員マスタ!$E$6:$E$405,$AP1756)),"子の生年月日がマスタと相違／","")&amp;IF(AND($L1756&lt;&gt;"",INDEX(職員マスタ!$G$6:$G$405,$AP1756)&lt;&gt;"",$L1756&lt;&gt;INDEX(職員マスタ!$G$6:$G$405,$AP1756)),"時短開始日がマスタと相違／","")&amp;IF(AND($M1756&lt;&gt;"",INDEX(職員マスタ!$H$6:$H$405,$AP1756)&lt;&gt;"",$M1756&lt;&gt;INDEX(職員マスタ!$H$6:$H$405,$AP1756)),"時短終了日がマスタと相違／","")))&amp;IF(AND($B1756&lt;&gt;"",$E1756=""),"報酬額が未入力／","")&amp;IF(N($U1756)&gt;0,"申請書に入力エラーが残っています／","")&amp;IF(AND($B1756&lt;&gt;"",$AQ1756&lt;&gt;""),IF(COUNTIFS($B$6:$B$3005,$B1756,$C$6:$C$3005,$C1756,$D$6:$D$3005,$D1756)&gt;1,"同じ月の請求が重複しています／",""),"")&amp;IF(AND(N($E1756)&gt;0,$AB1756&lt;&gt;"",$AB1756&lt;&gt;"×",$AE1756=0,$AD1756=""),"計算額が下限以下のため不支給／",""))</f>
        <v/>
      </c>
      <c r="AN1756" s="12" t="n"/>
      <c r="AO1756" s="14">
        <f>IF($AF1756="保留中",COUNTIF($AF$6:$AF1756,"保留中"),"")</f>
        <v/>
      </c>
      <c r="AP1756" s="14">
        <f>IF($AQ1756="","",IF(SUMPRODUCT(MAX((職員マスタ!$A$6:$A$405=$B1756)*(((職員マスタ!$G$6:$G$405="")+(職員マスタ!$G$6:$G$405&lt;=EOMONTH($AQ1756,0)))&gt;0)*(((職員マスタ!$H$6:$H$405="")+(職員マスタ!$H$6:$H$405&gt;=$AQ1756))&gt;0)*(ROW(職員マスタ!$A$6:$A$405)-5)))&gt;0,SUMPRODUCT(MAX((職員マスタ!$A$6:$A$405=$B1756)*(((職員マスタ!$G$6:$G$405="")+(職員マスタ!$G$6:$G$405&lt;=EOMONTH($AQ1756,0)))&gt;0)*(((職員マスタ!$H$6:$H$405="")+(職員マスタ!$H$6:$H$405&gt;=$AQ1756))&gt;0)*(ROW(職員マスタ!$A$6:$A$405)-5))),IFERROR(MATCH($B1756,職員マスタ!$A$6:$A$405,0),"")))</f>
        <v/>
      </c>
      <c r="AQ1756" s="16">
        <f>IF(OR($B1756="",$C1756="",$D1756=""),"",DATE($C1756+2018,$D1756,1))</f>
        <v/>
      </c>
    </row>
    <row r="1757">
      <c r="A1757" s="11" t="n"/>
      <c r="B1757" s="12" t="n"/>
      <c r="C1757" s="12" t="n"/>
      <c r="D1757" s="12" t="n"/>
      <c r="E1757" s="13" t="n"/>
      <c r="F1757" s="12" t="n"/>
      <c r="G1757" s="13" t="n"/>
      <c r="H1757" s="12" t="n"/>
      <c r="I1757" s="12" t="n"/>
      <c r="J1757" s="12" t="n"/>
      <c r="K1757" s="12" t="n"/>
      <c r="L1757" s="11" t="n"/>
      <c r="M1757" s="11" t="n"/>
      <c r="N1757" s="11" t="n"/>
      <c r="O1757" s="11" t="n"/>
      <c r="P1757" s="12" t="n"/>
      <c r="Q1757" s="11" t="n"/>
      <c r="R1757" s="12" t="n"/>
      <c r="S1757" s="11" t="n"/>
      <c r="T1757" s="12" t="n"/>
      <c r="U1757" s="12" t="n"/>
      <c r="V1757" s="12" t="n"/>
      <c r="W1757" s="13" t="n"/>
      <c r="X1757" s="14">
        <f>IF($AP1757="",IF($B1757="","",$H1757),IF(INDEX(職員マスタ!$B$6:$B$405,$AP1757)="",$H1757,INDEX(職員マスタ!$B$6:$B$405,$AP1757)))</f>
        <v/>
      </c>
      <c r="Y1757" s="14">
        <f>IF($AP1757="",IF($B1757="","",$R1757),IF(INDEX(職員マスタ!$C$6:$C$405,$AP1757)="",$R1757,INDEX(職員マスタ!$C$6:$C$405,$AP1757)))</f>
        <v/>
      </c>
      <c r="Z1757" s="14">
        <f>IF($AQ1757="","","R"&amp;$C1757&amp;"."&amp;$D1757)</f>
        <v/>
      </c>
      <c r="AA1757" s="15">
        <f>IF(IF($AP1757="",FALSE,INDEX(職員マスタ!$K$6:$K$405,$AP1757)&lt;&gt;""),INDEX(職員マスタ!$K$6:$K$405,$AP1757),IF(N($W1757)&gt;0,$W1757,""))</f>
        <v/>
      </c>
      <c r="AB1757" s="14">
        <f>IF(OR($E1757="",$AA1757=""),"",IF($E1757&gt;=$AA1757,"×",IF($E1757&gt;=$AA1757*設定!$C$5,"△","○")))</f>
        <v/>
      </c>
      <c r="AC1757" s="15">
        <f>IF($AB1757="","",IF($AB1757="×",0,IF($AB1757="○",ROUNDDOWN($E1757*設定!$C$4,0),ROUNDDOWN($E1757*ROUND((9*$AA1757-9*$E1757)/(10*$E1757),4),0))))</f>
        <v/>
      </c>
      <c r="AD1757" s="13" t="n"/>
      <c r="AE1757" s="15">
        <f>IF($B1757="","",IF($AD1757&lt;&gt;"",$AD1757,IF($AC1757="","",IF($AC1757&lt;=設定!$C$3,0,$AC1757))))</f>
        <v/>
      </c>
      <c r="AF1757" s="14">
        <f>IF($B1757="","",IF(AND($AG1757&lt;&gt;"",$AI1757="",$AL1757=""),"保留中",IF($AL1757&lt;&gt;"",IF(N($AE1757)&gt;0,"支給済","不支給"),IF($AE1757="","要確認",IF($AE1757=0,"不支給","未処理")))))</f>
        <v/>
      </c>
      <c r="AG1757" s="12" t="n"/>
      <c r="AH1757" s="11" t="n"/>
      <c r="AI1757" s="11" t="n"/>
      <c r="AJ1757" s="11" t="n"/>
      <c r="AK1757" s="14">
        <f>IF(AND($AF1757="保留中",$AH1757&lt;&gt;""),TODAY()-$AH1757,"")</f>
        <v/>
      </c>
      <c r="AL1757" s="12" t="n"/>
      <c r="AM1757" s="14">
        <f>IF($B1757="","",IF($AQ1757="","対象年月が未入力／","")&amp;IF($B1757="","",IF($AP1757="","職員マスタに未登録の職員番号／",IF($AA1757="","標準報酬月額が未登録／","")&amp;IF(AND($AQ1757&lt;&gt;"",OR(AND(INDEX(職員マスタ!$G$6:$G$405,$AP1757)&lt;&gt;"",INDEX(職員マスタ!$G$6:$G$405,$AP1757)&gt;EOMONTH($AQ1757,0)),AND(INDEX(職員マスタ!$H$6:$H$405,$AP1757)&lt;&gt;"",INDEX(職員マスタ!$H$6:$H$405,$AP1757)&lt;$AQ1757))),"対象月が時短期間外／","")&amp;IF(AND(INDEX(職員マスタ!$K$6:$K$405,$AP1757)&lt;&gt;"",N($W1757)&gt;0,INDEX(職員マスタ!$K$6:$K$405,$AP1757)&lt;&gt;$W1757),"標準報酬月額が申請書と相違（台帳"&amp;TEXT(INDEX(職員マスタ!$K$6:$K$405,$AP1757),"#,##0")&amp;"円／申請書"&amp;TEXT($W1757,"#,##0")&amp;"円）／","")&amp;IF(AND(INDEX(職員マスタ!$F$6:$F$405,$AP1757)&lt;&gt;"",$AQ1757&lt;&gt;"",INDEX(職員マスタ!$F$6:$F$405,$AP1757)&lt;$AQ1757),"対象月に子が2歳到達済／","")&amp;IF(AND($H1757&lt;&gt;"",INDEX(職員マスタ!$B$6:$B$405,$AP1757)&lt;&gt;"",SUBSTITUTE(SUBSTITUTE($H1757," ","")," ","")&lt;&gt;SUBSTITUTE(SUBSTITUTE(INDEX(職員マスタ!$B$6:$B$405,$AP1757)," ","")," ","")),"氏名がマスタと相違／","")&amp;IF(AND($Q1757&lt;&gt;"",INDEX(職員マスタ!$E$6:$E$405,$AP1757)&lt;&gt;"",$Q1757&lt;&gt;INDEX(職員マスタ!$E$6:$E$405,$AP1757)),"子の生年月日がマスタと相違／","")&amp;IF(AND($L1757&lt;&gt;"",INDEX(職員マスタ!$G$6:$G$405,$AP1757)&lt;&gt;"",$L1757&lt;&gt;INDEX(職員マスタ!$G$6:$G$405,$AP1757)),"時短開始日がマスタと相違／","")&amp;IF(AND($M1757&lt;&gt;"",INDEX(職員マスタ!$H$6:$H$405,$AP1757)&lt;&gt;"",$M1757&lt;&gt;INDEX(職員マスタ!$H$6:$H$405,$AP1757)),"時短終了日がマスタと相違／","")))&amp;IF(AND($B1757&lt;&gt;"",$E1757=""),"報酬額が未入力／","")&amp;IF(N($U1757)&gt;0,"申請書に入力エラーが残っています／","")&amp;IF(AND($B1757&lt;&gt;"",$AQ1757&lt;&gt;""),IF(COUNTIFS($B$6:$B$3005,$B1757,$C$6:$C$3005,$C1757,$D$6:$D$3005,$D1757)&gt;1,"同じ月の請求が重複しています／",""),"")&amp;IF(AND(N($E1757)&gt;0,$AB1757&lt;&gt;"",$AB1757&lt;&gt;"×",$AE1757=0,$AD1757=""),"計算額が下限以下のため不支給／",""))</f>
        <v/>
      </c>
      <c r="AN1757" s="12" t="n"/>
      <c r="AO1757" s="14">
        <f>IF($AF1757="保留中",COUNTIF($AF$6:$AF1757,"保留中"),"")</f>
        <v/>
      </c>
      <c r="AP1757" s="14">
        <f>IF($AQ1757="","",IF(SUMPRODUCT(MAX((職員マスタ!$A$6:$A$405=$B1757)*(((職員マスタ!$G$6:$G$405="")+(職員マスタ!$G$6:$G$405&lt;=EOMONTH($AQ1757,0)))&gt;0)*(((職員マスタ!$H$6:$H$405="")+(職員マスタ!$H$6:$H$405&gt;=$AQ1757))&gt;0)*(ROW(職員マスタ!$A$6:$A$405)-5)))&gt;0,SUMPRODUCT(MAX((職員マスタ!$A$6:$A$405=$B1757)*(((職員マスタ!$G$6:$G$405="")+(職員マスタ!$G$6:$G$405&lt;=EOMONTH($AQ1757,0)))&gt;0)*(((職員マスタ!$H$6:$H$405="")+(職員マスタ!$H$6:$H$405&gt;=$AQ1757))&gt;0)*(ROW(職員マスタ!$A$6:$A$405)-5))),IFERROR(MATCH($B1757,職員マスタ!$A$6:$A$405,0),"")))</f>
        <v/>
      </c>
      <c r="AQ1757" s="16">
        <f>IF(OR($B1757="",$C1757="",$D1757=""),"",DATE($C1757+2018,$D1757,1))</f>
        <v/>
      </c>
    </row>
    <row r="1758">
      <c r="A1758" s="11" t="n"/>
      <c r="B1758" s="12" t="n"/>
      <c r="C1758" s="12" t="n"/>
      <c r="D1758" s="12" t="n"/>
      <c r="E1758" s="13" t="n"/>
      <c r="F1758" s="12" t="n"/>
      <c r="G1758" s="13" t="n"/>
      <c r="H1758" s="12" t="n"/>
      <c r="I1758" s="12" t="n"/>
      <c r="J1758" s="12" t="n"/>
      <c r="K1758" s="12" t="n"/>
      <c r="L1758" s="11" t="n"/>
      <c r="M1758" s="11" t="n"/>
      <c r="N1758" s="11" t="n"/>
      <c r="O1758" s="11" t="n"/>
      <c r="P1758" s="12" t="n"/>
      <c r="Q1758" s="11" t="n"/>
      <c r="R1758" s="12" t="n"/>
      <c r="S1758" s="11" t="n"/>
      <c r="T1758" s="12" t="n"/>
      <c r="U1758" s="12" t="n"/>
      <c r="V1758" s="12" t="n"/>
      <c r="W1758" s="13" t="n"/>
      <c r="X1758" s="14">
        <f>IF($AP1758="",IF($B1758="","",$H1758),IF(INDEX(職員マスタ!$B$6:$B$405,$AP1758)="",$H1758,INDEX(職員マスタ!$B$6:$B$405,$AP1758)))</f>
        <v/>
      </c>
      <c r="Y1758" s="14">
        <f>IF($AP1758="",IF($B1758="","",$R1758),IF(INDEX(職員マスタ!$C$6:$C$405,$AP1758)="",$R1758,INDEX(職員マスタ!$C$6:$C$405,$AP1758)))</f>
        <v/>
      </c>
      <c r="Z1758" s="14">
        <f>IF($AQ1758="","","R"&amp;$C1758&amp;"."&amp;$D1758)</f>
        <v/>
      </c>
      <c r="AA1758" s="15">
        <f>IF(IF($AP1758="",FALSE,INDEX(職員マスタ!$K$6:$K$405,$AP1758)&lt;&gt;""),INDEX(職員マスタ!$K$6:$K$405,$AP1758),IF(N($W1758)&gt;0,$W1758,""))</f>
        <v/>
      </c>
      <c r="AB1758" s="14">
        <f>IF(OR($E1758="",$AA1758=""),"",IF($E1758&gt;=$AA1758,"×",IF($E1758&gt;=$AA1758*設定!$C$5,"△","○")))</f>
        <v/>
      </c>
      <c r="AC1758" s="15">
        <f>IF($AB1758="","",IF($AB1758="×",0,IF($AB1758="○",ROUNDDOWN($E1758*設定!$C$4,0),ROUNDDOWN($E1758*ROUND((9*$AA1758-9*$E1758)/(10*$E1758),4),0))))</f>
        <v/>
      </c>
      <c r="AD1758" s="13" t="n"/>
      <c r="AE1758" s="15">
        <f>IF($B1758="","",IF($AD1758&lt;&gt;"",$AD1758,IF($AC1758="","",IF($AC1758&lt;=設定!$C$3,0,$AC1758))))</f>
        <v/>
      </c>
      <c r="AF1758" s="14">
        <f>IF($B1758="","",IF(AND($AG1758&lt;&gt;"",$AI1758="",$AL1758=""),"保留中",IF($AL1758&lt;&gt;"",IF(N($AE1758)&gt;0,"支給済","不支給"),IF($AE1758="","要確認",IF($AE1758=0,"不支給","未処理")))))</f>
        <v/>
      </c>
      <c r="AG1758" s="12" t="n"/>
      <c r="AH1758" s="11" t="n"/>
      <c r="AI1758" s="11" t="n"/>
      <c r="AJ1758" s="11" t="n"/>
      <c r="AK1758" s="14">
        <f>IF(AND($AF1758="保留中",$AH1758&lt;&gt;""),TODAY()-$AH1758,"")</f>
        <v/>
      </c>
      <c r="AL1758" s="12" t="n"/>
      <c r="AM1758" s="14">
        <f>IF($B1758="","",IF($AQ1758="","対象年月が未入力／","")&amp;IF($B1758="","",IF($AP1758="","職員マスタに未登録の職員番号／",IF($AA1758="","標準報酬月額が未登録／","")&amp;IF(AND($AQ1758&lt;&gt;"",OR(AND(INDEX(職員マスタ!$G$6:$G$405,$AP1758)&lt;&gt;"",INDEX(職員マスタ!$G$6:$G$405,$AP1758)&gt;EOMONTH($AQ1758,0)),AND(INDEX(職員マスタ!$H$6:$H$405,$AP1758)&lt;&gt;"",INDEX(職員マスタ!$H$6:$H$405,$AP1758)&lt;$AQ1758))),"対象月が時短期間外／","")&amp;IF(AND(INDEX(職員マスタ!$K$6:$K$405,$AP1758)&lt;&gt;"",N($W1758)&gt;0,INDEX(職員マスタ!$K$6:$K$405,$AP1758)&lt;&gt;$W1758),"標準報酬月額が申請書と相違（台帳"&amp;TEXT(INDEX(職員マスタ!$K$6:$K$405,$AP1758),"#,##0")&amp;"円／申請書"&amp;TEXT($W1758,"#,##0")&amp;"円）／","")&amp;IF(AND(INDEX(職員マスタ!$F$6:$F$405,$AP1758)&lt;&gt;"",$AQ1758&lt;&gt;"",INDEX(職員マスタ!$F$6:$F$405,$AP1758)&lt;$AQ1758),"対象月に子が2歳到達済／","")&amp;IF(AND($H1758&lt;&gt;"",INDEX(職員マスタ!$B$6:$B$405,$AP1758)&lt;&gt;"",SUBSTITUTE(SUBSTITUTE($H1758," ","")," ","")&lt;&gt;SUBSTITUTE(SUBSTITUTE(INDEX(職員マスタ!$B$6:$B$405,$AP1758)," ","")," ","")),"氏名がマスタと相違／","")&amp;IF(AND($Q1758&lt;&gt;"",INDEX(職員マスタ!$E$6:$E$405,$AP1758)&lt;&gt;"",$Q1758&lt;&gt;INDEX(職員マスタ!$E$6:$E$405,$AP1758)),"子の生年月日がマスタと相違／","")&amp;IF(AND($L1758&lt;&gt;"",INDEX(職員マスタ!$G$6:$G$405,$AP1758)&lt;&gt;"",$L1758&lt;&gt;INDEX(職員マスタ!$G$6:$G$405,$AP1758)),"時短開始日がマスタと相違／","")&amp;IF(AND($M1758&lt;&gt;"",INDEX(職員マスタ!$H$6:$H$405,$AP1758)&lt;&gt;"",$M1758&lt;&gt;INDEX(職員マスタ!$H$6:$H$405,$AP1758)),"時短終了日がマスタと相違／","")))&amp;IF(AND($B1758&lt;&gt;"",$E1758=""),"報酬額が未入力／","")&amp;IF(N($U1758)&gt;0,"申請書に入力エラーが残っています／","")&amp;IF(AND($B1758&lt;&gt;"",$AQ1758&lt;&gt;""),IF(COUNTIFS($B$6:$B$3005,$B1758,$C$6:$C$3005,$C1758,$D$6:$D$3005,$D1758)&gt;1,"同じ月の請求が重複しています／",""),"")&amp;IF(AND(N($E1758)&gt;0,$AB1758&lt;&gt;"",$AB1758&lt;&gt;"×",$AE1758=0,$AD1758=""),"計算額が下限以下のため不支給／",""))</f>
        <v/>
      </c>
      <c r="AN1758" s="12" t="n"/>
      <c r="AO1758" s="14">
        <f>IF($AF1758="保留中",COUNTIF($AF$6:$AF1758,"保留中"),"")</f>
        <v/>
      </c>
      <c r="AP1758" s="14">
        <f>IF($AQ1758="","",IF(SUMPRODUCT(MAX((職員マスタ!$A$6:$A$405=$B1758)*(((職員マスタ!$G$6:$G$405="")+(職員マスタ!$G$6:$G$405&lt;=EOMONTH($AQ1758,0)))&gt;0)*(((職員マスタ!$H$6:$H$405="")+(職員マスタ!$H$6:$H$405&gt;=$AQ1758))&gt;0)*(ROW(職員マスタ!$A$6:$A$405)-5)))&gt;0,SUMPRODUCT(MAX((職員マスタ!$A$6:$A$405=$B1758)*(((職員マスタ!$G$6:$G$405="")+(職員マスタ!$G$6:$G$405&lt;=EOMONTH($AQ1758,0)))&gt;0)*(((職員マスタ!$H$6:$H$405="")+(職員マスタ!$H$6:$H$405&gt;=$AQ1758))&gt;0)*(ROW(職員マスタ!$A$6:$A$405)-5))),IFERROR(MATCH($B1758,職員マスタ!$A$6:$A$405,0),"")))</f>
        <v/>
      </c>
      <c r="AQ1758" s="16">
        <f>IF(OR($B1758="",$C1758="",$D1758=""),"",DATE($C1758+2018,$D1758,1))</f>
        <v/>
      </c>
    </row>
    <row r="1759">
      <c r="A1759" s="11" t="n"/>
      <c r="B1759" s="12" t="n"/>
      <c r="C1759" s="12" t="n"/>
      <c r="D1759" s="12" t="n"/>
      <c r="E1759" s="13" t="n"/>
      <c r="F1759" s="12" t="n"/>
      <c r="G1759" s="13" t="n"/>
      <c r="H1759" s="12" t="n"/>
      <c r="I1759" s="12" t="n"/>
      <c r="J1759" s="12" t="n"/>
      <c r="K1759" s="12" t="n"/>
      <c r="L1759" s="11" t="n"/>
      <c r="M1759" s="11" t="n"/>
      <c r="N1759" s="11" t="n"/>
      <c r="O1759" s="11" t="n"/>
      <c r="P1759" s="12" t="n"/>
      <c r="Q1759" s="11" t="n"/>
      <c r="R1759" s="12" t="n"/>
      <c r="S1759" s="11" t="n"/>
      <c r="T1759" s="12" t="n"/>
      <c r="U1759" s="12" t="n"/>
      <c r="V1759" s="12" t="n"/>
      <c r="W1759" s="13" t="n"/>
      <c r="X1759" s="14">
        <f>IF($AP1759="",IF($B1759="","",$H1759),IF(INDEX(職員マスタ!$B$6:$B$405,$AP1759)="",$H1759,INDEX(職員マスタ!$B$6:$B$405,$AP1759)))</f>
        <v/>
      </c>
      <c r="Y1759" s="14">
        <f>IF($AP1759="",IF($B1759="","",$R1759),IF(INDEX(職員マスタ!$C$6:$C$405,$AP1759)="",$R1759,INDEX(職員マスタ!$C$6:$C$405,$AP1759)))</f>
        <v/>
      </c>
      <c r="Z1759" s="14">
        <f>IF($AQ1759="","","R"&amp;$C1759&amp;"."&amp;$D1759)</f>
        <v/>
      </c>
      <c r="AA1759" s="15">
        <f>IF(IF($AP1759="",FALSE,INDEX(職員マスタ!$K$6:$K$405,$AP1759)&lt;&gt;""),INDEX(職員マスタ!$K$6:$K$405,$AP1759),IF(N($W1759)&gt;0,$W1759,""))</f>
        <v/>
      </c>
      <c r="AB1759" s="14">
        <f>IF(OR($E1759="",$AA1759=""),"",IF($E1759&gt;=$AA1759,"×",IF($E1759&gt;=$AA1759*設定!$C$5,"△","○")))</f>
        <v/>
      </c>
      <c r="AC1759" s="15">
        <f>IF($AB1759="","",IF($AB1759="×",0,IF($AB1759="○",ROUNDDOWN($E1759*設定!$C$4,0),ROUNDDOWN($E1759*ROUND((9*$AA1759-9*$E1759)/(10*$E1759),4),0))))</f>
        <v/>
      </c>
      <c r="AD1759" s="13" t="n"/>
      <c r="AE1759" s="15">
        <f>IF($B1759="","",IF($AD1759&lt;&gt;"",$AD1759,IF($AC1759="","",IF($AC1759&lt;=設定!$C$3,0,$AC1759))))</f>
        <v/>
      </c>
      <c r="AF1759" s="14">
        <f>IF($B1759="","",IF(AND($AG1759&lt;&gt;"",$AI1759="",$AL1759=""),"保留中",IF($AL1759&lt;&gt;"",IF(N($AE1759)&gt;0,"支給済","不支給"),IF($AE1759="","要確認",IF($AE1759=0,"不支給","未処理")))))</f>
        <v/>
      </c>
      <c r="AG1759" s="12" t="n"/>
      <c r="AH1759" s="11" t="n"/>
      <c r="AI1759" s="11" t="n"/>
      <c r="AJ1759" s="11" t="n"/>
      <c r="AK1759" s="14">
        <f>IF(AND($AF1759="保留中",$AH1759&lt;&gt;""),TODAY()-$AH1759,"")</f>
        <v/>
      </c>
      <c r="AL1759" s="12" t="n"/>
      <c r="AM1759" s="14">
        <f>IF($B1759="","",IF($AQ1759="","対象年月が未入力／","")&amp;IF($B1759="","",IF($AP1759="","職員マスタに未登録の職員番号／",IF($AA1759="","標準報酬月額が未登録／","")&amp;IF(AND($AQ1759&lt;&gt;"",OR(AND(INDEX(職員マスタ!$G$6:$G$405,$AP1759)&lt;&gt;"",INDEX(職員マスタ!$G$6:$G$405,$AP1759)&gt;EOMONTH($AQ1759,0)),AND(INDEX(職員マスタ!$H$6:$H$405,$AP1759)&lt;&gt;"",INDEX(職員マスタ!$H$6:$H$405,$AP1759)&lt;$AQ1759))),"対象月が時短期間外／","")&amp;IF(AND(INDEX(職員マスタ!$K$6:$K$405,$AP1759)&lt;&gt;"",N($W1759)&gt;0,INDEX(職員マスタ!$K$6:$K$405,$AP1759)&lt;&gt;$W1759),"標準報酬月額が申請書と相違（台帳"&amp;TEXT(INDEX(職員マスタ!$K$6:$K$405,$AP1759),"#,##0")&amp;"円／申請書"&amp;TEXT($W1759,"#,##0")&amp;"円）／","")&amp;IF(AND(INDEX(職員マスタ!$F$6:$F$405,$AP1759)&lt;&gt;"",$AQ1759&lt;&gt;"",INDEX(職員マスタ!$F$6:$F$405,$AP1759)&lt;$AQ1759),"対象月に子が2歳到達済／","")&amp;IF(AND($H1759&lt;&gt;"",INDEX(職員マスタ!$B$6:$B$405,$AP1759)&lt;&gt;"",SUBSTITUTE(SUBSTITUTE($H1759," ","")," ","")&lt;&gt;SUBSTITUTE(SUBSTITUTE(INDEX(職員マスタ!$B$6:$B$405,$AP1759)," ","")," ","")),"氏名がマスタと相違／","")&amp;IF(AND($Q1759&lt;&gt;"",INDEX(職員マスタ!$E$6:$E$405,$AP1759)&lt;&gt;"",$Q1759&lt;&gt;INDEX(職員マスタ!$E$6:$E$405,$AP1759)),"子の生年月日がマスタと相違／","")&amp;IF(AND($L1759&lt;&gt;"",INDEX(職員マスタ!$G$6:$G$405,$AP1759)&lt;&gt;"",$L1759&lt;&gt;INDEX(職員マスタ!$G$6:$G$405,$AP1759)),"時短開始日がマスタと相違／","")&amp;IF(AND($M1759&lt;&gt;"",INDEX(職員マスタ!$H$6:$H$405,$AP1759)&lt;&gt;"",$M1759&lt;&gt;INDEX(職員マスタ!$H$6:$H$405,$AP1759)),"時短終了日がマスタと相違／","")))&amp;IF(AND($B1759&lt;&gt;"",$E1759=""),"報酬額が未入力／","")&amp;IF(N($U1759)&gt;0,"申請書に入力エラーが残っています／","")&amp;IF(AND($B1759&lt;&gt;"",$AQ1759&lt;&gt;""),IF(COUNTIFS($B$6:$B$3005,$B1759,$C$6:$C$3005,$C1759,$D$6:$D$3005,$D1759)&gt;1,"同じ月の請求が重複しています／",""),"")&amp;IF(AND(N($E1759)&gt;0,$AB1759&lt;&gt;"",$AB1759&lt;&gt;"×",$AE1759=0,$AD1759=""),"計算額が下限以下のため不支給／",""))</f>
        <v/>
      </c>
      <c r="AN1759" s="12" t="n"/>
      <c r="AO1759" s="14">
        <f>IF($AF1759="保留中",COUNTIF($AF$6:$AF1759,"保留中"),"")</f>
        <v/>
      </c>
      <c r="AP1759" s="14">
        <f>IF($AQ1759="","",IF(SUMPRODUCT(MAX((職員マスタ!$A$6:$A$405=$B1759)*(((職員マスタ!$G$6:$G$405="")+(職員マスタ!$G$6:$G$405&lt;=EOMONTH($AQ1759,0)))&gt;0)*(((職員マスタ!$H$6:$H$405="")+(職員マスタ!$H$6:$H$405&gt;=$AQ1759))&gt;0)*(ROW(職員マスタ!$A$6:$A$405)-5)))&gt;0,SUMPRODUCT(MAX((職員マスタ!$A$6:$A$405=$B1759)*(((職員マスタ!$G$6:$G$405="")+(職員マスタ!$G$6:$G$405&lt;=EOMONTH($AQ1759,0)))&gt;0)*(((職員マスタ!$H$6:$H$405="")+(職員マスタ!$H$6:$H$405&gt;=$AQ1759))&gt;0)*(ROW(職員マスタ!$A$6:$A$405)-5))),IFERROR(MATCH($B1759,職員マスタ!$A$6:$A$405,0),"")))</f>
        <v/>
      </c>
      <c r="AQ1759" s="16">
        <f>IF(OR($B1759="",$C1759="",$D1759=""),"",DATE($C1759+2018,$D1759,1))</f>
        <v/>
      </c>
    </row>
    <row r="1760">
      <c r="A1760" s="11" t="n"/>
      <c r="B1760" s="12" t="n"/>
      <c r="C1760" s="12" t="n"/>
      <c r="D1760" s="12" t="n"/>
      <c r="E1760" s="13" t="n"/>
      <c r="F1760" s="12" t="n"/>
      <c r="G1760" s="13" t="n"/>
      <c r="H1760" s="12" t="n"/>
      <c r="I1760" s="12" t="n"/>
      <c r="J1760" s="12" t="n"/>
      <c r="K1760" s="12" t="n"/>
      <c r="L1760" s="11" t="n"/>
      <c r="M1760" s="11" t="n"/>
      <c r="N1760" s="11" t="n"/>
      <c r="O1760" s="11" t="n"/>
      <c r="P1760" s="12" t="n"/>
      <c r="Q1760" s="11" t="n"/>
      <c r="R1760" s="12" t="n"/>
      <c r="S1760" s="11" t="n"/>
      <c r="T1760" s="12" t="n"/>
      <c r="U1760" s="12" t="n"/>
      <c r="V1760" s="12" t="n"/>
      <c r="W1760" s="13" t="n"/>
      <c r="X1760" s="14">
        <f>IF($AP1760="",IF($B1760="","",$H1760),IF(INDEX(職員マスタ!$B$6:$B$405,$AP1760)="",$H1760,INDEX(職員マスタ!$B$6:$B$405,$AP1760)))</f>
        <v/>
      </c>
      <c r="Y1760" s="14">
        <f>IF($AP1760="",IF($B1760="","",$R1760),IF(INDEX(職員マスタ!$C$6:$C$405,$AP1760)="",$R1760,INDEX(職員マスタ!$C$6:$C$405,$AP1760)))</f>
        <v/>
      </c>
      <c r="Z1760" s="14">
        <f>IF($AQ1760="","","R"&amp;$C1760&amp;"."&amp;$D1760)</f>
        <v/>
      </c>
      <c r="AA1760" s="15">
        <f>IF(IF($AP1760="",FALSE,INDEX(職員マスタ!$K$6:$K$405,$AP1760)&lt;&gt;""),INDEX(職員マスタ!$K$6:$K$405,$AP1760),IF(N($W1760)&gt;0,$W1760,""))</f>
        <v/>
      </c>
      <c r="AB1760" s="14">
        <f>IF(OR($E1760="",$AA1760=""),"",IF($E1760&gt;=$AA1760,"×",IF($E1760&gt;=$AA1760*設定!$C$5,"△","○")))</f>
        <v/>
      </c>
      <c r="AC1760" s="15">
        <f>IF($AB1760="","",IF($AB1760="×",0,IF($AB1760="○",ROUNDDOWN($E1760*設定!$C$4,0),ROUNDDOWN($E1760*ROUND((9*$AA1760-9*$E1760)/(10*$E1760),4),0))))</f>
        <v/>
      </c>
      <c r="AD1760" s="13" t="n"/>
      <c r="AE1760" s="15">
        <f>IF($B1760="","",IF($AD1760&lt;&gt;"",$AD1760,IF($AC1760="","",IF($AC1760&lt;=設定!$C$3,0,$AC1760))))</f>
        <v/>
      </c>
      <c r="AF1760" s="14">
        <f>IF($B1760="","",IF(AND($AG1760&lt;&gt;"",$AI1760="",$AL1760=""),"保留中",IF($AL1760&lt;&gt;"",IF(N($AE1760)&gt;0,"支給済","不支給"),IF($AE1760="","要確認",IF($AE1760=0,"不支給","未処理")))))</f>
        <v/>
      </c>
      <c r="AG1760" s="12" t="n"/>
      <c r="AH1760" s="11" t="n"/>
      <c r="AI1760" s="11" t="n"/>
      <c r="AJ1760" s="11" t="n"/>
      <c r="AK1760" s="14">
        <f>IF(AND($AF1760="保留中",$AH1760&lt;&gt;""),TODAY()-$AH1760,"")</f>
        <v/>
      </c>
      <c r="AL1760" s="12" t="n"/>
      <c r="AM1760" s="14">
        <f>IF($B1760="","",IF($AQ1760="","対象年月が未入力／","")&amp;IF($B1760="","",IF($AP1760="","職員マスタに未登録の職員番号／",IF($AA1760="","標準報酬月額が未登録／","")&amp;IF(AND($AQ1760&lt;&gt;"",OR(AND(INDEX(職員マスタ!$G$6:$G$405,$AP1760)&lt;&gt;"",INDEX(職員マスタ!$G$6:$G$405,$AP1760)&gt;EOMONTH($AQ1760,0)),AND(INDEX(職員マスタ!$H$6:$H$405,$AP1760)&lt;&gt;"",INDEX(職員マスタ!$H$6:$H$405,$AP1760)&lt;$AQ1760))),"対象月が時短期間外／","")&amp;IF(AND(INDEX(職員マスタ!$K$6:$K$405,$AP1760)&lt;&gt;"",N($W1760)&gt;0,INDEX(職員マスタ!$K$6:$K$405,$AP1760)&lt;&gt;$W1760),"標準報酬月額が申請書と相違（台帳"&amp;TEXT(INDEX(職員マスタ!$K$6:$K$405,$AP1760),"#,##0")&amp;"円／申請書"&amp;TEXT($W1760,"#,##0")&amp;"円）／","")&amp;IF(AND(INDEX(職員マスタ!$F$6:$F$405,$AP1760)&lt;&gt;"",$AQ1760&lt;&gt;"",INDEX(職員マスタ!$F$6:$F$405,$AP1760)&lt;$AQ1760),"対象月に子が2歳到達済／","")&amp;IF(AND($H1760&lt;&gt;"",INDEX(職員マスタ!$B$6:$B$405,$AP1760)&lt;&gt;"",SUBSTITUTE(SUBSTITUTE($H1760," ","")," ","")&lt;&gt;SUBSTITUTE(SUBSTITUTE(INDEX(職員マスタ!$B$6:$B$405,$AP1760)," ","")," ","")),"氏名がマスタと相違／","")&amp;IF(AND($Q1760&lt;&gt;"",INDEX(職員マスタ!$E$6:$E$405,$AP1760)&lt;&gt;"",$Q1760&lt;&gt;INDEX(職員マスタ!$E$6:$E$405,$AP1760)),"子の生年月日がマスタと相違／","")&amp;IF(AND($L1760&lt;&gt;"",INDEX(職員マスタ!$G$6:$G$405,$AP1760)&lt;&gt;"",$L1760&lt;&gt;INDEX(職員マスタ!$G$6:$G$405,$AP1760)),"時短開始日がマスタと相違／","")&amp;IF(AND($M1760&lt;&gt;"",INDEX(職員マスタ!$H$6:$H$405,$AP1760)&lt;&gt;"",$M1760&lt;&gt;INDEX(職員マスタ!$H$6:$H$405,$AP1760)),"時短終了日がマスタと相違／","")))&amp;IF(AND($B1760&lt;&gt;"",$E1760=""),"報酬額が未入力／","")&amp;IF(N($U1760)&gt;0,"申請書に入力エラーが残っています／","")&amp;IF(AND($B1760&lt;&gt;"",$AQ1760&lt;&gt;""),IF(COUNTIFS($B$6:$B$3005,$B1760,$C$6:$C$3005,$C1760,$D$6:$D$3005,$D1760)&gt;1,"同じ月の請求が重複しています／",""),"")&amp;IF(AND(N($E1760)&gt;0,$AB1760&lt;&gt;"",$AB1760&lt;&gt;"×",$AE1760=0,$AD1760=""),"計算額が下限以下のため不支給／",""))</f>
        <v/>
      </c>
      <c r="AN1760" s="12" t="n"/>
      <c r="AO1760" s="14">
        <f>IF($AF1760="保留中",COUNTIF($AF$6:$AF1760,"保留中"),"")</f>
        <v/>
      </c>
      <c r="AP1760" s="14">
        <f>IF($AQ1760="","",IF(SUMPRODUCT(MAX((職員マスタ!$A$6:$A$405=$B1760)*(((職員マスタ!$G$6:$G$405="")+(職員マスタ!$G$6:$G$405&lt;=EOMONTH($AQ1760,0)))&gt;0)*(((職員マスタ!$H$6:$H$405="")+(職員マスタ!$H$6:$H$405&gt;=$AQ1760))&gt;0)*(ROW(職員マスタ!$A$6:$A$405)-5)))&gt;0,SUMPRODUCT(MAX((職員マスタ!$A$6:$A$405=$B1760)*(((職員マスタ!$G$6:$G$405="")+(職員マスタ!$G$6:$G$405&lt;=EOMONTH($AQ1760,0)))&gt;0)*(((職員マスタ!$H$6:$H$405="")+(職員マスタ!$H$6:$H$405&gt;=$AQ1760))&gt;0)*(ROW(職員マスタ!$A$6:$A$405)-5))),IFERROR(MATCH($B1760,職員マスタ!$A$6:$A$405,0),"")))</f>
        <v/>
      </c>
      <c r="AQ1760" s="16">
        <f>IF(OR($B1760="",$C1760="",$D1760=""),"",DATE($C1760+2018,$D1760,1))</f>
        <v/>
      </c>
    </row>
    <row r="1761">
      <c r="A1761" s="11" t="n"/>
      <c r="B1761" s="12" t="n"/>
      <c r="C1761" s="12" t="n"/>
      <c r="D1761" s="12" t="n"/>
      <c r="E1761" s="13" t="n"/>
      <c r="F1761" s="12" t="n"/>
      <c r="G1761" s="13" t="n"/>
      <c r="H1761" s="12" t="n"/>
      <c r="I1761" s="12" t="n"/>
      <c r="J1761" s="12" t="n"/>
      <c r="K1761" s="12" t="n"/>
      <c r="L1761" s="11" t="n"/>
      <c r="M1761" s="11" t="n"/>
      <c r="N1761" s="11" t="n"/>
      <c r="O1761" s="11" t="n"/>
      <c r="P1761" s="12" t="n"/>
      <c r="Q1761" s="11" t="n"/>
      <c r="R1761" s="12" t="n"/>
      <c r="S1761" s="11" t="n"/>
      <c r="T1761" s="12" t="n"/>
      <c r="U1761" s="12" t="n"/>
      <c r="V1761" s="12" t="n"/>
      <c r="W1761" s="13" t="n"/>
      <c r="X1761" s="14">
        <f>IF($AP1761="",IF($B1761="","",$H1761),IF(INDEX(職員マスタ!$B$6:$B$405,$AP1761)="",$H1761,INDEX(職員マスタ!$B$6:$B$405,$AP1761)))</f>
        <v/>
      </c>
      <c r="Y1761" s="14">
        <f>IF($AP1761="",IF($B1761="","",$R1761),IF(INDEX(職員マスタ!$C$6:$C$405,$AP1761)="",$R1761,INDEX(職員マスタ!$C$6:$C$405,$AP1761)))</f>
        <v/>
      </c>
      <c r="Z1761" s="14">
        <f>IF($AQ1761="","","R"&amp;$C1761&amp;"."&amp;$D1761)</f>
        <v/>
      </c>
      <c r="AA1761" s="15">
        <f>IF(IF($AP1761="",FALSE,INDEX(職員マスタ!$K$6:$K$405,$AP1761)&lt;&gt;""),INDEX(職員マスタ!$K$6:$K$405,$AP1761),IF(N($W1761)&gt;0,$W1761,""))</f>
        <v/>
      </c>
      <c r="AB1761" s="14">
        <f>IF(OR($E1761="",$AA1761=""),"",IF($E1761&gt;=$AA1761,"×",IF($E1761&gt;=$AA1761*設定!$C$5,"△","○")))</f>
        <v/>
      </c>
      <c r="AC1761" s="15">
        <f>IF($AB1761="","",IF($AB1761="×",0,IF($AB1761="○",ROUNDDOWN($E1761*設定!$C$4,0),ROUNDDOWN($E1761*ROUND((9*$AA1761-9*$E1761)/(10*$E1761),4),0))))</f>
        <v/>
      </c>
      <c r="AD1761" s="13" t="n"/>
      <c r="AE1761" s="15">
        <f>IF($B1761="","",IF($AD1761&lt;&gt;"",$AD1761,IF($AC1761="","",IF($AC1761&lt;=設定!$C$3,0,$AC1761))))</f>
        <v/>
      </c>
      <c r="AF1761" s="14">
        <f>IF($B1761="","",IF(AND($AG1761&lt;&gt;"",$AI1761="",$AL1761=""),"保留中",IF($AL1761&lt;&gt;"",IF(N($AE1761)&gt;0,"支給済","不支給"),IF($AE1761="","要確認",IF($AE1761=0,"不支給","未処理")))))</f>
        <v/>
      </c>
      <c r="AG1761" s="12" t="n"/>
      <c r="AH1761" s="11" t="n"/>
      <c r="AI1761" s="11" t="n"/>
      <c r="AJ1761" s="11" t="n"/>
      <c r="AK1761" s="14">
        <f>IF(AND($AF1761="保留中",$AH1761&lt;&gt;""),TODAY()-$AH1761,"")</f>
        <v/>
      </c>
      <c r="AL1761" s="12" t="n"/>
      <c r="AM1761" s="14">
        <f>IF($B1761="","",IF($AQ1761="","対象年月が未入力／","")&amp;IF($B1761="","",IF($AP1761="","職員マスタに未登録の職員番号／",IF($AA1761="","標準報酬月額が未登録／","")&amp;IF(AND($AQ1761&lt;&gt;"",OR(AND(INDEX(職員マスタ!$G$6:$G$405,$AP1761)&lt;&gt;"",INDEX(職員マスタ!$G$6:$G$405,$AP1761)&gt;EOMONTH($AQ1761,0)),AND(INDEX(職員マスタ!$H$6:$H$405,$AP1761)&lt;&gt;"",INDEX(職員マスタ!$H$6:$H$405,$AP1761)&lt;$AQ1761))),"対象月が時短期間外／","")&amp;IF(AND(INDEX(職員マスタ!$K$6:$K$405,$AP1761)&lt;&gt;"",N($W1761)&gt;0,INDEX(職員マスタ!$K$6:$K$405,$AP1761)&lt;&gt;$W1761),"標準報酬月額が申請書と相違（台帳"&amp;TEXT(INDEX(職員マスタ!$K$6:$K$405,$AP1761),"#,##0")&amp;"円／申請書"&amp;TEXT($W1761,"#,##0")&amp;"円）／","")&amp;IF(AND(INDEX(職員マスタ!$F$6:$F$405,$AP1761)&lt;&gt;"",$AQ1761&lt;&gt;"",INDEX(職員マスタ!$F$6:$F$405,$AP1761)&lt;$AQ1761),"対象月に子が2歳到達済／","")&amp;IF(AND($H1761&lt;&gt;"",INDEX(職員マスタ!$B$6:$B$405,$AP1761)&lt;&gt;"",SUBSTITUTE(SUBSTITUTE($H1761," ","")," ","")&lt;&gt;SUBSTITUTE(SUBSTITUTE(INDEX(職員マスタ!$B$6:$B$405,$AP1761)," ","")," ","")),"氏名がマスタと相違／","")&amp;IF(AND($Q1761&lt;&gt;"",INDEX(職員マスタ!$E$6:$E$405,$AP1761)&lt;&gt;"",$Q1761&lt;&gt;INDEX(職員マスタ!$E$6:$E$405,$AP1761)),"子の生年月日がマスタと相違／","")&amp;IF(AND($L1761&lt;&gt;"",INDEX(職員マスタ!$G$6:$G$405,$AP1761)&lt;&gt;"",$L1761&lt;&gt;INDEX(職員マスタ!$G$6:$G$405,$AP1761)),"時短開始日がマスタと相違／","")&amp;IF(AND($M1761&lt;&gt;"",INDEX(職員マスタ!$H$6:$H$405,$AP1761)&lt;&gt;"",$M1761&lt;&gt;INDEX(職員マスタ!$H$6:$H$405,$AP1761)),"時短終了日がマスタと相違／","")))&amp;IF(AND($B1761&lt;&gt;"",$E1761=""),"報酬額が未入力／","")&amp;IF(N($U1761)&gt;0,"申請書に入力エラーが残っています／","")&amp;IF(AND($B1761&lt;&gt;"",$AQ1761&lt;&gt;""),IF(COUNTIFS($B$6:$B$3005,$B1761,$C$6:$C$3005,$C1761,$D$6:$D$3005,$D1761)&gt;1,"同じ月の請求が重複しています／",""),"")&amp;IF(AND(N($E1761)&gt;0,$AB1761&lt;&gt;"",$AB1761&lt;&gt;"×",$AE1761=0,$AD1761=""),"計算額が下限以下のため不支給／",""))</f>
        <v/>
      </c>
      <c r="AN1761" s="12" t="n"/>
      <c r="AO1761" s="14">
        <f>IF($AF1761="保留中",COUNTIF($AF$6:$AF1761,"保留中"),"")</f>
        <v/>
      </c>
      <c r="AP1761" s="14">
        <f>IF($AQ1761="","",IF(SUMPRODUCT(MAX((職員マスタ!$A$6:$A$405=$B1761)*(((職員マスタ!$G$6:$G$405="")+(職員マスタ!$G$6:$G$405&lt;=EOMONTH($AQ1761,0)))&gt;0)*(((職員マスタ!$H$6:$H$405="")+(職員マスタ!$H$6:$H$405&gt;=$AQ1761))&gt;0)*(ROW(職員マスタ!$A$6:$A$405)-5)))&gt;0,SUMPRODUCT(MAX((職員マスタ!$A$6:$A$405=$B1761)*(((職員マスタ!$G$6:$G$405="")+(職員マスタ!$G$6:$G$405&lt;=EOMONTH($AQ1761,0)))&gt;0)*(((職員マスタ!$H$6:$H$405="")+(職員マスタ!$H$6:$H$405&gt;=$AQ1761))&gt;0)*(ROW(職員マスタ!$A$6:$A$405)-5))),IFERROR(MATCH($B1761,職員マスタ!$A$6:$A$405,0),"")))</f>
        <v/>
      </c>
      <c r="AQ1761" s="16">
        <f>IF(OR($B1761="",$C1761="",$D1761=""),"",DATE($C1761+2018,$D1761,1))</f>
        <v/>
      </c>
    </row>
    <row r="1762">
      <c r="A1762" s="11" t="n"/>
      <c r="B1762" s="12" t="n"/>
      <c r="C1762" s="12" t="n"/>
      <c r="D1762" s="12" t="n"/>
      <c r="E1762" s="13" t="n"/>
      <c r="F1762" s="12" t="n"/>
      <c r="G1762" s="13" t="n"/>
      <c r="H1762" s="12" t="n"/>
      <c r="I1762" s="12" t="n"/>
      <c r="J1762" s="12" t="n"/>
      <c r="K1762" s="12" t="n"/>
      <c r="L1762" s="11" t="n"/>
      <c r="M1762" s="11" t="n"/>
      <c r="N1762" s="11" t="n"/>
      <c r="O1762" s="11" t="n"/>
      <c r="P1762" s="12" t="n"/>
      <c r="Q1762" s="11" t="n"/>
      <c r="R1762" s="12" t="n"/>
      <c r="S1762" s="11" t="n"/>
      <c r="T1762" s="12" t="n"/>
      <c r="U1762" s="12" t="n"/>
      <c r="V1762" s="12" t="n"/>
      <c r="W1762" s="13" t="n"/>
      <c r="X1762" s="14">
        <f>IF($AP1762="",IF($B1762="","",$H1762),IF(INDEX(職員マスタ!$B$6:$B$405,$AP1762)="",$H1762,INDEX(職員マスタ!$B$6:$B$405,$AP1762)))</f>
        <v/>
      </c>
      <c r="Y1762" s="14">
        <f>IF($AP1762="",IF($B1762="","",$R1762),IF(INDEX(職員マスタ!$C$6:$C$405,$AP1762)="",$R1762,INDEX(職員マスタ!$C$6:$C$405,$AP1762)))</f>
        <v/>
      </c>
      <c r="Z1762" s="14">
        <f>IF($AQ1762="","","R"&amp;$C1762&amp;"."&amp;$D1762)</f>
        <v/>
      </c>
      <c r="AA1762" s="15">
        <f>IF(IF($AP1762="",FALSE,INDEX(職員マスタ!$K$6:$K$405,$AP1762)&lt;&gt;""),INDEX(職員マスタ!$K$6:$K$405,$AP1762),IF(N($W1762)&gt;0,$W1762,""))</f>
        <v/>
      </c>
      <c r="AB1762" s="14">
        <f>IF(OR($E1762="",$AA1762=""),"",IF($E1762&gt;=$AA1762,"×",IF($E1762&gt;=$AA1762*設定!$C$5,"△","○")))</f>
        <v/>
      </c>
      <c r="AC1762" s="15">
        <f>IF($AB1762="","",IF($AB1762="×",0,IF($AB1762="○",ROUNDDOWN($E1762*設定!$C$4,0),ROUNDDOWN($E1762*ROUND((9*$AA1762-9*$E1762)/(10*$E1762),4),0))))</f>
        <v/>
      </c>
      <c r="AD1762" s="13" t="n"/>
      <c r="AE1762" s="15">
        <f>IF($B1762="","",IF($AD1762&lt;&gt;"",$AD1762,IF($AC1762="","",IF($AC1762&lt;=設定!$C$3,0,$AC1762))))</f>
        <v/>
      </c>
      <c r="AF1762" s="14">
        <f>IF($B1762="","",IF(AND($AG1762&lt;&gt;"",$AI1762="",$AL1762=""),"保留中",IF($AL1762&lt;&gt;"",IF(N($AE1762)&gt;0,"支給済","不支給"),IF($AE1762="","要確認",IF($AE1762=0,"不支給","未処理")))))</f>
        <v/>
      </c>
      <c r="AG1762" s="12" t="n"/>
      <c r="AH1762" s="11" t="n"/>
      <c r="AI1762" s="11" t="n"/>
      <c r="AJ1762" s="11" t="n"/>
      <c r="AK1762" s="14">
        <f>IF(AND($AF1762="保留中",$AH1762&lt;&gt;""),TODAY()-$AH1762,"")</f>
        <v/>
      </c>
      <c r="AL1762" s="12" t="n"/>
      <c r="AM1762" s="14">
        <f>IF($B1762="","",IF($AQ1762="","対象年月が未入力／","")&amp;IF($B1762="","",IF($AP1762="","職員マスタに未登録の職員番号／",IF($AA1762="","標準報酬月額が未登録／","")&amp;IF(AND($AQ1762&lt;&gt;"",OR(AND(INDEX(職員マスタ!$G$6:$G$405,$AP1762)&lt;&gt;"",INDEX(職員マスタ!$G$6:$G$405,$AP1762)&gt;EOMONTH($AQ1762,0)),AND(INDEX(職員マスタ!$H$6:$H$405,$AP1762)&lt;&gt;"",INDEX(職員マスタ!$H$6:$H$405,$AP1762)&lt;$AQ1762))),"対象月が時短期間外／","")&amp;IF(AND(INDEX(職員マスタ!$K$6:$K$405,$AP1762)&lt;&gt;"",N($W1762)&gt;0,INDEX(職員マスタ!$K$6:$K$405,$AP1762)&lt;&gt;$W1762),"標準報酬月額が申請書と相違（台帳"&amp;TEXT(INDEX(職員マスタ!$K$6:$K$405,$AP1762),"#,##0")&amp;"円／申請書"&amp;TEXT($W1762,"#,##0")&amp;"円）／","")&amp;IF(AND(INDEX(職員マスタ!$F$6:$F$405,$AP1762)&lt;&gt;"",$AQ1762&lt;&gt;"",INDEX(職員マスタ!$F$6:$F$405,$AP1762)&lt;$AQ1762),"対象月に子が2歳到達済／","")&amp;IF(AND($H1762&lt;&gt;"",INDEX(職員マスタ!$B$6:$B$405,$AP1762)&lt;&gt;"",SUBSTITUTE(SUBSTITUTE($H1762," ","")," ","")&lt;&gt;SUBSTITUTE(SUBSTITUTE(INDEX(職員マスタ!$B$6:$B$405,$AP1762)," ","")," ","")),"氏名がマスタと相違／","")&amp;IF(AND($Q1762&lt;&gt;"",INDEX(職員マスタ!$E$6:$E$405,$AP1762)&lt;&gt;"",$Q1762&lt;&gt;INDEX(職員マスタ!$E$6:$E$405,$AP1762)),"子の生年月日がマスタと相違／","")&amp;IF(AND($L1762&lt;&gt;"",INDEX(職員マスタ!$G$6:$G$405,$AP1762)&lt;&gt;"",$L1762&lt;&gt;INDEX(職員マスタ!$G$6:$G$405,$AP1762)),"時短開始日がマスタと相違／","")&amp;IF(AND($M1762&lt;&gt;"",INDEX(職員マスタ!$H$6:$H$405,$AP1762)&lt;&gt;"",$M1762&lt;&gt;INDEX(職員マスタ!$H$6:$H$405,$AP1762)),"時短終了日がマスタと相違／","")))&amp;IF(AND($B1762&lt;&gt;"",$E1762=""),"報酬額が未入力／","")&amp;IF(N($U1762)&gt;0,"申請書に入力エラーが残っています／","")&amp;IF(AND($B1762&lt;&gt;"",$AQ1762&lt;&gt;""),IF(COUNTIFS($B$6:$B$3005,$B1762,$C$6:$C$3005,$C1762,$D$6:$D$3005,$D1762)&gt;1,"同じ月の請求が重複しています／",""),"")&amp;IF(AND(N($E1762)&gt;0,$AB1762&lt;&gt;"",$AB1762&lt;&gt;"×",$AE1762=0,$AD1762=""),"計算額が下限以下のため不支給／",""))</f>
        <v/>
      </c>
      <c r="AN1762" s="12" t="n"/>
      <c r="AO1762" s="14">
        <f>IF($AF1762="保留中",COUNTIF($AF$6:$AF1762,"保留中"),"")</f>
        <v/>
      </c>
      <c r="AP1762" s="14">
        <f>IF($AQ1762="","",IF(SUMPRODUCT(MAX((職員マスタ!$A$6:$A$405=$B1762)*(((職員マスタ!$G$6:$G$405="")+(職員マスタ!$G$6:$G$405&lt;=EOMONTH($AQ1762,0)))&gt;0)*(((職員マスタ!$H$6:$H$405="")+(職員マスタ!$H$6:$H$405&gt;=$AQ1762))&gt;0)*(ROW(職員マスタ!$A$6:$A$405)-5)))&gt;0,SUMPRODUCT(MAX((職員マスタ!$A$6:$A$405=$B1762)*(((職員マスタ!$G$6:$G$405="")+(職員マスタ!$G$6:$G$405&lt;=EOMONTH($AQ1762,0)))&gt;0)*(((職員マスタ!$H$6:$H$405="")+(職員マスタ!$H$6:$H$405&gt;=$AQ1762))&gt;0)*(ROW(職員マスタ!$A$6:$A$405)-5))),IFERROR(MATCH($B1762,職員マスタ!$A$6:$A$405,0),"")))</f>
        <v/>
      </c>
      <c r="AQ1762" s="16">
        <f>IF(OR($B1762="",$C1762="",$D1762=""),"",DATE($C1762+2018,$D1762,1))</f>
        <v/>
      </c>
    </row>
    <row r="1763">
      <c r="A1763" s="11" t="n"/>
      <c r="B1763" s="12" t="n"/>
      <c r="C1763" s="12" t="n"/>
      <c r="D1763" s="12" t="n"/>
      <c r="E1763" s="13" t="n"/>
      <c r="F1763" s="12" t="n"/>
      <c r="G1763" s="13" t="n"/>
      <c r="H1763" s="12" t="n"/>
      <c r="I1763" s="12" t="n"/>
      <c r="J1763" s="12" t="n"/>
      <c r="K1763" s="12" t="n"/>
      <c r="L1763" s="11" t="n"/>
      <c r="M1763" s="11" t="n"/>
      <c r="N1763" s="11" t="n"/>
      <c r="O1763" s="11" t="n"/>
      <c r="P1763" s="12" t="n"/>
      <c r="Q1763" s="11" t="n"/>
      <c r="R1763" s="12" t="n"/>
      <c r="S1763" s="11" t="n"/>
      <c r="T1763" s="12" t="n"/>
      <c r="U1763" s="12" t="n"/>
      <c r="V1763" s="12" t="n"/>
      <c r="W1763" s="13" t="n"/>
      <c r="X1763" s="14">
        <f>IF($AP1763="",IF($B1763="","",$H1763),IF(INDEX(職員マスタ!$B$6:$B$405,$AP1763)="",$H1763,INDEX(職員マスタ!$B$6:$B$405,$AP1763)))</f>
        <v/>
      </c>
      <c r="Y1763" s="14">
        <f>IF($AP1763="",IF($B1763="","",$R1763),IF(INDEX(職員マスタ!$C$6:$C$405,$AP1763)="",$R1763,INDEX(職員マスタ!$C$6:$C$405,$AP1763)))</f>
        <v/>
      </c>
      <c r="Z1763" s="14">
        <f>IF($AQ1763="","","R"&amp;$C1763&amp;"."&amp;$D1763)</f>
        <v/>
      </c>
      <c r="AA1763" s="15">
        <f>IF(IF($AP1763="",FALSE,INDEX(職員マスタ!$K$6:$K$405,$AP1763)&lt;&gt;""),INDEX(職員マスタ!$K$6:$K$405,$AP1763),IF(N($W1763)&gt;0,$W1763,""))</f>
        <v/>
      </c>
      <c r="AB1763" s="14">
        <f>IF(OR($E1763="",$AA1763=""),"",IF($E1763&gt;=$AA1763,"×",IF($E1763&gt;=$AA1763*設定!$C$5,"△","○")))</f>
        <v/>
      </c>
      <c r="AC1763" s="15">
        <f>IF($AB1763="","",IF($AB1763="×",0,IF($AB1763="○",ROUNDDOWN($E1763*設定!$C$4,0),ROUNDDOWN($E1763*ROUND((9*$AA1763-9*$E1763)/(10*$E1763),4),0))))</f>
        <v/>
      </c>
      <c r="AD1763" s="13" t="n"/>
      <c r="AE1763" s="15">
        <f>IF($B1763="","",IF($AD1763&lt;&gt;"",$AD1763,IF($AC1763="","",IF($AC1763&lt;=設定!$C$3,0,$AC1763))))</f>
        <v/>
      </c>
      <c r="AF1763" s="14">
        <f>IF($B1763="","",IF(AND($AG1763&lt;&gt;"",$AI1763="",$AL1763=""),"保留中",IF($AL1763&lt;&gt;"",IF(N($AE1763)&gt;0,"支給済","不支給"),IF($AE1763="","要確認",IF($AE1763=0,"不支給","未処理")))))</f>
        <v/>
      </c>
      <c r="AG1763" s="12" t="n"/>
      <c r="AH1763" s="11" t="n"/>
      <c r="AI1763" s="11" t="n"/>
      <c r="AJ1763" s="11" t="n"/>
      <c r="AK1763" s="14">
        <f>IF(AND($AF1763="保留中",$AH1763&lt;&gt;""),TODAY()-$AH1763,"")</f>
        <v/>
      </c>
      <c r="AL1763" s="12" t="n"/>
      <c r="AM1763" s="14">
        <f>IF($B1763="","",IF($AQ1763="","対象年月が未入力／","")&amp;IF($B1763="","",IF($AP1763="","職員マスタに未登録の職員番号／",IF($AA1763="","標準報酬月額が未登録／","")&amp;IF(AND($AQ1763&lt;&gt;"",OR(AND(INDEX(職員マスタ!$G$6:$G$405,$AP1763)&lt;&gt;"",INDEX(職員マスタ!$G$6:$G$405,$AP1763)&gt;EOMONTH($AQ1763,0)),AND(INDEX(職員マスタ!$H$6:$H$405,$AP1763)&lt;&gt;"",INDEX(職員マスタ!$H$6:$H$405,$AP1763)&lt;$AQ1763))),"対象月が時短期間外／","")&amp;IF(AND(INDEX(職員マスタ!$K$6:$K$405,$AP1763)&lt;&gt;"",N($W1763)&gt;0,INDEX(職員マスタ!$K$6:$K$405,$AP1763)&lt;&gt;$W1763),"標準報酬月額が申請書と相違（台帳"&amp;TEXT(INDEX(職員マスタ!$K$6:$K$405,$AP1763),"#,##0")&amp;"円／申請書"&amp;TEXT($W1763,"#,##0")&amp;"円）／","")&amp;IF(AND(INDEX(職員マスタ!$F$6:$F$405,$AP1763)&lt;&gt;"",$AQ1763&lt;&gt;"",INDEX(職員マスタ!$F$6:$F$405,$AP1763)&lt;$AQ1763),"対象月に子が2歳到達済／","")&amp;IF(AND($H1763&lt;&gt;"",INDEX(職員マスタ!$B$6:$B$405,$AP1763)&lt;&gt;"",SUBSTITUTE(SUBSTITUTE($H1763," ","")," ","")&lt;&gt;SUBSTITUTE(SUBSTITUTE(INDEX(職員マスタ!$B$6:$B$405,$AP1763)," ","")," ","")),"氏名がマスタと相違／","")&amp;IF(AND($Q1763&lt;&gt;"",INDEX(職員マスタ!$E$6:$E$405,$AP1763)&lt;&gt;"",$Q1763&lt;&gt;INDEX(職員マスタ!$E$6:$E$405,$AP1763)),"子の生年月日がマスタと相違／","")&amp;IF(AND($L1763&lt;&gt;"",INDEX(職員マスタ!$G$6:$G$405,$AP1763)&lt;&gt;"",$L1763&lt;&gt;INDEX(職員マスタ!$G$6:$G$405,$AP1763)),"時短開始日がマスタと相違／","")&amp;IF(AND($M1763&lt;&gt;"",INDEX(職員マスタ!$H$6:$H$405,$AP1763)&lt;&gt;"",$M1763&lt;&gt;INDEX(職員マスタ!$H$6:$H$405,$AP1763)),"時短終了日がマスタと相違／","")))&amp;IF(AND($B1763&lt;&gt;"",$E1763=""),"報酬額が未入力／","")&amp;IF(N($U1763)&gt;0,"申請書に入力エラーが残っています／","")&amp;IF(AND($B1763&lt;&gt;"",$AQ1763&lt;&gt;""),IF(COUNTIFS($B$6:$B$3005,$B1763,$C$6:$C$3005,$C1763,$D$6:$D$3005,$D1763)&gt;1,"同じ月の請求が重複しています／",""),"")&amp;IF(AND(N($E1763)&gt;0,$AB1763&lt;&gt;"",$AB1763&lt;&gt;"×",$AE1763=0,$AD1763=""),"計算額が下限以下のため不支給／",""))</f>
        <v/>
      </c>
      <c r="AN1763" s="12" t="n"/>
      <c r="AO1763" s="14">
        <f>IF($AF1763="保留中",COUNTIF($AF$6:$AF1763,"保留中"),"")</f>
        <v/>
      </c>
      <c r="AP1763" s="14">
        <f>IF($AQ1763="","",IF(SUMPRODUCT(MAX((職員マスタ!$A$6:$A$405=$B1763)*(((職員マスタ!$G$6:$G$405="")+(職員マスタ!$G$6:$G$405&lt;=EOMONTH($AQ1763,0)))&gt;0)*(((職員マスタ!$H$6:$H$405="")+(職員マスタ!$H$6:$H$405&gt;=$AQ1763))&gt;0)*(ROW(職員マスタ!$A$6:$A$405)-5)))&gt;0,SUMPRODUCT(MAX((職員マスタ!$A$6:$A$405=$B1763)*(((職員マスタ!$G$6:$G$405="")+(職員マスタ!$G$6:$G$405&lt;=EOMONTH($AQ1763,0)))&gt;0)*(((職員マスタ!$H$6:$H$405="")+(職員マスタ!$H$6:$H$405&gt;=$AQ1763))&gt;0)*(ROW(職員マスタ!$A$6:$A$405)-5))),IFERROR(MATCH($B1763,職員マスタ!$A$6:$A$405,0),"")))</f>
        <v/>
      </c>
      <c r="AQ1763" s="16">
        <f>IF(OR($B1763="",$C1763="",$D1763=""),"",DATE($C1763+2018,$D1763,1))</f>
        <v/>
      </c>
    </row>
    <row r="1764">
      <c r="A1764" s="11" t="n"/>
      <c r="B1764" s="12" t="n"/>
      <c r="C1764" s="12" t="n"/>
      <c r="D1764" s="12" t="n"/>
      <c r="E1764" s="13" t="n"/>
      <c r="F1764" s="12" t="n"/>
      <c r="G1764" s="13" t="n"/>
      <c r="H1764" s="12" t="n"/>
      <c r="I1764" s="12" t="n"/>
      <c r="J1764" s="12" t="n"/>
      <c r="K1764" s="12" t="n"/>
      <c r="L1764" s="11" t="n"/>
      <c r="M1764" s="11" t="n"/>
      <c r="N1764" s="11" t="n"/>
      <c r="O1764" s="11" t="n"/>
      <c r="P1764" s="12" t="n"/>
      <c r="Q1764" s="11" t="n"/>
      <c r="R1764" s="12" t="n"/>
      <c r="S1764" s="11" t="n"/>
      <c r="T1764" s="12" t="n"/>
      <c r="U1764" s="12" t="n"/>
      <c r="V1764" s="12" t="n"/>
      <c r="W1764" s="13" t="n"/>
      <c r="X1764" s="14">
        <f>IF($AP1764="",IF($B1764="","",$H1764),IF(INDEX(職員マスタ!$B$6:$B$405,$AP1764)="",$H1764,INDEX(職員マスタ!$B$6:$B$405,$AP1764)))</f>
        <v/>
      </c>
      <c r="Y1764" s="14">
        <f>IF($AP1764="",IF($B1764="","",$R1764),IF(INDEX(職員マスタ!$C$6:$C$405,$AP1764)="",$R1764,INDEX(職員マスタ!$C$6:$C$405,$AP1764)))</f>
        <v/>
      </c>
      <c r="Z1764" s="14">
        <f>IF($AQ1764="","","R"&amp;$C1764&amp;"."&amp;$D1764)</f>
        <v/>
      </c>
      <c r="AA1764" s="15">
        <f>IF(IF($AP1764="",FALSE,INDEX(職員マスタ!$K$6:$K$405,$AP1764)&lt;&gt;""),INDEX(職員マスタ!$K$6:$K$405,$AP1764),IF(N($W1764)&gt;0,$W1764,""))</f>
        <v/>
      </c>
      <c r="AB1764" s="14">
        <f>IF(OR($E1764="",$AA1764=""),"",IF($E1764&gt;=$AA1764,"×",IF($E1764&gt;=$AA1764*設定!$C$5,"△","○")))</f>
        <v/>
      </c>
      <c r="AC1764" s="15">
        <f>IF($AB1764="","",IF($AB1764="×",0,IF($AB1764="○",ROUNDDOWN($E1764*設定!$C$4,0),ROUNDDOWN($E1764*ROUND((9*$AA1764-9*$E1764)/(10*$E1764),4),0))))</f>
        <v/>
      </c>
      <c r="AD1764" s="13" t="n"/>
      <c r="AE1764" s="15">
        <f>IF($B1764="","",IF($AD1764&lt;&gt;"",$AD1764,IF($AC1764="","",IF($AC1764&lt;=設定!$C$3,0,$AC1764))))</f>
        <v/>
      </c>
      <c r="AF1764" s="14">
        <f>IF($B1764="","",IF(AND($AG1764&lt;&gt;"",$AI1764="",$AL1764=""),"保留中",IF($AL1764&lt;&gt;"",IF(N($AE1764)&gt;0,"支給済","不支給"),IF($AE1764="","要確認",IF($AE1764=0,"不支給","未処理")))))</f>
        <v/>
      </c>
      <c r="AG1764" s="12" t="n"/>
      <c r="AH1764" s="11" t="n"/>
      <c r="AI1764" s="11" t="n"/>
      <c r="AJ1764" s="11" t="n"/>
      <c r="AK1764" s="14">
        <f>IF(AND($AF1764="保留中",$AH1764&lt;&gt;""),TODAY()-$AH1764,"")</f>
        <v/>
      </c>
      <c r="AL1764" s="12" t="n"/>
      <c r="AM1764" s="14">
        <f>IF($B1764="","",IF($AQ1764="","対象年月が未入力／","")&amp;IF($B1764="","",IF($AP1764="","職員マスタに未登録の職員番号／",IF($AA1764="","標準報酬月額が未登録／","")&amp;IF(AND($AQ1764&lt;&gt;"",OR(AND(INDEX(職員マスタ!$G$6:$G$405,$AP1764)&lt;&gt;"",INDEX(職員マスタ!$G$6:$G$405,$AP1764)&gt;EOMONTH($AQ1764,0)),AND(INDEX(職員マスタ!$H$6:$H$405,$AP1764)&lt;&gt;"",INDEX(職員マスタ!$H$6:$H$405,$AP1764)&lt;$AQ1764))),"対象月が時短期間外／","")&amp;IF(AND(INDEX(職員マスタ!$K$6:$K$405,$AP1764)&lt;&gt;"",N($W1764)&gt;0,INDEX(職員マスタ!$K$6:$K$405,$AP1764)&lt;&gt;$W1764),"標準報酬月額が申請書と相違（台帳"&amp;TEXT(INDEX(職員マスタ!$K$6:$K$405,$AP1764),"#,##0")&amp;"円／申請書"&amp;TEXT($W1764,"#,##0")&amp;"円）／","")&amp;IF(AND(INDEX(職員マスタ!$F$6:$F$405,$AP1764)&lt;&gt;"",$AQ1764&lt;&gt;"",INDEX(職員マスタ!$F$6:$F$405,$AP1764)&lt;$AQ1764),"対象月に子が2歳到達済／","")&amp;IF(AND($H1764&lt;&gt;"",INDEX(職員マスタ!$B$6:$B$405,$AP1764)&lt;&gt;"",SUBSTITUTE(SUBSTITUTE($H1764," ","")," ","")&lt;&gt;SUBSTITUTE(SUBSTITUTE(INDEX(職員マスタ!$B$6:$B$405,$AP1764)," ","")," ","")),"氏名がマスタと相違／","")&amp;IF(AND($Q1764&lt;&gt;"",INDEX(職員マスタ!$E$6:$E$405,$AP1764)&lt;&gt;"",$Q1764&lt;&gt;INDEX(職員マスタ!$E$6:$E$405,$AP1764)),"子の生年月日がマスタと相違／","")&amp;IF(AND($L1764&lt;&gt;"",INDEX(職員マスタ!$G$6:$G$405,$AP1764)&lt;&gt;"",$L1764&lt;&gt;INDEX(職員マスタ!$G$6:$G$405,$AP1764)),"時短開始日がマスタと相違／","")&amp;IF(AND($M1764&lt;&gt;"",INDEX(職員マスタ!$H$6:$H$405,$AP1764)&lt;&gt;"",$M1764&lt;&gt;INDEX(職員マスタ!$H$6:$H$405,$AP1764)),"時短終了日がマスタと相違／","")))&amp;IF(AND($B1764&lt;&gt;"",$E1764=""),"報酬額が未入力／","")&amp;IF(N($U1764)&gt;0,"申請書に入力エラーが残っています／","")&amp;IF(AND($B1764&lt;&gt;"",$AQ1764&lt;&gt;""),IF(COUNTIFS($B$6:$B$3005,$B1764,$C$6:$C$3005,$C1764,$D$6:$D$3005,$D1764)&gt;1,"同じ月の請求が重複しています／",""),"")&amp;IF(AND(N($E1764)&gt;0,$AB1764&lt;&gt;"",$AB1764&lt;&gt;"×",$AE1764=0,$AD1764=""),"計算額が下限以下のため不支給／",""))</f>
        <v/>
      </c>
      <c r="AN1764" s="12" t="n"/>
      <c r="AO1764" s="14">
        <f>IF($AF1764="保留中",COUNTIF($AF$6:$AF1764,"保留中"),"")</f>
        <v/>
      </c>
      <c r="AP1764" s="14">
        <f>IF($AQ1764="","",IF(SUMPRODUCT(MAX((職員マスタ!$A$6:$A$405=$B1764)*(((職員マスタ!$G$6:$G$405="")+(職員マスタ!$G$6:$G$405&lt;=EOMONTH($AQ1764,0)))&gt;0)*(((職員マスタ!$H$6:$H$405="")+(職員マスタ!$H$6:$H$405&gt;=$AQ1764))&gt;0)*(ROW(職員マスタ!$A$6:$A$405)-5)))&gt;0,SUMPRODUCT(MAX((職員マスタ!$A$6:$A$405=$B1764)*(((職員マスタ!$G$6:$G$405="")+(職員マスタ!$G$6:$G$405&lt;=EOMONTH($AQ1764,0)))&gt;0)*(((職員マスタ!$H$6:$H$405="")+(職員マスタ!$H$6:$H$405&gt;=$AQ1764))&gt;0)*(ROW(職員マスタ!$A$6:$A$405)-5))),IFERROR(MATCH($B1764,職員マスタ!$A$6:$A$405,0),"")))</f>
        <v/>
      </c>
      <c r="AQ1764" s="16">
        <f>IF(OR($B1764="",$C1764="",$D1764=""),"",DATE($C1764+2018,$D1764,1))</f>
        <v/>
      </c>
    </row>
    <row r="1765">
      <c r="A1765" s="11" t="n"/>
      <c r="B1765" s="12" t="n"/>
      <c r="C1765" s="12" t="n"/>
      <c r="D1765" s="12" t="n"/>
      <c r="E1765" s="13" t="n"/>
      <c r="F1765" s="12" t="n"/>
      <c r="G1765" s="13" t="n"/>
      <c r="H1765" s="12" t="n"/>
      <c r="I1765" s="12" t="n"/>
      <c r="J1765" s="12" t="n"/>
      <c r="K1765" s="12" t="n"/>
      <c r="L1765" s="11" t="n"/>
      <c r="M1765" s="11" t="n"/>
      <c r="N1765" s="11" t="n"/>
      <c r="O1765" s="11" t="n"/>
      <c r="P1765" s="12" t="n"/>
      <c r="Q1765" s="11" t="n"/>
      <c r="R1765" s="12" t="n"/>
      <c r="S1765" s="11" t="n"/>
      <c r="T1765" s="12" t="n"/>
      <c r="U1765" s="12" t="n"/>
      <c r="V1765" s="12" t="n"/>
      <c r="W1765" s="13" t="n"/>
      <c r="X1765" s="14">
        <f>IF($AP1765="",IF($B1765="","",$H1765),IF(INDEX(職員マスタ!$B$6:$B$405,$AP1765)="",$H1765,INDEX(職員マスタ!$B$6:$B$405,$AP1765)))</f>
        <v/>
      </c>
      <c r="Y1765" s="14">
        <f>IF($AP1765="",IF($B1765="","",$R1765),IF(INDEX(職員マスタ!$C$6:$C$405,$AP1765)="",$R1765,INDEX(職員マスタ!$C$6:$C$405,$AP1765)))</f>
        <v/>
      </c>
      <c r="Z1765" s="14">
        <f>IF($AQ1765="","","R"&amp;$C1765&amp;"."&amp;$D1765)</f>
        <v/>
      </c>
      <c r="AA1765" s="15">
        <f>IF(IF($AP1765="",FALSE,INDEX(職員マスタ!$K$6:$K$405,$AP1765)&lt;&gt;""),INDEX(職員マスタ!$K$6:$K$405,$AP1765),IF(N($W1765)&gt;0,$W1765,""))</f>
        <v/>
      </c>
      <c r="AB1765" s="14">
        <f>IF(OR($E1765="",$AA1765=""),"",IF($E1765&gt;=$AA1765,"×",IF($E1765&gt;=$AA1765*設定!$C$5,"△","○")))</f>
        <v/>
      </c>
      <c r="AC1765" s="15">
        <f>IF($AB1765="","",IF($AB1765="×",0,IF($AB1765="○",ROUNDDOWN($E1765*設定!$C$4,0),ROUNDDOWN($E1765*ROUND((9*$AA1765-9*$E1765)/(10*$E1765),4),0))))</f>
        <v/>
      </c>
      <c r="AD1765" s="13" t="n"/>
      <c r="AE1765" s="15">
        <f>IF($B1765="","",IF($AD1765&lt;&gt;"",$AD1765,IF($AC1765="","",IF($AC1765&lt;=設定!$C$3,0,$AC1765))))</f>
        <v/>
      </c>
      <c r="AF1765" s="14">
        <f>IF($B1765="","",IF(AND($AG1765&lt;&gt;"",$AI1765="",$AL1765=""),"保留中",IF($AL1765&lt;&gt;"",IF(N($AE1765)&gt;0,"支給済","不支給"),IF($AE1765="","要確認",IF($AE1765=0,"不支給","未処理")))))</f>
        <v/>
      </c>
      <c r="AG1765" s="12" t="n"/>
      <c r="AH1765" s="11" t="n"/>
      <c r="AI1765" s="11" t="n"/>
      <c r="AJ1765" s="11" t="n"/>
      <c r="AK1765" s="14">
        <f>IF(AND($AF1765="保留中",$AH1765&lt;&gt;""),TODAY()-$AH1765,"")</f>
        <v/>
      </c>
      <c r="AL1765" s="12" t="n"/>
      <c r="AM1765" s="14">
        <f>IF($B1765="","",IF($AQ1765="","対象年月が未入力／","")&amp;IF($B1765="","",IF($AP1765="","職員マスタに未登録の職員番号／",IF($AA1765="","標準報酬月額が未登録／","")&amp;IF(AND($AQ1765&lt;&gt;"",OR(AND(INDEX(職員マスタ!$G$6:$G$405,$AP1765)&lt;&gt;"",INDEX(職員マスタ!$G$6:$G$405,$AP1765)&gt;EOMONTH($AQ1765,0)),AND(INDEX(職員マスタ!$H$6:$H$405,$AP1765)&lt;&gt;"",INDEX(職員マスタ!$H$6:$H$405,$AP1765)&lt;$AQ1765))),"対象月が時短期間外／","")&amp;IF(AND(INDEX(職員マスタ!$K$6:$K$405,$AP1765)&lt;&gt;"",N($W1765)&gt;0,INDEX(職員マスタ!$K$6:$K$405,$AP1765)&lt;&gt;$W1765),"標準報酬月額が申請書と相違（台帳"&amp;TEXT(INDEX(職員マスタ!$K$6:$K$405,$AP1765),"#,##0")&amp;"円／申請書"&amp;TEXT($W1765,"#,##0")&amp;"円）／","")&amp;IF(AND(INDEX(職員マスタ!$F$6:$F$405,$AP1765)&lt;&gt;"",$AQ1765&lt;&gt;"",INDEX(職員マスタ!$F$6:$F$405,$AP1765)&lt;$AQ1765),"対象月に子が2歳到達済／","")&amp;IF(AND($H1765&lt;&gt;"",INDEX(職員マスタ!$B$6:$B$405,$AP1765)&lt;&gt;"",SUBSTITUTE(SUBSTITUTE($H1765," ","")," ","")&lt;&gt;SUBSTITUTE(SUBSTITUTE(INDEX(職員マスタ!$B$6:$B$405,$AP1765)," ","")," ","")),"氏名がマスタと相違／","")&amp;IF(AND($Q1765&lt;&gt;"",INDEX(職員マスタ!$E$6:$E$405,$AP1765)&lt;&gt;"",$Q1765&lt;&gt;INDEX(職員マスタ!$E$6:$E$405,$AP1765)),"子の生年月日がマスタと相違／","")&amp;IF(AND($L1765&lt;&gt;"",INDEX(職員マスタ!$G$6:$G$405,$AP1765)&lt;&gt;"",$L1765&lt;&gt;INDEX(職員マスタ!$G$6:$G$405,$AP1765)),"時短開始日がマスタと相違／","")&amp;IF(AND($M1765&lt;&gt;"",INDEX(職員マスタ!$H$6:$H$405,$AP1765)&lt;&gt;"",$M1765&lt;&gt;INDEX(職員マスタ!$H$6:$H$405,$AP1765)),"時短終了日がマスタと相違／","")))&amp;IF(AND($B1765&lt;&gt;"",$E1765=""),"報酬額が未入力／","")&amp;IF(N($U1765)&gt;0,"申請書に入力エラーが残っています／","")&amp;IF(AND($B1765&lt;&gt;"",$AQ1765&lt;&gt;""),IF(COUNTIFS($B$6:$B$3005,$B1765,$C$6:$C$3005,$C1765,$D$6:$D$3005,$D1765)&gt;1,"同じ月の請求が重複しています／",""),"")&amp;IF(AND(N($E1765)&gt;0,$AB1765&lt;&gt;"",$AB1765&lt;&gt;"×",$AE1765=0,$AD1765=""),"計算額が下限以下のため不支給／",""))</f>
        <v/>
      </c>
      <c r="AN1765" s="12" t="n"/>
      <c r="AO1765" s="14">
        <f>IF($AF1765="保留中",COUNTIF($AF$6:$AF1765,"保留中"),"")</f>
        <v/>
      </c>
      <c r="AP1765" s="14">
        <f>IF($AQ1765="","",IF(SUMPRODUCT(MAX((職員マスタ!$A$6:$A$405=$B1765)*(((職員マスタ!$G$6:$G$405="")+(職員マスタ!$G$6:$G$405&lt;=EOMONTH($AQ1765,0)))&gt;0)*(((職員マスタ!$H$6:$H$405="")+(職員マスタ!$H$6:$H$405&gt;=$AQ1765))&gt;0)*(ROW(職員マスタ!$A$6:$A$405)-5)))&gt;0,SUMPRODUCT(MAX((職員マスタ!$A$6:$A$405=$B1765)*(((職員マスタ!$G$6:$G$405="")+(職員マスタ!$G$6:$G$405&lt;=EOMONTH($AQ1765,0)))&gt;0)*(((職員マスタ!$H$6:$H$405="")+(職員マスタ!$H$6:$H$405&gt;=$AQ1765))&gt;0)*(ROW(職員マスタ!$A$6:$A$405)-5))),IFERROR(MATCH($B1765,職員マスタ!$A$6:$A$405,0),"")))</f>
        <v/>
      </c>
      <c r="AQ1765" s="16">
        <f>IF(OR($B1765="",$C1765="",$D1765=""),"",DATE($C1765+2018,$D1765,1))</f>
        <v/>
      </c>
    </row>
    <row r="1766">
      <c r="A1766" s="11" t="n"/>
      <c r="B1766" s="12" t="n"/>
      <c r="C1766" s="12" t="n"/>
      <c r="D1766" s="12" t="n"/>
      <c r="E1766" s="13" t="n"/>
      <c r="F1766" s="12" t="n"/>
      <c r="G1766" s="13" t="n"/>
      <c r="H1766" s="12" t="n"/>
      <c r="I1766" s="12" t="n"/>
      <c r="J1766" s="12" t="n"/>
      <c r="K1766" s="12" t="n"/>
      <c r="L1766" s="11" t="n"/>
      <c r="M1766" s="11" t="n"/>
      <c r="N1766" s="11" t="n"/>
      <c r="O1766" s="11" t="n"/>
      <c r="P1766" s="12" t="n"/>
      <c r="Q1766" s="11" t="n"/>
      <c r="R1766" s="12" t="n"/>
      <c r="S1766" s="11" t="n"/>
      <c r="T1766" s="12" t="n"/>
      <c r="U1766" s="12" t="n"/>
      <c r="V1766" s="12" t="n"/>
      <c r="W1766" s="13" t="n"/>
      <c r="X1766" s="14">
        <f>IF($AP1766="",IF($B1766="","",$H1766),IF(INDEX(職員マスタ!$B$6:$B$405,$AP1766)="",$H1766,INDEX(職員マスタ!$B$6:$B$405,$AP1766)))</f>
        <v/>
      </c>
      <c r="Y1766" s="14">
        <f>IF($AP1766="",IF($B1766="","",$R1766),IF(INDEX(職員マスタ!$C$6:$C$405,$AP1766)="",$R1766,INDEX(職員マスタ!$C$6:$C$405,$AP1766)))</f>
        <v/>
      </c>
      <c r="Z1766" s="14">
        <f>IF($AQ1766="","","R"&amp;$C1766&amp;"."&amp;$D1766)</f>
        <v/>
      </c>
      <c r="AA1766" s="15">
        <f>IF(IF($AP1766="",FALSE,INDEX(職員マスタ!$K$6:$K$405,$AP1766)&lt;&gt;""),INDEX(職員マスタ!$K$6:$K$405,$AP1766),IF(N($W1766)&gt;0,$W1766,""))</f>
        <v/>
      </c>
      <c r="AB1766" s="14">
        <f>IF(OR($E1766="",$AA1766=""),"",IF($E1766&gt;=$AA1766,"×",IF($E1766&gt;=$AA1766*設定!$C$5,"△","○")))</f>
        <v/>
      </c>
      <c r="AC1766" s="15">
        <f>IF($AB1766="","",IF($AB1766="×",0,IF($AB1766="○",ROUNDDOWN($E1766*設定!$C$4,0),ROUNDDOWN($E1766*ROUND((9*$AA1766-9*$E1766)/(10*$E1766),4),0))))</f>
        <v/>
      </c>
      <c r="AD1766" s="13" t="n"/>
      <c r="AE1766" s="15">
        <f>IF($B1766="","",IF($AD1766&lt;&gt;"",$AD1766,IF($AC1766="","",IF($AC1766&lt;=設定!$C$3,0,$AC1766))))</f>
        <v/>
      </c>
      <c r="AF1766" s="14">
        <f>IF($B1766="","",IF(AND($AG1766&lt;&gt;"",$AI1766="",$AL1766=""),"保留中",IF($AL1766&lt;&gt;"",IF(N($AE1766)&gt;0,"支給済","不支給"),IF($AE1766="","要確認",IF($AE1766=0,"不支給","未処理")))))</f>
        <v/>
      </c>
      <c r="AG1766" s="12" t="n"/>
      <c r="AH1766" s="11" t="n"/>
      <c r="AI1766" s="11" t="n"/>
      <c r="AJ1766" s="11" t="n"/>
      <c r="AK1766" s="14">
        <f>IF(AND($AF1766="保留中",$AH1766&lt;&gt;""),TODAY()-$AH1766,"")</f>
        <v/>
      </c>
      <c r="AL1766" s="12" t="n"/>
      <c r="AM1766" s="14">
        <f>IF($B1766="","",IF($AQ1766="","対象年月が未入力／","")&amp;IF($B1766="","",IF($AP1766="","職員マスタに未登録の職員番号／",IF($AA1766="","標準報酬月額が未登録／","")&amp;IF(AND($AQ1766&lt;&gt;"",OR(AND(INDEX(職員マスタ!$G$6:$G$405,$AP1766)&lt;&gt;"",INDEX(職員マスタ!$G$6:$G$405,$AP1766)&gt;EOMONTH($AQ1766,0)),AND(INDEX(職員マスタ!$H$6:$H$405,$AP1766)&lt;&gt;"",INDEX(職員マスタ!$H$6:$H$405,$AP1766)&lt;$AQ1766))),"対象月が時短期間外／","")&amp;IF(AND(INDEX(職員マスタ!$K$6:$K$405,$AP1766)&lt;&gt;"",N($W1766)&gt;0,INDEX(職員マスタ!$K$6:$K$405,$AP1766)&lt;&gt;$W1766),"標準報酬月額が申請書と相違（台帳"&amp;TEXT(INDEX(職員マスタ!$K$6:$K$405,$AP1766),"#,##0")&amp;"円／申請書"&amp;TEXT($W1766,"#,##0")&amp;"円）／","")&amp;IF(AND(INDEX(職員マスタ!$F$6:$F$405,$AP1766)&lt;&gt;"",$AQ1766&lt;&gt;"",INDEX(職員マスタ!$F$6:$F$405,$AP1766)&lt;$AQ1766),"対象月に子が2歳到達済／","")&amp;IF(AND($H1766&lt;&gt;"",INDEX(職員マスタ!$B$6:$B$405,$AP1766)&lt;&gt;"",SUBSTITUTE(SUBSTITUTE($H1766," ","")," ","")&lt;&gt;SUBSTITUTE(SUBSTITUTE(INDEX(職員マスタ!$B$6:$B$405,$AP1766)," ","")," ","")),"氏名がマスタと相違／","")&amp;IF(AND($Q1766&lt;&gt;"",INDEX(職員マスタ!$E$6:$E$405,$AP1766)&lt;&gt;"",$Q1766&lt;&gt;INDEX(職員マスタ!$E$6:$E$405,$AP1766)),"子の生年月日がマスタと相違／","")&amp;IF(AND($L1766&lt;&gt;"",INDEX(職員マスタ!$G$6:$G$405,$AP1766)&lt;&gt;"",$L1766&lt;&gt;INDEX(職員マスタ!$G$6:$G$405,$AP1766)),"時短開始日がマスタと相違／","")&amp;IF(AND($M1766&lt;&gt;"",INDEX(職員マスタ!$H$6:$H$405,$AP1766)&lt;&gt;"",$M1766&lt;&gt;INDEX(職員マスタ!$H$6:$H$405,$AP1766)),"時短終了日がマスタと相違／","")))&amp;IF(AND($B1766&lt;&gt;"",$E1766=""),"報酬額が未入力／","")&amp;IF(N($U1766)&gt;0,"申請書に入力エラーが残っています／","")&amp;IF(AND($B1766&lt;&gt;"",$AQ1766&lt;&gt;""),IF(COUNTIFS($B$6:$B$3005,$B1766,$C$6:$C$3005,$C1766,$D$6:$D$3005,$D1766)&gt;1,"同じ月の請求が重複しています／",""),"")&amp;IF(AND(N($E1766)&gt;0,$AB1766&lt;&gt;"",$AB1766&lt;&gt;"×",$AE1766=0,$AD1766=""),"計算額が下限以下のため不支給／",""))</f>
        <v/>
      </c>
      <c r="AN1766" s="12" t="n"/>
      <c r="AO1766" s="14">
        <f>IF($AF1766="保留中",COUNTIF($AF$6:$AF1766,"保留中"),"")</f>
        <v/>
      </c>
      <c r="AP1766" s="14">
        <f>IF($AQ1766="","",IF(SUMPRODUCT(MAX((職員マスタ!$A$6:$A$405=$B1766)*(((職員マスタ!$G$6:$G$405="")+(職員マスタ!$G$6:$G$405&lt;=EOMONTH($AQ1766,0)))&gt;0)*(((職員マスタ!$H$6:$H$405="")+(職員マスタ!$H$6:$H$405&gt;=$AQ1766))&gt;0)*(ROW(職員マスタ!$A$6:$A$405)-5)))&gt;0,SUMPRODUCT(MAX((職員マスタ!$A$6:$A$405=$B1766)*(((職員マスタ!$G$6:$G$405="")+(職員マスタ!$G$6:$G$405&lt;=EOMONTH($AQ1766,0)))&gt;0)*(((職員マスタ!$H$6:$H$405="")+(職員マスタ!$H$6:$H$405&gt;=$AQ1766))&gt;0)*(ROW(職員マスタ!$A$6:$A$405)-5))),IFERROR(MATCH($B1766,職員マスタ!$A$6:$A$405,0),"")))</f>
        <v/>
      </c>
      <c r="AQ1766" s="16">
        <f>IF(OR($B1766="",$C1766="",$D1766=""),"",DATE($C1766+2018,$D1766,1))</f>
        <v/>
      </c>
    </row>
    <row r="1767">
      <c r="A1767" s="11" t="n"/>
      <c r="B1767" s="12" t="n"/>
      <c r="C1767" s="12" t="n"/>
      <c r="D1767" s="12" t="n"/>
      <c r="E1767" s="13" t="n"/>
      <c r="F1767" s="12" t="n"/>
      <c r="G1767" s="13" t="n"/>
      <c r="H1767" s="12" t="n"/>
      <c r="I1767" s="12" t="n"/>
      <c r="J1767" s="12" t="n"/>
      <c r="K1767" s="12" t="n"/>
      <c r="L1767" s="11" t="n"/>
      <c r="M1767" s="11" t="n"/>
      <c r="N1767" s="11" t="n"/>
      <c r="O1767" s="11" t="n"/>
      <c r="P1767" s="12" t="n"/>
      <c r="Q1767" s="11" t="n"/>
      <c r="R1767" s="12" t="n"/>
      <c r="S1767" s="11" t="n"/>
      <c r="T1767" s="12" t="n"/>
      <c r="U1767" s="12" t="n"/>
      <c r="V1767" s="12" t="n"/>
      <c r="W1767" s="13" t="n"/>
      <c r="X1767" s="14">
        <f>IF($AP1767="",IF($B1767="","",$H1767),IF(INDEX(職員マスタ!$B$6:$B$405,$AP1767)="",$H1767,INDEX(職員マスタ!$B$6:$B$405,$AP1767)))</f>
        <v/>
      </c>
      <c r="Y1767" s="14">
        <f>IF($AP1767="",IF($B1767="","",$R1767),IF(INDEX(職員マスタ!$C$6:$C$405,$AP1767)="",$R1767,INDEX(職員マスタ!$C$6:$C$405,$AP1767)))</f>
        <v/>
      </c>
      <c r="Z1767" s="14">
        <f>IF($AQ1767="","","R"&amp;$C1767&amp;"."&amp;$D1767)</f>
        <v/>
      </c>
      <c r="AA1767" s="15">
        <f>IF(IF($AP1767="",FALSE,INDEX(職員マスタ!$K$6:$K$405,$AP1767)&lt;&gt;""),INDEX(職員マスタ!$K$6:$K$405,$AP1767),IF(N($W1767)&gt;0,$W1767,""))</f>
        <v/>
      </c>
      <c r="AB1767" s="14">
        <f>IF(OR($E1767="",$AA1767=""),"",IF($E1767&gt;=$AA1767,"×",IF($E1767&gt;=$AA1767*設定!$C$5,"△","○")))</f>
        <v/>
      </c>
      <c r="AC1767" s="15">
        <f>IF($AB1767="","",IF($AB1767="×",0,IF($AB1767="○",ROUNDDOWN($E1767*設定!$C$4,0),ROUNDDOWN($E1767*ROUND((9*$AA1767-9*$E1767)/(10*$E1767),4),0))))</f>
        <v/>
      </c>
      <c r="AD1767" s="13" t="n"/>
      <c r="AE1767" s="15">
        <f>IF($B1767="","",IF($AD1767&lt;&gt;"",$AD1767,IF($AC1767="","",IF($AC1767&lt;=設定!$C$3,0,$AC1767))))</f>
        <v/>
      </c>
      <c r="AF1767" s="14">
        <f>IF($B1767="","",IF(AND($AG1767&lt;&gt;"",$AI1767="",$AL1767=""),"保留中",IF($AL1767&lt;&gt;"",IF(N($AE1767)&gt;0,"支給済","不支給"),IF($AE1767="","要確認",IF($AE1767=0,"不支給","未処理")))))</f>
        <v/>
      </c>
      <c r="AG1767" s="12" t="n"/>
      <c r="AH1767" s="11" t="n"/>
      <c r="AI1767" s="11" t="n"/>
      <c r="AJ1767" s="11" t="n"/>
      <c r="AK1767" s="14">
        <f>IF(AND($AF1767="保留中",$AH1767&lt;&gt;""),TODAY()-$AH1767,"")</f>
        <v/>
      </c>
      <c r="AL1767" s="12" t="n"/>
      <c r="AM1767" s="14">
        <f>IF($B1767="","",IF($AQ1767="","対象年月が未入力／","")&amp;IF($B1767="","",IF($AP1767="","職員マスタに未登録の職員番号／",IF($AA1767="","標準報酬月額が未登録／","")&amp;IF(AND($AQ1767&lt;&gt;"",OR(AND(INDEX(職員マスタ!$G$6:$G$405,$AP1767)&lt;&gt;"",INDEX(職員マスタ!$G$6:$G$405,$AP1767)&gt;EOMONTH($AQ1767,0)),AND(INDEX(職員マスタ!$H$6:$H$405,$AP1767)&lt;&gt;"",INDEX(職員マスタ!$H$6:$H$405,$AP1767)&lt;$AQ1767))),"対象月が時短期間外／","")&amp;IF(AND(INDEX(職員マスタ!$K$6:$K$405,$AP1767)&lt;&gt;"",N($W1767)&gt;0,INDEX(職員マスタ!$K$6:$K$405,$AP1767)&lt;&gt;$W1767),"標準報酬月額が申請書と相違（台帳"&amp;TEXT(INDEX(職員マスタ!$K$6:$K$405,$AP1767),"#,##0")&amp;"円／申請書"&amp;TEXT($W1767,"#,##0")&amp;"円）／","")&amp;IF(AND(INDEX(職員マスタ!$F$6:$F$405,$AP1767)&lt;&gt;"",$AQ1767&lt;&gt;"",INDEX(職員マスタ!$F$6:$F$405,$AP1767)&lt;$AQ1767),"対象月に子が2歳到達済／","")&amp;IF(AND($H1767&lt;&gt;"",INDEX(職員マスタ!$B$6:$B$405,$AP1767)&lt;&gt;"",SUBSTITUTE(SUBSTITUTE($H1767," ","")," ","")&lt;&gt;SUBSTITUTE(SUBSTITUTE(INDEX(職員マスタ!$B$6:$B$405,$AP1767)," ","")," ","")),"氏名がマスタと相違／","")&amp;IF(AND($Q1767&lt;&gt;"",INDEX(職員マスタ!$E$6:$E$405,$AP1767)&lt;&gt;"",$Q1767&lt;&gt;INDEX(職員マスタ!$E$6:$E$405,$AP1767)),"子の生年月日がマスタと相違／","")&amp;IF(AND($L1767&lt;&gt;"",INDEX(職員マスタ!$G$6:$G$405,$AP1767)&lt;&gt;"",$L1767&lt;&gt;INDEX(職員マスタ!$G$6:$G$405,$AP1767)),"時短開始日がマスタと相違／","")&amp;IF(AND($M1767&lt;&gt;"",INDEX(職員マスタ!$H$6:$H$405,$AP1767)&lt;&gt;"",$M1767&lt;&gt;INDEX(職員マスタ!$H$6:$H$405,$AP1767)),"時短終了日がマスタと相違／","")))&amp;IF(AND($B1767&lt;&gt;"",$E1767=""),"報酬額が未入力／","")&amp;IF(N($U1767)&gt;0,"申請書に入力エラーが残っています／","")&amp;IF(AND($B1767&lt;&gt;"",$AQ1767&lt;&gt;""),IF(COUNTIFS($B$6:$B$3005,$B1767,$C$6:$C$3005,$C1767,$D$6:$D$3005,$D1767)&gt;1,"同じ月の請求が重複しています／",""),"")&amp;IF(AND(N($E1767)&gt;0,$AB1767&lt;&gt;"",$AB1767&lt;&gt;"×",$AE1767=0,$AD1767=""),"計算額が下限以下のため不支給／",""))</f>
        <v/>
      </c>
      <c r="AN1767" s="12" t="n"/>
      <c r="AO1767" s="14">
        <f>IF($AF1767="保留中",COUNTIF($AF$6:$AF1767,"保留中"),"")</f>
        <v/>
      </c>
      <c r="AP1767" s="14">
        <f>IF($AQ1767="","",IF(SUMPRODUCT(MAX((職員マスタ!$A$6:$A$405=$B1767)*(((職員マスタ!$G$6:$G$405="")+(職員マスタ!$G$6:$G$405&lt;=EOMONTH($AQ1767,0)))&gt;0)*(((職員マスタ!$H$6:$H$405="")+(職員マスタ!$H$6:$H$405&gt;=$AQ1767))&gt;0)*(ROW(職員マスタ!$A$6:$A$405)-5)))&gt;0,SUMPRODUCT(MAX((職員マスタ!$A$6:$A$405=$B1767)*(((職員マスタ!$G$6:$G$405="")+(職員マスタ!$G$6:$G$405&lt;=EOMONTH($AQ1767,0)))&gt;0)*(((職員マスタ!$H$6:$H$405="")+(職員マスタ!$H$6:$H$405&gt;=$AQ1767))&gt;0)*(ROW(職員マスタ!$A$6:$A$405)-5))),IFERROR(MATCH($B1767,職員マスタ!$A$6:$A$405,0),"")))</f>
        <v/>
      </c>
      <c r="AQ1767" s="16">
        <f>IF(OR($B1767="",$C1767="",$D1767=""),"",DATE($C1767+2018,$D1767,1))</f>
        <v/>
      </c>
    </row>
    <row r="1768">
      <c r="A1768" s="11" t="n"/>
      <c r="B1768" s="12" t="n"/>
      <c r="C1768" s="12" t="n"/>
      <c r="D1768" s="12" t="n"/>
      <c r="E1768" s="13" t="n"/>
      <c r="F1768" s="12" t="n"/>
      <c r="G1768" s="13" t="n"/>
      <c r="H1768" s="12" t="n"/>
      <c r="I1768" s="12" t="n"/>
      <c r="J1768" s="12" t="n"/>
      <c r="K1768" s="12" t="n"/>
      <c r="L1768" s="11" t="n"/>
      <c r="M1768" s="11" t="n"/>
      <c r="N1768" s="11" t="n"/>
      <c r="O1768" s="11" t="n"/>
      <c r="P1768" s="12" t="n"/>
      <c r="Q1768" s="11" t="n"/>
      <c r="R1768" s="12" t="n"/>
      <c r="S1768" s="11" t="n"/>
      <c r="T1768" s="12" t="n"/>
      <c r="U1768" s="12" t="n"/>
      <c r="V1768" s="12" t="n"/>
      <c r="W1768" s="13" t="n"/>
      <c r="X1768" s="14">
        <f>IF($AP1768="",IF($B1768="","",$H1768),IF(INDEX(職員マスタ!$B$6:$B$405,$AP1768)="",$H1768,INDEX(職員マスタ!$B$6:$B$405,$AP1768)))</f>
        <v/>
      </c>
      <c r="Y1768" s="14">
        <f>IF($AP1768="",IF($B1768="","",$R1768),IF(INDEX(職員マスタ!$C$6:$C$405,$AP1768)="",$R1768,INDEX(職員マスタ!$C$6:$C$405,$AP1768)))</f>
        <v/>
      </c>
      <c r="Z1768" s="14">
        <f>IF($AQ1768="","","R"&amp;$C1768&amp;"."&amp;$D1768)</f>
        <v/>
      </c>
      <c r="AA1768" s="15">
        <f>IF(IF($AP1768="",FALSE,INDEX(職員マスタ!$K$6:$K$405,$AP1768)&lt;&gt;""),INDEX(職員マスタ!$K$6:$K$405,$AP1768),IF(N($W1768)&gt;0,$W1768,""))</f>
        <v/>
      </c>
      <c r="AB1768" s="14">
        <f>IF(OR($E1768="",$AA1768=""),"",IF($E1768&gt;=$AA1768,"×",IF($E1768&gt;=$AA1768*設定!$C$5,"△","○")))</f>
        <v/>
      </c>
      <c r="AC1768" s="15">
        <f>IF($AB1768="","",IF($AB1768="×",0,IF($AB1768="○",ROUNDDOWN($E1768*設定!$C$4,0),ROUNDDOWN($E1768*ROUND((9*$AA1768-9*$E1768)/(10*$E1768),4),0))))</f>
        <v/>
      </c>
      <c r="AD1768" s="13" t="n"/>
      <c r="AE1768" s="15">
        <f>IF($B1768="","",IF($AD1768&lt;&gt;"",$AD1768,IF($AC1768="","",IF($AC1768&lt;=設定!$C$3,0,$AC1768))))</f>
        <v/>
      </c>
      <c r="AF1768" s="14">
        <f>IF($B1768="","",IF(AND($AG1768&lt;&gt;"",$AI1768="",$AL1768=""),"保留中",IF($AL1768&lt;&gt;"",IF(N($AE1768)&gt;0,"支給済","不支給"),IF($AE1768="","要確認",IF($AE1768=0,"不支給","未処理")))))</f>
        <v/>
      </c>
      <c r="AG1768" s="12" t="n"/>
      <c r="AH1768" s="11" t="n"/>
      <c r="AI1768" s="11" t="n"/>
      <c r="AJ1768" s="11" t="n"/>
      <c r="AK1768" s="14">
        <f>IF(AND($AF1768="保留中",$AH1768&lt;&gt;""),TODAY()-$AH1768,"")</f>
        <v/>
      </c>
      <c r="AL1768" s="12" t="n"/>
      <c r="AM1768" s="14">
        <f>IF($B1768="","",IF($AQ1768="","対象年月が未入力／","")&amp;IF($B1768="","",IF($AP1768="","職員マスタに未登録の職員番号／",IF($AA1768="","標準報酬月額が未登録／","")&amp;IF(AND($AQ1768&lt;&gt;"",OR(AND(INDEX(職員マスタ!$G$6:$G$405,$AP1768)&lt;&gt;"",INDEX(職員マスタ!$G$6:$G$405,$AP1768)&gt;EOMONTH($AQ1768,0)),AND(INDEX(職員マスタ!$H$6:$H$405,$AP1768)&lt;&gt;"",INDEX(職員マスタ!$H$6:$H$405,$AP1768)&lt;$AQ1768))),"対象月が時短期間外／","")&amp;IF(AND(INDEX(職員マスタ!$K$6:$K$405,$AP1768)&lt;&gt;"",N($W1768)&gt;0,INDEX(職員マスタ!$K$6:$K$405,$AP1768)&lt;&gt;$W1768),"標準報酬月額が申請書と相違（台帳"&amp;TEXT(INDEX(職員マスタ!$K$6:$K$405,$AP1768),"#,##0")&amp;"円／申請書"&amp;TEXT($W1768,"#,##0")&amp;"円）／","")&amp;IF(AND(INDEX(職員マスタ!$F$6:$F$405,$AP1768)&lt;&gt;"",$AQ1768&lt;&gt;"",INDEX(職員マスタ!$F$6:$F$405,$AP1768)&lt;$AQ1768),"対象月に子が2歳到達済／","")&amp;IF(AND($H1768&lt;&gt;"",INDEX(職員マスタ!$B$6:$B$405,$AP1768)&lt;&gt;"",SUBSTITUTE(SUBSTITUTE($H1768," ","")," ","")&lt;&gt;SUBSTITUTE(SUBSTITUTE(INDEX(職員マスタ!$B$6:$B$405,$AP1768)," ","")," ","")),"氏名がマスタと相違／","")&amp;IF(AND($Q1768&lt;&gt;"",INDEX(職員マスタ!$E$6:$E$405,$AP1768)&lt;&gt;"",$Q1768&lt;&gt;INDEX(職員マスタ!$E$6:$E$405,$AP1768)),"子の生年月日がマスタと相違／","")&amp;IF(AND($L1768&lt;&gt;"",INDEX(職員マスタ!$G$6:$G$405,$AP1768)&lt;&gt;"",$L1768&lt;&gt;INDEX(職員マスタ!$G$6:$G$405,$AP1768)),"時短開始日がマスタと相違／","")&amp;IF(AND($M1768&lt;&gt;"",INDEX(職員マスタ!$H$6:$H$405,$AP1768)&lt;&gt;"",$M1768&lt;&gt;INDEX(職員マスタ!$H$6:$H$405,$AP1768)),"時短終了日がマスタと相違／","")))&amp;IF(AND($B1768&lt;&gt;"",$E1768=""),"報酬額が未入力／","")&amp;IF(N($U1768)&gt;0,"申請書に入力エラーが残っています／","")&amp;IF(AND($B1768&lt;&gt;"",$AQ1768&lt;&gt;""),IF(COUNTIFS($B$6:$B$3005,$B1768,$C$6:$C$3005,$C1768,$D$6:$D$3005,$D1768)&gt;1,"同じ月の請求が重複しています／",""),"")&amp;IF(AND(N($E1768)&gt;0,$AB1768&lt;&gt;"",$AB1768&lt;&gt;"×",$AE1768=0,$AD1768=""),"計算額が下限以下のため不支給／",""))</f>
        <v/>
      </c>
      <c r="AN1768" s="12" t="n"/>
      <c r="AO1768" s="14">
        <f>IF($AF1768="保留中",COUNTIF($AF$6:$AF1768,"保留中"),"")</f>
        <v/>
      </c>
      <c r="AP1768" s="14">
        <f>IF($AQ1768="","",IF(SUMPRODUCT(MAX((職員マスタ!$A$6:$A$405=$B1768)*(((職員マスタ!$G$6:$G$405="")+(職員マスタ!$G$6:$G$405&lt;=EOMONTH($AQ1768,0)))&gt;0)*(((職員マスタ!$H$6:$H$405="")+(職員マスタ!$H$6:$H$405&gt;=$AQ1768))&gt;0)*(ROW(職員マスタ!$A$6:$A$405)-5)))&gt;0,SUMPRODUCT(MAX((職員マスタ!$A$6:$A$405=$B1768)*(((職員マスタ!$G$6:$G$405="")+(職員マスタ!$G$6:$G$405&lt;=EOMONTH($AQ1768,0)))&gt;0)*(((職員マスタ!$H$6:$H$405="")+(職員マスタ!$H$6:$H$405&gt;=$AQ1768))&gt;0)*(ROW(職員マスタ!$A$6:$A$405)-5))),IFERROR(MATCH($B1768,職員マスタ!$A$6:$A$405,0),"")))</f>
        <v/>
      </c>
      <c r="AQ1768" s="16">
        <f>IF(OR($B1768="",$C1768="",$D1768=""),"",DATE($C1768+2018,$D1768,1))</f>
        <v/>
      </c>
    </row>
    <row r="1769">
      <c r="A1769" s="11" t="n"/>
      <c r="B1769" s="12" t="n"/>
      <c r="C1769" s="12" t="n"/>
      <c r="D1769" s="12" t="n"/>
      <c r="E1769" s="13" t="n"/>
      <c r="F1769" s="12" t="n"/>
      <c r="G1769" s="13" t="n"/>
      <c r="H1769" s="12" t="n"/>
      <c r="I1769" s="12" t="n"/>
      <c r="J1769" s="12" t="n"/>
      <c r="K1769" s="12" t="n"/>
      <c r="L1769" s="11" t="n"/>
      <c r="M1769" s="11" t="n"/>
      <c r="N1769" s="11" t="n"/>
      <c r="O1769" s="11" t="n"/>
      <c r="P1769" s="12" t="n"/>
      <c r="Q1769" s="11" t="n"/>
      <c r="R1769" s="12" t="n"/>
      <c r="S1769" s="11" t="n"/>
      <c r="T1769" s="12" t="n"/>
      <c r="U1769" s="12" t="n"/>
      <c r="V1769" s="12" t="n"/>
      <c r="W1769" s="13" t="n"/>
      <c r="X1769" s="14">
        <f>IF($AP1769="",IF($B1769="","",$H1769),IF(INDEX(職員マスタ!$B$6:$B$405,$AP1769)="",$H1769,INDEX(職員マスタ!$B$6:$B$405,$AP1769)))</f>
        <v/>
      </c>
      <c r="Y1769" s="14">
        <f>IF($AP1769="",IF($B1769="","",$R1769),IF(INDEX(職員マスタ!$C$6:$C$405,$AP1769)="",$R1769,INDEX(職員マスタ!$C$6:$C$405,$AP1769)))</f>
        <v/>
      </c>
      <c r="Z1769" s="14">
        <f>IF($AQ1769="","","R"&amp;$C1769&amp;"."&amp;$D1769)</f>
        <v/>
      </c>
      <c r="AA1769" s="15">
        <f>IF(IF($AP1769="",FALSE,INDEX(職員マスタ!$K$6:$K$405,$AP1769)&lt;&gt;""),INDEX(職員マスタ!$K$6:$K$405,$AP1769),IF(N($W1769)&gt;0,$W1769,""))</f>
        <v/>
      </c>
      <c r="AB1769" s="14">
        <f>IF(OR($E1769="",$AA1769=""),"",IF($E1769&gt;=$AA1769,"×",IF($E1769&gt;=$AA1769*設定!$C$5,"△","○")))</f>
        <v/>
      </c>
      <c r="AC1769" s="15">
        <f>IF($AB1769="","",IF($AB1769="×",0,IF($AB1769="○",ROUNDDOWN($E1769*設定!$C$4,0),ROUNDDOWN($E1769*ROUND((9*$AA1769-9*$E1769)/(10*$E1769),4),0))))</f>
        <v/>
      </c>
      <c r="AD1769" s="13" t="n"/>
      <c r="AE1769" s="15">
        <f>IF($B1769="","",IF($AD1769&lt;&gt;"",$AD1769,IF($AC1769="","",IF($AC1769&lt;=設定!$C$3,0,$AC1769))))</f>
        <v/>
      </c>
      <c r="AF1769" s="14">
        <f>IF($B1769="","",IF(AND($AG1769&lt;&gt;"",$AI1769="",$AL1769=""),"保留中",IF($AL1769&lt;&gt;"",IF(N($AE1769)&gt;0,"支給済","不支給"),IF($AE1769="","要確認",IF($AE1769=0,"不支給","未処理")))))</f>
        <v/>
      </c>
      <c r="AG1769" s="12" t="n"/>
      <c r="AH1769" s="11" t="n"/>
      <c r="AI1769" s="11" t="n"/>
      <c r="AJ1769" s="11" t="n"/>
      <c r="AK1769" s="14">
        <f>IF(AND($AF1769="保留中",$AH1769&lt;&gt;""),TODAY()-$AH1769,"")</f>
        <v/>
      </c>
      <c r="AL1769" s="12" t="n"/>
      <c r="AM1769" s="14">
        <f>IF($B1769="","",IF($AQ1769="","対象年月が未入力／","")&amp;IF($B1769="","",IF($AP1769="","職員マスタに未登録の職員番号／",IF($AA1769="","標準報酬月額が未登録／","")&amp;IF(AND($AQ1769&lt;&gt;"",OR(AND(INDEX(職員マスタ!$G$6:$G$405,$AP1769)&lt;&gt;"",INDEX(職員マスタ!$G$6:$G$405,$AP1769)&gt;EOMONTH($AQ1769,0)),AND(INDEX(職員マスタ!$H$6:$H$405,$AP1769)&lt;&gt;"",INDEX(職員マスタ!$H$6:$H$405,$AP1769)&lt;$AQ1769))),"対象月が時短期間外／","")&amp;IF(AND(INDEX(職員マスタ!$K$6:$K$405,$AP1769)&lt;&gt;"",N($W1769)&gt;0,INDEX(職員マスタ!$K$6:$K$405,$AP1769)&lt;&gt;$W1769),"標準報酬月額が申請書と相違（台帳"&amp;TEXT(INDEX(職員マスタ!$K$6:$K$405,$AP1769),"#,##0")&amp;"円／申請書"&amp;TEXT($W1769,"#,##0")&amp;"円）／","")&amp;IF(AND(INDEX(職員マスタ!$F$6:$F$405,$AP1769)&lt;&gt;"",$AQ1769&lt;&gt;"",INDEX(職員マスタ!$F$6:$F$405,$AP1769)&lt;$AQ1769),"対象月に子が2歳到達済／","")&amp;IF(AND($H1769&lt;&gt;"",INDEX(職員マスタ!$B$6:$B$405,$AP1769)&lt;&gt;"",SUBSTITUTE(SUBSTITUTE($H1769," ","")," ","")&lt;&gt;SUBSTITUTE(SUBSTITUTE(INDEX(職員マスタ!$B$6:$B$405,$AP1769)," ","")," ","")),"氏名がマスタと相違／","")&amp;IF(AND($Q1769&lt;&gt;"",INDEX(職員マスタ!$E$6:$E$405,$AP1769)&lt;&gt;"",$Q1769&lt;&gt;INDEX(職員マスタ!$E$6:$E$405,$AP1769)),"子の生年月日がマスタと相違／","")&amp;IF(AND($L1769&lt;&gt;"",INDEX(職員マスタ!$G$6:$G$405,$AP1769)&lt;&gt;"",$L1769&lt;&gt;INDEX(職員マスタ!$G$6:$G$405,$AP1769)),"時短開始日がマスタと相違／","")&amp;IF(AND($M1769&lt;&gt;"",INDEX(職員マスタ!$H$6:$H$405,$AP1769)&lt;&gt;"",$M1769&lt;&gt;INDEX(職員マスタ!$H$6:$H$405,$AP1769)),"時短終了日がマスタと相違／","")))&amp;IF(AND($B1769&lt;&gt;"",$E1769=""),"報酬額が未入力／","")&amp;IF(N($U1769)&gt;0,"申請書に入力エラーが残っています／","")&amp;IF(AND($B1769&lt;&gt;"",$AQ1769&lt;&gt;""),IF(COUNTIFS($B$6:$B$3005,$B1769,$C$6:$C$3005,$C1769,$D$6:$D$3005,$D1769)&gt;1,"同じ月の請求が重複しています／",""),"")&amp;IF(AND(N($E1769)&gt;0,$AB1769&lt;&gt;"",$AB1769&lt;&gt;"×",$AE1769=0,$AD1769=""),"計算額が下限以下のため不支給／",""))</f>
        <v/>
      </c>
      <c r="AN1769" s="12" t="n"/>
      <c r="AO1769" s="14">
        <f>IF($AF1769="保留中",COUNTIF($AF$6:$AF1769,"保留中"),"")</f>
        <v/>
      </c>
      <c r="AP1769" s="14">
        <f>IF($AQ1769="","",IF(SUMPRODUCT(MAX((職員マスタ!$A$6:$A$405=$B1769)*(((職員マスタ!$G$6:$G$405="")+(職員マスタ!$G$6:$G$405&lt;=EOMONTH($AQ1769,0)))&gt;0)*(((職員マスタ!$H$6:$H$405="")+(職員マスタ!$H$6:$H$405&gt;=$AQ1769))&gt;0)*(ROW(職員マスタ!$A$6:$A$405)-5)))&gt;0,SUMPRODUCT(MAX((職員マスタ!$A$6:$A$405=$B1769)*(((職員マスタ!$G$6:$G$405="")+(職員マスタ!$G$6:$G$405&lt;=EOMONTH($AQ1769,0)))&gt;0)*(((職員マスタ!$H$6:$H$405="")+(職員マスタ!$H$6:$H$405&gt;=$AQ1769))&gt;0)*(ROW(職員マスタ!$A$6:$A$405)-5))),IFERROR(MATCH($B1769,職員マスタ!$A$6:$A$405,0),"")))</f>
        <v/>
      </c>
      <c r="AQ1769" s="16">
        <f>IF(OR($B1769="",$C1769="",$D1769=""),"",DATE($C1769+2018,$D1769,1))</f>
        <v/>
      </c>
    </row>
    <row r="1770">
      <c r="A1770" s="11" t="n"/>
      <c r="B1770" s="12" t="n"/>
      <c r="C1770" s="12" t="n"/>
      <c r="D1770" s="12" t="n"/>
      <c r="E1770" s="13" t="n"/>
      <c r="F1770" s="12" t="n"/>
      <c r="G1770" s="13" t="n"/>
      <c r="H1770" s="12" t="n"/>
      <c r="I1770" s="12" t="n"/>
      <c r="J1770" s="12" t="n"/>
      <c r="K1770" s="12" t="n"/>
      <c r="L1770" s="11" t="n"/>
      <c r="M1770" s="11" t="n"/>
      <c r="N1770" s="11" t="n"/>
      <c r="O1770" s="11" t="n"/>
      <c r="P1770" s="12" t="n"/>
      <c r="Q1770" s="11" t="n"/>
      <c r="R1770" s="12" t="n"/>
      <c r="S1770" s="11" t="n"/>
      <c r="T1770" s="12" t="n"/>
      <c r="U1770" s="12" t="n"/>
      <c r="V1770" s="12" t="n"/>
      <c r="W1770" s="13" t="n"/>
      <c r="X1770" s="14">
        <f>IF($AP1770="",IF($B1770="","",$H1770),IF(INDEX(職員マスタ!$B$6:$B$405,$AP1770)="",$H1770,INDEX(職員マスタ!$B$6:$B$405,$AP1770)))</f>
        <v/>
      </c>
      <c r="Y1770" s="14">
        <f>IF($AP1770="",IF($B1770="","",$R1770),IF(INDEX(職員マスタ!$C$6:$C$405,$AP1770)="",$R1770,INDEX(職員マスタ!$C$6:$C$405,$AP1770)))</f>
        <v/>
      </c>
      <c r="Z1770" s="14">
        <f>IF($AQ1770="","","R"&amp;$C1770&amp;"."&amp;$D1770)</f>
        <v/>
      </c>
      <c r="AA1770" s="15">
        <f>IF(IF($AP1770="",FALSE,INDEX(職員マスタ!$K$6:$K$405,$AP1770)&lt;&gt;""),INDEX(職員マスタ!$K$6:$K$405,$AP1770),IF(N($W1770)&gt;0,$W1770,""))</f>
        <v/>
      </c>
      <c r="AB1770" s="14">
        <f>IF(OR($E1770="",$AA1770=""),"",IF($E1770&gt;=$AA1770,"×",IF($E1770&gt;=$AA1770*設定!$C$5,"△","○")))</f>
        <v/>
      </c>
      <c r="AC1770" s="15">
        <f>IF($AB1770="","",IF($AB1770="×",0,IF($AB1770="○",ROUNDDOWN($E1770*設定!$C$4,0),ROUNDDOWN($E1770*ROUND((9*$AA1770-9*$E1770)/(10*$E1770),4),0))))</f>
        <v/>
      </c>
      <c r="AD1770" s="13" t="n"/>
      <c r="AE1770" s="15">
        <f>IF($B1770="","",IF($AD1770&lt;&gt;"",$AD1770,IF($AC1770="","",IF($AC1770&lt;=設定!$C$3,0,$AC1770))))</f>
        <v/>
      </c>
      <c r="AF1770" s="14">
        <f>IF($B1770="","",IF(AND($AG1770&lt;&gt;"",$AI1770="",$AL1770=""),"保留中",IF($AL1770&lt;&gt;"",IF(N($AE1770)&gt;0,"支給済","不支給"),IF($AE1770="","要確認",IF($AE1770=0,"不支給","未処理")))))</f>
        <v/>
      </c>
      <c r="AG1770" s="12" t="n"/>
      <c r="AH1770" s="11" t="n"/>
      <c r="AI1770" s="11" t="n"/>
      <c r="AJ1770" s="11" t="n"/>
      <c r="AK1770" s="14">
        <f>IF(AND($AF1770="保留中",$AH1770&lt;&gt;""),TODAY()-$AH1770,"")</f>
        <v/>
      </c>
      <c r="AL1770" s="12" t="n"/>
      <c r="AM1770" s="14">
        <f>IF($B1770="","",IF($AQ1770="","対象年月が未入力／","")&amp;IF($B1770="","",IF($AP1770="","職員マスタに未登録の職員番号／",IF($AA1770="","標準報酬月額が未登録／","")&amp;IF(AND($AQ1770&lt;&gt;"",OR(AND(INDEX(職員マスタ!$G$6:$G$405,$AP1770)&lt;&gt;"",INDEX(職員マスタ!$G$6:$G$405,$AP1770)&gt;EOMONTH($AQ1770,0)),AND(INDEX(職員マスタ!$H$6:$H$405,$AP1770)&lt;&gt;"",INDEX(職員マスタ!$H$6:$H$405,$AP1770)&lt;$AQ1770))),"対象月が時短期間外／","")&amp;IF(AND(INDEX(職員マスタ!$K$6:$K$405,$AP1770)&lt;&gt;"",N($W1770)&gt;0,INDEX(職員マスタ!$K$6:$K$405,$AP1770)&lt;&gt;$W1770),"標準報酬月額が申請書と相違（台帳"&amp;TEXT(INDEX(職員マスタ!$K$6:$K$405,$AP1770),"#,##0")&amp;"円／申請書"&amp;TEXT($W1770,"#,##0")&amp;"円）／","")&amp;IF(AND(INDEX(職員マスタ!$F$6:$F$405,$AP1770)&lt;&gt;"",$AQ1770&lt;&gt;"",INDEX(職員マスタ!$F$6:$F$405,$AP1770)&lt;$AQ1770),"対象月に子が2歳到達済／","")&amp;IF(AND($H1770&lt;&gt;"",INDEX(職員マスタ!$B$6:$B$405,$AP1770)&lt;&gt;"",SUBSTITUTE(SUBSTITUTE($H1770," ","")," ","")&lt;&gt;SUBSTITUTE(SUBSTITUTE(INDEX(職員マスタ!$B$6:$B$405,$AP1770)," ","")," ","")),"氏名がマスタと相違／","")&amp;IF(AND($Q1770&lt;&gt;"",INDEX(職員マスタ!$E$6:$E$405,$AP1770)&lt;&gt;"",$Q1770&lt;&gt;INDEX(職員マスタ!$E$6:$E$405,$AP1770)),"子の生年月日がマスタと相違／","")&amp;IF(AND($L1770&lt;&gt;"",INDEX(職員マスタ!$G$6:$G$405,$AP1770)&lt;&gt;"",$L1770&lt;&gt;INDEX(職員マスタ!$G$6:$G$405,$AP1770)),"時短開始日がマスタと相違／","")&amp;IF(AND($M1770&lt;&gt;"",INDEX(職員マスタ!$H$6:$H$405,$AP1770)&lt;&gt;"",$M1770&lt;&gt;INDEX(職員マスタ!$H$6:$H$405,$AP1770)),"時短終了日がマスタと相違／","")))&amp;IF(AND($B1770&lt;&gt;"",$E1770=""),"報酬額が未入力／","")&amp;IF(N($U1770)&gt;0,"申請書に入力エラーが残っています／","")&amp;IF(AND($B1770&lt;&gt;"",$AQ1770&lt;&gt;""),IF(COUNTIFS($B$6:$B$3005,$B1770,$C$6:$C$3005,$C1770,$D$6:$D$3005,$D1770)&gt;1,"同じ月の請求が重複しています／",""),"")&amp;IF(AND(N($E1770)&gt;0,$AB1770&lt;&gt;"",$AB1770&lt;&gt;"×",$AE1770=0,$AD1770=""),"計算額が下限以下のため不支給／",""))</f>
        <v/>
      </c>
      <c r="AN1770" s="12" t="n"/>
      <c r="AO1770" s="14">
        <f>IF($AF1770="保留中",COUNTIF($AF$6:$AF1770,"保留中"),"")</f>
        <v/>
      </c>
      <c r="AP1770" s="14">
        <f>IF($AQ1770="","",IF(SUMPRODUCT(MAX((職員マスタ!$A$6:$A$405=$B1770)*(((職員マスタ!$G$6:$G$405="")+(職員マスタ!$G$6:$G$405&lt;=EOMONTH($AQ1770,0)))&gt;0)*(((職員マスタ!$H$6:$H$405="")+(職員マスタ!$H$6:$H$405&gt;=$AQ1770))&gt;0)*(ROW(職員マスタ!$A$6:$A$405)-5)))&gt;0,SUMPRODUCT(MAX((職員マスタ!$A$6:$A$405=$B1770)*(((職員マスタ!$G$6:$G$405="")+(職員マスタ!$G$6:$G$405&lt;=EOMONTH($AQ1770,0)))&gt;0)*(((職員マスタ!$H$6:$H$405="")+(職員マスタ!$H$6:$H$405&gt;=$AQ1770))&gt;0)*(ROW(職員マスタ!$A$6:$A$405)-5))),IFERROR(MATCH($B1770,職員マスタ!$A$6:$A$405,0),"")))</f>
        <v/>
      </c>
      <c r="AQ1770" s="16">
        <f>IF(OR($B1770="",$C1770="",$D1770=""),"",DATE($C1770+2018,$D1770,1))</f>
        <v/>
      </c>
    </row>
    <row r="1771">
      <c r="A1771" s="11" t="n"/>
      <c r="B1771" s="12" t="n"/>
      <c r="C1771" s="12" t="n"/>
      <c r="D1771" s="12" t="n"/>
      <c r="E1771" s="13" t="n"/>
      <c r="F1771" s="12" t="n"/>
      <c r="G1771" s="13" t="n"/>
      <c r="H1771" s="12" t="n"/>
      <c r="I1771" s="12" t="n"/>
      <c r="J1771" s="12" t="n"/>
      <c r="K1771" s="12" t="n"/>
      <c r="L1771" s="11" t="n"/>
      <c r="M1771" s="11" t="n"/>
      <c r="N1771" s="11" t="n"/>
      <c r="O1771" s="11" t="n"/>
      <c r="P1771" s="12" t="n"/>
      <c r="Q1771" s="11" t="n"/>
      <c r="R1771" s="12" t="n"/>
      <c r="S1771" s="11" t="n"/>
      <c r="T1771" s="12" t="n"/>
      <c r="U1771" s="12" t="n"/>
      <c r="V1771" s="12" t="n"/>
      <c r="W1771" s="13" t="n"/>
      <c r="X1771" s="14">
        <f>IF($AP1771="",IF($B1771="","",$H1771),IF(INDEX(職員マスタ!$B$6:$B$405,$AP1771)="",$H1771,INDEX(職員マスタ!$B$6:$B$405,$AP1771)))</f>
        <v/>
      </c>
      <c r="Y1771" s="14">
        <f>IF($AP1771="",IF($B1771="","",$R1771),IF(INDEX(職員マスタ!$C$6:$C$405,$AP1771)="",$R1771,INDEX(職員マスタ!$C$6:$C$405,$AP1771)))</f>
        <v/>
      </c>
      <c r="Z1771" s="14">
        <f>IF($AQ1771="","","R"&amp;$C1771&amp;"."&amp;$D1771)</f>
        <v/>
      </c>
      <c r="AA1771" s="15">
        <f>IF(IF($AP1771="",FALSE,INDEX(職員マスタ!$K$6:$K$405,$AP1771)&lt;&gt;""),INDEX(職員マスタ!$K$6:$K$405,$AP1771),IF(N($W1771)&gt;0,$W1771,""))</f>
        <v/>
      </c>
      <c r="AB1771" s="14">
        <f>IF(OR($E1771="",$AA1771=""),"",IF($E1771&gt;=$AA1771,"×",IF($E1771&gt;=$AA1771*設定!$C$5,"△","○")))</f>
        <v/>
      </c>
      <c r="AC1771" s="15">
        <f>IF($AB1771="","",IF($AB1771="×",0,IF($AB1771="○",ROUNDDOWN($E1771*設定!$C$4,0),ROUNDDOWN($E1771*ROUND((9*$AA1771-9*$E1771)/(10*$E1771),4),0))))</f>
        <v/>
      </c>
      <c r="AD1771" s="13" t="n"/>
      <c r="AE1771" s="15">
        <f>IF($B1771="","",IF($AD1771&lt;&gt;"",$AD1771,IF($AC1771="","",IF($AC1771&lt;=設定!$C$3,0,$AC1771))))</f>
        <v/>
      </c>
      <c r="AF1771" s="14">
        <f>IF($B1771="","",IF(AND($AG1771&lt;&gt;"",$AI1771="",$AL1771=""),"保留中",IF($AL1771&lt;&gt;"",IF(N($AE1771)&gt;0,"支給済","不支給"),IF($AE1771="","要確認",IF($AE1771=0,"不支給","未処理")))))</f>
        <v/>
      </c>
      <c r="AG1771" s="12" t="n"/>
      <c r="AH1771" s="11" t="n"/>
      <c r="AI1771" s="11" t="n"/>
      <c r="AJ1771" s="11" t="n"/>
      <c r="AK1771" s="14">
        <f>IF(AND($AF1771="保留中",$AH1771&lt;&gt;""),TODAY()-$AH1771,"")</f>
        <v/>
      </c>
      <c r="AL1771" s="12" t="n"/>
      <c r="AM1771" s="14">
        <f>IF($B1771="","",IF($AQ1771="","対象年月が未入力／","")&amp;IF($B1771="","",IF($AP1771="","職員マスタに未登録の職員番号／",IF($AA1771="","標準報酬月額が未登録／","")&amp;IF(AND($AQ1771&lt;&gt;"",OR(AND(INDEX(職員マスタ!$G$6:$G$405,$AP1771)&lt;&gt;"",INDEX(職員マスタ!$G$6:$G$405,$AP1771)&gt;EOMONTH($AQ1771,0)),AND(INDEX(職員マスタ!$H$6:$H$405,$AP1771)&lt;&gt;"",INDEX(職員マスタ!$H$6:$H$405,$AP1771)&lt;$AQ1771))),"対象月が時短期間外／","")&amp;IF(AND(INDEX(職員マスタ!$K$6:$K$405,$AP1771)&lt;&gt;"",N($W1771)&gt;0,INDEX(職員マスタ!$K$6:$K$405,$AP1771)&lt;&gt;$W1771),"標準報酬月額が申請書と相違（台帳"&amp;TEXT(INDEX(職員マスタ!$K$6:$K$405,$AP1771),"#,##0")&amp;"円／申請書"&amp;TEXT($W1771,"#,##0")&amp;"円）／","")&amp;IF(AND(INDEX(職員マスタ!$F$6:$F$405,$AP1771)&lt;&gt;"",$AQ1771&lt;&gt;"",INDEX(職員マスタ!$F$6:$F$405,$AP1771)&lt;$AQ1771),"対象月に子が2歳到達済／","")&amp;IF(AND($H1771&lt;&gt;"",INDEX(職員マスタ!$B$6:$B$405,$AP1771)&lt;&gt;"",SUBSTITUTE(SUBSTITUTE($H1771," ","")," ","")&lt;&gt;SUBSTITUTE(SUBSTITUTE(INDEX(職員マスタ!$B$6:$B$405,$AP1771)," ","")," ","")),"氏名がマスタと相違／","")&amp;IF(AND($Q1771&lt;&gt;"",INDEX(職員マスタ!$E$6:$E$405,$AP1771)&lt;&gt;"",$Q1771&lt;&gt;INDEX(職員マスタ!$E$6:$E$405,$AP1771)),"子の生年月日がマスタと相違／","")&amp;IF(AND($L1771&lt;&gt;"",INDEX(職員マスタ!$G$6:$G$405,$AP1771)&lt;&gt;"",$L1771&lt;&gt;INDEX(職員マスタ!$G$6:$G$405,$AP1771)),"時短開始日がマスタと相違／","")&amp;IF(AND($M1771&lt;&gt;"",INDEX(職員マスタ!$H$6:$H$405,$AP1771)&lt;&gt;"",$M1771&lt;&gt;INDEX(職員マスタ!$H$6:$H$405,$AP1771)),"時短終了日がマスタと相違／","")))&amp;IF(AND($B1771&lt;&gt;"",$E1771=""),"報酬額が未入力／","")&amp;IF(N($U1771)&gt;0,"申請書に入力エラーが残っています／","")&amp;IF(AND($B1771&lt;&gt;"",$AQ1771&lt;&gt;""),IF(COUNTIFS($B$6:$B$3005,$B1771,$C$6:$C$3005,$C1771,$D$6:$D$3005,$D1771)&gt;1,"同じ月の請求が重複しています／",""),"")&amp;IF(AND(N($E1771)&gt;0,$AB1771&lt;&gt;"",$AB1771&lt;&gt;"×",$AE1771=0,$AD1771=""),"計算額が下限以下のため不支給／",""))</f>
        <v/>
      </c>
      <c r="AN1771" s="12" t="n"/>
      <c r="AO1771" s="14">
        <f>IF($AF1771="保留中",COUNTIF($AF$6:$AF1771,"保留中"),"")</f>
        <v/>
      </c>
      <c r="AP1771" s="14">
        <f>IF($AQ1771="","",IF(SUMPRODUCT(MAX((職員マスタ!$A$6:$A$405=$B1771)*(((職員マスタ!$G$6:$G$405="")+(職員マスタ!$G$6:$G$405&lt;=EOMONTH($AQ1771,0)))&gt;0)*(((職員マスタ!$H$6:$H$405="")+(職員マスタ!$H$6:$H$405&gt;=$AQ1771))&gt;0)*(ROW(職員マスタ!$A$6:$A$405)-5)))&gt;0,SUMPRODUCT(MAX((職員マスタ!$A$6:$A$405=$B1771)*(((職員マスタ!$G$6:$G$405="")+(職員マスタ!$G$6:$G$405&lt;=EOMONTH($AQ1771,0)))&gt;0)*(((職員マスタ!$H$6:$H$405="")+(職員マスタ!$H$6:$H$405&gt;=$AQ1771))&gt;0)*(ROW(職員マスタ!$A$6:$A$405)-5))),IFERROR(MATCH($B1771,職員マスタ!$A$6:$A$405,0),"")))</f>
        <v/>
      </c>
      <c r="AQ1771" s="16">
        <f>IF(OR($B1771="",$C1771="",$D1771=""),"",DATE($C1771+2018,$D1771,1))</f>
        <v/>
      </c>
    </row>
    <row r="1772">
      <c r="A1772" s="11" t="n"/>
      <c r="B1772" s="12" t="n"/>
      <c r="C1772" s="12" t="n"/>
      <c r="D1772" s="12" t="n"/>
      <c r="E1772" s="13" t="n"/>
      <c r="F1772" s="12" t="n"/>
      <c r="G1772" s="13" t="n"/>
      <c r="H1772" s="12" t="n"/>
      <c r="I1772" s="12" t="n"/>
      <c r="J1772" s="12" t="n"/>
      <c r="K1772" s="12" t="n"/>
      <c r="L1772" s="11" t="n"/>
      <c r="M1772" s="11" t="n"/>
      <c r="N1772" s="11" t="n"/>
      <c r="O1772" s="11" t="n"/>
      <c r="P1772" s="12" t="n"/>
      <c r="Q1772" s="11" t="n"/>
      <c r="R1772" s="12" t="n"/>
      <c r="S1772" s="11" t="n"/>
      <c r="T1772" s="12" t="n"/>
      <c r="U1772" s="12" t="n"/>
      <c r="V1772" s="12" t="n"/>
      <c r="W1772" s="13" t="n"/>
      <c r="X1772" s="14">
        <f>IF($AP1772="",IF($B1772="","",$H1772),IF(INDEX(職員マスタ!$B$6:$B$405,$AP1772)="",$H1772,INDEX(職員マスタ!$B$6:$B$405,$AP1772)))</f>
        <v/>
      </c>
      <c r="Y1772" s="14">
        <f>IF($AP1772="",IF($B1772="","",$R1772),IF(INDEX(職員マスタ!$C$6:$C$405,$AP1772)="",$R1772,INDEX(職員マスタ!$C$6:$C$405,$AP1772)))</f>
        <v/>
      </c>
      <c r="Z1772" s="14">
        <f>IF($AQ1772="","","R"&amp;$C1772&amp;"."&amp;$D1772)</f>
        <v/>
      </c>
      <c r="AA1772" s="15">
        <f>IF(IF($AP1772="",FALSE,INDEX(職員マスタ!$K$6:$K$405,$AP1772)&lt;&gt;""),INDEX(職員マスタ!$K$6:$K$405,$AP1772),IF(N($W1772)&gt;0,$W1772,""))</f>
        <v/>
      </c>
      <c r="AB1772" s="14">
        <f>IF(OR($E1772="",$AA1772=""),"",IF($E1772&gt;=$AA1772,"×",IF($E1772&gt;=$AA1772*設定!$C$5,"△","○")))</f>
        <v/>
      </c>
      <c r="AC1772" s="15">
        <f>IF($AB1772="","",IF($AB1772="×",0,IF($AB1772="○",ROUNDDOWN($E1772*設定!$C$4,0),ROUNDDOWN($E1772*ROUND((9*$AA1772-9*$E1772)/(10*$E1772),4),0))))</f>
        <v/>
      </c>
      <c r="AD1772" s="13" t="n"/>
      <c r="AE1772" s="15">
        <f>IF($B1772="","",IF($AD1772&lt;&gt;"",$AD1772,IF($AC1772="","",IF($AC1772&lt;=設定!$C$3,0,$AC1772))))</f>
        <v/>
      </c>
      <c r="AF1772" s="14">
        <f>IF($B1772="","",IF(AND($AG1772&lt;&gt;"",$AI1772="",$AL1772=""),"保留中",IF($AL1772&lt;&gt;"",IF(N($AE1772)&gt;0,"支給済","不支給"),IF($AE1772="","要確認",IF($AE1772=0,"不支給","未処理")))))</f>
        <v/>
      </c>
      <c r="AG1772" s="12" t="n"/>
      <c r="AH1772" s="11" t="n"/>
      <c r="AI1772" s="11" t="n"/>
      <c r="AJ1772" s="11" t="n"/>
      <c r="AK1772" s="14">
        <f>IF(AND($AF1772="保留中",$AH1772&lt;&gt;""),TODAY()-$AH1772,"")</f>
        <v/>
      </c>
      <c r="AL1772" s="12" t="n"/>
      <c r="AM1772" s="14">
        <f>IF($B1772="","",IF($AQ1772="","対象年月が未入力／","")&amp;IF($B1772="","",IF($AP1772="","職員マスタに未登録の職員番号／",IF($AA1772="","標準報酬月額が未登録／","")&amp;IF(AND($AQ1772&lt;&gt;"",OR(AND(INDEX(職員マスタ!$G$6:$G$405,$AP1772)&lt;&gt;"",INDEX(職員マスタ!$G$6:$G$405,$AP1772)&gt;EOMONTH($AQ1772,0)),AND(INDEX(職員マスタ!$H$6:$H$405,$AP1772)&lt;&gt;"",INDEX(職員マスタ!$H$6:$H$405,$AP1772)&lt;$AQ1772))),"対象月が時短期間外／","")&amp;IF(AND(INDEX(職員マスタ!$K$6:$K$405,$AP1772)&lt;&gt;"",N($W1772)&gt;0,INDEX(職員マスタ!$K$6:$K$405,$AP1772)&lt;&gt;$W1772),"標準報酬月額が申請書と相違（台帳"&amp;TEXT(INDEX(職員マスタ!$K$6:$K$405,$AP1772),"#,##0")&amp;"円／申請書"&amp;TEXT($W1772,"#,##0")&amp;"円）／","")&amp;IF(AND(INDEX(職員マスタ!$F$6:$F$405,$AP1772)&lt;&gt;"",$AQ1772&lt;&gt;"",INDEX(職員マスタ!$F$6:$F$405,$AP1772)&lt;$AQ1772),"対象月に子が2歳到達済／","")&amp;IF(AND($H1772&lt;&gt;"",INDEX(職員マスタ!$B$6:$B$405,$AP1772)&lt;&gt;"",SUBSTITUTE(SUBSTITUTE($H1772," ","")," ","")&lt;&gt;SUBSTITUTE(SUBSTITUTE(INDEX(職員マスタ!$B$6:$B$405,$AP1772)," ","")," ","")),"氏名がマスタと相違／","")&amp;IF(AND($Q1772&lt;&gt;"",INDEX(職員マスタ!$E$6:$E$405,$AP1772)&lt;&gt;"",$Q1772&lt;&gt;INDEX(職員マスタ!$E$6:$E$405,$AP1772)),"子の生年月日がマスタと相違／","")&amp;IF(AND($L1772&lt;&gt;"",INDEX(職員マスタ!$G$6:$G$405,$AP1772)&lt;&gt;"",$L1772&lt;&gt;INDEX(職員マスタ!$G$6:$G$405,$AP1772)),"時短開始日がマスタと相違／","")&amp;IF(AND($M1772&lt;&gt;"",INDEX(職員マスタ!$H$6:$H$405,$AP1772)&lt;&gt;"",$M1772&lt;&gt;INDEX(職員マスタ!$H$6:$H$405,$AP1772)),"時短終了日がマスタと相違／","")))&amp;IF(AND($B1772&lt;&gt;"",$E1772=""),"報酬額が未入力／","")&amp;IF(N($U1772)&gt;0,"申請書に入力エラーが残っています／","")&amp;IF(AND($B1772&lt;&gt;"",$AQ1772&lt;&gt;""),IF(COUNTIFS($B$6:$B$3005,$B1772,$C$6:$C$3005,$C1772,$D$6:$D$3005,$D1772)&gt;1,"同じ月の請求が重複しています／",""),"")&amp;IF(AND(N($E1772)&gt;0,$AB1772&lt;&gt;"",$AB1772&lt;&gt;"×",$AE1772=0,$AD1772=""),"計算額が下限以下のため不支給／",""))</f>
        <v/>
      </c>
      <c r="AN1772" s="12" t="n"/>
      <c r="AO1772" s="14">
        <f>IF($AF1772="保留中",COUNTIF($AF$6:$AF1772,"保留中"),"")</f>
        <v/>
      </c>
      <c r="AP1772" s="14">
        <f>IF($AQ1772="","",IF(SUMPRODUCT(MAX((職員マスタ!$A$6:$A$405=$B1772)*(((職員マスタ!$G$6:$G$405="")+(職員マスタ!$G$6:$G$405&lt;=EOMONTH($AQ1772,0)))&gt;0)*(((職員マスタ!$H$6:$H$405="")+(職員マスタ!$H$6:$H$405&gt;=$AQ1772))&gt;0)*(ROW(職員マスタ!$A$6:$A$405)-5)))&gt;0,SUMPRODUCT(MAX((職員マスタ!$A$6:$A$405=$B1772)*(((職員マスタ!$G$6:$G$405="")+(職員マスタ!$G$6:$G$405&lt;=EOMONTH($AQ1772,0)))&gt;0)*(((職員マスタ!$H$6:$H$405="")+(職員マスタ!$H$6:$H$405&gt;=$AQ1772))&gt;0)*(ROW(職員マスタ!$A$6:$A$405)-5))),IFERROR(MATCH($B1772,職員マスタ!$A$6:$A$405,0),"")))</f>
        <v/>
      </c>
      <c r="AQ1772" s="16">
        <f>IF(OR($B1772="",$C1772="",$D1772=""),"",DATE($C1772+2018,$D1772,1))</f>
        <v/>
      </c>
    </row>
    <row r="1773">
      <c r="A1773" s="11" t="n"/>
      <c r="B1773" s="12" t="n"/>
      <c r="C1773" s="12" t="n"/>
      <c r="D1773" s="12" t="n"/>
      <c r="E1773" s="13" t="n"/>
      <c r="F1773" s="12" t="n"/>
      <c r="G1773" s="13" t="n"/>
      <c r="H1773" s="12" t="n"/>
      <c r="I1773" s="12" t="n"/>
      <c r="J1773" s="12" t="n"/>
      <c r="K1773" s="12" t="n"/>
      <c r="L1773" s="11" t="n"/>
      <c r="M1773" s="11" t="n"/>
      <c r="N1773" s="11" t="n"/>
      <c r="O1773" s="11" t="n"/>
      <c r="P1773" s="12" t="n"/>
      <c r="Q1773" s="11" t="n"/>
      <c r="R1773" s="12" t="n"/>
      <c r="S1773" s="11" t="n"/>
      <c r="T1773" s="12" t="n"/>
      <c r="U1773" s="12" t="n"/>
      <c r="V1773" s="12" t="n"/>
      <c r="W1773" s="13" t="n"/>
      <c r="X1773" s="14">
        <f>IF($AP1773="",IF($B1773="","",$H1773),IF(INDEX(職員マスタ!$B$6:$B$405,$AP1773)="",$H1773,INDEX(職員マスタ!$B$6:$B$405,$AP1773)))</f>
        <v/>
      </c>
      <c r="Y1773" s="14">
        <f>IF($AP1773="",IF($B1773="","",$R1773),IF(INDEX(職員マスタ!$C$6:$C$405,$AP1773)="",$R1773,INDEX(職員マスタ!$C$6:$C$405,$AP1773)))</f>
        <v/>
      </c>
      <c r="Z1773" s="14">
        <f>IF($AQ1773="","","R"&amp;$C1773&amp;"."&amp;$D1773)</f>
        <v/>
      </c>
      <c r="AA1773" s="15">
        <f>IF(IF($AP1773="",FALSE,INDEX(職員マスタ!$K$6:$K$405,$AP1773)&lt;&gt;""),INDEX(職員マスタ!$K$6:$K$405,$AP1773),IF(N($W1773)&gt;0,$W1773,""))</f>
        <v/>
      </c>
      <c r="AB1773" s="14">
        <f>IF(OR($E1773="",$AA1773=""),"",IF($E1773&gt;=$AA1773,"×",IF($E1773&gt;=$AA1773*設定!$C$5,"△","○")))</f>
        <v/>
      </c>
      <c r="AC1773" s="15">
        <f>IF($AB1773="","",IF($AB1773="×",0,IF($AB1773="○",ROUNDDOWN($E1773*設定!$C$4,0),ROUNDDOWN($E1773*ROUND((9*$AA1773-9*$E1773)/(10*$E1773),4),0))))</f>
        <v/>
      </c>
      <c r="AD1773" s="13" t="n"/>
      <c r="AE1773" s="15">
        <f>IF($B1773="","",IF($AD1773&lt;&gt;"",$AD1773,IF($AC1773="","",IF($AC1773&lt;=設定!$C$3,0,$AC1773))))</f>
        <v/>
      </c>
      <c r="AF1773" s="14">
        <f>IF($B1773="","",IF(AND($AG1773&lt;&gt;"",$AI1773="",$AL1773=""),"保留中",IF($AL1773&lt;&gt;"",IF(N($AE1773)&gt;0,"支給済","不支給"),IF($AE1773="","要確認",IF($AE1773=0,"不支給","未処理")))))</f>
        <v/>
      </c>
      <c r="AG1773" s="12" t="n"/>
      <c r="AH1773" s="11" t="n"/>
      <c r="AI1773" s="11" t="n"/>
      <c r="AJ1773" s="11" t="n"/>
      <c r="AK1773" s="14">
        <f>IF(AND($AF1773="保留中",$AH1773&lt;&gt;""),TODAY()-$AH1773,"")</f>
        <v/>
      </c>
      <c r="AL1773" s="12" t="n"/>
      <c r="AM1773" s="14">
        <f>IF($B1773="","",IF($AQ1773="","対象年月が未入力／","")&amp;IF($B1773="","",IF($AP1773="","職員マスタに未登録の職員番号／",IF($AA1773="","標準報酬月額が未登録／","")&amp;IF(AND($AQ1773&lt;&gt;"",OR(AND(INDEX(職員マスタ!$G$6:$G$405,$AP1773)&lt;&gt;"",INDEX(職員マスタ!$G$6:$G$405,$AP1773)&gt;EOMONTH($AQ1773,0)),AND(INDEX(職員マスタ!$H$6:$H$405,$AP1773)&lt;&gt;"",INDEX(職員マスタ!$H$6:$H$405,$AP1773)&lt;$AQ1773))),"対象月が時短期間外／","")&amp;IF(AND(INDEX(職員マスタ!$K$6:$K$405,$AP1773)&lt;&gt;"",N($W1773)&gt;0,INDEX(職員マスタ!$K$6:$K$405,$AP1773)&lt;&gt;$W1773),"標準報酬月額が申請書と相違（台帳"&amp;TEXT(INDEX(職員マスタ!$K$6:$K$405,$AP1773),"#,##0")&amp;"円／申請書"&amp;TEXT($W1773,"#,##0")&amp;"円）／","")&amp;IF(AND(INDEX(職員マスタ!$F$6:$F$405,$AP1773)&lt;&gt;"",$AQ1773&lt;&gt;"",INDEX(職員マスタ!$F$6:$F$405,$AP1773)&lt;$AQ1773),"対象月に子が2歳到達済／","")&amp;IF(AND($H1773&lt;&gt;"",INDEX(職員マスタ!$B$6:$B$405,$AP1773)&lt;&gt;"",SUBSTITUTE(SUBSTITUTE($H1773," ","")," ","")&lt;&gt;SUBSTITUTE(SUBSTITUTE(INDEX(職員マスタ!$B$6:$B$405,$AP1773)," ","")," ","")),"氏名がマスタと相違／","")&amp;IF(AND($Q1773&lt;&gt;"",INDEX(職員マスタ!$E$6:$E$405,$AP1773)&lt;&gt;"",$Q1773&lt;&gt;INDEX(職員マスタ!$E$6:$E$405,$AP1773)),"子の生年月日がマスタと相違／","")&amp;IF(AND($L1773&lt;&gt;"",INDEX(職員マスタ!$G$6:$G$405,$AP1773)&lt;&gt;"",$L1773&lt;&gt;INDEX(職員マスタ!$G$6:$G$405,$AP1773)),"時短開始日がマスタと相違／","")&amp;IF(AND($M1773&lt;&gt;"",INDEX(職員マスタ!$H$6:$H$405,$AP1773)&lt;&gt;"",$M1773&lt;&gt;INDEX(職員マスタ!$H$6:$H$405,$AP1773)),"時短終了日がマスタと相違／","")))&amp;IF(AND($B1773&lt;&gt;"",$E1773=""),"報酬額が未入力／","")&amp;IF(N($U1773)&gt;0,"申請書に入力エラーが残っています／","")&amp;IF(AND($B1773&lt;&gt;"",$AQ1773&lt;&gt;""),IF(COUNTIFS($B$6:$B$3005,$B1773,$C$6:$C$3005,$C1773,$D$6:$D$3005,$D1773)&gt;1,"同じ月の請求が重複しています／",""),"")&amp;IF(AND(N($E1773)&gt;0,$AB1773&lt;&gt;"",$AB1773&lt;&gt;"×",$AE1773=0,$AD1773=""),"計算額が下限以下のため不支給／",""))</f>
        <v/>
      </c>
      <c r="AN1773" s="12" t="n"/>
      <c r="AO1773" s="14">
        <f>IF($AF1773="保留中",COUNTIF($AF$6:$AF1773,"保留中"),"")</f>
        <v/>
      </c>
      <c r="AP1773" s="14">
        <f>IF($AQ1773="","",IF(SUMPRODUCT(MAX((職員マスタ!$A$6:$A$405=$B1773)*(((職員マスタ!$G$6:$G$405="")+(職員マスタ!$G$6:$G$405&lt;=EOMONTH($AQ1773,0)))&gt;0)*(((職員マスタ!$H$6:$H$405="")+(職員マスタ!$H$6:$H$405&gt;=$AQ1773))&gt;0)*(ROW(職員マスタ!$A$6:$A$405)-5)))&gt;0,SUMPRODUCT(MAX((職員マスタ!$A$6:$A$405=$B1773)*(((職員マスタ!$G$6:$G$405="")+(職員マスタ!$G$6:$G$405&lt;=EOMONTH($AQ1773,0)))&gt;0)*(((職員マスタ!$H$6:$H$405="")+(職員マスタ!$H$6:$H$405&gt;=$AQ1773))&gt;0)*(ROW(職員マスタ!$A$6:$A$405)-5))),IFERROR(MATCH($B1773,職員マスタ!$A$6:$A$405,0),"")))</f>
        <v/>
      </c>
      <c r="AQ1773" s="16">
        <f>IF(OR($B1773="",$C1773="",$D1773=""),"",DATE($C1773+2018,$D1773,1))</f>
        <v/>
      </c>
    </row>
    <row r="1774">
      <c r="A1774" s="11" t="n"/>
      <c r="B1774" s="12" t="n"/>
      <c r="C1774" s="12" t="n"/>
      <c r="D1774" s="12" t="n"/>
      <c r="E1774" s="13" t="n"/>
      <c r="F1774" s="12" t="n"/>
      <c r="G1774" s="13" t="n"/>
      <c r="H1774" s="12" t="n"/>
      <c r="I1774" s="12" t="n"/>
      <c r="J1774" s="12" t="n"/>
      <c r="K1774" s="12" t="n"/>
      <c r="L1774" s="11" t="n"/>
      <c r="M1774" s="11" t="n"/>
      <c r="N1774" s="11" t="n"/>
      <c r="O1774" s="11" t="n"/>
      <c r="P1774" s="12" t="n"/>
      <c r="Q1774" s="11" t="n"/>
      <c r="R1774" s="12" t="n"/>
      <c r="S1774" s="11" t="n"/>
      <c r="T1774" s="12" t="n"/>
      <c r="U1774" s="12" t="n"/>
      <c r="V1774" s="12" t="n"/>
      <c r="W1774" s="13" t="n"/>
      <c r="X1774" s="14">
        <f>IF($AP1774="",IF($B1774="","",$H1774),IF(INDEX(職員マスタ!$B$6:$B$405,$AP1774)="",$H1774,INDEX(職員マスタ!$B$6:$B$405,$AP1774)))</f>
        <v/>
      </c>
      <c r="Y1774" s="14">
        <f>IF($AP1774="",IF($B1774="","",$R1774),IF(INDEX(職員マスタ!$C$6:$C$405,$AP1774)="",$R1774,INDEX(職員マスタ!$C$6:$C$405,$AP1774)))</f>
        <v/>
      </c>
      <c r="Z1774" s="14">
        <f>IF($AQ1774="","","R"&amp;$C1774&amp;"."&amp;$D1774)</f>
        <v/>
      </c>
      <c r="AA1774" s="15">
        <f>IF(IF($AP1774="",FALSE,INDEX(職員マスタ!$K$6:$K$405,$AP1774)&lt;&gt;""),INDEX(職員マスタ!$K$6:$K$405,$AP1774),IF(N($W1774)&gt;0,$W1774,""))</f>
        <v/>
      </c>
      <c r="AB1774" s="14">
        <f>IF(OR($E1774="",$AA1774=""),"",IF($E1774&gt;=$AA1774,"×",IF($E1774&gt;=$AA1774*設定!$C$5,"△","○")))</f>
        <v/>
      </c>
      <c r="AC1774" s="15">
        <f>IF($AB1774="","",IF($AB1774="×",0,IF($AB1774="○",ROUNDDOWN($E1774*設定!$C$4,0),ROUNDDOWN($E1774*ROUND((9*$AA1774-9*$E1774)/(10*$E1774),4),0))))</f>
        <v/>
      </c>
      <c r="AD1774" s="13" t="n"/>
      <c r="AE1774" s="15">
        <f>IF($B1774="","",IF($AD1774&lt;&gt;"",$AD1774,IF($AC1774="","",IF($AC1774&lt;=設定!$C$3,0,$AC1774))))</f>
        <v/>
      </c>
      <c r="AF1774" s="14">
        <f>IF($B1774="","",IF(AND($AG1774&lt;&gt;"",$AI1774="",$AL1774=""),"保留中",IF($AL1774&lt;&gt;"",IF(N($AE1774)&gt;0,"支給済","不支給"),IF($AE1774="","要確認",IF($AE1774=0,"不支給","未処理")))))</f>
        <v/>
      </c>
      <c r="AG1774" s="12" t="n"/>
      <c r="AH1774" s="11" t="n"/>
      <c r="AI1774" s="11" t="n"/>
      <c r="AJ1774" s="11" t="n"/>
      <c r="AK1774" s="14">
        <f>IF(AND($AF1774="保留中",$AH1774&lt;&gt;""),TODAY()-$AH1774,"")</f>
        <v/>
      </c>
      <c r="AL1774" s="12" t="n"/>
      <c r="AM1774" s="14">
        <f>IF($B1774="","",IF($AQ1774="","対象年月が未入力／","")&amp;IF($B1774="","",IF($AP1774="","職員マスタに未登録の職員番号／",IF($AA1774="","標準報酬月額が未登録／","")&amp;IF(AND($AQ1774&lt;&gt;"",OR(AND(INDEX(職員マスタ!$G$6:$G$405,$AP1774)&lt;&gt;"",INDEX(職員マスタ!$G$6:$G$405,$AP1774)&gt;EOMONTH($AQ1774,0)),AND(INDEX(職員マスタ!$H$6:$H$405,$AP1774)&lt;&gt;"",INDEX(職員マスタ!$H$6:$H$405,$AP1774)&lt;$AQ1774))),"対象月が時短期間外／","")&amp;IF(AND(INDEX(職員マスタ!$K$6:$K$405,$AP1774)&lt;&gt;"",N($W1774)&gt;0,INDEX(職員マスタ!$K$6:$K$405,$AP1774)&lt;&gt;$W1774),"標準報酬月額が申請書と相違（台帳"&amp;TEXT(INDEX(職員マスタ!$K$6:$K$405,$AP1774),"#,##0")&amp;"円／申請書"&amp;TEXT($W1774,"#,##0")&amp;"円）／","")&amp;IF(AND(INDEX(職員マスタ!$F$6:$F$405,$AP1774)&lt;&gt;"",$AQ1774&lt;&gt;"",INDEX(職員マスタ!$F$6:$F$405,$AP1774)&lt;$AQ1774),"対象月に子が2歳到達済／","")&amp;IF(AND($H1774&lt;&gt;"",INDEX(職員マスタ!$B$6:$B$405,$AP1774)&lt;&gt;"",SUBSTITUTE(SUBSTITUTE($H1774," ","")," ","")&lt;&gt;SUBSTITUTE(SUBSTITUTE(INDEX(職員マスタ!$B$6:$B$405,$AP1774)," ","")," ","")),"氏名がマスタと相違／","")&amp;IF(AND($Q1774&lt;&gt;"",INDEX(職員マスタ!$E$6:$E$405,$AP1774)&lt;&gt;"",$Q1774&lt;&gt;INDEX(職員マスタ!$E$6:$E$405,$AP1774)),"子の生年月日がマスタと相違／","")&amp;IF(AND($L1774&lt;&gt;"",INDEX(職員マスタ!$G$6:$G$405,$AP1774)&lt;&gt;"",$L1774&lt;&gt;INDEX(職員マスタ!$G$6:$G$405,$AP1774)),"時短開始日がマスタと相違／","")&amp;IF(AND($M1774&lt;&gt;"",INDEX(職員マスタ!$H$6:$H$405,$AP1774)&lt;&gt;"",$M1774&lt;&gt;INDEX(職員マスタ!$H$6:$H$405,$AP1774)),"時短終了日がマスタと相違／","")))&amp;IF(AND($B1774&lt;&gt;"",$E1774=""),"報酬額が未入力／","")&amp;IF(N($U1774)&gt;0,"申請書に入力エラーが残っています／","")&amp;IF(AND($B1774&lt;&gt;"",$AQ1774&lt;&gt;""),IF(COUNTIFS($B$6:$B$3005,$B1774,$C$6:$C$3005,$C1774,$D$6:$D$3005,$D1774)&gt;1,"同じ月の請求が重複しています／",""),"")&amp;IF(AND(N($E1774)&gt;0,$AB1774&lt;&gt;"",$AB1774&lt;&gt;"×",$AE1774=0,$AD1774=""),"計算額が下限以下のため不支給／",""))</f>
        <v/>
      </c>
      <c r="AN1774" s="12" t="n"/>
      <c r="AO1774" s="14">
        <f>IF($AF1774="保留中",COUNTIF($AF$6:$AF1774,"保留中"),"")</f>
        <v/>
      </c>
      <c r="AP1774" s="14">
        <f>IF($AQ1774="","",IF(SUMPRODUCT(MAX((職員マスタ!$A$6:$A$405=$B1774)*(((職員マスタ!$G$6:$G$405="")+(職員マスタ!$G$6:$G$405&lt;=EOMONTH($AQ1774,0)))&gt;0)*(((職員マスタ!$H$6:$H$405="")+(職員マスタ!$H$6:$H$405&gt;=$AQ1774))&gt;0)*(ROW(職員マスタ!$A$6:$A$405)-5)))&gt;0,SUMPRODUCT(MAX((職員マスタ!$A$6:$A$405=$B1774)*(((職員マスタ!$G$6:$G$405="")+(職員マスタ!$G$6:$G$405&lt;=EOMONTH($AQ1774,0)))&gt;0)*(((職員マスタ!$H$6:$H$405="")+(職員マスタ!$H$6:$H$405&gt;=$AQ1774))&gt;0)*(ROW(職員マスタ!$A$6:$A$405)-5))),IFERROR(MATCH($B1774,職員マスタ!$A$6:$A$405,0),"")))</f>
        <v/>
      </c>
      <c r="AQ1774" s="16">
        <f>IF(OR($B1774="",$C1774="",$D1774=""),"",DATE($C1774+2018,$D1774,1))</f>
        <v/>
      </c>
    </row>
    <row r="1775">
      <c r="A1775" s="11" t="n"/>
      <c r="B1775" s="12" t="n"/>
      <c r="C1775" s="12" t="n"/>
      <c r="D1775" s="12" t="n"/>
      <c r="E1775" s="13" t="n"/>
      <c r="F1775" s="12" t="n"/>
      <c r="G1775" s="13" t="n"/>
      <c r="H1775" s="12" t="n"/>
      <c r="I1775" s="12" t="n"/>
      <c r="J1775" s="12" t="n"/>
      <c r="K1775" s="12" t="n"/>
      <c r="L1775" s="11" t="n"/>
      <c r="M1775" s="11" t="n"/>
      <c r="N1775" s="11" t="n"/>
      <c r="O1775" s="11" t="n"/>
      <c r="P1775" s="12" t="n"/>
      <c r="Q1775" s="11" t="n"/>
      <c r="R1775" s="12" t="n"/>
      <c r="S1775" s="11" t="n"/>
      <c r="T1775" s="12" t="n"/>
      <c r="U1775" s="12" t="n"/>
      <c r="V1775" s="12" t="n"/>
      <c r="W1775" s="13" t="n"/>
      <c r="X1775" s="14">
        <f>IF($AP1775="",IF($B1775="","",$H1775),IF(INDEX(職員マスタ!$B$6:$B$405,$AP1775)="",$H1775,INDEX(職員マスタ!$B$6:$B$405,$AP1775)))</f>
        <v/>
      </c>
      <c r="Y1775" s="14">
        <f>IF($AP1775="",IF($B1775="","",$R1775),IF(INDEX(職員マスタ!$C$6:$C$405,$AP1775)="",$R1775,INDEX(職員マスタ!$C$6:$C$405,$AP1775)))</f>
        <v/>
      </c>
      <c r="Z1775" s="14">
        <f>IF($AQ1775="","","R"&amp;$C1775&amp;"."&amp;$D1775)</f>
        <v/>
      </c>
      <c r="AA1775" s="15">
        <f>IF(IF($AP1775="",FALSE,INDEX(職員マスタ!$K$6:$K$405,$AP1775)&lt;&gt;""),INDEX(職員マスタ!$K$6:$K$405,$AP1775),IF(N($W1775)&gt;0,$W1775,""))</f>
        <v/>
      </c>
      <c r="AB1775" s="14">
        <f>IF(OR($E1775="",$AA1775=""),"",IF($E1775&gt;=$AA1775,"×",IF($E1775&gt;=$AA1775*設定!$C$5,"△","○")))</f>
        <v/>
      </c>
      <c r="AC1775" s="15">
        <f>IF($AB1775="","",IF($AB1775="×",0,IF($AB1775="○",ROUNDDOWN($E1775*設定!$C$4,0),ROUNDDOWN($E1775*ROUND((9*$AA1775-9*$E1775)/(10*$E1775),4),0))))</f>
        <v/>
      </c>
      <c r="AD1775" s="13" t="n"/>
      <c r="AE1775" s="15">
        <f>IF($B1775="","",IF($AD1775&lt;&gt;"",$AD1775,IF($AC1775="","",IF($AC1775&lt;=設定!$C$3,0,$AC1775))))</f>
        <v/>
      </c>
      <c r="AF1775" s="14">
        <f>IF($B1775="","",IF(AND($AG1775&lt;&gt;"",$AI1775="",$AL1775=""),"保留中",IF($AL1775&lt;&gt;"",IF(N($AE1775)&gt;0,"支給済","不支給"),IF($AE1775="","要確認",IF($AE1775=0,"不支給","未処理")))))</f>
        <v/>
      </c>
      <c r="AG1775" s="12" t="n"/>
      <c r="AH1775" s="11" t="n"/>
      <c r="AI1775" s="11" t="n"/>
      <c r="AJ1775" s="11" t="n"/>
      <c r="AK1775" s="14">
        <f>IF(AND($AF1775="保留中",$AH1775&lt;&gt;""),TODAY()-$AH1775,"")</f>
        <v/>
      </c>
      <c r="AL1775" s="12" t="n"/>
      <c r="AM1775" s="14">
        <f>IF($B1775="","",IF($AQ1775="","対象年月が未入力／","")&amp;IF($B1775="","",IF($AP1775="","職員マスタに未登録の職員番号／",IF($AA1775="","標準報酬月額が未登録／","")&amp;IF(AND($AQ1775&lt;&gt;"",OR(AND(INDEX(職員マスタ!$G$6:$G$405,$AP1775)&lt;&gt;"",INDEX(職員マスタ!$G$6:$G$405,$AP1775)&gt;EOMONTH($AQ1775,0)),AND(INDEX(職員マスタ!$H$6:$H$405,$AP1775)&lt;&gt;"",INDEX(職員マスタ!$H$6:$H$405,$AP1775)&lt;$AQ1775))),"対象月が時短期間外／","")&amp;IF(AND(INDEX(職員マスタ!$K$6:$K$405,$AP1775)&lt;&gt;"",N($W1775)&gt;0,INDEX(職員マスタ!$K$6:$K$405,$AP1775)&lt;&gt;$W1775),"標準報酬月額が申請書と相違（台帳"&amp;TEXT(INDEX(職員マスタ!$K$6:$K$405,$AP1775),"#,##0")&amp;"円／申請書"&amp;TEXT($W1775,"#,##0")&amp;"円）／","")&amp;IF(AND(INDEX(職員マスタ!$F$6:$F$405,$AP1775)&lt;&gt;"",$AQ1775&lt;&gt;"",INDEX(職員マスタ!$F$6:$F$405,$AP1775)&lt;$AQ1775),"対象月に子が2歳到達済／","")&amp;IF(AND($H1775&lt;&gt;"",INDEX(職員マスタ!$B$6:$B$405,$AP1775)&lt;&gt;"",SUBSTITUTE(SUBSTITUTE($H1775," ","")," ","")&lt;&gt;SUBSTITUTE(SUBSTITUTE(INDEX(職員マスタ!$B$6:$B$405,$AP1775)," ","")," ","")),"氏名がマスタと相違／","")&amp;IF(AND($Q1775&lt;&gt;"",INDEX(職員マスタ!$E$6:$E$405,$AP1775)&lt;&gt;"",$Q1775&lt;&gt;INDEX(職員マスタ!$E$6:$E$405,$AP1775)),"子の生年月日がマスタと相違／","")&amp;IF(AND($L1775&lt;&gt;"",INDEX(職員マスタ!$G$6:$G$405,$AP1775)&lt;&gt;"",$L1775&lt;&gt;INDEX(職員マスタ!$G$6:$G$405,$AP1775)),"時短開始日がマスタと相違／","")&amp;IF(AND($M1775&lt;&gt;"",INDEX(職員マスタ!$H$6:$H$405,$AP1775)&lt;&gt;"",$M1775&lt;&gt;INDEX(職員マスタ!$H$6:$H$405,$AP1775)),"時短終了日がマスタと相違／","")))&amp;IF(AND($B1775&lt;&gt;"",$E1775=""),"報酬額が未入力／","")&amp;IF(N($U1775)&gt;0,"申請書に入力エラーが残っています／","")&amp;IF(AND($B1775&lt;&gt;"",$AQ1775&lt;&gt;""),IF(COUNTIFS($B$6:$B$3005,$B1775,$C$6:$C$3005,$C1775,$D$6:$D$3005,$D1775)&gt;1,"同じ月の請求が重複しています／",""),"")&amp;IF(AND(N($E1775)&gt;0,$AB1775&lt;&gt;"",$AB1775&lt;&gt;"×",$AE1775=0,$AD1775=""),"計算額が下限以下のため不支給／",""))</f>
        <v/>
      </c>
      <c r="AN1775" s="12" t="n"/>
      <c r="AO1775" s="14">
        <f>IF($AF1775="保留中",COUNTIF($AF$6:$AF1775,"保留中"),"")</f>
        <v/>
      </c>
      <c r="AP1775" s="14">
        <f>IF($AQ1775="","",IF(SUMPRODUCT(MAX((職員マスタ!$A$6:$A$405=$B1775)*(((職員マスタ!$G$6:$G$405="")+(職員マスタ!$G$6:$G$405&lt;=EOMONTH($AQ1775,0)))&gt;0)*(((職員マスタ!$H$6:$H$405="")+(職員マスタ!$H$6:$H$405&gt;=$AQ1775))&gt;0)*(ROW(職員マスタ!$A$6:$A$405)-5)))&gt;0,SUMPRODUCT(MAX((職員マスタ!$A$6:$A$405=$B1775)*(((職員マスタ!$G$6:$G$405="")+(職員マスタ!$G$6:$G$405&lt;=EOMONTH($AQ1775,0)))&gt;0)*(((職員マスタ!$H$6:$H$405="")+(職員マスタ!$H$6:$H$405&gt;=$AQ1775))&gt;0)*(ROW(職員マスタ!$A$6:$A$405)-5))),IFERROR(MATCH($B1775,職員マスタ!$A$6:$A$405,0),"")))</f>
        <v/>
      </c>
      <c r="AQ1775" s="16">
        <f>IF(OR($B1775="",$C1775="",$D1775=""),"",DATE($C1775+2018,$D1775,1))</f>
        <v/>
      </c>
    </row>
    <row r="1776">
      <c r="A1776" s="11" t="n"/>
      <c r="B1776" s="12" t="n"/>
      <c r="C1776" s="12" t="n"/>
      <c r="D1776" s="12" t="n"/>
      <c r="E1776" s="13" t="n"/>
      <c r="F1776" s="12" t="n"/>
      <c r="G1776" s="13" t="n"/>
      <c r="H1776" s="12" t="n"/>
      <c r="I1776" s="12" t="n"/>
      <c r="J1776" s="12" t="n"/>
      <c r="K1776" s="12" t="n"/>
      <c r="L1776" s="11" t="n"/>
      <c r="M1776" s="11" t="n"/>
      <c r="N1776" s="11" t="n"/>
      <c r="O1776" s="11" t="n"/>
      <c r="P1776" s="12" t="n"/>
      <c r="Q1776" s="11" t="n"/>
      <c r="R1776" s="12" t="n"/>
      <c r="S1776" s="11" t="n"/>
      <c r="T1776" s="12" t="n"/>
      <c r="U1776" s="12" t="n"/>
      <c r="V1776" s="12" t="n"/>
      <c r="W1776" s="13" t="n"/>
      <c r="X1776" s="14">
        <f>IF($AP1776="",IF($B1776="","",$H1776),IF(INDEX(職員マスタ!$B$6:$B$405,$AP1776)="",$H1776,INDEX(職員マスタ!$B$6:$B$405,$AP1776)))</f>
        <v/>
      </c>
      <c r="Y1776" s="14">
        <f>IF($AP1776="",IF($B1776="","",$R1776),IF(INDEX(職員マスタ!$C$6:$C$405,$AP1776)="",$R1776,INDEX(職員マスタ!$C$6:$C$405,$AP1776)))</f>
        <v/>
      </c>
      <c r="Z1776" s="14">
        <f>IF($AQ1776="","","R"&amp;$C1776&amp;"."&amp;$D1776)</f>
        <v/>
      </c>
      <c r="AA1776" s="15">
        <f>IF(IF($AP1776="",FALSE,INDEX(職員マスタ!$K$6:$K$405,$AP1776)&lt;&gt;""),INDEX(職員マスタ!$K$6:$K$405,$AP1776),IF(N($W1776)&gt;0,$W1776,""))</f>
        <v/>
      </c>
      <c r="AB1776" s="14">
        <f>IF(OR($E1776="",$AA1776=""),"",IF($E1776&gt;=$AA1776,"×",IF($E1776&gt;=$AA1776*設定!$C$5,"△","○")))</f>
        <v/>
      </c>
      <c r="AC1776" s="15">
        <f>IF($AB1776="","",IF($AB1776="×",0,IF($AB1776="○",ROUNDDOWN($E1776*設定!$C$4,0),ROUNDDOWN($E1776*ROUND((9*$AA1776-9*$E1776)/(10*$E1776),4),0))))</f>
        <v/>
      </c>
      <c r="AD1776" s="13" t="n"/>
      <c r="AE1776" s="15">
        <f>IF($B1776="","",IF($AD1776&lt;&gt;"",$AD1776,IF($AC1776="","",IF($AC1776&lt;=設定!$C$3,0,$AC1776))))</f>
        <v/>
      </c>
      <c r="AF1776" s="14">
        <f>IF($B1776="","",IF(AND($AG1776&lt;&gt;"",$AI1776="",$AL1776=""),"保留中",IF($AL1776&lt;&gt;"",IF(N($AE1776)&gt;0,"支給済","不支給"),IF($AE1776="","要確認",IF($AE1776=0,"不支給","未処理")))))</f>
        <v/>
      </c>
      <c r="AG1776" s="12" t="n"/>
      <c r="AH1776" s="11" t="n"/>
      <c r="AI1776" s="11" t="n"/>
      <c r="AJ1776" s="11" t="n"/>
      <c r="AK1776" s="14">
        <f>IF(AND($AF1776="保留中",$AH1776&lt;&gt;""),TODAY()-$AH1776,"")</f>
        <v/>
      </c>
      <c r="AL1776" s="12" t="n"/>
      <c r="AM1776" s="14">
        <f>IF($B1776="","",IF($AQ1776="","対象年月が未入力／","")&amp;IF($B1776="","",IF($AP1776="","職員マスタに未登録の職員番号／",IF($AA1776="","標準報酬月額が未登録／","")&amp;IF(AND($AQ1776&lt;&gt;"",OR(AND(INDEX(職員マスタ!$G$6:$G$405,$AP1776)&lt;&gt;"",INDEX(職員マスタ!$G$6:$G$405,$AP1776)&gt;EOMONTH($AQ1776,0)),AND(INDEX(職員マスタ!$H$6:$H$405,$AP1776)&lt;&gt;"",INDEX(職員マスタ!$H$6:$H$405,$AP1776)&lt;$AQ1776))),"対象月が時短期間外／","")&amp;IF(AND(INDEX(職員マスタ!$K$6:$K$405,$AP1776)&lt;&gt;"",N($W1776)&gt;0,INDEX(職員マスタ!$K$6:$K$405,$AP1776)&lt;&gt;$W1776),"標準報酬月額が申請書と相違（台帳"&amp;TEXT(INDEX(職員マスタ!$K$6:$K$405,$AP1776),"#,##0")&amp;"円／申請書"&amp;TEXT($W1776,"#,##0")&amp;"円）／","")&amp;IF(AND(INDEX(職員マスタ!$F$6:$F$405,$AP1776)&lt;&gt;"",$AQ1776&lt;&gt;"",INDEX(職員マスタ!$F$6:$F$405,$AP1776)&lt;$AQ1776),"対象月に子が2歳到達済／","")&amp;IF(AND($H1776&lt;&gt;"",INDEX(職員マスタ!$B$6:$B$405,$AP1776)&lt;&gt;"",SUBSTITUTE(SUBSTITUTE($H1776," ","")," ","")&lt;&gt;SUBSTITUTE(SUBSTITUTE(INDEX(職員マスタ!$B$6:$B$405,$AP1776)," ","")," ","")),"氏名がマスタと相違／","")&amp;IF(AND($Q1776&lt;&gt;"",INDEX(職員マスタ!$E$6:$E$405,$AP1776)&lt;&gt;"",$Q1776&lt;&gt;INDEX(職員マスタ!$E$6:$E$405,$AP1776)),"子の生年月日がマスタと相違／","")&amp;IF(AND($L1776&lt;&gt;"",INDEX(職員マスタ!$G$6:$G$405,$AP1776)&lt;&gt;"",$L1776&lt;&gt;INDEX(職員マスタ!$G$6:$G$405,$AP1776)),"時短開始日がマスタと相違／","")&amp;IF(AND($M1776&lt;&gt;"",INDEX(職員マスタ!$H$6:$H$405,$AP1776)&lt;&gt;"",$M1776&lt;&gt;INDEX(職員マスタ!$H$6:$H$405,$AP1776)),"時短終了日がマスタと相違／","")))&amp;IF(AND($B1776&lt;&gt;"",$E1776=""),"報酬額が未入力／","")&amp;IF(N($U1776)&gt;0,"申請書に入力エラーが残っています／","")&amp;IF(AND($B1776&lt;&gt;"",$AQ1776&lt;&gt;""),IF(COUNTIFS($B$6:$B$3005,$B1776,$C$6:$C$3005,$C1776,$D$6:$D$3005,$D1776)&gt;1,"同じ月の請求が重複しています／",""),"")&amp;IF(AND(N($E1776)&gt;0,$AB1776&lt;&gt;"",$AB1776&lt;&gt;"×",$AE1776=0,$AD1776=""),"計算額が下限以下のため不支給／",""))</f>
        <v/>
      </c>
      <c r="AN1776" s="12" t="n"/>
      <c r="AO1776" s="14">
        <f>IF($AF1776="保留中",COUNTIF($AF$6:$AF1776,"保留中"),"")</f>
        <v/>
      </c>
      <c r="AP1776" s="14">
        <f>IF($AQ1776="","",IF(SUMPRODUCT(MAX((職員マスタ!$A$6:$A$405=$B1776)*(((職員マスタ!$G$6:$G$405="")+(職員マスタ!$G$6:$G$405&lt;=EOMONTH($AQ1776,0)))&gt;0)*(((職員マスタ!$H$6:$H$405="")+(職員マスタ!$H$6:$H$405&gt;=$AQ1776))&gt;0)*(ROW(職員マスタ!$A$6:$A$405)-5)))&gt;0,SUMPRODUCT(MAX((職員マスタ!$A$6:$A$405=$B1776)*(((職員マスタ!$G$6:$G$405="")+(職員マスタ!$G$6:$G$405&lt;=EOMONTH($AQ1776,0)))&gt;0)*(((職員マスタ!$H$6:$H$405="")+(職員マスタ!$H$6:$H$405&gt;=$AQ1776))&gt;0)*(ROW(職員マスタ!$A$6:$A$405)-5))),IFERROR(MATCH($B1776,職員マスタ!$A$6:$A$405,0),"")))</f>
        <v/>
      </c>
      <c r="AQ1776" s="16">
        <f>IF(OR($B1776="",$C1776="",$D1776=""),"",DATE($C1776+2018,$D1776,1))</f>
        <v/>
      </c>
    </row>
    <row r="1777">
      <c r="A1777" s="11" t="n"/>
      <c r="B1777" s="12" t="n"/>
      <c r="C1777" s="12" t="n"/>
      <c r="D1777" s="12" t="n"/>
      <c r="E1777" s="13" t="n"/>
      <c r="F1777" s="12" t="n"/>
      <c r="G1777" s="13" t="n"/>
      <c r="H1777" s="12" t="n"/>
      <c r="I1777" s="12" t="n"/>
      <c r="J1777" s="12" t="n"/>
      <c r="K1777" s="12" t="n"/>
      <c r="L1777" s="11" t="n"/>
      <c r="M1777" s="11" t="n"/>
      <c r="N1777" s="11" t="n"/>
      <c r="O1777" s="11" t="n"/>
      <c r="P1777" s="12" t="n"/>
      <c r="Q1777" s="11" t="n"/>
      <c r="R1777" s="12" t="n"/>
      <c r="S1777" s="11" t="n"/>
      <c r="T1777" s="12" t="n"/>
      <c r="U1777" s="12" t="n"/>
      <c r="V1777" s="12" t="n"/>
      <c r="W1777" s="13" t="n"/>
      <c r="X1777" s="14">
        <f>IF($AP1777="",IF($B1777="","",$H1777),IF(INDEX(職員マスタ!$B$6:$B$405,$AP1777)="",$H1777,INDEX(職員マスタ!$B$6:$B$405,$AP1777)))</f>
        <v/>
      </c>
      <c r="Y1777" s="14">
        <f>IF($AP1777="",IF($B1777="","",$R1777),IF(INDEX(職員マスタ!$C$6:$C$405,$AP1777)="",$R1777,INDEX(職員マスタ!$C$6:$C$405,$AP1777)))</f>
        <v/>
      </c>
      <c r="Z1777" s="14">
        <f>IF($AQ1777="","","R"&amp;$C1777&amp;"."&amp;$D1777)</f>
        <v/>
      </c>
      <c r="AA1777" s="15">
        <f>IF(IF($AP1777="",FALSE,INDEX(職員マスタ!$K$6:$K$405,$AP1777)&lt;&gt;""),INDEX(職員マスタ!$K$6:$K$405,$AP1777),IF(N($W1777)&gt;0,$W1777,""))</f>
        <v/>
      </c>
      <c r="AB1777" s="14">
        <f>IF(OR($E1777="",$AA1777=""),"",IF($E1777&gt;=$AA1777,"×",IF($E1777&gt;=$AA1777*設定!$C$5,"△","○")))</f>
        <v/>
      </c>
      <c r="AC1777" s="15">
        <f>IF($AB1777="","",IF($AB1777="×",0,IF($AB1777="○",ROUNDDOWN($E1777*設定!$C$4,0),ROUNDDOWN($E1777*ROUND((9*$AA1777-9*$E1777)/(10*$E1777),4),0))))</f>
        <v/>
      </c>
      <c r="AD1777" s="13" t="n"/>
      <c r="AE1777" s="15">
        <f>IF($B1777="","",IF($AD1777&lt;&gt;"",$AD1777,IF($AC1777="","",IF($AC1777&lt;=設定!$C$3,0,$AC1777))))</f>
        <v/>
      </c>
      <c r="AF1777" s="14">
        <f>IF($B1777="","",IF(AND($AG1777&lt;&gt;"",$AI1777="",$AL1777=""),"保留中",IF($AL1777&lt;&gt;"",IF(N($AE1777)&gt;0,"支給済","不支給"),IF($AE1777="","要確認",IF($AE1777=0,"不支給","未処理")))))</f>
        <v/>
      </c>
      <c r="AG1777" s="12" t="n"/>
      <c r="AH1777" s="11" t="n"/>
      <c r="AI1777" s="11" t="n"/>
      <c r="AJ1777" s="11" t="n"/>
      <c r="AK1777" s="14">
        <f>IF(AND($AF1777="保留中",$AH1777&lt;&gt;""),TODAY()-$AH1777,"")</f>
        <v/>
      </c>
      <c r="AL1777" s="12" t="n"/>
      <c r="AM1777" s="14">
        <f>IF($B1777="","",IF($AQ1777="","対象年月が未入力／","")&amp;IF($B1777="","",IF($AP1777="","職員マスタに未登録の職員番号／",IF($AA1777="","標準報酬月額が未登録／","")&amp;IF(AND($AQ1777&lt;&gt;"",OR(AND(INDEX(職員マスタ!$G$6:$G$405,$AP1777)&lt;&gt;"",INDEX(職員マスタ!$G$6:$G$405,$AP1777)&gt;EOMONTH($AQ1777,0)),AND(INDEX(職員マスタ!$H$6:$H$405,$AP1777)&lt;&gt;"",INDEX(職員マスタ!$H$6:$H$405,$AP1777)&lt;$AQ1777))),"対象月が時短期間外／","")&amp;IF(AND(INDEX(職員マスタ!$K$6:$K$405,$AP1777)&lt;&gt;"",N($W1777)&gt;0,INDEX(職員マスタ!$K$6:$K$405,$AP1777)&lt;&gt;$W1777),"標準報酬月額が申請書と相違（台帳"&amp;TEXT(INDEX(職員マスタ!$K$6:$K$405,$AP1777),"#,##0")&amp;"円／申請書"&amp;TEXT($W1777,"#,##0")&amp;"円）／","")&amp;IF(AND(INDEX(職員マスタ!$F$6:$F$405,$AP1777)&lt;&gt;"",$AQ1777&lt;&gt;"",INDEX(職員マスタ!$F$6:$F$405,$AP1777)&lt;$AQ1777),"対象月に子が2歳到達済／","")&amp;IF(AND($H1777&lt;&gt;"",INDEX(職員マスタ!$B$6:$B$405,$AP1777)&lt;&gt;"",SUBSTITUTE(SUBSTITUTE($H1777," ","")," ","")&lt;&gt;SUBSTITUTE(SUBSTITUTE(INDEX(職員マスタ!$B$6:$B$405,$AP1777)," ","")," ","")),"氏名がマスタと相違／","")&amp;IF(AND($Q1777&lt;&gt;"",INDEX(職員マスタ!$E$6:$E$405,$AP1777)&lt;&gt;"",$Q1777&lt;&gt;INDEX(職員マスタ!$E$6:$E$405,$AP1777)),"子の生年月日がマスタと相違／","")&amp;IF(AND($L1777&lt;&gt;"",INDEX(職員マスタ!$G$6:$G$405,$AP1777)&lt;&gt;"",$L1777&lt;&gt;INDEX(職員マスタ!$G$6:$G$405,$AP1777)),"時短開始日がマスタと相違／","")&amp;IF(AND($M1777&lt;&gt;"",INDEX(職員マスタ!$H$6:$H$405,$AP1777)&lt;&gt;"",$M1777&lt;&gt;INDEX(職員マスタ!$H$6:$H$405,$AP1777)),"時短終了日がマスタと相違／","")))&amp;IF(AND($B1777&lt;&gt;"",$E1777=""),"報酬額が未入力／","")&amp;IF(N($U1777)&gt;0,"申請書に入力エラーが残っています／","")&amp;IF(AND($B1777&lt;&gt;"",$AQ1777&lt;&gt;""),IF(COUNTIFS($B$6:$B$3005,$B1777,$C$6:$C$3005,$C1777,$D$6:$D$3005,$D1777)&gt;1,"同じ月の請求が重複しています／",""),"")&amp;IF(AND(N($E1777)&gt;0,$AB1777&lt;&gt;"",$AB1777&lt;&gt;"×",$AE1777=0,$AD1777=""),"計算額が下限以下のため不支給／",""))</f>
        <v/>
      </c>
      <c r="AN1777" s="12" t="n"/>
      <c r="AO1777" s="14">
        <f>IF($AF1777="保留中",COUNTIF($AF$6:$AF1777,"保留中"),"")</f>
        <v/>
      </c>
      <c r="AP1777" s="14">
        <f>IF($AQ1777="","",IF(SUMPRODUCT(MAX((職員マスタ!$A$6:$A$405=$B1777)*(((職員マスタ!$G$6:$G$405="")+(職員マスタ!$G$6:$G$405&lt;=EOMONTH($AQ1777,0)))&gt;0)*(((職員マスタ!$H$6:$H$405="")+(職員マスタ!$H$6:$H$405&gt;=$AQ1777))&gt;0)*(ROW(職員マスタ!$A$6:$A$405)-5)))&gt;0,SUMPRODUCT(MAX((職員マスタ!$A$6:$A$405=$B1777)*(((職員マスタ!$G$6:$G$405="")+(職員マスタ!$G$6:$G$405&lt;=EOMONTH($AQ1777,0)))&gt;0)*(((職員マスタ!$H$6:$H$405="")+(職員マスタ!$H$6:$H$405&gt;=$AQ1777))&gt;0)*(ROW(職員マスタ!$A$6:$A$405)-5))),IFERROR(MATCH($B1777,職員マスタ!$A$6:$A$405,0),"")))</f>
        <v/>
      </c>
      <c r="AQ1777" s="16">
        <f>IF(OR($B1777="",$C1777="",$D1777=""),"",DATE($C1777+2018,$D1777,1))</f>
        <v/>
      </c>
    </row>
    <row r="1778">
      <c r="A1778" s="11" t="n"/>
      <c r="B1778" s="12" t="n"/>
      <c r="C1778" s="12" t="n"/>
      <c r="D1778" s="12" t="n"/>
      <c r="E1778" s="13" t="n"/>
      <c r="F1778" s="12" t="n"/>
      <c r="G1778" s="13" t="n"/>
      <c r="H1778" s="12" t="n"/>
      <c r="I1778" s="12" t="n"/>
      <c r="J1778" s="12" t="n"/>
      <c r="K1778" s="12" t="n"/>
      <c r="L1778" s="11" t="n"/>
      <c r="M1778" s="11" t="n"/>
      <c r="N1778" s="11" t="n"/>
      <c r="O1778" s="11" t="n"/>
      <c r="P1778" s="12" t="n"/>
      <c r="Q1778" s="11" t="n"/>
      <c r="R1778" s="12" t="n"/>
      <c r="S1778" s="11" t="n"/>
      <c r="T1778" s="12" t="n"/>
      <c r="U1778" s="12" t="n"/>
      <c r="V1778" s="12" t="n"/>
      <c r="W1778" s="13" t="n"/>
      <c r="X1778" s="14">
        <f>IF($AP1778="",IF($B1778="","",$H1778),IF(INDEX(職員マスタ!$B$6:$B$405,$AP1778)="",$H1778,INDEX(職員マスタ!$B$6:$B$405,$AP1778)))</f>
        <v/>
      </c>
      <c r="Y1778" s="14">
        <f>IF($AP1778="",IF($B1778="","",$R1778),IF(INDEX(職員マスタ!$C$6:$C$405,$AP1778)="",$R1778,INDEX(職員マスタ!$C$6:$C$405,$AP1778)))</f>
        <v/>
      </c>
      <c r="Z1778" s="14">
        <f>IF($AQ1778="","","R"&amp;$C1778&amp;"."&amp;$D1778)</f>
        <v/>
      </c>
      <c r="AA1778" s="15">
        <f>IF(IF($AP1778="",FALSE,INDEX(職員マスタ!$K$6:$K$405,$AP1778)&lt;&gt;""),INDEX(職員マスタ!$K$6:$K$405,$AP1778),IF(N($W1778)&gt;0,$W1778,""))</f>
        <v/>
      </c>
      <c r="AB1778" s="14">
        <f>IF(OR($E1778="",$AA1778=""),"",IF($E1778&gt;=$AA1778,"×",IF($E1778&gt;=$AA1778*設定!$C$5,"△","○")))</f>
        <v/>
      </c>
      <c r="AC1778" s="15">
        <f>IF($AB1778="","",IF($AB1778="×",0,IF($AB1778="○",ROUNDDOWN($E1778*設定!$C$4,0),ROUNDDOWN($E1778*ROUND((9*$AA1778-9*$E1778)/(10*$E1778),4),0))))</f>
        <v/>
      </c>
      <c r="AD1778" s="13" t="n"/>
      <c r="AE1778" s="15">
        <f>IF($B1778="","",IF($AD1778&lt;&gt;"",$AD1778,IF($AC1778="","",IF($AC1778&lt;=設定!$C$3,0,$AC1778))))</f>
        <v/>
      </c>
      <c r="AF1778" s="14">
        <f>IF($B1778="","",IF(AND($AG1778&lt;&gt;"",$AI1778="",$AL1778=""),"保留中",IF($AL1778&lt;&gt;"",IF(N($AE1778)&gt;0,"支給済","不支給"),IF($AE1778="","要確認",IF($AE1778=0,"不支給","未処理")))))</f>
        <v/>
      </c>
      <c r="AG1778" s="12" t="n"/>
      <c r="AH1778" s="11" t="n"/>
      <c r="AI1778" s="11" t="n"/>
      <c r="AJ1778" s="11" t="n"/>
      <c r="AK1778" s="14">
        <f>IF(AND($AF1778="保留中",$AH1778&lt;&gt;""),TODAY()-$AH1778,"")</f>
        <v/>
      </c>
      <c r="AL1778" s="12" t="n"/>
      <c r="AM1778" s="14">
        <f>IF($B1778="","",IF($AQ1778="","対象年月が未入力／","")&amp;IF($B1778="","",IF($AP1778="","職員マスタに未登録の職員番号／",IF($AA1778="","標準報酬月額が未登録／","")&amp;IF(AND($AQ1778&lt;&gt;"",OR(AND(INDEX(職員マスタ!$G$6:$G$405,$AP1778)&lt;&gt;"",INDEX(職員マスタ!$G$6:$G$405,$AP1778)&gt;EOMONTH($AQ1778,0)),AND(INDEX(職員マスタ!$H$6:$H$405,$AP1778)&lt;&gt;"",INDEX(職員マスタ!$H$6:$H$405,$AP1778)&lt;$AQ1778))),"対象月が時短期間外／","")&amp;IF(AND(INDEX(職員マスタ!$K$6:$K$405,$AP1778)&lt;&gt;"",N($W1778)&gt;0,INDEX(職員マスタ!$K$6:$K$405,$AP1778)&lt;&gt;$W1778),"標準報酬月額が申請書と相違（台帳"&amp;TEXT(INDEX(職員マスタ!$K$6:$K$405,$AP1778),"#,##0")&amp;"円／申請書"&amp;TEXT($W1778,"#,##0")&amp;"円）／","")&amp;IF(AND(INDEX(職員マスタ!$F$6:$F$405,$AP1778)&lt;&gt;"",$AQ1778&lt;&gt;"",INDEX(職員マスタ!$F$6:$F$405,$AP1778)&lt;$AQ1778),"対象月に子が2歳到達済／","")&amp;IF(AND($H1778&lt;&gt;"",INDEX(職員マスタ!$B$6:$B$405,$AP1778)&lt;&gt;"",SUBSTITUTE(SUBSTITUTE($H1778," ","")," ","")&lt;&gt;SUBSTITUTE(SUBSTITUTE(INDEX(職員マスタ!$B$6:$B$405,$AP1778)," ","")," ","")),"氏名がマスタと相違／","")&amp;IF(AND($Q1778&lt;&gt;"",INDEX(職員マスタ!$E$6:$E$405,$AP1778)&lt;&gt;"",$Q1778&lt;&gt;INDEX(職員マスタ!$E$6:$E$405,$AP1778)),"子の生年月日がマスタと相違／","")&amp;IF(AND($L1778&lt;&gt;"",INDEX(職員マスタ!$G$6:$G$405,$AP1778)&lt;&gt;"",$L1778&lt;&gt;INDEX(職員マスタ!$G$6:$G$405,$AP1778)),"時短開始日がマスタと相違／","")&amp;IF(AND($M1778&lt;&gt;"",INDEX(職員マスタ!$H$6:$H$405,$AP1778)&lt;&gt;"",$M1778&lt;&gt;INDEX(職員マスタ!$H$6:$H$405,$AP1778)),"時短終了日がマスタと相違／","")))&amp;IF(AND($B1778&lt;&gt;"",$E1778=""),"報酬額が未入力／","")&amp;IF(N($U1778)&gt;0,"申請書に入力エラーが残っています／","")&amp;IF(AND($B1778&lt;&gt;"",$AQ1778&lt;&gt;""),IF(COUNTIFS($B$6:$B$3005,$B1778,$C$6:$C$3005,$C1778,$D$6:$D$3005,$D1778)&gt;1,"同じ月の請求が重複しています／",""),"")&amp;IF(AND(N($E1778)&gt;0,$AB1778&lt;&gt;"",$AB1778&lt;&gt;"×",$AE1778=0,$AD1778=""),"計算額が下限以下のため不支給／",""))</f>
        <v/>
      </c>
      <c r="AN1778" s="12" t="n"/>
      <c r="AO1778" s="14">
        <f>IF($AF1778="保留中",COUNTIF($AF$6:$AF1778,"保留中"),"")</f>
        <v/>
      </c>
      <c r="AP1778" s="14">
        <f>IF($AQ1778="","",IF(SUMPRODUCT(MAX((職員マスタ!$A$6:$A$405=$B1778)*(((職員マスタ!$G$6:$G$405="")+(職員マスタ!$G$6:$G$405&lt;=EOMONTH($AQ1778,0)))&gt;0)*(((職員マスタ!$H$6:$H$405="")+(職員マスタ!$H$6:$H$405&gt;=$AQ1778))&gt;0)*(ROW(職員マスタ!$A$6:$A$405)-5)))&gt;0,SUMPRODUCT(MAX((職員マスタ!$A$6:$A$405=$B1778)*(((職員マスタ!$G$6:$G$405="")+(職員マスタ!$G$6:$G$405&lt;=EOMONTH($AQ1778,0)))&gt;0)*(((職員マスタ!$H$6:$H$405="")+(職員マスタ!$H$6:$H$405&gt;=$AQ1778))&gt;0)*(ROW(職員マスタ!$A$6:$A$405)-5))),IFERROR(MATCH($B1778,職員マスタ!$A$6:$A$405,0),"")))</f>
        <v/>
      </c>
      <c r="AQ1778" s="16">
        <f>IF(OR($B1778="",$C1778="",$D1778=""),"",DATE($C1778+2018,$D1778,1))</f>
        <v/>
      </c>
    </row>
    <row r="1779">
      <c r="A1779" s="11" t="n"/>
      <c r="B1779" s="12" t="n"/>
      <c r="C1779" s="12" t="n"/>
      <c r="D1779" s="12" t="n"/>
      <c r="E1779" s="13" t="n"/>
      <c r="F1779" s="12" t="n"/>
      <c r="G1779" s="13" t="n"/>
      <c r="H1779" s="12" t="n"/>
      <c r="I1779" s="12" t="n"/>
      <c r="J1779" s="12" t="n"/>
      <c r="K1779" s="12" t="n"/>
      <c r="L1779" s="11" t="n"/>
      <c r="M1779" s="11" t="n"/>
      <c r="N1779" s="11" t="n"/>
      <c r="O1779" s="11" t="n"/>
      <c r="P1779" s="12" t="n"/>
      <c r="Q1779" s="11" t="n"/>
      <c r="R1779" s="12" t="n"/>
      <c r="S1779" s="11" t="n"/>
      <c r="T1779" s="12" t="n"/>
      <c r="U1779" s="12" t="n"/>
      <c r="V1779" s="12" t="n"/>
      <c r="W1779" s="13" t="n"/>
      <c r="X1779" s="14">
        <f>IF($AP1779="",IF($B1779="","",$H1779),IF(INDEX(職員マスタ!$B$6:$B$405,$AP1779)="",$H1779,INDEX(職員マスタ!$B$6:$B$405,$AP1779)))</f>
        <v/>
      </c>
      <c r="Y1779" s="14">
        <f>IF($AP1779="",IF($B1779="","",$R1779),IF(INDEX(職員マスタ!$C$6:$C$405,$AP1779)="",$R1779,INDEX(職員マスタ!$C$6:$C$405,$AP1779)))</f>
        <v/>
      </c>
      <c r="Z1779" s="14">
        <f>IF($AQ1779="","","R"&amp;$C1779&amp;"."&amp;$D1779)</f>
        <v/>
      </c>
      <c r="AA1779" s="15">
        <f>IF(IF($AP1779="",FALSE,INDEX(職員マスタ!$K$6:$K$405,$AP1779)&lt;&gt;""),INDEX(職員マスタ!$K$6:$K$405,$AP1779),IF(N($W1779)&gt;0,$W1779,""))</f>
        <v/>
      </c>
      <c r="AB1779" s="14">
        <f>IF(OR($E1779="",$AA1779=""),"",IF($E1779&gt;=$AA1779,"×",IF($E1779&gt;=$AA1779*設定!$C$5,"△","○")))</f>
        <v/>
      </c>
      <c r="AC1779" s="15">
        <f>IF($AB1779="","",IF($AB1779="×",0,IF($AB1779="○",ROUNDDOWN($E1779*設定!$C$4,0),ROUNDDOWN($E1779*ROUND((9*$AA1779-9*$E1779)/(10*$E1779),4),0))))</f>
        <v/>
      </c>
      <c r="AD1779" s="13" t="n"/>
      <c r="AE1779" s="15">
        <f>IF($B1779="","",IF($AD1779&lt;&gt;"",$AD1779,IF($AC1779="","",IF($AC1779&lt;=設定!$C$3,0,$AC1779))))</f>
        <v/>
      </c>
      <c r="AF1779" s="14">
        <f>IF($B1779="","",IF(AND($AG1779&lt;&gt;"",$AI1779="",$AL1779=""),"保留中",IF($AL1779&lt;&gt;"",IF(N($AE1779)&gt;0,"支給済","不支給"),IF($AE1779="","要確認",IF($AE1779=0,"不支給","未処理")))))</f>
        <v/>
      </c>
      <c r="AG1779" s="12" t="n"/>
      <c r="AH1779" s="11" t="n"/>
      <c r="AI1779" s="11" t="n"/>
      <c r="AJ1779" s="11" t="n"/>
      <c r="AK1779" s="14">
        <f>IF(AND($AF1779="保留中",$AH1779&lt;&gt;""),TODAY()-$AH1779,"")</f>
        <v/>
      </c>
      <c r="AL1779" s="12" t="n"/>
      <c r="AM1779" s="14">
        <f>IF($B1779="","",IF($AQ1779="","対象年月が未入力／","")&amp;IF($B1779="","",IF($AP1779="","職員マスタに未登録の職員番号／",IF($AA1779="","標準報酬月額が未登録／","")&amp;IF(AND($AQ1779&lt;&gt;"",OR(AND(INDEX(職員マスタ!$G$6:$G$405,$AP1779)&lt;&gt;"",INDEX(職員マスタ!$G$6:$G$405,$AP1779)&gt;EOMONTH($AQ1779,0)),AND(INDEX(職員マスタ!$H$6:$H$405,$AP1779)&lt;&gt;"",INDEX(職員マスタ!$H$6:$H$405,$AP1779)&lt;$AQ1779))),"対象月が時短期間外／","")&amp;IF(AND(INDEX(職員マスタ!$K$6:$K$405,$AP1779)&lt;&gt;"",N($W1779)&gt;0,INDEX(職員マスタ!$K$6:$K$405,$AP1779)&lt;&gt;$W1779),"標準報酬月額が申請書と相違（台帳"&amp;TEXT(INDEX(職員マスタ!$K$6:$K$405,$AP1779),"#,##0")&amp;"円／申請書"&amp;TEXT($W1779,"#,##0")&amp;"円）／","")&amp;IF(AND(INDEX(職員マスタ!$F$6:$F$405,$AP1779)&lt;&gt;"",$AQ1779&lt;&gt;"",INDEX(職員マスタ!$F$6:$F$405,$AP1779)&lt;$AQ1779),"対象月に子が2歳到達済／","")&amp;IF(AND($H1779&lt;&gt;"",INDEX(職員マスタ!$B$6:$B$405,$AP1779)&lt;&gt;"",SUBSTITUTE(SUBSTITUTE($H1779," ","")," ","")&lt;&gt;SUBSTITUTE(SUBSTITUTE(INDEX(職員マスタ!$B$6:$B$405,$AP1779)," ","")," ","")),"氏名がマスタと相違／","")&amp;IF(AND($Q1779&lt;&gt;"",INDEX(職員マスタ!$E$6:$E$405,$AP1779)&lt;&gt;"",$Q1779&lt;&gt;INDEX(職員マスタ!$E$6:$E$405,$AP1779)),"子の生年月日がマスタと相違／","")&amp;IF(AND($L1779&lt;&gt;"",INDEX(職員マスタ!$G$6:$G$405,$AP1779)&lt;&gt;"",$L1779&lt;&gt;INDEX(職員マスタ!$G$6:$G$405,$AP1779)),"時短開始日がマスタと相違／","")&amp;IF(AND($M1779&lt;&gt;"",INDEX(職員マスタ!$H$6:$H$405,$AP1779)&lt;&gt;"",$M1779&lt;&gt;INDEX(職員マスタ!$H$6:$H$405,$AP1779)),"時短終了日がマスタと相違／","")))&amp;IF(AND($B1779&lt;&gt;"",$E1779=""),"報酬額が未入力／","")&amp;IF(N($U1779)&gt;0,"申請書に入力エラーが残っています／","")&amp;IF(AND($B1779&lt;&gt;"",$AQ1779&lt;&gt;""),IF(COUNTIFS($B$6:$B$3005,$B1779,$C$6:$C$3005,$C1779,$D$6:$D$3005,$D1779)&gt;1,"同じ月の請求が重複しています／",""),"")&amp;IF(AND(N($E1779)&gt;0,$AB1779&lt;&gt;"",$AB1779&lt;&gt;"×",$AE1779=0,$AD1779=""),"計算額が下限以下のため不支給／",""))</f>
        <v/>
      </c>
      <c r="AN1779" s="12" t="n"/>
      <c r="AO1779" s="14">
        <f>IF($AF1779="保留中",COUNTIF($AF$6:$AF1779,"保留中"),"")</f>
        <v/>
      </c>
      <c r="AP1779" s="14">
        <f>IF($AQ1779="","",IF(SUMPRODUCT(MAX((職員マスタ!$A$6:$A$405=$B1779)*(((職員マスタ!$G$6:$G$405="")+(職員マスタ!$G$6:$G$405&lt;=EOMONTH($AQ1779,0)))&gt;0)*(((職員マスタ!$H$6:$H$405="")+(職員マスタ!$H$6:$H$405&gt;=$AQ1779))&gt;0)*(ROW(職員マスタ!$A$6:$A$405)-5)))&gt;0,SUMPRODUCT(MAX((職員マスタ!$A$6:$A$405=$B1779)*(((職員マスタ!$G$6:$G$405="")+(職員マスタ!$G$6:$G$405&lt;=EOMONTH($AQ1779,0)))&gt;0)*(((職員マスタ!$H$6:$H$405="")+(職員マスタ!$H$6:$H$405&gt;=$AQ1779))&gt;0)*(ROW(職員マスタ!$A$6:$A$405)-5))),IFERROR(MATCH($B1779,職員マスタ!$A$6:$A$405,0),"")))</f>
        <v/>
      </c>
      <c r="AQ1779" s="16">
        <f>IF(OR($B1779="",$C1779="",$D1779=""),"",DATE($C1779+2018,$D1779,1))</f>
        <v/>
      </c>
    </row>
    <row r="1780">
      <c r="A1780" s="11" t="n"/>
      <c r="B1780" s="12" t="n"/>
      <c r="C1780" s="12" t="n"/>
      <c r="D1780" s="12" t="n"/>
      <c r="E1780" s="13" t="n"/>
      <c r="F1780" s="12" t="n"/>
      <c r="G1780" s="13" t="n"/>
      <c r="H1780" s="12" t="n"/>
      <c r="I1780" s="12" t="n"/>
      <c r="J1780" s="12" t="n"/>
      <c r="K1780" s="12" t="n"/>
      <c r="L1780" s="11" t="n"/>
      <c r="M1780" s="11" t="n"/>
      <c r="N1780" s="11" t="n"/>
      <c r="O1780" s="11" t="n"/>
      <c r="P1780" s="12" t="n"/>
      <c r="Q1780" s="11" t="n"/>
      <c r="R1780" s="12" t="n"/>
      <c r="S1780" s="11" t="n"/>
      <c r="T1780" s="12" t="n"/>
      <c r="U1780" s="12" t="n"/>
      <c r="V1780" s="12" t="n"/>
      <c r="W1780" s="13" t="n"/>
      <c r="X1780" s="14">
        <f>IF($AP1780="",IF($B1780="","",$H1780),IF(INDEX(職員マスタ!$B$6:$B$405,$AP1780)="",$H1780,INDEX(職員マスタ!$B$6:$B$405,$AP1780)))</f>
        <v/>
      </c>
      <c r="Y1780" s="14">
        <f>IF($AP1780="",IF($B1780="","",$R1780),IF(INDEX(職員マスタ!$C$6:$C$405,$AP1780)="",$R1780,INDEX(職員マスタ!$C$6:$C$405,$AP1780)))</f>
        <v/>
      </c>
      <c r="Z1780" s="14">
        <f>IF($AQ1780="","","R"&amp;$C1780&amp;"."&amp;$D1780)</f>
        <v/>
      </c>
      <c r="AA1780" s="15">
        <f>IF(IF($AP1780="",FALSE,INDEX(職員マスタ!$K$6:$K$405,$AP1780)&lt;&gt;""),INDEX(職員マスタ!$K$6:$K$405,$AP1780),IF(N($W1780)&gt;0,$W1780,""))</f>
        <v/>
      </c>
      <c r="AB1780" s="14">
        <f>IF(OR($E1780="",$AA1780=""),"",IF($E1780&gt;=$AA1780,"×",IF($E1780&gt;=$AA1780*設定!$C$5,"△","○")))</f>
        <v/>
      </c>
      <c r="AC1780" s="15">
        <f>IF($AB1780="","",IF($AB1780="×",0,IF($AB1780="○",ROUNDDOWN($E1780*設定!$C$4,0),ROUNDDOWN($E1780*ROUND((9*$AA1780-9*$E1780)/(10*$E1780),4),0))))</f>
        <v/>
      </c>
      <c r="AD1780" s="13" t="n"/>
      <c r="AE1780" s="15">
        <f>IF($B1780="","",IF($AD1780&lt;&gt;"",$AD1780,IF($AC1780="","",IF($AC1780&lt;=設定!$C$3,0,$AC1780))))</f>
        <v/>
      </c>
      <c r="AF1780" s="14">
        <f>IF($B1780="","",IF(AND($AG1780&lt;&gt;"",$AI1780="",$AL1780=""),"保留中",IF($AL1780&lt;&gt;"",IF(N($AE1780)&gt;0,"支給済","不支給"),IF($AE1780="","要確認",IF($AE1780=0,"不支給","未処理")))))</f>
        <v/>
      </c>
      <c r="AG1780" s="12" t="n"/>
      <c r="AH1780" s="11" t="n"/>
      <c r="AI1780" s="11" t="n"/>
      <c r="AJ1780" s="11" t="n"/>
      <c r="AK1780" s="14">
        <f>IF(AND($AF1780="保留中",$AH1780&lt;&gt;""),TODAY()-$AH1780,"")</f>
        <v/>
      </c>
      <c r="AL1780" s="12" t="n"/>
      <c r="AM1780" s="14">
        <f>IF($B1780="","",IF($AQ1780="","対象年月が未入力／","")&amp;IF($B1780="","",IF($AP1780="","職員マスタに未登録の職員番号／",IF($AA1780="","標準報酬月額が未登録／","")&amp;IF(AND($AQ1780&lt;&gt;"",OR(AND(INDEX(職員マスタ!$G$6:$G$405,$AP1780)&lt;&gt;"",INDEX(職員マスタ!$G$6:$G$405,$AP1780)&gt;EOMONTH($AQ1780,0)),AND(INDEX(職員マスタ!$H$6:$H$405,$AP1780)&lt;&gt;"",INDEX(職員マスタ!$H$6:$H$405,$AP1780)&lt;$AQ1780))),"対象月が時短期間外／","")&amp;IF(AND(INDEX(職員マスタ!$K$6:$K$405,$AP1780)&lt;&gt;"",N($W1780)&gt;0,INDEX(職員マスタ!$K$6:$K$405,$AP1780)&lt;&gt;$W1780),"標準報酬月額が申請書と相違（台帳"&amp;TEXT(INDEX(職員マスタ!$K$6:$K$405,$AP1780),"#,##0")&amp;"円／申請書"&amp;TEXT($W1780,"#,##0")&amp;"円）／","")&amp;IF(AND(INDEX(職員マスタ!$F$6:$F$405,$AP1780)&lt;&gt;"",$AQ1780&lt;&gt;"",INDEX(職員マスタ!$F$6:$F$405,$AP1780)&lt;$AQ1780),"対象月に子が2歳到達済／","")&amp;IF(AND($H1780&lt;&gt;"",INDEX(職員マスタ!$B$6:$B$405,$AP1780)&lt;&gt;"",SUBSTITUTE(SUBSTITUTE($H1780," ","")," ","")&lt;&gt;SUBSTITUTE(SUBSTITUTE(INDEX(職員マスタ!$B$6:$B$405,$AP1780)," ","")," ","")),"氏名がマスタと相違／","")&amp;IF(AND($Q1780&lt;&gt;"",INDEX(職員マスタ!$E$6:$E$405,$AP1780)&lt;&gt;"",$Q1780&lt;&gt;INDEX(職員マスタ!$E$6:$E$405,$AP1780)),"子の生年月日がマスタと相違／","")&amp;IF(AND($L1780&lt;&gt;"",INDEX(職員マスタ!$G$6:$G$405,$AP1780)&lt;&gt;"",$L1780&lt;&gt;INDEX(職員マスタ!$G$6:$G$405,$AP1780)),"時短開始日がマスタと相違／","")&amp;IF(AND($M1780&lt;&gt;"",INDEX(職員マスタ!$H$6:$H$405,$AP1780)&lt;&gt;"",$M1780&lt;&gt;INDEX(職員マスタ!$H$6:$H$405,$AP1780)),"時短終了日がマスタと相違／","")))&amp;IF(AND($B1780&lt;&gt;"",$E1780=""),"報酬額が未入力／","")&amp;IF(N($U1780)&gt;0,"申請書に入力エラーが残っています／","")&amp;IF(AND($B1780&lt;&gt;"",$AQ1780&lt;&gt;""),IF(COUNTIFS($B$6:$B$3005,$B1780,$C$6:$C$3005,$C1780,$D$6:$D$3005,$D1780)&gt;1,"同じ月の請求が重複しています／",""),"")&amp;IF(AND(N($E1780)&gt;0,$AB1780&lt;&gt;"",$AB1780&lt;&gt;"×",$AE1780=0,$AD1780=""),"計算額が下限以下のため不支給／",""))</f>
        <v/>
      </c>
      <c r="AN1780" s="12" t="n"/>
      <c r="AO1780" s="14">
        <f>IF($AF1780="保留中",COUNTIF($AF$6:$AF1780,"保留中"),"")</f>
        <v/>
      </c>
      <c r="AP1780" s="14">
        <f>IF($AQ1780="","",IF(SUMPRODUCT(MAX((職員マスタ!$A$6:$A$405=$B1780)*(((職員マスタ!$G$6:$G$405="")+(職員マスタ!$G$6:$G$405&lt;=EOMONTH($AQ1780,0)))&gt;0)*(((職員マスタ!$H$6:$H$405="")+(職員マスタ!$H$6:$H$405&gt;=$AQ1780))&gt;0)*(ROW(職員マスタ!$A$6:$A$405)-5)))&gt;0,SUMPRODUCT(MAX((職員マスタ!$A$6:$A$405=$B1780)*(((職員マスタ!$G$6:$G$405="")+(職員マスタ!$G$6:$G$405&lt;=EOMONTH($AQ1780,0)))&gt;0)*(((職員マスタ!$H$6:$H$405="")+(職員マスタ!$H$6:$H$405&gt;=$AQ1780))&gt;0)*(ROW(職員マスタ!$A$6:$A$405)-5))),IFERROR(MATCH($B1780,職員マスタ!$A$6:$A$405,0),"")))</f>
        <v/>
      </c>
      <c r="AQ1780" s="16">
        <f>IF(OR($B1780="",$C1780="",$D1780=""),"",DATE($C1780+2018,$D1780,1))</f>
        <v/>
      </c>
    </row>
    <row r="1781">
      <c r="A1781" s="11" t="n"/>
      <c r="B1781" s="12" t="n"/>
      <c r="C1781" s="12" t="n"/>
      <c r="D1781" s="12" t="n"/>
      <c r="E1781" s="13" t="n"/>
      <c r="F1781" s="12" t="n"/>
      <c r="G1781" s="13" t="n"/>
      <c r="H1781" s="12" t="n"/>
      <c r="I1781" s="12" t="n"/>
      <c r="J1781" s="12" t="n"/>
      <c r="K1781" s="12" t="n"/>
      <c r="L1781" s="11" t="n"/>
      <c r="M1781" s="11" t="n"/>
      <c r="N1781" s="11" t="n"/>
      <c r="O1781" s="11" t="n"/>
      <c r="P1781" s="12" t="n"/>
      <c r="Q1781" s="11" t="n"/>
      <c r="R1781" s="12" t="n"/>
      <c r="S1781" s="11" t="n"/>
      <c r="T1781" s="12" t="n"/>
      <c r="U1781" s="12" t="n"/>
      <c r="V1781" s="12" t="n"/>
      <c r="W1781" s="13" t="n"/>
      <c r="X1781" s="14">
        <f>IF($AP1781="",IF($B1781="","",$H1781),IF(INDEX(職員マスタ!$B$6:$B$405,$AP1781)="",$H1781,INDEX(職員マスタ!$B$6:$B$405,$AP1781)))</f>
        <v/>
      </c>
      <c r="Y1781" s="14">
        <f>IF($AP1781="",IF($B1781="","",$R1781),IF(INDEX(職員マスタ!$C$6:$C$405,$AP1781)="",$R1781,INDEX(職員マスタ!$C$6:$C$405,$AP1781)))</f>
        <v/>
      </c>
      <c r="Z1781" s="14">
        <f>IF($AQ1781="","","R"&amp;$C1781&amp;"."&amp;$D1781)</f>
        <v/>
      </c>
      <c r="AA1781" s="15">
        <f>IF(IF($AP1781="",FALSE,INDEX(職員マスタ!$K$6:$K$405,$AP1781)&lt;&gt;""),INDEX(職員マスタ!$K$6:$K$405,$AP1781),IF(N($W1781)&gt;0,$W1781,""))</f>
        <v/>
      </c>
      <c r="AB1781" s="14">
        <f>IF(OR($E1781="",$AA1781=""),"",IF($E1781&gt;=$AA1781,"×",IF($E1781&gt;=$AA1781*設定!$C$5,"△","○")))</f>
        <v/>
      </c>
      <c r="AC1781" s="15">
        <f>IF($AB1781="","",IF($AB1781="×",0,IF($AB1781="○",ROUNDDOWN($E1781*設定!$C$4,0),ROUNDDOWN($E1781*ROUND((9*$AA1781-9*$E1781)/(10*$E1781),4),0))))</f>
        <v/>
      </c>
      <c r="AD1781" s="13" t="n"/>
      <c r="AE1781" s="15">
        <f>IF($B1781="","",IF($AD1781&lt;&gt;"",$AD1781,IF($AC1781="","",IF($AC1781&lt;=設定!$C$3,0,$AC1781))))</f>
        <v/>
      </c>
      <c r="AF1781" s="14">
        <f>IF($B1781="","",IF(AND($AG1781&lt;&gt;"",$AI1781="",$AL1781=""),"保留中",IF($AL1781&lt;&gt;"",IF(N($AE1781)&gt;0,"支給済","不支給"),IF($AE1781="","要確認",IF($AE1781=0,"不支給","未処理")))))</f>
        <v/>
      </c>
      <c r="AG1781" s="12" t="n"/>
      <c r="AH1781" s="11" t="n"/>
      <c r="AI1781" s="11" t="n"/>
      <c r="AJ1781" s="11" t="n"/>
      <c r="AK1781" s="14">
        <f>IF(AND($AF1781="保留中",$AH1781&lt;&gt;""),TODAY()-$AH1781,"")</f>
        <v/>
      </c>
      <c r="AL1781" s="12" t="n"/>
      <c r="AM1781" s="14">
        <f>IF($B1781="","",IF($AQ1781="","対象年月が未入力／","")&amp;IF($B1781="","",IF($AP1781="","職員マスタに未登録の職員番号／",IF($AA1781="","標準報酬月額が未登録／","")&amp;IF(AND($AQ1781&lt;&gt;"",OR(AND(INDEX(職員マスタ!$G$6:$G$405,$AP1781)&lt;&gt;"",INDEX(職員マスタ!$G$6:$G$405,$AP1781)&gt;EOMONTH($AQ1781,0)),AND(INDEX(職員マスタ!$H$6:$H$405,$AP1781)&lt;&gt;"",INDEX(職員マスタ!$H$6:$H$405,$AP1781)&lt;$AQ1781))),"対象月が時短期間外／","")&amp;IF(AND(INDEX(職員マスタ!$K$6:$K$405,$AP1781)&lt;&gt;"",N($W1781)&gt;0,INDEX(職員マスタ!$K$6:$K$405,$AP1781)&lt;&gt;$W1781),"標準報酬月額が申請書と相違（台帳"&amp;TEXT(INDEX(職員マスタ!$K$6:$K$405,$AP1781),"#,##0")&amp;"円／申請書"&amp;TEXT($W1781,"#,##0")&amp;"円）／","")&amp;IF(AND(INDEX(職員マスタ!$F$6:$F$405,$AP1781)&lt;&gt;"",$AQ1781&lt;&gt;"",INDEX(職員マスタ!$F$6:$F$405,$AP1781)&lt;$AQ1781),"対象月に子が2歳到達済／","")&amp;IF(AND($H1781&lt;&gt;"",INDEX(職員マスタ!$B$6:$B$405,$AP1781)&lt;&gt;"",SUBSTITUTE(SUBSTITUTE($H1781," ","")," ","")&lt;&gt;SUBSTITUTE(SUBSTITUTE(INDEX(職員マスタ!$B$6:$B$405,$AP1781)," ","")," ","")),"氏名がマスタと相違／","")&amp;IF(AND($Q1781&lt;&gt;"",INDEX(職員マスタ!$E$6:$E$405,$AP1781)&lt;&gt;"",$Q1781&lt;&gt;INDEX(職員マスタ!$E$6:$E$405,$AP1781)),"子の生年月日がマスタと相違／","")&amp;IF(AND($L1781&lt;&gt;"",INDEX(職員マスタ!$G$6:$G$405,$AP1781)&lt;&gt;"",$L1781&lt;&gt;INDEX(職員マスタ!$G$6:$G$405,$AP1781)),"時短開始日がマスタと相違／","")&amp;IF(AND($M1781&lt;&gt;"",INDEX(職員マスタ!$H$6:$H$405,$AP1781)&lt;&gt;"",$M1781&lt;&gt;INDEX(職員マスタ!$H$6:$H$405,$AP1781)),"時短終了日がマスタと相違／","")))&amp;IF(AND($B1781&lt;&gt;"",$E1781=""),"報酬額が未入力／","")&amp;IF(N($U1781)&gt;0,"申請書に入力エラーが残っています／","")&amp;IF(AND($B1781&lt;&gt;"",$AQ1781&lt;&gt;""),IF(COUNTIFS($B$6:$B$3005,$B1781,$C$6:$C$3005,$C1781,$D$6:$D$3005,$D1781)&gt;1,"同じ月の請求が重複しています／",""),"")&amp;IF(AND(N($E1781)&gt;0,$AB1781&lt;&gt;"",$AB1781&lt;&gt;"×",$AE1781=0,$AD1781=""),"計算額が下限以下のため不支給／",""))</f>
        <v/>
      </c>
      <c r="AN1781" s="12" t="n"/>
      <c r="AO1781" s="14">
        <f>IF($AF1781="保留中",COUNTIF($AF$6:$AF1781,"保留中"),"")</f>
        <v/>
      </c>
      <c r="AP1781" s="14">
        <f>IF($AQ1781="","",IF(SUMPRODUCT(MAX((職員マスタ!$A$6:$A$405=$B1781)*(((職員マスタ!$G$6:$G$405="")+(職員マスタ!$G$6:$G$405&lt;=EOMONTH($AQ1781,0)))&gt;0)*(((職員マスタ!$H$6:$H$405="")+(職員マスタ!$H$6:$H$405&gt;=$AQ1781))&gt;0)*(ROW(職員マスタ!$A$6:$A$405)-5)))&gt;0,SUMPRODUCT(MAX((職員マスタ!$A$6:$A$405=$B1781)*(((職員マスタ!$G$6:$G$405="")+(職員マスタ!$G$6:$G$405&lt;=EOMONTH($AQ1781,0)))&gt;0)*(((職員マスタ!$H$6:$H$405="")+(職員マスタ!$H$6:$H$405&gt;=$AQ1781))&gt;0)*(ROW(職員マスタ!$A$6:$A$405)-5))),IFERROR(MATCH($B1781,職員マスタ!$A$6:$A$405,0),"")))</f>
        <v/>
      </c>
      <c r="AQ1781" s="16">
        <f>IF(OR($B1781="",$C1781="",$D1781=""),"",DATE($C1781+2018,$D1781,1))</f>
        <v/>
      </c>
    </row>
    <row r="1782">
      <c r="A1782" s="11" t="n"/>
      <c r="B1782" s="12" t="n"/>
      <c r="C1782" s="12" t="n"/>
      <c r="D1782" s="12" t="n"/>
      <c r="E1782" s="13" t="n"/>
      <c r="F1782" s="12" t="n"/>
      <c r="G1782" s="13" t="n"/>
      <c r="H1782" s="12" t="n"/>
      <c r="I1782" s="12" t="n"/>
      <c r="J1782" s="12" t="n"/>
      <c r="K1782" s="12" t="n"/>
      <c r="L1782" s="11" t="n"/>
      <c r="M1782" s="11" t="n"/>
      <c r="N1782" s="11" t="n"/>
      <c r="O1782" s="11" t="n"/>
      <c r="P1782" s="12" t="n"/>
      <c r="Q1782" s="11" t="n"/>
      <c r="R1782" s="12" t="n"/>
      <c r="S1782" s="11" t="n"/>
      <c r="T1782" s="12" t="n"/>
      <c r="U1782" s="12" t="n"/>
      <c r="V1782" s="12" t="n"/>
      <c r="W1782" s="13" t="n"/>
      <c r="X1782" s="14">
        <f>IF($AP1782="",IF($B1782="","",$H1782),IF(INDEX(職員マスタ!$B$6:$B$405,$AP1782)="",$H1782,INDEX(職員マスタ!$B$6:$B$405,$AP1782)))</f>
        <v/>
      </c>
      <c r="Y1782" s="14">
        <f>IF($AP1782="",IF($B1782="","",$R1782),IF(INDEX(職員マスタ!$C$6:$C$405,$AP1782)="",$R1782,INDEX(職員マスタ!$C$6:$C$405,$AP1782)))</f>
        <v/>
      </c>
      <c r="Z1782" s="14">
        <f>IF($AQ1782="","","R"&amp;$C1782&amp;"."&amp;$D1782)</f>
        <v/>
      </c>
      <c r="AA1782" s="15">
        <f>IF(IF($AP1782="",FALSE,INDEX(職員マスタ!$K$6:$K$405,$AP1782)&lt;&gt;""),INDEX(職員マスタ!$K$6:$K$405,$AP1782),IF(N($W1782)&gt;0,$W1782,""))</f>
        <v/>
      </c>
      <c r="AB1782" s="14">
        <f>IF(OR($E1782="",$AA1782=""),"",IF($E1782&gt;=$AA1782,"×",IF($E1782&gt;=$AA1782*設定!$C$5,"△","○")))</f>
        <v/>
      </c>
      <c r="AC1782" s="15">
        <f>IF($AB1782="","",IF($AB1782="×",0,IF($AB1782="○",ROUNDDOWN($E1782*設定!$C$4,0),ROUNDDOWN($E1782*ROUND((9*$AA1782-9*$E1782)/(10*$E1782),4),0))))</f>
        <v/>
      </c>
      <c r="AD1782" s="13" t="n"/>
      <c r="AE1782" s="15">
        <f>IF($B1782="","",IF($AD1782&lt;&gt;"",$AD1782,IF($AC1782="","",IF($AC1782&lt;=設定!$C$3,0,$AC1782))))</f>
        <v/>
      </c>
      <c r="AF1782" s="14">
        <f>IF($B1782="","",IF(AND($AG1782&lt;&gt;"",$AI1782="",$AL1782=""),"保留中",IF($AL1782&lt;&gt;"",IF(N($AE1782)&gt;0,"支給済","不支給"),IF($AE1782="","要確認",IF($AE1782=0,"不支給","未処理")))))</f>
        <v/>
      </c>
      <c r="AG1782" s="12" t="n"/>
      <c r="AH1782" s="11" t="n"/>
      <c r="AI1782" s="11" t="n"/>
      <c r="AJ1782" s="11" t="n"/>
      <c r="AK1782" s="14">
        <f>IF(AND($AF1782="保留中",$AH1782&lt;&gt;""),TODAY()-$AH1782,"")</f>
        <v/>
      </c>
      <c r="AL1782" s="12" t="n"/>
      <c r="AM1782" s="14">
        <f>IF($B1782="","",IF($AQ1782="","対象年月が未入力／","")&amp;IF($B1782="","",IF($AP1782="","職員マスタに未登録の職員番号／",IF($AA1782="","標準報酬月額が未登録／","")&amp;IF(AND($AQ1782&lt;&gt;"",OR(AND(INDEX(職員マスタ!$G$6:$G$405,$AP1782)&lt;&gt;"",INDEX(職員マスタ!$G$6:$G$405,$AP1782)&gt;EOMONTH($AQ1782,0)),AND(INDEX(職員マスタ!$H$6:$H$405,$AP1782)&lt;&gt;"",INDEX(職員マスタ!$H$6:$H$405,$AP1782)&lt;$AQ1782))),"対象月が時短期間外／","")&amp;IF(AND(INDEX(職員マスタ!$K$6:$K$405,$AP1782)&lt;&gt;"",N($W1782)&gt;0,INDEX(職員マスタ!$K$6:$K$405,$AP1782)&lt;&gt;$W1782),"標準報酬月額が申請書と相違（台帳"&amp;TEXT(INDEX(職員マスタ!$K$6:$K$405,$AP1782),"#,##0")&amp;"円／申請書"&amp;TEXT($W1782,"#,##0")&amp;"円）／","")&amp;IF(AND(INDEX(職員マスタ!$F$6:$F$405,$AP1782)&lt;&gt;"",$AQ1782&lt;&gt;"",INDEX(職員マスタ!$F$6:$F$405,$AP1782)&lt;$AQ1782),"対象月に子が2歳到達済／","")&amp;IF(AND($H1782&lt;&gt;"",INDEX(職員マスタ!$B$6:$B$405,$AP1782)&lt;&gt;"",SUBSTITUTE(SUBSTITUTE($H1782," ","")," ","")&lt;&gt;SUBSTITUTE(SUBSTITUTE(INDEX(職員マスタ!$B$6:$B$405,$AP1782)," ","")," ","")),"氏名がマスタと相違／","")&amp;IF(AND($Q1782&lt;&gt;"",INDEX(職員マスタ!$E$6:$E$405,$AP1782)&lt;&gt;"",$Q1782&lt;&gt;INDEX(職員マスタ!$E$6:$E$405,$AP1782)),"子の生年月日がマスタと相違／","")&amp;IF(AND($L1782&lt;&gt;"",INDEX(職員マスタ!$G$6:$G$405,$AP1782)&lt;&gt;"",$L1782&lt;&gt;INDEX(職員マスタ!$G$6:$G$405,$AP1782)),"時短開始日がマスタと相違／","")&amp;IF(AND($M1782&lt;&gt;"",INDEX(職員マスタ!$H$6:$H$405,$AP1782)&lt;&gt;"",$M1782&lt;&gt;INDEX(職員マスタ!$H$6:$H$405,$AP1782)),"時短終了日がマスタと相違／","")))&amp;IF(AND($B1782&lt;&gt;"",$E1782=""),"報酬額が未入力／","")&amp;IF(N($U1782)&gt;0,"申請書に入力エラーが残っています／","")&amp;IF(AND($B1782&lt;&gt;"",$AQ1782&lt;&gt;""),IF(COUNTIFS($B$6:$B$3005,$B1782,$C$6:$C$3005,$C1782,$D$6:$D$3005,$D1782)&gt;1,"同じ月の請求が重複しています／",""),"")&amp;IF(AND(N($E1782)&gt;0,$AB1782&lt;&gt;"",$AB1782&lt;&gt;"×",$AE1782=0,$AD1782=""),"計算額が下限以下のため不支給／",""))</f>
        <v/>
      </c>
      <c r="AN1782" s="12" t="n"/>
      <c r="AO1782" s="14">
        <f>IF($AF1782="保留中",COUNTIF($AF$6:$AF1782,"保留中"),"")</f>
        <v/>
      </c>
      <c r="AP1782" s="14">
        <f>IF($AQ1782="","",IF(SUMPRODUCT(MAX((職員マスタ!$A$6:$A$405=$B1782)*(((職員マスタ!$G$6:$G$405="")+(職員マスタ!$G$6:$G$405&lt;=EOMONTH($AQ1782,0)))&gt;0)*(((職員マスタ!$H$6:$H$405="")+(職員マスタ!$H$6:$H$405&gt;=$AQ1782))&gt;0)*(ROW(職員マスタ!$A$6:$A$405)-5)))&gt;0,SUMPRODUCT(MAX((職員マスタ!$A$6:$A$405=$B1782)*(((職員マスタ!$G$6:$G$405="")+(職員マスタ!$G$6:$G$405&lt;=EOMONTH($AQ1782,0)))&gt;0)*(((職員マスタ!$H$6:$H$405="")+(職員マスタ!$H$6:$H$405&gt;=$AQ1782))&gt;0)*(ROW(職員マスタ!$A$6:$A$405)-5))),IFERROR(MATCH($B1782,職員マスタ!$A$6:$A$405,0),"")))</f>
        <v/>
      </c>
      <c r="AQ1782" s="16">
        <f>IF(OR($B1782="",$C1782="",$D1782=""),"",DATE($C1782+2018,$D1782,1))</f>
        <v/>
      </c>
    </row>
    <row r="1783">
      <c r="A1783" s="11" t="n"/>
      <c r="B1783" s="12" t="n"/>
      <c r="C1783" s="12" t="n"/>
      <c r="D1783" s="12" t="n"/>
      <c r="E1783" s="13" t="n"/>
      <c r="F1783" s="12" t="n"/>
      <c r="G1783" s="13" t="n"/>
      <c r="H1783" s="12" t="n"/>
      <c r="I1783" s="12" t="n"/>
      <c r="J1783" s="12" t="n"/>
      <c r="K1783" s="12" t="n"/>
      <c r="L1783" s="11" t="n"/>
      <c r="M1783" s="11" t="n"/>
      <c r="N1783" s="11" t="n"/>
      <c r="O1783" s="11" t="n"/>
      <c r="P1783" s="12" t="n"/>
      <c r="Q1783" s="11" t="n"/>
      <c r="R1783" s="12" t="n"/>
      <c r="S1783" s="11" t="n"/>
      <c r="T1783" s="12" t="n"/>
      <c r="U1783" s="12" t="n"/>
      <c r="V1783" s="12" t="n"/>
      <c r="W1783" s="13" t="n"/>
      <c r="X1783" s="14">
        <f>IF($AP1783="",IF($B1783="","",$H1783),IF(INDEX(職員マスタ!$B$6:$B$405,$AP1783)="",$H1783,INDEX(職員マスタ!$B$6:$B$405,$AP1783)))</f>
        <v/>
      </c>
      <c r="Y1783" s="14">
        <f>IF($AP1783="",IF($B1783="","",$R1783),IF(INDEX(職員マスタ!$C$6:$C$405,$AP1783)="",$R1783,INDEX(職員マスタ!$C$6:$C$405,$AP1783)))</f>
        <v/>
      </c>
      <c r="Z1783" s="14">
        <f>IF($AQ1783="","","R"&amp;$C1783&amp;"."&amp;$D1783)</f>
        <v/>
      </c>
      <c r="AA1783" s="15">
        <f>IF(IF($AP1783="",FALSE,INDEX(職員マスタ!$K$6:$K$405,$AP1783)&lt;&gt;""),INDEX(職員マスタ!$K$6:$K$405,$AP1783),IF(N($W1783)&gt;0,$W1783,""))</f>
        <v/>
      </c>
      <c r="AB1783" s="14">
        <f>IF(OR($E1783="",$AA1783=""),"",IF($E1783&gt;=$AA1783,"×",IF($E1783&gt;=$AA1783*設定!$C$5,"△","○")))</f>
        <v/>
      </c>
      <c r="AC1783" s="15">
        <f>IF($AB1783="","",IF($AB1783="×",0,IF($AB1783="○",ROUNDDOWN($E1783*設定!$C$4,0),ROUNDDOWN($E1783*ROUND((9*$AA1783-9*$E1783)/(10*$E1783),4),0))))</f>
        <v/>
      </c>
      <c r="AD1783" s="13" t="n"/>
      <c r="AE1783" s="15">
        <f>IF($B1783="","",IF($AD1783&lt;&gt;"",$AD1783,IF($AC1783="","",IF($AC1783&lt;=設定!$C$3,0,$AC1783))))</f>
        <v/>
      </c>
      <c r="AF1783" s="14">
        <f>IF($B1783="","",IF(AND($AG1783&lt;&gt;"",$AI1783="",$AL1783=""),"保留中",IF($AL1783&lt;&gt;"",IF(N($AE1783)&gt;0,"支給済","不支給"),IF($AE1783="","要確認",IF($AE1783=0,"不支給","未処理")))))</f>
        <v/>
      </c>
      <c r="AG1783" s="12" t="n"/>
      <c r="AH1783" s="11" t="n"/>
      <c r="AI1783" s="11" t="n"/>
      <c r="AJ1783" s="11" t="n"/>
      <c r="AK1783" s="14">
        <f>IF(AND($AF1783="保留中",$AH1783&lt;&gt;""),TODAY()-$AH1783,"")</f>
        <v/>
      </c>
      <c r="AL1783" s="12" t="n"/>
      <c r="AM1783" s="14">
        <f>IF($B1783="","",IF($AQ1783="","対象年月が未入力／","")&amp;IF($B1783="","",IF($AP1783="","職員マスタに未登録の職員番号／",IF($AA1783="","標準報酬月額が未登録／","")&amp;IF(AND($AQ1783&lt;&gt;"",OR(AND(INDEX(職員マスタ!$G$6:$G$405,$AP1783)&lt;&gt;"",INDEX(職員マスタ!$G$6:$G$405,$AP1783)&gt;EOMONTH($AQ1783,0)),AND(INDEX(職員マスタ!$H$6:$H$405,$AP1783)&lt;&gt;"",INDEX(職員マスタ!$H$6:$H$405,$AP1783)&lt;$AQ1783))),"対象月が時短期間外／","")&amp;IF(AND(INDEX(職員マスタ!$K$6:$K$405,$AP1783)&lt;&gt;"",N($W1783)&gt;0,INDEX(職員マスタ!$K$6:$K$405,$AP1783)&lt;&gt;$W1783),"標準報酬月額が申請書と相違（台帳"&amp;TEXT(INDEX(職員マスタ!$K$6:$K$405,$AP1783),"#,##0")&amp;"円／申請書"&amp;TEXT($W1783,"#,##0")&amp;"円）／","")&amp;IF(AND(INDEX(職員マスタ!$F$6:$F$405,$AP1783)&lt;&gt;"",$AQ1783&lt;&gt;"",INDEX(職員マスタ!$F$6:$F$405,$AP1783)&lt;$AQ1783),"対象月に子が2歳到達済／","")&amp;IF(AND($H1783&lt;&gt;"",INDEX(職員マスタ!$B$6:$B$405,$AP1783)&lt;&gt;"",SUBSTITUTE(SUBSTITUTE($H1783," ","")," ","")&lt;&gt;SUBSTITUTE(SUBSTITUTE(INDEX(職員マスタ!$B$6:$B$405,$AP1783)," ","")," ","")),"氏名がマスタと相違／","")&amp;IF(AND($Q1783&lt;&gt;"",INDEX(職員マスタ!$E$6:$E$405,$AP1783)&lt;&gt;"",$Q1783&lt;&gt;INDEX(職員マスタ!$E$6:$E$405,$AP1783)),"子の生年月日がマスタと相違／","")&amp;IF(AND($L1783&lt;&gt;"",INDEX(職員マスタ!$G$6:$G$405,$AP1783)&lt;&gt;"",$L1783&lt;&gt;INDEX(職員マスタ!$G$6:$G$405,$AP1783)),"時短開始日がマスタと相違／","")&amp;IF(AND($M1783&lt;&gt;"",INDEX(職員マスタ!$H$6:$H$405,$AP1783)&lt;&gt;"",$M1783&lt;&gt;INDEX(職員マスタ!$H$6:$H$405,$AP1783)),"時短終了日がマスタと相違／","")))&amp;IF(AND($B1783&lt;&gt;"",$E1783=""),"報酬額が未入力／","")&amp;IF(N($U1783)&gt;0,"申請書に入力エラーが残っています／","")&amp;IF(AND($B1783&lt;&gt;"",$AQ1783&lt;&gt;""),IF(COUNTIFS($B$6:$B$3005,$B1783,$C$6:$C$3005,$C1783,$D$6:$D$3005,$D1783)&gt;1,"同じ月の請求が重複しています／",""),"")&amp;IF(AND(N($E1783)&gt;0,$AB1783&lt;&gt;"",$AB1783&lt;&gt;"×",$AE1783=0,$AD1783=""),"計算額が下限以下のため不支給／",""))</f>
        <v/>
      </c>
      <c r="AN1783" s="12" t="n"/>
      <c r="AO1783" s="14">
        <f>IF($AF1783="保留中",COUNTIF($AF$6:$AF1783,"保留中"),"")</f>
        <v/>
      </c>
      <c r="AP1783" s="14">
        <f>IF($AQ1783="","",IF(SUMPRODUCT(MAX((職員マスタ!$A$6:$A$405=$B1783)*(((職員マスタ!$G$6:$G$405="")+(職員マスタ!$G$6:$G$405&lt;=EOMONTH($AQ1783,0)))&gt;0)*(((職員マスタ!$H$6:$H$405="")+(職員マスタ!$H$6:$H$405&gt;=$AQ1783))&gt;0)*(ROW(職員マスタ!$A$6:$A$405)-5)))&gt;0,SUMPRODUCT(MAX((職員マスタ!$A$6:$A$405=$B1783)*(((職員マスタ!$G$6:$G$405="")+(職員マスタ!$G$6:$G$405&lt;=EOMONTH($AQ1783,0)))&gt;0)*(((職員マスタ!$H$6:$H$405="")+(職員マスタ!$H$6:$H$405&gt;=$AQ1783))&gt;0)*(ROW(職員マスタ!$A$6:$A$405)-5))),IFERROR(MATCH($B1783,職員マスタ!$A$6:$A$405,0),"")))</f>
        <v/>
      </c>
      <c r="AQ1783" s="16">
        <f>IF(OR($B1783="",$C1783="",$D1783=""),"",DATE($C1783+2018,$D1783,1))</f>
        <v/>
      </c>
    </row>
    <row r="1784">
      <c r="A1784" s="11" t="n"/>
      <c r="B1784" s="12" t="n"/>
      <c r="C1784" s="12" t="n"/>
      <c r="D1784" s="12" t="n"/>
      <c r="E1784" s="13" t="n"/>
      <c r="F1784" s="12" t="n"/>
      <c r="G1784" s="13" t="n"/>
      <c r="H1784" s="12" t="n"/>
      <c r="I1784" s="12" t="n"/>
      <c r="J1784" s="12" t="n"/>
      <c r="K1784" s="12" t="n"/>
      <c r="L1784" s="11" t="n"/>
      <c r="M1784" s="11" t="n"/>
      <c r="N1784" s="11" t="n"/>
      <c r="O1784" s="11" t="n"/>
      <c r="P1784" s="12" t="n"/>
      <c r="Q1784" s="11" t="n"/>
      <c r="R1784" s="12" t="n"/>
      <c r="S1784" s="11" t="n"/>
      <c r="T1784" s="12" t="n"/>
      <c r="U1784" s="12" t="n"/>
      <c r="V1784" s="12" t="n"/>
      <c r="W1784" s="13" t="n"/>
      <c r="X1784" s="14">
        <f>IF($AP1784="",IF($B1784="","",$H1784),IF(INDEX(職員マスタ!$B$6:$B$405,$AP1784)="",$H1784,INDEX(職員マスタ!$B$6:$B$405,$AP1784)))</f>
        <v/>
      </c>
      <c r="Y1784" s="14">
        <f>IF($AP1784="",IF($B1784="","",$R1784),IF(INDEX(職員マスタ!$C$6:$C$405,$AP1784)="",$R1784,INDEX(職員マスタ!$C$6:$C$405,$AP1784)))</f>
        <v/>
      </c>
      <c r="Z1784" s="14">
        <f>IF($AQ1784="","","R"&amp;$C1784&amp;"."&amp;$D1784)</f>
        <v/>
      </c>
      <c r="AA1784" s="15">
        <f>IF(IF($AP1784="",FALSE,INDEX(職員マスタ!$K$6:$K$405,$AP1784)&lt;&gt;""),INDEX(職員マスタ!$K$6:$K$405,$AP1784),IF(N($W1784)&gt;0,$W1784,""))</f>
        <v/>
      </c>
      <c r="AB1784" s="14">
        <f>IF(OR($E1784="",$AA1784=""),"",IF($E1784&gt;=$AA1784,"×",IF($E1784&gt;=$AA1784*設定!$C$5,"△","○")))</f>
        <v/>
      </c>
      <c r="AC1784" s="15">
        <f>IF($AB1784="","",IF($AB1784="×",0,IF($AB1784="○",ROUNDDOWN($E1784*設定!$C$4,0),ROUNDDOWN($E1784*ROUND((9*$AA1784-9*$E1784)/(10*$E1784),4),0))))</f>
        <v/>
      </c>
      <c r="AD1784" s="13" t="n"/>
      <c r="AE1784" s="15">
        <f>IF($B1784="","",IF($AD1784&lt;&gt;"",$AD1784,IF($AC1784="","",IF($AC1784&lt;=設定!$C$3,0,$AC1784))))</f>
        <v/>
      </c>
      <c r="AF1784" s="14">
        <f>IF($B1784="","",IF(AND($AG1784&lt;&gt;"",$AI1784="",$AL1784=""),"保留中",IF($AL1784&lt;&gt;"",IF(N($AE1784)&gt;0,"支給済","不支給"),IF($AE1784="","要確認",IF($AE1784=0,"不支給","未処理")))))</f>
        <v/>
      </c>
      <c r="AG1784" s="12" t="n"/>
      <c r="AH1784" s="11" t="n"/>
      <c r="AI1784" s="11" t="n"/>
      <c r="AJ1784" s="11" t="n"/>
      <c r="AK1784" s="14">
        <f>IF(AND($AF1784="保留中",$AH1784&lt;&gt;""),TODAY()-$AH1784,"")</f>
        <v/>
      </c>
      <c r="AL1784" s="12" t="n"/>
      <c r="AM1784" s="14">
        <f>IF($B1784="","",IF($AQ1784="","対象年月が未入力／","")&amp;IF($B1784="","",IF($AP1784="","職員マスタに未登録の職員番号／",IF($AA1784="","標準報酬月額が未登録／","")&amp;IF(AND($AQ1784&lt;&gt;"",OR(AND(INDEX(職員マスタ!$G$6:$G$405,$AP1784)&lt;&gt;"",INDEX(職員マスタ!$G$6:$G$405,$AP1784)&gt;EOMONTH($AQ1784,0)),AND(INDEX(職員マスタ!$H$6:$H$405,$AP1784)&lt;&gt;"",INDEX(職員マスタ!$H$6:$H$405,$AP1784)&lt;$AQ1784))),"対象月が時短期間外／","")&amp;IF(AND(INDEX(職員マスタ!$K$6:$K$405,$AP1784)&lt;&gt;"",N($W1784)&gt;0,INDEX(職員マスタ!$K$6:$K$405,$AP1784)&lt;&gt;$W1784),"標準報酬月額が申請書と相違（台帳"&amp;TEXT(INDEX(職員マスタ!$K$6:$K$405,$AP1784),"#,##0")&amp;"円／申請書"&amp;TEXT($W1784,"#,##0")&amp;"円）／","")&amp;IF(AND(INDEX(職員マスタ!$F$6:$F$405,$AP1784)&lt;&gt;"",$AQ1784&lt;&gt;"",INDEX(職員マスタ!$F$6:$F$405,$AP1784)&lt;$AQ1784),"対象月に子が2歳到達済／","")&amp;IF(AND($H1784&lt;&gt;"",INDEX(職員マスタ!$B$6:$B$405,$AP1784)&lt;&gt;"",SUBSTITUTE(SUBSTITUTE($H1784," ","")," ","")&lt;&gt;SUBSTITUTE(SUBSTITUTE(INDEX(職員マスタ!$B$6:$B$405,$AP1784)," ","")," ","")),"氏名がマスタと相違／","")&amp;IF(AND($Q1784&lt;&gt;"",INDEX(職員マスタ!$E$6:$E$405,$AP1784)&lt;&gt;"",$Q1784&lt;&gt;INDEX(職員マスタ!$E$6:$E$405,$AP1784)),"子の生年月日がマスタと相違／","")&amp;IF(AND($L1784&lt;&gt;"",INDEX(職員マスタ!$G$6:$G$405,$AP1784)&lt;&gt;"",$L1784&lt;&gt;INDEX(職員マスタ!$G$6:$G$405,$AP1784)),"時短開始日がマスタと相違／","")&amp;IF(AND($M1784&lt;&gt;"",INDEX(職員マスタ!$H$6:$H$405,$AP1784)&lt;&gt;"",$M1784&lt;&gt;INDEX(職員マスタ!$H$6:$H$405,$AP1784)),"時短終了日がマスタと相違／","")))&amp;IF(AND($B1784&lt;&gt;"",$E1784=""),"報酬額が未入力／","")&amp;IF(N($U1784)&gt;0,"申請書に入力エラーが残っています／","")&amp;IF(AND($B1784&lt;&gt;"",$AQ1784&lt;&gt;""),IF(COUNTIFS($B$6:$B$3005,$B1784,$C$6:$C$3005,$C1784,$D$6:$D$3005,$D1784)&gt;1,"同じ月の請求が重複しています／",""),"")&amp;IF(AND(N($E1784)&gt;0,$AB1784&lt;&gt;"",$AB1784&lt;&gt;"×",$AE1784=0,$AD1784=""),"計算額が下限以下のため不支給／",""))</f>
        <v/>
      </c>
      <c r="AN1784" s="12" t="n"/>
      <c r="AO1784" s="14">
        <f>IF($AF1784="保留中",COUNTIF($AF$6:$AF1784,"保留中"),"")</f>
        <v/>
      </c>
      <c r="AP1784" s="14">
        <f>IF($AQ1784="","",IF(SUMPRODUCT(MAX((職員マスタ!$A$6:$A$405=$B1784)*(((職員マスタ!$G$6:$G$405="")+(職員マスタ!$G$6:$G$405&lt;=EOMONTH($AQ1784,0)))&gt;0)*(((職員マスタ!$H$6:$H$405="")+(職員マスタ!$H$6:$H$405&gt;=$AQ1784))&gt;0)*(ROW(職員マスタ!$A$6:$A$405)-5)))&gt;0,SUMPRODUCT(MAX((職員マスタ!$A$6:$A$405=$B1784)*(((職員マスタ!$G$6:$G$405="")+(職員マスタ!$G$6:$G$405&lt;=EOMONTH($AQ1784,0)))&gt;0)*(((職員マスタ!$H$6:$H$405="")+(職員マスタ!$H$6:$H$405&gt;=$AQ1784))&gt;0)*(ROW(職員マスタ!$A$6:$A$405)-5))),IFERROR(MATCH($B1784,職員マスタ!$A$6:$A$405,0),"")))</f>
        <v/>
      </c>
      <c r="AQ1784" s="16">
        <f>IF(OR($B1784="",$C1784="",$D1784=""),"",DATE($C1784+2018,$D1784,1))</f>
        <v/>
      </c>
    </row>
    <row r="1785">
      <c r="A1785" s="11" t="n"/>
      <c r="B1785" s="12" t="n"/>
      <c r="C1785" s="12" t="n"/>
      <c r="D1785" s="12" t="n"/>
      <c r="E1785" s="13" t="n"/>
      <c r="F1785" s="12" t="n"/>
      <c r="G1785" s="13" t="n"/>
      <c r="H1785" s="12" t="n"/>
      <c r="I1785" s="12" t="n"/>
      <c r="J1785" s="12" t="n"/>
      <c r="K1785" s="12" t="n"/>
      <c r="L1785" s="11" t="n"/>
      <c r="M1785" s="11" t="n"/>
      <c r="N1785" s="11" t="n"/>
      <c r="O1785" s="11" t="n"/>
      <c r="P1785" s="12" t="n"/>
      <c r="Q1785" s="11" t="n"/>
      <c r="R1785" s="12" t="n"/>
      <c r="S1785" s="11" t="n"/>
      <c r="T1785" s="12" t="n"/>
      <c r="U1785" s="12" t="n"/>
      <c r="V1785" s="12" t="n"/>
      <c r="W1785" s="13" t="n"/>
      <c r="X1785" s="14">
        <f>IF($AP1785="",IF($B1785="","",$H1785),IF(INDEX(職員マスタ!$B$6:$B$405,$AP1785)="",$H1785,INDEX(職員マスタ!$B$6:$B$405,$AP1785)))</f>
        <v/>
      </c>
      <c r="Y1785" s="14">
        <f>IF($AP1785="",IF($B1785="","",$R1785),IF(INDEX(職員マスタ!$C$6:$C$405,$AP1785)="",$R1785,INDEX(職員マスタ!$C$6:$C$405,$AP1785)))</f>
        <v/>
      </c>
      <c r="Z1785" s="14">
        <f>IF($AQ1785="","","R"&amp;$C1785&amp;"."&amp;$D1785)</f>
        <v/>
      </c>
      <c r="AA1785" s="15">
        <f>IF(IF($AP1785="",FALSE,INDEX(職員マスタ!$K$6:$K$405,$AP1785)&lt;&gt;""),INDEX(職員マスタ!$K$6:$K$405,$AP1785),IF(N($W1785)&gt;0,$W1785,""))</f>
        <v/>
      </c>
      <c r="AB1785" s="14">
        <f>IF(OR($E1785="",$AA1785=""),"",IF($E1785&gt;=$AA1785,"×",IF($E1785&gt;=$AA1785*設定!$C$5,"△","○")))</f>
        <v/>
      </c>
      <c r="AC1785" s="15">
        <f>IF($AB1785="","",IF($AB1785="×",0,IF($AB1785="○",ROUNDDOWN($E1785*設定!$C$4,0),ROUNDDOWN($E1785*ROUND((9*$AA1785-9*$E1785)/(10*$E1785),4),0))))</f>
        <v/>
      </c>
      <c r="AD1785" s="13" t="n"/>
      <c r="AE1785" s="15">
        <f>IF($B1785="","",IF($AD1785&lt;&gt;"",$AD1785,IF($AC1785="","",IF($AC1785&lt;=設定!$C$3,0,$AC1785))))</f>
        <v/>
      </c>
      <c r="AF1785" s="14">
        <f>IF($B1785="","",IF(AND($AG1785&lt;&gt;"",$AI1785="",$AL1785=""),"保留中",IF($AL1785&lt;&gt;"",IF(N($AE1785)&gt;0,"支給済","不支給"),IF($AE1785="","要確認",IF($AE1785=0,"不支給","未処理")))))</f>
        <v/>
      </c>
      <c r="AG1785" s="12" t="n"/>
      <c r="AH1785" s="11" t="n"/>
      <c r="AI1785" s="11" t="n"/>
      <c r="AJ1785" s="11" t="n"/>
      <c r="AK1785" s="14">
        <f>IF(AND($AF1785="保留中",$AH1785&lt;&gt;""),TODAY()-$AH1785,"")</f>
        <v/>
      </c>
      <c r="AL1785" s="12" t="n"/>
      <c r="AM1785" s="14">
        <f>IF($B1785="","",IF($AQ1785="","対象年月が未入力／","")&amp;IF($B1785="","",IF($AP1785="","職員マスタに未登録の職員番号／",IF($AA1785="","標準報酬月額が未登録／","")&amp;IF(AND($AQ1785&lt;&gt;"",OR(AND(INDEX(職員マスタ!$G$6:$G$405,$AP1785)&lt;&gt;"",INDEX(職員マスタ!$G$6:$G$405,$AP1785)&gt;EOMONTH($AQ1785,0)),AND(INDEX(職員マスタ!$H$6:$H$405,$AP1785)&lt;&gt;"",INDEX(職員マスタ!$H$6:$H$405,$AP1785)&lt;$AQ1785))),"対象月が時短期間外／","")&amp;IF(AND(INDEX(職員マスタ!$K$6:$K$405,$AP1785)&lt;&gt;"",N($W1785)&gt;0,INDEX(職員マスタ!$K$6:$K$405,$AP1785)&lt;&gt;$W1785),"標準報酬月額が申請書と相違（台帳"&amp;TEXT(INDEX(職員マスタ!$K$6:$K$405,$AP1785),"#,##0")&amp;"円／申請書"&amp;TEXT($W1785,"#,##0")&amp;"円）／","")&amp;IF(AND(INDEX(職員マスタ!$F$6:$F$405,$AP1785)&lt;&gt;"",$AQ1785&lt;&gt;"",INDEX(職員マスタ!$F$6:$F$405,$AP1785)&lt;$AQ1785),"対象月に子が2歳到達済／","")&amp;IF(AND($H1785&lt;&gt;"",INDEX(職員マスタ!$B$6:$B$405,$AP1785)&lt;&gt;"",SUBSTITUTE(SUBSTITUTE($H1785," ","")," ","")&lt;&gt;SUBSTITUTE(SUBSTITUTE(INDEX(職員マスタ!$B$6:$B$405,$AP1785)," ","")," ","")),"氏名がマスタと相違／","")&amp;IF(AND($Q1785&lt;&gt;"",INDEX(職員マスタ!$E$6:$E$405,$AP1785)&lt;&gt;"",$Q1785&lt;&gt;INDEX(職員マスタ!$E$6:$E$405,$AP1785)),"子の生年月日がマスタと相違／","")&amp;IF(AND($L1785&lt;&gt;"",INDEX(職員マスタ!$G$6:$G$405,$AP1785)&lt;&gt;"",$L1785&lt;&gt;INDEX(職員マスタ!$G$6:$G$405,$AP1785)),"時短開始日がマスタと相違／","")&amp;IF(AND($M1785&lt;&gt;"",INDEX(職員マスタ!$H$6:$H$405,$AP1785)&lt;&gt;"",$M1785&lt;&gt;INDEX(職員マスタ!$H$6:$H$405,$AP1785)),"時短終了日がマスタと相違／","")))&amp;IF(AND($B1785&lt;&gt;"",$E1785=""),"報酬額が未入力／","")&amp;IF(N($U1785)&gt;0,"申請書に入力エラーが残っています／","")&amp;IF(AND($B1785&lt;&gt;"",$AQ1785&lt;&gt;""),IF(COUNTIFS($B$6:$B$3005,$B1785,$C$6:$C$3005,$C1785,$D$6:$D$3005,$D1785)&gt;1,"同じ月の請求が重複しています／",""),"")&amp;IF(AND(N($E1785)&gt;0,$AB1785&lt;&gt;"",$AB1785&lt;&gt;"×",$AE1785=0,$AD1785=""),"計算額が下限以下のため不支給／",""))</f>
        <v/>
      </c>
      <c r="AN1785" s="12" t="n"/>
      <c r="AO1785" s="14">
        <f>IF($AF1785="保留中",COUNTIF($AF$6:$AF1785,"保留中"),"")</f>
        <v/>
      </c>
      <c r="AP1785" s="14">
        <f>IF($AQ1785="","",IF(SUMPRODUCT(MAX((職員マスタ!$A$6:$A$405=$B1785)*(((職員マスタ!$G$6:$G$405="")+(職員マスタ!$G$6:$G$405&lt;=EOMONTH($AQ1785,0)))&gt;0)*(((職員マスタ!$H$6:$H$405="")+(職員マスタ!$H$6:$H$405&gt;=$AQ1785))&gt;0)*(ROW(職員マスタ!$A$6:$A$405)-5)))&gt;0,SUMPRODUCT(MAX((職員マスタ!$A$6:$A$405=$B1785)*(((職員マスタ!$G$6:$G$405="")+(職員マスタ!$G$6:$G$405&lt;=EOMONTH($AQ1785,0)))&gt;0)*(((職員マスタ!$H$6:$H$405="")+(職員マスタ!$H$6:$H$405&gt;=$AQ1785))&gt;0)*(ROW(職員マスタ!$A$6:$A$405)-5))),IFERROR(MATCH($B1785,職員マスタ!$A$6:$A$405,0),"")))</f>
        <v/>
      </c>
      <c r="AQ1785" s="16">
        <f>IF(OR($B1785="",$C1785="",$D1785=""),"",DATE($C1785+2018,$D1785,1))</f>
        <v/>
      </c>
    </row>
    <row r="1786">
      <c r="A1786" s="11" t="n"/>
      <c r="B1786" s="12" t="n"/>
      <c r="C1786" s="12" t="n"/>
      <c r="D1786" s="12" t="n"/>
      <c r="E1786" s="13" t="n"/>
      <c r="F1786" s="12" t="n"/>
      <c r="G1786" s="13" t="n"/>
      <c r="H1786" s="12" t="n"/>
      <c r="I1786" s="12" t="n"/>
      <c r="J1786" s="12" t="n"/>
      <c r="K1786" s="12" t="n"/>
      <c r="L1786" s="11" t="n"/>
      <c r="M1786" s="11" t="n"/>
      <c r="N1786" s="11" t="n"/>
      <c r="O1786" s="11" t="n"/>
      <c r="P1786" s="12" t="n"/>
      <c r="Q1786" s="11" t="n"/>
      <c r="R1786" s="12" t="n"/>
      <c r="S1786" s="11" t="n"/>
      <c r="T1786" s="12" t="n"/>
      <c r="U1786" s="12" t="n"/>
      <c r="V1786" s="12" t="n"/>
      <c r="W1786" s="13" t="n"/>
      <c r="X1786" s="14">
        <f>IF($AP1786="",IF($B1786="","",$H1786),IF(INDEX(職員マスタ!$B$6:$B$405,$AP1786)="",$H1786,INDEX(職員マスタ!$B$6:$B$405,$AP1786)))</f>
        <v/>
      </c>
      <c r="Y1786" s="14">
        <f>IF($AP1786="",IF($B1786="","",$R1786),IF(INDEX(職員マスタ!$C$6:$C$405,$AP1786)="",$R1786,INDEX(職員マスタ!$C$6:$C$405,$AP1786)))</f>
        <v/>
      </c>
      <c r="Z1786" s="14">
        <f>IF($AQ1786="","","R"&amp;$C1786&amp;"."&amp;$D1786)</f>
        <v/>
      </c>
      <c r="AA1786" s="15">
        <f>IF(IF($AP1786="",FALSE,INDEX(職員マスタ!$K$6:$K$405,$AP1786)&lt;&gt;""),INDEX(職員マスタ!$K$6:$K$405,$AP1786),IF(N($W1786)&gt;0,$W1786,""))</f>
        <v/>
      </c>
      <c r="AB1786" s="14">
        <f>IF(OR($E1786="",$AA1786=""),"",IF($E1786&gt;=$AA1786,"×",IF($E1786&gt;=$AA1786*設定!$C$5,"△","○")))</f>
        <v/>
      </c>
      <c r="AC1786" s="15">
        <f>IF($AB1786="","",IF($AB1786="×",0,IF($AB1786="○",ROUNDDOWN($E1786*設定!$C$4,0),ROUNDDOWN($E1786*ROUND((9*$AA1786-9*$E1786)/(10*$E1786),4),0))))</f>
        <v/>
      </c>
      <c r="AD1786" s="13" t="n"/>
      <c r="AE1786" s="15">
        <f>IF($B1786="","",IF($AD1786&lt;&gt;"",$AD1786,IF($AC1786="","",IF($AC1786&lt;=設定!$C$3,0,$AC1786))))</f>
        <v/>
      </c>
      <c r="AF1786" s="14">
        <f>IF($B1786="","",IF(AND($AG1786&lt;&gt;"",$AI1786="",$AL1786=""),"保留中",IF($AL1786&lt;&gt;"",IF(N($AE1786)&gt;0,"支給済","不支給"),IF($AE1786="","要確認",IF($AE1786=0,"不支給","未処理")))))</f>
        <v/>
      </c>
      <c r="AG1786" s="12" t="n"/>
      <c r="AH1786" s="11" t="n"/>
      <c r="AI1786" s="11" t="n"/>
      <c r="AJ1786" s="11" t="n"/>
      <c r="AK1786" s="14">
        <f>IF(AND($AF1786="保留中",$AH1786&lt;&gt;""),TODAY()-$AH1786,"")</f>
        <v/>
      </c>
      <c r="AL1786" s="12" t="n"/>
      <c r="AM1786" s="14">
        <f>IF($B1786="","",IF($AQ1786="","対象年月が未入力／","")&amp;IF($B1786="","",IF($AP1786="","職員マスタに未登録の職員番号／",IF($AA1786="","標準報酬月額が未登録／","")&amp;IF(AND($AQ1786&lt;&gt;"",OR(AND(INDEX(職員マスタ!$G$6:$G$405,$AP1786)&lt;&gt;"",INDEX(職員マスタ!$G$6:$G$405,$AP1786)&gt;EOMONTH($AQ1786,0)),AND(INDEX(職員マスタ!$H$6:$H$405,$AP1786)&lt;&gt;"",INDEX(職員マスタ!$H$6:$H$405,$AP1786)&lt;$AQ1786))),"対象月が時短期間外／","")&amp;IF(AND(INDEX(職員マスタ!$K$6:$K$405,$AP1786)&lt;&gt;"",N($W1786)&gt;0,INDEX(職員マスタ!$K$6:$K$405,$AP1786)&lt;&gt;$W1786),"標準報酬月額が申請書と相違（台帳"&amp;TEXT(INDEX(職員マスタ!$K$6:$K$405,$AP1786),"#,##0")&amp;"円／申請書"&amp;TEXT($W1786,"#,##0")&amp;"円）／","")&amp;IF(AND(INDEX(職員マスタ!$F$6:$F$405,$AP1786)&lt;&gt;"",$AQ1786&lt;&gt;"",INDEX(職員マスタ!$F$6:$F$405,$AP1786)&lt;$AQ1786),"対象月に子が2歳到達済／","")&amp;IF(AND($H1786&lt;&gt;"",INDEX(職員マスタ!$B$6:$B$405,$AP1786)&lt;&gt;"",SUBSTITUTE(SUBSTITUTE($H1786," ","")," ","")&lt;&gt;SUBSTITUTE(SUBSTITUTE(INDEX(職員マスタ!$B$6:$B$405,$AP1786)," ","")," ","")),"氏名がマスタと相違／","")&amp;IF(AND($Q1786&lt;&gt;"",INDEX(職員マスタ!$E$6:$E$405,$AP1786)&lt;&gt;"",$Q1786&lt;&gt;INDEX(職員マスタ!$E$6:$E$405,$AP1786)),"子の生年月日がマスタと相違／","")&amp;IF(AND($L1786&lt;&gt;"",INDEX(職員マスタ!$G$6:$G$405,$AP1786)&lt;&gt;"",$L1786&lt;&gt;INDEX(職員マスタ!$G$6:$G$405,$AP1786)),"時短開始日がマスタと相違／","")&amp;IF(AND($M1786&lt;&gt;"",INDEX(職員マスタ!$H$6:$H$405,$AP1786)&lt;&gt;"",$M1786&lt;&gt;INDEX(職員マスタ!$H$6:$H$405,$AP1786)),"時短終了日がマスタと相違／","")))&amp;IF(AND($B1786&lt;&gt;"",$E1786=""),"報酬額が未入力／","")&amp;IF(N($U1786)&gt;0,"申請書に入力エラーが残っています／","")&amp;IF(AND($B1786&lt;&gt;"",$AQ1786&lt;&gt;""),IF(COUNTIFS($B$6:$B$3005,$B1786,$C$6:$C$3005,$C1786,$D$6:$D$3005,$D1786)&gt;1,"同じ月の請求が重複しています／",""),"")&amp;IF(AND(N($E1786)&gt;0,$AB1786&lt;&gt;"",$AB1786&lt;&gt;"×",$AE1786=0,$AD1786=""),"計算額が下限以下のため不支給／",""))</f>
        <v/>
      </c>
      <c r="AN1786" s="12" t="n"/>
      <c r="AO1786" s="14">
        <f>IF($AF1786="保留中",COUNTIF($AF$6:$AF1786,"保留中"),"")</f>
        <v/>
      </c>
      <c r="AP1786" s="14">
        <f>IF($AQ1786="","",IF(SUMPRODUCT(MAX((職員マスタ!$A$6:$A$405=$B1786)*(((職員マスタ!$G$6:$G$405="")+(職員マスタ!$G$6:$G$405&lt;=EOMONTH($AQ1786,0)))&gt;0)*(((職員マスタ!$H$6:$H$405="")+(職員マスタ!$H$6:$H$405&gt;=$AQ1786))&gt;0)*(ROW(職員マスタ!$A$6:$A$405)-5)))&gt;0,SUMPRODUCT(MAX((職員マスタ!$A$6:$A$405=$B1786)*(((職員マスタ!$G$6:$G$405="")+(職員マスタ!$G$6:$G$405&lt;=EOMONTH($AQ1786,0)))&gt;0)*(((職員マスタ!$H$6:$H$405="")+(職員マスタ!$H$6:$H$405&gt;=$AQ1786))&gt;0)*(ROW(職員マスタ!$A$6:$A$405)-5))),IFERROR(MATCH($B1786,職員マスタ!$A$6:$A$405,0),"")))</f>
        <v/>
      </c>
      <c r="AQ1786" s="16">
        <f>IF(OR($B1786="",$C1786="",$D1786=""),"",DATE($C1786+2018,$D1786,1))</f>
        <v/>
      </c>
    </row>
    <row r="1787">
      <c r="A1787" s="11" t="n"/>
      <c r="B1787" s="12" t="n"/>
      <c r="C1787" s="12" t="n"/>
      <c r="D1787" s="12" t="n"/>
      <c r="E1787" s="13" t="n"/>
      <c r="F1787" s="12" t="n"/>
      <c r="G1787" s="13" t="n"/>
      <c r="H1787" s="12" t="n"/>
      <c r="I1787" s="12" t="n"/>
      <c r="J1787" s="12" t="n"/>
      <c r="K1787" s="12" t="n"/>
      <c r="L1787" s="11" t="n"/>
      <c r="M1787" s="11" t="n"/>
      <c r="N1787" s="11" t="n"/>
      <c r="O1787" s="11" t="n"/>
      <c r="P1787" s="12" t="n"/>
      <c r="Q1787" s="11" t="n"/>
      <c r="R1787" s="12" t="n"/>
      <c r="S1787" s="11" t="n"/>
      <c r="T1787" s="12" t="n"/>
      <c r="U1787" s="12" t="n"/>
      <c r="V1787" s="12" t="n"/>
      <c r="W1787" s="13" t="n"/>
      <c r="X1787" s="14">
        <f>IF($AP1787="",IF($B1787="","",$H1787),IF(INDEX(職員マスタ!$B$6:$B$405,$AP1787)="",$H1787,INDEX(職員マスタ!$B$6:$B$405,$AP1787)))</f>
        <v/>
      </c>
      <c r="Y1787" s="14">
        <f>IF($AP1787="",IF($B1787="","",$R1787),IF(INDEX(職員マスタ!$C$6:$C$405,$AP1787)="",$R1787,INDEX(職員マスタ!$C$6:$C$405,$AP1787)))</f>
        <v/>
      </c>
      <c r="Z1787" s="14">
        <f>IF($AQ1787="","","R"&amp;$C1787&amp;"."&amp;$D1787)</f>
        <v/>
      </c>
      <c r="AA1787" s="15">
        <f>IF(IF($AP1787="",FALSE,INDEX(職員マスタ!$K$6:$K$405,$AP1787)&lt;&gt;""),INDEX(職員マスタ!$K$6:$K$405,$AP1787),IF(N($W1787)&gt;0,$W1787,""))</f>
        <v/>
      </c>
      <c r="AB1787" s="14">
        <f>IF(OR($E1787="",$AA1787=""),"",IF($E1787&gt;=$AA1787,"×",IF($E1787&gt;=$AA1787*設定!$C$5,"△","○")))</f>
        <v/>
      </c>
      <c r="AC1787" s="15">
        <f>IF($AB1787="","",IF($AB1787="×",0,IF($AB1787="○",ROUNDDOWN($E1787*設定!$C$4,0),ROUNDDOWN($E1787*ROUND((9*$AA1787-9*$E1787)/(10*$E1787),4),0))))</f>
        <v/>
      </c>
      <c r="AD1787" s="13" t="n"/>
      <c r="AE1787" s="15">
        <f>IF($B1787="","",IF($AD1787&lt;&gt;"",$AD1787,IF($AC1787="","",IF($AC1787&lt;=設定!$C$3,0,$AC1787))))</f>
        <v/>
      </c>
      <c r="AF1787" s="14">
        <f>IF($B1787="","",IF(AND($AG1787&lt;&gt;"",$AI1787="",$AL1787=""),"保留中",IF($AL1787&lt;&gt;"",IF(N($AE1787)&gt;0,"支給済","不支給"),IF($AE1787="","要確認",IF($AE1787=0,"不支給","未処理")))))</f>
        <v/>
      </c>
      <c r="AG1787" s="12" t="n"/>
      <c r="AH1787" s="11" t="n"/>
      <c r="AI1787" s="11" t="n"/>
      <c r="AJ1787" s="11" t="n"/>
      <c r="AK1787" s="14">
        <f>IF(AND($AF1787="保留中",$AH1787&lt;&gt;""),TODAY()-$AH1787,"")</f>
        <v/>
      </c>
      <c r="AL1787" s="12" t="n"/>
      <c r="AM1787" s="14">
        <f>IF($B1787="","",IF($AQ1787="","対象年月が未入力／","")&amp;IF($B1787="","",IF($AP1787="","職員マスタに未登録の職員番号／",IF($AA1787="","標準報酬月額が未登録／","")&amp;IF(AND($AQ1787&lt;&gt;"",OR(AND(INDEX(職員マスタ!$G$6:$G$405,$AP1787)&lt;&gt;"",INDEX(職員マスタ!$G$6:$G$405,$AP1787)&gt;EOMONTH($AQ1787,0)),AND(INDEX(職員マスタ!$H$6:$H$405,$AP1787)&lt;&gt;"",INDEX(職員マスタ!$H$6:$H$405,$AP1787)&lt;$AQ1787))),"対象月が時短期間外／","")&amp;IF(AND(INDEX(職員マスタ!$K$6:$K$405,$AP1787)&lt;&gt;"",N($W1787)&gt;0,INDEX(職員マスタ!$K$6:$K$405,$AP1787)&lt;&gt;$W1787),"標準報酬月額が申請書と相違（台帳"&amp;TEXT(INDEX(職員マスタ!$K$6:$K$405,$AP1787),"#,##0")&amp;"円／申請書"&amp;TEXT($W1787,"#,##0")&amp;"円）／","")&amp;IF(AND(INDEX(職員マスタ!$F$6:$F$405,$AP1787)&lt;&gt;"",$AQ1787&lt;&gt;"",INDEX(職員マスタ!$F$6:$F$405,$AP1787)&lt;$AQ1787),"対象月に子が2歳到達済／","")&amp;IF(AND($H1787&lt;&gt;"",INDEX(職員マスタ!$B$6:$B$405,$AP1787)&lt;&gt;"",SUBSTITUTE(SUBSTITUTE($H1787," ","")," ","")&lt;&gt;SUBSTITUTE(SUBSTITUTE(INDEX(職員マスタ!$B$6:$B$405,$AP1787)," ","")," ","")),"氏名がマスタと相違／","")&amp;IF(AND($Q1787&lt;&gt;"",INDEX(職員マスタ!$E$6:$E$405,$AP1787)&lt;&gt;"",$Q1787&lt;&gt;INDEX(職員マスタ!$E$6:$E$405,$AP1787)),"子の生年月日がマスタと相違／","")&amp;IF(AND($L1787&lt;&gt;"",INDEX(職員マスタ!$G$6:$G$405,$AP1787)&lt;&gt;"",$L1787&lt;&gt;INDEX(職員マスタ!$G$6:$G$405,$AP1787)),"時短開始日がマスタと相違／","")&amp;IF(AND($M1787&lt;&gt;"",INDEX(職員マスタ!$H$6:$H$405,$AP1787)&lt;&gt;"",$M1787&lt;&gt;INDEX(職員マスタ!$H$6:$H$405,$AP1787)),"時短終了日がマスタと相違／","")))&amp;IF(AND($B1787&lt;&gt;"",$E1787=""),"報酬額が未入力／","")&amp;IF(N($U1787)&gt;0,"申請書に入力エラーが残っています／","")&amp;IF(AND($B1787&lt;&gt;"",$AQ1787&lt;&gt;""),IF(COUNTIFS($B$6:$B$3005,$B1787,$C$6:$C$3005,$C1787,$D$6:$D$3005,$D1787)&gt;1,"同じ月の請求が重複しています／",""),"")&amp;IF(AND(N($E1787)&gt;0,$AB1787&lt;&gt;"",$AB1787&lt;&gt;"×",$AE1787=0,$AD1787=""),"計算額が下限以下のため不支給／",""))</f>
        <v/>
      </c>
      <c r="AN1787" s="12" t="n"/>
      <c r="AO1787" s="14">
        <f>IF($AF1787="保留中",COUNTIF($AF$6:$AF1787,"保留中"),"")</f>
        <v/>
      </c>
      <c r="AP1787" s="14">
        <f>IF($AQ1787="","",IF(SUMPRODUCT(MAX((職員マスタ!$A$6:$A$405=$B1787)*(((職員マスタ!$G$6:$G$405="")+(職員マスタ!$G$6:$G$405&lt;=EOMONTH($AQ1787,0)))&gt;0)*(((職員マスタ!$H$6:$H$405="")+(職員マスタ!$H$6:$H$405&gt;=$AQ1787))&gt;0)*(ROW(職員マスタ!$A$6:$A$405)-5)))&gt;0,SUMPRODUCT(MAX((職員マスタ!$A$6:$A$405=$B1787)*(((職員マスタ!$G$6:$G$405="")+(職員マスタ!$G$6:$G$405&lt;=EOMONTH($AQ1787,0)))&gt;0)*(((職員マスタ!$H$6:$H$405="")+(職員マスタ!$H$6:$H$405&gt;=$AQ1787))&gt;0)*(ROW(職員マスタ!$A$6:$A$405)-5))),IFERROR(MATCH($B1787,職員マスタ!$A$6:$A$405,0),"")))</f>
        <v/>
      </c>
      <c r="AQ1787" s="16">
        <f>IF(OR($B1787="",$C1787="",$D1787=""),"",DATE($C1787+2018,$D1787,1))</f>
        <v/>
      </c>
    </row>
    <row r="1788">
      <c r="A1788" s="11" t="n"/>
      <c r="B1788" s="12" t="n"/>
      <c r="C1788" s="12" t="n"/>
      <c r="D1788" s="12" t="n"/>
      <c r="E1788" s="13" t="n"/>
      <c r="F1788" s="12" t="n"/>
      <c r="G1788" s="13" t="n"/>
      <c r="H1788" s="12" t="n"/>
      <c r="I1788" s="12" t="n"/>
      <c r="J1788" s="12" t="n"/>
      <c r="K1788" s="12" t="n"/>
      <c r="L1788" s="11" t="n"/>
      <c r="M1788" s="11" t="n"/>
      <c r="N1788" s="11" t="n"/>
      <c r="O1788" s="11" t="n"/>
      <c r="P1788" s="12" t="n"/>
      <c r="Q1788" s="11" t="n"/>
      <c r="R1788" s="12" t="n"/>
      <c r="S1788" s="11" t="n"/>
      <c r="T1788" s="12" t="n"/>
      <c r="U1788" s="12" t="n"/>
      <c r="V1788" s="12" t="n"/>
      <c r="W1788" s="13" t="n"/>
      <c r="X1788" s="14">
        <f>IF($AP1788="",IF($B1788="","",$H1788),IF(INDEX(職員マスタ!$B$6:$B$405,$AP1788)="",$H1788,INDEX(職員マスタ!$B$6:$B$405,$AP1788)))</f>
        <v/>
      </c>
      <c r="Y1788" s="14">
        <f>IF($AP1788="",IF($B1788="","",$R1788),IF(INDEX(職員マスタ!$C$6:$C$405,$AP1788)="",$R1788,INDEX(職員マスタ!$C$6:$C$405,$AP1788)))</f>
        <v/>
      </c>
      <c r="Z1788" s="14">
        <f>IF($AQ1788="","","R"&amp;$C1788&amp;"."&amp;$D1788)</f>
        <v/>
      </c>
      <c r="AA1788" s="15">
        <f>IF(IF($AP1788="",FALSE,INDEX(職員マスタ!$K$6:$K$405,$AP1788)&lt;&gt;""),INDEX(職員マスタ!$K$6:$K$405,$AP1788),IF(N($W1788)&gt;0,$W1788,""))</f>
        <v/>
      </c>
      <c r="AB1788" s="14">
        <f>IF(OR($E1788="",$AA1788=""),"",IF($E1788&gt;=$AA1788,"×",IF($E1788&gt;=$AA1788*設定!$C$5,"△","○")))</f>
        <v/>
      </c>
      <c r="AC1788" s="15">
        <f>IF($AB1788="","",IF($AB1788="×",0,IF($AB1788="○",ROUNDDOWN($E1788*設定!$C$4,0),ROUNDDOWN($E1788*ROUND((9*$AA1788-9*$E1788)/(10*$E1788),4),0))))</f>
        <v/>
      </c>
      <c r="AD1788" s="13" t="n"/>
      <c r="AE1788" s="15">
        <f>IF($B1788="","",IF($AD1788&lt;&gt;"",$AD1788,IF($AC1788="","",IF($AC1788&lt;=設定!$C$3,0,$AC1788))))</f>
        <v/>
      </c>
      <c r="AF1788" s="14">
        <f>IF($B1788="","",IF(AND($AG1788&lt;&gt;"",$AI1788="",$AL1788=""),"保留中",IF($AL1788&lt;&gt;"",IF(N($AE1788)&gt;0,"支給済","不支給"),IF($AE1788="","要確認",IF($AE1788=0,"不支給","未処理")))))</f>
        <v/>
      </c>
      <c r="AG1788" s="12" t="n"/>
      <c r="AH1788" s="11" t="n"/>
      <c r="AI1788" s="11" t="n"/>
      <c r="AJ1788" s="11" t="n"/>
      <c r="AK1788" s="14">
        <f>IF(AND($AF1788="保留中",$AH1788&lt;&gt;""),TODAY()-$AH1788,"")</f>
        <v/>
      </c>
      <c r="AL1788" s="12" t="n"/>
      <c r="AM1788" s="14">
        <f>IF($B1788="","",IF($AQ1788="","対象年月が未入力／","")&amp;IF($B1788="","",IF($AP1788="","職員マスタに未登録の職員番号／",IF($AA1788="","標準報酬月額が未登録／","")&amp;IF(AND($AQ1788&lt;&gt;"",OR(AND(INDEX(職員マスタ!$G$6:$G$405,$AP1788)&lt;&gt;"",INDEX(職員マスタ!$G$6:$G$405,$AP1788)&gt;EOMONTH($AQ1788,0)),AND(INDEX(職員マスタ!$H$6:$H$405,$AP1788)&lt;&gt;"",INDEX(職員マスタ!$H$6:$H$405,$AP1788)&lt;$AQ1788))),"対象月が時短期間外／","")&amp;IF(AND(INDEX(職員マスタ!$K$6:$K$405,$AP1788)&lt;&gt;"",N($W1788)&gt;0,INDEX(職員マスタ!$K$6:$K$405,$AP1788)&lt;&gt;$W1788),"標準報酬月額が申請書と相違（台帳"&amp;TEXT(INDEX(職員マスタ!$K$6:$K$405,$AP1788),"#,##0")&amp;"円／申請書"&amp;TEXT($W1788,"#,##0")&amp;"円）／","")&amp;IF(AND(INDEX(職員マスタ!$F$6:$F$405,$AP1788)&lt;&gt;"",$AQ1788&lt;&gt;"",INDEX(職員マスタ!$F$6:$F$405,$AP1788)&lt;$AQ1788),"対象月に子が2歳到達済／","")&amp;IF(AND($H1788&lt;&gt;"",INDEX(職員マスタ!$B$6:$B$405,$AP1788)&lt;&gt;"",SUBSTITUTE(SUBSTITUTE($H1788," ","")," ","")&lt;&gt;SUBSTITUTE(SUBSTITUTE(INDEX(職員マスタ!$B$6:$B$405,$AP1788)," ","")," ","")),"氏名がマスタと相違／","")&amp;IF(AND($Q1788&lt;&gt;"",INDEX(職員マスタ!$E$6:$E$405,$AP1788)&lt;&gt;"",$Q1788&lt;&gt;INDEX(職員マスタ!$E$6:$E$405,$AP1788)),"子の生年月日がマスタと相違／","")&amp;IF(AND($L1788&lt;&gt;"",INDEX(職員マスタ!$G$6:$G$405,$AP1788)&lt;&gt;"",$L1788&lt;&gt;INDEX(職員マスタ!$G$6:$G$405,$AP1788)),"時短開始日がマスタと相違／","")&amp;IF(AND($M1788&lt;&gt;"",INDEX(職員マスタ!$H$6:$H$405,$AP1788)&lt;&gt;"",$M1788&lt;&gt;INDEX(職員マスタ!$H$6:$H$405,$AP1788)),"時短終了日がマスタと相違／","")))&amp;IF(AND($B1788&lt;&gt;"",$E1788=""),"報酬額が未入力／","")&amp;IF(N($U1788)&gt;0,"申請書に入力エラーが残っています／","")&amp;IF(AND($B1788&lt;&gt;"",$AQ1788&lt;&gt;""),IF(COUNTIFS($B$6:$B$3005,$B1788,$C$6:$C$3005,$C1788,$D$6:$D$3005,$D1788)&gt;1,"同じ月の請求が重複しています／",""),"")&amp;IF(AND(N($E1788)&gt;0,$AB1788&lt;&gt;"",$AB1788&lt;&gt;"×",$AE1788=0,$AD1788=""),"計算額が下限以下のため不支給／",""))</f>
        <v/>
      </c>
      <c r="AN1788" s="12" t="n"/>
      <c r="AO1788" s="14">
        <f>IF($AF1788="保留中",COUNTIF($AF$6:$AF1788,"保留中"),"")</f>
        <v/>
      </c>
      <c r="AP1788" s="14">
        <f>IF($AQ1788="","",IF(SUMPRODUCT(MAX((職員マスタ!$A$6:$A$405=$B1788)*(((職員マスタ!$G$6:$G$405="")+(職員マスタ!$G$6:$G$405&lt;=EOMONTH($AQ1788,0)))&gt;0)*(((職員マスタ!$H$6:$H$405="")+(職員マスタ!$H$6:$H$405&gt;=$AQ1788))&gt;0)*(ROW(職員マスタ!$A$6:$A$405)-5)))&gt;0,SUMPRODUCT(MAX((職員マスタ!$A$6:$A$405=$B1788)*(((職員マスタ!$G$6:$G$405="")+(職員マスタ!$G$6:$G$405&lt;=EOMONTH($AQ1788,0)))&gt;0)*(((職員マスタ!$H$6:$H$405="")+(職員マスタ!$H$6:$H$405&gt;=$AQ1788))&gt;0)*(ROW(職員マスタ!$A$6:$A$405)-5))),IFERROR(MATCH($B1788,職員マスタ!$A$6:$A$405,0),"")))</f>
        <v/>
      </c>
      <c r="AQ1788" s="16">
        <f>IF(OR($B1788="",$C1788="",$D1788=""),"",DATE($C1788+2018,$D1788,1))</f>
        <v/>
      </c>
    </row>
    <row r="1789">
      <c r="A1789" s="11" t="n"/>
      <c r="B1789" s="12" t="n"/>
      <c r="C1789" s="12" t="n"/>
      <c r="D1789" s="12" t="n"/>
      <c r="E1789" s="13" t="n"/>
      <c r="F1789" s="12" t="n"/>
      <c r="G1789" s="13" t="n"/>
      <c r="H1789" s="12" t="n"/>
      <c r="I1789" s="12" t="n"/>
      <c r="J1789" s="12" t="n"/>
      <c r="K1789" s="12" t="n"/>
      <c r="L1789" s="11" t="n"/>
      <c r="M1789" s="11" t="n"/>
      <c r="N1789" s="11" t="n"/>
      <c r="O1789" s="11" t="n"/>
      <c r="P1789" s="12" t="n"/>
      <c r="Q1789" s="11" t="n"/>
      <c r="R1789" s="12" t="n"/>
      <c r="S1789" s="11" t="n"/>
      <c r="T1789" s="12" t="n"/>
      <c r="U1789" s="12" t="n"/>
      <c r="V1789" s="12" t="n"/>
      <c r="W1789" s="13" t="n"/>
      <c r="X1789" s="14">
        <f>IF($AP1789="",IF($B1789="","",$H1789),IF(INDEX(職員マスタ!$B$6:$B$405,$AP1789)="",$H1789,INDEX(職員マスタ!$B$6:$B$405,$AP1789)))</f>
        <v/>
      </c>
      <c r="Y1789" s="14">
        <f>IF($AP1789="",IF($B1789="","",$R1789),IF(INDEX(職員マスタ!$C$6:$C$405,$AP1789)="",$R1789,INDEX(職員マスタ!$C$6:$C$405,$AP1789)))</f>
        <v/>
      </c>
      <c r="Z1789" s="14">
        <f>IF($AQ1789="","","R"&amp;$C1789&amp;"."&amp;$D1789)</f>
        <v/>
      </c>
      <c r="AA1789" s="15">
        <f>IF(IF($AP1789="",FALSE,INDEX(職員マスタ!$K$6:$K$405,$AP1789)&lt;&gt;""),INDEX(職員マスタ!$K$6:$K$405,$AP1789),IF(N($W1789)&gt;0,$W1789,""))</f>
        <v/>
      </c>
      <c r="AB1789" s="14">
        <f>IF(OR($E1789="",$AA1789=""),"",IF($E1789&gt;=$AA1789,"×",IF($E1789&gt;=$AA1789*設定!$C$5,"△","○")))</f>
        <v/>
      </c>
      <c r="AC1789" s="15">
        <f>IF($AB1789="","",IF($AB1789="×",0,IF($AB1789="○",ROUNDDOWN($E1789*設定!$C$4,0),ROUNDDOWN($E1789*ROUND((9*$AA1789-9*$E1789)/(10*$E1789),4),0))))</f>
        <v/>
      </c>
      <c r="AD1789" s="13" t="n"/>
      <c r="AE1789" s="15">
        <f>IF($B1789="","",IF($AD1789&lt;&gt;"",$AD1789,IF($AC1789="","",IF($AC1789&lt;=設定!$C$3,0,$AC1789))))</f>
        <v/>
      </c>
      <c r="AF1789" s="14">
        <f>IF($B1789="","",IF(AND($AG1789&lt;&gt;"",$AI1789="",$AL1789=""),"保留中",IF($AL1789&lt;&gt;"",IF(N($AE1789)&gt;0,"支給済","不支給"),IF($AE1789="","要確認",IF($AE1789=0,"不支給","未処理")))))</f>
        <v/>
      </c>
      <c r="AG1789" s="12" t="n"/>
      <c r="AH1789" s="11" t="n"/>
      <c r="AI1789" s="11" t="n"/>
      <c r="AJ1789" s="11" t="n"/>
      <c r="AK1789" s="14">
        <f>IF(AND($AF1789="保留中",$AH1789&lt;&gt;""),TODAY()-$AH1789,"")</f>
        <v/>
      </c>
      <c r="AL1789" s="12" t="n"/>
      <c r="AM1789" s="14">
        <f>IF($B1789="","",IF($AQ1789="","対象年月が未入力／","")&amp;IF($B1789="","",IF($AP1789="","職員マスタに未登録の職員番号／",IF($AA1789="","標準報酬月額が未登録／","")&amp;IF(AND($AQ1789&lt;&gt;"",OR(AND(INDEX(職員マスタ!$G$6:$G$405,$AP1789)&lt;&gt;"",INDEX(職員マスタ!$G$6:$G$405,$AP1789)&gt;EOMONTH($AQ1789,0)),AND(INDEX(職員マスタ!$H$6:$H$405,$AP1789)&lt;&gt;"",INDEX(職員マスタ!$H$6:$H$405,$AP1789)&lt;$AQ1789))),"対象月が時短期間外／","")&amp;IF(AND(INDEX(職員マスタ!$K$6:$K$405,$AP1789)&lt;&gt;"",N($W1789)&gt;0,INDEX(職員マスタ!$K$6:$K$405,$AP1789)&lt;&gt;$W1789),"標準報酬月額が申請書と相違（台帳"&amp;TEXT(INDEX(職員マスタ!$K$6:$K$405,$AP1789),"#,##0")&amp;"円／申請書"&amp;TEXT($W1789,"#,##0")&amp;"円）／","")&amp;IF(AND(INDEX(職員マスタ!$F$6:$F$405,$AP1789)&lt;&gt;"",$AQ1789&lt;&gt;"",INDEX(職員マスタ!$F$6:$F$405,$AP1789)&lt;$AQ1789),"対象月に子が2歳到達済／","")&amp;IF(AND($H1789&lt;&gt;"",INDEX(職員マスタ!$B$6:$B$405,$AP1789)&lt;&gt;"",SUBSTITUTE(SUBSTITUTE($H1789," ","")," ","")&lt;&gt;SUBSTITUTE(SUBSTITUTE(INDEX(職員マスタ!$B$6:$B$405,$AP1789)," ","")," ","")),"氏名がマスタと相違／","")&amp;IF(AND($Q1789&lt;&gt;"",INDEX(職員マスタ!$E$6:$E$405,$AP1789)&lt;&gt;"",$Q1789&lt;&gt;INDEX(職員マスタ!$E$6:$E$405,$AP1789)),"子の生年月日がマスタと相違／","")&amp;IF(AND($L1789&lt;&gt;"",INDEX(職員マスタ!$G$6:$G$405,$AP1789)&lt;&gt;"",$L1789&lt;&gt;INDEX(職員マスタ!$G$6:$G$405,$AP1789)),"時短開始日がマスタと相違／","")&amp;IF(AND($M1789&lt;&gt;"",INDEX(職員マスタ!$H$6:$H$405,$AP1789)&lt;&gt;"",$M1789&lt;&gt;INDEX(職員マスタ!$H$6:$H$405,$AP1789)),"時短終了日がマスタと相違／","")))&amp;IF(AND($B1789&lt;&gt;"",$E1789=""),"報酬額が未入力／","")&amp;IF(N($U1789)&gt;0,"申請書に入力エラーが残っています／","")&amp;IF(AND($B1789&lt;&gt;"",$AQ1789&lt;&gt;""),IF(COUNTIFS($B$6:$B$3005,$B1789,$C$6:$C$3005,$C1789,$D$6:$D$3005,$D1789)&gt;1,"同じ月の請求が重複しています／",""),"")&amp;IF(AND(N($E1789)&gt;0,$AB1789&lt;&gt;"",$AB1789&lt;&gt;"×",$AE1789=0,$AD1789=""),"計算額が下限以下のため不支給／",""))</f>
        <v/>
      </c>
      <c r="AN1789" s="12" t="n"/>
      <c r="AO1789" s="14">
        <f>IF($AF1789="保留中",COUNTIF($AF$6:$AF1789,"保留中"),"")</f>
        <v/>
      </c>
      <c r="AP1789" s="14">
        <f>IF($AQ1789="","",IF(SUMPRODUCT(MAX((職員マスタ!$A$6:$A$405=$B1789)*(((職員マスタ!$G$6:$G$405="")+(職員マスタ!$G$6:$G$405&lt;=EOMONTH($AQ1789,0)))&gt;0)*(((職員マスタ!$H$6:$H$405="")+(職員マスタ!$H$6:$H$405&gt;=$AQ1789))&gt;0)*(ROW(職員マスタ!$A$6:$A$405)-5)))&gt;0,SUMPRODUCT(MAX((職員マスタ!$A$6:$A$405=$B1789)*(((職員マスタ!$G$6:$G$405="")+(職員マスタ!$G$6:$G$405&lt;=EOMONTH($AQ1789,0)))&gt;0)*(((職員マスタ!$H$6:$H$405="")+(職員マスタ!$H$6:$H$405&gt;=$AQ1789))&gt;0)*(ROW(職員マスタ!$A$6:$A$405)-5))),IFERROR(MATCH($B1789,職員マスタ!$A$6:$A$405,0),"")))</f>
        <v/>
      </c>
      <c r="AQ1789" s="16">
        <f>IF(OR($B1789="",$C1789="",$D1789=""),"",DATE($C1789+2018,$D1789,1))</f>
        <v/>
      </c>
    </row>
    <row r="1790">
      <c r="A1790" s="11" t="n"/>
      <c r="B1790" s="12" t="n"/>
      <c r="C1790" s="12" t="n"/>
      <c r="D1790" s="12" t="n"/>
      <c r="E1790" s="13" t="n"/>
      <c r="F1790" s="12" t="n"/>
      <c r="G1790" s="13" t="n"/>
      <c r="H1790" s="12" t="n"/>
      <c r="I1790" s="12" t="n"/>
      <c r="J1790" s="12" t="n"/>
      <c r="K1790" s="12" t="n"/>
      <c r="L1790" s="11" t="n"/>
      <c r="M1790" s="11" t="n"/>
      <c r="N1790" s="11" t="n"/>
      <c r="O1790" s="11" t="n"/>
      <c r="P1790" s="12" t="n"/>
      <c r="Q1790" s="11" t="n"/>
      <c r="R1790" s="12" t="n"/>
      <c r="S1790" s="11" t="n"/>
      <c r="T1790" s="12" t="n"/>
      <c r="U1790" s="12" t="n"/>
      <c r="V1790" s="12" t="n"/>
      <c r="W1790" s="13" t="n"/>
      <c r="X1790" s="14">
        <f>IF($AP1790="",IF($B1790="","",$H1790),IF(INDEX(職員マスタ!$B$6:$B$405,$AP1790)="",$H1790,INDEX(職員マスタ!$B$6:$B$405,$AP1790)))</f>
        <v/>
      </c>
      <c r="Y1790" s="14">
        <f>IF($AP1790="",IF($B1790="","",$R1790),IF(INDEX(職員マスタ!$C$6:$C$405,$AP1790)="",$R1790,INDEX(職員マスタ!$C$6:$C$405,$AP1790)))</f>
        <v/>
      </c>
      <c r="Z1790" s="14">
        <f>IF($AQ1790="","","R"&amp;$C1790&amp;"."&amp;$D1790)</f>
        <v/>
      </c>
      <c r="AA1790" s="15">
        <f>IF(IF($AP1790="",FALSE,INDEX(職員マスタ!$K$6:$K$405,$AP1790)&lt;&gt;""),INDEX(職員マスタ!$K$6:$K$405,$AP1790),IF(N($W1790)&gt;0,$W1790,""))</f>
        <v/>
      </c>
      <c r="AB1790" s="14">
        <f>IF(OR($E1790="",$AA1790=""),"",IF($E1790&gt;=$AA1790,"×",IF($E1790&gt;=$AA1790*設定!$C$5,"△","○")))</f>
        <v/>
      </c>
      <c r="AC1790" s="15">
        <f>IF($AB1790="","",IF($AB1790="×",0,IF($AB1790="○",ROUNDDOWN($E1790*設定!$C$4,0),ROUNDDOWN($E1790*ROUND((9*$AA1790-9*$E1790)/(10*$E1790),4),0))))</f>
        <v/>
      </c>
      <c r="AD1790" s="13" t="n"/>
      <c r="AE1790" s="15">
        <f>IF($B1790="","",IF($AD1790&lt;&gt;"",$AD1790,IF($AC1790="","",IF($AC1790&lt;=設定!$C$3,0,$AC1790))))</f>
        <v/>
      </c>
      <c r="AF1790" s="14">
        <f>IF($B1790="","",IF(AND($AG1790&lt;&gt;"",$AI1790="",$AL1790=""),"保留中",IF($AL1790&lt;&gt;"",IF(N($AE1790)&gt;0,"支給済","不支給"),IF($AE1790="","要確認",IF($AE1790=0,"不支給","未処理")))))</f>
        <v/>
      </c>
      <c r="AG1790" s="12" t="n"/>
      <c r="AH1790" s="11" t="n"/>
      <c r="AI1790" s="11" t="n"/>
      <c r="AJ1790" s="11" t="n"/>
      <c r="AK1790" s="14">
        <f>IF(AND($AF1790="保留中",$AH1790&lt;&gt;""),TODAY()-$AH1790,"")</f>
        <v/>
      </c>
      <c r="AL1790" s="12" t="n"/>
      <c r="AM1790" s="14">
        <f>IF($B1790="","",IF($AQ1790="","対象年月が未入力／","")&amp;IF($B1790="","",IF($AP1790="","職員マスタに未登録の職員番号／",IF($AA1790="","標準報酬月額が未登録／","")&amp;IF(AND($AQ1790&lt;&gt;"",OR(AND(INDEX(職員マスタ!$G$6:$G$405,$AP1790)&lt;&gt;"",INDEX(職員マスタ!$G$6:$G$405,$AP1790)&gt;EOMONTH($AQ1790,0)),AND(INDEX(職員マスタ!$H$6:$H$405,$AP1790)&lt;&gt;"",INDEX(職員マスタ!$H$6:$H$405,$AP1790)&lt;$AQ1790))),"対象月が時短期間外／","")&amp;IF(AND(INDEX(職員マスタ!$K$6:$K$405,$AP1790)&lt;&gt;"",N($W1790)&gt;0,INDEX(職員マスタ!$K$6:$K$405,$AP1790)&lt;&gt;$W1790),"標準報酬月額が申請書と相違（台帳"&amp;TEXT(INDEX(職員マスタ!$K$6:$K$405,$AP1790),"#,##0")&amp;"円／申請書"&amp;TEXT($W1790,"#,##0")&amp;"円）／","")&amp;IF(AND(INDEX(職員マスタ!$F$6:$F$405,$AP1790)&lt;&gt;"",$AQ1790&lt;&gt;"",INDEX(職員マスタ!$F$6:$F$405,$AP1790)&lt;$AQ1790),"対象月に子が2歳到達済／","")&amp;IF(AND($H1790&lt;&gt;"",INDEX(職員マスタ!$B$6:$B$405,$AP1790)&lt;&gt;"",SUBSTITUTE(SUBSTITUTE($H1790," ","")," ","")&lt;&gt;SUBSTITUTE(SUBSTITUTE(INDEX(職員マスタ!$B$6:$B$405,$AP1790)," ","")," ","")),"氏名がマスタと相違／","")&amp;IF(AND($Q1790&lt;&gt;"",INDEX(職員マスタ!$E$6:$E$405,$AP1790)&lt;&gt;"",$Q1790&lt;&gt;INDEX(職員マスタ!$E$6:$E$405,$AP1790)),"子の生年月日がマスタと相違／","")&amp;IF(AND($L1790&lt;&gt;"",INDEX(職員マスタ!$G$6:$G$405,$AP1790)&lt;&gt;"",$L1790&lt;&gt;INDEX(職員マスタ!$G$6:$G$405,$AP1790)),"時短開始日がマスタと相違／","")&amp;IF(AND($M1790&lt;&gt;"",INDEX(職員マスタ!$H$6:$H$405,$AP1790)&lt;&gt;"",$M1790&lt;&gt;INDEX(職員マスタ!$H$6:$H$405,$AP1790)),"時短終了日がマスタと相違／","")))&amp;IF(AND($B1790&lt;&gt;"",$E1790=""),"報酬額が未入力／","")&amp;IF(N($U1790)&gt;0,"申請書に入力エラーが残っています／","")&amp;IF(AND($B1790&lt;&gt;"",$AQ1790&lt;&gt;""),IF(COUNTIFS($B$6:$B$3005,$B1790,$C$6:$C$3005,$C1790,$D$6:$D$3005,$D1790)&gt;1,"同じ月の請求が重複しています／",""),"")&amp;IF(AND(N($E1790)&gt;0,$AB1790&lt;&gt;"",$AB1790&lt;&gt;"×",$AE1790=0,$AD1790=""),"計算額が下限以下のため不支給／",""))</f>
        <v/>
      </c>
      <c r="AN1790" s="12" t="n"/>
      <c r="AO1790" s="14">
        <f>IF($AF1790="保留中",COUNTIF($AF$6:$AF1790,"保留中"),"")</f>
        <v/>
      </c>
      <c r="AP1790" s="14">
        <f>IF($AQ1790="","",IF(SUMPRODUCT(MAX((職員マスタ!$A$6:$A$405=$B1790)*(((職員マスタ!$G$6:$G$405="")+(職員マスタ!$G$6:$G$405&lt;=EOMONTH($AQ1790,0)))&gt;0)*(((職員マスタ!$H$6:$H$405="")+(職員マスタ!$H$6:$H$405&gt;=$AQ1790))&gt;0)*(ROW(職員マスタ!$A$6:$A$405)-5)))&gt;0,SUMPRODUCT(MAX((職員マスタ!$A$6:$A$405=$B1790)*(((職員マスタ!$G$6:$G$405="")+(職員マスタ!$G$6:$G$405&lt;=EOMONTH($AQ1790,0)))&gt;0)*(((職員マスタ!$H$6:$H$405="")+(職員マスタ!$H$6:$H$405&gt;=$AQ1790))&gt;0)*(ROW(職員マスタ!$A$6:$A$405)-5))),IFERROR(MATCH($B1790,職員マスタ!$A$6:$A$405,0),"")))</f>
        <v/>
      </c>
      <c r="AQ1790" s="16">
        <f>IF(OR($B1790="",$C1790="",$D1790=""),"",DATE($C1790+2018,$D1790,1))</f>
        <v/>
      </c>
    </row>
    <row r="1791">
      <c r="A1791" s="11" t="n"/>
      <c r="B1791" s="12" t="n"/>
      <c r="C1791" s="12" t="n"/>
      <c r="D1791" s="12" t="n"/>
      <c r="E1791" s="13" t="n"/>
      <c r="F1791" s="12" t="n"/>
      <c r="G1791" s="13" t="n"/>
      <c r="H1791" s="12" t="n"/>
      <c r="I1791" s="12" t="n"/>
      <c r="J1791" s="12" t="n"/>
      <c r="K1791" s="12" t="n"/>
      <c r="L1791" s="11" t="n"/>
      <c r="M1791" s="11" t="n"/>
      <c r="N1791" s="11" t="n"/>
      <c r="O1791" s="11" t="n"/>
      <c r="P1791" s="12" t="n"/>
      <c r="Q1791" s="11" t="n"/>
      <c r="R1791" s="12" t="n"/>
      <c r="S1791" s="11" t="n"/>
      <c r="T1791" s="12" t="n"/>
      <c r="U1791" s="12" t="n"/>
      <c r="V1791" s="12" t="n"/>
      <c r="W1791" s="13" t="n"/>
      <c r="X1791" s="14">
        <f>IF($AP1791="",IF($B1791="","",$H1791),IF(INDEX(職員マスタ!$B$6:$B$405,$AP1791)="",$H1791,INDEX(職員マスタ!$B$6:$B$405,$AP1791)))</f>
        <v/>
      </c>
      <c r="Y1791" s="14">
        <f>IF($AP1791="",IF($B1791="","",$R1791),IF(INDEX(職員マスタ!$C$6:$C$405,$AP1791)="",$R1791,INDEX(職員マスタ!$C$6:$C$405,$AP1791)))</f>
        <v/>
      </c>
      <c r="Z1791" s="14">
        <f>IF($AQ1791="","","R"&amp;$C1791&amp;"."&amp;$D1791)</f>
        <v/>
      </c>
      <c r="AA1791" s="15">
        <f>IF(IF($AP1791="",FALSE,INDEX(職員マスタ!$K$6:$K$405,$AP1791)&lt;&gt;""),INDEX(職員マスタ!$K$6:$K$405,$AP1791),IF(N($W1791)&gt;0,$W1791,""))</f>
        <v/>
      </c>
      <c r="AB1791" s="14">
        <f>IF(OR($E1791="",$AA1791=""),"",IF($E1791&gt;=$AA1791,"×",IF($E1791&gt;=$AA1791*設定!$C$5,"△","○")))</f>
        <v/>
      </c>
      <c r="AC1791" s="15">
        <f>IF($AB1791="","",IF($AB1791="×",0,IF($AB1791="○",ROUNDDOWN($E1791*設定!$C$4,0),ROUNDDOWN($E1791*ROUND((9*$AA1791-9*$E1791)/(10*$E1791),4),0))))</f>
        <v/>
      </c>
      <c r="AD1791" s="13" t="n"/>
      <c r="AE1791" s="15">
        <f>IF($B1791="","",IF($AD1791&lt;&gt;"",$AD1791,IF($AC1791="","",IF($AC1791&lt;=設定!$C$3,0,$AC1791))))</f>
        <v/>
      </c>
      <c r="AF1791" s="14">
        <f>IF($B1791="","",IF(AND($AG1791&lt;&gt;"",$AI1791="",$AL1791=""),"保留中",IF($AL1791&lt;&gt;"",IF(N($AE1791)&gt;0,"支給済","不支給"),IF($AE1791="","要確認",IF($AE1791=0,"不支給","未処理")))))</f>
        <v/>
      </c>
      <c r="AG1791" s="12" t="n"/>
      <c r="AH1791" s="11" t="n"/>
      <c r="AI1791" s="11" t="n"/>
      <c r="AJ1791" s="11" t="n"/>
      <c r="AK1791" s="14">
        <f>IF(AND($AF1791="保留中",$AH1791&lt;&gt;""),TODAY()-$AH1791,"")</f>
        <v/>
      </c>
      <c r="AL1791" s="12" t="n"/>
      <c r="AM1791" s="14">
        <f>IF($B1791="","",IF($AQ1791="","対象年月が未入力／","")&amp;IF($B1791="","",IF($AP1791="","職員マスタに未登録の職員番号／",IF($AA1791="","標準報酬月額が未登録／","")&amp;IF(AND($AQ1791&lt;&gt;"",OR(AND(INDEX(職員マスタ!$G$6:$G$405,$AP1791)&lt;&gt;"",INDEX(職員マスタ!$G$6:$G$405,$AP1791)&gt;EOMONTH($AQ1791,0)),AND(INDEX(職員マスタ!$H$6:$H$405,$AP1791)&lt;&gt;"",INDEX(職員マスタ!$H$6:$H$405,$AP1791)&lt;$AQ1791))),"対象月が時短期間外／","")&amp;IF(AND(INDEX(職員マスタ!$K$6:$K$405,$AP1791)&lt;&gt;"",N($W1791)&gt;0,INDEX(職員マスタ!$K$6:$K$405,$AP1791)&lt;&gt;$W1791),"標準報酬月額が申請書と相違（台帳"&amp;TEXT(INDEX(職員マスタ!$K$6:$K$405,$AP1791),"#,##0")&amp;"円／申請書"&amp;TEXT($W1791,"#,##0")&amp;"円）／","")&amp;IF(AND(INDEX(職員マスタ!$F$6:$F$405,$AP1791)&lt;&gt;"",$AQ1791&lt;&gt;"",INDEX(職員マスタ!$F$6:$F$405,$AP1791)&lt;$AQ1791),"対象月に子が2歳到達済／","")&amp;IF(AND($H1791&lt;&gt;"",INDEX(職員マスタ!$B$6:$B$405,$AP1791)&lt;&gt;"",SUBSTITUTE(SUBSTITUTE($H1791," ","")," ","")&lt;&gt;SUBSTITUTE(SUBSTITUTE(INDEX(職員マスタ!$B$6:$B$405,$AP1791)," ","")," ","")),"氏名がマスタと相違／","")&amp;IF(AND($Q1791&lt;&gt;"",INDEX(職員マスタ!$E$6:$E$405,$AP1791)&lt;&gt;"",$Q1791&lt;&gt;INDEX(職員マスタ!$E$6:$E$405,$AP1791)),"子の生年月日がマスタと相違／","")&amp;IF(AND($L1791&lt;&gt;"",INDEX(職員マスタ!$G$6:$G$405,$AP1791)&lt;&gt;"",$L1791&lt;&gt;INDEX(職員マスタ!$G$6:$G$405,$AP1791)),"時短開始日がマスタと相違／","")&amp;IF(AND($M1791&lt;&gt;"",INDEX(職員マスタ!$H$6:$H$405,$AP1791)&lt;&gt;"",$M1791&lt;&gt;INDEX(職員マスタ!$H$6:$H$405,$AP1791)),"時短終了日がマスタと相違／","")))&amp;IF(AND($B1791&lt;&gt;"",$E1791=""),"報酬額が未入力／","")&amp;IF(N($U1791)&gt;0,"申請書に入力エラーが残っています／","")&amp;IF(AND($B1791&lt;&gt;"",$AQ1791&lt;&gt;""),IF(COUNTIFS($B$6:$B$3005,$B1791,$C$6:$C$3005,$C1791,$D$6:$D$3005,$D1791)&gt;1,"同じ月の請求が重複しています／",""),"")&amp;IF(AND(N($E1791)&gt;0,$AB1791&lt;&gt;"",$AB1791&lt;&gt;"×",$AE1791=0,$AD1791=""),"計算額が下限以下のため不支給／",""))</f>
        <v/>
      </c>
      <c r="AN1791" s="12" t="n"/>
      <c r="AO1791" s="14">
        <f>IF($AF1791="保留中",COUNTIF($AF$6:$AF1791,"保留中"),"")</f>
        <v/>
      </c>
      <c r="AP1791" s="14">
        <f>IF($AQ1791="","",IF(SUMPRODUCT(MAX((職員マスタ!$A$6:$A$405=$B1791)*(((職員マスタ!$G$6:$G$405="")+(職員マスタ!$G$6:$G$405&lt;=EOMONTH($AQ1791,0)))&gt;0)*(((職員マスタ!$H$6:$H$405="")+(職員マスタ!$H$6:$H$405&gt;=$AQ1791))&gt;0)*(ROW(職員マスタ!$A$6:$A$405)-5)))&gt;0,SUMPRODUCT(MAX((職員マスタ!$A$6:$A$405=$B1791)*(((職員マスタ!$G$6:$G$405="")+(職員マスタ!$G$6:$G$405&lt;=EOMONTH($AQ1791,0)))&gt;0)*(((職員マスタ!$H$6:$H$405="")+(職員マスタ!$H$6:$H$405&gt;=$AQ1791))&gt;0)*(ROW(職員マスタ!$A$6:$A$405)-5))),IFERROR(MATCH($B1791,職員マスタ!$A$6:$A$405,0),"")))</f>
        <v/>
      </c>
      <c r="AQ1791" s="16">
        <f>IF(OR($B1791="",$C1791="",$D1791=""),"",DATE($C1791+2018,$D1791,1))</f>
        <v/>
      </c>
    </row>
    <row r="1792">
      <c r="A1792" s="11" t="n"/>
      <c r="B1792" s="12" t="n"/>
      <c r="C1792" s="12" t="n"/>
      <c r="D1792" s="12" t="n"/>
      <c r="E1792" s="13" t="n"/>
      <c r="F1792" s="12" t="n"/>
      <c r="G1792" s="13" t="n"/>
      <c r="H1792" s="12" t="n"/>
      <c r="I1792" s="12" t="n"/>
      <c r="J1792" s="12" t="n"/>
      <c r="K1792" s="12" t="n"/>
      <c r="L1792" s="11" t="n"/>
      <c r="M1792" s="11" t="n"/>
      <c r="N1792" s="11" t="n"/>
      <c r="O1792" s="11" t="n"/>
      <c r="P1792" s="12" t="n"/>
      <c r="Q1792" s="11" t="n"/>
      <c r="R1792" s="12" t="n"/>
      <c r="S1792" s="11" t="n"/>
      <c r="T1792" s="12" t="n"/>
      <c r="U1792" s="12" t="n"/>
      <c r="V1792" s="12" t="n"/>
      <c r="W1792" s="13" t="n"/>
      <c r="X1792" s="14">
        <f>IF($AP1792="",IF($B1792="","",$H1792),IF(INDEX(職員マスタ!$B$6:$B$405,$AP1792)="",$H1792,INDEX(職員マスタ!$B$6:$B$405,$AP1792)))</f>
        <v/>
      </c>
      <c r="Y1792" s="14">
        <f>IF($AP1792="",IF($B1792="","",$R1792),IF(INDEX(職員マスタ!$C$6:$C$405,$AP1792)="",$R1792,INDEX(職員マスタ!$C$6:$C$405,$AP1792)))</f>
        <v/>
      </c>
      <c r="Z1792" s="14">
        <f>IF($AQ1792="","","R"&amp;$C1792&amp;"."&amp;$D1792)</f>
        <v/>
      </c>
      <c r="AA1792" s="15">
        <f>IF(IF($AP1792="",FALSE,INDEX(職員マスタ!$K$6:$K$405,$AP1792)&lt;&gt;""),INDEX(職員マスタ!$K$6:$K$405,$AP1792),IF(N($W1792)&gt;0,$W1792,""))</f>
        <v/>
      </c>
      <c r="AB1792" s="14">
        <f>IF(OR($E1792="",$AA1792=""),"",IF($E1792&gt;=$AA1792,"×",IF($E1792&gt;=$AA1792*設定!$C$5,"△","○")))</f>
        <v/>
      </c>
      <c r="AC1792" s="15">
        <f>IF($AB1792="","",IF($AB1792="×",0,IF($AB1792="○",ROUNDDOWN($E1792*設定!$C$4,0),ROUNDDOWN($E1792*ROUND((9*$AA1792-9*$E1792)/(10*$E1792),4),0))))</f>
        <v/>
      </c>
      <c r="AD1792" s="13" t="n"/>
      <c r="AE1792" s="15">
        <f>IF($B1792="","",IF($AD1792&lt;&gt;"",$AD1792,IF($AC1792="","",IF($AC1792&lt;=設定!$C$3,0,$AC1792))))</f>
        <v/>
      </c>
      <c r="AF1792" s="14">
        <f>IF($B1792="","",IF(AND($AG1792&lt;&gt;"",$AI1792="",$AL1792=""),"保留中",IF($AL1792&lt;&gt;"",IF(N($AE1792)&gt;0,"支給済","不支給"),IF($AE1792="","要確認",IF($AE1792=0,"不支給","未処理")))))</f>
        <v/>
      </c>
      <c r="AG1792" s="12" t="n"/>
      <c r="AH1792" s="11" t="n"/>
      <c r="AI1792" s="11" t="n"/>
      <c r="AJ1792" s="11" t="n"/>
      <c r="AK1792" s="14">
        <f>IF(AND($AF1792="保留中",$AH1792&lt;&gt;""),TODAY()-$AH1792,"")</f>
        <v/>
      </c>
      <c r="AL1792" s="12" t="n"/>
      <c r="AM1792" s="14">
        <f>IF($B1792="","",IF($AQ1792="","対象年月が未入力／","")&amp;IF($B1792="","",IF($AP1792="","職員マスタに未登録の職員番号／",IF($AA1792="","標準報酬月額が未登録／","")&amp;IF(AND($AQ1792&lt;&gt;"",OR(AND(INDEX(職員マスタ!$G$6:$G$405,$AP1792)&lt;&gt;"",INDEX(職員マスタ!$G$6:$G$405,$AP1792)&gt;EOMONTH($AQ1792,0)),AND(INDEX(職員マスタ!$H$6:$H$405,$AP1792)&lt;&gt;"",INDEX(職員マスタ!$H$6:$H$405,$AP1792)&lt;$AQ1792))),"対象月が時短期間外／","")&amp;IF(AND(INDEX(職員マスタ!$K$6:$K$405,$AP1792)&lt;&gt;"",N($W1792)&gt;0,INDEX(職員マスタ!$K$6:$K$405,$AP1792)&lt;&gt;$W1792),"標準報酬月額が申請書と相違（台帳"&amp;TEXT(INDEX(職員マスタ!$K$6:$K$405,$AP1792),"#,##0")&amp;"円／申請書"&amp;TEXT($W1792,"#,##0")&amp;"円）／","")&amp;IF(AND(INDEX(職員マスタ!$F$6:$F$405,$AP1792)&lt;&gt;"",$AQ1792&lt;&gt;"",INDEX(職員マスタ!$F$6:$F$405,$AP1792)&lt;$AQ1792),"対象月に子が2歳到達済／","")&amp;IF(AND($H1792&lt;&gt;"",INDEX(職員マスタ!$B$6:$B$405,$AP1792)&lt;&gt;"",SUBSTITUTE(SUBSTITUTE($H1792," ","")," ","")&lt;&gt;SUBSTITUTE(SUBSTITUTE(INDEX(職員マスタ!$B$6:$B$405,$AP1792)," ","")," ","")),"氏名がマスタと相違／","")&amp;IF(AND($Q1792&lt;&gt;"",INDEX(職員マスタ!$E$6:$E$405,$AP1792)&lt;&gt;"",$Q1792&lt;&gt;INDEX(職員マスタ!$E$6:$E$405,$AP1792)),"子の生年月日がマスタと相違／","")&amp;IF(AND($L1792&lt;&gt;"",INDEX(職員マスタ!$G$6:$G$405,$AP1792)&lt;&gt;"",$L1792&lt;&gt;INDEX(職員マスタ!$G$6:$G$405,$AP1792)),"時短開始日がマスタと相違／","")&amp;IF(AND($M1792&lt;&gt;"",INDEX(職員マスタ!$H$6:$H$405,$AP1792)&lt;&gt;"",$M1792&lt;&gt;INDEX(職員マスタ!$H$6:$H$405,$AP1792)),"時短終了日がマスタと相違／","")))&amp;IF(AND($B1792&lt;&gt;"",$E1792=""),"報酬額が未入力／","")&amp;IF(N($U1792)&gt;0,"申請書に入力エラーが残っています／","")&amp;IF(AND($B1792&lt;&gt;"",$AQ1792&lt;&gt;""),IF(COUNTIFS($B$6:$B$3005,$B1792,$C$6:$C$3005,$C1792,$D$6:$D$3005,$D1792)&gt;1,"同じ月の請求が重複しています／",""),"")&amp;IF(AND(N($E1792)&gt;0,$AB1792&lt;&gt;"",$AB1792&lt;&gt;"×",$AE1792=0,$AD1792=""),"計算額が下限以下のため不支給／",""))</f>
        <v/>
      </c>
      <c r="AN1792" s="12" t="n"/>
      <c r="AO1792" s="14">
        <f>IF($AF1792="保留中",COUNTIF($AF$6:$AF1792,"保留中"),"")</f>
        <v/>
      </c>
      <c r="AP1792" s="14">
        <f>IF($AQ1792="","",IF(SUMPRODUCT(MAX((職員マスタ!$A$6:$A$405=$B1792)*(((職員マスタ!$G$6:$G$405="")+(職員マスタ!$G$6:$G$405&lt;=EOMONTH($AQ1792,0)))&gt;0)*(((職員マスタ!$H$6:$H$405="")+(職員マスタ!$H$6:$H$405&gt;=$AQ1792))&gt;0)*(ROW(職員マスタ!$A$6:$A$405)-5)))&gt;0,SUMPRODUCT(MAX((職員マスタ!$A$6:$A$405=$B1792)*(((職員マスタ!$G$6:$G$405="")+(職員マスタ!$G$6:$G$405&lt;=EOMONTH($AQ1792,0)))&gt;0)*(((職員マスタ!$H$6:$H$405="")+(職員マスタ!$H$6:$H$405&gt;=$AQ1792))&gt;0)*(ROW(職員マスタ!$A$6:$A$405)-5))),IFERROR(MATCH($B1792,職員マスタ!$A$6:$A$405,0),"")))</f>
        <v/>
      </c>
      <c r="AQ1792" s="16">
        <f>IF(OR($B1792="",$C1792="",$D1792=""),"",DATE($C1792+2018,$D1792,1))</f>
        <v/>
      </c>
    </row>
    <row r="1793">
      <c r="A1793" s="11" t="n"/>
      <c r="B1793" s="12" t="n"/>
      <c r="C1793" s="12" t="n"/>
      <c r="D1793" s="12" t="n"/>
      <c r="E1793" s="13" t="n"/>
      <c r="F1793" s="12" t="n"/>
      <c r="G1793" s="13" t="n"/>
      <c r="H1793" s="12" t="n"/>
      <c r="I1793" s="12" t="n"/>
      <c r="J1793" s="12" t="n"/>
      <c r="K1793" s="12" t="n"/>
      <c r="L1793" s="11" t="n"/>
      <c r="M1793" s="11" t="n"/>
      <c r="N1793" s="11" t="n"/>
      <c r="O1793" s="11" t="n"/>
      <c r="P1793" s="12" t="n"/>
      <c r="Q1793" s="11" t="n"/>
      <c r="R1793" s="12" t="n"/>
      <c r="S1793" s="11" t="n"/>
      <c r="T1793" s="12" t="n"/>
      <c r="U1793" s="12" t="n"/>
      <c r="V1793" s="12" t="n"/>
      <c r="W1793" s="13" t="n"/>
      <c r="X1793" s="14">
        <f>IF($AP1793="",IF($B1793="","",$H1793),IF(INDEX(職員マスタ!$B$6:$B$405,$AP1793)="",$H1793,INDEX(職員マスタ!$B$6:$B$405,$AP1793)))</f>
        <v/>
      </c>
      <c r="Y1793" s="14">
        <f>IF($AP1793="",IF($B1793="","",$R1793),IF(INDEX(職員マスタ!$C$6:$C$405,$AP1793)="",$R1793,INDEX(職員マスタ!$C$6:$C$405,$AP1793)))</f>
        <v/>
      </c>
      <c r="Z1793" s="14">
        <f>IF($AQ1793="","","R"&amp;$C1793&amp;"."&amp;$D1793)</f>
        <v/>
      </c>
      <c r="AA1793" s="15">
        <f>IF(IF($AP1793="",FALSE,INDEX(職員マスタ!$K$6:$K$405,$AP1793)&lt;&gt;""),INDEX(職員マスタ!$K$6:$K$405,$AP1793),IF(N($W1793)&gt;0,$W1793,""))</f>
        <v/>
      </c>
      <c r="AB1793" s="14">
        <f>IF(OR($E1793="",$AA1793=""),"",IF($E1793&gt;=$AA1793,"×",IF($E1793&gt;=$AA1793*設定!$C$5,"△","○")))</f>
        <v/>
      </c>
      <c r="AC1793" s="15">
        <f>IF($AB1793="","",IF($AB1793="×",0,IF($AB1793="○",ROUNDDOWN($E1793*設定!$C$4,0),ROUNDDOWN($E1793*ROUND((9*$AA1793-9*$E1793)/(10*$E1793),4),0))))</f>
        <v/>
      </c>
      <c r="AD1793" s="13" t="n"/>
      <c r="AE1793" s="15">
        <f>IF($B1793="","",IF($AD1793&lt;&gt;"",$AD1793,IF($AC1793="","",IF($AC1793&lt;=設定!$C$3,0,$AC1793))))</f>
        <v/>
      </c>
      <c r="AF1793" s="14">
        <f>IF($B1793="","",IF(AND($AG1793&lt;&gt;"",$AI1793="",$AL1793=""),"保留中",IF($AL1793&lt;&gt;"",IF(N($AE1793)&gt;0,"支給済","不支給"),IF($AE1793="","要確認",IF($AE1793=0,"不支給","未処理")))))</f>
        <v/>
      </c>
      <c r="AG1793" s="12" t="n"/>
      <c r="AH1793" s="11" t="n"/>
      <c r="AI1793" s="11" t="n"/>
      <c r="AJ1793" s="11" t="n"/>
      <c r="AK1793" s="14">
        <f>IF(AND($AF1793="保留中",$AH1793&lt;&gt;""),TODAY()-$AH1793,"")</f>
        <v/>
      </c>
      <c r="AL1793" s="12" t="n"/>
      <c r="AM1793" s="14">
        <f>IF($B1793="","",IF($AQ1793="","対象年月が未入力／","")&amp;IF($B1793="","",IF($AP1793="","職員マスタに未登録の職員番号／",IF($AA1793="","標準報酬月額が未登録／","")&amp;IF(AND($AQ1793&lt;&gt;"",OR(AND(INDEX(職員マスタ!$G$6:$G$405,$AP1793)&lt;&gt;"",INDEX(職員マスタ!$G$6:$G$405,$AP1793)&gt;EOMONTH($AQ1793,0)),AND(INDEX(職員マスタ!$H$6:$H$405,$AP1793)&lt;&gt;"",INDEX(職員マスタ!$H$6:$H$405,$AP1793)&lt;$AQ1793))),"対象月が時短期間外／","")&amp;IF(AND(INDEX(職員マスタ!$K$6:$K$405,$AP1793)&lt;&gt;"",N($W1793)&gt;0,INDEX(職員マスタ!$K$6:$K$405,$AP1793)&lt;&gt;$W1793),"標準報酬月額が申請書と相違（台帳"&amp;TEXT(INDEX(職員マスタ!$K$6:$K$405,$AP1793),"#,##0")&amp;"円／申請書"&amp;TEXT($W1793,"#,##0")&amp;"円）／","")&amp;IF(AND(INDEX(職員マスタ!$F$6:$F$405,$AP1793)&lt;&gt;"",$AQ1793&lt;&gt;"",INDEX(職員マスタ!$F$6:$F$405,$AP1793)&lt;$AQ1793),"対象月に子が2歳到達済／","")&amp;IF(AND($H1793&lt;&gt;"",INDEX(職員マスタ!$B$6:$B$405,$AP1793)&lt;&gt;"",SUBSTITUTE(SUBSTITUTE($H1793," ","")," ","")&lt;&gt;SUBSTITUTE(SUBSTITUTE(INDEX(職員マスタ!$B$6:$B$405,$AP1793)," ","")," ","")),"氏名がマスタと相違／","")&amp;IF(AND($Q1793&lt;&gt;"",INDEX(職員マスタ!$E$6:$E$405,$AP1793)&lt;&gt;"",$Q1793&lt;&gt;INDEX(職員マスタ!$E$6:$E$405,$AP1793)),"子の生年月日がマスタと相違／","")&amp;IF(AND($L1793&lt;&gt;"",INDEX(職員マスタ!$G$6:$G$405,$AP1793)&lt;&gt;"",$L1793&lt;&gt;INDEX(職員マスタ!$G$6:$G$405,$AP1793)),"時短開始日がマスタと相違／","")&amp;IF(AND($M1793&lt;&gt;"",INDEX(職員マスタ!$H$6:$H$405,$AP1793)&lt;&gt;"",$M1793&lt;&gt;INDEX(職員マスタ!$H$6:$H$405,$AP1793)),"時短終了日がマスタと相違／","")))&amp;IF(AND($B1793&lt;&gt;"",$E1793=""),"報酬額が未入力／","")&amp;IF(N($U1793)&gt;0,"申請書に入力エラーが残っています／","")&amp;IF(AND($B1793&lt;&gt;"",$AQ1793&lt;&gt;""),IF(COUNTIFS($B$6:$B$3005,$B1793,$C$6:$C$3005,$C1793,$D$6:$D$3005,$D1793)&gt;1,"同じ月の請求が重複しています／",""),"")&amp;IF(AND(N($E1793)&gt;0,$AB1793&lt;&gt;"",$AB1793&lt;&gt;"×",$AE1793=0,$AD1793=""),"計算額が下限以下のため不支給／",""))</f>
        <v/>
      </c>
      <c r="AN1793" s="12" t="n"/>
      <c r="AO1793" s="14">
        <f>IF($AF1793="保留中",COUNTIF($AF$6:$AF1793,"保留中"),"")</f>
        <v/>
      </c>
      <c r="AP1793" s="14">
        <f>IF($AQ1793="","",IF(SUMPRODUCT(MAX((職員マスタ!$A$6:$A$405=$B1793)*(((職員マスタ!$G$6:$G$405="")+(職員マスタ!$G$6:$G$405&lt;=EOMONTH($AQ1793,0)))&gt;0)*(((職員マスタ!$H$6:$H$405="")+(職員マスタ!$H$6:$H$405&gt;=$AQ1793))&gt;0)*(ROW(職員マスタ!$A$6:$A$405)-5)))&gt;0,SUMPRODUCT(MAX((職員マスタ!$A$6:$A$405=$B1793)*(((職員マスタ!$G$6:$G$405="")+(職員マスタ!$G$6:$G$405&lt;=EOMONTH($AQ1793,0)))&gt;0)*(((職員マスタ!$H$6:$H$405="")+(職員マスタ!$H$6:$H$405&gt;=$AQ1793))&gt;0)*(ROW(職員マスタ!$A$6:$A$405)-5))),IFERROR(MATCH($B1793,職員マスタ!$A$6:$A$405,0),"")))</f>
        <v/>
      </c>
      <c r="AQ1793" s="16">
        <f>IF(OR($B1793="",$C1793="",$D1793=""),"",DATE($C1793+2018,$D1793,1))</f>
        <v/>
      </c>
    </row>
    <row r="1794">
      <c r="A1794" s="11" t="n"/>
      <c r="B1794" s="12" t="n"/>
      <c r="C1794" s="12" t="n"/>
      <c r="D1794" s="12" t="n"/>
      <c r="E1794" s="13" t="n"/>
      <c r="F1794" s="12" t="n"/>
      <c r="G1794" s="13" t="n"/>
      <c r="H1794" s="12" t="n"/>
      <c r="I1794" s="12" t="n"/>
      <c r="J1794" s="12" t="n"/>
      <c r="K1794" s="12" t="n"/>
      <c r="L1794" s="11" t="n"/>
      <c r="M1794" s="11" t="n"/>
      <c r="N1794" s="11" t="n"/>
      <c r="O1794" s="11" t="n"/>
      <c r="P1794" s="12" t="n"/>
      <c r="Q1794" s="11" t="n"/>
      <c r="R1794" s="12" t="n"/>
      <c r="S1794" s="11" t="n"/>
      <c r="T1794" s="12" t="n"/>
      <c r="U1794" s="12" t="n"/>
      <c r="V1794" s="12" t="n"/>
      <c r="W1794" s="13" t="n"/>
      <c r="X1794" s="14">
        <f>IF($AP1794="",IF($B1794="","",$H1794),IF(INDEX(職員マスタ!$B$6:$B$405,$AP1794)="",$H1794,INDEX(職員マスタ!$B$6:$B$405,$AP1794)))</f>
        <v/>
      </c>
      <c r="Y1794" s="14">
        <f>IF($AP1794="",IF($B1794="","",$R1794),IF(INDEX(職員マスタ!$C$6:$C$405,$AP1794)="",$R1794,INDEX(職員マスタ!$C$6:$C$405,$AP1794)))</f>
        <v/>
      </c>
      <c r="Z1794" s="14">
        <f>IF($AQ1794="","","R"&amp;$C1794&amp;"."&amp;$D1794)</f>
        <v/>
      </c>
      <c r="AA1794" s="15">
        <f>IF(IF($AP1794="",FALSE,INDEX(職員マスタ!$K$6:$K$405,$AP1794)&lt;&gt;""),INDEX(職員マスタ!$K$6:$K$405,$AP1794),IF(N($W1794)&gt;0,$W1794,""))</f>
        <v/>
      </c>
      <c r="AB1794" s="14">
        <f>IF(OR($E1794="",$AA1794=""),"",IF($E1794&gt;=$AA1794,"×",IF($E1794&gt;=$AA1794*設定!$C$5,"△","○")))</f>
        <v/>
      </c>
      <c r="AC1794" s="15">
        <f>IF($AB1794="","",IF($AB1794="×",0,IF($AB1794="○",ROUNDDOWN($E1794*設定!$C$4,0),ROUNDDOWN($E1794*ROUND((9*$AA1794-9*$E1794)/(10*$E1794),4),0))))</f>
        <v/>
      </c>
      <c r="AD1794" s="13" t="n"/>
      <c r="AE1794" s="15">
        <f>IF($B1794="","",IF($AD1794&lt;&gt;"",$AD1794,IF($AC1794="","",IF($AC1794&lt;=設定!$C$3,0,$AC1794))))</f>
        <v/>
      </c>
      <c r="AF1794" s="14">
        <f>IF($B1794="","",IF(AND($AG1794&lt;&gt;"",$AI1794="",$AL1794=""),"保留中",IF($AL1794&lt;&gt;"",IF(N($AE1794)&gt;0,"支給済","不支給"),IF($AE1794="","要確認",IF($AE1794=0,"不支給","未処理")))))</f>
        <v/>
      </c>
      <c r="AG1794" s="12" t="n"/>
      <c r="AH1794" s="11" t="n"/>
      <c r="AI1794" s="11" t="n"/>
      <c r="AJ1794" s="11" t="n"/>
      <c r="AK1794" s="14">
        <f>IF(AND($AF1794="保留中",$AH1794&lt;&gt;""),TODAY()-$AH1794,"")</f>
        <v/>
      </c>
      <c r="AL1794" s="12" t="n"/>
      <c r="AM1794" s="14">
        <f>IF($B1794="","",IF($AQ1794="","対象年月が未入力／","")&amp;IF($B1794="","",IF($AP1794="","職員マスタに未登録の職員番号／",IF($AA1794="","標準報酬月額が未登録／","")&amp;IF(AND($AQ1794&lt;&gt;"",OR(AND(INDEX(職員マスタ!$G$6:$G$405,$AP1794)&lt;&gt;"",INDEX(職員マスタ!$G$6:$G$405,$AP1794)&gt;EOMONTH($AQ1794,0)),AND(INDEX(職員マスタ!$H$6:$H$405,$AP1794)&lt;&gt;"",INDEX(職員マスタ!$H$6:$H$405,$AP1794)&lt;$AQ1794))),"対象月が時短期間外／","")&amp;IF(AND(INDEX(職員マスタ!$K$6:$K$405,$AP1794)&lt;&gt;"",N($W1794)&gt;0,INDEX(職員マスタ!$K$6:$K$405,$AP1794)&lt;&gt;$W1794),"標準報酬月額が申請書と相違（台帳"&amp;TEXT(INDEX(職員マスタ!$K$6:$K$405,$AP1794),"#,##0")&amp;"円／申請書"&amp;TEXT($W1794,"#,##0")&amp;"円）／","")&amp;IF(AND(INDEX(職員マスタ!$F$6:$F$405,$AP1794)&lt;&gt;"",$AQ1794&lt;&gt;"",INDEX(職員マスタ!$F$6:$F$405,$AP1794)&lt;$AQ1794),"対象月に子が2歳到達済／","")&amp;IF(AND($H1794&lt;&gt;"",INDEX(職員マスタ!$B$6:$B$405,$AP1794)&lt;&gt;"",SUBSTITUTE(SUBSTITUTE($H1794," ","")," ","")&lt;&gt;SUBSTITUTE(SUBSTITUTE(INDEX(職員マスタ!$B$6:$B$405,$AP1794)," ","")," ","")),"氏名がマスタと相違／","")&amp;IF(AND($Q1794&lt;&gt;"",INDEX(職員マスタ!$E$6:$E$405,$AP1794)&lt;&gt;"",$Q1794&lt;&gt;INDEX(職員マスタ!$E$6:$E$405,$AP1794)),"子の生年月日がマスタと相違／","")&amp;IF(AND($L1794&lt;&gt;"",INDEX(職員マスタ!$G$6:$G$405,$AP1794)&lt;&gt;"",$L1794&lt;&gt;INDEX(職員マスタ!$G$6:$G$405,$AP1794)),"時短開始日がマスタと相違／","")&amp;IF(AND($M1794&lt;&gt;"",INDEX(職員マスタ!$H$6:$H$405,$AP1794)&lt;&gt;"",$M1794&lt;&gt;INDEX(職員マスタ!$H$6:$H$405,$AP1794)),"時短終了日がマスタと相違／","")))&amp;IF(AND($B1794&lt;&gt;"",$E1794=""),"報酬額が未入力／","")&amp;IF(N($U1794)&gt;0,"申請書に入力エラーが残っています／","")&amp;IF(AND($B1794&lt;&gt;"",$AQ1794&lt;&gt;""),IF(COUNTIFS($B$6:$B$3005,$B1794,$C$6:$C$3005,$C1794,$D$6:$D$3005,$D1794)&gt;1,"同じ月の請求が重複しています／",""),"")&amp;IF(AND(N($E1794)&gt;0,$AB1794&lt;&gt;"",$AB1794&lt;&gt;"×",$AE1794=0,$AD1794=""),"計算額が下限以下のため不支給／",""))</f>
        <v/>
      </c>
      <c r="AN1794" s="12" t="n"/>
      <c r="AO1794" s="14">
        <f>IF($AF1794="保留中",COUNTIF($AF$6:$AF1794,"保留中"),"")</f>
        <v/>
      </c>
      <c r="AP1794" s="14">
        <f>IF($AQ1794="","",IF(SUMPRODUCT(MAX((職員マスタ!$A$6:$A$405=$B1794)*(((職員マスタ!$G$6:$G$405="")+(職員マスタ!$G$6:$G$405&lt;=EOMONTH($AQ1794,0)))&gt;0)*(((職員マスタ!$H$6:$H$405="")+(職員マスタ!$H$6:$H$405&gt;=$AQ1794))&gt;0)*(ROW(職員マスタ!$A$6:$A$405)-5)))&gt;0,SUMPRODUCT(MAX((職員マスタ!$A$6:$A$405=$B1794)*(((職員マスタ!$G$6:$G$405="")+(職員マスタ!$G$6:$G$405&lt;=EOMONTH($AQ1794,0)))&gt;0)*(((職員マスタ!$H$6:$H$405="")+(職員マスタ!$H$6:$H$405&gt;=$AQ1794))&gt;0)*(ROW(職員マスタ!$A$6:$A$405)-5))),IFERROR(MATCH($B1794,職員マスタ!$A$6:$A$405,0),"")))</f>
        <v/>
      </c>
      <c r="AQ1794" s="16">
        <f>IF(OR($B1794="",$C1794="",$D1794=""),"",DATE($C1794+2018,$D1794,1))</f>
        <v/>
      </c>
    </row>
    <row r="1795">
      <c r="A1795" s="11" t="n"/>
      <c r="B1795" s="12" t="n"/>
      <c r="C1795" s="12" t="n"/>
      <c r="D1795" s="12" t="n"/>
      <c r="E1795" s="13" t="n"/>
      <c r="F1795" s="12" t="n"/>
      <c r="G1795" s="13" t="n"/>
      <c r="H1795" s="12" t="n"/>
      <c r="I1795" s="12" t="n"/>
      <c r="J1795" s="12" t="n"/>
      <c r="K1795" s="12" t="n"/>
      <c r="L1795" s="11" t="n"/>
      <c r="M1795" s="11" t="n"/>
      <c r="N1795" s="11" t="n"/>
      <c r="O1795" s="11" t="n"/>
      <c r="P1795" s="12" t="n"/>
      <c r="Q1795" s="11" t="n"/>
      <c r="R1795" s="12" t="n"/>
      <c r="S1795" s="11" t="n"/>
      <c r="T1795" s="12" t="n"/>
      <c r="U1795" s="12" t="n"/>
      <c r="V1795" s="12" t="n"/>
      <c r="W1795" s="13" t="n"/>
      <c r="X1795" s="14">
        <f>IF($AP1795="",IF($B1795="","",$H1795),IF(INDEX(職員マスタ!$B$6:$B$405,$AP1795)="",$H1795,INDEX(職員マスタ!$B$6:$B$405,$AP1795)))</f>
        <v/>
      </c>
      <c r="Y1795" s="14">
        <f>IF($AP1795="",IF($B1795="","",$R1795),IF(INDEX(職員マスタ!$C$6:$C$405,$AP1795)="",$R1795,INDEX(職員マスタ!$C$6:$C$405,$AP1795)))</f>
        <v/>
      </c>
      <c r="Z1795" s="14">
        <f>IF($AQ1795="","","R"&amp;$C1795&amp;"."&amp;$D1795)</f>
        <v/>
      </c>
      <c r="AA1795" s="15">
        <f>IF(IF($AP1795="",FALSE,INDEX(職員マスタ!$K$6:$K$405,$AP1795)&lt;&gt;""),INDEX(職員マスタ!$K$6:$K$405,$AP1795),IF(N($W1795)&gt;0,$W1795,""))</f>
        <v/>
      </c>
      <c r="AB1795" s="14">
        <f>IF(OR($E1795="",$AA1795=""),"",IF($E1795&gt;=$AA1795,"×",IF($E1795&gt;=$AA1795*設定!$C$5,"△","○")))</f>
        <v/>
      </c>
      <c r="AC1795" s="15">
        <f>IF($AB1795="","",IF($AB1795="×",0,IF($AB1795="○",ROUNDDOWN($E1795*設定!$C$4,0),ROUNDDOWN($E1795*ROUND((9*$AA1795-9*$E1795)/(10*$E1795),4),0))))</f>
        <v/>
      </c>
      <c r="AD1795" s="13" t="n"/>
      <c r="AE1795" s="15">
        <f>IF($B1795="","",IF($AD1795&lt;&gt;"",$AD1795,IF($AC1795="","",IF($AC1795&lt;=設定!$C$3,0,$AC1795))))</f>
        <v/>
      </c>
      <c r="AF1795" s="14">
        <f>IF($B1795="","",IF(AND($AG1795&lt;&gt;"",$AI1795="",$AL1795=""),"保留中",IF($AL1795&lt;&gt;"",IF(N($AE1795)&gt;0,"支給済","不支給"),IF($AE1795="","要確認",IF($AE1795=0,"不支給","未処理")))))</f>
        <v/>
      </c>
      <c r="AG1795" s="12" t="n"/>
      <c r="AH1795" s="11" t="n"/>
      <c r="AI1795" s="11" t="n"/>
      <c r="AJ1795" s="11" t="n"/>
      <c r="AK1795" s="14">
        <f>IF(AND($AF1795="保留中",$AH1795&lt;&gt;""),TODAY()-$AH1795,"")</f>
        <v/>
      </c>
      <c r="AL1795" s="12" t="n"/>
      <c r="AM1795" s="14">
        <f>IF($B1795="","",IF($AQ1795="","対象年月が未入力／","")&amp;IF($B1795="","",IF($AP1795="","職員マスタに未登録の職員番号／",IF($AA1795="","標準報酬月額が未登録／","")&amp;IF(AND($AQ1795&lt;&gt;"",OR(AND(INDEX(職員マスタ!$G$6:$G$405,$AP1795)&lt;&gt;"",INDEX(職員マスタ!$G$6:$G$405,$AP1795)&gt;EOMONTH($AQ1795,0)),AND(INDEX(職員マスタ!$H$6:$H$405,$AP1795)&lt;&gt;"",INDEX(職員マスタ!$H$6:$H$405,$AP1795)&lt;$AQ1795))),"対象月が時短期間外／","")&amp;IF(AND(INDEX(職員マスタ!$K$6:$K$405,$AP1795)&lt;&gt;"",N($W1795)&gt;0,INDEX(職員マスタ!$K$6:$K$405,$AP1795)&lt;&gt;$W1795),"標準報酬月額が申請書と相違（台帳"&amp;TEXT(INDEX(職員マスタ!$K$6:$K$405,$AP1795),"#,##0")&amp;"円／申請書"&amp;TEXT($W1795,"#,##0")&amp;"円）／","")&amp;IF(AND(INDEX(職員マスタ!$F$6:$F$405,$AP1795)&lt;&gt;"",$AQ1795&lt;&gt;"",INDEX(職員マスタ!$F$6:$F$405,$AP1795)&lt;$AQ1795),"対象月に子が2歳到達済／","")&amp;IF(AND($H1795&lt;&gt;"",INDEX(職員マスタ!$B$6:$B$405,$AP1795)&lt;&gt;"",SUBSTITUTE(SUBSTITUTE($H1795," ","")," ","")&lt;&gt;SUBSTITUTE(SUBSTITUTE(INDEX(職員マスタ!$B$6:$B$405,$AP1795)," ","")," ","")),"氏名がマスタと相違／","")&amp;IF(AND($Q1795&lt;&gt;"",INDEX(職員マスタ!$E$6:$E$405,$AP1795)&lt;&gt;"",$Q1795&lt;&gt;INDEX(職員マスタ!$E$6:$E$405,$AP1795)),"子の生年月日がマスタと相違／","")&amp;IF(AND($L1795&lt;&gt;"",INDEX(職員マスタ!$G$6:$G$405,$AP1795)&lt;&gt;"",$L1795&lt;&gt;INDEX(職員マスタ!$G$6:$G$405,$AP1795)),"時短開始日がマスタと相違／","")&amp;IF(AND($M1795&lt;&gt;"",INDEX(職員マスタ!$H$6:$H$405,$AP1795)&lt;&gt;"",$M1795&lt;&gt;INDEX(職員マスタ!$H$6:$H$405,$AP1795)),"時短終了日がマスタと相違／","")))&amp;IF(AND($B1795&lt;&gt;"",$E1795=""),"報酬額が未入力／","")&amp;IF(N($U1795)&gt;0,"申請書に入力エラーが残っています／","")&amp;IF(AND($B1795&lt;&gt;"",$AQ1795&lt;&gt;""),IF(COUNTIFS($B$6:$B$3005,$B1795,$C$6:$C$3005,$C1795,$D$6:$D$3005,$D1795)&gt;1,"同じ月の請求が重複しています／",""),"")&amp;IF(AND(N($E1795)&gt;0,$AB1795&lt;&gt;"",$AB1795&lt;&gt;"×",$AE1795=0,$AD1795=""),"計算額が下限以下のため不支給／",""))</f>
        <v/>
      </c>
      <c r="AN1795" s="12" t="n"/>
      <c r="AO1795" s="14">
        <f>IF($AF1795="保留中",COUNTIF($AF$6:$AF1795,"保留中"),"")</f>
        <v/>
      </c>
      <c r="AP1795" s="14">
        <f>IF($AQ1795="","",IF(SUMPRODUCT(MAX((職員マスタ!$A$6:$A$405=$B1795)*(((職員マスタ!$G$6:$G$405="")+(職員マスタ!$G$6:$G$405&lt;=EOMONTH($AQ1795,0)))&gt;0)*(((職員マスタ!$H$6:$H$405="")+(職員マスタ!$H$6:$H$405&gt;=$AQ1795))&gt;0)*(ROW(職員マスタ!$A$6:$A$405)-5)))&gt;0,SUMPRODUCT(MAX((職員マスタ!$A$6:$A$405=$B1795)*(((職員マスタ!$G$6:$G$405="")+(職員マスタ!$G$6:$G$405&lt;=EOMONTH($AQ1795,0)))&gt;0)*(((職員マスタ!$H$6:$H$405="")+(職員マスタ!$H$6:$H$405&gt;=$AQ1795))&gt;0)*(ROW(職員マスタ!$A$6:$A$405)-5))),IFERROR(MATCH($B1795,職員マスタ!$A$6:$A$405,0),"")))</f>
        <v/>
      </c>
      <c r="AQ1795" s="16">
        <f>IF(OR($B1795="",$C1795="",$D1795=""),"",DATE($C1795+2018,$D1795,1))</f>
        <v/>
      </c>
    </row>
    <row r="1796">
      <c r="A1796" s="11" t="n"/>
      <c r="B1796" s="12" t="n"/>
      <c r="C1796" s="12" t="n"/>
      <c r="D1796" s="12" t="n"/>
      <c r="E1796" s="13" t="n"/>
      <c r="F1796" s="12" t="n"/>
      <c r="G1796" s="13" t="n"/>
      <c r="H1796" s="12" t="n"/>
      <c r="I1796" s="12" t="n"/>
      <c r="J1796" s="12" t="n"/>
      <c r="K1796" s="12" t="n"/>
      <c r="L1796" s="11" t="n"/>
      <c r="M1796" s="11" t="n"/>
      <c r="N1796" s="11" t="n"/>
      <c r="O1796" s="11" t="n"/>
      <c r="P1796" s="12" t="n"/>
      <c r="Q1796" s="11" t="n"/>
      <c r="R1796" s="12" t="n"/>
      <c r="S1796" s="11" t="n"/>
      <c r="T1796" s="12" t="n"/>
      <c r="U1796" s="12" t="n"/>
      <c r="V1796" s="12" t="n"/>
      <c r="W1796" s="13" t="n"/>
      <c r="X1796" s="14">
        <f>IF($AP1796="",IF($B1796="","",$H1796),IF(INDEX(職員マスタ!$B$6:$B$405,$AP1796)="",$H1796,INDEX(職員マスタ!$B$6:$B$405,$AP1796)))</f>
        <v/>
      </c>
      <c r="Y1796" s="14">
        <f>IF($AP1796="",IF($B1796="","",$R1796),IF(INDEX(職員マスタ!$C$6:$C$405,$AP1796)="",$R1796,INDEX(職員マスタ!$C$6:$C$405,$AP1796)))</f>
        <v/>
      </c>
      <c r="Z1796" s="14">
        <f>IF($AQ1796="","","R"&amp;$C1796&amp;"."&amp;$D1796)</f>
        <v/>
      </c>
      <c r="AA1796" s="15">
        <f>IF(IF($AP1796="",FALSE,INDEX(職員マスタ!$K$6:$K$405,$AP1796)&lt;&gt;""),INDEX(職員マスタ!$K$6:$K$405,$AP1796),IF(N($W1796)&gt;0,$W1796,""))</f>
        <v/>
      </c>
      <c r="AB1796" s="14">
        <f>IF(OR($E1796="",$AA1796=""),"",IF($E1796&gt;=$AA1796,"×",IF($E1796&gt;=$AA1796*設定!$C$5,"△","○")))</f>
        <v/>
      </c>
      <c r="AC1796" s="15">
        <f>IF($AB1796="","",IF($AB1796="×",0,IF($AB1796="○",ROUNDDOWN($E1796*設定!$C$4,0),ROUNDDOWN($E1796*ROUND((9*$AA1796-9*$E1796)/(10*$E1796),4),0))))</f>
        <v/>
      </c>
      <c r="AD1796" s="13" t="n"/>
      <c r="AE1796" s="15">
        <f>IF($B1796="","",IF($AD1796&lt;&gt;"",$AD1796,IF($AC1796="","",IF($AC1796&lt;=設定!$C$3,0,$AC1796))))</f>
        <v/>
      </c>
      <c r="AF1796" s="14">
        <f>IF($B1796="","",IF(AND($AG1796&lt;&gt;"",$AI1796="",$AL1796=""),"保留中",IF($AL1796&lt;&gt;"",IF(N($AE1796)&gt;0,"支給済","不支給"),IF($AE1796="","要確認",IF($AE1796=0,"不支給","未処理")))))</f>
        <v/>
      </c>
      <c r="AG1796" s="12" t="n"/>
      <c r="AH1796" s="11" t="n"/>
      <c r="AI1796" s="11" t="n"/>
      <c r="AJ1796" s="11" t="n"/>
      <c r="AK1796" s="14">
        <f>IF(AND($AF1796="保留中",$AH1796&lt;&gt;""),TODAY()-$AH1796,"")</f>
        <v/>
      </c>
      <c r="AL1796" s="12" t="n"/>
      <c r="AM1796" s="14">
        <f>IF($B1796="","",IF($AQ1796="","対象年月が未入力／","")&amp;IF($B1796="","",IF($AP1796="","職員マスタに未登録の職員番号／",IF($AA1796="","標準報酬月額が未登録／","")&amp;IF(AND($AQ1796&lt;&gt;"",OR(AND(INDEX(職員マスタ!$G$6:$G$405,$AP1796)&lt;&gt;"",INDEX(職員マスタ!$G$6:$G$405,$AP1796)&gt;EOMONTH($AQ1796,0)),AND(INDEX(職員マスタ!$H$6:$H$405,$AP1796)&lt;&gt;"",INDEX(職員マスタ!$H$6:$H$405,$AP1796)&lt;$AQ1796))),"対象月が時短期間外／","")&amp;IF(AND(INDEX(職員マスタ!$K$6:$K$405,$AP1796)&lt;&gt;"",N($W1796)&gt;0,INDEX(職員マスタ!$K$6:$K$405,$AP1796)&lt;&gt;$W1796),"標準報酬月額が申請書と相違（台帳"&amp;TEXT(INDEX(職員マスタ!$K$6:$K$405,$AP1796),"#,##0")&amp;"円／申請書"&amp;TEXT($W1796,"#,##0")&amp;"円）／","")&amp;IF(AND(INDEX(職員マスタ!$F$6:$F$405,$AP1796)&lt;&gt;"",$AQ1796&lt;&gt;"",INDEX(職員マスタ!$F$6:$F$405,$AP1796)&lt;$AQ1796),"対象月に子が2歳到達済／","")&amp;IF(AND($H1796&lt;&gt;"",INDEX(職員マスタ!$B$6:$B$405,$AP1796)&lt;&gt;"",SUBSTITUTE(SUBSTITUTE($H1796," ","")," ","")&lt;&gt;SUBSTITUTE(SUBSTITUTE(INDEX(職員マスタ!$B$6:$B$405,$AP1796)," ","")," ","")),"氏名がマスタと相違／","")&amp;IF(AND($Q1796&lt;&gt;"",INDEX(職員マスタ!$E$6:$E$405,$AP1796)&lt;&gt;"",$Q1796&lt;&gt;INDEX(職員マスタ!$E$6:$E$405,$AP1796)),"子の生年月日がマスタと相違／","")&amp;IF(AND($L1796&lt;&gt;"",INDEX(職員マスタ!$G$6:$G$405,$AP1796)&lt;&gt;"",$L1796&lt;&gt;INDEX(職員マスタ!$G$6:$G$405,$AP1796)),"時短開始日がマスタと相違／","")&amp;IF(AND($M1796&lt;&gt;"",INDEX(職員マスタ!$H$6:$H$405,$AP1796)&lt;&gt;"",$M1796&lt;&gt;INDEX(職員マスタ!$H$6:$H$405,$AP1796)),"時短終了日がマスタと相違／","")))&amp;IF(AND($B1796&lt;&gt;"",$E1796=""),"報酬額が未入力／","")&amp;IF(N($U1796)&gt;0,"申請書に入力エラーが残っています／","")&amp;IF(AND($B1796&lt;&gt;"",$AQ1796&lt;&gt;""),IF(COUNTIFS($B$6:$B$3005,$B1796,$C$6:$C$3005,$C1796,$D$6:$D$3005,$D1796)&gt;1,"同じ月の請求が重複しています／",""),"")&amp;IF(AND(N($E1796)&gt;0,$AB1796&lt;&gt;"",$AB1796&lt;&gt;"×",$AE1796=0,$AD1796=""),"計算額が下限以下のため不支給／",""))</f>
        <v/>
      </c>
      <c r="AN1796" s="12" t="n"/>
      <c r="AO1796" s="14">
        <f>IF($AF1796="保留中",COUNTIF($AF$6:$AF1796,"保留中"),"")</f>
        <v/>
      </c>
      <c r="AP1796" s="14">
        <f>IF($AQ1796="","",IF(SUMPRODUCT(MAX((職員マスタ!$A$6:$A$405=$B1796)*(((職員マスタ!$G$6:$G$405="")+(職員マスタ!$G$6:$G$405&lt;=EOMONTH($AQ1796,0)))&gt;0)*(((職員マスタ!$H$6:$H$405="")+(職員マスタ!$H$6:$H$405&gt;=$AQ1796))&gt;0)*(ROW(職員マスタ!$A$6:$A$405)-5)))&gt;0,SUMPRODUCT(MAX((職員マスタ!$A$6:$A$405=$B1796)*(((職員マスタ!$G$6:$G$405="")+(職員マスタ!$G$6:$G$405&lt;=EOMONTH($AQ1796,0)))&gt;0)*(((職員マスタ!$H$6:$H$405="")+(職員マスタ!$H$6:$H$405&gt;=$AQ1796))&gt;0)*(ROW(職員マスタ!$A$6:$A$405)-5))),IFERROR(MATCH($B1796,職員マスタ!$A$6:$A$405,0),"")))</f>
        <v/>
      </c>
      <c r="AQ1796" s="16">
        <f>IF(OR($B1796="",$C1796="",$D1796=""),"",DATE($C1796+2018,$D1796,1))</f>
        <v/>
      </c>
    </row>
    <row r="1797">
      <c r="A1797" s="11" t="n"/>
      <c r="B1797" s="12" t="n"/>
      <c r="C1797" s="12" t="n"/>
      <c r="D1797" s="12" t="n"/>
      <c r="E1797" s="13" t="n"/>
      <c r="F1797" s="12" t="n"/>
      <c r="G1797" s="13" t="n"/>
      <c r="H1797" s="12" t="n"/>
      <c r="I1797" s="12" t="n"/>
      <c r="J1797" s="12" t="n"/>
      <c r="K1797" s="12" t="n"/>
      <c r="L1797" s="11" t="n"/>
      <c r="M1797" s="11" t="n"/>
      <c r="N1797" s="11" t="n"/>
      <c r="O1797" s="11" t="n"/>
      <c r="P1797" s="12" t="n"/>
      <c r="Q1797" s="11" t="n"/>
      <c r="R1797" s="12" t="n"/>
      <c r="S1797" s="11" t="n"/>
      <c r="T1797" s="12" t="n"/>
      <c r="U1797" s="12" t="n"/>
      <c r="V1797" s="12" t="n"/>
      <c r="W1797" s="13" t="n"/>
      <c r="X1797" s="14">
        <f>IF($AP1797="",IF($B1797="","",$H1797),IF(INDEX(職員マスタ!$B$6:$B$405,$AP1797)="",$H1797,INDEX(職員マスタ!$B$6:$B$405,$AP1797)))</f>
        <v/>
      </c>
      <c r="Y1797" s="14">
        <f>IF($AP1797="",IF($B1797="","",$R1797),IF(INDEX(職員マスタ!$C$6:$C$405,$AP1797)="",$R1797,INDEX(職員マスタ!$C$6:$C$405,$AP1797)))</f>
        <v/>
      </c>
      <c r="Z1797" s="14">
        <f>IF($AQ1797="","","R"&amp;$C1797&amp;"."&amp;$D1797)</f>
        <v/>
      </c>
      <c r="AA1797" s="15">
        <f>IF(IF($AP1797="",FALSE,INDEX(職員マスタ!$K$6:$K$405,$AP1797)&lt;&gt;""),INDEX(職員マスタ!$K$6:$K$405,$AP1797),IF(N($W1797)&gt;0,$W1797,""))</f>
        <v/>
      </c>
      <c r="AB1797" s="14">
        <f>IF(OR($E1797="",$AA1797=""),"",IF($E1797&gt;=$AA1797,"×",IF($E1797&gt;=$AA1797*設定!$C$5,"△","○")))</f>
        <v/>
      </c>
      <c r="AC1797" s="15">
        <f>IF($AB1797="","",IF($AB1797="×",0,IF($AB1797="○",ROUNDDOWN($E1797*設定!$C$4,0),ROUNDDOWN($E1797*ROUND((9*$AA1797-9*$E1797)/(10*$E1797),4),0))))</f>
        <v/>
      </c>
      <c r="AD1797" s="13" t="n"/>
      <c r="AE1797" s="15">
        <f>IF($B1797="","",IF($AD1797&lt;&gt;"",$AD1797,IF($AC1797="","",IF($AC1797&lt;=設定!$C$3,0,$AC1797))))</f>
        <v/>
      </c>
      <c r="AF1797" s="14">
        <f>IF($B1797="","",IF(AND($AG1797&lt;&gt;"",$AI1797="",$AL1797=""),"保留中",IF($AL1797&lt;&gt;"",IF(N($AE1797)&gt;0,"支給済","不支給"),IF($AE1797="","要確認",IF($AE1797=0,"不支給","未処理")))))</f>
        <v/>
      </c>
      <c r="AG1797" s="12" t="n"/>
      <c r="AH1797" s="11" t="n"/>
      <c r="AI1797" s="11" t="n"/>
      <c r="AJ1797" s="11" t="n"/>
      <c r="AK1797" s="14">
        <f>IF(AND($AF1797="保留中",$AH1797&lt;&gt;""),TODAY()-$AH1797,"")</f>
        <v/>
      </c>
      <c r="AL1797" s="12" t="n"/>
      <c r="AM1797" s="14">
        <f>IF($B1797="","",IF($AQ1797="","対象年月が未入力／","")&amp;IF($B1797="","",IF($AP1797="","職員マスタに未登録の職員番号／",IF($AA1797="","標準報酬月額が未登録／","")&amp;IF(AND($AQ1797&lt;&gt;"",OR(AND(INDEX(職員マスタ!$G$6:$G$405,$AP1797)&lt;&gt;"",INDEX(職員マスタ!$G$6:$G$405,$AP1797)&gt;EOMONTH($AQ1797,0)),AND(INDEX(職員マスタ!$H$6:$H$405,$AP1797)&lt;&gt;"",INDEX(職員マスタ!$H$6:$H$405,$AP1797)&lt;$AQ1797))),"対象月が時短期間外／","")&amp;IF(AND(INDEX(職員マスタ!$K$6:$K$405,$AP1797)&lt;&gt;"",N($W1797)&gt;0,INDEX(職員マスタ!$K$6:$K$405,$AP1797)&lt;&gt;$W1797),"標準報酬月額が申請書と相違（台帳"&amp;TEXT(INDEX(職員マスタ!$K$6:$K$405,$AP1797),"#,##0")&amp;"円／申請書"&amp;TEXT($W1797,"#,##0")&amp;"円）／","")&amp;IF(AND(INDEX(職員マスタ!$F$6:$F$405,$AP1797)&lt;&gt;"",$AQ1797&lt;&gt;"",INDEX(職員マスタ!$F$6:$F$405,$AP1797)&lt;$AQ1797),"対象月に子が2歳到達済／","")&amp;IF(AND($H1797&lt;&gt;"",INDEX(職員マスタ!$B$6:$B$405,$AP1797)&lt;&gt;"",SUBSTITUTE(SUBSTITUTE($H1797," ","")," ","")&lt;&gt;SUBSTITUTE(SUBSTITUTE(INDEX(職員マスタ!$B$6:$B$405,$AP1797)," ","")," ","")),"氏名がマスタと相違／","")&amp;IF(AND($Q1797&lt;&gt;"",INDEX(職員マスタ!$E$6:$E$405,$AP1797)&lt;&gt;"",$Q1797&lt;&gt;INDEX(職員マスタ!$E$6:$E$405,$AP1797)),"子の生年月日がマスタと相違／","")&amp;IF(AND($L1797&lt;&gt;"",INDEX(職員マスタ!$G$6:$G$405,$AP1797)&lt;&gt;"",$L1797&lt;&gt;INDEX(職員マスタ!$G$6:$G$405,$AP1797)),"時短開始日がマスタと相違／","")&amp;IF(AND($M1797&lt;&gt;"",INDEX(職員マスタ!$H$6:$H$405,$AP1797)&lt;&gt;"",$M1797&lt;&gt;INDEX(職員マスタ!$H$6:$H$405,$AP1797)),"時短終了日がマスタと相違／","")))&amp;IF(AND($B1797&lt;&gt;"",$E1797=""),"報酬額が未入力／","")&amp;IF(N($U1797)&gt;0,"申請書に入力エラーが残っています／","")&amp;IF(AND($B1797&lt;&gt;"",$AQ1797&lt;&gt;""),IF(COUNTIFS($B$6:$B$3005,$B1797,$C$6:$C$3005,$C1797,$D$6:$D$3005,$D1797)&gt;1,"同じ月の請求が重複しています／",""),"")&amp;IF(AND(N($E1797)&gt;0,$AB1797&lt;&gt;"",$AB1797&lt;&gt;"×",$AE1797=0,$AD1797=""),"計算額が下限以下のため不支給／",""))</f>
        <v/>
      </c>
      <c r="AN1797" s="12" t="n"/>
      <c r="AO1797" s="14">
        <f>IF($AF1797="保留中",COUNTIF($AF$6:$AF1797,"保留中"),"")</f>
        <v/>
      </c>
      <c r="AP1797" s="14">
        <f>IF($AQ1797="","",IF(SUMPRODUCT(MAX((職員マスタ!$A$6:$A$405=$B1797)*(((職員マスタ!$G$6:$G$405="")+(職員マスタ!$G$6:$G$405&lt;=EOMONTH($AQ1797,0)))&gt;0)*(((職員マスタ!$H$6:$H$405="")+(職員マスタ!$H$6:$H$405&gt;=$AQ1797))&gt;0)*(ROW(職員マスタ!$A$6:$A$405)-5)))&gt;0,SUMPRODUCT(MAX((職員マスタ!$A$6:$A$405=$B1797)*(((職員マスタ!$G$6:$G$405="")+(職員マスタ!$G$6:$G$405&lt;=EOMONTH($AQ1797,0)))&gt;0)*(((職員マスタ!$H$6:$H$405="")+(職員マスタ!$H$6:$H$405&gt;=$AQ1797))&gt;0)*(ROW(職員マスタ!$A$6:$A$405)-5))),IFERROR(MATCH($B1797,職員マスタ!$A$6:$A$405,0),"")))</f>
        <v/>
      </c>
      <c r="AQ1797" s="16">
        <f>IF(OR($B1797="",$C1797="",$D1797=""),"",DATE($C1797+2018,$D1797,1))</f>
        <v/>
      </c>
    </row>
    <row r="1798">
      <c r="A1798" s="11" t="n"/>
      <c r="B1798" s="12" t="n"/>
      <c r="C1798" s="12" t="n"/>
      <c r="D1798" s="12" t="n"/>
      <c r="E1798" s="13" t="n"/>
      <c r="F1798" s="12" t="n"/>
      <c r="G1798" s="13" t="n"/>
      <c r="H1798" s="12" t="n"/>
      <c r="I1798" s="12" t="n"/>
      <c r="J1798" s="12" t="n"/>
      <c r="K1798" s="12" t="n"/>
      <c r="L1798" s="11" t="n"/>
      <c r="M1798" s="11" t="n"/>
      <c r="N1798" s="11" t="n"/>
      <c r="O1798" s="11" t="n"/>
      <c r="P1798" s="12" t="n"/>
      <c r="Q1798" s="11" t="n"/>
      <c r="R1798" s="12" t="n"/>
      <c r="S1798" s="11" t="n"/>
      <c r="T1798" s="12" t="n"/>
      <c r="U1798" s="12" t="n"/>
      <c r="V1798" s="12" t="n"/>
      <c r="W1798" s="13" t="n"/>
      <c r="X1798" s="14">
        <f>IF($AP1798="",IF($B1798="","",$H1798),IF(INDEX(職員マスタ!$B$6:$B$405,$AP1798)="",$H1798,INDEX(職員マスタ!$B$6:$B$405,$AP1798)))</f>
        <v/>
      </c>
      <c r="Y1798" s="14">
        <f>IF($AP1798="",IF($B1798="","",$R1798),IF(INDEX(職員マスタ!$C$6:$C$405,$AP1798)="",$R1798,INDEX(職員マスタ!$C$6:$C$405,$AP1798)))</f>
        <v/>
      </c>
      <c r="Z1798" s="14">
        <f>IF($AQ1798="","","R"&amp;$C1798&amp;"."&amp;$D1798)</f>
        <v/>
      </c>
      <c r="AA1798" s="15">
        <f>IF(IF($AP1798="",FALSE,INDEX(職員マスタ!$K$6:$K$405,$AP1798)&lt;&gt;""),INDEX(職員マスタ!$K$6:$K$405,$AP1798),IF(N($W1798)&gt;0,$W1798,""))</f>
        <v/>
      </c>
      <c r="AB1798" s="14">
        <f>IF(OR($E1798="",$AA1798=""),"",IF($E1798&gt;=$AA1798,"×",IF($E1798&gt;=$AA1798*設定!$C$5,"△","○")))</f>
        <v/>
      </c>
      <c r="AC1798" s="15">
        <f>IF($AB1798="","",IF($AB1798="×",0,IF($AB1798="○",ROUNDDOWN($E1798*設定!$C$4,0),ROUNDDOWN($E1798*ROUND((9*$AA1798-9*$E1798)/(10*$E1798),4),0))))</f>
        <v/>
      </c>
      <c r="AD1798" s="13" t="n"/>
      <c r="AE1798" s="15">
        <f>IF($B1798="","",IF($AD1798&lt;&gt;"",$AD1798,IF($AC1798="","",IF($AC1798&lt;=設定!$C$3,0,$AC1798))))</f>
        <v/>
      </c>
      <c r="AF1798" s="14">
        <f>IF($B1798="","",IF(AND($AG1798&lt;&gt;"",$AI1798="",$AL1798=""),"保留中",IF($AL1798&lt;&gt;"",IF(N($AE1798)&gt;0,"支給済","不支給"),IF($AE1798="","要確認",IF($AE1798=0,"不支給","未処理")))))</f>
        <v/>
      </c>
      <c r="AG1798" s="12" t="n"/>
      <c r="AH1798" s="11" t="n"/>
      <c r="AI1798" s="11" t="n"/>
      <c r="AJ1798" s="11" t="n"/>
      <c r="AK1798" s="14">
        <f>IF(AND($AF1798="保留中",$AH1798&lt;&gt;""),TODAY()-$AH1798,"")</f>
        <v/>
      </c>
      <c r="AL1798" s="12" t="n"/>
      <c r="AM1798" s="14">
        <f>IF($B1798="","",IF($AQ1798="","対象年月が未入力／","")&amp;IF($B1798="","",IF($AP1798="","職員マスタに未登録の職員番号／",IF($AA1798="","標準報酬月額が未登録／","")&amp;IF(AND($AQ1798&lt;&gt;"",OR(AND(INDEX(職員マスタ!$G$6:$G$405,$AP1798)&lt;&gt;"",INDEX(職員マスタ!$G$6:$G$405,$AP1798)&gt;EOMONTH($AQ1798,0)),AND(INDEX(職員マスタ!$H$6:$H$405,$AP1798)&lt;&gt;"",INDEX(職員マスタ!$H$6:$H$405,$AP1798)&lt;$AQ1798))),"対象月が時短期間外／","")&amp;IF(AND(INDEX(職員マスタ!$K$6:$K$405,$AP1798)&lt;&gt;"",N($W1798)&gt;0,INDEX(職員マスタ!$K$6:$K$405,$AP1798)&lt;&gt;$W1798),"標準報酬月額が申請書と相違（台帳"&amp;TEXT(INDEX(職員マスタ!$K$6:$K$405,$AP1798),"#,##0")&amp;"円／申請書"&amp;TEXT($W1798,"#,##0")&amp;"円）／","")&amp;IF(AND(INDEX(職員マスタ!$F$6:$F$405,$AP1798)&lt;&gt;"",$AQ1798&lt;&gt;"",INDEX(職員マスタ!$F$6:$F$405,$AP1798)&lt;$AQ1798),"対象月に子が2歳到達済／","")&amp;IF(AND($H1798&lt;&gt;"",INDEX(職員マスタ!$B$6:$B$405,$AP1798)&lt;&gt;"",SUBSTITUTE(SUBSTITUTE($H1798," ","")," ","")&lt;&gt;SUBSTITUTE(SUBSTITUTE(INDEX(職員マスタ!$B$6:$B$405,$AP1798)," ","")," ","")),"氏名がマスタと相違／","")&amp;IF(AND($Q1798&lt;&gt;"",INDEX(職員マスタ!$E$6:$E$405,$AP1798)&lt;&gt;"",$Q1798&lt;&gt;INDEX(職員マスタ!$E$6:$E$405,$AP1798)),"子の生年月日がマスタと相違／","")&amp;IF(AND($L1798&lt;&gt;"",INDEX(職員マスタ!$G$6:$G$405,$AP1798)&lt;&gt;"",$L1798&lt;&gt;INDEX(職員マスタ!$G$6:$G$405,$AP1798)),"時短開始日がマスタと相違／","")&amp;IF(AND($M1798&lt;&gt;"",INDEX(職員マスタ!$H$6:$H$405,$AP1798)&lt;&gt;"",$M1798&lt;&gt;INDEX(職員マスタ!$H$6:$H$405,$AP1798)),"時短終了日がマスタと相違／","")))&amp;IF(AND($B1798&lt;&gt;"",$E1798=""),"報酬額が未入力／","")&amp;IF(N($U1798)&gt;0,"申請書に入力エラーが残っています／","")&amp;IF(AND($B1798&lt;&gt;"",$AQ1798&lt;&gt;""),IF(COUNTIFS($B$6:$B$3005,$B1798,$C$6:$C$3005,$C1798,$D$6:$D$3005,$D1798)&gt;1,"同じ月の請求が重複しています／",""),"")&amp;IF(AND(N($E1798)&gt;0,$AB1798&lt;&gt;"",$AB1798&lt;&gt;"×",$AE1798=0,$AD1798=""),"計算額が下限以下のため不支給／",""))</f>
        <v/>
      </c>
      <c r="AN1798" s="12" t="n"/>
      <c r="AO1798" s="14">
        <f>IF($AF1798="保留中",COUNTIF($AF$6:$AF1798,"保留中"),"")</f>
        <v/>
      </c>
      <c r="AP1798" s="14">
        <f>IF($AQ1798="","",IF(SUMPRODUCT(MAX((職員マスタ!$A$6:$A$405=$B1798)*(((職員マスタ!$G$6:$G$405="")+(職員マスタ!$G$6:$G$405&lt;=EOMONTH($AQ1798,0)))&gt;0)*(((職員マスタ!$H$6:$H$405="")+(職員マスタ!$H$6:$H$405&gt;=$AQ1798))&gt;0)*(ROW(職員マスタ!$A$6:$A$405)-5)))&gt;0,SUMPRODUCT(MAX((職員マスタ!$A$6:$A$405=$B1798)*(((職員マスタ!$G$6:$G$405="")+(職員マスタ!$G$6:$G$405&lt;=EOMONTH($AQ1798,0)))&gt;0)*(((職員マスタ!$H$6:$H$405="")+(職員マスタ!$H$6:$H$405&gt;=$AQ1798))&gt;0)*(ROW(職員マスタ!$A$6:$A$405)-5))),IFERROR(MATCH($B1798,職員マスタ!$A$6:$A$405,0),"")))</f>
        <v/>
      </c>
      <c r="AQ1798" s="16">
        <f>IF(OR($B1798="",$C1798="",$D1798=""),"",DATE($C1798+2018,$D1798,1))</f>
        <v/>
      </c>
    </row>
    <row r="1799">
      <c r="A1799" s="11" t="n"/>
      <c r="B1799" s="12" t="n"/>
      <c r="C1799" s="12" t="n"/>
      <c r="D1799" s="12" t="n"/>
      <c r="E1799" s="13" t="n"/>
      <c r="F1799" s="12" t="n"/>
      <c r="G1799" s="13" t="n"/>
      <c r="H1799" s="12" t="n"/>
      <c r="I1799" s="12" t="n"/>
      <c r="J1799" s="12" t="n"/>
      <c r="K1799" s="12" t="n"/>
      <c r="L1799" s="11" t="n"/>
      <c r="M1799" s="11" t="n"/>
      <c r="N1799" s="11" t="n"/>
      <c r="O1799" s="11" t="n"/>
      <c r="P1799" s="12" t="n"/>
      <c r="Q1799" s="11" t="n"/>
      <c r="R1799" s="12" t="n"/>
      <c r="S1799" s="11" t="n"/>
      <c r="T1799" s="12" t="n"/>
      <c r="U1799" s="12" t="n"/>
      <c r="V1799" s="12" t="n"/>
      <c r="W1799" s="13" t="n"/>
      <c r="X1799" s="14">
        <f>IF($AP1799="",IF($B1799="","",$H1799),IF(INDEX(職員マスタ!$B$6:$B$405,$AP1799)="",$H1799,INDEX(職員マスタ!$B$6:$B$405,$AP1799)))</f>
        <v/>
      </c>
      <c r="Y1799" s="14">
        <f>IF($AP1799="",IF($B1799="","",$R1799),IF(INDEX(職員マスタ!$C$6:$C$405,$AP1799)="",$R1799,INDEX(職員マスタ!$C$6:$C$405,$AP1799)))</f>
        <v/>
      </c>
      <c r="Z1799" s="14">
        <f>IF($AQ1799="","","R"&amp;$C1799&amp;"."&amp;$D1799)</f>
        <v/>
      </c>
      <c r="AA1799" s="15">
        <f>IF(IF($AP1799="",FALSE,INDEX(職員マスタ!$K$6:$K$405,$AP1799)&lt;&gt;""),INDEX(職員マスタ!$K$6:$K$405,$AP1799),IF(N($W1799)&gt;0,$W1799,""))</f>
        <v/>
      </c>
      <c r="AB1799" s="14">
        <f>IF(OR($E1799="",$AA1799=""),"",IF($E1799&gt;=$AA1799,"×",IF($E1799&gt;=$AA1799*設定!$C$5,"△","○")))</f>
        <v/>
      </c>
      <c r="AC1799" s="15">
        <f>IF($AB1799="","",IF($AB1799="×",0,IF($AB1799="○",ROUNDDOWN($E1799*設定!$C$4,0),ROUNDDOWN($E1799*ROUND((9*$AA1799-9*$E1799)/(10*$E1799),4),0))))</f>
        <v/>
      </c>
      <c r="AD1799" s="13" t="n"/>
      <c r="AE1799" s="15">
        <f>IF($B1799="","",IF($AD1799&lt;&gt;"",$AD1799,IF($AC1799="","",IF($AC1799&lt;=設定!$C$3,0,$AC1799))))</f>
        <v/>
      </c>
      <c r="AF1799" s="14">
        <f>IF($B1799="","",IF(AND($AG1799&lt;&gt;"",$AI1799="",$AL1799=""),"保留中",IF($AL1799&lt;&gt;"",IF(N($AE1799)&gt;0,"支給済","不支給"),IF($AE1799="","要確認",IF($AE1799=0,"不支給","未処理")))))</f>
        <v/>
      </c>
      <c r="AG1799" s="12" t="n"/>
      <c r="AH1799" s="11" t="n"/>
      <c r="AI1799" s="11" t="n"/>
      <c r="AJ1799" s="11" t="n"/>
      <c r="AK1799" s="14">
        <f>IF(AND($AF1799="保留中",$AH1799&lt;&gt;""),TODAY()-$AH1799,"")</f>
        <v/>
      </c>
      <c r="AL1799" s="12" t="n"/>
      <c r="AM1799" s="14">
        <f>IF($B1799="","",IF($AQ1799="","対象年月が未入力／","")&amp;IF($B1799="","",IF($AP1799="","職員マスタに未登録の職員番号／",IF($AA1799="","標準報酬月額が未登録／","")&amp;IF(AND($AQ1799&lt;&gt;"",OR(AND(INDEX(職員マスタ!$G$6:$G$405,$AP1799)&lt;&gt;"",INDEX(職員マスタ!$G$6:$G$405,$AP1799)&gt;EOMONTH($AQ1799,0)),AND(INDEX(職員マスタ!$H$6:$H$405,$AP1799)&lt;&gt;"",INDEX(職員マスタ!$H$6:$H$405,$AP1799)&lt;$AQ1799))),"対象月が時短期間外／","")&amp;IF(AND(INDEX(職員マスタ!$K$6:$K$405,$AP1799)&lt;&gt;"",N($W1799)&gt;0,INDEX(職員マスタ!$K$6:$K$405,$AP1799)&lt;&gt;$W1799),"標準報酬月額が申請書と相違（台帳"&amp;TEXT(INDEX(職員マスタ!$K$6:$K$405,$AP1799),"#,##0")&amp;"円／申請書"&amp;TEXT($W1799,"#,##0")&amp;"円）／","")&amp;IF(AND(INDEX(職員マスタ!$F$6:$F$405,$AP1799)&lt;&gt;"",$AQ1799&lt;&gt;"",INDEX(職員マスタ!$F$6:$F$405,$AP1799)&lt;$AQ1799),"対象月に子が2歳到達済／","")&amp;IF(AND($H1799&lt;&gt;"",INDEX(職員マスタ!$B$6:$B$405,$AP1799)&lt;&gt;"",SUBSTITUTE(SUBSTITUTE($H1799," ","")," ","")&lt;&gt;SUBSTITUTE(SUBSTITUTE(INDEX(職員マスタ!$B$6:$B$405,$AP1799)," ","")," ","")),"氏名がマスタと相違／","")&amp;IF(AND($Q1799&lt;&gt;"",INDEX(職員マスタ!$E$6:$E$405,$AP1799)&lt;&gt;"",$Q1799&lt;&gt;INDEX(職員マスタ!$E$6:$E$405,$AP1799)),"子の生年月日がマスタと相違／","")&amp;IF(AND($L1799&lt;&gt;"",INDEX(職員マスタ!$G$6:$G$405,$AP1799)&lt;&gt;"",$L1799&lt;&gt;INDEX(職員マスタ!$G$6:$G$405,$AP1799)),"時短開始日がマスタと相違／","")&amp;IF(AND($M1799&lt;&gt;"",INDEX(職員マスタ!$H$6:$H$405,$AP1799)&lt;&gt;"",$M1799&lt;&gt;INDEX(職員マスタ!$H$6:$H$405,$AP1799)),"時短終了日がマスタと相違／","")))&amp;IF(AND($B1799&lt;&gt;"",$E1799=""),"報酬額が未入力／","")&amp;IF(N($U1799)&gt;0,"申請書に入力エラーが残っています／","")&amp;IF(AND($B1799&lt;&gt;"",$AQ1799&lt;&gt;""),IF(COUNTIFS($B$6:$B$3005,$B1799,$C$6:$C$3005,$C1799,$D$6:$D$3005,$D1799)&gt;1,"同じ月の請求が重複しています／",""),"")&amp;IF(AND(N($E1799)&gt;0,$AB1799&lt;&gt;"",$AB1799&lt;&gt;"×",$AE1799=0,$AD1799=""),"計算額が下限以下のため不支給／",""))</f>
        <v/>
      </c>
      <c r="AN1799" s="12" t="n"/>
      <c r="AO1799" s="14">
        <f>IF($AF1799="保留中",COUNTIF($AF$6:$AF1799,"保留中"),"")</f>
        <v/>
      </c>
      <c r="AP1799" s="14">
        <f>IF($AQ1799="","",IF(SUMPRODUCT(MAX((職員マスタ!$A$6:$A$405=$B1799)*(((職員マスタ!$G$6:$G$405="")+(職員マスタ!$G$6:$G$405&lt;=EOMONTH($AQ1799,0)))&gt;0)*(((職員マスタ!$H$6:$H$405="")+(職員マスタ!$H$6:$H$405&gt;=$AQ1799))&gt;0)*(ROW(職員マスタ!$A$6:$A$405)-5)))&gt;0,SUMPRODUCT(MAX((職員マスタ!$A$6:$A$405=$B1799)*(((職員マスタ!$G$6:$G$405="")+(職員マスタ!$G$6:$G$405&lt;=EOMONTH($AQ1799,0)))&gt;0)*(((職員マスタ!$H$6:$H$405="")+(職員マスタ!$H$6:$H$405&gt;=$AQ1799))&gt;0)*(ROW(職員マスタ!$A$6:$A$405)-5))),IFERROR(MATCH($B1799,職員マスタ!$A$6:$A$405,0),"")))</f>
        <v/>
      </c>
      <c r="AQ1799" s="16">
        <f>IF(OR($B1799="",$C1799="",$D1799=""),"",DATE($C1799+2018,$D1799,1))</f>
        <v/>
      </c>
    </row>
    <row r="1800">
      <c r="A1800" s="11" t="n"/>
      <c r="B1800" s="12" t="n"/>
      <c r="C1800" s="12" t="n"/>
      <c r="D1800" s="12" t="n"/>
      <c r="E1800" s="13" t="n"/>
      <c r="F1800" s="12" t="n"/>
      <c r="G1800" s="13" t="n"/>
      <c r="H1800" s="12" t="n"/>
      <c r="I1800" s="12" t="n"/>
      <c r="J1800" s="12" t="n"/>
      <c r="K1800" s="12" t="n"/>
      <c r="L1800" s="11" t="n"/>
      <c r="M1800" s="11" t="n"/>
      <c r="N1800" s="11" t="n"/>
      <c r="O1800" s="11" t="n"/>
      <c r="P1800" s="12" t="n"/>
      <c r="Q1800" s="11" t="n"/>
      <c r="R1800" s="12" t="n"/>
      <c r="S1800" s="11" t="n"/>
      <c r="T1800" s="12" t="n"/>
      <c r="U1800" s="12" t="n"/>
      <c r="V1800" s="12" t="n"/>
      <c r="W1800" s="13" t="n"/>
      <c r="X1800" s="14">
        <f>IF($AP1800="",IF($B1800="","",$H1800),IF(INDEX(職員マスタ!$B$6:$B$405,$AP1800)="",$H1800,INDEX(職員マスタ!$B$6:$B$405,$AP1800)))</f>
        <v/>
      </c>
      <c r="Y1800" s="14">
        <f>IF($AP1800="",IF($B1800="","",$R1800),IF(INDEX(職員マスタ!$C$6:$C$405,$AP1800)="",$R1800,INDEX(職員マスタ!$C$6:$C$405,$AP1800)))</f>
        <v/>
      </c>
      <c r="Z1800" s="14">
        <f>IF($AQ1800="","","R"&amp;$C1800&amp;"."&amp;$D1800)</f>
        <v/>
      </c>
      <c r="AA1800" s="15">
        <f>IF(IF($AP1800="",FALSE,INDEX(職員マスタ!$K$6:$K$405,$AP1800)&lt;&gt;""),INDEX(職員マスタ!$K$6:$K$405,$AP1800),IF(N($W1800)&gt;0,$W1800,""))</f>
        <v/>
      </c>
      <c r="AB1800" s="14">
        <f>IF(OR($E1800="",$AA1800=""),"",IF($E1800&gt;=$AA1800,"×",IF($E1800&gt;=$AA1800*設定!$C$5,"△","○")))</f>
        <v/>
      </c>
      <c r="AC1800" s="15">
        <f>IF($AB1800="","",IF($AB1800="×",0,IF($AB1800="○",ROUNDDOWN($E1800*設定!$C$4,0),ROUNDDOWN($E1800*ROUND((9*$AA1800-9*$E1800)/(10*$E1800),4),0))))</f>
        <v/>
      </c>
      <c r="AD1800" s="13" t="n"/>
      <c r="AE1800" s="15">
        <f>IF($B1800="","",IF($AD1800&lt;&gt;"",$AD1800,IF($AC1800="","",IF($AC1800&lt;=設定!$C$3,0,$AC1800))))</f>
        <v/>
      </c>
      <c r="AF1800" s="14">
        <f>IF($B1800="","",IF(AND($AG1800&lt;&gt;"",$AI1800="",$AL1800=""),"保留中",IF($AL1800&lt;&gt;"",IF(N($AE1800)&gt;0,"支給済","不支給"),IF($AE1800="","要確認",IF($AE1800=0,"不支給","未処理")))))</f>
        <v/>
      </c>
      <c r="AG1800" s="12" t="n"/>
      <c r="AH1800" s="11" t="n"/>
      <c r="AI1800" s="11" t="n"/>
      <c r="AJ1800" s="11" t="n"/>
      <c r="AK1800" s="14">
        <f>IF(AND($AF1800="保留中",$AH1800&lt;&gt;""),TODAY()-$AH1800,"")</f>
        <v/>
      </c>
      <c r="AL1800" s="12" t="n"/>
      <c r="AM1800" s="14">
        <f>IF($B1800="","",IF($AQ1800="","対象年月が未入力／","")&amp;IF($B1800="","",IF($AP1800="","職員マスタに未登録の職員番号／",IF($AA1800="","標準報酬月額が未登録／","")&amp;IF(AND($AQ1800&lt;&gt;"",OR(AND(INDEX(職員マスタ!$G$6:$G$405,$AP1800)&lt;&gt;"",INDEX(職員マスタ!$G$6:$G$405,$AP1800)&gt;EOMONTH($AQ1800,0)),AND(INDEX(職員マスタ!$H$6:$H$405,$AP1800)&lt;&gt;"",INDEX(職員マスタ!$H$6:$H$405,$AP1800)&lt;$AQ1800))),"対象月が時短期間外／","")&amp;IF(AND(INDEX(職員マスタ!$K$6:$K$405,$AP1800)&lt;&gt;"",N($W1800)&gt;0,INDEX(職員マスタ!$K$6:$K$405,$AP1800)&lt;&gt;$W1800),"標準報酬月額が申請書と相違（台帳"&amp;TEXT(INDEX(職員マスタ!$K$6:$K$405,$AP1800),"#,##0")&amp;"円／申請書"&amp;TEXT($W1800,"#,##0")&amp;"円）／","")&amp;IF(AND(INDEX(職員マスタ!$F$6:$F$405,$AP1800)&lt;&gt;"",$AQ1800&lt;&gt;"",INDEX(職員マスタ!$F$6:$F$405,$AP1800)&lt;$AQ1800),"対象月に子が2歳到達済／","")&amp;IF(AND($H1800&lt;&gt;"",INDEX(職員マスタ!$B$6:$B$405,$AP1800)&lt;&gt;"",SUBSTITUTE(SUBSTITUTE($H1800," ","")," ","")&lt;&gt;SUBSTITUTE(SUBSTITUTE(INDEX(職員マスタ!$B$6:$B$405,$AP1800)," ","")," ","")),"氏名がマスタと相違／","")&amp;IF(AND($Q1800&lt;&gt;"",INDEX(職員マスタ!$E$6:$E$405,$AP1800)&lt;&gt;"",$Q1800&lt;&gt;INDEX(職員マスタ!$E$6:$E$405,$AP1800)),"子の生年月日がマスタと相違／","")&amp;IF(AND($L1800&lt;&gt;"",INDEX(職員マスタ!$G$6:$G$405,$AP1800)&lt;&gt;"",$L1800&lt;&gt;INDEX(職員マスタ!$G$6:$G$405,$AP1800)),"時短開始日がマスタと相違／","")&amp;IF(AND($M1800&lt;&gt;"",INDEX(職員マスタ!$H$6:$H$405,$AP1800)&lt;&gt;"",$M1800&lt;&gt;INDEX(職員マスタ!$H$6:$H$405,$AP1800)),"時短終了日がマスタと相違／","")))&amp;IF(AND($B1800&lt;&gt;"",$E1800=""),"報酬額が未入力／","")&amp;IF(N($U1800)&gt;0,"申請書に入力エラーが残っています／","")&amp;IF(AND($B1800&lt;&gt;"",$AQ1800&lt;&gt;""),IF(COUNTIFS($B$6:$B$3005,$B1800,$C$6:$C$3005,$C1800,$D$6:$D$3005,$D1800)&gt;1,"同じ月の請求が重複しています／",""),"")&amp;IF(AND(N($E1800)&gt;0,$AB1800&lt;&gt;"",$AB1800&lt;&gt;"×",$AE1800=0,$AD1800=""),"計算額が下限以下のため不支給／",""))</f>
        <v/>
      </c>
      <c r="AN1800" s="12" t="n"/>
      <c r="AO1800" s="14">
        <f>IF($AF1800="保留中",COUNTIF($AF$6:$AF1800,"保留中"),"")</f>
        <v/>
      </c>
      <c r="AP1800" s="14">
        <f>IF($AQ1800="","",IF(SUMPRODUCT(MAX((職員マスタ!$A$6:$A$405=$B1800)*(((職員マスタ!$G$6:$G$405="")+(職員マスタ!$G$6:$G$405&lt;=EOMONTH($AQ1800,0)))&gt;0)*(((職員マスタ!$H$6:$H$405="")+(職員マスタ!$H$6:$H$405&gt;=$AQ1800))&gt;0)*(ROW(職員マスタ!$A$6:$A$405)-5)))&gt;0,SUMPRODUCT(MAX((職員マスタ!$A$6:$A$405=$B1800)*(((職員マスタ!$G$6:$G$405="")+(職員マスタ!$G$6:$G$405&lt;=EOMONTH($AQ1800,0)))&gt;0)*(((職員マスタ!$H$6:$H$405="")+(職員マスタ!$H$6:$H$405&gt;=$AQ1800))&gt;0)*(ROW(職員マスタ!$A$6:$A$405)-5))),IFERROR(MATCH($B1800,職員マスタ!$A$6:$A$405,0),"")))</f>
        <v/>
      </c>
      <c r="AQ1800" s="16">
        <f>IF(OR($B1800="",$C1800="",$D1800=""),"",DATE($C1800+2018,$D1800,1))</f>
        <v/>
      </c>
    </row>
    <row r="1801">
      <c r="A1801" s="11" t="n"/>
      <c r="B1801" s="12" t="n"/>
      <c r="C1801" s="12" t="n"/>
      <c r="D1801" s="12" t="n"/>
      <c r="E1801" s="13" t="n"/>
      <c r="F1801" s="12" t="n"/>
      <c r="G1801" s="13" t="n"/>
      <c r="H1801" s="12" t="n"/>
      <c r="I1801" s="12" t="n"/>
      <c r="J1801" s="12" t="n"/>
      <c r="K1801" s="12" t="n"/>
      <c r="L1801" s="11" t="n"/>
      <c r="M1801" s="11" t="n"/>
      <c r="N1801" s="11" t="n"/>
      <c r="O1801" s="11" t="n"/>
      <c r="P1801" s="12" t="n"/>
      <c r="Q1801" s="11" t="n"/>
      <c r="R1801" s="12" t="n"/>
      <c r="S1801" s="11" t="n"/>
      <c r="T1801" s="12" t="n"/>
      <c r="U1801" s="12" t="n"/>
      <c r="V1801" s="12" t="n"/>
      <c r="W1801" s="13" t="n"/>
      <c r="X1801" s="14">
        <f>IF($AP1801="",IF($B1801="","",$H1801),IF(INDEX(職員マスタ!$B$6:$B$405,$AP1801)="",$H1801,INDEX(職員マスタ!$B$6:$B$405,$AP1801)))</f>
        <v/>
      </c>
      <c r="Y1801" s="14">
        <f>IF($AP1801="",IF($B1801="","",$R1801),IF(INDEX(職員マスタ!$C$6:$C$405,$AP1801)="",$R1801,INDEX(職員マスタ!$C$6:$C$405,$AP1801)))</f>
        <v/>
      </c>
      <c r="Z1801" s="14">
        <f>IF($AQ1801="","","R"&amp;$C1801&amp;"."&amp;$D1801)</f>
        <v/>
      </c>
      <c r="AA1801" s="15">
        <f>IF(IF($AP1801="",FALSE,INDEX(職員マスタ!$K$6:$K$405,$AP1801)&lt;&gt;""),INDEX(職員マスタ!$K$6:$K$405,$AP1801),IF(N($W1801)&gt;0,$W1801,""))</f>
        <v/>
      </c>
      <c r="AB1801" s="14">
        <f>IF(OR($E1801="",$AA1801=""),"",IF($E1801&gt;=$AA1801,"×",IF($E1801&gt;=$AA1801*設定!$C$5,"△","○")))</f>
        <v/>
      </c>
      <c r="AC1801" s="15">
        <f>IF($AB1801="","",IF($AB1801="×",0,IF($AB1801="○",ROUNDDOWN($E1801*設定!$C$4,0),ROUNDDOWN($E1801*ROUND((9*$AA1801-9*$E1801)/(10*$E1801),4),0))))</f>
        <v/>
      </c>
      <c r="AD1801" s="13" t="n"/>
      <c r="AE1801" s="15">
        <f>IF($B1801="","",IF($AD1801&lt;&gt;"",$AD1801,IF($AC1801="","",IF($AC1801&lt;=設定!$C$3,0,$AC1801))))</f>
        <v/>
      </c>
      <c r="AF1801" s="14">
        <f>IF($B1801="","",IF(AND($AG1801&lt;&gt;"",$AI1801="",$AL1801=""),"保留中",IF($AL1801&lt;&gt;"",IF(N($AE1801)&gt;0,"支給済","不支給"),IF($AE1801="","要確認",IF($AE1801=0,"不支給","未処理")))))</f>
        <v/>
      </c>
      <c r="AG1801" s="12" t="n"/>
      <c r="AH1801" s="11" t="n"/>
      <c r="AI1801" s="11" t="n"/>
      <c r="AJ1801" s="11" t="n"/>
      <c r="AK1801" s="14">
        <f>IF(AND($AF1801="保留中",$AH1801&lt;&gt;""),TODAY()-$AH1801,"")</f>
        <v/>
      </c>
      <c r="AL1801" s="12" t="n"/>
      <c r="AM1801" s="14">
        <f>IF($B1801="","",IF($AQ1801="","対象年月が未入力／","")&amp;IF($B1801="","",IF($AP1801="","職員マスタに未登録の職員番号／",IF($AA1801="","標準報酬月額が未登録／","")&amp;IF(AND($AQ1801&lt;&gt;"",OR(AND(INDEX(職員マスタ!$G$6:$G$405,$AP1801)&lt;&gt;"",INDEX(職員マスタ!$G$6:$G$405,$AP1801)&gt;EOMONTH($AQ1801,0)),AND(INDEX(職員マスタ!$H$6:$H$405,$AP1801)&lt;&gt;"",INDEX(職員マスタ!$H$6:$H$405,$AP1801)&lt;$AQ1801))),"対象月が時短期間外／","")&amp;IF(AND(INDEX(職員マスタ!$K$6:$K$405,$AP1801)&lt;&gt;"",N($W1801)&gt;0,INDEX(職員マスタ!$K$6:$K$405,$AP1801)&lt;&gt;$W1801),"標準報酬月額が申請書と相違（台帳"&amp;TEXT(INDEX(職員マスタ!$K$6:$K$405,$AP1801),"#,##0")&amp;"円／申請書"&amp;TEXT($W1801,"#,##0")&amp;"円）／","")&amp;IF(AND(INDEX(職員マスタ!$F$6:$F$405,$AP1801)&lt;&gt;"",$AQ1801&lt;&gt;"",INDEX(職員マスタ!$F$6:$F$405,$AP1801)&lt;$AQ1801),"対象月に子が2歳到達済／","")&amp;IF(AND($H1801&lt;&gt;"",INDEX(職員マスタ!$B$6:$B$405,$AP1801)&lt;&gt;"",SUBSTITUTE(SUBSTITUTE($H1801," ","")," ","")&lt;&gt;SUBSTITUTE(SUBSTITUTE(INDEX(職員マスタ!$B$6:$B$405,$AP1801)," ","")," ","")),"氏名がマスタと相違／","")&amp;IF(AND($Q1801&lt;&gt;"",INDEX(職員マスタ!$E$6:$E$405,$AP1801)&lt;&gt;"",$Q1801&lt;&gt;INDEX(職員マスタ!$E$6:$E$405,$AP1801)),"子の生年月日がマスタと相違／","")&amp;IF(AND($L1801&lt;&gt;"",INDEX(職員マスタ!$G$6:$G$405,$AP1801)&lt;&gt;"",$L1801&lt;&gt;INDEX(職員マスタ!$G$6:$G$405,$AP1801)),"時短開始日がマスタと相違／","")&amp;IF(AND($M1801&lt;&gt;"",INDEX(職員マスタ!$H$6:$H$405,$AP1801)&lt;&gt;"",$M1801&lt;&gt;INDEX(職員マスタ!$H$6:$H$405,$AP1801)),"時短終了日がマスタと相違／","")))&amp;IF(AND($B1801&lt;&gt;"",$E1801=""),"報酬額が未入力／","")&amp;IF(N($U1801)&gt;0,"申請書に入力エラーが残っています／","")&amp;IF(AND($B1801&lt;&gt;"",$AQ1801&lt;&gt;""),IF(COUNTIFS($B$6:$B$3005,$B1801,$C$6:$C$3005,$C1801,$D$6:$D$3005,$D1801)&gt;1,"同じ月の請求が重複しています／",""),"")&amp;IF(AND(N($E1801)&gt;0,$AB1801&lt;&gt;"",$AB1801&lt;&gt;"×",$AE1801=0,$AD1801=""),"計算額が下限以下のため不支給／",""))</f>
        <v/>
      </c>
      <c r="AN1801" s="12" t="n"/>
      <c r="AO1801" s="14">
        <f>IF($AF1801="保留中",COUNTIF($AF$6:$AF1801,"保留中"),"")</f>
        <v/>
      </c>
      <c r="AP1801" s="14">
        <f>IF($AQ1801="","",IF(SUMPRODUCT(MAX((職員マスタ!$A$6:$A$405=$B1801)*(((職員マスタ!$G$6:$G$405="")+(職員マスタ!$G$6:$G$405&lt;=EOMONTH($AQ1801,0)))&gt;0)*(((職員マスタ!$H$6:$H$405="")+(職員マスタ!$H$6:$H$405&gt;=$AQ1801))&gt;0)*(ROW(職員マスタ!$A$6:$A$405)-5)))&gt;0,SUMPRODUCT(MAX((職員マスタ!$A$6:$A$405=$B1801)*(((職員マスタ!$G$6:$G$405="")+(職員マスタ!$G$6:$G$405&lt;=EOMONTH($AQ1801,0)))&gt;0)*(((職員マスタ!$H$6:$H$405="")+(職員マスタ!$H$6:$H$405&gt;=$AQ1801))&gt;0)*(ROW(職員マスタ!$A$6:$A$405)-5))),IFERROR(MATCH($B1801,職員マスタ!$A$6:$A$405,0),"")))</f>
        <v/>
      </c>
      <c r="AQ1801" s="16">
        <f>IF(OR($B1801="",$C1801="",$D1801=""),"",DATE($C1801+2018,$D1801,1))</f>
        <v/>
      </c>
    </row>
    <row r="1802">
      <c r="A1802" s="11" t="n"/>
      <c r="B1802" s="12" t="n"/>
      <c r="C1802" s="12" t="n"/>
      <c r="D1802" s="12" t="n"/>
      <c r="E1802" s="13" t="n"/>
      <c r="F1802" s="12" t="n"/>
      <c r="G1802" s="13" t="n"/>
      <c r="H1802" s="12" t="n"/>
      <c r="I1802" s="12" t="n"/>
      <c r="J1802" s="12" t="n"/>
      <c r="K1802" s="12" t="n"/>
      <c r="L1802" s="11" t="n"/>
      <c r="M1802" s="11" t="n"/>
      <c r="N1802" s="11" t="n"/>
      <c r="O1802" s="11" t="n"/>
      <c r="P1802" s="12" t="n"/>
      <c r="Q1802" s="11" t="n"/>
      <c r="R1802" s="12" t="n"/>
      <c r="S1802" s="11" t="n"/>
      <c r="T1802" s="12" t="n"/>
      <c r="U1802" s="12" t="n"/>
      <c r="V1802" s="12" t="n"/>
      <c r="W1802" s="13" t="n"/>
      <c r="X1802" s="14">
        <f>IF($AP1802="",IF($B1802="","",$H1802),IF(INDEX(職員マスタ!$B$6:$B$405,$AP1802)="",$H1802,INDEX(職員マスタ!$B$6:$B$405,$AP1802)))</f>
        <v/>
      </c>
      <c r="Y1802" s="14">
        <f>IF($AP1802="",IF($B1802="","",$R1802),IF(INDEX(職員マスタ!$C$6:$C$405,$AP1802)="",$R1802,INDEX(職員マスタ!$C$6:$C$405,$AP1802)))</f>
        <v/>
      </c>
      <c r="Z1802" s="14">
        <f>IF($AQ1802="","","R"&amp;$C1802&amp;"."&amp;$D1802)</f>
        <v/>
      </c>
      <c r="AA1802" s="15">
        <f>IF(IF($AP1802="",FALSE,INDEX(職員マスタ!$K$6:$K$405,$AP1802)&lt;&gt;""),INDEX(職員マスタ!$K$6:$K$405,$AP1802),IF(N($W1802)&gt;0,$W1802,""))</f>
        <v/>
      </c>
      <c r="AB1802" s="14">
        <f>IF(OR($E1802="",$AA1802=""),"",IF($E1802&gt;=$AA1802,"×",IF($E1802&gt;=$AA1802*設定!$C$5,"△","○")))</f>
        <v/>
      </c>
      <c r="AC1802" s="15">
        <f>IF($AB1802="","",IF($AB1802="×",0,IF($AB1802="○",ROUNDDOWN($E1802*設定!$C$4,0),ROUNDDOWN($E1802*ROUND((9*$AA1802-9*$E1802)/(10*$E1802),4),0))))</f>
        <v/>
      </c>
      <c r="AD1802" s="13" t="n"/>
      <c r="AE1802" s="15">
        <f>IF($B1802="","",IF($AD1802&lt;&gt;"",$AD1802,IF($AC1802="","",IF($AC1802&lt;=設定!$C$3,0,$AC1802))))</f>
        <v/>
      </c>
      <c r="AF1802" s="14">
        <f>IF($B1802="","",IF(AND($AG1802&lt;&gt;"",$AI1802="",$AL1802=""),"保留中",IF($AL1802&lt;&gt;"",IF(N($AE1802)&gt;0,"支給済","不支給"),IF($AE1802="","要確認",IF($AE1802=0,"不支給","未処理")))))</f>
        <v/>
      </c>
      <c r="AG1802" s="12" t="n"/>
      <c r="AH1802" s="11" t="n"/>
      <c r="AI1802" s="11" t="n"/>
      <c r="AJ1802" s="11" t="n"/>
      <c r="AK1802" s="14">
        <f>IF(AND($AF1802="保留中",$AH1802&lt;&gt;""),TODAY()-$AH1802,"")</f>
        <v/>
      </c>
      <c r="AL1802" s="12" t="n"/>
      <c r="AM1802" s="14">
        <f>IF($B1802="","",IF($AQ1802="","対象年月が未入力／","")&amp;IF($B1802="","",IF($AP1802="","職員マスタに未登録の職員番号／",IF($AA1802="","標準報酬月額が未登録／","")&amp;IF(AND($AQ1802&lt;&gt;"",OR(AND(INDEX(職員マスタ!$G$6:$G$405,$AP1802)&lt;&gt;"",INDEX(職員マスタ!$G$6:$G$405,$AP1802)&gt;EOMONTH($AQ1802,0)),AND(INDEX(職員マスタ!$H$6:$H$405,$AP1802)&lt;&gt;"",INDEX(職員マスタ!$H$6:$H$405,$AP1802)&lt;$AQ1802))),"対象月が時短期間外／","")&amp;IF(AND(INDEX(職員マスタ!$K$6:$K$405,$AP1802)&lt;&gt;"",N($W1802)&gt;0,INDEX(職員マスタ!$K$6:$K$405,$AP1802)&lt;&gt;$W1802),"標準報酬月額が申請書と相違（台帳"&amp;TEXT(INDEX(職員マスタ!$K$6:$K$405,$AP1802),"#,##0")&amp;"円／申請書"&amp;TEXT($W1802,"#,##0")&amp;"円）／","")&amp;IF(AND(INDEX(職員マスタ!$F$6:$F$405,$AP1802)&lt;&gt;"",$AQ1802&lt;&gt;"",INDEX(職員マスタ!$F$6:$F$405,$AP1802)&lt;$AQ1802),"対象月に子が2歳到達済／","")&amp;IF(AND($H1802&lt;&gt;"",INDEX(職員マスタ!$B$6:$B$405,$AP1802)&lt;&gt;"",SUBSTITUTE(SUBSTITUTE($H1802," ","")," ","")&lt;&gt;SUBSTITUTE(SUBSTITUTE(INDEX(職員マスタ!$B$6:$B$405,$AP1802)," ","")," ","")),"氏名がマスタと相違／","")&amp;IF(AND($Q1802&lt;&gt;"",INDEX(職員マスタ!$E$6:$E$405,$AP1802)&lt;&gt;"",$Q1802&lt;&gt;INDEX(職員マスタ!$E$6:$E$405,$AP1802)),"子の生年月日がマスタと相違／","")&amp;IF(AND($L1802&lt;&gt;"",INDEX(職員マスタ!$G$6:$G$405,$AP1802)&lt;&gt;"",$L1802&lt;&gt;INDEX(職員マスタ!$G$6:$G$405,$AP1802)),"時短開始日がマスタと相違／","")&amp;IF(AND($M1802&lt;&gt;"",INDEX(職員マスタ!$H$6:$H$405,$AP1802)&lt;&gt;"",$M1802&lt;&gt;INDEX(職員マスタ!$H$6:$H$405,$AP1802)),"時短終了日がマスタと相違／","")))&amp;IF(AND($B1802&lt;&gt;"",$E1802=""),"報酬額が未入力／","")&amp;IF(N($U1802)&gt;0,"申請書に入力エラーが残っています／","")&amp;IF(AND($B1802&lt;&gt;"",$AQ1802&lt;&gt;""),IF(COUNTIFS($B$6:$B$3005,$B1802,$C$6:$C$3005,$C1802,$D$6:$D$3005,$D1802)&gt;1,"同じ月の請求が重複しています／",""),"")&amp;IF(AND(N($E1802)&gt;0,$AB1802&lt;&gt;"",$AB1802&lt;&gt;"×",$AE1802=0,$AD1802=""),"計算額が下限以下のため不支給／",""))</f>
        <v/>
      </c>
      <c r="AN1802" s="12" t="n"/>
      <c r="AO1802" s="14">
        <f>IF($AF1802="保留中",COUNTIF($AF$6:$AF1802,"保留中"),"")</f>
        <v/>
      </c>
      <c r="AP1802" s="14">
        <f>IF($AQ1802="","",IF(SUMPRODUCT(MAX((職員マスタ!$A$6:$A$405=$B1802)*(((職員マスタ!$G$6:$G$405="")+(職員マスタ!$G$6:$G$405&lt;=EOMONTH($AQ1802,0)))&gt;0)*(((職員マスタ!$H$6:$H$405="")+(職員マスタ!$H$6:$H$405&gt;=$AQ1802))&gt;0)*(ROW(職員マスタ!$A$6:$A$405)-5)))&gt;0,SUMPRODUCT(MAX((職員マスタ!$A$6:$A$405=$B1802)*(((職員マスタ!$G$6:$G$405="")+(職員マスタ!$G$6:$G$405&lt;=EOMONTH($AQ1802,0)))&gt;0)*(((職員マスタ!$H$6:$H$405="")+(職員マスタ!$H$6:$H$405&gt;=$AQ1802))&gt;0)*(ROW(職員マスタ!$A$6:$A$405)-5))),IFERROR(MATCH($B1802,職員マスタ!$A$6:$A$405,0),"")))</f>
        <v/>
      </c>
      <c r="AQ1802" s="16">
        <f>IF(OR($B1802="",$C1802="",$D1802=""),"",DATE($C1802+2018,$D1802,1))</f>
        <v/>
      </c>
    </row>
    <row r="1803">
      <c r="A1803" s="11" t="n"/>
      <c r="B1803" s="12" t="n"/>
      <c r="C1803" s="12" t="n"/>
      <c r="D1803" s="12" t="n"/>
      <c r="E1803" s="13" t="n"/>
      <c r="F1803" s="12" t="n"/>
      <c r="G1803" s="13" t="n"/>
      <c r="H1803" s="12" t="n"/>
      <c r="I1803" s="12" t="n"/>
      <c r="J1803" s="12" t="n"/>
      <c r="K1803" s="12" t="n"/>
      <c r="L1803" s="11" t="n"/>
      <c r="M1803" s="11" t="n"/>
      <c r="N1803" s="11" t="n"/>
      <c r="O1803" s="11" t="n"/>
      <c r="P1803" s="12" t="n"/>
      <c r="Q1803" s="11" t="n"/>
      <c r="R1803" s="12" t="n"/>
      <c r="S1803" s="11" t="n"/>
      <c r="T1803" s="12" t="n"/>
      <c r="U1803" s="12" t="n"/>
      <c r="V1803" s="12" t="n"/>
      <c r="W1803" s="13" t="n"/>
      <c r="X1803" s="14">
        <f>IF($AP1803="",IF($B1803="","",$H1803),IF(INDEX(職員マスタ!$B$6:$B$405,$AP1803)="",$H1803,INDEX(職員マスタ!$B$6:$B$405,$AP1803)))</f>
        <v/>
      </c>
      <c r="Y1803" s="14">
        <f>IF($AP1803="",IF($B1803="","",$R1803),IF(INDEX(職員マスタ!$C$6:$C$405,$AP1803)="",$R1803,INDEX(職員マスタ!$C$6:$C$405,$AP1803)))</f>
        <v/>
      </c>
      <c r="Z1803" s="14">
        <f>IF($AQ1803="","","R"&amp;$C1803&amp;"."&amp;$D1803)</f>
        <v/>
      </c>
      <c r="AA1803" s="15">
        <f>IF(IF($AP1803="",FALSE,INDEX(職員マスタ!$K$6:$K$405,$AP1803)&lt;&gt;""),INDEX(職員マスタ!$K$6:$K$405,$AP1803),IF(N($W1803)&gt;0,$W1803,""))</f>
        <v/>
      </c>
      <c r="AB1803" s="14">
        <f>IF(OR($E1803="",$AA1803=""),"",IF($E1803&gt;=$AA1803,"×",IF($E1803&gt;=$AA1803*設定!$C$5,"△","○")))</f>
        <v/>
      </c>
      <c r="AC1803" s="15">
        <f>IF($AB1803="","",IF($AB1803="×",0,IF($AB1803="○",ROUNDDOWN($E1803*設定!$C$4,0),ROUNDDOWN($E1803*ROUND((9*$AA1803-9*$E1803)/(10*$E1803),4),0))))</f>
        <v/>
      </c>
      <c r="AD1803" s="13" t="n"/>
      <c r="AE1803" s="15">
        <f>IF($B1803="","",IF($AD1803&lt;&gt;"",$AD1803,IF($AC1803="","",IF($AC1803&lt;=設定!$C$3,0,$AC1803))))</f>
        <v/>
      </c>
      <c r="AF1803" s="14">
        <f>IF($B1803="","",IF(AND($AG1803&lt;&gt;"",$AI1803="",$AL1803=""),"保留中",IF($AL1803&lt;&gt;"",IF(N($AE1803)&gt;0,"支給済","不支給"),IF($AE1803="","要確認",IF($AE1803=0,"不支給","未処理")))))</f>
        <v/>
      </c>
      <c r="AG1803" s="12" t="n"/>
      <c r="AH1803" s="11" t="n"/>
      <c r="AI1803" s="11" t="n"/>
      <c r="AJ1803" s="11" t="n"/>
      <c r="AK1803" s="14">
        <f>IF(AND($AF1803="保留中",$AH1803&lt;&gt;""),TODAY()-$AH1803,"")</f>
        <v/>
      </c>
      <c r="AL1803" s="12" t="n"/>
      <c r="AM1803" s="14">
        <f>IF($B1803="","",IF($AQ1803="","対象年月が未入力／","")&amp;IF($B1803="","",IF($AP1803="","職員マスタに未登録の職員番号／",IF($AA1803="","標準報酬月額が未登録／","")&amp;IF(AND($AQ1803&lt;&gt;"",OR(AND(INDEX(職員マスタ!$G$6:$G$405,$AP1803)&lt;&gt;"",INDEX(職員マスタ!$G$6:$G$405,$AP1803)&gt;EOMONTH($AQ1803,0)),AND(INDEX(職員マスタ!$H$6:$H$405,$AP1803)&lt;&gt;"",INDEX(職員マスタ!$H$6:$H$405,$AP1803)&lt;$AQ1803))),"対象月が時短期間外／","")&amp;IF(AND(INDEX(職員マスタ!$K$6:$K$405,$AP1803)&lt;&gt;"",N($W1803)&gt;0,INDEX(職員マスタ!$K$6:$K$405,$AP1803)&lt;&gt;$W1803),"標準報酬月額が申請書と相違（台帳"&amp;TEXT(INDEX(職員マスタ!$K$6:$K$405,$AP1803),"#,##0")&amp;"円／申請書"&amp;TEXT($W1803,"#,##0")&amp;"円）／","")&amp;IF(AND(INDEX(職員マスタ!$F$6:$F$405,$AP1803)&lt;&gt;"",$AQ1803&lt;&gt;"",INDEX(職員マスタ!$F$6:$F$405,$AP1803)&lt;$AQ1803),"対象月に子が2歳到達済／","")&amp;IF(AND($H1803&lt;&gt;"",INDEX(職員マスタ!$B$6:$B$405,$AP1803)&lt;&gt;"",SUBSTITUTE(SUBSTITUTE($H1803," ","")," ","")&lt;&gt;SUBSTITUTE(SUBSTITUTE(INDEX(職員マスタ!$B$6:$B$405,$AP1803)," ","")," ","")),"氏名がマスタと相違／","")&amp;IF(AND($Q1803&lt;&gt;"",INDEX(職員マスタ!$E$6:$E$405,$AP1803)&lt;&gt;"",$Q1803&lt;&gt;INDEX(職員マスタ!$E$6:$E$405,$AP1803)),"子の生年月日がマスタと相違／","")&amp;IF(AND($L1803&lt;&gt;"",INDEX(職員マスタ!$G$6:$G$405,$AP1803)&lt;&gt;"",$L1803&lt;&gt;INDEX(職員マスタ!$G$6:$G$405,$AP1803)),"時短開始日がマスタと相違／","")&amp;IF(AND($M1803&lt;&gt;"",INDEX(職員マスタ!$H$6:$H$405,$AP1803)&lt;&gt;"",$M1803&lt;&gt;INDEX(職員マスタ!$H$6:$H$405,$AP1803)),"時短終了日がマスタと相違／","")))&amp;IF(AND($B1803&lt;&gt;"",$E1803=""),"報酬額が未入力／","")&amp;IF(N($U1803)&gt;0,"申請書に入力エラーが残っています／","")&amp;IF(AND($B1803&lt;&gt;"",$AQ1803&lt;&gt;""),IF(COUNTIFS($B$6:$B$3005,$B1803,$C$6:$C$3005,$C1803,$D$6:$D$3005,$D1803)&gt;1,"同じ月の請求が重複しています／",""),"")&amp;IF(AND(N($E1803)&gt;0,$AB1803&lt;&gt;"",$AB1803&lt;&gt;"×",$AE1803=0,$AD1803=""),"計算額が下限以下のため不支給／",""))</f>
        <v/>
      </c>
      <c r="AN1803" s="12" t="n"/>
      <c r="AO1803" s="14">
        <f>IF($AF1803="保留中",COUNTIF($AF$6:$AF1803,"保留中"),"")</f>
        <v/>
      </c>
      <c r="AP1803" s="14">
        <f>IF($AQ1803="","",IF(SUMPRODUCT(MAX((職員マスタ!$A$6:$A$405=$B1803)*(((職員マスタ!$G$6:$G$405="")+(職員マスタ!$G$6:$G$405&lt;=EOMONTH($AQ1803,0)))&gt;0)*(((職員マスタ!$H$6:$H$405="")+(職員マスタ!$H$6:$H$405&gt;=$AQ1803))&gt;0)*(ROW(職員マスタ!$A$6:$A$405)-5)))&gt;0,SUMPRODUCT(MAX((職員マスタ!$A$6:$A$405=$B1803)*(((職員マスタ!$G$6:$G$405="")+(職員マスタ!$G$6:$G$405&lt;=EOMONTH($AQ1803,0)))&gt;0)*(((職員マスタ!$H$6:$H$405="")+(職員マスタ!$H$6:$H$405&gt;=$AQ1803))&gt;0)*(ROW(職員マスタ!$A$6:$A$405)-5))),IFERROR(MATCH($B1803,職員マスタ!$A$6:$A$405,0),"")))</f>
        <v/>
      </c>
      <c r="AQ1803" s="16">
        <f>IF(OR($B1803="",$C1803="",$D1803=""),"",DATE($C1803+2018,$D1803,1))</f>
        <v/>
      </c>
    </row>
    <row r="1804">
      <c r="A1804" s="11" t="n"/>
      <c r="B1804" s="12" t="n"/>
      <c r="C1804" s="12" t="n"/>
      <c r="D1804" s="12" t="n"/>
      <c r="E1804" s="13" t="n"/>
      <c r="F1804" s="12" t="n"/>
      <c r="G1804" s="13" t="n"/>
      <c r="H1804" s="12" t="n"/>
      <c r="I1804" s="12" t="n"/>
      <c r="J1804" s="12" t="n"/>
      <c r="K1804" s="12" t="n"/>
      <c r="L1804" s="11" t="n"/>
      <c r="M1804" s="11" t="n"/>
      <c r="N1804" s="11" t="n"/>
      <c r="O1804" s="11" t="n"/>
      <c r="P1804" s="12" t="n"/>
      <c r="Q1804" s="11" t="n"/>
      <c r="R1804" s="12" t="n"/>
      <c r="S1804" s="11" t="n"/>
      <c r="T1804" s="12" t="n"/>
      <c r="U1804" s="12" t="n"/>
      <c r="V1804" s="12" t="n"/>
      <c r="W1804" s="13" t="n"/>
      <c r="X1804" s="14">
        <f>IF($AP1804="",IF($B1804="","",$H1804),IF(INDEX(職員マスタ!$B$6:$B$405,$AP1804)="",$H1804,INDEX(職員マスタ!$B$6:$B$405,$AP1804)))</f>
        <v/>
      </c>
      <c r="Y1804" s="14">
        <f>IF($AP1804="",IF($B1804="","",$R1804),IF(INDEX(職員マスタ!$C$6:$C$405,$AP1804)="",$R1804,INDEX(職員マスタ!$C$6:$C$405,$AP1804)))</f>
        <v/>
      </c>
      <c r="Z1804" s="14">
        <f>IF($AQ1804="","","R"&amp;$C1804&amp;"."&amp;$D1804)</f>
        <v/>
      </c>
      <c r="AA1804" s="15">
        <f>IF(IF($AP1804="",FALSE,INDEX(職員マスタ!$K$6:$K$405,$AP1804)&lt;&gt;""),INDEX(職員マスタ!$K$6:$K$405,$AP1804),IF(N($W1804)&gt;0,$W1804,""))</f>
        <v/>
      </c>
      <c r="AB1804" s="14">
        <f>IF(OR($E1804="",$AA1804=""),"",IF($E1804&gt;=$AA1804,"×",IF($E1804&gt;=$AA1804*設定!$C$5,"△","○")))</f>
        <v/>
      </c>
      <c r="AC1804" s="15">
        <f>IF($AB1804="","",IF($AB1804="×",0,IF($AB1804="○",ROUNDDOWN($E1804*設定!$C$4,0),ROUNDDOWN($E1804*ROUND((9*$AA1804-9*$E1804)/(10*$E1804),4),0))))</f>
        <v/>
      </c>
      <c r="AD1804" s="13" t="n"/>
      <c r="AE1804" s="15">
        <f>IF($B1804="","",IF($AD1804&lt;&gt;"",$AD1804,IF($AC1804="","",IF($AC1804&lt;=設定!$C$3,0,$AC1804))))</f>
        <v/>
      </c>
      <c r="AF1804" s="14">
        <f>IF($B1804="","",IF(AND($AG1804&lt;&gt;"",$AI1804="",$AL1804=""),"保留中",IF($AL1804&lt;&gt;"",IF(N($AE1804)&gt;0,"支給済","不支給"),IF($AE1804="","要確認",IF($AE1804=0,"不支給","未処理")))))</f>
        <v/>
      </c>
      <c r="AG1804" s="12" t="n"/>
      <c r="AH1804" s="11" t="n"/>
      <c r="AI1804" s="11" t="n"/>
      <c r="AJ1804" s="11" t="n"/>
      <c r="AK1804" s="14">
        <f>IF(AND($AF1804="保留中",$AH1804&lt;&gt;""),TODAY()-$AH1804,"")</f>
        <v/>
      </c>
      <c r="AL1804" s="12" t="n"/>
      <c r="AM1804" s="14">
        <f>IF($B1804="","",IF($AQ1804="","対象年月が未入力／","")&amp;IF($B1804="","",IF($AP1804="","職員マスタに未登録の職員番号／",IF($AA1804="","標準報酬月額が未登録／","")&amp;IF(AND($AQ1804&lt;&gt;"",OR(AND(INDEX(職員マスタ!$G$6:$G$405,$AP1804)&lt;&gt;"",INDEX(職員マスタ!$G$6:$G$405,$AP1804)&gt;EOMONTH($AQ1804,0)),AND(INDEX(職員マスタ!$H$6:$H$405,$AP1804)&lt;&gt;"",INDEX(職員マスタ!$H$6:$H$405,$AP1804)&lt;$AQ1804))),"対象月が時短期間外／","")&amp;IF(AND(INDEX(職員マスタ!$K$6:$K$405,$AP1804)&lt;&gt;"",N($W1804)&gt;0,INDEX(職員マスタ!$K$6:$K$405,$AP1804)&lt;&gt;$W1804),"標準報酬月額が申請書と相違（台帳"&amp;TEXT(INDEX(職員マスタ!$K$6:$K$405,$AP1804),"#,##0")&amp;"円／申請書"&amp;TEXT($W1804,"#,##0")&amp;"円）／","")&amp;IF(AND(INDEX(職員マスタ!$F$6:$F$405,$AP1804)&lt;&gt;"",$AQ1804&lt;&gt;"",INDEX(職員マスタ!$F$6:$F$405,$AP1804)&lt;$AQ1804),"対象月に子が2歳到達済／","")&amp;IF(AND($H1804&lt;&gt;"",INDEX(職員マスタ!$B$6:$B$405,$AP1804)&lt;&gt;"",SUBSTITUTE(SUBSTITUTE($H1804," ","")," ","")&lt;&gt;SUBSTITUTE(SUBSTITUTE(INDEX(職員マスタ!$B$6:$B$405,$AP1804)," ","")," ","")),"氏名がマスタと相違／","")&amp;IF(AND($Q1804&lt;&gt;"",INDEX(職員マスタ!$E$6:$E$405,$AP1804)&lt;&gt;"",$Q1804&lt;&gt;INDEX(職員マスタ!$E$6:$E$405,$AP1804)),"子の生年月日がマスタと相違／","")&amp;IF(AND($L1804&lt;&gt;"",INDEX(職員マスタ!$G$6:$G$405,$AP1804)&lt;&gt;"",$L1804&lt;&gt;INDEX(職員マスタ!$G$6:$G$405,$AP1804)),"時短開始日がマスタと相違／","")&amp;IF(AND($M1804&lt;&gt;"",INDEX(職員マスタ!$H$6:$H$405,$AP1804)&lt;&gt;"",$M1804&lt;&gt;INDEX(職員マスタ!$H$6:$H$405,$AP1804)),"時短終了日がマスタと相違／","")))&amp;IF(AND($B1804&lt;&gt;"",$E1804=""),"報酬額が未入力／","")&amp;IF(N($U1804)&gt;0,"申請書に入力エラーが残っています／","")&amp;IF(AND($B1804&lt;&gt;"",$AQ1804&lt;&gt;""),IF(COUNTIFS($B$6:$B$3005,$B1804,$C$6:$C$3005,$C1804,$D$6:$D$3005,$D1804)&gt;1,"同じ月の請求が重複しています／",""),"")&amp;IF(AND(N($E1804)&gt;0,$AB1804&lt;&gt;"",$AB1804&lt;&gt;"×",$AE1804=0,$AD1804=""),"計算額が下限以下のため不支給／",""))</f>
        <v/>
      </c>
      <c r="AN1804" s="12" t="n"/>
      <c r="AO1804" s="14">
        <f>IF($AF1804="保留中",COUNTIF($AF$6:$AF1804,"保留中"),"")</f>
        <v/>
      </c>
      <c r="AP1804" s="14">
        <f>IF($AQ1804="","",IF(SUMPRODUCT(MAX((職員マスタ!$A$6:$A$405=$B1804)*(((職員マスタ!$G$6:$G$405="")+(職員マスタ!$G$6:$G$405&lt;=EOMONTH($AQ1804,0)))&gt;0)*(((職員マスタ!$H$6:$H$405="")+(職員マスタ!$H$6:$H$405&gt;=$AQ1804))&gt;0)*(ROW(職員マスタ!$A$6:$A$405)-5)))&gt;0,SUMPRODUCT(MAX((職員マスタ!$A$6:$A$405=$B1804)*(((職員マスタ!$G$6:$G$405="")+(職員マスタ!$G$6:$G$405&lt;=EOMONTH($AQ1804,0)))&gt;0)*(((職員マスタ!$H$6:$H$405="")+(職員マスタ!$H$6:$H$405&gt;=$AQ1804))&gt;0)*(ROW(職員マスタ!$A$6:$A$405)-5))),IFERROR(MATCH($B1804,職員マスタ!$A$6:$A$405,0),"")))</f>
        <v/>
      </c>
      <c r="AQ1804" s="16">
        <f>IF(OR($B1804="",$C1804="",$D1804=""),"",DATE($C1804+2018,$D1804,1))</f>
        <v/>
      </c>
    </row>
    <row r="1805">
      <c r="A1805" s="11" t="n"/>
      <c r="B1805" s="12" t="n"/>
      <c r="C1805" s="12" t="n"/>
      <c r="D1805" s="12" t="n"/>
      <c r="E1805" s="13" t="n"/>
      <c r="F1805" s="12" t="n"/>
      <c r="G1805" s="13" t="n"/>
      <c r="H1805" s="12" t="n"/>
      <c r="I1805" s="12" t="n"/>
      <c r="J1805" s="12" t="n"/>
      <c r="K1805" s="12" t="n"/>
      <c r="L1805" s="11" t="n"/>
      <c r="M1805" s="11" t="n"/>
      <c r="N1805" s="11" t="n"/>
      <c r="O1805" s="11" t="n"/>
      <c r="P1805" s="12" t="n"/>
      <c r="Q1805" s="11" t="n"/>
      <c r="R1805" s="12" t="n"/>
      <c r="S1805" s="11" t="n"/>
      <c r="T1805" s="12" t="n"/>
      <c r="U1805" s="12" t="n"/>
      <c r="V1805" s="12" t="n"/>
      <c r="W1805" s="13" t="n"/>
      <c r="X1805" s="14">
        <f>IF($AP1805="",IF($B1805="","",$H1805),IF(INDEX(職員マスタ!$B$6:$B$405,$AP1805)="",$H1805,INDEX(職員マスタ!$B$6:$B$405,$AP1805)))</f>
        <v/>
      </c>
      <c r="Y1805" s="14">
        <f>IF($AP1805="",IF($B1805="","",$R1805),IF(INDEX(職員マスタ!$C$6:$C$405,$AP1805)="",$R1805,INDEX(職員マスタ!$C$6:$C$405,$AP1805)))</f>
        <v/>
      </c>
      <c r="Z1805" s="14">
        <f>IF($AQ1805="","","R"&amp;$C1805&amp;"."&amp;$D1805)</f>
        <v/>
      </c>
      <c r="AA1805" s="15">
        <f>IF(IF($AP1805="",FALSE,INDEX(職員マスタ!$K$6:$K$405,$AP1805)&lt;&gt;""),INDEX(職員マスタ!$K$6:$K$405,$AP1805),IF(N($W1805)&gt;0,$W1805,""))</f>
        <v/>
      </c>
      <c r="AB1805" s="14">
        <f>IF(OR($E1805="",$AA1805=""),"",IF($E1805&gt;=$AA1805,"×",IF($E1805&gt;=$AA1805*設定!$C$5,"△","○")))</f>
        <v/>
      </c>
      <c r="AC1805" s="15">
        <f>IF($AB1805="","",IF($AB1805="×",0,IF($AB1805="○",ROUNDDOWN($E1805*設定!$C$4,0),ROUNDDOWN($E1805*ROUND((9*$AA1805-9*$E1805)/(10*$E1805),4),0))))</f>
        <v/>
      </c>
      <c r="AD1805" s="13" t="n"/>
      <c r="AE1805" s="15">
        <f>IF($B1805="","",IF($AD1805&lt;&gt;"",$AD1805,IF($AC1805="","",IF($AC1805&lt;=設定!$C$3,0,$AC1805))))</f>
        <v/>
      </c>
      <c r="AF1805" s="14">
        <f>IF($B1805="","",IF(AND($AG1805&lt;&gt;"",$AI1805="",$AL1805=""),"保留中",IF($AL1805&lt;&gt;"",IF(N($AE1805)&gt;0,"支給済","不支給"),IF($AE1805="","要確認",IF($AE1805=0,"不支給","未処理")))))</f>
        <v/>
      </c>
      <c r="AG1805" s="12" t="n"/>
      <c r="AH1805" s="11" t="n"/>
      <c r="AI1805" s="11" t="n"/>
      <c r="AJ1805" s="11" t="n"/>
      <c r="AK1805" s="14">
        <f>IF(AND($AF1805="保留中",$AH1805&lt;&gt;""),TODAY()-$AH1805,"")</f>
        <v/>
      </c>
      <c r="AL1805" s="12" t="n"/>
      <c r="AM1805" s="14">
        <f>IF($B1805="","",IF($AQ1805="","対象年月が未入力／","")&amp;IF($B1805="","",IF($AP1805="","職員マスタに未登録の職員番号／",IF($AA1805="","標準報酬月額が未登録／","")&amp;IF(AND($AQ1805&lt;&gt;"",OR(AND(INDEX(職員マスタ!$G$6:$G$405,$AP1805)&lt;&gt;"",INDEX(職員マスタ!$G$6:$G$405,$AP1805)&gt;EOMONTH($AQ1805,0)),AND(INDEX(職員マスタ!$H$6:$H$405,$AP1805)&lt;&gt;"",INDEX(職員マスタ!$H$6:$H$405,$AP1805)&lt;$AQ1805))),"対象月が時短期間外／","")&amp;IF(AND(INDEX(職員マスタ!$K$6:$K$405,$AP1805)&lt;&gt;"",N($W1805)&gt;0,INDEX(職員マスタ!$K$6:$K$405,$AP1805)&lt;&gt;$W1805),"標準報酬月額が申請書と相違（台帳"&amp;TEXT(INDEX(職員マスタ!$K$6:$K$405,$AP1805),"#,##0")&amp;"円／申請書"&amp;TEXT($W1805,"#,##0")&amp;"円）／","")&amp;IF(AND(INDEX(職員マスタ!$F$6:$F$405,$AP1805)&lt;&gt;"",$AQ1805&lt;&gt;"",INDEX(職員マスタ!$F$6:$F$405,$AP1805)&lt;$AQ1805),"対象月に子が2歳到達済／","")&amp;IF(AND($H1805&lt;&gt;"",INDEX(職員マスタ!$B$6:$B$405,$AP1805)&lt;&gt;"",SUBSTITUTE(SUBSTITUTE($H1805," ","")," ","")&lt;&gt;SUBSTITUTE(SUBSTITUTE(INDEX(職員マスタ!$B$6:$B$405,$AP1805)," ","")," ","")),"氏名がマスタと相違／","")&amp;IF(AND($Q1805&lt;&gt;"",INDEX(職員マスタ!$E$6:$E$405,$AP1805)&lt;&gt;"",$Q1805&lt;&gt;INDEX(職員マスタ!$E$6:$E$405,$AP1805)),"子の生年月日がマスタと相違／","")&amp;IF(AND($L1805&lt;&gt;"",INDEX(職員マスタ!$G$6:$G$405,$AP1805)&lt;&gt;"",$L1805&lt;&gt;INDEX(職員マスタ!$G$6:$G$405,$AP1805)),"時短開始日がマスタと相違／","")&amp;IF(AND($M1805&lt;&gt;"",INDEX(職員マスタ!$H$6:$H$405,$AP1805)&lt;&gt;"",$M1805&lt;&gt;INDEX(職員マスタ!$H$6:$H$405,$AP1805)),"時短終了日がマスタと相違／","")))&amp;IF(AND($B1805&lt;&gt;"",$E1805=""),"報酬額が未入力／","")&amp;IF(N($U1805)&gt;0,"申請書に入力エラーが残っています／","")&amp;IF(AND($B1805&lt;&gt;"",$AQ1805&lt;&gt;""),IF(COUNTIFS($B$6:$B$3005,$B1805,$C$6:$C$3005,$C1805,$D$6:$D$3005,$D1805)&gt;1,"同じ月の請求が重複しています／",""),"")&amp;IF(AND(N($E1805)&gt;0,$AB1805&lt;&gt;"",$AB1805&lt;&gt;"×",$AE1805=0,$AD1805=""),"計算額が下限以下のため不支給／",""))</f>
        <v/>
      </c>
      <c r="AN1805" s="12" t="n"/>
      <c r="AO1805" s="14">
        <f>IF($AF1805="保留中",COUNTIF($AF$6:$AF1805,"保留中"),"")</f>
        <v/>
      </c>
      <c r="AP1805" s="14">
        <f>IF($AQ1805="","",IF(SUMPRODUCT(MAX((職員マスタ!$A$6:$A$405=$B1805)*(((職員マスタ!$G$6:$G$405="")+(職員マスタ!$G$6:$G$405&lt;=EOMONTH($AQ1805,0)))&gt;0)*(((職員マスタ!$H$6:$H$405="")+(職員マスタ!$H$6:$H$405&gt;=$AQ1805))&gt;0)*(ROW(職員マスタ!$A$6:$A$405)-5)))&gt;0,SUMPRODUCT(MAX((職員マスタ!$A$6:$A$405=$B1805)*(((職員マスタ!$G$6:$G$405="")+(職員マスタ!$G$6:$G$405&lt;=EOMONTH($AQ1805,0)))&gt;0)*(((職員マスタ!$H$6:$H$405="")+(職員マスタ!$H$6:$H$405&gt;=$AQ1805))&gt;0)*(ROW(職員マスタ!$A$6:$A$405)-5))),IFERROR(MATCH($B1805,職員マスタ!$A$6:$A$405,0),"")))</f>
        <v/>
      </c>
      <c r="AQ1805" s="16">
        <f>IF(OR($B1805="",$C1805="",$D1805=""),"",DATE($C1805+2018,$D1805,1))</f>
        <v/>
      </c>
    </row>
    <row r="1806">
      <c r="A1806" s="11" t="n"/>
      <c r="B1806" s="12" t="n"/>
      <c r="C1806" s="12" t="n"/>
      <c r="D1806" s="12" t="n"/>
      <c r="E1806" s="13" t="n"/>
      <c r="F1806" s="12" t="n"/>
      <c r="G1806" s="13" t="n"/>
      <c r="H1806" s="12" t="n"/>
      <c r="I1806" s="12" t="n"/>
      <c r="J1806" s="12" t="n"/>
      <c r="K1806" s="12" t="n"/>
      <c r="L1806" s="11" t="n"/>
      <c r="M1806" s="11" t="n"/>
      <c r="N1806" s="11" t="n"/>
      <c r="O1806" s="11" t="n"/>
      <c r="P1806" s="12" t="n"/>
      <c r="Q1806" s="11" t="n"/>
      <c r="R1806" s="12" t="n"/>
      <c r="S1806" s="11" t="n"/>
      <c r="T1806" s="12" t="n"/>
      <c r="U1806" s="12" t="n"/>
      <c r="V1806" s="12" t="n"/>
      <c r="W1806" s="13" t="n"/>
      <c r="X1806" s="14">
        <f>IF($AP1806="",IF($B1806="","",$H1806),IF(INDEX(職員マスタ!$B$6:$B$405,$AP1806)="",$H1806,INDEX(職員マスタ!$B$6:$B$405,$AP1806)))</f>
        <v/>
      </c>
      <c r="Y1806" s="14">
        <f>IF($AP1806="",IF($B1806="","",$R1806),IF(INDEX(職員マスタ!$C$6:$C$405,$AP1806)="",$R1806,INDEX(職員マスタ!$C$6:$C$405,$AP1806)))</f>
        <v/>
      </c>
      <c r="Z1806" s="14">
        <f>IF($AQ1806="","","R"&amp;$C1806&amp;"."&amp;$D1806)</f>
        <v/>
      </c>
      <c r="AA1806" s="15">
        <f>IF(IF($AP1806="",FALSE,INDEX(職員マスタ!$K$6:$K$405,$AP1806)&lt;&gt;""),INDEX(職員マスタ!$K$6:$K$405,$AP1806),IF(N($W1806)&gt;0,$W1806,""))</f>
        <v/>
      </c>
      <c r="AB1806" s="14">
        <f>IF(OR($E1806="",$AA1806=""),"",IF($E1806&gt;=$AA1806,"×",IF($E1806&gt;=$AA1806*設定!$C$5,"△","○")))</f>
        <v/>
      </c>
      <c r="AC1806" s="15">
        <f>IF($AB1806="","",IF($AB1806="×",0,IF($AB1806="○",ROUNDDOWN($E1806*設定!$C$4,0),ROUNDDOWN($E1806*ROUND((9*$AA1806-9*$E1806)/(10*$E1806),4),0))))</f>
        <v/>
      </c>
      <c r="AD1806" s="13" t="n"/>
      <c r="AE1806" s="15">
        <f>IF($B1806="","",IF($AD1806&lt;&gt;"",$AD1806,IF($AC1806="","",IF($AC1806&lt;=設定!$C$3,0,$AC1806))))</f>
        <v/>
      </c>
      <c r="AF1806" s="14">
        <f>IF($B1806="","",IF(AND($AG1806&lt;&gt;"",$AI1806="",$AL1806=""),"保留中",IF($AL1806&lt;&gt;"",IF(N($AE1806)&gt;0,"支給済","不支給"),IF($AE1806="","要確認",IF($AE1806=0,"不支給","未処理")))))</f>
        <v/>
      </c>
      <c r="AG1806" s="12" t="n"/>
      <c r="AH1806" s="11" t="n"/>
      <c r="AI1806" s="11" t="n"/>
      <c r="AJ1806" s="11" t="n"/>
      <c r="AK1806" s="14">
        <f>IF(AND($AF1806="保留中",$AH1806&lt;&gt;""),TODAY()-$AH1806,"")</f>
        <v/>
      </c>
      <c r="AL1806" s="12" t="n"/>
      <c r="AM1806" s="14">
        <f>IF($B1806="","",IF($AQ1806="","対象年月が未入力／","")&amp;IF($B1806="","",IF($AP1806="","職員マスタに未登録の職員番号／",IF($AA1806="","標準報酬月額が未登録／","")&amp;IF(AND($AQ1806&lt;&gt;"",OR(AND(INDEX(職員マスタ!$G$6:$G$405,$AP1806)&lt;&gt;"",INDEX(職員マスタ!$G$6:$G$405,$AP1806)&gt;EOMONTH($AQ1806,0)),AND(INDEX(職員マスタ!$H$6:$H$405,$AP1806)&lt;&gt;"",INDEX(職員マスタ!$H$6:$H$405,$AP1806)&lt;$AQ1806))),"対象月が時短期間外／","")&amp;IF(AND(INDEX(職員マスタ!$K$6:$K$405,$AP1806)&lt;&gt;"",N($W1806)&gt;0,INDEX(職員マスタ!$K$6:$K$405,$AP1806)&lt;&gt;$W1806),"標準報酬月額が申請書と相違（台帳"&amp;TEXT(INDEX(職員マスタ!$K$6:$K$405,$AP1806),"#,##0")&amp;"円／申請書"&amp;TEXT($W1806,"#,##0")&amp;"円）／","")&amp;IF(AND(INDEX(職員マスタ!$F$6:$F$405,$AP1806)&lt;&gt;"",$AQ1806&lt;&gt;"",INDEX(職員マスタ!$F$6:$F$405,$AP1806)&lt;$AQ1806),"対象月に子が2歳到達済／","")&amp;IF(AND($H1806&lt;&gt;"",INDEX(職員マスタ!$B$6:$B$405,$AP1806)&lt;&gt;"",SUBSTITUTE(SUBSTITUTE($H1806," ","")," ","")&lt;&gt;SUBSTITUTE(SUBSTITUTE(INDEX(職員マスタ!$B$6:$B$405,$AP1806)," ","")," ","")),"氏名がマスタと相違／","")&amp;IF(AND($Q1806&lt;&gt;"",INDEX(職員マスタ!$E$6:$E$405,$AP1806)&lt;&gt;"",$Q1806&lt;&gt;INDEX(職員マスタ!$E$6:$E$405,$AP1806)),"子の生年月日がマスタと相違／","")&amp;IF(AND($L1806&lt;&gt;"",INDEX(職員マスタ!$G$6:$G$405,$AP1806)&lt;&gt;"",$L1806&lt;&gt;INDEX(職員マスタ!$G$6:$G$405,$AP1806)),"時短開始日がマスタと相違／","")&amp;IF(AND($M1806&lt;&gt;"",INDEX(職員マスタ!$H$6:$H$405,$AP1806)&lt;&gt;"",$M1806&lt;&gt;INDEX(職員マスタ!$H$6:$H$405,$AP1806)),"時短終了日がマスタと相違／","")))&amp;IF(AND($B1806&lt;&gt;"",$E1806=""),"報酬額が未入力／","")&amp;IF(N($U1806)&gt;0,"申請書に入力エラーが残っています／","")&amp;IF(AND($B1806&lt;&gt;"",$AQ1806&lt;&gt;""),IF(COUNTIFS($B$6:$B$3005,$B1806,$C$6:$C$3005,$C1806,$D$6:$D$3005,$D1806)&gt;1,"同じ月の請求が重複しています／",""),"")&amp;IF(AND(N($E1806)&gt;0,$AB1806&lt;&gt;"",$AB1806&lt;&gt;"×",$AE1806=0,$AD1806=""),"計算額が下限以下のため不支給／",""))</f>
        <v/>
      </c>
      <c r="AN1806" s="12" t="n"/>
      <c r="AO1806" s="14">
        <f>IF($AF1806="保留中",COUNTIF($AF$6:$AF1806,"保留中"),"")</f>
        <v/>
      </c>
      <c r="AP1806" s="14">
        <f>IF($AQ1806="","",IF(SUMPRODUCT(MAX((職員マスタ!$A$6:$A$405=$B1806)*(((職員マスタ!$G$6:$G$405="")+(職員マスタ!$G$6:$G$405&lt;=EOMONTH($AQ1806,0)))&gt;0)*(((職員マスタ!$H$6:$H$405="")+(職員マスタ!$H$6:$H$405&gt;=$AQ1806))&gt;0)*(ROW(職員マスタ!$A$6:$A$405)-5)))&gt;0,SUMPRODUCT(MAX((職員マスタ!$A$6:$A$405=$B1806)*(((職員マスタ!$G$6:$G$405="")+(職員マスタ!$G$6:$G$405&lt;=EOMONTH($AQ1806,0)))&gt;0)*(((職員マスタ!$H$6:$H$405="")+(職員マスタ!$H$6:$H$405&gt;=$AQ1806))&gt;0)*(ROW(職員マスタ!$A$6:$A$405)-5))),IFERROR(MATCH($B1806,職員マスタ!$A$6:$A$405,0),"")))</f>
        <v/>
      </c>
      <c r="AQ1806" s="16">
        <f>IF(OR($B1806="",$C1806="",$D1806=""),"",DATE($C1806+2018,$D1806,1))</f>
        <v/>
      </c>
    </row>
    <row r="1807">
      <c r="A1807" s="11" t="n"/>
      <c r="B1807" s="12" t="n"/>
      <c r="C1807" s="12" t="n"/>
      <c r="D1807" s="12" t="n"/>
      <c r="E1807" s="13" t="n"/>
      <c r="F1807" s="12" t="n"/>
      <c r="G1807" s="13" t="n"/>
      <c r="H1807" s="12" t="n"/>
      <c r="I1807" s="12" t="n"/>
      <c r="J1807" s="12" t="n"/>
      <c r="K1807" s="12" t="n"/>
      <c r="L1807" s="11" t="n"/>
      <c r="M1807" s="11" t="n"/>
      <c r="N1807" s="11" t="n"/>
      <c r="O1807" s="11" t="n"/>
      <c r="P1807" s="12" t="n"/>
      <c r="Q1807" s="11" t="n"/>
      <c r="R1807" s="12" t="n"/>
      <c r="S1807" s="11" t="n"/>
      <c r="T1807" s="12" t="n"/>
      <c r="U1807" s="12" t="n"/>
      <c r="V1807" s="12" t="n"/>
      <c r="W1807" s="13" t="n"/>
      <c r="X1807" s="14">
        <f>IF($AP1807="",IF($B1807="","",$H1807),IF(INDEX(職員マスタ!$B$6:$B$405,$AP1807)="",$H1807,INDEX(職員マスタ!$B$6:$B$405,$AP1807)))</f>
        <v/>
      </c>
      <c r="Y1807" s="14">
        <f>IF($AP1807="",IF($B1807="","",$R1807),IF(INDEX(職員マスタ!$C$6:$C$405,$AP1807)="",$R1807,INDEX(職員マスタ!$C$6:$C$405,$AP1807)))</f>
        <v/>
      </c>
      <c r="Z1807" s="14">
        <f>IF($AQ1807="","","R"&amp;$C1807&amp;"."&amp;$D1807)</f>
        <v/>
      </c>
      <c r="AA1807" s="15">
        <f>IF(IF($AP1807="",FALSE,INDEX(職員マスタ!$K$6:$K$405,$AP1807)&lt;&gt;""),INDEX(職員マスタ!$K$6:$K$405,$AP1807),IF(N($W1807)&gt;0,$W1807,""))</f>
        <v/>
      </c>
      <c r="AB1807" s="14">
        <f>IF(OR($E1807="",$AA1807=""),"",IF($E1807&gt;=$AA1807,"×",IF($E1807&gt;=$AA1807*設定!$C$5,"△","○")))</f>
        <v/>
      </c>
      <c r="AC1807" s="15">
        <f>IF($AB1807="","",IF($AB1807="×",0,IF($AB1807="○",ROUNDDOWN($E1807*設定!$C$4,0),ROUNDDOWN($E1807*ROUND((9*$AA1807-9*$E1807)/(10*$E1807),4),0))))</f>
        <v/>
      </c>
      <c r="AD1807" s="13" t="n"/>
      <c r="AE1807" s="15">
        <f>IF($B1807="","",IF($AD1807&lt;&gt;"",$AD1807,IF($AC1807="","",IF($AC1807&lt;=設定!$C$3,0,$AC1807))))</f>
        <v/>
      </c>
      <c r="AF1807" s="14">
        <f>IF($B1807="","",IF(AND($AG1807&lt;&gt;"",$AI1807="",$AL1807=""),"保留中",IF($AL1807&lt;&gt;"",IF(N($AE1807)&gt;0,"支給済","不支給"),IF($AE1807="","要確認",IF($AE1807=0,"不支給","未処理")))))</f>
        <v/>
      </c>
      <c r="AG1807" s="12" t="n"/>
      <c r="AH1807" s="11" t="n"/>
      <c r="AI1807" s="11" t="n"/>
      <c r="AJ1807" s="11" t="n"/>
      <c r="AK1807" s="14">
        <f>IF(AND($AF1807="保留中",$AH1807&lt;&gt;""),TODAY()-$AH1807,"")</f>
        <v/>
      </c>
      <c r="AL1807" s="12" t="n"/>
      <c r="AM1807" s="14">
        <f>IF($B1807="","",IF($AQ1807="","対象年月が未入力／","")&amp;IF($B1807="","",IF($AP1807="","職員マスタに未登録の職員番号／",IF($AA1807="","標準報酬月額が未登録／","")&amp;IF(AND($AQ1807&lt;&gt;"",OR(AND(INDEX(職員マスタ!$G$6:$G$405,$AP1807)&lt;&gt;"",INDEX(職員マスタ!$G$6:$G$405,$AP1807)&gt;EOMONTH($AQ1807,0)),AND(INDEX(職員マスタ!$H$6:$H$405,$AP1807)&lt;&gt;"",INDEX(職員マスタ!$H$6:$H$405,$AP1807)&lt;$AQ1807))),"対象月が時短期間外／","")&amp;IF(AND(INDEX(職員マスタ!$K$6:$K$405,$AP1807)&lt;&gt;"",N($W1807)&gt;0,INDEX(職員マスタ!$K$6:$K$405,$AP1807)&lt;&gt;$W1807),"標準報酬月額が申請書と相違（台帳"&amp;TEXT(INDEX(職員マスタ!$K$6:$K$405,$AP1807),"#,##0")&amp;"円／申請書"&amp;TEXT($W1807,"#,##0")&amp;"円）／","")&amp;IF(AND(INDEX(職員マスタ!$F$6:$F$405,$AP1807)&lt;&gt;"",$AQ1807&lt;&gt;"",INDEX(職員マスタ!$F$6:$F$405,$AP1807)&lt;$AQ1807),"対象月に子が2歳到達済／","")&amp;IF(AND($H1807&lt;&gt;"",INDEX(職員マスタ!$B$6:$B$405,$AP1807)&lt;&gt;"",SUBSTITUTE(SUBSTITUTE($H1807," ","")," ","")&lt;&gt;SUBSTITUTE(SUBSTITUTE(INDEX(職員マスタ!$B$6:$B$405,$AP1807)," ","")," ","")),"氏名がマスタと相違／","")&amp;IF(AND($Q1807&lt;&gt;"",INDEX(職員マスタ!$E$6:$E$405,$AP1807)&lt;&gt;"",$Q1807&lt;&gt;INDEX(職員マスタ!$E$6:$E$405,$AP1807)),"子の生年月日がマスタと相違／","")&amp;IF(AND($L1807&lt;&gt;"",INDEX(職員マスタ!$G$6:$G$405,$AP1807)&lt;&gt;"",$L1807&lt;&gt;INDEX(職員マスタ!$G$6:$G$405,$AP1807)),"時短開始日がマスタと相違／","")&amp;IF(AND($M1807&lt;&gt;"",INDEX(職員マスタ!$H$6:$H$405,$AP1807)&lt;&gt;"",$M1807&lt;&gt;INDEX(職員マスタ!$H$6:$H$405,$AP1807)),"時短終了日がマスタと相違／","")))&amp;IF(AND($B1807&lt;&gt;"",$E1807=""),"報酬額が未入力／","")&amp;IF(N($U1807)&gt;0,"申請書に入力エラーが残っています／","")&amp;IF(AND($B1807&lt;&gt;"",$AQ1807&lt;&gt;""),IF(COUNTIFS($B$6:$B$3005,$B1807,$C$6:$C$3005,$C1807,$D$6:$D$3005,$D1807)&gt;1,"同じ月の請求が重複しています／",""),"")&amp;IF(AND(N($E1807)&gt;0,$AB1807&lt;&gt;"",$AB1807&lt;&gt;"×",$AE1807=0,$AD1807=""),"計算額が下限以下のため不支給／",""))</f>
        <v/>
      </c>
      <c r="AN1807" s="12" t="n"/>
      <c r="AO1807" s="14">
        <f>IF($AF1807="保留中",COUNTIF($AF$6:$AF1807,"保留中"),"")</f>
        <v/>
      </c>
      <c r="AP1807" s="14">
        <f>IF($AQ1807="","",IF(SUMPRODUCT(MAX((職員マスタ!$A$6:$A$405=$B1807)*(((職員マスタ!$G$6:$G$405="")+(職員マスタ!$G$6:$G$405&lt;=EOMONTH($AQ1807,0)))&gt;0)*(((職員マスタ!$H$6:$H$405="")+(職員マスタ!$H$6:$H$405&gt;=$AQ1807))&gt;0)*(ROW(職員マスタ!$A$6:$A$405)-5)))&gt;0,SUMPRODUCT(MAX((職員マスタ!$A$6:$A$405=$B1807)*(((職員マスタ!$G$6:$G$405="")+(職員マスタ!$G$6:$G$405&lt;=EOMONTH($AQ1807,0)))&gt;0)*(((職員マスタ!$H$6:$H$405="")+(職員マスタ!$H$6:$H$405&gt;=$AQ1807))&gt;0)*(ROW(職員マスタ!$A$6:$A$405)-5))),IFERROR(MATCH($B1807,職員マスタ!$A$6:$A$405,0),"")))</f>
        <v/>
      </c>
      <c r="AQ1807" s="16">
        <f>IF(OR($B1807="",$C1807="",$D1807=""),"",DATE($C1807+2018,$D1807,1))</f>
        <v/>
      </c>
    </row>
    <row r="1808">
      <c r="A1808" s="11" t="n"/>
      <c r="B1808" s="12" t="n"/>
      <c r="C1808" s="12" t="n"/>
      <c r="D1808" s="12" t="n"/>
      <c r="E1808" s="13" t="n"/>
      <c r="F1808" s="12" t="n"/>
      <c r="G1808" s="13" t="n"/>
      <c r="H1808" s="12" t="n"/>
      <c r="I1808" s="12" t="n"/>
      <c r="J1808" s="12" t="n"/>
      <c r="K1808" s="12" t="n"/>
      <c r="L1808" s="11" t="n"/>
      <c r="M1808" s="11" t="n"/>
      <c r="N1808" s="11" t="n"/>
      <c r="O1808" s="11" t="n"/>
      <c r="P1808" s="12" t="n"/>
      <c r="Q1808" s="11" t="n"/>
      <c r="R1808" s="12" t="n"/>
      <c r="S1808" s="11" t="n"/>
      <c r="T1808" s="12" t="n"/>
      <c r="U1808" s="12" t="n"/>
      <c r="V1808" s="12" t="n"/>
      <c r="W1808" s="13" t="n"/>
      <c r="X1808" s="14">
        <f>IF($AP1808="",IF($B1808="","",$H1808),IF(INDEX(職員マスタ!$B$6:$B$405,$AP1808)="",$H1808,INDEX(職員マスタ!$B$6:$B$405,$AP1808)))</f>
        <v/>
      </c>
      <c r="Y1808" s="14">
        <f>IF($AP1808="",IF($B1808="","",$R1808),IF(INDEX(職員マスタ!$C$6:$C$405,$AP1808)="",$R1808,INDEX(職員マスタ!$C$6:$C$405,$AP1808)))</f>
        <v/>
      </c>
      <c r="Z1808" s="14">
        <f>IF($AQ1808="","","R"&amp;$C1808&amp;"."&amp;$D1808)</f>
        <v/>
      </c>
      <c r="AA1808" s="15">
        <f>IF(IF($AP1808="",FALSE,INDEX(職員マスタ!$K$6:$K$405,$AP1808)&lt;&gt;""),INDEX(職員マスタ!$K$6:$K$405,$AP1808),IF(N($W1808)&gt;0,$W1808,""))</f>
        <v/>
      </c>
      <c r="AB1808" s="14">
        <f>IF(OR($E1808="",$AA1808=""),"",IF($E1808&gt;=$AA1808,"×",IF($E1808&gt;=$AA1808*設定!$C$5,"△","○")))</f>
        <v/>
      </c>
      <c r="AC1808" s="15">
        <f>IF($AB1808="","",IF($AB1808="×",0,IF($AB1808="○",ROUNDDOWN($E1808*設定!$C$4,0),ROUNDDOWN($E1808*ROUND((9*$AA1808-9*$E1808)/(10*$E1808),4),0))))</f>
        <v/>
      </c>
      <c r="AD1808" s="13" t="n"/>
      <c r="AE1808" s="15">
        <f>IF($B1808="","",IF($AD1808&lt;&gt;"",$AD1808,IF($AC1808="","",IF($AC1808&lt;=設定!$C$3,0,$AC1808))))</f>
        <v/>
      </c>
      <c r="AF1808" s="14">
        <f>IF($B1808="","",IF(AND($AG1808&lt;&gt;"",$AI1808="",$AL1808=""),"保留中",IF($AL1808&lt;&gt;"",IF(N($AE1808)&gt;0,"支給済","不支給"),IF($AE1808="","要確認",IF($AE1808=0,"不支給","未処理")))))</f>
        <v/>
      </c>
      <c r="AG1808" s="12" t="n"/>
      <c r="AH1808" s="11" t="n"/>
      <c r="AI1808" s="11" t="n"/>
      <c r="AJ1808" s="11" t="n"/>
      <c r="AK1808" s="14">
        <f>IF(AND($AF1808="保留中",$AH1808&lt;&gt;""),TODAY()-$AH1808,"")</f>
        <v/>
      </c>
      <c r="AL1808" s="12" t="n"/>
      <c r="AM1808" s="14">
        <f>IF($B1808="","",IF($AQ1808="","対象年月が未入力／","")&amp;IF($B1808="","",IF($AP1808="","職員マスタに未登録の職員番号／",IF($AA1808="","標準報酬月額が未登録／","")&amp;IF(AND($AQ1808&lt;&gt;"",OR(AND(INDEX(職員マスタ!$G$6:$G$405,$AP1808)&lt;&gt;"",INDEX(職員マスタ!$G$6:$G$405,$AP1808)&gt;EOMONTH($AQ1808,0)),AND(INDEX(職員マスタ!$H$6:$H$405,$AP1808)&lt;&gt;"",INDEX(職員マスタ!$H$6:$H$405,$AP1808)&lt;$AQ1808))),"対象月が時短期間外／","")&amp;IF(AND(INDEX(職員マスタ!$K$6:$K$405,$AP1808)&lt;&gt;"",N($W1808)&gt;0,INDEX(職員マスタ!$K$6:$K$405,$AP1808)&lt;&gt;$W1808),"標準報酬月額が申請書と相違（台帳"&amp;TEXT(INDEX(職員マスタ!$K$6:$K$405,$AP1808),"#,##0")&amp;"円／申請書"&amp;TEXT($W1808,"#,##0")&amp;"円）／","")&amp;IF(AND(INDEX(職員マスタ!$F$6:$F$405,$AP1808)&lt;&gt;"",$AQ1808&lt;&gt;"",INDEX(職員マスタ!$F$6:$F$405,$AP1808)&lt;$AQ1808),"対象月に子が2歳到達済／","")&amp;IF(AND($H1808&lt;&gt;"",INDEX(職員マスタ!$B$6:$B$405,$AP1808)&lt;&gt;"",SUBSTITUTE(SUBSTITUTE($H1808," ","")," ","")&lt;&gt;SUBSTITUTE(SUBSTITUTE(INDEX(職員マスタ!$B$6:$B$405,$AP1808)," ","")," ","")),"氏名がマスタと相違／","")&amp;IF(AND($Q1808&lt;&gt;"",INDEX(職員マスタ!$E$6:$E$405,$AP1808)&lt;&gt;"",$Q1808&lt;&gt;INDEX(職員マスタ!$E$6:$E$405,$AP1808)),"子の生年月日がマスタと相違／","")&amp;IF(AND($L1808&lt;&gt;"",INDEX(職員マスタ!$G$6:$G$405,$AP1808)&lt;&gt;"",$L1808&lt;&gt;INDEX(職員マスタ!$G$6:$G$405,$AP1808)),"時短開始日がマスタと相違／","")&amp;IF(AND($M1808&lt;&gt;"",INDEX(職員マスタ!$H$6:$H$405,$AP1808)&lt;&gt;"",$M1808&lt;&gt;INDEX(職員マスタ!$H$6:$H$405,$AP1808)),"時短終了日がマスタと相違／","")))&amp;IF(AND($B1808&lt;&gt;"",$E1808=""),"報酬額が未入力／","")&amp;IF(N($U1808)&gt;0,"申請書に入力エラーが残っています／","")&amp;IF(AND($B1808&lt;&gt;"",$AQ1808&lt;&gt;""),IF(COUNTIFS($B$6:$B$3005,$B1808,$C$6:$C$3005,$C1808,$D$6:$D$3005,$D1808)&gt;1,"同じ月の請求が重複しています／",""),"")&amp;IF(AND(N($E1808)&gt;0,$AB1808&lt;&gt;"",$AB1808&lt;&gt;"×",$AE1808=0,$AD1808=""),"計算額が下限以下のため不支給／",""))</f>
        <v/>
      </c>
      <c r="AN1808" s="12" t="n"/>
      <c r="AO1808" s="14">
        <f>IF($AF1808="保留中",COUNTIF($AF$6:$AF1808,"保留中"),"")</f>
        <v/>
      </c>
      <c r="AP1808" s="14">
        <f>IF($AQ1808="","",IF(SUMPRODUCT(MAX((職員マスタ!$A$6:$A$405=$B1808)*(((職員マスタ!$G$6:$G$405="")+(職員マスタ!$G$6:$G$405&lt;=EOMONTH($AQ1808,0)))&gt;0)*(((職員マスタ!$H$6:$H$405="")+(職員マスタ!$H$6:$H$405&gt;=$AQ1808))&gt;0)*(ROW(職員マスタ!$A$6:$A$405)-5)))&gt;0,SUMPRODUCT(MAX((職員マスタ!$A$6:$A$405=$B1808)*(((職員マスタ!$G$6:$G$405="")+(職員マスタ!$G$6:$G$405&lt;=EOMONTH($AQ1808,0)))&gt;0)*(((職員マスタ!$H$6:$H$405="")+(職員マスタ!$H$6:$H$405&gt;=$AQ1808))&gt;0)*(ROW(職員マスタ!$A$6:$A$405)-5))),IFERROR(MATCH($B1808,職員マスタ!$A$6:$A$405,0),"")))</f>
        <v/>
      </c>
      <c r="AQ1808" s="16">
        <f>IF(OR($B1808="",$C1808="",$D1808=""),"",DATE($C1808+2018,$D1808,1))</f>
        <v/>
      </c>
    </row>
    <row r="1809">
      <c r="A1809" s="11" t="n"/>
      <c r="B1809" s="12" t="n"/>
      <c r="C1809" s="12" t="n"/>
      <c r="D1809" s="12" t="n"/>
      <c r="E1809" s="13" t="n"/>
      <c r="F1809" s="12" t="n"/>
      <c r="G1809" s="13" t="n"/>
      <c r="H1809" s="12" t="n"/>
      <c r="I1809" s="12" t="n"/>
      <c r="J1809" s="12" t="n"/>
      <c r="K1809" s="12" t="n"/>
      <c r="L1809" s="11" t="n"/>
      <c r="M1809" s="11" t="n"/>
      <c r="N1809" s="11" t="n"/>
      <c r="O1809" s="11" t="n"/>
      <c r="P1809" s="12" t="n"/>
      <c r="Q1809" s="11" t="n"/>
      <c r="R1809" s="12" t="n"/>
      <c r="S1809" s="11" t="n"/>
      <c r="T1809" s="12" t="n"/>
      <c r="U1809" s="12" t="n"/>
      <c r="V1809" s="12" t="n"/>
      <c r="W1809" s="13" t="n"/>
      <c r="X1809" s="14">
        <f>IF($AP1809="",IF($B1809="","",$H1809),IF(INDEX(職員マスタ!$B$6:$B$405,$AP1809)="",$H1809,INDEX(職員マスタ!$B$6:$B$405,$AP1809)))</f>
        <v/>
      </c>
      <c r="Y1809" s="14">
        <f>IF($AP1809="",IF($B1809="","",$R1809),IF(INDEX(職員マスタ!$C$6:$C$405,$AP1809)="",$R1809,INDEX(職員マスタ!$C$6:$C$405,$AP1809)))</f>
        <v/>
      </c>
      <c r="Z1809" s="14">
        <f>IF($AQ1809="","","R"&amp;$C1809&amp;"."&amp;$D1809)</f>
        <v/>
      </c>
      <c r="AA1809" s="15">
        <f>IF(IF($AP1809="",FALSE,INDEX(職員マスタ!$K$6:$K$405,$AP1809)&lt;&gt;""),INDEX(職員マスタ!$K$6:$K$405,$AP1809),IF(N($W1809)&gt;0,$W1809,""))</f>
        <v/>
      </c>
      <c r="AB1809" s="14">
        <f>IF(OR($E1809="",$AA1809=""),"",IF($E1809&gt;=$AA1809,"×",IF($E1809&gt;=$AA1809*設定!$C$5,"△","○")))</f>
        <v/>
      </c>
      <c r="AC1809" s="15">
        <f>IF($AB1809="","",IF($AB1809="×",0,IF($AB1809="○",ROUNDDOWN($E1809*設定!$C$4,0),ROUNDDOWN($E1809*ROUND((9*$AA1809-9*$E1809)/(10*$E1809),4),0))))</f>
        <v/>
      </c>
      <c r="AD1809" s="13" t="n"/>
      <c r="AE1809" s="15">
        <f>IF($B1809="","",IF($AD1809&lt;&gt;"",$AD1809,IF($AC1809="","",IF($AC1809&lt;=設定!$C$3,0,$AC1809))))</f>
        <v/>
      </c>
      <c r="AF1809" s="14">
        <f>IF($B1809="","",IF(AND($AG1809&lt;&gt;"",$AI1809="",$AL1809=""),"保留中",IF($AL1809&lt;&gt;"",IF(N($AE1809)&gt;0,"支給済","不支給"),IF($AE1809="","要確認",IF($AE1809=0,"不支給","未処理")))))</f>
        <v/>
      </c>
      <c r="AG1809" s="12" t="n"/>
      <c r="AH1809" s="11" t="n"/>
      <c r="AI1809" s="11" t="n"/>
      <c r="AJ1809" s="11" t="n"/>
      <c r="AK1809" s="14">
        <f>IF(AND($AF1809="保留中",$AH1809&lt;&gt;""),TODAY()-$AH1809,"")</f>
        <v/>
      </c>
      <c r="AL1809" s="12" t="n"/>
      <c r="AM1809" s="14">
        <f>IF($B1809="","",IF($AQ1809="","対象年月が未入力／","")&amp;IF($B1809="","",IF($AP1809="","職員マスタに未登録の職員番号／",IF($AA1809="","標準報酬月額が未登録／","")&amp;IF(AND($AQ1809&lt;&gt;"",OR(AND(INDEX(職員マスタ!$G$6:$G$405,$AP1809)&lt;&gt;"",INDEX(職員マスタ!$G$6:$G$405,$AP1809)&gt;EOMONTH($AQ1809,0)),AND(INDEX(職員マスタ!$H$6:$H$405,$AP1809)&lt;&gt;"",INDEX(職員マスタ!$H$6:$H$405,$AP1809)&lt;$AQ1809))),"対象月が時短期間外／","")&amp;IF(AND(INDEX(職員マスタ!$K$6:$K$405,$AP1809)&lt;&gt;"",N($W1809)&gt;0,INDEX(職員マスタ!$K$6:$K$405,$AP1809)&lt;&gt;$W1809),"標準報酬月額が申請書と相違（台帳"&amp;TEXT(INDEX(職員マスタ!$K$6:$K$405,$AP1809),"#,##0")&amp;"円／申請書"&amp;TEXT($W1809,"#,##0")&amp;"円）／","")&amp;IF(AND(INDEX(職員マスタ!$F$6:$F$405,$AP1809)&lt;&gt;"",$AQ1809&lt;&gt;"",INDEX(職員マスタ!$F$6:$F$405,$AP1809)&lt;$AQ1809),"対象月に子が2歳到達済／","")&amp;IF(AND($H1809&lt;&gt;"",INDEX(職員マスタ!$B$6:$B$405,$AP1809)&lt;&gt;"",SUBSTITUTE(SUBSTITUTE($H1809," ","")," ","")&lt;&gt;SUBSTITUTE(SUBSTITUTE(INDEX(職員マスタ!$B$6:$B$405,$AP1809)," ","")," ","")),"氏名がマスタと相違／","")&amp;IF(AND($Q1809&lt;&gt;"",INDEX(職員マスタ!$E$6:$E$405,$AP1809)&lt;&gt;"",$Q1809&lt;&gt;INDEX(職員マスタ!$E$6:$E$405,$AP1809)),"子の生年月日がマスタと相違／","")&amp;IF(AND($L1809&lt;&gt;"",INDEX(職員マスタ!$G$6:$G$405,$AP1809)&lt;&gt;"",$L1809&lt;&gt;INDEX(職員マスタ!$G$6:$G$405,$AP1809)),"時短開始日がマスタと相違／","")&amp;IF(AND($M1809&lt;&gt;"",INDEX(職員マスタ!$H$6:$H$405,$AP1809)&lt;&gt;"",$M1809&lt;&gt;INDEX(職員マスタ!$H$6:$H$405,$AP1809)),"時短終了日がマスタと相違／","")))&amp;IF(AND($B1809&lt;&gt;"",$E1809=""),"報酬額が未入力／","")&amp;IF(N($U1809)&gt;0,"申請書に入力エラーが残っています／","")&amp;IF(AND($B1809&lt;&gt;"",$AQ1809&lt;&gt;""),IF(COUNTIFS($B$6:$B$3005,$B1809,$C$6:$C$3005,$C1809,$D$6:$D$3005,$D1809)&gt;1,"同じ月の請求が重複しています／",""),"")&amp;IF(AND(N($E1809)&gt;0,$AB1809&lt;&gt;"",$AB1809&lt;&gt;"×",$AE1809=0,$AD1809=""),"計算額が下限以下のため不支給／",""))</f>
        <v/>
      </c>
      <c r="AN1809" s="12" t="n"/>
      <c r="AO1809" s="14">
        <f>IF($AF1809="保留中",COUNTIF($AF$6:$AF1809,"保留中"),"")</f>
        <v/>
      </c>
      <c r="AP1809" s="14">
        <f>IF($AQ1809="","",IF(SUMPRODUCT(MAX((職員マスタ!$A$6:$A$405=$B1809)*(((職員マスタ!$G$6:$G$405="")+(職員マスタ!$G$6:$G$405&lt;=EOMONTH($AQ1809,0)))&gt;0)*(((職員マスタ!$H$6:$H$405="")+(職員マスタ!$H$6:$H$405&gt;=$AQ1809))&gt;0)*(ROW(職員マスタ!$A$6:$A$405)-5)))&gt;0,SUMPRODUCT(MAX((職員マスタ!$A$6:$A$405=$B1809)*(((職員マスタ!$G$6:$G$405="")+(職員マスタ!$G$6:$G$405&lt;=EOMONTH($AQ1809,0)))&gt;0)*(((職員マスタ!$H$6:$H$405="")+(職員マスタ!$H$6:$H$405&gt;=$AQ1809))&gt;0)*(ROW(職員マスタ!$A$6:$A$405)-5))),IFERROR(MATCH($B1809,職員マスタ!$A$6:$A$405,0),"")))</f>
        <v/>
      </c>
      <c r="AQ1809" s="16">
        <f>IF(OR($B1809="",$C1809="",$D1809=""),"",DATE($C1809+2018,$D1809,1))</f>
        <v/>
      </c>
    </row>
    <row r="1810">
      <c r="A1810" s="11" t="n"/>
      <c r="B1810" s="12" t="n"/>
      <c r="C1810" s="12" t="n"/>
      <c r="D1810" s="12" t="n"/>
      <c r="E1810" s="13" t="n"/>
      <c r="F1810" s="12" t="n"/>
      <c r="G1810" s="13" t="n"/>
      <c r="H1810" s="12" t="n"/>
      <c r="I1810" s="12" t="n"/>
      <c r="J1810" s="12" t="n"/>
      <c r="K1810" s="12" t="n"/>
      <c r="L1810" s="11" t="n"/>
      <c r="M1810" s="11" t="n"/>
      <c r="N1810" s="11" t="n"/>
      <c r="O1810" s="11" t="n"/>
      <c r="P1810" s="12" t="n"/>
      <c r="Q1810" s="11" t="n"/>
      <c r="R1810" s="12" t="n"/>
      <c r="S1810" s="11" t="n"/>
      <c r="T1810" s="12" t="n"/>
      <c r="U1810" s="12" t="n"/>
      <c r="V1810" s="12" t="n"/>
      <c r="W1810" s="13" t="n"/>
      <c r="X1810" s="14">
        <f>IF($AP1810="",IF($B1810="","",$H1810),IF(INDEX(職員マスタ!$B$6:$B$405,$AP1810)="",$H1810,INDEX(職員マスタ!$B$6:$B$405,$AP1810)))</f>
        <v/>
      </c>
      <c r="Y1810" s="14">
        <f>IF($AP1810="",IF($B1810="","",$R1810),IF(INDEX(職員マスタ!$C$6:$C$405,$AP1810)="",$R1810,INDEX(職員マスタ!$C$6:$C$405,$AP1810)))</f>
        <v/>
      </c>
      <c r="Z1810" s="14">
        <f>IF($AQ1810="","","R"&amp;$C1810&amp;"."&amp;$D1810)</f>
        <v/>
      </c>
      <c r="AA1810" s="15">
        <f>IF(IF($AP1810="",FALSE,INDEX(職員マスタ!$K$6:$K$405,$AP1810)&lt;&gt;""),INDEX(職員マスタ!$K$6:$K$405,$AP1810),IF(N($W1810)&gt;0,$W1810,""))</f>
        <v/>
      </c>
      <c r="AB1810" s="14">
        <f>IF(OR($E1810="",$AA1810=""),"",IF($E1810&gt;=$AA1810,"×",IF($E1810&gt;=$AA1810*設定!$C$5,"△","○")))</f>
        <v/>
      </c>
      <c r="AC1810" s="15">
        <f>IF($AB1810="","",IF($AB1810="×",0,IF($AB1810="○",ROUNDDOWN($E1810*設定!$C$4,0),ROUNDDOWN($E1810*ROUND((9*$AA1810-9*$E1810)/(10*$E1810),4),0))))</f>
        <v/>
      </c>
      <c r="AD1810" s="13" t="n"/>
      <c r="AE1810" s="15">
        <f>IF($B1810="","",IF($AD1810&lt;&gt;"",$AD1810,IF($AC1810="","",IF($AC1810&lt;=設定!$C$3,0,$AC1810))))</f>
        <v/>
      </c>
      <c r="AF1810" s="14">
        <f>IF($B1810="","",IF(AND($AG1810&lt;&gt;"",$AI1810="",$AL1810=""),"保留中",IF($AL1810&lt;&gt;"",IF(N($AE1810)&gt;0,"支給済","不支給"),IF($AE1810="","要確認",IF($AE1810=0,"不支給","未処理")))))</f>
        <v/>
      </c>
      <c r="AG1810" s="12" t="n"/>
      <c r="AH1810" s="11" t="n"/>
      <c r="AI1810" s="11" t="n"/>
      <c r="AJ1810" s="11" t="n"/>
      <c r="AK1810" s="14">
        <f>IF(AND($AF1810="保留中",$AH1810&lt;&gt;""),TODAY()-$AH1810,"")</f>
        <v/>
      </c>
      <c r="AL1810" s="12" t="n"/>
      <c r="AM1810" s="14">
        <f>IF($B1810="","",IF($AQ1810="","対象年月が未入力／","")&amp;IF($B1810="","",IF($AP1810="","職員マスタに未登録の職員番号／",IF($AA1810="","標準報酬月額が未登録／","")&amp;IF(AND($AQ1810&lt;&gt;"",OR(AND(INDEX(職員マスタ!$G$6:$G$405,$AP1810)&lt;&gt;"",INDEX(職員マスタ!$G$6:$G$405,$AP1810)&gt;EOMONTH($AQ1810,0)),AND(INDEX(職員マスタ!$H$6:$H$405,$AP1810)&lt;&gt;"",INDEX(職員マスタ!$H$6:$H$405,$AP1810)&lt;$AQ1810))),"対象月が時短期間外／","")&amp;IF(AND(INDEX(職員マスタ!$K$6:$K$405,$AP1810)&lt;&gt;"",N($W1810)&gt;0,INDEX(職員マスタ!$K$6:$K$405,$AP1810)&lt;&gt;$W1810),"標準報酬月額が申請書と相違（台帳"&amp;TEXT(INDEX(職員マスタ!$K$6:$K$405,$AP1810),"#,##0")&amp;"円／申請書"&amp;TEXT($W1810,"#,##0")&amp;"円）／","")&amp;IF(AND(INDEX(職員マスタ!$F$6:$F$405,$AP1810)&lt;&gt;"",$AQ1810&lt;&gt;"",INDEX(職員マスタ!$F$6:$F$405,$AP1810)&lt;$AQ1810),"対象月に子が2歳到達済／","")&amp;IF(AND($H1810&lt;&gt;"",INDEX(職員マスタ!$B$6:$B$405,$AP1810)&lt;&gt;"",SUBSTITUTE(SUBSTITUTE($H1810," ","")," ","")&lt;&gt;SUBSTITUTE(SUBSTITUTE(INDEX(職員マスタ!$B$6:$B$405,$AP1810)," ","")," ","")),"氏名がマスタと相違／","")&amp;IF(AND($Q1810&lt;&gt;"",INDEX(職員マスタ!$E$6:$E$405,$AP1810)&lt;&gt;"",$Q1810&lt;&gt;INDEX(職員マスタ!$E$6:$E$405,$AP1810)),"子の生年月日がマスタと相違／","")&amp;IF(AND($L1810&lt;&gt;"",INDEX(職員マスタ!$G$6:$G$405,$AP1810)&lt;&gt;"",$L1810&lt;&gt;INDEX(職員マスタ!$G$6:$G$405,$AP1810)),"時短開始日がマスタと相違／","")&amp;IF(AND($M1810&lt;&gt;"",INDEX(職員マスタ!$H$6:$H$405,$AP1810)&lt;&gt;"",$M1810&lt;&gt;INDEX(職員マスタ!$H$6:$H$405,$AP1810)),"時短終了日がマスタと相違／","")))&amp;IF(AND($B1810&lt;&gt;"",$E1810=""),"報酬額が未入力／","")&amp;IF(N($U1810)&gt;0,"申請書に入力エラーが残っています／","")&amp;IF(AND($B1810&lt;&gt;"",$AQ1810&lt;&gt;""),IF(COUNTIFS($B$6:$B$3005,$B1810,$C$6:$C$3005,$C1810,$D$6:$D$3005,$D1810)&gt;1,"同じ月の請求が重複しています／",""),"")&amp;IF(AND(N($E1810)&gt;0,$AB1810&lt;&gt;"",$AB1810&lt;&gt;"×",$AE1810=0,$AD1810=""),"計算額が下限以下のため不支給／",""))</f>
        <v/>
      </c>
      <c r="AN1810" s="12" t="n"/>
      <c r="AO1810" s="14">
        <f>IF($AF1810="保留中",COUNTIF($AF$6:$AF1810,"保留中"),"")</f>
        <v/>
      </c>
      <c r="AP1810" s="14">
        <f>IF($AQ1810="","",IF(SUMPRODUCT(MAX((職員マスタ!$A$6:$A$405=$B1810)*(((職員マスタ!$G$6:$G$405="")+(職員マスタ!$G$6:$G$405&lt;=EOMONTH($AQ1810,0)))&gt;0)*(((職員マスタ!$H$6:$H$405="")+(職員マスタ!$H$6:$H$405&gt;=$AQ1810))&gt;0)*(ROW(職員マスタ!$A$6:$A$405)-5)))&gt;0,SUMPRODUCT(MAX((職員マスタ!$A$6:$A$405=$B1810)*(((職員マスタ!$G$6:$G$405="")+(職員マスタ!$G$6:$G$405&lt;=EOMONTH($AQ1810,0)))&gt;0)*(((職員マスタ!$H$6:$H$405="")+(職員マスタ!$H$6:$H$405&gt;=$AQ1810))&gt;0)*(ROW(職員マスタ!$A$6:$A$405)-5))),IFERROR(MATCH($B1810,職員マスタ!$A$6:$A$405,0),"")))</f>
        <v/>
      </c>
      <c r="AQ1810" s="16">
        <f>IF(OR($B1810="",$C1810="",$D1810=""),"",DATE($C1810+2018,$D1810,1))</f>
        <v/>
      </c>
    </row>
    <row r="1811">
      <c r="A1811" s="11" t="n"/>
      <c r="B1811" s="12" t="n"/>
      <c r="C1811" s="12" t="n"/>
      <c r="D1811" s="12" t="n"/>
      <c r="E1811" s="13" t="n"/>
      <c r="F1811" s="12" t="n"/>
      <c r="G1811" s="13" t="n"/>
      <c r="H1811" s="12" t="n"/>
      <c r="I1811" s="12" t="n"/>
      <c r="J1811" s="12" t="n"/>
      <c r="K1811" s="12" t="n"/>
      <c r="L1811" s="11" t="n"/>
      <c r="M1811" s="11" t="n"/>
      <c r="N1811" s="11" t="n"/>
      <c r="O1811" s="11" t="n"/>
      <c r="P1811" s="12" t="n"/>
      <c r="Q1811" s="11" t="n"/>
      <c r="R1811" s="12" t="n"/>
      <c r="S1811" s="11" t="n"/>
      <c r="T1811" s="12" t="n"/>
      <c r="U1811" s="12" t="n"/>
      <c r="V1811" s="12" t="n"/>
      <c r="W1811" s="13" t="n"/>
      <c r="X1811" s="14">
        <f>IF($AP1811="",IF($B1811="","",$H1811),IF(INDEX(職員マスタ!$B$6:$B$405,$AP1811)="",$H1811,INDEX(職員マスタ!$B$6:$B$405,$AP1811)))</f>
        <v/>
      </c>
      <c r="Y1811" s="14">
        <f>IF($AP1811="",IF($B1811="","",$R1811),IF(INDEX(職員マスタ!$C$6:$C$405,$AP1811)="",$R1811,INDEX(職員マスタ!$C$6:$C$405,$AP1811)))</f>
        <v/>
      </c>
      <c r="Z1811" s="14">
        <f>IF($AQ1811="","","R"&amp;$C1811&amp;"."&amp;$D1811)</f>
        <v/>
      </c>
      <c r="AA1811" s="15">
        <f>IF(IF($AP1811="",FALSE,INDEX(職員マスタ!$K$6:$K$405,$AP1811)&lt;&gt;""),INDEX(職員マスタ!$K$6:$K$405,$AP1811),IF(N($W1811)&gt;0,$W1811,""))</f>
        <v/>
      </c>
      <c r="AB1811" s="14">
        <f>IF(OR($E1811="",$AA1811=""),"",IF($E1811&gt;=$AA1811,"×",IF($E1811&gt;=$AA1811*設定!$C$5,"△","○")))</f>
        <v/>
      </c>
      <c r="AC1811" s="15">
        <f>IF($AB1811="","",IF($AB1811="×",0,IF($AB1811="○",ROUNDDOWN($E1811*設定!$C$4,0),ROUNDDOWN($E1811*ROUND((9*$AA1811-9*$E1811)/(10*$E1811),4),0))))</f>
        <v/>
      </c>
      <c r="AD1811" s="13" t="n"/>
      <c r="AE1811" s="15">
        <f>IF($B1811="","",IF($AD1811&lt;&gt;"",$AD1811,IF($AC1811="","",IF($AC1811&lt;=設定!$C$3,0,$AC1811))))</f>
        <v/>
      </c>
      <c r="AF1811" s="14">
        <f>IF($B1811="","",IF(AND($AG1811&lt;&gt;"",$AI1811="",$AL1811=""),"保留中",IF($AL1811&lt;&gt;"",IF(N($AE1811)&gt;0,"支給済","不支給"),IF($AE1811="","要確認",IF($AE1811=0,"不支給","未処理")))))</f>
        <v/>
      </c>
      <c r="AG1811" s="12" t="n"/>
      <c r="AH1811" s="11" t="n"/>
      <c r="AI1811" s="11" t="n"/>
      <c r="AJ1811" s="11" t="n"/>
      <c r="AK1811" s="14">
        <f>IF(AND($AF1811="保留中",$AH1811&lt;&gt;""),TODAY()-$AH1811,"")</f>
        <v/>
      </c>
      <c r="AL1811" s="12" t="n"/>
      <c r="AM1811" s="14">
        <f>IF($B1811="","",IF($AQ1811="","対象年月が未入力／","")&amp;IF($B1811="","",IF($AP1811="","職員マスタに未登録の職員番号／",IF($AA1811="","標準報酬月額が未登録／","")&amp;IF(AND($AQ1811&lt;&gt;"",OR(AND(INDEX(職員マスタ!$G$6:$G$405,$AP1811)&lt;&gt;"",INDEX(職員マスタ!$G$6:$G$405,$AP1811)&gt;EOMONTH($AQ1811,0)),AND(INDEX(職員マスタ!$H$6:$H$405,$AP1811)&lt;&gt;"",INDEX(職員マスタ!$H$6:$H$405,$AP1811)&lt;$AQ1811))),"対象月が時短期間外／","")&amp;IF(AND(INDEX(職員マスタ!$K$6:$K$405,$AP1811)&lt;&gt;"",N($W1811)&gt;0,INDEX(職員マスタ!$K$6:$K$405,$AP1811)&lt;&gt;$W1811),"標準報酬月額が申請書と相違（台帳"&amp;TEXT(INDEX(職員マスタ!$K$6:$K$405,$AP1811),"#,##0")&amp;"円／申請書"&amp;TEXT($W1811,"#,##0")&amp;"円）／","")&amp;IF(AND(INDEX(職員マスタ!$F$6:$F$405,$AP1811)&lt;&gt;"",$AQ1811&lt;&gt;"",INDEX(職員マスタ!$F$6:$F$405,$AP1811)&lt;$AQ1811),"対象月に子が2歳到達済／","")&amp;IF(AND($H1811&lt;&gt;"",INDEX(職員マスタ!$B$6:$B$405,$AP1811)&lt;&gt;"",SUBSTITUTE(SUBSTITUTE($H1811," ","")," ","")&lt;&gt;SUBSTITUTE(SUBSTITUTE(INDEX(職員マスタ!$B$6:$B$405,$AP1811)," ","")," ","")),"氏名がマスタと相違／","")&amp;IF(AND($Q1811&lt;&gt;"",INDEX(職員マスタ!$E$6:$E$405,$AP1811)&lt;&gt;"",$Q1811&lt;&gt;INDEX(職員マスタ!$E$6:$E$405,$AP1811)),"子の生年月日がマスタと相違／","")&amp;IF(AND($L1811&lt;&gt;"",INDEX(職員マスタ!$G$6:$G$405,$AP1811)&lt;&gt;"",$L1811&lt;&gt;INDEX(職員マスタ!$G$6:$G$405,$AP1811)),"時短開始日がマスタと相違／","")&amp;IF(AND($M1811&lt;&gt;"",INDEX(職員マスタ!$H$6:$H$405,$AP1811)&lt;&gt;"",$M1811&lt;&gt;INDEX(職員マスタ!$H$6:$H$405,$AP1811)),"時短終了日がマスタと相違／","")))&amp;IF(AND($B1811&lt;&gt;"",$E1811=""),"報酬額が未入力／","")&amp;IF(N($U1811)&gt;0,"申請書に入力エラーが残っています／","")&amp;IF(AND($B1811&lt;&gt;"",$AQ1811&lt;&gt;""),IF(COUNTIFS($B$6:$B$3005,$B1811,$C$6:$C$3005,$C1811,$D$6:$D$3005,$D1811)&gt;1,"同じ月の請求が重複しています／",""),"")&amp;IF(AND(N($E1811)&gt;0,$AB1811&lt;&gt;"",$AB1811&lt;&gt;"×",$AE1811=0,$AD1811=""),"計算額が下限以下のため不支給／",""))</f>
        <v/>
      </c>
      <c r="AN1811" s="12" t="n"/>
      <c r="AO1811" s="14">
        <f>IF($AF1811="保留中",COUNTIF($AF$6:$AF1811,"保留中"),"")</f>
        <v/>
      </c>
      <c r="AP1811" s="14">
        <f>IF($AQ1811="","",IF(SUMPRODUCT(MAX((職員マスタ!$A$6:$A$405=$B1811)*(((職員マスタ!$G$6:$G$405="")+(職員マスタ!$G$6:$G$405&lt;=EOMONTH($AQ1811,0)))&gt;0)*(((職員マスタ!$H$6:$H$405="")+(職員マスタ!$H$6:$H$405&gt;=$AQ1811))&gt;0)*(ROW(職員マスタ!$A$6:$A$405)-5)))&gt;0,SUMPRODUCT(MAX((職員マスタ!$A$6:$A$405=$B1811)*(((職員マスタ!$G$6:$G$405="")+(職員マスタ!$G$6:$G$405&lt;=EOMONTH($AQ1811,0)))&gt;0)*(((職員マスタ!$H$6:$H$405="")+(職員マスタ!$H$6:$H$405&gt;=$AQ1811))&gt;0)*(ROW(職員マスタ!$A$6:$A$405)-5))),IFERROR(MATCH($B1811,職員マスタ!$A$6:$A$405,0),"")))</f>
        <v/>
      </c>
      <c r="AQ1811" s="16">
        <f>IF(OR($B1811="",$C1811="",$D1811=""),"",DATE($C1811+2018,$D1811,1))</f>
        <v/>
      </c>
    </row>
    <row r="1812">
      <c r="A1812" s="11" t="n"/>
      <c r="B1812" s="12" t="n"/>
      <c r="C1812" s="12" t="n"/>
      <c r="D1812" s="12" t="n"/>
      <c r="E1812" s="13" t="n"/>
      <c r="F1812" s="12" t="n"/>
      <c r="G1812" s="13" t="n"/>
      <c r="H1812" s="12" t="n"/>
      <c r="I1812" s="12" t="n"/>
      <c r="J1812" s="12" t="n"/>
      <c r="K1812" s="12" t="n"/>
      <c r="L1812" s="11" t="n"/>
      <c r="M1812" s="11" t="n"/>
      <c r="N1812" s="11" t="n"/>
      <c r="O1812" s="11" t="n"/>
      <c r="P1812" s="12" t="n"/>
      <c r="Q1812" s="11" t="n"/>
      <c r="R1812" s="12" t="n"/>
      <c r="S1812" s="11" t="n"/>
      <c r="T1812" s="12" t="n"/>
      <c r="U1812" s="12" t="n"/>
      <c r="V1812" s="12" t="n"/>
      <c r="W1812" s="13" t="n"/>
      <c r="X1812" s="14">
        <f>IF($AP1812="",IF($B1812="","",$H1812),IF(INDEX(職員マスタ!$B$6:$B$405,$AP1812)="",$H1812,INDEX(職員マスタ!$B$6:$B$405,$AP1812)))</f>
        <v/>
      </c>
      <c r="Y1812" s="14">
        <f>IF($AP1812="",IF($B1812="","",$R1812),IF(INDEX(職員マスタ!$C$6:$C$405,$AP1812)="",$R1812,INDEX(職員マスタ!$C$6:$C$405,$AP1812)))</f>
        <v/>
      </c>
      <c r="Z1812" s="14">
        <f>IF($AQ1812="","","R"&amp;$C1812&amp;"."&amp;$D1812)</f>
        <v/>
      </c>
      <c r="AA1812" s="15">
        <f>IF(IF($AP1812="",FALSE,INDEX(職員マスタ!$K$6:$K$405,$AP1812)&lt;&gt;""),INDEX(職員マスタ!$K$6:$K$405,$AP1812),IF(N($W1812)&gt;0,$W1812,""))</f>
        <v/>
      </c>
      <c r="AB1812" s="14">
        <f>IF(OR($E1812="",$AA1812=""),"",IF($E1812&gt;=$AA1812,"×",IF($E1812&gt;=$AA1812*設定!$C$5,"△","○")))</f>
        <v/>
      </c>
      <c r="AC1812" s="15">
        <f>IF($AB1812="","",IF($AB1812="×",0,IF($AB1812="○",ROUNDDOWN($E1812*設定!$C$4,0),ROUNDDOWN($E1812*ROUND((9*$AA1812-9*$E1812)/(10*$E1812),4),0))))</f>
        <v/>
      </c>
      <c r="AD1812" s="13" t="n"/>
      <c r="AE1812" s="15">
        <f>IF($B1812="","",IF($AD1812&lt;&gt;"",$AD1812,IF($AC1812="","",IF($AC1812&lt;=設定!$C$3,0,$AC1812))))</f>
        <v/>
      </c>
      <c r="AF1812" s="14">
        <f>IF($B1812="","",IF(AND($AG1812&lt;&gt;"",$AI1812="",$AL1812=""),"保留中",IF($AL1812&lt;&gt;"",IF(N($AE1812)&gt;0,"支給済","不支給"),IF($AE1812="","要確認",IF($AE1812=0,"不支給","未処理")))))</f>
        <v/>
      </c>
      <c r="AG1812" s="12" t="n"/>
      <c r="AH1812" s="11" t="n"/>
      <c r="AI1812" s="11" t="n"/>
      <c r="AJ1812" s="11" t="n"/>
      <c r="AK1812" s="14">
        <f>IF(AND($AF1812="保留中",$AH1812&lt;&gt;""),TODAY()-$AH1812,"")</f>
        <v/>
      </c>
      <c r="AL1812" s="12" t="n"/>
      <c r="AM1812" s="14">
        <f>IF($B1812="","",IF($AQ1812="","対象年月が未入力／","")&amp;IF($B1812="","",IF($AP1812="","職員マスタに未登録の職員番号／",IF($AA1812="","標準報酬月額が未登録／","")&amp;IF(AND($AQ1812&lt;&gt;"",OR(AND(INDEX(職員マスタ!$G$6:$G$405,$AP1812)&lt;&gt;"",INDEX(職員マスタ!$G$6:$G$405,$AP1812)&gt;EOMONTH($AQ1812,0)),AND(INDEX(職員マスタ!$H$6:$H$405,$AP1812)&lt;&gt;"",INDEX(職員マスタ!$H$6:$H$405,$AP1812)&lt;$AQ1812))),"対象月が時短期間外／","")&amp;IF(AND(INDEX(職員マスタ!$K$6:$K$405,$AP1812)&lt;&gt;"",N($W1812)&gt;0,INDEX(職員マスタ!$K$6:$K$405,$AP1812)&lt;&gt;$W1812),"標準報酬月額が申請書と相違（台帳"&amp;TEXT(INDEX(職員マスタ!$K$6:$K$405,$AP1812),"#,##0")&amp;"円／申請書"&amp;TEXT($W1812,"#,##0")&amp;"円）／","")&amp;IF(AND(INDEX(職員マスタ!$F$6:$F$405,$AP1812)&lt;&gt;"",$AQ1812&lt;&gt;"",INDEX(職員マスタ!$F$6:$F$405,$AP1812)&lt;$AQ1812),"対象月に子が2歳到達済／","")&amp;IF(AND($H1812&lt;&gt;"",INDEX(職員マスタ!$B$6:$B$405,$AP1812)&lt;&gt;"",SUBSTITUTE(SUBSTITUTE($H1812," ","")," ","")&lt;&gt;SUBSTITUTE(SUBSTITUTE(INDEX(職員マスタ!$B$6:$B$405,$AP1812)," ","")," ","")),"氏名がマスタと相違／","")&amp;IF(AND($Q1812&lt;&gt;"",INDEX(職員マスタ!$E$6:$E$405,$AP1812)&lt;&gt;"",$Q1812&lt;&gt;INDEX(職員マスタ!$E$6:$E$405,$AP1812)),"子の生年月日がマスタと相違／","")&amp;IF(AND($L1812&lt;&gt;"",INDEX(職員マスタ!$G$6:$G$405,$AP1812)&lt;&gt;"",$L1812&lt;&gt;INDEX(職員マスタ!$G$6:$G$405,$AP1812)),"時短開始日がマスタと相違／","")&amp;IF(AND($M1812&lt;&gt;"",INDEX(職員マスタ!$H$6:$H$405,$AP1812)&lt;&gt;"",$M1812&lt;&gt;INDEX(職員マスタ!$H$6:$H$405,$AP1812)),"時短終了日がマスタと相違／","")))&amp;IF(AND($B1812&lt;&gt;"",$E1812=""),"報酬額が未入力／","")&amp;IF(N($U1812)&gt;0,"申請書に入力エラーが残っています／","")&amp;IF(AND($B1812&lt;&gt;"",$AQ1812&lt;&gt;""),IF(COUNTIFS($B$6:$B$3005,$B1812,$C$6:$C$3005,$C1812,$D$6:$D$3005,$D1812)&gt;1,"同じ月の請求が重複しています／",""),"")&amp;IF(AND(N($E1812)&gt;0,$AB1812&lt;&gt;"",$AB1812&lt;&gt;"×",$AE1812=0,$AD1812=""),"計算額が下限以下のため不支給／",""))</f>
        <v/>
      </c>
      <c r="AN1812" s="12" t="n"/>
      <c r="AO1812" s="14">
        <f>IF($AF1812="保留中",COUNTIF($AF$6:$AF1812,"保留中"),"")</f>
        <v/>
      </c>
      <c r="AP1812" s="14">
        <f>IF($AQ1812="","",IF(SUMPRODUCT(MAX((職員マスタ!$A$6:$A$405=$B1812)*(((職員マスタ!$G$6:$G$405="")+(職員マスタ!$G$6:$G$405&lt;=EOMONTH($AQ1812,0)))&gt;0)*(((職員マスタ!$H$6:$H$405="")+(職員マスタ!$H$6:$H$405&gt;=$AQ1812))&gt;0)*(ROW(職員マスタ!$A$6:$A$405)-5)))&gt;0,SUMPRODUCT(MAX((職員マスタ!$A$6:$A$405=$B1812)*(((職員マスタ!$G$6:$G$405="")+(職員マスタ!$G$6:$G$405&lt;=EOMONTH($AQ1812,0)))&gt;0)*(((職員マスタ!$H$6:$H$405="")+(職員マスタ!$H$6:$H$405&gt;=$AQ1812))&gt;0)*(ROW(職員マスタ!$A$6:$A$405)-5))),IFERROR(MATCH($B1812,職員マスタ!$A$6:$A$405,0),"")))</f>
        <v/>
      </c>
      <c r="AQ1812" s="16">
        <f>IF(OR($B1812="",$C1812="",$D1812=""),"",DATE($C1812+2018,$D1812,1))</f>
        <v/>
      </c>
    </row>
    <row r="1813">
      <c r="A1813" s="11" t="n"/>
      <c r="B1813" s="12" t="n"/>
      <c r="C1813" s="12" t="n"/>
      <c r="D1813" s="12" t="n"/>
      <c r="E1813" s="13" t="n"/>
      <c r="F1813" s="12" t="n"/>
      <c r="G1813" s="13" t="n"/>
      <c r="H1813" s="12" t="n"/>
      <c r="I1813" s="12" t="n"/>
      <c r="J1813" s="12" t="n"/>
      <c r="K1813" s="12" t="n"/>
      <c r="L1813" s="11" t="n"/>
      <c r="M1813" s="11" t="n"/>
      <c r="N1813" s="11" t="n"/>
      <c r="O1813" s="11" t="n"/>
      <c r="P1813" s="12" t="n"/>
      <c r="Q1813" s="11" t="n"/>
      <c r="R1813" s="12" t="n"/>
      <c r="S1813" s="11" t="n"/>
      <c r="T1813" s="12" t="n"/>
      <c r="U1813" s="12" t="n"/>
      <c r="V1813" s="12" t="n"/>
      <c r="W1813" s="13" t="n"/>
      <c r="X1813" s="14">
        <f>IF($AP1813="",IF($B1813="","",$H1813),IF(INDEX(職員マスタ!$B$6:$B$405,$AP1813)="",$H1813,INDEX(職員マスタ!$B$6:$B$405,$AP1813)))</f>
        <v/>
      </c>
      <c r="Y1813" s="14">
        <f>IF($AP1813="",IF($B1813="","",$R1813),IF(INDEX(職員マスタ!$C$6:$C$405,$AP1813)="",$R1813,INDEX(職員マスタ!$C$6:$C$405,$AP1813)))</f>
        <v/>
      </c>
      <c r="Z1813" s="14">
        <f>IF($AQ1813="","","R"&amp;$C1813&amp;"."&amp;$D1813)</f>
        <v/>
      </c>
      <c r="AA1813" s="15">
        <f>IF(IF($AP1813="",FALSE,INDEX(職員マスタ!$K$6:$K$405,$AP1813)&lt;&gt;""),INDEX(職員マスタ!$K$6:$K$405,$AP1813),IF(N($W1813)&gt;0,$W1813,""))</f>
        <v/>
      </c>
      <c r="AB1813" s="14">
        <f>IF(OR($E1813="",$AA1813=""),"",IF($E1813&gt;=$AA1813,"×",IF($E1813&gt;=$AA1813*設定!$C$5,"△","○")))</f>
        <v/>
      </c>
      <c r="AC1813" s="15">
        <f>IF($AB1813="","",IF($AB1813="×",0,IF($AB1813="○",ROUNDDOWN($E1813*設定!$C$4,0),ROUNDDOWN($E1813*ROUND((9*$AA1813-9*$E1813)/(10*$E1813),4),0))))</f>
        <v/>
      </c>
      <c r="AD1813" s="13" t="n"/>
      <c r="AE1813" s="15">
        <f>IF($B1813="","",IF($AD1813&lt;&gt;"",$AD1813,IF($AC1813="","",IF($AC1813&lt;=設定!$C$3,0,$AC1813))))</f>
        <v/>
      </c>
      <c r="AF1813" s="14">
        <f>IF($B1813="","",IF(AND($AG1813&lt;&gt;"",$AI1813="",$AL1813=""),"保留中",IF($AL1813&lt;&gt;"",IF(N($AE1813)&gt;0,"支給済","不支給"),IF($AE1813="","要確認",IF($AE1813=0,"不支給","未処理")))))</f>
        <v/>
      </c>
      <c r="AG1813" s="12" t="n"/>
      <c r="AH1813" s="11" t="n"/>
      <c r="AI1813" s="11" t="n"/>
      <c r="AJ1813" s="11" t="n"/>
      <c r="AK1813" s="14">
        <f>IF(AND($AF1813="保留中",$AH1813&lt;&gt;""),TODAY()-$AH1813,"")</f>
        <v/>
      </c>
      <c r="AL1813" s="12" t="n"/>
      <c r="AM1813" s="14">
        <f>IF($B1813="","",IF($AQ1813="","対象年月が未入力／","")&amp;IF($B1813="","",IF($AP1813="","職員マスタに未登録の職員番号／",IF($AA1813="","標準報酬月額が未登録／","")&amp;IF(AND($AQ1813&lt;&gt;"",OR(AND(INDEX(職員マスタ!$G$6:$G$405,$AP1813)&lt;&gt;"",INDEX(職員マスタ!$G$6:$G$405,$AP1813)&gt;EOMONTH($AQ1813,0)),AND(INDEX(職員マスタ!$H$6:$H$405,$AP1813)&lt;&gt;"",INDEX(職員マスタ!$H$6:$H$405,$AP1813)&lt;$AQ1813))),"対象月が時短期間外／","")&amp;IF(AND(INDEX(職員マスタ!$K$6:$K$405,$AP1813)&lt;&gt;"",N($W1813)&gt;0,INDEX(職員マスタ!$K$6:$K$405,$AP1813)&lt;&gt;$W1813),"標準報酬月額が申請書と相違（台帳"&amp;TEXT(INDEX(職員マスタ!$K$6:$K$405,$AP1813),"#,##0")&amp;"円／申請書"&amp;TEXT($W1813,"#,##0")&amp;"円）／","")&amp;IF(AND(INDEX(職員マスタ!$F$6:$F$405,$AP1813)&lt;&gt;"",$AQ1813&lt;&gt;"",INDEX(職員マスタ!$F$6:$F$405,$AP1813)&lt;$AQ1813),"対象月に子が2歳到達済／","")&amp;IF(AND($H1813&lt;&gt;"",INDEX(職員マスタ!$B$6:$B$405,$AP1813)&lt;&gt;"",SUBSTITUTE(SUBSTITUTE($H1813," ","")," ","")&lt;&gt;SUBSTITUTE(SUBSTITUTE(INDEX(職員マスタ!$B$6:$B$405,$AP1813)," ","")," ","")),"氏名がマスタと相違／","")&amp;IF(AND($Q1813&lt;&gt;"",INDEX(職員マスタ!$E$6:$E$405,$AP1813)&lt;&gt;"",$Q1813&lt;&gt;INDEX(職員マスタ!$E$6:$E$405,$AP1813)),"子の生年月日がマスタと相違／","")&amp;IF(AND($L1813&lt;&gt;"",INDEX(職員マスタ!$G$6:$G$405,$AP1813)&lt;&gt;"",$L1813&lt;&gt;INDEX(職員マスタ!$G$6:$G$405,$AP1813)),"時短開始日がマスタと相違／","")&amp;IF(AND($M1813&lt;&gt;"",INDEX(職員マスタ!$H$6:$H$405,$AP1813)&lt;&gt;"",$M1813&lt;&gt;INDEX(職員マスタ!$H$6:$H$405,$AP1813)),"時短終了日がマスタと相違／","")))&amp;IF(AND($B1813&lt;&gt;"",$E1813=""),"報酬額が未入力／","")&amp;IF(N($U1813)&gt;0,"申請書に入力エラーが残っています／","")&amp;IF(AND($B1813&lt;&gt;"",$AQ1813&lt;&gt;""),IF(COUNTIFS($B$6:$B$3005,$B1813,$C$6:$C$3005,$C1813,$D$6:$D$3005,$D1813)&gt;1,"同じ月の請求が重複しています／",""),"")&amp;IF(AND(N($E1813)&gt;0,$AB1813&lt;&gt;"",$AB1813&lt;&gt;"×",$AE1813=0,$AD1813=""),"計算額が下限以下のため不支給／",""))</f>
        <v/>
      </c>
      <c r="AN1813" s="12" t="n"/>
      <c r="AO1813" s="14">
        <f>IF($AF1813="保留中",COUNTIF($AF$6:$AF1813,"保留中"),"")</f>
        <v/>
      </c>
      <c r="AP1813" s="14">
        <f>IF($AQ1813="","",IF(SUMPRODUCT(MAX((職員マスタ!$A$6:$A$405=$B1813)*(((職員マスタ!$G$6:$G$405="")+(職員マスタ!$G$6:$G$405&lt;=EOMONTH($AQ1813,0)))&gt;0)*(((職員マスタ!$H$6:$H$405="")+(職員マスタ!$H$6:$H$405&gt;=$AQ1813))&gt;0)*(ROW(職員マスタ!$A$6:$A$405)-5)))&gt;0,SUMPRODUCT(MAX((職員マスタ!$A$6:$A$405=$B1813)*(((職員マスタ!$G$6:$G$405="")+(職員マスタ!$G$6:$G$405&lt;=EOMONTH($AQ1813,0)))&gt;0)*(((職員マスタ!$H$6:$H$405="")+(職員マスタ!$H$6:$H$405&gt;=$AQ1813))&gt;0)*(ROW(職員マスタ!$A$6:$A$405)-5))),IFERROR(MATCH($B1813,職員マスタ!$A$6:$A$405,0),"")))</f>
        <v/>
      </c>
      <c r="AQ1813" s="16">
        <f>IF(OR($B1813="",$C1813="",$D1813=""),"",DATE($C1813+2018,$D1813,1))</f>
        <v/>
      </c>
    </row>
    <row r="1814">
      <c r="A1814" s="11" t="n"/>
      <c r="B1814" s="12" t="n"/>
      <c r="C1814" s="12" t="n"/>
      <c r="D1814" s="12" t="n"/>
      <c r="E1814" s="13" t="n"/>
      <c r="F1814" s="12" t="n"/>
      <c r="G1814" s="13" t="n"/>
      <c r="H1814" s="12" t="n"/>
      <c r="I1814" s="12" t="n"/>
      <c r="J1814" s="12" t="n"/>
      <c r="K1814" s="12" t="n"/>
      <c r="L1814" s="11" t="n"/>
      <c r="M1814" s="11" t="n"/>
      <c r="N1814" s="11" t="n"/>
      <c r="O1814" s="11" t="n"/>
      <c r="P1814" s="12" t="n"/>
      <c r="Q1814" s="11" t="n"/>
      <c r="R1814" s="12" t="n"/>
      <c r="S1814" s="11" t="n"/>
      <c r="T1814" s="12" t="n"/>
      <c r="U1814" s="12" t="n"/>
      <c r="V1814" s="12" t="n"/>
      <c r="W1814" s="13" t="n"/>
      <c r="X1814" s="14">
        <f>IF($AP1814="",IF($B1814="","",$H1814),IF(INDEX(職員マスタ!$B$6:$B$405,$AP1814)="",$H1814,INDEX(職員マスタ!$B$6:$B$405,$AP1814)))</f>
        <v/>
      </c>
      <c r="Y1814" s="14">
        <f>IF($AP1814="",IF($B1814="","",$R1814),IF(INDEX(職員マスタ!$C$6:$C$405,$AP1814)="",$R1814,INDEX(職員マスタ!$C$6:$C$405,$AP1814)))</f>
        <v/>
      </c>
      <c r="Z1814" s="14">
        <f>IF($AQ1814="","","R"&amp;$C1814&amp;"."&amp;$D1814)</f>
        <v/>
      </c>
      <c r="AA1814" s="15">
        <f>IF(IF($AP1814="",FALSE,INDEX(職員マスタ!$K$6:$K$405,$AP1814)&lt;&gt;""),INDEX(職員マスタ!$K$6:$K$405,$AP1814),IF(N($W1814)&gt;0,$W1814,""))</f>
        <v/>
      </c>
      <c r="AB1814" s="14">
        <f>IF(OR($E1814="",$AA1814=""),"",IF($E1814&gt;=$AA1814,"×",IF($E1814&gt;=$AA1814*設定!$C$5,"△","○")))</f>
        <v/>
      </c>
      <c r="AC1814" s="15">
        <f>IF($AB1814="","",IF($AB1814="×",0,IF($AB1814="○",ROUNDDOWN($E1814*設定!$C$4,0),ROUNDDOWN($E1814*ROUND((9*$AA1814-9*$E1814)/(10*$E1814),4),0))))</f>
        <v/>
      </c>
      <c r="AD1814" s="13" t="n"/>
      <c r="AE1814" s="15">
        <f>IF($B1814="","",IF($AD1814&lt;&gt;"",$AD1814,IF($AC1814="","",IF($AC1814&lt;=設定!$C$3,0,$AC1814))))</f>
        <v/>
      </c>
      <c r="AF1814" s="14">
        <f>IF($B1814="","",IF(AND($AG1814&lt;&gt;"",$AI1814="",$AL1814=""),"保留中",IF($AL1814&lt;&gt;"",IF(N($AE1814)&gt;0,"支給済","不支給"),IF($AE1814="","要確認",IF($AE1814=0,"不支給","未処理")))))</f>
        <v/>
      </c>
      <c r="AG1814" s="12" t="n"/>
      <c r="AH1814" s="11" t="n"/>
      <c r="AI1814" s="11" t="n"/>
      <c r="AJ1814" s="11" t="n"/>
      <c r="AK1814" s="14">
        <f>IF(AND($AF1814="保留中",$AH1814&lt;&gt;""),TODAY()-$AH1814,"")</f>
        <v/>
      </c>
      <c r="AL1814" s="12" t="n"/>
      <c r="AM1814" s="14">
        <f>IF($B1814="","",IF($AQ1814="","対象年月が未入力／","")&amp;IF($B1814="","",IF($AP1814="","職員マスタに未登録の職員番号／",IF($AA1814="","標準報酬月額が未登録／","")&amp;IF(AND($AQ1814&lt;&gt;"",OR(AND(INDEX(職員マスタ!$G$6:$G$405,$AP1814)&lt;&gt;"",INDEX(職員マスタ!$G$6:$G$405,$AP1814)&gt;EOMONTH($AQ1814,0)),AND(INDEX(職員マスタ!$H$6:$H$405,$AP1814)&lt;&gt;"",INDEX(職員マスタ!$H$6:$H$405,$AP1814)&lt;$AQ1814))),"対象月が時短期間外／","")&amp;IF(AND(INDEX(職員マスタ!$K$6:$K$405,$AP1814)&lt;&gt;"",N($W1814)&gt;0,INDEX(職員マスタ!$K$6:$K$405,$AP1814)&lt;&gt;$W1814),"標準報酬月額が申請書と相違（台帳"&amp;TEXT(INDEX(職員マスタ!$K$6:$K$405,$AP1814),"#,##0")&amp;"円／申請書"&amp;TEXT($W1814,"#,##0")&amp;"円）／","")&amp;IF(AND(INDEX(職員マスタ!$F$6:$F$405,$AP1814)&lt;&gt;"",$AQ1814&lt;&gt;"",INDEX(職員マスタ!$F$6:$F$405,$AP1814)&lt;$AQ1814),"対象月に子が2歳到達済／","")&amp;IF(AND($H1814&lt;&gt;"",INDEX(職員マスタ!$B$6:$B$405,$AP1814)&lt;&gt;"",SUBSTITUTE(SUBSTITUTE($H1814," ","")," ","")&lt;&gt;SUBSTITUTE(SUBSTITUTE(INDEX(職員マスタ!$B$6:$B$405,$AP1814)," ","")," ","")),"氏名がマスタと相違／","")&amp;IF(AND($Q1814&lt;&gt;"",INDEX(職員マスタ!$E$6:$E$405,$AP1814)&lt;&gt;"",$Q1814&lt;&gt;INDEX(職員マスタ!$E$6:$E$405,$AP1814)),"子の生年月日がマスタと相違／","")&amp;IF(AND($L1814&lt;&gt;"",INDEX(職員マスタ!$G$6:$G$405,$AP1814)&lt;&gt;"",$L1814&lt;&gt;INDEX(職員マスタ!$G$6:$G$405,$AP1814)),"時短開始日がマスタと相違／","")&amp;IF(AND($M1814&lt;&gt;"",INDEX(職員マスタ!$H$6:$H$405,$AP1814)&lt;&gt;"",$M1814&lt;&gt;INDEX(職員マスタ!$H$6:$H$405,$AP1814)),"時短終了日がマスタと相違／","")))&amp;IF(AND($B1814&lt;&gt;"",$E1814=""),"報酬額が未入力／","")&amp;IF(N($U1814)&gt;0,"申請書に入力エラーが残っています／","")&amp;IF(AND($B1814&lt;&gt;"",$AQ1814&lt;&gt;""),IF(COUNTIFS($B$6:$B$3005,$B1814,$C$6:$C$3005,$C1814,$D$6:$D$3005,$D1814)&gt;1,"同じ月の請求が重複しています／",""),"")&amp;IF(AND(N($E1814)&gt;0,$AB1814&lt;&gt;"",$AB1814&lt;&gt;"×",$AE1814=0,$AD1814=""),"計算額が下限以下のため不支給／",""))</f>
        <v/>
      </c>
      <c r="AN1814" s="12" t="n"/>
      <c r="AO1814" s="14">
        <f>IF($AF1814="保留中",COUNTIF($AF$6:$AF1814,"保留中"),"")</f>
        <v/>
      </c>
      <c r="AP1814" s="14">
        <f>IF($AQ1814="","",IF(SUMPRODUCT(MAX((職員マスタ!$A$6:$A$405=$B1814)*(((職員マスタ!$G$6:$G$405="")+(職員マスタ!$G$6:$G$405&lt;=EOMONTH($AQ1814,0)))&gt;0)*(((職員マスタ!$H$6:$H$405="")+(職員マスタ!$H$6:$H$405&gt;=$AQ1814))&gt;0)*(ROW(職員マスタ!$A$6:$A$405)-5)))&gt;0,SUMPRODUCT(MAX((職員マスタ!$A$6:$A$405=$B1814)*(((職員マスタ!$G$6:$G$405="")+(職員マスタ!$G$6:$G$405&lt;=EOMONTH($AQ1814,0)))&gt;0)*(((職員マスタ!$H$6:$H$405="")+(職員マスタ!$H$6:$H$405&gt;=$AQ1814))&gt;0)*(ROW(職員マスタ!$A$6:$A$405)-5))),IFERROR(MATCH($B1814,職員マスタ!$A$6:$A$405,0),"")))</f>
        <v/>
      </c>
      <c r="AQ1814" s="16">
        <f>IF(OR($B1814="",$C1814="",$D1814=""),"",DATE($C1814+2018,$D1814,1))</f>
        <v/>
      </c>
    </row>
    <row r="1815">
      <c r="A1815" s="11" t="n"/>
      <c r="B1815" s="12" t="n"/>
      <c r="C1815" s="12" t="n"/>
      <c r="D1815" s="12" t="n"/>
      <c r="E1815" s="13" t="n"/>
      <c r="F1815" s="12" t="n"/>
      <c r="G1815" s="13" t="n"/>
      <c r="H1815" s="12" t="n"/>
      <c r="I1815" s="12" t="n"/>
      <c r="J1815" s="12" t="n"/>
      <c r="K1815" s="12" t="n"/>
      <c r="L1815" s="11" t="n"/>
      <c r="M1815" s="11" t="n"/>
      <c r="N1815" s="11" t="n"/>
      <c r="O1815" s="11" t="n"/>
      <c r="P1815" s="12" t="n"/>
      <c r="Q1815" s="11" t="n"/>
      <c r="R1815" s="12" t="n"/>
      <c r="S1815" s="11" t="n"/>
      <c r="T1815" s="12" t="n"/>
      <c r="U1815" s="12" t="n"/>
      <c r="V1815" s="12" t="n"/>
      <c r="W1815" s="13" t="n"/>
      <c r="X1815" s="14">
        <f>IF($AP1815="",IF($B1815="","",$H1815),IF(INDEX(職員マスタ!$B$6:$B$405,$AP1815)="",$H1815,INDEX(職員マスタ!$B$6:$B$405,$AP1815)))</f>
        <v/>
      </c>
      <c r="Y1815" s="14">
        <f>IF($AP1815="",IF($B1815="","",$R1815),IF(INDEX(職員マスタ!$C$6:$C$405,$AP1815)="",$R1815,INDEX(職員マスタ!$C$6:$C$405,$AP1815)))</f>
        <v/>
      </c>
      <c r="Z1815" s="14">
        <f>IF($AQ1815="","","R"&amp;$C1815&amp;"."&amp;$D1815)</f>
        <v/>
      </c>
      <c r="AA1815" s="15">
        <f>IF(IF($AP1815="",FALSE,INDEX(職員マスタ!$K$6:$K$405,$AP1815)&lt;&gt;""),INDEX(職員マスタ!$K$6:$K$405,$AP1815),IF(N($W1815)&gt;0,$W1815,""))</f>
        <v/>
      </c>
      <c r="AB1815" s="14">
        <f>IF(OR($E1815="",$AA1815=""),"",IF($E1815&gt;=$AA1815,"×",IF($E1815&gt;=$AA1815*設定!$C$5,"△","○")))</f>
        <v/>
      </c>
      <c r="AC1815" s="15">
        <f>IF($AB1815="","",IF($AB1815="×",0,IF($AB1815="○",ROUNDDOWN($E1815*設定!$C$4,0),ROUNDDOWN($E1815*ROUND((9*$AA1815-9*$E1815)/(10*$E1815),4),0))))</f>
        <v/>
      </c>
      <c r="AD1815" s="13" t="n"/>
      <c r="AE1815" s="15">
        <f>IF($B1815="","",IF($AD1815&lt;&gt;"",$AD1815,IF($AC1815="","",IF($AC1815&lt;=設定!$C$3,0,$AC1815))))</f>
        <v/>
      </c>
      <c r="AF1815" s="14">
        <f>IF($B1815="","",IF(AND($AG1815&lt;&gt;"",$AI1815="",$AL1815=""),"保留中",IF($AL1815&lt;&gt;"",IF(N($AE1815)&gt;0,"支給済","不支給"),IF($AE1815="","要確認",IF($AE1815=0,"不支給","未処理")))))</f>
        <v/>
      </c>
      <c r="AG1815" s="12" t="n"/>
      <c r="AH1815" s="11" t="n"/>
      <c r="AI1815" s="11" t="n"/>
      <c r="AJ1815" s="11" t="n"/>
      <c r="AK1815" s="14">
        <f>IF(AND($AF1815="保留中",$AH1815&lt;&gt;""),TODAY()-$AH1815,"")</f>
        <v/>
      </c>
      <c r="AL1815" s="12" t="n"/>
      <c r="AM1815" s="14">
        <f>IF($B1815="","",IF($AQ1815="","対象年月が未入力／","")&amp;IF($B1815="","",IF($AP1815="","職員マスタに未登録の職員番号／",IF($AA1815="","標準報酬月額が未登録／","")&amp;IF(AND($AQ1815&lt;&gt;"",OR(AND(INDEX(職員マスタ!$G$6:$G$405,$AP1815)&lt;&gt;"",INDEX(職員マスタ!$G$6:$G$405,$AP1815)&gt;EOMONTH($AQ1815,0)),AND(INDEX(職員マスタ!$H$6:$H$405,$AP1815)&lt;&gt;"",INDEX(職員マスタ!$H$6:$H$405,$AP1815)&lt;$AQ1815))),"対象月が時短期間外／","")&amp;IF(AND(INDEX(職員マスタ!$K$6:$K$405,$AP1815)&lt;&gt;"",N($W1815)&gt;0,INDEX(職員マスタ!$K$6:$K$405,$AP1815)&lt;&gt;$W1815),"標準報酬月額が申請書と相違（台帳"&amp;TEXT(INDEX(職員マスタ!$K$6:$K$405,$AP1815),"#,##0")&amp;"円／申請書"&amp;TEXT($W1815,"#,##0")&amp;"円）／","")&amp;IF(AND(INDEX(職員マスタ!$F$6:$F$405,$AP1815)&lt;&gt;"",$AQ1815&lt;&gt;"",INDEX(職員マスタ!$F$6:$F$405,$AP1815)&lt;$AQ1815),"対象月に子が2歳到達済／","")&amp;IF(AND($H1815&lt;&gt;"",INDEX(職員マスタ!$B$6:$B$405,$AP1815)&lt;&gt;"",SUBSTITUTE(SUBSTITUTE($H1815," ","")," ","")&lt;&gt;SUBSTITUTE(SUBSTITUTE(INDEX(職員マスタ!$B$6:$B$405,$AP1815)," ","")," ","")),"氏名がマスタと相違／","")&amp;IF(AND($Q1815&lt;&gt;"",INDEX(職員マスタ!$E$6:$E$405,$AP1815)&lt;&gt;"",$Q1815&lt;&gt;INDEX(職員マスタ!$E$6:$E$405,$AP1815)),"子の生年月日がマスタと相違／","")&amp;IF(AND($L1815&lt;&gt;"",INDEX(職員マスタ!$G$6:$G$405,$AP1815)&lt;&gt;"",$L1815&lt;&gt;INDEX(職員マスタ!$G$6:$G$405,$AP1815)),"時短開始日がマスタと相違／","")&amp;IF(AND($M1815&lt;&gt;"",INDEX(職員マスタ!$H$6:$H$405,$AP1815)&lt;&gt;"",$M1815&lt;&gt;INDEX(職員マスタ!$H$6:$H$405,$AP1815)),"時短終了日がマスタと相違／","")))&amp;IF(AND($B1815&lt;&gt;"",$E1815=""),"報酬額が未入力／","")&amp;IF(N($U1815)&gt;0,"申請書に入力エラーが残っています／","")&amp;IF(AND($B1815&lt;&gt;"",$AQ1815&lt;&gt;""),IF(COUNTIFS($B$6:$B$3005,$B1815,$C$6:$C$3005,$C1815,$D$6:$D$3005,$D1815)&gt;1,"同じ月の請求が重複しています／",""),"")&amp;IF(AND(N($E1815)&gt;0,$AB1815&lt;&gt;"",$AB1815&lt;&gt;"×",$AE1815=0,$AD1815=""),"計算額が下限以下のため不支給／",""))</f>
        <v/>
      </c>
      <c r="AN1815" s="12" t="n"/>
      <c r="AO1815" s="14">
        <f>IF($AF1815="保留中",COUNTIF($AF$6:$AF1815,"保留中"),"")</f>
        <v/>
      </c>
      <c r="AP1815" s="14">
        <f>IF($AQ1815="","",IF(SUMPRODUCT(MAX((職員マスタ!$A$6:$A$405=$B1815)*(((職員マスタ!$G$6:$G$405="")+(職員マスタ!$G$6:$G$405&lt;=EOMONTH($AQ1815,0)))&gt;0)*(((職員マスタ!$H$6:$H$405="")+(職員マスタ!$H$6:$H$405&gt;=$AQ1815))&gt;0)*(ROW(職員マスタ!$A$6:$A$405)-5)))&gt;0,SUMPRODUCT(MAX((職員マスタ!$A$6:$A$405=$B1815)*(((職員マスタ!$G$6:$G$405="")+(職員マスタ!$G$6:$G$405&lt;=EOMONTH($AQ1815,0)))&gt;0)*(((職員マスタ!$H$6:$H$405="")+(職員マスタ!$H$6:$H$405&gt;=$AQ1815))&gt;0)*(ROW(職員マスタ!$A$6:$A$405)-5))),IFERROR(MATCH($B1815,職員マスタ!$A$6:$A$405,0),"")))</f>
        <v/>
      </c>
      <c r="AQ1815" s="16">
        <f>IF(OR($B1815="",$C1815="",$D1815=""),"",DATE($C1815+2018,$D1815,1))</f>
        <v/>
      </c>
    </row>
    <row r="1816">
      <c r="A1816" s="11" t="n"/>
      <c r="B1816" s="12" t="n"/>
      <c r="C1816" s="12" t="n"/>
      <c r="D1816" s="12" t="n"/>
      <c r="E1816" s="13" t="n"/>
      <c r="F1816" s="12" t="n"/>
      <c r="G1816" s="13" t="n"/>
      <c r="H1816" s="12" t="n"/>
      <c r="I1816" s="12" t="n"/>
      <c r="J1816" s="12" t="n"/>
      <c r="K1816" s="12" t="n"/>
      <c r="L1816" s="11" t="n"/>
      <c r="M1816" s="11" t="n"/>
      <c r="N1816" s="11" t="n"/>
      <c r="O1816" s="11" t="n"/>
      <c r="P1816" s="12" t="n"/>
      <c r="Q1816" s="11" t="n"/>
      <c r="R1816" s="12" t="n"/>
      <c r="S1816" s="11" t="n"/>
      <c r="T1816" s="12" t="n"/>
      <c r="U1816" s="12" t="n"/>
      <c r="V1816" s="12" t="n"/>
      <c r="W1816" s="13" t="n"/>
      <c r="X1816" s="14">
        <f>IF($AP1816="",IF($B1816="","",$H1816),IF(INDEX(職員マスタ!$B$6:$B$405,$AP1816)="",$H1816,INDEX(職員マスタ!$B$6:$B$405,$AP1816)))</f>
        <v/>
      </c>
      <c r="Y1816" s="14">
        <f>IF($AP1816="",IF($B1816="","",$R1816),IF(INDEX(職員マスタ!$C$6:$C$405,$AP1816)="",$R1816,INDEX(職員マスタ!$C$6:$C$405,$AP1816)))</f>
        <v/>
      </c>
      <c r="Z1816" s="14">
        <f>IF($AQ1816="","","R"&amp;$C1816&amp;"."&amp;$D1816)</f>
        <v/>
      </c>
      <c r="AA1816" s="15">
        <f>IF(IF($AP1816="",FALSE,INDEX(職員マスタ!$K$6:$K$405,$AP1816)&lt;&gt;""),INDEX(職員マスタ!$K$6:$K$405,$AP1816),IF(N($W1816)&gt;0,$W1816,""))</f>
        <v/>
      </c>
      <c r="AB1816" s="14">
        <f>IF(OR($E1816="",$AA1816=""),"",IF($E1816&gt;=$AA1816,"×",IF($E1816&gt;=$AA1816*設定!$C$5,"△","○")))</f>
        <v/>
      </c>
      <c r="AC1816" s="15">
        <f>IF($AB1816="","",IF($AB1816="×",0,IF($AB1816="○",ROUNDDOWN($E1816*設定!$C$4,0),ROUNDDOWN($E1816*ROUND((9*$AA1816-9*$E1816)/(10*$E1816),4),0))))</f>
        <v/>
      </c>
      <c r="AD1816" s="13" t="n"/>
      <c r="AE1816" s="15">
        <f>IF($B1816="","",IF($AD1816&lt;&gt;"",$AD1816,IF($AC1816="","",IF($AC1816&lt;=設定!$C$3,0,$AC1816))))</f>
        <v/>
      </c>
      <c r="AF1816" s="14">
        <f>IF($B1816="","",IF(AND($AG1816&lt;&gt;"",$AI1816="",$AL1816=""),"保留中",IF($AL1816&lt;&gt;"",IF(N($AE1816)&gt;0,"支給済","不支給"),IF($AE1816="","要確認",IF($AE1816=0,"不支給","未処理")))))</f>
        <v/>
      </c>
      <c r="AG1816" s="12" t="n"/>
      <c r="AH1816" s="11" t="n"/>
      <c r="AI1816" s="11" t="n"/>
      <c r="AJ1816" s="11" t="n"/>
      <c r="AK1816" s="14">
        <f>IF(AND($AF1816="保留中",$AH1816&lt;&gt;""),TODAY()-$AH1816,"")</f>
        <v/>
      </c>
      <c r="AL1816" s="12" t="n"/>
      <c r="AM1816" s="14">
        <f>IF($B1816="","",IF($AQ1816="","対象年月が未入力／","")&amp;IF($B1816="","",IF($AP1816="","職員マスタに未登録の職員番号／",IF($AA1816="","標準報酬月額が未登録／","")&amp;IF(AND($AQ1816&lt;&gt;"",OR(AND(INDEX(職員マスタ!$G$6:$G$405,$AP1816)&lt;&gt;"",INDEX(職員マスタ!$G$6:$G$405,$AP1816)&gt;EOMONTH($AQ1816,0)),AND(INDEX(職員マスタ!$H$6:$H$405,$AP1816)&lt;&gt;"",INDEX(職員マスタ!$H$6:$H$405,$AP1816)&lt;$AQ1816))),"対象月が時短期間外／","")&amp;IF(AND(INDEX(職員マスタ!$K$6:$K$405,$AP1816)&lt;&gt;"",N($W1816)&gt;0,INDEX(職員マスタ!$K$6:$K$405,$AP1816)&lt;&gt;$W1816),"標準報酬月額が申請書と相違（台帳"&amp;TEXT(INDEX(職員マスタ!$K$6:$K$405,$AP1816),"#,##0")&amp;"円／申請書"&amp;TEXT($W1816,"#,##0")&amp;"円）／","")&amp;IF(AND(INDEX(職員マスタ!$F$6:$F$405,$AP1816)&lt;&gt;"",$AQ1816&lt;&gt;"",INDEX(職員マスタ!$F$6:$F$405,$AP1816)&lt;$AQ1816),"対象月に子が2歳到達済／","")&amp;IF(AND($H1816&lt;&gt;"",INDEX(職員マスタ!$B$6:$B$405,$AP1816)&lt;&gt;"",SUBSTITUTE(SUBSTITUTE($H1816," ","")," ","")&lt;&gt;SUBSTITUTE(SUBSTITUTE(INDEX(職員マスタ!$B$6:$B$405,$AP1816)," ","")," ","")),"氏名がマスタと相違／","")&amp;IF(AND($Q1816&lt;&gt;"",INDEX(職員マスタ!$E$6:$E$405,$AP1816)&lt;&gt;"",$Q1816&lt;&gt;INDEX(職員マスタ!$E$6:$E$405,$AP1816)),"子の生年月日がマスタと相違／","")&amp;IF(AND($L1816&lt;&gt;"",INDEX(職員マスタ!$G$6:$G$405,$AP1816)&lt;&gt;"",$L1816&lt;&gt;INDEX(職員マスタ!$G$6:$G$405,$AP1816)),"時短開始日がマスタと相違／","")&amp;IF(AND($M1816&lt;&gt;"",INDEX(職員マスタ!$H$6:$H$405,$AP1816)&lt;&gt;"",$M1816&lt;&gt;INDEX(職員マスタ!$H$6:$H$405,$AP1816)),"時短終了日がマスタと相違／","")))&amp;IF(AND($B1816&lt;&gt;"",$E1816=""),"報酬額が未入力／","")&amp;IF(N($U1816)&gt;0,"申請書に入力エラーが残っています／","")&amp;IF(AND($B1816&lt;&gt;"",$AQ1816&lt;&gt;""),IF(COUNTIFS($B$6:$B$3005,$B1816,$C$6:$C$3005,$C1816,$D$6:$D$3005,$D1816)&gt;1,"同じ月の請求が重複しています／",""),"")&amp;IF(AND(N($E1816)&gt;0,$AB1816&lt;&gt;"",$AB1816&lt;&gt;"×",$AE1816=0,$AD1816=""),"計算額が下限以下のため不支給／",""))</f>
        <v/>
      </c>
      <c r="AN1816" s="12" t="n"/>
      <c r="AO1816" s="14">
        <f>IF($AF1816="保留中",COUNTIF($AF$6:$AF1816,"保留中"),"")</f>
        <v/>
      </c>
      <c r="AP1816" s="14">
        <f>IF($AQ1816="","",IF(SUMPRODUCT(MAX((職員マスタ!$A$6:$A$405=$B1816)*(((職員マスタ!$G$6:$G$405="")+(職員マスタ!$G$6:$G$405&lt;=EOMONTH($AQ1816,0)))&gt;0)*(((職員マスタ!$H$6:$H$405="")+(職員マスタ!$H$6:$H$405&gt;=$AQ1816))&gt;0)*(ROW(職員マスタ!$A$6:$A$405)-5)))&gt;0,SUMPRODUCT(MAX((職員マスタ!$A$6:$A$405=$B1816)*(((職員マスタ!$G$6:$G$405="")+(職員マスタ!$G$6:$G$405&lt;=EOMONTH($AQ1816,0)))&gt;0)*(((職員マスタ!$H$6:$H$405="")+(職員マスタ!$H$6:$H$405&gt;=$AQ1816))&gt;0)*(ROW(職員マスタ!$A$6:$A$405)-5))),IFERROR(MATCH($B1816,職員マスタ!$A$6:$A$405,0),"")))</f>
        <v/>
      </c>
      <c r="AQ1816" s="16">
        <f>IF(OR($B1816="",$C1816="",$D1816=""),"",DATE($C1816+2018,$D1816,1))</f>
        <v/>
      </c>
    </row>
    <row r="1817">
      <c r="A1817" s="11" t="n"/>
      <c r="B1817" s="12" t="n"/>
      <c r="C1817" s="12" t="n"/>
      <c r="D1817" s="12" t="n"/>
      <c r="E1817" s="13" t="n"/>
      <c r="F1817" s="12" t="n"/>
      <c r="G1817" s="13" t="n"/>
      <c r="H1817" s="12" t="n"/>
      <c r="I1817" s="12" t="n"/>
      <c r="J1817" s="12" t="n"/>
      <c r="K1817" s="12" t="n"/>
      <c r="L1817" s="11" t="n"/>
      <c r="M1817" s="11" t="n"/>
      <c r="N1817" s="11" t="n"/>
      <c r="O1817" s="11" t="n"/>
      <c r="P1817" s="12" t="n"/>
      <c r="Q1817" s="11" t="n"/>
      <c r="R1817" s="12" t="n"/>
      <c r="S1817" s="11" t="n"/>
      <c r="T1817" s="12" t="n"/>
      <c r="U1817" s="12" t="n"/>
      <c r="V1817" s="12" t="n"/>
      <c r="W1817" s="13" t="n"/>
      <c r="X1817" s="14">
        <f>IF($AP1817="",IF($B1817="","",$H1817),IF(INDEX(職員マスタ!$B$6:$B$405,$AP1817)="",$H1817,INDEX(職員マスタ!$B$6:$B$405,$AP1817)))</f>
        <v/>
      </c>
      <c r="Y1817" s="14">
        <f>IF($AP1817="",IF($B1817="","",$R1817),IF(INDEX(職員マスタ!$C$6:$C$405,$AP1817)="",$R1817,INDEX(職員マスタ!$C$6:$C$405,$AP1817)))</f>
        <v/>
      </c>
      <c r="Z1817" s="14">
        <f>IF($AQ1817="","","R"&amp;$C1817&amp;"."&amp;$D1817)</f>
        <v/>
      </c>
      <c r="AA1817" s="15">
        <f>IF(IF($AP1817="",FALSE,INDEX(職員マスタ!$K$6:$K$405,$AP1817)&lt;&gt;""),INDEX(職員マスタ!$K$6:$K$405,$AP1817),IF(N($W1817)&gt;0,$W1817,""))</f>
        <v/>
      </c>
      <c r="AB1817" s="14">
        <f>IF(OR($E1817="",$AA1817=""),"",IF($E1817&gt;=$AA1817,"×",IF($E1817&gt;=$AA1817*設定!$C$5,"△","○")))</f>
        <v/>
      </c>
      <c r="AC1817" s="15">
        <f>IF($AB1817="","",IF($AB1817="×",0,IF($AB1817="○",ROUNDDOWN($E1817*設定!$C$4,0),ROUNDDOWN($E1817*ROUND((9*$AA1817-9*$E1817)/(10*$E1817),4),0))))</f>
        <v/>
      </c>
      <c r="AD1817" s="13" t="n"/>
      <c r="AE1817" s="15">
        <f>IF($B1817="","",IF($AD1817&lt;&gt;"",$AD1817,IF($AC1817="","",IF($AC1817&lt;=設定!$C$3,0,$AC1817))))</f>
        <v/>
      </c>
      <c r="AF1817" s="14">
        <f>IF($B1817="","",IF(AND($AG1817&lt;&gt;"",$AI1817="",$AL1817=""),"保留中",IF($AL1817&lt;&gt;"",IF(N($AE1817)&gt;0,"支給済","不支給"),IF($AE1817="","要確認",IF($AE1817=0,"不支給","未処理")))))</f>
        <v/>
      </c>
      <c r="AG1817" s="12" t="n"/>
      <c r="AH1817" s="11" t="n"/>
      <c r="AI1817" s="11" t="n"/>
      <c r="AJ1817" s="11" t="n"/>
      <c r="AK1817" s="14">
        <f>IF(AND($AF1817="保留中",$AH1817&lt;&gt;""),TODAY()-$AH1817,"")</f>
        <v/>
      </c>
      <c r="AL1817" s="12" t="n"/>
      <c r="AM1817" s="14">
        <f>IF($B1817="","",IF($AQ1817="","対象年月が未入力／","")&amp;IF($B1817="","",IF($AP1817="","職員マスタに未登録の職員番号／",IF($AA1817="","標準報酬月額が未登録／","")&amp;IF(AND($AQ1817&lt;&gt;"",OR(AND(INDEX(職員マスタ!$G$6:$G$405,$AP1817)&lt;&gt;"",INDEX(職員マスタ!$G$6:$G$405,$AP1817)&gt;EOMONTH($AQ1817,0)),AND(INDEX(職員マスタ!$H$6:$H$405,$AP1817)&lt;&gt;"",INDEX(職員マスタ!$H$6:$H$405,$AP1817)&lt;$AQ1817))),"対象月が時短期間外／","")&amp;IF(AND(INDEX(職員マスタ!$K$6:$K$405,$AP1817)&lt;&gt;"",N($W1817)&gt;0,INDEX(職員マスタ!$K$6:$K$405,$AP1817)&lt;&gt;$W1817),"標準報酬月額が申請書と相違（台帳"&amp;TEXT(INDEX(職員マスタ!$K$6:$K$405,$AP1817),"#,##0")&amp;"円／申請書"&amp;TEXT($W1817,"#,##0")&amp;"円）／","")&amp;IF(AND(INDEX(職員マスタ!$F$6:$F$405,$AP1817)&lt;&gt;"",$AQ1817&lt;&gt;"",INDEX(職員マスタ!$F$6:$F$405,$AP1817)&lt;$AQ1817),"対象月に子が2歳到達済／","")&amp;IF(AND($H1817&lt;&gt;"",INDEX(職員マスタ!$B$6:$B$405,$AP1817)&lt;&gt;"",SUBSTITUTE(SUBSTITUTE($H1817," ","")," ","")&lt;&gt;SUBSTITUTE(SUBSTITUTE(INDEX(職員マスタ!$B$6:$B$405,$AP1817)," ","")," ","")),"氏名がマスタと相違／","")&amp;IF(AND($Q1817&lt;&gt;"",INDEX(職員マスタ!$E$6:$E$405,$AP1817)&lt;&gt;"",$Q1817&lt;&gt;INDEX(職員マスタ!$E$6:$E$405,$AP1817)),"子の生年月日がマスタと相違／","")&amp;IF(AND($L1817&lt;&gt;"",INDEX(職員マスタ!$G$6:$G$405,$AP1817)&lt;&gt;"",$L1817&lt;&gt;INDEX(職員マスタ!$G$6:$G$405,$AP1817)),"時短開始日がマスタと相違／","")&amp;IF(AND($M1817&lt;&gt;"",INDEX(職員マスタ!$H$6:$H$405,$AP1817)&lt;&gt;"",$M1817&lt;&gt;INDEX(職員マスタ!$H$6:$H$405,$AP1817)),"時短終了日がマスタと相違／","")))&amp;IF(AND($B1817&lt;&gt;"",$E1817=""),"報酬額が未入力／","")&amp;IF(N($U1817)&gt;0,"申請書に入力エラーが残っています／","")&amp;IF(AND($B1817&lt;&gt;"",$AQ1817&lt;&gt;""),IF(COUNTIFS($B$6:$B$3005,$B1817,$C$6:$C$3005,$C1817,$D$6:$D$3005,$D1817)&gt;1,"同じ月の請求が重複しています／",""),"")&amp;IF(AND(N($E1817)&gt;0,$AB1817&lt;&gt;"",$AB1817&lt;&gt;"×",$AE1817=0,$AD1817=""),"計算額が下限以下のため不支給／",""))</f>
        <v/>
      </c>
      <c r="AN1817" s="12" t="n"/>
      <c r="AO1817" s="14">
        <f>IF($AF1817="保留中",COUNTIF($AF$6:$AF1817,"保留中"),"")</f>
        <v/>
      </c>
      <c r="AP1817" s="14">
        <f>IF($AQ1817="","",IF(SUMPRODUCT(MAX((職員マスタ!$A$6:$A$405=$B1817)*(((職員マスタ!$G$6:$G$405="")+(職員マスタ!$G$6:$G$405&lt;=EOMONTH($AQ1817,0)))&gt;0)*(((職員マスタ!$H$6:$H$405="")+(職員マスタ!$H$6:$H$405&gt;=$AQ1817))&gt;0)*(ROW(職員マスタ!$A$6:$A$405)-5)))&gt;0,SUMPRODUCT(MAX((職員マスタ!$A$6:$A$405=$B1817)*(((職員マスタ!$G$6:$G$405="")+(職員マスタ!$G$6:$G$405&lt;=EOMONTH($AQ1817,0)))&gt;0)*(((職員マスタ!$H$6:$H$405="")+(職員マスタ!$H$6:$H$405&gt;=$AQ1817))&gt;0)*(ROW(職員マスタ!$A$6:$A$405)-5))),IFERROR(MATCH($B1817,職員マスタ!$A$6:$A$405,0),"")))</f>
        <v/>
      </c>
      <c r="AQ1817" s="16">
        <f>IF(OR($B1817="",$C1817="",$D1817=""),"",DATE($C1817+2018,$D1817,1))</f>
        <v/>
      </c>
    </row>
    <row r="1818">
      <c r="A1818" s="11" t="n"/>
      <c r="B1818" s="12" t="n"/>
      <c r="C1818" s="12" t="n"/>
      <c r="D1818" s="12" t="n"/>
      <c r="E1818" s="13" t="n"/>
      <c r="F1818" s="12" t="n"/>
      <c r="G1818" s="13" t="n"/>
      <c r="H1818" s="12" t="n"/>
      <c r="I1818" s="12" t="n"/>
      <c r="J1818" s="12" t="n"/>
      <c r="K1818" s="12" t="n"/>
      <c r="L1818" s="11" t="n"/>
      <c r="M1818" s="11" t="n"/>
      <c r="N1818" s="11" t="n"/>
      <c r="O1818" s="11" t="n"/>
      <c r="P1818" s="12" t="n"/>
      <c r="Q1818" s="11" t="n"/>
      <c r="R1818" s="12" t="n"/>
      <c r="S1818" s="11" t="n"/>
      <c r="T1818" s="12" t="n"/>
      <c r="U1818" s="12" t="n"/>
      <c r="V1818" s="12" t="n"/>
      <c r="W1818" s="13" t="n"/>
      <c r="X1818" s="14">
        <f>IF($AP1818="",IF($B1818="","",$H1818),IF(INDEX(職員マスタ!$B$6:$B$405,$AP1818)="",$H1818,INDEX(職員マスタ!$B$6:$B$405,$AP1818)))</f>
        <v/>
      </c>
      <c r="Y1818" s="14">
        <f>IF($AP1818="",IF($B1818="","",$R1818),IF(INDEX(職員マスタ!$C$6:$C$405,$AP1818)="",$R1818,INDEX(職員マスタ!$C$6:$C$405,$AP1818)))</f>
        <v/>
      </c>
      <c r="Z1818" s="14">
        <f>IF($AQ1818="","","R"&amp;$C1818&amp;"."&amp;$D1818)</f>
        <v/>
      </c>
      <c r="AA1818" s="15">
        <f>IF(IF($AP1818="",FALSE,INDEX(職員マスタ!$K$6:$K$405,$AP1818)&lt;&gt;""),INDEX(職員マスタ!$K$6:$K$405,$AP1818),IF(N($W1818)&gt;0,$W1818,""))</f>
        <v/>
      </c>
      <c r="AB1818" s="14">
        <f>IF(OR($E1818="",$AA1818=""),"",IF($E1818&gt;=$AA1818,"×",IF($E1818&gt;=$AA1818*設定!$C$5,"△","○")))</f>
        <v/>
      </c>
      <c r="AC1818" s="15">
        <f>IF($AB1818="","",IF($AB1818="×",0,IF($AB1818="○",ROUNDDOWN($E1818*設定!$C$4,0),ROUNDDOWN($E1818*ROUND((9*$AA1818-9*$E1818)/(10*$E1818),4),0))))</f>
        <v/>
      </c>
      <c r="AD1818" s="13" t="n"/>
      <c r="AE1818" s="15">
        <f>IF($B1818="","",IF($AD1818&lt;&gt;"",$AD1818,IF($AC1818="","",IF($AC1818&lt;=設定!$C$3,0,$AC1818))))</f>
        <v/>
      </c>
      <c r="AF1818" s="14">
        <f>IF($B1818="","",IF(AND($AG1818&lt;&gt;"",$AI1818="",$AL1818=""),"保留中",IF($AL1818&lt;&gt;"",IF(N($AE1818)&gt;0,"支給済","不支給"),IF($AE1818="","要確認",IF($AE1818=0,"不支給","未処理")))))</f>
        <v/>
      </c>
      <c r="AG1818" s="12" t="n"/>
      <c r="AH1818" s="11" t="n"/>
      <c r="AI1818" s="11" t="n"/>
      <c r="AJ1818" s="11" t="n"/>
      <c r="AK1818" s="14">
        <f>IF(AND($AF1818="保留中",$AH1818&lt;&gt;""),TODAY()-$AH1818,"")</f>
        <v/>
      </c>
      <c r="AL1818" s="12" t="n"/>
      <c r="AM1818" s="14">
        <f>IF($B1818="","",IF($AQ1818="","対象年月が未入力／","")&amp;IF($B1818="","",IF($AP1818="","職員マスタに未登録の職員番号／",IF($AA1818="","標準報酬月額が未登録／","")&amp;IF(AND($AQ1818&lt;&gt;"",OR(AND(INDEX(職員マスタ!$G$6:$G$405,$AP1818)&lt;&gt;"",INDEX(職員マスタ!$G$6:$G$405,$AP1818)&gt;EOMONTH($AQ1818,0)),AND(INDEX(職員マスタ!$H$6:$H$405,$AP1818)&lt;&gt;"",INDEX(職員マスタ!$H$6:$H$405,$AP1818)&lt;$AQ1818))),"対象月が時短期間外／","")&amp;IF(AND(INDEX(職員マスタ!$K$6:$K$405,$AP1818)&lt;&gt;"",N($W1818)&gt;0,INDEX(職員マスタ!$K$6:$K$405,$AP1818)&lt;&gt;$W1818),"標準報酬月額が申請書と相違（台帳"&amp;TEXT(INDEX(職員マスタ!$K$6:$K$405,$AP1818),"#,##0")&amp;"円／申請書"&amp;TEXT($W1818,"#,##0")&amp;"円）／","")&amp;IF(AND(INDEX(職員マスタ!$F$6:$F$405,$AP1818)&lt;&gt;"",$AQ1818&lt;&gt;"",INDEX(職員マスタ!$F$6:$F$405,$AP1818)&lt;$AQ1818),"対象月に子が2歳到達済／","")&amp;IF(AND($H1818&lt;&gt;"",INDEX(職員マスタ!$B$6:$B$405,$AP1818)&lt;&gt;"",SUBSTITUTE(SUBSTITUTE($H1818," ","")," ","")&lt;&gt;SUBSTITUTE(SUBSTITUTE(INDEX(職員マスタ!$B$6:$B$405,$AP1818)," ","")," ","")),"氏名がマスタと相違／","")&amp;IF(AND($Q1818&lt;&gt;"",INDEX(職員マスタ!$E$6:$E$405,$AP1818)&lt;&gt;"",$Q1818&lt;&gt;INDEX(職員マスタ!$E$6:$E$405,$AP1818)),"子の生年月日がマスタと相違／","")&amp;IF(AND($L1818&lt;&gt;"",INDEX(職員マスタ!$G$6:$G$405,$AP1818)&lt;&gt;"",$L1818&lt;&gt;INDEX(職員マスタ!$G$6:$G$405,$AP1818)),"時短開始日がマスタと相違／","")&amp;IF(AND($M1818&lt;&gt;"",INDEX(職員マスタ!$H$6:$H$405,$AP1818)&lt;&gt;"",$M1818&lt;&gt;INDEX(職員マスタ!$H$6:$H$405,$AP1818)),"時短終了日がマスタと相違／","")))&amp;IF(AND($B1818&lt;&gt;"",$E1818=""),"報酬額が未入力／","")&amp;IF(N($U1818)&gt;0,"申請書に入力エラーが残っています／","")&amp;IF(AND($B1818&lt;&gt;"",$AQ1818&lt;&gt;""),IF(COUNTIFS($B$6:$B$3005,$B1818,$C$6:$C$3005,$C1818,$D$6:$D$3005,$D1818)&gt;1,"同じ月の請求が重複しています／",""),"")&amp;IF(AND(N($E1818)&gt;0,$AB1818&lt;&gt;"",$AB1818&lt;&gt;"×",$AE1818=0,$AD1818=""),"計算額が下限以下のため不支給／",""))</f>
        <v/>
      </c>
      <c r="AN1818" s="12" t="n"/>
      <c r="AO1818" s="14">
        <f>IF($AF1818="保留中",COUNTIF($AF$6:$AF1818,"保留中"),"")</f>
        <v/>
      </c>
      <c r="AP1818" s="14">
        <f>IF($AQ1818="","",IF(SUMPRODUCT(MAX((職員マスタ!$A$6:$A$405=$B1818)*(((職員マスタ!$G$6:$G$405="")+(職員マスタ!$G$6:$G$405&lt;=EOMONTH($AQ1818,0)))&gt;0)*(((職員マスタ!$H$6:$H$405="")+(職員マスタ!$H$6:$H$405&gt;=$AQ1818))&gt;0)*(ROW(職員マスタ!$A$6:$A$405)-5)))&gt;0,SUMPRODUCT(MAX((職員マスタ!$A$6:$A$405=$B1818)*(((職員マスタ!$G$6:$G$405="")+(職員マスタ!$G$6:$G$405&lt;=EOMONTH($AQ1818,0)))&gt;0)*(((職員マスタ!$H$6:$H$405="")+(職員マスタ!$H$6:$H$405&gt;=$AQ1818))&gt;0)*(ROW(職員マスタ!$A$6:$A$405)-5))),IFERROR(MATCH($B1818,職員マスタ!$A$6:$A$405,0),"")))</f>
        <v/>
      </c>
      <c r="AQ1818" s="16">
        <f>IF(OR($B1818="",$C1818="",$D1818=""),"",DATE($C1818+2018,$D1818,1))</f>
        <v/>
      </c>
    </row>
    <row r="1819">
      <c r="A1819" s="11" t="n"/>
      <c r="B1819" s="12" t="n"/>
      <c r="C1819" s="12" t="n"/>
      <c r="D1819" s="12" t="n"/>
      <c r="E1819" s="13" t="n"/>
      <c r="F1819" s="12" t="n"/>
      <c r="G1819" s="13" t="n"/>
      <c r="H1819" s="12" t="n"/>
      <c r="I1819" s="12" t="n"/>
      <c r="J1819" s="12" t="n"/>
      <c r="K1819" s="12" t="n"/>
      <c r="L1819" s="11" t="n"/>
      <c r="M1819" s="11" t="n"/>
      <c r="N1819" s="11" t="n"/>
      <c r="O1819" s="11" t="n"/>
      <c r="P1819" s="12" t="n"/>
      <c r="Q1819" s="11" t="n"/>
      <c r="R1819" s="12" t="n"/>
      <c r="S1819" s="11" t="n"/>
      <c r="T1819" s="12" t="n"/>
      <c r="U1819" s="12" t="n"/>
      <c r="V1819" s="12" t="n"/>
      <c r="W1819" s="13" t="n"/>
      <c r="X1819" s="14">
        <f>IF($AP1819="",IF($B1819="","",$H1819),IF(INDEX(職員マスタ!$B$6:$B$405,$AP1819)="",$H1819,INDEX(職員マスタ!$B$6:$B$405,$AP1819)))</f>
        <v/>
      </c>
      <c r="Y1819" s="14">
        <f>IF($AP1819="",IF($B1819="","",$R1819),IF(INDEX(職員マスタ!$C$6:$C$405,$AP1819)="",$R1819,INDEX(職員マスタ!$C$6:$C$405,$AP1819)))</f>
        <v/>
      </c>
      <c r="Z1819" s="14">
        <f>IF($AQ1819="","","R"&amp;$C1819&amp;"."&amp;$D1819)</f>
        <v/>
      </c>
      <c r="AA1819" s="15">
        <f>IF(IF($AP1819="",FALSE,INDEX(職員マスタ!$K$6:$K$405,$AP1819)&lt;&gt;""),INDEX(職員マスタ!$K$6:$K$405,$AP1819),IF(N($W1819)&gt;0,$W1819,""))</f>
        <v/>
      </c>
      <c r="AB1819" s="14">
        <f>IF(OR($E1819="",$AA1819=""),"",IF($E1819&gt;=$AA1819,"×",IF($E1819&gt;=$AA1819*設定!$C$5,"△","○")))</f>
        <v/>
      </c>
      <c r="AC1819" s="15">
        <f>IF($AB1819="","",IF($AB1819="×",0,IF($AB1819="○",ROUNDDOWN($E1819*設定!$C$4,0),ROUNDDOWN($E1819*ROUND((9*$AA1819-9*$E1819)/(10*$E1819),4),0))))</f>
        <v/>
      </c>
      <c r="AD1819" s="13" t="n"/>
      <c r="AE1819" s="15">
        <f>IF($B1819="","",IF($AD1819&lt;&gt;"",$AD1819,IF($AC1819="","",IF($AC1819&lt;=設定!$C$3,0,$AC1819))))</f>
        <v/>
      </c>
      <c r="AF1819" s="14">
        <f>IF($B1819="","",IF(AND($AG1819&lt;&gt;"",$AI1819="",$AL1819=""),"保留中",IF($AL1819&lt;&gt;"",IF(N($AE1819)&gt;0,"支給済","不支給"),IF($AE1819="","要確認",IF($AE1819=0,"不支給","未処理")))))</f>
        <v/>
      </c>
      <c r="AG1819" s="12" t="n"/>
      <c r="AH1819" s="11" t="n"/>
      <c r="AI1819" s="11" t="n"/>
      <c r="AJ1819" s="11" t="n"/>
      <c r="AK1819" s="14">
        <f>IF(AND($AF1819="保留中",$AH1819&lt;&gt;""),TODAY()-$AH1819,"")</f>
        <v/>
      </c>
      <c r="AL1819" s="12" t="n"/>
      <c r="AM1819" s="14">
        <f>IF($B1819="","",IF($AQ1819="","対象年月が未入力／","")&amp;IF($B1819="","",IF($AP1819="","職員マスタに未登録の職員番号／",IF($AA1819="","標準報酬月額が未登録／","")&amp;IF(AND($AQ1819&lt;&gt;"",OR(AND(INDEX(職員マスタ!$G$6:$G$405,$AP1819)&lt;&gt;"",INDEX(職員マスタ!$G$6:$G$405,$AP1819)&gt;EOMONTH($AQ1819,0)),AND(INDEX(職員マスタ!$H$6:$H$405,$AP1819)&lt;&gt;"",INDEX(職員マスタ!$H$6:$H$405,$AP1819)&lt;$AQ1819))),"対象月が時短期間外／","")&amp;IF(AND(INDEX(職員マスタ!$K$6:$K$405,$AP1819)&lt;&gt;"",N($W1819)&gt;0,INDEX(職員マスタ!$K$6:$K$405,$AP1819)&lt;&gt;$W1819),"標準報酬月額が申請書と相違（台帳"&amp;TEXT(INDEX(職員マスタ!$K$6:$K$405,$AP1819),"#,##0")&amp;"円／申請書"&amp;TEXT($W1819,"#,##0")&amp;"円）／","")&amp;IF(AND(INDEX(職員マスタ!$F$6:$F$405,$AP1819)&lt;&gt;"",$AQ1819&lt;&gt;"",INDEX(職員マスタ!$F$6:$F$405,$AP1819)&lt;$AQ1819),"対象月に子が2歳到達済／","")&amp;IF(AND($H1819&lt;&gt;"",INDEX(職員マスタ!$B$6:$B$405,$AP1819)&lt;&gt;"",SUBSTITUTE(SUBSTITUTE($H1819," ","")," ","")&lt;&gt;SUBSTITUTE(SUBSTITUTE(INDEX(職員マスタ!$B$6:$B$405,$AP1819)," ","")," ","")),"氏名がマスタと相違／","")&amp;IF(AND($Q1819&lt;&gt;"",INDEX(職員マスタ!$E$6:$E$405,$AP1819)&lt;&gt;"",$Q1819&lt;&gt;INDEX(職員マスタ!$E$6:$E$405,$AP1819)),"子の生年月日がマスタと相違／","")&amp;IF(AND($L1819&lt;&gt;"",INDEX(職員マスタ!$G$6:$G$405,$AP1819)&lt;&gt;"",$L1819&lt;&gt;INDEX(職員マスタ!$G$6:$G$405,$AP1819)),"時短開始日がマスタと相違／","")&amp;IF(AND($M1819&lt;&gt;"",INDEX(職員マスタ!$H$6:$H$405,$AP1819)&lt;&gt;"",$M1819&lt;&gt;INDEX(職員マスタ!$H$6:$H$405,$AP1819)),"時短終了日がマスタと相違／","")))&amp;IF(AND($B1819&lt;&gt;"",$E1819=""),"報酬額が未入力／","")&amp;IF(N($U1819)&gt;0,"申請書に入力エラーが残っています／","")&amp;IF(AND($B1819&lt;&gt;"",$AQ1819&lt;&gt;""),IF(COUNTIFS($B$6:$B$3005,$B1819,$C$6:$C$3005,$C1819,$D$6:$D$3005,$D1819)&gt;1,"同じ月の請求が重複しています／",""),"")&amp;IF(AND(N($E1819)&gt;0,$AB1819&lt;&gt;"",$AB1819&lt;&gt;"×",$AE1819=0,$AD1819=""),"計算額が下限以下のため不支給／",""))</f>
        <v/>
      </c>
      <c r="AN1819" s="12" t="n"/>
      <c r="AO1819" s="14">
        <f>IF($AF1819="保留中",COUNTIF($AF$6:$AF1819,"保留中"),"")</f>
        <v/>
      </c>
      <c r="AP1819" s="14">
        <f>IF($AQ1819="","",IF(SUMPRODUCT(MAX((職員マスタ!$A$6:$A$405=$B1819)*(((職員マスタ!$G$6:$G$405="")+(職員マスタ!$G$6:$G$405&lt;=EOMONTH($AQ1819,0)))&gt;0)*(((職員マスタ!$H$6:$H$405="")+(職員マスタ!$H$6:$H$405&gt;=$AQ1819))&gt;0)*(ROW(職員マスタ!$A$6:$A$405)-5)))&gt;0,SUMPRODUCT(MAX((職員マスタ!$A$6:$A$405=$B1819)*(((職員マスタ!$G$6:$G$405="")+(職員マスタ!$G$6:$G$405&lt;=EOMONTH($AQ1819,0)))&gt;0)*(((職員マスタ!$H$6:$H$405="")+(職員マスタ!$H$6:$H$405&gt;=$AQ1819))&gt;0)*(ROW(職員マスタ!$A$6:$A$405)-5))),IFERROR(MATCH($B1819,職員マスタ!$A$6:$A$405,0),"")))</f>
        <v/>
      </c>
      <c r="AQ1819" s="16">
        <f>IF(OR($B1819="",$C1819="",$D1819=""),"",DATE($C1819+2018,$D1819,1))</f>
        <v/>
      </c>
    </row>
    <row r="1820">
      <c r="A1820" s="11" t="n"/>
      <c r="B1820" s="12" t="n"/>
      <c r="C1820" s="12" t="n"/>
      <c r="D1820" s="12" t="n"/>
      <c r="E1820" s="13" t="n"/>
      <c r="F1820" s="12" t="n"/>
      <c r="G1820" s="13" t="n"/>
      <c r="H1820" s="12" t="n"/>
      <c r="I1820" s="12" t="n"/>
      <c r="J1820" s="12" t="n"/>
      <c r="K1820" s="12" t="n"/>
      <c r="L1820" s="11" t="n"/>
      <c r="M1820" s="11" t="n"/>
      <c r="N1820" s="11" t="n"/>
      <c r="O1820" s="11" t="n"/>
      <c r="P1820" s="12" t="n"/>
      <c r="Q1820" s="11" t="n"/>
      <c r="R1820" s="12" t="n"/>
      <c r="S1820" s="11" t="n"/>
      <c r="T1820" s="12" t="n"/>
      <c r="U1820" s="12" t="n"/>
      <c r="V1820" s="12" t="n"/>
      <c r="W1820" s="13" t="n"/>
      <c r="X1820" s="14">
        <f>IF($AP1820="",IF($B1820="","",$H1820),IF(INDEX(職員マスタ!$B$6:$B$405,$AP1820)="",$H1820,INDEX(職員マスタ!$B$6:$B$405,$AP1820)))</f>
        <v/>
      </c>
      <c r="Y1820" s="14">
        <f>IF($AP1820="",IF($B1820="","",$R1820),IF(INDEX(職員マスタ!$C$6:$C$405,$AP1820)="",$R1820,INDEX(職員マスタ!$C$6:$C$405,$AP1820)))</f>
        <v/>
      </c>
      <c r="Z1820" s="14">
        <f>IF($AQ1820="","","R"&amp;$C1820&amp;"."&amp;$D1820)</f>
        <v/>
      </c>
      <c r="AA1820" s="15">
        <f>IF(IF($AP1820="",FALSE,INDEX(職員マスタ!$K$6:$K$405,$AP1820)&lt;&gt;""),INDEX(職員マスタ!$K$6:$K$405,$AP1820),IF(N($W1820)&gt;0,$W1820,""))</f>
        <v/>
      </c>
      <c r="AB1820" s="14">
        <f>IF(OR($E1820="",$AA1820=""),"",IF($E1820&gt;=$AA1820,"×",IF($E1820&gt;=$AA1820*設定!$C$5,"△","○")))</f>
        <v/>
      </c>
      <c r="AC1820" s="15">
        <f>IF($AB1820="","",IF($AB1820="×",0,IF($AB1820="○",ROUNDDOWN($E1820*設定!$C$4,0),ROUNDDOWN($E1820*ROUND((9*$AA1820-9*$E1820)/(10*$E1820),4),0))))</f>
        <v/>
      </c>
      <c r="AD1820" s="13" t="n"/>
      <c r="AE1820" s="15">
        <f>IF($B1820="","",IF($AD1820&lt;&gt;"",$AD1820,IF($AC1820="","",IF($AC1820&lt;=設定!$C$3,0,$AC1820))))</f>
        <v/>
      </c>
      <c r="AF1820" s="14">
        <f>IF($B1820="","",IF(AND($AG1820&lt;&gt;"",$AI1820="",$AL1820=""),"保留中",IF($AL1820&lt;&gt;"",IF(N($AE1820)&gt;0,"支給済","不支給"),IF($AE1820="","要確認",IF($AE1820=0,"不支給","未処理")))))</f>
        <v/>
      </c>
      <c r="AG1820" s="12" t="n"/>
      <c r="AH1820" s="11" t="n"/>
      <c r="AI1820" s="11" t="n"/>
      <c r="AJ1820" s="11" t="n"/>
      <c r="AK1820" s="14">
        <f>IF(AND($AF1820="保留中",$AH1820&lt;&gt;""),TODAY()-$AH1820,"")</f>
        <v/>
      </c>
      <c r="AL1820" s="12" t="n"/>
      <c r="AM1820" s="14">
        <f>IF($B1820="","",IF($AQ1820="","対象年月が未入力／","")&amp;IF($B1820="","",IF($AP1820="","職員マスタに未登録の職員番号／",IF($AA1820="","標準報酬月額が未登録／","")&amp;IF(AND($AQ1820&lt;&gt;"",OR(AND(INDEX(職員マスタ!$G$6:$G$405,$AP1820)&lt;&gt;"",INDEX(職員マスタ!$G$6:$G$405,$AP1820)&gt;EOMONTH($AQ1820,0)),AND(INDEX(職員マスタ!$H$6:$H$405,$AP1820)&lt;&gt;"",INDEX(職員マスタ!$H$6:$H$405,$AP1820)&lt;$AQ1820))),"対象月が時短期間外／","")&amp;IF(AND(INDEX(職員マスタ!$K$6:$K$405,$AP1820)&lt;&gt;"",N($W1820)&gt;0,INDEX(職員マスタ!$K$6:$K$405,$AP1820)&lt;&gt;$W1820),"標準報酬月額が申請書と相違（台帳"&amp;TEXT(INDEX(職員マスタ!$K$6:$K$405,$AP1820),"#,##0")&amp;"円／申請書"&amp;TEXT($W1820,"#,##0")&amp;"円）／","")&amp;IF(AND(INDEX(職員マスタ!$F$6:$F$405,$AP1820)&lt;&gt;"",$AQ1820&lt;&gt;"",INDEX(職員マスタ!$F$6:$F$405,$AP1820)&lt;$AQ1820),"対象月に子が2歳到達済／","")&amp;IF(AND($H1820&lt;&gt;"",INDEX(職員マスタ!$B$6:$B$405,$AP1820)&lt;&gt;"",SUBSTITUTE(SUBSTITUTE($H1820," ","")," ","")&lt;&gt;SUBSTITUTE(SUBSTITUTE(INDEX(職員マスタ!$B$6:$B$405,$AP1820)," ","")," ","")),"氏名がマスタと相違／","")&amp;IF(AND($Q1820&lt;&gt;"",INDEX(職員マスタ!$E$6:$E$405,$AP1820)&lt;&gt;"",$Q1820&lt;&gt;INDEX(職員マスタ!$E$6:$E$405,$AP1820)),"子の生年月日がマスタと相違／","")&amp;IF(AND($L1820&lt;&gt;"",INDEX(職員マスタ!$G$6:$G$405,$AP1820)&lt;&gt;"",$L1820&lt;&gt;INDEX(職員マスタ!$G$6:$G$405,$AP1820)),"時短開始日がマスタと相違／","")&amp;IF(AND($M1820&lt;&gt;"",INDEX(職員マスタ!$H$6:$H$405,$AP1820)&lt;&gt;"",$M1820&lt;&gt;INDEX(職員マスタ!$H$6:$H$405,$AP1820)),"時短終了日がマスタと相違／","")))&amp;IF(AND($B1820&lt;&gt;"",$E1820=""),"報酬額が未入力／","")&amp;IF(N($U1820)&gt;0,"申請書に入力エラーが残っています／","")&amp;IF(AND($B1820&lt;&gt;"",$AQ1820&lt;&gt;""),IF(COUNTIFS($B$6:$B$3005,$B1820,$C$6:$C$3005,$C1820,$D$6:$D$3005,$D1820)&gt;1,"同じ月の請求が重複しています／",""),"")&amp;IF(AND(N($E1820)&gt;0,$AB1820&lt;&gt;"",$AB1820&lt;&gt;"×",$AE1820=0,$AD1820=""),"計算額が下限以下のため不支給／",""))</f>
        <v/>
      </c>
      <c r="AN1820" s="12" t="n"/>
      <c r="AO1820" s="14">
        <f>IF($AF1820="保留中",COUNTIF($AF$6:$AF1820,"保留中"),"")</f>
        <v/>
      </c>
      <c r="AP1820" s="14">
        <f>IF($AQ1820="","",IF(SUMPRODUCT(MAX((職員マスタ!$A$6:$A$405=$B1820)*(((職員マスタ!$G$6:$G$405="")+(職員マスタ!$G$6:$G$405&lt;=EOMONTH($AQ1820,0)))&gt;0)*(((職員マスタ!$H$6:$H$405="")+(職員マスタ!$H$6:$H$405&gt;=$AQ1820))&gt;0)*(ROW(職員マスタ!$A$6:$A$405)-5)))&gt;0,SUMPRODUCT(MAX((職員マスタ!$A$6:$A$405=$B1820)*(((職員マスタ!$G$6:$G$405="")+(職員マスタ!$G$6:$G$405&lt;=EOMONTH($AQ1820,0)))&gt;0)*(((職員マスタ!$H$6:$H$405="")+(職員マスタ!$H$6:$H$405&gt;=$AQ1820))&gt;0)*(ROW(職員マスタ!$A$6:$A$405)-5))),IFERROR(MATCH($B1820,職員マスタ!$A$6:$A$405,0),"")))</f>
        <v/>
      </c>
      <c r="AQ1820" s="16">
        <f>IF(OR($B1820="",$C1820="",$D1820=""),"",DATE($C1820+2018,$D1820,1))</f>
        <v/>
      </c>
    </row>
    <row r="1821">
      <c r="A1821" s="11" t="n"/>
      <c r="B1821" s="12" t="n"/>
      <c r="C1821" s="12" t="n"/>
      <c r="D1821" s="12" t="n"/>
      <c r="E1821" s="13" t="n"/>
      <c r="F1821" s="12" t="n"/>
      <c r="G1821" s="13" t="n"/>
      <c r="H1821" s="12" t="n"/>
      <c r="I1821" s="12" t="n"/>
      <c r="J1821" s="12" t="n"/>
      <c r="K1821" s="12" t="n"/>
      <c r="L1821" s="11" t="n"/>
      <c r="M1821" s="11" t="n"/>
      <c r="N1821" s="11" t="n"/>
      <c r="O1821" s="11" t="n"/>
      <c r="P1821" s="12" t="n"/>
      <c r="Q1821" s="11" t="n"/>
      <c r="R1821" s="12" t="n"/>
      <c r="S1821" s="11" t="n"/>
      <c r="T1821" s="12" t="n"/>
      <c r="U1821" s="12" t="n"/>
      <c r="V1821" s="12" t="n"/>
      <c r="W1821" s="13" t="n"/>
      <c r="X1821" s="14">
        <f>IF($AP1821="",IF($B1821="","",$H1821),IF(INDEX(職員マスタ!$B$6:$B$405,$AP1821)="",$H1821,INDEX(職員マスタ!$B$6:$B$405,$AP1821)))</f>
        <v/>
      </c>
      <c r="Y1821" s="14">
        <f>IF($AP1821="",IF($B1821="","",$R1821),IF(INDEX(職員マスタ!$C$6:$C$405,$AP1821)="",$R1821,INDEX(職員マスタ!$C$6:$C$405,$AP1821)))</f>
        <v/>
      </c>
      <c r="Z1821" s="14">
        <f>IF($AQ1821="","","R"&amp;$C1821&amp;"."&amp;$D1821)</f>
        <v/>
      </c>
      <c r="AA1821" s="15">
        <f>IF(IF($AP1821="",FALSE,INDEX(職員マスタ!$K$6:$K$405,$AP1821)&lt;&gt;""),INDEX(職員マスタ!$K$6:$K$405,$AP1821),IF(N($W1821)&gt;0,$W1821,""))</f>
        <v/>
      </c>
      <c r="AB1821" s="14">
        <f>IF(OR($E1821="",$AA1821=""),"",IF($E1821&gt;=$AA1821,"×",IF($E1821&gt;=$AA1821*設定!$C$5,"△","○")))</f>
        <v/>
      </c>
      <c r="AC1821" s="15">
        <f>IF($AB1821="","",IF($AB1821="×",0,IF($AB1821="○",ROUNDDOWN($E1821*設定!$C$4,0),ROUNDDOWN($E1821*ROUND((9*$AA1821-9*$E1821)/(10*$E1821),4),0))))</f>
        <v/>
      </c>
      <c r="AD1821" s="13" t="n"/>
      <c r="AE1821" s="15">
        <f>IF($B1821="","",IF($AD1821&lt;&gt;"",$AD1821,IF($AC1821="","",IF($AC1821&lt;=設定!$C$3,0,$AC1821))))</f>
        <v/>
      </c>
      <c r="AF1821" s="14">
        <f>IF($B1821="","",IF(AND($AG1821&lt;&gt;"",$AI1821="",$AL1821=""),"保留中",IF($AL1821&lt;&gt;"",IF(N($AE1821)&gt;0,"支給済","不支給"),IF($AE1821="","要確認",IF($AE1821=0,"不支給","未処理")))))</f>
        <v/>
      </c>
      <c r="AG1821" s="12" t="n"/>
      <c r="AH1821" s="11" t="n"/>
      <c r="AI1821" s="11" t="n"/>
      <c r="AJ1821" s="11" t="n"/>
      <c r="AK1821" s="14">
        <f>IF(AND($AF1821="保留中",$AH1821&lt;&gt;""),TODAY()-$AH1821,"")</f>
        <v/>
      </c>
      <c r="AL1821" s="12" t="n"/>
      <c r="AM1821" s="14">
        <f>IF($B1821="","",IF($AQ1821="","対象年月が未入力／","")&amp;IF($B1821="","",IF($AP1821="","職員マスタに未登録の職員番号／",IF($AA1821="","標準報酬月額が未登録／","")&amp;IF(AND($AQ1821&lt;&gt;"",OR(AND(INDEX(職員マスタ!$G$6:$G$405,$AP1821)&lt;&gt;"",INDEX(職員マスタ!$G$6:$G$405,$AP1821)&gt;EOMONTH($AQ1821,0)),AND(INDEX(職員マスタ!$H$6:$H$405,$AP1821)&lt;&gt;"",INDEX(職員マスタ!$H$6:$H$405,$AP1821)&lt;$AQ1821))),"対象月が時短期間外／","")&amp;IF(AND(INDEX(職員マスタ!$K$6:$K$405,$AP1821)&lt;&gt;"",N($W1821)&gt;0,INDEX(職員マスタ!$K$6:$K$405,$AP1821)&lt;&gt;$W1821),"標準報酬月額が申請書と相違（台帳"&amp;TEXT(INDEX(職員マスタ!$K$6:$K$405,$AP1821),"#,##0")&amp;"円／申請書"&amp;TEXT($W1821,"#,##0")&amp;"円）／","")&amp;IF(AND(INDEX(職員マスタ!$F$6:$F$405,$AP1821)&lt;&gt;"",$AQ1821&lt;&gt;"",INDEX(職員マスタ!$F$6:$F$405,$AP1821)&lt;$AQ1821),"対象月に子が2歳到達済／","")&amp;IF(AND($H1821&lt;&gt;"",INDEX(職員マスタ!$B$6:$B$405,$AP1821)&lt;&gt;"",SUBSTITUTE(SUBSTITUTE($H1821," ","")," ","")&lt;&gt;SUBSTITUTE(SUBSTITUTE(INDEX(職員マスタ!$B$6:$B$405,$AP1821)," ","")," ","")),"氏名がマスタと相違／","")&amp;IF(AND($Q1821&lt;&gt;"",INDEX(職員マスタ!$E$6:$E$405,$AP1821)&lt;&gt;"",$Q1821&lt;&gt;INDEX(職員マスタ!$E$6:$E$405,$AP1821)),"子の生年月日がマスタと相違／","")&amp;IF(AND($L1821&lt;&gt;"",INDEX(職員マスタ!$G$6:$G$405,$AP1821)&lt;&gt;"",$L1821&lt;&gt;INDEX(職員マスタ!$G$6:$G$405,$AP1821)),"時短開始日がマスタと相違／","")&amp;IF(AND($M1821&lt;&gt;"",INDEX(職員マスタ!$H$6:$H$405,$AP1821)&lt;&gt;"",$M1821&lt;&gt;INDEX(職員マスタ!$H$6:$H$405,$AP1821)),"時短終了日がマスタと相違／","")))&amp;IF(AND($B1821&lt;&gt;"",$E1821=""),"報酬額が未入力／","")&amp;IF(N($U1821)&gt;0,"申請書に入力エラーが残っています／","")&amp;IF(AND($B1821&lt;&gt;"",$AQ1821&lt;&gt;""),IF(COUNTIFS($B$6:$B$3005,$B1821,$C$6:$C$3005,$C1821,$D$6:$D$3005,$D1821)&gt;1,"同じ月の請求が重複しています／",""),"")&amp;IF(AND(N($E1821)&gt;0,$AB1821&lt;&gt;"",$AB1821&lt;&gt;"×",$AE1821=0,$AD1821=""),"計算額が下限以下のため不支給／",""))</f>
        <v/>
      </c>
      <c r="AN1821" s="12" t="n"/>
      <c r="AO1821" s="14">
        <f>IF($AF1821="保留中",COUNTIF($AF$6:$AF1821,"保留中"),"")</f>
        <v/>
      </c>
      <c r="AP1821" s="14">
        <f>IF($AQ1821="","",IF(SUMPRODUCT(MAX((職員マスタ!$A$6:$A$405=$B1821)*(((職員マスタ!$G$6:$G$405="")+(職員マスタ!$G$6:$G$405&lt;=EOMONTH($AQ1821,0)))&gt;0)*(((職員マスタ!$H$6:$H$405="")+(職員マスタ!$H$6:$H$405&gt;=$AQ1821))&gt;0)*(ROW(職員マスタ!$A$6:$A$405)-5)))&gt;0,SUMPRODUCT(MAX((職員マスタ!$A$6:$A$405=$B1821)*(((職員マスタ!$G$6:$G$405="")+(職員マスタ!$G$6:$G$405&lt;=EOMONTH($AQ1821,0)))&gt;0)*(((職員マスタ!$H$6:$H$405="")+(職員マスタ!$H$6:$H$405&gt;=$AQ1821))&gt;0)*(ROW(職員マスタ!$A$6:$A$405)-5))),IFERROR(MATCH($B1821,職員マスタ!$A$6:$A$405,0),"")))</f>
        <v/>
      </c>
      <c r="AQ1821" s="16">
        <f>IF(OR($B1821="",$C1821="",$D1821=""),"",DATE($C1821+2018,$D1821,1))</f>
        <v/>
      </c>
    </row>
    <row r="1822">
      <c r="A1822" s="11" t="n"/>
      <c r="B1822" s="12" t="n"/>
      <c r="C1822" s="12" t="n"/>
      <c r="D1822" s="12" t="n"/>
      <c r="E1822" s="13" t="n"/>
      <c r="F1822" s="12" t="n"/>
      <c r="G1822" s="13" t="n"/>
      <c r="H1822" s="12" t="n"/>
      <c r="I1822" s="12" t="n"/>
      <c r="J1822" s="12" t="n"/>
      <c r="K1822" s="12" t="n"/>
      <c r="L1822" s="11" t="n"/>
      <c r="M1822" s="11" t="n"/>
      <c r="N1822" s="11" t="n"/>
      <c r="O1822" s="11" t="n"/>
      <c r="P1822" s="12" t="n"/>
      <c r="Q1822" s="11" t="n"/>
      <c r="R1822" s="12" t="n"/>
      <c r="S1822" s="11" t="n"/>
      <c r="T1822" s="12" t="n"/>
      <c r="U1822" s="12" t="n"/>
      <c r="V1822" s="12" t="n"/>
      <c r="W1822" s="13" t="n"/>
      <c r="X1822" s="14">
        <f>IF($AP1822="",IF($B1822="","",$H1822),IF(INDEX(職員マスタ!$B$6:$B$405,$AP1822)="",$H1822,INDEX(職員マスタ!$B$6:$B$405,$AP1822)))</f>
        <v/>
      </c>
      <c r="Y1822" s="14">
        <f>IF($AP1822="",IF($B1822="","",$R1822),IF(INDEX(職員マスタ!$C$6:$C$405,$AP1822)="",$R1822,INDEX(職員マスタ!$C$6:$C$405,$AP1822)))</f>
        <v/>
      </c>
      <c r="Z1822" s="14">
        <f>IF($AQ1822="","","R"&amp;$C1822&amp;"."&amp;$D1822)</f>
        <v/>
      </c>
      <c r="AA1822" s="15">
        <f>IF(IF($AP1822="",FALSE,INDEX(職員マスタ!$K$6:$K$405,$AP1822)&lt;&gt;""),INDEX(職員マスタ!$K$6:$K$405,$AP1822),IF(N($W1822)&gt;0,$W1822,""))</f>
        <v/>
      </c>
      <c r="AB1822" s="14">
        <f>IF(OR($E1822="",$AA1822=""),"",IF($E1822&gt;=$AA1822,"×",IF($E1822&gt;=$AA1822*設定!$C$5,"△","○")))</f>
        <v/>
      </c>
      <c r="AC1822" s="15">
        <f>IF($AB1822="","",IF($AB1822="×",0,IF($AB1822="○",ROUNDDOWN($E1822*設定!$C$4,0),ROUNDDOWN($E1822*ROUND((9*$AA1822-9*$E1822)/(10*$E1822),4),0))))</f>
        <v/>
      </c>
      <c r="AD1822" s="13" t="n"/>
      <c r="AE1822" s="15">
        <f>IF($B1822="","",IF($AD1822&lt;&gt;"",$AD1822,IF($AC1822="","",IF($AC1822&lt;=設定!$C$3,0,$AC1822))))</f>
        <v/>
      </c>
      <c r="AF1822" s="14">
        <f>IF($B1822="","",IF(AND($AG1822&lt;&gt;"",$AI1822="",$AL1822=""),"保留中",IF($AL1822&lt;&gt;"",IF(N($AE1822)&gt;0,"支給済","不支給"),IF($AE1822="","要確認",IF($AE1822=0,"不支給","未処理")))))</f>
        <v/>
      </c>
      <c r="AG1822" s="12" t="n"/>
      <c r="AH1822" s="11" t="n"/>
      <c r="AI1822" s="11" t="n"/>
      <c r="AJ1822" s="11" t="n"/>
      <c r="AK1822" s="14">
        <f>IF(AND($AF1822="保留中",$AH1822&lt;&gt;""),TODAY()-$AH1822,"")</f>
        <v/>
      </c>
      <c r="AL1822" s="12" t="n"/>
      <c r="AM1822" s="14">
        <f>IF($B1822="","",IF($AQ1822="","対象年月が未入力／","")&amp;IF($B1822="","",IF($AP1822="","職員マスタに未登録の職員番号／",IF($AA1822="","標準報酬月額が未登録／","")&amp;IF(AND($AQ1822&lt;&gt;"",OR(AND(INDEX(職員マスタ!$G$6:$G$405,$AP1822)&lt;&gt;"",INDEX(職員マスタ!$G$6:$G$405,$AP1822)&gt;EOMONTH($AQ1822,0)),AND(INDEX(職員マスタ!$H$6:$H$405,$AP1822)&lt;&gt;"",INDEX(職員マスタ!$H$6:$H$405,$AP1822)&lt;$AQ1822))),"対象月が時短期間外／","")&amp;IF(AND(INDEX(職員マスタ!$K$6:$K$405,$AP1822)&lt;&gt;"",N($W1822)&gt;0,INDEX(職員マスタ!$K$6:$K$405,$AP1822)&lt;&gt;$W1822),"標準報酬月額が申請書と相違（台帳"&amp;TEXT(INDEX(職員マスタ!$K$6:$K$405,$AP1822),"#,##0")&amp;"円／申請書"&amp;TEXT($W1822,"#,##0")&amp;"円）／","")&amp;IF(AND(INDEX(職員マスタ!$F$6:$F$405,$AP1822)&lt;&gt;"",$AQ1822&lt;&gt;"",INDEX(職員マスタ!$F$6:$F$405,$AP1822)&lt;$AQ1822),"対象月に子が2歳到達済／","")&amp;IF(AND($H1822&lt;&gt;"",INDEX(職員マスタ!$B$6:$B$405,$AP1822)&lt;&gt;"",SUBSTITUTE(SUBSTITUTE($H1822," ","")," ","")&lt;&gt;SUBSTITUTE(SUBSTITUTE(INDEX(職員マスタ!$B$6:$B$405,$AP1822)," ","")," ","")),"氏名がマスタと相違／","")&amp;IF(AND($Q1822&lt;&gt;"",INDEX(職員マスタ!$E$6:$E$405,$AP1822)&lt;&gt;"",$Q1822&lt;&gt;INDEX(職員マスタ!$E$6:$E$405,$AP1822)),"子の生年月日がマスタと相違／","")&amp;IF(AND($L1822&lt;&gt;"",INDEX(職員マスタ!$G$6:$G$405,$AP1822)&lt;&gt;"",$L1822&lt;&gt;INDEX(職員マスタ!$G$6:$G$405,$AP1822)),"時短開始日がマスタと相違／","")&amp;IF(AND($M1822&lt;&gt;"",INDEX(職員マスタ!$H$6:$H$405,$AP1822)&lt;&gt;"",$M1822&lt;&gt;INDEX(職員マスタ!$H$6:$H$405,$AP1822)),"時短終了日がマスタと相違／","")))&amp;IF(AND($B1822&lt;&gt;"",$E1822=""),"報酬額が未入力／","")&amp;IF(N($U1822)&gt;0,"申請書に入力エラーが残っています／","")&amp;IF(AND($B1822&lt;&gt;"",$AQ1822&lt;&gt;""),IF(COUNTIFS($B$6:$B$3005,$B1822,$C$6:$C$3005,$C1822,$D$6:$D$3005,$D1822)&gt;1,"同じ月の請求が重複しています／",""),"")&amp;IF(AND(N($E1822)&gt;0,$AB1822&lt;&gt;"",$AB1822&lt;&gt;"×",$AE1822=0,$AD1822=""),"計算額が下限以下のため不支給／",""))</f>
        <v/>
      </c>
      <c r="AN1822" s="12" t="n"/>
      <c r="AO1822" s="14">
        <f>IF($AF1822="保留中",COUNTIF($AF$6:$AF1822,"保留中"),"")</f>
        <v/>
      </c>
      <c r="AP1822" s="14">
        <f>IF($AQ1822="","",IF(SUMPRODUCT(MAX((職員マスタ!$A$6:$A$405=$B1822)*(((職員マスタ!$G$6:$G$405="")+(職員マスタ!$G$6:$G$405&lt;=EOMONTH($AQ1822,0)))&gt;0)*(((職員マスタ!$H$6:$H$405="")+(職員マスタ!$H$6:$H$405&gt;=$AQ1822))&gt;0)*(ROW(職員マスタ!$A$6:$A$405)-5)))&gt;0,SUMPRODUCT(MAX((職員マスタ!$A$6:$A$405=$B1822)*(((職員マスタ!$G$6:$G$405="")+(職員マスタ!$G$6:$G$405&lt;=EOMONTH($AQ1822,0)))&gt;0)*(((職員マスタ!$H$6:$H$405="")+(職員マスタ!$H$6:$H$405&gt;=$AQ1822))&gt;0)*(ROW(職員マスタ!$A$6:$A$405)-5))),IFERROR(MATCH($B1822,職員マスタ!$A$6:$A$405,0),"")))</f>
        <v/>
      </c>
      <c r="AQ1822" s="16">
        <f>IF(OR($B1822="",$C1822="",$D1822=""),"",DATE($C1822+2018,$D1822,1))</f>
        <v/>
      </c>
    </row>
    <row r="1823">
      <c r="A1823" s="11" t="n"/>
      <c r="B1823" s="12" t="n"/>
      <c r="C1823" s="12" t="n"/>
      <c r="D1823" s="12" t="n"/>
      <c r="E1823" s="13" t="n"/>
      <c r="F1823" s="12" t="n"/>
      <c r="G1823" s="13" t="n"/>
      <c r="H1823" s="12" t="n"/>
      <c r="I1823" s="12" t="n"/>
      <c r="J1823" s="12" t="n"/>
      <c r="K1823" s="12" t="n"/>
      <c r="L1823" s="11" t="n"/>
      <c r="M1823" s="11" t="n"/>
      <c r="N1823" s="11" t="n"/>
      <c r="O1823" s="11" t="n"/>
      <c r="P1823" s="12" t="n"/>
      <c r="Q1823" s="11" t="n"/>
      <c r="R1823" s="12" t="n"/>
      <c r="S1823" s="11" t="n"/>
      <c r="T1823" s="12" t="n"/>
      <c r="U1823" s="12" t="n"/>
      <c r="V1823" s="12" t="n"/>
      <c r="W1823" s="13" t="n"/>
      <c r="X1823" s="14">
        <f>IF($AP1823="",IF($B1823="","",$H1823),IF(INDEX(職員マスタ!$B$6:$B$405,$AP1823)="",$H1823,INDEX(職員マスタ!$B$6:$B$405,$AP1823)))</f>
        <v/>
      </c>
      <c r="Y1823" s="14">
        <f>IF($AP1823="",IF($B1823="","",$R1823),IF(INDEX(職員マスタ!$C$6:$C$405,$AP1823)="",$R1823,INDEX(職員マスタ!$C$6:$C$405,$AP1823)))</f>
        <v/>
      </c>
      <c r="Z1823" s="14">
        <f>IF($AQ1823="","","R"&amp;$C1823&amp;"."&amp;$D1823)</f>
        <v/>
      </c>
      <c r="AA1823" s="15">
        <f>IF(IF($AP1823="",FALSE,INDEX(職員マスタ!$K$6:$K$405,$AP1823)&lt;&gt;""),INDEX(職員マスタ!$K$6:$K$405,$AP1823),IF(N($W1823)&gt;0,$W1823,""))</f>
        <v/>
      </c>
      <c r="AB1823" s="14">
        <f>IF(OR($E1823="",$AA1823=""),"",IF($E1823&gt;=$AA1823,"×",IF($E1823&gt;=$AA1823*設定!$C$5,"△","○")))</f>
        <v/>
      </c>
      <c r="AC1823" s="15">
        <f>IF($AB1823="","",IF($AB1823="×",0,IF($AB1823="○",ROUNDDOWN($E1823*設定!$C$4,0),ROUNDDOWN($E1823*ROUND((9*$AA1823-9*$E1823)/(10*$E1823),4),0))))</f>
        <v/>
      </c>
      <c r="AD1823" s="13" t="n"/>
      <c r="AE1823" s="15">
        <f>IF($B1823="","",IF($AD1823&lt;&gt;"",$AD1823,IF($AC1823="","",IF($AC1823&lt;=設定!$C$3,0,$AC1823))))</f>
        <v/>
      </c>
      <c r="AF1823" s="14">
        <f>IF($B1823="","",IF(AND($AG1823&lt;&gt;"",$AI1823="",$AL1823=""),"保留中",IF($AL1823&lt;&gt;"",IF(N($AE1823)&gt;0,"支給済","不支給"),IF($AE1823="","要確認",IF($AE1823=0,"不支給","未処理")))))</f>
        <v/>
      </c>
      <c r="AG1823" s="12" t="n"/>
      <c r="AH1823" s="11" t="n"/>
      <c r="AI1823" s="11" t="n"/>
      <c r="AJ1823" s="11" t="n"/>
      <c r="AK1823" s="14">
        <f>IF(AND($AF1823="保留中",$AH1823&lt;&gt;""),TODAY()-$AH1823,"")</f>
        <v/>
      </c>
      <c r="AL1823" s="12" t="n"/>
      <c r="AM1823" s="14">
        <f>IF($B1823="","",IF($AQ1823="","対象年月が未入力／","")&amp;IF($B1823="","",IF($AP1823="","職員マスタに未登録の職員番号／",IF($AA1823="","標準報酬月額が未登録／","")&amp;IF(AND($AQ1823&lt;&gt;"",OR(AND(INDEX(職員マスタ!$G$6:$G$405,$AP1823)&lt;&gt;"",INDEX(職員マスタ!$G$6:$G$405,$AP1823)&gt;EOMONTH($AQ1823,0)),AND(INDEX(職員マスタ!$H$6:$H$405,$AP1823)&lt;&gt;"",INDEX(職員マスタ!$H$6:$H$405,$AP1823)&lt;$AQ1823))),"対象月が時短期間外／","")&amp;IF(AND(INDEX(職員マスタ!$K$6:$K$405,$AP1823)&lt;&gt;"",N($W1823)&gt;0,INDEX(職員マスタ!$K$6:$K$405,$AP1823)&lt;&gt;$W1823),"標準報酬月額が申請書と相違（台帳"&amp;TEXT(INDEX(職員マスタ!$K$6:$K$405,$AP1823),"#,##0")&amp;"円／申請書"&amp;TEXT($W1823,"#,##0")&amp;"円）／","")&amp;IF(AND(INDEX(職員マスタ!$F$6:$F$405,$AP1823)&lt;&gt;"",$AQ1823&lt;&gt;"",INDEX(職員マスタ!$F$6:$F$405,$AP1823)&lt;$AQ1823),"対象月に子が2歳到達済／","")&amp;IF(AND($H1823&lt;&gt;"",INDEX(職員マスタ!$B$6:$B$405,$AP1823)&lt;&gt;"",SUBSTITUTE(SUBSTITUTE($H1823," ","")," ","")&lt;&gt;SUBSTITUTE(SUBSTITUTE(INDEX(職員マスタ!$B$6:$B$405,$AP1823)," ","")," ","")),"氏名がマスタと相違／","")&amp;IF(AND($Q1823&lt;&gt;"",INDEX(職員マスタ!$E$6:$E$405,$AP1823)&lt;&gt;"",$Q1823&lt;&gt;INDEX(職員マスタ!$E$6:$E$405,$AP1823)),"子の生年月日がマスタと相違／","")&amp;IF(AND($L1823&lt;&gt;"",INDEX(職員マスタ!$G$6:$G$405,$AP1823)&lt;&gt;"",$L1823&lt;&gt;INDEX(職員マスタ!$G$6:$G$405,$AP1823)),"時短開始日がマスタと相違／","")&amp;IF(AND($M1823&lt;&gt;"",INDEX(職員マスタ!$H$6:$H$405,$AP1823)&lt;&gt;"",$M1823&lt;&gt;INDEX(職員マスタ!$H$6:$H$405,$AP1823)),"時短終了日がマスタと相違／","")))&amp;IF(AND($B1823&lt;&gt;"",$E1823=""),"報酬額が未入力／","")&amp;IF(N($U1823)&gt;0,"申請書に入力エラーが残っています／","")&amp;IF(AND($B1823&lt;&gt;"",$AQ1823&lt;&gt;""),IF(COUNTIFS($B$6:$B$3005,$B1823,$C$6:$C$3005,$C1823,$D$6:$D$3005,$D1823)&gt;1,"同じ月の請求が重複しています／",""),"")&amp;IF(AND(N($E1823)&gt;0,$AB1823&lt;&gt;"",$AB1823&lt;&gt;"×",$AE1823=0,$AD1823=""),"計算額が下限以下のため不支給／",""))</f>
        <v/>
      </c>
      <c r="AN1823" s="12" t="n"/>
      <c r="AO1823" s="14">
        <f>IF($AF1823="保留中",COUNTIF($AF$6:$AF1823,"保留中"),"")</f>
        <v/>
      </c>
      <c r="AP1823" s="14">
        <f>IF($AQ1823="","",IF(SUMPRODUCT(MAX((職員マスタ!$A$6:$A$405=$B1823)*(((職員マスタ!$G$6:$G$405="")+(職員マスタ!$G$6:$G$405&lt;=EOMONTH($AQ1823,0)))&gt;0)*(((職員マスタ!$H$6:$H$405="")+(職員マスタ!$H$6:$H$405&gt;=$AQ1823))&gt;0)*(ROW(職員マスタ!$A$6:$A$405)-5)))&gt;0,SUMPRODUCT(MAX((職員マスタ!$A$6:$A$405=$B1823)*(((職員マスタ!$G$6:$G$405="")+(職員マスタ!$G$6:$G$405&lt;=EOMONTH($AQ1823,0)))&gt;0)*(((職員マスタ!$H$6:$H$405="")+(職員マスタ!$H$6:$H$405&gt;=$AQ1823))&gt;0)*(ROW(職員マスタ!$A$6:$A$405)-5))),IFERROR(MATCH($B1823,職員マスタ!$A$6:$A$405,0),"")))</f>
        <v/>
      </c>
      <c r="AQ1823" s="16">
        <f>IF(OR($B1823="",$C1823="",$D1823=""),"",DATE($C1823+2018,$D1823,1))</f>
        <v/>
      </c>
    </row>
    <row r="1824">
      <c r="A1824" s="11" t="n"/>
      <c r="B1824" s="12" t="n"/>
      <c r="C1824" s="12" t="n"/>
      <c r="D1824" s="12" t="n"/>
      <c r="E1824" s="13" t="n"/>
      <c r="F1824" s="12" t="n"/>
      <c r="G1824" s="13" t="n"/>
      <c r="H1824" s="12" t="n"/>
      <c r="I1824" s="12" t="n"/>
      <c r="J1824" s="12" t="n"/>
      <c r="K1824" s="12" t="n"/>
      <c r="L1824" s="11" t="n"/>
      <c r="M1824" s="11" t="n"/>
      <c r="N1824" s="11" t="n"/>
      <c r="O1824" s="11" t="n"/>
      <c r="P1824" s="12" t="n"/>
      <c r="Q1824" s="11" t="n"/>
      <c r="R1824" s="12" t="n"/>
      <c r="S1824" s="11" t="n"/>
      <c r="T1824" s="12" t="n"/>
      <c r="U1824" s="12" t="n"/>
      <c r="V1824" s="12" t="n"/>
      <c r="W1824" s="13" t="n"/>
      <c r="X1824" s="14">
        <f>IF($AP1824="",IF($B1824="","",$H1824),IF(INDEX(職員マスタ!$B$6:$B$405,$AP1824)="",$H1824,INDEX(職員マスタ!$B$6:$B$405,$AP1824)))</f>
        <v/>
      </c>
      <c r="Y1824" s="14">
        <f>IF($AP1824="",IF($B1824="","",$R1824),IF(INDEX(職員マスタ!$C$6:$C$405,$AP1824)="",$R1824,INDEX(職員マスタ!$C$6:$C$405,$AP1824)))</f>
        <v/>
      </c>
      <c r="Z1824" s="14">
        <f>IF($AQ1824="","","R"&amp;$C1824&amp;"."&amp;$D1824)</f>
        <v/>
      </c>
      <c r="AA1824" s="15">
        <f>IF(IF($AP1824="",FALSE,INDEX(職員マスタ!$K$6:$K$405,$AP1824)&lt;&gt;""),INDEX(職員マスタ!$K$6:$K$405,$AP1824),IF(N($W1824)&gt;0,$W1824,""))</f>
        <v/>
      </c>
      <c r="AB1824" s="14">
        <f>IF(OR($E1824="",$AA1824=""),"",IF($E1824&gt;=$AA1824,"×",IF($E1824&gt;=$AA1824*設定!$C$5,"△","○")))</f>
        <v/>
      </c>
      <c r="AC1824" s="15">
        <f>IF($AB1824="","",IF($AB1824="×",0,IF($AB1824="○",ROUNDDOWN($E1824*設定!$C$4,0),ROUNDDOWN($E1824*ROUND((9*$AA1824-9*$E1824)/(10*$E1824),4),0))))</f>
        <v/>
      </c>
      <c r="AD1824" s="13" t="n"/>
      <c r="AE1824" s="15">
        <f>IF($B1824="","",IF($AD1824&lt;&gt;"",$AD1824,IF($AC1824="","",IF($AC1824&lt;=設定!$C$3,0,$AC1824))))</f>
        <v/>
      </c>
      <c r="AF1824" s="14">
        <f>IF($B1824="","",IF(AND($AG1824&lt;&gt;"",$AI1824="",$AL1824=""),"保留中",IF($AL1824&lt;&gt;"",IF(N($AE1824)&gt;0,"支給済","不支給"),IF($AE1824="","要確認",IF($AE1824=0,"不支給","未処理")))))</f>
        <v/>
      </c>
      <c r="AG1824" s="12" t="n"/>
      <c r="AH1824" s="11" t="n"/>
      <c r="AI1824" s="11" t="n"/>
      <c r="AJ1824" s="11" t="n"/>
      <c r="AK1824" s="14">
        <f>IF(AND($AF1824="保留中",$AH1824&lt;&gt;""),TODAY()-$AH1824,"")</f>
        <v/>
      </c>
      <c r="AL1824" s="12" t="n"/>
      <c r="AM1824" s="14">
        <f>IF($B1824="","",IF($AQ1824="","対象年月が未入力／","")&amp;IF($B1824="","",IF($AP1824="","職員マスタに未登録の職員番号／",IF($AA1824="","標準報酬月額が未登録／","")&amp;IF(AND($AQ1824&lt;&gt;"",OR(AND(INDEX(職員マスタ!$G$6:$G$405,$AP1824)&lt;&gt;"",INDEX(職員マスタ!$G$6:$G$405,$AP1824)&gt;EOMONTH($AQ1824,0)),AND(INDEX(職員マスタ!$H$6:$H$405,$AP1824)&lt;&gt;"",INDEX(職員マスタ!$H$6:$H$405,$AP1824)&lt;$AQ1824))),"対象月が時短期間外／","")&amp;IF(AND(INDEX(職員マスタ!$K$6:$K$405,$AP1824)&lt;&gt;"",N($W1824)&gt;0,INDEX(職員マスタ!$K$6:$K$405,$AP1824)&lt;&gt;$W1824),"標準報酬月額が申請書と相違（台帳"&amp;TEXT(INDEX(職員マスタ!$K$6:$K$405,$AP1824),"#,##0")&amp;"円／申請書"&amp;TEXT($W1824,"#,##0")&amp;"円）／","")&amp;IF(AND(INDEX(職員マスタ!$F$6:$F$405,$AP1824)&lt;&gt;"",$AQ1824&lt;&gt;"",INDEX(職員マスタ!$F$6:$F$405,$AP1824)&lt;$AQ1824),"対象月に子が2歳到達済／","")&amp;IF(AND($H1824&lt;&gt;"",INDEX(職員マスタ!$B$6:$B$405,$AP1824)&lt;&gt;"",SUBSTITUTE(SUBSTITUTE($H1824," ","")," ","")&lt;&gt;SUBSTITUTE(SUBSTITUTE(INDEX(職員マスタ!$B$6:$B$405,$AP1824)," ","")," ","")),"氏名がマスタと相違／","")&amp;IF(AND($Q1824&lt;&gt;"",INDEX(職員マスタ!$E$6:$E$405,$AP1824)&lt;&gt;"",$Q1824&lt;&gt;INDEX(職員マスタ!$E$6:$E$405,$AP1824)),"子の生年月日がマスタと相違／","")&amp;IF(AND($L1824&lt;&gt;"",INDEX(職員マスタ!$G$6:$G$405,$AP1824)&lt;&gt;"",$L1824&lt;&gt;INDEX(職員マスタ!$G$6:$G$405,$AP1824)),"時短開始日がマスタと相違／","")&amp;IF(AND($M1824&lt;&gt;"",INDEX(職員マスタ!$H$6:$H$405,$AP1824)&lt;&gt;"",$M1824&lt;&gt;INDEX(職員マスタ!$H$6:$H$405,$AP1824)),"時短終了日がマスタと相違／","")))&amp;IF(AND($B1824&lt;&gt;"",$E1824=""),"報酬額が未入力／","")&amp;IF(N($U1824)&gt;0,"申請書に入力エラーが残っています／","")&amp;IF(AND($B1824&lt;&gt;"",$AQ1824&lt;&gt;""),IF(COUNTIFS($B$6:$B$3005,$B1824,$C$6:$C$3005,$C1824,$D$6:$D$3005,$D1824)&gt;1,"同じ月の請求が重複しています／",""),"")&amp;IF(AND(N($E1824)&gt;0,$AB1824&lt;&gt;"",$AB1824&lt;&gt;"×",$AE1824=0,$AD1824=""),"計算額が下限以下のため不支給／",""))</f>
        <v/>
      </c>
      <c r="AN1824" s="12" t="n"/>
      <c r="AO1824" s="14">
        <f>IF($AF1824="保留中",COUNTIF($AF$6:$AF1824,"保留中"),"")</f>
        <v/>
      </c>
      <c r="AP1824" s="14">
        <f>IF($AQ1824="","",IF(SUMPRODUCT(MAX((職員マスタ!$A$6:$A$405=$B1824)*(((職員マスタ!$G$6:$G$405="")+(職員マスタ!$G$6:$G$405&lt;=EOMONTH($AQ1824,0)))&gt;0)*(((職員マスタ!$H$6:$H$405="")+(職員マスタ!$H$6:$H$405&gt;=$AQ1824))&gt;0)*(ROW(職員マスタ!$A$6:$A$405)-5)))&gt;0,SUMPRODUCT(MAX((職員マスタ!$A$6:$A$405=$B1824)*(((職員マスタ!$G$6:$G$405="")+(職員マスタ!$G$6:$G$405&lt;=EOMONTH($AQ1824,0)))&gt;0)*(((職員マスタ!$H$6:$H$405="")+(職員マスタ!$H$6:$H$405&gt;=$AQ1824))&gt;0)*(ROW(職員マスタ!$A$6:$A$405)-5))),IFERROR(MATCH($B1824,職員マスタ!$A$6:$A$405,0),"")))</f>
        <v/>
      </c>
      <c r="AQ1824" s="16">
        <f>IF(OR($B1824="",$C1824="",$D1824=""),"",DATE($C1824+2018,$D1824,1))</f>
        <v/>
      </c>
    </row>
    <row r="1825">
      <c r="A1825" s="11" t="n"/>
      <c r="B1825" s="12" t="n"/>
      <c r="C1825" s="12" t="n"/>
      <c r="D1825" s="12" t="n"/>
      <c r="E1825" s="13" t="n"/>
      <c r="F1825" s="12" t="n"/>
      <c r="G1825" s="13" t="n"/>
      <c r="H1825" s="12" t="n"/>
      <c r="I1825" s="12" t="n"/>
      <c r="J1825" s="12" t="n"/>
      <c r="K1825" s="12" t="n"/>
      <c r="L1825" s="11" t="n"/>
      <c r="M1825" s="11" t="n"/>
      <c r="N1825" s="11" t="n"/>
      <c r="O1825" s="11" t="n"/>
      <c r="P1825" s="12" t="n"/>
      <c r="Q1825" s="11" t="n"/>
      <c r="R1825" s="12" t="n"/>
      <c r="S1825" s="11" t="n"/>
      <c r="T1825" s="12" t="n"/>
      <c r="U1825" s="12" t="n"/>
      <c r="V1825" s="12" t="n"/>
      <c r="W1825" s="13" t="n"/>
      <c r="X1825" s="14">
        <f>IF($AP1825="",IF($B1825="","",$H1825),IF(INDEX(職員マスタ!$B$6:$B$405,$AP1825)="",$H1825,INDEX(職員マスタ!$B$6:$B$405,$AP1825)))</f>
        <v/>
      </c>
      <c r="Y1825" s="14">
        <f>IF($AP1825="",IF($B1825="","",$R1825),IF(INDEX(職員マスタ!$C$6:$C$405,$AP1825)="",$R1825,INDEX(職員マスタ!$C$6:$C$405,$AP1825)))</f>
        <v/>
      </c>
      <c r="Z1825" s="14">
        <f>IF($AQ1825="","","R"&amp;$C1825&amp;"."&amp;$D1825)</f>
        <v/>
      </c>
      <c r="AA1825" s="15">
        <f>IF(IF($AP1825="",FALSE,INDEX(職員マスタ!$K$6:$K$405,$AP1825)&lt;&gt;""),INDEX(職員マスタ!$K$6:$K$405,$AP1825),IF(N($W1825)&gt;0,$W1825,""))</f>
        <v/>
      </c>
      <c r="AB1825" s="14">
        <f>IF(OR($E1825="",$AA1825=""),"",IF($E1825&gt;=$AA1825,"×",IF($E1825&gt;=$AA1825*設定!$C$5,"△","○")))</f>
        <v/>
      </c>
      <c r="AC1825" s="15">
        <f>IF($AB1825="","",IF($AB1825="×",0,IF($AB1825="○",ROUNDDOWN($E1825*設定!$C$4,0),ROUNDDOWN($E1825*ROUND((9*$AA1825-9*$E1825)/(10*$E1825),4),0))))</f>
        <v/>
      </c>
      <c r="AD1825" s="13" t="n"/>
      <c r="AE1825" s="15">
        <f>IF($B1825="","",IF($AD1825&lt;&gt;"",$AD1825,IF($AC1825="","",IF($AC1825&lt;=設定!$C$3,0,$AC1825))))</f>
        <v/>
      </c>
      <c r="AF1825" s="14">
        <f>IF($B1825="","",IF(AND($AG1825&lt;&gt;"",$AI1825="",$AL1825=""),"保留中",IF($AL1825&lt;&gt;"",IF(N($AE1825)&gt;0,"支給済","不支給"),IF($AE1825="","要確認",IF($AE1825=0,"不支給","未処理")))))</f>
        <v/>
      </c>
      <c r="AG1825" s="12" t="n"/>
      <c r="AH1825" s="11" t="n"/>
      <c r="AI1825" s="11" t="n"/>
      <c r="AJ1825" s="11" t="n"/>
      <c r="AK1825" s="14">
        <f>IF(AND($AF1825="保留中",$AH1825&lt;&gt;""),TODAY()-$AH1825,"")</f>
        <v/>
      </c>
      <c r="AL1825" s="12" t="n"/>
      <c r="AM1825" s="14">
        <f>IF($B1825="","",IF($AQ1825="","対象年月が未入力／","")&amp;IF($B1825="","",IF($AP1825="","職員マスタに未登録の職員番号／",IF($AA1825="","標準報酬月額が未登録／","")&amp;IF(AND($AQ1825&lt;&gt;"",OR(AND(INDEX(職員マスタ!$G$6:$G$405,$AP1825)&lt;&gt;"",INDEX(職員マスタ!$G$6:$G$405,$AP1825)&gt;EOMONTH($AQ1825,0)),AND(INDEX(職員マスタ!$H$6:$H$405,$AP1825)&lt;&gt;"",INDEX(職員マスタ!$H$6:$H$405,$AP1825)&lt;$AQ1825))),"対象月が時短期間外／","")&amp;IF(AND(INDEX(職員マスタ!$K$6:$K$405,$AP1825)&lt;&gt;"",N($W1825)&gt;0,INDEX(職員マスタ!$K$6:$K$405,$AP1825)&lt;&gt;$W1825),"標準報酬月額が申請書と相違（台帳"&amp;TEXT(INDEX(職員マスタ!$K$6:$K$405,$AP1825),"#,##0")&amp;"円／申請書"&amp;TEXT($W1825,"#,##0")&amp;"円）／","")&amp;IF(AND(INDEX(職員マスタ!$F$6:$F$405,$AP1825)&lt;&gt;"",$AQ1825&lt;&gt;"",INDEX(職員マスタ!$F$6:$F$405,$AP1825)&lt;$AQ1825),"対象月に子が2歳到達済／","")&amp;IF(AND($H1825&lt;&gt;"",INDEX(職員マスタ!$B$6:$B$405,$AP1825)&lt;&gt;"",SUBSTITUTE(SUBSTITUTE($H1825," ","")," ","")&lt;&gt;SUBSTITUTE(SUBSTITUTE(INDEX(職員マスタ!$B$6:$B$405,$AP1825)," ","")," ","")),"氏名がマスタと相違／","")&amp;IF(AND($Q1825&lt;&gt;"",INDEX(職員マスタ!$E$6:$E$405,$AP1825)&lt;&gt;"",$Q1825&lt;&gt;INDEX(職員マスタ!$E$6:$E$405,$AP1825)),"子の生年月日がマスタと相違／","")&amp;IF(AND($L1825&lt;&gt;"",INDEX(職員マスタ!$G$6:$G$405,$AP1825)&lt;&gt;"",$L1825&lt;&gt;INDEX(職員マスタ!$G$6:$G$405,$AP1825)),"時短開始日がマスタと相違／","")&amp;IF(AND($M1825&lt;&gt;"",INDEX(職員マスタ!$H$6:$H$405,$AP1825)&lt;&gt;"",$M1825&lt;&gt;INDEX(職員マスタ!$H$6:$H$405,$AP1825)),"時短終了日がマスタと相違／","")))&amp;IF(AND($B1825&lt;&gt;"",$E1825=""),"報酬額が未入力／","")&amp;IF(N($U1825)&gt;0,"申請書に入力エラーが残っています／","")&amp;IF(AND($B1825&lt;&gt;"",$AQ1825&lt;&gt;""),IF(COUNTIFS($B$6:$B$3005,$B1825,$C$6:$C$3005,$C1825,$D$6:$D$3005,$D1825)&gt;1,"同じ月の請求が重複しています／",""),"")&amp;IF(AND(N($E1825)&gt;0,$AB1825&lt;&gt;"",$AB1825&lt;&gt;"×",$AE1825=0,$AD1825=""),"計算額が下限以下のため不支給／",""))</f>
        <v/>
      </c>
      <c r="AN1825" s="12" t="n"/>
      <c r="AO1825" s="14">
        <f>IF($AF1825="保留中",COUNTIF($AF$6:$AF1825,"保留中"),"")</f>
        <v/>
      </c>
      <c r="AP1825" s="14">
        <f>IF($AQ1825="","",IF(SUMPRODUCT(MAX((職員マスタ!$A$6:$A$405=$B1825)*(((職員マスタ!$G$6:$G$405="")+(職員マスタ!$G$6:$G$405&lt;=EOMONTH($AQ1825,0)))&gt;0)*(((職員マスタ!$H$6:$H$405="")+(職員マスタ!$H$6:$H$405&gt;=$AQ1825))&gt;0)*(ROW(職員マスタ!$A$6:$A$405)-5)))&gt;0,SUMPRODUCT(MAX((職員マスタ!$A$6:$A$405=$B1825)*(((職員マスタ!$G$6:$G$405="")+(職員マスタ!$G$6:$G$405&lt;=EOMONTH($AQ1825,0)))&gt;0)*(((職員マスタ!$H$6:$H$405="")+(職員マスタ!$H$6:$H$405&gt;=$AQ1825))&gt;0)*(ROW(職員マスタ!$A$6:$A$405)-5))),IFERROR(MATCH($B1825,職員マスタ!$A$6:$A$405,0),"")))</f>
        <v/>
      </c>
      <c r="AQ1825" s="16">
        <f>IF(OR($B1825="",$C1825="",$D1825=""),"",DATE($C1825+2018,$D1825,1))</f>
        <v/>
      </c>
    </row>
    <row r="1826">
      <c r="A1826" s="11" t="n"/>
      <c r="B1826" s="12" t="n"/>
      <c r="C1826" s="12" t="n"/>
      <c r="D1826" s="12" t="n"/>
      <c r="E1826" s="13" t="n"/>
      <c r="F1826" s="12" t="n"/>
      <c r="G1826" s="13" t="n"/>
      <c r="H1826" s="12" t="n"/>
      <c r="I1826" s="12" t="n"/>
      <c r="J1826" s="12" t="n"/>
      <c r="K1826" s="12" t="n"/>
      <c r="L1826" s="11" t="n"/>
      <c r="M1826" s="11" t="n"/>
      <c r="N1826" s="11" t="n"/>
      <c r="O1826" s="11" t="n"/>
      <c r="P1826" s="12" t="n"/>
      <c r="Q1826" s="11" t="n"/>
      <c r="R1826" s="12" t="n"/>
      <c r="S1826" s="11" t="n"/>
      <c r="T1826" s="12" t="n"/>
      <c r="U1826" s="12" t="n"/>
      <c r="V1826" s="12" t="n"/>
      <c r="W1826" s="13" t="n"/>
      <c r="X1826" s="14">
        <f>IF($AP1826="",IF($B1826="","",$H1826),IF(INDEX(職員マスタ!$B$6:$B$405,$AP1826)="",$H1826,INDEX(職員マスタ!$B$6:$B$405,$AP1826)))</f>
        <v/>
      </c>
      <c r="Y1826" s="14">
        <f>IF($AP1826="",IF($B1826="","",$R1826),IF(INDEX(職員マスタ!$C$6:$C$405,$AP1826)="",$R1826,INDEX(職員マスタ!$C$6:$C$405,$AP1826)))</f>
        <v/>
      </c>
      <c r="Z1826" s="14">
        <f>IF($AQ1826="","","R"&amp;$C1826&amp;"."&amp;$D1826)</f>
        <v/>
      </c>
      <c r="AA1826" s="15">
        <f>IF(IF($AP1826="",FALSE,INDEX(職員マスタ!$K$6:$K$405,$AP1826)&lt;&gt;""),INDEX(職員マスタ!$K$6:$K$405,$AP1826),IF(N($W1826)&gt;0,$W1826,""))</f>
        <v/>
      </c>
      <c r="AB1826" s="14">
        <f>IF(OR($E1826="",$AA1826=""),"",IF($E1826&gt;=$AA1826,"×",IF($E1826&gt;=$AA1826*設定!$C$5,"△","○")))</f>
        <v/>
      </c>
      <c r="AC1826" s="15">
        <f>IF($AB1826="","",IF($AB1826="×",0,IF($AB1826="○",ROUNDDOWN($E1826*設定!$C$4,0),ROUNDDOWN($E1826*ROUND((9*$AA1826-9*$E1826)/(10*$E1826),4),0))))</f>
        <v/>
      </c>
      <c r="AD1826" s="13" t="n"/>
      <c r="AE1826" s="15">
        <f>IF($B1826="","",IF($AD1826&lt;&gt;"",$AD1826,IF($AC1826="","",IF($AC1826&lt;=設定!$C$3,0,$AC1826))))</f>
        <v/>
      </c>
      <c r="AF1826" s="14">
        <f>IF($B1826="","",IF(AND($AG1826&lt;&gt;"",$AI1826="",$AL1826=""),"保留中",IF($AL1826&lt;&gt;"",IF(N($AE1826)&gt;0,"支給済","不支給"),IF($AE1826="","要確認",IF($AE1826=0,"不支給","未処理")))))</f>
        <v/>
      </c>
      <c r="AG1826" s="12" t="n"/>
      <c r="AH1826" s="11" t="n"/>
      <c r="AI1826" s="11" t="n"/>
      <c r="AJ1826" s="11" t="n"/>
      <c r="AK1826" s="14">
        <f>IF(AND($AF1826="保留中",$AH1826&lt;&gt;""),TODAY()-$AH1826,"")</f>
        <v/>
      </c>
      <c r="AL1826" s="12" t="n"/>
      <c r="AM1826" s="14">
        <f>IF($B1826="","",IF($AQ1826="","対象年月が未入力／","")&amp;IF($B1826="","",IF($AP1826="","職員マスタに未登録の職員番号／",IF($AA1826="","標準報酬月額が未登録／","")&amp;IF(AND($AQ1826&lt;&gt;"",OR(AND(INDEX(職員マスタ!$G$6:$G$405,$AP1826)&lt;&gt;"",INDEX(職員マスタ!$G$6:$G$405,$AP1826)&gt;EOMONTH($AQ1826,0)),AND(INDEX(職員マスタ!$H$6:$H$405,$AP1826)&lt;&gt;"",INDEX(職員マスタ!$H$6:$H$405,$AP1826)&lt;$AQ1826))),"対象月が時短期間外／","")&amp;IF(AND(INDEX(職員マスタ!$K$6:$K$405,$AP1826)&lt;&gt;"",N($W1826)&gt;0,INDEX(職員マスタ!$K$6:$K$405,$AP1826)&lt;&gt;$W1826),"標準報酬月額が申請書と相違（台帳"&amp;TEXT(INDEX(職員マスタ!$K$6:$K$405,$AP1826),"#,##0")&amp;"円／申請書"&amp;TEXT($W1826,"#,##0")&amp;"円）／","")&amp;IF(AND(INDEX(職員マスタ!$F$6:$F$405,$AP1826)&lt;&gt;"",$AQ1826&lt;&gt;"",INDEX(職員マスタ!$F$6:$F$405,$AP1826)&lt;$AQ1826),"対象月に子が2歳到達済／","")&amp;IF(AND($H1826&lt;&gt;"",INDEX(職員マスタ!$B$6:$B$405,$AP1826)&lt;&gt;"",SUBSTITUTE(SUBSTITUTE($H1826," ","")," ","")&lt;&gt;SUBSTITUTE(SUBSTITUTE(INDEX(職員マスタ!$B$6:$B$405,$AP1826)," ","")," ","")),"氏名がマスタと相違／","")&amp;IF(AND($Q1826&lt;&gt;"",INDEX(職員マスタ!$E$6:$E$405,$AP1826)&lt;&gt;"",$Q1826&lt;&gt;INDEX(職員マスタ!$E$6:$E$405,$AP1826)),"子の生年月日がマスタと相違／","")&amp;IF(AND($L1826&lt;&gt;"",INDEX(職員マスタ!$G$6:$G$405,$AP1826)&lt;&gt;"",$L1826&lt;&gt;INDEX(職員マスタ!$G$6:$G$405,$AP1826)),"時短開始日がマスタと相違／","")&amp;IF(AND($M1826&lt;&gt;"",INDEX(職員マスタ!$H$6:$H$405,$AP1826)&lt;&gt;"",$M1826&lt;&gt;INDEX(職員マスタ!$H$6:$H$405,$AP1826)),"時短終了日がマスタと相違／","")))&amp;IF(AND($B1826&lt;&gt;"",$E1826=""),"報酬額が未入力／","")&amp;IF(N($U1826)&gt;0,"申請書に入力エラーが残っています／","")&amp;IF(AND($B1826&lt;&gt;"",$AQ1826&lt;&gt;""),IF(COUNTIFS($B$6:$B$3005,$B1826,$C$6:$C$3005,$C1826,$D$6:$D$3005,$D1826)&gt;1,"同じ月の請求が重複しています／",""),"")&amp;IF(AND(N($E1826)&gt;0,$AB1826&lt;&gt;"",$AB1826&lt;&gt;"×",$AE1826=0,$AD1826=""),"計算額が下限以下のため不支給／",""))</f>
        <v/>
      </c>
      <c r="AN1826" s="12" t="n"/>
      <c r="AO1826" s="14">
        <f>IF($AF1826="保留中",COUNTIF($AF$6:$AF1826,"保留中"),"")</f>
        <v/>
      </c>
      <c r="AP1826" s="14">
        <f>IF($AQ1826="","",IF(SUMPRODUCT(MAX((職員マスタ!$A$6:$A$405=$B1826)*(((職員マスタ!$G$6:$G$405="")+(職員マスタ!$G$6:$G$405&lt;=EOMONTH($AQ1826,0)))&gt;0)*(((職員マスタ!$H$6:$H$405="")+(職員マスタ!$H$6:$H$405&gt;=$AQ1826))&gt;0)*(ROW(職員マスタ!$A$6:$A$405)-5)))&gt;0,SUMPRODUCT(MAX((職員マスタ!$A$6:$A$405=$B1826)*(((職員マスタ!$G$6:$G$405="")+(職員マスタ!$G$6:$G$405&lt;=EOMONTH($AQ1826,0)))&gt;0)*(((職員マスタ!$H$6:$H$405="")+(職員マスタ!$H$6:$H$405&gt;=$AQ1826))&gt;0)*(ROW(職員マスタ!$A$6:$A$405)-5))),IFERROR(MATCH($B1826,職員マスタ!$A$6:$A$405,0),"")))</f>
        <v/>
      </c>
      <c r="AQ1826" s="16">
        <f>IF(OR($B1826="",$C1826="",$D1826=""),"",DATE($C1826+2018,$D1826,1))</f>
        <v/>
      </c>
    </row>
    <row r="1827">
      <c r="A1827" s="11" t="n"/>
      <c r="B1827" s="12" t="n"/>
      <c r="C1827" s="12" t="n"/>
      <c r="D1827" s="12" t="n"/>
      <c r="E1827" s="13" t="n"/>
      <c r="F1827" s="12" t="n"/>
      <c r="G1827" s="13" t="n"/>
      <c r="H1827" s="12" t="n"/>
      <c r="I1827" s="12" t="n"/>
      <c r="J1827" s="12" t="n"/>
      <c r="K1827" s="12" t="n"/>
      <c r="L1827" s="11" t="n"/>
      <c r="M1827" s="11" t="n"/>
      <c r="N1827" s="11" t="n"/>
      <c r="O1827" s="11" t="n"/>
      <c r="P1827" s="12" t="n"/>
      <c r="Q1827" s="11" t="n"/>
      <c r="R1827" s="12" t="n"/>
      <c r="S1827" s="11" t="n"/>
      <c r="T1827" s="12" t="n"/>
      <c r="U1827" s="12" t="n"/>
      <c r="V1827" s="12" t="n"/>
      <c r="W1827" s="13" t="n"/>
      <c r="X1827" s="14">
        <f>IF($AP1827="",IF($B1827="","",$H1827),IF(INDEX(職員マスタ!$B$6:$B$405,$AP1827)="",$H1827,INDEX(職員マスタ!$B$6:$B$405,$AP1827)))</f>
        <v/>
      </c>
      <c r="Y1827" s="14">
        <f>IF($AP1827="",IF($B1827="","",$R1827),IF(INDEX(職員マスタ!$C$6:$C$405,$AP1827)="",$R1827,INDEX(職員マスタ!$C$6:$C$405,$AP1827)))</f>
        <v/>
      </c>
      <c r="Z1827" s="14">
        <f>IF($AQ1827="","","R"&amp;$C1827&amp;"."&amp;$D1827)</f>
        <v/>
      </c>
      <c r="AA1827" s="15">
        <f>IF(IF($AP1827="",FALSE,INDEX(職員マスタ!$K$6:$K$405,$AP1827)&lt;&gt;""),INDEX(職員マスタ!$K$6:$K$405,$AP1827),IF(N($W1827)&gt;0,$W1827,""))</f>
        <v/>
      </c>
      <c r="AB1827" s="14">
        <f>IF(OR($E1827="",$AA1827=""),"",IF($E1827&gt;=$AA1827,"×",IF($E1827&gt;=$AA1827*設定!$C$5,"△","○")))</f>
        <v/>
      </c>
      <c r="AC1827" s="15">
        <f>IF($AB1827="","",IF($AB1827="×",0,IF($AB1827="○",ROUNDDOWN($E1827*設定!$C$4,0),ROUNDDOWN($E1827*ROUND((9*$AA1827-9*$E1827)/(10*$E1827),4),0))))</f>
        <v/>
      </c>
      <c r="AD1827" s="13" t="n"/>
      <c r="AE1827" s="15">
        <f>IF($B1827="","",IF($AD1827&lt;&gt;"",$AD1827,IF($AC1827="","",IF($AC1827&lt;=設定!$C$3,0,$AC1827))))</f>
        <v/>
      </c>
      <c r="AF1827" s="14">
        <f>IF($B1827="","",IF(AND($AG1827&lt;&gt;"",$AI1827="",$AL1827=""),"保留中",IF($AL1827&lt;&gt;"",IF(N($AE1827)&gt;0,"支給済","不支給"),IF($AE1827="","要確認",IF($AE1827=0,"不支給","未処理")))))</f>
        <v/>
      </c>
      <c r="AG1827" s="12" t="n"/>
      <c r="AH1827" s="11" t="n"/>
      <c r="AI1827" s="11" t="n"/>
      <c r="AJ1827" s="11" t="n"/>
      <c r="AK1827" s="14">
        <f>IF(AND($AF1827="保留中",$AH1827&lt;&gt;""),TODAY()-$AH1827,"")</f>
        <v/>
      </c>
      <c r="AL1827" s="12" t="n"/>
      <c r="AM1827" s="14">
        <f>IF($B1827="","",IF($AQ1827="","対象年月が未入力／","")&amp;IF($B1827="","",IF($AP1827="","職員マスタに未登録の職員番号／",IF($AA1827="","標準報酬月額が未登録／","")&amp;IF(AND($AQ1827&lt;&gt;"",OR(AND(INDEX(職員マスタ!$G$6:$G$405,$AP1827)&lt;&gt;"",INDEX(職員マスタ!$G$6:$G$405,$AP1827)&gt;EOMONTH($AQ1827,0)),AND(INDEX(職員マスタ!$H$6:$H$405,$AP1827)&lt;&gt;"",INDEX(職員マスタ!$H$6:$H$405,$AP1827)&lt;$AQ1827))),"対象月が時短期間外／","")&amp;IF(AND(INDEX(職員マスタ!$K$6:$K$405,$AP1827)&lt;&gt;"",N($W1827)&gt;0,INDEX(職員マスタ!$K$6:$K$405,$AP1827)&lt;&gt;$W1827),"標準報酬月額が申請書と相違（台帳"&amp;TEXT(INDEX(職員マスタ!$K$6:$K$405,$AP1827),"#,##0")&amp;"円／申請書"&amp;TEXT($W1827,"#,##0")&amp;"円）／","")&amp;IF(AND(INDEX(職員マスタ!$F$6:$F$405,$AP1827)&lt;&gt;"",$AQ1827&lt;&gt;"",INDEX(職員マスタ!$F$6:$F$405,$AP1827)&lt;$AQ1827),"対象月に子が2歳到達済／","")&amp;IF(AND($H1827&lt;&gt;"",INDEX(職員マスタ!$B$6:$B$405,$AP1827)&lt;&gt;"",SUBSTITUTE(SUBSTITUTE($H1827," ","")," ","")&lt;&gt;SUBSTITUTE(SUBSTITUTE(INDEX(職員マスタ!$B$6:$B$405,$AP1827)," ","")," ","")),"氏名がマスタと相違／","")&amp;IF(AND($Q1827&lt;&gt;"",INDEX(職員マスタ!$E$6:$E$405,$AP1827)&lt;&gt;"",$Q1827&lt;&gt;INDEX(職員マスタ!$E$6:$E$405,$AP1827)),"子の生年月日がマスタと相違／","")&amp;IF(AND($L1827&lt;&gt;"",INDEX(職員マスタ!$G$6:$G$405,$AP1827)&lt;&gt;"",$L1827&lt;&gt;INDEX(職員マスタ!$G$6:$G$405,$AP1827)),"時短開始日がマスタと相違／","")&amp;IF(AND($M1827&lt;&gt;"",INDEX(職員マスタ!$H$6:$H$405,$AP1827)&lt;&gt;"",$M1827&lt;&gt;INDEX(職員マスタ!$H$6:$H$405,$AP1827)),"時短終了日がマスタと相違／","")))&amp;IF(AND($B1827&lt;&gt;"",$E1827=""),"報酬額が未入力／","")&amp;IF(N($U1827)&gt;0,"申請書に入力エラーが残っています／","")&amp;IF(AND($B1827&lt;&gt;"",$AQ1827&lt;&gt;""),IF(COUNTIFS($B$6:$B$3005,$B1827,$C$6:$C$3005,$C1827,$D$6:$D$3005,$D1827)&gt;1,"同じ月の請求が重複しています／",""),"")&amp;IF(AND(N($E1827)&gt;0,$AB1827&lt;&gt;"",$AB1827&lt;&gt;"×",$AE1827=0,$AD1827=""),"計算額が下限以下のため不支給／",""))</f>
        <v/>
      </c>
      <c r="AN1827" s="12" t="n"/>
      <c r="AO1827" s="14">
        <f>IF($AF1827="保留中",COUNTIF($AF$6:$AF1827,"保留中"),"")</f>
        <v/>
      </c>
      <c r="AP1827" s="14">
        <f>IF($AQ1827="","",IF(SUMPRODUCT(MAX((職員マスタ!$A$6:$A$405=$B1827)*(((職員マスタ!$G$6:$G$405="")+(職員マスタ!$G$6:$G$405&lt;=EOMONTH($AQ1827,0)))&gt;0)*(((職員マスタ!$H$6:$H$405="")+(職員マスタ!$H$6:$H$405&gt;=$AQ1827))&gt;0)*(ROW(職員マスタ!$A$6:$A$405)-5)))&gt;0,SUMPRODUCT(MAX((職員マスタ!$A$6:$A$405=$B1827)*(((職員マスタ!$G$6:$G$405="")+(職員マスタ!$G$6:$G$405&lt;=EOMONTH($AQ1827,0)))&gt;0)*(((職員マスタ!$H$6:$H$405="")+(職員マスタ!$H$6:$H$405&gt;=$AQ1827))&gt;0)*(ROW(職員マスタ!$A$6:$A$405)-5))),IFERROR(MATCH($B1827,職員マスタ!$A$6:$A$405,0),"")))</f>
        <v/>
      </c>
      <c r="AQ1827" s="16">
        <f>IF(OR($B1827="",$C1827="",$D1827=""),"",DATE($C1827+2018,$D1827,1))</f>
        <v/>
      </c>
    </row>
    <row r="1828">
      <c r="A1828" s="11" t="n"/>
      <c r="B1828" s="12" t="n"/>
      <c r="C1828" s="12" t="n"/>
      <c r="D1828" s="12" t="n"/>
      <c r="E1828" s="13" t="n"/>
      <c r="F1828" s="12" t="n"/>
      <c r="G1828" s="13" t="n"/>
      <c r="H1828" s="12" t="n"/>
      <c r="I1828" s="12" t="n"/>
      <c r="J1828" s="12" t="n"/>
      <c r="K1828" s="12" t="n"/>
      <c r="L1828" s="11" t="n"/>
      <c r="M1828" s="11" t="n"/>
      <c r="N1828" s="11" t="n"/>
      <c r="O1828" s="11" t="n"/>
      <c r="P1828" s="12" t="n"/>
      <c r="Q1828" s="11" t="n"/>
      <c r="R1828" s="12" t="n"/>
      <c r="S1828" s="11" t="n"/>
      <c r="T1828" s="12" t="n"/>
      <c r="U1828" s="12" t="n"/>
      <c r="V1828" s="12" t="n"/>
      <c r="W1828" s="13" t="n"/>
      <c r="X1828" s="14">
        <f>IF($AP1828="",IF($B1828="","",$H1828),IF(INDEX(職員マスタ!$B$6:$B$405,$AP1828)="",$H1828,INDEX(職員マスタ!$B$6:$B$405,$AP1828)))</f>
        <v/>
      </c>
      <c r="Y1828" s="14">
        <f>IF($AP1828="",IF($B1828="","",$R1828),IF(INDEX(職員マスタ!$C$6:$C$405,$AP1828)="",$R1828,INDEX(職員マスタ!$C$6:$C$405,$AP1828)))</f>
        <v/>
      </c>
      <c r="Z1828" s="14">
        <f>IF($AQ1828="","","R"&amp;$C1828&amp;"."&amp;$D1828)</f>
        <v/>
      </c>
      <c r="AA1828" s="15">
        <f>IF(IF($AP1828="",FALSE,INDEX(職員マスタ!$K$6:$K$405,$AP1828)&lt;&gt;""),INDEX(職員マスタ!$K$6:$K$405,$AP1828),IF(N($W1828)&gt;0,$W1828,""))</f>
        <v/>
      </c>
      <c r="AB1828" s="14">
        <f>IF(OR($E1828="",$AA1828=""),"",IF($E1828&gt;=$AA1828,"×",IF($E1828&gt;=$AA1828*設定!$C$5,"△","○")))</f>
        <v/>
      </c>
      <c r="AC1828" s="15">
        <f>IF($AB1828="","",IF($AB1828="×",0,IF($AB1828="○",ROUNDDOWN($E1828*設定!$C$4,0),ROUNDDOWN($E1828*ROUND((9*$AA1828-9*$E1828)/(10*$E1828),4),0))))</f>
        <v/>
      </c>
      <c r="AD1828" s="13" t="n"/>
      <c r="AE1828" s="15">
        <f>IF($B1828="","",IF($AD1828&lt;&gt;"",$AD1828,IF($AC1828="","",IF($AC1828&lt;=設定!$C$3,0,$AC1828))))</f>
        <v/>
      </c>
      <c r="AF1828" s="14">
        <f>IF($B1828="","",IF(AND($AG1828&lt;&gt;"",$AI1828="",$AL1828=""),"保留中",IF($AL1828&lt;&gt;"",IF(N($AE1828)&gt;0,"支給済","不支給"),IF($AE1828="","要確認",IF($AE1828=0,"不支給","未処理")))))</f>
        <v/>
      </c>
      <c r="AG1828" s="12" t="n"/>
      <c r="AH1828" s="11" t="n"/>
      <c r="AI1828" s="11" t="n"/>
      <c r="AJ1828" s="11" t="n"/>
      <c r="AK1828" s="14">
        <f>IF(AND($AF1828="保留中",$AH1828&lt;&gt;""),TODAY()-$AH1828,"")</f>
        <v/>
      </c>
      <c r="AL1828" s="12" t="n"/>
      <c r="AM1828" s="14">
        <f>IF($B1828="","",IF($AQ1828="","対象年月が未入力／","")&amp;IF($B1828="","",IF($AP1828="","職員マスタに未登録の職員番号／",IF($AA1828="","標準報酬月額が未登録／","")&amp;IF(AND($AQ1828&lt;&gt;"",OR(AND(INDEX(職員マスタ!$G$6:$G$405,$AP1828)&lt;&gt;"",INDEX(職員マスタ!$G$6:$G$405,$AP1828)&gt;EOMONTH($AQ1828,0)),AND(INDEX(職員マスタ!$H$6:$H$405,$AP1828)&lt;&gt;"",INDEX(職員マスタ!$H$6:$H$405,$AP1828)&lt;$AQ1828))),"対象月が時短期間外／","")&amp;IF(AND(INDEX(職員マスタ!$K$6:$K$405,$AP1828)&lt;&gt;"",N($W1828)&gt;0,INDEX(職員マスタ!$K$6:$K$405,$AP1828)&lt;&gt;$W1828),"標準報酬月額が申請書と相違（台帳"&amp;TEXT(INDEX(職員マスタ!$K$6:$K$405,$AP1828),"#,##0")&amp;"円／申請書"&amp;TEXT($W1828,"#,##0")&amp;"円）／","")&amp;IF(AND(INDEX(職員マスタ!$F$6:$F$405,$AP1828)&lt;&gt;"",$AQ1828&lt;&gt;"",INDEX(職員マスタ!$F$6:$F$405,$AP1828)&lt;$AQ1828),"対象月に子が2歳到達済／","")&amp;IF(AND($H1828&lt;&gt;"",INDEX(職員マスタ!$B$6:$B$405,$AP1828)&lt;&gt;"",SUBSTITUTE(SUBSTITUTE($H1828," ","")," ","")&lt;&gt;SUBSTITUTE(SUBSTITUTE(INDEX(職員マスタ!$B$6:$B$405,$AP1828)," ","")," ","")),"氏名がマスタと相違／","")&amp;IF(AND($Q1828&lt;&gt;"",INDEX(職員マスタ!$E$6:$E$405,$AP1828)&lt;&gt;"",$Q1828&lt;&gt;INDEX(職員マスタ!$E$6:$E$405,$AP1828)),"子の生年月日がマスタと相違／","")&amp;IF(AND($L1828&lt;&gt;"",INDEX(職員マスタ!$G$6:$G$405,$AP1828)&lt;&gt;"",$L1828&lt;&gt;INDEX(職員マスタ!$G$6:$G$405,$AP1828)),"時短開始日がマスタと相違／","")&amp;IF(AND($M1828&lt;&gt;"",INDEX(職員マスタ!$H$6:$H$405,$AP1828)&lt;&gt;"",$M1828&lt;&gt;INDEX(職員マスタ!$H$6:$H$405,$AP1828)),"時短終了日がマスタと相違／","")))&amp;IF(AND($B1828&lt;&gt;"",$E1828=""),"報酬額が未入力／","")&amp;IF(N($U1828)&gt;0,"申請書に入力エラーが残っています／","")&amp;IF(AND($B1828&lt;&gt;"",$AQ1828&lt;&gt;""),IF(COUNTIFS($B$6:$B$3005,$B1828,$C$6:$C$3005,$C1828,$D$6:$D$3005,$D1828)&gt;1,"同じ月の請求が重複しています／",""),"")&amp;IF(AND(N($E1828)&gt;0,$AB1828&lt;&gt;"",$AB1828&lt;&gt;"×",$AE1828=0,$AD1828=""),"計算額が下限以下のため不支給／",""))</f>
        <v/>
      </c>
      <c r="AN1828" s="12" t="n"/>
      <c r="AO1828" s="14">
        <f>IF($AF1828="保留中",COUNTIF($AF$6:$AF1828,"保留中"),"")</f>
        <v/>
      </c>
      <c r="AP1828" s="14">
        <f>IF($AQ1828="","",IF(SUMPRODUCT(MAX((職員マスタ!$A$6:$A$405=$B1828)*(((職員マスタ!$G$6:$G$405="")+(職員マスタ!$G$6:$G$405&lt;=EOMONTH($AQ1828,0)))&gt;0)*(((職員マスタ!$H$6:$H$405="")+(職員マスタ!$H$6:$H$405&gt;=$AQ1828))&gt;0)*(ROW(職員マスタ!$A$6:$A$405)-5)))&gt;0,SUMPRODUCT(MAX((職員マスタ!$A$6:$A$405=$B1828)*(((職員マスタ!$G$6:$G$405="")+(職員マスタ!$G$6:$G$405&lt;=EOMONTH($AQ1828,0)))&gt;0)*(((職員マスタ!$H$6:$H$405="")+(職員マスタ!$H$6:$H$405&gt;=$AQ1828))&gt;0)*(ROW(職員マスタ!$A$6:$A$405)-5))),IFERROR(MATCH($B1828,職員マスタ!$A$6:$A$405,0),"")))</f>
        <v/>
      </c>
      <c r="AQ1828" s="16">
        <f>IF(OR($B1828="",$C1828="",$D1828=""),"",DATE($C1828+2018,$D1828,1))</f>
        <v/>
      </c>
    </row>
    <row r="1829">
      <c r="A1829" s="11" t="n"/>
      <c r="B1829" s="12" t="n"/>
      <c r="C1829" s="12" t="n"/>
      <c r="D1829" s="12" t="n"/>
      <c r="E1829" s="13" t="n"/>
      <c r="F1829" s="12" t="n"/>
      <c r="G1829" s="13" t="n"/>
      <c r="H1829" s="12" t="n"/>
      <c r="I1829" s="12" t="n"/>
      <c r="J1829" s="12" t="n"/>
      <c r="K1829" s="12" t="n"/>
      <c r="L1829" s="11" t="n"/>
      <c r="M1829" s="11" t="n"/>
      <c r="N1829" s="11" t="n"/>
      <c r="O1829" s="11" t="n"/>
      <c r="P1829" s="12" t="n"/>
      <c r="Q1829" s="11" t="n"/>
      <c r="R1829" s="12" t="n"/>
      <c r="S1829" s="11" t="n"/>
      <c r="T1829" s="12" t="n"/>
      <c r="U1829" s="12" t="n"/>
      <c r="V1829" s="12" t="n"/>
      <c r="W1829" s="13" t="n"/>
      <c r="X1829" s="14">
        <f>IF($AP1829="",IF($B1829="","",$H1829),IF(INDEX(職員マスタ!$B$6:$B$405,$AP1829)="",$H1829,INDEX(職員マスタ!$B$6:$B$405,$AP1829)))</f>
        <v/>
      </c>
      <c r="Y1829" s="14">
        <f>IF($AP1829="",IF($B1829="","",$R1829),IF(INDEX(職員マスタ!$C$6:$C$405,$AP1829)="",$R1829,INDEX(職員マスタ!$C$6:$C$405,$AP1829)))</f>
        <v/>
      </c>
      <c r="Z1829" s="14">
        <f>IF($AQ1829="","","R"&amp;$C1829&amp;"."&amp;$D1829)</f>
        <v/>
      </c>
      <c r="AA1829" s="15">
        <f>IF(IF($AP1829="",FALSE,INDEX(職員マスタ!$K$6:$K$405,$AP1829)&lt;&gt;""),INDEX(職員マスタ!$K$6:$K$405,$AP1829),IF(N($W1829)&gt;0,$W1829,""))</f>
        <v/>
      </c>
      <c r="AB1829" s="14">
        <f>IF(OR($E1829="",$AA1829=""),"",IF($E1829&gt;=$AA1829,"×",IF($E1829&gt;=$AA1829*設定!$C$5,"△","○")))</f>
        <v/>
      </c>
      <c r="AC1829" s="15">
        <f>IF($AB1829="","",IF($AB1829="×",0,IF($AB1829="○",ROUNDDOWN($E1829*設定!$C$4,0),ROUNDDOWN($E1829*ROUND((9*$AA1829-9*$E1829)/(10*$E1829),4),0))))</f>
        <v/>
      </c>
      <c r="AD1829" s="13" t="n"/>
      <c r="AE1829" s="15">
        <f>IF($B1829="","",IF($AD1829&lt;&gt;"",$AD1829,IF($AC1829="","",IF($AC1829&lt;=設定!$C$3,0,$AC1829))))</f>
        <v/>
      </c>
      <c r="AF1829" s="14">
        <f>IF($B1829="","",IF(AND($AG1829&lt;&gt;"",$AI1829="",$AL1829=""),"保留中",IF($AL1829&lt;&gt;"",IF(N($AE1829)&gt;0,"支給済","不支給"),IF($AE1829="","要確認",IF($AE1829=0,"不支給","未処理")))))</f>
        <v/>
      </c>
      <c r="AG1829" s="12" t="n"/>
      <c r="AH1829" s="11" t="n"/>
      <c r="AI1829" s="11" t="n"/>
      <c r="AJ1829" s="11" t="n"/>
      <c r="AK1829" s="14">
        <f>IF(AND($AF1829="保留中",$AH1829&lt;&gt;""),TODAY()-$AH1829,"")</f>
        <v/>
      </c>
      <c r="AL1829" s="12" t="n"/>
      <c r="AM1829" s="14">
        <f>IF($B1829="","",IF($AQ1829="","対象年月が未入力／","")&amp;IF($B1829="","",IF($AP1829="","職員マスタに未登録の職員番号／",IF($AA1829="","標準報酬月額が未登録／","")&amp;IF(AND($AQ1829&lt;&gt;"",OR(AND(INDEX(職員マスタ!$G$6:$G$405,$AP1829)&lt;&gt;"",INDEX(職員マスタ!$G$6:$G$405,$AP1829)&gt;EOMONTH($AQ1829,0)),AND(INDEX(職員マスタ!$H$6:$H$405,$AP1829)&lt;&gt;"",INDEX(職員マスタ!$H$6:$H$405,$AP1829)&lt;$AQ1829))),"対象月が時短期間外／","")&amp;IF(AND(INDEX(職員マスタ!$K$6:$K$405,$AP1829)&lt;&gt;"",N($W1829)&gt;0,INDEX(職員マスタ!$K$6:$K$405,$AP1829)&lt;&gt;$W1829),"標準報酬月額が申請書と相違（台帳"&amp;TEXT(INDEX(職員マスタ!$K$6:$K$405,$AP1829),"#,##0")&amp;"円／申請書"&amp;TEXT($W1829,"#,##0")&amp;"円）／","")&amp;IF(AND(INDEX(職員マスタ!$F$6:$F$405,$AP1829)&lt;&gt;"",$AQ1829&lt;&gt;"",INDEX(職員マスタ!$F$6:$F$405,$AP1829)&lt;$AQ1829),"対象月に子が2歳到達済／","")&amp;IF(AND($H1829&lt;&gt;"",INDEX(職員マスタ!$B$6:$B$405,$AP1829)&lt;&gt;"",SUBSTITUTE(SUBSTITUTE($H1829," ","")," ","")&lt;&gt;SUBSTITUTE(SUBSTITUTE(INDEX(職員マスタ!$B$6:$B$405,$AP1829)," ","")," ","")),"氏名がマスタと相違／","")&amp;IF(AND($Q1829&lt;&gt;"",INDEX(職員マスタ!$E$6:$E$405,$AP1829)&lt;&gt;"",$Q1829&lt;&gt;INDEX(職員マスタ!$E$6:$E$405,$AP1829)),"子の生年月日がマスタと相違／","")&amp;IF(AND($L1829&lt;&gt;"",INDEX(職員マスタ!$G$6:$G$405,$AP1829)&lt;&gt;"",$L1829&lt;&gt;INDEX(職員マスタ!$G$6:$G$405,$AP1829)),"時短開始日がマスタと相違／","")&amp;IF(AND($M1829&lt;&gt;"",INDEX(職員マスタ!$H$6:$H$405,$AP1829)&lt;&gt;"",$M1829&lt;&gt;INDEX(職員マスタ!$H$6:$H$405,$AP1829)),"時短終了日がマスタと相違／","")))&amp;IF(AND($B1829&lt;&gt;"",$E1829=""),"報酬額が未入力／","")&amp;IF(N($U1829)&gt;0,"申請書に入力エラーが残っています／","")&amp;IF(AND($B1829&lt;&gt;"",$AQ1829&lt;&gt;""),IF(COUNTIFS($B$6:$B$3005,$B1829,$C$6:$C$3005,$C1829,$D$6:$D$3005,$D1829)&gt;1,"同じ月の請求が重複しています／",""),"")&amp;IF(AND(N($E1829)&gt;0,$AB1829&lt;&gt;"",$AB1829&lt;&gt;"×",$AE1829=0,$AD1829=""),"計算額が下限以下のため不支給／",""))</f>
        <v/>
      </c>
      <c r="AN1829" s="12" t="n"/>
      <c r="AO1829" s="14">
        <f>IF($AF1829="保留中",COUNTIF($AF$6:$AF1829,"保留中"),"")</f>
        <v/>
      </c>
      <c r="AP1829" s="14">
        <f>IF($AQ1829="","",IF(SUMPRODUCT(MAX((職員マスタ!$A$6:$A$405=$B1829)*(((職員マスタ!$G$6:$G$405="")+(職員マスタ!$G$6:$G$405&lt;=EOMONTH($AQ1829,0)))&gt;0)*(((職員マスタ!$H$6:$H$405="")+(職員マスタ!$H$6:$H$405&gt;=$AQ1829))&gt;0)*(ROW(職員マスタ!$A$6:$A$405)-5)))&gt;0,SUMPRODUCT(MAX((職員マスタ!$A$6:$A$405=$B1829)*(((職員マスタ!$G$6:$G$405="")+(職員マスタ!$G$6:$G$405&lt;=EOMONTH($AQ1829,0)))&gt;0)*(((職員マスタ!$H$6:$H$405="")+(職員マスタ!$H$6:$H$405&gt;=$AQ1829))&gt;0)*(ROW(職員マスタ!$A$6:$A$405)-5))),IFERROR(MATCH($B1829,職員マスタ!$A$6:$A$405,0),"")))</f>
        <v/>
      </c>
      <c r="AQ1829" s="16">
        <f>IF(OR($B1829="",$C1829="",$D1829=""),"",DATE($C1829+2018,$D1829,1))</f>
        <v/>
      </c>
    </row>
    <row r="1830">
      <c r="A1830" s="11" t="n"/>
      <c r="B1830" s="12" t="n"/>
      <c r="C1830" s="12" t="n"/>
      <c r="D1830" s="12" t="n"/>
      <c r="E1830" s="13" t="n"/>
      <c r="F1830" s="12" t="n"/>
      <c r="G1830" s="13" t="n"/>
      <c r="H1830" s="12" t="n"/>
      <c r="I1830" s="12" t="n"/>
      <c r="J1830" s="12" t="n"/>
      <c r="K1830" s="12" t="n"/>
      <c r="L1830" s="11" t="n"/>
      <c r="M1830" s="11" t="n"/>
      <c r="N1830" s="11" t="n"/>
      <c r="O1830" s="11" t="n"/>
      <c r="P1830" s="12" t="n"/>
      <c r="Q1830" s="11" t="n"/>
      <c r="R1830" s="12" t="n"/>
      <c r="S1830" s="11" t="n"/>
      <c r="T1830" s="12" t="n"/>
      <c r="U1830" s="12" t="n"/>
      <c r="V1830" s="12" t="n"/>
      <c r="W1830" s="13" t="n"/>
      <c r="X1830" s="14">
        <f>IF($AP1830="",IF($B1830="","",$H1830),IF(INDEX(職員マスタ!$B$6:$B$405,$AP1830)="",$H1830,INDEX(職員マスタ!$B$6:$B$405,$AP1830)))</f>
        <v/>
      </c>
      <c r="Y1830" s="14">
        <f>IF($AP1830="",IF($B1830="","",$R1830),IF(INDEX(職員マスタ!$C$6:$C$405,$AP1830)="",$R1830,INDEX(職員マスタ!$C$6:$C$405,$AP1830)))</f>
        <v/>
      </c>
      <c r="Z1830" s="14">
        <f>IF($AQ1830="","","R"&amp;$C1830&amp;"."&amp;$D1830)</f>
        <v/>
      </c>
      <c r="AA1830" s="15">
        <f>IF(IF($AP1830="",FALSE,INDEX(職員マスタ!$K$6:$K$405,$AP1830)&lt;&gt;""),INDEX(職員マスタ!$K$6:$K$405,$AP1830),IF(N($W1830)&gt;0,$W1830,""))</f>
        <v/>
      </c>
      <c r="AB1830" s="14">
        <f>IF(OR($E1830="",$AA1830=""),"",IF($E1830&gt;=$AA1830,"×",IF($E1830&gt;=$AA1830*設定!$C$5,"△","○")))</f>
        <v/>
      </c>
      <c r="AC1830" s="15">
        <f>IF($AB1830="","",IF($AB1830="×",0,IF($AB1830="○",ROUNDDOWN($E1830*設定!$C$4,0),ROUNDDOWN($E1830*ROUND((9*$AA1830-9*$E1830)/(10*$E1830),4),0))))</f>
        <v/>
      </c>
      <c r="AD1830" s="13" t="n"/>
      <c r="AE1830" s="15">
        <f>IF($B1830="","",IF($AD1830&lt;&gt;"",$AD1830,IF($AC1830="","",IF($AC1830&lt;=設定!$C$3,0,$AC1830))))</f>
        <v/>
      </c>
      <c r="AF1830" s="14">
        <f>IF($B1830="","",IF(AND($AG1830&lt;&gt;"",$AI1830="",$AL1830=""),"保留中",IF($AL1830&lt;&gt;"",IF(N($AE1830)&gt;0,"支給済","不支給"),IF($AE1830="","要確認",IF($AE1830=0,"不支給","未処理")))))</f>
        <v/>
      </c>
      <c r="AG1830" s="12" t="n"/>
      <c r="AH1830" s="11" t="n"/>
      <c r="AI1830" s="11" t="n"/>
      <c r="AJ1830" s="11" t="n"/>
      <c r="AK1830" s="14">
        <f>IF(AND($AF1830="保留中",$AH1830&lt;&gt;""),TODAY()-$AH1830,"")</f>
        <v/>
      </c>
      <c r="AL1830" s="12" t="n"/>
      <c r="AM1830" s="14">
        <f>IF($B1830="","",IF($AQ1830="","対象年月が未入力／","")&amp;IF($B1830="","",IF($AP1830="","職員マスタに未登録の職員番号／",IF($AA1830="","標準報酬月額が未登録／","")&amp;IF(AND($AQ1830&lt;&gt;"",OR(AND(INDEX(職員マスタ!$G$6:$G$405,$AP1830)&lt;&gt;"",INDEX(職員マスタ!$G$6:$G$405,$AP1830)&gt;EOMONTH($AQ1830,0)),AND(INDEX(職員マスタ!$H$6:$H$405,$AP1830)&lt;&gt;"",INDEX(職員マスタ!$H$6:$H$405,$AP1830)&lt;$AQ1830))),"対象月が時短期間外／","")&amp;IF(AND(INDEX(職員マスタ!$K$6:$K$405,$AP1830)&lt;&gt;"",N($W1830)&gt;0,INDEX(職員マスタ!$K$6:$K$405,$AP1830)&lt;&gt;$W1830),"標準報酬月額が申請書と相違（台帳"&amp;TEXT(INDEX(職員マスタ!$K$6:$K$405,$AP1830),"#,##0")&amp;"円／申請書"&amp;TEXT($W1830,"#,##0")&amp;"円）／","")&amp;IF(AND(INDEX(職員マスタ!$F$6:$F$405,$AP1830)&lt;&gt;"",$AQ1830&lt;&gt;"",INDEX(職員マスタ!$F$6:$F$405,$AP1830)&lt;$AQ1830),"対象月に子が2歳到達済／","")&amp;IF(AND($H1830&lt;&gt;"",INDEX(職員マスタ!$B$6:$B$405,$AP1830)&lt;&gt;"",SUBSTITUTE(SUBSTITUTE($H1830," ","")," ","")&lt;&gt;SUBSTITUTE(SUBSTITUTE(INDEX(職員マスタ!$B$6:$B$405,$AP1830)," ","")," ","")),"氏名がマスタと相違／","")&amp;IF(AND($Q1830&lt;&gt;"",INDEX(職員マスタ!$E$6:$E$405,$AP1830)&lt;&gt;"",$Q1830&lt;&gt;INDEX(職員マスタ!$E$6:$E$405,$AP1830)),"子の生年月日がマスタと相違／","")&amp;IF(AND($L1830&lt;&gt;"",INDEX(職員マスタ!$G$6:$G$405,$AP1830)&lt;&gt;"",$L1830&lt;&gt;INDEX(職員マスタ!$G$6:$G$405,$AP1830)),"時短開始日がマスタと相違／","")&amp;IF(AND($M1830&lt;&gt;"",INDEX(職員マスタ!$H$6:$H$405,$AP1830)&lt;&gt;"",$M1830&lt;&gt;INDEX(職員マスタ!$H$6:$H$405,$AP1830)),"時短終了日がマスタと相違／","")))&amp;IF(AND($B1830&lt;&gt;"",$E1830=""),"報酬額が未入力／","")&amp;IF(N($U1830)&gt;0,"申請書に入力エラーが残っています／","")&amp;IF(AND($B1830&lt;&gt;"",$AQ1830&lt;&gt;""),IF(COUNTIFS($B$6:$B$3005,$B1830,$C$6:$C$3005,$C1830,$D$6:$D$3005,$D1830)&gt;1,"同じ月の請求が重複しています／",""),"")&amp;IF(AND(N($E1830)&gt;0,$AB1830&lt;&gt;"",$AB1830&lt;&gt;"×",$AE1830=0,$AD1830=""),"計算額が下限以下のため不支給／",""))</f>
        <v/>
      </c>
      <c r="AN1830" s="12" t="n"/>
      <c r="AO1830" s="14">
        <f>IF($AF1830="保留中",COUNTIF($AF$6:$AF1830,"保留中"),"")</f>
        <v/>
      </c>
      <c r="AP1830" s="14">
        <f>IF($AQ1830="","",IF(SUMPRODUCT(MAX((職員マスタ!$A$6:$A$405=$B1830)*(((職員マスタ!$G$6:$G$405="")+(職員マスタ!$G$6:$G$405&lt;=EOMONTH($AQ1830,0)))&gt;0)*(((職員マスタ!$H$6:$H$405="")+(職員マスタ!$H$6:$H$405&gt;=$AQ1830))&gt;0)*(ROW(職員マスタ!$A$6:$A$405)-5)))&gt;0,SUMPRODUCT(MAX((職員マスタ!$A$6:$A$405=$B1830)*(((職員マスタ!$G$6:$G$405="")+(職員マスタ!$G$6:$G$405&lt;=EOMONTH($AQ1830,0)))&gt;0)*(((職員マスタ!$H$6:$H$405="")+(職員マスタ!$H$6:$H$405&gt;=$AQ1830))&gt;0)*(ROW(職員マスタ!$A$6:$A$405)-5))),IFERROR(MATCH($B1830,職員マスタ!$A$6:$A$405,0),"")))</f>
        <v/>
      </c>
      <c r="AQ1830" s="16">
        <f>IF(OR($B1830="",$C1830="",$D1830=""),"",DATE($C1830+2018,$D1830,1))</f>
        <v/>
      </c>
    </row>
    <row r="1831">
      <c r="A1831" s="11" t="n"/>
      <c r="B1831" s="12" t="n"/>
      <c r="C1831" s="12" t="n"/>
      <c r="D1831" s="12" t="n"/>
      <c r="E1831" s="13" t="n"/>
      <c r="F1831" s="12" t="n"/>
      <c r="G1831" s="13" t="n"/>
      <c r="H1831" s="12" t="n"/>
      <c r="I1831" s="12" t="n"/>
      <c r="J1831" s="12" t="n"/>
      <c r="K1831" s="12" t="n"/>
      <c r="L1831" s="11" t="n"/>
      <c r="M1831" s="11" t="n"/>
      <c r="N1831" s="11" t="n"/>
      <c r="O1831" s="11" t="n"/>
      <c r="P1831" s="12" t="n"/>
      <c r="Q1831" s="11" t="n"/>
      <c r="R1831" s="12" t="n"/>
      <c r="S1831" s="11" t="n"/>
      <c r="T1831" s="12" t="n"/>
      <c r="U1831" s="12" t="n"/>
      <c r="V1831" s="12" t="n"/>
      <c r="W1831" s="13" t="n"/>
      <c r="X1831" s="14">
        <f>IF($AP1831="",IF($B1831="","",$H1831),IF(INDEX(職員マスタ!$B$6:$B$405,$AP1831)="",$H1831,INDEX(職員マスタ!$B$6:$B$405,$AP1831)))</f>
        <v/>
      </c>
      <c r="Y1831" s="14">
        <f>IF($AP1831="",IF($B1831="","",$R1831),IF(INDEX(職員マスタ!$C$6:$C$405,$AP1831)="",$R1831,INDEX(職員マスタ!$C$6:$C$405,$AP1831)))</f>
        <v/>
      </c>
      <c r="Z1831" s="14">
        <f>IF($AQ1831="","","R"&amp;$C1831&amp;"."&amp;$D1831)</f>
        <v/>
      </c>
      <c r="AA1831" s="15">
        <f>IF(IF($AP1831="",FALSE,INDEX(職員マスタ!$K$6:$K$405,$AP1831)&lt;&gt;""),INDEX(職員マスタ!$K$6:$K$405,$AP1831),IF(N($W1831)&gt;0,$W1831,""))</f>
        <v/>
      </c>
      <c r="AB1831" s="14">
        <f>IF(OR($E1831="",$AA1831=""),"",IF($E1831&gt;=$AA1831,"×",IF($E1831&gt;=$AA1831*設定!$C$5,"△","○")))</f>
        <v/>
      </c>
      <c r="AC1831" s="15">
        <f>IF($AB1831="","",IF($AB1831="×",0,IF($AB1831="○",ROUNDDOWN($E1831*設定!$C$4,0),ROUNDDOWN($E1831*ROUND((9*$AA1831-9*$E1831)/(10*$E1831),4),0))))</f>
        <v/>
      </c>
      <c r="AD1831" s="13" t="n"/>
      <c r="AE1831" s="15">
        <f>IF($B1831="","",IF($AD1831&lt;&gt;"",$AD1831,IF($AC1831="","",IF($AC1831&lt;=設定!$C$3,0,$AC1831))))</f>
        <v/>
      </c>
      <c r="AF1831" s="14">
        <f>IF($B1831="","",IF(AND($AG1831&lt;&gt;"",$AI1831="",$AL1831=""),"保留中",IF($AL1831&lt;&gt;"",IF(N($AE1831)&gt;0,"支給済","不支給"),IF($AE1831="","要確認",IF($AE1831=0,"不支給","未処理")))))</f>
        <v/>
      </c>
      <c r="AG1831" s="12" t="n"/>
      <c r="AH1831" s="11" t="n"/>
      <c r="AI1831" s="11" t="n"/>
      <c r="AJ1831" s="11" t="n"/>
      <c r="AK1831" s="14">
        <f>IF(AND($AF1831="保留中",$AH1831&lt;&gt;""),TODAY()-$AH1831,"")</f>
        <v/>
      </c>
      <c r="AL1831" s="12" t="n"/>
      <c r="AM1831" s="14">
        <f>IF($B1831="","",IF($AQ1831="","対象年月が未入力／","")&amp;IF($B1831="","",IF($AP1831="","職員マスタに未登録の職員番号／",IF($AA1831="","標準報酬月額が未登録／","")&amp;IF(AND($AQ1831&lt;&gt;"",OR(AND(INDEX(職員マスタ!$G$6:$G$405,$AP1831)&lt;&gt;"",INDEX(職員マスタ!$G$6:$G$405,$AP1831)&gt;EOMONTH($AQ1831,0)),AND(INDEX(職員マスタ!$H$6:$H$405,$AP1831)&lt;&gt;"",INDEX(職員マスタ!$H$6:$H$405,$AP1831)&lt;$AQ1831))),"対象月が時短期間外／","")&amp;IF(AND(INDEX(職員マスタ!$K$6:$K$405,$AP1831)&lt;&gt;"",N($W1831)&gt;0,INDEX(職員マスタ!$K$6:$K$405,$AP1831)&lt;&gt;$W1831),"標準報酬月額が申請書と相違（台帳"&amp;TEXT(INDEX(職員マスタ!$K$6:$K$405,$AP1831),"#,##0")&amp;"円／申請書"&amp;TEXT($W1831,"#,##0")&amp;"円）／","")&amp;IF(AND(INDEX(職員マスタ!$F$6:$F$405,$AP1831)&lt;&gt;"",$AQ1831&lt;&gt;"",INDEX(職員マスタ!$F$6:$F$405,$AP1831)&lt;$AQ1831),"対象月に子が2歳到達済／","")&amp;IF(AND($H1831&lt;&gt;"",INDEX(職員マスタ!$B$6:$B$405,$AP1831)&lt;&gt;"",SUBSTITUTE(SUBSTITUTE($H1831," ","")," ","")&lt;&gt;SUBSTITUTE(SUBSTITUTE(INDEX(職員マスタ!$B$6:$B$405,$AP1831)," ","")," ","")),"氏名がマスタと相違／","")&amp;IF(AND($Q1831&lt;&gt;"",INDEX(職員マスタ!$E$6:$E$405,$AP1831)&lt;&gt;"",$Q1831&lt;&gt;INDEX(職員マスタ!$E$6:$E$405,$AP1831)),"子の生年月日がマスタと相違／","")&amp;IF(AND($L1831&lt;&gt;"",INDEX(職員マスタ!$G$6:$G$405,$AP1831)&lt;&gt;"",$L1831&lt;&gt;INDEX(職員マスタ!$G$6:$G$405,$AP1831)),"時短開始日がマスタと相違／","")&amp;IF(AND($M1831&lt;&gt;"",INDEX(職員マスタ!$H$6:$H$405,$AP1831)&lt;&gt;"",$M1831&lt;&gt;INDEX(職員マスタ!$H$6:$H$405,$AP1831)),"時短終了日がマスタと相違／","")))&amp;IF(AND($B1831&lt;&gt;"",$E1831=""),"報酬額が未入力／","")&amp;IF(N($U1831)&gt;0,"申請書に入力エラーが残っています／","")&amp;IF(AND($B1831&lt;&gt;"",$AQ1831&lt;&gt;""),IF(COUNTIFS($B$6:$B$3005,$B1831,$C$6:$C$3005,$C1831,$D$6:$D$3005,$D1831)&gt;1,"同じ月の請求が重複しています／",""),"")&amp;IF(AND(N($E1831)&gt;0,$AB1831&lt;&gt;"",$AB1831&lt;&gt;"×",$AE1831=0,$AD1831=""),"計算額が下限以下のため不支給／",""))</f>
        <v/>
      </c>
      <c r="AN1831" s="12" t="n"/>
      <c r="AO1831" s="14">
        <f>IF($AF1831="保留中",COUNTIF($AF$6:$AF1831,"保留中"),"")</f>
        <v/>
      </c>
      <c r="AP1831" s="14">
        <f>IF($AQ1831="","",IF(SUMPRODUCT(MAX((職員マスタ!$A$6:$A$405=$B1831)*(((職員マスタ!$G$6:$G$405="")+(職員マスタ!$G$6:$G$405&lt;=EOMONTH($AQ1831,0)))&gt;0)*(((職員マスタ!$H$6:$H$405="")+(職員マスタ!$H$6:$H$405&gt;=$AQ1831))&gt;0)*(ROW(職員マスタ!$A$6:$A$405)-5)))&gt;0,SUMPRODUCT(MAX((職員マスタ!$A$6:$A$405=$B1831)*(((職員マスタ!$G$6:$G$405="")+(職員マスタ!$G$6:$G$405&lt;=EOMONTH($AQ1831,0)))&gt;0)*(((職員マスタ!$H$6:$H$405="")+(職員マスタ!$H$6:$H$405&gt;=$AQ1831))&gt;0)*(ROW(職員マスタ!$A$6:$A$405)-5))),IFERROR(MATCH($B1831,職員マスタ!$A$6:$A$405,0),"")))</f>
        <v/>
      </c>
      <c r="AQ1831" s="16">
        <f>IF(OR($B1831="",$C1831="",$D1831=""),"",DATE($C1831+2018,$D1831,1))</f>
        <v/>
      </c>
    </row>
    <row r="1832">
      <c r="A1832" s="11" t="n"/>
      <c r="B1832" s="12" t="n"/>
      <c r="C1832" s="12" t="n"/>
      <c r="D1832" s="12" t="n"/>
      <c r="E1832" s="13" t="n"/>
      <c r="F1832" s="12" t="n"/>
      <c r="G1832" s="13" t="n"/>
      <c r="H1832" s="12" t="n"/>
      <c r="I1832" s="12" t="n"/>
      <c r="J1832" s="12" t="n"/>
      <c r="K1832" s="12" t="n"/>
      <c r="L1832" s="11" t="n"/>
      <c r="M1832" s="11" t="n"/>
      <c r="N1832" s="11" t="n"/>
      <c r="O1832" s="11" t="n"/>
      <c r="P1832" s="12" t="n"/>
      <c r="Q1832" s="11" t="n"/>
      <c r="R1832" s="12" t="n"/>
      <c r="S1832" s="11" t="n"/>
      <c r="T1832" s="12" t="n"/>
      <c r="U1832" s="12" t="n"/>
      <c r="V1832" s="12" t="n"/>
      <c r="W1832" s="13" t="n"/>
      <c r="X1832" s="14">
        <f>IF($AP1832="",IF($B1832="","",$H1832),IF(INDEX(職員マスタ!$B$6:$B$405,$AP1832)="",$H1832,INDEX(職員マスタ!$B$6:$B$405,$AP1832)))</f>
        <v/>
      </c>
      <c r="Y1832" s="14">
        <f>IF($AP1832="",IF($B1832="","",$R1832),IF(INDEX(職員マスタ!$C$6:$C$405,$AP1832)="",$R1832,INDEX(職員マスタ!$C$6:$C$405,$AP1832)))</f>
        <v/>
      </c>
      <c r="Z1832" s="14">
        <f>IF($AQ1832="","","R"&amp;$C1832&amp;"."&amp;$D1832)</f>
        <v/>
      </c>
      <c r="AA1832" s="15">
        <f>IF(IF($AP1832="",FALSE,INDEX(職員マスタ!$K$6:$K$405,$AP1832)&lt;&gt;""),INDEX(職員マスタ!$K$6:$K$405,$AP1832),IF(N($W1832)&gt;0,$W1832,""))</f>
        <v/>
      </c>
      <c r="AB1832" s="14">
        <f>IF(OR($E1832="",$AA1832=""),"",IF($E1832&gt;=$AA1832,"×",IF($E1832&gt;=$AA1832*設定!$C$5,"△","○")))</f>
        <v/>
      </c>
      <c r="AC1832" s="15">
        <f>IF($AB1832="","",IF($AB1832="×",0,IF($AB1832="○",ROUNDDOWN($E1832*設定!$C$4,0),ROUNDDOWN($E1832*ROUND((9*$AA1832-9*$E1832)/(10*$E1832),4),0))))</f>
        <v/>
      </c>
      <c r="AD1832" s="13" t="n"/>
      <c r="AE1832" s="15">
        <f>IF($B1832="","",IF($AD1832&lt;&gt;"",$AD1832,IF($AC1832="","",IF($AC1832&lt;=設定!$C$3,0,$AC1832))))</f>
        <v/>
      </c>
      <c r="AF1832" s="14">
        <f>IF($B1832="","",IF(AND($AG1832&lt;&gt;"",$AI1832="",$AL1832=""),"保留中",IF($AL1832&lt;&gt;"",IF(N($AE1832)&gt;0,"支給済","不支給"),IF($AE1832="","要確認",IF($AE1832=0,"不支給","未処理")))))</f>
        <v/>
      </c>
      <c r="AG1832" s="12" t="n"/>
      <c r="AH1832" s="11" t="n"/>
      <c r="AI1832" s="11" t="n"/>
      <c r="AJ1832" s="11" t="n"/>
      <c r="AK1832" s="14">
        <f>IF(AND($AF1832="保留中",$AH1832&lt;&gt;""),TODAY()-$AH1832,"")</f>
        <v/>
      </c>
      <c r="AL1832" s="12" t="n"/>
      <c r="AM1832" s="14">
        <f>IF($B1832="","",IF($AQ1832="","対象年月が未入力／","")&amp;IF($B1832="","",IF($AP1832="","職員マスタに未登録の職員番号／",IF($AA1832="","標準報酬月額が未登録／","")&amp;IF(AND($AQ1832&lt;&gt;"",OR(AND(INDEX(職員マスタ!$G$6:$G$405,$AP1832)&lt;&gt;"",INDEX(職員マスタ!$G$6:$G$405,$AP1832)&gt;EOMONTH($AQ1832,0)),AND(INDEX(職員マスタ!$H$6:$H$405,$AP1832)&lt;&gt;"",INDEX(職員マスタ!$H$6:$H$405,$AP1832)&lt;$AQ1832))),"対象月が時短期間外／","")&amp;IF(AND(INDEX(職員マスタ!$K$6:$K$405,$AP1832)&lt;&gt;"",N($W1832)&gt;0,INDEX(職員マスタ!$K$6:$K$405,$AP1832)&lt;&gt;$W1832),"標準報酬月額が申請書と相違（台帳"&amp;TEXT(INDEX(職員マスタ!$K$6:$K$405,$AP1832),"#,##0")&amp;"円／申請書"&amp;TEXT($W1832,"#,##0")&amp;"円）／","")&amp;IF(AND(INDEX(職員マスタ!$F$6:$F$405,$AP1832)&lt;&gt;"",$AQ1832&lt;&gt;"",INDEX(職員マスタ!$F$6:$F$405,$AP1832)&lt;$AQ1832),"対象月に子が2歳到達済／","")&amp;IF(AND($H1832&lt;&gt;"",INDEX(職員マスタ!$B$6:$B$405,$AP1832)&lt;&gt;"",SUBSTITUTE(SUBSTITUTE($H1832," ","")," ","")&lt;&gt;SUBSTITUTE(SUBSTITUTE(INDEX(職員マスタ!$B$6:$B$405,$AP1832)," ","")," ","")),"氏名がマスタと相違／","")&amp;IF(AND($Q1832&lt;&gt;"",INDEX(職員マスタ!$E$6:$E$405,$AP1832)&lt;&gt;"",$Q1832&lt;&gt;INDEX(職員マスタ!$E$6:$E$405,$AP1832)),"子の生年月日がマスタと相違／","")&amp;IF(AND($L1832&lt;&gt;"",INDEX(職員マスタ!$G$6:$G$405,$AP1832)&lt;&gt;"",$L1832&lt;&gt;INDEX(職員マスタ!$G$6:$G$405,$AP1832)),"時短開始日がマスタと相違／","")&amp;IF(AND($M1832&lt;&gt;"",INDEX(職員マスタ!$H$6:$H$405,$AP1832)&lt;&gt;"",$M1832&lt;&gt;INDEX(職員マスタ!$H$6:$H$405,$AP1832)),"時短終了日がマスタと相違／","")))&amp;IF(AND($B1832&lt;&gt;"",$E1832=""),"報酬額が未入力／","")&amp;IF(N($U1832)&gt;0,"申請書に入力エラーが残っています／","")&amp;IF(AND($B1832&lt;&gt;"",$AQ1832&lt;&gt;""),IF(COUNTIFS($B$6:$B$3005,$B1832,$C$6:$C$3005,$C1832,$D$6:$D$3005,$D1832)&gt;1,"同じ月の請求が重複しています／",""),"")&amp;IF(AND(N($E1832)&gt;0,$AB1832&lt;&gt;"",$AB1832&lt;&gt;"×",$AE1832=0,$AD1832=""),"計算額が下限以下のため不支給／",""))</f>
        <v/>
      </c>
      <c r="AN1832" s="12" t="n"/>
      <c r="AO1832" s="14">
        <f>IF($AF1832="保留中",COUNTIF($AF$6:$AF1832,"保留中"),"")</f>
        <v/>
      </c>
      <c r="AP1832" s="14">
        <f>IF($AQ1832="","",IF(SUMPRODUCT(MAX((職員マスタ!$A$6:$A$405=$B1832)*(((職員マスタ!$G$6:$G$405="")+(職員マスタ!$G$6:$G$405&lt;=EOMONTH($AQ1832,0)))&gt;0)*(((職員マスタ!$H$6:$H$405="")+(職員マスタ!$H$6:$H$405&gt;=$AQ1832))&gt;0)*(ROW(職員マスタ!$A$6:$A$405)-5)))&gt;0,SUMPRODUCT(MAX((職員マスタ!$A$6:$A$405=$B1832)*(((職員マスタ!$G$6:$G$405="")+(職員マスタ!$G$6:$G$405&lt;=EOMONTH($AQ1832,0)))&gt;0)*(((職員マスタ!$H$6:$H$405="")+(職員マスタ!$H$6:$H$405&gt;=$AQ1832))&gt;0)*(ROW(職員マスタ!$A$6:$A$405)-5))),IFERROR(MATCH($B1832,職員マスタ!$A$6:$A$405,0),"")))</f>
        <v/>
      </c>
      <c r="AQ1832" s="16">
        <f>IF(OR($B1832="",$C1832="",$D1832=""),"",DATE($C1832+2018,$D1832,1))</f>
        <v/>
      </c>
    </row>
    <row r="1833">
      <c r="A1833" s="11" t="n"/>
      <c r="B1833" s="12" t="n"/>
      <c r="C1833" s="12" t="n"/>
      <c r="D1833" s="12" t="n"/>
      <c r="E1833" s="13" t="n"/>
      <c r="F1833" s="12" t="n"/>
      <c r="G1833" s="13" t="n"/>
      <c r="H1833" s="12" t="n"/>
      <c r="I1833" s="12" t="n"/>
      <c r="J1833" s="12" t="n"/>
      <c r="K1833" s="12" t="n"/>
      <c r="L1833" s="11" t="n"/>
      <c r="M1833" s="11" t="n"/>
      <c r="N1833" s="11" t="n"/>
      <c r="O1833" s="11" t="n"/>
      <c r="P1833" s="12" t="n"/>
      <c r="Q1833" s="11" t="n"/>
      <c r="R1833" s="12" t="n"/>
      <c r="S1833" s="11" t="n"/>
      <c r="T1833" s="12" t="n"/>
      <c r="U1833" s="12" t="n"/>
      <c r="V1833" s="12" t="n"/>
      <c r="W1833" s="13" t="n"/>
      <c r="X1833" s="14">
        <f>IF($AP1833="",IF($B1833="","",$H1833),IF(INDEX(職員マスタ!$B$6:$B$405,$AP1833)="",$H1833,INDEX(職員マスタ!$B$6:$B$405,$AP1833)))</f>
        <v/>
      </c>
      <c r="Y1833" s="14">
        <f>IF($AP1833="",IF($B1833="","",$R1833),IF(INDEX(職員マスタ!$C$6:$C$405,$AP1833)="",$R1833,INDEX(職員マスタ!$C$6:$C$405,$AP1833)))</f>
        <v/>
      </c>
      <c r="Z1833" s="14">
        <f>IF($AQ1833="","","R"&amp;$C1833&amp;"."&amp;$D1833)</f>
        <v/>
      </c>
      <c r="AA1833" s="15">
        <f>IF(IF($AP1833="",FALSE,INDEX(職員マスタ!$K$6:$K$405,$AP1833)&lt;&gt;""),INDEX(職員マスタ!$K$6:$K$405,$AP1833),IF(N($W1833)&gt;0,$W1833,""))</f>
        <v/>
      </c>
      <c r="AB1833" s="14">
        <f>IF(OR($E1833="",$AA1833=""),"",IF($E1833&gt;=$AA1833,"×",IF($E1833&gt;=$AA1833*設定!$C$5,"△","○")))</f>
        <v/>
      </c>
      <c r="AC1833" s="15">
        <f>IF($AB1833="","",IF($AB1833="×",0,IF($AB1833="○",ROUNDDOWN($E1833*設定!$C$4,0),ROUNDDOWN($E1833*ROUND((9*$AA1833-9*$E1833)/(10*$E1833),4),0))))</f>
        <v/>
      </c>
      <c r="AD1833" s="13" t="n"/>
      <c r="AE1833" s="15">
        <f>IF($B1833="","",IF($AD1833&lt;&gt;"",$AD1833,IF($AC1833="","",IF($AC1833&lt;=設定!$C$3,0,$AC1833))))</f>
        <v/>
      </c>
      <c r="AF1833" s="14">
        <f>IF($B1833="","",IF(AND($AG1833&lt;&gt;"",$AI1833="",$AL1833=""),"保留中",IF($AL1833&lt;&gt;"",IF(N($AE1833)&gt;0,"支給済","不支給"),IF($AE1833="","要確認",IF($AE1833=0,"不支給","未処理")))))</f>
        <v/>
      </c>
      <c r="AG1833" s="12" t="n"/>
      <c r="AH1833" s="11" t="n"/>
      <c r="AI1833" s="11" t="n"/>
      <c r="AJ1833" s="11" t="n"/>
      <c r="AK1833" s="14">
        <f>IF(AND($AF1833="保留中",$AH1833&lt;&gt;""),TODAY()-$AH1833,"")</f>
        <v/>
      </c>
      <c r="AL1833" s="12" t="n"/>
      <c r="AM1833" s="14">
        <f>IF($B1833="","",IF($AQ1833="","対象年月が未入力／","")&amp;IF($B1833="","",IF($AP1833="","職員マスタに未登録の職員番号／",IF($AA1833="","標準報酬月額が未登録／","")&amp;IF(AND($AQ1833&lt;&gt;"",OR(AND(INDEX(職員マスタ!$G$6:$G$405,$AP1833)&lt;&gt;"",INDEX(職員マスタ!$G$6:$G$405,$AP1833)&gt;EOMONTH($AQ1833,0)),AND(INDEX(職員マスタ!$H$6:$H$405,$AP1833)&lt;&gt;"",INDEX(職員マスタ!$H$6:$H$405,$AP1833)&lt;$AQ1833))),"対象月が時短期間外／","")&amp;IF(AND(INDEX(職員マスタ!$K$6:$K$405,$AP1833)&lt;&gt;"",N($W1833)&gt;0,INDEX(職員マスタ!$K$6:$K$405,$AP1833)&lt;&gt;$W1833),"標準報酬月額が申請書と相違（台帳"&amp;TEXT(INDEX(職員マスタ!$K$6:$K$405,$AP1833),"#,##0")&amp;"円／申請書"&amp;TEXT($W1833,"#,##0")&amp;"円）／","")&amp;IF(AND(INDEX(職員マスタ!$F$6:$F$405,$AP1833)&lt;&gt;"",$AQ1833&lt;&gt;"",INDEX(職員マスタ!$F$6:$F$405,$AP1833)&lt;$AQ1833),"対象月に子が2歳到達済／","")&amp;IF(AND($H1833&lt;&gt;"",INDEX(職員マスタ!$B$6:$B$405,$AP1833)&lt;&gt;"",SUBSTITUTE(SUBSTITUTE($H1833," ","")," ","")&lt;&gt;SUBSTITUTE(SUBSTITUTE(INDEX(職員マスタ!$B$6:$B$405,$AP1833)," ","")," ","")),"氏名がマスタと相違／","")&amp;IF(AND($Q1833&lt;&gt;"",INDEX(職員マスタ!$E$6:$E$405,$AP1833)&lt;&gt;"",$Q1833&lt;&gt;INDEX(職員マスタ!$E$6:$E$405,$AP1833)),"子の生年月日がマスタと相違／","")&amp;IF(AND($L1833&lt;&gt;"",INDEX(職員マスタ!$G$6:$G$405,$AP1833)&lt;&gt;"",$L1833&lt;&gt;INDEX(職員マスタ!$G$6:$G$405,$AP1833)),"時短開始日がマスタと相違／","")&amp;IF(AND($M1833&lt;&gt;"",INDEX(職員マスタ!$H$6:$H$405,$AP1833)&lt;&gt;"",$M1833&lt;&gt;INDEX(職員マスタ!$H$6:$H$405,$AP1833)),"時短終了日がマスタと相違／","")))&amp;IF(AND($B1833&lt;&gt;"",$E1833=""),"報酬額が未入力／","")&amp;IF(N($U1833)&gt;0,"申請書に入力エラーが残っています／","")&amp;IF(AND($B1833&lt;&gt;"",$AQ1833&lt;&gt;""),IF(COUNTIFS($B$6:$B$3005,$B1833,$C$6:$C$3005,$C1833,$D$6:$D$3005,$D1833)&gt;1,"同じ月の請求が重複しています／",""),"")&amp;IF(AND(N($E1833)&gt;0,$AB1833&lt;&gt;"",$AB1833&lt;&gt;"×",$AE1833=0,$AD1833=""),"計算額が下限以下のため不支給／",""))</f>
        <v/>
      </c>
      <c r="AN1833" s="12" t="n"/>
      <c r="AO1833" s="14">
        <f>IF($AF1833="保留中",COUNTIF($AF$6:$AF1833,"保留中"),"")</f>
        <v/>
      </c>
      <c r="AP1833" s="14">
        <f>IF($AQ1833="","",IF(SUMPRODUCT(MAX((職員マスタ!$A$6:$A$405=$B1833)*(((職員マスタ!$G$6:$G$405="")+(職員マスタ!$G$6:$G$405&lt;=EOMONTH($AQ1833,0)))&gt;0)*(((職員マスタ!$H$6:$H$405="")+(職員マスタ!$H$6:$H$405&gt;=$AQ1833))&gt;0)*(ROW(職員マスタ!$A$6:$A$405)-5)))&gt;0,SUMPRODUCT(MAX((職員マスタ!$A$6:$A$405=$B1833)*(((職員マスタ!$G$6:$G$405="")+(職員マスタ!$G$6:$G$405&lt;=EOMONTH($AQ1833,0)))&gt;0)*(((職員マスタ!$H$6:$H$405="")+(職員マスタ!$H$6:$H$405&gt;=$AQ1833))&gt;0)*(ROW(職員マスタ!$A$6:$A$405)-5))),IFERROR(MATCH($B1833,職員マスタ!$A$6:$A$405,0),"")))</f>
        <v/>
      </c>
      <c r="AQ1833" s="16">
        <f>IF(OR($B1833="",$C1833="",$D1833=""),"",DATE($C1833+2018,$D1833,1))</f>
        <v/>
      </c>
    </row>
    <row r="1834">
      <c r="A1834" s="11" t="n"/>
      <c r="B1834" s="12" t="n"/>
      <c r="C1834" s="12" t="n"/>
      <c r="D1834" s="12" t="n"/>
      <c r="E1834" s="13" t="n"/>
      <c r="F1834" s="12" t="n"/>
      <c r="G1834" s="13" t="n"/>
      <c r="H1834" s="12" t="n"/>
      <c r="I1834" s="12" t="n"/>
      <c r="J1834" s="12" t="n"/>
      <c r="K1834" s="12" t="n"/>
      <c r="L1834" s="11" t="n"/>
      <c r="M1834" s="11" t="n"/>
      <c r="N1834" s="11" t="n"/>
      <c r="O1834" s="11" t="n"/>
      <c r="P1834" s="12" t="n"/>
      <c r="Q1834" s="11" t="n"/>
      <c r="R1834" s="12" t="n"/>
      <c r="S1834" s="11" t="n"/>
      <c r="T1834" s="12" t="n"/>
      <c r="U1834" s="12" t="n"/>
      <c r="V1834" s="12" t="n"/>
      <c r="W1834" s="13" t="n"/>
      <c r="X1834" s="14">
        <f>IF($AP1834="",IF($B1834="","",$H1834),IF(INDEX(職員マスタ!$B$6:$B$405,$AP1834)="",$H1834,INDEX(職員マスタ!$B$6:$B$405,$AP1834)))</f>
        <v/>
      </c>
      <c r="Y1834" s="14">
        <f>IF($AP1834="",IF($B1834="","",$R1834),IF(INDEX(職員マスタ!$C$6:$C$405,$AP1834)="",$R1834,INDEX(職員マスタ!$C$6:$C$405,$AP1834)))</f>
        <v/>
      </c>
      <c r="Z1834" s="14">
        <f>IF($AQ1834="","","R"&amp;$C1834&amp;"."&amp;$D1834)</f>
        <v/>
      </c>
      <c r="AA1834" s="15">
        <f>IF(IF($AP1834="",FALSE,INDEX(職員マスタ!$K$6:$K$405,$AP1834)&lt;&gt;""),INDEX(職員マスタ!$K$6:$K$405,$AP1834),IF(N($W1834)&gt;0,$W1834,""))</f>
        <v/>
      </c>
      <c r="AB1834" s="14">
        <f>IF(OR($E1834="",$AA1834=""),"",IF($E1834&gt;=$AA1834,"×",IF($E1834&gt;=$AA1834*設定!$C$5,"△","○")))</f>
        <v/>
      </c>
      <c r="AC1834" s="15">
        <f>IF($AB1834="","",IF($AB1834="×",0,IF($AB1834="○",ROUNDDOWN($E1834*設定!$C$4,0),ROUNDDOWN($E1834*ROUND((9*$AA1834-9*$E1834)/(10*$E1834),4),0))))</f>
        <v/>
      </c>
      <c r="AD1834" s="13" t="n"/>
      <c r="AE1834" s="15">
        <f>IF($B1834="","",IF($AD1834&lt;&gt;"",$AD1834,IF($AC1834="","",IF($AC1834&lt;=設定!$C$3,0,$AC1834))))</f>
        <v/>
      </c>
      <c r="AF1834" s="14">
        <f>IF($B1834="","",IF(AND($AG1834&lt;&gt;"",$AI1834="",$AL1834=""),"保留中",IF($AL1834&lt;&gt;"",IF(N($AE1834)&gt;0,"支給済","不支給"),IF($AE1834="","要確認",IF($AE1834=0,"不支給","未処理")))))</f>
        <v/>
      </c>
      <c r="AG1834" s="12" t="n"/>
      <c r="AH1834" s="11" t="n"/>
      <c r="AI1834" s="11" t="n"/>
      <c r="AJ1834" s="11" t="n"/>
      <c r="AK1834" s="14">
        <f>IF(AND($AF1834="保留中",$AH1834&lt;&gt;""),TODAY()-$AH1834,"")</f>
        <v/>
      </c>
      <c r="AL1834" s="12" t="n"/>
      <c r="AM1834" s="14">
        <f>IF($B1834="","",IF($AQ1834="","対象年月が未入力／","")&amp;IF($B1834="","",IF($AP1834="","職員マスタに未登録の職員番号／",IF($AA1834="","標準報酬月額が未登録／","")&amp;IF(AND($AQ1834&lt;&gt;"",OR(AND(INDEX(職員マスタ!$G$6:$G$405,$AP1834)&lt;&gt;"",INDEX(職員マスタ!$G$6:$G$405,$AP1834)&gt;EOMONTH($AQ1834,0)),AND(INDEX(職員マスタ!$H$6:$H$405,$AP1834)&lt;&gt;"",INDEX(職員マスタ!$H$6:$H$405,$AP1834)&lt;$AQ1834))),"対象月が時短期間外／","")&amp;IF(AND(INDEX(職員マスタ!$K$6:$K$405,$AP1834)&lt;&gt;"",N($W1834)&gt;0,INDEX(職員マスタ!$K$6:$K$405,$AP1834)&lt;&gt;$W1834),"標準報酬月額が申請書と相違（台帳"&amp;TEXT(INDEX(職員マスタ!$K$6:$K$405,$AP1834),"#,##0")&amp;"円／申請書"&amp;TEXT($W1834,"#,##0")&amp;"円）／","")&amp;IF(AND(INDEX(職員マスタ!$F$6:$F$405,$AP1834)&lt;&gt;"",$AQ1834&lt;&gt;"",INDEX(職員マスタ!$F$6:$F$405,$AP1834)&lt;$AQ1834),"対象月に子が2歳到達済／","")&amp;IF(AND($H1834&lt;&gt;"",INDEX(職員マスタ!$B$6:$B$405,$AP1834)&lt;&gt;"",SUBSTITUTE(SUBSTITUTE($H1834," ","")," ","")&lt;&gt;SUBSTITUTE(SUBSTITUTE(INDEX(職員マスタ!$B$6:$B$405,$AP1834)," ","")," ","")),"氏名がマスタと相違／","")&amp;IF(AND($Q1834&lt;&gt;"",INDEX(職員マスタ!$E$6:$E$405,$AP1834)&lt;&gt;"",$Q1834&lt;&gt;INDEX(職員マスタ!$E$6:$E$405,$AP1834)),"子の生年月日がマスタと相違／","")&amp;IF(AND($L1834&lt;&gt;"",INDEX(職員マスタ!$G$6:$G$405,$AP1834)&lt;&gt;"",$L1834&lt;&gt;INDEX(職員マスタ!$G$6:$G$405,$AP1834)),"時短開始日がマスタと相違／","")&amp;IF(AND($M1834&lt;&gt;"",INDEX(職員マスタ!$H$6:$H$405,$AP1834)&lt;&gt;"",$M1834&lt;&gt;INDEX(職員マスタ!$H$6:$H$405,$AP1834)),"時短終了日がマスタと相違／","")))&amp;IF(AND($B1834&lt;&gt;"",$E1834=""),"報酬額が未入力／","")&amp;IF(N($U1834)&gt;0,"申請書に入力エラーが残っています／","")&amp;IF(AND($B1834&lt;&gt;"",$AQ1834&lt;&gt;""),IF(COUNTIFS($B$6:$B$3005,$B1834,$C$6:$C$3005,$C1834,$D$6:$D$3005,$D1834)&gt;1,"同じ月の請求が重複しています／",""),"")&amp;IF(AND(N($E1834)&gt;0,$AB1834&lt;&gt;"",$AB1834&lt;&gt;"×",$AE1834=0,$AD1834=""),"計算額が下限以下のため不支給／",""))</f>
        <v/>
      </c>
      <c r="AN1834" s="12" t="n"/>
      <c r="AO1834" s="14">
        <f>IF($AF1834="保留中",COUNTIF($AF$6:$AF1834,"保留中"),"")</f>
        <v/>
      </c>
      <c r="AP1834" s="14">
        <f>IF($AQ1834="","",IF(SUMPRODUCT(MAX((職員マスタ!$A$6:$A$405=$B1834)*(((職員マスタ!$G$6:$G$405="")+(職員マスタ!$G$6:$G$405&lt;=EOMONTH($AQ1834,0)))&gt;0)*(((職員マスタ!$H$6:$H$405="")+(職員マスタ!$H$6:$H$405&gt;=$AQ1834))&gt;0)*(ROW(職員マスタ!$A$6:$A$405)-5)))&gt;0,SUMPRODUCT(MAX((職員マスタ!$A$6:$A$405=$B1834)*(((職員マスタ!$G$6:$G$405="")+(職員マスタ!$G$6:$G$405&lt;=EOMONTH($AQ1834,0)))&gt;0)*(((職員マスタ!$H$6:$H$405="")+(職員マスタ!$H$6:$H$405&gt;=$AQ1834))&gt;0)*(ROW(職員マスタ!$A$6:$A$405)-5))),IFERROR(MATCH($B1834,職員マスタ!$A$6:$A$405,0),"")))</f>
        <v/>
      </c>
      <c r="AQ1834" s="16">
        <f>IF(OR($B1834="",$C1834="",$D1834=""),"",DATE($C1834+2018,$D1834,1))</f>
        <v/>
      </c>
    </row>
    <row r="1835">
      <c r="A1835" s="11" t="n"/>
      <c r="B1835" s="12" t="n"/>
      <c r="C1835" s="12" t="n"/>
      <c r="D1835" s="12" t="n"/>
      <c r="E1835" s="13" t="n"/>
      <c r="F1835" s="12" t="n"/>
      <c r="G1835" s="13" t="n"/>
      <c r="H1835" s="12" t="n"/>
      <c r="I1835" s="12" t="n"/>
      <c r="J1835" s="12" t="n"/>
      <c r="K1835" s="12" t="n"/>
      <c r="L1835" s="11" t="n"/>
      <c r="M1835" s="11" t="n"/>
      <c r="N1835" s="11" t="n"/>
      <c r="O1835" s="11" t="n"/>
      <c r="P1835" s="12" t="n"/>
      <c r="Q1835" s="11" t="n"/>
      <c r="R1835" s="12" t="n"/>
      <c r="S1835" s="11" t="n"/>
      <c r="T1835" s="12" t="n"/>
      <c r="U1835" s="12" t="n"/>
      <c r="V1835" s="12" t="n"/>
      <c r="W1835" s="13" t="n"/>
      <c r="X1835" s="14">
        <f>IF($AP1835="",IF($B1835="","",$H1835),IF(INDEX(職員マスタ!$B$6:$B$405,$AP1835)="",$H1835,INDEX(職員マスタ!$B$6:$B$405,$AP1835)))</f>
        <v/>
      </c>
      <c r="Y1835" s="14">
        <f>IF($AP1835="",IF($B1835="","",$R1835),IF(INDEX(職員マスタ!$C$6:$C$405,$AP1835)="",$R1835,INDEX(職員マスタ!$C$6:$C$405,$AP1835)))</f>
        <v/>
      </c>
      <c r="Z1835" s="14">
        <f>IF($AQ1835="","","R"&amp;$C1835&amp;"."&amp;$D1835)</f>
        <v/>
      </c>
      <c r="AA1835" s="15">
        <f>IF(IF($AP1835="",FALSE,INDEX(職員マスタ!$K$6:$K$405,$AP1835)&lt;&gt;""),INDEX(職員マスタ!$K$6:$K$405,$AP1835),IF(N($W1835)&gt;0,$W1835,""))</f>
        <v/>
      </c>
      <c r="AB1835" s="14">
        <f>IF(OR($E1835="",$AA1835=""),"",IF($E1835&gt;=$AA1835,"×",IF($E1835&gt;=$AA1835*設定!$C$5,"△","○")))</f>
        <v/>
      </c>
      <c r="AC1835" s="15">
        <f>IF($AB1835="","",IF($AB1835="×",0,IF($AB1835="○",ROUNDDOWN($E1835*設定!$C$4,0),ROUNDDOWN($E1835*ROUND((9*$AA1835-9*$E1835)/(10*$E1835),4),0))))</f>
        <v/>
      </c>
      <c r="AD1835" s="13" t="n"/>
      <c r="AE1835" s="15">
        <f>IF($B1835="","",IF($AD1835&lt;&gt;"",$AD1835,IF($AC1835="","",IF($AC1835&lt;=設定!$C$3,0,$AC1835))))</f>
        <v/>
      </c>
      <c r="AF1835" s="14">
        <f>IF($B1835="","",IF(AND($AG1835&lt;&gt;"",$AI1835="",$AL1835=""),"保留中",IF($AL1835&lt;&gt;"",IF(N($AE1835)&gt;0,"支給済","不支給"),IF($AE1835="","要確認",IF($AE1835=0,"不支給","未処理")))))</f>
        <v/>
      </c>
      <c r="AG1835" s="12" t="n"/>
      <c r="AH1835" s="11" t="n"/>
      <c r="AI1835" s="11" t="n"/>
      <c r="AJ1835" s="11" t="n"/>
      <c r="AK1835" s="14">
        <f>IF(AND($AF1835="保留中",$AH1835&lt;&gt;""),TODAY()-$AH1835,"")</f>
        <v/>
      </c>
      <c r="AL1835" s="12" t="n"/>
      <c r="AM1835" s="14">
        <f>IF($B1835="","",IF($AQ1835="","対象年月が未入力／","")&amp;IF($B1835="","",IF($AP1835="","職員マスタに未登録の職員番号／",IF($AA1835="","標準報酬月額が未登録／","")&amp;IF(AND($AQ1835&lt;&gt;"",OR(AND(INDEX(職員マスタ!$G$6:$G$405,$AP1835)&lt;&gt;"",INDEX(職員マスタ!$G$6:$G$405,$AP1835)&gt;EOMONTH($AQ1835,0)),AND(INDEX(職員マスタ!$H$6:$H$405,$AP1835)&lt;&gt;"",INDEX(職員マスタ!$H$6:$H$405,$AP1835)&lt;$AQ1835))),"対象月が時短期間外／","")&amp;IF(AND(INDEX(職員マスタ!$K$6:$K$405,$AP1835)&lt;&gt;"",N($W1835)&gt;0,INDEX(職員マスタ!$K$6:$K$405,$AP1835)&lt;&gt;$W1835),"標準報酬月額が申請書と相違（台帳"&amp;TEXT(INDEX(職員マスタ!$K$6:$K$405,$AP1835),"#,##0")&amp;"円／申請書"&amp;TEXT($W1835,"#,##0")&amp;"円）／","")&amp;IF(AND(INDEX(職員マスタ!$F$6:$F$405,$AP1835)&lt;&gt;"",$AQ1835&lt;&gt;"",INDEX(職員マスタ!$F$6:$F$405,$AP1835)&lt;$AQ1835),"対象月に子が2歳到達済／","")&amp;IF(AND($H1835&lt;&gt;"",INDEX(職員マスタ!$B$6:$B$405,$AP1835)&lt;&gt;"",SUBSTITUTE(SUBSTITUTE($H1835," ","")," ","")&lt;&gt;SUBSTITUTE(SUBSTITUTE(INDEX(職員マスタ!$B$6:$B$405,$AP1835)," ","")," ","")),"氏名がマスタと相違／","")&amp;IF(AND($Q1835&lt;&gt;"",INDEX(職員マスタ!$E$6:$E$405,$AP1835)&lt;&gt;"",$Q1835&lt;&gt;INDEX(職員マスタ!$E$6:$E$405,$AP1835)),"子の生年月日がマスタと相違／","")&amp;IF(AND($L1835&lt;&gt;"",INDEX(職員マスタ!$G$6:$G$405,$AP1835)&lt;&gt;"",$L1835&lt;&gt;INDEX(職員マスタ!$G$6:$G$405,$AP1835)),"時短開始日がマスタと相違／","")&amp;IF(AND($M1835&lt;&gt;"",INDEX(職員マスタ!$H$6:$H$405,$AP1835)&lt;&gt;"",$M1835&lt;&gt;INDEX(職員マスタ!$H$6:$H$405,$AP1835)),"時短終了日がマスタと相違／","")))&amp;IF(AND($B1835&lt;&gt;"",$E1835=""),"報酬額が未入力／","")&amp;IF(N($U1835)&gt;0,"申請書に入力エラーが残っています／","")&amp;IF(AND($B1835&lt;&gt;"",$AQ1835&lt;&gt;""),IF(COUNTIFS($B$6:$B$3005,$B1835,$C$6:$C$3005,$C1835,$D$6:$D$3005,$D1835)&gt;1,"同じ月の請求が重複しています／",""),"")&amp;IF(AND(N($E1835)&gt;0,$AB1835&lt;&gt;"",$AB1835&lt;&gt;"×",$AE1835=0,$AD1835=""),"計算額が下限以下のため不支給／",""))</f>
        <v/>
      </c>
      <c r="AN1835" s="12" t="n"/>
      <c r="AO1835" s="14">
        <f>IF($AF1835="保留中",COUNTIF($AF$6:$AF1835,"保留中"),"")</f>
        <v/>
      </c>
      <c r="AP1835" s="14">
        <f>IF($AQ1835="","",IF(SUMPRODUCT(MAX((職員マスタ!$A$6:$A$405=$B1835)*(((職員マスタ!$G$6:$G$405="")+(職員マスタ!$G$6:$G$405&lt;=EOMONTH($AQ1835,0)))&gt;0)*(((職員マスタ!$H$6:$H$405="")+(職員マスタ!$H$6:$H$405&gt;=$AQ1835))&gt;0)*(ROW(職員マスタ!$A$6:$A$405)-5)))&gt;0,SUMPRODUCT(MAX((職員マスタ!$A$6:$A$405=$B1835)*(((職員マスタ!$G$6:$G$405="")+(職員マスタ!$G$6:$G$405&lt;=EOMONTH($AQ1835,0)))&gt;0)*(((職員マスタ!$H$6:$H$405="")+(職員マスタ!$H$6:$H$405&gt;=$AQ1835))&gt;0)*(ROW(職員マスタ!$A$6:$A$405)-5))),IFERROR(MATCH($B1835,職員マスタ!$A$6:$A$405,0),"")))</f>
        <v/>
      </c>
      <c r="AQ1835" s="16">
        <f>IF(OR($B1835="",$C1835="",$D1835=""),"",DATE($C1835+2018,$D1835,1))</f>
        <v/>
      </c>
    </row>
    <row r="1836">
      <c r="A1836" s="11" t="n"/>
      <c r="B1836" s="12" t="n"/>
      <c r="C1836" s="12" t="n"/>
      <c r="D1836" s="12" t="n"/>
      <c r="E1836" s="13" t="n"/>
      <c r="F1836" s="12" t="n"/>
      <c r="G1836" s="13" t="n"/>
      <c r="H1836" s="12" t="n"/>
      <c r="I1836" s="12" t="n"/>
      <c r="J1836" s="12" t="n"/>
      <c r="K1836" s="12" t="n"/>
      <c r="L1836" s="11" t="n"/>
      <c r="M1836" s="11" t="n"/>
      <c r="N1836" s="11" t="n"/>
      <c r="O1836" s="11" t="n"/>
      <c r="P1836" s="12" t="n"/>
      <c r="Q1836" s="11" t="n"/>
      <c r="R1836" s="12" t="n"/>
      <c r="S1836" s="11" t="n"/>
      <c r="T1836" s="12" t="n"/>
      <c r="U1836" s="12" t="n"/>
      <c r="V1836" s="12" t="n"/>
      <c r="W1836" s="13" t="n"/>
      <c r="X1836" s="14">
        <f>IF($AP1836="",IF($B1836="","",$H1836),IF(INDEX(職員マスタ!$B$6:$B$405,$AP1836)="",$H1836,INDEX(職員マスタ!$B$6:$B$405,$AP1836)))</f>
        <v/>
      </c>
      <c r="Y1836" s="14">
        <f>IF($AP1836="",IF($B1836="","",$R1836),IF(INDEX(職員マスタ!$C$6:$C$405,$AP1836)="",$R1836,INDEX(職員マスタ!$C$6:$C$405,$AP1836)))</f>
        <v/>
      </c>
      <c r="Z1836" s="14">
        <f>IF($AQ1836="","","R"&amp;$C1836&amp;"."&amp;$D1836)</f>
        <v/>
      </c>
      <c r="AA1836" s="15">
        <f>IF(IF($AP1836="",FALSE,INDEX(職員マスタ!$K$6:$K$405,$AP1836)&lt;&gt;""),INDEX(職員マスタ!$K$6:$K$405,$AP1836),IF(N($W1836)&gt;0,$W1836,""))</f>
        <v/>
      </c>
      <c r="AB1836" s="14">
        <f>IF(OR($E1836="",$AA1836=""),"",IF($E1836&gt;=$AA1836,"×",IF($E1836&gt;=$AA1836*設定!$C$5,"△","○")))</f>
        <v/>
      </c>
      <c r="AC1836" s="15">
        <f>IF($AB1836="","",IF($AB1836="×",0,IF($AB1836="○",ROUNDDOWN($E1836*設定!$C$4,0),ROUNDDOWN($E1836*ROUND((9*$AA1836-9*$E1836)/(10*$E1836),4),0))))</f>
        <v/>
      </c>
      <c r="AD1836" s="13" t="n"/>
      <c r="AE1836" s="15">
        <f>IF($B1836="","",IF($AD1836&lt;&gt;"",$AD1836,IF($AC1836="","",IF($AC1836&lt;=設定!$C$3,0,$AC1836))))</f>
        <v/>
      </c>
      <c r="AF1836" s="14">
        <f>IF($B1836="","",IF(AND($AG1836&lt;&gt;"",$AI1836="",$AL1836=""),"保留中",IF($AL1836&lt;&gt;"",IF(N($AE1836)&gt;0,"支給済","不支給"),IF($AE1836="","要確認",IF($AE1836=0,"不支給","未処理")))))</f>
        <v/>
      </c>
      <c r="AG1836" s="12" t="n"/>
      <c r="AH1836" s="11" t="n"/>
      <c r="AI1836" s="11" t="n"/>
      <c r="AJ1836" s="11" t="n"/>
      <c r="AK1836" s="14">
        <f>IF(AND($AF1836="保留中",$AH1836&lt;&gt;""),TODAY()-$AH1836,"")</f>
        <v/>
      </c>
      <c r="AL1836" s="12" t="n"/>
      <c r="AM1836" s="14">
        <f>IF($B1836="","",IF($AQ1836="","対象年月が未入力／","")&amp;IF($B1836="","",IF($AP1836="","職員マスタに未登録の職員番号／",IF($AA1836="","標準報酬月額が未登録／","")&amp;IF(AND($AQ1836&lt;&gt;"",OR(AND(INDEX(職員マスタ!$G$6:$G$405,$AP1836)&lt;&gt;"",INDEX(職員マスタ!$G$6:$G$405,$AP1836)&gt;EOMONTH($AQ1836,0)),AND(INDEX(職員マスタ!$H$6:$H$405,$AP1836)&lt;&gt;"",INDEX(職員マスタ!$H$6:$H$405,$AP1836)&lt;$AQ1836))),"対象月が時短期間外／","")&amp;IF(AND(INDEX(職員マスタ!$K$6:$K$405,$AP1836)&lt;&gt;"",N($W1836)&gt;0,INDEX(職員マスタ!$K$6:$K$405,$AP1836)&lt;&gt;$W1836),"標準報酬月額が申請書と相違（台帳"&amp;TEXT(INDEX(職員マスタ!$K$6:$K$405,$AP1836),"#,##0")&amp;"円／申請書"&amp;TEXT($W1836,"#,##0")&amp;"円）／","")&amp;IF(AND(INDEX(職員マスタ!$F$6:$F$405,$AP1836)&lt;&gt;"",$AQ1836&lt;&gt;"",INDEX(職員マスタ!$F$6:$F$405,$AP1836)&lt;$AQ1836),"対象月に子が2歳到達済／","")&amp;IF(AND($H1836&lt;&gt;"",INDEX(職員マスタ!$B$6:$B$405,$AP1836)&lt;&gt;"",SUBSTITUTE(SUBSTITUTE($H1836," ","")," ","")&lt;&gt;SUBSTITUTE(SUBSTITUTE(INDEX(職員マスタ!$B$6:$B$405,$AP1836)," ","")," ","")),"氏名がマスタと相違／","")&amp;IF(AND($Q1836&lt;&gt;"",INDEX(職員マスタ!$E$6:$E$405,$AP1836)&lt;&gt;"",$Q1836&lt;&gt;INDEX(職員マスタ!$E$6:$E$405,$AP1836)),"子の生年月日がマスタと相違／","")&amp;IF(AND($L1836&lt;&gt;"",INDEX(職員マスタ!$G$6:$G$405,$AP1836)&lt;&gt;"",$L1836&lt;&gt;INDEX(職員マスタ!$G$6:$G$405,$AP1836)),"時短開始日がマスタと相違／","")&amp;IF(AND($M1836&lt;&gt;"",INDEX(職員マスタ!$H$6:$H$405,$AP1836)&lt;&gt;"",$M1836&lt;&gt;INDEX(職員マスタ!$H$6:$H$405,$AP1836)),"時短終了日がマスタと相違／","")))&amp;IF(AND($B1836&lt;&gt;"",$E1836=""),"報酬額が未入力／","")&amp;IF(N($U1836)&gt;0,"申請書に入力エラーが残っています／","")&amp;IF(AND($B1836&lt;&gt;"",$AQ1836&lt;&gt;""),IF(COUNTIFS($B$6:$B$3005,$B1836,$C$6:$C$3005,$C1836,$D$6:$D$3005,$D1836)&gt;1,"同じ月の請求が重複しています／",""),"")&amp;IF(AND(N($E1836)&gt;0,$AB1836&lt;&gt;"",$AB1836&lt;&gt;"×",$AE1836=0,$AD1836=""),"計算額が下限以下のため不支給／",""))</f>
        <v/>
      </c>
      <c r="AN1836" s="12" t="n"/>
      <c r="AO1836" s="14">
        <f>IF($AF1836="保留中",COUNTIF($AF$6:$AF1836,"保留中"),"")</f>
        <v/>
      </c>
      <c r="AP1836" s="14">
        <f>IF($AQ1836="","",IF(SUMPRODUCT(MAX((職員マスタ!$A$6:$A$405=$B1836)*(((職員マスタ!$G$6:$G$405="")+(職員マスタ!$G$6:$G$405&lt;=EOMONTH($AQ1836,0)))&gt;0)*(((職員マスタ!$H$6:$H$405="")+(職員マスタ!$H$6:$H$405&gt;=$AQ1836))&gt;0)*(ROW(職員マスタ!$A$6:$A$405)-5)))&gt;0,SUMPRODUCT(MAX((職員マスタ!$A$6:$A$405=$B1836)*(((職員マスタ!$G$6:$G$405="")+(職員マスタ!$G$6:$G$405&lt;=EOMONTH($AQ1836,0)))&gt;0)*(((職員マスタ!$H$6:$H$405="")+(職員マスタ!$H$6:$H$405&gt;=$AQ1836))&gt;0)*(ROW(職員マスタ!$A$6:$A$405)-5))),IFERROR(MATCH($B1836,職員マスタ!$A$6:$A$405,0),"")))</f>
        <v/>
      </c>
      <c r="AQ1836" s="16">
        <f>IF(OR($B1836="",$C1836="",$D1836=""),"",DATE($C1836+2018,$D1836,1))</f>
        <v/>
      </c>
    </row>
    <row r="1837">
      <c r="A1837" s="11" t="n"/>
      <c r="B1837" s="12" t="n"/>
      <c r="C1837" s="12" t="n"/>
      <c r="D1837" s="12" t="n"/>
      <c r="E1837" s="13" t="n"/>
      <c r="F1837" s="12" t="n"/>
      <c r="G1837" s="13" t="n"/>
      <c r="H1837" s="12" t="n"/>
      <c r="I1837" s="12" t="n"/>
      <c r="J1837" s="12" t="n"/>
      <c r="K1837" s="12" t="n"/>
      <c r="L1837" s="11" t="n"/>
      <c r="M1837" s="11" t="n"/>
      <c r="N1837" s="11" t="n"/>
      <c r="O1837" s="11" t="n"/>
      <c r="P1837" s="12" t="n"/>
      <c r="Q1837" s="11" t="n"/>
      <c r="R1837" s="12" t="n"/>
      <c r="S1837" s="11" t="n"/>
      <c r="T1837" s="12" t="n"/>
      <c r="U1837" s="12" t="n"/>
      <c r="V1837" s="12" t="n"/>
      <c r="W1837" s="13" t="n"/>
      <c r="X1837" s="14">
        <f>IF($AP1837="",IF($B1837="","",$H1837),IF(INDEX(職員マスタ!$B$6:$B$405,$AP1837)="",$H1837,INDEX(職員マスタ!$B$6:$B$405,$AP1837)))</f>
        <v/>
      </c>
      <c r="Y1837" s="14">
        <f>IF($AP1837="",IF($B1837="","",$R1837),IF(INDEX(職員マスタ!$C$6:$C$405,$AP1837)="",$R1837,INDEX(職員マスタ!$C$6:$C$405,$AP1837)))</f>
        <v/>
      </c>
      <c r="Z1837" s="14">
        <f>IF($AQ1837="","","R"&amp;$C1837&amp;"."&amp;$D1837)</f>
        <v/>
      </c>
      <c r="AA1837" s="15">
        <f>IF(IF($AP1837="",FALSE,INDEX(職員マスタ!$K$6:$K$405,$AP1837)&lt;&gt;""),INDEX(職員マスタ!$K$6:$K$405,$AP1837),IF(N($W1837)&gt;0,$W1837,""))</f>
        <v/>
      </c>
      <c r="AB1837" s="14">
        <f>IF(OR($E1837="",$AA1837=""),"",IF($E1837&gt;=$AA1837,"×",IF($E1837&gt;=$AA1837*設定!$C$5,"△","○")))</f>
        <v/>
      </c>
      <c r="AC1837" s="15">
        <f>IF($AB1837="","",IF($AB1837="×",0,IF($AB1837="○",ROUNDDOWN($E1837*設定!$C$4,0),ROUNDDOWN($E1837*ROUND((9*$AA1837-9*$E1837)/(10*$E1837),4),0))))</f>
        <v/>
      </c>
      <c r="AD1837" s="13" t="n"/>
      <c r="AE1837" s="15">
        <f>IF($B1837="","",IF($AD1837&lt;&gt;"",$AD1837,IF($AC1837="","",IF($AC1837&lt;=設定!$C$3,0,$AC1837))))</f>
        <v/>
      </c>
      <c r="AF1837" s="14">
        <f>IF($B1837="","",IF(AND($AG1837&lt;&gt;"",$AI1837="",$AL1837=""),"保留中",IF($AL1837&lt;&gt;"",IF(N($AE1837)&gt;0,"支給済","不支給"),IF($AE1837="","要確認",IF($AE1837=0,"不支給","未処理")))))</f>
        <v/>
      </c>
      <c r="AG1837" s="12" t="n"/>
      <c r="AH1837" s="11" t="n"/>
      <c r="AI1837" s="11" t="n"/>
      <c r="AJ1837" s="11" t="n"/>
      <c r="AK1837" s="14">
        <f>IF(AND($AF1837="保留中",$AH1837&lt;&gt;""),TODAY()-$AH1837,"")</f>
        <v/>
      </c>
      <c r="AL1837" s="12" t="n"/>
      <c r="AM1837" s="14">
        <f>IF($B1837="","",IF($AQ1837="","対象年月が未入力／","")&amp;IF($B1837="","",IF($AP1837="","職員マスタに未登録の職員番号／",IF($AA1837="","標準報酬月額が未登録／","")&amp;IF(AND($AQ1837&lt;&gt;"",OR(AND(INDEX(職員マスタ!$G$6:$G$405,$AP1837)&lt;&gt;"",INDEX(職員マスタ!$G$6:$G$405,$AP1837)&gt;EOMONTH($AQ1837,0)),AND(INDEX(職員マスタ!$H$6:$H$405,$AP1837)&lt;&gt;"",INDEX(職員マスタ!$H$6:$H$405,$AP1837)&lt;$AQ1837))),"対象月が時短期間外／","")&amp;IF(AND(INDEX(職員マスタ!$K$6:$K$405,$AP1837)&lt;&gt;"",N($W1837)&gt;0,INDEX(職員マスタ!$K$6:$K$405,$AP1837)&lt;&gt;$W1837),"標準報酬月額が申請書と相違（台帳"&amp;TEXT(INDEX(職員マスタ!$K$6:$K$405,$AP1837),"#,##0")&amp;"円／申請書"&amp;TEXT($W1837,"#,##0")&amp;"円）／","")&amp;IF(AND(INDEX(職員マスタ!$F$6:$F$405,$AP1837)&lt;&gt;"",$AQ1837&lt;&gt;"",INDEX(職員マスタ!$F$6:$F$405,$AP1837)&lt;$AQ1837),"対象月に子が2歳到達済／","")&amp;IF(AND($H1837&lt;&gt;"",INDEX(職員マスタ!$B$6:$B$405,$AP1837)&lt;&gt;"",SUBSTITUTE(SUBSTITUTE($H1837," ","")," ","")&lt;&gt;SUBSTITUTE(SUBSTITUTE(INDEX(職員マスタ!$B$6:$B$405,$AP1837)," ","")," ","")),"氏名がマスタと相違／","")&amp;IF(AND($Q1837&lt;&gt;"",INDEX(職員マスタ!$E$6:$E$405,$AP1837)&lt;&gt;"",$Q1837&lt;&gt;INDEX(職員マスタ!$E$6:$E$405,$AP1837)),"子の生年月日がマスタと相違／","")&amp;IF(AND($L1837&lt;&gt;"",INDEX(職員マスタ!$G$6:$G$405,$AP1837)&lt;&gt;"",$L1837&lt;&gt;INDEX(職員マスタ!$G$6:$G$405,$AP1837)),"時短開始日がマスタと相違／","")&amp;IF(AND($M1837&lt;&gt;"",INDEX(職員マスタ!$H$6:$H$405,$AP1837)&lt;&gt;"",$M1837&lt;&gt;INDEX(職員マスタ!$H$6:$H$405,$AP1837)),"時短終了日がマスタと相違／","")))&amp;IF(AND($B1837&lt;&gt;"",$E1837=""),"報酬額が未入力／","")&amp;IF(N($U1837)&gt;0,"申請書に入力エラーが残っています／","")&amp;IF(AND($B1837&lt;&gt;"",$AQ1837&lt;&gt;""),IF(COUNTIFS($B$6:$B$3005,$B1837,$C$6:$C$3005,$C1837,$D$6:$D$3005,$D1837)&gt;1,"同じ月の請求が重複しています／",""),"")&amp;IF(AND(N($E1837)&gt;0,$AB1837&lt;&gt;"",$AB1837&lt;&gt;"×",$AE1837=0,$AD1837=""),"計算額が下限以下のため不支給／",""))</f>
        <v/>
      </c>
      <c r="AN1837" s="12" t="n"/>
      <c r="AO1837" s="14">
        <f>IF($AF1837="保留中",COUNTIF($AF$6:$AF1837,"保留中"),"")</f>
        <v/>
      </c>
      <c r="AP1837" s="14">
        <f>IF($AQ1837="","",IF(SUMPRODUCT(MAX((職員マスタ!$A$6:$A$405=$B1837)*(((職員マスタ!$G$6:$G$405="")+(職員マスタ!$G$6:$G$405&lt;=EOMONTH($AQ1837,0)))&gt;0)*(((職員マスタ!$H$6:$H$405="")+(職員マスタ!$H$6:$H$405&gt;=$AQ1837))&gt;0)*(ROW(職員マスタ!$A$6:$A$405)-5)))&gt;0,SUMPRODUCT(MAX((職員マスタ!$A$6:$A$405=$B1837)*(((職員マスタ!$G$6:$G$405="")+(職員マスタ!$G$6:$G$405&lt;=EOMONTH($AQ1837,0)))&gt;0)*(((職員マスタ!$H$6:$H$405="")+(職員マスタ!$H$6:$H$405&gt;=$AQ1837))&gt;0)*(ROW(職員マスタ!$A$6:$A$405)-5))),IFERROR(MATCH($B1837,職員マスタ!$A$6:$A$405,0),"")))</f>
        <v/>
      </c>
      <c r="AQ1837" s="16">
        <f>IF(OR($B1837="",$C1837="",$D1837=""),"",DATE($C1837+2018,$D1837,1))</f>
        <v/>
      </c>
    </row>
    <row r="1838">
      <c r="A1838" s="11" t="n"/>
      <c r="B1838" s="12" t="n"/>
      <c r="C1838" s="12" t="n"/>
      <c r="D1838" s="12" t="n"/>
      <c r="E1838" s="13" t="n"/>
      <c r="F1838" s="12" t="n"/>
      <c r="G1838" s="13" t="n"/>
      <c r="H1838" s="12" t="n"/>
      <c r="I1838" s="12" t="n"/>
      <c r="J1838" s="12" t="n"/>
      <c r="K1838" s="12" t="n"/>
      <c r="L1838" s="11" t="n"/>
      <c r="M1838" s="11" t="n"/>
      <c r="N1838" s="11" t="n"/>
      <c r="O1838" s="11" t="n"/>
      <c r="P1838" s="12" t="n"/>
      <c r="Q1838" s="11" t="n"/>
      <c r="R1838" s="12" t="n"/>
      <c r="S1838" s="11" t="n"/>
      <c r="T1838" s="12" t="n"/>
      <c r="U1838" s="12" t="n"/>
      <c r="V1838" s="12" t="n"/>
      <c r="W1838" s="13" t="n"/>
      <c r="X1838" s="14">
        <f>IF($AP1838="",IF($B1838="","",$H1838),IF(INDEX(職員マスタ!$B$6:$B$405,$AP1838)="",$H1838,INDEX(職員マスタ!$B$6:$B$405,$AP1838)))</f>
        <v/>
      </c>
      <c r="Y1838" s="14">
        <f>IF($AP1838="",IF($B1838="","",$R1838),IF(INDEX(職員マスタ!$C$6:$C$405,$AP1838)="",$R1838,INDEX(職員マスタ!$C$6:$C$405,$AP1838)))</f>
        <v/>
      </c>
      <c r="Z1838" s="14">
        <f>IF($AQ1838="","","R"&amp;$C1838&amp;"."&amp;$D1838)</f>
        <v/>
      </c>
      <c r="AA1838" s="15">
        <f>IF(IF($AP1838="",FALSE,INDEX(職員マスタ!$K$6:$K$405,$AP1838)&lt;&gt;""),INDEX(職員マスタ!$K$6:$K$405,$AP1838),IF(N($W1838)&gt;0,$W1838,""))</f>
        <v/>
      </c>
      <c r="AB1838" s="14">
        <f>IF(OR($E1838="",$AA1838=""),"",IF($E1838&gt;=$AA1838,"×",IF($E1838&gt;=$AA1838*設定!$C$5,"△","○")))</f>
        <v/>
      </c>
      <c r="AC1838" s="15">
        <f>IF($AB1838="","",IF($AB1838="×",0,IF($AB1838="○",ROUNDDOWN($E1838*設定!$C$4,0),ROUNDDOWN($E1838*ROUND((9*$AA1838-9*$E1838)/(10*$E1838),4),0))))</f>
        <v/>
      </c>
      <c r="AD1838" s="13" t="n"/>
      <c r="AE1838" s="15">
        <f>IF($B1838="","",IF($AD1838&lt;&gt;"",$AD1838,IF($AC1838="","",IF($AC1838&lt;=設定!$C$3,0,$AC1838))))</f>
        <v/>
      </c>
      <c r="AF1838" s="14">
        <f>IF($B1838="","",IF(AND($AG1838&lt;&gt;"",$AI1838="",$AL1838=""),"保留中",IF($AL1838&lt;&gt;"",IF(N($AE1838)&gt;0,"支給済","不支給"),IF($AE1838="","要確認",IF($AE1838=0,"不支給","未処理")))))</f>
        <v/>
      </c>
      <c r="AG1838" s="12" t="n"/>
      <c r="AH1838" s="11" t="n"/>
      <c r="AI1838" s="11" t="n"/>
      <c r="AJ1838" s="11" t="n"/>
      <c r="AK1838" s="14">
        <f>IF(AND($AF1838="保留中",$AH1838&lt;&gt;""),TODAY()-$AH1838,"")</f>
        <v/>
      </c>
      <c r="AL1838" s="12" t="n"/>
      <c r="AM1838" s="14">
        <f>IF($B1838="","",IF($AQ1838="","対象年月が未入力／","")&amp;IF($B1838="","",IF($AP1838="","職員マスタに未登録の職員番号／",IF($AA1838="","標準報酬月額が未登録／","")&amp;IF(AND($AQ1838&lt;&gt;"",OR(AND(INDEX(職員マスタ!$G$6:$G$405,$AP1838)&lt;&gt;"",INDEX(職員マスタ!$G$6:$G$405,$AP1838)&gt;EOMONTH($AQ1838,0)),AND(INDEX(職員マスタ!$H$6:$H$405,$AP1838)&lt;&gt;"",INDEX(職員マスタ!$H$6:$H$405,$AP1838)&lt;$AQ1838))),"対象月が時短期間外／","")&amp;IF(AND(INDEX(職員マスタ!$K$6:$K$405,$AP1838)&lt;&gt;"",N($W1838)&gt;0,INDEX(職員マスタ!$K$6:$K$405,$AP1838)&lt;&gt;$W1838),"標準報酬月額が申請書と相違（台帳"&amp;TEXT(INDEX(職員マスタ!$K$6:$K$405,$AP1838),"#,##0")&amp;"円／申請書"&amp;TEXT($W1838,"#,##0")&amp;"円）／","")&amp;IF(AND(INDEX(職員マスタ!$F$6:$F$405,$AP1838)&lt;&gt;"",$AQ1838&lt;&gt;"",INDEX(職員マスタ!$F$6:$F$405,$AP1838)&lt;$AQ1838),"対象月に子が2歳到達済／","")&amp;IF(AND($H1838&lt;&gt;"",INDEX(職員マスタ!$B$6:$B$405,$AP1838)&lt;&gt;"",SUBSTITUTE(SUBSTITUTE($H1838," ","")," ","")&lt;&gt;SUBSTITUTE(SUBSTITUTE(INDEX(職員マスタ!$B$6:$B$405,$AP1838)," ","")," ","")),"氏名がマスタと相違／","")&amp;IF(AND($Q1838&lt;&gt;"",INDEX(職員マスタ!$E$6:$E$405,$AP1838)&lt;&gt;"",$Q1838&lt;&gt;INDEX(職員マスタ!$E$6:$E$405,$AP1838)),"子の生年月日がマスタと相違／","")&amp;IF(AND($L1838&lt;&gt;"",INDEX(職員マスタ!$G$6:$G$405,$AP1838)&lt;&gt;"",$L1838&lt;&gt;INDEX(職員マスタ!$G$6:$G$405,$AP1838)),"時短開始日がマスタと相違／","")&amp;IF(AND($M1838&lt;&gt;"",INDEX(職員マスタ!$H$6:$H$405,$AP1838)&lt;&gt;"",$M1838&lt;&gt;INDEX(職員マスタ!$H$6:$H$405,$AP1838)),"時短終了日がマスタと相違／","")))&amp;IF(AND($B1838&lt;&gt;"",$E1838=""),"報酬額が未入力／","")&amp;IF(N($U1838)&gt;0,"申請書に入力エラーが残っています／","")&amp;IF(AND($B1838&lt;&gt;"",$AQ1838&lt;&gt;""),IF(COUNTIFS($B$6:$B$3005,$B1838,$C$6:$C$3005,$C1838,$D$6:$D$3005,$D1838)&gt;1,"同じ月の請求が重複しています／",""),"")&amp;IF(AND(N($E1838)&gt;0,$AB1838&lt;&gt;"",$AB1838&lt;&gt;"×",$AE1838=0,$AD1838=""),"計算額が下限以下のため不支給／",""))</f>
        <v/>
      </c>
      <c r="AN1838" s="12" t="n"/>
      <c r="AO1838" s="14">
        <f>IF($AF1838="保留中",COUNTIF($AF$6:$AF1838,"保留中"),"")</f>
        <v/>
      </c>
      <c r="AP1838" s="14">
        <f>IF($AQ1838="","",IF(SUMPRODUCT(MAX((職員マスタ!$A$6:$A$405=$B1838)*(((職員マスタ!$G$6:$G$405="")+(職員マスタ!$G$6:$G$405&lt;=EOMONTH($AQ1838,0)))&gt;0)*(((職員マスタ!$H$6:$H$405="")+(職員マスタ!$H$6:$H$405&gt;=$AQ1838))&gt;0)*(ROW(職員マスタ!$A$6:$A$405)-5)))&gt;0,SUMPRODUCT(MAX((職員マスタ!$A$6:$A$405=$B1838)*(((職員マスタ!$G$6:$G$405="")+(職員マスタ!$G$6:$G$405&lt;=EOMONTH($AQ1838,0)))&gt;0)*(((職員マスタ!$H$6:$H$405="")+(職員マスタ!$H$6:$H$405&gt;=$AQ1838))&gt;0)*(ROW(職員マスタ!$A$6:$A$405)-5))),IFERROR(MATCH($B1838,職員マスタ!$A$6:$A$405,0),"")))</f>
        <v/>
      </c>
      <c r="AQ1838" s="16">
        <f>IF(OR($B1838="",$C1838="",$D1838=""),"",DATE($C1838+2018,$D1838,1))</f>
        <v/>
      </c>
    </row>
    <row r="1839">
      <c r="A1839" s="11" t="n"/>
      <c r="B1839" s="12" t="n"/>
      <c r="C1839" s="12" t="n"/>
      <c r="D1839" s="12" t="n"/>
      <c r="E1839" s="13" t="n"/>
      <c r="F1839" s="12" t="n"/>
      <c r="G1839" s="13" t="n"/>
      <c r="H1839" s="12" t="n"/>
      <c r="I1839" s="12" t="n"/>
      <c r="J1839" s="12" t="n"/>
      <c r="K1839" s="12" t="n"/>
      <c r="L1839" s="11" t="n"/>
      <c r="M1839" s="11" t="n"/>
      <c r="N1839" s="11" t="n"/>
      <c r="O1839" s="11" t="n"/>
      <c r="P1839" s="12" t="n"/>
      <c r="Q1839" s="11" t="n"/>
      <c r="R1839" s="12" t="n"/>
      <c r="S1839" s="11" t="n"/>
      <c r="T1839" s="12" t="n"/>
      <c r="U1839" s="12" t="n"/>
      <c r="V1839" s="12" t="n"/>
      <c r="W1839" s="13" t="n"/>
      <c r="X1839" s="14">
        <f>IF($AP1839="",IF($B1839="","",$H1839),IF(INDEX(職員マスタ!$B$6:$B$405,$AP1839)="",$H1839,INDEX(職員マスタ!$B$6:$B$405,$AP1839)))</f>
        <v/>
      </c>
      <c r="Y1839" s="14">
        <f>IF($AP1839="",IF($B1839="","",$R1839),IF(INDEX(職員マスタ!$C$6:$C$405,$AP1839)="",$R1839,INDEX(職員マスタ!$C$6:$C$405,$AP1839)))</f>
        <v/>
      </c>
      <c r="Z1839" s="14">
        <f>IF($AQ1839="","","R"&amp;$C1839&amp;"."&amp;$D1839)</f>
        <v/>
      </c>
      <c r="AA1839" s="15">
        <f>IF(IF($AP1839="",FALSE,INDEX(職員マスタ!$K$6:$K$405,$AP1839)&lt;&gt;""),INDEX(職員マスタ!$K$6:$K$405,$AP1839),IF(N($W1839)&gt;0,$W1839,""))</f>
        <v/>
      </c>
      <c r="AB1839" s="14">
        <f>IF(OR($E1839="",$AA1839=""),"",IF($E1839&gt;=$AA1839,"×",IF($E1839&gt;=$AA1839*設定!$C$5,"△","○")))</f>
        <v/>
      </c>
      <c r="AC1839" s="15">
        <f>IF($AB1839="","",IF($AB1839="×",0,IF($AB1839="○",ROUNDDOWN($E1839*設定!$C$4,0),ROUNDDOWN($E1839*ROUND((9*$AA1839-9*$E1839)/(10*$E1839),4),0))))</f>
        <v/>
      </c>
      <c r="AD1839" s="13" t="n"/>
      <c r="AE1839" s="15">
        <f>IF($B1839="","",IF($AD1839&lt;&gt;"",$AD1839,IF($AC1839="","",IF($AC1839&lt;=設定!$C$3,0,$AC1839))))</f>
        <v/>
      </c>
      <c r="AF1839" s="14">
        <f>IF($B1839="","",IF(AND($AG1839&lt;&gt;"",$AI1839="",$AL1839=""),"保留中",IF($AL1839&lt;&gt;"",IF(N($AE1839)&gt;0,"支給済","不支給"),IF($AE1839="","要確認",IF($AE1839=0,"不支給","未処理")))))</f>
        <v/>
      </c>
      <c r="AG1839" s="12" t="n"/>
      <c r="AH1839" s="11" t="n"/>
      <c r="AI1839" s="11" t="n"/>
      <c r="AJ1839" s="11" t="n"/>
      <c r="AK1839" s="14">
        <f>IF(AND($AF1839="保留中",$AH1839&lt;&gt;""),TODAY()-$AH1839,"")</f>
        <v/>
      </c>
      <c r="AL1839" s="12" t="n"/>
      <c r="AM1839" s="14">
        <f>IF($B1839="","",IF($AQ1839="","対象年月が未入力／","")&amp;IF($B1839="","",IF($AP1839="","職員マスタに未登録の職員番号／",IF($AA1839="","標準報酬月額が未登録／","")&amp;IF(AND($AQ1839&lt;&gt;"",OR(AND(INDEX(職員マスタ!$G$6:$G$405,$AP1839)&lt;&gt;"",INDEX(職員マスタ!$G$6:$G$405,$AP1839)&gt;EOMONTH($AQ1839,0)),AND(INDEX(職員マスタ!$H$6:$H$405,$AP1839)&lt;&gt;"",INDEX(職員マスタ!$H$6:$H$405,$AP1839)&lt;$AQ1839))),"対象月が時短期間外／","")&amp;IF(AND(INDEX(職員マスタ!$K$6:$K$405,$AP1839)&lt;&gt;"",N($W1839)&gt;0,INDEX(職員マスタ!$K$6:$K$405,$AP1839)&lt;&gt;$W1839),"標準報酬月額が申請書と相違（台帳"&amp;TEXT(INDEX(職員マスタ!$K$6:$K$405,$AP1839),"#,##0")&amp;"円／申請書"&amp;TEXT($W1839,"#,##0")&amp;"円）／","")&amp;IF(AND(INDEX(職員マスタ!$F$6:$F$405,$AP1839)&lt;&gt;"",$AQ1839&lt;&gt;"",INDEX(職員マスタ!$F$6:$F$405,$AP1839)&lt;$AQ1839),"対象月に子が2歳到達済／","")&amp;IF(AND($H1839&lt;&gt;"",INDEX(職員マスタ!$B$6:$B$405,$AP1839)&lt;&gt;"",SUBSTITUTE(SUBSTITUTE($H1839," ","")," ","")&lt;&gt;SUBSTITUTE(SUBSTITUTE(INDEX(職員マスタ!$B$6:$B$405,$AP1839)," ","")," ","")),"氏名がマスタと相違／","")&amp;IF(AND($Q1839&lt;&gt;"",INDEX(職員マスタ!$E$6:$E$405,$AP1839)&lt;&gt;"",$Q1839&lt;&gt;INDEX(職員マスタ!$E$6:$E$405,$AP1839)),"子の生年月日がマスタと相違／","")&amp;IF(AND($L1839&lt;&gt;"",INDEX(職員マスタ!$G$6:$G$405,$AP1839)&lt;&gt;"",$L1839&lt;&gt;INDEX(職員マスタ!$G$6:$G$405,$AP1839)),"時短開始日がマスタと相違／","")&amp;IF(AND($M1839&lt;&gt;"",INDEX(職員マスタ!$H$6:$H$405,$AP1839)&lt;&gt;"",$M1839&lt;&gt;INDEX(職員マスタ!$H$6:$H$405,$AP1839)),"時短終了日がマスタと相違／","")))&amp;IF(AND($B1839&lt;&gt;"",$E1839=""),"報酬額が未入力／","")&amp;IF(N($U1839)&gt;0,"申請書に入力エラーが残っています／","")&amp;IF(AND($B1839&lt;&gt;"",$AQ1839&lt;&gt;""),IF(COUNTIFS($B$6:$B$3005,$B1839,$C$6:$C$3005,$C1839,$D$6:$D$3005,$D1839)&gt;1,"同じ月の請求が重複しています／",""),"")&amp;IF(AND(N($E1839)&gt;0,$AB1839&lt;&gt;"",$AB1839&lt;&gt;"×",$AE1839=0,$AD1839=""),"計算額が下限以下のため不支給／",""))</f>
        <v/>
      </c>
      <c r="AN1839" s="12" t="n"/>
      <c r="AO1839" s="14">
        <f>IF($AF1839="保留中",COUNTIF($AF$6:$AF1839,"保留中"),"")</f>
        <v/>
      </c>
      <c r="AP1839" s="14">
        <f>IF($AQ1839="","",IF(SUMPRODUCT(MAX((職員マスタ!$A$6:$A$405=$B1839)*(((職員マスタ!$G$6:$G$405="")+(職員マスタ!$G$6:$G$405&lt;=EOMONTH($AQ1839,0)))&gt;0)*(((職員マスタ!$H$6:$H$405="")+(職員マスタ!$H$6:$H$405&gt;=$AQ1839))&gt;0)*(ROW(職員マスタ!$A$6:$A$405)-5)))&gt;0,SUMPRODUCT(MAX((職員マスタ!$A$6:$A$405=$B1839)*(((職員マスタ!$G$6:$G$405="")+(職員マスタ!$G$6:$G$405&lt;=EOMONTH($AQ1839,0)))&gt;0)*(((職員マスタ!$H$6:$H$405="")+(職員マスタ!$H$6:$H$405&gt;=$AQ1839))&gt;0)*(ROW(職員マスタ!$A$6:$A$405)-5))),IFERROR(MATCH($B1839,職員マスタ!$A$6:$A$405,0),"")))</f>
        <v/>
      </c>
      <c r="AQ1839" s="16">
        <f>IF(OR($B1839="",$C1839="",$D1839=""),"",DATE($C1839+2018,$D1839,1))</f>
        <v/>
      </c>
    </row>
    <row r="1840">
      <c r="A1840" s="11" t="n"/>
      <c r="B1840" s="12" t="n"/>
      <c r="C1840" s="12" t="n"/>
      <c r="D1840" s="12" t="n"/>
      <c r="E1840" s="13" t="n"/>
      <c r="F1840" s="12" t="n"/>
      <c r="G1840" s="13" t="n"/>
      <c r="H1840" s="12" t="n"/>
      <c r="I1840" s="12" t="n"/>
      <c r="J1840" s="12" t="n"/>
      <c r="K1840" s="12" t="n"/>
      <c r="L1840" s="11" t="n"/>
      <c r="M1840" s="11" t="n"/>
      <c r="N1840" s="11" t="n"/>
      <c r="O1840" s="11" t="n"/>
      <c r="P1840" s="12" t="n"/>
      <c r="Q1840" s="11" t="n"/>
      <c r="R1840" s="12" t="n"/>
      <c r="S1840" s="11" t="n"/>
      <c r="T1840" s="12" t="n"/>
      <c r="U1840" s="12" t="n"/>
      <c r="V1840" s="12" t="n"/>
      <c r="W1840" s="13" t="n"/>
      <c r="X1840" s="14">
        <f>IF($AP1840="",IF($B1840="","",$H1840),IF(INDEX(職員マスタ!$B$6:$B$405,$AP1840)="",$H1840,INDEX(職員マスタ!$B$6:$B$405,$AP1840)))</f>
        <v/>
      </c>
      <c r="Y1840" s="14">
        <f>IF($AP1840="",IF($B1840="","",$R1840),IF(INDEX(職員マスタ!$C$6:$C$405,$AP1840)="",$R1840,INDEX(職員マスタ!$C$6:$C$405,$AP1840)))</f>
        <v/>
      </c>
      <c r="Z1840" s="14">
        <f>IF($AQ1840="","","R"&amp;$C1840&amp;"."&amp;$D1840)</f>
        <v/>
      </c>
      <c r="AA1840" s="15">
        <f>IF(IF($AP1840="",FALSE,INDEX(職員マスタ!$K$6:$K$405,$AP1840)&lt;&gt;""),INDEX(職員マスタ!$K$6:$K$405,$AP1840),IF(N($W1840)&gt;0,$W1840,""))</f>
        <v/>
      </c>
      <c r="AB1840" s="14">
        <f>IF(OR($E1840="",$AA1840=""),"",IF($E1840&gt;=$AA1840,"×",IF($E1840&gt;=$AA1840*設定!$C$5,"△","○")))</f>
        <v/>
      </c>
      <c r="AC1840" s="15">
        <f>IF($AB1840="","",IF($AB1840="×",0,IF($AB1840="○",ROUNDDOWN($E1840*設定!$C$4,0),ROUNDDOWN($E1840*ROUND((9*$AA1840-9*$E1840)/(10*$E1840),4),0))))</f>
        <v/>
      </c>
      <c r="AD1840" s="13" t="n"/>
      <c r="AE1840" s="15">
        <f>IF($B1840="","",IF($AD1840&lt;&gt;"",$AD1840,IF($AC1840="","",IF($AC1840&lt;=設定!$C$3,0,$AC1840))))</f>
        <v/>
      </c>
      <c r="AF1840" s="14">
        <f>IF($B1840="","",IF(AND($AG1840&lt;&gt;"",$AI1840="",$AL1840=""),"保留中",IF($AL1840&lt;&gt;"",IF(N($AE1840)&gt;0,"支給済","不支給"),IF($AE1840="","要確認",IF($AE1840=0,"不支給","未処理")))))</f>
        <v/>
      </c>
      <c r="AG1840" s="12" t="n"/>
      <c r="AH1840" s="11" t="n"/>
      <c r="AI1840" s="11" t="n"/>
      <c r="AJ1840" s="11" t="n"/>
      <c r="AK1840" s="14">
        <f>IF(AND($AF1840="保留中",$AH1840&lt;&gt;""),TODAY()-$AH1840,"")</f>
        <v/>
      </c>
      <c r="AL1840" s="12" t="n"/>
      <c r="AM1840" s="14">
        <f>IF($B1840="","",IF($AQ1840="","対象年月が未入力／","")&amp;IF($B1840="","",IF($AP1840="","職員マスタに未登録の職員番号／",IF($AA1840="","標準報酬月額が未登録／","")&amp;IF(AND($AQ1840&lt;&gt;"",OR(AND(INDEX(職員マスタ!$G$6:$G$405,$AP1840)&lt;&gt;"",INDEX(職員マスタ!$G$6:$G$405,$AP1840)&gt;EOMONTH($AQ1840,0)),AND(INDEX(職員マスタ!$H$6:$H$405,$AP1840)&lt;&gt;"",INDEX(職員マスタ!$H$6:$H$405,$AP1840)&lt;$AQ1840))),"対象月が時短期間外／","")&amp;IF(AND(INDEX(職員マスタ!$K$6:$K$405,$AP1840)&lt;&gt;"",N($W1840)&gt;0,INDEX(職員マスタ!$K$6:$K$405,$AP1840)&lt;&gt;$W1840),"標準報酬月額が申請書と相違（台帳"&amp;TEXT(INDEX(職員マスタ!$K$6:$K$405,$AP1840),"#,##0")&amp;"円／申請書"&amp;TEXT($W1840,"#,##0")&amp;"円）／","")&amp;IF(AND(INDEX(職員マスタ!$F$6:$F$405,$AP1840)&lt;&gt;"",$AQ1840&lt;&gt;"",INDEX(職員マスタ!$F$6:$F$405,$AP1840)&lt;$AQ1840),"対象月に子が2歳到達済／","")&amp;IF(AND($H1840&lt;&gt;"",INDEX(職員マスタ!$B$6:$B$405,$AP1840)&lt;&gt;"",SUBSTITUTE(SUBSTITUTE($H1840," ","")," ","")&lt;&gt;SUBSTITUTE(SUBSTITUTE(INDEX(職員マスタ!$B$6:$B$405,$AP1840)," ","")," ","")),"氏名がマスタと相違／","")&amp;IF(AND($Q1840&lt;&gt;"",INDEX(職員マスタ!$E$6:$E$405,$AP1840)&lt;&gt;"",$Q1840&lt;&gt;INDEX(職員マスタ!$E$6:$E$405,$AP1840)),"子の生年月日がマスタと相違／","")&amp;IF(AND($L1840&lt;&gt;"",INDEX(職員マスタ!$G$6:$G$405,$AP1840)&lt;&gt;"",$L1840&lt;&gt;INDEX(職員マスタ!$G$6:$G$405,$AP1840)),"時短開始日がマスタと相違／","")&amp;IF(AND($M1840&lt;&gt;"",INDEX(職員マスタ!$H$6:$H$405,$AP1840)&lt;&gt;"",$M1840&lt;&gt;INDEX(職員マスタ!$H$6:$H$405,$AP1840)),"時短終了日がマスタと相違／","")))&amp;IF(AND($B1840&lt;&gt;"",$E1840=""),"報酬額が未入力／","")&amp;IF(N($U1840)&gt;0,"申請書に入力エラーが残っています／","")&amp;IF(AND($B1840&lt;&gt;"",$AQ1840&lt;&gt;""),IF(COUNTIFS($B$6:$B$3005,$B1840,$C$6:$C$3005,$C1840,$D$6:$D$3005,$D1840)&gt;1,"同じ月の請求が重複しています／",""),"")&amp;IF(AND(N($E1840)&gt;0,$AB1840&lt;&gt;"",$AB1840&lt;&gt;"×",$AE1840=0,$AD1840=""),"計算額が下限以下のため不支給／",""))</f>
        <v/>
      </c>
      <c r="AN1840" s="12" t="n"/>
      <c r="AO1840" s="14">
        <f>IF($AF1840="保留中",COUNTIF($AF$6:$AF1840,"保留中"),"")</f>
        <v/>
      </c>
      <c r="AP1840" s="14">
        <f>IF($AQ1840="","",IF(SUMPRODUCT(MAX((職員マスタ!$A$6:$A$405=$B1840)*(((職員マスタ!$G$6:$G$405="")+(職員マスタ!$G$6:$G$405&lt;=EOMONTH($AQ1840,0)))&gt;0)*(((職員マスタ!$H$6:$H$405="")+(職員マスタ!$H$6:$H$405&gt;=$AQ1840))&gt;0)*(ROW(職員マスタ!$A$6:$A$405)-5)))&gt;0,SUMPRODUCT(MAX((職員マスタ!$A$6:$A$405=$B1840)*(((職員マスタ!$G$6:$G$405="")+(職員マスタ!$G$6:$G$405&lt;=EOMONTH($AQ1840,0)))&gt;0)*(((職員マスタ!$H$6:$H$405="")+(職員マスタ!$H$6:$H$405&gt;=$AQ1840))&gt;0)*(ROW(職員マスタ!$A$6:$A$405)-5))),IFERROR(MATCH($B1840,職員マスタ!$A$6:$A$405,0),"")))</f>
        <v/>
      </c>
      <c r="AQ1840" s="16">
        <f>IF(OR($B1840="",$C1840="",$D1840=""),"",DATE($C1840+2018,$D1840,1))</f>
        <v/>
      </c>
    </row>
    <row r="1841">
      <c r="A1841" s="11" t="n"/>
      <c r="B1841" s="12" t="n"/>
      <c r="C1841" s="12" t="n"/>
      <c r="D1841" s="12" t="n"/>
      <c r="E1841" s="13" t="n"/>
      <c r="F1841" s="12" t="n"/>
      <c r="G1841" s="13" t="n"/>
      <c r="H1841" s="12" t="n"/>
      <c r="I1841" s="12" t="n"/>
      <c r="J1841" s="12" t="n"/>
      <c r="K1841" s="12" t="n"/>
      <c r="L1841" s="11" t="n"/>
      <c r="M1841" s="11" t="n"/>
      <c r="N1841" s="11" t="n"/>
      <c r="O1841" s="11" t="n"/>
      <c r="P1841" s="12" t="n"/>
      <c r="Q1841" s="11" t="n"/>
      <c r="R1841" s="12" t="n"/>
      <c r="S1841" s="11" t="n"/>
      <c r="T1841" s="12" t="n"/>
      <c r="U1841" s="12" t="n"/>
      <c r="V1841" s="12" t="n"/>
      <c r="W1841" s="13" t="n"/>
      <c r="X1841" s="14">
        <f>IF($AP1841="",IF($B1841="","",$H1841),IF(INDEX(職員マスタ!$B$6:$B$405,$AP1841)="",$H1841,INDEX(職員マスタ!$B$6:$B$405,$AP1841)))</f>
        <v/>
      </c>
      <c r="Y1841" s="14">
        <f>IF($AP1841="",IF($B1841="","",$R1841),IF(INDEX(職員マスタ!$C$6:$C$405,$AP1841)="",$R1841,INDEX(職員マスタ!$C$6:$C$405,$AP1841)))</f>
        <v/>
      </c>
      <c r="Z1841" s="14">
        <f>IF($AQ1841="","","R"&amp;$C1841&amp;"."&amp;$D1841)</f>
        <v/>
      </c>
      <c r="AA1841" s="15">
        <f>IF(IF($AP1841="",FALSE,INDEX(職員マスタ!$K$6:$K$405,$AP1841)&lt;&gt;""),INDEX(職員マスタ!$K$6:$K$405,$AP1841),IF(N($W1841)&gt;0,$W1841,""))</f>
        <v/>
      </c>
      <c r="AB1841" s="14">
        <f>IF(OR($E1841="",$AA1841=""),"",IF($E1841&gt;=$AA1841,"×",IF($E1841&gt;=$AA1841*設定!$C$5,"△","○")))</f>
        <v/>
      </c>
      <c r="AC1841" s="15">
        <f>IF($AB1841="","",IF($AB1841="×",0,IF($AB1841="○",ROUNDDOWN($E1841*設定!$C$4,0),ROUNDDOWN($E1841*ROUND((9*$AA1841-9*$E1841)/(10*$E1841),4),0))))</f>
        <v/>
      </c>
      <c r="AD1841" s="13" t="n"/>
      <c r="AE1841" s="15">
        <f>IF($B1841="","",IF($AD1841&lt;&gt;"",$AD1841,IF($AC1841="","",IF($AC1841&lt;=設定!$C$3,0,$AC1841))))</f>
        <v/>
      </c>
      <c r="AF1841" s="14">
        <f>IF($B1841="","",IF(AND($AG1841&lt;&gt;"",$AI1841="",$AL1841=""),"保留中",IF($AL1841&lt;&gt;"",IF(N($AE1841)&gt;0,"支給済","不支給"),IF($AE1841="","要確認",IF($AE1841=0,"不支給","未処理")))))</f>
        <v/>
      </c>
      <c r="AG1841" s="12" t="n"/>
      <c r="AH1841" s="11" t="n"/>
      <c r="AI1841" s="11" t="n"/>
      <c r="AJ1841" s="11" t="n"/>
      <c r="AK1841" s="14">
        <f>IF(AND($AF1841="保留中",$AH1841&lt;&gt;""),TODAY()-$AH1841,"")</f>
        <v/>
      </c>
      <c r="AL1841" s="12" t="n"/>
      <c r="AM1841" s="14">
        <f>IF($B1841="","",IF($AQ1841="","対象年月が未入力／","")&amp;IF($B1841="","",IF($AP1841="","職員マスタに未登録の職員番号／",IF($AA1841="","標準報酬月額が未登録／","")&amp;IF(AND($AQ1841&lt;&gt;"",OR(AND(INDEX(職員マスタ!$G$6:$G$405,$AP1841)&lt;&gt;"",INDEX(職員マスタ!$G$6:$G$405,$AP1841)&gt;EOMONTH($AQ1841,0)),AND(INDEX(職員マスタ!$H$6:$H$405,$AP1841)&lt;&gt;"",INDEX(職員マスタ!$H$6:$H$405,$AP1841)&lt;$AQ1841))),"対象月が時短期間外／","")&amp;IF(AND(INDEX(職員マスタ!$K$6:$K$405,$AP1841)&lt;&gt;"",N($W1841)&gt;0,INDEX(職員マスタ!$K$6:$K$405,$AP1841)&lt;&gt;$W1841),"標準報酬月額が申請書と相違（台帳"&amp;TEXT(INDEX(職員マスタ!$K$6:$K$405,$AP1841),"#,##0")&amp;"円／申請書"&amp;TEXT($W1841,"#,##0")&amp;"円）／","")&amp;IF(AND(INDEX(職員マスタ!$F$6:$F$405,$AP1841)&lt;&gt;"",$AQ1841&lt;&gt;"",INDEX(職員マスタ!$F$6:$F$405,$AP1841)&lt;$AQ1841),"対象月に子が2歳到達済／","")&amp;IF(AND($H1841&lt;&gt;"",INDEX(職員マスタ!$B$6:$B$405,$AP1841)&lt;&gt;"",SUBSTITUTE(SUBSTITUTE($H1841," ","")," ","")&lt;&gt;SUBSTITUTE(SUBSTITUTE(INDEX(職員マスタ!$B$6:$B$405,$AP1841)," ","")," ","")),"氏名がマスタと相違／","")&amp;IF(AND($Q1841&lt;&gt;"",INDEX(職員マスタ!$E$6:$E$405,$AP1841)&lt;&gt;"",$Q1841&lt;&gt;INDEX(職員マスタ!$E$6:$E$405,$AP1841)),"子の生年月日がマスタと相違／","")&amp;IF(AND($L1841&lt;&gt;"",INDEX(職員マスタ!$G$6:$G$405,$AP1841)&lt;&gt;"",$L1841&lt;&gt;INDEX(職員マスタ!$G$6:$G$405,$AP1841)),"時短開始日がマスタと相違／","")&amp;IF(AND($M1841&lt;&gt;"",INDEX(職員マスタ!$H$6:$H$405,$AP1841)&lt;&gt;"",$M1841&lt;&gt;INDEX(職員マスタ!$H$6:$H$405,$AP1841)),"時短終了日がマスタと相違／","")))&amp;IF(AND($B1841&lt;&gt;"",$E1841=""),"報酬額が未入力／","")&amp;IF(N($U1841)&gt;0,"申請書に入力エラーが残っています／","")&amp;IF(AND($B1841&lt;&gt;"",$AQ1841&lt;&gt;""),IF(COUNTIFS($B$6:$B$3005,$B1841,$C$6:$C$3005,$C1841,$D$6:$D$3005,$D1841)&gt;1,"同じ月の請求が重複しています／",""),"")&amp;IF(AND(N($E1841)&gt;0,$AB1841&lt;&gt;"",$AB1841&lt;&gt;"×",$AE1841=0,$AD1841=""),"計算額が下限以下のため不支給／",""))</f>
        <v/>
      </c>
      <c r="AN1841" s="12" t="n"/>
      <c r="AO1841" s="14">
        <f>IF($AF1841="保留中",COUNTIF($AF$6:$AF1841,"保留中"),"")</f>
        <v/>
      </c>
      <c r="AP1841" s="14">
        <f>IF($AQ1841="","",IF(SUMPRODUCT(MAX((職員マスタ!$A$6:$A$405=$B1841)*(((職員マスタ!$G$6:$G$405="")+(職員マスタ!$G$6:$G$405&lt;=EOMONTH($AQ1841,0)))&gt;0)*(((職員マスタ!$H$6:$H$405="")+(職員マスタ!$H$6:$H$405&gt;=$AQ1841))&gt;0)*(ROW(職員マスタ!$A$6:$A$405)-5)))&gt;0,SUMPRODUCT(MAX((職員マスタ!$A$6:$A$405=$B1841)*(((職員マスタ!$G$6:$G$405="")+(職員マスタ!$G$6:$G$405&lt;=EOMONTH($AQ1841,0)))&gt;0)*(((職員マスタ!$H$6:$H$405="")+(職員マスタ!$H$6:$H$405&gt;=$AQ1841))&gt;0)*(ROW(職員マスタ!$A$6:$A$405)-5))),IFERROR(MATCH($B1841,職員マスタ!$A$6:$A$405,0),"")))</f>
        <v/>
      </c>
      <c r="AQ1841" s="16">
        <f>IF(OR($B1841="",$C1841="",$D1841=""),"",DATE($C1841+2018,$D1841,1))</f>
        <v/>
      </c>
    </row>
    <row r="1842">
      <c r="A1842" s="11" t="n"/>
      <c r="B1842" s="12" t="n"/>
      <c r="C1842" s="12" t="n"/>
      <c r="D1842" s="12" t="n"/>
      <c r="E1842" s="13" t="n"/>
      <c r="F1842" s="12" t="n"/>
      <c r="G1842" s="13" t="n"/>
      <c r="H1842" s="12" t="n"/>
      <c r="I1842" s="12" t="n"/>
      <c r="J1842" s="12" t="n"/>
      <c r="K1842" s="12" t="n"/>
      <c r="L1842" s="11" t="n"/>
      <c r="M1842" s="11" t="n"/>
      <c r="N1842" s="11" t="n"/>
      <c r="O1842" s="11" t="n"/>
      <c r="P1842" s="12" t="n"/>
      <c r="Q1842" s="11" t="n"/>
      <c r="R1842" s="12" t="n"/>
      <c r="S1842" s="11" t="n"/>
      <c r="T1842" s="12" t="n"/>
      <c r="U1842" s="12" t="n"/>
      <c r="V1842" s="12" t="n"/>
      <c r="W1842" s="13" t="n"/>
      <c r="X1842" s="14">
        <f>IF($AP1842="",IF($B1842="","",$H1842),IF(INDEX(職員マスタ!$B$6:$B$405,$AP1842)="",$H1842,INDEX(職員マスタ!$B$6:$B$405,$AP1842)))</f>
        <v/>
      </c>
      <c r="Y1842" s="14">
        <f>IF($AP1842="",IF($B1842="","",$R1842),IF(INDEX(職員マスタ!$C$6:$C$405,$AP1842)="",$R1842,INDEX(職員マスタ!$C$6:$C$405,$AP1842)))</f>
        <v/>
      </c>
      <c r="Z1842" s="14">
        <f>IF($AQ1842="","","R"&amp;$C1842&amp;"."&amp;$D1842)</f>
        <v/>
      </c>
      <c r="AA1842" s="15">
        <f>IF(IF($AP1842="",FALSE,INDEX(職員マスタ!$K$6:$K$405,$AP1842)&lt;&gt;""),INDEX(職員マスタ!$K$6:$K$405,$AP1842),IF(N($W1842)&gt;0,$W1842,""))</f>
        <v/>
      </c>
      <c r="AB1842" s="14">
        <f>IF(OR($E1842="",$AA1842=""),"",IF($E1842&gt;=$AA1842,"×",IF($E1842&gt;=$AA1842*設定!$C$5,"△","○")))</f>
        <v/>
      </c>
      <c r="AC1842" s="15">
        <f>IF($AB1842="","",IF($AB1842="×",0,IF($AB1842="○",ROUNDDOWN($E1842*設定!$C$4,0),ROUNDDOWN($E1842*ROUND((9*$AA1842-9*$E1842)/(10*$E1842),4),0))))</f>
        <v/>
      </c>
      <c r="AD1842" s="13" t="n"/>
      <c r="AE1842" s="15">
        <f>IF($B1842="","",IF($AD1842&lt;&gt;"",$AD1842,IF($AC1842="","",IF($AC1842&lt;=設定!$C$3,0,$AC1842))))</f>
        <v/>
      </c>
      <c r="AF1842" s="14">
        <f>IF($B1842="","",IF(AND($AG1842&lt;&gt;"",$AI1842="",$AL1842=""),"保留中",IF($AL1842&lt;&gt;"",IF(N($AE1842)&gt;0,"支給済","不支給"),IF($AE1842="","要確認",IF($AE1842=0,"不支給","未処理")))))</f>
        <v/>
      </c>
      <c r="AG1842" s="12" t="n"/>
      <c r="AH1842" s="11" t="n"/>
      <c r="AI1842" s="11" t="n"/>
      <c r="AJ1842" s="11" t="n"/>
      <c r="AK1842" s="14">
        <f>IF(AND($AF1842="保留中",$AH1842&lt;&gt;""),TODAY()-$AH1842,"")</f>
        <v/>
      </c>
      <c r="AL1842" s="12" t="n"/>
      <c r="AM1842" s="14">
        <f>IF($B1842="","",IF($AQ1842="","対象年月が未入力／","")&amp;IF($B1842="","",IF($AP1842="","職員マスタに未登録の職員番号／",IF($AA1842="","標準報酬月額が未登録／","")&amp;IF(AND($AQ1842&lt;&gt;"",OR(AND(INDEX(職員マスタ!$G$6:$G$405,$AP1842)&lt;&gt;"",INDEX(職員マスタ!$G$6:$G$405,$AP1842)&gt;EOMONTH($AQ1842,0)),AND(INDEX(職員マスタ!$H$6:$H$405,$AP1842)&lt;&gt;"",INDEX(職員マスタ!$H$6:$H$405,$AP1842)&lt;$AQ1842))),"対象月が時短期間外／","")&amp;IF(AND(INDEX(職員マスタ!$K$6:$K$405,$AP1842)&lt;&gt;"",N($W1842)&gt;0,INDEX(職員マスタ!$K$6:$K$405,$AP1842)&lt;&gt;$W1842),"標準報酬月額が申請書と相違（台帳"&amp;TEXT(INDEX(職員マスタ!$K$6:$K$405,$AP1842),"#,##0")&amp;"円／申請書"&amp;TEXT($W1842,"#,##0")&amp;"円）／","")&amp;IF(AND(INDEX(職員マスタ!$F$6:$F$405,$AP1842)&lt;&gt;"",$AQ1842&lt;&gt;"",INDEX(職員マスタ!$F$6:$F$405,$AP1842)&lt;$AQ1842),"対象月に子が2歳到達済／","")&amp;IF(AND($H1842&lt;&gt;"",INDEX(職員マスタ!$B$6:$B$405,$AP1842)&lt;&gt;"",SUBSTITUTE(SUBSTITUTE($H1842," ","")," ","")&lt;&gt;SUBSTITUTE(SUBSTITUTE(INDEX(職員マスタ!$B$6:$B$405,$AP1842)," ","")," ","")),"氏名がマスタと相違／","")&amp;IF(AND($Q1842&lt;&gt;"",INDEX(職員マスタ!$E$6:$E$405,$AP1842)&lt;&gt;"",$Q1842&lt;&gt;INDEX(職員マスタ!$E$6:$E$405,$AP1842)),"子の生年月日がマスタと相違／","")&amp;IF(AND($L1842&lt;&gt;"",INDEX(職員マスタ!$G$6:$G$405,$AP1842)&lt;&gt;"",$L1842&lt;&gt;INDEX(職員マスタ!$G$6:$G$405,$AP1842)),"時短開始日がマスタと相違／","")&amp;IF(AND($M1842&lt;&gt;"",INDEX(職員マスタ!$H$6:$H$405,$AP1842)&lt;&gt;"",$M1842&lt;&gt;INDEX(職員マスタ!$H$6:$H$405,$AP1842)),"時短終了日がマスタと相違／","")))&amp;IF(AND($B1842&lt;&gt;"",$E1842=""),"報酬額が未入力／","")&amp;IF(N($U1842)&gt;0,"申請書に入力エラーが残っています／","")&amp;IF(AND($B1842&lt;&gt;"",$AQ1842&lt;&gt;""),IF(COUNTIFS($B$6:$B$3005,$B1842,$C$6:$C$3005,$C1842,$D$6:$D$3005,$D1842)&gt;1,"同じ月の請求が重複しています／",""),"")&amp;IF(AND(N($E1842)&gt;0,$AB1842&lt;&gt;"",$AB1842&lt;&gt;"×",$AE1842=0,$AD1842=""),"計算額が下限以下のため不支給／",""))</f>
        <v/>
      </c>
      <c r="AN1842" s="12" t="n"/>
      <c r="AO1842" s="14">
        <f>IF($AF1842="保留中",COUNTIF($AF$6:$AF1842,"保留中"),"")</f>
        <v/>
      </c>
      <c r="AP1842" s="14">
        <f>IF($AQ1842="","",IF(SUMPRODUCT(MAX((職員マスタ!$A$6:$A$405=$B1842)*(((職員マスタ!$G$6:$G$405="")+(職員マスタ!$G$6:$G$405&lt;=EOMONTH($AQ1842,0)))&gt;0)*(((職員マスタ!$H$6:$H$405="")+(職員マスタ!$H$6:$H$405&gt;=$AQ1842))&gt;0)*(ROW(職員マスタ!$A$6:$A$405)-5)))&gt;0,SUMPRODUCT(MAX((職員マスタ!$A$6:$A$405=$B1842)*(((職員マスタ!$G$6:$G$405="")+(職員マスタ!$G$6:$G$405&lt;=EOMONTH($AQ1842,0)))&gt;0)*(((職員マスタ!$H$6:$H$405="")+(職員マスタ!$H$6:$H$405&gt;=$AQ1842))&gt;0)*(ROW(職員マスタ!$A$6:$A$405)-5))),IFERROR(MATCH($B1842,職員マスタ!$A$6:$A$405,0),"")))</f>
        <v/>
      </c>
      <c r="AQ1842" s="16">
        <f>IF(OR($B1842="",$C1842="",$D1842=""),"",DATE($C1842+2018,$D1842,1))</f>
        <v/>
      </c>
    </row>
    <row r="1843">
      <c r="A1843" s="11" t="n"/>
      <c r="B1843" s="12" t="n"/>
      <c r="C1843" s="12" t="n"/>
      <c r="D1843" s="12" t="n"/>
      <c r="E1843" s="13" t="n"/>
      <c r="F1843" s="12" t="n"/>
      <c r="G1843" s="13" t="n"/>
      <c r="H1843" s="12" t="n"/>
      <c r="I1843" s="12" t="n"/>
      <c r="J1843" s="12" t="n"/>
      <c r="K1843" s="12" t="n"/>
      <c r="L1843" s="11" t="n"/>
      <c r="M1843" s="11" t="n"/>
      <c r="N1843" s="11" t="n"/>
      <c r="O1843" s="11" t="n"/>
      <c r="P1843" s="12" t="n"/>
      <c r="Q1843" s="11" t="n"/>
      <c r="R1843" s="12" t="n"/>
      <c r="S1843" s="11" t="n"/>
      <c r="T1843" s="12" t="n"/>
      <c r="U1843" s="12" t="n"/>
      <c r="V1843" s="12" t="n"/>
      <c r="W1843" s="13" t="n"/>
      <c r="X1843" s="14">
        <f>IF($AP1843="",IF($B1843="","",$H1843),IF(INDEX(職員マスタ!$B$6:$B$405,$AP1843)="",$H1843,INDEX(職員マスタ!$B$6:$B$405,$AP1843)))</f>
        <v/>
      </c>
      <c r="Y1843" s="14">
        <f>IF($AP1843="",IF($B1843="","",$R1843),IF(INDEX(職員マスタ!$C$6:$C$405,$AP1843)="",$R1843,INDEX(職員マスタ!$C$6:$C$405,$AP1843)))</f>
        <v/>
      </c>
      <c r="Z1843" s="14">
        <f>IF($AQ1843="","","R"&amp;$C1843&amp;"."&amp;$D1843)</f>
        <v/>
      </c>
      <c r="AA1843" s="15">
        <f>IF(IF($AP1843="",FALSE,INDEX(職員マスタ!$K$6:$K$405,$AP1843)&lt;&gt;""),INDEX(職員マスタ!$K$6:$K$405,$AP1843),IF(N($W1843)&gt;0,$W1843,""))</f>
        <v/>
      </c>
      <c r="AB1843" s="14">
        <f>IF(OR($E1843="",$AA1843=""),"",IF($E1843&gt;=$AA1843,"×",IF($E1843&gt;=$AA1843*設定!$C$5,"△","○")))</f>
        <v/>
      </c>
      <c r="AC1843" s="15">
        <f>IF($AB1843="","",IF($AB1843="×",0,IF($AB1843="○",ROUNDDOWN($E1843*設定!$C$4,0),ROUNDDOWN($E1843*ROUND((9*$AA1843-9*$E1843)/(10*$E1843),4),0))))</f>
        <v/>
      </c>
      <c r="AD1843" s="13" t="n"/>
      <c r="AE1843" s="15">
        <f>IF($B1843="","",IF($AD1843&lt;&gt;"",$AD1843,IF($AC1843="","",IF($AC1843&lt;=設定!$C$3,0,$AC1843))))</f>
        <v/>
      </c>
      <c r="AF1843" s="14">
        <f>IF($B1843="","",IF(AND($AG1843&lt;&gt;"",$AI1843="",$AL1843=""),"保留中",IF($AL1843&lt;&gt;"",IF(N($AE1843)&gt;0,"支給済","不支給"),IF($AE1843="","要確認",IF($AE1843=0,"不支給","未処理")))))</f>
        <v/>
      </c>
      <c r="AG1843" s="12" t="n"/>
      <c r="AH1843" s="11" t="n"/>
      <c r="AI1843" s="11" t="n"/>
      <c r="AJ1843" s="11" t="n"/>
      <c r="AK1843" s="14">
        <f>IF(AND($AF1843="保留中",$AH1843&lt;&gt;""),TODAY()-$AH1843,"")</f>
        <v/>
      </c>
      <c r="AL1843" s="12" t="n"/>
      <c r="AM1843" s="14">
        <f>IF($B1843="","",IF($AQ1843="","対象年月が未入力／","")&amp;IF($B1843="","",IF($AP1843="","職員マスタに未登録の職員番号／",IF($AA1843="","標準報酬月額が未登録／","")&amp;IF(AND($AQ1843&lt;&gt;"",OR(AND(INDEX(職員マスタ!$G$6:$G$405,$AP1843)&lt;&gt;"",INDEX(職員マスタ!$G$6:$G$405,$AP1843)&gt;EOMONTH($AQ1843,0)),AND(INDEX(職員マスタ!$H$6:$H$405,$AP1843)&lt;&gt;"",INDEX(職員マスタ!$H$6:$H$405,$AP1843)&lt;$AQ1843))),"対象月が時短期間外／","")&amp;IF(AND(INDEX(職員マスタ!$K$6:$K$405,$AP1843)&lt;&gt;"",N($W1843)&gt;0,INDEX(職員マスタ!$K$6:$K$405,$AP1843)&lt;&gt;$W1843),"標準報酬月額が申請書と相違（台帳"&amp;TEXT(INDEX(職員マスタ!$K$6:$K$405,$AP1843),"#,##0")&amp;"円／申請書"&amp;TEXT($W1843,"#,##0")&amp;"円）／","")&amp;IF(AND(INDEX(職員マスタ!$F$6:$F$405,$AP1843)&lt;&gt;"",$AQ1843&lt;&gt;"",INDEX(職員マスタ!$F$6:$F$405,$AP1843)&lt;$AQ1843),"対象月に子が2歳到達済／","")&amp;IF(AND($H1843&lt;&gt;"",INDEX(職員マスタ!$B$6:$B$405,$AP1843)&lt;&gt;"",SUBSTITUTE(SUBSTITUTE($H1843," ","")," ","")&lt;&gt;SUBSTITUTE(SUBSTITUTE(INDEX(職員マスタ!$B$6:$B$405,$AP1843)," ","")," ","")),"氏名がマスタと相違／","")&amp;IF(AND($Q1843&lt;&gt;"",INDEX(職員マスタ!$E$6:$E$405,$AP1843)&lt;&gt;"",$Q1843&lt;&gt;INDEX(職員マスタ!$E$6:$E$405,$AP1843)),"子の生年月日がマスタと相違／","")&amp;IF(AND($L1843&lt;&gt;"",INDEX(職員マスタ!$G$6:$G$405,$AP1843)&lt;&gt;"",$L1843&lt;&gt;INDEX(職員マスタ!$G$6:$G$405,$AP1843)),"時短開始日がマスタと相違／","")&amp;IF(AND($M1843&lt;&gt;"",INDEX(職員マスタ!$H$6:$H$405,$AP1843)&lt;&gt;"",$M1843&lt;&gt;INDEX(職員マスタ!$H$6:$H$405,$AP1843)),"時短終了日がマスタと相違／","")))&amp;IF(AND($B1843&lt;&gt;"",$E1843=""),"報酬額が未入力／","")&amp;IF(N($U1843)&gt;0,"申請書に入力エラーが残っています／","")&amp;IF(AND($B1843&lt;&gt;"",$AQ1843&lt;&gt;""),IF(COUNTIFS($B$6:$B$3005,$B1843,$C$6:$C$3005,$C1843,$D$6:$D$3005,$D1843)&gt;1,"同じ月の請求が重複しています／",""),"")&amp;IF(AND(N($E1843)&gt;0,$AB1843&lt;&gt;"",$AB1843&lt;&gt;"×",$AE1843=0,$AD1843=""),"計算額が下限以下のため不支給／",""))</f>
        <v/>
      </c>
      <c r="AN1843" s="12" t="n"/>
      <c r="AO1843" s="14">
        <f>IF($AF1843="保留中",COUNTIF($AF$6:$AF1843,"保留中"),"")</f>
        <v/>
      </c>
      <c r="AP1843" s="14">
        <f>IF($AQ1843="","",IF(SUMPRODUCT(MAX((職員マスタ!$A$6:$A$405=$B1843)*(((職員マスタ!$G$6:$G$405="")+(職員マスタ!$G$6:$G$405&lt;=EOMONTH($AQ1843,0)))&gt;0)*(((職員マスタ!$H$6:$H$405="")+(職員マスタ!$H$6:$H$405&gt;=$AQ1843))&gt;0)*(ROW(職員マスタ!$A$6:$A$405)-5)))&gt;0,SUMPRODUCT(MAX((職員マスタ!$A$6:$A$405=$B1843)*(((職員マスタ!$G$6:$G$405="")+(職員マスタ!$G$6:$G$405&lt;=EOMONTH($AQ1843,0)))&gt;0)*(((職員マスタ!$H$6:$H$405="")+(職員マスタ!$H$6:$H$405&gt;=$AQ1843))&gt;0)*(ROW(職員マスタ!$A$6:$A$405)-5))),IFERROR(MATCH($B1843,職員マスタ!$A$6:$A$405,0),"")))</f>
        <v/>
      </c>
      <c r="AQ1843" s="16">
        <f>IF(OR($B1843="",$C1843="",$D1843=""),"",DATE($C1843+2018,$D1843,1))</f>
        <v/>
      </c>
    </row>
    <row r="1844">
      <c r="A1844" s="11" t="n"/>
      <c r="B1844" s="12" t="n"/>
      <c r="C1844" s="12" t="n"/>
      <c r="D1844" s="12" t="n"/>
      <c r="E1844" s="13" t="n"/>
      <c r="F1844" s="12" t="n"/>
      <c r="G1844" s="13" t="n"/>
      <c r="H1844" s="12" t="n"/>
      <c r="I1844" s="12" t="n"/>
      <c r="J1844" s="12" t="n"/>
      <c r="K1844" s="12" t="n"/>
      <c r="L1844" s="11" t="n"/>
      <c r="M1844" s="11" t="n"/>
      <c r="N1844" s="11" t="n"/>
      <c r="O1844" s="11" t="n"/>
      <c r="P1844" s="12" t="n"/>
      <c r="Q1844" s="11" t="n"/>
      <c r="R1844" s="12" t="n"/>
      <c r="S1844" s="11" t="n"/>
      <c r="T1844" s="12" t="n"/>
      <c r="U1844" s="12" t="n"/>
      <c r="V1844" s="12" t="n"/>
      <c r="W1844" s="13" t="n"/>
      <c r="X1844" s="14">
        <f>IF($AP1844="",IF($B1844="","",$H1844),IF(INDEX(職員マスタ!$B$6:$B$405,$AP1844)="",$H1844,INDEX(職員マスタ!$B$6:$B$405,$AP1844)))</f>
        <v/>
      </c>
      <c r="Y1844" s="14">
        <f>IF($AP1844="",IF($B1844="","",$R1844),IF(INDEX(職員マスタ!$C$6:$C$405,$AP1844)="",$R1844,INDEX(職員マスタ!$C$6:$C$405,$AP1844)))</f>
        <v/>
      </c>
      <c r="Z1844" s="14">
        <f>IF($AQ1844="","","R"&amp;$C1844&amp;"."&amp;$D1844)</f>
        <v/>
      </c>
      <c r="AA1844" s="15">
        <f>IF(IF($AP1844="",FALSE,INDEX(職員マスタ!$K$6:$K$405,$AP1844)&lt;&gt;""),INDEX(職員マスタ!$K$6:$K$405,$AP1844),IF(N($W1844)&gt;0,$W1844,""))</f>
        <v/>
      </c>
      <c r="AB1844" s="14">
        <f>IF(OR($E1844="",$AA1844=""),"",IF($E1844&gt;=$AA1844,"×",IF($E1844&gt;=$AA1844*設定!$C$5,"△","○")))</f>
        <v/>
      </c>
      <c r="AC1844" s="15">
        <f>IF($AB1844="","",IF($AB1844="×",0,IF($AB1844="○",ROUNDDOWN($E1844*設定!$C$4,0),ROUNDDOWN($E1844*ROUND((9*$AA1844-9*$E1844)/(10*$E1844),4),0))))</f>
        <v/>
      </c>
      <c r="AD1844" s="13" t="n"/>
      <c r="AE1844" s="15">
        <f>IF($B1844="","",IF($AD1844&lt;&gt;"",$AD1844,IF($AC1844="","",IF($AC1844&lt;=設定!$C$3,0,$AC1844))))</f>
        <v/>
      </c>
      <c r="AF1844" s="14">
        <f>IF($B1844="","",IF(AND($AG1844&lt;&gt;"",$AI1844="",$AL1844=""),"保留中",IF($AL1844&lt;&gt;"",IF(N($AE1844)&gt;0,"支給済","不支給"),IF($AE1844="","要確認",IF($AE1844=0,"不支給","未処理")))))</f>
        <v/>
      </c>
      <c r="AG1844" s="12" t="n"/>
      <c r="AH1844" s="11" t="n"/>
      <c r="AI1844" s="11" t="n"/>
      <c r="AJ1844" s="11" t="n"/>
      <c r="AK1844" s="14">
        <f>IF(AND($AF1844="保留中",$AH1844&lt;&gt;""),TODAY()-$AH1844,"")</f>
        <v/>
      </c>
      <c r="AL1844" s="12" t="n"/>
      <c r="AM1844" s="14">
        <f>IF($B1844="","",IF($AQ1844="","対象年月が未入力／","")&amp;IF($B1844="","",IF($AP1844="","職員マスタに未登録の職員番号／",IF($AA1844="","標準報酬月額が未登録／","")&amp;IF(AND($AQ1844&lt;&gt;"",OR(AND(INDEX(職員マスタ!$G$6:$G$405,$AP1844)&lt;&gt;"",INDEX(職員マスタ!$G$6:$G$405,$AP1844)&gt;EOMONTH($AQ1844,0)),AND(INDEX(職員マスタ!$H$6:$H$405,$AP1844)&lt;&gt;"",INDEX(職員マスタ!$H$6:$H$405,$AP1844)&lt;$AQ1844))),"対象月が時短期間外／","")&amp;IF(AND(INDEX(職員マスタ!$K$6:$K$405,$AP1844)&lt;&gt;"",N($W1844)&gt;0,INDEX(職員マスタ!$K$6:$K$405,$AP1844)&lt;&gt;$W1844),"標準報酬月額が申請書と相違（台帳"&amp;TEXT(INDEX(職員マスタ!$K$6:$K$405,$AP1844),"#,##0")&amp;"円／申請書"&amp;TEXT($W1844,"#,##0")&amp;"円）／","")&amp;IF(AND(INDEX(職員マスタ!$F$6:$F$405,$AP1844)&lt;&gt;"",$AQ1844&lt;&gt;"",INDEX(職員マスタ!$F$6:$F$405,$AP1844)&lt;$AQ1844),"対象月に子が2歳到達済／","")&amp;IF(AND($H1844&lt;&gt;"",INDEX(職員マスタ!$B$6:$B$405,$AP1844)&lt;&gt;"",SUBSTITUTE(SUBSTITUTE($H1844," ","")," ","")&lt;&gt;SUBSTITUTE(SUBSTITUTE(INDEX(職員マスタ!$B$6:$B$405,$AP1844)," ","")," ","")),"氏名がマスタと相違／","")&amp;IF(AND($Q1844&lt;&gt;"",INDEX(職員マスタ!$E$6:$E$405,$AP1844)&lt;&gt;"",$Q1844&lt;&gt;INDEX(職員マスタ!$E$6:$E$405,$AP1844)),"子の生年月日がマスタと相違／","")&amp;IF(AND($L1844&lt;&gt;"",INDEX(職員マスタ!$G$6:$G$405,$AP1844)&lt;&gt;"",$L1844&lt;&gt;INDEX(職員マスタ!$G$6:$G$405,$AP1844)),"時短開始日がマスタと相違／","")&amp;IF(AND($M1844&lt;&gt;"",INDEX(職員マスタ!$H$6:$H$405,$AP1844)&lt;&gt;"",$M1844&lt;&gt;INDEX(職員マスタ!$H$6:$H$405,$AP1844)),"時短終了日がマスタと相違／","")))&amp;IF(AND($B1844&lt;&gt;"",$E1844=""),"報酬額が未入力／","")&amp;IF(N($U1844)&gt;0,"申請書に入力エラーが残っています／","")&amp;IF(AND($B1844&lt;&gt;"",$AQ1844&lt;&gt;""),IF(COUNTIFS($B$6:$B$3005,$B1844,$C$6:$C$3005,$C1844,$D$6:$D$3005,$D1844)&gt;1,"同じ月の請求が重複しています／",""),"")&amp;IF(AND(N($E1844)&gt;0,$AB1844&lt;&gt;"",$AB1844&lt;&gt;"×",$AE1844=0,$AD1844=""),"計算額が下限以下のため不支給／",""))</f>
        <v/>
      </c>
      <c r="AN1844" s="12" t="n"/>
      <c r="AO1844" s="14">
        <f>IF($AF1844="保留中",COUNTIF($AF$6:$AF1844,"保留中"),"")</f>
        <v/>
      </c>
      <c r="AP1844" s="14">
        <f>IF($AQ1844="","",IF(SUMPRODUCT(MAX((職員マスタ!$A$6:$A$405=$B1844)*(((職員マスタ!$G$6:$G$405="")+(職員マスタ!$G$6:$G$405&lt;=EOMONTH($AQ1844,0)))&gt;0)*(((職員マスタ!$H$6:$H$405="")+(職員マスタ!$H$6:$H$405&gt;=$AQ1844))&gt;0)*(ROW(職員マスタ!$A$6:$A$405)-5)))&gt;0,SUMPRODUCT(MAX((職員マスタ!$A$6:$A$405=$B1844)*(((職員マスタ!$G$6:$G$405="")+(職員マスタ!$G$6:$G$405&lt;=EOMONTH($AQ1844,0)))&gt;0)*(((職員マスタ!$H$6:$H$405="")+(職員マスタ!$H$6:$H$405&gt;=$AQ1844))&gt;0)*(ROW(職員マスタ!$A$6:$A$405)-5))),IFERROR(MATCH($B1844,職員マスタ!$A$6:$A$405,0),"")))</f>
        <v/>
      </c>
      <c r="AQ1844" s="16">
        <f>IF(OR($B1844="",$C1844="",$D1844=""),"",DATE($C1844+2018,$D1844,1))</f>
        <v/>
      </c>
    </row>
    <row r="1845">
      <c r="A1845" s="11" t="n"/>
      <c r="B1845" s="12" t="n"/>
      <c r="C1845" s="12" t="n"/>
      <c r="D1845" s="12" t="n"/>
      <c r="E1845" s="13" t="n"/>
      <c r="F1845" s="12" t="n"/>
      <c r="G1845" s="13" t="n"/>
      <c r="H1845" s="12" t="n"/>
      <c r="I1845" s="12" t="n"/>
      <c r="J1845" s="12" t="n"/>
      <c r="K1845" s="12" t="n"/>
      <c r="L1845" s="11" t="n"/>
      <c r="M1845" s="11" t="n"/>
      <c r="N1845" s="11" t="n"/>
      <c r="O1845" s="11" t="n"/>
      <c r="P1845" s="12" t="n"/>
      <c r="Q1845" s="11" t="n"/>
      <c r="R1845" s="12" t="n"/>
      <c r="S1845" s="11" t="n"/>
      <c r="T1845" s="12" t="n"/>
      <c r="U1845" s="12" t="n"/>
      <c r="V1845" s="12" t="n"/>
      <c r="W1845" s="13" t="n"/>
      <c r="X1845" s="14">
        <f>IF($AP1845="",IF($B1845="","",$H1845),IF(INDEX(職員マスタ!$B$6:$B$405,$AP1845)="",$H1845,INDEX(職員マスタ!$B$6:$B$405,$AP1845)))</f>
        <v/>
      </c>
      <c r="Y1845" s="14">
        <f>IF($AP1845="",IF($B1845="","",$R1845),IF(INDEX(職員マスタ!$C$6:$C$405,$AP1845)="",$R1845,INDEX(職員マスタ!$C$6:$C$405,$AP1845)))</f>
        <v/>
      </c>
      <c r="Z1845" s="14">
        <f>IF($AQ1845="","","R"&amp;$C1845&amp;"."&amp;$D1845)</f>
        <v/>
      </c>
      <c r="AA1845" s="15">
        <f>IF(IF($AP1845="",FALSE,INDEX(職員マスタ!$K$6:$K$405,$AP1845)&lt;&gt;""),INDEX(職員マスタ!$K$6:$K$405,$AP1845),IF(N($W1845)&gt;0,$W1845,""))</f>
        <v/>
      </c>
      <c r="AB1845" s="14">
        <f>IF(OR($E1845="",$AA1845=""),"",IF($E1845&gt;=$AA1845,"×",IF($E1845&gt;=$AA1845*設定!$C$5,"△","○")))</f>
        <v/>
      </c>
      <c r="AC1845" s="15">
        <f>IF($AB1845="","",IF($AB1845="×",0,IF($AB1845="○",ROUNDDOWN($E1845*設定!$C$4,0),ROUNDDOWN($E1845*ROUND((9*$AA1845-9*$E1845)/(10*$E1845),4),0))))</f>
        <v/>
      </c>
      <c r="AD1845" s="13" t="n"/>
      <c r="AE1845" s="15">
        <f>IF($B1845="","",IF($AD1845&lt;&gt;"",$AD1845,IF($AC1845="","",IF($AC1845&lt;=設定!$C$3,0,$AC1845))))</f>
        <v/>
      </c>
      <c r="AF1845" s="14">
        <f>IF($B1845="","",IF(AND($AG1845&lt;&gt;"",$AI1845="",$AL1845=""),"保留中",IF($AL1845&lt;&gt;"",IF(N($AE1845)&gt;0,"支給済","不支給"),IF($AE1845="","要確認",IF($AE1845=0,"不支給","未処理")))))</f>
        <v/>
      </c>
      <c r="AG1845" s="12" t="n"/>
      <c r="AH1845" s="11" t="n"/>
      <c r="AI1845" s="11" t="n"/>
      <c r="AJ1845" s="11" t="n"/>
      <c r="AK1845" s="14">
        <f>IF(AND($AF1845="保留中",$AH1845&lt;&gt;""),TODAY()-$AH1845,"")</f>
        <v/>
      </c>
      <c r="AL1845" s="12" t="n"/>
      <c r="AM1845" s="14">
        <f>IF($B1845="","",IF($AQ1845="","対象年月が未入力／","")&amp;IF($B1845="","",IF($AP1845="","職員マスタに未登録の職員番号／",IF($AA1845="","標準報酬月額が未登録／","")&amp;IF(AND($AQ1845&lt;&gt;"",OR(AND(INDEX(職員マスタ!$G$6:$G$405,$AP1845)&lt;&gt;"",INDEX(職員マスタ!$G$6:$G$405,$AP1845)&gt;EOMONTH($AQ1845,0)),AND(INDEX(職員マスタ!$H$6:$H$405,$AP1845)&lt;&gt;"",INDEX(職員マスタ!$H$6:$H$405,$AP1845)&lt;$AQ1845))),"対象月が時短期間外／","")&amp;IF(AND(INDEX(職員マスタ!$K$6:$K$405,$AP1845)&lt;&gt;"",N($W1845)&gt;0,INDEX(職員マスタ!$K$6:$K$405,$AP1845)&lt;&gt;$W1845),"標準報酬月額が申請書と相違（台帳"&amp;TEXT(INDEX(職員マスタ!$K$6:$K$405,$AP1845),"#,##0")&amp;"円／申請書"&amp;TEXT($W1845,"#,##0")&amp;"円）／","")&amp;IF(AND(INDEX(職員マスタ!$F$6:$F$405,$AP1845)&lt;&gt;"",$AQ1845&lt;&gt;"",INDEX(職員マスタ!$F$6:$F$405,$AP1845)&lt;$AQ1845),"対象月に子が2歳到達済／","")&amp;IF(AND($H1845&lt;&gt;"",INDEX(職員マスタ!$B$6:$B$405,$AP1845)&lt;&gt;"",SUBSTITUTE(SUBSTITUTE($H1845," ","")," ","")&lt;&gt;SUBSTITUTE(SUBSTITUTE(INDEX(職員マスタ!$B$6:$B$405,$AP1845)," ","")," ","")),"氏名がマスタと相違／","")&amp;IF(AND($Q1845&lt;&gt;"",INDEX(職員マスタ!$E$6:$E$405,$AP1845)&lt;&gt;"",$Q1845&lt;&gt;INDEX(職員マスタ!$E$6:$E$405,$AP1845)),"子の生年月日がマスタと相違／","")&amp;IF(AND($L1845&lt;&gt;"",INDEX(職員マスタ!$G$6:$G$405,$AP1845)&lt;&gt;"",$L1845&lt;&gt;INDEX(職員マスタ!$G$6:$G$405,$AP1845)),"時短開始日がマスタと相違／","")&amp;IF(AND($M1845&lt;&gt;"",INDEX(職員マスタ!$H$6:$H$405,$AP1845)&lt;&gt;"",$M1845&lt;&gt;INDEX(職員マスタ!$H$6:$H$405,$AP1845)),"時短終了日がマスタと相違／","")))&amp;IF(AND($B1845&lt;&gt;"",$E1845=""),"報酬額が未入力／","")&amp;IF(N($U1845)&gt;0,"申請書に入力エラーが残っています／","")&amp;IF(AND($B1845&lt;&gt;"",$AQ1845&lt;&gt;""),IF(COUNTIFS($B$6:$B$3005,$B1845,$C$6:$C$3005,$C1845,$D$6:$D$3005,$D1845)&gt;1,"同じ月の請求が重複しています／",""),"")&amp;IF(AND(N($E1845)&gt;0,$AB1845&lt;&gt;"",$AB1845&lt;&gt;"×",$AE1845=0,$AD1845=""),"計算額が下限以下のため不支給／",""))</f>
        <v/>
      </c>
      <c r="AN1845" s="12" t="n"/>
      <c r="AO1845" s="14">
        <f>IF($AF1845="保留中",COUNTIF($AF$6:$AF1845,"保留中"),"")</f>
        <v/>
      </c>
      <c r="AP1845" s="14">
        <f>IF($AQ1845="","",IF(SUMPRODUCT(MAX((職員マスタ!$A$6:$A$405=$B1845)*(((職員マスタ!$G$6:$G$405="")+(職員マスタ!$G$6:$G$405&lt;=EOMONTH($AQ1845,0)))&gt;0)*(((職員マスタ!$H$6:$H$405="")+(職員マスタ!$H$6:$H$405&gt;=$AQ1845))&gt;0)*(ROW(職員マスタ!$A$6:$A$405)-5)))&gt;0,SUMPRODUCT(MAX((職員マスタ!$A$6:$A$405=$B1845)*(((職員マスタ!$G$6:$G$405="")+(職員マスタ!$G$6:$G$405&lt;=EOMONTH($AQ1845,0)))&gt;0)*(((職員マスタ!$H$6:$H$405="")+(職員マスタ!$H$6:$H$405&gt;=$AQ1845))&gt;0)*(ROW(職員マスタ!$A$6:$A$405)-5))),IFERROR(MATCH($B1845,職員マスタ!$A$6:$A$405,0),"")))</f>
        <v/>
      </c>
      <c r="AQ1845" s="16">
        <f>IF(OR($B1845="",$C1845="",$D1845=""),"",DATE($C1845+2018,$D1845,1))</f>
        <v/>
      </c>
    </row>
    <row r="1846">
      <c r="A1846" s="11" t="n"/>
      <c r="B1846" s="12" t="n"/>
      <c r="C1846" s="12" t="n"/>
      <c r="D1846" s="12" t="n"/>
      <c r="E1846" s="13" t="n"/>
      <c r="F1846" s="12" t="n"/>
      <c r="G1846" s="13" t="n"/>
      <c r="H1846" s="12" t="n"/>
      <c r="I1846" s="12" t="n"/>
      <c r="J1846" s="12" t="n"/>
      <c r="K1846" s="12" t="n"/>
      <c r="L1846" s="11" t="n"/>
      <c r="M1846" s="11" t="n"/>
      <c r="N1846" s="11" t="n"/>
      <c r="O1846" s="11" t="n"/>
      <c r="P1846" s="12" t="n"/>
      <c r="Q1846" s="11" t="n"/>
      <c r="R1846" s="12" t="n"/>
      <c r="S1846" s="11" t="n"/>
      <c r="T1846" s="12" t="n"/>
      <c r="U1846" s="12" t="n"/>
      <c r="V1846" s="12" t="n"/>
      <c r="W1846" s="13" t="n"/>
      <c r="X1846" s="14">
        <f>IF($AP1846="",IF($B1846="","",$H1846),IF(INDEX(職員マスタ!$B$6:$B$405,$AP1846)="",$H1846,INDEX(職員マスタ!$B$6:$B$405,$AP1846)))</f>
        <v/>
      </c>
      <c r="Y1846" s="14">
        <f>IF($AP1846="",IF($B1846="","",$R1846),IF(INDEX(職員マスタ!$C$6:$C$405,$AP1846)="",$R1846,INDEX(職員マスタ!$C$6:$C$405,$AP1846)))</f>
        <v/>
      </c>
      <c r="Z1846" s="14">
        <f>IF($AQ1846="","","R"&amp;$C1846&amp;"."&amp;$D1846)</f>
        <v/>
      </c>
      <c r="AA1846" s="15">
        <f>IF(IF($AP1846="",FALSE,INDEX(職員マスタ!$K$6:$K$405,$AP1846)&lt;&gt;""),INDEX(職員マスタ!$K$6:$K$405,$AP1846),IF(N($W1846)&gt;0,$W1846,""))</f>
        <v/>
      </c>
      <c r="AB1846" s="14">
        <f>IF(OR($E1846="",$AA1846=""),"",IF($E1846&gt;=$AA1846,"×",IF($E1846&gt;=$AA1846*設定!$C$5,"△","○")))</f>
        <v/>
      </c>
      <c r="AC1846" s="15">
        <f>IF($AB1846="","",IF($AB1846="×",0,IF($AB1846="○",ROUNDDOWN($E1846*設定!$C$4,0),ROUNDDOWN($E1846*ROUND((9*$AA1846-9*$E1846)/(10*$E1846),4),0))))</f>
        <v/>
      </c>
      <c r="AD1846" s="13" t="n"/>
      <c r="AE1846" s="15">
        <f>IF($B1846="","",IF($AD1846&lt;&gt;"",$AD1846,IF($AC1846="","",IF($AC1846&lt;=設定!$C$3,0,$AC1846))))</f>
        <v/>
      </c>
      <c r="AF1846" s="14">
        <f>IF($B1846="","",IF(AND($AG1846&lt;&gt;"",$AI1846="",$AL1846=""),"保留中",IF($AL1846&lt;&gt;"",IF(N($AE1846)&gt;0,"支給済","不支給"),IF($AE1846="","要確認",IF($AE1846=0,"不支給","未処理")))))</f>
        <v/>
      </c>
      <c r="AG1846" s="12" t="n"/>
      <c r="AH1846" s="11" t="n"/>
      <c r="AI1846" s="11" t="n"/>
      <c r="AJ1846" s="11" t="n"/>
      <c r="AK1846" s="14">
        <f>IF(AND($AF1846="保留中",$AH1846&lt;&gt;""),TODAY()-$AH1846,"")</f>
        <v/>
      </c>
      <c r="AL1846" s="12" t="n"/>
      <c r="AM1846" s="14">
        <f>IF($B1846="","",IF($AQ1846="","対象年月が未入力／","")&amp;IF($B1846="","",IF($AP1846="","職員マスタに未登録の職員番号／",IF($AA1846="","標準報酬月額が未登録／","")&amp;IF(AND($AQ1846&lt;&gt;"",OR(AND(INDEX(職員マスタ!$G$6:$G$405,$AP1846)&lt;&gt;"",INDEX(職員マスタ!$G$6:$G$405,$AP1846)&gt;EOMONTH($AQ1846,0)),AND(INDEX(職員マスタ!$H$6:$H$405,$AP1846)&lt;&gt;"",INDEX(職員マスタ!$H$6:$H$405,$AP1846)&lt;$AQ1846))),"対象月が時短期間外／","")&amp;IF(AND(INDEX(職員マスタ!$K$6:$K$405,$AP1846)&lt;&gt;"",N($W1846)&gt;0,INDEX(職員マスタ!$K$6:$K$405,$AP1846)&lt;&gt;$W1846),"標準報酬月額が申請書と相違（台帳"&amp;TEXT(INDEX(職員マスタ!$K$6:$K$405,$AP1846),"#,##0")&amp;"円／申請書"&amp;TEXT($W1846,"#,##0")&amp;"円）／","")&amp;IF(AND(INDEX(職員マスタ!$F$6:$F$405,$AP1846)&lt;&gt;"",$AQ1846&lt;&gt;"",INDEX(職員マスタ!$F$6:$F$405,$AP1846)&lt;$AQ1846),"対象月に子が2歳到達済／","")&amp;IF(AND($H1846&lt;&gt;"",INDEX(職員マスタ!$B$6:$B$405,$AP1846)&lt;&gt;"",SUBSTITUTE(SUBSTITUTE($H1846," ","")," ","")&lt;&gt;SUBSTITUTE(SUBSTITUTE(INDEX(職員マスタ!$B$6:$B$405,$AP1846)," ","")," ","")),"氏名がマスタと相違／","")&amp;IF(AND($Q1846&lt;&gt;"",INDEX(職員マスタ!$E$6:$E$405,$AP1846)&lt;&gt;"",$Q1846&lt;&gt;INDEX(職員マスタ!$E$6:$E$405,$AP1846)),"子の生年月日がマスタと相違／","")&amp;IF(AND($L1846&lt;&gt;"",INDEX(職員マスタ!$G$6:$G$405,$AP1846)&lt;&gt;"",$L1846&lt;&gt;INDEX(職員マスタ!$G$6:$G$405,$AP1846)),"時短開始日がマスタと相違／","")&amp;IF(AND($M1846&lt;&gt;"",INDEX(職員マスタ!$H$6:$H$405,$AP1846)&lt;&gt;"",$M1846&lt;&gt;INDEX(職員マスタ!$H$6:$H$405,$AP1846)),"時短終了日がマスタと相違／","")))&amp;IF(AND($B1846&lt;&gt;"",$E1846=""),"報酬額が未入力／","")&amp;IF(N($U1846)&gt;0,"申請書に入力エラーが残っています／","")&amp;IF(AND($B1846&lt;&gt;"",$AQ1846&lt;&gt;""),IF(COUNTIFS($B$6:$B$3005,$B1846,$C$6:$C$3005,$C1846,$D$6:$D$3005,$D1846)&gt;1,"同じ月の請求が重複しています／",""),"")&amp;IF(AND(N($E1846)&gt;0,$AB1846&lt;&gt;"",$AB1846&lt;&gt;"×",$AE1846=0,$AD1846=""),"計算額が下限以下のため不支給／",""))</f>
        <v/>
      </c>
      <c r="AN1846" s="12" t="n"/>
      <c r="AO1846" s="14">
        <f>IF($AF1846="保留中",COUNTIF($AF$6:$AF1846,"保留中"),"")</f>
        <v/>
      </c>
      <c r="AP1846" s="14">
        <f>IF($AQ1846="","",IF(SUMPRODUCT(MAX((職員マスタ!$A$6:$A$405=$B1846)*(((職員マスタ!$G$6:$G$405="")+(職員マスタ!$G$6:$G$405&lt;=EOMONTH($AQ1846,0)))&gt;0)*(((職員マスタ!$H$6:$H$405="")+(職員マスタ!$H$6:$H$405&gt;=$AQ1846))&gt;0)*(ROW(職員マスタ!$A$6:$A$405)-5)))&gt;0,SUMPRODUCT(MAX((職員マスタ!$A$6:$A$405=$B1846)*(((職員マスタ!$G$6:$G$405="")+(職員マスタ!$G$6:$G$405&lt;=EOMONTH($AQ1846,0)))&gt;0)*(((職員マスタ!$H$6:$H$405="")+(職員マスタ!$H$6:$H$405&gt;=$AQ1846))&gt;0)*(ROW(職員マスタ!$A$6:$A$405)-5))),IFERROR(MATCH($B1846,職員マスタ!$A$6:$A$405,0),"")))</f>
        <v/>
      </c>
      <c r="AQ1846" s="16">
        <f>IF(OR($B1846="",$C1846="",$D1846=""),"",DATE($C1846+2018,$D1846,1))</f>
        <v/>
      </c>
    </row>
    <row r="1847">
      <c r="A1847" s="11" t="n"/>
      <c r="B1847" s="12" t="n"/>
      <c r="C1847" s="12" t="n"/>
      <c r="D1847" s="12" t="n"/>
      <c r="E1847" s="13" t="n"/>
      <c r="F1847" s="12" t="n"/>
      <c r="G1847" s="13" t="n"/>
      <c r="H1847" s="12" t="n"/>
      <c r="I1847" s="12" t="n"/>
      <c r="J1847" s="12" t="n"/>
      <c r="K1847" s="12" t="n"/>
      <c r="L1847" s="11" t="n"/>
      <c r="M1847" s="11" t="n"/>
      <c r="N1847" s="11" t="n"/>
      <c r="O1847" s="11" t="n"/>
      <c r="P1847" s="12" t="n"/>
      <c r="Q1847" s="11" t="n"/>
      <c r="R1847" s="12" t="n"/>
      <c r="S1847" s="11" t="n"/>
      <c r="T1847" s="12" t="n"/>
      <c r="U1847" s="12" t="n"/>
      <c r="V1847" s="12" t="n"/>
      <c r="W1847" s="13" t="n"/>
      <c r="X1847" s="14">
        <f>IF($AP1847="",IF($B1847="","",$H1847),IF(INDEX(職員マスタ!$B$6:$B$405,$AP1847)="",$H1847,INDEX(職員マスタ!$B$6:$B$405,$AP1847)))</f>
        <v/>
      </c>
      <c r="Y1847" s="14">
        <f>IF($AP1847="",IF($B1847="","",$R1847),IF(INDEX(職員マスタ!$C$6:$C$405,$AP1847)="",$R1847,INDEX(職員マスタ!$C$6:$C$405,$AP1847)))</f>
        <v/>
      </c>
      <c r="Z1847" s="14">
        <f>IF($AQ1847="","","R"&amp;$C1847&amp;"."&amp;$D1847)</f>
        <v/>
      </c>
      <c r="AA1847" s="15">
        <f>IF(IF($AP1847="",FALSE,INDEX(職員マスタ!$K$6:$K$405,$AP1847)&lt;&gt;""),INDEX(職員マスタ!$K$6:$K$405,$AP1847),IF(N($W1847)&gt;0,$W1847,""))</f>
        <v/>
      </c>
      <c r="AB1847" s="14">
        <f>IF(OR($E1847="",$AA1847=""),"",IF($E1847&gt;=$AA1847,"×",IF($E1847&gt;=$AA1847*設定!$C$5,"△","○")))</f>
        <v/>
      </c>
      <c r="AC1847" s="15">
        <f>IF($AB1847="","",IF($AB1847="×",0,IF($AB1847="○",ROUNDDOWN($E1847*設定!$C$4,0),ROUNDDOWN($E1847*ROUND((9*$AA1847-9*$E1847)/(10*$E1847),4),0))))</f>
        <v/>
      </c>
      <c r="AD1847" s="13" t="n"/>
      <c r="AE1847" s="15">
        <f>IF($B1847="","",IF($AD1847&lt;&gt;"",$AD1847,IF($AC1847="","",IF($AC1847&lt;=設定!$C$3,0,$AC1847))))</f>
        <v/>
      </c>
      <c r="AF1847" s="14">
        <f>IF($B1847="","",IF(AND($AG1847&lt;&gt;"",$AI1847="",$AL1847=""),"保留中",IF($AL1847&lt;&gt;"",IF(N($AE1847)&gt;0,"支給済","不支給"),IF($AE1847="","要確認",IF($AE1847=0,"不支給","未処理")))))</f>
        <v/>
      </c>
      <c r="AG1847" s="12" t="n"/>
      <c r="AH1847" s="11" t="n"/>
      <c r="AI1847" s="11" t="n"/>
      <c r="AJ1847" s="11" t="n"/>
      <c r="AK1847" s="14">
        <f>IF(AND($AF1847="保留中",$AH1847&lt;&gt;""),TODAY()-$AH1847,"")</f>
        <v/>
      </c>
      <c r="AL1847" s="12" t="n"/>
      <c r="AM1847" s="14">
        <f>IF($B1847="","",IF($AQ1847="","対象年月が未入力／","")&amp;IF($B1847="","",IF($AP1847="","職員マスタに未登録の職員番号／",IF($AA1847="","標準報酬月額が未登録／","")&amp;IF(AND($AQ1847&lt;&gt;"",OR(AND(INDEX(職員マスタ!$G$6:$G$405,$AP1847)&lt;&gt;"",INDEX(職員マスタ!$G$6:$G$405,$AP1847)&gt;EOMONTH($AQ1847,0)),AND(INDEX(職員マスタ!$H$6:$H$405,$AP1847)&lt;&gt;"",INDEX(職員マスタ!$H$6:$H$405,$AP1847)&lt;$AQ1847))),"対象月が時短期間外／","")&amp;IF(AND(INDEX(職員マスタ!$K$6:$K$405,$AP1847)&lt;&gt;"",N($W1847)&gt;0,INDEX(職員マスタ!$K$6:$K$405,$AP1847)&lt;&gt;$W1847),"標準報酬月額が申請書と相違（台帳"&amp;TEXT(INDEX(職員マスタ!$K$6:$K$405,$AP1847),"#,##0")&amp;"円／申請書"&amp;TEXT($W1847,"#,##0")&amp;"円）／","")&amp;IF(AND(INDEX(職員マスタ!$F$6:$F$405,$AP1847)&lt;&gt;"",$AQ1847&lt;&gt;"",INDEX(職員マスタ!$F$6:$F$405,$AP1847)&lt;$AQ1847),"対象月に子が2歳到達済／","")&amp;IF(AND($H1847&lt;&gt;"",INDEX(職員マスタ!$B$6:$B$405,$AP1847)&lt;&gt;"",SUBSTITUTE(SUBSTITUTE($H1847," ","")," ","")&lt;&gt;SUBSTITUTE(SUBSTITUTE(INDEX(職員マスタ!$B$6:$B$405,$AP1847)," ","")," ","")),"氏名がマスタと相違／","")&amp;IF(AND($Q1847&lt;&gt;"",INDEX(職員マスタ!$E$6:$E$405,$AP1847)&lt;&gt;"",$Q1847&lt;&gt;INDEX(職員マスタ!$E$6:$E$405,$AP1847)),"子の生年月日がマスタと相違／","")&amp;IF(AND($L1847&lt;&gt;"",INDEX(職員マスタ!$G$6:$G$405,$AP1847)&lt;&gt;"",$L1847&lt;&gt;INDEX(職員マスタ!$G$6:$G$405,$AP1847)),"時短開始日がマスタと相違／","")&amp;IF(AND($M1847&lt;&gt;"",INDEX(職員マスタ!$H$6:$H$405,$AP1847)&lt;&gt;"",$M1847&lt;&gt;INDEX(職員マスタ!$H$6:$H$405,$AP1847)),"時短終了日がマスタと相違／","")))&amp;IF(AND($B1847&lt;&gt;"",$E1847=""),"報酬額が未入力／","")&amp;IF(N($U1847)&gt;0,"申請書に入力エラーが残っています／","")&amp;IF(AND($B1847&lt;&gt;"",$AQ1847&lt;&gt;""),IF(COUNTIFS($B$6:$B$3005,$B1847,$C$6:$C$3005,$C1847,$D$6:$D$3005,$D1847)&gt;1,"同じ月の請求が重複しています／",""),"")&amp;IF(AND(N($E1847)&gt;0,$AB1847&lt;&gt;"",$AB1847&lt;&gt;"×",$AE1847=0,$AD1847=""),"計算額が下限以下のため不支給／",""))</f>
        <v/>
      </c>
      <c r="AN1847" s="12" t="n"/>
      <c r="AO1847" s="14">
        <f>IF($AF1847="保留中",COUNTIF($AF$6:$AF1847,"保留中"),"")</f>
        <v/>
      </c>
      <c r="AP1847" s="14">
        <f>IF($AQ1847="","",IF(SUMPRODUCT(MAX((職員マスタ!$A$6:$A$405=$B1847)*(((職員マスタ!$G$6:$G$405="")+(職員マスタ!$G$6:$G$405&lt;=EOMONTH($AQ1847,0)))&gt;0)*(((職員マスタ!$H$6:$H$405="")+(職員マスタ!$H$6:$H$405&gt;=$AQ1847))&gt;0)*(ROW(職員マスタ!$A$6:$A$405)-5)))&gt;0,SUMPRODUCT(MAX((職員マスタ!$A$6:$A$405=$B1847)*(((職員マスタ!$G$6:$G$405="")+(職員マスタ!$G$6:$G$405&lt;=EOMONTH($AQ1847,0)))&gt;0)*(((職員マスタ!$H$6:$H$405="")+(職員マスタ!$H$6:$H$405&gt;=$AQ1847))&gt;0)*(ROW(職員マスタ!$A$6:$A$405)-5))),IFERROR(MATCH($B1847,職員マスタ!$A$6:$A$405,0),"")))</f>
        <v/>
      </c>
      <c r="AQ1847" s="16">
        <f>IF(OR($B1847="",$C1847="",$D1847=""),"",DATE($C1847+2018,$D1847,1))</f>
        <v/>
      </c>
    </row>
    <row r="1848">
      <c r="A1848" s="11" t="n"/>
      <c r="B1848" s="12" t="n"/>
      <c r="C1848" s="12" t="n"/>
      <c r="D1848" s="12" t="n"/>
      <c r="E1848" s="13" t="n"/>
      <c r="F1848" s="12" t="n"/>
      <c r="G1848" s="13" t="n"/>
      <c r="H1848" s="12" t="n"/>
      <c r="I1848" s="12" t="n"/>
      <c r="J1848" s="12" t="n"/>
      <c r="K1848" s="12" t="n"/>
      <c r="L1848" s="11" t="n"/>
      <c r="M1848" s="11" t="n"/>
      <c r="N1848" s="11" t="n"/>
      <c r="O1848" s="11" t="n"/>
      <c r="P1848" s="12" t="n"/>
      <c r="Q1848" s="11" t="n"/>
      <c r="R1848" s="12" t="n"/>
      <c r="S1848" s="11" t="n"/>
      <c r="T1848" s="12" t="n"/>
      <c r="U1848" s="12" t="n"/>
      <c r="V1848" s="12" t="n"/>
      <c r="W1848" s="13" t="n"/>
      <c r="X1848" s="14">
        <f>IF($AP1848="",IF($B1848="","",$H1848),IF(INDEX(職員マスタ!$B$6:$B$405,$AP1848)="",$H1848,INDEX(職員マスタ!$B$6:$B$405,$AP1848)))</f>
        <v/>
      </c>
      <c r="Y1848" s="14">
        <f>IF($AP1848="",IF($B1848="","",$R1848),IF(INDEX(職員マスタ!$C$6:$C$405,$AP1848)="",$R1848,INDEX(職員マスタ!$C$6:$C$405,$AP1848)))</f>
        <v/>
      </c>
      <c r="Z1848" s="14">
        <f>IF($AQ1848="","","R"&amp;$C1848&amp;"."&amp;$D1848)</f>
        <v/>
      </c>
      <c r="AA1848" s="15">
        <f>IF(IF($AP1848="",FALSE,INDEX(職員マスタ!$K$6:$K$405,$AP1848)&lt;&gt;""),INDEX(職員マスタ!$K$6:$K$405,$AP1848),IF(N($W1848)&gt;0,$W1848,""))</f>
        <v/>
      </c>
      <c r="AB1848" s="14">
        <f>IF(OR($E1848="",$AA1848=""),"",IF($E1848&gt;=$AA1848,"×",IF($E1848&gt;=$AA1848*設定!$C$5,"△","○")))</f>
        <v/>
      </c>
      <c r="AC1848" s="15">
        <f>IF($AB1848="","",IF($AB1848="×",0,IF($AB1848="○",ROUNDDOWN($E1848*設定!$C$4,0),ROUNDDOWN($E1848*ROUND((9*$AA1848-9*$E1848)/(10*$E1848),4),0))))</f>
        <v/>
      </c>
      <c r="AD1848" s="13" t="n"/>
      <c r="AE1848" s="15">
        <f>IF($B1848="","",IF($AD1848&lt;&gt;"",$AD1848,IF($AC1848="","",IF($AC1848&lt;=設定!$C$3,0,$AC1848))))</f>
        <v/>
      </c>
      <c r="AF1848" s="14">
        <f>IF($B1848="","",IF(AND($AG1848&lt;&gt;"",$AI1848="",$AL1848=""),"保留中",IF($AL1848&lt;&gt;"",IF(N($AE1848)&gt;0,"支給済","不支給"),IF($AE1848="","要確認",IF($AE1848=0,"不支給","未処理")))))</f>
        <v/>
      </c>
      <c r="AG1848" s="12" t="n"/>
      <c r="AH1848" s="11" t="n"/>
      <c r="AI1848" s="11" t="n"/>
      <c r="AJ1848" s="11" t="n"/>
      <c r="AK1848" s="14">
        <f>IF(AND($AF1848="保留中",$AH1848&lt;&gt;""),TODAY()-$AH1848,"")</f>
        <v/>
      </c>
      <c r="AL1848" s="12" t="n"/>
      <c r="AM1848" s="14">
        <f>IF($B1848="","",IF($AQ1848="","対象年月が未入力／","")&amp;IF($B1848="","",IF($AP1848="","職員マスタに未登録の職員番号／",IF($AA1848="","標準報酬月額が未登録／","")&amp;IF(AND($AQ1848&lt;&gt;"",OR(AND(INDEX(職員マスタ!$G$6:$G$405,$AP1848)&lt;&gt;"",INDEX(職員マスタ!$G$6:$G$405,$AP1848)&gt;EOMONTH($AQ1848,0)),AND(INDEX(職員マスタ!$H$6:$H$405,$AP1848)&lt;&gt;"",INDEX(職員マスタ!$H$6:$H$405,$AP1848)&lt;$AQ1848))),"対象月が時短期間外／","")&amp;IF(AND(INDEX(職員マスタ!$K$6:$K$405,$AP1848)&lt;&gt;"",N($W1848)&gt;0,INDEX(職員マスタ!$K$6:$K$405,$AP1848)&lt;&gt;$W1848),"標準報酬月額が申請書と相違（台帳"&amp;TEXT(INDEX(職員マスタ!$K$6:$K$405,$AP1848),"#,##0")&amp;"円／申請書"&amp;TEXT($W1848,"#,##0")&amp;"円）／","")&amp;IF(AND(INDEX(職員マスタ!$F$6:$F$405,$AP1848)&lt;&gt;"",$AQ1848&lt;&gt;"",INDEX(職員マスタ!$F$6:$F$405,$AP1848)&lt;$AQ1848),"対象月に子が2歳到達済／","")&amp;IF(AND($H1848&lt;&gt;"",INDEX(職員マスタ!$B$6:$B$405,$AP1848)&lt;&gt;"",SUBSTITUTE(SUBSTITUTE($H1848," ","")," ","")&lt;&gt;SUBSTITUTE(SUBSTITUTE(INDEX(職員マスタ!$B$6:$B$405,$AP1848)," ","")," ","")),"氏名がマスタと相違／","")&amp;IF(AND($Q1848&lt;&gt;"",INDEX(職員マスタ!$E$6:$E$405,$AP1848)&lt;&gt;"",$Q1848&lt;&gt;INDEX(職員マスタ!$E$6:$E$405,$AP1848)),"子の生年月日がマスタと相違／","")&amp;IF(AND($L1848&lt;&gt;"",INDEX(職員マスタ!$G$6:$G$405,$AP1848)&lt;&gt;"",$L1848&lt;&gt;INDEX(職員マスタ!$G$6:$G$405,$AP1848)),"時短開始日がマスタと相違／","")&amp;IF(AND($M1848&lt;&gt;"",INDEX(職員マスタ!$H$6:$H$405,$AP1848)&lt;&gt;"",$M1848&lt;&gt;INDEX(職員マスタ!$H$6:$H$405,$AP1848)),"時短終了日がマスタと相違／","")))&amp;IF(AND($B1848&lt;&gt;"",$E1848=""),"報酬額が未入力／","")&amp;IF(N($U1848)&gt;0,"申請書に入力エラーが残っています／","")&amp;IF(AND($B1848&lt;&gt;"",$AQ1848&lt;&gt;""),IF(COUNTIFS($B$6:$B$3005,$B1848,$C$6:$C$3005,$C1848,$D$6:$D$3005,$D1848)&gt;1,"同じ月の請求が重複しています／",""),"")&amp;IF(AND(N($E1848)&gt;0,$AB1848&lt;&gt;"",$AB1848&lt;&gt;"×",$AE1848=0,$AD1848=""),"計算額が下限以下のため不支給／",""))</f>
        <v/>
      </c>
      <c r="AN1848" s="12" t="n"/>
      <c r="AO1848" s="14">
        <f>IF($AF1848="保留中",COUNTIF($AF$6:$AF1848,"保留中"),"")</f>
        <v/>
      </c>
      <c r="AP1848" s="14">
        <f>IF($AQ1848="","",IF(SUMPRODUCT(MAX((職員マスタ!$A$6:$A$405=$B1848)*(((職員マスタ!$G$6:$G$405="")+(職員マスタ!$G$6:$G$405&lt;=EOMONTH($AQ1848,0)))&gt;0)*(((職員マスタ!$H$6:$H$405="")+(職員マスタ!$H$6:$H$405&gt;=$AQ1848))&gt;0)*(ROW(職員マスタ!$A$6:$A$405)-5)))&gt;0,SUMPRODUCT(MAX((職員マスタ!$A$6:$A$405=$B1848)*(((職員マスタ!$G$6:$G$405="")+(職員マスタ!$G$6:$G$405&lt;=EOMONTH($AQ1848,0)))&gt;0)*(((職員マスタ!$H$6:$H$405="")+(職員マスタ!$H$6:$H$405&gt;=$AQ1848))&gt;0)*(ROW(職員マスタ!$A$6:$A$405)-5))),IFERROR(MATCH($B1848,職員マスタ!$A$6:$A$405,0),"")))</f>
        <v/>
      </c>
      <c r="AQ1848" s="16">
        <f>IF(OR($B1848="",$C1848="",$D1848=""),"",DATE($C1848+2018,$D1848,1))</f>
        <v/>
      </c>
    </row>
    <row r="1849">
      <c r="A1849" s="11" t="n"/>
      <c r="B1849" s="12" t="n"/>
      <c r="C1849" s="12" t="n"/>
      <c r="D1849" s="12" t="n"/>
      <c r="E1849" s="13" t="n"/>
      <c r="F1849" s="12" t="n"/>
      <c r="G1849" s="13" t="n"/>
      <c r="H1849" s="12" t="n"/>
      <c r="I1849" s="12" t="n"/>
      <c r="J1849" s="12" t="n"/>
      <c r="K1849" s="12" t="n"/>
      <c r="L1849" s="11" t="n"/>
      <c r="M1849" s="11" t="n"/>
      <c r="N1849" s="11" t="n"/>
      <c r="O1849" s="11" t="n"/>
      <c r="P1849" s="12" t="n"/>
      <c r="Q1849" s="11" t="n"/>
      <c r="R1849" s="12" t="n"/>
      <c r="S1849" s="11" t="n"/>
      <c r="T1849" s="12" t="n"/>
      <c r="U1849" s="12" t="n"/>
      <c r="V1849" s="12" t="n"/>
      <c r="W1849" s="13" t="n"/>
      <c r="X1849" s="14">
        <f>IF($AP1849="",IF($B1849="","",$H1849),IF(INDEX(職員マスタ!$B$6:$B$405,$AP1849)="",$H1849,INDEX(職員マスタ!$B$6:$B$405,$AP1849)))</f>
        <v/>
      </c>
      <c r="Y1849" s="14">
        <f>IF($AP1849="",IF($B1849="","",$R1849),IF(INDEX(職員マスタ!$C$6:$C$405,$AP1849)="",$R1849,INDEX(職員マスタ!$C$6:$C$405,$AP1849)))</f>
        <v/>
      </c>
      <c r="Z1849" s="14">
        <f>IF($AQ1849="","","R"&amp;$C1849&amp;"."&amp;$D1849)</f>
        <v/>
      </c>
      <c r="AA1849" s="15">
        <f>IF(IF($AP1849="",FALSE,INDEX(職員マスタ!$K$6:$K$405,$AP1849)&lt;&gt;""),INDEX(職員マスタ!$K$6:$K$405,$AP1849),IF(N($W1849)&gt;0,$W1849,""))</f>
        <v/>
      </c>
      <c r="AB1849" s="14">
        <f>IF(OR($E1849="",$AA1849=""),"",IF($E1849&gt;=$AA1849,"×",IF($E1849&gt;=$AA1849*設定!$C$5,"△","○")))</f>
        <v/>
      </c>
      <c r="AC1849" s="15">
        <f>IF($AB1849="","",IF($AB1849="×",0,IF($AB1849="○",ROUNDDOWN($E1849*設定!$C$4,0),ROUNDDOWN($E1849*ROUND((9*$AA1849-9*$E1849)/(10*$E1849),4),0))))</f>
        <v/>
      </c>
      <c r="AD1849" s="13" t="n"/>
      <c r="AE1849" s="15">
        <f>IF($B1849="","",IF($AD1849&lt;&gt;"",$AD1849,IF($AC1849="","",IF($AC1849&lt;=設定!$C$3,0,$AC1849))))</f>
        <v/>
      </c>
      <c r="AF1849" s="14">
        <f>IF($B1849="","",IF(AND($AG1849&lt;&gt;"",$AI1849="",$AL1849=""),"保留中",IF($AL1849&lt;&gt;"",IF(N($AE1849)&gt;0,"支給済","不支給"),IF($AE1849="","要確認",IF($AE1849=0,"不支給","未処理")))))</f>
        <v/>
      </c>
      <c r="AG1849" s="12" t="n"/>
      <c r="AH1849" s="11" t="n"/>
      <c r="AI1849" s="11" t="n"/>
      <c r="AJ1849" s="11" t="n"/>
      <c r="AK1849" s="14">
        <f>IF(AND($AF1849="保留中",$AH1849&lt;&gt;""),TODAY()-$AH1849,"")</f>
        <v/>
      </c>
      <c r="AL1849" s="12" t="n"/>
      <c r="AM1849" s="14">
        <f>IF($B1849="","",IF($AQ1849="","対象年月が未入力／","")&amp;IF($B1849="","",IF($AP1849="","職員マスタに未登録の職員番号／",IF($AA1849="","標準報酬月額が未登録／","")&amp;IF(AND($AQ1849&lt;&gt;"",OR(AND(INDEX(職員マスタ!$G$6:$G$405,$AP1849)&lt;&gt;"",INDEX(職員マスタ!$G$6:$G$405,$AP1849)&gt;EOMONTH($AQ1849,0)),AND(INDEX(職員マスタ!$H$6:$H$405,$AP1849)&lt;&gt;"",INDEX(職員マスタ!$H$6:$H$405,$AP1849)&lt;$AQ1849))),"対象月が時短期間外／","")&amp;IF(AND(INDEX(職員マスタ!$K$6:$K$405,$AP1849)&lt;&gt;"",N($W1849)&gt;0,INDEX(職員マスタ!$K$6:$K$405,$AP1849)&lt;&gt;$W1849),"標準報酬月額が申請書と相違（台帳"&amp;TEXT(INDEX(職員マスタ!$K$6:$K$405,$AP1849),"#,##0")&amp;"円／申請書"&amp;TEXT($W1849,"#,##0")&amp;"円）／","")&amp;IF(AND(INDEX(職員マスタ!$F$6:$F$405,$AP1849)&lt;&gt;"",$AQ1849&lt;&gt;"",INDEX(職員マスタ!$F$6:$F$405,$AP1849)&lt;$AQ1849),"対象月に子が2歳到達済／","")&amp;IF(AND($H1849&lt;&gt;"",INDEX(職員マスタ!$B$6:$B$405,$AP1849)&lt;&gt;"",SUBSTITUTE(SUBSTITUTE($H1849," ","")," ","")&lt;&gt;SUBSTITUTE(SUBSTITUTE(INDEX(職員マスタ!$B$6:$B$405,$AP1849)," ","")," ","")),"氏名がマスタと相違／","")&amp;IF(AND($Q1849&lt;&gt;"",INDEX(職員マスタ!$E$6:$E$405,$AP1849)&lt;&gt;"",$Q1849&lt;&gt;INDEX(職員マスタ!$E$6:$E$405,$AP1849)),"子の生年月日がマスタと相違／","")&amp;IF(AND($L1849&lt;&gt;"",INDEX(職員マスタ!$G$6:$G$405,$AP1849)&lt;&gt;"",$L1849&lt;&gt;INDEX(職員マスタ!$G$6:$G$405,$AP1849)),"時短開始日がマスタと相違／","")&amp;IF(AND($M1849&lt;&gt;"",INDEX(職員マスタ!$H$6:$H$405,$AP1849)&lt;&gt;"",$M1849&lt;&gt;INDEX(職員マスタ!$H$6:$H$405,$AP1849)),"時短終了日がマスタと相違／","")))&amp;IF(AND($B1849&lt;&gt;"",$E1849=""),"報酬額が未入力／","")&amp;IF(N($U1849)&gt;0,"申請書に入力エラーが残っています／","")&amp;IF(AND($B1849&lt;&gt;"",$AQ1849&lt;&gt;""),IF(COUNTIFS($B$6:$B$3005,$B1849,$C$6:$C$3005,$C1849,$D$6:$D$3005,$D1849)&gt;1,"同じ月の請求が重複しています／",""),"")&amp;IF(AND(N($E1849)&gt;0,$AB1849&lt;&gt;"",$AB1849&lt;&gt;"×",$AE1849=0,$AD1849=""),"計算額が下限以下のため不支給／",""))</f>
        <v/>
      </c>
      <c r="AN1849" s="12" t="n"/>
      <c r="AO1849" s="14">
        <f>IF($AF1849="保留中",COUNTIF($AF$6:$AF1849,"保留中"),"")</f>
        <v/>
      </c>
      <c r="AP1849" s="14">
        <f>IF($AQ1849="","",IF(SUMPRODUCT(MAX((職員マスタ!$A$6:$A$405=$B1849)*(((職員マスタ!$G$6:$G$405="")+(職員マスタ!$G$6:$G$405&lt;=EOMONTH($AQ1849,0)))&gt;0)*(((職員マスタ!$H$6:$H$405="")+(職員マスタ!$H$6:$H$405&gt;=$AQ1849))&gt;0)*(ROW(職員マスタ!$A$6:$A$405)-5)))&gt;0,SUMPRODUCT(MAX((職員マスタ!$A$6:$A$405=$B1849)*(((職員マスタ!$G$6:$G$405="")+(職員マスタ!$G$6:$G$405&lt;=EOMONTH($AQ1849,0)))&gt;0)*(((職員マスタ!$H$6:$H$405="")+(職員マスタ!$H$6:$H$405&gt;=$AQ1849))&gt;0)*(ROW(職員マスタ!$A$6:$A$405)-5))),IFERROR(MATCH($B1849,職員マスタ!$A$6:$A$405,0),"")))</f>
        <v/>
      </c>
      <c r="AQ1849" s="16">
        <f>IF(OR($B1849="",$C1849="",$D1849=""),"",DATE($C1849+2018,$D1849,1))</f>
        <v/>
      </c>
    </row>
    <row r="1850">
      <c r="A1850" s="11" t="n"/>
      <c r="B1850" s="12" t="n"/>
      <c r="C1850" s="12" t="n"/>
      <c r="D1850" s="12" t="n"/>
      <c r="E1850" s="13" t="n"/>
      <c r="F1850" s="12" t="n"/>
      <c r="G1850" s="13" t="n"/>
      <c r="H1850" s="12" t="n"/>
      <c r="I1850" s="12" t="n"/>
      <c r="J1850" s="12" t="n"/>
      <c r="K1850" s="12" t="n"/>
      <c r="L1850" s="11" t="n"/>
      <c r="M1850" s="11" t="n"/>
      <c r="N1850" s="11" t="n"/>
      <c r="O1850" s="11" t="n"/>
      <c r="P1850" s="12" t="n"/>
      <c r="Q1850" s="11" t="n"/>
      <c r="R1850" s="12" t="n"/>
      <c r="S1850" s="11" t="n"/>
      <c r="T1850" s="12" t="n"/>
      <c r="U1850" s="12" t="n"/>
      <c r="V1850" s="12" t="n"/>
      <c r="W1850" s="13" t="n"/>
      <c r="X1850" s="14">
        <f>IF($AP1850="",IF($B1850="","",$H1850),IF(INDEX(職員マスタ!$B$6:$B$405,$AP1850)="",$H1850,INDEX(職員マスタ!$B$6:$B$405,$AP1850)))</f>
        <v/>
      </c>
      <c r="Y1850" s="14">
        <f>IF($AP1850="",IF($B1850="","",$R1850),IF(INDEX(職員マスタ!$C$6:$C$405,$AP1850)="",$R1850,INDEX(職員マスタ!$C$6:$C$405,$AP1850)))</f>
        <v/>
      </c>
      <c r="Z1850" s="14">
        <f>IF($AQ1850="","","R"&amp;$C1850&amp;"."&amp;$D1850)</f>
        <v/>
      </c>
      <c r="AA1850" s="15">
        <f>IF(IF($AP1850="",FALSE,INDEX(職員マスタ!$K$6:$K$405,$AP1850)&lt;&gt;""),INDEX(職員マスタ!$K$6:$K$405,$AP1850),IF(N($W1850)&gt;0,$W1850,""))</f>
        <v/>
      </c>
      <c r="AB1850" s="14">
        <f>IF(OR($E1850="",$AA1850=""),"",IF($E1850&gt;=$AA1850,"×",IF($E1850&gt;=$AA1850*設定!$C$5,"△","○")))</f>
        <v/>
      </c>
      <c r="AC1850" s="15">
        <f>IF($AB1850="","",IF($AB1850="×",0,IF($AB1850="○",ROUNDDOWN($E1850*設定!$C$4,0),ROUNDDOWN($E1850*ROUND((9*$AA1850-9*$E1850)/(10*$E1850),4),0))))</f>
        <v/>
      </c>
      <c r="AD1850" s="13" t="n"/>
      <c r="AE1850" s="15">
        <f>IF($B1850="","",IF($AD1850&lt;&gt;"",$AD1850,IF($AC1850="","",IF($AC1850&lt;=設定!$C$3,0,$AC1850))))</f>
        <v/>
      </c>
      <c r="AF1850" s="14">
        <f>IF($B1850="","",IF(AND($AG1850&lt;&gt;"",$AI1850="",$AL1850=""),"保留中",IF($AL1850&lt;&gt;"",IF(N($AE1850)&gt;0,"支給済","不支給"),IF($AE1850="","要確認",IF($AE1850=0,"不支給","未処理")))))</f>
        <v/>
      </c>
      <c r="AG1850" s="12" t="n"/>
      <c r="AH1850" s="11" t="n"/>
      <c r="AI1850" s="11" t="n"/>
      <c r="AJ1850" s="11" t="n"/>
      <c r="AK1850" s="14">
        <f>IF(AND($AF1850="保留中",$AH1850&lt;&gt;""),TODAY()-$AH1850,"")</f>
        <v/>
      </c>
      <c r="AL1850" s="12" t="n"/>
      <c r="AM1850" s="14">
        <f>IF($B1850="","",IF($AQ1850="","対象年月が未入力／","")&amp;IF($B1850="","",IF($AP1850="","職員マスタに未登録の職員番号／",IF($AA1850="","標準報酬月額が未登録／","")&amp;IF(AND($AQ1850&lt;&gt;"",OR(AND(INDEX(職員マスタ!$G$6:$G$405,$AP1850)&lt;&gt;"",INDEX(職員マスタ!$G$6:$G$405,$AP1850)&gt;EOMONTH($AQ1850,0)),AND(INDEX(職員マスタ!$H$6:$H$405,$AP1850)&lt;&gt;"",INDEX(職員マスタ!$H$6:$H$405,$AP1850)&lt;$AQ1850))),"対象月が時短期間外／","")&amp;IF(AND(INDEX(職員マスタ!$K$6:$K$405,$AP1850)&lt;&gt;"",N($W1850)&gt;0,INDEX(職員マスタ!$K$6:$K$405,$AP1850)&lt;&gt;$W1850),"標準報酬月額が申請書と相違（台帳"&amp;TEXT(INDEX(職員マスタ!$K$6:$K$405,$AP1850),"#,##0")&amp;"円／申請書"&amp;TEXT($W1850,"#,##0")&amp;"円）／","")&amp;IF(AND(INDEX(職員マスタ!$F$6:$F$405,$AP1850)&lt;&gt;"",$AQ1850&lt;&gt;"",INDEX(職員マスタ!$F$6:$F$405,$AP1850)&lt;$AQ1850),"対象月に子が2歳到達済／","")&amp;IF(AND($H1850&lt;&gt;"",INDEX(職員マスタ!$B$6:$B$405,$AP1850)&lt;&gt;"",SUBSTITUTE(SUBSTITUTE($H1850," ","")," ","")&lt;&gt;SUBSTITUTE(SUBSTITUTE(INDEX(職員マスタ!$B$6:$B$405,$AP1850)," ","")," ","")),"氏名がマスタと相違／","")&amp;IF(AND($Q1850&lt;&gt;"",INDEX(職員マスタ!$E$6:$E$405,$AP1850)&lt;&gt;"",$Q1850&lt;&gt;INDEX(職員マスタ!$E$6:$E$405,$AP1850)),"子の生年月日がマスタと相違／","")&amp;IF(AND($L1850&lt;&gt;"",INDEX(職員マスタ!$G$6:$G$405,$AP1850)&lt;&gt;"",$L1850&lt;&gt;INDEX(職員マスタ!$G$6:$G$405,$AP1850)),"時短開始日がマスタと相違／","")&amp;IF(AND($M1850&lt;&gt;"",INDEX(職員マスタ!$H$6:$H$405,$AP1850)&lt;&gt;"",$M1850&lt;&gt;INDEX(職員マスタ!$H$6:$H$405,$AP1850)),"時短終了日がマスタと相違／","")))&amp;IF(AND($B1850&lt;&gt;"",$E1850=""),"報酬額が未入力／","")&amp;IF(N($U1850)&gt;0,"申請書に入力エラーが残っています／","")&amp;IF(AND($B1850&lt;&gt;"",$AQ1850&lt;&gt;""),IF(COUNTIFS($B$6:$B$3005,$B1850,$C$6:$C$3005,$C1850,$D$6:$D$3005,$D1850)&gt;1,"同じ月の請求が重複しています／",""),"")&amp;IF(AND(N($E1850)&gt;0,$AB1850&lt;&gt;"",$AB1850&lt;&gt;"×",$AE1850=0,$AD1850=""),"計算額が下限以下のため不支給／",""))</f>
        <v/>
      </c>
      <c r="AN1850" s="12" t="n"/>
      <c r="AO1850" s="14">
        <f>IF($AF1850="保留中",COUNTIF($AF$6:$AF1850,"保留中"),"")</f>
        <v/>
      </c>
      <c r="AP1850" s="14">
        <f>IF($AQ1850="","",IF(SUMPRODUCT(MAX((職員マスタ!$A$6:$A$405=$B1850)*(((職員マスタ!$G$6:$G$405="")+(職員マスタ!$G$6:$G$405&lt;=EOMONTH($AQ1850,0)))&gt;0)*(((職員マスタ!$H$6:$H$405="")+(職員マスタ!$H$6:$H$405&gt;=$AQ1850))&gt;0)*(ROW(職員マスタ!$A$6:$A$405)-5)))&gt;0,SUMPRODUCT(MAX((職員マスタ!$A$6:$A$405=$B1850)*(((職員マスタ!$G$6:$G$405="")+(職員マスタ!$G$6:$G$405&lt;=EOMONTH($AQ1850,0)))&gt;0)*(((職員マスタ!$H$6:$H$405="")+(職員マスタ!$H$6:$H$405&gt;=$AQ1850))&gt;0)*(ROW(職員マスタ!$A$6:$A$405)-5))),IFERROR(MATCH($B1850,職員マスタ!$A$6:$A$405,0),"")))</f>
        <v/>
      </c>
      <c r="AQ1850" s="16">
        <f>IF(OR($B1850="",$C1850="",$D1850=""),"",DATE($C1850+2018,$D1850,1))</f>
        <v/>
      </c>
    </row>
    <row r="1851">
      <c r="A1851" s="11" t="n"/>
      <c r="B1851" s="12" t="n"/>
      <c r="C1851" s="12" t="n"/>
      <c r="D1851" s="12" t="n"/>
      <c r="E1851" s="13" t="n"/>
      <c r="F1851" s="12" t="n"/>
      <c r="G1851" s="13" t="n"/>
      <c r="H1851" s="12" t="n"/>
      <c r="I1851" s="12" t="n"/>
      <c r="J1851" s="12" t="n"/>
      <c r="K1851" s="12" t="n"/>
      <c r="L1851" s="11" t="n"/>
      <c r="M1851" s="11" t="n"/>
      <c r="N1851" s="11" t="n"/>
      <c r="O1851" s="11" t="n"/>
      <c r="P1851" s="12" t="n"/>
      <c r="Q1851" s="11" t="n"/>
      <c r="R1851" s="12" t="n"/>
      <c r="S1851" s="11" t="n"/>
      <c r="T1851" s="12" t="n"/>
      <c r="U1851" s="12" t="n"/>
      <c r="V1851" s="12" t="n"/>
      <c r="W1851" s="13" t="n"/>
      <c r="X1851" s="14">
        <f>IF($AP1851="",IF($B1851="","",$H1851),IF(INDEX(職員マスタ!$B$6:$B$405,$AP1851)="",$H1851,INDEX(職員マスタ!$B$6:$B$405,$AP1851)))</f>
        <v/>
      </c>
      <c r="Y1851" s="14">
        <f>IF($AP1851="",IF($B1851="","",$R1851),IF(INDEX(職員マスタ!$C$6:$C$405,$AP1851)="",$R1851,INDEX(職員マスタ!$C$6:$C$405,$AP1851)))</f>
        <v/>
      </c>
      <c r="Z1851" s="14">
        <f>IF($AQ1851="","","R"&amp;$C1851&amp;"."&amp;$D1851)</f>
        <v/>
      </c>
      <c r="AA1851" s="15">
        <f>IF(IF($AP1851="",FALSE,INDEX(職員マスタ!$K$6:$K$405,$AP1851)&lt;&gt;""),INDEX(職員マスタ!$K$6:$K$405,$AP1851),IF(N($W1851)&gt;0,$W1851,""))</f>
        <v/>
      </c>
      <c r="AB1851" s="14">
        <f>IF(OR($E1851="",$AA1851=""),"",IF($E1851&gt;=$AA1851,"×",IF($E1851&gt;=$AA1851*設定!$C$5,"△","○")))</f>
        <v/>
      </c>
      <c r="AC1851" s="15">
        <f>IF($AB1851="","",IF($AB1851="×",0,IF($AB1851="○",ROUNDDOWN($E1851*設定!$C$4,0),ROUNDDOWN($E1851*ROUND((9*$AA1851-9*$E1851)/(10*$E1851),4),0))))</f>
        <v/>
      </c>
      <c r="AD1851" s="13" t="n"/>
      <c r="AE1851" s="15">
        <f>IF($B1851="","",IF($AD1851&lt;&gt;"",$AD1851,IF($AC1851="","",IF($AC1851&lt;=設定!$C$3,0,$AC1851))))</f>
        <v/>
      </c>
      <c r="AF1851" s="14">
        <f>IF($B1851="","",IF(AND($AG1851&lt;&gt;"",$AI1851="",$AL1851=""),"保留中",IF($AL1851&lt;&gt;"",IF(N($AE1851)&gt;0,"支給済","不支給"),IF($AE1851="","要確認",IF($AE1851=0,"不支給","未処理")))))</f>
        <v/>
      </c>
      <c r="AG1851" s="12" t="n"/>
      <c r="AH1851" s="11" t="n"/>
      <c r="AI1851" s="11" t="n"/>
      <c r="AJ1851" s="11" t="n"/>
      <c r="AK1851" s="14">
        <f>IF(AND($AF1851="保留中",$AH1851&lt;&gt;""),TODAY()-$AH1851,"")</f>
        <v/>
      </c>
      <c r="AL1851" s="12" t="n"/>
      <c r="AM1851" s="14">
        <f>IF($B1851="","",IF($AQ1851="","対象年月が未入力／","")&amp;IF($B1851="","",IF($AP1851="","職員マスタに未登録の職員番号／",IF($AA1851="","標準報酬月額が未登録／","")&amp;IF(AND($AQ1851&lt;&gt;"",OR(AND(INDEX(職員マスタ!$G$6:$G$405,$AP1851)&lt;&gt;"",INDEX(職員マスタ!$G$6:$G$405,$AP1851)&gt;EOMONTH($AQ1851,0)),AND(INDEX(職員マスタ!$H$6:$H$405,$AP1851)&lt;&gt;"",INDEX(職員マスタ!$H$6:$H$405,$AP1851)&lt;$AQ1851))),"対象月が時短期間外／","")&amp;IF(AND(INDEX(職員マスタ!$K$6:$K$405,$AP1851)&lt;&gt;"",N($W1851)&gt;0,INDEX(職員マスタ!$K$6:$K$405,$AP1851)&lt;&gt;$W1851),"標準報酬月額が申請書と相違（台帳"&amp;TEXT(INDEX(職員マスタ!$K$6:$K$405,$AP1851),"#,##0")&amp;"円／申請書"&amp;TEXT($W1851,"#,##0")&amp;"円）／","")&amp;IF(AND(INDEX(職員マスタ!$F$6:$F$405,$AP1851)&lt;&gt;"",$AQ1851&lt;&gt;"",INDEX(職員マスタ!$F$6:$F$405,$AP1851)&lt;$AQ1851),"対象月に子が2歳到達済／","")&amp;IF(AND($H1851&lt;&gt;"",INDEX(職員マスタ!$B$6:$B$405,$AP1851)&lt;&gt;"",SUBSTITUTE(SUBSTITUTE($H1851," ","")," ","")&lt;&gt;SUBSTITUTE(SUBSTITUTE(INDEX(職員マスタ!$B$6:$B$405,$AP1851)," ","")," ","")),"氏名がマスタと相違／","")&amp;IF(AND($Q1851&lt;&gt;"",INDEX(職員マスタ!$E$6:$E$405,$AP1851)&lt;&gt;"",$Q1851&lt;&gt;INDEX(職員マスタ!$E$6:$E$405,$AP1851)),"子の生年月日がマスタと相違／","")&amp;IF(AND($L1851&lt;&gt;"",INDEX(職員マスタ!$G$6:$G$405,$AP1851)&lt;&gt;"",$L1851&lt;&gt;INDEX(職員マスタ!$G$6:$G$405,$AP1851)),"時短開始日がマスタと相違／","")&amp;IF(AND($M1851&lt;&gt;"",INDEX(職員マスタ!$H$6:$H$405,$AP1851)&lt;&gt;"",$M1851&lt;&gt;INDEX(職員マスタ!$H$6:$H$405,$AP1851)),"時短終了日がマスタと相違／","")))&amp;IF(AND($B1851&lt;&gt;"",$E1851=""),"報酬額が未入力／","")&amp;IF(N($U1851)&gt;0,"申請書に入力エラーが残っています／","")&amp;IF(AND($B1851&lt;&gt;"",$AQ1851&lt;&gt;""),IF(COUNTIFS($B$6:$B$3005,$B1851,$C$6:$C$3005,$C1851,$D$6:$D$3005,$D1851)&gt;1,"同じ月の請求が重複しています／",""),"")&amp;IF(AND(N($E1851)&gt;0,$AB1851&lt;&gt;"",$AB1851&lt;&gt;"×",$AE1851=0,$AD1851=""),"計算額が下限以下のため不支給／",""))</f>
        <v/>
      </c>
      <c r="AN1851" s="12" t="n"/>
      <c r="AO1851" s="14">
        <f>IF($AF1851="保留中",COUNTIF($AF$6:$AF1851,"保留中"),"")</f>
        <v/>
      </c>
      <c r="AP1851" s="14">
        <f>IF($AQ1851="","",IF(SUMPRODUCT(MAX((職員マスタ!$A$6:$A$405=$B1851)*(((職員マスタ!$G$6:$G$405="")+(職員マスタ!$G$6:$G$405&lt;=EOMONTH($AQ1851,0)))&gt;0)*(((職員マスタ!$H$6:$H$405="")+(職員マスタ!$H$6:$H$405&gt;=$AQ1851))&gt;0)*(ROW(職員マスタ!$A$6:$A$405)-5)))&gt;0,SUMPRODUCT(MAX((職員マスタ!$A$6:$A$405=$B1851)*(((職員マスタ!$G$6:$G$405="")+(職員マスタ!$G$6:$G$405&lt;=EOMONTH($AQ1851,0)))&gt;0)*(((職員マスタ!$H$6:$H$405="")+(職員マスタ!$H$6:$H$405&gt;=$AQ1851))&gt;0)*(ROW(職員マスタ!$A$6:$A$405)-5))),IFERROR(MATCH($B1851,職員マスタ!$A$6:$A$405,0),"")))</f>
        <v/>
      </c>
      <c r="AQ1851" s="16">
        <f>IF(OR($B1851="",$C1851="",$D1851=""),"",DATE($C1851+2018,$D1851,1))</f>
        <v/>
      </c>
    </row>
    <row r="1852">
      <c r="A1852" s="11" t="n"/>
      <c r="B1852" s="12" t="n"/>
      <c r="C1852" s="12" t="n"/>
      <c r="D1852" s="12" t="n"/>
      <c r="E1852" s="13" t="n"/>
      <c r="F1852" s="12" t="n"/>
      <c r="G1852" s="13" t="n"/>
      <c r="H1852" s="12" t="n"/>
      <c r="I1852" s="12" t="n"/>
      <c r="J1852" s="12" t="n"/>
      <c r="K1852" s="12" t="n"/>
      <c r="L1852" s="11" t="n"/>
      <c r="M1852" s="11" t="n"/>
      <c r="N1852" s="11" t="n"/>
      <c r="O1852" s="11" t="n"/>
      <c r="P1852" s="12" t="n"/>
      <c r="Q1852" s="11" t="n"/>
      <c r="R1852" s="12" t="n"/>
      <c r="S1852" s="11" t="n"/>
      <c r="T1852" s="12" t="n"/>
      <c r="U1852" s="12" t="n"/>
      <c r="V1852" s="12" t="n"/>
      <c r="W1852" s="13" t="n"/>
      <c r="X1852" s="14">
        <f>IF($AP1852="",IF($B1852="","",$H1852),IF(INDEX(職員マスタ!$B$6:$B$405,$AP1852)="",$H1852,INDEX(職員マスタ!$B$6:$B$405,$AP1852)))</f>
        <v/>
      </c>
      <c r="Y1852" s="14">
        <f>IF($AP1852="",IF($B1852="","",$R1852),IF(INDEX(職員マスタ!$C$6:$C$405,$AP1852)="",$R1852,INDEX(職員マスタ!$C$6:$C$405,$AP1852)))</f>
        <v/>
      </c>
      <c r="Z1852" s="14">
        <f>IF($AQ1852="","","R"&amp;$C1852&amp;"."&amp;$D1852)</f>
        <v/>
      </c>
      <c r="AA1852" s="15">
        <f>IF(IF($AP1852="",FALSE,INDEX(職員マスタ!$K$6:$K$405,$AP1852)&lt;&gt;""),INDEX(職員マスタ!$K$6:$K$405,$AP1852),IF(N($W1852)&gt;0,$W1852,""))</f>
        <v/>
      </c>
      <c r="AB1852" s="14">
        <f>IF(OR($E1852="",$AA1852=""),"",IF($E1852&gt;=$AA1852,"×",IF($E1852&gt;=$AA1852*設定!$C$5,"△","○")))</f>
        <v/>
      </c>
      <c r="AC1852" s="15">
        <f>IF($AB1852="","",IF($AB1852="×",0,IF($AB1852="○",ROUNDDOWN($E1852*設定!$C$4,0),ROUNDDOWN($E1852*ROUND((9*$AA1852-9*$E1852)/(10*$E1852),4),0))))</f>
        <v/>
      </c>
      <c r="AD1852" s="13" t="n"/>
      <c r="AE1852" s="15">
        <f>IF($B1852="","",IF($AD1852&lt;&gt;"",$AD1852,IF($AC1852="","",IF($AC1852&lt;=設定!$C$3,0,$AC1852))))</f>
        <v/>
      </c>
      <c r="AF1852" s="14">
        <f>IF($B1852="","",IF(AND($AG1852&lt;&gt;"",$AI1852="",$AL1852=""),"保留中",IF($AL1852&lt;&gt;"",IF(N($AE1852)&gt;0,"支給済","不支給"),IF($AE1852="","要確認",IF($AE1852=0,"不支給","未処理")))))</f>
        <v/>
      </c>
      <c r="AG1852" s="12" t="n"/>
      <c r="AH1852" s="11" t="n"/>
      <c r="AI1852" s="11" t="n"/>
      <c r="AJ1852" s="11" t="n"/>
      <c r="AK1852" s="14">
        <f>IF(AND($AF1852="保留中",$AH1852&lt;&gt;""),TODAY()-$AH1852,"")</f>
        <v/>
      </c>
      <c r="AL1852" s="12" t="n"/>
      <c r="AM1852" s="14">
        <f>IF($B1852="","",IF($AQ1852="","対象年月が未入力／","")&amp;IF($B1852="","",IF($AP1852="","職員マスタに未登録の職員番号／",IF($AA1852="","標準報酬月額が未登録／","")&amp;IF(AND($AQ1852&lt;&gt;"",OR(AND(INDEX(職員マスタ!$G$6:$G$405,$AP1852)&lt;&gt;"",INDEX(職員マスタ!$G$6:$G$405,$AP1852)&gt;EOMONTH($AQ1852,0)),AND(INDEX(職員マスタ!$H$6:$H$405,$AP1852)&lt;&gt;"",INDEX(職員マスタ!$H$6:$H$405,$AP1852)&lt;$AQ1852))),"対象月が時短期間外／","")&amp;IF(AND(INDEX(職員マスタ!$K$6:$K$405,$AP1852)&lt;&gt;"",N($W1852)&gt;0,INDEX(職員マスタ!$K$6:$K$405,$AP1852)&lt;&gt;$W1852),"標準報酬月額が申請書と相違（台帳"&amp;TEXT(INDEX(職員マスタ!$K$6:$K$405,$AP1852),"#,##0")&amp;"円／申請書"&amp;TEXT($W1852,"#,##0")&amp;"円）／","")&amp;IF(AND(INDEX(職員マスタ!$F$6:$F$405,$AP1852)&lt;&gt;"",$AQ1852&lt;&gt;"",INDEX(職員マスタ!$F$6:$F$405,$AP1852)&lt;$AQ1852),"対象月に子が2歳到達済／","")&amp;IF(AND($H1852&lt;&gt;"",INDEX(職員マスタ!$B$6:$B$405,$AP1852)&lt;&gt;"",SUBSTITUTE(SUBSTITUTE($H1852," ","")," ","")&lt;&gt;SUBSTITUTE(SUBSTITUTE(INDEX(職員マスタ!$B$6:$B$405,$AP1852)," ","")," ","")),"氏名がマスタと相違／","")&amp;IF(AND($Q1852&lt;&gt;"",INDEX(職員マスタ!$E$6:$E$405,$AP1852)&lt;&gt;"",$Q1852&lt;&gt;INDEX(職員マスタ!$E$6:$E$405,$AP1852)),"子の生年月日がマスタと相違／","")&amp;IF(AND($L1852&lt;&gt;"",INDEX(職員マスタ!$G$6:$G$405,$AP1852)&lt;&gt;"",$L1852&lt;&gt;INDEX(職員マスタ!$G$6:$G$405,$AP1852)),"時短開始日がマスタと相違／","")&amp;IF(AND($M1852&lt;&gt;"",INDEX(職員マスタ!$H$6:$H$405,$AP1852)&lt;&gt;"",$M1852&lt;&gt;INDEX(職員マスタ!$H$6:$H$405,$AP1852)),"時短終了日がマスタと相違／","")))&amp;IF(AND($B1852&lt;&gt;"",$E1852=""),"報酬額が未入力／","")&amp;IF(N($U1852)&gt;0,"申請書に入力エラーが残っています／","")&amp;IF(AND($B1852&lt;&gt;"",$AQ1852&lt;&gt;""),IF(COUNTIFS($B$6:$B$3005,$B1852,$C$6:$C$3005,$C1852,$D$6:$D$3005,$D1852)&gt;1,"同じ月の請求が重複しています／",""),"")&amp;IF(AND(N($E1852)&gt;0,$AB1852&lt;&gt;"",$AB1852&lt;&gt;"×",$AE1852=0,$AD1852=""),"計算額が下限以下のため不支給／",""))</f>
        <v/>
      </c>
      <c r="AN1852" s="12" t="n"/>
      <c r="AO1852" s="14">
        <f>IF($AF1852="保留中",COUNTIF($AF$6:$AF1852,"保留中"),"")</f>
        <v/>
      </c>
      <c r="AP1852" s="14">
        <f>IF($AQ1852="","",IF(SUMPRODUCT(MAX((職員マスタ!$A$6:$A$405=$B1852)*(((職員マスタ!$G$6:$G$405="")+(職員マスタ!$G$6:$G$405&lt;=EOMONTH($AQ1852,0)))&gt;0)*(((職員マスタ!$H$6:$H$405="")+(職員マスタ!$H$6:$H$405&gt;=$AQ1852))&gt;0)*(ROW(職員マスタ!$A$6:$A$405)-5)))&gt;0,SUMPRODUCT(MAX((職員マスタ!$A$6:$A$405=$B1852)*(((職員マスタ!$G$6:$G$405="")+(職員マスタ!$G$6:$G$405&lt;=EOMONTH($AQ1852,0)))&gt;0)*(((職員マスタ!$H$6:$H$405="")+(職員マスタ!$H$6:$H$405&gt;=$AQ1852))&gt;0)*(ROW(職員マスタ!$A$6:$A$405)-5))),IFERROR(MATCH($B1852,職員マスタ!$A$6:$A$405,0),"")))</f>
        <v/>
      </c>
      <c r="AQ1852" s="16">
        <f>IF(OR($B1852="",$C1852="",$D1852=""),"",DATE($C1852+2018,$D1852,1))</f>
        <v/>
      </c>
    </row>
    <row r="1853">
      <c r="A1853" s="11" t="n"/>
      <c r="B1853" s="12" t="n"/>
      <c r="C1853" s="12" t="n"/>
      <c r="D1853" s="12" t="n"/>
      <c r="E1853" s="13" t="n"/>
      <c r="F1853" s="12" t="n"/>
      <c r="G1853" s="13" t="n"/>
      <c r="H1853" s="12" t="n"/>
      <c r="I1853" s="12" t="n"/>
      <c r="J1853" s="12" t="n"/>
      <c r="K1853" s="12" t="n"/>
      <c r="L1853" s="11" t="n"/>
      <c r="M1853" s="11" t="n"/>
      <c r="N1853" s="11" t="n"/>
      <c r="O1853" s="11" t="n"/>
      <c r="P1853" s="12" t="n"/>
      <c r="Q1853" s="11" t="n"/>
      <c r="R1853" s="12" t="n"/>
      <c r="S1853" s="11" t="n"/>
      <c r="T1853" s="12" t="n"/>
      <c r="U1853" s="12" t="n"/>
      <c r="V1853" s="12" t="n"/>
      <c r="W1853" s="13" t="n"/>
      <c r="X1853" s="14">
        <f>IF($AP1853="",IF($B1853="","",$H1853),IF(INDEX(職員マスタ!$B$6:$B$405,$AP1853)="",$H1853,INDEX(職員マスタ!$B$6:$B$405,$AP1853)))</f>
        <v/>
      </c>
      <c r="Y1853" s="14">
        <f>IF($AP1853="",IF($B1853="","",$R1853),IF(INDEX(職員マスタ!$C$6:$C$405,$AP1853)="",$R1853,INDEX(職員マスタ!$C$6:$C$405,$AP1853)))</f>
        <v/>
      </c>
      <c r="Z1853" s="14">
        <f>IF($AQ1853="","","R"&amp;$C1853&amp;"."&amp;$D1853)</f>
        <v/>
      </c>
      <c r="AA1853" s="15">
        <f>IF(IF($AP1853="",FALSE,INDEX(職員マスタ!$K$6:$K$405,$AP1853)&lt;&gt;""),INDEX(職員マスタ!$K$6:$K$405,$AP1853),IF(N($W1853)&gt;0,$W1853,""))</f>
        <v/>
      </c>
      <c r="AB1853" s="14">
        <f>IF(OR($E1853="",$AA1853=""),"",IF($E1853&gt;=$AA1853,"×",IF($E1853&gt;=$AA1853*設定!$C$5,"△","○")))</f>
        <v/>
      </c>
      <c r="AC1853" s="15">
        <f>IF($AB1853="","",IF($AB1853="×",0,IF($AB1853="○",ROUNDDOWN($E1853*設定!$C$4,0),ROUNDDOWN($E1853*ROUND((9*$AA1853-9*$E1853)/(10*$E1853),4),0))))</f>
        <v/>
      </c>
      <c r="AD1853" s="13" t="n"/>
      <c r="AE1853" s="15">
        <f>IF($B1853="","",IF($AD1853&lt;&gt;"",$AD1853,IF($AC1853="","",IF($AC1853&lt;=設定!$C$3,0,$AC1853))))</f>
        <v/>
      </c>
      <c r="AF1853" s="14">
        <f>IF($B1853="","",IF(AND($AG1853&lt;&gt;"",$AI1853="",$AL1853=""),"保留中",IF($AL1853&lt;&gt;"",IF(N($AE1853)&gt;0,"支給済","不支給"),IF($AE1853="","要確認",IF($AE1853=0,"不支給","未処理")))))</f>
        <v/>
      </c>
      <c r="AG1853" s="12" t="n"/>
      <c r="AH1853" s="11" t="n"/>
      <c r="AI1853" s="11" t="n"/>
      <c r="AJ1853" s="11" t="n"/>
      <c r="AK1853" s="14">
        <f>IF(AND($AF1853="保留中",$AH1853&lt;&gt;""),TODAY()-$AH1853,"")</f>
        <v/>
      </c>
      <c r="AL1853" s="12" t="n"/>
      <c r="AM1853" s="14">
        <f>IF($B1853="","",IF($AQ1853="","対象年月が未入力／","")&amp;IF($B1853="","",IF($AP1853="","職員マスタに未登録の職員番号／",IF($AA1853="","標準報酬月額が未登録／","")&amp;IF(AND($AQ1853&lt;&gt;"",OR(AND(INDEX(職員マスタ!$G$6:$G$405,$AP1853)&lt;&gt;"",INDEX(職員マスタ!$G$6:$G$405,$AP1853)&gt;EOMONTH($AQ1853,0)),AND(INDEX(職員マスタ!$H$6:$H$405,$AP1853)&lt;&gt;"",INDEX(職員マスタ!$H$6:$H$405,$AP1853)&lt;$AQ1853))),"対象月が時短期間外／","")&amp;IF(AND(INDEX(職員マスタ!$K$6:$K$405,$AP1853)&lt;&gt;"",N($W1853)&gt;0,INDEX(職員マスタ!$K$6:$K$405,$AP1853)&lt;&gt;$W1853),"標準報酬月額が申請書と相違（台帳"&amp;TEXT(INDEX(職員マスタ!$K$6:$K$405,$AP1853),"#,##0")&amp;"円／申請書"&amp;TEXT($W1853,"#,##0")&amp;"円）／","")&amp;IF(AND(INDEX(職員マスタ!$F$6:$F$405,$AP1853)&lt;&gt;"",$AQ1853&lt;&gt;"",INDEX(職員マスタ!$F$6:$F$405,$AP1853)&lt;$AQ1853),"対象月に子が2歳到達済／","")&amp;IF(AND($H1853&lt;&gt;"",INDEX(職員マスタ!$B$6:$B$405,$AP1853)&lt;&gt;"",SUBSTITUTE(SUBSTITUTE($H1853," ","")," ","")&lt;&gt;SUBSTITUTE(SUBSTITUTE(INDEX(職員マスタ!$B$6:$B$405,$AP1853)," ","")," ","")),"氏名がマスタと相違／","")&amp;IF(AND($Q1853&lt;&gt;"",INDEX(職員マスタ!$E$6:$E$405,$AP1853)&lt;&gt;"",$Q1853&lt;&gt;INDEX(職員マスタ!$E$6:$E$405,$AP1853)),"子の生年月日がマスタと相違／","")&amp;IF(AND($L1853&lt;&gt;"",INDEX(職員マスタ!$G$6:$G$405,$AP1853)&lt;&gt;"",$L1853&lt;&gt;INDEX(職員マスタ!$G$6:$G$405,$AP1853)),"時短開始日がマスタと相違／","")&amp;IF(AND($M1853&lt;&gt;"",INDEX(職員マスタ!$H$6:$H$405,$AP1853)&lt;&gt;"",$M1853&lt;&gt;INDEX(職員マスタ!$H$6:$H$405,$AP1853)),"時短終了日がマスタと相違／","")))&amp;IF(AND($B1853&lt;&gt;"",$E1853=""),"報酬額が未入力／","")&amp;IF(N($U1853)&gt;0,"申請書に入力エラーが残っています／","")&amp;IF(AND($B1853&lt;&gt;"",$AQ1853&lt;&gt;""),IF(COUNTIFS($B$6:$B$3005,$B1853,$C$6:$C$3005,$C1853,$D$6:$D$3005,$D1853)&gt;1,"同じ月の請求が重複しています／",""),"")&amp;IF(AND(N($E1853)&gt;0,$AB1853&lt;&gt;"",$AB1853&lt;&gt;"×",$AE1853=0,$AD1853=""),"計算額が下限以下のため不支給／",""))</f>
        <v/>
      </c>
      <c r="AN1853" s="12" t="n"/>
      <c r="AO1853" s="14">
        <f>IF($AF1853="保留中",COUNTIF($AF$6:$AF1853,"保留中"),"")</f>
        <v/>
      </c>
      <c r="AP1853" s="14">
        <f>IF($AQ1853="","",IF(SUMPRODUCT(MAX((職員マスタ!$A$6:$A$405=$B1853)*(((職員マスタ!$G$6:$G$405="")+(職員マスタ!$G$6:$G$405&lt;=EOMONTH($AQ1853,0)))&gt;0)*(((職員マスタ!$H$6:$H$405="")+(職員マスタ!$H$6:$H$405&gt;=$AQ1853))&gt;0)*(ROW(職員マスタ!$A$6:$A$405)-5)))&gt;0,SUMPRODUCT(MAX((職員マスタ!$A$6:$A$405=$B1853)*(((職員マスタ!$G$6:$G$405="")+(職員マスタ!$G$6:$G$405&lt;=EOMONTH($AQ1853,0)))&gt;0)*(((職員マスタ!$H$6:$H$405="")+(職員マスタ!$H$6:$H$405&gt;=$AQ1853))&gt;0)*(ROW(職員マスタ!$A$6:$A$405)-5))),IFERROR(MATCH($B1853,職員マスタ!$A$6:$A$405,0),"")))</f>
        <v/>
      </c>
      <c r="AQ1853" s="16">
        <f>IF(OR($B1853="",$C1853="",$D1853=""),"",DATE($C1853+2018,$D1853,1))</f>
        <v/>
      </c>
    </row>
    <row r="1854">
      <c r="A1854" s="11" t="n"/>
      <c r="B1854" s="12" t="n"/>
      <c r="C1854" s="12" t="n"/>
      <c r="D1854" s="12" t="n"/>
      <c r="E1854" s="13" t="n"/>
      <c r="F1854" s="12" t="n"/>
      <c r="G1854" s="13" t="n"/>
      <c r="H1854" s="12" t="n"/>
      <c r="I1854" s="12" t="n"/>
      <c r="J1854" s="12" t="n"/>
      <c r="K1854" s="12" t="n"/>
      <c r="L1854" s="11" t="n"/>
      <c r="M1854" s="11" t="n"/>
      <c r="N1854" s="11" t="n"/>
      <c r="O1854" s="11" t="n"/>
      <c r="P1854" s="12" t="n"/>
      <c r="Q1854" s="11" t="n"/>
      <c r="R1854" s="12" t="n"/>
      <c r="S1854" s="11" t="n"/>
      <c r="T1854" s="12" t="n"/>
      <c r="U1854" s="12" t="n"/>
      <c r="V1854" s="12" t="n"/>
      <c r="W1854" s="13" t="n"/>
      <c r="X1854" s="14">
        <f>IF($AP1854="",IF($B1854="","",$H1854),IF(INDEX(職員マスタ!$B$6:$B$405,$AP1854)="",$H1854,INDEX(職員マスタ!$B$6:$B$405,$AP1854)))</f>
        <v/>
      </c>
      <c r="Y1854" s="14">
        <f>IF($AP1854="",IF($B1854="","",$R1854),IF(INDEX(職員マスタ!$C$6:$C$405,$AP1854)="",$R1854,INDEX(職員マスタ!$C$6:$C$405,$AP1854)))</f>
        <v/>
      </c>
      <c r="Z1854" s="14">
        <f>IF($AQ1854="","","R"&amp;$C1854&amp;"."&amp;$D1854)</f>
        <v/>
      </c>
      <c r="AA1854" s="15">
        <f>IF(IF($AP1854="",FALSE,INDEX(職員マスタ!$K$6:$K$405,$AP1854)&lt;&gt;""),INDEX(職員マスタ!$K$6:$K$405,$AP1854),IF(N($W1854)&gt;0,$W1854,""))</f>
        <v/>
      </c>
      <c r="AB1854" s="14">
        <f>IF(OR($E1854="",$AA1854=""),"",IF($E1854&gt;=$AA1854,"×",IF($E1854&gt;=$AA1854*設定!$C$5,"△","○")))</f>
        <v/>
      </c>
      <c r="AC1854" s="15">
        <f>IF($AB1854="","",IF($AB1854="×",0,IF($AB1854="○",ROUNDDOWN($E1854*設定!$C$4,0),ROUNDDOWN($E1854*ROUND((9*$AA1854-9*$E1854)/(10*$E1854),4),0))))</f>
        <v/>
      </c>
      <c r="AD1854" s="13" t="n"/>
      <c r="AE1854" s="15">
        <f>IF($B1854="","",IF($AD1854&lt;&gt;"",$AD1854,IF($AC1854="","",IF($AC1854&lt;=設定!$C$3,0,$AC1854))))</f>
        <v/>
      </c>
      <c r="AF1854" s="14">
        <f>IF($B1854="","",IF(AND($AG1854&lt;&gt;"",$AI1854="",$AL1854=""),"保留中",IF($AL1854&lt;&gt;"",IF(N($AE1854)&gt;0,"支給済","不支給"),IF($AE1854="","要確認",IF($AE1854=0,"不支給","未処理")))))</f>
        <v/>
      </c>
      <c r="AG1854" s="12" t="n"/>
      <c r="AH1854" s="11" t="n"/>
      <c r="AI1854" s="11" t="n"/>
      <c r="AJ1854" s="11" t="n"/>
      <c r="AK1854" s="14">
        <f>IF(AND($AF1854="保留中",$AH1854&lt;&gt;""),TODAY()-$AH1854,"")</f>
        <v/>
      </c>
      <c r="AL1854" s="12" t="n"/>
      <c r="AM1854" s="14">
        <f>IF($B1854="","",IF($AQ1854="","対象年月が未入力／","")&amp;IF($B1854="","",IF($AP1854="","職員マスタに未登録の職員番号／",IF($AA1854="","標準報酬月額が未登録／","")&amp;IF(AND($AQ1854&lt;&gt;"",OR(AND(INDEX(職員マスタ!$G$6:$G$405,$AP1854)&lt;&gt;"",INDEX(職員マスタ!$G$6:$G$405,$AP1854)&gt;EOMONTH($AQ1854,0)),AND(INDEX(職員マスタ!$H$6:$H$405,$AP1854)&lt;&gt;"",INDEX(職員マスタ!$H$6:$H$405,$AP1854)&lt;$AQ1854))),"対象月が時短期間外／","")&amp;IF(AND(INDEX(職員マスタ!$K$6:$K$405,$AP1854)&lt;&gt;"",N($W1854)&gt;0,INDEX(職員マスタ!$K$6:$K$405,$AP1854)&lt;&gt;$W1854),"標準報酬月額が申請書と相違（台帳"&amp;TEXT(INDEX(職員マスタ!$K$6:$K$405,$AP1854),"#,##0")&amp;"円／申請書"&amp;TEXT($W1854,"#,##0")&amp;"円）／","")&amp;IF(AND(INDEX(職員マスタ!$F$6:$F$405,$AP1854)&lt;&gt;"",$AQ1854&lt;&gt;"",INDEX(職員マスタ!$F$6:$F$405,$AP1854)&lt;$AQ1854),"対象月に子が2歳到達済／","")&amp;IF(AND($H1854&lt;&gt;"",INDEX(職員マスタ!$B$6:$B$405,$AP1854)&lt;&gt;"",SUBSTITUTE(SUBSTITUTE($H1854," ","")," ","")&lt;&gt;SUBSTITUTE(SUBSTITUTE(INDEX(職員マスタ!$B$6:$B$405,$AP1854)," ","")," ","")),"氏名がマスタと相違／","")&amp;IF(AND($Q1854&lt;&gt;"",INDEX(職員マスタ!$E$6:$E$405,$AP1854)&lt;&gt;"",$Q1854&lt;&gt;INDEX(職員マスタ!$E$6:$E$405,$AP1854)),"子の生年月日がマスタと相違／","")&amp;IF(AND($L1854&lt;&gt;"",INDEX(職員マスタ!$G$6:$G$405,$AP1854)&lt;&gt;"",$L1854&lt;&gt;INDEX(職員マスタ!$G$6:$G$405,$AP1854)),"時短開始日がマスタと相違／","")&amp;IF(AND($M1854&lt;&gt;"",INDEX(職員マスタ!$H$6:$H$405,$AP1854)&lt;&gt;"",$M1854&lt;&gt;INDEX(職員マスタ!$H$6:$H$405,$AP1854)),"時短終了日がマスタと相違／","")))&amp;IF(AND($B1854&lt;&gt;"",$E1854=""),"報酬額が未入力／","")&amp;IF(N($U1854)&gt;0,"申請書に入力エラーが残っています／","")&amp;IF(AND($B1854&lt;&gt;"",$AQ1854&lt;&gt;""),IF(COUNTIFS($B$6:$B$3005,$B1854,$C$6:$C$3005,$C1854,$D$6:$D$3005,$D1854)&gt;1,"同じ月の請求が重複しています／",""),"")&amp;IF(AND(N($E1854)&gt;0,$AB1854&lt;&gt;"",$AB1854&lt;&gt;"×",$AE1854=0,$AD1854=""),"計算額が下限以下のため不支給／",""))</f>
        <v/>
      </c>
      <c r="AN1854" s="12" t="n"/>
      <c r="AO1854" s="14">
        <f>IF($AF1854="保留中",COUNTIF($AF$6:$AF1854,"保留中"),"")</f>
        <v/>
      </c>
      <c r="AP1854" s="14">
        <f>IF($AQ1854="","",IF(SUMPRODUCT(MAX((職員マスタ!$A$6:$A$405=$B1854)*(((職員マスタ!$G$6:$G$405="")+(職員マスタ!$G$6:$G$405&lt;=EOMONTH($AQ1854,0)))&gt;0)*(((職員マスタ!$H$6:$H$405="")+(職員マスタ!$H$6:$H$405&gt;=$AQ1854))&gt;0)*(ROW(職員マスタ!$A$6:$A$405)-5)))&gt;0,SUMPRODUCT(MAX((職員マスタ!$A$6:$A$405=$B1854)*(((職員マスタ!$G$6:$G$405="")+(職員マスタ!$G$6:$G$405&lt;=EOMONTH($AQ1854,0)))&gt;0)*(((職員マスタ!$H$6:$H$405="")+(職員マスタ!$H$6:$H$405&gt;=$AQ1854))&gt;0)*(ROW(職員マスタ!$A$6:$A$405)-5))),IFERROR(MATCH($B1854,職員マスタ!$A$6:$A$405,0),"")))</f>
        <v/>
      </c>
      <c r="AQ1854" s="16">
        <f>IF(OR($B1854="",$C1854="",$D1854=""),"",DATE($C1854+2018,$D1854,1))</f>
        <v/>
      </c>
    </row>
    <row r="1855">
      <c r="A1855" s="11" t="n"/>
      <c r="B1855" s="12" t="n"/>
      <c r="C1855" s="12" t="n"/>
      <c r="D1855" s="12" t="n"/>
      <c r="E1855" s="13" t="n"/>
      <c r="F1855" s="12" t="n"/>
      <c r="G1855" s="13" t="n"/>
      <c r="H1855" s="12" t="n"/>
      <c r="I1855" s="12" t="n"/>
      <c r="J1855" s="12" t="n"/>
      <c r="K1855" s="12" t="n"/>
      <c r="L1855" s="11" t="n"/>
      <c r="M1855" s="11" t="n"/>
      <c r="N1855" s="11" t="n"/>
      <c r="O1855" s="11" t="n"/>
      <c r="P1855" s="12" t="n"/>
      <c r="Q1855" s="11" t="n"/>
      <c r="R1855" s="12" t="n"/>
      <c r="S1855" s="11" t="n"/>
      <c r="T1855" s="12" t="n"/>
      <c r="U1855" s="12" t="n"/>
      <c r="V1855" s="12" t="n"/>
      <c r="W1855" s="13" t="n"/>
      <c r="X1855" s="14">
        <f>IF($AP1855="",IF($B1855="","",$H1855),IF(INDEX(職員マスタ!$B$6:$B$405,$AP1855)="",$H1855,INDEX(職員マスタ!$B$6:$B$405,$AP1855)))</f>
        <v/>
      </c>
      <c r="Y1855" s="14">
        <f>IF($AP1855="",IF($B1855="","",$R1855),IF(INDEX(職員マスタ!$C$6:$C$405,$AP1855)="",$R1855,INDEX(職員マスタ!$C$6:$C$405,$AP1855)))</f>
        <v/>
      </c>
      <c r="Z1855" s="14">
        <f>IF($AQ1855="","","R"&amp;$C1855&amp;"."&amp;$D1855)</f>
        <v/>
      </c>
      <c r="AA1855" s="15">
        <f>IF(IF($AP1855="",FALSE,INDEX(職員マスタ!$K$6:$K$405,$AP1855)&lt;&gt;""),INDEX(職員マスタ!$K$6:$K$405,$AP1855),IF(N($W1855)&gt;0,$W1855,""))</f>
        <v/>
      </c>
      <c r="AB1855" s="14">
        <f>IF(OR($E1855="",$AA1855=""),"",IF($E1855&gt;=$AA1855,"×",IF($E1855&gt;=$AA1855*設定!$C$5,"△","○")))</f>
        <v/>
      </c>
      <c r="AC1855" s="15">
        <f>IF($AB1855="","",IF($AB1855="×",0,IF($AB1855="○",ROUNDDOWN($E1855*設定!$C$4,0),ROUNDDOWN($E1855*ROUND((9*$AA1855-9*$E1855)/(10*$E1855),4),0))))</f>
        <v/>
      </c>
      <c r="AD1855" s="13" t="n"/>
      <c r="AE1855" s="15">
        <f>IF($B1855="","",IF($AD1855&lt;&gt;"",$AD1855,IF($AC1855="","",IF($AC1855&lt;=設定!$C$3,0,$AC1855))))</f>
        <v/>
      </c>
      <c r="AF1855" s="14">
        <f>IF($B1855="","",IF(AND($AG1855&lt;&gt;"",$AI1855="",$AL1855=""),"保留中",IF($AL1855&lt;&gt;"",IF(N($AE1855)&gt;0,"支給済","不支給"),IF($AE1855="","要確認",IF($AE1855=0,"不支給","未処理")))))</f>
        <v/>
      </c>
      <c r="AG1855" s="12" t="n"/>
      <c r="AH1855" s="11" t="n"/>
      <c r="AI1855" s="11" t="n"/>
      <c r="AJ1855" s="11" t="n"/>
      <c r="AK1855" s="14">
        <f>IF(AND($AF1855="保留中",$AH1855&lt;&gt;""),TODAY()-$AH1855,"")</f>
        <v/>
      </c>
      <c r="AL1855" s="12" t="n"/>
      <c r="AM1855" s="14">
        <f>IF($B1855="","",IF($AQ1855="","対象年月が未入力／","")&amp;IF($B1855="","",IF($AP1855="","職員マスタに未登録の職員番号／",IF($AA1855="","標準報酬月額が未登録／","")&amp;IF(AND($AQ1855&lt;&gt;"",OR(AND(INDEX(職員マスタ!$G$6:$G$405,$AP1855)&lt;&gt;"",INDEX(職員マスタ!$G$6:$G$405,$AP1855)&gt;EOMONTH($AQ1855,0)),AND(INDEX(職員マスタ!$H$6:$H$405,$AP1855)&lt;&gt;"",INDEX(職員マスタ!$H$6:$H$405,$AP1855)&lt;$AQ1855))),"対象月が時短期間外／","")&amp;IF(AND(INDEX(職員マスタ!$K$6:$K$405,$AP1855)&lt;&gt;"",N($W1855)&gt;0,INDEX(職員マスタ!$K$6:$K$405,$AP1855)&lt;&gt;$W1855),"標準報酬月額が申請書と相違（台帳"&amp;TEXT(INDEX(職員マスタ!$K$6:$K$405,$AP1855),"#,##0")&amp;"円／申請書"&amp;TEXT($W1855,"#,##0")&amp;"円）／","")&amp;IF(AND(INDEX(職員マスタ!$F$6:$F$405,$AP1855)&lt;&gt;"",$AQ1855&lt;&gt;"",INDEX(職員マスタ!$F$6:$F$405,$AP1855)&lt;$AQ1855),"対象月に子が2歳到達済／","")&amp;IF(AND($H1855&lt;&gt;"",INDEX(職員マスタ!$B$6:$B$405,$AP1855)&lt;&gt;"",SUBSTITUTE(SUBSTITUTE($H1855," ","")," ","")&lt;&gt;SUBSTITUTE(SUBSTITUTE(INDEX(職員マスタ!$B$6:$B$405,$AP1855)," ","")," ","")),"氏名がマスタと相違／","")&amp;IF(AND($Q1855&lt;&gt;"",INDEX(職員マスタ!$E$6:$E$405,$AP1855)&lt;&gt;"",$Q1855&lt;&gt;INDEX(職員マスタ!$E$6:$E$405,$AP1855)),"子の生年月日がマスタと相違／","")&amp;IF(AND($L1855&lt;&gt;"",INDEX(職員マスタ!$G$6:$G$405,$AP1855)&lt;&gt;"",$L1855&lt;&gt;INDEX(職員マスタ!$G$6:$G$405,$AP1855)),"時短開始日がマスタと相違／","")&amp;IF(AND($M1855&lt;&gt;"",INDEX(職員マスタ!$H$6:$H$405,$AP1855)&lt;&gt;"",$M1855&lt;&gt;INDEX(職員マスタ!$H$6:$H$405,$AP1855)),"時短終了日がマスタと相違／","")))&amp;IF(AND($B1855&lt;&gt;"",$E1855=""),"報酬額が未入力／","")&amp;IF(N($U1855)&gt;0,"申請書に入力エラーが残っています／","")&amp;IF(AND($B1855&lt;&gt;"",$AQ1855&lt;&gt;""),IF(COUNTIFS($B$6:$B$3005,$B1855,$C$6:$C$3005,$C1855,$D$6:$D$3005,$D1855)&gt;1,"同じ月の請求が重複しています／",""),"")&amp;IF(AND(N($E1855)&gt;0,$AB1855&lt;&gt;"",$AB1855&lt;&gt;"×",$AE1855=0,$AD1855=""),"計算額が下限以下のため不支給／",""))</f>
        <v/>
      </c>
      <c r="AN1855" s="12" t="n"/>
      <c r="AO1855" s="14">
        <f>IF($AF1855="保留中",COUNTIF($AF$6:$AF1855,"保留中"),"")</f>
        <v/>
      </c>
      <c r="AP1855" s="14">
        <f>IF($AQ1855="","",IF(SUMPRODUCT(MAX((職員マスタ!$A$6:$A$405=$B1855)*(((職員マスタ!$G$6:$G$405="")+(職員マスタ!$G$6:$G$405&lt;=EOMONTH($AQ1855,0)))&gt;0)*(((職員マスタ!$H$6:$H$405="")+(職員マスタ!$H$6:$H$405&gt;=$AQ1855))&gt;0)*(ROW(職員マスタ!$A$6:$A$405)-5)))&gt;0,SUMPRODUCT(MAX((職員マスタ!$A$6:$A$405=$B1855)*(((職員マスタ!$G$6:$G$405="")+(職員マスタ!$G$6:$G$405&lt;=EOMONTH($AQ1855,0)))&gt;0)*(((職員マスタ!$H$6:$H$405="")+(職員マスタ!$H$6:$H$405&gt;=$AQ1855))&gt;0)*(ROW(職員マスタ!$A$6:$A$405)-5))),IFERROR(MATCH($B1855,職員マスタ!$A$6:$A$405,0),"")))</f>
        <v/>
      </c>
      <c r="AQ1855" s="16">
        <f>IF(OR($B1855="",$C1855="",$D1855=""),"",DATE($C1855+2018,$D1855,1))</f>
        <v/>
      </c>
    </row>
    <row r="1856">
      <c r="A1856" s="11" t="n"/>
      <c r="B1856" s="12" t="n"/>
      <c r="C1856" s="12" t="n"/>
      <c r="D1856" s="12" t="n"/>
      <c r="E1856" s="13" t="n"/>
      <c r="F1856" s="12" t="n"/>
      <c r="G1856" s="13" t="n"/>
      <c r="H1856" s="12" t="n"/>
      <c r="I1856" s="12" t="n"/>
      <c r="J1856" s="12" t="n"/>
      <c r="K1856" s="12" t="n"/>
      <c r="L1856" s="11" t="n"/>
      <c r="M1856" s="11" t="n"/>
      <c r="N1856" s="11" t="n"/>
      <c r="O1856" s="11" t="n"/>
      <c r="P1856" s="12" t="n"/>
      <c r="Q1856" s="11" t="n"/>
      <c r="R1856" s="12" t="n"/>
      <c r="S1856" s="11" t="n"/>
      <c r="T1856" s="12" t="n"/>
      <c r="U1856" s="12" t="n"/>
      <c r="V1856" s="12" t="n"/>
      <c r="W1856" s="13" t="n"/>
      <c r="X1856" s="14">
        <f>IF($AP1856="",IF($B1856="","",$H1856),IF(INDEX(職員マスタ!$B$6:$B$405,$AP1856)="",$H1856,INDEX(職員マスタ!$B$6:$B$405,$AP1856)))</f>
        <v/>
      </c>
      <c r="Y1856" s="14">
        <f>IF($AP1856="",IF($B1856="","",$R1856),IF(INDEX(職員マスタ!$C$6:$C$405,$AP1856)="",$R1856,INDEX(職員マスタ!$C$6:$C$405,$AP1856)))</f>
        <v/>
      </c>
      <c r="Z1856" s="14">
        <f>IF($AQ1856="","","R"&amp;$C1856&amp;"."&amp;$D1856)</f>
        <v/>
      </c>
      <c r="AA1856" s="15">
        <f>IF(IF($AP1856="",FALSE,INDEX(職員マスタ!$K$6:$K$405,$AP1856)&lt;&gt;""),INDEX(職員マスタ!$K$6:$K$405,$AP1856),IF(N($W1856)&gt;0,$W1856,""))</f>
        <v/>
      </c>
      <c r="AB1856" s="14">
        <f>IF(OR($E1856="",$AA1856=""),"",IF($E1856&gt;=$AA1856,"×",IF($E1856&gt;=$AA1856*設定!$C$5,"△","○")))</f>
        <v/>
      </c>
      <c r="AC1856" s="15">
        <f>IF($AB1856="","",IF($AB1856="×",0,IF($AB1856="○",ROUNDDOWN($E1856*設定!$C$4,0),ROUNDDOWN($E1856*ROUND((9*$AA1856-9*$E1856)/(10*$E1856),4),0))))</f>
        <v/>
      </c>
      <c r="AD1856" s="13" t="n"/>
      <c r="AE1856" s="15">
        <f>IF($B1856="","",IF($AD1856&lt;&gt;"",$AD1856,IF($AC1856="","",IF($AC1856&lt;=設定!$C$3,0,$AC1856))))</f>
        <v/>
      </c>
      <c r="AF1856" s="14">
        <f>IF($B1856="","",IF(AND($AG1856&lt;&gt;"",$AI1856="",$AL1856=""),"保留中",IF($AL1856&lt;&gt;"",IF(N($AE1856)&gt;0,"支給済","不支給"),IF($AE1856="","要確認",IF($AE1856=0,"不支給","未処理")))))</f>
        <v/>
      </c>
      <c r="AG1856" s="12" t="n"/>
      <c r="AH1856" s="11" t="n"/>
      <c r="AI1856" s="11" t="n"/>
      <c r="AJ1856" s="11" t="n"/>
      <c r="AK1856" s="14">
        <f>IF(AND($AF1856="保留中",$AH1856&lt;&gt;""),TODAY()-$AH1856,"")</f>
        <v/>
      </c>
      <c r="AL1856" s="12" t="n"/>
      <c r="AM1856" s="14">
        <f>IF($B1856="","",IF($AQ1856="","対象年月が未入力／","")&amp;IF($B1856="","",IF($AP1856="","職員マスタに未登録の職員番号／",IF($AA1856="","標準報酬月額が未登録／","")&amp;IF(AND($AQ1856&lt;&gt;"",OR(AND(INDEX(職員マスタ!$G$6:$G$405,$AP1856)&lt;&gt;"",INDEX(職員マスタ!$G$6:$G$405,$AP1856)&gt;EOMONTH($AQ1856,0)),AND(INDEX(職員マスタ!$H$6:$H$405,$AP1856)&lt;&gt;"",INDEX(職員マスタ!$H$6:$H$405,$AP1856)&lt;$AQ1856))),"対象月が時短期間外／","")&amp;IF(AND(INDEX(職員マスタ!$K$6:$K$405,$AP1856)&lt;&gt;"",N($W1856)&gt;0,INDEX(職員マスタ!$K$6:$K$405,$AP1856)&lt;&gt;$W1856),"標準報酬月額が申請書と相違（台帳"&amp;TEXT(INDEX(職員マスタ!$K$6:$K$405,$AP1856),"#,##0")&amp;"円／申請書"&amp;TEXT($W1856,"#,##0")&amp;"円）／","")&amp;IF(AND(INDEX(職員マスタ!$F$6:$F$405,$AP1856)&lt;&gt;"",$AQ1856&lt;&gt;"",INDEX(職員マスタ!$F$6:$F$405,$AP1856)&lt;$AQ1856),"対象月に子が2歳到達済／","")&amp;IF(AND($H1856&lt;&gt;"",INDEX(職員マスタ!$B$6:$B$405,$AP1856)&lt;&gt;"",SUBSTITUTE(SUBSTITUTE($H1856," ","")," ","")&lt;&gt;SUBSTITUTE(SUBSTITUTE(INDEX(職員マスタ!$B$6:$B$405,$AP1856)," ","")," ","")),"氏名がマスタと相違／","")&amp;IF(AND($Q1856&lt;&gt;"",INDEX(職員マスタ!$E$6:$E$405,$AP1856)&lt;&gt;"",$Q1856&lt;&gt;INDEX(職員マスタ!$E$6:$E$405,$AP1856)),"子の生年月日がマスタと相違／","")&amp;IF(AND($L1856&lt;&gt;"",INDEX(職員マスタ!$G$6:$G$405,$AP1856)&lt;&gt;"",$L1856&lt;&gt;INDEX(職員マスタ!$G$6:$G$405,$AP1856)),"時短開始日がマスタと相違／","")&amp;IF(AND($M1856&lt;&gt;"",INDEX(職員マスタ!$H$6:$H$405,$AP1856)&lt;&gt;"",$M1856&lt;&gt;INDEX(職員マスタ!$H$6:$H$405,$AP1856)),"時短終了日がマスタと相違／","")))&amp;IF(AND($B1856&lt;&gt;"",$E1856=""),"報酬額が未入力／","")&amp;IF(N($U1856)&gt;0,"申請書に入力エラーが残っています／","")&amp;IF(AND($B1856&lt;&gt;"",$AQ1856&lt;&gt;""),IF(COUNTIFS($B$6:$B$3005,$B1856,$C$6:$C$3005,$C1856,$D$6:$D$3005,$D1856)&gt;1,"同じ月の請求が重複しています／",""),"")&amp;IF(AND(N($E1856)&gt;0,$AB1856&lt;&gt;"",$AB1856&lt;&gt;"×",$AE1856=0,$AD1856=""),"計算額が下限以下のため不支給／",""))</f>
        <v/>
      </c>
      <c r="AN1856" s="12" t="n"/>
      <c r="AO1856" s="14">
        <f>IF($AF1856="保留中",COUNTIF($AF$6:$AF1856,"保留中"),"")</f>
        <v/>
      </c>
      <c r="AP1856" s="14">
        <f>IF($AQ1856="","",IF(SUMPRODUCT(MAX((職員マスタ!$A$6:$A$405=$B1856)*(((職員マスタ!$G$6:$G$405="")+(職員マスタ!$G$6:$G$405&lt;=EOMONTH($AQ1856,0)))&gt;0)*(((職員マスタ!$H$6:$H$405="")+(職員マスタ!$H$6:$H$405&gt;=$AQ1856))&gt;0)*(ROW(職員マスタ!$A$6:$A$405)-5)))&gt;0,SUMPRODUCT(MAX((職員マスタ!$A$6:$A$405=$B1856)*(((職員マスタ!$G$6:$G$405="")+(職員マスタ!$G$6:$G$405&lt;=EOMONTH($AQ1856,0)))&gt;0)*(((職員マスタ!$H$6:$H$405="")+(職員マスタ!$H$6:$H$405&gt;=$AQ1856))&gt;0)*(ROW(職員マスタ!$A$6:$A$405)-5))),IFERROR(MATCH($B1856,職員マスタ!$A$6:$A$405,0),"")))</f>
        <v/>
      </c>
      <c r="AQ1856" s="16">
        <f>IF(OR($B1856="",$C1856="",$D1856=""),"",DATE($C1856+2018,$D1856,1))</f>
        <v/>
      </c>
    </row>
    <row r="1857">
      <c r="A1857" s="11" t="n"/>
      <c r="B1857" s="12" t="n"/>
      <c r="C1857" s="12" t="n"/>
      <c r="D1857" s="12" t="n"/>
      <c r="E1857" s="13" t="n"/>
      <c r="F1857" s="12" t="n"/>
      <c r="G1857" s="13" t="n"/>
      <c r="H1857" s="12" t="n"/>
      <c r="I1857" s="12" t="n"/>
      <c r="J1857" s="12" t="n"/>
      <c r="K1857" s="12" t="n"/>
      <c r="L1857" s="11" t="n"/>
      <c r="M1857" s="11" t="n"/>
      <c r="N1857" s="11" t="n"/>
      <c r="O1857" s="11" t="n"/>
      <c r="P1857" s="12" t="n"/>
      <c r="Q1857" s="11" t="n"/>
      <c r="R1857" s="12" t="n"/>
      <c r="S1857" s="11" t="n"/>
      <c r="T1857" s="12" t="n"/>
      <c r="U1857" s="12" t="n"/>
      <c r="V1857" s="12" t="n"/>
      <c r="W1857" s="13" t="n"/>
      <c r="X1857" s="14">
        <f>IF($AP1857="",IF($B1857="","",$H1857),IF(INDEX(職員マスタ!$B$6:$B$405,$AP1857)="",$H1857,INDEX(職員マスタ!$B$6:$B$405,$AP1857)))</f>
        <v/>
      </c>
      <c r="Y1857" s="14">
        <f>IF($AP1857="",IF($B1857="","",$R1857),IF(INDEX(職員マスタ!$C$6:$C$405,$AP1857)="",$R1857,INDEX(職員マスタ!$C$6:$C$405,$AP1857)))</f>
        <v/>
      </c>
      <c r="Z1857" s="14">
        <f>IF($AQ1857="","","R"&amp;$C1857&amp;"."&amp;$D1857)</f>
        <v/>
      </c>
      <c r="AA1857" s="15">
        <f>IF(IF($AP1857="",FALSE,INDEX(職員マスタ!$K$6:$K$405,$AP1857)&lt;&gt;""),INDEX(職員マスタ!$K$6:$K$405,$AP1857),IF(N($W1857)&gt;0,$W1857,""))</f>
        <v/>
      </c>
      <c r="AB1857" s="14">
        <f>IF(OR($E1857="",$AA1857=""),"",IF($E1857&gt;=$AA1857,"×",IF($E1857&gt;=$AA1857*設定!$C$5,"△","○")))</f>
        <v/>
      </c>
      <c r="AC1857" s="15">
        <f>IF($AB1857="","",IF($AB1857="×",0,IF($AB1857="○",ROUNDDOWN($E1857*設定!$C$4,0),ROUNDDOWN($E1857*ROUND((9*$AA1857-9*$E1857)/(10*$E1857),4),0))))</f>
        <v/>
      </c>
      <c r="AD1857" s="13" t="n"/>
      <c r="AE1857" s="15">
        <f>IF($B1857="","",IF($AD1857&lt;&gt;"",$AD1857,IF($AC1857="","",IF($AC1857&lt;=設定!$C$3,0,$AC1857))))</f>
        <v/>
      </c>
      <c r="AF1857" s="14">
        <f>IF($B1857="","",IF(AND($AG1857&lt;&gt;"",$AI1857="",$AL1857=""),"保留中",IF($AL1857&lt;&gt;"",IF(N($AE1857)&gt;0,"支給済","不支給"),IF($AE1857="","要確認",IF($AE1857=0,"不支給","未処理")))))</f>
        <v/>
      </c>
      <c r="AG1857" s="12" t="n"/>
      <c r="AH1857" s="11" t="n"/>
      <c r="AI1857" s="11" t="n"/>
      <c r="AJ1857" s="11" t="n"/>
      <c r="AK1857" s="14">
        <f>IF(AND($AF1857="保留中",$AH1857&lt;&gt;""),TODAY()-$AH1857,"")</f>
        <v/>
      </c>
      <c r="AL1857" s="12" t="n"/>
      <c r="AM1857" s="14">
        <f>IF($B1857="","",IF($AQ1857="","対象年月が未入力／","")&amp;IF($B1857="","",IF($AP1857="","職員マスタに未登録の職員番号／",IF($AA1857="","標準報酬月額が未登録／","")&amp;IF(AND($AQ1857&lt;&gt;"",OR(AND(INDEX(職員マスタ!$G$6:$G$405,$AP1857)&lt;&gt;"",INDEX(職員マスタ!$G$6:$G$405,$AP1857)&gt;EOMONTH($AQ1857,0)),AND(INDEX(職員マスタ!$H$6:$H$405,$AP1857)&lt;&gt;"",INDEX(職員マスタ!$H$6:$H$405,$AP1857)&lt;$AQ1857))),"対象月が時短期間外／","")&amp;IF(AND(INDEX(職員マスタ!$K$6:$K$405,$AP1857)&lt;&gt;"",N($W1857)&gt;0,INDEX(職員マスタ!$K$6:$K$405,$AP1857)&lt;&gt;$W1857),"標準報酬月額が申請書と相違（台帳"&amp;TEXT(INDEX(職員マスタ!$K$6:$K$405,$AP1857),"#,##0")&amp;"円／申請書"&amp;TEXT($W1857,"#,##0")&amp;"円）／","")&amp;IF(AND(INDEX(職員マスタ!$F$6:$F$405,$AP1857)&lt;&gt;"",$AQ1857&lt;&gt;"",INDEX(職員マスタ!$F$6:$F$405,$AP1857)&lt;$AQ1857),"対象月に子が2歳到達済／","")&amp;IF(AND($H1857&lt;&gt;"",INDEX(職員マスタ!$B$6:$B$405,$AP1857)&lt;&gt;"",SUBSTITUTE(SUBSTITUTE($H1857," ","")," ","")&lt;&gt;SUBSTITUTE(SUBSTITUTE(INDEX(職員マスタ!$B$6:$B$405,$AP1857)," ","")," ","")),"氏名がマスタと相違／","")&amp;IF(AND($Q1857&lt;&gt;"",INDEX(職員マスタ!$E$6:$E$405,$AP1857)&lt;&gt;"",$Q1857&lt;&gt;INDEX(職員マスタ!$E$6:$E$405,$AP1857)),"子の生年月日がマスタと相違／","")&amp;IF(AND($L1857&lt;&gt;"",INDEX(職員マスタ!$G$6:$G$405,$AP1857)&lt;&gt;"",$L1857&lt;&gt;INDEX(職員マスタ!$G$6:$G$405,$AP1857)),"時短開始日がマスタと相違／","")&amp;IF(AND($M1857&lt;&gt;"",INDEX(職員マスタ!$H$6:$H$405,$AP1857)&lt;&gt;"",$M1857&lt;&gt;INDEX(職員マスタ!$H$6:$H$405,$AP1857)),"時短終了日がマスタと相違／","")))&amp;IF(AND($B1857&lt;&gt;"",$E1857=""),"報酬額が未入力／","")&amp;IF(N($U1857)&gt;0,"申請書に入力エラーが残っています／","")&amp;IF(AND($B1857&lt;&gt;"",$AQ1857&lt;&gt;""),IF(COUNTIFS($B$6:$B$3005,$B1857,$C$6:$C$3005,$C1857,$D$6:$D$3005,$D1857)&gt;1,"同じ月の請求が重複しています／",""),"")&amp;IF(AND(N($E1857)&gt;0,$AB1857&lt;&gt;"",$AB1857&lt;&gt;"×",$AE1857=0,$AD1857=""),"計算額が下限以下のため不支給／",""))</f>
        <v/>
      </c>
      <c r="AN1857" s="12" t="n"/>
      <c r="AO1857" s="14">
        <f>IF($AF1857="保留中",COUNTIF($AF$6:$AF1857,"保留中"),"")</f>
        <v/>
      </c>
      <c r="AP1857" s="14">
        <f>IF($AQ1857="","",IF(SUMPRODUCT(MAX((職員マスタ!$A$6:$A$405=$B1857)*(((職員マスタ!$G$6:$G$405="")+(職員マスタ!$G$6:$G$405&lt;=EOMONTH($AQ1857,0)))&gt;0)*(((職員マスタ!$H$6:$H$405="")+(職員マスタ!$H$6:$H$405&gt;=$AQ1857))&gt;0)*(ROW(職員マスタ!$A$6:$A$405)-5)))&gt;0,SUMPRODUCT(MAX((職員マスタ!$A$6:$A$405=$B1857)*(((職員マスタ!$G$6:$G$405="")+(職員マスタ!$G$6:$G$405&lt;=EOMONTH($AQ1857,0)))&gt;0)*(((職員マスタ!$H$6:$H$405="")+(職員マスタ!$H$6:$H$405&gt;=$AQ1857))&gt;0)*(ROW(職員マスタ!$A$6:$A$405)-5))),IFERROR(MATCH($B1857,職員マスタ!$A$6:$A$405,0),"")))</f>
        <v/>
      </c>
      <c r="AQ1857" s="16">
        <f>IF(OR($B1857="",$C1857="",$D1857=""),"",DATE($C1857+2018,$D1857,1))</f>
        <v/>
      </c>
    </row>
    <row r="1858">
      <c r="A1858" s="11" t="n"/>
      <c r="B1858" s="12" t="n"/>
      <c r="C1858" s="12" t="n"/>
      <c r="D1858" s="12" t="n"/>
      <c r="E1858" s="13" t="n"/>
      <c r="F1858" s="12" t="n"/>
      <c r="G1858" s="13" t="n"/>
      <c r="H1858" s="12" t="n"/>
      <c r="I1858" s="12" t="n"/>
      <c r="J1858" s="12" t="n"/>
      <c r="K1858" s="12" t="n"/>
      <c r="L1858" s="11" t="n"/>
      <c r="M1858" s="11" t="n"/>
      <c r="N1858" s="11" t="n"/>
      <c r="O1858" s="11" t="n"/>
      <c r="P1858" s="12" t="n"/>
      <c r="Q1858" s="11" t="n"/>
      <c r="R1858" s="12" t="n"/>
      <c r="S1858" s="11" t="n"/>
      <c r="T1858" s="12" t="n"/>
      <c r="U1858" s="12" t="n"/>
      <c r="V1858" s="12" t="n"/>
      <c r="W1858" s="13" t="n"/>
      <c r="X1858" s="14">
        <f>IF($AP1858="",IF($B1858="","",$H1858),IF(INDEX(職員マスタ!$B$6:$B$405,$AP1858)="",$H1858,INDEX(職員マスタ!$B$6:$B$405,$AP1858)))</f>
        <v/>
      </c>
      <c r="Y1858" s="14">
        <f>IF($AP1858="",IF($B1858="","",$R1858),IF(INDEX(職員マスタ!$C$6:$C$405,$AP1858)="",$R1858,INDEX(職員マスタ!$C$6:$C$405,$AP1858)))</f>
        <v/>
      </c>
      <c r="Z1858" s="14">
        <f>IF($AQ1858="","","R"&amp;$C1858&amp;"."&amp;$D1858)</f>
        <v/>
      </c>
      <c r="AA1858" s="15">
        <f>IF(IF($AP1858="",FALSE,INDEX(職員マスタ!$K$6:$K$405,$AP1858)&lt;&gt;""),INDEX(職員マスタ!$K$6:$K$405,$AP1858),IF(N($W1858)&gt;0,$W1858,""))</f>
        <v/>
      </c>
      <c r="AB1858" s="14">
        <f>IF(OR($E1858="",$AA1858=""),"",IF($E1858&gt;=$AA1858,"×",IF($E1858&gt;=$AA1858*設定!$C$5,"△","○")))</f>
        <v/>
      </c>
      <c r="AC1858" s="15">
        <f>IF($AB1858="","",IF($AB1858="×",0,IF($AB1858="○",ROUNDDOWN($E1858*設定!$C$4,0),ROUNDDOWN($E1858*ROUND((9*$AA1858-9*$E1858)/(10*$E1858),4),0))))</f>
        <v/>
      </c>
      <c r="AD1858" s="13" t="n"/>
      <c r="AE1858" s="15">
        <f>IF($B1858="","",IF($AD1858&lt;&gt;"",$AD1858,IF($AC1858="","",IF($AC1858&lt;=設定!$C$3,0,$AC1858))))</f>
        <v/>
      </c>
      <c r="AF1858" s="14">
        <f>IF($B1858="","",IF(AND($AG1858&lt;&gt;"",$AI1858="",$AL1858=""),"保留中",IF($AL1858&lt;&gt;"",IF(N($AE1858)&gt;0,"支給済","不支給"),IF($AE1858="","要確認",IF($AE1858=0,"不支給","未処理")))))</f>
        <v/>
      </c>
      <c r="AG1858" s="12" t="n"/>
      <c r="AH1858" s="11" t="n"/>
      <c r="AI1858" s="11" t="n"/>
      <c r="AJ1858" s="11" t="n"/>
      <c r="AK1858" s="14">
        <f>IF(AND($AF1858="保留中",$AH1858&lt;&gt;""),TODAY()-$AH1858,"")</f>
        <v/>
      </c>
      <c r="AL1858" s="12" t="n"/>
      <c r="AM1858" s="14">
        <f>IF($B1858="","",IF($AQ1858="","対象年月が未入力／","")&amp;IF($B1858="","",IF($AP1858="","職員マスタに未登録の職員番号／",IF($AA1858="","標準報酬月額が未登録／","")&amp;IF(AND($AQ1858&lt;&gt;"",OR(AND(INDEX(職員マスタ!$G$6:$G$405,$AP1858)&lt;&gt;"",INDEX(職員マスタ!$G$6:$G$405,$AP1858)&gt;EOMONTH($AQ1858,0)),AND(INDEX(職員マスタ!$H$6:$H$405,$AP1858)&lt;&gt;"",INDEX(職員マスタ!$H$6:$H$405,$AP1858)&lt;$AQ1858))),"対象月が時短期間外／","")&amp;IF(AND(INDEX(職員マスタ!$K$6:$K$405,$AP1858)&lt;&gt;"",N($W1858)&gt;0,INDEX(職員マスタ!$K$6:$K$405,$AP1858)&lt;&gt;$W1858),"標準報酬月額が申請書と相違（台帳"&amp;TEXT(INDEX(職員マスタ!$K$6:$K$405,$AP1858),"#,##0")&amp;"円／申請書"&amp;TEXT($W1858,"#,##0")&amp;"円）／","")&amp;IF(AND(INDEX(職員マスタ!$F$6:$F$405,$AP1858)&lt;&gt;"",$AQ1858&lt;&gt;"",INDEX(職員マスタ!$F$6:$F$405,$AP1858)&lt;$AQ1858),"対象月に子が2歳到達済／","")&amp;IF(AND($H1858&lt;&gt;"",INDEX(職員マスタ!$B$6:$B$405,$AP1858)&lt;&gt;"",SUBSTITUTE(SUBSTITUTE($H1858," ","")," ","")&lt;&gt;SUBSTITUTE(SUBSTITUTE(INDEX(職員マスタ!$B$6:$B$405,$AP1858)," ","")," ","")),"氏名がマスタと相違／","")&amp;IF(AND($Q1858&lt;&gt;"",INDEX(職員マスタ!$E$6:$E$405,$AP1858)&lt;&gt;"",$Q1858&lt;&gt;INDEX(職員マスタ!$E$6:$E$405,$AP1858)),"子の生年月日がマスタと相違／","")&amp;IF(AND($L1858&lt;&gt;"",INDEX(職員マスタ!$G$6:$G$405,$AP1858)&lt;&gt;"",$L1858&lt;&gt;INDEX(職員マスタ!$G$6:$G$405,$AP1858)),"時短開始日がマスタと相違／","")&amp;IF(AND($M1858&lt;&gt;"",INDEX(職員マスタ!$H$6:$H$405,$AP1858)&lt;&gt;"",$M1858&lt;&gt;INDEX(職員マスタ!$H$6:$H$405,$AP1858)),"時短終了日がマスタと相違／","")))&amp;IF(AND($B1858&lt;&gt;"",$E1858=""),"報酬額が未入力／","")&amp;IF(N($U1858)&gt;0,"申請書に入力エラーが残っています／","")&amp;IF(AND($B1858&lt;&gt;"",$AQ1858&lt;&gt;""),IF(COUNTIFS($B$6:$B$3005,$B1858,$C$6:$C$3005,$C1858,$D$6:$D$3005,$D1858)&gt;1,"同じ月の請求が重複しています／",""),"")&amp;IF(AND(N($E1858)&gt;0,$AB1858&lt;&gt;"",$AB1858&lt;&gt;"×",$AE1858=0,$AD1858=""),"計算額が下限以下のため不支給／",""))</f>
        <v/>
      </c>
      <c r="AN1858" s="12" t="n"/>
      <c r="AO1858" s="14">
        <f>IF($AF1858="保留中",COUNTIF($AF$6:$AF1858,"保留中"),"")</f>
        <v/>
      </c>
      <c r="AP1858" s="14">
        <f>IF($AQ1858="","",IF(SUMPRODUCT(MAX((職員マスタ!$A$6:$A$405=$B1858)*(((職員マスタ!$G$6:$G$405="")+(職員マスタ!$G$6:$G$405&lt;=EOMONTH($AQ1858,0)))&gt;0)*(((職員マスタ!$H$6:$H$405="")+(職員マスタ!$H$6:$H$405&gt;=$AQ1858))&gt;0)*(ROW(職員マスタ!$A$6:$A$405)-5)))&gt;0,SUMPRODUCT(MAX((職員マスタ!$A$6:$A$405=$B1858)*(((職員マスタ!$G$6:$G$405="")+(職員マスタ!$G$6:$G$405&lt;=EOMONTH($AQ1858,0)))&gt;0)*(((職員マスタ!$H$6:$H$405="")+(職員マスタ!$H$6:$H$405&gt;=$AQ1858))&gt;0)*(ROW(職員マスタ!$A$6:$A$405)-5))),IFERROR(MATCH($B1858,職員マスタ!$A$6:$A$405,0),"")))</f>
        <v/>
      </c>
      <c r="AQ1858" s="16">
        <f>IF(OR($B1858="",$C1858="",$D1858=""),"",DATE($C1858+2018,$D1858,1))</f>
        <v/>
      </c>
    </row>
    <row r="1859">
      <c r="A1859" s="11" t="n"/>
      <c r="B1859" s="12" t="n"/>
      <c r="C1859" s="12" t="n"/>
      <c r="D1859" s="12" t="n"/>
      <c r="E1859" s="13" t="n"/>
      <c r="F1859" s="12" t="n"/>
      <c r="G1859" s="13" t="n"/>
      <c r="H1859" s="12" t="n"/>
      <c r="I1859" s="12" t="n"/>
      <c r="J1859" s="12" t="n"/>
      <c r="K1859" s="12" t="n"/>
      <c r="L1859" s="11" t="n"/>
      <c r="M1859" s="11" t="n"/>
      <c r="N1859" s="11" t="n"/>
      <c r="O1859" s="11" t="n"/>
      <c r="P1859" s="12" t="n"/>
      <c r="Q1859" s="11" t="n"/>
      <c r="R1859" s="12" t="n"/>
      <c r="S1859" s="11" t="n"/>
      <c r="T1859" s="12" t="n"/>
      <c r="U1859" s="12" t="n"/>
      <c r="V1859" s="12" t="n"/>
      <c r="W1859" s="13" t="n"/>
      <c r="X1859" s="14">
        <f>IF($AP1859="",IF($B1859="","",$H1859),IF(INDEX(職員マスタ!$B$6:$B$405,$AP1859)="",$H1859,INDEX(職員マスタ!$B$6:$B$405,$AP1859)))</f>
        <v/>
      </c>
      <c r="Y1859" s="14">
        <f>IF($AP1859="",IF($B1859="","",$R1859),IF(INDEX(職員マスタ!$C$6:$C$405,$AP1859)="",$R1859,INDEX(職員マスタ!$C$6:$C$405,$AP1859)))</f>
        <v/>
      </c>
      <c r="Z1859" s="14">
        <f>IF($AQ1859="","","R"&amp;$C1859&amp;"."&amp;$D1859)</f>
        <v/>
      </c>
      <c r="AA1859" s="15">
        <f>IF(IF($AP1859="",FALSE,INDEX(職員マスタ!$K$6:$K$405,$AP1859)&lt;&gt;""),INDEX(職員マスタ!$K$6:$K$405,$AP1859),IF(N($W1859)&gt;0,$W1859,""))</f>
        <v/>
      </c>
      <c r="AB1859" s="14">
        <f>IF(OR($E1859="",$AA1859=""),"",IF($E1859&gt;=$AA1859,"×",IF($E1859&gt;=$AA1859*設定!$C$5,"△","○")))</f>
        <v/>
      </c>
      <c r="AC1859" s="15">
        <f>IF($AB1859="","",IF($AB1859="×",0,IF($AB1859="○",ROUNDDOWN($E1859*設定!$C$4,0),ROUNDDOWN($E1859*ROUND((9*$AA1859-9*$E1859)/(10*$E1859),4),0))))</f>
        <v/>
      </c>
      <c r="AD1859" s="13" t="n"/>
      <c r="AE1859" s="15">
        <f>IF($B1859="","",IF($AD1859&lt;&gt;"",$AD1859,IF($AC1859="","",IF($AC1859&lt;=設定!$C$3,0,$AC1859))))</f>
        <v/>
      </c>
      <c r="AF1859" s="14">
        <f>IF($B1859="","",IF(AND($AG1859&lt;&gt;"",$AI1859="",$AL1859=""),"保留中",IF($AL1859&lt;&gt;"",IF(N($AE1859)&gt;0,"支給済","不支給"),IF($AE1859="","要確認",IF($AE1859=0,"不支給","未処理")))))</f>
        <v/>
      </c>
      <c r="AG1859" s="12" t="n"/>
      <c r="AH1859" s="11" t="n"/>
      <c r="AI1859" s="11" t="n"/>
      <c r="AJ1859" s="11" t="n"/>
      <c r="AK1859" s="14">
        <f>IF(AND($AF1859="保留中",$AH1859&lt;&gt;""),TODAY()-$AH1859,"")</f>
        <v/>
      </c>
      <c r="AL1859" s="12" t="n"/>
      <c r="AM1859" s="14">
        <f>IF($B1859="","",IF($AQ1859="","対象年月が未入力／","")&amp;IF($B1859="","",IF($AP1859="","職員マスタに未登録の職員番号／",IF($AA1859="","標準報酬月額が未登録／","")&amp;IF(AND($AQ1859&lt;&gt;"",OR(AND(INDEX(職員マスタ!$G$6:$G$405,$AP1859)&lt;&gt;"",INDEX(職員マスタ!$G$6:$G$405,$AP1859)&gt;EOMONTH($AQ1859,0)),AND(INDEX(職員マスタ!$H$6:$H$405,$AP1859)&lt;&gt;"",INDEX(職員マスタ!$H$6:$H$405,$AP1859)&lt;$AQ1859))),"対象月が時短期間外／","")&amp;IF(AND(INDEX(職員マスタ!$K$6:$K$405,$AP1859)&lt;&gt;"",N($W1859)&gt;0,INDEX(職員マスタ!$K$6:$K$405,$AP1859)&lt;&gt;$W1859),"標準報酬月額が申請書と相違（台帳"&amp;TEXT(INDEX(職員マスタ!$K$6:$K$405,$AP1859),"#,##0")&amp;"円／申請書"&amp;TEXT($W1859,"#,##0")&amp;"円）／","")&amp;IF(AND(INDEX(職員マスタ!$F$6:$F$405,$AP1859)&lt;&gt;"",$AQ1859&lt;&gt;"",INDEX(職員マスタ!$F$6:$F$405,$AP1859)&lt;$AQ1859),"対象月に子が2歳到達済／","")&amp;IF(AND($H1859&lt;&gt;"",INDEX(職員マスタ!$B$6:$B$405,$AP1859)&lt;&gt;"",SUBSTITUTE(SUBSTITUTE($H1859," ","")," ","")&lt;&gt;SUBSTITUTE(SUBSTITUTE(INDEX(職員マスタ!$B$6:$B$405,$AP1859)," ","")," ","")),"氏名がマスタと相違／","")&amp;IF(AND($Q1859&lt;&gt;"",INDEX(職員マスタ!$E$6:$E$405,$AP1859)&lt;&gt;"",$Q1859&lt;&gt;INDEX(職員マスタ!$E$6:$E$405,$AP1859)),"子の生年月日がマスタと相違／","")&amp;IF(AND($L1859&lt;&gt;"",INDEX(職員マスタ!$G$6:$G$405,$AP1859)&lt;&gt;"",$L1859&lt;&gt;INDEX(職員マスタ!$G$6:$G$405,$AP1859)),"時短開始日がマスタと相違／","")&amp;IF(AND($M1859&lt;&gt;"",INDEX(職員マスタ!$H$6:$H$405,$AP1859)&lt;&gt;"",$M1859&lt;&gt;INDEX(職員マスタ!$H$6:$H$405,$AP1859)),"時短終了日がマスタと相違／","")))&amp;IF(AND($B1859&lt;&gt;"",$E1859=""),"報酬額が未入力／","")&amp;IF(N($U1859)&gt;0,"申請書に入力エラーが残っています／","")&amp;IF(AND($B1859&lt;&gt;"",$AQ1859&lt;&gt;""),IF(COUNTIFS($B$6:$B$3005,$B1859,$C$6:$C$3005,$C1859,$D$6:$D$3005,$D1859)&gt;1,"同じ月の請求が重複しています／",""),"")&amp;IF(AND(N($E1859)&gt;0,$AB1859&lt;&gt;"",$AB1859&lt;&gt;"×",$AE1859=0,$AD1859=""),"計算額が下限以下のため不支給／",""))</f>
        <v/>
      </c>
      <c r="AN1859" s="12" t="n"/>
      <c r="AO1859" s="14">
        <f>IF($AF1859="保留中",COUNTIF($AF$6:$AF1859,"保留中"),"")</f>
        <v/>
      </c>
      <c r="AP1859" s="14">
        <f>IF($AQ1859="","",IF(SUMPRODUCT(MAX((職員マスタ!$A$6:$A$405=$B1859)*(((職員マスタ!$G$6:$G$405="")+(職員マスタ!$G$6:$G$405&lt;=EOMONTH($AQ1859,0)))&gt;0)*(((職員マスタ!$H$6:$H$405="")+(職員マスタ!$H$6:$H$405&gt;=$AQ1859))&gt;0)*(ROW(職員マスタ!$A$6:$A$405)-5)))&gt;0,SUMPRODUCT(MAX((職員マスタ!$A$6:$A$405=$B1859)*(((職員マスタ!$G$6:$G$405="")+(職員マスタ!$G$6:$G$405&lt;=EOMONTH($AQ1859,0)))&gt;0)*(((職員マスタ!$H$6:$H$405="")+(職員マスタ!$H$6:$H$405&gt;=$AQ1859))&gt;0)*(ROW(職員マスタ!$A$6:$A$405)-5))),IFERROR(MATCH($B1859,職員マスタ!$A$6:$A$405,0),"")))</f>
        <v/>
      </c>
      <c r="AQ1859" s="16">
        <f>IF(OR($B1859="",$C1859="",$D1859=""),"",DATE($C1859+2018,$D1859,1))</f>
        <v/>
      </c>
    </row>
    <row r="1860">
      <c r="A1860" s="11" t="n"/>
      <c r="B1860" s="12" t="n"/>
      <c r="C1860" s="12" t="n"/>
      <c r="D1860" s="12" t="n"/>
      <c r="E1860" s="13" t="n"/>
      <c r="F1860" s="12" t="n"/>
      <c r="G1860" s="13" t="n"/>
      <c r="H1860" s="12" t="n"/>
      <c r="I1860" s="12" t="n"/>
      <c r="J1860" s="12" t="n"/>
      <c r="K1860" s="12" t="n"/>
      <c r="L1860" s="11" t="n"/>
      <c r="M1860" s="11" t="n"/>
      <c r="N1860" s="11" t="n"/>
      <c r="O1860" s="11" t="n"/>
      <c r="P1860" s="12" t="n"/>
      <c r="Q1860" s="11" t="n"/>
      <c r="R1860" s="12" t="n"/>
      <c r="S1860" s="11" t="n"/>
      <c r="T1860" s="12" t="n"/>
      <c r="U1860" s="12" t="n"/>
      <c r="V1860" s="12" t="n"/>
      <c r="W1860" s="13" t="n"/>
      <c r="X1860" s="14">
        <f>IF($AP1860="",IF($B1860="","",$H1860),IF(INDEX(職員マスタ!$B$6:$B$405,$AP1860)="",$H1860,INDEX(職員マスタ!$B$6:$B$405,$AP1860)))</f>
        <v/>
      </c>
      <c r="Y1860" s="14">
        <f>IF($AP1860="",IF($B1860="","",$R1860),IF(INDEX(職員マスタ!$C$6:$C$405,$AP1860)="",$R1860,INDEX(職員マスタ!$C$6:$C$405,$AP1860)))</f>
        <v/>
      </c>
      <c r="Z1860" s="14">
        <f>IF($AQ1860="","","R"&amp;$C1860&amp;"."&amp;$D1860)</f>
        <v/>
      </c>
      <c r="AA1860" s="15">
        <f>IF(IF($AP1860="",FALSE,INDEX(職員マスタ!$K$6:$K$405,$AP1860)&lt;&gt;""),INDEX(職員マスタ!$K$6:$K$405,$AP1860),IF(N($W1860)&gt;0,$W1860,""))</f>
        <v/>
      </c>
      <c r="AB1860" s="14">
        <f>IF(OR($E1860="",$AA1860=""),"",IF($E1860&gt;=$AA1860,"×",IF($E1860&gt;=$AA1860*設定!$C$5,"△","○")))</f>
        <v/>
      </c>
      <c r="AC1860" s="15">
        <f>IF($AB1860="","",IF($AB1860="×",0,IF($AB1860="○",ROUNDDOWN($E1860*設定!$C$4,0),ROUNDDOWN($E1860*ROUND((9*$AA1860-9*$E1860)/(10*$E1860),4),0))))</f>
        <v/>
      </c>
      <c r="AD1860" s="13" t="n"/>
      <c r="AE1860" s="15">
        <f>IF($B1860="","",IF($AD1860&lt;&gt;"",$AD1860,IF($AC1860="","",IF($AC1860&lt;=設定!$C$3,0,$AC1860))))</f>
        <v/>
      </c>
      <c r="AF1860" s="14">
        <f>IF($B1860="","",IF(AND($AG1860&lt;&gt;"",$AI1860="",$AL1860=""),"保留中",IF($AL1860&lt;&gt;"",IF(N($AE1860)&gt;0,"支給済","不支給"),IF($AE1860="","要確認",IF($AE1860=0,"不支給","未処理")))))</f>
        <v/>
      </c>
      <c r="AG1860" s="12" t="n"/>
      <c r="AH1860" s="11" t="n"/>
      <c r="AI1860" s="11" t="n"/>
      <c r="AJ1860" s="11" t="n"/>
      <c r="AK1860" s="14">
        <f>IF(AND($AF1860="保留中",$AH1860&lt;&gt;""),TODAY()-$AH1860,"")</f>
        <v/>
      </c>
      <c r="AL1860" s="12" t="n"/>
      <c r="AM1860" s="14">
        <f>IF($B1860="","",IF($AQ1860="","対象年月が未入力／","")&amp;IF($B1860="","",IF($AP1860="","職員マスタに未登録の職員番号／",IF($AA1860="","標準報酬月額が未登録／","")&amp;IF(AND($AQ1860&lt;&gt;"",OR(AND(INDEX(職員マスタ!$G$6:$G$405,$AP1860)&lt;&gt;"",INDEX(職員マスタ!$G$6:$G$405,$AP1860)&gt;EOMONTH($AQ1860,0)),AND(INDEX(職員マスタ!$H$6:$H$405,$AP1860)&lt;&gt;"",INDEX(職員マスタ!$H$6:$H$405,$AP1860)&lt;$AQ1860))),"対象月が時短期間外／","")&amp;IF(AND(INDEX(職員マスタ!$K$6:$K$405,$AP1860)&lt;&gt;"",N($W1860)&gt;0,INDEX(職員マスタ!$K$6:$K$405,$AP1860)&lt;&gt;$W1860),"標準報酬月額が申請書と相違（台帳"&amp;TEXT(INDEX(職員マスタ!$K$6:$K$405,$AP1860),"#,##0")&amp;"円／申請書"&amp;TEXT($W1860,"#,##0")&amp;"円）／","")&amp;IF(AND(INDEX(職員マスタ!$F$6:$F$405,$AP1860)&lt;&gt;"",$AQ1860&lt;&gt;"",INDEX(職員マスタ!$F$6:$F$405,$AP1860)&lt;$AQ1860),"対象月に子が2歳到達済／","")&amp;IF(AND($H1860&lt;&gt;"",INDEX(職員マスタ!$B$6:$B$405,$AP1860)&lt;&gt;"",SUBSTITUTE(SUBSTITUTE($H1860," ","")," ","")&lt;&gt;SUBSTITUTE(SUBSTITUTE(INDEX(職員マスタ!$B$6:$B$405,$AP1860)," ","")," ","")),"氏名がマスタと相違／","")&amp;IF(AND($Q1860&lt;&gt;"",INDEX(職員マスタ!$E$6:$E$405,$AP1860)&lt;&gt;"",$Q1860&lt;&gt;INDEX(職員マスタ!$E$6:$E$405,$AP1860)),"子の生年月日がマスタと相違／","")&amp;IF(AND($L1860&lt;&gt;"",INDEX(職員マスタ!$G$6:$G$405,$AP1860)&lt;&gt;"",$L1860&lt;&gt;INDEX(職員マスタ!$G$6:$G$405,$AP1860)),"時短開始日がマスタと相違／","")&amp;IF(AND($M1860&lt;&gt;"",INDEX(職員マスタ!$H$6:$H$405,$AP1860)&lt;&gt;"",$M1860&lt;&gt;INDEX(職員マスタ!$H$6:$H$405,$AP1860)),"時短終了日がマスタと相違／","")))&amp;IF(AND($B1860&lt;&gt;"",$E1860=""),"報酬額が未入力／","")&amp;IF(N($U1860)&gt;0,"申請書に入力エラーが残っています／","")&amp;IF(AND($B1860&lt;&gt;"",$AQ1860&lt;&gt;""),IF(COUNTIFS($B$6:$B$3005,$B1860,$C$6:$C$3005,$C1860,$D$6:$D$3005,$D1860)&gt;1,"同じ月の請求が重複しています／",""),"")&amp;IF(AND(N($E1860)&gt;0,$AB1860&lt;&gt;"",$AB1860&lt;&gt;"×",$AE1860=0,$AD1860=""),"計算額が下限以下のため不支給／",""))</f>
        <v/>
      </c>
      <c r="AN1860" s="12" t="n"/>
      <c r="AO1860" s="14">
        <f>IF($AF1860="保留中",COUNTIF($AF$6:$AF1860,"保留中"),"")</f>
        <v/>
      </c>
      <c r="AP1860" s="14">
        <f>IF($AQ1860="","",IF(SUMPRODUCT(MAX((職員マスタ!$A$6:$A$405=$B1860)*(((職員マスタ!$G$6:$G$405="")+(職員マスタ!$G$6:$G$405&lt;=EOMONTH($AQ1860,0)))&gt;0)*(((職員マスタ!$H$6:$H$405="")+(職員マスタ!$H$6:$H$405&gt;=$AQ1860))&gt;0)*(ROW(職員マスタ!$A$6:$A$405)-5)))&gt;0,SUMPRODUCT(MAX((職員マスタ!$A$6:$A$405=$B1860)*(((職員マスタ!$G$6:$G$405="")+(職員マスタ!$G$6:$G$405&lt;=EOMONTH($AQ1860,0)))&gt;0)*(((職員マスタ!$H$6:$H$405="")+(職員マスタ!$H$6:$H$405&gt;=$AQ1860))&gt;0)*(ROW(職員マスタ!$A$6:$A$405)-5))),IFERROR(MATCH($B1860,職員マスタ!$A$6:$A$405,0),"")))</f>
        <v/>
      </c>
      <c r="AQ1860" s="16">
        <f>IF(OR($B1860="",$C1860="",$D1860=""),"",DATE($C1860+2018,$D1860,1))</f>
        <v/>
      </c>
    </row>
    <row r="1861">
      <c r="A1861" s="11" t="n"/>
      <c r="B1861" s="12" t="n"/>
      <c r="C1861" s="12" t="n"/>
      <c r="D1861" s="12" t="n"/>
      <c r="E1861" s="13" t="n"/>
      <c r="F1861" s="12" t="n"/>
      <c r="G1861" s="13" t="n"/>
      <c r="H1861" s="12" t="n"/>
      <c r="I1861" s="12" t="n"/>
      <c r="J1861" s="12" t="n"/>
      <c r="K1861" s="12" t="n"/>
      <c r="L1861" s="11" t="n"/>
      <c r="M1861" s="11" t="n"/>
      <c r="N1861" s="11" t="n"/>
      <c r="O1861" s="11" t="n"/>
      <c r="P1861" s="12" t="n"/>
      <c r="Q1861" s="11" t="n"/>
      <c r="R1861" s="12" t="n"/>
      <c r="S1861" s="11" t="n"/>
      <c r="T1861" s="12" t="n"/>
      <c r="U1861" s="12" t="n"/>
      <c r="V1861" s="12" t="n"/>
      <c r="W1861" s="13" t="n"/>
      <c r="X1861" s="14">
        <f>IF($AP1861="",IF($B1861="","",$H1861),IF(INDEX(職員マスタ!$B$6:$B$405,$AP1861)="",$H1861,INDEX(職員マスタ!$B$6:$B$405,$AP1861)))</f>
        <v/>
      </c>
      <c r="Y1861" s="14">
        <f>IF($AP1861="",IF($B1861="","",$R1861),IF(INDEX(職員マスタ!$C$6:$C$405,$AP1861)="",$R1861,INDEX(職員マスタ!$C$6:$C$405,$AP1861)))</f>
        <v/>
      </c>
      <c r="Z1861" s="14">
        <f>IF($AQ1861="","","R"&amp;$C1861&amp;"."&amp;$D1861)</f>
        <v/>
      </c>
      <c r="AA1861" s="15">
        <f>IF(IF($AP1861="",FALSE,INDEX(職員マスタ!$K$6:$K$405,$AP1861)&lt;&gt;""),INDEX(職員マスタ!$K$6:$K$405,$AP1861),IF(N($W1861)&gt;0,$W1861,""))</f>
        <v/>
      </c>
      <c r="AB1861" s="14">
        <f>IF(OR($E1861="",$AA1861=""),"",IF($E1861&gt;=$AA1861,"×",IF($E1861&gt;=$AA1861*設定!$C$5,"△","○")))</f>
        <v/>
      </c>
      <c r="AC1861" s="15">
        <f>IF($AB1861="","",IF($AB1861="×",0,IF($AB1861="○",ROUNDDOWN($E1861*設定!$C$4,0),ROUNDDOWN($E1861*ROUND((9*$AA1861-9*$E1861)/(10*$E1861),4),0))))</f>
        <v/>
      </c>
      <c r="AD1861" s="13" t="n"/>
      <c r="AE1861" s="15">
        <f>IF($B1861="","",IF($AD1861&lt;&gt;"",$AD1861,IF($AC1861="","",IF($AC1861&lt;=設定!$C$3,0,$AC1861))))</f>
        <v/>
      </c>
      <c r="AF1861" s="14">
        <f>IF($B1861="","",IF(AND($AG1861&lt;&gt;"",$AI1861="",$AL1861=""),"保留中",IF($AL1861&lt;&gt;"",IF(N($AE1861)&gt;0,"支給済","不支給"),IF($AE1861="","要確認",IF($AE1861=0,"不支給","未処理")))))</f>
        <v/>
      </c>
      <c r="AG1861" s="12" t="n"/>
      <c r="AH1861" s="11" t="n"/>
      <c r="AI1861" s="11" t="n"/>
      <c r="AJ1861" s="11" t="n"/>
      <c r="AK1861" s="14">
        <f>IF(AND($AF1861="保留中",$AH1861&lt;&gt;""),TODAY()-$AH1861,"")</f>
        <v/>
      </c>
      <c r="AL1861" s="12" t="n"/>
      <c r="AM1861" s="14">
        <f>IF($B1861="","",IF($AQ1861="","対象年月が未入力／","")&amp;IF($B1861="","",IF($AP1861="","職員マスタに未登録の職員番号／",IF($AA1861="","標準報酬月額が未登録／","")&amp;IF(AND($AQ1861&lt;&gt;"",OR(AND(INDEX(職員マスタ!$G$6:$G$405,$AP1861)&lt;&gt;"",INDEX(職員マスタ!$G$6:$G$405,$AP1861)&gt;EOMONTH($AQ1861,0)),AND(INDEX(職員マスタ!$H$6:$H$405,$AP1861)&lt;&gt;"",INDEX(職員マスタ!$H$6:$H$405,$AP1861)&lt;$AQ1861))),"対象月が時短期間外／","")&amp;IF(AND(INDEX(職員マスタ!$K$6:$K$405,$AP1861)&lt;&gt;"",N($W1861)&gt;0,INDEX(職員マスタ!$K$6:$K$405,$AP1861)&lt;&gt;$W1861),"標準報酬月額が申請書と相違（台帳"&amp;TEXT(INDEX(職員マスタ!$K$6:$K$405,$AP1861),"#,##0")&amp;"円／申請書"&amp;TEXT($W1861,"#,##0")&amp;"円）／","")&amp;IF(AND(INDEX(職員マスタ!$F$6:$F$405,$AP1861)&lt;&gt;"",$AQ1861&lt;&gt;"",INDEX(職員マスタ!$F$6:$F$405,$AP1861)&lt;$AQ1861),"対象月に子が2歳到達済／","")&amp;IF(AND($H1861&lt;&gt;"",INDEX(職員マスタ!$B$6:$B$405,$AP1861)&lt;&gt;"",SUBSTITUTE(SUBSTITUTE($H1861," ","")," ","")&lt;&gt;SUBSTITUTE(SUBSTITUTE(INDEX(職員マスタ!$B$6:$B$405,$AP1861)," ","")," ","")),"氏名がマスタと相違／","")&amp;IF(AND($Q1861&lt;&gt;"",INDEX(職員マスタ!$E$6:$E$405,$AP1861)&lt;&gt;"",$Q1861&lt;&gt;INDEX(職員マスタ!$E$6:$E$405,$AP1861)),"子の生年月日がマスタと相違／","")&amp;IF(AND($L1861&lt;&gt;"",INDEX(職員マスタ!$G$6:$G$405,$AP1861)&lt;&gt;"",$L1861&lt;&gt;INDEX(職員マスタ!$G$6:$G$405,$AP1861)),"時短開始日がマスタと相違／","")&amp;IF(AND($M1861&lt;&gt;"",INDEX(職員マスタ!$H$6:$H$405,$AP1861)&lt;&gt;"",$M1861&lt;&gt;INDEX(職員マスタ!$H$6:$H$405,$AP1861)),"時短終了日がマスタと相違／","")))&amp;IF(AND($B1861&lt;&gt;"",$E1861=""),"報酬額が未入力／","")&amp;IF(N($U1861)&gt;0,"申請書に入力エラーが残っています／","")&amp;IF(AND($B1861&lt;&gt;"",$AQ1861&lt;&gt;""),IF(COUNTIFS($B$6:$B$3005,$B1861,$C$6:$C$3005,$C1861,$D$6:$D$3005,$D1861)&gt;1,"同じ月の請求が重複しています／",""),"")&amp;IF(AND(N($E1861)&gt;0,$AB1861&lt;&gt;"",$AB1861&lt;&gt;"×",$AE1861=0,$AD1861=""),"計算額が下限以下のため不支給／",""))</f>
        <v/>
      </c>
      <c r="AN1861" s="12" t="n"/>
      <c r="AO1861" s="14">
        <f>IF($AF1861="保留中",COUNTIF($AF$6:$AF1861,"保留中"),"")</f>
        <v/>
      </c>
      <c r="AP1861" s="14">
        <f>IF($AQ1861="","",IF(SUMPRODUCT(MAX((職員マスタ!$A$6:$A$405=$B1861)*(((職員マスタ!$G$6:$G$405="")+(職員マスタ!$G$6:$G$405&lt;=EOMONTH($AQ1861,0)))&gt;0)*(((職員マスタ!$H$6:$H$405="")+(職員マスタ!$H$6:$H$405&gt;=$AQ1861))&gt;0)*(ROW(職員マスタ!$A$6:$A$405)-5)))&gt;0,SUMPRODUCT(MAX((職員マスタ!$A$6:$A$405=$B1861)*(((職員マスタ!$G$6:$G$405="")+(職員マスタ!$G$6:$G$405&lt;=EOMONTH($AQ1861,0)))&gt;0)*(((職員マスタ!$H$6:$H$405="")+(職員マスタ!$H$6:$H$405&gt;=$AQ1861))&gt;0)*(ROW(職員マスタ!$A$6:$A$405)-5))),IFERROR(MATCH($B1861,職員マスタ!$A$6:$A$405,0),"")))</f>
        <v/>
      </c>
      <c r="AQ1861" s="16">
        <f>IF(OR($B1861="",$C1861="",$D1861=""),"",DATE($C1861+2018,$D1861,1))</f>
        <v/>
      </c>
    </row>
    <row r="1862">
      <c r="A1862" s="11" t="n"/>
      <c r="B1862" s="12" t="n"/>
      <c r="C1862" s="12" t="n"/>
      <c r="D1862" s="12" t="n"/>
      <c r="E1862" s="13" t="n"/>
      <c r="F1862" s="12" t="n"/>
      <c r="G1862" s="13" t="n"/>
      <c r="H1862" s="12" t="n"/>
      <c r="I1862" s="12" t="n"/>
      <c r="J1862" s="12" t="n"/>
      <c r="K1862" s="12" t="n"/>
      <c r="L1862" s="11" t="n"/>
      <c r="M1862" s="11" t="n"/>
      <c r="N1862" s="11" t="n"/>
      <c r="O1862" s="11" t="n"/>
      <c r="P1862" s="12" t="n"/>
      <c r="Q1862" s="11" t="n"/>
      <c r="R1862" s="12" t="n"/>
      <c r="S1862" s="11" t="n"/>
      <c r="T1862" s="12" t="n"/>
      <c r="U1862" s="12" t="n"/>
      <c r="V1862" s="12" t="n"/>
      <c r="W1862" s="13" t="n"/>
      <c r="X1862" s="14">
        <f>IF($AP1862="",IF($B1862="","",$H1862),IF(INDEX(職員マスタ!$B$6:$B$405,$AP1862)="",$H1862,INDEX(職員マスタ!$B$6:$B$405,$AP1862)))</f>
        <v/>
      </c>
      <c r="Y1862" s="14">
        <f>IF($AP1862="",IF($B1862="","",$R1862),IF(INDEX(職員マスタ!$C$6:$C$405,$AP1862)="",$R1862,INDEX(職員マスタ!$C$6:$C$405,$AP1862)))</f>
        <v/>
      </c>
      <c r="Z1862" s="14">
        <f>IF($AQ1862="","","R"&amp;$C1862&amp;"."&amp;$D1862)</f>
        <v/>
      </c>
      <c r="AA1862" s="15">
        <f>IF(IF($AP1862="",FALSE,INDEX(職員マスタ!$K$6:$K$405,$AP1862)&lt;&gt;""),INDEX(職員マスタ!$K$6:$K$405,$AP1862),IF(N($W1862)&gt;0,$W1862,""))</f>
        <v/>
      </c>
      <c r="AB1862" s="14">
        <f>IF(OR($E1862="",$AA1862=""),"",IF($E1862&gt;=$AA1862,"×",IF($E1862&gt;=$AA1862*設定!$C$5,"△","○")))</f>
        <v/>
      </c>
      <c r="AC1862" s="15">
        <f>IF($AB1862="","",IF($AB1862="×",0,IF($AB1862="○",ROUNDDOWN($E1862*設定!$C$4,0),ROUNDDOWN($E1862*ROUND((9*$AA1862-9*$E1862)/(10*$E1862),4),0))))</f>
        <v/>
      </c>
      <c r="AD1862" s="13" t="n"/>
      <c r="AE1862" s="15">
        <f>IF($B1862="","",IF($AD1862&lt;&gt;"",$AD1862,IF($AC1862="","",IF($AC1862&lt;=設定!$C$3,0,$AC1862))))</f>
        <v/>
      </c>
      <c r="AF1862" s="14">
        <f>IF($B1862="","",IF(AND($AG1862&lt;&gt;"",$AI1862="",$AL1862=""),"保留中",IF($AL1862&lt;&gt;"",IF(N($AE1862)&gt;0,"支給済","不支給"),IF($AE1862="","要確認",IF($AE1862=0,"不支給","未処理")))))</f>
        <v/>
      </c>
      <c r="AG1862" s="12" t="n"/>
      <c r="AH1862" s="11" t="n"/>
      <c r="AI1862" s="11" t="n"/>
      <c r="AJ1862" s="11" t="n"/>
      <c r="AK1862" s="14">
        <f>IF(AND($AF1862="保留中",$AH1862&lt;&gt;""),TODAY()-$AH1862,"")</f>
        <v/>
      </c>
      <c r="AL1862" s="12" t="n"/>
      <c r="AM1862" s="14">
        <f>IF($B1862="","",IF($AQ1862="","対象年月が未入力／","")&amp;IF($B1862="","",IF($AP1862="","職員マスタに未登録の職員番号／",IF($AA1862="","標準報酬月額が未登録／","")&amp;IF(AND($AQ1862&lt;&gt;"",OR(AND(INDEX(職員マスタ!$G$6:$G$405,$AP1862)&lt;&gt;"",INDEX(職員マスタ!$G$6:$G$405,$AP1862)&gt;EOMONTH($AQ1862,0)),AND(INDEX(職員マスタ!$H$6:$H$405,$AP1862)&lt;&gt;"",INDEX(職員マスタ!$H$6:$H$405,$AP1862)&lt;$AQ1862))),"対象月が時短期間外／","")&amp;IF(AND(INDEX(職員マスタ!$K$6:$K$405,$AP1862)&lt;&gt;"",N($W1862)&gt;0,INDEX(職員マスタ!$K$6:$K$405,$AP1862)&lt;&gt;$W1862),"標準報酬月額が申請書と相違（台帳"&amp;TEXT(INDEX(職員マスタ!$K$6:$K$405,$AP1862),"#,##0")&amp;"円／申請書"&amp;TEXT($W1862,"#,##0")&amp;"円）／","")&amp;IF(AND(INDEX(職員マスタ!$F$6:$F$405,$AP1862)&lt;&gt;"",$AQ1862&lt;&gt;"",INDEX(職員マスタ!$F$6:$F$405,$AP1862)&lt;$AQ1862),"対象月に子が2歳到達済／","")&amp;IF(AND($H1862&lt;&gt;"",INDEX(職員マスタ!$B$6:$B$405,$AP1862)&lt;&gt;"",SUBSTITUTE(SUBSTITUTE($H1862," ","")," ","")&lt;&gt;SUBSTITUTE(SUBSTITUTE(INDEX(職員マスタ!$B$6:$B$405,$AP1862)," ","")," ","")),"氏名がマスタと相違／","")&amp;IF(AND($Q1862&lt;&gt;"",INDEX(職員マスタ!$E$6:$E$405,$AP1862)&lt;&gt;"",$Q1862&lt;&gt;INDEX(職員マスタ!$E$6:$E$405,$AP1862)),"子の生年月日がマスタと相違／","")&amp;IF(AND($L1862&lt;&gt;"",INDEX(職員マスタ!$G$6:$G$405,$AP1862)&lt;&gt;"",$L1862&lt;&gt;INDEX(職員マスタ!$G$6:$G$405,$AP1862)),"時短開始日がマスタと相違／","")&amp;IF(AND($M1862&lt;&gt;"",INDEX(職員マスタ!$H$6:$H$405,$AP1862)&lt;&gt;"",$M1862&lt;&gt;INDEX(職員マスタ!$H$6:$H$405,$AP1862)),"時短終了日がマスタと相違／","")))&amp;IF(AND($B1862&lt;&gt;"",$E1862=""),"報酬額が未入力／","")&amp;IF(N($U1862)&gt;0,"申請書に入力エラーが残っています／","")&amp;IF(AND($B1862&lt;&gt;"",$AQ1862&lt;&gt;""),IF(COUNTIFS($B$6:$B$3005,$B1862,$C$6:$C$3005,$C1862,$D$6:$D$3005,$D1862)&gt;1,"同じ月の請求が重複しています／",""),"")&amp;IF(AND(N($E1862)&gt;0,$AB1862&lt;&gt;"",$AB1862&lt;&gt;"×",$AE1862=0,$AD1862=""),"計算額が下限以下のため不支給／",""))</f>
        <v/>
      </c>
      <c r="AN1862" s="12" t="n"/>
      <c r="AO1862" s="14">
        <f>IF($AF1862="保留中",COUNTIF($AF$6:$AF1862,"保留中"),"")</f>
        <v/>
      </c>
      <c r="AP1862" s="14">
        <f>IF($AQ1862="","",IF(SUMPRODUCT(MAX((職員マスタ!$A$6:$A$405=$B1862)*(((職員マスタ!$G$6:$G$405="")+(職員マスタ!$G$6:$G$405&lt;=EOMONTH($AQ1862,0)))&gt;0)*(((職員マスタ!$H$6:$H$405="")+(職員マスタ!$H$6:$H$405&gt;=$AQ1862))&gt;0)*(ROW(職員マスタ!$A$6:$A$405)-5)))&gt;0,SUMPRODUCT(MAX((職員マスタ!$A$6:$A$405=$B1862)*(((職員マスタ!$G$6:$G$405="")+(職員マスタ!$G$6:$G$405&lt;=EOMONTH($AQ1862,0)))&gt;0)*(((職員マスタ!$H$6:$H$405="")+(職員マスタ!$H$6:$H$405&gt;=$AQ1862))&gt;0)*(ROW(職員マスタ!$A$6:$A$405)-5))),IFERROR(MATCH($B1862,職員マスタ!$A$6:$A$405,0),"")))</f>
        <v/>
      </c>
      <c r="AQ1862" s="16">
        <f>IF(OR($B1862="",$C1862="",$D1862=""),"",DATE($C1862+2018,$D1862,1))</f>
        <v/>
      </c>
    </row>
    <row r="1863">
      <c r="A1863" s="11" t="n"/>
      <c r="B1863" s="12" t="n"/>
      <c r="C1863" s="12" t="n"/>
      <c r="D1863" s="12" t="n"/>
      <c r="E1863" s="13" t="n"/>
      <c r="F1863" s="12" t="n"/>
      <c r="G1863" s="13" t="n"/>
      <c r="H1863" s="12" t="n"/>
      <c r="I1863" s="12" t="n"/>
      <c r="J1863" s="12" t="n"/>
      <c r="K1863" s="12" t="n"/>
      <c r="L1863" s="11" t="n"/>
      <c r="M1863" s="11" t="n"/>
      <c r="N1863" s="11" t="n"/>
      <c r="O1863" s="11" t="n"/>
      <c r="P1863" s="12" t="n"/>
      <c r="Q1863" s="11" t="n"/>
      <c r="R1863" s="12" t="n"/>
      <c r="S1863" s="11" t="n"/>
      <c r="T1863" s="12" t="n"/>
      <c r="U1863" s="12" t="n"/>
      <c r="V1863" s="12" t="n"/>
      <c r="W1863" s="13" t="n"/>
      <c r="X1863" s="14">
        <f>IF($AP1863="",IF($B1863="","",$H1863),IF(INDEX(職員マスタ!$B$6:$B$405,$AP1863)="",$H1863,INDEX(職員マスタ!$B$6:$B$405,$AP1863)))</f>
        <v/>
      </c>
      <c r="Y1863" s="14">
        <f>IF($AP1863="",IF($B1863="","",$R1863),IF(INDEX(職員マスタ!$C$6:$C$405,$AP1863)="",$R1863,INDEX(職員マスタ!$C$6:$C$405,$AP1863)))</f>
        <v/>
      </c>
      <c r="Z1863" s="14">
        <f>IF($AQ1863="","","R"&amp;$C1863&amp;"."&amp;$D1863)</f>
        <v/>
      </c>
      <c r="AA1863" s="15">
        <f>IF(IF($AP1863="",FALSE,INDEX(職員マスタ!$K$6:$K$405,$AP1863)&lt;&gt;""),INDEX(職員マスタ!$K$6:$K$405,$AP1863),IF(N($W1863)&gt;0,$W1863,""))</f>
        <v/>
      </c>
      <c r="AB1863" s="14">
        <f>IF(OR($E1863="",$AA1863=""),"",IF($E1863&gt;=$AA1863,"×",IF($E1863&gt;=$AA1863*設定!$C$5,"△","○")))</f>
        <v/>
      </c>
      <c r="AC1863" s="15">
        <f>IF($AB1863="","",IF($AB1863="×",0,IF($AB1863="○",ROUNDDOWN($E1863*設定!$C$4,0),ROUNDDOWN($E1863*ROUND((9*$AA1863-9*$E1863)/(10*$E1863),4),0))))</f>
        <v/>
      </c>
      <c r="AD1863" s="13" t="n"/>
      <c r="AE1863" s="15">
        <f>IF($B1863="","",IF($AD1863&lt;&gt;"",$AD1863,IF($AC1863="","",IF($AC1863&lt;=設定!$C$3,0,$AC1863))))</f>
        <v/>
      </c>
      <c r="AF1863" s="14">
        <f>IF($B1863="","",IF(AND($AG1863&lt;&gt;"",$AI1863="",$AL1863=""),"保留中",IF($AL1863&lt;&gt;"",IF(N($AE1863)&gt;0,"支給済","不支給"),IF($AE1863="","要確認",IF($AE1863=0,"不支給","未処理")))))</f>
        <v/>
      </c>
      <c r="AG1863" s="12" t="n"/>
      <c r="AH1863" s="11" t="n"/>
      <c r="AI1863" s="11" t="n"/>
      <c r="AJ1863" s="11" t="n"/>
      <c r="AK1863" s="14">
        <f>IF(AND($AF1863="保留中",$AH1863&lt;&gt;""),TODAY()-$AH1863,"")</f>
        <v/>
      </c>
      <c r="AL1863" s="12" t="n"/>
      <c r="AM1863" s="14">
        <f>IF($B1863="","",IF($AQ1863="","対象年月が未入力／","")&amp;IF($B1863="","",IF($AP1863="","職員マスタに未登録の職員番号／",IF($AA1863="","標準報酬月額が未登録／","")&amp;IF(AND($AQ1863&lt;&gt;"",OR(AND(INDEX(職員マスタ!$G$6:$G$405,$AP1863)&lt;&gt;"",INDEX(職員マスタ!$G$6:$G$405,$AP1863)&gt;EOMONTH($AQ1863,0)),AND(INDEX(職員マスタ!$H$6:$H$405,$AP1863)&lt;&gt;"",INDEX(職員マスタ!$H$6:$H$405,$AP1863)&lt;$AQ1863))),"対象月が時短期間外／","")&amp;IF(AND(INDEX(職員マスタ!$K$6:$K$405,$AP1863)&lt;&gt;"",N($W1863)&gt;0,INDEX(職員マスタ!$K$6:$K$405,$AP1863)&lt;&gt;$W1863),"標準報酬月額が申請書と相違（台帳"&amp;TEXT(INDEX(職員マスタ!$K$6:$K$405,$AP1863),"#,##0")&amp;"円／申請書"&amp;TEXT($W1863,"#,##0")&amp;"円）／","")&amp;IF(AND(INDEX(職員マスタ!$F$6:$F$405,$AP1863)&lt;&gt;"",$AQ1863&lt;&gt;"",INDEX(職員マスタ!$F$6:$F$405,$AP1863)&lt;$AQ1863),"対象月に子が2歳到達済／","")&amp;IF(AND($H1863&lt;&gt;"",INDEX(職員マスタ!$B$6:$B$405,$AP1863)&lt;&gt;"",SUBSTITUTE(SUBSTITUTE($H1863," ","")," ","")&lt;&gt;SUBSTITUTE(SUBSTITUTE(INDEX(職員マスタ!$B$6:$B$405,$AP1863)," ","")," ","")),"氏名がマスタと相違／","")&amp;IF(AND($Q1863&lt;&gt;"",INDEX(職員マスタ!$E$6:$E$405,$AP1863)&lt;&gt;"",$Q1863&lt;&gt;INDEX(職員マスタ!$E$6:$E$405,$AP1863)),"子の生年月日がマスタと相違／","")&amp;IF(AND($L1863&lt;&gt;"",INDEX(職員マスタ!$G$6:$G$405,$AP1863)&lt;&gt;"",$L1863&lt;&gt;INDEX(職員マスタ!$G$6:$G$405,$AP1863)),"時短開始日がマスタと相違／","")&amp;IF(AND($M1863&lt;&gt;"",INDEX(職員マスタ!$H$6:$H$405,$AP1863)&lt;&gt;"",$M1863&lt;&gt;INDEX(職員マスタ!$H$6:$H$405,$AP1863)),"時短終了日がマスタと相違／","")))&amp;IF(AND($B1863&lt;&gt;"",$E1863=""),"報酬額が未入力／","")&amp;IF(N($U1863)&gt;0,"申請書に入力エラーが残っています／","")&amp;IF(AND($B1863&lt;&gt;"",$AQ1863&lt;&gt;""),IF(COUNTIFS($B$6:$B$3005,$B1863,$C$6:$C$3005,$C1863,$D$6:$D$3005,$D1863)&gt;1,"同じ月の請求が重複しています／",""),"")&amp;IF(AND(N($E1863)&gt;0,$AB1863&lt;&gt;"",$AB1863&lt;&gt;"×",$AE1863=0,$AD1863=""),"計算額が下限以下のため不支給／",""))</f>
        <v/>
      </c>
      <c r="AN1863" s="12" t="n"/>
      <c r="AO1863" s="14">
        <f>IF($AF1863="保留中",COUNTIF($AF$6:$AF1863,"保留中"),"")</f>
        <v/>
      </c>
      <c r="AP1863" s="14">
        <f>IF($AQ1863="","",IF(SUMPRODUCT(MAX((職員マスタ!$A$6:$A$405=$B1863)*(((職員マスタ!$G$6:$G$405="")+(職員マスタ!$G$6:$G$405&lt;=EOMONTH($AQ1863,0)))&gt;0)*(((職員マスタ!$H$6:$H$405="")+(職員マスタ!$H$6:$H$405&gt;=$AQ1863))&gt;0)*(ROW(職員マスタ!$A$6:$A$405)-5)))&gt;0,SUMPRODUCT(MAX((職員マスタ!$A$6:$A$405=$B1863)*(((職員マスタ!$G$6:$G$405="")+(職員マスタ!$G$6:$G$405&lt;=EOMONTH($AQ1863,0)))&gt;0)*(((職員マスタ!$H$6:$H$405="")+(職員マスタ!$H$6:$H$405&gt;=$AQ1863))&gt;0)*(ROW(職員マスタ!$A$6:$A$405)-5))),IFERROR(MATCH($B1863,職員マスタ!$A$6:$A$405,0),"")))</f>
        <v/>
      </c>
      <c r="AQ1863" s="16">
        <f>IF(OR($B1863="",$C1863="",$D1863=""),"",DATE($C1863+2018,$D1863,1))</f>
        <v/>
      </c>
    </row>
    <row r="1864">
      <c r="A1864" s="11" t="n"/>
      <c r="B1864" s="12" t="n"/>
      <c r="C1864" s="12" t="n"/>
      <c r="D1864" s="12" t="n"/>
      <c r="E1864" s="13" t="n"/>
      <c r="F1864" s="12" t="n"/>
      <c r="G1864" s="13" t="n"/>
      <c r="H1864" s="12" t="n"/>
      <c r="I1864" s="12" t="n"/>
      <c r="J1864" s="12" t="n"/>
      <c r="K1864" s="12" t="n"/>
      <c r="L1864" s="11" t="n"/>
      <c r="M1864" s="11" t="n"/>
      <c r="N1864" s="11" t="n"/>
      <c r="O1864" s="11" t="n"/>
      <c r="P1864" s="12" t="n"/>
      <c r="Q1864" s="11" t="n"/>
      <c r="R1864" s="12" t="n"/>
      <c r="S1864" s="11" t="n"/>
      <c r="T1864" s="12" t="n"/>
      <c r="U1864" s="12" t="n"/>
      <c r="V1864" s="12" t="n"/>
      <c r="W1864" s="13" t="n"/>
      <c r="X1864" s="14">
        <f>IF($AP1864="",IF($B1864="","",$H1864),IF(INDEX(職員マスタ!$B$6:$B$405,$AP1864)="",$H1864,INDEX(職員マスタ!$B$6:$B$405,$AP1864)))</f>
        <v/>
      </c>
      <c r="Y1864" s="14">
        <f>IF($AP1864="",IF($B1864="","",$R1864),IF(INDEX(職員マスタ!$C$6:$C$405,$AP1864)="",$R1864,INDEX(職員マスタ!$C$6:$C$405,$AP1864)))</f>
        <v/>
      </c>
      <c r="Z1864" s="14">
        <f>IF($AQ1864="","","R"&amp;$C1864&amp;"."&amp;$D1864)</f>
        <v/>
      </c>
      <c r="AA1864" s="15">
        <f>IF(IF($AP1864="",FALSE,INDEX(職員マスタ!$K$6:$K$405,$AP1864)&lt;&gt;""),INDEX(職員マスタ!$K$6:$K$405,$AP1864),IF(N($W1864)&gt;0,$W1864,""))</f>
        <v/>
      </c>
      <c r="AB1864" s="14">
        <f>IF(OR($E1864="",$AA1864=""),"",IF($E1864&gt;=$AA1864,"×",IF($E1864&gt;=$AA1864*設定!$C$5,"△","○")))</f>
        <v/>
      </c>
      <c r="AC1864" s="15">
        <f>IF($AB1864="","",IF($AB1864="×",0,IF($AB1864="○",ROUNDDOWN($E1864*設定!$C$4,0),ROUNDDOWN($E1864*ROUND((9*$AA1864-9*$E1864)/(10*$E1864),4),0))))</f>
        <v/>
      </c>
      <c r="AD1864" s="13" t="n"/>
      <c r="AE1864" s="15">
        <f>IF($B1864="","",IF($AD1864&lt;&gt;"",$AD1864,IF($AC1864="","",IF($AC1864&lt;=設定!$C$3,0,$AC1864))))</f>
        <v/>
      </c>
      <c r="AF1864" s="14">
        <f>IF($B1864="","",IF(AND($AG1864&lt;&gt;"",$AI1864="",$AL1864=""),"保留中",IF($AL1864&lt;&gt;"",IF(N($AE1864)&gt;0,"支給済","不支給"),IF($AE1864="","要確認",IF($AE1864=0,"不支給","未処理")))))</f>
        <v/>
      </c>
      <c r="AG1864" s="12" t="n"/>
      <c r="AH1864" s="11" t="n"/>
      <c r="AI1864" s="11" t="n"/>
      <c r="AJ1864" s="11" t="n"/>
      <c r="AK1864" s="14">
        <f>IF(AND($AF1864="保留中",$AH1864&lt;&gt;""),TODAY()-$AH1864,"")</f>
        <v/>
      </c>
      <c r="AL1864" s="12" t="n"/>
      <c r="AM1864" s="14">
        <f>IF($B1864="","",IF($AQ1864="","対象年月が未入力／","")&amp;IF($B1864="","",IF($AP1864="","職員マスタに未登録の職員番号／",IF($AA1864="","標準報酬月額が未登録／","")&amp;IF(AND($AQ1864&lt;&gt;"",OR(AND(INDEX(職員マスタ!$G$6:$G$405,$AP1864)&lt;&gt;"",INDEX(職員マスタ!$G$6:$G$405,$AP1864)&gt;EOMONTH($AQ1864,0)),AND(INDEX(職員マスタ!$H$6:$H$405,$AP1864)&lt;&gt;"",INDEX(職員マスタ!$H$6:$H$405,$AP1864)&lt;$AQ1864))),"対象月が時短期間外／","")&amp;IF(AND(INDEX(職員マスタ!$K$6:$K$405,$AP1864)&lt;&gt;"",N($W1864)&gt;0,INDEX(職員マスタ!$K$6:$K$405,$AP1864)&lt;&gt;$W1864),"標準報酬月額が申請書と相違（台帳"&amp;TEXT(INDEX(職員マスタ!$K$6:$K$405,$AP1864),"#,##0")&amp;"円／申請書"&amp;TEXT($W1864,"#,##0")&amp;"円）／","")&amp;IF(AND(INDEX(職員マスタ!$F$6:$F$405,$AP1864)&lt;&gt;"",$AQ1864&lt;&gt;"",INDEX(職員マスタ!$F$6:$F$405,$AP1864)&lt;$AQ1864),"対象月に子が2歳到達済／","")&amp;IF(AND($H1864&lt;&gt;"",INDEX(職員マスタ!$B$6:$B$405,$AP1864)&lt;&gt;"",SUBSTITUTE(SUBSTITUTE($H1864," ","")," ","")&lt;&gt;SUBSTITUTE(SUBSTITUTE(INDEX(職員マスタ!$B$6:$B$405,$AP1864)," ","")," ","")),"氏名がマスタと相違／","")&amp;IF(AND($Q1864&lt;&gt;"",INDEX(職員マスタ!$E$6:$E$405,$AP1864)&lt;&gt;"",$Q1864&lt;&gt;INDEX(職員マスタ!$E$6:$E$405,$AP1864)),"子の生年月日がマスタと相違／","")&amp;IF(AND($L1864&lt;&gt;"",INDEX(職員マスタ!$G$6:$G$405,$AP1864)&lt;&gt;"",$L1864&lt;&gt;INDEX(職員マスタ!$G$6:$G$405,$AP1864)),"時短開始日がマスタと相違／","")&amp;IF(AND($M1864&lt;&gt;"",INDEX(職員マスタ!$H$6:$H$405,$AP1864)&lt;&gt;"",$M1864&lt;&gt;INDEX(職員マスタ!$H$6:$H$405,$AP1864)),"時短終了日がマスタと相違／","")))&amp;IF(AND($B1864&lt;&gt;"",$E1864=""),"報酬額が未入力／","")&amp;IF(N($U1864)&gt;0,"申請書に入力エラーが残っています／","")&amp;IF(AND($B1864&lt;&gt;"",$AQ1864&lt;&gt;""),IF(COUNTIFS($B$6:$B$3005,$B1864,$C$6:$C$3005,$C1864,$D$6:$D$3005,$D1864)&gt;1,"同じ月の請求が重複しています／",""),"")&amp;IF(AND(N($E1864)&gt;0,$AB1864&lt;&gt;"",$AB1864&lt;&gt;"×",$AE1864=0,$AD1864=""),"計算額が下限以下のため不支給／",""))</f>
        <v/>
      </c>
      <c r="AN1864" s="12" t="n"/>
      <c r="AO1864" s="14">
        <f>IF($AF1864="保留中",COUNTIF($AF$6:$AF1864,"保留中"),"")</f>
        <v/>
      </c>
      <c r="AP1864" s="14">
        <f>IF($AQ1864="","",IF(SUMPRODUCT(MAX((職員マスタ!$A$6:$A$405=$B1864)*(((職員マスタ!$G$6:$G$405="")+(職員マスタ!$G$6:$G$405&lt;=EOMONTH($AQ1864,0)))&gt;0)*(((職員マスタ!$H$6:$H$405="")+(職員マスタ!$H$6:$H$405&gt;=$AQ1864))&gt;0)*(ROW(職員マスタ!$A$6:$A$405)-5)))&gt;0,SUMPRODUCT(MAX((職員マスタ!$A$6:$A$405=$B1864)*(((職員マスタ!$G$6:$G$405="")+(職員マスタ!$G$6:$G$405&lt;=EOMONTH($AQ1864,0)))&gt;0)*(((職員マスタ!$H$6:$H$405="")+(職員マスタ!$H$6:$H$405&gt;=$AQ1864))&gt;0)*(ROW(職員マスタ!$A$6:$A$405)-5))),IFERROR(MATCH($B1864,職員マスタ!$A$6:$A$405,0),"")))</f>
        <v/>
      </c>
      <c r="AQ1864" s="16">
        <f>IF(OR($B1864="",$C1864="",$D1864=""),"",DATE($C1864+2018,$D1864,1))</f>
        <v/>
      </c>
    </row>
    <row r="1865">
      <c r="A1865" s="11" t="n"/>
      <c r="B1865" s="12" t="n"/>
      <c r="C1865" s="12" t="n"/>
      <c r="D1865" s="12" t="n"/>
      <c r="E1865" s="13" t="n"/>
      <c r="F1865" s="12" t="n"/>
      <c r="G1865" s="13" t="n"/>
      <c r="H1865" s="12" t="n"/>
      <c r="I1865" s="12" t="n"/>
      <c r="J1865" s="12" t="n"/>
      <c r="K1865" s="12" t="n"/>
      <c r="L1865" s="11" t="n"/>
      <c r="M1865" s="11" t="n"/>
      <c r="N1865" s="11" t="n"/>
      <c r="O1865" s="11" t="n"/>
      <c r="P1865" s="12" t="n"/>
      <c r="Q1865" s="11" t="n"/>
      <c r="R1865" s="12" t="n"/>
      <c r="S1865" s="11" t="n"/>
      <c r="T1865" s="12" t="n"/>
      <c r="U1865" s="12" t="n"/>
      <c r="V1865" s="12" t="n"/>
      <c r="W1865" s="13" t="n"/>
      <c r="X1865" s="14">
        <f>IF($AP1865="",IF($B1865="","",$H1865),IF(INDEX(職員マスタ!$B$6:$B$405,$AP1865)="",$H1865,INDEX(職員マスタ!$B$6:$B$405,$AP1865)))</f>
        <v/>
      </c>
      <c r="Y1865" s="14">
        <f>IF($AP1865="",IF($B1865="","",$R1865),IF(INDEX(職員マスタ!$C$6:$C$405,$AP1865)="",$R1865,INDEX(職員マスタ!$C$6:$C$405,$AP1865)))</f>
        <v/>
      </c>
      <c r="Z1865" s="14">
        <f>IF($AQ1865="","","R"&amp;$C1865&amp;"."&amp;$D1865)</f>
        <v/>
      </c>
      <c r="AA1865" s="15">
        <f>IF(IF($AP1865="",FALSE,INDEX(職員マスタ!$K$6:$K$405,$AP1865)&lt;&gt;""),INDEX(職員マスタ!$K$6:$K$405,$AP1865),IF(N($W1865)&gt;0,$W1865,""))</f>
        <v/>
      </c>
      <c r="AB1865" s="14">
        <f>IF(OR($E1865="",$AA1865=""),"",IF($E1865&gt;=$AA1865,"×",IF($E1865&gt;=$AA1865*設定!$C$5,"△","○")))</f>
        <v/>
      </c>
      <c r="AC1865" s="15">
        <f>IF($AB1865="","",IF($AB1865="×",0,IF($AB1865="○",ROUNDDOWN($E1865*設定!$C$4,0),ROUNDDOWN($E1865*ROUND((9*$AA1865-9*$E1865)/(10*$E1865),4),0))))</f>
        <v/>
      </c>
      <c r="AD1865" s="13" t="n"/>
      <c r="AE1865" s="15">
        <f>IF($B1865="","",IF($AD1865&lt;&gt;"",$AD1865,IF($AC1865="","",IF($AC1865&lt;=設定!$C$3,0,$AC1865))))</f>
        <v/>
      </c>
      <c r="AF1865" s="14">
        <f>IF($B1865="","",IF(AND($AG1865&lt;&gt;"",$AI1865="",$AL1865=""),"保留中",IF($AL1865&lt;&gt;"",IF(N($AE1865)&gt;0,"支給済","不支給"),IF($AE1865="","要確認",IF($AE1865=0,"不支給","未処理")))))</f>
        <v/>
      </c>
      <c r="AG1865" s="12" t="n"/>
      <c r="AH1865" s="11" t="n"/>
      <c r="AI1865" s="11" t="n"/>
      <c r="AJ1865" s="11" t="n"/>
      <c r="AK1865" s="14">
        <f>IF(AND($AF1865="保留中",$AH1865&lt;&gt;""),TODAY()-$AH1865,"")</f>
        <v/>
      </c>
      <c r="AL1865" s="12" t="n"/>
      <c r="AM1865" s="14">
        <f>IF($B1865="","",IF($AQ1865="","対象年月が未入力／","")&amp;IF($B1865="","",IF($AP1865="","職員マスタに未登録の職員番号／",IF($AA1865="","標準報酬月額が未登録／","")&amp;IF(AND($AQ1865&lt;&gt;"",OR(AND(INDEX(職員マスタ!$G$6:$G$405,$AP1865)&lt;&gt;"",INDEX(職員マスタ!$G$6:$G$405,$AP1865)&gt;EOMONTH($AQ1865,0)),AND(INDEX(職員マスタ!$H$6:$H$405,$AP1865)&lt;&gt;"",INDEX(職員マスタ!$H$6:$H$405,$AP1865)&lt;$AQ1865))),"対象月が時短期間外／","")&amp;IF(AND(INDEX(職員マスタ!$K$6:$K$405,$AP1865)&lt;&gt;"",N($W1865)&gt;0,INDEX(職員マスタ!$K$6:$K$405,$AP1865)&lt;&gt;$W1865),"標準報酬月額が申請書と相違（台帳"&amp;TEXT(INDEX(職員マスタ!$K$6:$K$405,$AP1865),"#,##0")&amp;"円／申請書"&amp;TEXT($W1865,"#,##0")&amp;"円）／","")&amp;IF(AND(INDEX(職員マスタ!$F$6:$F$405,$AP1865)&lt;&gt;"",$AQ1865&lt;&gt;"",INDEX(職員マスタ!$F$6:$F$405,$AP1865)&lt;$AQ1865),"対象月に子が2歳到達済／","")&amp;IF(AND($H1865&lt;&gt;"",INDEX(職員マスタ!$B$6:$B$405,$AP1865)&lt;&gt;"",SUBSTITUTE(SUBSTITUTE($H1865," ","")," ","")&lt;&gt;SUBSTITUTE(SUBSTITUTE(INDEX(職員マスタ!$B$6:$B$405,$AP1865)," ","")," ","")),"氏名がマスタと相違／","")&amp;IF(AND($Q1865&lt;&gt;"",INDEX(職員マスタ!$E$6:$E$405,$AP1865)&lt;&gt;"",$Q1865&lt;&gt;INDEX(職員マスタ!$E$6:$E$405,$AP1865)),"子の生年月日がマスタと相違／","")&amp;IF(AND($L1865&lt;&gt;"",INDEX(職員マスタ!$G$6:$G$405,$AP1865)&lt;&gt;"",$L1865&lt;&gt;INDEX(職員マスタ!$G$6:$G$405,$AP1865)),"時短開始日がマスタと相違／","")&amp;IF(AND($M1865&lt;&gt;"",INDEX(職員マスタ!$H$6:$H$405,$AP1865)&lt;&gt;"",$M1865&lt;&gt;INDEX(職員マスタ!$H$6:$H$405,$AP1865)),"時短終了日がマスタと相違／","")))&amp;IF(AND($B1865&lt;&gt;"",$E1865=""),"報酬額が未入力／","")&amp;IF(N($U1865)&gt;0,"申請書に入力エラーが残っています／","")&amp;IF(AND($B1865&lt;&gt;"",$AQ1865&lt;&gt;""),IF(COUNTIFS($B$6:$B$3005,$B1865,$C$6:$C$3005,$C1865,$D$6:$D$3005,$D1865)&gt;1,"同じ月の請求が重複しています／",""),"")&amp;IF(AND(N($E1865)&gt;0,$AB1865&lt;&gt;"",$AB1865&lt;&gt;"×",$AE1865=0,$AD1865=""),"計算額が下限以下のため不支給／",""))</f>
        <v/>
      </c>
      <c r="AN1865" s="12" t="n"/>
      <c r="AO1865" s="14">
        <f>IF($AF1865="保留中",COUNTIF($AF$6:$AF1865,"保留中"),"")</f>
        <v/>
      </c>
      <c r="AP1865" s="14">
        <f>IF($AQ1865="","",IF(SUMPRODUCT(MAX((職員マスタ!$A$6:$A$405=$B1865)*(((職員マスタ!$G$6:$G$405="")+(職員マスタ!$G$6:$G$405&lt;=EOMONTH($AQ1865,0)))&gt;0)*(((職員マスタ!$H$6:$H$405="")+(職員マスタ!$H$6:$H$405&gt;=$AQ1865))&gt;0)*(ROW(職員マスタ!$A$6:$A$405)-5)))&gt;0,SUMPRODUCT(MAX((職員マスタ!$A$6:$A$405=$B1865)*(((職員マスタ!$G$6:$G$405="")+(職員マスタ!$G$6:$G$405&lt;=EOMONTH($AQ1865,0)))&gt;0)*(((職員マスタ!$H$6:$H$405="")+(職員マスタ!$H$6:$H$405&gt;=$AQ1865))&gt;0)*(ROW(職員マスタ!$A$6:$A$405)-5))),IFERROR(MATCH($B1865,職員マスタ!$A$6:$A$405,0),"")))</f>
        <v/>
      </c>
      <c r="AQ1865" s="16">
        <f>IF(OR($B1865="",$C1865="",$D1865=""),"",DATE($C1865+2018,$D1865,1))</f>
        <v/>
      </c>
    </row>
    <row r="1866">
      <c r="A1866" s="11" t="n"/>
      <c r="B1866" s="12" t="n"/>
      <c r="C1866" s="12" t="n"/>
      <c r="D1866" s="12" t="n"/>
      <c r="E1866" s="13" t="n"/>
      <c r="F1866" s="12" t="n"/>
      <c r="G1866" s="13" t="n"/>
      <c r="H1866" s="12" t="n"/>
      <c r="I1866" s="12" t="n"/>
      <c r="J1866" s="12" t="n"/>
      <c r="K1866" s="12" t="n"/>
      <c r="L1866" s="11" t="n"/>
      <c r="M1866" s="11" t="n"/>
      <c r="N1866" s="11" t="n"/>
      <c r="O1866" s="11" t="n"/>
      <c r="P1866" s="12" t="n"/>
      <c r="Q1866" s="11" t="n"/>
      <c r="R1866" s="12" t="n"/>
      <c r="S1866" s="11" t="n"/>
      <c r="T1866" s="12" t="n"/>
      <c r="U1866" s="12" t="n"/>
      <c r="V1866" s="12" t="n"/>
      <c r="W1866" s="13" t="n"/>
      <c r="X1866" s="14">
        <f>IF($AP1866="",IF($B1866="","",$H1866),IF(INDEX(職員マスタ!$B$6:$B$405,$AP1866)="",$H1866,INDEX(職員マスタ!$B$6:$B$405,$AP1866)))</f>
        <v/>
      </c>
      <c r="Y1866" s="14">
        <f>IF($AP1866="",IF($B1866="","",$R1866),IF(INDEX(職員マスタ!$C$6:$C$405,$AP1866)="",$R1866,INDEX(職員マスタ!$C$6:$C$405,$AP1866)))</f>
        <v/>
      </c>
      <c r="Z1866" s="14">
        <f>IF($AQ1866="","","R"&amp;$C1866&amp;"."&amp;$D1866)</f>
        <v/>
      </c>
      <c r="AA1866" s="15">
        <f>IF(IF($AP1866="",FALSE,INDEX(職員マスタ!$K$6:$K$405,$AP1866)&lt;&gt;""),INDEX(職員マスタ!$K$6:$K$405,$AP1866),IF(N($W1866)&gt;0,$W1866,""))</f>
        <v/>
      </c>
      <c r="AB1866" s="14">
        <f>IF(OR($E1866="",$AA1866=""),"",IF($E1866&gt;=$AA1866,"×",IF($E1866&gt;=$AA1866*設定!$C$5,"△","○")))</f>
        <v/>
      </c>
      <c r="AC1866" s="15">
        <f>IF($AB1866="","",IF($AB1866="×",0,IF($AB1866="○",ROUNDDOWN($E1866*設定!$C$4,0),ROUNDDOWN($E1866*ROUND((9*$AA1866-9*$E1866)/(10*$E1866),4),0))))</f>
        <v/>
      </c>
      <c r="AD1866" s="13" t="n"/>
      <c r="AE1866" s="15">
        <f>IF($B1866="","",IF($AD1866&lt;&gt;"",$AD1866,IF($AC1866="","",IF($AC1866&lt;=設定!$C$3,0,$AC1866))))</f>
        <v/>
      </c>
      <c r="AF1866" s="14">
        <f>IF($B1866="","",IF(AND($AG1866&lt;&gt;"",$AI1866="",$AL1866=""),"保留中",IF($AL1866&lt;&gt;"",IF(N($AE1866)&gt;0,"支給済","不支給"),IF($AE1866="","要確認",IF($AE1866=0,"不支給","未処理")))))</f>
        <v/>
      </c>
      <c r="AG1866" s="12" t="n"/>
      <c r="AH1866" s="11" t="n"/>
      <c r="AI1866" s="11" t="n"/>
      <c r="AJ1866" s="11" t="n"/>
      <c r="AK1866" s="14">
        <f>IF(AND($AF1866="保留中",$AH1866&lt;&gt;""),TODAY()-$AH1866,"")</f>
        <v/>
      </c>
      <c r="AL1866" s="12" t="n"/>
      <c r="AM1866" s="14">
        <f>IF($B1866="","",IF($AQ1866="","対象年月が未入力／","")&amp;IF($B1866="","",IF($AP1866="","職員マスタに未登録の職員番号／",IF($AA1866="","標準報酬月額が未登録／","")&amp;IF(AND($AQ1866&lt;&gt;"",OR(AND(INDEX(職員マスタ!$G$6:$G$405,$AP1866)&lt;&gt;"",INDEX(職員マスタ!$G$6:$G$405,$AP1866)&gt;EOMONTH($AQ1866,0)),AND(INDEX(職員マスタ!$H$6:$H$405,$AP1866)&lt;&gt;"",INDEX(職員マスタ!$H$6:$H$405,$AP1866)&lt;$AQ1866))),"対象月が時短期間外／","")&amp;IF(AND(INDEX(職員マスタ!$K$6:$K$405,$AP1866)&lt;&gt;"",N($W1866)&gt;0,INDEX(職員マスタ!$K$6:$K$405,$AP1866)&lt;&gt;$W1866),"標準報酬月額が申請書と相違（台帳"&amp;TEXT(INDEX(職員マスタ!$K$6:$K$405,$AP1866),"#,##0")&amp;"円／申請書"&amp;TEXT($W1866,"#,##0")&amp;"円）／","")&amp;IF(AND(INDEX(職員マスタ!$F$6:$F$405,$AP1866)&lt;&gt;"",$AQ1866&lt;&gt;"",INDEX(職員マスタ!$F$6:$F$405,$AP1866)&lt;$AQ1866),"対象月に子が2歳到達済／","")&amp;IF(AND($H1866&lt;&gt;"",INDEX(職員マスタ!$B$6:$B$405,$AP1866)&lt;&gt;"",SUBSTITUTE(SUBSTITUTE($H1866," ","")," ","")&lt;&gt;SUBSTITUTE(SUBSTITUTE(INDEX(職員マスタ!$B$6:$B$405,$AP1866)," ","")," ","")),"氏名がマスタと相違／","")&amp;IF(AND($Q1866&lt;&gt;"",INDEX(職員マスタ!$E$6:$E$405,$AP1866)&lt;&gt;"",$Q1866&lt;&gt;INDEX(職員マスタ!$E$6:$E$405,$AP1866)),"子の生年月日がマスタと相違／","")&amp;IF(AND($L1866&lt;&gt;"",INDEX(職員マスタ!$G$6:$G$405,$AP1866)&lt;&gt;"",$L1866&lt;&gt;INDEX(職員マスタ!$G$6:$G$405,$AP1866)),"時短開始日がマスタと相違／","")&amp;IF(AND($M1866&lt;&gt;"",INDEX(職員マスタ!$H$6:$H$405,$AP1866)&lt;&gt;"",$M1866&lt;&gt;INDEX(職員マスタ!$H$6:$H$405,$AP1866)),"時短終了日がマスタと相違／","")))&amp;IF(AND($B1866&lt;&gt;"",$E1866=""),"報酬額が未入力／","")&amp;IF(N($U1866)&gt;0,"申請書に入力エラーが残っています／","")&amp;IF(AND($B1866&lt;&gt;"",$AQ1866&lt;&gt;""),IF(COUNTIFS($B$6:$B$3005,$B1866,$C$6:$C$3005,$C1866,$D$6:$D$3005,$D1866)&gt;1,"同じ月の請求が重複しています／",""),"")&amp;IF(AND(N($E1866)&gt;0,$AB1866&lt;&gt;"",$AB1866&lt;&gt;"×",$AE1866=0,$AD1866=""),"計算額が下限以下のため不支給／",""))</f>
        <v/>
      </c>
      <c r="AN1866" s="12" t="n"/>
      <c r="AO1866" s="14">
        <f>IF($AF1866="保留中",COUNTIF($AF$6:$AF1866,"保留中"),"")</f>
        <v/>
      </c>
      <c r="AP1866" s="14">
        <f>IF($AQ1866="","",IF(SUMPRODUCT(MAX((職員マスタ!$A$6:$A$405=$B1866)*(((職員マスタ!$G$6:$G$405="")+(職員マスタ!$G$6:$G$405&lt;=EOMONTH($AQ1866,0)))&gt;0)*(((職員マスタ!$H$6:$H$405="")+(職員マスタ!$H$6:$H$405&gt;=$AQ1866))&gt;0)*(ROW(職員マスタ!$A$6:$A$405)-5)))&gt;0,SUMPRODUCT(MAX((職員マスタ!$A$6:$A$405=$B1866)*(((職員マスタ!$G$6:$G$405="")+(職員マスタ!$G$6:$G$405&lt;=EOMONTH($AQ1866,0)))&gt;0)*(((職員マスタ!$H$6:$H$405="")+(職員マスタ!$H$6:$H$405&gt;=$AQ1866))&gt;0)*(ROW(職員マスタ!$A$6:$A$405)-5))),IFERROR(MATCH($B1866,職員マスタ!$A$6:$A$405,0),"")))</f>
        <v/>
      </c>
      <c r="AQ1866" s="16">
        <f>IF(OR($B1866="",$C1866="",$D1866=""),"",DATE($C1866+2018,$D1866,1))</f>
        <v/>
      </c>
    </row>
    <row r="1867">
      <c r="A1867" s="11" t="n"/>
      <c r="B1867" s="12" t="n"/>
      <c r="C1867" s="12" t="n"/>
      <c r="D1867" s="12" t="n"/>
      <c r="E1867" s="13" t="n"/>
      <c r="F1867" s="12" t="n"/>
      <c r="G1867" s="13" t="n"/>
      <c r="H1867" s="12" t="n"/>
      <c r="I1867" s="12" t="n"/>
      <c r="J1867" s="12" t="n"/>
      <c r="K1867" s="12" t="n"/>
      <c r="L1867" s="11" t="n"/>
      <c r="M1867" s="11" t="n"/>
      <c r="N1867" s="11" t="n"/>
      <c r="O1867" s="11" t="n"/>
      <c r="P1867" s="12" t="n"/>
      <c r="Q1867" s="11" t="n"/>
      <c r="R1867" s="12" t="n"/>
      <c r="S1867" s="11" t="n"/>
      <c r="T1867" s="12" t="n"/>
      <c r="U1867" s="12" t="n"/>
      <c r="V1867" s="12" t="n"/>
      <c r="W1867" s="13" t="n"/>
      <c r="X1867" s="14">
        <f>IF($AP1867="",IF($B1867="","",$H1867),IF(INDEX(職員マスタ!$B$6:$B$405,$AP1867)="",$H1867,INDEX(職員マスタ!$B$6:$B$405,$AP1867)))</f>
        <v/>
      </c>
      <c r="Y1867" s="14">
        <f>IF($AP1867="",IF($B1867="","",$R1867),IF(INDEX(職員マスタ!$C$6:$C$405,$AP1867)="",$R1867,INDEX(職員マスタ!$C$6:$C$405,$AP1867)))</f>
        <v/>
      </c>
      <c r="Z1867" s="14">
        <f>IF($AQ1867="","","R"&amp;$C1867&amp;"."&amp;$D1867)</f>
        <v/>
      </c>
      <c r="AA1867" s="15">
        <f>IF(IF($AP1867="",FALSE,INDEX(職員マスタ!$K$6:$K$405,$AP1867)&lt;&gt;""),INDEX(職員マスタ!$K$6:$K$405,$AP1867),IF(N($W1867)&gt;0,$W1867,""))</f>
        <v/>
      </c>
      <c r="AB1867" s="14">
        <f>IF(OR($E1867="",$AA1867=""),"",IF($E1867&gt;=$AA1867,"×",IF($E1867&gt;=$AA1867*設定!$C$5,"△","○")))</f>
        <v/>
      </c>
      <c r="AC1867" s="15">
        <f>IF($AB1867="","",IF($AB1867="×",0,IF($AB1867="○",ROUNDDOWN($E1867*設定!$C$4,0),ROUNDDOWN($E1867*ROUND((9*$AA1867-9*$E1867)/(10*$E1867),4),0))))</f>
        <v/>
      </c>
      <c r="AD1867" s="13" t="n"/>
      <c r="AE1867" s="15">
        <f>IF($B1867="","",IF($AD1867&lt;&gt;"",$AD1867,IF($AC1867="","",IF($AC1867&lt;=設定!$C$3,0,$AC1867))))</f>
        <v/>
      </c>
      <c r="AF1867" s="14">
        <f>IF($B1867="","",IF(AND($AG1867&lt;&gt;"",$AI1867="",$AL1867=""),"保留中",IF($AL1867&lt;&gt;"",IF(N($AE1867)&gt;0,"支給済","不支給"),IF($AE1867="","要確認",IF($AE1867=0,"不支給","未処理")))))</f>
        <v/>
      </c>
      <c r="AG1867" s="12" t="n"/>
      <c r="AH1867" s="11" t="n"/>
      <c r="AI1867" s="11" t="n"/>
      <c r="AJ1867" s="11" t="n"/>
      <c r="AK1867" s="14">
        <f>IF(AND($AF1867="保留中",$AH1867&lt;&gt;""),TODAY()-$AH1867,"")</f>
        <v/>
      </c>
      <c r="AL1867" s="12" t="n"/>
      <c r="AM1867" s="14">
        <f>IF($B1867="","",IF($AQ1867="","対象年月が未入力／","")&amp;IF($B1867="","",IF($AP1867="","職員マスタに未登録の職員番号／",IF($AA1867="","標準報酬月額が未登録／","")&amp;IF(AND($AQ1867&lt;&gt;"",OR(AND(INDEX(職員マスタ!$G$6:$G$405,$AP1867)&lt;&gt;"",INDEX(職員マスタ!$G$6:$G$405,$AP1867)&gt;EOMONTH($AQ1867,0)),AND(INDEX(職員マスタ!$H$6:$H$405,$AP1867)&lt;&gt;"",INDEX(職員マスタ!$H$6:$H$405,$AP1867)&lt;$AQ1867))),"対象月が時短期間外／","")&amp;IF(AND(INDEX(職員マスタ!$K$6:$K$405,$AP1867)&lt;&gt;"",N($W1867)&gt;0,INDEX(職員マスタ!$K$6:$K$405,$AP1867)&lt;&gt;$W1867),"標準報酬月額が申請書と相違（台帳"&amp;TEXT(INDEX(職員マスタ!$K$6:$K$405,$AP1867),"#,##0")&amp;"円／申請書"&amp;TEXT($W1867,"#,##0")&amp;"円）／","")&amp;IF(AND(INDEX(職員マスタ!$F$6:$F$405,$AP1867)&lt;&gt;"",$AQ1867&lt;&gt;"",INDEX(職員マスタ!$F$6:$F$405,$AP1867)&lt;$AQ1867),"対象月に子が2歳到達済／","")&amp;IF(AND($H1867&lt;&gt;"",INDEX(職員マスタ!$B$6:$B$405,$AP1867)&lt;&gt;"",SUBSTITUTE(SUBSTITUTE($H1867," ","")," ","")&lt;&gt;SUBSTITUTE(SUBSTITUTE(INDEX(職員マスタ!$B$6:$B$405,$AP1867)," ","")," ","")),"氏名がマスタと相違／","")&amp;IF(AND($Q1867&lt;&gt;"",INDEX(職員マスタ!$E$6:$E$405,$AP1867)&lt;&gt;"",$Q1867&lt;&gt;INDEX(職員マスタ!$E$6:$E$405,$AP1867)),"子の生年月日がマスタと相違／","")&amp;IF(AND($L1867&lt;&gt;"",INDEX(職員マスタ!$G$6:$G$405,$AP1867)&lt;&gt;"",$L1867&lt;&gt;INDEX(職員マスタ!$G$6:$G$405,$AP1867)),"時短開始日がマスタと相違／","")&amp;IF(AND($M1867&lt;&gt;"",INDEX(職員マスタ!$H$6:$H$405,$AP1867)&lt;&gt;"",$M1867&lt;&gt;INDEX(職員マスタ!$H$6:$H$405,$AP1867)),"時短終了日がマスタと相違／","")))&amp;IF(AND($B1867&lt;&gt;"",$E1867=""),"報酬額が未入力／","")&amp;IF(N($U1867)&gt;0,"申請書に入力エラーが残っています／","")&amp;IF(AND($B1867&lt;&gt;"",$AQ1867&lt;&gt;""),IF(COUNTIFS($B$6:$B$3005,$B1867,$C$6:$C$3005,$C1867,$D$6:$D$3005,$D1867)&gt;1,"同じ月の請求が重複しています／",""),"")&amp;IF(AND(N($E1867)&gt;0,$AB1867&lt;&gt;"",$AB1867&lt;&gt;"×",$AE1867=0,$AD1867=""),"計算額が下限以下のため不支給／",""))</f>
        <v/>
      </c>
      <c r="AN1867" s="12" t="n"/>
      <c r="AO1867" s="14">
        <f>IF($AF1867="保留中",COUNTIF($AF$6:$AF1867,"保留中"),"")</f>
        <v/>
      </c>
      <c r="AP1867" s="14">
        <f>IF($AQ1867="","",IF(SUMPRODUCT(MAX((職員マスタ!$A$6:$A$405=$B1867)*(((職員マスタ!$G$6:$G$405="")+(職員マスタ!$G$6:$G$405&lt;=EOMONTH($AQ1867,0)))&gt;0)*(((職員マスタ!$H$6:$H$405="")+(職員マスタ!$H$6:$H$405&gt;=$AQ1867))&gt;0)*(ROW(職員マスタ!$A$6:$A$405)-5)))&gt;0,SUMPRODUCT(MAX((職員マスタ!$A$6:$A$405=$B1867)*(((職員マスタ!$G$6:$G$405="")+(職員マスタ!$G$6:$G$405&lt;=EOMONTH($AQ1867,0)))&gt;0)*(((職員マスタ!$H$6:$H$405="")+(職員マスタ!$H$6:$H$405&gt;=$AQ1867))&gt;0)*(ROW(職員マスタ!$A$6:$A$405)-5))),IFERROR(MATCH($B1867,職員マスタ!$A$6:$A$405,0),"")))</f>
        <v/>
      </c>
      <c r="AQ1867" s="16">
        <f>IF(OR($B1867="",$C1867="",$D1867=""),"",DATE($C1867+2018,$D1867,1))</f>
        <v/>
      </c>
    </row>
    <row r="1868">
      <c r="A1868" s="11" t="n"/>
      <c r="B1868" s="12" t="n"/>
      <c r="C1868" s="12" t="n"/>
      <c r="D1868" s="12" t="n"/>
      <c r="E1868" s="13" t="n"/>
      <c r="F1868" s="12" t="n"/>
      <c r="G1868" s="13" t="n"/>
      <c r="H1868" s="12" t="n"/>
      <c r="I1868" s="12" t="n"/>
      <c r="J1868" s="12" t="n"/>
      <c r="K1868" s="12" t="n"/>
      <c r="L1868" s="11" t="n"/>
      <c r="M1868" s="11" t="n"/>
      <c r="N1868" s="11" t="n"/>
      <c r="O1868" s="11" t="n"/>
      <c r="P1868" s="12" t="n"/>
      <c r="Q1868" s="11" t="n"/>
      <c r="R1868" s="12" t="n"/>
      <c r="S1868" s="11" t="n"/>
      <c r="T1868" s="12" t="n"/>
      <c r="U1868" s="12" t="n"/>
      <c r="V1868" s="12" t="n"/>
      <c r="W1868" s="13" t="n"/>
      <c r="X1868" s="14">
        <f>IF($AP1868="",IF($B1868="","",$H1868),IF(INDEX(職員マスタ!$B$6:$B$405,$AP1868)="",$H1868,INDEX(職員マスタ!$B$6:$B$405,$AP1868)))</f>
        <v/>
      </c>
      <c r="Y1868" s="14">
        <f>IF($AP1868="",IF($B1868="","",$R1868),IF(INDEX(職員マスタ!$C$6:$C$405,$AP1868)="",$R1868,INDEX(職員マスタ!$C$6:$C$405,$AP1868)))</f>
        <v/>
      </c>
      <c r="Z1868" s="14">
        <f>IF($AQ1868="","","R"&amp;$C1868&amp;"."&amp;$D1868)</f>
        <v/>
      </c>
      <c r="AA1868" s="15">
        <f>IF(IF($AP1868="",FALSE,INDEX(職員マスタ!$K$6:$K$405,$AP1868)&lt;&gt;""),INDEX(職員マスタ!$K$6:$K$405,$AP1868),IF(N($W1868)&gt;0,$W1868,""))</f>
        <v/>
      </c>
      <c r="AB1868" s="14">
        <f>IF(OR($E1868="",$AA1868=""),"",IF($E1868&gt;=$AA1868,"×",IF($E1868&gt;=$AA1868*設定!$C$5,"△","○")))</f>
        <v/>
      </c>
      <c r="AC1868" s="15">
        <f>IF($AB1868="","",IF($AB1868="×",0,IF($AB1868="○",ROUNDDOWN($E1868*設定!$C$4,0),ROUNDDOWN($E1868*ROUND((9*$AA1868-9*$E1868)/(10*$E1868),4),0))))</f>
        <v/>
      </c>
      <c r="AD1868" s="13" t="n"/>
      <c r="AE1868" s="15">
        <f>IF($B1868="","",IF($AD1868&lt;&gt;"",$AD1868,IF($AC1868="","",IF($AC1868&lt;=設定!$C$3,0,$AC1868))))</f>
        <v/>
      </c>
      <c r="AF1868" s="14">
        <f>IF($B1868="","",IF(AND($AG1868&lt;&gt;"",$AI1868="",$AL1868=""),"保留中",IF($AL1868&lt;&gt;"",IF(N($AE1868)&gt;0,"支給済","不支給"),IF($AE1868="","要確認",IF($AE1868=0,"不支給","未処理")))))</f>
        <v/>
      </c>
      <c r="AG1868" s="12" t="n"/>
      <c r="AH1868" s="11" t="n"/>
      <c r="AI1868" s="11" t="n"/>
      <c r="AJ1868" s="11" t="n"/>
      <c r="AK1868" s="14">
        <f>IF(AND($AF1868="保留中",$AH1868&lt;&gt;""),TODAY()-$AH1868,"")</f>
        <v/>
      </c>
      <c r="AL1868" s="12" t="n"/>
      <c r="AM1868" s="14">
        <f>IF($B1868="","",IF($AQ1868="","対象年月が未入力／","")&amp;IF($B1868="","",IF($AP1868="","職員マスタに未登録の職員番号／",IF($AA1868="","標準報酬月額が未登録／","")&amp;IF(AND($AQ1868&lt;&gt;"",OR(AND(INDEX(職員マスタ!$G$6:$G$405,$AP1868)&lt;&gt;"",INDEX(職員マスタ!$G$6:$G$405,$AP1868)&gt;EOMONTH($AQ1868,0)),AND(INDEX(職員マスタ!$H$6:$H$405,$AP1868)&lt;&gt;"",INDEX(職員マスタ!$H$6:$H$405,$AP1868)&lt;$AQ1868))),"対象月が時短期間外／","")&amp;IF(AND(INDEX(職員マスタ!$K$6:$K$405,$AP1868)&lt;&gt;"",N($W1868)&gt;0,INDEX(職員マスタ!$K$6:$K$405,$AP1868)&lt;&gt;$W1868),"標準報酬月額が申請書と相違（台帳"&amp;TEXT(INDEX(職員マスタ!$K$6:$K$405,$AP1868),"#,##0")&amp;"円／申請書"&amp;TEXT($W1868,"#,##0")&amp;"円）／","")&amp;IF(AND(INDEX(職員マスタ!$F$6:$F$405,$AP1868)&lt;&gt;"",$AQ1868&lt;&gt;"",INDEX(職員マスタ!$F$6:$F$405,$AP1868)&lt;$AQ1868),"対象月に子が2歳到達済／","")&amp;IF(AND($H1868&lt;&gt;"",INDEX(職員マスタ!$B$6:$B$405,$AP1868)&lt;&gt;"",SUBSTITUTE(SUBSTITUTE($H1868," ","")," ","")&lt;&gt;SUBSTITUTE(SUBSTITUTE(INDEX(職員マスタ!$B$6:$B$405,$AP1868)," ","")," ","")),"氏名がマスタと相違／","")&amp;IF(AND($Q1868&lt;&gt;"",INDEX(職員マスタ!$E$6:$E$405,$AP1868)&lt;&gt;"",$Q1868&lt;&gt;INDEX(職員マスタ!$E$6:$E$405,$AP1868)),"子の生年月日がマスタと相違／","")&amp;IF(AND($L1868&lt;&gt;"",INDEX(職員マスタ!$G$6:$G$405,$AP1868)&lt;&gt;"",$L1868&lt;&gt;INDEX(職員マスタ!$G$6:$G$405,$AP1868)),"時短開始日がマスタと相違／","")&amp;IF(AND($M1868&lt;&gt;"",INDEX(職員マスタ!$H$6:$H$405,$AP1868)&lt;&gt;"",$M1868&lt;&gt;INDEX(職員マスタ!$H$6:$H$405,$AP1868)),"時短終了日がマスタと相違／","")))&amp;IF(AND($B1868&lt;&gt;"",$E1868=""),"報酬額が未入力／","")&amp;IF(N($U1868)&gt;0,"申請書に入力エラーが残っています／","")&amp;IF(AND($B1868&lt;&gt;"",$AQ1868&lt;&gt;""),IF(COUNTIFS($B$6:$B$3005,$B1868,$C$6:$C$3005,$C1868,$D$6:$D$3005,$D1868)&gt;1,"同じ月の請求が重複しています／",""),"")&amp;IF(AND(N($E1868)&gt;0,$AB1868&lt;&gt;"",$AB1868&lt;&gt;"×",$AE1868=0,$AD1868=""),"計算額が下限以下のため不支給／",""))</f>
        <v/>
      </c>
      <c r="AN1868" s="12" t="n"/>
      <c r="AO1868" s="14">
        <f>IF($AF1868="保留中",COUNTIF($AF$6:$AF1868,"保留中"),"")</f>
        <v/>
      </c>
      <c r="AP1868" s="14">
        <f>IF($AQ1868="","",IF(SUMPRODUCT(MAX((職員マスタ!$A$6:$A$405=$B1868)*(((職員マスタ!$G$6:$G$405="")+(職員マスタ!$G$6:$G$405&lt;=EOMONTH($AQ1868,0)))&gt;0)*(((職員マスタ!$H$6:$H$405="")+(職員マスタ!$H$6:$H$405&gt;=$AQ1868))&gt;0)*(ROW(職員マスタ!$A$6:$A$405)-5)))&gt;0,SUMPRODUCT(MAX((職員マスタ!$A$6:$A$405=$B1868)*(((職員マスタ!$G$6:$G$405="")+(職員マスタ!$G$6:$G$405&lt;=EOMONTH($AQ1868,0)))&gt;0)*(((職員マスタ!$H$6:$H$405="")+(職員マスタ!$H$6:$H$405&gt;=$AQ1868))&gt;0)*(ROW(職員マスタ!$A$6:$A$405)-5))),IFERROR(MATCH($B1868,職員マスタ!$A$6:$A$405,0),"")))</f>
        <v/>
      </c>
      <c r="AQ1868" s="16">
        <f>IF(OR($B1868="",$C1868="",$D1868=""),"",DATE($C1868+2018,$D1868,1))</f>
        <v/>
      </c>
    </row>
    <row r="1869">
      <c r="A1869" s="11" t="n"/>
      <c r="B1869" s="12" t="n"/>
      <c r="C1869" s="12" t="n"/>
      <c r="D1869" s="12" t="n"/>
      <c r="E1869" s="13" t="n"/>
      <c r="F1869" s="12" t="n"/>
      <c r="G1869" s="13" t="n"/>
      <c r="H1869" s="12" t="n"/>
      <c r="I1869" s="12" t="n"/>
      <c r="J1869" s="12" t="n"/>
      <c r="K1869" s="12" t="n"/>
      <c r="L1869" s="11" t="n"/>
      <c r="M1869" s="11" t="n"/>
      <c r="N1869" s="11" t="n"/>
      <c r="O1869" s="11" t="n"/>
      <c r="P1869" s="12" t="n"/>
      <c r="Q1869" s="11" t="n"/>
      <c r="R1869" s="12" t="n"/>
      <c r="S1869" s="11" t="n"/>
      <c r="T1869" s="12" t="n"/>
      <c r="U1869" s="12" t="n"/>
      <c r="V1869" s="12" t="n"/>
      <c r="W1869" s="13" t="n"/>
      <c r="X1869" s="14">
        <f>IF($AP1869="",IF($B1869="","",$H1869),IF(INDEX(職員マスタ!$B$6:$B$405,$AP1869)="",$H1869,INDEX(職員マスタ!$B$6:$B$405,$AP1869)))</f>
        <v/>
      </c>
      <c r="Y1869" s="14">
        <f>IF($AP1869="",IF($B1869="","",$R1869),IF(INDEX(職員マスタ!$C$6:$C$405,$AP1869)="",$R1869,INDEX(職員マスタ!$C$6:$C$405,$AP1869)))</f>
        <v/>
      </c>
      <c r="Z1869" s="14">
        <f>IF($AQ1869="","","R"&amp;$C1869&amp;"."&amp;$D1869)</f>
        <v/>
      </c>
      <c r="AA1869" s="15">
        <f>IF(IF($AP1869="",FALSE,INDEX(職員マスタ!$K$6:$K$405,$AP1869)&lt;&gt;""),INDEX(職員マスタ!$K$6:$K$405,$AP1869),IF(N($W1869)&gt;0,$W1869,""))</f>
        <v/>
      </c>
      <c r="AB1869" s="14">
        <f>IF(OR($E1869="",$AA1869=""),"",IF($E1869&gt;=$AA1869,"×",IF($E1869&gt;=$AA1869*設定!$C$5,"△","○")))</f>
        <v/>
      </c>
      <c r="AC1869" s="15">
        <f>IF($AB1869="","",IF($AB1869="×",0,IF($AB1869="○",ROUNDDOWN($E1869*設定!$C$4,0),ROUNDDOWN($E1869*ROUND((9*$AA1869-9*$E1869)/(10*$E1869),4),0))))</f>
        <v/>
      </c>
      <c r="AD1869" s="13" t="n"/>
      <c r="AE1869" s="15">
        <f>IF($B1869="","",IF($AD1869&lt;&gt;"",$AD1869,IF($AC1869="","",IF($AC1869&lt;=設定!$C$3,0,$AC1869))))</f>
        <v/>
      </c>
      <c r="AF1869" s="14">
        <f>IF($B1869="","",IF(AND($AG1869&lt;&gt;"",$AI1869="",$AL1869=""),"保留中",IF($AL1869&lt;&gt;"",IF(N($AE1869)&gt;0,"支給済","不支給"),IF($AE1869="","要確認",IF($AE1869=0,"不支給","未処理")))))</f>
        <v/>
      </c>
      <c r="AG1869" s="12" t="n"/>
      <c r="AH1869" s="11" t="n"/>
      <c r="AI1869" s="11" t="n"/>
      <c r="AJ1869" s="11" t="n"/>
      <c r="AK1869" s="14">
        <f>IF(AND($AF1869="保留中",$AH1869&lt;&gt;""),TODAY()-$AH1869,"")</f>
        <v/>
      </c>
      <c r="AL1869" s="12" t="n"/>
      <c r="AM1869" s="14">
        <f>IF($B1869="","",IF($AQ1869="","対象年月が未入力／","")&amp;IF($B1869="","",IF($AP1869="","職員マスタに未登録の職員番号／",IF($AA1869="","標準報酬月額が未登録／","")&amp;IF(AND($AQ1869&lt;&gt;"",OR(AND(INDEX(職員マスタ!$G$6:$G$405,$AP1869)&lt;&gt;"",INDEX(職員マスタ!$G$6:$G$405,$AP1869)&gt;EOMONTH($AQ1869,0)),AND(INDEX(職員マスタ!$H$6:$H$405,$AP1869)&lt;&gt;"",INDEX(職員マスタ!$H$6:$H$405,$AP1869)&lt;$AQ1869))),"対象月が時短期間外／","")&amp;IF(AND(INDEX(職員マスタ!$K$6:$K$405,$AP1869)&lt;&gt;"",N($W1869)&gt;0,INDEX(職員マスタ!$K$6:$K$405,$AP1869)&lt;&gt;$W1869),"標準報酬月額が申請書と相違（台帳"&amp;TEXT(INDEX(職員マスタ!$K$6:$K$405,$AP1869),"#,##0")&amp;"円／申請書"&amp;TEXT($W1869,"#,##0")&amp;"円）／","")&amp;IF(AND(INDEX(職員マスタ!$F$6:$F$405,$AP1869)&lt;&gt;"",$AQ1869&lt;&gt;"",INDEX(職員マスタ!$F$6:$F$405,$AP1869)&lt;$AQ1869),"対象月に子が2歳到達済／","")&amp;IF(AND($H1869&lt;&gt;"",INDEX(職員マスタ!$B$6:$B$405,$AP1869)&lt;&gt;"",SUBSTITUTE(SUBSTITUTE($H1869," ","")," ","")&lt;&gt;SUBSTITUTE(SUBSTITUTE(INDEX(職員マスタ!$B$6:$B$405,$AP1869)," ","")," ","")),"氏名がマスタと相違／","")&amp;IF(AND($Q1869&lt;&gt;"",INDEX(職員マスタ!$E$6:$E$405,$AP1869)&lt;&gt;"",$Q1869&lt;&gt;INDEX(職員マスタ!$E$6:$E$405,$AP1869)),"子の生年月日がマスタと相違／","")&amp;IF(AND($L1869&lt;&gt;"",INDEX(職員マスタ!$G$6:$G$405,$AP1869)&lt;&gt;"",$L1869&lt;&gt;INDEX(職員マスタ!$G$6:$G$405,$AP1869)),"時短開始日がマスタと相違／","")&amp;IF(AND($M1869&lt;&gt;"",INDEX(職員マスタ!$H$6:$H$405,$AP1869)&lt;&gt;"",$M1869&lt;&gt;INDEX(職員マスタ!$H$6:$H$405,$AP1869)),"時短終了日がマスタと相違／","")))&amp;IF(AND($B1869&lt;&gt;"",$E1869=""),"報酬額が未入力／","")&amp;IF(N($U1869)&gt;0,"申請書に入力エラーが残っています／","")&amp;IF(AND($B1869&lt;&gt;"",$AQ1869&lt;&gt;""),IF(COUNTIFS($B$6:$B$3005,$B1869,$C$6:$C$3005,$C1869,$D$6:$D$3005,$D1869)&gt;1,"同じ月の請求が重複しています／",""),"")&amp;IF(AND(N($E1869)&gt;0,$AB1869&lt;&gt;"",$AB1869&lt;&gt;"×",$AE1869=0,$AD1869=""),"計算額が下限以下のため不支給／",""))</f>
        <v/>
      </c>
      <c r="AN1869" s="12" t="n"/>
      <c r="AO1869" s="14">
        <f>IF($AF1869="保留中",COUNTIF($AF$6:$AF1869,"保留中"),"")</f>
        <v/>
      </c>
      <c r="AP1869" s="14">
        <f>IF($AQ1869="","",IF(SUMPRODUCT(MAX((職員マスタ!$A$6:$A$405=$B1869)*(((職員マスタ!$G$6:$G$405="")+(職員マスタ!$G$6:$G$405&lt;=EOMONTH($AQ1869,0)))&gt;0)*(((職員マスタ!$H$6:$H$405="")+(職員マスタ!$H$6:$H$405&gt;=$AQ1869))&gt;0)*(ROW(職員マスタ!$A$6:$A$405)-5)))&gt;0,SUMPRODUCT(MAX((職員マスタ!$A$6:$A$405=$B1869)*(((職員マスタ!$G$6:$G$405="")+(職員マスタ!$G$6:$G$405&lt;=EOMONTH($AQ1869,0)))&gt;0)*(((職員マスタ!$H$6:$H$405="")+(職員マスタ!$H$6:$H$405&gt;=$AQ1869))&gt;0)*(ROW(職員マスタ!$A$6:$A$405)-5))),IFERROR(MATCH($B1869,職員マスタ!$A$6:$A$405,0),"")))</f>
        <v/>
      </c>
      <c r="AQ1869" s="16">
        <f>IF(OR($B1869="",$C1869="",$D1869=""),"",DATE($C1869+2018,$D1869,1))</f>
        <v/>
      </c>
    </row>
    <row r="1870">
      <c r="A1870" s="11" t="n"/>
      <c r="B1870" s="12" t="n"/>
      <c r="C1870" s="12" t="n"/>
      <c r="D1870" s="12" t="n"/>
      <c r="E1870" s="13" t="n"/>
      <c r="F1870" s="12" t="n"/>
      <c r="G1870" s="13" t="n"/>
      <c r="H1870" s="12" t="n"/>
      <c r="I1870" s="12" t="n"/>
      <c r="J1870" s="12" t="n"/>
      <c r="K1870" s="12" t="n"/>
      <c r="L1870" s="11" t="n"/>
      <c r="M1870" s="11" t="n"/>
      <c r="N1870" s="11" t="n"/>
      <c r="O1870" s="11" t="n"/>
      <c r="P1870" s="12" t="n"/>
      <c r="Q1870" s="11" t="n"/>
      <c r="R1870" s="12" t="n"/>
      <c r="S1870" s="11" t="n"/>
      <c r="T1870" s="12" t="n"/>
      <c r="U1870" s="12" t="n"/>
      <c r="V1870" s="12" t="n"/>
      <c r="W1870" s="13" t="n"/>
      <c r="X1870" s="14">
        <f>IF($AP1870="",IF($B1870="","",$H1870),IF(INDEX(職員マスタ!$B$6:$B$405,$AP1870)="",$H1870,INDEX(職員マスタ!$B$6:$B$405,$AP1870)))</f>
        <v/>
      </c>
      <c r="Y1870" s="14">
        <f>IF($AP1870="",IF($B1870="","",$R1870),IF(INDEX(職員マスタ!$C$6:$C$405,$AP1870)="",$R1870,INDEX(職員マスタ!$C$6:$C$405,$AP1870)))</f>
        <v/>
      </c>
      <c r="Z1870" s="14">
        <f>IF($AQ1870="","","R"&amp;$C1870&amp;"."&amp;$D1870)</f>
        <v/>
      </c>
      <c r="AA1870" s="15">
        <f>IF(IF($AP1870="",FALSE,INDEX(職員マスタ!$K$6:$K$405,$AP1870)&lt;&gt;""),INDEX(職員マスタ!$K$6:$K$405,$AP1870),IF(N($W1870)&gt;0,$W1870,""))</f>
        <v/>
      </c>
      <c r="AB1870" s="14">
        <f>IF(OR($E1870="",$AA1870=""),"",IF($E1870&gt;=$AA1870,"×",IF($E1870&gt;=$AA1870*設定!$C$5,"△","○")))</f>
        <v/>
      </c>
      <c r="AC1870" s="15">
        <f>IF($AB1870="","",IF($AB1870="×",0,IF($AB1870="○",ROUNDDOWN($E1870*設定!$C$4,0),ROUNDDOWN($E1870*ROUND((9*$AA1870-9*$E1870)/(10*$E1870),4),0))))</f>
        <v/>
      </c>
      <c r="AD1870" s="13" t="n"/>
      <c r="AE1870" s="15">
        <f>IF($B1870="","",IF($AD1870&lt;&gt;"",$AD1870,IF($AC1870="","",IF($AC1870&lt;=設定!$C$3,0,$AC1870))))</f>
        <v/>
      </c>
      <c r="AF1870" s="14">
        <f>IF($B1870="","",IF(AND($AG1870&lt;&gt;"",$AI1870="",$AL1870=""),"保留中",IF($AL1870&lt;&gt;"",IF(N($AE1870)&gt;0,"支給済","不支給"),IF($AE1870="","要確認",IF($AE1870=0,"不支給","未処理")))))</f>
        <v/>
      </c>
      <c r="AG1870" s="12" t="n"/>
      <c r="AH1870" s="11" t="n"/>
      <c r="AI1870" s="11" t="n"/>
      <c r="AJ1870" s="11" t="n"/>
      <c r="AK1870" s="14">
        <f>IF(AND($AF1870="保留中",$AH1870&lt;&gt;""),TODAY()-$AH1870,"")</f>
        <v/>
      </c>
      <c r="AL1870" s="12" t="n"/>
      <c r="AM1870" s="14">
        <f>IF($B1870="","",IF($AQ1870="","対象年月が未入力／","")&amp;IF($B1870="","",IF($AP1870="","職員マスタに未登録の職員番号／",IF($AA1870="","標準報酬月額が未登録／","")&amp;IF(AND($AQ1870&lt;&gt;"",OR(AND(INDEX(職員マスタ!$G$6:$G$405,$AP1870)&lt;&gt;"",INDEX(職員マスタ!$G$6:$G$405,$AP1870)&gt;EOMONTH($AQ1870,0)),AND(INDEX(職員マスタ!$H$6:$H$405,$AP1870)&lt;&gt;"",INDEX(職員マスタ!$H$6:$H$405,$AP1870)&lt;$AQ1870))),"対象月が時短期間外／","")&amp;IF(AND(INDEX(職員マスタ!$K$6:$K$405,$AP1870)&lt;&gt;"",N($W1870)&gt;0,INDEX(職員マスタ!$K$6:$K$405,$AP1870)&lt;&gt;$W1870),"標準報酬月額が申請書と相違（台帳"&amp;TEXT(INDEX(職員マスタ!$K$6:$K$405,$AP1870),"#,##0")&amp;"円／申請書"&amp;TEXT($W1870,"#,##0")&amp;"円）／","")&amp;IF(AND(INDEX(職員マスタ!$F$6:$F$405,$AP1870)&lt;&gt;"",$AQ1870&lt;&gt;"",INDEX(職員マスタ!$F$6:$F$405,$AP1870)&lt;$AQ1870),"対象月に子が2歳到達済／","")&amp;IF(AND($H1870&lt;&gt;"",INDEX(職員マスタ!$B$6:$B$405,$AP1870)&lt;&gt;"",SUBSTITUTE(SUBSTITUTE($H1870," ","")," ","")&lt;&gt;SUBSTITUTE(SUBSTITUTE(INDEX(職員マスタ!$B$6:$B$405,$AP1870)," ","")," ","")),"氏名がマスタと相違／","")&amp;IF(AND($Q1870&lt;&gt;"",INDEX(職員マスタ!$E$6:$E$405,$AP1870)&lt;&gt;"",$Q1870&lt;&gt;INDEX(職員マスタ!$E$6:$E$405,$AP1870)),"子の生年月日がマスタと相違／","")&amp;IF(AND($L1870&lt;&gt;"",INDEX(職員マスタ!$G$6:$G$405,$AP1870)&lt;&gt;"",$L1870&lt;&gt;INDEX(職員マスタ!$G$6:$G$405,$AP1870)),"時短開始日がマスタと相違／","")&amp;IF(AND($M1870&lt;&gt;"",INDEX(職員マスタ!$H$6:$H$405,$AP1870)&lt;&gt;"",$M1870&lt;&gt;INDEX(職員マスタ!$H$6:$H$405,$AP1870)),"時短終了日がマスタと相違／","")))&amp;IF(AND($B1870&lt;&gt;"",$E1870=""),"報酬額が未入力／","")&amp;IF(N($U1870)&gt;0,"申請書に入力エラーが残っています／","")&amp;IF(AND($B1870&lt;&gt;"",$AQ1870&lt;&gt;""),IF(COUNTIFS($B$6:$B$3005,$B1870,$C$6:$C$3005,$C1870,$D$6:$D$3005,$D1870)&gt;1,"同じ月の請求が重複しています／",""),"")&amp;IF(AND(N($E1870)&gt;0,$AB1870&lt;&gt;"",$AB1870&lt;&gt;"×",$AE1870=0,$AD1870=""),"計算額が下限以下のため不支給／",""))</f>
        <v/>
      </c>
      <c r="AN1870" s="12" t="n"/>
      <c r="AO1870" s="14">
        <f>IF($AF1870="保留中",COUNTIF($AF$6:$AF1870,"保留中"),"")</f>
        <v/>
      </c>
      <c r="AP1870" s="14">
        <f>IF($AQ1870="","",IF(SUMPRODUCT(MAX((職員マスタ!$A$6:$A$405=$B1870)*(((職員マスタ!$G$6:$G$405="")+(職員マスタ!$G$6:$G$405&lt;=EOMONTH($AQ1870,0)))&gt;0)*(((職員マスタ!$H$6:$H$405="")+(職員マスタ!$H$6:$H$405&gt;=$AQ1870))&gt;0)*(ROW(職員マスタ!$A$6:$A$405)-5)))&gt;0,SUMPRODUCT(MAX((職員マスタ!$A$6:$A$405=$B1870)*(((職員マスタ!$G$6:$G$405="")+(職員マスタ!$G$6:$G$405&lt;=EOMONTH($AQ1870,0)))&gt;0)*(((職員マスタ!$H$6:$H$405="")+(職員マスタ!$H$6:$H$405&gt;=$AQ1870))&gt;0)*(ROW(職員マスタ!$A$6:$A$405)-5))),IFERROR(MATCH($B1870,職員マスタ!$A$6:$A$405,0),"")))</f>
        <v/>
      </c>
      <c r="AQ1870" s="16">
        <f>IF(OR($B1870="",$C1870="",$D1870=""),"",DATE($C1870+2018,$D1870,1))</f>
        <v/>
      </c>
    </row>
    <row r="1871">
      <c r="A1871" s="11" t="n"/>
      <c r="B1871" s="12" t="n"/>
      <c r="C1871" s="12" t="n"/>
      <c r="D1871" s="12" t="n"/>
      <c r="E1871" s="13" t="n"/>
      <c r="F1871" s="12" t="n"/>
      <c r="G1871" s="13" t="n"/>
      <c r="H1871" s="12" t="n"/>
      <c r="I1871" s="12" t="n"/>
      <c r="J1871" s="12" t="n"/>
      <c r="K1871" s="12" t="n"/>
      <c r="L1871" s="11" t="n"/>
      <c r="M1871" s="11" t="n"/>
      <c r="N1871" s="11" t="n"/>
      <c r="O1871" s="11" t="n"/>
      <c r="P1871" s="12" t="n"/>
      <c r="Q1871" s="11" t="n"/>
      <c r="R1871" s="12" t="n"/>
      <c r="S1871" s="11" t="n"/>
      <c r="T1871" s="12" t="n"/>
      <c r="U1871" s="12" t="n"/>
      <c r="V1871" s="12" t="n"/>
      <c r="W1871" s="13" t="n"/>
      <c r="X1871" s="14">
        <f>IF($AP1871="",IF($B1871="","",$H1871),IF(INDEX(職員マスタ!$B$6:$B$405,$AP1871)="",$H1871,INDEX(職員マスタ!$B$6:$B$405,$AP1871)))</f>
        <v/>
      </c>
      <c r="Y1871" s="14">
        <f>IF($AP1871="",IF($B1871="","",$R1871),IF(INDEX(職員マスタ!$C$6:$C$405,$AP1871)="",$R1871,INDEX(職員マスタ!$C$6:$C$405,$AP1871)))</f>
        <v/>
      </c>
      <c r="Z1871" s="14">
        <f>IF($AQ1871="","","R"&amp;$C1871&amp;"."&amp;$D1871)</f>
        <v/>
      </c>
      <c r="AA1871" s="15">
        <f>IF(IF($AP1871="",FALSE,INDEX(職員マスタ!$K$6:$K$405,$AP1871)&lt;&gt;""),INDEX(職員マスタ!$K$6:$K$405,$AP1871),IF(N($W1871)&gt;0,$W1871,""))</f>
        <v/>
      </c>
      <c r="AB1871" s="14">
        <f>IF(OR($E1871="",$AA1871=""),"",IF($E1871&gt;=$AA1871,"×",IF($E1871&gt;=$AA1871*設定!$C$5,"△","○")))</f>
        <v/>
      </c>
      <c r="AC1871" s="15">
        <f>IF($AB1871="","",IF($AB1871="×",0,IF($AB1871="○",ROUNDDOWN($E1871*設定!$C$4,0),ROUNDDOWN($E1871*ROUND((9*$AA1871-9*$E1871)/(10*$E1871),4),0))))</f>
        <v/>
      </c>
      <c r="AD1871" s="13" t="n"/>
      <c r="AE1871" s="15">
        <f>IF($B1871="","",IF($AD1871&lt;&gt;"",$AD1871,IF($AC1871="","",IF($AC1871&lt;=設定!$C$3,0,$AC1871))))</f>
        <v/>
      </c>
      <c r="AF1871" s="14">
        <f>IF($B1871="","",IF(AND($AG1871&lt;&gt;"",$AI1871="",$AL1871=""),"保留中",IF($AL1871&lt;&gt;"",IF(N($AE1871)&gt;0,"支給済","不支給"),IF($AE1871="","要確認",IF($AE1871=0,"不支給","未処理")))))</f>
        <v/>
      </c>
      <c r="AG1871" s="12" t="n"/>
      <c r="AH1871" s="11" t="n"/>
      <c r="AI1871" s="11" t="n"/>
      <c r="AJ1871" s="11" t="n"/>
      <c r="AK1871" s="14">
        <f>IF(AND($AF1871="保留中",$AH1871&lt;&gt;""),TODAY()-$AH1871,"")</f>
        <v/>
      </c>
      <c r="AL1871" s="12" t="n"/>
      <c r="AM1871" s="14">
        <f>IF($B1871="","",IF($AQ1871="","対象年月が未入力／","")&amp;IF($B1871="","",IF($AP1871="","職員マスタに未登録の職員番号／",IF($AA1871="","標準報酬月額が未登録／","")&amp;IF(AND($AQ1871&lt;&gt;"",OR(AND(INDEX(職員マスタ!$G$6:$G$405,$AP1871)&lt;&gt;"",INDEX(職員マスタ!$G$6:$G$405,$AP1871)&gt;EOMONTH($AQ1871,0)),AND(INDEX(職員マスタ!$H$6:$H$405,$AP1871)&lt;&gt;"",INDEX(職員マスタ!$H$6:$H$405,$AP1871)&lt;$AQ1871))),"対象月が時短期間外／","")&amp;IF(AND(INDEX(職員マスタ!$K$6:$K$405,$AP1871)&lt;&gt;"",N($W1871)&gt;0,INDEX(職員マスタ!$K$6:$K$405,$AP1871)&lt;&gt;$W1871),"標準報酬月額が申請書と相違（台帳"&amp;TEXT(INDEX(職員マスタ!$K$6:$K$405,$AP1871),"#,##0")&amp;"円／申請書"&amp;TEXT($W1871,"#,##0")&amp;"円）／","")&amp;IF(AND(INDEX(職員マスタ!$F$6:$F$405,$AP1871)&lt;&gt;"",$AQ1871&lt;&gt;"",INDEX(職員マスタ!$F$6:$F$405,$AP1871)&lt;$AQ1871),"対象月に子が2歳到達済／","")&amp;IF(AND($H1871&lt;&gt;"",INDEX(職員マスタ!$B$6:$B$405,$AP1871)&lt;&gt;"",SUBSTITUTE(SUBSTITUTE($H1871," ","")," ","")&lt;&gt;SUBSTITUTE(SUBSTITUTE(INDEX(職員マスタ!$B$6:$B$405,$AP1871)," ","")," ","")),"氏名がマスタと相違／","")&amp;IF(AND($Q1871&lt;&gt;"",INDEX(職員マスタ!$E$6:$E$405,$AP1871)&lt;&gt;"",$Q1871&lt;&gt;INDEX(職員マスタ!$E$6:$E$405,$AP1871)),"子の生年月日がマスタと相違／","")&amp;IF(AND($L1871&lt;&gt;"",INDEX(職員マスタ!$G$6:$G$405,$AP1871)&lt;&gt;"",$L1871&lt;&gt;INDEX(職員マスタ!$G$6:$G$405,$AP1871)),"時短開始日がマスタと相違／","")&amp;IF(AND($M1871&lt;&gt;"",INDEX(職員マスタ!$H$6:$H$405,$AP1871)&lt;&gt;"",$M1871&lt;&gt;INDEX(職員マスタ!$H$6:$H$405,$AP1871)),"時短終了日がマスタと相違／","")))&amp;IF(AND($B1871&lt;&gt;"",$E1871=""),"報酬額が未入力／","")&amp;IF(N($U1871)&gt;0,"申請書に入力エラーが残っています／","")&amp;IF(AND($B1871&lt;&gt;"",$AQ1871&lt;&gt;""),IF(COUNTIFS($B$6:$B$3005,$B1871,$C$6:$C$3005,$C1871,$D$6:$D$3005,$D1871)&gt;1,"同じ月の請求が重複しています／",""),"")&amp;IF(AND(N($E1871)&gt;0,$AB1871&lt;&gt;"",$AB1871&lt;&gt;"×",$AE1871=0,$AD1871=""),"計算額が下限以下のため不支給／",""))</f>
        <v/>
      </c>
      <c r="AN1871" s="12" t="n"/>
      <c r="AO1871" s="14">
        <f>IF($AF1871="保留中",COUNTIF($AF$6:$AF1871,"保留中"),"")</f>
        <v/>
      </c>
      <c r="AP1871" s="14">
        <f>IF($AQ1871="","",IF(SUMPRODUCT(MAX((職員マスタ!$A$6:$A$405=$B1871)*(((職員マスタ!$G$6:$G$405="")+(職員マスタ!$G$6:$G$405&lt;=EOMONTH($AQ1871,0)))&gt;0)*(((職員マスタ!$H$6:$H$405="")+(職員マスタ!$H$6:$H$405&gt;=$AQ1871))&gt;0)*(ROW(職員マスタ!$A$6:$A$405)-5)))&gt;0,SUMPRODUCT(MAX((職員マスタ!$A$6:$A$405=$B1871)*(((職員マスタ!$G$6:$G$405="")+(職員マスタ!$G$6:$G$405&lt;=EOMONTH($AQ1871,0)))&gt;0)*(((職員マスタ!$H$6:$H$405="")+(職員マスタ!$H$6:$H$405&gt;=$AQ1871))&gt;0)*(ROW(職員マスタ!$A$6:$A$405)-5))),IFERROR(MATCH($B1871,職員マスタ!$A$6:$A$405,0),"")))</f>
        <v/>
      </c>
      <c r="AQ1871" s="16">
        <f>IF(OR($B1871="",$C1871="",$D1871=""),"",DATE($C1871+2018,$D1871,1))</f>
        <v/>
      </c>
    </row>
    <row r="1872">
      <c r="A1872" s="11" t="n"/>
      <c r="B1872" s="12" t="n"/>
      <c r="C1872" s="12" t="n"/>
      <c r="D1872" s="12" t="n"/>
      <c r="E1872" s="13" t="n"/>
      <c r="F1872" s="12" t="n"/>
      <c r="G1872" s="13" t="n"/>
      <c r="H1872" s="12" t="n"/>
      <c r="I1872" s="12" t="n"/>
      <c r="J1872" s="12" t="n"/>
      <c r="K1872" s="12" t="n"/>
      <c r="L1872" s="11" t="n"/>
      <c r="M1872" s="11" t="n"/>
      <c r="N1872" s="11" t="n"/>
      <c r="O1872" s="11" t="n"/>
      <c r="P1872" s="12" t="n"/>
      <c r="Q1872" s="11" t="n"/>
      <c r="R1872" s="12" t="n"/>
      <c r="S1872" s="11" t="n"/>
      <c r="T1872" s="12" t="n"/>
      <c r="U1872" s="12" t="n"/>
      <c r="V1872" s="12" t="n"/>
      <c r="W1872" s="13" t="n"/>
      <c r="X1872" s="14">
        <f>IF($AP1872="",IF($B1872="","",$H1872),IF(INDEX(職員マスタ!$B$6:$B$405,$AP1872)="",$H1872,INDEX(職員マスタ!$B$6:$B$405,$AP1872)))</f>
        <v/>
      </c>
      <c r="Y1872" s="14">
        <f>IF($AP1872="",IF($B1872="","",$R1872),IF(INDEX(職員マスタ!$C$6:$C$405,$AP1872)="",$R1872,INDEX(職員マスタ!$C$6:$C$405,$AP1872)))</f>
        <v/>
      </c>
      <c r="Z1872" s="14">
        <f>IF($AQ1872="","","R"&amp;$C1872&amp;"."&amp;$D1872)</f>
        <v/>
      </c>
      <c r="AA1872" s="15">
        <f>IF(IF($AP1872="",FALSE,INDEX(職員マスタ!$K$6:$K$405,$AP1872)&lt;&gt;""),INDEX(職員マスタ!$K$6:$K$405,$AP1872),IF(N($W1872)&gt;0,$W1872,""))</f>
        <v/>
      </c>
      <c r="AB1872" s="14">
        <f>IF(OR($E1872="",$AA1872=""),"",IF($E1872&gt;=$AA1872,"×",IF($E1872&gt;=$AA1872*設定!$C$5,"△","○")))</f>
        <v/>
      </c>
      <c r="AC1872" s="15">
        <f>IF($AB1872="","",IF($AB1872="×",0,IF($AB1872="○",ROUNDDOWN($E1872*設定!$C$4,0),ROUNDDOWN($E1872*ROUND((9*$AA1872-9*$E1872)/(10*$E1872),4),0))))</f>
        <v/>
      </c>
      <c r="AD1872" s="13" t="n"/>
      <c r="AE1872" s="15">
        <f>IF($B1872="","",IF($AD1872&lt;&gt;"",$AD1872,IF($AC1872="","",IF($AC1872&lt;=設定!$C$3,0,$AC1872))))</f>
        <v/>
      </c>
      <c r="AF1872" s="14">
        <f>IF($B1872="","",IF(AND($AG1872&lt;&gt;"",$AI1872="",$AL1872=""),"保留中",IF($AL1872&lt;&gt;"",IF(N($AE1872)&gt;0,"支給済","不支給"),IF($AE1872="","要確認",IF($AE1872=0,"不支給","未処理")))))</f>
        <v/>
      </c>
      <c r="AG1872" s="12" t="n"/>
      <c r="AH1872" s="11" t="n"/>
      <c r="AI1872" s="11" t="n"/>
      <c r="AJ1872" s="11" t="n"/>
      <c r="AK1872" s="14">
        <f>IF(AND($AF1872="保留中",$AH1872&lt;&gt;""),TODAY()-$AH1872,"")</f>
        <v/>
      </c>
      <c r="AL1872" s="12" t="n"/>
      <c r="AM1872" s="14">
        <f>IF($B1872="","",IF($AQ1872="","対象年月が未入力／","")&amp;IF($B1872="","",IF($AP1872="","職員マスタに未登録の職員番号／",IF($AA1872="","標準報酬月額が未登録／","")&amp;IF(AND($AQ1872&lt;&gt;"",OR(AND(INDEX(職員マスタ!$G$6:$G$405,$AP1872)&lt;&gt;"",INDEX(職員マスタ!$G$6:$G$405,$AP1872)&gt;EOMONTH($AQ1872,0)),AND(INDEX(職員マスタ!$H$6:$H$405,$AP1872)&lt;&gt;"",INDEX(職員マスタ!$H$6:$H$405,$AP1872)&lt;$AQ1872))),"対象月が時短期間外／","")&amp;IF(AND(INDEX(職員マスタ!$K$6:$K$405,$AP1872)&lt;&gt;"",N($W1872)&gt;0,INDEX(職員マスタ!$K$6:$K$405,$AP1872)&lt;&gt;$W1872),"標準報酬月額が申請書と相違（台帳"&amp;TEXT(INDEX(職員マスタ!$K$6:$K$405,$AP1872),"#,##0")&amp;"円／申請書"&amp;TEXT($W1872,"#,##0")&amp;"円）／","")&amp;IF(AND(INDEX(職員マスタ!$F$6:$F$405,$AP1872)&lt;&gt;"",$AQ1872&lt;&gt;"",INDEX(職員マスタ!$F$6:$F$405,$AP1872)&lt;$AQ1872),"対象月に子が2歳到達済／","")&amp;IF(AND($H1872&lt;&gt;"",INDEX(職員マスタ!$B$6:$B$405,$AP1872)&lt;&gt;"",SUBSTITUTE(SUBSTITUTE($H1872," ","")," ","")&lt;&gt;SUBSTITUTE(SUBSTITUTE(INDEX(職員マスタ!$B$6:$B$405,$AP1872)," ","")," ","")),"氏名がマスタと相違／","")&amp;IF(AND($Q1872&lt;&gt;"",INDEX(職員マスタ!$E$6:$E$405,$AP1872)&lt;&gt;"",$Q1872&lt;&gt;INDEX(職員マスタ!$E$6:$E$405,$AP1872)),"子の生年月日がマスタと相違／","")&amp;IF(AND($L1872&lt;&gt;"",INDEX(職員マスタ!$G$6:$G$405,$AP1872)&lt;&gt;"",$L1872&lt;&gt;INDEX(職員マスタ!$G$6:$G$405,$AP1872)),"時短開始日がマスタと相違／","")&amp;IF(AND($M1872&lt;&gt;"",INDEX(職員マスタ!$H$6:$H$405,$AP1872)&lt;&gt;"",$M1872&lt;&gt;INDEX(職員マスタ!$H$6:$H$405,$AP1872)),"時短終了日がマスタと相違／","")))&amp;IF(AND($B1872&lt;&gt;"",$E1872=""),"報酬額が未入力／","")&amp;IF(N($U1872)&gt;0,"申請書に入力エラーが残っています／","")&amp;IF(AND($B1872&lt;&gt;"",$AQ1872&lt;&gt;""),IF(COUNTIFS($B$6:$B$3005,$B1872,$C$6:$C$3005,$C1872,$D$6:$D$3005,$D1872)&gt;1,"同じ月の請求が重複しています／",""),"")&amp;IF(AND(N($E1872)&gt;0,$AB1872&lt;&gt;"",$AB1872&lt;&gt;"×",$AE1872=0,$AD1872=""),"計算額が下限以下のため不支給／",""))</f>
        <v/>
      </c>
      <c r="AN1872" s="12" t="n"/>
      <c r="AO1872" s="14">
        <f>IF($AF1872="保留中",COUNTIF($AF$6:$AF1872,"保留中"),"")</f>
        <v/>
      </c>
      <c r="AP1872" s="14">
        <f>IF($AQ1872="","",IF(SUMPRODUCT(MAX((職員マスタ!$A$6:$A$405=$B1872)*(((職員マスタ!$G$6:$G$405="")+(職員マスタ!$G$6:$G$405&lt;=EOMONTH($AQ1872,0)))&gt;0)*(((職員マスタ!$H$6:$H$405="")+(職員マスタ!$H$6:$H$405&gt;=$AQ1872))&gt;0)*(ROW(職員マスタ!$A$6:$A$405)-5)))&gt;0,SUMPRODUCT(MAX((職員マスタ!$A$6:$A$405=$B1872)*(((職員マスタ!$G$6:$G$405="")+(職員マスタ!$G$6:$G$405&lt;=EOMONTH($AQ1872,0)))&gt;0)*(((職員マスタ!$H$6:$H$405="")+(職員マスタ!$H$6:$H$405&gt;=$AQ1872))&gt;0)*(ROW(職員マスタ!$A$6:$A$405)-5))),IFERROR(MATCH($B1872,職員マスタ!$A$6:$A$405,0),"")))</f>
        <v/>
      </c>
      <c r="AQ1872" s="16">
        <f>IF(OR($B1872="",$C1872="",$D1872=""),"",DATE($C1872+2018,$D1872,1))</f>
        <v/>
      </c>
    </row>
    <row r="1873">
      <c r="A1873" s="11" t="n"/>
      <c r="B1873" s="12" t="n"/>
      <c r="C1873" s="12" t="n"/>
      <c r="D1873" s="12" t="n"/>
      <c r="E1873" s="13" t="n"/>
      <c r="F1873" s="12" t="n"/>
      <c r="G1873" s="13" t="n"/>
      <c r="H1873" s="12" t="n"/>
      <c r="I1873" s="12" t="n"/>
      <c r="J1873" s="12" t="n"/>
      <c r="K1873" s="12" t="n"/>
      <c r="L1873" s="11" t="n"/>
      <c r="M1873" s="11" t="n"/>
      <c r="N1873" s="11" t="n"/>
      <c r="O1873" s="11" t="n"/>
      <c r="P1873" s="12" t="n"/>
      <c r="Q1873" s="11" t="n"/>
      <c r="R1873" s="12" t="n"/>
      <c r="S1873" s="11" t="n"/>
      <c r="T1873" s="12" t="n"/>
      <c r="U1873" s="12" t="n"/>
      <c r="V1873" s="12" t="n"/>
      <c r="W1873" s="13" t="n"/>
      <c r="X1873" s="14">
        <f>IF($AP1873="",IF($B1873="","",$H1873),IF(INDEX(職員マスタ!$B$6:$B$405,$AP1873)="",$H1873,INDEX(職員マスタ!$B$6:$B$405,$AP1873)))</f>
        <v/>
      </c>
      <c r="Y1873" s="14">
        <f>IF($AP1873="",IF($B1873="","",$R1873),IF(INDEX(職員マスタ!$C$6:$C$405,$AP1873)="",$R1873,INDEX(職員マスタ!$C$6:$C$405,$AP1873)))</f>
        <v/>
      </c>
      <c r="Z1873" s="14">
        <f>IF($AQ1873="","","R"&amp;$C1873&amp;"."&amp;$D1873)</f>
        <v/>
      </c>
      <c r="AA1873" s="15">
        <f>IF(IF($AP1873="",FALSE,INDEX(職員マスタ!$K$6:$K$405,$AP1873)&lt;&gt;""),INDEX(職員マスタ!$K$6:$K$405,$AP1873),IF(N($W1873)&gt;0,$W1873,""))</f>
        <v/>
      </c>
      <c r="AB1873" s="14">
        <f>IF(OR($E1873="",$AA1873=""),"",IF($E1873&gt;=$AA1873,"×",IF($E1873&gt;=$AA1873*設定!$C$5,"△","○")))</f>
        <v/>
      </c>
      <c r="AC1873" s="15">
        <f>IF($AB1873="","",IF($AB1873="×",0,IF($AB1873="○",ROUNDDOWN($E1873*設定!$C$4,0),ROUNDDOWN($E1873*ROUND((9*$AA1873-9*$E1873)/(10*$E1873),4),0))))</f>
        <v/>
      </c>
      <c r="AD1873" s="13" t="n"/>
      <c r="AE1873" s="15">
        <f>IF($B1873="","",IF($AD1873&lt;&gt;"",$AD1873,IF($AC1873="","",IF($AC1873&lt;=設定!$C$3,0,$AC1873))))</f>
        <v/>
      </c>
      <c r="AF1873" s="14">
        <f>IF($B1873="","",IF(AND($AG1873&lt;&gt;"",$AI1873="",$AL1873=""),"保留中",IF($AL1873&lt;&gt;"",IF(N($AE1873)&gt;0,"支給済","不支給"),IF($AE1873="","要確認",IF($AE1873=0,"不支給","未処理")))))</f>
        <v/>
      </c>
      <c r="AG1873" s="12" t="n"/>
      <c r="AH1873" s="11" t="n"/>
      <c r="AI1873" s="11" t="n"/>
      <c r="AJ1873" s="11" t="n"/>
      <c r="AK1873" s="14">
        <f>IF(AND($AF1873="保留中",$AH1873&lt;&gt;""),TODAY()-$AH1873,"")</f>
        <v/>
      </c>
      <c r="AL1873" s="12" t="n"/>
      <c r="AM1873" s="14">
        <f>IF($B1873="","",IF($AQ1873="","対象年月が未入力／","")&amp;IF($B1873="","",IF($AP1873="","職員マスタに未登録の職員番号／",IF($AA1873="","標準報酬月額が未登録／","")&amp;IF(AND($AQ1873&lt;&gt;"",OR(AND(INDEX(職員マスタ!$G$6:$G$405,$AP1873)&lt;&gt;"",INDEX(職員マスタ!$G$6:$G$405,$AP1873)&gt;EOMONTH($AQ1873,0)),AND(INDEX(職員マスタ!$H$6:$H$405,$AP1873)&lt;&gt;"",INDEX(職員マスタ!$H$6:$H$405,$AP1873)&lt;$AQ1873))),"対象月が時短期間外／","")&amp;IF(AND(INDEX(職員マスタ!$K$6:$K$405,$AP1873)&lt;&gt;"",N($W1873)&gt;0,INDEX(職員マスタ!$K$6:$K$405,$AP1873)&lt;&gt;$W1873),"標準報酬月額が申請書と相違（台帳"&amp;TEXT(INDEX(職員マスタ!$K$6:$K$405,$AP1873),"#,##0")&amp;"円／申請書"&amp;TEXT($W1873,"#,##0")&amp;"円）／","")&amp;IF(AND(INDEX(職員マスタ!$F$6:$F$405,$AP1873)&lt;&gt;"",$AQ1873&lt;&gt;"",INDEX(職員マスタ!$F$6:$F$405,$AP1873)&lt;$AQ1873),"対象月に子が2歳到達済／","")&amp;IF(AND($H1873&lt;&gt;"",INDEX(職員マスタ!$B$6:$B$405,$AP1873)&lt;&gt;"",SUBSTITUTE(SUBSTITUTE($H1873," ","")," ","")&lt;&gt;SUBSTITUTE(SUBSTITUTE(INDEX(職員マスタ!$B$6:$B$405,$AP1873)," ","")," ","")),"氏名がマスタと相違／","")&amp;IF(AND($Q1873&lt;&gt;"",INDEX(職員マスタ!$E$6:$E$405,$AP1873)&lt;&gt;"",$Q1873&lt;&gt;INDEX(職員マスタ!$E$6:$E$405,$AP1873)),"子の生年月日がマスタと相違／","")&amp;IF(AND($L1873&lt;&gt;"",INDEX(職員マスタ!$G$6:$G$405,$AP1873)&lt;&gt;"",$L1873&lt;&gt;INDEX(職員マスタ!$G$6:$G$405,$AP1873)),"時短開始日がマスタと相違／","")&amp;IF(AND($M1873&lt;&gt;"",INDEX(職員マスタ!$H$6:$H$405,$AP1873)&lt;&gt;"",$M1873&lt;&gt;INDEX(職員マスタ!$H$6:$H$405,$AP1873)),"時短終了日がマスタと相違／","")))&amp;IF(AND($B1873&lt;&gt;"",$E1873=""),"報酬額が未入力／","")&amp;IF(N($U1873)&gt;0,"申請書に入力エラーが残っています／","")&amp;IF(AND($B1873&lt;&gt;"",$AQ1873&lt;&gt;""),IF(COUNTIFS($B$6:$B$3005,$B1873,$C$6:$C$3005,$C1873,$D$6:$D$3005,$D1873)&gt;1,"同じ月の請求が重複しています／",""),"")&amp;IF(AND(N($E1873)&gt;0,$AB1873&lt;&gt;"",$AB1873&lt;&gt;"×",$AE1873=0,$AD1873=""),"計算額が下限以下のため不支給／",""))</f>
        <v/>
      </c>
      <c r="AN1873" s="12" t="n"/>
      <c r="AO1873" s="14">
        <f>IF($AF1873="保留中",COUNTIF($AF$6:$AF1873,"保留中"),"")</f>
        <v/>
      </c>
      <c r="AP1873" s="14">
        <f>IF($AQ1873="","",IF(SUMPRODUCT(MAX((職員マスタ!$A$6:$A$405=$B1873)*(((職員マスタ!$G$6:$G$405="")+(職員マスタ!$G$6:$G$405&lt;=EOMONTH($AQ1873,0)))&gt;0)*(((職員マスタ!$H$6:$H$405="")+(職員マスタ!$H$6:$H$405&gt;=$AQ1873))&gt;0)*(ROW(職員マスタ!$A$6:$A$405)-5)))&gt;0,SUMPRODUCT(MAX((職員マスタ!$A$6:$A$405=$B1873)*(((職員マスタ!$G$6:$G$405="")+(職員マスタ!$G$6:$G$405&lt;=EOMONTH($AQ1873,0)))&gt;0)*(((職員マスタ!$H$6:$H$405="")+(職員マスタ!$H$6:$H$405&gt;=$AQ1873))&gt;0)*(ROW(職員マスタ!$A$6:$A$405)-5))),IFERROR(MATCH($B1873,職員マスタ!$A$6:$A$405,0),"")))</f>
        <v/>
      </c>
      <c r="AQ1873" s="16">
        <f>IF(OR($B1873="",$C1873="",$D1873=""),"",DATE($C1873+2018,$D1873,1))</f>
        <v/>
      </c>
    </row>
    <row r="1874">
      <c r="A1874" s="11" t="n"/>
      <c r="B1874" s="12" t="n"/>
      <c r="C1874" s="12" t="n"/>
      <c r="D1874" s="12" t="n"/>
      <c r="E1874" s="13" t="n"/>
      <c r="F1874" s="12" t="n"/>
      <c r="G1874" s="13" t="n"/>
      <c r="H1874" s="12" t="n"/>
      <c r="I1874" s="12" t="n"/>
      <c r="J1874" s="12" t="n"/>
      <c r="K1874" s="12" t="n"/>
      <c r="L1874" s="11" t="n"/>
      <c r="M1874" s="11" t="n"/>
      <c r="N1874" s="11" t="n"/>
      <c r="O1874" s="11" t="n"/>
      <c r="P1874" s="12" t="n"/>
      <c r="Q1874" s="11" t="n"/>
      <c r="R1874" s="12" t="n"/>
      <c r="S1874" s="11" t="n"/>
      <c r="T1874" s="12" t="n"/>
      <c r="U1874" s="12" t="n"/>
      <c r="V1874" s="12" t="n"/>
      <c r="W1874" s="13" t="n"/>
      <c r="X1874" s="14">
        <f>IF($AP1874="",IF($B1874="","",$H1874),IF(INDEX(職員マスタ!$B$6:$B$405,$AP1874)="",$H1874,INDEX(職員マスタ!$B$6:$B$405,$AP1874)))</f>
        <v/>
      </c>
      <c r="Y1874" s="14">
        <f>IF($AP1874="",IF($B1874="","",$R1874),IF(INDEX(職員マスタ!$C$6:$C$405,$AP1874)="",$R1874,INDEX(職員マスタ!$C$6:$C$405,$AP1874)))</f>
        <v/>
      </c>
      <c r="Z1874" s="14">
        <f>IF($AQ1874="","","R"&amp;$C1874&amp;"."&amp;$D1874)</f>
        <v/>
      </c>
      <c r="AA1874" s="15">
        <f>IF(IF($AP1874="",FALSE,INDEX(職員マスタ!$K$6:$K$405,$AP1874)&lt;&gt;""),INDEX(職員マスタ!$K$6:$K$405,$AP1874),IF(N($W1874)&gt;0,$W1874,""))</f>
        <v/>
      </c>
      <c r="AB1874" s="14">
        <f>IF(OR($E1874="",$AA1874=""),"",IF($E1874&gt;=$AA1874,"×",IF($E1874&gt;=$AA1874*設定!$C$5,"△","○")))</f>
        <v/>
      </c>
      <c r="AC1874" s="15">
        <f>IF($AB1874="","",IF($AB1874="×",0,IF($AB1874="○",ROUNDDOWN($E1874*設定!$C$4,0),ROUNDDOWN($E1874*ROUND((9*$AA1874-9*$E1874)/(10*$E1874),4),0))))</f>
        <v/>
      </c>
      <c r="AD1874" s="13" t="n"/>
      <c r="AE1874" s="15">
        <f>IF($B1874="","",IF($AD1874&lt;&gt;"",$AD1874,IF($AC1874="","",IF($AC1874&lt;=設定!$C$3,0,$AC1874))))</f>
        <v/>
      </c>
      <c r="AF1874" s="14">
        <f>IF($B1874="","",IF(AND($AG1874&lt;&gt;"",$AI1874="",$AL1874=""),"保留中",IF($AL1874&lt;&gt;"",IF(N($AE1874)&gt;0,"支給済","不支給"),IF($AE1874="","要確認",IF($AE1874=0,"不支給","未処理")))))</f>
        <v/>
      </c>
      <c r="AG1874" s="12" t="n"/>
      <c r="AH1874" s="11" t="n"/>
      <c r="AI1874" s="11" t="n"/>
      <c r="AJ1874" s="11" t="n"/>
      <c r="AK1874" s="14">
        <f>IF(AND($AF1874="保留中",$AH1874&lt;&gt;""),TODAY()-$AH1874,"")</f>
        <v/>
      </c>
      <c r="AL1874" s="12" t="n"/>
      <c r="AM1874" s="14">
        <f>IF($B1874="","",IF($AQ1874="","対象年月が未入力／","")&amp;IF($B1874="","",IF($AP1874="","職員マスタに未登録の職員番号／",IF($AA1874="","標準報酬月額が未登録／","")&amp;IF(AND($AQ1874&lt;&gt;"",OR(AND(INDEX(職員マスタ!$G$6:$G$405,$AP1874)&lt;&gt;"",INDEX(職員マスタ!$G$6:$G$405,$AP1874)&gt;EOMONTH($AQ1874,0)),AND(INDEX(職員マスタ!$H$6:$H$405,$AP1874)&lt;&gt;"",INDEX(職員マスタ!$H$6:$H$405,$AP1874)&lt;$AQ1874))),"対象月が時短期間外／","")&amp;IF(AND(INDEX(職員マスタ!$K$6:$K$405,$AP1874)&lt;&gt;"",N($W1874)&gt;0,INDEX(職員マスタ!$K$6:$K$405,$AP1874)&lt;&gt;$W1874),"標準報酬月額が申請書と相違（台帳"&amp;TEXT(INDEX(職員マスタ!$K$6:$K$405,$AP1874),"#,##0")&amp;"円／申請書"&amp;TEXT($W1874,"#,##0")&amp;"円）／","")&amp;IF(AND(INDEX(職員マスタ!$F$6:$F$405,$AP1874)&lt;&gt;"",$AQ1874&lt;&gt;"",INDEX(職員マスタ!$F$6:$F$405,$AP1874)&lt;$AQ1874),"対象月に子が2歳到達済／","")&amp;IF(AND($H1874&lt;&gt;"",INDEX(職員マスタ!$B$6:$B$405,$AP1874)&lt;&gt;"",SUBSTITUTE(SUBSTITUTE($H1874," ","")," ","")&lt;&gt;SUBSTITUTE(SUBSTITUTE(INDEX(職員マスタ!$B$6:$B$405,$AP1874)," ","")," ","")),"氏名がマスタと相違／","")&amp;IF(AND($Q1874&lt;&gt;"",INDEX(職員マスタ!$E$6:$E$405,$AP1874)&lt;&gt;"",$Q1874&lt;&gt;INDEX(職員マスタ!$E$6:$E$405,$AP1874)),"子の生年月日がマスタと相違／","")&amp;IF(AND($L1874&lt;&gt;"",INDEX(職員マスタ!$G$6:$G$405,$AP1874)&lt;&gt;"",$L1874&lt;&gt;INDEX(職員マスタ!$G$6:$G$405,$AP1874)),"時短開始日がマスタと相違／","")&amp;IF(AND($M1874&lt;&gt;"",INDEX(職員マスタ!$H$6:$H$405,$AP1874)&lt;&gt;"",$M1874&lt;&gt;INDEX(職員マスタ!$H$6:$H$405,$AP1874)),"時短終了日がマスタと相違／","")))&amp;IF(AND($B1874&lt;&gt;"",$E1874=""),"報酬額が未入力／","")&amp;IF(N($U1874)&gt;0,"申請書に入力エラーが残っています／","")&amp;IF(AND($B1874&lt;&gt;"",$AQ1874&lt;&gt;""),IF(COUNTIFS($B$6:$B$3005,$B1874,$C$6:$C$3005,$C1874,$D$6:$D$3005,$D1874)&gt;1,"同じ月の請求が重複しています／",""),"")&amp;IF(AND(N($E1874)&gt;0,$AB1874&lt;&gt;"",$AB1874&lt;&gt;"×",$AE1874=0,$AD1874=""),"計算額が下限以下のため不支給／",""))</f>
        <v/>
      </c>
      <c r="AN1874" s="12" t="n"/>
      <c r="AO1874" s="14">
        <f>IF($AF1874="保留中",COUNTIF($AF$6:$AF1874,"保留中"),"")</f>
        <v/>
      </c>
      <c r="AP1874" s="14">
        <f>IF($AQ1874="","",IF(SUMPRODUCT(MAX((職員マスタ!$A$6:$A$405=$B1874)*(((職員マスタ!$G$6:$G$405="")+(職員マスタ!$G$6:$G$405&lt;=EOMONTH($AQ1874,0)))&gt;0)*(((職員マスタ!$H$6:$H$405="")+(職員マスタ!$H$6:$H$405&gt;=$AQ1874))&gt;0)*(ROW(職員マスタ!$A$6:$A$405)-5)))&gt;0,SUMPRODUCT(MAX((職員マスタ!$A$6:$A$405=$B1874)*(((職員マスタ!$G$6:$G$405="")+(職員マスタ!$G$6:$G$405&lt;=EOMONTH($AQ1874,0)))&gt;0)*(((職員マスタ!$H$6:$H$405="")+(職員マスタ!$H$6:$H$405&gt;=$AQ1874))&gt;0)*(ROW(職員マスタ!$A$6:$A$405)-5))),IFERROR(MATCH($B1874,職員マスタ!$A$6:$A$405,0),"")))</f>
        <v/>
      </c>
      <c r="AQ1874" s="16">
        <f>IF(OR($B1874="",$C1874="",$D1874=""),"",DATE($C1874+2018,$D1874,1))</f>
        <v/>
      </c>
    </row>
    <row r="1875">
      <c r="A1875" s="11" t="n"/>
      <c r="B1875" s="12" t="n"/>
      <c r="C1875" s="12" t="n"/>
      <c r="D1875" s="12" t="n"/>
      <c r="E1875" s="13" t="n"/>
      <c r="F1875" s="12" t="n"/>
      <c r="G1875" s="13" t="n"/>
      <c r="H1875" s="12" t="n"/>
      <c r="I1875" s="12" t="n"/>
      <c r="J1875" s="12" t="n"/>
      <c r="K1875" s="12" t="n"/>
      <c r="L1875" s="11" t="n"/>
      <c r="M1875" s="11" t="n"/>
      <c r="N1875" s="11" t="n"/>
      <c r="O1875" s="11" t="n"/>
      <c r="P1875" s="12" t="n"/>
      <c r="Q1875" s="11" t="n"/>
      <c r="R1875" s="12" t="n"/>
      <c r="S1875" s="11" t="n"/>
      <c r="T1875" s="12" t="n"/>
      <c r="U1875" s="12" t="n"/>
      <c r="V1875" s="12" t="n"/>
      <c r="W1875" s="13" t="n"/>
      <c r="X1875" s="14">
        <f>IF($AP1875="",IF($B1875="","",$H1875),IF(INDEX(職員マスタ!$B$6:$B$405,$AP1875)="",$H1875,INDEX(職員マスタ!$B$6:$B$405,$AP1875)))</f>
        <v/>
      </c>
      <c r="Y1875" s="14">
        <f>IF($AP1875="",IF($B1875="","",$R1875),IF(INDEX(職員マスタ!$C$6:$C$405,$AP1875)="",$R1875,INDEX(職員マスタ!$C$6:$C$405,$AP1875)))</f>
        <v/>
      </c>
      <c r="Z1875" s="14">
        <f>IF($AQ1875="","","R"&amp;$C1875&amp;"."&amp;$D1875)</f>
        <v/>
      </c>
      <c r="AA1875" s="15">
        <f>IF(IF($AP1875="",FALSE,INDEX(職員マスタ!$K$6:$K$405,$AP1875)&lt;&gt;""),INDEX(職員マスタ!$K$6:$K$405,$AP1875),IF(N($W1875)&gt;0,$W1875,""))</f>
        <v/>
      </c>
      <c r="AB1875" s="14">
        <f>IF(OR($E1875="",$AA1875=""),"",IF($E1875&gt;=$AA1875,"×",IF($E1875&gt;=$AA1875*設定!$C$5,"△","○")))</f>
        <v/>
      </c>
      <c r="AC1875" s="15">
        <f>IF($AB1875="","",IF($AB1875="×",0,IF($AB1875="○",ROUNDDOWN($E1875*設定!$C$4,0),ROUNDDOWN($E1875*ROUND((9*$AA1875-9*$E1875)/(10*$E1875),4),0))))</f>
        <v/>
      </c>
      <c r="AD1875" s="13" t="n"/>
      <c r="AE1875" s="15">
        <f>IF($B1875="","",IF($AD1875&lt;&gt;"",$AD1875,IF($AC1875="","",IF($AC1875&lt;=設定!$C$3,0,$AC1875))))</f>
        <v/>
      </c>
      <c r="AF1875" s="14">
        <f>IF($B1875="","",IF(AND($AG1875&lt;&gt;"",$AI1875="",$AL1875=""),"保留中",IF($AL1875&lt;&gt;"",IF(N($AE1875)&gt;0,"支給済","不支給"),IF($AE1875="","要確認",IF($AE1875=0,"不支給","未処理")))))</f>
        <v/>
      </c>
      <c r="AG1875" s="12" t="n"/>
      <c r="AH1875" s="11" t="n"/>
      <c r="AI1875" s="11" t="n"/>
      <c r="AJ1875" s="11" t="n"/>
      <c r="AK1875" s="14">
        <f>IF(AND($AF1875="保留中",$AH1875&lt;&gt;""),TODAY()-$AH1875,"")</f>
        <v/>
      </c>
      <c r="AL1875" s="12" t="n"/>
      <c r="AM1875" s="14">
        <f>IF($B1875="","",IF($AQ1875="","対象年月が未入力／","")&amp;IF($B1875="","",IF($AP1875="","職員マスタに未登録の職員番号／",IF($AA1875="","標準報酬月額が未登録／","")&amp;IF(AND($AQ1875&lt;&gt;"",OR(AND(INDEX(職員マスタ!$G$6:$G$405,$AP1875)&lt;&gt;"",INDEX(職員マスタ!$G$6:$G$405,$AP1875)&gt;EOMONTH($AQ1875,0)),AND(INDEX(職員マスタ!$H$6:$H$405,$AP1875)&lt;&gt;"",INDEX(職員マスタ!$H$6:$H$405,$AP1875)&lt;$AQ1875))),"対象月が時短期間外／","")&amp;IF(AND(INDEX(職員マスタ!$K$6:$K$405,$AP1875)&lt;&gt;"",N($W1875)&gt;0,INDEX(職員マスタ!$K$6:$K$405,$AP1875)&lt;&gt;$W1875),"標準報酬月額が申請書と相違（台帳"&amp;TEXT(INDEX(職員マスタ!$K$6:$K$405,$AP1875),"#,##0")&amp;"円／申請書"&amp;TEXT($W1875,"#,##0")&amp;"円）／","")&amp;IF(AND(INDEX(職員マスタ!$F$6:$F$405,$AP1875)&lt;&gt;"",$AQ1875&lt;&gt;"",INDEX(職員マスタ!$F$6:$F$405,$AP1875)&lt;$AQ1875),"対象月に子が2歳到達済／","")&amp;IF(AND($H1875&lt;&gt;"",INDEX(職員マスタ!$B$6:$B$405,$AP1875)&lt;&gt;"",SUBSTITUTE(SUBSTITUTE($H1875," ","")," ","")&lt;&gt;SUBSTITUTE(SUBSTITUTE(INDEX(職員マスタ!$B$6:$B$405,$AP1875)," ","")," ","")),"氏名がマスタと相違／","")&amp;IF(AND($Q1875&lt;&gt;"",INDEX(職員マスタ!$E$6:$E$405,$AP1875)&lt;&gt;"",$Q1875&lt;&gt;INDEX(職員マスタ!$E$6:$E$405,$AP1875)),"子の生年月日がマスタと相違／","")&amp;IF(AND($L1875&lt;&gt;"",INDEX(職員マスタ!$G$6:$G$405,$AP1875)&lt;&gt;"",$L1875&lt;&gt;INDEX(職員マスタ!$G$6:$G$405,$AP1875)),"時短開始日がマスタと相違／","")&amp;IF(AND($M1875&lt;&gt;"",INDEX(職員マスタ!$H$6:$H$405,$AP1875)&lt;&gt;"",$M1875&lt;&gt;INDEX(職員マスタ!$H$6:$H$405,$AP1875)),"時短終了日がマスタと相違／","")))&amp;IF(AND($B1875&lt;&gt;"",$E1875=""),"報酬額が未入力／","")&amp;IF(N($U1875)&gt;0,"申請書に入力エラーが残っています／","")&amp;IF(AND($B1875&lt;&gt;"",$AQ1875&lt;&gt;""),IF(COUNTIFS($B$6:$B$3005,$B1875,$C$6:$C$3005,$C1875,$D$6:$D$3005,$D1875)&gt;1,"同じ月の請求が重複しています／",""),"")&amp;IF(AND(N($E1875)&gt;0,$AB1875&lt;&gt;"",$AB1875&lt;&gt;"×",$AE1875=0,$AD1875=""),"計算額が下限以下のため不支給／",""))</f>
        <v/>
      </c>
      <c r="AN1875" s="12" t="n"/>
      <c r="AO1875" s="14">
        <f>IF($AF1875="保留中",COUNTIF($AF$6:$AF1875,"保留中"),"")</f>
        <v/>
      </c>
      <c r="AP1875" s="14">
        <f>IF($AQ1875="","",IF(SUMPRODUCT(MAX((職員マスタ!$A$6:$A$405=$B1875)*(((職員マスタ!$G$6:$G$405="")+(職員マスタ!$G$6:$G$405&lt;=EOMONTH($AQ1875,0)))&gt;0)*(((職員マスタ!$H$6:$H$405="")+(職員マスタ!$H$6:$H$405&gt;=$AQ1875))&gt;0)*(ROW(職員マスタ!$A$6:$A$405)-5)))&gt;0,SUMPRODUCT(MAX((職員マスタ!$A$6:$A$405=$B1875)*(((職員マスタ!$G$6:$G$405="")+(職員マスタ!$G$6:$G$405&lt;=EOMONTH($AQ1875,0)))&gt;0)*(((職員マスタ!$H$6:$H$405="")+(職員マスタ!$H$6:$H$405&gt;=$AQ1875))&gt;0)*(ROW(職員マスタ!$A$6:$A$405)-5))),IFERROR(MATCH($B1875,職員マスタ!$A$6:$A$405,0),"")))</f>
        <v/>
      </c>
      <c r="AQ1875" s="16">
        <f>IF(OR($B1875="",$C1875="",$D1875=""),"",DATE($C1875+2018,$D1875,1))</f>
        <v/>
      </c>
    </row>
    <row r="1876">
      <c r="A1876" s="11" t="n"/>
      <c r="B1876" s="12" t="n"/>
      <c r="C1876" s="12" t="n"/>
      <c r="D1876" s="12" t="n"/>
      <c r="E1876" s="13" t="n"/>
      <c r="F1876" s="12" t="n"/>
      <c r="G1876" s="13" t="n"/>
      <c r="H1876" s="12" t="n"/>
      <c r="I1876" s="12" t="n"/>
      <c r="J1876" s="12" t="n"/>
      <c r="K1876" s="12" t="n"/>
      <c r="L1876" s="11" t="n"/>
      <c r="M1876" s="11" t="n"/>
      <c r="N1876" s="11" t="n"/>
      <c r="O1876" s="11" t="n"/>
      <c r="P1876" s="12" t="n"/>
      <c r="Q1876" s="11" t="n"/>
      <c r="R1876" s="12" t="n"/>
      <c r="S1876" s="11" t="n"/>
      <c r="T1876" s="12" t="n"/>
      <c r="U1876" s="12" t="n"/>
      <c r="V1876" s="12" t="n"/>
      <c r="W1876" s="13" t="n"/>
      <c r="X1876" s="14">
        <f>IF($AP1876="",IF($B1876="","",$H1876),IF(INDEX(職員マスタ!$B$6:$B$405,$AP1876)="",$H1876,INDEX(職員マスタ!$B$6:$B$405,$AP1876)))</f>
        <v/>
      </c>
      <c r="Y1876" s="14">
        <f>IF($AP1876="",IF($B1876="","",$R1876),IF(INDEX(職員マスタ!$C$6:$C$405,$AP1876)="",$R1876,INDEX(職員マスタ!$C$6:$C$405,$AP1876)))</f>
        <v/>
      </c>
      <c r="Z1876" s="14">
        <f>IF($AQ1876="","","R"&amp;$C1876&amp;"."&amp;$D1876)</f>
        <v/>
      </c>
      <c r="AA1876" s="15">
        <f>IF(IF($AP1876="",FALSE,INDEX(職員マスタ!$K$6:$K$405,$AP1876)&lt;&gt;""),INDEX(職員マスタ!$K$6:$K$405,$AP1876),IF(N($W1876)&gt;0,$W1876,""))</f>
        <v/>
      </c>
      <c r="AB1876" s="14">
        <f>IF(OR($E1876="",$AA1876=""),"",IF($E1876&gt;=$AA1876,"×",IF($E1876&gt;=$AA1876*設定!$C$5,"△","○")))</f>
        <v/>
      </c>
      <c r="AC1876" s="15">
        <f>IF($AB1876="","",IF($AB1876="×",0,IF($AB1876="○",ROUNDDOWN($E1876*設定!$C$4,0),ROUNDDOWN($E1876*ROUND((9*$AA1876-9*$E1876)/(10*$E1876),4),0))))</f>
        <v/>
      </c>
      <c r="AD1876" s="13" t="n"/>
      <c r="AE1876" s="15">
        <f>IF($B1876="","",IF($AD1876&lt;&gt;"",$AD1876,IF($AC1876="","",IF($AC1876&lt;=設定!$C$3,0,$AC1876))))</f>
        <v/>
      </c>
      <c r="AF1876" s="14">
        <f>IF($B1876="","",IF(AND($AG1876&lt;&gt;"",$AI1876="",$AL1876=""),"保留中",IF($AL1876&lt;&gt;"",IF(N($AE1876)&gt;0,"支給済","不支給"),IF($AE1876="","要確認",IF($AE1876=0,"不支給","未処理")))))</f>
        <v/>
      </c>
      <c r="AG1876" s="12" t="n"/>
      <c r="AH1876" s="11" t="n"/>
      <c r="AI1876" s="11" t="n"/>
      <c r="AJ1876" s="11" t="n"/>
      <c r="AK1876" s="14">
        <f>IF(AND($AF1876="保留中",$AH1876&lt;&gt;""),TODAY()-$AH1876,"")</f>
        <v/>
      </c>
      <c r="AL1876" s="12" t="n"/>
      <c r="AM1876" s="14">
        <f>IF($B1876="","",IF($AQ1876="","対象年月が未入力／","")&amp;IF($B1876="","",IF($AP1876="","職員マスタに未登録の職員番号／",IF($AA1876="","標準報酬月額が未登録／","")&amp;IF(AND($AQ1876&lt;&gt;"",OR(AND(INDEX(職員マスタ!$G$6:$G$405,$AP1876)&lt;&gt;"",INDEX(職員マスタ!$G$6:$G$405,$AP1876)&gt;EOMONTH($AQ1876,0)),AND(INDEX(職員マスタ!$H$6:$H$405,$AP1876)&lt;&gt;"",INDEX(職員マスタ!$H$6:$H$405,$AP1876)&lt;$AQ1876))),"対象月が時短期間外／","")&amp;IF(AND(INDEX(職員マスタ!$K$6:$K$405,$AP1876)&lt;&gt;"",N($W1876)&gt;0,INDEX(職員マスタ!$K$6:$K$405,$AP1876)&lt;&gt;$W1876),"標準報酬月額が申請書と相違（台帳"&amp;TEXT(INDEX(職員マスタ!$K$6:$K$405,$AP1876),"#,##0")&amp;"円／申請書"&amp;TEXT($W1876,"#,##0")&amp;"円）／","")&amp;IF(AND(INDEX(職員マスタ!$F$6:$F$405,$AP1876)&lt;&gt;"",$AQ1876&lt;&gt;"",INDEX(職員マスタ!$F$6:$F$405,$AP1876)&lt;$AQ1876),"対象月に子が2歳到達済／","")&amp;IF(AND($H1876&lt;&gt;"",INDEX(職員マスタ!$B$6:$B$405,$AP1876)&lt;&gt;"",SUBSTITUTE(SUBSTITUTE($H1876," ","")," ","")&lt;&gt;SUBSTITUTE(SUBSTITUTE(INDEX(職員マスタ!$B$6:$B$405,$AP1876)," ","")," ","")),"氏名がマスタと相違／","")&amp;IF(AND($Q1876&lt;&gt;"",INDEX(職員マスタ!$E$6:$E$405,$AP1876)&lt;&gt;"",$Q1876&lt;&gt;INDEX(職員マスタ!$E$6:$E$405,$AP1876)),"子の生年月日がマスタと相違／","")&amp;IF(AND($L1876&lt;&gt;"",INDEX(職員マスタ!$G$6:$G$405,$AP1876)&lt;&gt;"",$L1876&lt;&gt;INDEX(職員マスタ!$G$6:$G$405,$AP1876)),"時短開始日がマスタと相違／","")&amp;IF(AND($M1876&lt;&gt;"",INDEX(職員マスタ!$H$6:$H$405,$AP1876)&lt;&gt;"",$M1876&lt;&gt;INDEX(職員マスタ!$H$6:$H$405,$AP1876)),"時短終了日がマスタと相違／","")))&amp;IF(AND($B1876&lt;&gt;"",$E1876=""),"報酬額が未入力／","")&amp;IF(N($U1876)&gt;0,"申請書に入力エラーが残っています／","")&amp;IF(AND($B1876&lt;&gt;"",$AQ1876&lt;&gt;""),IF(COUNTIFS($B$6:$B$3005,$B1876,$C$6:$C$3005,$C1876,$D$6:$D$3005,$D1876)&gt;1,"同じ月の請求が重複しています／",""),"")&amp;IF(AND(N($E1876)&gt;0,$AB1876&lt;&gt;"",$AB1876&lt;&gt;"×",$AE1876=0,$AD1876=""),"計算額が下限以下のため不支給／",""))</f>
        <v/>
      </c>
      <c r="AN1876" s="12" t="n"/>
      <c r="AO1876" s="14">
        <f>IF($AF1876="保留中",COUNTIF($AF$6:$AF1876,"保留中"),"")</f>
        <v/>
      </c>
      <c r="AP1876" s="14">
        <f>IF($AQ1876="","",IF(SUMPRODUCT(MAX((職員マスタ!$A$6:$A$405=$B1876)*(((職員マスタ!$G$6:$G$405="")+(職員マスタ!$G$6:$G$405&lt;=EOMONTH($AQ1876,0)))&gt;0)*(((職員マスタ!$H$6:$H$405="")+(職員マスタ!$H$6:$H$405&gt;=$AQ1876))&gt;0)*(ROW(職員マスタ!$A$6:$A$405)-5)))&gt;0,SUMPRODUCT(MAX((職員マスタ!$A$6:$A$405=$B1876)*(((職員マスタ!$G$6:$G$405="")+(職員マスタ!$G$6:$G$405&lt;=EOMONTH($AQ1876,0)))&gt;0)*(((職員マスタ!$H$6:$H$405="")+(職員マスタ!$H$6:$H$405&gt;=$AQ1876))&gt;0)*(ROW(職員マスタ!$A$6:$A$405)-5))),IFERROR(MATCH($B1876,職員マスタ!$A$6:$A$405,0),"")))</f>
        <v/>
      </c>
      <c r="AQ1876" s="16">
        <f>IF(OR($B1876="",$C1876="",$D1876=""),"",DATE($C1876+2018,$D1876,1))</f>
        <v/>
      </c>
    </row>
    <row r="1877">
      <c r="A1877" s="11" t="n"/>
      <c r="B1877" s="12" t="n"/>
      <c r="C1877" s="12" t="n"/>
      <c r="D1877" s="12" t="n"/>
      <c r="E1877" s="13" t="n"/>
      <c r="F1877" s="12" t="n"/>
      <c r="G1877" s="13" t="n"/>
      <c r="H1877" s="12" t="n"/>
      <c r="I1877" s="12" t="n"/>
      <c r="J1877" s="12" t="n"/>
      <c r="K1877" s="12" t="n"/>
      <c r="L1877" s="11" t="n"/>
      <c r="M1877" s="11" t="n"/>
      <c r="N1877" s="11" t="n"/>
      <c r="O1877" s="11" t="n"/>
      <c r="P1877" s="12" t="n"/>
      <c r="Q1877" s="11" t="n"/>
      <c r="R1877" s="12" t="n"/>
      <c r="S1877" s="11" t="n"/>
      <c r="T1877" s="12" t="n"/>
      <c r="U1877" s="12" t="n"/>
      <c r="V1877" s="12" t="n"/>
      <c r="W1877" s="13" t="n"/>
      <c r="X1877" s="14">
        <f>IF($AP1877="",IF($B1877="","",$H1877),IF(INDEX(職員マスタ!$B$6:$B$405,$AP1877)="",$H1877,INDEX(職員マスタ!$B$6:$B$405,$AP1877)))</f>
        <v/>
      </c>
      <c r="Y1877" s="14">
        <f>IF($AP1877="",IF($B1877="","",$R1877),IF(INDEX(職員マスタ!$C$6:$C$405,$AP1877)="",$R1877,INDEX(職員マスタ!$C$6:$C$405,$AP1877)))</f>
        <v/>
      </c>
      <c r="Z1877" s="14">
        <f>IF($AQ1877="","","R"&amp;$C1877&amp;"."&amp;$D1877)</f>
        <v/>
      </c>
      <c r="AA1877" s="15">
        <f>IF(IF($AP1877="",FALSE,INDEX(職員マスタ!$K$6:$K$405,$AP1877)&lt;&gt;""),INDEX(職員マスタ!$K$6:$K$405,$AP1877),IF(N($W1877)&gt;0,$W1877,""))</f>
        <v/>
      </c>
      <c r="AB1877" s="14">
        <f>IF(OR($E1877="",$AA1877=""),"",IF($E1877&gt;=$AA1877,"×",IF($E1877&gt;=$AA1877*設定!$C$5,"△","○")))</f>
        <v/>
      </c>
      <c r="AC1877" s="15">
        <f>IF($AB1877="","",IF($AB1877="×",0,IF($AB1877="○",ROUNDDOWN($E1877*設定!$C$4,0),ROUNDDOWN($E1877*ROUND((9*$AA1877-9*$E1877)/(10*$E1877),4),0))))</f>
        <v/>
      </c>
      <c r="AD1877" s="13" t="n"/>
      <c r="AE1877" s="15">
        <f>IF($B1877="","",IF($AD1877&lt;&gt;"",$AD1877,IF($AC1877="","",IF($AC1877&lt;=設定!$C$3,0,$AC1877))))</f>
        <v/>
      </c>
      <c r="AF1877" s="14">
        <f>IF($B1877="","",IF(AND($AG1877&lt;&gt;"",$AI1877="",$AL1877=""),"保留中",IF($AL1877&lt;&gt;"",IF(N($AE1877)&gt;0,"支給済","不支給"),IF($AE1877="","要確認",IF($AE1877=0,"不支給","未処理")))))</f>
        <v/>
      </c>
      <c r="AG1877" s="12" t="n"/>
      <c r="AH1877" s="11" t="n"/>
      <c r="AI1877" s="11" t="n"/>
      <c r="AJ1877" s="11" t="n"/>
      <c r="AK1877" s="14">
        <f>IF(AND($AF1877="保留中",$AH1877&lt;&gt;""),TODAY()-$AH1877,"")</f>
        <v/>
      </c>
      <c r="AL1877" s="12" t="n"/>
      <c r="AM1877" s="14">
        <f>IF($B1877="","",IF($AQ1877="","対象年月が未入力／","")&amp;IF($B1877="","",IF($AP1877="","職員マスタに未登録の職員番号／",IF($AA1877="","標準報酬月額が未登録／","")&amp;IF(AND($AQ1877&lt;&gt;"",OR(AND(INDEX(職員マスタ!$G$6:$G$405,$AP1877)&lt;&gt;"",INDEX(職員マスタ!$G$6:$G$405,$AP1877)&gt;EOMONTH($AQ1877,0)),AND(INDEX(職員マスタ!$H$6:$H$405,$AP1877)&lt;&gt;"",INDEX(職員マスタ!$H$6:$H$405,$AP1877)&lt;$AQ1877))),"対象月が時短期間外／","")&amp;IF(AND(INDEX(職員マスタ!$K$6:$K$405,$AP1877)&lt;&gt;"",N($W1877)&gt;0,INDEX(職員マスタ!$K$6:$K$405,$AP1877)&lt;&gt;$W1877),"標準報酬月額が申請書と相違（台帳"&amp;TEXT(INDEX(職員マスタ!$K$6:$K$405,$AP1877),"#,##0")&amp;"円／申請書"&amp;TEXT($W1877,"#,##0")&amp;"円）／","")&amp;IF(AND(INDEX(職員マスタ!$F$6:$F$405,$AP1877)&lt;&gt;"",$AQ1877&lt;&gt;"",INDEX(職員マスタ!$F$6:$F$405,$AP1877)&lt;$AQ1877),"対象月に子が2歳到達済／","")&amp;IF(AND($H1877&lt;&gt;"",INDEX(職員マスタ!$B$6:$B$405,$AP1877)&lt;&gt;"",SUBSTITUTE(SUBSTITUTE($H1877," ","")," ","")&lt;&gt;SUBSTITUTE(SUBSTITUTE(INDEX(職員マスタ!$B$6:$B$405,$AP1877)," ","")," ","")),"氏名がマスタと相違／","")&amp;IF(AND($Q1877&lt;&gt;"",INDEX(職員マスタ!$E$6:$E$405,$AP1877)&lt;&gt;"",$Q1877&lt;&gt;INDEX(職員マスタ!$E$6:$E$405,$AP1877)),"子の生年月日がマスタと相違／","")&amp;IF(AND($L1877&lt;&gt;"",INDEX(職員マスタ!$G$6:$G$405,$AP1877)&lt;&gt;"",$L1877&lt;&gt;INDEX(職員マスタ!$G$6:$G$405,$AP1877)),"時短開始日がマスタと相違／","")&amp;IF(AND($M1877&lt;&gt;"",INDEX(職員マスタ!$H$6:$H$405,$AP1877)&lt;&gt;"",$M1877&lt;&gt;INDEX(職員マスタ!$H$6:$H$405,$AP1877)),"時短終了日がマスタと相違／","")))&amp;IF(AND($B1877&lt;&gt;"",$E1877=""),"報酬額が未入力／","")&amp;IF(N($U1877)&gt;0,"申請書に入力エラーが残っています／","")&amp;IF(AND($B1877&lt;&gt;"",$AQ1877&lt;&gt;""),IF(COUNTIFS($B$6:$B$3005,$B1877,$C$6:$C$3005,$C1877,$D$6:$D$3005,$D1877)&gt;1,"同じ月の請求が重複しています／",""),"")&amp;IF(AND(N($E1877)&gt;0,$AB1877&lt;&gt;"",$AB1877&lt;&gt;"×",$AE1877=0,$AD1877=""),"計算額が下限以下のため不支給／",""))</f>
        <v/>
      </c>
      <c r="AN1877" s="12" t="n"/>
      <c r="AO1877" s="14">
        <f>IF($AF1877="保留中",COUNTIF($AF$6:$AF1877,"保留中"),"")</f>
        <v/>
      </c>
      <c r="AP1877" s="14">
        <f>IF($AQ1877="","",IF(SUMPRODUCT(MAX((職員マスタ!$A$6:$A$405=$B1877)*(((職員マスタ!$G$6:$G$405="")+(職員マスタ!$G$6:$G$405&lt;=EOMONTH($AQ1877,0)))&gt;0)*(((職員マスタ!$H$6:$H$405="")+(職員マスタ!$H$6:$H$405&gt;=$AQ1877))&gt;0)*(ROW(職員マスタ!$A$6:$A$405)-5)))&gt;0,SUMPRODUCT(MAX((職員マスタ!$A$6:$A$405=$B1877)*(((職員マスタ!$G$6:$G$405="")+(職員マスタ!$G$6:$G$405&lt;=EOMONTH($AQ1877,0)))&gt;0)*(((職員マスタ!$H$6:$H$405="")+(職員マスタ!$H$6:$H$405&gt;=$AQ1877))&gt;0)*(ROW(職員マスタ!$A$6:$A$405)-5))),IFERROR(MATCH($B1877,職員マスタ!$A$6:$A$405,0),"")))</f>
        <v/>
      </c>
      <c r="AQ1877" s="16">
        <f>IF(OR($B1877="",$C1877="",$D1877=""),"",DATE($C1877+2018,$D1877,1))</f>
        <v/>
      </c>
    </row>
    <row r="1878">
      <c r="A1878" s="11" t="n"/>
      <c r="B1878" s="12" t="n"/>
      <c r="C1878" s="12" t="n"/>
      <c r="D1878" s="12" t="n"/>
      <c r="E1878" s="13" t="n"/>
      <c r="F1878" s="12" t="n"/>
      <c r="G1878" s="13" t="n"/>
      <c r="H1878" s="12" t="n"/>
      <c r="I1878" s="12" t="n"/>
      <c r="J1878" s="12" t="n"/>
      <c r="K1878" s="12" t="n"/>
      <c r="L1878" s="11" t="n"/>
      <c r="M1878" s="11" t="n"/>
      <c r="N1878" s="11" t="n"/>
      <c r="O1878" s="11" t="n"/>
      <c r="P1878" s="12" t="n"/>
      <c r="Q1878" s="11" t="n"/>
      <c r="R1878" s="12" t="n"/>
      <c r="S1878" s="11" t="n"/>
      <c r="T1878" s="12" t="n"/>
      <c r="U1878" s="12" t="n"/>
      <c r="V1878" s="12" t="n"/>
      <c r="W1878" s="13" t="n"/>
      <c r="X1878" s="14">
        <f>IF($AP1878="",IF($B1878="","",$H1878),IF(INDEX(職員マスタ!$B$6:$B$405,$AP1878)="",$H1878,INDEX(職員マスタ!$B$6:$B$405,$AP1878)))</f>
        <v/>
      </c>
      <c r="Y1878" s="14">
        <f>IF($AP1878="",IF($B1878="","",$R1878),IF(INDEX(職員マスタ!$C$6:$C$405,$AP1878)="",$R1878,INDEX(職員マスタ!$C$6:$C$405,$AP1878)))</f>
        <v/>
      </c>
      <c r="Z1878" s="14">
        <f>IF($AQ1878="","","R"&amp;$C1878&amp;"."&amp;$D1878)</f>
        <v/>
      </c>
      <c r="AA1878" s="15">
        <f>IF(IF($AP1878="",FALSE,INDEX(職員マスタ!$K$6:$K$405,$AP1878)&lt;&gt;""),INDEX(職員マスタ!$K$6:$K$405,$AP1878),IF(N($W1878)&gt;0,$W1878,""))</f>
        <v/>
      </c>
      <c r="AB1878" s="14">
        <f>IF(OR($E1878="",$AA1878=""),"",IF($E1878&gt;=$AA1878,"×",IF($E1878&gt;=$AA1878*設定!$C$5,"△","○")))</f>
        <v/>
      </c>
      <c r="AC1878" s="15">
        <f>IF($AB1878="","",IF($AB1878="×",0,IF($AB1878="○",ROUNDDOWN($E1878*設定!$C$4,0),ROUNDDOWN($E1878*ROUND((9*$AA1878-9*$E1878)/(10*$E1878),4),0))))</f>
        <v/>
      </c>
      <c r="AD1878" s="13" t="n"/>
      <c r="AE1878" s="15">
        <f>IF($B1878="","",IF($AD1878&lt;&gt;"",$AD1878,IF($AC1878="","",IF($AC1878&lt;=設定!$C$3,0,$AC1878))))</f>
        <v/>
      </c>
      <c r="AF1878" s="14">
        <f>IF($B1878="","",IF(AND($AG1878&lt;&gt;"",$AI1878="",$AL1878=""),"保留中",IF($AL1878&lt;&gt;"",IF(N($AE1878)&gt;0,"支給済","不支給"),IF($AE1878="","要確認",IF($AE1878=0,"不支給","未処理")))))</f>
        <v/>
      </c>
      <c r="AG1878" s="12" t="n"/>
      <c r="AH1878" s="11" t="n"/>
      <c r="AI1878" s="11" t="n"/>
      <c r="AJ1878" s="11" t="n"/>
      <c r="AK1878" s="14">
        <f>IF(AND($AF1878="保留中",$AH1878&lt;&gt;""),TODAY()-$AH1878,"")</f>
        <v/>
      </c>
      <c r="AL1878" s="12" t="n"/>
      <c r="AM1878" s="14">
        <f>IF($B1878="","",IF($AQ1878="","対象年月が未入力／","")&amp;IF($B1878="","",IF($AP1878="","職員マスタに未登録の職員番号／",IF($AA1878="","標準報酬月額が未登録／","")&amp;IF(AND($AQ1878&lt;&gt;"",OR(AND(INDEX(職員マスタ!$G$6:$G$405,$AP1878)&lt;&gt;"",INDEX(職員マスタ!$G$6:$G$405,$AP1878)&gt;EOMONTH($AQ1878,0)),AND(INDEX(職員マスタ!$H$6:$H$405,$AP1878)&lt;&gt;"",INDEX(職員マスタ!$H$6:$H$405,$AP1878)&lt;$AQ1878))),"対象月が時短期間外／","")&amp;IF(AND(INDEX(職員マスタ!$K$6:$K$405,$AP1878)&lt;&gt;"",N($W1878)&gt;0,INDEX(職員マスタ!$K$6:$K$405,$AP1878)&lt;&gt;$W1878),"標準報酬月額が申請書と相違（台帳"&amp;TEXT(INDEX(職員マスタ!$K$6:$K$405,$AP1878),"#,##0")&amp;"円／申請書"&amp;TEXT($W1878,"#,##0")&amp;"円）／","")&amp;IF(AND(INDEX(職員マスタ!$F$6:$F$405,$AP1878)&lt;&gt;"",$AQ1878&lt;&gt;"",INDEX(職員マスタ!$F$6:$F$405,$AP1878)&lt;$AQ1878),"対象月に子が2歳到達済／","")&amp;IF(AND($H1878&lt;&gt;"",INDEX(職員マスタ!$B$6:$B$405,$AP1878)&lt;&gt;"",SUBSTITUTE(SUBSTITUTE($H1878," ","")," ","")&lt;&gt;SUBSTITUTE(SUBSTITUTE(INDEX(職員マスタ!$B$6:$B$405,$AP1878)," ","")," ","")),"氏名がマスタと相違／","")&amp;IF(AND($Q1878&lt;&gt;"",INDEX(職員マスタ!$E$6:$E$405,$AP1878)&lt;&gt;"",$Q1878&lt;&gt;INDEX(職員マスタ!$E$6:$E$405,$AP1878)),"子の生年月日がマスタと相違／","")&amp;IF(AND($L1878&lt;&gt;"",INDEX(職員マスタ!$G$6:$G$405,$AP1878)&lt;&gt;"",$L1878&lt;&gt;INDEX(職員マスタ!$G$6:$G$405,$AP1878)),"時短開始日がマスタと相違／","")&amp;IF(AND($M1878&lt;&gt;"",INDEX(職員マスタ!$H$6:$H$405,$AP1878)&lt;&gt;"",$M1878&lt;&gt;INDEX(職員マスタ!$H$6:$H$405,$AP1878)),"時短終了日がマスタと相違／","")))&amp;IF(AND($B1878&lt;&gt;"",$E1878=""),"報酬額が未入力／","")&amp;IF(N($U1878)&gt;0,"申請書に入力エラーが残っています／","")&amp;IF(AND($B1878&lt;&gt;"",$AQ1878&lt;&gt;""),IF(COUNTIFS($B$6:$B$3005,$B1878,$C$6:$C$3005,$C1878,$D$6:$D$3005,$D1878)&gt;1,"同じ月の請求が重複しています／",""),"")&amp;IF(AND(N($E1878)&gt;0,$AB1878&lt;&gt;"",$AB1878&lt;&gt;"×",$AE1878=0,$AD1878=""),"計算額が下限以下のため不支給／",""))</f>
        <v/>
      </c>
      <c r="AN1878" s="12" t="n"/>
      <c r="AO1878" s="14">
        <f>IF($AF1878="保留中",COUNTIF($AF$6:$AF1878,"保留中"),"")</f>
        <v/>
      </c>
      <c r="AP1878" s="14">
        <f>IF($AQ1878="","",IF(SUMPRODUCT(MAX((職員マスタ!$A$6:$A$405=$B1878)*(((職員マスタ!$G$6:$G$405="")+(職員マスタ!$G$6:$G$405&lt;=EOMONTH($AQ1878,0)))&gt;0)*(((職員マスタ!$H$6:$H$405="")+(職員マスタ!$H$6:$H$405&gt;=$AQ1878))&gt;0)*(ROW(職員マスタ!$A$6:$A$405)-5)))&gt;0,SUMPRODUCT(MAX((職員マスタ!$A$6:$A$405=$B1878)*(((職員マスタ!$G$6:$G$405="")+(職員マスタ!$G$6:$G$405&lt;=EOMONTH($AQ1878,0)))&gt;0)*(((職員マスタ!$H$6:$H$405="")+(職員マスタ!$H$6:$H$405&gt;=$AQ1878))&gt;0)*(ROW(職員マスタ!$A$6:$A$405)-5))),IFERROR(MATCH($B1878,職員マスタ!$A$6:$A$405,0),"")))</f>
        <v/>
      </c>
      <c r="AQ1878" s="16">
        <f>IF(OR($B1878="",$C1878="",$D1878=""),"",DATE($C1878+2018,$D1878,1))</f>
        <v/>
      </c>
    </row>
    <row r="1879">
      <c r="A1879" s="11" t="n"/>
      <c r="B1879" s="12" t="n"/>
      <c r="C1879" s="12" t="n"/>
      <c r="D1879" s="12" t="n"/>
      <c r="E1879" s="13" t="n"/>
      <c r="F1879" s="12" t="n"/>
      <c r="G1879" s="13" t="n"/>
      <c r="H1879" s="12" t="n"/>
      <c r="I1879" s="12" t="n"/>
      <c r="J1879" s="12" t="n"/>
      <c r="K1879" s="12" t="n"/>
      <c r="L1879" s="11" t="n"/>
      <c r="M1879" s="11" t="n"/>
      <c r="N1879" s="11" t="n"/>
      <c r="O1879" s="11" t="n"/>
      <c r="P1879" s="12" t="n"/>
      <c r="Q1879" s="11" t="n"/>
      <c r="R1879" s="12" t="n"/>
      <c r="S1879" s="11" t="n"/>
      <c r="T1879" s="12" t="n"/>
      <c r="U1879" s="12" t="n"/>
      <c r="V1879" s="12" t="n"/>
      <c r="W1879" s="13" t="n"/>
      <c r="X1879" s="14">
        <f>IF($AP1879="",IF($B1879="","",$H1879),IF(INDEX(職員マスタ!$B$6:$B$405,$AP1879)="",$H1879,INDEX(職員マスタ!$B$6:$B$405,$AP1879)))</f>
        <v/>
      </c>
      <c r="Y1879" s="14">
        <f>IF($AP1879="",IF($B1879="","",$R1879),IF(INDEX(職員マスタ!$C$6:$C$405,$AP1879)="",$R1879,INDEX(職員マスタ!$C$6:$C$405,$AP1879)))</f>
        <v/>
      </c>
      <c r="Z1879" s="14">
        <f>IF($AQ1879="","","R"&amp;$C1879&amp;"."&amp;$D1879)</f>
        <v/>
      </c>
      <c r="AA1879" s="15">
        <f>IF(IF($AP1879="",FALSE,INDEX(職員マスタ!$K$6:$K$405,$AP1879)&lt;&gt;""),INDEX(職員マスタ!$K$6:$K$405,$AP1879),IF(N($W1879)&gt;0,$W1879,""))</f>
        <v/>
      </c>
      <c r="AB1879" s="14">
        <f>IF(OR($E1879="",$AA1879=""),"",IF($E1879&gt;=$AA1879,"×",IF($E1879&gt;=$AA1879*設定!$C$5,"△","○")))</f>
        <v/>
      </c>
      <c r="AC1879" s="15">
        <f>IF($AB1879="","",IF($AB1879="×",0,IF($AB1879="○",ROUNDDOWN($E1879*設定!$C$4,0),ROUNDDOWN($E1879*ROUND((9*$AA1879-9*$E1879)/(10*$E1879),4),0))))</f>
        <v/>
      </c>
      <c r="AD1879" s="13" t="n"/>
      <c r="AE1879" s="15">
        <f>IF($B1879="","",IF($AD1879&lt;&gt;"",$AD1879,IF($AC1879="","",IF($AC1879&lt;=設定!$C$3,0,$AC1879))))</f>
        <v/>
      </c>
      <c r="AF1879" s="14">
        <f>IF($B1879="","",IF(AND($AG1879&lt;&gt;"",$AI1879="",$AL1879=""),"保留中",IF($AL1879&lt;&gt;"",IF(N($AE1879)&gt;0,"支給済","不支給"),IF($AE1879="","要確認",IF($AE1879=0,"不支給","未処理")))))</f>
        <v/>
      </c>
      <c r="AG1879" s="12" t="n"/>
      <c r="AH1879" s="11" t="n"/>
      <c r="AI1879" s="11" t="n"/>
      <c r="AJ1879" s="11" t="n"/>
      <c r="AK1879" s="14">
        <f>IF(AND($AF1879="保留中",$AH1879&lt;&gt;""),TODAY()-$AH1879,"")</f>
        <v/>
      </c>
      <c r="AL1879" s="12" t="n"/>
      <c r="AM1879" s="14">
        <f>IF($B1879="","",IF($AQ1879="","対象年月が未入力／","")&amp;IF($B1879="","",IF($AP1879="","職員マスタに未登録の職員番号／",IF($AA1879="","標準報酬月額が未登録／","")&amp;IF(AND($AQ1879&lt;&gt;"",OR(AND(INDEX(職員マスタ!$G$6:$G$405,$AP1879)&lt;&gt;"",INDEX(職員マスタ!$G$6:$G$405,$AP1879)&gt;EOMONTH($AQ1879,0)),AND(INDEX(職員マスタ!$H$6:$H$405,$AP1879)&lt;&gt;"",INDEX(職員マスタ!$H$6:$H$405,$AP1879)&lt;$AQ1879))),"対象月が時短期間外／","")&amp;IF(AND(INDEX(職員マスタ!$K$6:$K$405,$AP1879)&lt;&gt;"",N($W1879)&gt;0,INDEX(職員マスタ!$K$6:$K$405,$AP1879)&lt;&gt;$W1879),"標準報酬月額が申請書と相違（台帳"&amp;TEXT(INDEX(職員マスタ!$K$6:$K$405,$AP1879),"#,##0")&amp;"円／申請書"&amp;TEXT($W1879,"#,##0")&amp;"円）／","")&amp;IF(AND(INDEX(職員マスタ!$F$6:$F$405,$AP1879)&lt;&gt;"",$AQ1879&lt;&gt;"",INDEX(職員マスタ!$F$6:$F$405,$AP1879)&lt;$AQ1879),"対象月に子が2歳到達済／","")&amp;IF(AND($H1879&lt;&gt;"",INDEX(職員マスタ!$B$6:$B$405,$AP1879)&lt;&gt;"",SUBSTITUTE(SUBSTITUTE($H1879," ","")," ","")&lt;&gt;SUBSTITUTE(SUBSTITUTE(INDEX(職員マスタ!$B$6:$B$405,$AP1879)," ","")," ","")),"氏名がマスタと相違／","")&amp;IF(AND($Q1879&lt;&gt;"",INDEX(職員マスタ!$E$6:$E$405,$AP1879)&lt;&gt;"",$Q1879&lt;&gt;INDEX(職員マスタ!$E$6:$E$405,$AP1879)),"子の生年月日がマスタと相違／","")&amp;IF(AND($L1879&lt;&gt;"",INDEX(職員マスタ!$G$6:$G$405,$AP1879)&lt;&gt;"",$L1879&lt;&gt;INDEX(職員マスタ!$G$6:$G$405,$AP1879)),"時短開始日がマスタと相違／","")&amp;IF(AND($M1879&lt;&gt;"",INDEX(職員マスタ!$H$6:$H$405,$AP1879)&lt;&gt;"",$M1879&lt;&gt;INDEX(職員マスタ!$H$6:$H$405,$AP1879)),"時短終了日がマスタと相違／","")))&amp;IF(AND($B1879&lt;&gt;"",$E1879=""),"報酬額が未入力／","")&amp;IF(N($U1879)&gt;0,"申請書に入力エラーが残っています／","")&amp;IF(AND($B1879&lt;&gt;"",$AQ1879&lt;&gt;""),IF(COUNTIFS($B$6:$B$3005,$B1879,$C$6:$C$3005,$C1879,$D$6:$D$3005,$D1879)&gt;1,"同じ月の請求が重複しています／",""),"")&amp;IF(AND(N($E1879)&gt;0,$AB1879&lt;&gt;"",$AB1879&lt;&gt;"×",$AE1879=0,$AD1879=""),"計算額が下限以下のため不支給／",""))</f>
        <v/>
      </c>
      <c r="AN1879" s="12" t="n"/>
      <c r="AO1879" s="14">
        <f>IF($AF1879="保留中",COUNTIF($AF$6:$AF1879,"保留中"),"")</f>
        <v/>
      </c>
      <c r="AP1879" s="14">
        <f>IF($AQ1879="","",IF(SUMPRODUCT(MAX((職員マスタ!$A$6:$A$405=$B1879)*(((職員マスタ!$G$6:$G$405="")+(職員マスタ!$G$6:$G$405&lt;=EOMONTH($AQ1879,0)))&gt;0)*(((職員マスタ!$H$6:$H$405="")+(職員マスタ!$H$6:$H$405&gt;=$AQ1879))&gt;0)*(ROW(職員マスタ!$A$6:$A$405)-5)))&gt;0,SUMPRODUCT(MAX((職員マスタ!$A$6:$A$405=$B1879)*(((職員マスタ!$G$6:$G$405="")+(職員マスタ!$G$6:$G$405&lt;=EOMONTH($AQ1879,0)))&gt;0)*(((職員マスタ!$H$6:$H$405="")+(職員マスタ!$H$6:$H$405&gt;=$AQ1879))&gt;0)*(ROW(職員マスタ!$A$6:$A$405)-5))),IFERROR(MATCH($B1879,職員マスタ!$A$6:$A$405,0),"")))</f>
        <v/>
      </c>
      <c r="AQ1879" s="16">
        <f>IF(OR($B1879="",$C1879="",$D1879=""),"",DATE($C1879+2018,$D1879,1))</f>
        <v/>
      </c>
    </row>
    <row r="1880">
      <c r="A1880" s="11" t="n"/>
      <c r="B1880" s="12" t="n"/>
      <c r="C1880" s="12" t="n"/>
      <c r="D1880" s="12" t="n"/>
      <c r="E1880" s="13" t="n"/>
      <c r="F1880" s="12" t="n"/>
      <c r="G1880" s="13" t="n"/>
      <c r="H1880" s="12" t="n"/>
      <c r="I1880" s="12" t="n"/>
      <c r="J1880" s="12" t="n"/>
      <c r="K1880" s="12" t="n"/>
      <c r="L1880" s="11" t="n"/>
      <c r="M1880" s="11" t="n"/>
      <c r="N1880" s="11" t="n"/>
      <c r="O1880" s="11" t="n"/>
      <c r="P1880" s="12" t="n"/>
      <c r="Q1880" s="11" t="n"/>
      <c r="R1880" s="12" t="n"/>
      <c r="S1880" s="11" t="n"/>
      <c r="T1880" s="12" t="n"/>
      <c r="U1880" s="12" t="n"/>
      <c r="V1880" s="12" t="n"/>
      <c r="W1880" s="13" t="n"/>
      <c r="X1880" s="14">
        <f>IF($AP1880="",IF($B1880="","",$H1880),IF(INDEX(職員マスタ!$B$6:$B$405,$AP1880)="",$H1880,INDEX(職員マスタ!$B$6:$B$405,$AP1880)))</f>
        <v/>
      </c>
      <c r="Y1880" s="14">
        <f>IF($AP1880="",IF($B1880="","",$R1880),IF(INDEX(職員マスタ!$C$6:$C$405,$AP1880)="",$R1880,INDEX(職員マスタ!$C$6:$C$405,$AP1880)))</f>
        <v/>
      </c>
      <c r="Z1880" s="14">
        <f>IF($AQ1880="","","R"&amp;$C1880&amp;"."&amp;$D1880)</f>
        <v/>
      </c>
      <c r="AA1880" s="15">
        <f>IF(IF($AP1880="",FALSE,INDEX(職員マスタ!$K$6:$K$405,$AP1880)&lt;&gt;""),INDEX(職員マスタ!$K$6:$K$405,$AP1880),IF(N($W1880)&gt;0,$W1880,""))</f>
        <v/>
      </c>
      <c r="AB1880" s="14">
        <f>IF(OR($E1880="",$AA1880=""),"",IF($E1880&gt;=$AA1880,"×",IF($E1880&gt;=$AA1880*設定!$C$5,"△","○")))</f>
        <v/>
      </c>
      <c r="AC1880" s="15">
        <f>IF($AB1880="","",IF($AB1880="×",0,IF($AB1880="○",ROUNDDOWN($E1880*設定!$C$4,0),ROUNDDOWN($E1880*ROUND((9*$AA1880-9*$E1880)/(10*$E1880),4),0))))</f>
        <v/>
      </c>
      <c r="AD1880" s="13" t="n"/>
      <c r="AE1880" s="15">
        <f>IF($B1880="","",IF($AD1880&lt;&gt;"",$AD1880,IF($AC1880="","",IF($AC1880&lt;=設定!$C$3,0,$AC1880))))</f>
        <v/>
      </c>
      <c r="AF1880" s="14">
        <f>IF($B1880="","",IF(AND($AG1880&lt;&gt;"",$AI1880="",$AL1880=""),"保留中",IF($AL1880&lt;&gt;"",IF(N($AE1880)&gt;0,"支給済","不支給"),IF($AE1880="","要確認",IF($AE1880=0,"不支給","未処理")))))</f>
        <v/>
      </c>
      <c r="AG1880" s="12" t="n"/>
      <c r="AH1880" s="11" t="n"/>
      <c r="AI1880" s="11" t="n"/>
      <c r="AJ1880" s="11" t="n"/>
      <c r="AK1880" s="14">
        <f>IF(AND($AF1880="保留中",$AH1880&lt;&gt;""),TODAY()-$AH1880,"")</f>
        <v/>
      </c>
      <c r="AL1880" s="12" t="n"/>
      <c r="AM1880" s="14">
        <f>IF($B1880="","",IF($AQ1880="","対象年月が未入力／","")&amp;IF($B1880="","",IF($AP1880="","職員マスタに未登録の職員番号／",IF($AA1880="","標準報酬月額が未登録／","")&amp;IF(AND($AQ1880&lt;&gt;"",OR(AND(INDEX(職員マスタ!$G$6:$G$405,$AP1880)&lt;&gt;"",INDEX(職員マスタ!$G$6:$G$405,$AP1880)&gt;EOMONTH($AQ1880,0)),AND(INDEX(職員マスタ!$H$6:$H$405,$AP1880)&lt;&gt;"",INDEX(職員マスタ!$H$6:$H$405,$AP1880)&lt;$AQ1880))),"対象月が時短期間外／","")&amp;IF(AND(INDEX(職員マスタ!$K$6:$K$405,$AP1880)&lt;&gt;"",N($W1880)&gt;0,INDEX(職員マスタ!$K$6:$K$405,$AP1880)&lt;&gt;$W1880),"標準報酬月額が申請書と相違（台帳"&amp;TEXT(INDEX(職員マスタ!$K$6:$K$405,$AP1880),"#,##0")&amp;"円／申請書"&amp;TEXT($W1880,"#,##0")&amp;"円）／","")&amp;IF(AND(INDEX(職員マスタ!$F$6:$F$405,$AP1880)&lt;&gt;"",$AQ1880&lt;&gt;"",INDEX(職員マスタ!$F$6:$F$405,$AP1880)&lt;$AQ1880),"対象月に子が2歳到達済／","")&amp;IF(AND($H1880&lt;&gt;"",INDEX(職員マスタ!$B$6:$B$405,$AP1880)&lt;&gt;"",SUBSTITUTE(SUBSTITUTE($H1880," ","")," ","")&lt;&gt;SUBSTITUTE(SUBSTITUTE(INDEX(職員マスタ!$B$6:$B$405,$AP1880)," ","")," ","")),"氏名がマスタと相違／","")&amp;IF(AND($Q1880&lt;&gt;"",INDEX(職員マスタ!$E$6:$E$405,$AP1880)&lt;&gt;"",$Q1880&lt;&gt;INDEX(職員マスタ!$E$6:$E$405,$AP1880)),"子の生年月日がマスタと相違／","")&amp;IF(AND($L1880&lt;&gt;"",INDEX(職員マスタ!$G$6:$G$405,$AP1880)&lt;&gt;"",$L1880&lt;&gt;INDEX(職員マスタ!$G$6:$G$405,$AP1880)),"時短開始日がマスタと相違／","")&amp;IF(AND($M1880&lt;&gt;"",INDEX(職員マスタ!$H$6:$H$405,$AP1880)&lt;&gt;"",$M1880&lt;&gt;INDEX(職員マスタ!$H$6:$H$405,$AP1880)),"時短終了日がマスタと相違／","")))&amp;IF(AND($B1880&lt;&gt;"",$E1880=""),"報酬額が未入力／","")&amp;IF(N($U1880)&gt;0,"申請書に入力エラーが残っています／","")&amp;IF(AND($B1880&lt;&gt;"",$AQ1880&lt;&gt;""),IF(COUNTIFS($B$6:$B$3005,$B1880,$C$6:$C$3005,$C1880,$D$6:$D$3005,$D1880)&gt;1,"同じ月の請求が重複しています／",""),"")&amp;IF(AND(N($E1880)&gt;0,$AB1880&lt;&gt;"",$AB1880&lt;&gt;"×",$AE1880=0,$AD1880=""),"計算額が下限以下のため不支給／",""))</f>
        <v/>
      </c>
      <c r="AN1880" s="12" t="n"/>
      <c r="AO1880" s="14">
        <f>IF($AF1880="保留中",COUNTIF($AF$6:$AF1880,"保留中"),"")</f>
        <v/>
      </c>
      <c r="AP1880" s="14">
        <f>IF($AQ1880="","",IF(SUMPRODUCT(MAX((職員マスタ!$A$6:$A$405=$B1880)*(((職員マスタ!$G$6:$G$405="")+(職員マスタ!$G$6:$G$405&lt;=EOMONTH($AQ1880,0)))&gt;0)*(((職員マスタ!$H$6:$H$405="")+(職員マスタ!$H$6:$H$405&gt;=$AQ1880))&gt;0)*(ROW(職員マスタ!$A$6:$A$405)-5)))&gt;0,SUMPRODUCT(MAX((職員マスタ!$A$6:$A$405=$B1880)*(((職員マスタ!$G$6:$G$405="")+(職員マスタ!$G$6:$G$405&lt;=EOMONTH($AQ1880,0)))&gt;0)*(((職員マスタ!$H$6:$H$405="")+(職員マスタ!$H$6:$H$405&gt;=$AQ1880))&gt;0)*(ROW(職員マスタ!$A$6:$A$405)-5))),IFERROR(MATCH($B1880,職員マスタ!$A$6:$A$405,0),"")))</f>
        <v/>
      </c>
      <c r="AQ1880" s="16">
        <f>IF(OR($B1880="",$C1880="",$D1880=""),"",DATE($C1880+2018,$D1880,1))</f>
        <v/>
      </c>
    </row>
    <row r="1881">
      <c r="A1881" s="11" t="n"/>
      <c r="B1881" s="12" t="n"/>
      <c r="C1881" s="12" t="n"/>
      <c r="D1881" s="12" t="n"/>
      <c r="E1881" s="13" t="n"/>
      <c r="F1881" s="12" t="n"/>
      <c r="G1881" s="13" t="n"/>
      <c r="H1881" s="12" t="n"/>
      <c r="I1881" s="12" t="n"/>
      <c r="J1881" s="12" t="n"/>
      <c r="K1881" s="12" t="n"/>
      <c r="L1881" s="11" t="n"/>
      <c r="M1881" s="11" t="n"/>
      <c r="N1881" s="11" t="n"/>
      <c r="O1881" s="11" t="n"/>
      <c r="P1881" s="12" t="n"/>
      <c r="Q1881" s="11" t="n"/>
      <c r="R1881" s="12" t="n"/>
      <c r="S1881" s="11" t="n"/>
      <c r="T1881" s="12" t="n"/>
      <c r="U1881" s="12" t="n"/>
      <c r="V1881" s="12" t="n"/>
      <c r="W1881" s="13" t="n"/>
      <c r="X1881" s="14">
        <f>IF($AP1881="",IF($B1881="","",$H1881),IF(INDEX(職員マスタ!$B$6:$B$405,$AP1881)="",$H1881,INDEX(職員マスタ!$B$6:$B$405,$AP1881)))</f>
        <v/>
      </c>
      <c r="Y1881" s="14">
        <f>IF($AP1881="",IF($B1881="","",$R1881),IF(INDEX(職員マスタ!$C$6:$C$405,$AP1881)="",$R1881,INDEX(職員マスタ!$C$6:$C$405,$AP1881)))</f>
        <v/>
      </c>
      <c r="Z1881" s="14">
        <f>IF($AQ1881="","","R"&amp;$C1881&amp;"."&amp;$D1881)</f>
        <v/>
      </c>
      <c r="AA1881" s="15">
        <f>IF(IF($AP1881="",FALSE,INDEX(職員マスタ!$K$6:$K$405,$AP1881)&lt;&gt;""),INDEX(職員マスタ!$K$6:$K$405,$AP1881),IF(N($W1881)&gt;0,$W1881,""))</f>
        <v/>
      </c>
      <c r="AB1881" s="14">
        <f>IF(OR($E1881="",$AA1881=""),"",IF($E1881&gt;=$AA1881,"×",IF($E1881&gt;=$AA1881*設定!$C$5,"△","○")))</f>
        <v/>
      </c>
      <c r="AC1881" s="15">
        <f>IF($AB1881="","",IF($AB1881="×",0,IF($AB1881="○",ROUNDDOWN($E1881*設定!$C$4,0),ROUNDDOWN($E1881*ROUND((9*$AA1881-9*$E1881)/(10*$E1881),4),0))))</f>
        <v/>
      </c>
      <c r="AD1881" s="13" t="n"/>
      <c r="AE1881" s="15">
        <f>IF($B1881="","",IF($AD1881&lt;&gt;"",$AD1881,IF($AC1881="","",IF($AC1881&lt;=設定!$C$3,0,$AC1881))))</f>
        <v/>
      </c>
      <c r="AF1881" s="14">
        <f>IF($B1881="","",IF(AND($AG1881&lt;&gt;"",$AI1881="",$AL1881=""),"保留中",IF($AL1881&lt;&gt;"",IF(N($AE1881)&gt;0,"支給済","不支給"),IF($AE1881="","要確認",IF($AE1881=0,"不支給","未処理")))))</f>
        <v/>
      </c>
      <c r="AG1881" s="12" t="n"/>
      <c r="AH1881" s="11" t="n"/>
      <c r="AI1881" s="11" t="n"/>
      <c r="AJ1881" s="11" t="n"/>
      <c r="AK1881" s="14">
        <f>IF(AND($AF1881="保留中",$AH1881&lt;&gt;""),TODAY()-$AH1881,"")</f>
        <v/>
      </c>
      <c r="AL1881" s="12" t="n"/>
      <c r="AM1881" s="14">
        <f>IF($B1881="","",IF($AQ1881="","対象年月が未入力／","")&amp;IF($B1881="","",IF($AP1881="","職員マスタに未登録の職員番号／",IF($AA1881="","標準報酬月額が未登録／","")&amp;IF(AND($AQ1881&lt;&gt;"",OR(AND(INDEX(職員マスタ!$G$6:$G$405,$AP1881)&lt;&gt;"",INDEX(職員マスタ!$G$6:$G$405,$AP1881)&gt;EOMONTH($AQ1881,0)),AND(INDEX(職員マスタ!$H$6:$H$405,$AP1881)&lt;&gt;"",INDEX(職員マスタ!$H$6:$H$405,$AP1881)&lt;$AQ1881))),"対象月が時短期間外／","")&amp;IF(AND(INDEX(職員マスタ!$K$6:$K$405,$AP1881)&lt;&gt;"",N($W1881)&gt;0,INDEX(職員マスタ!$K$6:$K$405,$AP1881)&lt;&gt;$W1881),"標準報酬月額が申請書と相違（台帳"&amp;TEXT(INDEX(職員マスタ!$K$6:$K$405,$AP1881),"#,##0")&amp;"円／申請書"&amp;TEXT($W1881,"#,##0")&amp;"円）／","")&amp;IF(AND(INDEX(職員マスタ!$F$6:$F$405,$AP1881)&lt;&gt;"",$AQ1881&lt;&gt;"",INDEX(職員マスタ!$F$6:$F$405,$AP1881)&lt;$AQ1881),"対象月に子が2歳到達済／","")&amp;IF(AND($H1881&lt;&gt;"",INDEX(職員マスタ!$B$6:$B$405,$AP1881)&lt;&gt;"",SUBSTITUTE(SUBSTITUTE($H1881," ","")," ","")&lt;&gt;SUBSTITUTE(SUBSTITUTE(INDEX(職員マスタ!$B$6:$B$405,$AP1881)," ","")," ","")),"氏名がマスタと相違／","")&amp;IF(AND($Q1881&lt;&gt;"",INDEX(職員マスタ!$E$6:$E$405,$AP1881)&lt;&gt;"",$Q1881&lt;&gt;INDEX(職員マスタ!$E$6:$E$405,$AP1881)),"子の生年月日がマスタと相違／","")&amp;IF(AND($L1881&lt;&gt;"",INDEX(職員マスタ!$G$6:$G$405,$AP1881)&lt;&gt;"",$L1881&lt;&gt;INDEX(職員マスタ!$G$6:$G$405,$AP1881)),"時短開始日がマスタと相違／","")&amp;IF(AND($M1881&lt;&gt;"",INDEX(職員マスタ!$H$6:$H$405,$AP1881)&lt;&gt;"",$M1881&lt;&gt;INDEX(職員マスタ!$H$6:$H$405,$AP1881)),"時短終了日がマスタと相違／","")))&amp;IF(AND($B1881&lt;&gt;"",$E1881=""),"報酬額が未入力／","")&amp;IF(N($U1881)&gt;0,"申請書に入力エラーが残っています／","")&amp;IF(AND($B1881&lt;&gt;"",$AQ1881&lt;&gt;""),IF(COUNTIFS($B$6:$B$3005,$B1881,$C$6:$C$3005,$C1881,$D$6:$D$3005,$D1881)&gt;1,"同じ月の請求が重複しています／",""),"")&amp;IF(AND(N($E1881)&gt;0,$AB1881&lt;&gt;"",$AB1881&lt;&gt;"×",$AE1881=0,$AD1881=""),"計算額が下限以下のため不支給／",""))</f>
        <v/>
      </c>
      <c r="AN1881" s="12" t="n"/>
      <c r="AO1881" s="14">
        <f>IF($AF1881="保留中",COUNTIF($AF$6:$AF1881,"保留中"),"")</f>
        <v/>
      </c>
      <c r="AP1881" s="14">
        <f>IF($AQ1881="","",IF(SUMPRODUCT(MAX((職員マスタ!$A$6:$A$405=$B1881)*(((職員マスタ!$G$6:$G$405="")+(職員マスタ!$G$6:$G$405&lt;=EOMONTH($AQ1881,0)))&gt;0)*(((職員マスタ!$H$6:$H$405="")+(職員マスタ!$H$6:$H$405&gt;=$AQ1881))&gt;0)*(ROW(職員マスタ!$A$6:$A$405)-5)))&gt;0,SUMPRODUCT(MAX((職員マスタ!$A$6:$A$405=$B1881)*(((職員マスタ!$G$6:$G$405="")+(職員マスタ!$G$6:$G$405&lt;=EOMONTH($AQ1881,0)))&gt;0)*(((職員マスタ!$H$6:$H$405="")+(職員マスタ!$H$6:$H$405&gt;=$AQ1881))&gt;0)*(ROW(職員マスタ!$A$6:$A$405)-5))),IFERROR(MATCH($B1881,職員マスタ!$A$6:$A$405,0),"")))</f>
        <v/>
      </c>
      <c r="AQ1881" s="16">
        <f>IF(OR($B1881="",$C1881="",$D1881=""),"",DATE($C1881+2018,$D1881,1))</f>
        <v/>
      </c>
    </row>
    <row r="1882">
      <c r="A1882" s="11" t="n"/>
      <c r="B1882" s="12" t="n"/>
      <c r="C1882" s="12" t="n"/>
      <c r="D1882" s="12" t="n"/>
      <c r="E1882" s="13" t="n"/>
      <c r="F1882" s="12" t="n"/>
      <c r="G1882" s="13" t="n"/>
      <c r="H1882" s="12" t="n"/>
      <c r="I1882" s="12" t="n"/>
      <c r="J1882" s="12" t="n"/>
      <c r="K1882" s="12" t="n"/>
      <c r="L1882" s="11" t="n"/>
      <c r="M1882" s="11" t="n"/>
      <c r="N1882" s="11" t="n"/>
      <c r="O1882" s="11" t="n"/>
      <c r="P1882" s="12" t="n"/>
      <c r="Q1882" s="11" t="n"/>
      <c r="R1882" s="12" t="n"/>
      <c r="S1882" s="11" t="n"/>
      <c r="T1882" s="12" t="n"/>
      <c r="U1882" s="12" t="n"/>
      <c r="V1882" s="12" t="n"/>
      <c r="W1882" s="13" t="n"/>
      <c r="X1882" s="14">
        <f>IF($AP1882="",IF($B1882="","",$H1882),IF(INDEX(職員マスタ!$B$6:$B$405,$AP1882)="",$H1882,INDEX(職員マスタ!$B$6:$B$405,$AP1882)))</f>
        <v/>
      </c>
      <c r="Y1882" s="14">
        <f>IF($AP1882="",IF($B1882="","",$R1882),IF(INDEX(職員マスタ!$C$6:$C$405,$AP1882)="",$R1882,INDEX(職員マスタ!$C$6:$C$405,$AP1882)))</f>
        <v/>
      </c>
      <c r="Z1882" s="14">
        <f>IF($AQ1882="","","R"&amp;$C1882&amp;"."&amp;$D1882)</f>
        <v/>
      </c>
      <c r="AA1882" s="15">
        <f>IF(IF($AP1882="",FALSE,INDEX(職員マスタ!$K$6:$K$405,$AP1882)&lt;&gt;""),INDEX(職員マスタ!$K$6:$K$405,$AP1882),IF(N($W1882)&gt;0,$W1882,""))</f>
        <v/>
      </c>
      <c r="AB1882" s="14">
        <f>IF(OR($E1882="",$AA1882=""),"",IF($E1882&gt;=$AA1882,"×",IF($E1882&gt;=$AA1882*設定!$C$5,"△","○")))</f>
        <v/>
      </c>
      <c r="AC1882" s="15">
        <f>IF($AB1882="","",IF($AB1882="×",0,IF($AB1882="○",ROUNDDOWN($E1882*設定!$C$4,0),ROUNDDOWN($E1882*ROUND((9*$AA1882-9*$E1882)/(10*$E1882),4),0))))</f>
        <v/>
      </c>
      <c r="AD1882" s="13" t="n"/>
      <c r="AE1882" s="15">
        <f>IF($B1882="","",IF($AD1882&lt;&gt;"",$AD1882,IF($AC1882="","",IF($AC1882&lt;=設定!$C$3,0,$AC1882))))</f>
        <v/>
      </c>
      <c r="AF1882" s="14">
        <f>IF($B1882="","",IF(AND($AG1882&lt;&gt;"",$AI1882="",$AL1882=""),"保留中",IF($AL1882&lt;&gt;"",IF(N($AE1882)&gt;0,"支給済","不支給"),IF($AE1882="","要確認",IF($AE1882=0,"不支給","未処理")))))</f>
        <v/>
      </c>
      <c r="AG1882" s="12" t="n"/>
      <c r="AH1882" s="11" t="n"/>
      <c r="AI1882" s="11" t="n"/>
      <c r="AJ1882" s="11" t="n"/>
      <c r="AK1882" s="14">
        <f>IF(AND($AF1882="保留中",$AH1882&lt;&gt;""),TODAY()-$AH1882,"")</f>
        <v/>
      </c>
      <c r="AL1882" s="12" t="n"/>
      <c r="AM1882" s="14">
        <f>IF($B1882="","",IF($AQ1882="","対象年月が未入力／","")&amp;IF($B1882="","",IF($AP1882="","職員マスタに未登録の職員番号／",IF($AA1882="","標準報酬月額が未登録／","")&amp;IF(AND($AQ1882&lt;&gt;"",OR(AND(INDEX(職員マスタ!$G$6:$G$405,$AP1882)&lt;&gt;"",INDEX(職員マスタ!$G$6:$G$405,$AP1882)&gt;EOMONTH($AQ1882,0)),AND(INDEX(職員マスタ!$H$6:$H$405,$AP1882)&lt;&gt;"",INDEX(職員マスタ!$H$6:$H$405,$AP1882)&lt;$AQ1882))),"対象月が時短期間外／","")&amp;IF(AND(INDEX(職員マスタ!$K$6:$K$405,$AP1882)&lt;&gt;"",N($W1882)&gt;0,INDEX(職員マスタ!$K$6:$K$405,$AP1882)&lt;&gt;$W1882),"標準報酬月額が申請書と相違（台帳"&amp;TEXT(INDEX(職員マスタ!$K$6:$K$405,$AP1882),"#,##0")&amp;"円／申請書"&amp;TEXT($W1882,"#,##0")&amp;"円）／","")&amp;IF(AND(INDEX(職員マスタ!$F$6:$F$405,$AP1882)&lt;&gt;"",$AQ1882&lt;&gt;"",INDEX(職員マスタ!$F$6:$F$405,$AP1882)&lt;$AQ1882),"対象月に子が2歳到達済／","")&amp;IF(AND($H1882&lt;&gt;"",INDEX(職員マスタ!$B$6:$B$405,$AP1882)&lt;&gt;"",SUBSTITUTE(SUBSTITUTE($H1882," ","")," ","")&lt;&gt;SUBSTITUTE(SUBSTITUTE(INDEX(職員マスタ!$B$6:$B$405,$AP1882)," ","")," ","")),"氏名がマスタと相違／","")&amp;IF(AND($Q1882&lt;&gt;"",INDEX(職員マスタ!$E$6:$E$405,$AP1882)&lt;&gt;"",$Q1882&lt;&gt;INDEX(職員マスタ!$E$6:$E$405,$AP1882)),"子の生年月日がマスタと相違／","")&amp;IF(AND($L1882&lt;&gt;"",INDEX(職員マスタ!$G$6:$G$405,$AP1882)&lt;&gt;"",$L1882&lt;&gt;INDEX(職員マスタ!$G$6:$G$405,$AP1882)),"時短開始日がマスタと相違／","")&amp;IF(AND($M1882&lt;&gt;"",INDEX(職員マスタ!$H$6:$H$405,$AP1882)&lt;&gt;"",$M1882&lt;&gt;INDEX(職員マスタ!$H$6:$H$405,$AP1882)),"時短終了日がマスタと相違／","")))&amp;IF(AND($B1882&lt;&gt;"",$E1882=""),"報酬額が未入力／","")&amp;IF(N($U1882)&gt;0,"申請書に入力エラーが残っています／","")&amp;IF(AND($B1882&lt;&gt;"",$AQ1882&lt;&gt;""),IF(COUNTIFS($B$6:$B$3005,$B1882,$C$6:$C$3005,$C1882,$D$6:$D$3005,$D1882)&gt;1,"同じ月の請求が重複しています／",""),"")&amp;IF(AND(N($E1882)&gt;0,$AB1882&lt;&gt;"",$AB1882&lt;&gt;"×",$AE1882=0,$AD1882=""),"計算額が下限以下のため不支給／",""))</f>
        <v/>
      </c>
      <c r="AN1882" s="12" t="n"/>
      <c r="AO1882" s="14">
        <f>IF($AF1882="保留中",COUNTIF($AF$6:$AF1882,"保留中"),"")</f>
        <v/>
      </c>
      <c r="AP1882" s="14">
        <f>IF($AQ1882="","",IF(SUMPRODUCT(MAX((職員マスタ!$A$6:$A$405=$B1882)*(((職員マスタ!$G$6:$G$405="")+(職員マスタ!$G$6:$G$405&lt;=EOMONTH($AQ1882,0)))&gt;0)*(((職員マスタ!$H$6:$H$405="")+(職員マスタ!$H$6:$H$405&gt;=$AQ1882))&gt;0)*(ROW(職員マスタ!$A$6:$A$405)-5)))&gt;0,SUMPRODUCT(MAX((職員マスタ!$A$6:$A$405=$B1882)*(((職員マスタ!$G$6:$G$405="")+(職員マスタ!$G$6:$G$405&lt;=EOMONTH($AQ1882,0)))&gt;0)*(((職員マスタ!$H$6:$H$405="")+(職員マスタ!$H$6:$H$405&gt;=$AQ1882))&gt;0)*(ROW(職員マスタ!$A$6:$A$405)-5))),IFERROR(MATCH($B1882,職員マスタ!$A$6:$A$405,0),"")))</f>
        <v/>
      </c>
      <c r="AQ1882" s="16">
        <f>IF(OR($B1882="",$C1882="",$D1882=""),"",DATE($C1882+2018,$D1882,1))</f>
        <v/>
      </c>
    </row>
    <row r="1883">
      <c r="A1883" s="11" t="n"/>
      <c r="B1883" s="12" t="n"/>
      <c r="C1883" s="12" t="n"/>
      <c r="D1883" s="12" t="n"/>
      <c r="E1883" s="13" t="n"/>
      <c r="F1883" s="12" t="n"/>
      <c r="G1883" s="13" t="n"/>
      <c r="H1883" s="12" t="n"/>
      <c r="I1883" s="12" t="n"/>
      <c r="J1883" s="12" t="n"/>
      <c r="K1883" s="12" t="n"/>
      <c r="L1883" s="11" t="n"/>
      <c r="M1883" s="11" t="n"/>
      <c r="N1883" s="11" t="n"/>
      <c r="O1883" s="11" t="n"/>
      <c r="P1883" s="12" t="n"/>
      <c r="Q1883" s="11" t="n"/>
      <c r="R1883" s="12" t="n"/>
      <c r="S1883" s="11" t="n"/>
      <c r="T1883" s="12" t="n"/>
      <c r="U1883" s="12" t="n"/>
      <c r="V1883" s="12" t="n"/>
      <c r="W1883" s="13" t="n"/>
      <c r="X1883" s="14">
        <f>IF($AP1883="",IF($B1883="","",$H1883),IF(INDEX(職員マスタ!$B$6:$B$405,$AP1883)="",$H1883,INDEX(職員マスタ!$B$6:$B$405,$AP1883)))</f>
        <v/>
      </c>
      <c r="Y1883" s="14">
        <f>IF($AP1883="",IF($B1883="","",$R1883),IF(INDEX(職員マスタ!$C$6:$C$405,$AP1883)="",$R1883,INDEX(職員マスタ!$C$6:$C$405,$AP1883)))</f>
        <v/>
      </c>
      <c r="Z1883" s="14">
        <f>IF($AQ1883="","","R"&amp;$C1883&amp;"."&amp;$D1883)</f>
        <v/>
      </c>
      <c r="AA1883" s="15">
        <f>IF(IF($AP1883="",FALSE,INDEX(職員マスタ!$K$6:$K$405,$AP1883)&lt;&gt;""),INDEX(職員マスタ!$K$6:$K$405,$AP1883),IF(N($W1883)&gt;0,$W1883,""))</f>
        <v/>
      </c>
      <c r="AB1883" s="14">
        <f>IF(OR($E1883="",$AA1883=""),"",IF($E1883&gt;=$AA1883,"×",IF($E1883&gt;=$AA1883*設定!$C$5,"△","○")))</f>
        <v/>
      </c>
      <c r="AC1883" s="15">
        <f>IF($AB1883="","",IF($AB1883="×",0,IF($AB1883="○",ROUNDDOWN($E1883*設定!$C$4,0),ROUNDDOWN($E1883*ROUND((9*$AA1883-9*$E1883)/(10*$E1883),4),0))))</f>
        <v/>
      </c>
      <c r="AD1883" s="13" t="n"/>
      <c r="AE1883" s="15">
        <f>IF($B1883="","",IF($AD1883&lt;&gt;"",$AD1883,IF($AC1883="","",IF($AC1883&lt;=設定!$C$3,0,$AC1883))))</f>
        <v/>
      </c>
      <c r="AF1883" s="14">
        <f>IF($B1883="","",IF(AND($AG1883&lt;&gt;"",$AI1883="",$AL1883=""),"保留中",IF($AL1883&lt;&gt;"",IF(N($AE1883)&gt;0,"支給済","不支給"),IF($AE1883="","要確認",IF($AE1883=0,"不支給","未処理")))))</f>
        <v/>
      </c>
      <c r="AG1883" s="12" t="n"/>
      <c r="AH1883" s="11" t="n"/>
      <c r="AI1883" s="11" t="n"/>
      <c r="AJ1883" s="11" t="n"/>
      <c r="AK1883" s="14">
        <f>IF(AND($AF1883="保留中",$AH1883&lt;&gt;""),TODAY()-$AH1883,"")</f>
        <v/>
      </c>
      <c r="AL1883" s="12" t="n"/>
      <c r="AM1883" s="14">
        <f>IF($B1883="","",IF($AQ1883="","対象年月が未入力／","")&amp;IF($B1883="","",IF($AP1883="","職員マスタに未登録の職員番号／",IF($AA1883="","標準報酬月額が未登録／","")&amp;IF(AND($AQ1883&lt;&gt;"",OR(AND(INDEX(職員マスタ!$G$6:$G$405,$AP1883)&lt;&gt;"",INDEX(職員マスタ!$G$6:$G$405,$AP1883)&gt;EOMONTH($AQ1883,0)),AND(INDEX(職員マスタ!$H$6:$H$405,$AP1883)&lt;&gt;"",INDEX(職員マスタ!$H$6:$H$405,$AP1883)&lt;$AQ1883))),"対象月が時短期間外／","")&amp;IF(AND(INDEX(職員マスタ!$K$6:$K$405,$AP1883)&lt;&gt;"",N($W1883)&gt;0,INDEX(職員マスタ!$K$6:$K$405,$AP1883)&lt;&gt;$W1883),"標準報酬月額が申請書と相違（台帳"&amp;TEXT(INDEX(職員マスタ!$K$6:$K$405,$AP1883),"#,##0")&amp;"円／申請書"&amp;TEXT($W1883,"#,##0")&amp;"円）／","")&amp;IF(AND(INDEX(職員マスタ!$F$6:$F$405,$AP1883)&lt;&gt;"",$AQ1883&lt;&gt;"",INDEX(職員マスタ!$F$6:$F$405,$AP1883)&lt;$AQ1883),"対象月に子が2歳到達済／","")&amp;IF(AND($H1883&lt;&gt;"",INDEX(職員マスタ!$B$6:$B$405,$AP1883)&lt;&gt;"",SUBSTITUTE(SUBSTITUTE($H1883," ","")," ","")&lt;&gt;SUBSTITUTE(SUBSTITUTE(INDEX(職員マスタ!$B$6:$B$405,$AP1883)," ","")," ","")),"氏名がマスタと相違／","")&amp;IF(AND($Q1883&lt;&gt;"",INDEX(職員マスタ!$E$6:$E$405,$AP1883)&lt;&gt;"",$Q1883&lt;&gt;INDEX(職員マスタ!$E$6:$E$405,$AP1883)),"子の生年月日がマスタと相違／","")&amp;IF(AND($L1883&lt;&gt;"",INDEX(職員マスタ!$G$6:$G$405,$AP1883)&lt;&gt;"",$L1883&lt;&gt;INDEX(職員マスタ!$G$6:$G$405,$AP1883)),"時短開始日がマスタと相違／","")&amp;IF(AND($M1883&lt;&gt;"",INDEX(職員マスタ!$H$6:$H$405,$AP1883)&lt;&gt;"",$M1883&lt;&gt;INDEX(職員マスタ!$H$6:$H$405,$AP1883)),"時短終了日がマスタと相違／","")))&amp;IF(AND($B1883&lt;&gt;"",$E1883=""),"報酬額が未入力／","")&amp;IF(N($U1883)&gt;0,"申請書に入力エラーが残っています／","")&amp;IF(AND($B1883&lt;&gt;"",$AQ1883&lt;&gt;""),IF(COUNTIFS($B$6:$B$3005,$B1883,$C$6:$C$3005,$C1883,$D$6:$D$3005,$D1883)&gt;1,"同じ月の請求が重複しています／",""),"")&amp;IF(AND(N($E1883)&gt;0,$AB1883&lt;&gt;"",$AB1883&lt;&gt;"×",$AE1883=0,$AD1883=""),"計算額が下限以下のため不支給／",""))</f>
        <v/>
      </c>
      <c r="AN1883" s="12" t="n"/>
      <c r="AO1883" s="14">
        <f>IF($AF1883="保留中",COUNTIF($AF$6:$AF1883,"保留中"),"")</f>
        <v/>
      </c>
      <c r="AP1883" s="14">
        <f>IF($AQ1883="","",IF(SUMPRODUCT(MAX((職員マスタ!$A$6:$A$405=$B1883)*(((職員マスタ!$G$6:$G$405="")+(職員マスタ!$G$6:$G$405&lt;=EOMONTH($AQ1883,0)))&gt;0)*(((職員マスタ!$H$6:$H$405="")+(職員マスタ!$H$6:$H$405&gt;=$AQ1883))&gt;0)*(ROW(職員マスタ!$A$6:$A$405)-5)))&gt;0,SUMPRODUCT(MAX((職員マスタ!$A$6:$A$405=$B1883)*(((職員マスタ!$G$6:$G$405="")+(職員マスタ!$G$6:$G$405&lt;=EOMONTH($AQ1883,0)))&gt;0)*(((職員マスタ!$H$6:$H$405="")+(職員マスタ!$H$6:$H$405&gt;=$AQ1883))&gt;0)*(ROW(職員マスタ!$A$6:$A$405)-5))),IFERROR(MATCH($B1883,職員マスタ!$A$6:$A$405,0),"")))</f>
        <v/>
      </c>
      <c r="AQ1883" s="16">
        <f>IF(OR($B1883="",$C1883="",$D1883=""),"",DATE($C1883+2018,$D1883,1))</f>
        <v/>
      </c>
    </row>
    <row r="1884">
      <c r="A1884" s="11" t="n"/>
      <c r="B1884" s="12" t="n"/>
      <c r="C1884" s="12" t="n"/>
      <c r="D1884" s="12" t="n"/>
      <c r="E1884" s="13" t="n"/>
      <c r="F1884" s="12" t="n"/>
      <c r="G1884" s="13" t="n"/>
      <c r="H1884" s="12" t="n"/>
      <c r="I1884" s="12" t="n"/>
      <c r="J1884" s="12" t="n"/>
      <c r="K1884" s="12" t="n"/>
      <c r="L1884" s="11" t="n"/>
      <c r="M1884" s="11" t="n"/>
      <c r="N1884" s="11" t="n"/>
      <c r="O1884" s="11" t="n"/>
      <c r="P1884" s="12" t="n"/>
      <c r="Q1884" s="11" t="n"/>
      <c r="R1884" s="12" t="n"/>
      <c r="S1884" s="11" t="n"/>
      <c r="T1884" s="12" t="n"/>
      <c r="U1884" s="12" t="n"/>
      <c r="V1884" s="12" t="n"/>
      <c r="W1884" s="13" t="n"/>
      <c r="X1884" s="14">
        <f>IF($AP1884="",IF($B1884="","",$H1884),IF(INDEX(職員マスタ!$B$6:$B$405,$AP1884)="",$H1884,INDEX(職員マスタ!$B$6:$B$405,$AP1884)))</f>
        <v/>
      </c>
      <c r="Y1884" s="14">
        <f>IF($AP1884="",IF($B1884="","",$R1884),IF(INDEX(職員マスタ!$C$6:$C$405,$AP1884)="",$R1884,INDEX(職員マスタ!$C$6:$C$405,$AP1884)))</f>
        <v/>
      </c>
      <c r="Z1884" s="14">
        <f>IF($AQ1884="","","R"&amp;$C1884&amp;"."&amp;$D1884)</f>
        <v/>
      </c>
      <c r="AA1884" s="15">
        <f>IF(IF($AP1884="",FALSE,INDEX(職員マスタ!$K$6:$K$405,$AP1884)&lt;&gt;""),INDEX(職員マスタ!$K$6:$K$405,$AP1884),IF(N($W1884)&gt;0,$W1884,""))</f>
        <v/>
      </c>
      <c r="AB1884" s="14">
        <f>IF(OR($E1884="",$AA1884=""),"",IF($E1884&gt;=$AA1884,"×",IF($E1884&gt;=$AA1884*設定!$C$5,"△","○")))</f>
        <v/>
      </c>
      <c r="AC1884" s="15">
        <f>IF($AB1884="","",IF($AB1884="×",0,IF($AB1884="○",ROUNDDOWN($E1884*設定!$C$4,0),ROUNDDOWN($E1884*ROUND((9*$AA1884-9*$E1884)/(10*$E1884),4),0))))</f>
        <v/>
      </c>
      <c r="AD1884" s="13" t="n"/>
      <c r="AE1884" s="15">
        <f>IF($B1884="","",IF($AD1884&lt;&gt;"",$AD1884,IF($AC1884="","",IF($AC1884&lt;=設定!$C$3,0,$AC1884))))</f>
        <v/>
      </c>
      <c r="AF1884" s="14">
        <f>IF($B1884="","",IF(AND($AG1884&lt;&gt;"",$AI1884="",$AL1884=""),"保留中",IF($AL1884&lt;&gt;"",IF(N($AE1884)&gt;0,"支給済","不支給"),IF($AE1884="","要確認",IF($AE1884=0,"不支給","未処理")))))</f>
        <v/>
      </c>
      <c r="AG1884" s="12" t="n"/>
      <c r="AH1884" s="11" t="n"/>
      <c r="AI1884" s="11" t="n"/>
      <c r="AJ1884" s="11" t="n"/>
      <c r="AK1884" s="14">
        <f>IF(AND($AF1884="保留中",$AH1884&lt;&gt;""),TODAY()-$AH1884,"")</f>
        <v/>
      </c>
      <c r="AL1884" s="12" t="n"/>
      <c r="AM1884" s="14">
        <f>IF($B1884="","",IF($AQ1884="","対象年月が未入力／","")&amp;IF($B1884="","",IF($AP1884="","職員マスタに未登録の職員番号／",IF($AA1884="","標準報酬月額が未登録／","")&amp;IF(AND($AQ1884&lt;&gt;"",OR(AND(INDEX(職員マスタ!$G$6:$G$405,$AP1884)&lt;&gt;"",INDEX(職員マスタ!$G$6:$G$405,$AP1884)&gt;EOMONTH($AQ1884,0)),AND(INDEX(職員マスタ!$H$6:$H$405,$AP1884)&lt;&gt;"",INDEX(職員マスタ!$H$6:$H$405,$AP1884)&lt;$AQ1884))),"対象月が時短期間外／","")&amp;IF(AND(INDEX(職員マスタ!$K$6:$K$405,$AP1884)&lt;&gt;"",N($W1884)&gt;0,INDEX(職員マスタ!$K$6:$K$405,$AP1884)&lt;&gt;$W1884),"標準報酬月額が申請書と相違（台帳"&amp;TEXT(INDEX(職員マスタ!$K$6:$K$405,$AP1884),"#,##0")&amp;"円／申請書"&amp;TEXT($W1884,"#,##0")&amp;"円）／","")&amp;IF(AND(INDEX(職員マスタ!$F$6:$F$405,$AP1884)&lt;&gt;"",$AQ1884&lt;&gt;"",INDEX(職員マスタ!$F$6:$F$405,$AP1884)&lt;$AQ1884),"対象月に子が2歳到達済／","")&amp;IF(AND($H1884&lt;&gt;"",INDEX(職員マスタ!$B$6:$B$405,$AP1884)&lt;&gt;"",SUBSTITUTE(SUBSTITUTE($H1884," ","")," ","")&lt;&gt;SUBSTITUTE(SUBSTITUTE(INDEX(職員マスタ!$B$6:$B$405,$AP1884)," ","")," ","")),"氏名がマスタと相違／","")&amp;IF(AND($Q1884&lt;&gt;"",INDEX(職員マスタ!$E$6:$E$405,$AP1884)&lt;&gt;"",$Q1884&lt;&gt;INDEX(職員マスタ!$E$6:$E$405,$AP1884)),"子の生年月日がマスタと相違／","")&amp;IF(AND($L1884&lt;&gt;"",INDEX(職員マスタ!$G$6:$G$405,$AP1884)&lt;&gt;"",$L1884&lt;&gt;INDEX(職員マスタ!$G$6:$G$405,$AP1884)),"時短開始日がマスタと相違／","")&amp;IF(AND($M1884&lt;&gt;"",INDEX(職員マスタ!$H$6:$H$405,$AP1884)&lt;&gt;"",$M1884&lt;&gt;INDEX(職員マスタ!$H$6:$H$405,$AP1884)),"時短終了日がマスタと相違／","")))&amp;IF(AND($B1884&lt;&gt;"",$E1884=""),"報酬額が未入力／","")&amp;IF(N($U1884)&gt;0,"申請書に入力エラーが残っています／","")&amp;IF(AND($B1884&lt;&gt;"",$AQ1884&lt;&gt;""),IF(COUNTIFS($B$6:$B$3005,$B1884,$C$6:$C$3005,$C1884,$D$6:$D$3005,$D1884)&gt;1,"同じ月の請求が重複しています／",""),"")&amp;IF(AND(N($E1884)&gt;0,$AB1884&lt;&gt;"",$AB1884&lt;&gt;"×",$AE1884=0,$AD1884=""),"計算額が下限以下のため不支給／",""))</f>
        <v/>
      </c>
      <c r="AN1884" s="12" t="n"/>
      <c r="AO1884" s="14">
        <f>IF($AF1884="保留中",COUNTIF($AF$6:$AF1884,"保留中"),"")</f>
        <v/>
      </c>
      <c r="AP1884" s="14">
        <f>IF($AQ1884="","",IF(SUMPRODUCT(MAX((職員マスタ!$A$6:$A$405=$B1884)*(((職員マスタ!$G$6:$G$405="")+(職員マスタ!$G$6:$G$405&lt;=EOMONTH($AQ1884,0)))&gt;0)*(((職員マスタ!$H$6:$H$405="")+(職員マスタ!$H$6:$H$405&gt;=$AQ1884))&gt;0)*(ROW(職員マスタ!$A$6:$A$405)-5)))&gt;0,SUMPRODUCT(MAX((職員マスタ!$A$6:$A$405=$B1884)*(((職員マスタ!$G$6:$G$405="")+(職員マスタ!$G$6:$G$405&lt;=EOMONTH($AQ1884,0)))&gt;0)*(((職員マスタ!$H$6:$H$405="")+(職員マスタ!$H$6:$H$405&gt;=$AQ1884))&gt;0)*(ROW(職員マスタ!$A$6:$A$405)-5))),IFERROR(MATCH($B1884,職員マスタ!$A$6:$A$405,0),"")))</f>
        <v/>
      </c>
      <c r="AQ1884" s="16">
        <f>IF(OR($B1884="",$C1884="",$D1884=""),"",DATE($C1884+2018,$D1884,1))</f>
        <v/>
      </c>
    </row>
    <row r="1885">
      <c r="A1885" s="11" t="n"/>
      <c r="B1885" s="12" t="n"/>
      <c r="C1885" s="12" t="n"/>
      <c r="D1885" s="12" t="n"/>
      <c r="E1885" s="13" t="n"/>
      <c r="F1885" s="12" t="n"/>
      <c r="G1885" s="13" t="n"/>
      <c r="H1885" s="12" t="n"/>
      <c r="I1885" s="12" t="n"/>
      <c r="J1885" s="12" t="n"/>
      <c r="K1885" s="12" t="n"/>
      <c r="L1885" s="11" t="n"/>
      <c r="M1885" s="11" t="n"/>
      <c r="N1885" s="11" t="n"/>
      <c r="O1885" s="11" t="n"/>
      <c r="P1885" s="12" t="n"/>
      <c r="Q1885" s="11" t="n"/>
      <c r="R1885" s="12" t="n"/>
      <c r="S1885" s="11" t="n"/>
      <c r="T1885" s="12" t="n"/>
      <c r="U1885" s="12" t="n"/>
      <c r="V1885" s="12" t="n"/>
      <c r="W1885" s="13" t="n"/>
      <c r="X1885" s="14">
        <f>IF($AP1885="",IF($B1885="","",$H1885),IF(INDEX(職員マスタ!$B$6:$B$405,$AP1885)="",$H1885,INDEX(職員マスタ!$B$6:$B$405,$AP1885)))</f>
        <v/>
      </c>
      <c r="Y1885" s="14">
        <f>IF($AP1885="",IF($B1885="","",$R1885),IF(INDEX(職員マスタ!$C$6:$C$405,$AP1885)="",$R1885,INDEX(職員マスタ!$C$6:$C$405,$AP1885)))</f>
        <v/>
      </c>
      <c r="Z1885" s="14">
        <f>IF($AQ1885="","","R"&amp;$C1885&amp;"."&amp;$D1885)</f>
        <v/>
      </c>
      <c r="AA1885" s="15">
        <f>IF(IF($AP1885="",FALSE,INDEX(職員マスタ!$K$6:$K$405,$AP1885)&lt;&gt;""),INDEX(職員マスタ!$K$6:$K$405,$AP1885),IF(N($W1885)&gt;0,$W1885,""))</f>
        <v/>
      </c>
      <c r="AB1885" s="14">
        <f>IF(OR($E1885="",$AA1885=""),"",IF($E1885&gt;=$AA1885,"×",IF($E1885&gt;=$AA1885*設定!$C$5,"△","○")))</f>
        <v/>
      </c>
      <c r="AC1885" s="15">
        <f>IF($AB1885="","",IF($AB1885="×",0,IF($AB1885="○",ROUNDDOWN($E1885*設定!$C$4,0),ROUNDDOWN($E1885*ROUND((9*$AA1885-9*$E1885)/(10*$E1885),4),0))))</f>
        <v/>
      </c>
      <c r="AD1885" s="13" t="n"/>
      <c r="AE1885" s="15">
        <f>IF($B1885="","",IF($AD1885&lt;&gt;"",$AD1885,IF($AC1885="","",IF($AC1885&lt;=設定!$C$3,0,$AC1885))))</f>
        <v/>
      </c>
      <c r="AF1885" s="14">
        <f>IF($B1885="","",IF(AND($AG1885&lt;&gt;"",$AI1885="",$AL1885=""),"保留中",IF($AL1885&lt;&gt;"",IF(N($AE1885)&gt;0,"支給済","不支給"),IF($AE1885="","要確認",IF($AE1885=0,"不支給","未処理")))))</f>
        <v/>
      </c>
      <c r="AG1885" s="12" t="n"/>
      <c r="AH1885" s="11" t="n"/>
      <c r="AI1885" s="11" t="n"/>
      <c r="AJ1885" s="11" t="n"/>
      <c r="AK1885" s="14">
        <f>IF(AND($AF1885="保留中",$AH1885&lt;&gt;""),TODAY()-$AH1885,"")</f>
        <v/>
      </c>
      <c r="AL1885" s="12" t="n"/>
      <c r="AM1885" s="14">
        <f>IF($B1885="","",IF($AQ1885="","対象年月が未入力／","")&amp;IF($B1885="","",IF($AP1885="","職員マスタに未登録の職員番号／",IF($AA1885="","標準報酬月額が未登録／","")&amp;IF(AND($AQ1885&lt;&gt;"",OR(AND(INDEX(職員マスタ!$G$6:$G$405,$AP1885)&lt;&gt;"",INDEX(職員マスタ!$G$6:$G$405,$AP1885)&gt;EOMONTH($AQ1885,0)),AND(INDEX(職員マスタ!$H$6:$H$405,$AP1885)&lt;&gt;"",INDEX(職員マスタ!$H$6:$H$405,$AP1885)&lt;$AQ1885))),"対象月が時短期間外／","")&amp;IF(AND(INDEX(職員マスタ!$K$6:$K$405,$AP1885)&lt;&gt;"",N($W1885)&gt;0,INDEX(職員マスタ!$K$6:$K$405,$AP1885)&lt;&gt;$W1885),"標準報酬月額が申請書と相違（台帳"&amp;TEXT(INDEX(職員マスタ!$K$6:$K$405,$AP1885),"#,##0")&amp;"円／申請書"&amp;TEXT($W1885,"#,##0")&amp;"円）／","")&amp;IF(AND(INDEX(職員マスタ!$F$6:$F$405,$AP1885)&lt;&gt;"",$AQ1885&lt;&gt;"",INDEX(職員マスタ!$F$6:$F$405,$AP1885)&lt;$AQ1885),"対象月に子が2歳到達済／","")&amp;IF(AND($H1885&lt;&gt;"",INDEX(職員マスタ!$B$6:$B$405,$AP1885)&lt;&gt;"",SUBSTITUTE(SUBSTITUTE($H1885," ","")," ","")&lt;&gt;SUBSTITUTE(SUBSTITUTE(INDEX(職員マスタ!$B$6:$B$405,$AP1885)," ","")," ","")),"氏名がマスタと相違／","")&amp;IF(AND($Q1885&lt;&gt;"",INDEX(職員マスタ!$E$6:$E$405,$AP1885)&lt;&gt;"",$Q1885&lt;&gt;INDEX(職員マスタ!$E$6:$E$405,$AP1885)),"子の生年月日がマスタと相違／","")&amp;IF(AND($L1885&lt;&gt;"",INDEX(職員マスタ!$G$6:$G$405,$AP1885)&lt;&gt;"",$L1885&lt;&gt;INDEX(職員マスタ!$G$6:$G$405,$AP1885)),"時短開始日がマスタと相違／","")&amp;IF(AND($M1885&lt;&gt;"",INDEX(職員マスタ!$H$6:$H$405,$AP1885)&lt;&gt;"",$M1885&lt;&gt;INDEX(職員マスタ!$H$6:$H$405,$AP1885)),"時短終了日がマスタと相違／","")))&amp;IF(AND($B1885&lt;&gt;"",$E1885=""),"報酬額が未入力／","")&amp;IF(N($U1885)&gt;0,"申請書に入力エラーが残っています／","")&amp;IF(AND($B1885&lt;&gt;"",$AQ1885&lt;&gt;""),IF(COUNTIFS($B$6:$B$3005,$B1885,$C$6:$C$3005,$C1885,$D$6:$D$3005,$D1885)&gt;1,"同じ月の請求が重複しています／",""),"")&amp;IF(AND(N($E1885)&gt;0,$AB1885&lt;&gt;"",$AB1885&lt;&gt;"×",$AE1885=0,$AD1885=""),"計算額が下限以下のため不支給／",""))</f>
        <v/>
      </c>
      <c r="AN1885" s="12" t="n"/>
      <c r="AO1885" s="14">
        <f>IF($AF1885="保留中",COUNTIF($AF$6:$AF1885,"保留中"),"")</f>
        <v/>
      </c>
      <c r="AP1885" s="14">
        <f>IF($AQ1885="","",IF(SUMPRODUCT(MAX((職員マスタ!$A$6:$A$405=$B1885)*(((職員マスタ!$G$6:$G$405="")+(職員マスタ!$G$6:$G$405&lt;=EOMONTH($AQ1885,0)))&gt;0)*(((職員マスタ!$H$6:$H$405="")+(職員マスタ!$H$6:$H$405&gt;=$AQ1885))&gt;0)*(ROW(職員マスタ!$A$6:$A$405)-5)))&gt;0,SUMPRODUCT(MAX((職員マスタ!$A$6:$A$405=$B1885)*(((職員マスタ!$G$6:$G$405="")+(職員マスタ!$G$6:$G$405&lt;=EOMONTH($AQ1885,0)))&gt;0)*(((職員マスタ!$H$6:$H$405="")+(職員マスタ!$H$6:$H$405&gt;=$AQ1885))&gt;0)*(ROW(職員マスタ!$A$6:$A$405)-5))),IFERROR(MATCH($B1885,職員マスタ!$A$6:$A$405,0),"")))</f>
        <v/>
      </c>
      <c r="AQ1885" s="16">
        <f>IF(OR($B1885="",$C1885="",$D1885=""),"",DATE($C1885+2018,$D1885,1))</f>
        <v/>
      </c>
    </row>
    <row r="1886">
      <c r="A1886" s="11" t="n"/>
      <c r="B1886" s="12" t="n"/>
      <c r="C1886" s="12" t="n"/>
      <c r="D1886" s="12" t="n"/>
      <c r="E1886" s="13" t="n"/>
      <c r="F1886" s="12" t="n"/>
      <c r="G1886" s="13" t="n"/>
      <c r="H1886" s="12" t="n"/>
      <c r="I1886" s="12" t="n"/>
      <c r="J1886" s="12" t="n"/>
      <c r="K1886" s="12" t="n"/>
      <c r="L1886" s="11" t="n"/>
      <c r="M1886" s="11" t="n"/>
      <c r="N1886" s="11" t="n"/>
      <c r="O1886" s="11" t="n"/>
      <c r="P1886" s="12" t="n"/>
      <c r="Q1886" s="11" t="n"/>
      <c r="R1886" s="12" t="n"/>
      <c r="S1886" s="11" t="n"/>
      <c r="T1886" s="12" t="n"/>
      <c r="U1886" s="12" t="n"/>
      <c r="V1886" s="12" t="n"/>
      <c r="W1886" s="13" t="n"/>
      <c r="X1886" s="14">
        <f>IF($AP1886="",IF($B1886="","",$H1886),IF(INDEX(職員マスタ!$B$6:$B$405,$AP1886)="",$H1886,INDEX(職員マスタ!$B$6:$B$405,$AP1886)))</f>
        <v/>
      </c>
      <c r="Y1886" s="14">
        <f>IF($AP1886="",IF($B1886="","",$R1886),IF(INDEX(職員マスタ!$C$6:$C$405,$AP1886)="",$R1886,INDEX(職員マスタ!$C$6:$C$405,$AP1886)))</f>
        <v/>
      </c>
      <c r="Z1886" s="14">
        <f>IF($AQ1886="","","R"&amp;$C1886&amp;"."&amp;$D1886)</f>
        <v/>
      </c>
      <c r="AA1886" s="15">
        <f>IF(IF($AP1886="",FALSE,INDEX(職員マスタ!$K$6:$K$405,$AP1886)&lt;&gt;""),INDEX(職員マスタ!$K$6:$K$405,$AP1886),IF(N($W1886)&gt;0,$W1886,""))</f>
        <v/>
      </c>
      <c r="AB1886" s="14">
        <f>IF(OR($E1886="",$AA1886=""),"",IF($E1886&gt;=$AA1886,"×",IF($E1886&gt;=$AA1886*設定!$C$5,"△","○")))</f>
        <v/>
      </c>
      <c r="AC1886" s="15">
        <f>IF($AB1886="","",IF($AB1886="×",0,IF($AB1886="○",ROUNDDOWN($E1886*設定!$C$4,0),ROUNDDOWN($E1886*ROUND((9*$AA1886-9*$E1886)/(10*$E1886),4),0))))</f>
        <v/>
      </c>
      <c r="AD1886" s="13" t="n"/>
      <c r="AE1886" s="15">
        <f>IF($B1886="","",IF($AD1886&lt;&gt;"",$AD1886,IF($AC1886="","",IF($AC1886&lt;=設定!$C$3,0,$AC1886))))</f>
        <v/>
      </c>
      <c r="AF1886" s="14">
        <f>IF($B1886="","",IF(AND($AG1886&lt;&gt;"",$AI1886="",$AL1886=""),"保留中",IF($AL1886&lt;&gt;"",IF(N($AE1886)&gt;0,"支給済","不支給"),IF($AE1886="","要確認",IF($AE1886=0,"不支給","未処理")))))</f>
        <v/>
      </c>
      <c r="AG1886" s="12" t="n"/>
      <c r="AH1886" s="11" t="n"/>
      <c r="AI1886" s="11" t="n"/>
      <c r="AJ1886" s="11" t="n"/>
      <c r="AK1886" s="14">
        <f>IF(AND($AF1886="保留中",$AH1886&lt;&gt;""),TODAY()-$AH1886,"")</f>
        <v/>
      </c>
      <c r="AL1886" s="12" t="n"/>
      <c r="AM1886" s="14">
        <f>IF($B1886="","",IF($AQ1886="","対象年月が未入力／","")&amp;IF($B1886="","",IF($AP1886="","職員マスタに未登録の職員番号／",IF($AA1886="","標準報酬月額が未登録／","")&amp;IF(AND($AQ1886&lt;&gt;"",OR(AND(INDEX(職員マスタ!$G$6:$G$405,$AP1886)&lt;&gt;"",INDEX(職員マスタ!$G$6:$G$405,$AP1886)&gt;EOMONTH($AQ1886,0)),AND(INDEX(職員マスタ!$H$6:$H$405,$AP1886)&lt;&gt;"",INDEX(職員マスタ!$H$6:$H$405,$AP1886)&lt;$AQ1886))),"対象月が時短期間外／","")&amp;IF(AND(INDEX(職員マスタ!$K$6:$K$405,$AP1886)&lt;&gt;"",N($W1886)&gt;0,INDEX(職員マスタ!$K$6:$K$405,$AP1886)&lt;&gt;$W1886),"標準報酬月額が申請書と相違（台帳"&amp;TEXT(INDEX(職員マスタ!$K$6:$K$405,$AP1886),"#,##0")&amp;"円／申請書"&amp;TEXT($W1886,"#,##0")&amp;"円）／","")&amp;IF(AND(INDEX(職員マスタ!$F$6:$F$405,$AP1886)&lt;&gt;"",$AQ1886&lt;&gt;"",INDEX(職員マスタ!$F$6:$F$405,$AP1886)&lt;$AQ1886),"対象月に子が2歳到達済／","")&amp;IF(AND($H1886&lt;&gt;"",INDEX(職員マスタ!$B$6:$B$405,$AP1886)&lt;&gt;"",SUBSTITUTE(SUBSTITUTE($H1886," ","")," ","")&lt;&gt;SUBSTITUTE(SUBSTITUTE(INDEX(職員マスタ!$B$6:$B$405,$AP1886)," ","")," ","")),"氏名がマスタと相違／","")&amp;IF(AND($Q1886&lt;&gt;"",INDEX(職員マスタ!$E$6:$E$405,$AP1886)&lt;&gt;"",$Q1886&lt;&gt;INDEX(職員マスタ!$E$6:$E$405,$AP1886)),"子の生年月日がマスタと相違／","")&amp;IF(AND($L1886&lt;&gt;"",INDEX(職員マスタ!$G$6:$G$405,$AP1886)&lt;&gt;"",$L1886&lt;&gt;INDEX(職員マスタ!$G$6:$G$405,$AP1886)),"時短開始日がマスタと相違／","")&amp;IF(AND($M1886&lt;&gt;"",INDEX(職員マスタ!$H$6:$H$405,$AP1886)&lt;&gt;"",$M1886&lt;&gt;INDEX(職員マスタ!$H$6:$H$405,$AP1886)),"時短終了日がマスタと相違／","")))&amp;IF(AND($B1886&lt;&gt;"",$E1886=""),"報酬額が未入力／","")&amp;IF(N($U1886)&gt;0,"申請書に入力エラーが残っています／","")&amp;IF(AND($B1886&lt;&gt;"",$AQ1886&lt;&gt;""),IF(COUNTIFS($B$6:$B$3005,$B1886,$C$6:$C$3005,$C1886,$D$6:$D$3005,$D1886)&gt;1,"同じ月の請求が重複しています／",""),"")&amp;IF(AND(N($E1886)&gt;0,$AB1886&lt;&gt;"",$AB1886&lt;&gt;"×",$AE1886=0,$AD1886=""),"計算額が下限以下のため不支給／",""))</f>
        <v/>
      </c>
      <c r="AN1886" s="12" t="n"/>
      <c r="AO1886" s="14">
        <f>IF($AF1886="保留中",COUNTIF($AF$6:$AF1886,"保留中"),"")</f>
        <v/>
      </c>
      <c r="AP1886" s="14">
        <f>IF($AQ1886="","",IF(SUMPRODUCT(MAX((職員マスタ!$A$6:$A$405=$B1886)*(((職員マスタ!$G$6:$G$405="")+(職員マスタ!$G$6:$G$405&lt;=EOMONTH($AQ1886,0)))&gt;0)*(((職員マスタ!$H$6:$H$405="")+(職員マスタ!$H$6:$H$405&gt;=$AQ1886))&gt;0)*(ROW(職員マスタ!$A$6:$A$405)-5)))&gt;0,SUMPRODUCT(MAX((職員マスタ!$A$6:$A$405=$B1886)*(((職員マスタ!$G$6:$G$405="")+(職員マスタ!$G$6:$G$405&lt;=EOMONTH($AQ1886,0)))&gt;0)*(((職員マスタ!$H$6:$H$405="")+(職員マスタ!$H$6:$H$405&gt;=$AQ1886))&gt;0)*(ROW(職員マスタ!$A$6:$A$405)-5))),IFERROR(MATCH($B1886,職員マスタ!$A$6:$A$405,0),"")))</f>
        <v/>
      </c>
      <c r="AQ1886" s="16">
        <f>IF(OR($B1886="",$C1886="",$D1886=""),"",DATE($C1886+2018,$D1886,1))</f>
        <v/>
      </c>
    </row>
    <row r="1887">
      <c r="A1887" s="11" t="n"/>
      <c r="B1887" s="12" t="n"/>
      <c r="C1887" s="12" t="n"/>
      <c r="D1887" s="12" t="n"/>
      <c r="E1887" s="13" t="n"/>
      <c r="F1887" s="12" t="n"/>
      <c r="G1887" s="13" t="n"/>
      <c r="H1887" s="12" t="n"/>
      <c r="I1887" s="12" t="n"/>
      <c r="J1887" s="12" t="n"/>
      <c r="K1887" s="12" t="n"/>
      <c r="L1887" s="11" t="n"/>
      <c r="M1887" s="11" t="n"/>
      <c r="N1887" s="11" t="n"/>
      <c r="O1887" s="11" t="n"/>
      <c r="P1887" s="12" t="n"/>
      <c r="Q1887" s="11" t="n"/>
      <c r="R1887" s="12" t="n"/>
      <c r="S1887" s="11" t="n"/>
      <c r="T1887" s="12" t="n"/>
      <c r="U1887" s="12" t="n"/>
      <c r="V1887" s="12" t="n"/>
      <c r="W1887" s="13" t="n"/>
      <c r="X1887" s="14">
        <f>IF($AP1887="",IF($B1887="","",$H1887),IF(INDEX(職員マスタ!$B$6:$B$405,$AP1887)="",$H1887,INDEX(職員マスタ!$B$6:$B$405,$AP1887)))</f>
        <v/>
      </c>
      <c r="Y1887" s="14">
        <f>IF($AP1887="",IF($B1887="","",$R1887),IF(INDEX(職員マスタ!$C$6:$C$405,$AP1887)="",$R1887,INDEX(職員マスタ!$C$6:$C$405,$AP1887)))</f>
        <v/>
      </c>
      <c r="Z1887" s="14">
        <f>IF($AQ1887="","","R"&amp;$C1887&amp;"."&amp;$D1887)</f>
        <v/>
      </c>
      <c r="AA1887" s="15">
        <f>IF(IF($AP1887="",FALSE,INDEX(職員マスタ!$K$6:$K$405,$AP1887)&lt;&gt;""),INDEX(職員マスタ!$K$6:$K$405,$AP1887),IF(N($W1887)&gt;0,$W1887,""))</f>
        <v/>
      </c>
      <c r="AB1887" s="14">
        <f>IF(OR($E1887="",$AA1887=""),"",IF($E1887&gt;=$AA1887,"×",IF($E1887&gt;=$AA1887*設定!$C$5,"△","○")))</f>
        <v/>
      </c>
      <c r="AC1887" s="15">
        <f>IF($AB1887="","",IF($AB1887="×",0,IF($AB1887="○",ROUNDDOWN($E1887*設定!$C$4,0),ROUNDDOWN($E1887*ROUND((9*$AA1887-9*$E1887)/(10*$E1887),4),0))))</f>
        <v/>
      </c>
      <c r="AD1887" s="13" t="n"/>
      <c r="AE1887" s="15">
        <f>IF($B1887="","",IF($AD1887&lt;&gt;"",$AD1887,IF($AC1887="","",IF($AC1887&lt;=設定!$C$3,0,$AC1887))))</f>
        <v/>
      </c>
      <c r="AF1887" s="14">
        <f>IF($B1887="","",IF(AND($AG1887&lt;&gt;"",$AI1887="",$AL1887=""),"保留中",IF($AL1887&lt;&gt;"",IF(N($AE1887)&gt;0,"支給済","不支給"),IF($AE1887="","要確認",IF($AE1887=0,"不支給","未処理")))))</f>
        <v/>
      </c>
      <c r="AG1887" s="12" t="n"/>
      <c r="AH1887" s="11" t="n"/>
      <c r="AI1887" s="11" t="n"/>
      <c r="AJ1887" s="11" t="n"/>
      <c r="AK1887" s="14">
        <f>IF(AND($AF1887="保留中",$AH1887&lt;&gt;""),TODAY()-$AH1887,"")</f>
        <v/>
      </c>
      <c r="AL1887" s="12" t="n"/>
      <c r="AM1887" s="14">
        <f>IF($B1887="","",IF($AQ1887="","対象年月が未入力／","")&amp;IF($B1887="","",IF($AP1887="","職員マスタに未登録の職員番号／",IF($AA1887="","標準報酬月額が未登録／","")&amp;IF(AND($AQ1887&lt;&gt;"",OR(AND(INDEX(職員マスタ!$G$6:$G$405,$AP1887)&lt;&gt;"",INDEX(職員マスタ!$G$6:$G$405,$AP1887)&gt;EOMONTH($AQ1887,0)),AND(INDEX(職員マスタ!$H$6:$H$405,$AP1887)&lt;&gt;"",INDEX(職員マスタ!$H$6:$H$405,$AP1887)&lt;$AQ1887))),"対象月が時短期間外／","")&amp;IF(AND(INDEX(職員マスタ!$K$6:$K$405,$AP1887)&lt;&gt;"",N($W1887)&gt;0,INDEX(職員マスタ!$K$6:$K$405,$AP1887)&lt;&gt;$W1887),"標準報酬月額が申請書と相違（台帳"&amp;TEXT(INDEX(職員マスタ!$K$6:$K$405,$AP1887),"#,##0")&amp;"円／申請書"&amp;TEXT($W1887,"#,##0")&amp;"円）／","")&amp;IF(AND(INDEX(職員マスタ!$F$6:$F$405,$AP1887)&lt;&gt;"",$AQ1887&lt;&gt;"",INDEX(職員マスタ!$F$6:$F$405,$AP1887)&lt;$AQ1887),"対象月に子が2歳到達済／","")&amp;IF(AND($H1887&lt;&gt;"",INDEX(職員マスタ!$B$6:$B$405,$AP1887)&lt;&gt;"",SUBSTITUTE(SUBSTITUTE($H1887," ","")," ","")&lt;&gt;SUBSTITUTE(SUBSTITUTE(INDEX(職員マスタ!$B$6:$B$405,$AP1887)," ","")," ","")),"氏名がマスタと相違／","")&amp;IF(AND($Q1887&lt;&gt;"",INDEX(職員マスタ!$E$6:$E$405,$AP1887)&lt;&gt;"",$Q1887&lt;&gt;INDEX(職員マスタ!$E$6:$E$405,$AP1887)),"子の生年月日がマスタと相違／","")&amp;IF(AND($L1887&lt;&gt;"",INDEX(職員マスタ!$G$6:$G$405,$AP1887)&lt;&gt;"",$L1887&lt;&gt;INDEX(職員マスタ!$G$6:$G$405,$AP1887)),"時短開始日がマスタと相違／","")&amp;IF(AND($M1887&lt;&gt;"",INDEX(職員マスタ!$H$6:$H$405,$AP1887)&lt;&gt;"",$M1887&lt;&gt;INDEX(職員マスタ!$H$6:$H$405,$AP1887)),"時短終了日がマスタと相違／","")))&amp;IF(AND($B1887&lt;&gt;"",$E1887=""),"報酬額が未入力／","")&amp;IF(N($U1887)&gt;0,"申請書に入力エラーが残っています／","")&amp;IF(AND($B1887&lt;&gt;"",$AQ1887&lt;&gt;""),IF(COUNTIFS($B$6:$B$3005,$B1887,$C$6:$C$3005,$C1887,$D$6:$D$3005,$D1887)&gt;1,"同じ月の請求が重複しています／",""),"")&amp;IF(AND(N($E1887)&gt;0,$AB1887&lt;&gt;"",$AB1887&lt;&gt;"×",$AE1887=0,$AD1887=""),"計算額が下限以下のため不支給／",""))</f>
        <v/>
      </c>
      <c r="AN1887" s="12" t="n"/>
      <c r="AO1887" s="14">
        <f>IF($AF1887="保留中",COUNTIF($AF$6:$AF1887,"保留中"),"")</f>
        <v/>
      </c>
      <c r="AP1887" s="14">
        <f>IF($AQ1887="","",IF(SUMPRODUCT(MAX((職員マスタ!$A$6:$A$405=$B1887)*(((職員マスタ!$G$6:$G$405="")+(職員マスタ!$G$6:$G$405&lt;=EOMONTH($AQ1887,0)))&gt;0)*(((職員マスタ!$H$6:$H$405="")+(職員マスタ!$H$6:$H$405&gt;=$AQ1887))&gt;0)*(ROW(職員マスタ!$A$6:$A$405)-5)))&gt;0,SUMPRODUCT(MAX((職員マスタ!$A$6:$A$405=$B1887)*(((職員マスタ!$G$6:$G$405="")+(職員マスタ!$G$6:$G$405&lt;=EOMONTH($AQ1887,0)))&gt;0)*(((職員マスタ!$H$6:$H$405="")+(職員マスタ!$H$6:$H$405&gt;=$AQ1887))&gt;0)*(ROW(職員マスタ!$A$6:$A$405)-5))),IFERROR(MATCH($B1887,職員マスタ!$A$6:$A$405,0),"")))</f>
        <v/>
      </c>
      <c r="AQ1887" s="16">
        <f>IF(OR($B1887="",$C1887="",$D1887=""),"",DATE($C1887+2018,$D1887,1))</f>
        <v/>
      </c>
    </row>
    <row r="1888">
      <c r="A1888" s="11" t="n"/>
      <c r="B1888" s="12" t="n"/>
      <c r="C1888" s="12" t="n"/>
      <c r="D1888" s="12" t="n"/>
      <c r="E1888" s="13" t="n"/>
      <c r="F1888" s="12" t="n"/>
      <c r="G1888" s="13" t="n"/>
      <c r="H1888" s="12" t="n"/>
      <c r="I1888" s="12" t="n"/>
      <c r="J1888" s="12" t="n"/>
      <c r="K1888" s="12" t="n"/>
      <c r="L1888" s="11" t="n"/>
      <c r="M1888" s="11" t="n"/>
      <c r="N1888" s="11" t="n"/>
      <c r="O1888" s="11" t="n"/>
      <c r="P1888" s="12" t="n"/>
      <c r="Q1888" s="11" t="n"/>
      <c r="R1888" s="12" t="n"/>
      <c r="S1888" s="11" t="n"/>
      <c r="T1888" s="12" t="n"/>
      <c r="U1888" s="12" t="n"/>
      <c r="V1888" s="12" t="n"/>
      <c r="W1888" s="13" t="n"/>
      <c r="X1888" s="14">
        <f>IF($AP1888="",IF($B1888="","",$H1888),IF(INDEX(職員マスタ!$B$6:$B$405,$AP1888)="",$H1888,INDEX(職員マスタ!$B$6:$B$405,$AP1888)))</f>
        <v/>
      </c>
      <c r="Y1888" s="14">
        <f>IF($AP1888="",IF($B1888="","",$R1888),IF(INDEX(職員マスタ!$C$6:$C$405,$AP1888)="",$R1888,INDEX(職員マスタ!$C$6:$C$405,$AP1888)))</f>
        <v/>
      </c>
      <c r="Z1888" s="14">
        <f>IF($AQ1888="","","R"&amp;$C1888&amp;"."&amp;$D1888)</f>
        <v/>
      </c>
      <c r="AA1888" s="15">
        <f>IF(IF($AP1888="",FALSE,INDEX(職員マスタ!$K$6:$K$405,$AP1888)&lt;&gt;""),INDEX(職員マスタ!$K$6:$K$405,$AP1888),IF(N($W1888)&gt;0,$W1888,""))</f>
        <v/>
      </c>
      <c r="AB1888" s="14">
        <f>IF(OR($E1888="",$AA1888=""),"",IF($E1888&gt;=$AA1888,"×",IF($E1888&gt;=$AA1888*設定!$C$5,"△","○")))</f>
        <v/>
      </c>
      <c r="AC1888" s="15">
        <f>IF($AB1888="","",IF($AB1888="×",0,IF($AB1888="○",ROUNDDOWN($E1888*設定!$C$4,0),ROUNDDOWN($E1888*ROUND((9*$AA1888-9*$E1888)/(10*$E1888),4),0))))</f>
        <v/>
      </c>
      <c r="AD1888" s="13" t="n"/>
      <c r="AE1888" s="15">
        <f>IF($B1888="","",IF($AD1888&lt;&gt;"",$AD1888,IF($AC1888="","",IF($AC1888&lt;=設定!$C$3,0,$AC1888))))</f>
        <v/>
      </c>
      <c r="AF1888" s="14">
        <f>IF($B1888="","",IF(AND($AG1888&lt;&gt;"",$AI1888="",$AL1888=""),"保留中",IF($AL1888&lt;&gt;"",IF(N($AE1888)&gt;0,"支給済","不支給"),IF($AE1888="","要確認",IF($AE1888=0,"不支給","未処理")))))</f>
        <v/>
      </c>
      <c r="AG1888" s="12" t="n"/>
      <c r="AH1888" s="11" t="n"/>
      <c r="AI1888" s="11" t="n"/>
      <c r="AJ1888" s="11" t="n"/>
      <c r="AK1888" s="14">
        <f>IF(AND($AF1888="保留中",$AH1888&lt;&gt;""),TODAY()-$AH1888,"")</f>
        <v/>
      </c>
      <c r="AL1888" s="12" t="n"/>
      <c r="AM1888" s="14">
        <f>IF($B1888="","",IF($AQ1888="","対象年月が未入力／","")&amp;IF($B1888="","",IF($AP1888="","職員マスタに未登録の職員番号／",IF($AA1888="","標準報酬月額が未登録／","")&amp;IF(AND($AQ1888&lt;&gt;"",OR(AND(INDEX(職員マスタ!$G$6:$G$405,$AP1888)&lt;&gt;"",INDEX(職員マスタ!$G$6:$G$405,$AP1888)&gt;EOMONTH($AQ1888,0)),AND(INDEX(職員マスタ!$H$6:$H$405,$AP1888)&lt;&gt;"",INDEX(職員マスタ!$H$6:$H$405,$AP1888)&lt;$AQ1888))),"対象月が時短期間外／","")&amp;IF(AND(INDEX(職員マスタ!$K$6:$K$405,$AP1888)&lt;&gt;"",N($W1888)&gt;0,INDEX(職員マスタ!$K$6:$K$405,$AP1888)&lt;&gt;$W1888),"標準報酬月額が申請書と相違（台帳"&amp;TEXT(INDEX(職員マスタ!$K$6:$K$405,$AP1888),"#,##0")&amp;"円／申請書"&amp;TEXT($W1888,"#,##0")&amp;"円）／","")&amp;IF(AND(INDEX(職員マスタ!$F$6:$F$405,$AP1888)&lt;&gt;"",$AQ1888&lt;&gt;"",INDEX(職員マスタ!$F$6:$F$405,$AP1888)&lt;$AQ1888),"対象月に子が2歳到達済／","")&amp;IF(AND($H1888&lt;&gt;"",INDEX(職員マスタ!$B$6:$B$405,$AP1888)&lt;&gt;"",SUBSTITUTE(SUBSTITUTE($H1888," ","")," ","")&lt;&gt;SUBSTITUTE(SUBSTITUTE(INDEX(職員マスタ!$B$6:$B$405,$AP1888)," ","")," ","")),"氏名がマスタと相違／","")&amp;IF(AND($Q1888&lt;&gt;"",INDEX(職員マスタ!$E$6:$E$405,$AP1888)&lt;&gt;"",$Q1888&lt;&gt;INDEX(職員マスタ!$E$6:$E$405,$AP1888)),"子の生年月日がマスタと相違／","")&amp;IF(AND($L1888&lt;&gt;"",INDEX(職員マスタ!$G$6:$G$405,$AP1888)&lt;&gt;"",$L1888&lt;&gt;INDEX(職員マスタ!$G$6:$G$405,$AP1888)),"時短開始日がマスタと相違／","")&amp;IF(AND($M1888&lt;&gt;"",INDEX(職員マスタ!$H$6:$H$405,$AP1888)&lt;&gt;"",$M1888&lt;&gt;INDEX(職員マスタ!$H$6:$H$405,$AP1888)),"時短終了日がマスタと相違／","")))&amp;IF(AND($B1888&lt;&gt;"",$E1888=""),"報酬額が未入力／","")&amp;IF(N($U1888)&gt;0,"申請書に入力エラーが残っています／","")&amp;IF(AND($B1888&lt;&gt;"",$AQ1888&lt;&gt;""),IF(COUNTIFS($B$6:$B$3005,$B1888,$C$6:$C$3005,$C1888,$D$6:$D$3005,$D1888)&gt;1,"同じ月の請求が重複しています／",""),"")&amp;IF(AND(N($E1888)&gt;0,$AB1888&lt;&gt;"",$AB1888&lt;&gt;"×",$AE1888=0,$AD1888=""),"計算額が下限以下のため不支給／",""))</f>
        <v/>
      </c>
      <c r="AN1888" s="12" t="n"/>
      <c r="AO1888" s="14">
        <f>IF($AF1888="保留中",COUNTIF($AF$6:$AF1888,"保留中"),"")</f>
        <v/>
      </c>
      <c r="AP1888" s="14">
        <f>IF($AQ1888="","",IF(SUMPRODUCT(MAX((職員マスタ!$A$6:$A$405=$B1888)*(((職員マスタ!$G$6:$G$405="")+(職員マスタ!$G$6:$G$405&lt;=EOMONTH($AQ1888,0)))&gt;0)*(((職員マスタ!$H$6:$H$405="")+(職員マスタ!$H$6:$H$405&gt;=$AQ1888))&gt;0)*(ROW(職員マスタ!$A$6:$A$405)-5)))&gt;0,SUMPRODUCT(MAX((職員マスタ!$A$6:$A$405=$B1888)*(((職員マスタ!$G$6:$G$405="")+(職員マスタ!$G$6:$G$405&lt;=EOMONTH($AQ1888,0)))&gt;0)*(((職員マスタ!$H$6:$H$405="")+(職員マスタ!$H$6:$H$405&gt;=$AQ1888))&gt;0)*(ROW(職員マスタ!$A$6:$A$405)-5))),IFERROR(MATCH($B1888,職員マスタ!$A$6:$A$405,0),"")))</f>
        <v/>
      </c>
      <c r="AQ1888" s="16">
        <f>IF(OR($B1888="",$C1888="",$D1888=""),"",DATE($C1888+2018,$D1888,1))</f>
        <v/>
      </c>
    </row>
    <row r="1889">
      <c r="A1889" s="11" t="n"/>
      <c r="B1889" s="12" t="n"/>
      <c r="C1889" s="12" t="n"/>
      <c r="D1889" s="12" t="n"/>
      <c r="E1889" s="13" t="n"/>
      <c r="F1889" s="12" t="n"/>
      <c r="G1889" s="13" t="n"/>
      <c r="H1889" s="12" t="n"/>
      <c r="I1889" s="12" t="n"/>
      <c r="J1889" s="12" t="n"/>
      <c r="K1889" s="12" t="n"/>
      <c r="L1889" s="11" t="n"/>
      <c r="M1889" s="11" t="n"/>
      <c r="N1889" s="11" t="n"/>
      <c r="O1889" s="11" t="n"/>
      <c r="P1889" s="12" t="n"/>
      <c r="Q1889" s="11" t="n"/>
      <c r="R1889" s="12" t="n"/>
      <c r="S1889" s="11" t="n"/>
      <c r="T1889" s="12" t="n"/>
      <c r="U1889" s="12" t="n"/>
      <c r="V1889" s="12" t="n"/>
      <c r="W1889" s="13" t="n"/>
      <c r="X1889" s="14">
        <f>IF($AP1889="",IF($B1889="","",$H1889),IF(INDEX(職員マスタ!$B$6:$B$405,$AP1889)="",$H1889,INDEX(職員マスタ!$B$6:$B$405,$AP1889)))</f>
        <v/>
      </c>
      <c r="Y1889" s="14">
        <f>IF($AP1889="",IF($B1889="","",$R1889),IF(INDEX(職員マスタ!$C$6:$C$405,$AP1889)="",$R1889,INDEX(職員マスタ!$C$6:$C$405,$AP1889)))</f>
        <v/>
      </c>
      <c r="Z1889" s="14">
        <f>IF($AQ1889="","","R"&amp;$C1889&amp;"."&amp;$D1889)</f>
        <v/>
      </c>
      <c r="AA1889" s="15">
        <f>IF(IF($AP1889="",FALSE,INDEX(職員マスタ!$K$6:$K$405,$AP1889)&lt;&gt;""),INDEX(職員マスタ!$K$6:$K$405,$AP1889),IF(N($W1889)&gt;0,$W1889,""))</f>
        <v/>
      </c>
      <c r="AB1889" s="14">
        <f>IF(OR($E1889="",$AA1889=""),"",IF($E1889&gt;=$AA1889,"×",IF($E1889&gt;=$AA1889*設定!$C$5,"△","○")))</f>
        <v/>
      </c>
      <c r="AC1889" s="15">
        <f>IF($AB1889="","",IF($AB1889="×",0,IF($AB1889="○",ROUNDDOWN($E1889*設定!$C$4,0),ROUNDDOWN($E1889*ROUND((9*$AA1889-9*$E1889)/(10*$E1889),4),0))))</f>
        <v/>
      </c>
      <c r="AD1889" s="13" t="n"/>
      <c r="AE1889" s="15">
        <f>IF($B1889="","",IF($AD1889&lt;&gt;"",$AD1889,IF($AC1889="","",IF($AC1889&lt;=設定!$C$3,0,$AC1889))))</f>
        <v/>
      </c>
      <c r="AF1889" s="14">
        <f>IF($B1889="","",IF(AND($AG1889&lt;&gt;"",$AI1889="",$AL1889=""),"保留中",IF($AL1889&lt;&gt;"",IF(N($AE1889)&gt;0,"支給済","不支給"),IF($AE1889="","要確認",IF($AE1889=0,"不支給","未処理")))))</f>
        <v/>
      </c>
      <c r="AG1889" s="12" t="n"/>
      <c r="AH1889" s="11" t="n"/>
      <c r="AI1889" s="11" t="n"/>
      <c r="AJ1889" s="11" t="n"/>
      <c r="AK1889" s="14">
        <f>IF(AND($AF1889="保留中",$AH1889&lt;&gt;""),TODAY()-$AH1889,"")</f>
        <v/>
      </c>
      <c r="AL1889" s="12" t="n"/>
      <c r="AM1889" s="14">
        <f>IF($B1889="","",IF($AQ1889="","対象年月が未入力／","")&amp;IF($B1889="","",IF($AP1889="","職員マスタに未登録の職員番号／",IF($AA1889="","標準報酬月額が未登録／","")&amp;IF(AND($AQ1889&lt;&gt;"",OR(AND(INDEX(職員マスタ!$G$6:$G$405,$AP1889)&lt;&gt;"",INDEX(職員マスタ!$G$6:$G$405,$AP1889)&gt;EOMONTH($AQ1889,0)),AND(INDEX(職員マスタ!$H$6:$H$405,$AP1889)&lt;&gt;"",INDEX(職員マスタ!$H$6:$H$405,$AP1889)&lt;$AQ1889))),"対象月が時短期間外／","")&amp;IF(AND(INDEX(職員マスタ!$K$6:$K$405,$AP1889)&lt;&gt;"",N($W1889)&gt;0,INDEX(職員マスタ!$K$6:$K$405,$AP1889)&lt;&gt;$W1889),"標準報酬月額が申請書と相違（台帳"&amp;TEXT(INDEX(職員マスタ!$K$6:$K$405,$AP1889),"#,##0")&amp;"円／申請書"&amp;TEXT($W1889,"#,##0")&amp;"円）／","")&amp;IF(AND(INDEX(職員マスタ!$F$6:$F$405,$AP1889)&lt;&gt;"",$AQ1889&lt;&gt;"",INDEX(職員マスタ!$F$6:$F$405,$AP1889)&lt;$AQ1889),"対象月に子が2歳到達済／","")&amp;IF(AND($H1889&lt;&gt;"",INDEX(職員マスタ!$B$6:$B$405,$AP1889)&lt;&gt;"",SUBSTITUTE(SUBSTITUTE($H1889," ","")," ","")&lt;&gt;SUBSTITUTE(SUBSTITUTE(INDEX(職員マスタ!$B$6:$B$405,$AP1889)," ","")," ","")),"氏名がマスタと相違／","")&amp;IF(AND($Q1889&lt;&gt;"",INDEX(職員マスタ!$E$6:$E$405,$AP1889)&lt;&gt;"",$Q1889&lt;&gt;INDEX(職員マスタ!$E$6:$E$405,$AP1889)),"子の生年月日がマスタと相違／","")&amp;IF(AND($L1889&lt;&gt;"",INDEX(職員マスタ!$G$6:$G$405,$AP1889)&lt;&gt;"",$L1889&lt;&gt;INDEX(職員マスタ!$G$6:$G$405,$AP1889)),"時短開始日がマスタと相違／","")&amp;IF(AND($M1889&lt;&gt;"",INDEX(職員マスタ!$H$6:$H$405,$AP1889)&lt;&gt;"",$M1889&lt;&gt;INDEX(職員マスタ!$H$6:$H$405,$AP1889)),"時短終了日がマスタと相違／","")))&amp;IF(AND($B1889&lt;&gt;"",$E1889=""),"報酬額が未入力／","")&amp;IF(N($U1889)&gt;0,"申請書に入力エラーが残っています／","")&amp;IF(AND($B1889&lt;&gt;"",$AQ1889&lt;&gt;""),IF(COUNTIFS($B$6:$B$3005,$B1889,$C$6:$C$3005,$C1889,$D$6:$D$3005,$D1889)&gt;1,"同じ月の請求が重複しています／",""),"")&amp;IF(AND(N($E1889)&gt;0,$AB1889&lt;&gt;"",$AB1889&lt;&gt;"×",$AE1889=0,$AD1889=""),"計算額が下限以下のため不支給／",""))</f>
        <v/>
      </c>
      <c r="AN1889" s="12" t="n"/>
      <c r="AO1889" s="14">
        <f>IF($AF1889="保留中",COUNTIF($AF$6:$AF1889,"保留中"),"")</f>
        <v/>
      </c>
      <c r="AP1889" s="14">
        <f>IF($AQ1889="","",IF(SUMPRODUCT(MAX((職員マスタ!$A$6:$A$405=$B1889)*(((職員マスタ!$G$6:$G$405="")+(職員マスタ!$G$6:$G$405&lt;=EOMONTH($AQ1889,0)))&gt;0)*(((職員マスタ!$H$6:$H$405="")+(職員マスタ!$H$6:$H$405&gt;=$AQ1889))&gt;0)*(ROW(職員マスタ!$A$6:$A$405)-5)))&gt;0,SUMPRODUCT(MAX((職員マスタ!$A$6:$A$405=$B1889)*(((職員マスタ!$G$6:$G$405="")+(職員マスタ!$G$6:$G$405&lt;=EOMONTH($AQ1889,0)))&gt;0)*(((職員マスタ!$H$6:$H$405="")+(職員マスタ!$H$6:$H$405&gt;=$AQ1889))&gt;0)*(ROW(職員マスタ!$A$6:$A$405)-5))),IFERROR(MATCH($B1889,職員マスタ!$A$6:$A$405,0),"")))</f>
        <v/>
      </c>
      <c r="AQ1889" s="16">
        <f>IF(OR($B1889="",$C1889="",$D1889=""),"",DATE($C1889+2018,$D1889,1))</f>
        <v/>
      </c>
    </row>
    <row r="1890">
      <c r="A1890" s="11" t="n"/>
      <c r="B1890" s="12" t="n"/>
      <c r="C1890" s="12" t="n"/>
      <c r="D1890" s="12" t="n"/>
      <c r="E1890" s="13" t="n"/>
      <c r="F1890" s="12" t="n"/>
      <c r="G1890" s="13" t="n"/>
      <c r="H1890" s="12" t="n"/>
      <c r="I1890" s="12" t="n"/>
      <c r="J1890" s="12" t="n"/>
      <c r="K1890" s="12" t="n"/>
      <c r="L1890" s="11" t="n"/>
      <c r="M1890" s="11" t="n"/>
      <c r="N1890" s="11" t="n"/>
      <c r="O1890" s="11" t="n"/>
      <c r="P1890" s="12" t="n"/>
      <c r="Q1890" s="11" t="n"/>
      <c r="R1890" s="12" t="n"/>
      <c r="S1890" s="11" t="n"/>
      <c r="T1890" s="12" t="n"/>
      <c r="U1890" s="12" t="n"/>
      <c r="V1890" s="12" t="n"/>
      <c r="W1890" s="13" t="n"/>
      <c r="X1890" s="14">
        <f>IF($AP1890="",IF($B1890="","",$H1890),IF(INDEX(職員マスタ!$B$6:$B$405,$AP1890)="",$H1890,INDEX(職員マスタ!$B$6:$B$405,$AP1890)))</f>
        <v/>
      </c>
      <c r="Y1890" s="14">
        <f>IF($AP1890="",IF($B1890="","",$R1890),IF(INDEX(職員マスタ!$C$6:$C$405,$AP1890)="",$R1890,INDEX(職員マスタ!$C$6:$C$405,$AP1890)))</f>
        <v/>
      </c>
      <c r="Z1890" s="14">
        <f>IF($AQ1890="","","R"&amp;$C1890&amp;"."&amp;$D1890)</f>
        <v/>
      </c>
      <c r="AA1890" s="15">
        <f>IF(IF($AP1890="",FALSE,INDEX(職員マスタ!$K$6:$K$405,$AP1890)&lt;&gt;""),INDEX(職員マスタ!$K$6:$K$405,$AP1890),IF(N($W1890)&gt;0,$W1890,""))</f>
        <v/>
      </c>
      <c r="AB1890" s="14">
        <f>IF(OR($E1890="",$AA1890=""),"",IF($E1890&gt;=$AA1890,"×",IF($E1890&gt;=$AA1890*設定!$C$5,"△","○")))</f>
        <v/>
      </c>
      <c r="AC1890" s="15">
        <f>IF($AB1890="","",IF($AB1890="×",0,IF($AB1890="○",ROUNDDOWN($E1890*設定!$C$4,0),ROUNDDOWN($E1890*ROUND((9*$AA1890-9*$E1890)/(10*$E1890),4),0))))</f>
        <v/>
      </c>
      <c r="AD1890" s="13" t="n"/>
      <c r="AE1890" s="15">
        <f>IF($B1890="","",IF($AD1890&lt;&gt;"",$AD1890,IF($AC1890="","",IF($AC1890&lt;=設定!$C$3,0,$AC1890))))</f>
        <v/>
      </c>
      <c r="AF1890" s="14">
        <f>IF($B1890="","",IF(AND($AG1890&lt;&gt;"",$AI1890="",$AL1890=""),"保留中",IF($AL1890&lt;&gt;"",IF(N($AE1890)&gt;0,"支給済","不支給"),IF($AE1890="","要確認",IF($AE1890=0,"不支給","未処理")))))</f>
        <v/>
      </c>
      <c r="AG1890" s="12" t="n"/>
      <c r="AH1890" s="11" t="n"/>
      <c r="AI1890" s="11" t="n"/>
      <c r="AJ1890" s="11" t="n"/>
      <c r="AK1890" s="14">
        <f>IF(AND($AF1890="保留中",$AH1890&lt;&gt;""),TODAY()-$AH1890,"")</f>
        <v/>
      </c>
      <c r="AL1890" s="12" t="n"/>
      <c r="AM1890" s="14">
        <f>IF($B1890="","",IF($AQ1890="","対象年月が未入力／","")&amp;IF($B1890="","",IF($AP1890="","職員マスタに未登録の職員番号／",IF($AA1890="","標準報酬月額が未登録／","")&amp;IF(AND($AQ1890&lt;&gt;"",OR(AND(INDEX(職員マスタ!$G$6:$G$405,$AP1890)&lt;&gt;"",INDEX(職員マスタ!$G$6:$G$405,$AP1890)&gt;EOMONTH($AQ1890,0)),AND(INDEX(職員マスタ!$H$6:$H$405,$AP1890)&lt;&gt;"",INDEX(職員マスタ!$H$6:$H$405,$AP1890)&lt;$AQ1890))),"対象月が時短期間外／","")&amp;IF(AND(INDEX(職員マスタ!$K$6:$K$405,$AP1890)&lt;&gt;"",N($W1890)&gt;0,INDEX(職員マスタ!$K$6:$K$405,$AP1890)&lt;&gt;$W1890),"標準報酬月額が申請書と相違（台帳"&amp;TEXT(INDEX(職員マスタ!$K$6:$K$405,$AP1890),"#,##0")&amp;"円／申請書"&amp;TEXT($W1890,"#,##0")&amp;"円）／","")&amp;IF(AND(INDEX(職員マスタ!$F$6:$F$405,$AP1890)&lt;&gt;"",$AQ1890&lt;&gt;"",INDEX(職員マスタ!$F$6:$F$405,$AP1890)&lt;$AQ1890),"対象月に子が2歳到達済／","")&amp;IF(AND($H1890&lt;&gt;"",INDEX(職員マスタ!$B$6:$B$405,$AP1890)&lt;&gt;"",SUBSTITUTE(SUBSTITUTE($H1890," ","")," ","")&lt;&gt;SUBSTITUTE(SUBSTITUTE(INDEX(職員マスタ!$B$6:$B$405,$AP1890)," ","")," ","")),"氏名がマスタと相違／","")&amp;IF(AND($Q1890&lt;&gt;"",INDEX(職員マスタ!$E$6:$E$405,$AP1890)&lt;&gt;"",$Q1890&lt;&gt;INDEX(職員マスタ!$E$6:$E$405,$AP1890)),"子の生年月日がマスタと相違／","")&amp;IF(AND($L1890&lt;&gt;"",INDEX(職員マスタ!$G$6:$G$405,$AP1890)&lt;&gt;"",$L1890&lt;&gt;INDEX(職員マスタ!$G$6:$G$405,$AP1890)),"時短開始日がマスタと相違／","")&amp;IF(AND($M1890&lt;&gt;"",INDEX(職員マスタ!$H$6:$H$405,$AP1890)&lt;&gt;"",$M1890&lt;&gt;INDEX(職員マスタ!$H$6:$H$405,$AP1890)),"時短終了日がマスタと相違／","")))&amp;IF(AND($B1890&lt;&gt;"",$E1890=""),"報酬額が未入力／","")&amp;IF(N($U1890)&gt;0,"申請書に入力エラーが残っています／","")&amp;IF(AND($B1890&lt;&gt;"",$AQ1890&lt;&gt;""),IF(COUNTIFS($B$6:$B$3005,$B1890,$C$6:$C$3005,$C1890,$D$6:$D$3005,$D1890)&gt;1,"同じ月の請求が重複しています／",""),"")&amp;IF(AND(N($E1890)&gt;0,$AB1890&lt;&gt;"",$AB1890&lt;&gt;"×",$AE1890=0,$AD1890=""),"計算額が下限以下のため不支給／",""))</f>
        <v/>
      </c>
      <c r="AN1890" s="12" t="n"/>
      <c r="AO1890" s="14">
        <f>IF($AF1890="保留中",COUNTIF($AF$6:$AF1890,"保留中"),"")</f>
        <v/>
      </c>
      <c r="AP1890" s="14">
        <f>IF($AQ1890="","",IF(SUMPRODUCT(MAX((職員マスタ!$A$6:$A$405=$B1890)*(((職員マスタ!$G$6:$G$405="")+(職員マスタ!$G$6:$G$405&lt;=EOMONTH($AQ1890,0)))&gt;0)*(((職員マスタ!$H$6:$H$405="")+(職員マスタ!$H$6:$H$405&gt;=$AQ1890))&gt;0)*(ROW(職員マスタ!$A$6:$A$405)-5)))&gt;0,SUMPRODUCT(MAX((職員マスタ!$A$6:$A$405=$B1890)*(((職員マスタ!$G$6:$G$405="")+(職員マスタ!$G$6:$G$405&lt;=EOMONTH($AQ1890,0)))&gt;0)*(((職員マスタ!$H$6:$H$405="")+(職員マスタ!$H$6:$H$405&gt;=$AQ1890))&gt;0)*(ROW(職員マスタ!$A$6:$A$405)-5))),IFERROR(MATCH($B1890,職員マスタ!$A$6:$A$405,0),"")))</f>
        <v/>
      </c>
      <c r="AQ1890" s="16">
        <f>IF(OR($B1890="",$C1890="",$D1890=""),"",DATE($C1890+2018,$D1890,1))</f>
        <v/>
      </c>
    </row>
    <row r="1891">
      <c r="A1891" s="11" t="n"/>
      <c r="B1891" s="12" t="n"/>
      <c r="C1891" s="12" t="n"/>
      <c r="D1891" s="12" t="n"/>
      <c r="E1891" s="13" t="n"/>
      <c r="F1891" s="12" t="n"/>
      <c r="G1891" s="13" t="n"/>
      <c r="H1891" s="12" t="n"/>
      <c r="I1891" s="12" t="n"/>
      <c r="J1891" s="12" t="n"/>
      <c r="K1891" s="12" t="n"/>
      <c r="L1891" s="11" t="n"/>
      <c r="M1891" s="11" t="n"/>
      <c r="N1891" s="11" t="n"/>
      <c r="O1891" s="11" t="n"/>
      <c r="P1891" s="12" t="n"/>
      <c r="Q1891" s="11" t="n"/>
      <c r="R1891" s="12" t="n"/>
      <c r="S1891" s="11" t="n"/>
      <c r="T1891" s="12" t="n"/>
      <c r="U1891" s="12" t="n"/>
      <c r="V1891" s="12" t="n"/>
      <c r="W1891" s="13" t="n"/>
      <c r="X1891" s="14">
        <f>IF($AP1891="",IF($B1891="","",$H1891),IF(INDEX(職員マスタ!$B$6:$B$405,$AP1891)="",$H1891,INDEX(職員マスタ!$B$6:$B$405,$AP1891)))</f>
        <v/>
      </c>
      <c r="Y1891" s="14">
        <f>IF($AP1891="",IF($B1891="","",$R1891),IF(INDEX(職員マスタ!$C$6:$C$405,$AP1891)="",$R1891,INDEX(職員マスタ!$C$6:$C$405,$AP1891)))</f>
        <v/>
      </c>
      <c r="Z1891" s="14">
        <f>IF($AQ1891="","","R"&amp;$C1891&amp;"."&amp;$D1891)</f>
        <v/>
      </c>
      <c r="AA1891" s="15">
        <f>IF(IF($AP1891="",FALSE,INDEX(職員マスタ!$K$6:$K$405,$AP1891)&lt;&gt;""),INDEX(職員マスタ!$K$6:$K$405,$AP1891),IF(N($W1891)&gt;0,$W1891,""))</f>
        <v/>
      </c>
      <c r="AB1891" s="14">
        <f>IF(OR($E1891="",$AA1891=""),"",IF($E1891&gt;=$AA1891,"×",IF($E1891&gt;=$AA1891*設定!$C$5,"△","○")))</f>
        <v/>
      </c>
      <c r="AC1891" s="15">
        <f>IF($AB1891="","",IF($AB1891="×",0,IF($AB1891="○",ROUNDDOWN($E1891*設定!$C$4,0),ROUNDDOWN($E1891*ROUND((9*$AA1891-9*$E1891)/(10*$E1891),4),0))))</f>
        <v/>
      </c>
      <c r="AD1891" s="13" t="n"/>
      <c r="AE1891" s="15">
        <f>IF($B1891="","",IF($AD1891&lt;&gt;"",$AD1891,IF($AC1891="","",IF($AC1891&lt;=設定!$C$3,0,$AC1891))))</f>
        <v/>
      </c>
      <c r="AF1891" s="14">
        <f>IF($B1891="","",IF(AND($AG1891&lt;&gt;"",$AI1891="",$AL1891=""),"保留中",IF($AL1891&lt;&gt;"",IF(N($AE1891)&gt;0,"支給済","不支給"),IF($AE1891="","要確認",IF($AE1891=0,"不支給","未処理")))))</f>
        <v/>
      </c>
      <c r="AG1891" s="12" t="n"/>
      <c r="AH1891" s="11" t="n"/>
      <c r="AI1891" s="11" t="n"/>
      <c r="AJ1891" s="11" t="n"/>
      <c r="AK1891" s="14">
        <f>IF(AND($AF1891="保留中",$AH1891&lt;&gt;""),TODAY()-$AH1891,"")</f>
        <v/>
      </c>
      <c r="AL1891" s="12" t="n"/>
      <c r="AM1891" s="14">
        <f>IF($B1891="","",IF($AQ1891="","対象年月が未入力／","")&amp;IF($B1891="","",IF($AP1891="","職員マスタに未登録の職員番号／",IF($AA1891="","標準報酬月額が未登録／","")&amp;IF(AND($AQ1891&lt;&gt;"",OR(AND(INDEX(職員マスタ!$G$6:$G$405,$AP1891)&lt;&gt;"",INDEX(職員マスタ!$G$6:$G$405,$AP1891)&gt;EOMONTH($AQ1891,0)),AND(INDEX(職員マスタ!$H$6:$H$405,$AP1891)&lt;&gt;"",INDEX(職員マスタ!$H$6:$H$405,$AP1891)&lt;$AQ1891))),"対象月が時短期間外／","")&amp;IF(AND(INDEX(職員マスタ!$K$6:$K$405,$AP1891)&lt;&gt;"",N($W1891)&gt;0,INDEX(職員マスタ!$K$6:$K$405,$AP1891)&lt;&gt;$W1891),"標準報酬月額が申請書と相違（台帳"&amp;TEXT(INDEX(職員マスタ!$K$6:$K$405,$AP1891),"#,##0")&amp;"円／申請書"&amp;TEXT($W1891,"#,##0")&amp;"円）／","")&amp;IF(AND(INDEX(職員マスタ!$F$6:$F$405,$AP1891)&lt;&gt;"",$AQ1891&lt;&gt;"",INDEX(職員マスタ!$F$6:$F$405,$AP1891)&lt;$AQ1891),"対象月に子が2歳到達済／","")&amp;IF(AND($H1891&lt;&gt;"",INDEX(職員マスタ!$B$6:$B$405,$AP1891)&lt;&gt;"",SUBSTITUTE(SUBSTITUTE($H1891," ","")," ","")&lt;&gt;SUBSTITUTE(SUBSTITUTE(INDEX(職員マスタ!$B$6:$B$405,$AP1891)," ","")," ","")),"氏名がマスタと相違／","")&amp;IF(AND($Q1891&lt;&gt;"",INDEX(職員マスタ!$E$6:$E$405,$AP1891)&lt;&gt;"",$Q1891&lt;&gt;INDEX(職員マスタ!$E$6:$E$405,$AP1891)),"子の生年月日がマスタと相違／","")&amp;IF(AND($L1891&lt;&gt;"",INDEX(職員マスタ!$G$6:$G$405,$AP1891)&lt;&gt;"",$L1891&lt;&gt;INDEX(職員マスタ!$G$6:$G$405,$AP1891)),"時短開始日がマスタと相違／","")&amp;IF(AND($M1891&lt;&gt;"",INDEX(職員マスタ!$H$6:$H$405,$AP1891)&lt;&gt;"",$M1891&lt;&gt;INDEX(職員マスタ!$H$6:$H$405,$AP1891)),"時短終了日がマスタと相違／","")))&amp;IF(AND($B1891&lt;&gt;"",$E1891=""),"報酬額が未入力／","")&amp;IF(N($U1891)&gt;0,"申請書に入力エラーが残っています／","")&amp;IF(AND($B1891&lt;&gt;"",$AQ1891&lt;&gt;""),IF(COUNTIFS($B$6:$B$3005,$B1891,$C$6:$C$3005,$C1891,$D$6:$D$3005,$D1891)&gt;1,"同じ月の請求が重複しています／",""),"")&amp;IF(AND(N($E1891)&gt;0,$AB1891&lt;&gt;"",$AB1891&lt;&gt;"×",$AE1891=0,$AD1891=""),"計算額が下限以下のため不支給／",""))</f>
        <v/>
      </c>
      <c r="AN1891" s="12" t="n"/>
      <c r="AO1891" s="14">
        <f>IF($AF1891="保留中",COUNTIF($AF$6:$AF1891,"保留中"),"")</f>
        <v/>
      </c>
      <c r="AP1891" s="14">
        <f>IF($AQ1891="","",IF(SUMPRODUCT(MAX((職員マスタ!$A$6:$A$405=$B1891)*(((職員マスタ!$G$6:$G$405="")+(職員マスタ!$G$6:$G$405&lt;=EOMONTH($AQ1891,0)))&gt;0)*(((職員マスタ!$H$6:$H$405="")+(職員マスタ!$H$6:$H$405&gt;=$AQ1891))&gt;0)*(ROW(職員マスタ!$A$6:$A$405)-5)))&gt;0,SUMPRODUCT(MAX((職員マスタ!$A$6:$A$405=$B1891)*(((職員マスタ!$G$6:$G$405="")+(職員マスタ!$G$6:$G$405&lt;=EOMONTH($AQ1891,0)))&gt;0)*(((職員マスタ!$H$6:$H$405="")+(職員マスタ!$H$6:$H$405&gt;=$AQ1891))&gt;0)*(ROW(職員マスタ!$A$6:$A$405)-5))),IFERROR(MATCH($B1891,職員マスタ!$A$6:$A$405,0),"")))</f>
        <v/>
      </c>
      <c r="AQ1891" s="16">
        <f>IF(OR($B1891="",$C1891="",$D1891=""),"",DATE($C1891+2018,$D1891,1))</f>
        <v/>
      </c>
    </row>
    <row r="1892">
      <c r="A1892" s="11" t="n"/>
      <c r="B1892" s="12" t="n"/>
      <c r="C1892" s="12" t="n"/>
      <c r="D1892" s="12" t="n"/>
      <c r="E1892" s="13" t="n"/>
      <c r="F1892" s="12" t="n"/>
      <c r="G1892" s="13" t="n"/>
      <c r="H1892" s="12" t="n"/>
      <c r="I1892" s="12" t="n"/>
      <c r="J1892" s="12" t="n"/>
      <c r="K1892" s="12" t="n"/>
      <c r="L1892" s="11" t="n"/>
      <c r="M1892" s="11" t="n"/>
      <c r="N1892" s="11" t="n"/>
      <c r="O1892" s="11" t="n"/>
      <c r="P1892" s="12" t="n"/>
      <c r="Q1892" s="11" t="n"/>
      <c r="R1892" s="12" t="n"/>
      <c r="S1892" s="11" t="n"/>
      <c r="T1892" s="12" t="n"/>
      <c r="U1892" s="12" t="n"/>
      <c r="V1892" s="12" t="n"/>
      <c r="W1892" s="13" t="n"/>
      <c r="X1892" s="14">
        <f>IF($AP1892="",IF($B1892="","",$H1892),IF(INDEX(職員マスタ!$B$6:$B$405,$AP1892)="",$H1892,INDEX(職員マスタ!$B$6:$B$405,$AP1892)))</f>
        <v/>
      </c>
      <c r="Y1892" s="14">
        <f>IF($AP1892="",IF($B1892="","",$R1892),IF(INDEX(職員マスタ!$C$6:$C$405,$AP1892)="",$R1892,INDEX(職員マスタ!$C$6:$C$405,$AP1892)))</f>
        <v/>
      </c>
      <c r="Z1892" s="14">
        <f>IF($AQ1892="","","R"&amp;$C1892&amp;"."&amp;$D1892)</f>
        <v/>
      </c>
      <c r="AA1892" s="15">
        <f>IF(IF($AP1892="",FALSE,INDEX(職員マスタ!$K$6:$K$405,$AP1892)&lt;&gt;""),INDEX(職員マスタ!$K$6:$K$405,$AP1892),IF(N($W1892)&gt;0,$W1892,""))</f>
        <v/>
      </c>
      <c r="AB1892" s="14">
        <f>IF(OR($E1892="",$AA1892=""),"",IF($E1892&gt;=$AA1892,"×",IF($E1892&gt;=$AA1892*設定!$C$5,"△","○")))</f>
        <v/>
      </c>
      <c r="AC1892" s="15">
        <f>IF($AB1892="","",IF($AB1892="×",0,IF($AB1892="○",ROUNDDOWN($E1892*設定!$C$4,0),ROUNDDOWN($E1892*ROUND((9*$AA1892-9*$E1892)/(10*$E1892),4),0))))</f>
        <v/>
      </c>
      <c r="AD1892" s="13" t="n"/>
      <c r="AE1892" s="15">
        <f>IF($B1892="","",IF($AD1892&lt;&gt;"",$AD1892,IF($AC1892="","",IF($AC1892&lt;=設定!$C$3,0,$AC1892))))</f>
        <v/>
      </c>
      <c r="AF1892" s="14">
        <f>IF($B1892="","",IF(AND($AG1892&lt;&gt;"",$AI1892="",$AL1892=""),"保留中",IF($AL1892&lt;&gt;"",IF(N($AE1892)&gt;0,"支給済","不支給"),IF($AE1892="","要確認",IF($AE1892=0,"不支給","未処理")))))</f>
        <v/>
      </c>
      <c r="AG1892" s="12" t="n"/>
      <c r="AH1892" s="11" t="n"/>
      <c r="AI1892" s="11" t="n"/>
      <c r="AJ1892" s="11" t="n"/>
      <c r="AK1892" s="14">
        <f>IF(AND($AF1892="保留中",$AH1892&lt;&gt;""),TODAY()-$AH1892,"")</f>
        <v/>
      </c>
      <c r="AL1892" s="12" t="n"/>
      <c r="AM1892" s="14">
        <f>IF($B1892="","",IF($AQ1892="","対象年月が未入力／","")&amp;IF($B1892="","",IF($AP1892="","職員マスタに未登録の職員番号／",IF($AA1892="","標準報酬月額が未登録／","")&amp;IF(AND($AQ1892&lt;&gt;"",OR(AND(INDEX(職員マスタ!$G$6:$G$405,$AP1892)&lt;&gt;"",INDEX(職員マスタ!$G$6:$G$405,$AP1892)&gt;EOMONTH($AQ1892,0)),AND(INDEX(職員マスタ!$H$6:$H$405,$AP1892)&lt;&gt;"",INDEX(職員マスタ!$H$6:$H$405,$AP1892)&lt;$AQ1892))),"対象月が時短期間外／","")&amp;IF(AND(INDEX(職員マスタ!$K$6:$K$405,$AP1892)&lt;&gt;"",N($W1892)&gt;0,INDEX(職員マスタ!$K$6:$K$405,$AP1892)&lt;&gt;$W1892),"標準報酬月額が申請書と相違（台帳"&amp;TEXT(INDEX(職員マスタ!$K$6:$K$405,$AP1892),"#,##0")&amp;"円／申請書"&amp;TEXT($W1892,"#,##0")&amp;"円）／","")&amp;IF(AND(INDEX(職員マスタ!$F$6:$F$405,$AP1892)&lt;&gt;"",$AQ1892&lt;&gt;"",INDEX(職員マスタ!$F$6:$F$405,$AP1892)&lt;$AQ1892),"対象月に子が2歳到達済／","")&amp;IF(AND($H1892&lt;&gt;"",INDEX(職員マスタ!$B$6:$B$405,$AP1892)&lt;&gt;"",SUBSTITUTE(SUBSTITUTE($H1892," ","")," ","")&lt;&gt;SUBSTITUTE(SUBSTITUTE(INDEX(職員マスタ!$B$6:$B$405,$AP1892)," ","")," ","")),"氏名がマスタと相違／","")&amp;IF(AND($Q1892&lt;&gt;"",INDEX(職員マスタ!$E$6:$E$405,$AP1892)&lt;&gt;"",$Q1892&lt;&gt;INDEX(職員マスタ!$E$6:$E$405,$AP1892)),"子の生年月日がマスタと相違／","")&amp;IF(AND($L1892&lt;&gt;"",INDEX(職員マスタ!$G$6:$G$405,$AP1892)&lt;&gt;"",$L1892&lt;&gt;INDEX(職員マスタ!$G$6:$G$405,$AP1892)),"時短開始日がマスタと相違／","")&amp;IF(AND($M1892&lt;&gt;"",INDEX(職員マスタ!$H$6:$H$405,$AP1892)&lt;&gt;"",$M1892&lt;&gt;INDEX(職員マスタ!$H$6:$H$405,$AP1892)),"時短終了日がマスタと相違／","")))&amp;IF(AND($B1892&lt;&gt;"",$E1892=""),"報酬額が未入力／","")&amp;IF(N($U1892)&gt;0,"申請書に入力エラーが残っています／","")&amp;IF(AND($B1892&lt;&gt;"",$AQ1892&lt;&gt;""),IF(COUNTIFS($B$6:$B$3005,$B1892,$C$6:$C$3005,$C1892,$D$6:$D$3005,$D1892)&gt;1,"同じ月の請求が重複しています／",""),"")&amp;IF(AND(N($E1892)&gt;0,$AB1892&lt;&gt;"",$AB1892&lt;&gt;"×",$AE1892=0,$AD1892=""),"計算額が下限以下のため不支給／",""))</f>
        <v/>
      </c>
      <c r="AN1892" s="12" t="n"/>
      <c r="AO1892" s="14">
        <f>IF($AF1892="保留中",COUNTIF($AF$6:$AF1892,"保留中"),"")</f>
        <v/>
      </c>
      <c r="AP1892" s="14">
        <f>IF($AQ1892="","",IF(SUMPRODUCT(MAX((職員マスタ!$A$6:$A$405=$B1892)*(((職員マスタ!$G$6:$G$405="")+(職員マスタ!$G$6:$G$405&lt;=EOMONTH($AQ1892,0)))&gt;0)*(((職員マスタ!$H$6:$H$405="")+(職員マスタ!$H$6:$H$405&gt;=$AQ1892))&gt;0)*(ROW(職員マスタ!$A$6:$A$405)-5)))&gt;0,SUMPRODUCT(MAX((職員マスタ!$A$6:$A$405=$B1892)*(((職員マスタ!$G$6:$G$405="")+(職員マスタ!$G$6:$G$405&lt;=EOMONTH($AQ1892,0)))&gt;0)*(((職員マスタ!$H$6:$H$405="")+(職員マスタ!$H$6:$H$405&gt;=$AQ1892))&gt;0)*(ROW(職員マスタ!$A$6:$A$405)-5))),IFERROR(MATCH($B1892,職員マスタ!$A$6:$A$405,0),"")))</f>
        <v/>
      </c>
      <c r="AQ1892" s="16">
        <f>IF(OR($B1892="",$C1892="",$D1892=""),"",DATE($C1892+2018,$D1892,1))</f>
        <v/>
      </c>
    </row>
    <row r="1893">
      <c r="A1893" s="11" t="n"/>
      <c r="B1893" s="12" t="n"/>
      <c r="C1893" s="12" t="n"/>
      <c r="D1893" s="12" t="n"/>
      <c r="E1893" s="13" t="n"/>
      <c r="F1893" s="12" t="n"/>
      <c r="G1893" s="13" t="n"/>
      <c r="H1893" s="12" t="n"/>
      <c r="I1893" s="12" t="n"/>
      <c r="J1893" s="12" t="n"/>
      <c r="K1893" s="12" t="n"/>
      <c r="L1893" s="11" t="n"/>
      <c r="M1893" s="11" t="n"/>
      <c r="N1893" s="11" t="n"/>
      <c r="O1893" s="11" t="n"/>
      <c r="P1893" s="12" t="n"/>
      <c r="Q1893" s="11" t="n"/>
      <c r="R1893" s="12" t="n"/>
      <c r="S1893" s="11" t="n"/>
      <c r="T1893" s="12" t="n"/>
      <c r="U1893" s="12" t="n"/>
      <c r="V1893" s="12" t="n"/>
      <c r="W1893" s="13" t="n"/>
      <c r="X1893" s="14">
        <f>IF($AP1893="",IF($B1893="","",$H1893),IF(INDEX(職員マスタ!$B$6:$B$405,$AP1893)="",$H1893,INDEX(職員マスタ!$B$6:$B$405,$AP1893)))</f>
        <v/>
      </c>
      <c r="Y1893" s="14">
        <f>IF($AP1893="",IF($B1893="","",$R1893),IF(INDEX(職員マスタ!$C$6:$C$405,$AP1893)="",$R1893,INDEX(職員マスタ!$C$6:$C$405,$AP1893)))</f>
        <v/>
      </c>
      <c r="Z1893" s="14">
        <f>IF($AQ1893="","","R"&amp;$C1893&amp;"."&amp;$D1893)</f>
        <v/>
      </c>
      <c r="AA1893" s="15">
        <f>IF(IF($AP1893="",FALSE,INDEX(職員マスタ!$K$6:$K$405,$AP1893)&lt;&gt;""),INDEX(職員マスタ!$K$6:$K$405,$AP1893),IF(N($W1893)&gt;0,$W1893,""))</f>
        <v/>
      </c>
      <c r="AB1893" s="14">
        <f>IF(OR($E1893="",$AA1893=""),"",IF($E1893&gt;=$AA1893,"×",IF($E1893&gt;=$AA1893*設定!$C$5,"△","○")))</f>
        <v/>
      </c>
      <c r="AC1893" s="15">
        <f>IF($AB1893="","",IF($AB1893="×",0,IF($AB1893="○",ROUNDDOWN($E1893*設定!$C$4,0),ROUNDDOWN($E1893*ROUND((9*$AA1893-9*$E1893)/(10*$E1893),4),0))))</f>
        <v/>
      </c>
      <c r="AD1893" s="13" t="n"/>
      <c r="AE1893" s="15">
        <f>IF($B1893="","",IF($AD1893&lt;&gt;"",$AD1893,IF($AC1893="","",IF($AC1893&lt;=設定!$C$3,0,$AC1893))))</f>
        <v/>
      </c>
      <c r="AF1893" s="14">
        <f>IF($B1893="","",IF(AND($AG1893&lt;&gt;"",$AI1893="",$AL1893=""),"保留中",IF($AL1893&lt;&gt;"",IF(N($AE1893)&gt;0,"支給済","不支給"),IF($AE1893="","要確認",IF($AE1893=0,"不支給","未処理")))))</f>
        <v/>
      </c>
      <c r="AG1893" s="12" t="n"/>
      <c r="AH1893" s="11" t="n"/>
      <c r="AI1893" s="11" t="n"/>
      <c r="AJ1893" s="11" t="n"/>
      <c r="AK1893" s="14">
        <f>IF(AND($AF1893="保留中",$AH1893&lt;&gt;""),TODAY()-$AH1893,"")</f>
        <v/>
      </c>
      <c r="AL1893" s="12" t="n"/>
      <c r="AM1893" s="14">
        <f>IF($B1893="","",IF($AQ1893="","対象年月が未入力／","")&amp;IF($B1893="","",IF($AP1893="","職員マスタに未登録の職員番号／",IF($AA1893="","標準報酬月額が未登録／","")&amp;IF(AND($AQ1893&lt;&gt;"",OR(AND(INDEX(職員マスタ!$G$6:$G$405,$AP1893)&lt;&gt;"",INDEX(職員マスタ!$G$6:$G$405,$AP1893)&gt;EOMONTH($AQ1893,0)),AND(INDEX(職員マスタ!$H$6:$H$405,$AP1893)&lt;&gt;"",INDEX(職員マスタ!$H$6:$H$405,$AP1893)&lt;$AQ1893))),"対象月が時短期間外／","")&amp;IF(AND(INDEX(職員マスタ!$K$6:$K$405,$AP1893)&lt;&gt;"",N($W1893)&gt;0,INDEX(職員マスタ!$K$6:$K$405,$AP1893)&lt;&gt;$W1893),"標準報酬月額が申請書と相違（台帳"&amp;TEXT(INDEX(職員マスタ!$K$6:$K$405,$AP1893),"#,##0")&amp;"円／申請書"&amp;TEXT($W1893,"#,##0")&amp;"円）／","")&amp;IF(AND(INDEX(職員マスタ!$F$6:$F$405,$AP1893)&lt;&gt;"",$AQ1893&lt;&gt;"",INDEX(職員マスタ!$F$6:$F$405,$AP1893)&lt;$AQ1893),"対象月に子が2歳到達済／","")&amp;IF(AND($H1893&lt;&gt;"",INDEX(職員マスタ!$B$6:$B$405,$AP1893)&lt;&gt;"",SUBSTITUTE(SUBSTITUTE($H1893," ","")," ","")&lt;&gt;SUBSTITUTE(SUBSTITUTE(INDEX(職員マスタ!$B$6:$B$405,$AP1893)," ","")," ","")),"氏名がマスタと相違／","")&amp;IF(AND($Q1893&lt;&gt;"",INDEX(職員マスタ!$E$6:$E$405,$AP1893)&lt;&gt;"",$Q1893&lt;&gt;INDEX(職員マスタ!$E$6:$E$405,$AP1893)),"子の生年月日がマスタと相違／","")&amp;IF(AND($L1893&lt;&gt;"",INDEX(職員マスタ!$G$6:$G$405,$AP1893)&lt;&gt;"",$L1893&lt;&gt;INDEX(職員マスタ!$G$6:$G$405,$AP1893)),"時短開始日がマスタと相違／","")&amp;IF(AND($M1893&lt;&gt;"",INDEX(職員マスタ!$H$6:$H$405,$AP1893)&lt;&gt;"",$M1893&lt;&gt;INDEX(職員マスタ!$H$6:$H$405,$AP1893)),"時短終了日がマスタと相違／","")))&amp;IF(AND($B1893&lt;&gt;"",$E1893=""),"報酬額が未入力／","")&amp;IF(N($U1893)&gt;0,"申請書に入力エラーが残っています／","")&amp;IF(AND($B1893&lt;&gt;"",$AQ1893&lt;&gt;""),IF(COUNTIFS($B$6:$B$3005,$B1893,$C$6:$C$3005,$C1893,$D$6:$D$3005,$D1893)&gt;1,"同じ月の請求が重複しています／",""),"")&amp;IF(AND(N($E1893)&gt;0,$AB1893&lt;&gt;"",$AB1893&lt;&gt;"×",$AE1893=0,$AD1893=""),"計算額が下限以下のため不支給／",""))</f>
        <v/>
      </c>
      <c r="AN1893" s="12" t="n"/>
      <c r="AO1893" s="14">
        <f>IF($AF1893="保留中",COUNTIF($AF$6:$AF1893,"保留中"),"")</f>
        <v/>
      </c>
      <c r="AP1893" s="14">
        <f>IF($AQ1893="","",IF(SUMPRODUCT(MAX((職員マスタ!$A$6:$A$405=$B1893)*(((職員マスタ!$G$6:$G$405="")+(職員マスタ!$G$6:$G$405&lt;=EOMONTH($AQ1893,0)))&gt;0)*(((職員マスタ!$H$6:$H$405="")+(職員マスタ!$H$6:$H$405&gt;=$AQ1893))&gt;0)*(ROW(職員マスタ!$A$6:$A$405)-5)))&gt;0,SUMPRODUCT(MAX((職員マスタ!$A$6:$A$405=$B1893)*(((職員マスタ!$G$6:$G$405="")+(職員マスタ!$G$6:$G$405&lt;=EOMONTH($AQ1893,0)))&gt;0)*(((職員マスタ!$H$6:$H$405="")+(職員マスタ!$H$6:$H$405&gt;=$AQ1893))&gt;0)*(ROW(職員マスタ!$A$6:$A$405)-5))),IFERROR(MATCH($B1893,職員マスタ!$A$6:$A$405,0),"")))</f>
        <v/>
      </c>
      <c r="AQ1893" s="16">
        <f>IF(OR($B1893="",$C1893="",$D1893=""),"",DATE($C1893+2018,$D1893,1))</f>
        <v/>
      </c>
    </row>
    <row r="1894">
      <c r="A1894" s="11" t="n"/>
      <c r="B1894" s="12" t="n"/>
      <c r="C1894" s="12" t="n"/>
      <c r="D1894" s="12" t="n"/>
      <c r="E1894" s="13" t="n"/>
      <c r="F1894" s="12" t="n"/>
      <c r="G1894" s="13" t="n"/>
      <c r="H1894" s="12" t="n"/>
      <c r="I1894" s="12" t="n"/>
      <c r="J1894" s="12" t="n"/>
      <c r="K1894" s="12" t="n"/>
      <c r="L1894" s="11" t="n"/>
      <c r="M1894" s="11" t="n"/>
      <c r="N1894" s="11" t="n"/>
      <c r="O1894" s="11" t="n"/>
      <c r="P1894" s="12" t="n"/>
      <c r="Q1894" s="11" t="n"/>
      <c r="R1894" s="12" t="n"/>
      <c r="S1894" s="11" t="n"/>
      <c r="T1894" s="12" t="n"/>
      <c r="U1894" s="12" t="n"/>
      <c r="V1894" s="12" t="n"/>
      <c r="W1894" s="13" t="n"/>
      <c r="X1894" s="14">
        <f>IF($AP1894="",IF($B1894="","",$H1894),IF(INDEX(職員マスタ!$B$6:$B$405,$AP1894)="",$H1894,INDEX(職員マスタ!$B$6:$B$405,$AP1894)))</f>
        <v/>
      </c>
      <c r="Y1894" s="14">
        <f>IF($AP1894="",IF($B1894="","",$R1894),IF(INDEX(職員マスタ!$C$6:$C$405,$AP1894)="",$R1894,INDEX(職員マスタ!$C$6:$C$405,$AP1894)))</f>
        <v/>
      </c>
      <c r="Z1894" s="14">
        <f>IF($AQ1894="","","R"&amp;$C1894&amp;"."&amp;$D1894)</f>
        <v/>
      </c>
      <c r="AA1894" s="15">
        <f>IF(IF($AP1894="",FALSE,INDEX(職員マスタ!$K$6:$K$405,$AP1894)&lt;&gt;""),INDEX(職員マスタ!$K$6:$K$405,$AP1894),IF(N($W1894)&gt;0,$W1894,""))</f>
        <v/>
      </c>
      <c r="AB1894" s="14">
        <f>IF(OR($E1894="",$AA1894=""),"",IF($E1894&gt;=$AA1894,"×",IF($E1894&gt;=$AA1894*設定!$C$5,"△","○")))</f>
        <v/>
      </c>
      <c r="AC1894" s="15">
        <f>IF($AB1894="","",IF($AB1894="×",0,IF($AB1894="○",ROUNDDOWN($E1894*設定!$C$4,0),ROUNDDOWN($E1894*ROUND((9*$AA1894-9*$E1894)/(10*$E1894),4),0))))</f>
        <v/>
      </c>
      <c r="AD1894" s="13" t="n"/>
      <c r="AE1894" s="15">
        <f>IF($B1894="","",IF($AD1894&lt;&gt;"",$AD1894,IF($AC1894="","",IF($AC1894&lt;=設定!$C$3,0,$AC1894))))</f>
        <v/>
      </c>
      <c r="AF1894" s="14">
        <f>IF($B1894="","",IF(AND($AG1894&lt;&gt;"",$AI1894="",$AL1894=""),"保留中",IF($AL1894&lt;&gt;"",IF(N($AE1894)&gt;0,"支給済","不支給"),IF($AE1894="","要確認",IF($AE1894=0,"不支給","未処理")))))</f>
        <v/>
      </c>
      <c r="AG1894" s="12" t="n"/>
      <c r="AH1894" s="11" t="n"/>
      <c r="AI1894" s="11" t="n"/>
      <c r="AJ1894" s="11" t="n"/>
      <c r="AK1894" s="14">
        <f>IF(AND($AF1894="保留中",$AH1894&lt;&gt;""),TODAY()-$AH1894,"")</f>
        <v/>
      </c>
      <c r="AL1894" s="12" t="n"/>
      <c r="AM1894" s="14">
        <f>IF($B1894="","",IF($AQ1894="","対象年月が未入力／","")&amp;IF($B1894="","",IF($AP1894="","職員マスタに未登録の職員番号／",IF($AA1894="","標準報酬月額が未登録／","")&amp;IF(AND($AQ1894&lt;&gt;"",OR(AND(INDEX(職員マスタ!$G$6:$G$405,$AP1894)&lt;&gt;"",INDEX(職員マスタ!$G$6:$G$405,$AP1894)&gt;EOMONTH($AQ1894,0)),AND(INDEX(職員マスタ!$H$6:$H$405,$AP1894)&lt;&gt;"",INDEX(職員マスタ!$H$6:$H$405,$AP1894)&lt;$AQ1894))),"対象月が時短期間外／","")&amp;IF(AND(INDEX(職員マスタ!$K$6:$K$405,$AP1894)&lt;&gt;"",N($W1894)&gt;0,INDEX(職員マスタ!$K$6:$K$405,$AP1894)&lt;&gt;$W1894),"標準報酬月額が申請書と相違（台帳"&amp;TEXT(INDEX(職員マスタ!$K$6:$K$405,$AP1894),"#,##0")&amp;"円／申請書"&amp;TEXT($W1894,"#,##0")&amp;"円）／","")&amp;IF(AND(INDEX(職員マスタ!$F$6:$F$405,$AP1894)&lt;&gt;"",$AQ1894&lt;&gt;"",INDEX(職員マスタ!$F$6:$F$405,$AP1894)&lt;$AQ1894),"対象月に子が2歳到達済／","")&amp;IF(AND($H1894&lt;&gt;"",INDEX(職員マスタ!$B$6:$B$405,$AP1894)&lt;&gt;"",SUBSTITUTE(SUBSTITUTE($H1894," ","")," ","")&lt;&gt;SUBSTITUTE(SUBSTITUTE(INDEX(職員マスタ!$B$6:$B$405,$AP1894)," ","")," ","")),"氏名がマスタと相違／","")&amp;IF(AND($Q1894&lt;&gt;"",INDEX(職員マスタ!$E$6:$E$405,$AP1894)&lt;&gt;"",$Q1894&lt;&gt;INDEX(職員マスタ!$E$6:$E$405,$AP1894)),"子の生年月日がマスタと相違／","")&amp;IF(AND($L1894&lt;&gt;"",INDEX(職員マスタ!$G$6:$G$405,$AP1894)&lt;&gt;"",$L1894&lt;&gt;INDEX(職員マスタ!$G$6:$G$405,$AP1894)),"時短開始日がマスタと相違／","")&amp;IF(AND($M1894&lt;&gt;"",INDEX(職員マスタ!$H$6:$H$405,$AP1894)&lt;&gt;"",$M1894&lt;&gt;INDEX(職員マスタ!$H$6:$H$405,$AP1894)),"時短終了日がマスタと相違／","")))&amp;IF(AND($B1894&lt;&gt;"",$E1894=""),"報酬額が未入力／","")&amp;IF(N($U1894)&gt;0,"申請書に入力エラーが残っています／","")&amp;IF(AND($B1894&lt;&gt;"",$AQ1894&lt;&gt;""),IF(COUNTIFS($B$6:$B$3005,$B1894,$C$6:$C$3005,$C1894,$D$6:$D$3005,$D1894)&gt;1,"同じ月の請求が重複しています／",""),"")&amp;IF(AND(N($E1894)&gt;0,$AB1894&lt;&gt;"",$AB1894&lt;&gt;"×",$AE1894=0,$AD1894=""),"計算額が下限以下のため不支給／",""))</f>
        <v/>
      </c>
      <c r="AN1894" s="12" t="n"/>
      <c r="AO1894" s="14">
        <f>IF($AF1894="保留中",COUNTIF($AF$6:$AF1894,"保留中"),"")</f>
        <v/>
      </c>
      <c r="AP1894" s="14">
        <f>IF($AQ1894="","",IF(SUMPRODUCT(MAX((職員マスタ!$A$6:$A$405=$B1894)*(((職員マスタ!$G$6:$G$405="")+(職員マスタ!$G$6:$G$405&lt;=EOMONTH($AQ1894,0)))&gt;0)*(((職員マスタ!$H$6:$H$405="")+(職員マスタ!$H$6:$H$405&gt;=$AQ1894))&gt;0)*(ROW(職員マスタ!$A$6:$A$405)-5)))&gt;0,SUMPRODUCT(MAX((職員マスタ!$A$6:$A$405=$B1894)*(((職員マスタ!$G$6:$G$405="")+(職員マスタ!$G$6:$G$405&lt;=EOMONTH($AQ1894,0)))&gt;0)*(((職員マスタ!$H$6:$H$405="")+(職員マスタ!$H$6:$H$405&gt;=$AQ1894))&gt;0)*(ROW(職員マスタ!$A$6:$A$405)-5))),IFERROR(MATCH($B1894,職員マスタ!$A$6:$A$405,0),"")))</f>
        <v/>
      </c>
      <c r="AQ1894" s="16">
        <f>IF(OR($B1894="",$C1894="",$D1894=""),"",DATE($C1894+2018,$D1894,1))</f>
        <v/>
      </c>
    </row>
    <row r="1895">
      <c r="A1895" s="11" t="n"/>
      <c r="B1895" s="12" t="n"/>
      <c r="C1895" s="12" t="n"/>
      <c r="D1895" s="12" t="n"/>
      <c r="E1895" s="13" t="n"/>
      <c r="F1895" s="12" t="n"/>
      <c r="G1895" s="13" t="n"/>
      <c r="H1895" s="12" t="n"/>
      <c r="I1895" s="12" t="n"/>
      <c r="J1895" s="12" t="n"/>
      <c r="K1895" s="12" t="n"/>
      <c r="L1895" s="11" t="n"/>
      <c r="M1895" s="11" t="n"/>
      <c r="N1895" s="11" t="n"/>
      <c r="O1895" s="11" t="n"/>
      <c r="P1895" s="12" t="n"/>
      <c r="Q1895" s="11" t="n"/>
      <c r="R1895" s="12" t="n"/>
      <c r="S1895" s="11" t="n"/>
      <c r="T1895" s="12" t="n"/>
      <c r="U1895" s="12" t="n"/>
      <c r="V1895" s="12" t="n"/>
      <c r="W1895" s="13" t="n"/>
      <c r="X1895" s="14">
        <f>IF($AP1895="",IF($B1895="","",$H1895),IF(INDEX(職員マスタ!$B$6:$B$405,$AP1895)="",$H1895,INDEX(職員マスタ!$B$6:$B$405,$AP1895)))</f>
        <v/>
      </c>
      <c r="Y1895" s="14">
        <f>IF($AP1895="",IF($B1895="","",$R1895),IF(INDEX(職員マスタ!$C$6:$C$405,$AP1895)="",$R1895,INDEX(職員マスタ!$C$6:$C$405,$AP1895)))</f>
        <v/>
      </c>
      <c r="Z1895" s="14">
        <f>IF($AQ1895="","","R"&amp;$C1895&amp;"."&amp;$D1895)</f>
        <v/>
      </c>
      <c r="AA1895" s="15">
        <f>IF(IF($AP1895="",FALSE,INDEX(職員マスタ!$K$6:$K$405,$AP1895)&lt;&gt;""),INDEX(職員マスタ!$K$6:$K$405,$AP1895),IF(N($W1895)&gt;0,$W1895,""))</f>
        <v/>
      </c>
      <c r="AB1895" s="14">
        <f>IF(OR($E1895="",$AA1895=""),"",IF($E1895&gt;=$AA1895,"×",IF($E1895&gt;=$AA1895*設定!$C$5,"△","○")))</f>
        <v/>
      </c>
      <c r="AC1895" s="15">
        <f>IF($AB1895="","",IF($AB1895="×",0,IF($AB1895="○",ROUNDDOWN($E1895*設定!$C$4,0),ROUNDDOWN($E1895*ROUND((9*$AA1895-9*$E1895)/(10*$E1895),4),0))))</f>
        <v/>
      </c>
      <c r="AD1895" s="13" t="n"/>
      <c r="AE1895" s="15">
        <f>IF($B1895="","",IF($AD1895&lt;&gt;"",$AD1895,IF($AC1895="","",IF($AC1895&lt;=設定!$C$3,0,$AC1895))))</f>
        <v/>
      </c>
      <c r="AF1895" s="14">
        <f>IF($B1895="","",IF(AND($AG1895&lt;&gt;"",$AI1895="",$AL1895=""),"保留中",IF($AL1895&lt;&gt;"",IF(N($AE1895)&gt;0,"支給済","不支給"),IF($AE1895="","要確認",IF($AE1895=0,"不支給","未処理")))))</f>
        <v/>
      </c>
      <c r="AG1895" s="12" t="n"/>
      <c r="AH1895" s="11" t="n"/>
      <c r="AI1895" s="11" t="n"/>
      <c r="AJ1895" s="11" t="n"/>
      <c r="AK1895" s="14">
        <f>IF(AND($AF1895="保留中",$AH1895&lt;&gt;""),TODAY()-$AH1895,"")</f>
        <v/>
      </c>
      <c r="AL1895" s="12" t="n"/>
      <c r="AM1895" s="14">
        <f>IF($B1895="","",IF($AQ1895="","対象年月が未入力／","")&amp;IF($B1895="","",IF($AP1895="","職員マスタに未登録の職員番号／",IF($AA1895="","標準報酬月額が未登録／","")&amp;IF(AND($AQ1895&lt;&gt;"",OR(AND(INDEX(職員マスタ!$G$6:$G$405,$AP1895)&lt;&gt;"",INDEX(職員マスタ!$G$6:$G$405,$AP1895)&gt;EOMONTH($AQ1895,0)),AND(INDEX(職員マスタ!$H$6:$H$405,$AP1895)&lt;&gt;"",INDEX(職員マスタ!$H$6:$H$405,$AP1895)&lt;$AQ1895))),"対象月が時短期間外／","")&amp;IF(AND(INDEX(職員マスタ!$K$6:$K$405,$AP1895)&lt;&gt;"",N($W1895)&gt;0,INDEX(職員マスタ!$K$6:$K$405,$AP1895)&lt;&gt;$W1895),"標準報酬月額が申請書と相違（台帳"&amp;TEXT(INDEX(職員マスタ!$K$6:$K$405,$AP1895),"#,##0")&amp;"円／申請書"&amp;TEXT($W1895,"#,##0")&amp;"円）／","")&amp;IF(AND(INDEX(職員マスタ!$F$6:$F$405,$AP1895)&lt;&gt;"",$AQ1895&lt;&gt;"",INDEX(職員マスタ!$F$6:$F$405,$AP1895)&lt;$AQ1895),"対象月に子が2歳到達済／","")&amp;IF(AND($H1895&lt;&gt;"",INDEX(職員マスタ!$B$6:$B$405,$AP1895)&lt;&gt;"",SUBSTITUTE(SUBSTITUTE($H1895," ","")," ","")&lt;&gt;SUBSTITUTE(SUBSTITUTE(INDEX(職員マスタ!$B$6:$B$405,$AP1895)," ","")," ","")),"氏名がマスタと相違／","")&amp;IF(AND($Q1895&lt;&gt;"",INDEX(職員マスタ!$E$6:$E$405,$AP1895)&lt;&gt;"",$Q1895&lt;&gt;INDEX(職員マスタ!$E$6:$E$405,$AP1895)),"子の生年月日がマスタと相違／","")&amp;IF(AND($L1895&lt;&gt;"",INDEX(職員マスタ!$G$6:$G$405,$AP1895)&lt;&gt;"",$L1895&lt;&gt;INDEX(職員マスタ!$G$6:$G$405,$AP1895)),"時短開始日がマスタと相違／","")&amp;IF(AND($M1895&lt;&gt;"",INDEX(職員マスタ!$H$6:$H$405,$AP1895)&lt;&gt;"",$M1895&lt;&gt;INDEX(職員マスタ!$H$6:$H$405,$AP1895)),"時短終了日がマスタと相違／","")))&amp;IF(AND($B1895&lt;&gt;"",$E1895=""),"報酬額が未入力／","")&amp;IF(N($U1895)&gt;0,"申請書に入力エラーが残っています／","")&amp;IF(AND($B1895&lt;&gt;"",$AQ1895&lt;&gt;""),IF(COUNTIFS($B$6:$B$3005,$B1895,$C$6:$C$3005,$C1895,$D$6:$D$3005,$D1895)&gt;1,"同じ月の請求が重複しています／",""),"")&amp;IF(AND(N($E1895)&gt;0,$AB1895&lt;&gt;"",$AB1895&lt;&gt;"×",$AE1895=0,$AD1895=""),"計算額が下限以下のため不支給／",""))</f>
        <v/>
      </c>
      <c r="AN1895" s="12" t="n"/>
      <c r="AO1895" s="14">
        <f>IF($AF1895="保留中",COUNTIF($AF$6:$AF1895,"保留中"),"")</f>
        <v/>
      </c>
      <c r="AP1895" s="14">
        <f>IF($AQ1895="","",IF(SUMPRODUCT(MAX((職員マスタ!$A$6:$A$405=$B1895)*(((職員マスタ!$G$6:$G$405="")+(職員マスタ!$G$6:$G$405&lt;=EOMONTH($AQ1895,0)))&gt;0)*(((職員マスタ!$H$6:$H$405="")+(職員マスタ!$H$6:$H$405&gt;=$AQ1895))&gt;0)*(ROW(職員マスタ!$A$6:$A$405)-5)))&gt;0,SUMPRODUCT(MAX((職員マスタ!$A$6:$A$405=$B1895)*(((職員マスタ!$G$6:$G$405="")+(職員マスタ!$G$6:$G$405&lt;=EOMONTH($AQ1895,0)))&gt;0)*(((職員マスタ!$H$6:$H$405="")+(職員マスタ!$H$6:$H$405&gt;=$AQ1895))&gt;0)*(ROW(職員マスタ!$A$6:$A$405)-5))),IFERROR(MATCH($B1895,職員マスタ!$A$6:$A$405,0),"")))</f>
        <v/>
      </c>
      <c r="AQ1895" s="16">
        <f>IF(OR($B1895="",$C1895="",$D1895=""),"",DATE($C1895+2018,$D1895,1))</f>
        <v/>
      </c>
    </row>
    <row r="1896">
      <c r="A1896" s="11" t="n"/>
      <c r="B1896" s="12" t="n"/>
      <c r="C1896" s="12" t="n"/>
      <c r="D1896" s="12" t="n"/>
      <c r="E1896" s="13" t="n"/>
      <c r="F1896" s="12" t="n"/>
      <c r="G1896" s="13" t="n"/>
      <c r="H1896" s="12" t="n"/>
      <c r="I1896" s="12" t="n"/>
      <c r="J1896" s="12" t="n"/>
      <c r="K1896" s="12" t="n"/>
      <c r="L1896" s="11" t="n"/>
      <c r="M1896" s="11" t="n"/>
      <c r="N1896" s="11" t="n"/>
      <c r="O1896" s="11" t="n"/>
      <c r="P1896" s="12" t="n"/>
      <c r="Q1896" s="11" t="n"/>
      <c r="R1896" s="12" t="n"/>
      <c r="S1896" s="11" t="n"/>
      <c r="T1896" s="12" t="n"/>
      <c r="U1896" s="12" t="n"/>
      <c r="V1896" s="12" t="n"/>
      <c r="W1896" s="13" t="n"/>
      <c r="X1896" s="14">
        <f>IF($AP1896="",IF($B1896="","",$H1896),IF(INDEX(職員マスタ!$B$6:$B$405,$AP1896)="",$H1896,INDEX(職員マスタ!$B$6:$B$405,$AP1896)))</f>
        <v/>
      </c>
      <c r="Y1896" s="14">
        <f>IF($AP1896="",IF($B1896="","",$R1896),IF(INDEX(職員マスタ!$C$6:$C$405,$AP1896)="",$R1896,INDEX(職員マスタ!$C$6:$C$405,$AP1896)))</f>
        <v/>
      </c>
      <c r="Z1896" s="14">
        <f>IF($AQ1896="","","R"&amp;$C1896&amp;"."&amp;$D1896)</f>
        <v/>
      </c>
      <c r="AA1896" s="15">
        <f>IF(IF($AP1896="",FALSE,INDEX(職員マスタ!$K$6:$K$405,$AP1896)&lt;&gt;""),INDEX(職員マスタ!$K$6:$K$405,$AP1896),IF(N($W1896)&gt;0,$W1896,""))</f>
        <v/>
      </c>
      <c r="AB1896" s="14">
        <f>IF(OR($E1896="",$AA1896=""),"",IF($E1896&gt;=$AA1896,"×",IF($E1896&gt;=$AA1896*設定!$C$5,"△","○")))</f>
        <v/>
      </c>
      <c r="AC1896" s="15">
        <f>IF($AB1896="","",IF($AB1896="×",0,IF($AB1896="○",ROUNDDOWN($E1896*設定!$C$4,0),ROUNDDOWN($E1896*ROUND((9*$AA1896-9*$E1896)/(10*$E1896),4),0))))</f>
        <v/>
      </c>
      <c r="AD1896" s="13" t="n"/>
      <c r="AE1896" s="15">
        <f>IF($B1896="","",IF($AD1896&lt;&gt;"",$AD1896,IF($AC1896="","",IF($AC1896&lt;=設定!$C$3,0,$AC1896))))</f>
        <v/>
      </c>
      <c r="AF1896" s="14">
        <f>IF($B1896="","",IF(AND($AG1896&lt;&gt;"",$AI1896="",$AL1896=""),"保留中",IF($AL1896&lt;&gt;"",IF(N($AE1896)&gt;0,"支給済","不支給"),IF($AE1896="","要確認",IF($AE1896=0,"不支給","未処理")))))</f>
        <v/>
      </c>
      <c r="AG1896" s="12" t="n"/>
      <c r="AH1896" s="11" t="n"/>
      <c r="AI1896" s="11" t="n"/>
      <c r="AJ1896" s="11" t="n"/>
      <c r="AK1896" s="14">
        <f>IF(AND($AF1896="保留中",$AH1896&lt;&gt;""),TODAY()-$AH1896,"")</f>
        <v/>
      </c>
      <c r="AL1896" s="12" t="n"/>
      <c r="AM1896" s="14">
        <f>IF($B1896="","",IF($AQ1896="","対象年月が未入力／","")&amp;IF($B1896="","",IF($AP1896="","職員マスタに未登録の職員番号／",IF($AA1896="","標準報酬月額が未登録／","")&amp;IF(AND($AQ1896&lt;&gt;"",OR(AND(INDEX(職員マスタ!$G$6:$G$405,$AP1896)&lt;&gt;"",INDEX(職員マスタ!$G$6:$G$405,$AP1896)&gt;EOMONTH($AQ1896,0)),AND(INDEX(職員マスタ!$H$6:$H$405,$AP1896)&lt;&gt;"",INDEX(職員マスタ!$H$6:$H$405,$AP1896)&lt;$AQ1896))),"対象月が時短期間外／","")&amp;IF(AND(INDEX(職員マスタ!$K$6:$K$405,$AP1896)&lt;&gt;"",N($W1896)&gt;0,INDEX(職員マスタ!$K$6:$K$405,$AP1896)&lt;&gt;$W1896),"標準報酬月額が申請書と相違（台帳"&amp;TEXT(INDEX(職員マスタ!$K$6:$K$405,$AP1896),"#,##0")&amp;"円／申請書"&amp;TEXT($W1896,"#,##0")&amp;"円）／","")&amp;IF(AND(INDEX(職員マスタ!$F$6:$F$405,$AP1896)&lt;&gt;"",$AQ1896&lt;&gt;"",INDEX(職員マスタ!$F$6:$F$405,$AP1896)&lt;$AQ1896),"対象月に子が2歳到達済／","")&amp;IF(AND($H1896&lt;&gt;"",INDEX(職員マスタ!$B$6:$B$405,$AP1896)&lt;&gt;"",SUBSTITUTE(SUBSTITUTE($H1896," ","")," ","")&lt;&gt;SUBSTITUTE(SUBSTITUTE(INDEX(職員マスタ!$B$6:$B$405,$AP1896)," ","")," ","")),"氏名がマスタと相違／","")&amp;IF(AND($Q1896&lt;&gt;"",INDEX(職員マスタ!$E$6:$E$405,$AP1896)&lt;&gt;"",$Q1896&lt;&gt;INDEX(職員マスタ!$E$6:$E$405,$AP1896)),"子の生年月日がマスタと相違／","")&amp;IF(AND($L1896&lt;&gt;"",INDEX(職員マスタ!$G$6:$G$405,$AP1896)&lt;&gt;"",$L1896&lt;&gt;INDEX(職員マスタ!$G$6:$G$405,$AP1896)),"時短開始日がマスタと相違／","")&amp;IF(AND($M1896&lt;&gt;"",INDEX(職員マスタ!$H$6:$H$405,$AP1896)&lt;&gt;"",$M1896&lt;&gt;INDEX(職員マスタ!$H$6:$H$405,$AP1896)),"時短終了日がマスタと相違／","")))&amp;IF(AND($B1896&lt;&gt;"",$E1896=""),"報酬額が未入力／","")&amp;IF(N($U1896)&gt;0,"申請書に入力エラーが残っています／","")&amp;IF(AND($B1896&lt;&gt;"",$AQ1896&lt;&gt;""),IF(COUNTIFS($B$6:$B$3005,$B1896,$C$6:$C$3005,$C1896,$D$6:$D$3005,$D1896)&gt;1,"同じ月の請求が重複しています／",""),"")&amp;IF(AND(N($E1896)&gt;0,$AB1896&lt;&gt;"",$AB1896&lt;&gt;"×",$AE1896=0,$AD1896=""),"計算額が下限以下のため不支給／",""))</f>
        <v/>
      </c>
      <c r="AN1896" s="12" t="n"/>
      <c r="AO1896" s="14">
        <f>IF($AF1896="保留中",COUNTIF($AF$6:$AF1896,"保留中"),"")</f>
        <v/>
      </c>
      <c r="AP1896" s="14">
        <f>IF($AQ1896="","",IF(SUMPRODUCT(MAX((職員マスタ!$A$6:$A$405=$B1896)*(((職員マスタ!$G$6:$G$405="")+(職員マスタ!$G$6:$G$405&lt;=EOMONTH($AQ1896,0)))&gt;0)*(((職員マスタ!$H$6:$H$405="")+(職員マスタ!$H$6:$H$405&gt;=$AQ1896))&gt;0)*(ROW(職員マスタ!$A$6:$A$405)-5)))&gt;0,SUMPRODUCT(MAX((職員マスタ!$A$6:$A$405=$B1896)*(((職員マスタ!$G$6:$G$405="")+(職員マスタ!$G$6:$G$405&lt;=EOMONTH($AQ1896,0)))&gt;0)*(((職員マスタ!$H$6:$H$405="")+(職員マスタ!$H$6:$H$405&gt;=$AQ1896))&gt;0)*(ROW(職員マスタ!$A$6:$A$405)-5))),IFERROR(MATCH($B1896,職員マスタ!$A$6:$A$405,0),"")))</f>
        <v/>
      </c>
      <c r="AQ1896" s="16">
        <f>IF(OR($B1896="",$C1896="",$D1896=""),"",DATE($C1896+2018,$D1896,1))</f>
        <v/>
      </c>
    </row>
    <row r="1897">
      <c r="A1897" s="11" t="n"/>
      <c r="B1897" s="12" t="n"/>
      <c r="C1897" s="12" t="n"/>
      <c r="D1897" s="12" t="n"/>
      <c r="E1897" s="13" t="n"/>
      <c r="F1897" s="12" t="n"/>
      <c r="G1897" s="13" t="n"/>
      <c r="H1897" s="12" t="n"/>
      <c r="I1897" s="12" t="n"/>
      <c r="J1897" s="12" t="n"/>
      <c r="K1897" s="12" t="n"/>
      <c r="L1897" s="11" t="n"/>
      <c r="M1897" s="11" t="n"/>
      <c r="N1897" s="11" t="n"/>
      <c r="O1897" s="11" t="n"/>
      <c r="P1897" s="12" t="n"/>
      <c r="Q1897" s="11" t="n"/>
      <c r="R1897" s="12" t="n"/>
      <c r="S1897" s="11" t="n"/>
      <c r="T1897" s="12" t="n"/>
      <c r="U1897" s="12" t="n"/>
      <c r="V1897" s="12" t="n"/>
      <c r="W1897" s="13" t="n"/>
      <c r="X1897" s="14">
        <f>IF($AP1897="",IF($B1897="","",$H1897),IF(INDEX(職員マスタ!$B$6:$B$405,$AP1897)="",$H1897,INDEX(職員マスタ!$B$6:$B$405,$AP1897)))</f>
        <v/>
      </c>
      <c r="Y1897" s="14">
        <f>IF($AP1897="",IF($B1897="","",$R1897),IF(INDEX(職員マスタ!$C$6:$C$405,$AP1897)="",$R1897,INDEX(職員マスタ!$C$6:$C$405,$AP1897)))</f>
        <v/>
      </c>
      <c r="Z1897" s="14">
        <f>IF($AQ1897="","","R"&amp;$C1897&amp;"."&amp;$D1897)</f>
        <v/>
      </c>
      <c r="AA1897" s="15">
        <f>IF(IF($AP1897="",FALSE,INDEX(職員マスタ!$K$6:$K$405,$AP1897)&lt;&gt;""),INDEX(職員マスタ!$K$6:$K$405,$AP1897),IF(N($W1897)&gt;0,$W1897,""))</f>
        <v/>
      </c>
      <c r="AB1897" s="14">
        <f>IF(OR($E1897="",$AA1897=""),"",IF($E1897&gt;=$AA1897,"×",IF($E1897&gt;=$AA1897*設定!$C$5,"△","○")))</f>
        <v/>
      </c>
      <c r="AC1897" s="15">
        <f>IF($AB1897="","",IF($AB1897="×",0,IF($AB1897="○",ROUNDDOWN($E1897*設定!$C$4,0),ROUNDDOWN($E1897*ROUND((9*$AA1897-9*$E1897)/(10*$E1897),4),0))))</f>
        <v/>
      </c>
      <c r="AD1897" s="13" t="n"/>
      <c r="AE1897" s="15">
        <f>IF($B1897="","",IF($AD1897&lt;&gt;"",$AD1897,IF($AC1897="","",IF($AC1897&lt;=設定!$C$3,0,$AC1897))))</f>
        <v/>
      </c>
      <c r="AF1897" s="14">
        <f>IF($B1897="","",IF(AND($AG1897&lt;&gt;"",$AI1897="",$AL1897=""),"保留中",IF($AL1897&lt;&gt;"",IF(N($AE1897)&gt;0,"支給済","不支給"),IF($AE1897="","要確認",IF($AE1897=0,"不支給","未処理")))))</f>
        <v/>
      </c>
      <c r="AG1897" s="12" t="n"/>
      <c r="AH1897" s="11" t="n"/>
      <c r="AI1897" s="11" t="n"/>
      <c r="AJ1897" s="11" t="n"/>
      <c r="AK1897" s="14">
        <f>IF(AND($AF1897="保留中",$AH1897&lt;&gt;""),TODAY()-$AH1897,"")</f>
        <v/>
      </c>
      <c r="AL1897" s="12" t="n"/>
      <c r="AM1897" s="14">
        <f>IF($B1897="","",IF($AQ1897="","対象年月が未入力／","")&amp;IF($B1897="","",IF($AP1897="","職員マスタに未登録の職員番号／",IF($AA1897="","標準報酬月額が未登録／","")&amp;IF(AND($AQ1897&lt;&gt;"",OR(AND(INDEX(職員マスタ!$G$6:$G$405,$AP1897)&lt;&gt;"",INDEX(職員マスタ!$G$6:$G$405,$AP1897)&gt;EOMONTH($AQ1897,0)),AND(INDEX(職員マスタ!$H$6:$H$405,$AP1897)&lt;&gt;"",INDEX(職員マスタ!$H$6:$H$405,$AP1897)&lt;$AQ1897))),"対象月が時短期間外／","")&amp;IF(AND(INDEX(職員マスタ!$K$6:$K$405,$AP1897)&lt;&gt;"",N($W1897)&gt;0,INDEX(職員マスタ!$K$6:$K$405,$AP1897)&lt;&gt;$W1897),"標準報酬月額が申請書と相違（台帳"&amp;TEXT(INDEX(職員マスタ!$K$6:$K$405,$AP1897),"#,##0")&amp;"円／申請書"&amp;TEXT($W1897,"#,##0")&amp;"円）／","")&amp;IF(AND(INDEX(職員マスタ!$F$6:$F$405,$AP1897)&lt;&gt;"",$AQ1897&lt;&gt;"",INDEX(職員マスタ!$F$6:$F$405,$AP1897)&lt;$AQ1897),"対象月に子が2歳到達済／","")&amp;IF(AND($H1897&lt;&gt;"",INDEX(職員マスタ!$B$6:$B$405,$AP1897)&lt;&gt;"",SUBSTITUTE(SUBSTITUTE($H1897," ","")," ","")&lt;&gt;SUBSTITUTE(SUBSTITUTE(INDEX(職員マスタ!$B$6:$B$405,$AP1897)," ","")," ","")),"氏名がマスタと相違／","")&amp;IF(AND($Q1897&lt;&gt;"",INDEX(職員マスタ!$E$6:$E$405,$AP1897)&lt;&gt;"",$Q1897&lt;&gt;INDEX(職員マスタ!$E$6:$E$405,$AP1897)),"子の生年月日がマスタと相違／","")&amp;IF(AND($L1897&lt;&gt;"",INDEX(職員マスタ!$G$6:$G$405,$AP1897)&lt;&gt;"",$L1897&lt;&gt;INDEX(職員マスタ!$G$6:$G$405,$AP1897)),"時短開始日がマスタと相違／","")&amp;IF(AND($M1897&lt;&gt;"",INDEX(職員マスタ!$H$6:$H$405,$AP1897)&lt;&gt;"",$M1897&lt;&gt;INDEX(職員マスタ!$H$6:$H$405,$AP1897)),"時短終了日がマスタと相違／","")))&amp;IF(AND($B1897&lt;&gt;"",$E1897=""),"報酬額が未入力／","")&amp;IF(N($U1897)&gt;0,"申請書に入力エラーが残っています／","")&amp;IF(AND($B1897&lt;&gt;"",$AQ1897&lt;&gt;""),IF(COUNTIFS($B$6:$B$3005,$B1897,$C$6:$C$3005,$C1897,$D$6:$D$3005,$D1897)&gt;1,"同じ月の請求が重複しています／",""),"")&amp;IF(AND(N($E1897)&gt;0,$AB1897&lt;&gt;"",$AB1897&lt;&gt;"×",$AE1897=0,$AD1897=""),"計算額が下限以下のため不支給／",""))</f>
        <v/>
      </c>
      <c r="AN1897" s="12" t="n"/>
      <c r="AO1897" s="14">
        <f>IF($AF1897="保留中",COUNTIF($AF$6:$AF1897,"保留中"),"")</f>
        <v/>
      </c>
      <c r="AP1897" s="14">
        <f>IF($AQ1897="","",IF(SUMPRODUCT(MAX((職員マスタ!$A$6:$A$405=$B1897)*(((職員マスタ!$G$6:$G$405="")+(職員マスタ!$G$6:$G$405&lt;=EOMONTH($AQ1897,0)))&gt;0)*(((職員マスタ!$H$6:$H$405="")+(職員マスタ!$H$6:$H$405&gt;=$AQ1897))&gt;0)*(ROW(職員マスタ!$A$6:$A$405)-5)))&gt;0,SUMPRODUCT(MAX((職員マスタ!$A$6:$A$405=$B1897)*(((職員マスタ!$G$6:$G$405="")+(職員マスタ!$G$6:$G$405&lt;=EOMONTH($AQ1897,0)))&gt;0)*(((職員マスタ!$H$6:$H$405="")+(職員マスタ!$H$6:$H$405&gt;=$AQ1897))&gt;0)*(ROW(職員マスタ!$A$6:$A$405)-5))),IFERROR(MATCH($B1897,職員マスタ!$A$6:$A$405,0),"")))</f>
        <v/>
      </c>
      <c r="AQ1897" s="16">
        <f>IF(OR($B1897="",$C1897="",$D1897=""),"",DATE($C1897+2018,$D1897,1))</f>
        <v/>
      </c>
    </row>
    <row r="1898">
      <c r="A1898" s="11" t="n"/>
      <c r="B1898" s="12" t="n"/>
      <c r="C1898" s="12" t="n"/>
      <c r="D1898" s="12" t="n"/>
      <c r="E1898" s="13" t="n"/>
      <c r="F1898" s="12" t="n"/>
      <c r="G1898" s="13" t="n"/>
      <c r="H1898" s="12" t="n"/>
      <c r="I1898" s="12" t="n"/>
      <c r="J1898" s="12" t="n"/>
      <c r="K1898" s="12" t="n"/>
      <c r="L1898" s="11" t="n"/>
      <c r="M1898" s="11" t="n"/>
      <c r="N1898" s="11" t="n"/>
      <c r="O1898" s="11" t="n"/>
      <c r="P1898" s="12" t="n"/>
      <c r="Q1898" s="11" t="n"/>
      <c r="R1898" s="12" t="n"/>
      <c r="S1898" s="11" t="n"/>
      <c r="T1898" s="12" t="n"/>
      <c r="U1898" s="12" t="n"/>
      <c r="V1898" s="12" t="n"/>
      <c r="W1898" s="13" t="n"/>
      <c r="X1898" s="14">
        <f>IF($AP1898="",IF($B1898="","",$H1898),IF(INDEX(職員マスタ!$B$6:$B$405,$AP1898)="",$H1898,INDEX(職員マスタ!$B$6:$B$405,$AP1898)))</f>
        <v/>
      </c>
      <c r="Y1898" s="14">
        <f>IF($AP1898="",IF($B1898="","",$R1898),IF(INDEX(職員マスタ!$C$6:$C$405,$AP1898)="",$R1898,INDEX(職員マスタ!$C$6:$C$405,$AP1898)))</f>
        <v/>
      </c>
      <c r="Z1898" s="14">
        <f>IF($AQ1898="","","R"&amp;$C1898&amp;"."&amp;$D1898)</f>
        <v/>
      </c>
      <c r="AA1898" s="15">
        <f>IF(IF($AP1898="",FALSE,INDEX(職員マスタ!$K$6:$K$405,$AP1898)&lt;&gt;""),INDEX(職員マスタ!$K$6:$K$405,$AP1898),IF(N($W1898)&gt;0,$W1898,""))</f>
        <v/>
      </c>
      <c r="AB1898" s="14">
        <f>IF(OR($E1898="",$AA1898=""),"",IF($E1898&gt;=$AA1898,"×",IF($E1898&gt;=$AA1898*設定!$C$5,"△","○")))</f>
        <v/>
      </c>
      <c r="AC1898" s="15">
        <f>IF($AB1898="","",IF($AB1898="×",0,IF($AB1898="○",ROUNDDOWN($E1898*設定!$C$4,0),ROUNDDOWN($E1898*ROUND((9*$AA1898-9*$E1898)/(10*$E1898),4),0))))</f>
        <v/>
      </c>
      <c r="AD1898" s="13" t="n"/>
      <c r="AE1898" s="15">
        <f>IF($B1898="","",IF($AD1898&lt;&gt;"",$AD1898,IF($AC1898="","",IF($AC1898&lt;=設定!$C$3,0,$AC1898))))</f>
        <v/>
      </c>
      <c r="AF1898" s="14">
        <f>IF($B1898="","",IF(AND($AG1898&lt;&gt;"",$AI1898="",$AL1898=""),"保留中",IF($AL1898&lt;&gt;"",IF(N($AE1898)&gt;0,"支給済","不支給"),IF($AE1898="","要確認",IF($AE1898=0,"不支給","未処理")))))</f>
        <v/>
      </c>
      <c r="AG1898" s="12" t="n"/>
      <c r="AH1898" s="11" t="n"/>
      <c r="AI1898" s="11" t="n"/>
      <c r="AJ1898" s="11" t="n"/>
      <c r="AK1898" s="14">
        <f>IF(AND($AF1898="保留中",$AH1898&lt;&gt;""),TODAY()-$AH1898,"")</f>
        <v/>
      </c>
      <c r="AL1898" s="12" t="n"/>
      <c r="AM1898" s="14">
        <f>IF($B1898="","",IF($AQ1898="","対象年月が未入力／","")&amp;IF($B1898="","",IF($AP1898="","職員マスタに未登録の職員番号／",IF($AA1898="","標準報酬月額が未登録／","")&amp;IF(AND($AQ1898&lt;&gt;"",OR(AND(INDEX(職員マスタ!$G$6:$G$405,$AP1898)&lt;&gt;"",INDEX(職員マスタ!$G$6:$G$405,$AP1898)&gt;EOMONTH($AQ1898,0)),AND(INDEX(職員マスタ!$H$6:$H$405,$AP1898)&lt;&gt;"",INDEX(職員マスタ!$H$6:$H$405,$AP1898)&lt;$AQ1898))),"対象月が時短期間外／","")&amp;IF(AND(INDEX(職員マスタ!$K$6:$K$405,$AP1898)&lt;&gt;"",N($W1898)&gt;0,INDEX(職員マスタ!$K$6:$K$405,$AP1898)&lt;&gt;$W1898),"標準報酬月額が申請書と相違（台帳"&amp;TEXT(INDEX(職員マスタ!$K$6:$K$405,$AP1898),"#,##0")&amp;"円／申請書"&amp;TEXT($W1898,"#,##0")&amp;"円）／","")&amp;IF(AND(INDEX(職員マスタ!$F$6:$F$405,$AP1898)&lt;&gt;"",$AQ1898&lt;&gt;"",INDEX(職員マスタ!$F$6:$F$405,$AP1898)&lt;$AQ1898),"対象月に子が2歳到達済／","")&amp;IF(AND($H1898&lt;&gt;"",INDEX(職員マスタ!$B$6:$B$405,$AP1898)&lt;&gt;"",SUBSTITUTE(SUBSTITUTE($H1898," ","")," ","")&lt;&gt;SUBSTITUTE(SUBSTITUTE(INDEX(職員マスタ!$B$6:$B$405,$AP1898)," ","")," ","")),"氏名がマスタと相違／","")&amp;IF(AND($Q1898&lt;&gt;"",INDEX(職員マスタ!$E$6:$E$405,$AP1898)&lt;&gt;"",$Q1898&lt;&gt;INDEX(職員マスタ!$E$6:$E$405,$AP1898)),"子の生年月日がマスタと相違／","")&amp;IF(AND($L1898&lt;&gt;"",INDEX(職員マスタ!$G$6:$G$405,$AP1898)&lt;&gt;"",$L1898&lt;&gt;INDEX(職員マスタ!$G$6:$G$405,$AP1898)),"時短開始日がマスタと相違／","")&amp;IF(AND($M1898&lt;&gt;"",INDEX(職員マスタ!$H$6:$H$405,$AP1898)&lt;&gt;"",$M1898&lt;&gt;INDEX(職員マスタ!$H$6:$H$405,$AP1898)),"時短終了日がマスタと相違／","")))&amp;IF(AND($B1898&lt;&gt;"",$E1898=""),"報酬額が未入力／","")&amp;IF(N($U1898)&gt;0,"申請書に入力エラーが残っています／","")&amp;IF(AND($B1898&lt;&gt;"",$AQ1898&lt;&gt;""),IF(COUNTIFS($B$6:$B$3005,$B1898,$C$6:$C$3005,$C1898,$D$6:$D$3005,$D1898)&gt;1,"同じ月の請求が重複しています／",""),"")&amp;IF(AND(N($E1898)&gt;0,$AB1898&lt;&gt;"",$AB1898&lt;&gt;"×",$AE1898=0,$AD1898=""),"計算額が下限以下のため不支給／",""))</f>
        <v/>
      </c>
      <c r="AN1898" s="12" t="n"/>
      <c r="AO1898" s="14">
        <f>IF($AF1898="保留中",COUNTIF($AF$6:$AF1898,"保留中"),"")</f>
        <v/>
      </c>
      <c r="AP1898" s="14">
        <f>IF($AQ1898="","",IF(SUMPRODUCT(MAX((職員マスタ!$A$6:$A$405=$B1898)*(((職員マスタ!$G$6:$G$405="")+(職員マスタ!$G$6:$G$405&lt;=EOMONTH($AQ1898,0)))&gt;0)*(((職員マスタ!$H$6:$H$405="")+(職員マスタ!$H$6:$H$405&gt;=$AQ1898))&gt;0)*(ROW(職員マスタ!$A$6:$A$405)-5)))&gt;0,SUMPRODUCT(MAX((職員マスタ!$A$6:$A$405=$B1898)*(((職員マスタ!$G$6:$G$405="")+(職員マスタ!$G$6:$G$405&lt;=EOMONTH($AQ1898,0)))&gt;0)*(((職員マスタ!$H$6:$H$405="")+(職員マスタ!$H$6:$H$405&gt;=$AQ1898))&gt;0)*(ROW(職員マスタ!$A$6:$A$405)-5))),IFERROR(MATCH($B1898,職員マスタ!$A$6:$A$405,0),"")))</f>
        <v/>
      </c>
      <c r="AQ1898" s="16">
        <f>IF(OR($B1898="",$C1898="",$D1898=""),"",DATE($C1898+2018,$D1898,1))</f>
        <v/>
      </c>
    </row>
    <row r="1899">
      <c r="A1899" s="11" t="n"/>
      <c r="B1899" s="12" t="n"/>
      <c r="C1899" s="12" t="n"/>
      <c r="D1899" s="12" t="n"/>
      <c r="E1899" s="13" t="n"/>
      <c r="F1899" s="12" t="n"/>
      <c r="G1899" s="13" t="n"/>
      <c r="H1899" s="12" t="n"/>
      <c r="I1899" s="12" t="n"/>
      <c r="J1899" s="12" t="n"/>
      <c r="K1899" s="12" t="n"/>
      <c r="L1899" s="11" t="n"/>
      <c r="M1899" s="11" t="n"/>
      <c r="N1899" s="11" t="n"/>
      <c r="O1899" s="11" t="n"/>
      <c r="P1899" s="12" t="n"/>
      <c r="Q1899" s="11" t="n"/>
      <c r="R1899" s="12" t="n"/>
      <c r="S1899" s="11" t="n"/>
      <c r="T1899" s="12" t="n"/>
      <c r="U1899" s="12" t="n"/>
      <c r="V1899" s="12" t="n"/>
      <c r="W1899" s="13" t="n"/>
      <c r="X1899" s="14">
        <f>IF($AP1899="",IF($B1899="","",$H1899),IF(INDEX(職員マスタ!$B$6:$B$405,$AP1899)="",$H1899,INDEX(職員マスタ!$B$6:$B$405,$AP1899)))</f>
        <v/>
      </c>
      <c r="Y1899" s="14">
        <f>IF($AP1899="",IF($B1899="","",$R1899),IF(INDEX(職員マスタ!$C$6:$C$405,$AP1899)="",$R1899,INDEX(職員マスタ!$C$6:$C$405,$AP1899)))</f>
        <v/>
      </c>
      <c r="Z1899" s="14">
        <f>IF($AQ1899="","","R"&amp;$C1899&amp;"."&amp;$D1899)</f>
        <v/>
      </c>
      <c r="AA1899" s="15">
        <f>IF(IF($AP1899="",FALSE,INDEX(職員マスタ!$K$6:$K$405,$AP1899)&lt;&gt;""),INDEX(職員マスタ!$K$6:$K$405,$AP1899),IF(N($W1899)&gt;0,$W1899,""))</f>
        <v/>
      </c>
      <c r="AB1899" s="14">
        <f>IF(OR($E1899="",$AA1899=""),"",IF($E1899&gt;=$AA1899,"×",IF($E1899&gt;=$AA1899*設定!$C$5,"△","○")))</f>
        <v/>
      </c>
      <c r="AC1899" s="15">
        <f>IF($AB1899="","",IF($AB1899="×",0,IF($AB1899="○",ROUNDDOWN($E1899*設定!$C$4,0),ROUNDDOWN($E1899*ROUND((9*$AA1899-9*$E1899)/(10*$E1899),4),0))))</f>
        <v/>
      </c>
      <c r="AD1899" s="13" t="n"/>
      <c r="AE1899" s="15">
        <f>IF($B1899="","",IF($AD1899&lt;&gt;"",$AD1899,IF($AC1899="","",IF($AC1899&lt;=設定!$C$3,0,$AC1899))))</f>
        <v/>
      </c>
      <c r="AF1899" s="14">
        <f>IF($B1899="","",IF(AND($AG1899&lt;&gt;"",$AI1899="",$AL1899=""),"保留中",IF($AL1899&lt;&gt;"",IF(N($AE1899)&gt;0,"支給済","不支給"),IF($AE1899="","要確認",IF($AE1899=0,"不支給","未処理")))))</f>
        <v/>
      </c>
      <c r="AG1899" s="12" t="n"/>
      <c r="AH1899" s="11" t="n"/>
      <c r="AI1899" s="11" t="n"/>
      <c r="AJ1899" s="11" t="n"/>
      <c r="AK1899" s="14">
        <f>IF(AND($AF1899="保留中",$AH1899&lt;&gt;""),TODAY()-$AH1899,"")</f>
        <v/>
      </c>
      <c r="AL1899" s="12" t="n"/>
      <c r="AM1899" s="14">
        <f>IF($B1899="","",IF($AQ1899="","対象年月が未入力／","")&amp;IF($B1899="","",IF($AP1899="","職員マスタに未登録の職員番号／",IF($AA1899="","標準報酬月額が未登録／","")&amp;IF(AND($AQ1899&lt;&gt;"",OR(AND(INDEX(職員マスタ!$G$6:$G$405,$AP1899)&lt;&gt;"",INDEX(職員マスタ!$G$6:$G$405,$AP1899)&gt;EOMONTH($AQ1899,0)),AND(INDEX(職員マスタ!$H$6:$H$405,$AP1899)&lt;&gt;"",INDEX(職員マスタ!$H$6:$H$405,$AP1899)&lt;$AQ1899))),"対象月が時短期間外／","")&amp;IF(AND(INDEX(職員マスタ!$K$6:$K$405,$AP1899)&lt;&gt;"",N($W1899)&gt;0,INDEX(職員マスタ!$K$6:$K$405,$AP1899)&lt;&gt;$W1899),"標準報酬月額が申請書と相違（台帳"&amp;TEXT(INDEX(職員マスタ!$K$6:$K$405,$AP1899),"#,##0")&amp;"円／申請書"&amp;TEXT($W1899,"#,##0")&amp;"円）／","")&amp;IF(AND(INDEX(職員マスタ!$F$6:$F$405,$AP1899)&lt;&gt;"",$AQ1899&lt;&gt;"",INDEX(職員マスタ!$F$6:$F$405,$AP1899)&lt;$AQ1899),"対象月に子が2歳到達済／","")&amp;IF(AND($H1899&lt;&gt;"",INDEX(職員マスタ!$B$6:$B$405,$AP1899)&lt;&gt;"",SUBSTITUTE(SUBSTITUTE($H1899," ","")," ","")&lt;&gt;SUBSTITUTE(SUBSTITUTE(INDEX(職員マスタ!$B$6:$B$405,$AP1899)," ","")," ","")),"氏名がマスタと相違／","")&amp;IF(AND($Q1899&lt;&gt;"",INDEX(職員マスタ!$E$6:$E$405,$AP1899)&lt;&gt;"",$Q1899&lt;&gt;INDEX(職員マスタ!$E$6:$E$405,$AP1899)),"子の生年月日がマスタと相違／","")&amp;IF(AND($L1899&lt;&gt;"",INDEX(職員マスタ!$G$6:$G$405,$AP1899)&lt;&gt;"",$L1899&lt;&gt;INDEX(職員マスタ!$G$6:$G$405,$AP1899)),"時短開始日がマスタと相違／","")&amp;IF(AND($M1899&lt;&gt;"",INDEX(職員マスタ!$H$6:$H$405,$AP1899)&lt;&gt;"",$M1899&lt;&gt;INDEX(職員マスタ!$H$6:$H$405,$AP1899)),"時短終了日がマスタと相違／","")))&amp;IF(AND($B1899&lt;&gt;"",$E1899=""),"報酬額が未入力／","")&amp;IF(N($U1899)&gt;0,"申請書に入力エラーが残っています／","")&amp;IF(AND($B1899&lt;&gt;"",$AQ1899&lt;&gt;""),IF(COUNTIFS($B$6:$B$3005,$B1899,$C$6:$C$3005,$C1899,$D$6:$D$3005,$D1899)&gt;1,"同じ月の請求が重複しています／",""),"")&amp;IF(AND(N($E1899)&gt;0,$AB1899&lt;&gt;"",$AB1899&lt;&gt;"×",$AE1899=0,$AD1899=""),"計算額が下限以下のため不支給／",""))</f>
        <v/>
      </c>
      <c r="AN1899" s="12" t="n"/>
      <c r="AO1899" s="14">
        <f>IF($AF1899="保留中",COUNTIF($AF$6:$AF1899,"保留中"),"")</f>
        <v/>
      </c>
      <c r="AP1899" s="14">
        <f>IF($AQ1899="","",IF(SUMPRODUCT(MAX((職員マスタ!$A$6:$A$405=$B1899)*(((職員マスタ!$G$6:$G$405="")+(職員マスタ!$G$6:$G$405&lt;=EOMONTH($AQ1899,0)))&gt;0)*(((職員マスタ!$H$6:$H$405="")+(職員マスタ!$H$6:$H$405&gt;=$AQ1899))&gt;0)*(ROW(職員マスタ!$A$6:$A$405)-5)))&gt;0,SUMPRODUCT(MAX((職員マスタ!$A$6:$A$405=$B1899)*(((職員マスタ!$G$6:$G$405="")+(職員マスタ!$G$6:$G$405&lt;=EOMONTH($AQ1899,0)))&gt;0)*(((職員マスタ!$H$6:$H$405="")+(職員マスタ!$H$6:$H$405&gt;=$AQ1899))&gt;0)*(ROW(職員マスタ!$A$6:$A$405)-5))),IFERROR(MATCH($B1899,職員マスタ!$A$6:$A$405,0),"")))</f>
        <v/>
      </c>
      <c r="AQ1899" s="16">
        <f>IF(OR($B1899="",$C1899="",$D1899=""),"",DATE($C1899+2018,$D1899,1))</f>
        <v/>
      </c>
    </row>
    <row r="1900">
      <c r="A1900" s="11" t="n"/>
      <c r="B1900" s="12" t="n"/>
      <c r="C1900" s="12" t="n"/>
      <c r="D1900" s="12" t="n"/>
      <c r="E1900" s="13" t="n"/>
      <c r="F1900" s="12" t="n"/>
      <c r="G1900" s="13" t="n"/>
      <c r="H1900" s="12" t="n"/>
      <c r="I1900" s="12" t="n"/>
      <c r="J1900" s="12" t="n"/>
      <c r="K1900" s="12" t="n"/>
      <c r="L1900" s="11" t="n"/>
      <c r="M1900" s="11" t="n"/>
      <c r="N1900" s="11" t="n"/>
      <c r="O1900" s="11" t="n"/>
      <c r="P1900" s="12" t="n"/>
      <c r="Q1900" s="11" t="n"/>
      <c r="R1900" s="12" t="n"/>
      <c r="S1900" s="11" t="n"/>
      <c r="T1900" s="12" t="n"/>
      <c r="U1900" s="12" t="n"/>
      <c r="V1900" s="12" t="n"/>
      <c r="W1900" s="13" t="n"/>
      <c r="X1900" s="14">
        <f>IF($AP1900="",IF($B1900="","",$H1900),IF(INDEX(職員マスタ!$B$6:$B$405,$AP1900)="",$H1900,INDEX(職員マスタ!$B$6:$B$405,$AP1900)))</f>
        <v/>
      </c>
      <c r="Y1900" s="14">
        <f>IF($AP1900="",IF($B1900="","",$R1900),IF(INDEX(職員マスタ!$C$6:$C$405,$AP1900)="",$R1900,INDEX(職員マスタ!$C$6:$C$405,$AP1900)))</f>
        <v/>
      </c>
      <c r="Z1900" s="14">
        <f>IF($AQ1900="","","R"&amp;$C1900&amp;"."&amp;$D1900)</f>
        <v/>
      </c>
      <c r="AA1900" s="15">
        <f>IF(IF($AP1900="",FALSE,INDEX(職員マスタ!$K$6:$K$405,$AP1900)&lt;&gt;""),INDEX(職員マスタ!$K$6:$K$405,$AP1900),IF(N($W1900)&gt;0,$W1900,""))</f>
        <v/>
      </c>
      <c r="AB1900" s="14">
        <f>IF(OR($E1900="",$AA1900=""),"",IF($E1900&gt;=$AA1900,"×",IF($E1900&gt;=$AA1900*設定!$C$5,"△","○")))</f>
        <v/>
      </c>
      <c r="AC1900" s="15">
        <f>IF($AB1900="","",IF($AB1900="×",0,IF($AB1900="○",ROUNDDOWN($E1900*設定!$C$4,0),ROUNDDOWN($E1900*ROUND((9*$AA1900-9*$E1900)/(10*$E1900),4),0))))</f>
        <v/>
      </c>
      <c r="AD1900" s="13" t="n"/>
      <c r="AE1900" s="15">
        <f>IF($B1900="","",IF($AD1900&lt;&gt;"",$AD1900,IF($AC1900="","",IF($AC1900&lt;=設定!$C$3,0,$AC1900))))</f>
        <v/>
      </c>
      <c r="AF1900" s="14">
        <f>IF($B1900="","",IF(AND($AG1900&lt;&gt;"",$AI1900="",$AL1900=""),"保留中",IF($AL1900&lt;&gt;"",IF(N($AE1900)&gt;0,"支給済","不支給"),IF($AE1900="","要確認",IF($AE1900=0,"不支給","未処理")))))</f>
        <v/>
      </c>
      <c r="AG1900" s="12" t="n"/>
      <c r="AH1900" s="11" t="n"/>
      <c r="AI1900" s="11" t="n"/>
      <c r="AJ1900" s="11" t="n"/>
      <c r="AK1900" s="14">
        <f>IF(AND($AF1900="保留中",$AH1900&lt;&gt;""),TODAY()-$AH1900,"")</f>
        <v/>
      </c>
      <c r="AL1900" s="12" t="n"/>
      <c r="AM1900" s="14">
        <f>IF($B1900="","",IF($AQ1900="","対象年月が未入力／","")&amp;IF($B1900="","",IF($AP1900="","職員マスタに未登録の職員番号／",IF($AA1900="","標準報酬月額が未登録／","")&amp;IF(AND($AQ1900&lt;&gt;"",OR(AND(INDEX(職員マスタ!$G$6:$G$405,$AP1900)&lt;&gt;"",INDEX(職員マスタ!$G$6:$G$405,$AP1900)&gt;EOMONTH($AQ1900,0)),AND(INDEX(職員マスタ!$H$6:$H$405,$AP1900)&lt;&gt;"",INDEX(職員マスタ!$H$6:$H$405,$AP1900)&lt;$AQ1900))),"対象月が時短期間外／","")&amp;IF(AND(INDEX(職員マスタ!$K$6:$K$405,$AP1900)&lt;&gt;"",N($W1900)&gt;0,INDEX(職員マスタ!$K$6:$K$405,$AP1900)&lt;&gt;$W1900),"標準報酬月額が申請書と相違（台帳"&amp;TEXT(INDEX(職員マスタ!$K$6:$K$405,$AP1900),"#,##0")&amp;"円／申請書"&amp;TEXT($W1900,"#,##0")&amp;"円）／","")&amp;IF(AND(INDEX(職員マスタ!$F$6:$F$405,$AP1900)&lt;&gt;"",$AQ1900&lt;&gt;"",INDEX(職員マスタ!$F$6:$F$405,$AP1900)&lt;$AQ1900),"対象月に子が2歳到達済／","")&amp;IF(AND($H1900&lt;&gt;"",INDEX(職員マスタ!$B$6:$B$405,$AP1900)&lt;&gt;"",SUBSTITUTE(SUBSTITUTE($H1900," ","")," ","")&lt;&gt;SUBSTITUTE(SUBSTITUTE(INDEX(職員マスタ!$B$6:$B$405,$AP1900)," ","")," ","")),"氏名がマスタと相違／","")&amp;IF(AND($Q1900&lt;&gt;"",INDEX(職員マスタ!$E$6:$E$405,$AP1900)&lt;&gt;"",$Q1900&lt;&gt;INDEX(職員マスタ!$E$6:$E$405,$AP1900)),"子の生年月日がマスタと相違／","")&amp;IF(AND($L1900&lt;&gt;"",INDEX(職員マスタ!$G$6:$G$405,$AP1900)&lt;&gt;"",$L1900&lt;&gt;INDEX(職員マスタ!$G$6:$G$405,$AP1900)),"時短開始日がマスタと相違／","")&amp;IF(AND($M1900&lt;&gt;"",INDEX(職員マスタ!$H$6:$H$405,$AP1900)&lt;&gt;"",$M1900&lt;&gt;INDEX(職員マスタ!$H$6:$H$405,$AP1900)),"時短終了日がマスタと相違／","")))&amp;IF(AND($B1900&lt;&gt;"",$E1900=""),"報酬額が未入力／","")&amp;IF(N($U1900)&gt;0,"申請書に入力エラーが残っています／","")&amp;IF(AND($B1900&lt;&gt;"",$AQ1900&lt;&gt;""),IF(COUNTIFS($B$6:$B$3005,$B1900,$C$6:$C$3005,$C1900,$D$6:$D$3005,$D1900)&gt;1,"同じ月の請求が重複しています／",""),"")&amp;IF(AND(N($E1900)&gt;0,$AB1900&lt;&gt;"",$AB1900&lt;&gt;"×",$AE1900=0,$AD1900=""),"計算額が下限以下のため不支給／",""))</f>
        <v/>
      </c>
      <c r="AN1900" s="12" t="n"/>
      <c r="AO1900" s="14">
        <f>IF($AF1900="保留中",COUNTIF($AF$6:$AF1900,"保留中"),"")</f>
        <v/>
      </c>
      <c r="AP1900" s="14">
        <f>IF($AQ1900="","",IF(SUMPRODUCT(MAX((職員マスタ!$A$6:$A$405=$B1900)*(((職員マスタ!$G$6:$G$405="")+(職員マスタ!$G$6:$G$405&lt;=EOMONTH($AQ1900,0)))&gt;0)*(((職員マスタ!$H$6:$H$405="")+(職員マスタ!$H$6:$H$405&gt;=$AQ1900))&gt;0)*(ROW(職員マスタ!$A$6:$A$405)-5)))&gt;0,SUMPRODUCT(MAX((職員マスタ!$A$6:$A$405=$B1900)*(((職員マスタ!$G$6:$G$405="")+(職員マスタ!$G$6:$G$405&lt;=EOMONTH($AQ1900,0)))&gt;0)*(((職員マスタ!$H$6:$H$405="")+(職員マスタ!$H$6:$H$405&gt;=$AQ1900))&gt;0)*(ROW(職員マスタ!$A$6:$A$405)-5))),IFERROR(MATCH($B1900,職員マスタ!$A$6:$A$405,0),"")))</f>
        <v/>
      </c>
      <c r="AQ1900" s="16">
        <f>IF(OR($B1900="",$C1900="",$D1900=""),"",DATE($C1900+2018,$D1900,1))</f>
        <v/>
      </c>
    </row>
    <row r="1901">
      <c r="A1901" s="11" t="n"/>
      <c r="B1901" s="12" t="n"/>
      <c r="C1901" s="12" t="n"/>
      <c r="D1901" s="12" t="n"/>
      <c r="E1901" s="13" t="n"/>
      <c r="F1901" s="12" t="n"/>
      <c r="G1901" s="13" t="n"/>
      <c r="H1901" s="12" t="n"/>
      <c r="I1901" s="12" t="n"/>
      <c r="J1901" s="12" t="n"/>
      <c r="K1901" s="12" t="n"/>
      <c r="L1901" s="11" t="n"/>
      <c r="M1901" s="11" t="n"/>
      <c r="N1901" s="11" t="n"/>
      <c r="O1901" s="11" t="n"/>
      <c r="P1901" s="12" t="n"/>
      <c r="Q1901" s="11" t="n"/>
      <c r="R1901" s="12" t="n"/>
      <c r="S1901" s="11" t="n"/>
      <c r="T1901" s="12" t="n"/>
      <c r="U1901" s="12" t="n"/>
      <c r="V1901" s="12" t="n"/>
      <c r="W1901" s="13" t="n"/>
      <c r="X1901" s="14">
        <f>IF($AP1901="",IF($B1901="","",$H1901),IF(INDEX(職員マスタ!$B$6:$B$405,$AP1901)="",$H1901,INDEX(職員マスタ!$B$6:$B$405,$AP1901)))</f>
        <v/>
      </c>
      <c r="Y1901" s="14">
        <f>IF($AP1901="",IF($B1901="","",$R1901),IF(INDEX(職員マスタ!$C$6:$C$405,$AP1901)="",$R1901,INDEX(職員マスタ!$C$6:$C$405,$AP1901)))</f>
        <v/>
      </c>
      <c r="Z1901" s="14">
        <f>IF($AQ1901="","","R"&amp;$C1901&amp;"."&amp;$D1901)</f>
        <v/>
      </c>
      <c r="AA1901" s="15">
        <f>IF(IF($AP1901="",FALSE,INDEX(職員マスタ!$K$6:$K$405,$AP1901)&lt;&gt;""),INDEX(職員マスタ!$K$6:$K$405,$AP1901),IF(N($W1901)&gt;0,$W1901,""))</f>
        <v/>
      </c>
      <c r="AB1901" s="14">
        <f>IF(OR($E1901="",$AA1901=""),"",IF($E1901&gt;=$AA1901,"×",IF($E1901&gt;=$AA1901*設定!$C$5,"△","○")))</f>
        <v/>
      </c>
      <c r="AC1901" s="15">
        <f>IF($AB1901="","",IF($AB1901="×",0,IF($AB1901="○",ROUNDDOWN($E1901*設定!$C$4,0),ROUNDDOWN($E1901*ROUND((9*$AA1901-9*$E1901)/(10*$E1901),4),0))))</f>
        <v/>
      </c>
      <c r="AD1901" s="13" t="n"/>
      <c r="AE1901" s="15">
        <f>IF($B1901="","",IF($AD1901&lt;&gt;"",$AD1901,IF($AC1901="","",IF($AC1901&lt;=設定!$C$3,0,$AC1901))))</f>
        <v/>
      </c>
      <c r="AF1901" s="14">
        <f>IF($B1901="","",IF(AND($AG1901&lt;&gt;"",$AI1901="",$AL1901=""),"保留中",IF($AL1901&lt;&gt;"",IF(N($AE1901)&gt;0,"支給済","不支給"),IF($AE1901="","要確認",IF($AE1901=0,"不支給","未処理")))))</f>
        <v/>
      </c>
      <c r="AG1901" s="12" t="n"/>
      <c r="AH1901" s="11" t="n"/>
      <c r="AI1901" s="11" t="n"/>
      <c r="AJ1901" s="11" t="n"/>
      <c r="AK1901" s="14">
        <f>IF(AND($AF1901="保留中",$AH1901&lt;&gt;""),TODAY()-$AH1901,"")</f>
        <v/>
      </c>
      <c r="AL1901" s="12" t="n"/>
      <c r="AM1901" s="14">
        <f>IF($B1901="","",IF($AQ1901="","対象年月が未入力／","")&amp;IF($B1901="","",IF($AP1901="","職員マスタに未登録の職員番号／",IF($AA1901="","標準報酬月額が未登録／","")&amp;IF(AND($AQ1901&lt;&gt;"",OR(AND(INDEX(職員マスタ!$G$6:$G$405,$AP1901)&lt;&gt;"",INDEX(職員マスタ!$G$6:$G$405,$AP1901)&gt;EOMONTH($AQ1901,0)),AND(INDEX(職員マスタ!$H$6:$H$405,$AP1901)&lt;&gt;"",INDEX(職員マスタ!$H$6:$H$405,$AP1901)&lt;$AQ1901))),"対象月が時短期間外／","")&amp;IF(AND(INDEX(職員マスタ!$K$6:$K$405,$AP1901)&lt;&gt;"",N($W1901)&gt;0,INDEX(職員マスタ!$K$6:$K$405,$AP1901)&lt;&gt;$W1901),"標準報酬月額が申請書と相違（台帳"&amp;TEXT(INDEX(職員マスタ!$K$6:$K$405,$AP1901),"#,##0")&amp;"円／申請書"&amp;TEXT($W1901,"#,##0")&amp;"円）／","")&amp;IF(AND(INDEX(職員マスタ!$F$6:$F$405,$AP1901)&lt;&gt;"",$AQ1901&lt;&gt;"",INDEX(職員マスタ!$F$6:$F$405,$AP1901)&lt;$AQ1901),"対象月に子が2歳到達済／","")&amp;IF(AND($H1901&lt;&gt;"",INDEX(職員マスタ!$B$6:$B$405,$AP1901)&lt;&gt;"",SUBSTITUTE(SUBSTITUTE($H1901," ","")," ","")&lt;&gt;SUBSTITUTE(SUBSTITUTE(INDEX(職員マスタ!$B$6:$B$405,$AP1901)," ","")," ","")),"氏名がマスタと相違／","")&amp;IF(AND($Q1901&lt;&gt;"",INDEX(職員マスタ!$E$6:$E$405,$AP1901)&lt;&gt;"",$Q1901&lt;&gt;INDEX(職員マスタ!$E$6:$E$405,$AP1901)),"子の生年月日がマスタと相違／","")&amp;IF(AND($L1901&lt;&gt;"",INDEX(職員マスタ!$G$6:$G$405,$AP1901)&lt;&gt;"",$L1901&lt;&gt;INDEX(職員マスタ!$G$6:$G$405,$AP1901)),"時短開始日がマスタと相違／","")&amp;IF(AND($M1901&lt;&gt;"",INDEX(職員マスタ!$H$6:$H$405,$AP1901)&lt;&gt;"",$M1901&lt;&gt;INDEX(職員マスタ!$H$6:$H$405,$AP1901)),"時短終了日がマスタと相違／","")))&amp;IF(AND($B1901&lt;&gt;"",$E1901=""),"報酬額が未入力／","")&amp;IF(N($U1901)&gt;0,"申請書に入力エラーが残っています／","")&amp;IF(AND($B1901&lt;&gt;"",$AQ1901&lt;&gt;""),IF(COUNTIFS($B$6:$B$3005,$B1901,$C$6:$C$3005,$C1901,$D$6:$D$3005,$D1901)&gt;1,"同じ月の請求が重複しています／",""),"")&amp;IF(AND(N($E1901)&gt;0,$AB1901&lt;&gt;"",$AB1901&lt;&gt;"×",$AE1901=0,$AD1901=""),"計算額が下限以下のため不支給／",""))</f>
        <v/>
      </c>
      <c r="AN1901" s="12" t="n"/>
      <c r="AO1901" s="14">
        <f>IF($AF1901="保留中",COUNTIF($AF$6:$AF1901,"保留中"),"")</f>
        <v/>
      </c>
      <c r="AP1901" s="14">
        <f>IF($AQ1901="","",IF(SUMPRODUCT(MAX((職員マスタ!$A$6:$A$405=$B1901)*(((職員マスタ!$G$6:$G$405="")+(職員マスタ!$G$6:$G$405&lt;=EOMONTH($AQ1901,0)))&gt;0)*(((職員マスタ!$H$6:$H$405="")+(職員マスタ!$H$6:$H$405&gt;=$AQ1901))&gt;0)*(ROW(職員マスタ!$A$6:$A$405)-5)))&gt;0,SUMPRODUCT(MAX((職員マスタ!$A$6:$A$405=$B1901)*(((職員マスタ!$G$6:$G$405="")+(職員マスタ!$G$6:$G$405&lt;=EOMONTH($AQ1901,0)))&gt;0)*(((職員マスタ!$H$6:$H$405="")+(職員マスタ!$H$6:$H$405&gt;=$AQ1901))&gt;0)*(ROW(職員マスタ!$A$6:$A$405)-5))),IFERROR(MATCH($B1901,職員マスタ!$A$6:$A$405,0),"")))</f>
        <v/>
      </c>
      <c r="AQ1901" s="16">
        <f>IF(OR($B1901="",$C1901="",$D1901=""),"",DATE($C1901+2018,$D1901,1))</f>
        <v/>
      </c>
    </row>
    <row r="1902">
      <c r="A1902" s="11" t="n"/>
      <c r="B1902" s="12" t="n"/>
      <c r="C1902" s="12" t="n"/>
      <c r="D1902" s="12" t="n"/>
      <c r="E1902" s="13" t="n"/>
      <c r="F1902" s="12" t="n"/>
      <c r="G1902" s="13" t="n"/>
      <c r="H1902" s="12" t="n"/>
      <c r="I1902" s="12" t="n"/>
      <c r="J1902" s="12" t="n"/>
      <c r="K1902" s="12" t="n"/>
      <c r="L1902" s="11" t="n"/>
      <c r="M1902" s="11" t="n"/>
      <c r="N1902" s="11" t="n"/>
      <c r="O1902" s="11" t="n"/>
      <c r="P1902" s="12" t="n"/>
      <c r="Q1902" s="11" t="n"/>
      <c r="R1902" s="12" t="n"/>
      <c r="S1902" s="11" t="n"/>
      <c r="T1902" s="12" t="n"/>
      <c r="U1902" s="12" t="n"/>
      <c r="V1902" s="12" t="n"/>
      <c r="W1902" s="13" t="n"/>
      <c r="X1902" s="14">
        <f>IF($AP1902="",IF($B1902="","",$H1902),IF(INDEX(職員マスタ!$B$6:$B$405,$AP1902)="",$H1902,INDEX(職員マスタ!$B$6:$B$405,$AP1902)))</f>
        <v/>
      </c>
      <c r="Y1902" s="14">
        <f>IF($AP1902="",IF($B1902="","",$R1902),IF(INDEX(職員マスタ!$C$6:$C$405,$AP1902)="",$R1902,INDEX(職員マスタ!$C$6:$C$405,$AP1902)))</f>
        <v/>
      </c>
      <c r="Z1902" s="14">
        <f>IF($AQ1902="","","R"&amp;$C1902&amp;"."&amp;$D1902)</f>
        <v/>
      </c>
      <c r="AA1902" s="15">
        <f>IF(IF($AP1902="",FALSE,INDEX(職員マスタ!$K$6:$K$405,$AP1902)&lt;&gt;""),INDEX(職員マスタ!$K$6:$K$405,$AP1902),IF(N($W1902)&gt;0,$W1902,""))</f>
        <v/>
      </c>
      <c r="AB1902" s="14">
        <f>IF(OR($E1902="",$AA1902=""),"",IF($E1902&gt;=$AA1902,"×",IF($E1902&gt;=$AA1902*設定!$C$5,"△","○")))</f>
        <v/>
      </c>
      <c r="AC1902" s="15">
        <f>IF($AB1902="","",IF($AB1902="×",0,IF($AB1902="○",ROUNDDOWN($E1902*設定!$C$4,0),ROUNDDOWN($E1902*ROUND((9*$AA1902-9*$E1902)/(10*$E1902),4),0))))</f>
        <v/>
      </c>
      <c r="AD1902" s="13" t="n"/>
      <c r="AE1902" s="15">
        <f>IF($B1902="","",IF($AD1902&lt;&gt;"",$AD1902,IF($AC1902="","",IF($AC1902&lt;=設定!$C$3,0,$AC1902))))</f>
        <v/>
      </c>
      <c r="AF1902" s="14">
        <f>IF($B1902="","",IF(AND($AG1902&lt;&gt;"",$AI1902="",$AL1902=""),"保留中",IF($AL1902&lt;&gt;"",IF(N($AE1902)&gt;0,"支給済","不支給"),IF($AE1902="","要確認",IF($AE1902=0,"不支給","未処理")))))</f>
        <v/>
      </c>
      <c r="AG1902" s="12" t="n"/>
      <c r="AH1902" s="11" t="n"/>
      <c r="AI1902" s="11" t="n"/>
      <c r="AJ1902" s="11" t="n"/>
      <c r="AK1902" s="14">
        <f>IF(AND($AF1902="保留中",$AH1902&lt;&gt;""),TODAY()-$AH1902,"")</f>
        <v/>
      </c>
      <c r="AL1902" s="12" t="n"/>
      <c r="AM1902" s="14">
        <f>IF($B1902="","",IF($AQ1902="","対象年月が未入力／","")&amp;IF($B1902="","",IF($AP1902="","職員マスタに未登録の職員番号／",IF($AA1902="","標準報酬月額が未登録／","")&amp;IF(AND($AQ1902&lt;&gt;"",OR(AND(INDEX(職員マスタ!$G$6:$G$405,$AP1902)&lt;&gt;"",INDEX(職員マスタ!$G$6:$G$405,$AP1902)&gt;EOMONTH($AQ1902,0)),AND(INDEX(職員マスタ!$H$6:$H$405,$AP1902)&lt;&gt;"",INDEX(職員マスタ!$H$6:$H$405,$AP1902)&lt;$AQ1902))),"対象月が時短期間外／","")&amp;IF(AND(INDEX(職員マスタ!$K$6:$K$405,$AP1902)&lt;&gt;"",N($W1902)&gt;0,INDEX(職員マスタ!$K$6:$K$405,$AP1902)&lt;&gt;$W1902),"標準報酬月額が申請書と相違（台帳"&amp;TEXT(INDEX(職員マスタ!$K$6:$K$405,$AP1902),"#,##0")&amp;"円／申請書"&amp;TEXT($W1902,"#,##0")&amp;"円）／","")&amp;IF(AND(INDEX(職員マスタ!$F$6:$F$405,$AP1902)&lt;&gt;"",$AQ1902&lt;&gt;"",INDEX(職員マスタ!$F$6:$F$405,$AP1902)&lt;$AQ1902),"対象月に子が2歳到達済／","")&amp;IF(AND($H1902&lt;&gt;"",INDEX(職員マスタ!$B$6:$B$405,$AP1902)&lt;&gt;"",SUBSTITUTE(SUBSTITUTE($H1902," ","")," ","")&lt;&gt;SUBSTITUTE(SUBSTITUTE(INDEX(職員マスタ!$B$6:$B$405,$AP1902)," ","")," ","")),"氏名がマスタと相違／","")&amp;IF(AND($Q1902&lt;&gt;"",INDEX(職員マスタ!$E$6:$E$405,$AP1902)&lt;&gt;"",$Q1902&lt;&gt;INDEX(職員マスタ!$E$6:$E$405,$AP1902)),"子の生年月日がマスタと相違／","")&amp;IF(AND($L1902&lt;&gt;"",INDEX(職員マスタ!$G$6:$G$405,$AP1902)&lt;&gt;"",$L1902&lt;&gt;INDEX(職員マスタ!$G$6:$G$405,$AP1902)),"時短開始日がマスタと相違／","")&amp;IF(AND($M1902&lt;&gt;"",INDEX(職員マスタ!$H$6:$H$405,$AP1902)&lt;&gt;"",$M1902&lt;&gt;INDEX(職員マスタ!$H$6:$H$405,$AP1902)),"時短終了日がマスタと相違／","")))&amp;IF(AND($B1902&lt;&gt;"",$E1902=""),"報酬額が未入力／","")&amp;IF(N($U1902)&gt;0,"申請書に入力エラーが残っています／","")&amp;IF(AND($B1902&lt;&gt;"",$AQ1902&lt;&gt;""),IF(COUNTIFS($B$6:$B$3005,$B1902,$C$6:$C$3005,$C1902,$D$6:$D$3005,$D1902)&gt;1,"同じ月の請求が重複しています／",""),"")&amp;IF(AND(N($E1902)&gt;0,$AB1902&lt;&gt;"",$AB1902&lt;&gt;"×",$AE1902=0,$AD1902=""),"計算額が下限以下のため不支給／",""))</f>
        <v/>
      </c>
      <c r="AN1902" s="12" t="n"/>
      <c r="AO1902" s="14">
        <f>IF($AF1902="保留中",COUNTIF($AF$6:$AF1902,"保留中"),"")</f>
        <v/>
      </c>
      <c r="AP1902" s="14">
        <f>IF($AQ1902="","",IF(SUMPRODUCT(MAX((職員マスタ!$A$6:$A$405=$B1902)*(((職員マスタ!$G$6:$G$405="")+(職員マスタ!$G$6:$G$405&lt;=EOMONTH($AQ1902,0)))&gt;0)*(((職員マスタ!$H$6:$H$405="")+(職員マスタ!$H$6:$H$405&gt;=$AQ1902))&gt;0)*(ROW(職員マスタ!$A$6:$A$405)-5)))&gt;0,SUMPRODUCT(MAX((職員マスタ!$A$6:$A$405=$B1902)*(((職員マスタ!$G$6:$G$405="")+(職員マスタ!$G$6:$G$405&lt;=EOMONTH($AQ1902,0)))&gt;0)*(((職員マスタ!$H$6:$H$405="")+(職員マスタ!$H$6:$H$405&gt;=$AQ1902))&gt;0)*(ROW(職員マスタ!$A$6:$A$405)-5))),IFERROR(MATCH($B1902,職員マスタ!$A$6:$A$405,0),"")))</f>
        <v/>
      </c>
      <c r="AQ1902" s="16">
        <f>IF(OR($B1902="",$C1902="",$D1902=""),"",DATE($C1902+2018,$D1902,1))</f>
        <v/>
      </c>
    </row>
    <row r="1903">
      <c r="A1903" s="11" t="n"/>
      <c r="B1903" s="12" t="n"/>
      <c r="C1903" s="12" t="n"/>
      <c r="D1903" s="12" t="n"/>
      <c r="E1903" s="13" t="n"/>
      <c r="F1903" s="12" t="n"/>
      <c r="G1903" s="13" t="n"/>
      <c r="H1903" s="12" t="n"/>
      <c r="I1903" s="12" t="n"/>
      <c r="J1903" s="12" t="n"/>
      <c r="K1903" s="12" t="n"/>
      <c r="L1903" s="11" t="n"/>
      <c r="M1903" s="11" t="n"/>
      <c r="N1903" s="11" t="n"/>
      <c r="O1903" s="11" t="n"/>
      <c r="P1903" s="12" t="n"/>
      <c r="Q1903" s="11" t="n"/>
      <c r="R1903" s="12" t="n"/>
      <c r="S1903" s="11" t="n"/>
      <c r="T1903" s="12" t="n"/>
      <c r="U1903" s="12" t="n"/>
      <c r="V1903" s="12" t="n"/>
      <c r="W1903" s="13" t="n"/>
      <c r="X1903" s="14">
        <f>IF($AP1903="",IF($B1903="","",$H1903),IF(INDEX(職員マスタ!$B$6:$B$405,$AP1903)="",$H1903,INDEX(職員マスタ!$B$6:$B$405,$AP1903)))</f>
        <v/>
      </c>
      <c r="Y1903" s="14">
        <f>IF($AP1903="",IF($B1903="","",$R1903),IF(INDEX(職員マスタ!$C$6:$C$405,$AP1903)="",$R1903,INDEX(職員マスタ!$C$6:$C$405,$AP1903)))</f>
        <v/>
      </c>
      <c r="Z1903" s="14">
        <f>IF($AQ1903="","","R"&amp;$C1903&amp;"."&amp;$D1903)</f>
        <v/>
      </c>
      <c r="AA1903" s="15">
        <f>IF(IF($AP1903="",FALSE,INDEX(職員マスタ!$K$6:$K$405,$AP1903)&lt;&gt;""),INDEX(職員マスタ!$K$6:$K$405,$AP1903),IF(N($W1903)&gt;0,$W1903,""))</f>
        <v/>
      </c>
      <c r="AB1903" s="14">
        <f>IF(OR($E1903="",$AA1903=""),"",IF($E1903&gt;=$AA1903,"×",IF($E1903&gt;=$AA1903*設定!$C$5,"△","○")))</f>
        <v/>
      </c>
      <c r="AC1903" s="15">
        <f>IF($AB1903="","",IF($AB1903="×",0,IF($AB1903="○",ROUNDDOWN($E1903*設定!$C$4,0),ROUNDDOWN($E1903*ROUND((9*$AA1903-9*$E1903)/(10*$E1903),4),0))))</f>
        <v/>
      </c>
      <c r="AD1903" s="13" t="n"/>
      <c r="AE1903" s="15">
        <f>IF($B1903="","",IF($AD1903&lt;&gt;"",$AD1903,IF($AC1903="","",IF($AC1903&lt;=設定!$C$3,0,$AC1903))))</f>
        <v/>
      </c>
      <c r="AF1903" s="14">
        <f>IF($B1903="","",IF(AND($AG1903&lt;&gt;"",$AI1903="",$AL1903=""),"保留中",IF($AL1903&lt;&gt;"",IF(N($AE1903)&gt;0,"支給済","不支給"),IF($AE1903="","要確認",IF($AE1903=0,"不支給","未処理")))))</f>
        <v/>
      </c>
      <c r="AG1903" s="12" t="n"/>
      <c r="AH1903" s="11" t="n"/>
      <c r="AI1903" s="11" t="n"/>
      <c r="AJ1903" s="11" t="n"/>
      <c r="AK1903" s="14">
        <f>IF(AND($AF1903="保留中",$AH1903&lt;&gt;""),TODAY()-$AH1903,"")</f>
        <v/>
      </c>
      <c r="AL1903" s="12" t="n"/>
      <c r="AM1903" s="14">
        <f>IF($B1903="","",IF($AQ1903="","対象年月が未入力／","")&amp;IF($B1903="","",IF($AP1903="","職員マスタに未登録の職員番号／",IF($AA1903="","標準報酬月額が未登録／","")&amp;IF(AND($AQ1903&lt;&gt;"",OR(AND(INDEX(職員マスタ!$G$6:$G$405,$AP1903)&lt;&gt;"",INDEX(職員マスタ!$G$6:$G$405,$AP1903)&gt;EOMONTH($AQ1903,0)),AND(INDEX(職員マスタ!$H$6:$H$405,$AP1903)&lt;&gt;"",INDEX(職員マスタ!$H$6:$H$405,$AP1903)&lt;$AQ1903))),"対象月が時短期間外／","")&amp;IF(AND(INDEX(職員マスタ!$K$6:$K$405,$AP1903)&lt;&gt;"",N($W1903)&gt;0,INDEX(職員マスタ!$K$6:$K$405,$AP1903)&lt;&gt;$W1903),"標準報酬月額が申請書と相違（台帳"&amp;TEXT(INDEX(職員マスタ!$K$6:$K$405,$AP1903),"#,##0")&amp;"円／申請書"&amp;TEXT($W1903,"#,##0")&amp;"円）／","")&amp;IF(AND(INDEX(職員マスタ!$F$6:$F$405,$AP1903)&lt;&gt;"",$AQ1903&lt;&gt;"",INDEX(職員マスタ!$F$6:$F$405,$AP1903)&lt;$AQ1903),"対象月に子が2歳到達済／","")&amp;IF(AND($H1903&lt;&gt;"",INDEX(職員マスタ!$B$6:$B$405,$AP1903)&lt;&gt;"",SUBSTITUTE(SUBSTITUTE($H1903," ","")," ","")&lt;&gt;SUBSTITUTE(SUBSTITUTE(INDEX(職員マスタ!$B$6:$B$405,$AP1903)," ","")," ","")),"氏名がマスタと相違／","")&amp;IF(AND($Q1903&lt;&gt;"",INDEX(職員マスタ!$E$6:$E$405,$AP1903)&lt;&gt;"",$Q1903&lt;&gt;INDEX(職員マスタ!$E$6:$E$405,$AP1903)),"子の生年月日がマスタと相違／","")&amp;IF(AND($L1903&lt;&gt;"",INDEX(職員マスタ!$G$6:$G$405,$AP1903)&lt;&gt;"",$L1903&lt;&gt;INDEX(職員マスタ!$G$6:$G$405,$AP1903)),"時短開始日がマスタと相違／","")&amp;IF(AND($M1903&lt;&gt;"",INDEX(職員マスタ!$H$6:$H$405,$AP1903)&lt;&gt;"",$M1903&lt;&gt;INDEX(職員マスタ!$H$6:$H$405,$AP1903)),"時短終了日がマスタと相違／","")))&amp;IF(AND($B1903&lt;&gt;"",$E1903=""),"報酬額が未入力／","")&amp;IF(N($U1903)&gt;0,"申請書に入力エラーが残っています／","")&amp;IF(AND($B1903&lt;&gt;"",$AQ1903&lt;&gt;""),IF(COUNTIFS($B$6:$B$3005,$B1903,$C$6:$C$3005,$C1903,$D$6:$D$3005,$D1903)&gt;1,"同じ月の請求が重複しています／",""),"")&amp;IF(AND(N($E1903)&gt;0,$AB1903&lt;&gt;"",$AB1903&lt;&gt;"×",$AE1903=0,$AD1903=""),"計算額が下限以下のため不支給／",""))</f>
        <v/>
      </c>
      <c r="AN1903" s="12" t="n"/>
      <c r="AO1903" s="14">
        <f>IF($AF1903="保留中",COUNTIF($AF$6:$AF1903,"保留中"),"")</f>
        <v/>
      </c>
      <c r="AP1903" s="14">
        <f>IF($AQ1903="","",IF(SUMPRODUCT(MAX((職員マスタ!$A$6:$A$405=$B1903)*(((職員マスタ!$G$6:$G$405="")+(職員マスタ!$G$6:$G$405&lt;=EOMONTH($AQ1903,0)))&gt;0)*(((職員マスタ!$H$6:$H$405="")+(職員マスタ!$H$6:$H$405&gt;=$AQ1903))&gt;0)*(ROW(職員マスタ!$A$6:$A$405)-5)))&gt;0,SUMPRODUCT(MAX((職員マスタ!$A$6:$A$405=$B1903)*(((職員マスタ!$G$6:$G$405="")+(職員マスタ!$G$6:$G$405&lt;=EOMONTH($AQ1903,0)))&gt;0)*(((職員マスタ!$H$6:$H$405="")+(職員マスタ!$H$6:$H$405&gt;=$AQ1903))&gt;0)*(ROW(職員マスタ!$A$6:$A$405)-5))),IFERROR(MATCH($B1903,職員マスタ!$A$6:$A$405,0),"")))</f>
        <v/>
      </c>
      <c r="AQ1903" s="16">
        <f>IF(OR($B1903="",$C1903="",$D1903=""),"",DATE($C1903+2018,$D1903,1))</f>
        <v/>
      </c>
    </row>
    <row r="1904">
      <c r="A1904" s="11" t="n"/>
      <c r="B1904" s="12" t="n"/>
      <c r="C1904" s="12" t="n"/>
      <c r="D1904" s="12" t="n"/>
      <c r="E1904" s="13" t="n"/>
      <c r="F1904" s="12" t="n"/>
      <c r="G1904" s="13" t="n"/>
      <c r="H1904" s="12" t="n"/>
      <c r="I1904" s="12" t="n"/>
      <c r="J1904" s="12" t="n"/>
      <c r="K1904" s="12" t="n"/>
      <c r="L1904" s="11" t="n"/>
      <c r="M1904" s="11" t="n"/>
      <c r="N1904" s="11" t="n"/>
      <c r="O1904" s="11" t="n"/>
      <c r="P1904" s="12" t="n"/>
      <c r="Q1904" s="11" t="n"/>
      <c r="R1904" s="12" t="n"/>
      <c r="S1904" s="11" t="n"/>
      <c r="T1904" s="12" t="n"/>
      <c r="U1904" s="12" t="n"/>
      <c r="V1904" s="12" t="n"/>
      <c r="W1904" s="13" t="n"/>
      <c r="X1904" s="14">
        <f>IF($AP1904="",IF($B1904="","",$H1904),IF(INDEX(職員マスタ!$B$6:$B$405,$AP1904)="",$H1904,INDEX(職員マスタ!$B$6:$B$405,$AP1904)))</f>
        <v/>
      </c>
      <c r="Y1904" s="14">
        <f>IF($AP1904="",IF($B1904="","",$R1904),IF(INDEX(職員マスタ!$C$6:$C$405,$AP1904)="",$R1904,INDEX(職員マスタ!$C$6:$C$405,$AP1904)))</f>
        <v/>
      </c>
      <c r="Z1904" s="14">
        <f>IF($AQ1904="","","R"&amp;$C1904&amp;"."&amp;$D1904)</f>
        <v/>
      </c>
      <c r="AA1904" s="15">
        <f>IF(IF($AP1904="",FALSE,INDEX(職員マスタ!$K$6:$K$405,$AP1904)&lt;&gt;""),INDEX(職員マスタ!$K$6:$K$405,$AP1904),IF(N($W1904)&gt;0,$W1904,""))</f>
        <v/>
      </c>
      <c r="AB1904" s="14">
        <f>IF(OR($E1904="",$AA1904=""),"",IF($E1904&gt;=$AA1904,"×",IF($E1904&gt;=$AA1904*設定!$C$5,"△","○")))</f>
        <v/>
      </c>
      <c r="AC1904" s="15">
        <f>IF($AB1904="","",IF($AB1904="×",0,IF($AB1904="○",ROUNDDOWN($E1904*設定!$C$4,0),ROUNDDOWN($E1904*ROUND((9*$AA1904-9*$E1904)/(10*$E1904),4),0))))</f>
        <v/>
      </c>
      <c r="AD1904" s="13" t="n"/>
      <c r="AE1904" s="15">
        <f>IF($B1904="","",IF($AD1904&lt;&gt;"",$AD1904,IF($AC1904="","",IF($AC1904&lt;=設定!$C$3,0,$AC1904))))</f>
        <v/>
      </c>
      <c r="AF1904" s="14">
        <f>IF($B1904="","",IF(AND($AG1904&lt;&gt;"",$AI1904="",$AL1904=""),"保留中",IF($AL1904&lt;&gt;"",IF(N($AE1904)&gt;0,"支給済","不支給"),IF($AE1904="","要確認",IF($AE1904=0,"不支給","未処理")))))</f>
        <v/>
      </c>
      <c r="AG1904" s="12" t="n"/>
      <c r="AH1904" s="11" t="n"/>
      <c r="AI1904" s="11" t="n"/>
      <c r="AJ1904" s="11" t="n"/>
      <c r="AK1904" s="14">
        <f>IF(AND($AF1904="保留中",$AH1904&lt;&gt;""),TODAY()-$AH1904,"")</f>
        <v/>
      </c>
      <c r="AL1904" s="12" t="n"/>
      <c r="AM1904" s="14">
        <f>IF($B1904="","",IF($AQ1904="","対象年月が未入力／","")&amp;IF($B1904="","",IF($AP1904="","職員マスタに未登録の職員番号／",IF($AA1904="","標準報酬月額が未登録／","")&amp;IF(AND($AQ1904&lt;&gt;"",OR(AND(INDEX(職員マスタ!$G$6:$G$405,$AP1904)&lt;&gt;"",INDEX(職員マスタ!$G$6:$G$405,$AP1904)&gt;EOMONTH($AQ1904,0)),AND(INDEX(職員マスタ!$H$6:$H$405,$AP1904)&lt;&gt;"",INDEX(職員マスタ!$H$6:$H$405,$AP1904)&lt;$AQ1904))),"対象月が時短期間外／","")&amp;IF(AND(INDEX(職員マスタ!$K$6:$K$405,$AP1904)&lt;&gt;"",N($W1904)&gt;0,INDEX(職員マスタ!$K$6:$K$405,$AP1904)&lt;&gt;$W1904),"標準報酬月額が申請書と相違（台帳"&amp;TEXT(INDEX(職員マスタ!$K$6:$K$405,$AP1904),"#,##0")&amp;"円／申請書"&amp;TEXT($W1904,"#,##0")&amp;"円）／","")&amp;IF(AND(INDEX(職員マスタ!$F$6:$F$405,$AP1904)&lt;&gt;"",$AQ1904&lt;&gt;"",INDEX(職員マスタ!$F$6:$F$405,$AP1904)&lt;$AQ1904),"対象月に子が2歳到達済／","")&amp;IF(AND($H1904&lt;&gt;"",INDEX(職員マスタ!$B$6:$B$405,$AP1904)&lt;&gt;"",SUBSTITUTE(SUBSTITUTE($H1904," ","")," ","")&lt;&gt;SUBSTITUTE(SUBSTITUTE(INDEX(職員マスタ!$B$6:$B$405,$AP1904)," ","")," ","")),"氏名がマスタと相違／","")&amp;IF(AND($Q1904&lt;&gt;"",INDEX(職員マスタ!$E$6:$E$405,$AP1904)&lt;&gt;"",$Q1904&lt;&gt;INDEX(職員マスタ!$E$6:$E$405,$AP1904)),"子の生年月日がマスタと相違／","")&amp;IF(AND($L1904&lt;&gt;"",INDEX(職員マスタ!$G$6:$G$405,$AP1904)&lt;&gt;"",$L1904&lt;&gt;INDEX(職員マスタ!$G$6:$G$405,$AP1904)),"時短開始日がマスタと相違／","")&amp;IF(AND($M1904&lt;&gt;"",INDEX(職員マスタ!$H$6:$H$405,$AP1904)&lt;&gt;"",$M1904&lt;&gt;INDEX(職員マスタ!$H$6:$H$405,$AP1904)),"時短終了日がマスタと相違／","")))&amp;IF(AND($B1904&lt;&gt;"",$E1904=""),"報酬額が未入力／","")&amp;IF(N($U1904)&gt;0,"申請書に入力エラーが残っています／","")&amp;IF(AND($B1904&lt;&gt;"",$AQ1904&lt;&gt;""),IF(COUNTIFS($B$6:$B$3005,$B1904,$C$6:$C$3005,$C1904,$D$6:$D$3005,$D1904)&gt;1,"同じ月の請求が重複しています／",""),"")&amp;IF(AND(N($E1904)&gt;0,$AB1904&lt;&gt;"",$AB1904&lt;&gt;"×",$AE1904=0,$AD1904=""),"計算額が下限以下のため不支給／",""))</f>
        <v/>
      </c>
      <c r="AN1904" s="12" t="n"/>
      <c r="AO1904" s="14">
        <f>IF($AF1904="保留中",COUNTIF($AF$6:$AF1904,"保留中"),"")</f>
        <v/>
      </c>
      <c r="AP1904" s="14">
        <f>IF($AQ1904="","",IF(SUMPRODUCT(MAX((職員マスタ!$A$6:$A$405=$B1904)*(((職員マスタ!$G$6:$G$405="")+(職員マスタ!$G$6:$G$405&lt;=EOMONTH($AQ1904,0)))&gt;0)*(((職員マスタ!$H$6:$H$405="")+(職員マスタ!$H$6:$H$405&gt;=$AQ1904))&gt;0)*(ROW(職員マスタ!$A$6:$A$405)-5)))&gt;0,SUMPRODUCT(MAX((職員マスタ!$A$6:$A$405=$B1904)*(((職員マスタ!$G$6:$G$405="")+(職員マスタ!$G$6:$G$405&lt;=EOMONTH($AQ1904,0)))&gt;0)*(((職員マスタ!$H$6:$H$405="")+(職員マスタ!$H$6:$H$405&gt;=$AQ1904))&gt;0)*(ROW(職員マスタ!$A$6:$A$405)-5))),IFERROR(MATCH($B1904,職員マスタ!$A$6:$A$405,0),"")))</f>
        <v/>
      </c>
      <c r="AQ1904" s="16">
        <f>IF(OR($B1904="",$C1904="",$D1904=""),"",DATE($C1904+2018,$D1904,1))</f>
        <v/>
      </c>
    </row>
    <row r="1905">
      <c r="A1905" s="11" t="n"/>
      <c r="B1905" s="12" t="n"/>
      <c r="C1905" s="12" t="n"/>
      <c r="D1905" s="12" t="n"/>
      <c r="E1905" s="13" t="n"/>
      <c r="F1905" s="12" t="n"/>
      <c r="G1905" s="13" t="n"/>
      <c r="H1905" s="12" t="n"/>
      <c r="I1905" s="12" t="n"/>
      <c r="J1905" s="12" t="n"/>
      <c r="K1905" s="12" t="n"/>
      <c r="L1905" s="11" t="n"/>
      <c r="M1905" s="11" t="n"/>
      <c r="N1905" s="11" t="n"/>
      <c r="O1905" s="11" t="n"/>
      <c r="P1905" s="12" t="n"/>
      <c r="Q1905" s="11" t="n"/>
      <c r="R1905" s="12" t="n"/>
      <c r="S1905" s="11" t="n"/>
      <c r="T1905" s="12" t="n"/>
      <c r="U1905" s="12" t="n"/>
      <c r="V1905" s="12" t="n"/>
      <c r="W1905" s="13" t="n"/>
      <c r="X1905" s="14">
        <f>IF($AP1905="",IF($B1905="","",$H1905),IF(INDEX(職員マスタ!$B$6:$B$405,$AP1905)="",$H1905,INDEX(職員マスタ!$B$6:$B$405,$AP1905)))</f>
        <v/>
      </c>
      <c r="Y1905" s="14">
        <f>IF($AP1905="",IF($B1905="","",$R1905),IF(INDEX(職員マスタ!$C$6:$C$405,$AP1905)="",$R1905,INDEX(職員マスタ!$C$6:$C$405,$AP1905)))</f>
        <v/>
      </c>
      <c r="Z1905" s="14">
        <f>IF($AQ1905="","","R"&amp;$C1905&amp;"."&amp;$D1905)</f>
        <v/>
      </c>
      <c r="AA1905" s="15">
        <f>IF(IF($AP1905="",FALSE,INDEX(職員マスタ!$K$6:$K$405,$AP1905)&lt;&gt;""),INDEX(職員マスタ!$K$6:$K$405,$AP1905),IF(N($W1905)&gt;0,$W1905,""))</f>
        <v/>
      </c>
      <c r="AB1905" s="14">
        <f>IF(OR($E1905="",$AA1905=""),"",IF($E1905&gt;=$AA1905,"×",IF($E1905&gt;=$AA1905*設定!$C$5,"△","○")))</f>
        <v/>
      </c>
      <c r="AC1905" s="15">
        <f>IF($AB1905="","",IF($AB1905="×",0,IF($AB1905="○",ROUNDDOWN($E1905*設定!$C$4,0),ROUNDDOWN($E1905*ROUND((9*$AA1905-9*$E1905)/(10*$E1905),4),0))))</f>
        <v/>
      </c>
      <c r="AD1905" s="13" t="n"/>
      <c r="AE1905" s="15">
        <f>IF($B1905="","",IF($AD1905&lt;&gt;"",$AD1905,IF($AC1905="","",IF($AC1905&lt;=設定!$C$3,0,$AC1905))))</f>
        <v/>
      </c>
      <c r="AF1905" s="14">
        <f>IF($B1905="","",IF(AND($AG1905&lt;&gt;"",$AI1905="",$AL1905=""),"保留中",IF($AL1905&lt;&gt;"",IF(N($AE1905)&gt;0,"支給済","不支給"),IF($AE1905="","要確認",IF($AE1905=0,"不支給","未処理")))))</f>
        <v/>
      </c>
      <c r="AG1905" s="12" t="n"/>
      <c r="AH1905" s="11" t="n"/>
      <c r="AI1905" s="11" t="n"/>
      <c r="AJ1905" s="11" t="n"/>
      <c r="AK1905" s="14">
        <f>IF(AND($AF1905="保留中",$AH1905&lt;&gt;""),TODAY()-$AH1905,"")</f>
        <v/>
      </c>
      <c r="AL1905" s="12" t="n"/>
      <c r="AM1905" s="14">
        <f>IF($B1905="","",IF($AQ1905="","対象年月が未入力／","")&amp;IF($B1905="","",IF($AP1905="","職員マスタに未登録の職員番号／",IF($AA1905="","標準報酬月額が未登録／","")&amp;IF(AND($AQ1905&lt;&gt;"",OR(AND(INDEX(職員マスタ!$G$6:$G$405,$AP1905)&lt;&gt;"",INDEX(職員マスタ!$G$6:$G$405,$AP1905)&gt;EOMONTH($AQ1905,0)),AND(INDEX(職員マスタ!$H$6:$H$405,$AP1905)&lt;&gt;"",INDEX(職員マスタ!$H$6:$H$405,$AP1905)&lt;$AQ1905))),"対象月が時短期間外／","")&amp;IF(AND(INDEX(職員マスタ!$K$6:$K$405,$AP1905)&lt;&gt;"",N($W1905)&gt;0,INDEX(職員マスタ!$K$6:$K$405,$AP1905)&lt;&gt;$W1905),"標準報酬月額が申請書と相違（台帳"&amp;TEXT(INDEX(職員マスタ!$K$6:$K$405,$AP1905),"#,##0")&amp;"円／申請書"&amp;TEXT($W1905,"#,##0")&amp;"円）／","")&amp;IF(AND(INDEX(職員マスタ!$F$6:$F$405,$AP1905)&lt;&gt;"",$AQ1905&lt;&gt;"",INDEX(職員マスタ!$F$6:$F$405,$AP1905)&lt;$AQ1905),"対象月に子が2歳到達済／","")&amp;IF(AND($H1905&lt;&gt;"",INDEX(職員マスタ!$B$6:$B$405,$AP1905)&lt;&gt;"",SUBSTITUTE(SUBSTITUTE($H1905," ","")," ","")&lt;&gt;SUBSTITUTE(SUBSTITUTE(INDEX(職員マスタ!$B$6:$B$405,$AP1905)," ","")," ","")),"氏名がマスタと相違／","")&amp;IF(AND($Q1905&lt;&gt;"",INDEX(職員マスタ!$E$6:$E$405,$AP1905)&lt;&gt;"",$Q1905&lt;&gt;INDEX(職員マスタ!$E$6:$E$405,$AP1905)),"子の生年月日がマスタと相違／","")&amp;IF(AND($L1905&lt;&gt;"",INDEX(職員マスタ!$G$6:$G$405,$AP1905)&lt;&gt;"",$L1905&lt;&gt;INDEX(職員マスタ!$G$6:$G$405,$AP1905)),"時短開始日がマスタと相違／","")&amp;IF(AND($M1905&lt;&gt;"",INDEX(職員マスタ!$H$6:$H$405,$AP1905)&lt;&gt;"",$M1905&lt;&gt;INDEX(職員マスタ!$H$6:$H$405,$AP1905)),"時短終了日がマスタと相違／","")))&amp;IF(AND($B1905&lt;&gt;"",$E1905=""),"報酬額が未入力／","")&amp;IF(N($U1905)&gt;0,"申請書に入力エラーが残っています／","")&amp;IF(AND($B1905&lt;&gt;"",$AQ1905&lt;&gt;""),IF(COUNTIFS($B$6:$B$3005,$B1905,$C$6:$C$3005,$C1905,$D$6:$D$3005,$D1905)&gt;1,"同じ月の請求が重複しています／",""),"")&amp;IF(AND(N($E1905)&gt;0,$AB1905&lt;&gt;"",$AB1905&lt;&gt;"×",$AE1905=0,$AD1905=""),"計算額が下限以下のため不支給／",""))</f>
        <v/>
      </c>
      <c r="AN1905" s="12" t="n"/>
      <c r="AO1905" s="14">
        <f>IF($AF1905="保留中",COUNTIF($AF$6:$AF1905,"保留中"),"")</f>
        <v/>
      </c>
      <c r="AP1905" s="14">
        <f>IF($AQ1905="","",IF(SUMPRODUCT(MAX((職員マスタ!$A$6:$A$405=$B1905)*(((職員マスタ!$G$6:$G$405="")+(職員マスタ!$G$6:$G$405&lt;=EOMONTH($AQ1905,0)))&gt;0)*(((職員マスタ!$H$6:$H$405="")+(職員マスタ!$H$6:$H$405&gt;=$AQ1905))&gt;0)*(ROW(職員マスタ!$A$6:$A$405)-5)))&gt;0,SUMPRODUCT(MAX((職員マスタ!$A$6:$A$405=$B1905)*(((職員マスタ!$G$6:$G$405="")+(職員マスタ!$G$6:$G$405&lt;=EOMONTH($AQ1905,0)))&gt;0)*(((職員マスタ!$H$6:$H$405="")+(職員マスタ!$H$6:$H$405&gt;=$AQ1905))&gt;0)*(ROW(職員マスタ!$A$6:$A$405)-5))),IFERROR(MATCH($B1905,職員マスタ!$A$6:$A$405,0),"")))</f>
        <v/>
      </c>
      <c r="AQ1905" s="16">
        <f>IF(OR($B1905="",$C1905="",$D1905=""),"",DATE($C1905+2018,$D1905,1))</f>
        <v/>
      </c>
    </row>
    <row r="1906">
      <c r="A1906" s="11" t="n"/>
      <c r="B1906" s="12" t="n"/>
      <c r="C1906" s="12" t="n"/>
      <c r="D1906" s="12" t="n"/>
      <c r="E1906" s="13" t="n"/>
      <c r="F1906" s="12" t="n"/>
      <c r="G1906" s="13" t="n"/>
      <c r="H1906" s="12" t="n"/>
      <c r="I1906" s="12" t="n"/>
      <c r="J1906" s="12" t="n"/>
      <c r="K1906" s="12" t="n"/>
      <c r="L1906" s="11" t="n"/>
      <c r="M1906" s="11" t="n"/>
      <c r="N1906" s="11" t="n"/>
      <c r="O1906" s="11" t="n"/>
      <c r="P1906" s="12" t="n"/>
      <c r="Q1906" s="11" t="n"/>
      <c r="R1906" s="12" t="n"/>
      <c r="S1906" s="11" t="n"/>
      <c r="T1906" s="12" t="n"/>
      <c r="U1906" s="12" t="n"/>
      <c r="V1906" s="12" t="n"/>
      <c r="W1906" s="13" t="n"/>
      <c r="X1906" s="14">
        <f>IF($AP1906="",IF($B1906="","",$H1906),IF(INDEX(職員マスタ!$B$6:$B$405,$AP1906)="",$H1906,INDEX(職員マスタ!$B$6:$B$405,$AP1906)))</f>
        <v/>
      </c>
      <c r="Y1906" s="14">
        <f>IF($AP1906="",IF($B1906="","",$R1906),IF(INDEX(職員マスタ!$C$6:$C$405,$AP1906)="",$R1906,INDEX(職員マスタ!$C$6:$C$405,$AP1906)))</f>
        <v/>
      </c>
      <c r="Z1906" s="14">
        <f>IF($AQ1906="","","R"&amp;$C1906&amp;"."&amp;$D1906)</f>
        <v/>
      </c>
      <c r="AA1906" s="15">
        <f>IF(IF($AP1906="",FALSE,INDEX(職員マスタ!$K$6:$K$405,$AP1906)&lt;&gt;""),INDEX(職員マスタ!$K$6:$K$405,$AP1906),IF(N($W1906)&gt;0,$W1906,""))</f>
        <v/>
      </c>
      <c r="AB1906" s="14">
        <f>IF(OR($E1906="",$AA1906=""),"",IF($E1906&gt;=$AA1906,"×",IF($E1906&gt;=$AA1906*設定!$C$5,"△","○")))</f>
        <v/>
      </c>
      <c r="AC1906" s="15">
        <f>IF($AB1906="","",IF($AB1906="×",0,IF($AB1906="○",ROUNDDOWN($E1906*設定!$C$4,0),ROUNDDOWN($E1906*ROUND((9*$AA1906-9*$E1906)/(10*$E1906),4),0))))</f>
        <v/>
      </c>
      <c r="AD1906" s="13" t="n"/>
      <c r="AE1906" s="15">
        <f>IF($B1906="","",IF($AD1906&lt;&gt;"",$AD1906,IF($AC1906="","",IF($AC1906&lt;=設定!$C$3,0,$AC1906))))</f>
        <v/>
      </c>
      <c r="AF1906" s="14">
        <f>IF($B1906="","",IF(AND($AG1906&lt;&gt;"",$AI1906="",$AL1906=""),"保留中",IF($AL1906&lt;&gt;"",IF(N($AE1906)&gt;0,"支給済","不支給"),IF($AE1906="","要確認",IF($AE1906=0,"不支給","未処理")))))</f>
        <v/>
      </c>
      <c r="AG1906" s="12" t="n"/>
      <c r="AH1906" s="11" t="n"/>
      <c r="AI1906" s="11" t="n"/>
      <c r="AJ1906" s="11" t="n"/>
      <c r="AK1906" s="14">
        <f>IF(AND($AF1906="保留中",$AH1906&lt;&gt;""),TODAY()-$AH1906,"")</f>
        <v/>
      </c>
      <c r="AL1906" s="12" t="n"/>
      <c r="AM1906" s="14">
        <f>IF($B1906="","",IF($AQ1906="","対象年月が未入力／","")&amp;IF($B1906="","",IF($AP1906="","職員マスタに未登録の職員番号／",IF($AA1906="","標準報酬月額が未登録／","")&amp;IF(AND($AQ1906&lt;&gt;"",OR(AND(INDEX(職員マスタ!$G$6:$G$405,$AP1906)&lt;&gt;"",INDEX(職員マスタ!$G$6:$G$405,$AP1906)&gt;EOMONTH($AQ1906,0)),AND(INDEX(職員マスタ!$H$6:$H$405,$AP1906)&lt;&gt;"",INDEX(職員マスタ!$H$6:$H$405,$AP1906)&lt;$AQ1906))),"対象月が時短期間外／","")&amp;IF(AND(INDEX(職員マスタ!$K$6:$K$405,$AP1906)&lt;&gt;"",N($W1906)&gt;0,INDEX(職員マスタ!$K$6:$K$405,$AP1906)&lt;&gt;$W1906),"標準報酬月額が申請書と相違（台帳"&amp;TEXT(INDEX(職員マスタ!$K$6:$K$405,$AP1906),"#,##0")&amp;"円／申請書"&amp;TEXT($W1906,"#,##0")&amp;"円）／","")&amp;IF(AND(INDEX(職員マスタ!$F$6:$F$405,$AP1906)&lt;&gt;"",$AQ1906&lt;&gt;"",INDEX(職員マスタ!$F$6:$F$405,$AP1906)&lt;$AQ1906),"対象月に子が2歳到達済／","")&amp;IF(AND($H1906&lt;&gt;"",INDEX(職員マスタ!$B$6:$B$405,$AP1906)&lt;&gt;"",SUBSTITUTE(SUBSTITUTE($H1906," ","")," ","")&lt;&gt;SUBSTITUTE(SUBSTITUTE(INDEX(職員マスタ!$B$6:$B$405,$AP1906)," ","")," ","")),"氏名がマスタと相違／","")&amp;IF(AND($Q1906&lt;&gt;"",INDEX(職員マスタ!$E$6:$E$405,$AP1906)&lt;&gt;"",$Q1906&lt;&gt;INDEX(職員マスタ!$E$6:$E$405,$AP1906)),"子の生年月日がマスタと相違／","")&amp;IF(AND($L1906&lt;&gt;"",INDEX(職員マスタ!$G$6:$G$405,$AP1906)&lt;&gt;"",$L1906&lt;&gt;INDEX(職員マスタ!$G$6:$G$405,$AP1906)),"時短開始日がマスタと相違／","")&amp;IF(AND($M1906&lt;&gt;"",INDEX(職員マスタ!$H$6:$H$405,$AP1906)&lt;&gt;"",$M1906&lt;&gt;INDEX(職員マスタ!$H$6:$H$405,$AP1906)),"時短終了日がマスタと相違／","")))&amp;IF(AND($B1906&lt;&gt;"",$E1906=""),"報酬額が未入力／","")&amp;IF(N($U1906)&gt;0,"申請書に入力エラーが残っています／","")&amp;IF(AND($B1906&lt;&gt;"",$AQ1906&lt;&gt;""),IF(COUNTIFS($B$6:$B$3005,$B1906,$C$6:$C$3005,$C1906,$D$6:$D$3005,$D1906)&gt;1,"同じ月の請求が重複しています／",""),"")&amp;IF(AND(N($E1906)&gt;0,$AB1906&lt;&gt;"",$AB1906&lt;&gt;"×",$AE1906=0,$AD1906=""),"計算額が下限以下のため不支給／",""))</f>
        <v/>
      </c>
      <c r="AN1906" s="12" t="n"/>
      <c r="AO1906" s="14">
        <f>IF($AF1906="保留中",COUNTIF($AF$6:$AF1906,"保留中"),"")</f>
        <v/>
      </c>
      <c r="AP1906" s="14">
        <f>IF($AQ1906="","",IF(SUMPRODUCT(MAX((職員マスタ!$A$6:$A$405=$B1906)*(((職員マスタ!$G$6:$G$405="")+(職員マスタ!$G$6:$G$405&lt;=EOMONTH($AQ1906,0)))&gt;0)*(((職員マスタ!$H$6:$H$405="")+(職員マスタ!$H$6:$H$405&gt;=$AQ1906))&gt;0)*(ROW(職員マスタ!$A$6:$A$405)-5)))&gt;0,SUMPRODUCT(MAX((職員マスタ!$A$6:$A$405=$B1906)*(((職員マスタ!$G$6:$G$405="")+(職員マスタ!$G$6:$G$405&lt;=EOMONTH($AQ1906,0)))&gt;0)*(((職員マスタ!$H$6:$H$405="")+(職員マスタ!$H$6:$H$405&gt;=$AQ1906))&gt;0)*(ROW(職員マスタ!$A$6:$A$405)-5))),IFERROR(MATCH($B1906,職員マスタ!$A$6:$A$405,0),"")))</f>
        <v/>
      </c>
      <c r="AQ1906" s="16">
        <f>IF(OR($B1906="",$C1906="",$D1906=""),"",DATE($C1906+2018,$D1906,1))</f>
        <v/>
      </c>
    </row>
    <row r="1907">
      <c r="A1907" s="11" t="n"/>
      <c r="B1907" s="12" t="n"/>
      <c r="C1907" s="12" t="n"/>
      <c r="D1907" s="12" t="n"/>
      <c r="E1907" s="13" t="n"/>
      <c r="F1907" s="12" t="n"/>
      <c r="G1907" s="13" t="n"/>
      <c r="H1907" s="12" t="n"/>
      <c r="I1907" s="12" t="n"/>
      <c r="J1907" s="12" t="n"/>
      <c r="K1907" s="12" t="n"/>
      <c r="L1907" s="11" t="n"/>
      <c r="M1907" s="11" t="n"/>
      <c r="N1907" s="11" t="n"/>
      <c r="O1907" s="11" t="n"/>
      <c r="P1907" s="12" t="n"/>
      <c r="Q1907" s="11" t="n"/>
      <c r="R1907" s="12" t="n"/>
      <c r="S1907" s="11" t="n"/>
      <c r="T1907" s="12" t="n"/>
      <c r="U1907" s="12" t="n"/>
      <c r="V1907" s="12" t="n"/>
      <c r="W1907" s="13" t="n"/>
      <c r="X1907" s="14">
        <f>IF($AP1907="",IF($B1907="","",$H1907),IF(INDEX(職員マスタ!$B$6:$B$405,$AP1907)="",$H1907,INDEX(職員マスタ!$B$6:$B$405,$AP1907)))</f>
        <v/>
      </c>
      <c r="Y1907" s="14">
        <f>IF($AP1907="",IF($B1907="","",$R1907),IF(INDEX(職員マスタ!$C$6:$C$405,$AP1907)="",$R1907,INDEX(職員マスタ!$C$6:$C$405,$AP1907)))</f>
        <v/>
      </c>
      <c r="Z1907" s="14">
        <f>IF($AQ1907="","","R"&amp;$C1907&amp;"."&amp;$D1907)</f>
        <v/>
      </c>
      <c r="AA1907" s="15">
        <f>IF(IF($AP1907="",FALSE,INDEX(職員マスタ!$K$6:$K$405,$AP1907)&lt;&gt;""),INDEX(職員マスタ!$K$6:$K$405,$AP1907),IF(N($W1907)&gt;0,$W1907,""))</f>
        <v/>
      </c>
      <c r="AB1907" s="14">
        <f>IF(OR($E1907="",$AA1907=""),"",IF($E1907&gt;=$AA1907,"×",IF($E1907&gt;=$AA1907*設定!$C$5,"△","○")))</f>
        <v/>
      </c>
      <c r="AC1907" s="15">
        <f>IF($AB1907="","",IF($AB1907="×",0,IF($AB1907="○",ROUNDDOWN($E1907*設定!$C$4,0),ROUNDDOWN($E1907*ROUND((9*$AA1907-9*$E1907)/(10*$E1907),4),0))))</f>
        <v/>
      </c>
      <c r="AD1907" s="13" t="n"/>
      <c r="AE1907" s="15">
        <f>IF($B1907="","",IF($AD1907&lt;&gt;"",$AD1907,IF($AC1907="","",IF($AC1907&lt;=設定!$C$3,0,$AC1907))))</f>
        <v/>
      </c>
      <c r="AF1907" s="14">
        <f>IF($B1907="","",IF(AND($AG1907&lt;&gt;"",$AI1907="",$AL1907=""),"保留中",IF($AL1907&lt;&gt;"",IF(N($AE1907)&gt;0,"支給済","不支給"),IF($AE1907="","要確認",IF($AE1907=0,"不支給","未処理")))))</f>
        <v/>
      </c>
      <c r="AG1907" s="12" t="n"/>
      <c r="AH1907" s="11" t="n"/>
      <c r="AI1907" s="11" t="n"/>
      <c r="AJ1907" s="11" t="n"/>
      <c r="AK1907" s="14">
        <f>IF(AND($AF1907="保留中",$AH1907&lt;&gt;""),TODAY()-$AH1907,"")</f>
        <v/>
      </c>
      <c r="AL1907" s="12" t="n"/>
      <c r="AM1907" s="14">
        <f>IF($B1907="","",IF($AQ1907="","対象年月が未入力／","")&amp;IF($B1907="","",IF($AP1907="","職員マスタに未登録の職員番号／",IF($AA1907="","標準報酬月額が未登録／","")&amp;IF(AND($AQ1907&lt;&gt;"",OR(AND(INDEX(職員マスタ!$G$6:$G$405,$AP1907)&lt;&gt;"",INDEX(職員マスタ!$G$6:$G$405,$AP1907)&gt;EOMONTH($AQ1907,0)),AND(INDEX(職員マスタ!$H$6:$H$405,$AP1907)&lt;&gt;"",INDEX(職員マスタ!$H$6:$H$405,$AP1907)&lt;$AQ1907))),"対象月が時短期間外／","")&amp;IF(AND(INDEX(職員マスタ!$K$6:$K$405,$AP1907)&lt;&gt;"",N($W1907)&gt;0,INDEX(職員マスタ!$K$6:$K$405,$AP1907)&lt;&gt;$W1907),"標準報酬月額が申請書と相違（台帳"&amp;TEXT(INDEX(職員マスタ!$K$6:$K$405,$AP1907),"#,##0")&amp;"円／申請書"&amp;TEXT($W1907,"#,##0")&amp;"円）／","")&amp;IF(AND(INDEX(職員マスタ!$F$6:$F$405,$AP1907)&lt;&gt;"",$AQ1907&lt;&gt;"",INDEX(職員マスタ!$F$6:$F$405,$AP1907)&lt;$AQ1907),"対象月に子が2歳到達済／","")&amp;IF(AND($H1907&lt;&gt;"",INDEX(職員マスタ!$B$6:$B$405,$AP1907)&lt;&gt;"",SUBSTITUTE(SUBSTITUTE($H1907," ","")," ","")&lt;&gt;SUBSTITUTE(SUBSTITUTE(INDEX(職員マスタ!$B$6:$B$405,$AP1907)," ","")," ","")),"氏名がマスタと相違／","")&amp;IF(AND($Q1907&lt;&gt;"",INDEX(職員マスタ!$E$6:$E$405,$AP1907)&lt;&gt;"",$Q1907&lt;&gt;INDEX(職員マスタ!$E$6:$E$405,$AP1907)),"子の生年月日がマスタと相違／","")&amp;IF(AND($L1907&lt;&gt;"",INDEX(職員マスタ!$G$6:$G$405,$AP1907)&lt;&gt;"",$L1907&lt;&gt;INDEX(職員マスタ!$G$6:$G$405,$AP1907)),"時短開始日がマスタと相違／","")&amp;IF(AND($M1907&lt;&gt;"",INDEX(職員マスタ!$H$6:$H$405,$AP1907)&lt;&gt;"",$M1907&lt;&gt;INDEX(職員マスタ!$H$6:$H$405,$AP1907)),"時短終了日がマスタと相違／","")))&amp;IF(AND($B1907&lt;&gt;"",$E1907=""),"報酬額が未入力／","")&amp;IF(N($U1907)&gt;0,"申請書に入力エラーが残っています／","")&amp;IF(AND($B1907&lt;&gt;"",$AQ1907&lt;&gt;""),IF(COUNTIFS($B$6:$B$3005,$B1907,$C$6:$C$3005,$C1907,$D$6:$D$3005,$D1907)&gt;1,"同じ月の請求が重複しています／",""),"")&amp;IF(AND(N($E1907)&gt;0,$AB1907&lt;&gt;"",$AB1907&lt;&gt;"×",$AE1907=0,$AD1907=""),"計算額が下限以下のため不支給／",""))</f>
        <v/>
      </c>
      <c r="AN1907" s="12" t="n"/>
      <c r="AO1907" s="14">
        <f>IF($AF1907="保留中",COUNTIF($AF$6:$AF1907,"保留中"),"")</f>
        <v/>
      </c>
      <c r="AP1907" s="14">
        <f>IF($AQ1907="","",IF(SUMPRODUCT(MAX((職員マスタ!$A$6:$A$405=$B1907)*(((職員マスタ!$G$6:$G$405="")+(職員マスタ!$G$6:$G$405&lt;=EOMONTH($AQ1907,0)))&gt;0)*(((職員マスタ!$H$6:$H$405="")+(職員マスタ!$H$6:$H$405&gt;=$AQ1907))&gt;0)*(ROW(職員マスタ!$A$6:$A$405)-5)))&gt;0,SUMPRODUCT(MAX((職員マスタ!$A$6:$A$405=$B1907)*(((職員マスタ!$G$6:$G$405="")+(職員マスタ!$G$6:$G$405&lt;=EOMONTH($AQ1907,0)))&gt;0)*(((職員マスタ!$H$6:$H$405="")+(職員マスタ!$H$6:$H$405&gt;=$AQ1907))&gt;0)*(ROW(職員マスタ!$A$6:$A$405)-5))),IFERROR(MATCH($B1907,職員マスタ!$A$6:$A$405,0),"")))</f>
        <v/>
      </c>
      <c r="AQ1907" s="16">
        <f>IF(OR($B1907="",$C1907="",$D1907=""),"",DATE($C1907+2018,$D1907,1))</f>
        <v/>
      </c>
    </row>
    <row r="1908">
      <c r="A1908" s="11" t="n"/>
      <c r="B1908" s="12" t="n"/>
      <c r="C1908" s="12" t="n"/>
      <c r="D1908" s="12" t="n"/>
      <c r="E1908" s="13" t="n"/>
      <c r="F1908" s="12" t="n"/>
      <c r="G1908" s="13" t="n"/>
      <c r="H1908" s="12" t="n"/>
      <c r="I1908" s="12" t="n"/>
      <c r="J1908" s="12" t="n"/>
      <c r="K1908" s="12" t="n"/>
      <c r="L1908" s="11" t="n"/>
      <c r="M1908" s="11" t="n"/>
      <c r="N1908" s="11" t="n"/>
      <c r="O1908" s="11" t="n"/>
      <c r="P1908" s="12" t="n"/>
      <c r="Q1908" s="11" t="n"/>
      <c r="R1908" s="12" t="n"/>
      <c r="S1908" s="11" t="n"/>
      <c r="T1908" s="12" t="n"/>
      <c r="U1908" s="12" t="n"/>
      <c r="V1908" s="12" t="n"/>
      <c r="W1908" s="13" t="n"/>
      <c r="X1908" s="14">
        <f>IF($AP1908="",IF($B1908="","",$H1908),IF(INDEX(職員マスタ!$B$6:$B$405,$AP1908)="",$H1908,INDEX(職員マスタ!$B$6:$B$405,$AP1908)))</f>
        <v/>
      </c>
      <c r="Y1908" s="14">
        <f>IF($AP1908="",IF($B1908="","",$R1908),IF(INDEX(職員マスタ!$C$6:$C$405,$AP1908)="",$R1908,INDEX(職員マスタ!$C$6:$C$405,$AP1908)))</f>
        <v/>
      </c>
      <c r="Z1908" s="14">
        <f>IF($AQ1908="","","R"&amp;$C1908&amp;"."&amp;$D1908)</f>
        <v/>
      </c>
      <c r="AA1908" s="15">
        <f>IF(IF($AP1908="",FALSE,INDEX(職員マスタ!$K$6:$K$405,$AP1908)&lt;&gt;""),INDEX(職員マスタ!$K$6:$K$405,$AP1908),IF(N($W1908)&gt;0,$W1908,""))</f>
        <v/>
      </c>
      <c r="AB1908" s="14">
        <f>IF(OR($E1908="",$AA1908=""),"",IF($E1908&gt;=$AA1908,"×",IF($E1908&gt;=$AA1908*設定!$C$5,"△","○")))</f>
        <v/>
      </c>
      <c r="AC1908" s="15">
        <f>IF($AB1908="","",IF($AB1908="×",0,IF($AB1908="○",ROUNDDOWN($E1908*設定!$C$4,0),ROUNDDOWN($E1908*ROUND((9*$AA1908-9*$E1908)/(10*$E1908),4),0))))</f>
        <v/>
      </c>
      <c r="AD1908" s="13" t="n"/>
      <c r="AE1908" s="15">
        <f>IF($B1908="","",IF($AD1908&lt;&gt;"",$AD1908,IF($AC1908="","",IF($AC1908&lt;=設定!$C$3,0,$AC1908))))</f>
        <v/>
      </c>
      <c r="AF1908" s="14">
        <f>IF($B1908="","",IF(AND($AG1908&lt;&gt;"",$AI1908="",$AL1908=""),"保留中",IF($AL1908&lt;&gt;"",IF(N($AE1908)&gt;0,"支給済","不支給"),IF($AE1908="","要確認",IF($AE1908=0,"不支給","未処理")))))</f>
        <v/>
      </c>
      <c r="AG1908" s="12" t="n"/>
      <c r="AH1908" s="11" t="n"/>
      <c r="AI1908" s="11" t="n"/>
      <c r="AJ1908" s="11" t="n"/>
      <c r="AK1908" s="14">
        <f>IF(AND($AF1908="保留中",$AH1908&lt;&gt;""),TODAY()-$AH1908,"")</f>
        <v/>
      </c>
      <c r="AL1908" s="12" t="n"/>
      <c r="AM1908" s="14">
        <f>IF($B1908="","",IF($AQ1908="","対象年月が未入力／","")&amp;IF($B1908="","",IF($AP1908="","職員マスタに未登録の職員番号／",IF($AA1908="","標準報酬月額が未登録／","")&amp;IF(AND($AQ1908&lt;&gt;"",OR(AND(INDEX(職員マスタ!$G$6:$G$405,$AP1908)&lt;&gt;"",INDEX(職員マスタ!$G$6:$G$405,$AP1908)&gt;EOMONTH($AQ1908,0)),AND(INDEX(職員マスタ!$H$6:$H$405,$AP1908)&lt;&gt;"",INDEX(職員マスタ!$H$6:$H$405,$AP1908)&lt;$AQ1908))),"対象月が時短期間外／","")&amp;IF(AND(INDEX(職員マスタ!$K$6:$K$405,$AP1908)&lt;&gt;"",N($W1908)&gt;0,INDEX(職員マスタ!$K$6:$K$405,$AP1908)&lt;&gt;$W1908),"標準報酬月額が申請書と相違（台帳"&amp;TEXT(INDEX(職員マスタ!$K$6:$K$405,$AP1908),"#,##0")&amp;"円／申請書"&amp;TEXT($W1908,"#,##0")&amp;"円）／","")&amp;IF(AND(INDEX(職員マスタ!$F$6:$F$405,$AP1908)&lt;&gt;"",$AQ1908&lt;&gt;"",INDEX(職員マスタ!$F$6:$F$405,$AP1908)&lt;$AQ1908),"対象月に子が2歳到達済／","")&amp;IF(AND($H1908&lt;&gt;"",INDEX(職員マスタ!$B$6:$B$405,$AP1908)&lt;&gt;"",SUBSTITUTE(SUBSTITUTE($H1908," ","")," ","")&lt;&gt;SUBSTITUTE(SUBSTITUTE(INDEX(職員マスタ!$B$6:$B$405,$AP1908)," ","")," ","")),"氏名がマスタと相違／","")&amp;IF(AND($Q1908&lt;&gt;"",INDEX(職員マスタ!$E$6:$E$405,$AP1908)&lt;&gt;"",$Q1908&lt;&gt;INDEX(職員マスタ!$E$6:$E$405,$AP1908)),"子の生年月日がマスタと相違／","")&amp;IF(AND($L1908&lt;&gt;"",INDEX(職員マスタ!$G$6:$G$405,$AP1908)&lt;&gt;"",$L1908&lt;&gt;INDEX(職員マスタ!$G$6:$G$405,$AP1908)),"時短開始日がマスタと相違／","")&amp;IF(AND($M1908&lt;&gt;"",INDEX(職員マスタ!$H$6:$H$405,$AP1908)&lt;&gt;"",$M1908&lt;&gt;INDEX(職員マスタ!$H$6:$H$405,$AP1908)),"時短終了日がマスタと相違／","")))&amp;IF(AND($B1908&lt;&gt;"",$E1908=""),"報酬額が未入力／","")&amp;IF(N($U1908)&gt;0,"申請書に入力エラーが残っています／","")&amp;IF(AND($B1908&lt;&gt;"",$AQ1908&lt;&gt;""),IF(COUNTIFS($B$6:$B$3005,$B1908,$C$6:$C$3005,$C1908,$D$6:$D$3005,$D1908)&gt;1,"同じ月の請求が重複しています／",""),"")&amp;IF(AND(N($E1908)&gt;0,$AB1908&lt;&gt;"",$AB1908&lt;&gt;"×",$AE1908=0,$AD1908=""),"計算額が下限以下のため不支給／",""))</f>
        <v/>
      </c>
      <c r="AN1908" s="12" t="n"/>
      <c r="AO1908" s="14">
        <f>IF($AF1908="保留中",COUNTIF($AF$6:$AF1908,"保留中"),"")</f>
        <v/>
      </c>
      <c r="AP1908" s="14">
        <f>IF($AQ1908="","",IF(SUMPRODUCT(MAX((職員マスタ!$A$6:$A$405=$B1908)*(((職員マスタ!$G$6:$G$405="")+(職員マスタ!$G$6:$G$405&lt;=EOMONTH($AQ1908,0)))&gt;0)*(((職員マスタ!$H$6:$H$405="")+(職員マスタ!$H$6:$H$405&gt;=$AQ1908))&gt;0)*(ROW(職員マスタ!$A$6:$A$405)-5)))&gt;0,SUMPRODUCT(MAX((職員マスタ!$A$6:$A$405=$B1908)*(((職員マスタ!$G$6:$G$405="")+(職員マスタ!$G$6:$G$405&lt;=EOMONTH($AQ1908,0)))&gt;0)*(((職員マスタ!$H$6:$H$405="")+(職員マスタ!$H$6:$H$405&gt;=$AQ1908))&gt;0)*(ROW(職員マスタ!$A$6:$A$405)-5))),IFERROR(MATCH($B1908,職員マスタ!$A$6:$A$405,0),"")))</f>
        <v/>
      </c>
      <c r="AQ1908" s="16">
        <f>IF(OR($B1908="",$C1908="",$D1908=""),"",DATE($C1908+2018,$D1908,1))</f>
        <v/>
      </c>
    </row>
    <row r="1909">
      <c r="A1909" s="11" t="n"/>
      <c r="B1909" s="12" t="n"/>
      <c r="C1909" s="12" t="n"/>
      <c r="D1909" s="12" t="n"/>
      <c r="E1909" s="13" t="n"/>
      <c r="F1909" s="12" t="n"/>
      <c r="G1909" s="13" t="n"/>
      <c r="H1909" s="12" t="n"/>
      <c r="I1909" s="12" t="n"/>
      <c r="J1909" s="12" t="n"/>
      <c r="K1909" s="12" t="n"/>
      <c r="L1909" s="11" t="n"/>
      <c r="M1909" s="11" t="n"/>
      <c r="N1909" s="11" t="n"/>
      <c r="O1909" s="11" t="n"/>
      <c r="P1909" s="12" t="n"/>
      <c r="Q1909" s="11" t="n"/>
      <c r="R1909" s="12" t="n"/>
      <c r="S1909" s="11" t="n"/>
      <c r="T1909" s="12" t="n"/>
      <c r="U1909" s="12" t="n"/>
      <c r="V1909" s="12" t="n"/>
      <c r="W1909" s="13" t="n"/>
      <c r="X1909" s="14">
        <f>IF($AP1909="",IF($B1909="","",$H1909),IF(INDEX(職員マスタ!$B$6:$B$405,$AP1909)="",$H1909,INDEX(職員マスタ!$B$6:$B$405,$AP1909)))</f>
        <v/>
      </c>
      <c r="Y1909" s="14">
        <f>IF($AP1909="",IF($B1909="","",$R1909),IF(INDEX(職員マスタ!$C$6:$C$405,$AP1909)="",$R1909,INDEX(職員マスタ!$C$6:$C$405,$AP1909)))</f>
        <v/>
      </c>
      <c r="Z1909" s="14">
        <f>IF($AQ1909="","","R"&amp;$C1909&amp;"."&amp;$D1909)</f>
        <v/>
      </c>
      <c r="AA1909" s="15">
        <f>IF(IF($AP1909="",FALSE,INDEX(職員マスタ!$K$6:$K$405,$AP1909)&lt;&gt;""),INDEX(職員マスタ!$K$6:$K$405,$AP1909),IF(N($W1909)&gt;0,$W1909,""))</f>
        <v/>
      </c>
      <c r="AB1909" s="14">
        <f>IF(OR($E1909="",$AA1909=""),"",IF($E1909&gt;=$AA1909,"×",IF($E1909&gt;=$AA1909*設定!$C$5,"△","○")))</f>
        <v/>
      </c>
      <c r="AC1909" s="15">
        <f>IF($AB1909="","",IF($AB1909="×",0,IF($AB1909="○",ROUNDDOWN($E1909*設定!$C$4,0),ROUNDDOWN($E1909*ROUND((9*$AA1909-9*$E1909)/(10*$E1909),4),0))))</f>
        <v/>
      </c>
      <c r="AD1909" s="13" t="n"/>
      <c r="AE1909" s="15">
        <f>IF($B1909="","",IF($AD1909&lt;&gt;"",$AD1909,IF($AC1909="","",IF($AC1909&lt;=設定!$C$3,0,$AC1909))))</f>
        <v/>
      </c>
      <c r="AF1909" s="14">
        <f>IF($B1909="","",IF(AND($AG1909&lt;&gt;"",$AI1909="",$AL1909=""),"保留中",IF($AL1909&lt;&gt;"",IF(N($AE1909)&gt;0,"支給済","不支給"),IF($AE1909="","要確認",IF($AE1909=0,"不支給","未処理")))))</f>
        <v/>
      </c>
      <c r="AG1909" s="12" t="n"/>
      <c r="AH1909" s="11" t="n"/>
      <c r="AI1909" s="11" t="n"/>
      <c r="AJ1909" s="11" t="n"/>
      <c r="AK1909" s="14">
        <f>IF(AND($AF1909="保留中",$AH1909&lt;&gt;""),TODAY()-$AH1909,"")</f>
        <v/>
      </c>
      <c r="AL1909" s="12" t="n"/>
      <c r="AM1909" s="14">
        <f>IF($B1909="","",IF($AQ1909="","対象年月が未入力／","")&amp;IF($B1909="","",IF($AP1909="","職員マスタに未登録の職員番号／",IF($AA1909="","標準報酬月額が未登録／","")&amp;IF(AND($AQ1909&lt;&gt;"",OR(AND(INDEX(職員マスタ!$G$6:$G$405,$AP1909)&lt;&gt;"",INDEX(職員マスタ!$G$6:$G$405,$AP1909)&gt;EOMONTH($AQ1909,0)),AND(INDEX(職員マスタ!$H$6:$H$405,$AP1909)&lt;&gt;"",INDEX(職員マスタ!$H$6:$H$405,$AP1909)&lt;$AQ1909))),"対象月が時短期間外／","")&amp;IF(AND(INDEX(職員マスタ!$K$6:$K$405,$AP1909)&lt;&gt;"",N($W1909)&gt;0,INDEX(職員マスタ!$K$6:$K$405,$AP1909)&lt;&gt;$W1909),"標準報酬月額が申請書と相違（台帳"&amp;TEXT(INDEX(職員マスタ!$K$6:$K$405,$AP1909),"#,##0")&amp;"円／申請書"&amp;TEXT($W1909,"#,##0")&amp;"円）／","")&amp;IF(AND(INDEX(職員マスタ!$F$6:$F$405,$AP1909)&lt;&gt;"",$AQ1909&lt;&gt;"",INDEX(職員マスタ!$F$6:$F$405,$AP1909)&lt;$AQ1909),"対象月に子が2歳到達済／","")&amp;IF(AND($H1909&lt;&gt;"",INDEX(職員マスタ!$B$6:$B$405,$AP1909)&lt;&gt;"",SUBSTITUTE(SUBSTITUTE($H1909," ","")," ","")&lt;&gt;SUBSTITUTE(SUBSTITUTE(INDEX(職員マスタ!$B$6:$B$405,$AP1909)," ","")," ","")),"氏名がマスタと相違／","")&amp;IF(AND($Q1909&lt;&gt;"",INDEX(職員マスタ!$E$6:$E$405,$AP1909)&lt;&gt;"",$Q1909&lt;&gt;INDEX(職員マスタ!$E$6:$E$405,$AP1909)),"子の生年月日がマスタと相違／","")&amp;IF(AND($L1909&lt;&gt;"",INDEX(職員マスタ!$G$6:$G$405,$AP1909)&lt;&gt;"",$L1909&lt;&gt;INDEX(職員マスタ!$G$6:$G$405,$AP1909)),"時短開始日がマスタと相違／","")&amp;IF(AND($M1909&lt;&gt;"",INDEX(職員マスタ!$H$6:$H$405,$AP1909)&lt;&gt;"",$M1909&lt;&gt;INDEX(職員マスタ!$H$6:$H$405,$AP1909)),"時短終了日がマスタと相違／","")))&amp;IF(AND($B1909&lt;&gt;"",$E1909=""),"報酬額が未入力／","")&amp;IF(N($U1909)&gt;0,"申請書に入力エラーが残っています／","")&amp;IF(AND($B1909&lt;&gt;"",$AQ1909&lt;&gt;""),IF(COUNTIFS($B$6:$B$3005,$B1909,$C$6:$C$3005,$C1909,$D$6:$D$3005,$D1909)&gt;1,"同じ月の請求が重複しています／",""),"")&amp;IF(AND(N($E1909)&gt;0,$AB1909&lt;&gt;"",$AB1909&lt;&gt;"×",$AE1909=0,$AD1909=""),"計算額が下限以下のため不支給／",""))</f>
        <v/>
      </c>
      <c r="AN1909" s="12" t="n"/>
      <c r="AO1909" s="14">
        <f>IF($AF1909="保留中",COUNTIF($AF$6:$AF1909,"保留中"),"")</f>
        <v/>
      </c>
      <c r="AP1909" s="14">
        <f>IF($AQ1909="","",IF(SUMPRODUCT(MAX((職員マスタ!$A$6:$A$405=$B1909)*(((職員マスタ!$G$6:$G$405="")+(職員マスタ!$G$6:$G$405&lt;=EOMONTH($AQ1909,0)))&gt;0)*(((職員マスタ!$H$6:$H$405="")+(職員マスタ!$H$6:$H$405&gt;=$AQ1909))&gt;0)*(ROW(職員マスタ!$A$6:$A$405)-5)))&gt;0,SUMPRODUCT(MAX((職員マスタ!$A$6:$A$405=$B1909)*(((職員マスタ!$G$6:$G$405="")+(職員マスタ!$G$6:$G$405&lt;=EOMONTH($AQ1909,0)))&gt;0)*(((職員マスタ!$H$6:$H$405="")+(職員マスタ!$H$6:$H$405&gt;=$AQ1909))&gt;0)*(ROW(職員マスタ!$A$6:$A$405)-5))),IFERROR(MATCH($B1909,職員マスタ!$A$6:$A$405,0),"")))</f>
        <v/>
      </c>
      <c r="AQ1909" s="16">
        <f>IF(OR($B1909="",$C1909="",$D1909=""),"",DATE($C1909+2018,$D1909,1))</f>
        <v/>
      </c>
    </row>
    <row r="1910">
      <c r="A1910" s="11" t="n"/>
      <c r="B1910" s="12" t="n"/>
      <c r="C1910" s="12" t="n"/>
      <c r="D1910" s="12" t="n"/>
      <c r="E1910" s="13" t="n"/>
      <c r="F1910" s="12" t="n"/>
      <c r="G1910" s="13" t="n"/>
      <c r="H1910" s="12" t="n"/>
      <c r="I1910" s="12" t="n"/>
      <c r="J1910" s="12" t="n"/>
      <c r="K1910" s="12" t="n"/>
      <c r="L1910" s="11" t="n"/>
      <c r="M1910" s="11" t="n"/>
      <c r="N1910" s="11" t="n"/>
      <c r="O1910" s="11" t="n"/>
      <c r="P1910" s="12" t="n"/>
      <c r="Q1910" s="11" t="n"/>
      <c r="R1910" s="12" t="n"/>
      <c r="S1910" s="11" t="n"/>
      <c r="T1910" s="12" t="n"/>
      <c r="U1910" s="12" t="n"/>
      <c r="V1910" s="12" t="n"/>
      <c r="W1910" s="13" t="n"/>
      <c r="X1910" s="14">
        <f>IF($AP1910="",IF($B1910="","",$H1910),IF(INDEX(職員マスタ!$B$6:$B$405,$AP1910)="",$H1910,INDEX(職員マスタ!$B$6:$B$405,$AP1910)))</f>
        <v/>
      </c>
      <c r="Y1910" s="14">
        <f>IF($AP1910="",IF($B1910="","",$R1910),IF(INDEX(職員マスタ!$C$6:$C$405,$AP1910)="",$R1910,INDEX(職員マスタ!$C$6:$C$405,$AP1910)))</f>
        <v/>
      </c>
      <c r="Z1910" s="14">
        <f>IF($AQ1910="","","R"&amp;$C1910&amp;"."&amp;$D1910)</f>
        <v/>
      </c>
      <c r="AA1910" s="15">
        <f>IF(IF($AP1910="",FALSE,INDEX(職員マスタ!$K$6:$K$405,$AP1910)&lt;&gt;""),INDEX(職員マスタ!$K$6:$K$405,$AP1910),IF(N($W1910)&gt;0,$W1910,""))</f>
        <v/>
      </c>
      <c r="AB1910" s="14">
        <f>IF(OR($E1910="",$AA1910=""),"",IF($E1910&gt;=$AA1910,"×",IF($E1910&gt;=$AA1910*設定!$C$5,"△","○")))</f>
        <v/>
      </c>
      <c r="AC1910" s="15">
        <f>IF($AB1910="","",IF($AB1910="×",0,IF($AB1910="○",ROUNDDOWN($E1910*設定!$C$4,0),ROUNDDOWN($E1910*ROUND((9*$AA1910-9*$E1910)/(10*$E1910),4),0))))</f>
        <v/>
      </c>
      <c r="AD1910" s="13" t="n"/>
      <c r="AE1910" s="15">
        <f>IF($B1910="","",IF($AD1910&lt;&gt;"",$AD1910,IF($AC1910="","",IF($AC1910&lt;=設定!$C$3,0,$AC1910))))</f>
        <v/>
      </c>
      <c r="AF1910" s="14">
        <f>IF($B1910="","",IF(AND($AG1910&lt;&gt;"",$AI1910="",$AL1910=""),"保留中",IF($AL1910&lt;&gt;"",IF(N($AE1910)&gt;0,"支給済","不支給"),IF($AE1910="","要確認",IF($AE1910=0,"不支給","未処理")))))</f>
        <v/>
      </c>
      <c r="AG1910" s="12" t="n"/>
      <c r="AH1910" s="11" t="n"/>
      <c r="AI1910" s="11" t="n"/>
      <c r="AJ1910" s="11" t="n"/>
      <c r="AK1910" s="14">
        <f>IF(AND($AF1910="保留中",$AH1910&lt;&gt;""),TODAY()-$AH1910,"")</f>
        <v/>
      </c>
      <c r="AL1910" s="12" t="n"/>
      <c r="AM1910" s="14">
        <f>IF($B1910="","",IF($AQ1910="","対象年月が未入力／","")&amp;IF($B1910="","",IF($AP1910="","職員マスタに未登録の職員番号／",IF($AA1910="","標準報酬月額が未登録／","")&amp;IF(AND($AQ1910&lt;&gt;"",OR(AND(INDEX(職員マスタ!$G$6:$G$405,$AP1910)&lt;&gt;"",INDEX(職員マスタ!$G$6:$G$405,$AP1910)&gt;EOMONTH($AQ1910,0)),AND(INDEX(職員マスタ!$H$6:$H$405,$AP1910)&lt;&gt;"",INDEX(職員マスタ!$H$6:$H$405,$AP1910)&lt;$AQ1910))),"対象月が時短期間外／","")&amp;IF(AND(INDEX(職員マスタ!$K$6:$K$405,$AP1910)&lt;&gt;"",N($W1910)&gt;0,INDEX(職員マスタ!$K$6:$K$405,$AP1910)&lt;&gt;$W1910),"標準報酬月額が申請書と相違（台帳"&amp;TEXT(INDEX(職員マスタ!$K$6:$K$405,$AP1910),"#,##0")&amp;"円／申請書"&amp;TEXT($W1910,"#,##0")&amp;"円）／","")&amp;IF(AND(INDEX(職員マスタ!$F$6:$F$405,$AP1910)&lt;&gt;"",$AQ1910&lt;&gt;"",INDEX(職員マスタ!$F$6:$F$405,$AP1910)&lt;$AQ1910),"対象月に子が2歳到達済／","")&amp;IF(AND($H1910&lt;&gt;"",INDEX(職員マスタ!$B$6:$B$405,$AP1910)&lt;&gt;"",SUBSTITUTE(SUBSTITUTE($H1910," ","")," ","")&lt;&gt;SUBSTITUTE(SUBSTITUTE(INDEX(職員マスタ!$B$6:$B$405,$AP1910)," ","")," ","")),"氏名がマスタと相違／","")&amp;IF(AND($Q1910&lt;&gt;"",INDEX(職員マスタ!$E$6:$E$405,$AP1910)&lt;&gt;"",$Q1910&lt;&gt;INDEX(職員マスタ!$E$6:$E$405,$AP1910)),"子の生年月日がマスタと相違／","")&amp;IF(AND($L1910&lt;&gt;"",INDEX(職員マスタ!$G$6:$G$405,$AP1910)&lt;&gt;"",$L1910&lt;&gt;INDEX(職員マスタ!$G$6:$G$405,$AP1910)),"時短開始日がマスタと相違／","")&amp;IF(AND($M1910&lt;&gt;"",INDEX(職員マスタ!$H$6:$H$405,$AP1910)&lt;&gt;"",$M1910&lt;&gt;INDEX(職員マスタ!$H$6:$H$405,$AP1910)),"時短終了日がマスタと相違／","")))&amp;IF(AND($B1910&lt;&gt;"",$E1910=""),"報酬額が未入力／","")&amp;IF(N($U1910)&gt;0,"申請書に入力エラーが残っています／","")&amp;IF(AND($B1910&lt;&gt;"",$AQ1910&lt;&gt;""),IF(COUNTIFS($B$6:$B$3005,$B1910,$C$6:$C$3005,$C1910,$D$6:$D$3005,$D1910)&gt;1,"同じ月の請求が重複しています／",""),"")&amp;IF(AND(N($E1910)&gt;0,$AB1910&lt;&gt;"",$AB1910&lt;&gt;"×",$AE1910=0,$AD1910=""),"計算額が下限以下のため不支給／",""))</f>
        <v/>
      </c>
      <c r="AN1910" s="12" t="n"/>
      <c r="AO1910" s="14">
        <f>IF($AF1910="保留中",COUNTIF($AF$6:$AF1910,"保留中"),"")</f>
        <v/>
      </c>
      <c r="AP1910" s="14">
        <f>IF($AQ1910="","",IF(SUMPRODUCT(MAX((職員マスタ!$A$6:$A$405=$B1910)*(((職員マスタ!$G$6:$G$405="")+(職員マスタ!$G$6:$G$405&lt;=EOMONTH($AQ1910,0)))&gt;0)*(((職員マスタ!$H$6:$H$405="")+(職員マスタ!$H$6:$H$405&gt;=$AQ1910))&gt;0)*(ROW(職員マスタ!$A$6:$A$405)-5)))&gt;0,SUMPRODUCT(MAX((職員マスタ!$A$6:$A$405=$B1910)*(((職員マスタ!$G$6:$G$405="")+(職員マスタ!$G$6:$G$405&lt;=EOMONTH($AQ1910,0)))&gt;0)*(((職員マスタ!$H$6:$H$405="")+(職員マスタ!$H$6:$H$405&gt;=$AQ1910))&gt;0)*(ROW(職員マスタ!$A$6:$A$405)-5))),IFERROR(MATCH($B1910,職員マスタ!$A$6:$A$405,0),"")))</f>
        <v/>
      </c>
      <c r="AQ1910" s="16">
        <f>IF(OR($B1910="",$C1910="",$D1910=""),"",DATE($C1910+2018,$D1910,1))</f>
        <v/>
      </c>
    </row>
    <row r="1911">
      <c r="A1911" s="11" t="n"/>
      <c r="B1911" s="12" t="n"/>
      <c r="C1911" s="12" t="n"/>
      <c r="D1911" s="12" t="n"/>
      <c r="E1911" s="13" t="n"/>
      <c r="F1911" s="12" t="n"/>
      <c r="G1911" s="13" t="n"/>
      <c r="H1911" s="12" t="n"/>
      <c r="I1911" s="12" t="n"/>
      <c r="J1911" s="12" t="n"/>
      <c r="K1911" s="12" t="n"/>
      <c r="L1911" s="11" t="n"/>
      <c r="M1911" s="11" t="n"/>
      <c r="N1911" s="11" t="n"/>
      <c r="O1911" s="11" t="n"/>
      <c r="P1911" s="12" t="n"/>
      <c r="Q1911" s="11" t="n"/>
      <c r="R1911" s="12" t="n"/>
      <c r="S1911" s="11" t="n"/>
      <c r="T1911" s="12" t="n"/>
      <c r="U1911" s="12" t="n"/>
      <c r="V1911" s="12" t="n"/>
      <c r="W1911" s="13" t="n"/>
      <c r="X1911" s="14">
        <f>IF($AP1911="",IF($B1911="","",$H1911),IF(INDEX(職員マスタ!$B$6:$B$405,$AP1911)="",$H1911,INDEX(職員マスタ!$B$6:$B$405,$AP1911)))</f>
        <v/>
      </c>
      <c r="Y1911" s="14">
        <f>IF($AP1911="",IF($B1911="","",$R1911),IF(INDEX(職員マスタ!$C$6:$C$405,$AP1911)="",$R1911,INDEX(職員マスタ!$C$6:$C$405,$AP1911)))</f>
        <v/>
      </c>
      <c r="Z1911" s="14">
        <f>IF($AQ1911="","","R"&amp;$C1911&amp;"."&amp;$D1911)</f>
        <v/>
      </c>
      <c r="AA1911" s="15">
        <f>IF(IF($AP1911="",FALSE,INDEX(職員マスタ!$K$6:$K$405,$AP1911)&lt;&gt;""),INDEX(職員マスタ!$K$6:$K$405,$AP1911),IF(N($W1911)&gt;0,$W1911,""))</f>
        <v/>
      </c>
      <c r="AB1911" s="14">
        <f>IF(OR($E1911="",$AA1911=""),"",IF($E1911&gt;=$AA1911,"×",IF($E1911&gt;=$AA1911*設定!$C$5,"△","○")))</f>
        <v/>
      </c>
      <c r="AC1911" s="15">
        <f>IF($AB1911="","",IF($AB1911="×",0,IF($AB1911="○",ROUNDDOWN($E1911*設定!$C$4,0),ROUNDDOWN($E1911*ROUND((9*$AA1911-9*$E1911)/(10*$E1911),4),0))))</f>
        <v/>
      </c>
      <c r="AD1911" s="13" t="n"/>
      <c r="AE1911" s="15">
        <f>IF($B1911="","",IF($AD1911&lt;&gt;"",$AD1911,IF($AC1911="","",IF($AC1911&lt;=設定!$C$3,0,$AC1911))))</f>
        <v/>
      </c>
      <c r="AF1911" s="14">
        <f>IF($B1911="","",IF(AND($AG1911&lt;&gt;"",$AI1911="",$AL1911=""),"保留中",IF($AL1911&lt;&gt;"",IF(N($AE1911)&gt;0,"支給済","不支給"),IF($AE1911="","要確認",IF($AE1911=0,"不支給","未処理")))))</f>
        <v/>
      </c>
      <c r="AG1911" s="12" t="n"/>
      <c r="AH1911" s="11" t="n"/>
      <c r="AI1911" s="11" t="n"/>
      <c r="AJ1911" s="11" t="n"/>
      <c r="AK1911" s="14">
        <f>IF(AND($AF1911="保留中",$AH1911&lt;&gt;""),TODAY()-$AH1911,"")</f>
        <v/>
      </c>
      <c r="AL1911" s="12" t="n"/>
      <c r="AM1911" s="14">
        <f>IF($B1911="","",IF($AQ1911="","対象年月が未入力／","")&amp;IF($B1911="","",IF($AP1911="","職員マスタに未登録の職員番号／",IF($AA1911="","標準報酬月額が未登録／","")&amp;IF(AND($AQ1911&lt;&gt;"",OR(AND(INDEX(職員マスタ!$G$6:$G$405,$AP1911)&lt;&gt;"",INDEX(職員マスタ!$G$6:$G$405,$AP1911)&gt;EOMONTH($AQ1911,0)),AND(INDEX(職員マスタ!$H$6:$H$405,$AP1911)&lt;&gt;"",INDEX(職員マスタ!$H$6:$H$405,$AP1911)&lt;$AQ1911))),"対象月が時短期間外／","")&amp;IF(AND(INDEX(職員マスタ!$K$6:$K$405,$AP1911)&lt;&gt;"",N($W1911)&gt;0,INDEX(職員マスタ!$K$6:$K$405,$AP1911)&lt;&gt;$W1911),"標準報酬月額が申請書と相違（台帳"&amp;TEXT(INDEX(職員マスタ!$K$6:$K$405,$AP1911),"#,##0")&amp;"円／申請書"&amp;TEXT($W1911,"#,##0")&amp;"円）／","")&amp;IF(AND(INDEX(職員マスタ!$F$6:$F$405,$AP1911)&lt;&gt;"",$AQ1911&lt;&gt;"",INDEX(職員マスタ!$F$6:$F$405,$AP1911)&lt;$AQ1911),"対象月に子が2歳到達済／","")&amp;IF(AND($H1911&lt;&gt;"",INDEX(職員マスタ!$B$6:$B$405,$AP1911)&lt;&gt;"",SUBSTITUTE(SUBSTITUTE($H1911," ","")," ","")&lt;&gt;SUBSTITUTE(SUBSTITUTE(INDEX(職員マスタ!$B$6:$B$405,$AP1911)," ","")," ","")),"氏名がマスタと相違／","")&amp;IF(AND($Q1911&lt;&gt;"",INDEX(職員マスタ!$E$6:$E$405,$AP1911)&lt;&gt;"",$Q1911&lt;&gt;INDEX(職員マスタ!$E$6:$E$405,$AP1911)),"子の生年月日がマスタと相違／","")&amp;IF(AND($L1911&lt;&gt;"",INDEX(職員マスタ!$G$6:$G$405,$AP1911)&lt;&gt;"",$L1911&lt;&gt;INDEX(職員マスタ!$G$6:$G$405,$AP1911)),"時短開始日がマスタと相違／","")&amp;IF(AND($M1911&lt;&gt;"",INDEX(職員マスタ!$H$6:$H$405,$AP1911)&lt;&gt;"",$M1911&lt;&gt;INDEX(職員マスタ!$H$6:$H$405,$AP1911)),"時短終了日がマスタと相違／","")))&amp;IF(AND($B1911&lt;&gt;"",$E1911=""),"報酬額が未入力／","")&amp;IF(N($U1911)&gt;0,"申請書に入力エラーが残っています／","")&amp;IF(AND($B1911&lt;&gt;"",$AQ1911&lt;&gt;""),IF(COUNTIFS($B$6:$B$3005,$B1911,$C$6:$C$3005,$C1911,$D$6:$D$3005,$D1911)&gt;1,"同じ月の請求が重複しています／",""),"")&amp;IF(AND(N($E1911)&gt;0,$AB1911&lt;&gt;"",$AB1911&lt;&gt;"×",$AE1911=0,$AD1911=""),"計算額が下限以下のため不支給／",""))</f>
        <v/>
      </c>
      <c r="AN1911" s="12" t="n"/>
      <c r="AO1911" s="14">
        <f>IF($AF1911="保留中",COUNTIF($AF$6:$AF1911,"保留中"),"")</f>
        <v/>
      </c>
      <c r="AP1911" s="14">
        <f>IF($AQ1911="","",IF(SUMPRODUCT(MAX((職員マスタ!$A$6:$A$405=$B1911)*(((職員マスタ!$G$6:$G$405="")+(職員マスタ!$G$6:$G$405&lt;=EOMONTH($AQ1911,0)))&gt;0)*(((職員マスタ!$H$6:$H$405="")+(職員マスタ!$H$6:$H$405&gt;=$AQ1911))&gt;0)*(ROW(職員マスタ!$A$6:$A$405)-5)))&gt;0,SUMPRODUCT(MAX((職員マスタ!$A$6:$A$405=$B1911)*(((職員マスタ!$G$6:$G$405="")+(職員マスタ!$G$6:$G$405&lt;=EOMONTH($AQ1911,0)))&gt;0)*(((職員マスタ!$H$6:$H$405="")+(職員マスタ!$H$6:$H$405&gt;=$AQ1911))&gt;0)*(ROW(職員マスタ!$A$6:$A$405)-5))),IFERROR(MATCH($B1911,職員マスタ!$A$6:$A$405,0),"")))</f>
        <v/>
      </c>
      <c r="AQ1911" s="16">
        <f>IF(OR($B1911="",$C1911="",$D1911=""),"",DATE($C1911+2018,$D1911,1))</f>
        <v/>
      </c>
    </row>
    <row r="1912">
      <c r="A1912" s="11" t="n"/>
      <c r="B1912" s="12" t="n"/>
      <c r="C1912" s="12" t="n"/>
      <c r="D1912" s="12" t="n"/>
      <c r="E1912" s="13" t="n"/>
      <c r="F1912" s="12" t="n"/>
      <c r="G1912" s="13" t="n"/>
      <c r="H1912" s="12" t="n"/>
      <c r="I1912" s="12" t="n"/>
      <c r="J1912" s="12" t="n"/>
      <c r="K1912" s="12" t="n"/>
      <c r="L1912" s="11" t="n"/>
      <c r="M1912" s="11" t="n"/>
      <c r="N1912" s="11" t="n"/>
      <c r="O1912" s="11" t="n"/>
      <c r="P1912" s="12" t="n"/>
      <c r="Q1912" s="11" t="n"/>
      <c r="R1912" s="12" t="n"/>
      <c r="S1912" s="11" t="n"/>
      <c r="T1912" s="12" t="n"/>
      <c r="U1912" s="12" t="n"/>
      <c r="V1912" s="12" t="n"/>
      <c r="W1912" s="13" t="n"/>
      <c r="X1912" s="14">
        <f>IF($AP1912="",IF($B1912="","",$H1912),IF(INDEX(職員マスタ!$B$6:$B$405,$AP1912)="",$H1912,INDEX(職員マスタ!$B$6:$B$405,$AP1912)))</f>
        <v/>
      </c>
      <c r="Y1912" s="14">
        <f>IF($AP1912="",IF($B1912="","",$R1912),IF(INDEX(職員マスタ!$C$6:$C$405,$AP1912)="",$R1912,INDEX(職員マスタ!$C$6:$C$405,$AP1912)))</f>
        <v/>
      </c>
      <c r="Z1912" s="14">
        <f>IF($AQ1912="","","R"&amp;$C1912&amp;"."&amp;$D1912)</f>
        <v/>
      </c>
      <c r="AA1912" s="15">
        <f>IF(IF($AP1912="",FALSE,INDEX(職員マスタ!$K$6:$K$405,$AP1912)&lt;&gt;""),INDEX(職員マスタ!$K$6:$K$405,$AP1912),IF(N($W1912)&gt;0,$W1912,""))</f>
        <v/>
      </c>
      <c r="AB1912" s="14">
        <f>IF(OR($E1912="",$AA1912=""),"",IF($E1912&gt;=$AA1912,"×",IF($E1912&gt;=$AA1912*設定!$C$5,"△","○")))</f>
        <v/>
      </c>
      <c r="AC1912" s="15">
        <f>IF($AB1912="","",IF($AB1912="×",0,IF($AB1912="○",ROUNDDOWN($E1912*設定!$C$4,0),ROUNDDOWN($E1912*ROUND((9*$AA1912-9*$E1912)/(10*$E1912),4),0))))</f>
        <v/>
      </c>
      <c r="AD1912" s="13" t="n"/>
      <c r="AE1912" s="15">
        <f>IF($B1912="","",IF($AD1912&lt;&gt;"",$AD1912,IF($AC1912="","",IF($AC1912&lt;=設定!$C$3,0,$AC1912))))</f>
        <v/>
      </c>
      <c r="AF1912" s="14">
        <f>IF($B1912="","",IF(AND($AG1912&lt;&gt;"",$AI1912="",$AL1912=""),"保留中",IF($AL1912&lt;&gt;"",IF(N($AE1912)&gt;0,"支給済","不支給"),IF($AE1912="","要確認",IF($AE1912=0,"不支給","未処理")))))</f>
        <v/>
      </c>
      <c r="AG1912" s="12" t="n"/>
      <c r="AH1912" s="11" t="n"/>
      <c r="AI1912" s="11" t="n"/>
      <c r="AJ1912" s="11" t="n"/>
      <c r="AK1912" s="14">
        <f>IF(AND($AF1912="保留中",$AH1912&lt;&gt;""),TODAY()-$AH1912,"")</f>
        <v/>
      </c>
      <c r="AL1912" s="12" t="n"/>
      <c r="AM1912" s="14">
        <f>IF($B1912="","",IF($AQ1912="","対象年月が未入力／","")&amp;IF($B1912="","",IF($AP1912="","職員マスタに未登録の職員番号／",IF($AA1912="","標準報酬月額が未登録／","")&amp;IF(AND($AQ1912&lt;&gt;"",OR(AND(INDEX(職員マスタ!$G$6:$G$405,$AP1912)&lt;&gt;"",INDEX(職員マスタ!$G$6:$G$405,$AP1912)&gt;EOMONTH($AQ1912,0)),AND(INDEX(職員マスタ!$H$6:$H$405,$AP1912)&lt;&gt;"",INDEX(職員マスタ!$H$6:$H$405,$AP1912)&lt;$AQ1912))),"対象月が時短期間外／","")&amp;IF(AND(INDEX(職員マスタ!$K$6:$K$405,$AP1912)&lt;&gt;"",N($W1912)&gt;0,INDEX(職員マスタ!$K$6:$K$405,$AP1912)&lt;&gt;$W1912),"標準報酬月額が申請書と相違（台帳"&amp;TEXT(INDEX(職員マスタ!$K$6:$K$405,$AP1912),"#,##0")&amp;"円／申請書"&amp;TEXT($W1912,"#,##0")&amp;"円）／","")&amp;IF(AND(INDEX(職員マスタ!$F$6:$F$405,$AP1912)&lt;&gt;"",$AQ1912&lt;&gt;"",INDEX(職員マスタ!$F$6:$F$405,$AP1912)&lt;$AQ1912),"対象月に子が2歳到達済／","")&amp;IF(AND($H1912&lt;&gt;"",INDEX(職員マスタ!$B$6:$B$405,$AP1912)&lt;&gt;"",SUBSTITUTE(SUBSTITUTE($H1912," ","")," ","")&lt;&gt;SUBSTITUTE(SUBSTITUTE(INDEX(職員マスタ!$B$6:$B$405,$AP1912)," ","")," ","")),"氏名がマスタと相違／","")&amp;IF(AND($Q1912&lt;&gt;"",INDEX(職員マスタ!$E$6:$E$405,$AP1912)&lt;&gt;"",$Q1912&lt;&gt;INDEX(職員マスタ!$E$6:$E$405,$AP1912)),"子の生年月日がマスタと相違／","")&amp;IF(AND($L1912&lt;&gt;"",INDEX(職員マスタ!$G$6:$G$405,$AP1912)&lt;&gt;"",$L1912&lt;&gt;INDEX(職員マスタ!$G$6:$G$405,$AP1912)),"時短開始日がマスタと相違／","")&amp;IF(AND($M1912&lt;&gt;"",INDEX(職員マスタ!$H$6:$H$405,$AP1912)&lt;&gt;"",$M1912&lt;&gt;INDEX(職員マスタ!$H$6:$H$405,$AP1912)),"時短終了日がマスタと相違／","")))&amp;IF(AND($B1912&lt;&gt;"",$E1912=""),"報酬額が未入力／","")&amp;IF(N($U1912)&gt;0,"申請書に入力エラーが残っています／","")&amp;IF(AND($B1912&lt;&gt;"",$AQ1912&lt;&gt;""),IF(COUNTIFS($B$6:$B$3005,$B1912,$C$6:$C$3005,$C1912,$D$6:$D$3005,$D1912)&gt;1,"同じ月の請求が重複しています／",""),"")&amp;IF(AND(N($E1912)&gt;0,$AB1912&lt;&gt;"",$AB1912&lt;&gt;"×",$AE1912=0,$AD1912=""),"計算額が下限以下のため不支給／",""))</f>
        <v/>
      </c>
      <c r="AN1912" s="12" t="n"/>
      <c r="AO1912" s="14">
        <f>IF($AF1912="保留中",COUNTIF($AF$6:$AF1912,"保留中"),"")</f>
        <v/>
      </c>
      <c r="AP1912" s="14">
        <f>IF($AQ1912="","",IF(SUMPRODUCT(MAX((職員マスタ!$A$6:$A$405=$B1912)*(((職員マスタ!$G$6:$G$405="")+(職員マスタ!$G$6:$G$405&lt;=EOMONTH($AQ1912,0)))&gt;0)*(((職員マスタ!$H$6:$H$405="")+(職員マスタ!$H$6:$H$405&gt;=$AQ1912))&gt;0)*(ROW(職員マスタ!$A$6:$A$405)-5)))&gt;0,SUMPRODUCT(MAX((職員マスタ!$A$6:$A$405=$B1912)*(((職員マスタ!$G$6:$G$405="")+(職員マスタ!$G$6:$G$405&lt;=EOMONTH($AQ1912,0)))&gt;0)*(((職員マスタ!$H$6:$H$405="")+(職員マスタ!$H$6:$H$405&gt;=$AQ1912))&gt;0)*(ROW(職員マスタ!$A$6:$A$405)-5))),IFERROR(MATCH($B1912,職員マスタ!$A$6:$A$405,0),"")))</f>
        <v/>
      </c>
      <c r="AQ1912" s="16">
        <f>IF(OR($B1912="",$C1912="",$D1912=""),"",DATE($C1912+2018,$D1912,1))</f>
        <v/>
      </c>
    </row>
    <row r="1913">
      <c r="A1913" s="11" t="n"/>
      <c r="B1913" s="12" t="n"/>
      <c r="C1913" s="12" t="n"/>
      <c r="D1913" s="12" t="n"/>
      <c r="E1913" s="13" t="n"/>
      <c r="F1913" s="12" t="n"/>
      <c r="G1913" s="13" t="n"/>
      <c r="H1913" s="12" t="n"/>
      <c r="I1913" s="12" t="n"/>
      <c r="J1913" s="12" t="n"/>
      <c r="K1913" s="12" t="n"/>
      <c r="L1913" s="11" t="n"/>
      <c r="M1913" s="11" t="n"/>
      <c r="N1913" s="11" t="n"/>
      <c r="O1913" s="11" t="n"/>
      <c r="P1913" s="12" t="n"/>
      <c r="Q1913" s="11" t="n"/>
      <c r="R1913" s="12" t="n"/>
      <c r="S1913" s="11" t="n"/>
      <c r="T1913" s="12" t="n"/>
      <c r="U1913" s="12" t="n"/>
      <c r="V1913" s="12" t="n"/>
      <c r="W1913" s="13" t="n"/>
      <c r="X1913" s="14">
        <f>IF($AP1913="",IF($B1913="","",$H1913),IF(INDEX(職員マスタ!$B$6:$B$405,$AP1913)="",$H1913,INDEX(職員マスタ!$B$6:$B$405,$AP1913)))</f>
        <v/>
      </c>
      <c r="Y1913" s="14">
        <f>IF($AP1913="",IF($B1913="","",$R1913),IF(INDEX(職員マスタ!$C$6:$C$405,$AP1913)="",$R1913,INDEX(職員マスタ!$C$6:$C$405,$AP1913)))</f>
        <v/>
      </c>
      <c r="Z1913" s="14">
        <f>IF($AQ1913="","","R"&amp;$C1913&amp;"."&amp;$D1913)</f>
        <v/>
      </c>
      <c r="AA1913" s="15">
        <f>IF(IF($AP1913="",FALSE,INDEX(職員マスタ!$K$6:$K$405,$AP1913)&lt;&gt;""),INDEX(職員マスタ!$K$6:$K$405,$AP1913),IF(N($W1913)&gt;0,$W1913,""))</f>
        <v/>
      </c>
      <c r="AB1913" s="14">
        <f>IF(OR($E1913="",$AA1913=""),"",IF($E1913&gt;=$AA1913,"×",IF($E1913&gt;=$AA1913*設定!$C$5,"△","○")))</f>
        <v/>
      </c>
      <c r="AC1913" s="15">
        <f>IF($AB1913="","",IF($AB1913="×",0,IF($AB1913="○",ROUNDDOWN($E1913*設定!$C$4,0),ROUNDDOWN($E1913*ROUND((9*$AA1913-9*$E1913)/(10*$E1913),4),0))))</f>
        <v/>
      </c>
      <c r="AD1913" s="13" t="n"/>
      <c r="AE1913" s="15">
        <f>IF($B1913="","",IF($AD1913&lt;&gt;"",$AD1913,IF($AC1913="","",IF($AC1913&lt;=設定!$C$3,0,$AC1913))))</f>
        <v/>
      </c>
      <c r="AF1913" s="14">
        <f>IF($B1913="","",IF(AND($AG1913&lt;&gt;"",$AI1913="",$AL1913=""),"保留中",IF($AL1913&lt;&gt;"",IF(N($AE1913)&gt;0,"支給済","不支給"),IF($AE1913="","要確認",IF($AE1913=0,"不支給","未処理")))))</f>
        <v/>
      </c>
      <c r="AG1913" s="12" t="n"/>
      <c r="AH1913" s="11" t="n"/>
      <c r="AI1913" s="11" t="n"/>
      <c r="AJ1913" s="11" t="n"/>
      <c r="AK1913" s="14">
        <f>IF(AND($AF1913="保留中",$AH1913&lt;&gt;""),TODAY()-$AH1913,"")</f>
        <v/>
      </c>
      <c r="AL1913" s="12" t="n"/>
      <c r="AM1913" s="14">
        <f>IF($B1913="","",IF($AQ1913="","対象年月が未入力／","")&amp;IF($B1913="","",IF($AP1913="","職員マスタに未登録の職員番号／",IF($AA1913="","標準報酬月額が未登録／","")&amp;IF(AND($AQ1913&lt;&gt;"",OR(AND(INDEX(職員マスタ!$G$6:$G$405,$AP1913)&lt;&gt;"",INDEX(職員マスタ!$G$6:$G$405,$AP1913)&gt;EOMONTH($AQ1913,0)),AND(INDEX(職員マスタ!$H$6:$H$405,$AP1913)&lt;&gt;"",INDEX(職員マスタ!$H$6:$H$405,$AP1913)&lt;$AQ1913))),"対象月が時短期間外／","")&amp;IF(AND(INDEX(職員マスタ!$K$6:$K$405,$AP1913)&lt;&gt;"",N($W1913)&gt;0,INDEX(職員マスタ!$K$6:$K$405,$AP1913)&lt;&gt;$W1913),"標準報酬月額が申請書と相違（台帳"&amp;TEXT(INDEX(職員マスタ!$K$6:$K$405,$AP1913),"#,##0")&amp;"円／申請書"&amp;TEXT($W1913,"#,##0")&amp;"円）／","")&amp;IF(AND(INDEX(職員マスタ!$F$6:$F$405,$AP1913)&lt;&gt;"",$AQ1913&lt;&gt;"",INDEX(職員マスタ!$F$6:$F$405,$AP1913)&lt;$AQ1913),"対象月に子が2歳到達済／","")&amp;IF(AND($H1913&lt;&gt;"",INDEX(職員マスタ!$B$6:$B$405,$AP1913)&lt;&gt;"",SUBSTITUTE(SUBSTITUTE($H1913," ","")," ","")&lt;&gt;SUBSTITUTE(SUBSTITUTE(INDEX(職員マスタ!$B$6:$B$405,$AP1913)," ","")," ","")),"氏名がマスタと相違／","")&amp;IF(AND($Q1913&lt;&gt;"",INDEX(職員マスタ!$E$6:$E$405,$AP1913)&lt;&gt;"",$Q1913&lt;&gt;INDEX(職員マスタ!$E$6:$E$405,$AP1913)),"子の生年月日がマスタと相違／","")&amp;IF(AND($L1913&lt;&gt;"",INDEX(職員マスタ!$G$6:$G$405,$AP1913)&lt;&gt;"",$L1913&lt;&gt;INDEX(職員マスタ!$G$6:$G$405,$AP1913)),"時短開始日がマスタと相違／","")&amp;IF(AND($M1913&lt;&gt;"",INDEX(職員マスタ!$H$6:$H$405,$AP1913)&lt;&gt;"",$M1913&lt;&gt;INDEX(職員マスタ!$H$6:$H$405,$AP1913)),"時短終了日がマスタと相違／","")))&amp;IF(AND($B1913&lt;&gt;"",$E1913=""),"報酬額が未入力／","")&amp;IF(N($U1913)&gt;0,"申請書に入力エラーが残っています／","")&amp;IF(AND($B1913&lt;&gt;"",$AQ1913&lt;&gt;""),IF(COUNTIFS($B$6:$B$3005,$B1913,$C$6:$C$3005,$C1913,$D$6:$D$3005,$D1913)&gt;1,"同じ月の請求が重複しています／",""),"")&amp;IF(AND(N($E1913)&gt;0,$AB1913&lt;&gt;"",$AB1913&lt;&gt;"×",$AE1913=0,$AD1913=""),"計算額が下限以下のため不支給／",""))</f>
        <v/>
      </c>
      <c r="AN1913" s="12" t="n"/>
      <c r="AO1913" s="14">
        <f>IF($AF1913="保留中",COUNTIF($AF$6:$AF1913,"保留中"),"")</f>
        <v/>
      </c>
      <c r="AP1913" s="14">
        <f>IF($AQ1913="","",IF(SUMPRODUCT(MAX((職員マスタ!$A$6:$A$405=$B1913)*(((職員マスタ!$G$6:$G$405="")+(職員マスタ!$G$6:$G$405&lt;=EOMONTH($AQ1913,0)))&gt;0)*(((職員マスタ!$H$6:$H$405="")+(職員マスタ!$H$6:$H$405&gt;=$AQ1913))&gt;0)*(ROW(職員マスタ!$A$6:$A$405)-5)))&gt;0,SUMPRODUCT(MAX((職員マスタ!$A$6:$A$405=$B1913)*(((職員マスタ!$G$6:$G$405="")+(職員マスタ!$G$6:$G$405&lt;=EOMONTH($AQ1913,0)))&gt;0)*(((職員マスタ!$H$6:$H$405="")+(職員マスタ!$H$6:$H$405&gt;=$AQ1913))&gt;0)*(ROW(職員マスタ!$A$6:$A$405)-5))),IFERROR(MATCH($B1913,職員マスタ!$A$6:$A$405,0),"")))</f>
        <v/>
      </c>
      <c r="AQ1913" s="16">
        <f>IF(OR($B1913="",$C1913="",$D1913=""),"",DATE($C1913+2018,$D1913,1))</f>
        <v/>
      </c>
    </row>
    <row r="1914">
      <c r="A1914" s="11" t="n"/>
      <c r="B1914" s="12" t="n"/>
      <c r="C1914" s="12" t="n"/>
      <c r="D1914" s="12" t="n"/>
      <c r="E1914" s="13" t="n"/>
      <c r="F1914" s="12" t="n"/>
      <c r="G1914" s="13" t="n"/>
      <c r="H1914" s="12" t="n"/>
      <c r="I1914" s="12" t="n"/>
      <c r="J1914" s="12" t="n"/>
      <c r="K1914" s="12" t="n"/>
      <c r="L1914" s="11" t="n"/>
      <c r="M1914" s="11" t="n"/>
      <c r="N1914" s="11" t="n"/>
      <c r="O1914" s="11" t="n"/>
      <c r="P1914" s="12" t="n"/>
      <c r="Q1914" s="11" t="n"/>
      <c r="R1914" s="12" t="n"/>
      <c r="S1914" s="11" t="n"/>
      <c r="T1914" s="12" t="n"/>
      <c r="U1914" s="12" t="n"/>
      <c r="V1914" s="12" t="n"/>
      <c r="W1914" s="13" t="n"/>
      <c r="X1914" s="14">
        <f>IF($AP1914="",IF($B1914="","",$H1914),IF(INDEX(職員マスタ!$B$6:$B$405,$AP1914)="",$H1914,INDEX(職員マスタ!$B$6:$B$405,$AP1914)))</f>
        <v/>
      </c>
      <c r="Y1914" s="14">
        <f>IF($AP1914="",IF($B1914="","",$R1914),IF(INDEX(職員マスタ!$C$6:$C$405,$AP1914)="",$R1914,INDEX(職員マスタ!$C$6:$C$405,$AP1914)))</f>
        <v/>
      </c>
      <c r="Z1914" s="14">
        <f>IF($AQ1914="","","R"&amp;$C1914&amp;"."&amp;$D1914)</f>
        <v/>
      </c>
      <c r="AA1914" s="15">
        <f>IF(IF($AP1914="",FALSE,INDEX(職員マスタ!$K$6:$K$405,$AP1914)&lt;&gt;""),INDEX(職員マスタ!$K$6:$K$405,$AP1914),IF(N($W1914)&gt;0,$W1914,""))</f>
        <v/>
      </c>
      <c r="AB1914" s="14">
        <f>IF(OR($E1914="",$AA1914=""),"",IF($E1914&gt;=$AA1914,"×",IF($E1914&gt;=$AA1914*設定!$C$5,"△","○")))</f>
        <v/>
      </c>
      <c r="AC1914" s="15">
        <f>IF($AB1914="","",IF($AB1914="×",0,IF($AB1914="○",ROUNDDOWN($E1914*設定!$C$4,0),ROUNDDOWN($E1914*ROUND((9*$AA1914-9*$E1914)/(10*$E1914),4),0))))</f>
        <v/>
      </c>
      <c r="AD1914" s="13" t="n"/>
      <c r="AE1914" s="15">
        <f>IF($B1914="","",IF($AD1914&lt;&gt;"",$AD1914,IF($AC1914="","",IF($AC1914&lt;=設定!$C$3,0,$AC1914))))</f>
        <v/>
      </c>
      <c r="AF1914" s="14">
        <f>IF($B1914="","",IF(AND($AG1914&lt;&gt;"",$AI1914="",$AL1914=""),"保留中",IF($AL1914&lt;&gt;"",IF(N($AE1914)&gt;0,"支給済","不支給"),IF($AE1914="","要確認",IF($AE1914=0,"不支給","未処理")))))</f>
        <v/>
      </c>
      <c r="AG1914" s="12" t="n"/>
      <c r="AH1914" s="11" t="n"/>
      <c r="AI1914" s="11" t="n"/>
      <c r="AJ1914" s="11" t="n"/>
      <c r="AK1914" s="14">
        <f>IF(AND($AF1914="保留中",$AH1914&lt;&gt;""),TODAY()-$AH1914,"")</f>
        <v/>
      </c>
      <c r="AL1914" s="12" t="n"/>
      <c r="AM1914" s="14">
        <f>IF($B1914="","",IF($AQ1914="","対象年月が未入力／","")&amp;IF($B1914="","",IF($AP1914="","職員マスタに未登録の職員番号／",IF($AA1914="","標準報酬月額が未登録／","")&amp;IF(AND($AQ1914&lt;&gt;"",OR(AND(INDEX(職員マスタ!$G$6:$G$405,$AP1914)&lt;&gt;"",INDEX(職員マスタ!$G$6:$G$405,$AP1914)&gt;EOMONTH($AQ1914,0)),AND(INDEX(職員マスタ!$H$6:$H$405,$AP1914)&lt;&gt;"",INDEX(職員マスタ!$H$6:$H$405,$AP1914)&lt;$AQ1914))),"対象月が時短期間外／","")&amp;IF(AND(INDEX(職員マスタ!$K$6:$K$405,$AP1914)&lt;&gt;"",N($W1914)&gt;0,INDEX(職員マスタ!$K$6:$K$405,$AP1914)&lt;&gt;$W1914),"標準報酬月額が申請書と相違（台帳"&amp;TEXT(INDEX(職員マスタ!$K$6:$K$405,$AP1914),"#,##0")&amp;"円／申請書"&amp;TEXT($W1914,"#,##0")&amp;"円）／","")&amp;IF(AND(INDEX(職員マスタ!$F$6:$F$405,$AP1914)&lt;&gt;"",$AQ1914&lt;&gt;"",INDEX(職員マスタ!$F$6:$F$405,$AP1914)&lt;$AQ1914),"対象月に子が2歳到達済／","")&amp;IF(AND($H1914&lt;&gt;"",INDEX(職員マスタ!$B$6:$B$405,$AP1914)&lt;&gt;"",SUBSTITUTE(SUBSTITUTE($H1914," ","")," ","")&lt;&gt;SUBSTITUTE(SUBSTITUTE(INDEX(職員マスタ!$B$6:$B$405,$AP1914)," ","")," ","")),"氏名がマスタと相違／","")&amp;IF(AND($Q1914&lt;&gt;"",INDEX(職員マスタ!$E$6:$E$405,$AP1914)&lt;&gt;"",$Q1914&lt;&gt;INDEX(職員マスタ!$E$6:$E$405,$AP1914)),"子の生年月日がマスタと相違／","")&amp;IF(AND($L1914&lt;&gt;"",INDEX(職員マスタ!$G$6:$G$405,$AP1914)&lt;&gt;"",$L1914&lt;&gt;INDEX(職員マスタ!$G$6:$G$405,$AP1914)),"時短開始日がマスタと相違／","")&amp;IF(AND($M1914&lt;&gt;"",INDEX(職員マスタ!$H$6:$H$405,$AP1914)&lt;&gt;"",$M1914&lt;&gt;INDEX(職員マスタ!$H$6:$H$405,$AP1914)),"時短終了日がマスタと相違／","")))&amp;IF(AND($B1914&lt;&gt;"",$E1914=""),"報酬額が未入力／","")&amp;IF(N($U1914)&gt;0,"申請書に入力エラーが残っています／","")&amp;IF(AND($B1914&lt;&gt;"",$AQ1914&lt;&gt;""),IF(COUNTIFS($B$6:$B$3005,$B1914,$C$6:$C$3005,$C1914,$D$6:$D$3005,$D1914)&gt;1,"同じ月の請求が重複しています／",""),"")&amp;IF(AND(N($E1914)&gt;0,$AB1914&lt;&gt;"",$AB1914&lt;&gt;"×",$AE1914=0,$AD1914=""),"計算額が下限以下のため不支給／",""))</f>
        <v/>
      </c>
      <c r="AN1914" s="12" t="n"/>
      <c r="AO1914" s="14">
        <f>IF($AF1914="保留中",COUNTIF($AF$6:$AF1914,"保留中"),"")</f>
        <v/>
      </c>
      <c r="AP1914" s="14">
        <f>IF($AQ1914="","",IF(SUMPRODUCT(MAX((職員マスタ!$A$6:$A$405=$B1914)*(((職員マスタ!$G$6:$G$405="")+(職員マスタ!$G$6:$G$405&lt;=EOMONTH($AQ1914,0)))&gt;0)*(((職員マスタ!$H$6:$H$405="")+(職員マスタ!$H$6:$H$405&gt;=$AQ1914))&gt;0)*(ROW(職員マスタ!$A$6:$A$405)-5)))&gt;0,SUMPRODUCT(MAX((職員マスタ!$A$6:$A$405=$B1914)*(((職員マスタ!$G$6:$G$405="")+(職員マスタ!$G$6:$G$405&lt;=EOMONTH($AQ1914,0)))&gt;0)*(((職員マスタ!$H$6:$H$405="")+(職員マスタ!$H$6:$H$405&gt;=$AQ1914))&gt;0)*(ROW(職員マスタ!$A$6:$A$405)-5))),IFERROR(MATCH($B1914,職員マスタ!$A$6:$A$405,0),"")))</f>
        <v/>
      </c>
      <c r="AQ1914" s="16">
        <f>IF(OR($B1914="",$C1914="",$D1914=""),"",DATE($C1914+2018,$D1914,1))</f>
        <v/>
      </c>
    </row>
    <row r="1915">
      <c r="A1915" s="11" t="n"/>
      <c r="B1915" s="12" t="n"/>
      <c r="C1915" s="12" t="n"/>
      <c r="D1915" s="12" t="n"/>
      <c r="E1915" s="13" t="n"/>
      <c r="F1915" s="12" t="n"/>
      <c r="G1915" s="13" t="n"/>
      <c r="H1915" s="12" t="n"/>
      <c r="I1915" s="12" t="n"/>
      <c r="J1915" s="12" t="n"/>
      <c r="K1915" s="12" t="n"/>
      <c r="L1915" s="11" t="n"/>
      <c r="M1915" s="11" t="n"/>
      <c r="N1915" s="11" t="n"/>
      <c r="O1915" s="11" t="n"/>
      <c r="P1915" s="12" t="n"/>
      <c r="Q1915" s="11" t="n"/>
      <c r="R1915" s="12" t="n"/>
      <c r="S1915" s="11" t="n"/>
      <c r="T1915" s="12" t="n"/>
      <c r="U1915" s="12" t="n"/>
      <c r="V1915" s="12" t="n"/>
      <c r="W1915" s="13" t="n"/>
      <c r="X1915" s="14">
        <f>IF($AP1915="",IF($B1915="","",$H1915),IF(INDEX(職員マスタ!$B$6:$B$405,$AP1915)="",$H1915,INDEX(職員マスタ!$B$6:$B$405,$AP1915)))</f>
        <v/>
      </c>
      <c r="Y1915" s="14">
        <f>IF($AP1915="",IF($B1915="","",$R1915),IF(INDEX(職員マスタ!$C$6:$C$405,$AP1915)="",$R1915,INDEX(職員マスタ!$C$6:$C$405,$AP1915)))</f>
        <v/>
      </c>
      <c r="Z1915" s="14">
        <f>IF($AQ1915="","","R"&amp;$C1915&amp;"."&amp;$D1915)</f>
        <v/>
      </c>
      <c r="AA1915" s="15">
        <f>IF(IF($AP1915="",FALSE,INDEX(職員マスタ!$K$6:$K$405,$AP1915)&lt;&gt;""),INDEX(職員マスタ!$K$6:$K$405,$AP1915),IF(N($W1915)&gt;0,$W1915,""))</f>
        <v/>
      </c>
      <c r="AB1915" s="14">
        <f>IF(OR($E1915="",$AA1915=""),"",IF($E1915&gt;=$AA1915,"×",IF($E1915&gt;=$AA1915*設定!$C$5,"△","○")))</f>
        <v/>
      </c>
      <c r="AC1915" s="15">
        <f>IF($AB1915="","",IF($AB1915="×",0,IF($AB1915="○",ROUNDDOWN($E1915*設定!$C$4,0),ROUNDDOWN($E1915*ROUND((9*$AA1915-9*$E1915)/(10*$E1915),4),0))))</f>
        <v/>
      </c>
      <c r="AD1915" s="13" t="n"/>
      <c r="AE1915" s="15">
        <f>IF($B1915="","",IF($AD1915&lt;&gt;"",$AD1915,IF($AC1915="","",IF($AC1915&lt;=設定!$C$3,0,$AC1915))))</f>
        <v/>
      </c>
      <c r="AF1915" s="14">
        <f>IF($B1915="","",IF(AND($AG1915&lt;&gt;"",$AI1915="",$AL1915=""),"保留中",IF($AL1915&lt;&gt;"",IF(N($AE1915)&gt;0,"支給済","不支給"),IF($AE1915="","要確認",IF($AE1915=0,"不支給","未処理")))))</f>
        <v/>
      </c>
      <c r="AG1915" s="12" t="n"/>
      <c r="AH1915" s="11" t="n"/>
      <c r="AI1915" s="11" t="n"/>
      <c r="AJ1915" s="11" t="n"/>
      <c r="AK1915" s="14">
        <f>IF(AND($AF1915="保留中",$AH1915&lt;&gt;""),TODAY()-$AH1915,"")</f>
        <v/>
      </c>
      <c r="AL1915" s="12" t="n"/>
      <c r="AM1915" s="14">
        <f>IF($B1915="","",IF($AQ1915="","対象年月が未入力／","")&amp;IF($B1915="","",IF($AP1915="","職員マスタに未登録の職員番号／",IF($AA1915="","標準報酬月額が未登録／","")&amp;IF(AND($AQ1915&lt;&gt;"",OR(AND(INDEX(職員マスタ!$G$6:$G$405,$AP1915)&lt;&gt;"",INDEX(職員マスタ!$G$6:$G$405,$AP1915)&gt;EOMONTH($AQ1915,0)),AND(INDEX(職員マスタ!$H$6:$H$405,$AP1915)&lt;&gt;"",INDEX(職員マスタ!$H$6:$H$405,$AP1915)&lt;$AQ1915))),"対象月が時短期間外／","")&amp;IF(AND(INDEX(職員マスタ!$K$6:$K$405,$AP1915)&lt;&gt;"",N($W1915)&gt;0,INDEX(職員マスタ!$K$6:$K$405,$AP1915)&lt;&gt;$W1915),"標準報酬月額が申請書と相違（台帳"&amp;TEXT(INDEX(職員マスタ!$K$6:$K$405,$AP1915),"#,##0")&amp;"円／申請書"&amp;TEXT($W1915,"#,##0")&amp;"円）／","")&amp;IF(AND(INDEX(職員マスタ!$F$6:$F$405,$AP1915)&lt;&gt;"",$AQ1915&lt;&gt;"",INDEX(職員マスタ!$F$6:$F$405,$AP1915)&lt;$AQ1915),"対象月に子が2歳到達済／","")&amp;IF(AND($H1915&lt;&gt;"",INDEX(職員マスタ!$B$6:$B$405,$AP1915)&lt;&gt;"",SUBSTITUTE(SUBSTITUTE($H1915," ","")," ","")&lt;&gt;SUBSTITUTE(SUBSTITUTE(INDEX(職員マスタ!$B$6:$B$405,$AP1915)," ","")," ","")),"氏名がマスタと相違／","")&amp;IF(AND($Q1915&lt;&gt;"",INDEX(職員マスタ!$E$6:$E$405,$AP1915)&lt;&gt;"",$Q1915&lt;&gt;INDEX(職員マスタ!$E$6:$E$405,$AP1915)),"子の生年月日がマスタと相違／","")&amp;IF(AND($L1915&lt;&gt;"",INDEX(職員マスタ!$G$6:$G$405,$AP1915)&lt;&gt;"",$L1915&lt;&gt;INDEX(職員マスタ!$G$6:$G$405,$AP1915)),"時短開始日がマスタと相違／","")&amp;IF(AND($M1915&lt;&gt;"",INDEX(職員マスタ!$H$6:$H$405,$AP1915)&lt;&gt;"",$M1915&lt;&gt;INDEX(職員マスタ!$H$6:$H$405,$AP1915)),"時短終了日がマスタと相違／","")))&amp;IF(AND($B1915&lt;&gt;"",$E1915=""),"報酬額が未入力／","")&amp;IF(N($U1915)&gt;0,"申請書に入力エラーが残っています／","")&amp;IF(AND($B1915&lt;&gt;"",$AQ1915&lt;&gt;""),IF(COUNTIFS($B$6:$B$3005,$B1915,$C$6:$C$3005,$C1915,$D$6:$D$3005,$D1915)&gt;1,"同じ月の請求が重複しています／",""),"")&amp;IF(AND(N($E1915)&gt;0,$AB1915&lt;&gt;"",$AB1915&lt;&gt;"×",$AE1915=0,$AD1915=""),"計算額が下限以下のため不支給／",""))</f>
        <v/>
      </c>
      <c r="AN1915" s="12" t="n"/>
      <c r="AO1915" s="14">
        <f>IF($AF1915="保留中",COUNTIF($AF$6:$AF1915,"保留中"),"")</f>
        <v/>
      </c>
      <c r="AP1915" s="14">
        <f>IF($AQ1915="","",IF(SUMPRODUCT(MAX((職員マスタ!$A$6:$A$405=$B1915)*(((職員マスタ!$G$6:$G$405="")+(職員マスタ!$G$6:$G$405&lt;=EOMONTH($AQ1915,0)))&gt;0)*(((職員マスタ!$H$6:$H$405="")+(職員マスタ!$H$6:$H$405&gt;=$AQ1915))&gt;0)*(ROW(職員マスタ!$A$6:$A$405)-5)))&gt;0,SUMPRODUCT(MAX((職員マスタ!$A$6:$A$405=$B1915)*(((職員マスタ!$G$6:$G$405="")+(職員マスタ!$G$6:$G$405&lt;=EOMONTH($AQ1915,0)))&gt;0)*(((職員マスタ!$H$6:$H$405="")+(職員マスタ!$H$6:$H$405&gt;=$AQ1915))&gt;0)*(ROW(職員マスタ!$A$6:$A$405)-5))),IFERROR(MATCH($B1915,職員マスタ!$A$6:$A$405,0),"")))</f>
        <v/>
      </c>
      <c r="AQ1915" s="16">
        <f>IF(OR($B1915="",$C1915="",$D1915=""),"",DATE($C1915+2018,$D1915,1))</f>
        <v/>
      </c>
    </row>
    <row r="1916">
      <c r="A1916" s="11" t="n"/>
      <c r="B1916" s="12" t="n"/>
      <c r="C1916" s="12" t="n"/>
      <c r="D1916" s="12" t="n"/>
      <c r="E1916" s="13" t="n"/>
      <c r="F1916" s="12" t="n"/>
      <c r="G1916" s="13" t="n"/>
      <c r="H1916" s="12" t="n"/>
      <c r="I1916" s="12" t="n"/>
      <c r="J1916" s="12" t="n"/>
      <c r="K1916" s="12" t="n"/>
      <c r="L1916" s="11" t="n"/>
      <c r="M1916" s="11" t="n"/>
      <c r="N1916" s="11" t="n"/>
      <c r="O1916" s="11" t="n"/>
      <c r="P1916" s="12" t="n"/>
      <c r="Q1916" s="11" t="n"/>
      <c r="R1916" s="12" t="n"/>
      <c r="S1916" s="11" t="n"/>
      <c r="T1916" s="12" t="n"/>
      <c r="U1916" s="12" t="n"/>
      <c r="V1916" s="12" t="n"/>
      <c r="W1916" s="13" t="n"/>
      <c r="X1916" s="14">
        <f>IF($AP1916="",IF($B1916="","",$H1916),IF(INDEX(職員マスタ!$B$6:$B$405,$AP1916)="",$H1916,INDEX(職員マスタ!$B$6:$B$405,$AP1916)))</f>
        <v/>
      </c>
      <c r="Y1916" s="14">
        <f>IF($AP1916="",IF($B1916="","",$R1916),IF(INDEX(職員マスタ!$C$6:$C$405,$AP1916)="",$R1916,INDEX(職員マスタ!$C$6:$C$405,$AP1916)))</f>
        <v/>
      </c>
      <c r="Z1916" s="14">
        <f>IF($AQ1916="","","R"&amp;$C1916&amp;"."&amp;$D1916)</f>
        <v/>
      </c>
      <c r="AA1916" s="15">
        <f>IF(IF($AP1916="",FALSE,INDEX(職員マスタ!$K$6:$K$405,$AP1916)&lt;&gt;""),INDEX(職員マスタ!$K$6:$K$405,$AP1916),IF(N($W1916)&gt;0,$W1916,""))</f>
        <v/>
      </c>
      <c r="AB1916" s="14">
        <f>IF(OR($E1916="",$AA1916=""),"",IF($E1916&gt;=$AA1916,"×",IF($E1916&gt;=$AA1916*設定!$C$5,"△","○")))</f>
        <v/>
      </c>
      <c r="AC1916" s="15">
        <f>IF($AB1916="","",IF($AB1916="×",0,IF($AB1916="○",ROUNDDOWN($E1916*設定!$C$4,0),ROUNDDOWN($E1916*ROUND((9*$AA1916-9*$E1916)/(10*$E1916),4),0))))</f>
        <v/>
      </c>
      <c r="AD1916" s="13" t="n"/>
      <c r="AE1916" s="15">
        <f>IF($B1916="","",IF($AD1916&lt;&gt;"",$AD1916,IF($AC1916="","",IF($AC1916&lt;=設定!$C$3,0,$AC1916))))</f>
        <v/>
      </c>
      <c r="AF1916" s="14">
        <f>IF($B1916="","",IF(AND($AG1916&lt;&gt;"",$AI1916="",$AL1916=""),"保留中",IF($AL1916&lt;&gt;"",IF(N($AE1916)&gt;0,"支給済","不支給"),IF($AE1916="","要確認",IF($AE1916=0,"不支給","未処理")))))</f>
        <v/>
      </c>
      <c r="AG1916" s="12" t="n"/>
      <c r="AH1916" s="11" t="n"/>
      <c r="AI1916" s="11" t="n"/>
      <c r="AJ1916" s="11" t="n"/>
      <c r="AK1916" s="14">
        <f>IF(AND($AF1916="保留中",$AH1916&lt;&gt;""),TODAY()-$AH1916,"")</f>
        <v/>
      </c>
      <c r="AL1916" s="12" t="n"/>
      <c r="AM1916" s="14">
        <f>IF($B1916="","",IF($AQ1916="","対象年月が未入力／","")&amp;IF($B1916="","",IF($AP1916="","職員マスタに未登録の職員番号／",IF($AA1916="","標準報酬月額が未登録／","")&amp;IF(AND($AQ1916&lt;&gt;"",OR(AND(INDEX(職員マスタ!$G$6:$G$405,$AP1916)&lt;&gt;"",INDEX(職員マスタ!$G$6:$G$405,$AP1916)&gt;EOMONTH($AQ1916,0)),AND(INDEX(職員マスタ!$H$6:$H$405,$AP1916)&lt;&gt;"",INDEX(職員マスタ!$H$6:$H$405,$AP1916)&lt;$AQ1916))),"対象月が時短期間外／","")&amp;IF(AND(INDEX(職員マスタ!$K$6:$K$405,$AP1916)&lt;&gt;"",N($W1916)&gt;0,INDEX(職員マスタ!$K$6:$K$405,$AP1916)&lt;&gt;$W1916),"標準報酬月額が申請書と相違（台帳"&amp;TEXT(INDEX(職員マスタ!$K$6:$K$405,$AP1916),"#,##0")&amp;"円／申請書"&amp;TEXT($W1916,"#,##0")&amp;"円）／","")&amp;IF(AND(INDEX(職員マスタ!$F$6:$F$405,$AP1916)&lt;&gt;"",$AQ1916&lt;&gt;"",INDEX(職員マスタ!$F$6:$F$405,$AP1916)&lt;$AQ1916),"対象月に子が2歳到達済／","")&amp;IF(AND($H1916&lt;&gt;"",INDEX(職員マスタ!$B$6:$B$405,$AP1916)&lt;&gt;"",SUBSTITUTE(SUBSTITUTE($H1916," ","")," ","")&lt;&gt;SUBSTITUTE(SUBSTITUTE(INDEX(職員マスタ!$B$6:$B$405,$AP1916)," ","")," ","")),"氏名がマスタと相違／","")&amp;IF(AND($Q1916&lt;&gt;"",INDEX(職員マスタ!$E$6:$E$405,$AP1916)&lt;&gt;"",$Q1916&lt;&gt;INDEX(職員マスタ!$E$6:$E$405,$AP1916)),"子の生年月日がマスタと相違／","")&amp;IF(AND($L1916&lt;&gt;"",INDEX(職員マスタ!$G$6:$G$405,$AP1916)&lt;&gt;"",$L1916&lt;&gt;INDEX(職員マスタ!$G$6:$G$405,$AP1916)),"時短開始日がマスタと相違／","")&amp;IF(AND($M1916&lt;&gt;"",INDEX(職員マスタ!$H$6:$H$405,$AP1916)&lt;&gt;"",$M1916&lt;&gt;INDEX(職員マスタ!$H$6:$H$405,$AP1916)),"時短終了日がマスタと相違／","")))&amp;IF(AND($B1916&lt;&gt;"",$E1916=""),"報酬額が未入力／","")&amp;IF(N($U1916)&gt;0,"申請書に入力エラーが残っています／","")&amp;IF(AND($B1916&lt;&gt;"",$AQ1916&lt;&gt;""),IF(COUNTIFS($B$6:$B$3005,$B1916,$C$6:$C$3005,$C1916,$D$6:$D$3005,$D1916)&gt;1,"同じ月の請求が重複しています／",""),"")&amp;IF(AND(N($E1916)&gt;0,$AB1916&lt;&gt;"",$AB1916&lt;&gt;"×",$AE1916=0,$AD1916=""),"計算額が下限以下のため不支給／",""))</f>
        <v/>
      </c>
      <c r="AN1916" s="12" t="n"/>
      <c r="AO1916" s="14">
        <f>IF($AF1916="保留中",COUNTIF($AF$6:$AF1916,"保留中"),"")</f>
        <v/>
      </c>
      <c r="AP1916" s="14">
        <f>IF($AQ1916="","",IF(SUMPRODUCT(MAX((職員マスタ!$A$6:$A$405=$B1916)*(((職員マスタ!$G$6:$G$405="")+(職員マスタ!$G$6:$G$405&lt;=EOMONTH($AQ1916,0)))&gt;0)*(((職員マスタ!$H$6:$H$405="")+(職員マスタ!$H$6:$H$405&gt;=$AQ1916))&gt;0)*(ROW(職員マスタ!$A$6:$A$405)-5)))&gt;0,SUMPRODUCT(MAX((職員マスタ!$A$6:$A$405=$B1916)*(((職員マスタ!$G$6:$G$405="")+(職員マスタ!$G$6:$G$405&lt;=EOMONTH($AQ1916,0)))&gt;0)*(((職員マスタ!$H$6:$H$405="")+(職員マスタ!$H$6:$H$405&gt;=$AQ1916))&gt;0)*(ROW(職員マスタ!$A$6:$A$405)-5))),IFERROR(MATCH($B1916,職員マスタ!$A$6:$A$405,0),"")))</f>
        <v/>
      </c>
      <c r="AQ1916" s="16">
        <f>IF(OR($B1916="",$C1916="",$D1916=""),"",DATE($C1916+2018,$D1916,1))</f>
        <v/>
      </c>
    </row>
    <row r="1917">
      <c r="A1917" s="11" t="n"/>
      <c r="B1917" s="12" t="n"/>
      <c r="C1917" s="12" t="n"/>
      <c r="D1917" s="12" t="n"/>
      <c r="E1917" s="13" t="n"/>
      <c r="F1917" s="12" t="n"/>
      <c r="G1917" s="13" t="n"/>
      <c r="H1917" s="12" t="n"/>
      <c r="I1917" s="12" t="n"/>
      <c r="J1917" s="12" t="n"/>
      <c r="K1917" s="12" t="n"/>
      <c r="L1917" s="11" t="n"/>
      <c r="M1917" s="11" t="n"/>
      <c r="N1917" s="11" t="n"/>
      <c r="O1917" s="11" t="n"/>
      <c r="P1917" s="12" t="n"/>
      <c r="Q1917" s="11" t="n"/>
      <c r="R1917" s="12" t="n"/>
      <c r="S1917" s="11" t="n"/>
      <c r="T1917" s="12" t="n"/>
      <c r="U1917" s="12" t="n"/>
      <c r="V1917" s="12" t="n"/>
      <c r="W1917" s="13" t="n"/>
      <c r="X1917" s="14">
        <f>IF($AP1917="",IF($B1917="","",$H1917),IF(INDEX(職員マスタ!$B$6:$B$405,$AP1917)="",$H1917,INDEX(職員マスタ!$B$6:$B$405,$AP1917)))</f>
        <v/>
      </c>
      <c r="Y1917" s="14">
        <f>IF($AP1917="",IF($B1917="","",$R1917),IF(INDEX(職員マスタ!$C$6:$C$405,$AP1917)="",$R1917,INDEX(職員マスタ!$C$6:$C$405,$AP1917)))</f>
        <v/>
      </c>
      <c r="Z1917" s="14">
        <f>IF($AQ1917="","","R"&amp;$C1917&amp;"."&amp;$D1917)</f>
        <v/>
      </c>
      <c r="AA1917" s="15">
        <f>IF(IF($AP1917="",FALSE,INDEX(職員マスタ!$K$6:$K$405,$AP1917)&lt;&gt;""),INDEX(職員マスタ!$K$6:$K$405,$AP1917),IF(N($W1917)&gt;0,$W1917,""))</f>
        <v/>
      </c>
      <c r="AB1917" s="14">
        <f>IF(OR($E1917="",$AA1917=""),"",IF($E1917&gt;=$AA1917,"×",IF($E1917&gt;=$AA1917*設定!$C$5,"△","○")))</f>
        <v/>
      </c>
      <c r="AC1917" s="15">
        <f>IF($AB1917="","",IF($AB1917="×",0,IF($AB1917="○",ROUNDDOWN($E1917*設定!$C$4,0),ROUNDDOWN($E1917*ROUND((9*$AA1917-9*$E1917)/(10*$E1917),4),0))))</f>
        <v/>
      </c>
      <c r="AD1917" s="13" t="n"/>
      <c r="AE1917" s="15">
        <f>IF($B1917="","",IF($AD1917&lt;&gt;"",$AD1917,IF($AC1917="","",IF($AC1917&lt;=設定!$C$3,0,$AC1917))))</f>
        <v/>
      </c>
      <c r="AF1917" s="14">
        <f>IF($B1917="","",IF(AND($AG1917&lt;&gt;"",$AI1917="",$AL1917=""),"保留中",IF($AL1917&lt;&gt;"",IF(N($AE1917)&gt;0,"支給済","不支給"),IF($AE1917="","要確認",IF($AE1917=0,"不支給","未処理")))))</f>
        <v/>
      </c>
      <c r="AG1917" s="12" t="n"/>
      <c r="AH1917" s="11" t="n"/>
      <c r="AI1917" s="11" t="n"/>
      <c r="AJ1917" s="11" t="n"/>
      <c r="AK1917" s="14">
        <f>IF(AND($AF1917="保留中",$AH1917&lt;&gt;""),TODAY()-$AH1917,"")</f>
        <v/>
      </c>
      <c r="AL1917" s="12" t="n"/>
      <c r="AM1917" s="14">
        <f>IF($B1917="","",IF($AQ1917="","対象年月が未入力／","")&amp;IF($B1917="","",IF($AP1917="","職員マスタに未登録の職員番号／",IF($AA1917="","標準報酬月額が未登録／","")&amp;IF(AND($AQ1917&lt;&gt;"",OR(AND(INDEX(職員マスタ!$G$6:$G$405,$AP1917)&lt;&gt;"",INDEX(職員マスタ!$G$6:$G$405,$AP1917)&gt;EOMONTH($AQ1917,0)),AND(INDEX(職員マスタ!$H$6:$H$405,$AP1917)&lt;&gt;"",INDEX(職員マスタ!$H$6:$H$405,$AP1917)&lt;$AQ1917))),"対象月が時短期間外／","")&amp;IF(AND(INDEX(職員マスタ!$K$6:$K$405,$AP1917)&lt;&gt;"",N($W1917)&gt;0,INDEX(職員マスタ!$K$6:$K$405,$AP1917)&lt;&gt;$W1917),"標準報酬月額が申請書と相違（台帳"&amp;TEXT(INDEX(職員マスタ!$K$6:$K$405,$AP1917),"#,##0")&amp;"円／申請書"&amp;TEXT($W1917,"#,##0")&amp;"円）／","")&amp;IF(AND(INDEX(職員マスタ!$F$6:$F$405,$AP1917)&lt;&gt;"",$AQ1917&lt;&gt;"",INDEX(職員マスタ!$F$6:$F$405,$AP1917)&lt;$AQ1917),"対象月に子が2歳到達済／","")&amp;IF(AND($H1917&lt;&gt;"",INDEX(職員マスタ!$B$6:$B$405,$AP1917)&lt;&gt;"",SUBSTITUTE(SUBSTITUTE($H1917," ","")," ","")&lt;&gt;SUBSTITUTE(SUBSTITUTE(INDEX(職員マスタ!$B$6:$B$405,$AP1917)," ","")," ","")),"氏名がマスタと相違／","")&amp;IF(AND($Q1917&lt;&gt;"",INDEX(職員マスタ!$E$6:$E$405,$AP1917)&lt;&gt;"",$Q1917&lt;&gt;INDEX(職員マスタ!$E$6:$E$405,$AP1917)),"子の生年月日がマスタと相違／","")&amp;IF(AND($L1917&lt;&gt;"",INDEX(職員マスタ!$G$6:$G$405,$AP1917)&lt;&gt;"",$L1917&lt;&gt;INDEX(職員マスタ!$G$6:$G$405,$AP1917)),"時短開始日がマスタと相違／","")&amp;IF(AND($M1917&lt;&gt;"",INDEX(職員マスタ!$H$6:$H$405,$AP1917)&lt;&gt;"",$M1917&lt;&gt;INDEX(職員マスタ!$H$6:$H$405,$AP1917)),"時短終了日がマスタと相違／","")))&amp;IF(AND($B1917&lt;&gt;"",$E1917=""),"報酬額が未入力／","")&amp;IF(N($U1917)&gt;0,"申請書に入力エラーが残っています／","")&amp;IF(AND($B1917&lt;&gt;"",$AQ1917&lt;&gt;""),IF(COUNTIFS($B$6:$B$3005,$B1917,$C$6:$C$3005,$C1917,$D$6:$D$3005,$D1917)&gt;1,"同じ月の請求が重複しています／",""),"")&amp;IF(AND(N($E1917)&gt;0,$AB1917&lt;&gt;"",$AB1917&lt;&gt;"×",$AE1917=0,$AD1917=""),"計算額が下限以下のため不支給／",""))</f>
        <v/>
      </c>
      <c r="AN1917" s="12" t="n"/>
      <c r="AO1917" s="14">
        <f>IF($AF1917="保留中",COUNTIF($AF$6:$AF1917,"保留中"),"")</f>
        <v/>
      </c>
      <c r="AP1917" s="14">
        <f>IF($AQ1917="","",IF(SUMPRODUCT(MAX((職員マスタ!$A$6:$A$405=$B1917)*(((職員マスタ!$G$6:$G$405="")+(職員マスタ!$G$6:$G$405&lt;=EOMONTH($AQ1917,0)))&gt;0)*(((職員マスタ!$H$6:$H$405="")+(職員マスタ!$H$6:$H$405&gt;=$AQ1917))&gt;0)*(ROW(職員マスタ!$A$6:$A$405)-5)))&gt;0,SUMPRODUCT(MAX((職員マスタ!$A$6:$A$405=$B1917)*(((職員マスタ!$G$6:$G$405="")+(職員マスタ!$G$6:$G$405&lt;=EOMONTH($AQ1917,0)))&gt;0)*(((職員マスタ!$H$6:$H$405="")+(職員マスタ!$H$6:$H$405&gt;=$AQ1917))&gt;0)*(ROW(職員マスタ!$A$6:$A$405)-5))),IFERROR(MATCH($B1917,職員マスタ!$A$6:$A$405,0),"")))</f>
        <v/>
      </c>
      <c r="AQ1917" s="16">
        <f>IF(OR($B1917="",$C1917="",$D1917=""),"",DATE($C1917+2018,$D1917,1))</f>
        <v/>
      </c>
    </row>
    <row r="1918">
      <c r="A1918" s="11" t="n"/>
      <c r="B1918" s="12" t="n"/>
      <c r="C1918" s="12" t="n"/>
      <c r="D1918" s="12" t="n"/>
      <c r="E1918" s="13" t="n"/>
      <c r="F1918" s="12" t="n"/>
      <c r="G1918" s="13" t="n"/>
      <c r="H1918" s="12" t="n"/>
      <c r="I1918" s="12" t="n"/>
      <c r="J1918" s="12" t="n"/>
      <c r="K1918" s="12" t="n"/>
      <c r="L1918" s="11" t="n"/>
      <c r="M1918" s="11" t="n"/>
      <c r="N1918" s="11" t="n"/>
      <c r="O1918" s="11" t="n"/>
      <c r="P1918" s="12" t="n"/>
      <c r="Q1918" s="11" t="n"/>
      <c r="R1918" s="12" t="n"/>
      <c r="S1918" s="11" t="n"/>
      <c r="T1918" s="12" t="n"/>
      <c r="U1918" s="12" t="n"/>
      <c r="V1918" s="12" t="n"/>
      <c r="W1918" s="13" t="n"/>
      <c r="X1918" s="14">
        <f>IF($AP1918="",IF($B1918="","",$H1918),IF(INDEX(職員マスタ!$B$6:$B$405,$AP1918)="",$H1918,INDEX(職員マスタ!$B$6:$B$405,$AP1918)))</f>
        <v/>
      </c>
      <c r="Y1918" s="14">
        <f>IF($AP1918="",IF($B1918="","",$R1918),IF(INDEX(職員マスタ!$C$6:$C$405,$AP1918)="",$R1918,INDEX(職員マスタ!$C$6:$C$405,$AP1918)))</f>
        <v/>
      </c>
      <c r="Z1918" s="14">
        <f>IF($AQ1918="","","R"&amp;$C1918&amp;"."&amp;$D1918)</f>
        <v/>
      </c>
      <c r="AA1918" s="15">
        <f>IF(IF($AP1918="",FALSE,INDEX(職員マスタ!$K$6:$K$405,$AP1918)&lt;&gt;""),INDEX(職員マスタ!$K$6:$K$405,$AP1918),IF(N($W1918)&gt;0,$W1918,""))</f>
        <v/>
      </c>
      <c r="AB1918" s="14">
        <f>IF(OR($E1918="",$AA1918=""),"",IF($E1918&gt;=$AA1918,"×",IF($E1918&gt;=$AA1918*設定!$C$5,"△","○")))</f>
        <v/>
      </c>
      <c r="AC1918" s="15">
        <f>IF($AB1918="","",IF($AB1918="×",0,IF($AB1918="○",ROUNDDOWN($E1918*設定!$C$4,0),ROUNDDOWN($E1918*ROUND((9*$AA1918-9*$E1918)/(10*$E1918),4),0))))</f>
        <v/>
      </c>
      <c r="AD1918" s="13" t="n"/>
      <c r="AE1918" s="15">
        <f>IF($B1918="","",IF($AD1918&lt;&gt;"",$AD1918,IF($AC1918="","",IF($AC1918&lt;=設定!$C$3,0,$AC1918))))</f>
        <v/>
      </c>
      <c r="AF1918" s="14">
        <f>IF($B1918="","",IF(AND($AG1918&lt;&gt;"",$AI1918="",$AL1918=""),"保留中",IF($AL1918&lt;&gt;"",IF(N($AE1918)&gt;0,"支給済","不支給"),IF($AE1918="","要確認",IF($AE1918=0,"不支給","未処理")))))</f>
        <v/>
      </c>
      <c r="AG1918" s="12" t="n"/>
      <c r="AH1918" s="11" t="n"/>
      <c r="AI1918" s="11" t="n"/>
      <c r="AJ1918" s="11" t="n"/>
      <c r="AK1918" s="14">
        <f>IF(AND($AF1918="保留中",$AH1918&lt;&gt;""),TODAY()-$AH1918,"")</f>
        <v/>
      </c>
      <c r="AL1918" s="12" t="n"/>
      <c r="AM1918" s="14">
        <f>IF($B1918="","",IF($AQ1918="","対象年月が未入力／","")&amp;IF($B1918="","",IF($AP1918="","職員マスタに未登録の職員番号／",IF($AA1918="","標準報酬月額が未登録／","")&amp;IF(AND($AQ1918&lt;&gt;"",OR(AND(INDEX(職員マスタ!$G$6:$G$405,$AP1918)&lt;&gt;"",INDEX(職員マスタ!$G$6:$G$405,$AP1918)&gt;EOMONTH($AQ1918,0)),AND(INDEX(職員マスタ!$H$6:$H$405,$AP1918)&lt;&gt;"",INDEX(職員マスタ!$H$6:$H$405,$AP1918)&lt;$AQ1918))),"対象月が時短期間外／","")&amp;IF(AND(INDEX(職員マスタ!$K$6:$K$405,$AP1918)&lt;&gt;"",N($W1918)&gt;0,INDEX(職員マスタ!$K$6:$K$405,$AP1918)&lt;&gt;$W1918),"標準報酬月額が申請書と相違（台帳"&amp;TEXT(INDEX(職員マスタ!$K$6:$K$405,$AP1918),"#,##0")&amp;"円／申請書"&amp;TEXT($W1918,"#,##0")&amp;"円）／","")&amp;IF(AND(INDEX(職員マスタ!$F$6:$F$405,$AP1918)&lt;&gt;"",$AQ1918&lt;&gt;"",INDEX(職員マスタ!$F$6:$F$405,$AP1918)&lt;$AQ1918),"対象月に子が2歳到達済／","")&amp;IF(AND($H1918&lt;&gt;"",INDEX(職員マスタ!$B$6:$B$405,$AP1918)&lt;&gt;"",SUBSTITUTE(SUBSTITUTE($H1918," ","")," ","")&lt;&gt;SUBSTITUTE(SUBSTITUTE(INDEX(職員マスタ!$B$6:$B$405,$AP1918)," ","")," ","")),"氏名がマスタと相違／","")&amp;IF(AND($Q1918&lt;&gt;"",INDEX(職員マスタ!$E$6:$E$405,$AP1918)&lt;&gt;"",$Q1918&lt;&gt;INDEX(職員マスタ!$E$6:$E$405,$AP1918)),"子の生年月日がマスタと相違／","")&amp;IF(AND($L1918&lt;&gt;"",INDEX(職員マスタ!$G$6:$G$405,$AP1918)&lt;&gt;"",$L1918&lt;&gt;INDEX(職員マスタ!$G$6:$G$405,$AP1918)),"時短開始日がマスタと相違／","")&amp;IF(AND($M1918&lt;&gt;"",INDEX(職員マスタ!$H$6:$H$405,$AP1918)&lt;&gt;"",$M1918&lt;&gt;INDEX(職員マスタ!$H$6:$H$405,$AP1918)),"時短終了日がマスタと相違／","")))&amp;IF(AND($B1918&lt;&gt;"",$E1918=""),"報酬額が未入力／","")&amp;IF(N($U1918)&gt;0,"申請書に入力エラーが残っています／","")&amp;IF(AND($B1918&lt;&gt;"",$AQ1918&lt;&gt;""),IF(COUNTIFS($B$6:$B$3005,$B1918,$C$6:$C$3005,$C1918,$D$6:$D$3005,$D1918)&gt;1,"同じ月の請求が重複しています／",""),"")&amp;IF(AND(N($E1918)&gt;0,$AB1918&lt;&gt;"",$AB1918&lt;&gt;"×",$AE1918=0,$AD1918=""),"計算額が下限以下のため不支給／",""))</f>
        <v/>
      </c>
      <c r="AN1918" s="12" t="n"/>
      <c r="AO1918" s="14">
        <f>IF($AF1918="保留中",COUNTIF($AF$6:$AF1918,"保留中"),"")</f>
        <v/>
      </c>
      <c r="AP1918" s="14">
        <f>IF($AQ1918="","",IF(SUMPRODUCT(MAX((職員マスタ!$A$6:$A$405=$B1918)*(((職員マスタ!$G$6:$G$405="")+(職員マスタ!$G$6:$G$405&lt;=EOMONTH($AQ1918,0)))&gt;0)*(((職員マスタ!$H$6:$H$405="")+(職員マスタ!$H$6:$H$405&gt;=$AQ1918))&gt;0)*(ROW(職員マスタ!$A$6:$A$405)-5)))&gt;0,SUMPRODUCT(MAX((職員マスタ!$A$6:$A$405=$B1918)*(((職員マスタ!$G$6:$G$405="")+(職員マスタ!$G$6:$G$405&lt;=EOMONTH($AQ1918,0)))&gt;0)*(((職員マスタ!$H$6:$H$405="")+(職員マスタ!$H$6:$H$405&gt;=$AQ1918))&gt;0)*(ROW(職員マスタ!$A$6:$A$405)-5))),IFERROR(MATCH($B1918,職員マスタ!$A$6:$A$405,0),"")))</f>
        <v/>
      </c>
      <c r="AQ1918" s="16">
        <f>IF(OR($B1918="",$C1918="",$D1918=""),"",DATE($C1918+2018,$D1918,1))</f>
        <v/>
      </c>
    </row>
    <row r="1919">
      <c r="A1919" s="11" t="n"/>
      <c r="B1919" s="12" t="n"/>
      <c r="C1919" s="12" t="n"/>
      <c r="D1919" s="12" t="n"/>
      <c r="E1919" s="13" t="n"/>
      <c r="F1919" s="12" t="n"/>
      <c r="G1919" s="13" t="n"/>
      <c r="H1919" s="12" t="n"/>
      <c r="I1919" s="12" t="n"/>
      <c r="J1919" s="12" t="n"/>
      <c r="K1919" s="12" t="n"/>
      <c r="L1919" s="11" t="n"/>
      <c r="M1919" s="11" t="n"/>
      <c r="N1919" s="11" t="n"/>
      <c r="O1919" s="11" t="n"/>
      <c r="P1919" s="12" t="n"/>
      <c r="Q1919" s="11" t="n"/>
      <c r="R1919" s="12" t="n"/>
      <c r="S1919" s="11" t="n"/>
      <c r="T1919" s="12" t="n"/>
      <c r="U1919" s="12" t="n"/>
      <c r="V1919" s="12" t="n"/>
      <c r="W1919" s="13" t="n"/>
      <c r="X1919" s="14">
        <f>IF($AP1919="",IF($B1919="","",$H1919),IF(INDEX(職員マスタ!$B$6:$B$405,$AP1919)="",$H1919,INDEX(職員マスタ!$B$6:$B$405,$AP1919)))</f>
        <v/>
      </c>
      <c r="Y1919" s="14">
        <f>IF($AP1919="",IF($B1919="","",$R1919),IF(INDEX(職員マスタ!$C$6:$C$405,$AP1919)="",$R1919,INDEX(職員マスタ!$C$6:$C$405,$AP1919)))</f>
        <v/>
      </c>
      <c r="Z1919" s="14">
        <f>IF($AQ1919="","","R"&amp;$C1919&amp;"."&amp;$D1919)</f>
        <v/>
      </c>
      <c r="AA1919" s="15">
        <f>IF(IF($AP1919="",FALSE,INDEX(職員マスタ!$K$6:$K$405,$AP1919)&lt;&gt;""),INDEX(職員マスタ!$K$6:$K$405,$AP1919),IF(N($W1919)&gt;0,$W1919,""))</f>
        <v/>
      </c>
      <c r="AB1919" s="14">
        <f>IF(OR($E1919="",$AA1919=""),"",IF($E1919&gt;=$AA1919,"×",IF($E1919&gt;=$AA1919*設定!$C$5,"△","○")))</f>
        <v/>
      </c>
      <c r="AC1919" s="15">
        <f>IF($AB1919="","",IF($AB1919="×",0,IF($AB1919="○",ROUNDDOWN($E1919*設定!$C$4,0),ROUNDDOWN($E1919*ROUND((9*$AA1919-9*$E1919)/(10*$E1919),4),0))))</f>
        <v/>
      </c>
      <c r="AD1919" s="13" t="n"/>
      <c r="AE1919" s="15">
        <f>IF($B1919="","",IF($AD1919&lt;&gt;"",$AD1919,IF($AC1919="","",IF($AC1919&lt;=設定!$C$3,0,$AC1919))))</f>
        <v/>
      </c>
      <c r="AF1919" s="14">
        <f>IF($B1919="","",IF(AND($AG1919&lt;&gt;"",$AI1919="",$AL1919=""),"保留中",IF($AL1919&lt;&gt;"",IF(N($AE1919)&gt;0,"支給済","不支給"),IF($AE1919="","要確認",IF($AE1919=0,"不支給","未処理")))))</f>
        <v/>
      </c>
      <c r="AG1919" s="12" t="n"/>
      <c r="AH1919" s="11" t="n"/>
      <c r="AI1919" s="11" t="n"/>
      <c r="AJ1919" s="11" t="n"/>
      <c r="AK1919" s="14">
        <f>IF(AND($AF1919="保留中",$AH1919&lt;&gt;""),TODAY()-$AH1919,"")</f>
        <v/>
      </c>
      <c r="AL1919" s="12" t="n"/>
      <c r="AM1919" s="14">
        <f>IF($B1919="","",IF($AQ1919="","対象年月が未入力／","")&amp;IF($B1919="","",IF($AP1919="","職員マスタに未登録の職員番号／",IF($AA1919="","標準報酬月額が未登録／","")&amp;IF(AND($AQ1919&lt;&gt;"",OR(AND(INDEX(職員マスタ!$G$6:$G$405,$AP1919)&lt;&gt;"",INDEX(職員マスタ!$G$6:$G$405,$AP1919)&gt;EOMONTH($AQ1919,0)),AND(INDEX(職員マスタ!$H$6:$H$405,$AP1919)&lt;&gt;"",INDEX(職員マスタ!$H$6:$H$405,$AP1919)&lt;$AQ1919))),"対象月が時短期間外／","")&amp;IF(AND(INDEX(職員マスタ!$K$6:$K$405,$AP1919)&lt;&gt;"",N($W1919)&gt;0,INDEX(職員マスタ!$K$6:$K$405,$AP1919)&lt;&gt;$W1919),"標準報酬月額が申請書と相違（台帳"&amp;TEXT(INDEX(職員マスタ!$K$6:$K$405,$AP1919),"#,##0")&amp;"円／申請書"&amp;TEXT($W1919,"#,##0")&amp;"円）／","")&amp;IF(AND(INDEX(職員マスタ!$F$6:$F$405,$AP1919)&lt;&gt;"",$AQ1919&lt;&gt;"",INDEX(職員マスタ!$F$6:$F$405,$AP1919)&lt;$AQ1919),"対象月に子が2歳到達済／","")&amp;IF(AND($H1919&lt;&gt;"",INDEX(職員マスタ!$B$6:$B$405,$AP1919)&lt;&gt;"",SUBSTITUTE(SUBSTITUTE($H1919," ","")," ","")&lt;&gt;SUBSTITUTE(SUBSTITUTE(INDEX(職員マスタ!$B$6:$B$405,$AP1919)," ","")," ","")),"氏名がマスタと相違／","")&amp;IF(AND($Q1919&lt;&gt;"",INDEX(職員マスタ!$E$6:$E$405,$AP1919)&lt;&gt;"",$Q1919&lt;&gt;INDEX(職員マスタ!$E$6:$E$405,$AP1919)),"子の生年月日がマスタと相違／","")&amp;IF(AND($L1919&lt;&gt;"",INDEX(職員マスタ!$G$6:$G$405,$AP1919)&lt;&gt;"",$L1919&lt;&gt;INDEX(職員マスタ!$G$6:$G$405,$AP1919)),"時短開始日がマスタと相違／","")&amp;IF(AND($M1919&lt;&gt;"",INDEX(職員マスタ!$H$6:$H$405,$AP1919)&lt;&gt;"",$M1919&lt;&gt;INDEX(職員マスタ!$H$6:$H$405,$AP1919)),"時短終了日がマスタと相違／","")))&amp;IF(AND($B1919&lt;&gt;"",$E1919=""),"報酬額が未入力／","")&amp;IF(N($U1919)&gt;0,"申請書に入力エラーが残っています／","")&amp;IF(AND($B1919&lt;&gt;"",$AQ1919&lt;&gt;""),IF(COUNTIFS($B$6:$B$3005,$B1919,$C$6:$C$3005,$C1919,$D$6:$D$3005,$D1919)&gt;1,"同じ月の請求が重複しています／",""),"")&amp;IF(AND(N($E1919)&gt;0,$AB1919&lt;&gt;"",$AB1919&lt;&gt;"×",$AE1919=0,$AD1919=""),"計算額が下限以下のため不支給／",""))</f>
        <v/>
      </c>
      <c r="AN1919" s="12" t="n"/>
      <c r="AO1919" s="14">
        <f>IF($AF1919="保留中",COUNTIF($AF$6:$AF1919,"保留中"),"")</f>
        <v/>
      </c>
      <c r="AP1919" s="14">
        <f>IF($AQ1919="","",IF(SUMPRODUCT(MAX((職員マスタ!$A$6:$A$405=$B1919)*(((職員マスタ!$G$6:$G$405="")+(職員マスタ!$G$6:$G$405&lt;=EOMONTH($AQ1919,0)))&gt;0)*(((職員マスタ!$H$6:$H$405="")+(職員マスタ!$H$6:$H$405&gt;=$AQ1919))&gt;0)*(ROW(職員マスタ!$A$6:$A$405)-5)))&gt;0,SUMPRODUCT(MAX((職員マスタ!$A$6:$A$405=$B1919)*(((職員マスタ!$G$6:$G$405="")+(職員マスタ!$G$6:$G$405&lt;=EOMONTH($AQ1919,0)))&gt;0)*(((職員マスタ!$H$6:$H$405="")+(職員マスタ!$H$6:$H$405&gt;=$AQ1919))&gt;0)*(ROW(職員マスタ!$A$6:$A$405)-5))),IFERROR(MATCH($B1919,職員マスタ!$A$6:$A$405,0),"")))</f>
        <v/>
      </c>
      <c r="AQ1919" s="16">
        <f>IF(OR($B1919="",$C1919="",$D1919=""),"",DATE($C1919+2018,$D1919,1))</f>
        <v/>
      </c>
    </row>
    <row r="1920">
      <c r="A1920" s="11" t="n"/>
      <c r="B1920" s="12" t="n"/>
      <c r="C1920" s="12" t="n"/>
      <c r="D1920" s="12" t="n"/>
      <c r="E1920" s="13" t="n"/>
      <c r="F1920" s="12" t="n"/>
      <c r="G1920" s="13" t="n"/>
      <c r="H1920" s="12" t="n"/>
      <c r="I1920" s="12" t="n"/>
      <c r="J1920" s="12" t="n"/>
      <c r="K1920" s="12" t="n"/>
      <c r="L1920" s="11" t="n"/>
      <c r="M1920" s="11" t="n"/>
      <c r="N1920" s="11" t="n"/>
      <c r="O1920" s="11" t="n"/>
      <c r="P1920" s="12" t="n"/>
      <c r="Q1920" s="11" t="n"/>
      <c r="R1920" s="12" t="n"/>
      <c r="S1920" s="11" t="n"/>
      <c r="T1920" s="12" t="n"/>
      <c r="U1920" s="12" t="n"/>
      <c r="V1920" s="12" t="n"/>
      <c r="W1920" s="13" t="n"/>
      <c r="X1920" s="14">
        <f>IF($AP1920="",IF($B1920="","",$H1920),IF(INDEX(職員マスタ!$B$6:$B$405,$AP1920)="",$H1920,INDEX(職員マスタ!$B$6:$B$405,$AP1920)))</f>
        <v/>
      </c>
      <c r="Y1920" s="14">
        <f>IF($AP1920="",IF($B1920="","",$R1920),IF(INDEX(職員マスタ!$C$6:$C$405,$AP1920)="",$R1920,INDEX(職員マスタ!$C$6:$C$405,$AP1920)))</f>
        <v/>
      </c>
      <c r="Z1920" s="14">
        <f>IF($AQ1920="","","R"&amp;$C1920&amp;"."&amp;$D1920)</f>
        <v/>
      </c>
      <c r="AA1920" s="15">
        <f>IF(IF($AP1920="",FALSE,INDEX(職員マスタ!$K$6:$K$405,$AP1920)&lt;&gt;""),INDEX(職員マスタ!$K$6:$K$405,$AP1920),IF(N($W1920)&gt;0,$W1920,""))</f>
        <v/>
      </c>
      <c r="AB1920" s="14">
        <f>IF(OR($E1920="",$AA1920=""),"",IF($E1920&gt;=$AA1920,"×",IF($E1920&gt;=$AA1920*設定!$C$5,"△","○")))</f>
        <v/>
      </c>
      <c r="AC1920" s="15">
        <f>IF($AB1920="","",IF($AB1920="×",0,IF($AB1920="○",ROUNDDOWN($E1920*設定!$C$4,0),ROUNDDOWN($E1920*ROUND((9*$AA1920-9*$E1920)/(10*$E1920),4),0))))</f>
        <v/>
      </c>
      <c r="AD1920" s="13" t="n"/>
      <c r="AE1920" s="15">
        <f>IF($B1920="","",IF($AD1920&lt;&gt;"",$AD1920,IF($AC1920="","",IF($AC1920&lt;=設定!$C$3,0,$AC1920))))</f>
        <v/>
      </c>
      <c r="AF1920" s="14">
        <f>IF($B1920="","",IF(AND($AG1920&lt;&gt;"",$AI1920="",$AL1920=""),"保留中",IF($AL1920&lt;&gt;"",IF(N($AE1920)&gt;0,"支給済","不支給"),IF($AE1920="","要確認",IF($AE1920=0,"不支給","未処理")))))</f>
        <v/>
      </c>
      <c r="AG1920" s="12" t="n"/>
      <c r="AH1920" s="11" t="n"/>
      <c r="AI1920" s="11" t="n"/>
      <c r="AJ1920" s="11" t="n"/>
      <c r="AK1920" s="14">
        <f>IF(AND($AF1920="保留中",$AH1920&lt;&gt;""),TODAY()-$AH1920,"")</f>
        <v/>
      </c>
      <c r="AL1920" s="12" t="n"/>
      <c r="AM1920" s="14">
        <f>IF($B1920="","",IF($AQ1920="","対象年月が未入力／","")&amp;IF($B1920="","",IF($AP1920="","職員マスタに未登録の職員番号／",IF($AA1920="","標準報酬月額が未登録／","")&amp;IF(AND($AQ1920&lt;&gt;"",OR(AND(INDEX(職員マスタ!$G$6:$G$405,$AP1920)&lt;&gt;"",INDEX(職員マスタ!$G$6:$G$405,$AP1920)&gt;EOMONTH($AQ1920,0)),AND(INDEX(職員マスタ!$H$6:$H$405,$AP1920)&lt;&gt;"",INDEX(職員マスタ!$H$6:$H$405,$AP1920)&lt;$AQ1920))),"対象月が時短期間外／","")&amp;IF(AND(INDEX(職員マスタ!$K$6:$K$405,$AP1920)&lt;&gt;"",N($W1920)&gt;0,INDEX(職員マスタ!$K$6:$K$405,$AP1920)&lt;&gt;$W1920),"標準報酬月額が申請書と相違（台帳"&amp;TEXT(INDEX(職員マスタ!$K$6:$K$405,$AP1920),"#,##0")&amp;"円／申請書"&amp;TEXT($W1920,"#,##0")&amp;"円）／","")&amp;IF(AND(INDEX(職員マスタ!$F$6:$F$405,$AP1920)&lt;&gt;"",$AQ1920&lt;&gt;"",INDEX(職員マスタ!$F$6:$F$405,$AP1920)&lt;$AQ1920),"対象月に子が2歳到達済／","")&amp;IF(AND($H1920&lt;&gt;"",INDEX(職員マスタ!$B$6:$B$405,$AP1920)&lt;&gt;"",SUBSTITUTE(SUBSTITUTE($H1920," ","")," ","")&lt;&gt;SUBSTITUTE(SUBSTITUTE(INDEX(職員マスタ!$B$6:$B$405,$AP1920)," ","")," ","")),"氏名がマスタと相違／","")&amp;IF(AND($Q1920&lt;&gt;"",INDEX(職員マスタ!$E$6:$E$405,$AP1920)&lt;&gt;"",$Q1920&lt;&gt;INDEX(職員マスタ!$E$6:$E$405,$AP1920)),"子の生年月日がマスタと相違／","")&amp;IF(AND($L1920&lt;&gt;"",INDEX(職員マスタ!$G$6:$G$405,$AP1920)&lt;&gt;"",$L1920&lt;&gt;INDEX(職員マスタ!$G$6:$G$405,$AP1920)),"時短開始日がマスタと相違／","")&amp;IF(AND($M1920&lt;&gt;"",INDEX(職員マスタ!$H$6:$H$405,$AP1920)&lt;&gt;"",$M1920&lt;&gt;INDEX(職員マスタ!$H$6:$H$405,$AP1920)),"時短終了日がマスタと相違／","")))&amp;IF(AND($B1920&lt;&gt;"",$E1920=""),"報酬額が未入力／","")&amp;IF(N($U1920)&gt;0,"申請書に入力エラーが残っています／","")&amp;IF(AND($B1920&lt;&gt;"",$AQ1920&lt;&gt;""),IF(COUNTIFS($B$6:$B$3005,$B1920,$C$6:$C$3005,$C1920,$D$6:$D$3005,$D1920)&gt;1,"同じ月の請求が重複しています／",""),"")&amp;IF(AND(N($E1920)&gt;0,$AB1920&lt;&gt;"",$AB1920&lt;&gt;"×",$AE1920=0,$AD1920=""),"計算額が下限以下のため不支給／",""))</f>
        <v/>
      </c>
      <c r="AN1920" s="12" t="n"/>
      <c r="AO1920" s="14">
        <f>IF($AF1920="保留中",COUNTIF($AF$6:$AF1920,"保留中"),"")</f>
        <v/>
      </c>
      <c r="AP1920" s="14">
        <f>IF($AQ1920="","",IF(SUMPRODUCT(MAX((職員マスタ!$A$6:$A$405=$B1920)*(((職員マスタ!$G$6:$G$405="")+(職員マスタ!$G$6:$G$405&lt;=EOMONTH($AQ1920,0)))&gt;0)*(((職員マスタ!$H$6:$H$405="")+(職員マスタ!$H$6:$H$405&gt;=$AQ1920))&gt;0)*(ROW(職員マスタ!$A$6:$A$405)-5)))&gt;0,SUMPRODUCT(MAX((職員マスタ!$A$6:$A$405=$B1920)*(((職員マスタ!$G$6:$G$405="")+(職員マスタ!$G$6:$G$405&lt;=EOMONTH($AQ1920,0)))&gt;0)*(((職員マスタ!$H$6:$H$405="")+(職員マスタ!$H$6:$H$405&gt;=$AQ1920))&gt;0)*(ROW(職員マスタ!$A$6:$A$405)-5))),IFERROR(MATCH($B1920,職員マスタ!$A$6:$A$405,0),"")))</f>
        <v/>
      </c>
      <c r="AQ1920" s="16">
        <f>IF(OR($B1920="",$C1920="",$D1920=""),"",DATE($C1920+2018,$D1920,1))</f>
        <v/>
      </c>
    </row>
    <row r="1921">
      <c r="A1921" s="11" t="n"/>
      <c r="B1921" s="12" t="n"/>
      <c r="C1921" s="12" t="n"/>
      <c r="D1921" s="12" t="n"/>
      <c r="E1921" s="13" t="n"/>
      <c r="F1921" s="12" t="n"/>
      <c r="G1921" s="13" t="n"/>
      <c r="H1921" s="12" t="n"/>
      <c r="I1921" s="12" t="n"/>
      <c r="J1921" s="12" t="n"/>
      <c r="K1921" s="12" t="n"/>
      <c r="L1921" s="11" t="n"/>
      <c r="M1921" s="11" t="n"/>
      <c r="N1921" s="11" t="n"/>
      <c r="O1921" s="11" t="n"/>
      <c r="P1921" s="12" t="n"/>
      <c r="Q1921" s="11" t="n"/>
      <c r="R1921" s="12" t="n"/>
      <c r="S1921" s="11" t="n"/>
      <c r="T1921" s="12" t="n"/>
      <c r="U1921" s="12" t="n"/>
      <c r="V1921" s="12" t="n"/>
      <c r="W1921" s="13" t="n"/>
      <c r="X1921" s="14">
        <f>IF($AP1921="",IF($B1921="","",$H1921),IF(INDEX(職員マスタ!$B$6:$B$405,$AP1921)="",$H1921,INDEX(職員マスタ!$B$6:$B$405,$AP1921)))</f>
        <v/>
      </c>
      <c r="Y1921" s="14">
        <f>IF($AP1921="",IF($B1921="","",$R1921),IF(INDEX(職員マスタ!$C$6:$C$405,$AP1921)="",$R1921,INDEX(職員マスタ!$C$6:$C$405,$AP1921)))</f>
        <v/>
      </c>
      <c r="Z1921" s="14">
        <f>IF($AQ1921="","","R"&amp;$C1921&amp;"."&amp;$D1921)</f>
        <v/>
      </c>
      <c r="AA1921" s="15">
        <f>IF(IF($AP1921="",FALSE,INDEX(職員マスタ!$K$6:$K$405,$AP1921)&lt;&gt;""),INDEX(職員マスタ!$K$6:$K$405,$AP1921),IF(N($W1921)&gt;0,$W1921,""))</f>
        <v/>
      </c>
      <c r="AB1921" s="14">
        <f>IF(OR($E1921="",$AA1921=""),"",IF($E1921&gt;=$AA1921,"×",IF($E1921&gt;=$AA1921*設定!$C$5,"△","○")))</f>
        <v/>
      </c>
      <c r="AC1921" s="15">
        <f>IF($AB1921="","",IF($AB1921="×",0,IF($AB1921="○",ROUNDDOWN($E1921*設定!$C$4,0),ROUNDDOWN($E1921*ROUND((9*$AA1921-9*$E1921)/(10*$E1921),4),0))))</f>
        <v/>
      </c>
      <c r="AD1921" s="13" t="n"/>
      <c r="AE1921" s="15">
        <f>IF($B1921="","",IF($AD1921&lt;&gt;"",$AD1921,IF($AC1921="","",IF($AC1921&lt;=設定!$C$3,0,$AC1921))))</f>
        <v/>
      </c>
      <c r="AF1921" s="14">
        <f>IF($B1921="","",IF(AND($AG1921&lt;&gt;"",$AI1921="",$AL1921=""),"保留中",IF($AL1921&lt;&gt;"",IF(N($AE1921)&gt;0,"支給済","不支給"),IF($AE1921="","要確認",IF($AE1921=0,"不支給","未処理")))))</f>
        <v/>
      </c>
      <c r="AG1921" s="12" t="n"/>
      <c r="AH1921" s="11" t="n"/>
      <c r="AI1921" s="11" t="n"/>
      <c r="AJ1921" s="11" t="n"/>
      <c r="AK1921" s="14">
        <f>IF(AND($AF1921="保留中",$AH1921&lt;&gt;""),TODAY()-$AH1921,"")</f>
        <v/>
      </c>
      <c r="AL1921" s="12" t="n"/>
      <c r="AM1921" s="14">
        <f>IF($B1921="","",IF($AQ1921="","対象年月が未入力／","")&amp;IF($B1921="","",IF($AP1921="","職員マスタに未登録の職員番号／",IF($AA1921="","標準報酬月額が未登録／","")&amp;IF(AND($AQ1921&lt;&gt;"",OR(AND(INDEX(職員マスタ!$G$6:$G$405,$AP1921)&lt;&gt;"",INDEX(職員マスタ!$G$6:$G$405,$AP1921)&gt;EOMONTH($AQ1921,0)),AND(INDEX(職員マスタ!$H$6:$H$405,$AP1921)&lt;&gt;"",INDEX(職員マスタ!$H$6:$H$405,$AP1921)&lt;$AQ1921))),"対象月が時短期間外／","")&amp;IF(AND(INDEX(職員マスタ!$K$6:$K$405,$AP1921)&lt;&gt;"",N($W1921)&gt;0,INDEX(職員マスタ!$K$6:$K$405,$AP1921)&lt;&gt;$W1921),"標準報酬月額が申請書と相違（台帳"&amp;TEXT(INDEX(職員マスタ!$K$6:$K$405,$AP1921),"#,##0")&amp;"円／申請書"&amp;TEXT($W1921,"#,##0")&amp;"円）／","")&amp;IF(AND(INDEX(職員マスタ!$F$6:$F$405,$AP1921)&lt;&gt;"",$AQ1921&lt;&gt;"",INDEX(職員マスタ!$F$6:$F$405,$AP1921)&lt;$AQ1921),"対象月に子が2歳到達済／","")&amp;IF(AND($H1921&lt;&gt;"",INDEX(職員マスタ!$B$6:$B$405,$AP1921)&lt;&gt;"",SUBSTITUTE(SUBSTITUTE($H1921," ","")," ","")&lt;&gt;SUBSTITUTE(SUBSTITUTE(INDEX(職員マスタ!$B$6:$B$405,$AP1921)," ","")," ","")),"氏名がマスタと相違／","")&amp;IF(AND($Q1921&lt;&gt;"",INDEX(職員マスタ!$E$6:$E$405,$AP1921)&lt;&gt;"",$Q1921&lt;&gt;INDEX(職員マスタ!$E$6:$E$405,$AP1921)),"子の生年月日がマスタと相違／","")&amp;IF(AND($L1921&lt;&gt;"",INDEX(職員マスタ!$G$6:$G$405,$AP1921)&lt;&gt;"",$L1921&lt;&gt;INDEX(職員マスタ!$G$6:$G$405,$AP1921)),"時短開始日がマスタと相違／","")&amp;IF(AND($M1921&lt;&gt;"",INDEX(職員マスタ!$H$6:$H$405,$AP1921)&lt;&gt;"",$M1921&lt;&gt;INDEX(職員マスタ!$H$6:$H$405,$AP1921)),"時短終了日がマスタと相違／","")))&amp;IF(AND($B1921&lt;&gt;"",$E1921=""),"報酬額が未入力／","")&amp;IF(N($U1921)&gt;0,"申請書に入力エラーが残っています／","")&amp;IF(AND($B1921&lt;&gt;"",$AQ1921&lt;&gt;""),IF(COUNTIFS($B$6:$B$3005,$B1921,$C$6:$C$3005,$C1921,$D$6:$D$3005,$D1921)&gt;1,"同じ月の請求が重複しています／",""),"")&amp;IF(AND(N($E1921)&gt;0,$AB1921&lt;&gt;"",$AB1921&lt;&gt;"×",$AE1921=0,$AD1921=""),"計算額が下限以下のため不支給／",""))</f>
        <v/>
      </c>
      <c r="AN1921" s="12" t="n"/>
      <c r="AO1921" s="14">
        <f>IF($AF1921="保留中",COUNTIF($AF$6:$AF1921,"保留中"),"")</f>
        <v/>
      </c>
      <c r="AP1921" s="14">
        <f>IF($AQ1921="","",IF(SUMPRODUCT(MAX((職員マスタ!$A$6:$A$405=$B1921)*(((職員マスタ!$G$6:$G$405="")+(職員マスタ!$G$6:$G$405&lt;=EOMONTH($AQ1921,0)))&gt;0)*(((職員マスタ!$H$6:$H$405="")+(職員マスタ!$H$6:$H$405&gt;=$AQ1921))&gt;0)*(ROW(職員マスタ!$A$6:$A$405)-5)))&gt;0,SUMPRODUCT(MAX((職員マスタ!$A$6:$A$405=$B1921)*(((職員マスタ!$G$6:$G$405="")+(職員マスタ!$G$6:$G$405&lt;=EOMONTH($AQ1921,0)))&gt;0)*(((職員マスタ!$H$6:$H$405="")+(職員マスタ!$H$6:$H$405&gt;=$AQ1921))&gt;0)*(ROW(職員マスタ!$A$6:$A$405)-5))),IFERROR(MATCH($B1921,職員マスタ!$A$6:$A$405,0),"")))</f>
        <v/>
      </c>
      <c r="AQ1921" s="16">
        <f>IF(OR($B1921="",$C1921="",$D1921=""),"",DATE($C1921+2018,$D1921,1))</f>
        <v/>
      </c>
    </row>
    <row r="1922">
      <c r="A1922" s="11" t="n"/>
      <c r="B1922" s="12" t="n"/>
      <c r="C1922" s="12" t="n"/>
      <c r="D1922" s="12" t="n"/>
      <c r="E1922" s="13" t="n"/>
      <c r="F1922" s="12" t="n"/>
      <c r="G1922" s="13" t="n"/>
      <c r="H1922" s="12" t="n"/>
      <c r="I1922" s="12" t="n"/>
      <c r="J1922" s="12" t="n"/>
      <c r="K1922" s="12" t="n"/>
      <c r="L1922" s="11" t="n"/>
      <c r="M1922" s="11" t="n"/>
      <c r="N1922" s="11" t="n"/>
      <c r="O1922" s="11" t="n"/>
      <c r="P1922" s="12" t="n"/>
      <c r="Q1922" s="11" t="n"/>
      <c r="R1922" s="12" t="n"/>
      <c r="S1922" s="11" t="n"/>
      <c r="T1922" s="12" t="n"/>
      <c r="U1922" s="12" t="n"/>
      <c r="V1922" s="12" t="n"/>
      <c r="W1922" s="13" t="n"/>
      <c r="X1922" s="14">
        <f>IF($AP1922="",IF($B1922="","",$H1922),IF(INDEX(職員マスタ!$B$6:$B$405,$AP1922)="",$H1922,INDEX(職員マスタ!$B$6:$B$405,$AP1922)))</f>
        <v/>
      </c>
      <c r="Y1922" s="14">
        <f>IF($AP1922="",IF($B1922="","",$R1922),IF(INDEX(職員マスタ!$C$6:$C$405,$AP1922)="",$R1922,INDEX(職員マスタ!$C$6:$C$405,$AP1922)))</f>
        <v/>
      </c>
      <c r="Z1922" s="14">
        <f>IF($AQ1922="","","R"&amp;$C1922&amp;"."&amp;$D1922)</f>
        <v/>
      </c>
      <c r="AA1922" s="15">
        <f>IF(IF($AP1922="",FALSE,INDEX(職員マスタ!$K$6:$K$405,$AP1922)&lt;&gt;""),INDEX(職員マスタ!$K$6:$K$405,$AP1922),IF(N($W1922)&gt;0,$W1922,""))</f>
        <v/>
      </c>
      <c r="AB1922" s="14">
        <f>IF(OR($E1922="",$AA1922=""),"",IF($E1922&gt;=$AA1922,"×",IF($E1922&gt;=$AA1922*設定!$C$5,"△","○")))</f>
        <v/>
      </c>
      <c r="AC1922" s="15">
        <f>IF($AB1922="","",IF($AB1922="×",0,IF($AB1922="○",ROUNDDOWN($E1922*設定!$C$4,0),ROUNDDOWN($E1922*ROUND((9*$AA1922-9*$E1922)/(10*$E1922),4),0))))</f>
        <v/>
      </c>
      <c r="AD1922" s="13" t="n"/>
      <c r="AE1922" s="15">
        <f>IF($B1922="","",IF($AD1922&lt;&gt;"",$AD1922,IF($AC1922="","",IF($AC1922&lt;=設定!$C$3,0,$AC1922))))</f>
        <v/>
      </c>
      <c r="AF1922" s="14">
        <f>IF($B1922="","",IF(AND($AG1922&lt;&gt;"",$AI1922="",$AL1922=""),"保留中",IF($AL1922&lt;&gt;"",IF(N($AE1922)&gt;0,"支給済","不支給"),IF($AE1922="","要確認",IF($AE1922=0,"不支給","未処理")))))</f>
        <v/>
      </c>
      <c r="AG1922" s="12" t="n"/>
      <c r="AH1922" s="11" t="n"/>
      <c r="AI1922" s="11" t="n"/>
      <c r="AJ1922" s="11" t="n"/>
      <c r="AK1922" s="14">
        <f>IF(AND($AF1922="保留中",$AH1922&lt;&gt;""),TODAY()-$AH1922,"")</f>
        <v/>
      </c>
      <c r="AL1922" s="12" t="n"/>
      <c r="AM1922" s="14">
        <f>IF($B1922="","",IF($AQ1922="","対象年月が未入力／","")&amp;IF($B1922="","",IF($AP1922="","職員マスタに未登録の職員番号／",IF($AA1922="","標準報酬月額が未登録／","")&amp;IF(AND($AQ1922&lt;&gt;"",OR(AND(INDEX(職員マスタ!$G$6:$G$405,$AP1922)&lt;&gt;"",INDEX(職員マスタ!$G$6:$G$405,$AP1922)&gt;EOMONTH($AQ1922,0)),AND(INDEX(職員マスタ!$H$6:$H$405,$AP1922)&lt;&gt;"",INDEX(職員マスタ!$H$6:$H$405,$AP1922)&lt;$AQ1922))),"対象月が時短期間外／","")&amp;IF(AND(INDEX(職員マスタ!$K$6:$K$405,$AP1922)&lt;&gt;"",N($W1922)&gt;0,INDEX(職員マスタ!$K$6:$K$405,$AP1922)&lt;&gt;$W1922),"標準報酬月額が申請書と相違（台帳"&amp;TEXT(INDEX(職員マスタ!$K$6:$K$405,$AP1922),"#,##0")&amp;"円／申請書"&amp;TEXT($W1922,"#,##0")&amp;"円）／","")&amp;IF(AND(INDEX(職員マスタ!$F$6:$F$405,$AP1922)&lt;&gt;"",$AQ1922&lt;&gt;"",INDEX(職員マスタ!$F$6:$F$405,$AP1922)&lt;$AQ1922),"対象月に子が2歳到達済／","")&amp;IF(AND($H1922&lt;&gt;"",INDEX(職員マスタ!$B$6:$B$405,$AP1922)&lt;&gt;"",SUBSTITUTE(SUBSTITUTE($H1922," ","")," ","")&lt;&gt;SUBSTITUTE(SUBSTITUTE(INDEX(職員マスタ!$B$6:$B$405,$AP1922)," ","")," ","")),"氏名がマスタと相違／","")&amp;IF(AND($Q1922&lt;&gt;"",INDEX(職員マスタ!$E$6:$E$405,$AP1922)&lt;&gt;"",$Q1922&lt;&gt;INDEX(職員マスタ!$E$6:$E$405,$AP1922)),"子の生年月日がマスタと相違／","")&amp;IF(AND($L1922&lt;&gt;"",INDEX(職員マスタ!$G$6:$G$405,$AP1922)&lt;&gt;"",$L1922&lt;&gt;INDEX(職員マスタ!$G$6:$G$405,$AP1922)),"時短開始日がマスタと相違／","")&amp;IF(AND($M1922&lt;&gt;"",INDEX(職員マスタ!$H$6:$H$405,$AP1922)&lt;&gt;"",$M1922&lt;&gt;INDEX(職員マスタ!$H$6:$H$405,$AP1922)),"時短終了日がマスタと相違／","")))&amp;IF(AND($B1922&lt;&gt;"",$E1922=""),"報酬額が未入力／","")&amp;IF(N($U1922)&gt;0,"申請書に入力エラーが残っています／","")&amp;IF(AND($B1922&lt;&gt;"",$AQ1922&lt;&gt;""),IF(COUNTIFS($B$6:$B$3005,$B1922,$C$6:$C$3005,$C1922,$D$6:$D$3005,$D1922)&gt;1,"同じ月の請求が重複しています／",""),"")&amp;IF(AND(N($E1922)&gt;0,$AB1922&lt;&gt;"",$AB1922&lt;&gt;"×",$AE1922=0,$AD1922=""),"計算額が下限以下のため不支給／",""))</f>
        <v/>
      </c>
      <c r="AN1922" s="12" t="n"/>
      <c r="AO1922" s="14">
        <f>IF($AF1922="保留中",COUNTIF($AF$6:$AF1922,"保留中"),"")</f>
        <v/>
      </c>
      <c r="AP1922" s="14">
        <f>IF($AQ1922="","",IF(SUMPRODUCT(MAX((職員マスタ!$A$6:$A$405=$B1922)*(((職員マスタ!$G$6:$G$405="")+(職員マスタ!$G$6:$G$405&lt;=EOMONTH($AQ1922,0)))&gt;0)*(((職員マスタ!$H$6:$H$405="")+(職員マスタ!$H$6:$H$405&gt;=$AQ1922))&gt;0)*(ROW(職員マスタ!$A$6:$A$405)-5)))&gt;0,SUMPRODUCT(MAX((職員マスタ!$A$6:$A$405=$B1922)*(((職員マスタ!$G$6:$G$405="")+(職員マスタ!$G$6:$G$405&lt;=EOMONTH($AQ1922,0)))&gt;0)*(((職員マスタ!$H$6:$H$405="")+(職員マスタ!$H$6:$H$405&gt;=$AQ1922))&gt;0)*(ROW(職員マスタ!$A$6:$A$405)-5))),IFERROR(MATCH($B1922,職員マスタ!$A$6:$A$405,0),"")))</f>
        <v/>
      </c>
      <c r="AQ1922" s="16">
        <f>IF(OR($B1922="",$C1922="",$D1922=""),"",DATE($C1922+2018,$D1922,1))</f>
        <v/>
      </c>
    </row>
    <row r="1923">
      <c r="A1923" s="11" t="n"/>
      <c r="B1923" s="12" t="n"/>
      <c r="C1923" s="12" t="n"/>
      <c r="D1923" s="12" t="n"/>
      <c r="E1923" s="13" t="n"/>
      <c r="F1923" s="12" t="n"/>
      <c r="G1923" s="13" t="n"/>
      <c r="H1923" s="12" t="n"/>
      <c r="I1923" s="12" t="n"/>
      <c r="J1923" s="12" t="n"/>
      <c r="K1923" s="12" t="n"/>
      <c r="L1923" s="11" t="n"/>
      <c r="M1923" s="11" t="n"/>
      <c r="N1923" s="11" t="n"/>
      <c r="O1923" s="11" t="n"/>
      <c r="P1923" s="12" t="n"/>
      <c r="Q1923" s="11" t="n"/>
      <c r="R1923" s="12" t="n"/>
      <c r="S1923" s="11" t="n"/>
      <c r="T1923" s="12" t="n"/>
      <c r="U1923" s="12" t="n"/>
      <c r="V1923" s="12" t="n"/>
      <c r="W1923" s="13" t="n"/>
      <c r="X1923" s="14">
        <f>IF($AP1923="",IF($B1923="","",$H1923),IF(INDEX(職員マスタ!$B$6:$B$405,$AP1923)="",$H1923,INDEX(職員マスタ!$B$6:$B$405,$AP1923)))</f>
        <v/>
      </c>
      <c r="Y1923" s="14">
        <f>IF($AP1923="",IF($B1923="","",$R1923),IF(INDEX(職員マスタ!$C$6:$C$405,$AP1923)="",$R1923,INDEX(職員マスタ!$C$6:$C$405,$AP1923)))</f>
        <v/>
      </c>
      <c r="Z1923" s="14">
        <f>IF($AQ1923="","","R"&amp;$C1923&amp;"."&amp;$D1923)</f>
        <v/>
      </c>
      <c r="AA1923" s="15">
        <f>IF(IF($AP1923="",FALSE,INDEX(職員マスタ!$K$6:$K$405,$AP1923)&lt;&gt;""),INDEX(職員マスタ!$K$6:$K$405,$AP1923),IF(N($W1923)&gt;0,$W1923,""))</f>
        <v/>
      </c>
      <c r="AB1923" s="14">
        <f>IF(OR($E1923="",$AA1923=""),"",IF($E1923&gt;=$AA1923,"×",IF($E1923&gt;=$AA1923*設定!$C$5,"△","○")))</f>
        <v/>
      </c>
      <c r="AC1923" s="15">
        <f>IF($AB1923="","",IF($AB1923="×",0,IF($AB1923="○",ROUNDDOWN($E1923*設定!$C$4,0),ROUNDDOWN($E1923*ROUND((9*$AA1923-9*$E1923)/(10*$E1923),4),0))))</f>
        <v/>
      </c>
      <c r="AD1923" s="13" t="n"/>
      <c r="AE1923" s="15">
        <f>IF($B1923="","",IF($AD1923&lt;&gt;"",$AD1923,IF($AC1923="","",IF($AC1923&lt;=設定!$C$3,0,$AC1923))))</f>
        <v/>
      </c>
      <c r="AF1923" s="14">
        <f>IF($B1923="","",IF(AND($AG1923&lt;&gt;"",$AI1923="",$AL1923=""),"保留中",IF($AL1923&lt;&gt;"",IF(N($AE1923)&gt;0,"支給済","不支給"),IF($AE1923="","要確認",IF($AE1923=0,"不支給","未処理")))))</f>
        <v/>
      </c>
      <c r="AG1923" s="12" t="n"/>
      <c r="AH1923" s="11" t="n"/>
      <c r="AI1923" s="11" t="n"/>
      <c r="AJ1923" s="11" t="n"/>
      <c r="AK1923" s="14">
        <f>IF(AND($AF1923="保留中",$AH1923&lt;&gt;""),TODAY()-$AH1923,"")</f>
        <v/>
      </c>
      <c r="AL1923" s="12" t="n"/>
      <c r="AM1923" s="14">
        <f>IF($B1923="","",IF($AQ1923="","対象年月が未入力／","")&amp;IF($B1923="","",IF($AP1923="","職員マスタに未登録の職員番号／",IF($AA1923="","標準報酬月額が未登録／","")&amp;IF(AND($AQ1923&lt;&gt;"",OR(AND(INDEX(職員マスタ!$G$6:$G$405,$AP1923)&lt;&gt;"",INDEX(職員マスタ!$G$6:$G$405,$AP1923)&gt;EOMONTH($AQ1923,0)),AND(INDEX(職員マスタ!$H$6:$H$405,$AP1923)&lt;&gt;"",INDEX(職員マスタ!$H$6:$H$405,$AP1923)&lt;$AQ1923))),"対象月が時短期間外／","")&amp;IF(AND(INDEX(職員マスタ!$K$6:$K$405,$AP1923)&lt;&gt;"",N($W1923)&gt;0,INDEX(職員マスタ!$K$6:$K$405,$AP1923)&lt;&gt;$W1923),"標準報酬月額が申請書と相違（台帳"&amp;TEXT(INDEX(職員マスタ!$K$6:$K$405,$AP1923),"#,##0")&amp;"円／申請書"&amp;TEXT($W1923,"#,##0")&amp;"円）／","")&amp;IF(AND(INDEX(職員マスタ!$F$6:$F$405,$AP1923)&lt;&gt;"",$AQ1923&lt;&gt;"",INDEX(職員マスタ!$F$6:$F$405,$AP1923)&lt;$AQ1923),"対象月に子が2歳到達済／","")&amp;IF(AND($H1923&lt;&gt;"",INDEX(職員マスタ!$B$6:$B$405,$AP1923)&lt;&gt;"",SUBSTITUTE(SUBSTITUTE($H1923," ","")," ","")&lt;&gt;SUBSTITUTE(SUBSTITUTE(INDEX(職員マスタ!$B$6:$B$405,$AP1923)," ","")," ","")),"氏名がマスタと相違／","")&amp;IF(AND($Q1923&lt;&gt;"",INDEX(職員マスタ!$E$6:$E$405,$AP1923)&lt;&gt;"",$Q1923&lt;&gt;INDEX(職員マスタ!$E$6:$E$405,$AP1923)),"子の生年月日がマスタと相違／","")&amp;IF(AND($L1923&lt;&gt;"",INDEX(職員マスタ!$G$6:$G$405,$AP1923)&lt;&gt;"",$L1923&lt;&gt;INDEX(職員マスタ!$G$6:$G$405,$AP1923)),"時短開始日がマスタと相違／","")&amp;IF(AND($M1923&lt;&gt;"",INDEX(職員マスタ!$H$6:$H$405,$AP1923)&lt;&gt;"",$M1923&lt;&gt;INDEX(職員マスタ!$H$6:$H$405,$AP1923)),"時短終了日がマスタと相違／","")))&amp;IF(AND($B1923&lt;&gt;"",$E1923=""),"報酬額が未入力／","")&amp;IF(N($U1923)&gt;0,"申請書に入力エラーが残っています／","")&amp;IF(AND($B1923&lt;&gt;"",$AQ1923&lt;&gt;""),IF(COUNTIFS($B$6:$B$3005,$B1923,$C$6:$C$3005,$C1923,$D$6:$D$3005,$D1923)&gt;1,"同じ月の請求が重複しています／",""),"")&amp;IF(AND(N($E1923)&gt;0,$AB1923&lt;&gt;"",$AB1923&lt;&gt;"×",$AE1923=0,$AD1923=""),"計算額が下限以下のため不支給／",""))</f>
        <v/>
      </c>
      <c r="AN1923" s="12" t="n"/>
      <c r="AO1923" s="14">
        <f>IF($AF1923="保留中",COUNTIF($AF$6:$AF1923,"保留中"),"")</f>
        <v/>
      </c>
      <c r="AP1923" s="14">
        <f>IF($AQ1923="","",IF(SUMPRODUCT(MAX((職員マスタ!$A$6:$A$405=$B1923)*(((職員マスタ!$G$6:$G$405="")+(職員マスタ!$G$6:$G$405&lt;=EOMONTH($AQ1923,0)))&gt;0)*(((職員マスタ!$H$6:$H$405="")+(職員マスタ!$H$6:$H$405&gt;=$AQ1923))&gt;0)*(ROW(職員マスタ!$A$6:$A$405)-5)))&gt;0,SUMPRODUCT(MAX((職員マスタ!$A$6:$A$405=$B1923)*(((職員マスタ!$G$6:$G$405="")+(職員マスタ!$G$6:$G$405&lt;=EOMONTH($AQ1923,0)))&gt;0)*(((職員マスタ!$H$6:$H$405="")+(職員マスタ!$H$6:$H$405&gt;=$AQ1923))&gt;0)*(ROW(職員マスタ!$A$6:$A$405)-5))),IFERROR(MATCH($B1923,職員マスタ!$A$6:$A$405,0),"")))</f>
        <v/>
      </c>
      <c r="AQ1923" s="16">
        <f>IF(OR($B1923="",$C1923="",$D1923=""),"",DATE($C1923+2018,$D1923,1))</f>
        <v/>
      </c>
    </row>
    <row r="1924">
      <c r="A1924" s="11" t="n"/>
      <c r="B1924" s="12" t="n"/>
      <c r="C1924" s="12" t="n"/>
      <c r="D1924" s="12" t="n"/>
      <c r="E1924" s="13" t="n"/>
      <c r="F1924" s="12" t="n"/>
      <c r="G1924" s="13" t="n"/>
      <c r="H1924" s="12" t="n"/>
      <c r="I1924" s="12" t="n"/>
      <c r="J1924" s="12" t="n"/>
      <c r="K1924" s="12" t="n"/>
      <c r="L1924" s="11" t="n"/>
      <c r="M1924" s="11" t="n"/>
      <c r="N1924" s="11" t="n"/>
      <c r="O1924" s="11" t="n"/>
      <c r="P1924" s="12" t="n"/>
      <c r="Q1924" s="11" t="n"/>
      <c r="R1924" s="12" t="n"/>
      <c r="S1924" s="11" t="n"/>
      <c r="T1924" s="12" t="n"/>
      <c r="U1924" s="12" t="n"/>
      <c r="V1924" s="12" t="n"/>
      <c r="W1924" s="13" t="n"/>
      <c r="X1924" s="14">
        <f>IF($AP1924="",IF($B1924="","",$H1924),IF(INDEX(職員マスタ!$B$6:$B$405,$AP1924)="",$H1924,INDEX(職員マスタ!$B$6:$B$405,$AP1924)))</f>
        <v/>
      </c>
      <c r="Y1924" s="14">
        <f>IF($AP1924="",IF($B1924="","",$R1924),IF(INDEX(職員マスタ!$C$6:$C$405,$AP1924)="",$R1924,INDEX(職員マスタ!$C$6:$C$405,$AP1924)))</f>
        <v/>
      </c>
      <c r="Z1924" s="14">
        <f>IF($AQ1924="","","R"&amp;$C1924&amp;"."&amp;$D1924)</f>
        <v/>
      </c>
      <c r="AA1924" s="15">
        <f>IF(IF($AP1924="",FALSE,INDEX(職員マスタ!$K$6:$K$405,$AP1924)&lt;&gt;""),INDEX(職員マスタ!$K$6:$K$405,$AP1924),IF(N($W1924)&gt;0,$W1924,""))</f>
        <v/>
      </c>
      <c r="AB1924" s="14">
        <f>IF(OR($E1924="",$AA1924=""),"",IF($E1924&gt;=$AA1924,"×",IF($E1924&gt;=$AA1924*設定!$C$5,"△","○")))</f>
        <v/>
      </c>
      <c r="AC1924" s="15">
        <f>IF($AB1924="","",IF($AB1924="×",0,IF($AB1924="○",ROUNDDOWN($E1924*設定!$C$4,0),ROUNDDOWN($E1924*ROUND((9*$AA1924-9*$E1924)/(10*$E1924),4),0))))</f>
        <v/>
      </c>
      <c r="AD1924" s="13" t="n"/>
      <c r="AE1924" s="15">
        <f>IF($B1924="","",IF($AD1924&lt;&gt;"",$AD1924,IF($AC1924="","",IF($AC1924&lt;=設定!$C$3,0,$AC1924))))</f>
        <v/>
      </c>
      <c r="AF1924" s="14">
        <f>IF($B1924="","",IF(AND($AG1924&lt;&gt;"",$AI1924="",$AL1924=""),"保留中",IF($AL1924&lt;&gt;"",IF(N($AE1924)&gt;0,"支給済","不支給"),IF($AE1924="","要確認",IF($AE1924=0,"不支給","未処理")))))</f>
        <v/>
      </c>
      <c r="AG1924" s="12" t="n"/>
      <c r="AH1924" s="11" t="n"/>
      <c r="AI1924" s="11" t="n"/>
      <c r="AJ1924" s="11" t="n"/>
      <c r="AK1924" s="14">
        <f>IF(AND($AF1924="保留中",$AH1924&lt;&gt;""),TODAY()-$AH1924,"")</f>
        <v/>
      </c>
      <c r="AL1924" s="12" t="n"/>
      <c r="AM1924" s="14">
        <f>IF($B1924="","",IF($AQ1924="","対象年月が未入力／","")&amp;IF($B1924="","",IF($AP1924="","職員マスタに未登録の職員番号／",IF($AA1924="","標準報酬月額が未登録／","")&amp;IF(AND($AQ1924&lt;&gt;"",OR(AND(INDEX(職員マスタ!$G$6:$G$405,$AP1924)&lt;&gt;"",INDEX(職員マスタ!$G$6:$G$405,$AP1924)&gt;EOMONTH($AQ1924,0)),AND(INDEX(職員マスタ!$H$6:$H$405,$AP1924)&lt;&gt;"",INDEX(職員マスタ!$H$6:$H$405,$AP1924)&lt;$AQ1924))),"対象月が時短期間外／","")&amp;IF(AND(INDEX(職員マスタ!$K$6:$K$405,$AP1924)&lt;&gt;"",N($W1924)&gt;0,INDEX(職員マスタ!$K$6:$K$405,$AP1924)&lt;&gt;$W1924),"標準報酬月額が申請書と相違（台帳"&amp;TEXT(INDEX(職員マスタ!$K$6:$K$405,$AP1924),"#,##0")&amp;"円／申請書"&amp;TEXT($W1924,"#,##0")&amp;"円）／","")&amp;IF(AND(INDEX(職員マスタ!$F$6:$F$405,$AP1924)&lt;&gt;"",$AQ1924&lt;&gt;"",INDEX(職員マスタ!$F$6:$F$405,$AP1924)&lt;$AQ1924),"対象月に子が2歳到達済／","")&amp;IF(AND($H1924&lt;&gt;"",INDEX(職員マスタ!$B$6:$B$405,$AP1924)&lt;&gt;"",SUBSTITUTE(SUBSTITUTE($H1924," ","")," ","")&lt;&gt;SUBSTITUTE(SUBSTITUTE(INDEX(職員マスタ!$B$6:$B$405,$AP1924)," ","")," ","")),"氏名がマスタと相違／","")&amp;IF(AND($Q1924&lt;&gt;"",INDEX(職員マスタ!$E$6:$E$405,$AP1924)&lt;&gt;"",$Q1924&lt;&gt;INDEX(職員マスタ!$E$6:$E$405,$AP1924)),"子の生年月日がマスタと相違／","")&amp;IF(AND($L1924&lt;&gt;"",INDEX(職員マスタ!$G$6:$G$405,$AP1924)&lt;&gt;"",$L1924&lt;&gt;INDEX(職員マスタ!$G$6:$G$405,$AP1924)),"時短開始日がマスタと相違／","")&amp;IF(AND($M1924&lt;&gt;"",INDEX(職員マスタ!$H$6:$H$405,$AP1924)&lt;&gt;"",$M1924&lt;&gt;INDEX(職員マスタ!$H$6:$H$405,$AP1924)),"時短終了日がマスタと相違／","")))&amp;IF(AND($B1924&lt;&gt;"",$E1924=""),"報酬額が未入力／","")&amp;IF(N($U1924)&gt;0,"申請書に入力エラーが残っています／","")&amp;IF(AND($B1924&lt;&gt;"",$AQ1924&lt;&gt;""),IF(COUNTIFS($B$6:$B$3005,$B1924,$C$6:$C$3005,$C1924,$D$6:$D$3005,$D1924)&gt;1,"同じ月の請求が重複しています／",""),"")&amp;IF(AND(N($E1924)&gt;0,$AB1924&lt;&gt;"",$AB1924&lt;&gt;"×",$AE1924=0,$AD1924=""),"計算額が下限以下のため不支給／",""))</f>
        <v/>
      </c>
      <c r="AN1924" s="12" t="n"/>
      <c r="AO1924" s="14">
        <f>IF($AF1924="保留中",COUNTIF($AF$6:$AF1924,"保留中"),"")</f>
        <v/>
      </c>
      <c r="AP1924" s="14">
        <f>IF($AQ1924="","",IF(SUMPRODUCT(MAX((職員マスタ!$A$6:$A$405=$B1924)*(((職員マスタ!$G$6:$G$405="")+(職員マスタ!$G$6:$G$405&lt;=EOMONTH($AQ1924,0)))&gt;0)*(((職員マスタ!$H$6:$H$405="")+(職員マスタ!$H$6:$H$405&gt;=$AQ1924))&gt;0)*(ROW(職員マスタ!$A$6:$A$405)-5)))&gt;0,SUMPRODUCT(MAX((職員マスタ!$A$6:$A$405=$B1924)*(((職員マスタ!$G$6:$G$405="")+(職員マスタ!$G$6:$G$405&lt;=EOMONTH($AQ1924,0)))&gt;0)*(((職員マスタ!$H$6:$H$405="")+(職員マスタ!$H$6:$H$405&gt;=$AQ1924))&gt;0)*(ROW(職員マスタ!$A$6:$A$405)-5))),IFERROR(MATCH($B1924,職員マスタ!$A$6:$A$405,0),"")))</f>
        <v/>
      </c>
      <c r="AQ1924" s="16">
        <f>IF(OR($B1924="",$C1924="",$D1924=""),"",DATE($C1924+2018,$D1924,1))</f>
        <v/>
      </c>
    </row>
    <row r="1925">
      <c r="A1925" s="11" t="n"/>
      <c r="B1925" s="12" t="n"/>
      <c r="C1925" s="12" t="n"/>
      <c r="D1925" s="12" t="n"/>
      <c r="E1925" s="13" t="n"/>
      <c r="F1925" s="12" t="n"/>
      <c r="G1925" s="13" t="n"/>
      <c r="H1925" s="12" t="n"/>
      <c r="I1925" s="12" t="n"/>
      <c r="J1925" s="12" t="n"/>
      <c r="K1925" s="12" t="n"/>
      <c r="L1925" s="11" t="n"/>
      <c r="M1925" s="11" t="n"/>
      <c r="N1925" s="11" t="n"/>
      <c r="O1925" s="11" t="n"/>
      <c r="P1925" s="12" t="n"/>
      <c r="Q1925" s="11" t="n"/>
      <c r="R1925" s="12" t="n"/>
      <c r="S1925" s="11" t="n"/>
      <c r="T1925" s="12" t="n"/>
      <c r="U1925" s="12" t="n"/>
      <c r="V1925" s="12" t="n"/>
      <c r="W1925" s="13" t="n"/>
      <c r="X1925" s="14">
        <f>IF($AP1925="",IF($B1925="","",$H1925),IF(INDEX(職員マスタ!$B$6:$B$405,$AP1925)="",$H1925,INDEX(職員マスタ!$B$6:$B$405,$AP1925)))</f>
        <v/>
      </c>
      <c r="Y1925" s="14">
        <f>IF($AP1925="",IF($B1925="","",$R1925),IF(INDEX(職員マスタ!$C$6:$C$405,$AP1925)="",$R1925,INDEX(職員マスタ!$C$6:$C$405,$AP1925)))</f>
        <v/>
      </c>
      <c r="Z1925" s="14">
        <f>IF($AQ1925="","","R"&amp;$C1925&amp;"."&amp;$D1925)</f>
        <v/>
      </c>
      <c r="AA1925" s="15">
        <f>IF(IF($AP1925="",FALSE,INDEX(職員マスタ!$K$6:$K$405,$AP1925)&lt;&gt;""),INDEX(職員マスタ!$K$6:$K$405,$AP1925),IF(N($W1925)&gt;0,$W1925,""))</f>
        <v/>
      </c>
      <c r="AB1925" s="14">
        <f>IF(OR($E1925="",$AA1925=""),"",IF($E1925&gt;=$AA1925,"×",IF($E1925&gt;=$AA1925*設定!$C$5,"△","○")))</f>
        <v/>
      </c>
      <c r="AC1925" s="15">
        <f>IF($AB1925="","",IF($AB1925="×",0,IF($AB1925="○",ROUNDDOWN($E1925*設定!$C$4,0),ROUNDDOWN($E1925*ROUND((9*$AA1925-9*$E1925)/(10*$E1925),4),0))))</f>
        <v/>
      </c>
      <c r="AD1925" s="13" t="n"/>
      <c r="AE1925" s="15">
        <f>IF($B1925="","",IF($AD1925&lt;&gt;"",$AD1925,IF($AC1925="","",IF($AC1925&lt;=設定!$C$3,0,$AC1925))))</f>
        <v/>
      </c>
      <c r="AF1925" s="14">
        <f>IF($B1925="","",IF(AND($AG1925&lt;&gt;"",$AI1925="",$AL1925=""),"保留中",IF($AL1925&lt;&gt;"",IF(N($AE1925)&gt;0,"支給済","不支給"),IF($AE1925="","要確認",IF($AE1925=0,"不支給","未処理")))))</f>
        <v/>
      </c>
      <c r="AG1925" s="12" t="n"/>
      <c r="AH1925" s="11" t="n"/>
      <c r="AI1925" s="11" t="n"/>
      <c r="AJ1925" s="11" t="n"/>
      <c r="AK1925" s="14">
        <f>IF(AND($AF1925="保留中",$AH1925&lt;&gt;""),TODAY()-$AH1925,"")</f>
        <v/>
      </c>
      <c r="AL1925" s="12" t="n"/>
      <c r="AM1925" s="14">
        <f>IF($B1925="","",IF($AQ1925="","対象年月が未入力／","")&amp;IF($B1925="","",IF($AP1925="","職員マスタに未登録の職員番号／",IF($AA1925="","標準報酬月額が未登録／","")&amp;IF(AND($AQ1925&lt;&gt;"",OR(AND(INDEX(職員マスタ!$G$6:$G$405,$AP1925)&lt;&gt;"",INDEX(職員マスタ!$G$6:$G$405,$AP1925)&gt;EOMONTH($AQ1925,0)),AND(INDEX(職員マスタ!$H$6:$H$405,$AP1925)&lt;&gt;"",INDEX(職員マスタ!$H$6:$H$405,$AP1925)&lt;$AQ1925))),"対象月が時短期間外／","")&amp;IF(AND(INDEX(職員マスタ!$K$6:$K$405,$AP1925)&lt;&gt;"",N($W1925)&gt;0,INDEX(職員マスタ!$K$6:$K$405,$AP1925)&lt;&gt;$W1925),"標準報酬月額が申請書と相違（台帳"&amp;TEXT(INDEX(職員マスタ!$K$6:$K$405,$AP1925),"#,##0")&amp;"円／申請書"&amp;TEXT($W1925,"#,##0")&amp;"円）／","")&amp;IF(AND(INDEX(職員マスタ!$F$6:$F$405,$AP1925)&lt;&gt;"",$AQ1925&lt;&gt;"",INDEX(職員マスタ!$F$6:$F$405,$AP1925)&lt;$AQ1925),"対象月に子が2歳到達済／","")&amp;IF(AND($H1925&lt;&gt;"",INDEX(職員マスタ!$B$6:$B$405,$AP1925)&lt;&gt;"",SUBSTITUTE(SUBSTITUTE($H1925," ","")," ","")&lt;&gt;SUBSTITUTE(SUBSTITUTE(INDEX(職員マスタ!$B$6:$B$405,$AP1925)," ","")," ","")),"氏名がマスタと相違／","")&amp;IF(AND($Q1925&lt;&gt;"",INDEX(職員マスタ!$E$6:$E$405,$AP1925)&lt;&gt;"",$Q1925&lt;&gt;INDEX(職員マスタ!$E$6:$E$405,$AP1925)),"子の生年月日がマスタと相違／","")&amp;IF(AND($L1925&lt;&gt;"",INDEX(職員マスタ!$G$6:$G$405,$AP1925)&lt;&gt;"",$L1925&lt;&gt;INDEX(職員マスタ!$G$6:$G$405,$AP1925)),"時短開始日がマスタと相違／","")&amp;IF(AND($M1925&lt;&gt;"",INDEX(職員マスタ!$H$6:$H$405,$AP1925)&lt;&gt;"",$M1925&lt;&gt;INDEX(職員マスタ!$H$6:$H$405,$AP1925)),"時短終了日がマスタと相違／","")))&amp;IF(AND($B1925&lt;&gt;"",$E1925=""),"報酬額が未入力／","")&amp;IF(N($U1925)&gt;0,"申請書に入力エラーが残っています／","")&amp;IF(AND($B1925&lt;&gt;"",$AQ1925&lt;&gt;""),IF(COUNTIFS($B$6:$B$3005,$B1925,$C$6:$C$3005,$C1925,$D$6:$D$3005,$D1925)&gt;1,"同じ月の請求が重複しています／",""),"")&amp;IF(AND(N($E1925)&gt;0,$AB1925&lt;&gt;"",$AB1925&lt;&gt;"×",$AE1925=0,$AD1925=""),"計算額が下限以下のため不支給／",""))</f>
        <v/>
      </c>
      <c r="AN1925" s="12" t="n"/>
      <c r="AO1925" s="14">
        <f>IF($AF1925="保留中",COUNTIF($AF$6:$AF1925,"保留中"),"")</f>
        <v/>
      </c>
      <c r="AP1925" s="14">
        <f>IF($AQ1925="","",IF(SUMPRODUCT(MAX((職員マスタ!$A$6:$A$405=$B1925)*(((職員マスタ!$G$6:$G$405="")+(職員マスタ!$G$6:$G$405&lt;=EOMONTH($AQ1925,0)))&gt;0)*(((職員マスタ!$H$6:$H$405="")+(職員マスタ!$H$6:$H$405&gt;=$AQ1925))&gt;0)*(ROW(職員マスタ!$A$6:$A$405)-5)))&gt;0,SUMPRODUCT(MAX((職員マスタ!$A$6:$A$405=$B1925)*(((職員マスタ!$G$6:$G$405="")+(職員マスタ!$G$6:$G$405&lt;=EOMONTH($AQ1925,0)))&gt;0)*(((職員マスタ!$H$6:$H$405="")+(職員マスタ!$H$6:$H$405&gt;=$AQ1925))&gt;0)*(ROW(職員マスタ!$A$6:$A$405)-5))),IFERROR(MATCH($B1925,職員マスタ!$A$6:$A$405,0),"")))</f>
        <v/>
      </c>
      <c r="AQ1925" s="16">
        <f>IF(OR($B1925="",$C1925="",$D1925=""),"",DATE($C1925+2018,$D1925,1))</f>
        <v/>
      </c>
    </row>
    <row r="1926">
      <c r="A1926" s="11" t="n"/>
      <c r="B1926" s="12" t="n"/>
      <c r="C1926" s="12" t="n"/>
      <c r="D1926" s="12" t="n"/>
      <c r="E1926" s="13" t="n"/>
      <c r="F1926" s="12" t="n"/>
      <c r="G1926" s="13" t="n"/>
      <c r="H1926" s="12" t="n"/>
      <c r="I1926" s="12" t="n"/>
      <c r="J1926" s="12" t="n"/>
      <c r="K1926" s="12" t="n"/>
      <c r="L1926" s="11" t="n"/>
      <c r="M1926" s="11" t="n"/>
      <c r="N1926" s="11" t="n"/>
      <c r="O1926" s="11" t="n"/>
      <c r="P1926" s="12" t="n"/>
      <c r="Q1926" s="11" t="n"/>
      <c r="R1926" s="12" t="n"/>
      <c r="S1926" s="11" t="n"/>
      <c r="T1926" s="12" t="n"/>
      <c r="U1926" s="12" t="n"/>
      <c r="V1926" s="12" t="n"/>
      <c r="W1926" s="13" t="n"/>
      <c r="X1926" s="14">
        <f>IF($AP1926="",IF($B1926="","",$H1926),IF(INDEX(職員マスタ!$B$6:$B$405,$AP1926)="",$H1926,INDEX(職員マスタ!$B$6:$B$405,$AP1926)))</f>
        <v/>
      </c>
      <c r="Y1926" s="14">
        <f>IF($AP1926="",IF($B1926="","",$R1926),IF(INDEX(職員マスタ!$C$6:$C$405,$AP1926)="",$R1926,INDEX(職員マスタ!$C$6:$C$405,$AP1926)))</f>
        <v/>
      </c>
      <c r="Z1926" s="14">
        <f>IF($AQ1926="","","R"&amp;$C1926&amp;"."&amp;$D1926)</f>
        <v/>
      </c>
      <c r="AA1926" s="15">
        <f>IF(IF($AP1926="",FALSE,INDEX(職員マスタ!$K$6:$K$405,$AP1926)&lt;&gt;""),INDEX(職員マスタ!$K$6:$K$405,$AP1926),IF(N($W1926)&gt;0,$W1926,""))</f>
        <v/>
      </c>
      <c r="AB1926" s="14">
        <f>IF(OR($E1926="",$AA1926=""),"",IF($E1926&gt;=$AA1926,"×",IF($E1926&gt;=$AA1926*設定!$C$5,"△","○")))</f>
        <v/>
      </c>
      <c r="AC1926" s="15">
        <f>IF($AB1926="","",IF($AB1926="×",0,IF($AB1926="○",ROUNDDOWN($E1926*設定!$C$4,0),ROUNDDOWN($E1926*ROUND((9*$AA1926-9*$E1926)/(10*$E1926),4),0))))</f>
        <v/>
      </c>
      <c r="AD1926" s="13" t="n"/>
      <c r="AE1926" s="15">
        <f>IF($B1926="","",IF($AD1926&lt;&gt;"",$AD1926,IF($AC1926="","",IF($AC1926&lt;=設定!$C$3,0,$AC1926))))</f>
        <v/>
      </c>
      <c r="AF1926" s="14">
        <f>IF($B1926="","",IF(AND($AG1926&lt;&gt;"",$AI1926="",$AL1926=""),"保留中",IF($AL1926&lt;&gt;"",IF(N($AE1926)&gt;0,"支給済","不支給"),IF($AE1926="","要確認",IF($AE1926=0,"不支給","未処理")))))</f>
        <v/>
      </c>
      <c r="AG1926" s="12" t="n"/>
      <c r="AH1926" s="11" t="n"/>
      <c r="AI1926" s="11" t="n"/>
      <c r="AJ1926" s="11" t="n"/>
      <c r="AK1926" s="14">
        <f>IF(AND($AF1926="保留中",$AH1926&lt;&gt;""),TODAY()-$AH1926,"")</f>
        <v/>
      </c>
      <c r="AL1926" s="12" t="n"/>
      <c r="AM1926" s="14">
        <f>IF($B1926="","",IF($AQ1926="","対象年月が未入力／","")&amp;IF($B1926="","",IF($AP1926="","職員マスタに未登録の職員番号／",IF($AA1926="","標準報酬月額が未登録／","")&amp;IF(AND($AQ1926&lt;&gt;"",OR(AND(INDEX(職員マスタ!$G$6:$G$405,$AP1926)&lt;&gt;"",INDEX(職員マスタ!$G$6:$G$405,$AP1926)&gt;EOMONTH($AQ1926,0)),AND(INDEX(職員マスタ!$H$6:$H$405,$AP1926)&lt;&gt;"",INDEX(職員マスタ!$H$6:$H$405,$AP1926)&lt;$AQ1926))),"対象月が時短期間外／","")&amp;IF(AND(INDEX(職員マスタ!$K$6:$K$405,$AP1926)&lt;&gt;"",N($W1926)&gt;0,INDEX(職員マスタ!$K$6:$K$405,$AP1926)&lt;&gt;$W1926),"標準報酬月額が申請書と相違（台帳"&amp;TEXT(INDEX(職員マスタ!$K$6:$K$405,$AP1926),"#,##0")&amp;"円／申請書"&amp;TEXT($W1926,"#,##0")&amp;"円）／","")&amp;IF(AND(INDEX(職員マスタ!$F$6:$F$405,$AP1926)&lt;&gt;"",$AQ1926&lt;&gt;"",INDEX(職員マスタ!$F$6:$F$405,$AP1926)&lt;$AQ1926),"対象月に子が2歳到達済／","")&amp;IF(AND($H1926&lt;&gt;"",INDEX(職員マスタ!$B$6:$B$405,$AP1926)&lt;&gt;"",SUBSTITUTE(SUBSTITUTE($H1926," ","")," ","")&lt;&gt;SUBSTITUTE(SUBSTITUTE(INDEX(職員マスタ!$B$6:$B$405,$AP1926)," ","")," ","")),"氏名がマスタと相違／","")&amp;IF(AND($Q1926&lt;&gt;"",INDEX(職員マスタ!$E$6:$E$405,$AP1926)&lt;&gt;"",$Q1926&lt;&gt;INDEX(職員マスタ!$E$6:$E$405,$AP1926)),"子の生年月日がマスタと相違／","")&amp;IF(AND($L1926&lt;&gt;"",INDEX(職員マスタ!$G$6:$G$405,$AP1926)&lt;&gt;"",$L1926&lt;&gt;INDEX(職員マスタ!$G$6:$G$405,$AP1926)),"時短開始日がマスタと相違／","")&amp;IF(AND($M1926&lt;&gt;"",INDEX(職員マスタ!$H$6:$H$405,$AP1926)&lt;&gt;"",$M1926&lt;&gt;INDEX(職員マスタ!$H$6:$H$405,$AP1926)),"時短終了日がマスタと相違／","")))&amp;IF(AND($B1926&lt;&gt;"",$E1926=""),"報酬額が未入力／","")&amp;IF(N($U1926)&gt;0,"申請書に入力エラーが残っています／","")&amp;IF(AND($B1926&lt;&gt;"",$AQ1926&lt;&gt;""),IF(COUNTIFS($B$6:$B$3005,$B1926,$C$6:$C$3005,$C1926,$D$6:$D$3005,$D1926)&gt;1,"同じ月の請求が重複しています／",""),"")&amp;IF(AND(N($E1926)&gt;0,$AB1926&lt;&gt;"",$AB1926&lt;&gt;"×",$AE1926=0,$AD1926=""),"計算額が下限以下のため不支給／",""))</f>
        <v/>
      </c>
      <c r="AN1926" s="12" t="n"/>
      <c r="AO1926" s="14">
        <f>IF($AF1926="保留中",COUNTIF($AF$6:$AF1926,"保留中"),"")</f>
        <v/>
      </c>
      <c r="AP1926" s="14">
        <f>IF($AQ1926="","",IF(SUMPRODUCT(MAX((職員マスタ!$A$6:$A$405=$B1926)*(((職員マスタ!$G$6:$G$405="")+(職員マスタ!$G$6:$G$405&lt;=EOMONTH($AQ1926,0)))&gt;0)*(((職員マスタ!$H$6:$H$405="")+(職員マスタ!$H$6:$H$405&gt;=$AQ1926))&gt;0)*(ROW(職員マスタ!$A$6:$A$405)-5)))&gt;0,SUMPRODUCT(MAX((職員マスタ!$A$6:$A$405=$B1926)*(((職員マスタ!$G$6:$G$405="")+(職員マスタ!$G$6:$G$405&lt;=EOMONTH($AQ1926,0)))&gt;0)*(((職員マスタ!$H$6:$H$405="")+(職員マスタ!$H$6:$H$405&gt;=$AQ1926))&gt;0)*(ROW(職員マスタ!$A$6:$A$405)-5))),IFERROR(MATCH($B1926,職員マスタ!$A$6:$A$405,0),"")))</f>
        <v/>
      </c>
      <c r="AQ1926" s="16">
        <f>IF(OR($B1926="",$C1926="",$D1926=""),"",DATE($C1926+2018,$D1926,1))</f>
        <v/>
      </c>
    </row>
    <row r="1927">
      <c r="A1927" s="11" t="n"/>
      <c r="B1927" s="12" t="n"/>
      <c r="C1927" s="12" t="n"/>
      <c r="D1927" s="12" t="n"/>
      <c r="E1927" s="13" t="n"/>
      <c r="F1927" s="12" t="n"/>
      <c r="G1927" s="13" t="n"/>
      <c r="H1927" s="12" t="n"/>
      <c r="I1927" s="12" t="n"/>
      <c r="J1927" s="12" t="n"/>
      <c r="K1927" s="12" t="n"/>
      <c r="L1927" s="11" t="n"/>
      <c r="M1927" s="11" t="n"/>
      <c r="N1927" s="11" t="n"/>
      <c r="O1927" s="11" t="n"/>
      <c r="P1927" s="12" t="n"/>
      <c r="Q1927" s="11" t="n"/>
      <c r="R1927" s="12" t="n"/>
      <c r="S1927" s="11" t="n"/>
      <c r="T1927" s="12" t="n"/>
      <c r="U1927" s="12" t="n"/>
      <c r="V1927" s="12" t="n"/>
      <c r="W1927" s="13" t="n"/>
      <c r="X1927" s="14">
        <f>IF($AP1927="",IF($B1927="","",$H1927),IF(INDEX(職員マスタ!$B$6:$B$405,$AP1927)="",$H1927,INDEX(職員マスタ!$B$6:$B$405,$AP1927)))</f>
        <v/>
      </c>
      <c r="Y1927" s="14">
        <f>IF($AP1927="",IF($B1927="","",$R1927),IF(INDEX(職員マスタ!$C$6:$C$405,$AP1927)="",$R1927,INDEX(職員マスタ!$C$6:$C$405,$AP1927)))</f>
        <v/>
      </c>
      <c r="Z1927" s="14">
        <f>IF($AQ1927="","","R"&amp;$C1927&amp;"."&amp;$D1927)</f>
        <v/>
      </c>
      <c r="AA1927" s="15">
        <f>IF(IF($AP1927="",FALSE,INDEX(職員マスタ!$K$6:$K$405,$AP1927)&lt;&gt;""),INDEX(職員マスタ!$K$6:$K$405,$AP1927),IF(N($W1927)&gt;0,$W1927,""))</f>
        <v/>
      </c>
      <c r="AB1927" s="14">
        <f>IF(OR($E1927="",$AA1927=""),"",IF($E1927&gt;=$AA1927,"×",IF($E1927&gt;=$AA1927*設定!$C$5,"△","○")))</f>
        <v/>
      </c>
      <c r="AC1927" s="15">
        <f>IF($AB1927="","",IF($AB1927="×",0,IF($AB1927="○",ROUNDDOWN($E1927*設定!$C$4,0),ROUNDDOWN($E1927*ROUND((9*$AA1927-9*$E1927)/(10*$E1927),4),0))))</f>
        <v/>
      </c>
      <c r="AD1927" s="13" t="n"/>
      <c r="AE1927" s="15">
        <f>IF($B1927="","",IF($AD1927&lt;&gt;"",$AD1927,IF($AC1927="","",IF($AC1927&lt;=設定!$C$3,0,$AC1927))))</f>
        <v/>
      </c>
      <c r="AF1927" s="14">
        <f>IF($B1927="","",IF(AND($AG1927&lt;&gt;"",$AI1927="",$AL1927=""),"保留中",IF($AL1927&lt;&gt;"",IF(N($AE1927)&gt;0,"支給済","不支給"),IF($AE1927="","要確認",IF($AE1927=0,"不支給","未処理")))))</f>
        <v/>
      </c>
      <c r="AG1927" s="12" t="n"/>
      <c r="AH1927" s="11" t="n"/>
      <c r="AI1927" s="11" t="n"/>
      <c r="AJ1927" s="11" t="n"/>
      <c r="AK1927" s="14">
        <f>IF(AND($AF1927="保留中",$AH1927&lt;&gt;""),TODAY()-$AH1927,"")</f>
        <v/>
      </c>
      <c r="AL1927" s="12" t="n"/>
      <c r="AM1927" s="14">
        <f>IF($B1927="","",IF($AQ1927="","対象年月が未入力／","")&amp;IF($B1927="","",IF($AP1927="","職員マスタに未登録の職員番号／",IF($AA1927="","標準報酬月額が未登録／","")&amp;IF(AND($AQ1927&lt;&gt;"",OR(AND(INDEX(職員マスタ!$G$6:$G$405,$AP1927)&lt;&gt;"",INDEX(職員マスタ!$G$6:$G$405,$AP1927)&gt;EOMONTH($AQ1927,0)),AND(INDEX(職員マスタ!$H$6:$H$405,$AP1927)&lt;&gt;"",INDEX(職員マスタ!$H$6:$H$405,$AP1927)&lt;$AQ1927))),"対象月が時短期間外／","")&amp;IF(AND(INDEX(職員マスタ!$K$6:$K$405,$AP1927)&lt;&gt;"",N($W1927)&gt;0,INDEX(職員マスタ!$K$6:$K$405,$AP1927)&lt;&gt;$W1927),"標準報酬月額が申請書と相違（台帳"&amp;TEXT(INDEX(職員マスタ!$K$6:$K$405,$AP1927),"#,##0")&amp;"円／申請書"&amp;TEXT($W1927,"#,##0")&amp;"円）／","")&amp;IF(AND(INDEX(職員マスタ!$F$6:$F$405,$AP1927)&lt;&gt;"",$AQ1927&lt;&gt;"",INDEX(職員マスタ!$F$6:$F$405,$AP1927)&lt;$AQ1927),"対象月に子が2歳到達済／","")&amp;IF(AND($H1927&lt;&gt;"",INDEX(職員マスタ!$B$6:$B$405,$AP1927)&lt;&gt;"",SUBSTITUTE(SUBSTITUTE($H1927," ","")," ","")&lt;&gt;SUBSTITUTE(SUBSTITUTE(INDEX(職員マスタ!$B$6:$B$405,$AP1927)," ","")," ","")),"氏名がマスタと相違／","")&amp;IF(AND($Q1927&lt;&gt;"",INDEX(職員マスタ!$E$6:$E$405,$AP1927)&lt;&gt;"",$Q1927&lt;&gt;INDEX(職員マスタ!$E$6:$E$405,$AP1927)),"子の生年月日がマスタと相違／","")&amp;IF(AND($L1927&lt;&gt;"",INDEX(職員マスタ!$G$6:$G$405,$AP1927)&lt;&gt;"",$L1927&lt;&gt;INDEX(職員マスタ!$G$6:$G$405,$AP1927)),"時短開始日がマスタと相違／","")&amp;IF(AND($M1927&lt;&gt;"",INDEX(職員マスタ!$H$6:$H$405,$AP1927)&lt;&gt;"",$M1927&lt;&gt;INDEX(職員マスタ!$H$6:$H$405,$AP1927)),"時短終了日がマスタと相違／","")))&amp;IF(AND($B1927&lt;&gt;"",$E1927=""),"報酬額が未入力／","")&amp;IF(N($U1927)&gt;0,"申請書に入力エラーが残っています／","")&amp;IF(AND($B1927&lt;&gt;"",$AQ1927&lt;&gt;""),IF(COUNTIFS($B$6:$B$3005,$B1927,$C$6:$C$3005,$C1927,$D$6:$D$3005,$D1927)&gt;1,"同じ月の請求が重複しています／",""),"")&amp;IF(AND(N($E1927)&gt;0,$AB1927&lt;&gt;"",$AB1927&lt;&gt;"×",$AE1927=0,$AD1927=""),"計算額が下限以下のため不支給／",""))</f>
        <v/>
      </c>
      <c r="AN1927" s="12" t="n"/>
      <c r="AO1927" s="14">
        <f>IF($AF1927="保留中",COUNTIF($AF$6:$AF1927,"保留中"),"")</f>
        <v/>
      </c>
      <c r="AP1927" s="14">
        <f>IF($AQ1927="","",IF(SUMPRODUCT(MAX((職員マスタ!$A$6:$A$405=$B1927)*(((職員マスタ!$G$6:$G$405="")+(職員マスタ!$G$6:$G$405&lt;=EOMONTH($AQ1927,0)))&gt;0)*(((職員マスタ!$H$6:$H$405="")+(職員マスタ!$H$6:$H$405&gt;=$AQ1927))&gt;0)*(ROW(職員マスタ!$A$6:$A$405)-5)))&gt;0,SUMPRODUCT(MAX((職員マスタ!$A$6:$A$405=$B1927)*(((職員マスタ!$G$6:$G$405="")+(職員マスタ!$G$6:$G$405&lt;=EOMONTH($AQ1927,0)))&gt;0)*(((職員マスタ!$H$6:$H$405="")+(職員マスタ!$H$6:$H$405&gt;=$AQ1927))&gt;0)*(ROW(職員マスタ!$A$6:$A$405)-5))),IFERROR(MATCH($B1927,職員マスタ!$A$6:$A$405,0),"")))</f>
        <v/>
      </c>
      <c r="AQ1927" s="16">
        <f>IF(OR($B1927="",$C1927="",$D1927=""),"",DATE($C1927+2018,$D1927,1))</f>
        <v/>
      </c>
    </row>
    <row r="1928">
      <c r="A1928" s="11" t="n"/>
      <c r="B1928" s="12" t="n"/>
      <c r="C1928" s="12" t="n"/>
      <c r="D1928" s="12" t="n"/>
      <c r="E1928" s="13" t="n"/>
      <c r="F1928" s="12" t="n"/>
      <c r="G1928" s="13" t="n"/>
      <c r="H1928" s="12" t="n"/>
      <c r="I1928" s="12" t="n"/>
      <c r="J1928" s="12" t="n"/>
      <c r="K1928" s="12" t="n"/>
      <c r="L1928" s="11" t="n"/>
      <c r="M1928" s="11" t="n"/>
      <c r="N1928" s="11" t="n"/>
      <c r="O1928" s="11" t="n"/>
      <c r="P1928" s="12" t="n"/>
      <c r="Q1928" s="11" t="n"/>
      <c r="R1928" s="12" t="n"/>
      <c r="S1928" s="11" t="n"/>
      <c r="T1928" s="12" t="n"/>
      <c r="U1928" s="12" t="n"/>
      <c r="V1928" s="12" t="n"/>
      <c r="W1928" s="13" t="n"/>
      <c r="X1928" s="14">
        <f>IF($AP1928="",IF($B1928="","",$H1928),IF(INDEX(職員マスタ!$B$6:$B$405,$AP1928)="",$H1928,INDEX(職員マスタ!$B$6:$B$405,$AP1928)))</f>
        <v/>
      </c>
      <c r="Y1928" s="14">
        <f>IF($AP1928="",IF($B1928="","",$R1928),IF(INDEX(職員マスタ!$C$6:$C$405,$AP1928)="",$R1928,INDEX(職員マスタ!$C$6:$C$405,$AP1928)))</f>
        <v/>
      </c>
      <c r="Z1928" s="14">
        <f>IF($AQ1928="","","R"&amp;$C1928&amp;"."&amp;$D1928)</f>
        <v/>
      </c>
      <c r="AA1928" s="15">
        <f>IF(IF($AP1928="",FALSE,INDEX(職員マスタ!$K$6:$K$405,$AP1928)&lt;&gt;""),INDEX(職員マスタ!$K$6:$K$405,$AP1928),IF(N($W1928)&gt;0,$W1928,""))</f>
        <v/>
      </c>
      <c r="AB1928" s="14">
        <f>IF(OR($E1928="",$AA1928=""),"",IF($E1928&gt;=$AA1928,"×",IF($E1928&gt;=$AA1928*設定!$C$5,"△","○")))</f>
        <v/>
      </c>
      <c r="AC1928" s="15">
        <f>IF($AB1928="","",IF($AB1928="×",0,IF($AB1928="○",ROUNDDOWN($E1928*設定!$C$4,0),ROUNDDOWN($E1928*ROUND((9*$AA1928-9*$E1928)/(10*$E1928),4),0))))</f>
        <v/>
      </c>
      <c r="AD1928" s="13" t="n"/>
      <c r="AE1928" s="15">
        <f>IF($B1928="","",IF($AD1928&lt;&gt;"",$AD1928,IF($AC1928="","",IF($AC1928&lt;=設定!$C$3,0,$AC1928))))</f>
        <v/>
      </c>
      <c r="AF1928" s="14">
        <f>IF($B1928="","",IF(AND($AG1928&lt;&gt;"",$AI1928="",$AL1928=""),"保留中",IF($AL1928&lt;&gt;"",IF(N($AE1928)&gt;0,"支給済","不支給"),IF($AE1928="","要確認",IF($AE1928=0,"不支給","未処理")))))</f>
        <v/>
      </c>
      <c r="AG1928" s="12" t="n"/>
      <c r="AH1928" s="11" t="n"/>
      <c r="AI1928" s="11" t="n"/>
      <c r="AJ1928" s="11" t="n"/>
      <c r="AK1928" s="14">
        <f>IF(AND($AF1928="保留中",$AH1928&lt;&gt;""),TODAY()-$AH1928,"")</f>
        <v/>
      </c>
      <c r="AL1928" s="12" t="n"/>
      <c r="AM1928" s="14">
        <f>IF($B1928="","",IF($AQ1928="","対象年月が未入力／","")&amp;IF($B1928="","",IF($AP1928="","職員マスタに未登録の職員番号／",IF($AA1928="","標準報酬月額が未登録／","")&amp;IF(AND($AQ1928&lt;&gt;"",OR(AND(INDEX(職員マスタ!$G$6:$G$405,$AP1928)&lt;&gt;"",INDEX(職員マスタ!$G$6:$G$405,$AP1928)&gt;EOMONTH($AQ1928,0)),AND(INDEX(職員マスタ!$H$6:$H$405,$AP1928)&lt;&gt;"",INDEX(職員マスタ!$H$6:$H$405,$AP1928)&lt;$AQ1928))),"対象月が時短期間外／","")&amp;IF(AND(INDEX(職員マスタ!$K$6:$K$405,$AP1928)&lt;&gt;"",N($W1928)&gt;0,INDEX(職員マスタ!$K$6:$K$405,$AP1928)&lt;&gt;$W1928),"標準報酬月額が申請書と相違（台帳"&amp;TEXT(INDEX(職員マスタ!$K$6:$K$405,$AP1928),"#,##0")&amp;"円／申請書"&amp;TEXT($W1928,"#,##0")&amp;"円）／","")&amp;IF(AND(INDEX(職員マスタ!$F$6:$F$405,$AP1928)&lt;&gt;"",$AQ1928&lt;&gt;"",INDEX(職員マスタ!$F$6:$F$405,$AP1928)&lt;$AQ1928),"対象月に子が2歳到達済／","")&amp;IF(AND($H1928&lt;&gt;"",INDEX(職員マスタ!$B$6:$B$405,$AP1928)&lt;&gt;"",SUBSTITUTE(SUBSTITUTE($H1928," ","")," ","")&lt;&gt;SUBSTITUTE(SUBSTITUTE(INDEX(職員マスタ!$B$6:$B$405,$AP1928)," ","")," ","")),"氏名がマスタと相違／","")&amp;IF(AND($Q1928&lt;&gt;"",INDEX(職員マスタ!$E$6:$E$405,$AP1928)&lt;&gt;"",$Q1928&lt;&gt;INDEX(職員マスタ!$E$6:$E$405,$AP1928)),"子の生年月日がマスタと相違／","")&amp;IF(AND($L1928&lt;&gt;"",INDEX(職員マスタ!$G$6:$G$405,$AP1928)&lt;&gt;"",$L1928&lt;&gt;INDEX(職員マスタ!$G$6:$G$405,$AP1928)),"時短開始日がマスタと相違／","")&amp;IF(AND($M1928&lt;&gt;"",INDEX(職員マスタ!$H$6:$H$405,$AP1928)&lt;&gt;"",$M1928&lt;&gt;INDEX(職員マスタ!$H$6:$H$405,$AP1928)),"時短終了日がマスタと相違／","")))&amp;IF(AND($B1928&lt;&gt;"",$E1928=""),"報酬額が未入力／","")&amp;IF(N($U1928)&gt;0,"申請書に入力エラーが残っています／","")&amp;IF(AND($B1928&lt;&gt;"",$AQ1928&lt;&gt;""),IF(COUNTIFS($B$6:$B$3005,$B1928,$C$6:$C$3005,$C1928,$D$6:$D$3005,$D1928)&gt;1,"同じ月の請求が重複しています／",""),"")&amp;IF(AND(N($E1928)&gt;0,$AB1928&lt;&gt;"",$AB1928&lt;&gt;"×",$AE1928=0,$AD1928=""),"計算額が下限以下のため不支給／",""))</f>
        <v/>
      </c>
      <c r="AN1928" s="12" t="n"/>
      <c r="AO1928" s="14">
        <f>IF($AF1928="保留中",COUNTIF($AF$6:$AF1928,"保留中"),"")</f>
        <v/>
      </c>
      <c r="AP1928" s="14">
        <f>IF($AQ1928="","",IF(SUMPRODUCT(MAX((職員マスタ!$A$6:$A$405=$B1928)*(((職員マスタ!$G$6:$G$405="")+(職員マスタ!$G$6:$G$405&lt;=EOMONTH($AQ1928,0)))&gt;0)*(((職員マスタ!$H$6:$H$405="")+(職員マスタ!$H$6:$H$405&gt;=$AQ1928))&gt;0)*(ROW(職員マスタ!$A$6:$A$405)-5)))&gt;0,SUMPRODUCT(MAX((職員マスタ!$A$6:$A$405=$B1928)*(((職員マスタ!$G$6:$G$405="")+(職員マスタ!$G$6:$G$405&lt;=EOMONTH($AQ1928,0)))&gt;0)*(((職員マスタ!$H$6:$H$405="")+(職員マスタ!$H$6:$H$405&gt;=$AQ1928))&gt;0)*(ROW(職員マスタ!$A$6:$A$405)-5))),IFERROR(MATCH($B1928,職員マスタ!$A$6:$A$405,0),"")))</f>
        <v/>
      </c>
      <c r="AQ1928" s="16">
        <f>IF(OR($B1928="",$C1928="",$D1928=""),"",DATE($C1928+2018,$D1928,1))</f>
        <v/>
      </c>
    </row>
    <row r="1929">
      <c r="A1929" s="11" t="n"/>
      <c r="B1929" s="12" t="n"/>
      <c r="C1929" s="12" t="n"/>
      <c r="D1929" s="12" t="n"/>
      <c r="E1929" s="13" t="n"/>
      <c r="F1929" s="12" t="n"/>
      <c r="G1929" s="13" t="n"/>
      <c r="H1929" s="12" t="n"/>
      <c r="I1929" s="12" t="n"/>
      <c r="J1929" s="12" t="n"/>
      <c r="K1929" s="12" t="n"/>
      <c r="L1929" s="11" t="n"/>
      <c r="M1929" s="11" t="n"/>
      <c r="N1929" s="11" t="n"/>
      <c r="O1929" s="11" t="n"/>
      <c r="P1929" s="12" t="n"/>
      <c r="Q1929" s="11" t="n"/>
      <c r="R1929" s="12" t="n"/>
      <c r="S1929" s="11" t="n"/>
      <c r="T1929" s="12" t="n"/>
      <c r="U1929" s="12" t="n"/>
      <c r="V1929" s="12" t="n"/>
      <c r="W1929" s="13" t="n"/>
      <c r="X1929" s="14">
        <f>IF($AP1929="",IF($B1929="","",$H1929),IF(INDEX(職員マスタ!$B$6:$B$405,$AP1929)="",$H1929,INDEX(職員マスタ!$B$6:$B$405,$AP1929)))</f>
        <v/>
      </c>
      <c r="Y1929" s="14">
        <f>IF($AP1929="",IF($B1929="","",$R1929),IF(INDEX(職員マスタ!$C$6:$C$405,$AP1929)="",$R1929,INDEX(職員マスタ!$C$6:$C$405,$AP1929)))</f>
        <v/>
      </c>
      <c r="Z1929" s="14">
        <f>IF($AQ1929="","","R"&amp;$C1929&amp;"."&amp;$D1929)</f>
        <v/>
      </c>
      <c r="AA1929" s="15">
        <f>IF(IF($AP1929="",FALSE,INDEX(職員マスタ!$K$6:$K$405,$AP1929)&lt;&gt;""),INDEX(職員マスタ!$K$6:$K$405,$AP1929),IF(N($W1929)&gt;0,$W1929,""))</f>
        <v/>
      </c>
      <c r="AB1929" s="14">
        <f>IF(OR($E1929="",$AA1929=""),"",IF($E1929&gt;=$AA1929,"×",IF($E1929&gt;=$AA1929*設定!$C$5,"△","○")))</f>
        <v/>
      </c>
      <c r="AC1929" s="15">
        <f>IF($AB1929="","",IF($AB1929="×",0,IF($AB1929="○",ROUNDDOWN($E1929*設定!$C$4,0),ROUNDDOWN($E1929*ROUND((9*$AA1929-9*$E1929)/(10*$E1929),4),0))))</f>
        <v/>
      </c>
      <c r="AD1929" s="13" t="n"/>
      <c r="AE1929" s="15">
        <f>IF($B1929="","",IF($AD1929&lt;&gt;"",$AD1929,IF($AC1929="","",IF($AC1929&lt;=設定!$C$3,0,$AC1929))))</f>
        <v/>
      </c>
      <c r="AF1929" s="14">
        <f>IF($B1929="","",IF(AND($AG1929&lt;&gt;"",$AI1929="",$AL1929=""),"保留中",IF($AL1929&lt;&gt;"",IF(N($AE1929)&gt;0,"支給済","不支給"),IF($AE1929="","要確認",IF($AE1929=0,"不支給","未処理")))))</f>
        <v/>
      </c>
      <c r="AG1929" s="12" t="n"/>
      <c r="AH1929" s="11" t="n"/>
      <c r="AI1929" s="11" t="n"/>
      <c r="AJ1929" s="11" t="n"/>
      <c r="AK1929" s="14">
        <f>IF(AND($AF1929="保留中",$AH1929&lt;&gt;""),TODAY()-$AH1929,"")</f>
        <v/>
      </c>
      <c r="AL1929" s="12" t="n"/>
      <c r="AM1929" s="14">
        <f>IF($B1929="","",IF($AQ1929="","対象年月が未入力／","")&amp;IF($B1929="","",IF($AP1929="","職員マスタに未登録の職員番号／",IF($AA1929="","標準報酬月額が未登録／","")&amp;IF(AND($AQ1929&lt;&gt;"",OR(AND(INDEX(職員マスタ!$G$6:$G$405,$AP1929)&lt;&gt;"",INDEX(職員マスタ!$G$6:$G$405,$AP1929)&gt;EOMONTH($AQ1929,0)),AND(INDEX(職員マスタ!$H$6:$H$405,$AP1929)&lt;&gt;"",INDEX(職員マスタ!$H$6:$H$405,$AP1929)&lt;$AQ1929))),"対象月が時短期間外／","")&amp;IF(AND(INDEX(職員マスタ!$K$6:$K$405,$AP1929)&lt;&gt;"",N($W1929)&gt;0,INDEX(職員マスタ!$K$6:$K$405,$AP1929)&lt;&gt;$W1929),"標準報酬月額が申請書と相違（台帳"&amp;TEXT(INDEX(職員マスタ!$K$6:$K$405,$AP1929),"#,##0")&amp;"円／申請書"&amp;TEXT($W1929,"#,##0")&amp;"円）／","")&amp;IF(AND(INDEX(職員マスタ!$F$6:$F$405,$AP1929)&lt;&gt;"",$AQ1929&lt;&gt;"",INDEX(職員マスタ!$F$6:$F$405,$AP1929)&lt;$AQ1929),"対象月に子が2歳到達済／","")&amp;IF(AND($H1929&lt;&gt;"",INDEX(職員マスタ!$B$6:$B$405,$AP1929)&lt;&gt;"",SUBSTITUTE(SUBSTITUTE($H1929," ","")," ","")&lt;&gt;SUBSTITUTE(SUBSTITUTE(INDEX(職員マスタ!$B$6:$B$405,$AP1929)," ","")," ","")),"氏名がマスタと相違／","")&amp;IF(AND($Q1929&lt;&gt;"",INDEX(職員マスタ!$E$6:$E$405,$AP1929)&lt;&gt;"",$Q1929&lt;&gt;INDEX(職員マスタ!$E$6:$E$405,$AP1929)),"子の生年月日がマスタと相違／","")&amp;IF(AND($L1929&lt;&gt;"",INDEX(職員マスタ!$G$6:$G$405,$AP1929)&lt;&gt;"",$L1929&lt;&gt;INDEX(職員マスタ!$G$6:$G$405,$AP1929)),"時短開始日がマスタと相違／","")&amp;IF(AND($M1929&lt;&gt;"",INDEX(職員マスタ!$H$6:$H$405,$AP1929)&lt;&gt;"",$M1929&lt;&gt;INDEX(職員マスタ!$H$6:$H$405,$AP1929)),"時短終了日がマスタと相違／","")))&amp;IF(AND($B1929&lt;&gt;"",$E1929=""),"報酬額が未入力／","")&amp;IF(N($U1929)&gt;0,"申請書に入力エラーが残っています／","")&amp;IF(AND($B1929&lt;&gt;"",$AQ1929&lt;&gt;""),IF(COUNTIFS($B$6:$B$3005,$B1929,$C$6:$C$3005,$C1929,$D$6:$D$3005,$D1929)&gt;1,"同じ月の請求が重複しています／",""),"")&amp;IF(AND(N($E1929)&gt;0,$AB1929&lt;&gt;"",$AB1929&lt;&gt;"×",$AE1929=0,$AD1929=""),"計算額が下限以下のため不支給／",""))</f>
        <v/>
      </c>
      <c r="AN1929" s="12" t="n"/>
      <c r="AO1929" s="14">
        <f>IF($AF1929="保留中",COUNTIF($AF$6:$AF1929,"保留中"),"")</f>
        <v/>
      </c>
      <c r="AP1929" s="14">
        <f>IF($AQ1929="","",IF(SUMPRODUCT(MAX((職員マスタ!$A$6:$A$405=$B1929)*(((職員マスタ!$G$6:$G$405="")+(職員マスタ!$G$6:$G$405&lt;=EOMONTH($AQ1929,0)))&gt;0)*(((職員マスタ!$H$6:$H$405="")+(職員マスタ!$H$6:$H$405&gt;=$AQ1929))&gt;0)*(ROW(職員マスタ!$A$6:$A$405)-5)))&gt;0,SUMPRODUCT(MAX((職員マスタ!$A$6:$A$405=$B1929)*(((職員マスタ!$G$6:$G$405="")+(職員マスタ!$G$6:$G$405&lt;=EOMONTH($AQ1929,0)))&gt;0)*(((職員マスタ!$H$6:$H$405="")+(職員マスタ!$H$6:$H$405&gt;=$AQ1929))&gt;0)*(ROW(職員マスタ!$A$6:$A$405)-5))),IFERROR(MATCH($B1929,職員マスタ!$A$6:$A$405,0),"")))</f>
        <v/>
      </c>
      <c r="AQ1929" s="16">
        <f>IF(OR($B1929="",$C1929="",$D1929=""),"",DATE($C1929+2018,$D1929,1))</f>
        <v/>
      </c>
    </row>
    <row r="1930">
      <c r="A1930" s="11" t="n"/>
      <c r="B1930" s="12" t="n"/>
      <c r="C1930" s="12" t="n"/>
      <c r="D1930" s="12" t="n"/>
      <c r="E1930" s="13" t="n"/>
      <c r="F1930" s="12" t="n"/>
      <c r="G1930" s="13" t="n"/>
      <c r="H1930" s="12" t="n"/>
      <c r="I1930" s="12" t="n"/>
      <c r="J1930" s="12" t="n"/>
      <c r="K1930" s="12" t="n"/>
      <c r="L1930" s="11" t="n"/>
      <c r="M1930" s="11" t="n"/>
      <c r="N1930" s="11" t="n"/>
      <c r="O1930" s="11" t="n"/>
      <c r="P1930" s="12" t="n"/>
      <c r="Q1930" s="11" t="n"/>
      <c r="R1930" s="12" t="n"/>
      <c r="S1930" s="11" t="n"/>
      <c r="T1930" s="12" t="n"/>
      <c r="U1930" s="12" t="n"/>
      <c r="V1930" s="12" t="n"/>
      <c r="W1930" s="13" t="n"/>
      <c r="X1930" s="14">
        <f>IF($AP1930="",IF($B1930="","",$H1930),IF(INDEX(職員マスタ!$B$6:$B$405,$AP1930)="",$H1930,INDEX(職員マスタ!$B$6:$B$405,$AP1930)))</f>
        <v/>
      </c>
      <c r="Y1930" s="14">
        <f>IF($AP1930="",IF($B1930="","",$R1930),IF(INDEX(職員マスタ!$C$6:$C$405,$AP1930)="",$R1930,INDEX(職員マスタ!$C$6:$C$405,$AP1930)))</f>
        <v/>
      </c>
      <c r="Z1930" s="14">
        <f>IF($AQ1930="","","R"&amp;$C1930&amp;"."&amp;$D1930)</f>
        <v/>
      </c>
      <c r="AA1930" s="15">
        <f>IF(IF($AP1930="",FALSE,INDEX(職員マスタ!$K$6:$K$405,$AP1930)&lt;&gt;""),INDEX(職員マスタ!$K$6:$K$405,$AP1930),IF(N($W1930)&gt;0,$W1930,""))</f>
        <v/>
      </c>
      <c r="AB1930" s="14">
        <f>IF(OR($E1930="",$AA1930=""),"",IF($E1930&gt;=$AA1930,"×",IF($E1930&gt;=$AA1930*設定!$C$5,"△","○")))</f>
        <v/>
      </c>
      <c r="AC1930" s="15">
        <f>IF($AB1930="","",IF($AB1930="×",0,IF($AB1930="○",ROUNDDOWN($E1930*設定!$C$4,0),ROUNDDOWN($E1930*ROUND((9*$AA1930-9*$E1930)/(10*$E1930),4),0))))</f>
        <v/>
      </c>
      <c r="AD1930" s="13" t="n"/>
      <c r="AE1930" s="15">
        <f>IF($B1930="","",IF($AD1930&lt;&gt;"",$AD1930,IF($AC1930="","",IF($AC1930&lt;=設定!$C$3,0,$AC1930))))</f>
        <v/>
      </c>
      <c r="AF1930" s="14">
        <f>IF($B1930="","",IF(AND($AG1930&lt;&gt;"",$AI1930="",$AL1930=""),"保留中",IF($AL1930&lt;&gt;"",IF(N($AE1930)&gt;0,"支給済","不支給"),IF($AE1930="","要確認",IF($AE1930=0,"不支給","未処理")))))</f>
        <v/>
      </c>
      <c r="AG1930" s="12" t="n"/>
      <c r="AH1930" s="11" t="n"/>
      <c r="AI1930" s="11" t="n"/>
      <c r="AJ1930" s="11" t="n"/>
      <c r="AK1930" s="14">
        <f>IF(AND($AF1930="保留中",$AH1930&lt;&gt;""),TODAY()-$AH1930,"")</f>
        <v/>
      </c>
      <c r="AL1930" s="12" t="n"/>
      <c r="AM1930" s="14">
        <f>IF($B1930="","",IF($AQ1930="","対象年月が未入力／","")&amp;IF($B1930="","",IF($AP1930="","職員マスタに未登録の職員番号／",IF($AA1930="","標準報酬月額が未登録／","")&amp;IF(AND($AQ1930&lt;&gt;"",OR(AND(INDEX(職員マスタ!$G$6:$G$405,$AP1930)&lt;&gt;"",INDEX(職員マスタ!$G$6:$G$405,$AP1930)&gt;EOMONTH($AQ1930,0)),AND(INDEX(職員マスタ!$H$6:$H$405,$AP1930)&lt;&gt;"",INDEX(職員マスタ!$H$6:$H$405,$AP1930)&lt;$AQ1930))),"対象月が時短期間外／","")&amp;IF(AND(INDEX(職員マスタ!$K$6:$K$405,$AP1930)&lt;&gt;"",N($W1930)&gt;0,INDEX(職員マスタ!$K$6:$K$405,$AP1930)&lt;&gt;$W1930),"標準報酬月額が申請書と相違（台帳"&amp;TEXT(INDEX(職員マスタ!$K$6:$K$405,$AP1930),"#,##0")&amp;"円／申請書"&amp;TEXT($W1930,"#,##0")&amp;"円）／","")&amp;IF(AND(INDEX(職員マスタ!$F$6:$F$405,$AP1930)&lt;&gt;"",$AQ1930&lt;&gt;"",INDEX(職員マスタ!$F$6:$F$405,$AP1930)&lt;$AQ1930),"対象月に子が2歳到達済／","")&amp;IF(AND($H1930&lt;&gt;"",INDEX(職員マスタ!$B$6:$B$405,$AP1930)&lt;&gt;"",SUBSTITUTE(SUBSTITUTE($H1930," ","")," ","")&lt;&gt;SUBSTITUTE(SUBSTITUTE(INDEX(職員マスタ!$B$6:$B$405,$AP1930)," ","")," ","")),"氏名がマスタと相違／","")&amp;IF(AND($Q1930&lt;&gt;"",INDEX(職員マスタ!$E$6:$E$405,$AP1930)&lt;&gt;"",$Q1930&lt;&gt;INDEX(職員マスタ!$E$6:$E$405,$AP1930)),"子の生年月日がマスタと相違／","")&amp;IF(AND($L1930&lt;&gt;"",INDEX(職員マスタ!$G$6:$G$405,$AP1930)&lt;&gt;"",$L1930&lt;&gt;INDEX(職員マスタ!$G$6:$G$405,$AP1930)),"時短開始日がマスタと相違／","")&amp;IF(AND($M1930&lt;&gt;"",INDEX(職員マスタ!$H$6:$H$405,$AP1930)&lt;&gt;"",$M1930&lt;&gt;INDEX(職員マスタ!$H$6:$H$405,$AP1930)),"時短終了日がマスタと相違／","")))&amp;IF(AND($B1930&lt;&gt;"",$E1930=""),"報酬額が未入力／","")&amp;IF(N($U1930)&gt;0,"申請書に入力エラーが残っています／","")&amp;IF(AND($B1930&lt;&gt;"",$AQ1930&lt;&gt;""),IF(COUNTIFS($B$6:$B$3005,$B1930,$C$6:$C$3005,$C1930,$D$6:$D$3005,$D1930)&gt;1,"同じ月の請求が重複しています／",""),"")&amp;IF(AND(N($E1930)&gt;0,$AB1930&lt;&gt;"",$AB1930&lt;&gt;"×",$AE1930=0,$AD1930=""),"計算額が下限以下のため不支給／",""))</f>
        <v/>
      </c>
      <c r="AN1930" s="12" t="n"/>
      <c r="AO1930" s="14">
        <f>IF($AF1930="保留中",COUNTIF($AF$6:$AF1930,"保留中"),"")</f>
        <v/>
      </c>
      <c r="AP1930" s="14">
        <f>IF($AQ1930="","",IF(SUMPRODUCT(MAX((職員マスタ!$A$6:$A$405=$B1930)*(((職員マスタ!$G$6:$G$405="")+(職員マスタ!$G$6:$G$405&lt;=EOMONTH($AQ1930,0)))&gt;0)*(((職員マスタ!$H$6:$H$405="")+(職員マスタ!$H$6:$H$405&gt;=$AQ1930))&gt;0)*(ROW(職員マスタ!$A$6:$A$405)-5)))&gt;0,SUMPRODUCT(MAX((職員マスタ!$A$6:$A$405=$B1930)*(((職員マスタ!$G$6:$G$405="")+(職員マスタ!$G$6:$G$405&lt;=EOMONTH($AQ1930,0)))&gt;0)*(((職員マスタ!$H$6:$H$405="")+(職員マスタ!$H$6:$H$405&gt;=$AQ1930))&gt;0)*(ROW(職員マスタ!$A$6:$A$405)-5))),IFERROR(MATCH($B1930,職員マスタ!$A$6:$A$405,0),"")))</f>
        <v/>
      </c>
      <c r="AQ1930" s="16">
        <f>IF(OR($B1930="",$C1930="",$D1930=""),"",DATE($C1930+2018,$D1930,1))</f>
        <v/>
      </c>
    </row>
    <row r="1931">
      <c r="A1931" s="11" t="n"/>
      <c r="B1931" s="12" t="n"/>
      <c r="C1931" s="12" t="n"/>
      <c r="D1931" s="12" t="n"/>
      <c r="E1931" s="13" t="n"/>
      <c r="F1931" s="12" t="n"/>
      <c r="G1931" s="13" t="n"/>
      <c r="H1931" s="12" t="n"/>
      <c r="I1931" s="12" t="n"/>
      <c r="J1931" s="12" t="n"/>
      <c r="K1931" s="12" t="n"/>
      <c r="L1931" s="11" t="n"/>
      <c r="M1931" s="11" t="n"/>
      <c r="N1931" s="11" t="n"/>
      <c r="O1931" s="11" t="n"/>
      <c r="P1931" s="12" t="n"/>
      <c r="Q1931" s="11" t="n"/>
      <c r="R1931" s="12" t="n"/>
      <c r="S1931" s="11" t="n"/>
      <c r="T1931" s="12" t="n"/>
      <c r="U1931" s="12" t="n"/>
      <c r="V1931" s="12" t="n"/>
      <c r="W1931" s="13" t="n"/>
      <c r="X1931" s="14">
        <f>IF($AP1931="",IF($B1931="","",$H1931),IF(INDEX(職員マスタ!$B$6:$B$405,$AP1931)="",$H1931,INDEX(職員マスタ!$B$6:$B$405,$AP1931)))</f>
        <v/>
      </c>
      <c r="Y1931" s="14">
        <f>IF($AP1931="",IF($B1931="","",$R1931),IF(INDEX(職員マスタ!$C$6:$C$405,$AP1931)="",$R1931,INDEX(職員マスタ!$C$6:$C$405,$AP1931)))</f>
        <v/>
      </c>
      <c r="Z1931" s="14">
        <f>IF($AQ1931="","","R"&amp;$C1931&amp;"."&amp;$D1931)</f>
        <v/>
      </c>
      <c r="AA1931" s="15">
        <f>IF(IF($AP1931="",FALSE,INDEX(職員マスタ!$K$6:$K$405,$AP1931)&lt;&gt;""),INDEX(職員マスタ!$K$6:$K$405,$AP1931),IF(N($W1931)&gt;0,$W1931,""))</f>
        <v/>
      </c>
      <c r="AB1931" s="14">
        <f>IF(OR($E1931="",$AA1931=""),"",IF($E1931&gt;=$AA1931,"×",IF($E1931&gt;=$AA1931*設定!$C$5,"△","○")))</f>
        <v/>
      </c>
      <c r="AC1931" s="15">
        <f>IF($AB1931="","",IF($AB1931="×",0,IF($AB1931="○",ROUNDDOWN($E1931*設定!$C$4,0),ROUNDDOWN($E1931*ROUND((9*$AA1931-9*$E1931)/(10*$E1931),4),0))))</f>
        <v/>
      </c>
      <c r="AD1931" s="13" t="n"/>
      <c r="AE1931" s="15">
        <f>IF($B1931="","",IF($AD1931&lt;&gt;"",$AD1931,IF($AC1931="","",IF($AC1931&lt;=設定!$C$3,0,$AC1931))))</f>
        <v/>
      </c>
      <c r="AF1931" s="14">
        <f>IF($B1931="","",IF(AND($AG1931&lt;&gt;"",$AI1931="",$AL1931=""),"保留中",IF($AL1931&lt;&gt;"",IF(N($AE1931)&gt;0,"支給済","不支給"),IF($AE1931="","要確認",IF($AE1931=0,"不支給","未処理")))))</f>
        <v/>
      </c>
      <c r="AG1931" s="12" t="n"/>
      <c r="AH1931" s="11" t="n"/>
      <c r="AI1931" s="11" t="n"/>
      <c r="AJ1931" s="11" t="n"/>
      <c r="AK1931" s="14">
        <f>IF(AND($AF1931="保留中",$AH1931&lt;&gt;""),TODAY()-$AH1931,"")</f>
        <v/>
      </c>
      <c r="AL1931" s="12" t="n"/>
      <c r="AM1931" s="14">
        <f>IF($B1931="","",IF($AQ1931="","対象年月が未入力／","")&amp;IF($B1931="","",IF($AP1931="","職員マスタに未登録の職員番号／",IF($AA1931="","標準報酬月額が未登録／","")&amp;IF(AND($AQ1931&lt;&gt;"",OR(AND(INDEX(職員マスタ!$G$6:$G$405,$AP1931)&lt;&gt;"",INDEX(職員マスタ!$G$6:$G$405,$AP1931)&gt;EOMONTH($AQ1931,0)),AND(INDEX(職員マスタ!$H$6:$H$405,$AP1931)&lt;&gt;"",INDEX(職員マスタ!$H$6:$H$405,$AP1931)&lt;$AQ1931))),"対象月が時短期間外／","")&amp;IF(AND(INDEX(職員マスタ!$K$6:$K$405,$AP1931)&lt;&gt;"",N($W1931)&gt;0,INDEX(職員マスタ!$K$6:$K$405,$AP1931)&lt;&gt;$W1931),"標準報酬月額が申請書と相違（台帳"&amp;TEXT(INDEX(職員マスタ!$K$6:$K$405,$AP1931),"#,##0")&amp;"円／申請書"&amp;TEXT($W1931,"#,##0")&amp;"円）／","")&amp;IF(AND(INDEX(職員マスタ!$F$6:$F$405,$AP1931)&lt;&gt;"",$AQ1931&lt;&gt;"",INDEX(職員マスタ!$F$6:$F$405,$AP1931)&lt;$AQ1931),"対象月に子が2歳到達済／","")&amp;IF(AND($H1931&lt;&gt;"",INDEX(職員マスタ!$B$6:$B$405,$AP1931)&lt;&gt;"",SUBSTITUTE(SUBSTITUTE($H1931," ","")," ","")&lt;&gt;SUBSTITUTE(SUBSTITUTE(INDEX(職員マスタ!$B$6:$B$405,$AP1931)," ","")," ","")),"氏名がマスタと相違／","")&amp;IF(AND($Q1931&lt;&gt;"",INDEX(職員マスタ!$E$6:$E$405,$AP1931)&lt;&gt;"",$Q1931&lt;&gt;INDEX(職員マスタ!$E$6:$E$405,$AP1931)),"子の生年月日がマスタと相違／","")&amp;IF(AND($L1931&lt;&gt;"",INDEX(職員マスタ!$G$6:$G$405,$AP1931)&lt;&gt;"",$L1931&lt;&gt;INDEX(職員マスタ!$G$6:$G$405,$AP1931)),"時短開始日がマスタと相違／","")&amp;IF(AND($M1931&lt;&gt;"",INDEX(職員マスタ!$H$6:$H$405,$AP1931)&lt;&gt;"",$M1931&lt;&gt;INDEX(職員マスタ!$H$6:$H$405,$AP1931)),"時短終了日がマスタと相違／","")))&amp;IF(AND($B1931&lt;&gt;"",$E1931=""),"報酬額が未入力／","")&amp;IF(N($U1931)&gt;0,"申請書に入力エラーが残っています／","")&amp;IF(AND($B1931&lt;&gt;"",$AQ1931&lt;&gt;""),IF(COUNTIFS($B$6:$B$3005,$B1931,$C$6:$C$3005,$C1931,$D$6:$D$3005,$D1931)&gt;1,"同じ月の請求が重複しています／",""),"")&amp;IF(AND(N($E1931)&gt;0,$AB1931&lt;&gt;"",$AB1931&lt;&gt;"×",$AE1931=0,$AD1931=""),"計算額が下限以下のため不支給／",""))</f>
        <v/>
      </c>
      <c r="AN1931" s="12" t="n"/>
      <c r="AO1931" s="14">
        <f>IF($AF1931="保留中",COUNTIF($AF$6:$AF1931,"保留中"),"")</f>
        <v/>
      </c>
      <c r="AP1931" s="14">
        <f>IF($AQ1931="","",IF(SUMPRODUCT(MAX((職員マスタ!$A$6:$A$405=$B1931)*(((職員マスタ!$G$6:$G$405="")+(職員マスタ!$G$6:$G$405&lt;=EOMONTH($AQ1931,0)))&gt;0)*(((職員マスタ!$H$6:$H$405="")+(職員マスタ!$H$6:$H$405&gt;=$AQ1931))&gt;0)*(ROW(職員マスタ!$A$6:$A$405)-5)))&gt;0,SUMPRODUCT(MAX((職員マスタ!$A$6:$A$405=$B1931)*(((職員マスタ!$G$6:$G$405="")+(職員マスタ!$G$6:$G$405&lt;=EOMONTH($AQ1931,0)))&gt;0)*(((職員マスタ!$H$6:$H$405="")+(職員マスタ!$H$6:$H$405&gt;=$AQ1931))&gt;0)*(ROW(職員マスタ!$A$6:$A$405)-5))),IFERROR(MATCH($B1931,職員マスタ!$A$6:$A$405,0),"")))</f>
        <v/>
      </c>
      <c r="AQ1931" s="16">
        <f>IF(OR($B1931="",$C1931="",$D1931=""),"",DATE($C1931+2018,$D1931,1))</f>
        <v/>
      </c>
    </row>
    <row r="1932">
      <c r="A1932" s="11" t="n"/>
      <c r="B1932" s="12" t="n"/>
      <c r="C1932" s="12" t="n"/>
      <c r="D1932" s="12" t="n"/>
      <c r="E1932" s="13" t="n"/>
      <c r="F1932" s="12" t="n"/>
      <c r="G1932" s="13" t="n"/>
      <c r="H1932" s="12" t="n"/>
      <c r="I1932" s="12" t="n"/>
      <c r="J1932" s="12" t="n"/>
      <c r="K1932" s="12" t="n"/>
      <c r="L1932" s="11" t="n"/>
      <c r="M1932" s="11" t="n"/>
      <c r="N1932" s="11" t="n"/>
      <c r="O1932" s="11" t="n"/>
      <c r="P1932" s="12" t="n"/>
      <c r="Q1932" s="11" t="n"/>
      <c r="R1932" s="12" t="n"/>
      <c r="S1932" s="11" t="n"/>
      <c r="T1932" s="12" t="n"/>
      <c r="U1932" s="12" t="n"/>
      <c r="V1932" s="12" t="n"/>
      <c r="W1932" s="13" t="n"/>
      <c r="X1932" s="14">
        <f>IF($AP1932="",IF($B1932="","",$H1932),IF(INDEX(職員マスタ!$B$6:$B$405,$AP1932)="",$H1932,INDEX(職員マスタ!$B$6:$B$405,$AP1932)))</f>
        <v/>
      </c>
      <c r="Y1932" s="14">
        <f>IF($AP1932="",IF($B1932="","",$R1932),IF(INDEX(職員マスタ!$C$6:$C$405,$AP1932)="",$R1932,INDEX(職員マスタ!$C$6:$C$405,$AP1932)))</f>
        <v/>
      </c>
      <c r="Z1932" s="14">
        <f>IF($AQ1932="","","R"&amp;$C1932&amp;"."&amp;$D1932)</f>
        <v/>
      </c>
      <c r="AA1932" s="15">
        <f>IF(IF($AP1932="",FALSE,INDEX(職員マスタ!$K$6:$K$405,$AP1932)&lt;&gt;""),INDEX(職員マスタ!$K$6:$K$405,$AP1932),IF(N($W1932)&gt;0,$W1932,""))</f>
        <v/>
      </c>
      <c r="AB1932" s="14">
        <f>IF(OR($E1932="",$AA1932=""),"",IF($E1932&gt;=$AA1932,"×",IF($E1932&gt;=$AA1932*設定!$C$5,"△","○")))</f>
        <v/>
      </c>
      <c r="AC1932" s="15">
        <f>IF($AB1932="","",IF($AB1932="×",0,IF($AB1932="○",ROUNDDOWN($E1932*設定!$C$4,0),ROUNDDOWN($E1932*ROUND((9*$AA1932-9*$E1932)/(10*$E1932),4),0))))</f>
        <v/>
      </c>
      <c r="AD1932" s="13" t="n"/>
      <c r="AE1932" s="15">
        <f>IF($B1932="","",IF($AD1932&lt;&gt;"",$AD1932,IF($AC1932="","",IF($AC1932&lt;=設定!$C$3,0,$AC1932))))</f>
        <v/>
      </c>
      <c r="AF1932" s="14">
        <f>IF($B1932="","",IF(AND($AG1932&lt;&gt;"",$AI1932="",$AL1932=""),"保留中",IF($AL1932&lt;&gt;"",IF(N($AE1932)&gt;0,"支給済","不支給"),IF($AE1932="","要確認",IF($AE1932=0,"不支給","未処理")))))</f>
        <v/>
      </c>
      <c r="AG1932" s="12" t="n"/>
      <c r="AH1932" s="11" t="n"/>
      <c r="AI1932" s="11" t="n"/>
      <c r="AJ1932" s="11" t="n"/>
      <c r="AK1932" s="14">
        <f>IF(AND($AF1932="保留中",$AH1932&lt;&gt;""),TODAY()-$AH1932,"")</f>
        <v/>
      </c>
      <c r="AL1932" s="12" t="n"/>
      <c r="AM1932" s="14">
        <f>IF($B1932="","",IF($AQ1932="","対象年月が未入力／","")&amp;IF($B1932="","",IF($AP1932="","職員マスタに未登録の職員番号／",IF($AA1932="","標準報酬月額が未登録／","")&amp;IF(AND($AQ1932&lt;&gt;"",OR(AND(INDEX(職員マスタ!$G$6:$G$405,$AP1932)&lt;&gt;"",INDEX(職員マスタ!$G$6:$G$405,$AP1932)&gt;EOMONTH($AQ1932,0)),AND(INDEX(職員マスタ!$H$6:$H$405,$AP1932)&lt;&gt;"",INDEX(職員マスタ!$H$6:$H$405,$AP1932)&lt;$AQ1932))),"対象月が時短期間外／","")&amp;IF(AND(INDEX(職員マスタ!$K$6:$K$405,$AP1932)&lt;&gt;"",N($W1932)&gt;0,INDEX(職員マスタ!$K$6:$K$405,$AP1932)&lt;&gt;$W1932),"標準報酬月額が申請書と相違（台帳"&amp;TEXT(INDEX(職員マスタ!$K$6:$K$405,$AP1932),"#,##0")&amp;"円／申請書"&amp;TEXT($W1932,"#,##0")&amp;"円）／","")&amp;IF(AND(INDEX(職員マスタ!$F$6:$F$405,$AP1932)&lt;&gt;"",$AQ1932&lt;&gt;"",INDEX(職員マスタ!$F$6:$F$405,$AP1932)&lt;$AQ1932),"対象月に子が2歳到達済／","")&amp;IF(AND($H1932&lt;&gt;"",INDEX(職員マスタ!$B$6:$B$405,$AP1932)&lt;&gt;"",SUBSTITUTE(SUBSTITUTE($H1932," ","")," ","")&lt;&gt;SUBSTITUTE(SUBSTITUTE(INDEX(職員マスタ!$B$6:$B$405,$AP1932)," ","")," ","")),"氏名がマスタと相違／","")&amp;IF(AND($Q1932&lt;&gt;"",INDEX(職員マスタ!$E$6:$E$405,$AP1932)&lt;&gt;"",$Q1932&lt;&gt;INDEX(職員マスタ!$E$6:$E$405,$AP1932)),"子の生年月日がマスタと相違／","")&amp;IF(AND($L1932&lt;&gt;"",INDEX(職員マスタ!$G$6:$G$405,$AP1932)&lt;&gt;"",$L1932&lt;&gt;INDEX(職員マスタ!$G$6:$G$405,$AP1932)),"時短開始日がマスタと相違／","")&amp;IF(AND($M1932&lt;&gt;"",INDEX(職員マスタ!$H$6:$H$405,$AP1932)&lt;&gt;"",$M1932&lt;&gt;INDEX(職員マスタ!$H$6:$H$405,$AP1932)),"時短終了日がマスタと相違／","")))&amp;IF(AND($B1932&lt;&gt;"",$E1932=""),"報酬額が未入力／","")&amp;IF(N($U1932)&gt;0,"申請書に入力エラーが残っています／","")&amp;IF(AND($B1932&lt;&gt;"",$AQ1932&lt;&gt;""),IF(COUNTIFS($B$6:$B$3005,$B1932,$C$6:$C$3005,$C1932,$D$6:$D$3005,$D1932)&gt;1,"同じ月の請求が重複しています／",""),"")&amp;IF(AND(N($E1932)&gt;0,$AB1932&lt;&gt;"",$AB1932&lt;&gt;"×",$AE1932=0,$AD1932=""),"計算額が下限以下のため不支給／",""))</f>
        <v/>
      </c>
      <c r="AN1932" s="12" t="n"/>
      <c r="AO1932" s="14">
        <f>IF($AF1932="保留中",COUNTIF($AF$6:$AF1932,"保留中"),"")</f>
        <v/>
      </c>
      <c r="AP1932" s="14">
        <f>IF($AQ1932="","",IF(SUMPRODUCT(MAX((職員マスタ!$A$6:$A$405=$B1932)*(((職員マスタ!$G$6:$G$405="")+(職員マスタ!$G$6:$G$405&lt;=EOMONTH($AQ1932,0)))&gt;0)*(((職員マスタ!$H$6:$H$405="")+(職員マスタ!$H$6:$H$405&gt;=$AQ1932))&gt;0)*(ROW(職員マスタ!$A$6:$A$405)-5)))&gt;0,SUMPRODUCT(MAX((職員マスタ!$A$6:$A$405=$B1932)*(((職員マスタ!$G$6:$G$405="")+(職員マスタ!$G$6:$G$405&lt;=EOMONTH($AQ1932,0)))&gt;0)*(((職員マスタ!$H$6:$H$405="")+(職員マスタ!$H$6:$H$405&gt;=$AQ1932))&gt;0)*(ROW(職員マスタ!$A$6:$A$405)-5))),IFERROR(MATCH($B1932,職員マスタ!$A$6:$A$405,0),"")))</f>
        <v/>
      </c>
      <c r="AQ1932" s="16">
        <f>IF(OR($B1932="",$C1932="",$D1932=""),"",DATE($C1932+2018,$D1932,1))</f>
        <v/>
      </c>
    </row>
    <row r="1933">
      <c r="A1933" s="11" t="n"/>
      <c r="B1933" s="12" t="n"/>
      <c r="C1933" s="12" t="n"/>
      <c r="D1933" s="12" t="n"/>
      <c r="E1933" s="13" t="n"/>
      <c r="F1933" s="12" t="n"/>
      <c r="G1933" s="13" t="n"/>
      <c r="H1933" s="12" t="n"/>
      <c r="I1933" s="12" t="n"/>
      <c r="J1933" s="12" t="n"/>
      <c r="K1933" s="12" t="n"/>
      <c r="L1933" s="11" t="n"/>
      <c r="M1933" s="11" t="n"/>
      <c r="N1933" s="11" t="n"/>
      <c r="O1933" s="11" t="n"/>
      <c r="P1933" s="12" t="n"/>
      <c r="Q1933" s="11" t="n"/>
      <c r="R1933" s="12" t="n"/>
      <c r="S1933" s="11" t="n"/>
      <c r="T1933" s="12" t="n"/>
      <c r="U1933" s="12" t="n"/>
      <c r="V1933" s="12" t="n"/>
      <c r="W1933" s="13" t="n"/>
      <c r="X1933" s="14">
        <f>IF($AP1933="",IF($B1933="","",$H1933),IF(INDEX(職員マスタ!$B$6:$B$405,$AP1933)="",$H1933,INDEX(職員マスタ!$B$6:$B$405,$AP1933)))</f>
        <v/>
      </c>
      <c r="Y1933" s="14">
        <f>IF($AP1933="",IF($B1933="","",$R1933),IF(INDEX(職員マスタ!$C$6:$C$405,$AP1933)="",$R1933,INDEX(職員マスタ!$C$6:$C$405,$AP1933)))</f>
        <v/>
      </c>
      <c r="Z1933" s="14">
        <f>IF($AQ1933="","","R"&amp;$C1933&amp;"."&amp;$D1933)</f>
        <v/>
      </c>
      <c r="AA1933" s="15">
        <f>IF(IF($AP1933="",FALSE,INDEX(職員マスタ!$K$6:$K$405,$AP1933)&lt;&gt;""),INDEX(職員マスタ!$K$6:$K$405,$AP1933),IF(N($W1933)&gt;0,$W1933,""))</f>
        <v/>
      </c>
      <c r="AB1933" s="14">
        <f>IF(OR($E1933="",$AA1933=""),"",IF($E1933&gt;=$AA1933,"×",IF($E1933&gt;=$AA1933*設定!$C$5,"△","○")))</f>
        <v/>
      </c>
      <c r="AC1933" s="15">
        <f>IF($AB1933="","",IF($AB1933="×",0,IF($AB1933="○",ROUNDDOWN($E1933*設定!$C$4,0),ROUNDDOWN($E1933*ROUND((9*$AA1933-9*$E1933)/(10*$E1933),4),0))))</f>
        <v/>
      </c>
      <c r="AD1933" s="13" t="n"/>
      <c r="AE1933" s="15">
        <f>IF($B1933="","",IF($AD1933&lt;&gt;"",$AD1933,IF($AC1933="","",IF($AC1933&lt;=設定!$C$3,0,$AC1933))))</f>
        <v/>
      </c>
      <c r="AF1933" s="14">
        <f>IF($B1933="","",IF(AND($AG1933&lt;&gt;"",$AI1933="",$AL1933=""),"保留中",IF($AL1933&lt;&gt;"",IF(N($AE1933)&gt;0,"支給済","不支給"),IF($AE1933="","要確認",IF($AE1933=0,"不支給","未処理")))))</f>
        <v/>
      </c>
      <c r="AG1933" s="12" t="n"/>
      <c r="AH1933" s="11" t="n"/>
      <c r="AI1933" s="11" t="n"/>
      <c r="AJ1933" s="11" t="n"/>
      <c r="AK1933" s="14">
        <f>IF(AND($AF1933="保留中",$AH1933&lt;&gt;""),TODAY()-$AH1933,"")</f>
        <v/>
      </c>
      <c r="AL1933" s="12" t="n"/>
      <c r="AM1933" s="14">
        <f>IF($B1933="","",IF($AQ1933="","対象年月が未入力／","")&amp;IF($B1933="","",IF($AP1933="","職員マスタに未登録の職員番号／",IF($AA1933="","標準報酬月額が未登録／","")&amp;IF(AND($AQ1933&lt;&gt;"",OR(AND(INDEX(職員マスタ!$G$6:$G$405,$AP1933)&lt;&gt;"",INDEX(職員マスタ!$G$6:$G$405,$AP1933)&gt;EOMONTH($AQ1933,0)),AND(INDEX(職員マスタ!$H$6:$H$405,$AP1933)&lt;&gt;"",INDEX(職員マスタ!$H$6:$H$405,$AP1933)&lt;$AQ1933))),"対象月が時短期間外／","")&amp;IF(AND(INDEX(職員マスタ!$K$6:$K$405,$AP1933)&lt;&gt;"",N($W1933)&gt;0,INDEX(職員マスタ!$K$6:$K$405,$AP1933)&lt;&gt;$W1933),"標準報酬月額が申請書と相違（台帳"&amp;TEXT(INDEX(職員マスタ!$K$6:$K$405,$AP1933),"#,##0")&amp;"円／申請書"&amp;TEXT($W1933,"#,##0")&amp;"円）／","")&amp;IF(AND(INDEX(職員マスタ!$F$6:$F$405,$AP1933)&lt;&gt;"",$AQ1933&lt;&gt;"",INDEX(職員マスタ!$F$6:$F$405,$AP1933)&lt;$AQ1933),"対象月に子が2歳到達済／","")&amp;IF(AND($H1933&lt;&gt;"",INDEX(職員マスタ!$B$6:$B$405,$AP1933)&lt;&gt;"",SUBSTITUTE(SUBSTITUTE($H1933," ","")," ","")&lt;&gt;SUBSTITUTE(SUBSTITUTE(INDEX(職員マスタ!$B$6:$B$405,$AP1933)," ","")," ","")),"氏名がマスタと相違／","")&amp;IF(AND($Q1933&lt;&gt;"",INDEX(職員マスタ!$E$6:$E$405,$AP1933)&lt;&gt;"",$Q1933&lt;&gt;INDEX(職員マスタ!$E$6:$E$405,$AP1933)),"子の生年月日がマスタと相違／","")&amp;IF(AND($L1933&lt;&gt;"",INDEX(職員マスタ!$G$6:$G$405,$AP1933)&lt;&gt;"",$L1933&lt;&gt;INDEX(職員マスタ!$G$6:$G$405,$AP1933)),"時短開始日がマスタと相違／","")&amp;IF(AND($M1933&lt;&gt;"",INDEX(職員マスタ!$H$6:$H$405,$AP1933)&lt;&gt;"",$M1933&lt;&gt;INDEX(職員マスタ!$H$6:$H$405,$AP1933)),"時短終了日がマスタと相違／","")))&amp;IF(AND($B1933&lt;&gt;"",$E1933=""),"報酬額が未入力／","")&amp;IF(N($U1933)&gt;0,"申請書に入力エラーが残っています／","")&amp;IF(AND($B1933&lt;&gt;"",$AQ1933&lt;&gt;""),IF(COUNTIFS($B$6:$B$3005,$B1933,$C$6:$C$3005,$C1933,$D$6:$D$3005,$D1933)&gt;1,"同じ月の請求が重複しています／",""),"")&amp;IF(AND(N($E1933)&gt;0,$AB1933&lt;&gt;"",$AB1933&lt;&gt;"×",$AE1933=0,$AD1933=""),"計算額が下限以下のため不支給／",""))</f>
        <v/>
      </c>
      <c r="AN1933" s="12" t="n"/>
      <c r="AO1933" s="14">
        <f>IF($AF1933="保留中",COUNTIF($AF$6:$AF1933,"保留中"),"")</f>
        <v/>
      </c>
      <c r="AP1933" s="14">
        <f>IF($AQ1933="","",IF(SUMPRODUCT(MAX((職員マスタ!$A$6:$A$405=$B1933)*(((職員マスタ!$G$6:$G$405="")+(職員マスタ!$G$6:$G$405&lt;=EOMONTH($AQ1933,0)))&gt;0)*(((職員マスタ!$H$6:$H$405="")+(職員マスタ!$H$6:$H$405&gt;=$AQ1933))&gt;0)*(ROW(職員マスタ!$A$6:$A$405)-5)))&gt;0,SUMPRODUCT(MAX((職員マスタ!$A$6:$A$405=$B1933)*(((職員マスタ!$G$6:$G$405="")+(職員マスタ!$G$6:$G$405&lt;=EOMONTH($AQ1933,0)))&gt;0)*(((職員マスタ!$H$6:$H$405="")+(職員マスタ!$H$6:$H$405&gt;=$AQ1933))&gt;0)*(ROW(職員マスタ!$A$6:$A$405)-5))),IFERROR(MATCH($B1933,職員マスタ!$A$6:$A$405,0),"")))</f>
        <v/>
      </c>
      <c r="AQ1933" s="16">
        <f>IF(OR($B1933="",$C1933="",$D1933=""),"",DATE($C1933+2018,$D1933,1))</f>
        <v/>
      </c>
    </row>
    <row r="1934">
      <c r="A1934" s="11" t="n"/>
      <c r="B1934" s="12" t="n"/>
      <c r="C1934" s="12" t="n"/>
      <c r="D1934" s="12" t="n"/>
      <c r="E1934" s="13" t="n"/>
      <c r="F1934" s="12" t="n"/>
      <c r="G1934" s="13" t="n"/>
      <c r="H1934" s="12" t="n"/>
      <c r="I1934" s="12" t="n"/>
      <c r="J1934" s="12" t="n"/>
      <c r="K1934" s="12" t="n"/>
      <c r="L1934" s="11" t="n"/>
      <c r="M1934" s="11" t="n"/>
      <c r="N1934" s="11" t="n"/>
      <c r="O1934" s="11" t="n"/>
      <c r="P1934" s="12" t="n"/>
      <c r="Q1934" s="11" t="n"/>
      <c r="R1934" s="12" t="n"/>
      <c r="S1934" s="11" t="n"/>
      <c r="T1934" s="12" t="n"/>
      <c r="U1934" s="12" t="n"/>
      <c r="V1934" s="12" t="n"/>
      <c r="W1934" s="13" t="n"/>
      <c r="X1934" s="14">
        <f>IF($AP1934="",IF($B1934="","",$H1934),IF(INDEX(職員マスタ!$B$6:$B$405,$AP1934)="",$H1934,INDEX(職員マスタ!$B$6:$B$405,$AP1934)))</f>
        <v/>
      </c>
      <c r="Y1934" s="14">
        <f>IF($AP1934="",IF($B1934="","",$R1934),IF(INDEX(職員マスタ!$C$6:$C$405,$AP1934)="",$R1934,INDEX(職員マスタ!$C$6:$C$405,$AP1934)))</f>
        <v/>
      </c>
      <c r="Z1934" s="14">
        <f>IF($AQ1934="","","R"&amp;$C1934&amp;"."&amp;$D1934)</f>
        <v/>
      </c>
      <c r="AA1934" s="15">
        <f>IF(IF($AP1934="",FALSE,INDEX(職員マスタ!$K$6:$K$405,$AP1934)&lt;&gt;""),INDEX(職員マスタ!$K$6:$K$405,$AP1934),IF(N($W1934)&gt;0,$W1934,""))</f>
        <v/>
      </c>
      <c r="AB1934" s="14">
        <f>IF(OR($E1934="",$AA1934=""),"",IF($E1934&gt;=$AA1934,"×",IF($E1934&gt;=$AA1934*設定!$C$5,"△","○")))</f>
        <v/>
      </c>
      <c r="AC1934" s="15">
        <f>IF($AB1934="","",IF($AB1934="×",0,IF($AB1934="○",ROUNDDOWN($E1934*設定!$C$4,0),ROUNDDOWN($E1934*ROUND((9*$AA1934-9*$E1934)/(10*$E1934),4),0))))</f>
        <v/>
      </c>
      <c r="AD1934" s="13" t="n"/>
      <c r="AE1934" s="15">
        <f>IF($B1934="","",IF($AD1934&lt;&gt;"",$AD1934,IF($AC1934="","",IF($AC1934&lt;=設定!$C$3,0,$AC1934))))</f>
        <v/>
      </c>
      <c r="AF1934" s="14">
        <f>IF($B1934="","",IF(AND($AG1934&lt;&gt;"",$AI1934="",$AL1934=""),"保留中",IF($AL1934&lt;&gt;"",IF(N($AE1934)&gt;0,"支給済","不支給"),IF($AE1934="","要確認",IF($AE1934=0,"不支給","未処理")))))</f>
        <v/>
      </c>
      <c r="AG1934" s="12" t="n"/>
      <c r="AH1934" s="11" t="n"/>
      <c r="AI1934" s="11" t="n"/>
      <c r="AJ1934" s="11" t="n"/>
      <c r="AK1934" s="14">
        <f>IF(AND($AF1934="保留中",$AH1934&lt;&gt;""),TODAY()-$AH1934,"")</f>
        <v/>
      </c>
      <c r="AL1934" s="12" t="n"/>
      <c r="AM1934" s="14">
        <f>IF($B1934="","",IF($AQ1934="","対象年月が未入力／","")&amp;IF($B1934="","",IF($AP1934="","職員マスタに未登録の職員番号／",IF($AA1934="","標準報酬月額が未登録／","")&amp;IF(AND($AQ1934&lt;&gt;"",OR(AND(INDEX(職員マスタ!$G$6:$G$405,$AP1934)&lt;&gt;"",INDEX(職員マスタ!$G$6:$G$405,$AP1934)&gt;EOMONTH($AQ1934,0)),AND(INDEX(職員マスタ!$H$6:$H$405,$AP1934)&lt;&gt;"",INDEX(職員マスタ!$H$6:$H$405,$AP1934)&lt;$AQ1934))),"対象月が時短期間外／","")&amp;IF(AND(INDEX(職員マスタ!$K$6:$K$405,$AP1934)&lt;&gt;"",N($W1934)&gt;0,INDEX(職員マスタ!$K$6:$K$405,$AP1934)&lt;&gt;$W1934),"標準報酬月額が申請書と相違（台帳"&amp;TEXT(INDEX(職員マスタ!$K$6:$K$405,$AP1934),"#,##0")&amp;"円／申請書"&amp;TEXT($W1934,"#,##0")&amp;"円）／","")&amp;IF(AND(INDEX(職員マスタ!$F$6:$F$405,$AP1934)&lt;&gt;"",$AQ1934&lt;&gt;"",INDEX(職員マスタ!$F$6:$F$405,$AP1934)&lt;$AQ1934),"対象月に子が2歳到達済／","")&amp;IF(AND($H1934&lt;&gt;"",INDEX(職員マスタ!$B$6:$B$405,$AP1934)&lt;&gt;"",SUBSTITUTE(SUBSTITUTE($H1934," ","")," ","")&lt;&gt;SUBSTITUTE(SUBSTITUTE(INDEX(職員マスタ!$B$6:$B$405,$AP1934)," ","")," ","")),"氏名がマスタと相違／","")&amp;IF(AND($Q1934&lt;&gt;"",INDEX(職員マスタ!$E$6:$E$405,$AP1934)&lt;&gt;"",$Q1934&lt;&gt;INDEX(職員マスタ!$E$6:$E$405,$AP1934)),"子の生年月日がマスタと相違／","")&amp;IF(AND($L1934&lt;&gt;"",INDEX(職員マスタ!$G$6:$G$405,$AP1934)&lt;&gt;"",$L1934&lt;&gt;INDEX(職員マスタ!$G$6:$G$405,$AP1934)),"時短開始日がマスタと相違／","")&amp;IF(AND($M1934&lt;&gt;"",INDEX(職員マスタ!$H$6:$H$405,$AP1934)&lt;&gt;"",$M1934&lt;&gt;INDEX(職員マスタ!$H$6:$H$405,$AP1934)),"時短終了日がマスタと相違／","")))&amp;IF(AND($B1934&lt;&gt;"",$E1934=""),"報酬額が未入力／","")&amp;IF(N($U1934)&gt;0,"申請書に入力エラーが残っています／","")&amp;IF(AND($B1934&lt;&gt;"",$AQ1934&lt;&gt;""),IF(COUNTIFS($B$6:$B$3005,$B1934,$C$6:$C$3005,$C1934,$D$6:$D$3005,$D1934)&gt;1,"同じ月の請求が重複しています／",""),"")&amp;IF(AND(N($E1934)&gt;0,$AB1934&lt;&gt;"",$AB1934&lt;&gt;"×",$AE1934=0,$AD1934=""),"計算額が下限以下のため不支給／",""))</f>
        <v/>
      </c>
      <c r="AN1934" s="12" t="n"/>
      <c r="AO1934" s="14">
        <f>IF($AF1934="保留中",COUNTIF($AF$6:$AF1934,"保留中"),"")</f>
        <v/>
      </c>
      <c r="AP1934" s="14">
        <f>IF($AQ1934="","",IF(SUMPRODUCT(MAX((職員マスタ!$A$6:$A$405=$B1934)*(((職員マスタ!$G$6:$G$405="")+(職員マスタ!$G$6:$G$405&lt;=EOMONTH($AQ1934,0)))&gt;0)*(((職員マスタ!$H$6:$H$405="")+(職員マスタ!$H$6:$H$405&gt;=$AQ1934))&gt;0)*(ROW(職員マスタ!$A$6:$A$405)-5)))&gt;0,SUMPRODUCT(MAX((職員マスタ!$A$6:$A$405=$B1934)*(((職員マスタ!$G$6:$G$405="")+(職員マスタ!$G$6:$G$405&lt;=EOMONTH($AQ1934,0)))&gt;0)*(((職員マスタ!$H$6:$H$405="")+(職員マスタ!$H$6:$H$405&gt;=$AQ1934))&gt;0)*(ROW(職員マスタ!$A$6:$A$405)-5))),IFERROR(MATCH($B1934,職員マスタ!$A$6:$A$405,0),"")))</f>
        <v/>
      </c>
      <c r="AQ1934" s="16">
        <f>IF(OR($B1934="",$C1934="",$D1934=""),"",DATE($C1934+2018,$D1934,1))</f>
        <v/>
      </c>
    </row>
    <row r="1935">
      <c r="A1935" s="11" t="n"/>
      <c r="B1935" s="12" t="n"/>
      <c r="C1935" s="12" t="n"/>
      <c r="D1935" s="12" t="n"/>
      <c r="E1935" s="13" t="n"/>
      <c r="F1935" s="12" t="n"/>
      <c r="G1935" s="13" t="n"/>
      <c r="H1935" s="12" t="n"/>
      <c r="I1935" s="12" t="n"/>
      <c r="J1935" s="12" t="n"/>
      <c r="K1935" s="12" t="n"/>
      <c r="L1935" s="11" t="n"/>
      <c r="M1935" s="11" t="n"/>
      <c r="N1935" s="11" t="n"/>
      <c r="O1935" s="11" t="n"/>
      <c r="P1935" s="12" t="n"/>
      <c r="Q1935" s="11" t="n"/>
      <c r="R1935" s="12" t="n"/>
      <c r="S1935" s="11" t="n"/>
      <c r="T1935" s="12" t="n"/>
      <c r="U1935" s="12" t="n"/>
      <c r="V1935" s="12" t="n"/>
      <c r="W1935" s="13" t="n"/>
      <c r="X1935" s="14">
        <f>IF($AP1935="",IF($B1935="","",$H1935),IF(INDEX(職員マスタ!$B$6:$B$405,$AP1935)="",$H1935,INDEX(職員マスタ!$B$6:$B$405,$AP1935)))</f>
        <v/>
      </c>
      <c r="Y1935" s="14">
        <f>IF($AP1935="",IF($B1935="","",$R1935),IF(INDEX(職員マスタ!$C$6:$C$405,$AP1935)="",$R1935,INDEX(職員マスタ!$C$6:$C$405,$AP1935)))</f>
        <v/>
      </c>
      <c r="Z1935" s="14">
        <f>IF($AQ1935="","","R"&amp;$C1935&amp;"."&amp;$D1935)</f>
        <v/>
      </c>
      <c r="AA1935" s="15">
        <f>IF(IF($AP1935="",FALSE,INDEX(職員マスタ!$K$6:$K$405,$AP1935)&lt;&gt;""),INDEX(職員マスタ!$K$6:$K$405,$AP1935),IF(N($W1935)&gt;0,$W1935,""))</f>
        <v/>
      </c>
      <c r="AB1935" s="14">
        <f>IF(OR($E1935="",$AA1935=""),"",IF($E1935&gt;=$AA1935,"×",IF($E1935&gt;=$AA1935*設定!$C$5,"△","○")))</f>
        <v/>
      </c>
      <c r="AC1935" s="15">
        <f>IF($AB1935="","",IF($AB1935="×",0,IF($AB1935="○",ROUNDDOWN($E1935*設定!$C$4,0),ROUNDDOWN($E1935*ROUND((9*$AA1935-9*$E1935)/(10*$E1935),4),0))))</f>
        <v/>
      </c>
      <c r="AD1935" s="13" t="n"/>
      <c r="AE1935" s="15">
        <f>IF($B1935="","",IF($AD1935&lt;&gt;"",$AD1935,IF($AC1935="","",IF($AC1935&lt;=設定!$C$3,0,$AC1935))))</f>
        <v/>
      </c>
      <c r="AF1935" s="14">
        <f>IF($B1935="","",IF(AND($AG1935&lt;&gt;"",$AI1935="",$AL1935=""),"保留中",IF($AL1935&lt;&gt;"",IF(N($AE1935)&gt;0,"支給済","不支給"),IF($AE1935="","要確認",IF($AE1935=0,"不支給","未処理")))))</f>
        <v/>
      </c>
      <c r="AG1935" s="12" t="n"/>
      <c r="AH1935" s="11" t="n"/>
      <c r="AI1935" s="11" t="n"/>
      <c r="AJ1935" s="11" t="n"/>
      <c r="AK1935" s="14">
        <f>IF(AND($AF1935="保留中",$AH1935&lt;&gt;""),TODAY()-$AH1935,"")</f>
        <v/>
      </c>
      <c r="AL1935" s="12" t="n"/>
      <c r="AM1935" s="14">
        <f>IF($B1935="","",IF($AQ1935="","対象年月が未入力／","")&amp;IF($B1935="","",IF($AP1935="","職員マスタに未登録の職員番号／",IF($AA1935="","標準報酬月額が未登録／","")&amp;IF(AND($AQ1935&lt;&gt;"",OR(AND(INDEX(職員マスタ!$G$6:$G$405,$AP1935)&lt;&gt;"",INDEX(職員マスタ!$G$6:$G$405,$AP1935)&gt;EOMONTH($AQ1935,0)),AND(INDEX(職員マスタ!$H$6:$H$405,$AP1935)&lt;&gt;"",INDEX(職員マスタ!$H$6:$H$405,$AP1935)&lt;$AQ1935))),"対象月が時短期間外／","")&amp;IF(AND(INDEX(職員マスタ!$K$6:$K$405,$AP1935)&lt;&gt;"",N($W1935)&gt;0,INDEX(職員マスタ!$K$6:$K$405,$AP1935)&lt;&gt;$W1935),"標準報酬月額が申請書と相違（台帳"&amp;TEXT(INDEX(職員マスタ!$K$6:$K$405,$AP1935),"#,##0")&amp;"円／申請書"&amp;TEXT($W1935,"#,##0")&amp;"円）／","")&amp;IF(AND(INDEX(職員マスタ!$F$6:$F$405,$AP1935)&lt;&gt;"",$AQ1935&lt;&gt;"",INDEX(職員マスタ!$F$6:$F$405,$AP1935)&lt;$AQ1935),"対象月に子が2歳到達済／","")&amp;IF(AND($H1935&lt;&gt;"",INDEX(職員マスタ!$B$6:$B$405,$AP1935)&lt;&gt;"",SUBSTITUTE(SUBSTITUTE($H1935," ","")," ","")&lt;&gt;SUBSTITUTE(SUBSTITUTE(INDEX(職員マスタ!$B$6:$B$405,$AP1935)," ","")," ","")),"氏名がマスタと相違／","")&amp;IF(AND($Q1935&lt;&gt;"",INDEX(職員マスタ!$E$6:$E$405,$AP1935)&lt;&gt;"",$Q1935&lt;&gt;INDEX(職員マスタ!$E$6:$E$405,$AP1935)),"子の生年月日がマスタと相違／","")&amp;IF(AND($L1935&lt;&gt;"",INDEX(職員マスタ!$G$6:$G$405,$AP1935)&lt;&gt;"",$L1935&lt;&gt;INDEX(職員マスタ!$G$6:$G$405,$AP1935)),"時短開始日がマスタと相違／","")&amp;IF(AND($M1935&lt;&gt;"",INDEX(職員マスタ!$H$6:$H$405,$AP1935)&lt;&gt;"",$M1935&lt;&gt;INDEX(職員マスタ!$H$6:$H$405,$AP1935)),"時短終了日がマスタと相違／","")))&amp;IF(AND($B1935&lt;&gt;"",$E1935=""),"報酬額が未入力／","")&amp;IF(N($U1935)&gt;0,"申請書に入力エラーが残っています／","")&amp;IF(AND($B1935&lt;&gt;"",$AQ1935&lt;&gt;""),IF(COUNTIFS($B$6:$B$3005,$B1935,$C$6:$C$3005,$C1935,$D$6:$D$3005,$D1935)&gt;1,"同じ月の請求が重複しています／",""),"")&amp;IF(AND(N($E1935)&gt;0,$AB1935&lt;&gt;"",$AB1935&lt;&gt;"×",$AE1935=0,$AD1935=""),"計算額が下限以下のため不支給／",""))</f>
        <v/>
      </c>
      <c r="AN1935" s="12" t="n"/>
      <c r="AO1935" s="14">
        <f>IF($AF1935="保留中",COUNTIF($AF$6:$AF1935,"保留中"),"")</f>
        <v/>
      </c>
      <c r="AP1935" s="14">
        <f>IF($AQ1935="","",IF(SUMPRODUCT(MAX((職員マスタ!$A$6:$A$405=$B1935)*(((職員マスタ!$G$6:$G$405="")+(職員マスタ!$G$6:$G$405&lt;=EOMONTH($AQ1935,0)))&gt;0)*(((職員マスタ!$H$6:$H$405="")+(職員マスタ!$H$6:$H$405&gt;=$AQ1935))&gt;0)*(ROW(職員マスタ!$A$6:$A$405)-5)))&gt;0,SUMPRODUCT(MAX((職員マスタ!$A$6:$A$405=$B1935)*(((職員マスタ!$G$6:$G$405="")+(職員マスタ!$G$6:$G$405&lt;=EOMONTH($AQ1935,0)))&gt;0)*(((職員マスタ!$H$6:$H$405="")+(職員マスタ!$H$6:$H$405&gt;=$AQ1935))&gt;0)*(ROW(職員マスタ!$A$6:$A$405)-5))),IFERROR(MATCH($B1935,職員マスタ!$A$6:$A$405,0),"")))</f>
        <v/>
      </c>
      <c r="AQ1935" s="16">
        <f>IF(OR($B1935="",$C1935="",$D1935=""),"",DATE($C1935+2018,$D1935,1))</f>
        <v/>
      </c>
    </row>
    <row r="1936">
      <c r="A1936" s="11" t="n"/>
      <c r="B1936" s="12" t="n"/>
      <c r="C1936" s="12" t="n"/>
      <c r="D1936" s="12" t="n"/>
      <c r="E1936" s="13" t="n"/>
      <c r="F1936" s="12" t="n"/>
      <c r="G1936" s="13" t="n"/>
      <c r="H1936" s="12" t="n"/>
      <c r="I1936" s="12" t="n"/>
      <c r="J1936" s="12" t="n"/>
      <c r="K1936" s="12" t="n"/>
      <c r="L1936" s="11" t="n"/>
      <c r="M1936" s="11" t="n"/>
      <c r="N1936" s="11" t="n"/>
      <c r="O1936" s="11" t="n"/>
      <c r="P1936" s="12" t="n"/>
      <c r="Q1936" s="11" t="n"/>
      <c r="R1936" s="12" t="n"/>
      <c r="S1936" s="11" t="n"/>
      <c r="T1936" s="12" t="n"/>
      <c r="U1936" s="12" t="n"/>
      <c r="V1936" s="12" t="n"/>
      <c r="W1936" s="13" t="n"/>
      <c r="X1936" s="14">
        <f>IF($AP1936="",IF($B1936="","",$H1936),IF(INDEX(職員マスタ!$B$6:$B$405,$AP1936)="",$H1936,INDEX(職員マスタ!$B$6:$B$405,$AP1936)))</f>
        <v/>
      </c>
      <c r="Y1936" s="14">
        <f>IF($AP1936="",IF($B1936="","",$R1936),IF(INDEX(職員マスタ!$C$6:$C$405,$AP1936)="",$R1936,INDEX(職員マスタ!$C$6:$C$405,$AP1936)))</f>
        <v/>
      </c>
      <c r="Z1936" s="14">
        <f>IF($AQ1936="","","R"&amp;$C1936&amp;"."&amp;$D1936)</f>
        <v/>
      </c>
      <c r="AA1936" s="15">
        <f>IF(IF($AP1936="",FALSE,INDEX(職員マスタ!$K$6:$K$405,$AP1936)&lt;&gt;""),INDEX(職員マスタ!$K$6:$K$405,$AP1936),IF(N($W1936)&gt;0,$W1936,""))</f>
        <v/>
      </c>
      <c r="AB1936" s="14">
        <f>IF(OR($E1936="",$AA1936=""),"",IF($E1936&gt;=$AA1936,"×",IF($E1936&gt;=$AA1936*設定!$C$5,"△","○")))</f>
        <v/>
      </c>
      <c r="AC1936" s="15">
        <f>IF($AB1936="","",IF($AB1936="×",0,IF($AB1936="○",ROUNDDOWN($E1936*設定!$C$4,0),ROUNDDOWN($E1936*ROUND((9*$AA1936-9*$E1936)/(10*$E1936),4),0))))</f>
        <v/>
      </c>
      <c r="AD1936" s="13" t="n"/>
      <c r="AE1936" s="15">
        <f>IF($B1936="","",IF($AD1936&lt;&gt;"",$AD1936,IF($AC1936="","",IF($AC1936&lt;=設定!$C$3,0,$AC1936))))</f>
        <v/>
      </c>
      <c r="AF1936" s="14">
        <f>IF($B1936="","",IF(AND($AG1936&lt;&gt;"",$AI1936="",$AL1936=""),"保留中",IF($AL1936&lt;&gt;"",IF(N($AE1936)&gt;0,"支給済","不支給"),IF($AE1936="","要確認",IF($AE1936=0,"不支給","未処理")))))</f>
        <v/>
      </c>
      <c r="AG1936" s="12" t="n"/>
      <c r="AH1936" s="11" t="n"/>
      <c r="AI1936" s="11" t="n"/>
      <c r="AJ1936" s="11" t="n"/>
      <c r="AK1936" s="14">
        <f>IF(AND($AF1936="保留中",$AH1936&lt;&gt;""),TODAY()-$AH1936,"")</f>
        <v/>
      </c>
      <c r="AL1936" s="12" t="n"/>
      <c r="AM1936" s="14">
        <f>IF($B1936="","",IF($AQ1936="","対象年月が未入力／","")&amp;IF($B1936="","",IF($AP1936="","職員マスタに未登録の職員番号／",IF($AA1936="","標準報酬月額が未登録／","")&amp;IF(AND($AQ1936&lt;&gt;"",OR(AND(INDEX(職員マスタ!$G$6:$G$405,$AP1936)&lt;&gt;"",INDEX(職員マスタ!$G$6:$G$405,$AP1936)&gt;EOMONTH($AQ1936,0)),AND(INDEX(職員マスタ!$H$6:$H$405,$AP1936)&lt;&gt;"",INDEX(職員マスタ!$H$6:$H$405,$AP1936)&lt;$AQ1936))),"対象月が時短期間外／","")&amp;IF(AND(INDEX(職員マスタ!$K$6:$K$405,$AP1936)&lt;&gt;"",N($W1936)&gt;0,INDEX(職員マスタ!$K$6:$K$405,$AP1936)&lt;&gt;$W1936),"標準報酬月額が申請書と相違（台帳"&amp;TEXT(INDEX(職員マスタ!$K$6:$K$405,$AP1936),"#,##0")&amp;"円／申請書"&amp;TEXT($W1936,"#,##0")&amp;"円）／","")&amp;IF(AND(INDEX(職員マスタ!$F$6:$F$405,$AP1936)&lt;&gt;"",$AQ1936&lt;&gt;"",INDEX(職員マスタ!$F$6:$F$405,$AP1936)&lt;$AQ1936),"対象月に子が2歳到達済／","")&amp;IF(AND($H1936&lt;&gt;"",INDEX(職員マスタ!$B$6:$B$405,$AP1936)&lt;&gt;"",SUBSTITUTE(SUBSTITUTE($H1936," ","")," ","")&lt;&gt;SUBSTITUTE(SUBSTITUTE(INDEX(職員マスタ!$B$6:$B$405,$AP1936)," ","")," ","")),"氏名がマスタと相違／","")&amp;IF(AND($Q1936&lt;&gt;"",INDEX(職員マスタ!$E$6:$E$405,$AP1936)&lt;&gt;"",$Q1936&lt;&gt;INDEX(職員マスタ!$E$6:$E$405,$AP1936)),"子の生年月日がマスタと相違／","")&amp;IF(AND($L1936&lt;&gt;"",INDEX(職員マスタ!$G$6:$G$405,$AP1936)&lt;&gt;"",$L1936&lt;&gt;INDEX(職員マスタ!$G$6:$G$405,$AP1936)),"時短開始日がマスタと相違／","")&amp;IF(AND($M1936&lt;&gt;"",INDEX(職員マスタ!$H$6:$H$405,$AP1936)&lt;&gt;"",$M1936&lt;&gt;INDEX(職員マスタ!$H$6:$H$405,$AP1936)),"時短終了日がマスタと相違／","")))&amp;IF(AND($B1936&lt;&gt;"",$E1936=""),"報酬額が未入力／","")&amp;IF(N($U1936)&gt;0,"申請書に入力エラーが残っています／","")&amp;IF(AND($B1936&lt;&gt;"",$AQ1936&lt;&gt;""),IF(COUNTIFS($B$6:$B$3005,$B1936,$C$6:$C$3005,$C1936,$D$6:$D$3005,$D1936)&gt;1,"同じ月の請求が重複しています／",""),"")&amp;IF(AND(N($E1936)&gt;0,$AB1936&lt;&gt;"",$AB1936&lt;&gt;"×",$AE1936=0,$AD1936=""),"計算額が下限以下のため不支給／",""))</f>
        <v/>
      </c>
      <c r="AN1936" s="12" t="n"/>
      <c r="AO1936" s="14">
        <f>IF($AF1936="保留中",COUNTIF($AF$6:$AF1936,"保留中"),"")</f>
        <v/>
      </c>
      <c r="AP1936" s="14">
        <f>IF($AQ1936="","",IF(SUMPRODUCT(MAX((職員マスタ!$A$6:$A$405=$B1936)*(((職員マスタ!$G$6:$G$405="")+(職員マスタ!$G$6:$G$405&lt;=EOMONTH($AQ1936,0)))&gt;0)*(((職員マスタ!$H$6:$H$405="")+(職員マスタ!$H$6:$H$405&gt;=$AQ1936))&gt;0)*(ROW(職員マスタ!$A$6:$A$405)-5)))&gt;0,SUMPRODUCT(MAX((職員マスタ!$A$6:$A$405=$B1936)*(((職員マスタ!$G$6:$G$405="")+(職員マスタ!$G$6:$G$405&lt;=EOMONTH($AQ1936,0)))&gt;0)*(((職員マスタ!$H$6:$H$405="")+(職員マスタ!$H$6:$H$405&gt;=$AQ1936))&gt;0)*(ROW(職員マスタ!$A$6:$A$405)-5))),IFERROR(MATCH($B1936,職員マスタ!$A$6:$A$405,0),"")))</f>
        <v/>
      </c>
      <c r="AQ1936" s="16">
        <f>IF(OR($B1936="",$C1936="",$D1936=""),"",DATE($C1936+2018,$D1936,1))</f>
        <v/>
      </c>
    </row>
    <row r="1937">
      <c r="A1937" s="11" t="n"/>
      <c r="B1937" s="12" t="n"/>
      <c r="C1937" s="12" t="n"/>
      <c r="D1937" s="12" t="n"/>
      <c r="E1937" s="13" t="n"/>
      <c r="F1937" s="12" t="n"/>
      <c r="G1937" s="13" t="n"/>
      <c r="H1937" s="12" t="n"/>
      <c r="I1937" s="12" t="n"/>
      <c r="J1937" s="12" t="n"/>
      <c r="K1937" s="12" t="n"/>
      <c r="L1937" s="11" t="n"/>
      <c r="M1937" s="11" t="n"/>
      <c r="N1937" s="11" t="n"/>
      <c r="O1937" s="11" t="n"/>
      <c r="P1937" s="12" t="n"/>
      <c r="Q1937" s="11" t="n"/>
      <c r="R1937" s="12" t="n"/>
      <c r="S1937" s="11" t="n"/>
      <c r="T1937" s="12" t="n"/>
      <c r="U1937" s="12" t="n"/>
      <c r="V1937" s="12" t="n"/>
      <c r="W1937" s="13" t="n"/>
      <c r="X1937" s="14">
        <f>IF($AP1937="",IF($B1937="","",$H1937),IF(INDEX(職員マスタ!$B$6:$B$405,$AP1937)="",$H1937,INDEX(職員マスタ!$B$6:$B$405,$AP1937)))</f>
        <v/>
      </c>
      <c r="Y1937" s="14">
        <f>IF($AP1937="",IF($B1937="","",$R1937),IF(INDEX(職員マスタ!$C$6:$C$405,$AP1937)="",$R1937,INDEX(職員マスタ!$C$6:$C$405,$AP1937)))</f>
        <v/>
      </c>
      <c r="Z1937" s="14">
        <f>IF($AQ1937="","","R"&amp;$C1937&amp;"."&amp;$D1937)</f>
        <v/>
      </c>
      <c r="AA1937" s="15">
        <f>IF(IF($AP1937="",FALSE,INDEX(職員マスタ!$K$6:$K$405,$AP1937)&lt;&gt;""),INDEX(職員マスタ!$K$6:$K$405,$AP1937),IF(N($W1937)&gt;0,$W1937,""))</f>
        <v/>
      </c>
      <c r="AB1937" s="14">
        <f>IF(OR($E1937="",$AA1937=""),"",IF($E1937&gt;=$AA1937,"×",IF($E1937&gt;=$AA1937*設定!$C$5,"△","○")))</f>
        <v/>
      </c>
      <c r="AC1937" s="15">
        <f>IF($AB1937="","",IF($AB1937="×",0,IF($AB1937="○",ROUNDDOWN($E1937*設定!$C$4,0),ROUNDDOWN($E1937*ROUND((9*$AA1937-9*$E1937)/(10*$E1937),4),0))))</f>
        <v/>
      </c>
      <c r="AD1937" s="13" t="n"/>
      <c r="AE1937" s="15">
        <f>IF($B1937="","",IF($AD1937&lt;&gt;"",$AD1937,IF($AC1937="","",IF($AC1937&lt;=設定!$C$3,0,$AC1937))))</f>
        <v/>
      </c>
      <c r="AF1937" s="14">
        <f>IF($B1937="","",IF(AND($AG1937&lt;&gt;"",$AI1937="",$AL1937=""),"保留中",IF($AL1937&lt;&gt;"",IF(N($AE1937)&gt;0,"支給済","不支給"),IF($AE1937="","要確認",IF($AE1937=0,"不支給","未処理")))))</f>
        <v/>
      </c>
      <c r="AG1937" s="12" t="n"/>
      <c r="AH1937" s="11" t="n"/>
      <c r="AI1937" s="11" t="n"/>
      <c r="AJ1937" s="11" t="n"/>
      <c r="AK1937" s="14">
        <f>IF(AND($AF1937="保留中",$AH1937&lt;&gt;""),TODAY()-$AH1937,"")</f>
        <v/>
      </c>
      <c r="AL1937" s="12" t="n"/>
      <c r="AM1937" s="14">
        <f>IF($B1937="","",IF($AQ1937="","対象年月が未入力／","")&amp;IF($B1937="","",IF($AP1937="","職員マスタに未登録の職員番号／",IF($AA1937="","標準報酬月額が未登録／","")&amp;IF(AND($AQ1937&lt;&gt;"",OR(AND(INDEX(職員マスタ!$G$6:$G$405,$AP1937)&lt;&gt;"",INDEX(職員マスタ!$G$6:$G$405,$AP1937)&gt;EOMONTH($AQ1937,0)),AND(INDEX(職員マスタ!$H$6:$H$405,$AP1937)&lt;&gt;"",INDEX(職員マスタ!$H$6:$H$405,$AP1937)&lt;$AQ1937))),"対象月が時短期間外／","")&amp;IF(AND(INDEX(職員マスタ!$K$6:$K$405,$AP1937)&lt;&gt;"",N($W1937)&gt;0,INDEX(職員マスタ!$K$6:$K$405,$AP1937)&lt;&gt;$W1937),"標準報酬月額が申請書と相違（台帳"&amp;TEXT(INDEX(職員マスタ!$K$6:$K$405,$AP1937),"#,##0")&amp;"円／申請書"&amp;TEXT($W1937,"#,##0")&amp;"円）／","")&amp;IF(AND(INDEX(職員マスタ!$F$6:$F$405,$AP1937)&lt;&gt;"",$AQ1937&lt;&gt;"",INDEX(職員マスタ!$F$6:$F$405,$AP1937)&lt;$AQ1937),"対象月に子が2歳到達済／","")&amp;IF(AND($H1937&lt;&gt;"",INDEX(職員マスタ!$B$6:$B$405,$AP1937)&lt;&gt;"",SUBSTITUTE(SUBSTITUTE($H1937," ","")," ","")&lt;&gt;SUBSTITUTE(SUBSTITUTE(INDEX(職員マスタ!$B$6:$B$405,$AP1937)," ","")," ","")),"氏名がマスタと相違／","")&amp;IF(AND($Q1937&lt;&gt;"",INDEX(職員マスタ!$E$6:$E$405,$AP1937)&lt;&gt;"",$Q1937&lt;&gt;INDEX(職員マスタ!$E$6:$E$405,$AP1937)),"子の生年月日がマスタと相違／","")&amp;IF(AND($L1937&lt;&gt;"",INDEX(職員マスタ!$G$6:$G$405,$AP1937)&lt;&gt;"",$L1937&lt;&gt;INDEX(職員マスタ!$G$6:$G$405,$AP1937)),"時短開始日がマスタと相違／","")&amp;IF(AND($M1937&lt;&gt;"",INDEX(職員マスタ!$H$6:$H$405,$AP1937)&lt;&gt;"",$M1937&lt;&gt;INDEX(職員マスタ!$H$6:$H$405,$AP1937)),"時短終了日がマスタと相違／","")))&amp;IF(AND($B1937&lt;&gt;"",$E1937=""),"報酬額が未入力／","")&amp;IF(N($U1937)&gt;0,"申請書に入力エラーが残っています／","")&amp;IF(AND($B1937&lt;&gt;"",$AQ1937&lt;&gt;""),IF(COUNTIFS($B$6:$B$3005,$B1937,$C$6:$C$3005,$C1937,$D$6:$D$3005,$D1937)&gt;1,"同じ月の請求が重複しています／",""),"")&amp;IF(AND(N($E1937)&gt;0,$AB1937&lt;&gt;"",$AB1937&lt;&gt;"×",$AE1937=0,$AD1937=""),"計算額が下限以下のため不支給／",""))</f>
        <v/>
      </c>
      <c r="AN1937" s="12" t="n"/>
      <c r="AO1937" s="14">
        <f>IF($AF1937="保留中",COUNTIF($AF$6:$AF1937,"保留中"),"")</f>
        <v/>
      </c>
      <c r="AP1937" s="14">
        <f>IF($AQ1937="","",IF(SUMPRODUCT(MAX((職員マスタ!$A$6:$A$405=$B1937)*(((職員マスタ!$G$6:$G$405="")+(職員マスタ!$G$6:$G$405&lt;=EOMONTH($AQ1937,0)))&gt;0)*(((職員マスタ!$H$6:$H$405="")+(職員マスタ!$H$6:$H$405&gt;=$AQ1937))&gt;0)*(ROW(職員マスタ!$A$6:$A$405)-5)))&gt;0,SUMPRODUCT(MAX((職員マスタ!$A$6:$A$405=$B1937)*(((職員マスタ!$G$6:$G$405="")+(職員マスタ!$G$6:$G$405&lt;=EOMONTH($AQ1937,0)))&gt;0)*(((職員マスタ!$H$6:$H$405="")+(職員マスタ!$H$6:$H$405&gt;=$AQ1937))&gt;0)*(ROW(職員マスタ!$A$6:$A$405)-5))),IFERROR(MATCH($B1937,職員マスタ!$A$6:$A$405,0),"")))</f>
        <v/>
      </c>
      <c r="AQ1937" s="16">
        <f>IF(OR($B1937="",$C1937="",$D1937=""),"",DATE($C1937+2018,$D1937,1))</f>
        <v/>
      </c>
    </row>
    <row r="1938">
      <c r="A1938" s="11" t="n"/>
      <c r="B1938" s="12" t="n"/>
      <c r="C1938" s="12" t="n"/>
      <c r="D1938" s="12" t="n"/>
      <c r="E1938" s="13" t="n"/>
      <c r="F1938" s="12" t="n"/>
      <c r="G1938" s="13" t="n"/>
      <c r="H1938" s="12" t="n"/>
      <c r="I1938" s="12" t="n"/>
      <c r="J1938" s="12" t="n"/>
      <c r="K1938" s="12" t="n"/>
      <c r="L1938" s="11" t="n"/>
      <c r="M1938" s="11" t="n"/>
      <c r="N1938" s="11" t="n"/>
      <c r="O1938" s="11" t="n"/>
      <c r="P1938" s="12" t="n"/>
      <c r="Q1938" s="11" t="n"/>
      <c r="R1938" s="12" t="n"/>
      <c r="S1938" s="11" t="n"/>
      <c r="T1938" s="12" t="n"/>
      <c r="U1938" s="12" t="n"/>
      <c r="V1938" s="12" t="n"/>
      <c r="W1938" s="13" t="n"/>
      <c r="X1938" s="14">
        <f>IF($AP1938="",IF($B1938="","",$H1938),IF(INDEX(職員マスタ!$B$6:$B$405,$AP1938)="",$H1938,INDEX(職員マスタ!$B$6:$B$405,$AP1938)))</f>
        <v/>
      </c>
      <c r="Y1938" s="14">
        <f>IF($AP1938="",IF($B1938="","",$R1938),IF(INDEX(職員マスタ!$C$6:$C$405,$AP1938)="",$R1938,INDEX(職員マスタ!$C$6:$C$405,$AP1938)))</f>
        <v/>
      </c>
      <c r="Z1938" s="14">
        <f>IF($AQ1938="","","R"&amp;$C1938&amp;"."&amp;$D1938)</f>
        <v/>
      </c>
      <c r="AA1938" s="15">
        <f>IF(IF($AP1938="",FALSE,INDEX(職員マスタ!$K$6:$K$405,$AP1938)&lt;&gt;""),INDEX(職員マスタ!$K$6:$K$405,$AP1938),IF(N($W1938)&gt;0,$W1938,""))</f>
        <v/>
      </c>
      <c r="AB1938" s="14">
        <f>IF(OR($E1938="",$AA1938=""),"",IF($E1938&gt;=$AA1938,"×",IF($E1938&gt;=$AA1938*設定!$C$5,"△","○")))</f>
        <v/>
      </c>
      <c r="AC1938" s="15">
        <f>IF($AB1938="","",IF($AB1938="×",0,IF($AB1938="○",ROUNDDOWN($E1938*設定!$C$4,0),ROUNDDOWN($E1938*ROUND((9*$AA1938-9*$E1938)/(10*$E1938),4),0))))</f>
        <v/>
      </c>
      <c r="AD1938" s="13" t="n"/>
      <c r="AE1938" s="15">
        <f>IF($B1938="","",IF($AD1938&lt;&gt;"",$AD1938,IF($AC1938="","",IF($AC1938&lt;=設定!$C$3,0,$AC1938))))</f>
        <v/>
      </c>
      <c r="AF1938" s="14">
        <f>IF($B1938="","",IF(AND($AG1938&lt;&gt;"",$AI1938="",$AL1938=""),"保留中",IF($AL1938&lt;&gt;"",IF(N($AE1938)&gt;0,"支給済","不支給"),IF($AE1938="","要確認",IF($AE1938=0,"不支給","未処理")))))</f>
        <v/>
      </c>
      <c r="AG1938" s="12" t="n"/>
      <c r="AH1938" s="11" t="n"/>
      <c r="AI1938" s="11" t="n"/>
      <c r="AJ1938" s="11" t="n"/>
      <c r="AK1938" s="14">
        <f>IF(AND($AF1938="保留中",$AH1938&lt;&gt;""),TODAY()-$AH1938,"")</f>
        <v/>
      </c>
      <c r="AL1938" s="12" t="n"/>
      <c r="AM1938" s="14">
        <f>IF($B1938="","",IF($AQ1938="","対象年月が未入力／","")&amp;IF($B1938="","",IF($AP1938="","職員マスタに未登録の職員番号／",IF($AA1938="","標準報酬月額が未登録／","")&amp;IF(AND($AQ1938&lt;&gt;"",OR(AND(INDEX(職員マスタ!$G$6:$G$405,$AP1938)&lt;&gt;"",INDEX(職員マスタ!$G$6:$G$405,$AP1938)&gt;EOMONTH($AQ1938,0)),AND(INDEX(職員マスタ!$H$6:$H$405,$AP1938)&lt;&gt;"",INDEX(職員マスタ!$H$6:$H$405,$AP1938)&lt;$AQ1938))),"対象月が時短期間外／","")&amp;IF(AND(INDEX(職員マスタ!$K$6:$K$405,$AP1938)&lt;&gt;"",N($W1938)&gt;0,INDEX(職員マスタ!$K$6:$K$405,$AP1938)&lt;&gt;$W1938),"標準報酬月額が申請書と相違（台帳"&amp;TEXT(INDEX(職員マスタ!$K$6:$K$405,$AP1938),"#,##0")&amp;"円／申請書"&amp;TEXT($W1938,"#,##0")&amp;"円）／","")&amp;IF(AND(INDEX(職員マスタ!$F$6:$F$405,$AP1938)&lt;&gt;"",$AQ1938&lt;&gt;"",INDEX(職員マスタ!$F$6:$F$405,$AP1938)&lt;$AQ1938),"対象月に子が2歳到達済／","")&amp;IF(AND($H1938&lt;&gt;"",INDEX(職員マスタ!$B$6:$B$405,$AP1938)&lt;&gt;"",SUBSTITUTE(SUBSTITUTE($H1938," ","")," ","")&lt;&gt;SUBSTITUTE(SUBSTITUTE(INDEX(職員マスタ!$B$6:$B$405,$AP1938)," ","")," ","")),"氏名がマスタと相違／","")&amp;IF(AND($Q1938&lt;&gt;"",INDEX(職員マスタ!$E$6:$E$405,$AP1938)&lt;&gt;"",$Q1938&lt;&gt;INDEX(職員マスタ!$E$6:$E$405,$AP1938)),"子の生年月日がマスタと相違／","")&amp;IF(AND($L1938&lt;&gt;"",INDEX(職員マスタ!$G$6:$G$405,$AP1938)&lt;&gt;"",$L1938&lt;&gt;INDEX(職員マスタ!$G$6:$G$405,$AP1938)),"時短開始日がマスタと相違／","")&amp;IF(AND($M1938&lt;&gt;"",INDEX(職員マスタ!$H$6:$H$405,$AP1938)&lt;&gt;"",$M1938&lt;&gt;INDEX(職員マスタ!$H$6:$H$405,$AP1938)),"時短終了日がマスタと相違／","")))&amp;IF(AND($B1938&lt;&gt;"",$E1938=""),"報酬額が未入力／","")&amp;IF(N($U1938)&gt;0,"申請書に入力エラーが残っています／","")&amp;IF(AND($B1938&lt;&gt;"",$AQ1938&lt;&gt;""),IF(COUNTIFS($B$6:$B$3005,$B1938,$C$6:$C$3005,$C1938,$D$6:$D$3005,$D1938)&gt;1,"同じ月の請求が重複しています／",""),"")&amp;IF(AND(N($E1938)&gt;0,$AB1938&lt;&gt;"",$AB1938&lt;&gt;"×",$AE1938=0,$AD1938=""),"計算額が下限以下のため不支給／",""))</f>
        <v/>
      </c>
      <c r="AN1938" s="12" t="n"/>
      <c r="AO1938" s="14">
        <f>IF($AF1938="保留中",COUNTIF($AF$6:$AF1938,"保留中"),"")</f>
        <v/>
      </c>
      <c r="AP1938" s="14">
        <f>IF($AQ1938="","",IF(SUMPRODUCT(MAX((職員マスタ!$A$6:$A$405=$B1938)*(((職員マスタ!$G$6:$G$405="")+(職員マスタ!$G$6:$G$405&lt;=EOMONTH($AQ1938,0)))&gt;0)*(((職員マスタ!$H$6:$H$405="")+(職員マスタ!$H$6:$H$405&gt;=$AQ1938))&gt;0)*(ROW(職員マスタ!$A$6:$A$405)-5)))&gt;0,SUMPRODUCT(MAX((職員マスタ!$A$6:$A$405=$B1938)*(((職員マスタ!$G$6:$G$405="")+(職員マスタ!$G$6:$G$405&lt;=EOMONTH($AQ1938,0)))&gt;0)*(((職員マスタ!$H$6:$H$405="")+(職員マスタ!$H$6:$H$405&gt;=$AQ1938))&gt;0)*(ROW(職員マスタ!$A$6:$A$405)-5))),IFERROR(MATCH($B1938,職員マスタ!$A$6:$A$405,0),"")))</f>
        <v/>
      </c>
      <c r="AQ1938" s="16">
        <f>IF(OR($B1938="",$C1938="",$D1938=""),"",DATE($C1938+2018,$D1938,1))</f>
        <v/>
      </c>
    </row>
    <row r="1939">
      <c r="A1939" s="11" t="n"/>
      <c r="B1939" s="12" t="n"/>
      <c r="C1939" s="12" t="n"/>
      <c r="D1939" s="12" t="n"/>
      <c r="E1939" s="13" t="n"/>
      <c r="F1939" s="12" t="n"/>
      <c r="G1939" s="13" t="n"/>
      <c r="H1939" s="12" t="n"/>
      <c r="I1939" s="12" t="n"/>
      <c r="J1939" s="12" t="n"/>
      <c r="K1939" s="12" t="n"/>
      <c r="L1939" s="11" t="n"/>
      <c r="M1939" s="11" t="n"/>
      <c r="N1939" s="11" t="n"/>
      <c r="O1939" s="11" t="n"/>
      <c r="P1939" s="12" t="n"/>
      <c r="Q1939" s="11" t="n"/>
      <c r="R1939" s="12" t="n"/>
      <c r="S1939" s="11" t="n"/>
      <c r="T1939" s="12" t="n"/>
      <c r="U1939" s="12" t="n"/>
      <c r="V1939" s="12" t="n"/>
      <c r="W1939" s="13" t="n"/>
      <c r="X1939" s="14">
        <f>IF($AP1939="",IF($B1939="","",$H1939),IF(INDEX(職員マスタ!$B$6:$B$405,$AP1939)="",$H1939,INDEX(職員マスタ!$B$6:$B$405,$AP1939)))</f>
        <v/>
      </c>
      <c r="Y1939" s="14">
        <f>IF($AP1939="",IF($B1939="","",$R1939),IF(INDEX(職員マスタ!$C$6:$C$405,$AP1939)="",$R1939,INDEX(職員マスタ!$C$6:$C$405,$AP1939)))</f>
        <v/>
      </c>
      <c r="Z1939" s="14">
        <f>IF($AQ1939="","","R"&amp;$C1939&amp;"."&amp;$D1939)</f>
        <v/>
      </c>
      <c r="AA1939" s="15">
        <f>IF(IF($AP1939="",FALSE,INDEX(職員マスタ!$K$6:$K$405,$AP1939)&lt;&gt;""),INDEX(職員マスタ!$K$6:$K$405,$AP1939),IF(N($W1939)&gt;0,$W1939,""))</f>
        <v/>
      </c>
      <c r="AB1939" s="14">
        <f>IF(OR($E1939="",$AA1939=""),"",IF($E1939&gt;=$AA1939,"×",IF($E1939&gt;=$AA1939*設定!$C$5,"△","○")))</f>
        <v/>
      </c>
      <c r="AC1939" s="15">
        <f>IF($AB1939="","",IF($AB1939="×",0,IF($AB1939="○",ROUNDDOWN($E1939*設定!$C$4,0),ROUNDDOWN($E1939*ROUND((9*$AA1939-9*$E1939)/(10*$E1939),4),0))))</f>
        <v/>
      </c>
      <c r="AD1939" s="13" t="n"/>
      <c r="AE1939" s="15">
        <f>IF($B1939="","",IF($AD1939&lt;&gt;"",$AD1939,IF($AC1939="","",IF($AC1939&lt;=設定!$C$3,0,$AC1939))))</f>
        <v/>
      </c>
      <c r="AF1939" s="14">
        <f>IF($B1939="","",IF(AND($AG1939&lt;&gt;"",$AI1939="",$AL1939=""),"保留中",IF($AL1939&lt;&gt;"",IF(N($AE1939)&gt;0,"支給済","不支給"),IF($AE1939="","要確認",IF($AE1939=0,"不支給","未処理")))))</f>
        <v/>
      </c>
      <c r="AG1939" s="12" t="n"/>
      <c r="AH1939" s="11" t="n"/>
      <c r="AI1939" s="11" t="n"/>
      <c r="AJ1939" s="11" t="n"/>
      <c r="AK1939" s="14">
        <f>IF(AND($AF1939="保留中",$AH1939&lt;&gt;""),TODAY()-$AH1939,"")</f>
        <v/>
      </c>
      <c r="AL1939" s="12" t="n"/>
      <c r="AM1939" s="14">
        <f>IF($B1939="","",IF($AQ1939="","対象年月が未入力／","")&amp;IF($B1939="","",IF($AP1939="","職員マスタに未登録の職員番号／",IF($AA1939="","標準報酬月額が未登録／","")&amp;IF(AND($AQ1939&lt;&gt;"",OR(AND(INDEX(職員マスタ!$G$6:$G$405,$AP1939)&lt;&gt;"",INDEX(職員マスタ!$G$6:$G$405,$AP1939)&gt;EOMONTH($AQ1939,0)),AND(INDEX(職員マスタ!$H$6:$H$405,$AP1939)&lt;&gt;"",INDEX(職員マスタ!$H$6:$H$405,$AP1939)&lt;$AQ1939))),"対象月が時短期間外／","")&amp;IF(AND(INDEX(職員マスタ!$K$6:$K$405,$AP1939)&lt;&gt;"",N($W1939)&gt;0,INDEX(職員マスタ!$K$6:$K$405,$AP1939)&lt;&gt;$W1939),"標準報酬月額が申請書と相違（台帳"&amp;TEXT(INDEX(職員マスタ!$K$6:$K$405,$AP1939),"#,##0")&amp;"円／申請書"&amp;TEXT($W1939,"#,##0")&amp;"円）／","")&amp;IF(AND(INDEX(職員マスタ!$F$6:$F$405,$AP1939)&lt;&gt;"",$AQ1939&lt;&gt;"",INDEX(職員マスタ!$F$6:$F$405,$AP1939)&lt;$AQ1939),"対象月に子が2歳到達済／","")&amp;IF(AND($H1939&lt;&gt;"",INDEX(職員マスタ!$B$6:$B$405,$AP1939)&lt;&gt;"",SUBSTITUTE(SUBSTITUTE($H1939," ","")," ","")&lt;&gt;SUBSTITUTE(SUBSTITUTE(INDEX(職員マスタ!$B$6:$B$405,$AP1939)," ","")," ","")),"氏名がマスタと相違／","")&amp;IF(AND($Q1939&lt;&gt;"",INDEX(職員マスタ!$E$6:$E$405,$AP1939)&lt;&gt;"",$Q1939&lt;&gt;INDEX(職員マスタ!$E$6:$E$405,$AP1939)),"子の生年月日がマスタと相違／","")&amp;IF(AND($L1939&lt;&gt;"",INDEX(職員マスタ!$G$6:$G$405,$AP1939)&lt;&gt;"",$L1939&lt;&gt;INDEX(職員マスタ!$G$6:$G$405,$AP1939)),"時短開始日がマスタと相違／","")&amp;IF(AND($M1939&lt;&gt;"",INDEX(職員マスタ!$H$6:$H$405,$AP1939)&lt;&gt;"",$M1939&lt;&gt;INDEX(職員マスタ!$H$6:$H$405,$AP1939)),"時短終了日がマスタと相違／","")))&amp;IF(AND($B1939&lt;&gt;"",$E1939=""),"報酬額が未入力／","")&amp;IF(N($U1939)&gt;0,"申請書に入力エラーが残っています／","")&amp;IF(AND($B1939&lt;&gt;"",$AQ1939&lt;&gt;""),IF(COUNTIFS($B$6:$B$3005,$B1939,$C$6:$C$3005,$C1939,$D$6:$D$3005,$D1939)&gt;1,"同じ月の請求が重複しています／",""),"")&amp;IF(AND(N($E1939)&gt;0,$AB1939&lt;&gt;"",$AB1939&lt;&gt;"×",$AE1939=0,$AD1939=""),"計算額が下限以下のため不支給／",""))</f>
        <v/>
      </c>
      <c r="AN1939" s="12" t="n"/>
      <c r="AO1939" s="14">
        <f>IF($AF1939="保留中",COUNTIF($AF$6:$AF1939,"保留中"),"")</f>
        <v/>
      </c>
      <c r="AP1939" s="14">
        <f>IF($AQ1939="","",IF(SUMPRODUCT(MAX((職員マスタ!$A$6:$A$405=$B1939)*(((職員マスタ!$G$6:$G$405="")+(職員マスタ!$G$6:$G$405&lt;=EOMONTH($AQ1939,0)))&gt;0)*(((職員マスタ!$H$6:$H$405="")+(職員マスタ!$H$6:$H$405&gt;=$AQ1939))&gt;0)*(ROW(職員マスタ!$A$6:$A$405)-5)))&gt;0,SUMPRODUCT(MAX((職員マスタ!$A$6:$A$405=$B1939)*(((職員マスタ!$G$6:$G$405="")+(職員マスタ!$G$6:$G$405&lt;=EOMONTH($AQ1939,0)))&gt;0)*(((職員マスタ!$H$6:$H$405="")+(職員マスタ!$H$6:$H$405&gt;=$AQ1939))&gt;0)*(ROW(職員マスタ!$A$6:$A$405)-5))),IFERROR(MATCH($B1939,職員マスタ!$A$6:$A$405,0),"")))</f>
        <v/>
      </c>
      <c r="AQ1939" s="16">
        <f>IF(OR($B1939="",$C1939="",$D1939=""),"",DATE($C1939+2018,$D1939,1))</f>
        <v/>
      </c>
    </row>
    <row r="1940">
      <c r="A1940" s="11" t="n"/>
      <c r="B1940" s="12" t="n"/>
      <c r="C1940" s="12" t="n"/>
      <c r="D1940" s="12" t="n"/>
      <c r="E1940" s="13" t="n"/>
      <c r="F1940" s="12" t="n"/>
      <c r="G1940" s="13" t="n"/>
      <c r="H1940" s="12" t="n"/>
      <c r="I1940" s="12" t="n"/>
      <c r="J1940" s="12" t="n"/>
      <c r="K1940" s="12" t="n"/>
      <c r="L1940" s="11" t="n"/>
      <c r="M1940" s="11" t="n"/>
      <c r="N1940" s="11" t="n"/>
      <c r="O1940" s="11" t="n"/>
      <c r="P1940" s="12" t="n"/>
      <c r="Q1940" s="11" t="n"/>
      <c r="R1940" s="12" t="n"/>
      <c r="S1940" s="11" t="n"/>
      <c r="T1940" s="12" t="n"/>
      <c r="U1940" s="12" t="n"/>
      <c r="V1940" s="12" t="n"/>
      <c r="W1940" s="13" t="n"/>
      <c r="X1940" s="14">
        <f>IF($AP1940="",IF($B1940="","",$H1940),IF(INDEX(職員マスタ!$B$6:$B$405,$AP1940)="",$H1940,INDEX(職員マスタ!$B$6:$B$405,$AP1940)))</f>
        <v/>
      </c>
      <c r="Y1940" s="14">
        <f>IF($AP1940="",IF($B1940="","",$R1940),IF(INDEX(職員マスタ!$C$6:$C$405,$AP1940)="",$R1940,INDEX(職員マスタ!$C$6:$C$405,$AP1940)))</f>
        <v/>
      </c>
      <c r="Z1940" s="14">
        <f>IF($AQ1940="","","R"&amp;$C1940&amp;"."&amp;$D1940)</f>
        <v/>
      </c>
      <c r="AA1940" s="15">
        <f>IF(IF($AP1940="",FALSE,INDEX(職員マスタ!$K$6:$K$405,$AP1940)&lt;&gt;""),INDEX(職員マスタ!$K$6:$K$405,$AP1940),IF(N($W1940)&gt;0,$W1940,""))</f>
        <v/>
      </c>
      <c r="AB1940" s="14">
        <f>IF(OR($E1940="",$AA1940=""),"",IF($E1940&gt;=$AA1940,"×",IF($E1940&gt;=$AA1940*設定!$C$5,"△","○")))</f>
        <v/>
      </c>
      <c r="AC1940" s="15">
        <f>IF($AB1940="","",IF($AB1940="×",0,IF($AB1940="○",ROUNDDOWN($E1940*設定!$C$4,0),ROUNDDOWN($E1940*ROUND((9*$AA1940-9*$E1940)/(10*$E1940),4),0))))</f>
        <v/>
      </c>
      <c r="AD1940" s="13" t="n"/>
      <c r="AE1940" s="15">
        <f>IF($B1940="","",IF($AD1940&lt;&gt;"",$AD1940,IF($AC1940="","",IF($AC1940&lt;=設定!$C$3,0,$AC1940))))</f>
        <v/>
      </c>
      <c r="AF1940" s="14">
        <f>IF($B1940="","",IF(AND($AG1940&lt;&gt;"",$AI1940="",$AL1940=""),"保留中",IF($AL1940&lt;&gt;"",IF(N($AE1940)&gt;0,"支給済","不支給"),IF($AE1940="","要確認",IF($AE1940=0,"不支給","未処理")))))</f>
        <v/>
      </c>
      <c r="AG1940" s="12" t="n"/>
      <c r="AH1940" s="11" t="n"/>
      <c r="AI1940" s="11" t="n"/>
      <c r="AJ1940" s="11" t="n"/>
      <c r="AK1940" s="14">
        <f>IF(AND($AF1940="保留中",$AH1940&lt;&gt;""),TODAY()-$AH1940,"")</f>
        <v/>
      </c>
      <c r="AL1940" s="12" t="n"/>
      <c r="AM1940" s="14">
        <f>IF($B1940="","",IF($AQ1940="","対象年月が未入力／","")&amp;IF($B1940="","",IF($AP1940="","職員マスタに未登録の職員番号／",IF($AA1940="","標準報酬月額が未登録／","")&amp;IF(AND($AQ1940&lt;&gt;"",OR(AND(INDEX(職員マスタ!$G$6:$G$405,$AP1940)&lt;&gt;"",INDEX(職員マスタ!$G$6:$G$405,$AP1940)&gt;EOMONTH($AQ1940,0)),AND(INDEX(職員マスタ!$H$6:$H$405,$AP1940)&lt;&gt;"",INDEX(職員マスタ!$H$6:$H$405,$AP1940)&lt;$AQ1940))),"対象月が時短期間外／","")&amp;IF(AND(INDEX(職員マスタ!$K$6:$K$405,$AP1940)&lt;&gt;"",N($W1940)&gt;0,INDEX(職員マスタ!$K$6:$K$405,$AP1940)&lt;&gt;$W1940),"標準報酬月額が申請書と相違（台帳"&amp;TEXT(INDEX(職員マスタ!$K$6:$K$405,$AP1940),"#,##0")&amp;"円／申請書"&amp;TEXT($W1940,"#,##0")&amp;"円）／","")&amp;IF(AND(INDEX(職員マスタ!$F$6:$F$405,$AP1940)&lt;&gt;"",$AQ1940&lt;&gt;"",INDEX(職員マスタ!$F$6:$F$405,$AP1940)&lt;$AQ1940),"対象月に子が2歳到達済／","")&amp;IF(AND($H1940&lt;&gt;"",INDEX(職員マスタ!$B$6:$B$405,$AP1940)&lt;&gt;"",SUBSTITUTE(SUBSTITUTE($H1940," ","")," ","")&lt;&gt;SUBSTITUTE(SUBSTITUTE(INDEX(職員マスタ!$B$6:$B$405,$AP1940)," ","")," ","")),"氏名がマスタと相違／","")&amp;IF(AND($Q1940&lt;&gt;"",INDEX(職員マスタ!$E$6:$E$405,$AP1940)&lt;&gt;"",$Q1940&lt;&gt;INDEX(職員マスタ!$E$6:$E$405,$AP1940)),"子の生年月日がマスタと相違／","")&amp;IF(AND($L1940&lt;&gt;"",INDEX(職員マスタ!$G$6:$G$405,$AP1940)&lt;&gt;"",$L1940&lt;&gt;INDEX(職員マスタ!$G$6:$G$405,$AP1940)),"時短開始日がマスタと相違／","")&amp;IF(AND($M1940&lt;&gt;"",INDEX(職員マスタ!$H$6:$H$405,$AP1940)&lt;&gt;"",$M1940&lt;&gt;INDEX(職員マスタ!$H$6:$H$405,$AP1940)),"時短終了日がマスタと相違／","")))&amp;IF(AND($B1940&lt;&gt;"",$E1940=""),"報酬額が未入力／","")&amp;IF(N($U1940)&gt;0,"申請書に入力エラーが残っています／","")&amp;IF(AND($B1940&lt;&gt;"",$AQ1940&lt;&gt;""),IF(COUNTIFS($B$6:$B$3005,$B1940,$C$6:$C$3005,$C1940,$D$6:$D$3005,$D1940)&gt;1,"同じ月の請求が重複しています／",""),"")&amp;IF(AND(N($E1940)&gt;0,$AB1940&lt;&gt;"",$AB1940&lt;&gt;"×",$AE1940=0,$AD1940=""),"計算額が下限以下のため不支給／",""))</f>
        <v/>
      </c>
      <c r="AN1940" s="12" t="n"/>
      <c r="AO1940" s="14">
        <f>IF($AF1940="保留中",COUNTIF($AF$6:$AF1940,"保留中"),"")</f>
        <v/>
      </c>
      <c r="AP1940" s="14">
        <f>IF($AQ1940="","",IF(SUMPRODUCT(MAX((職員マスタ!$A$6:$A$405=$B1940)*(((職員マスタ!$G$6:$G$405="")+(職員マスタ!$G$6:$G$405&lt;=EOMONTH($AQ1940,0)))&gt;0)*(((職員マスタ!$H$6:$H$405="")+(職員マスタ!$H$6:$H$405&gt;=$AQ1940))&gt;0)*(ROW(職員マスタ!$A$6:$A$405)-5)))&gt;0,SUMPRODUCT(MAX((職員マスタ!$A$6:$A$405=$B1940)*(((職員マスタ!$G$6:$G$405="")+(職員マスタ!$G$6:$G$405&lt;=EOMONTH($AQ1940,0)))&gt;0)*(((職員マスタ!$H$6:$H$405="")+(職員マスタ!$H$6:$H$405&gt;=$AQ1940))&gt;0)*(ROW(職員マスタ!$A$6:$A$405)-5))),IFERROR(MATCH($B1940,職員マスタ!$A$6:$A$405,0),"")))</f>
        <v/>
      </c>
      <c r="AQ1940" s="16">
        <f>IF(OR($B1940="",$C1940="",$D1940=""),"",DATE($C1940+2018,$D1940,1))</f>
        <v/>
      </c>
    </row>
    <row r="1941">
      <c r="A1941" s="11" t="n"/>
      <c r="B1941" s="12" t="n"/>
      <c r="C1941" s="12" t="n"/>
      <c r="D1941" s="12" t="n"/>
      <c r="E1941" s="13" t="n"/>
      <c r="F1941" s="12" t="n"/>
      <c r="G1941" s="13" t="n"/>
      <c r="H1941" s="12" t="n"/>
      <c r="I1941" s="12" t="n"/>
      <c r="J1941" s="12" t="n"/>
      <c r="K1941" s="12" t="n"/>
      <c r="L1941" s="11" t="n"/>
      <c r="M1941" s="11" t="n"/>
      <c r="N1941" s="11" t="n"/>
      <c r="O1941" s="11" t="n"/>
      <c r="P1941" s="12" t="n"/>
      <c r="Q1941" s="11" t="n"/>
      <c r="R1941" s="12" t="n"/>
      <c r="S1941" s="11" t="n"/>
      <c r="T1941" s="12" t="n"/>
      <c r="U1941" s="12" t="n"/>
      <c r="V1941" s="12" t="n"/>
      <c r="W1941" s="13" t="n"/>
      <c r="X1941" s="14">
        <f>IF($AP1941="",IF($B1941="","",$H1941),IF(INDEX(職員マスタ!$B$6:$B$405,$AP1941)="",$H1941,INDEX(職員マスタ!$B$6:$B$405,$AP1941)))</f>
        <v/>
      </c>
      <c r="Y1941" s="14">
        <f>IF($AP1941="",IF($B1941="","",$R1941),IF(INDEX(職員マスタ!$C$6:$C$405,$AP1941)="",$R1941,INDEX(職員マスタ!$C$6:$C$405,$AP1941)))</f>
        <v/>
      </c>
      <c r="Z1941" s="14">
        <f>IF($AQ1941="","","R"&amp;$C1941&amp;"."&amp;$D1941)</f>
        <v/>
      </c>
      <c r="AA1941" s="15">
        <f>IF(IF($AP1941="",FALSE,INDEX(職員マスタ!$K$6:$K$405,$AP1941)&lt;&gt;""),INDEX(職員マスタ!$K$6:$K$405,$AP1941),IF(N($W1941)&gt;0,$W1941,""))</f>
        <v/>
      </c>
      <c r="AB1941" s="14">
        <f>IF(OR($E1941="",$AA1941=""),"",IF($E1941&gt;=$AA1941,"×",IF($E1941&gt;=$AA1941*設定!$C$5,"△","○")))</f>
        <v/>
      </c>
      <c r="AC1941" s="15">
        <f>IF($AB1941="","",IF($AB1941="×",0,IF($AB1941="○",ROUNDDOWN($E1941*設定!$C$4,0),ROUNDDOWN($E1941*ROUND((9*$AA1941-9*$E1941)/(10*$E1941),4),0))))</f>
        <v/>
      </c>
      <c r="AD1941" s="13" t="n"/>
      <c r="AE1941" s="15">
        <f>IF($B1941="","",IF($AD1941&lt;&gt;"",$AD1941,IF($AC1941="","",IF($AC1941&lt;=設定!$C$3,0,$AC1941))))</f>
        <v/>
      </c>
      <c r="AF1941" s="14">
        <f>IF($B1941="","",IF(AND($AG1941&lt;&gt;"",$AI1941="",$AL1941=""),"保留中",IF($AL1941&lt;&gt;"",IF(N($AE1941)&gt;0,"支給済","不支給"),IF($AE1941="","要確認",IF($AE1941=0,"不支給","未処理")))))</f>
        <v/>
      </c>
      <c r="AG1941" s="12" t="n"/>
      <c r="AH1941" s="11" t="n"/>
      <c r="AI1941" s="11" t="n"/>
      <c r="AJ1941" s="11" t="n"/>
      <c r="AK1941" s="14">
        <f>IF(AND($AF1941="保留中",$AH1941&lt;&gt;""),TODAY()-$AH1941,"")</f>
        <v/>
      </c>
      <c r="AL1941" s="12" t="n"/>
      <c r="AM1941" s="14">
        <f>IF($B1941="","",IF($AQ1941="","対象年月が未入力／","")&amp;IF($B1941="","",IF($AP1941="","職員マスタに未登録の職員番号／",IF($AA1941="","標準報酬月額が未登録／","")&amp;IF(AND($AQ1941&lt;&gt;"",OR(AND(INDEX(職員マスタ!$G$6:$G$405,$AP1941)&lt;&gt;"",INDEX(職員マスタ!$G$6:$G$405,$AP1941)&gt;EOMONTH($AQ1941,0)),AND(INDEX(職員マスタ!$H$6:$H$405,$AP1941)&lt;&gt;"",INDEX(職員マスタ!$H$6:$H$405,$AP1941)&lt;$AQ1941))),"対象月が時短期間外／","")&amp;IF(AND(INDEX(職員マスタ!$K$6:$K$405,$AP1941)&lt;&gt;"",N($W1941)&gt;0,INDEX(職員マスタ!$K$6:$K$405,$AP1941)&lt;&gt;$W1941),"標準報酬月額が申請書と相違（台帳"&amp;TEXT(INDEX(職員マスタ!$K$6:$K$405,$AP1941),"#,##0")&amp;"円／申請書"&amp;TEXT($W1941,"#,##0")&amp;"円）／","")&amp;IF(AND(INDEX(職員マスタ!$F$6:$F$405,$AP1941)&lt;&gt;"",$AQ1941&lt;&gt;"",INDEX(職員マスタ!$F$6:$F$405,$AP1941)&lt;$AQ1941),"対象月に子が2歳到達済／","")&amp;IF(AND($H1941&lt;&gt;"",INDEX(職員マスタ!$B$6:$B$405,$AP1941)&lt;&gt;"",SUBSTITUTE(SUBSTITUTE($H1941," ","")," ","")&lt;&gt;SUBSTITUTE(SUBSTITUTE(INDEX(職員マスタ!$B$6:$B$405,$AP1941)," ","")," ","")),"氏名がマスタと相違／","")&amp;IF(AND($Q1941&lt;&gt;"",INDEX(職員マスタ!$E$6:$E$405,$AP1941)&lt;&gt;"",$Q1941&lt;&gt;INDEX(職員マスタ!$E$6:$E$405,$AP1941)),"子の生年月日がマスタと相違／","")&amp;IF(AND($L1941&lt;&gt;"",INDEX(職員マスタ!$G$6:$G$405,$AP1941)&lt;&gt;"",$L1941&lt;&gt;INDEX(職員マスタ!$G$6:$G$405,$AP1941)),"時短開始日がマスタと相違／","")&amp;IF(AND($M1941&lt;&gt;"",INDEX(職員マスタ!$H$6:$H$405,$AP1941)&lt;&gt;"",$M1941&lt;&gt;INDEX(職員マスタ!$H$6:$H$405,$AP1941)),"時短終了日がマスタと相違／","")))&amp;IF(AND($B1941&lt;&gt;"",$E1941=""),"報酬額が未入力／","")&amp;IF(N($U1941)&gt;0,"申請書に入力エラーが残っています／","")&amp;IF(AND($B1941&lt;&gt;"",$AQ1941&lt;&gt;""),IF(COUNTIFS($B$6:$B$3005,$B1941,$C$6:$C$3005,$C1941,$D$6:$D$3005,$D1941)&gt;1,"同じ月の請求が重複しています／",""),"")&amp;IF(AND(N($E1941)&gt;0,$AB1941&lt;&gt;"",$AB1941&lt;&gt;"×",$AE1941=0,$AD1941=""),"計算額が下限以下のため不支給／",""))</f>
        <v/>
      </c>
      <c r="AN1941" s="12" t="n"/>
      <c r="AO1941" s="14">
        <f>IF($AF1941="保留中",COUNTIF($AF$6:$AF1941,"保留中"),"")</f>
        <v/>
      </c>
      <c r="AP1941" s="14">
        <f>IF($AQ1941="","",IF(SUMPRODUCT(MAX((職員マスタ!$A$6:$A$405=$B1941)*(((職員マスタ!$G$6:$G$405="")+(職員マスタ!$G$6:$G$405&lt;=EOMONTH($AQ1941,0)))&gt;0)*(((職員マスタ!$H$6:$H$405="")+(職員マスタ!$H$6:$H$405&gt;=$AQ1941))&gt;0)*(ROW(職員マスタ!$A$6:$A$405)-5)))&gt;0,SUMPRODUCT(MAX((職員マスタ!$A$6:$A$405=$B1941)*(((職員マスタ!$G$6:$G$405="")+(職員マスタ!$G$6:$G$405&lt;=EOMONTH($AQ1941,0)))&gt;0)*(((職員マスタ!$H$6:$H$405="")+(職員マスタ!$H$6:$H$405&gt;=$AQ1941))&gt;0)*(ROW(職員マスタ!$A$6:$A$405)-5))),IFERROR(MATCH($B1941,職員マスタ!$A$6:$A$405,0),"")))</f>
        <v/>
      </c>
      <c r="AQ1941" s="16">
        <f>IF(OR($B1941="",$C1941="",$D1941=""),"",DATE($C1941+2018,$D1941,1))</f>
        <v/>
      </c>
    </row>
    <row r="1942">
      <c r="A1942" s="11" t="n"/>
      <c r="B1942" s="12" t="n"/>
      <c r="C1942" s="12" t="n"/>
      <c r="D1942" s="12" t="n"/>
      <c r="E1942" s="13" t="n"/>
      <c r="F1942" s="12" t="n"/>
      <c r="G1942" s="13" t="n"/>
      <c r="H1942" s="12" t="n"/>
      <c r="I1942" s="12" t="n"/>
      <c r="J1942" s="12" t="n"/>
      <c r="K1942" s="12" t="n"/>
      <c r="L1942" s="11" t="n"/>
      <c r="M1942" s="11" t="n"/>
      <c r="N1942" s="11" t="n"/>
      <c r="O1942" s="11" t="n"/>
      <c r="P1942" s="12" t="n"/>
      <c r="Q1942" s="11" t="n"/>
      <c r="R1942" s="12" t="n"/>
      <c r="S1942" s="11" t="n"/>
      <c r="T1942" s="12" t="n"/>
      <c r="U1942" s="12" t="n"/>
      <c r="V1942" s="12" t="n"/>
      <c r="W1942" s="13" t="n"/>
      <c r="X1942" s="14">
        <f>IF($AP1942="",IF($B1942="","",$H1942),IF(INDEX(職員マスタ!$B$6:$B$405,$AP1942)="",$H1942,INDEX(職員マスタ!$B$6:$B$405,$AP1942)))</f>
        <v/>
      </c>
      <c r="Y1942" s="14">
        <f>IF($AP1942="",IF($B1942="","",$R1942),IF(INDEX(職員マスタ!$C$6:$C$405,$AP1942)="",$R1942,INDEX(職員マスタ!$C$6:$C$405,$AP1942)))</f>
        <v/>
      </c>
      <c r="Z1942" s="14">
        <f>IF($AQ1942="","","R"&amp;$C1942&amp;"."&amp;$D1942)</f>
        <v/>
      </c>
      <c r="AA1942" s="15">
        <f>IF(IF($AP1942="",FALSE,INDEX(職員マスタ!$K$6:$K$405,$AP1942)&lt;&gt;""),INDEX(職員マスタ!$K$6:$K$405,$AP1942),IF(N($W1942)&gt;0,$W1942,""))</f>
        <v/>
      </c>
      <c r="AB1942" s="14">
        <f>IF(OR($E1942="",$AA1942=""),"",IF($E1942&gt;=$AA1942,"×",IF($E1942&gt;=$AA1942*設定!$C$5,"△","○")))</f>
        <v/>
      </c>
      <c r="AC1942" s="15">
        <f>IF($AB1942="","",IF($AB1942="×",0,IF($AB1942="○",ROUNDDOWN($E1942*設定!$C$4,0),ROUNDDOWN($E1942*ROUND((9*$AA1942-9*$E1942)/(10*$E1942),4),0))))</f>
        <v/>
      </c>
      <c r="AD1942" s="13" t="n"/>
      <c r="AE1942" s="15">
        <f>IF($B1942="","",IF($AD1942&lt;&gt;"",$AD1942,IF($AC1942="","",IF($AC1942&lt;=設定!$C$3,0,$AC1942))))</f>
        <v/>
      </c>
      <c r="AF1942" s="14">
        <f>IF($B1942="","",IF(AND($AG1942&lt;&gt;"",$AI1942="",$AL1942=""),"保留中",IF($AL1942&lt;&gt;"",IF(N($AE1942)&gt;0,"支給済","不支給"),IF($AE1942="","要確認",IF($AE1942=0,"不支給","未処理")))))</f>
        <v/>
      </c>
      <c r="AG1942" s="12" t="n"/>
      <c r="AH1942" s="11" t="n"/>
      <c r="AI1942" s="11" t="n"/>
      <c r="AJ1942" s="11" t="n"/>
      <c r="AK1942" s="14">
        <f>IF(AND($AF1942="保留中",$AH1942&lt;&gt;""),TODAY()-$AH1942,"")</f>
        <v/>
      </c>
      <c r="AL1942" s="12" t="n"/>
      <c r="AM1942" s="14">
        <f>IF($B1942="","",IF($AQ1942="","対象年月が未入力／","")&amp;IF($B1942="","",IF($AP1942="","職員マスタに未登録の職員番号／",IF($AA1942="","標準報酬月額が未登録／","")&amp;IF(AND($AQ1942&lt;&gt;"",OR(AND(INDEX(職員マスタ!$G$6:$G$405,$AP1942)&lt;&gt;"",INDEX(職員マスタ!$G$6:$G$405,$AP1942)&gt;EOMONTH($AQ1942,0)),AND(INDEX(職員マスタ!$H$6:$H$405,$AP1942)&lt;&gt;"",INDEX(職員マスタ!$H$6:$H$405,$AP1942)&lt;$AQ1942))),"対象月が時短期間外／","")&amp;IF(AND(INDEX(職員マスタ!$K$6:$K$405,$AP1942)&lt;&gt;"",N($W1942)&gt;0,INDEX(職員マスタ!$K$6:$K$405,$AP1942)&lt;&gt;$W1942),"標準報酬月額が申請書と相違（台帳"&amp;TEXT(INDEX(職員マスタ!$K$6:$K$405,$AP1942),"#,##0")&amp;"円／申請書"&amp;TEXT($W1942,"#,##0")&amp;"円）／","")&amp;IF(AND(INDEX(職員マスタ!$F$6:$F$405,$AP1942)&lt;&gt;"",$AQ1942&lt;&gt;"",INDEX(職員マスタ!$F$6:$F$405,$AP1942)&lt;$AQ1942),"対象月に子が2歳到達済／","")&amp;IF(AND($H1942&lt;&gt;"",INDEX(職員マスタ!$B$6:$B$405,$AP1942)&lt;&gt;"",SUBSTITUTE(SUBSTITUTE($H1942," ","")," ","")&lt;&gt;SUBSTITUTE(SUBSTITUTE(INDEX(職員マスタ!$B$6:$B$405,$AP1942)," ","")," ","")),"氏名がマスタと相違／","")&amp;IF(AND($Q1942&lt;&gt;"",INDEX(職員マスタ!$E$6:$E$405,$AP1942)&lt;&gt;"",$Q1942&lt;&gt;INDEX(職員マスタ!$E$6:$E$405,$AP1942)),"子の生年月日がマスタと相違／","")&amp;IF(AND($L1942&lt;&gt;"",INDEX(職員マスタ!$G$6:$G$405,$AP1942)&lt;&gt;"",$L1942&lt;&gt;INDEX(職員マスタ!$G$6:$G$405,$AP1942)),"時短開始日がマスタと相違／","")&amp;IF(AND($M1942&lt;&gt;"",INDEX(職員マスタ!$H$6:$H$405,$AP1942)&lt;&gt;"",$M1942&lt;&gt;INDEX(職員マスタ!$H$6:$H$405,$AP1942)),"時短終了日がマスタと相違／","")))&amp;IF(AND($B1942&lt;&gt;"",$E1942=""),"報酬額が未入力／","")&amp;IF(N($U1942)&gt;0,"申請書に入力エラーが残っています／","")&amp;IF(AND($B1942&lt;&gt;"",$AQ1942&lt;&gt;""),IF(COUNTIFS($B$6:$B$3005,$B1942,$C$6:$C$3005,$C1942,$D$6:$D$3005,$D1942)&gt;1,"同じ月の請求が重複しています／",""),"")&amp;IF(AND(N($E1942)&gt;0,$AB1942&lt;&gt;"",$AB1942&lt;&gt;"×",$AE1942=0,$AD1942=""),"計算額が下限以下のため不支給／",""))</f>
        <v/>
      </c>
      <c r="AN1942" s="12" t="n"/>
      <c r="AO1942" s="14">
        <f>IF($AF1942="保留中",COUNTIF($AF$6:$AF1942,"保留中"),"")</f>
        <v/>
      </c>
      <c r="AP1942" s="14">
        <f>IF($AQ1942="","",IF(SUMPRODUCT(MAX((職員マスタ!$A$6:$A$405=$B1942)*(((職員マスタ!$G$6:$G$405="")+(職員マスタ!$G$6:$G$405&lt;=EOMONTH($AQ1942,0)))&gt;0)*(((職員マスタ!$H$6:$H$405="")+(職員マスタ!$H$6:$H$405&gt;=$AQ1942))&gt;0)*(ROW(職員マスタ!$A$6:$A$405)-5)))&gt;0,SUMPRODUCT(MAX((職員マスタ!$A$6:$A$405=$B1942)*(((職員マスタ!$G$6:$G$405="")+(職員マスタ!$G$6:$G$405&lt;=EOMONTH($AQ1942,0)))&gt;0)*(((職員マスタ!$H$6:$H$405="")+(職員マスタ!$H$6:$H$405&gt;=$AQ1942))&gt;0)*(ROW(職員マスタ!$A$6:$A$405)-5))),IFERROR(MATCH($B1942,職員マスタ!$A$6:$A$405,0),"")))</f>
        <v/>
      </c>
      <c r="AQ1942" s="16">
        <f>IF(OR($B1942="",$C1942="",$D1942=""),"",DATE($C1942+2018,$D1942,1))</f>
        <v/>
      </c>
    </row>
    <row r="1943">
      <c r="A1943" s="11" t="n"/>
      <c r="B1943" s="12" t="n"/>
      <c r="C1943" s="12" t="n"/>
      <c r="D1943" s="12" t="n"/>
      <c r="E1943" s="13" t="n"/>
      <c r="F1943" s="12" t="n"/>
      <c r="G1943" s="13" t="n"/>
      <c r="H1943" s="12" t="n"/>
      <c r="I1943" s="12" t="n"/>
      <c r="J1943" s="12" t="n"/>
      <c r="K1943" s="12" t="n"/>
      <c r="L1943" s="11" t="n"/>
      <c r="M1943" s="11" t="n"/>
      <c r="N1943" s="11" t="n"/>
      <c r="O1943" s="11" t="n"/>
      <c r="P1943" s="12" t="n"/>
      <c r="Q1943" s="11" t="n"/>
      <c r="R1943" s="12" t="n"/>
      <c r="S1943" s="11" t="n"/>
      <c r="T1943" s="12" t="n"/>
      <c r="U1943" s="12" t="n"/>
      <c r="V1943" s="12" t="n"/>
      <c r="W1943" s="13" t="n"/>
      <c r="X1943" s="14">
        <f>IF($AP1943="",IF($B1943="","",$H1943),IF(INDEX(職員マスタ!$B$6:$B$405,$AP1943)="",$H1943,INDEX(職員マスタ!$B$6:$B$405,$AP1943)))</f>
        <v/>
      </c>
      <c r="Y1943" s="14">
        <f>IF($AP1943="",IF($B1943="","",$R1943),IF(INDEX(職員マスタ!$C$6:$C$405,$AP1943)="",$R1943,INDEX(職員マスタ!$C$6:$C$405,$AP1943)))</f>
        <v/>
      </c>
      <c r="Z1943" s="14">
        <f>IF($AQ1943="","","R"&amp;$C1943&amp;"."&amp;$D1943)</f>
        <v/>
      </c>
      <c r="AA1943" s="15">
        <f>IF(IF($AP1943="",FALSE,INDEX(職員マスタ!$K$6:$K$405,$AP1943)&lt;&gt;""),INDEX(職員マスタ!$K$6:$K$405,$AP1943),IF(N($W1943)&gt;0,$W1943,""))</f>
        <v/>
      </c>
      <c r="AB1943" s="14">
        <f>IF(OR($E1943="",$AA1943=""),"",IF($E1943&gt;=$AA1943,"×",IF($E1943&gt;=$AA1943*設定!$C$5,"△","○")))</f>
        <v/>
      </c>
      <c r="AC1943" s="15">
        <f>IF($AB1943="","",IF($AB1943="×",0,IF($AB1943="○",ROUNDDOWN($E1943*設定!$C$4,0),ROUNDDOWN($E1943*ROUND((9*$AA1943-9*$E1943)/(10*$E1943),4),0))))</f>
        <v/>
      </c>
      <c r="AD1943" s="13" t="n"/>
      <c r="AE1943" s="15">
        <f>IF($B1943="","",IF($AD1943&lt;&gt;"",$AD1943,IF($AC1943="","",IF($AC1943&lt;=設定!$C$3,0,$AC1943))))</f>
        <v/>
      </c>
      <c r="AF1943" s="14">
        <f>IF($B1943="","",IF(AND($AG1943&lt;&gt;"",$AI1943="",$AL1943=""),"保留中",IF($AL1943&lt;&gt;"",IF(N($AE1943)&gt;0,"支給済","不支給"),IF($AE1943="","要確認",IF($AE1943=0,"不支給","未処理")))))</f>
        <v/>
      </c>
      <c r="AG1943" s="12" t="n"/>
      <c r="AH1943" s="11" t="n"/>
      <c r="AI1943" s="11" t="n"/>
      <c r="AJ1943" s="11" t="n"/>
      <c r="AK1943" s="14">
        <f>IF(AND($AF1943="保留中",$AH1943&lt;&gt;""),TODAY()-$AH1943,"")</f>
        <v/>
      </c>
      <c r="AL1943" s="12" t="n"/>
      <c r="AM1943" s="14">
        <f>IF($B1943="","",IF($AQ1943="","対象年月が未入力／","")&amp;IF($B1943="","",IF($AP1943="","職員マスタに未登録の職員番号／",IF($AA1943="","標準報酬月額が未登録／","")&amp;IF(AND($AQ1943&lt;&gt;"",OR(AND(INDEX(職員マスタ!$G$6:$G$405,$AP1943)&lt;&gt;"",INDEX(職員マスタ!$G$6:$G$405,$AP1943)&gt;EOMONTH($AQ1943,0)),AND(INDEX(職員マスタ!$H$6:$H$405,$AP1943)&lt;&gt;"",INDEX(職員マスタ!$H$6:$H$405,$AP1943)&lt;$AQ1943))),"対象月が時短期間外／","")&amp;IF(AND(INDEX(職員マスタ!$K$6:$K$405,$AP1943)&lt;&gt;"",N($W1943)&gt;0,INDEX(職員マスタ!$K$6:$K$405,$AP1943)&lt;&gt;$W1943),"標準報酬月額が申請書と相違（台帳"&amp;TEXT(INDEX(職員マスタ!$K$6:$K$405,$AP1943),"#,##0")&amp;"円／申請書"&amp;TEXT($W1943,"#,##0")&amp;"円）／","")&amp;IF(AND(INDEX(職員マスタ!$F$6:$F$405,$AP1943)&lt;&gt;"",$AQ1943&lt;&gt;"",INDEX(職員マスタ!$F$6:$F$405,$AP1943)&lt;$AQ1943),"対象月に子が2歳到達済／","")&amp;IF(AND($H1943&lt;&gt;"",INDEX(職員マスタ!$B$6:$B$405,$AP1943)&lt;&gt;"",SUBSTITUTE(SUBSTITUTE($H1943," ","")," ","")&lt;&gt;SUBSTITUTE(SUBSTITUTE(INDEX(職員マスタ!$B$6:$B$405,$AP1943)," ","")," ","")),"氏名がマスタと相違／","")&amp;IF(AND($Q1943&lt;&gt;"",INDEX(職員マスタ!$E$6:$E$405,$AP1943)&lt;&gt;"",$Q1943&lt;&gt;INDEX(職員マスタ!$E$6:$E$405,$AP1943)),"子の生年月日がマスタと相違／","")&amp;IF(AND($L1943&lt;&gt;"",INDEX(職員マスタ!$G$6:$G$405,$AP1943)&lt;&gt;"",$L1943&lt;&gt;INDEX(職員マスタ!$G$6:$G$405,$AP1943)),"時短開始日がマスタと相違／","")&amp;IF(AND($M1943&lt;&gt;"",INDEX(職員マスタ!$H$6:$H$405,$AP1943)&lt;&gt;"",$M1943&lt;&gt;INDEX(職員マスタ!$H$6:$H$405,$AP1943)),"時短終了日がマスタと相違／","")))&amp;IF(AND($B1943&lt;&gt;"",$E1943=""),"報酬額が未入力／","")&amp;IF(N($U1943)&gt;0,"申請書に入力エラーが残っています／","")&amp;IF(AND($B1943&lt;&gt;"",$AQ1943&lt;&gt;""),IF(COUNTIFS($B$6:$B$3005,$B1943,$C$6:$C$3005,$C1943,$D$6:$D$3005,$D1943)&gt;1,"同じ月の請求が重複しています／",""),"")&amp;IF(AND(N($E1943)&gt;0,$AB1943&lt;&gt;"",$AB1943&lt;&gt;"×",$AE1943=0,$AD1943=""),"計算額が下限以下のため不支給／",""))</f>
        <v/>
      </c>
      <c r="AN1943" s="12" t="n"/>
      <c r="AO1943" s="14">
        <f>IF($AF1943="保留中",COUNTIF($AF$6:$AF1943,"保留中"),"")</f>
        <v/>
      </c>
      <c r="AP1943" s="14">
        <f>IF($AQ1943="","",IF(SUMPRODUCT(MAX((職員マスタ!$A$6:$A$405=$B1943)*(((職員マスタ!$G$6:$G$405="")+(職員マスタ!$G$6:$G$405&lt;=EOMONTH($AQ1943,0)))&gt;0)*(((職員マスタ!$H$6:$H$405="")+(職員マスタ!$H$6:$H$405&gt;=$AQ1943))&gt;0)*(ROW(職員マスタ!$A$6:$A$405)-5)))&gt;0,SUMPRODUCT(MAX((職員マスタ!$A$6:$A$405=$B1943)*(((職員マスタ!$G$6:$G$405="")+(職員マスタ!$G$6:$G$405&lt;=EOMONTH($AQ1943,0)))&gt;0)*(((職員マスタ!$H$6:$H$405="")+(職員マスタ!$H$6:$H$405&gt;=$AQ1943))&gt;0)*(ROW(職員マスタ!$A$6:$A$405)-5))),IFERROR(MATCH($B1943,職員マスタ!$A$6:$A$405,0),"")))</f>
        <v/>
      </c>
      <c r="AQ1943" s="16">
        <f>IF(OR($B1943="",$C1943="",$D1943=""),"",DATE($C1943+2018,$D1943,1))</f>
        <v/>
      </c>
    </row>
    <row r="1944">
      <c r="A1944" s="11" t="n"/>
      <c r="B1944" s="12" t="n"/>
      <c r="C1944" s="12" t="n"/>
      <c r="D1944" s="12" t="n"/>
      <c r="E1944" s="13" t="n"/>
      <c r="F1944" s="12" t="n"/>
      <c r="G1944" s="13" t="n"/>
      <c r="H1944" s="12" t="n"/>
      <c r="I1944" s="12" t="n"/>
      <c r="J1944" s="12" t="n"/>
      <c r="K1944" s="12" t="n"/>
      <c r="L1944" s="11" t="n"/>
      <c r="M1944" s="11" t="n"/>
      <c r="N1944" s="11" t="n"/>
      <c r="O1944" s="11" t="n"/>
      <c r="P1944" s="12" t="n"/>
      <c r="Q1944" s="11" t="n"/>
      <c r="R1944" s="12" t="n"/>
      <c r="S1944" s="11" t="n"/>
      <c r="T1944" s="12" t="n"/>
      <c r="U1944" s="12" t="n"/>
      <c r="V1944" s="12" t="n"/>
      <c r="W1944" s="13" t="n"/>
      <c r="X1944" s="14">
        <f>IF($AP1944="",IF($B1944="","",$H1944),IF(INDEX(職員マスタ!$B$6:$B$405,$AP1944)="",$H1944,INDEX(職員マスタ!$B$6:$B$405,$AP1944)))</f>
        <v/>
      </c>
      <c r="Y1944" s="14">
        <f>IF($AP1944="",IF($B1944="","",$R1944),IF(INDEX(職員マスタ!$C$6:$C$405,$AP1944)="",$R1944,INDEX(職員マスタ!$C$6:$C$405,$AP1944)))</f>
        <v/>
      </c>
      <c r="Z1944" s="14">
        <f>IF($AQ1944="","","R"&amp;$C1944&amp;"."&amp;$D1944)</f>
        <v/>
      </c>
      <c r="AA1944" s="15">
        <f>IF(IF($AP1944="",FALSE,INDEX(職員マスタ!$K$6:$K$405,$AP1944)&lt;&gt;""),INDEX(職員マスタ!$K$6:$K$405,$AP1944),IF(N($W1944)&gt;0,$W1944,""))</f>
        <v/>
      </c>
      <c r="AB1944" s="14">
        <f>IF(OR($E1944="",$AA1944=""),"",IF($E1944&gt;=$AA1944,"×",IF($E1944&gt;=$AA1944*設定!$C$5,"△","○")))</f>
        <v/>
      </c>
      <c r="AC1944" s="15">
        <f>IF($AB1944="","",IF($AB1944="×",0,IF($AB1944="○",ROUNDDOWN($E1944*設定!$C$4,0),ROUNDDOWN($E1944*ROUND((9*$AA1944-9*$E1944)/(10*$E1944),4),0))))</f>
        <v/>
      </c>
      <c r="AD1944" s="13" t="n"/>
      <c r="AE1944" s="15">
        <f>IF($B1944="","",IF($AD1944&lt;&gt;"",$AD1944,IF($AC1944="","",IF($AC1944&lt;=設定!$C$3,0,$AC1944))))</f>
        <v/>
      </c>
      <c r="AF1944" s="14">
        <f>IF($B1944="","",IF(AND($AG1944&lt;&gt;"",$AI1944="",$AL1944=""),"保留中",IF($AL1944&lt;&gt;"",IF(N($AE1944)&gt;0,"支給済","不支給"),IF($AE1944="","要確認",IF($AE1944=0,"不支給","未処理")))))</f>
        <v/>
      </c>
      <c r="AG1944" s="12" t="n"/>
      <c r="AH1944" s="11" t="n"/>
      <c r="AI1944" s="11" t="n"/>
      <c r="AJ1944" s="11" t="n"/>
      <c r="AK1944" s="14">
        <f>IF(AND($AF1944="保留中",$AH1944&lt;&gt;""),TODAY()-$AH1944,"")</f>
        <v/>
      </c>
      <c r="AL1944" s="12" t="n"/>
      <c r="AM1944" s="14">
        <f>IF($B1944="","",IF($AQ1944="","対象年月が未入力／","")&amp;IF($B1944="","",IF($AP1944="","職員マスタに未登録の職員番号／",IF($AA1944="","標準報酬月額が未登録／","")&amp;IF(AND($AQ1944&lt;&gt;"",OR(AND(INDEX(職員マスタ!$G$6:$G$405,$AP1944)&lt;&gt;"",INDEX(職員マスタ!$G$6:$G$405,$AP1944)&gt;EOMONTH($AQ1944,0)),AND(INDEX(職員マスタ!$H$6:$H$405,$AP1944)&lt;&gt;"",INDEX(職員マスタ!$H$6:$H$405,$AP1944)&lt;$AQ1944))),"対象月が時短期間外／","")&amp;IF(AND(INDEX(職員マスタ!$K$6:$K$405,$AP1944)&lt;&gt;"",N($W1944)&gt;0,INDEX(職員マスタ!$K$6:$K$405,$AP1944)&lt;&gt;$W1944),"標準報酬月額が申請書と相違（台帳"&amp;TEXT(INDEX(職員マスタ!$K$6:$K$405,$AP1944),"#,##0")&amp;"円／申請書"&amp;TEXT($W1944,"#,##0")&amp;"円）／","")&amp;IF(AND(INDEX(職員マスタ!$F$6:$F$405,$AP1944)&lt;&gt;"",$AQ1944&lt;&gt;"",INDEX(職員マスタ!$F$6:$F$405,$AP1944)&lt;$AQ1944),"対象月に子が2歳到達済／","")&amp;IF(AND($H1944&lt;&gt;"",INDEX(職員マスタ!$B$6:$B$405,$AP1944)&lt;&gt;"",SUBSTITUTE(SUBSTITUTE($H1944," ","")," ","")&lt;&gt;SUBSTITUTE(SUBSTITUTE(INDEX(職員マスタ!$B$6:$B$405,$AP1944)," ","")," ","")),"氏名がマスタと相違／","")&amp;IF(AND($Q1944&lt;&gt;"",INDEX(職員マスタ!$E$6:$E$405,$AP1944)&lt;&gt;"",$Q1944&lt;&gt;INDEX(職員マスタ!$E$6:$E$405,$AP1944)),"子の生年月日がマスタと相違／","")&amp;IF(AND($L1944&lt;&gt;"",INDEX(職員マスタ!$G$6:$G$405,$AP1944)&lt;&gt;"",$L1944&lt;&gt;INDEX(職員マスタ!$G$6:$G$405,$AP1944)),"時短開始日がマスタと相違／","")&amp;IF(AND($M1944&lt;&gt;"",INDEX(職員マスタ!$H$6:$H$405,$AP1944)&lt;&gt;"",$M1944&lt;&gt;INDEX(職員マスタ!$H$6:$H$405,$AP1944)),"時短終了日がマスタと相違／","")))&amp;IF(AND($B1944&lt;&gt;"",$E1944=""),"報酬額が未入力／","")&amp;IF(N($U1944)&gt;0,"申請書に入力エラーが残っています／","")&amp;IF(AND($B1944&lt;&gt;"",$AQ1944&lt;&gt;""),IF(COUNTIFS($B$6:$B$3005,$B1944,$C$6:$C$3005,$C1944,$D$6:$D$3005,$D1944)&gt;1,"同じ月の請求が重複しています／",""),"")&amp;IF(AND(N($E1944)&gt;0,$AB1944&lt;&gt;"",$AB1944&lt;&gt;"×",$AE1944=0,$AD1944=""),"計算額が下限以下のため不支給／",""))</f>
        <v/>
      </c>
      <c r="AN1944" s="12" t="n"/>
      <c r="AO1944" s="14">
        <f>IF($AF1944="保留中",COUNTIF($AF$6:$AF1944,"保留中"),"")</f>
        <v/>
      </c>
      <c r="AP1944" s="14">
        <f>IF($AQ1944="","",IF(SUMPRODUCT(MAX((職員マスタ!$A$6:$A$405=$B1944)*(((職員マスタ!$G$6:$G$405="")+(職員マスタ!$G$6:$G$405&lt;=EOMONTH($AQ1944,0)))&gt;0)*(((職員マスタ!$H$6:$H$405="")+(職員マスタ!$H$6:$H$405&gt;=$AQ1944))&gt;0)*(ROW(職員マスタ!$A$6:$A$405)-5)))&gt;0,SUMPRODUCT(MAX((職員マスタ!$A$6:$A$405=$B1944)*(((職員マスタ!$G$6:$G$405="")+(職員マスタ!$G$6:$G$405&lt;=EOMONTH($AQ1944,0)))&gt;0)*(((職員マスタ!$H$6:$H$405="")+(職員マスタ!$H$6:$H$405&gt;=$AQ1944))&gt;0)*(ROW(職員マスタ!$A$6:$A$405)-5))),IFERROR(MATCH($B1944,職員マスタ!$A$6:$A$405,0),"")))</f>
        <v/>
      </c>
      <c r="AQ1944" s="16">
        <f>IF(OR($B1944="",$C1944="",$D1944=""),"",DATE($C1944+2018,$D1944,1))</f>
        <v/>
      </c>
    </row>
    <row r="1945">
      <c r="A1945" s="11" t="n"/>
      <c r="B1945" s="12" t="n"/>
      <c r="C1945" s="12" t="n"/>
      <c r="D1945" s="12" t="n"/>
      <c r="E1945" s="13" t="n"/>
      <c r="F1945" s="12" t="n"/>
      <c r="G1945" s="13" t="n"/>
      <c r="H1945" s="12" t="n"/>
      <c r="I1945" s="12" t="n"/>
      <c r="J1945" s="12" t="n"/>
      <c r="K1945" s="12" t="n"/>
      <c r="L1945" s="11" t="n"/>
      <c r="M1945" s="11" t="n"/>
      <c r="N1945" s="11" t="n"/>
      <c r="O1945" s="11" t="n"/>
      <c r="P1945" s="12" t="n"/>
      <c r="Q1945" s="11" t="n"/>
      <c r="R1945" s="12" t="n"/>
      <c r="S1945" s="11" t="n"/>
      <c r="T1945" s="12" t="n"/>
      <c r="U1945" s="12" t="n"/>
      <c r="V1945" s="12" t="n"/>
      <c r="W1945" s="13" t="n"/>
      <c r="X1945" s="14">
        <f>IF($AP1945="",IF($B1945="","",$H1945),IF(INDEX(職員マスタ!$B$6:$B$405,$AP1945)="",$H1945,INDEX(職員マスタ!$B$6:$B$405,$AP1945)))</f>
        <v/>
      </c>
      <c r="Y1945" s="14">
        <f>IF($AP1945="",IF($B1945="","",$R1945),IF(INDEX(職員マスタ!$C$6:$C$405,$AP1945)="",$R1945,INDEX(職員マスタ!$C$6:$C$405,$AP1945)))</f>
        <v/>
      </c>
      <c r="Z1945" s="14">
        <f>IF($AQ1945="","","R"&amp;$C1945&amp;"."&amp;$D1945)</f>
        <v/>
      </c>
      <c r="AA1945" s="15">
        <f>IF(IF($AP1945="",FALSE,INDEX(職員マスタ!$K$6:$K$405,$AP1945)&lt;&gt;""),INDEX(職員マスタ!$K$6:$K$405,$AP1945),IF(N($W1945)&gt;0,$W1945,""))</f>
        <v/>
      </c>
      <c r="AB1945" s="14">
        <f>IF(OR($E1945="",$AA1945=""),"",IF($E1945&gt;=$AA1945,"×",IF($E1945&gt;=$AA1945*設定!$C$5,"△","○")))</f>
        <v/>
      </c>
      <c r="AC1945" s="15">
        <f>IF($AB1945="","",IF($AB1945="×",0,IF($AB1945="○",ROUNDDOWN($E1945*設定!$C$4,0),ROUNDDOWN($E1945*ROUND((9*$AA1945-9*$E1945)/(10*$E1945),4),0))))</f>
        <v/>
      </c>
      <c r="AD1945" s="13" t="n"/>
      <c r="AE1945" s="15">
        <f>IF($B1945="","",IF($AD1945&lt;&gt;"",$AD1945,IF($AC1945="","",IF($AC1945&lt;=設定!$C$3,0,$AC1945))))</f>
        <v/>
      </c>
      <c r="AF1945" s="14">
        <f>IF($B1945="","",IF(AND($AG1945&lt;&gt;"",$AI1945="",$AL1945=""),"保留中",IF($AL1945&lt;&gt;"",IF(N($AE1945)&gt;0,"支給済","不支給"),IF($AE1945="","要確認",IF($AE1945=0,"不支給","未処理")))))</f>
        <v/>
      </c>
      <c r="AG1945" s="12" t="n"/>
      <c r="AH1945" s="11" t="n"/>
      <c r="AI1945" s="11" t="n"/>
      <c r="AJ1945" s="11" t="n"/>
      <c r="AK1945" s="14">
        <f>IF(AND($AF1945="保留中",$AH1945&lt;&gt;""),TODAY()-$AH1945,"")</f>
        <v/>
      </c>
      <c r="AL1945" s="12" t="n"/>
      <c r="AM1945" s="14">
        <f>IF($B1945="","",IF($AQ1945="","対象年月が未入力／","")&amp;IF($B1945="","",IF($AP1945="","職員マスタに未登録の職員番号／",IF($AA1945="","標準報酬月額が未登録／","")&amp;IF(AND($AQ1945&lt;&gt;"",OR(AND(INDEX(職員マスタ!$G$6:$G$405,$AP1945)&lt;&gt;"",INDEX(職員マスタ!$G$6:$G$405,$AP1945)&gt;EOMONTH($AQ1945,0)),AND(INDEX(職員マスタ!$H$6:$H$405,$AP1945)&lt;&gt;"",INDEX(職員マスタ!$H$6:$H$405,$AP1945)&lt;$AQ1945))),"対象月が時短期間外／","")&amp;IF(AND(INDEX(職員マスタ!$K$6:$K$405,$AP1945)&lt;&gt;"",N($W1945)&gt;0,INDEX(職員マスタ!$K$6:$K$405,$AP1945)&lt;&gt;$W1945),"標準報酬月額が申請書と相違（台帳"&amp;TEXT(INDEX(職員マスタ!$K$6:$K$405,$AP1945),"#,##0")&amp;"円／申請書"&amp;TEXT($W1945,"#,##0")&amp;"円）／","")&amp;IF(AND(INDEX(職員マスタ!$F$6:$F$405,$AP1945)&lt;&gt;"",$AQ1945&lt;&gt;"",INDEX(職員マスタ!$F$6:$F$405,$AP1945)&lt;$AQ1945),"対象月に子が2歳到達済／","")&amp;IF(AND($H1945&lt;&gt;"",INDEX(職員マスタ!$B$6:$B$405,$AP1945)&lt;&gt;"",SUBSTITUTE(SUBSTITUTE($H1945," ","")," ","")&lt;&gt;SUBSTITUTE(SUBSTITUTE(INDEX(職員マスタ!$B$6:$B$405,$AP1945)," ","")," ","")),"氏名がマスタと相違／","")&amp;IF(AND($Q1945&lt;&gt;"",INDEX(職員マスタ!$E$6:$E$405,$AP1945)&lt;&gt;"",$Q1945&lt;&gt;INDEX(職員マスタ!$E$6:$E$405,$AP1945)),"子の生年月日がマスタと相違／","")&amp;IF(AND($L1945&lt;&gt;"",INDEX(職員マスタ!$G$6:$G$405,$AP1945)&lt;&gt;"",$L1945&lt;&gt;INDEX(職員マスタ!$G$6:$G$405,$AP1945)),"時短開始日がマスタと相違／","")&amp;IF(AND($M1945&lt;&gt;"",INDEX(職員マスタ!$H$6:$H$405,$AP1945)&lt;&gt;"",$M1945&lt;&gt;INDEX(職員マスタ!$H$6:$H$405,$AP1945)),"時短終了日がマスタと相違／","")))&amp;IF(AND($B1945&lt;&gt;"",$E1945=""),"報酬額が未入力／","")&amp;IF(N($U1945)&gt;0,"申請書に入力エラーが残っています／","")&amp;IF(AND($B1945&lt;&gt;"",$AQ1945&lt;&gt;""),IF(COUNTIFS($B$6:$B$3005,$B1945,$C$6:$C$3005,$C1945,$D$6:$D$3005,$D1945)&gt;1,"同じ月の請求が重複しています／",""),"")&amp;IF(AND(N($E1945)&gt;0,$AB1945&lt;&gt;"",$AB1945&lt;&gt;"×",$AE1945=0,$AD1945=""),"計算額が下限以下のため不支給／",""))</f>
        <v/>
      </c>
      <c r="AN1945" s="12" t="n"/>
      <c r="AO1945" s="14">
        <f>IF($AF1945="保留中",COUNTIF($AF$6:$AF1945,"保留中"),"")</f>
        <v/>
      </c>
      <c r="AP1945" s="14">
        <f>IF($AQ1945="","",IF(SUMPRODUCT(MAX((職員マスタ!$A$6:$A$405=$B1945)*(((職員マスタ!$G$6:$G$405="")+(職員マスタ!$G$6:$G$405&lt;=EOMONTH($AQ1945,0)))&gt;0)*(((職員マスタ!$H$6:$H$405="")+(職員マスタ!$H$6:$H$405&gt;=$AQ1945))&gt;0)*(ROW(職員マスタ!$A$6:$A$405)-5)))&gt;0,SUMPRODUCT(MAX((職員マスタ!$A$6:$A$405=$B1945)*(((職員マスタ!$G$6:$G$405="")+(職員マスタ!$G$6:$G$405&lt;=EOMONTH($AQ1945,0)))&gt;0)*(((職員マスタ!$H$6:$H$405="")+(職員マスタ!$H$6:$H$405&gt;=$AQ1945))&gt;0)*(ROW(職員マスタ!$A$6:$A$405)-5))),IFERROR(MATCH($B1945,職員マスタ!$A$6:$A$405,0),"")))</f>
        <v/>
      </c>
      <c r="AQ1945" s="16">
        <f>IF(OR($B1945="",$C1945="",$D1945=""),"",DATE($C1945+2018,$D1945,1))</f>
        <v/>
      </c>
    </row>
    <row r="1946">
      <c r="A1946" s="11" t="n"/>
      <c r="B1946" s="12" t="n"/>
      <c r="C1946" s="12" t="n"/>
      <c r="D1946" s="12" t="n"/>
      <c r="E1946" s="13" t="n"/>
      <c r="F1946" s="12" t="n"/>
      <c r="G1946" s="13" t="n"/>
      <c r="H1946" s="12" t="n"/>
      <c r="I1946" s="12" t="n"/>
      <c r="J1946" s="12" t="n"/>
      <c r="K1946" s="12" t="n"/>
      <c r="L1946" s="11" t="n"/>
      <c r="M1946" s="11" t="n"/>
      <c r="N1946" s="11" t="n"/>
      <c r="O1946" s="11" t="n"/>
      <c r="P1946" s="12" t="n"/>
      <c r="Q1946" s="11" t="n"/>
      <c r="R1946" s="12" t="n"/>
      <c r="S1946" s="11" t="n"/>
      <c r="T1946" s="12" t="n"/>
      <c r="U1946" s="12" t="n"/>
      <c r="V1946" s="12" t="n"/>
      <c r="W1946" s="13" t="n"/>
      <c r="X1946" s="14">
        <f>IF($AP1946="",IF($B1946="","",$H1946),IF(INDEX(職員マスタ!$B$6:$B$405,$AP1946)="",$H1946,INDEX(職員マスタ!$B$6:$B$405,$AP1946)))</f>
        <v/>
      </c>
      <c r="Y1946" s="14">
        <f>IF($AP1946="",IF($B1946="","",$R1946),IF(INDEX(職員マスタ!$C$6:$C$405,$AP1946)="",$R1946,INDEX(職員マスタ!$C$6:$C$405,$AP1946)))</f>
        <v/>
      </c>
      <c r="Z1946" s="14">
        <f>IF($AQ1946="","","R"&amp;$C1946&amp;"."&amp;$D1946)</f>
        <v/>
      </c>
      <c r="AA1946" s="15">
        <f>IF(IF($AP1946="",FALSE,INDEX(職員マスタ!$K$6:$K$405,$AP1946)&lt;&gt;""),INDEX(職員マスタ!$K$6:$K$405,$AP1946),IF(N($W1946)&gt;0,$W1946,""))</f>
        <v/>
      </c>
      <c r="AB1946" s="14">
        <f>IF(OR($E1946="",$AA1946=""),"",IF($E1946&gt;=$AA1946,"×",IF($E1946&gt;=$AA1946*設定!$C$5,"△","○")))</f>
        <v/>
      </c>
      <c r="AC1946" s="15">
        <f>IF($AB1946="","",IF($AB1946="×",0,IF($AB1946="○",ROUNDDOWN($E1946*設定!$C$4,0),ROUNDDOWN($E1946*ROUND((9*$AA1946-9*$E1946)/(10*$E1946),4),0))))</f>
        <v/>
      </c>
      <c r="AD1946" s="13" t="n"/>
      <c r="AE1946" s="15">
        <f>IF($B1946="","",IF($AD1946&lt;&gt;"",$AD1946,IF($AC1946="","",IF($AC1946&lt;=設定!$C$3,0,$AC1946))))</f>
        <v/>
      </c>
      <c r="AF1946" s="14">
        <f>IF($B1946="","",IF(AND($AG1946&lt;&gt;"",$AI1946="",$AL1946=""),"保留中",IF($AL1946&lt;&gt;"",IF(N($AE1946)&gt;0,"支給済","不支給"),IF($AE1946="","要確認",IF($AE1946=0,"不支給","未処理")))))</f>
        <v/>
      </c>
      <c r="AG1946" s="12" t="n"/>
      <c r="AH1946" s="11" t="n"/>
      <c r="AI1946" s="11" t="n"/>
      <c r="AJ1946" s="11" t="n"/>
      <c r="AK1946" s="14">
        <f>IF(AND($AF1946="保留中",$AH1946&lt;&gt;""),TODAY()-$AH1946,"")</f>
        <v/>
      </c>
      <c r="AL1946" s="12" t="n"/>
      <c r="AM1946" s="14">
        <f>IF($B1946="","",IF($AQ1946="","対象年月が未入力／","")&amp;IF($B1946="","",IF($AP1946="","職員マスタに未登録の職員番号／",IF($AA1946="","標準報酬月額が未登録／","")&amp;IF(AND($AQ1946&lt;&gt;"",OR(AND(INDEX(職員マスタ!$G$6:$G$405,$AP1946)&lt;&gt;"",INDEX(職員マスタ!$G$6:$G$405,$AP1946)&gt;EOMONTH($AQ1946,0)),AND(INDEX(職員マスタ!$H$6:$H$405,$AP1946)&lt;&gt;"",INDEX(職員マスタ!$H$6:$H$405,$AP1946)&lt;$AQ1946))),"対象月が時短期間外／","")&amp;IF(AND(INDEX(職員マスタ!$K$6:$K$405,$AP1946)&lt;&gt;"",N($W1946)&gt;0,INDEX(職員マスタ!$K$6:$K$405,$AP1946)&lt;&gt;$W1946),"標準報酬月額が申請書と相違（台帳"&amp;TEXT(INDEX(職員マスタ!$K$6:$K$405,$AP1946),"#,##0")&amp;"円／申請書"&amp;TEXT($W1946,"#,##0")&amp;"円）／","")&amp;IF(AND(INDEX(職員マスタ!$F$6:$F$405,$AP1946)&lt;&gt;"",$AQ1946&lt;&gt;"",INDEX(職員マスタ!$F$6:$F$405,$AP1946)&lt;$AQ1946),"対象月に子が2歳到達済／","")&amp;IF(AND($H1946&lt;&gt;"",INDEX(職員マスタ!$B$6:$B$405,$AP1946)&lt;&gt;"",SUBSTITUTE(SUBSTITUTE($H1946," ","")," ","")&lt;&gt;SUBSTITUTE(SUBSTITUTE(INDEX(職員マスタ!$B$6:$B$405,$AP1946)," ","")," ","")),"氏名がマスタと相違／","")&amp;IF(AND($Q1946&lt;&gt;"",INDEX(職員マスタ!$E$6:$E$405,$AP1946)&lt;&gt;"",$Q1946&lt;&gt;INDEX(職員マスタ!$E$6:$E$405,$AP1946)),"子の生年月日がマスタと相違／","")&amp;IF(AND($L1946&lt;&gt;"",INDEX(職員マスタ!$G$6:$G$405,$AP1946)&lt;&gt;"",$L1946&lt;&gt;INDEX(職員マスタ!$G$6:$G$405,$AP1946)),"時短開始日がマスタと相違／","")&amp;IF(AND($M1946&lt;&gt;"",INDEX(職員マスタ!$H$6:$H$405,$AP1946)&lt;&gt;"",$M1946&lt;&gt;INDEX(職員マスタ!$H$6:$H$405,$AP1946)),"時短終了日がマスタと相違／","")))&amp;IF(AND($B1946&lt;&gt;"",$E1946=""),"報酬額が未入力／","")&amp;IF(N($U1946)&gt;0,"申請書に入力エラーが残っています／","")&amp;IF(AND($B1946&lt;&gt;"",$AQ1946&lt;&gt;""),IF(COUNTIFS($B$6:$B$3005,$B1946,$C$6:$C$3005,$C1946,$D$6:$D$3005,$D1946)&gt;1,"同じ月の請求が重複しています／",""),"")&amp;IF(AND(N($E1946)&gt;0,$AB1946&lt;&gt;"",$AB1946&lt;&gt;"×",$AE1946=0,$AD1946=""),"計算額が下限以下のため不支給／",""))</f>
        <v/>
      </c>
      <c r="AN1946" s="12" t="n"/>
      <c r="AO1946" s="14">
        <f>IF($AF1946="保留中",COUNTIF($AF$6:$AF1946,"保留中"),"")</f>
        <v/>
      </c>
      <c r="AP1946" s="14">
        <f>IF($AQ1946="","",IF(SUMPRODUCT(MAX((職員マスタ!$A$6:$A$405=$B1946)*(((職員マスタ!$G$6:$G$405="")+(職員マスタ!$G$6:$G$405&lt;=EOMONTH($AQ1946,0)))&gt;0)*(((職員マスタ!$H$6:$H$405="")+(職員マスタ!$H$6:$H$405&gt;=$AQ1946))&gt;0)*(ROW(職員マスタ!$A$6:$A$405)-5)))&gt;0,SUMPRODUCT(MAX((職員マスタ!$A$6:$A$405=$B1946)*(((職員マスタ!$G$6:$G$405="")+(職員マスタ!$G$6:$G$405&lt;=EOMONTH($AQ1946,0)))&gt;0)*(((職員マスタ!$H$6:$H$405="")+(職員マスタ!$H$6:$H$405&gt;=$AQ1946))&gt;0)*(ROW(職員マスタ!$A$6:$A$405)-5))),IFERROR(MATCH($B1946,職員マスタ!$A$6:$A$405,0),"")))</f>
        <v/>
      </c>
      <c r="AQ1946" s="16">
        <f>IF(OR($B1946="",$C1946="",$D1946=""),"",DATE($C1946+2018,$D1946,1))</f>
        <v/>
      </c>
    </row>
    <row r="1947">
      <c r="A1947" s="11" t="n"/>
      <c r="B1947" s="12" t="n"/>
      <c r="C1947" s="12" t="n"/>
      <c r="D1947" s="12" t="n"/>
      <c r="E1947" s="13" t="n"/>
      <c r="F1947" s="12" t="n"/>
      <c r="G1947" s="13" t="n"/>
      <c r="H1947" s="12" t="n"/>
      <c r="I1947" s="12" t="n"/>
      <c r="J1947" s="12" t="n"/>
      <c r="K1947" s="12" t="n"/>
      <c r="L1947" s="11" t="n"/>
      <c r="M1947" s="11" t="n"/>
      <c r="N1947" s="11" t="n"/>
      <c r="O1947" s="11" t="n"/>
      <c r="P1947" s="12" t="n"/>
      <c r="Q1947" s="11" t="n"/>
      <c r="R1947" s="12" t="n"/>
      <c r="S1947" s="11" t="n"/>
      <c r="T1947" s="12" t="n"/>
      <c r="U1947" s="12" t="n"/>
      <c r="V1947" s="12" t="n"/>
      <c r="W1947" s="13" t="n"/>
      <c r="X1947" s="14">
        <f>IF($AP1947="",IF($B1947="","",$H1947),IF(INDEX(職員マスタ!$B$6:$B$405,$AP1947)="",$H1947,INDEX(職員マスタ!$B$6:$B$405,$AP1947)))</f>
        <v/>
      </c>
      <c r="Y1947" s="14">
        <f>IF($AP1947="",IF($B1947="","",$R1947),IF(INDEX(職員マスタ!$C$6:$C$405,$AP1947)="",$R1947,INDEX(職員マスタ!$C$6:$C$405,$AP1947)))</f>
        <v/>
      </c>
      <c r="Z1947" s="14">
        <f>IF($AQ1947="","","R"&amp;$C1947&amp;"."&amp;$D1947)</f>
        <v/>
      </c>
      <c r="AA1947" s="15">
        <f>IF(IF($AP1947="",FALSE,INDEX(職員マスタ!$K$6:$K$405,$AP1947)&lt;&gt;""),INDEX(職員マスタ!$K$6:$K$405,$AP1947),IF(N($W1947)&gt;0,$W1947,""))</f>
        <v/>
      </c>
      <c r="AB1947" s="14">
        <f>IF(OR($E1947="",$AA1947=""),"",IF($E1947&gt;=$AA1947,"×",IF($E1947&gt;=$AA1947*設定!$C$5,"△","○")))</f>
        <v/>
      </c>
      <c r="AC1947" s="15">
        <f>IF($AB1947="","",IF($AB1947="×",0,IF($AB1947="○",ROUNDDOWN($E1947*設定!$C$4,0),ROUNDDOWN($E1947*ROUND((9*$AA1947-9*$E1947)/(10*$E1947),4),0))))</f>
        <v/>
      </c>
      <c r="AD1947" s="13" t="n"/>
      <c r="AE1947" s="15">
        <f>IF($B1947="","",IF($AD1947&lt;&gt;"",$AD1947,IF($AC1947="","",IF($AC1947&lt;=設定!$C$3,0,$AC1947))))</f>
        <v/>
      </c>
      <c r="AF1947" s="14">
        <f>IF($B1947="","",IF(AND($AG1947&lt;&gt;"",$AI1947="",$AL1947=""),"保留中",IF($AL1947&lt;&gt;"",IF(N($AE1947)&gt;0,"支給済","不支給"),IF($AE1947="","要確認",IF($AE1947=0,"不支給","未処理")))))</f>
        <v/>
      </c>
      <c r="AG1947" s="12" t="n"/>
      <c r="AH1947" s="11" t="n"/>
      <c r="AI1947" s="11" t="n"/>
      <c r="AJ1947" s="11" t="n"/>
      <c r="AK1947" s="14">
        <f>IF(AND($AF1947="保留中",$AH1947&lt;&gt;""),TODAY()-$AH1947,"")</f>
        <v/>
      </c>
      <c r="AL1947" s="12" t="n"/>
      <c r="AM1947" s="14">
        <f>IF($B1947="","",IF($AQ1947="","対象年月が未入力／","")&amp;IF($B1947="","",IF($AP1947="","職員マスタに未登録の職員番号／",IF($AA1947="","標準報酬月額が未登録／","")&amp;IF(AND($AQ1947&lt;&gt;"",OR(AND(INDEX(職員マスタ!$G$6:$G$405,$AP1947)&lt;&gt;"",INDEX(職員マスタ!$G$6:$G$405,$AP1947)&gt;EOMONTH($AQ1947,0)),AND(INDEX(職員マスタ!$H$6:$H$405,$AP1947)&lt;&gt;"",INDEX(職員マスタ!$H$6:$H$405,$AP1947)&lt;$AQ1947))),"対象月が時短期間外／","")&amp;IF(AND(INDEX(職員マスタ!$K$6:$K$405,$AP1947)&lt;&gt;"",N($W1947)&gt;0,INDEX(職員マスタ!$K$6:$K$405,$AP1947)&lt;&gt;$W1947),"標準報酬月額が申請書と相違（台帳"&amp;TEXT(INDEX(職員マスタ!$K$6:$K$405,$AP1947),"#,##0")&amp;"円／申請書"&amp;TEXT($W1947,"#,##0")&amp;"円）／","")&amp;IF(AND(INDEX(職員マスタ!$F$6:$F$405,$AP1947)&lt;&gt;"",$AQ1947&lt;&gt;"",INDEX(職員マスタ!$F$6:$F$405,$AP1947)&lt;$AQ1947),"対象月に子が2歳到達済／","")&amp;IF(AND($H1947&lt;&gt;"",INDEX(職員マスタ!$B$6:$B$405,$AP1947)&lt;&gt;"",SUBSTITUTE(SUBSTITUTE($H1947," ","")," ","")&lt;&gt;SUBSTITUTE(SUBSTITUTE(INDEX(職員マスタ!$B$6:$B$405,$AP1947)," ","")," ","")),"氏名がマスタと相違／","")&amp;IF(AND($Q1947&lt;&gt;"",INDEX(職員マスタ!$E$6:$E$405,$AP1947)&lt;&gt;"",$Q1947&lt;&gt;INDEX(職員マスタ!$E$6:$E$405,$AP1947)),"子の生年月日がマスタと相違／","")&amp;IF(AND($L1947&lt;&gt;"",INDEX(職員マスタ!$G$6:$G$405,$AP1947)&lt;&gt;"",$L1947&lt;&gt;INDEX(職員マスタ!$G$6:$G$405,$AP1947)),"時短開始日がマスタと相違／","")&amp;IF(AND($M1947&lt;&gt;"",INDEX(職員マスタ!$H$6:$H$405,$AP1947)&lt;&gt;"",$M1947&lt;&gt;INDEX(職員マスタ!$H$6:$H$405,$AP1947)),"時短終了日がマスタと相違／","")))&amp;IF(AND($B1947&lt;&gt;"",$E1947=""),"報酬額が未入力／","")&amp;IF(N($U1947)&gt;0,"申請書に入力エラーが残っています／","")&amp;IF(AND($B1947&lt;&gt;"",$AQ1947&lt;&gt;""),IF(COUNTIFS($B$6:$B$3005,$B1947,$C$6:$C$3005,$C1947,$D$6:$D$3005,$D1947)&gt;1,"同じ月の請求が重複しています／",""),"")&amp;IF(AND(N($E1947)&gt;0,$AB1947&lt;&gt;"",$AB1947&lt;&gt;"×",$AE1947=0,$AD1947=""),"計算額が下限以下のため不支給／",""))</f>
        <v/>
      </c>
      <c r="AN1947" s="12" t="n"/>
      <c r="AO1947" s="14">
        <f>IF($AF1947="保留中",COUNTIF($AF$6:$AF1947,"保留中"),"")</f>
        <v/>
      </c>
      <c r="AP1947" s="14">
        <f>IF($AQ1947="","",IF(SUMPRODUCT(MAX((職員マスタ!$A$6:$A$405=$B1947)*(((職員マスタ!$G$6:$G$405="")+(職員マスタ!$G$6:$G$405&lt;=EOMONTH($AQ1947,0)))&gt;0)*(((職員マスタ!$H$6:$H$405="")+(職員マスタ!$H$6:$H$405&gt;=$AQ1947))&gt;0)*(ROW(職員マスタ!$A$6:$A$405)-5)))&gt;0,SUMPRODUCT(MAX((職員マスタ!$A$6:$A$405=$B1947)*(((職員マスタ!$G$6:$G$405="")+(職員マスタ!$G$6:$G$405&lt;=EOMONTH($AQ1947,0)))&gt;0)*(((職員マスタ!$H$6:$H$405="")+(職員マスタ!$H$6:$H$405&gt;=$AQ1947))&gt;0)*(ROW(職員マスタ!$A$6:$A$405)-5))),IFERROR(MATCH($B1947,職員マスタ!$A$6:$A$405,0),"")))</f>
        <v/>
      </c>
      <c r="AQ1947" s="16">
        <f>IF(OR($B1947="",$C1947="",$D1947=""),"",DATE($C1947+2018,$D1947,1))</f>
        <v/>
      </c>
    </row>
    <row r="1948">
      <c r="A1948" s="11" t="n"/>
      <c r="B1948" s="12" t="n"/>
      <c r="C1948" s="12" t="n"/>
      <c r="D1948" s="12" t="n"/>
      <c r="E1948" s="13" t="n"/>
      <c r="F1948" s="12" t="n"/>
      <c r="G1948" s="13" t="n"/>
      <c r="H1948" s="12" t="n"/>
      <c r="I1948" s="12" t="n"/>
      <c r="J1948" s="12" t="n"/>
      <c r="K1948" s="12" t="n"/>
      <c r="L1948" s="11" t="n"/>
      <c r="M1948" s="11" t="n"/>
      <c r="N1948" s="11" t="n"/>
      <c r="O1948" s="11" t="n"/>
      <c r="P1948" s="12" t="n"/>
      <c r="Q1948" s="11" t="n"/>
      <c r="R1948" s="12" t="n"/>
      <c r="S1948" s="11" t="n"/>
      <c r="T1948" s="12" t="n"/>
      <c r="U1948" s="12" t="n"/>
      <c r="V1948" s="12" t="n"/>
      <c r="W1948" s="13" t="n"/>
      <c r="X1948" s="14">
        <f>IF($AP1948="",IF($B1948="","",$H1948),IF(INDEX(職員マスタ!$B$6:$B$405,$AP1948)="",$H1948,INDEX(職員マスタ!$B$6:$B$405,$AP1948)))</f>
        <v/>
      </c>
      <c r="Y1948" s="14">
        <f>IF($AP1948="",IF($B1948="","",$R1948),IF(INDEX(職員マスタ!$C$6:$C$405,$AP1948)="",$R1948,INDEX(職員マスタ!$C$6:$C$405,$AP1948)))</f>
        <v/>
      </c>
      <c r="Z1948" s="14">
        <f>IF($AQ1948="","","R"&amp;$C1948&amp;"."&amp;$D1948)</f>
        <v/>
      </c>
      <c r="AA1948" s="15">
        <f>IF(IF($AP1948="",FALSE,INDEX(職員マスタ!$K$6:$K$405,$AP1948)&lt;&gt;""),INDEX(職員マスタ!$K$6:$K$405,$AP1948),IF(N($W1948)&gt;0,$W1948,""))</f>
        <v/>
      </c>
      <c r="AB1948" s="14">
        <f>IF(OR($E1948="",$AA1948=""),"",IF($E1948&gt;=$AA1948,"×",IF($E1948&gt;=$AA1948*設定!$C$5,"△","○")))</f>
        <v/>
      </c>
      <c r="AC1948" s="15">
        <f>IF($AB1948="","",IF($AB1948="×",0,IF($AB1948="○",ROUNDDOWN($E1948*設定!$C$4,0),ROUNDDOWN($E1948*ROUND((9*$AA1948-9*$E1948)/(10*$E1948),4),0))))</f>
        <v/>
      </c>
      <c r="AD1948" s="13" t="n"/>
      <c r="AE1948" s="15">
        <f>IF($B1948="","",IF($AD1948&lt;&gt;"",$AD1948,IF($AC1948="","",IF($AC1948&lt;=設定!$C$3,0,$AC1948))))</f>
        <v/>
      </c>
      <c r="AF1948" s="14">
        <f>IF($B1948="","",IF(AND($AG1948&lt;&gt;"",$AI1948="",$AL1948=""),"保留中",IF($AL1948&lt;&gt;"",IF(N($AE1948)&gt;0,"支給済","不支給"),IF($AE1948="","要確認",IF($AE1948=0,"不支給","未処理")))))</f>
        <v/>
      </c>
      <c r="AG1948" s="12" t="n"/>
      <c r="AH1948" s="11" t="n"/>
      <c r="AI1948" s="11" t="n"/>
      <c r="AJ1948" s="11" t="n"/>
      <c r="AK1948" s="14">
        <f>IF(AND($AF1948="保留中",$AH1948&lt;&gt;""),TODAY()-$AH1948,"")</f>
        <v/>
      </c>
      <c r="AL1948" s="12" t="n"/>
      <c r="AM1948" s="14">
        <f>IF($B1948="","",IF($AQ1948="","対象年月が未入力／","")&amp;IF($B1948="","",IF($AP1948="","職員マスタに未登録の職員番号／",IF($AA1948="","標準報酬月額が未登録／","")&amp;IF(AND($AQ1948&lt;&gt;"",OR(AND(INDEX(職員マスタ!$G$6:$G$405,$AP1948)&lt;&gt;"",INDEX(職員マスタ!$G$6:$G$405,$AP1948)&gt;EOMONTH($AQ1948,0)),AND(INDEX(職員マスタ!$H$6:$H$405,$AP1948)&lt;&gt;"",INDEX(職員マスタ!$H$6:$H$405,$AP1948)&lt;$AQ1948))),"対象月が時短期間外／","")&amp;IF(AND(INDEX(職員マスタ!$K$6:$K$405,$AP1948)&lt;&gt;"",N($W1948)&gt;0,INDEX(職員マスタ!$K$6:$K$405,$AP1948)&lt;&gt;$W1948),"標準報酬月額が申請書と相違（台帳"&amp;TEXT(INDEX(職員マスタ!$K$6:$K$405,$AP1948),"#,##0")&amp;"円／申請書"&amp;TEXT($W1948,"#,##0")&amp;"円）／","")&amp;IF(AND(INDEX(職員マスタ!$F$6:$F$405,$AP1948)&lt;&gt;"",$AQ1948&lt;&gt;"",INDEX(職員マスタ!$F$6:$F$405,$AP1948)&lt;$AQ1948),"対象月に子が2歳到達済／","")&amp;IF(AND($H1948&lt;&gt;"",INDEX(職員マスタ!$B$6:$B$405,$AP1948)&lt;&gt;"",SUBSTITUTE(SUBSTITUTE($H1948," ","")," ","")&lt;&gt;SUBSTITUTE(SUBSTITUTE(INDEX(職員マスタ!$B$6:$B$405,$AP1948)," ","")," ","")),"氏名がマスタと相違／","")&amp;IF(AND($Q1948&lt;&gt;"",INDEX(職員マスタ!$E$6:$E$405,$AP1948)&lt;&gt;"",$Q1948&lt;&gt;INDEX(職員マスタ!$E$6:$E$405,$AP1948)),"子の生年月日がマスタと相違／","")&amp;IF(AND($L1948&lt;&gt;"",INDEX(職員マスタ!$G$6:$G$405,$AP1948)&lt;&gt;"",$L1948&lt;&gt;INDEX(職員マスタ!$G$6:$G$405,$AP1948)),"時短開始日がマスタと相違／","")&amp;IF(AND($M1948&lt;&gt;"",INDEX(職員マスタ!$H$6:$H$405,$AP1948)&lt;&gt;"",$M1948&lt;&gt;INDEX(職員マスタ!$H$6:$H$405,$AP1948)),"時短終了日がマスタと相違／","")))&amp;IF(AND($B1948&lt;&gt;"",$E1948=""),"報酬額が未入力／","")&amp;IF(N($U1948)&gt;0,"申請書に入力エラーが残っています／","")&amp;IF(AND($B1948&lt;&gt;"",$AQ1948&lt;&gt;""),IF(COUNTIFS($B$6:$B$3005,$B1948,$C$6:$C$3005,$C1948,$D$6:$D$3005,$D1948)&gt;1,"同じ月の請求が重複しています／",""),"")&amp;IF(AND(N($E1948)&gt;0,$AB1948&lt;&gt;"",$AB1948&lt;&gt;"×",$AE1948=0,$AD1948=""),"計算額が下限以下のため不支給／",""))</f>
        <v/>
      </c>
      <c r="AN1948" s="12" t="n"/>
      <c r="AO1948" s="14">
        <f>IF($AF1948="保留中",COUNTIF($AF$6:$AF1948,"保留中"),"")</f>
        <v/>
      </c>
      <c r="AP1948" s="14">
        <f>IF($AQ1948="","",IF(SUMPRODUCT(MAX((職員マスタ!$A$6:$A$405=$B1948)*(((職員マスタ!$G$6:$G$405="")+(職員マスタ!$G$6:$G$405&lt;=EOMONTH($AQ1948,0)))&gt;0)*(((職員マスタ!$H$6:$H$405="")+(職員マスタ!$H$6:$H$405&gt;=$AQ1948))&gt;0)*(ROW(職員マスタ!$A$6:$A$405)-5)))&gt;0,SUMPRODUCT(MAX((職員マスタ!$A$6:$A$405=$B1948)*(((職員マスタ!$G$6:$G$405="")+(職員マスタ!$G$6:$G$405&lt;=EOMONTH($AQ1948,0)))&gt;0)*(((職員マスタ!$H$6:$H$405="")+(職員マスタ!$H$6:$H$405&gt;=$AQ1948))&gt;0)*(ROW(職員マスタ!$A$6:$A$405)-5))),IFERROR(MATCH($B1948,職員マスタ!$A$6:$A$405,0),"")))</f>
        <v/>
      </c>
      <c r="AQ1948" s="16">
        <f>IF(OR($B1948="",$C1948="",$D1948=""),"",DATE($C1948+2018,$D1948,1))</f>
        <v/>
      </c>
    </row>
    <row r="1949">
      <c r="A1949" s="11" t="n"/>
      <c r="B1949" s="12" t="n"/>
      <c r="C1949" s="12" t="n"/>
      <c r="D1949" s="12" t="n"/>
      <c r="E1949" s="13" t="n"/>
      <c r="F1949" s="12" t="n"/>
      <c r="G1949" s="13" t="n"/>
      <c r="H1949" s="12" t="n"/>
      <c r="I1949" s="12" t="n"/>
      <c r="J1949" s="12" t="n"/>
      <c r="K1949" s="12" t="n"/>
      <c r="L1949" s="11" t="n"/>
      <c r="M1949" s="11" t="n"/>
      <c r="N1949" s="11" t="n"/>
      <c r="O1949" s="11" t="n"/>
      <c r="P1949" s="12" t="n"/>
      <c r="Q1949" s="11" t="n"/>
      <c r="R1949" s="12" t="n"/>
      <c r="S1949" s="11" t="n"/>
      <c r="T1949" s="12" t="n"/>
      <c r="U1949" s="12" t="n"/>
      <c r="V1949" s="12" t="n"/>
      <c r="W1949" s="13" t="n"/>
      <c r="X1949" s="14">
        <f>IF($AP1949="",IF($B1949="","",$H1949),IF(INDEX(職員マスタ!$B$6:$B$405,$AP1949)="",$H1949,INDEX(職員マスタ!$B$6:$B$405,$AP1949)))</f>
        <v/>
      </c>
      <c r="Y1949" s="14">
        <f>IF($AP1949="",IF($B1949="","",$R1949),IF(INDEX(職員マスタ!$C$6:$C$405,$AP1949)="",$R1949,INDEX(職員マスタ!$C$6:$C$405,$AP1949)))</f>
        <v/>
      </c>
      <c r="Z1949" s="14">
        <f>IF($AQ1949="","","R"&amp;$C1949&amp;"."&amp;$D1949)</f>
        <v/>
      </c>
      <c r="AA1949" s="15">
        <f>IF(IF($AP1949="",FALSE,INDEX(職員マスタ!$K$6:$K$405,$AP1949)&lt;&gt;""),INDEX(職員マスタ!$K$6:$K$405,$AP1949),IF(N($W1949)&gt;0,$W1949,""))</f>
        <v/>
      </c>
      <c r="AB1949" s="14">
        <f>IF(OR($E1949="",$AA1949=""),"",IF($E1949&gt;=$AA1949,"×",IF($E1949&gt;=$AA1949*設定!$C$5,"△","○")))</f>
        <v/>
      </c>
      <c r="AC1949" s="15">
        <f>IF($AB1949="","",IF($AB1949="×",0,IF($AB1949="○",ROUNDDOWN($E1949*設定!$C$4,0),ROUNDDOWN($E1949*ROUND((9*$AA1949-9*$E1949)/(10*$E1949),4),0))))</f>
        <v/>
      </c>
      <c r="AD1949" s="13" t="n"/>
      <c r="AE1949" s="15">
        <f>IF($B1949="","",IF($AD1949&lt;&gt;"",$AD1949,IF($AC1949="","",IF($AC1949&lt;=設定!$C$3,0,$AC1949))))</f>
        <v/>
      </c>
      <c r="AF1949" s="14">
        <f>IF($B1949="","",IF(AND($AG1949&lt;&gt;"",$AI1949="",$AL1949=""),"保留中",IF($AL1949&lt;&gt;"",IF(N($AE1949)&gt;0,"支給済","不支給"),IF($AE1949="","要確認",IF($AE1949=0,"不支給","未処理")))))</f>
        <v/>
      </c>
      <c r="AG1949" s="12" t="n"/>
      <c r="AH1949" s="11" t="n"/>
      <c r="AI1949" s="11" t="n"/>
      <c r="AJ1949" s="11" t="n"/>
      <c r="AK1949" s="14">
        <f>IF(AND($AF1949="保留中",$AH1949&lt;&gt;""),TODAY()-$AH1949,"")</f>
        <v/>
      </c>
      <c r="AL1949" s="12" t="n"/>
      <c r="AM1949" s="14">
        <f>IF($B1949="","",IF($AQ1949="","対象年月が未入力／","")&amp;IF($B1949="","",IF($AP1949="","職員マスタに未登録の職員番号／",IF($AA1949="","標準報酬月額が未登録／","")&amp;IF(AND($AQ1949&lt;&gt;"",OR(AND(INDEX(職員マスタ!$G$6:$G$405,$AP1949)&lt;&gt;"",INDEX(職員マスタ!$G$6:$G$405,$AP1949)&gt;EOMONTH($AQ1949,0)),AND(INDEX(職員マスタ!$H$6:$H$405,$AP1949)&lt;&gt;"",INDEX(職員マスタ!$H$6:$H$405,$AP1949)&lt;$AQ1949))),"対象月が時短期間外／","")&amp;IF(AND(INDEX(職員マスタ!$K$6:$K$405,$AP1949)&lt;&gt;"",N($W1949)&gt;0,INDEX(職員マスタ!$K$6:$K$405,$AP1949)&lt;&gt;$W1949),"標準報酬月額が申請書と相違（台帳"&amp;TEXT(INDEX(職員マスタ!$K$6:$K$405,$AP1949),"#,##0")&amp;"円／申請書"&amp;TEXT($W1949,"#,##0")&amp;"円）／","")&amp;IF(AND(INDEX(職員マスタ!$F$6:$F$405,$AP1949)&lt;&gt;"",$AQ1949&lt;&gt;"",INDEX(職員マスタ!$F$6:$F$405,$AP1949)&lt;$AQ1949),"対象月に子が2歳到達済／","")&amp;IF(AND($H1949&lt;&gt;"",INDEX(職員マスタ!$B$6:$B$405,$AP1949)&lt;&gt;"",SUBSTITUTE(SUBSTITUTE($H1949," ","")," ","")&lt;&gt;SUBSTITUTE(SUBSTITUTE(INDEX(職員マスタ!$B$6:$B$405,$AP1949)," ","")," ","")),"氏名がマスタと相違／","")&amp;IF(AND($Q1949&lt;&gt;"",INDEX(職員マスタ!$E$6:$E$405,$AP1949)&lt;&gt;"",$Q1949&lt;&gt;INDEX(職員マスタ!$E$6:$E$405,$AP1949)),"子の生年月日がマスタと相違／","")&amp;IF(AND($L1949&lt;&gt;"",INDEX(職員マスタ!$G$6:$G$405,$AP1949)&lt;&gt;"",$L1949&lt;&gt;INDEX(職員マスタ!$G$6:$G$405,$AP1949)),"時短開始日がマスタと相違／","")&amp;IF(AND($M1949&lt;&gt;"",INDEX(職員マスタ!$H$6:$H$405,$AP1949)&lt;&gt;"",$M1949&lt;&gt;INDEX(職員マスタ!$H$6:$H$405,$AP1949)),"時短終了日がマスタと相違／","")))&amp;IF(AND($B1949&lt;&gt;"",$E1949=""),"報酬額が未入力／","")&amp;IF(N($U1949)&gt;0,"申請書に入力エラーが残っています／","")&amp;IF(AND($B1949&lt;&gt;"",$AQ1949&lt;&gt;""),IF(COUNTIFS($B$6:$B$3005,$B1949,$C$6:$C$3005,$C1949,$D$6:$D$3005,$D1949)&gt;1,"同じ月の請求が重複しています／",""),"")&amp;IF(AND(N($E1949)&gt;0,$AB1949&lt;&gt;"",$AB1949&lt;&gt;"×",$AE1949=0,$AD1949=""),"計算額が下限以下のため不支給／",""))</f>
        <v/>
      </c>
      <c r="AN1949" s="12" t="n"/>
      <c r="AO1949" s="14">
        <f>IF($AF1949="保留中",COUNTIF($AF$6:$AF1949,"保留中"),"")</f>
        <v/>
      </c>
      <c r="AP1949" s="14">
        <f>IF($AQ1949="","",IF(SUMPRODUCT(MAX((職員マスタ!$A$6:$A$405=$B1949)*(((職員マスタ!$G$6:$G$405="")+(職員マスタ!$G$6:$G$405&lt;=EOMONTH($AQ1949,0)))&gt;0)*(((職員マスタ!$H$6:$H$405="")+(職員マスタ!$H$6:$H$405&gt;=$AQ1949))&gt;0)*(ROW(職員マスタ!$A$6:$A$405)-5)))&gt;0,SUMPRODUCT(MAX((職員マスタ!$A$6:$A$405=$B1949)*(((職員マスタ!$G$6:$G$405="")+(職員マスタ!$G$6:$G$405&lt;=EOMONTH($AQ1949,0)))&gt;0)*(((職員マスタ!$H$6:$H$405="")+(職員マスタ!$H$6:$H$405&gt;=$AQ1949))&gt;0)*(ROW(職員マスタ!$A$6:$A$405)-5))),IFERROR(MATCH($B1949,職員マスタ!$A$6:$A$405,0),"")))</f>
        <v/>
      </c>
      <c r="AQ1949" s="16">
        <f>IF(OR($B1949="",$C1949="",$D1949=""),"",DATE($C1949+2018,$D1949,1))</f>
        <v/>
      </c>
    </row>
    <row r="1950">
      <c r="A1950" s="11" t="n"/>
      <c r="B1950" s="12" t="n"/>
      <c r="C1950" s="12" t="n"/>
      <c r="D1950" s="12" t="n"/>
      <c r="E1950" s="13" t="n"/>
      <c r="F1950" s="12" t="n"/>
      <c r="G1950" s="13" t="n"/>
      <c r="H1950" s="12" t="n"/>
      <c r="I1950" s="12" t="n"/>
      <c r="J1950" s="12" t="n"/>
      <c r="K1950" s="12" t="n"/>
      <c r="L1950" s="11" t="n"/>
      <c r="M1950" s="11" t="n"/>
      <c r="N1950" s="11" t="n"/>
      <c r="O1950" s="11" t="n"/>
      <c r="P1950" s="12" t="n"/>
      <c r="Q1950" s="11" t="n"/>
      <c r="R1950" s="12" t="n"/>
      <c r="S1950" s="11" t="n"/>
      <c r="T1950" s="12" t="n"/>
      <c r="U1950" s="12" t="n"/>
      <c r="V1950" s="12" t="n"/>
      <c r="W1950" s="13" t="n"/>
      <c r="X1950" s="14">
        <f>IF($AP1950="",IF($B1950="","",$H1950),IF(INDEX(職員マスタ!$B$6:$B$405,$AP1950)="",$H1950,INDEX(職員マスタ!$B$6:$B$405,$AP1950)))</f>
        <v/>
      </c>
      <c r="Y1950" s="14">
        <f>IF($AP1950="",IF($B1950="","",$R1950),IF(INDEX(職員マスタ!$C$6:$C$405,$AP1950)="",$R1950,INDEX(職員マスタ!$C$6:$C$405,$AP1950)))</f>
        <v/>
      </c>
      <c r="Z1950" s="14">
        <f>IF($AQ1950="","","R"&amp;$C1950&amp;"."&amp;$D1950)</f>
        <v/>
      </c>
      <c r="AA1950" s="15">
        <f>IF(IF($AP1950="",FALSE,INDEX(職員マスタ!$K$6:$K$405,$AP1950)&lt;&gt;""),INDEX(職員マスタ!$K$6:$K$405,$AP1950),IF(N($W1950)&gt;0,$W1950,""))</f>
        <v/>
      </c>
      <c r="AB1950" s="14">
        <f>IF(OR($E1950="",$AA1950=""),"",IF($E1950&gt;=$AA1950,"×",IF($E1950&gt;=$AA1950*設定!$C$5,"△","○")))</f>
        <v/>
      </c>
      <c r="AC1950" s="15">
        <f>IF($AB1950="","",IF($AB1950="×",0,IF($AB1950="○",ROUNDDOWN($E1950*設定!$C$4,0),ROUNDDOWN($E1950*ROUND((9*$AA1950-9*$E1950)/(10*$E1950),4),0))))</f>
        <v/>
      </c>
      <c r="AD1950" s="13" t="n"/>
      <c r="AE1950" s="15">
        <f>IF($B1950="","",IF($AD1950&lt;&gt;"",$AD1950,IF($AC1950="","",IF($AC1950&lt;=設定!$C$3,0,$AC1950))))</f>
        <v/>
      </c>
      <c r="AF1950" s="14">
        <f>IF($B1950="","",IF(AND($AG1950&lt;&gt;"",$AI1950="",$AL1950=""),"保留中",IF($AL1950&lt;&gt;"",IF(N($AE1950)&gt;0,"支給済","不支給"),IF($AE1950="","要確認",IF($AE1950=0,"不支給","未処理")))))</f>
        <v/>
      </c>
      <c r="AG1950" s="12" t="n"/>
      <c r="AH1950" s="11" t="n"/>
      <c r="AI1950" s="11" t="n"/>
      <c r="AJ1950" s="11" t="n"/>
      <c r="AK1950" s="14">
        <f>IF(AND($AF1950="保留中",$AH1950&lt;&gt;""),TODAY()-$AH1950,"")</f>
        <v/>
      </c>
      <c r="AL1950" s="12" t="n"/>
      <c r="AM1950" s="14">
        <f>IF($B1950="","",IF($AQ1950="","対象年月が未入力／","")&amp;IF($B1950="","",IF($AP1950="","職員マスタに未登録の職員番号／",IF($AA1950="","標準報酬月額が未登録／","")&amp;IF(AND($AQ1950&lt;&gt;"",OR(AND(INDEX(職員マスタ!$G$6:$G$405,$AP1950)&lt;&gt;"",INDEX(職員マスタ!$G$6:$G$405,$AP1950)&gt;EOMONTH($AQ1950,0)),AND(INDEX(職員マスタ!$H$6:$H$405,$AP1950)&lt;&gt;"",INDEX(職員マスタ!$H$6:$H$405,$AP1950)&lt;$AQ1950))),"対象月が時短期間外／","")&amp;IF(AND(INDEX(職員マスタ!$K$6:$K$405,$AP1950)&lt;&gt;"",N($W1950)&gt;0,INDEX(職員マスタ!$K$6:$K$405,$AP1950)&lt;&gt;$W1950),"標準報酬月額が申請書と相違（台帳"&amp;TEXT(INDEX(職員マスタ!$K$6:$K$405,$AP1950),"#,##0")&amp;"円／申請書"&amp;TEXT($W1950,"#,##0")&amp;"円）／","")&amp;IF(AND(INDEX(職員マスタ!$F$6:$F$405,$AP1950)&lt;&gt;"",$AQ1950&lt;&gt;"",INDEX(職員マスタ!$F$6:$F$405,$AP1950)&lt;$AQ1950),"対象月に子が2歳到達済／","")&amp;IF(AND($H1950&lt;&gt;"",INDEX(職員マスタ!$B$6:$B$405,$AP1950)&lt;&gt;"",SUBSTITUTE(SUBSTITUTE($H1950," ","")," ","")&lt;&gt;SUBSTITUTE(SUBSTITUTE(INDEX(職員マスタ!$B$6:$B$405,$AP1950)," ","")," ","")),"氏名がマスタと相違／","")&amp;IF(AND($Q1950&lt;&gt;"",INDEX(職員マスタ!$E$6:$E$405,$AP1950)&lt;&gt;"",$Q1950&lt;&gt;INDEX(職員マスタ!$E$6:$E$405,$AP1950)),"子の生年月日がマスタと相違／","")&amp;IF(AND($L1950&lt;&gt;"",INDEX(職員マスタ!$G$6:$G$405,$AP1950)&lt;&gt;"",$L1950&lt;&gt;INDEX(職員マスタ!$G$6:$G$405,$AP1950)),"時短開始日がマスタと相違／","")&amp;IF(AND($M1950&lt;&gt;"",INDEX(職員マスタ!$H$6:$H$405,$AP1950)&lt;&gt;"",$M1950&lt;&gt;INDEX(職員マスタ!$H$6:$H$405,$AP1950)),"時短終了日がマスタと相違／","")))&amp;IF(AND($B1950&lt;&gt;"",$E1950=""),"報酬額が未入力／","")&amp;IF(N($U1950)&gt;0,"申請書に入力エラーが残っています／","")&amp;IF(AND($B1950&lt;&gt;"",$AQ1950&lt;&gt;""),IF(COUNTIFS($B$6:$B$3005,$B1950,$C$6:$C$3005,$C1950,$D$6:$D$3005,$D1950)&gt;1,"同じ月の請求が重複しています／",""),"")&amp;IF(AND(N($E1950)&gt;0,$AB1950&lt;&gt;"",$AB1950&lt;&gt;"×",$AE1950=0,$AD1950=""),"計算額が下限以下のため不支給／",""))</f>
        <v/>
      </c>
      <c r="AN1950" s="12" t="n"/>
      <c r="AO1950" s="14">
        <f>IF($AF1950="保留中",COUNTIF($AF$6:$AF1950,"保留中"),"")</f>
        <v/>
      </c>
      <c r="AP1950" s="14">
        <f>IF($AQ1950="","",IF(SUMPRODUCT(MAX((職員マスタ!$A$6:$A$405=$B1950)*(((職員マスタ!$G$6:$G$405="")+(職員マスタ!$G$6:$G$405&lt;=EOMONTH($AQ1950,0)))&gt;0)*(((職員マスタ!$H$6:$H$405="")+(職員マスタ!$H$6:$H$405&gt;=$AQ1950))&gt;0)*(ROW(職員マスタ!$A$6:$A$405)-5)))&gt;0,SUMPRODUCT(MAX((職員マスタ!$A$6:$A$405=$B1950)*(((職員マスタ!$G$6:$G$405="")+(職員マスタ!$G$6:$G$405&lt;=EOMONTH($AQ1950,0)))&gt;0)*(((職員マスタ!$H$6:$H$405="")+(職員マスタ!$H$6:$H$405&gt;=$AQ1950))&gt;0)*(ROW(職員マスタ!$A$6:$A$405)-5))),IFERROR(MATCH($B1950,職員マスタ!$A$6:$A$405,0),"")))</f>
        <v/>
      </c>
      <c r="AQ1950" s="16">
        <f>IF(OR($B1950="",$C1950="",$D1950=""),"",DATE($C1950+2018,$D1950,1))</f>
        <v/>
      </c>
    </row>
    <row r="1951">
      <c r="A1951" s="11" t="n"/>
      <c r="B1951" s="12" t="n"/>
      <c r="C1951" s="12" t="n"/>
      <c r="D1951" s="12" t="n"/>
      <c r="E1951" s="13" t="n"/>
      <c r="F1951" s="12" t="n"/>
      <c r="G1951" s="13" t="n"/>
      <c r="H1951" s="12" t="n"/>
      <c r="I1951" s="12" t="n"/>
      <c r="J1951" s="12" t="n"/>
      <c r="K1951" s="12" t="n"/>
      <c r="L1951" s="11" t="n"/>
      <c r="M1951" s="11" t="n"/>
      <c r="N1951" s="11" t="n"/>
      <c r="O1951" s="11" t="n"/>
      <c r="P1951" s="12" t="n"/>
      <c r="Q1951" s="11" t="n"/>
      <c r="R1951" s="12" t="n"/>
      <c r="S1951" s="11" t="n"/>
      <c r="T1951" s="12" t="n"/>
      <c r="U1951" s="12" t="n"/>
      <c r="V1951" s="12" t="n"/>
      <c r="W1951" s="13" t="n"/>
      <c r="X1951" s="14">
        <f>IF($AP1951="",IF($B1951="","",$H1951),IF(INDEX(職員マスタ!$B$6:$B$405,$AP1951)="",$H1951,INDEX(職員マスタ!$B$6:$B$405,$AP1951)))</f>
        <v/>
      </c>
      <c r="Y1951" s="14">
        <f>IF($AP1951="",IF($B1951="","",$R1951),IF(INDEX(職員マスタ!$C$6:$C$405,$AP1951)="",$R1951,INDEX(職員マスタ!$C$6:$C$405,$AP1951)))</f>
        <v/>
      </c>
      <c r="Z1951" s="14">
        <f>IF($AQ1951="","","R"&amp;$C1951&amp;"."&amp;$D1951)</f>
        <v/>
      </c>
      <c r="AA1951" s="15">
        <f>IF(IF($AP1951="",FALSE,INDEX(職員マスタ!$K$6:$K$405,$AP1951)&lt;&gt;""),INDEX(職員マスタ!$K$6:$K$405,$AP1951),IF(N($W1951)&gt;0,$W1951,""))</f>
        <v/>
      </c>
      <c r="AB1951" s="14">
        <f>IF(OR($E1951="",$AA1951=""),"",IF($E1951&gt;=$AA1951,"×",IF($E1951&gt;=$AA1951*設定!$C$5,"△","○")))</f>
        <v/>
      </c>
      <c r="AC1951" s="15">
        <f>IF($AB1951="","",IF($AB1951="×",0,IF($AB1951="○",ROUNDDOWN($E1951*設定!$C$4,0),ROUNDDOWN($E1951*ROUND((9*$AA1951-9*$E1951)/(10*$E1951),4),0))))</f>
        <v/>
      </c>
      <c r="AD1951" s="13" t="n"/>
      <c r="AE1951" s="15">
        <f>IF($B1951="","",IF($AD1951&lt;&gt;"",$AD1951,IF($AC1951="","",IF($AC1951&lt;=設定!$C$3,0,$AC1951))))</f>
        <v/>
      </c>
      <c r="AF1951" s="14">
        <f>IF($B1951="","",IF(AND($AG1951&lt;&gt;"",$AI1951="",$AL1951=""),"保留中",IF($AL1951&lt;&gt;"",IF(N($AE1951)&gt;0,"支給済","不支給"),IF($AE1951="","要確認",IF($AE1951=0,"不支給","未処理")))))</f>
        <v/>
      </c>
      <c r="AG1951" s="12" t="n"/>
      <c r="AH1951" s="11" t="n"/>
      <c r="AI1951" s="11" t="n"/>
      <c r="AJ1951" s="11" t="n"/>
      <c r="AK1951" s="14">
        <f>IF(AND($AF1951="保留中",$AH1951&lt;&gt;""),TODAY()-$AH1951,"")</f>
        <v/>
      </c>
      <c r="AL1951" s="12" t="n"/>
      <c r="AM1951" s="14">
        <f>IF($B1951="","",IF($AQ1951="","対象年月が未入力／","")&amp;IF($B1951="","",IF($AP1951="","職員マスタに未登録の職員番号／",IF($AA1951="","標準報酬月額が未登録／","")&amp;IF(AND($AQ1951&lt;&gt;"",OR(AND(INDEX(職員マスタ!$G$6:$G$405,$AP1951)&lt;&gt;"",INDEX(職員マスタ!$G$6:$G$405,$AP1951)&gt;EOMONTH($AQ1951,0)),AND(INDEX(職員マスタ!$H$6:$H$405,$AP1951)&lt;&gt;"",INDEX(職員マスタ!$H$6:$H$405,$AP1951)&lt;$AQ1951))),"対象月が時短期間外／","")&amp;IF(AND(INDEX(職員マスタ!$K$6:$K$405,$AP1951)&lt;&gt;"",N($W1951)&gt;0,INDEX(職員マスタ!$K$6:$K$405,$AP1951)&lt;&gt;$W1951),"標準報酬月額が申請書と相違（台帳"&amp;TEXT(INDEX(職員マスタ!$K$6:$K$405,$AP1951),"#,##0")&amp;"円／申請書"&amp;TEXT($W1951,"#,##0")&amp;"円）／","")&amp;IF(AND(INDEX(職員マスタ!$F$6:$F$405,$AP1951)&lt;&gt;"",$AQ1951&lt;&gt;"",INDEX(職員マスタ!$F$6:$F$405,$AP1951)&lt;$AQ1951),"対象月に子が2歳到達済／","")&amp;IF(AND($H1951&lt;&gt;"",INDEX(職員マスタ!$B$6:$B$405,$AP1951)&lt;&gt;"",SUBSTITUTE(SUBSTITUTE($H1951," ","")," ","")&lt;&gt;SUBSTITUTE(SUBSTITUTE(INDEX(職員マスタ!$B$6:$B$405,$AP1951)," ","")," ","")),"氏名がマスタと相違／","")&amp;IF(AND($Q1951&lt;&gt;"",INDEX(職員マスタ!$E$6:$E$405,$AP1951)&lt;&gt;"",$Q1951&lt;&gt;INDEX(職員マスタ!$E$6:$E$405,$AP1951)),"子の生年月日がマスタと相違／","")&amp;IF(AND($L1951&lt;&gt;"",INDEX(職員マスタ!$G$6:$G$405,$AP1951)&lt;&gt;"",$L1951&lt;&gt;INDEX(職員マスタ!$G$6:$G$405,$AP1951)),"時短開始日がマスタと相違／","")&amp;IF(AND($M1951&lt;&gt;"",INDEX(職員マスタ!$H$6:$H$405,$AP1951)&lt;&gt;"",$M1951&lt;&gt;INDEX(職員マスタ!$H$6:$H$405,$AP1951)),"時短終了日がマスタと相違／","")))&amp;IF(AND($B1951&lt;&gt;"",$E1951=""),"報酬額が未入力／","")&amp;IF(N($U1951)&gt;0,"申請書に入力エラーが残っています／","")&amp;IF(AND($B1951&lt;&gt;"",$AQ1951&lt;&gt;""),IF(COUNTIFS($B$6:$B$3005,$B1951,$C$6:$C$3005,$C1951,$D$6:$D$3005,$D1951)&gt;1,"同じ月の請求が重複しています／",""),"")&amp;IF(AND(N($E1951)&gt;0,$AB1951&lt;&gt;"",$AB1951&lt;&gt;"×",$AE1951=0,$AD1951=""),"計算額が下限以下のため不支給／",""))</f>
        <v/>
      </c>
      <c r="AN1951" s="12" t="n"/>
      <c r="AO1951" s="14">
        <f>IF($AF1951="保留中",COUNTIF($AF$6:$AF1951,"保留中"),"")</f>
        <v/>
      </c>
      <c r="AP1951" s="14">
        <f>IF($AQ1951="","",IF(SUMPRODUCT(MAX((職員マスタ!$A$6:$A$405=$B1951)*(((職員マスタ!$G$6:$G$405="")+(職員マスタ!$G$6:$G$405&lt;=EOMONTH($AQ1951,0)))&gt;0)*(((職員マスタ!$H$6:$H$405="")+(職員マスタ!$H$6:$H$405&gt;=$AQ1951))&gt;0)*(ROW(職員マスタ!$A$6:$A$405)-5)))&gt;0,SUMPRODUCT(MAX((職員マスタ!$A$6:$A$405=$B1951)*(((職員マスタ!$G$6:$G$405="")+(職員マスタ!$G$6:$G$405&lt;=EOMONTH($AQ1951,0)))&gt;0)*(((職員マスタ!$H$6:$H$405="")+(職員マスタ!$H$6:$H$405&gt;=$AQ1951))&gt;0)*(ROW(職員マスタ!$A$6:$A$405)-5))),IFERROR(MATCH($B1951,職員マスタ!$A$6:$A$405,0),"")))</f>
        <v/>
      </c>
      <c r="AQ1951" s="16">
        <f>IF(OR($B1951="",$C1951="",$D1951=""),"",DATE($C1951+2018,$D1951,1))</f>
        <v/>
      </c>
    </row>
    <row r="1952">
      <c r="A1952" s="11" t="n"/>
      <c r="B1952" s="12" t="n"/>
      <c r="C1952" s="12" t="n"/>
      <c r="D1952" s="12" t="n"/>
      <c r="E1952" s="13" t="n"/>
      <c r="F1952" s="12" t="n"/>
      <c r="G1952" s="13" t="n"/>
      <c r="H1952" s="12" t="n"/>
      <c r="I1952" s="12" t="n"/>
      <c r="J1952" s="12" t="n"/>
      <c r="K1952" s="12" t="n"/>
      <c r="L1952" s="11" t="n"/>
      <c r="M1952" s="11" t="n"/>
      <c r="N1952" s="11" t="n"/>
      <c r="O1952" s="11" t="n"/>
      <c r="P1952" s="12" t="n"/>
      <c r="Q1952" s="11" t="n"/>
      <c r="R1952" s="12" t="n"/>
      <c r="S1952" s="11" t="n"/>
      <c r="T1952" s="12" t="n"/>
      <c r="U1952" s="12" t="n"/>
      <c r="V1952" s="12" t="n"/>
      <c r="W1952" s="13" t="n"/>
      <c r="X1952" s="14">
        <f>IF($AP1952="",IF($B1952="","",$H1952),IF(INDEX(職員マスタ!$B$6:$B$405,$AP1952)="",$H1952,INDEX(職員マスタ!$B$6:$B$405,$AP1952)))</f>
        <v/>
      </c>
      <c r="Y1952" s="14">
        <f>IF($AP1952="",IF($B1952="","",$R1952),IF(INDEX(職員マスタ!$C$6:$C$405,$AP1952)="",$R1952,INDEX(職員マスタ!$C$6:$C$405,$AP1952)))</f>
        <v/>
      </c>
      <c r="Z1952" s="14">
        <f>IF($AQ1952="","","R"&amp;$C1952&amp;"."&amp;$D1952)</f>
        <v/>
      </c>
      <c r="AA1952" s="15">
        <f>IF(IF($AP1952="",FALSE,INDEX(職員マスタ!$K$6:$K$405,$AP1952)&lt;&gt;""),INDEX(職員マスタ!$K$6:$K$405,$AP1952),IF(N($W1952)&gt;0,$W1952,""))</f>
        <v/>
      </c>
      <c r="AB1952" s="14">
        <f>IF(OR($E1952="",$AA1952=""),"",IF($E1952&gt;=$AA1952,"×",IF($E1952&gt;=$AA1952*設定!$C$5,"△","○")))</f>
        <v/>
      </c>
      <c r="AC1952" s="15">
        <f>IF($AB1952="","",IF($AB1952="×",0,IF($AB1952="○",ROUNDDOWN($E1952*設定!$C$4,0),ROUNDDOWN($E1952*ROUND((9*$AA1952-9*$E1952)/(10*$E1952),4),0))))</f>
        <v/>
      </c>
      <c r="AD1952" s="13" t="n"/>
      <c r="AE1952" s="15">
        <f>IF($B1952="","",IF($AD1952&lt;&gt;"",$AD1952,IF($AC1952="","",IF($AC1952&lt;=設定!$C$3,0,$AC1952))))</f>
        <v/>
      </c>
      <c r="AF1952" s="14">
        <f>IF($B1952="","",IF(AND($AG1952&lt;&gt;"",$AI1952="",$AL1952=""),"保留中",IF($AL1952&lt;&gt;"",IF(N($AE1952)&gt;0,"支給済","不支給"),IF($AE1952="","要確認",IF($AE1952=0,"不支給","未処理")))))</f>
        <v/>
      </c>
      <c r="AG1952" s="12" t="n"/>
      <c r="AH1952" s="11" t="n"/>
      <c r="AI1952" s="11" t="n"/>
      <c r="AJ1952" s="11" t="n"/>
      <c r="AK1952" s="14">
        <f>IF(AND($AF1952="保留中",$AH1952&lt;&gt;""),TODAY()-$AH1952,"")</f>
        <v/>
      </c>
      <c r="AL1952" s="12" t="n"/>
      <c r="AM1952" s="14">
        <f>IF($B1952="","",IF($AQ1952="","対象年月が未入力／","")&amp;IF($B1952="","",IF($AP1952="","職員マスタに未登録の職員番号／",IF($AA1952="","標準報酬月額が未登録／","")&amp;IF(AND($AQ1952&lt;&gt;"",OR(AND(INDEX(職員マスタ!$G$6:$G$405,$AP1952)&lt;&gt;"",INDEX(職員マスタ!$G$6:$G$405,$AP1952)&gt;EOMONTH($AQ1952,0)),AND(INDEX(職員マスタ!$H$6:$H$405,$AP1952)&lt;&gt;"",INDEX(職員マスタ!$H$6:$H$405,$AP1952)&lt;$AQ1952))),"対象月が時短期間外／","")&amp;IF(AND(INDEX(職員マスタ!$K$6:$K$405,$AP1952)&lt;&gt;"",N($W1952)&gt;0,INDEX(職員マスタ!$K$6:$K$405,$AP1952)&lt;&gt;$W1952),"標準報酬月額が申請書と相違（台帳"&amp;TEXT(INDEX(職員マスタ!$K$6:$K$405,$AP1952),"#,##0")&amp;"円／申請書"&amp;TEXT($W1952,"#,##0")&amp;"円）／","")&amp;IF(AND(INDEX(職員マスタ!$F$6:$F$405,$AP1952)&lt;&gt;"",$AQ1952&lt;&gt;"",INDEX(職員マスタ!$F$6:$F$405,$AP1952)&lt;$AQ1952),"対象月に子が2歳到達済／","")&amp;IF(AND($H1952&lt;&gt;"",INDEX(職員マスタ!$B$6:$B$405,$AP1952)&lt;&gt;"",SUBSTITUTE(SUBSTITUTE($H1952," ","")," ","")&lt;&gt;SUBSTITUTE(SUBSTITUTE(INDEX(職員マスタ!$B$6:$B$405,$AP1952)," ","")," ","")),"氏名がマスタと相違／","")&amp;IF(AND($Q1952&lt;&gt;"",INDEX(職員マスタ!$E$6:$E$405,$AP1952)&lt;&gt;"",$Q1952&lt;&gt;INDEX(職員マスタ!$E$6:$E$405,$AP1952)),"子の生年月日がマスタと相違／","")&amp;IF(AND($L1952&lt;&gt;"",INDEX(職員マスタ!$G$6:$G$405,$AP1952)&lt;&gt;"",$L1952&lt;&gt;INDEX(職員マスタ!$G$6:$G$405,$AP1952)),"時短開始日がマスタと相違／","")&amp;IF(AND($M1952&lt;&gt;"",INDEX(職員マスタ!$H$6:$H$405,$AP1952)&lt;&gt;"",$M1952&lt;&gt;INDEX(職員マスタ!$H$6:$H$405,$AP1952)),"時短終了日がマスタと相違／","")))&amp;IF(AND($B1952&lt;&gt;"",$E1952=""),"報酬額が未入力／","")&amp;IF(N($U1952)&gt;0,"申請書に入力エラーが残っています／","")&amp;IF(AND($B1952&lt;&gt;"",$AQ1952&lt;&gt;""),IF(COUNTIFS($B$6:$B$3005,$B1952,$C$6:$C$3005,$C1952,$D$6:$D$3005,$D1952)&gt;1,"同じ月の請求が重複しています／",""),"")&amp;IF(AND(N($E1952)&gt;0,$AB1952&lt;&gt;"",$AB1952&lt;&gt;"×",$AE1952=0,$AD1952=""),"計算額が下限以下のため不支給／",""))</f>
        <v/>
      </c>
      <c r="AN1952" s="12" t="n"/>
      <c r="AO1952" s="14">
        <f>IF($AF1952="保留中",COUNTIF($AF$6:$AF1952,"保留中"),"")</f>
        <v/>
      </c>
      <c r="AP1952" s="14">
        <f>IF($AQ1952="","",IF(SUMPRODUCT(MAX((職員マスタ!$A$6:$A$405=$B1952)*(((職員マスタ!$G$6:$G$405="")+(職員マスタ!$G$6:$G$405&lt;=EOMONTH($AQ1952,0)))&gt;0)*(((職員マスタ!$H$6:$H$405="")+(職員マスタ!$H$6:$H$405&gt;=$AQ1952))&gt;0)*(ROW(職員マスタ!$A$6:$A$405)-5)))&gt;0,SUMPRODUCT(MAX((職員マスタ!$A$6:$A$405=$B1952)*(((職員マスタ!$G$6:$G$405="")+(職員マスタ!$G$6:$G$405&lt;=EOMONTH($AQ1952,0)))&gt;0)*(((職員マスタ!$H$6:$H$405="")+(職員マスタ!$H$6:$H$405&gt;=$AQ1952))&gt;0)*(ROW(職員マスタ!$A$6:$A$405)-5))),IFERROR(MATCH($B1952,職員マスタ!$A$6:$A$405,0),"")))</f>
        <v/>
      </c>
      <c r="AQ1952" s="16">
        <f>IF(OR($B1952="",$C1952="",$D1952=""),"",DATE($C1952+2018,$D1952,1))</f>
        <v/>
      </c>
    </row>
    <row r="1953">
      <c r="A1953" s="11" t="n"/>
      <c r="B1953" s="12" t="n"/>
      <c r="C1953" s="12" t="n"/>
      <c r="D1953" s="12" t="n"/>
      <c r="E1953" s="13" t="n"/>
      <c r="F1953" s="12" t="n"/>
      <c r="G1953" s="13" t="n"/>
      <c r="H1953" s="12" t="n"/>
      <c r="I1953" s="12" t="n"/>
      <c r="J1953" s="12" t="n"/>
      <c r="K1953" s="12" t="n"/>
      <c r="L1953" s="11" t="n"/>
      <c r="M1953" s="11" t="n"/>
      <c r="N1953" s="11" t="n"/>
      <c r="O1953" s="11" t="n"/>
      <c r="P1953" s="12" t="n"/>
      <c r="Q1953" s="11" t="n"/>
      <c r="R1953" s="12" t="n"/>
      <c r="S1953" s="11" t="n"/>
      <c r="T1953" s="12" t="n"/>
      <c r="U1953" s="12" t="n"/>
      <c r="V1953" s="12" t="n"/>
      <c r="W1953" s="13" t="n"/>
      <c r="X1953" s="14">
        <f>IF($AP1953="",IF($B1953="","",$H1953),IF(INDEX(職員マスタ!$B$6:$B$405,$AP1953)="",$H1953,INDEX(職員マスタ!$B$6:$B$405,$AP1953)))</f>
        <v/>
      </c>
      <c r="Y1953" s="14">
        <f>IF($AP1953="",IF($B1953="","",$R1953),IF(INDEX(職員マスタ!$C$6:$C$405,$AP1953)="",$R1953,INDEX(職員マスタ!$C$6:$C$405,$AP1953)))</f>
        <v/>
      </c>
      <c r="Z1953" s="14">
        <f>IF($AQ1953="","","R"&amp;$C1953&amp;"."&amp;$D1953)</f>
        <v/>
      </c>
      <c r="AA1953" s="15">
        <f>IF(IF($AP1953="",FALSE,INDEX(職員マスタ!$K$6:$K$405,$AP1953)&lt;&gt;""),INDEX(職員マスタ!$K$6:$K$405,$AP1953),IF(N($W1953)&gt;0,$W1953,""))</f>
        <v/>
      </c>
      <c r="AB1953" s="14">
        <f>IF(OR($E1953="",$AA1953=""),"",IF($E1953&gt;=$AA1953,"×",IF($E1953&gt;=$AA1953*設定!$C$5,"△","○")))</f>
        <v/>
      </c>
      <c r="AC1953" s="15">
        <f>IF($AB1953="","",IF($AB1953="×",0,IF($AB1953="○",ROUNDDOWN($E1953*設定!$C$4,0),ROUNDDOWN($E1953*ROUND((9*$AA1953-9*$E1953)/(10*$E1953),4),0))))</f>
        <v/>
      </c>
      <c r="AD1953" s="13" t="n"/>
      <c r="AE1953" s="15">
        <f>IF($B1953="","",IF($AD1953&lt;&gt;"",$AD1953,IF($AC1953="","",IF($AC1953&lt;=設定!$C$3,0,$AC1953))))</f>
        <v/>
      </c>
      <c r="AF1953" s="14">
        <f>IF($B1953="","",IF(AND($AG1953&lt;&gt;"",$AI1953="",$AL1953=""),"保留中",IF($AL1953&lt;&gt;"",IF(N($AE1953)&gt;0,"支給済","不支給"),IF($AE1953="","要確認",IF($AE1953=0,"不支給","未処理")))))</f>
        <v/>
      </c>
      <c r="AG1953" s="12" t="n"/>
      <c r="AH1953" s="11" t="n"/>
      <c r="AI1953" s="11" t="n"/>
      <c r="AJ1953" s="11" t="n"/>
      <c r="AK1953" s="14">
        <f>IF(AND($AF1953="保留中",$AH1953&lt;&gt;""),TODAY()-$AH1953,"")</f>
        <v/>
      </c>
      <c r="AL1953" s="12" t="n"/>
      <c r="AM1953" s="14">
        <f>IF($B1953="","",IF($AQ1953="","対象年月が未入力／","")&amp;IF($B1953="","",IF($AP1953="","職員マスタに未登録の職員番号／",IF($AA1953="","標準報酬月額が未登録／","")&amp;IF(AND($AQ1953&lt;&gt;"",OR(AND(INDEX(職員マスタ!$G$6:$G$405,$AP1953)&lt;&gt;"",INDEX(職員マスタ!$G$6:$G$405,$AP1953)&gt;EOMONTH($AQ1953,0)),AND(INDEX(職員マスタ!$H$6:$H$405,$AP1953)&lt;&gt;"",INDEX(職員マスタ!$H$6:$H$405,$AP1953)&lt;$AQ1953))),"対象月が時短期間外／","")&amp;IF(AND(INDEX(職員マスタ!$K$6:$K$405,$AP1953)&lt;&gt;"",N($W1953)&gt;0,INDEX(職員マスタ!$K$6:$K$405,$AP1953)&lt;&gt;$W1953),"標準報酬月額が申請書と相違（台帳"&amp;TEXT(INDEX(職員マスタ!$K$6:$K$405,$AP1953),"#,##0")&amp;"円／申請書"&amp;TEXT($W1953,"#,##0")&amp;"円）／","")&amp;IF(AND(INDEX(職員マスタ!$F$6:$F$405,$AP1953)&lt;&gt;"",$AQ1953&lt;&gt;"",INDEX(職員マスタ!$F$6:$F$405,$AP1953)&lt;$AQ1953),"対象月に子が2歳到達済／","")&amp;IF(AND($H1953&lt;&gt;"",INDEX(職員マスタ!$B$6:$B$405,$AP1953)&lt;&gt;"",SUBSTITUTE(SUBSTITUTE($H1953," ","")," ","")&lt;&gt;SUBSTITUTE(SUBSTITUTE(INDEX(職員マスタ!$B$6:$B$405,$AP1953)," ","")," ","")),"氏名がマスタと相違／","")&amp;IF(AND($Q1953&lt;&gt;"",INDEX(職員マスタ!$E$6:$E$405,$AP1953)&lt;&gt;"",$Q1953&lt;&gt;INDEX(職員マスタ!$E$6:$E$405,$AP1953)),"子の生年月日がマスタと相違／","")&amp;IF(AND($L1953&lt;&gt;"",INDEX(職員マスタ!$G$6:$G$405,$AP1953)&lt;&gt;"",$L1953&lt;&gt;INDEX(職員マスタ!$G$6:$G$405,$AP1953)),"時短開始日がマスタと相違／","")&amp;IF(AND($M1953&lt;&gt;"",INDEX(職員マスタ!$H$6:$H$405,$AP1953)&lt;&gt;"",$M1953&lt;&gt;INDEX(職員マスタ!$H$6:$H$405,$AP1953)),"時短終了日がマスタと相違／","")))&amp;IF(AND($B1953&lt;&gt;"",$E1953=""),"報酬額が未入力／","")&amp;IF(N($U1953)&gt;0,"申請書に入力エラーが残っています／","")&amp;IF(AND($B1953&lt;&gt;"",$AQ1953&lt;&gt;""),IF(COUNTIFS($B$6:$B$3005,$B1953,$C$6:$C$3005,$C1953,$D$6:$D$3005,$D1953)&gt;1,"同じ月の請求が重複しています／",""),"")&amp;IF(AND(N($E1953)&gt;0,$AB1953&lt;&gt;"",$AB1953&lt;&gt;"×",$AE1953=0,$AD1953=""),"計算額が下限以下のため不支給／",""))</f>
        <v/>
      </c>
      <c r="AN1953" s="12" t="n"/>
      <c r="AO1953" s="14">
        <f>IF($AF1953="保留中",COUNTIF($AF$6:$AF1953,"保留中"),"")</f>
        <v/>
      </c>
      <c r="AP1953" s="14">
        <f>IF($AQ1953="","",IF(SUMPRODUCT(MAX((職員マスタ!$A$6:$A$405=$B1953)*(((職員マスタ!$G$6:$G$405="")+(職員マスタ!$G$6:$G$405&lt;=EOMONTH($AQ1953,0)))&gt;0)*(((職員マスタ!$H$6:$H$405="")+(職員マスタ!$H$6:$H$405&gt;=$AQ1953))&gt;0)*(ROW(職員マスタ!$A$6:$A$405)-5)))&gt;0,SUMPRODUCT(MAX((職員マスタ!$A$6:$A$405=$B1953)*(((職員マスタ!$G$6:$G$405="")+(職員マスタ!$G$6:$G$405&lt;=EOMONTH($AQ1953,0)))&gt;0)*(((職員マスタ!$H$6:$H$405="")+(職員マスタ!$H$6:$H$405&gt;=$AQ1953))&gt;0)*(ROW(職員マスタ!$A$6:$A$405)-5))),IFERROR(MATCH($B1953,職員マスタ!$A$6:$A$405,0),"")))</f>
        <v/>
      </c>
      <c r="AQ1953" s="16">
        <f>IF(OR($B1953="",$C1953="",$D1953=""),"",DATE($C1953+2018,$D1953,1))</f>
        <v/>
      </c>
    </row>
    <row r="1954">
      <c r="A1954" s="11" t="n"/>
      <c r="B1954" s="12" t="n"/>
      <c r="C1954" s="12" t="n"/>
      <c r="D1954" s="12" t="n"/>
      <c r="E1954" s="13" t="n"/>
      <c r="F1954" s="12" t="n"/>
      <c r="G1954" s="13" t="n"/>
      <c r="H1954" s="12" t="n"/>
      <c r="I1954" s="12" t="n"/>
      <c r="J1954" s="12" t="n"/>
      <c r="K1954" s="12" t="n"/>
      <c r="L1954" s="11" t="n"/>
      <c r="M1954" s="11" t="n"/>
      <c r="N1954" s="11" t="n"/>
      <c r="O1954" s="11" t="n"/>
      <c r="P1954" s="12" t="n"/>
      <c r="Q1954" s="11" t="n"/>
      <c r="R1954" s="12" t="n"/>
      <c r="S1954" s="11" t="n"/>
      <c r="T1954" s="12" t="n"/>
      <c r="U1954" s="12" t="n"/>
      <c r="V1954" s="12" t="n"/>
      <c r="W1954" s="13" t="n"/>
      <c r="X1954" s="14">
        <f>IF($AP1954="",IF($B1954="","",$H1954),IF(INDEX(職員マスタ!$B$6:$B$405,$AP1954)="",$H1954,INDEX(職員マスタ!$B$6:$B$405,$AP1954)))</f>
        <v/>
      </c>
      <c r="Y1954" s="14">
        <f>IF($AP1954="",IF($B1954="","",$R1954),IF(INDEX(職員マスタ!$C$6:$C$405,$AP1954)="",$R1954,INDEX(職員マスタ!$C$6:$C$405,$AP1954)))</f>
        <v/>
      </c>
      <c r="Z1954" s="14">
        <f>IF($AQ1954="","","R"&amp;$C1954&amp;"."&amp;$D1954)</f>
        <v/>
      </c>
      <c r="AA1954" s="15">
        <f>IF(IF($AP1954="",FALSE,INDEX(職員マスタ!$K$6:$K$405,$AP1954)&lt;&gt;""),INDEX(職員マスタ!$K$6:$K$405,$AP1954),IF(N($W1954)&gt;0,$W1954,""))</f>
        <v/>
      </c>
      <c r="AB1954" s="14">
        <f>IF(OR($E1954="",$AA1954=""),"",IF($E1954&gt;=$AA1954,"×",IF($E1954&gt;=$AA1954*設定!$C$5,"△","○")))</f>
        <v/>
      </c>
      <c r="AC1954" s="15">
        <f>IF($AB1954="","",IF($AB1954="×",0,IF($AB1954="○",ROUNDDOWN($E1954*設定!$C$4,0),ROUNDDOWN($E1954*ROUND((9*$AA1954-9*$E1954)/(10*$E1954),4),0))))</f>
        <v/>
      </c>
      <c r="AD1954" s="13" t="n"/>
      <c r="AE1954" s="15">
        <f>IF($B1954="","",IF($AD1954&lt;&gt;"",$AD1954,IF($AC1954="","",IF($AC1954&lt;=設定!$C$3,0,$AC1954))))</f>
        <v/>
      </c>
      <c r="AF1954" s="14">
        <f>IF($B1954="","",IF(AND($AG1954&lt;&gt;"",$AI1954="",$AL1954=""),"保留中",IF($AL1954&lt;&gt;"",IF(N($AE1954)&gt;0,"支給済","不支給"),IF($AE1954="","要確認",IF($AE1954=0,"不支給","未処理")))))</f>
        <v/>
      </c>
      <c r="AG1954" s="12" t="n"/>
      <c r="AH1954" s="11" t="n"/>
      <c r="AI1954" s="11" t="n"/>
      <c r="AJ1954" s="11" t="n"/>
      <c r="AK1954" s="14">
        <f>IF(AND($AF1954="保留中",$AH1954&lt;&gt;""),TODAY()-$AH1954,"")</f>
        <v/>
      </c>
      <c r="AL1954" s="12" t="n"/>
      <c r="AM1954" s="14">
        <f>IF($B1954="","",IF($AQ1954="","対象年月が未入力／","")&amp;IF($B1954="","",IF($AP1954="","職員マスタに未登録の職員番号／",IF($AA1954="","標準報酬月額が未登録／","")&amp;IF(AND($AQ1954&lt;&gt;"",OR(AND(INDEX(職員マスタ!$G$6:$G$405,$AP1954)&lt;&gt;"",INDEX(職員マスタ!$G$6:$G$405,$AP1954)&gt;EOMONTH($AQ1954,0)),AND(INDEX(職員マスタ!$H$6:$H$405,$AP1954)&lt;&gt;"",INDEX(職員マスタ!$H$6:$H$405,$AP1954)&lt;$AQ1954))),"対象月が時短期間外／","")&amp;IF(AND(INDEX(職員マスタ!$K$6:$K$405,$AP1954)&lt;&gt;"",N($W1954)&gt;0,INDEX(職員マスタ!$K$6:$K$405,$AP1954)&lt;&gt;$W1954),"標準報酬月額が申請書と相違（台帳"&amp;TEXT(INDEX(職員マスタ!$K$6:$K$405,$AP1954),"#,##0")&amp;"円／申請書"&amp;TEXT($W1954,"#,##0")&amp;"円）／","")&amp;IF(AND(INDEX(職員マスタ!$F$6:$F$405,$AP1954)&lt;&gt;"",$AQ1954&lt;&gt;"",INDEX(職員マスタ!$F$6:$F$405,$AP1954)&lt;$AQ1954),"対象月に子が2歳到達済／","")&amp;IF(AND($H1954&lt;&gt;"",INDEX(職員マスタ!$B$6:$B$405,$AP1954)&lt;&gt;"",SUBSTITUTE(SUBSTITUTE($H1954," ","")," ","")&lt;&gt;SUBSTITUTE(SUBSTITUTE(INDEX(職員マスタ!$B$6:$B$405,$AP1954)," ","")," ","")),"氏名がマスタと相違／","")&amp;IF(AND($Q1954&lt;&gt;"",INDEX(職員マスタ!$E$6:$E$405,$AP1954)&lt;&gt;"",$Q1954&lt;&gt;INDEX(職員マスタ!$E$6:$E$405,$AP1954)),"子の生年月日がマスタと相違／","")&amp;IF(AND($L1954&lt;&gt;"",INDEX(職員マスタ!$G$6:$G$405,$AP1954)&lt;&gt;"",$L1954&lt;&gt;INDEX(職員マスタ!$G$6:$G$405,$AP1954)),"時短開始日がマスタと相違／","")&amp;IF(AND($M1954&lt;&gt;"",INDEX(職員マスタ!$H$6:$H$405,$AP1954)&lt;&gt;"",$M1954&lt;&gt;INDEX(職員マスタ!$H$6:$H$405,$AP1954)),"時短終了日がマスタと相違／","")))&amp;IF(AND($B1954&lt;&gt;"",$E1954=""),"報酬額が未入力／","")&amp;IF(N($U1954)&gt;0,"申請書に入力エラーが残っています／","")&amp;IF(AND($B1954&lt;&gt;"",$AQ1954&lt;&gt;""),IF(COUNTIFS($B$6:$B$3005,$B1954,$C$6:$C$3005,$C1954,$D$6:$D$3005,$D1954)&gt;1,"同じ月の請求が重複しています／",""),"")&amp;IF(AND(N($E1954)&gt;0,$AB1954&lt;&gt;"",$AB1954&lt;&gt;"×",$AE1954=0,$AD1954=""),"計算額が下限以下のため不支給／",""))</f>
        <v/>
      </c>
      <c r="AN1954" s="12" t="n"/>
      <c r="AO1954" s="14">
        <f>IF($AF1954="保留中",COUNTIF($AF$6:$AF1954,"保留中"),"")</f>
        <v/>
      </c>
      <c r="AP1954" s="14">
        <f>IF($AQ1954="","",IF(SUMPRODUCT(MAX((職員マスタ!$A$6:$A$405=$B1954)*(((職員マスタ!$G$6:$G$405="")+(職員マスタ!$G$6:$G$405&lt;=EOMONTH($AQ1954,0)))&gt;0)*(((職員マスタ!$H$6:$H$405="")+(職員マスタ!$H$6:$H$405&gt;=$AQ1954))&gt;0)*(ROW(職員マスタ!$A$6:$A$405)-5)))&gt;0,SUMPRODUCT(MAX((職員マスタ!$A$6:$A$405=$B1954)*(((職員マスタ!$G$6:$G$405="")+(職員マスタ!$G$6:$G$405&lt;=EOMONTH($AQ1954,0)))&gt;0)*(((職員マスタ!$H$6:$H$405="")+(職員マスタ!$H$6:$H$405&gt;=$AQ1954))&gt;0)*(ROW(職員マスタ!$A$6:$A$405)-5))),IFERROR(MATCH($B1954,職員マスタ!$A$6:$A$405,0),"")))</f>
        <v/>
      </c>
      <c r="AQ1954" s="16">
        <f>IF(OR($B1954="",$C1954="",$D1954=""),"",DATE($C1954+2018,$D1954,1))</f>
        <v/>
      </c>
    </row>
    <row r="1955">
      <c r="A1955" s="11" t="n"/>
      <c r="B1955" s="12" t="n"/>
      <c r="C1955" s="12" t="n"/>
      <c r="D1955" s="12" t="n"/>
      <c r="E1955" s="13" t="n"/>
      <c r="F1955" s="12" t="n"/>
      <c r="G1955" s="13" t="n"/>
      <c r="H1955" s="12" t="n"/>
      <c r="I1955" s="12" t="n"/>
      <c r="J1955" s="12" t="n"/>
      <c r="K1955" s="12" t="n"/>
      <c r="L1955" s="11" t="n"/>
      <c r="M1955" s="11" t="n"/>
      <c r="N1955" s="11" t="n"/>
      <c r="O1955" s="11" t="n"/>
      <c r="P1955" s="12" t="n"/>
      <c r="Q1955" s="11" t="n"/>
      <c r="R1955" s="12" t="n"/>
      <c r="S1955" s="11" t="n"/>
      <c r="T1955" s="12" t="n"/>
      <c r="U1955" s="12" t="n"/>
      <c r="V1955" s="12" t="n"/>
      <c r="W1955" s="13" t="n"/>
      <c r="X1955" s="14">
        <f>IF($AP1955="",IF($B1955="","",$H1955),IF(INDEX(職員マスタ!$B$6:$B$405,$AP1955)="",$H1955,INDEX(職員マスタ!$B$6:$B$405,$AP1955)))</f>
        <v/>
      </c>
      <c r="Y1955" s="14">
        <f>IF($AP1955="",IF($B1955="","",$R1955),IF(INDEX(職員マスタ!$C$6:$C$405,$AP1955)="",$R1955,INDEX(職員マスタ!$C$6:$C$405,$AP1955)))</f>
        <v/>
      </c>
      <c r="Z1955" s="14">
        <f>IF($AQ1955="","","R"&amp;$C1955&amp;"."&amp;$D1955)</f>
        <v/>
      </c>
      <c r="AA1955" s="15">
        <f>IF(IF($AP1955="",FALSE,INDEX(職員マスタ!$K$6:$K$405,$AP1955)&lt;&gt;""),INDEX(職員マスタ!$K$6:$K$405,$AP1955),IF(N($W1955)&gt;0,$W1955,""))</f>
        <v/>
      </c>
      <c r="AB1955" s="14">
        <f>IF(OR($E1955="",$AA1955=""),"",IF($E1955&gt;=$AA1955,"×",IF($E1955&gt;=$AA1955*設定!$C$5,"△","○")))</f>
        <v/>
      </c>
      <c r="AC1955" s="15">
        <f>IF($AB1955="","",IF($AB1955="×",0,IF($AB1955="○",ROUNDDOWN($E1955*設定!$C$4,0),ROUNDDOWN($E1955*ROUND((9*$AA1955-9*$E1955)/(10*$E1955),4),0))))</f>
        <v/>
      </c>
      <c r="AD1955" s="13" t="n"/>
      <c r="AE1955" s="15">
        <f>IF($B1955="","",IF($AD1955&lt;&gt;"",$AD1955,IF($AC1955="","",IF($AC1955&lt;=設定!$C$3,0,$AC1955))))</f>
        <v/>
      </c>
      <c r="AF1955" s="14">
        <f>IF($B1955="","",IF(AND($AG1955&lt;&gt;"",$AI1955="",$AL1955=""),"保留中",IF($AL1955&lt;&gt;"",IF(N($AE1955)&gt;0,"支給済","不支給"),IF($AE1955="","要確認",IF($AE1955=0,"不支給","未処理")))))</f>
        <v/>
      </c>
      <c r="AG1955" s="12" t="n"/>
      <c r="AH1955" s="11" t="n"/>
      <c r="AI1955" s="11" t="n"/>
      <c r="AJ1955" s="11" t="n"/>
      <c r="AK1955" s="14">
        <f>IF(AND($AF1955="保留中",$AH1955&lt;&gt;""),TODAY()-$AH1955,"")</f>
        <v/>
      </c>
      <c r="AL1955" s="12" t="n"/>
      <c r="AM1955" s="14">
        <f>IF($B1955="","",IF($AQ1955="","対象年月が未入力／","")&amp;IF($B1955="","",IF($AP1955="","職員マスタに未登録の職員番号／",IF($AA1955="","標準報酬月額が未登録／","")&amp;IF(AND($AQ1955&lt;&gt;"",OR(AND(INDEX(職員マスタ!$G$6:$G$405,$AP1955)&lt;&gt;"",INDEX(職員マスタ!$G$6:$G$405,$AP1955)&gt;EOMONTH($AQ1955,0)),AND(INDEX(職員マスタ!$H$6:$H$405,$AP1955)&lt;&gt;"",INDEX(職員マスタ!$H$6:$H$405,$AP1955)&lt;$AQ1955))),"対象月が時短期間外／","")&amp;IF(AND(INDEX(職員マスタ!$K$6:$K$405,$AP1955)&lt;&gt;"",N($W1955)&gt;0,INDEX(職員マスタ!$K$6:$K$405,$AP1955)&lt;&gt;$W1955),"標準報酬月額が申請書と相違（台帳"&amp;TEXT(INDEX(職員マスタ!$K$6:$K$405,$AP1955),"#,##0")&amp;"円／申請書"&amp;TEXT($W1955,"#,##0")&amp;"円）／","")&amp;IF(AND(INDEX(職員マスタ!$F$6:$F$405,$AP1955)&lt;&gt;"",$AQ1955&lt;&gt;"",INDEX(職員マスタ!$F$6:$F$405,$AP1955)&lt;$AQ1955),"対象月に子が2歳到達済／","")&amp;IF(AND($H1955&lt;&gt;"",INDEX(職員マスタ!$B$6:$B$405,$AP1955)&lt;&gt;"",SUBSTITUTE(SUBSTITUTE($H1955," ","")," ","")&lt;&gt;SUBSTITUTE(SUBSTITUTE(INDEX(職員マスタ!$B$6:$B$405,$AP1955)," ","")," ","")),"氏名がマスタと相違／","")&amp;IF(AND($Q1955&lt;&gt;"",INDEX(職員マスタ!$E$6:$E$405,$AP1955)&lt;&gt;"",$Q1955&lt;&gt;INDEX(職員マスタ!$E$6:$E$405,$AP1955)),"子の生年月日がマスタと相違／","")&amp;IF(AND($L1955&lt;&gt;"",INDEX(職員マスタ!$G$6:$G$405,$AP1955)&lt;&gt;"",$L1955&lt;&gt;INDEX(職員マスタ!$G$6:$G$405,$AP1955)),"時短開始日がマスタと相違／","")&amp;IF(AND($M1955&lt;&gt;"",INDEX(職員マスタ!$H$6:$H$405,$AP1955)&lt;&gt;"",$M1955&lt;&gt;INDEX(職員マスタ!$H$6:$H$405,$AP1955)),"時短終了日がマスタと相違／","")))&amp;IF(AND($B1955&lt;&gt;"",$E1955=""),"報酬額が未入力／","")&amp;IF(N($U1955)&gt;0,"申請書に入力エラーが残っています／","")&amp;IF(AND($B1955&lt;&gt;"",$AQ1955&lt;&gt;""),IF(COUNTIFS($B$6:$B$3005,$B1955,$C$6:$C$3005,$C1955,$D$6:$D$3005,$D1955)&gt;1,"同じ月の請求が重複しています／",""),"")&amp;IF(AND(N($E1955)&gt;0,$AB1955&lt;&gt;"",$AB1955&lt;&gt;"×",$AE1955=0,$AD1955=""),"計算額が下限以下のため不支給／",""))</f>
        <v/>
      </c>
      <c r="AN1955" s="12" t="n"/>
      <c r="AO1955" s="14">
        <f>IF($AF1955="保留中",COUNTIF($AF$6:$AF1955,"保留中"),"")</f>
        <v/>
      </c>
      <c r="AP1955" s="14">
        <f>IF($AQ1955="","",IF(SUMPRODUCT(MAX((職員マスタ!$A$6:$A$405=$B1955)*(((職員マスタ!$G$6:$G$405="")+(職員マスタ!$G$6:$G$405&lt;=EOMONTH($AQ1955,0)))&gt;0)*(((職員マスタ!$H$6:$H$405="")+(職員マスタ!$H$6:$H$405&gt;=$AQ1955))&gt;0)*(ROW(職員マスタ!$A$6:$A$405)-5)))&gt;0,SUMPRODUCT(MAX((職員マスタ!$A$6:$A$405=$B1955)*(((職員マスタ!$G$6:$G$405="")+(職員マスタ!$G$6:$G$405&lt;=EOMONTH($AQ1955,0)))&gt;0)*(((職員マスタ!$H$6:$H$405="")+(職員マスタ!$H$6:$H$405&gt;=$AQ1955))&gt;0)*(ROW(職員マスタ!$A$6:$A$405)-5))),IFERROR(MATCH($B1955,職員マスタ!$A$6:$A$405,0),"")))</f>
        <v/>
      </c>
      <c r="AQ1955" s="16">
        <f>IF(OR($B1955="",$C1955="",$D1955=""),"",DATE($C1955+2018,$D1955,1))</f>
        <v/>
      </c>
    </row>
    <row r="1956">
      <c r="A1956" s="11" t="n"/>
      <c r="B1956" s="12" t="n"/>
      <c r="C1956" s="12" t="n"/>
      <c r="D1956" s="12" t="n"/>
      <c r="E1956" s="13" t="n"/>
      <c r="F1956" s="12" t="n"/>
      <c r="G1956" s="13" t="n"/>
      <c r="H1956" s="12" t="n"/>
      <c r="I1956" s="12" t="n"/>
      <c r="J1956" s="12" t="n"/>
      <c r="K1956" s="12" t="n"/>
      <c r="L1956" s="11" t="n"/>
      <c r="M1956" s="11" t="n"/>
      <c r="N1956" s="11" t="n"/>
      <c r="O1956" s="11" t="n"/>
      <c r="P1956" s="12" t="n"/>
      <c r="Q1956" s="11" t="n"/>
      <c r="R1956" s="12" t="n"/>
      <c r="S1956" s="11" t="n"/>
      <c r="T1956" s="12" t="n"/>
      <c r="U1956" s="12" t="n"/>
      <c r="V1956" s="12" t="n"/>
      <c r="W1956" s="13" t="n"/>
      <c r="X1956" s="14">
        <f>IF($AP1956="",IF($B1956="","",$H1956),IF(INDEX(職員マスタ!$B$6:$B$405,$AP1956)="",$H1956,INDEX(職員マスタ!$B$6:$B$405,$AP1956)))</f>
        <v/>
      </c>
      <c r="Y1956" s="14">
        <f>IF($AP1956="",IF($B1956="","",$R1956),IF(INDEX(職員マスタ!$C$6:$C$405,$AP1956)="",$R1956,INDEX(職員マスタ!$C$6:$C$405,$AP1956)))</f>
        <v/>
      </c>
      <c r="Z1956" s="14">
        <f>IF($AQ1956="","","R"&amp;$C1956&amp;"."&amp;$D1956)</f>
        <v/>
      </c>
      <c r="AA1956" s="15">
        <f>IF(IF($AP1956="",FALSE,INDEX(職員マスタ!$K$6:$K$405,$AP1956)&lt;&gt;""),INDEX(職員マスタ!$K$6:$K$405,$AP1956),IF(N($W1956)&gt;0,$W1956,""))</f>
        <v/>
      </c>
      <c r="AB1956" s="14">
        <f>IF(OR($E1956="",$AA1956=""),"",IF($E1956&gt;=$AA1956,"×",IF($E1956&gt;=$AA1956*設定!$C$5,"△","○")))</f>
        <v/>
      </c>
      <c r="AC1956" s="15">
        <f>IF($AB1956="","",IF($AB1956="×",0,IF($AB1956="○",ROUNDDOWN($E1956*設定!$C$4,0),ROUNDDOWN($E1956*ROUND((9*$AA1956-9*$E1956)/(10*$E1956),4),0))))</f>
        <v/>
      </c>
      <c r="AD1956" s="13" t="n"/>
      <c r="AE1956" s="15">
        <f>IF($B1956="","",IF($AD1956&lt;&gt;"",$AD1956,IF($AC1956="","",IF($AC1956&lt;=設定!$C$3,0,$AC1956))))</f>
        <v/>
      </c>
      <c r="AF1956" s="14">
        <f>IF($B1956="","",IF(AND($AG1956&lt;&gt;"",$AI1956="",$AL1956=""),"保留中",IF($AL1956&lt;&gt;"",IF(N($AE1956)&gt;0,"支給済","不支給"),IF($AE1956="","要確認",IF($AE1956=0,"不支給","未処理")))))</f>
        <v/>
      </c>
      <c r="AG1956" s="12" t="n"/>
      <c r="AH1956" s="11" t="n"/>
      <c r="AI1956" s="11" t="n"/>
      <c r="AJ1956" s="11" t="n"/>
      <c r="AK1956" s="14">
        <f>IF(AND($AF1956="保留中",$AH1956&lt;&gt;""),TODAY()-$AH1956,"")</f>
        <v/>
      </c>
      <c r="AL1956" s="12" t="n"/>
      <c r="AM1956" s="14">
        <f>IF($B1956="","",IF($AQ1956="","対象年月が未入力／","")&amp;IF($B1956="","",IF($AP1956="","職員マスタに未登録の職員番号／",IF($AA1956="","標準報酬月額が未登録／","")&amp;IF(AND($AQ1956&lt;&gt;"",OR(AND(INDEX(職員マスタ!$G$6:$G$405,$AP1956)&lt;&gt;"",INDEX(職員マスタ!$G$6:$G$405,$AP1956)&gt;EOMONTH($AQ1956,0)),AND(INDEX(職員マスタ!$H$6:$H$405,$AP1956)&lt;&gt;"",INDEX(職員マスタ!$H$6:$H$405,$AP1956)&lt;$AQ1956))),"対象月が時短期間外／","")&amp;IF(AND(INDEX(職員マスタ!$K$6:$K$405,$AP1956)&lt;&gt;"",N($W1956)&gt;0,INDEX(職員マスタ!$K$6:$K$405,$AP1956)&lt;&gt;$W1956),"標準報酬月額が申請書と相違（台帳"&amp;TEXT(INDEX(職員マスタ!$K$6:$K$405,$AP1956),"#,##0")&amp;"円／申請書"&amp;TEXT($W1956,"#,##0")&amp;"円）／","")&amp;IF(AND(INDEX(職員マスタ!$F$6:$F$405,$AP1956)&lt;&gt;"",$AQ1956&lt;&gt;"",INDEX(職員マスタ!$F$6:$F$405,$AP1956)&lt;$AQ1956),"対象月に子が2歳到達済／","")&amp;IF(AND($H1956&lt;&gt;"",INDEX(職員マスタ!$B$6:$B$405,$AP1956)&lt;&gt;"",SUBSTITUTE(SUBSTITUTE($H1956," ","")," ","")&lt;&gt;SUBSTITUTE(SUBSTITUTE(INDEX(職員マスタ!$B$6:$B$405,$AP1956)," ","")," ","")),"氏名がマスタと相違／","")&amp;IF(AND($Q1956&lt;&gt;"",INDEX(職員マスタ!$E$6:$E$405,$AP1956)&lt;&gt;"",$Q1956&lt;&gt;INDEX(職員マスタ!$E$6:$E$405,$AP1956)),"子の生年月日がマスタと相違／","")&amp;IF(AND($L1956&lt;&gt;"",INDEX(職員マスタ!$G$6:$G$405,$AP1956)&lt;&gt;"",$L1956&lt;&gt;INDEX(職員マスタ!$G$6:$G$405,$AP1956)),"時短開始日がマスタと相違／","")&amp;IF(AND($M1956&lt;&gt;"",INDEX(職員マスタ!$H$6:$H$405,$AP1956)&lt;&gt;"",$M1956&lt;&gt;INDEX(職員マスタ!$H$6:$H$405,$AP1956)),"時短終了日がマスタと相違／","")))&amp;IF(AND($B1956&lt;&gt;"",$E1956=""),"報酬額が未入力／","")&amp;IF(N($U1956)&gt;0,"申請書に入力エラーが残っています／","")&amp;IF(AND($B1956&lt;&gt;"",$AQ1956&lt;&gt;""),IF(COUNTIFS($B$6:$B$3005,$B1956,$C$6:$C$3005,$C1956,$D$6:$D$3005,$D1956)&gt;1,"同じ月の請求が重複しています／",""),"")&amp;IF(AND(N($E1956)&gt;0,$AB1956&lt;&gt;"",$AB1956&lt;&gt;"×",$AE1956=0,$AD1956=""),"計算額が下限以下のため不支給／",""))</f>
        <v/>
      </c>
      <c r="AN1956" s="12" t="n"/>
      <c r="AO1956" s="14">
        <f>IF($AF1956="保留中",COUNTIF($AF$6:$AF1956,"保留中"),"")</f>
        <v/>
      </c>
      <c r="AP1956" s="14">
        <f>IF($AQ1956="","",IF(SUMPRODUCT(MAX((職員マスタ!$A$6:$A$405=$B1956)*(((職員マスタ!$G$6:$G$405="")+(職員マスタ!$G$6:$G$405&lt;=EOMONTH($AQ1956,0)))&gt;0)*(((職員マスタ!$H$6:$H$405="")+(職員マスタ!$H$6:$H$405&gt;=$AQ1956))&gt;0)*(ROW(職員マスタ!$A$6:$A$405)-5)))&gt;0,SUMPRODUCT(MAX((職員マスタ!$A$6:$A$405=$B1956)*(((職員マスタ!$G$6:$G$405="")+(職員マスタ!$G$6:$G$405&lt;=EOMONTH($AQ1956,0)))&gt;0)*(((職員マスタ!$H$6:$H$405="")+(職員マスタ!$H$6:$H$405&gt;=$AQ1956))&gt;0)*(ROW(職員マスタ!$A$6:$A$405)-5))),IFERROR(MATCH($B1956,職員マスタ!$A$6:$A$405,0),"")))</f>
        <v/>
      </c>
      <c r="AQ1956" s="16">
        <f>IF(OR($B1956="",$C1956="",$D1956=""),"",DATE($C1956+2018,$D1956,1))</f>
        <v/>
      </c>
    </row>
    <row r="1957">
      <c r="A1957" s="11" t="n"/>
      <c r="B1957" s="12" t="n"/>
      <c r="C1957" s="12" t="n"/>
      <c r="D1957" s="12" t="n"/>
      <c r="E1957" s="13" t="n"/>
      <c r="F1957" s="12" t="n"/>
      <c r="G1957" s="13" t="n"/>
      <c r="H1957" s="12" t="n"/>
      <c r="I1957" s="12" t="n"/>
      <c r="J1957" s="12" t="n"/>
      <c r="K1957" s="12" t="n"/>
      <c r="L1957" s="11" t="n"/>
      <c r="M1957" s="11" t="n"/>
      <c r="N1957" s="11" t="n"/>
      <c r="O1957" s="11" t="n"/>
      <c r="P1957" s="12" t="n"/>
      <c r="Q1957" s="11" t="n"/>
      <c r="R1957" s="12" t="n"/>
      <c r="S1957" s="11" t="n"/>
      <c r="T1957" s="12" t="n"/>
      <c r="U1957" s="12" t="n"/>
      <c r="V1957" s="12" t="n"/>
      <c r="W1957" s="13" t="n"/>
      <c r="X1957" s="14">
        <f>IF($AP1957="",IF($B1957="","",$H1957),IF(INDEX(職員マスタ!$B$6:$B$405,$AP1957)="",$H1957,INDEX(職員マスタ!$B$6:$B$405,$AP1957)))</f>
        <v/>
      </c>
      <c r="Y1957" s="14">
        <f>IF($AP1957="",IF($B1957="","",$R1957),IF(INDEX(職員マスタ!$C$6:$C$405,$AP1957)="",$R1957,INDEX(職員マスタ!$C$6:$C$405,$AP1957)))</f>
        <v/>
      </c>
      <c r="Z1957" s="14">
        <f>IF($AQ1957="","","R"&amp;$C1957&amp;"."&amp;$D1957)</f>
        <v/>
      </c>
      <c r="AA1957" s="15">
        <f>IF(IF($AP1957="",FALSE,INDEX(職員マスタ!$K$6:$K$405,$AP1957)&lt;&gt;""),INDEX(職員マスタ!$K$6:$K$405,$AP1957),IF(N($W1957)&gt;0,$W1957,""))</f>
        <v/>
      </c>
      <c r="AB1957" s="14">
        <f>IF(OR($E1957="",$AA1957=""),"",IF($E1957&gt;=$AA1957,"×",IF($E1957&gt;=$AA1957*設定!$C$5,"△","○")))</f>
        <v/>
      </c>
      <c r="AC1957" s="15">
        <f>IF($AB1957="","",IF($AB1957="×",0,IF($AB1957="○",ROUNDDOWN($E1957*設定!$C$4,0),ROUNDDOWN($E1957*ROUND((9*$AA1957-9*$E1957)/(10*$E1957),4),0))))</f>
        <v/>
      </c>
      <c r="AD1957" s="13" t="n"/>
      <c r="AE1957" s="15">
        <f>IF($B1957="","",IF($AD1957&lt;&gt;"",$AD1957,IF($AC1957="","",IF($AC1957&lt;=設定!$C$3,0,$AC1957))))</f>
        <v/>
      </c>
      <c r="AF1957" s="14">
        <f>IF($B1957="","",IF(AND($AG1957&lt;&gt;"",$AI1957="",$AL1957=""),"保留中",IF($AL1957&lt;&gt;"",IF(N($AE1957)&gt;0,"支給済","不支給"),IF($AE1957="","要確認",IF($AE1957=0,"不支給","未処理")))))</f>
        <v/>
      </c>
      <c r="AG1957" s="12" t="n"/>
      <c r="AH1957" s="11" t="n"/>
      <c r="AI1957" s="11" t="n"/>
      <c r="AJ1957" s="11" t="n"/>
      <c r="AK1957" s="14">
        <f>IF(AND($AF1957="保留中",$AH1957&lt;&gt;""),TODAY()-$AH1957,"")</f>
        <v/>
      </c>
      <c r="AL1957" s="12" t="n"/>
      <c r="AM1957" s="14">
        <f>IF($B1957="","",IF($AQ1957="","対象年月が未入力／","")&amp;IF($B1957="","",IF($AP1957="","職員マスタに未登録の職員番号／",IF($AA1957="","標準報酬月額が未登録／","")&amp;IF(AND($AQ1957&lt;&gt;"",OR(AND(INDEX(職員マスタ!$G$6:$G$405,$AP1957)&lt;&gt;"",INDEX(職員マスタ!$G$6:$G$405,$AP1957)&gt;EOMONTH($AQ1957,0)),AND(INDEX(職員マスタ!$H$6:$H$405,$AP1957)&lt;&gt;"",INDEX(職員マスタ!$H$6:$H$405,$AP1957)&lt;$AQ1957))),"対象月が時短期間外／","")&amp;IF(AND(INDEX(職員マスタ!$K$6:$K$405,$AP1957)&lt;&gt;"",N($W1957)&gt;0,INDEX(職員マスタ!$K$6:$K$405,$AP1957)&lt;&gt;$W1957),"標準報酬月額が申請書と相違（台帳"&amp;TEXT(INDEX(職員マスタ!$K$6:$K$405,$AP1957),"#,##0")&amp;"円／申請書"&amp;TEXT($W1957,"#,##0")&amp;"円）／","")&amp;IF(AND(INDEX(職員マスタ!$F$6:$F$405,$AP1957)&lt;&gt;"",$AQ1957&lt;&gt;"",INDEX(職員マスタ!$F$6:$F$405,$AP1957)&lt;$AQ1957),"対象月に子が2歳到達済／","")&amp;IF(AND($H1957&lt;&gt;"",INDEX(職員マスタ!$B$6:$B$405,$AP1957)&lt;&gt;"",SUBSTITUTE(SUBSTITUTE($H1957," ","")," ","")&lt;&gt;SUBSTITUTE(SUBSTITUTE(INDEX(職員マスタ!$B$6:$B$405,$AP1957)," ","")," ","")),"氏名がマスタと相違／","")&amp;IF(AND($Q1957&lt;&gt;"",INDEX(職員マスタ!$E$6:$E$405,$AP1957)&lt;&gt;"",$Q1957&lt;&gt;INDEX(職員マスタ!$E$6:$E$405,$AP1957)),"子の生年月日がマスタと相違／","")&amp;IF(AND($L1957&lt;&gt;"",INDEX(職員マスタ!$G$6:$G$405,$AP1957)&lt;&gt;"",$L1957&lt;&gt;INDEX(職員マスタ!$G$6:$G$405,$AP1957)),"時短開始日がマスタと相違／","")&amp;IF(AND($M1957&lt;&gt;"",INDEX(職員マスタ!$H$6:$H$405,$AP1957)&lt;&gt;"",$M1957&lt;&gt;INDEX(職員マスタ!$H$6:$H$405,$AP1957)),"時短終了日がマスタと相違／","")))&amp;IF(AND($B1957&lt;&gt;"",$E1957=""),"報酬額が未入力／","")&amp;IF(N($U1957)&gt;0,"申請書に入力エラーが残っています／","")&amp;IF(AND($B1957&lt;&gt;"",$AQ1957&lt;&gt;""),IF(COUNTIFS($B$6:$B$3005,$B1957,$C$6:$C$3005,$C1957,$D$6:$D$3005,$D1957)&gt;1,"同じ月の請求が重複しています／",""),"")&amp;IF(AND(N($E1957)&gt;0,$AB1957&lt;&gt;"",$AB1957&lt;&gt;"×",$AE1957=0,$AD1957=""),"計算額が下限以下のため不支給／",""))</f>
        <v/>
      </c>
      <c r="AN1957" s="12" t="n"/>
      <c r="AO1957" s="14">
        <f>IF($AF1957="保留中",COUNTIF($AF$6:$AF1957,"保留中"),"")</f>
        <v/>
      </c>
      <c r="AP1957" s="14">
        <f>IF($AQ1957="","",IF(SUMPRODUCT(MAX((職員マスタ!$A$6:$A$405=$B1957)*(((職員マスタ!$G$6:$G$405="")+(職員マスタ!$G$6:$G$405&lt;=EOMONTH($AQ1957,0)))&gt;0)*(((職員マスタ!$H$6:$H$405="")+(職員マスタ!$H$6:$H$405&gt;=$AQ1957))&gt;0)*(ROW(職員マスタ!$A$6:$A$405)-5)))&gt;0,SUMPRODUCT(MAX((職員マスタ!$A$6:$A$405=$B1957)*(((職員マスタ!$G$6:$G$405="")+(職員マスタ!$G$6:$G$405&lt;=EOMONTH($AQ1957,0)))&gt;0)*(((職員マスタ!$H$6:$H$405="")+(職員マスタ!$H$6:$H$405&gt;=$AQ1957))&gt;0)*(ROW(職員マスタ!$A$6:$A$405)-5))),IFERROR(MATCH($B1957,職員マスタ!$A$6:$A$405,0),"")))</f>
        <v/>
      </c>
      <c r="AQ1957" s="16">
        <f>IF(OR($B1957="",$C1957="",$D1957=""),"",DATE($C1957+2018,$D1957,1))</f>
        <v/>
      </c>
    </row>
    <row r="1958">
      <c r="A1958" s="11" t="n"/>
      <c r="B1958" s="12" t="n"/>
      <c r="C1958" s="12" t="n"/>
      <c r="D1958" s="12" t="n"/>
      <c r="E1958" s="13" t="n"/>
      <c r="F1958" s="12" t="n"/>
      <c r="G1958" s="13" t="n"/>
      <c r="H1958" s="12" t="n"/>
      <c r="I1958" s="12" t="n"/>
      <c r="J1958" s="12" t="n"/>
      <c r="K1958" s="12" t="n"/>
      <c r="L1958" s="11" t="n"/>
      <c r="M1958" s="11" t="n"/>
      <c r="N1958" s="11" t="n"/>
      <c r="O1958" s="11" t="n"/>
      <c r="P1958" s="12" t="n"/>
      <c r="Q1958" s="11" t="n"/>
      <c r="R1958" s="12" t="n"/>
      <c r="S1958" s="11" t="n"/>
      <c r="T1958" s="12" t="n"/>
      <c r="U1958" s="12" t="n"/>
      <c r="V1958" s="12" t="n"/>
      <c r="W1958" s="13" t="n"/>
      <c r="X1958" s="14">
        <f>IF($AP1958="",IF($B1958="","",$H1958),IF(INDEX(職員マスタ!$B$6:$B$405,$AP1958)="",$H1958,INDEX(職員マスタ!$B$6:$B$405,$AP1958)))</f>
        <v/>
      </c>
      <c r="Y1958" s="14">
        <f>IF($AP1958="",IF($B1958="","",$R1958),IF(INDEX(職員マスタ!$C$6:$C$405,$AP1958)="",$R1958,INDEX(職員マスタ!$C$6:$C$405,$AP1958)))</f>
        <v/>
      </c>
      <c r="Z1958" s="14">
        <f>IF($AQ1958="","","R"&amp;$C1958&amp;"."&amp;$D1958)</f>
        <v/>
      </c>
      <c r="AA1958" s="15">
        <f>IF(IF($AP1958="",FALSE,INDEX(職員マスタ!$K$6:$K$405,$AP1958)&lt;&gt;""),INDEX(職員マスタ!$K$6:$K$405,$AP1958),IF(N($W1958)&gt;0,$W1958,""))</f>
        <v/>
      </c>
      <c r="AB1958" s="14">
        <f>IF(OR($E1958="",$AA1958=""),"",IF($E1958&gt;=$AA1958,"×",IF($E1958&gt;=$AA1958*設定!$C$5,"△","○")))</f>
        <v/>
      </c>
      <c r="AC1958" s="15">
        <f>IF($AB1958="","",IF($AB1958="×",0,IF($AB1958="○",ROUNDDOWN($E1958*設定!$C$4,0),ROUNDDOWN($E1958*ROUND((9*$AA1958-9*$E1958)/(10*$E1958),4),0))))</f>
        <v/>
      </c>
      <c r="AD1958" s="13" t="n"/>
      <c r="AE1958" s="15">
        <f>IF($B1958="","",IF($AD1958&lt;&gt;"",$AD1958,IF($AC1958="","",IF($AC1958&lt;=設定!$C$3,0,$AC1958))))</f>
        <v/>
      </c>
      <c r="AF1958" s="14">
        <f>IF($B1958="","",IF(AND($AG1958&lt;&gt;"",$AI1958="",$AL1958=""),"保留中",IF($AL1958&lt;&gt;"",IF(N($AE1958)&gt;0,"支給済","不支給"),IF($AE1958="","要確認",IF($AE1958=0,"不支給","未処理")))))</f>
        <v/>
      </c>
      <c r="AG1958" s="12" t="n"/>
      <c r="AH1958" s="11" t="n"/>
      <c r="AI1958" s="11" t="n"/>
      <c r="AJ1958" s="11" t="n"/>
      <c r="AK1958" s="14">
        <f>IF(AND($AF1958="保留中",$AH1958&lt;&gt;""),TODAY()-$AH1958,"")</f>
        <v/>
      </c>
      <c r="AL1958" s="12" t="n"/>
      <c r="AM1958" s="14">
        <f>IF($B1958="","",IF($AQ1958="","対象年月が未入力／","")&amp;IF($B1958="","",IF($AP1958="","職員マスタに未登録の職員番号／",IF($AA1958="","標準報酬月額が未登録／","")&amp;IF(AND($AQ1958&lt;&gt;"",OR(AND(INDEX(職員マスタ!$G$6:$G$405,$AP1958)&lt;&gt;"",INDEX(職員マスタ!$G$6:$G$405,$AP1958)&gt;EOMONTH($AQ1958,0)),AND(INDEX(職員マスタ!$H$6:$H$405,$AP1958)&lt;&gt;"",INDEX(職員マスタ!$H$6:$H$405,$AP1958)&lt;$AQ1958))),"対象月が時短期間外／","")&amp;IF(AND(INDEX(職員マスタ!$K$6:$K$405,$AP1958)&lt;&gt;"",N($W1958)&gt;0,INDEX(職員マスタ!$K$6:$K$405,$AP1958)&lt;&gt;$W1958),"標準報酬月額が申請書と相違（台帳"&amp;TEXT(INDEX(職員マスタ!$K$6:$K$405,$AP1958),"#,##0")&amp;"円／申請書"&amp;TEXT($W1958,"#,##0")&amp;"円）／","")&amp;IF(AND(INDEX(職員マスタ!$F$6:$F$405,$AP1958)&lt;&gt;"",$AQ1958&lt;&gt;"",INDEX(職員マスタ!$F$6:$F$405,$AP1958)&lt;$AQ1958),"対象月に子が2歳到達済／","")&amp;IF(AND($H1958&lt;&gt;"",INDEX(職員マスタ!$B$6:$B$405,$AP1958)&lt;&gt;"",SUBSTITUTE(SUBSTITUTE($H1958," ","")," ","")&lt;&gt;SUBSTITUTE(SUBSTITUTE(INDEX(職員マスタ!$B$6:$B$405,$AP1958)," ","")," ","")),"氏名がマスタと相違／","")&amp;IF(AND($Q1958&lt;&gt;"",INDEX(職員マスタ!$E$6:$E$405,$AP1958)&lt;&gt;"",$Q1958&lt;&gt;INDEX(職員マスタ!$E$6:$E$405,$AP1958)),"子の生年月日がマスタと相違／","")&amp;IF(AND($L1958&lt;&gt;"",INDEX(職員マスタ!$G$6:$G$405,$AP1958)&lt;&gt;"",$L1958&lt;&gt;INDEX(職員マスタ!$G$6:$G$405,$AP1958)),"時短開始日がマスタと相違／","")&amp;IF(AND($M1958&lt;&gt;"",INDEX(職員マスタ!$H$6:$H$405,$AP1958)&lt;&gt;"",$M1958&lt;&gt;INDEX(職員マスタ!$H$6:$H$405,$AP1958)),"時短終了日がマスタと相違／","")))&amp;IF(AND($B1958&lt;&gt;"",$E1958=""),"報酬額が未入力／","")&amp;IF(N($U1958)&gt;0,"申請書に入力エラーが残っています／","")&amp;IF(AND($B1958&lt;&gt;"",$AQ1958&lt;&gt;""),IF(COUNTIFS($B$6:$B$3005,$B1958,$C$6:$C$3005,$C1958,$D$6:$D$3005,$D1958)&gt;1,"同じ月の請求が重複しています／",""),"")&amp;IF(AND(N($E1958)&gt;0,$AB1958&lt;&gt;"",$AB1958&lt;&gt;"×",$AE1958=0,$AD1958=""),"計算額が下限以下のため不支給／",""))</f>
        <v/>
      </c>
      <c r="AN1958" s="12" t="n"/>
      <c r="AO1958" s="14">
        <f>IF($AF1958="保留中",COUNTIF($AF$6:$AF1958,"保留中"),"")</f>
        <v/>
      </c>
      <c r="AP1958" s="14">
        <f>IF($AQ1958="","",IF(SUMPRODUCT(MAX((職員マスタ!$A$6:$A$405=$B1958)*(((職員マスタ!$G$6:$G$405="")+(職員マスタ!$G$6:$G$405&lt;=EOMONTH($AQ1958,0)))&gt;0)*(((職員マスタ!$H$6:$H$405="")+(職員マスタ!$H$6:$H$405&gt;=$AQ1958))&gt;0)*(ROW(職員マスタ!$A$6:$A$405)-5)))&gt;0,SUMPRODUCT(MAX((職員マスタ!$A$6:$A$405=$B1958)*(((職員マスタ!$G$6:$G$405="")+(職員マスタ!$G$6:$G$405&lt;=EOMONTH($AQ1958,0)))&gt;0)*(((職員マスタ!$H$6:$H$405="")+(職員マスタ!$H$6:$H$405&gt;=$AQ1958))&gt;0)*(ROW(職員マスタ!$A$6:$A$405)-5))),IFERROR(MATCH($B1958,職員マスタ!$A$6:$A$405,0),"")))</f>
        <v/>
      </c>
      <c r="AQ1958" s="16">
        <f>IF(OR($B1958="",$C1958="",$D1958=""),"",DATE($C1958+2018,$D1958,1))</f>
        <v/>
      </c>
    </row>
    <row r="1959">
      <c r="A1959" s="11" t="n"/>
      <c r="B1959" s="12" t="n"/>
      <c r="C1959" s="12" t="n"/>
      <c r="D1959" s="12" t="n"/>
      <c r="E1959" s="13" t="n"/>
      <c r="F1959" s="12" t="n"/>
      <c r="G1959" s="13" t="n"/>
      <c r="H1959" s="12" t="n"/>
      <c r="I1959" s="12" t="n"/>
      <c r="J1959" s="12" t="n"/>
      <c r="K1959" s="12" t="n"/>
      <c r="L1959" s="11" t="n"/>
      <c r="M1959" s="11" t="n"/>
      <c r="N1959" s="11" t="n"/>
      <c r="O1959" s="11" t="n"/>
      <c r="P1959" s="12" t="n"/>
      <c r="Q1959" s="11" t="n"/>
      <c r="R1959" s="12" t="n"/>
      <c r="S1959" s="11" t="n"/>
      <c r="T1959" s="12" t="n"/>
      <c r="U1959" s="12" t="n"/>
      <c r="V1959" s="12" t="n"/>
      <c r="W1959" s="13" t="n"/>
      <c r="X1959" s="14">
        <f>IF($AP1959="",IF($B1959="","",$H1959),IF(INDEX(職員マスタ!$B$6:$B$405,$AP1959)="",$H1959,INDEX(職員マスタ!$B$6:$B$405,$AP1959)))</f>
        <v/>
      </c>
      <c r="Y1959" s="14">
        <f>IF($AP1959="",IF($B1959="","",$R1959),IF(INDEX(職員マスタ!$C$6:$C$405,$AP1959)="",$R1959,INDEX(職員マスタ!$C$6:$C$405,$AP1959)))</f>
        <v/>
      </c>
      <c r="Z1959" s="14">
        <f>IF($AQ1959="","","R"&amp;$C1959&amp;"."&amp;$D1959)</f>
        <v/>
      </c>
      <c r="AA1959" s="15">
        <f>IF(IF($AP1959="",FALSE,INDEX(職員マスタ!$K$6:$K$405,$AP1959)&lt;&gt;""),INDEX(職員マスタ!$K$6:$K$405,$AP1959),IF(N($W1959)&gt;0,$W1959,""))</f>
        <v/>
      </c>
      <c r="AB1959" s="14">
        <f>IF(OR($E1959="",$AA1959=""),"",IF($E1959&gt;=$AA1959,"×",IF($E1959&gt;=$AA1959*設定!$C$5,"△","○")))</f>
        <v/>
      </c>
      <c r="AC1959" s="15">
        <f>IF($AB1959="","",IF($AB1959="×",0,IF($AB1959="○",ROUNDDOWN($E1959*設定!$C$4,0),ROUNDDOWN($E1959*ROUND((9*$AA1959-9*$E1959)/(10*$E1959),4),0))))</f>
        <v/>
      </c>
      <c r="AD1959" s="13" t="n"/>
      <c r="AE1959" s="15">
        <f>IF($B1959="","",IF($AD1959&lt;&gt;"",$AD1959,IF($AC1959="","",IF($AC1959&lt;=設定!$C$3,0,$AC1959))))</f>
        <v/>
      </c>
      <c r="AF1959" s="14">
        <f>IF($B1959="","",IF(AND($AG1959&lt;&gt;"",$AI1959="",$AL1959=""),"保留中",IF($AL1959&lt;&gt;"",IF(N($AE1959)&gt;0,"支給済","不支給"),IF($AE1959="","要確認",IF($AE1959=0,"不支給","未処理")))))</f>
        <v/>
      </c>
      <c r="AG1959" s="12" t="n"/>
      <c r="AH1959" s="11" t="n"/>
      <c r="AI1959" s="11" t="n"/>
      <c r="AJ1959" s="11" t="n"/>
      <c r="AK1959" s="14">
        <f>IF(AND($AF1959="保留中",$AH1959&lt;&gt;""),TODAY()-$AH1959,"")</f>
        <v/>
      </c>
      <c r="AL1959" s="12" t="n"/>
      <c r="AM1959" s="14">
        <f>IF($B1959="","",IF($AQ1959="","対象年月が未入力／","")&amp;IF($B1959="","",IF($AP1959="","職員マスタに未登録の職員番号／",IF($AA1959="","標準報酬月額が未登録／","")&amp;IF(AND($AQ1959&lt;&gt;"",OR(AND(INDEX(職員マスタ!$G$6:$G$405,$AP1959)&lt;&gt;"",INDEX(職員マスタ!$G$6:$G$405,$AP1959)&gt;EOMONTH($AQ1959,0)),AND(INDEX(職員マスタ!$H$6:$H$405,$AP1959)&lt;&gt;"",INDEX(職員マスタ!$H$6:$H$405,$AP1959)&lt;$AQ1959))),"対象月が時短期間外／","")&amp;IF(AND(INDEX(職員マスタ!$K$6:$K$405,$AP1959)&lt;&gt;"",N($W1959)&gt;0,INDEX(職員マスタ!$K$6:$K$405,$AP1959)&lt;&gt;$W1959),"標準報酬月額が申請書と相違（台帳"&amp;TEXT(INDEX(職員マスタ!$K$6:$K$405,$AP1959),"#,##0")&amp;"円／申請書"&amp;TEXT($W1959,"#,##0")&amp;"円）／","")&amp;IF(AND(INDEX(職員マスタ!$F$6:$F$405,$AP1959)&lt;&gt;"",$AQ1959&lt;&gt;"",INDEX(職員マスタ!$F$6:$F$405,$AP1959)&lt;$AQ1959),"対象月に子が2歳到達済／","")&amp;IF(AND($H1959&lt;&gt;"",INDEX(職員マスタ!$B$6:$B$405,$AP1959)&lt;&gt;"",SUBSTITUTE(SUBSTITUTE($H1959," ","")," ","")&lt;&gt;SUBSTITUTE(SUBSTITUTE(INDEX(職員マスタ!$B$6:$B$405,$AP1959)," ","")," ","")),"氏名がマスタと相違／","")&amp;IF(AND($Q1959&lt;&gt;"",INDEX(職員マスタ!$E$6:$E$405,$AP1959)&lt;&gt;"",$Q1959&lt;&gt;INDEX(職員マスタ!$E$6:$E$405,$AP1959)),"子の生年月日がマスタと相違／","")&amp;IF(AND($L1959&lt;&gt;"",INDEX(職員マスタ!$G$6:$G$405,$AP1959)&lt;&gt;"",$L1959&lt;&gt;INDEX(職員マスタ!$G$6:$G$405,$AP1959)),"時短開始日がマスタと相違／","")&amp;IF(AND($M1959&lt;&gt;"",INDEX(職員マスタ!$H$6:$H$405,$AP1959)&lt;&gt;"",$M1959&lt;&gt;INDEX(職員マスタ!$H$6:$H$405,$AP1959)),"時短終了日がマスタと相違／","")))&amp;IF(AND($B1959&lt;&gt;"",$E1959=""),"報酬額が未入力／","")&amp;IF(N($U1959)&gt;0,"申請書に入力エラーが残っています／","")&amp;IF(AND($B1959&lt;&gt;"",$AQ1959&lt;&gt;""),IF(COUNTIFS($B$6:$B$3005,$B1959,$C$6:$C$3005,$C1959,$D$6:$D$3005,$D1959)&gt;1,"同じ月の請求が重複しています／",""),"")&amp;IF(AND(N($E1959)&gt;0,$AB1959&lt;&gt;"",$AB1959&lt;&gt;"×",$AE1959=0,$AD1959=""),"計算額が下限以下のため不支給／",""))</f>
        <v/>
      </c>
      <c r="AN1959" s="12" t="n"/>
      <c r="AO1959" s="14">
        <f>IF($AF1959="保留中",COUNTIF($AF$6:$AF1959,"保留中"),"")</f>
        <v/>
      </c>
      <c r="AP1959" s="14">
        <f>IF($AQ1959="","",IF(SUMPRODUCT(MAX((職員マスタ!$A$6:$A$405=$B1959)*(((職員マスタ!$G$6:$G$405="")+(職員マスタ!$G$6:$G$405&lt;=EOMONTH($AQ1959,0)))&gt;0)*(((職員マスタ!$H$6:$H$405="")+(職員マスタ!$H$6:$H$405&gt;=$AQ1959))&gt;0)*(ROW(職員マスタ!$A$6:$A$405)-5)))&gt;0,SUMPRODUCT(MAX((職員マスタ!$A$6:$A$405=$B1959)*(((職員マスタ!$G$6:$G$405="")+(職員マスタ!$G$6:$G$405&lt;=EOMONTH($AQ1959,0)))&gt;0)*(((職員マスタ!$H$6:$H$405="")+(職員マスタ!$H$6:$H$405&gt;=$AQ1959))&gt;0)*(ROW(職員マスタ!$A$6:$A$405)-5))),IFERROR(MATCH($B1959,職員マスタ!$A$6:$A$405,0),"")))</f>
        <v/>
      </c>
      <c r="AQ1959" s="16">
        <f>IF(OR($B1959="",$C1959="",$D1959=""),"",DATE($C1959+2018,$D1959,1))</f>
        <v/>
      </c>
    </row>
    <row r="1960">
      <c r="A1960" s="11" t="n"/>
      <c r="B1960" s="12" t="n"/>
      <c r="C1960" s="12" t="n"/>
      <c r="D1960" s="12" t="n"/>
      <c r="E1960" s="13" t="n"/>
      <c r="F1960" s="12" t="n"/>
      <c r="G1960" s="13" t="n"/>
      <c r="H1960" s="12" t="n"/>
      <c r="I1960" s="12" t="n"/>
      <c r="J1960" s="12" t="n"/>
      <c r="K1960" s="12" t="n"/>
      <c r="L1960" s="11" t="n"/>
      <c r="M1960" s="11" t="n"/>
      <c r="N1960" s="11" t="n"/>
      <c r="O1960" s="11" t="n"/>
      <c r="P1960" s="12" t="n"/>
      <c r="Q1960" s="11" t="n"/>
      <c r="R1960" s="12" t="n"/>
      <c r="S1960" s="11" t="n"/>
      <c r="T1960" s="12" t="n"/>
      <c r="U1960" s="12" t="n"/>
      <c r="V1960" s="12" t="n"/>
      <c r="W1960" s="13" t="n"/>
      <c r="X1960" s="14">
        <f>IF($AP1960="",IF($B1960="","",$H1960),IF(INDEX(職員マスタ!$B$6:$B$405,$AP1960)="",$H1960,INDEX(職員マスタ!$B$6:$B$405,$AP1960)))</f>
        <v/>
      </c>
      <c r="Y1960" s="14">
        <f>IF($AP1960="",IF($B1960="","",$R1960),IF(INDEX(職員マスタ!$C$6:$C$405,$AP1960)="",$R1960,INDEX(職員マスタ!$C$6:$C$405,$AP1960)))</f>
        <v/>
      </c>
      <c r="Z1960" s="14">
        <f>IF($AQ1960="","","R"&amp;$C1960&amp;"."&amp;$D1960)</f>
        <v/>
      </c>
      <c r="AA1960" s="15">
        <f>IF(IF($AP1960="",FALSE,INDEX(職員マスタ!$K$6:$K$405,$AP1960)&lt;&gt;""),INDEX(職員マスタ!$K$6:$K$405,$AP1960),IF(N($W1960)&gt;0,$W1960,""))</f>
        <v/>
      </c>
      <c r="AB1960" s="14">
        <f>IF(OR($E1960="",$AA1960=""),"",IF($E1960&gt;=$AA1960,"×",IF($E1960&gt;=$AA1960*設定!$C$5,"△","○")))</f>
        <v/>
      </c>
      <c r="AC1960" s="15">
        <f>IF($AB1960="","",IF($AB1960="×",0,IF($AB1960="○",ROUNDDOWN($E1960*設定!$C$4,0),ROUNDDOWN($E1960*ROUND((9*$AA1960-9*$E1960)/(10*$E1960),4),0))))</f>
        <v/>
      </c>
      <c r="AD1960" s="13" t="n"/>
      <c r="AE1960" s="15">
        <f>IF($B1960="","",IF($AD1960&lt;&gt;"",$AD1960,IF($AC1960="","",IF($AC1960&lt;=設定!$C$3,0,$AC1960))))</f>
        <v/>
      </c>
      <c r="AF1960" s="14">
        <f>IF($B1960="","",IF(AND($AG1960&lt;&gt;"",$AI1960="",$AL1960=""),"保留中",IF($AL1960&lt;&gt;"",IF(N($AE1960)&gt;0,"支給済","不支給"),IF($AE1960="","要確認",IF($AE1960=0,"不支給","未処理")))))</f>
        <v/>
      </c>
      <c r="AG1960" s="12" t="n"/>
      <c r="AH1960" s="11" t="n"/>
      <c r="AI1960" s="11" t="n"/>
      <c r="AJ1960" s="11" t="n"/>
      <c r="AK1960" s="14">
        <f>IF(AND($AF1960="保留中",$AH1960&lt;&gt;""),TODAY()-$AH1960,"")</f>
        <v/>
      </c>
      <c r="AL1960" s="12" t="n"/>
      <c r="AM1960" s="14">
        <f>IF($B1960="","",IF($AQ1960="","対象年月が未入力／","")&amp;IF($B1960="","",IF($AP1960="","職員マスタに未登録の職員番号／",IF($AA1960="","標準報酬月額が未登録／","")&amp;IF(AND($AQ1960&lt;&gt;"",OR(AND(INDEX(職員マスタ!$G$6:$G$405,$AP1960)&lt;&gt;"",INDEX(職員マスタ!$G$6:$G$405,$AP1960)&gt;EOMONTH($AQ1960,0)),AND(INDEX(職員マスタ!$H$6:$H$405,$AP1960)&lt;&gt;"",INDEX(職員マスタ!$H$6:$H$405,$AP1960)&lt;$AQ1960))),"対象月が時短期間外／","")&amp;IF(AND(INDEX(職員マスタ!$K$6:$K$405,$AP1960)&lt;&gt;"",N($W1960)&gt;0,INDEX(職員マスタ!$K$6:$K$405,$AP1960)&lt;&gt;$W1960),"標準報酬月額が申請書と相違（台帳"&amp;TEXT(INDEX(職員マスタ!$K$6:$K$405,$AP1960),"#,##0")&amp;"円／申請書"&amp;TEXT($W1960,"#,##0")&amp;"円）／","")&amp;IF(AND(INDEX(職員マスタ!$F$6:$F$405,$AP1960)&lt;&gt;"",$AQ1960&lt;&gt;"",INDEX(職員マスタ!$F$6:$F$405,$AP1960)&lt;$AQ1960),"対象月に子が2歳到達済／","")&amp;IF(AND($H1960&lt;&gt;"",INDEX(職員マスタ!$B$6:$B$405,$AP1960)&lt;&gt;"",SUBSTITUTE(SUBSTITUTE($H1960," ","")," ","")&lt;&gt;SUBSTITUTE(SUBSTITUTE(INDEX(職員マスタ!$B$6:$B$405,$AP1960)," ","")," ","")),"氏名がマスタと相違／","")&amp;IF(AND($Q1960&lt;&gt;"",INDEX(職員マスタ!$E$6:$E$405,$AP1960)&lt;&gt;"",$Q1960&lt;&gt;INDEX(職員マスタ!$E$6:$E$405,$AP1960)),"子の生年月日がマスタと相違／","")&amp;IF(AND($L1960&lt;&gt;"",INDEX(職員マスタ!$G$6:$G$405,$AP1960)&lt;&gt;"",$L1960&lt;&gt;INDEX(職員マスタ!$G$6:$G$405,$AP1960)),"時短開始日がマスタと相違／","")&amp;IF(AND($M1960&lt;&gt;"",INDEX(職員マスタ!$H$6:$H$405,$AP1960)&lt;&gt;"",$M1960&lt;&gt;INDEX(職員マスタ!$H$6:$H$405,$AP1960)),"時短終了日がマスタと相違／","")))&amp;IF(AND($B1960&lt;&gt;"",$E1960=""),"報酬額が未入力／","")&amp;IF(N($U1960)&gt;0,"申請書に入力エラーが残っています／","")&amp;IF(AND($B1960&lt;&gt;"",$AQ1960&lt;&gt;""),IF(COUNTIFS($B$6:$B$3005,$B1960,$C$6:$C$3005,$C1960,$D$6:$D$3005,$D1960)&gt;1,"同じ月の請求が重複しています／",""),"")&amp;IF(AND(N($E1960)&gt;0,$AB1960&lt;&gt;"",$AB1960&lt;&gt;"×",$AE1960=0,$AD1960=""),"計算額が下限以下のため不支給／",""))</f>
        <v/>
      </c>
      <c r="AN1960" s="12" t="n"/>
      <c r="AO1960" s="14">
        <f>IF($AF1960="保留中",COUNTIF($AF$6:$AF1960,"保留中"),"")</f>
        <v/>
      </c>
      <c r="AP1960" s="14">
        <f>IF($AQ1960="","",IF(SUMPRODUCT(MAX((職員マスタ!$A$6:$A$405=$B1960)*(((職員マスタ!$G$6:$G$405="")+(職員マスタ!$G$6:$G$405&lt;=EOMONTH($AQ1960,0)))&gt;0)*(((職員マスタ!$H$6:$H$405="")+(職員マスタ!$H$6:$H$405&gt;=$AQ1960))&gt;0)*(ROW(職員マスタ!$A$6:$A$405)-5)))&gt;0,SUMPRODUCT(MAX((職員マスタ!$A$6:$A$405=$B1960)*(((職員マスタ!$G$6:$G$405="")+(職員マスタ!$G$6:$G$405&lt;=EOMONTH($AQ1960,0)))&gt;0)*(((職員マスタ!$H$6:$H$405="")+(職員マスタ!$H$6:$H$405&gt;=$AQ1960))&gt;0)*(ROW(職員マスタ!$A$6:$A$405)-5))),IFERROR(MATCH($B1960,職員マスタ!$A$6:$A$405,0),"")))</f>
        <v/>
      </c>
      <c r="AQ1960" s="16">
        <f>IF(OR($B1960="",$C1960="",$D1960=""),"",DATE($C1960+2018,$D1960,1))</f>
        <v/>
      </c>
    </row>
    <row r="1961">
      <c r="A1961" s="11" t="n"/>
      <c r="B1961" s="12" t="n"/>
      <c r="C1961" s="12" t="n"/>
      <c r="D1961" s="12" t="n"/>
      <c r="E1961" s="13" t="n"/>
      <c r="F1961" s="12" t="n"/>
      <c r="G1961" s="13" t="n"/>
      <c r="H1961" s="12" t="n"/>
      <c r="I1961" s="12" t="n"/>
      <c r="J1961" s="12" t="n"/>
      <c r="K1961" s="12" t="n"/>
      <c r="L1961" s="11" t="n"/>
      <c r="M1961" s="11" t="n"/>
      <c r="N1961" s="11" t="n"/>
      <c r="O1961" s="11" t="n"/>
      <c r="P1961" s="12" t="n"/>
      <c r="Q1961" s="11" t="n"/>
      <c r="R1961" s="12" t="n"/>
      <c r="S1961" s="11" t="n"/>
      <c r="T1961" s="12" t="n"/>
      <c r="U1961" s="12" t="n"/>
      <c r="V1961" s="12" t="n"/>
      <c r="W1961" s="13" t="n"/>
      <c r="X1961" s="14">
        <f>IF($AP1961="",IF($B1961="","",$H1961),IF(INDEX(職員マスタ!$B$6:$B$405,$AP1961)="",$H1961,INDEX(職員マスタ!$B$6:$B$405,$AP1961)))</f>
        <v/>
      </c>
      <c r="Y1961" s="14">
        <f>IF($AP1961="",IF($B1961="","",$R1961),IF(INDEX(職員マスタ!$C$6:$C$405,$AP1961)="",$R1961,INDEX(職員マスタ!$C$6:$C$405,$AP1961)))</f>
        <v/>
      </c>
      <c r="Z1961" s="14">
        <f>IF($AQ1961="","","R"&amp;$C1961&amp;"."&amp;$D1961)</f>
        <v/>
      </c>
      <c r="AA1961" s="15">
        <f>IF(IF($AP1961="",FALSE,INDEX(職員マスタ!$K$6:$K$405,$AP1961)&lt;&gt;""),INDEX(職員マスタ!$K$6:$K$405,$AP1961),IF(N($W1961)&gt;0,$W1961,""))</f>
        <v/>
      </c>
      <c r="AB1961" s="14">
        <f>IF(OR($E1961="",$AA1961=""),"",IF($E1961&gt;=$AA1961,"×",IF($E1961&gt;=$AA1961*設定!$C$5,"△","○")))</f>
        <v/>
      </c>
      <c r="AC1961" s="15">
        <f>IF($AB1961="","",IF($AB1961="×",0,IF($AB1961="○",ROUNDDOWN($E1961*設定!$C$4,0),ROUNDDOWN($E1961*ROUND((9*$AA1961-9*$E1961)/(10*$E1961),4),0))))</f>
        <v/>
      </c>
      <c r="AD1961" s="13" t="n"/>
      <c r="AE1961" s="15">
        <f>IF($B1961="","",IF($AD1961&lt;&gt;"",$AD1961,IF($AC1961="","",IF($AC1961&lt;=設定!$C$3,0,$AC1961))))</f>
        <v/>
      </c>
      <c r="AF1961" s="14">
        <f>IF($B1961="","",IF(AND($AG1961&lt;&gt;"",$AI1961="",$AL1961=""),"保留中",IF($AL1961&lt;&gt;"",IF(N($AE1961)&gt;0,"支給済","不支給"),IF($AE1961="","要確認",IF($AE1961=0,"不支給","未処理")))))</f>
        <v/>
      </c>
      <c r="AG1961" s="12" t="n"/>
      <c r="AH1961" s="11" t="n"/>
      <c r="AI1961" s="11" t="n"/>
      <c r="AJ1961" s="11" t="n"/>
      <c r="AK1961" s="14">
        <f>IF(AND($AF1961="保留中",$AH1961&lt;&gt;""),TODAY()-$AH1961,"")</f>
        <v/>
      </c>
      <c r="AL1961" s="12" t="n"/>
      <c r="AM1961" s="14">
        <f>IF($B1961="","",IF($AQ1961="","対象年月が未入力／","")&amp;IF($B1961="","",IF($AP1961="","職員マスタに未登録の職員番号／",IF($AA1961="","標準報酬月額が未登録／","")&amp;IF(AND($AQ1961&lt;&gt;"",OR(AND(INDEX(職員マスタ!$G$6:$G$405,$AP1961)&lt;&gt;"",INDEX(職員マスタ!$G$6:$G$405,$AP1961)&gt;EOMONTH($AQ1961,0)),AND(INDEX(職員マスタ!$H$6:$H$405,$AP1961)&lt;&gt;"",INDEX(職員マスタ!$H$6:$H$405,$AP1961)&lt;$AQ1961))),"対象月が時短期間外／","")&amp;IF(AND(INDEX(職員マスタ!$K$6:$K$405,$AP1961)&lt;&gt;"",N($W1961)&gt;0,INDEX(職員マスタ!$K$6:$K$405,$AP1961)&lt;&gt;$W1961),"標準報酬月額が申請書と相違（台帳"&amp;TEXT(INDEX(職員マスタ!$K$6:$K$405,$AP1961),"#,##0")&amp;"円／申請書"&amp;TEXT($W1961,"#,##0")&amp;"円）／","")&amp;IF(AND(INDEX(職員マスタ!$F$6:$F$405,$AP1961)&lt;&gt;"",$AQ1961&lt;&gt;"",INDEX(職員マスタ!$F$6:$F$405,$AP1961)&lt;$AQ1961),"対象月に子が2歳到達済／","")&amp;IF(AND($H1961&lt;&gt;"",INDEX(職員マスタ!$B$6:$B$405,$AP1961)&lt;&gt;"",SUBSTITUTE(SUBSTITUTE($H1961," ","")," ","")&lt;&gt;SUBSTITUTE(SUBSTITUTE(INDEX(職員マスタ!$B$6:$B$405,$AP1961)," ","")," ","")),"氏名がマスタと相違／","")&amp;IF(AND($Q1961&lt;&gt;"",INDEX(職員マスタ!$E$6:$E$405,$AP1961)&lt;&gt;"",$Q1961&lt;&gt;INDEX(職員マスタ!$E$6:$E$405,$AP1961)),"子の生年月日がマスタと相違／","")&amp;IF(AND($L1961&lt;&gt;"",INDEX(職員マスタ!$G$6:$G$405,$AP1961)&lt;&gt;"",$L1961&lt;&gt;INDEX(職員マスタ!$G$6:$G$405,$AP1961)),"時短開始日がマスタと相違／","")&amp;IF(AND($M1961&lt;&gt;"",INDEX(職員マスタ!$H$6:$H$405,$AP1961)&lt;&gt;"",$M1961&lt;&gt;INDEX(職員マスタ!$H$6:$H$405,$AP1961)),"時短終了日がマスタと相違／","")))&amp;IF(AND($B1961&lt;&gt;"",$E1961=""),"報酬額が未入力／","")&amp;IF(N($U1961)&gt;0,"申請書に入力エラーが残っています／","")&amp;IF(AND($B1961&lt;&gt;"",$AQ1961&lt;&gt;""),IF(COUNTIFS($B$6:$B$3005,$B1961,$C$6:$C$3005,$C1961,$D$6:$D$3005,$D1961)&gt;1,"同じ月の請求が重複しています／",""),"")&amp;IF(AND(N($E1961)&gt;0,$AB1961&lt;&gt;"",$AB1961&lt;&gt;"×",$AE1961=0,$AD1961=""),"計算額が下限以下のため不支給／",""))</f>
        <v/>
      </c>
      <c r="AN1961" s="12" t="n"/>
      <c r="AO1961" s="14">
        <f>IF($AF1961="保留中",COUNTIF($AF$6:$AF1961,"保留中"),"")</f>
        <v/>
      </c>
      <c r="AP1961" s="14">
        <f>IF($AQ1961="","",IF(SUMPRODUCT(MAX((職員マスタ!$A$6:$A$405=$B1961)*(((職員マスタ!$G$6:$G$405="")+(職員マスタ!$G$6:$G$405&lt;=EOMONTH($AQ1961,0)))&gt;0)*(((職員マスタ!$H$6:$H$405="")+(職員マスタ!$H$6:$H$405&gt;=$AQ1961))&gt;0)*(ROW(職員マスタ!$A$6:$A$405)-5)))&gt;0,SUMPRODUCT(MAX((職員マスタ!$A$6:$A$405=$B1961)*(((職員マスタ!$G$6:$G$405="")+(職員マスタ!$G$6:$G$405&lt;=EOMONTH($AQ1961,0)))&gt;0)*(((職員マスタ!$H$6:$H$405="")+(職員マスタ!$H$6:$H$405&gt;=$AQ1961))&gt;0)*(ROW(職員マスタ!$A$6:$A$405)-5))),IFERROR(MATCH($B1961,職員マスタ!$A$6:$A$405,0),"")))</f>
        <v/>
      </c>
      <c r="AQ1961" s="16">
        <f>IF(OR($B1961="",$C1961="",$D1961=""),"",DATE($C1961+2018,$D1961,1))</f>
        <v/>
      </c>
    </row>
    <row r="1962">
      <c r="A1962" s="11" t="n"/>
      <c r="B1962" s="12" t="n"/>
      <c r="C1962" s="12" t="n"/>
      <c r="D1962" s="12" t="n"/>
      <c r="E1962" s="13" t="n"/>
      <c r="F1962" s="12" t="n"/>
      <c r="G1962" s="13" t="n"/>
      <c r="H1962" s="12" t="n"/>
      <c r="I1962" s="12" t="n"/>
      <c r="J1962" s="12" t="n"/>
      <c r="K1962" s="12" t="n"/>
      <c r="L1962" s="11" t="n"/>
      <c r="M1962" s="11" t="n"/>
      <c r="N1962" s="11" t="n"/>
      <c r="O1962" s="11" t="n"/>
      <c r="P1962" s="12" t="n"/>
      <c r="Q1962" s="11" t="n"/>
      <c r="R1962" s="12" t="n"/>
      <c r="S1962" s="11" t="n"/>
      <c r="T1962" s="12" t="n"/>
      <c r="U1962" s="12" t="n"/>
      <c r="V1962" s="12" t="n"/>
      <c r="W1962" s="13" t="n"/>
      <c r="X1962" s="14">
        <f>IF($AP1962="",IF($B1962="","",$H1962),IF(INDEX(職員マスタ!$B$6:$B$405,$AP1962)="",$H1962,INDEX(職員マスタ!$B$6:$B$405,$AP1962)))</f>
        <v/>
      </c>
      <c r="Y1962" s="14">
        <f>IF($AP1962="",IF($B1962="","",$R1962),IF(INDEX(職員マスタ!$C$6:$C$405,$AP1962)="",$R1962,INDEX(職員マスタ!$C$6:$C$405,$AP1962)))</f>
        <v/>
      </c>
      <c r="Z1962" s="14">
        <f>IF($AQ1962="","","R"&amp;$C1962&amp;"."&amp;$D1962)</f>
        <v/>
      </c>
      <c r="AA1962" s="15">
        <f>IF(IF($AP1962="",FALSE,INDEX(職員マスタ!$K$6:$K$405,$AP1962)&lt;&gt;""),INDEX(職員マスタ!$K$6:$K$405,$AP1962),IF(N($W1962)&gt;0,$W1962,""))</f>
        <v/>
      </c>
      <c r="AB1962" s="14">
        <f>IF(OR($E1962="",$AA1962=""),"",IF($E1962&gt;=$AA1962,"×",IF($E1962&gt;=$AA1962*設定!$C$5,"△","○")))</f>
        <v/>
      </c>
      <c r="AC1962" s="15">
        <f>IF($AB1962="","",IF($AB1962="×",0,IF($AB1962="○",ROUNDDOWN($E1962*設定!$C$4,0),ROUNDDOWN($E1962*ROUND((9*$AA1962-9*$E1962)/(10*$E1962),4),0))))</f>
        <v/>
      </c>
      <c r="AD1962" s="13" t="n"/>
      <c r="AE1962" s="15">
        <f>IF($B1962="","",IF($AD1962&lt;&gt;"",$AD1962,IF($AC1962="","",IF($AC1962&lt;=設定!$C$3,0,$AC1962))))</f>
        <v/>
      </c>
      <c r="AF1962" s="14">
        <f>IF($B1962="","",IF(AND($AG1962&lt;&gt;"",$AI1962="",$AL1962=""),"保留中",IF($AL1962&lt;&gt;"",IF(N($AE1962)&gt;0,"支給済","不支給"),IF($AE1962="","要確認",IF($AE1962=0,"不支給","未処理")))))</f>
        <v/>
      </c>
      <c r="AG1962" s="12" t="n"/>
      <c r="AH1962" s="11" t="n"/>
      <c r="AI1962" s="11" t="n"/>
      <c r="AJ1962" s="11" t="n"/>
      <c r="AK1962" s="14">
        <f>IF(AND($AF1962="保留中",$AH1962&lt;&gt;""),TODAY()-$AH1962,"")</f>
        <v/>
      </c>
      <c r="AL1962" s="12" t="n"/>
      <c r="AM1962" s="14">
        <f>IF($B1962="","",IF($AQ1962="","対象年月が未入力／","")&amp;IF($B1962="","",IF($AP1962="","職員マスタに未登録の職員番号／",IF($AA1962="","標準報酬月額が未登録／","")&amp;IF(AND($AQ1962&lt;&gt;"",OR(AND(INDEX(職員マスタ!$G$6:$G$405,$AP1962)&lt;&gt;"",INDEX(職員マスタ!$G$6:$G$405,$AP1962)&gt;EOMONTH($AQ1962,0)),AND(INDEX(職員マスタ!$H$6:$H$405,$AP1962)&lt;&gt;"",INDEX(職員マスタ!$H$6:$H$405,$AP1962)&lt;$AQ1962))),"対象月が時短期間外／","")&amp;IF(AND(INDEX(職員マスタ!$K$6:$K$405,$AP1962)&lt;&gt;"",N($W1962)&gt;0,INDEX(職員マスタ!$K$6:$K$405,$AP1962)&lt;&gt;$W1962),"標準報酬月額が申請書と相違（台帳"&amp;TEXT(INDEX(職員マスタ!$K$6:$K$405,$AP1962),"#,##0")&amp;"円／申請書"&amp;TEXT($W1962,"#,##0")&amp;"円）／","")&amp;IF(AND(INDEX(職員マスタ!$F$6:$F$405,$AP1962)&lt;&gt;"",$AQ1962&lt;&gt;"",INDEX(職員マスタ!$F$6:$F$405,$AP1962)&lt;$AQ1962),"対象月に子が2歳到達済／","")&amp;IF(AND($H1962&lt;&gt;"",INDEX(職員マスタ!$B$6:$B$405,$AP1962)&lt;&gt;"",SUBSTITUTE(SUBSTITUTE($H1962," ","")," ","")&lt;&gt;SUBSTITUTE(SUBSTITUTE(INDEX(職員マスタ!$B$6:$B$405,$AP1962)," ","")," ","")),"氏名がマスタと相違／","")&amp;IF(AND($Q1962&lt;&gt;"",INDEX(職員マスタ!$E$6:$E$405,$AP1962)&lt;&gt;"",$Q1962&lt;&gt;INDEX(職員マスタ!$E$6:$E$405,$AP1962)),"子の生年月日がマスタと相違／","")&amp;IF(AND($L1962&lt;&gt;"",INDEX(職員マスタ!$G$6:$G$405,$AP1962)&lt;&gt;"",$L1962&lt;&gt;INDEX(職員マスタ!$G$6:$G$405,$AP1962)),"時短開始日がマスタと相違／","")&amp;IF(AND($M1962&lt;&gt;"",INDEX(職員マスタ!$H$6:$H$405,$AP1962)&lt;&gt;"",$M1962&lt;&gt;INDEX(職員マスタ!$H$6:$H$405,$AP1962)),"時短終了日がマスタと相違／","")))&amp;IF(AND($B1962&lt;&gt;"",$E1962=""),"報酬額が未入力／","")&amp;IF(N($U1962)&gt;0,"申請書に入力エラーが残っています／","")&amp;IF(AND($B1962&lt;&gt;"",$AQ1962&lt;&gt;""),IF(COUNTIFS($B$6:$B$3005,$B1962,$C$6:$C$3005,$C1962,$D$6:$D$3005,$D1962)&gt;1,"同じ月の請求が重複しています／",""),"")&amp;IF(AND(N($E1962)&gt;0,$AB1962&lt;&gt;"",$AB1962&lt;&gt;"×",$AE1962=0,$AD1962=""),"計算額が下限以下のため不支給／",""))</f>
        <v/>
      </c>
      <c r="AN1962" s="12" t="n"/>
      <c r="AO1962" s="14">
        <f>IF($AF1962="保留中",COUNTIF($AF$6:$AF1962,"保留中"),"")</f>
        <v/>
      </c>
      <c r="AP1962" s="14">
        <f>IF($AQ1962="","",IF(SUMPRODUCT(MAX((職員マスタ!$A$6:$A$405=$B1962)*(((職員マスタ!$G$6:$G$405="")+(職員マスタ!$G$6:$G$405&lt;=EOMONTH($AQ1962,0)))&gt;0)*(((職員マスタ!$H$6:$H$405="")+(職員マスタ!$H$6:$H$405&gt;=$AQ1962))&gt;0)*(ROW(職員マスタ!$A$6:$A$405)-5)))&gt;0,SUMPRODUCT(MAX((職員マスタ!$A$6:$A$405=$B1962)*(((職員マスタ!$G$6:$G$405="")+(職員マスタ!$G$6:$G$405&lt;=EOMONTH($AQ1962,0)))&gt;0)*(((職員マスタ!$H$6:$H$405="")+(職員マスタ!$H$6:$H$405&gt;=$AQ1962))&gt;0)*(ROW(職員マスタ!$A$6:$A$405)-5))),IFERROR(MATCH($B1962,職員マスタ!$A$6:$A$405,0),"")))</f>
        <v/>
      </c>
      <c r="AQ1962" s="16">
        <f>IF(OR($B1962="",$C1962="",$D1962=""),"",DATE($C1962+2018,$D1962,1))</f>
        <v/>
      </c>
    </row>
    <row r="1963">
      <c r="A1963" s="11" t="n"/>
      <c r="B1963" s="12" t="n"/>
      <c r="C1963" s="12" t="n"/>
      <c r="D1963" s="12" t="n"/>
      <c r="E1963" s="13" t="n"/>
      <c r="F1963" s="12" t="n"/>
      <c r="G1963" s="13" t="n"/>
      <c r="H1963" s="12" t="n"/>
      <c r="I1963" s="12" t="n"/>
      <c r="J1963" s="12" t="n"/>
      <c r="K1963" s="12" t="n"/>
      <c r="L1963" s="11" t="n"/>
      <c r="M1963" s="11" t="n"/>
      <c r="N1963" s="11" t="n"/>
      <c r="O1963" s="11" t="n"/>
      <c r="P1963" s="12" t="n"/>
      <c r="Q1963" s="11" t="n"/>
      <c r="R1963" s="12" t="n"/>
      <c r="S1963" s="11" t="n"/>
      <c r="T1963" s="12" t="n"/>
      <c r="U1963" s="12" t="n"/>
      <c r="V1963" s="12" t="n"/>
      <c r="W1963" s="13" t="n"/>
      <c r="X1963" s="14">
        <f>IF($AP1963="",IF($B1963="","",$H1963),IF(INDEX(職員マスタ!$B$6:$B$405,$AP1963)="",$H1963,INDEX(職員マスタ!$B$6:$B$405,$AP1963)))</f>
        <v/>
      </c>
      <c r="Y1963" s="14">
        <f>IF($AP1963="",IF($B1963="","",$R1963),IF(INDEX(職員マスタ!$C$6:$C$405,$AP1963)="",$R1963,INDEX(職員マスタ!$C$6:$C$405,$AP1963)))</f>
        <v/>
      </c>
      <c r="Z1963" s="14">
        <f>IF($AQ1963="","","R"&amp;$C1963&amp;"."&amp;$D1963)</f>
        <v/>
      </c>
      <c r="AA1963" s="15">
        <f>IF(IF($AP1963="",FALSE,INDEX(職員マスタ!$K$6:$K$405,$AP1963)&lt;&gt;""),INDEX(職員マスタ!$K$6:$K$405,$AP1963),IF(N($W1963)&gt;0,$W1963,""))</f>
        <v/>
      </c>
      <c r="AB1963" s="14">
        <f>IF(OR($E1963="",$AA1963=""),"",IF($E1963&gt;=$AA1963,"×",IF($E1963&gt;=$AA1963*設定!$C$5,"△","○")))</f>
        <v/>
      </c>
      <c r="AC1963" s="15">
        <f>IF($AB1963="","",IF($AB1963="×",0,IF($AB1963="○",ROUNDDOWN($E1963*設定!$C$4,0),ROUNDDOWN($E1963*ROUND((9*$AA1963-9*$E1963)/(10*$E1963),4),0))))</f>
        <v/>
      </c>
      <c r="AD1963" s="13" t="n"/>
      <c r="AE1963" s="15">
        <f>IF($B1963="","",IF($AD1963&lt;&gt;"",$AD1963,IF($AC1963="","",IF($AC1963&lt;=設定!$C$3,0,$AC1963))))</f>
        <v/>
      </c>
      <c r="AF1963" s="14">
        <f>IF($B1963="","",IF(AND($AG1963&lt;&gt;"",$AI1963="",$AL1963=""),"保留中",IF($AL1963&lt;&gt;"",IF(N($AE1963)&gt;0,"支給済","不支給"),IF($AE1963="","要確認",IF($AE1963=0,"不支給","未処理")))))</f>
        <v/>
      </c>
      <c r="AG1963" s="12" t="n"/>
      <c r="AH1963" s="11" t="n"/>
      <c r="AI1963" s="11" t="n"/>
      <c r="AJ1963" s="11" t="n"/>
      <c r="AK1963" s="14">
        <f>IF(AND($AF1963="保留中",$AH1963&lt;&gt;""),TODAY()-$AH1963,"")</f>
        <v/>
      </c>
      <c r="AL1963" s="12" t="n"/>
      <c r="AM1963" s="14">
        <f>IF($B1963="","",IF($AQ1963="","対象年月が未入力／","")&amp;IF($B1963="","",IF($AP1963="","職員マスタに未登録の職員番号／",IF($AA1963="","標準報酬月額が未登録／","")&amp;IF(AND($AQ1963&lt;&gt;"",OR(AND(INDEX(職員マスタ!$G$6:$G$405,$AP1963)&lt;&gt;"",INDEX(職員マスタ!$G$6:$G$405,$AP1963)&gt;EOMONTH($AQ1963,0)),AND(INDEX(職員マスタ!$H$6:$H$405,$AP1963)&lt;&gt;"",INDEX(職員マスタ!$H$6:$H$405,$AP1963)&lt;$AQ1963))),"対象月が時短期間外／","")&amp;IF(AND(INDEX(職員マスタ!$K$6:$K$405,$AP1963)&lt;&gt;"",N($W1963)&gt;0,INDEX(職員マスタ!$K$6:$K$405,$AP1963)&lt;&gt;$W1963),"標準報酬月額が申請書と相違（台帳"&amp;TEXT(INDEX(職員マスタ!$K$6:$K$405,$AP1963),"#,##0")&amp;"円／申請書"&amp;TEXT($W1963,"#,##0")&amp;"円）／","")&amp;IF(AND(INDEX(職員マスタ!$F$6:$F$405,$AP1963)&lt;&gt;"",$AQ1963&lt;&gt;"",INDEX(職員マスタ!$F$6:$F$405,$AP1963)&lt;$AQ1963),"対象月に子が2歳到達済／","")&amp;IF(AND($H1963&lt;&gt;"",INDEX(職員マスタ!$B$6:$B$405,$AP1963)&lt;&gt;"",SUBSTITUTE(SUBSTITUTE($H1963," ","")," ","")&lt;&gt;SUBSTITUTE(SUBSTITUTE(INDEX(職員マスタ!$B$6:$B$405,$AP1963)," ","")," ","")),"氏名がマスタと相違／","")&amp;IF(AND($Q1963&lt;&gt;"",INDEX(職員マスタ!$E$6:$E$405,$AP1963)&lt;&gt;"",$Q1963&lt;&gt;INDEX(職員マスタ!$E$6:$E$405,$AP1963)),"子の生年月日がマスタと相違／","")&amp;IF(AND($L1963&lt;&gt;"",INDEX(職員マスタ!$G$6:$G$405,$AP1963)&lt;&gt;"",$L1963&lt;&gt;INDEX(職員マスタ!$G$6:$G$405,$AP1963)),"時短開始日がマスタと相違／","")&amp;IF(AND($M1963&lt;&gt;"",INDEX(職員マスタ!$H$6:$H$405,$AP1963)&lt;&gt;"",$M1963&lt;&gt;INDEX(職員マスタ!$H$6:$H$405,$AP1963)),"時短終了日がマスタと相違／","")))&amp;IF(AND($B1963&lt;&gt;"",$E1963=""),"報酬額が未入力／","")&amp;IF(N($U1963)&gt;0,"申請書に入力エラーが残っています／","")&amp;IF(AND($B1963&lt;&gt;"",$AQ1963&lt;&gt;""),IF(COUNTIFS($B$6:$B$3005,$B1963,$C$6:$C$3005,$C1963,$D$6:$D$3005,$D1963)&gt;1,"同じ月の請求が重複しています／",""),"")&amp;IF(AND(N($E1963)&gt;0,$AB1963&lt;&gt;"",$AB1963&lt;&gt;"×",$AE1963=0,$AD1963=""),"計算額が下限以下のため不支給／",""))</f>
        <v/>
      </c>
      <c r="AN1963" s="12" t="n"/>
      <c r="AO1963" s="14">
        <f>IF($AF1963="保留中",COUNTIF($AF$6:$AF1963,"保留中"),"")</f>
        <v/>
      </c>
      <c r="AP1963" s="14">
        <f>IF($AQ1963="","",IF(SUMPRODUCT(MAX((職員マスタ!$A$6:$A$405=$B1963)*(((職員マスタ!$G$6:$G$405="")+(職員マスタ!$G$6:$G$405&lt;=EOMONTH($AQ1963,0)))&gt;0)*(((職員マスタ!$H$6:$H$405="")+(職員マスタ!$H$6:$H$405&gt;=$AQ1963))&gt;0)*(ROW(職員マスタ!$A$6:$A$405)-5)))&gt;0,SUMPRODUCT(MAX((職員マスタ!$A$6:$A$405=$B1963)*(((職員マスタ!$G$6:$G$405="")+(職員マスタ!$G$6:$G$405&lt;=EOMONTH($AQ1963,0)))&gt;0)*(((職員マスタ!$H$6:$H$405="")+(職員マスタ!$H$6:$H$405&gt;=$AQ1963))&gt;0)*(ROW(職員マスタ!$A$6:$A$405)-5))),IFERROR(MATCH($B1963,職員マスタ!$A$6:$A$405,0),"")))</f>
        <v/>
      </c>
      <c r="AQ1963" s="16">
        <f>IF(OR($B1963="",$C1963="",$D1963=""),"",DATE($C1963+2018,$D1963,1))</f>
        <v/>
      </c>
    </row>
    <row r="1964">
      <c r="A1964" s="11" t="n"/>
      <c r="B1964" s="12" t="n"/>
      <c r="C1964" s="12" t="n"/>
      <c r="D1964" s="12" t="n"/>
      <c r="E1964" s="13" t="n"/>
      <c r="F1964" s="12" t="n"/>
      <c r="G1964" s="13" t="n"/>
      <c r="H1964" s="12" t="n"/>
      <c r="I1964" s="12" t="n"/>
      <c r="J1964" s="12" t="n"/>
      <c r="K1964" s="12" t="n"/>
      <c r="L1964" s="11" t="n"/>
      <c r="M1964" s="11" t="n"/>
      <c r="N1964" s="11" t="n"/>
      <c r="O1964" s="11" t="n"/>
      <c r="P1964" s="12" t="n"/>
      <c r="Q1964" s="11" t="n"/>
      <c r="R1964" s="12" t="n"/>
      <c r="S1964" s="11" t="n"/>
      <c r="T1964" s="12" t="n"/>
      <c r="U1964" s="12" t="n"/>
      <c r="V1964" s="12" t="n"/>
      <c r="W1964" s="13" t="n"/>
      <c r="X1964" s="14">
        <f>IF($AP1964="",IF($B1964="","",$H1964),IF(INDEX(職員マスタ!$B$6:$B$405,$AP1964)="",$H1964,INDEX(職員マスタ!$B$6:$B$405,$AP1964)))</f>
        <v/>
      </c>
      <c r="Y1964" s="14">
        <f>IF($AP1964="",IF($B1964="","",$R1964),IF(INDEX(職員マスタ!$C$6:$C$405,$AP1964)="",$R1964,INDEX(職員マスタ!$C$6:$C$405,$AP1964)))</f>
        <v/>
      </c>
      <c r="Z1964" s="14">
        <f>IF($AQ1964="","","R"&amp;$C1964&amp;"."&amp;$D1964)</f>
        <v/>
      </c>
      <c r="AA1964" s="15">
        <f>IF(IF($AP1964="",FALSE,INDEX(職員マスタ!$K$6:$K$405,$AP1964)&lt;&gt;""),INDEX(職員マスタ!$K$6:$K$405,$AP1964),IF(N($W1964)&gt;0,$W1964,""))</f>
        <v/>
      </c>
      <c r="AB1964" s="14">
        <f>IF(OR($E1964="",$AA1964=""),"",IF($E1964&gt;=$AA1964,"×",IF($E1964&gt;=$AA1964*設定!$C$5,"△","○")))</f>
        <v/>
      </c>
      <c r="AC1964" s="15">
        <f>IF($AB1964="","",IF($AB1964="×",0,IF($AB1964="○",ROUNDDOWN($E1964*設定!$C$4,0),ROUNDDOWN($E1964*ROUND((9*$AA1964-9*$E1964)/(10*$E1964),4),0))))</f>
        <v/>
      </c>
      <c r="AD1964" s="13" t="n"/>
      <c r="AE1964" s="15">
        <f>IF($B1964="","",IF($AD1964&lt;&gt;"",$AD1964,IF($AC1964="","",IF($AC1964&lt;=設定!$C$3,0,$AC1964))))</f>
        <v/>
      </c>
      <c r="AF1964" s="14">
        <f>IF($B1964="","",IF(AND($AG1964&lt;&gt;"",$AI1964="",$AL1964=""),"保留中",IF($AL1964&lt;&gt;"",IF(N($AE1964)&gt;0,"支給済","不支給"),IF($AE1964="","要確認",IF($AE1964=0,"不支給","未処理")))))</f>
        <v/>
      </c>
      <c r="AG1964" s="12" t="n"/>
      <c r="AH1964" s="11" t="n"/>
      <c r="AI1964" s="11" t="n"/>
      <c r="AJ1964" s="11" t="n"/>
      <c r="AK1964" s="14">
        <f>IF(AND($AF1964="保留中",$AH1964&lt;&gt;""),TODAY()-$AH1964,"")</f>
        <v/>
      </c>
      <c r="AL1964" s="12" t="n"/>
      <c r="AM1964" s="14">
        <f>IF($B1964="","",IF($AQ1964="","対象年月が未入力／","")&amp;IF($B1964="","",IF($AP1964="","職員マスタに未登録の職員番号／",IF($AA1964="","標準報酬月額が未登録／","")&amp;IF(AND($AQ1964&lt;&gt;"",OR(AND(INDEX(職員マスタ!$G$6:$G$405,$AP1964)&lt;&gt;"",INDEX(職員マスタ!$G$6:$G$405,$AP1964)&gt;EOMONTH($AQ1964,0)),AND(INDEX(職員マスタ!$H$6:$H$405,$AP1964)&lt;&gt;"",INDEX(職員マスタ!$H$6:$H$405,$AP1964)&lt;$AQ1964))),"対象月が時短期間外／","")&amp;IF(AND(INDEX(職員マスタ!$K$6:$K$405,$AP1964)&lt;&gt;"",N($W1964)&gt;0,INDEX(職員マスタ!$K$6:$K$405,$AP1964)&lt;&gt;$W1964),"標準報酬月額が申請書と相違（台帳"&amp;TEXT(INDEX(職員マスタ!$K$6:$K$405,$AP1964),"#,##0")&amp;"円／申請書"&amp;TEXT($W1964,"#,##0")&amp;"円）／","")&amp;IF(AND(INDEX(職員マスタ!$F$6:$F$405,$AP1964)&lt;&gt;"",$AQ1964&lt;&gt;"",INDEX(職員マスタ!$F$6:$F$405,$AP1964)&lt;$AQ1964),"対象月に子が2歳到達済／","")&amp;IF(AND($H1964&lt;&gt;"",INDEX(職員マスタ!$B$6:$B$405,$AP1964)&lt;&gt;"",SUBSTITUTE(SUBSTITUTE($H1964," ","")," ","")&lt;&gt;SUBSTITUTE(SUBSTITUTE(INDEX(職員マスタ!$B$6:$B$405,$AP1964)," ","")," ","")),"氏名がマスタと相違／","")&amp;IF(AND($Q1964&lt;&gt;"",INDEX(職員マスタ!$E$6:$E$405,$AP1964)&lt;&gt;"",$Q1964&lt;&gt;INDEX(職員マスタ!$E$6:$E$405,$AP1964)),"子の生年月日がマスタと相違／","")&amp;IF(AND($L1964&lt;&gt;"",INDEX(職員マスタ!$G$6:$G$405,$AP1964)&lt;&gt;"",$L1964&lt;&gt;INDEX(職員マスタ!$G$6:$G$405,$AP1964)),"時短開始日がマスタと相違／","")&amp;IF(AND($M1964&lt;&gt;"",INDEX(職員マスタ!$H$6:$H$405,$AP1964)&lt;&gt;"",$M1964&lt;&gt;INDEX(職員マスタ!$H$6:$H$405,$AP1964)),"時短終了日がマスタと相違／","")))&amp;IF(AND($B1964&lt;&gt;"",$E1964=""),"報酬額が未入力／","")&amp;IF(N($U1964)&gt;0,"申請書に入力エラーが残っています／","")&amp;IF(AND($B1964&lt;&gt;"",$AQ1964&lt;&gt;""),IF(COUNTIFS($B$6:$B$3005,$B1964,$C$6:$C$3005,$C1964,$D$6:$D$3005,$D1964)&gt;1,"同じ月の請求が重複しています／",""),"")&amp;IF(AND(N($E1964)&gt;0,$AB1964&lt;&gt;"",$AB1964&lt;&gt;"×",$AE1964=0,$AD1964=""),"計算額が下限以下のため不支給／",""))</f>
        <v/>
      </c>
      <c r="AN1964" s="12" t="n"/>
      <c r="AO1964" s="14">
        <f>IF($AF1964="保留中",COUNTIF($AF$6:$AF1964,"保留中"),"")</f>
        <v/>
      </c>
      <c r="AP1964" s="14">
        <f>IF($AQ1964="","",IF(SUMPRODUCT(MAX((職員マスタ!$A$6:$A$405=$B1964)*(((職員マスタ!$G$6:$G$405="")+(職員マスタ!$G$6:$G$405&lt;=EOMONTH($AQ1964,0)))&gt;0)*(((職員マスタ!$H$6:$H$405="")+(職員マスタ!$H$6:$H$405&gt;=$AQ1964))&gt;0)*(ROW(職員マスタ!$A$6:$A$405)-5)))&gt;0,SUMPRODUCT(MAX((職員マスタ!$A$6:$A$405=$B1964)*(((職員マスタ!$G$6:$G$405="")+(職員マスタ!$G$6:$G$405&lt;=EOMONTH($AQ1964,0)))&gt;0)*(((職員マスタ!$H$6:$H$405="")+(職員マスタ!$H$6:$H$405&gt;=$AQ1964))&gt;0)*(ROW(職員マスタ!$A$6:$A$405)-5))),IFERROR(MATCH($B1964,職員マスタ!$A$6:$A$405,0),"")))</f>
        <v/>
      </c>
      <c r="AQ1964" s="16">
        <f>IF(OR($B1964="",$C1964="",$D1964=""),"",DATE($C1964+2018,$D1964,1))</f>
        <v/>
      </c>
    </row>
    <row r="1965">
      <c r="A1965" s="11" t="n"/>
      <c r="B1965" s="12" t="n"/>
      <c r="C1965" s="12" t="n"/>
      <c r="D1965" s="12" t="n"/>
      <c r="E1965" s="13" t="n"/>
      <c r="F1965" s="12" t="n"/>
      <c r="G1965" s="13" t="n"/>
      <c r="H1965" s="12" t="n"/>
      <c r="I1965" s="12" t="n"/>
      <c r="J1965" s="12" t="n"/>
      <c r="K1965" s="12" t="n"/>
      <c r="L1965" s="11" t="n"/>
      <c r="M1965" s="11" t="n"/>
      <c r="N1965" s="11" t="n"/>
      <c r="O1965" s="11" t="n"/>
      <c r="P1965" s="12" t="n"/>
      <c r="Q1965" s="11" t="n"/>
      <c r="R1965" s="12" t="n"/>
      <c r="S1965" s="11" t="n"/>
      <c r="T1965" s="12" t="n"/>
      <c r="U1965" s="12" t="n"/>
      <c r="V1965" s="12" t="n"/>
      <c r="W1965" s="13" t="n"/>
      <c r="X1965" s="14">
        <f>IF($AP1965="",IF($B1965="","",$H1965),IF(INDEX(職員マスタ!$B$6:$B$405,$AP1965)="",$H1965,INDEX(職員マスタ!$B$6:$B$405,$AP1965)))</f>
        <v/>
      </c>
      <c r="Y1965" s="14">
        <f>IF($AP1965="",IF($B1965="","",$R1965),IF(INDEX(職員マスタ!$C$6:$C$405,$AP1965)="",$R1965,INDEX(職員マスタ!$C$6:$C$405,$AP1965)))</f>
        <v/>
      </c>
      <c r="Z1965" s="14">
        <f>IF($AQ1965="","","R"&amp;$C1965&amp;"."&amp;$D1965)</f>
        <v/>
      </c>
      <c r="AA1965" s="15">
        <f>IF(IF($AP1965="",FALSE,INDEX(職員マスタ!$K$6:$K$405,$AP1965)&lt;&gt;""),INDEX(職員マスタ!$K$6:$K$405,$AP1965),IF(N($W1965)&gt;0,$W1965,""))</f>
        <v/>
      </c>
      <c r="AB1965" s="14">
        <f>IF(OR($E1965="",$AA1965=""),"",IF($E1965&gt;=$AA1965,"×",IF($E1965&gt;=$AA1965*設定!$C$5,"△","○")))</f>
        <v/>
      </c>
      <c r="AC1965" s="15">
        <f>IF($AB1965="","",IF($AB1965="×",0,IF($AB1965="○",ROUNDDOWN($E1965*設定!$C$4,0),ROUNDDOWN($E1965*ROUND((9*$AA1965-9*$E1965)/(10*$E1965),4),0))))</f>
        <v/>
      </c>
      <c r="AD1965" s="13" t="n"/>
      <c r="AE1965" s="15">
        <f>IF($B1965="","",IF($AD1965&lt;&gt;"",$AD1965,IF($AC1965="","",IF($AC1965&lt;=設定!$C$3,0,$AC1965))))</f>
        <v/>
      </c>
      <c r="AF1965" s="14">
        <f>IF($B1965="","",IF(AND($AG1965&lt;&gt;"",$AI1965="",$AL1965=""),"保留中",IF($AL1965&lt;&gt;"",IF(N($AE1965)&gt;0,"支給済","不支給"),IF($AE1965="","要確認",IF($AE1965=0,"不支給","未処理")))))</f>
        <v/>
      </c>
      <c r="AG1965" s="12" t="n"/>
      <c r="AH1965" s="11" t="n"/>
      <c r="AI1965" s="11" t="n"/>
      <c r="AJ1965" s="11" t="n"/>
      <c r="AK1965" s="14">
        <f>IF(AND($AF1965="保留中",$AH1965&lt;&gt;""),TODAY()-$AH1965,"")</f>
        <v/>
      </c>
      <c r="AL1965" s="12" t="n"/>
      <c r="AM1965" s="14">
        <f>IF($B1965="","",IF($AQ1965="","対象年月が未入力／","")&amp;IF($B1965="","",IF($AP1965="","職員マスタに未登録の職員番号／",IF($AA1965="","標準報酬月額が未登録／","")&amp;IF(AND($AQ1965&lt;&gt;"",OR(AND(INDEX(職員マスタ!$G$6:$G$405,$AP1965)&lt;&gt;"",INDEX(職員マスタ!$G$6:$G$405,$AP1965)&gt;EOMONTH($AQ1965,0)),AND(INDEX(職員マスタ!$H$6:$H$405,$AP1965)&lt;&gt;"",INDEX(職員マスタ!$H$6:$H$405,$AP1965)&lt;$AQ1965))),"対象月が時短期間外／","")&amp;IF(AND(INDEX(職員マスタ!$K$6:$K$405,$AP1965)&lt;&gt;"",N($W1965)&gt;0,INDEX(職員マスタ!$K$6:$K$405,$AP1965)&lt;&gt;$W1965),"標準報酬月額が申請書と相違（台帳"&amp;TEXT(INDEX(職員マスタ!$K$6:$K$405,$AP1965),"#,##0")&amp;"円／申請書"&amp;TEXT($W1965,"#,##0")&amp;"円）／","")&amp;IF(AND(INDEX(職員マスタ!$F$6:$F$405,$AP1965)&lt;&gt;"",$AQ1965&lt;&gt;"",INDEX(職員マスタ!$F$6:$F$405,$AP1965)&lt;$AQ1965),"対象月に子が2歳到達済／","")&amp;IF(AND($H1965&lt;&gt;"",INDEX(職員マスタ!$B$6:$B$405,$AP1965)&lt;&gt;"",SUBSTITUTE(SUBSTITUTE($H1965," ","")," ","")&lt;&gt;SUBSTITUTE(SUBSTITUTE(INDEX(職員マスタ!$B$6:$B$405,$AP1965)," ","")," ","")),"氏名がマスタと相違／","")&amp;IF(AND($Q1965&lt;&gt;"",INDEX(職員マスタ!$E$6:$E$405,$AP1965)&lt;&gt;"",$Q1965&lt;&gt;INDEX(職員マスタ!$E$6:$E$405,$AP1965)),"子の生年月日がマスタと相違／","")&amp;IF(AND($L1965&lt;&gt;"",INDEX(職員マスタ!$G$6:$G$405,$AP1965)&lt;&gt;"",$L1965&lt;&gt;INDEX(職員マスタ!$G$6:$G$405,$AP1965)),"時短開始日がマスタと相違／","")&amp;IF(AND($M1965&lt;&gt;"",INDEX(職員マスタ!$H$6:$H$405,$AP1965)&lt;&gt;"",$M1965&lt;&gt;INDEX(職員マスタ!$H$6:$H$405,$AP1965)),"時短終了日がマスタと相違／","")))&amp;IF(AND($B1965&lt;&gt;"",$E1965=""),"報酬額が未入力／","")&amp;IF(N($U1965)&gt;0,"申請書に入力エラーが残っています／","")&amp;IF(AND($B1965&lt;&gt;"",$AQ1965&lt;&gt;""),IF(COUNTIFS($B$6:$B$3005,$B1965,$C$6:$C$3005,$C1965,$D$6:$D$3005,$D1965)&gt;1,"同じ月の請求が重複しています／",""),"")&amp;IF(AND(N($E1965)&gt;0,$AB1965&lt;&gt;"",$AB1965&lt;&gt;"×",$AE1965=0,$AD1965=""),"計算額が下限以下のため不支給／",""))</f>
        <v/>
      </c>
      <c r="AN1965" s="12" t="n"/>
      <c r="AO1965" s="14">
        <f>IF($AF1965="保留中",COUNTIF($AF$6:$AF1965,"保留中"),"")</f>
        <v/>
      </c>
      <c r="AP1965" s="14">
        <f>IF($AQ1965="","",IF(SUMPRODUCT(MAX((職員マスタ!$A$6:$A$405=$B1965)*(((職員マスタ!$G$6:$G$405="")+(職員マスタ!$G$6:$G$405&lt;=EOMONTH($AQ1965,0)))&gt;0)*(((職員マスタ!$H$6:$H$405="")+(職員マスタ!$H$6:$H$405&gt;=$AQ1965))&gt;0)*(ROW(職員マスタ!$A$6:$A$405)-5)))&gt;0,SUMPRODUCT(MAX((職員マスタ!$A$6:$A$405=$B1965)*(((職員マスタ!$G$6:$G$405="")+(職員マスタ!$G$6:$G$405&lt;=EOMONTH($AQ1965,0)))&gt;0)*(((職員マスタ!$H$6:$H$405="")+(職員マスタ!$H$6:$H$405&gt;=$AQ1965))&gt;0)*(ROW(職員マスタ!$A$6:$A$405)-5))),IFERROR(MATCH($B1965,職員マスタ!$A$6:$A$405,0),"")))</f>
        <v/>
      </c>
      <c r="AQ1965" s="16">
        <f>IF(OR($B1965="",$C1965="",$D1965=""),"",DATE($C1965+2018,$D1965,1))</f>
        <v/>
      </c>
    </row>
    <row r="1966">
      <c r="A1966" s="11" t="n"/>
      <c r="B1966" s="12" t="n"/>
      <c r="C1966" s="12" t="n"/>
      <c r="D1966" s="12" t="n"/>
      <c r="E1966" s="13" t="n"/>
      <c r="F1966" s="12" t="n"/>
      <c r="G1966" s="13" t="n"/>
      <c r="H1966" s="12" t="n"/>
      <c r="I1966" s="12" t="n"/>
      <c r="J1966" s="12" t="n"/>
      <c r="K1966" s="12" t="n"/>
      <c r="L1966" s="11" t="n"/>
      <c r="M1966" s="11" t="n"/>
      <c r="N1966" s="11" t="n"/>
      <c r="O1966" s="11" t="n"/>
      <c r="P1966" s="12" t="n"/>
      <c r="Q1966" s="11" t="n"/>
      <c r="R1966" s="12" t="n"/>
      <c r="S1966" s="11" t="n"/>
      <c r="T1966" s="12" t="n"/>
      <c r="U1966" s="12" t="n"/>
      <c r="V1966" s="12" t="n"/>
      <c r="W1966" s="13" t="n"/>
      <c r="X1966" s="14">
        <f>IF($AP1966="",IF($B1966="","",$H1966),IF(INDEX(職員マスタ!$B$6:$B$405,$AP1966)="",$H1966,INDEX(職員マスタ!$B$6:$B$405,$AP1966)))</f>
        <v/>
      </c>
      <c r="Y1966" s="14">
        <f>IF($AP1966="",IF($B1966="","",$R1966),IF(INDEX(職員マスタ!$C$6:$C$405,$AP1966)="",$R1966,INDEX(職員マスタ!$C$6:$C$405,$AP1966)))</f>
        <v/>
      </c>
      <c r="Z1966" s="14">
        <f>IF($AQ1966="","","R"&amp;$C1966&amp;"."&amp;$D1966)</f>
        <v/>
      </c>
      <c r="AA1966" s="15">
        <f>IF(IF($AP1966="",FALSE,INDEX(職員マスタ!$K$6:$K$405,$AP1966)&lt;&gt;""),INDEX(職員マスタ!$K$6:$K$405,$AP1966),IF(N($W1966)&gt;0,$W1966,""))</f>
        <v/>
      </c>
      <c r="AB1966" s="14">
        <f>IF(OR($E1966="",$AA1966=""),"",IF($E1966&gt;=$AA1966,"×",IF($E1966&gt;=$AA1966*設定!$C$5,"△","○")))</f>
        <v/>
      </c>
      <c r="AC1966" s="15">
        <f>IF($AB1966="","",IF($AB1966="×",0,IF($AB1966="○",ROUNDDOWN($E1966*設定!$C$4,0),ROUNDDOWN($E1966*ROUND((9*$AA1966-9*$E1966)/(10*$E1966),4),0))))</f>
        <v/>
      </c>
      <c r="AD1966" s="13" t="n"/>
      <c r="AE1966" s="15">
        <f>IF($B1966="","",IF($AD1966&lt;&gt;"",$AD1966,IF($AC1966="","",IF($AC1966&lt;=設定!$C$3,0,$AC1966))))</f>
        <v/>
      </c>
      <c r="AF1966" s="14">
        <f>IF($B1966="","",IF(AND($AG1966&lt;&gt;"",$AI1966="",$AL1966=""),"保留中",IF($AL1966&lt;&gt;"",IF(N($AE1966)&gt;0,"支給済","不支給"),IF($AE1966="","要確認",IF($AE1966=0,"不支給","未処理")))))</f>
        <v/>
      </c>
      <c r="AG1966" s="12" t="n"/>
      <c r="AH1966" s="11" t="n"/>
      <c r="AI1966" s="11" t="n"/>
      <c r="AJ1966" s="11" t="n"/>
      <c r="AK1966" s="14">
        <f>IF(AND($AF1966="保留中",$AH1966&lt;&gt;""),TODAY()-$AH1966,"")</f>
        <v/>
      </c>
      <c r="AL1966" s="12" t="n"/>
      <c r="AM1966" s="14">
        <f>IF($B1966="","",IF($AQ1966="","対象年月が未入力／","")&amp;IF($B1966="","",IF($AP1966="","職員マスタに未登録の職員番号／",IF($AA1966="","標準報酬月額が未登録／","")&amp;IF(AND($AQ1966&lt;&gt;"",OR(AND(INDEX(職員マスタ!$G$6:$G$405,$AP1966)&lt;&gt;"",INDEX(職員マスタ!$G$6:$G$405,$AP1966)&gt;EOMONTH($AQ1966,0)),AND(INDEX(職員マスタ!$H$6:$H$405,$AP1966)&lt;&gt;"",INDEX(職員マスタ!$H$6:$H$405,$AP1966)&lt;$AQ1966))),"対象月が時短期間外／","")&amp;IF(AND(INDEX(職員マスタ!$K$6:$K$405,$AP1966)&lt;&gt;"",N($W1966)&gt;0,INDEX(職員マスタ!$K$6:$K$405,$AP1966)&lt;&gt;$W1966),"標準報酬月額が申請書と相違（台帳"&amp;TEXT(INDEX(職員マスタ!$K$6:$K$405,$AP1966),"#,##0")&amp;"円／申請書"&amp;TEXT($W1966,"#,##0")&amp;"円）／","")&amp;IF(AND(INDEX(職員マスタ!$F$6:$F$405,$AP1966)&lt;&gt;"",$AQ1966&lt;&gt;"",INDEX(職員マスタ!$F$6:$F$405,$AP1966)&lt;$AQ1966),"対象月に子が2歳到達済／","")&amp;IF(AND($H1966&lt;&gt;"",INDEX(職員マスタ!$B$6:$B$405,$AP1966)&lt;&gt;"",SUBSTITUTE(SUBSTITUTE($H1966," ","")," ","")&lt;&gt;SUBSTITUTE(SUBSTITUTE(INDEX(職員マスタ!$B$6:$B$405,$AP1966)," ","")," ","")),"氏名がマスタと相違／","")&amp;IF(AND($Q1966&lt;&gt;"",INDEX(職員マスタ!$E$6:$E$405,$AP1966)&lt;&gt;"",$Q1966&lt;&gt;INDEX(職員マスタ!$E$6:$E$405,$AP1966)),"子の生年月日がマスタと相違／","")&amp;IF(AND($L1966&lt;&gt;"",INDEX(職員マスタ!$G$6:$G$405,$AP1966)&lt;&gt;"",$L1966&lt;&gt;INDEX(職員マスタ!$G$6:$G$405,$AP1966)),"時短開始日がマスタと相違／","")&amp;IF(AND($M1966&lt;&gt;"",INDEX(職員マスタ!$H$6:$H$405,$AP1966)&lt;&gt;"",$M1966&lt;&gt;INDEX(職員マスタ!$H$6:$H$405,$AP1966)),"時短終了日がマスタと相違／","")))&amp;IF(AND($B1966&lt;&gt;"",$E1966=""),"報酬額が未入力／","")&amp;IF(N($U1966)&gt;0,"申請書に入力エラーが残っています／","")&amp;IF(AND($B1966&lt;&gt;"",$AQ1966&lt;&gt;""),IF(COUNTIFS($B$6:$B$3005,$B1966,$C$6:$C$3005,$C1966,$D$6:$D$3005,$D1966)&gt;1,"同じ月の請求が重複しています／",""),"")&amp;IF(AND(N($E1966)&gt;0,$AB1966&lt;&gt;"",$AB1966&lt;&gt;"×",$AE1966=0,$AD1966=""),"計算額が下限以下のため不支給／",""))</f>
        <v/>
      </c>
      <c r="AN1966" s="12" t="n"/>
      <c r="AO1966" s="14">
        <f>IF($AF1966="保留中",COUNTIF($AF$6:$AF1966,"保留中"),"")</f>
        <v/>
      </c>
      <c r="AP1966" s="14">
        <f>IF($AQ1966="","",IF(SUMPRODUCT(MAX((職員マスタ!$A$6:$A$405=$B1966)*(((職員マスタ!$G$6:$G$405="")+(職員マスタ!$G$6:$G$405&lt;=EOMONTH($AQ1966,0)))&gt;0)*(((職員マスタ!$H$6:$H$405="")+(職員マスタ!$H$6:$H$405&gt;=$AQ1966))&gt;0)*(ROW(職員マスタ!$A$6:$A$405)-5)))&gt;0,SUMPRODUCT(MAX((職員マスタ!$A$6:$A$405=$B1966)*(((職員マスタ!$G$6:$G$405="")+(職員マスタ!$G$6:$G$405&lt;=EOMONTH($AQ1966,0)))&gt;0)*(((職員マスタ!$H$6:$H$405="")+(職員マスタ!$H$6:$H$405&gt;=$AQ1966))&gt;0)*(ROW(職員マスタ!$A$6:$A$405)-5))),IFERROR(MATCH($B1966,職員マスタ!$A$6:$A$405,0),"")))</f>
        <v/>
      </c>
      <c r="AQ1966" s="16">
        <f>IF(OR($B1966="",$C1966="",$D1966=""),"",DATE($C1966+2018,$D1966,1))</f>
        <v/>
      </c>
    </row>
    <row r="1967">
      <c r="A1967" s="11" t="n"/>
      <c r="B1967" s="12" t="n"/>
      <c r="C1967" s="12" t="n"/>
      <c r="D1967" s="12" t="n"/>
      <c r="E1967" s="13" t="n"/>
      <c r="F1967" s="12" t="n"/>
      <c r="G1967" s="13" t="n"/>
      <c r="H1967" s="12" t="n"/>
      <c r="I1967" s="12" t="n"/>
      <c r="J1967" s="12" t="n"/>
      <c r="K1967" s="12" t="n"/>
      <c r="L1967" s="11" t="n"/>
      <c r="M1967" s="11" t="n"/>
      <c r="N1967" s="11" t="n"/>
      <c r="O1967" s="11" t="n"/>
      <c r="P1967" s="12" t="n"/>
      <c r="Q1967" s="11" t="n"/>
      <c r="R1967" s="12" t="n"/>
      <c r="S1967" s="11" t="n"/>
      <c r="T1967" s="12" t="n"/>
      <c r="U1967" s="12" t="n"/>
      <c r="V1967" s="12" t="n"/>
      <c r="W1967" s="13" t="n"/>
      <c r="X1967" s="14">
        <f>IF($AP1967="",IF($B1967="","",$H1967),IF(INDEX(職員マスタ!$B$6:$B$405,$AP1967)="",$H1967,INDEX(職員マスタ!$B$6:$B$405,$AP1967)))</f>
        <v/>
      </c>
      <c r="Y1967" s="14">
        <f>IF($AP1967="",IF($B1967="","",$R1967),IF(INDEX(職員マスタ!$C$6:$C$405,$AP1967)="",$R1967,INDEX(職員マスタ!$C$6:$C$405,$AP1967)))</f>
        <v/>
      </c>
      <c r="Z1967" s="14">
        <f>IF($AQ1967="","","R"&amp;$C1967&amp;"."&amp;$D1967)</f>
        <v/>
      </c>
      <c r="AA1967" s="15">
        <f>IF(IF($AP1967="",FALSE,INDEX(職員マスタ!$K$6:$K$405,$AP1967)&lt;&gt;""),INDEX(職員マスタ!$K$6:$K$405,$AP1967),IF(N($W1967)&gt;0,$W1967,""))</f>
        <v/>
      </c>
      <c r="AB1967" s="14">
        <f>IF(OR($E1967="",$AA1967=""),"",IF($E1967&gt;=$AA1967,"×",IF($E1967&gt;=$AA1967*設定!$C$5,"△","○")))</f>
        <v/>
      </c>
      <c r="AC1967" s="15">
        <f>IF($AB1967="","",IF($AB1967="×",0,IF($AB1967="○",ROUNDDOWN($E1967*設定!$C$4,0),ROUNDDOWN($E1967*ROUND((9*$AA1967-9*$E1967)/(10*$E1967),4),0))))</f>
        <v/>
      </c>
      <c r="AD1967" s="13" t="n"/>
      <c r="AE1967" s="15">
        <f>IF($B1967="","",IF($AD1967&lt;&gt;"",$AD1967,IF($AC1967="","",IF($AC1967&lt;=設定!$C$3,0,$AC1967))))</f>
        <v/>
      </c>
      <c r="AF1967" s="14">
        <f>IF($B1967="","",IF(AND($AG1967&lt;&gt;"",$AI1967="",$AL1967=""),"保留中",IF($AL1967&lt;&gt;"",IF(N($AE1967)&gt;0,"支給済","不支給"),IF($AE1967="","要確認",IF($AE1967=0,"不支給","未処理")))))</f>
        <v/>
      </c>
      <c r="AG1967" s="12" t="n"/>
      <c r="AH1967" s="11" t="n"/>
      <c r="AI1967" s="11" t="n"/>
      <c r="AJ1967" s="11" t="n"/>
      <c r="AK1967" s="14">
        <f>IF(AND($AF1967="保留中",$AH1967&lt;&gt;""),TODAY()-$AH1967,"")</f>
        <v/>
      </c>
      <c r="AL1967" s="12" t="n"/>
      <c r="AM1967" s="14">
        <f>IF($B1967="","",IF($AQ1967="","対象年月が未入力／","")&amp;IF($B1967="","",IF($AP1967="","職員マスタに未登録の職員番号／",IF($AA1967="","標準報酬月額が未登録／","")&amp;IF(AND($AQ1967&lt;&gt;"",OR(AND(INDEX(職員マスタ!$G$6:$G$405,$AP1967)&lt;&gt;"",INDEX(職員マスタ!$G$6:$G$405,$AP1967)&gt;EOMONTH($AQ1967,0)),AND(INDEX(職員マスタ!$H$6:$H$405,$AP1967)&lt;&gt;"",INDEX(職員マスタ!$H$6:$H$405,$AP1967)&lt;$AQ1967))),"対象月が時短期間外／","")&amp;IF(AND(INDEX(職員マスタ!$K$6:$K$405,$AP1967)&lt;&gt;"",N($W1967)&gt;0,INDEX(職員マスタ!$K$6:$K$405,$AP1967)&lt;&gt;$W1967),"標準報酬月額が申請書と相違（台帳"&amp;TEXT(INDEX(職員マスタ!$K$6:$K$405,$AP1967),"#,##0")&amp;"円／申請書"&amp;TEXT($W1967,"#,##0")&amp;"円）／","")&amp;IF(AND(INDEX(職員マスタ!$F$6:$F$405,$AP1967)&lt;&gt;"",$AQ1967&lt;&gt;"",INDEX(職員マスタ!$F$6:$F$405,$AP1967)&lt;$AQ1967),"対象月に子が2歳到達済／","")&amp;IF(AND($H1967&lt;&gt;"",INDEX(職員マスタ!$B$6:$B$405,$AP1967)&lt;&gt;"",SUBSTITUTE(SUBSTITUTE($H1967," ","")," ","")&lt;&gt;SUBSTITUTE(SUBSTITUTE(INDEX(職員マスタ!$B$6:$B$405,$AP1967)," ","")," ","")),"氏名がマスタと相違／","")&amp;IF(AND($Q1967&lt;&gt;"",INDEX(職員マスタ!$E$6:$E$405,$AP1967)&lt;&gt;"",$Q1967&lt;&gt;INDEX(職員マスタ!$E$6:$E$405,$AP1967)),"子の生年月日がマスタと相違／","")&amp;IF(AND($L1967&lt;&gt;"",INDEX(職員マスタ!$G$6:$G$405,$AP1967)&lt;&gt;"",$L1967&lt;&gt;INDEX(職員マスタ!$G$6:$G$405,$AP1967)),"時短開始日がマスタと相違／","")&amp;IF(AND($M1967&lt;&gt;"",INDEX(職員マスタ!$H$6:$H$405,$AP1967)&lt;&gt;"",$M1967&lt;&gt;INDEX(職員マスタ!$H$6:$H$405,$AP1967)),"時短終了日がマスタと相違／","")))&amp;IF(AND($B1967&lt;&gt;"",$E1967=""),"報酬額が未入力／","")&amp;IF(N($U1967)&gt;0,"申請書に入力エラーが残っています／","")&amp;IF(AND($B1967&lt;&gt;"",$AQ1967&lt;&gt;""),IF(COUNTIFS($B$6:$B$3005,$B1967,$C$6:$C$3005,$C1967,$D$6:$D$3005,$D1967)&gt;1,"同じ月の請求が重複しています／",""),"")&amp;IF(AND(N($E1967)&gt;0,$AB1967&lt;&gt;"",$AB1967&lt;&gt;"×",$AE1967=0,$AD1967=""),"計算額が下限以下のため不支給／",""))</f>
        <v/>
      </c>
      <c r="AN1967" s="12" t="n"/>
      <c r="AO1967" s="14">
        <f>IF($AF1967="保留中",COUNTIF($AF$6:$AF1967,"保留中"),"")</f>
        <v/>
      </c>
      <c r="AP1967" s="14">
        <f>IF($AQ1967="","",IF(SUMPRODUCT(MAX((職員マスタ!$A$6:$A$405=$B1967)*(((職員マスタ!$G$6:$G$405="")+(職員マスタ!$G$6:$G$405&lt;=EOMONTH($AQ1967,0)))&gt;0)*(((職員マスタ!$H$6:$H$405="")+(職員マスタ!$H$6:$H$405&gt;=$AQ1967))&gt;0)*(ROW(職員マスタ!$A$6:$A$405)-5)))&gt;0,SUMPRODUCT(MAX((職員マスタ!$A$6:$A$405=$B1967)*(((職員マスタ!$G$6:$G$405="")+(職員マスタ!$G$6:$G$405&lt;=EOMONTH($AQ1967,0)))&gt;0)*(((職員マスタ!$H$6:$H$405="")+(職員マスタ!$H$6:$H$405&gt;=$AQ1967))&gt;0)*(ROW(職員マスタ!$A$6:$A$405)-5))),IFERROR(MATCH($B1967,職員マスタ!$A$6:$A$405,0),"")))</f>
        <v/>
      </c>
      <c r="AQ1967" s="16">
        <f>IF(OR($B1967="",$C1967="",$D1967=""),"",DATE($C1967+2018,$D1967,1))</f>
        <v/>
      </c>
    </row>
    <row r="1968">
      <c r="A1968" s="11" t="n"/>
      <c r="B1968" s="12" t="n"/>
      <c r="C1968" s="12" t="n"/>
      <c r="D1968" s="12" t="n"/>
      <c r="E1968" s="13" t="n"/>
      <c r="F1968" s="12" t="n"/>
      <c r="G1968" s="13" t="n"/>
      <c r="H1968" s="12" t="n"/>
      <c r="I1968" s="12" t="n"/>
      <c r="J1968" s="12" t="n"/>
      <c r="K1968" s="12" t="n"/>
      <c r="L1968" s="11" t="n"/>
      <c r="M1968" s="11" t="n"/>
      <c r="N1968" s="11" t="n"/>
      <c r="O1968" s="11" t="n"/>
      <c r="P1968" s="12" t="n"/>
      <c r="Q1968" s="11" t="n"/>
      <c r="R1968" s="12" t="n"/>
      <c r="S1968" s="11" t="n"/>
      <c r="T1968" s="12" t="n"/>
      <c r="U1968" s="12" t="n"/>
      <c r="V1968" s="12" t="n"/>
      <c r="W1968" s="13" t="n"/>
      <c r="X1968" s="14">
        <f>IF($AP1968="",IF($B1968="","",$H1968),IF(INDEX(職員マスタ!$B$6:$B$405,$AP1968)="",$H1968,INDEX(職員マスタ!$B$6:$B$405,$AP1968)))</f>
        <v/>
      </c>
      <c r="Y1968" s="14">
        <f>IF($AP1968="",IF($B1968="","",$R1968),IF(INDEX(職員マスタ!$C$6:$C$405,$AP1968)="",$R1968,INDEX(職員マスタ!$C$6:$C$405,$AP1968)))</f>
        <v/>
      </c>
      <c r="Z1968" s="14">
        <f>IF($AQ1968="","","R"&amp;$C1968&amp;"."&amp;$D1968)</f>
        <v/>
      </c>
      <c r="AA1968" s="15">
        <f>IF(IF($AP1968="",FALSE,INDEX(職員マスタ!$K$6:$K$405,$AP1968)&lt;&gt;""),INDEX(職員マスタ!$K$6:$K$405,$AP1968),IF(N($W1968)&gt;0,$W1968,""))</f>
        <v/>
      </c>
      <c r="AB1968" s="14">
        <f>IF(OR($E1968="",$AA1968=""),"",IF($E1968&gt;=$AA1968,"×",IF($E1968&gt;=$AA1968*設定!$C$5,"△","○")))</f>
        <v/>
      </c>
      <c r="AC1968" s="15">
        <f>IF($AB1968="","",IF($AB1968="×",0,IF($AB1968="○",ROUNDDOWN($E1968*設定!$C$4,0),ROUNDDOWN($E1968*ROUND((9*$AA1968-9*$E1968)/(10*$E1968),4),0))))</f>
        <v/>
      </c>
      <c r="AD1968" s="13" t="n"/>
      <c r="AE1968" s="15">
        <f>IF($B1968="","",IF($AD1968&lt;&gt;"",$AD1968,IF($AC1968="","",IF($AC1968&lt;=設定!$C$3,0,$AC1968))))</f>
        <v/>
      </c>
      <c r="AF1968" s="14">
        <f>IF($B1968="","",IF(AND($AG1968&lt;&gt;"",$AI1968="",$AL1968=""),"保留中",IF($AL1968&lt;&gt;"",IF(N($AE1968)&gt;0,"支給済","不支給"),IF($AE1968="","要確認",IF($AE1968=0,"不支給","未処理")))))</f>
        <v/>
      </c>
      <c r="AG1968" s="12" t="n"/>
      <c r="AH1968" s="11" t="n"/>
      <c r="AI1968" s="11" t="n"/>
      <c r="AJ1968" s="11" t="n"/>
      <c r="AK1968" s="14">
        <f>IF(AND($AF1968="保留中",$AH1968&lt;&gt;""),TODAY()-$AH1968,"")</f>
        <v/>
      </c>
      <c r="AL1968" s="12" t="n"/>
      <c r="AM1968" s="14">
        <f>IF($B1968="","",IF($AQ1968="","対象年月が未入力／","")&amp;IF($B1968="","",IF($AP1968="","職員マスタに未登録の職員番号／",IF($AA1968="","標準報酬月額が未登録／","")&amp;IF(AND($AQ1968&lt;&gt;"",OR(AND(INDEX(職員マスタ!$G$6:$G$405,$AP1968)&lt;&gt;"",INDEX(職員マスタ!$G$6:$G$405,$AP1968)&gt;EOMONTH($AQ1968,0)),AND(INDEX(職員マスタ!$H$6:$H$405,$AP1968)&lt;&gt;"",INDEX(職員マスタ!$H$6:$H$405,$AP1968)&lt;$AQ1968))),"対象月が時短期間外／","")&amp;IF(AND(INDEX(職員マスタ!$K$6:$K$405,$AP1968)&lt;&gt;"",N($W1968)&gt;0,INDEX(職員マスタ!$K$6:$K$405,$AP1968)&lt;&gt;$W1968),"標準報酬月額が申請書と相違（台帳"&amp;TEXT(INDEX(職員マスタ!$K$6:$K$405,$AP1968),"#,##0")&amp;"円／申請書"&amp;TEXT($W1968,"#,##0")&amp;"円）／","")&amp;IF(AND(INDEX(職員マスタ!$F$6:$F$405,$AP1968)&lt;&gt;"",$AQ1968&lt;&gt;"",INDEX(職員マスタ!$F$6:$F$405,$AP1968)&lt;$AQ1968),"対象月に子が2歳到達済／","")&amp;IF(AND($H1968&lt;&gt;"",INDEX(職員マスタ!$B$6:$B$405,$AP1968)&lt;&gt;"",SUBSTITUTE(SUBSTITUTE($H1968," ","")," ","")&lt;&gt;SUBSTITUTE(SUBSTITUTE(INDEX(職員マスタ!$B$6:$B$405,$AP1968)," ","")," ","")),"氏名がマスタと相違／","")&amp;IF(AND($Q1968&lt;&gt;"",INDEX(職員マスタ!$E$6:$E$405,$AP1968)&lt;&gt;"",$Q1968&lt;&gt;INDEX(職員マスタ!$E$6:$E$405,$AP1968)),"子の生年月日がマスタと相違／","")&amp;IF(AND($L1968&lt;&gt;"",INDEX(職員マスタ!$G$6:$G$405,$AP1968)&lt;&gt;"",$L1968&lt;&gt;INDEX(職員マスタ!$G$6:$G$405,$AP1968)),"時短開始日がマスタと相違／","")&amp;IF(AND($M1968&lt;&gt;"",INDEX(職員マスタ!$H$6:$H$405,$AP1968)&lt;&gt;"",$M1968&lt;&gt;INDEX(職員マスタ!$H$6:$H$405,$AP1968)),"時短終了日がマスタと相違／","")))&amp;IF(AND($B1968&lt;&gt;"",$E1968=""),"報酬額が未入力／","")&amp;IF(N($U1968)&gt;0,"申請書に入力エラーが残っています／","")&amp;IF(AND($B1968&lt;&gt;"",$AQ1968&lt;&gt;""),IF(COUNTIFS($B$6:$B$3005,$B1968,$C$6:$C$3005,$C1968,$D$6:$D$3005,$D1968)&gt;1,"同じ月の請求が重複しています／",""),"")&amp;IF(AND(N($E1968)&gt;0,$AB1968&lt;&gt;"",$AB1968&lt;&gt;"×",$AE1968=0,$AD1968=""),"計算額が下限以下のため不支給／",""))</f>
        <v/>
      </c>
      <c r="AN1968" s="12" t="n"/>
      <c r="AO1968" s="14">
        <f>IF($AF1968="保留中",COUNTIF($AF$6:$AF1968,"保留中"),"")</f>
        <v/>
      </c>
      <c r="AP1968" s="14">
        <f>IF($AQ1968="","",IF(SUMPRODUCT(MAX((職員マスタ!$A$6:$A$405=$B1968)*(((職員マスタ!$G$6:$G$405="")+(職員マスタ!$G$6:$G$405&lt;=EOMONTH($AQ1968,0)))&gt;0)*(((職員マスタ!$H$6:$H$405="")+(職員マスタ!$H$6:$H$405&gt;=$AQ1968))&gt;0)*(ROW(職員マスタ!$A$6:$A$405)-5)))&gt;0,SUMPRODUCT(MAX((職員マスタ!$A$6:$A$405=$B1968)*(((職員マスタ!$G$6:$G$405="")+(職員マスタ!$G$6:$G$405&lt;=EOMONTH($AQ1968,0)))&gt;0)*(((職員マスタ!$H$6:$H$405="")+(職員マスタ!$H$6:$H$405&gt;=$AQ1968))&gt;0)*(ROW(職員マスタ!$A$6:$A$405)-5))),IFERROR(MATCH($B1968,職員マスタ!$A$6:$A$405,0),"")))</f>
        <v/>
      </c>
      <c r="AQ1968" s="16">
        <f>IF(OR($B1968="",$C1968="",$D1968=""),"",DATE($C1968+2018,$D1968,1))</f>
        <v/>
      </c>
    </row>
    <row r="1969">
      <c r="A1969" s="11" t="n"/>
      <c r="B1969" s="12" t="n"/>
      <c r="C1969" s="12" t="n"/>
      <c r="D1969" s="12" t="n"/>
      <c r="E1969" s="13" t="n"/>
      <c r="F1969" s="12" t="n"/>
      <c r="G1969" s="13" t="n"/>
      <c r="H1969" s="12" t="n"/>
      <c r="I1969" s="12" t="n"/>
      <c r="J1969" s="12" t="n"/>
      <c r="K1969" s="12" t="n"/>
      <c r="L1969" s="11" t="n"/>
      <c r="M1969" s="11" t="n"/>
      <c r="N1969" s="11" t="n"/>
      <c r="O1969" s="11" t="n"/>
      <c r="P1969" s="12" t="n"/>
      <c r="Q1969" s="11" t="n"/>
      <c r="R1969" s="12" t="n"/>
      <c r="S1969" s="11" t="n"/>
      <c r="T1969" s="12" t="n"/>
      <c r="U1969" s="12" t="n"/>
      <c r="V1969" s="12" t="n"/>
      <c r="W1969" s="13" t="n"/>
      <c r="X1969" s="14">
        <f>IF($AP1969="",IF($B1969="","",$H1969),IF(INDEX(職員マスタ!$B$6:$B$405,$AP1969)="",$H1969,INDEX(職員マスタ!$B$6:$B$405,$AP1969)))</f>
        <v/>
      </c>
      <c r="Y1969" s="14">
        <f>IF($AP1969="",IF($B1969="","",$R1969),IF(INDEX(職員マスタ!$C$6:$C$405,$AP1969)="",$R1969,INDEX(職員マスタ!$C$6:$C$405,$AP1969)))</f>
        <v/>
      </c>
      <c r="Z1969" s="14">
        <f>IF($AQ1969="","","R"&amp;$C1969&amp;"."&amp;$D1969)</f>
        <v/>
      </c>
      <c r="AA1969" s="15">
        <f>IF(IF($AP1969="",FALSE,INDEX(職員マスタ!$K$6:$K$405,$AP1969)&lt;&gt;""),INDEX(職員マスタ!$K$6:$K$405,$AP1969),IF(N($W1969)&gt;0,$W1969,""))</f>
        <v/>
      </c>
      <c r="AB1969" s="14">
        <f>IF(OR($E1969="",$AA1969=""),"",IF($E1969&gt;=$AA1969,"×",IF($E1969&gt;=$AA1969*設定!$C$5,"△","○")))</f>
        <v/>
      </c>
      <c r="AC1969" s="15">
        <f>IF($AB1969="","",IF($AB1969="×",0,IF($AB1969="○",ROUNDDOWN($E1969*設定!$C$4,0),ROUNDDOWN($E1969*ROUND((9*$AA1969-9*$E1969)/(10*$E1969),4),0))))</f>
        <v/>
      </c>
      <c r="AD1969" s="13" t="n"/>
      <c r="AE1969" s="15">
        <f>IF($B1969="","",IF($AD1969&lt;&gt;"",$AD1969,IF($AC1969="","",IF($AC1969&lt;=設定!$C$3,0,$AC1969))))</f>
        <v/>
      </c>
      <c r="AF1969" s="14">
        <f>IF($B1969="","",IF(AND($AG1969&lt;&gt;"",$AI1969="",$AL1969=""),"保留中",IF($AL1969&lt;&gt;"",IF(N($AE1969)&gt;0,"支給済","不支給"),IF($AE1969="","要確認",IF($AE1969=0,"不支給","未処理")))))</f>
        <v/>
      </c>
      <c r="AG1969" s="12" t="n"/>
      <c r="AH1969" s="11" t="n"/>
      <c r="AI1969" s="11" t="n"/>
      <c r="AJ1969" s="11" t="n"/>
      <c r="AK1969" s="14">
        <f>IF(AND($AF1969="保留中",$AH1969&lt;&gt;""),TODAY()-$AH1969,"")</f>
        <v/>
      </c>
      <c r="AL1969" s="12" t="n"/>
      <c r="AM1969" s="14">
        <f>IF($B1969="","",IF($AQ1969="","対象年月が未入力／","")&amp;IF($B1969="","",IF($AP1969="","職員マスタに未登録の職員番号／",IF($AA1969="","標準報酬月額が未登録／","")&amp;IF(AND($AQ1969&lt;&gt;"",OR(AND(INDEX(職員マスタ!$G$6:$G$405,$AP1969)&lt;&gt;"",INDEX(職員マスタ!$G$6:$G$405,$AP1969)&gt;EOMONTH($AQ1969,0)),AND(INDEX(職員マスタ!$H$6:$H$405,$AP1969)&lt;&gt;"",INDEX(職員マスタ!$H$6:$H$405,$AP1969)&lt;$AQ1969))),"対象月が時短期間外／","")&amp;IF(AND(INDEX(職員マスタ!$K$6:$K$405,$AP1969)&lt;&gt;"",N($W1969)&gt;0,INDEX(職員マスタ!$K$6:$K$405,$AP1969)&lt;&gt;$W1969),"標準報酬月額が申請書と相違（台帳"&amp;TEXT(INDEX(職員マスタ!$K$6:$K$405,$AP1969),"#,##0")&amp;"円／申請書"&amp;TEXT($W1969,"#,##0")&amp;"円）／","")&amp;IF(AND(INDEX(職員マスタ!$F$6:$F$405,$AP1969)&lt;&gt;"",$AQ1969&lt;&gt;"",INDEX(職員マスタ!$F$6:$F$405,$AP1969)&lt;$AQ1969),"対象月に子が2歳到達済／","")&amp;IF(AND($H1969&lt;&gt;"",INDEX(職員マスタ!$B$6:$B$405,$AP1969)&lt;&gt;"",SUBSTITUTE(SUBSTITUTE($H1969," ","")," ","")&lt;&gt;SUBSTITUTE(SUBSTITUTE(INDEX(職員マスタ!$B$6:$B$405,$AP1969)," ","")," ","")),"氏名がマスタと相違／","")&amp;IF(AND($Q1969&lt;&gt;"",INDEX(職員マスタ!$E$6:$E$405,$AP1969)&lt;&gt;"",$Q1969&lt;&gt;INDEX(職員マスタ!$E$6:$E$405,$AP1969)),"子の生年月日がマスタと相違／","")&amp;IF(AND($L1969&lt;&gt;"",INDEX(職員マスタ!$G$6:$G$405,$AP1969)&lt;&gt;"",$L1969&lt;&gt;INDEX(職員マスタ!$G$6:$G$405,$AP1969)),"時短開始日がマスタと相違／","")&amp;IF(AND($M1969&lt;&gt;"",INDEX(職員マスタ!$H$6:$H$405,$AP1969)&lt;&gt;"",$M1969&lt;&gt;INDEX(職員マスタ!$H$6:$H$405,$AP1969)),"時短終了日がマスタと相違／","")))&amp;IF(AND($B1969&lt;&gt;"",$E1969=""),"報酬額が未入力／","")&amp;IF(N($U1969)&gt;0,"申請書に入力エラーが残っています／","")&amp;IF(AND($B1969&lt;&gt;"",$AQ1969&lt;&gt;""),IF(COUNTIFS($B$6:$B$3005,$B1969,$C$6:$C$3005,$C1969,$D$6:$D$3005,$D1969)&gt;1,"同じ月の請求が重複しています／",""),"")&amp;IF(AND(N($E1969)&gt;0,$AB1969&lt;&gt;"",$AB1969&lt;&gt;"×",$AE1969=0,$AD1969=""),"計算額が下限以下のため不支給／",""))</f>
        <v/>
      </c>
      <c r="AN1969" s="12" t="n"/>
      <c r="AO1969" s="14">
        <f>IF($AF1969="保留中",COUNTIF($AF$6:$AF1969,"保留中"),"")</f>
        <v/>
      </c>
      <c r="AP1969" s="14">
        <f>IF($AQ1969="","",IF(SUMPRODUCT(MAX((職員マスタ!$A$6:$A$405=$B1969)*(((職員マスタ!$G$6:$G$405="")+(職員マスタ!$G$6:$G$405&lt;=EOMONTH($AQ1969,0)))&gt;0)*(((職員マスタ!$H$6:$H$405="")+(職員マスタ!$H$6:$H$405&gt;=$AQ1969))&gt;0)*(ROW(職員マスタ!$A$6:$A$405)-5)))&gt;0,SUMPRODUCT(MAX((職員マスタ!$A$6:$A$405=$B1969)*(((職員マスタ!$G$6:$G$405="")+(職員マスタ!$G$6:$G$405&lt;=EOMONTH($AQ1969,0)))&gt;0)*(((職員マスタ!$H$6:$H$405="")+(職員マスタ!$H$6:$H$405&gt;=$AQ1969))&gt;0)*(ROW(職員マスタ!$A$6:$A$405)-5))),IFERROR(MATCH($B1969,職員マスタ!$A$6:$A$405,0),"")))</f>
        <v/>
      </c>
      <c r="AQ1969" s="16">
        <f>IF(OR($B1969="",$C1969="",$D1969=""),"",DATE($C1969+2018,$D1969,1))</f>
        <v/>
      </c>
    </row>
    <row r="1970">
      <c r="A1970" s="11" t="n"/>
      <c r="B1970" s="12" t="n"/>
      <c r="C1970" s="12" t="n"/>
      <c r="D1970" s="12" t="n"/>
      <c r="E1970" s="13" t="n"/>
      <c r="F1970" s="12" t="n"/>
      <c r="G1970" s="13" t="n"/>
      <c r="H1970" s="12" t="n"/>
      <c r="I1970" s="12" t="n"/>
      <c r="J1970" s="12" t="n"/>
      <c r="K1970" s="12" t="n"/>
      <c r="L1970" s="11" t="n"/>
      <c r="M1970" s="11" t="n"/>
      <c r="N1970" s="11" t="n"/>
      <c r="O1970" s="11" t="n"/>
      <c r="P1970" s="12" t="n"/>
      <c r="Q1970" s="11" t="n"/>
      <c r="R1970" s="12" t="n"/>
      <c r="S1970" s="11" t="n"/>
      <c r="T1970" s="12" t="n"/>
      <c r="U1970" s="12" t="n"/>
      <c r="V1970" s="12" t="n"/>
      <c r="W1970" s="13" t="n"/>
      <c r="X1970" s="14">
        <f>IF($AP1970="",IF($B1970="","",$H1970),IF(INDEX(職員マスタ!$B$6:$B$405,$AP1970)="",$H1970,INDEX(職員マスタ!$B$6:$B$405,$AP1970)))</f>
        <v/>
      </c>
      <c r="Y1970" s="14">
        <f>IF($AP1970="",IF($B1970="","",$R1970),IF(INDEX(職員マスタ!$C$6:$C$405,$AP1970)="",$R1970,INDEX(職員マスタ!$C$6:$C$405,$AP1970)))</f>
        <v/>
      </c>
      <c r="Z1970" s="14">
        <f>IF($AQ1970="","","R"&amp;$C1970&amp;"."&amp;$D1970)</f>
        <v/>
      </c>
      <c r="AA1970" s="15">
        <f>IF(IF($AP1970="",FALSE,INDEX(職員マスタ!$K$6:$K$405,$AP1970)&lt;&gt;""),INDEX(職員マスタ!$K$6:$K$405,$AP1970),IF(N($W1970)&gt;0,$W1970,""))</f>
        <v/>
      </c>
      <c r="AB1970" s="14">
        <f>IF(OR($E1970="",$AA1970=""),"",IF($E1970&gt;=$AA1970,"×",IF($E1970&gt;=$AA1970*設定!$C$5,"△","○")))</f>
        <v/>
      </c>
      <c r="AC1970" s="15">
        <f>IF($AB1970="","",IF($AB1970="×",0,IF($AB1970="○",ROUNDDOWN($E1970*設定!$C$4,0),ROUNDDOWN($E1970*ROUND((9*$AA1970-9*$E1970)/(10*$E1970),4),0))))</f>
        <v/>
      </c>
      <c r="AD1970" s="13" t="n"/>
      <c r="AE1970" s="15">
        <f>IF($B1970="","",IF($AD1970&lt;&gt;"",$AD1970,IF($AC1970="","",IF($AC1970&lt;=設定!$C$3,0,$AC1970))))</f>
        <v/>
      </c>
      <c r="AF1970" s="14">
        <f>IF($B1970="","",IF(AND($AG1970&lt;&gt;"",$AI1970="",$AL1970=""),"保留中",IF($AL1970&lt;&gt;"",IF(N($AE1970)&gt;0,"支給済","不支給"),IF($AE1970="","要確認",IF($AE1970=0,"不支給","未処理")))))</f>
        <v/>
      </c>
      <c r="AG1970" s="12" t="n"/>
      <c r="AH1970" s="11" t="n"/>
      <c r="AI1970" s="11" t="n"/>
      <c r="AJ1970" s="11" t="n"/>
      <c r="AK1970" s="14">
        <f>IF(AND($AF1970="保留中",$AH1970&lt;&gt;""),TODAY()-$AH1970,"")</f>
        <v/>
      </c>
      <c r="AL1970" s="12" t="n"/>
      <c r="AM1970" s="14">
        <f>IF($B1970="","",IF($AQ1970="","対象年月が未入力／","")&amp;IF($B1970="","",IF($AP1970="","職員マスタに未登録の職員番号／",IF($AA1970="","標準報酬月額が未登録／","")&amp;IF(AND($AQ1970&lt;&gt;"",OR(AND(INDEX(職員マスタ!$G$6:$G$405,$AP1970)&lt;&gt;"",INDEX(職員マスタ!$G$6:$G$405,$AP1970)&gt;EOMONTH($AQ1970,0)),AND(INDEX(職員マスタ!$H$6:$H$405,$AP1970)&lt;&gt;"",INDEX(職員マスタ!$H$6:$H$405,$AP1970)&lt;$AQ1970))),"対象月が時短期間外／","")&amp;IF(AND(INDEX(職員マスタ!$K$6:$K$405,$AP1970)&lt;&gt;"",N($W1970)&gt;0,INDEX(職員マスタ!$K$6:$K$405,$AP1970)&lt;&gt;$W1970),"標準報酬月額が申請書と相違（台帳"&amp;TEXT(INDEX(職員マスタ!$K$6:$K$405,$AP1970),"#,##0")&amp;"円／申請書"&amp;TEXT($W1970,"#,##0")&amp;"円）／","")&amp;IF(AND(INDEX(職員マスタ!$F$6:$F$405,$AP1970)&lt;&gt;"",$AQ1970&lt;&gt;"",INDEX(職員マスタ!$F$6:$F$405,$AP1970)&lt;$AQ1970),"対象月に子が2歳到達済／","")&amp;IF(AND($H1970&lt;&gt;"",INDEX(職員マスタ!$B$6:$B$405,$AP1970)&lt;&gt;"",SUBSTITUTE(SUBSTITUTE($H1970," ","")," ","")&lt;&gt;SUBSTITUTE(SUBSTITUTE(INDEX(職員マスタ!$B$6:$B$405,$AP1970)," ","")," ","")),"氏名がマスタと相違／","")&amp;IF(AND($Q1970&lt;&gt;"",INDEX(職員マスタ!$E$6:$E$405,$AP1970)&lt;&gt;"",$Q1970&lt;&gt;INDEX(職員マスタ!$E$6:$E$405,$AP1970)),"子の生年月日がマスタと相違／","")&amp;IF(AND($L1970&lt;&gt;"",INDEX(職員マスタ!$G$6:$G$405,$AP1970)&lt;&gt;"",$L1970&lt;&gt;INDEX(職員マスタ!$G$6:$G$405,$AP1970)),"時短開始日がマスタと相違／","")&amp;IF(AND($M1970&lt;&gt;"",INDEX(職員マスタ!$H$6:$H$405,$AP1970)&lt;&gt;"",$M1970&lt;&gt;INDEX(職員マスタ!$H$6:$H$405,$AP1970)),"時短終了日がマスタと相違／","")))&amp;IF(AND($B1970&lt;&gt;"",$E1970=""),"報酬額が未入力／","")&amp;IF(N($U1970)&gt;0,"申請書に入力エラーが残っています／","")&amp;IF(AND($B1970&lt;&gt;"",$AQ1970&lt;&gt;""),IF(COUNTIFS($B$6:$B$3005,$B1970,$C$6:$C$3005,$C1970,$D$6:$D$3005,$D1970)&gt;1,"同じ月の請求が重複しています／",""),"")&amp;IF(AND(N($E1970)&gt;0,$AB1970&lt;&gt;"",$AB1970&lt;&gt;"×",$AE1970=0,$AD1970=""),"計算額が下限以下のため不支給／",""))</f>
        <v/>
      </c>
      <c r="AN1970" s="12" t="n"/>
      <c r="AO1970" s="14">
        <f>IF($AF1970="保留中",COUNTIF($AF$6:$AF1970,"保留中"),"")</f>
        <v/>
      </c>
      <c r="AP1970" s="14">
        <f>IF($AQ1970="","",IF(SUMPRODUCT(MAX((職員マスタ!$A$6:$A$405=$B1970)*(((職員マスタ!$G$6:$G$405="")+(職員マスタ!$G$6:$G$405&lt;=EOMONTH($AQ1970,0)))&gt;0)*(((職員マスタ!$H$6:$H$405="")+(職員マスタ!$H$6:$H$405&gt;=$AQ1970))&gt;0)*(ROW(職員マスタ!$A$6:$A$405)-5)))&gt;0,SUMPRODUCT(MAX((職員マスタ!$A$6:$A$405=$B1970)*(((職員マスタ!$G$6:$G$405="")+(職員マスタ!$G$6:$G$405&lt;=EOMONTH($AQ1970,0)))&gt;0)*(((職員マスタ!$H$6:$H$405="")+(職員マスタ!$H$6:$H$405&gt;=$AQ1970))&gt;0)*(ROW(職員マスタ!$A$6:$A$405)-5))),IFERROR(MATCH($B1970,職員マスタ!$A$6:$A$405,0),"")))</f>
        <v/>
      </c>
      <c r="AQ1970" s="16">
        <f>IF(OR($B1970="",$C1970="",$D1970=""),"",DATE($C1970+2018,$D1970,1))</f>
        <v/>
      </c>
    </row>
    <row r="1971">
      <c r="A1971" s="11" t="n"/>
      <c r="B1971" s="12" t="n"/>
      <c r="C1971" s="12" t="n"/>
      <c r="D1971" s="12" t="n"/>
      <c r="E1971" s="13" t="n"/>
      <c r="F1971" s="12" t="n"/>
      <c r="G1971" s="13" t="n"/>
      <c r="H1971" s="12" t="n"/>
      <c r="I1971" s="12" t="n"/>
      <c r="J1971" s="12" t="n"/>
      <c r="K1971" s="12" t="n"/>
      <c r="L1971" s="11" t="n"/>
      <c r="M1971" s="11" t="n"/>
      <c r="N1971" s="11" t="n"/>
      <c r="O1971" s="11" t="n"/>
      <c r="P1971" s="12" t="n"/>
      <c r="Q1971" s="11" t="n"/>
      <c r="R1971" s="12" t="n"/>
      <c r="S1971" s="11" t="n"/>
      <c r="T1971" s="12" t="n"/>
      <c r="U1971" s="12" t="n"/>
      <c r="V1971" s="12" t="n"/>
      <c r="W1971" s="13" t="n"/>
      <c r="X1971" s="14">
        <f>IF($AP1971="",IF($B1971="","",$H1971),IF(INDEX(職員マスタ!$B$6:$B$405,$AP1971)="",$H1971,INDEX(職員マスタ!$B$6:$B$405,$AP1971)))</f>
        <v/>
      </c>
      <c r="Y1971" s="14">
        <f>IF($AP1971="",IF($B1971="","",$R1971),IF(INDEX(職員マスタ!$C$6:$C$405,$AP1971)="",$R1971,INDEX(職員マスタ!$C$6:$C$405,$AP1971)))</f>
        <v/>
      </c>
      <c r="Z1971" s="14">
        <f>IF($AQ1971="","","R"&amp;$C1971&amp;"."&amp;$D1971)</f>
        <v/>
      </c>
      <c r="AA1971" s="15">
        <f>IF(IF($AP1971="",FALSE,INDEX(職員マスタ!$K$6:$K$405,$AP1971)&lt;&gt;""),INDEX(職員マスタ!$K$6:$K$405,$AP1971),IF(N($W1971)&gt;0,$W1971,""))</f>
        <v/>
      </c>
      <c r="AB1971" s="14">
        <f>IF(OR($E1971="",$AA1971=""),"",IF($E1971&gt;=$AA1971,"×",IF($E1971&gt;=$AA1971*設定!$C$5,"△","○")))</f>
        <v/>
      </c>
      <c r="AC1971" s="15">
        <f>IF($AB1971="","",IF($AB1971="×",0,IF($AB1971="○",ROUNDDOWN($E1971*設定!$C$4,0),ROUNDDOWN($E1971*ROUND((9*$AA1971-9*$E1971)/(10*$E1971),4),0))))</f>
        <v/>
      </c>
      <c r="AD1971" s="13" t="n"/>
      <c r="AE1971" s="15">
        <f>IF($B1971="","",IF($AD1971&lt;&gt;"",$AD1971,IF($AC1971="","",IF($AC1971&lt;=設定!$C$3,0,$AC1971))))</f>
        <v/>
      </c>
      <c r="AF1971" s="14">
        <f>IF($B1971="","",IF(AND($AG1971&lt;&gt;"",$AI1971="",$AL1971=""),"保留中",IF($AL1971&lt;&gt;"",IF(N($AE1971)&gt;0,"支給済","不支給"),IF($AE1971="","要確認",IF($AE1971=0,"不支給","未処理")))))</f>
        <v/>
      </c>
      <c r="AG1971" s="12" t="n"/>
      <c r="AH1971" s="11" t="n"/>
      <c r="AI1971" s="11" t="n"/>
      <c r="AJ1971" s="11" t="n"/>
      <c r="AK1971" s="14">
        <f>IF(AND($AF1971="保留中",$AH1971&lt;&gt;""),TODAY()-$AH1971,"")</f>
        <v/>
      </c>
      <c r="AL1971" s="12" t="n"/>
      <c r="AM1971" s="14">
        <f>IF($B1971="","",IF($AQ1971="","対象年月が未入力／","")&amp;IF($B1971="","",IF($AP1971="","職員マスタに未登録の職員番号／",IF($AA1971="","標準報酬月額が未登録／","")&amp;IF(AND($AQ1971&lt;&gt;"",OR(AND(INDEX(職員マスタ!$G$6:$G$405,$AP1971)&lt;&gt;"",INDEX(職員マスタ!$G$6:$G$405,$AP1971)&gt;EOMONTH($AQ1971,0)),AND(INDEX(職員マスタ!$H$6:$H$405,$AP1971)&lt;&gt;"",INDEX(職員マスタ!$H$6:$H$405,$AP1971)&lt;$AQ1971))),"対象月が時短期間外／","")&amp;IF(AND(INDEX(職員マスタ!$K$6:$K$405,$AP1971)&lt;&gt;"",N($W1971)&gt;0,INDEX(職員マスタ!$K$6:$K$405,$AP1971)&lt;&gt;$W1971),"標準報酬月額が申請書と相違（台帳"&amp;TEXT(INDEX(職員マスタ!$K$6:$K$405,$AP1971),"#,##0")&amp;"円／申請書"&amp;TEXT($W1971,"#,##0")&amp;"円）／","")&amp;IF(AND(INDEX(職員マスタ!$F$6:$F$405,$AP1971)&lt;&gt;"",$AQ1971&lt;&gt;"",INDEX(職員マスタ!$F$6:$F$405,$AP1971)&lt;$AQ1971),"対象月に子が2歳到達済／","")&amp;IF(AND($H1971&lt;&gt;"",INDEX(職員マスタ!$B$6:$B$405,$AP1971)&lt;&gt;"",SUBSTITUTE(SUBSTITUTE($H1971," ","")," ","")&lt;&gt;SUBSTITUTE(SUBSTITUTE(INDEX(職員マスタ!$B$6:$B$405,$AP1971)," ","")," ","")),"氏名がマスタと相違／","")&amp;IF(AND($Q1971&lt;&gt;"",INDEX(職員マスタ!$E$6:$E$405,$AP1971)&lt;&gt;"",$Q1971&lt;&gt;INDEX(職員マスタ!$E$6:$E$405,$AP1971)),"子の生年月日がマスタと相違／","")&amp;IF(AND($L1971&lt;&gt;"",INDEX(職員マスタ!$G$6:$G$405,$AP1971)&lt;&gt;"",$L1971&lt;&gt;INDEX(職員マスタ!$G$6:$G$405,$AP1971)),"時短開始日がマスタと相違／","")&amp;IF(AND($M1971&lt;&gt;"",INDEX(職員マスタ!$H$6:$H$405,$AP1971)&lt;&gt;"",$M1971&lt;&gt;INDEX(職員マスタ!$H$6:$H$405,$AP1971)),"時短終了日がマスタと相違／","")))&amp;IF(AND($B1971&lt;&gt;"",$E1971=""),"報酬額が未入力／","")&amp;IF(N($U1971)&gt;0,"申請書に入力エラーが残っています／","")&amp;IF(AND($B1971&lt;&gt;"",$AQ1971&lt;&gt;""),IF(COUNTIFS($B$6:$B$3005,$B1971,$C$6:$C$3005,$C1971,$D$6:$D$3005,$D1971)&gt;1,"同じ月の請求が重複しています／",""),"")&amp;IF(AND(N($E1971)&gt;0,$AB1971&lt;&gt;"",$AB1971&lt;&gt;"×",$AE1971=0,$AD1971=""),"計算額が下限以下のため不支給／",""))</f>
        <v/>
      </c>
      <c r="AN1971" s="12" t="n"/>
      <c r="AO1971" s="14">
        <f>IF($AF1971="保留中",COUNTIF($AF$6:$AF1971,"保留中"),"")</f>
        <v/>
      </c>
      <c r="AP1971" s="14">
        <f>IF($AQ1971="","",IF(SUMPRODUCT(MAX((職員マスタ!$A$6:$A$405=$B1971)*(((職員マスタ!$G$6:$G$405="")+(職員マスタ!$G$6:$G$405&lt;=EOMONTH($AQ1971,0)))&gt;0)*(((職員マスタ!$H$6:$H$405="")+(職員マスタ!$H$6:$H$405&gt;=$AQ1971))&gt;0)*(ROW(職員マスタ!$A$6:$A$405)-5)))&gt;0,SUMPRODUCT(MAX((職員マスタ!$A$6:$A$405=$B1971)*(((職員マスタ!$G$6:$G$405="")+(職員マスタ!$G$6:$G$405&lt;=EOMONTH($AQ1971,0)))&gt;0)*(((職員マスタ!$H$6:$H$405="")+(職員マスタ!$H$6:$H$405&gt;=$AQ1971))&gt;0)*(ROW(職員マスタ!$A$6:$A$405)-5))),IFERROR(MATCH($B1971,職員マスタ!$A$6:$A$405,0),"")))</f>
        <v/>
      </c>
      <c r="AQ1971" s="16">
        <f>IF(OR($B1971="",$C1971="",$D1971=""),"",DATE($C1971+2018,$D1971,1))</f>
        <v/>
      </c>
    </row>
    <row r="1972">
      <c r="A1972" s="11" t="n"/>
      <c r="B1972" s="12" t="n"/>
      <c r="C1972" s="12" t="n"/>
      <c r="D1972" s="12" t="n"/>
      <c r="E1972" s="13" t="n"/>
      <c r="F1972" s="12" t="n"/>
      <c r="G1972" s="13" t="n"/>
      <c r="H1972" s="12" t="n"/>
      <c r="I1972" s="12" t="n"/>
      <c r="J1972" s="12" t="n"/>
      <c r="K1972" s="12" t="n"/>
      <c r="L1972" s="11" t="n"/>
      <c r="M1972" s="11" t="n"/>
      <c r="N1972" s="11" t="n"/>
      <c r="O1972" s="11" t="n"/>
      <c r="P1972" s="12" t="n"/>
      <c r="Q1972" s="11" t="n"/>
      <c r="R1972" s="12" t="n"/>
      <c r="S1972" s="11" t="n"/>
      <c r="T1972" s="12" t="n"/>
      <c r="U1972" s="12" t="n"/>
      <c r="V1972" s="12" t="n"/>
      <c r="W1972" s="13" t="n"/>
      <c r="X1972" s="14">
        <f>IF($AP1972="",IF($B1972="","",$H1972),IF(INDEX(職員マスタ!$B$6:$B$405,$AP1972)="",$H1972,INDEX(職員マスタ!$B$6:$B$405,$AP1972)))</f>
        <v/>
      </c>
      <c r="Y1972" s="14">
        <f>IF($AP1972="",IF($B1972="","",$R1972),IF(INDEX(職員マスタ!$C$6:$C$405,$AP1972)="",$R1972,INDEX(職員マスタ!$C$6:$C$405,$AP1972)))</f>
        <v/>
      </c>
      <c r="Z1972" s="14">
        <f>IF($AQ1972="","","R"&amp;$C1972&amp;"."&amp;$D1972)</f>
        <v/>
      </c>
      <c r="AA1972" s="15">
        <f>IF(IF($AP1972="",FALSE,INDEX(職員マスタ!$K$6:$K$405,$AP1972)&lt;&gt;""),INDEX(職員マスタ!$K$6:$K$405,$AP1972),IF(N($W1972)&gt;0,$W1972,""))</f>
        <v/>
      </c>
      <c r="AB1972" s="14">
        <f>IF(OR($E1972="",$AA1972=""),"",IF($E1972&gt;=$AA1972,"×",IF($E1972&gt;=$AA1972*設定!$C$5,"△","○")))</f>
        <v/>
      </c>
      <c r="AC1972" s="15">
        <f>IF($AB1972="","",IF($AB1972="×",0,IF($AB1972="○",ROUNDDOWN($E1972*設定!$C$4,0),ROUNDDOWN($E1972*ROUND((9*$AA1972-9*$E1972)/(10*$E1972),4),0))))</f>
        <v/>
      </c>
      <c r="AD1972" s="13" t="n"/>
      <c r="AE1972" s="15">
        <f>IF($B1972="","",IF($AD1972&lt;&gt;"",$AD1972,IF($AC1972="","",IF($AC1972&lt;=設定!$C$3,0,$AC1972))))</f>
        <v/>
      </c>
      <c r="AF1972" s="14">
        <f>IF($B1972="","",IF(AND($AG1972&lt;&gt;"",$AI1972="",$AL1972=""),"保留中",IF($AL1972&lt;&gt;"",IF(N($AE1972)&gt;0,"支給済","不支給"),IF($AE1972="","要確認",IF($AE1972=0,"不支給","未処理")))))</f>
        <v/>
      </c>
      <c r="AG1972" s="12" t="n"/>
      <c r="AH1972" s="11" t="n"/>
      <c r="AI1972" s="11" t="n"/>
      <c r="AJ1972" s="11" t="n"/>
      <c r="AK1972" s="14">
        <f>IF(AND($AF1972="保留中",$AH1972&lt;&gt;""),TODAY()-$AH1972,"")</f>
        <v/>
      </c>
      <c r="AL1972" s="12" t="n"/>
      <c r="AM1972" s="14">
        <f>IF($B1972="","",IF($AQ1972="","対象年月が未入力／","")&amp;IF($B1972="","",IF($AP1972="","職員マスタに未登録の職員番号／",IF($AA1972="","標準報酬月額が未登録／","")&amp;IF(AND($AQ1972&lt;&gt;"",OR(AND(INDEX(職員マスタ!$G$6:$G$405,$AP1972)&lt;&gt;"",INDEX(職員マスタ!$G$6:$G$405,$AP1972)&gt;EOMONTH($AQ1972,0)),AND(INDEX(職員マスタ!$H$6:$H$405,$AP1972)&lt;&gt;"",INDEX(職員マスタ!$H$6:$H$405,$AP1972)&lt;$AQ1972))),"対象月が時短期間外／","")&amp;IF(AND(INDEX(職員マスタ!$K$6:$K$405,$AP1972)&lt;&gt;"",N($W1972)&gt;0,INDEX(職員マスタ!$K$6:$K$405,$AP1972)&lt;&gt;$W1972),"標準報酬月額が申請書と相違（台帳"&amp;TEXT(INDEX(職員マスタ!$K$6:$K$405,$AP1972),"#,##0")&amp;"円／申請書"&amp;TEXT($W1972,"#,##0")&amp;"円）／","")&amp;IF(AND(INDEX(職員マスタ!$F$6:$F$405,$AP1972)&lt;&gt;"",$AQ1972&lt;&gt;"",INDEX(職員マスタ!$F$6:$F$405,$AP1972)&lt;$AQ1972),"対象月に子が2歳到達済／","")&amp;IF(AND($H1972&lt;&gt;"",INDEX(職員マスタ!$B$6:$B$405,$AP1972)&lt;&gt;"",SUBSTITUTE(SUBSTITUTE($H1972," ","")," ","")&lt;&gt;SUBSTITUTE(SUBSTITUTE(INDEX(職員マスタ!$B$6:$B$405,$AP1972)," ","")," ","")),"氏名がマスタと相違／","")&amp;IF(AND($Q1972&lt;&gt;"",INDEX(職員マスタ!$E$6:$E$405,$AP1972)&lt;&gt;"",$Q1972&lt;&gt;INDEX(職員マスタ!$E$6:$E$405,$AP1972)),"子の生年月日がマスタと相違／","")&amp;IF(AND($L1972&lt;&gt;"",INDEX(職員マスタ!$G$6:$G$405,$AP1972)&lt;&gt;"",$L1972&lt;&gt;INDEX(職員マスタ!$G$6:$G$405,$AP1972)),"時短開始日がマスタと相違／","")&amp;IF(AND($M1972&lt;&gt;"",INDEX(職員マスタ!$H$6:$H$405,$AP1972)&lt;&gt;"",$M1972&lt;&gt;INDEX(職員マスタ!$H$6:$H$405,$AP1972)),"時短終了日がマスタと相違／","")))&amp;IF(AND($B1972&lt;&gt;"",$E1972=""),"報酬額が未入力／","")&amp;IF(N($U1972)&gt;0,"申請書に入力エラーが残っています／","")&amp;IF(AND($B1972&lt;&gt;"",$AQ1972&lt;&gt;""),IF(COUNTIFS($B$6:$B$3005,$B1972,$C$6:$C$3005,$C1972,$D$6:$D$3005,$D1972)&gt;1,"同じ月の請求が重複しています／",""),"")&amp;IF(AND(N($E1972)&gt;0,$AB1972&lt;&gt;"",$AB1972&lt;&gt;"×",$AE1972=0,$AD1972=""),"計算額が下限以下のため不支給／",""))</f>
        <v/>
      </c>
      <c r="AN1972" s="12" t="n"/>
      <c r="AO1972" s="14">
        <f>IF($AF1972="保留中",COUNTIF($AF$6:$AF1972,"保留中"),"")</f>
        <v/>
      </c>
      <c r="AP1972" s="14">
        <f>IF($AQ1972="","",IF(SUMPRODUCT(MAX((職員マスタ!$A$6:$A$405=$B1972)*(((職員マスタ!$G$6:$G$405="")+(職員マスタ!$G$6:$G$405&lt;=EOMONTH($AQ1972,0)))&gt;0)*(((職員マスタ!$H$6:$H$405="")+(職員マスタ!$H$6:$H$405&gt;=$AQ1972))&gt;0)*(ROW(職員マスタ!$A$6:$A$405)-5)))&gt;0,SUMPRODUCT(MAX((職員マスタ!$A$6:$A$405=$B1972)*(((職員マスタ!$G$6:$G$405="")+(職員マスタ!$G$6:$G$405&lt;=EOMONTH($AQ1972,0)))&gt;0)*(((職員マスタ!$H$6:$H$405="")+(職員マスタ!$H$6:$H$405&gt;=$AQ1972))&gt;0)*(ROW(職員マスタ!$A$6:$A$405)-5))),IFERROR(MATCH($B1972,職員マスタ!$A$6:$A$405,0),"")))</f>
        <v/>
      </c>
      <c r="AQ1972" s="16">
        <f>IF(OR($B1972="",$C1972="",$D1972=""),"",DATE($C1972+2018,$D1972,1))</f>
        <v/>
      </c>
    </row>
    <row r="1973">
      <c r="A1973" s="11" t="n"/>
      <c r="B1973" s="12" t="n"/>
      <c r="C1973" s="12" t="n"/>
      <c r="D1973" s="12" t="n"/>
      <c r="E1973" s="13" t="n"/>
      <c r="F1973" s="12" t="n"/>
      <c r="G1973" s="13" t="n"/>
      <c r="H1973" s="12" t="n"/>
      <c r="I1973" s="12" t="n"/>
      <c r="J1973" s="12" t="n"/>
      <c r="K1973" s="12" t="n"/>
      <c r="L1973" s="11" t="n"/>
      <c r="M1973" s="11" t="n"/>
      <c r="N1973" s="11" t="n"/>
      <c r="O1973" s="11" t="n"/>
      <c r="P1973" s="12" t="n"/>
      <c r="Q1973" s="11" t="n"/>
      <c r="R1973" s="12" t="n"/>
      <c r="S1973" s="11" t="n"/>
      <c r="T1973" s="12" t="n"/>
      <c r="U1973" s="12" t="n"/>
      <c r="V1973" s="12" t="n"/>
      <c r="W1973" s="13" t="n"/>
      <c r="X1973" s="14">
        <f>IF($AP1973="",IF($B1973="","",$H1973),IF(INDEX(職員マスタ!$B$6:$B$405,$AP1973)="",$H1973,INDEX(職員マスタ!$B$6:$B$405,$AP1973)))</f>
        <v/>
      </c>
      <c r="Y1973" s="14">
        <f>IF($AP1973="",IF($B1973="","",$R1973),IF(INDEX(職員マスタ!$C$6:$C$405,$AP1973)="",$R1973,INDEX(職員マスタ!$C$6:$C$405,$AP1973)))</f>
        <v/>
      </c>
      <c r="Z1973" s="14">
        <f>IF($AQ1973="","","R"&amp;$C1973&amp;"."&amp;$D1973)</f>
        <v/>
      </c>
      <c r="AA1973" s="15">
        <f>IF(IF($AP1973="",FALSE,INDEX(職員マスタ!$K$6:$K$405,$AP1973)&lt;&gt;""),INDEX(職員マスタ!$K$6:$K$405,$AP1973),IF(N($W1973)&gt;0,$W1973,""))</f>
        <v/>
      </c>
      <c r="AB1973" s="14">
        <f>IF(OR($E1973="",$AA1973=""),"",IF($E1973&gt;=$AA1973,"×",IF($E1973&gt;=$AA1973*設定!$C$5,"△","○")))</f>
        <v/>
      </c>
      <c r="AC1973" s="15">
        <f>IF($AB1973="","",IF($AB1973="×",0,IF($AB1973="○",ROUNDDOWN($E1973*設定!$C$4,0),ROUNDDOWN($E1973*ROUND((9*$AA1973-9*$E1973)/(10*$E1973),4),0))))</f>
        <v/>
      </c>
      <c r="AD1973" s="13" t="n"/>
      <c r="AE1973" s="15">
        <f>IF($B1973="","",IF($AD1973&lt;&gt;"",$AD1973,IF($AC1973="","",IF($AC1973&lt;=設定!$C$3,0,$AC1973))))</f>
        <v/>
      </c>
      <c r="AF1973" s="14">
        <f>IF($B1973="","",IF(AND($AG1973&lt;&gt;"",$AI1973="",$AL1973=""),"保留中",IF($AL1973&lt;&gt;"",IF(N($AE1973)&gt;0,"支給済","不支給"),IF($AE1973="","要確認",IF($AE1973=0,"不支給","未処理")))))</f>
        <v/>
      </c>
      <c r="AG1973" s="12" t="n"/>
      <c r="AH1973" s="11" t="n"/>
      <c r="AI1973" s="11" t="n"/>
      <c r="AJ1973" s="11" t="n"/>
      <c r="AK1973" s="14">
        <f>IF(AND($AF1973="保留中",$AH1973&lt;&gt;""),TODAY()-$AH1973,"")</f>
        <v/>
      </c>
      <c r="AL1973" s="12" t="n"/>
      <c r="AM1973" s="14">
        <f>IF($B1973="","",IF($AQ1973="","対象年月が未入力／","")&amp;IF($B1973="","",IF($AP1973="","職員マスタに未登録の職員番号／",IF($AA1973="","標準報酬月額が未登録／","")&amp;IF(AND($AQ1973&lt;&gt;"",OR(AND(INDEX(職員マスタ!$G$6:$G$405,$AP1973)&lt;&gt;"",INDEX(職員マスタ!$G$6:$G$405,$AP1973)&gt;EOMONTH($AQ1973,0)),AND(INDEX(職員マスタ!$H$6:$H$405,$AP1973)&lt;&gt;"",INDEX(職員マスタ!$H$6:$H$405,$AP1973)&lt;$AQ1973))),"対象月が時短期間外／","")&amp;IF(AND(INDEX(職員マスタ!$K$6:$K$405,$AP1973)&lt;&gt;"",N($W1973)&gt;0,INDEX(職員マスタ!$K$6:$K$405,$AP1973)&lt;&gt;$W1973),"標準報酬月額が申請書と相違（台帳"&amp;TEXT(INDEX(職員マスタ!$K$6:$K$405,$AP1973),"#,##0")&amp;"円／申請書"&amp;TEXT($W1973,"#,##0")&amp;"円）／","")&amp;IF(AND(INDEX(職員マスタ!$F$6:$F$405,$AP1973)&lt;&gt;"",$AQ1973&lt;&gt;"",INDEX(職員マスタ!$F$6:$F$405,$AP1973)&lt;$AQ1973),"対象月に子が2歳到達済／","")&amp;IF(AND($H1973&lt;&gt;"",INDEX(職員マスタ!$B$6:$B$405,$AP1973)&lt;&gt;"",SUBSTITUTE(SUBSTITUTE($H1973," ","")," ","")&lt;&gt;SUBSTITUTE(SUBSTITUTE(INDEX(職員マスタ!$B$6:$B$405,$AP1973)," ","")," ","")),"氏名がマスタと相違／","")&amp;IF(AND($Q1973&lt;&gt;"",INDEX(職員マスタ!$E$6:$E$405,$AP1973)&lt;&gt;"",$Q1973&lt;&gt;INDEX(職員マスタ!$E$6:$E$405,$AP1973)),"子の生年月日がマスタと相違／","")&amp;IF(AND($L1973&lt;&gt;"",INDEX(職員マスタ!$G$6:$G$405,$AP1973)&lt;&gt;"",$L1973&lt;&gt;INDEX(職員マスタ!$G$6:$G$405,$AP1973)),"時短開始日がマスタと相違／","")&amp;IF(AND($M1973&lt;&gt;"",INDEX(職員マスタ!$H$6:$H$405,$AP1973)&lt;&gt;"",$M1973&lt;&gt;INDEX(職員マスタ!$H$6:$H$405,$AP1973)),"時短終了日がマスタと相違／","")))&amp;IF(AND($B1973&lt;&gt;"",$E1973=""),"報酬額が未入力／","")&amp;IF(N($U1973)&gt;0,"申請書に入力エラーが残っています／","")&amp;IF(AND($B1973&lt;&gt;"",$AQ1973&lt;&gt;""),IF(COUNTIFS($B$6:$B$3005,$B1973,$C$6:$C$3005,$C1973,$D$6:$D$3005,$D1973)&gt;1,"同じ月の請求が重複しています／",""),"")&amp;IF(AND(N($E1973)&gt;0,$AB1973&lt;&gt;"",$AB1973&lt;&gt;"×",$AE1973=0,$AD1973=""),"計算額が下限以下のため不支給／",""))</f>
        <v/>
      </c>
      <c r="AN1973" s="12" t="n"/>
      <c r="AO1973" s="14">
        <f>IF($AF1973="保留中",COUNTIF($AF$6:$AF1973,"保留中"),"")</f>
        <v/>
      </c>
      <c r="AP1973" s="14">
        <f>IF($AQ1973="","",IF(SUMPRODUCT(MAX((職員マスタ!$A$6:$A$405=$B1973)*(((職員マスタ!$G$6:$G$405="")+(職員マスタ!$G$6:$G$405&lt;=EOMONTH($AQ1973,0)))&gt;0)*(((職員マスタ!$H$6:$H$405="")+(職員マスタ!$H$6:$H$405&gt;=$AQ1973))&gt;0)*(ROW(職員マスタ!$A$6:$A$405)-5)))&gt;0,SUMPRODUCT(MAX((職員マスタ!$A$6:$A$405=$B1973)*(((職員マスタ!$G$6:$G$405="")+(職員マスタ!$G$6:$G$405&lt;=EOMONTH($AQ1973,0)))&gt;0)*(((職員マスタ!$H$6:$H$405="")+(職員マスタ!$H$6:$H$405&gt;=$AQ1973))&gt;0)*(ROW(職員マスタ!$A$6:$A$405)-5))),IFERROR(MATCH($B1973,職員マスタ!$A$6:$A$405,0),"")))</f>
        <v/>
      </c>
      <c r="AQ1973" s="16">
        <f>IF(OR($B1973="",$C1973="",$D1973=""),"",DATE($C1973+2018,$D1973,1))</f>
        <v/>
      </c>
    </row>
    <row r="1974">
      <c r="A1974" s="11" t="n"/>
      <c r="B1974" s="12" t="n"/>
      <c r="C1974" s="12" t="n"/>
      <c r="D1974" s="12" t="n"/>
      <c r="E1974" s="13" t="n"/>
      <c r="F1974" s="12" t="n"/>
      <c r="G1974" s="13" t="n"/>
      <c r="H1974" s="12" t="n"/>
      <c r="I1974" s="12" t="n"/>
      <c r="J1974" s="12" t="n"/>
      <c r="K1974" s="12" t="n"/>
      <c r="L1974" s="11" t="n"/>
      <c r="M1974" s="11" t="n"/>
      <c r="N1974" s="11" t="n"/>
      <c r="O1974" s="11" t="n"/>
      <c r="P1974" s="12" t="n"/>
      <c r="Q1974" s="11" t="n"/>
      <c r="R1974" s="12" t="n"/>
      <c r="S1974" s="11" t="n"/>
      <c r="T1974" s="12" t="n"/>
      <c r="U1974" s="12" t="n"/>
      <c r="V1974" s="12" t="n"/>
      <c r="W1974" s="13" t="n"/>
      <c r="X1974" s="14">
        <f>IF($AP1974="",IF($B1974="","",$H1974),IF(INDEX(職員マスタ!$B$6:$B$405,$AP1974)="",$H1974,INDEX(職員マスタ!$B$6:$B$405,$AP1974)))</f>
        <v/>
      </c>
      <c r="Y1974" s="14">
        <f>IF($AP1974="",IF($B1974="","",$R1974),IF(INDEX(職員マスタ!$C$6:$C$405,$AP1974)="",$R1974,INDEX(職員マスタ!$C$6:$C$405,$AP1974)))</f>
        <v/>
      </c>
      <c r="Z1974" s="14">
        <f>IF($AQ1974="","","R"&amp;$C1974&amp;"."&amp;$D1974)</f>
        <v/>
      </c>
      <c r="AA1974" s="15">
        <f>IF(IF($AP1974="",FALSE,INDEX(職員マスタ!$K$6:$K$405,$AP1974)&lt;&gt;""),INDEX(職員マスタ!$K$6:$K$405,$AP1974),IF(N($W1974)&gt;0,$W1974,""))</f>
        <v/>
      </c>
      <c r="AB1974" s="14">
        <f>IF(OR($E1974="",$AA1974=""),"",IF($E1974&gt;=$AA1974,"×",IF($E1974&gt;=$AA1974*設定!$C$5,"△","○")))</f>
        <v/>
      </c>
      <c r="AC1974" s="15">
        <f>IF($AB1974="","",IF($AB1974="×",0,IF($AB1974="○",ROUNDDOWN($E1974*設定!$C$4,0),ROUNDDOWN($E1974*ROUND((9*$AA1974-9*$E1974)/(10*$E1974),4),0))))</f>
        <v/>
      </c>
      <c r="AD1974" s="13" t="n"/>
      <c r="AE1974" s="15">
        <f>IF($B1974="","",IF($AD1974&lt;&gt;"",$AD1974,IF($AC1974="","",IF($AC1974&lt;=設定!$C$3,0,$AC1974))))</f>
        <v/>
      </c>
      <c r="AF1974" s="14">
        <f>IF($B1974="","",IF(AND($AG1974&lt;&gt;"",$AI1974="",$AL1974=""),"保留中",IF($AL1974&lt;&gt;"",IF(N($AE1974)&gt;0,"支給済","不支給"),IF($AE1974="","要確認",IF($AE1974=0,"不支給","未処理")))))</f>
        <v/>
      </c>
      <c r="AG1974" s="12" t="n"/>
      <c r="AH1974" s="11" t="n"/>
      <c r="AI1974" s="11" t="n"/>
      <c r="AJ1974" s="11" t="n"/>
      <c r="AK1974" s="14">
        <f>IF(AND($AF1974="保留中",$AH1974&lt;&gt;""),TODAY()-$AH1974,"")</f>
        <v/>
      </c>
      <c r="AL1974" s="12" t="n"/>
      <c r="AM1974" s="14">
        <f>IF($B1974="","",IF($AQ1974="","対象年月が未入力／","")&amp;IF($B1974="","",IF($AP1974="","職員マスタに未登録の職員番号／",IF($AA1974="","標準報酬月額が未登録／","")&amp;IF(AND($AQ1974&lt;&gt;"",OR(AND(INDEX(職員マスタ!$G$6:$G$405,$AP1974)&lt;&gt;"",INDEX(職員マスタ!$G$6:$G$405,$AP1974)&gt;EOMONTH($AQ1974,0)),AND(INDEX(職員マスタ!$H$6:$H$405,$AP1974)&lt;&gt;"",INDEX(職員マスタ!$H$6:$H$405,$AP1974)&lt;$AQ1974))),"対象月が時短期間外／","")&amp;IF(AND(INDEX(職員マスタ!$K$6:$K$405,$AP1974)&lt;&gt;"",N($W1974)&gt;0,INDEX(職員マスタ!$K$6:$K$405,$AP1974)&lt;&gt;$W1974),"標準報酬月額が申請書と相違（台帳"&amp;TEXT(INDEX(職員マスタ!$K$6:$K$405,$AP1974),"#,##0")&amp;"円／申請書"&amp;TEXT($W1974,"#,##0")&amp;"円）／","")&amp;IF(AND(INDEX(職員マスタ!$F$6:$F$405,$AP1974)&lt;&gt;"",$AQ1974&lt;&gt;"",INDEX(職員マスタ!$F$6:$F$405,$AP1974)&lt;$AQ1974),"対象月に子が2歳到達済／","")&amp;IF(AND($H1974&lt;&gt;"",INDEX(職員マスタ!$B$6:$B$405,$AP1974)&lt;&gt;"",SUBSTITUTE(SUBSTITUTE($H1974," ","")," ","")&lt;&gt;SUBSTITUTE(SUBSTITUTE(INDEX(職員マスタ!$B$6:$B$405,$AP1974)," ","")," ","")),"氏名がマスタと相違／","")&amp;IF(AND($Q1974&lt;&gt;"",INDEX(職員マスタ!$E$6:$E$405,$AP1974)&lt;&gt;"",$Q1974&lt;&gt;INDEX(職員マスタ!$E$6:$E$405,$AP1974)),"子の生年月日がマスタと相違／","")&amp;IF(AND($L1974&lt;&gt;"",INDEX(職員マスタ!$G$6:$G$405,$AP1974)&lt;&gt;"",$L1974&lt;&gt;INDEX(職員マスタ!$G$6:$G$405,$AP1974)),"時短開始日がマスタと相違／","")&amp;IF(AND($M1974&lt;&gt;"",INDEX(職員マスタ!$H$6:$H$405,$AP1974)&lt;&gt;"",$M1974&lt;&gt;INDEX(職員マスタ!$H$6:$H$405,$AP1974)),"時短終了日がマスタと相違／","")))&amp;IF(AND($B1974&lt;&gt;"",$E1974=""),"報酬額が未入力／","")&amp;IF(N($U1974)&gt;0,"申請書に入力エラーが残っています／","")&amp;IF(AND($B1974&lt;&gt;"",$AQ1974&lt;&gt;""),IF(COUNTIFS($B$6:$B$3005,$B1974,$C$6:$C$3005,$C1974,$D$6:$D$3005,$D1974)&gt;1,"同じ月の請求が重複しています／",""),"")&amp;IF(AND(N($E1974)&gt;0,$AB1974&lt;&gt;"",$AB1974&lt;&gt;"×",$AE1974=0,$AD1974=""),"計算額が下限以下のため不支給／",""))</f>
        <v/>
      </c>
      <c r="AN1974" s="12" t="n"/>
      <c r="AO1974" s="14">
        <f>IF($AF1974="保留中",COUNTIF($AF$6:$AF1974,"保留中"),"")</f>
        <v/>
      </c>
      <c r="AP1974" s="14">
        <f>IF($AQ1974="","",IF(SUMPRODUCT(MAX((職員マスタ!$A$6:$A$405=$B1974)*(((職員マスタ!$G$6:$G$405="")+(職員マスタ!$G$6:$G$405&lt;=EOMONTH($AQ1974,0)))&gt;0)*(((職員マスタ!$H$6:$H$405="")+(職員マスタ!$H$6:$H$405&gt;=$AQ1974))&gt;0)*(ROW(職員マスタ!$A$6:$A$405)-5)))&gt;0,SUMPRODUCT(MAX((職員マスタ!$A$6:$A$405=$B1974)*(((職員マスタ!$G$6:$G$405="")+(職員マスタ!$G$6:$G$405&lt;=EOMONTH($AQ1974,0)))&gt;0)*(((職員マスタ!$H$6:$H$405="")+(職員マスタ!$H$6:$H$405&gt;=$AQ1974))&gt;0)*(ROW(職員マスタ!$A$6:$A$405)-5))),IFERROR(MATCH($B1974,職員マスタ!$A$6:$A$405,0),"")))</f>
        <v/>
      </c>
      <c r="AQ1974" s="16">
        <f>IF(OR($B1974="",$C1974="",$D1974=""),"",DATE($C1974+2018,$D1974,1))</f>
        <v/>
      </c>
    </row>
    <row r="1975">
      <c r="A1975" s="11" t="n"/>
      <c r="B1975" s="12" t="n"/>
      <c r="C1975" s="12" t="n"/>
      <c r="D1975" s="12" t="n"/>
      <c r="E1975" s="13" t="n"/>
      <c r="F1975" s="12" t="n"/>
      <c r="G1975" s="13" t="n"/>
      <c r="H1975" s="12" t="n"/>
      <c r="I1975" s="12" t="n"/>
      <c r="J1975" s="12" t="n"/>
      <c r="K1975" s="12" t="n"/>
      <c r="L1975" s="11" t="n"/>
      <c r="M1975" s="11" t="n"/>
      <c r="N1975" s="11" t="n"/>
      <c r="O1975" s="11" t="n"/>
      <c r="P1975" s="12" t="n"/>
      <c r="Q1975" s="11" t="n"/>
      <c r="R1975" s="12" t="n"/>
      <c r="S1975" s="11" t="n"/>
      <c r="T1975" s="12" t="n"/>
      <c r="U1975" s="12" t="n"/>
      <c r="V1975" s="12" t="n"/>
      <c r="W1975" s="13" t="n"/>
      <c r="X1975" s="14">
        <f>IF($AP1975="",IF($B1975="","",$H1975),IF(INDEX(職員マスタ!$B$6:$B$405,$AP1975)="",$H1975,INDEX(職員マスタ!$B$6:$B$405,$AP1975)))</f>
        <v/>
      </c>
      <c r="Y1975" s="14">
        <f>IF($AP1975="",IF($B1975="","",$R1975),IF(INDEX(職員マスタ!$C$6:$C$405,$AP1975)="",$R1975,INDEX(職員マスタ!$C$6:$C$405,$AP1975)))</f>
        <v/>
      </c>
      <c r="Z1975" s="14">
        <f>IF($AQ1975="","","R"&amp;$C1975&amp;"."&amp;$D1975)</f>
        <v/>
      </c>
      <c r="AA1975" s="15">
        <f>IF(IF($AP1975="",FALSE,INDEX(職員マスタ!$K$6:$K$405,$AP1975)&lt;&gt;""),INDEX(職員マスタ!$K$6:$K$405,$AP1975),IF(N($W1975)&gt;0,$W1975,""))</f>
        <v/>
      </c>
      <c r="AB1975" s="14">
        <f>IF(OR($E1975="",$AA1975=""),"",IF($E1975&gt;=$AA1975,"×",IF($E1975&gt;=$AA1975*設定!$C$5,"△","○")))</f>
        <v/>
      </c>
      <c r="AC1975" s="15">
        <f>IF($AB1975="","",IF($AB1975="×",0,IF($AB1975="○",ROUNDDOWN($E1975*設定!$C$4,0),ROUNDDOWN($E1975*ROUND((9*$AA1975-9*$E1975)/(10*$E1975),4),0))))</f>
        <v/>
      </c>
      <c r="AD1975" s="13" t="n"/>
      <c r="AE1975" s="15">
        <f>IF($B1975="","",IF($AD1975&lt;&gt;"",$AD1975,IF($AC1975="","",IF($AC1975&lt;=設定!$C$3,0,$AC1975))))</f>
        <v/>
      </c>
      <c r="AF1975" s="14">
        <f>IF($B1975="","",IF(AND($AG1975&lt;&gt;"",$AI1975="",$AL1975=""),"保留中",IF($AL1975&lt;&gt;"",IF(N($AE1975)&gt;0,"支給済","不支給"),IF($AE1975="","要確認",IF($AE1975=0,"不支給","未処理")))))</f>
        <v/>
      </c>
      <c r="AG1975" s="12" t="n"/>
      <c r="AH1975" s="11" t="n"/>
      <c r="AI1975" s="11" t="n"/>
      <c r="AJ1975" s="11" t="n"/>
      <c r="AK1975" s="14">
        <f>IF(AND($AF1975="保留中",$AH1975&lt;&gt;""),TODAY()-$AH1975,"")</f>
        <v/>
      </c>
      <c r="AL1975" s="12" t="n"/>
      <c r="AM1975" s="14">
        <f>IF($B1975="","",IF($AQ1975="","対象年月が未入力／","")&amp;IF($B1975="","",IF($AP1975="","職員マスタに未登録の職員番号／",IF($AA1975="","標準報酬月額が未登録／","")&amp;IF(AND($AQ1975&lt;&gt;"",OR(AND(INDEX(職員マスタ!$G$6:$G$405,$AP1975)&lt;&gt;"",INDEX(職員マスタ!$G$6:$G$405,$AP1975)&gt;EOMONTH($AQ1975,0)),AND(INDEX(職員マスタ!$H$6:$H$405,$AP1975)&lt;&gt;"",INDEX(職員マスタ!$H$6:$H$405,$AP1975)&lt;$AQ1975))),"対象月が時短期間外／","")&amp;IF(AND(INDEX(職員マスタ!$K$6:$K$405,$AP1975)&lt;&gt;"",N($W1975)&gt;0,INDEX(職員マスタ!$K$6:$K$405,$AP1975)&lt;&gt;$W1975),"標準報酬月額が申請書と相違（台帳"&amp;TEXT(INDEX(職員マスタ!$K$6:$K$405,$AP1975),"#,##0")&amp;"円／申請書"&amp;TEXT($W1975,"#,##0")&amp;"円）／","")&amp;IF(AND(INDEX(職員マスタ!$F$6:$F$405,$AP1975)&lt;&gt;"",$AQ1975&lt;&gt;"",INDEX(職員マスタ!$F$6:$F$405,$AP1975)&lt;$AQ1975),"対象月に子が2歳到達済／","")&amp;IF(AND($H1975&lt;&gt;"",INDEX(職員マスタ!$B$6:$B$405,$AP1975)&lt;&gt;"",SUBSTITUTE(SUBSTITUTE($H1975," ","")," ","")&lt;&gt;SUBSTITUTE(SUBSTITUTE(INDEX(職員マスタ!$B$6:$B$405,$AP1975)," ","")," ","")),"氏名がマスタと相違／","")&amp;IF(AND($Q1975&lt;&gt;"",INDEX(職員マスタ!$E$6:$E$405,$AP1975)&lt;&gt;"",$Q1975&lt;&gt;INDEX(職員マスタ!$E$6:$E$405,$AP1975)),"子の生年月日がマスタと相違／","")&amp;IF(AND($L1975&lt;&gt;"",INDEX(職員マスタ!$G$6:$G$405,$AP1975)&lt;&gt;"",$L1975&lt;&gt;INDEX(職員マスタ!$G$6:$G$405,$AP1975)),"時短開始日がマスタと相違／","")&amp;IF(AND($M1975&lt;&gt;"",INDEX(職員マスタ!$H$6:$H$405,$AP1975)&lt;&gt;"",$M1975&lt;&gt;INDEX(職員マスタ!$H$6:$H$405,$AP1975)),"時短終了日がマスタと相違／","")))&amp;IF(AND($B1975&lt;&gt;"",$E1975=""),"報酬額が未入力／","")&amp;IF(N($U1975)&gt;0,"申請書に入力エラーが残っています／","")&amp;IF(AND($B1975&lt;&gt;"",$AQ1975&lt;&gt;""),IF(COUNTIFS($B$6:$B$3005,$B1975,$C$6:$C$3005,$C1975,$D$6:$D$3005,$D1975)&gt;1,"同じ月の請求が重複しています／",""),"")&amp;IF(AND(N($E1975)&gt;0,$AB1975&lt;&gt;"",$AB1975&lt;&gt;"×",$AE1975=0,$AD1975=""),"計算額が下限以下のため不支給／",""))</f>
        <v/>
      </c>
      <c r="AN1975" s="12" t="n"/>
      <c r="AO1975" s="14">
        <f>IF($AF1975="保留中",COUNTIF($AF$6:$AF1975,"保留中"),"")</f>
        <v/>
      </c>
      <c r="AP1975" s="14">
        <f>IF($AQ1975="","",IF(SUMPRODUCT(MAX((職員マスタ!$A$6:$A$405=$B1975)*(((職員マスタ!$G$6:$G$405="")+(職員マスタ!$G$6:$G$405&lt;=EOMONTH($AQ1975,0)))&gt;0)*(((職員マスタ!$H$6:$H$405="")+(職員マスタ!$H$6:$H$405&gt;=$AQ1975))&gt;0)*(ROW(職員マスタ!$A$6:$A$405)-5)))&gt;0,SUMPRODUCT(MAX((職員マスタ!$A$6:$A$405=$B1975)*(((職員マスタ!$G$6:$G$405="")+(職員マスタ!$G$6:$G$405&lt;=EOMONTH($AQ1975,0)))&gt;0)*(((職員マスタ!$H$6:$H$405="")+(職員マスタ!$H$6:$H$405&gt;=$AQ1975))&gt;0)*(ROW(職員マスタ!$A$6:$A$405)-5))),IFERROR(MATCH($B1975,職員マスタ!$A$6:$A$405,0),"")))</f>
        <v/>
      </c>
      <c r="AQ1975" s="16">
        <f>IF(OR($B1975="",$C1975="",$D1975=""),"",DATE($C1975+2018,$D1975,1))</f>
        <v/>
      </c>
    </row>
    <row r="1976">
      <c r="A1976" s="11" t="n"/>
      <c r="B1976" s="12" t="n"/>
      <c r="C1976" s="12" t="n"/>
      <c r="D1976" s="12" t="n"/>
      <c r="E1976" s="13" t="n"/>
      <c r="F1976" s="12" t="n"/>
      <c r="G1976" s="13" t="n"/>
      <c r="H1976" s="12" t="n"/>
      <c r="I1976" s="12" t="n"/>
      <c r="J1976" s="12" t="n"/>
      <c r="K1976" s="12" t="n"/>
      <c r="L1976" s="11" t="n"/>
      <c r="M1976" s="11" t="n"/>
      <c r="N1976" s="11" t="n"/>
      <c r="O1976" s="11" t="n"/>
      <c r="P1976" s="12" t="n"/>
      <c r="Q1976" s="11" t="n"/>
      <c r="R1976" s="12" t="n"/>
      <c r="S1976" s="11" t="n"/>
      <c r="T1976" s="12" t="n"/>
      <c r="U1976" s="12" t="n"/>
      <c r="V1976" s="12" t="n"/>
      <c r="W1976" s="13" t="n"/>
      <c r="X1976" s="14">
        <f>IF($AP1976="",IF($B1976="","",$H1976),IF(INDEX(職員マスタ!$B$6:$B$405,$AP1976)="",$H1976,INDEX(職員マスタ!$B$6:$B$405,$AP1976)))</f>
        <v/>
      </c>
      <c r="Y1976" s="14">
        <f>IF($AP1976="",IF($B1976="","",$R1976),IF(INDEX(職員マスタ!$C$6:$C$405,$AP1976)="",$R1976,INDEX(職員マスタ!$C$6:$C$405,$AP1976)))</f>
        <v/>
      </c>
      <c r="Z1976" s="14">
        <f>IF($AQ1976="","","R"&amp;$C1976&amp;"."&amp;$D1976)</f>
        <v/>
      </c>
      <c r="AA1976" s="15">
        <f>IF(IF($AP1976="",FALSE,INDEX(職員マスタ!$K$6:$K$405,$AP1976)&lt;&gt;""),INDEX(職員マスタ!$K$6:$K$405,$AP1976),IF(N($W1976)&gt;0,$W1976,""))</f>
        <v/>
      </c>
      <c r="AB1976" s="14">
        <f>IF(OR($E1976="",$AA1976=""),"",IF($E1976&gt;=$AA1976,"×",IF($E1976&gt;=$AA1976*設定!$C$5,"△","○")))</f>
        <v/>
      </c>
      <c r="AC1976" s="15">
        <f>IF($AB1976="","",IF($AB1976="×",0,IF($AB1976="○",ROUNDDOWN($E1976*設定!$C$4,0),ROUNDDOWN($E1976*ROUND((9*$AA1976-9*$E1976)/(10*$E1976),4),0))))</f>
        <v/>
      </c>
      <c r="AD1976" s="13" t="n"/>
      <c r="AE1976" s="15">
        <f>IF($B1976="","",IF($AD1976&lt;&gt;"",$AD1976,IF($AC1976="","",IF($AC1976&lt;=設定!$C$3,0,$AC1976))))</f>
        <v/>
      </c>
      <c r="AF1976" s="14">
        <f>IF($B1976="","",IF(AND($AG1976&lt;&gt;"",$AI1976="",$AL1976=""),"保留中",IF($AL1976&lt;&gt;"",IF(N($AE1976)&gt;0,"支給済","不支給"),IF($AE1976="","要確認",IF($AE1976=0,"不支給","未処理")))))</f>
        <v/>
      </c>
      <c r="AG1976" s="12" t="n"/>
      <c r="AH1976" s="11" t="n"/>
      <c r="AI1976" s="11" t="n"/>
      <c r="AJ1976" s="11" t="n"/>
      <c r="AK1976" s="14">
        <f>IF(AND($AF1976="保留中",$AH1976&lt;&gt;""),TODAY()-$AH1976,"")</f>
        <v/>
      </c>
      <c r="AL1976" s="12" t="n"/>
      <c r="AM1976" s="14">
        <f>IF($B1976="","",IF($AQ1976="","対象年月が未入力／","")&amp;IF($B1976="","",IF($AP1976="","職員マスタに未登録の職員番号／",IF($AA1976="","標準報酬月額が未登録／","")&amp;IF(AND($AQ1976&lt;&gt;"",OR(AND(INDEX(職員マスタ!$G$6:$G$405,$AP1976)&lt;&gt;"",INDEX(職員マスタ!$G$6:$G$405,$AP1976)&gt;EOMONTH($AQ1976,0)),AND(INDEX(職員マスタ!$H$6:$H$405,$AP1976)&lt;&gt;"",INDEX(職員マスタ!$H$6:$H$405,$AP1976)&lt;$AQ1976))),"対象月が時短期間外／","")&amp;IF(AND(INDEX(職員マスタ!$K$6:$K$405,$AP1976)&lt;&gt;"",N($W1976)&gt;0,INDEX(職員マスタ!$K$6:$K$405,$AP1976)&lt;&gt;$W1976),"標準報酬月額が申請書と相違（台帳"&amp;TEXT(INDEX(職員マスタ!$K$6:$K$405,$AP1976),"#,##0")&amp;"円／申請書"&amp;TEXT($W1976,"#,##0")&amp;"円）／","")&amp;IF(AND(INDEX(職員マスタ!$F$6:$F$405,$AP1976)&lt;&gt;"",$AQ1976&lt;&gt;"",INDEX(職員マスタ!$F$6:$F$405,$AP1976)&lt;$AQ1976),"対象月に子が2歳到達済／","")&amp;IF(AND($H1976&lt;&gt;"",INDEX(職員マスタ!$B$6:$B$405,$AP1976)&lt;&gt;"",SUBSTITUTE(SUBSTITUTE($H1976," ","")," ","")&lt;&gt;SUBSTITUTE(SUBSTITUTE(INDEX(職員マスタ!$B$6:$B$405,$AP1976)," ","")," ","")),"氏名がマスタと相違／","")&amp;IF(AND($Q1976&lt;&gt;"",INDEX(職員マスタ!$E$6:$E$405,$AP1976)&lt;&gt;"",$Q1976&lt;&gt;INDEX(職員マスタ!$E$6:$E$405,$AP1976)),"子の生年月日がマスタと相違／","")&amp;IF(AND($L1976&lt;&gt;"",INDEX(職員マスタ!$G$6:$G$405,$AP1976)&lt;&gt;"",$L1976&lt;&gt;INDEX(職員マスタ!$G$6:$G$405,$AP1976)),"時短開始日がマスタと相違／","")&amp;IF(AND($M1976&lt;&gt;"",INDEX(職員マスタ!$H$6:$H$405,$AP1976)&lt;&gt;"",$M1976&lt;&gt;INDEX(職員マスタ!$H$6:$H$405,$AP1976)),"時短終了日がマスタと相違／","")))&amp;IF(AND($B1976&lt;&gt;"",$E1976=""),"報酬額が未入力／","")&amp;IF(N($U1976)&gt;0,"申請書に入力エラーが残っています／","")&amp;IF(AND($B1976&lt;&gt;"",$AQ1976&lt;&gt;""),IF(COUNTIFS($B$6:$B$3005,$B1976,$C$6:$C$3005,$C1976,$D$6:$D$3005,$D1976)&gt;1,"同じ月の請求が重複しています／",""),"")&amp;IF(AND(N($E1976)&gt;0,$AB1976&lt;&gt;"",$AB1976&lt;&gt;"×",$AE1976=0,$AD1976=""),"計算額が下限以下のため不支給／",""))</f>
        <v/>
      </c>
      <c r="AN1976" s="12" t="n"/>
      <c r="AO1976" s="14">
        <f>IF($AF1976="保留中",COUNTIF($AF$6:$AF1976,"保留中"),"")</f>
        <v/>
      </c>
      <c r="AP1976" s="14">
        <f>IF($AQ1976="","",IF(SUMPRODUCT(MAX((職員マスタ!$A$6:$A$405=$B1976)*(((職員マスタ!$G$6:$G$405="")+(職員マスタ!$G$6:$G$405&lt;=EOMONTH($AQ1976,0)))&gt;0)*(((職員マスタ!$H$6:$H$405="")+(職員マスタ!$H$6:$H$405&gt;=$AQ1976))&gt;0)*(ROW(職員マスタ!$A$6:$A$405)-5)))&gt;0,SUMPRODUCT(MAX((職員マスタ!$A$6:$A$405=$B1976)*(((職員マスタ!$G$6:$G$405="")+(職員マスタ!$G$6:$G$405&lt;=EOMONTH($AQ1976,0)))&gt;0)*(((職員マスタ!$H$6:$H$405="")+(職員マスタ!$H$6:$H$405&gt;=$AQ1976))&gt;0)*(ROW(職員マスタ!$A$6:$A$405)-5))),IFERROR(MATCH($B1976,職員マスタ!$A$6:$A$405,0),"")))</f>
        <v/>
      </c>
      <c r="AQ1976" s="16">
        <f>IF(OR($B1976="",$C1976="",$D1976=""),"",DATE($C1976+2018,$D1976,1))</f>
        <v/>
      </c>
    </row>
    <row r="1977">
      <c r="A1977" s="11" t="n"/>
      <c r="B1977" s="12" t="n"/>
      <c r="C1977" s="12" t="n"/>
      <c r="D1977" s="12" t="n"/>
      <c r="E1977" s="13" t="n"/>
      <c r="F1977" s="12" t="n"/>
      <c r="G1977" s="13" t="n"/>
      <c r="H1977" s="12" t="n"/>
      <c r="I1977" s="12" t="n"/>
      <c r="J1977" s="12" t="n"/>
      <c r="K1977" s="12" t="n"/>
      <c r="L1977" s="11" t="n"/>
      <c r="M1977" s="11" t="n"/>
      <c r="N1977" s="11" t="n"/>
      <c r="O1977" s="11" t="n"/>
      <c r="P1977" s="12" t="n"/>
      <c r="Q1977" s="11" t="n"/>
      <c r="R1977" s="12" t="n"/>
      <c r="S1977" s="11" t="n"/>
      <c r="T1977" s="12" t="n"/>
      <c r="U1977" s="12" t="n"/>
      <c r="V1977" s="12" t="n"/>
      <c r="W1977" s="13" t="n"/>
      <c r="X1977" s="14">
        <f>IF($AP1977="",IF($B1977="","",$H1977),IF(INDEX(職員マスタ!$B$6:$B$405,$AP1977)="",$H1977,INDEX(職員マスタ!$B$6:$B$405,$AP1977)))</f>
        <v/>
      </c>
      <c r="Y1977" s="14">
        <f>IF($AP1977="",IF($B1977="","",$R1977),IF(INDEX(職員マスタ!$C$6:$C$405,$AP1977)="",$R1977,INDEX(職員マスタ!$C$6:$C$405,$AP1977)))</f>
        <v/>
      </c>
      <c r="Z1977" s="14">
        <f>IF($AQ1977="","","R"&amp;$C1977&amp;"."&amp;$D1977)</f>
        <v/>
      </c>
      <c r="AA1977" s="15">
        <f>IF(IF($AP1977="",FALSE,INDEX(職員マスタ!$K$6:$K$405,$AP1977)&lt;&gt;""),INDEX(職員マスタ!$K$6:$K$405,$AP1977),IF(N($W1977)&gt;0,$W1977,""))</f>
        <v/>
      </c>
      <c r="AB1977" s="14">
        <f>IF(OR($E1977="",$AA1977=""),"",IF($E1977&gt;=$AA1977,"×",IF($E1977&gt;=$AA1977*設定!$C$5,"△","○")))</f>
        <v/>
      </c>
      <c r="AC1977" s="15">
        <f>IF($AB1977="","",IF($AB1977="×",0,IF($AB1977="○",ROUNDDOWN($E1977*設定!$C$4,0),ROUNDDOWN($E1977*ROUND((9*$AA1977-9*$E1977)/(10*$E1977),4),0))))</f>
        <v/>
      </c>
      <c r="AD1977" s="13" t="n"/>
      <c r="AE1977" s="15">
        <f>IF($B1977="","",IF($AD1977&lt;&gt;"",$AD1977,IF($AC1977="","",IF($AC1977&lt;=設定!$C$3,0,$AC1977))))</f>
        <v/>
      </c>
      <c r="AF1977" s="14">
        <f>IF($B1977="","",IF(AND($AG1977&lt;&gt;"",$AI1977="",$AL1977=""),"保留中",IF($AL1977&lt;&gt;"",IF(N($AE1977)&gt;0,"支給済","不支給"),IF($AE1977="","要確認",IF($AE1977=0,"不支給","未処理")))))</f>
        <v/>
      </c>
      <c r="AG1977" s="12" t="n"/>
      <c r="AH1977" s="11" t="n"/>
      <c r="AI1977" s="11" t="n"/>
      <c r="AJ1977" s="11" t="n"/>
      <c r="AK1977" s="14">
        <f>IF(AND($AF1977="保留中",$AH1977&lt;&gt;""),TODAY()-$AH1977,"")</f>
        <v/>
      </c>
      <c r="AL1977" s="12" t="n"/>
      <c r="AM1977" s="14">
        <f>IF($B1977="","",IF($AQ1977="","対象年月が未入力／","")&amp;IF($B1977="","",IF($AP1977="","職員マスタに未登録の職員番号／",IF($AA1977="","標準報酬月額が未登録／","")&amp;IF(AND($AQ1977&lt;&gt;"",OR(AND(INDEX(職員マスタ!$G$6:$G$405,$AP1977)&lt;&gt;"",INDEX(職員マスタ!$G$6:$G$405,$AP1977)&gt;EOMONTH($AQ1977,0)),AND(INDEX(職員マスタ!$H$6:$H$405,$AP1977)&lt;&gt;"",INDEX(職員マスタ!$H$6:$H$405,$AP1977)&lt;$AQ1977))),"対象月が時短期間外／","")&amp;IF(AND(INDEX(職員マスタ!$K$6:$K$405,$AP1977)&lt;&gt;"",N($W1977)&gt;0,INDEX(職員マスタ!$K$6:$K$405,$AP1977)&lt;&gt;$W1977),"標準報酬月額が申請書と相違（台帳"&amp;TEXT(INDEX(職員マスタ!$K$6:$K$405,$AP1977),"#,##0")&amp;"円／申請書"&amp;TEXT($W1977,"#,##0")&amp;"円）／","")&amp;IF(AND(INDEX(職員マスタ!$F$6:$F$405,$AP1977)&lt;&gt;"",$AQ1977&lt;&gt;"",INDEX(職員マスタ!$F$6:$F$405,$AP1977)&lt;$AQ1977),"対象月に子が2歳到達済／","")&amp;IF(AND($H1977&lt;&gt;"",INDEX(職員マスタ!$B$6:$B$405,$AP1977)&lt;&gt;"",SUBSTITUTE(SUBSTITUTE($H1977," ","")," ","")&lt;&gt;SUBSTITUTE(SUBSTITUTE(INDEX(職員マスタ!$B$6:$B$405,$AP1977)," ","")," ","")),"氏名がマスタと相違／","")&amp;IF(AND($Q1977&lt;&gt;"",INDEX(職員マスタ!$E$6:$E$405,$AP1977)&lt;&gt;"",$Q1977&lt;&gt;INDEX(職員マスタ!$E$6:$E$405,$AP1977)),"子の生年月日がマスタと相違／","")&amp;IF(AND($L1977&lt;&gt;"",INDEX(職員マスタ!$G$6:$G$405,$AP1977)&lt;&gt;"",$L1977&lt;&gt;INDEX(職員マスタ!$G$6:$G$405,$AP1977)),"時短開始日がマスタと相違／","")&amp;IF(AND($M1977&lt;&gt;"",INDEX(職員マスタ!$H$6:$H$405,$AP1977)&lt;&gt;"",$M1977&lt;&gt;INDEX(職員マスタ!$H$6:$H$405,$AP1977)),"時短終了日がマスタと相違／","")))&amp;IF(AND($B1977&lt;&gt;"",$E1977=""),"報酬額が未入力／","")&amp;IF(N($U1977)&gt;0,"申請書に入力エラーが残っています／","")&amp;IF(AND($B1977&lt;&gt;"",$AQ1977&lt;&gt;""),IF(COUNTIFS($B$6:$B$3005,$B1977,$C$6:$C$3005,$C1977,$D$6:$D$3005,$D1977)&gt;1,"同じ月の請求が重複しています／",""),"")&amp;IF(AND(N($E1977)&gt;0,$AB1977&lt;&gt;"",$AB1977&lt;&gt;"×",$AE1977=0,$AD1977=""),"計算額が下限以下のため不支給／",""))</f>
        <v/>
      </c>
      <c r="AN1977" s="12" t="n"/>
      <c r="AO1977" s="14">
        <f>IF($AF1977="保留中",COUNTIF($AF$6:$AF1977,"保留中"),"")</f>
        <v/>
      </c>
      <c r="AP1977" s="14">
        <f>IF($AQ1977="","",IF(SUMPRODUCT(MAX((職員マスタ!$A$6:$A$405=$B1977)*(((職員マスタ!$G$6:$G$405="")+(職員マスタ!$G$6:$G$405&lt;=EOMONTH($AQ1977,0)))&gt;0)*(((職員マスタ!$H$6:$H$405="")+(職員マスタ!$H$6:$H$405&gt;=$AQ1977))&gt;0)*(ROW(職員マスタ!$A$6:$A$405)-5)))&gt;0,SUMPRODUCT(MAX((職員マスタ!$A$6:$A$405=$B1977)*(((職員マスタ!$G$6:$G$405="")+(職員マスタ!$G$6:$G$405&lt;=EOMONTH($AQ1977,0)))&gt;0)*(((職員マスタ!$H$6:$H$405="")+(職員マスタ!$H$6:$H$405&gt;=$AQ1977))&gt;0)*(ROW(職員マスタ!$A$6:$A$405)-5))),IFERROR(MATCH($B1977,職員マスタ!$A$6:$A$405,0),"")))</f>
        <v/>
      </c>
      <c r="AQ1977" s="16">
        <f>IF(OR($B1977="",$C1977="",$D1977=""),"",DATE($C1977+2018,$D1977,1))</f>
        <v/>
      </c>
    </row>
    <row r="1978">
      <c r="A1978" s="11" t="n"/>
      <c r="B1978" s="12" t="n"/>
      <c r="C1978" s="12" t="n"/>
      <c r="D1978" s="12" t="n"/>
      <c r="E1978" s="13" t="n"/>
      <c r="F1978" s="12" t="n"/>
      <c r="G1978" s="13" t="n"/>
      <c r="H1978" s="12" t="n"/>
      <c r="I1978" s="12" t="n"/>
      <c r="J1978" s="12" t="n"/>
      <c r="K1978" s="12" t="n"/>
      <c r="L1978" s="11" t="n"/>
      <c r="M1978" s="11" t="n"/>
      <c r="N1978" s="11" t="n"/>
      <c r="O1978" s="11" t="n"/>
      <c r="P1978" s="12" t="n"/>
      <c r="Q1978" s="11" t="n"/>
      <c r="R1978" s="12" t="n"/>
      <c r="S1978" s="11" t="n"/>
      <c r="T1978" s="12" t="n"/>
      <c r="U1978" s="12" t="n"/>
      <c r="V1978" s="12" t="n"/>
      <c r="W1978" s="13" t="n"/>
      <c r="X1978" s="14">
        <f>IF($AP1978="",IF($B1978="","",$H1978),IF(INDEX(職員マスタ!$B$6:$B$405,$AP1978)="",$H1978,INDEX(職員マスタ!$B$6:$B$405,$AP1978)))</f>
        <v/>
      </c>
      <c r="Y1978" s="14">
        <f>IF($AP1978="",IF($B1978="","",$R1978),IF(INDEX(職員マスタ!$C$6:$C$405,$AP1978)="",$R1978,INDEX(職員マスタ!$C$6:$C$405,$AP1978)))</f>
        <v/>
      </c>
      <c r="Z1978" s="14">
        <f>IF($AQ1978="","","R"&amp;$C1978&amp;"."&amp;$D1978)</f>
        <v/>
      </c>
      <c r="AA1978" s="15">
        <f>IF(IF($AP1978="",FALSE,INDEX(職員マスタ!$K$6:$K$405,$AP1978)&lt;&gt;""),INDEX(職員マスタ!$K$6:$K$405,$AP1978),IF(N($W1978)&gt;0,$W1978,""))</f>
        <v/>
      </c>
      <c r="AB1978" s="14">
        <f>IF(OR($E1978="",$AA1978=""),"",IF($E1978&gt;=$AA1978,"×",IF($E1978&gt;=$AA1978*設定!$C$5,"△","○")))</f>
        <v/>
      </c>
      <c r="AC1978" s="15">
        <f>IF($AB1978="","",IF($AB1978="×",0,IF($AB1978="○",ROUNDDOWN($E1978*設定!$C$4,0),ROUNDDOWN($E1978*ROUND((9*$AA1978-9*$E1978)/(10*$E1978),4),0))))</f>
        <v/>
      </c>
      <c r="AD1978" s="13" t="n"/>
      <c r="AE1978" s="15">
        <f>IF($B1978="","",IF($AD1978&lt;&gt;"",$AD1978,IF($AC1978="","",IF($AC1978&lt;=設定!$C$3,0,$AC1978))))</f>
        <v/>
      </c>
      <c r="AF1978" s="14">
        <f>IF($B1978="","",IF(AND($AG1978&lt;&gt;"",$AI1978="",$AL1978=""),"保留中",IF($AL1978&lt;&gt;"",IF(N($AE1978)&gt;0,"支給済","不支給"),IF($AE1978="","要確認",IF($AE1978=0,"不支給","未処理")))))</f>
        <v/>
      </c>
      <c r="AG1978" s="12" t="n"/>
      <c r="AH1978" s="11" t="n"/>
      <c r="AI1978" s="11" t="n"/>
      <c r="AJ1978" s="11" t="n"/>
      <c r="AK1978" s="14">
        <f>IF(AND($AF1978="保留中",$AH1978&lt;&gt;""),TODAY()-$AH1978,"")</f>
        <v/>
      </c>
      <c r="AL1978" s="12" t="n"/>
      <c r="AM1978" s="14">
        <f>IF($B1978="","",IF($AQ1978="","対象年月が未入力／","")&amp;IF($B1978="","",IF($AP1978="","職員マスタに未登録の職員番号／",IF($AA1978="","標準報酬月額が未登録／","")&amp;IF(AND($AQ1978&lt;&gt;"",OR(AND(INDEX(職員マスタ!$G$6:$G$405,$AP1978)&lt;&gt;"",INDEX(職員マスタ!$G$6:$G$405,$AP1978)&gt;EOMONTH($AQ1978,0)),AND(INDEX(職員マスタ!$H$6:$H$405,$AP1978)&lt;&gt;"",INDEX(職員マスタ!$H$6:$H$405,$AP1978)&lt;$AQ1978))),"対象月が時短期間外／","")&amp;IF(AND(INDEX(職員マスタ!$K$6:$K$405,$AP1978)&lt;&gt;"",N($W1978)&gt;0,INDEX(職員マスタ!$K$6:$K$405,$AP1978)&lt;&gt;$W1978),"標準報酬月額が申請書と相違（台帳"&amp;TEXT(INDEX(職員マスタ!$K$6:$K$405,$AP1978),"#,##0")&amp;"円／申請書"&amp;TEXT($W1978,"#,##0")&amp;"円）／","")&amp;IF(AND(INDEX(職員マスタ!$F$6:$F$405,$AP1978)&lt;&gt;"",$AQ1978&lt;&gt;"",INDEX(職員マスタ!$F$6:$F$405,$AP1978)&lt;$AQ1978),"対象月に子が2歳到達済／","")&amp;IF(AND($H1978&lt;&gt;"",INDEX(職員マスタ!$B$6:$B$405,$AP1978)&lt;&gt;"",SUBSTITUTE(SUBSTITUTE($H1978," ","")," ","")&lt;&gt;SUBSTITUTE(SUBSTITUTE(INDEX(職員マスタ!$B$6:$B$405,$AP1978)," ","")," ","")),"氏名がマスタと相違／","")&amp;IF(AND($Q1978&lt;&gt;"",INDEX(職員マスタ!$E$6:$E$405,$AP1978)&lt;&gt;"",$Q1978&lt;&gt;INDEX(職員マスタ!$E$6:$E$405,$AP1978)),"子の生年月日がマスタと相違／","")&amp;IF(AND($L1978&lt;&gt;"",INDEX(職員マスタ!$G$6:$G$405,$AP1978)&lt;&gt;"",$L1978&lt;&gt;INDEX(職員マスタ!$G$6:$G$405,$AP1978)),"時短開始日がマスタと相違／","")&amp;IF(AND($M1978&lt;&gt;"",INDEX(職員マスタ!$H$6:$H$405,$AP1978)&lt;&gt;"",$M1978&lt;&gt;INDEX(職員マスタ!$H$6:$H$405,$AP1978)),"時短終了日がマスタと相違／","")))&amp;IF(AND($B1978&lt;&gt;"",$E1978=""),"報酬額が未入力／","")&amp;IF(N($U1978)&gt;0,"申請書に入力エラーが残っています／","")&amp;IF(AND($B1978&lt;&gt;"",$AQ1978&lt;&gt;""),IF(COUNTIFS($B$6:$B$3005,$B1978,$C$6:$C$3005,$C1978,$D$6:$D$3005,$D1978)&gt;1,"同じ月の請求が重複しています／",""),"")&amp;IF(AND(N($E1978)&gt;0,$AB1978&lt;&gt;"",$AB1978&lt;&gt;"×",$AE1978=0,$AD1978=""),"計算額が下限以下のため不支給／",""))</f>
        <v/>
      </c>
      <c r="AN1978" s="12" t="n"/>
      <c r="AO1978" s="14">
        <f>IF($AF1978="保留中",COUNTIF($AF$6:$AF1978,"保留中"),"")</f>
        <v/>
      </c>
      <c r="AP1978" s="14">
        <f>IF($AQ1978="","",IF(SUMPRODUCT(MAX((職員マスタ!$A$6:$A$405=$B1978)*(((職員マスタ!$G$6:$G$405="")+(職員マスタ!$G$6:$G$405&lt;=EOMONTH($AQ1978,0)))&gt;0)*(((職員マスタ!$H$6:$H$405="")+(職員マスタ!$H$6:$H$405&gt;=$AQ1978))&gt;0)*(ROW(職員マスタ!$A$6:$A$405)-5)))&gt;0,SUMPRODUCT(MAX((職員マスタ!$A$6:$A$405=$B1978)*(((職員マスタ!$G$6:$G$405="")+(職員マスタ!$G$6:$G$405&lt;=EOMONTH($AQ1978,0)))&gt;0)*(((職員マスタ!$H$6:$H$405="")+(職員マスタ!$H$6:$H$405&gt;=$AQ1978))&gt;0)*(ROW(職員マスタ!$A$6:$A$405)-5))),IFERROR(MATCH($B1978,職員マスタ!$A$6:$A$405,0),"")))</f>
        <v/>
      </c>
      <c r="AQ1978" s="16">
        <f>IF(OR($B1978="",$C1978="",$D1978=""),"",DATE($C1978+2018,$D1978,1))</f>
        <v/>
      </c>
    </row>
    <row r="1979">
      <c r="A1979" s="11" t="n"/>
      <c r="B1979" s="12" t="n"/>
      <c r="C1979" s="12" t="n"/>
      <c r="D1979" s="12" t="n"/>
      <c r="E1979" s="13" t="n"/>
      <c r="F1979" s="12" t="n"/>
      <c r="G1979" s="13" t="n"/>
      <c r="H1979" s="12" t="n"/>
      <c r="I1979" s="12" t="n"/>
      <c r="J1979" s="12" t="n"/>
      <c r="K1979" s="12" t="n"/>
      <c r="L1979" s="11" t="n"/>
      <c r="M1979" s="11" t="n"/>
      <c r="N1979" s="11" t="n"/>
      <c r="O1979" s="11" t="n"/>
      <c r="P1979" s="12" t="n"/>
      <c r="Q1979" s="11" t="n"/>
      <c r="R1979" s="12" t="n"/>
      <c r="S1979" s="11" t="n"/>
      <c r="T1979" s="12" t="n"/>
      <c r="U1979" s="12" t="n"/>
      <c r="V1979" s="12" t="n"/>
      <c r="W1979" s="13" t="n"/>
      <c r="X1979" s="14">
        <f>IF($AP1979="",IF($B1979="","",$H1979),IF(INDEX(職員マスタ!$B$6:$B$405,$AP1979)="",$H1979,INDEX(職員マスタ!$B$6:$B$405,$AP1979)))</f>
        <v/>
      </c>
      <c r="Y1979" s="14">
        <f>IF($AP1979="",IF($B1979="","",$R1979),IF(INDEX(職員マスタ!$C$6:$C$405,$AP1979)="",$R1979,INDEX(職員マスタ!$C$6:$C$405,$AP1979)))</f>
        <v/>
      </c>
      <c r="Z1979" s="14">
        <f>IF($AQ1979="","","R"&amp;$C1979&amp;"."&amp;$D1979)</f>
        <v/>
      </c>
      <c r="AA1979" s="15">
        <f>IF(IF($AP1979="",FALSE,INDEX(職員マスタ!$K$6:$K$405,$AP1979)&lt;&gt;""),INDEX(職員マスタ!$K$6:$K$405,$AP1979),IF(N($W1979)&gt;0,$W1979,""))</f>
        <v/>
      </c>
      <c r="AB1979" s="14">
        <f>IF(OR($E1979="",$AA1979=""),"",IF($E1979&gt;=$AA1979,"×",IF($E1979&gt;=$AA1979*設定!$C$5,"△","○")))</f>
        <v/>
      </c>
      <c r="AC1979" s="15">
        <f>IF($AB1979="","",IF($AB1979="×",0,IF($AB1979="○",ROUNDDOWN($E1979*設定!$C$4,0),ROUNDDOWN($E1979*ROUND((9*$AA1979-9*$E1979)/(10*$E1979),4),0))))</f>
        <v/>
      </c>
      <c r="AD1979" s="13" t="n"/>
      <c r="AE1979" s="15">
        <f>IF($B1979="","",IF($AD1979&lt;&gt;"",$AD1979,IF($AC1979="","",IF($AC1979&lt;=設定!$C$3,0,$AC1979))))</f>
        <v/>
      </c>
      <c r="AF1979" s="14">
        <f>IF($B1979="","",IF(AND($AG1979&lt;&gt;"",$AI1979="",$AL1979=""),"保留中",IF($AL1979&lt;&gt;"",IF(N($AE1979)&gt;0,"支給済","不支給"),IF($AE1979="","要確認",IF($AE1979=0,"不支給","未処理")))))</f>
        <v/>
      </c>
      <c r="AG1979" s="12" t="n"/>
      <c r="AH1979" s="11" t="n"/>
      <c r="AI1979" s="11" t="n"/>
      <c r="AJ1979" s="11" t="n"/>
      <c r="AK1979" s="14">
        <f>IF(AND($AF1979="保留中",$AH1979&lt;&gt;""),TODAY()-$AH1979,"")</f>
        <v/>
      </c>
      <c r="AL1979" s="12" t="n"/>
      <c r="AM1979" s="14">
        <f>IF($B1979="","",IF($AQ1979="","対象年月が未入力／","")&amp;IF($B1979="","",IF($AP1979="","職員マスタに未登録の職員番号／",IF($AA1979="","標準報酬月額が未登録／","")&amp;IF(AND($AQ1979&lt;&gt;"",OR(AND(INDEX(職員マスタ!$G$6:$G$405,$AP1979)&lt;&gt;"",INDEX(職員マスタ!$G$6:$G$405,$AP1979)&gt;EOMONTH($AQ1979,0)),AND(INDEX(職員マスタ!$H$6:$H$405,$AP1979)&lt;&gt;"",INDEX(職員マスタ!$H$6:$H$405,$AP1979)&lt;$AQ1979))),"対象月が時短期間外／","")&amp;IF(AND(INDEX(職員マスタ!$K$6:$K$405,$AP1979)&lt;&gt;"",N($W1979)&gt;0,INDEX(職員マスタ!$K$6:$K$405,$AP1979)&lt;&gt;$W1979),"標準報酬月額が申請書と相違（台帳"&amp;TEXT(INDEX(職員マスタ!$K$6:$K$405,$AP1979),"#,##0")&amp;"円／申請書"&amp;TEXT($W1979,"#,##0")&amp;"円）／","")&amp;IF(AND(INDEX(職員マスタ!$F$6:$F$405,$AP1979)&lt;&gt;"",$AQ1979&lt;&gt;"",INDEX(職員マスタ!$F$6:$F$405,$AP1979)&lt;$AQ1979),"対象月に子が2歳到達済／","")&amp;IF(AND($H1979&lt;&gt;"",INDEX(職員マスタ!$B$6:$B$405,$AP1979)&lt;&gt;"",SUBSTITUTE(SUBSTITUTE($H1979," ","")," ","")&lt;&gt;SUBSTITUTE(SUBSTITUTE(INDEX(職員マスタ!$B$6:$B$405,$AP1979)," ","")," ","")),"氏名がマスタと相違／","")&amp;IF(AND($Q1979&lt;&gt;"",INDEX(職員マスタ!$E$6:$E$405,$AP1979)&lt;&gt;"",$Q1979&lt;&gt;INDEX(職員マスタ!$E$6:$E$405,$AP1979)),"子の生年月日がマスタと相違／","")&amp;IF(AND($L1979&lt;&gt;"",INDEX(職員マスタ!$G$6:$G$405,$AP1979)&lt;&gt;"",$L1979&lt;&gt;INDEX(職員マスタ!$G$6:$G$405,$AP1979)),"時短開始日がマスタと相違／","")&amp;IF(AND($M1979&lt;&gt;"",INDEX(職員マスタ!$H$6:$H$405,$AP1979)&lt;&gt;"",$M1979&lt;&gt;INDEX(職員マスタ!$H$6:$H$405,$AP1979)),"時短終了日がマスタと相違／","")))&amp;IF(AND($B1979&lt;&gt;"",$E1979=""),"報酬額が未入力／","")&amp;IF(N($U1979)&gt;0,"申請書に入力エラーが残っています／","")&amp;IF(AND($B1979&lt;&gt;"",$AQ1979&lt;&gt;""),IF(COUNTIFS($B$6:$B$3005,$B1979,$C$6:$C$3005,$C1979,$D$6:$D$3005,$D1979)&gt;1,"同じ月の請求が重複しています／",""),"")&amp;IF(AND(N($E1979)&gt;0,$AB1979&lt;&gt;"",$AB1979&lt;&gt;"×",$AE1979=0,$AD1979=""),"計算額が下限以下のため不支給／",""))</f>
        <v/>
      </c>
      <c r="AN1979" s="12" t="n"/>
      <c r="AO1979" s="14">
        <f>IF($AF1979="保留中",COUNTIF($AF$6:$AF1979,"保留中"),"")</f>
        <v/>
      </c>
      <c r="AP1979" s="14">
        <f>IF($AQ1979="","",IF(SUMPRODUCT(MAX((職員マスタ!$A$6:$A$405=$B1979)*(((職員マスタ!$G$6:$G$405="")+(職員マスタ!$G$6:$G$405&lt;=EOMONTH($AQ1979,0)))&gt;0)*(((職員マスタ!$H$6:$H$405="")+(職員マスタ!$H$6:$H$405&gt;=$AQ1979))&gt;0)*(ROW(職員マスタ!$A$6:$A$405)-5)))&gt;0,SUMPRODUCT(MAX((職員マスタ!$A$6:$A$405=$B1979)*(((職員マスタ!$G$6:$G$405="")+(職員マスタ!$G$6:$G$405&lt;=EOMONTH($AQ1979,0)))&gt;0)*(((職員マスタ!$H$6:$H$405="")+(職員マスタ!$H$6:$H$405&gt;=$AQ1979))&gt;0)*(ROW(職員マスタ!$A$6:$A$405)-5))),IFERROR(MATCH($B1979,職員マスタ!$A$6:$A$405,0),"")))</f>
        <v/>
      </c>
      <c r="AQ1979" s="16">
        <f>IF(OR($B1979="",$C1979="",$D1979=""),"",DATE($C1979+2018,$D1979,1))</f>
        <v/>
      </c>
    </row>
    <row r="1980">
      <c r="A1980" s="11" t="n"/>
      <c r="B1980" s="12" t="n"/>
      <c r="C1980" s="12" t="n"/>
      <c r="D1980" s="12" t="n"/>
      <c r="E1980" s="13" t="n"/>
      <c r="F1980" s="12" t="n"/>
      <c r="G1980" s="13" t="n"/>
      <c r="H1980" s="12" t="n"/>
      <c r="I1980" s="12" t="n"/>
      <c r="J1980" s="12" t="n"/>
      <c r="K1980" s="12" t="n"/>
      <c r="L1980" s="11" t="n"/>
      <c r="M1980" s="11" t="n"/>
      <c r="N1980" s="11" t="n"/>
      <c r="O1980" s="11" t="n"/>
      <c r="P1980" s="12" t="n"/>
      <c r="Q1980" s="11" t="n"/>
      <c r="R1980" s="12" t="n"/>
      <c r="S1980" s="11" t="n"/>
      <c r="T1980" s="12" t="n"/>
      <c r="U1980" s="12" t="n"/>
      <c r="V1980" s="12" t="n"/>
      <c r="W1980" s="13" t="n"/>
      <c r="X1980" s="14">
        <f>IF($AP1980="",IF($B1980="","",$H1980),IF(INDEX(職員マスタ!$B$6:$B$405,$AP1980)="",$H1980,INDEX(職員マスタ!$B$6:$B$405,$AP1980)))</f>
        <v/>
      </c>
      <c r="Y1980" s="14">
        <f>IF($AP1980="",IF($B1980="","",$R1980),IF(INDEX(職員マスタ!$C$6:$C$405,$AP1980)="",$R1980,INDEX(職員マスタ!$C$6:$C$405,$AP1980)))</f>
        <v/>
      </c>
      <c r="Z1980" s="14">
        <f>IF($AQ1980="","","R"&amp;$C1980&amp;"."&amp;$D1980)</f>
        <v/>
      </c>
      <c r="AA1980" s="15">
        <f>IF(IF($AP1980="",FALSE,INDEX(職員マスタ!$K$6:$K$405,$AP1980)&lt;&gt;""),INDEX(職員マスタ!$K$6:$K$405,$AP1980),IF(N($W1980)&gt;0,$W1980,""))</f>
        <v/>
      </c>
      <c r="AB1980" s="14">
        <f>IF(OR($E1980="",$AA1980=""),"",IF($E1980&gt;=$AA1980,"×",IF($E1980&gt;=$AA1980*設定!$C$5,"△","○")))</f>
        <v/>
      </c>
      <c r="AC1980" s="15">
        <f>IF($AB1980="","",IF($AB1980="×",0,IF($AB1980="○",ROUNDDOWN($E1980*設定!$C$4,0),ROUNDDOWN($E1980*ROUND((9*$AA1980-9*$E1980)/(10*$E1980),4),0))))</f>
        <v/>
      </c>
      <c r="AD1980" s="13" t="n"/>
      <c r="AE1980" s="15">
        <f>IF($B1980="","",IF($AD1980&lt;&gt;"",$AD1980,IF($AC1980="","",IF($AC1980&lt;=設定!$C$3,0,$AC1980))))</f>
        <v/>
      </c>
      <c r="AF1980" s="14">
        <f>IF($B1980="","",IF(AND($AG1980&lt;&gt;"",$AI1980="",$AL1980=""),"保留中",IF($AL1980&lt;&gt;"",IF(N($AE1980)&gt;0,"支給済","不支給"),IF($AE1980="","要確認",IF($AE1980=0,"不支給","未処理")))))</f>
        <v/>
      </c>
      <c r="AG1980" s="12" t="n"/>
      <c r="AH1980" s="11" t="n"/>
      <c r="AI1980" s="11" t="n"/>
      <c r="AJ1980" s="11" t="n"/>
      <c r="AK1980" s="14">
        <f>IF(AND($AF1980="保留中",$AH1980&lt;&gt;""),TODAY()-$AH1980,"")</f>
        <v/>
      </c>
      <c r="AL1980" s="12" t="n"/>
      <c r="AM1980" s="14">
        <f>IF($B1980="","",IF($AQ1980="","対象年月が未入力／","")&amp;IF($B1980="","",IF($AP1980="","職員マスタに未登録の職員番号／",IF($AA1980="","標準報酬月額が未登録／","")&amp;IF(AND($AQ1980&lt;&gt;"",OR(AND(INDEX(職員マスタ!$G$6:$G$405,$AP1980)&lt;&gt;"",INDEX(職員マスタ!$G$6:$G$405,$AP1980)&gt;EOMONTH($AQ1980,0)),AND(INDEX(職員マスタ!$H$6:$H$405,$AP1980)&lt;&gt;"",INDEX(職員マスタ!$H$6:$H$405,$AP1980)&lt;$AQ1980))),"対象月が時短期間外／","")&amp;IF(AND(INDEX(職員マスタ!$K$6:$K$405,$AP1980)&lt;&gt;"",N($W1980)&gt;0,INDEX(職員マスタ!$K$6:$K$405,$AP1980)&lt;&gt;$W1980),"標準報酬月額が申請書と相違（台帳"&amp;TEXT(INDEX(職員マスタ!$K$6:$K$405,$AP1980),"#,##0")&amp;"円／申請書"&amp;TEXT($W1980,"#,##0")&amp;"円）／","")&amp;IF(AND(INDEX(職員マスタ!$F$6:$F$405,$AP1980)&lt;&gt;"",$AQ1980&lt;&gt;"",INDEX(職員マスタ!$F$6:$F$405,$AP1980)&lt;$AQ1980),"対象月に子が2歳到達済／","")&amp;IF(AND($H1980&lt;&gt;"",INDEX(職員マスタ!$B$6:$B$405,$AP1980)&lt;&gt;"",SUBSTITUTE(SUBSTITUTE($H1980," ","")," ","")&lt;&gt;SUBSTITUTE(SUBSTITUTE(INDEX(職員マスタ!$B$6:$B$405,$AP1980)," ","")," ","")),"氏名がマスタと相違／","")&amp;IF(AND($Q1980&lt;&gt;"",INDEX(職員マスタ!$E$6:$E$405,$AP1980)&lt;&gt;"",$Q1980&lt;&gt;INDEX(職員マスタ!$E$6:$E$405,$AP1980)),"子の生年月日がマスタと相違／","")&amp;IF(AND($L1980&lt;&gt;"",INDEX(職員マスタ!$G$6:$G$405,$AP1980)&lt;&gt;"",$L1980&lt;&gt;INDEX(職員マスタ!$G$6:$G$405,$AP1980)),"時短開始日がマスタと相違／","")&amp;IF(AND($M1980&lt;&gt;"",INDEX(職員マスタ!$H$6:$H$405,$AP1980)&lt;&gt;"",$M1980&lt;&gt;INDEX(職員マスタ!$H$6:$H$405,$AP1980)),"時短終了日がマスタと相違／","")))&amp;IF(AND($B1980&lt;&gt;"",$E1980=""),"報酬額が未入力／","")&amp;IF(N($U1980)&gt;0,"申請書に入力エラーが残っています／","")&amp;IF(AND($B1980&lt;&gt;"",$AQ1980&lt;&gt;""),IF(COUNTIFS($B$6:$B$3005,$B1980,$C$6:$C$3005,$C1980,$D$6:$D$3005,$D1980)&gt;1,"同じ月の請求が重複しています／",""),"")&amp;IF(AND(N($E1980)&gt;0,$AB1980&lt;&gt;"",$AB1980&lt;&gt;"×",$AE1980=0,$AD1980=""),"計算額が下限以下のため不支給／",""))</f>
        <v/>
      </c>
      <c r="AN1980" s="12" t="n"/>
      <c r="AO1980" s="14">
        <f>IF($AF1980="保留中",COUNTIF($AF$6:$AF1980,"保留中"),"")</f>
        <v/>
      </c>
      <c r="AP1980" s="14">
        <f>IF($AQ1980="","",IF(SUMPRODUCT(MAX((職員マスタ!$A$6:$A$405=$B1980)*(((職員マスタ!$G$6:$G$405="")+(職員マスタ!$G$6:$G$405&lt;=EOMONTH($AQ1980,0)))&gt;0)*(((職員マスタ!$H$6:$H$405="")+(職員マスタ!$H$6:$H$405&gt;=$AQ1980))&gt;0)*(ROW(職員マスタ!$A$6:$A$405)-5)))&gt;0,SUMPRODUCT(MAX((職員マスタ!$A$6:$A$405=$B1980)*(((職員マスタ!$G$6:$G$405="")+(職員マスタ!$G$6:$G$405&lt;=EOMONTH($AQ1980,0)))&gt;0)*(((職員マスタ!$H$6:$H$405="")+(職員マスタ!$H$6:$H$405&gt;=$AQ1980))&gt;0)*(ROW(職員マスタ!$A$6:$A$405)-5))),IFERROR(MATCH($B1980,職員マスタ!$A$6:$A$405,0),"")))</f>
        <v/>
      </c>
      <c r="AQ1980" s="16">
        <f>IF(OR($B1980="",$C1980="",$D1980=""),"",DATE($C1980+2018,$D1980,1))</f>
        <v/>
      </c>
    </row>
    <row r="1981">
      <c r="A1981" s="11" t="n"/>
      <c r="B1981" s="12" t="n"/>
      <c r="C1981" s="12" t="n"/>
      <c r="D1981" s="12" t="n"/>
      <c r="E1981" s="13" t="n"/>
      <c r="F1981" s="12" t="n"/>
      <c r="G1981" s="13" t="n"/>
      <c r="H1981" s="12" t="n"/>
      <c r="I1981" s="12" t="n"/>
      <c r="J1981" s="12" t="n"/>
      <c r="K1981" s="12" t="n"/>
      <c r="L1981" s="11" t="n"/>
      <c r="M1981" s="11" t="n"/>
      <c r="N1981" s="11" t="n"/>
      <c r="O1981" s="11" t="n"/>
      <c r="P1981" s="12" t="n"/>
      <c r="Q1981" s="11" t="n"/>
      <c r="R1981" s="12" t="n"/>
      <c r="S1981" s="11" t="n"/>
      <c r="T1981" s="12" t="n"/>
      <c r="U1981" s="12" t="n"/>
      <c r="V1981" s="12" t="n"/>
      <c r="W1981" s="13" t="n"/>
      <c r="X1981" s="14">
        <f>IF($AP1981="",IF($B1981="","",$H1981),IF(INDEX(職員マスタ!$B$6:$B$405,$AP1981)="",$H1981,INDEX(職員マスタ!$B$6:$B$405,$AP1981)))</f>
        <v/>
      </c>
      <c r="Y1981" s="14">
        <f>IF($AP1981="",IF($B1981="","",$R1981),IF(INDEX(職員マスタ!$C$6:$C$405,$AP1981)="",$R1981,INDEX(職員マスタ!$C$6:$C$405,$AP1981)))</f>
        <v/>
      </c>
      <c r="Z1981" s="14">
        <f>IF($AQ1981="","","R"&amp;$C1981&amp;"."&amp;$D1981)</f>
        <v/>
      </c>
      <c r="AA1981" s="15">
        <f>IF(IF($AP1981="",FALSE,INDEX(職員マスタ!$K$6:$K$405,$AP1981)&lt;&gt;""),INDEX(職員マスタ!$K$6:$K$405,$AP1981),IF(N($W1981)&gt;0,$W1981,""))</f>
        <v/>
      </c>
      <c r="AB1981" s="14">
        <f>IF(OR($E1981="",$AA1981=""),"",IF($E1981&gt;=$AA1981,"×",IF($E1981&gt;=$AA1981*設定!$C$5,"△","○")))</f>
        <v/>
      </c>
      <c r="AC1981" s="15">
        <f>IF($AB1981="","",IF($AB1981="×",0,IF($AB1981="○",ROUNDDOWN($E1981*設定!$C$4,0),ROUNDDOWN($E1981*ROUND((9*$AA1981-9*$E1981)/(10*$E1981),4),0))))</f>
        <v/>
      </c>
      <c r="AD1981" s="13" t="n"/>
      <c r="AE1981" s="15">
        <f>IF($B1981="","",IF($AD1981&lt;&gt;"",$AD1981,IF($AC1981="","",IF($AC1981&lt;=設定!$C$3,0,$AC1981))))</f>
        <v/>
      </c>
      <c r="AF1981" s="14">
        <f>IF($B1981="","",IF(AND($AG1981&lt;&gt;"",$AI1981="",$AL1981=""),"保留中",IF($AL1981&lt;&gt;"",IF(N($AE1981)&gt;0,"支給済","不支給"),IF($AE1981="","要確認",IF($AE1981=0,"不支給","未処理")))))</f>
        <v/>
      </c>
      <c r="AG1981" s="12" t="n"/>
      <c r="AH1981" s="11" t="n"/>
      <c r="AI1981" s="11" t="n"/>
      <c r="AJ1981" s="11" t="n"/>
      <c r="AK1981" s="14">
        <f>IF(AND($AF1981="保留中",$AH1981&lt;&gt;""),TODAY()-$AH1981,"")</f>
        <v/>
      </c>
      <c r="AL1981" s="12" t="n"/>
      <c r="AM1981" s="14">
        <f>IF($B1981="","",IF($AQ1981="","対象年月が未入力／","")&amp;IF($B1981="","",IF($AP1981="","職員マスタに未登録の職員番号／",IF($AA1981="","標準報酬月額が未登録／","")&amp;IF(AND($AQ1981&lt;&gt;"",OR(AND(INDEX(職員マスタ!$G$6:$G$405,$AP1981)&lt;&gt;"",INDEX(職員マスタ!$G$6:$G$405,$AP1981)&gt;EOMONTH($AQ1981,0)),AND(INDEX(職員マスタ!$H$6:$H$405,$AP1981)&lt;&gt;"",INDEX(職員マスタ!$H$6:$H$405,$AP1981)&lt;$AQ1981))),"対象月が時短期間外／","")&amp;IF(AND(INDEX(職員マスタ!$K$6:$K$405,$AP1981)&lt;&gt;"",N($W1981)&gt;0,INDEX(職員マスタ!$K$6:$K$405,$AP1981)&lt;&gt;$W1981),"標準報酬月額が申請書と相違（台帳"&amp;TEXT(INDEX(職員マスタ!$K$6:$K$405,$AP1981),"#,##0")&amp;"円／申請書"&amp;TEXT($W1981,"#,##0")&amp;"円）／","")&amp;IF(AND(INDEX(職員マスタ!$F$6:$F$405,$AP1981)&lt;&gt;"",$AQ1981&lt;&gt;"",INDEX(職員マスタ!$F$6:$F$405,$AP1981)&lt;$AQ1981),"対象月に子が2歳到達済／","")&amp;IF(AND($H1981&lt;&gt;"",INDEX(職員マスタ!$B$6:$B$405,$AP1981)&lt;&gt;"",SUBSTITUTE(SUBSTITUTE($H1981," ","")," ","")&lt;&gt;SUBSTITUTE(SUBSTITUTE(INDEX(職員マスタ!$B$6:$B$405,$AP1981)," ","")," ","")),"氏名がマスタと相違／","")&amp;IF(AND($Q1981&lt;&gt;"",INDEX(職員マスタ!$E$6:$E$405,$AP1981)&lt;&gt;"",$Q1981&lt;&gt;INDEX(職員マスタ!$E$6:$E$405,$AP1981)),"子の生年月日がマスタと相違／","")&amp;IF(AND($L1981&lt;&gt;"",INDEX(職員マスタ!$G$6:$G$405,$AP1981)&lt;&gt;"",$L1981&lt;&gt;INDEX(職員マスタ!$G$6:$G$405,$AP1981)),"時短開始日がマスタと相違／","")&amp;IF(AND($M1981&lt;&gt;"",INDEX(職員マスタ!$H$6:$H$405,$AP1981)&lt;&gt;"",$M1981&lt;&gt;INDEX(職員マスタ!$H$6:$H$405,$AP1981)),"時短終了日がマスタと相違／","")))&amp;IF(AND($B1981&lt;&gt;"",$E1981=""),"報酬額が未入力／","")&amp;IF(N($U1981)&gt;0,"申請書に入力エラーが残っています／","")&amp;IF(AND($B1981&lt;&gt;"",$AQ1981&lt;&gt;""),IF(COUNTIFS($B$6:$B$3005,$B1981,$C$6:$C$3005,$C1981,$D$6:$D$3005,$D1981)&gt;1,"同じ月の請求が重複しています／",""),"")&amp;IF(AND(N($E1981)&gt;0,$AB1981&lt;&gt;"",$AB1981&lt;&gt;"×",$AE1981=0,$AD1981=""),"計算額が下限以下のため不支給／",""))</f>
        <v/>
      </c>
      <c r="AN1981" s="12" t="n"/>
      <c r="AO1981" s="14">
        <f>IF($AF1981="保留中",COUNTIF($AF$6:$AF1981,"保留中"),"")</f>
        <v/>
      </c>
      <c r="AP1981" s="14">
        <f>IF($AQ1981="","",IF(SUMPRODUCT(MAX((職員マスタ!$A$6:$A$405=$B1981)*(((職員マスタ!$G$6:$G$405="")+(職員マスタ!$G$6:$G$405&lt;=EOMONTH($AQ1981,0)))&gt;0)*(((職員マスタ!$H$6:$H$405="")+(職員マスタ!$H$6:$H$405&gt;=$AQ1981))&gt;0)*(ROW(職員マスタ!$A$6:$A$405)-5)))&gt;0,SUMPRODUCT(MAX((職員マスタ!$A$6:$A$405=$B1981)*(((職員マスタ!$G$6:$G$405="")+(職員マスタ!$G$6:$G$405&lt;=EOMONTH($AQ1981,0)))&gt;0)*(((職員マスタ!$H$6:$H$405="")+(職員マスタ!$H$6:$H$405&gt;=$AQ1981))&gt;0)*(ROW(職員マスタ!$A$6:$A$405)-5))),IFERROR(MATCH($B1981,職員マスタ!$A$6:$A$405,0),"")))</f>
        <v/>
      </c>
      <c r="AQ1981" s="16">
        <f>IF(OR($B1981="",$C1981="",$D1981=""),"",DATE($C1981+2018,$D1981,1))</f>
        <v/>
      </c>
    </row>
    <row r="1982">
      <c r="A1982" s="11" t="n"/>
      <c r="B1982" s="12" t="n"/>
      <c r="C1982" s="12" t="n"/>
      <c r="D1982" s="12" t="n"/>
      <c r="E1982" s="13" t="n"/>
      <c r="F1982" s="12" t="n"/>
      <c r="G1982" s="13" t="n"/>
      <c r="H1982" s="12" t="n"/>
      <c r="I1982" s="12" t="n"/>
      <c r="J1982" s="12" t="n"/>
      <c r="K1982" s="12" t="n"/>
      <c r="L1982" s="11" t="n"/>
      <c r="M1982" s="11" t="n"/>
      <c r="N1982" s="11" t="n"/>
      <c r="O1982" s="11" t="n"/>
      <c r="P1982" s="12" t="n"/>
      <c r="Q1982" s="11" t="n"/>
      <c r="R1982" s="12" t="n"/>
      <c r="S1982" s="11" t="n"/>
      <c r="T1982" s="12" t="n"/>
      <c r="U1982" s="12" t="n"/>
      <c r="V1982" s="12" t="n"/>
      <c r="W1982" s="13" t="n"/>
      <c r="X1982" s="14">
        <f>IF($AP1982="",IF($B1982="","",$H1982),IF(INDEX(職員マスタ!$B$6:$B$405,$AP1982)="",$H1982,INDEX(職員マスタ!$B$6:$B$405,$AP1982)))</f>
        <v/>
      </c>
      <c r="Y1982" s="14">
        <f>IF($AP1982="",IF($B1982="","",$R1982),IF(INDEX(職員マスタ!$C$6:$C$405,$AP1982)="",$R1982,INDEX(職員マスタ!$C$6:$C$405,$AP1982)))</f>
        <v/>
      </c>
      <c r="Z1982" s="14">
        <f>IF($AQ1982="","","R"&amp;$C1982&amp;"."&amp;$D1982)</f>
        <v/>
      </c>
      <c r="AA1982" s="15">
        <f>IF(IF($AP1982="",FALSE,INDEX(職員マスタ!$K$6:$K$405,$AP1982)&lt;&gt;""),INDEX(職員マスタ!$K$6:$K$405,$AP1982),IF(N($W1982)&gt;0,$W1982,""))</f>
        <v/>
      </c>
      <c r="AB1982" s="14">
        <f>IF(OR($E1982="",$AA1982=""),"",IF($E1982&gt;=$AA1982,"×",IF($E1982&gt;=$AA1982*設定!$C$5,"△","○")))</f>
        <v/>
      </c>
      <c r="AC1982" s="15">
        <f>IF($AB1982="","",IF($AB1982="×",0,IF($AB1982="○",ROUNDDOWN($E1982*設定!$C$4,0),ROUNDDOWN($E1982*ROUND((9*$AA1982-9*$E1982)/(10*$E1982),4),0))))</f>
        <v/>
      </c>
      <c r="AD1982" s="13" t="n"/>
      <c r="AE1982" s="15">
        <f>IF($B1982="","",IF($AD1982&lt;&gt;"",$AD1982,IF($AC1982="","",IF($AC1982&lt;=設定!$C$3,0,$AC1982))))</f>
        <v/>
      </c>
      <c r="AF1982" s="14">
        <f>IF($B1982="","",IF(AND($AG1982&lt;&gt;"",$AI1982="",$AL1982=""),"保留中",IF($AL1982&lt;&gt;"",IF(N($AE1982)&gt;0,"支給済","不支給"),IF($AE1982="","要確認",IF($AE1982=0,"不支給","未処理")))))</f>
        <v/>
      </c>
      <c r="AG1982" s="12" t="n"/>
      <c r="AH1982" s="11" t="n"/>
      <c r="AI1982" s="11" t="n"/>
      <c r="AJ1982" s="11" t="n"/>
      <c r="AK1982" s="14">
        <f>IF(AND($AF1982="保留中",$AH1982&lt;&gt;""),TODAY()-$AH1982,"")</f>
        <v/>
      </c>
      <c r="AL1982" s="12" t="n"/>
      <c r="AM1982" s="14">
        <f>IF($B1982="","",IF($AQ1982="","対象年月が未入力／","")&amp;IF($B1982="","",IF($AP1982="","職員マスタに未登録の職員番号／",IF($AA1982="","標準報酬月額が未登録／","")&amp;IF(AND($AQ1982&lt;&gt;"",OR(AND(INDEX(職員マスタ!$G$6:$G$405,$AP1982)&lt;&gt;"",INDEX(職員マスタ!$G$6:$G$405,$AP1982)&gt;EOMONTH($AQ1982,0)),AND(INDEX(職員マスタ!$H$6:$H$405,$AP1982)&lt;&gt;"",INDEX(職員マスタ!$H$6:$H$405,$AP1982)&lt;$AQ1982))),"対象月が時短期間外／","")&amp;IF(AND(INDEX(職員マスタ!$K$6:$K$405,$AP1982)&lt;&gt;"",N($W1982)&gt;0,INDEX(職員マスタ!$K$6:$K$405,$AP1982)&lt;&gt;$W1982),"標準報酬月額が申請書と相違（台帳"&amp;TEXT(INDEX(職員マスタ!$K$6:$K$405,$AP1982),"#,##0")&amp;"円／申請書"&amp;TEXT($W1982,"#,##0")&amp;"円）／","")&amp;IF(AND(INDEX(職員マスタ!$F$6:$F$405,$AP1982)&lt;&gt;"",$AQ1982&lt;&gt;"",INDEX(職員マスタ!$F$6:$F$405,$AP1982)&lt;$AQ1982),"対象月に子が2歳到達済／","")&amp;IF(AND($H1982&lt;&gt;"",INDEX(職員マスタ!$B$6:$B$405,$AP1982)&lt;&gt;"",SUBSTITUTE(SUBSTITUTE($H1982," ","")," ","")&lt;&gt;SUBSTITUTE(SUBSTITUTE(INDEX(職員マスタ!$B$6:$B$405,$AP1982)," ","")," ","")),"氏名がマスタと相違／","")&amp;IF(AND($Q1982&lt;&gt;"",INDEX(職員マスタ!$E$6:$E$405,$AP1982)&lt;&gt;"",$Q1982&lt;&gt;INDEX(職員マスタ!$E$6:$E$405,$AP1982)),"子の生年月日がマスタと相違／","")&amp;IF(AND($L1982&lt;&gt;"",INDEX(職員マスタ!$G$6:$G$405,$AP1982)&lt;&gt;"",$L1982&lt;&gt;INDEX(職員マスタ!$G$6:$G$405,$AP1982)),"時短開始日がマスタと相違／","")&amp;IF(AND($M1982&lt;&gt;"",INDEX(職員マスタ!$H$6:$H$405,$AP1982)&lt;&gt;"",$M1982&lt;&gt;INDEX(職員マスタ!$H$6:$H$405,$AP1982)),"時短終了日がマスタと相違／","")))&amp;IF(AND($B1982&lt;&gt;"",$E1982=""),"報酬額が未入力／","")&amp;IF(N($U1982)&gt;0,"申請書に入力エラーが残っています／","")&amp;IF(AND($B1982&lt;&gt;"",$AQ1982&lt;&gt;""),IF(COUNTIFS($B$6:$B$3005,$B1982,$C$6:$C$3005,$C1982,$D$6:$D$3005,$D1982)&gt;1,"同じ月の請求が重複しています／",""),"")&amp;IF(AND(N($E1982)&gt;0,$AB1982&lt;&gt;"",$AB1982&lt;&gt;"×",$AE1982=0,$AD1982=""),"計算額が下限以下のため不支給／",""))</f>
        <v/>
      </c>
      <c r="AN1982" s="12" t="n"/>
      <c r="AO1982" s="14">
        <f>IF($AF1982="保留中",COUNTIF($AF$6:$AF1982,"保留中"),"")</f>
        <v/>
      </c>
      <c r="AP1982" s="14">
        <f>IF($AQ1982="","",IF(SUMPRODUCT(MAX((職員マスタ!$A$6:$A$405=$B1982)*(((職員マスタ!$G$6:$G$405="")+(職員マスタ!$G$6:$G$405&lt;=EOMONTH($AQ1982,0)))&gt;0)*(((職員マスタ!$H$6:$H$405="")+(職員マスタ!$H$6:$H$405&gt;=$AQ1982))&gt;0)*(ROW(職員マスタ!$A$6:$A$405)-5)))&gt;0,SUMPRODUCT(MAX((職員マスタ!$A$6:$A$405=$B1982)*(((職員マスタ!$G$6:$G$405="")+(職員マスタ!$G$6:$G$405&lt;=EOMONTH($AQ1982,0)))&gt;0)*(((職員マスタ!$H$6:$H$405="")+(職員マスタ!$H$6:$H$405&gt;=$AQ1982))&gt;0)*(ROW(職員マスタ!$A$6:$A$405)-5))),IFERROR(MATCH($B1982,職員マスタ!$A$6:$A$405,0),"")))</f>
        <v/>
      </c>
      <c r="AQ1982" s="16">
        <f>IF(OR($B1982="",$C1982="",$D1982=""),"",DATE($C1982+2018,$D1982,1))</f>
        <v/>
      </c>
    </row>
    <row r="1983">
      <c r="A1983" s="11" t="n"/>
      <c r="B1983" s="12" t="n"/>
      <c r="C1983" s="12" t="n"/>
      <c r="D1983" s="12" t="n"/>
      <c r="E1983" s="13" t="n"/>
      <c r="F1983" s="12" t="n"/>
      <c r="G1983" s="13" t="n"/>
      <c r="H1983" s="12" t="n"/>
      <c r="I1983" s="12" t="n"/>
      <c r="J1983" s="12" t="n"/>
      <c r="K1983" s="12" t="n"/>
      <c r="L1983" s="11" t="n"/>
      <c r="M1983" s="11" t="n"/>
      <c r="N1983" s="11" t="n"/>
      <c r="O1983" s="11" t="n"/>
      <c r="P1983" s="12" t="n"/>
      <c r="Q1983" s="11" t="n"/>
      <c r="R1983" s="12" t="n"/>
      <c r="S1983" s="11" t="n"/>
      <c r="T1983" s="12" t="n"/>
      <c r="U1983" s="12" t="n"/>
      <c r="V1983" s="12" t="n"/>
      <c r="W1983" s="13" t="n"/>
      <c r="X1983" s="14">
        <f>IF($AP1983="",IF($B1983="","",$H1983),IF(INDEX(職員マスタ!$B$6:$B$405,$AP1983)="",$H1983,INDEX(職員マスタ!$B$6:$B$405,$AP1983)))</f>
        <v/>
      </c>
      <c r="Y1983" s="14">
        <f>IF($AP1983="",IF($B1983="","",$R1983),IF(INDEX(職員マスタ!$C$6:$C$405,$AP1983)="",$R1983,INDEX(職員マスタ!$C$6:$C$405,$AP1983)))</f>
        <v/>
      </c>
      <c r="Z1983" s="14">
        <f>IF($AQ1983="","","R"&amp;$C1983&amp;"."&amp;$D1983)</f>
        <v/>
      </c>
      <c r="AA1983" s="15">
        <f>IF(IF($AP1983="",FALSE,INDEX(職員マスタ!$K$6:$K$405,$AP1983)&lt;&gt;""),INDEX(職員マスタ!$K$6:$K$405,$AP1983),IF(N($W1983)&gt;0,$W1983,""))</f>
        <v/>
      </c>
      <c r="AB1983" s="14">
        <f>IF(OR($E1983="",$AA1983=""),"",IF($E1983&gt;=$AA1983,"×",IF($E1983&gt;=$AA1983*設定!$C$5,"△","○")))</f>
        <v/>
      </c>
      <c r="AC1983" s="15">
        <f>IF($AB1983="","",IF($AB1983="×",0,IF($AB1983="○",ROUNDDOWN($E1983*設定!$C$4,0),ROUNDDOWN($E1983*ROUND((9*$AA1983-9*$E1983)/(10*$E1983),4),0))))</f>
        <v/>
      </c>
      <c r="AD1983" s="13" t="n"/>
      <c r="AE1983" s="15">
        <f>IF($B1983="","",IF($AD1983&lt;&gt;"",$AD1983,IF($AC1983="","",IF($AC1983&lt;=設定!$C$3,0,$AC1983))))</f>
        <v/>
      </c>
      <c r="AF1983" s="14">
        <f>IF($B1983="","",IF(AND($AG1983&lt;&gt;"",$AI1983="",$AL1983=""),"保留中",IF($AL1983&lt;&gt;"",IF(N($AE1983)&gt;0,"支給済","不支給"),IF($AE1983="","要確認",IF($AE1983=0,"不支給","未処理")))))</f>
        <v/>
      </c>
      <c r="AG1983" s="12" t="n"/>
      <c r="AH1983" s="11" t="n"/>
      <c r="AI1983" s="11" t="n"/>
      <c r="AJ1983" s="11" t="n"/>
      <c r="AK1983" s="14">
        <f>IF(AND($AF1983="保留中",$AH1983&lt;&gt;""),TODAY()-$AH1983,"")</f>
        <v/>
      </c>
      <c r="AL1983" s="12" t="n"/>
      <c r="AM1983" s="14">
        <f>IF($B1983="","",IF($AQ1983="","対象年月が未入力／","")&amp;IF($B1983="","",IF($AP1983="","職員マスタに未登録の職員番号／",IF($AA1983="","標準報酬月額が未登録／","")&amp;IF(AND($AQ1983&lt;&gt;"",OR(AND(INDEX(職員マスタ!$G$6:$G$405,$AP1983)&lt;&gt;"",INDEX(職員マスタ!$G$6:$G$405,$AP1983)&gt;EOMONTH($AQ1983,0)),AND(INDEX(職員マスタ!$H$6:$H$405,$AP1983)&lt;&gt;"",INDEX(職員マスタ!$H$6:$H$405,$AP1983)&lt;$AQ1983))),"対象月が時短期間外／","")&amp;IF(AND(INDEX(職員マスタ!$K$6:$K$405,$AP1983)&lt;&gt;"",N($W1983)&gt;0,INDEX(職員マスタ!$K$6:$K$405,$AP1983)&lt;&gt;$W1983),"標準報酬月額が申請書と相違（台帳"&amp;TEXT(INDEX(職員マスタ!$K$6:$K$405,$AP1983),"#,##0")&amp;"円／申請書"&amp;TEXT($W1983,"#,##0")&amp;"円）／","")&amp;IF(AND(INDEX(職員マスタ!$F$6:$F$405,$AP1983)&lt;&gt;"",$AQ1983&lt;&gt;"",INDEX(職員マスタ!$F$6:$F$405,$AP1983)&lt;$AQ1983),"対象月に子が2歳到達済／","")&amp;IF(AND($H1983&lt;&gt;"",INDEX(職員マスタ!$B$6:$B$405,$AP1983)&lt;&gt;"",SUBSTITUTE(SUBSTITUTE($H1983," ","")," ","")&lt;&gt;SUBSTITUTE(SUBSTITUTE(INDEX(職員マスタ!$B$6:$B$405,$AP1983)," ","")," ","")),"氏名がマスタと相違／","")&amp;IF(AND($Q1983&lt;&gt;"",INDEX(職員マスタ!$E$6:$E$405,$AP1983)&lt;&gt;"",$Q1983&lt;&gt;INDEX(職員マスタ!$E$6:$E$405,$AP1983)),"子の生年月日がマスタと相違／","")&amp;IF(AND($L1983&lt;&gt;"",INDEX(職員マスタ!$G$6:$G$405,$AP1983)&lt;&gt;"",$L1983&lt;&gt;INDEX(職員マスタ!$G$6:$G$405,$AP1983)),"時短開始日がマスタと相違／","")&amp;IF(AND($M1983&lt;&gt;"",INDEX(職員マスタ!$H$6:$H$405,$AP1983)&lt;&gt;"",$M1983&lt;&gt;INDEX(職員マスタ!$H$6:$H$405,$AP1983)),"時短終了日がマスタと相違／","")))&amp;IF(AND($B1983&lt;&gt;"",$E1983=""),"報酬額が未入力／","")&amp;IF(N($U1983)&gt;0,"申請書に入力エラーが残っています／","")&amp;IF(AND($B1983&lt;&gt;"",$AQ1983&lt;&gt;""),IF(COUNTIFS($B$6:$B$3005,$B1983,$C$6:$C$3005,$C1983,$D$6:$D$3005,$D1983)&gt;1,"同じ月の請求が重複しています／",""),"")&amp;IF(AND(N($E1983)&gt;0,$AB1983&lt;&gt;"",$AB1983&lt;&gt;"×",$AE1983=0,$AD1983=""),"計算額が下限以下のため不支給／",""))</f>
        <v/>
      </c>
      <c r="AN1983" s="12" t="n"/>
      <c r="AO1983" s="14">
        <f>IF($AF1983="保留中",COUNTIF($AF$6:$AF1983,"保留中"),"")</f>
        <v/>
      </c>
      <c r="AP1983" s="14">
        <f>IF($AQ1983="","",IF(SUMPRODUCT(MAX((職員マスタ!$A$6:$A$405=$B1983)*(((職員マスタ!$G$6:$G$405="")+(職員マスタ!$G$6:$G$405&lt;=EOMONTH($AQ1983,0)))&gt;0)*(((職員マスタ!$H$6:$H$405="")+(職員マスタ!$H$6:$H$405&gt;=$AQ1983))&gt;0)*(ROW(職員マスタ!$A$6:$A$405)-5)))&gt;0,SUMPRODUCT(MAX((職員マスタ!$A$6:$A$405=$B1983)*(((職員マスタ!$G$6:$G$405="")+(職員マスタ!$G$6:$G$405&lt;=EOMONTH($AQ1983,0)))&gt;0)*(((職員マスタ!$H$6:$H$405="")+(職員マスタ!$H$6:$H$405&gt;=$AQ1983))&gt;0)*(ROW(職員マスタ!$A$6:$A$405)-5))),IFERROR(MATCH($B1983,職員マスタ!$A$6:$A$405,0),"")))</f>
        <v/>
      </c>
      <c r="AQ1983" s="16">
        <f>IF(OR($B1983="",$C1983="",$D1983=""),"",DATE($C1983+2018,$D1983,1))</f>
        <v/>
      </c>
    </row>
    <row r="1984">
      <c r="A1984" s="11" t="n"/>
      <c r="B1984" s="12" t="n"/>
      <c r="C1984" s="12" t="n"/>
      <c r="D1984" s="12" t="n"/>
      <c r="E1984" s="13" t="n"/>
      <c r="F1984" s="12" t="n"/>
      <c r="G1984" s="13" t="n"/>
      <c r="H1984" s="12" t="n"/>
      <c r="I1984" s="12" t="n"/>
      <c r="J1984" s="12" t="n"/>
      <c r="K1984" s="12" t="n"/>
      <c r="L1984" s="11" t="n"/>
      <c r="M1984" s="11" t="n"/>
      <c r="N1984" s="11" t="n"/>
      <c r="O1984" s="11" t="n"/>
      <c r="P1984" s="12" t="n"/>
      <c r="Q1984" s="11" t="n"/>
      <c r="R1984" s="12" t="n"/>
      <c r="S1984" s="11" t="n"/>
      <c r="T1984" s="12" t="n"/>
      <c r="U1984" s="12" t="n"/>
      <c r="V1984" s="12" t="n"/>
      <c r="W1984" s="13" t="n"/>
      <c r="X1984" s="14">
        <f>IF($AP1984="",IF($B1984="","",$H1984),IF(INDEX(職員マスタ!$B$6:$B$405,$AP1984)="",$H1984,INDEX(職員マスタ!$B$6:$B$405,$AP1984)))</f>
        <v/>
      </c>
      <c r="Y1984" s="14">
        <f>IF($AP1984="",IF($B1984="","",$R1984),IF(INDEX(職員マスタ!$C$6:$C$405,$AP1984)="",$R1984,INDEX(職員マスタ!$C$6:$C$405,$AP1984)))</f>
        <v/>
      </c>
      <c r="Z1984" s="14">
        <f>IF($AQ1984="","","R"&amp;$C1984&amp;"."&amp;$D1984)</f>
        <v/>
      </c>
      <c r="AA1984" s="15">
        <f>IF(IF($AP1984="",FALSE,INDEX(職員マスタ!$K$6:$K$405,$AP1984)&lt;&gt;""),INDEX(職員マスタ!$K$6:$K$405,$AP1984),IF(N($W1984)&gt;0,$W1984,""))</f>
        <v/>
      </c>
      <c r="AB1984" s="14">
        <f>IF(OR($E1984="",$AA1984=""),"",IF($E1984&gt;=$AA1984,"×",IF($E1984&gt;=$AA1984*設定!$C$5,"△","○")))</f>
        <v/>
      </c>
      <c r="AC1984" s="15">
        <f>IF($AB1984="","",IF($AB1984="×",0,IF($AB1984="○",ROUNDDOWN($E1984*設定!$C$4,0),ROUNDDOWN($E1984*ROUND((9*$AA1984-9*$E1984)/(10*$E1984),4),0))))</f>
        <v/>
      </c>
      <c r="AD1984" s="13" t="n"/>
      <c r="AE1984" s="15">
        <f>IF($B1984="","",IF($AD1984&lt;&gt;"",$AD1984,IF($AC1984="","",IF($AC1984&lt;=設定!$C$3,0,$AC1984))))</f>
        <v/>
      </c>
      <c r="AF1984" s="14">
        <f>IF($B1984="","",IF(AND($AG1984&lt;&gt;"",$AI1984="",$AL1984=""),"保留中",IF($AL1984&lt;&gt;"",IF(N($AE1984)&gt;0,"支給済","不支給"),IF($AE1984="","要確認",IF($AE1984=0,"不支給","未処理")))))</f>
        <v/>
      </c>
      <c r="AG1984" s="12" t="n"/>
      <c r="AH1984" s="11" t="n"/>
      <c r="AI1984" s="11" t="n"/>
      <c r="AJ1984" s="11" t="n"/>
      <c r="AK1984" s="14">
        <f>IF(AND($AF1984="保留中",$AH1984&lt;&gt;""),TODAY()-$AH1984,"")</f>
        <v/>
      </c>
      <c r="AL1984" s="12" t="n"/>
      <c r="AM1984" s="14">
        <f>IF($B1984="","",IF($AQ1984="","対象年月が未入力／","")&amp;IF($B1984="","",IF($AP1984="","職員マスタに未登録の職員番号／",IF($AA1984="","標準報酬月額が未登録／","")&amp;IF(AND($AQ1984&lt;&gt;"",OR(AND(INDEX(職員マスタ!$G$6:$G$405,$AP1984)&lt;&gt;"",INDEX(職員マスタ!$G$6:$G$405,$AP1984)&gt;EOMONTH($AQ1984,0)),AND(INDEX(職員マスタ!$H$6:$H$405,$AP1984)&lt;&gt;"",INDEX(職員マスタ!$H$6:$H$405,$AP1984)&lt;$AQ1984))),"対象月が時短期間外／","")&amp;IF(AND(INDEX(職員マスタ!$K$6:$K$405,$AP1984)&lt;&gt;"",N($W1984)&gt;0,INDEX(職員マスタ!$K$6:$K$405,$AP1984)&lt;&gt;$W1984),"標準報酬月額が申請書と相違（台帳"&amp;TEXT(INDEX(職員マスタ!$K$6:$K$405,$AP1984),"#,##0")&amp;"円／申請書"&amp;TEXT($W1984,"#,##0")&amp;"円）／","")&amp;IF(AND(INDEX(職員マスタ!$F$6:$F$405,$AP1984)&lt;&gt;"",$AQ1984&lt;&gt;"",INDEX(職員マスタ!$F$6:$F$405,$AP1984)&lt;$AQ1984),"対象月に子が2歳到達済／","")&amp;IF(AND($H1984&lt;&gt;"",INDEX(職員マスタ!$B$6:$B$405,$AP1984)&lt;&gt;"",SUBSTITUTE(SUBSTITUTE($H1984," ","")," ","")&lt;&gt;SUBSTITUTE(SUBSTITUTE(INDEX(職員マスタ!$B$6:$B$405,$AP1984)," ","")," ","")),"氏名がマスタと相違／","")&amp;IF(AND($Q1984&lt;&gt;"",INDEX(職員マスタ!$E$6:$E$405,$AP1984)&lt;&gt;"",$Q1984&lt;&gt;INDEX(職員マスタ!$E$6:$E$405,$AP1984)),"子の生年月日がマスタと相違／","")&amp;IF(AND($L1984&lt;&gt;"",INDEX(職員マスタ!$G$6:$G$405,$AP1984)&lt;&gt;"",$L1984&lt;&gt;INDEX(職員マスタ!$G$6:$G$405,$AP1984)),"時短開始日がマスタと相違／","")&amp;IF(AND($M1984&lt;&gt;"",INDEX(職員マスタ!$H$6:$H$405,$AP1984)&lt;&gt;"",$M1984&lt;&gt;INDEX(職員マスタ!$H$6:$H$405,$AP1984)),"時短終了日がマスタと相違／","")))&amp;IF(AND($B1984&lt;&gt;"",$E1984=""),"報酬額が未入力／","")&amp;IF(N($U1984)&gt;0,"申請書に入力エラーが残っています／","")&amp;IF(AND($B1984&lt;&gt;"",$AQ1984&lt;&gt;""),IF(COUNTIFS($B$6:$B$3005,$B1984,$C$6:$C$3005,$C1984,$D$6:$D$3005,$D1984)&gt;1,"同じ月の請求が重複しています／",""),"")&amp;IF(AND(N($E1984)&gt;0,$AB1984&lt;&gt;"",$AB1984&lt;&gt;"×",$AE1984=0,$AD1984=""),"計算額が下限以下のため不支給／",""))</f>
        <v/>
      </c>
      <c r="AN1984" s="12" t="n"/>
      <c r="AO1984" s="14">
        <f>IF($AF1984="保留中",COUNTIF($AF$6:$AF1984,"保留中"),"")</f>
        <v/>
      </c>
      <c r="AP1984" s="14">
        <f>IF($AQ1984="","",IF(SUMPRODUCT(MAX((職員マスタ!$A$6:$A$405=$B1984)*(((職員マスタ!$G$6:$G$405="")+(職員マスタ!$G$6:$G$405&lt;=EOMONTH($AQ1984,0)))&gt;0)*(((職員マスタ!$H$6:$H$405="")+(職員マスタ!$H$6:$H$405&gt;=$AQ1984))&gt;0)*(ROW(職員マスタ!$A$6:$A$405)-5)))&gt;0,SUMPRODUCT(MAX((職員マスタ!$A$6:$A$405=$B1984)*(((職員マスタ!$G$6:$G$405="")+(職員マスタ!$G$6:$G$405&lt;=EOMONTH($AQ1984,0)))&gt;0)*(((職員マスタ!$H$6:$H$405="")+(職員マスタ!$H$6:$H$405&gt;=$AQ1984))&gt;0)*(ROW(職員マスタ!$A$6:$A$405)-5))),IFERROR(MATCH($B1984,職員マスタ!$A$6:$A$405,0),"")))</f>
        <v/>
      </c>
      <c r="AQ1984" s="16">
        <f>IF(OR($B1984="",$C1984="",$D1984=""),"",DATE($C1984+2018,$D1984,1))</f>
        <v/>
      </c>
    </row>
    <row r="1985">
      <c r="A1985" s="11" t="n"/>
      <c r="B1985" s="12" t="n"/>
      <c r="C1985" s="12" t="n"/>
      <c r="D1985" s="12" t="n"/>
      <c r="E1985" s="13" t="n"/>
      <c r="F1985" s="12" t="n"/>
      <c r="G1985" s="13" t="n"/>
      <c r="H1985" s="12" t="n"/>
      <c r="I1985" s="12" t="n"/>
      <c r="J1985" s="12" t="n"/>
      <c r="K1985" s="12" t="n"/>
      <c r="L1985" s="11" t="n"/>
      <c r="M1985" s="11" t="n"/>
      <c r="N1985" s="11" t="n"/>
      <c r="O1985" s="11" t="n"/>
      <c r="P1985" s="12" t="n"/>
      <c r="Q1985" s="11" t="n"/>
      <c r="R1985" s="12" t="n"/>
      <c r="S1985" s="11" t="n"/>
      <c r="T1985" s="12" t="n"/>
      <c r="U1985" s="12" t="n"/>
      <c r="V1985" s="12" t="n"/>
      <c r="W1985" s="13" t="n"/>
      <c r="X1985" s="14">
        <f>IF($AP1985="",IF($B1985="","",$H1985),IF(INDEX(職員マスタ!$B$6:$B$405,$AP1985)="",$H1985,INDEX(職員マスタ!$B$6:$B$405,$AP1985)))</f>
        <v/>
      </c>
      <c r="Y1985" s="14">
        <f>IF($AP1985="",IF($B1985="","",$R1985),IF(INDEX(職員マスタ!$C$6:$C$405,$AP1985)="",$R1985,INDEX(職員マスタ!$C$6:$C$405,$AP1985)))</f>
        <v/>
      </c>
      <c r="Z1985" s="14">
        <f>IF($AQ1985="","","R"&amp;$C1985&amp;"."&amp;$D1985)</f>
        <v/>
      </c>
      <c r="AA1985" s="15">
        <f>IF(IF($AP1985="",FALSE,INDEX(職員マスタ!$K$6:$K$405,$AP1985)&lt;&gt;""),INDEX(職員マスタ!$K$6:$K$405,$AP1985),IF(N($W1985)&gt;0,$W1985,""))</f>
        <v/>
      </c>
      <c r="AB1985" s="14">
        <f>IF(OR($E1985="",$AA1985=""),"",IF($E1985&gt;=$AA1985,"×",IF($E1985&gt;=$AA1985*設定!$C$5,"△","○")))</f>
        <v/>
      </c>
      <c r="AC1985" s="15">
        <f>IF($AB1985="","",IF($AB1985="×",0,IF($AB1985="○",ROUNDDOWN($E1985*設定!$C$4,0),ROUNDDOWN($E1985*ROUND((9*$AA1985-9*$E1985)/(10*$E1985),4),0))))</f>
        <v/>
      </c>
      <c r="AD1985" s="13" t="n"/>
      <c r="AE1985" s="15">
        <f>IF($B1985="","",IF($AD1985&lt;&gt;"",$AD1985,IF($AC1985="","",IF($AC1985&lt;=設定!$C$3,0,$AC1985))))</f>
        <v/>
      </c>
      <c r="AF1985" s="14">
        <f>IF($B1985="","",IF(AND($AG1985&lt;&gt;"",$AI1985="",$AL1985=""),"保留中",IF($AL1985&lt;&gt;"",IF(N($AE1985)&gt;0,"支給済","不支給"),IF($AE1985="","要確認",IF($AE1985=0,"不支給","未処理")))))</f>
        <v/>
      </c>
      <c r="AG1985" s="12" t="n"/>
      <c r="AH1985" s="11" t="n"/>
      <c r="AI1985" s="11" t="n"/>
      <c r="AJ1985" s="11" t="n"/>
      <c r="AK1985" s="14">
        <f>IF(AND($AF1985="保留中",$AH1985&lt;&gt;""),TODAY()-$AH1985,"")</f>
        <v/>
      </c>
      <c r="AL1985" s="12" t="n"/>
      <c r="AM1985" s="14">
        <f>IF($B1985="","",IF($AQ1985="","対象年月が未入力／","")&amp;IF($B1985="","",IF($AP1985="","職員マスタに未登録の職員番号／",IF($AA1985="","標準報酬月額が未登録／","")&amp;IF(AND($AQ1985&lt;&gt;"",OR(AND(INDEX(職員マスタ!$G$6:$G$405,$AP1985)&lt;&gt;"",INDEX(職員マスタ!$G$6:$G$405,$AP1985)&gt;EOMONTH($AQ1985,0)),AND(INDEX(職員マスタ!$H$6:$H$405,$AP1985)&lt;&gt;"",INDEX(職員マスタ!$H$6:$H$405,$AP1985)&lt;$AQ1985))),"対象月が時短期間外／","")&amp;IF(AND(INDEX(職員マスタ!$K$6:$K$405,$AP1985)&lt;&gt;"",N($W1985)&gt;0,INDEX(職員マスタ!$K$6:$K$405,$AP1985)&lt;&gt;$W1985),"標準報酬月額が申請書と相違（台帳"&amp;TEXT(INDEX(職員マスタ!$K$6:$K$405,$AP1985),"#,##0")&amp;"円／申請書"&amp;TEXT($W1985,"#,##0")&amp;"円）／","")&amp;IF(AND(INDEX(職員マスタ!$F$6:$F$405,$AP1985)&lt;&gt;"",$AQ1985&lt;&gt;"",INDEX(職員マスタ!$F$6:$F$405,$AP1985)&lt;$AQ1985),"対象月に子が2歳到達済／","")&amp;IF(AND($H1985&lt;&gt;"",INDEX(職員マスタ!$B$6:$B$405,$AP1985)&lt;&gt;"",SUBSTITUTE(SUBSTITUTE($H1985," ","")," ","")&lt;&gt;SUBSTITUTE(SUBSTITUTE(INDEX(職員マスタ!$B$6:$B$405,$AP1985)," ","")," ","")),"氏名がマスタと相違／","")&amp;IF(AND($Q1985&lt;&gt;"",INDEX(職員マスタ!$E$6:$E$405,$AP1985)&lt;&gt;"",$Q1985&lt;&gt;INDEX(職員マスタ!$E$6:$E$405,$AP1985)),"子の生年月日がマスタと相違／","")&amp;IF(AND($L1985&lt;&gt;"",INDEX(職員マスタ!$G$6:$G$405,$AP1985)&lt;&gt;"",$L1985&lt;&gt;INDEX(職員マスタ!$G$6:$G$405,$AP1985)),"時短開始日がマスタと相違／","")&amp;IF(AND($M1985&lt;&gt;"",INDEX(職員マスタ!$H$6:$H$405,$AP1985)&lt;&gt;"",$M1985&lt;&gt;INDEX(職員マスタ!$H$6:$H$405,$AP1985)),"時短終了日がマスタと相違／","")))&amp;IF(AND($B1985&lt;&gt;"",$E1985=""),"報酬額が未入力／","")&amp;IF(N($U1985)&gt;0,"申請書に入力エラーが残っています／","")&amp;IF(AND($B1985&lt;&gt;"",$AQ1985&lt;&gt;""),IF(COUNTIFS($B$6:$B$3005,$B1985,$C$6:$C$3005,$C1985,$D$6:$D$3005,$D1985)&gt;1,"同じ月の請求が重複しています／",""),"")&amp;IF(AND(N($E1985)&gt;0,$AB1985&lt;&gt;"",$AB1985&lt;&gt;"×",$AE1985=0,$AD1985=""),"計算額が下限以下のため不支給／",""))</f>
        <v/>
      </c>
      <c r="AN1985" s="12" t="n"/>
      <c r="AO1985" s="14">
        <f>IF($AF1985="保留中",COUNTIF($AF$6:$AF1985,"保留中"),"")</f>
        <v/>
      </c>
      <c r="AP1985" s="14">
        <f>IF($AQ1985="","",IF(SUMPRODUCT(MAX((職員マスタ!$A$6:$A$405=$B1985)*(((職員マスタ!$G$6:$G$405="")+(職員マスタ!$G$6:$G$405&lt;=EOMONTH($AQ1985,0)))&gt;0)*(((職員マスタ!$H$6:$H$405="")+(職員マスタ!$H$6:$H$405&gt;=$AQ1985))&gt;0)*(ROW(職員マスタ!$A$6:$A$405)-5)))&gt;0,SUMPRODUCT(MAX((職員マスタ!$A$6:$A$405=$B1985)*(((職員マスタ!$G$6:$G$405="")+(職員マスタ!$G$6:$G$405&lt;=EOMONTH($AQ1985,0)))&gt;0)*(((職員マスタ!$H$6:$H$405="")+(職員マスタ!$H$6:$H$405&gt;=$AQ1985))&gt;0)*(ROW(職員マスタ!$A$6:$A$405)-5))),IFERROR(MATCH($B1985,職員マスタ!$A$6:$A$405,0),"")))</f>
        <v/>
      </c>
      <c r="AQ1985" s="16">
        <f>IF(OR($B1985="",$C1985="",$D1985=""),"",DATE($C1985+2018,$D1985,1))</f>
        <v/>
      </c>
    </row>
    <row r="1986">
      <c r="A1986" s="11" t="n"/>
      <c r="B1986" s="12" t="n"/>
      <c r="C1986" s="12" t="n"/>
      <c r="D1986" s="12" t="n"/>
      <c r="E1986" s="13" t="n"/>
      <c r="F1986" s="12" t="n"/>
      <c r="G1986" s="13" t="n"/>
      <c r="H1986" s="12" t="n"/>
      <c r="I1986" s="12" t="n"/>
      <c r="J1986" s="12" t="n"/>
      <c r="K1986" s="12" t="n"/>
      <c r="L1986" s="11" t="n"/>
      <c r="M1986" s="11" t="n"/>
      <c r="N1986" s="11" t="n"/>
      <c r="O1986" s="11" t="n"/>
      <c r="P1986" s="12" t="n"/>
      <c r="Q1986" s="11" t="n"/>
      <c r="R1986" s="12" t="n"/>
      <c r="S1986" s="11" t="n"/>
      <c r="T1986" s="12" t="n"/>
      <c r="U1986" s="12" t="n"/>
      <c r="V1986" s="12" t="n"/>
      <c r="W1986" s="13" t="n"/>
      <c r="X1986" s="14">
        <f>IF($AP1986="",IF($B1986="","",$H1986),IF(INDEX(職員マスタ!$B$6:$B$405,$AP1986)="",$H1986,INDEX(職員マスタ!$B$6:$B$405,$AP1986)))</f>
        <v/>
      </c>
      <c r="Y1986" s="14">
        <f>IF($AP1986="",IF($B1986="","",$R1986),IF(INDEX(職員マスタ!$C$6:$C$405,$AP1986)="",$R1986,INDEX(職員マスタ!$C$6:$C$405,$AP1986)))</f>
        <v/>
      </c>
      <c r="Z1986" s="14">
        <f>IF($AQ1986="","","R"&amp;$C1986&amp;"."&amp;$D1986)</f>
        <v/>
      </c>
      <c r="AA1986" s="15">
        <f>IF(IF($AP1986="",FALSE,INDEX(職員マスタ!$K$6:$K$405,$AP1986)&lt;&gt;""),INDEX(職員マスタ!$K$6:$K$405,$AP1986),IF(N($W1986)&gt;0,$W1986,""))</f>
        <v/>
      </c>
      <c r="AB1986" s="14">
        <f>IF(OR($E1986="",$AA1986=""),"",IF($E1986&gt;=$AA1986,"×",IF($E1986&gt;=$AA1986*設定!$C$5,"△","○")))</f>
        <v/>
      </c>
      <c r="AC1986" s="15">
        <f>IF($AB1986="","",IF($AB1986="×",0,IF($AB1986="○",ROUNDDOWN($E1986*設定!$C$4,0),ROUNDDOWN($E1986*ROUND((9*$AA1986-9*$E1986)/(10*$E1986),4),0))))</f>
        <v/>
      </c>
      <c r="AD1986" s="13" t="n"/>
      <c r="AE1986" s="15">
        <f>IF($B1986="","",IF($AD1986&lt;&gt;"",$AD1986,IF($AC1986="","",IF($AC1986&lt;=設定!$C$3,0,$AC1986))))</f>
        <v/>
      </c>
      <c r="AF1986" s="14">
        <f>IF($B1986="","",IF(AND($AG1986&lt;&gt;"",$AI1986="",$AL1986=""),"保留中",IF($AL1986&lt;&gt;"",IF(N($AE1986)&gt;0,"支給済","不支給"),IF($AE1986="","要確認",IF($AE1986=0,"不支給","未処理")))))</f>
        <v/>
      </c>
      <c r="AG1986" s="12" t="n"/>
      <c r="AH1986" s="11" t="n"/>
      <c r="AI1986" s="11" t="n"/>
      <c r="AJ1986" s="11" t="n"/>
      <c r="AK1986" s="14">
        <f>IF(AND($AF1986="保留中",$AH1986&lt;&gt;""),TODAY()-$AH1986,"")</f>
        <v/>
      </c>
      <c r="AL1986" s="12" t="n"/>
      <c r="AM1986" s="14">
        <f>IF($B1986="","",IF($AQ1986="","対象年月が未入力／","")&amp;IF($B1986="","",IF($AP1986="","職員マスタに未登録の職員番号／",IF($AA1986="","標準報酬月額が未登録／","")&amp;IF(AND($AQ1986&lt;&gt;"",OR(AND(INDEX(職員マスタ!$G$6:$G$405,$AP1986)&lt;&gt;"",INDEX(職員マスタ!$G$6:$G$405,$AP1986)&gt;EOMONTH($AQ1986,0)),AND(INDEX(職員マスタ!$H$6:$H$405,$AP1986)&lt;&gt;"",INDEX(職員マスタ!$H$6:$H$405,$AP1986)&lt;$AQ1986))),"対象月が時短期間外／","")&amp;IF(AND(INDEX(職員マスタ!$K$6:$K$405,$AP1986)&lt;&gt;"",N($W1986)&gt;0,INDEX(職員マスタ!$K$6:$K$405,$AP1986)&lt;&gt;$W1986),"標準報酬月額が申請書と相違（台帳"&amp;TEXT(INDEX(職員マスタ!$K$6:$K$405,$AP1986),"#,##0")&amp;"円／申請書"&amp;TEXT($W1986,"#,##0")&amp;"円）／","")&amp;IF(AND(INDEX(職員マスタ!$F$6:$F$405,$AP1986)&lt;&gt;"",$AQ1986&lt;&gt;"",INDEX(職員マスタ!$F$6:$F$405,$AP1986)&lt;$AQ1986),"対象月に子が2歳到達済／","")&amp;IF(AND($H1986&lt;&gt;"",INDEX(職員マスタ!$B$6:$B$405,$AP1986)&lt;&gt;"",SUBSTITUTE(SUBSTITUTE($H1986," ","")," ","")&lt;&gt;SUBSTITUTE(SUBSTITUTE(INDEX(職員マスタ!$B$6:$B$405,$AP1986)," ","")," ","")),"氏名がマスタと相違／","")&amp;IF(AND($Q1986&lt;&gt;"",INDEX(職員マスタ!$E$6:$E$405,$AP1986)&lt;&gt;"",$Q1986&lt;&gt;INDEX(職員マスタ!$E$6:$E$405,$AP1986)),"子の生年月日がマスタと相違／","")&amp;IF(AND($L1986&lt;&gt;"",INDEX(職員マスタ!$G$6:$G$405,$AP1986)&lt;&gt;"",$L1986&lt;&gt;INDEX(職員マスタ!$G$6:$G$405,$AP1986)),"時短開始日がマスタと相違／","")&amp;IF(AND($M1986&lt;&gt;"",INDEX(職員マスタ!$H$6:$H$405,$AP1986)&lt;&gt;"",$M1986&lt;&gt;INDEX(職員マスタ!$H$6:$H$405,$AP1986)),"時短終了日がマスタと相違／","")))&amp;IF(AND($B1986&lt;&gt;"",$E1986=""),"報酬額が未入力／","")&amp;IF(N($U1986)&gt;0,"申請書に入力エラーが残っています／","")&amp;IF(AND($B1986&lt;&gt;"",$AQ1986&lt;&gt;""),IF(COUNTIFS($B$6:$B$3005,$B1986,$C$6:$C$3005,$C1986,$D$6:$D$3005,$D1986)&gt;1,"同じ月の請求が重複しています／",""),"")&amp;IF(AND(N($E1986)&gt;0,$AB1986&lt;&gt;"",$AB1986&lt;&gt;"×",$AE1986=0,$AD1986=""),"計算額が下限以下のため不支給／",""))</f>
        <v/>
      </c>
      <c r="AN1986" s="12" t="n"/>
      <c r="AO1986" s="14">
        <f>IF($AF1986="保留中",COUNTIF($AF$6:$AF1986,"保留中"),"")</f>
        <v/>
      </c>
      <c r="AP1986" s="14">
        <f>IF($AQ1986="","",IF(SUMPRODUCT(MAX((職員マスタ!$A$6:$A$405=$B1986)*(((職員マスタ!$G$6:$G$405="")+(職員マスタ!$G$6:$G$405&lt;=EOMONTH($AQ1986,0)))&gt;0)*(((職員マスタ!$H$6:$H$405="")+(職員マスタ!$H$6:$H$405&gt;=$AQ1986))&gt;0)*(ROW(職員マスタ!$A$6:$A$405)-5)))&gt;0,SUMPRODUCT(MAX((職員マスタ!$A$6:$A$405=$B1986)*(((職員マスタ!$G$6:$G$405="")+(職員マスタ!$G$6:$G$405&lt;=EOMONTH($AQ1986,0)))&gt;0)*(((職員マスタ!$H$6:$H$405="")+(職員マスタ!$H$6:$H$405&gt;=$AQ1986))&gt;0)*(ROW(職員マスタ!$A$6:$A$405)-5))),IFERROR(MATCH($B1986,職員マスタ!$A$6:$A$405,0),"")))</f>
        <v/>
      </c>
      <c r="AQ1986" s="16">
        <f>IF(OR($B1986="",$C1986="",$D1986=""),"",DATE($C1986+2018,$D1986,1))</f>
        <v/>
      </c>
    </row>
    <row r="1987">
      <c r="A1987" s="11" t="n"/>
      <c r="B1987" s="12" t="n"/>
      <c r="C1987" s="12" t="n"/>
      <c r="D1987" s="12" t="n"/>
      <c r="E1987" s="13" t="n"/>
      <c r="F1987" s="12" t="n"/>
      <c r="G1987" s="13" t="n"/>
      <c r="H1987" s="12" t="n"/>
      <c r="I1987" s="12" t="n"/>
      <c r="J1987" s="12" t="n"/>
      <c r="K1987" s="12" t="n"/>
      <c r="L1987" s="11" t="n"/>
      <c r="M1987" s="11" t="n"/>
      <c r="N1987" s="11" t="n"/>
      <c r="O1987" s="11" t="n"/>
      <c r="P1987" s="12" t="n"/>
      <c r="Q1987" s="11" t="n"/>
      <c r="R1987" s="12" t="n"/>
      <c r="S1987" s="11" t="n"/>
      <c r="T1987" s="12" t="n"/>
      <c r="U1987" s="12" t="n"/>
      <c r="V1987" s="12" t="n"/>
      <c r="W1987" s="13" t="n"/>
      <c r="X1987" s="14">
        <f>IF($AP1987="",IF($B1987="","",$H1987),IF(INDEX(職員マスタ!$B$6:$B$405,$AP1987)="",$H1987,INDEX(職員マスタ!$B$6:$B$405,$AP1987)))</f>
        <v/>
      </c>
      <c r="Y1987" s="14">
        <f>IF($AP1987="",IF($B1987="","",$R1987),IF(INDEX(職員マスタ!$C$6:$C$405,$AP1987)="",$R1987,INDEX(職員マスタ!$C$6:$C$405,$AP1987)))</f>
        <v/>
      </c>
      <c r="Z1987" s="14">
        <f>IF($AQ1987="","","R"&amp;$C1987&amp;"."&amp;$D1987)</f>
        <v/>
      </c>
      <c r="AA1987" s="15">
        <f>IF(IF($AP1987="",FALSE,INDEX(職員マスタ!$K$6:$K$405,$AP1987)&lt;&gt;""),INDEX(職員マスタ!$K$6:$K$405,$AP1987),IF(N($W1987)&gt;0,$W1987,""))</f>
        <v/>
      </c>
      <c r="AB1987" s="14">
        <f>IF(OR($E1987="",$AA1987=""),"",IF($E1987&gt;=$AA1987,"×",IF($E1987&gt;=$AA1987*設定!$C$5,"△","○")))</f>
        <v/>
      </c>
      <c r="AC1987" s="15">
        <f>IF($AB1987="","",IF($AB1987="×",0,IF($AB1987="○",ROUNDDOWN($E1987*設定!$C$4,0),ROUNDDOWN($E1987*ROUND((9*$AA1987-9*$E1987)/(10*$E1987),4),0))))</f>
        <v/>
      </c>
      <c r="AD1987" s="13" t="n"/>
      <c r="AE1987" s="15">
        <f>IF($B1987="","",IF($AD1987&lt;&gt;"",$AD1987,IF($AC1987="","",IF($AC1987&lt;=設定!$C$3,0,$AC1987))))</f>
        <v/>
      </c>
      <c r="AF1987" s="14">
        <f>IF($B1987="","",IF(AND($AG1987&lt;&gt;"",$AI1987="",$AL1987=""),"保留中",IF($AL1987&lt;&gt;"",IF(N($AE1987)&gt;0,"支給済","不支給"),IF($AE1987="","要確認",IF($AE1987=0,"不支給","未処理")))))</f>
        <v/>
      </c>
      <c r="AG1987" s="12" t="n"/>
      <c r="AH1987" s="11" t="n"/>
      <c r="AI1987" s="11" t="n"/>
      <c r="AJ1987" s="11" t="n"/>
      <c r="AK1987" s="14">
        <f>IF(AND($AF1987="保留中",$AH1987&lt;&gt;""),TODAY()-$AH1987,"")</f>
        <v/>
      </c>
      <c r="AL1987" s="12" t="n"/>
      <c r="AM1987" s="14">
        <f>IF($B1987="","",IF($AQ1987="","対象年月が未入力／","")&amp;IF($B1987="","",IF($AP1987="","職員マスタに未登録の職員番号／",IF($AA1987="","標準報酬月額が未登録／","")&amp;IF(AND($AQ1987&lt;&gt;"",OR(AND(INDEX(職員マスタ!$G$6:$G$405,$AP1987)&lt;&gt;"",INDEX(職員マスタ!$G$6:$G$405,$AP1987)&gt;EOMONTH($AQ1987,0)),AND(INDEX(職員マスタ!$H$6:$H$405,$AP1987)&lt;&gt;"",INDEX(職員マスタ!$H$6:$H$405,$AP1987)&lt;$AQ1987))),"対象月が時短期間外／","")&amp;IF(AND(INDEX(職員マスタ!$K$6:$K$405,$AP1987)&lt;&gt;"",N($W1987)&gt;0,INDEX(職員マスタ!$K$6:$K$405,$AP1987)&lt;&gt;$W1987),"標準報酬月額が申請書と相違（台帳"&amp;TEXT(INDEX(職員マスタ!$K$6:$K$405,$AP1987),"#,##0")&amp;"円／申請書"&amp;TEXT($W1987,"#,##0")&amp;"円）／","")&amp;IF(AND(INDEX(職員マスタ!$F$6:$F$405,$AP1987)&lt;&gt;"",$AQ1987&lt;&gt;"",INDEX(職員マスタ!$F$6:$F$405,$AP1987)&lt;$AQ1987),"対象月に子が2歳到達済／","")&amp;IF(AND($H1987&lt;&gt;"",INDEX(職員マスタ!$B$6:$B$405,$AP1987)&lt;&gt;"",SUBSTITUTE(SUBSTITUTE($H1987," ","")," ","")&lt;&gt;SUBSTITUTE(SUBSTITUTE(INDEX(職員マスタ!$B$6:$B$405,$AP1987)," ","")," ","")),"氏名がマスタと相違／","")&amp;IF(AND($Q1987&lt;&gt;"",INDEX(職員マスタ!$E$6:$E$405,$AP1987)&lt;&gt;"",$Q1987&lt;&gt;INDEX(職員マスタ!$E$6:$E$405,$AP1987)),"子の生年月日がマスタと相違／","")&amp;IF(AND($L1987&lt;&gt;"",INDEX(職員マスタ!$G$6:$G$405,$AP1987)&lt;&gt;"",$L1987&lt;&gt;INDEX(職員マスタ!$G$6:$G$405,$AP1987)),"時短開始日がマスタと相違／","")&amp;IF(AND($M1987&lt;&gt;"",INDEX(職員マスタ!$H$6:$H$405,$AP1987)&lt;&gt;"",$M1987&lt;&gt;INDEX(職員マスタ!$H$6:$H$405,$AP1987)),"時短終了日がマスタと相違／","")))&amp;IF(AND($B1987&lt;&gt;"",$E1987=""),"報酬額が未入力／","")&amp;IF(N($U1987)&gt;0,"申請書に入力エラーが残っています／","")&amp;IF(AND($B1987&lt;&gt;"",$AQ1987&lt;&gt;""),IF(COUNTIFS($B$6:$B$3005,$B1987,$C$6:$C$3005,$C1987,$D$6:$D$3005,$D1987)&gt;1,"同じ月の請求が重複しています／",""),"")&amp;IF(AND(N($E1987)&gt;0,$AB1987&lt;&gt;"",$AB1987&lt;&gt;"×",$AE1987=0,$AD1987=""),"計算額が下限以下のため不支給／",""))</f>
        <v/>
      </c>
      <c r="AN1987" s="12" t="n"/>
      <c r="AO1987" s="14">
        <f>IF($AF1987="保留中",COUNTIF($AF$6:$AF1987,"保留中"),"")</f>
        <v/>
      </c>
      <c r="AP1987" s="14">
        <f>IF($AQ1987="","",IF(SUMPRODUCT(MAX((職員マスタ!$A$6:$A$405=$B1987)*(((職員マスタ!$G$6:$G$405="")+(職員マスタ!$G$6:$G$405&lt;=EOMONTH($AQ1987,0)))&gt;0)*(((職員マスタ!$H$6:$H$405="")+(職員マスタ!$H$6:$H$405&gt;=$AQ1987))&gt;0)*(ROW(職員マスタ!$A$6:$A$405)-5)))&gt;0,SUMPRODUCT(MAX((職員マスタ!$A$6:$A$405=$B1987)*(((職員マスタ!$G$6:$G$405="")+(職員マスタ!$G$6:$G$405&lt;=EOMONTH($AQ1987,0)))&gt;0)*(((職員マスタ!$H$6:$H$405="")+(職員マスタ!$H$6:$H$405&gt;=$AQ1987))&gt;0)*(ROW(職員マスタ!$A$6:$A$405)-5))),IFERROR(MATCH($B1987,職員マスタ!$A$6:$A$405,0),"")))</f>
        <v/>
      </c>
      <c r="AQ1987" s="16">
        <f>IF(OR($B1987="",$C1987="",$D1987=""),"",DATE($C1987+2018,$D1987,1))</f>
        <v/>
      </c>
    </row>
    <row r="1988">
      <c r="A1988" s="11" t="n"/>
      <c r="B1988" s="12" t="n"/>
      <c r="C1988" s="12" t="n"/>
      <c r="D1988" s="12" t="n"/>
      <c r="E1988" s="13" t="n"/>
      <c r="F1988" s="12" t="n"/>
      <c r="G1988" s="13" t="n"/>
      <c r="H1988" s="12" t="n"/>
      <c r="I1988" s="12" t="n"/>
      <c r="J1988" s="12" t="n"/>
      <c r="K1988" s="12" t="n"/>
      <c r="L1988" s="11" t="n"/>
      <c r="M1988" s="11" t="n"/>
      <c r="N1988" s="11" t="n"/>
      <c r="O1988" s="11" t="n"/>
      <c r="P1988" s="12" t="n"/>
      <c r="Q1988" s="11" t="n"/>
      <c r="R1988" s="12" t="n"/>
      <c r="S1988" s="11" t="n"/>
      <c r="T1988" s="12" t="n"/>
      <c r="U1988" s="12" t="n"/>
      <c r="V1988" s="12" t="n"/>
      <c r="W1988" s="13" t="n"/>
      <c r="X1988" s="14">
        <f>IF($AP1988="",IF($B1988="","",$H1988),IF(INDEX(職員マスタ!$B$6:$B$405,$AP1988)="",$H1988,INDEX(職員マスタ!$B$6:$B$405,$AP1988)))</f>
        <v/>
      </c>
      <c r="Y1988" s="14">
        <f>IF($AP1988="",IF($B1988="","",$R1988),IF(INDEX(職員マスタ!$C$6:$C$405,$AP1988)="",$R1988,INDEX(職員マスタ!$C$6:$C$405,$AP1988)))</f>
        <v/>
      </c>
      <c r="Z1988" s="14">
        <f>IF($AQ1988="","","R"&amp;$C1988&amp;"."&amp;$D1988)</f>
        <v/>
      </c>
      <c r="AA1988" s="15">
        <f>IF(IF($AP1988="",FALSE,INDEX(職員マスタ!$K$6:$K$405,$AP1988)&lt;&gt;""),INDEX(職員マスタ!$K$6:$K$405,$AP1988),IF(N($W1988)&gt;0,$W1988,""))</f>
        <v/>
      </c>
      <c r="AB1988" s="14">
        <f>IF(OR($E1988="",$AA1988=""),"",IF($E1988&gt;=$AA1988,"×",IF($E1988&gt;=$AA1988*設定!$C$5,"△","○")))</f>
        <v/>
      </c>
      <c r="AC1988" s="15">
        <f>IF($AB1988="","",IF($AB1988="×",0,IF($AB1988="○",ROUNDDOWN($E1988*設定!$C$4,0),ROUNDDOWN($E1988*ROUND((9*$AA1988-9*$E1988)/(10*$E1988),4),0))))</f>
        <v/>
      </c>
      <c r="AD1988" s="13" t="n"/>
      <c r="AE1988" s="15">
        <f>IF($B1988="","",IF($AD1988&lt;&gt;"",$AD1988,IF($AC1988="","",IF($AC1988&lt;=設定!$C$3,0,$AC1988))))</f>
        <v/>
      </c>
      <c r="AF1988" s="14">
        <f>IF($B1988="","",IF(AND($AG1988&lt;&gt;"",$AI1988="",$AL1988=""),"保留中",IF($AL1988&lt;&gt;"",IF(N($AE1988)&gt;0,"支給済","不支給"),IF($AE1988="","要確認",IF($AE1988=0,"不支給","未処理")))))</f>
        <v/>
      </c>
      <c r="AG1988" s="12" t="n"/>
      <c r="AH1988" s="11" t="n"/>
      <c r="AI1988" s="11" t="n"/>
      <c r="AJ1988" s="11" t="n"/>
      <c r="AK1988" s="14">
        <f>IF(AND($AF1988="保留中",$AH1988&lt;&gt;""),TODAY()-$AH1988,"")</f>
        <v/>
      </c>
      <c r="AL1988" s="12" t="n"/>
      <c r="AM1988" s="14">
        <f>IF($B1988="","",IF($AQ1988="","対象年月が未入力／","")&amp;IF($B1988="","",IF($AP1988="","職員マスタに未登録の職員番号／",IF($AA1988="","標準報酬月額が未登録／","")&amp;IF(AND($AQ1988&lt;&gt;"",OR(AND(INDEX(職員マスタ!$G$6:$G$405,$AP1988)&lt;&gt;"",INDEX(職員マスタ!$G$6:$G$405,$AP1988)&gt;EOMONTH($AQ1988,0)),AND(INDEX(職員マスタ!$H$6:$H$405,$AP1988)&lt;&gt;"",INDEX(職員マスタ!$H$6:$H$405,$AP1988)&lt;$AQ1988))),"対象月が時短期間外／","")&amp;IF(AND(INDEX(職員マスタ!$K$6:$K$405,$AP1988)&lt;&gt;"",N($W1988)&gt;0,INDEX(職員マスタ!$K$6:$K$405,$AP1988)&lt;&gt;$W1988),"標準報酬月額が申請書と相違（台帳"&amp;TEXT(INDEX(職員マスタ!$K$6:$K$405,$AP1988),"#,##0")&amp;"円／申請書"&amp;TEXT($W1988,"#,##0")&amp;"円）／","")&amp;IF(AND(INDEX(職員マスタ!$F$6:$F$405,$AP1988)&lt;&gt;"",$AQ1988&lt;&gt;"",INDEX(職員マスタ!$F$6:$F$405,$AP1988)&lt;$AQ1988),"対象月に子が2歳到達済／","")&amp;IF(AND($H1988&lt;&gt;"",INDEX(職員マスタ!$B$6:$B$405,$AP1988)&lt;&gt;"",SUBSTITUTE(SUBSTITUTE($H1988," ","")," ","")&lt;&gt;SUBSTITUTE(SUBSTITUTE(INDEX(職員マスタ!$B$6:$B$405,$AP1988)," ","")," ","")),"氏名がマスタと相違／","")&amp;IF(AND($Q1988&lt;&gt;"",INDEX(職員マスタ!$E$6:$E$405,$AP1988)&lt;&gt;"",$Q1988&lt;&gt;INDEX(職員マスタ!$E$6:$E$405,$AP1988)),"子の生年月日がマスタと相違／","")&amp;IF(AND($L1988&lt;&gt;"",INDEX(職員マスタ!$G$6:$G$405,$AP1988)&lt;&gt;"",$L1988&lt;&gt;INDEX(職員マスタ!$G$6:$G$405,$AP1988)),"時短開始日がマスタと相違／","")&amp;IF(AND($M1988&lt;&gt;"",INDEX(職員マスタ!$H$6:$H$405,$AP1988)&lt;&gt;"",$M1988&lt;&gt;INDEX(職員マスタ!$H$6:$H$405,$AP1988)),"時短終了日がマスタと相違／","")))&amp;IF(AND($B1988&lt;&gt;"",$E1988=""),"報酬額が未入力／","")&amp;IF(N($U1988)&gt;0,"申請書に入力エラーが残っています／","")&amp;IF(AND($B1988&lt;&gt;"",$AQ1988&lt;&gt;""),IF(COUNTIFS($B$6:$B$3005,$B1988,$C$6:$C$3005,$C1988,$D$6:$D$3005,$D1988)&gt;1,"同じ月の請求が重複しています／",""),"")&amp;IF(AND(N($E1988)&gt;0,$AB1988&lt;&gt;"",$AB1988&lt;&gt;"×",$AE1988=0,$AD1988=""),"計算額が下限以下のため不支給／",""))</f>
        <v/>
      </c>
      <c r="AN1988" s="12" t="n"/>
      <c r="AO1988" s="14">
        <f>IF($AF1988="保留中",COUNTIF($AF$6:$AF1988,"保留中"),"")</f>
        <v/>
      </c>
      <c r="AP1988" s="14">
        <f>IF($AQ1988="","",IF(SUMPRODUCT(MAX((職員マスタ!$A$6:$A$405=$B1988)*(((職員マスタ!$G$6:$G$405="")+(職員マスタ!$G$6:$G$405&lt;=EOMONTH($AQ1988,0)))&gt;0)*(((職員マスタ!$H$6:$H$405="")+(職員マスタ!$H$6:$H$405&gt;=$AQ1988))&gt;0)*(ROW(職員マスタ!$A$6:$A$405)-5)))&gt;0,SUMPRODUCT(MAX((職員マスタ!$A$6:$A$405=$B1988)*(((職員マスタ!$G$6:$G$405="")+(職員マスタ!$G$6:$G$405&lt;=EOMONTH($AQ1988,0)))&gt;0)*(((職員マスタ!$H$6:$H$405="")+(職員マスタ!$H$6:$H$405&gt;=$AQ1988))&gt;0)*(ROW(職員マスタ!$A$6:$A$405)-5))),IFERROR(MATCH($B1988,職員マスタ!$A$6:$A$405,0),"")))</f>
        <v/>
      </c>
      <c r="AQ1988" s="16">
        <f>IF(OR($B1988="",$C1988="",$D1988=""),"",DATE($C1988+2018,$D1988,1))</f>
        <v/>
      </c>
    </row>
    <row r="1989">
      <c r="A1989" s="11" t="n"/>
      <c r="B1989" s="12" t="n"/>
      <c r="C1989" s="12" t="n"/>
      <c r="D1989" s="12" t="n"/>
      <c r="E1989" s="13" t="n"/>
      <c r="F1989" s="12" t="n"/>
      <c r="G1989" s="13" t="n"/>
      <c r="H1989" s="12" t="n"/>
      <c r="I1989" s="12" t="n"/>
      <c r="J1989" s="12" t="n"/>
      <c r="K1989" s="12" t="n"/>
      <c r="L1989" s="11" t="n"/>
      <c r="M1989" s="11" t="n"/>
      <c r="N1989" s="11" t="n"/>
      <c r="O1989" s="11" t="n"/>
      <c r="P1989" s="12" t="n"/>
      <c r="Q1989" s="11" t="n"/>
      <c r="R1989" s="12" t="n"/>
      <c r="S1989" s="11" t="n"/>
      <c r="T1989" s="12" t="n"/>
      <c r="U1989" s="12" t="n"/>
      <c r="V1989" s="12" t="n"/>
      <c r="W1989" s="13" t="n"/>
      <c r="X1989" s="14">
        <f>IF($AP1989="",IF($B1989="","",$H1989),IF(INDEX(職員マスタ!$B$6:$B$405,$AP1989)="",$H1989,INDEX(職員マスタ!$B$6:$B$405,$AP1989)))</f>
        <v/>
      </c>
      <c r="Y1989" s="14">
        <f>IF($AP1989="",IF($B1989="","",$R1989),IF(INDEX(職員マスタ!$C$6:$C$405,$AP1989)="",$R1989,INDEX(職員マスタ!$C$6:$C$405,$AP1989)))</f>
        <v/>
      </c>
      <c r="Z1989" s="14">
        <f>IF($AQ1989="","","R"&amp;$C1989&amp;"."&amp;$D1989)</f>
        <v/>
      </c>
      <c r="AA1989" s="15">
        <f>IF(IF($AP1989="",FALSE,INDEX(職員マスタ!$K$6:$K$405,$AP1989)&lt;&gt;""),INDEX(職員マスタ!$K$6:$K$405,$AP1989),IF(N($W1989)&gt;0,$W1989,""))</f>
        <v/>
      </c>
      <c r="AB1989" s="14">
        <f>IF(OR($E1989="",$AA1989=""),"",IF($E1989&gt;=$AA1989,"×",IF($E1989&gt;=$AA1989*設定!$C$5,"△","○")))</f>
        <v/>
      </c>
      <c r="AC1989" s="15">
        <f>IF($AB1989="","",IF($AB1989="×",0,IF($AB1989="○",ROUNDDOWN($E1989*設定!$C$4,0),ROUNDDOWN($E1989*ROUND((9*$AA1989-9*$E1989)/(10*$E1989),4),0))))</f>
        <v/>
      </c>
      <c r="AD1989" s="13" t="n"/>
      <c r="AE1989" s="15">
        <f>IF($B1989="","",IF($AD1989&lt;&gt;"",$AD1989,IF($AC1989="","",IF($AC1989&lt;=設定!$C$3,0,$AC1989))))</f>
        <v/>
      </c>
      <c r="AF1989" s="14">
        <f>IF($B1989="","",IF(AND($AG1989&lt;&gt;"",$AI1989="",$AL1989=""),"保留中",IF($AL1989&lt;&gt;"",IF(N($AE1989)&gt;0,"支給済","不支給"),IF($AE1989="","要確認",IF($AE1989=0,"不支給","未処理")))))</f>
        <v/>
      </c>
      <c r="AG1989" s="12" t="n"/>
      <c r="AH1989" s="11" t="n"/>
      <c r="AI1989" s="11" t="n"/>
      <c r="AJ1989" s="11" t="n"/>
      <c r="AK1989" s="14">
        <f>IF(AND($AF1989="保留中",$AH1989&lt;&gt;""),TODAY()-$AH1989,"")</f>
        <v/>
      </c>
      <c r="AL1989" s="12" t="n"/>
      <c r="AM1989" s="14">
        <f>IF($B1989="","",IF($AQ1989="","対象年月が未入力／","")&amp;IF($B1989="","",IF($AP1989="","職員マスタに未登録の職員番号／",IF($AA1989="","標準報酬月額が未登録／","")&amp;IF(AND($AQ1989&lt;&gt;"",OR(AND(INDEX(職員マスタ!$G$6:$G$405,$AP1989)&lt;&gt;"",INDEX(職員マスタ!$G$6:$G$405,$AP1989)&gt;EOMONTH($AQ1989,0)),AND(INDEX(職員マスタ!$H$6:$H$405,$AP1989)&lt;&gt;"",INDEX(職員マスタ!$H$6:$H$405,$AP1989)&lt;$AQ1989))),"対象月が時短期間外／","")&amp;IF(AND(INDEX(職員マスタ!$K$6:$K$405,$AP1989)&lt;&gt;"",N($W1989)&gt;0,INDEX(職員マスタ!$K$6:$K$405,$AP1989)&lt;&gt;$W1989),"標準報酬月額が申請書と相違（台帳"&amp;TEXT(INDEX(職員マスタ!$K$6:$K$405,$AP1989),"#,##0")&amp;"円／申請書"&amp;TEXT($W1989,"#,##0")&amp;"円）／","")&amp;IF(AND(INDEX(職員マスタ!$F$6:$F$405,$AP1989)&lt;&gt;"",$AQ1989&lt;&gt;"",INDEX(職員マスタ!$F$6:$F$405,$AP1989)&lt;$AQ1989),"対象月に子が2歳到達済／","")&amp;IF(AND($H1989&lt;&gt;"",INDEX(職員マスタ!$B$6:$B$405,$AP1989)&lt;&gt;"",SUBSTITUTE(SUBSTITUTE($H1989," ","")," ","")&lt;&gt;SUBSTITUTE(SUBSTITUTE(INDEX(職員マスタ!$B$6:$B$405,$AP1989)," ","")," ","")),"氏名がマスタと相違／","")&amp;IF(AND($Q1989&lt;&gt;"",INDEX(職員マスタ!$E$6:$E$405,$AP1989)&lt;&gt;"",$Q1989&lt;&gt;INDEX(職員マスタ!$E$6:$E$405,$AP1989)),"子の生年月日がマスタと相違／","")&amp;IF(AND($L1989&lt;&gt;"",INDEX(職員マスタ!$G$6:$G$405,$AP1989)&lt;&gt;"",$L1989&lt;&gt;INDEX(職員マスタ!$G$6:$G$405,$AP1989)),"時短開始日がマスタと相違／","")&amp;IF(AND($M1989&lt;&gt;"",INDEX(職員マスタ!$H$6:$H$405,$AP1989)&lt;&gt;"",$M1989&lt;&gt;INDEX(職員マスタ!$H$6:$H$405,$AP1989)),"時短終了日がマスタと相違／","")))&amp;IF(AND($B1989&lt;&gt;"",$E1989=""),"報酬額が未入力／","")&amp;IF(N($U1989)&gt;0,"申請書に入力エラーが残っています／","")&amp;IF(AND($B1989&lt;&gt;"",$AQ1989&lt;&gt;""),IF(COUNTIFS($B$6:$B$3005,$B1989,$C$6:$C$3005,$C1989,$D$6:$D$3005,$D1989)&gt;1,"同じ月の請求が重複しています／",""),"")&amp;IF(AND(N($E1989)&gt;0,$AB1989&lt;&gt;"",$AB1989&lt;&gt;"×",$AE1989=0,$AD1989=""),"計算額が下限以下のため不支給／",""))</f>
        <v/>
      </c>
      <c r="AN1989" s="12" t="n"/>
      <c r="AO1989" s="14">
        <f>IF($AF1989="保留中",COUNTIF($AF$6:$AF1989,"保留中"),"")</f>
        <v/>
      </c>
      <c r="AP1989" s="14">
        <f>IF($AQ1989="","",IF(SUMPRODUCT(MAX((職員マスタ!$A$6:$A$405=$B1989)*(((職員マスタ!$G$6:$G$405="")+(職員マスタ!$G$6:$G$405&lt;=EOMONTH($AQ1989,0)))&gt;0)*(((職員マスタ!$H$6:$H$405="")+(職員マスタ!$H$6:$H$405&gt;=$AQ1989))&gt;0)*(ROW(職員マスタ!$A$6:$A$405)-5)))&gt;0,SUMPRODUCT(MAX((職員マスタ!$A$6:$A$405=$B1989)*(((職員マスタ!$G$6:$G$405="")+(職員マスタ!$G$6:$G$405&lt;=EOMONTH($AQ1989,0)))&gt;0)*(((職員マスタ!$H$6:$H$405="")+(職員マスタ!$H$6:$H$405&gt;=$AQ1989))&gt;0)*(ROW(職員マスタ!$A$6:$A$405)-5))),IFERROR(MATCH($B1989,職員マスタ!$A$6:$A$405,0),"")))</f>
        <v/>
      </c>
      <c r="AQ1989" s="16">
        <f>IF(OR($B1989="",$C1989="",$D1989=""),"",DATE($C1989+2018,$D1989,1))</f>
        <v/>
      </c>
    </row>
    <row r="1990">
      <c r="A1990" s="11" t="n"/>
      <c r="B1990" s="12" t="n"/>
      <c r="C1990" s="12" t="n"/>
      <c r="D1990" s="12" t="n"/>
      <c r="E1990" s="13" t="n"/>
      <c r="F1990" s="12" t="n"/>
      <c r="G1990" s="13" t="n"/>
      <c r="H1990" s="12" t="n"/>
      <c r="I1990" s="12" t="n"/>
      <c r="J1990" s="12" t="n"/>
      <c r="K1990" s="12" t="n"/>
      <c r="L1990" s="11" t="n"/>
      <c r="M1990" s="11" t="n"/>
      <c r="N1990" s="11" t="n"/>
      <c r="O1990" s="11" t="n"/>
      <c r="P1990" s="12" t="n"/>
      <c r="Q1990" s="11" t="n"/>
      <c r="R1990" s="12" t="n"/>
      <c r="S1990" s="11" t="n"/>
      <c r="T1990" s="12" t="n"/>
      <c r="U1990" s="12" t="n"/>
      <c r="V1990" s="12" t="n"/>
      <c r="W1990" s="13" t="n"/>
      <c r="X1990" s="14">
        <f>IF($AP1990="",IF($B1990="","",$H1990),IF(INDEX(職員マスタ!$B$6:$B$405,$AP1990)="",$H1990,INDEX(職員マスタ!$B$6:$B$405,$AP1990)))</f>
        <v/>
      </c>
      <c r="Y1990" s="14">
        <f>IF($AP1990="",IF($B1990="","",$R1990),IF(INDEX(職員マスタ!$C$6:$C$405,$AP1990)="",$R1990,INDEX(職員マスタ!$C$6:$C$405,$AP1990)))</f>
        <v/>
      </c>
      <c r="Z1990" s="14">
        <f>IF($AQ1990="","","R"&amp;$C1990&amp;"."&amp;$D1990)</f>
        <v/>
      </c>
      <c r="AA1990" s="15">
        <f>IF(IF($AP1990="",FALSE,INDEX(職員マスタ!$K$6:$K$405,$AP1990)&lt;&gt;""),INDEX(職員マスタ!$K$6:$K$405,$AP1990),IF(N($W1990)&gt;0,$W1990,""))</f>
        <v/>
      </c>
      <c r="AB1990" s="14">
        <f>IF(OR($E1990="",$AA1990=""),"",IF($E1990&gt;=$AA1990,"×",IF($E1990&gt;=$AA1990*設定!$C$5,"△","○")))</f>
        <v/>
      </c>
      <c r="AC1990" s="15">
        <f>IF($AB1990="","",IF($AB1990="×",0,IF($AB1990="○",ROUNDDOWN($E1990*設定!$C$4,0),ROUNDDOWN($E1990*ROUND((9*$AA1990-9*$E1990)/(10*$E1990),4),0))))</f>
        <v/>
      </c>
      <c r="AD1990" s="13" t="n"/>
      <c r="AE1990" s="15">
        <f>IF($B1990="","",IF($AD1990&lt;&gt;"",$AD1990,IF($AC1990="","",IF($AC1990&lt;=設定!$C$3,0,$AC1990))))</f>
        <v/>
      </c>
      <c r="AF1990" s="14">
        <f>IF($B1990="","",IF(AND($AG1990&lt;&gt;"",$AI1990="",$AL1990=""),"保留中",IF($AL1990&lt;&gt;"",IF(N($AE1990)&gt;0,"支給済","不支給"),IF($AE1990="","要確認",IF($AE1990=0,"不支給","未処理")))))</f>
        <v/>
      </c>
      <c r="AG1990" s="12" t="n"/>
      <c r="AH1990" s="11" t="n"/>
      <c r="AI1990" s="11" t="n"/>
      <c r="AJ1990" s="11" t="n"/>
      <c r="AK1990" s="14">
        <f>IF(AND($AF1990="保留中",$AH1990&lt;&gt;""),TODAY()-$AH1990,"")</f>
        <v/>
      </c>
      <c r="AL1990" s="12" t="n"/>
      <c r="AM1990" s="14">
        <f>IF($B1990="","",IF($AQ1990="","対象年月が未入力／","")&amp;IF($B1990="","",IF($AP1990="","職員マスタに未登録の職員番号／",IF($AA1990="","標準報酬月額が未登録／","")&amp;IF(AND($AQ1990&lt;&gt;"",OR(AND(INDEX(職員マスタ!$G$6:$G$405,$AP1990)&lt;&gt;"",INDEX(職員マスタ!$G$6:$G$405,$AP1990)&gt;EOMONTH($AQ1990,0)),AND(INDEX(職員マスタ!$H$6:$H$405,$AP1990)&lt;&gt;"",INDEX(職員マスタ!$H$6:$H$405,$AP1990)&lt;$AQ1990))),"対象月が時短期間外／","")&amp;IF(AND(INDEX(職員マスタ!$K$6:$K$405,$AP1990)&lt;&gt;"",N($W1990)&gt;0,INDEX(職員マスタ!$K$6:$K$405,$AP1990)&lt;&gt;$W1990),"標準報酬月額が申請書と相違（台帳"&amp;TEXT(INDEX(職員マスタ!$K$6:$K$405,$AP1990),"#,##0")&amp;"円／申請書"&amp;TEXT($W1990,"#,##0")&amp;"円）／","")&amp;IF(AND(INDEX(職員マスタ!$F$6:$F$405,$AP1990)&lt;&gt;"",$AQ1990&lt;&gt;"",INDEX(職員マスタ!$F$6:$F$405,$AP1990)&lt;$AQ1990),"対象月に子が2歳到達済／","")&amp;IF(AND($H1990&lt;&gt;"",INDEX(職員マスタ!$B$6:$B$405,$AP1990)&lt;&gt;"",SUBSTITUTE(SUBSTITUTE($H1990," ","")," ","")&lt;&gt;SUBSTITUTE(SUBSTITUTE(INDEX(職員マスタ!$B$6:$B$405,$AP1990)," ","")," ","")),"氏名がマスタと相違／","")&amp;IF(AND($Q1990&lt;&gt;"",INDEX(職員マスタ!$E$6:$E$405,$AP1990)&lt;&gt;"",$Q1990&lt;&gt;INDEX(職員マスタ!$E$6:$E$405,$AP1990)),"子の生年月日がマスタと相違／","")&amp;IF(AND($L1990&lt;&gt;"",INDEX(職員マスタ!$G$6:$G$405,$AP1990)&lt;&gt;"",$L1990&lt;&gt;INDEX(職員マスタ!$G$6:$G$405,$AP1990)),"時短開始日がマスタと相違／","")&amp;IF(AND($M1990&lt;&gt;"",INDEX(職員マスタ!$H$6:$H$405,$AP1990)&lt;&gt;"",$M1990&lt;&gt;INDEX(職員マスタ!$H$6:$H$405,$AP1990)),"時短終了日がマスタと相違／","")))&amp;IF(AND($B1990&lt;&gt;"",$E1990=""),"報酬額が未入力／","")&amp;IF(N($U1990)&gt;0,"申請書に入力エラーが残っています／","")&amp;IF(AND($B1990&lt;&gt;"",$AQ1990&lt;&gt;""),IF(COUNTIFS($B$6:$B$3005,$B1990,$C$6:$C$3005,$C1990,$D$6:$D$3005,$D1990)&gt;1,"同じ月の請求が重複しています／",""),"")&amp;IF(AND(N($E1990)&gt;0,$AB1990&lt;&gt;"",$AB1990&lt;&gt;"×",$AE1990=0,$AD1990=""),"計算額が下限以下のため不支給／",""))</f>
        <v/>
      </c>
      <c r="AN1990" s="12" t="n"/>
      <c r="AO1990" s="14">
        <f>IF($AF1990="保留中",COUNTIF($AF$6:$AF1990,"保留中"),"")</f>
        <v/>
      </c>
      <c r="AP1990" s="14">
        <f>IF($AQ1990="","",IF(SUMPRODUCT(MAX((職員マスタ!$A$6:$A$405=$B1990)*(((職員マスタ!$G$6:$G$405="")+(職員マスタ!$G$6:$G$405&lt;=EOMONTH($AQ1990,0)))&gt;0)*(((職員マスタ!$H$6:$H$405="")+(職員マスタ!$H$6:$H$405&gt;=$AQ1990))&gt;0)*(ROW(職員マスタ!$A$6:$A$405)-5)))&gt;0,SUMPRODUCT(MAX((職員マスタ!$A$6:$A$405=$B1990)*(((職員マスタ!$G$6:$G$405="")+(職員マスタ!$G$6:$G$405&lt;=EOMONTH($AQ1990,0)))&gt;0)*(((職員マスタ!$H$6:$H$405="")+(職員マスタ!$H$6:$H$405&gt;=$AQ1990))&gt;0)*(ROW(職員マスタ!$A$6:$A$405)-5))),IFERROR(MATCH($B1990,職員マスタ!$A$6:$A$405,0),"")))</f>
        <v/>
      </c>
      <c r="AQ1990" s="16">
        <f>IF(OR($B1990="",$C1990="",$D1990=""),"",DATE($C1990+2018,$D1990,1))</f>
        <v/>
      </c>
    </row>
    <row r="1991">
      <c r="A1991" s="11" t="n"/>
      <c r="B1991" s="12" t="n"/>
      <c r="C1991" s="12" t="n"/>
      <c r="D1991" s="12" t="n"/>
      <c r="E1991" s="13" t="n"/>
      <c r="F1991" s="12" t="n"/>
      <c r="G1991" s="13" t="n"/>
      <c r="H1991" s="12" t="n"/>
      <c r="I1991" s="12" t="n"/>
      <c r="J1991" s="12" t="n"/>
      <c r="K1991" s="12" t="n"/>
      <c r="L1991" s="11" t="n"/>
      <c r="M1991" s="11" t="n"/>
      <c r="N1991" s="11" t="n"/>
      <c r="O1991" s="11" t="n"/>
      <c r="P1991" s="12" t="n"/>
      <c r="Q1991" s="11" t="n"/>
      <c r="R1991" s="12" t="n"/>
      <c r="S1991" s="11" t="n"/>
      <c r="T1991" s="12" t="n"/>
      <c r="U1991" s="12" t="n"/>
      <c r="V1991" s="12" t="n"/>
      <c r="W1991" s="13" t="n"/>
      <c r="X1991" s="14">
        <f>IF($AP1991="",IF($B1991="","",$H1991),IF(INDEX(職員マスタ!$B$6:$B$405,$AP1991)="",$H1991,INDEX(職員マスタ!$B$6:$B$405,$AP1991)))</f>
        <v/>
      </c>
      <c r="Y1991" s="14">
        <f>IF($AP1991="",IF($B1991="","",$R1991),IF(INDEX(職員マスタ!$C$6:$C$405,$AP1991)="",$R1991,INDEX(職員マスタ!$C$6:$C$405,$AP1991)))</f>
        <v/>
      </c>
      <c r="Z1991" s="14">
        <f>IF($AQ1991="","","R"&amp;$C1991&amp;"."&amp;$D1991)</f>
        <v/>
      </c>
      <c r="AA1991" s="15">
        <f>IF(IF($AP1991="",FALSE,INDEX(職員マスタ!$K$6:$K$405,$AP1991)&lt;&gt;""),INDEX(職員マスタ!$K$6:$K$405,$AP1991),IF(N($W1991)&gt;0,$W1991,""))</f>
        <v/>
      </c>
      <c r="AB1991" s="14">
        <f>IF(OR($E1991="",$AA1991=""),"",IF($E1991&gt;=$AA1991,"×",IF($E1991&gt;=$AA1991*設定!$C$5,"△","○")))</f>
        <v/>
      </c>
      <c r="AC1991" s="15">
        <f>IF($AB1991="","",IF($AB1991="×",0,IF($AB1991="○",ROUNDDOWN($E1991*設定!$C$4,0),ROUNDDOWN($E1991*ROUND((9*$AA1991-9*$E1991)/(10*$E1991),4),0))))</f>
        <v/>
      </c>
      <c r="AD1991" s="13" t="n"/>
      <c r="AE1991" s="15">
        <f>IF($B1991="","",IF($AD1991&lt;&gt;"",$AD1991,IF($AC1991="","",IF($AC1991&lt;=設定!$C$3,0,$AC1991))))</f>
        <v/>
      </c>
      <c r="AF1991" s="14">
        <f>IF($B1991="","",IF(AND($AG1991&lt;&gt;"",$AI1991="",$AL1991=""),"保留中",IF($AL1991&lt;&gt;"",IF(N($AE1991)&gt;0,"支給済","不支給"),IF($AE1991="","要確認",IF($AE1991=0,"不支給","未処理")))))</f>
        <v/>
      </c>
      <c r="AG1991" s="12" t="n"/>
      <c r="AH1991" s="11" t="n"/>
      <c r="AI1991" s="11" t="n"/>
      <c r="AJ1991" s="11" t="n"/>
      <c r="AK1991" s="14">
        <f>IF(AND($AF1991="保留中",$AH1991&lt;&gt;""),TODAY()-$AH1991,"")</f>
        <v/>
      </c>
      <c r="AL1991" s="12" t="n"/>
      <c r="AM1991" s="14">
        <f>IF($B1991="","",IF($AQ1991="","対象年月が未入力／","")&amp;IF($B1991="","",IF($AP1991="","職員マスタに未登録の職員番号／",IF($AA1991="","標準報酬月額が未登録／","")&amp;IF(AND($AQ1991&lt;&gt;"",OR(AND(INDEX(職員マスタ!$G$6:$G$405,$AP1991)&lt;&gt;"",INDEX(職員マスタ!$G$6:$G$405,$AP1991)&gt;EOMONTH($AQ1991,0)),AND(INDEX(職員マスタ!$H$6:$H$405,$AP1991)&lt;&gt;"",INDEX(職員マスタ!$H$6:$H$405,$AP1991)&lt;$AQ1991))),"対象月が時短期間外／","")&amp;IF(AND(INDEX(職員マスタ!$K$6:$K$405,$AP1991)&lt;&gt;"",N($W1991)&gt;0,INDEX(職員マスタ!$K$6:$K$405,$AP1991)&lt;&gt;$W1991),"標準報酬月額が申請書と相違（台帳"&amp;TEXT(INDEX(職員マスタ!$K$6:$K$405,$AP1991),"#,##0")&amp;"円／申請書"&amp;TEXT($W1991,"#,##0")&amp;"円）／","")&amp;IF(AND(INDEX(職員マスタ!$F$6:$F$405,$AP1991)&lt;&gt;"",$AQ1991&lt;&gt;"",INDEX(職員マスタ!$F$6:$F$405,$AP1991)&lt;$AQ1991),"対象月に子が2歳到達済／","")&amp;IF(AND($H1991&lt;&gt;"",INDEX(職員マスタ!$B$6:$B$405,$AP1991)&lt;&gt;"",SUBSTITUTE(SUBSTITUTE($H1991," ","")," ","")&lt;&gt;SUBSTITUTE(SUBSTITUTE(INDEX(職員マスタ!$B$6:$B$405,$AP1991)," ","")," ","")),"氏名がマスタと相違／","")&amp;IF(AND($Q1991&lt;&gt;"",INDEX(職員マスタ!$E$6:$E$405,$AP1991)&lt;&gt;"",$Q1991&lt;&gt;INDEX(職員マスタ!$E$6:$E$405,$AP1991)),"子の生年月日がマスタと相違／","")&amp;IF(AND($L1991&lt;&gt;"",INDEX(職員マスタ!$G$6:$G$405,$AP1991)&lt;&gt;"",$L1991&lt;&gt;INDEX(職員マスタ!$G$6:$G$405,$AP1991)),"時短開始日がマスタと相違／","")&amp;IF(AND($M1991&lt;&gt;"",INDEX(職員マスタ!$H$6:$H$405,$AP1991)&lt;&gt;"",$M1991&lt;&gt;INDEX(職員マスタ!$H$6:$H$405,$AP1991)),"時短終了日がマスタと相違／","")))&amp;IF(AND($B1991&lt;&gt;"",$E1991=""),"報酬額が未入力／","")&amp;IF(N($U1991)&gt;0,"申請書に入力エラーが残っています／","")&amp;IF(AND($B1991&lt;&gt;"",$AQ1991&lt;&gt;""),IF(COUNTIFS($B$6:$B$3005,$B1991,$C$6:$C$3005,$C1991,$D$6:$D$3005,$D1991)&gt;1,"同じ月の請求が重複しています／",""),"")&amp;IF(AND(N($E1991)&gt;0,$AB1991&lt;&gt;"",$AB1991&lt;&gt;"×",$AE1991=0,$AD1991=""),"計算額が下限以下のため不支給／",""))</f>
        <v/>
      </c>
      <c r="AN1991" s="12" t="n"/>
      <c r="AO1991" s="14">
        <f>IF($AF1991="保留中",COUNTIF($AF$6:$AF1991,"保留中"),"")</f>
        <v/>
      </c>
      <c r="AP1991" s="14">
        <f>IF($AQ1991="","",IF(SUMPRODUCT(MAX((職員マスタ!$A$6:$A$405=$B1991)*(((職員マスタ!$G$6:$G$405="")+(職員マスタ!$G$6:$G$405&lt;=EOMONTH($AQ1991,0)))&gt;0)*(((職員マスタ!$H$6:$H$405="")+(職員マスタ!$H$6:$H$405&gt;=$AQ1991))&gt;0)*(ROW(職員マスタ!$A$6:$A$405)-5)))&gt;0,SUMPRODUCT(MAX((職員マスタ!$A$6:$A$405=$B1991)*(((職員マスタ!$G$6:$G$405="")+(職員マスタ!$G$6:$G$405&lt;=EOMONTH($AQ1991,0)))&gt;0)*(((職員マスタ!$H$6:$H$405="")+(職員マスタ!$H$6:$H$405&gt;=$AQ1991))&gt;0)*(ROW(職員マスタ!$A$6:$A$405)-5))),IFERROR(MATCH($B1991,職員マスタ!$A$6:$A$405,0),"")))</f>
        <v/>
      </c>
      <c r="AQ1991" s="16">
        <f>IF(OR($B1991="",$C1991="",$D1991=""),"",DATE($C1991+2018,$D1991,1))</f>
        <v/>
      </c>
    </row>
    <row r="1992">
      <c r="A1992" s="11" t="n"/>
      <c r="B1992" s="12" t="n"/>
      <c r="C1992" s="12" t="n"/>
      <c r="D1992" s="12" t="n"/>
      <c r="E1992" s="13" t="n"/>
      <c r="F1992" s="12" t="n"/>
      <c r="G1992" s="13" t="n"/>
      <c r="H1992" s="12" t="n"/>
      <c r="I1992" s="12" t="n"/>
      <c r="J1992" s="12" t="n"/>
      <c r="K1992" s="12" t="n"/>
      <c r="L1992" s="11" t="n"/>
      <c r="M1992" s="11" t="n"/>
      <c r="N1992" s="11" t="n"/>
      <c r="O1992" s="11" t="n"/>
      <c r="P1992" s="12" t="n"/>
      <c r="Q1992" s="11" t="n"/>
      <c r="R1992" s="12" t="n"/>
      <c r="S1992" s="11" t="n"/>
      <c r="T1992" s="12" t="n"/>
      <c r="U1992" s="12" t="n"/>
      <c r="V1992" s="12" t="n"/>
      <c r="W1992" s="13" t="n"/>
      <c r="X1992" s="14">
        <f>IF($AP1992="",IF($B1992="","",$H1992),IF(INDEX(職員マスタ!$B$6:$B$405,$AP1992)="",$H1992,INDEX(職員マスタ!$B$6:$B$405,$AP1992)))</f>
        <v/>
      </c>
      <c r="Y1992" s="14">
        <f>IF($AP1992="",IF($B1992="","",$R1992),IF(INDEX(職員マスタ!$C$6:$C$405,$AP1992)="",$R1992,INDEX(職員マスタ!$C$6:$C$405,$AP1992)))</f>
        <v/>
      </c>
      <c r="Z1992" s="14">
        <f>IF($AQ1992="","","R"&amp;$C1992&amp;"."&amp;$D1992)</f>
        <v/>
      </c>
      <c r="AA1992" s="15">
        <f>IF(IF($AP1992="",FALSE,INDEX(職員マスタ!$K$6:$K$405,$AP1992)&lt;&gt;""),INDEX(職員マスタ!$K$6:$K$405,$AP1992),IF(N($W1992)&gt;0,$W1992,""))</f>
        <v/>
      </c>
      <c r="AB1992" s="14">
        <f>IF(OR($E1992="",$AA1992=""),"",IF($E1992&gt;=$AA1992,"×",IF($E1992&gt;=$AA1992*設定!$C$5,"△","○")))</f>
        <v/>
      </c>
      <c r="AC1992" s="15">
        <f>IF($AB1992="","",IF($AB1992="×",0,IF($AB1992="○",ROUNDDOWN($E1992*設定!$C$4,0),ROUNDDOWN($E1992*ROUND((9*$AA1992-9*$E1992)/(10*$E1992),4),0))))</f>
        <v/>
      </c>
      <c r="AD1992" s="13" t="n"/>
      <c r="AE1992" s="15">
        <f>IF($B1992="","",IF($AD1992&lt;&gt;"",$AD1992,IF($AC1992="","",IF($AC1992&lt;=設定!$C$3,0,$AC1992))))</f>
        <v/>
      </c>
      <c r="AF1992" s="14">
        <f>IF($B1992="","",IF(AND($AG1992&lt;&gt;"",$AI1992="",$AL1992=""),"保留中",IF($AL1992&lt;&gt;"",IF(N($AE1992)&gt;0,"支給済","不支給"),IF($AE1992="","要確認",IF($AE1992=0,"不支給","未処理")))))</f>
        <v/>
      </c>
      <c r="AG1992" s="12" t="n"/>
      <c r="AH1992" s="11" t="n"/>
      <c r="AI1992" s="11" t="n"/>
      <c r="AJ1992" s="11" t="n"/>
      <c r="AK1992" s="14">
        <f>IF(AND($AF1992="保留中",$AH1992&lt;&gt;""),TODAY()-$AH1992,"")</f>
        <v/>
      </c>
      <c r="AL1992" s="12" t="n"/>
      <c r="AM1992" s="14">
        <f>IF($B1992="","",IF($AQ1992="","対象年月が未入力／","")&amp;IF($B1992="","",IF($AP1992="","職員マスタに未登録の職員番号／",IF($AA1992="","標準報酬月額が未登録／","")&amp;IF(AND($AQ1992&lt;&gt;"",OR(AND(INDEX(職員マスタ!$G$6:$G$405,$AP1992)&lt;&gt;"",INDEX(職員マスタ!$G$6:$G$405,$AP1992)&gt;EOMONTH($AQ1992,0)),AND(INDEX(職員マスタ!$H$6:$H$405,$AP1992)&lt;&gt;"",INDEX(職員マスタ!$H$6:$H$405,$AP1992)&lt;$AQ1992))),"対象月が時短期間外／","")&amp;IF(AND(INDEX(職員マスタ!$K$6:$K$405,$AP1992)&lt;&gt;"",N($W1992)&gt;0,INDEX(職員マスタ!$K$6:$K$405,$AP1992)&lt;&gt;$W1992),"標準報酬月額が申請書と相違（台帳"&amp;TEXT(INDEX(職員マスタ!$K$6:$K$405,$AP1992),"#,##0")&amp;"円／申請書"&amp;TEXT($W1992,"#,##0")&amp;"円）／","")&amp;IF(AND(INDEX(職員マスタ!$F$6:$F$405,$AP1992)&lt;&gt;"",$AQ1992&lt;&gt;"",INDEX(職員マスタ!$F$6:$F$405,$AP1992)&lt;$AQ1992),"対象月に子が2歳到達済／","")&amp;IF(AND($H1992&lt;&gt;"",INDEX(職員マスタ!$B$6:$B$405,$AP1992)&lt;&gt;"",SUBSTITUTE(SUBSTITUTE($H1992," ","")," ","")&lt;&gt;SUBSTITUTE(SUBSTITUTE(INDEX(職員マスタ!$B$6:$B$405,$AP1992)," ","")," ","")),"氏名がマスタと相違／","")&amp;IF(AND($Q1992&lt;&gt;"",INDEX(職員マスタ!$E$6:$E$405,$AP1992)&lt;&gt;"",$Q1992&lt;&gt;INDEX(職員マスタ!$E$6:$E$405,$AP1992)),"子の生年月日がマスタと相違／","")&amp;IF(AND($L1992&lt;&gt;"",INDEX(職員マスタ!$G$6:$G$405,$AP1992)&lt;&gt;"",$L1992&lt;&gt;INDEX(職員マスタ!$G$6:$G$405,$AP1992)),"時短開始日がマスタと相違／","")&amp;IF(AND($M1992&lt;&gt;"",INDEX(職員マスタ!$H$6:$H$405,$AP1992)&lt;&gt;"",$M1992&lt;&gt;INDEX(職員マスタ!$H$6:$H$405,$AP1992)),"時短終了日がマスタと相違／","")))&amp;IF(AND($B1992&lt;&gt;"",$E1992=""),"報酬額が未入力／","")&amp;IF(N($U1992)&gt;0,"申請書に入力エラーが残っています／","")&amp;IF(AND($B1992&lt;&gt;"",$AQ1992&lt;&gt;""),IF(COUNTIFS($B$6:$B$3005,$B1992,$C$6:$C$3005,$C1992,$D$6:$D$3005,$D1992)&gt;1,"同じ月の請求が重複しています／",""),"")&amp;IF(AND(N($E1992)&gt;0,$AB1992&lt;&gt;"",$AB1992&lt;&gt;"×",$AE1992=0,$AD1992=""),"計算額が下限以下のため不支給／",""))</f>
        <v/>
      </c>
      <c r="AN1992" s="12" t="n"/>
      <c r="AO1992" s="14">
        <f>IF($AF1992="保留中",COUNTIF($AF$6:$AF1992,"保留中"),"")</f>
        <v/>
      </c>
      <c r="AP1992" s="14">
        <f>IF($AQ1992="","",IF(SUMPRODUCT(MAX((職員マスタ!$A$6:$A$405=$B1992)*(((職員マスタ!$G$6:$G$405="")+(職員マスタ!$G$6:$G$405&lt;=EOMONTH($AQ1992,0)))&gt;0)*(((職員マスタ!$H$6:$H$405="")+(職員マスタ!$H$6:$H$405&gt;=$AQ1992))&gt;0)*(ROW(職員マスタ!$A$6:$A$405)-5)))&gt;0,SUMPRODUCT(MAX((職員マスタ!$A$6:$A$405=$B1992)*(((職員マスタ!$G$6:$G$405="")+(職員マスタ!$G$6:$G$405&lt;=EOMONTH($AQ1992,0)))&gt;0)*(((職員マスタ!$H$6:$H$405="")+(職員マスタ!$H$6:$H$405&gt;=$AQ1992))&gt;0)*(ROW(職員マスタ!$A$6:$A$405)-5))),IFERROR(MATCH($B1992,職員マスタ!$A$6:$A$405,0),"")))</f>
        <v/>
      </c>
      <c r="AQ1992" s="16">
        <f>IF(OR($B1992="",$C1992="",$D1992=""),"",DATE($C1992+2018,$D1992,1))</f>
        <v/>
      </c>
    </row>
    <row r="1993">
      <c r="A1993" s="11" t="n"/>
      <c r="B1993" s="12" t="n"/>
      <c r="C1993" s="12" t="n"/>
      <c r="D1993" s="12" t="n"/>
      <c r="E1993" s="13" t="n"/>
      <c r="F1993" s="12" t="n"/>
      <c r="G1993" s="13" t="n"/>
      <c r="H1993" s="12" t="n"/>
      <c r="I1993" s="12" t="n"/>
      <c r="J1993" s="12" t="n"/>
      <c r="K1993" s="12" t="n"/>
      <c r="L1993" s="11" t="n"/>
      <c r="M1993" s="11" t="n"/>
      <c r="N1993" s="11" t="n"/>
      <c r="O1993" s="11" t="n"/>
      <c r="P1993" s="12" t="n"/>
      <c r="Q1993" s="11" t="n"/>
      <c r="R1993" s="12" t="n"/>
      <c r="S1993" s="11" t="n"/>
      <c r="T1993" s="12" t="n"/>
      <c r="U1993" s="12" t="n"/>
      <c r="V1993" s="12" t="n"/>
      <c r="W1993" s="13" t="n"/>
      <c r="X1993" s="14">
        <f>IF($AP1993="",IF($B1993="","",$H1993),IF(INDEX(職員マスタ!$B$6:$B$405,$AP1993)="",$H1993,INDEX(職員マスタ!$B$6:$B$405,$AP1993)))</f>
        <v/>
      </c>
      <c r="Y1993" s="14">
        <f>IF($AP1993="",IF($B1993="","",$R1993),IF(INDEX(職員マスタ!$C$6:$C$405,$AP1993)="",$R1993,INDEX(職員マスタ!$C$6:$C$405,$AP1993)))</f>
        <v/>
      </c>
      <c r="Z1993" s="14">
        <f>IF($AQ1993="","","R"&amp;$C1993&amp;"."&amp;$D1993)</f>
        <v/>
      </c>
      <c r="AA1993" s="15">
        <f>IF(IF($AP1993="",FALSE,INDEX(職員マスタ!$K$6:$K$405,$AP1993)&lt;&gt;""),INDEX(職員マスタ!$K$6:$K$405,$AP1993),IF(N($W1993)&gt;0,$W1993,""))</f>
        <v/>
      </c>
      <c r="AB1993" s="14">
        <f>IF(OR($E1993="",$AA1993=""),"",IF($E1993&gt;=$AA1993,"×",IF($E1993&gt;=$AA1993*設定!$C$5,"△","○")))</f>
        <v/>
      </c>
      <c r="AC1993" s="15">
        <f>IF($AB1993="","",IF($AB1993="×",0,IF($AB1993="○",ROUNDDOWN($E1993*設定!$C$4,0),ROUNDDOWN($E1993*ROUND((9*$AA1993-9*$E1993)/(10*$E1993),4),0))))</f>
        <v/>
      </c>
      <c r="AD1993" s="13" t="n"/>
      <c r="AE1993" s="15">
        <f>IF($B1993="","",IF($AD1993&lt;&gt;"",$AD1993,IF($AC1993="","",IF($AC1993&lt;=設定!$C$3,0,$AC1993))))</f>
        <v/>
      </c>
      <c r="AF1993" s="14">
        <f>IF($B1993="","",IF(AND($AG1993&lt;&gt;"",$AI1993="",$AL1993=""),"保留中",IF($AL1993&lt;&gt;"",IF(N($AE1993)&gt;0,"支給済","不支給"),IF($AE1993="","要確認",IF($AE1993=0,"不支給","未処理")))))</f>
        <v/>
      </c>
      <c r="AG1993" s="12" t="n"/>
      <c r="AH1993" s="11" t="n"/>
      <c r="AI1993" s="11" t="n"/>
      <c r="AJ1993" s="11" t="n"/>
      <c r="AK1993" s="14">
        <f>IF(AND($AF1993="保留中",$AH1993&lt;&gt;""),TODAY()-$AH1993,"")</f>
        <v/>
      </c>
      <c r="AL1993" s="12" t="n"/>
      <c r="AM1993" s="14">
        <f>IF($B1993="","",IF($AQ1993="","対象年月が未入力／","")&amp;IF($B1993="","",IF($AP1993="","職員マスタに未登録の職員番号／",IF($AA1993="","標準報酬月額が未登録／","")&amp;IF(AND($AQ1993&lt;&gt;"",OR(AND(INDEX(職員マスタ!$G$6:$G$405,$AP1993)&lt;&gt;"",INDEX(職員マスタ!$G$6:$G$405,$AP1993)&gt;EOMONTH($AQ1993,0)),AND(INDEX(職員マスタ!$H$6:$H$405,$AP1993)&lt;&gt;"",INDEX(職員マスタ!$H$6:$H$405,$AP1993)&lt;$AQ1993))),"対象月が時短期間外／","")&amp;IF(AND(INDEX(職員マスタ!$K$6:$K$405,$AP1993)&lt;&gt;"",N($W1993)&gt;0,INDEX(職員マスタ!$K$6:$K$405,$AP1993)&lt;&gt;$W1993),"標準報酬月額が申請書と相違（台帳"&amp;TEXT(INDEX(職員マスタ!$K$6:$K$405,$AP1993),"#,##0")&amp;"円／申請書"&amp;TEXT($W1993,"#,##0")&amp;"円）／","")&amp;IF(AND(INDEX(職員マスタ!$F$6:$F$405,$AP1993)&lt;&gt;"",$AQ1993&lt;&gt;"",INDEX(職員マスタ!$F$6:$F$405,$AP1993)&lt;$AQ1993),"対象月に子が2歳到達済／","")&amp;IF(AND($H1993&lt;&gt;"",INDEX(職員マスタ!$B$6:$B$405,$AP1993)&lt;&gt;"",SUBSTITUTE(SUBSTITUTE($H1993," ","")," ","")&lt;&gt;SUBSTITUTE(SUBSTITUTE(INDEX(職員マスタ!$B$6:$B$405,$AP1993)," ","")," ","")),"氏名がマスタと相違／","")&amp;IF(AND($Q1993&lt;&gt;"",INDEX(職員マスタ!$E$6:$E$405,$AP1993)&lt;&gt;"",$Q1993&lt;&gt;INDEX(職員マスタ!$E$6:$E$405,$AP1993)),"子の生年月日がマスタと相違／","")&amp;IF(AND($L1993&lt;&gt;"",INDEX(職員マスタ!$G$6:$G$405,$AP1993)&lt;&gt;"",$L1993&lt;&gt;INDEX(職員マスタ!$G$6:$G$405,$AP1993)),"時短開始日がマスタと相違／","")&amp;IF(AND($M1993&lt;&gt;"",INDEX(職員マスタ!$H$6:$H$405,$AP1993)&lt;&gt;"",$M1993&lt;&gt;INDEX(職員マスタ!$H$6:$H$405,$AP1993)),"時短終了日がマスタと相違／","")))&amp;IF(AND($B1993&lt;&gt;"",$E1993=""),"報酬額が未入力／","")&amp;IF(N($U1993)&gt;0,"申請書に入力エラーが残っています／","")&amp;IF(AND($B1993&lt;&gt;"",$AQ1993&lt;&gt;""),IF(COUNTIFS($B$6:$B$3005,$B1993,$C$6:$C$3005,$C1993,$D$6:$D$3005,$D1993)&gt;1,"同じ月の請求が重複しています／",""),"")&amp;IF(AND(N($E1993)&gt;0,$AB1993&lt;&gt;"",$AB1993&lt;&gt;"×",$AE1993=0,$AD1993=""),"計算額が下限以下のため不支給／",""))</f>
        <v/>
      </c>
      <c r="AN1993" s="12" t="n"/>
      <c r="AO1993" s="14">
        <f>IF($AF1993="保留中",COUNTIF($AF$6:$AF1993,"保留中"),"")</f>
        <v/>
      </c>
      <c r="AP1993" s="14">
        <f>IF($AQ1993="","",IF(SUMPRODUCT(MAX((職員マスタ!$A$6:$A$405=$B1993)*(((職員マスタ!$G$6:$G$405="")+(職員マスタ!$G$6:$G$405&lt;=EOMONTH($AQ1993,0)))&gt;0)*(((職員マスタ!$H$6:$H$405="")+(職員マスタ!$H$6:$H$405&gt;=$AQ1993))&gt;0)*(ROW(職員マスタ!$A$6:$A$405)-5)))&gt;0,SUMPRODUCT(MAX((職員マスタ!$A$6:$A$405=$B1993)*(((職員マスタ!$G$6:$G$405="")+(職員マスタ!$G$6:$G$405&lt;=EOMONTH($AQ1993,0)))&gt;0)*(((職員マスタ!$H$6:$H$405="")+(職員マスタ!$H$6:$H$405&gt;=$AQ1993))&gt;0)*(ROW(職員マスタ!$A$6:$A$405)-5))),IFERROR(MATCH($B1993,職員マスタ!$A$6:$A$405,0),"")))</f>
        <v/>
      </c>
      <c r="AQ1993" s="16">
        <f>IF(OR($B1993="",$C1993="",$D1993=""),"",DATE($C1993+2018,$D1993,1))</f>
        <v/>
      </c>
    </row>
    <row r="1994">
      <c r="A1994" s="11" t="n"/>
      <c r="B1994" s="12" t="n"/>
      <c r="C1994" s="12" t="n"/>
      <c r="D1994" s="12" t="n"/>
      <c r="E1994" s="13" t="n"/>
      <c r="F1994" s="12" t="n"/>
      <c r="G1994" s="13" t="n"/>
      <c r="H1994" s="12" t="n"/>
      <c r="I1994" s="12" t="n"/>
      <c r="J1994" s="12" t="n"/>
      <c r="K1994" s="12" t="n"/>
      <c r="L1994" s="11" t="n"/>
      <c r="M1994" s="11" t="n"/>
      <c r="N1994" s="11" t="n"/>
      <c r="O1994" s="11" t="n"/>
      <c r="P1994" s="12" t="n"/>
      <c r="Q1994" s="11" t="n"/>
      <c r="R1994" s="12" t="n"/>
      <c r="S1994" s="11" t="n"/>
      <c r="T1994" s="12" t="n"/>
      <c r="U1994" s="12" t="n"/>
      <c r="V1994" s="12" t="n"/>
      <c r="W1994" s="13" t="n"/>
      <c r="X1994" s="14">
        <f>IF($AP1994="",IF($B1994="","",$H1994),IF(INDEX(職員マスタ!$B$6:$B$405,$AP1994)="",$H1994,INDEX(職員マスタ!$B$6:$B$405,$AP1994)))</f>
        <v/>
      </c>
      <c r="Y1994" s="14">
        <f>IF($AP1994="",IF($B1994="","",$R1994),IF(INDEX(職員マスタ!$C$6:$C$405,$AP1994)="",$R1994,INDEX(職員マスタ!$C$6:$C$405,$AP1994)))</f>
        <v/>
      </c>
      <c r="Z1994" s="14">
        <f>IF($AQ1994="","","R"&amp;$C1994&amp;"."&amp;$D1994)</f>
        <v/>
      </c>
      <c r="AA1994" s="15">
        <f>IF(IF($AP1994="",FALSE,INDEX(職員マスタ!$K$6:$K$405,$AP1994)&lt;&gt;""),INDEX(職員マスタ!$K$6:$K$405,$AP1994),IF(N($W1994)&gt;0,$W1994,""))</f>
        <v/>
      </c>
      <c r="AB1994" s="14">
        <f>IF(OR($E1994="",$AA1994=""),"",IF($E1994&gt;=$AA1994,"×",IF($E1994&gt;=$AA1994*設定!$C$5,"△","○")))</f>
        <v/>
      </c>
      <c r="AC1994" s="15">
        <f>IF($AB1994="","",IF($AB1994="×",0,IF($AB1994="○",ROUNDDOWN($E1994*設定!$C$4,0),ROUNDDOWN($E1994*ROUND((9*$AA1994-9*$E1994)/(10*$E1994),4),0))))</f>
        <v/>
      </c>
      <c r="AD1994" s="13" t="n"/>
      <c r="AE1994" s="15">
        <f>IF($B1994="","",IF($AD1994&lt;&gt;"",$AD1994,IF($AC1994="","",IF($AC1994&lt;=設定!$C$3,0,$AC1994))))</f>
        <v/>
      </c>
      <c r="AF1994" s="14">
        <f>IF($B1994="","",IF(AND($AG1994&lt;&gt;"",$AI1994="",$AL1994=""),"保留中",IF($AL1994&lt;&gt;"",IF(N($AE1994)&gt;0,"支給済","不支給"),IF($AE1994="","要確認",IF($AE1994=0,"不支給","未処理")))))</f>
        <v/>
      </c>
      <c r="AG1994" s="12" t="n"/>
      <c r="AH1994" s="11" t="n"/>
      <c r="AI1994" s="11" t="n"/>
      <c r="AJ1994" s="11" t="n"/>
      <c r="AK1994" s="14">
        <f>IF(AND($AF1994="保留中",$AH1994&lt;&gt;""),TODAY()-$AH1994,"")</f>
        <v/>
      </c>
      <c r="AL1994" s="12" t="n"/>
      <c r="AM1994" s="14">
        <f>IF($B1994="","",IF($AQ1994="","対象年月が未入力／","")&amp;IF($B1994="","",IF($AP1994="","職員マスタに未登録の職員番号／",IF($AA1994="","標準報酬月額が未登録／","")&amp;IF(AND($AQ1994&lt;&gt;"",OR(AND(INDEX(職員マスタ!$G$6:$G$405,$AP1994)&lt;&gt;"",INDEX(職員マスタ!$G$6:$G$405,$AP1994)&gt;EOMONTH($AQ1994,0)),AND(INDEX(職員マスタ!$H$6:$H$405,$AP1994)&lt;&gt;"",INDEX(職員マスタ!$H$6:$H$405,$AP1994)&lt;$AQ1994))),"対象月が時短期間外／","")&amp;IF(AND(INDEX(職員マスタ!$K$6:$K$405,$AP1994)&lt;&gt;"",N($W1994)&gt;0,INDEX(職員マスタ!$K$6:$K$405,$AP1994)&lt;&gt;$W1994),"標準報酬月額が申請書と相違（台帳"&amp;TEXT(INDEX(職員マスタ!$K$6:$K$405,$AP1994),"#,##0")&amp;"円／申請書"&amp;TEXT($W1994,"#,##0")&amp;"円）／","")&amp;IF(AND(INDEX(職員マスタ!$F$6:$F$405,$AP1994)&lt;&gt;"",$AQ1994&lt;&gt;"",INDEX(職員マスタ!$F$6:$F$405,$AP1994)&lt;$AQ1994),"対象月に子が2歳到達済／","")&amp;IF(AND($H1994&lt;&gt;"",INDEX(職員マスタ!$B$6:$B$405,$AP1994)&lt;&gt;"",SUBSTITUTE(SUBSTITUTE($H1994," ","")," ","")&lt;&gt;SUBSTITUTE(SUBSTITUTE(INDEX(職員マスタ!$B$6:$B$405,$AP1994)," ","")," ","")),"氏名がマスタと相違／","")&amp;IF(AND($Q1994&lt;&gt;"",INDEX(職員マスタ!$E$6:$E$405,$AP1994)&lt;&gt;"",$Q1994&lt;&gt;INDEX(職員マスタ!$E$6:$E$405,$AP1994)),"子の生年月日がマスタと相違／","")&amp;IF(AND($L1994&lt;&gt;"",INDEX(職員マスタ!$G$6:$G$405,$AP1994)&lt;&gt;"",$L1994&lt;&gt;INDEX(職員マスタ!$G$6:$G$405,$AP1994)),"時短開始日がマスタと相違／","")&amp;IF(AND($M1994&lt;&gt;"",INDEX(職員マスタ!$H$6:$H$405,$AP1994)&lt;&gt;"",$M1994&lt;&gt;INDEX(職員マスタ!$H$6:$H$405,$AP1994)),"時短終了日がマスタと相違／","")))&amp;IF(AND($B1994&lt;&gt;"",$E1994=""),"報酬額が未入力／","")&amp;IF(N($U1994)&gt;0,"申請書に入力エラーが残っています／","")&amp;IF(AND($B1994&lt;&gt;"",$AQ1994&lt;&gt;""),IF(COUNTIFS($B$6:$B$3005,$B1994,$C$6:$C$3005,$C1994,$D$6:$D$3005,$D1994)&gt;1,"同じ月の請求が重複しています／",""),"")&amp;IF(AND(N($E1994)&gt;0,$AB1994&lt;&gt;"",$AB1994&lt;&gt;"×",$AE1994=0,$AD1994=""),"計算額が下限以下のため不支給／",""))</f>
        <v/>
      </c>
      <c r="AN1994" s="12" t="n"/>
      <c r="AO1994" s="14">
        <f>IF($AF1994="保留中",COUNTIF($AF$6:$AF1994,"保留中"),"")</f>
        <v/>
      </c>
      <c r="AP1994" s="14">
        <f>IF($AQ1994="","",IF(SUMPRODUCT(MAX((職員マスタ!$A$6:$A$405=$B1994)*(((職員マスタ!$G$6:$G$405="")+(職員マスタ!$G$6:$G$405&lt;=EOMONTH($AQ1994,0)))&gt;0)*(((職員マスタ!$H$6:$H$405="")+(職員マスタ!$H$6:$H$405&gt;=$AQ1994))&gt;0)*(ROW(職員マスタ!$A$6:$A$405)-5)))&gt;0,SUMPRODUCT(MAX((職員マスタ!$A$6:$A$405=$B1994)*(((職員マスタ!$G$6:$G$405="")+(職員マスタ!$G$6:$G$405&lt;=EOMONTH($AQ1994,0)))&gt;0)*(((職員マスタ!$H$6:$H$405="")+(職員マスタ!$H$6:$H$405&gt;=$AQ1994))&gt;0)*(ROW(職員マスタ!$A$6:$A$405)-5))),IFERROR(MATCH($B1994,職員マスタ!$A$6:$A$405,0),"")))</f>
        <v/>
      </c>
      <c r="AQ1994" s="16">
        <f>IF(OR($B1994="",$C1994="",$D1994=""),"",DATE($C1994+2018,$D1994,1))</f>
        <v/>
      </c>
    </row>
    <row r="1995">
      <c r="A1995" s="11" t="n"/>
      <c r="B1995" s="12" t="n"/>
      <c r="C1995" s="12" t="n"/>
      <c r="D1995" s="12" t="n"/>
      <c r="E1995" s="13" t="n"/>
      <c r="F1995" s="12" t="n"/>
      <c r="G1995" s="13" t="n"/>
      <c r="H1995" s="12" t="n"/>
      <c r="I1995" s="12" t="n"/>
      <c r="J1995" s="12" t="n"/>
      <c r="K1995" s="12" t="n"/>
      <c r="L1995" s="11" t="n"/>
      <c r="M1995" s="11" t="n"/>
      <c r="N1995" s="11" t="n"/>
      <c r="O1995" s="11" t="n"/>
      <c r="P1995" s="12" t="n"/>
      <c r="Q1995" s="11" t="n"/>
      <c r="R1995" s="12" t="n"/>
      <c r="S1995" s="11" t="n"/>
      <c r="T1995" s="12" t="n"/>
      <c r="U1995" s="12" t="n"/>
      <c r="V1995" s="12" t="n"/>
      <c r="W1995" s="13" t="n"/>
      <c r="X1995" s="14">
        <f>IF($AP1995="",IF($B1995="","",$H1995),IF(INDEX(職員マスタ!$B$6:$B$405,$AP1995)="",$H1995,INDEX(職員マスタ!$B$6:$B$405,$AP1995)))</f>
        <v/>
      </c>
      <c r="Y1995" s="14">
        <f>IF($AP1995="",IF($B1995="","",$R1995),IF(INDEX(職員マスタ!$C$6:$C$405,$AP1995)="",$R1995,INDEX(職員マスタ!$C$6:$C$405,$AP1995)))</f>
        <v/>
      </c>
      <c r="Z1995" s="14">
        <f>IF($AQ1995="","","R"&amp;$C1995&amp;"."&amp;$D1995)</f>
        <v/>
      </c>
      <c r="AA1995" s="15">
        <f>IF(IF($AP1995="",FALSE,INDEX(職員マスタ!$K$6:$K$405,$AP1995)&lt;&gt;""),INDEX(職員マスタ!$K$6:$K$405,$AP1995),IF(N($W1995)&gt;0,$W1995,""))</f>
        <v/>
      </c>
      <c r="AB1995" s="14">
        <f>IF(OR($E1995="",$AA1995=""),"",IF($E1995&gt;=$AA1995,"×",IF($E1995&gt;=$AA1995*設定!$C$5,"△","○")))</f>
        <v/>
      </c>
      <c r="AC1995" s="15">
        <f>IF($AB1995="","",IF($AB1995="×",0,IF($AB1995="○",ROUNDDOWN($E1995*設定!$C$4,0),ROUNDDOWN($E1995*ROUND((9*$AA1995-9*$E1995)/(10*$E1995),4),0))))</f>
        <v/>
      </c>
      <c r="AD1995" s="13" t="n"/>
      <c r="AE1995" s="15">
        <f>IF($B1995="","",IF($AD1995&lt;&gt;"",$AD1995,IF($AC1995="","",IF($AC1995&lt;=設定!$C$3,0,$AC1995))))</f>
        <v/>
      </c>
      <c r="AF1995" s="14">
        <f>IF($B1995="","",IF(AND($AG1995&lt;&gt;"",$AI1995="",$AL1995=""),"保留中",IF($AL1995&lt;&gt;"",IF(N($AE1995)&gt;0,"支給済","不支給"),IF($AE1995="","要確認",IF($AE1995=0,"不支給","未処理")))))</f>
        <v/>
      </c>
      <c r="AG1995" s="12" t="n"/>
      <c r="AH1995" s="11" t="n"/>
      <c r="AI1995" s="11" t="n"/>
      <c r="AJ1995" s="11" t="n"/>
      <c r="AK1995" s="14">
        <f>IF(AND($AF1995="保留中",$AH1995&lt;&gt;""),TODAY()-$AH1995,"")</f>
        <v/>
      </c>
      <c r="AL1995" s="12" t="n"/>
      <c r="AM1995" s="14">
        <f>IF($B1995="","",IF($AQ1995="","対象年月が未入力／","")&amp;IF($B1995="","",IF($AP1995="","職員マスタに未登録の職員番号／",IF($AA1995="","標準報酬月額が未登録／","")&amp;IF(AND($AQ1995&lt;&gt;"",OR(AND(INDEX(職員マスタ!$G$6:$G$405,$AP1995)&lt;&gt;"",INDEX(職員マスタ!$G$6:$G$405,$AP1995)&gt;EOMONTH($AQ1995,0)),AND(INDEX(職員マスタ!$H$6:$H$405,$AP1995)&lt;&gt;"",INDEX(職員マスタ!$H$6:$H$405,$AP1995)&lt;$AQ1995))),"対象月が時短期間外／","")&amp;IF(AND(INDEX(職員マスタ!$K$6:$K$405,$AP1995)&lt;&gt;"",N($W1995)&gt;0,INDEX(職員マスタ!$K$6:$K$405,$AP1995)&lt;&gt;$W1995),"標準報酬月額が申請書と相違（台帳"&amp;TEXT(INDEX(職員マスタ!$K$6:$K$405,$AP1995),"#,##0")&amp;"円／申請書"&amp;TEXT($W1995,"#,##0")&amp;"円）／","")&amp;IF(AND(INDEX(職員マスタ!$F$6:$F$405,$AP1995)&lt;&gt;"",$AQ1995&lt;&gt;"",INDEX(職員マスタ!$F$6:$F$405,$AP1995)&lt;$AQ1995),"対象月に子が2歳到達済／","")&amp;IF(AND($H1995&lt;&gt;"",INDEX(職員マスタ!$B$6:$B$405,$AP1995)&lt;&gt;"",SUBSTITUTE(SUBSTITUTE($H1995," ","")," ","")&lt;&gt;SUBSTITUTE(SUBSTITUTE(INDEX(職員マスタ!$B$6:$B$405,$AP1995)," ","")," ","")),"氏名がマスタと相違／","")&amp;IF(AND($Q1995&lt;&gt;"",INDEX(職員マスタ!$E$6:$E$405,$AP1995)&lt;&gt;"",$Q1995&lt;&gt;INDEX(職員マスタ!$E$6:$E$405,$AP1995)),"子の生年月日がマスタと相違／","")&amp;IF(AND($L1995&lt;&gt;"",INDEX(職員マスタ!$G$6:$G$405,$AP1995)&lt;&gt;"",$L1995&lt;&gt;INDEX(職員マスタ!$G$6:$G$405,$AP1995)),"時短開始日がマスタと相違／","")&amp;IF(AND($M1995&lt;&gt;"",INDEX(職員マスタ!$H$6:$H$405,$AP1995)&lt;&gt;"",$M1995&lt;&gt;INDEX(職員マスタ!$H$6:$H$405,$AP1995)),"時短終了日がマスタと相違／","")))&amp;IF(AND($B1995&lt;&gt;"",$E1995=""),"報酬額が未入力／","")&amp;IF(N($U1995)&gt;0,"申請書に入力エラーが残っています／","")&amp;IF(AND($B1995&lt;&gt;"",$AQ1995&lt;&gt;""),IF(COUNTIFS($B$6:$B$3005,$B1995,$C$6:$C$3005,$C1995,$D$6:$D$3005,$D1995)&gt;1,"同じ月の請求が重複しています／",""),"")&amp;IF(AND(N($E1995)&gt;0,$AB1995&lt;&gt;"",$AB1995&lt;&gt;"×",$AE1995=0,$AD1995=""),"計算額が下限以下のため不支給／",""))</f>
        <v/>
      </c>
      <c r="AN1995" s="12" t="n"/>
      <c r="AO1995" s="14">
        <f>IF($AF1995="保留中",COUNTIF($AF$6:$AF1995,"保留中"),"")</f>
        <v/>
      </c>
      <c r="AP1995" s="14">
        <f>IF($AQ1995="","",IF(SUMPRODUCT(MAX((職員マスタ!$A$6:$A$405=$B1995)*(((職員マスタ!$G$6:$G$405="")+(職員マスタ!$G$6:$G$405&lt;=EOMONTH($AQ1995,0)))&gt;0)*(((職員マスタ!$H$6:$H$405="")+(職員マスタ!$H$6:$H$405&gt;=$AQ1995))&gt;0)*(ROW(職員マスタ!$A$6:$A$405)-5)))&gt;0,SUMPRODUCT(MAX((職員マスタ!$A$6:$A$405=$B1995)*(((職員マスタ!$G$6:$G$405="")+(職員マスタ!$G$6:$G$405&lt;=EOMONTH($AQ1995,0)))&gt;0)*(((職員マスタ!$H$6:$H$405="")+(職員マスタ!$H$6:$H$405&gt;=$AQ1995))&gt;0)*(ROW(職員マスタ!$A$6:$A$405)-5))),IFERROR(MATCH($B1995,職員マスタ!$A$6:$A$405,0),"")))</f>
        <v/>
      </c>
      <c r="AQ1995" s="16">
        <f>IF(OR($B1995="",$C1995="",$D1995=""),"",DATE($C1995+2018,$D1995,1))</f>
        <v/>
      </c>
    </row>
    <row r="1996">
      <c r="A1996" s="11" t="n"/>
      <c r="B1996" s="12" t="n"/>
      <c r="C1996" s="12" t="n"/>
      <c r="D1996" s="12" t="n"/>
      <c r="E1996" s="13" t="n"/>
      <c r="F1996" s="12" t="n"/>
      <c r="G1996" s="13" t="n"/>
      <c r="H1996" s="12" t="n"/>
      <c r="I1996" s="12" t="n"/>
      <c r="J1996" s="12" t="n"/>
      <c r="K1996" s="12" t="n"/>
      <c r="L1996" s="11" t="n"/>
      <c r="M1996" s="11" t="n"/>
      <c r="N1996" s="11" t="n"/>
      <c r="O1996" s="11" t="n"/>
      <c r="P1996" s="12" t="n"/>
      <c r="Q1996" s="11" t="n"/>
      <c r="R1996" s="12" t="n"/>
      <c r="S1996" s="11" t="n"/>
      <c r="T1996" s="12" t="n"/>
      <c r="U1996" s="12" t="n"/>
      <c r="V1996" s="12" t="n"/>
      <c r="W1996" s="13" t="n"/>
      <c r="X1996" s="14">
        <f>IF($AP1996="",IF($B1996="","",$H1996),IF(INDEX(職員マスタ!$B$6:$B$405,$AP1996)="",$H1996,INDEX(職員マスタ!$B$6:$B$405,$AP1996)))</f>
        <v/>
      </c>
      <c r="Y1996" s="14">
        <f>IF($AP1996="",IF($B1996="","",$R1996),IF(INDEX(職員マスタ!$C$6:$C$405,$AP1996)="",$R1996,INDEX(職員マスタ!$C$6:$C$405,$AP1996)))</f>
        <v/>
      </c>
      <c r="Z1996" s="14">
        <f>IF($AQ1996="","","R"&amp;$C1996&amp;"."&amp;$D1996)</f>
        <v/>
      </c>
      <c r="AA1996" s="15">
        <f>IF(IF($AP1996="",FALSE,INDEX(職員マスタ!$K$6:$K$405,$AP1996)&lt;&gt;""),INDEX(職員マスタ!$K$6:$K$405,$AP1996),IF(N($W1996)&gt;0,$W1996,""))</f>
        <v/>
      </c>
      <c r="AB1996" s="14">
        <f>IF(OR($E1996="",$AA1996=""),"",IF($E1996&gt;=$AA1996,"×",IF($E1996&gt;=$AA1996*設定!$C$5,"△","○")))</f>
        <v/>
      </c>
      <c r="AC1996" s="15">
        <f>IF($AB1996="","",IF($AB1996="×",0,IF($AB1996="○",ROUNDDOWN($E1996*設定!$C$4,0),ROUNDDOWN($E1996*ROUND((9*$AA1996-9*$E1996)/(10*$E1996),4),0))))</f>
        <v/>
      </c>
      <c r="AD1996" s="13" t="n"/>
      <c r="AE1996" s="15">
        <f>IF($B1996="","",IF($AD1996&lt;&gt;"",$AD1996,IF($AC1996="","",IF($AC1996&lt;=設定!$C$3,0,$AC1996))))</f>
        <v/>
      </c>
      <c r="AF1996" s="14">
        <f>IF($B1996="","",IF(AND($AG1996&lt;&gt;"",$AI1996="",$AL1996=""),"保留中",IF($AL1996&lt;&gt;"",IF(N($AE1996)&gt;0,"支給済","不支給"),IF($AE1996="","要確認",IF($AE1996=0,"不支給","未処理")))))</f>
        <v/>
      </c>
      <c r="AG1996" s="12" t="n"/>
      <c r="AH1996" s="11" t="n"/>
      <c r="AI1996" s="11" t="n"/>
      <c r="AJ1996" s="11" t="n"/>
      <c r="AK1996" s="14">
        <f>IF(AND($AF1996="保留中",$AH1996&lt;&gt;""),TODAY()-$AH1996,"")</f>
        <v/>
      </c>
      <c r="AL1996" s="12" t="n"/>
      <c r="AM1996" s="14">
        <f>IF($B1996="","",IF($AQ1996="","対象年月が未入力／","")&amp;IF($B1996="","",IF($AP1996="","職員マスタに未登録の職員番号／",IF($AA1996="","標準報酬月額が未登録／","")&amp;IF(AND($AQ1996&lt;&gt;"",OR(AND(INDEX(職員マスタ!$G$6:$G$405,$AP1996)&lt;&gt;"",INDEX(職員マスタ!$G$6:$G$405,$AP1996)&gt;EOMONTH($AQ1996,0)),AND(INDEX(職員マスタ!$H$6:$H$405,$AP1996)&lt;&gt;"",INDEX(職員マスタ!$H$6:$H$405,$AP1996)&lt;$AQ1996))),"対象月が時短期間外／","")&amp;IF(AND(INDEX(職員マスタ!$K$6:$K$405,$AP1996)&lt;&gt;"",N($W1996)&gt;0,INDEX(職員マスタ!$K$6:$K$405,$AP1996)&lt;&gt;$W1996),"標準報酬月額が申請書と相違（台帳"&amp;TEXT(INDEX(職員マスタ!$K$6:$K$405,$AP1996),"#,##0")&amp;"円／申請書"&amp;TEXT($W1996,"#,##0")&amp;"円）／","")&amp;IF(AND(INDEX(職員マスタ!$F$6:$F$405,$AP1996)&lt;&gt;"",$AQ1996&lt;&gt;"",INDEX(職員マスタ!$F$6:$F$405,$AP1996)&lt;$AQ1996),"対象月に子が2歳到達済／","")&amp;IF(AND($H1996&lt;&gt;"",INDEX(職員マスタ!$B$6:$B$405,$AP1996)&lt;&gt;"",SUBSTITUTE(SUBSTITUTE($H1996," ","")," ","")&lt;&gt;SUBSTITUTE(SUBSTITUTE(INDEX(職員マスタ!$B$6:$B$405,$AP1996)," ","")," ","")),"氏名がマスタと相違／","")&amp;IF(AND($Q1996&lt;&gt;"",INDEX(職員マスタ!$E$6:$E$405,$AP1996)&lt;&gt;"",$Q1996&lt;&gt;INDEX(職員マスタ!$E$6:$E$405,$AP1996)),"子の生年月日がマスタと相違／","")&amp;IF(AND($L1996&lt;&gt;"",INDEX(職員マスタ!$G$6:$G$405,$AP1996)&lt;&gt;"",$L1996&lt;&gt;INDEX(職員マスタ!$G$6:$G$405,$AP1996)),"時短開始日がマスタと相違／","")&amp;IF(AND($M1996&lt;&gt;"",INDEX(職員マスタ!$H$6:$H$405,$AP1996)&lt;&gt;"",$M1996&lt;&gt;INDEX(職員マスタ!$H$6:$H$405,$AP1996)),"時短終了日がマスタと相違／","")))&amp;IF(AND($B1996&lt;&gt;"",$E1996=""),"報酬額が未入力／","")&amp;IF(N($U1996)&gt;0,"申請書に入力エラーが残っています／","")&amp;IF(AND($B1996&lt;&gt;"",$AQ1996&lt;&gt;""),IF(COUNTIFS($B$6:$B$3005,$B1996,$C$6:$C$3005,$C1996,$D$6:$D$3005,$D1996)&gt;1,"同じ月の請求が重複しています／",""),"")&amp;IF(AND(N($E1996)&gt;0,$AB1996&lt;&gt;"",$AB1996&lt;&gt;"×",$AE1996=0,$AD1996=""),"計算額が下限以下のため不支給／",""))</f>
        <v/>
      </c>
      <c r="AN1996" s="12" t="n"/>
      <c r="AO1996" s="14">
        <f>IF($AF1996="保留中",COUNTIF($AF$6:$AF1996,"保留中"),"")</f>
        <v/>
      </c>
      <c r="AP1996" s="14">
        <f>IF($AQ1996="","",IF(SUMPRODUCT(MAX((職員マスタ!$A$6:$A$405=$B1996)*(((職員マスタ!$G$6:$G$405="")+(職員マスタ!$G$6:$G$405&lt;=EOMONTH($AQ1996,0)))&gt;0)*(((職員マスタ!$H$6:$H$405="")+(職員マスタ!$H$6:$H$405&gt;=$AQ1996))&gt;0)*(ROW(職員マスタ!$A$6:$A$405)-5)))&gt;0,SUMPRODUCT(MAX((職員マスタ!$A$6:$A$405=$B1996)*(((職員マスタ!$G$6:$G$405="")+(職員マスタ!$G$6:$G$405&lt;=EOMONTH($AQ1996,0)))&gt;0)*(((職員マスタ!$H$6:$H$405="")+(職員マスタ!$H$6:$H$405&gt;=$AQ1996))&gt;0)*(ROW(職員マスタ!$A$6:$A$405)-5))),IFERROR(MATCH($B1996,職員マスタ!$A$6:$A$405,0),"")))</f>
        <v/>
      </c>
      <c r="AQ1996" s="16">
        <f>IF(OR($B1996="",$C1996="",$D1996=""),"",DATE($C1996+2018,$D1996,1))</f>
        <v/>
      </c>
    </row>
    <row r="1997">
      <c r="A1997" s="11" t="n"/>
      <c r="B1997" s="12" t="n"/>
      <c r="C1997" s="12" t="n"/>
      <c r="D1997" s="12" t="n"/>
      <c r="E1997" s="13" t="n"/>
      <c r="F1997" s="12" t="n"/>
      <c r="G1997" s="13" t="n"/>
      <c r="H1997" s="12" t="n"/>
      <c r="I1997" s="12" t="n"/>
      <c r="J1997" s="12" t="n"/>
      <c r="K1997" s="12" t="n"/>
      <c r="L1997" s="11" t="n"/>
      <c r="M1997" s="11" t="n"/>
      <c r="N1997" s="11" t="n"/>
      <c r="O1997" s="11" t="n"/>
      <c r="P1997" s="12" t="n"/>
      <c r="Q1997" s="11" t="n"/>
      <c r="R1997" s="12" t="n"/>
      <c r="S1997" s="11" t="n"/>
      <c r="T1997" s="12" t="n"/>
      <c r="U1997" s="12" t="n"/>
      <c r="V1997" s="12" t="n"/>
      <c r="W1997" s="13" t="n"/>
      <c r="X1997" s="14">
        <f>IF($AP1997="",IF($B1997="","",$H1997),IF(INDEX(職員マスタ!$B$6:$B$405,$AP1997)="",$H1997,INDEX(職員マスタ!$B$6:$B$405,$AP1997)))</f>
        <v/>
      </c>
      <c r="Y1997" s="14">
        <f>IF($AP1997="",IF($B1997="","",$R1997),IF(INDEX(職員マスタ!$C$6:$C$405,$AP1997)="",$R1997,INDEX(職員マスタ!$C$6:$C$405,$AP1997)))</f>
        <v/>
      </c>
      <c r="Z1997" s="14">
        <f>IF($AQ1997="","","R"&amp;$C1997&amp;"."&amp;$D1997)</f>
        <v/>
      </c>
      <c r="AA1997" s="15">
        <f>IF(IF($AP1997="",FALSE,INDEX(職員マスタ!$K$6:$K$405,$AP1997)&lt;&gt;""),INDEX(職員マスタ!$K$6:$K$405,$AP1997),IF(N($W1997)&gt;0,$W1997,""))</f>
        <v/>
      </c>
      <c r="AB1997" s="14">
        <f>IF(OR($E1997="",$AA1997=""),"",IF($E1997&gt;=$AA1997,"×",IF($E1997&gt;=$AA1997*設定!$C$5,"△","○")))</f>
        <v/>
      </c>
      <c r="AC1997" s="15">
        <f>IF($AB1997="","",IF($AB1997="×",0,IF($AB1997="○",ROUNDDOWN($E1997*設定!$C$4,0),ROUNDDOWN($E1997*ROUND((9*$AA1997-9*$E1997)/(10*$E1997),4),0))))</f>
        <v/>
      </c>
      <c r="AD1997" s="13" t="n"/>
      <c r="AE1997" s="15">
        <f>IF($B1997="","",IF($AD1997&lt;&gt;"",$AD1997,IF($AC1997="","",IF($AC1997&lt;=設定!$C$3,0,$AC1997))))</f>
        <v/>
      </c>
      <c r="AF1997" s="14">
        <f>IF($B1997="","",IF(AND($AG1997&lt;&gt;"",$AI1997="",$AL1997=""),"保留中",IF($AL1997&lt;&gt;"",IF(N($AE1997)&gt;0,"支給済","不支給"),IF($AE1997="","要確認",IF($AE1997=0,"不支給","未処理")))))</f>
        <v/>
      </c>
      <c r="AG1997" s="12" t="n"/>
      <c r="AH1997" s="11" t="n"/>
      <c r="AI1997" s="11" t="n"/>
      <c r="AJ1997" s="11" t="n"/>
      <c r="AK1997" s="14">
        <f>IF(AND($AF1997="保留中",$AH1997&lt;&gt;""),TODAY()-$AH1997,"")</f>
        <v/>
      </c>
      <c r="AL1997" s="12" t="n"/>
      <c r="AM1997" s="14">
        <f>IF($B1997="","",IF($AQ1997="","対象年月が未入力／","")&amp;IF($B1997="","",IF($AP1997="","職員マスタに未登録の職員番号／",IF($AA1997="","標準報酬月額が未登録／","")&amp;IF(AND($AQ1997&lt;&gt;"",OR(AND(INDEX(職員マスタ!$G$6:$G$405,$AP1997)&lt;&gt;"",INDEX(職員マスタ!$G$6:$G$405,$AP1997)&gt;EOMONTH($AQ1997,0)),AND(INDEX(職員マスタ!$H$6:$H$405,$AP1997)&lt;&gt;"",INDEX(職員マスタ!$H$6:$H$405,$AP1997)&lt;$AQ1997))),"対象月が時短期間外／","")&amp;IF(AND(INDEX(職員マスタ!$K$6:$K$405,$AP1997)&lt;&gt;"",N($W1997)&gt;0,INDEX(職員マスタ!$K$6:$K$405,$AP1997)&lt;&gt;$W1997),"標準報酬月額が申請書と相違（台帳"&amp;TEXT(INDEX(職員マスタ!$K$6:$K$405,$AP1997),"#,##0")&amp;"円／申請書"&amp;TEXT($W1997,"#,##0")&amp;"円）／","")&amp;IF(AND(INDEX(職員マスタ!$F$6:$F$405,$AP1997)&lt;&gt;"",$AQ1997&lt;&gt;"",INDEX(職員マスタ!$F$6:$F$405,$AP1997)&lt;$AQ1997),"対象月に子が2歳到達済／","")&amp;IF(AND($H1997&lt;&gt;"",INDEX(職員マスタ!$B$6:$B$405,$AP1997)&lt;&gt;"",SUBSTITUTE(SUBSTITUTE($H1997," ","")," ","")&lt;&gt;SUBSTITUTE(SUBSTITUTE(INDEX(職員マスタ!$B$6:$B$405,$AP1997)," ","")," ","")),"氏名がマスタと相違／","")&amp;IF(AND($Q1997&lt;&gt;"",INDEX(職員マスタ!$E$6:$E$405,$AP1997)&lt;&gt;"",$Q1997&lt;&gt;INDEX(職員マスタ!$E$6:$E$405,$AP1997)),"子の生年月日がマスタと相違／","")&amp;IF(AND($L1997&lt;&gt;"",INDEX(職員マスタ!$G$6:$G$405,$AP1997)&lt;&gt;"",$L1997&lt;&gt;INDEX(職員マスタ!$G$6:$G$405,$AP1997)),"時短開始日がマスタと相違／","")&amp;IF(AND($M1997&lt;&gt;"",INDEX(職員マスタ!$H$6:$H$405,$AP1997)&lt;&gt;"",$M1997&lt;&gt;INDEX(職員マスタ!$H$6:$H$405,$AP1997)),"時短終了日がマスタと相違／","")))&amp;IF(AND($B1997&lt;&gt;"",$E1997=""),"報酬額が未入力／","")&amp;IF(N($U1997)&gt;0,"申請書に入力エラーが残っています／","")&amp;IF(AND($B1997&lt;&gt;"",$AQ1997&lt;&gt;""),IF(COUNTIFS($B$6:$B$3005,$B1997,$C$6:$C$3005,$C1997,$D$6:$D$3005,$D1997)&gt;1,"同じ月の請求が重複しています／",""),"")&amp;IF(AND(N($E1997)&gt;0,$AB1997&lt;&gt;"",$AB1997&lt;&gt;"×",$AE1997=0,$AD1997=""),"計算額が下限以下のため不支給／",""))</f>
        <v/>
      </c>
      <c r="AN1997" s="12" t="n"/>
      <c r="AO1997" s="14">
        <f>IF($AF1997="保留中",COUNTIF($AF$6:$AF1997,"保留中"),"")</f>
        <v/>
      </c>
      <c r="AP1997" s="14">
        <f>IF($AQ1997="","",IF(SUMPRODUCT(MAX((職員マスタ!$A$6:$A$405=$B1997)*(((職員マスタ!$G$6:$G$405="")+(職員マスタ!$G$6:$G$405&lt;=EOMONTH($AQ1997,0)))&gt;0)*(((職員マスタ!$H$6:$H$405="")+(職員マスタ!$H$6:$H$405&gt;=$AQ1997))&gt;0)*(ROW(職員マスタ!$A$6:$A$405)-5)))&gt;0,SUMPRODUCT(MAX((職員マスタ!$A$6:$A$405=$B1997)*(((職員マスタ!$G$6:$G$405="")+(職員マスタ!$G$6:$G$405&lt;=EOMONTH($AQ1997,0)))&gt;0)*(((職員マスタ!$H$6:$H$405="")+(職員マスタ!$H$6:$H$405&gt;=$AQ1997))&gt;0)*(ROW(職員マスタ!$A$6:$A$405)-5))),IFERROR(MATCH($B1997,職員マスタ!$A$6:$A$405,0),"")))</f>
        <v/>
      </c>
      <c r="AQ1997" s="16">
        <f>IF(OR($B1997="",$C1997="",$D1997=""),"",DATE($C1997+2018,$D1997,1))</f>
        <v/>
      </c>
    </row>
    <row r="1998">
      <c r="A1998" s="11" t="n"/>
      <c r="B1998" s="12" t="n"/>
      <c r="C1998" s="12" t="n"/>
      <c r="D1998" s="12" t="n"/>
      <c r="E1998" s="13" t="n"/>
      <c r="F1998" s="12" t="n"/>
      <c r="G1998" s="13" t="n"/>
      <c r="H1998" s="12" t="n"/>
      <c r="I1998" s="12" t="n"/>
      <c r="J1998" s="12" t="n"/>
      <c r="K1998" s="12" t="n"/>
      <c r="L1998" s="11" t="n"/>
      <c r="M1998" s="11" t="n"/>
      <c r="N1998" s="11" t="n"/>
      <c r="O1998" s="11" t="n"/>
      <c r="P1998" s="12" t="n"/>
      <c r="Q1998" s="11" t="n"/>
      <c r="R1998" s="12" t="n"/>
      <c r="S1998" s="11" t="n"/>
      <c r="T1998" s="12" t="n"/>
      <c r="U1998" s="12" t="n"/>
      <c r="V1998" s="12" t="n"/>
      <c r="W1998" s="13" t="n"/>
      <c r="X1998" s="14">
        <f>IF($AP1998="",IF($B1998="","",$H1998),IF(INDEX(職員マスタ!$B$6:$B$405,$AP1998)="",$H1998,INDEX(職員マスタ!$B$6:$B$405,$AP1998)))</f>
        <v/>
      </c>
      <c r="Y1998" s="14">
        <f>IF($AP1998="",IF($B1998="","",$R1998),IF(INDEX(職員マスタ!$C$6:$C$405,$AP1998)="",$R1998,INDEX(職員マスタ!$C$6:$C$405,$AP1998)))</f>
        <v/>
      </c>
      <c r="Z1998" s="14">
        <f>IF($AQ1998="","","R"&amp;$C1998&amp;"."&amp;$D1998)</f>
        <v/>
      </c>
      <c r="AA1998" s="15">
        <f>IF(IF($AP1998="",FALSE,INDEX(職員マスタ!$K$6:$K$405,$AP1998)&lt;&gt;""),INDEX(職員マスタ!$K$6:$K$405,$AP1998),IF(N($W1998)&gt;0,$W1998,""))</f>
        <v/>
      </c>
      <c r="AB1998" s="14">
        <f>IF(OR($E1998="",$AA1998=""),"",IF($E1998&gt;=$AA1998,"×",IF($E1998&gt;=$AA1998*設定!$C$5,"△","○")))</f>
        <v/>
      </c>
      <c r="AC1998" s="15">
        <f>IF($AB1998="","",IF($AB1998="×",0,IF($AB1998="○",ROUNDDOWN($E1998*設定!$C$4,0),ROUNDDOWN($E1998*ROUND((9*$AA1998-9*$E1998)/(10*$E1998),4),0))))</f>
        <v/>
      </c>
      <c r="AD1998" s="13" t="n"/>
      <c r="AE1998" s="15">
        <f>IF($B1998="","",IF($AD1998&lt;&gt;"",$AD1998,IF($AC1998="","",IF($AC1998&lt;=設定!$C$3,0,$AC1998))))</f>
        <v/>
      </c>
      <c r="AF1998" s="14">
        <f>IF($B1998="","",IF(AND($AG1998&lt;&gt;"",$AI1998="",$AL1998=""),"保留中",IF($AL1998&lt;&gt;"",IF(N($AE1998)&gt;0,"支給済","不支給"),IF($AE1998="","要確認",IF($AE1998=0,"不支給","未処理")))))</f>
        <v/>
      </c>
      <c r="AG1998" s="12" t="n"/>
      <c r="AH1998" s="11" t="n"/>
      <c r="AI1998" s="11" t="n"/>
      <c r="AJ1998" s="11" t="n"/>
      <c r="AK1998" s="14">
        <f>IF(AND($AF1998="保留中",$AH1998&lt;&gt;""),TODAY()-$AH1998,"")</f>
        <v/>
      </c>
      <c r="AL1998" s="12" t="n"/>
      <c r="AM1998" s="14">
        <f>IF($B1998="","",IF($AQ1998="","対象年月が未入力／","")&amp;IF($B1998="","",IF($AP1998="","職員マスタに未登録の職員番号／",IF($AA1998="","標準報酬月額が未登録／","")&amp;IF(AND($AQ1998&lt;&gt;"",OR(AND(INDEX(職員マスタ!$G$6:$G$405,$AP1998)&lt;&gt;"",INDEX(職員マスタ!$G$6:$G$405,$AP1998)&gt;EOMONTH($AQ1998,0)),AND(INDEX(職員マスタ!$H$6:$H$405,$AP1998)&lt;&gt;"",INDEX(職員マスタ!$H$6:$H$405,$AP1998)&lt;$AQ1998))),"対象月が時短期間外／","")&amp;IF(AND(INDEX(職員マスタ!$K$6:$K$405,$AP1998)&lt;&gt;"",N($W1998)&gt;0,INDEX(職員マスタ!$K$6:$K$405,$AP1998)&lt;&gt;$W1998),"標準報酬月額が申請書と相違（台帳"&amp;TEXT(INDEX(職員マスタ!$K$6:$K$405,$AP1998),"#,##0")&amp;"円／申請書"&amp;TEXT($W1998,"#,##0")&amp;"円）／","")&amp;IF(AND(INDEX(職員マスタ!$F$6:$F$405,$AP1998)&lt;&gt;"",$AQ1998&lt;&gt;"",INDEX(職員マスタ!$F$6:$F$405,$AP1998)&lt;$AQ1998),"対象月に子が2歳到達済／","")&amp;IF(AND($H1998&lt;&gt;"",INDEX(職員マスタ!$B$6:$B$405,$AP1998)&lt;&gt;"",SUBSTITUTE(SUBSTITUTE($H1998," ","")," ","")&lt;&gt;SUBSTITUTE(SUBSTITUTE(INDEX(職員マスタ!$B$6:$B$405,$AP1998)," ","")," ","")),"氏名がマスタと相違／","")&amp;IF(AND($Q1998&lt;&gt;"",INDEX(職員マスタ!$E$6:$E$405,$AP1998)&lt;&gt;"",$Q1998&lt;&gt;INDEX(職員マスタ!$E$6:$E$405,$AP1998)),"子の生年月日がマスタと相違／","")&amp;IF(AND($L1998&lt;&gt;"",INDEX(職員マスタ!$G$6:$G$405,$AP1998)&lt;&gt;"",$L1998&lt;&gt;INDEX(職員マスタ!$G$6:$G$405,$AP1998)),"時短開始日がマスタと相違／","")&amp;IF(AND($M1998&lt;&gt;"",INDEX(職員マスタ!$H$6:$H$405,$AP1998)&lt;&gt;"",$M1998&lt;&gt;INDEX(職員マスタ!$H$6:$H$405,$AP1998)),"時短終了日がマスタと相違／","")))&amp;IF(AND($B1998&lt;&gt;"",$E1998=""),"報酬額が未入力／","")&amp;IF(N($U1998)&gt;0,"申請書に入力エラーが残っています／","")&amp;IF(AND($B1998&lt;&gt;"",$AQ1998&lt;&gt;""),IF(COUNTIFS($B$6:$B$3005,$B1998,$C$6:$C$3005,$C1998,$D$6:$D$3005,$D1998)&gt;1,"同じ月の請求が重複しています／",""),"")&amp;IF(AND(N($E1998)&gt;0,$AB1998&lt;&gt;"",$AB1998&lt;&gt;"×",$AE1998=0,$AD1998=""),"計算額が下限以下のため不支給／",""))</f>
        <v/>
      </c>
      <c r="AN1998" s="12" t="n"/>
      <c r="AO1998" s="14">
        <f>IF($AF1998="保留中",COUNTIF($AF$6:$AF1998,"保留中"),"")</f>
        <v/>
      </c>
      <c r="AP1998" s="14">
        <f>IF($AQ1998="","",IF(SUMPRODUCT(MAX((職員マスタ!$A$6:$A$405=$B1998)*(((職員マスタ!$G$6:$G$405="")+(職員マスタ!$G$6:$G$405&lt;=EOMONTH($AQ1998,0)))&gt;0)*(((職員マスタ!$H$6:$H$405="")+(職員マスタ!$H$6:$H$405&gt;=$AQ1998))&gt;0)*(ROW(職員マスタ!$A$6:$A$405)-5)))&gt;0,SUMPRODUCT(MAX((職員マスタ!$A$6:$A$405=$B1998)*(((職員マスタ!$G$6:$G$405="")+(職員マスタ!$G$6:$G$405&lt;=EOMONTH($AQ1998,0)))&gt;0)*(((職員マスタ!$H$6:$H$405="")+(職員マスタ!$H$6:$H$405&gt;=$AQ1998))&gt;0)*(ROW(職員マスタ!$A$6:$A$405)-5))),IFERROR(MATCH($B1998,職員マスタ!$A$6:$A$405,0),"")))</f>
        <v/>
      </c>
      <c r="AQ1998" s="16">
        <f>IF(OR($B1998="",$C1998="",$D1998=""),"",DATE($C1998+2018,$D1998,1))</f>
        <v/>
      </c>
    </row>
    <row r="1999">
      <c r="A1999" s="11" t="n"/>
      <c r="B1999" s="12" t="n"/>
      <c r="C1999" s="12" t="n"/>
      <c r="D1999" s="12" t="n"/>
      <c r="E1999" s="13" t="n"/>
      <c r="F1999" s="12" t="n"/>
      <c r="G1999" s="13" t="n"/>
      <c r="H1999" s="12" t="n"/>
      <c r="I1999" s="12" t="n"/>
      <c r="J1999" s="12" t="n"/>
      <c r="K1999" s="12" t="n"/>
      <c r="L1999" s="11" t="n"/>
      <c r="M1999" s="11" t="n"/>
      <c r="N1999" s="11" t="n"/>
      <c r="O1999" s="11" t="n"/>
      <c r="P1999" s="12" t="n"/>
      <c r="Q1999" s="11" t="n"/>
      <c r="R1999" s="12" t="n"/>
      <c r="S1999" s="11" t="n"/>
      <c r="T1999" s="12" t="n"/>
      <c r="U1999" s="12" t="n"/>
      <c r="V1999" s="12" t="n"/>
      <c r="W1999" s="13" t="n"/>
      <c r="X1999" s="14">
        <f>IF($AP1999="",IF($B1999="","",$H1999),IF(INDEX(職員マスタ!$B$6:$B$405,$AP1999)="",$H1999,INDEX(職員マスタ!$B$6:$B$405,$AP1999)))</f>
        <v/>
      </c>
      <c r="Y1999" s="14">
        <f>IF($AP1999="",IF($B1999="","",$R1999),IF(INDEX(職員マスタ!$C$6:$C$405,$AP1999)="",$R1999,INDEX(職員マスタ!$C$6:$C$405,$AP1999)))</f>
        <v/>
      </c>
      <c r="Z1999" s="14">
        <f>IF($AQ1999="","","R"&amp;$C1999&amp;"."&amp;$D1999)</f>
        <v/>
      </c>
      <c r="AA1999" s="15">
        <f>IF(IF($AP1999="",FALSE,INDEX(職員マスタ!$K$6:$K$405,$AP1999)&lt;&gt;""),INDEX(職員マスタ!$K$6:$K$405,$AP1999),IF(N($W1999)&gt;0,$W1999,""))</f>
        <v/>
      </c>
      <c r="AB1999" s="14">
        <f>IF(OR($E1999="",$AA1999=""),"",IF($E1999&gt;=$AA1999,"×",IF($E1999&gt;=$AA1999*設定!$C$5,"△","○")))</f>
        <v/>
      </c>
      <c r="AC1999" s="15">
        <f>IF($AB1999="","",IF($AB1999="×",0,IF($AB1999="○",ROUNDDOWN($E1999*設定!$C$4,0),ROUNDDOWN($E1999*ROUND((9*$AA1999-9*$E1999)/(10*$E1999),4),0))))</f>
        <v/>
      </c>
      <c r="AD1999" s="13" t="n"/>
      <c r="AE1999" s="15">
        <f>IF($B1999="","",IF($AD1999&lt;&gt;"",$AD1999,IF($AC1999="","",IF($AC1999&lt;=設定!$C$3,0,$AC1999))))</f>
        <v/>
      </c>
      <c r="AF1999" s="14">
        <f>IF($B1999="","",IF(AND($AG1999&lt;&gt;"",$AI1999="",$AL1999=""),"保留中",IF($AL1999&lt;&gt;"",IF(N($AE1999)&gt;0,"支給済","不支給"),IF($AE1999="","要確認",IF($AE1999=0,"不支給","未処理")))))</f>
        <v/>
      </c>
      <c r="AG1999" s="12" t="n"/>
      <c r="AH1999" s="11" t="n"/>
      <c r="AI1999" s="11" t="n"/>
      <c r="AJ1999" s="11" t="n"/>
      <c r="AK1999" s="14">
        <f>IF(AND($AF1999="保留中",$AH1999&lt;&gt;""),TODAY()-$AH1999,"")</f>
        <v/>
      </c>
      <c r="AL1999" s="12" t="n"/>
      <c r="AM1999" s="14">
        <f>IF($B1999="","",IF($AQ1999="","対象年月が未入力／","")&amp;IF($B1999="","",IF($AP1999="","職員マスタに未登録の職員番号／",IF($AA1999="","標準報酬月額が未登録／","")&amp;IF(AND($AQ1999&lt;&gt;"",OR(AND(INDEX(職員マスタ!$G$6:$G$405,$AP1999)&lt;&gt;"",INDEX(職員マスタ!$G$6:$G$405,$AP1999)&gt;EOMONTH($AQ1999,0)),AND(INDEX(職員マスタ!$H$6:$H$405,$AP1999)&lt;&gt;"",INDEX(職員マスタ!$H$6:$H$405,$AP1999)&lt;$AQ1999))),"対象月が時短期間外／","")&amp;IF(AND(INDEX(職員マスタ!$K$6:$K$405,$AP1999)&lt;&gt;"",N($W1999)&gt;0,INDEX(職員マスタ!$K$6:$K$405,$AP1999)&lt;&gt;$W1999),"標準報酬月額が申請書と相違（台帳"&amp;TEXT(INDEX(職員マスタ!$K$6:$K$405,$AP1999),"#,##0")&amp;"円／申請書"&amp;TEXT($W1999,"#,##0")&amp;"円）／","")&amp;IF(AND(INDEX(職員マスタ!$F$6:$F$405,$AP1999)&lt;&gt;"",$AQ1999&lt;&gt;"",INDEX(職員マスタ!$F$6:$F$405,$AP1999)&lt;$AQ1999),"対象月に子が2歳到達済／","")&amp;IF(AND($H1999&lt;&gt;"",INDEX(職員マスタ!$B$6:$B$405,$AP1999)&lt;&gt;"",SUBSTITUTE(SUBSTITUTE($H1999," ","")," ","")&lt;&gt;SUBSTITUTE(SUBSTITUTE(INDEX(職員マスタ!$B$6:$B$405,$AP1999)," ","")," ","")),"氏名がマスタと相違／","")&amp;IF(AND($Q1999&lt;&gt;"",INDEX(職員マスタ!$E$6:$E$405,$AP1999)&lt;&gt;"",$Q1999&lt;&gt;INDEX(職員マスタ!$E$6:$E$405,$AP1999)),"子の生年月日がマスタと相違／","")&amp;IF(AND($L1999&lt;&gt;"",INDEX(職員マスタ!$G$6:$G$405,$AP1999)&lt;&gt;"",$L1999&lt;&gt;INDEX(職員マスタ!$G$6:$G$405,$AP1999)),"時短開始日がマスタと相違／","")&amp;IF(AND($M1999&lt;&gt;"",INDEX(職員マスタ!$H$6:$H$405,$AP1999)&lt;&gt;"",$M1999&lt;&gt;INDEX(職員マスタ!$H$6:$H$405,$AP1999)),"時短終了日がマスタと相違／","")))&amp;IF(AND($B1999&lt;&gt;"",$E1999=""),"報酬額が未入力／","")&amp;IF(N($U1999)&gt;0,"申請書に入力エラーが残っています／","")&amp;IF(AND($B1999&lt;&gt;"",$AQ1999&lt;&gt;""),IF(COUNTIFS($B$6:$B$3005,$B1999,$C$6:$C$3005,$C1999,$D$6:$D$3005,$D1999)&gt;1,"同じ月の請求が重複しています／",""),"")&amp;IF(AND(N($E1999)&gt;0,$AB1999&lt;&gt;"",$AB1999&lt;&gt;"×",$AE1999=0,$AD1999=""),"計算額が下限以下のため不支給／",""))</f>
        <v/>
      </c>
      <c r="AN1999" s="12" t="n"/>
      <c r="AO1999" s="14">
        <f>IF($AF1999="保留中",COUNTIF($AF$6:$AF1999,"保留中"),"")</f>
        <v/>
      </c>
      <c r="AP1999" s="14">
        <f>IF($AQ1999="","",IF(SUMPRODUCT(MAX((職員マスタ!$A$6:$A$405=$B1999)*(((職員マスタ!$G$6:$G$405="")+(職員マスタ!$G$6:$G$405&lt;=EOMONTH($AQ1999,0)))&gt;0)*(((職員マスタ!$H$6:$H$405="")+(職員マスタ!$H$6:$H$405&gt;=$AQ1999))&gt;0)*(ROW(職員マスタ!$A$6:$A$405)-5)))&gt;0,SUMPRODUCT(MAX((職員マスタ!$A$6:$A$405=$B1999)*(((職員マスタ!$G$6:$G$405="")+(職員マスタ!$G$6:$G$405&lt;=EOMONTH($AQ1999,0)))&gt;0)*(((職員マスタ!$H$6:$H$405="")+(職員マスタ!$H$6:$H$405&gt;=$AQ1999))&gt;0)*(ROW(職員マスタ!$A$6:$A$405)-5))),IFERROR(MATCH($B1999,職員マスタ!$A$6:$A$405,0),"")))</f>
        <v/>
      </c>
      <c r="AQ1999" s="16">
        <f>IF(OR($B1999="",$C1999="",$D1999=""),"",DATE($C1999+2018,$D1999,1))</f>
        <v/>
      </c>
    </row>
    <row r="2000">
      <c r="A2000" s="11" t="n"/>
      <c r="B2000" s="12" t="n"/>
      <c r="C2000" s="12" t="n"/>
      <c r="D2000" s="12" t="n"/>
      <c r="E2000" s="13" t="n"/>
      <c r="F2000" s="12" t="n"/>
      <c r="G2000" s="13" t="n"/>
      <c r="H2000" s="12" t="n"/>
      <c r="I2000" s="12" t="n"/>
      <c r="J2000" s="12" t="n"/>
      <c r="K2000" s="12" t="n"/>
      <c r="L2000" s="11" t="n"/>
      <c r="M2000" s="11" t="n"/>
      <c r="N2000" s="11" t="n"/>
      <c r="O2000" s="11" t="n"/>
      <c r="P2000" s="12" t="n"/>
      <c r="Q2000" s="11" t="n"/>
      <c r="R2000" s="12" t="n"/>
      <c r="S2000" s="11" t="n"/>
      <c r="T2000" s="12" t="n"/>
      <c r="U2000" s="12" t="n"/>
      <c r="V2000" s="12" t="n"/>
      <c r="W2000" s="13" t="n"/>
      <c r="X2000" s="14">
        <f>IF($AP2000="",IF($B2000="","",$H2000),IF(INDEX(職員マスタ!$B$6:$B$405,$AP2000)="",$H2000,INDEX(職員マスタ!$B$6:$B$405,$AP2000)))</f>
        <v/>
      </c>
      <c r="Y2000" s="14">
        <f>IF($AP2000="",IF($B2000="","",$R2000),IF(INDEX(職員マスタ!$C$6:$C$405,$AP2000)="",$R2000,INDEX(職員マスタ!$C$6:$C$405,$AP2000)))</f>
        <v/>
      </c>
      <c r="Z2000" s="14">
        <f>IF($AQ2000="","","R"&amp;$C2000&amp;"."&amp;$D2000)</f>
        <v/>
      </c>
      <c r="AA2000" s="15">
        <f>IF(IF($AP2000="",FALSE,INDEX(職員マスタ!$K$6:$K$405,$AP2000)&lt;&gt;""),INDEX(職員マスタ!$K$6:$K$405,$AP2000),IF(N($W2000)&gt;0,$W2000,""))</f>
        <v/>
      </c>
      <c r="AB2000" s="14">
        <f>IF(OR($E2000="",$AA2000=""),"",IF($E2000&gt;=$AA2000,"×",IF($E2000&gt;=$AA2000*設定!$C$5,"△","○")))</f>
        <v/>
      </c>
      <c r="AC2000" s="15">
        <f>IF($AB2000="","",IF($AB2000="×",0,IF($AB2000="○",ROUNDDOWN($E2000*設定!$C$4,0),ROUNDDOWN($E2000*ROUND((9*$AA2000-9*$E2000)/(10*$E2000),4),0))))</f>
        <v/>
      </c>
      <c r="AD2000" s="13" t="n"/>
      <c r="AE2000" s="15">
        <f>IF($B2000="","",IF($AD2000&lt;&gt;"",$AD2000,IF($AC2000="","",IF($AC2000&lt;=設定!$C$3,0,$AC2000))))</f>
        <v/>
      </c>
      <c r="AF2000" s="14">
        <f>IF($B2000="","",IF(AND($AG2000&lt;&gt;"",$AI2000="",$AL2000=""),"保留中",IF($AL2000&lt;&gt;"",IF(N($AE2000)&gt;0,"支給済","不支給"),IF($AE2000="","要確認",IF($AE2000=0,"不支給","未処理")))))</f>
        <v/>
      </c>
      <c r="AG2000" s="12" t="n"/>
      <c r="AH2000" s="11" t="n"/>
      <c r="AI2000" s="11" t="n"/>
      <c r="AJ2000" s="11" t="n"/>
      <c r="AK2000" s="14">
        <f>IF(AND($AF2000="保留中",$AH2000&lt;&gt;""),TODAY()-$AH2000,"")</f>
        <v/>
      </c>
      <c r="AL2000" s="12" t="n"/>
      <c r="AM2000" s="14">
        <f>IF($B2000="","",IF($AQ2000="","対象年月が未入力／","")&amp;IF($B2000="","",IF($AP2000="","職員マスタに未登録の職員番号／",IF($AA2000="","標準報酬月額が未登録／","")&amp;IF(AND($AQ2000&lt;&gt;"",OR(AND(INDEX(職員マスタ!$G$6:$G$405,$AP2000)&lt;&gt;"",INDEX(職員マスタ!$G$6:$G$405,$AP2000)&gt;EOMONTH($AQ2000,0)),AND(INDEX(職員マスタ!$H$6:$H$405,$AP2000)&lt;&gt;"",INDEX(職員マスタ!$H$6:$H$405,$AP2000)&lt;$AQ2000))),"対象月が時短期間外／","")&amp;IF(AND(INDEX(職員マスタ!$K$6:$K$405,$AP2000)&lt;&gt;"",N($W2000)&gt;0,INDEX(職員マスタ!$K$6:$K$405,$AP2000)&lt;&gt;$W2000),"標準報酬月額が申請書と相違（台帳"&amp;TEXT(INDEX(職員マスタ!$K$6:$K$405,$AP2000),"#,##0")&amp;"円／申請書"&amp;TEXT($W2000,"#,##0")&amp;"円）／","")&amp;IF(AND(INDEX(職員マスタ!$F$6:$F$405,$AP2000)&lt;&gt;"",$AQ2000&lt;&gt;"",INDEX(職員マスタ!$F$6:$F$405,$AP2000)&lt;$AQ2000),"対象月に子が2歳到達済／","")&amp;IF(AND($H2000&lt;&gt;"",INDEX(職員マスタ!$B$6:$B$405,$AP2000)&lt;&gt;"",SUBSTITUTE(SUBSTITUTE($H2000," ","")," ","")&lt;&gt;SUBSTITUTE(SUBSTITUTE(INDEX(職員マスタ!$B$6:$B$405,$AP2000)," ","")," ","")),"氏名がマスタと相違／","")&amp;IF(AND($Q2000&lt;&gt;"",INDEX(職員マスタ!$E$6:$E$405,$AP2000)&lt;&gt;"",$Q2000&lt;&gt;INDEX(職員マスタ!$E$6:$E$405,$AP2000)),"子の生年月日がマスタと相違／","")&amp;IF(AND($L2000&lt;&gt;"",INDEX(職員マスタ!$G$6:$G$405,$AP2000)&lt;&gt;"",$L2000&lt;&gt;INDEX(職員マスタ!$G$6:$G$405,$AP2000)),"時短開始日がマスタと相違／","")&amp;IF(AND($M2000&lt;&gt;"",INDEX(職員マスタ!$H$6:$H$405,$AP2000)&lt;&gt;"",$M2000&lt;&gt;INDEX(職員マスタ!$H$6:$H$405,$AP2000)),"時短終了日がマスタと相違／","")))&amp;IF(AND($B2000&lt;&gt;"",$E2000=""),"報酬額が未入力／","")&amp;IF(N($U2000)&gt;0,"申請書に入力エラーが残っています／","")&amp;IF(AND($B2000&lt;&gt;"",$AQ2000&lt;&gt;""),IF(COUNTIFS($B$6:$B$3005,$B2000,$C$6:$C$3005,$C2000,$D$6:$D$3005,$D2000)&gt;1,"同じ月の請求が重複しています／",""),"")&amp;IF(AND(N($E2000)&gt;0,$AB2000&lt;&gt;"",$AB2000&lt;&gt;"×",$AE2000=0,$AD2000=""),"計算額が下限以下のため不支給／",""))</f>
        <v/>
      </c>
      <c r="AN2000" s="12" t="n"/>
      <c r="AO2000" s="14">
        <f>IF($AF2000="保留中",COUNTIF($AF$6:$AF2000,"保留中"),"")</f>
        <v/>
      </c>
      <c r="AP2000" s="14">
        <f>IF($AQ2000="","",IF(SUMPRODUCT(MAX((職員マスタ!$A$6:$A$405=$B2000)*(((職員マスタ!$G$6:$G$405="")+(職員マスタ!$G$6:$G$405&lt;=EOMONTH($AQ2000,0)))&gt;0)*(((職員マスタ!$H$6:$H$405="")+(職員マスタ!$H$6:$H$405&gt;=$AQ2000))&gt;0)*(ROW(職員マスタ!$A$6:$A$405)-5)))&gt;0,SUMPRODUCT(MAX((職員マスタ!$A$6:$A$405=$B2000)*(((職員マスタ!$G$6:$G$405="")+(職員マスタ!$G$6:$G$405&lt;=EOMONTH($AQ2000,0)))&gt;0)*(((職員マスタ!$H$6:$H$405="")+(職員マスタ!$H$6:$H$405&gt;=$AQ2000))&gt;0)*(ROW(職員マスタ!$A$6:$A$405)-5))),IFERROR(MATCH($B2000,職員マスタ!$A$6:$A$405,0),"")))</f>
        <v/>
      </c>
      <c r="AQ2000" s="16">
        <f>IF(OR($B2000="",$C2000="",$D2000=""),"",DATE($C2000+2018,$D2000,1))</f>
        <v/>
      </c>
    </row>
    <row r="2001">
      <c r="A2001" s="11" t="n"/>
      <c r="B2001" s="12" t="n"/>
      <c r="C2001" s="12" t="n"/>
      <c r="D2001" s="12" t="n"/>
      <c r="E2001" s="13" t="n"/>
      <c r="F2001" s="12" t="n"/>
      <c r="G2001" s="13" t="n"/>
      <c r="H2001" s="12" t="n"/>
      <c r="I2001" s="12" t="n"/>
      <c r="J2001" s="12" t="n"/>
      <c r="K2001" s="12" t="n"/>
      <c r="L2001" s="11" t="n"/>
      <c r="M2001" s="11" t="n"/>
      <c r="N2001" s="11" t="n"/>
      <c r="O2001" s="11" t="n"/>
      <c r="P2001" s="12" t="n"/>
      <c r="Q2001" s="11" t="n"/>
      <c r="R2001" s="12" t="n"/>
      <c r="S2001" s="11" t="n"/>
      <c r="T2001" s="12" t="n"/>
      <c r="U2001" s="12" t="n"/>
      <c r="V2001" s="12" t="n"/>
      <c r="W2001" s="13" t="n"/>
      <c r="X2001" s="14">
        <f>IF($AP2001="",IF($B2001="","",$H2001),IF(INDEX(職員マスタ!$B$6:$B$405,$AP2001)="",$H2001,INDEX(職員マスタ!$B$6:$B$405,$AP2001)))</f>
        <v/>
      </c>
      <c r="Y2001" s="14">
        <f>IF($AP2001="",IF($B2001="","",$R2001),IF(INDEX(職員マスタ!$C$6:$C$405,$AP2001)="",$R2001,INDEX(職員マスタ!$C$6:$C$405,$AP2001)))</f>
        <v/>
      </c>
      <c r="Z2001" s="14">
        <f>IF($AQ2001="","","R"&amp;$C2001&amp;"."&amp;$D2001)</f>
        <v/>
      </c>
      <c r="AA2001" s="15">
        <f>IF(IF($AP2001="",FALSE,INDEX(職員マスタ!$K$6:$K$405,$AP2001)&lt;&gt;""),INDEX(職員マスタ!$K$6:$K$405,$AP2001),IF(N($W2001)&gt;0,$W2001,""))</f>
        <v/>
      </c>
      <c r="AB2001" s="14">
        <f>IF(OR($E2001="",$AA2001=""),"",IF($E2001&gt;=$AA2001,"×",IF($E2001&gt;=$AA2001*設定!$C$5,"△","○")))</f>
        <v/>
      </c>
      <c r="AC2001" s="15">
        <f>IF($AB2001="","",IF($AB2001="×",0,IF($AB2001="○",ROUNDDOWN($E2001*設定!$C$4,0),ROUNDDOWN($E2001*ROUND((9*$AA2001-9*$E2001)/(10*$E2001),4),0))))</f>
        <v/>
      </c>
      <c r="AD2001" s="13" t="n"/>
      <c r="AE2001" s="15">
        <f>IF($B2001="","",IF($AD2001&lt;&gt;"",$AD2001,IF($AC2001="","",IF($AC2001&lt;=設定!$C$3,0,$AC2001))))</f>
        <v/>
      </c>
      <c r="AF2001" s="14">
        <f>IF($B2001="","",IF(AND($AG2001&lt;&gt;"",$AI2001="",$AL2001=""),"保留中",IF($AL2001&lt;&gt;"",IF(N($AE2001)&gt;0,"支給済","不支給"),IF($AE2001="","要確認",IF($AE2001=0,"不支給","未処理")))))</f>
        <v/>
      </c>
      <c r="AG2001" s="12" t="n"/>
      <c r="AH2001" s="11" t="n"/>
      <c r="AI2001" s="11" t="n"/>
      <c r="AJ2001" s="11" t="n"/>
      <c r="AK2001" s="14">
        <f>IF(AND($AF2001="保留中",$AH2001&lt;&gt;""),TODAY()-$AH2001,"")</f>
        <v/>
      </c>
      <c r="AL2001" s="12" t="n"/>
      <c r="AM2001" s="14">
        <f>IF($B2001="","",IF($AQ2001="","対象年月が未入力／","")&amp;IF($B2001="","",IF($AP2001="","職員マスタに未登録の職員番号／",IF($AA2001="","標準報酬月額が未登録／","")&amp;IF(AND($AQ2001&lt;&gt;"",OR(AND(INDEX(職員マスタ!$G$6:$G$405,$AP2001)&lt;&gt;"",INDEX(職員マスタ!$G$6:$G$405,$AP2001)&gt;EOMONTH($AQ2001,0)),AND(INDEX(職員マスタ!$H$6:$H$405,$AP2001)&lt;&gt;"",INDEX(職員マスタ!$H$6:$H$405,$AP2001)&lt;$AQ2001))),"対象月が時短期間外／","")&amp;IF(AND(INDEX(職員マスタ!$K$6:$K$405,$AP2001)&lt;&gt;"",N($W2001)&gt;0,INDEX(職員マスタ!$K$6:$K$405,$AP2001)&lt;&gt;$W2001),"標準報酬月額が申請書と相違（台帳"&amp;TEXT(INDEX(職員マスタ!$K$6:$K$405,$AP2001),"#,##0")&amp;"円／申請書"&amp;TEXT($W2001,"#,##0")&amp;"円）／","")&amp;IF(AND(INDEX(職員マスタ!$F$6:$F$405,$AP2001)&lt;&gt;"",$AQ2001&lt;&gt;"",INDEX(職員マスタ!$F$6:$F$405,$AP2001)&lt;$AQ2001),"対象月に子が2歳到達済／","")&amp;IF(AND($H2001&lt;&gt;"",INDEX(職員マスタ!$B$6:$B$405,$AP2001)&lt;&gt;"",SUBSTITUTE(SUBSTITUTE($H2001," ","")," ","")&lt;&gt;SUBSTITUTE(SUBSTITUTE(INDEX(職員マスタ!$B$6:$B$405,$AP2001)," ","")," ","")),"氏名がマスタと相違／","")&amp;IF(AND($Q2001&lt;&gt;"",INDEX(職員マスタ!$E$6:$E$405,$AP2001)&lt;&gt;"",$Q2001&lt;&gt;INDEX(職員マスタ!$E$6:$E$405,$AP2001)),"子の生年月日がマスタと相違／","")&amp;IF(AND($L2001&lt;&gt;"",INDEX(職員マスタ!$G$6:$G$405,$AP2001)&lt;&gt;"",$L2001&lt;&gt;INDEX(職員マスタ!$G$6:$G$405,$AP2001)),"時短開始日がマスタと相違／","")&amp;IF(AND($M2001&lt;&gt;"",INDEX(職員マスタ!$H$6:$H$405,$AP2001)&lt;&gt;"",$M2001&lt;&gt;INDEX(職員マスタ!$H$6:$H$405,$AP2001)),"時短終了日がマスタと相違／","")))&amp;IF(AND($B2001&lt;&gt;"",$E2001=""),"報酬額が未入力／","")&amp;IF(N($U2001)&gt;0,"申請書に入力エラーが残っています／","")&amp;IF(AND($B2001&lt;&gt;"",$AQ2001&lt;&gt;""),IF(COUNTIFS($B$6:$B$3005,$B2001,$C$6:$C$3005,$C2001,$D$6:$D$3005,$D2001)&gt;1,"同じ月の請求が重複しています／",""),"")&amp;IF(AND(N($E2001)&gt;0,$AB2001&lt;&gt;"",$AB2001&lt;&gt;"×",$AE2001=0,$AD2001=""),"計算額が下限以下のため不支給／",""))</f>
        <v/>
      </c>
      <c r="AN2001" s="12" t="n"/>
      <c r="AO2001" s="14">
        <f>IF($AF2001="保留中",COUNTIF($AF$6:$AF2001,"保留中"),"")</f>
        <v/>
      </c>
      <c r="AP2001" s="14">
        <f>IF($AQ2001="","",IF(SUMPRODUCT(MAX((職員マスタ!$A$6:$A$405=$B2001)*(((職員マスタ!$G$6:$G$405="")+(職員マスタ!$G$6:$G$405&lt;=EOMONTH($AQ2001,0)))&gt;0)*(((職員マスタ!$H$6:$H$405="")+(職員マスタ!$H$6:$H$405&gt;=$AQ2001))&gt;0)*(ROW(職員マスタ!$A$6:$A$405)-5)))&gt;0,SUMPRODUCT(MAX((職員マスタ!$A$6:$A$405=$B2001)*(((職員マスタ!$G$6:$G$405="")+(職員マスタ!$G$6:$G$405&lt;=EOMONTH($AQ2001,0)))&gt;0)*(((職員マスタ!$H$6:$H$405="")+(職員マスタ!$H$6:$H$405&gt;=$AQ2001))&gt;0)*(ROW(職員マスタ!$A$6:$A$405)-5))),IFERROR(MATCH($B2001,職員マスタ!$A$6:$A$405,0),"")))</f>
        <v/>
      </c>
      <c r="AQ2001" s="16">
        <f>IF(OR($B2001="",$C2001="",$D2001=""),"",DATE($C2001+2018,$D2001,1))</f>
        <v/>
      </c>
    </row>
    <row r="2002">
      <c r="A2002" s="11" t="n"/>
      <c r="B2002" s="12" t="n"/>
      <c r="C2002" s="12" t="n"/>
      <c r="D2002" s="12" t="n"/>
      <c r="E2002" s="13" t="n"/>
      <c r="F2002" s="12" t="n"/>
      <c r="G2002" s="13" t="n"/>
      <c r="H2002" s="12" t="n"/>
      <c r="I2002" s="12" t="n"/>
      <c r="J2002" s="12" t="n"/>
      <c r="K2002" s="12" t="n"/>
      <c r="L2002" s="11" t="n"/>
      <c r="M2002" s="11" t="n"/>
      <c r="N2002" s="11" t="n"/>
      <c r="O2002" s="11" t="n"/>
      <c r="P2002" s="12" t="n"/>
      <c r="Q2002" s="11" t="n"/>
      <c r="R2002" s="12" t="n"/>
      <c r="S2002" s="11" t="n"/>
      <c r="T2002" s="12" t="n"/>
      <c r="U2002" s="12" t="n"/>
      <c r="V2002" s="12" t="n"/>
      <c r="W2002" s="13" t="n"/>
      <c r="X2002" s="14">
        <f>IF($AP2002="",IF($B2002="","",$H2002),IF(INDEX(職員マスタ!$B$6:$B$405,$AP2002)="",$H2002,INDEX(職員マスタ!$B$6:$B$405,$AP2002)))</f>
        <v/>
      </c>
      <c r="Y2002" s="14">
        <f>IF($AP2002="",IF($B2002="","",$R2002),IF(INDEX(職員マスタ!$C$6:$C$405,$AP2002)="",$R2002,INDEX(職員マスタ!$C$6:$C$405,$AP2002)))</f>
        <v/>
      </c>
      <c r="Z2002" s="14">
        <f>IF($AQ2002="","","R"&amp;$C2002&amp;"."&amp;$D2002)</f>
        <v/>
      </c>
      <c r="AA2002" s="15">
        <f>IF(IF($AP2002="",FALSE,INDEX(職員マスタ!$K$6:$K$405,$AP2002)&lt;&gt;""),INDEX(職員マスタ!$K$6:$K$405,$AP2002),IF(N($W2002)&gt;0,$W2002,""))</f>
        <v/>
      </c>
      <c r="AB2002" s="14">
        <f>IF(OR($E2002="",$AA2002=""),"",IF($E2002&gt;=$AA2002,"×",IF($E2002&gt;=$AA2002*設定!$C$5,"△","○")))</f>
        <v/>
      </c>
      <c r="AC2002" s="15">
        <f>IF($AB2002="","",IF($AB2002="×",0,IF($AB2002="○",ROUNDDOWN($E2002*設定!$C$4,0),ROUNDDOWN($E2002*ROUND((9*$AA2002-9*$E2002)/(10*$E2002),4),0))))</f>
        <v/>
      </c>
      <c r="AD2002" s="13" t="n"/>
      <c r="AE2002" s="15">
        <f>IF($B2002="","",IF($AD2002&lt;&gt;"",$AD2002,IF($AC2002="","",IF($AC2002&lt;=設定!$C$3,0,$AC2002))))</f>
        <v/>
      </c>
      <c r="AF2002" s="14">
        <f>IF($B2002="","",IF(AND($AG2002&lt;&gt;"",$AI2002="",$AL2002=""),"保留中",IF($AL2002&lt;&gt;"",IF(N($AE2002)&gt;0,"支給済","不支給"),IF($AE2002="","要確認",IF($AE2002=0,"不支給","未処理")))))</f>
        <v/>
      </c>
      <c r="AG2002" s="12" t="n"/>
      <c r="AH2002" s="11" t="n"/>
      <c r="AI2002" s="11" t="n"/>
      <c r="AJ2002" s="11" t="n"/>
      <c r="AK2002" s="14">
        <f>IF(AND($AF2002="保留中",$AH2002&lt;&gt;""),TODAY()-$AH2002,"")</f>
        <v/>
      </c>
      <c r="AL2002" s="12" t="n"/>
      <c r="AM2002" s="14">
        <f>IF($B2002="","",IF($AQ2002="","対象年月が未入力／","")&amp;IF($B2002="","",IF($AP2002="","職員マスタに未登録の職員番号／",IF($AA2002="","標準報酬月額が未登録／","")&amp;IF(AND($AQ2002&lt;&gt;"",OR(AND(INDEX(職員マスタ!$G$6:$G$405,$AP2002)&lt;&gt;"",INDEX(職員マスタ!$G$6:$G$405,$AP2002)&gt;EOMONTH($AQ2002,0)),AND(INDEX(職員マスタ!$H$6:$H$405,$AP2002)&lt;&gt;"",INDEX(職員マスタ!$H$6:$H$405,$AP2002)&lt;$AQ2002))),"対象月が時短期間外／","")&amp;IF(AND(INDEX(職員マスタ!$K$6:$K$405,$AP2002)&lt;&gt;"",N($W2002)&gt;0,INDEX(職員マスタ!$K$6:$K$405,$AP2002)&lt;&gt;$W2002),"標準報酬月額が申請書と相違（台帳"&amp;TEXT(INDEX(職員マスタ!$K$6:$K$405,$AP2002),"#,##0")&amp;"円／申請書"&amp;TEXT($W2002,"#,##0")&amp;"円）／","")&amp;IF(AND(INDEX(職員マスタ!$F$6:$F$405,$AP2002)&lt;&gt;"",$AQ2002&lt;&gt;"",INDEX(職員マスタ!$F$6:$F$405,$AP2002)&lt;$AQ2002),"対象月に子が2歳到達済／","")&amp;IF(AND($H2002&lt;&gt;"",INDEX(職員マスタ!$B$6:$B$405,$AP2002)&lt;&gt;"",SUBSTITUTE(SUBSTITUTE($H2002," ","")," ","")&lt;&gt;SUBSTITUTE(SUBSTITUTE(INDEX(職員マスタ!$B$6:$B$405,$AP2002)," ","")," ","")),"氏名がマスタと相違／","")&amp;IF(AND($Q2002&lt;&gt;"",INDEX(職員マスタ!$E$6:$E$405,$AP2002)&lt;&gt;"",$Q2002&lt;&gt;INDEX(職員マスタ!$E$6:$E$405,$AP2002)),"子の生年月日がマスタと相違／","")&amp;IF(AND($L2002&lt;&gt;"",INDEX(職員マスタ!$G$6:$G$405,$AP2002)&lt;&gt;"",$L2002&lt;&gt;INDEX(職員マスタ!$G$6:$G$405,$AP2002)),"時短開始日がマスタと相違／","")&amp;IF(AND($M2002&lt;&gt;"",INDEX(職員マスタ!$H$6:$H$405,$AP2002)&lt;&gt;"",$M2002&lt;&gt;INDEX(職員マスタ!$H$6:$H$405,$AP2002)),"時短終了日がマスタと相違／","")))&amp;IF(AND($B2002&lt;&gt;"",$E2002=""),"報酬額が未入力／","")&amp;IF(N($U2002)&gt;0,"申請書に入力エラーが残っています／","")&amp;IF(AND($B2002&lt;&gt;"",$AQ2002&lt;&gt;""),IF(COUNTIFS($B$6:$B$3005,$B2002,$C$6:$C$3005,$C2002,$D$6:$D$3005,$D2002)&gt;1,"同じ月の請求が重複しています／",""),"")&amp;IF(AND(N($E2002)&gt;0,$AB2002&lt;&gt;"",$AB2002&lt;&gt;"×",$AE2002=0,$AD2002=""),"計算額が下限以下のため不支給／",""))</f>
        <v/>
      </c>
      <c r="AN2002" s="12" t="n"/>
      <c r="AO2002" s="14">
        <f>IF($AF2002="保留中",COUNTIF($AF$6:$AF2002,"保留中"),"")</f>
        <v/>
      </c>
      <c r="AP2002" s="14">
        <f>IF($AQ2002="","",IF(SUMPRODUCT(MAX((職員マスタ!$A$6:$A$405=$B2002)*(((職員マスタ!$G$6:$G$405="")+(職員マスタ!$G$6:$G$405&lt;=EOMONTH($AQ2002,0)))&gt;0)*(((職員マスタ!$H$6:$H$405="")+(職員マスタ!$H$6:$H$405&gt;=$AQ2002))&gt;0)*(ROW(職員マスタ!$A$6:$A$405)-5)))&gt;0,SUMPRODUCT(MAX((職員マスタ!$A$6:$A$405=$B2002)*(((職員マスタ!$G$6:$G$405="")+(職員マスタ!$G$6:$G$405&lt;=EOMONTH($AQ2002,0)))&gt;0)*(((職員マスタ!$H$6:$H$405="")+(職員マスタ!$H$6:$H$405&gt;=$AQ2002))&gt;0)*(ROW(職員マスタ!$A$6:$A$405)-5))),IFERROR(MATCH($B2002,職員マスタ!$A$6:$A$405,0),"")))</f>
        <v/>
      </c>
      <c r="AQ2002" s="16">
        <f>IF(OR($B2002="",$C2002="",$D2002=""),"",DATE($C2002+2018,$D2002,1))</f>
        <v/>
      </c>
    </row>
    <row r="2003">
      <c r="A2003" s="11" t="n"/>
      <c r="B2003" s="12" t="n"/>
      <c r="C2003" s="12" t="n"/>
      <c r="D2003" s="12" t="n"/>
      <c r="E2003" s="13" t="n"/>
      <c r="F2003" s="12" t="n"/>
      <c r="G2003" s="13" t="n"/>
      <c r="H2003" s="12" t="n"/>
      <c r="I2003" s="12" t="n"/>
      <c r="J2003" s="12" t="n"/>
      <c r="K2003" s="12" t="n"/>
      <c r="L2003" s="11" t="n"/>
      <c r="M2003" s="11" t="n"/>
      <c r="N2003" s="11" t="n"/>
      <c r="O2003" s="11" t="n"/>
      <c r="P2003" s="12" t="n"/>
      <c r="Q2003" s="11" t="n"/>
      <c r="R2003" s="12" t="n"/>
      <c r="S2003" s="11" t="n"/>
      <c r="T2003" s="12" t="n"/>
      <c r="U2003" s="12" t="n"/>
      <c r="V2003" s="12" t="n"/>
      <c r="W2003" s="13" t="n"/>
      <c r="X2003" s="14">
        <f>IF($AP2003="",IF($B2003="","",$H2003),IF(INDEX(職員マスタ!$B$6:$B$405,$AP2003)="",$H2003,INDEX(職員マスタ!$B$6:$B$405,$AP2003)))</f>
        <v/>
      </c>
      <c r="Y2003" s="14">
        <f>IF($AP2003="",IF($B2003="","",$R2003),IF(INDEX(職員マスタ!$C$6:$C$405,$AP2003)="",$R2003,INDEX(職員マスタ!$C$6:$C$405,$AP2003)))</f>
        <v/>
      </c>
      <c r="Z2003" s="14">
        <f>IF($AQ2003="","","R"&amp;$C2003&amp;"."&amp;$D2003)</f>
        <v/>
      </c>
      <c r="AA2003" s="15">
        <f>IF(IF($AP2003="",FALSE,INDEX(職員マスタ!$K$6:$K$405,$AP2003)&lt;&gt;""),INDEX(職員マスタ!$K$6:$K$405,$AP2003),IF(N($W2003)&gt;0,$W2003,""))</f>
        <v/>
      </c>
      <c r="AB2003" s="14">
        <f>IF(OR($E2003="",$AA2003=""),"",IF($E2003&gt;=$AA2003,"×",IF($E2003&gt;=$AA2003*設定!$C$5,"△","○")))</f>
        <v/>
      </c>
      <c r="AC2003" s="15">
        <f>IF($AB2003="","",IF($AB2003="×",0,IF($AB2003="○",ROUNDDOWN($E2003*設定!$C$4,0),ROUNDDOWN($E2003*ROUND((9*$AA2003-9*$E2003)/(10*$E2003),4),0))))</f>
        <v/>
      </c>
      <c r="AD2003" s="13" t="n"/>
      <c r="AE2003" s="15">
        <f>IF($B2003="","",IF($AD2003&lt;&gt;"",$AD2003,IF($AC2003="","",IF($AC2003&lt;=設定!$C$3,0,$AC2003))))</f>
        <v/>
      </c>
      <c r="AF2003" s="14">
        <f>IF($B2003="","",IF(AND($AG2003&lt;&gt;"",$AI2003="",$AL2003=""),"保留中",IF($AL2003&lt;&gt;"",IF(N($AE2003)&gt;0,"支給済","不支給"),IF($AE2003="","要確認",IF($AE2003=0,"不支給","未処理")))))</f>
        <v/>
      </c>
      <c r="AG2003" s="12" t="n"/>
      <c r="AH2003" s="11" t="n"/>
      <c r="AI2003" s="11" t="n"/>
      <c r="AJ2003" s="11" t="n"/>
      <c r="AK2003" s="14">
        <f>IF(AND($AF2003="保留中",$AH2003&lt;&gt;""),TODAY()-$AH2003,"")</f>
        <v/>
      </c>
      <c r="AL2003" s="12" t="n"/>
      <c r="AM2003" s="14">
        <f>IF($B2003="","",IF($AQ2003="","対象年月が未入力／","")&amp;IF($B2003="","",IF($AP2003="","職員マスタに未登録の職員番号／",IF($AA2003="","標準報酬月額が未登録／","")&amp;IF(AND($AQ2003&lt;&gt;"",OR(AND(INDEX(職員マスタ!$G$6:$G$405,$AP2003)&lt;&gt;"",INDEX(職員マスタ!$G$6:$G$405,$AP2003)&gt;EOMONTH($AQ2003,0)),AND(INDEX(職員マスタ!$H$6:$H$405,$AP2003)&lt;&gt;"",INDEX(職員マスタ!$H$6:$H$405,$AP2003)&lt;$AQ2003))),"対象月が時短期間外／","")&amp;IF(AND(INDEX(職員マスタ!$K$6:$K$405,$AP2003)&lt;&gt;"",N($W2003)&gt;0,INDEX(職員マスタ!$K$6:$K$405,$AP2003)&lt;&gt;$W2003),"標準報酬月額が申請書と相違（台帳"&amp;TEXT(INDEX(職員マスタ!$K$6:$K$405,$AP2003),"#,##0")&amp;"円／申請書"&amp;TEXT($W2003,"#,##0")&amp;"円）／","")&amp;IF(AND(INDEX(職員マスタ!$F$6:$F$405,$AP2003)&lt;&gt;"",$AQ2003&lt;&gt;"",INDEX(職員マスタ!$F$6:$F$405,$AP2003)&lt;$AQ2003),"対象月に子が2歳到達済／","")&amp;IF(AND($H2003&lt;&gt;"",INDEX(職員マスタ!$B$6:$B$405,$AP2003)&lt;&gt;"",SUBSTITUTE(SUBSTITUTE($H2003," ","")," ","")&lt;&gt;SUBSTITUTE(SUBSTITUTE(INDEX(職員マスタ!$B$6:$B$405,$AP2003)," ","")," ","")),"氏名がマスタと相違／","")&amp;IF(AND($Q2003&lt;&gt;"",INDEX(職員マスタ!$E$6:$E$405,$AP2003)&lt;&gt;"",$Q2003&lt;&gt;INDEX(職員マスタ!$E$6:$E$405,$AP2003)),"子の生年月日がマスタと相違／","")&amp;IF(AND($L2003&lt;&gt;"",INDEX(職員マスタ!$G$6:$G$405,$AP2003)&lt;&gt;"",$L2003&lt;&gt;INDEX(職員マスタ!$G$6:$G$405,$AP2003)),"時短開始日がマスタと相違／","")&amp;IF(AND($M2003&lt;&gt;"",INDEX(職員マスタ!$H$6:$H$405,$AP2003)&lt;&gt;"",$M2003&lt;&gt;INDEX(職員マスタ!$H$6:$H$405,$AP2003)),"時短終了日がマスタと相違／","")))&amp;IF(AND($B2003&lt;&gt;"",$E2003=""),"報酬額が未入力／","")&amp;IF(N($U2003)&gt;0,"申請書に入力エラーが残っています／","")&amp;IF(AND($B2003&lt;&gt;"",$AQ2003&lt;&gt;""),IF(COUNTIFS($B$6:$B$3005,$B2003,$C$6:$C$3005,$C2003,$D$6:$D$3005,$D2003)&gt;1,"同じ月の請求が重複しています／",""),"")&amp;IF(AND(N($E2003)&gt;0,$AB2003&lt;&gt;"",$AB2003&lt;&gt;"×",$AE2003=0,$AD2003=""),"計算額が下限以下のため不支給／",""))</f>
        <v/>
      </c>
      <c r="AN2003" s="12" t="n"/>
      <c r="AO2003" s="14">
        <f>IF($AF2003="保留中",COUNTIF($AF$6:$AF2003,"保留中"),"")</f>
        <v/>
      </c>
      <c r="AP2003" s="14">
        <f>IF($AQ2003="","",IF(SUMPRODUCT(MAX((職員マスタ!$A$6:$A$405=$B2003)*(((職員マスタ!$G$6:$G$405="")+(職員マスタ!$G$6:$G$405&lt;=EOMONTH($AQ2003,0)))&gt;0)*(((職員マスタ!$H$6:$H$405="")+(職員マスタ!$H$6:$H$405&gt;=$AQ2003))&gt;0)*(ROW(職員マスタ!$A$6:$A$405)-5)))&gt;0,SUMPRODUCT(MAX((職員マスタ!$A$6:$A$405=$B2003)*(((職員マスタ!$G$6:$G$405="")+(職員マスタ!$G$6:$G$405&lt;=EOMONTH($AQ2003,0)))&gt;0)*(((職員マスタ!$H$6:$H$405="")+(職員マスタ!$H$6:$H$405&gt;=$AQ2003))&gt;0)*(ROW(職員マスタ!$A$6:$A$405)-5))),IFERROR(MATCH($B2003,職員マスタ!$A$6:$A$405,0),"")))</f>
        <v/>
      </c>
      <c r="AQ2003" s="16">
        <f>IF(OR($B2003="",$C2003="",$D2003=""),"",DATE($C2003+2018,$D2003,1))</f>
        <v/>
      </c>
    </row>
    <row r="2004">
      <c r="A2004" s="11" t="n"/>
      <c r="B2004" s="12" t="n"/>
      <c r="C2004" s="12" t="n"/>
      <c r="D2004" s="12" t="n"/>
      <c r="E2004" s="13" t="n"/>
      <c r="F2004" s="12" t="n"/>
      <c r="G2004" s="13" t="n"/>
      <c r="H2004" s="12" t="n"/>
      <c r="I2004" s="12" t="n"/>
      <c r="J2004" s="12" t="n"/>
      <c r="K2004" s="12" t="n"/>
      <c r="L2004" s="11" t="n"/>
      <c r="M2004" s="11" t="n"/>
      <c r="N2004" s="11" t="n"/>
      <c r="O2004" s="11" t="n"/>
      <c r="P2004" s="12" t="n"/>
      <c r="Q2004" s="11" t="n"/>
      <c r="R2004" s="12" t="n"/>
      <c r="S2004" s="11" t="n"/>
      <c r="T2004" s="12" t="n"/>
      <c r="U2004" s="12" t="n"/>
      <c r="V2004" s="12" t="n"/>
      <c r="W2004" s="13" t="n"/>
      <c r="X2004" s="14">
        <f>IF($AP2004="",IF($B2004="","",$H2004),IF(INDEX(職員マスタ!$B$6:$B$405,$AP2004)="",$H2004,INDEX(職員マスタ!$B$6:$B$405,$AP2004)))</f>
        <v/>
      </c>
      <c r="Y2004" s="14">
        <f>IF($AP2004="",IF($B2004="","",$R2004),IF(INDEX(職員マスタ!$C$6:$C$405,$AP2004)="",$R2004,INDEX(職員マスタ!$C$6:$C$405,$AP2004)))</f>
        <v/>
      </c>
      <c r="Z2004" s="14">
        <f>IF($AQ2004="","","R"&amp;$C2004&amp;"."&amp;$D2004)</f>
        <v/>
      </c>
      <c r="AA2004" s="15">
        <f>IF(IF($AP2004="",FALSE,INDEX(職員マスタ!$K$6:$K$405,$AP2004)&lt;&gt;""),INDEX(職員マスタ!$K$6:$K$405,$AP2004),IF(N($W2004)&gt;0,$W2004,""))</f>
        <v/>
      </c>
      <c r="AB2004" s="14">
        <f>IF(OR($E2004="",$AA2004=""),"",IF($E2004&gt;=$AA2004,"×",IF($E2004&gt;=$AA2004*設定!$C$5,"△","○")))</f>
        <v/>
      </c>
      <c r="AC2004" s="15">
        <f>IF($AB2004="","",IF($AB2004="×",0,IF($AB2004="○",ROUNDDOWN($E2004*設定!$C$4,0),ROUNDDOWN($E2004*ROUND((9*$AA2004-9*$E2004)/(10*$E2004),4),0))))</f>
        <v/>
      </c>
      <c r="AD2004" s="13" t="n"/>
      <c r="AE2004" s="15">
        <f>IF($B2004="","",IF($AD2004&lt;&gt;"",$AD2004,IF($AC2004="","",IF($AC2004&lt;=設定!$C$3,0,$AC2004))))</f>
        <v/>
      </c>
      <c r="AF2004" s="14">
        <f>IF($B2004="","",IF(AND($AG2004&lt;&gt;"",$AI2004="",$AL2004=""),"保留中",IF($AL2004&lt;&gt;"",IF(N($AE2004)&gt;0,"支給済","不支給"),IF($AE2004="","要確認",IF($AE2004=0,"不支給","未処理")))))</f>
        <v/>
      </c>
      <c r="AG2004" s="12" t="n"/>
      <c r="AH2004" s="11" t="n"/>
      <c r="AI2004" s="11" t="n"/>
      <c r="AJ2004" s="11" t="n"/>
      <c r="AK2004" s="14">
        <f>IF(AND($AF2004="保留中",$AH2004&lt;&gt;""),TODAY()-$AH2004,"")</f>
        <v/>
      </c>
      <c r="AL2004" s="12" t="n"/>
      <c r="AM2004" s="14">
        <f>IF($B2004="","",IF($AQ2004="","対象年月が未入力／","")&amp;IF($B2004="","",IF($AP2004="","職員マスタに未登録の職員番号／",IF($AA2004="","標準報酬月額が未登録／","")&amp;IF(AND($AQ2004&lt;&gt;"",OR(AND(INDEX(職員マスタ!$G$6:$G$405,$AP2004)&lt;&gt;"",INDEX(職員マスタ!$G$6:$G$405,$AP2004)&gt;EOMONTH($AQ2004,0)),AND(INDEX(職員マスタ!$H$6:$H$405,$AP2004)&lt;&gt;"",INDEX(職員マスタ!$H$6:$H$405,$AP2004)&lt;$AQ2004))),"対象月が時短期間外／","")&amp;IF(AND(INDEX(職員マスタ!$K$6:$K$405,$AP2004)&lt;&gt;"",N($W2004)&gt;0,INDEX(職員マスタ!$K$6:$K$405,$AP2004)&lt;&gt;$W2004),"標準報酬月額が申請書と相違（台帳"&amp;TEXT(INDEX(職員マスタ!$K$6:$K$405,$AP2004),"#,##0")&amp;"円／申請書"&amp;TEXT($W2004,"#,##0")&amp;"円）／","")&amp;IF(AND(INDEX(職員マスタ!$F$6:$F$405,$AP2004)&lt;&gt;"",$AQ2004&lt;&gt;"",INDEX(職員マスタ!$F$6:$F$405,$AP2004)&lt;$AQ2004),"対象月に子が2歳到達済／","")&amp;IF(AND($H2004&lt;&gt;"",INDEX(職員マスタ!$B$6:$B$405,$AP2004)&lt;&gt;"",SUBSTITUTE(SUBSTITUTE($H2004," ","")," ","")&lt;&gt;SUBSTITUTE(SUBSTITUTE(INDEX(職員マスタ!$B$6:$B$405,$AP2004)," ","")," ","")),"氏名がマスタと相違／","")&amp;IF(AND($Q2004&lt;&gt;"",INDEX(職員マスタ!$E$6:$E$405,$AP2004)&lt;&gt;"",$Q2004&lt;&gt;INDEX(職員マスタ!$E$6:$E$405,$AP2004)),"子の生年月日がマスタと相違／","")&amp;IF(AND($L2004&lt;&gt;"",INDEX(職員マスタ!$G$6:$G$405,$AP2004)&lt;&gt;"",$L2004&lt;&gt;INDEX(職員マスタ!$G$6:$G$405,$AP2004)),"時短開始日がマスタと相違／","")&amp;IF(AND($M2004&lt;&gt;"",INDEX(職員マスタ!$H$6:$H$405,$AP2004)&lt;&gt;"",$M2004&lt;&gt;INDEX(職員マスタ!$H$6:$H$405,$AP2004)),"時短終了日がマスタと相違／","")))&amp;IF(AND($B2004&lt;&gt;"",$E2004=""),"報酬額が未入力／","")&amp;IF(N($U2004)&gt;0,"申請書に入力エラーが残っています／","")&amp;IF(AND($B2004&lt;&gt;"",$AQ2004&lt;&gt;""),IF(COUNTIFS($B$6:$B$3005,$B2004,$C$6:$C$3005,$C2004,$D$6:$D$3005,$D2004)&gt;1,"同じ月の請求が重複しています／",""),"")&amp;IF(AND(N($E2004)&gt;0,$AB2004&lt;&gt;"",$AB2004&lt;&gt;"×",$AE2004=0,$AD2004=""),"計算額が下限以下のため不支給／",""))</f>
        <v/>
      </c>
      <c r="AN2004" s="12" t="n"/>
      <c r="AO2004" s="14">
        <f>IF($AF2004="保留中",COUNTIF($AF$6:$AF2004,"保留中"),"")</f>
        <v/>
      </c>
      <c r="AP2004" s="14">
        <f>IF($AQ2004="","",IF(SUMPRODUCT(MAX((職員マスタ!$A$6:$A$405=$B2004)*(((職員マスタ!$G$6:$G$405="")+(職員マスタ!$G$6:$G$405&lt;=EOMONTH($AQ2004,0)))&gt;0)*(((職員マスタ!$H$6:$H$405="")+(職員マスタ!$H$6:$H$405&gt;=$AQ2004))&gt;0)*(ROW(職員マスタ!$A$6:$A$405)-5)))&gt;0,SUMPRODUCT(MAX((職員マスタ!$A$6:$A$405=$B2004)*(((職員マスタ!$G$6:$G$405="")+(職員マスタ!$G$6:$G$405&lt;=EOMONTH($AQ2004,0)))&gt;0)*(((職員マスタ!$H$6:$H$405="")+(職員マスタ!$H$6:$H$405&gt;=$AQ2004))&gt;0)*(ROW(職員マスタ!$A$6:$A$405)-5))),IFERROR(MATCH($B2004,職員マスタ!$A$6:$A$405,0),"")))</f>
        <v/>
      </c>
      <c r="AQ2004" s="16">
        <f>IF(OR($B2004="",$C2004="",$D2004=""),"",DATE($C2004+2018,$D2004,1))</f>
        <v/>
      </c>
    </row>
    <row r="2005">
      <c r="A2005" s="11" t="n"/>
      <c r="B2005" s="12" t="n"/>
      <c r="C2005" s="12" t="n"/>
      <c r="D2005" s="12" t="n"/>
      <c r="E2005" s="13" t="n"/>
      <c r="F2005" s="12" t="n"/>
      <c r="G2005" s="13" t="n"/>
      <c r="H2005" s="12" t="n"/>
      <c r="I2005" s="12" t="n"/>
      <c r="J2005" s="12" t="n"/>
      <c r="K2005" s="12" t="n"/>
      <c r="L2005" s="11" t="n"/>
      <c r="M2005" s="11" t="n"/>
      <c r="N2005" s="11" t="n"/>
      <c r="O2005" s="11" t="n"/>
      <c r="P2005" s="12" t="n"/>
      <c r="Q2005" s="11" t="n"/>
      <c r="R2005" s="12" t="n"/>
      <c r="S2005" s="11" t="n"/>
      <c r="T2005" s="12" t="n"/>
      <c r="U2005" s="12" t="n"/>
      <c r="V2005" s="12" t="n"/>
      <c r="W2005" s="13" t="n"/>
      <c r="X2005" s="14">
        <f>IF($AP2005="",IF($B2005="","",$H2005),IF(INDEX(職員マスタ!$B$6:$B$405,$AP2005)="",$H2005,INDEX(職員マスタ!$B$6:$B$405,$AP2005)))</f>
        <v/>
      </c>
      <c r="Y2005" s="14">
        <f>IF($AP2005="",IF($B2005="","",$R2005),IF(INDEX(職員マスタ!$C$6:$C$405,$AP2005)="",$R2005,INDEX(職員マスタ!$C$6:$C$405,$AP2005)))</f>
        <v/>
      </c>
      <c r="Z2005" s="14">
        <f>IF($AQ2005="","","R"&amp;$C2005&amp;"."&amp;$D2005)</f>
        <v/>
      </c>
      <c r="AA2005" s="15">
        <f>IF(IF($AP2005="",FALSE,INDEX(職員マスタ!$K$6:$K$405,$AP2005)&lt;&gt;""),INDEX(職員マスタ!$K$6:$K$405,$AP2005),IF(N($W2005)&gt;0,$W2005,""))</f>
        <v/>
      </c>
      <c r="AB2005" s="14">
        <f>IF(OR($E2005="",$AA2005=""),"",IF($E2005&gt;=$AA2005,"×",IF($E2005&gt;=$AA2005*設定!$C$5,"△","○")))</f>
        <v/>
      </c>
      <c r="AC2005" s="15">
        <f>IF($AB2005="","",IF($AB2005="×",0,IF($AB2005="○",ROUNDDOWN($E2005*設定!$C$4,0),ROUNDDOWN($E2005*ROUND((9*$AA2005-9*$E2005)/(10*$E2005),4),0))))</f>
        <v/>
      </c>
      <c r="AD2005" s="13" t="n"/>
      <c r="AE2005" s="15">
        <f>IF($B2005="","",IF($AD2005&lt;&gt;"",$AD2005,IF($AC2005="","",IF($AC2005&lt;=設定!$C$3,0,$AC2005))))</f>
        <v/>
      </c>
      <c r="AF2005" s="14">
        <f>IF($B2005="","",IF(AND($AG2005&lt;&gt;"",$AI2005="",$AL2005=""),"保留中",IF($AL2005&lt;&gt;"",IF(N($AE2005)&gt;0,"支給済","不支給"),IF($AE2005="","要確認",IF($AE2005=0,"不支給","未処理")))))</f>
        <v/>
      </c>
      <c r="AG2005" s="12" t="n"/>
      <c r="AH2005" s="11" t="n"/>
      <c r="AI2005" s="11" t="n"/>
      <c r="AJ2005" s="11" t="n"/>
      <c r="AK2005" s="14">
        <f>IF(AND($AF2005="保留中",$AH2005&lt;&gt;""),TODAY()-$AH2005,"")</f>
        <v/>
      </c>
      <c r="AL2005" s="12" t="n"/>
      <c r="AM2005" s="14">
        <f>IF($B2005="","",IF($AQ2005="","対象年月が未入力／","")&amp;IF($B2005="","",IF($AP2005="","職員マスタに未登録の職員番号／",IF($AA2005="","標準報酬月額が未登録／","")&amp;IF(AND($AQ2005&lt;&gt;"",OR(AND(INDEX(職員マスタ!$G$6:$G$405,$AP2005)&lt;&gt;"",INDEX(職員マスタ!$G$6:$G$405,$AP2005)&gt;EOMONTH($AQ2005,0)),AND(INDEX(職員マスタ!$H$6:$H$405,$AP2005)&lt;&gt;"",INDEX(職員マスタ!$H$6:$H$405,$AP2005)&lt;$AQ2005))),"対象月が時短期間外／","")&amp;IF(AND(INDEX(職員マスタ!$K$6:$K$405,$AP2005)&lt;&gt;"",N($W2005)&gt;0,INDEX(職員マスタ!$K$6:$K$405,$AP2005)&lt;&gt;$W2005),"標準報酬月額が申請書と相違（台帳"&amp;TEXT(INDEX(職員マスタ!$K$6:$K$405,$AP2005),"#,##0")&amp;"円／申請書"&amp;TEXT($W2005,"#,##0")&amp;"円）／","")&amp;IF(AND(INDEX(職員マスタ!$F$6:$F$405,$AP2005)&lt;&gt;"",$AQ2005&lt;&gt;"",INDEX(職員マスタ!$F$6:$F$405,$AP2005)&lt;$AQ2005),"対象月に子が2歳到達済／","")&amp;IF(AND($H2005&lt;&gt;"",INDEX(職員マスタ!$B$6:$B$405,$AP2005)&lt;&gt;"",SUBSTITUTE(SUBSTITUTE($H2005," ","")," ","")&lt;&gt;SUBSTITUTE(SUBSTITUTE(INDEX(職員マスタ!$B$6:$B$405,$AP2005)," ","")," ","")),"氏名がマスタと相違／","")&amp;IF(AND($Q2005&lt;&gt;"",INDEX(職員マスタ!$E$6:$E$405,$AP2005)&lt;&gt;"",$Q2005&lt;&gt;INDEX(職員マスタ!$E$6:$E$405,$AP2005)),"子の生年月日がマスタと相違／","")&amp;IF(AND($L2005&lt;&gt;"",INDEX(職員マスタ!$G$6:$G$405,$AP2005)&lt;&gt;"",$L2005&lt;&gt;INDEX(職員マスタ!$G$6:$G$405,$AP2005)),"時短開始日がマスタと相違／","")&amp;IF(AND($M2005&lt;&gt;"",INDEX(職員マスタ!$H$6:$H$405,$AP2005)&lt;&gt;"",$M2005&lt;&gt;INDEX(職員マスタ!$H$6:$H$405,$AP2005)),"時短終了日がマスタと相違／","")))&amp;IF(AND($B2005&lt;&gt;"",$E2005=""),"報酬額が未入力／","")&amp;IF(N($U2005)&gt;0,"申請書に入力エラーが残っています／","")&amp;IF(AND($B2005&lt;&gt;"",$AQ2005&lt;&gt;""),IF(COUNTIFS($B$6:$B$3005,$B2005,$C$6:$C$3005,$C2005,$D$6:$D$3005,$D2005)&gt;1,"同じ月の請求が重複しています／",""),"")&amp;IF(AND(N($E2005)&gt;0,$AB2005&lt;&gt;"",$AB2005&lt;&gt;"×",$AE2005=0,$AD2005=""),"計算額が下限以下のため不支給／",""))</f>
        <v/>
      </c>
      <c r="AN2005" s="12" t="n"/>
      <c r="AO2005" s="14">
        <f>IF($AF2005="保留中",COUNTIF($AF$6:$AF2005,"保留中"),"")</f>
        <v/>
      </c>
      <c r="AP2005" s="14">
        <f>IF($AQ2005="","",IF(SUMPRODUCT(MAX((職員マスタ!$A$6:$A$405=$B2005)*(((職員マスタ!$G$6:$G$405="")+(職員マスタ!$G$6:$G$405&lt;=EOMONTH($AQ2005,0)))&gt;0)*(((職員マスタ!$H$6:$H$405="")+(職員マスタ!$H$6:$H$405&gt;=$AQ2005))&gt;0)*(ROW(職員マスタ!$A$6:$A$405)-5)))&gt;0,SUMPRODUCT(MAX((職員マスタ!$A$6:$A$405=$B2005)*(((職員マスタ!$G$6:$G$405="")+(職員マスタ!$G$6:$G$405&lt;=EOMONTH($AQ2005,0)))&gt;0)*(((職員マスタ!$H$6:$H$405="")+(職員マスタ!$H$6:$H$405&gt;=$AQ2005))&gt;0)*(ROW(職員マスタ!$A$6:$A$405)-5))),IFERROR(MATCH($B2005,職員マスタ!$A$6:$A$405,0),"")))</f>
        <v/>
      </c>
      <c r="AQ2005" s="16">
        <f>IF(OR($B2005="",$C2005="",$D2005=""),"",DATE($C2005+2018,$D2005,1))</f>
        <v/>
      </c>
    </row>
    <row r="2006">
      <c r="A2006" s="11" t="n"/>
      <c r="B2006" s="12" t="n"/>
      <c r="C2006" s="12" t="n"/>
      <c r="D2006" s="12" t="n"/>
      <c r="E2006" s="13" t="n"/>
      <c r="F2006" s="12" t="n"/>
      <c r="G2006" s="13" t="n"/>
      <c r="H2006" s="12" t="n"/>
      <c r="I2006" s="12" t="n"/>
      <c r="J2006" s="12" t="n"/>
      <c r="K2006" s="12" t="n"/>
      <c r="L2006" s="11" t="n"/>
      <c r="M2006" s="11" t="n"/>
      <c r="N2006" s="11" t="n"/>
      <c r="O2006" s="11" t="n"/>
      <c r="P2006" s="12" t="n"/>
      <c r="Q2006" s="11" t="n"/>
      <c r="R2006" s="12" t="n"/>
      <c r="S2006" s="11" t="n"/>
      <c r="T2006" s="12" t="n"/>
      <c r="U2006" s="12" t="n"/>
      <c r="V2006" s="12" t="n"/>
      <c r="W2006" s="13" t="n"/>
      <c r="X2006" s="14">
        <f>IF($AP2006="",IF($B2006="","",$H2006),IF(INDEX(職員マスタ!$B$6:$B$405,$AP2006)="",$H2006,INDEX(職員マスタ!$B$6:$B$405,$AP2006)))</f>
        <v/>
      </c>
      <c r="Y2006" s="14">
        <f>IF($AP2006="",IF($B2006="","",$R2006),IF(INDEX(職員マスタ!$C$6:$C$405,$AP2006)="",$R2006,INDEX(職員マスタ!$C$6:$C$405,$AP2006)))</f>
        <v/>
      </c>
      <c r="Z2006" s="14">
        <f>IF($AQ2006="","","R"&amp;$C2006&amp;"."&amp;$D2006)</f>
        <v/>
      </c>
      <c r="AA2006" s="15">
        <f>IF(IF($AP2006="",FALSE,INDEX(職員マスタ!$K$6:$K$405,$AP2006)&lt;&gt;""),INDEX(職員マスタ!$K$6:$K$405,$AP2006),IF(N($W2006)&gt;0,$W2006,""))</f>
        <v/>
      </c>
      <c r="AB2006" s="14">
        <f>IF(OR($E2006="",$AA2006=""),"",IF($E2006&gt;=$AA2006,"×",IF($E2006&gt;=$AA2006*設定!$C$5,"△","○")))</f>
        <v/>
      </c>
      <c r="AC2006" s="15">
        <f>IF($AB2006="","",IF($AB2006="×",0,IF($AB2006="○",ROUNDDOWN($E2006*設定!$C$4,0),ROUNDDOWN($E2006*ROUND((9*$AA2006-9*$E2006)/(10*$E2006),4),0))))</f>
        <v/>
      </c>
      <c r="AD2006" s="13" t="n"/>
      <c r="AE2006" s="15">
        <f>IF($B2006="","",IF($AD2006&lt;&gt;"",$AD2006,IF($AC2006="","",IF($AC2006&lt;=設定!$C$3,0,$AC2006))))</f>
        <v/>
      </c>
      <c r="AF2006" s="14">
        <f>IF($B2006="","",IF(AND($AG2006&lt;&gt;"",$AI2006="",$AL2006=""),"保留中",IF($AL2006&lt;&gt;"",IF(N($AE2006)&gt;0,"支給済","不支給"),IF($AE2006="","要確認",IF($AE2006=0,"不支給","未処理")))))</f>
        <v/>
      </c>
      <c r="AG2006" s="12" t="n"/>
      <c r="AH2006" s="11" t="n"/>
      <c r="AI2006" s="11" t="n"/>
      <c r="AJ2006" s="11" t="n"/>
      <c r="AK2006" s="14">
        <f>IF(AND($AF2006="保留中",$AH2006&lt;&gt;""),TODAY()-$AH2006,"")</f>
        <v/>
      </c>
      <c r="AL2006" s="12" t="n"/>
      <c r="AM2006" s="14">
        <f>IF($B2006="","",IF($AQ2006="","対象年月が未入力／","")&amp;IF($B2006="","",IF($AP2006="","職員マスタに未登録の職員番号／",IF($AA2006="","標準報酬月額が未登録／","")&amp;IF(AND($AQ2006&lt;&gt;"",OR(AND(INDEX(職員マスタ!$G$6:$G$405,$AP2006)&lt;&gt;"",INDEX(職員マスタ!$G$6:$G$405,$AP2006)&gt;EOMONTH($AQ2006,0)),AND(INDEX(職員マスタ!$H$6:$H$405,$AP2006)&lt;&gt;"",INDEX(職員マスタ!$H$6:$H$405,$AP2006)&lt;$AQ2006))),"対象月が時短期間外／","")&amp;IF(AND(INDEX(職員マスタ!$K$6:$K$405,$AP2006)&lt;&gt;"",N($W2006)&gt;0,INDEX(職員マスタ!$K$6:$K$405,$AP2006)&lt;&gt;$W2006),"標準報酬月額が申請書と相違（台帳"&amp;TEXT(INDEX(職員マスタ!$K$6:$K$405,$AP2006),"#,##0")&amp;"円／申請書"&amp;TEXT($W2006,"#,##0")&amp;"円）／","")&amp;IF(AND(INDEX(職員マスタ!$F$6:$F$405,$AP2006)&lt;&gt;"",$AQ2006&lt;&gt;"",INDEX(職員マスタ!$F$6:$F$405,$AP2006)&lt;$AQ2006),"対象月に子が2歳到達済／","")&amp;IF(AND($H2006&lt;&gt;"",INDEX(職員マスタ!$B$6:$B$405,$AP2006)&lt;&gt;"",SUBSTITUTE(SUBSTITUTE($H2006," ","")," ","")&lt;&gt;SUBSTITUTE(SUBSTITUTE(INDEX(職員マスタ!$B$6:$B$405,$AP2006)," ","")," ","")),"氏名がマスタと相違／","")&amp;IF(AND($Q2006&lt;&gt;"",INDEX(職員マスタ!$E$6:$E$405,$AP2006)&lt;&gt;"",$Q2006&lt;&gt;INDEX(職員マスタ!$E$6:$E$405,$AP2006)),"子の生年月日がマスタと相違／","")&amp;IF(AND($L2006&lt;&gt;"",INDEX(職員マスタ!$G$6:$G$405,$AP2006)&lt;&gt;"",$L2006&lt;&gt;INDEX(職員マスタ!$G$6:$G$405,$AP2006)),"時短開始日がマスタと相違／","")&amp;IF(AND($M2006&lt;&gt;"",INDEX(職員マスタ!$H$6:$H$405,$AP2006)&lt;&gt;"",$M2006&lt;&gt;INDEX(職員マスタ!$H$6:$H$405,$AP2006)),"時短終了日がマスタと相違／","")))&amp;IF(AND($B2006&lt;&gt;"",$E2006=""),"報酬額が未入力／","")&amp;IF(N($U2006)&gt;0,"申請書に入力エラーが残っています／","")&amp;IF(AND($B2006&lt;&gt;"",$AQ2006&lt;&gt;""),IF(COUNTIFS($B$6:$B$3005,$B2006,$C$6:$C$3005,$C2006,$D$6:$D$3005,$D2006)&gt;1,"同じ月の請求が重複しています／",""),"")&amp;IF(AND(N($E2006)&gt;0,$AB2006&lt;&gt;"",$AB2006&lt;&gt;"×",$AE2006=0,$AD2006=""),"計算額が下限以下のため不支給／",""))</f>
        <v/>
      </c>
      <c r="AN2006" s="12" t="n"/>
      <c r="AO2006" s="14">
        <f>IF($AF2006="保留中",COUNTIF($AF$6:$AF2006,"保留中"),"")</f>
        <v/>
      </c>
      <c r="AP2006" s="14">
        <f>IF($AQ2006="","",IF(SUMPRODUCT(MAX((職員マスタ!$A$6:$A$405=$B2006)*(((職員マスタ!$G$6:$G$405="")+(職員マスタ!$G$6:$G$405&lt;=EOMONTH($AQ2006,0)))&gt;0)*(((職員マスタ!$H$6:$H$405="")+(職員マスタ!$H$6:$H$405&gt;=$AQ2006))&gt;0)*(ROW(職員マスタ!$A$6:$A$405)-5)))&gt;0,SUMPRODUCT(MAX((職員マスタ!$A$6:$A$405=$B2006)*(((職員マスタ!$G$6:$G$405="")+(職員マスタ!$G$6:$G$405&lt;=EOMONTH($AQ2006,0)))&gt;0)*(((職員マスタ!$H$6:$H$405="")+(職員マスタ!$H$6:$H$405&gt;=$AQ2006))&gt;0)*(ROW(職員マスタ!$A$6:$A$405)-5))),IFERROR(MATCH($B2006,職員マスタ!$A$6:$A$405,0),"")))</f>
        <v/>
      </c>
      <c r="AQ2006" s="16">
        <f>IF(OR($B2006="",$C2006="",$D2006=""),"",DATE($C2006+2018,$D2006,1))</f>
        <v/>
      </c>
    </row>
    <row r="2007">
      <c r="A2007" s="11" t="n"/>
      <c r="B2007" s="12" t="n"/>
      <c r="C2007" s="12" t="n"/>
      <c r="D2007" s="12" t="n"/>
      <c r="E2007" s="13" t="n"/>
      <c r="F2007" s="12" t="n"/>
      <c r="G2007" s="13" t="n"/>
      <c r="H2007" s="12" t="n"/>
      <c r="I2007" s="12" t="n"/>
      <c r="J2007" s="12" t="n"/>
      <c r="K2007" s="12" t="n"/>
      <c r="L2007" s="11" t="n"/>
      <c r="M2007" s="11" t="n"/>
      <c r="N2007" s="11" t="n"/>
      <c r="O2007" s="11" t="n"/>
      <c r="P2007" s="12" t="n"/>
      <c r="Q2007" s="11" t="n"/>
      <c r="R2007" s="12" t="n"/>
      <c r="S2007" s="11" t="n"/>
      <c r="T2007" s="12" t="n"/>
      <c r="U2007" s="12" t="n"/>
      <c r="V2007" s="12" t="n"/>
      <c r="W2007" s="13" t="n"/>
      <c r="X2007" s="14">
        <f>IF($AP2007="",IF($B2007="","",$H2007),IF(INDEX(職員マスタ!$B$6:$B$405,$AP2007)="",$H2007,INDEX(職員マスタ!$B$6:$B$405,$AP2007)))</f>
        <v/>
      </c>
      <c r="Y2007" s="14">
        <f>IF($AP2007="",IF($B2007="","",$R2007),IF(INDEX(職員マスタ!$C$6:$C$405,$AP2007)="",$R2007,INDEX(職員マスタ!$C$6:$C$405,$AP2007)))</f>
        <v/>
      </c>
      <c r="Z2007" s="14">
        <f>IF($AQ2007="","","R"&amp;$C2007&amp;"."&amp;$D2007)</f>
        <v/>
      </c>
      <c r="AA2007" s="15">
        <f>IF(IF($AP2007="",FALSE,INDEX(職員マスタ!$K$6:$K$405,$AP2007)&lt;&gt;""),INDEX(職員マスタ!$K$6:$K$405,$AP2007),IF(N($W2007)&gt;0,$W2007,""))</f>
        <v/>
      </c>
      <c r="AB2007" s="14">
        <f>IF(OR($E2007="",$AA2007=""),"",IF($E2007&gt;=$AA2007,"×",IF($E2007&gt;=$AA2007*設定!$C$5,"△","○")))</f>
        <v/>
      </c>
      <c r="AC2007" s="15">
        <f>IF($AB2007="","",IF($AB2007="×",0,IF($AB2007="○",ROUNDDOWN($E2007*設定!$C$4,0),ROUNDDOWN($E2007*ROUND((9*$AA2007-9*$E2007)/(10*$E2007),4),0))))</f>
        <v/>
      </c>
      <c r="AD2007" s="13" t="n"/>
      <c r="AE2007" s="15">
        <f>IF($B2007="","",IF($AD2007&lt;&gt;"",$AD2007,IF($AC2007="","",IF($AC2007&lt;=設定!$C$3,0,$AC2007))))</f>
        <v/>
      </c>
      <c r="AF2007" s="14">
        <f>IF($B2007="","",IF(AND($AG2007&lt;&gt;"",$AI2007="",$AL2007=""),"保留中",IF($AL2007&lt;&gt;"",IF(N($AE2007)&gt;0,"支給済","不支給"),IF($AE2007="","要確認",IF($AE2007=0,"不支給","未処理")))))</f>
        <v/>
      </c>
      <c r="AG2007" s="12" t="n"/>
      <c r="AH2007" s="11" t="n"/>
      <c r="AI2007" s="11" t="n"/>
      <c r="AJ2007" s="11" t="n"/>
      <c r="AK2007" s="14">
        <f>IF(AND($AF2007="保留中",$AH2007&lt;&gt;""),TODAY()-$AH2007,"")</f>
        <v/>
      </c>
      <c r="AL2007" s="12" t="n"/>
      <c r="AM2007" s="14">
        <f>IF($B2007="","",IF($AQ2007="","対象年月が未入力／","")&amp;IF($B2007="","",IF($AP2007="","職員マスタに未登録の職員番号／",IF($AA2007="","標準報酬月額が未登録／","")&amp;IF(AND($AQ2007&lt;&gt;"",OR(AND(INDEX(職員マスタ!$G$6:$G$405,$AP2007)&lt;&gt;"",INDEX(職員マスタ!$G$6:$G$405,$AP2007)&gt;EOMONTH($AQ2007,0)),AND(INDEX(職員マスタ!$H$6:$H$405,$AP2007)&lt;&gt;"",INDEX(職員マスタ!$H$6:$H$405,$AP2007)&lt;$AQ2007))),"対象月が時短期間外／","")&amp;IF(AND(INDEX(職員マスタ!$K$6:$K$405,$AP2007)&lt;&gt;"",N($W2007)&gt;0,INDEX(職員マスタ!$K$6:$K$405,$AP2007)&lt;&gt;$W2007),"標準報酬月額が申請書と相違（台帳"&amp;TEXT(INDEX(職員マスタ!$K$6:$K$405,$AP2007),"#,##0")&amp;"円／申請書"&amp;TEXT($W2007,"#,##0")&amp;"円）／","")&amp;IF(AND(INDEX(職員マスタ!$F$6:$F$405,$AP2007)&lt;&gt;"",$AQ2007&lt;&gt;"",INDEX(職員マスタ!$F$6:$F$405,$AP2007)&lt;$AQ2007),"対象月に子が2歳到達済／","")&amp;IF(AND($H2007&lt;&gt;"",INDEX(職員マスタ!$B$6:$B$405,$AP2007)&lt;&gt;"",SUBSTITUTE(SUBSTITUTE($H2007," ","")," ","")&lt;&gt;SUBSTITUTE(SUBSTITUTE(INDEX(職員マスタ!$B$6:$B$405,$AP2007)," ","")," ","")),"氏名がマスタと相違／","")&amp;IF(AND($Q2007&lt;&gt;"",INDEX(職員マスタ!$E$6:$E$405,$AP2007)&lt;&gt;"",$Q2007&lt;&gt;INDEX(職員マスタ!$E$6:$E$405,$AP2007)),"子の生年月日がマスタと相違／","")&amp;IF(AND($L2007&lt;&gt;"",INDEX(職員マスタ!$G$6:$G$405,$AP2007)&lt;&gt;"",$L2007&lt;&gt;INDEX(職員マスタ!$G$6:$G$405,$AP2007)),"時短開始日がマスタと相違／","")&amp;IF(AND($M2007&lt;&gt;"",INDEX(職員マスタ!$H$6:$H$405,$AP2007)&lt;&gt;"",$M2007&lt;&gt;INDEX(職員マスタ!$H$6:$H$405,$AP2007)),"時短終了日がマスタと相違／","")))&amp;IF(AND($B2007&lt;&gt;"",$E2007=""),"報酬額が未入力／","")&amp;IF(N($U2007)&gt;0,"申請書に入力エラーが残っています／","")&amp;IF(AND($B2007&lt;&gt;"",$AQ2007&lt;&gt;""),IF(COUNTIFS($B$6:$B$3005,$B2007,$C$6:$C$3005,$C2007,$D$6:$D$3005,$D2007)&gt;1,"同じ月の請求が重複しています／",""),"")&amp;IF(AND(N($E2007)&gt;0,$AB2007&lt;&gt;"",$AB2007&lt;&gt;"×",$AE2007=0,$AD2007=""),"計算額が下限以下のため不支給／",""))</f>
        <v/>
      </c>
      <c r="AN2007" s="12" t="n"/>
      <c r="AO2007" s="14">
        <f>IF($AF2007="保留中",COUNTIF($AF$6:$AF2007,"保留中"),"")</f>
        <v/>
      </c>
      <c r="AP2007" s="14">
        <f>IF($AQ2007="","",IF(SUMPRODUCT(MAX((職員マスタ!$A$6:$A$405=$B2007)*(((職員マスタ!$G$6:$G$405="")+(職員マスタ!$G$6:$G$405&lt;=EOMONTH($AQ2007,0)))&gt;0)*(((職員マスタ!$H$6:$H$405="")+(職員マスタ!$H$6:$H$405&gt;=$AQ2007))&gt;0)*(ROW(職員マスタ!$A$6:$A$405)-5)))&gt;0,SUMPRODUCT(MAX((職員マスタ!$A$6:$A$405=$B2007)*(((職員マスタ!$G$6:$G$405="")+(職員マスタ!$G$6:$G$405&lt;=EOMONTH($AQ2007,0)))&gt;0)*(((職員マスタ!$H$6:$H$405="")+(職員マスタ!$H$6:$H$405&gt;=$AQ2007))&gt;0)*(ROW(職員マスタ!$A$6:$A$405)-5))),IFERROR(MATCH($B2007,職員マスタ!$A$6:$A$405,0),"")))</f>
        <v/>
      </c>
      <c r="AQ2007" s="16">
        <f>IF(OR($B2007="",$C2007="",$D2007=""),"",DATE($C2007+2018,$D2007,1))</f>
        <v/>
      </c>
    </row>
    <row r="2008">
      <c r="A2008" s="11" t="n"/>
      <c r="B2008" s="12" t="n"/>
      <c r="C2008" s="12" t="n"/>
      <c r="D2008" s="12" t="n"/>
      <c r="E2008" s="13" t="n"/>
      <c r="F2008" s="12" t="n"/>
      <c r="G2008" s="13" t="n"/>
      <c r="H2008" s="12" t="n"/>
      <c r="I2008" s="12" t="n"/>
      <c r="J2008" s="12" t="n"/>
      <c r="K2008" s="12" t="n"/>
      <c r="L2008" s="11" t="n"/>
      <c r="M2008" s="11" t="n"/>
      <c r="N2008" s="11" t="n"/>
      <c r="O2008" s="11" t="n"/>
      <c r="P2008" s="12" t="n"/>
      <c r="Q2008" s="11" t="n"/>
      <c r="R2008" s="12" t="n"/>
      <c r="S2008" s="11" t="n"/>
      <c r="T2008" s="12" t="n"/>
      <c r="U2008" s="12" t="n"/>
      <c r="V2008" s="12" t="n"/>
      <c r="W2008" s="13" t="n"/>
      <c r="X2008" s="14">
        <f>IF($AP2008="",IF($B2008="","",$H2008),IF(INDEX(職員マスタ!$B$6:$B$405,$AP2008)="",$H2008,INDEX(職員マスタ!$B$6:$B$405,$AP2008)))</f>
        <v/>
      </c>
      <c r="Y2008" s="14">
        <f>IF($AP2008="",IF($B2008="","",$R2008),IF(INDEX(職員マスタ!$C$6:$C$405,$AP2008)="",$R2008,INDEX(職員マスタ!$C$6:$C$405,$AP2008)))</f>
        <v/>
      </c>
      <c r="Z2008" s="14">
        <f>IF($AQ2008="","","R"&amp;$C2008&amp;"."&amp;$D2008)</f>
        <v/>
      </c>
      <c r="AA2008" s="15">
        <f>IF(IF($AP2008="",FALSE,INDEX(職員マスタ!$K$6:$K$405,$AP2008)&lt;&gt;""),INDEX(職員マスタ!$K$6:$K$405,$AP2008),IF(N($W2008)&gt;0,$W2008,""))</f>
        <v/>
      </c>
      <c r="AB2008" s="14">
        <f>IF(OR($E2008="",$AA2008=""),"",IF($E2008&gt;=$AA2008,"×",IF($E2008&gt;=$AA2008*設定!$C$5,"△","○")))</f>
        <v/>
      </c>
      <c r="AC2008" s="15">
        <f>IF($AB2008="","",IF($AB2008="×",0,IF($AB2008="○",ROUNDDOWN($E2008*設定!$C$4,0),ROUNDDOWN($E2008*ROUND((9*$AA2008-9*$E2008)/(10*$E2008),4),0))))</f>
        <v/>
      </c>
      <c r="AD2008" s="13" t="n"/>
      <c r="AE2008" s="15">
        <f>IF($B2008="","",IF($AD2008&lt;&gt;"",$AD2008,IF($AC2008="","",IF($AC2008&lt;=設定!$C$3,0,$AC2008))))</f>
        <v/>
      </c>
      <c r="AF2008" s="14">
        <f>IF($B2008="","",IF(AND($AG2008&lt;&gt;"",$AI2008="",$AL2008=""),"保留中",IF($AL2008&lt;&gt;"",IF(N($AE2008)&gt;0,"支給済","不支給"),IF($AE2008="","要確認",IF($AE2008=0,"不支給","未処理")))))</f>
        <v/>
      </c>
      <c r="AG2008" s="12" t="n"/>
      <c r="AH2008" s="11" t="n"/>
      <c r="AI2008" s="11" t="n"/>
      <c r="AJ2008" s="11" t="n"/>
      <c r="AK2008" s="14">
        <f>IF(AND($AF2008="保留中",$AH2008&lt;&gt;""),TODAY()-$AH2008,"")</f>
        <v/>
      </c>
      <c r="AL2008" s="12" t="n"/>
      <c r="AM2008" s="14">
        <f>IF($B2008="","",IF($AQ2008="","対象年月が未入力／","")&amp;IF($B2008="","",IF($AP2008="","職員マスタに未登録の職員番号／",IF($AA2008="","標準報酬月額が未登録／","")&amp;IF(AND($AQ2008&lt;&gt;"",OR(AND(INDEX(職員マスタ!$G$6:$G$405,$AP2008)&lt;&gt;"",INDEX(職員マスタ!$G$6:$G$405,$AP2008)&gt;EOMONTH($AQ2008,0)),AND(INDEX(職員マスタ!$H$6:$H$405,$AP2008)&lt;&gt;"",INDEX(職員マスタ!$H$6:$H$405,$AP2008)&lt;$AQ2008))),"対象月が時短期間外／","")&amp;IF(AND(INDEX(職員マスタ!$K$6:$K$405,$AP2008)&lt;&gt;"",N($W2008)&gt;0,INDEX(職員マスタ!$K$6:$K$405,$AP2008)&lt;&gt;$W2008),"標準報酬月額が申請書と相違（台帳"&amp;TEXT(INDEX(職員マスタ!$K$6:$K$405,$AP2008),"#,##0")&amp;"円／申請書"&amp;TEXT($W2008,"#,##0")&amp;"円）／","")&amp;IF(AND(INDEX(職員マスタ!$F$6:$F$405,$AP2008)&lt;&gt;"",$AQ2008&lt;&gt;"",INDEX(職員マスタ!$F$6:$F$405,$AP2008)&lt;$AQ2008),"対象月に子が2歳到達済／","")&amp;IF(AND($H2008&lt;&gt;"",INDEX(職員マスタ!$B$6:$B$405,$AP2008)&lt;&gt;"",SUBSTITUTE(SUBSTITUTE($H2008," ","")," ","")&lt;&gt;SUBSTITUTE(SUBSTITUTE(INDEX(職員マスタ!$B$6:$B$405,$AP2008)," ","")," ","")),"氏名がマスタと相違／","")&amp;IF(AND($Q2008&lt;&gt;"",INDEX(職員マスタ!$E$6:$E$405,$AP2008)&lt;&gt;"",$Q2008&lt;&gt;INDEX(職員マスタ!$E$6:$E$405,$AP2008)),"子の生年月日がマスタと相違／","")&amp;IF(AND($L2008&lt;&gt;"",INDEX(職員マスタ!$G$6:$G$405,$AP2008)&lt;&gt;"",$L2008&lt;&gt;INDEX(職員マスタ!$G$6:$G$405,$AP2008)),"時短開始日がマスタと相違／","")&amp;IF(AND($M2008&lt;&gt;"",INDEX(職員マスタ!$H$6:$H$405,$AP2008)&lt;&gt;"",$M2008&lt;&gt;INDEX(職員マスタ!$H$6:$H$405,$AP2008)),"時短終了日がマスタと相違／","")))&amp;IF(AND($B2008&lt;&gt;"",$E2008=""),"報酬額が未入力／","")&amp;IF(N($U2008)&gt;0,"申請書に入力エラーが残っています／","")&amp;IF(AND($B2008&lt;&gt;"",$AQ2008&lt;&gt;""),IF(COUNTIFS($B$6:$B$3005,$B2008,$C$6:$C$3005,$C2008,$D$6:$D$3005,$D2008)&gt;1,"同じ月の請求が重複しています／",""),"")&amp;IF(AND(N($E2008)&gt;0,$AB2008&lt;&gt;"",$AB2008&lt;&gt;"×",$AE2008=0,$AD2008=""),"計算額が下限以下のため不支給／",""))</f>
        <v/>
      </c>
      <c r="AN2008" s="12" t="n"/>
      <c r="AO2008" s="14">
        <f>IF($AF2008="保留中",COUNTIF($AF$6:$AF2008,"保留中"),"")</f>
        <v/>
      </c>
      <c r="AP2008" s="14">
        <f>IF($AQ2008="","",IF(SUMPRODUCT(MAX((職員マスタ!$A$6:$A$405=$B2008)*(((職員マスタ!$G$6:$G$405="")+(職員マスタ!$G$6:$G$405&lt;=EOMONTH($AQ2008,0)))&gt;0)*(((職員マスタ!$H$6:$H$405="")+(職員マスタ!$H$6:$H$405&gt;=$AQ2008))&gt;0)*(ROW(職員マスタ!$A$6:$A$405)-5)))&gt;0,SUMPRODUCT(MAX((職員マスタ!$A$6:$A$405=$B2008)*(((職員マスタ!$G$6:$G$405="")+(職員マスタ!$G$6:$G$405&lt;=EOMONTH($AQ2008,0)))&gt;0)*(((職員マスタ!$H$6:$H$405="")+(職員マスタ!$H$6:$H$405&gt;=$AQ2008))&gt;0)*(ROW(職員マスタ!$A$6:$A$405)-5))),IFERROR(MATCH($B2008,職員マスタ!$A$6:$A$405,0),"")))</f>
        <v/>
      </c>
      <c r="AQ2008" s="16">
        <f>IF(OR($B2008="",$C2008="",$D2008=""),"",DATE($C2008+2018,$D2008,1))</f>
        <v/>
      </c>
    </row>
    <row r="2009">
      <c r="A2009" s="11" t="n"/>
      <c r="B2009" s="12" t="n"/>
      <c r="C2009" s="12" t="n"/>
      <c r="D2009" s="12" t="n"/>
      <c r="E2009" s="13" t="n"/>
      <c r="F2009" s="12" t="n"/>
      <c r="G2009" s="13" t="n"/>
      <c r="H2009" s="12" t="n"/>
      <c r="I2009" s="12" t="n"/>
      <c r="J2009" s="12" t="n"/>
      <c r="K2009" s="12" t="n"/>
      <c r="L2009" s="11" t="n"/>
      <c r="M2009" s="11" t="n"/>
      <c r="N2009" s="11" t="n"/>
      <c r="O2009" s="11" t="n"/>
      <c r="P2009" s="12" t="n"/>
      <c r="Q2009" s="11" t="n"/>
      <c r="R2009" s="12" t="n"/>
      <c r="S2009" s="11" t="n"/>
      <c r="T2009" s="12" t="n"/>
      <c r="U2009" s="12" t="n"/>
      <c r="V2009" s="12" t="n"/>
      <c r="W2009" s="13" t="n"/>
      <c r="X2009" s="14">
        <f>IF($AP2009="",IF($B2009="","",$H2009),IF(INDEX(職員マスタ!$B$6:$B$405,$AP2009)="",$H2009,INDEX(職員マスタ!$B$6:$B$405,$AP2009)))</f>
        <v/>
      </c>
      <c r="Y2009" s="14">
        <f>IF($AP2009="",IF($B2009="","",$R2009),IF(INDEX(職員マスタ!$C$6:$C$405,$AP2009)="",$R2009,INDEX(職員マスタ!$C$6:$C$405,$AP2009)))</f>
        <v/>
      </c>
      <c r="Z2009" s="14">
        <f>IF($AQ2009="","","R"&amp;$C2009&amp;"."&amp;$D2009)</f>
        <v/>
      </c>
      <c r="AA2009" s="15">
        <f>IF(IF($AP2009="",FALSE,INDEX(職員マスタ!$K$6:$K$405,$AP2009)&lt;&gt;""),INDEX(職員マスタ!$K$6:$K$405,$AP2009),IF(N($W2009)&gt;0,$W2009,""))</f>
        <v/>
      </c>
      <c r="AB2009" s="14">
        <f>IF(OR($E2009="",$AA2009=""),"",IF($E2009&gt;=$AA2009,"×",IF($E2009&gt;=$AA2009*設定!$C$5,"△","○")))</f>
        <v/>
      </c>
      <c r="AC2009" s="15">
        <f>IF($AB2009="","",IF($AB2009="×",0,IF($AB2009="○",ROUNDDOWN($E2009*設定!$C$4,0),ROUNDDOWN($E2009*ROUND((9*$AA2009-9*$E2009)/(10*$E2009),4),0))))</f>
        <v/>
      </c>
      <c r="AD2009" s="13" t="n"/>
      <c r="AE2009" s="15">
        <f>IF($B2009="","",IF($AD2009&lt;&gt;"",$AD2009,IF($AC2009="","",IF($AC2009&lt;=設定!$C$3,0,$AC2009))))</f>
        <v/>
      </c>
      <c r="AF2009" s="14">
        <f>IF($B2009="","",IF(AND($AG2009&lt;&gt;"",$AI2009="",$AL2009=""),"保留中",IF($AL2009&lt;&gt;"",IF(N($AE2009)&gt;0,"支給済","不支給"),IF($AE2009="","要確認",IF($AE2009=0,"不支給","未処理")))))</f>
        <v/>
      </c>
      <c r="AG2009" s="12" t="n"/>
      <c r="AH2009" s="11" t="n"/>
      <c r="AI2009" s="11" t="n"/>
      <c r="AJ2009" s="11" t="n"/>
      <c r="AK2009" s="14">
        <f>IF(AND($AF2009="保留中",$AH2009&lt;&gt;""),TODAY()-$AH2009,"")</f>
        <v/>
      </c>
      <c r="AL2009" s="12" t="n"/>
      <c r="AM2009" s="14">
        <f>IF($B2009="","",IF($AQ2009="","対象年月が未入力／","")&amp;IF($B2009="","",IF($AP2009="","職員マスタに未登録の職員番号／",IF($AA2009="","標準報酬月額が未登録／","")&amp;IF(AND($AQ2009&lt;&gt;"",OR(AND(INDEX(職員マスタ!$G$6:$G$405,$AP2009)&lt;&gt;"",INDEX(職員マスタ!$G$6:$G$405,$AP2009)&gt;EOMONTH($AQ2009,0)),AND(INDEX(職員マスタ!$H$6:$H$405,$AP2009)&lt;&gt;"",INDEX(職員マスタ!$H$6:$H$405,$AP2009)&lt;$AQ2009))),"対象月が時短期間外／","")&amp;IF(AND(INDEX(職員マスタ!$K$6:$K$405,$AP2009)&lt;&gt;"",N($W2009)&gt;0,INDEX(職員マスタ!$K$6:$K$405,$AP2009)&lt;&gt;$W2009),"標準報酬月額が申請書と相違（台帳"&amp;TEXT(INDEX(職員マスタ!$K$6:$K$405,$AP2009),"#,##0")&amp;"円／申請書"&amp;TEXT($W2009,"#,##0")&amp;"円）／","")&amp;IF(AND(INDEX(職員マスタ!$F$6:$F$405,$AP2009)&lt;&gt;"",$AQ2009&lt;&gt;"",INDEX(職員マスタ!$F$6:$F$405,$AP2009)&lt;$AQ2009),"対象月に子が2歳到達済／","")&amp;IF(AND($H2009&lt;&gt;"",INDEX(職員マスタ!$B$6:$B$405,$AP2009)&lt;&gt;"",SUBSTITUTE(SUBSTITUTE($H2009," ","")," ","")&lt;&gt;SUBSTITUTE(SUBSTITUTE(INDEX(職員マスタ!$B$6:$B$405,$AP2009)," ","")," ","")),"氏名がマスタと相違／","")&amp;IF(AND($Q2009&lt;&gt;"",INDEX(職員マスタ!$E$6:$E$405,$AP2009)&lt;&gt;"",$Q2009&lt;&gt;INDEX(職員マスタ!$E$6:$E$405,$AP2009)),"子の生年月日がマスタと相違／","")&amp;IF(AND($L2009&lt;&gt;"",INDEX(職員マスタ!$G$6:$G$405,$AP2009)&lt;&gt;"",$L2009&lt;&gt;INDEX(職員マスタ!$G$6:$G$405,$AP2009)),"時短開始日がマスタと相違／","")&amp;IF(AND($M2009&lt;&gt;"",INDEX(職員マスタ!$H$6:$H$405,$AP2009)&lt;&gt;"",$M2009&lt;&gt;INDEX(職員マスタ!$H$6:$H$405,$AP2009)),"時短終了日がマスタと相違／","")))&amp;IF(AND($B2009&lt;&gt;"",$E2009=""),"報酬額が未入力／","")&amp;IF(N($U2009)&gt;0,"申請書に入力エラーが残っています／","")&amp;IF(AND($B2009&lt;&gt;"",$AQ2009&lt;&gt;""),IF(COUNTIFS($B$6:$B$3005,$B2009,$C$6:$C$3005,$C2009,$D$6:$D$3005,$D2009)&gt;1,"同じ月の請求が重複しています／",""),"")&amp;IF(AND(N($E2009)&gt;0,$AB2009&lt;&gt;"",$AB2009&lt;&gt;"×",$AE2009=0,$AD2009=""),"計算額が下限以下のため不支給／",""))</f>
        <v/>
      </c>
      <c r="AN2009" s="12" t="n"/>
      <c r="AO2009" s="14">
        <f>IF($AF2009="保留中",COUNTIF($AF$6:$AF2009,"保留中"),"")</f>
        <v/>
      </c>
      <c r="AP2009" s="14">
        <f>IF($AQ2009="","",IF(SUMPRODUCT(MAX((職員マスタ!$A$6:$A$405=$B2009)*(((職員マスタ!$G$6:$G$405="")+(職員マスタ!$G$6:$G$405&lt;=EOMONTH($AQ2009,0)))&gt;0)*(((職員マスタ!$H$6:$H$405="")+(職員マスタ!$H$6:$H$405&gt;=$AQ2009))&gt;0)*(ROW(職員マスタ!$A$6:$A$405)-5)))&gt;0,SUMPRODUCT(MAX((職員マスタ!$A$6:$A$405=$B2009)*(((職員マスタ!$G$6:$G$405="")+(職員マスタ!$G$6:$G$405&lt;=EOMONTH($AQ2009,0)))&gt;0)*(((職員マスタ!$H$6:$H$405="")+(職員マスタ!$H$6:$H$405&gt;=$AQ2009))&gt;0)*(ROW(職員マスタ!$A$6:$A$405)-5))),IFERROR(MATCH($B2009,職員マスタ!$A$6:$A$405,0),"")))</f>
        <v/>
      </c>
      <c r="AQ2009" s="16">
        <f>IF(OR($B2009="",$C2009="",$D2009=""),"",DATE($C2009+2018,$D2009,1))</f>
        <v/>
      </c>
    </row>
    <row r="2010">
      <c r="A2010" s="11" t="n"/>
      <c r="B2010" s="12" t="n"/>
      <c r="C2010" s="12" t="n"/>
      <c r="D2010" s="12" t="n"/>
      <c r="E2010" s="13" t="n"/>
      <c r="F2010" s="12" t="n"/>
      <c r="G2010" s="13" t="n"/>
      <c r="H2010" s="12" t="n"/>
      <c r="I2010" s="12" t="n"/>
      <c r="J2010" s="12" t="n"/>
      <c r="K2010" s="12" t="n"/>
      <c r="L2010" s="11" t="n"/>
      <c r="M2010" s="11" t="n"/>
      <c r="N2010" s="11" t="n"/>
      <c r="O2010" s="11" t="n"/>
      <c r="P2010" s="12" t="n"/>
      <c r="Q2010" s="11" t="n"/>
      <c r="R2010" s="12" t="n"/>
      <c r="S2010" s="11" t="n"/>
      <c r="T2010" s="12" t="n"/>
      <c r="U2010" s="12" t="n"/>
      <c r="V2010" s="12" t="n"/>
      <c r="W2010" s="13" t="n"/>
      <c r="X2010" s="14">
        <f>IF($AP2010="",IF($B2010="","",$H2010),IF(INDEX(職員マスタ!$B$6:$B$405,$AP2010)="",$H2010,INDEX(職員マスタ!$B$6:$B$405,$AP2010)))</f>
        <v/>
      </c>
      <c r="Y2010" s="14">
        <f>IF($AP2010="",IF($B2010="","",$R2010),IF(INDEX(職員マスタ!$C$6:$C$405,$AP2010)="",$R2010,INDEX(職員マスタ!$C$6:$C$405,$AP2010)))</f>
        <v/>
      </c>
      <c r="Z2010" s="14">
        <f>IF($AQ2010="","","R"&amp;$C2010&amp;"."&amp;$D2010)</f>
        <v/>
      </c>
      <c r="AA2010" s="15">
        <f>IF(IF($AP2010="",FALSE,INDEX(職員マスタ!$K$6:$K$405,$AP2010)&lt;&gt;""),INDEX(職員マスタ!$K$6:$K$405,$AP2010),IF(N($W2010)&gt;0,$W2010,""))</f>
        <v/>
      </c>
      <c r="AB2010" s="14">
        <f>IF(OR($E2010="",$AA2010=""),"",IF($E2010&gt;=$AA2010,"×",IF($E2010&gt;=$AA2010*設定!$C$5,"△","○")))</f>
        <v/>
      </c>
      <c r="AC2010" s="15">
        <f>IF($AB2010="","",IF($AB2010="×",0,IF($AB2010="○",ROUNDDOWN($E2010*設定!$C$4,0),ROUNDDOWN($E2010*ROUND((9*$AA2010-9*$E2010)/(10*$E2010),4),0))))</f>
        <v/>
      </c>
      <c r="AD2010" s="13" t="n"/>
      <c r="AE2010" s="15">
        <f>IF($B2010="","",IF($AD2010&lt;&gt;"",$AD2010,IF($AC2010="","",IF($AC2010&lt;=設定!$C$3,0,$AC2010))))</f>
        <v/>
      </c>
      <c r="AF2010" s="14">
        <f>IF($B2010="","",IF(AND($AG2010&lt;&gt;"",$AI2010="",$AL2010=""),"保留中",IF($AL2010&lt;&gt;"",IF(N($AE2010)&gt;0,"支給済","不支給"),IF($AE2010="","要確認",IF($AE2010=0,"不支給","未処理")))))</f>
        <v/>
      </c>
      <c r="AG2010" s="12" t="n"/>
      <c r="AH2010" s="11" t="n"/>
      <c r="AI2010" s="11" t="n"/>
      <c r="AJ2010" s="11" t="n"/>
      <c r="AK2010" s="14">
        <f>IF(AND($AF2010="保留中",$AH2010&lt;&gt;""),TODAY()-$AH2010,"")</f>
        <v/>
      </c>
      <c r="AL2010" s="12" t="n"/>
      <c r="AM2010" s="14">
        <f>IF($B2010="","",IF($AQ2010="","対象年月が未入力／","")&amp;IF($B2010="","",IF($AP2010="","職員マスタに未登録の職員番号／",IF($AA2010="","標準報酬月額が未登録／","")&amp;IF(AND($AQ2010&lt;&gt;"",OR(AND(INDEX(職員マスタ!$G$6:$G$405,$AP2010)&lt;&gt;"",INDEX(職員マスタ!$G$6:$G$405,$AP2010)&gt;EOMONTH($AQ2010,0)),AND(INDEX(職員マスタ!$H$6:$H$405,$AP2010)&lt;&gt;"",INDEX(職員マスタ!$H$6:$H$405,$AP2010)&lt;$AQ2010))),"対象月が時短期間外／","")&amp;IF(AND(INDEX(職員マスタ!$K$6:$K$405,$AP2010)&lt;&gt;"",N($W2010)&gt;0,INDEX(職員マスタ!$K$6:$K$405,$AP2010)&lt;&gt;$W2010),"標準報酬月額が申請書と相違（台帳"&amp;TEXT(INDEX(職員マスタ!$K$6:$K$405,$AP2010),"#,##0")&amp;"円／申請書"&amp;TEXT($W2010,"#,##0")&amp;"円）／","")&amp;IF(AND(INDEX(職員マスタ!$F$6:$F$405,$AP2010)&lt;&gt;"",$AQ2010&lt;&gt;"",INDEX(職員マスタ!$F$6:$F$405,$AP2010)&lt;$AQ2010),"対象月に子が2歳到達済／","")&amp;IF(AND($H2010&lt;&gt;"",INDEX(職員マスタ!$B$6:$B$405,$AP2010)&lt;&gt;"",SUBSTITUTE(SUBSTITUTE($H2010," ","")," ","")&lt;&gt;SUBSTITUTE(SUBSTITUTE(INDEX(職員マスタ!$B$6:$B$405,$AP2010)," ","")," ","")),"氏名がマスタと相違／","")&amp;IF(AND($Q2010&lt;&gt;"",INDEX(職員マスタ!$E$6:$E$405,$AP2010)&lt;&gt;"",$Q2010&lt;&gt;INDEX(職員マスタ!$E$6:$E$405,$AP2010)),"子の生年月日がマスタと相違／","")&amp;IF(AND($L2010&lt;&gt;"",INDEX(職員マスタ!$G$6:$G$405,$AP2010)&lt;&gt;"",$L2010&lt;&gt;INDEX(職員マスタ!$G$6:$G$405,$AP2010)),"時短開始日がマスタと相違／","")&amp;IF(AND($M2010&lt;&gt;"",INDEX(職員マスタ!$H$6:$H$405,$AP2010)&lt;&gt;"",$M2010&lt;&gt;INDEX(職員マスタ!$H$6:$H$405,$AP2010)),"時短終了日がマスタと相違／","")))&amp;IF(AND($B2010&lt;&gt;"",$E2010=""),"報酬額が未入力／","")&amp;IF(N($U2010)&gt;0,"申請書に入力エラーが残っています／","")&amp;IF(AND($B2010&lt;&gt;"",$AQ2010&lt;&gt;""),IF(COUNTIFS($B$6:$B$3005,$B2010,$C$6:$C$3005,$C2010,$D$6:$D$3005,$D2010)&gt;1,"同じ月の請求が重複しています／",""),"")&amp;IF(AND(N($E2010)&gt;0,$AB2010&lt;&gt;"",$AB2010&lt;&gt;"×",$AE2010=0,$AD2010=""),"計算額が下限以下のため不支給／",""))</f>
        <v/>
      </c>
      <c r="AN2010" s="12" t="n"/>
      <c r="AO2010" s="14">
        <f>IF($AF2010="保留中",COUNTIF($AF$6:$AF2010,"保留中"),"")</f>
        <v/>
      </c>
      <c r="AP2010" s="14">
        <f>IF($AQ2010="","",IF(SUMPRODUCT(MAX((職員マスタ!$A$6:$A$405=$B2010)*(((職員マスタ!$G$6:$G$405="")+(職員マスタ!$G$6:$G$405&lt;=EOMONTH($AQ2010,0)))&gt;0)*(((職員マスタ!$H$6:$H$405="")+(職員マスタ!$H$6:$H$405&gt;=$AQ2010))&gt;0)*(ROW(職員マスタ!$A$6:$A$405)-5)))&gt;0,SUMPRODUCT(MAX((職員マスタ!$A$6:$A$405=$B2010)*(((職員マスタ!$G$6:$G$405="")+(職員マスタ!$G$6:$G$405&lt;=EOMONTH($AQ2010,0)))&gt;0)*(((職員マスタ!$H$6:$H$405="")+(職員マスタ!$H$6:$H$405&gt;=$AQ2010))&gt;0)*(ROW(職員マスタ!$A$6:$A$405)-5))),IFERROR(MATCH($B2010,職員マスタ!$A$6:$A$405,0),"")))</f>
        <v/>
      </c>
      <c r="AQ2010" s="16">
        <f>IF(OR($B2010="",$C2010="",$D2010=""),"",DATE($C2010+2018,$D2010,1))</f>
        <v/>
      </c>
    </row>
    <row r="2011">
      <c r="A2011" s="11" t="n"/>
      <c r="B2011" s="12" t="n"/>
      <c r="C2011" s="12" t="n"/>
      <c r="D2011" s="12" t="n"/>
      <c r="E2011" s="13" t="n"/>
      <c r="F2011" s="12" t="n"/>
      <c r="G2011" s="13" t="n"/>
      <c r="H2011" s="12" t="n"/>
      <c r="I2011" s="12" t="n"/>
      <c r="J2011" s="12" t="n"/>
      <c r="K2011" s="12" t="n"/>
      <c r="L2011" s="11" t="n"/>
      <c r="M2011" s="11" t="n"/>
      <c r="N2011" s="11" t="n"/>
      <c r="O2011" s="11" t="n"/>
      <c r="P2011" s="12" t="n"/>
      <c r="Q2011" s="11" t="n"/>
      <c r="R2011" s="12" t="n"/>
      <c r="S2011" s="11" t="n"/>
      <c r="T2011" s="12" t="n"/>
      <c r="U2011" s="12" t="n"/>
      <c r="V2011" s="12" t="n"/>
      <c r="W2011" s="13" t="n"/>
      <c r="X2011" s="14">
        <f>IF($AP2011="",IF($B2011="","",$H2011),IF(INDEX(職員マスタ!$B$6:$B$405,$AP2011)="",$H2011,INDEX(職員マスタ!$B$6:$B$405,$AP2011)))</f>
        <v/>
      </c>
      <c r="Y2011" s="14">
        <f>IF($AP2011="",IF($B2011="","",$R2011),IF(INDEX(職員マスタ!$C$6:$C$405,$AP2011)="",$R2011,INDEX(職員マスタ!$C$6:$C$405,$AP2011)))</f>
        <v/>
      </c>
      <c r="Z2011" s="14">
        <f>IF($AQ2011="","","R"&amp;$C2011&amp;"."&amp;$D2011)</f>
        <v/>
      </c>
      <c r="AA2011" s="15">
        <f>IF(IF($AP2011="",FALSE,INDEX(職員マスタ!$K$6:$K$405,$AP2011)&lt;&gt;""),INDEX(職員マスタ!$K$6:$K$405,$AP2011),IF(N($W2011)&gt;0,$W2011,""))</f>
        <v/>
      </c>
      <c r="AB2011" s="14">
        <f>IF(OR($E2011="",$AA2011=""),"",IF($E2011&gt;=$AA2011,"×",IF($E2011&gt;=$AA2011*設定!$C$5,"△","○")))</f>
        <v/>
      </c>
      <c r="AC2011" s="15">
        <f>IF($AB2011="","",IF($AB2011="×",0,IF($AB2011="○",ROUNDDOWN($E2011*設定!$C$4,0),ROUNDDOWN($E2011*ROUND((9*$AA2011-9*$E2011)/(10*$E2011),4),0))))</f>
        <v/>
      </c>
      <c r="AD2011" s="13" t="n"/>
      <c r="AE2011" s="15">
        <f>IF($B2011="","",IF($AD2011&lt;&gt;"",$AD2011,IF($AC2011="","",IF($AC2011&lt;=設定!$C$3,0,$AC2011))))</f>
        <v/>
      </c>
      <c r="AF2011" s="14">
        <f>IF($B2011="","",IF(AND($AG2011&lt;&gt;"",$AI2011="",$AL2011=""),"保留中",IF($AL2011&lt;&gt;"",IF(N($AE2011)&gt;0,"支給済","不支給"),IF($AE2011="","要確認",IF($AE2011=0,"不支給","未処理")))))</f>
        <v/>
      </c>
      <c r="AG2011" s="12" t="n"/>
      <c r="AH2011" s="11" t="n"/>
      <c r="AI2011" s="11" t="n"/>
      <c r="AJ2011" s="11" t="n"/>
      <c r="AK2011" s="14">
        <f>IF(AND($AF2011="保留中",$AH2011&lt;&gt;""),TODAY()-$AH2011,"")</f>
        <v/>
      </c>
      <c r="AL2011" s="12" t="n"/>
      <c r="AM2011" s="14">
        <f>IF($B2011="","",IF($AQ2011="","対象年月が未入力／","")&amp;IF($B2011="","",IF($AP2011="","職員マスタに未登録の職員番号／",IF($AA2011="","標準報酬月額が未登録／","")&amp;IF(AND($AQ2011&lt;&gt;"",OR(AND(INDEX(職員マスタ!$G$6:$G$405,$AP2011)&lt;&gt;"",INDEX(職員マスタ!$G$6:$G$405,$AP2011)&gt;EOMONTH($AQ2011,0)),AND(INDEX(職員マスタ!$H$6:$H$405,$AP2011)&lt;&gt;"",INDEX(職員マスタ!$H$6:$H$405,$AP2011)&lt;$AQ2011))),"対象月が時短期間外／","")&amp;IF(AND(INDEX(職員マスタ!$K$6:$K$405,$AP2011)&lt;&gt;"",N($W2011)&gt;0,INDEX(職員マスタ!$K$6:$K$405,$AP2011)&lt;&gt;$W2011),"標準報酬月額が申請書と相違（台帳"&amp;TEXT(INDEX(職員マスタ!$K$6:$K$405,$AP2011),"#,##0")&amp;"円／申請書"&amp;TEXT($W2011,"#,##0")&amp;"円）／","")&amp;IF(AND(INDEX(職員マスタ!$F$6:$F$405,$AP2011)&lt;&gt;"",$AQ2011&lt;&gt;"",INDEX(職員マスタ!$F$6:$F$405,$AP2011)&lt;$AQ2011),"対象月に子が2歳到達済／","")&amp;IF(AND($H2011&lt;&gt;"",INDEX(職員マスタ!$B$6:$B$405,$AP2011)&lt;&gt;"",SUBSTITUTE(SUBSTITUTE($H2011," ","")," ","")&lt;&gt;SUBSTITUTE(SUBSTITUTE(INDEX(職員マスタ!$B$6:$B$405,$AP2011)," ","")," ","")),"氏名がマスタと相違／","")&amp;IF(AND($Q2011&lt;&gt;"",INDEX(職員マスタ!$E$6:$E$405,$AP2011)&lt;&gt;"",$Q2011&lt;&gt;INDEX(職員マスタ!$E$6:$E$405,$AP2011)),"子の生年月日がマスタと相違／","")&amp;IF(AND($L2011&lt;&gt;"",INDEX(職員マスタ!$G$6:$G$405,$AP2011)&lt;&gt;"",$L2011&lt;&gt;INDEX(職員マスタ!$G$6:$G$405,$AP2011)),"時短開始日がマスタと相違／","")&amp;IF(AND($M2011&lt;&gt;"",INDEX(職員マスタ!$H$6:$H$405,$AP2011)&lt;&gt;"",$M2011&lt;&gt;INDEX(職員マスタ!$H$6:$H$405,$AP2011)),"時短終了日がマスタと相違／","")))&amp;IF(AND($B2011&lt;&gt;"",$E2011=""),"報酬額が未入力／","")&amp;IF(N($U2011)&gt;0,"申請書に入力エラーが残っています／","")&amp;IF(AND($B2011&lt;&gt;"",$AQ2011&lt;&gt;""),IF(COUNTIFS($B$6:$B$3005,$B2011,$C$6:$C$3005,$C2011,$D$6:$D$3005,$D2011)&gt;1,"同じ月の請求が重複しています／",""),"")&amp;IF(AND(N($E2011)&gt;0,$AB2011&lt;&gt;"",$AB2011&lt;&gt;"×",$AE2011=0,$AD2011=""),"計算額が下限以下のため不支給／",""))</f>
        <v/>
      </c>
      <c r="AN2011" s="12" t="n"/>
      <c r="AO2011" s="14">
        <f>IF($AF2011="保留中",COUNTIF($AF$6:$AF2011,"保留中"),"")</f>
        <v/>
      </c>
      <c r="AP2011" s="14">
        <f>IF($AQ2011="","",IF(SUMPRODUCT(MAX((職員マスタ!$A$6:$A$405=$B2011)*(((職員マスタ!$G$6:$G$405="")+(職員マスタ!$G$6:$G$405&lt;=EOMONTH($AQ2011,0)))&gt;0)*(((職員マスタ!$H$6:$H$405="")+(職員マスタ!$H$6:$H$405&gt;=$AQ2011))&gt;0)*(ROW(職員マスタ!$A$6:$A$405)-5)))&gt;0,SUMPRODUCT(MAX((職員マスタ!$A$6:$A$405=$B2011)*(((職員マスタ!$G$6:$G$405="")+(職員マスタ!$G$6:$G$405&lt;=EOMONTH($AQ2011,0)))&gt;0)*(((職員マスタ!$H$6:$H$405="")+(職員マスタ!$H$6:$H$405&gt;=$AQ2011))&gt;0)*(ROW(職員マスタ!$A$6:$A$405)-5))),IFERROR(MATCH($B2011,職員マスタ!$A$6:$A$405,0),"")))</f>
        <v/>
      </c>
      <c r="AQ2011" s="16">
        <f>IF(OR($B2011="",$C2011="",$D2011=""),"",DATE($C2011+2018,$D2011,1))</f>
        <v/>
      </c>
    </row>
    <row r="2012">
      <c r="A2012" s="11" t="n"/>
      <c r="B2012" s="12" t="n"/>
      <c r="C2012" s="12" t="n"/>
      <c r="D2012" s="12" t="n"/>
      <c r="E2012" s="13" t="n"/>
      <c r="F2012" s="12" t="n"/>
      <c r="G2012" s="13" t="n"/>
      <c r="H2012" s="12" t="n"/>
      <c r="I2012" s="12" t="n"/>
      <c r="J2012" s="12" t="n"/>
      <c r="K2012" s="12" t="n"/>
      <c r="L2012" s="11" t="n"/>
      <c r="M2012" s="11" t="n"/>
      <c r="N2012" s="11" t="n"/>
      <c r="O2012" s="11" t="n"/>
      <c r="P2012" s="12" t="n"/>
      <c r="Q2012" s="11" t="n"/>
      <c r="R2012" s="12" t="n"/>
      <c r="S2012" s="11" t="n"/>
      <c r="T2012" s="12" t="n"/>
      <c r="U2012" s="12" t="n"/>
      <c r="V2012" s="12" t="n"/>
      <c r="W2012" s="13" t="n"/>
      <c r="X2012" s="14">
        <f>IF($AP2012="",IF($B2012="","",$H2012),IF(INDEX(職員マスタ!$B$6:$B$405,$AP2012)="",$H2012,INDEX(職員マスタ!$B$6:$B$405,$AP2012)))</f>
        <v/>
      </c>
      <c r="Y2012" s="14">
        <f>IF($AP2012="",IF($B2012="","",$R2012),IF(INDEX(職員マスタ!$C$6:$C$405,$AP2012)="",$R2012,INDEX(職員マスタ!$C$6:$C$405,$AP2012)))</f>
        <v/>
      </c>
      <c r="Z2012" s="14">
        <f>IF($AQ2012="","","R"&amp;$C2012&amp;"."&amp;$D2012)</f>
        <v/>
      </c>
      <c r="AA2012" s="15">
        <f>IF(IF($AP2012="",FALSE,INDEX(職員マスタ!$K$6:$K$405,$AP2012)&lt;&gt;""),INDEX(職員マスタ!$K$6:$K$405,$AP2012),IF(N($W2012)&gt;0,$W2012,""))</f>
        <v/>
      </c>
      <c r="AB2012" s="14">
        <f>IF(OR($E2012="",$AA2012=""),"",IF($E2012&gt;=$AA2012,"×",IF($E2012&gt;=$AA2012*設定!$C$5,"△","○")))</f>
        <v/>
      </c>
      <c r="AC2012" s="15">
        <f>IF($AB2012="","",IF($AB2012="×",0,IF($AB2012="○",ROUNDDOWN($E2012*設定!$C$4,0),ROUNDDOWN($E2012*ROUND((9*$AA2012-9*$E2012)/(10*$E2012),4),0))))</f>
        <v/>
      </c>
      <c r="AD2012" s="13" t="n"/>
      <c r="AE2012" s="15">
        <f>IF($B2012="","",IF($AD2012&lt;&gt;"",$AD2012,IF($AC2012="","",IF($AC2012&lt;=設定!$C$3,0,$AC2012))))</f>
        <v/>
      </c>
      <c r="AF2012" s="14">
        <f>IF($B2012="","",IF(AND($AG2012&lt;&gt;"",$AI2012="",$AL2012=""),"保留中",IF($AL2012&lt;&gt;"",IF(N($AE2012)&gt;0,"支給済","不支給"),IF($AE2012="","要確認",IF($AE2012=0,"不支給","未処理")))))</f>
        <v/>
      </c>
      <c r="AG2012" s="12" t="n"/>
      <c r="AH2012" s="11" t="n"/>
      <c r="AI2012" s="11" t="n"/>
      <c r="AJ2012" s="11" t="n"/>
      <c r="AK2012" s="14">
        <f>IF(AND($AF2012="保留中",$AH2012&lt;&gt;""),TODAY()-$AH2012,"")</f>
        <v/>
      </c>
      <c r="AL2012" s="12" t="n"/>
      <c r="AM2012" s="14">
        <f>IF($B2012="","",IF($AQ2012="","対象年月が未入力／","")&amp;IF($B2012="","",IF($AP2012="","職員マスタに未登録の職員番号／",IF($AA2012="","標準報酬月額が未登録／","")&amp;IF(AND($AQ2012&lt;&gt;"",OR(AND(INDEX(職員マスタ!$G$6:$G$405,$AP2012)&lt;&gt;"",INDEX(職員マスタ!$G$6:$G$405,$AP2012)&gt;EOMONTH($AQ2012,0)),AND(INDEX(職員マスタ!$H$6:$H$405,$AP2012)&lt;&gt;"",INDEX(職員マスタ!$H$6:$H$405,$AP2012)&lt;$AQ2012))),"対象月が時短期間外／","")&amp;IF(AND(INDEX(職員マスタ!$K$6:$K$405,$AP2012)&lt;&gt;"",N($W2012)&gt;0,INDEX(職員マスタ!$K$6:$K$405,$AP2012)&lt;&gt;$W2012),"標準報酬月額が申請書と相違（台帳"&amp;TEXT(INDEX(職員マスタ!$K$6:$K$405,$AP2012),"#,##0")&amp;"円／申請書"&amp;TEXT($W2012,"#,##0")&amp;"円）／","")&amp;IF(AND(INDEX(職員マスタ!$F$6:$F$405,$AP2012)&lt;&gt;"",$AQ2012&lt;&gt;"",INDEX(職員マスタ!$F$6:$F$405,$AP2012)&lt;$AQ2012),"対象月に子が2歳到達済／","")&amp;IF(AND($H2012&lt;&gt;"",INDEX(職員マスタ!$B$6:$B$405,$AP2012)&lt;&gt;"",SUBSTITUTE(SUBSTITUTE($H2012," ","")," ","")&lt;&gt;SUBSTITUTE(SUBSTITUTE(INDEX(職員マスタ!$B$6:$B$405,$AP2012)," ","")," ","")),"氏名がマスタと相違／","")&amp;IF(AND($Q2012&lt;&gt;"",INDEX(職員マスタ!$E$6:$E$405,$AP2012)&lt;&gt;"",$Q2012&lt;&gt;INDEX(職員マスタ!$E$6:$E$405,$AP2012)),"子の生年月日がマスタと相違／","")&amp;IF(AND($L2012&lt;&gt;"",INDEX(職員マスタ!$G$6:$G$405,$AP2012)&lt;&gt;"",$L2012&lt;&gt;INDEX(職員マスタ!$G$6:$G$405,$AP2012)),"時短開始日がマスタと相違／","")&amp;IF(AND($M2012&lt;&gt;"",INDEX(職員マスタ!$H$6:$H$405,$AP2012)&lt;&gt;"",$M2012&lt;&gt;INDEX(職員マスタ!$H$6:$H$405,$AP2012)),"時短終了日がマスタと相違／","")))&amp;IF(AND($B2012&lt;&gt;"",$E2012=""),"報酬額が未入力／","")&amp;IF(N($U2012)&gt;0,"申請書に入力エラーが残っています／","")&amp;IF(AND($B2012&lt;&gt;"",$AQ2012&lt;&gt;""),IF(COUNTIFS($B$6:$B$3005,$B2012,$C$6:$C$3005,$C2012,$D$6:$D$3005,$D2012)&gt;1,"同じ月の請求が重複しています／",""),"")&amp;IF(AND(N($E2012)&gt;0,$AB2012&lt;&gt;"",$AB2012&lt;&gt;"×",$AE2012=0,$AD2012=""),"計算額が下限以下のため不支給／",""))</f>
        <v/>
      </c>
      <c r="AN2012" s="12" t="n"/>
      <c r="AO2012" s="14">
        <f>IF($AF2012="保留中",COUNTIF($AF$6:$AF2012,"保留中"),"")</f>
        <v/>
      </c>
      <c r="AP2012" s="14">
        <f>IF($AQ2012="","",IF(SUMPRODUCT(MAX((職員マスタ!$A$6:$A$405=$B2012)*(((職員マスタ!$G$6:$G$405="")+(職員マスタ!$G$6:$G$405&lt;=EOMONTH($AQ2012,0)))&gt;0)*(((職員マスタ!$H$6:$H$405="")+(職員マスタ!$H$6:$H$405&gt;=$AQ2012))&gt;0)*(ROW(職員マスタ!$A$6:$A$405)-5)))&gt;0,SUMPRODUCT(MAX((職員マスタ!$A$6:$A$405=$B2012)*(((職員マスタ!$G$6:$G$405="")+(職員マスタ!$G$6:$G$405&lt;=EOMONTH($AQ2012,0)))&gt;0)*(((職員マスタ!$H$6:$H$405="")+(職員マスタ!$H$6:$H$405&gt;=$AQ2012))&gt;0)*(ROW(職員マスタ!$A$6:$A$405)-5))),IFERROR(MATCH($B2012,職員マスタ!$A$6:$A$405,0),"")))</f>
        <v/>
      </c>
      <c r="AQ2012" s="16">
        <f>IF(OR($B2012="",$C2012="",$D2012=""),"",DATE($C2012+2018,$D2012,1))</f>
        <v/>
      </c>
    </row>
    <row r="2013">
      <c r="A2013" s="11" t="n"/>
      <c r="B2013" s="12" t="n"/>
      <c r="C2013" s="12" t="n"/>
      <c r="D2013" s="12" t="n"/>
      <c r="E2013" s="13" t="n"/>
      <c r="F2013" s="12" t="n"/>
      <c r="G2013" s="13" t="n"/>
      <c r="H2013" s="12" t="n"/>
      <c r="I2013" s="12" t="n"/>
      <c r="J2013" s="12" t="n"/>
      <c r="K2013" s="12" t="n"/>
      <c r="L2013" s="11" t="n"/>
      <c r="M2013" s="11" t="n"/>
      <c r="N2013" s="11" t="n"/>
      <c r="O2013" s="11" t="n"/>
      <c r="P2013" s="12" t="n"/>
      <c r="Q2013" s="11" t="n"/>
      <c r="R2013" s="12" t="n"/>
      <c r="S2013" s="11" t="n"/>
      <c r="T2013" s="12" t="n"/>
      <c r="U2013" s="12" t="n"/>
      <c r="V2013" s="12" t="n"/>
      <c r="W2013" s="13" t="n"/>
      <c r="X2013" s="14">
        <f>IF($AP2013="",IF($B2013="","",$H2013),IF(INDEX(職員マスタ!$B$6:$B$405,$AP2013)="",$H2013,INDEX(職員マスタ!$B$6:$B$405,$AP2013)))</f>
        <v/>
      </c>
      <c r="Y2013" s="14">
        <f>IF($AP2013="",IF($B2013="","",$R2013),IF(INDEX(職員マスタ!$C$6:$C$405,$AP2013)="",$R2013,INDEX(職員マスタ!$C$6:$C$405,$AP2013)))</f>
        <v/>
      </c>
      <c r="Z2013" s="14">
        <f>IF($AQ2013="","","R"&amp;$C2013&amp;"."&amp;$D2013)</f>
        <v/>
      </c>
      <c r="AA2013" s="15">
        <f>IF(IF($AP2013="",FALSE,INDEX(職員マスタ!$K$6:$K$405,$AP2013)&lt;&gt;""),INDEX(職員マスタ!$K$6:$K$405,$AP2013),IF(N($W2013)&gt;0,$W2013,""))</f>
        <v/>
      </c>
      <c r="AB2013" s="14">
        <f>IF(OR($E2013="",$AA2013=""),"",IF($E2013&gt;=$AA2013,"×",IF($E2013&gt;=$AA2013*設定!$C$5,"△","○")))</f>
        <v/>
      </c>
      <c r="AC2013" s="15">
        <f>IF($AB2013="","",IF($AB2013="×",0,IF($AB2013="○",ROUNDDOWN($E2013*設定!$C$4,0),ROUNDDOWN($E2013*ROUND((9*$AA2013-9*$E2013)/(10*$E2013),4),0))))</f>
        <v/>
      </c>
      <c r="AD2013" s="13" t="n"/>
      <c r="AE2013" s="15">
        <f>IF($B2013="","",IF($AD2013&lt;&gt;"",$AD2013,IF($AC2013="","",IF($AC2013&lt;=設定!$C$3,0,$AC2013))))</f>
        <v/>
      </c>
      <c r="AF2013" s="14">
        <f>IF($B2013="","",IF(AND($AG2013&lt;&gt;"",$AI2013="",$AL2013=""),"保留中",IF($AL2013&lt;&gt;"",IF(N($AE2013)&gt;0,"支給済","不支給"),IF($AE2013="","要確認",IF($AE2013=0,"不支給","未処理")))))</f>
        <v/>
      </c>
      <c r="AG2013" s="12" t="n"/>
      <c r="AH2013" s="11" t="n"/>
      <c r="AI2013" s="11" t="n"/>
      <c r="AJ2013" s="11" t="n"/>
      <c r="AK2013" s="14">
        <f>IF(AND($AF2013="保留中",$AH2013&lt;&gt;""),TODAY()-$AH2013,"")</f>
        <v/>
      </c>
      <c r="AL2013" s="12" t="n"/>
      <c r="AM2013" s="14">
        <f>IF($B2013="","",IF($AQ2013="","対象年月が未入力／","")&amp;IF($B2013="","",IF($AP2013="","職員マスタに未登録の職員番号／",IF($AA2013="","標準報酬月額が未登録／","")&amp;IF(AND($AQ2013&lt;&gt;"",OR(AND(INDEX(職員マスタ!$G$6:$G$405,$AP2013)&lt;&gt;"",INDEX(職員マスタ!$G$6:$G$405,$AP2013)&gt;EOMONTH($AQ2013,0)),AND(INDEX(職員マスタ!$H$6:$H$405,$AP2013)&lt;&gt;"",INDEX(職員マスタ!$H$6:$H$405,$AP2013)&lt;$AQ2013))),"対象月が時短期間外／","")&amp;IF(AND(INDEX(職員マスタ!$K$6:$K$405,$AP2013)&lt;&gt;"",N($W2013)&gt;0,INDEX(職員マスタ!$K$6:$K$405,$AP2013)&lt;&gt;$W2013),"標準報酬月額が申請書と相違（台帳"&amp;TEXT(INDEX(職員マスタ!$K$6:$K$405,$AP2013),"#,##0")&amp;"円／申請書"&amp;TEXT($W2013,"#,##0")&amp;"円）／","")&amp;IF(AND(INDEX(職員マスタ!$F$6:$F$405,$AP2013)&lt;&gt;"",$AQ2013&lt;&gt;"",INDEX(職員マスタ!$F$6:$F$405,$AP2013)&lt;$AQ2013),"対象月に子が2歳到達済／","")&amp;IF(AND($H2013&lt;&gt;"",INDEX(職員マスタ!$B$6:$B$405,$AP2013)&lt;&gt;"",SUBSTITUTE(SUBSTITUTE($H2013," ","")," ","")&lt;&gt;SUBSTITUTE(SUBSTITUTE(INDEX(職員マスタ!$B$6:$B$405,$AP2013)," ","")," ","")),"氏名がマスタと相違／","")&amp;IF(AND($Q2013&lt;&gt;"",INDEX(職員マスタ!$E$6:$E$405,$AP2013)&lt;&gt;"",$Q2013&lt;&gt;INDEX(職員マスタ!$E$6:$E$405,$AP2013)),"子の生年月日がマスタと相違／","")&amp;IF(AND($L2013&lt;&gt;"",INDEX(職員マスタ!$G$6:$G$405,$AP2013)&lt;&gt;"",$L2013&lt;&gt;INDEX(職員マスタ!$G$6:$G$405,$AP2013)),"時短開始日がマスタと相違／","")&amp;IF(AND($M2013&lt;&gt;"",INDEX(職員マスタ!$H$6:$H$405,$AP2013)&lt;&gt;"",$M2013&lt;&gt;INDEX(職員マスタ!$H$6:$H$405,$AP2013)),"時短終了日がマスタと相違／","")))&amp;IF(AND($B2013&lt;&gt;"",$E2013=""),"報酬額が未入力／","")&amp;IF(N($U2013)&gt;0,"申請書に入力エラーが残っています／","")&amp;IF(AND($B2013&lt;&gt;"",$AQ2013&lt;&gt;""),IF(COUNTIFS($B$6:$B$3005,$B2013,$C$6:$C$3005,$C2013,$D$6:$D$3005,$D2013)&gt;1,"同じ月の請求が重複しています／",""),"")&amp;IF(AND(N($E2013)&gt;0,$AB2013&lt;&gt;"",$AB2013&lt;&gt;"×",$AE2013=0,$AD2013=""),"計算額が下限以下のため不支給／",""))</f>
        <v/>
      </c>
      <c r="AN2013" s="12" t="n"/>
      <c r="AO2013" s="14">
        <f>IF($AF2013="保留中",COUNTIF($AF$6:$AF2013,"保留中"),"")</f>
        <v/>
      </c>
      <c r="AP2013" s="14">
        <f>IF($AQ2013="","",IF(SUMPRODUCT(MAX((職員マスタ!$A$6:$A$405=$B2013)*(((職員マスタ!$G$6:$G$405="")+(職員マスタ!$G$6:$G$405&lt;=EOMONTH($AQ2013,0)))&gt;0)*(((職員マスタ!$H$6:$H$405="")+(職員マスタ!$H$6:$H$405&gt;=$AQ2013))&gt;0)*(ROW(職員マスタ!$A$6:$A$405)-5)))&gt;0,SUMPRODUCT(MAX((職員マスタ!$A$6:$A$405=$B2013)*(((職員マスタ!$G$6:$G$405="")+(職員マスタ!$G$6:$G$405&lt;=EOMONTH($AQ2013,0)))&gt;0)*(((職員マスタ!$H$6:$H$405="")+(職員マスタ!$H$6:$H$405&gt;=$AQ2013))&gt;0)*(ROW(職員マスタ!$A$6:$A$405)-5))),IFERROR(MATCH($B2013,職員マスタ!$A$6:$A$405,0),"")))</f>
        <v/>
      </c>
      <c r="AQ2013" s="16">
        <f>IF(OR($B2013="",$C2013="",$D2013=""),"",DATE($C2013+2018,$D2013,1))</f>
        <v/>
      </c>
    </row>
    <row r="2014">
      <c r="A2014" s="11" t="n"/>
      <c r="B2014" s="12" t="n"/>
      <c r="C2014" s="12" t="n"/>
      <c r="D2014" s="12" t="n"/>
      <c r="E2014" s="13" t="n"/>
      <c r="F2014" s="12" t="n"/>
      <c r="G2014" s="13" t="n"/>
      <c r="H2014" s="12" t="n"/>
      <c r="I2014" s="12" t="n"/>
      <c r="J2014" s="12" t="n"/>
      <c r="K2014" s="12" t="n"/>
      <c r="L2014" s="11" t="n"/>
      <c r="M2014" s="11" t="n"/>
      <c r="N2014" s="11" t="n"/>
      <c r="O2014" s="11" t="n"/>
      <c r="P2014" s="12" t="n"/>
      <c r="Q2014" s="11" t="n"/>
      <c r="R2014" s="12" t="n"/>
      <c r="S2014" s="11" t="n"/>
      <c r="T2014" s="12" t="n"/>
      <c r="U2014" s="12" t="n"/>
      <c r="V2014" s="12" t="n"/>
      <c r="W2014" s="13" t="n"/>
      <c r="X2014" s="14">
        <f>IF($AP2014="",IF($B2014="","",$H2014),IF(INDEX(職員マスタ!$B$6:$B$405,$AP2014)="",$H2014,INDEX(職員マスタ!$B$6:$B$405,$AP2014)))</f>
        <v/>
      </c>
      <c r="Y2014" s="14">
        <f>IF($AP2014="",IF($B2014="","",$R2014),IF(INDEX(職員マスタ!$C$6:$C$405,$AP2014)="",$R2014,INDEX(職員マスタ!$C$6:$C$405,$AP2014)))</f>
        <v/>
      </c>
      <c r="Z2014" s="14">
        <f>IF($AQ2014="","","R"&amp;$C2014&amp;"."&amp;$D2014)</f>
        <v/>
      </c>
      <c r="AA2014" s="15">
        <f>IF(IF($AP2014="",FALSE,INDEX(職員マスタ!$K$6:$K$405,$AP2014)&lt;&gt;""),INDEX(職員マスタ!$K$6:$K$405,$AP2014),IF(N($W2014)&gt;0,$W2014,""))</f>
        <v/>
      </c>
      <c r="AB2014" s="14">
        <f>IF(OR($E2014="",$AA2014=""),"",IF($E2014&gt;=$AA2014,"×",IF($E2014&gt;=$AA2014*設定!$C$5,"△","○")))</f>
        <v/>
      </c>
      <c r="AC2014" s="15">
        <f>IF($AB2014="","",IF($AB2014="×",0,IF($AB2014="○",ROUNDDOWN($E2014*設定!$C$4,0),ROUNDDOWN($E2014*ROUND((9*$AA2014-9*$E2014)/(10*$E2014),4),0))))</f>
        <v/>
      </c>
      <c r="AD2014" s="13" t="n"/>
      <c r="AE2014" s="15">
        <f>IF($B2014="","",IF($AD2014&lt;&gt;"",$AD2014,IF($AC2014="","",IF($AC2014&lt;=設定!$C$3,0,$AC2014))))</f>
        <v/>
      </c>
      <c r="AF2014" s="14">
        <f>IF($B2014="","",IF(AND($AG2014&lt;&gt;"",$AI2014="",$AL2014=""),"保留中",IF($AL2014&lt;&gt;"",IF(N($AE2014)&gt;0,"支給済","不支給"),IF($AE2014="","要確認",IF($AE2014=0,"不支給","未処理")))))</f>
        <v/>
      </c>
      <c r="AG2014" s="12" t="n"/>
      <c r="AH2014" s="11" t="n"/>
      <c r="AI2014" s="11" t="n"/>
      <c r="AJ2014" s="11" t="n"/>
      <c r="AK2014" s="14">
        <f>IF(AND($AF2014="保留中",$AH2014&lt;&gt;""),TODAY()-$AH2014,"")</f>
        <v/>
      </c>
      <c r="AL2014" s="12" t="n"/>
      <c r="AM2014" s="14">
        <f>IF($B2014="","",IF($AQ2014="","対象年月が未入力／","")&amp;IF($B2014="","",IF($AP2014="","職員マスタに未登録の職員番号／",IF($AA2014="","標準報酬月額が未登録／","")&amp;IF(AND($AQ2014&lt;&gt;"",OR(AND(INDEX(職員マスタ!$G$6:$G$405,$AP2014)&lt;&gt;"",INDEX(職員マスタ!$G$6:$G$405,$AP2014)&gt;EOMONTH($AQ2014,0)),AND(INDEX(職員マスタ!$H$6:$H$405,$AP2014)&lt;&gt;"",INDEX(職員マスタ!$H$6:$H$405,$AP2014)&lt;$AQ2014))),"対象月が時短期間外／","")&amp;IF(AND(INDEX(職員マスタ!$K$6:$K$405,$AP2014)&lt;&gt;"",N($W2014)&gt;0,INDEX(職員マスタ!$K$6:$K$405,$AP2014)&lt;&gt;$W2014),"標準報酬月額が申請書と相違（台帳"&amp;TEXT(INDEX(職員マスタ!$K$6:$K$405,$AP2014),"#,##0")&amp;"円／申請書"&amp;TEXT($W2014,"#,##0")&amp;"円）／","")&amp;IF(AND(INDEX(職員マスタ!$F$6:$F$405,$AP2014)&lt;&gt;"",$AQ2014&lt;&gt;"",INDEX(職員マスタ!$F$6:$F$405,$AP2014)&lt;$AQ2014),"対象月に子が2歳到達済／","")&amp;IF(AND($H2014&lt;&gt;"",INDEX(職員マスタ!$B$6:$B$405,$AP2014)&lt;&gt;"",SUBSTITUTE(SUBSTITUTE($H2014," ","")," ","")&lt;&gt;SUBSTITUTE(SUBSTITUTE(INDEX(職員マスタ!$B$6:$B$405,$AP2014)," ","")," ","")),"氏名がマスタと相違／","")&amp;IF(AND($Q2014&lt;&gt;"",INDEX(職員マスタ!$E$6:$E$405,$AP2014)&lt;&gt;"",$Q2014&lt;&gt;INDEX(職員マスタ!$E$6:$E$405,$AP2014)),"子の生年月日がマスタと相違／","")&amp;IF(AND($L2014&lt;&gt;"",INDEX(職員マスタ!$G$6:$G$405,$AP2014)&lt;&gt;"",$L2014&lt;&gt;INDEX(職員マスタ!$G$6:$G$405,$AP2014)),"時短開始日がマスタと相違／","")&amp;IF(AND($M2014&lt;&gt;"",INDEX(職員マスタ!$H$6:$H$405,$AP2014)&lt;&gt;"",$M2014&lt;&gt;INDEX(職員マスタ!$H$6:$H$405,$AP2014)),"時短終了日がマスタと相違／","")))&amp;IF(AND($B2014&lt;&gt;"",$E2014=""),"報酬額が未入力／","")&amp;IF(N($U2014)&gt;0,"申請書に入力エラーが残っています／","")&amp;IF(AND($B2014&lt;&gt;"",$AQ2014&lt;&gt;""),IF(COUNTIFS($B$6:$B$3005,$B2014,$C$6:$C$3005,$C2014,$D$6:$D$3005,$D2014)&gt;1,"同じ月の請求が重複しています／",""),"")&amp;IF(AND(N($E2014)&gt;0,$AB2014&lt;&gt;"",$AB2014&lt;&gt;"×",$AE2014=0,$AD2014=""),"計算額が下限以下のため不支給／",""))</f>
        <v/>
      </c>
      <c r="AN2014" s="12" t="n"/>
      <c r="AO2014" s="14">
        <f>IF($AF2014="保留中",COUNTIF($AF$6:$AF2014,"保留中"),"")</f>
        <v/>
      </c>
      <c r="AP2014" s="14">
        <f>IF($AQ2014="","",IF(SUMPRODUCT(MAX((職員マスタ!$A$6:$A$405=$B2014)*(((職員マスタ!$G$6:$G$405="")+(職員マスタ!$G$6:$G$405&lt;=EOMONTH($AQ2014,0)))&gt;0)*(((職員マスタ!$H$6:$H$405="")+(職員マスタ!$H$6:$H$405&gt;=$AQ2014))&gt;0)*(ROW(職員マスタ!$A$6:$A$405)-5)))&gt;0,SUMPRODUCT(MAX((職員マスタ!$A$6:$A$405=$B2014)*(((職員マスタ!$G$6:$G$405="")+(職員マスタ!$G$6:$G$405&lt;=EOMONTH($AQ2014,0)))&gt;0)*(((職員マスタ!$H$6:$H$405="")+(職員マスタ!$H$6:$H$405&gt;=$AQ2014))&gt;0)*(ROW(職員マスタ!$A$6:$A$405)-5))),IFERROR(MATCH($B2014,職員マスタ!$A$6:$A$405,0),"")))</f>
        <v/>
      </c>
      <c r="AQ2014" s="16">
        <f>IF(OR($B2014="",$C2014="",$D2014=""),"",DATE($C2014+2018,$D2014,1))</f>
        <v/>
      </c>
    </row>
    <row r="2015">
      <c r="A2015" s="11" t="n"/>
      <c r="B2015" s="12" t="n"/>
      <c r="C2015" s="12" t="n"/>
      <c r="D2015" s="12" t="n"/>
      <c r="E2015" s="13" t="n"/>
      <c r="F2015" s="12" t="n"/>
      <c r="G2015" s="13" t="n"/>
      <c r="H2015" s="12" t="n"/>
      <c r="I2015" s="12" t="n"/>
      <c r="J2015" s="12" t="n"/>
      <c r="K2015" s="12" t="n"/>
      <c r="L2015" s="11" t="n"/>
      <c r="M2015" s="11" t="n"/>
      <c r="N2015" s="11" t="n"/>
      <c r="O2015" s="11" t="n"/>
      <c r="P2015" s="12" t="n"/>
      <c r="Q2015" s="11" t="n"/>
      <c r="R2015" s="12" t="n"/>
      <c r="S2015" s="11" t="n"/>
      <c r="T2015" s="12" t="n"/>
      <c r="U2015" s="12" t="n"/>
      <c r="V2015" s="12" t="n"/>
      <c r="W2015" s="13" t="n"/>
      <c r="X2015" s="14">
        <f>IF($AP2015="",IF($B2015="","",$H2015),IF(INDEX(職員マスタ!$B$6:$B$405,$AP2015)="",$H2015,INDEX(職員マスタ!$B$6:$B$405,$AP2015)))</f>
        <v/>
      </c>
      <c r="Y2015" s="14">
        <f>IF($AP2015="",IF($B2015="","",$R2015),IF(INDEX(職員マスタ!$C$6:$C$405,$AP2015)="",$R2015,INDEX(職員マスタ!$C$6:$C$405,$AP2015)))</f>
        <v/>
      </c>
      <c r="Z2015" s="14">
        <f>IF($AQ2015="","","R"&amp;$C2015&amp;"."&amp;$D2015)</f>
        <v/>
      </c>
      <c r="AA2015" s="15">
        <f>IF(IF($AP2015="",FALSE,INDEX(職員マスタ!$K$6:$K$405,$AP2015)&lt;&gt;""),INDEX(職員マスタ!$K$6:$K$405,$AP2015),IF(N($W2015)&gt;0,$W2015,""))</f>
        <v/>
      </c>
      <c r="AB2015" s="14">
        <f>IF(OR($E2015="",$AA2015=""),"",IF($E2015&gt;=$AA2015,"×",IF($E2015&gt;=$AA2015*設定!$C$5,"△","○")))</f>
        <v/>
      </c>
      <c r="AC2015" s="15">
        <f>IF($AB2015="","",IF($AB2015="×",0,IF($AB2015="○",ROUNDDOWN($E2015*設定!$C$4,0),ROUNDDOWN($E2015*ROUND((9*$AA2015-9*$E2015)/(10*$E2015),4),0))))</f>
        <v/>
      </c>
      <c r="AD2015" s="13" t="n"/>
      <c r="AE2015" s="15">
        <f>IF($B2015="","",IF($AD2015&lt;&gt;"",$AD2015,IF($AC2015="","",IF($AC2015&lt;=設定!$C$3,0,$AC2015))))</f>
        <v/>
      </c>
      <c r="AF2015" s="14">
        <f>IF($B2015="","",IF(AND($AG2015&lt;&gt;"",$AI2015="",$AL2015=""),"保留中",IF($AL2015&lt;&gt;"",IF(N($AE2015)&gt;0,"支給済","不支給"),IF($AE2015="","要確認",IF($AE2015=0,"不支給","未処理")))))</f>
        <v/>
      </c>
      <c r="AG2015" s="12" t="n"/>
      <c r="AH2015" s="11" t="n"/>
      <c r="AI2015" s="11" t="n"/>
      <c r="AJ2015" s="11" t="n"/>
      <c r="AK2015" s="14">
        <f>IF(AND($AF2015="保留中",$AH2015&lt;&gt;""),TODAY()-$AH2015,"")</f>
        <v/>
      </c>
      <c r="AL2015" s="12" t="n"/>
      <c r="AM2015" s="14">
        <f>IF($B2015="","",IF($AQ2015="","対象年月が未入力／","")&amp;IF($B2015="","",IF($AP2015="","職員マスタに未登録の職員番号／",IF($AA2015="","標準報酬月額が未登録／","")&amp;IF(AND($AQ2015&lt;&gt;"",OR(AND(INDEX(職員マスタ!$G$6:$G$405,$AP2015)&lt;&gt;"",INDEX(職員マスタ!$G$6:$G$405,$AP2015)&gt;EOMONTH($AQ2015,0)),AND(INDEX(職員マスタ!$H$6:$H$405,$AP2015)&lt;&gt;"",INDEX(職員マスタ!$H$6:$H$405,$AP2015)&lt;$AQ2015))),"対象月が時短期間外／","")&amp;IF(AND(INDEX(職員マスタ!$K$6:$K$405,$AP2015)&lt;&gt;"",N($W2015)&gt;0,INDEX(職員マスタ!$K$6:$K$405,$AP2015)&lt;&gt;$W2015),"標準報酬月額が申請書と相違（台帳"&amp;TEXT(INDEX(職員マスタ!$K$6:$K$405,$AP2015),"#,##0")&amp;"円／申請書"&amp;TEXT($W2015,"#,##0")&amp;"円）／","")&amp;IF(AND(INDEX(職員マスタ!$F$6:$F$405,$AP2015)&lt;&gt;"",$AQ2015&lt;&gt;"",INDEX(職員マスタ!$F$6:$F$405,$AP2015)&lt;$AQ2015),"対象月に子が2歳到達済／","")&amp;IF(AND($H2015&lt;&gt;"",INDEX(職員マスタ!$B$6:$B$405,$AP2015)&lt;&gt;"",SUBSTITUTE(SUBSTITUTE($H2015," ","")," ","")&lt;&gt;SUBSTITUTE(SUBSTITUTE(INDEX(職員マスタ!$B$6:$B$405,$AP2015)," ","")," ","")),"氏名がマスタと相違／","")&amp;IF(AND($Q2015&lt;&gt;"",INDEX(職員マスタ!$E$6:$E$405,$AP2015)&lt;&gt;"",$Q2015&lt;&gt;INDEX(職員マスタ!$E$6:$E$405,$AP2015)),"子の生年月日がマスタと相違／","")&amp;IF(AND($L2015&lt;&gt;"",INDEX(職員マスタ!$G$6:$G$405,$AP2015)&lt;&gt;"",$L2015&lt;&gt;INDEX(職員マスタ!$G$6:$G$405,$AP2015)),"時短開始日がマスタと相違／","")&amp;IF(AND($M2015&lt;&gt;"",INDEX(職員マスタ!$H$6:$H$405,$AP2015)&lt;&gt;"",$M2015&lt;&gt;INDEX(職員マスタ!$H$6:$H$405,$AP2015)),"時短終了日がマスタと相違／","")))&amp;IF(AND($B2015&lt;&gt;"",$E2015=""),"報酬額が未入力／","")&amp;IF(N($U2015)&gt;0,"申請書に入力エラーが残っています／","")&amp;IF(AND($B2015&lt;&gt;"",$AQ2015&lt;&gt;""),IF(COUNTIFS($B$6:$B$3005,$B2015,$C$6:$C$3005,$C2015,$D$6:$D$3005,$D2015)&gt;1,"同じ月の請求が重複しています／",""),"")&amp;IF(AND(N($E2015)&gt;0,$AB2015&lt;&gt;"",$AB2015&lt;&gt;"×",$AE2015=0,$AD2015=""),"計算額が下限以下のため不支給／",""))</f>
        <v/>
      </c>
      <c r="AN2015" s="12" t="n"/>
      <c r="AO2015" s="14">
        <f>IF($AF2015="保留中",COUNTIF($AF$6:$AF2015,"保留中"),"")</f>
        <v/>
      </c>
      <c r="AP2015" s="14">
        <f>IF($AQ2015="","",IF(SUMPRODUCT(MAX((職員マスタ!$A$6:$A$405=$B2015)*(((職員マスタ!$G$6:$G$405="")+(職員マスタ!$G$6:$G$405&lt;=EOMONTH($AQ2015,0)))&gt;0)*(((職員マスタ!$H$6:$H$405="")+(職員マスタ!$H$6:$H$405&gt;=$AQ2015))&gt;0)*(ROW(職員マスタ!$A$6:$A$405)-5)))&gt;0,SUMPRODUCT(MAX((職員マスタ!$A$6:$A$405=$B2015)*(((職員マスタ!$G$6:$G$405="")+(職員マスタ!$G$6:$G$405&lt;=EOMONTH($AQ2015,0)))&gt;0)*(((職員マスタ!$H$6:$H$405="")+(職員マスタ!$H$6:$H$405&gt;=$AQ2015))&gt;0)*(ROW(職員マスタ!$A$6:$A$405)-5))),IFERROR(MATCH($B2015,職員マスタ!$A$6:$A$405,0),"")))</f>
        <v/>
      </c>
      <c r="AQ2015" s="16">
        <f>IF(OR($B2015="",$C2015="",$D2015=""),"",DATE($C2015+2018,$D2015,1))</f>
        <v/>
      </c>
    </row>
    <row r="2016">
      <c r="A2016" s="11" t="n"/>
      <c r="B2016" s="12" t="n"/>
      <c r="C2016" s="12" t="n"/>
      <c r="D2016" s="12" t="n"/>
      <c r="E2016" s="13" t="n"/>
      <c r="F2016" s="12" t="n"/>
      <c r="G2016" s="13" t="n"/>
      <c r="H2016" s="12" t="n"/>
      <c r="I2016" s="12" t="n"/>
      <c r="J2016" s="12" t="n"/>
      <c r="K2016" s="12" t="n"/>
      <c r="L2016" s="11" t="n"/>
      <c r="M2016" s="11" t="n"/>
      <c r="N2016" s="11" t="n"/>
      <c r="O2016" s="11" t="n"/>
      <c r="P2016" s="12" t="n"/>
      <c r="Q2016" s="11" t="n"/>
      <c r="R2016" s="12" t="n"/>
      <c r="S2016" s="11" t="n"/>
      <c r="T2016" s="12" t="n"/>
      <c r="U2016" s="12" t="n"/>
      <c r="V2016" s="12" t="n"/>
      <c r="W2016" s="13" t="n"/>
      <c r="X2016" s="14">
        <f>IF($AP2016="",IF($B2016="","",$H2016),IF(INDEX(職員マスタ!$B$6:$B$405,$AP2016)="",$H2016,INDEX(職員マスタ!$B$6:$B$405,$AP2016)))</f>
        <v/>
      </c>
      <c r="Y2016" s="14">
        <f>IF($AP2016="",IF($B2016="","",$R2016),IF(INDEX(職員マスタ!$C$6:$C$405,$AP2016)="",$R2016,INDEX(職員マスタ!$C$6:$C$405,$AP2016)))</f>
        <v/>
      </c>
      <c r="Z2016" s="14">
        <f>IF($AQ2016="","","R"&amp;$C2016&amp;"."&amp;$D2016)</f>
        <v/>
      </c>
      <c r="AA2016" s="15">
        <f>IF(IF($AP2016="",FALSE,INDEX(職員マスタ!$K$6:$K$405,$AP2016)&lt;&gt;""),INDEX(職員マスタ!$K$6:$K$405,$AP2016),IF(N($W2016)&gt;0,$W2016,""))</f>
        <v/>
      </c>
      <c r="AB2016" s="14">
        <f>IF(OR($E2016="",$AA2016=""),"",IF($E2016&gt;=$AA2016,"×",IF($E2016&gt;=$AA2016*設定!$C$5,"△","○")))</f>
        <v/>
      </c>
      <c r="AC2016" s="15">
        <f>IF($AB2016="","",IF($AB2016="×",0,IF($AB2016="○",ROUNDDOWN($E2016*設定!$C$4,0),ROUNDDOWN($E2016*ROUND((9*$AA2016-9*$E2016)/(10*$E2016),4),0))))</f>
        <v/>
      </c>
      <c r="AD2016" s="13" t="n"/>
      <c r="AE2016" s="15">
        <f>IF($B2016="","",IF($AD2016&lt;&gt;"",$AD2016,IF($AC2016="","",IF($AC2016&lt;=設定!$C$3,0,$AC2016))))</f>
        <v/>
      </c>
      <c r="AF2016" s="14">
        <f>IF($B2016="","",IF(AND($AG2016&lt;&gt;"",$AI2016="",$AL2016=""),"保留中",IF($AL2016&lt;&gt;"",IF(N($AE2016)&gt;0,"支給済","不支給"),IF($AE2016="","要確認",IF($AE2016=0,"不支給","未処理")))))</f>
        <v/>
      </c>
      <c r="AG2016" s="12" t="n"/>
      <c r="AH2016" s="11" t="n"/>
      <c r="AI2016" s="11" t="n"/>
      <c r="AJ2016" s="11" t="n"/>
      <c r="AK2016" s="14">
        <f>IF(AND($AF2016="保留中",$AH2016&lt;&gt;""),TODAY()-$AH2016,"")</f>
        <v/>
      </c>
      <c r="AL2016" s="12" t="n"/>
      <c r="AM2016" s="14">
        <f>IF($B2016="","",IF($AQ2016="","対象年月が未入力／","")&amp;IF($B2016="","",IF($AP2016="","職員マスタに未登録の職員番号／",IF($AA2016="","標準報酬月額が未登録／","")&amp;IF(AND($AQ2016&lt;&gt;"",OR(AND(INDEX(職員マスタ!$G$6:$G$405,$AP2016)&lt;&gt;"",INDEX(職員マスタ!$G$6:$G$405,$AP2016)&gt;EOMONTH($AQ2016,0)),AND(INDEX(職員マスタ!$H$6:$H$405,$AP2016)&lt;&gt;"",INDEX(職員マスタ!$H$6:$H$405,$AP2016)&lt;$AQ2016))),"対象月が時短期間外／","")&amp;IF(AND(INDEX(職員マスタ!$K$6:$K$405,$AP2016)&lt;&gt;"",N($W2016)&gt;0,INDEX(職員マスタ!$K$6:$K$405,$AP2016)&lt;&gt;$W2016),"標準報酬月額が申請書と相違（台帳"&amp;TEXT(INDEX(職員マスタ!$K$6:$K$405,$AP2016),"#,##0")&amp;"円／申請書"&amp;TEXT($W2016,"#,##0")&amp;"円）／","")&amp;IF(AND(INDEX(職員マスタ!$F$6:$F$405,$AP2016)&lt;&gt;"",$AQ2016&lt;&gt;"",INDEX(職員マスタ!$F$6:$F$405,$AP2016)&lt;$AQ2016),"対象月に子が2歳到達済／","")&amp;IF(AND($H2016&lt;&gt;"",INDEX(職員マスタ!$B$6:$B$405,$AP2016)&lt;&gt;"",SUBSTITUTE(SUBSTITUTE($H2016," ","")," ","")&lt;&gt;SUBSTITUTE(SUBSTITUTE(INDEX(職員マスタ!$B$6:$B$405,$AP2016)," ","")," ","")),"氏名がマスタと相違／","")&amp;IF(AND($Q2016&lt;&gt;"",INDEX(職員マスタ!$E$6:$E$405,$AP2016)&lt;&gt;"",$Q2016&lt;&gt;INDEX(職員マスタ!$E$6:$E$405,$AP2016)),"子の生年月日がマスタと相違／","")&amp;IF(AND($L2016&lt;&gt;"",INDEX(職員マスタ!$G$6:$G$405,$AP2016)&lt;&gt;"",$L2016&lt;&gt;INDEX(職員マスタ!$G$6:$G$405,$AP2016)),"時短開始日がマスタと相違／","")&amp;IF(AND($M2016&lt;&gt;"",INDEX(職員マスタ!$H$6:$H$405,$AP2016)&lt;&gt;"",$M2016&lt;&gt;INDEX(職員マスタ!$H$6:$H$405,$AP2016)),"時短終了日がマスタと相違／","")))&amp;IF(AND($B2016&lt;&gt;"",$E2016=""),"報酬額が未入力／","")&amp;IF(N($U2016)&gt;0,"申請書に入力エラーが残っています／","")&amp;IF(AND($B2016&lt;&gt;"",$AQ2016&lt;&gt;""),IF(COUNTIFS($B$6:$B$3005,$B2016,$C$6:$C$3005,$C2016,$D$6:$D$3005,$D2016)&gt;1,"同じ月の請求が重複しています／",""),"")&amp;IF(AND(N($E2016)&gt;0,$AB2016&lt;&gt;"",$AB2016&lt;&gt;"×",$AE2016=0,$AD2016=""),"計算額が下限以下のため不支給／",""))</f>
        <v/>
      </c>
      <c r="AN2016" s="12" t="n"/>
      <c r="AO2016" s="14">
        <f>IF($AF2016="保留中",COUNTIF($AF$6:$AF2016,"保留中"),"")</f>
        <v/>
      </c>
      <c r="AP2016" s="14">
        <f>IF($AQ2016="","",IF(SUMPRODUCT(MAX((職員マスタ!$A$6:$A$405=$B2016)*(((職員マスタ!$G$6:$G$405="")+(職員マスタ!$G$6:$G$405&lt;=EOMONTH($AQ2016,0)))&gt;0)*(((職員マスタ!$H$6:$H$405="")+(職員マスタ!$H$6:$H$405&gt;=$AQ2016))&gt;0)*(ROW(職員マスタ!$A$6:$A$405)-5)))&gt;0,SUMPRODUCT(MAX((職員マスタ!$A$6:$A$405=$B2016)*(((職員マスタ!$G$6:$G$405="")+(職員マスタ!$G$6:$G$405&lt;=EOMONTH($AQ2016,0)))&gt;0)*(((職員マスタ!$H$6:$H$405="")+(職員マスタ!$H$6:$H$405&gt;=$AQ2016))&gt;0)*(ROW(職員マスタ!$A$6:$A$405)-5))),IFERROR(MATCH($B2016,職員マスタ!$A$6:$A$405,0),"")))</f>
        <v/>
      </c>
      <c r="AQ2016" s="16">
        <f>IF(OR($B2016="",$C2016="",$D2016=""),"",DATE($C2016+2018,$D2016,1))</f>
        <v/>
      </c>
    </row>
    <row r="2017">
      <c r="A2017" s="11" t="n"/>
      <c r="B2017" s="12" t="n"/>
      <c r="C2017" s="12" t="n"/>
      <c r="D2017" s="12" t="n"/>
      <c r="E2017" s="13" t="n"/>
      <c r="F2017" s="12" t="n"/>
      <c r="G2017" s="13" t="n"/>
      <c r="H2017" s="12" t="n"/>
      <c r="I2017" s="12" t="n"/>
      <c r="J2017" s="12" t="n"/>
      <c r="K2017" s="12" t="n"/>
      <c r="L2017" s="11" t="n"/>
      <c r="M2017" s="11" t="n"/>
      <c r="N2017" s="11" t="n"/>
      <c r="O2017" s="11" t="n"/>
      <c r="P2017" s="12" t="n"/>
      <c r="Q2017" s="11" t="n"/>
      <c r="R2017" s="12" t="n"/>
      <c r="S2017" s="11" t="n"/>
      <c r="T2017" s="12" t="n"/>
      <c r="U2017" s="12" t="n"/>
      <c r="V2017" s="12" t="n"/>
      <c r="W2017" s="13" t="n"/>
      <c r="X2017" s="14">
        <f>IF($AP2017="",IF($B2017="","",$H2017),IF(INDEX(職員マスタ!$B$6:$B$405,$AP2017)="",$H2017,INDEX(職員マスタ!$B$6:$B$405,$AP2017)))</f>
        <v/>
      </c>
      <c r="Y2017" s="14">
        <f>IF($AP2017="",IF($B2017="","",$R2017),IF(INDEX(職員マスタ!$C$6:$C$405,$AP2017)="",$R2017,INDEX(職員マスタ!$C$6:$C$405,$AP2017)))</f>
        <v/>
      </c>
      <c r="Z2017" s="14">
        <f>IF($AQ2017="","","R"&amp;$C2017&amp;"."&amp;$D2017)</f>
        <v/>
      </c>
      <c r="AA2017" s="15">
        <f>IF(IF($AP2017="",FALSE,INDEX(職員マスタ!$K$6:$K$405,$AP2017)&lt;&gt;""),INDEX(職員マスタ!$K$6:$K$405,$AP2017),IF(N($W2017)&gt;0,$W2017,""))</f>
        <v/>
      </c>
      <c r="AB2017" s="14">
        <f>IF(OR($E2017="",$AA2017=""),"",IF($E2017&gt;=$AA2017,"×",IF($E2017&gt;=$AA2017*設定!$C$5,"△","○")))</f>
        <v/>
      </c>
      <c r="AC2017" s="15">
        <f>IF($AB2017="","",IF($AB2017="×",0,IF($AB2017="○",ROUNDDOWN($E2017*設定!$C$4,0),ROUNDDOWN($E2017*ROUND((9*$AA2017-9*$E2017)/(10*$E2017),4),0))))</f>
        <v/>
      </c>
      <c r="AD2017" s="13" t="n"/>
      <c r="AE2017" s="15">
        <f>IF($B2017="","",IF($AD2017&lt;&gt;"",$AD2017,IF($AC2017="","",IF($AC2017&lt;=設定!$C$3,0,$AC2017))))</f>
        <v/>
      </c>
      <c r="AF2017" s="14">
        <f>IF($B2017="","",IF(AND($AG2017&lt;&gt;"",$AI2017="",$AL2017=""),"保留中",IF($AL2017&lt;&gt;"",IF(N($AE2017)&gt;0,"支給済","不支給"),IF($AE2017="","要確認",IF($AE2017=0,"不支給","未処理")))))</f>
        <v/>
      </c>
      <c r="AG2017" s="12" t="n"/>
      <c r="AH2017" s="11" t="n"/>
      <c r="AI2017" s="11" t="n"/>
      <c r="AJ2017" s="11" t="n"/>
      <c r="AK2017" s="14">
        <f>IF(AND($AF2017="保留中",$AH2017&lt;&gt;""),TODAY()-$AH2017,"")</f>
        <v/>
      </c>
      <c r="AL2017" s="12" t="n"/>
      <c r="AM2017" s="14">
        <f>IF($B2017="","",IF($AQ2017="","対象年月が未入力／","")&amp;IF($B2017="","",IF($AP2017="","職員マスタに未登録の職員番号／",IF($AA2017="","標準報酬月額が未登録／","")&amp;IF(AND($AQ2017&lt;&gt;"",OR(AND(INDEX(職員マスタ!$G$6:$G$405,$AP2017)&lt;&gt;"",INDEX(職員マスタ!$G$6:$G$405,$AP2017)&gt;EOMONTH($AQ2017,0)),AND(INDEX(職員マスタ!$H$6:$H$405,$AP2017)&lt;&gt;"",INDEX(職員マスタ!$H$6:$H$405,$AP2017)&lt;$AQ2017))),"対象月が時短期間外／","")&amp;IF(AND(INDEX(職員マスタ!$K$6:$K$405,$AP2017)&lt;&gt;"",N($W2017)&gt;0,INDEX(職員マスタ!$K$6:$K$405,$AP2017)&lt;&gt;$W2017),"標準報酬月額が申請書と相違（台帳"&amp;TEXT(INDEX(職員マスタ!$K$6:$K$405,$AP2017),"#,##0")&amp;"円／申請書"&amp;TEXT($W2017,"#,##0")&amp;"円）／","")&amp;IF(AND(INDEX(職員マスタ!$F$6:$F$405,$AP2017)&lt;&gt;"",$AQ2017&lt;&gt;"",INDEX(職員マスタ!$F$6:$F$405,$AP2017)&lt;$AQ2017),"対象月に子が2歳到達済／","")&amp;IF(AND($H2017&lt;&gt;"",INDEX(職員マスタ!$B$6:$B$405,$AP2017)&lt;&gt;"",SUBSTITUTE(SUBSTITUTE($H2017," ","")," ","")&lt;&gt;SUBSTITUTE(SUBSTITUTE(INDEX(職員マスタ!$B$6:$B$405,$AP2017)," ","")," ","")),"氏名がマスタと相違／","")&amp;IF(AND($Q2017&lt;&gt;"",INDEX(職員マスタ!$E$6:$E$405,$AP2017)&lt;&gt;"",$Q2017&lt;&gt;INDEX(職員マスタ!$E$6:$E$405,$AP2017)),"子の生年月日がマスタと相違／","")&amp;IF(AND($L2017&lt;&gt;"",INDEX(職員マスタ!$G$6:$G$405,$AP2017)&lt;&gt;"",$L2017&lt;&gt;INDEX(職員マスタ!$G$6:$G$405,$AP2017)),"時短開始日がマスタと相違／","")&amp;IF(AND($M2017&lt;&gt;"",INDEX(職員マスタ!$H$6:$H$405,$AP2017)&lt;&gt;"",$M2017&lt;&gt;INDEX(職員マスタ!$H$6:$H$405,$AP2017)),"時短終了日がマスタと相違／","")))&amp;IF(AND($B2017&lt;&gt;"",$E2017=""),"報酬額が未入力／","")&amp;IF(N($U2017)&gt;0,"申請書に入力エラーが残っています／","")&amp;IF(AND($B2017&lt;&gt;"",$AQ2017&lt;&gt;""),IF(COUNTIFS($B$6:$B$3005,$B2017,$C$6:$C$3005,$C2017,$D$6:$D$3005,$D2017)&gt;1,"同じ月の請求が重複しています／",""),"")&amp;IF(AND(N($E2017)&gt;0,$AB2017&lt;&gt;"",$AB2017&lt;&gt;"×",$AE2017=0,$AD2017=""),"計算額が下限以下のため不支給／",""))</f>
        <v/>
      </c>
      <c r="AN2017" s="12" t="n"/>
      <c r="AO2017" s="14">
        <f>IF($AF2017="保留中",COUNTIF($AF$6:$AF2017,"保留中"),"")</f>
        <v/>
      </c>
      <c r="AP2017" s="14">
        <f>IF($AQ2017="","",IF(SUMPRODUCT(MAX((職員マスタ!$A$6:$A$405=$B2017)*(((職員マスタ!$G$6:$G$405="")+(職員マスタ!$G$6:$G$405&lt;=EOMONTH($AQ2017,0)))&gt;0)*(((職員マスタ!$H$6:$H$405="")+(職員マスタ!$H$6:$H$405&gt;=$AQ2017))&gt;0)*(ROW(職員マスタ!$A$6:$A$405)-5)))&gt;0,SUMPRODUCT(MAX((職員マスタ!$A$6:$A$405=$B2017)*(((職員マスタ!$G$6:$G$405="")+(職員マスタ!$G$6:$G$405&lt;=EOMONTH($AQ2017,0)))&gt;0)*(((職員マスタ!$H$6:$H$405="")+(職員マスタ!$H$6:$H$405&gt;=$AQ2017))&gt;0)*(ROW(職員マスタ!$A$6:$A$405)-5))),IFERROR(MATCH($B2017,職員マスタ!$A$6:$A$405,0),"")))</f>
        <v/>
      </c>
      <c r="AQ2017" s="16">
        <f>IF(OR($B2017="",$C2017="",$D2017=""),"",DATE($C2017+2018,$D2017,1))</f>
        <v/>
      </c>
    </row>
    <row r="2018">
      <c r="A2018" s="11" t="n"/>
      <c r="B2018" s="12" t="n"/>
      <c r="C2018" s="12" t="n"/>
      <c r="D2018" s="12" t="n"/>
      <c r="E2018" s="13" t="n"/>
      <c r="F2018" s="12" t="n"/>
      <c r="G2018" s="13" t="n"/>
      <c r="H2018" s="12" t="n"/>
      <c r="I2018" s="12" t="n"/>
      <c r="J2018" s="12" t="n"/>
      <c r="K2018" s="12" t="n"/>
      <c r="L2018" s="11" t="n"/>
      <c r="M2018" s="11" t="n"/>
      <c r="N2018" s="11" t="n"/>
      <c r="O2018" s="11" t="n"/>
      <c r="P2018" s="12" t="n"/>
      <c r="Q2018" s="11" t="n"/>
      <c r="R2018" s="12" t="n"/>
      <c r="S2018" s="11" t="n"/>
      <c r="T2018" s="12" t="n"/>
      <c r="U2018" s="12" t="n"/>
      <c r="V2018" s="12" t="n"/>
      <c r="W2018" s="13" t="n"/>
      <c r="X2018" s="14">
        <f>IF($AP2018="",IF($B2018="","",$H2018),IF(INDEX(職員マスタ!$B$6:$B$405,$AP2018)="",$H2018,INDEX(職員マスタ!$B$6:$B$405,$AP2018)))</f>
        <v/>
      </c>
      <c r="Y2018" s="14">
        <f>IF($AP2018="",IF($B2018="","",$R2018),IF(INDEX(職員マスタ!$C$6:$C$405,$AP2018)="",$R2018,INDEX(職員マスタ!$C$6:$C$405,$AP2018)))</f>
        <v/>
      </c>
      <c r="Z2018" s="14">
        <f>IF($AQ2018="","","R"&amp;$C2018&amp;"."&amp;$D2018)</f>
        <v/>
      </c>
      <c r="AA2018" s="15">
        <f>IF(IF($AP2018="",FALSE,INDEX(職員マスタ!$K$6:$K$405,$AP2018)&lt;&gt;""),INDEX(職員マスタ!$K$6:$K$405,$AP2018),IF(N($W2018)&gt;0,$W2018,""))</f>
        <v/>
      </c>
      <c r="AB2018" s="14">
        <f>IF(OR($E2018="",$AA2018=""),"",IF($E2018&gt;=$AA2018,"×",IF($E2018&gt;=$AA2018*設定!$C$5,"△","○")))</f>
        <v/>
      </c>
      <c r="AC2018" s="15">
        <f>IF($AB2018="","",IF($AB2018="×",0,IF($AB2018="○",ROUNDDOWN($E2018*設定!$C$4,0),ROUNDDOWN($E2018*ROUND((9*$AA2018-9*$E2018)/(10*$E2018),4),0))))</f>
        <v/>
      </c>
      <c r="AD2018" s="13" t="n"/>
      <c r="AE2018" s="15">
        <f>IF($B2018="","",IF($AD2018&lt;&gt;"",$AD2018,IF($AC2018="","",IF($AC2018&lt;=設定!$C$3,0,$AC2018))))</f>
        <v/>
      </c>
      <c r="AF2018" s="14">
        <f>IF($B2018="","",IF(AND($AG2018&lt;&gt;"",$AI2018="",$AL2018=""),"保留中",IF($AL2018&lt;&gt;"",IF(N($AE2018)&gt;0,"支給済","不支給"),IF($AE2018="","要確認",IF($AE2018=0,"不支給","未処理")))))</f>
        <v/>
      </c>
      <c r="AG2018" s="12" t="n"/>
      <c r="AH2018" s="11" t="n"/>
      <c r="AI2018" s="11" t="n"/>
      <c r="AJ2018" s="11" t="n"/>
      <c r="AK2018" s="14">
        <f>IF(AND($AF2018="保留中",$AH2018&lt;&gt;""),TODAY()-$AH2018,"")</f>
        <v/>
      </c>
      <c r="AL2018" s="12" t="n"/>
      <c r="AM2018" s="14">
        <f>IF($B2018="","",IF($AQ2018="","対象年月が未入力／","")&amp;IF($B2018="","",IF($AP2018="","職員マスタに未登録の職員番号／",IF($AA2018="","標準報酬月額が未登録／","")&amp;IF(AND($AQ2018&lt;&gt;"",OR(AND(INDEX(職員マスタ!$G$6:$G$405,$AP2018)&lt;&gt;"",INDEX(職員マスタ!$G$6:$G$405,$AP2018)&gt;EOMONTH($AQ2018,0)),AND(INDEX(職員マスタ!$H$6:$H$405,$AP2018)&lt;&gt;"",INDEX(職員マスタ!$H$6:$H$405,$AP2018)&lt;$AQ2018))),"対象月が時短期間外／","")&amp;IF(AND(INDEX(職員マスタ!$K$6:$K$405,$AP2018)&lt;&gt;"",N($W2018)&gt;0,INDEX(職員マスタ!$K$6:$K$405,$AP2018)&lt;&gt;$W2018),"標準報酬月額が申請書と相違（台帳"&amp;TEXT(INDEX(職員マスタ!$K$6:$K$405,$AP2018),"#,##0")&amp;"円／申請書"&amp;TEXT($W2018,"#,##0")&amp;"円）／","")&amp;IF(AND(INDEX(職員マスタ!$F$6:$F$405,$AP2018)&lt;&gt;"",$AQ2018&lt;&gt;"",INDEX(職員マスタ!$F$6:$F$405,$AP2018)&lt;$AQ2018),"対象月に子が2歳到達済／","")&amp;IF(AND($H2018&lt;&gt;"",INDEX(職員マスタ!$B$6:$B$405,$AP2018)&lt;&gt;"",SUBSTITUTE(SUBSTITUTE($H2018," ","")," ","")&lt;&gt;SUBSTITUTE(SUBSTITUTE(INDEX(職員マスタ!$B$6:$B$405,$AP2018)," ","")," ","")),"氏名がマスタと相違／","")&amp;IF(AND($Q2018&lt;&gt;"",INDEX(職員マスタ!$E$6:$E$405,$AP2018)&lt;&gt;"",$Q2018&lt;&gt;INDEX(職員マスタ!$E$6:$E$405,$AP2018)),"子の生年月日がマスタと相違／","")&amp;IF(AND($L2018&lt;&gt;"",INDEX(職員マスタ!$G$6:$G$405,$AP2018)&lt;&gt;"",$L2018&lt;&gt;INDEX(職員マスタ!$G$6:$G$405,$AP2018)),"時短開始日がマスタと相違／","")&amp;IF(AND($M2018&lt;&gt;"",INDEX(職員マスタ!$H$6:$H$405,$AP2018)&lt;&gt;"",$M2018&lt;&gt;INDEX(職員マスタ!$H$6:$H$405,$AP2018)),"時短終了日がマスタと相違／","")))&amp;IF(AND($B2018&lt;&gt;"",$E2018=""),"報酬額が未入力／","")&amp;IF(N($U2018)&gt;0,"申請書に入力エラーが残っています／","")&amp;IF(AND($B2018&lt;&gt;"",$AQ2018&lt;&gt;""),IF(COUNTIFS($B$6:$B$3005,$B2018,$C$6:$C$3005,$C2018,$D$6:$D$3005,$D2018)&gt;1,"同じ月の請求が重複しています／",""),"")&amp;IF(AND(N($E2018)&gt;0,$AB2018&lt;&gt;"",$AB2018&lt;&gt;"×",$AE2018=0,$AD2018=""),"計算額が下限以下のため不支給／",""))</f>
        <v/>
      </c>
      <c r="AN2018" s="12" t="n"/>
      <c r="AO2018" s="14">
        <f>IF($AF2018="保留中",COUNTIF($AF$6:$AF2018,"保留中"),"")</f>
        <v/>
      </c>
      <c r="AP2018" s="14">
        <f>IF($AQ2018="","",IF(SUMPRODUCT(MAX((職員マスタ!$A$6:$A$405=$B2018)*(((職員マスタ!$G$6:$G$405="")+(職員マスタ!$G$6:$G$405&lt;=EOMONTH($AQ2018,0)))&gt;0)*(((職員マスタ!$H$6:$H$405="")+(職員マスタ!$H$6:$H$405&gt;=$AQ2018))&gt;0)*(ROW(職員マスタ!$A$6:$A$405)-5)))&gt;0,SUMPRODUCT(MAX((職員マスタ!$A$6:$A$405=$B2018)*(((職員マスタ!$G$6:$G$405="")+(職員マスタ!$G$6:$G$405&lt;=EOMONTH($AQ2018,0)))&gt;0)*(((職員マスタ!$H$6:$H$405="")+(職員マスタ!$H$6:$H$405&gt;=$AQ2018))&gt;0)*(ROW(職員マスタ!$A$6:$A$405)-5))),IFERROR(MATCH($B2018,職員マスタ!$A$6:$A$405,0),"")))</f>
        <v/>
      </c>
      <c r="AQ2018" s="16">
        <f>IF(OR($B2018="",$C2018="",$D2018=""),"",DATE($C2018+2018,$D2018,1))</f>
        <v/>
      </c>
    </row>
    <row r="2019">
      <c r="A2019" s="11" t="n"/>
      <c r="B2019" s="12" t="n"/>
      <c r="C2019" s="12" t="n"/>
      <c r="D2019" s="12" t="n"/>
      <c r="E2019" s="13" t="n"/>
      <c r="F2019" s="12" t="n"/>
      <c r="G2019" s="13" t="n"/>
      <c r="H2019" s="12" t="n"/>
      <c r="I2019" s="12" t="n"/>
      <c r="J2019" s="12" t="n"/>
      <c r="K2019" s="12" t="n"/>
      <c r="L2019" s="11" t="n"/>
      <c r="M2019" s="11" t="n"/>
      <c r="N2019" s="11" t="n"/>
      <c r="O2019" s="11" t="n"/>
      <c r="P2019" s="12" t="n"/>
      <c r="Q2019" s="11" t="n"/>
      <c r="R2019" s="12" t="n"/>
      <c r="S2019" s="11" t="n"/>
      <c r="T2019" s="12" t="n"/>
      <c r="U2019" s="12" t="n"/>
      <c r="V2019" s="12" t="n"/>
      <c r="W2019" s="13" t="n"/>
      <c r="X2019" s="14">
        <f>IF($AP2019="",IF($B2019="","",$H2019),IF(INDEX(職員マスタ!$B$6:$B$405,$AP2019)="",$H2019,INDEX(職員マスタ!$B$6:$B$405,$AP2019)))</f>
        <v/>
      </c>
      <c r="Y2019" s="14">
        <f>IF($AP2019="",IF($B2019="","",$R2019),IF(INDEX(職員マスタ!$C$6:$C$405,$AP2019)="",$R2019,INDEX(職員マスタ!$C$6:$C$405,$AP2019)))</f>
        <v/>
      </c>
      <c r="Z2019" s="14">
        <f>IF($AQ2019="","","R"&amp;$C2019&amp;"."&amp;$D2019)</f>
        <v/>
      </c>
      <c r="AA2019" s="15">
        <f>IF(IF($AP2019="",FALSE,INDEX(職員マスタ!$K$6:$K$405,$AP2019)&lt;&gt;""),INDEX(職員マスタ!$K$6:$K$405,$AP2019),IF(N($W2019)&gt;0,$W2019,""))</f>
        <v/>
      </c>
      <c r="AB2019" s="14">
        <f>IF(OR($E2019="",$AA2019=""),"",IF($E2019&gt;=$AA2019,"×",IF($E2019&gt;=$AA2019*設定!$C$5,"△","○")))</f>
        <v/>
      </c>
      <c r="AC2019" s="15">
        <f>IF($AB2019="","",IF($AB2019="×",0,IF($AB2019="○",ROUNDDOWN($E2019*設定!$C$4,0),ROUNDDOWN($E2019*ROUND((9*$AA2019-9*$E2019)/(10*$E2019),4),0))))</f>
        <v/>
      </c>
      <c r="AD2019" s="13" t="n"/>
      <c r="AE2019" s="15">
        <f>IF($B2019="","",IF($AD2019&lt;&gt;"",$AD2019,IF($AC2019="","",IF($AC2019&lt;=設定!$C$3,0,$AC2019))))</f>
        <v/>
      </c>
      <c r="AF2019" s="14">
        <f>IF($B2019="","",IF(AND($AG2019&lt;&gt;"",$AI2019="",$AL2019=""),"保留中",IF($AL2019&lt;&gt;"",IF(N($AE2019)&gt;0,"支給済","不支給"),IF($AE2019="","要確認",IF($AE2019=0,"不支給","未処理")))))</f>
        <v/>
      </c>
      <c r="AG2019" s="12" t="n"/>
      <c r="AH2019" s="11" t="n"/>
      <c r="AI2019" s="11" t="n"/>
      <c r="AJ2019" s="11" t="n"/>
      <c r="AK2019" s="14">
        <f>IF(AND($AF2019="保留中",$AH2019&lt;&gt;""),TODAY()-$AH2019,"")</f>
        <v/>
      </c>
      <c r="AL2019" s="12" t="n"/>
      <c r="AM2019" s="14">
        <f>IF($B2019="","",IF($AQ2019="","対象年月が未入力／","")&amp;IF($B2019="","",IF($AP2019="","職員マスタに未登録の職員番号／",IF($AA2019="","標準報酬月額が未登録／","")&amp;IF(AND($AQ2019&lt;&gt;"",OR(AND(INDEX(職員マスタ!$G$6:$G$405,$AP2019)&lt;&gt;"",INDEX(職員マスタ!$G$6:$G$405,$AP2019)&gt;EOMONTH($AQ2019,0)),AND(INDEX(職員マスタ!$H$6:$H$405,$AP2019)&lt;&gt;"",INDEX(職員マスタ!$H$6:$H$405,$AP2019)&lt;$AQ2019))),"対象月が時短期間外／","")&amp;IF(AND(INDEX(職員マスタ!$K$6:$K$405,$AP2019)&lt;&gt;"",N($W2019)&gt;0,INDEX(職員マスタ!$K$6:$K$405,$AP2019)&lt;&gt;$W2019),"標準報酬月額が申請書と相違（台帳"&amp;TEXT(INDEX(職員マスタ!$K$6:$K$405,$AP2019),"#,##0")&amp;"円／申請書"&amp;TEXT($W2019,"#,##0")&amp;"円）／","")&amp;IF(AND(INDEX(職員マスタ!$F$6:$F$405,$AP2019)&lt;&gt;"",$AQ2019&lt;&gt;"",INDEX(職員マスタ!$F$6:$F$405,$AP2019)&lt;$AQ2019),"対象月に子が2歳到達済／","")&amp;IF(AND($H2019&lt;&gt;"",INDEX(職員マスタ!$B$6:$B$405,$AP2019)&lt;&gt;"",SUBSTITUTE(SUBSTITUTE($H2019," ","")," ","")&lt;&gt;SUBSTITUTE(SUBSTITUTE(INDEX(職員マスタ!$B$6:$B$405,$AP2019)," ","")," ","")),"氏名がマスタと相違／","")&amp;IF(AND($Q2019&lt;&gt;"",INDEX(職員マスタ!$E$6:$E$405,$AP2019)&lt;&gt;"",$Q2019&lt;&gt;INDEX(職員マスタ!$E$6:$E$405,$AP2019)),"子の生年月日がマスタと相違／","")&amp;IF(AND($L2019&lt;&gt;"",INDEX(職員マスタ!$G$6:$G$405,$AP2019)&lt;&gt;"",$L2019&lt;&gt;INDEX(職員マスタ!$G$6:$G$405,$AP2019)),"時短開始日がマスタと相違／","")&amp;IF(AND($M2019&lt;&gt;"",INDEX(職員マスタ!$H$6:$H$405,$AP2019)&lt;&gt;"",$M2019&lt;&gt;INDEX(職員マスタ!$H$6:$H$405,$AP2019)),"時短終了日がマスタと相違／","")))&amp;IF(AND($B2019&lt;&gt;"",$E2019=""),"報酬額が未入力／","")&amp;IF(N($U2019)&gt;0,"申請書に入力エラーが残っています／","")&amp;IF(AND($B2019&lt;&gt;"",$AQ2019&lt;&gt;""),IF(COUNTIFS($B$6:$B$3005,$B2019,$C$6:$C$3005,$C2019,$D$6:$D$3005,$D2019)&gt;1,"同じ月の請求が重複しています／",""),"")&amp;IF(AND(N($E2019)&gt;0,$AB2019&lt;&gt;"",$AB2019&lt;&gt;"×",$AE2019=0,$AD2019=""),"計算額が下限以下のため不支給／",""))</f>
        <v/>
      </c>
      <c r="AN2019" s="12" t="n"/>
      <c r="AO2019" s="14">
        <f>IF($AF2019="保留中",COUNTIF($AF$6:$AF2019,"保留中"),"")</f>
        <v/>
      </c>
      <c r="AP2019" s="14">
        <f>IF($AQ2019="","",IF(SUMPRODUCT(MAX((職員マスタ!$A$6:$A$405=$B2019)*(((職員マスタ!$G$6:$G$405="")+(職員マスタ!$G$6:$G$405&lt;=EOMONTH($AQ2019,0)))&gt;0)*(((職員マスタ!$H$6:$H$405="")+(職員マスタ!$H$6:$H$405&gt;=$AQ2019))&gt;0)*(ROW(職員マスタ!$A$6:$A$405)-5)))&gt;0,SUMPRODUCT(MAX((職員マスタ!$A$6:$A$405=$B2019)*(((職員マスタ!$G$6:$G$405="")+(職員マスタ!$G$6:$G$405&lt;=EOMONTH($AQ2019,0)))&gt;0)*(((職員マスタ!$H$6:$H$405="")+(職員マスタ!$H$6:$H$405&gt;=$AQ2019))&gt;0)*(ROW(職員マスタ!$A$6:$A$405)-5))),IFERROR(MATCH($B2019,職員マスタ!$A$6:$A$405,0),"")))</f>
        <v/>
      </c>
      <c r="AQ2019" s="16">
        <f>IF(OR($B2019="",$C2019="",$D2019=""),"",DATE($C2019+2018,$D2019,1))</f>
        <v/>
      </c>
    </row>
    <row r="2020">
      <c r="A2020" s="11" t="n"/>
      <c r="B2020" s="12" t="n"/>
      <c r="C2020" s="12" t="n"/>
      <c r="D2020" s="12" t="n"/>
      <c r="E2020" s="13" t="n"/>
      <c r="F2020" s="12" t="n"/>
      <c r="G2020" s="13" t="n"/>
      <c r="H2020" s="12" t="n"/>
      <c r="I2020" s="12" t="n"/>
      <c r="J2020" s="12" t="n"/>
      <c r="K2020" s="12" t="n"/>
      <c r="L2020" s="11" t="n"/>
      <c r="M2020" s="11" t="n"/>
      <c r="N2020" s="11" t="n"/>
      <c r="O2020" s="11" t="n"/>
      <c r="P2020" s="12" t="n"/>
      <c r="Q2020" s="11" t="n"/>
      <c r="R2020" s="12" t="n"/>
      <c r="S2020" s="11" t="n"/>
      <c r="T2020" s="12" t="n"/>
      <c r="U2020" s="12" t="n"/>
      <c r="V2020" s="12" t="n"/>
      <c r="W2020" s="13" t="n"/>
      <c r="X2020" s="14">
        <f>IF($AP2020="",IF($B2020="","",$H2020),IF(INDEX(職員マスタ!$B$6:$B$405,$AP2020)="",$H2020,INDEX(職員マスタ!$B$6:$B$405,$AP2020)))</f>
        <v/>
      </c>
      <c r="Y2020" s="14">
        <f>IF($AP2020="",IF($B2020="","",$R2020),IF(INDEX(職員マスタ!$C$6:$C$405,$AP2020)="",$R2020,INDEX(職員マスタ!$C$6:$C$405,$AP2020)))</f>
        <v/>
      </c>
      <c r="Z2020" s="14">
        <f>IF($AQ2020="","","R"&amp;$C2020&amp;"."&amp;$D2020)</f>
        <v/>
      </c>
      <c r="AA2020" s="15">
        <f>IF(IF($AP2020="",FALSE,INDEX(職員マスタ!$K$6:$K$405,$AP2020)&lt;&gt;""),INDEX(職員マスタ!$K$6:$K$405,$AP2020),IF(N($W2020)&gt;0,$W2020,""))</f>
        <v/>
      </c>
      <c r="AB2020" s="14">
        <f>IF(OR($E2020="",$AA2020=""),"",IF($E2020&gt;=$AA2020,"×",IF($E2020&gt;=$AA2020*設定!$C$5,"△","○")))</f>
        <v/>
      </c>
      <c r="AC2020" s="15">
        <f>IF($AB2020="","",IF($AB2020="×",0,IF($AB2020="○",ROUNDDOWN($E2020*設定!$C$4,0),ROUNDDOWN($E2020*ROUND((9*$AA2020-9*$E2020)/(10*$E2020),4),0))))</f>
        <v/>
      </c>
      <c r="AD2020" s="13" t="n"/>
      <c r="AE2020" s="15">
        <f>IF($B2020="","",IF($AD2020&lt;&gt;"",$AD2020,IF($AC2020="","",IF($AC2020&lt;=設定!$C$3,0,$AC2020))))</f>
        <v/>
      </c>
      <c r="AF2020" s="14">
        <f>IF($B2020="","",IF(AND($AG2020&lt;&gt;"",$AI2020="",$AL2020=""),"保留中",IF($AL2020&lt;&gt;"",IF(N($AE2020)&gt;0,"支給済","不支給"),IF($AE2020="","要確認",IF($AE2020=0,"不支給","未処理")))))</f>
        <v/>
      </c>
      <c r="AG2020" s="12" t="n"/>
      <c r="AH2020" s="11" t="n"/>
      <c r="AI2020" s="11" t="n"/>
      <c r="AJ2020" s="11" t="n"/>
      <c r="AK2020" s="14">
        <f>IF(AND($AF2020="保留中",$AH2020&lt;&gt;""),TODAY()-$AH2020,"")</f>
        <v/>
      </c>
      <c r="AL2020" s="12" t="n"/>
      <c r="AM2020" s="14">
        <f>IF($B2020="","",IF($AQ2020="","対象年月が未入力／","")&amp;IF($B2020="","",IF($AP2020="","職員マスタに未登録の職員番号／",IF($AA2020="","標準報酬月額が未登録／","")&amp;IF(AND($AQ2020&lt;&gt;"",OR(AND(INDEX(職員マスタ!$G$6:$G$405,$AP2020)&lt;&gt;"",INDEX(職員マスタ!$G$6:$G$405,$AP2020)&gt;EOMONTH($AQ2020,0)),AND(INDEX(職員マスタ!$H$6:$H$405,$AP2020)&lt;&gt;"",INDEX(職員マスタ!$H$6:$H$405,$AP2020)&lt;$AQ2020))),"対象月が時短期間外／","")&amp;IF(AND(INDEX(職員マスタ!$K$6:$K$405,$AP2020)&lt;&gt;"",N($W2020)&gt;0,INDEX(職員マスタ!$K$6:$K$405,$AP2020)&lt;&gt;$W2020),"標準報酬月額が申請書と相違（台帳"&amp;TEXT(INDEX(職員マスタ!$K$6:$K$405,$AP2020),"#,##0")&amp;"円／申請書"&amp;TEXT($W2020,"#,##0")&amp;"円）／","")&amp;IF(AND(INDEX(職員マスタ!$F$6:$F$405,$AP2020)&lt;&gt;"",$AQ2020&lt;&gt;"",INDEX(職員マスタ!$F$6:$F$405,$AP2020)&lt;$AQ2020),"対象月に子が2歳到達済／","")&amp;IF(AND($H2020&lt;&gt;"",INDEX(職員マスタ!$B$6:$B$405,$AP2020)&lt;&gt;"",SUBSTITUTE(SUBSTITUTE($H2020," ","")," ","")&lt;&gt;SUBSTITUTE(SUBSTITUTE(INDEX(職員マスタ!$B$6:$B$405,$AP2020)," ","")," ","")),"氏名がマスタと相違／","")&amp;IF(AND($Q2020&lt;&gt;"",INDEX(職員マスタ!$E$6:$E$405,$AP2020)&lt;&gt;"",$Q2020&lt;&gt;INDEX(職員マスタ!$E$6:$E$405,$AP2020)),"子の生年月日がマスタと相違／","")&amp;IF(AND($L2020&lt;&gt;"",INDEX(職員マスタ!$G$6:$G$405,$AP2020)&lt;&gt;"",$L2020&lt;&gt;INDEX(職員マスタ!$G$6:$G$405,$AP2020)),"時短開始日がマスタと相違／","")&amp;IF(AND($M2020&lt;&gt;"",INDEX(職員マスタ!$H$6:$H$405,$AP2020)&lt;&gt;"",$M2020&lt;&gt;INDEX(職員マスタ!$H$6:$H$405,$AP2020)),"時短終了日がマスタと相違／","")))&amp;IF(AND($B2020&lt;&gt;"",$E2020=""),"報酬額が未入力／","")&amp;IF(N($U2020)&gt;0,"申請書に入力エラーが残っています／","")&amp;IF(AND($B2020&lt;&gt;"",$AQ2020&lt;&gt;""),IF(COUNTIFS($B$6:$B$3005,$B2020,$C$6:$C$3005,$C2020,$D$6:$D$3005,$D2020)&gt;1,"同じ月の請求が重複しています／",""),"")&amp;IF(AND(N($E2020)&gt;0,$AB2020&lt;&gt;"",$AB2020&lt;&gt;"×",$AE2020=0,$AD2020=""),"計算額が下限以下のため不支給／",""))</f>
        <v/>
      </c>
      <c r="AN2020" s="12" t="n"/>
      <c r="AO2020" s="14">
        <f>IF($AF2020="保留中",COUNTIF($AF$6:$AF2020,"保留中"),"")</f>
        <v/>
      </c>
      <c r="AP2020" s="14">
        <f>IF($AQ2020="","",IF(SUMPRODUCT(MAX((職員マスタ!$A$6:$A$405=$B2020)*(((職員マスタ!$G$6:$G$405="")+(職員マスタ!$G$6:$G$405&lt;=EOMONTH($AQ2020,0)))&gt;0)*(((職員マスタ!$H$6:$H$405="")+(職員マスタ!$H$6:$H$405&gt;=$AQ2020))&gt;0)*(ROW(職員マスタ!$A$6:$A$405)-5)))&gt;0,SUMPRODUCT(MAX((職員マスタ!$A$6:$A$405=$B2020)*(((職員マスタ!$G$6:$G$405="")+(職員マスタ!$G$6:$G$405&lt;=EOMONTH($AQ2020,0)))&gt;0)*(((職員マスタ!$H$6:$H$405="")+(職員マスタ!$H$6:$H$405&gt;=$AQ2020))&gt;0)*(ROW(職員マスタ!$A$6:$A$405)-5))),IFERROR(MATCH($B2020,職員マスタ!$A$6:$A$405,0),"")))</f>
        <v/>
      </c>
      <c r="AQ2020" s="16">
        <f>IF(OR($B2020="",$C2020="",$D2020=""),"",DATE($C2020+2018,$D2020,1))</f>
        <v/>
      </c>
    </row>
    <row r="2021">
      <c r="A2021" s="11" t="n"/>
      <c r="B2021" s="12" t="n"/>
      <c r="C2021" s="12" t="n"/>
      <c r="D2021" s="12" t="n"/>
      <c r="E2021" s="13" t="n"/>
      <c r="F2021" s="12" t="n"/>
      <c r="G2021" s="13" t="n"/>
      <c r="H2021" s="12" t="n"/>
      <c r="I2021" s="12" t="n"/>
      <c r="J2021" s="12" t="n"/>
      <c r="K2021" s="12" t="n"/>
      <c r="L2021" s="11" t="n"/>
      <c r="M2021" s="11" t="n"/>
      <c r="N2021" s="11" t="n"/>
      <c r="O2021" s="11" t="n"/>
      <c r="P2021" s="12" t="n"/>
      <c r="Q2021" s="11" t="n"/>
      <c r="R2021" s="12" t="n"/>
      <c r="S2021" s="11" t="n"/>
      <c r="T2021" s="12" t="n"/>
      <c r="U2021" s="12" t="n"/>
      <c r="V2021" s="12" t="n"/>
      <c r="W2021" s="13" t="n"/>
      <c r="X2021" s="14">
        <f>IF($AP2021="",IF($B2021="","",$H2021),IF(INDEX(職員マスタ!$B$6:$B$405,$AP2021)="",$H2021,INDEX(職員マスタ!$B$6:$B$405,$AP2021)))</f>
        <v/>
      </c>
      <c r="Y2021" s="14">
        <f>IF($AP2021="",IF($B2021="","",$R2021),IF(INDEX(職員マスタ!$C$6:$C$405,$AP2021)="",$R2021,INDEX(職員マスタ!$C$6:$C$405,$AP2021)))</f>
        <v/>
      </c>
      <c r="Z2021" s="14">
        <f>IF($AQ2021="","","R"&amp;$C2021&amp;"."&amp;$D2021)</f>
        <v/>
      </c>
      <c r="AA2021" s="15">
        <f>IF(IF($AP2021="",FALSE,INDEX(職員マスタ!$K$6:$K$405,$AP2021)&lt;&gt;""),INDEX(職員マスタ!$K$6:$K$405,$AP2021),IF(N($W2021)&gt;0,$W2021,""))</f>
        <v/>
      </c>
      <c r="AB2021" s="14">
        <f>IF(OR($E2021="",$AA2021=""),"",IF($E2021&gt;=$AA2021,"×",IF($E2021&gt;=$AA2021*設定!$C$5,"△","○")))</f>
        <v/>
      </c>
      <c r="AC2021" s="15">
        <f>IF($AB2021="","",IF($AB2021="×",0,IF($AB2021="○",ROUNDDOWN($E2021*設定!$C$4,0),ROUNDDOWN($E2021*ROUND((9*$AA2021-9*$E2021)/(10*$E2021),4),0))))</f>
        <v/>
      </c>
      <c r="AD2021" s="13" t="n"/>
      <c r="AE2021" s="15">
        <f>IF($B2021="","",IF($AD2021&lt;&gt;"",$AD2021,IF($AC2021="","",IF($AC2021&lt;=設定!$C$3,0,$AC2021))))</f>
        <v/>
      </c>
      <c r="AF2021" s="14">
        <f>IF($B2021="","",IF(AND($AG2021&lt;&gt;"",$AI2021="",$AL2021=""),"保留中",IF($AL2021&lt;&gt;"",IF(N($AE2021)&gt;0,"支給済","不支給"),IF($AE2021="","要確認",IF($AE2021=0,"不支給","未処理")))))</f>
        <v/>
      </c>
      <c r="AG2021" s="12" t="n"/>
      <c r="AH2021" s="11" t="n"/>
      <c r="AI2021" s="11" t="n"/>
      <c r="AJ2021" s="11" t="n"/>
      <c r="AK2021" s="14">
        <f>IF(AND($AF2021="保留中",$AH2021&lt;&gt;""),TODAY()-$AH2021,"")</f>
        <v/>
      </c>
      <c r="AL2021" s="12" t="n"/>
      <c r="AM2021" s="14">
        <f>IF($B2021="","",IF($AQ2021="","対象年月が未入力／","")&amp;IF($B2021="","",IF($AP2021="","職員マスタに未登録の職員番号／",IF($AA2021="","標準報酬月額が未登録／","")&amp;IF(AND($AQ2021&lt;&gt;"",OR(AND(INDEX(職員マスタ!$G$6:$G$405,$AP2021)&lt;&gt;"",INDEX(職員マスタ!$G$6:$G$405,$AP2021)&gt;EOMONTH($AQ2021,0)),AND(INDEX(職員マスタ!$H$6:$H$405,$AP2021)&lt;&gt;"",INDEX(職員マスタ!$H$6:$H$405,$AP2021)&lt;$AQ2021))),"対象月が時短期間外／","")&amp;IF(AND(INDEX(職員マスタ!$K$6:$K$405,$AP2021)&lt;&gt;"",N($W2021)&gt;0,INDEX(職員マスタ!$K$6:$K$405,$AP2021)&lt;&gt;$W2021),"標準報酬月額が申請書と相違（台帳"&amp;TEXT(INDEX(職員マスタ!$K$6:$K$405,$AP2021),"#,##0")&amp;"円／申請書"&amp;TEXT($W2021,"#,##0")&amp;"円）／","")&amp;IF(AND(INDEX(職員マスタ!$F$6:$F$405,$AP2021)&lt;&gt;"",$AQ2021&lt;&gt;"",INDEX(職員マスタ!$F$6:$F$405,$AP2021)&lt;$AQ2021),"対象月に子が2歳到達済／","")&amp;IF(AND($H2021&lt;&gt;"",INDEX(職員マスタ!$B$6:$B$405,$AP2021)&lt;&gt;"",SUBSTITUTE(SUBSTITUTE($H2021," ","")," ","")&lt;&gt;SUBSTITUTE(SUBSTITUTE(INDEX(職員マスタ!$B$6:$B$405,$AP2021)," ","")," ","")),"氏名がマスタと相違／","")&amp;IF(AND($Q2021&lt;&gt;"",INDEX(職員マスタ!$E$6:$E$405,$AP2021)&lt;&gt;"",$Q2021&lt;&gt;INDEX(職員マスタ!$E$6:$E$405,$AP2021)),"子の生年月日がマスタと相違／","")&amp;IF(AND($L2021&lt;&gt;"",INDEX(職員マスタ!$G$6:$G$405,$AP2021)&lt;&gt;"",$L2021&lt;&gt;INDEX(職員マスタ!$G$6:$G$405,$AP2021)),"時短開始日がマスタと相違／","")&amp;IF(AND($M2021&lt;&gt;"",INDEX(職員マスタ!$H$6:$H$405,$AP2021)&lt;&gt;"",$M2021&lt;&gt;INDEX(職員マスタ!$H$6:$H$405,$AP2021)),"時短終了日がマスタと相違／","")))&amp;IF(AND($B2021&lt;&gt;"",$E2021=""),"報酬額が未入力／","")&amp;IF(N($U2021)&gt;0,"申請書に入力エラーが残っています／","")&amp;IF(AND($B2021&lt;&gt;"",$AQ2021&lt;&gt;""),IF(COUNTIFS($B$6:$B$3005,$B2021,$C$6:$C$3005,$C2021,$D$6:$D$3005,$D2021)&gt;1,"同じ月の請求が重複しています／",""),"")&amp;IF(AND(N($E2021)&gt;0,$AB2021&lt;&gt;"",$AB2021&lt;&gt;"×",$AE2021=0,$AD2021=""),"計算額が下限以下のため不支給／",""))</f>
        <v/>
      </c>
      <c r="AN2021" s="12" t="n"/>
      <c r="AO2021" s="14">
        <f>IF($AF2021="保留中",COUNTIF($AF$6:$AF2021,"保留中"),"")</f>
        <v/>
      </c>
      <c r="AP2021" s="14">
        <f>IF($AQ2021="","",IF(SUMPRODUCT(MAX((職員マスタ!$A$6:$A$405=$B2021)*(((職員マスタ!$G$6:$G$405="")+(職員マスタ!$G$6:$G$405&lt;=EOMONTH($AQ2021,0)))&gt;0)*(((職員マスタ!$H$6:$H$405="")+(職員マスタ!$H$6:$H$405&gt;=$AQ2021))&gt;0)*(ROW(職員マスタ!$A$6:$A$405)-5)))&gt;0,SUMPRODUCT(MAX((職員マスタ!$A$6:$A$405=$B2021)*(((職員マスタ!$G$6:$G$405="")+(職員マスタ!$G$6:$G$405&lt;=EOMONTH($AQ2021,0)))&gt;0)*(((職員マスタ!$H$6:$H$405="")+(職員マスタ!$H$6:$H$405&gt;=$AQ2021))&gt;0)*(ROW(職員マスタ!$A$6:$A$405)-5))),IFERROR(MATCH($B2021,職員マスタ!$A$6:$A$405,0),"")))</f>
        <v/>
      </c>
      <c r="AQ2021" s="16">
        <f>IF(OR($B2021="",$C2021="",$D2021=""),"",DATE($C2021+2018,$D2021,1))</f>
        <v/>
      </c>
    </row>
    <row r="2022">
      <c r="A2022" s="11" t="n"/>
      <c r="B2022" s="12" t="n"/>
      <c r="C2022" s="12" t="n"/>
      <c r="D2022" s="12" t="n"/>
      <c r="E2022" s="13" t="n"/>
      <c r="F2022" s="12" t="n"/>
      <c r="G2022" s="13" t="n"/>
      <c r="H2022" s="12" t="n"/>
      <c r="I2022" s="12" t="n"/>
      <c r="J2022" s="12" t="n"/>
      <c r="K2022" s="12" t="n"/>
      <c r="L2022" s="11" t="n"/>
      <c r="M2022" s="11" t="n"/>
      <c r="N2022" s="11" t="n"/>
      <c r="O2022" s="11" t="n"/>
      <c r="P2022" s="12" t="n"/>
      <c r="Q2022" s="11" t="n"/>
      <c r="R2022" s="12" t="n"/>
      <c r="S2022" s="11" t="n"/>
      <c r="T2022" s="12" t="n"/>
      <c r="U2022" s="12" t="n"/>
      <c r="V2022" s="12" t="n"/>
      <c r="W2022" s="13" t="n"/>
      <c r="X2022" s="14">
        <f>IF($AP2022="",IF($B2022="","",$H2022),IF(INDEX(職員マスタ!$B$6:$B$405,$AP2022)="",$H2022,INDEX(職員マスタ!$B$6:$B$405,$AP2022)))</f>
        <v/>
      </c>
      <c r="Y2022" s="14">
        <f>IF($AP2022="",IF($B2022="","",$R2022),IF(INDEX(職員マスタ!$C$6:$C$405,$AP2022)="",$R2022,INDEX(職員マスタ!$C$6:$C$405,$AP2022)))</f>
        <v/>
      </c>
      <c r="Z2022" s="14">
        <f>IF($AQ2022="","","R"&amp;$C2022&amp;"."&amp;$D2022)</f>
        <v/>
      </c>
      <c r="AA2022" s="15">
        <f>IF(IF($AP2022="",FALSE,INDEX(職員マスタ!$K$6:$K$405,$AP2022)&lt;&gt;""),INDEX(職員マスタ!$K$6:$K$405,$AP2022),IF(N($W2022)&gt;0,$W2022,""))</f>
        <v/>
      </c>
      <c r="AB2022" s="14">
        <f>IF(OR($E2022="",$AA2022=""),"",IF($E2022&gt;=$AA2022,"×",IF($E2022&gt;=$AA2022*設定!$C$5,"△","○")))</f>
        <v/>
      </c>
      <c r="AC2022" s="15">
        <f>IF($AB2022="","",IF($AB2022="×",0,IF($AB2022="○",ROUNDDOWN($E2022*設定!$C$4,0),ROUNDDOWN($E2022*ROUND((9*$AA2022-9*$E2022)/(10*$E2022),4),0))))</f>
        <v/>
      </c>
      <c r="AD2022" s="13" t="n"/>
      <c r="AE2022" s="15">
        <f>IF($B2022="","",IF($AD2022&lt;&gt;"",$AD2022,IF($AC2022="","",IF($AC2022&lt;=設定!$C$3,0,$AC2022))))</f>
        <v/>
      </c>
      <c r="AF2022" s="14">
        <f>IF($B2022="","",IF(AND($AG2022&lt;&gt;"",$AI2022="",$AL2022=""),"保留中",IF($AL2022&lt;&gt;"",IF(N($AE2022)&gt;0,"支給済","不支給"),IF($AE2022="","要確認",IF($AE2022=0,"不支給","未処理")))))</f>
        <v/>
      </c>
      <c r="AG2022" s="12" t="n"/>
      <c r="AH2022" s="11" t="n"/>
      <c r="AI2022" s="11" t="n"/>
      <c r="AJ2022" s="11" t="n"/>
      <c r="AK2022" s="14">
        <f>IF(AND($AF2022="保留中",$AH2022&lt;&gt;""),TODAY()-$AH2022,"")</f>
        <v/>
      </c>
      <c r="AL2022" s="12" t="n"/>
      <c r="AM2022" s="14">
        <f>IF($B2022="","",IF($AQ2022="","対象年月が未入力／","")&amp;IF($B2022="","",IF($AP2022="","職員マスタに未登録の職員番号／",IF($AA2022="","標準報酬月額が未登録／","")&amp;IF(AND($AQ2022&lt;&gt;"",OR(AND(INDEX(職員マスタ!$G$6:$G$405,$AP2022)&lt;&gt;"",INDEX(職員マスタ!$G$6:$G$405,$AP2022)&gt;EOMONTH($AQ2022,0)),AND(INDEX(職員マスタ!$H$6:$H$405,$AP2022)&lt;&gt;"",INDEX(職員マスタ!$H$6:$H$405,$AP2022)&lt;$AQ2022))),"対象月が時短期間外／","")&amp;IF(AND(INDEX(職員マスタ!$K$6:$K$405,$AP2022)&lt;&gt;"",N($W2022)&gt;0,INDEX(職員マスタ!$K$6:$K$405,$AP2022)&lt;&gt;$W2022),"標準報酬月額が申請書と相違（台帳"&amp;TEXT(INDEX(職員マスタ!$K$6:$K$405,$AP2022),"#,##0")&amp;"円／申請書"&amp;TEXT($W2022,"#,##0")&amp;"円）／","")&amp;IF(AND(INDEX(職員マスタ!$F$6:$F$405,$AP2022)&lt;&gt;"",$AQ2022&lt;&gt;"",INDEX(職員マスタ!$F$6:$F$405,$AP2022)&lt;$AQ2022),"対象月に子が2歳到達済／","")&amp;IF(AND($H2022&lt;&gt;"",INDEX(職員マスタ!$B$6:$B$405,$AP2022)&lt;&gt;"",SUBSTITUTE(SUBSTITUTE($H2022," ","")," ","")&lt;&gt;SUBSTITUTE(SUBSTITUTE(INDEX(職員マスタ!$B$6:$B$405,$AP2022)," ","")," ","")),"氏名がマスタと相違／","")&amp;IF(AND($Q2022&lt;&gt;"",INDEX(職員マスタ!$E$6:$E$405,$AP2022)&lt;&gt;"",$Q2022&lt;&gt;INDEX(職員マスタ!$E$6:$E$405,$AP2022)),"子の生年月日がマスタと相違／","")&amp;IF(AND($L2022&lt;&gt;"",INDEX(職員マスタ!$G$6:$G$405,$AP2022)&lt;&gt;"",$L2022&lt;&gt;INDEX(職員マスタ!$G$6:$G$405,$AP2022)),"時短開始日がマスタと相違／","")&amp;IF(AND($M2022&lt;&gt;"",INDEX(職員マスタ!$H$6:$H$405,$AP2022)&lt;&gt;"",$M2022&lt;&gt;INDEX(職員マスタ!$H$6:$H$405,$AP2022)),"時短終了日がマスタと相違／","")))&amp;IF(AND($B2022&lt;&gt;"",$E2022=""),"報酬額が未入力／","")&amp;IF(N($U2022)&gt;0,"申請書に入力エラーが残っています／","")&amp;IF(AND($B2022&lt;&gt;"",$AQ2022&lt;&gt;""),IF(COUNTIFS($B$6:$B$3005,$B2022,$C$6:$C$3005,$C2022,$D$6:$D$3005,$D2022)&gt;1,"同じ月の請求が重複しています／",""),"")&amp;IF(AND(N($E2022)&gt;0,$AB2022&lt;&gt;"",$AB2022&lt;&gt;"×",$AE2022=0,$AD2022=""),"計算額が下限以下のため不支給／",""))</f>
        <v/>
      </c>
      <c r="AN2022" s="12" t="n"/>
      <c r="AO2022" s="14">
        <f>IF($AF2022="保留中",COUNTIF($AF$6:$AF2022,"保留中"),"")</f>
        <v/>
      </c>
      <c r="AP2022" s="14">
        <f>IF($AQ2022="","",IF(SUMPRODUCT(MAX((職員マスタ!$A$6:$A$405=$B2022)*(((職員マスタ!$G$6:$G$405="")+(職員マスタ!$G$6:$G$405&lt;=EOMONTH($AQ2022,0)))&gt;0)*(((職員マスタ!$H$6:$H$405="")+(職員マスタ!$H$6:$H$405&gt;=$AQ2022))&gt;0)*(ROW(職員マスタ!$A$6:$A$405)-5)))&gt;0,SUMPRODUCT(MAX((職員マスタ!$A$6:$A$405=$B2022)*(((職員マスタ!$G$6:$G$405="")+(職員マスタ!$G$6:$G$405&lt;=EOMONTH($AQ2022,0)))&gt;0)*(((職員マスタ!$H$6:$H$405="")+(職員マスタ!$H$6:$H$405&gt;=$AQ2022))&gt;0)*(ROW(職員マスタ!$A$6:$A$405)-5))),IFERROR(MATCH($B2022,職員マスタ!$A$6:$A$405,0),"")))</f>
        <v/>
      </c>
      <c r="AQ2022" s="16">
        <f>IF(OR($B2022="",$C2022="",$D2022=""),"",DATE($C2022+2018,$D2022,1))</f>
        <v/>
      </c>
    </row>
    <row r="2023">
      <c r="A2023" s="11" t="n"/>
      <c r="B2023" s="12" t="n"/>
      <c r="C2023" s="12" t="n"/>
      <c r="D2023" s="12" t="n"/>
      <c r="E2023" s="13" t="n"/>
      <c r="F2023" s="12" t="n"/>
      <c r="G2023" s="13" t="n"/>
      <c r="H2023" s="12" t="n"/>
      <c r="I2023" s="12" t="n"/>
      <c r="J2023" s="12" t="n"/>
      <c r="K2023" s="12" t="n"/>
      <c r="L2023" s="11" t="n"/>
      <c r="M2023" s="11" t="n"/>
      <c r="N2023" s="11" t="n"/>
      <c r="O2023" s="11" t="n"/>
      <c r="P2023" s="12" t="n"/>
      <c r="Q2023" s="11" t="n"/>
      <c r="R2023" s="12" t="n"/>
      <c r="S2023" s="11" t="n"/>
      <c r="T2023" s="12" t="n"/>
      <c r="U2023" s="12" t="n"/>
      <c r="V2023" s="12" t="n"/>
      <c r="W2023" s="13" t="n"/>
      <c r="X2023" s="14">
        <f>IF($AP2023="",IF($B2023="","",$H2023),IF(INDEX(職員マスタ!$B$6:$B$405,$AP2023)="",$H2023,INDEX(職員マスタ!$B$6:$B$405,$AP2023)))</f>
        <v/>
      </c>
      <c r="Y2023" s="14">
        <f>IF($AP2023="",IF($B2023="","",$R2023),IF(INDEX(職員マスタ!$C$6:$C$405,$AP2023)="",$R2023,INDEX(職員マスタ!$C$6:$C$405,$AP2023)))</f>
        <v/>
      </c>
      <c r="Z2023" s="14">
        <f>IF($AQ2023="","","R"&amp;$C2023&amp;"."&amp;$D2023)</f>
        <v/>
      </c>
      <c r="AA2023" s="15">
        <f>IF(IF($AP2023="",FALSE,INDEX(職員マスタ!$K$6:$K$405,$AP2023)&lt;&gt;""),INDEX(職員マスタ!$K$6:$K$405,$AP2023),IF(N($W2023)&gt;0,$W2023,""))</f>
        <v/>
      </c>
      <c r="AB2023" s="14">
        <f>IF(OR($E2023="",$AA2023=""),"",IF($E2023&gt;=$AA2023,"×",IF($E2023&gt;=$AA2023*設定!$C$5,"△","○")))</f>
        <v/>
      </c>
      <c r="AC2023" s="15">
        <f>IF($AB2023="","",IF($AB2023="×",0,IF($AB2023="○",ROUNDDOWN($E2023*設定!$C$4,0),ROUNDDOWN($E2023*ROUND((9*$AA2023-9*$E2023)/(10*$E2023),4),0))))</f>
        <v/>
      </c>
      <c r="AD2023" s="13" t="n"/>
      <c r="AE2023" s="15">
        <f>IF($B2023="","",IF($AD2023&lt;&gt;"",$AD2023,IF($AC2023="","",IF($AC2023&lt;=設定!$C$3,0,$AC2023))))</f>
        <v/>
      </c>
      <c r="AF2023" s="14">
        <f>IF($B2023="","",IF(AND($AG2023&lt;&gt;"",$AI2023="",$AL2023=""),"保留中",IF($AL2023&lt;&gt;"",IF(N($AE2023)&gt;0,"支給済","不支給"),IF($AE2023="","要確認",IF($AE2023=0,"不支給","未処理")))))</f>
        <v/>
      </c>
      <c r="AG2023" s="12" t="n"/>
      <c r="AH2023" s="11" t="n"/>
      <c r="AI2023" s="11" t="n"/>
      <c r="AJ2023" s="11" t="n"/>
      <c r="AK2023" s="14">
        <f>IF(AND($AF2023="保留中",$AH2023&lt;&gt;""),TODAY()-$AH2023,"")</f>
        <v/>
      </c>
      <c r="AL2023" s="12" t="n"/>
      <c r="AM2023" s="14">
        <f>IF($B2023="","",IF($AQ2023="","対象年月が未入力／","")&amp;IF($B2023="","",IF($AP2023="","職員マスタに未登録の職員番号／",IF($AA2023="","標準報酬月額が未登録／","")&amp;IF(AND($AQ2023&lt;&gt;"",OR(AND(INDEX(職員マスタ!$G$6:$G$405,$AP2023)&lt;&gt;"",INDEX(職員マスタ!$G$6:$G$405,$AP2023)&gt;EOMONTH($AQ2023,0)),AND(INDEX(職員マスタ!$H$6:$H$405,$AP2023)&lt;&gt;"",INDEX(職員マスタ!$H$6:$H$405,$AP2023)&lt;$AQ2023))),"対象月が時短期間外／","")&amp;IF(AND(INDEX(職員マスタ!$K$6:$K$405,$AP2023)&lt;&gt;"",N($W2023)&gt;0,INDEX(職員マスタ!$K$6:$K$405,$AP2023)&lt;&gt;$W2023),"標準報酬月額が申請書と相違（台帳"&amp;TEXT(INDEX(職員マスタ!$K$6:$K$405,$AP2023),"#,##0")&amp;"円／申請書"&amp;TEXT($W2023,"#,##0")&amp;"円）／","")&amp;IF(AND(INDEX(職員マスタ!$F$6:$F$405,$AP2023)&lt;&gt;"",$AQ2023&lt;&gt;"",INDEX(職員マスタ!$F$6:$F$405,$AP2023)&lt;$AQ2023),"対象月に子が2歳到達済／","")&amp;IF(AND($H2023&lt;&gt;"",INDEX(職員マスタ!$B$6:$B$405,$AP2023)&lt;&gt;"",SUBSTITUTE(SUBSTITUTE($H2023," ","")," ","")&lt;&gt;SUBSTITUTE(SUBSTITUTE(INDEX(職員マスタ!$B$6:$B$405,$AP2023)," ","")," ","")),"氏名がマスタと相違／","")&amp;IF(AND($Q2023&lt;&gt;"",INDEX(職員マスタ!$E$6:$E$405,$AP2023)&lt;&gt;"",$Q2023&lt;&gt;INDEX(職員マスタ!$E$6:$E$405,$AP2023)),"子の生年月日がマスタと相違／","")&amp;IF(AND($L2023&lt;&gt;"",INDEX(職員マスタ!$G$6:$G$405,$AP2023)&lt;&gt;"",$L2023&lt;&gt;INDEX(職員マスタ!$G$6:$G$405,$AP2023)),"時短開始日がマスタと相違／","")&amp;IF(AND($M2023&lt;&gt;"",INDEX(職員マスタ!$H$6:$H$405,$AP2023)&lt;&gt;"",$M2023&lt;&gt;INDEX(職員マスタ!$H$6:$H$405,$AP2023)),"時短終了日がマスタと相違／","")))&amp;IF(AND($B2023&lt;&gt;"",$E2023=""),"報酬額が未入力／","")&amp;IF(N($U2023)&gt;0,"申請書に入力エラーが残っています／","")&amp;IF(AND($B2023&lt;&gt;"",$AQ2023&lt;&gt;""),IF(COUNTIFS($B$6:$B$3005,$B2023,$C$6:$C$3005,$C2023,$D$6:$D$3005,$D2023)&gt;1,"同じ月の請求が重複しています／",""),"")&amp;IF(AND(N($E2023)&gt;0,$AB2023&lt;&gt;"",$AB2023&lt;&gt;"×",$AE2023=0,$AD2023=""),"計算額が下限以下のため不支給／",""))</f>
        <v/>
      </c>
      <c r="AN2023" s="12" t="n"/>
      <c r="AO2023" s="14">
        <f>IF($AF2023="保留中",COUNTIF($AF$6:$AF2023,"保留中"),"")</f>
        <v/>
      </c>
      <c r="AP2023" s="14">
        <f>IF($AQ2023="","",IF(SUMPRODUCT(MAX((職員マスタ!$A$6:$A$405=$B2023)*(((職員マスタ!$G$6:$G$405="")+(職員マスタ!$G$6:$G$405&lt;=EOMONTH($AQ2023,0)))&gt;0)*(((職員マスタ!$H$6:$H$405="")+(職員マスタ!$H$6:$H$405&gt;=$AQ2023))&gt;0)*(ROW(職員マスタ!$A$6:$A$405)-5)))&gt;0,SUMPRODUCT(MAX((職員マスタ!$A$6:$A$405=$B2023)*(((職員マスタ!$G$6:$G$405="")+(職員マスタ!$G$6:$G$405&lt;=EOMONTH($AQ2023,0)))&gt;0)*(((職員マスタ!$H$6:$H$405="")+(職員マスタ!$H$6:$H$405&gt;=$AQ2023))&gt;0)*(ROW(職員マスタ!$A$6:$A$405)-5))),IFERROR(MATCH($B2023,職員マスタ!$A$6:$A$405,0),"")))</f>
        <v/>
      </c>
      <c r="AQ2023" s="16">
        <f>IF(OR($B2023="",$C2023="",$D2023=""),"",DATE($C2023+2018,$D2023,1))</f>
        <v/>
      </c>
    </row>
    <row r="2024">
      <c r="A2024" s="11" t="n"/>
      <c r="B2024" s="12" t="n"/>
      <c r="C2024" s="12" t="n"/>
      <c r="D2024" s="12" t="n"/>
      <c r="E2024" s="13" t="n"/>
      <c r="F2024" s="12" t="n"/>
      <c r="G2024" s="13" t="n"/>
      <c r="H2024" s="12" t="n"/>
      <c r="I2024" s="12" t="n"/>
      <c r="J2024" s="12" t="n"/>
      <c r="K2024" s="12" t="n"/>
      <c r="L2024" s="11" t="n"/>
      <c r="M2024" s="11" t="n"/>
      <c r="N2024" s="11" t="n"/>
      <c r="O2024" s="11" t="n"/>
      <c r="P2024" s="12" t="n"/>
      <c r="Q2024" s="11" t="n"/>
      <c r="R2024" s="12" t="n"/>
      <c r="S2024" s="11" t="n"/>
      <c r="T2024" s="12" t="n"/>
      <c r="U2024" s="12" t="n"/>
      <c r="V2024" s="12" t="n"/>
      <c r="W2024" s="13" t="n"/>
      <c r="X2024" s="14">
        <f>IF($AP2024="",IF($B2024="","",$H2024),IF(INDEX(職員マスタ!$B$6:$B$405,$AP2024)="",$H2024,INDEX(職員マスタ!$B$6:$B$405,$AP2024)))</f>
        <v/>
      </c>
      <c r="Y2024" s="14">
        <f>IF($AP2024="",IF($B2024="","",$R2024),IF(INDEX(職員マスタ!$C$6:$C$405,$AP2024)="",$R2024,INDEX(職員マスタ!$C$6:$C$405,$AP2024)))</f>
        <v/>
      </c>
      <c r="Z2024" s="14">
        <f>IF($AQ2024="","","R"&amp;$C2024&amp;"."&amp;$D2024)</f>
        <v/>
      </c>
      <c r="AA2024" s="15">
        <f>IF(IF($AP2024="",FALSE,INDEX(職員マスタ!$K$6:$K$405,$AP2024)&lt;&gt;""),INDEX(職員マスタ!$K$6:$K$405,$AP2024),IF(N($W2024)&gt;0,$W2024,""))</f>
        <v/>
      </c>
      <c r="AB2024" s="14">
        <f>IF(OR($E2024="",$AA2024=""),"",IF($E2024&gt;=$AA2024,"×",IF($E2024&gt;=$AA2024*設定!$C$5,"△","○")))</f>
        <v/>
      </c>
      <c r="AC2024" s="15">
        <f>IF($AB2024="","",IF($AB2024="×",0,IF($AB2024="○",ROUNDDOWN($E2024*設定!$C$4,0),ROUNDDOWN($E2024*ROUND((9*$AA2024-9*$E2024)/(10*$E2024),4),0))))</f>
        <v/>
      </c>
      <c r="AD2024" s="13" t="n"/>
      <c r="AE2024" s="15">
        <f>IF($B2024="","",IF($AD2024&lt;&gt;"",$AD2024,IF($AC2024="","",IF($AC2024&lt;=設定!$C$3,0,$AC2024))))</f>
        <v/>
      </c>
      <c r="AF2024" s="14">
        <f>IF($B2024="","",IF(AND($AG2024&lt;&gt;"",$AI2024="",$AL2024=""),"保留中",IF($AL2024&lt;&gt;"",IF(N($AE2024)&gt;0,"支給済","不支給"),IF($AE2024="","要確認",IF($AE2024=0,"不支給","未処理")))))</f>
        <v/>
      </c>
      <c r="AG2024" s="12" t="n"/>
      <c r="AH2024" s="11" t="n"/>
      <c r="AI2024" s="11" t="n"/>
      <c r="AJ2024" s="11" t="n"/>
      <c r="AK2024" s="14">
        <f>IF(AND($AF2024="保留中",$AH2024&lt;&gt;""),TODAY()-$AH2024,"")</f>
        <v/>
      </c>
      <c r="AL2024" s="12" t="n"/>
      <c r="AM2024" s="14">
        <f>IF($B2024="","",IF($AQ2024="","対象年月が未入力／","")&amp;IF($B2024="","",IF($AP2024="","職員マスタに未登録の職員番号／",IF($AA2024="","標準報酬月額が未登録／","")&amp;IF(AND($AQ2024&lt;&gt;"",OR(AND(INDEX(職員マスタ!$G$6:$G$405,$AP2024)&lt;&gt;"",INDEX(職員マスタ!$G$6:$G$405,$AP2024)&gt;EOMONTH($AQ2024,0)),AND(INDEX(職員マスタ!$H$6:$H$405,$AP2024)&lt;&gt;"",INDEX(職員マスタ!$H$6:$H$405,$AP2024)&lt;$AQ2024))),"対象月が時短期間外／","")&amp;IF(AND(INDEX(職員マスタ!$K$6:$K$405,$AP2024)&lt;&gt;"",N($W2024)&gt;0,INDEX(職員マスタ!$K$6:$K$405,$AP2024)&lt;&gt;$W2024),"標準報酬月額が申請書と相違（台帳"&amp;TEXT(INDEX(職員マスタ!$K$6:$K$405,$AP2024),"#,##0")&amp;"円／申請書"&amp;TEXT($W2024,"#,##0")&amp;"円）／","")&amp;IF(AND(INDEX(職員マスタ!$F$6:$F$405,$AP2024)&lt;&gt;"",$AQ2024&lt;&gt;"",INDEX(職員マスタ!$F$6:$F$405,$AP2024)&lt;$AQ2024),"対象月に子が2歳到達済／","")&amp;IF(AND($H2024&lt;&gt;"",INDEX(職員マスタ!$B$6:$B$405,$AP2024)&lt;&gt;"",SUBSTITUTE(SUBSTITUTE($H2024," ","")," ","")&lt;&gt;SUBSTITUTE(SUBSTITUTE(INDEX(職員マスタ!$B$6:$B$405,$AP2024)," ","")," ","")),"氏名がマスタと相違／","")&amp;IF(AND($Q2024&lt;&gt;"",INDEX(職員マスタ!$E$6:$E$405,$AP2024)&lt;&gt;"",$Q2024&lt;&gt;INDEX(職員マスタ!$E$6:$E$405,$AP2024)),"子の生年月日がマスタと相違／","")&amp;IF(AND($L2024&lt;&gt;"",INDEX(職員マスタ!$G$6:$G$405,$AP2024)&lt;&gt;"",$L2024&lt;&gt;INDEX(職員マスタ!$G$6:$G$405,$AP2024)),"時短開始日がマスタと相違／","")&amp;IF(AND($M2024&lt;&gt;"",INDEX(職員マスタ!$H$6:$H$405,$AP2024)&lt;&gt;"",$M2024&lt;&gt;INDEX(職員マスタ!$H$6:$H$405,$AP2024)),"時短終了日がマスタと相違／","")))&amp;IF(AND($B2024&lt;&gt;"",$E2024=""),"報酬額が未入力／","")&amp;IF(N($U2024)&gt;0,"申請書に入力エラーが残っています／","")&amp;IF(AND($B2024&lt;&gt;"",$AQ2024&lt;&gt;""),IF(COUNTIFS($B$6:$B$3005,$B2024,$C$6:$C$3005,$C2024,$D$6:$D$3005,$D2024)&gt;1,"同じ月の請求が重複しています／",""),"")&amp;IF(AND(N($E2024)&gt;0,$AB2024&lt;&gt;"",$AB2024&lt;&gt;"×",$AE2024=0,$AD2024=""),"計算額が下限以下のため不支給／",""))</f>
        <v/>
      </c>
      <c r="AN2024" s="12" t="n"/>
      <c r="AO2024" s="14">
        <f>IF($AF2024="保留中",COUNTIF($AF$6:$AF2024,"保留中"),"")</f>
        <v/>
      </c>
      <c r="AP2024" s="14">
        <f>IF($AQ2024="","",IF(SUMPRODUCT(MAX((職員マスタ!$A$6:$A$405=$B2024)*(((職員マスタ!$G$6:$G$405="")+(職員マスタ!$G$6:$G$405&lt;=EOMONTH($AQ2024,0)))&gt;0)*(((職員マスタ!$H$6:$H$405="")+(職員マスタ!$H$6:$H$405&gt;=$AQ2024))&gt;0)*(ROW(職員マスタ!$A$6:$A$405)-5)))&gt;0,SUMPRODUCT(MAX((職員マスタ!$A$6:$A$405=$B2024)*(((職員マスタ!$G$6:$G$405="")+(職員マスタ!$G$6:$G$405&lt;=EOMONTH($AQ2024,0)))&gt;0)*(((職員マスタ!$H$6:$H$405="")+(職員マスタ!$H$6:$H$405&gt;=$AQ2024))&gt;0)*(ROW(職員マスタ!$A$6:$A$405)-5))),IFERROR(MATCH($B2024,職員マスタ!$A$6:$A$405,0),"")))</f>
        <v/>
      </c>
      <c r="AQ2024" s="16">
        <f>IF(OR($B2024="",$C2024="",$D2024=""),"",DATE($C2024+2018,$D2024,1))</f>
        <v/>
      </c>
    </row>
    <row r="2025">
      <c r="A2025" s="11" t="n"/>
      <c r="B2025" s="12" t="n"/>
      <c r="C2025" s="12" t="n"/>
      <c r="D2025" s="12" t="n"/>
      <c r="E2025" s="13" t="n"/>
      <c r="F2025" s="12" t="n"/>
      <c r="G2025" s="13" t="n"/>
      <c r="H2025" s="12" t="n"/>
      <c r="I2025" s="12" t="n"/>
      <c r="J2025" s="12" t="n"/>
      <c r="K2025" s="12" t="n"/>
      <c r="L2025" s="11" t="n"/>
      <c r="M2025" s="11" t="n"/>
      <c r="N2025" s="11" t="n"/>
      <c r="O2025" s="11" t="n"/>
      <c r="P2025" s="12" t="n"/>
      <c r="Q2025" s="11" t="n"/>
      <c r="R2025" s="12" t="n"/>
      <c r="S2025" s="11" t="n"/>
      <c r="T2025" s="12" t="n"/>
      <c r="U2025" s="12" t="n"/>
      <c r="V2025" s="12" t="n"/>
      <c r="W2025" s="13" t="n"/>
      <c r="X2025" s="14">
        <f>IF($AP2025="",IF($B2025="","",$H2025),IF(INDEX(職員マスタ!$B$6:$B$405,$AP2025)="",$H2025,INDEX(職員マスタ!$B$6:$B$405,$AP2025)))</f>
        <v/>
      </c>
      <c r="Y2025" s="14">
        <f>IF($AP2025="",IF($B2025="","",$R2025),IF(INDEX(職員マスタ!$C$6:$C$405,$AP2025)="",$R2025,INDEX(職員マスタ!$C$6:$C$405,$AP2025)))</f>
        <v/>
      </c>
      <c r="Z2025" s="14">
        <f>IF($AQ2025="","","R"&amp;$C2025&amp;"."&amp;$D2025)</f>
        <v/>
      </c>
      <c r="AA2025" s="15">
        <f>IF(IF($AP2025="",FALSE,INDEX(職員マスタ!$K$6:$K$405,$AP2025)&lt;&gt;""),INDEX(職員マスタ!$K$6:$K$405,$AP2025),IF(N($W2025)&gt;0,$W2025,""))</f>
        <v/>
      </c>
      <c r="AB2025" s="14">
        <f>IF(OR($E2025="",$AA2025=""),"",IF($E2025&gt;=$AA2025,"×",IF($E2025&gt;=$AA2025*設定!$C$5,"△","○")))</f>
        <v/>
      </c>
      <c r="AC2025" s="15">
        <f>IF($AB2025="","",IF($AB2025="×",0,IF($AB2025="○",ROUNDDOWN($E2025*設定!$C$4,0),ROUNDDOWN($E2025*ROUND((9*$AA2025-9*$E2025)/(10*$E2025),4),0))))</f>
        <v/>
      </c>
      <c r="AD2025" s="13" t="n"/>
      <c r="AE2025" s="15">
        <f>IF($B2025="","",IF($AD2025&lt;&gt;"",$AD2025,IF($AC2025="","",IF($AC2025&lt;=設定!$C$3,0,$AC2025))))</f>
        <v/>
      </c>
      <c r="AF2025" s="14">
        <f>IF($B2025="","",IF(AND($AG2025&lt;&gt;"",$AI2025="",$AL2025=""),"保留中",IF($AL2025&lt;&gt;"",IF(N($AE2025)&gt;0,"支給済","不支給"),IF($AE2025="","要確認",IF($AE2025=0,"不支給","未処理")))))</f>
        <v/>
      </c>
      <c r="AG2025" s="12" t="n"/>
      <c r="AH2025" s="11" t="n"/>
      <c r="AI2025" s="11" t="n"/>
      <c r="AJ2025" s="11" t="n"/>
      <c r="AK2025" s="14">
        <f>IF(AND($AF2025="保留中",$AH2025&lt;&gt;""),TODAY()-$AH2025,"")</f>
        <v/>
      </c>
      <c r="AL2025" s="12" t="n"/>
      <c r="AM2025" s="14">
        <f>IF($B2025="","",IF($AQ2025="","対象年月が未入力／","")&amp;IF($B2025="","",IF($AP2025="","職員マスタに未登録の職員番号／",IF($AA2025="","標準報酬月額が未登録／","")&amp;IF(AND($AQ2025&lt;&gt;"",OR(AND(INDEX(職員マスタ!$G$6:$G$405,$AP2025)&lt;&gt;"",INDEX(職員マスタ!$G$6:$G$405,$AP2025)&gt;EOMONTH($AQ2025,0)),AND(INDEX(職員マスタ!$H$6:$H$405,$AP2025)&lt;&gt;"",INDEX(職員マスタ!$H$6:$H$405,$AP2025)&lt;$AQ2025))),"対象月が時短期間外／","")&amp;IF(AND(INDEX(職員マスタ!$K$6:$K$405,$AP2025)&lt;&gt;"",N($W2025)&gt;0,INDEX(職員マスタ!$K$6:$K$405,$AP2025)&lt;&gt;$W2025),"標準報酬月額が申請書と相違（台帳"&amp;TEXT(INDEX(職員マスタ!$K$6:$K$405,$AP2025),"#,##0")&amp;"円／申請書"&amp;TEXT($W2025,"#,##0")&amp;"円）／","")&amp;IF(AND(INDEX(職員マスタ!$F$6:$F$405,$AP2025)&lt;&gt;"",$AQ2025&lt;&gt;"",INDEX(職員マスタ!$F$6:$F$405,$AP2025)&lt;$AQ2025),"対象月に子が2歳到達済／","")&amp;IF(AND($H2025&lt;&gt;"",INDEX(職員マスタ!$B$6:$B$405,$AP2025)&lt;&gt;"",SUBSTITUTE(SUBSTITUTE($H2025," ","")," ","")&lt;&gt;SUBSTITUTE(SUBSTITUTE(INDEX(職員マスタ!$B$6:$B$405,$AP2025)," ","")," ","")),"氏名がマスタと相違／","")&amp;IF(AND($Q2025&lt;&gt;"",INDEX(職員マスタ!$E$6:$E$405,$AP2025)&lt;&gt;"",$Q2025&lt;&gt;INDEX(職員マスタ!$E$6:$E$405,$AP2025)),"子の生年月日がマスタと相違／","")&amp;IF(AND($L2025&lt;&gt;"",INDEX(職員マスタ!$G$6:$G$405,$AP2025)&lt;&gt;"",$L2025&lt;&gt;INDEX(職員マスタ!$G$6:$G$405,$AP2025)),"時短開始日がマスタと相違／","")&amp;IF(AND($M2025&lt;&gt;"",INDEX(職員マスタ!$H$6:$H$405,$AP2025)&lt;&gt;"",$M2025&lt;&gt;INDEX(職員マスタ!$H$6:$H$405,$AP2025)),"時短終了日がマスタと相違／","")))&amp;IF(AND($B2025&lt;&gt;"",$E2025=""),"報酬額が未入力／","")&amp;IF(N($U2025)&gt;0,"申請書に入力エラーが残っています／","")&amp;IF(AND($B2025&lt;&gt;"",$AQ2025&lt;&gt;""),IF(COUNTIFS($B$6:$B$3005,$B2025,$C$6:$C$3005,$C2025,$D$6:$D$3005,$D2025)&gt;1,"同じ月の請求が重複しています／",""),"")&amp;IF(AND(N($E2025)&gt;0,$AB2025&lt;&gt;"",$AB2025&lt;&gt;"×",$AE2025=0,$AD2025=""),"計算額が下限以下のため不支給／",""))</f>
        <v/>
      </c>
      <c r="AN2025" s="12" t="n"/>
      <c r="AO2025" s="14">
        <f>IF($AF2025="保留中",COUNTIF($AF$6:$AF2025,"保留中"),"")</f>
        <v/>
      </c>
      <c r="AP2025" s="14">
        <f>IF($AQ2025="","",IF(SUMPRODUCT(MAX((職員マスタ!$A$6:$A$405=$B2025)*(((職員マスタ!$G$6:$G$405="")+(職員マスタ!$G$6:$G$405&lt;=EOMONTH($AQ2025,0)))&gt;0)*(((職員マスタ!$H$6:$H$405="")+(職員マスタ!$H$6:$H$405&gt;=$AQ2025))&gt;0)*(ROW(職員マスタ!$A$6:$A$405)-5)))&gt;0,SUMPRODUCT(MAX((職員マスタ!$A$6:$A$405=$B2025)*(((職員マスタ!$G$6:$G$405="")+(職員マスタ!$G$6:$G$405&lt;=EOMONTH($AQ2025,0)))&gt;0)*(((職員マスタ!$H$6:$H$405="")+(職員マスタ!$H$6:$H$405&gt;=$AQ2025))&gt;0)*(ROW(職員マスタ!$A$6:$A$405)-5))),IFERROR(MATCH($B2025,職員マスタ!$A$6:$A$405,0),"")))</f>
        <v/>
      </c>
      <c r="AQ2025" s="16">
        <f>IF(OR($B2025="",$C2025="",$D2025=""),"",DATE($C2025+2018,$D2025,1))</f>
        <v/>
      </c>
    </row>
    <row r="2026">
      <c r="A2026" s="11" t="n"/>
      <c r="B2026" s="12" t="n"/>
      <c r="C2026" s="12" t="n"/>
      <c r="D2026" s="12" t="n"/>
      <c r="E2026" s="13" t="n"/>
      <c r="F2026" s="12" t="n"/>
      <c r="G2026" s="13" t="n"/>
      <c r="H2026" s="12" t="n"/>
      <c r="I2026" s="12" t="n"/>
      <c r="J2026" s="12" t="n"/>
      <c r="K2026" s="12" t="n"/>
      <c r="L2026" s="11" t="n"/>
      <c r="M2026" s="11" t="n"/>
      <c r="N2026" s="11" t="n"/>
      <c r="O2026" s="11" t="n"/>
      <c r="P2026" s="12" t="n"/>
      <c r="Q2026" s="11" t="n"/>
      <c r="R2026" s="12" t="n"/>
      <c r="S2026" s="11" t="n"/>
      <c r="T2026" s="12" t="n"/>
      <c r="U2026" s="12" t="n"/>
      <c r="V2026" s="12" t="n"/>
      <c r="W2026" s="13" t="n"/>
      <c r="X2026" s="14">
        <f>IF($AP2026="",IF($B2026="","",$H2026),IF(INDEX(職員マスタ!$B$6:$B$405,$AP2026)="",$H2026,INDEX(職員マスタ!$B$6:$B$405,$AP2026)))</f>
        <v/>
      </c>
      <c r="Y2026" s="14">
        <f>IF($AP2026="",IF($B2026="","",$R2026),IF(INDEX(職員マスタ!$C$6:$C$405,$AP2026)="",$R2026,INDEX(職員マスタ!$C$6:$C$405,$AP2026)))</f>
        <v/>
      </c>
      <c r="Z2026" s="14">
        <f>IF($AQ2026="","","R"&amp;$C2026&amp;"."&amp;$D2026)</f>
        <v/>
      </c>
      <c r="AA2026" s="15">
        <f>IF(IF($AP2026="",FALSE,INDEX(職員マスタ!$K$6:$K$405,$AP2026)&lt;&gt;""),INDEX(職員マスタ!$K$6:$K$405,$AP2026),IF(N($W2026)&gt;0,$W2026,""))</f>
        <v/>
      </c>
      <c r="AB2026" s="14">
        <f>IF(OR($E2026="",$AA2026=""),"",IF($E2026&gt;=$AA2026,"×",IF($E2026&gt;=$AA2026*設定!$C$5,"△","○")))</f>
        <v/>
      </c>
      <c r="AC2026" s="15">
        <f>IF($AB2026="","",IF($AB2026="×",0,IF($AB2026="○",ROUNDDOWN($E2026*設定!$C$4,0),ROUNDDOWN($E2026*ROUND((9*$AA2026-9*$E2026)/(10*$E2026),4),0))))</f>
        <v/>
      </c>
      <c r="AD2026" s="13" t="n"/>
      <c r="AE2026" s="15">
        <f>IF($B2026="","",IF($AD2026&lt;&gt;"",$AD2026,IF($AC2026="","",IF($AC2026&lt;=設定!$C$3,0,$AC2026))))</f>
        <v/>
      </c>
      <c r="AF2026" s="14">
        <f>IF($B2026="","",IF(AND($AG2026&lt;&gt;"",$AI2026="",$AL2026=""),"保留中",IF($AL2026&lt;&gt;"",IF(N($AE2026)&gt;0,"支給済","不支給"),IF($AE2026="","要確認",IF($AE2026=0,"不支給","未処理")))))</f>
        <v/>
      </c>
      <c r="AG2026" s="12" t="n"/>
      <c r="AH2026" s="11" t="n"/>
      <c r="AI2026" s="11" t="n"/>
      <c r="AJ2026" s="11" t="n"/>
      <c r="AK2026" s="14">
        <f>IF(AND($AF2026="保留中",$AH2026&lt;&gt;""),TODAY()-$AH2026,"")</f>
        <v/>
      </c>
      <c r="AL2026" s="12" t="n"/>
      <c r="AM2026" s="14">
        <f>IF($B2026="","",IF($AQ2026="","対象年月が未入力／","")&amp;IF($B2026="","",IF($AP2026="","職員マスタに未登録の職員番号／",IF($AA2026="","標準報酬月額が未登録／","")&amp;IF(AND($AQ2026&lt;&gt;"",OR(AND(INDEX(職員マスタ!$G$6:$G$405,$AP2026)&lt;&gt;"",INDEX(職員マスタ!$G$6:$G$405,$AP2026)&gt;EOMONTH($AQ2026,0)),AND(INDEX(職員マスタ!$H$6:$H$405,$AP2026)&lt;&gt;"",INDEX(職員マスタ!$H$6:$H$405,$AP2026)&lt;$AQ2026))),"対象月が時短期間外／","")&amp;IF(AND(INDEX(職員マスタ!$K$6:$K$405,$AP2026)&lt;&gt;"",N($W2026)&gt;0,INDEX(職員マスタ!$K$6:$K$405,$AP2026)&lt;&gt;$W2026),"標準報酬月額が申請書と相違（台帳"&amp;TEXT(INDEX(職員マスタ!$K$6:$K$405,$AP2026),"#,##0")&amp;"円／申請書"&amp;TEXT($W2026,"#,##0")&amp;"円）／","")&amp;IF(AND(INDEX(職員マスタ!$F$6:$F$405,$AP2026)&lt;&gt;"",$AQ2026&lt;&gt;"",INDEX(職員マスタ!$F$6:$F$405,$AP2026)&lt;$AQ2026),"対象月に子が2歳到達済／","")&amp;IF(AND($H2026&lt;&gt;"",INDEX(職員マスタ!$B$6:$B$405,$AP2026)&lt;&gt;"",SUBSTITUTE(SUBSTITUTE($H2026," ","")," ","")&lt;&gt;SUBSTITUTE(SUBSTITUTE(INDEX(職員マスタ!$B$6:$B$405,$AP2026)," ","")," ","")),"氏名がマスタと相違／","")&amp;IF(AND($Q2026&lt;&gt;"",INDEX(職員マスタ!$E$6:$E$405,$AP2026)&lt;&gt;"",$Q2026&lt;&gt;INDEX(職員マスタ!$E$6:$E$405,$AP2026)),"子の生年月日がマスタと相違／","")&amp;IF(AND($L2026&lt;&gt;"",INDEX(職員マスタ!$G$6:$G$405,$AP2026)&lt;&gt;"",$L2026&lt;&gt;INDEX(職員マスタ!$G$6:$G$405,$AP2026)),"時短開始日がマスタと相違／","")&amp;IF(AND($M2026&lt;&gt;"",INDEX(職員マスタ!$H$6:$H$405,$AP2026)&lt;&gt;"",$M2026&lt;&gt;INDEX(職員マスタ!$H$6:$H$405,$AP2026)),"時短終了日がマスタと相違／","")))&amp;IF(AND($B2026&lt;&gt;"",$E2026=""),"報酬額が未入力／","")&amp;IF(N($U2026)&gt;0,"申請書に入力エラーが残っています／","")&amp;IF(AND($B2026&lt;&gt;"",$AQ2026&lt;&gt;""),IF(COUNTIFS($B$6:$B$3005,$B2026,$C$6:$C$3005,$C2026,$D$6:$D$3005,$D2026)&gt;1,"同じ月の請求が重複しています／",""),"")&amp;IF(AND(N($E2026)&gt;0,$AB2026&lt;&gt;"",$AB2026&lt;&gt;"×",$AE2026=0,$AD2026=""),"計算額が下限以下のため不支給／",""))</f>
        <v/>
      </c>
      <c r="AN2026" s="12" t="n"/>
      <c r="AO2026" s="14">
        <f>IF($AF2026="保留中",COUNTIF($AF$6:$AF2026,"保留中"),"")</f>
        <v/>
      </c>
      <c r="AP2026" s="14">
        <f>IF($AQ2026="","",IF(SUMPRODUCT(MAX((職員マスタ!$A$6:$A$405=$B2026)*(((職員マスタ!$G$6:$G$405="")+(職員マスタ!$G$6:$G$405&lt;=EOMONTH($AQ2026,0)))&gt;0)*(((職員マスタ!$H$6:$H$405="")+(職員マスタ!$H$6:$H$405&gt;=$AQ2026))&gt;0)*(ROW(職員マスタ!$A$6:$A$405)-5)))&gt;0,SUMPRODUCT(MAX((職員マスタ!$A$6:$A$405=$B2026)*(((職員マスタ!$G$6:$G$405="")+(職員マスタ!$G$6:$G$405&lt;=EOMONTH($AQ2026,0)))&gt;0)*(((職員マスタ!$H$6:$H$405="")+(職員マスタ!$H$6:$H$405&gt;=$AQ2026))&gt;0)*(ROW(職員マスタ!$A$6:$A$405)-5))),IFERROR(MATCH($B2026,職員マスタ!$A$6:$A$405,0),"")))</f>
        <v/>
      </c>
      <c r="AQ2026" s="16">
        <f>IF(OR($B2026="",$C2026="",$D2026=""),"",DATE($C2026+2018,$D2026,1))</f>
        <v/>
      </c>
    </row>
    <row r="2027">
      <c r="A2027" s="11" t="n"/>
      <c r="B2027" s="12" t="n"/>
      <c r="C2027" s="12" t="n"/>
      <c r="D2027" s="12" t="n"/>
      <c r="E2027" s="13" t="n"/>
      <c r="F2027" s="12" t="n"/>
      <c r="G2027" s="13" t="n"/>
      <c r="H2027" s="12" t="n"/>
      <c r="I2027" s="12" t="n"/>
      <c r="J2027" s="12" t="n"/>
      <c r="K2027" s="12" t="n"/>
      <c r="L2027" s="11" t="n"/>
      <c r="M2027" s="11" t="n"/>
      <c r="N2027" s="11" t="n"/>
      <c r="O2027" s="11" t="n"/>
      <c r="P2027" s="12" t="n"/>
      <c r="Q2027" s="11" t="n"/>
      <c r="R2027" s="12" t="n"/>
      <c r="S2027" s="11" t="n"/>
      <c r="T2027" s="12" t="n"/>
      <c r="U2027" s="12" t="n"/>
      <c r="V2027" s="12" t="n"/>
      <c r="W2027" s="13" t="n"/>
      <c r="X2027" s="14">
        <f>IF($AP2027="",IF($B2027="","",$H2027),IF(INDEX(職員マスタ!$B$6:$B$405,$AP2027)="",$H2027,INDEX(職員マスタ!$B$6:$B$405,$AP2027)))</f>
        <v/>
      </c>
      <c r="Y2027" s="14">
        <f>IF($AP2027="",IF($B2027="","",$R2027),IF(INDEX(職員マスタ!$C$6:$C$405,$AP2027)="",$R2027,INDEX(職員マスタ!$C$6:$C$405,$AP2027)))</f>
        <v/>
      </c>
      <c r="Z2027" s="14">
        <f>IF($AQ2027="","","R"&amp;$C2027&amp;"."&amp;$D2027)</f>
        <v/>
      </c>
      <c r="AA2027" s="15">
        <f>IF(IF($AP2027="",FALSE,INDEX(職員マスタ!$K$6:$K$405,$AP2027)&lt;&gt;""),INDEX(職員マスタ!$K$6:$K$405,$AP2027),IF(N($W2027)&gt;0,$W2027,""))</f>
        <v/>
      </c>
      <c r="AB2027" s="14">
        <f>IF(OR($E2027="",$AA2027=""),"",IF($E2027&gt;=$AA2027,"×",IF($E2027&gt;=$AA2027*設定!$C$5,"△","○")))</f>
        <v/>
      </c>
      <c r="AC2027" s="15">
        <f>IF($AB2027="","",IF($AB2027="×",0,IF($AB2027="○",ROUNDDOWN($E2027*設定!$C$4,0),ROUNDDOWN($E2027*ROUND((9*$AA2027-9*$E2027)/(10*$E2027),4),0))))</f>
        <v/>
      </c>
      <c r="AD2027" s="13" t="n"/>
      <c r="AE2027" s="15">
        <f>IF($B2027="","",IF($AD2027&lt;&gt;"",$AD2027,IF($AC2027="","",IF($AC2027&lt;=設定!$C$3,0,$AC2027))))</f>
        <v/>
      </c>
      <c r="AF2027" s="14">
        <f>IF($B2027="","",IF(AND($AG2027&lt;&gt;"",$AI2027="",$AL2027=""),"保留中",IF($AL2027&lt;&gt;"",IF(N($AE2027)&gt;0,"支給済","不支給"),IF($AE2027="","要確認",IF($AE2027=0,"不支給","未処理")))))</f>
        <v/>
      </c>
      <c r="AG2027" s="12" t="n"/>
      <c r="AH2027" s="11" t="n"/>
      <c r="AI2027" s="11" t="n"/>
      <c r="AJ2027" s="11" t="n"/>
      <c r="AK2027" s="14">
        <f>IF(AND($AF2027="保留中",$AH2027&lt;&gt;""),TODAY()-$AH2027,"")</f>
        <v/>
      </c>
      <c r="AL2027" s="12" t="n"/>
      <c r="AM2027" s="14">
        <f>IF($B2027="","",IF($AQ2027="","対象年月が未入力／","")&amp;IF($B2027="","",IF($AP2027="","職員マスタに未登録の職員番号／",IF($AA2027="","標準報酬月額が未登録／","")&amp;IF(AND($AQ2027&lt;&gt;"",OR(AND(INDEX(職員マスタ!$G$6:$G$405,$AP2027)&lt;&gt;"",INDEX(職員マスタ!$G$6:$G$405,$AP2027)&gt;EOMONTH($AQ2027,0)),AND(INDEX(職員マスタ!$H$6:$H$405,$AP2027)&lt;&gt;"",INDEX(職員マスタ!$H$6:$H$405,$AP2027)&lt;$AQ2027))),"対象月が時短期間外／","")&amp;IF(AND(INDEX(職員マスタ!$K$6:$K$405,$AP2027)&lt;&gt;"",N($W2027)&gt;0,INDEX(職員マスタ!$K$6:$K$405,$AP2027)&lt;&gt;$W2027),"標準報酬月額が申請書と相違（台帳"&amp;TEXT(INDEX(職員マスタ!$K$6:$K$405,$AP2027),"#,##0")&amp;"円／申請書"&amp;TEXT($W2027,"#,##0")&amp;"円）／","")&amp;IF(AND(INDEX(職員マスタ!$F$6:$F$405,$AP2027)&lt;&gt;"",$AQ2027&lt;&gt;"",INDEX(職員マスタ!$F$6:$F$405,$AP2027)&lt;$AQ2027),"対象月に子が2歳到達済／","")&amp;IF(AND($H2027&lt;&gt;"",INDEX(職員マスタ!$B$6:$B$405,$AP2027)&lt;&gt;"",SUBSTITUTE(SUBSTITUTE($H2027," ","")," ","")&lt;&gt;SUBSTITUTE(SUBSTITUTE(INDEX(職員マスタ!$B$6:$B$405,$AP2027)," ","")," ","")),"氏名がマスタと相違／","")&amp;IF(AND($Q2027&lt;&gt;"",INDEX(職員マスタ!$E$6:$E$405,$AP2027)&lt;&gt;"",$Q2027&lt;&gt;INDEX(職員マスタ!$E$6:$E$405,$AP2027)),"子の生年月日がマスタと相違／","")&amp;IF(AND($L2027&lt;&gt;"",INDEX(職員マスタ!$G$6:$G$405,$AP2027)&lt;&gt;"",$L2027&lt;&gt;INDEX(職員マスタ!$G$6:$G$405,$AP2027)),"時短開始日がマスタと相違／","")&amp;IF(AND($M2027&lt;&gt;"",INDEX(職員マスタ!$H$6:$H$405,$AP2027)&lt;&gt;"",$M2027&lt;&gt;INDEX(職員マスタ!$H$6:$H$405,$AP2027)),"時短終了日がマスタと相違／","")))&amp;IF(AND($B2027&lt;&gt;"",$E2027=""),"報酬額が未入力／","")&amp;IF(N($U2027)&gt;0,"申請書に入力エラーが残っています／","")&amp;IF(AND($B2027&lt;&gt;"",$AQ2027&lt;&gt;""),IF(COUNTIFS($B$6:$B$3005,$B2027,$C$6:$C$3005,$C2027,$D$6:$D$3005,$D2027)&gt;1,"同じ月の請求が重複しています／",""),"")&amp;IF(AND(N($E2027)&gt;0,$AB2027&lt;&gt;"",$AB2027&lt;&gt;"×",$AE2027=0,$AD2027=""),"計算額が下限以下のため不支給／",""))</f>
        <v/>
      </c>
      <c r="AN2027" s="12" t="n"/>
      <c r="AO2027" s="14">
        <f>IF($AF2027="保留中",COUNTIF($AF$6:$AF2027,"保留中"),"")</f>
        <v/>
      </c>
      <c r="AP2027" s="14">
        <f>IF($AQ2027="","",IF(SUMPRODUCT(MAX((職員マスタ!$A$6:$A$405=$B2027)*(((職員マスタ!$G$6:$G$405="")+(職員マスタ!$G$6:$G$405&lt;=EOMONTH($AQ2027,0)))&gt;0)*(((職員マスタ!$H$6:$H$405="")+(職員マスタ!$H$6:$H$405&gt;=$AQ2027))&gt;0)*(ROW(職員マスタ!$A$6:$A$405)-5)))&gt;0,SUMPRODUCT(MAX((職員マスタ!$A$6:$A$405=$B2027)*(((職員マスタ!$G$6:$G$405="")+(職員マスタ!$G$6:$G$405&lt;=EOMONTH($AQ2027,0)))&gt;0)*(((職員マスタ!$H$6:$H$405="")+(職員マスタ!$H$6:$H$405&gt;=$AQ2027))&gt;0)*(ROW(職員マスタ!$A$6:$A$405)-5))),IFERROR(MATCH($B2027,職員マスタ!$A$6:$A$405,0),"")))</f>
        <v/>
      </c>
      <c r="AQ2027" s="16">
        <f>IF(OR($B2027="",$C2027="",$D2027=""),"",DATE($C2027+2018,$D2027,1))</f>
        <v/>
      </c>
    </row>
    <row r="2028">
      <c r="A2028" s="11" t="n"/>
      <c r="B2028" s="12" t="n"/>
      <c r="C2028" s="12" t="n"/>
      <c r="D2028" s="12" t="n"/>
      <c r="E2028" s="13" t="n"/>
      <c r="F2028" s="12" t="n"/>
      <c r="G2028" s="13" t="n"/>
      <c r="H2028" s="12" t="n"/>
      <c r="I2028" s="12" t="n"/>
      <c r="J2028" s="12" t="n"/>
      <c r="K2028" s="12" t="n"/>
      <c r="L2028" s="11" t="n"/>
      <c r="M2028" s="11" t="n"/>
      <c r="N2028" s="11" t="n"/>
      <c r="O2028" s="11" t="n"/>
      <c r="P2028" s="12" t="n"/>
      <c r="Q2028" s="11" t="n"/>
      <c r="R2028" s="12" t="n"/>
      <c r="S2028" s="11" t="n"/>
      <c r="T2028" s="12" t="n"/>
      <c r="U2028" s="12" t="n"/>
      <c r="V2028" s="12" t="n"/>
      <c r="W2028" s="13" t="n"/>
      <c r="X2028" s="14">
        <f>IF($AP2028="",IF($B2028="","",$H2028),IF(INDEX(職員マスタ!$B$6:$B$405,$AP2028)="",$H2028,INDEX(職員マスタ!$B$6:$B$405,$AP2028)))</f>
        <v/>
      </c>
      <c r="Y2028" s="14">
        <f>IF($AP2028="",IF($B2028="","",$R2028),IF(INDEX(職員マスタ!$C$6:$C$405,$AP2028)="",$R2028,INDEX(職員マスタ!$C$6:$C$405,$AP2028)))</f>
        <v/>
      </c>
      <c r="Z2028" s="14">
        <f>IF($AQ2028="","","R"&amp;$C2028&amp;"."&amp;$D2028)</f>
        <v/>
      </c>
      <c r="AA2028" s="15">
        <f>IF(IF($AP2028="",FALSE,INDEX(職員マスタ!$K$6:$K$405,$AP2028)&lt;&gt;""),INDEX(職員マスタ!$K$6:$K$405,$AP2028),IF(N($W2028)&gt;0,$W2028,""))</f>
        <v/>
      </c>
      <c r="AB2028" s="14">
        <f>IF(OR($E2028="",$AA2028=""),"",IF($E2028&gt;=$AA2028,"×",IF($E2028&gt;=$AA2028*設定!$C$5,"△","○")))</f>
        <v/>
      </c>
      <c r="AC2028" s="15">
        <f>IF($AB2028="","",IF($AB2028="×",0,IF($AB2028="○",ROUNDDOWN($E2028*設定!$C$4,0),ROUNDDOWN($E2028*ROUND((9*$AA2028-9*$E2028)/(10*$E2028),4),0))))</f>
        <v/>
      </c>
      <c r="AD2028" s="13" t="n"/>
      <c r="AE2028" s="15">
        <f>IF($B2028="","",IF($AD2028&lt;&gt;"",$AD2028,IF($AC2028="","",IF($AC2028&lt;=設定!$C$3,0,$AC2028))))</f>
        <v/>
      </c>
      <c r="AF2028" s="14">
        <f>IF($B2028="","",IF(AND($AG2028&lt;&gt;"",$AI2028="",$AL2028=""),"保留中",IF($AL2028&lt;&gt;"",IF(N($AE2028)&gt;0,"支給済","不支給"),IF($AE2028="","要確認",IF($AE2028=0,"不支給","未処理")))))</f>
        <v/>
      </c>
      <c r="AG2028" s="12" t="n"/>
      <c r="AH2028" s="11" t="n"/>
      <c r="AI2028" s="11" t="n"/>
      <c r="AJ2028" s="11" t="n"/>
      <c r="AK2028" s="14">
        <f>IF(AND($AF2028="保留中",$AH2028&lt;&gt;""),TODAY()-$AH2028,"")</f>
        <v/>
      </c>
      <c r="AL2028" s="12" t="n"/>
      <c r="AM2028" s="14">
        <f>IF($B2028="","",IF($AQ2028="","対象年月が未入力／","")&amp;IF($B2028="","",IF($AP2028="","職員マスタに未登録の職員番号／",IF($AA2028="","標準報酬月額が未登録／","")&amp;IF(AND($AQ2028&lt;&gt;"",OR(AND(INDEX(職員マスタ!$G$6:$G$405,$AP2028)&lt;&gt;"",INDEX(職員マスタ!$G$6:$G$405,$AP2028)&gt;EOMONTH($AQ2028,0)),AND(INDEX(職員マスタ!$H$6:$H$405,$AP2028)&lt;&gt;"",INDEX(職員マスタ!$H$6:$H$405,$AP2028)&lt;$AQ2028))),"対象月が時短期間外／","")&amp;IF(AND(INDEX(職員マスタ!$K$6:$K$405,$AP2028)&lt;&gt;"",N($W2028)&gt;0,INDEX(職員マスタ!$K$6:$K$405,$AP2028)&lt;&gt;$W2028),"標準報酬月額が申請書と相違（台帳"&amp;TEXT(INDEX(職員マスタ!$K$6:$K$405,$AP2028),"#,##0")&amp;"円／申請書"&amp;TEXT($W2028,"#,##0")&amp;"円）／","")&amp;IF(AND(INDEX(職員マスタ!$F$6:$F$405,$AP2028)&lt;&gt;"",$AQ2028&lt;&gt;"",INDEX(職員マスタ!$F$6:$F$405,$AP2028)&lt;$AQ2028),"対象月に子が2歳到達済／","")&amp;IF(AND($H2028&lt;&gt;"",INDEX(職員マスタ!$B$6:$B$405,$AP2028)&lt;&gt;"",SUBSTITUTE(SUBSTITUTE($H2028," ","")," ","")&lt;&gt;SUBSTITUTE(SUBSTITUTE(INDEX(職員マスタ!$B$6:$B$405,$AP2028)," ","")," ","")),"氏名がマスタと相違／","")&amp;IF(AND($Q2028&lt;&gt;"",INDEX(職員マスタ!$E$6:$E$405,$AP2028)&lt;&gt;"",$Q2028&lt;&gt;INDEX(職員マスタ!$E$6:$E$405,$AP2028)),"子の生年月日がマスタと相違／","")&amp;IF(AND($L2028&lt;&gt;"",INDEX(職員マスタ!$G$6:$G$405,$AP2028)&lt;&gt;"",$L2028&lt;&gt;INDEX(職員マスタ!$G$6:$G$405,$AP2028)),"時短開始日がマスタと相違／","")&amp;IF(AND($M2028&lt;&gt;"",INDEX(職員マスタ!$H$6:$H$405,$AP2028)&lt;&gt;"",$M2028&lt;&gt;INDEX(職員マスタ!$H$6:$H$405,$AP2028)),"時短終了日がマスタと相違／","")))&amp;IF(AND($B2028&lt;&gt;"",$E2028=""),"報酬額が未入力／","")&amp;IF(N($U2028)&gt;0,"申請書に入力エラーが残っています／","")&amp;IF(AND($B2028&lt;&gt;"",$AQ2028&lt;&gt;""),IF(COUNTIFS($B$6:$B$3005,$B2028,$C$6:$C$3005,$C2028,$D$6:$D$3005,$D2028)&gt;1,"同じ月の請求が重複しています／",""),"")&amp;IF(AND(N($E2028)&gt;0,$AB2028&lt;&gt;"",$AB2028&lt;&gt;"×",$AE2028=0,$AD2028=""),"計算額が下限以下のため不支給／",""))</f>
        <v/>
      </c>
      <c r="AN2028" s="12" t="n"/>
      <c r="AO2028" s="14">
        <f>IF($AF2028="保留中",COUNTIF($AF$6:$AF2028,"保留中"),"")</f>
        <v/>
      </c>
      <c r="AP2028" s="14">
        <f>IF($AQ2028="","",IF(SUMPRODUCT(MAX((職員マスタ!$A$6:$A$405=$B2028)*(((職員マスタ!$G$6:$G$405="")+(職員マスタ!$G$6:$G$405&lt;=EOMONTH($AQ2028,0)))&gt;0)*(((職員マスタ!$H$6:$H$405="")+(職員マスタ!$H$6:$H$405&gt;=$AQ2028))&gt;0)*(ROW(職員マスタ!$A$6:$A$405)-5)))&gt;0,SUMPRODUCT(MAX((職員マスタ!$A$6:$A$405=$B2028)*(((職員マスタ!$G$6:$G$405="")+(職員マスタ!$G$6:$G$405&lt;=EOMONTH($AQ2028,0)))&gt;0)*(((職員マスタ!$H$6:$H$405="")+(職員マスタ!$H$6:$H$405&gt;=$AQ2028))&gt;0)*(ROW(職員マスタ!$A$6:$A$405)-5))),IFERROR(MATCH($B2028,職員マスタ!$A$6:$A$405,0),"")))</f>
        <v/>
      </c>
      <c r="AQ2028" s="16">
        <f>IF(OR($B2028="",$C2028="",$D2028=""),"",DATE($C2028+2018,$D2028,1))</f>
        <v/>
      </c>
    </row>
    <row r="2029">
      <c r="A2029" s="11" t="n"/>
      <c r="B2029" s="12" t="n"/>
      <c r="C2029" s="12" t="n"/>
      <c r="D2029" s="12" t="n"/>
      <c r="E2029" s="13" t="n"/>
      <c r="F2029" s="12" t="n"/>
      <c r="G2029" s="13" t="n"/>
      <c r="H2029" s="12" t="n"/>
      <c r="I2029" s="12" t="n"/>
      <c r="J2029" s="12" t="n"/>
      <c r="K2029" s="12" t="n"/>
      <c r="L2029" s="11" t="n"/>
      <c r="M2029" s="11" t="n"/>
      <c r="N2029" s="11" t="n"/>
      <c r="O2029" s="11" t="n"/>
      <c r="P2029" s="12" t="n"/>
      <c r="Q2029" s="11" t="n"/>
      <c r="R2029" s="12" t="n"/>
      <c r="S2029" s="11" t="n"/>
      <c r="T2029" s="12" t="n"/>
      <c r="U2029" s="12" t="n"/>
      <c r="V2029" s="12" t="n"/>
      <c r="W2029" s="13" t="n"/>
      <c r="X2029" s="14">
        <f>IF($AP2029="",IF($B2029="","",$H2029),IF(INDEX(職員マスタ!$B$6:$B$405,$AP2029)="",$H2029,INDEX(職員マスタ!$B$6:$B$405,$AP2029)))</f>
        <v/>
      </c>
      <c r="Y2029" s="14">
        <f>IF($AP2029="",IF($B2029="","",$R2029),IF(INDEX(職員マスタ!$C$6:$C$405,$AP2029)="",$R2029,INDEX(職員マスタ!$C$6:$C$405,$AP2029)))</f>
        <v/>
      </c>
      <c r="Z2029" s="14">
        <f>IF($AQ2029="","","R"&amp;$C2029&amp;"."&amp;$D2029)</f>
        <v/>
      </c>
      <c r="AA2029" s="15">
        <f>IF(IF($AP2029="",FALSE,INDEX(職員マスタ!$K$6:$K$405,$AP2029)&lt;&gt;""),INDEX(職員マスタ!$K$6:$K$405,$AP2029),IF(N($W2029)&gt;0,$W2029,""))</f>
        <v/>
      </c>
      <c r="AB2029" s="14">
        <f>IF(OR($E2029="",$AA2029=""),"",IF($E2029&gt;=$AA2029,"×",IF($E2029&gt;=$AA2029*設定!$C$5,"△","○")))</f>
        <v/>
      </c>
      <c r="AC2029" s="15">
        <f>IF($AB2029="","",IF($AB2029="×",0,IF($AB2029="○",ROUNDDOWN($E2029*設定!$C$4,0),ROUNDDOWN($E2029*ROUND((9*$AA2029-9*$E2029)/(10*$E2029),4),0))))</f>
        <v/>
      </c>
      <c r="AD2029" s="13" t="n"/>
      <c r="AE2029" s="15">
        <f>IF($B2029="","",IF($AD2029&lt;&gt;"",$AD2029,IF($AC2029="","",IF($AC2029&lt;=設定!$C$3,0,$AC2029))))</f>
        <v/>
      </c>
      <c r="AF2029" s="14">
        <f>IF($B2029="","",IF(AND($AG2029&lt;&gt;"",$AI2029="",$AL2029=""),"保留中",IF($AL2029&lt;&gt;"",IF(N($AE2029)&gt;0,"支給済","不支給"),IF($AE2029="","要確認",IF($AE2029=0,"不支給","未処理")))))</f>
        <v/>
      </c>
      <c r="AG2029" s="12" t="n"/>
      <c r="AH2029" s="11" t="n"/>
      <c r="AI2029" s="11" t="n"/>
      <c r="AJ2029" s="11" t="n"/>
      <c r="AK2029" s="14">
        <f>IF(AND($AF2029="保留中",$AH2029&lt;&gt;""),TODAY()-$AH2029,"")</f>
        <v/>
      </c>
      <c r="AL2029" s="12" t="n"/>
      <c r="AM2029" s="14">
        <f>IF($B2029="","",IF($AQ2029="","対象年月が未入力／","")&amp;IF($B2029="","",IF($AP2029="","職員マスタに未登録の職員番号／",IF($AA2029="","標準報酬月額が未登録／","")&amp;IF(AND($AQ2029&lt;&gt;"",OR(AND(INDEX(職員マスタ!$G$6:$G$405,$AP2029)&lt;&gt;"",INDEX(職員マスタ!$G$6:$G$405,$AP2029)&gt;EOMONTH($AQ2029,0)),AND(INDEX(職員マスタ!$H$6:$H$405,$AP2029)&lt;&gt;"",INDEX(職員マスタ!$H$6:$H$405,$AP2029)&lt;$AQ2029))),"対象月が時短期間外／","")&amp;IF(AND(INDEX(職員マスタ!$K$6:$K$405,$AP2029)&lt;&gt;"",N($W2029)&gt;0,INDEX(職員マスタ!$K$6:$K$405,$AP2029)&lt;&gt;$W2029),"標準報酬月額が申請書と相違（台帳"&amp;TEXT(INDEX(職員マスタ!$K$6:$K$405,$AP2029),"#,##0")&amp;"円／申請書"&amp;TEXT($W2029,"#,##0")&amp;"円）／","")&amp;IF(AND(INDEX(職員マスタ!$F$6:$F$405,$AP2029)&lt;&gt;"",$AQ2029&lt;&gt;"",INDEX(職員マスタ!$F$6:$F$405,$AP2029)&lt;$AQ2029),"対象月に子が2歳到達済／","")&amp;IF(AND($H2029&lt;&gt;"",INDEX(職員マスタ!$B$6:$B$405,$AP2029)&lt;&gt;"",SUBSTITUTE(SUBSTITUTE($H2029," ","")," ","")&lt;&gt;SUBSTITUTE(SUBSTITUTE(INDEX(職員マスタ!$B$6:$B$405,$AP2029)," ","")," ","")),"氏名がマスタと相違／","")&amp;IF(AND($Q2029&lt;&gt;"",INDEX(職員マスタ!$E$6:$E$405,$AP2029)&lt;&gt;"",$Q2029&lt;&gt;INDEX(職員マスタ!$E$6:$E$405,$AP2029)),"子の生年月日がマスタと相違／","")&amp;IF(AND($L2029&lt;&gt;"",INDEX(職員マスタ!$G$6:$G$405,$AP2029)&lt;&gt;"",$L2029&lt;&gt;INDEX(職員マスタ!$G$6:$G$405,$AP2029)),"時短開始日がマスタと相違／","")&amp;IF(AND($M2029&lt;&gt;"",INDEX(職員マスタ!$H$6:$H$405,$AP2029)&lt;&gt;"",$M2029&lt;&gt;INDEX(職員マスタ!$H$6:$H$405,$AP2029)),"時短終了日がマスタと相違／","")))&amp;IF(AND($B2029&lt;&gt;"",$E2029=""),"報酬額が未入力／","")&amp;IF(N($U2029)&gt;0,"申請書に入力エラーが残っています／","")&amp;IF(AND($B2029&lt;&gt;"",$AQ2029&lt;&gt;""),IF(COUNTIFS($B$6:$B$3005,$B2029,$C$6:$C$3005,$C2029,$D$6:$D$3005,$D2029)&gt;1,"同じ月の請求が重複しています／",""),"")&amp;IF(AND(N($E2029)&gt;0,$AB2029&lt;&gt;"",$AB2029&lt;&gt;"×",$AE2029=0,$AD2029=""),"計算額が下限以下のため不支給／",""))</f>
        <v/>
      </c>
      <c r="AN2029" s="12" t="n"/>
      <c r="AO2029" s="14">
        <f>IF($AF2029="保留中",COUNTIF($AF$6:$AF2029,"保留中"),"")</f>
        <v/>
      </c>
      <c r="AP2029" s="14">
        <f>IF($AQ2029="","",IF(SUMPRODUCT(MAX((職員マスタ!$A$6:$A$405=$B2029)*(((職員マスタ!$G$6:$G$405="")+(職員マスタ!$G$6:$G$405&lt;=EOMONTH($AQ2029,0)))&gt;0)*(((職員マスタ!$H$6:$H$405="")+(職員マスタ!$H$6:$H$405&gt;=$AQ2029))&gt;0)*(ROW(職員マスタ!$A$6:$A$405)-5)))&gt;0,SUMPRODUCT(MAX((職員マスタ!$A$6:$A$405=$B2029)*(((職員マスタ!$G$6:$G$405="")+(職員マスタ!$G$6:$G$405&lt;=EOMONTH($AQ2029,0)))&gt;0)*(((職員マスタ!$H$6:$H$405="")+(職員マスタ!$H$6:$H$405&gt;=$AQ2029))&gt;0)*(ROW(職員マスタ!$A$6:$A$405)-5))),IFERROR(MATCH($B2029,職員マスタ!$A$6:$A$405,0),"")))</f>
        <v/>
      </c>
      <c r="AQ2029" s="16">
        <f>IF(OR($B2029="",$C2029="",$D2029=""),"",DATE($C2029+2018,$D2029,1))</f>
        <v/>
      </c>
    </row>
    <row r="2030">
      <c r="A2030" s="11" t="n"/>
      <c r="B2030" s="12" t="n"/>
      <c r="C2030" s="12" t="n"/>
      <c r="D2030" s="12" t="n"/>
      <c r="E2030" s="13" t="n"/>
      <c r="F2030" s="12" t="n"/>
      <c r="G2030" s="13" t="n"/>
      <c r="H2030" s="12" t="n"/>
      <c r="I2030" s="12" t="n"/>
      <c r="J2030" s="12" t="n"/>
      <c r="K2030" s="12" t="n"/>
      <c r="L2030" s="11" t="n"/>
      <c r="M2030" s="11" t="n"/>
      <c r="N2030" s="11" t="n"/>
      <c r="O2030" s="11" t="n"/>
      <c r="P2030" s="12" t="n"/>
      <c r="Q2030" s="11" t="n"/>
      <c r="R2030" s="12" t="n"/>
      <c r="S2030" s="11" t="n"/>
      <c r="T2030" s="12" t="n"/>
      <c r="U2030" s="12" t="n"/>
      <c r="V2030" s="12" t="n"/>
      <c r="W2030" s="13" t="n"/>
      <c r="X2030" s="14">
        <f>IF($AP2030="",IF($B2030="","",$H2030),IF(INDEX(職員マスタ!$B$6:$B$405,$AP2030)="",$H2030,INDEX(職員マスタ!$B$6:$B$405,$AP2030)))</f>
        <v/>
      </c>
      <c r="Y2030" s="14">
        <f>IF($AP2030="",IF($B2030="","",$R2030),IF(INDEX(職員マスタ!$C$6:$C$405,$AP2030)="",$R2030,INDEX(職員マスタ!$C$6:$C$405,$AP2030)))</f>
        <v/>
      </c>
      <c r="Z2030" s="14">
        <f>IF($AQ2030="","","R"&amp;$C2030&amp;"."&amp;$D2030)</f>
        <v/>
      </c>
      <c r="AA2030" s="15">
        <f>IF(IF($AP2030="",FALSE,INDEX(職員マスタ!$K$6:$K$405,$AP2030)&lt;&gt;""),INDEX(職員マスタ!$K$6:$K$405,$AP2030),IF(N($W2030)&gt;0,$W2030,""))</f>
        <v/>
      </c>
      <c r="AB2030" s="14">
        <f>IF(OR($E2030="",$AA2030=""),"",IF($E2030&gt;=$AA2030,"×",IF($E2030&gt;=$AA2030*設定!$C$5,"△","○")))</f>
        <v/>
      </c>
      <c r="AC2030" s="15">
        <f>IF($AB2030="","",IF($AB2030="×",0,IF($AB2030="○",ROUNDDOWN($E2030*設定!$C$4,0),ROUNDDOWN($E2030*ROUND((9*$AA2030-9*$E2030)/(10*$E2030),4),0))))</f>
        <v/>
      </c>
      <c r="AD2030" s="13" t="n"/>
      <c r="AE2030" s="15">
        <f>IF($B2030="","",IF($AD2030&lt;&gt;"",$AD2030,IF($AC2030="","",IF($AC2030&lt;=設定!$C$3,0,$AC2030))))</f>
        <v/>
      </c>
      <c r="AF2030" s="14">
        <f>IF($B2030="","",IF(AND($AG2030&lt;&gt;"",$AI2030="",$AL2030=""),"保留中",IF($AL2030&lt;&gt;"",IF(N($AE2030)&gt;0,"支給済","不支給"),IF($AE2030="","要確認",IF($AE2030=0,"不支給","未処理")))))</f>
        <v/>
      </c>
      <c r="AG2030" s="12" t="n"/>
      <c r="AH2030" s="11" t="n"/>
      <c r="AI2030" s="11" t="n"/>
      <c r="AJ2030" s="11" t="n"/>
      <c r="AK2030" s="14">
        <f>IF(AND($AF2030="保留中",$AH2030&lt;&gt;""),TODAY()-$AH2030,"")</f>
        <v/>
      </c>
      <c r="AL2030" s="12" t="n"/>
      <c r="AM2030" s="14">
        <f>IF($B2030="","",IF($AQ2030="","対象年月が未入力／","")&amp;IF($B2030="","",IF($AP2030="","職員マスタに未登録の職員番号／",IF($AA2030="","標準報酬月額が未登録／","")&amp;IF(AND($AQ2030&lt;&gt;"",OR(AND(INDEX(職員マスタ!$G$6:$G$405,$AP2030)&lt;&gt;"",INDEX(職員マスタ!$G$6:$G$405,$AP2030)&gt;EOMONTH($AQ2030,0)),AND(INDEX(職員マスタ!$H$6:$H$405,$AP2030)&lt;&gt;"",INDEX(職員マスタ!$H$6:$H$405,$AP2030)&lt;$AQ2030))),"対象月が時短期間外／","")&amp;IF(AND(INDEX(職員マスタ!$K$6:$K$405,$AP2030)&lt;&gt;"",N($W2030)&gt;0,INDEX(職員マスタ!$K$6:$K$405,$AP2030)&lt;&gt;$W2030),"標準報酬月額が申請書と相違（台帳"&amp;TEXT(INDEX(職員マスタ!$K$6:$K$405,$AP2030),"#,##0")&amp;"円／申請書"&amp;TEXT($W2030,"#,##0")&amp;"円）／","")&amp;IF(AND(INDEX(職員マスタ!$F$6:$F$405,$AP2030)&lt;&gt;"",$AQ2030&lt;&gt;"",INDEX(職員マスタ!$F$6:$F$405,$AP2030)&lt;$AQ2030),"対象月に子が2歳到達済／","")&amp;IF(AND($H2030&lt;&gt;"",INDEX(職員マスタ!$B$6:$B$405,$AP2030)&lt;&gt;"",SUBSTITUTE(SUBSTITUTE($H2030," ","")," ","")&lt;&gt;SUBSTITUTE(SUBSTITUTE(INDEX(職員マスタ!$B$6:$B$405,$AP2030)," ","")," ","")),"氏名がマスタと相違／","")&amp;IF(AND($Q2030&lt;&gt;"",INDEX(職員マスタ!$E$6:$E$405,$AP2030)&lt;&gt;"",$Q2030&lt;&gt;INDEX(職員マスタ!$E$6:$E$405,$AP2030)),"子の生年月日がマスタと相違／","")&amp;IF(AND($L2030&lt;&gt;"",INDEX(職員マスタ!$G$6:$G$405,$AP2030)&lt;&gt;"",$L2030&lt;&gt;INDEX(職員マスタ!$G$6:$G$405,$AP2030)),"時短開始日がマスタと相違／","")&amp;IF(AND($M2030&lt;&gt;"",INDEX(職員マスタ!$H$6:$H$405,$AP2030)&lt;&gt;"",$M2030&lt;&gt;INDEX(職員マスタ!$H$6:$H$405,$AP2030)),"時短終了日がマスタと相違／","")))&amp;IF(AND($B2030&lt;&gt;"",$E2030=""),"報酬額が未入力／","")&amp;IF(N($U2030)&gt;0,"申請書に入力エラーが残っています／","")&amp;IF(AND($B2030&lt;&gt;"",$AQ2030&lt;&gt;""),IF(COUNTIFS($B$6:$B$3005,$B2030,$C$6:$C$3005,$C2030,$D$6:$D$3005,$D2030)&gt;1,"同じ月の請求が重複しています／",""),"")&amp;IF(AND(N($E2030)&gt;0,$AB2030&lt;&gt;"",$AB2030&lt;&gt;"×",$AE2030=0,$AD2030=""),"計算額が下限以下のため不支給／",""))</f>
        <v/>
      </c>
      <c r="AN2030" s="12" t="n"/>
      <c r="AO2030" s="14">
        <f>IF($AF2030="保留中",COUNTIF($AF$6:$AF2030,"保留中"),"")</f>
        <v/>
      </c>
      <c r="AP2030" s="14">
        <f>IF($AQ2030="","",IF(SUMPRODUCT(MAX((職員マスタ!$A$6:$A$405=$B2030)*(((職員マスタ!$G$6:$G$405="")+(職員マスタ!$G$6:$G$405&lt;=EOMONTH($AQ2030,0)))&gt;0)*(((職員マスタ!$H$6:$H$405="")+(職員マスタ!$H$6:$H$405&gt;=$AQ2030))&gt;0)*(ROW(職員マスタ!$A$6:$A$405)-5)))&gt;0,SUMPRODUCT(MAX((職員マスタ!$A$6:$A$405=$B2030)*(((職員マスタ!$G$6:$G$405="")+(職員マスタ!$G$6:$G$405&lt;=EOMONTH($AQ2030,0)))&gt;0)*(((職員マスタ!$H$6:$H$405="")+(職員マスタ!$H$6:$H$405&gt;=$AQ2030))&gt;0)*(ROW(職員マスタ!$A$6:$A$405)-5))),IFERROR(MATCH($B2030,職員マスタ!$A$6:$A$405,0),"")))</f>
        <v/>
      </c>
      <c r="AQ2030" s="16">
        <f>IF(OR($B2030="",$C2030="",$D2030=""),"",DATE($C2030+2018,$D2030,1))</f>
        <v/>
      </c>
    </row>
    <row r="2031">
      <c r="A2031" s="11" t="n"/>
      <c r="B2031" s="12" t="n"/>
      <c r="C2031" s="12" t="n"/>
      <c r="D2031" s="12" t="n"/>
      <c r="E2031" s="13" t="n"/>
      <c r="F2031" s="12" t="n"/>
      <c r="G2031" s="13" t="n"/>
      <c r="H2031" s="12" t="n"/>
      <c r="I2031" s="12" t="n"/>
      <c r="J2031" s="12" t="n"/>
      <c r="K2031" s="12" t="n"/>
      <c r="L2031" s="11" t="n"/>
      <c r="M2031" s="11" t="n"/>
      <c r="N2031" s="11" t="n"/>
      <c r="O2031" s="11" t="n"/>
      <c r="P2031" s="12" t="n"/>
      <c r="Q2031" s="11" t="n"/>
      <c r="R2031" s="12" t="n"/>
      <c r="S2031" s="11" t="n"/>
      <c r="T2031" s="12" t="n"/>
      <c r="U2031" s="12" t="n"/>
      <c r="V2031" s="12" t="n"/>
      <c r="W2031" s="13" t="n"/>
      <c r="X2031" s="14">
        <f>IF($AP2031="",IF($B2031="","",$H2031),IF(INDEX(職員マスタ!$B$6:$B$405,$AP2031)="",$H2031,INDEX(職員マスタ!$B$6:$B$405,$AP2031)))</f>
        <v/>
      </c>
      <c r="Y2031" s="14">
        <f>IF($AP2031="",IF($B2031="","",$R2031),IF(INDEX(職員マスタ!$C$6:$C$405,$AP2031)="",$R2031,INDEX(職員マスタ!$C$6:$C$405,$AP2031)))</f>
        <v/>
      </c>
      <c r="Z2031" s="14">
        <f>IF($AQ2031="","","R"&amp;$C2031&amp;"."&amp;$D2031)</f>
        <v/>
      </c>
      <c r="AA2031" s="15">
        <f>IF(IF($AP2031="",FALSE,INDEX(職員マスタ!$K$6:$K$405,$AP2031)&lt;&gt;""),INDEX(職員マスタ!$K$6:$K$405,$AP2031),IF(N($W2031)&gt;0,$W2031,""))</f>
        <v/>
      </c>
      <c r="AB2031" s="14">
        <f>IF(OR($E2031="",$AA2031=""),"",IF($E2031&gt;=$AA2031,"×",IF($E2031&gt;=$AA2031*設定!$C$5,"△","○")))</f>
        <v/>
      </c>
      <c r="AC2031" s="15">
        <f>IF($AB2031="","",IF($AB2031="×",0,IF($AB2031="○",ROUNDDOWN($E2031*設定!$C$4,0),ROUNDDOWN($E2031*ROUND((9*$AA2031-9*$E2031)/(10*$E2031),4),0))))</f>
        <v/>
      </c>
      <c r="AD2031" s="13" t="n"/>
      <c r="AE2031" s="15">
        <f>IF($B2031="","",IF($AD2031&lt;&gt;"",$AD2031,IF($AC2031="","",IF($AC2031&lt;=設定!$C$3,0,$AC2031))))</f>
        <v/>
      </c>
      <c r="AF2031" s="14">
        <f>IF($B2031="","",IF(AND($AG2031&lt;&gt;"",$AI2031="",$AL2031=""),"保留中",IF($AL2031&lt;&gt;"",IF(N($AE2031)&gt;0,"支給済","不支給"),IF($AE2031="","要確認",IF($AE2031=0,"不支給","未処理")))))</f>
        <v/>
      </c>
      <c r="AG2031" s="12" t="n"/>
      <c r="AH2031" s="11" t="n"/>
      <c r="AI2031" s="11" t="n"/>
      <c r="AJ2031" s="11" t="n"/>
      <c r="AK2031" s="14">
        <f>IF(AND($AF2031="保留中",$AH2031&lt;&gt;""),TODAY()-$AH2031,"")</f>
        <v/>
      </c>
      <c r="AL2031" s="12" t="n"/>
      <c r="AM2031" s="14">
        <f>IF($B2031="","",IF($AQ2031="","対象年月が未入力／","")&amp;IF($B2031="","",IF($AP2031="","職員マスタに未登録の職員番号／",IF($AA2031="","標準報酬月額が未登録／","")&amp;IF(AND($AQ2031&lt;&gt;"",OR(AND(INDEX(職員マスタ!$G$6:$G$405,$AP2031)&lt;&gt;"",INDEX(職員マスタ!$G$6:$G$405,$AP2031)&gt;EOMONTH($AQ2031,0)),AND(INDEX(職員マスタ!$H$6:$H$405,$AP2031)&lt;&gt;"",INDEX(職員マスタ!$H$6:$H$405,$AP2031)&lt;$AQ2031))),"対象月が時短期間外／","")&amp;IF(AND(INDEX(職員マスタ!$K$6:$K$405,$AP2031)&lt;&gt;"",N($W2031)&gt;0,INDEX(職員マスタ!$K$6:$K$405,$AP2031)&lt;&gt;$W2031),"標準報酬月額が申請書と相違（台帳"&amp;TEXT(INDEX(職員マスタ!$K$6:$K$405,$AP2031),"#,##0")&amp;"円／申請書"&amp;TEXT($W2031,"#,##0")&amp;"円）／","")&amp;IF(AND(INDEX(職員マスタ!$F$6:$F$405,$AP2031)&lt;&gt;"",$AQ2031&lt;&gt;"",INDEX(職員マスタ!$F$6:$F$405,$AP2031)&lt;$AQ2031),"対象月に子が2歳到達済／","")&amp;IF(AND($H2031&lt;&gt;"",INDEX(職員マスタ!$B$6:$B$405,$AP2031)&lt;&gt;"",SUBSTITUTE(SUBSTITUTE($H2031," ","")," ","")&lt;&gt;SUBSTITUTE(SUBSTITUTE(INDEX(職員マスタ!$B$6:$B$405,$AP2031)," ","")," ","")),"氏名がマスタと相違／","")&amp;IF(AND($Q2031&lt;&gt;"",INDEX(職員マスタ!$E$6:$E$405,$AP2031)&lt;&gt;"",$Q2031&lt;&gt;INDEX(職員マスタ!$E$6:$E$405,$AP2031)),"子の生年月日がマスタと相違／","")&amp;IF(AND($L2031&lt;&gt;"",INDEX(職員マスタ!$G$6:$G$405,$AP2031)&lt;&gt;"",$L2031&lt;&gt;INDEX(職員マスタ!$G$6:$G$405,$AP2031)),"時短開始日がマスタと相違／","")&amp;IF(AND($M2031&lt;&gt;"",INDEX(職員マスタ!$H$6:$H$405,$AP2031)&lt;&gt;"",$M2031&lt;&gt;INDEX(職員マスタ!$H$6:$H$405,$AP2031)),"時短終了日がマスタと相違／","")))&amp;IF(AND($B2031&lt;&gt;"",$E2031=""),"報酬額が未入力／","")&amp;IF(N($U2031)&gt;0,"申請書に入力エラーが残っています／","")&amp;IF(AND($B2031&lt;&gt;"",$AQ2031&lt;&gt;""),IF(COUNTIFS($B$6:$B$3005,$B2031,$C$6:$C$3005,$C2031,$D$6:$D$3005,$D2031)&gt;1,"同じ月の請求が重複しています／",""),"")&amp;IF(AND(N($E2031)&gt;0,$AB2031&lt;&gt;"",$AB2031&lt;&gt;"×",$AE2031=0,$AD2031=""),"計算額が下限以下のため不支給／",""))</f>
        <v/>
      </c>
      <c r="AN2031" s="12" t="n"/>
      <c r="AO2031" s="14">
        <f>IF($AF2031="保留中",COUNTIF($AF$6:$AF2031,"保留中"),"")</f>
        <v/>
      </c>
      <c r="AP2031" s="14">
        <f>IF($AQ2031="","",IF(SUMPRODUCT(MAX((職員マスタ!$A$6:$A$405=$B2031)*(((職員マスタ!$G$6:$G$405="")+(職員マスタ!$G$6:$G$405&lt;=EOMONTH($AQ2031,0)))&gt;0)*(((職員マスタ!$H$6:$H$405="")+(職員マスタ!$H$6:$H$405&gt;=$AQ2031))&gt;0)*(ROW(職員マスタ!$A$6:$A$405)-5)))&gt;0,SUMPRODUCT(MAX((職員マスタ!$A$6:$A$405=$B2031)*(((職員マスタ!$G$6:$G$405="")+(職員マスタ!$G$6:$G$405&lt;=EOMONTH($AQ2031,0)))&gt;0)*(((職員マスタ!$H$6:$H$405="")+(職員マスタ!$H$6:$H$405&gt;=$AQ2031))&gt;0)*(ROW(職員マスタ!$A$6:$A$405)-5))),IFERROR(MATCH($B2031,職員マスタ!$A$6:$A$405,0),"")))</f>
        <v/>
      </c>
      <c r="AQ2031" s="16">
        <f>IF(OR($B2031="",$C2031="",$D2031=""),"",DATE($C2031+2018,$D2031,1))</f>
        <v/>
      </c>
    </row>
    <row r="2032">
      <c r="A2032" s="11" t="n"/>
      <c r="B2032" s="12" t="n"/>
      <c r="C2032" s="12" t="n"/>
      <c r="D2032" s="12" t="n"/>
      <c r="E2032" s="13" t="n"/>
      <c r="F2032" s="12" t="n"/>
      <c r="G2032" s="13" t="n"/>
      <c r="H2032" s="12" t="n"/>
      <c r="I2032" s="12" t="n"/>
      <c r="J2032" s="12" t="n"/>
      <c r="K2032" s="12" t="n"/>
      <c r="L2032" s="11" t="n"/>
      <c r="M2032" s="11" t="n"/>
      <c r="N2032" s="11" t="n"/>
      <c r="O2032" s="11" t="n"/>
      <c r="P2032" s="12" t="n"/>
      <c r="Q2032" s="11" t="n"/>
      <c r="R2032" s="12" t="n"/>
      <c r="S2032" s="11" t="n"/>
      <c r="T2032" s="12" t="n"/>
      <c r="U2032" s="12" t="n"/>
      <c r="V2032" s="12" t="n"/>
      <c r="W2032" s="13" t="n"/>
      <c r="X2032" s="14">
        <f>IF($AP2032="",IF($B2032="","",$H2032),IF(INDEX(職員マスタ!$B$6:$B$405,$AP2032)="",$H2032,INDEX(職員マスタ!$B$6:$B$405,$AP2032)))</f>
        <v/>
      </c>
      <c r="Y2032" s="14">
        <f>IF($AP2032="",IF($B2032="","",$R2032),IF(INDEX(職員マスタ!$C$6:$C$405,$AP2032)="",$R2032,INDEX(職員マスタ!$C$6:$C$405,$AP2032)))</f>
        <v/>
      </c>
      <c r="Z2032" s="14">
        <f>IF($AQ2032="","","R"&amp;$C2032&amp;"."&amp;$D2032)</f>
        <v/>
      </c>
      <c r="AA2032" s="15">
        <f>IF(IF($AP2032="",FALSE,INDEX(職員マスタ!$K$6:$K$405,$AP2032)&lt;&gt;""),INDEX(職員マスタ!$K$6:$K$405,$AP2032),IF(N($W2032)&gt;0,$W2032,""))</f>
        <v/>
      </c>
      <c r="AB2032" s="14">
        <f>IF(OR($E2032="",$AA2032=""),"",IF($E2032&gt;=$AA2032,"×",IF($E2032&gt;=$AA2032*設定!$C$5,"△","○")))</f>
        <v/>
      </c>
      <c r="AC2032" s="15">
        <f>IF($AB2032="","",IF($AB2032="×",0,IF($AB2032="○",ROUNDDOWN($E2032*設定!$C$4,0),ROUNDDOWN($E2032*ROUND((9*$AA2032-9*$E2032)/(10*$E2032),4),0))))</f>
        <v/>
      </c>
      <c r="AD2032" s="13" t="n"/>
      <c r="AE2032" s="15">
        <f>IF($B2032="","",IF($AD2032&lt;&gt;"",$AD2032,IF($AC2032="","",IF($AC2032&lt;=設定!$C$3,0,$AC2032))))</f>
        <v/>
      </c>
      <c r="AF2032" s="14">
        <f>IF($B2032="","",IF(AND($AG2032&lt;&gt;"",$AI2032="",$AL2032=""),"保留中",IF($AL2032&lt;&gt;"",IF(N($AE2032)&gt;0,"支給済","不支給"),IF($AE2032="","要確認",IF($AE2032=0,"不支給","未処理")))))</f>
        <v/>
      </c>
      <c r="AG2032" s="12" t="n"/>
      <c r="AH2032" s="11" t="n"/>
      <c r="AI2032" s="11" t="n"/>
      <c r="AJ2032" s="11" t="n"/>
      <c r="AK2032" s="14">
        <f>IF(AND($AF2032="保留中",$AH2032&lt;&gt;""),TODAY()-$AH2032,"")</f>
        <v/>
      </c>
      <c r="AL2032" s="12" t="n"/>
      <c r="AM2032" s="14">
        <f>IF($B2032="","",IF($AQ2032="","対象年月が未入力／","")&amp;IF($B2032="","",IF($AP2032="","職員マスタに未登録の職員番号／",IF($AA2032="","標準報酬月額が未登録／","")&amp;IF(AND($AQ2032&lt;&gt;"",OR(AND(INDEX(職員マスタ!$G$6:$G$405,$AP2032)&lt;&gt;"",INDEX(職員マスタ!$G$6:$G$405,$AP2032)&gt;EOMONTH($AQ2032,0)),AND(INDEX(職員マスタ!$H$6:$H$405,$AP2032)&lt;&gt;"",INDEX(職員マスタ!$H$6:$H$405,$AP2032)&lt;$AQ2032))),"対象月が時短期間外／","")&amp;IF(AND(INDEX(職員マスタ!$K$6:$K$405,$AP2032)&lt;&gt;"",N($W2032)&gt;0,INDEX(職員マスタ!$K$6:$K$405,$AP2032)&lt;&gt;$W2032),"標準報酬月額が申請書と相違（台帳"&amp;TEXT(INDEX(職員マスタ!$K$6:$K$405,$AP2032),"#,##0")&amp;"円／申請書"&amp;TEXT($W2032,"#,##0")&amp;"円）／","")&amp;IF(AND(INDEX(職員マスタ!$F$6:$F$405,$AP2032)&lt;&gt;"",$AQ2032&lt;&gt;"",INDEX(職員マスタ!$F$6:$F$405,$AP2032)&lt;$AQ2032),"対象月に子が2歳到達済／","")&amp;IF(AND($H2032&lt;&gt;"",INDEX(職員マスタ!$B$6:$B$405,$AP2032)&lt;&gt;"",SUBSTITUTE(SUBSTITUTE($H2032," ","")," ","")&lt;&gt;SUBSTITUTE(SUBSTITUTE(INDEX(職員マスタ!$B$6:$B$405,$AP2032)," ","")," ","")),"氏名がマスタと相違／","")&amp;IF(AND($Q2032&lt;&gt;"",INDEX(職員マスタ!$E$6:$E$405,$AP2032)&lt;&gt;"",$Q2032&lt;&gt;INDEX(職員マスタ!$E$6:$E$405,$AP2032)),"子の生年月日がマスタと相違／","")&amp;IF(AND($L2032&lt;&gt;"",INDEX(職員マスタ!$G$6:$G$405,$AP2032)&lt;&gt;"",$L2032&lt;&gt;INDEX(職員マスタ!$G$6:$G$405,$AP2032)),"時短開始日がマスタと相違／","")&amp;IF(AND($M2032&lt;&gt;"",INDEX(職員マスタ!$H$6:$H$405,$AP2032)&lt;&gt;"",$M2032&lt;&gt;INDEX(職員マスタ!$H$6:$H$405,$AP2032)),"時短終了日がマスタと相違／","")))&amp;IF(AND($B2032&lt;&gt;"",$E2032=""),"報酬額が未入力／","")&amp;IF(N($U2032)&gt;0,"申請書に入力エラーが残っています／","")&amp;IF(AND($B2032&lt;&gt;"",$AQ2032&lt;&gt;""),IF(COUNTIFS($B$6:$B$3005,$B2032,$C$6:$C$3005,$C2032,$D$6:$D$3005,$D2032)&gt;1,"同じ月の請求が重複しています／",""),"")&amp;IF(AND(N($E2032)&gt;0,$AB2032&lt;&gt;"",$AB2032&lt;&gt;"×",$AE2032=0,$AD2032=""),"計算額が下限以下のため不支給／",""))</f>
        <v/>
      </c>
      <c r="AN2032" s="12" t="n"/>
      <c r="AO2032" s="14">
        <f>IF($AF2032="保留中",COUNTIF($AF$6:$AF2032,"保留中"),"")</f>
        <v/>
      </c>
      <c r="AP2032" s="14">
        <f>IF($AQ2032="","",IF(SUMPRODUCT(MAX((職員マスタ!$A$6:$A$405=$B2032)*(((職員マスタ!$G$6:$G$405="")+(職員マスタ!$G$6:$G$405&lt;=EOMONTH($AQ2032,0)))&gt;0)*(((職員マスタ!$H$6:$H$405="")+(職員マスタ!$H$6:$H$405&gt;=$AQ2032))&gt;0)*(ROW(職員マスタ!$A$6:$A$405)-5)))&gt;0,SUMPRODUCT(MAX((職員マスタ!$A$6:$A$405=$B2032)*(((職員マスタ!$G$6:$G$405="")+(職員マスタ!$G$6:$G$405&lt;=EOMONTH($AQ2032,0)))&gt;0)*(((職員マスタ!$H$6:$H$405="")+(職員マスタ!$H$6:$H$405&gt;=$AQ2032))&gt;0)*(ROW(職員マスタ!$A$6:$A$405)-5))),IFERROR(MATCH($B2032,職員マスタ!$A$6:$A$405,0),"")))</f>
        <v/>
      </c>
      <c r="AQ2032" s="16">
        <f>IF(OR($B2032="",$C2032="",$D2032=""),"",DATE($C2032+2018,$D2032,1))</f>
        <v/>
      </c>
    </row>
    <row r="2033">
      <c r="A2033" s="11" t="n"/>
      <c r="B2033" s="12" t="n"/>
      <c r="C2033" s="12" t="n"/>
      <c r="D2033" s="12" t="n"/>
      <c r="E2033" s="13" t="n"/>
      <c r="F2033" s="12" t="n"/>
      <c r="G2033" s="13" t="n"/>
      <c r="H2033" s="12" t="n"/>
      <c r="I2033" s="12" t="n"/>
      <c r="J2033" s="12" t="n"/>
      <c r="K2033" s="12" t="n"/>
      <c r="L2033" s="11" t="n"/>
      <c r="M2033" s="11" t="n"/>
      <c r="N2033" s="11" t="n"/>
      <c r="O2033" s="11" t="n"/>
      <c r="P2033" s="12" t="n"/>
      <c r="Q2033" s="11" t="n"/>
      <c r="R2033" s="12" t="n"/>
      <c r="S2033" s="11" t="n"/>
      <c r="T2033" s="12" t="n"/>
      <c r="U2033" s="12" t="n"/>
      <c r="V2033" s="12" t="n"/>
      <c r="W2033" s="13" t="n"/>
      <c r="X2033" s="14">
        <f>IF($AP2033="",IF($B2033="","",$H2033),IF(INDEX(職員マスタ!$B$6:$B$405,$AP2033)="",$H2033,INDEX(職員マスタ!$B$6:$B$405,$AP2033)))</f>
        <v/>
      </c>
      <c r="Y2033" s="14">
        <f>IF($AP2033="",IF($B2033="","",$R2033),IF(INDEX(職員マスタ!$C$6:$C$405,$AP2033)="",$R2033,INDEX(職員マスタ!$C$6:$C$405,$AP2033)))</f>
        <v/>
      </c>
      <c r="Z2033" s="14">
        <f>IF($AQ2033="","","R"&amp;$C2033&amp;"."&amp;$D2033)</f>
        <v/>
      </c>
      <c r="AA2033" s="15">
        <f>IF(IF($AP2033="",FALSE,INDEX(職員マスタ!$K$6:$K$405,$AP2033)&lt;&gt;""),INDEX(職員マスタ!$K$6:$K$405,$AP2033),IF(N($W2033)&gt;0,$W2033,""))</f>
        <v/>
      </c>
      <c r="AB2033" s="14">
        <f>IF(OR($E2033="",$AA2033=""),"",IF($E2033&gt;=$AA2033,"×",IF($E2033&gt;=$AA2033*設定!$C$5,"△","○")))</f>
        <v/>
      </c>
      <c r="AC2033" s="15">
        <f>IF($AB2033="","",IF($AB2033="×",0,IF($AB2033="○",ROUNDDOWN($E2033*設定!$C$4,0),ROUNDDOWN($E2033*ROUND((9*$AA2033-9*$E2033)/(10*$E2033),4),0))))</f>
        <v/>
      </c>
      <c r="AD2033" s="13" t="n"/>
      <c r="AE2033" s="15">
        <f>IF($B2033="","",IF($AD2033&lt;&gt;"",$AD2033,IF($AC2033="","",IF($AC2033&lt;=設定!$C$3,0,$AC2033))))</f>
        <v/>
      </c>
      <c r="AF2033" s="14">
        <f>IF($B2033="","",IF(AND($AG2033&lt;&gt;"",$AI2033="",$AL2033=""),"保留中",IF($AL2033&lt;&gt;"",IF(N($AE2033)&gt;0,"支給済","不支給"),IF($AE2033="","要確認",IF($AE2033=0,"不支給","未処理")))))</f>
        <v/>
      </c>
      <c r="AG2033" s="12" t="n"/>
      <c r="AH2033" s="11" t="n"/>
      <c r="AI2033" s="11" t="n"/>
      <c r="AJ2033" s="11" t="n"/>
      <c r="AK2033" s="14">
        <f>IF(AND($AF2033="保留中",$AH2033&lt;&gt;""),TODAY()-$AH2033,"")</f>
        <v/>
      </c>
      <c r="AL2033" s="12" t="n"/>
      <c r="AM2033" s="14">
        <f>IF($B2033="","",IF($AQ2033="","対象年月が未入力／","")&amp;IF($B2033="","",IF($AP2033="","職員マスタに未登録の職員番号／",IF($AA2033="","標準報酬月額が未登録／","")&amp;IF(AND($AQ2033&lt;&gt;"",OR(AND(INDEX(職員マスタ!$G$6:$G$405,$AP2033)&lt;&gt;"",INDEX(職員マスタ!$G$6:$G$405,$AP2033)&gt;EOMONTH($AQ2033,0)),AND(INDEX(職員マスタ!$H$6:$H$405,$AP2033)&lt;&gt;"",INDEX(職員マスタ!$H$6:$H$405,$AP2033)&lt;$AQ2033))),"対象月が時短期間外／","")&amp;IF(AND(INDEX(職員マスタ!$K$6:$K$405,$AP2033)&lt;&gt;"",N($W2033)&gt;0,INDEX(職員マスタ!$K$6:$K$405,$AP2033)&lt;&gt;$W2033),"標準報酬月額が申請書と相違（台帳"&amp;TEXT(INDEX(職員マスタ!$K$6:$K$405,$AP2033),"#,##0")&amp;"円／申請書"&amp;TEXT($W2033,"#,##0")&amp;"円）／","")&amp;IF(AND(INDEX(職員マスタ!$F$6:$F$405,$AP2033)&lt;&gt;"",$AQ2033&lt;&gt;"",INDEX(職員マスタ!$F$6:$F$405,$AP2033)&lt;$AQ2033),"対象月に子が2歳到達済／","")&amp;IF(AND($H2033&lt;&gt;"",INDEX(職員マスタ!$B$6:$B$405,$AP2033)&lt;&gt;"",SUBSTITUTE(SUBSTITUTE($H2033," ","")," ","")&lt;&gt;SUBSTITUTE(SUBSTITUTE(INDEX(職員マスタ!$B$6:$B$405,$AP2033)," ","")," ","")),"氏名がマスタと相違／","")&amp;IF(AND($Q2033&lt;&gt;"",INDEX(職員マスタ!$E$6:$E$405,$AP2033)&lt;&gt;"",$Q2033&lt;&gt;INDEX(職員マスタ!$E$6:$E$405,$AP2033)),"子の生年月日がマスタと相違／","")&amp;IF(AND($L2033&lt;&gt;"",INDEX(職員マスタ!$G$6:$G$405,$AP2033)&lt;&gt;"",$L2033&lt;&gt;INDEX(職員マスタ!$G$6:$G$405,$AP2033)),"時短開始日がマスタと相違／","")&amp;IF(AND($M2033&lt;&gt;"",INDEX(職員マスタ!$H$6:$H$405,$AP2033)&lt;&gt;"",$M2033&lt;&gt;INDEX(職員マスタ!$H$6:$H$405,$AP2033)),"時短終了日がマスタと相違／","")))&amp;IF(AND($B2033&lt;&gt;"",$E2033=""),"報酬額が未入力／","")&amp;IF(N($U2033)&gt;0,"申請書に入力エラーが残っています／","")&amp;IF(AND($B2033&lt;&gt;"",$AQ2033&lt;&gt;""),IF(COUNTIFS($B$6:$B$3005,$B2033,$C$6:$C$3005,$C2033,$D$6:$D$3005,$D2033)&gt;1,"同じ月の請求が重複しています／",""),"")&amp;IF(AND(N($E2033)&gt;0,$AB2033&lt;&gt;"",$AB2033&lt;&gt;"×",$AE2033=0,$AD2033=""),"計算額が下限以下のため不支給／",""))</f>
        <v/>
      </c>
      <c r="AN2033" s="12" t="n"/>
      <c r="AO2033" s="14">
        <f>IF($AF2033="保留中",COUNTIF($AF$6:$AF2033,"保留中"),"")</f>
        <v/>
      </c>
      <c r="AP2033" s="14">
        <f>IF($AQ2033="","",IF(SUMPRODUCT(MAX((職員マスタ!$A$6:$A$405=$B2033)*(((職員マスタ!$G$6:$G$405="")+(職員マスタ!$G$6:$G$405&lt;=EOMONTH($AQ2033,0)))&gt;0)*(((職員マスタ!$H$6:$H$405="")+(職員マスタ!$H$6:$H$405&gt;=$AQ2033))&gt;0)*(ROW(職員マスタ!$A$6:$A$405)-5)))&gt;0,SUMPRODUCT(MAX((職員マスタ!$A$6:$A$405=$B2033)*(((職員マスタ!$G$6:$G$405="")+(職員マスタ!$G$6:$G$405&lt;=EOMONTH($AQ2033,0)))&gt;0)*(((職員マスタ!$H$6:$H$405="")+(職員マスタ!$H$6:$H$405&gt;=$AQ2033))&gt;0)*(ROW(職員マスタ!$A$6:$A$405)-5))),IFERROR(MATCH($B2033,職員マスタ!$A$6:$A$405,0),"")))</f>
        <v/>
      </c>
      <c r="AQ2033" s="16">
        <f>IF(OR($B2033="",$C2033="",$D2033=""),"",DATE($C2033+2018,$D2033,1))</f>
        <v/>
      </c>
    </row>
    <row r="2034">
      <c r="A2034" s="11" t="n"/>
      <c r="B2034" s="12" t="n"/>
      <c r="C2034" s="12" t="n"/>
      <c r="D2034" s="12" t="n"/>
      <c r="E2034" s="13" t="n"/>
      <c r="F2034" s="12" t="n"/>
      <c r="G2034" s="13" t="n"/>
      <c r="H2034" s="12" t="n"/>
      <c r="I2034" s="12" t="n"/>
      <c r="J2034" s="12" t="n"/>
      <c r="K2034" s="12" t="n"/>
      <c r="L2034" s="11" t="n"/>
      <c r="M2034" s="11" t="n"/>
      <c r="N2034" s="11" t="n"/>
      <c r="O2034" s="11" t="n"/>
      <c r="P2034" s="12" t="n"/>
      <c r="Q2034" s="11" t="n"/>
      <c r="R2034" s="12" t="n"/>
      <c r="S2034" s="11" t="n"/>
      <c r="T2034" s="12" t="n"/>
      <c r="U2034" s="12" t="n"/>
      <c r="V2034" s="12" t="n"/>
      <c r="W2034" s="13" t="n"/>
      <c r="X2034" s="14">
        <f>IF($AP2034="",IF($B2034="","",$H2034),IF(INDEX(職員マスタ!$B$6:$B$405,$AP2034)="",$H2034,INDEX(職員マスタ!$B$6:$B$405,$AP2034)))</f>
        <v/>
      </c>
      <c r="Y2034" s="14">
        <f>IF($AP2034="",IF($B2034="","",$R2034),IF(INDEX(職員マスタ!$C$6:$C$405,$AP2034)="",$R2034,INDEX(職員マスタ!$C$6:$C$405,$AP2034)))</f>
        <v/>
      </c>
      <c r="Z2034" s="14">
        <f>IF($AQ2034="","","R"&amp;$C2034&amp;"."&amp;$D2034)</f>
        <v/>
      </c>
      <c r="AA2034" s="15">
        <f>IF(IF($AP2034="",FALSE,INDEX(職員マスタ!$K$6:$K$405,$AP2034)&lt;&gt;""),INDEX(職員マスタ!$K$6:$K$405,$AP2034),IF(N($W2034)&gt;0,$W2034,""))</f>
        <v/>
      </c>
      <c r="AB2034" s="14">
        <f>IF(OR($E2034="",$AA2034=""),"",IF($E2034&gt;=$AA2034,"×",IF($E2034&gt;=$AA2034*設定!$C$5,"△","○")))</f>
        <v/>
      </c>
      <c r="AC2034" s="15">
        <f>IF($AB2034="","",IF($AB2034="×",0,IF($AB2034="○",ROUNDDOWN($E2034*設定!$C$4,0),ROUNDDOWN($E2034*ROUND((9*$AA2034-9*$E2034)/(10*$E2034),4),0))))</f>
        <v/>
      </c>
      <c r="AD2034" s="13" t="n"/>
      <c r="AE2034" s="15">
        <f>IF($B2034="","",IF($AD2034&lt;&gt;"",$AD2034,IF($AC2034="","",IF($AC2034&lt;=設定!$C$3,0,$AC2034))))</f>
        <v/>
      </c>
      <c r="AF2034" s="14">
        <f>IF($B2034="","",IF(AND($AG2034&lt;&gt;"",$AI2034="",$AL2034=""),"保留中",IF($AL2034&lt;&gt;"",IF(N($AE2034)&gt;0,"支給済","不支給"),IF($AE2034="","要確認",IF($AE2034=0,"不支給","未処理")))))</f>
        <v/>
      </c>
      <c r="AG2034" s="12" t="n"/>
      <c r="AH2034" s="11" t="n"/>
      <c r="AI2034" s="11" t="n"/>
      <c r="AJ2034" s="11" t="n"/>
      <c r="AK2034" s="14">
        <f>IF(AND($AF2034="保留中",$AH2034&lt;&gt;""),TODAY()-$AH2034,"")</f>
        <v/>
      </c>
      <c r="AL2034" s="12" t="n"/>
      <c r="AM2034" s="14">
        <f>IF($B2034="","",IF($AQ2034="","対象年月が未入力／","")&amp;IF($B2034="","",IF($AP2034="","職員マスタに未登録の職員番号／",IF($AA2034="","標準報酬月額が未登録／","")&amp;IF(AND($AQ2034&lt;&gt;"",OR(AND(INDEX(職員マスタ!$G$6:$G$405,$AP2034)&lt;&gt;"",INDEX(職員マスタ!$G$6:$G$405,$AP2034)&gt;EOMONTH($AQ2034,0)),AND(INDEX(職員マスタ!$H$6:$H$405,$AP2034)&lt;&gt;"",INDEX(職員マスタ!$H$6:$H$405,$AP2034)&lt;$AQ2034))),"対象月が時短期間外／","")&amp;IF(AND(INDEX(職員マスタ!$K$6:$K$405,$AP2034)&lt;&gt;"",N($W2034)&gt;0,INDEX(職員マスタ!$K$6:$K$405,$AP2034)&lt;&gt;$W2034),"標準報酬月額が申請書と相違（台帳"&amp;TEXT(INDEX(職員マスタ!$K$6:$K$405,$AP2034),"#,##0")&amp;"円／申請書"&amp;TEXT($W2034,"#,##0")&amp;"円）／","")&amp;IF(AND(INDEX(職員マスタ!$F$6:$F$405,$AP2034)&lt;&gt;"",$AQ2034&lt;&gt;"",INDEX(職員マスタ!$F$6:$F$405,$AP2034)&lt;$AQ2034),"対象月に子が2歳到達済／","")&amp;IF(AND($H2034&lt;&gt;"",INDEX(職員マスタ!$B$6:$B$405,$AP2034)&lt;&gt;"",SUBSTITUTE(SUBSTITUTE($H2034," ","")," ","")&lt;&gt;SUBSTITUTE(SUBSTITUTE(INDEX(職員マスタ!$B$6:$B$405,$AP2034)," ","")," ","")),"氏名がマスタと相違／","")&amp;IF(AND($Q2034&lt;&gt;"",INDEX(職員マスタ!$E$6:$E$405,$AP2034)&lt;&gt;"",$Q2034&lt;&gt;INDEX(職員マスタ!$E$6:$E$405,$AP2034)),"子の生年月日がマスタと相違／","")&amp;IF(AND($L2034&lt;&gt;"",INDEX(職員マスタ!$G$6:$G$405,$AP2034)&lt;&gt;"",$L2034&lt;&gt;INDEX(職員マスタ!$G$6:$G$405,$AP2034)),"時短開始日がマスタと相違／","")&amp;IF(AND($M2034&lt;&gt;"",INDEX(職員マスタ!$H$6:$H$405,$AP2034)&lt;&gt;"",$M2034&lt;&gt;INDEX(職員マスタ!$H$6:$H$405,$AP2034)),"時短終了日がマスタと相違／","")))&amp;IF(AND($B2034&lt;&gt;"",$E2034=""),"報酬額が未入力／","")&amp;IF(N($U2034)&gt;0,"申請書に入力エラーが残っています／","")&amp;IF(AND($B2034&lt;&gt;"",$AQ2034&lt;&gt;""),IF(COUNTIFS($B$6:$B$3005,$B2034,$C$6:$C$3005,$C2034,$D$6:$D$3005,$D2034)&gt;1,"同じ月の請求が重複しています／",""),"")&amp;IF(AND(N($E2034)&gt;0,$AB2034&lt;&gt;"",$AB2034&lt;&gt;"×",$AE2034=0,$AD2034=""),"計算額が下限以下のため不支給／",""))</f>
        <v/>
      </c>
      <c r="AN2034" s="12" t="n"/>
      <c r="AO2034" s="14">
        <f>IF($AF2034="保留中",COUNTIF($AF$6:$AF2034,"保留中"),"")</f>
        <v/>
      </c>
      <c r="AP2034" s="14">
        <f>IF($AQ2034="","",IF(SUMPRODUCT(MAX((職員マスタ!$A$6:$A$405=$B2034)*(((職員マスタ!$G$6:$G$405="")+(職員マスタ!$G$6:$G$405&lt;=EOMONTH($AQ2034,0)))&gt;0)*(((職員マスタ!$H$6:$H$405="")+(職員マスタ!$H$6:$H$405&gt;=$AQ2034))&gt;0)*(ROW(職員マスタ!$A$6:$A$405)-5)))&gt;0,SUMPRODUCT(MAX((職員マスタ!$A$6:$A$405=$B2034)*(((職員マスタ!$G$6:$G$405="")+(職員マスタ!$G$6:$G$405&lt;=EOMONTH($AQ2034,0)))&gt;0)*(((職員マスタ!$H$6:$H$405="")+(職員マスタ!$H$6:$H$405&gt;=$AQ2034))&gt;0)*(ROW(職員マスタ!$A$6:$A$405)-5))),IFERROR(MATCH($B2034,職員マスタ!$A$6:$A$405,0),"")))</f>
        <v/>
      </c>
      <c r="AQ2034" s="16">
        <f>IF(OR($B2034="",$C2034="",$D2034=""),"",DATE($C2034+2018,$D2034,1))</f>
        <v/>
      </c>
    </row>
    <row r="2035">
      <c r="A2035" s="11" t="n"/>
      <c r="B2035" s="12" t="n"/>
      <c r="C2035" s="12" t="n"/>
      <c r="D2035" s="12" t="n"/>
      <c r="E2035" s="13" t="n"/>
      <c r="F2035" s="12" t="n"/>
      <c r="G2035" s="13" t="n"/>
      <c r="H2035" s="12" t="n"/>
      <c r="I2035" s="12" t="n"/>
      <c r="J2035" s="12" t="n"/>
      <c r="K2035" s="12" t="n"/>
      <c r="L2035" s="11" t="n"/>
      <c r="M2035" s="11" t="n"/>
      <c r="N2035" s="11" t="n"/>
      <c r="O2035" s="11" t="n"/>
      <c r="P2035" s="12" t="n"/>
      <c r="Q2035" s="11" t="n"/>
      <c r="R2035" s="12" t="n"/>
      <c r="S2035" s="11" t="n"/>
      <c r="T2035" s="12" t="n"/>
      <c r="U2035" s="12" t="n"/>
      <c r="V2035" s="12" t="n"/>
      <c r="W2035" s="13" t="n"/>
      <c r="X2035" s="14">
        <f>IF($AP2035="",IF($B2035="","",$H2035),IF(INDEX(職員マスタ!$B$6:$B$405,$AP2035)="",$H2035,INDEX(職員マスタ!$B$6:$B$405,$AP2035)))</f>
        <v/>
      </c>
      <c r="Y2035" s="14">
        <f>IF($AP2035="",IF($B2035="","",$R2035),IF(INDEX(職員マスタ!$C$6:$C$405,$AP2035)="",$R2035,INDEX(職員マスタ!$C$6:$C$405,$AP2035)))</f>
        <v/>
      </c>
      <c r="Z2035" s="14">
        <f>IF($AQ2035="","","R"&amp;$C2035&amp;"."&amp;$D2035)</f>
        <v/>
      </c>
      <c r="AA2035" s="15">
        <f>IF(IF($AP2035="",FALSE,INDEX(職員マスタ!$K$6:$K$405,$AP2035)&lt;&gt;""),INDEX(職員マスタ!$K$6:$K$405,$AP2035),IF(N($W2035)&gt;0,$W2035,""))</f>
        <v/>
      </c>
      <c r="AB2035" s="14">
        <f>IF(OR($E2035="",$AA2035=""),"",IF($E2035&gt;=$AA2035,"×",IF($E2035&gt;=$AA2035*設定!$C$5,"△","○")))</f>
        <v/>
      </c>
      <c r="AC2035" s="15">
        <f>IF($AB2035="","",IF($AB2035="×",0,IF($AB2035="○",ROUNDDOWN($E2035*設定!$C$4,0),ROUNDDOWN($E2035*ROUND((9*$AA2035-9*$E2035)/(10*$E2035),4),0))))</f>
        <v/>
      </c>
      <c r="AD2035" s="13" t="n"/>
      <c r="AE2035" s="15">
        <f>IF($B2035="","",IF($AD2035&lt;&gt;"",$AD2035,IF($AC2035="","",IF($AC2035&lt;=設定!$C$3,0,$AC2035))))</f>
        <v/>
      </c>
      <c r="AF2035" s="14">
        <f>IF($B2035="","",IF(AND($AG2035&lt;&gt;"",$AI2035="",$AL2035=""),"保留中",IF($AL2035&lt;&gt;"",IF(N($AE2035)&gt;0,"支給済","不支給"),IF($AE2035="","要確認",IF($AE2035=0,"不支給","未処理")))))</f>
        <v/>
      </c>
      <c r="AG2035" s="12" t="n"/>
      <c r="AH2035" s="11" t="n"/>
      <c r="AI2035" s="11" t="n"/>
      <c r="AJ2035" s="11" t="n"/>
      <c r="AK2035" s="14">
        <f>IF(AND($AF2035="保留中",$AH2035&lt;&gt;""),TODAY()-$AH2035,"")</f>
        <v/>
      </c>
      <c r="AL2035" s="12" t="n"/>
      <c r="AM2035" s="14">
        <f>IF($B2035="","",IF($AQ2035="","対象年月が未入力／","")&amp;IF($B2035="","",IF($AP2035="","職員マスタに未登録の職員番号／",IF($AA2035="","標準報酬月額が未登録／","")&amp;IF(AND($AQ2035&lt;&gt;"",OR(AND(INDEX(職員マスタ!$G$6:$G$405,$AP2035)&lt;&gt;"",INDEX(職員マスタ!$G$6:$G$405,$AP2035)&gt;EOMONTH($AQ2035,0)),AND(INDEX(職員マスタ!$H$6:$H$405,$AP2035)&lt;&gt;"",INDEX(職員マスタ!$H$6:$H$405,$AP2035)&lt;$AQ2035))),"対象月が時短期間外／","")&amp;IF(AND(INDEX(職員マスタ!$K$6:$K$405,$AP2035)&lt;&gt;"",N($W2035)&gt;0,INDEX(職員マスタ!$K$6:$K$405,$AP2035)&lt;&gt;$W2035),"標準報酬月額が申請書と相違（台帳"&amp;TEXT(INDEX(職員マスタ!$K$6:$K$405,$AP2035),"#,##0")&amp;"円／申請書"&amp;TEXT($W2035,"#,##0")&amp;"円）／","")&amp;IF(AND(INDEX(職員マスタ!$F$6:$F$405,$AP2035)&lt;&gt;"",$AQ2035&lt;&gt;"",INDEX(職員マスタ!$F$6:$F$405,$AP2035)&lt;$AQ2035),"対象月に子が2歳到達済／","")&amp;IF(AND($H2035&lt;&gt;"",INDEX(職員マスタ!$B$6:$B$405,$AP2035)&lt;&gt;"",SUBSTITUTE(SUBSTITUTE($H2035," ","")," ","")&lt;&gt;SUBSTITUTE(SUBSTITUTE(INDEX(職員マスタ!$B$6:$B$405,$AP2035)," ","")," ","")),"氏名がマスタと相違／","")&amp;IF(AND($Q2035&lt;&gt;"",INDEX(職員マスタ!$E$6:$E$405,$AP2035)&lt;&gt;"",$Q2035&lt;&gt;INDEX(職員マスタ!$E$6:$E$405,$AP2035)),"子の生年月日がマスタと相違／","")&amp;IF(AND($L2035&lt;&gt;"",INDEX(職員マスタ!$G$6:$G$405,$AP2035)&lt;&gt;"",$L2035&lt;&gt;INDEX(職員マスタ!$G$6:$G$405,$AP2035)),"時短開始日がマスタと相違／","")&amp;IF(AND($M2035&lt;&gt;"",INDEX(職員マスタ!$H$6:$H$405,$AP2035)&lt;&gt;"",$M2035&lt;&gt;INDEX(職員マスタ!$H$6:$H$405,$AP2035)),"時短終了日がマスタと相違／","")))&amp;IF(AND($B2035&lt;&gt;"",$E2035=""),"報酬額が未入力／","")&amp;IF(N($U2035)&gt;0,"申請書に入力エラーが残っています／","")&amp;IF(AND($B2035&lt;&gt;"",$AQ2035&lt;&gt;""),IF(COUNTIFS($B$6:$B$3005,$B2035,$C$6:$C$3005,$C2035,$D$6:$D$3005,$D2035)&gt;1,"同じ月の請求が重複しています／",""),"")&amp;IF(AND(N($E2035)&gt;0,$AB2035&lt;&gt;"",$AB2035&lt;&gt;"×",$AE2035=0,$AD2035=""),"計算額が下限以下のため不支給／",""))</f>
        <v/>
      </c>
      <c r="AN2035" s="12" t="n"/>
      <c r="AO2035" s="14">
        <f>IF($AF2035="保留中",COUNTIF($AF$6:$AF2035,"保留中"),"")</f>
        <v/>
      </c>
      <c r="AP2035" s="14">
        <f>IF($AQ2035="","",IF(SUMPRODUCT(MAX((職員マスタ!$A$6:$A$405=$B2035)*(((職員マスタ!$G$6:$G$405="")+(職員マスタ!$G$6:$G$405&lt;=EOMONTH($AQ2035,0)))&gt;0)*(((職員マスタ!$H$6:$H$405="")+(職員マスタ!$H$6:$H$405&gt;=$AQ2035))&gt;0)*(ROW(職員マスタ!$A$6:$A$405)-5)))&gt;0,SUMPRODUCT(MAX((職員マスタ!$A$6:$A$405=$B2035)*(((職員マスタ!$G$6:$G$405="")+(職員マスタ!$G$6:$G$405&lt;=EOMONTH($AQ2035,0)))&gt;0)*(((職員マスタ!$H$6:$H$405="")+(職員マスタ!$H$6:$H$405&gt;=$AQ2035))&gt;0)*(ROW(職員マスタ!$A$6:$A$405)-5))),IFERROR(MATCH($B2035,職員マスタ!$A$6:$A$405,0),"")))</f>
        <v/>
      </c>
      <c r="AQ2035" s="16">
        <f>IF(OR($B2035="",$C2035="",$D2035=""),"",DATE($C2035+2018,$D2035,1))</f>
        <v/>
      </c>
    </row>
    <row r="2036">
      <c r="A2036" s="11" t="n"/>
      <c r="B2036" s="12" t="n"/>
      <c r="C2036" s="12" t="n"/>
      <c r="D2036" s="12" t="n"/>
      <c r="E2036" s="13" t="n"/>
      <c r="F2036" s="12" t="n"/>
      <c r="G2036" s="13" t="n"/>
      <c r="H2036" s="12" t="n"/>
      <c r="I2036" s="12" t="n"/>
      <c r="J2036" s="12" t="n"/>
      <c r="K2036" s="12" t="n"/>
      <c r="L2036" s="11" t="n"/>
      <c r="M2036" s="11" t="n"/>
      <c r="N2036" s="11" t="n"/>
      <c r="O2036" s="11" t="n"/>
      <c r="P2036" s="12" t="n"/>
      <c r="Q2036" s="11" t="n"/>
      <c r="R2036" s="12" t="n"/>
      <c r="S2036" s="11" t="n"/>
      <c r="T2036" s="12" t="n"/>
      <c r="U2036" s="12" t="n"/>
      <c r="V2036" s="12" t="n"/>
      <c r="W2036" s="13" t="n"/>
      <c r="X2036" s="14">
        <f>IF($AP2036="",IF($B2036="","",$H2036),IF(INDEX(職員マスタ!$B$6:$B$405,$AP2036)="",$H2036,INDEX(職員マスタ!$B$6:$B$405,$AP2036)))</f>
        <v/>
      </c>
      <c r="Y2036" s="14">
        <f>IF($AP2036="",IF($B2036="","",$R2036),IF(INDEX(職員マスタ!$C$6:$C$405,$AP2036)="",$R2036,INDEX(職員マスタ!$C$6:$C$405,$AP2036)))</f>
        <v/>
      </c>
      <c r="Z2036" s="14">
        <f>IF($AQ2036="","","R"&amp;$C2036&amp;"."&amp;$D2036)</f>
        <v/>
      </c>
      <c r="AA2036" s="15">
        <f>IF(IF($AP2036="",FALSE,INDEX(職員マスタ!$K$6:$K$405,$AP2036)&lt;&gt;""),INDEX(職員マスタ!$K$6:$K$405,$AP2036),IF(N($W2036)&gt;0,$W2036,""))</f>
        <v/>
      </c>
      <c r="AB2036" s="14">
        <f>IF(OR($E2036="",$AA2036=""),"",IF($E2036&gt;=$AA2036,"×",IF($E2036&gt;=$AA2036*設定!$C$5,"△","○")))</f>
        <v/>
      </c>
      <c r="AC2036" s="15">
        <f>IF($AB2036="","",IF($AB2036="×",0,IF($AB2036="○",ROUNDDOWN($E2036*設定!$C$4,0),ROUNDDOWN($E2036*ROUND((9*$AA2036-9*$E2036)/(10*$E2036),4),0))))</f>
        <v/>
      </c>
      <c r="AD2036" s="13" t="n"/>
      <c r="AE2036" s="15">
        <f>IF($B2036="","",IF($AD2036&lt;&gt;"",$AD2036,IF($AC2036="","",IF($AC2036&lt;=設定!$C$3,0,$AC2036))))</f>
        <v/>
      </c>
      <c r="AF2036" s="14">
        <f>IF($B2036="","",IF(AND($AG2036&lt;&gt;"",$AI2036="",$AL2036=""),"保留中",IF($AL2036&lt;&gt;"",IF(N($AE2036)&gt;0,"支給済","不支給"),IF($AE2036="","要確認",IF($AE2036=0,"不支給","未処理")))))</f>
        <v/>
      </c>
      <c r="AG2036" s="12" t="n"/>
      <c r="AH2036" s="11" t="n"/>
      <c r="AI2036" s="11" t="n"/>
      <c r="AJ2036" s="11" t="n"/>
      <c r="AK2036" s="14">
        <f>IF(AND($AF2036="保留中",$AH2036&lt;&gt;""),TODAY()-$AH2036,"")</f>
        <v/>
      </c>
      <c r="AL2036" s="12" t="n"/>
      <c r="AM2036" s="14">
        <f>IF($B2036="","",IF($AQ2036="","対象年月が未入力／","")&amp;IF($B2036="","",IF($AP2036="","職員マスタに未登録の職員番号／",IF($AA2036="","標準報酬月額が未登録／","")&amp;IF(AND($AQ2036&lt;&gt;"",OR(AND(INDEX(職員マスタ!$G$6:$G$405,$AP2036)&lt;&gt;"",INDEX(職員マスタ!$G$6:$G$405,$AP2036)&gt;EOMONTH($AQ2036,0)),AND(INDEX(職員マスタ!$H$6:$H$405,$AP2036)&lt;&gt;"",INDEX(職員マスタ!$H$6:$H$405,$AP2036)&lt;$AQ2036))),"対象月が時短期間外／","")&amp;IF(AND(INDEX(職員マスタ!$K$6:$K$405,$AP2036)&lt;&gt;"",N($W2036)&gt;0,INDEX(職員マスタ!$K$6:$K$405,$AP2036)&lt;&gt;$W2036),"標準報酬月額が申請書と相違（台帳"&amp;TEXT(INDEX(職員マスタ!$K$6:$K$405,$AP2036),"#,##0")&amp;"円／申請書"&amp;TEXT($W2036,"#,##0")&amp;"円）／","")&amp;IF(AND(INDEX(職員マスタ!$F$6:$F$405,$AP2036)&lt;&gt;"",$AQ2036&lt;&gt;"",INDEX(職員マスタ!$F$6:$F$405,$AP2036)&lt;$AQ2036),"対象月に子が2歳到達済／","")&amp;IF(AND($H2036&lt;&gt;"",INDEX(職員マスタ!$B$6:$B$405,$AP2036)&lt;&gt;"",SUBSTITUTE(SUBSTITUTE($H2036," ","")," ","")&lt;&gt;SUBSTITUTE(SUBSTITUTE(INDEX(職員マスタ!$B$6:$B$405,$AP2036)," ","")," ","")),"氏名がマスタと相違／","")&amp;IF(AND($Q2036&lt;&gt;"",INDEX(職員マスタ!$E$6:$E$405,$AP2036)&lt;&gt;"",$Q2036&lt;&gt;INDEX(職員マスタ!$E$6:$E$405,$AP2036)),"子の生年月日がマスタと相違／","")&amp;IF(AND($L2036&lt;&gt;"",INDEX(職員マスタ!$G$6:$G$405,$AP2036)&lt;&gt;"",$L2036&lt;&gt;INDEX(職員マスタ!$G$6:$G$405,$AP2036)),"時短開始日がマスタと相違／","")&amp;IF(AND($M2036&lt;&gt;"",INDEX(職員マスタ!$H$6:$H$405,$AP2036)&lt;&gt;"",$M2036&lt;&gt;INDEX(職員マスタ!$H$6:$H$405,$AP2036)),"時短終了日がマスタと相違／","")))&amp;IF(AND($B2036&lt;&gt;"",$E2036=""),"報酬額が未入力／","")&amp;IF(N($U2036)&gt;0,"申請書に入力エラーが残っています／","")&amp;IF(AND($B2036&lt;&gt;"",$AQ2036&lt;&gt;""),IF(COUNTIFS($B$6:$B$3005,$B2036,$C$6:$C$3005,$C2036,$D$6:$D$3005,$D2036)&gt;1,"同じ月の請求が重複しています／",""),"")&amp;IF(AND(N($E2036)&gt;0,$AB2036&lt;&gt;"",$AB2036&lt;&gt;"×",$AE2036=0,$AD2036=""),"計算額が下限以下のため不支給／",""))</f>
        <v/>
      </c>
      <c r="AN2036" s="12" t="n"/>
      <c r="AO2036" s="14">
        <f>IF($AF2036="保留中",COUNTIF($AF$6:$AF2036,"保留中"),"")</f>
        <v/>
      </c>
      <c r="AP2036" s="14">
        <f>IF($AQ2036="","",IF(SUMPRODUCT(MAX((職員マスタ!$A$6:$A$405=$B2036)*(((職員マスタ!$G$6:$G$405="")+(職員マスタ!$G$6:$G$405&lt;=EOMONTH($AQ2036,0)))&gt;0)*(((職員マスタ!$H$6:$H$405="")+(職員マスタ!$H$6:$H$405&gt;=$AQ2036))&gt;0)*(ROW(職員マスタ!$A$6:$A$405)-5)))&gt;0,SUMPRODUCT(MAX((職員マスタ!$A$6:$A$405=$B2036)*(((職員マスタ!$G$6:$G$405="")+(職員マスタ!$G$6:$G$405&lt;=EOMONTH($AQ2036,0)))&gt;0)*(((職員マスタ!$H$6:$H$405="")+(職員マスタ!$H$6:$H$405&gt;=$AQ2036))&gt;0)*(ROW(職員マスタ!$A$6:$A$405)-5))),IFERROR(MATCH($B2036,職員マスタ!$A$6:$A$405,0),"")))</f>
        <v/>
      </c>
      <c r="AQ2036" s="16">
        <f>IF(OR($B2036="",$C2036="",$D2036=""),"",DATE($C2036+2018,$D2036,1))</f>
        <v/>
      </c>
    </row>
    <row r="2037">
      <c r="A2037" s="11" t="n"/>
      <c r="B2037" s="12" t="n"/>
      <c r="C2037" s="12" t="n"/>
      <c r="D2037" s="12" t="n"/>
      <c r="E2037" s="13" t="n"/>
      <c r="F2037" s="12" t="n"/>
      <c r="G2037" s="13" t="n"/>
      <c r="H2037" s="12" t="n"/>
      <c r="I2037" s="12" t="n"/>
      <c r="J2037" s="12" t="n"/>
      <c r="K2037" s="12" t="n"/>
      <c r="L2037" s="11" t="n"/>
      <c r="M2037" s="11" t="n"/>
      <c r="N2037" s="11" t="n"/>
      <c r="O2037" s="11" t="n"/>
      <c r="P2037" s="12" t="n"/>
      <c r="Q2037" s="11" t="n"/>
      <c r="R2037" s="12" t="n"/>
      <c r="S2037" s="11" t="n"/>
      <c r="T2037" s="12" t="n"/>
      <c r="U2037" s="12" t="n"/>
      <c r="V2037" s="12" t="n"/>
      <c r="W2037" s="13" t="n"/>
      <c r="X2037" s="14">
        <f>IF($AP2037="",IF($B2037="","",$H2037),IF(INDEX(職員マスタ!$B$6:$B$405,$AP2037)="",$H2037,INDEX(職員マスタ!$B$6:$B$405,$AP2037)))</f>
        <v/>
      </c>
      <c r="Y2037" s="14">
        <f>IF($AP2037="",IF($B2037="","",$R2037),IF(INDEX(職員マスタ!$C$6:$C$405,$AP2037)="",$R2037,INDEX(職員マスタ!$C$6:$C$405,$AP2037)))</f>
        <v/>
      </c>
      <c r="Z2037" s="14">
        <f>IF($AQ2037="","","R"&amp;$C2037&amp;"."&amp;$D2037)</f>
        <v/>
      </c>
      <c r="AA2037" s="15">
        <f>IF(IF($AP2037="",FALSE,INDEX(職員マスタ!$K$6:$K$405,$AP2037)&lt;&gt;""),INDEX(職員マスタ!$K$6:$K$405,$AP2037),IF(N($W2037)&gt;0,$W2037,""))</f>
        <v/>
      </c>
      <c r="AB2037" s="14">
        <f>IF(OR($E2037="",$AA2037=""),"",IF($E2037&gt;=$AA2037,"×",IF($E2037&gt;=$AA2037*設定!$C$5,"△","○")))</f>
        <v/>
      </c>
      <c r="AC2037" s="15">
        <f>IF($AB2037="","",IF($AB2037="×",0,IF($AB2037="○",ROUNDDOWN($E2037*設定!$C$4,0),ROUNDDOWN($E2037*ROUND((9*$AA2037-9*$E2037)/(10*$E2037),4),0))))</f>
        <v/>
      </c>
      <c r="AD2037" s="13" t="n"/>
      <c r="AE2037" s="15">
        <f>IF($B2037="","",IF($AD2037&lt;&gt;"",$AD2037,IF($AC2037="","",IF($AC2037&lt;=設定!$C$3,0,$AC2037))))</f>
        <v/>
      </c>
      <c r="AF2037" s="14">
        <f>IF($B2037="","",IF(AND($AG2037&lt;&gt;"",$AI2037="",$AL2037=""),"保留中",IF($AL2037&lt;&gt;"",IF(N($AE2037)&gt;0,"支給済","不支給"),IF($AE2037="","要確認",IF($AE2037=0,"不支給","未処理")))))</f>
        <v/>
      </c>
      <c r="AG2037" s="12" t="n"/>
      <c r="AH2037" s="11" t="n"/>
      <c r="AI2037" s="11" t="n"/>
      <c r="AJ2037" s="11" t="n"/>
      <c r="AK2037" s="14">
        <f>IF(AND($AF2037="保留中",$AH2037&lt;&gt;""),TODAY()-$AH2037,"")</f>
        <v/>
      </c>
      <c r="AL2037" s="12" t="n"/>
      <c r="AM2037" s="14">
        <f>IF($B2037="","",IF($AQ2037="","対象年月が未入力／","")&amp;IF($B2037="","",IF($AP2037="","職員マスタに未登録の職員番号／",IF($AA2037="","標準報酬月額が未登録／","")&amp;IF(AND($AQ2037&lt;&gt;"",OR(AND(INDEX(職員マスタ!$G$6:$G$405,$AP2037)&lt;&gt;"",INDEX(職員マスタ!$G$6:$G$405,$AP2037)&gt;EOMONTH($AQ2037,0)),AND(INDEX(職員マスタ!$H$6:$H$405,$AP2037)&lt;&gt;"",INDEX(職員マスタ!$H$6:$H$405,$AP2037)&lt;$AQ2037))),"対象月が時短期間外／","")&amp;IF(AND(INDEX(職員マスタ!$K$6:$K$405,$AP2037)&lt;&gt;"",N($W2037)&gt;0,INDEX(職員マスタ!$K$6:$K$405,$AP2037)&lt;&gt;$W2037),"標準報酬月額が申請書と相違（台帳"&amp;TEXT(INDEX(職員マスタ!$K$6:$K$405,$AP2037),"#,##0")&amp;"円／申請書"&amp;TEXT($W2037,"#,##0")&amp;"円）／","")&amp;IF(AND(INDEX(職員マスタ!$F$6:$F$405,$AP2037)&lt;&gt;"",$AQ2037&lt;&gt;"",INDEX(職員マスタ!$F$6:$F$405,$AP2037)&lt;$AQ2037),"対象月に子が2歳到達済／","")&amp;IF(AND($H2037&lt;&gt;"",INDEX(職員マスタ!$B$6:$B$405,$AP2037)&lt;&gt;"",SUBSTITUTE(SUBSTITUTE($H2037," ","")," ","")&lt;&gt;SUBSTITUTE(SUBSTITUTE(INDEX(職員マスタ!$B$6:$B$405,$AP2037)," ","")," ","")),"氏名がマスタと相違／","")&amp;IF(AND($Q2037&lt;&gt;"",INDEX(職員マスタ!$E$6:$E$405,$AP2037)&lt;&gt;"",$Q2037&lt;&gt;INDEX(職員マスタ!$E$6:$E$405,$AP2037)),"子の生年月日がマスタと相違／","")&amp;IF(AND($L2037&lt;&gt;"",INDEX(職員マスタ!$G$6:$G$405,$AP2037)&lt;&gt;"",$L2037&lt;&gt;INDEX(職員マスタ!$G$6:$G$405,$AP2037)),"時短開始日がマスタと相違／","")&amp;IF(AND($M2037&lt;&gt;"",INDEX(職員マスタ!$H$6:$H$405,$AP2037)&lt;&gt;"",$M2037&lt;&gt;INDEX(職員マスタ!$H$6:$H$405,$AP2037)),"時短終了日がマスタと相違／","")))&amp;IF(AND($B2037&lt;&gt;"",$E2037=""),"報酬額が未入力／","")&amp;IF(N($U2037)&gt;0,"申請書に入力エラーが残っています／","")&amp;IF(AND($B2037&lt;&gt;"",$AQ2037&lt;&gt;""),IF(COUNTIFS($B$6:$B$3005,$B2037,$C$6:$C$3005,$C2037,$D$6:$D$3005,$D2037)&gt;1,"同じ月の請求が重複しています／",""),"")&amp;IF(AND(N($E2037)&gt;0,$AB2037&lt;&gt;"",$AB2037&lt;&gt;"×",$AE2037=0,$AD2037=""),"計算額が下限以下のため不支給／",""))</f>
        <v/>
      </c>
      <c r="AN2037" s="12" t="n"/>
      <c r="AO2037" s="14">
        <f>IF($AF2037="保留中",COUNTIF($AF$6:$AF2037,"保留中"),"")</f>
        <v/>
      </c>
      <c r="AP2037" s="14">
        <f>IF($AQ2037="","",IF(SUMPRODUCT(MAX((職員マスタ!$A$6:$A$405=$B2037)*(((職員マスタ!$G$6:$G$405="")+(職員マスタ!$G$6:$G$405&lt;=EOMONTH($AQ2037,0)))&gt;0)*(((職員マスタ!$H$6:$H$405="")+(職員マスタ!$H$6:$H$405&gt;=$AQ2037))&gt;0)*(ROW(職員マスタ!$A$6:$A$405)-5)))&gt;0,SUMPRODUCT(MAX((職員マスタ!$A$6:$A$405=$B2037)*(((職員マスタ!$G$6:$G$405="")+(職員マスタ!$G$6:$G$405&lt;=EOMONTH($AQ2037,0)))&gt;0)*(((職員マスタ!$H$6:$H$405="")+(職員マスタ!$H$6:$H$405&gt;=$AQ2037))&gt;0)*(ROW(職員マスタ!$A$6:$A$405)-5))),IFERROR(MATCH($B2037,職員マスタ!$A$6:$A$405,0),"")))</f>
        <v/>
      </c>
      <c r="AQ2037" s="16">
        <f>IF(OR($B2037="",$C2037="",$D2037=""),"",DATE($C2037+2018,$D2037,1))</f>
        <v/>
      </c>
    </row>
    <row r="2038">
      <c r="A2038" s="11" t="n"/>
      <c r="B2038" s="12" t="n"/>
      <c r="C2038" s="12" t="n"/>
      <c r="D2038" s="12" t="n"/>
      <c r="E2038" s="13" t="n"/>
      <c r="F2038" s="12" t="n"/>
      <c r="G2038" s="13" t="n"/>
      <c r="H2038" s="12" t="n"/>
      <c r="I2038" s="12" t="n"/>
      <c r="J2038" s="12" t="n"/>
      <c r="K2038" s="12" t="n"/>
      <c r="L2038" s="11" t="n"/>
      <c r="M2038" s="11" t="n"/>
      <c r="N2038" s="11" t="n"/>
      <c r="O2038" s="11" t="n"/>
      <c r="P2038" s="12" t="n"/>
      <c r="Q2038" s="11" t="n"/>
      <c r="R2038" s="12" t="n"/>
      <c r="S2038" s="11" t="n"/>
      <c r="T2038" s="12" t="n"/>
      <c r="U2038" s="12" t="n"/>
      <c r="V2038" s="12" t="n"/>
      <c r="W2038" s="13" t="n"/>
      <c r="X2038" s="14">
        <f>IF($AP2038="",IF($B2038="","",$H2038),IF(INDEX(職員マスタ!$B$6:$B$405,$AP2038)="",$H2038,INDEX(職員マスタ!$B$6:$B$405,$AP2038)))</f>
        <v/>
      </c>
      <c r="Y2038" s="14">
        <f>IF($AP2038="",IF($B2038="","",$R2038),IF(INDEX(職員マスタ!$C$6:$C$405,$AP2038)="",$R2038,INDEX(職員マスタ!$C$6:$C$405,$AP2038)))</f>
        <v/>
      </c>
      <c r="Z2038" s="14">
        <f>IF($AQ2038="","","R"&amp;$C2038&amp;"."&amp;$D2038)</f>
        <v/>
      </c>
      <c r="AA2038" s="15">
        <f>IF(IF($AP2038="",FALSE,INDEX(職員マスタ!$K$6:$K$405,$AP2038)&lt;&gt;""),INDEX(職員マスタ!$K$6:$K$405,$AP2038),IF(N($W2038)&gt;0,$W2038,""))</f>
        <v/>
      </c>
      <c r="AB2038" s="14">
        <f>IF(OR($E2038="",$AA2038=""),"",IF($E2038&gt;=$AA2038,"×",IF($E2038&gt;=$AA2038*設定!$C$5,"△","○")))</f>
        <v/>
      </c>
      <c r="AC2038" s="15">
        <f>IF($AB2038="","",IF($AB2038="×",0,IF($AB2038="○",ROUNDDOWN($E2038*設定!$C$4,0),ROUNDDOWN($E2038*ROUND((9*$AA2038-9*$E2038)/(10*$E2038),4),0))))</f>
        <v/>
      </c>
      <c r="AD2038" s="13" t="n"/>
      <c r="AE2038" s="15">
        <f>IF($B2038="","",IF($AD2038&lt;&gt;"",$AD2038,IF($AC2038="","",IF($AC2038&lt;=設定!$C$3,0,$AC2038))))</f>
        <v/>
      </c>
      <c r="AF2038" s="14">
        <f>IF($B2038="","",IF(AND($AG2038&lt;&gt;"",$AI2038="",$AL2038=""),"保留中",IF($AL2038&lt;&gt;"",IF(N($AE2038)&gt;0,"支給済","不支給"),IF($AE2038="","要確認",IF($AE2038=0,"不支給","未処理")))))</f>
        <v/>
      </c>
      <c r="AG2038" s="12" t="n"/>
      <c r="AH2038" s="11" t="n"/>
      <c r="AI2038" s="11" t="n"/>
      <c r="AJ2038" s="11" t="n"/>
      <c r="AK2038" s="14">
        <f>IF(AND($AF2038="保留中",$AH2038&lt;&gt;""),TODAY()-$AH2038,"")</f>
        <v/>
      </c>
      <c r="AL2038" s="12" t="n"/>
      <c r="AM2038" s="14">
        <f>IF($B2038="","",IF($AQ2038="","対象年月が未入力／","")&amp;IF($B2038="","",IF($AP2038="","職員マスタに未登録の職員番号／",IF($AA2038="","標準報酬月額が未登録／","")&amp;IF(AND($AQ2038&lt;&gt;"",OR(AND(INDEX(職員マスタ!$G$6:$G$405,$AP2038)&lt;&gt;"",INDEX(職員マスタ!$G$6:$G$405,$AP2038)&gt;EOMONTH($AQ2038,0)),AND(INDEX(職員マスタ!$H$6:$H$405,$AP2038)&lt;&gt;"",INDEX(職員マスタ!$H$6:$H$405,$AP2038)&lt;$AQ2038))),"対象月が時短期間外／","")&amp;IF(AND(INDEX(職員マスタ!$K$6:$K$405,$AP2038)&lt;&gt;"",N($W2038)&gt;0,INDEX(職員マスタ!$K$6:$K$405,$AP2038)&lt;&gt;$W2038),"標準報酬月額が申請書と相違（台帳"&amp;TEXT(INDEX(職員マスタ!$K$6:$K$405,$AP2038),"#,##0")&amp;"円／申請書"&amp;TEXT($W2038,"#,##0")&amp;"円）／","")&amp;IF(AND(INDEX(職員マスタ!$F$6:$F$405,$AP2038)&lt;&gt;"",$AQ2038&lt;&gt;"",INDEX(職員マスタ!$F$6:$F$405,$AP2038)&lt;$AQ2038),"対象月に子が2歳到達済／","")&amp;IF(AND($H2038&lt;&gt;"",INDEX(職員マスタ!$B$6:$B$405,$AP2038)&lt;&gt;"",SUBSTITUTE(SUBSTITUTE($H2038," ","")," ","")&lt;&gt;SUBSTITUTE(SUBSTITUTE(INDEX(職員マスタ!$B$6:$B$405,$AP2038)," ","")," ","")),"氏名がマスタと相違／","")&amp;IF(AND($Q2038&lt;&gt;"",INDEX(職員マスタ!$E$6:$E$405,$AP2038)&lt;&gt;"",$Q2038&lt;&gt;INDEX(職員マスタ!$E$6:$E$405,$AP2038)),"子の生年月日がマスタと相違／","")&amp;IF(AND($L2038&lt;&gt;"",INDEX(職員マスタ!$G$6:$G$405,$AP2038)&lt;&gt;"",$L2038&lt;&gt;INDEX(職員マスタ!$G$6:$G$405,$AP2038)),"時短開始日がマスタと相違／","")&amp;IF(AND($M2038&lt;&gt;"",INDEX(職員マスタ!$H$6:$H$405,$AP2038)&lt;&gt;"",$M2038&lt;&gt;INDEX(職員マスタ!$H$6:$H$405,$AP2038)),"時短終了日がマスタと相違／","")))&amp;IF(AND($B2038&lt;&gt;"",$E2038=""),"報酬額が未入力／","")&amp;IF(N($U2038)&gt;0,"申請書に入力エラーが残っています／","")&amp;IF(AND($B2038&lt;&gt;"",$AQ2038&lt;&gt;""),IF(COUNTIFS($B$6:$B$3005,$B2038,$C$6:$C$3005,$C2038,$D$6:$D$3005,$D2038)&gt;1,"同じ月の請求が重複しています／",""),"")&amp;IF(AND(N($E2038)&gt;0,$AB2038&lt;&gt;"",$AB2038&lt;&gt;"×",$AE2038=0,$AD2038=""),"計算額が下限以下のため不支給／",""))</f>
        <v/>
      </c>
      <c r="AN2038" s="12" t="n"/>
      <c r="AO2038" s="14">
        <f>IF($AF2038="保留中",COUNTIF($AF$6:$AF2038,"保留中"),"")</f>
        <v/>
      </c>
      <c r="AP2038" s="14">
        <f>IF($AQ2038="","",IF(SUMPRODUCT(MAX((職員マスタ!$A$6:$A$405=$B2038)*(((職員マスタ!$G$6:$G$405="")+(職員マスタ!$G$6:$G$405&lt;=EOMONTH($AQ2038,0)))&gt;0)*(((職員マスタ!$H$6:$H$405="")+(職員マスタ!$H$6:$H$405&gt;=$AQ2038))&gt;0)*(ROW(職員マスタ!$A$6:$A$405)-5)))&gt;0,SUMPRODUCT(MAX((職員マスタ!$A$6:$A$405=$B2038)*(((職員マスタ!$G$6:$G$405="")+(職員マスタ!$G$6:$G$405&lt;=EOMONTH($AQ2038,0)))&gt;0)*(((職員マスタ!$H$6:$H$405="")+(職員マスタ!$H$6:$H$405&gt;=$AQ2038))&gt;0)*(ROW(職員マスタ!$A$6:$A$405)-5))),IFERROR(MATCH($B2038,職員マスタ!$A$6:$A$405,0),"")))</f>
        <v/>
      </c>
      <c r="AQ2038" s="16">
        <f>IF(OR($B2038="",$C2038="",$D2038=""),"",DATE($C2038+2018,$D2038,1))</f>
        <v/>
      </c>
    </row>
    <row r="2039">
      <c r="A2039" s="11" t="n"/>
      <c r="B2039" s="12" t="n"/>
      <c r="C2039" s="12" t="n"/>
      <c r="D2039" s="12" t="n"/>
      <c r="E2039" s="13" t="n"/>
      <c r="F2039" s="12" t="n"/>
      <c r="G2039" s="13" t="n"/>
      <c r="H2039" s="12" t="n"/>
      <c r="I2039" s="12" t="n"/>
      <c r="J2039" s="12" t="n"/>
      <c r="K2039" s="12" t="n"/>
      <c r="L2039" s="11" t="n"/>
      <c r="M2039" s="11" t="n"/>
      <c r="N2039" s="11" t="n"/>
      <c r="O2039" s="11" t="n"/>
      <c r="P2039" s="12" t="n"/>
      <c r="Q2039" s="11" t="n"/>
      <c r="R2039" s="12" t="n"/>
      <c r="S2039" s="11" t="n"/>
      <c r="T2039" s="12" t="n"/>
      <c r="U2039" s="12" t="n"/>
      <c r="V2039" s="12" t="n"/>
      <c r="W2039" s="13" t="n"/>
      <c r="X2039" s="14">
        <f>IF($AP2039="",IF($B2039="","",$H2039),IF(INDEX(職員マスタ!$B$6:$B$405,$AP2039)="",$H2039,INDEX(職員マスタ!$B$6:$B$405,$AP2039)))</f>
        <v/>
      </c>
      <c r="Y2039" s="14">
        <f>IF($AP2039="",IF($B2039="","",$R2039),IF(INDEX(職員マスタ!$C$6:$C$405,$AP2039)="",$R2039,INDEX(職員マスタ!$C$6:$C$405,$AP2039)))</f>
        <v/>
      </c>
      <c r="Z2039" s="14">
        <f>IF($AQ2039="","","R"&amp;$C2039&amp;"."&amp;$D2039)</f>
        <v/>
      </c>
      <c r="AA2039" s="15">
        <f>IF(IF($AP2039="",FALSE,INDEX(職員マスタ!$K$6:$K$405,$AP2039)&lt;&gt;""),INDEX(職員マスタ!$K$6:$K$405,$AP2039),IF(N($W2039)&gt;0,$W2039,""))</f>
        <v/>
      </c>
      <c r="AB2039" s="14">
        <f>IF(OR($E2039="",$AA2039=""),"",IF($E2039&gt;=$AA2039,"×",IF($E2039&gt;=$AA2039*設定!$C$5,"△","○")))</f>
        <v/>
      </c>
      <c r="AC2039" s="15">
        <f>IF($AB2039="","",IF($AB2039="×",0,IF($AB2039="○",ROUNDDOWN($E2039*設定!$C$4,0),ROUNDDOWN($E2039*ROUND((9*$AA2039-9*$E2039)/(10*$E2039),4),0))))</f>
        <v/>
      </c>
      <c r="AD2039" s="13" t="n"/>
      <c r="AE2039" s="15">
        <f>IF($B2039="","",IF($AD2039&lt;&gt;"",$AD2039,IF($AC2039="","",IF($AC2039&lt;=設定!$C$3,0,$AC2039))))</f>
        <v/>
      </c>
      <c r="AF2039" s="14">
        <f>IF($B2039="","",IF(AND($AG2039&lt;&gt;"",$AI2039="",$AL2039=""),"保留中",IF($AL2039&lt;&gt;"",IF(N($AE2039)&gt;0,"支給済","不支給"),IF($AE2039="","要確認",IF($AE2039=0,"不支給","未処理")))))</f>
        <v/>
      </c>
      <c r="AG2039" s="12" t="n"/>
      <c r="AH2039" s="11" t="n"/>
      <c r="AI2039" s="11" t="n"/>
      <c r="AJ2039" s="11" t="n"/>
      <c r="AK2039" s="14">
        <f>IF(AND($AF2039="保留中",$AH2039&lt;&gt;""),TODAY()-$AH2039,"")</f>
        <v/>
      </c>
      <c r="AL2039" s="12" t="n"/>
      <c r="AM2039" s="14">
        <f>IF($B2039="","",IF($AQ2039="","対象年月が未入力／","")&amp;IF($B2039="","",IF($AP2039="","職員マスタに未登録の職員番号／",IF($AA2039="","標準報酬月額が未登録／","")&amp;IF(AND($AQ2039&lt;&gt;"",OR(AND(INDEX(職員マスタ!$G$6:$G$405,$AP2039)&lt;&gt;"",INDEX(職員マスタ!$G$6:$G$405,$AP2039)&gt;EOMONTH($AQ2039,0)),AND(INDEX(職員マスタ!$H$6:$H$405,$AP2039)&lt;&gt;"",INDEX(職員マスタ!$H$6:$H$405,$AP2039)&lt;$AQ2039))),"対象月が時短期間外／","")&amp;IF(AND(INDEX(職員マスタ!$K$6:$K$405,$AP2039)&lt;&gt;"",N($W2039)&gt;0,INDEX(職員マスタ!$K$6:$K$405,$AP2039)&lt;&gt;$W2039),"標準報酬月額が申請書と相違（台帳"&amp;TEXT(INDEX(職員マスタ!$K$6:$K$405,$AP2039),"#,##0")&amp;"円／申請書"&amp;TEXT($W2039,"#,##0")&amp;"円）／","")&amp;IF(AND(INDEX(職員マスタ!$F$6:$F$405,$AP2039)&lt;&gt;"",$AQ2039&lt;&gt;"",INDEX(職員マスタ!$F$6:$F$405,$AP2039)&lt;$AQ2039),"対象月に子が2歳到達済／","")&amp;IF(AND($H2039&lt;&gt;"",INDEX(職員マスタ!$B$6:$B$405,$AP2039)&lt;&gt;"",SUBSTITUTE(SUBSTITUTE($H2039," ","")," ","")&lt;&gt;SUBSTITUTE(SUBSTITUTE(INDEX(職員マスタ!$B$6:$B$405,$AP2039)," ","")," ","")),"氏名がマスタと相違／","")&amp;IF(AND($Q2039&lt;&gt;"",INDEX(職員マスタ!$E$6:$E$405,$AP2039)&lt;&gt;"",$Q2039&lt;&gt;INDEX(職員マスタ!$E$6:$E$405,$AP2039)),"子の生年月日がマスタと相違／","")&amp;IF(AND($L2039&lt;&gt;"",INDEX(職員マスタ!$G$6:$G$405,$AP2039)&lt;&gt;"",$L2039&lt;&gt;INDEX(職員マスタ!$G$6:$G$405,$AP2039)),"時短開始日がマスタと相違／","")&amp;IF(AND($M2039&lt;&gt;"",INDEX(職員マスタ!$H$6:$H$405,$AP2039)&lt;&gt;"",$M2039&lt;&gt;INDEX(職員マスタ!$H$6:$H$405,$AP2039)),"時短終了日がマスタと相違／","")))&amp;IF(AND($B2039&lt;&gt;"",$E2039=""),"報酬額が未入力／","")&amp;IF(N($U2039)&gt;0,"申請書に入力エラーが残っています／","")&amp;IF(AND($B2039&lt;&gt;"",$AQ2039&lt;&gt;""),IF(COUNTIFS($B$6:$B$3005,$B2039,$C$6:$C$3005,$C2039,$D$6:$D$3005,$D2039)&gt;1,"同じ月の請求が重複しています／",""),"")&amp;IF(AND(N($E2039)&gt;0,$AB2039&lt;&gt;"",$AB2039&lt;&gt;"×",$AE2039=0,$AD2039=""),"計算額が下限以下のため不支給／",""))</f>
        <v/>
      </c>
      <c r="AN2039" s="12" t="n"/>
      <c r="AO2039" s="14">
        <f>IF($AF2039="保留中",COUNTIF($AF$6:$AF2039,"保留中"),"")</f>
        <v/>
      </c>
      <c r="AP2039" s="14">
        <f>IF($AQ2039="","",IF(SUMPRODUCT(MAX((職員マスタ!$A$6:$A$405=$B2039)*(((職員マスタ!$G$6:$G$405="")+(職員マスタ!$G$6:$G$405&lt;=EOMONTH($AQ2039,0)))&gt;0)*(((職員マスタ!$H$6:$H$405="")+(職員マスタ!$H$6:$H$405&gt;=$AQ2039))&gt;0)*(ROW(職員マスタ!$A$6:$A$405)-5)))&gt;0,SUMPRODUCT(MAX((職員マスタ!$A$6:$A$405=$B2039)*(((職員マスタ!$G$6:$G$405="")+(職員マスタ!$G$6:$G$405&lt;=EOMONTH($AQ2039,0)))&gt;0)*(((職員マスタ!$H$6:$H$405="")+(職員マスタ!$H$6:$H$405&gt;=$AQ2039))&gt;0)*(ROW(職員マスタ!$A$6:$A$405)-5))),IFERROR(MATCH($B2039,職員マスタ!$A$6:$A$405,0),"")))</f>
        <v/>
      </c>
      <c r="AQ2039" s="16">
        <f>IF(OR($B2039="",$C2039="",$D2039=""),"",DATE($C2039+2018,$D2039,1))</f>
        <v/>
      </c>
    </row>
    <row r="2040">
      <c r="A2040" s="11" t="n"/>
      <c r="B2040" s="12" t="n"/>
      <c r="C2040" s="12" t="n"/>
      <c r="D2040" s="12" t="n"/>
      <c r="E2040" s="13" t="n"/>
      <c r="F2040" s="12" t="n"/>
      <c r="G2040" s="13" t="n"/>
      <c r="H2040" s="12" t="n"/>
      <c r="I2040" s="12" t="n"/>
      <c r="J2040" s="12" t="n"/>
      <c r="K2040" s="12" t="n"/>
      <c r="L2040" s="11" t="n"/>
      <c r="M2040" s="11" t="n"/>
      <c r="N2040" s="11" t="n"/>
      <c r="O2040" s="11" t="n"/>
      <c r="P2040" s="12" t="n"/>
      <c r="Q2040" s="11" t="n"/>
      <c r="R2040" s="12" t="n"/>
      <c r="S2040" s="11" t="n"/>
      <c r="T2040" s="12" t="n"/>
      <c r="U2040" s="12" t="n"/>
      <c r="V2040" s="12" t="n"/>
      <c r="W2040" s="13" t="n"/>
      <c r="X2040" s="14">
        <f>IF($AP2040="",IF($B2040="","",$H2040),IF(INDEX(職員マスタ!$B$6:$B$405,$AP2040)="",$H2040,INDEX(職員マスタ!$B$6:$B$405,$AP2040)))</f>
        <v/>
      </c>
      <c r="Y2040" s="14">
        <f>IF($AP2040="",IF($B2040="","",$R2040),IF(INDEX(職員マスタ!$C$6:$C$405,$AP2040)="",$R2040,INDEX(職員マスタ!$C$6:$C$405,$AP2040)))</f>
        <v/>
      </c>
      <c r="Z2040" s="14">
        <f>IF($AQ2040="","","R"&amp;$C2040&amp;"."&amp;$D2040)</f>
        <v/>
      </c>
      <c r="AA2040" s="15">
        <f>IF(IF($AP2040="",FALSE,INDEX(職員マスタ!$K$6:$K$405,$AP2040)&lt;&gt;""),INDEX(職員マスタ!$K$6:$K$405,$AP2040),IF(N($W2040)&gt;0,$W2040,""))</f>
        <v/>
      </c>
      <c r="AB2040" s="14">
        <f>IF(OR($E2040="",$AA2040=""),"",IF($E2040&gt;=$AA2040,"×",IF($E2040&gt;=$AA2040*設定!$C$5,"△","○")))</f>
        <v/>
      </c>
      <c r="AC2040" s="15">
        <f>IF($AB2040="","",IF($AB2040="×",0,IF($AB2040="○",ROUNDDOWN($E2040*設定!$C$4,0),ROUNDDOWN($E2040*ROUND((9*$AA2040-9*$E2040)/(10*$E2040),4),0))))</f>
        <v/>
      </c>
      <c r="AD2040" s="13" t="n"/>
      <c r="AE2040" s="15">
        <f>IF($B2040="","",IF($AD2040&lt;&gt;"",$AD2040,IF($AC2040="","",IF($AC2040&lt;=設定!$C$3,0,$AC2040))))</f>
        <v/>
      </c>
      <c r="AF2040" s="14">
        <f>IF($B2040="","",IF(AND($AG2040&lt;&gt;"",$AI2040="",$AL2040=""),"保留中",IF($AL2040&lt;&gt;"",IF(N($AE2040)&gt;0,"支給済","不支給"),IF($AE2040="","要確認",IF($AE2040=0,"不支給","未処理")))))</f>
        <v/>
      </c>
      <c r="AG2040" s="12" t="n"/>
      <c r="AH2040" s="11" t="n"/>
      <c r="AI2040" s="11" t="n"/>
      <c r="AJ2040" s="11" t="n"/>
      <c r="AK2040" s="14">
        <f>IF(AND($AF2040="保留中",$AH2040&lt;&gt;""),TODAY()-$AH2040,"")</f>
        <v/>
      </c>
      <c r="AL2040" s="12" t="n"/>
      <c r="AM2040" s="14">
        <f>IF($B2040="","",IF($AQ2040="","対象年月が未入力／","")&amp;IF($B2040="","",IF($AP2040="","職員マスタに未登録の職員番号／",IF($AA2040="","標準報酬月額が未登録／","")&amp;IF(AND($AQ2040&lt;&gt;"",OR(AND(INDEX(職員マスタ!$G$6:$G$405,$AP2040)&lt;&gt;"",INDEX(職員マスタ!$G$6:$G$405,$AP2040)&gt;EOMONTH($AQ2040,0)),AND(INDEX(職員マスタ!$H$6:$H$405,$AP2040)&lt;&gt;"",INDEX(職員マスタ!$H$6:$H$405,$AP2040)&lt;$AQ2040))),"対象月が時短期間外／","")&amp;IF(AND(INDEX(職員マスタ!$K$6:$K$405,$AP2040)&lt;&gt;"",N($W2040)&gt;0,INDEX(職員マスタ!$K$6:$K$405,$AP2040)&lt;&gt;$W2040),"標準報酬月額が申請書と相違（台帳"&amp;TEXT(INDEX(職員マスタ!$K$6:$K$405,$AP2040),"#,##0")&amp;"円／申請書"&amp;TEXT($W2040,"#,##0")&amp;"円）／","")&amp;IF(AND(INDEX(職員マスタ!$F$6:$F$405,$AP2040)&lt;&gt;"",$AQ2040&lt;&gt;"",INDEX(職員マスタ!$F$6:$F$405,$AP2040)&lt;$AQ2040),"対象月に子が2歳到達済／","")&amp;IF(AND($H2040&lt;&gt;"",INDEX(職員マスタ!$B$6:$B$405,$AP2040)&lt;&gt;"",SUBSTITUTE(SUBSTITUTE($H2040," ","")," ","")&lt;&gt;SUBSTITUTE(SUBSTITUTE(INDEX(職員マスタ!$B$6:$B$405,$AP2040)," ","")," ","")),"氏名がマスタと相違／","")&amp;IF(AND($Q2040&lt;&gt;"",INDEX(職員マスタ!$E$6:$E$405,$AP2040)&lt;&gt;"",$Q2040&lt;&gt;INDEX(職員マスタ!$E$6:$E$405,$AP2040)),"子の生年月日がマスタと相違／","")&amp;IF(AND($L2040&lt;&gt;"",INDEX(職員マスタ!$G$6:$G$405,$AP2040)&lt;&gt;"",$L2040&lt;&gt;INDEX(職員マスタ!$G$6:$G$405,$AP2040)),"時短開始日がマスタと相違／","")&amp;IF(AND($M2040&lt;&gt;"",INDEX(職員マスタ!$H$6:$H$405,$AP2040)&lt;&gt;"",$M2040&lt;&gt;INDEX(職員マスタ!$H$6:$H$405,$AP2040)),"時短終了日がマスタと相違／","")))&amp;IF(AND($B2040&lt;&gt;"",$E2040=""),"報酬額が未入力／","")&amp;IF(N($U2040)&gt;0,"申請書に入力エラーが残っています／","")&amp;IF(AND($B2040&lt;&gt;"",$AQ2040&lt;&gt;""),IF(COUNTIFS($B$6:$B$3005,$B2040,$C$6:$C$3005,$C2040,$D$6:$D$3005,$D2040)&gt;1,"同じ月の請求が重複しています／",""),"")&amp;IF(AND(N($E2040)&gt;0,$AB2040&lt;&gt;"",$AB2040&lt;&gt;"×",$AE2040=0,$AD2040=""),"計算額が下限以下のため不支給／",""))</f>
        <v/>
      </c>
      <c r="AN2040" s="12" t="n"/>
      <c r="AO2040" s="14">
        <f>IF($AF2040="保留中",COUNTIF($AF$6:$AF2040,"保留中"),"")</f>
        <v/>
      </c>
      <c r="AP2040" s="14">
        <f>IF($AQ2040="","",IF(SUMPRODUCT(MAX((職員マスタ!$A$6:$A$405=$B2040)*(((職員マスタ!$G$6:$G$405="")+(職員マスタ!$G$6:$G$405&lt;=EOMONTH($AQ2040,0)))&gt;0)*(((職員マスタ!$H$6:$H$405="")+(職員マスタ!$H$6:$H$405&gt;=$AQ2040))&gt;0)*(ROW(職員マスタ!$A$6:$A$405)-5)))&gt;0,SUMPRODUCT(MAX((職員マスタ!$A$6:$A$405=$B2040)*(((職員マスタ!$G$6:$G$405="")+(職員マスタ!$G$6:$G$405&lt;=EOMONTH($AQ2040,0)))&gt;0)*(((職員マスタ!$H$6:$H$405="")+(職員マスタ!$H$6:$H$405&gt;=$AQ2040))&gt;0)*(ROW(職員マスタ!$A$6:$A$405)-5))),IFERROR(MATCH($B2040,職員マスタ!$A$6:$A$405,0),"")))</f>
        <v/>
      </c>
      <c r="AQ2040" s="16">
        <f>IF(OR($B2040="",$C2040="",$D2040=""),"",DATE($C2040+2018,$D2040,1))</f>
        <v/>
      </c>
    </row>
    <row r="2041">
      <c r="A2041" s="11" t="n"/>
      <c r="B2041" s="12" t="n"/>
      <c r="C2041" s="12" t="n"/>
      <c r="D2041" s="12" t="n"/>
      <c r="E2041" s="13" t="n"/>
      <c r="F2041" s="12" t="n"/>
      <c r="G2041" s="13" t="n"/>
      <c r="H2041" s="12" t="n"/>
      <c r="I2041" s="12" t="n"/>
      <c r="J2041" s="12" t="n"/>
      <c r="K2041" s="12" t="n"/>
      <c r="L2041" s="11" t="n"/>
      <c r="M2041" s="11" t="n"/>
      <c r="N2041" s="11" t="n"/>
      <c r="O2041" s="11" t="n"/>
      <c r="P2041" s="12" t="n"/>
      <c r="Q2041" s="11" t="n"/>
      <c r="R2041" s="12" t="n"/>
      <c r="S2041" s="11" t="n"/>
      <c r="T2041" s="12" t="n"/>
      <c r="U2041" s="12" t="n"/>
      <c r="V2041" s="12" t="n"/>
      <c r="W2041" s="13" t="n"/>
      <c r="X2041" s="14">
        <f>IF($AP2041="",IF($B2041="","",$H2041),IF(INDEX(職員マスタ!$B$6:$B$405,$AP2041)="",$H2041,INDEX(職員マスタ!$B$6:$B$405,$AP2041)))</f>
        <v/>
      </c>
      <c r="Y2041" s="14">
        <f>IF($AP2041="",IF($B2041="","",$R2041),IF(INDEX(職員マスタ!$C$6:$C$405,$AP2041)="",$R2041,INDEX(職員マスタ!$C$6:$C$405,$AP2041)))</f>
        <v/>
      </c>
      <c r="Z2041" s="14">
        <f>IF($AQ2041="","","R"&amp;$C2041&amp;"."&amp;$D2041)</f>
        <v/>
      </c>
      <c r="AA2041" s="15">
        <f>IF(IF($AP2041="",FALSE,INDEX(職員マスタ!$K$6:$K$405,$AP2041)&lt;&gt;""),INDEX(職員マスタ!$K$6:$K$405,$AP2041),IF(N($W2041)&gt;0,$W2041,""))</f>
        <v/>
      </c>
      <c r="AB2041" s="14">
        <f>IF(OR($E2041="",$AA2041=""),"",IF($E2041&gt;=$AA2041,"×",IF($E2041&gt;=$AA2041*設定!$C$5,"△","○")))</f>
        <v/>
      </c>
      <c r="AC2041" s="15">
        <f>IF($AB2041="","",IF($AB2041="×",0,IF($AB2041="○",ROUNDDOWN($E2041*設定!$C$4,0),ROUNDDOWN($E2041*ROUND((9*$AA2041-9*$E2041)/(10*$E2041),4),0))))</f>
        <v/>
      </c>
      <c r="AD2041" s="13" t="n"/>
      <c r="AE2041" s="15">
        <f>IF($B2041="","",IF($AD2041&lt;&gt;"",$AD2041,IF($AC2041="","",IF($AC2041&lt;=設定!$C$3,0,$AC2041))))</f>
        <v/>
      </c>
      <c r="AF2041" s="14">
        <f>IF($B2041="","",IF(AND($AG2041&lt;&gt;"",$AI2041="",$AL2041=""),"保留中",IF($AL2041&lt;&gt;"",IF(N($AE2041)&gt;0,"支給済","不支給"),IF($AE2041="","要確認",IF($AE2041=0,"不支給","未処理")))))</f>
        <v/>
      </c>
      <c r="AG2041" s="12" t="n"/>
      <c r="AH2041" s="11" t="n"/>
      <c r="AI2041" s="11" t="n"/>
      <c r="AJ2041" s="11" t="n"/>
      <c r="AK2041" s="14">
        <f>IF(AND($AF2041="保留中",$AH2041&lt;&gt;""),TODAY()-$AH2041,"")</f>
        <v/>
      </c>
      <c r="AL2041" s="12" t="n"/>
      <c r="AM2041" s="14">
        <f>IF($B2041="","",IF($AQ2041="","対象年月が未入力／","")&amp;IF($B2041="","",IF($AP2041="","職員マスタに未登録の職員番号／",IF($AA2041="","標準報酬月額が未登録／","")&amp;IF(AND($AQ2041&lt;&gt;"",OR(AND(INDEX(職員マスタ!$G$6:$G$405,$AP2041)&lt;&gt;"",INDEX(職員マスタ!$G$6:$G$405,$AP2041)&gt;EOMONTH($AQ2041,0)),AND(INDEX(職員マスタ!$H$6:$H$405,$AP2041)&lt;&gt;"",INDEX(職員マスタ!$H$6:$H$405,$AP2041)&lt;$AQ2041))),"対象月が時短期間外／","")&amp;IF(AND(INDEX(職員マスタ!$K$6:$K$405,$AP2041)&lt;&gt;"",N($W2041)&gt;0,INDEX(職員マスタ!$K$6:$K$405,$AP2041)&lt;&gt;$W2041),"標準報酬月額が申請書と相違（台帳"&amp;TEXT(INDEX(職員マスタ!$K$6:$K$405,$AP2041),"#,##0")&amp;"円／申請書"&amp;TEXT($W2041,"#,##0")&amp;"円）／","")&amp;IF(AND(INDEX(職員マスタ!$F$6:$F$405,$AP2041)&lt;&gt;"",$AQ2041&lt;&gt;"",INDEX(職員マスタ!$F$6:$F$405,$AP2041)&lt;$AQ2041),"対象月に子が2歳到達済／","")&amp;IF(AND($H2041&lt;&gt;"",INDEX(職員マスタ!$B$6:$B$405,$AP2041)&lt;&gt;"",SUBSTITUTE(SUBSTITUTE($H2041," ","")," ","")&lt;&gt;SUBSTITUTE(SUBSTITUTE(INDEX(職員マスタ!$B$6:$B$405,$AP2041)," ","")," ","")),"氏名がマスタと相違／","")&amp;IF(AND($Q2041&lt;&gt;"",INDEX(職員マスタ!$E$6:$E$405,$AP2041)&lt;&gt;"",$Q2041&lt;&gt;INDEX(職員マスタ!$E$6:$E$405,$AP2041)),"子の生年月日がマスタと相違／","")&amp;IF(AND($L2041&lt;&gt;"",INDEX(職員マスタ!$G$6:$G$405,$AP2041)&lt;&gt;"",$L2041&lt;&gt;INDEX(職員マスタ!$G$6:$G$405,$AP2041)),"時短開始日がマスタと相違／","")&amp;IF(AND($M2041&lt;&gt;"",INDEX(職員マスタ!$H$6:$H$405,$AP2041)&lt;&gt;"",$M2041&lt;&gt;INDEX(職員マスタ!$H$6:$H$405,$AP2041)),"時短終了日がマスタと相違／","")))&amp;IF(AND($B2041&lt;&gt;"",$E2041=""),"報酬額が未入力／","")&amp;IF(N($U2041)&gt;0,"申請書に入力エラーが残っています／","")&amp;IF(AND($B2041&lt;&gt;"",$AQ2041&lt;&gt;""),IF(COUNTIFS($B$6:$B$3005,$B2041,$C$6:$C$3005,$C2041,$D$6:$D$3005,$D2041)&gt;1,"同じ月の請求が重複しています／",""),"")&amp;IF(AND(N($E2041)&gt;0,$AB2041&lt;&gt;"",$AB2041&lt;&gt;"×",$AE2041=0,$AD2041=""),"計算額が下限以下のため不支給／",""))</f>
        <v/>
      </c>
      <c r="AN2041" s="12" t="n"/>
      <c r="AO2041" s="14">
        <f>IF($AF2041="保留中",COUNTIF($AF$6:$AF2041,"保留中"),"")</f>
        <v/>
      </c>
      <c r="AP2041" s="14">
        <f>IF($AQ2041="","",IF(SUMPRODUCT(MAX((職員マスタ!$A$6:$A$405=$B2041)*(((職員マスタ!$G$6:$G$405="")+(職員マスタ!$G$6:$G$405&lt;=EOMONTH($AQ2041,0)))&gt;0)*(((職員マスタ!$H$6:$H$405="")+(職員マスタ!$H$6:$H$405&gt;=$AQ2041))&gt;0)*(ROW(職員マスタ!$A$6:$A$405)-5)))&gt;0,SUMPRODUCT(MAX((職員マスタ!$A$6:$A$405=$B2041)*(((職員マスタ!$G$6:$G$405="")+(職員マスタ!$G$6:$G$405&lt;=EOMONTH($AQ2041,0)))&gt;0)*(((職員マスタ!$H$6:$H$405="")+(職員マスタ!$H$6:$H$405&gt;=$AQ2041))&gt;0)*(ROW(職員マスタ!$A$6:$A$405)-5))),IFERROR(MATCH($B2041,職員マスタ!$A$6:$A$405,0),"")))</f>
        <v/>
      </c>
      <c r="AQ2041" s="16">
        <f>IF(OR($B2041="",$C2041="",$D2041=""),"",DATE($C2041+2018,$D2041,1))</f>
        <v/>
      </c>
    </row>
    <row r="2042">
      <c r="A2042" s="11" t="n"/>
      <c r="B2042" s="12" t="n"/>
      <c r="C2042" s="12" t="n"/>
      <c r="D2042" s="12" t="n"/>
      <c r="E2042" s="13" t="n"/>
      <c r="F2042" s="12" t="n"/>
      <c r="G2042" s="13" t="n"/>
      <c r="H2042" s="12" t="n"/>
      <c r="I2042" s="12" t="n"/>
      <c r="J2042" s="12" t="n"/>
      <c r="K2042" s="12" t="n"/>
      <c r="L2042" s="11" t="n"/>
      <c r="M2042" s="11" t="n"/>
      <c r="N2042" s="11" t="n"/>
      <c r="O2042" s="11" t="n"/>
      <c r="P2042" s="12" t="n"/>
      <c r="Q2042" s="11" t="n"/>
      <c r="R2042" s="12" t="n"/>
      <c r="S2042" s="11" t="n"/>
      <c r="T2042" s="12" t="n"/>
      <c r="U2042" s="12" t="n"/>
      <c r="V2042" s="12" t="n"/>
      <c r="W2042" s="13" t="n"/>
      <c r="X2042" s="14">
        <f>IF($AP2042="",IF($B2042="","",$H2042),IF(INDEX(職員マスタ!$B$6:$B$405,$AP2042)="",$H2042,INDEX(職員マスタ!$B$6:$B$405,$AP2042)))</f>
        <v/>
      </c>
      <c r="Y2042" s="14">
        <f>IF($AP2042="",IF($B2042="","",$R2042),IF(INDEX(職員マスタ!$C$6:$C$405,$AP2042)="",$R2042,INDEX(職員マスタ!$C$6:$C$405,$AP2042)))</f>
        <v/>
      </c>
      <c r="Z2042" s="14">
        <f>IF($AQ2042="","","R"&amp;$C2042&amp;"."&amp;$D2042)</f>
        <v/>
      </c>
      <c r="AA2042" s="15">
        <f>IF(IF($AP2042="",FALSE,INDEX(職員マスタ!$K$6:$K$405,$AP2042)&lt;&gt;""),INDEX(職員マスタ!$K$6:$K$405,$AP2042),IF(N($W2042)&gt;0,$W2042,""))</f>
        <v/>
      </c>
      <c r="AB2042" s="14">
        <f>IF(OR($E2042="",$AA2042=""),"",IF($E2042&gt;=$AA2042,"×",IF($E2042&gt;=$AA2042*設定!$C$5,"△","○")))</f>
        <v/>
      </c>
      <c r="AC2042" s="15">
        <f>IF($AB2042="","",IF($AB2042="×",0,IF($AB2042="○",ROUNDDOWN($E2042*設定!$C$4,0),ROUNDDOWN($E2042*ROUND((9*$AA2042-9*$E2042)/(10*$E2042),4),0))))</f>
        <v/>
      </c>
      <c r="AD2042" s="13" t="n"/>
      <c r="AE2042" s="15">
        <f>IF($B2042="","",IF($AD2042&lt;&gt;"",$AD2042,IF($AC2042="","",IF($AC2042&lt;=設定!$C$3,0,$AC2042))))</f>
        <v/>
      </c>
      <c r="AF2042" s="14">
        <f>IF($B2042="","",IF(AND($AG2042&lt;&gt;"",$AI2042="",$AL2042=""),"保留中",IF($AL2042&lt;&gt;"",IF(N($AE2042)&gt;0,"支給済","不支給"),IF($AE2042="","要確認",IF($AE2042=0,"不支給","未処理")))))</f>
        <v/>
      </c>
      <c r="AG2042" s="12" t="n"/>
      <c r="AH2042" s="11" t="n"/>
      <c r="AI2042" s="11" t="n"/>
      <c r="AJ2042" s="11" t="n"/>
      <c r="AK2042" s="14">
        <f>IF(AND($AF2042="保留中",$AH2042&lt;&gt;""),TODAY()-$AH2042,"")</f>
        <v/>
      </c>
      <c r="AL2042" s="12" t="n"/>
      <c r="AM2042" s="14">
        <f>IF($B2042="","",IF($AQ2042="","対象年月が未入力／","")&amp;IF($B2042="","",IF($AP2042="","職員マスタに未登録の職員番号／",IF($AA2042="","標準報酬月額が未登録／","")&amp;IF(AND($AQ2042&lt;&gt;"",OR(AND(INDEX(職員マスタ!$G$6:$G$405,$AP2042)&lt;&gt;"",INDEX(職員マスタ!$G$6:$G$405,$AP2042)&gt;EOMONTH($AQ2042,0)),AND(INDEX(職員マスタ!$H$6:$H$405,$AP2042)&lt;&gt;"",INDEX(職員マスタ!$H$6:$H$405,$AP2042)&lt;$AQ2042))),"対象月が時短期間外／","")&amp;IF(AND(INDEX(職員マスタ!$K$6:$K$405,$AP2042)&lt;&gt;"",N($W2042)&gt;0,INDEX(職員マスタ!$K$6:$K$405,$AP2042)&lt;&gt;$W2042),"標準報酬月額が申請書と相違（台帳"&amp;TEXT(INDEX(職員マスタ!$K$6:$K$405,$AP2042),"#,##0")&amp;"円／申請書"&amp;TEXT($W2042,"#,##0")&amp;"円）／","")&amp;IF(AND(INDEX(職員マスタ!$F$6:$F$405,$AP2042)&lt;&gt;"",$AQ2042&lt;&gt;"",INDEX(職員マスタ!$F$6:$F$405,$AP2042)&lt;$AQ2042),"対象月に子が2歳到達済／","")&amp;IF(AND($H2042&lt;&gt;"",INDEX(職員マスタ!$B$6:$B$405,$AP2042)&lt;&gt;"",SUBSTITUTE(SUBSTITUTE($H2042," ","")," ","")&lt;&gt;SUBSTITUTE(SUBSTITUTE(INDEX(職員マスタ!$B$6:$B$405,$AP2042)," ","")," ","")),"氏名がマスタと相違／","")&amp;IF(AND($Q2042&lt;&gt;"",INDEX(職員マスタ!$E$6:$E$405,$AP2042)&lt;&gt;"",$Q2042&lt;&gt;INDEX(職員マスタ!$E$6:$E$405,$AP2042)),"子の生年月日がマスタと相違／","")&amp;IF(AND($L2042&lt;&gt;"",INDEX(職員マスタ!$G$6:$G$405,$AP2042)&lt;&gt;"",$L2042&lt;&gt;INDEX(職員マスタ!$G$6:$G$405,$AP2042)),"時短開始日がマスタと相違／","")&amp;IF(AND($M2042&lt;&gt;"",INDEX(職員マスタ!$H$6:$H$405,$AP2042)&lt;&gt;"",$M2042&lt;&gt;INDEX(職員マスタ!$H$6:$H$405,$AP2042)),"時短終了日がマスタと相違／","")))&amp;IF(AND($B2042&lt;&gt;"",$E2042=""),"報酬額が未入力／","")&amp;IF(N($U2042)&gt;0,"申請書に入力エラーが残っています／","")&amp;IF(AND($B2042&lt;&gt;"",$AQ2042&lt;&gt;""),IF(COUNTIFS($B$6:$B$3005,$B2042,$C$6:$C$3005,$C2042,$D$6:$D$3005,$D2042)&gt;1,"同じ月の請求が重複しています／",""),"")&amp;IF(AND(N($E2042)&gt;0,$AB2042&lt;&gt;"",$AB2042&lt;&gt;"×",$AE2042=0,$AD2042=""),"計算額が下限以下のため不支給／",""))</f>
        <v/>
      </c>
      <c r="AN2042" s="12" t="n"/>
      <c r="AO2042" s="14">
        <f>IF($AF2042="保留中",COUNTIF($AF$6:$AF2042,"保留中"),"")</f>
        <v/>
      </c>
      <c r="AP2042" s="14">
        <f>IF($AQ2042="","",IF(SUMPRODUCT(MAX((職員マスタ!$A$6:$A$405=$B2042)*(((職員マスタ!$G$6:$G$405="")+(職員マスタ!$G$6:$G$405&lt;=EOMONTH($AQ2042,0)))&gt;0)*(((職員マスタ!$H$6:$H$405="")+(職員マスタ!$H$6:$H$405&gt;=$AQ2042))&gt;0)*(ROW(職員マスタ!$A$6:$A$405)-5)))&gt;0,SUMPRODUCT(MAX((職員マスタ!$A$6:$A$405=$B2042)*(((職員マスタ!$G$6:$G$405="")+(職員マスタ!$G$6:$G$405&lt;=EOMONTH($AQ2042,0)))&gt;0)*(((職員マスタ!$H$6:$H$405="")+(職員マスタ!$H$6:$H$405&gt;=$AQ2042))&gt;0)*(ROW(職員マスタ!$A$6:$A$405)-5))),IFERROR(MATCH($B2042,職員マスタ!$A$6:$A$405,0),"")))</f>
        <v/>
      </c>
      <c r="AQ2042" s="16">
        <f>IF(OR($B2042="",$C2042="",$D2042=""),"",DATE($C2042+2018,$D2042,1))</f>
        <v/>
      </c>
    </row>
    <row r="2043">
      <c r="A2043" s="11" t="n"/>
      <c r="B2043" s="12" t="n"/>
      <c r="C2043" s="12" t="n"/>
      <c r="D2043" s="12" t="n"/>
      <c r="E2043" s="13" t="n"/>
      <c r="F2043" s="12" t="n"/>
      <c r="G2043" s="13" t="n"/>
      <c r="H2043" s="12" t="n"/>
      <c r="I2043" s="12" t="n"/>
      <c r="J2043" s="12" t="n"/>
      <c r="K2043" s="12" t="n"/>
      <c r="L2043" s="11" t="n"/>
      <c r="M2043" s="11" t="n"/>
      <c r="N2043" s="11" t="n"/>
      <c r="O2043" s="11" t="n"/>
      <c r="P2043" s="12" t="n"/>
      <c r="Q2043" s="11" t="n"/>
      <c r="R2043" s="12" t="n"/>
      <c r="S2043" s="11" t="n"/>
      <c r="T2043" s="12" t="n"/>
      <c r="U2043" s="12" t="n"/>
      <c r="V2043" s="12" t="n"/>
      <c r="W2043" s="13" t="n"/>
      <c r="X2043" s="14">
        <f>IF($AP2043="",IF($B2043="","",$H2043),IF(INDEX(職員マスタ!$B$6:$B$405,$AP2043)="",$H2043,INDEX(職員マスタ!$B$6:$B$405,$AP2043)))</f>
        <v/>
      </c>
      <c r="Y2043" s="14">
        <f>IF($AP2043="",IF($B2043="","",$R2043),IF(INDEX(職員マスタ!$C$6:$C$405,$AP2043)="",$R2043,INDEX(職員マスタ!$C$6:$C$405,$AP2043)))</f>
        <v/>
      </c>
      <c r="Z2043" s="14">
        <f>IF($AQ2043="","","R"&amp;$C2043&amp;"."&amp;$D2043)</f>
        <v/>
      </c>
      <c r="AA2043" s="15">
        <f>IF(IF($AP2043="",FALSE,INDEX(職員マスタ!$K$6:$K$405,$AP2043)&lt;&gt;""),INDEX(職員マスタ!$K$6:$K$405,$AP2043),IF(N($W2043)&gt;0,$W2043,""))</f>
        <v/>
      </c>
      <c r="AB2043" s="14">
        <f>IF(OR($E2043="",$AA2043=""),"",IF($E2043&gt;=$AA2043,"×",IF($E2043&gt;=$AA2043*設定!$C$5,"△","○")))</f>
        <v/>
      </c>
      <c r="AC2043" s="15">
        <f>IF($AB2043="","",IF($AB2043="×",0,IF($AB2043="○",ROUNDDOWN($E2043*設定!$C$4,0),ROUNDDOWN($E2043*ROUND((9*$AA2043-9*$E2043)/(10*$E2043),4),0))))</f>
        <v/>
      </c>
      <c r="AD2043" s="13" t="n"/>
      <c r="AE2043" s="15">
        <f>IF($B2043="","",IF($AD2043&lt;&gt;"",$AD2043,IF($AC2043="","",IF($AC2043&lt;=設定!$C$3,0,$AC2043))))</f>
        <v/>
      </c>
      <c r="AF2043" s="14">
        <f>IF($B2043="","",IF(AND($AG2043&lt;&gt;"",$AI2043="",$AL2043=""),"保留中",IF($AL2043&lt;&gt;"",IF(N($AE2043)&gt;0,"支給済","不支給"),IF($AE2043="","要確認",IF($AE2043=0,"不支給","未処理")))))</f>
        <v/>
      </c>
      <c r="AG2043" s="12" t="n"/>
      <c r="AH2043" s="11" t="n"/>
      <c r="AI2043" s="11" t="n"/>
      <c r="AJ2043" s="11" t="n"/>
      <c r="AK2043" s="14">
        <f>IF(AND($AF2043="保留中",$AH2043&lt;&gt;""),TODAY()-$AH2043,"")</f>
        <v/>
      </c>
      <c r="AL2043" s="12" t="n"/>
      <c r="AM2043" s="14">
        <f>IF($B2043="","",IF($AQ2043="","対象年月が未入力／","")&amp;IF($B2043="","",IF($AP2043="","職員マスタに未登録の職員番号／",IF($AA2043="","標準報酬月額が未登録／","")&amp;IF(AND($AQ2043&lt;&gt;"",OR(AND(INDEX(職員マスタ!$G$6:$G$405,$AP2043)&lt;&gt;"",INDEX(職員マスタ!$G$6:$G$405,$AP2043)&gt;EOMONTH($AQ2043,0)),AND(INDEX(職員マスタ!$H$6:$H$405,$AP2043)&lt;&gt;"",INDEX(職員マスタ!$H$6:$H$405,$AP2043)&lt;$AQ2043))),"対象月が時短期間外／","")&amp;IF(AND(INDEX(職員マスタ!$K$6:$K$405,$AP2043)&lt;&gt;"",N($W2043)&gt;0,INDEX(職員マスタ!$K$6:$K$405,$AP2043)&lt;&gt;$W2043),"標準報酬月額が申請書と相違（台帳"&amp;TEXT(INDEX(職員マスタ!$K$6:$K$405,$AP2043),"#,##0")&amp;"円／申請書"&amp;TEXT($W2043,"#,##0")&amp;"円）／","")&amp;IF(AND(INDEX(職員マスタ!$F$6:$F$405,$AP2043)&lt;&gt;"",$AQ2043&lt;&gt;"",INDEX(職員マスタ!$F$6:$F$405,$AP2043)&lt;$AQ2043),"対象月に子が2歳到達済／","")&amp;IF(AND($H2043&lt;&gt;"",INDEX(職員マスタ!$B$6:$B$405,$AP2043)&lt;&gt;"",SUBSTITUTE(SUBSTITUTE($H2043," ","")," ","")&lt;&gt;SUBSTITUTE(SUBSTITUTE(INDEX(職員マスタ!$B$6:$B$405,$AP2043)," ","")," ","")),"氏名がマスタと相違／","")&amp;IF(AND($Q2043&lt;&gt;"",INDEX(職員マスタ!$E$6:$E$405,$AP2043)&lt;&gt;"",$Q2043&lt;&gt;INDEX(職員マスタ!$E$6:$E$405,$AP2043)),"子の生年月日がマスタと相違／","")&amp;IF(AND($L2043&lt;&gt;"",INDEX(職員マスタ!$G$6:$G$405,$AP2043)&lt;&gt;"",$L2043&lt;&gt;INDEX(職員マスタ!$G$6:$G$405,$AP2043)),"時短開始日がマスタと相違／","")&amp;IF(AND($M2043&lt;&gt;"",INDEX(職員マスタ!$H$6:$H$405,$AP2043)&lt;&gt;"",$M2043&lt;&gt;INDEX(職員マスタ!$H$6:$H$405,$AP2043)),"時短終了日がマスタと相違／","")))&amp;IF(AND($B2043&lt;&gt;"",$E2043=""),"報酬額が未入力／","")&amp;IF(N($U2043)&gt;0,"申請書に入力エラーが残っています／","")&amp;IF(AND($B2043&lt;&gt;"",$AQ2043&lt;&gt;""),IF(COUNTIFS($B$6:$B$3005,$B2043,$C$6:$C$3005,$C2043,$D$6:$D$3005,$D2043)&gt;1,"同じ月の請求が重複しています／",""),"")&amp;IF(AND(N($E2043)&gt;0,$AB2043&lt;&gt;"",$AB2043&lt;&gt;"×",$AE2043=0,$AD2043=""),"計算額が下限以下のため不支給／",""))</f>
        <v/>
      </c>
      <c r="AN2043" s="12" t="n"/>
      <c r="AO2043" s="14">
        <f>IF($AF2043="保留中",COUNTIF($AF$6:$AF2043,"保留中"),"")</f>
        <v/>
      </c>
      <c r="AP2043" s="14">
        <f>IF($AQ2043="","",IF(SUMPRODUCT(MAX((職員マスタ!$A$6:$A$405=$B2043)*(((職員マスタ!$G$6:$G$405="")+(職員マスタ!$G$6:$G$405&lt;=EOMONTH($AQ2043,0)))&gt;0)*(((職員マスタ!$H$6:$H$405="")+(職員マスタ!$H$6:$H$405&gt;=$AQ2043))&gt;0)*(ROW(職員マスタ!$A$6:$A$405)-5)))&gt;0,SUMPRODUCT(MAX((職員マスタ!$A$6:$A$405=$B2043)*(((職員マスタ!$G$6:$G$405="")+(職員マスタ!$G$6:$G$405&lt;=EOMONTH($AQ2043,0)))&gt;0)*(((職員マスタ!$H$6:$H$405="")+(職員マスタ!$H$6:$H$405&gt;=$AQ2043))&gt;0)*(ROW(職員マスタ!$A$6:$A$405)-5))),IFERROR(MATCH($B2043,職員マスタ!$A$6:$A$405,0),"")))</f>
        <v/>
      </c>
      <c r="AQ2043" s="16">
        <f>IF(OR($B2043="",$C2043="",$D2043=""),"",DATE($C2043+2018,$D2043,1))</f>
        <v/>
      </c>
    </row>
    <row r="2044">
      <c r="A2044" s="11" t="n"/>
      <c r="B2044" s="12" t="n"/>
      <c r="C2044" s="12" t="n"/>
      <c r="D2044" s="12" t="n"/>
      <c r="E2044" s="13" t="n"/>
      <c r="F2044" s="12" t="n"/>
      <c r="G2044" s="13" t="n"/>
      <c r="H2044" s="12" t="n"/>
      <c r="I2044" s="12" t="n"/>
      <c r="J2044" s="12" t="n"/>
      <c r="K2044" s="12" t="n"/>
      <c r="L2044" s="11" t="n"/>
      <c r="M2044" s="11" t="n"/>
      <c r="N2044" s="11" t="n"/>
      <c r="O2044" s="11" t="n"/>
      <c r="P2044" s="12" t="n"/>
      <c r="Q2044" s="11" t="n"/>
      <c r="R2044" s="12" t="n"/>
      <c r="S2044" s="11" t="n"/>
      <c r="T2044" s="12" t="n"/>
      <c r="U2044" s="12" t="n"/>
      <c r="V2044" s="12" t="n"/>
      <c r="W2044" s="13" t="n"/>
      <c r="X2044" s="14">
        <f>IF($AP2044="",IF($B2044="","",$H2044),IF(INDEX(職員マスタ!$B$6:$B$405,$AP2044)="",$H2044,INDEX(職員マスタ!$B$6:$B$405,$AP2044)))</f>
        <v/>
      </c>
      <c r="Y2044" s="14">
        <f>IF($AP2044="",IF($B2044="","",$R2044),IF(INDEX(職員マスタ!$C$6:$C$405,$AP2044)="",$R2044,INDEX(職員マスタ!$C$6:$C$405,$AP2044)))</f>
        <v/>
      </c>
      <c r="Z2044" s="14">
        <f>IF($AQ2044="","","R"&amp;$C2044&amp;"."&amp;$D2044)</f>
        <v/>
      </c>
      <c r="AA2044" s="15">
        <f>IF(IF($AP2044="",FALSE,INDEX(職員マスタ!$K$6:$K$405,$AP2044)&lt;&gt;""),INDEX(職員マスタ!$K$6:$K$405,$AP2044),IF(N($W2044)&gt;0,$W2044,""))</f>
        <v/>
      </c>
      <c r="AB2044" s="14">
        <f>IF(OR($E2044="",$AA2044=""),"",IF($E2044&gt;=$AA2044,"×",IF($E2044&gt;=$AA2044*設定!$C$5,"△","○")))</f>
        <v/>
      </c>
      <c r="AC2044" s="15">
        <f>IF($AB2044="","",IF($AB2044="×",0,IF($AB2044="○",ROUNDDOWN($E2044*設定!$C$4,0),ROUNDDOWN($E2044*ROUND((9*$AA2044-9*$E2044)/(10*$E2044),4),0))))</f>
        <v/>
      </c>
      <c r="AD2044" s="13" t="n"/>
      <c r="AE2044" s="15">
        <f>IF($B2044="","",IF($AD2044&lt;&gt;"",$AD2044,IF($AC2044="","",IF($AC2044&lt;=設定!$C$3,0,$AC2044))))</f>
        <v/>
      </c>
      <c r="AF2044" s="14">
        <f>IF($B2044="","",IF(AND($AG2044&lt;&gt;"",$AI2044="",$AL2044=""),"保留中",IF($AL2044&lt;&gt;"",IF(N($AE2044)&gt;0,"支給済","不支給"),IF($AE2044="","要確認",IF($AE2044=0,"不支給","未処理")))))</f>
        <v/>
      </c>
      <c r="AG2044" s="12" t="n"/>
      <c r="AH2044" s="11" t="n"/>
      <c r="AI2044" s="11" t="n"/>
      <c r="AJ2044" s="11" t="n"/>
      <c r="AK2044" s="14">
        <f>IF(AND($AF2044="保留中",$AH2044&lt;&gt;""),TODAY()-$AH2044,"")</f>
        <v/>
      </c>
      <c r="AL2044" s="12" t="n"/>
      <c r="AM2044" s="14">
        <f>IF($B2044="","",IF($AQ2044="","対象年月が未入力／","")&amp;IF($B2044="","",IF($AP2044="","職員マスタに未登録の職員番号／",IF($AA2044="","標準報酬月額が未登録／","")&amp;IF(AND($AQ2044&lt;&gt;"",OR(AND(INDEX(職員マスタ!$G$6:$G$405,$AP2044)&lt;&gt;"",INDEX(職員マスタ!$G$6:$G$405,$AP2044)&gt;EOMONTH($AQ2044,0)),AND(INDEX(職員マスタ!$H$6:$H$405,$AP2044)&lt;&gt;"",INDEX(職員マスタ!$H$6:$H$405,$AP2044)&lt;$AQ2044))),"対象月が時短期間外／","")&amp;IF(AND(INDEX(職員マスタ!$K$6:$K$405,$AP2044)&lt;&gt;"",N($W2044)&gt;0,INDEX(職員マスタ!$K$6:$K$405,$AP2044)&lt;&gt;$W2044),"標準報酬月額が申請書と相違（台帳"&amp;TEXT(INDEX(職員マスタ!$K$6:$K$405,$AP2044),"#,##0")&amp;"円／申請書"&amp;TEXT($W2044,"#,##0")&amp;"円）／","")&amp;IF(AND(INDEX(職員マスタ!$F$6:$F$405,$AP2044)&lt;&gt;"",$AQ2044&lt;&gt;"",INDEX(職員マスタ!$F$6:$F$405,$AP2044)&lt;$AQ2044),"対象月に子が2歳到達済／","")&amp;IF(AND($H2044&lt;&gt;"",INDEX(職員マスタ!$B$6:$B$405,$AP2044)&lt;&gt;"",SUBSTITUTE(SUBSTITUTE($H2044," ","")," ","")&lt;&gt;SUBSTITUTE(SUBSTITUTE(INDEX(職員マスタ!$B$6:$B$405,$AP2044)," ","")," ","")),"氏名がマスタと相違／","")&amp;IF(AND($Q2044&lt;&gt;"",INDEX(職員マスタ!$E$6:$E$405,$AP2044)&lt;&gt;"",$Q2044&lt;&gt;INDEX(職員マスタ!$E$6:$E$405,$AP2044)),"子の生年月日がマスタと相違／","")&amp;IF(AND($L2044&lt;&gt;"",INDEX(職員マスタ!$G$6:$G$405,$AP2044)&lt;&gt;"",$L2044&lt;&gt;INDEX(職員マスタ!$G$6:$G$405,$AP2044)),"時短開始日がマスタと相違／","")&amp;IF(AND($M2044&lt;&gt;"",INDEX(職員マスタ!$H$6:$H$405,$AP2044)&lt;&gt;"",$M2044&lt;&gt;INDEX(職員マスタ!$H$6:$H$405,$AP2044)),"時短終了日がマスタと相違／","")))&amp;IF(AND($B2044&lt;&gt;"",$E2044=""),"報酬額が未入力／","")&amp;IF(N($U2044)&gt;0,"申請書に入力エラーが残っています／","")&amp;IF(AND($B2044&lt;&gt;"",$AQ2044&lt;&gt;""),IF(COUNTIFS($B$6:$B$3005,$B2044,$C$6:$C$3005,$C2044,$D$6:$D$3005,$D2044)&gt;1,"同じ月の請求が重複しています／",""),"")&amp;IF(AND(N($E2044)&gt;0,$AB2044&lt;&gt;"",$AB2044&lt;&gt;"×",$AE2044=0,$AD2044=""),"計算額が下限以下のため不支給／",""))</f>
        <v/>
      </c>
      <c r="AN2044" s="12" t="n"/>
      <c r="AO2044" s="14">
        <f>IF($AF2044="保留中",COUNTIF($AF$6:$AF2044,"保留中"),"")</f>
        <v/>
      </c>
      <c r="AP2044" s="14">
        <f>IF($AQ2044="","",IF(SUMPRODUCT(MAX((職員マスタ!$A$6:$A$405=$B2044)*(((職員マスタ!$G$6:$G$405="")+(職員マスタ!$G$6:$G$405&lt;=EOMONTH($AQ2044,0)))&gt;0)*(((職員マスタ!$H$6:$H$405="")+(職員マスタ!$H$6:$H$405&gt;=$AQ2044))&gt;0)*(ROW(職員マスタ!$A$6:$A$405)-5)))&gt;0,SUMPRODUCT(MAX((職員マスタ!$A$6:$A$405=$B2044)*(((職員マスタ!$G$6:$G$405="")+(職員マスタ!$G$6:$G$405&lt;=EOMONTH($AQ2044,0)))&gt;0)*(((職員マスタ!$H$6:$H$405="")+(職員マスタ!$H$6:$H$405&gt;=$AQ2044))&gt;0)*(ROW(職員マスタ!$A$6:$A$405)-5))),IFERROR(MATCH($B2044,職員マスタ!$A$6:$A$405,0),"")))</f>
        <v/>
      </c>
      <c r="AQ2044" s="16">
        <f>IF(OR($B2044="",$C2044="",$D2044=""),"",DATE($C2044+2018,$D2044,1))</f>
        <v/>
      </c>
    </row>
    <row r="2045">
      <c r="A2045" s="11" t="n"/>
      <c r="B2045" s="12" t="n"/>
      <c r="C2045" s="12" t="n"/>
      <c r="D2045" s="12" t="n"/>
      <c r="E2045" s="13" t="n"/>
      <c r="F2045" s="12" t="n"/>
      <c r="G2045" s="13" t="n"/>
      <c r="H2045" s="12" t="n"/>
      <c r="I2045" s="12" t="n"/>
      <c r="J2045" s="12" t="n"/>
      <c r="K2045" s="12" t="n"/>
      <c r="L2045" s="11" t="n"/>
      <c r="M2045" s="11" t="n"/>
      <c r="N2045" s="11" t="n"/>
      <c r="O2045" s="11" t="n"/>
      <c r="P2045" s="12" t="n"/>
      <c r="Q2045" s="11" t="n"/>
      <c r="R2045" s="12" t="n"/>
      <c r="S2045" s="11" t="n"/>
      <c r="T2045" s="12" t="n"/>
      <c r="U2045" s="12" t="n"/>
      <c r="V2045" s="12" t="n"/>
      <c r="W2045" s="13" t="n"/>
      <c r="X2045" s="14">
        <f>IF($AP2045="",IF($B2045="","",$H2045),IF(INDEX(職員マスタ!$B$6:$B$405,$AP2045)="",$H2045,INDEX(職員マスタ!$B$6:$B$405,$AP2045)))</f>
        <v/>
      </c>
      <c r="Y2045" s="14">
        <f>IF($AP2045="",IF($B2045="","",$R2045),IF(INDEX(職員マスタ!$C$6:$C$405,$AP2045)="",$R2045,INDEX(職員マスタ!$C$6:$C$405,$AP2045)))</f>
        <v/>
      </c>
      <c r="Z2045" s="14">
        <f>IF($AQ2045="","","R"&amp;$C2045&amp;"."&amp;$D2045)</f>
        <v/>
      </c>
      <c r="AA2045" s="15">
        <f>IF(IF($AP2045="",FALSE,INDEX(職員マスタ!$K$6:$K$405,$AP2045)&lt;&gt;""),INDEX(職員マスタ!$K$6:$K$405,$AP2045),IF(N($W2045)&gt;0,$W2045,""))</f>
        <v/>
      </c>
      <c r="AB2045" s="14">
        <f>IF(OR($E2045="",$AA2045=""),"",IF($E2045&gt;=$AA2045,"×",IF($E2045&gt;=$AA2045*設定!$C$5,"△","○")))</f>
        <v/>
      </c>
      <c r="AC2045" s="15">
        <f>IF($AB2045="","",IF($AB2045="×",0,IF($AB2045="○",ROUNDDOWN($E2045*設定!$C$4,0),ROUNDDOWN($E2045*ROUND((9*$AA2045-9*$E2045)/(10*$E2045),4),0))))</f>
        <v/>
      </c>
      <c r="AD2045" s="13" t="n"/>
      <c r="AE2045" s="15">
        <f>IF($B2045="","",IF($AD2045&lt;&gt;"",$AD2045,IF($AC2045="","",IF($AC2045&lt;=設定!$C$3,0,$AC2045))))</f>
        <v/>
      </c>
      <c r="AF2045" s="14">
        <f>IF($B2045="","",IF(AND($AG2045&lt;&gt;"",$AI2045="",$AL2045=""),"保留中",IF($AL2045&lt;&gt;"",IF(N($AE2045)&gt;0,"支給済","不支給"),IF($AE2045="","要確認",IF($AE2045=0,"不支給","未処理")))))</f>
        <v/>
      </c>
      <c r="AG2045" s="12" t="n"/>
      <c r="AH2045" s="11" t="n"/>
      <c r="AI2045" s="11" t="n"/>
      <c r="AJ2045" s="11" t="n"/>
      <c r="AK2045" s="14">
        <f>IF(AND($AF2045="保留中",$AH2045&lt;&gt;""),TODAY()-$AH2045,"")</f>
        <v/>
      </c>
      <c r="AL2045" s="12" t="n"/>
      <c r="AM2045" s="14">
        <f>IF($B2045="","",IF($AQ2045="","対象年月が未入力／","")&amp;IF($B2045="","",IF($AP2045="","職員マスタに未登録の職員番号／",IF($AA2045="","標準報酬月額が未登録／","")&amp;IF(AND($AQ2045&lt;&gt;"",OR(AND(INDEX(職員マスタ!$G$6:$G$405,$AP2045)&lt;&gt;"",INDEX(職員マスタ!$G$6:$G$405,$AP2045)&gt;EOMONTH($AQ2045,0)),AND(INDEX(職員マスタ!$H$6:$H$405,$AP2045)&lt;&gt;"",INDEX(職員マスタ!$H$6:$H$405,$AP2045)&lt;$AQ2045))),"対象月が時短期間外／","")&amp;IF(AND(INDEX(職員マスタ!$K$6:$K$405,$AP2045)&lt;&gt;"",N($W2045)&gt;0,INDEX(職員マスタ!$K$6:$K$405,$AP2045)&lt;&gt;$W2045),"標準報酬月額が申請書と相違（台帳"&amp;TEXT(INDEX(職員マスタ!$K$6:$K$405,$AP2045),"#,##0")&amp;"円／申請書"&amp;TEXT($W2045,"#,##0")&amp;"円）／","")&amp;IF(AND(INDEX(職員マスタ!$F$6:$F$405,$AP2045)&lt;&gt;"",$AQ2045&lt;&gt;"",INDEX(職員マスタ!$F$6:$F$405,$AP2045)&lt;$AQ2045),"対象月に子が2歳到達済／","")&amp;IF(AND($H2045&lt;&gt;"",INDEX(職員マスタ!$B$6:$B$405,$AP2045)&lt;&gt;"",SUBSTITUTE(SUBSTITUTE($H2045," ","")," ","")&lt;&gt;SUBSTITUTE(SUBSTITUTE(INDEX(職員マスタ!$B$6:$B$405,$AP2045)," ","")," ","")),"氏名がマスタと相違／","")&amp;IF(AND($Q2045&lt;&gt;"",INDEX(職員マスタ!$E$6:$E$405,$AP2045)&lt;&gt;"",$Q2045&lt;&gt;INDEX(職員マスタ!$E$6:$E$405,$AP2045)),"子の生年月日がマスタと相違／","")&amp;IF(AND($L2045&lt;&gt;"",INDEX(職員マスタ!$G$6:$G$405,$AP2045)&lt;&gt;"",$L2045&lt;&gt;INDEX(職員マスタ!$G$6:$G$405,$AP2045)),"時短開始日がマスタと相違／","")&amp;IF(AND($M2045&lt;&gt;"",INDEX(職員マスタ!$H$6:$H$405,$AP2045)&lt;&gt;"",$M2045&lt;&gt;INDEX(職員マスタ!$H$6:$H$405,$AP2045)),"時短終了日がマスタと相違／","")))&amp;IF(AND($B2045&lt;&gt;"",$E2045=""),"報酬額が未入力／","")&amp;IF(N($U2045)&gt;0,"申請書に入力エラーが残っています／","")&amp;IF(AND($B2045&lt;&gt;"",$AQ2045&lt;&gt;""),IF(COUNTIFS($B$6:$B$3005,$B2045,$C$6:$C$3005,$C2045,$D$6:$D$3005,$D2045)&gt;1,"同じ月の請求が重複しています／",""),"")&amp;IF(AND(N($E2045)&gt;0,$AB2045&lt;&gt;"",$AB2045&lt;&gt;"×",$AE2045=0,$AD2045=""),"計算額が下限以下のため不支給／",""))</f>
        <v/>
      </c>
      <c r="AN2045" s="12" t="n"/>
      <c r="AO2045" s="14">
        <f>IF($AF2045="保留中",COUNTIF($AF$6:$AF2045,"保留中"),"")</f>
        <v/>
      </c>
      <c r="AP2045" s="14">
        <f>IF($AQ2045="","",IF(SUMPRODUCT(MAX((職員マスタ!$A$6:$A$405=$B2045)*(((職員マスタ!$G$6:$G$405="")+(職員マスタ!$G$6:$G$405&lt;=EOMONTH($AQ2045,0)))&gt;0)*(((職員マスタ!$H$6:$H$405="")+(職員マスタ!$H$6:$H$405&gt;=$AQ2045))&gt;0)*(ROW(職員マスタ!$A$6:$A$405)-5)))&gt;0,SUMPRODUCT(MAX((職員マスタ!$A$6:$A$405=$B2045)*(((職員マスタ!$G$6:$G$405="")+(職員マスタ!$G$6:$G$405&lt;=EOMONTH($AQ2045,0)))&gt;0)*(((職員マスタ!$H$6:$H$405="")+(職員マスタ!$H$6:$H$405&gt;=$AQ2045))&gt;0)*(ROW(職員マスタ!$A$6:$A$405)-5))),IFERROR(MATCH($B2045,職員マスタ!$A$6:$A$405,0),"")))</f>
        <v/>
      </c>
      <c r="AQ2045" s="16">
        <f>IF(OR($B2045="",$C2045="",$D2045=""),"",DATE($C2045+2018,$D2045,1))</f>
        <v/>
      </c>
    </row>
    <row r="2046">
      <c r="A2046" s="11" t="n"/>
      <c r="B2046" s="12" t="n"/>
      <c r="C2046" s="12" t="n"/>
      <c r="D2046" s="12" t="n"/>
      <c r="E2046" s="13" t="n"/>
      <c r="F2046" s="12" t="n"/>
      <c r="G2046" s="13" t="n"/>
      <c r="H2046" s="12" t="n"/>
      <c r="I2046" s="12" t="n"/>
      <c r="J2046" s="12" t="n"/>
      <c r="K2046" s="12" t="n"/>
      <c r="L2046" s="11" t="n"/>
      <c r="M2046" s="11" t="n"/>
      <c r="N2046" s="11" t="n"/>
      <c r="O2046" s="11" t="n"/>
      <c r="P2046" s="12" t="n"/>
      <c r="Q2046" s="11" t="n"/>
      <c r="R2046" s="12" t="n"/>
      <c r="S2046" s="11" t="n"/>
      <c r="T2046" s="12" t="n"/>
      <c r="U2046" s="12" t="n"/>
      <c r="V2046" s="12" t="n"/>
      <c r="W2046" s="13" t="n"/>
      <c r="X2046" s="14">
        <f>IF($AP2046="",IF($B2046="","",$H2046),IF(INDEX(職員マスタ!$B$6:$B$405,$AP2046)="",$H2046,INDEX(職員マスタ!$B$6:$B$405,$AP2046)))</f>
        <v/>
      </c>
      <c r="Y2046" s="14">
        <f>IF($AP2046="",IF($B2046="","",$R2046),IF(INDEX(職員マスタ!$C$6:$C$405,$AP2046)="",$R2046,INDEX(職員マスタ!$C$6:$C$405,$AP2046)))</f>
        <v/>
      </c>
      <c r="Z2046" s="14">
        <f>IF($AQ2046="","","R"&amp;$C2046&amp;"."&amp;$D2046)</f>
        <v/>
      </c>
      <c r="AA2046" s="15">
        <f>IF(IF($AP2046="",FALSE,INDEX(職員マスタ!$K$6:$K$405,$AP2046)&lt;&gt;""),INDEX(職員マスタ!$K$6:$K$405,$AP2046),IF(N($W2046)&gt;0,$W2046,""))</f>
        <v/>
      </c>
      <c r="AB2046" s="14">
        <f>IF(OR($E2046="",$AA2046=""),"",IF($E2046&gt;=$AA2046,"×",IF($E2046&gt;=$AA2046*設定!$C$5,"△","○")))</f>
        <v/>
      </c>
      <c r="AC2046" s="15">
        <f>IF($AB2046="","",IF($AB2046="×",0,IF($AB2046="○",ROUNDDOWN($E2046*設定!$C$4,0),ROUNDDOWN($E2046*ROUND((9*$AA2046-9*$E2046)/(10*$E2046),4),0))))</f>
        <v/>
      </c>
      <c r="AD2046" s="13" t="n"/>
      <c r="AE2046" s="15">
        <f>IF($B2046="","",IF($AD2046&lt;&gt;"",$AD2046,IF($AC2046="","",IF($AC2046&lt;=設定!$C$3,0,$AC2046))))</f>
        <v/>
      </c>
      <c r="AF2046" s="14">
        <f>IF($B2046="","",IF(AND($AG2046&lt;&gt;"",$AI2046="",$AL2046=""),"保留中",IF($AL2046&lt;&gt;"",IF(N($AE2046)&gt;0,"支給済","不支給"),IF($AE2046="","要確認",IF($AE2046=0,"不支給","未処理")))))</f>
        <v/>
      </c>
      <c r="AG2046" s="12" t="n"/>
      <c r="AH2046" s="11" t="n"/>
      <c r="AI2046" s="11" t="n"/>
      <c r="AJ2046" s="11" t="n"/>
      <c r="AK2046" s="14">
        <f>IF(AND($AF2046="保留中",$AH2046&lt;&gt;""),TODAY()-$AH2046,"")</f>
        <v/>
      </c>
      <c r="AL2046" s="12" t="n"/>
      <c r="AM2046" s="14">
        <f>IF($B2046="","",IF($AQ2046="","対象年月が未入力／","")&amp;IF($B2046="","",IF($AP2046="","職員マスタに未登録の職員番号／",IF($AA2046="","標準報酬月額が未登録／","")&amp;IF(AND($AQ2046&lt;&gt;"",OR(AND(INDEX(職員マスタ!$G$6:$G$405,$AP2046)&lt;&gt;"",INDEX(職員マスタ!$G$6:$G$405,$AP2046)&gt;EOMONTH($AQ2046,0)),AND(INDEX(職員マスタ!$H$6:$H$405,$AP2046)&lt;&gt;"",INDEX(職員マスタ!$H$6:$H$405,$AP2046)&lt;$AQ2046))),"対象月が時短期間外／","")&amp;IF(AND(INDEX(職員マスタ!$K$6:$K$405,$AP2046)&lt;&gt;"",N($W2046)&gt;0,INDEX(職員マスタ!$K$6:$K$405,$AP2046)&lt;&gt;$W2046),"標準報酬月額が申請書と相違（台帳"&amp;TEXT(INDEX(職員マスタ!$K$6:$K$405,$AP2046),"#,##0")&amp;"円／申請書"&amp;TEXT($W2046,"#,##0")&amp;"円）／","")&amp;IF(AND(INDEX(職員マスタ!$F$6:$F$405,$AP2046)&lt;&gt;"",$AQ2046&lt;&gt;"",INDEX(職員マスタ!$F$6:$F$405,$AP2046)&lt;$AQ2046),"対象月に子が2歳到達済／","")&amp;IF(AND($H2046&lt;&gt;"",INDEX(職員マスタ!$B$6:$B$405,$AP2046)&lt;&gt;"",SUBSTITUTE(SUBSTITUTE($H2046," ","")," ","")&lt;&gt;SUBSTITUTE(SUBSTITUTE(INDEX(職員マスタ!$B$6:$B$405,$AP2046)," ","")," ","")),"氏名がマスタと相違／","")&amp;IF(AND($Q2046&lt;&gt;"",INDEX(職員マスタ!$E$6:$E$405,$AP2046)&lt;&gt;"",$Q2046&lt;&gt;INDEX(職員マスタ!$E$6:$E$405,$AP2046)),"子の生年月日がマスタと相違／","")&amp;IF(AND($L2046&lt;&gt;"",INDEX(職員マスタ!$G$6:$G$405,$AP2046)&lt;&gt;"",$L2046&lt;&gt;INDEX(職員マスタ!$G$6:$G$405,$AP2046)),"時短開始日がマスタと相違／","")&amp;IF(AND($M2046&lt;&gt;"",INDEX(職員マスタ!$H$6:$H$405,$AP2046)&lt;&gt;"",$M2046&lt;&gt;INDEX(職員マスタ!$H$6:$H$405,$AP2046)),"時短終了日がマスタと相違／","")))&amp;IF(AND($B2046&lt;&gt;"",$E2046=""),"報酬額が未入力／","")&amp;IF(N($U2046)&gt;0,"申請書に入力エラーが残っています／","")&amp;IF(AND($B2046&lt;&gt;"",$AQ2046&lt;&gt;""),IF(COUNTIFS($B$6:$B$3005,$B2046,$C$6:$C$3005,$C2046,$D$6:$D$3005,$D2046)&gt;1,"同じ月の請求が重複しています／",""),"")&amp;IF(AND(N($E2046)&gt;0,$AB2046&lt;&gt;"",$AB2046&lt;&gt;"×",$AE2046=0,$AD2046=""),"計算額が下限以下のため不支給／",""))</f>
        <v/>
      </c>
      <c r="AN2046" s="12" t="n"/>
      <c r="AO2046" s="14">
        <f>IF($AF2046="保留中",COUNTIF($AF$6:$AF2046,"保留中"),"")</f>
        <v/>
      </c>
      <c r="AP2046" s="14">
        <f>IF($AQ2046="","",IF(SUMPRODUCT(MAX((職員マスタ!$A$6:$A$405=$B2046)*(((職員マスタ!$G$6:$G$405="")+(職員マスタ!$G$6:$G$405&lt;=EOMONTH($AQ2046,0)))&gt;0)*(((職員マスタ!$H$6:$H$405="")+(職員マスタ!$H$6:$H$405&gt;=$AQ2046))&gt;0)*(ROW(職員マスタ!$A$6:$A$405)-5)))&gt;0,SUMPRODUCT(MAX((職員マスタ!$A$6:$A$405=$B2046)*(((職員マスタ!$G$6:$G$405="")+(職員マスタ!$G$6:$G$405&lt;=EOMONTH($AQ2046,0)))&gt;0)*(((職員マスタ!$H$6:$H$405="")+(職員マスタ!$H$6:$H$405&gt;=$AQ2046))&gt;0)*(ROW(職員マスタ!$A$6:$A$405)-5))),IFERROR(MATCH($B2046,職員マスタ!$A$6:$A$405,0),"")))</f>
        <v/>
      </c>
      <c r="AQ2046" s="16">
        <f>IF(OR($B2046="",$C2046="",$D2046=""),"",DATE($C2046+2018,$D2046,1))</f>
        <v/>
      </c>
    </row>
    <row r="2047">
      <c r="A2047" s="11" t="n"/>
      <c r="B2047" s="12" t="n"/>
      <c r="C2047" s="12" t="n"/>
      <c r="D2047" s="12" t="n"/>
      <c r="E2047" s="13" t="n"/>
      <c r="F2047" s="12" t="n"/>
      <c r="G2047" s="13" t="n"/>
      <c r="H2047" s="12" t="n"/>
      <c r="I2047" s="12" t="n"/>
      <c r="J2047" s="12" t="n"/>
      <c r="K2047" s="12" t="n"/>
      <c r="L2047" s="11" t="n"/>
      <c r="M2047" s="11" t="n"/>
      <c r="N2047" s="11" t="n"/>
      <c r="O2047" s="11" t="n"/>
      <c r="P2047" s="12" t="n"/>
      <c r="Q2047" s="11" t="n"/>
      <c r="R2047" s="12" t="n"/>
      <c r="S2047" s="11" t="n"/>
      <c r="T2047" s="12" t="n"/>
      <c r="U2047" s="12" t="n"/>
      <c r="V2047" s="12" t="n"/>
      <c r="W2047" s="13" t="n"/>
      <c r="X2047" s="14">
        <f>IF($AP2047="",IF($B2047="","",$H2047),IF(INDEX(職員マスタ!$B$6:$B$405,$AP2047)="",$H2047,INDEX(職員マスタ!$B$6:$B$405,$AP2047)))</f>
        <v/>
      </c>
      <c r="Y2047" s="14">
        <f>IF($AP2047="",IF($B2047="","",$R2047),IF(INDEX(職員マスタ!$C$6:$C$405,$AP2047)="",$R2047,INDEX(職員マスタ!$C$6:$C$405,$AP2047)))</f>
        <v/>
      </c>
      <c r="Z2047" s="14">
        <f>IF($AQ2047="","","R"&amp;$C2047&amp;"."&amp;$D2047)</f>
        <v/>
      </c>
      <c r="AA2047" s="15">
        <f>IF(IF($AP2047="",FALSE,INDEX(職員マスタ!$K$6:$K$405,$AP2047)&lt;&gt;""),INDEX(職員マスタ!$K$6:$K$405,$AP2047),IF(N($W2047)&gt;0,$W2047,""))</f>
        <v/>
      </c>
      <c r="AB2047" s="14">
        <f>IF(OR($E2047="",$AA2047=""),"",IF($E2047&gt;=$AA2047,"×",IF($E2047&gt;=$AA2047*設定!$C$5,"△","○")))</f>
        <v/>
      </c>
      <c r="AC2047" s="15">
        <f>IF($AB2047="","",IF($AB2047="×",0,IF($AB2047="○",ROUNDDOWN($E2047*設定!$C$4,0),ROUNDDOWN($E2047*ROUND((9*$AA2047-9*$E2047)/(10*$E2047),4),0))))</f>
        <v/>
      </c>
      <c r="AD2047" s="13" t="n"/>
      <c r="AE2047" s="15">
        <f>IF($B2047="","",IF($AD2047&lt;&gt;"",$AD2047,IF($AC2047="","",IF($AC2047&lt;=設定!$C$3,0,$AC2047))))</f>
        <v/>
      </c>
      <c r="AF2047" s="14">
        <f>IF($B2047="","",IF(AND($AG2047&lt;&gt;"",$AI2047="",$AL2047=""),"保留中",IF($AL2047&lt;&gt;"",IF(N($AE2047)&gt;0,"支給済","不支給"),IF($AE2047="","要確認",IF($AE2047=0,"不支給","未処理")))))</f>
        <v/>
      </c>
      <c r="AG2047" s="12" t="n"/>
      <c r="AH2047" s="11" t="n"/>
      <c r="AI2047" s="11" t="n"/>
      <c r="AJ2047" s="11" t="n"/>
      <c r="AK2047" s="14">
        <f>IF(AND($AF2047="保留中",$AH2047&lt;&gt;""),TODAY()-$AH2047,"")</f>
        <v/>
      </c>
      <c r="AL2047" s="12" t="n"/>
      <c r="AM2047" s="14">
        <f>IF($B2047="","",IF($AQ2047="","対象年月が未入力／","")&amp;IF($B2047="","",IF($AP2047="","職員マスタに未登録の職員番号／",IF($AA2047="","標準報酬月額が未登録／","")&amp;IF(AND($AQ2047&lt;&gt;"",OR(AND(INDEX(職員マスタ!$G$6:$G$405,$AP2047)&lt;&gt;"",INDEX(職員マスタ!$G$6:$G$405,$AP2047)&gt;EOMONTH($AQ2047,0)),AND(INDEX(職員マスタ!$H$6:$H$405,$AP2047)&lt;&gt;"",INDEX(職員マスタ!$H$6:$H$405,$AP2047)&lt;$AQ2047))),"対象月が時短期間外／","")&amp;IF(AND(INDEX(職員マスタ!$K$6:$K$405,$AP2047)&lt;&gt;"",N($W2047)&gt;0,INDEX(職員マスタ!$K$6:$K$405,$AP2047)&lt;&gt;$W2047),"標準報酬月額が申請書と相違（台帳"&amp;TEXT(INDEX(職員マスタ!$K$6:$K$405,$AP2047),"#,##0")&amp;"円／申請書"&amp;TEXT($W2047,"#,##0")&amp;"円）／","")&amp;IF(AND(INDEX(職員マスタ!$F$6:$F$405,$AP2047)&lt;&gt;"",$AQ2047&lt;&gt;"",INDEX(職員マスタ!$F$6:$F$405,$AP2047)&lt;$AQ2047),"対象月に子が2歳到達済／","")&amp;IF(AND($H2047&lt;&gt;"",INDEX(職員マスタ!$B$6:$B$405,$AP2047)&lt;&gt;"",SUBSTITUTE(SUBSTITUTE($H2047," ","")," ","")&lt;&gt;SUBSTITUTE(SUBSTITUTE(INDEX(職員マスタ!$B$6:$B$405,$AP2047)," ","")," ","")),"氏名がマスタと相違／","")&amp;IF(AND($Q2047&lt;&gt;"",INDEX(職員マスタ!$E$6:$E$405,$AP2047)&lt;&gt;"",$Q2047&lt;&gt;INDEX(職員マスタ!$E$6:$E$405,$AP2047)),"子の生年月日がマスタと相違／","")&amp;IF(AND($L2047&lt;&gt;"",INDEX(職員マスタ!$G$6:$G$405,$AP2047)&lt;&gt;"",$L2047&lt;&gt;INDEX(職員マスタ!$G$6:$G$405,$AP2047)),"時短開始日がマスタと相違／","")&amp;IF(AND($M2047&lt;&gt;"",INDEX(職員マスタ!$H$6:$H$405,$AP2047)&lt;&gt;"",$M2047&lt;&gt;INDEX(職員マスタ!$H$6:$H$405,$AP2047)),"時短終了日がマスタと相違／","")))&amp;IF(AND($B2047&lt;&gt;"",$E2047=""),"報酬額が未入力／","")&amp;IF(N($U2047)&gt;0,"申請書に入力エラーが残っています／","")&amp;IF(AND($B2047&lt;&gt;"",$AQ2047&lt;&gt;""),IF(COUNTIFS($B$6:$B$3005,$B2047,$C$6:$C$3005,$C2047,$D$6:$D$3005,$D2047)&gt;1,"同じ月の請求が重複しています／",""),"")&amp;IF(AND(N($E2047)&gt;0,$AB2047&lt;&gt;"",$AB2047&lt;&gt;"×",$AE2047=0,$AD2047=""),"計算額が下限以下のため不支給／",""))</f>
        <v/>
      </c>
      <c r="AN2047" s="12" t="n"/>
      <c r="AO2047" s="14">
        <f>IF($AF2047="保留中",COUNTIF($AF$6:$AF2047,"保留中"),"")</f>
        <v/>
      </c>
      <c r="AP2047" s="14">
        <f>IF($AQ2047="","",IF(SUMPRODUCT(MAX((職員マスタ!$A$6:$A$405=$B2047)*(((職員マスタ!$G$6:$G$405="")+(職員マスタ!$G$6:$G$405&lt;=EOMONTH($AQ2047,0)))&gt;0)*(((職員マスタ!$H$6:$H$405="")+(職員マスタ!$H$6:$H$405&gt;=$AQ2047))&gt;0)*(ROW(職員マスタ!$A$6:$A$405)-5)))&gt;0,SUMPRODUCT(MAX((職員マスタ!$A$6:$A$405=$B2047)*(((職員マスタ!$G$6:$G$405="")+(職員マスタ!$G$6:$G$405&lt;=EOMONTH($AQ2047,0)))&gt;0)*(((職員マスタ!$H$6:$H$405="")+(職員マスタ!$H$6:$H$405&gt;=$AQ2047))&gt;0)*(ROW(職員マスタ!$A$6:$A$405)-5))),IFERROR(MATCH($B2047,職員マスタ!$A$6:$A$405,0),"")))</f>
        <v/>
      </c>
      <c r="AQ2047" s="16">
        <f>IF(OR($B2047="",$C2047="",$D2047=""),"",DATE($C2047+2018,$D2047,1))</f>
        <v/>
      </c>
    </row>
    <row r="2048">
      <c r="A2048" s="11" t="n"/>
      <c r="B2048" s="12" t="n"/>
      <c r="C2048" s="12" t="n"/>
      <c r="D2048" s="12" t="n"/>
      <c r="E2048" s="13" t="n"/>
      <c r="F2048" s="12" t="n"/>
      <c r="G2048" s="13" t="n"/>
      <c r="H2048" s="12" t="n"/>
      <c r="I2048" s="12" t="n"/>
      <c r="J2048" s="12" t="n"/>
      <c r="K2048" s="12" t="n"/>
      <c r="L2048" s="11" t="n"/>
      <c r="M2048" s="11" t="n"/>
      <c r="N2048" s="11" t="n"/>
      <c r="O2048" s="11" t="n"/>
      <c r="P2048" s="12" t="n"/>
      <c r="Q2048" s="11" t="n"/>
      <c r="R2048" s="12" t="n"/>
      <c r="S2048" s="11" t="n"/>
      <c r="T2048" s="12" t="n"/>
      <c r="U2048" s="12" t="n"/>
      <c r="V2048" s="12" t="n"/>
      <c r="W2048" s="13" t="n"/>
      <c r="X2048" s="14">
        <f>IF($AP2048="",IF($B2048="","",$H2048),IF(INDEX(職員マスタ!$B$6:$B$405,$AP2048)="",$H2048,INDEX(職員マスタ!$B$6:$B$405,$AP2048)))</f>
        <v/>
      </c>
      <c r="Y2048" s="14">
        <f>IF($AP2048="",IF($B2048="","",$R2048),IF(INDEX(職員マスタ!$C$6:$C$405,$AP2048)="",$R2048,INDEX(職員マスタ!$C$6:$C$405,$AP2048)))</f>
        <v/>
      </c>
      <c r="Z2048" s="14">
        <f>IF($AQ2048="","","R"&amp;$C2048&amp;"."&amp;$D2048)</f>
        <v/>
      </c>
      <c r="AA2048" s="15">
        <f>IF(IF($AP2048="",FALSE,INDEX(職員マスタ!$K$6:$K$405,$AP2048)&lt;&gt;""),INDEX(職員マスタ!$K$6:$K$405,$AP2048),IF(N($W2048)&gt;0,$W2048,""))</f>
        <v/>
      </c>
      <c r="AB2048" s="14">
        <f>IF(OR($E2048="",$AA2048=""),"",IF($E2048&gt;=$AA2048,"×",IF($E2048&gt;=$AA2048*設定!$C$5,"△","○")))</f>
        <v/>
      </c>
      <c r="AC2048" s="15">
        <f>IF($AB2048="","",IF($AB2048="×",0,IF($AB2048="○",ROUNDDOWN($E2048*設定!$C$4,0),ROUNDDOWN($E2048*ROUND((9*$AA2048-9*$E2048)/(10*$E2048),4),0))))</f>
        <v/>
      </c>
      <c r="AD2048" s="13" t="n"/>
      <c r="AE2048" s="15">
        <f>IF($B2048="","",IF($AD2048&lt;&gt;"",$AD2048,IF($AC2048="","",IF($AC2048&lt;=設定!$C$3,0,$AC2048))))</f>
        <v/>
      </c>
      <c r="AF2048" s="14">
        <f>IF($B2048="","",IF(AND($AG2048&lt;&gt;"",$AI2048="",$AL2048=""),"保留中",IF($AL2048&lt;&gt;"",IF(N($AE2048)&gt;0,"支給済","不支給"),IF($AE2048="","要確認",IF($AE2048=0,"不支給","未処理")))))</f>
        <v/>
      </c>
      <c r="AG2048" s="12" t="n"/>
      <c r="AH2048" s="11" t="n"/>
      <c r="AI2048" s="11" t="n"/>
      <c r="AJ2048" s="11" t="n"/>
      <c r="AK2048" s="14">
        <f>IF(AND($AF2048="保留中",$AH2048&lt;&gt;""),TODAY()-$AH2048,"")</f>
        <v/>
      </c>
      <c r="AL2048" s="12" t="n"/>
      <c r="AM2048" s="14">
        <f>IF($B2048="","",IF($AQ2048="","対象年月が未入力／","")&amp;IF($B2048="","",IF($AP2048="","職員マスタに未登録の職員番号／",IF($AA2048="","標準報酬月額が未登録／","")&amp;IF(AND($AQ2048&lt;&gt;"",OR(AND(INDEX(職員マスタ!$G$6:$G$405,$AP2048)&lt;&gt;"",INDEX(職員マスタ!$G$6:$G$405,$AP2048)&gt;EOMONTH($AQ2048,0)),AND(INDEX(職員マスタ!$H$6:$H$405,$AP2048)&lt;&gt;"",INDEX(職員マスタ!$H$6:$H$405,$AP2048)&lt;$AQ2048))),"対象月が時短期間外／","")&amp;IF(AND(INDEX(職員マスタ!$K$6:$K$405,$AP2048)&lt;&gt;"",N($W2048)&gt;0,INDEX(職員マスタ!$K$6:$K$405,$AP2048)&lt;&gt;$W2048),"標準報酬月額が申請書と相違（台帳"&amp;TEXT(INDEX(職員マスタ!$K$6:$K$405,$AP2048),"#,##0")&amp;"円／申請書"&amp;TEXT($W2048,"#,##0")&amp;"円）／","")&amp;IF(AND(INDEX(職員マスタ!$F$6:$F$405,$AP2048)&lt;&gt;"",$AQ2048&lt;&gt;"",INDEX(職員マスタ!$F$6:$F$405,$AP2048)&lt;$AQ2048),"対象月に子が2歳到達済／","")&amp;IF(AND($H2048&lt;&gt;"",INDEX(職員マスタ!$B$6:$B$405,$AP2048)&lt;&gt;"",SUBSTITUTE(SUBSTITUTE($H2048," ","")," ","")&lt;&gt;SUBSTITUTE(SUBSTITUTE(INDEX(職員マスタ!$B$6:$B$405,$AP2048)," ","")," ","")),"氏名がマスタと相違／","")&amp;IF(AND($Q2048&lt;&gt;"",INDEX(職員マスタ!$E$6:$E$405,$AP2048)&lt;&gt;"",$Q2048&lt;&gt;INDEX(職員マスタ!$E$6:$E$405,$AP2048)),"子の生年月日がマスタと相違／","")&amp;IF(AND($L2048&lt;&gt;"",INDEX(職員マスタ!$G$6:$G$405,$AP2048)&lt;&gt;"",$L2048&lt;&gt;INDEX(職員マスタ!$G$6:$G$405,$AP2048)),"時短開始日がマスタと相違／","")&amp;IF(AND($M2048&lt;&gt;"",INDEX(職員マスタ!$H$6:$H$405,$AP2048)&lt;&gt;"",$M2048&lt;&gt;INDEX(職員マスタ!$H$6:$H$405,$AP2048)),"時短終了日がマスタと相違／","")))&amp;IF(AND($B2048&lt;&gt;"",$E2048=""),"報酬額が未入力／","")&amp;IF(N($U2048)&gt;0,"申請書に入力エラーが残っています／","")&amp;IF(AND($B2048&lt;&gt;"",$AQ2048&lt;&gt;""),IF(COUNTIFS($B$6:$B$3005,$B2048,$C$6:$C$3005,$C2048,$D$6:$D$3005,$D2048)&gt;1,"同じ月の請求が重複しています／",""),"")&amp;IF(AND(N($E2048)&gt;0,$AB2048&lt;&gt;"",$AB2048&lt;&gt;"×",$AE2048=0,$AD2048=""),"計算額が下限以下のため不支給／",""))</f>
        <v/>
      </c>
      <c r="AN2048" s="12" t="n"/>
      <c r="AO2048" s="14">
        <f>IF($AF2048="保留中",COUNTIF($AF$6:$AF2048,"保留中"),"")</f>
        <v/>
      </c>
      <c r="AP2048" s="14">
        <f>IF($AQ2048="","",IF(SUMPRODUCT(MAX((職員マスタ!$A$6:$A$405=$B2048)*(((職員マスタ!$G$6:$G$405="")+(職員マスタ!$G$6:$G$405&lt;=EOMONTH($AQ2048,0)))&gt;0)*(((職員マスタ!$H$6:$H$405="")+(職員マスタ!$H$6:$H$405&gt;=$AQ2048))&gt;0)*(ROW(職員マスタ!$A$6:$A$405)-5)))&gt;0,SUMPRODUCT(MAX((職員マスタ!$A$6:$A$405=$B2048)*(((職員マスタ!$G$6:$G$405="")+(職員マスタ!$G$6:$G$405&lt;=EOMONTH($AQ2048,0)))&gt;0)*(((職員マスタ!$H$6:$H$405="")+(職員マスタ!$H$6:$H$405&gt;=$AQ2048))&gt;0)*(ROW(職員マスタ!$A$6:$A$405)-5))),IFERROR(MATCH($B2048,職員マスタ!$A$6:$A$405,0),"")))</f>
        <v/>
      </c>
      <c r="AQ2048" s="16">
        <f>IF(OR($B2048="",$C2048="",$D2048=""),"",DATE($C2048+2018,$D2048,1))</f>
        <v/>
      </c>
    </row>
    <row r="2049">
      <c r="A2049" s="11" t="n"/>
      <c r="B2049" s="12" t="n"/>
      <c r="C2049" s="12" t="n"/>
      <c r="D2049" s="12" t="n"/>
      <c r="E2049" s="13" t="n"/>
      <c r="F2049" s="12" t="n"/>
      <c r="G2049" s="13" t="n"/>
      <c r="H2049" s="12" t="n"/>
      <c r="I2049" s="12" t="n"/>
      <c r="J2049" s="12" t="n"/>
      <c r="K2049" s="12" t="n"/>
      <c r="L2049" s="11" t="n"/>
      <c r="M2049" s="11" t="n"/>
      <c r="N2049" s="11" t="n"/>
      <c r="O2049" s="11" t="n"/>
      <c r="P2049" s="12" t="n"/>
      <c r="Q2049" s="11" t="n"/>
      <c r="R2049" s="12" t="n"/>
      <c r="S2049" s="11" t="n"/>
      <c r="T2049" s="12" t="n"/>
      <c r="U2049" s="12" t="n"/>
      <c r="V2049" s="12" t="n"/>
      <c r="W2049" s="13" t="n"/>
      <c r="X2049" s="14">
        <f>IF($AP2049="",IF($B2049="","",$H2049),IF(INDEX(職員マスタ!$B$6:$B$405,$AP2049)="",$H2049,INDEX(職員マスタ!$B$6:$B$405,$AP2049)))</f>
        <v/>
      </c>
      <c r="Y2049" s="14">
        <f>IF($AP2049="",IF($B2049="","",$R2049),IF(INDEX(職員マスタ!$C$6:$C$405,$AP2049)="",$R2049,INDEX(職員マスタ!$C$6:$C$405,$AP2049)))</f>
        <v/>
      </c>
      <c r="Z2049" s="14">
        <f>IF($AQ2049="","","R"&amp;$C2049&amp;"."&amp;$D2049)</f>
        <v/>
      </c>
      <c r="AA2049" s="15">
        <f>IF(IF($AP2049="",FALSE,INDEX(職員マスタ!$K$6:$K$405,$AP2049)&lt;&gt;""),INDEX(職員マスタ!$K$6:$K$405,$AP2049),IF(N($W2049)&gt;0,$W2049,""))</f>
        <v/>
      </c>
      <c r="AB2049" s="14">
        <f>IF(OR($E2049="",$AA2049=""),"",IF($E2049&gt;=$AA2049,"×",IF($E2049&gt;=$AA2049*設定!$C$5,"△","○")))</f>
        <v/>
      </c>
      <c r="AC2049" s="15">
        <f>IF($AB2049="","",IF($AB2049="×",0,IF($AB2049="○",ROUNDDOWN($E2049*設定!$C$4,0),ROUNDDOWN($E2049*ROUND((9*$AA2049-9*$E2049)/(10*$E2049),4),0))))</f>
        <v/>
      </c>
      <c r="AD2049" s="13" t="n"/>
      <c r="AE2049" s="15">
        <f>IF($B2049="","",IF($AD2049&lt;&gt;"",$AD2049,IF($AC2049="","",IF($AC2049&lt;=設定!$C$3,0,$AC2049))))</f>
        <v/>
      </c>
      <c r="AF2049" s="14">
        <f>IF($B2049="","",IF(AND($AG2049&lt;&gt;"",$AI2049="",$AL2049=""),"保留中",IF($AL2049&lt;&gt;"",IF(N($AE2049)&gt;0,"支給済","不支給"),IF($AE2049="","要確認",IF($AE2049=0,"不支給","未処理")))))</f>
        <v/>
      </c>
      <c r="AG2049" s="12" t="n"/>
      <c r="AH2049" s="11" t="n"/>
      <c r="AI2049" s="11" t="n"/>
      <c r="AJ2049" s="11" t="n"/>
      <c r="AK2049" s="14">
        <f>IF(AND($AF2049="保留中",$AH2049&lt;&gt;""),TODAY()-$AH2049,"")</f>
        <v/>
      </c>
      <c r="AL2049" s="12" t="n"/>
      <c r="AM2049" s="14">
        <f>IF($B2049="","",IF($AQ2049="","対象年月が未入力／","")&amp;IF($B2049="","",IF($AP2049="","職員マスタに未登録の職員番号／",IF($AA2049="","標準報酬月額が未登録／","")&amp;IF(AND($AQ2049&lt;&gt;"",OR(AND(INDEX(職員マスタ!$G$6:$G$405,$AP2049)&lt;&gt;"",INDEX(職員マスタ!$G$6:$G$405,$AP2049)&gt;EOMONTH($AQ2049,0)),AND(INDEX(職員マスタ!$H$6:$H$405,$AP2049)&lt;&gt;"",INDEX(職員マスタ!$H$6:$H$405,$AP2049)&lt;$AQ2049))),"対象月が時短期間外／","")&amp;IF(AND(INDEX(職員マスタ!$K$6:$K$405,$AP2049)&lt;&gt;"",N($W2049)&gt;0,INDEX(職員マスタ!$K$6:$K$405,$AP2049)&lt;&gt;$W2049),"標準報酬月額が申請書と相違（台帳"&amp;TEXT(INDEX(職員マスタ!$K$6:$K$405,$AP2049),"#,##0")&amp;"円／申請書"&amp;TEXT($W2049,"#,##0")&amp;"円）／","")&amp;IF(AND(INDEX(職員マスタ!$F$6:$F$405,$AP2049)&lt;&gt;"",$AQ2049&lt;&gt;"",INDEX(職員マスタ!$F$6:$F$405,$AP2049)&lt;$AQ2049),"対象月に子が2歳到達済／","")&amp;IF(AND($H2049&lt;&gt;"",INDEX(職員マスタ!$B$6:$B$405,$AP2049)&lt;&gt;"",SUBSTITUTE(SUBSTITUTE($H2049," ","")," ","")&lt;&gt;SUBSTITUTE(SUBSTITUTE(INDEX(職員マスタ!$B$6:$B$405,$AP2049)," ","")," ","")),"氏名がマスタと相違／","")&amp;IF(AND($Q2049&lt;&gt;"",INDEX(職員マスタ!$E$6:$E$405,$AP2049)&lt;&gt;"",$Q2049&lt;&gt;INDEX(職員マスタ!$E$6:$E$405,$AP2049)),"子の生年月日がマスタと相違／","")&amp;IF(AND($L2049&lt;&gt;"",INDEX(職員マスタ!$G$6:$G$405,$AP2049)&lt;&gt;"",$L2049&lt;&gt;INDEX(職員マスタ!$G$6:$G$405,$AP2049)),"時短開始日がマスタと相違／","")&amp;IF(AND($M2049&lt;&gt;"",INDEX(職員マスタ!$H$6:$H$405,$AP2049)&lt;&gt;"",$M2049&lt;&gt;INDEX(職員マスタ!$H$6:$H$405,$AP2049)),"時短終了日がマスタと相違／","")))&amp;IF(AND($B2049&lt;&gt;"",$E2049=""),"報酬額が未入力／","")&amp;IF(N($U2049)&gt;0,"申請書に入力エラーが残っています／","")&amp;IF(AND($B2049&lt;&gt;"",$AQ2049&lt;&gt;""),IF(COUNTIFS($B$6:$B$3005,$B2049,$C$6:$C$3005,$C2049,$D$6:$D$3005,$D2049)&gt;1,"同じ月の請求が重複しています／",""),"")&amp;IF(AND(N($E2049)&gt;0,$AB2049&lt;&gt;"",$AB2049&lt;&gt;"×",$AE2049=0,$AD2049=""),"計算額が下限以下のため不支給／",""))</f>
        <v/>
      </c>
      <c r="AN2049" s="12" t="n"/>
      <c r="AO2049" s="14">
        <f>IF($AF2049="保留中",COUNTIF($AF$6:$AF2049,"保留中"),"")</f>
        <v/>
      </c>
      <c r="AP2049" s="14">
        <f>IF($AQ2049="","",IF(SUMPRODUCT(MAX((職員マスタ!$A$6:$A$405=$B2049)*(((職員マスタ!$G$6:$G$405="")+(職員マスタ!$G$6:$G$405&lt;=EOMONTH($AQ2049,0)))&gt;0)*(((職員マスタ!$H$6:$H$405="")+(職員マスタ!$H$6:$H$405&gt;=$AQ2049))&gt;0)*(ROW(職員マスタ!$A$6:$A$405)-5)))&gt;0,SUMPRODUCT(MAX((職員マスタ!$A$6:$A$405=$B2049)*(((職員マスタ!$G$6:$G$405="")+(職員マスタ!$G$6:$G$405&lt;=EOMONTH($AQ2049,0)))&gt;0)*(((職員マスタ!$H$6:$H$405="")+(職員マスタ!$H$6:$H$405&gt;=$AQ2049))&gt;0)*(ROW(職員マスタ!$A$6:$A$405)-5))),IFERROR(MATCH($B2049,職員マスタ!$A$6:$A$405,0),"")))</f>
        <v/>
      </c>
      <c r="AQ2049" s="16">
        <f>IF(OR($B2049="",$C2049="",$D2049=""),"",DATE($C2049+2018,$D2049,1))</f>
        <v/>
      </c>
    </row>
    <row r="2050">
      <c r="A2050" s="11" t="n"/>
      <c r="B2050" s="12" t="n"/>
      <c r="C2050" s="12" t="n"/>
      <c r="D2050" s="12" t="n"/>
      <c r="E2050" s="13" t="n"/>
      <c r="F2050" s="12" t="n"/>
      <c r="G2050" s="13" t="n"/>
      <c r="H2050" s="12" t="n"/>
      <c r="I2050" s="12" t="n"/>
      <c r="J2050" s="12" t="n"/>
      <c r="K2050" s="12" t="n"/>
      <c r="L2050" s="11" t="n"/>
      <c r="M2050" s="11" t="n"/>
      <c r="N2050" s="11" t="n"/>
      <c r="O2050" s="11" t="n"/>
      <c r="P2050" s="12" t="n"/>
      <c r="Q2050" s="11" t="n"/>
      <c r="R2050" s="12" t="n"/>
      <c r="S2050" s="11" t="n"/>
      <c r="T2050" s="12" t="n"/>
      <c r="U2050" s="12" t="n"/>
      <c r="V2050" s="12" t="n"/>
      <c r="W2050" s="13" t="n"/>
      <c r="X2050" s="14">
        <f>IF($AP2050="",IF($B2050="","",$H2050),IF(INDEX(職員マスタ!$B$6:$B$405,$AP2050)="",$H2050,INDEX(職員マスタ!$B$6:$B$405,$AP2050)))</f>
        <v/>
      </c>
      <c r="Y2050" s="14">
        <f>IF($AP2050="",IF($B2050="","",$R2050),IF(INDEX(職員マスタ!$C$6:$C$405,$AP2050)="",$R2050,INDEX(職員マスタ!$C$6:$C$405,$AP2050)))</f>
        <v/>
      </c>
      <c r="Z2050" s="14">
        <f>IF($AQ2050="","","R"&amp;$C2050&amp;"."&amp;$D2050)</f>
        <v/>
      </c>
      <c r="AA2050" s="15">
        <f>IF(IF($AP2050="",FALSE,INDEX(職員マスタ!$K$6:$K$405,$AP2050)&lt;&gt;""),INDEX(職員マスタ!$K$6:$K$405,$AP2050),IF(N($W2050)&gt;0,$W2050,""))</f>
        <v/>
      </c>
      <c r="AB2050" s="14">
        <f>IF(OR($E2050="",$AA2050=""),"",IF($E2050&gt;=$AA2050,"×",IF($E2050&gt;=$AA2050*設定!$C$5,"△","○")))</f>
        <v/>
      </c>
      <c r="AC2050" s="15">
        <f>IF($AB2050="","",IF($AB2050="×",0,IF($AB2050="○",ROUNDDOWN($E2050*設定!$C$4,0),ROUNDDOWN($E2050*ROUND((9*$AA2050-9*$E2050)/(10*$E2050),4),0))))</f>
        <v/>
      </c>
      <c r="AD2050" s="13" t="n"/>
      <c r="AE2050" s="15">
        <f>IF($B2050="","",IF($AD2050&lt;&gt;"",$AD2050,IF($AC2050="","",IF($AC2050&lt;=設定!$C$3,0,$AC2050))))</f>
        <v/>
      </c>
      <c r="AF2050" s="14">
        <f>IF($B2050="","",IF(AND($AG2050&lt;&gt;"",$AI2050="",$AL2050=""),"保留中",IF($AL2050&lt;&gt;"",IF(N($AE2050)&gt;0,"支給済","不支給"),IF($AE2050="","要確認",IF($AE2050=0,"不支給","未処理")))))</f>
        <v/>
      </c>
      <c r="AG2050" s="12" t="n"/>
      <c r="AH2050" s="11" t="n"/>
      <c r="AI2050" s="11" t="n"/>
      <c r="AJ2050" s="11" t="n"/>
      <c r="AK2050" s="14">
        <f>IF(AND($AF2050="保留中",$AH2050&lt;&gt;""),TODAY()-$AH2050,"")</f>
        <v/>
      </c>
      <c r="AL2050" s="12" t="n"/>
      <c r="AM2050" s="14">
        <f>IF($B2050="","",IF($AQ2050="","対象年月が未入力／","")&amp;IF($B2050="","",IF($AP2050="","職員マスタに未登録の職員番号／",IF($AA2050="","標準報酬月額が未登録／","")&amp;IF(AND($AQ2050&lt;&gt;"",OR(AND(INDEX(職員マスタ!$G$6:$G$405,$AP2050)&lt;&gt;"",INDEX(職員マスタ!$G$6:$G$405,$AP2050)&gt;EOMONTH($AQ2050,0)),AND(INDEX(職員マスタ!$H$6:$H$405,$AP2050)&lt;&gt;"",INDEX(職員マスタ!$H$6:$H$405,$AP2050)&lt;$AQ2050))),"対象月が時短期間外／","")&amp;IF(AND(INDEX(職員マスタ!$K$6:$K$405,$AP2050)&lt;&gt;"",N($W2050)&gt;0,INDEX(職員マスタ!$K$6:$K$405,$AP2050)&lt;&gt;$W2050),"標準報酬月額が申請書と相違（台帳"&amp;TEXT(INDEX(職員マスタ!$K$6:$K$405,$AP2050),"#,##0")&amp;"円／申請書"&amp;TEXT($W2050,"#,##0")&amp;"円）／","")&amp;IF(AND(INDEX(職員マスタ!$F$6:$F$405,$AP2050)&lt;&gt;"",$AQ2050&lt;&gt;"",INDEX(職員マスタ!$F$6:$F$405,$AP2050)&lt;$AQ2050),"対象月に子が2歳到達済／","")&amp;IF(AND($H2050&lt;&gt;"",INDEX(職員マスタ!$B$6:$B$405,$AP2050)&lt;&gt;"",SUBSTITUTE(SUBSTITUTE($H2050," ","")," ","")&lt;&gt;SUBSTITUTE(SUBSTITUTE(INDEX(職員マスタ!$B$6:$B$405,$AP2050)," ","")," ","")),"氏名がマスタと相違／","")&amp;IF(AND($Q2050&lt;&gt;"",INDEX(職員マスタ!$E$6:$E$405,$AP2050)&lt;&gt;"",$Q2050&lt;&gt;INDEX(職員マスタ!$E$6:$E$405,$AP2050)),"子の生年月日がマスタと相違／","")&amp;IF(AND($L2050&lt;&gt;"",INDEX(職員マスタ!$G$6:$G$405,$AP2050)&lt;&gt;"",$L2050&lt;&gt;INDEX(職員マスタ!$G$6:$G$405,$AP2050)),"時短開始日がマスタと相違／","")&amp;IF(AND($M2050&lt;&gt;"",INDEX(職員マスタ!$H$6:$H$405,$AP2050)&lt;&gt;"",$M2050&lt;&gt;INDEX(職員マスタ!$H$6:$H$405,$AP2050)),"時短終了日がマスタと相違／","")))&amp;IF(AND($B2050&lt;&gt;"",$E2050=""),"報酬額が未入力／","")&amp;IF(N($U2050)&gt;0,"申請書に入力エラーが残っています／","")&amp;IF(AND($B2050&lt;&gt;"",$AQ2050&lt;&gt;""),IF(COUNTIFS($B$6:$B$3005,$B2050,$C$6:$C$3005,$C2050,$D$6:$D$3005,$D2050)&gt;1,"同じ月の請求が重複しています／",""),"")&amp;IF(AND(N($E2050)&gt;0,$AB2050&lt;&gt;"",$AB2050&lt;&gt;"×",$AE2050=0,$AD2050=""),"計算額が下限以下のため不支給／",""))</f>
        <v/>
      </c>
      <c r="AN2050" s="12" t="n"/>
      <c r="AO2050" s="14">
        <f>IF($AF2050="保留中",COUNTIF($AF$6:$AF2050,"保留中"),"")</f>
        <v/>
      </c>
      <c r="AP2050" s="14">
        <f>IF($AQ2050="","",IF(SUMPRODUCT(MAX((職員マスタ!$A$6:$A$405=$B2050)*(((職員マスタ!$G$6:$G$405="")+(職員マスタ!$G$6:$G$405&lt;=EOMONTH($AQ2050,0)))&gt;0)*(((職員マスタ!$H$6:$H$405="")+(職員マスタ!$H$6:$H$405&gt;=$AQ2050))&gt;0)*(ROW(職員マスタ!$A$6:$A$405)-5)))&gt;0,SUMPRODUCT(MAX((職員マスタ!$A$6:$A$405=$B2050)*(((職員マスタ!$G$6:$G$405="")+(職員マスタ!$G$6:$G$405&lt;=EOMONTH($AQ2050,0)))&gt;0)*(((職員マスタ!$H$6:$H$405="")+(職員マスタ!$H$6:$H$405&gt;=$AQ2050))&gt;0)*(ROW(職員マスタ!$A$6:$A$405)-5))),IFERROR(MATCH($B2050,職員マスタ!$A$6:$A$405,0),"")))</f>
        <v/>
      </c>
      <c r="AQ2050" s="16">
        <f>IF(OR($B2050="",$C2050="",$D2050=""),"",DATE($C2050+2018,$D2050,1))</f>
        <v/>
      </c>
    </row>
    <row r="2051">
      <c r="A2051" s="11" t="n"/>
      <c r="B2051" s="12" t="n"/>
      <c r="C2051" s="12" t="n"/>
      <c r="D2051" s="12" t="n"/>
      <c r="E2051" s="13" t="n"/>
      <c r="F2051" s="12" t="n"/>
      <c r="G2051" s="13" t="n"/>
      <c r="H2051" s="12" t="n"/>
      <c r="I2051" s="12" t="n"/>
      <c r="J2051" s="12" t="n"/>
      <c r="K2051" s="12" t="n"/>
      <c r="L2051" s="11" t="n"/>
      <c r="M2051" s="11" t="n"/>
      <c r="N2051" s="11" t="n"/>
      <c r="O2051" s="11" t="n"/>
      <c r="P2051" s="12" t="n"/>
      <c r="Q2051" s="11" t="n"/>
      <c r="R2051" s="12" t="n"/>
      <c r="S2051" s="11" t="n"/>
      <c r="T2051" s="12" t="n"/>
      <c r="U2051" s="12" t="n"/>
      <c r="V2051" s="12" t="n"/>
      <c r="W2051" s="13" t="n"/>
      <c r="X2051" s="14">
        <f>IF($AP2051="",IF($B2051="","",$H2051),IF(INDEX(職員マスタ!$B$6:$B$405,$AP2051)="",$H2051,INDEX(職員マスタ!$B$6:$B$405,$AP2051)))</f>
        <v/>
      </c>
      <c r="Y2051" s="14">
        <f>IF($AP2051="",IF($B2051="","",$R2051),IF(INDEX(職員マスタ!$C$6:$C$405,$AP2051)="",$R2051,INDEX(職員マスタ!$C$6:$C$405,$AP2051)))</f>
        <v/>
      </c>
      <c r="Z2051" s="14">
        <f>IF($AQ2051="","","R"&amp;$C2051&amp;"."&amp;$D2051)</f>
        <v/>
      </c>
      <c r="AA2051" s="15">
        <f>IF(IF($AP2051="",FALSE,INDEX(職員マスタ!$K$6:$K$405,$AP2051)&lt;&gt;""),INDEX(職員マスタ!$K$6:$K$405,$AP2051),IF(N($W2051)&gt;0,$W2051,""))</f>
        <v/>
      </c>
      <c r="AB2051" s="14">
        <f>IF(OR($E2051="",$AA2051=""),"",IF($E2051&gt;=$AA2051,"×",IF($E2051&gt;=$AA2051*設定!$C$5,"△","○")))</f>
        <v/>
      </c>
      <c r="AC2051" s="15">
        <f>IF($AB2051="","",IF($AB2051="×",0,IF($AB2051="○",ROUNDDOWN($E2051*設定!$C$4,0),ROUNDDOWN($E2051*ROUND((9*$AA2051-9*$E2051)/(10*$E2051),4),0))))</f>
        <v/>
      </c>
      <c r="AD2051" s="13" t="n"/>
      <c r="AE2051" s="15">
        <f>IF($B2051="","",IF($AD2051&lt;&gt;"",$AD2051,IF($AC2051="","",IF($AC2051&lt;=設定!$C$3,0,$AC2051))))</f>
        <v/>
      </c>
      <c r="AF2051" s="14">
        <f>IF($B2051="","",IF(AND($AG2051&lt;&gt;"",$AI2051="",$AL2051=""),"保留中",IF($AL2051&lt;&gt;"",IF(N($AE2051)&gt;0,"支給済","不支給"),IF($AE2051="","要確認",IF($AE2051=0,"不支給","未処理")))))</f>
        <v/>
      </c>
      <c r="AG2051" s="12" t="n"/>
      <c r="AH2051" s="11" t="n"/>
      <c r="AI2051" s="11" t="n"/>
      <c r="AJ2051" s="11" t="n"/>
      <c r="AK2051" s="14">
        <f>IF(AND($AF2051="保留中",$AH2051&lt;&gt;""),TODAY()-$AH2051,"")</f>
        <v/>
      </c>
      <c r="AL2051" s="12" t="n"/>
      <c r="AM2051" s="14">
        <f>IF($B2051="","",IF($AQ2051="","対象年月が未入力／","")&amp;IF($B2051="","",IF($AP2051="","職員マスタに未登録の職員番号／",IF($AA2051="","標準報酬月額が未登録／","")&amp;IF(AND($AQ2051&lt;&gt;"",OR(AND(INDEX(職員マスタ!$G$6:$G$405,$AP2051)&lt;&gt;"",INDEX(職員マスタ!$G$6:$G$405,$AP2051)&gt;EOMONTH($AQ2051,0)),AND(INDEX(職員マスタ!$H$6:$H$405,$AP2051)&lt;&gt;"",INDEX(職員マスタ!$H$6:$H$405,$AP2051)&lt;$AQ2051))),"対象月が時短期間外／","")&amp;IF(AND(INDEX(職員マスタ!$K$6:$K$405,$AP2051)&lt;&gt;"",N($W2051)&gt;0,INDEX(職員マスタ!$K$6:$K$405,$AP2051)&lt;&gt;$W2051),"標準報酬月額が申請書と相違（台帳"&amp;TEXT(INDEX(職員マスタ!$K$6:$K$405,$AP2051),"#,##0")&amp;"円／申請書"&amp;TEXT($W2051,"#,##0")&amp;"円）／","")&amp;IF(AND(INDEX(職員マスタ!$F$6:$F$405,$AP2051)&lt;&gt;"",$AQ2051&lt;&gt;"",INDEX(職員マスタ!$F$6:$F$405,$AP2051)&lt;$AQ2051),"対象月に子が2歳到達済／","")&amp;IF(AND($H2051&lt;&gt;"",INDEX(職員マスタ!$B$6:$B$405,$AP2051)&lt;&gt;"",SUBSTITUTE(SUBSTITUTE($H2051," ","")," ","")&lt;&gt;SUBSTITUTE(SUBSTITUTE(INDEX(職員マスタ!$B$6:$B$405,$AP2051)," ","")," ","")),"氏名がマスタと相違／","")&amp;IF(AND($Q2051&lt;&gt;"",INDEX(職員マスタ!$E$6:$E$405,$AP2051)&lt;&gt;"",$Q2051&lt;&gt;INDEX(職員マスタ!$E$6:$E$405,$AP2051)),"子の生年月日がマスタと相違／","")&amp;IF(AND($L2051&lt;&gt;"",INDEX(職員マスタ!$G$6:$G$405,$AP2051)&lt;&gt;"",$L2051&lt;&gt;INDEX(職員マスタ!$G$6:$G$405,$AP2051)),"時短開始日がマスタと相違／","")&amp;IF(AND($M2051&lt;&gt;"",INDEX(職員マスタ!$H$6:$H$405,$AP2051)&lt;&gt;"",$M2051&lt;&gt;INDEX(職員マスタ!$H$6:$H$405,$AP2051)),"時短終了日がマスタと相違／","")))&amp;IF(AND($B2051&lt;&gt;"",$E2051=""),"報酬額が未入力／","")&amp;IF(N($U2051)&gt;0,"申請書に入力エラーが残っています／","")&amp;IF(AND($B2051&lt;&gt;"",$AQ2051&lt;&gt;""),IF(COUNTIFS($B$6:$B$3005,$B2051,$C$6:$C$3005,$C2051,$D$6:$D$3005,$D2051)&gt;1,"同じ月の請求が重複しています／",""),"")&amp;IF(AND(N($E2051)&gt;0,$AB2051&lt;&gt;"",$AB2051&lt;&gt;"×",$AE2051=0,$AD2051=""),"計算額が下限以下のため不支給／",""))</f>
        <v/>
      </c>
      <c r="AN2051" s="12" t="n"/>
      <c r="AO2051" s="14">
        <f>IF($AF2051="保留中",COUNTIF($AF$6:$AF2051,"保留中"),"")</f>
        <v/>
      </c>
      <c r="AP2051" s="14">
        <f>IF($AQ2051="","",IF(SUMPRODUCT(MAX((職員マスタ!$A$6:$A$405=$B2051)*(((職員マスタ!$G$6:$G$405="")+(職員マスタ!$G$6:$G$405&lt;=EOMONTH($AQ2051,0)))&gt;0)*(((職員マスタ!$H$6:$H$405="")+(職員マスタ!$H$6:$H$405&gt;=$AQ2051))&gt;0)*(ROW(職員マスタ!$A$6:$A$405)-5)))&gt;0,SUMPRODUCT(MAX((職員マスタ!$A$6:$A$405=$B2051)*(((職員マスタ!$G$6:$G$405="")+(職員マスタ!$G$6:$G$405&lt;=EOMONTH($AQ2051,0)))&gt;0)*(((職員マスタ!$H$6:$H$405="")+(職員マスタ!$H$6:$H$405&gt;=$AQ2051))&gt;0)*(ROW(職員マスタ!$A$6:$A$405)-5))),IFERROR(MATCH($B2051,職員マスタ!$A$6:$A$405,0),"")))</f>
        <v/>
      </c>
      <c r="AQ2051" s="16">
        <f>IF(OR($B2051="",$C2051="",$D2051=""),"",DATE($C2051+2018,$D2051,1))</f>
        <v/>
      </c>
    </row>
    <row r="2052">
      <c r="A2052" s="11" t="n"/>
      <c r="B2052" s="12" t="n"/>
      <c r="C2052" s="12" t="n"/>
      <c r="D2052" s="12" t="n"/>
      <c r="E2052" s="13" t="n"/>
      <c r="F2052" s="12" t="n"/>
      <c r="G2052" s="13" t="n"/>
      <c r="H2052" s="12" t="n"/>
      <c r="I2052" s="12" t="n"/>
      <c r="J2052" s="12" t="n"/>
      <c r="K2052" s="12" t="n"/>
      <c r="L2052" s="11" t="n"/>
      <c r="M2052" s="11" t="n"/>
      <c r="N2052" s="11" t="n"/>
      <c r="O2052" s="11" t="n"/>
      <c r="P2052" s="12" t="n"/>
      <c r="Q2052" s="11" t="n"/>
      <c r="R2052" s="12" t="n"/>
      <c r="S2052" s="11" t="n"/>
      <c r="T2052" s="12" t="n"/>
      <c r="U2052" s="12" t="n"/>
      <c r="V2052" s="12" t="n"/>
      <c r="W2052" s="13" t="n"/>
      <c r="X2052" s="14">
        <f>IF($AP2052="",IF($B2052="","",$H2052),IF(INDEX(職員マスタ!$B$6:$B$405,$AP2052)="",$H2052,INDEX(職員マスタ!$B$6:$B$405,$AP2052)))</f>
        <v/>
      </c>
      <c r="Y2052" s="14">
        <f>IF($AP2052="",IF($B2052="","",$R2052),IF(INDEX(職員マスタ!$C$6:$C$405,$AP2052)="",$R2052,INDEX(職員マスタ!$C$6:$C$405,$AP2052)))</f>
        <v/>
      </c>
      <c r="Z2052" s="14">
        <f>IF($AQ2052="","","R"&amp;$C2052&amp;"."&amp;$D2052)</f>
        <v/>
      </c>
      <c r="AA2052" s="15">
        <f>IF(IF($AP2052="",FALSE,INDEX(職員マスタ!$K$6:$K$405,$AP2052)&lt;&gt;""),INDEX(職員マスタ!$K$6:$K$405,$AP2052),IF(N($W2052)&gt;0,$W2052,""))</f>
        <v/>
      </c>
      <c r="AB2052" s="14">
        <f>IF(OR($E2052="",$AA2052=""),"",IF($E2052&gt;=$AA2052,"×",IF($E2052&gt;=$AA2052*設定!$C$5,"△","○")))</f>
        <v/>
      </c>
      <c r="AC2052" s="15">
        <f>IF($AB2052="","",IF($AB2052="×",0,IF($AB2052="○",ROUNDDOWN($E2052*設定!$C$4,0),ROUNDDOWN($E2052*ROUND((9*$AA2052-9*$E2052)/(10*$E2052),4),0))))</f>
        <v/>
      </c>
      <c r="AD2052" s="13" t="n"/>
      <c r="AE2052" s="15">
        <f>IF($B2052="","",IF($AD2052&lt;&gt;"",$AD2052,IF($AC2052="","",IF($AC2052&lt;=設定!$C$3,0,$AC2052))))</f>
        <v/>
      </c>
      <c r="AF2052" s="14">
        <f>IF($B2052="","",IF(AND($AG2052&lt;&gt;"",$AI2052="",$AL2052=""),"保留中",IF($AL2052&lt;&gt;"",IF(N($AE2052)&gt;0,"支給済","不支給"),IF($AE2052="","要確認",IF($AE2052=0,"不支給","未処理")))))</f>
        <v/>
      </c>
      <c r="AG2052" s="12" t="n"/>
      <c r="AH2052" s="11" t="n"/>
      <c r="AI2052" s="11" t="n"/>
      <c r="AJ2052" s="11" t="n"/>
      <c r="AK2052" s="14">
        <f>IF(AND($AF2052="保留中",$AH2052&lt;&gt;""),TODAY()-$AH2052,"")</f>
        <v/>
      </c>
      <c r="AL2052" s="12" t="n"/>
      <c r="AM2052" s="14">
        <f>IF($B2052="","",IF($AQ2052="","対象年月が未入力／","")&amp;IF($B2052="","",IF($AP2052="","職員マスタに未登録の職員番号／",IF($AA2052="","標準報酬月額が未登録／","")&amp;IF(AND($AQ2052&lt;&gt;"",OR(AND(INDEX(職員マスタ!$G$6:$G$405,$AP2052)&lt;&gt;"",INDEX(職員マスタ!$G$6:$G$405,$AP2052)&gt;EOMONTH($AQ2052,0)),AND(INDEX(職員マスタ!$H$6:$H$405,$AP2052)&lt;&gt;"",INDEX(職員マスタ!$H$6:$H$405,$AP2052)&lt;$AQ2052))),"対象月が時短期間外／","")&amp;IF(AND(INDEX(職員マスタ!$K$6:$K$405,$AP2052)&lt;&gt;"",N($W2052)&gt;0,INDEX(職員マスタ!$K$6:$K$405,$AP2052)&lt;&gt;$W2052),"標準報酬月額が申請書と相違（台帳"&amp;TEXT(INDEX(職員マスタ!$K$6:$K$405,$AP2052),"#,##0")&amp;"円／申請書"&amp;TEXT($W2052,"#,##0")&amp;"円）／","")&amp;IF(AND(INDEX(職員マスタ!$F$6:$F$405,$AP2052)&lt;&gt;"",$AQ2052&lt;&gt;"",INDEX(職員マスタ!$F$6:$F$405,$AP2052)&lt;$AQ2052),"対象月に子が2歳到達済／","")&amp;IF(AND($H2052&lt;&gt;"",INDEX(職員マスタ!$B$6:$B$405,$AP2052)&lt;&gt;"",SUBSTITUTE(SUBSTITUTE($H2052," ","")," ","")&lt;&gt;SUBSTITUTE(SUBSTITUTE(INDEX(職員マスタ!$B$6:$B$405,$AP2052)," ","")," ","")),"氏名がマスタと相違／","")&amp;IF(AND($Q2052&lt;&gt;"",INDEX(職員マスタ!$E$6:$E$405,$AP2052)&lt;&gt;"",$Q2052&lt;&gt;INDEX(職員マスタ!$E$6:$E$405,$AP2052)),"子の生年月日がマスタと相違／","")&amp;IF(AND($L2052&lt;&gt;"",INDEX(職員マスタ!$G$6:$G$405,$AP2052)&lt;&gt;"",$L2052&lt;&gt;INDEX(職員マスタ!$G$6:$G$405,$AP2052)),"時短開始日がマスタと相違／","")&amp;IF(AND($M2052&lt;&gt;"",INDEX(職員マスタ!$H$6:$H$405,$AP2052)&lt;&gt;"",$M2052&lt;&gt;INDEX(職員マスタ!$H$6:$H$405,$AP2052)),"時短終了日がマスタと相違／","")))&amp;IF(AND($B2052&lt;&gt;"",$E2052=""),"報酬額が未入力／","")&amp;IF(N($U2052)&gt;0,"申請書に入力エラーが残っています／","")&amp;IF(AND($B2052&lt;&gt;"",$AQ2052&lt;&gt;""),IF(COUNTIFS($B$6:$B$3005,$B2052,$C$6:$C$3005,$C2052,$D$6:$D$3005,$D2052)&gt;1,"同じ月の請求が重複しています／",""),"")&amp;IF(AND(N($E2052)&gt;0,$AB2052&lt;&gt;"",$AB2052&lt;&gt;"×",$AE2052=0,$AD2052=""),"計算額が下限以下のため不支給／",""))</f>
        <v/>
      </c>
      <c r="AN2052" s="12" t="n"/>
      <c r="AO2052" s="14">
        <f>IF($AF2052="保留中",COUNTIF($AF$6:$AF2052,"保留中"),"")</f>
        <v/>
      </c>
      <c r="AP2052" s="14">
        <f>IF($AQ2052="","",IF(SUMPRODUCT(MAX((職員マスタ!$A$6:$A$405=$B2052)*(((職員マスタ!$G$6:$G$405="")+(職員マスタ!$G$6:$G$405&lt;=EOMONTH($AQ2052,0)))&gt;0)*(((職員マスタ!$H$6:$H$405="")+(職員マスタ!$H$6:$H$405&gt;=$AQ2052))&gt;0)*(ROW(職員マスタ!$A$6:$A$405)-5)))&gt;0,SUMPRODUCT(MAX((職員マスタ!$A$6:$A$405=$B2052)*(((職員マスタ!$G$6:$G$405="")+(職員マスタ!$G$6:$G$405&lt;=EOMONTH($AQ2052,0)))&gt;0)*(((職員マスタ!$H$6:$H$405="")+(職員マスタ!$H$6:$H$405&gt;=$AQ2052))&gt;0)*(ROW(職員マスタ!$A$6:$A$405)-5))),IFERROR(MATCH($B2052,職員マスタ!$A$6:$A$405,0),"")))</f>
        <v/>
      </c>
      <c r="AQ2052" s="16">
        <f>IF(OR($B2052="",$C2052="",$D2052=""),"",DATE($C2052+2018,$D2052,1))</f>
        <v/>
      </c>
    </row>
    <row r="2053">
      <c r="A2053" s="11" t="n"/>
      <c r="B2053" s="12" t="n"/>
      <c r="C2053" s="12" t="n"/>
      <c r="D2053" s="12" t="n"/>
      <c r="E2053" s="13" t="n"/>
      <c r="F2053" s="12" t="n"/>
      <c r="G2053" s="13" t="n"/>
      <c r="H2053" s="12" t="n"/>
      <c r="I2053" s="12" t="n"/>
      <c r="J2053" s="12" t="n"/>
      <c r="K2053" s="12" t="n"/>
      <c r="L2053" s="11" t="n"/>
      <c r="M2053" s="11" t="n"/>
      <c r="N2053" s="11" t="n"/>
      <c r="O2053" s="11" t="n"/>
      <c r="P2053" s="12" t="n"/>
      <c r="Q2053" s="11" t="n"/>
      <c r="R2053" s="12" t="n"/>
      <c r="S2053" s="11" t="n"/>
      <c r="T2053" s="12" t="n"/>
      <c r="U2053" s="12" t="n"/>
      <c r="V2053" s="12" t="n"/>
      <c r="W2053" s="13" t="n"/>
      <c r="X2053" s="14">
        <f>IF($AP2053="",IF($B2053="","",$H2053),IF(INDEX(職員マスタ!$B$6:$B$405,$AP2053)="",$H2053,INDEX(職員マスタ!$B$6:$B$405,$AP2053)))</f>
        <v/>
      </c>
      <c r="Y2053" s="14">
        <f>IF($AP2053="",IF($B2053="","",$R2053),IF(INDEX(職員マスタ!$C$6:$C$405,$AP2053)="",$R2053,INDEX(職員マスタ!$C$6:$C$405,$AP2053)))</f>
        <v/>
      </c>
      <c r="Z2053" s="14">
        <f>IF($AQ2053="","","R"&amp;$C2053&amp;"."&amp;$D2053)</f>
        <v/>
      </c>
      <c r="AA2053" s="15">
        <f>IF(IF($AP2053="",FALSE,INDEX(職員マスタ!$K$6:$K$405,$AP2053)&lt;&gt;""),INDEX(職員マスタ!$K$6:$K$405,$AP2053),IF(N($W2053)&gt;0,$W2053,""))</f>
        <v/>
      </c>
      <c r="AB2053" s="14">
        <f>IF(OR($E2053="",$AA2053=""),"",IF($E2053&gt;=$AA2053,"×",IF($E2053&gt;=$AA2053*設定!$C$5,"△","○")))</f>
        <v/>
      </c>
      <c r="AC2053" s="15">
        <f>IF($AB2053="","",IF($AB2053="×",0,IF($AB2053="○",ROUNDDOWN($E2053*設定!$C$4,0),ROUNDDOWN($E2053*ROUND((9*$AA2053-9*$E2053)/(10*$E2053),4),0))))</f>
        <v/>
      </c>
      <c r="AD2053" s="13" t="n"/>
      <c r="AE2053" s="15">
        <f>IF($B2053="","",IF($AD2053&lt;&gt;"",$AD2053,IF($AC2053="","",IF($AC2053&lt;=設定!$C$3,0,$AC2053))))</f>
        <v/>
      </c>
      <c r="AF2053" s="14">
        <f>IF($B2053="","",IF(AND($AG2053&lt;&gt;"",$AI2053="",$AL2053=""),"保留中",IF($AL2053&lt;&gt;"",IF(N($AE2053)&gt;0,"支給済","不支給"),IF($AE2053="","要確認",IF($AE2053=0,"不支給","未処理")))))</f>
        <v/>
      </c>
      <c r="AG2053" s="12" t="n"/>
      <c r="AH2053" s="11" t="n"/>
      <c r="AI2053" s="11" t="n"/>
      <c r="AJ2053" s="11" t="n"/>
      <c r="AK2053" s="14">
        <f>IF(AND($AF2053="保留中",$AH2053&lt;&gt;""),TODAY()-$AH2053,"")</f>
        <v/>
      </c>
      <c r="AL2053" s="12" t="n"/>
      <c r="AM2053" s="14">
        <f>IF($B2053="","",IF($AQ2053="","対象年月が未入力／","")&amp;IF($B2053="","",IF($AP2053="","職員マスタに未登録の職員番号／",IF($AA2053="","標準報酬月額が未登録／","")&amp;IF(AND($AQ2053&lt;&gt;"",OR(AND(INDEX(職員マスタ!$G$6:$G$405,$AP2053)&lt;&gt;"",INDEX(職員マスタ!$G$6:$G$405,$AP2053)&gt;EOMONTH($AQ2053,0)),AND(INDEX(職員マスタ!$H$6:$H$405,$AP2053)&lt;&gt;"",INDEX(職員マスタ!$H$6:$H$405,$AP2053)&lt;$AQ2053))),"対象月が時短期間外／","")&amp;IF(AND(INDEX(職員マスタ!$K$6:$K$405,$AP2053)&lt;&gt;"",N($W2053)&gt;0,INDEX(職員マスタ!$K$6:$K$405,$AP2053)&lt;&gt;$W2053),"標準報酬月額が申請書と相違（台帳"&amp;TEXT(INDEX(職員マスタ!$K$6:$K$405,$AP2053),"#,##0")&amp;"円／申請書"&amp;TEXT($W2053,"#,##0")&amp;"円）／","")&amp;IF(AND(INDEX(職員マスタ!$F$6:$F$405,$AP2053)&lt;&gt;"",$AQ2053&lt;&gt;"",INDEX(職員マスタ!$F$6:$F$405,$AP2053)&lt;$AQ2053),"対象月に子が2歳到達済／","")&amp;IF(AND($H2053&lt;&gt;"",INDEX(職員マスタ!$B$6:$B$405,$AP2053)&lt;&gt;"",SUBSTITUTE(SUBSTITUTE($H2053," ","")," ","")&lt;&gt;SUBSTITUTE(SUBSTITUTE(INDEX(職員マスタ!$B$6:$B$405,$AP2053)," ","")," ","")),"氏名がマスタと相違／","")&amp;IF(AND($Q2053&lt;&gt;"",INDEX(職員マスタ!$E$6:$E$405,$AP2053)&lt;&gt;"",$Q2053&lt;&gt;INDEX(職員マスタ!$E$6:$E$405,$AP2053)),"子の生年月日がマスタと相違／","")&amp;IF(AND($L2053&lt;&gt;"",INDEX(職員マスタ!$G$6:$G$405,$AP2053)&lt;&gt;"",$L2053&lt;&gt;INDEX(職員マスタ!$G$6:$G$405,$AP2053)),"時短開始日がマスタと相違／","")&amp;IF(AND($M2053&lt;&gt;"",INDEX(職員マスタ!$H$6:$H$405,$AP2053)&lt;&gt;"",$M2053&lt;&gt;INDEX(職員マスタ!$H$6:$H$405,$AP2053)),"時短終了日がマスタと相違／","")))&amp;IF(AND($B2053&lt;&gt;"",$E2053=""),"報酬額が未入力／","")&amp;IF(N($U2053)&gt;0,"申請書に入力エラーが残っています／","")&amp;IF(AND($B2053&lt;&gt;"",$AQ2053&lt;&gt;""),IF(COUNTIFS($B$6:$B$3005,$B2053,$C$6:$C$3005,$C2053,$D$6:$D$3005,$D2053)&gt;1,"同じ月の請求が重複しています／",""),"")&amp;IF(AND(N($E2053)&gt;0,$AB2053&lt;&gt;"",$AB2053&lt;&gt;"×",$AE2053=0,$AD2053=""),"計算額が下限以下のため不支給／",""))</f>
        <v/>
      </c>
      <c r="AN2053" s="12" t="n"/>
      <c r="AO2053" s="14">
        <f>IF($AF2053="保留中",COUNTIF($AF$6:$AF2053,"保留中"),"")</f>
        <v/>
      </c>
      <c r="AP2053" s="14">
        <f>IF($AQ2053="","",IF(SUMPRODUCT(MAX((職員マスタ!$A$6:$A$405=$B2053)*(((職員マスタ!$G$6:$G$405="")+(職員マスタ!$G$6:$G$405&lt;=EOMONTH($AQ2053,0)))&gt;0)*(((職員マスタ!$H$6:$H$405="")+(職員マスタ!$H$6:$H$405&gt;=$AQ2053))&gt;0)*(ROW(職員マスタ!$A$6:$A$405)-5)))&gt;0,SUMPRODUCT(MAX((職員マスタ!$A$6:$A$405=$B2053)*(((職員マスタ!$G$6:$G$405="")+(職員マスタ!$G$6:$G$405&lt;=EOMONTH($AQ2053,0)))&gt;0)*(((職員マスタ!$H$6:$H$405="")+(職員マスタ!$H$6:$H$405&gt;=$AQ2053))&gt;0)*(ROW(職員マスタ!$A$6:$A$405)-5))),IFERROR(MATCH($B2053,職員マスタ!$A$6:$A$405,0),"")))</f>
        <v/>
      </c>
      <c r="AQ2053" s="16">
        <f>IF(OR($B2053="",$C2053="",$D2053=""),"",DATE($C2053+2018,$D2053,1))</f>
        <v/>
      </c>
    </row>
    <row r="2054">
      <c r="A2054" s="11" t="n"/>
      <c r="B2054" s="12" t="n"/>
      <c r="C2054" s="12" t="n"/>
      <c r="D2054" s="12" t="n"/>
      <c r="E2054" s="13" t="n"/>
      <c r="F2054" s="12" t="n"/>
      <c r="G2054" s="13" t="n"/>
      <c r="H2054" s="12" t="n"/>
      <c r="I2054" s="12" t="n"/>
      <c r="J2054" s="12" t="n"/>
      <c r="K2054" s="12" t="n"/>
      <c r="L2054" s="11" t="n"/>
      <c r="M2054" s="11" t="n"/>
      <c r="N2054" s="11" t="n"/>
      <c r="O2054" s="11" t="n"/>
      <c r="P2054" s="12" t="n"/>
      <c r="Q2054" s="11" t="n"/>
      <c r="R2054" s="12" t="n"/>
      <c r="S2054" s="11" t="n"/>
      <c r="T2054" s="12" t="n"/>
      <c r="U2054" s="12" t="n"/>
      <c r="V2054" s="12" t="n"/>
      <c r="W2054" s="13" t="n"/>
      <c r="X2054" s="14">
        <f>IF($AP2054="",IF($B2054="","",$H2054),IF(INDEX(職員マスタ!$B$6:$B$405,$AP2054)="",$H2054,INDEX(職員マスタ!$B$6:$B$405,$AP2054)))</f>
        <v/>
      </c>
      <c r="Y2054" s="14">
        <f>IF($AP2054="",IF($B2054="","",$R2054),IF(INDEX(職員マスタ!$C$6:$C$405,$AP2054)="",$R2054,INDEX(職員マスタ!$C$6:$C$405,$AP2054)))</f>
        <v/>
      </c>
      <c r="Z2054" s="14">
        <f>IF($AQ2054="","","R"&amp;$C2054&amp;"."&amp;$D2054)</f>
        <v/>
      </c>
      <c r="AA2054" s="15">
        <f>IF(IF($AP2054="",FALSE,INDEX(職員マスタ!$K$6:$K$405,$AP2054)&lt;&gt;""),INDEX(職員マスタ!$K$6:$K$405,$AP2054),IF(N($W2054)&gt;0,$W2054,""))</f>
        <v/>
      </c>
      <c r="AB2054" s="14">
        <f>IF(OR($E2054="",$AA2054=""),"",IF($E2054&gt;=$AA2054,"×",IF($E2054&gt;=$AA2054*設定!$C$5,"△","○")))</f>
        <v/>
      </c>
      <c r="AC2054" s="15">
        <f>IF($AB2054="","",IF($AB2054="×",0,IF($AB2054="○",ROUNDDOWN($E2054*設定!$C$4,0),ROUNDDOWN($E2054*ROUND((9*$AA2054-9*$E2054)/(10*$E2054),4),0))))</f>
        <v/>
      </c>
      <c r="AD2054" s="13" t="n"/>
      <c r="AE2054" s="15">
        <f>IF($B2054="","",IF($AD2054&lt;&gt;"",$AD2054,IF($AC2054="","",IF($AC2054&lt;=設定!$C$3,0,$AC2054))))</f>
        <v/>
      </c>
      <c r="AF2054" s="14">
        <f>IF($B2054="","",IF(AND($AG2054&lt;&gt;"",$AI2054="",$AL2054=""),"保留中",IF($AL2054&lt;&gt;"",IF(N($AE2054)&gt;0,"支給済","不支給"),IF($AE2054="","要確認",IF($AE2054=0,"不支給","未処理")))))</f>
        <v/>
      </c>
      <c r="AG2054" s="12" t="n"/>
      <c r="AH2054" s="11" t="n"/>
      <c r="AI2054" s="11" t="n"/>
      <c r="AJ2054" s="11" t="n"/>
      <c r="AK2054" s="14">
        <f>IF(AND($AF2054="保留中",$AH2054&lt;&gt;""),TODAY()-$AH2054,"")</f>
        <v/>
      </c>
      <c r="AL2054" s="12" t="n"/>
      <c r="AM2054" s="14">
        <f>IF($B2054="","",IF($AQ2054="","対象年月が未入力／","")&amp;IF($B2054="","",IF($AP2054="","職員マスタに未登録の職員番号／",IF($AA2054="","標準報酬月額が未登録／","")&amp;IF(AND($AQ2054&lt;&gt;"",OR(AND(INDEX(職員マスタ!$G$6:$G$405,$AP2054)&lt;&gt;"",INDEX(職員マスタ!$G$6:$G$405,$AP2054)&gt;EOMONTH($AQ2054,0)),AND(INDEX(職員マスタ!$H$6:$H$405,$AP2054)&lt;&gt;"",INDEX(職員マスタ!$H$6:$H$405,$AP2054)&lt;$AQ2054))),"対象月が時短期間外／","")&amp;IF(AND(INDEX(職員マスタ!$K$6:$K$405,$AP2054)&lt;&gt;"",N($W2054)&gt;0,INDEX(職員マスタ!$K$6:$K$405,$AP2054)&lt;&gt;$W2054),"標準報酬月額が申請書と相違（台帳"&amp;TEXT(INDEX(職員マスタ!$K$6:$K$405,$AP2054),"#,##0")&amp;"円／申請書"&amp;TEXT($W2054,"#,##0")&amp;"円）／","")&amp;IF(AND(INDEX(職員マスタ!$F$6:$F$405,$AP2054)&lt;&gt;"",$AQ2054&lt;&gt;"",INDEX(職員マスタ!$F$6:$F$405,$AP2054)&lt;$AQ2054),"対象月に子が2歳到達済／","")&amp;IF(AND($H2054&lt;&gt;"",INDEX(職員マスタ!$B$6:$B$405,$AP2054)&lt;&gt;"",SUBSTITUTE(SUBSTITUTE($H2054," ","")," ","")&lt;&gt;SUBSTITUTE(SUBSTITUTE(INDEX(職員マスタ!$B$6:$B$405,$AP2054)," ","")," ","")),"氏名がマスタと相違／","")&amp;IF(AND($Q2054&lt;&gt;"",INDEX(職員マスタ!$E$6:$E$405,$AP2054)&lt;&gt;"",$Q2054&lt;&gt;INDEX(職員マスタ!$E$6:$E$405,$AP2054)),"子の生年月日がマスタと相違／","")&amp;IF(AND($L2054&lt;&gt;"",INDEX(職員マスタ!$G$6:$G$405,$AP2054)&lt;&gt;"",$L2054&lt;&gt;INDEX(職員マスタ!$G$6:$G$405,$AP2054)),"時短開始日がマスタと相違／","")&amp;IF(AND($M2054&lt;&gt;"",INDEX(職員マスタ!$H$6:$H$405,$AP2054)&lt;&gt;"",$M2054&lt;&gt;INDEX(職員マスタ!$H$6:$H$405,$AP2054)),"時短終了日がマスタと相違／","")))&amp;IF(AND($B2054&lt;&gt;"",$E2054=""),"報酬額が未入力／","")&amp;IF(N($U2054)&gt;0,"申請書に入力エラーが残っています／","")&amp;IF(AND($B2054&lt;&gt;"",$AQ2054&lt;&gt;""),IF(COUNTIFS($B$6:$B$3005,$B2054,$C$6:$C$3005,$C2054,$D$6:$D$3005,$D2054)&gt;1,"同じ月の請求が重複しています／",""),"")&amp;IF(AND(N($E2054)&gt;0,$AB2054&lt;&gt;"",$AB2054&lt;&gt;"×",$AE2054=0,$AD2054=""),"計算額が下限以下のため不支給／",""))</f>
        <v/>
      </c>
      <c r="AN2054" s="12" t="n"/>
      <c r="AO2054" s="14">
        <f>IF($AF2054="保留中",COUNTIF($AF$6:$AF2054,"保留中"),"")</f>
        <v/>
      </c>
      <c r="AP2054" s="14">
        <f>IF($AQ2054="","",IF(SUMPRODUCT(MAX((職員マスタ!$A$6:$A$405=$B2054)*(((職員マスタ!$G$6:$G$405="")+(職員マスタ!$G$6:$G$405&lt;=EOMONTH($AQ2054,0)))&gt;0)*(((職員マスタ!$H$6:$H$405="")+(職員マスタ!$H$6:$H$405&gt;=$AQ2054))&gt;0)*(ROW(職員マスタ!$A$6:$A$405)-5)))&gt;0,SUMPRODUCT(MAX((職員マスタ!$A$6:$A$405=$B2054)*(((職員マスタ!$G$6:$G$405="")+(職員マスタ!$G$6:$G$405&lt;=EOMONTH($AQ2054,0)))&gt;0)*(((職員マスタ!$H$6:$H$405="")+(職員マスタ!$H$6:$H$405&gt;=$AQ2054))&gt;0)*(ROW(職員マスタ!$A$6:$A$405)-5))),IFERROR(MATCH($B2054,職員マスタ!$A$6:$A$405,0),"")))</f>
        <v/>
      </c>
      <c r="AQ2054" s="16">
        <f>IF(OR($B2054="",$C2054="",$D2054=""),"",DATE($C2054+2018,$D2054,1))</f>
        <v/>
      </c>
    </row>
    <row r="2055">
      <c r="A2055" s="11" t="n"/>
      <c r="B2055" s="12" t="n"/>
      <c r="C2055" s="12" t="n"/>
      <c r="D2055" s="12" t="n"/>
      <c r="E2055" s="13" t="n"/>
      <c r="F2055" s="12" t="n"/>
      <c r="G2055" s="13" t="n"/>
      <c r="H2055" s="12" t="n"/>
      <c r="I2055" s="12" t="n"/>
      <c r="J2055" s="12" t="n"/>
      <c r="K2055" s="12" t="n"/>
      <c r="L2055" s="11" t="n"/>
      <c r="M2055" s="11" t="n"/>
      <c r="N2055" s="11" t="n"/>
      <c r="O2055" s="11" t="n"/>
      <c r="P2055" s="12" t="n"/>
      <c r="Q2055" s="11" t="n"/>
      <c r="R2055" s="12" t="n"/>
      <c r="S2055" s="11" t="n"/>
      <c r="T2055" s="12" t="n"/>
      <c r="U2055" s="12" t="n"/>
      <c r="V2055" s="12" t="n"/>
      <c r="W2055" s="13" t="n"/>
      <c r="X2055" s="14">
        <f>IF($AP2055="",IF($B2055="","",$H2055),IF(INDEX(職員マスタ!$B$6:$B$405,$AP2055)="",$H2055,INDEX(職員マスタ!$B$6:$B$405,$AP2055)))</f>
        <v/>
      </c>
      <c r="Y2055" s="14">
        <f>IF($AP2055="",IF($B2055="","",$R2055),IF(INDEX(職員マスタ!$C$6:$C$405,$AP2055)="",$R2055,INDEX(職員マスタ!$C$6:$C$405,$AP2055)))</f>
        <v/>
      </c>
      <c r="Z2055" s="14">
        <f>IF($AQ2055="","","R"&amp;$C2055&amp;"."&amp;$D2055)</f>
        <v/>
      </c>
      <c r="AA2055" s="15">
        <f>IF(IF($AP2055="",FALSE,INDEX(職員マスタ!$K$6:$K$405,$AP2055)&lt;&gt;""),INDEX(職員マスタ!$K$6:$K$405,$AP2055),IF(N($W2055)&gt;0,$W2055,""))</f>
        <v/>
      </c>
      <c r="AB2055" s="14">
        <f>IF(OR($E2055="",$AA2055=""),"",IF($E2055&gt;=$AA2055,"×",IF($E2055&gt;=$AA2055*設定!$C$5,"△","○")))</f>
        <v/>
      </c>
      <c r="AC2055" s="15">
        <f>IF($AB2055="","",IF($AB2055="×",0,IF($AB2055="○",ROUNDDOWN($E2055*設定!$C$4,0),ROUNDDOWN($E2055*ROUND((9*$AA2055-9*$E2055)/(10*$E2055),4),0))))</f>
        <v/>
      </c>
      <c r="AD2055" s="13" t="n"/>
      <c r="AE2055" s="15">
        <f>IF($B2055="","",IF($AD2055&lt;&gt;"",$AD2055,IF($AC2055="","",IF($AC2055&lt;=設定!$C$3,0,$AC2055))))</f>
        <v/>
      </c>
      <c r="AF2055" s="14">
        <f>IF($B2055="","",IF(AND($AG2055&lt;&gt;"",$AI2055="",$AL2055=""),"保留中",IF($AL2055&lt;&gt;"",IF(N($AE2055)&gt;0,"支給済","不支給"),IF($AE2055="","要確認",IF($AE2055=0,"不支給","未処理")))))</f>
        <v/>
      </c>
      <c r="AG2055" s="12" t="n"/>
      <c r="AH2055" s="11" t="n"/>
      <c r="AI2055" s="11" t="n"/>
      <c r="AJ2055" s="11" t="n"/>
      <c r="AK2055" s="14">
        <f>IF(AND($AF2055="保留中",$AH2055&lt;&gt;""),TODAY()-$AH2055,"")</f>
        <v/>
      </c>
      <c r="AL2055" s="12" t="n"/>
      <c r="AM2055" s="14">
        <f>IF($B2055="","",IF($AQ2055="","対象年月が未入力／","")&amp;IF($B2055="","",IF($AP2055="","職員マスタに未登録の職員番号／",IF($AA2055="","標準報酬月額が未登録／","")&amp;IF(AND($AQ2055&lt;&gt;"",OR(AND(INDEX(職員マスタ!$G$6:$G$405,$AP2055)&lt;&gt;"",INDEX(職員マスタ!$G$6:$G$405,$AP2055)&gt;EOMONTH($AQ2055,0)),AND(INDEX(職員マスタ!$H$6:$H$405,$AP2055)&lt;&gt;"",INDEX(職員マスタ!$H$6:$H$405,$AP2055)&lt;$AQ2055))),"対象月が時短期間外／","")&amp;IF(AND(INDEX(職員マスタ!$K$6:$K$405,$AP2055)&lt;&gt;"",N($W2055)&gt;0,INDEX(職員マスタ!$K$6:$K$405,$AP2055)&lt;&gt;$W2055),"標準報酬月額が申請書と相違（台帳"&amp;TEXT(INDEX(職員マスタ!$K$6:$K$405,$AP2055),"#,##0")&amp;"円／申請書"&amp;TEXT($W2055,"#,##0")&amp;"円）／","")&amp;IF(AND(INDEX(職員マスタ!$F$6:$F$405,$AP2055)&lt;&gt;"",$AQ2055&lt;&gt;"",INDEX(職員マスタ!$F$6:$F$405,$AP2055)&lt;$AQ2055),"対象月に子が2歳到達済／","")&amp;IF(AND($H2055&lt;&gt;"",INDEX(職員マスタ!$B$6:$B$405,$AP2055)&lt;&gt;"",SUBSTITUTE(SUBSTITUTE($H2055," ","")," ","")&lt;&gt;SUBSTITUTE(SUBSTITUTE(INDEX(職員マスタ!$B$6:$B$405,$AP2055)," ","")," ","")),"氏名がマスタと相違／","")&amp;IF(AND($Q2055&lt;&gt;"",INDEX(職員マスタ!$E$6:$E$405,$AP2055)&lt;&gt;"",$Q2055&lt;&gt;INDEX(職員マスタ!$E$6:$E$405,$AP2055)),"子の生年月日がマスタと相違／","")&amp;IF(AND($L2055&lt;&gt;"",INDEX(職員マスタ!$G$6:$G$405,$AP2055)&lt;&gt;"",$L2055&lt;&gt;INDEX(職員マスタ!$G$6:$G$405,$AP2055)),"時短開始日がマスタと相違／","")&amp;IF(AND($M2055&lt;&gt;"",INDEX(職員マスタ!$H$6:$H$405,$AP2055)&lt;&gt;"",$M2055&lt;&gt;INDEX(職員マスタ!$H$6:$H$405,$AP2055)),"時短終了日がマスタと相違／","")))&amp;IF(AND($B2055&lt;&gt;"",$E2055=""),"報酬額が未入力／","")&amp;IF(N($U2055)&gt;0,"申請書に入力エラーが残っています／","")&amp;IF(AND($B2055&lt;&gt;"",$AQ2055&lt;&gt;""),IF(COUNTIFS($B$6:$B$3005,$B2055,$C$6:$C$3005,$C2055,$D$6:$D$3005,$D2055)&gt;1,"同じ月の請求が重複しています／",""),"")&amp;IF(AND(N($E2055)&gt;0,$AB2055&lt;&gt;"",$AB2055&lt;&gt;"×",$AE2055=0,$AD2055=""),"計算額が下限以下のため不支給／",""))</f>
        <v/>
      </c>
      <c r="AN2055" s="12" t="n"/>
      <c r="AO2055" s="14">
        <f>IF($AF2055="保留中",COUNTIF($AF$6:$AF2055,"保留中"),"")</f>
        <v/>
      </c>
      <c r="AP2055" s="14">
        <f>IF($AQ2055="","",IF(SUMPRODUCT(MAX((職員マスタ!$A$6:$A$405=$B2055)*(((職員マスタ!$G$6:$G$405="")+(職員マスタ!$G$6:$G$405&lt;=EOMONTH($AQ2055,0)))&gt;0)*(((職員マスタ!$H$6:$H$405="")+(職員マスタ!$H$6:$H$405&gt;=$AQ2055))&gt;0)*(ROW(職員マスタ!$A$6:$A$405)-5)))&gt;0,SUMPRODUCT(MAX((職員マスタ!$A$6:$A$405=$B2055)*(((職員マスタ!$G$6:$G$405="")+(職員マスタ!$G$6:$G$405&lt;=EOMONTH($AQ2055,0)))&gt;0)*(((職員マスタ!$H$6:$H$405="")+(職員マスタ!$H$6:$H$405&gt;=$AQ2055))&gt;0)*(ROW(職員マスタ!$A$6:$A$405)-5))),IFERROR(MATCH($B2055,職員マスタ!$A$6:$A$405,0),"")))</f>
        <v/>
      </c>
      <c r="AQ2055" s="16">
        <f>IF(OR($B2055="",$C2055="",$D2055=""),"",DATE($C2055+2018,$D2055,1))</f>
        <v/>
      </c>
    </row>
    <row r="2056">
      <c r="A2056" s="11" t="n"/>
      <c r="B2056" s="12" t="n"/>
      <c r="C2056" s="12" t="n"/>
      <c r="D2056" s="12" t="n"/>
      <c r="E2056" s="13" t="n"/>
      <c r="F2056" s="12" t="n"/>
      <c r="G2056" s="13" t="n"/>
      <c r="H2056" s="12" t="n"/>
      <c r="I2056" s="12" t="n"/>
      <c r="J2056" s="12" t="n"/>
      <c r="K2056" s="12" t="n"/>
      <c r="L2056" s="11" t="n"/>
      <c r="M2056" s="11" t="n"/>
      <c r="N2056" s="11" t="n"/>
      <c r="O2056" s="11" t="n"/>
      <c r="P2056" s="12" t="n"/>
      <c r="Q2056" s="11" t="n"/>
      <c r="R2056" s="12" t="n"/>
      <c r="S2056" s="11" t="n"/>
      <c r="T2056" s="12" t="n"/>
      <c r="U2056" s="12" t="n"/>
      <c r="V2056" s="12" t="n"/>
      <c r="W2056" s="13" t="n"/>
      <c r="X2056" s="14">
        <f>IF($AP2056="",IF($B2056="","",$H2056),IF(INDEX(職員マスタ!$B$6:$B$405,$AP2056)="",$H2056,INDEX(職員マスタ!$B$6:$B$405,$AP2056)))</f>
        <v/>
      </c>
      <c r="Y2056" s="14">
        <f>IF($AP2056="",IF($B2056="","",$R2056),IF(INDEX(職員マスタ!$C$6:$C$405,$AP2056)="",$R2056,INDEX(職員マスタ!$C$6:$C$405,$AP2056)))</f>
        <v/>
      </c>
      <c r="Z2056" s="14">
        <f>IF($AQ2056="","","R"&amp;$C2056&amp;"."&amp;$D2056)</f>
        <v/>
      </c>
      <c r="AA2056" s="15">
        <f>IF(IF($AP2056="",FALSE,INDEX(職員マスタ!$K$6:$K$405,$AP2056)&lt;&gt;""),INDEX(職員マスタ!$K$6:$K$405,$AP2056),IF(N($W2056)&gt;0,$W2056,""))</f>
        <v/>
      </c>
      <c r="AB2056" s="14">
        <f>IF(OR($E2056="",$AA2056=""),"",IF($E2056&gt;=$AA2056,"×",IF($E2056&gt;=$AA2056*設定!$C$5,"△","○")))</f>
        <v/>
      </c>
      <c r="AC2056" s="15">
        <f>IF($AB2056="","",IF($AB2056="×",0,IF($AB2056="○",ROUNDDOWN($E2056*設定!$C$4,0),ROUNDDOWN($E2056*ROUND((9*$AA2056-9*$E2056)/(10*$E2056),4),0))))</f>
        <v/>
      </c>
      <c r="AD2056" s="13" t="n"/>
      <c r="AE2056" s="15">
        <f>IF($B2056="","",IF($AD2056&lt;&gt;"",$AD2056,IF($AC2056="","",IF($AC2056&lt;=設定!$C$3,0,$AC2056))))</f>
        <v/>
      </c>
      <c r="AF2056" s="14">
        <f>IF($B2056="","",IF(AND($AG2056&lt;&gt;"",$AI2056="",$AL2056=""),"保留中",IF($AL2056&lt;&gt;"",IF(N($AE2056)&gt;0,"支給済","不支給"),IF($AE2056="","要確認",IF($AE2056=0,"不支給","未処理")))))</f>
        <v/>
      </c>
      <c r="AG2056" s="12" t="n"/>
      <c r="AH2056" s="11" t="n"/>
      <c r="AI2056" s="11" t="n"/>
      <c r="AJ2056" s="11" t="n"/>
      <c r="AK2056" s="14">
        <f>IF(AND($AF2056="保留中",$AH2056&lt;&gt;""),TODAY()-$AH2056,"")</f>
        <v/>
      </c>
      <c r="AL2056" s="12" t="n"/>
      <c r="AM2056" s="14">
        <f>IF($B2056="","",IF($AQ2056="","対象年月が未入力／","")&amp;IF($B2056="","",IF($AP2056="","職員マスタに未登録の職員番号／",IF($AA2056="","標準報酬月額が未登録／","")&amp;IF(AND($AQ2056&lt;&gt;"",OR(AND(INDEX(職員マスタ!$G$6:$G$405,$AP2056)&lt;&gt;"",INDEX(職員マスタ!$G$6:$G$405,$AP2056)&gt;EOMONTH($AQ2056,0)),AND(INDEX(職員マスタ!$H$6:$H$405,$AP2056)&lt;&gt;"",INDEX(職員マスタ!$H$6:$H$405,$AP2056)&lt;$AQ2056))),"対象月が時短期間外／","")&amp;IF(AND(INDEX(職員マスタ!$K$6:$K$405,$AP2056)&lt;&gt;"",N($W2056)&gt;0,INDEX(職員マスタ!$K$6:$K$405,$AP2056)&lt;&gt;$W2056),"標準報酬月額が申請書と相違（台帳"&amp;TEXT(INDEX(職員マスタ!$K$6:$K$405,$AP2056),"#,##0")&amp;"円／申請書"&amp;TEXT($W2056,"#,##0")&amp;"円）／","")&amp;IF(AND(INDEX(職員マスタ!$F$6:$F$405,$AP2056)&lt;&gt;"",$AQ2056&lt;&gt;"",INDEX(職員マスタ!$F$6:$F$405,$AP2056)&lt;$AQ2056),"対象月に子が2歳到達済／","")&amp;IF(AND($H2056&lt;&gt;"",INDEX(職員マスタ!$B$6:$B$405,$AP2056)&lt;&gt;"",SUBSTITUTE(SUBSTITUTE($H2056," ","")," ","")&lt;&gt;SUBSTITUTE(SUBSTITUTE(INDEX(職員マスタ!$B$6:$B$405,$AP2056)," ","")," ","")),"氏名がマスタと相違／","")&amp;IF(AND($Q2056&lt;&gt;"",INDEX(職員マスタ!$E$6:$E$405,$AP2056)&lt;&gt;"",$Q2056&lt;&gt;INDEX(職員マスタ!$E$6:$E$405,$AP2056)),"子の生年月日がマスタと相違／","")&amp;IF(AND($L2056&lt;&gt;"",INDEX(職員マスタ!$G$6:$G$405,$AP2056)&lt;&gt;"",$L2056&lt;&gt;INDEX(職員マスタ!$G$6:$G$405,$AP2056)),"時短開始日がマスタと相違／","")&amp;IF(AND($M2056&lt;&gt;"",INDEX(職員マスタ!$H$6:$H$405,$AP2056)&lt;&gt;"",$M2056&lt;&gt;INDEX(職員マスタ!$H$6:$H$405,$AP2056)),"時短終了日がマスタと相違／","")))&amp;IF(AND($B2056&lt;&gt;"",$E2056=""),"報酬額が未入力／","")&amp;IF(N($U2056)&gt;0,"申請書に入力エラーが残っています／","")&amp;IF(AND($B2056&lt;&gt;"",$AQ2056&lt;&gt;""),IF(COUNTIFS($B$6:$B$3005,$B2056,$C$6:$C$3005,$C2056,$D$6:$D$3005,$D2056)&gt;1,"同じ月の請求が重複しています／",""),"")&amp;IF(AND(N($E2056)&gt;0,$AB2056&lt;&gt;"",$AB2056&lt;&gt;"×",$AE2056=0,$AD2056=""),"計算額が下限以下のため不支給／",""))</f>
        <v/>
      </c>
      <c r="AN2056" s="12" t="n"/>
      <c r="AO2056" s="14">
        <f>IF($AF2056="保留中",COUNTIF($AF$6:$AF2056,"保留中"),"")</f>
        <v/>
      </c>
      <c r="AP2056" s="14">
        <f>IF($AQ2056="","",IF(SUMPRODUCT(MAX((職員マスタ!$A$6:$A$405=$B2056)*(((職員マスタ!$G$6:$G$405="")+(職員マスタ!$G$6:$G$405&lt;=EOMONTH($AQ2056,0)))&gt;0)*(((職員マスタ!$H$6:$H$405="")+(職員マスタ!$H$6:$H$405&gt;=$AQ2056))&gt;0)*(ROW(職員マスタ!$A$6:$A$405)-5)))&gt;0,SUMPRODUCT(MAX((職員マスタ!$A$6:$A$405=$B2056)*(((職員マスタ!$G$6:$G$405="")+(職員マスタ!$G$6:$G$405&lt;=EOMONTH($AQ2056,0)))&gt;0)*(((職員マスタ!$H$6:$H$405="")+(職員マスタ!$H$6:$H$405&gt;=$AQ2056))&gt;0)*(ROW(職員マスタ!$A$6:$A$405)-5))),IFERROR(MATCH($B2056,職員マスタ!$A$6:$A$405,0),"")))</f>
        <v/>
      </c>
      <c r="AQ2056" s="16">
        <f>IF(OR($B2056="",$C2056="",$D2056=""),"",DATE($C2056+2018,$D2056,1))</f>
        <v/>
      </c>
    </row>
    <row r="2057">
      <c r="A2057" s="11" t="n"/>
      <c r="B2057" s="12" t="n"/>
      <c r="C2057" s="12" t="n"/>
      <c r="D2057" s="12" t="n"/>
      <c r="E2057" s="13" t="n"/>
      <c r="F2057" s="12" t="n"/>
      <c r="G2057" s="13" t="n"/>
      <c r="H2057" s="12" t="n"/>
      <c r="I2057" s="12" t="n"/>
      <c r="J2057" s="12" t="n"/>
      <c r="K2057" s="12" t="n"/>
      <c r="L2057" s="11" t="n"/>
      <c r="M2057" s="11" t="n"/>
      <c r="N2057" s="11" t="n"/>
      <c r="O2057" s="11" t="n"/>
      <c r="P2057" s="12" t="n"/>
      <c r="Q2057" s="11" t="n"/>
      <c r="R2057" s="12" t="n"/>
      <c r="S2057" s="11" t="n"/>
      <c r="T2057" s="12" t="n"/>
      <c r="U2057" s="12" t="n"/>
      <c r="V2057" s="12" t="n"/>
      <c r="W2057" s="13" t="n"/>
      <c r="X2057" s="14">
        <f>IF($AP2057="",IF($B2057="","",$H2057),IF(INDEX(職員マスタ!$B$6:$B$405,$AP2057)="",$H2057,INDEX(職員マスタ!$B$6:$B$405,$AP2057)))</f>
        <v/>
      </c>
      <c r="Y2057" s="14">
        <f>IF($AP2057="",IF($B2057="","",$R2057),IF(INDEX(職員マスタ!$C$6:$C$405,$AP2057)="",$R2057,INDEX(職員マスタ!$C$6:$C$405,$AP2057)))</f>
        <v/>
      </c>
      <c r="Z2057" s="14">
        <f>IF($AQ2057="","","R"&amp;$C2057&amp;"."&amp;$D2057)</f>
        <v/>
      </c>
      <c r="AA2057" s="15">
        <f>IF(IF($AP2057="",FALSE,INDEX(職員マスタ!$K$6:$K$405,$AP2057)&lt;&gt;""),INDEX(職員マスタ!$K$6:$K$405,$AP2057),IF(N($W2057)&gt;0,$W2057,""))</f>
        <v/>
      </c>
      <c r="AB2057" s="14">
        <f>IF(OR($E2057="",$AA2057=""),"",IF($E2057&gt;=$AA2057,"×",IF($E2057&gt;=$AA2057*設定!$C$5,"△","○")))</f>
        <v/>
      </c>
      <c r="AC2057" s="15">
        <f>IF($AB2057="","",IF($AB2057="×",0,IF($AB2057="○",ROUNDDOWN($E2057*設定!$C$4,0),ROUNDDOWN($E2057*ROUND((9*$AA2057-9*$E2057)/(10*$E2057),4),0))))</f>
        <v/>
      </c>
      <c r="AD2057" s="13" t="n"/>
      <c r="AE2057" s="15">
        <f>IF($B2057="","",IF($AD2057&lt;&gt;"",$AD2057,IF($AC2057="","",IF($AC2057&lt;=設定!$C$3,0,$AC2057))))</f>
        <v/>
      </c>
      <c r="AF2057" s="14">
        <f>IF($B2057="","",IF(AND($AG2057&lt;&gt;"",$AI2057="",$AL2057=""),"保留中",IF($AL2057&lt;&gt;"",IF(N($AE2057)&gt;0,"支給済","不支給"),IF($AE2057="","要確認",IF($AE2057=0,"不支給","未処理")))))</f>
        <v/>
      </c>
      <c r="AG2057" s="12" t="n"/>
      <c r="AH2057" s="11" t="n"/>
      <c r="AI2057" s="11" t="n"/>
      <c r="AJ2057" s="11" t="n"/>
      <c r="AK2057" s="14">
        <f>IF(AND($AF2057="保留中",$AH2057&lt;&gt;""),TODAY()-$AH2057,"")</f>
        <v/>
      </c>
      <c r="AL2057" s="12" t="n"/>
      <c r="AM2057" s="14">
        <f>IF($B2057="","",IF($AQ2057="","対象年月が未入力／","")&amp;IF($B2057="","",IF($AP2057="","職員マスタに未登録の職員番号／",IF($AA2057="","標準報酬月額が未登録／","")&amp;IF(AND($AQ2057&lt;&gt;"",OR(AND(INDEX(職員マスタ!$G$6:$G$405,$AP2057)&lt;&gt;"",INDEX(職員マスタ!$G$6:$G$405,$AP2057)&gt;EOMONTH($AQ2057,0)),AND(INDEX(職員マスタ!$H$6:$H$405,$AP2057)&lt;&gt;"",INDEX(職員マスタ!$H$6:$H$405,$AP2057)&lt;$AQ2057))),"対象月が時短期間外／","")&amp;IF(AND(INDEX(職員マスタ!$K$6:$K$405,$AP2057)&lt;&gt;"",N($W2057)&gt;0,INDEX(職員マスタ!$K$6:$K$405,$AP2057)&lt;&gt;$W2057),"標準報酬月額が申請書と相違（台帳"&amp;TEXT(INDEX(職員マスタ!$K$6:$K$405,$AP2057),"#,##0")&amp;"円／申請書"&amp;TEXT($W2057,"#,##0")&amp;"円）／","")&amp;IF(AND(INDEX(職員マスタ!$F$6:$F$405,$AP2057)&lt;&gt;"",$AQ2057&lt;&gt;"",INDEX(職員マスタ!$F$6:$F$405,$AP2057)&lt;$AQ2057),"対象月に子が2歳到達済／","")&amp;IF(AND($H2057&lt;&gt;"",INDEX(職員マスタ!$B$6:$B$405,$AP2057)&lt;&gt;"",SUBSTITUTE(SUBSTITUTE($H2057," ","")," ","")&lt;&gt;SUBSTITUTE(SUBSTITUTE(INDEX(職員マスタ!$B$6:$B$405,$AP2057)," ","")," ","")),"氏名がマスタと相違／","")&amp;IF(AND($Q2057&lt;&gt;"",INDEX(職員マスタ!$E$6:$E$405,$AP2057)&lt;&gt;"",$Q2057&lt;&gt;INDEX(職員マスタ!$E$6:$E$405,$AP2057)),"子の生年月日がマスタと相違／","")&amp;IF(AND($L2057&lt;&gt;"",INDEX(職員マスタ!$G$6:$G$405,$AP2057)&lt;&gt;"",$L2057&lt;&gt;INDEX(職員マスタ!$G$6:$G$405,$AP2057)),"時短開始日がマスタと相違／","")&amp;IF(AND($M2057&lt;&gt;"",INDEX(職員マスタ!$H$6:$H$405,$AP2057)&lt;&gt;"",$M2057&lt;&gt;INDEX(職員マスタ!$H$6:$H$405,$AP2057)),"時短終了日がマスタと相違／","")))&amp;IF(AND($B2057&lt;&gt;"",$E2057=""),"報酬額が未入力／","")&amp;IF(N($U2057)&gt;0,"申請書に入力エラーが残っています／","")&amp;IF(AND($B2057&lt;&gt;"",$AQ2057&lt;&gt;""),IF(COUNTIFS($B$6:$B$3005,$B2057,$C$6:$C$3005,$C2057,$D$6:$D$3005,$D2057)&gt;1,"同じ月の請求が重複しています／",""),"")&amp;IF(AND(N($E2057)&gt;0,$AB2057&lt;&gt;"",$AB2057&lt;&gt;"×",$AE2057=0,$AD2057=""),"計算額が下限以下のため不支給／",""))</f>
        <v/>
      </c>
      <c r="AN2057" s="12" t="n"/>
      <c r="AO2057" s="14">
        <f>IF($AF2057="保留中",COUNTIF($AF$6:$AF2057,"保留中"),"")</f>
        <v/>
      </c>
      <c r="AP2057" s="14">
        <f>IF($AQ2057="","",IF(SUMPRODUCT(MAX((職員マスタ!$A$6:$A$405=$B2057)*(((職員マスタ!$G$6:$G$405="")+(職員マスタ!$G$6:$G$405&lt;=EOMONTH($AQ2057,0)))&gt;0)*(((職員マスタ!$H$6:$H$405="")+(職員マスタ!$H$6:$H$405&gt;=$AQ2057))&gt;0)*(ROW(職員マスタ!$A$6:$A$405)-5)))&gt;0,SUMPRODUCT(MAX((職員マスタ!$A$6:$A$405=$B2057)*(((職員マスタ!$G$6:$G$405="")+(職員マスタ!$G$6:$G$405&lt;=EOMONTH($AQ2057,0)))&gt;0)*(((職員マスタ!$H$6:$H$405="")+(職員マスタ!$H$6:$H$405&gt;=$AQ2057))&gt;0)*(ROW(職員マスタ!$A$6:$A$405)-5))),IFERROR(MATCH($B2057,職員マスタ!$A$6:$A$405,0),"")))</f>
        <v/>
      </c>
      <c r="AQ2057" s="16">
        <f>IF(OR($B2057="",$C2057="",$D2057=""),"",DATE($C2057+2018,$D2057,1))</f>
        <v/>
      </c>
    </row>
    <row r="2058">
      <c r="A2058" s="11" t="n"/>
      <c r="B2058" s="12" t="n"/>
      <c r="C2058" s="12" t="n"/>
      <c r="D2058" s="12" t="n"/>
      <c r="E2058" s="13" t="n"/>
      <c r="F2058" s="12" t="n"/>
      <c r="G2058" s="13" t="n"/>
      <c r="H2058" s="12" t="n"/>
      <c r="I2058" s="12" t="n"/>
      <c r="J2058" s="12" t="n"/>
      <c r="K2058" s="12" t="n"/>
      <c r="L2058" s="11" t="n"/>
      <c r="M2058" s="11" t="n"/>
      <c r="N2058" s="11" t="n"/>
      <c r="O2058" s="11" t="n"/>
      <c r="P2058" s="12" t="n"/>
      <c r="Q2058" s="11" t="n"/>
      <c r="R2058" s="12" t="n"/>
      <c r="S2058" s="11" t="n"/>
      <c r="T2058" s="12" t="n"/>
      <c r="U2058" s="12" t="n"/>
      <c r="V2058" s="12" t="n"/>
      <c r="W2058" s="13" t="n"/>
      <c r="X2058" s="14">
        <f>IF($AP2058="",IF($B2058="","",$H2058),IF(INDEX(職員マスタ!$B$6:$B$405,$AP2058)="",$H2058,INDEX(職員マスタ!$B$6:$B$405,$AP2058)))</f>
        <v/>
      </c>
      <c r="Y2058" s="14">
        <f>IF($AP2058="",IF($B2058="","",$R2058),IF(INDEX(職員マスタ!$C$6:$C$405,$AP2058)="",$R2058,INDEX(職員マスタ!$C$6:$C$405,$AP2058)))</f>
        <v/>
      </c>
      <c r="Z2058" s="14">
        <f>IF($AQ2058="","","R"&amp;$C2058&amp;"."&amp;$D2058)</f>
        <v/>
      </c>
      <c r="AA2058" s="15">
        <f>IF(IF($AP2058="",FALSE,INDEX(職員マスタ!$K$6:$K$405,$AP2058)&lt;&gt;""),INDEX(職員マスタ!$K$6:$K$405,$AP2058),IF(N($W2058)&gt;0,$W2058,""))</f>
        <v/>
      </c>
      <c r="AB2058" s="14">
        <f>IF(OR($E2058="",$AA2058=""),"",IF($E2058&gt;=$AA2058,"×",IF($E2058&gt;=$AA2058*設定!$C$5,"△","○")))</f>
        <v/>
      </c>
      <c r="AC2058" s="15">
        <f>IF($AB2058="","",IF($AB2058="×",0,IF($AB2058="○",ROUNDDOWN($E2058*設定!$C$4,0),ROUNDDOWN($E2058*ROUND((9*$AA2058-9*$E2058)/(10*$E2058),4),0))))</f>
        <v/>
      </c>
      <c r="AD2058" s="13" t="n"/>
      <c r="AE2058" s="15">
        <f>IF($B2058="","",IF($AD2058&lt;&gt;"",$AD2058,IF($AC2058="","",IF($AC2058&lt;=設定!$C$3,0,$AC2058))))</f>
        <v/>
      </c>
      <c r="AF2058" s="14">
        <f>IF($B2058="","",IF(AND($AG2058&lt;&gt;"",$AI2058="",$AL2058=""),"保留中",IF($AL2058&lt;&gt;"",IF(N($AE2058)&gt;0,"支給済","不支給"),IF($AE2058="","要確認",IF($AE2058=0,"不支給","未処理")))))</f>
        <v/>
      </c>
      <c r="AG2058" s="12" t="n"/>
      <c r="AH2058" s="11" t="n"/>
      <c r="AI2058" s="11" t="n"/>
      <c r="AJ2058" s="11" t="n"/>
      <c r="AK2058" s="14">
        <f>IF(AND($AF2058="保留中",$AH2058&lt;&gt;""),TODAY()-$AH2058,"")</f>
        <v/>
      </c>
      <c r="AL2058" s="12" t="n"/>
      <c r="AM2058" s="14">
        <f>IF($B2058="","",IF($AQ2058="","対象年月が未入力／","")&amp;IF($B2058="","",IF($AP2058="","職員マスタに未登録の職員番号／",IF($AA2058="","標準報酬月額が未登録／","")&amp;IF(AND($AQ2058&lt;&gt;"",OR(AND(INDEX(職員マスタ!$G$6:$G$405,$AP2058)&lt;&gt;"",INDEX(職員マスタ!$G$6:$G$405,$AP2058)&gt;EOMONTH($AQ2058,0)),AND(INDEX(職員マスタ!$H$6:$H$405,$AP2058)&lt;&gt;"",INDEX(職員マスタ!$H$6:$H$405,$AP2058)&lt;$AQ2058))),"対象月が時短期間外／","")&amp;IF(AND(INDEX(職員マスタ!$K$6:$K$405,$AP2058)&lt;&gt;"",N($W2058)&gt;0,INDEX(職員マスタ!$K$6:$K$405,$AP2058)&lt;&gt;$W2058),"標準報酬月額が申請書と相違（台帳"&amp;TEXT(INDEX(職員マスタ!$K$6:$K$405,$AP2058),"#,##0")&amp;"円／申請書"&amp;TEXT($W2058,"#,##0")&amp;"円）／","")&amp;IF(AND(INDEX(職員マスタ!$F$6:$F$405,$AP2058)&lt;&gt;"",$AQ2058&lt;&gt;"",INDEX(職員マスタ!$F$6:$F$405,$AP2058)&lt;$AQ2058),"対象月に子が2歳到達済／","")&amp;IF(AND($H2058&lt;&gt;"",INDEX(職員マスタ!$B$6:$B$405,$AP2058)&lt;&gt;"",SUBSTITUTE(SUBSTITUTE($H2058," ","")," ","")&lt;&gt;SUBSTITUTE(SUBSTITUTE(INDEX(職員マスタ!$B$6:$B$405,$AP2058)," ","")," ","")),"氏名がマスタと相違／","")&amp;IF(AND($Q2058&lt;&gt;"",INDEX(職員マスタ!$E$6:$E$405,$AP2058)&lt;&gt;"",$Q2058&lt;&gt;INDEX(職員マスタ!$E$6:$E$405,$AP2058)),"子の生年月日がマスタと相違／","")&amp;IF(AND($L2058&lt;&gt;"",INDEX(職員マスタ!$G$6:$G$405,$AP2058)&lt;&gt;"",$L2058&lt;&gt;INDEX(職員マスタ!$G$6:$G$405,$AP2058)),"時短開始日がマスタと相違／","")&amp;IF(AND($M2058&lt;&gt;"",INDEX(職員マスタ!$H$6:$H$405,$AP2058)&lt;&gt;"",$M2058&lt;&gt;INDEX(職員マスタ!$H$6:$H$405,$AP2058)),"時短終了日がマスタと相違／","")))&amp;IF(AND($B2058&lt;&gt;"",$E2058=""),"報酬額が未入力／","")&amp;IF(N($U2058)&gt;0,"申請書に入力エラーが残っています／","")&amp;IF(AND($B2058&lt;&gt;"",$AQ2058&lt;&gt;""),IF(COUNTIFS($B$6:$B$3005,$B2058,$C$6:$C$3005,$C2058,$D$6:$D$3005,$D2058)&gt;1,"同じ月の請求が重複しています／",""),"")&amp;IF(AND(N($E2058)&gt;0,$AB2058&lt;&gt;"",$AB2058&lt;&gt;"×",$AE2058=0,$AD2058=""),"計算額が下限以下のため不支給／",""))</f>
        <v/>
      </c>
      <c r="AN2058" s="12" t="n"/>
      <c r="AO2058" s="14">
        <f>IF($AF2058="保留中",COUNTIF($AF$6:$AF2058,"保留中"),"")</f>
        <v/>
      </c>
      <c r="AP2058" s="14">
        <f>IF($AQ2058="","",IF(SUMPRODUCT(MAX((職員マスタ!$A$6:$A$405=$B2058)*(((職員マスタ!$G$6:$G$405="")+(職員マスタ!$G$6:$G$405&lt;=EOMONTH($AQ2058,0)))&gt;0)*(((職員マスタ!$H$6:$H$405="")+(職員マスタ!$H$6:$H$405&gt;=$AQ2058))&gt;0)*(ROW(職員マスタ!$A$6:$A$405)-5)))&gt;0,SUMPRODUCT(MAX((職員マスタ!$A$6:$A$405=$B2058)*(((職員マスタ!$G$6:$G$405="")+(職員マスタ!$G$6:$G$405&lt;=EOMONTH($AQ2058,0)))&gt;0)*(((職員マスタ!$H$6:$H$405="")+(職員マスタ!$H$6:$H$405&gt;=$AQ2058))&gt;0)*(ROW(職員マスタ!$A$6:$A$405)-5))),IFERROR(MATCH($B2058,職員マスタ!$A$6:$A$405,0),"")))</f>
        <v/>
      </c>
      <c r="AQ2058" s="16">
        <f>IF(OR($B2058="",$C2058="",$D2058=""),"",DATE($C2058+2018,$D2058,1))</f>
        <v/>
      </c>
    </row>
    <row r="2059">
      <c r="A2059" s="11" t="n"/>
      <c r="B2059" s="12" t="n"/>
      <c r="C2059" s="12" t="n"/>
      <c r="D2059" s="12" t="n"/>
      <c r="E2059" s="13" t="n"/>
      <c r="F2059" s="12" t="n"/>
      <c r="G2059" s="13" t="n"/>
      <c r="H2059" s="12" t="n"/>
      <c r="I2059" s="12" t="n"/>
      <c r="J2059" s="12" t="n"/>
      <c r="K2059" s="12" t="n"/>
      <c r="L2059" s="11" t="n"/>
      <c r="M2059" s="11" t="n"/>
      <c r="N2059" s="11" t="n"/>
      <c r="O2059" s="11" t="n"/>
      <c r="P2059" s="12" t="n"/>
      <c r="Q2059" s="11" t="n"/>
      <c r="R2059" s="12" t="n"/>
      <c r="S2059" s="11" t="n"/>
      <c r="T2059" s="12" t="n"/>
      <c r="U2059" s="12" t="n"/>
      <c r="V2059" s="12" t="n"/>
      <c r="W2059" s="13" t="n"/>
      <c r="X2059" s="14">
        <f>IF($AP2059="",IF($B2059="","",$H2059),IF(INDEX(職員マスタ!$B$6:$B$405,$AP2059)="",$H2059,INDEX(職員マスタ!$B$6:$B$405,$AP2059)))</f>
        <v/>
      </c>
      <c r="Y2059" s="14">
        <f>IF($AP2059="",IF($B2059="","",$R2059),IF(INDEX(職員マスタ!$C$6:$C$405,$AP2059)="",$R2059,INDEX(職員マスタ!$C$6:$C$405,$AP2059)))</f>
        <v/>
      </c>
      <c r="Z2059" s="14">
        <f>IF($AQ2059="","","R"&amp;$C2059&amp;"."&amp;$D2059)</f>
        <v/>
      </c>
      <c r="AA2059" s="15">
        <f>IF(IF($AP2059="",FALSE,INDEX(職員マスタ!$K$6:$K$405,$AP2059)&lt;&gt;""),INDEX(職員マスタ!$K$6:$K$405,$AP2059),IF(N($W2059)&gt;0,$W2059,""))</f>
        <v/>
      </c>
      <c r="AB2059" s="14">
        <f>IF(OR($E2059="",$AA2059=""),"",IF($E2059&gt;=$AA2059,"×",IF($E2059&gt;=$AA2059*設定!$C$5,"△","○")))</f>
        <v/>
      </c>
      <c r="AC2059" s="15">
        <f>IF($AB2059="","",IF($AB2059="×",0,IF($AB2059="○",ROUNDDOWN($E2059*設定!$C$4,0),ROUNDDOWN($E2059*ROUND((9*$AA2059-9*$E2059)/(10*$E2059),4),0))))</f>
        <v/>
      </c>
      <c r="AD2059" s="13" t="n"/>
      <c r="AE2059" s="15">
        <f>IF($B2059="","",IF($AD2059&lt;&gt;"",$AD2059,IF($AC2059="","",IF($AC2059&lt;=設定!$C$3,0,$AC2059))))</f>
        <v/>
      </c>
      <c r="AF2059" s="14">
        <f>IF($B2059="","",IF(AND($AG2059&lt;&gt;"",$AI2059="",$AL2059=""),"保留中",IF($AL2059&lt;&gt;"",IF(N($AE2059)&gt;0,"支給済","不支給"),IF($AE2059="","要確認",IF($AE2059=0,"不支給","未処理")))))</f>
        <v/>
      </c>
      <c r="AG2059" s="12" t="n"/>
      <c r="AH2059" s="11" t="n"/>
      <c r="AI2059" s="11" t="n"/>
      <c r="AJ2059" s="11" t="n"/>
      <c r="AK2059" s="14">
        <f>IF(AND($AF2059="保留中",$AH2059&lt;&gt;""),TODAY()-$AH2059,"")</f>
        <v/>
      </c>
      <c r="AL2059" s="12" t="n"/>
      <c r="AM2059" s="14">
        <f>IF($B2059="","",IF($AQ2059="","対象年月が未入力／","")&amp;IF($B2059="","",IF($AP2059="","職員マスタに未登録の職員番号／",IF($AA2059="","標準報酬月額が未登録／","")&amp;IF(AND($AQ2059&lt;&gt;"",OR(AND(INDEX(職員マスタ!$G$6:$G$405,$AP2059)&lt;&gt;"",INDEX(職員マスタ!$G$6:$G$405,$AP2059)&gt;EOMONTH($AQ2059,0)),AND(INDEX(職員マスタ!$H$6:$H$405,$AP2059)&lt;&gt;"",INDEX(職員マスタ!$H$6:$H$405,$AP2059)&lt;$AQ2059))),"対象月が時短期間外／","")&amp;IF(AND(INDEX(職員マスタ!$K$6:$K$405,$AP2059)&lt;&gt;"",N($W2059)&gt;0,INDEX(職員マスタ!$K$6:$K$405,$AP2059)&lt;&gt;$W2059),"標準報酬月額が申請書と相違（台帳"&amp;TEXT(INDEX(職員マスタ!$K$6:$K$405,$AP2059),"#,##0")&amp;"円／申請書"&amp;TEXT($W2059,"#,##0")&amp;"円）／","")&amp;IF(AND(INDEX(職員マスタ!$F$6:$F$405,$AP2059)&lt;&gt;"",$AQ2059&lt;&gt;"",INDEX(職員マスタ!$F$6:$F$405,$AP2059)&lt;$AQ2059),"対象月に子が2歳到達済／","")&amp;IF(AND($H2059&lt;&gt;"",INDEX(職員マスタ!$B$6:$B$405,$AP2059)&lt;&gt;"",SUBSTITUTE(SUBSTITUTE($H2059," ","")," ","")&lt;&gt;SUBSTITUTE(SUBSTITUTE(INDEX(職員マスタ!$B$6:$B$405,$AP2059)," ","")," ","")),"氏名がマスタと相違／","")&amp;IF(AND($Q2059&lt;&gt;"",INDEX(職員マスタ!$E$6:$E$405,$AP2059)&lt;&gt;"",$Q2059&lt;&gt;INDEX(職員マスタ!$E$6:$E$405,$AP2059)),"子の生年月日がマスタと相違／","")&amp;IF(AND($L2059&lt;&gt;"",INDEX(職員マスタ!$G$6:$G$405,$AP2059)&lt;&gt;"",$L2059&lt;&gt;INDEX(職員マスタ!$G$6:$G$405,$AP2059)),"時短開始日がマスタと相違／","")&amp;IF(AND($M2059&lt;&gt;"",INDEX(職員マスタ!$H$6:$H$405,$AP2059)&lt;&gt;"",$M2059&lt;&gt;INDEX(職員マスタ!$H$6:$H$405,$AP2059)),"時短終了日がマスタと相違／","")))&amp;IF(AND($B2059&lt;&gt;"",$E2059=""),"報酬額が未入力／","")&amp;IF(N($U2059)&gt;0,"申請書に入力エラーが残っています／","")&amp;IF(AND($B2059&lt;&gt;"",$AQ2059&lt;&gt;""),IF(COUNTIFS($B$6:$B$3005,$B2059,$C$6:$C$3005,$C2059,$D$6:$D$3005,$D2059)&gt;1,"同じ月の請求が重複しています／",""),"")&amp;IF(AND(N($E2059)&gt;0,$AB2059&lt;&gt;"",$AB2059&lt;&gt;"×",$AE2059=0,$AD2059=""),"計算額が下限以下のため不支給／",""))</f>
        <v/>
      </c>
      <c r="AN2059" s="12" t="n"/>
      <c r="AO2059" s="14">
        <f>IF($AF2059="保留中",COUNTIF($AF$6:$AF2059,"保留中"),"")</f>
        <v/>
      </c>
      <c r="AP2059" s="14">
        <f>IF($AQ2059="","",IF(SUMPRODUCT(MAX((職員マスタ!$A$6:$A$405=$B2059)*(((職員マスタ!$G$6:$G$405="")+(職員マスタ!$G$6:$G$405&lt;=EOMONTH($AQ2059,0)))&gt;0)*(((職員マスタ!$H$6:$H$405="")+(職員マスタ!$H$6:$H$405&gt;=$AQ2059))&gt;0)*(ROW(職員マスタ!$A$6:$A$405)-5)))&gt;0,SUMPRODUCT(MAX((職員マスタ!$A$6:$A$405=$B2059)*(((職員マスタ!$G$6:$G$405="")+(職員マスタ!$G$6:$G$405&lt;=EOMONTH($AQ2059,0)))&gt;0)*(((職員マスタ!$H$6:$H$405="")+(職員マスタ!$H$6:$H$405&gt;=$AQ2059))&gt;0)*(ROW(職員マスタ!$A$6:$A$405)-5))),IFERROR(MATCH($B2059,職員マスタ!$A$6:$A$405,0),"")))</f>
        <v/>
      </c>
      <c r="AQ2059" s="16">
        <f>IF(OR($B2059="",$C2059="",$D2059=""),"",DATE($C2059+2018,$D2059,1))</f>
        <v/>
      </c>
    </row>
    <row r="2060">
      <c r="A2060" s="11" t="n"/>
      <c r="B2060" s="12" t="n"/>
      <c r="C2060" s="12" t="n"/>
      <c r="D2060" s="12" t="n"/>
      <c r="E2060" s="13" t="n"/>
      <c r="F2060" s="12" t="n"/>
      <c r="G2060" s="13" t="n"/>
      <c r="H2060" s="12" t="n"/>
      <c r="I2060" s="12" t="n"/>
      <c r="J2060" s="12" t="n"/>
      <c r="K2060" s="12" t="n"/>
      <c r="L2060" s="11" t="n"/>
      <c r="M2060" s="11" t="n"/>
      <c r="N2060" s="11" t="n"/>
      <c r="O2060" s="11" t="n"/>
      <c r="P2060" s="12" t="n"/>
      <c r="Q2060" s="11" t="n"/>
      <c r="R2060" s="12" t="n"/>
      <c r="S2060" s="11" t="n"/>
      <c r="T2060" s="12" t="n"/>
      <c r="U2060" s="12" t="n"/>
      <c r="V2060" s="12" t="n"/>
      <c r="W2060" s="13" t="n"/>
      <c r="X2060" s="14">
        <f>IF($AP2060="",IF($B2060="","",$H2060),IF(INDEX(職員マスタ!$B$6:$B$405,$AP2060)="",$H2060,INDEX(職員マスタ!$B$6:$B$405,$AP2060)))</f>
        <v/>
      </c>
      <c r="Y2060" s="14">
        <f>IF($AP2060="",IF($B2060="","",$R2060),IF(INDEX(職員マスタ!$C$6:$C$405,$AP2060)="",$R2060,INDEX(職員マスタ!$C$6:$C$405,$AP2060)))</f>
        <v/>
      </c>
      <c r="Z2060" s="14">
        <f>IF($AQ2060="","","R"&amp;$C2060&amp;"."&amp;$D2060)</f>
        <v/>
      </c>
      <c r="AA2060" s="15">
        <f>IF(IF($AP2060="",FALSE,INDEX(職員マスタ!$K$6:$K$405,$AP2060)&lt;&gt;""),INDEX(職員マスタ!$K$6:$K$405,$AP2060),IF(N($W2060)&gt;0,$W2060,""))</f>
        <v/>
      </c>
      <c r="AB2060" s="14">
        <f>IF(OR($E2060="",$AA2060=""),"",IF($E2060&gt;=$AA2060,"×",IF($E2060&gt;=$AA2060*設定!$C$5,"△","○")))</f>
        <v/>
      </c>
      <c r="AC2060" s="15">
        <f>IF($AB2060="","",IF($AB2060="×",0,IF($AB2060="○",ROUNDDOWN($E2060*設定!$C$4,0),ROUNDDOWN($E2060*ROUND((9*$AA2060-9*$E2060)/(10*$E2060),4),0))))</f>
        <v/>
      </c>
      <c r="AD2060" s="13" t="n"/>
      <c r="AE2060" s="15">
        <f>IF($B2060="","",IF($AD2060&lt;&gt;"",$AD2060,IF($AC2060="","",IF($AC2060&lt;=設定!$C$3,0,$AC2060))))</f>
        <v/>
      </c>
      <c r="AF2060" s="14">
        <f>IF($B2060="","",IF(AND($AG2060&lt;&gt;"",$AI2060="",$AL2060=""),"保留中",IF($AL2060&lt;&gt;"",IF(N($AE2060)&gt;0,"支給済","不支給"),IF($AE2060="","要確認",IF($AE2060=0,"不支給","未処理")))))</f>
        <v/>
      </c>
      <c r="AG2060" s="12" t="n"/>
      <c r="AH2060" s="11" t="n"/>
      <c r="AI2060" s="11" t="n"/>
      <c r="AJ2060" s="11" t="n"/>
      <c r="AK2060" s="14">
        <f>IF(AND($AF2060="保留中",$AH2060&lt;&gt;""),TODAY()-$AH2060,"")</f>
        <v/>
      </c>
      <c r="AL2060" s="12" t="n"/>
      <c r="AM2060" s="14">
        <f>IF($B2060="","",IF($AQ2060="","対象年月が未入力／","")&amp;IF($B2060="","",IF($AP2060="","職員マスタに未登録の職員番号／",IF($AA2060="","標準報酬月額が未登録／","")&amp;IF(AND($AQ2060&lt;&gt;"",OR(AND(INDEX(職員マスタ!$G$6:$G$405,$AP2060)&lt;&gt;"",INDEX(職員マスタ!$G$6:$G$405,$AP2060)&gt;EOMONTH($AQ2060,0)),AND(INDEX(職員マスタ!$H$6:$H$405,$AP2060)&lt;&gt;"",INDEX(職員マスタ!$H$6:$H$405,$AP2060)&lt;$AQ2060))),"対象月が時短期間外／","")&amp;IF(AND(INDEX(職員マスタ!$K$6:$K$405,$AP2060)&lt;&gt;"",N($W2060)&gt;0,INDEX(職員マスタ!$K$6:$K$405,$AP2060)&lt;&gt;$W2060),"標準報酬月額が申請書と相違（台帳"&amp;TEXT(INDEX(職員マスタ!$K$6:$K$405,$AP2060),"#,##0")&amp;"円／申請書"&amp;TEXT($W2060,"#,##0")&amp;"円）／","")&amp;IF(AND(INDEX(職員マスタ!$F$6:$F$405,$AP2060)&lt;&gt;"",$AQ2060&lt;&gt;"",INDEX(職員マスタ!$F$6:$F$405,$AP2060)&lt;$AQ2060),"対象月に子が2歳到達済／","")&amp;IF(AND($H2060&lt;&gt;"",INDEX(職員マスタ!$B$6:$B$405,$AP2060)&lt;&gt;"",SUBSTITUTE(SUBSTITUTE($H2060," ","")," ","")&lt;&gt;SUBSTITUTE(SUBSTITUTE(INDEX(職員マスタ!$B$6:$B$405,$AP2060)," ","")," ","")),"氏名がマスタと相違／","")&amp;IF(AND($Q2060&lt;&gt;"",INDEX(職員マスタ!$E$6:$E$405,$AP2060)&lt;&gt;"",$Q2060&lt;&gt;INDEX(職員マスタ!$E$6:$E$405,$AP2060)),"子の生年月日がマスタと相違／","")&amp;IF(AND($L2060&lt;&gt;"",INDEX(職員マスタ!$G$6:$G$405,$AP2060)&lt;&gt;"",$L2060&lt;&gt;INDEX(職員マスタ!$G$6:$G$405,$AP2060)),"時短開始日がマスタと相違／","")&amp;IF(AND($M2060&lt;&gt;"",INDEX(職員マスタ!$H$6:$H$405,$AP2060)&lt;&gt;"",$M2060&lt;&gt;INDEX(職員マスタ!$H$6:$H$405,$AP2060)),"時短終了日がマスタと相違／","")))&amp;IF(AND($B2060&lt;&gt;"",$E2060=""),"報酬額が未入力／","")&amp;IF(N($U2060)&gt;0,"申請書に入力エラーが残っています／","")&amp;IF(AND($B2060&lt;&gt;"",$AQ2060&lt;&gt;""),IF(COUNTIFS($B$6:$B$3005,$B2060,$C$6:$C$3005,$C2060,$D$6:$D$3005,$D2060)&gt;1,"同じ月の請求が重複しています／",""),"")&amp;IF(AND(N($E2060)&gt;0,$AB2060&lt;&gt;"",$AB2060&lt;&gt;"×",$AE2060=0,$AD2060=""),"計算額が下限以下のため不支給／",""))</f>
        <v/>
      </c>
      <c r="AN2060" s="12" t="n"/>
      <c r="AO2060" s="14">
        <f>IF($AF2060="保留中",COUNTIF($AF$6:$AF2060,"保留中"),"")</f>
        <v/>
      </c>
      <c r="AP2060" s="14">
        <f>IF($AQ2060="","",IF(SUMPRODUCT(MAX((職員マスタ!$A$6:$A$405=$B2060)*(((職員マスタ!$G$6:$G$405="")+(職員マスタ!$G$6:$G$405&lt;=EOMONTH($AQ2060,0)))&gt;0)*(((職員マスタ!$H$6:$H$405="")+(職員マスタ!$H$6:$H$405&gt;=$AQ2060))&gt;0)*(ROW(職員マスタ!$A$6:$A$405)-5)))&gt;0,SUMPRODUCT(MAX((職員マスタ!$A$6:$A$405=$B2060)*(((職員マスタ!$G$6:$G$405="")+(職員マスタ!$G$6:$G$405&lt;=EOMONTH($AQ2060,0)))&gt;0)*(((職員マスタ!$H$6:$H$405="")+(職員マスタ!$H$6:$H$405&gt;=$AQ2060))&gt;0)*(ROW(職員マスタ!$A$6:$A$405)-5))),IFERROR(MATCH($B2060,職員マスタ!$A$6:$A$405,0),"")))</f>
        <v/>
      </c>
      <c r="AQ2060" s="16">
        <f>IF(OR($B2060="",$C2060="",$D2060=""),"",DATE($C2060+2018,$D2060,1))</f>
        <v/>
      </c>
    </row>
    <row r="2061">
      <c r="A2061" s="11" t="n"/>
      <c r="B2061" s="12" t="n"/>
      <c r="C2061" s="12" t="n"/>
      <c r="D2061" s="12" t="n"/>
      <c r="E2061" s="13" t="n"/>
      <c r="F2061" s="12" t="n"/>
      <c r="G2061" s="13" t="n"/>
      <c r="H2061" s="12" t="n"/>
      <c r="I2061" s="12" t="n"/>
      <c r="J2061" s="12" t="n"/>
      <c r="K2061" s="12" t="n"/>
      <c r="L2061" s="11" t="n"/>
      <c r="M2061" s="11" t="n"/>
      <c r="N2061" s="11" t="n"/>
      <c r="O2061" s="11" t="n"/>
      <c r="P2061" s="12" t="n"/>
      <c r="Q2061" s="11" t="n"/>
      <c r="R2061" s="12" t="n"/>
      <c r="S2061" s="11" t="n"/>
      <c r="T2061" s="12" t="n"/>
      <c r="U2061" s="12" t="n"/>
      <c r="V2061" s="12" t="n"/>
      <c r="W2061" s="13" t="n"/>
      <c r="X2061" s="14">
        <f>IF($AP2061="",IF($B2061="","",$H2061),IF(INDEX(職員マスタ!$B$6:$B$405,$AP2061)="",$H2061,INDEX(職員マスタ!$B$6:$B$405,$AP2061)))</f>
        <v/>
      </c>
      <c r="Y2061" s="14">
        <f>IF($AP2061="",IF($B2061="","",$R2061),IF(INDEX(職員マスタ!$C$6:$C$405,$AP2061)="",$R2061,INDEX(職員マスタ!$C$6:$C$405,$AP2061)))</f>
        <v/>
      </c>
      <c r="Z2061" s="14">
        <f>IF($AQ2061="","","R"&amp;$C2061&amp;"."&amp;$D2061)</f>
        <v/>
      </c>
      <c r="AA2061" s="15">
        <f>IF(IF($AP2061="",FALSE,INDEX(職員マスタ!$K$6:$K$405,$AP2061)&lt;&gt;""),INDEX(職員マスタ!$K$6:$K$405,$AP2061),IF(N($W2061)&gt;0,$W2061,""))</f>
        <v/>
      </c>
      <c r="AB2061" s="14">
        <f>IF(OR($E2061="",$AA2061=""),"",IF($E2061&gt;=$AA2061,"×",IF($E2061&gt;=$AA2061*設定!$C$5,"△","○")))</f>
        <v/>
      </c>
      <c r="AC2061" s="15">
        <f>IF($AB2061="","",IF($AB2061="×",0,IF($AB2061="○",ROUNDDOWN($E2061*設定!$C$4,0),ROUNDDOWN($E2061*ROUND((9*$AA2061-9*$E2061)/(10*$E2061),4),0))))</f>
        <v/>
      </c>
      <c r="AD2061" s="13" t="n"/>
      <c r="AE2061" s="15">
        <f>IF($B2061="","",IF($AD2061&lt;&gt;"",$AD2061,IF($AC2061="","",IF($AC2061&lt;=設定!$C$3,0,$AC2061))))</f>
        <v/>
      </c>
      <c r="AF2061" s="14">
        <f>IF($B2061="","",IF(AND($AG2061&lt;&gt;"",$AI2061="",$AL2061=""),"保留中",IF($AL2061&lt;&gt;"",IF(N($AE2061)&gt;0,"支給済","不支給"),IF($AE2061="","要確認",IF($AE2061=0,"不支給","未処理")))))</f>
        <v/>
      </c>
      <c r="AG2061" s="12" t="n"/>
      <c r="AH2061" s="11" t="n"/>
      <c r="AI2061" s="11" t="n"/>
      <c r="AJ2061" s="11" t="n"/>
      <c r="AK2061" s="14">
        <f>IF(AND($AF2061="保留中",$AH2061&lt;&gt;""),TODAY()-$AH2061,"")</f>
        <v/>
      </c>
      <c r="AL2061" s="12" t="n"/>
      <c r="AM2061" s="14">
        <f>IF($B2061="","",IF($AQ2061="","対象年月が未入力／","")&amp;IF($B2061="","",IF($AP2061="","職員マスタに未登録の職員番号／",IF($AA2061="","標準報酬月額が未登録／","")&amp;IF(AND($AQ2061&lt;&gt;"",OR(AND(INDEX(職員マスタ!$G$6:$G$405,$AP2061)&lt;&gt;"",INDEX(職員マスタ!$G$6:$G$405,$AP2061)&gt;EOMONTH($AQ2061,0)),AND(INDEX(職員マスタ!$H$6:$H$405,$AP2061)&lt;&gt;"",INDEX(職員マスタ!$H$6:$H$405,$AP2061)&lt;$AQ2061))),"対象月が時短期間外／","")&amp;IF(AND(INDEX(職員マスタ!$K$6:$K$405,$AP2061)&lt;&gt;"",N($W2061)&gt;0,INDEX(職員マスタ!$K$6:$K$405,$AP2061)&lt;&gt;$W2061),"標準報酬月額が申請書と相違（台帳"&amp;TEXT(INDEX(職員マスタ!$K$6:$K$405,$AP2061),"#,##0")&amp;"円／申請書"&amp;TEXT($W2061,"#,##0")&amp;"円）／","")&amp;IF(AND(INDEX(職員マスタ!$F$6:$F$405,$AP2061)&lt;&gt;"",$AQ2061&lt;&gt;"",INDEX(職員マスタ!$F$6:$F$405,$AP2061)&lt;$AQ2061),"対象月に子が2歳到達済／","")&amp;IF(AND($H2061&lt;&gt;"",INDEX(職員マスタ!$B$6:$B$405,$AP2061)&lt;&gt;"",SUBSTITUTE(SUBSTITUTE($H2061," ","")," ","")&lt;&gt;SUBSTITUTE(SUBSTITUTE(INDEX(職員マスタ!$B$6:$B$405,$AP2061)," ","")," ","")),"氏名がマスタと相違／","")&amp;IF(AND($Q2061&lt;&gt;"",INDEX(職員マスタ!$E$6:$E$405,$AP2061)&lt;&gt;"",$Q2061&lt;&gt;INDEX(職員マスタ!$E$6:$E$405,$AP2061)),"子の生年月日がマスタと相違／","")&amp;IF(AND($L2061&lt;&gt;"",INDEX(職員マスタ!$G$6:$G$405,$AP2061)&lt;&gt;"",$L2061&lt;&gt;INDEX(職員マスタ!$G$6:$G$405,$AP2061)),"時短開始日がマスタと相違／","")&amp;IF(AND($M2061&lt;&gt;"",INDEX(職員マスタ!$H$6:$H$405,$AP2061)&lt;&gt;"",$M2061&lt;&gt;INDEX(職員マスタ!$H$6:$H$405,$AP2061)),"時短終了日がマスタと相違／","")))&amp;IF(AND($B2061&lt;&gt;"",$E2061=""),"報酬額が未入力／","")&amp;IF(N($U2061)&gt;0,"申請書に入力エラーが残っています／","")&amp;IF(AND($B2061&lt;&gt;"",$AQ2061&lt;&gt;""),IF(COUNTIFS($B$6:$B$3005,$B2061,$C$6:$C$3005,$C2061,$D$6:$D$3005,$D2061)&gt;1,"同じ月の請求が重複しています／",""),"")&amp;IF(AND(N($E2061)&gt;0,$AB2061&lt;&gt;"",$AB2061&lt;&gt;"×",$AE2061=0,$AD2061=""),"計算額が下限以下のため不支給／",""))</f>
        <v/>
      </c>
      <c r="AN2061" s="12" t="n"/>
      <c r="AO2061" s="14">
        <f>IF($AF2061="保留中",COUNTIF($AF$6:$AF2061,"保留中"),"")</f>
        <v/>
      </c>
      <c r="AP2061" s="14">
        <f>IF($AQ2061="","",IF(SUMPRODUCT(MAX((職員マスタ!$A$6:$A$405=$B2061)*(((職員マスタ!$G$6:$G$405="")+(職員マスタ!$G$6:$G$405&lt;=EOMONTH($AQ2061,0)))&gt;0)*(((職員マスタ!$H$6:$H$405="")+(職員マスタ!$H$6:$H$405&gt;=$AQ2061))&gt;0)*(ROW(職員マスタ!$A$6:$A$405)-5)))&gt;0,SUMPRODUCT(MAX((職員マスタ!$A$6:$A$405=$B2061)*(((職員マスタ!$G$6:$G$405="")+(職員マスタ!$G$6:$G$405&lt;=EOMONTH($AQ2061,0)))&gt;0)*(((職員マスタ!$H$6:$H$405="")+(職員マスタ!$H$6:$H$405&gt;=$AQ2061))&gt;0)*(ROW(職員マスタ!$A$6:$A$405)-5))),IFERROR(MATCH($B2061,職員マスタ!$A$6:$A$405,0),"")))</f>
        <v/>
      </c>
      <c r="AQ2061" s="16">
        <f>IF(OR($B2061="",$C2061="",$D2061=""),"",DATE($C2061+2018,$D2061,1))</f>
        <v/>
      </c>
    </row>
    <row r="2062">
      <c r="A2062" s="11" t="n"/>
      <c r="B2062" s="12" t="n"/>
      <c r="C2062" s="12" t="n"/>
      <c r="D2062" s="12" t="n"/>
      <c r="E2062" s="13" t="n"/>
      <c r="F2062" s="12" t="n"/>
      <c r="G2062" s="13" t="n"/>
      <c r="H2062" s="12" t="n"/>
      <c r="I2062" s="12" t="n"/>
      <c r="J2062" s="12" t="n"/>
      <c r="K2062" s="12" t="n"/>
      <c r="L2062" s="11" t="n"/>
      <c r="M2062" s="11" t="n"/>
      <c r="N2062" s="11" t="n"/>
      <c r="O2062" s="11" t="n"/>
      <c r="P2062" s="12" t="n"/>
      <c r="Q2062" s="11" t="n"/>
      <c r="R2062" s="12" t="n"/>
      <c r="S2062" s="11" t="n"/>
      <c r="T2062" s="12" t="n"/>
      <c r="U2062" s="12" t="n"/>
      <c r="V2062" s="12" t="n"/>
      <c r="W2062" s="13" t="n"/>
      <c r="X2062" s="14">
        <f>IF($AP2062="",IF($B2062="","",$H2062),IF(INDEX(職員マスタ!$B$6:$B$405,$AP2062)="",$H2062,INDEX(職員マスタ!$B$6:$B$405,$AP2062)))</f>
        <v/>
      </c>
      <c r="Y2062" s="14">
        <f>IF($AP2062="",IF($B2062="","",$R2062),IF(INDEX(職員マスタ!$C$6:$C$405,$AP2062)="",$R2062,INDEX(職員マスタ!$C$6:$C$405,$AP2062)))</f>
        <v/>
      </c>
      <c r="Z2062" s="14">
        <f>IF($AQ2062="","","R"&amp;$C2062&amp;"."&amp;$D2062)</f>
        <v/>
      </c>
      <c r="AA2062" s="15">
        <f>IF(IF($AP2062="",FALSE,INDEX(職員マスタ!$K$6:$K$405,$AP2062)&lt;&gt;""),INDEX(職員マスタ!$K$6:$K$405,$AP2062),IF(N($W2062)&gt;0,$W2062,""))</f>
        <v/>
      </c>
      <c r="AB2062" s="14">
        <f>IF(OR($E2062="",$AA2062=""),"",IF($E2062&gt;=$AA2062,"×",IF($E2062&gt;=$AA2062*設定!$C$5,"△","○")))</f>
        <v/>
      </c>
      <c r="AC2062" s="15">
        <f>IF($AB2062="","",IF($AB2062="×",0,IF($AB2062="○",ROUNDDOWN($E2062*設定!$C$4,0),ROUNDDOWN($E2062*ROUND((9*$AA2062-9*$E2062)/(10*$E2062),4),0))))</f>
        <v/>
      </c>
      <c r="AD2062" s="13" t="n"/>
      <c r="AE2062" s="15">
        <f>IF($B2062="","",IF($AD2062&lt;&gt;"",$AD2062,IF($AC2062="","",IF($AC2062&lt;=設定!$C$3,0,$AC2062))))</f>
        <v/>
      </c>
      <c r="AF2062" s="14">
        <f>IF($B2062="","",IF(AND($AG2062&lt;&gt;"",$AI2062="",$AL2062=""),"保留中",IF($AL2062&lt;&gt;"",IF(N($AE2062)&gt;0,"支給済","不支給"),IF($AE2062="","要確認",IF($AE2062=0,"不支給","未処理")))))</f>
        <v/>
      </c>
      <c r="AG2062" s="12" t="n"/>
      <c r="AH2062" s="11" t="n"/>
      <c r="AI2062" s="11" t="n"/>
      <c r="AJ2062" s="11" t="n"/>
      <c r="AK2062" s="14">
        <f>IF(AND($AF2062="保留中",$AH2062&lt;&gt;""),TODAY()-$AH2062,"")</f>
        <v/>
      </c>
      <c r="AL2062" s="12" t="n"/>
      <c r="AM2062" s="14">
        <f>IF($B2062="","",IF($AQ2062="","対象年月が未入力／","")&amp;IF($B2062="","",IF($AP2062="","職員マスタに未登録の職員番号／",IF($AA2062="","標準報酬月額が未登録／","")&amp;IF(AND($AQ2062&lt;&gt;"",OR(AND(INDEX(職員マスタ!$G$6:$G$405,$AP2062)&lt;&gt;"",INDEX(職員マスタ!$G$6:$G$405,$AP2062)&gt;EOMONTH($AQ2062,0)),AND(INDEX(職員マスタ!$H$6:$H$405,$AP2062)&lt;&gt;"",INDEX(職員マスタ!$H$6:$H$405,$AP2062)&lt;$AQ2062))),"対象月が時短期間外／","")&amp;IF(AND(INDEX(職員マスタ!$K$6:$K$405,$AP2062)&lt;&gt;"",N($W2062)&gt;0,INDEX(職員マスタ!$K$6:$K$405,$AP2062)&lt;&gt;$W2062),"標準報酬月額が申請書と相違（台帳"&amp;TEXT(INDEX(職員マスタ!$K$6:$K$405,$AP2062),"#,##0")&amp;"円／申請書"&amp;TEXT($W2062,"#,##0")&amp;"円）／","")&amp;IF(AND(INDEX(職員マスタ!$F$6:$F$405,$AP2062)&lt;&gt;"",$AQ2062&lt;&gt;"",INDEX(職員マスタ!$F$6:$F$405,$AP2062)&lt;$AQ2062),"対象月に子が2歳到達済／","")&amp;IF(AND($H2062&lt;&gt;"",INDEX(職員マスタ!$B$6:$B$405,$AP2062)&lt;&gt;"",SUBSTITUTE(SUBSTITUTE($H2062," ","")," ","")&lt;&gt;SUBSTITUTE(SUBSTITUTE(INDEX(職員マスタ!$B$6:$B$405,$AP2062)," ","")," ","")),"氏名がマスタと相違／","")&amp;IF(AND($Q2062&lt;&gt;"",INDEX(職員マスタ!$E$6:$E$405,$AP2062)&lt;&gt;"",$Q2062&lt;&gt;INDEX(職員マスタ!$E$6:$E$405,$AP2062)),"子の生年月日がマスタと相違／","")&amp;IF(AND($L2062&lt;&gt;"",INDEX(職員マスタ!$G$6:$G$405,$AP2062)&lt;&gt;"",$L2062&lt;&gt;INDEX(職員マスタ!$G$6:$G$405,$AP2062)),"時短開始日がマスタと相違／","")&amp;IF(AND($M2062&lt;&gt;"",INDEX(職員マスタ!$H$6:$H$405,$AP2062)&lt;&gt;"",$M2062&lt;&gt;INDEX(職員マスタ!$H$6:$H$405,$AP2062)),"時短終了日がマスタと相違／","")))&amp;IF(AND($B2062&lt;&gt;"",$E2062=""),"報酬額が未入力／","")&amp;IF(N($U2062)&gt;0,"申請書に入力エラーが残っています／","")&amp;IF(AND($B2062&lt;&gt;"",$AQ2062&lt;&gt;""),IF(COUNTIFS($B$6:$B$3005,$B2062,$C$6:$C$3005,$C2062,$D$6:$D$3005,$D2062)&gt;1,"同じ月の請求が重複しています／",""),"")&amp;IF(AND(N($E2062)&gt;0,$AB2062&lt;&gt;"",$AB2062&lt;&gt;"×",$AE2062=0,$AD2062=""),"計算額が下限以下のため不支給／",""))</f>
        <v/>
      </c>
      <c r="AN2062" s="12" t="n"/>
      <c r="AO2062" s="14">
        <f>IF($AF2062="保留中",COUNTIF($AF$6:$AF2062,"保留中"),"")</f>
        <v/>
      </c>
      <c r="AP2062" s="14">
        <f>IF($AQ2062="","",IF(SUMPRODUCT(MAX((職員マスタ!$A$6:$A$405=$B2062)*(((職員マスタ!$G$6:$G$405="")+(職員マスタ!$G$6:$G$405&lt;=EOMONTH($AQ2062,0)))&gt;0)*(((職員マスタ!$H$6:$H$405="")+(職員マスタ!$H$6:$H$405&gt;=$AQ2062))&gt;0)*(ROW(職員マスタ!$A$6:$A$405)-5)))&gt;0,SUMPRODUCT(MAX((職員マスタ!$A$6:$A$405=$B2062)*(((職員マスタ!$G$6:$G$405="")+(職員マスタ!$G$6:$G$405&lt;=EOMONTH($AQ2062,0)))&gt;0)*(((職員マスタ!$H$6:$H$405="")+(職員マスタ!$H$6:$H$405&gt;=$AQ2062))&gt;0)*(ROW(職員マスタ!$A$6:$A$405)-5))),IFERROR(MATCH($B2062,職員マスタ!$A$6:$A$405,0),"")))</f>
        <v/>
      </c>
      <c r="AQ2062" s="16">
        <f>IF(OR($B2062="",$C2062="",$D2062=""),"",DATE($C2062+2018,$D2062,1))</f>
        <v/>
      </c>
    </row>
    <row r="2063">
      <c r="A2063" s="11" t="n"/>
      <c r="B2063" s="12" t="n"/>
      <c r="C2063" s="12" t="n"/>
      <c r="D2063" s="12" t="n"/>
      <c r="E2063" s="13" t="n"/>
      <c r="F2063" s="12" t="n"/>
      <c r="G2063" s="13" t="n"/>
      <c r="H2063" s="12" t="n"/>
      <c r="I2063" s="12" t="n"/>
      <c r="J2063" s="12" t="n"/>
      <c r="K2063" s="12" t="n"/>
      <c r="L2063" s="11" t="n"/>
      <c r="M2063" s="11" t="n"/>
      <c r="N2063" s="11" t="n"/>
      <c r="O2063" s="11" t="n"/>
      <c r="P2063" s="12" t="n"/>
      <c r="Q2063" s="11" t="n"/>
      <c r="R2063" s="12" t="n"/>
      <c r="S2063" s="11" t="n"/>
      <c r="T2063" s="12" t="n"/>
      <c r="U2063" s="12" t="n"/>
      <c r="V2063" s="12" t="n"/>
      <c r="W2063" s="13" t="n"/>
      <c r="X2063" s="14">
        <f>IF($AP2063="",IF($B2063="","",$H2063),IF(INDEX(職員マスタ!$B$6:$B$405,$AP2063)="",$H2063,INDEX(職員マスタ!$B$6:$B$405,$AP2063)))</f>
        <v/>
      </c>
      <c r="Y2063" s="14">
        <f>IF($AP2063="",IF($B2063="","",$R2063),IF(INDEX(職員マスタ!$C$6:$C$405,$AP2063)="",$R2063,INDEX(職員マスタ!$C$6:$C$405,$AP2063)))</f>
        <v/>
      </c>
      <c r="Z2063" s="14">
        <f>IF($AQ2063="","","R"&amp;$C2063&amp;"."&amp;$D2063)</f>
        <v/>
      </c>
      <c r="AA2063" s="15">
        <f>IF(IF($AP2063="",FALSE,INDEX(職員マスタ!$K$6:$K$405,$AP2063)&lt;&gt;""),INDEX(職員マスタ!$K$6:$K$405,$AP2063),IF(N($W2063)&gt;0,$W2063,""))</f>
        <v/>
      </c>
      <c r="AB2063" s="14">
        <f>IF(OR($E2063="",$AA2063=""),"",IF($E2063&gt;=$AA2063,"×",IF($E2063&gt;=$AA2063*設定!$C$5,"△","○")))</f>
        <v/>
      </c>
      <c r="AC2063" s="15">
        <f>IF($AB2063="","",IF($AB2063="×",0,IF($AB2063="○",ROUNDDOWN($E2063*設定!$C$4,0),ROUNDDOWN($E2063*ROUND((9*$AA2063-9*$E2063)/(10*$E2063),4),0))))</f>
        <v/>
      </c>
      <c r="AD2063" s="13" t="n"/>
      <c r="AE2063" s="15">
        <f>IF($B2063="","",IF($AD2063&lt;&gt;"",$AD2063,IF($AC2063="","",IF($AC2063&lt;=設定!$C$3,0,$AC2063))))</f>
        <v/>
      </c>
      <c r="AF2063" s="14">
        <f>IF($B2063="","",IF(AND($AG2063&lt;&gt;"",$AI2063="",$AL2063=""),"保留中",IF($AL2063&lt;&gt;"",IF(N($AE2063)&gt;0,"支給済","不支給"),IF($AE2063="","要確認",IF($AE2063=0,"不支給","未処理")))))</f>
        <v/>
      </c>
      <c r="AG2063" s="12" t="n"/>
      <c r="AH2063" s="11" t="n"/>
      <c r="AI2063" s="11" t="n"/>
      <c r="AJ2063" s="11" t="n"/>
      <c r="AK2063" s="14">
        <f>IF(AND($AF2063="保留中",$AH2063&lt;&gt;""),TODAY()-$AH2063,"")</f>
        <v/>
      </c>
      <c r="AL2063" s="12" t="n"/>
      <c r="AM2063" s="14">
        <f>IF($B2063="","",IF($AQ2063="","対象年月が未入力／","")&amp;IF($B2063="","",IF($AP2063="","職員マスタに未登録の職員番号／",IF($AA2063="","標準報酬月額が未登録／","")&amp;IF(AND($AQ2063&lt;&gt;"",OR(AND(INDEX(職員マスタ!$G$6:$G$405,$AP2063)&lt;&gt;"",INDEX(職員マスタ!$G$6:$G$405,$AP2063)&gt;EOMONTH($AQ2063,0)),AND(INDEX(職員マスタ!$H$6:$H$405,$AP2063)&lt;&gt;"",INDEX(職員マスタ!$H$6:$H$405,$AP2063)&lt;$AQ2063))),"対象月が時短期間外／","")&amp;IF(AND(INDEX(職員マスタ!$K$6:$K$405,$AP2063)&lt;&gt;"",N($W2063)&gt;0,INDEX(職員マスタ!$K$6:$K$405,$AP2063)&lt;&gt;$W2063),"標準報酬月額が申請書と相違（台帳"&amp;TEXT(INDEX(職員マスタ!$K$6:$K$405,$AP2063),"#,##0")&amp;"円／申請書"&amp;TEXT($W2063,"#,##0")&amp;"円）／","")&amp;IF(AND(INDEX(職員マスタ!$F$6:$F$405,$AP2063)&lt;&gt;"",$AQ2063&lt;&gt;"",INDEX(職員マスタ!$F$6:$F$405,$AP2063)&lt;$AQ2063),"対象月に子が2歳到達済／","")&amp;IF(AND($H2063&lt;&gt;"",INDEX(職員マスタ!$B$6:$B$405,$AP2063)&lt;&gt;"",SUBSTITUTE(SUBSTITUTE($H2063," ","")," ","")&lt;&gt;SUBSTITUTE(SUBSTITUTE(INDEX(職員マスタ!$B$6:$B$405,$AP2063)," ","")," ","")),"氏名がマスタと相違／","")&amp;IF(AND($Q2063&lt;&gt;"",INDEX(職員マスタ!$E$6:$E$405,$AP2063)&lt;&gt;"",$Q2063&lt;&gt;INDEX(職員マスタ!$E$6:$E$405,$AP2063)),"子の生年月日がマスタと相違／","")&amp;IF(AND($L2063&lt;&gt;"",INDEX(職員マスタ!$G$6:$G$405,$AP2063)&lt;&gt;"",$L2063&lt;&gt;INDEX(職員マスタ!$G$6:$G$405,$AP2063)),"時短開始日がマスタと相違／","")&amp;IF(AND($M2063&lt;&gt;"",INDEX(職員マスタ!$H$6:$H$405,$AP2063)&lt;&gt;"",$M2063&lt;&gt;INDEX(職員マスタ!$H$6:$H$405,$AP2063)),"時短終了日がマスタと相違／","")))&amp;IF(AND($B2063&lt;&gt;"",$E2063=""),"報酬額が未入力／","")&amp;IF(N($U2063)&gt;0,"申請書に入力エラーが残っています／","")&amp;IF(AND($B2063&lt;&gt;"",$AQ2063&lt;&gt;""),IF(COUNTIFS($B$6:$B$3005,$B2063,$C$6:$C$3005,$C2063,$D$6:$D$3005,$D2063)&gt;1,"同じ月の請求が重複しています／",""),"")&amp;IF(AND(N($E2063)&gt;0,$AB2063&lt;&gt;"",$AB2063&lt;&gt;"×",$AE2063=0,$AD2063=""),"計算額が下限以下のため不支給／",""))</f>
        <v/>
      </c>
      <c r="AN2063" s="12" t="n"/>
      <c r="AO2063" s="14">
        <f>IF($AF2063="保留中",COUNTIF($AF$6:$AF2063,"保留中"),"")</f>
        <v/>
      </c>
      <c r="AP2063" s="14">
        <f>IF($AQ2063="","",IF(SUMPRODUCT(MAX((職員マスタ!$A$6:$A$405=$B2063)*(((職員マスタ!$G$6:$G$405="")+(職員マスタ!$G$6:$G$405&lt;=EOMONTH($AQ2063,0)))&gt;0)*(((職員マスタ!$H$6:$H$405="")+(職員マスタ!$H$6:$H$405&gt;=$AQ2063))&gt;0)*(ROW(職員マスタ!$A$6:$A$405)-5)))&gt;0,SUMPRODUCT(MAX((職員マスタ!$A$6:$A$405=$B2063)*(((職員マスタ!$G$6:$G$405="")+(職員マスタ!$G$6:$G$405&lt;=EOMONTH($AQ2063,0)))&gt;0)*(((職員マスタ!$H$6:$H$405="")+(職員マスタ!$H$6:$H$405&gt;=$AQ2063))&gt;0)*(ROW(職員マスタ!$A$6:$A$405)-5))),IFERROR(MATCH($B2063,職員マスタ!$A$6:$A$405,0),"")))</f>
        <v/>
      </c>
      <c r="AQ2063" s="16">
        <f>IF(OR($B2063="",$C2063="",$D2063=""),"",DATE($C2063+2018,$D2063,1))</f>
        <v/>
      </c>
    </row>
    <row r="2064">
      <c r="A2064" s="11" t="n"/>
      <c r="B2064" s="12" t="n"/>
      <c r="C2064" s="12" t="n"/>
      <c r="D2064" s="12" t="n"/>
      <c r="E2064" s="13" t="n"/>
      <c r="F2064" s="12" t="n"/>
      <c r="G2064" s="13" t="n"/>
      <c r="H2064" s="12" t="n"/>
      <c r="I2064" s="12" t="n"/>
      <c r="J2064" s="12" t="n"/>
      <c r="K2064" s="12" t="n"/>
      <c r="L2064" s="11" t="n"/>
      <c r="M2064" s="11" t="n"/>
      <c r="N2064" s="11" t="n"/>
      <c r="O2064" s="11" t="n"/>
      <c r="P2064" s="12" t="n"/>
      <c r="Q2064" s="11" t="n"/>
      <c r="R2064" s="12" t="n"/>
      <c r="S2064" s="11" t="n"/>
      <c r="T2064" s="12" t="n"/>
      <c r="U2064" s="12" t="n"/>
      <c r="V2064" s="12" t="n"/>
      <c r="W2064" s="13" t="n"/>
      <c r="X2064" s="14">
        <f>IF($AP2064="",IF($B2064="","",$H2064),IF(INDEX(職員マスタ!$B$6:$B$405,$AP2064)="",$H2064,INDEX(職員マスタ!$B$6:$B$405,$AP2064)))</f>
        <v/>
      </c>
      <c r="Y2064" s="14">
        <f>IF($AP2064="",IF($B2064="","",$R2064),IF(INDEX(職員マスタ!$C$6:$C$405,$AP2064)="",$R2064,INDEX(職員マスタ!$C$6:$C$405,$AP2064)))</f>
        <v/>
      </c>
      <c r="Z2064" s="14">
        <f>IF($AQ2064="","","R"&amp;$C2064&amp;"."&amp;$D2064)</f>
        <v/>
      </c>
      <c r="AA2064" s="15">
        <f>IF(IF($AP2064="",FALSE,INDEX(職員マスタ!$K$6:$K$405,$AP2064)&lt;&gt;""),INDEX(職員マスタ!$K$6:$K$405,$AP2064),IF(N($W2064)&gt;0,$W2064,""))</f>
        <v/>
      </c>
      <c r="AB2064" s="14">
        <f>IF(OR($E2064="",$AA2064=""),"",IF($E2064&gt;=$AA2064,"×",IF($E2064&gt;=$AA2064*設定!$C$5,"△","○")))</f>
        <v/>
      </c>
      <c r="AC2064" s="15">
        <f>IF($AB2064="","",IF($AB2064="×",0,IF($AB2064="○",ROUNDDOWN($E2064*設定!$C$4,0),ROUNDDOWN($E2064*ROUND((9*$AA2064-9*$E2064)/(10*$E2064),4),0))))</f>
        <v/>
      </c>
      <c r="AD2064" s="13" t="n"/>
      <c r="AE2064" s="15">
        <f>IF($B2064="","",IF($AD2064&lt;&gt;"",$AD2064,IF($AC2064="","",IF($AC2064&lt;=設定!$C$3,0,$AC2064))))</f>
        <v/>
      </c>
      <c r="AF2064" s="14">
        <f>IF($B2064="","",IF(AND($AG2064&lt;&gt;"",$AI2064="",$AL2064=""),"保留中",IF($AL2064&lt;&gt;"",IF(N($AE2064)&gt;0,"支給済","不支給"),IF($AE2064="","要確認",IF($AE2064=0,"不支給","未処理")))))</f>
        <v/>
      </c>
      <c r="AG2064" s="12" t="n"/>
      <c r="AH2064" s="11" t="n"/>
      <c r="AI2064" s="11" t="n"/>
      <c r="AJ2064" s="11" t="n"/>
      <c r="AK2064" s="14">
        <f>IF(AND($AF2064="保留中",$AH2064&lt;&gt;""),TODAY()-$AH2064,"")</f>
        <v/>
      </c>
      <c r="AL2064" s="12" t="n"/>
      <c r="AM2064" s="14">
        <f>IF($B2064="","",IF($AQ2064="","対象年月が未入力／","")&amp;IF($B2064="","",IF($AP2064="","職員マスタに未登録の職員番号／",IF($AA2064="","標準報酬月額が未登録／","")&amp;IF(AND($AQ2064&lt;&gt;"",OR(AND(INDEX(職員マスタ!$G$6:$G$405,$AP2064)&lt;&gt;"",INDEX(職員マスタ!$G$6:$G$405,$AP2064)&gt;EOMONTH($AQ2064,0)),AND(INDEX(職員マスタ!$H$6:$H$405,$AP2064)&lt;&gt;"",INDEX(職員マスタ!$H$6:$H$405,$AP2064)&lt;$AQ2064))),"対象月が時短期間外／","")&amp;IF(AND(INDEX(職員マスタ!$K$6:$K$405,$AP2064)&lt;&gt;"",N($W2064)&gt;0,INDEX(職員マスタ!$K$6:$K$405,$AP2064)&lt;&gt;$W2064),"標準報酬月額が申請書と相違（台帳"&amp;TEXT(INDEX(職員マスタ!$K$6:$K$405,$AP2064),"#,##0")&amp;"円／申請書"&amp;TEXT($W2064,"#,##0")&amp;"円）／","")&amp;IF(AND(INDEX(職員マスタ!$F$6:$F$405,$AP2064)&lt;&gt;"",$AQ2064&lt;&gt;"",INDEX(職員マスタ!$F$6:$F$405,$AP2064)&lt;$AQ2064),"対象月に子が2歳到達済／","")&amp;IF(AND($H2064&lt;&gt;"",INDEX(職員マスタ!$B$6:$B$405,$AP2064)&lt;&gt;"",SUBSTITUTE(SUBSTITUTE($H2064," ","")," ","")&lt;&gt;SUBSTITUTE(SUBSTITUTE(INDEX(職員マスタ!$B$6:$B$405,$AP2064)," ","")," ","")),"氏名がマスタと相違／","")&amp;IF(AND($Q2064&lt;&gt;"",INDEX(職員マスタ!$E$6:$E$405,$AP2064)&lt;&gt;"",$Q2064&lt;&gt;INDEX(職員マスタ!$E$6:$E$405,$AP2064)),"子の生年月日がマスタと相違／","")&amp;IF(AND($L2064&lt;&gt;"",INDEX(職員マスタ!$G$6:$G$405,$AP2064)&lt;&gt;"",$L2064&lt;&gt;INDEX(職員マスタ!$G$6:$G$405,$AP2064)),"時短開始日がマスタと相違／","")&amp;IF(AND($M2064&lt;&gt;"",INDEX(職員マスタ!$H$6:$H$405,$AP2064)&lt;&gt;"",$M2064&lt;&gt;INDEX(職員マスタ!$H$6:$H$405,$AP2064)),"時短終了日がマスタと相違／","")))&amp;IF(AND($B2064&lt;&gt;"",$E2064=""),"報酬額が未入力／","")&amp;IF(N($U2064)&gt;0,"申請書に入力エラーが残っています／","")&amp;IF(AND($B2064&lt;&gt;"",$AQ2064&lt;&gt;""),IF(COUNTIFS($B$6:$B$3005,$B2064,$C$6:$C$3005,$C2064,$D$6:$D$3005,$D2064)&gt;1,"同じ月の請求が重複しています／",""),"")&amp;IF(AND(N($E2064)&gt;0,$AB2064&lt;&gt;"",$AB2064&lt;&gt;"×",$AE2064=0,$AD2064=""),"計算額が下限以下のため不支給／",""))</f>
        <v/>
      </c>
      <c r="AN2064" s="12" t="n"/>
      <c r="AO2064" s="14">
        <f>IF($AF2064="保留中",COUNTIF($AF$6:$AF2064,"保留中"),"")</f>
        <v/>
      </c>
      <c r="AP2064" s="14">
        <f>IF($AQ2064="","",IF(SUMPRODUCT(MAX((職員マスタ!$A$6:$A$405=$B2064)*(((職員マスタ!$G$6:$G$405="")+(職員マスタ!$G$6:$G$405&lt;=EOMONTH($AQ2064,0)))&gt;0)*(((職員マスタ!$H$6:$H$405="")+(職員マスタ!$H$6:$H$405&gt;=$AQ2064))&gt;0)*(ROW(職員マスタ!$A$6:$A$405)-5)))&gt;0,SUMPRODUCT(MAX((職員マスタ!$A$6:$A$405=$B2064)*(((職員マスタ!$G$6:$G$405="")+(職員マスタ!$G$6:$G$405&lt;=EOMONTH($AQ2064,0)))&gt;0)*(((職員マスタ!$H$6:$H$405="")+(職員マスタ!$H$6:$H$405&gt;=$AQ2064))&gt;0)*(ROW(職員マスタ!$A$6:$A$405)-5))),IFERROR(MATCH($B2064,職員マスタ!$A$6:$A$405,0),"")))</f>
        <v/>
      </c>
      <c r="AQ2064" s="16">
        <f>IF(OR($B2064="",$C2064="",$D2064=""),"",DATE($C2064+2018,$D2064,1))</f>
        <v/>
      </c>
    </row>
    <row r="2065">
      <c r="A2065" s="11" t="n"/>
      <c r="B2065" s="12" t="n"/>
      <c r="C2065" s="12" t="n"/>
      <c r="D2065" s="12" t="n"/>
      <c r="E2065" s="13" t="n"/>
      <c r="F2065" s="12" t="n"/>
      <c r="G2065" s="13" t="n"/>
      <c r="H2065" s="12" t="n"/>
      <c r="I2065" s="12" t="n"/>
      <c r="J2065" s="12" t="n"/>
      <c r="K2065" s="12" t="n"/>
      <c r="L2065" s="11" t="n"/>
      <c r="M2065" s="11" t="n"/>
      <c r="N2065" s="11" t="n"/>
      <c r="O2065" s="11" t="n"/>
      <c r="P2065" s="12" t="n"/>
      <c r="Q2065" s="11" t="n"/>
      <c r="R2065" s="12" t="n"/>
      <c r="S2065" s="11" t="n"/>
      <c r="T2065" s="12" t="n"/>
      <c r="U2065" s="12" t="n"/>
      <c r="V2065" s="12" t="n"/>
      <c r="W2065" s="13" t="n"/>
      <c r="X2065" s="14">
        <f>IF($AP2065="",IF($B2065="","",$H2065),IF(INDEX(職員マスタ!$B$6:$B$405,$AP2065)="",$H2065,INDEX(職員マスタ!$B$6:$B$405,$AP2065)))</f>
        <v/>
      </c>
      <c r="Y2065" s="14">
        <f>IF($AP2065="",IF($B2065="","",$R2065),IF(INDEX(職員マスタ!$C$6:$C$405,$AP2065)="",$R2065,INDEX(職員マスタ!$C$6:$C$405,$AP2065)))</f>
        <v/>
      </c>
      <c r="Z2065" s="14">
        <f>IF($AQ2065="","","R"&amp;$C2065&amp;"."&amp;$D2065)</f>
        <v/>
      </c>
      <c r="AA2065" s="15">
        <f>IF(IF($AP2065="",FALSE,INDEX(職員マスタ!$K$6:$K$405,$AP2065)&lt;&gt;""),INDEX(職員マスタ!$K$6:$K$405,$AP2065),IF(N($W2065)&gt;0,$W2065,""))</f>
        <v/>
      </c>
      <c r="AB2065" s="14">
        <f>IF(OR($E2065="",$AA2065=""),"",IF($E2065&gt;=$AA2065,"×",IF($E2065&gt;=$AA2065*設定!$C$5,"△","○")))</f>
        <v/>
      </c>
      <c r="AC2065" s="15">
        <f>IF($AB2065="","",IF($AB2065="×",0,IF($AB2065="○",ROUNDDOWN($E2065*設定!$C$4,0),ROUNDDOWN($E2065*ROUND((9*$AA2065-9*$E2065)/(10*$E2065),4),0))))</f>
        <v/>
      </c>
      <c r="AD2065" s="13" t="n"/>
      <c r="AE2065" s="15">
        <f>IF($B2065="","",IF($AD2065&lt;&gt;"",$AD2065,IF($AC2065="","",IF($AC2065&lt;=設定!$C$3,0,$AC2065))))</f>
        <v/>
      </c>
      <c r="AF2065" s="14">
        <f>IF($B2065="","",IF(AND($AG2065&lt;&gt;"",$AI2065="",$AL2065=""),"保留中",IF($AL2065&lt;&gt;"",IF(N($AE2065)&gt;0,"支給済","不支給"),IF($AE2065="","要確認",IF($AE2065=0,"不支給","未処理")))))</f>
        <v/>
      </c>
      <c r="AG2065" s="12" t="n"/>
      <c r="AH2065" s="11" t="n"/>
      <c r="AI2065" s="11" t="n"/>
      <c r="AJ2065" s="11" t="n"/>
      <c r="AK2065" s="14">
        <f>IF(AND($AF2065="保留中",$AH2065&lt;&gt;""),TODAY()-$AH2065,"")</f>
        <v/>
      </c>
      <c r="AL2065" s="12" t="n"/>
      <c r="AM2065" s="14">
        <f>IF($B2065="","",IF($AQ2065="","対象年月が未入力／","")&amp;IF($B2065="","",IF($AP2065="","職員マスタに未登録の職員番号／",IF($AA2065="","標準報酬月額が未登録／","")&amp;IF(AND($AQ2065&lt;&gt;"",OR(AND(INDEX(職員マスタ!$G$6:$G$405,$AP2065)&lt;&gt;"",INDEX(職員マスタ!$G$6:$G$405,$AP2065)&gt;EOMONTH($AQ2065,0)),AND(INDEX(職員マスタ!$H$6:$H$405,$AP2065)&lt;&gt;"",INDEX(職員マスタ!$H$6:$H$405,$AP2065)&lt;$AQ2065))),"対象月が時短期間外／","")&amp;IF(AND(INDEX(職員マスタ!$K$6:$K$405,$AP2065)&lt;&gt;"",N($W2065)&gt;0,INDEX(職員マスタ!$K$6:$K$405,$AP2065)&lt;&gt;$W2065),"標準報酬月額が申請書と相違（台帳"&amp;TEXT(INDEX(職員マスタ!$K$6:$K$405,$AP2065),"#,##0")&amp;"円／申請書"&amp;TEXT($W2065,"#,##0")&amp;"円）／","")&amp;IF(AND(INDEX(職員マスタ!$F$6:$F$405,$AP2065)&lt;&gt;"",$AQ2065&lt;&gt;"",INDEX(職員マスタ!$F$6:$F$405,$AP2065)&lt;$AQ2065),"対象月に子が2歳到達済／","")&amp;IF(AND($H2065&lt;&gt;"",INDEX(職員マスタ!$B$6:$B$405,$AP2065)&lt;&gt;"",SUBSTITUTE(SUBSTITUTE($H2065," ","")," ","")&lt;&gt;SUBSTITUTE(SUBSTITUTE(INDEX(職員マスタ!$B$6:$B$405,$AP2065)," ","")," ","")),"氏名がマスタと相違／","")&amp;IF(AND($Q2065&lt;&gt;"",INDEX(職員マスタ!$E$6:$E$405,$AP2065)&lt;&gt;"",$Q2065&lt;&gt;INDEX(職員マスタ!$E$6:$E$405,$AP2065)),"子の生年月日がマスタと相違／","")&amp;IF(AND($L2065&lt;&gt;"",INDEX(職員マスタ!$G$6:$G$405,$AP2065)&lt;&gt;"",$L2065&lt;&gt;INDEX(職員マスタ!$G$6:$G$405,$AP2065)),"時短開始日がマスタと相違／","")&amp;IF(AND($M2065&lt;&gt;"",INDEX(職員マスタ!$H$6:$H$405,$AP2065)&lt;&gt;"",$M2065&lt;&gt;INDEX(職員マスタ!$H$6:$H$405,$AP2065)),"時短終了日がマスタと相違／","")))&amp;IF(AND($B2065&lt;&gt;"",$E2065=""),"報酬額が未入力／","")&amp;IF(N($U2065)&gt;0,"申請書に入力エラーが残っています／","")&amp;IF(AND($B2065&lt;&gt;"",$AQ2065&lt;&gt;""),IF(COUNTIFS($B$6:$B$3005,$B2065,$C$6:$C$3005,$C2065,$D$6:$D$3005,$D2065)&gt;1,"同じ月の請求が重複しています／",""),"")&amp;IF(AND(N($E2065)&gt;0,$AB2065&lt;&gt;"",$AB2065&lt;&gt;"×",$AE2065=0,$AD2065=""),"計算額が下限以下のため不支給／",""))</f>
        <v/>
      </c>
      <c r="AN2065" s="12" t="n"/>
      <c r="AO2065" s="14">
        <f>IF($AF2065="保留中",COUNTIF($AF$6:$AF2065,"保留中"),"")</f>
        <v/>
      </c>
      <c r="AP2065" s="14">
        <f>IF($AQ2065="","",IF(SUMPRODUCT(MAX((職員マスタ!$A$6:$A$405=$B2065)*(((職員マスタ!$G$6:$G$405="")+(職員マスタ!$G$6:$G$405&lt;=EOMONTH($AQ2065,0)))&gt;0)*(((職員マスタ!$H$6:$H$405="")+(職員マスタ!$H$6:$H$405&gt;=$AQ2065))&gt;0)*(ROW(職員マスタ!$A$6:$A$405)-5)))&gt;0,SUMPRODUCT(MAX((職員マスタ!$A$6:$A$405=$B2065)*(((職員マスタ!$G$6:$G$405="")+(職員マスタ!$G$6:$G$405&lt;=EOMONTH($AQ2065,0)))&gt;0)*(((職員マスタ!$H$6:$H$405="")+(職員マスタ!$H$6:$H$405&gt;=$AQ2065))&gt;0)*(ROW(職員マスタ!$A$6:$A$405)-5))),IFERROR(MATCH($B2065,職員マスタ!$A$6:$A$405,0),"")))</f>
        <v/>
      </c>
      <c r="AQ2065" s="16">
        <f>IF(OR($B2065="",$C2065="",$D2065=""),"",DATE($C2065+2018,$D2065,1))</f>
        <v/>
      </c>
    </row>
    <row r="2066">
      <c r="A2066" s="11" t="n"/>
      <c r="B2066" s="12" t="n"/>
      <c r="C2066" s="12" t="n"/>
      <c r="D2066" s="12" t="n"/>
      <c r="E2066" s="13" t="n"/>
      <c r="F2066" s="12" t="n"/>
      <c r="G2066" s="13" t="n"/>
      <c r="H2066" s="12" t="n"/>
      <c r="I2066" s="12" t="n"/>
      <c r="J2066" s="12" t="n"/>
      <c r="K2066" s="12" t="n"/>
      <c r="L2066" s="11" t="n"/>
      <c r="M2066" s="11" t="n"/>
      <c r="N2066" s="11" t="n"/>
      <c r="O2066" s="11" t="n"/>
      <c r="P2066" s="12" t="n"/>
      <c r="Q2066" s="11" t="n"/>
      <c r="R2066" s="12" t="n"/>
      <c r="S2066" s="11" t="n"/>
      <c r="T2066" s="12" t="n"/>
      <c r="U2066" s="12" t="n"/>
      <c r="V2066" s="12" t="n"/>
      <c r="W2066" s="13" t="n"/>
      <c r="X2066" s="14">
        <f>IF($AP2066="",IF($B2066="","",$H2066),IF(INDEX(職員マスタ!$B$6:$B$405,$AP2066)="",$H2066,INDEX(職員マスタ!$B$6:$B$405,$AP2066)))</f>
        <v/>
      </c>
      <c r="Y2066" s="14">
        <f>IF($AP2066="",IF($B2066="","",$R2066),IF(INDEX(職員マスタ!$C$6:$C$405,$AP2066)="",$R2066,INDEX(職員マスタ!$C$6:$C$405,$AP2066)))</f>
        <v/>
      </c>
      <c r="Z2066" s="14">
        <f>IF($AQ2066="","","R"&amp;$C2066&amp;"."&amp;$D2066)</f>
        <v/>
      </c>
      <c r="AA2066" s="15">
        <f>IF(IF($AP2066="",FALSE,INDEX(職員マスタ!$K$6:$K$405,$AP2066)&lt;&gt;""),INDEX(職員マスタ!$K$6:$K$405,$AP2066),IF(N($W2066)&gt;0,$W2066,""))</f>
        <v/>
      </c>
      <c r="AB2066" s="14">
        <f>IF(OR($E2066="",$AA2066=""),"",IF($E2066&gt;=$AA2066,"×",IF($E2066&gt;=$AA2066*設定!$C$5,"△","○")))</f>
        <v/>
      </c>
      <c r="AC2066" s="15">
        <f>IF($AB2066="","",IF($AB2066="×",0,IF($AB2066="○",ROUNDDOWN($E2066*設定!$C$4,0),ROUNDDOWN($E2066*ROUND((9*$AA2066-9*$E2066)/(10*$E2066),4),0))))</f>
        <v/>
      </c>
      <c r="AD2066" s="13" t="n"/>
      <c r="AE2066" s="15">
        <f>IF($B2066="","",IF($AD2066&lt;&gt;"",$AD2066,IF($AC2066="","",IF($AC2066&lt;=設定!$C$3,0,$AC2066))))</f>
        <v/>
      </c>
      <c r="AF2066" s="14">
        <f>IF($B2066="","",IF(AND($AG2066&lt;&gt;"",$AI2066="",$AL2066=""),"保留中",IF($AL2066&lt;&gt;"",IF(N($AE2066)&gt;0,"支給済","不支給"),IF($AE2066="","要確認",IF($AE2066=0,"不支給","未処理")))))</f>
        <v/>
      </c>
      <c r="AG2066" s="12" t="n"/>
      <c r="AH2066" s="11" t="n"/>
      <c r="AI2066" s="11" t="n"/>
      <c r="AJ2066" s="11" t="n"/>
      <c r="AK2066" s="14">
        <f>IF(AND($AF2066="保留中",$AH2066&lt;&gt;""),TODAY()-$AH2066,"")</f>
        <v/>
      </c>
      <c r="AL2066" s="12" t="n"/>
      <c r="AM2066" s="14">
        <f>IF($B2066="","",IF($AQ2066="","対象年月が未入力／","")&amp;IF($B2066="","",IF($AP2066="","職員マスタに未登録の職員番号／",IF($AA2066="","標準報酬月額が未登録／","")&amp;IF(AND($AQ2066&lt;&gt;"",OR(AND(INDEX(職員マスタ!$G$6:$G$405,$AP2066)&lt;&gt;"",INDEX(職員マスタ!$G$6:$G$405,$AP2066)&gt;EOMONTH($AQ2066,0)),AND(INDEX(職員マスタ!$H$6:$H$405,$AP2066)&lt;&gt;"",INDEX(職員マスタ!$H$6:$H$405,$AP2066)&lt;$AQ2066))),"対象月が時短期間外／","")&amp;IF(AND(INDEX(職員マスタ!$K$6:$K$405,$AP2066)&lt;&gt;"",N($W2066)&gt;0,INDEX(職員マスタ!$K$6:$K$405,$AP2066)&lt;&gt;$W2066),"標準報酬月額が申請書と相違（台帳"&amp;TEXT(INDEX(職員マスタ!$K$6:$K$405,$AP2066),"#,##0")&amp;"円／申請書"&amp;TEXT($W2066,"#,##0")&amp;"円）／","")&amp;IF(AND(INDEX(職員マスタ!$F$6:$F$405,$AP2066)&lt;&gt;"",$AQ2066&lt;&gt;"",INDEX(職員マスタ!$F$6:$F$405,$AP2066)&lt;$AQ2066),"対象月に子が2歳到達済／","")&amp;IF(AND($H2066&lt;&gt;"",INDEX(職員マスタ!$B$6:$B$405,$AP2066)&lt;&gt;"",SUBSTITUTE(SUBSTITUTE($H2066," ","")," ","")&lt;&gt;SUBSTITUTE(SUBSTITUTE(INDEX(職員マスタ!$B$6:$B$405,$AP2066)," ","")," ","")),"氏名がマスタと相違／","")&amp;IF(AND($Q2066&lt;&gt;"",INDEX(職員マスタ!$E$6:$E$405,$AP2066)&lt;&gt;"",$Q2066&lt;&gt;INDEX(職員マスタ!$E$6:$E$405,$AP2066)),"子の生年月日がマスタと相違／","")&amp;IF(AND($L2066&lt;&gt;"",INDEX(職員マスタ!$G$6:$G$405,$AP2066)&lt;&gt;"",$L2066&lt;&gt;INDEX(職員マスタ!$G$6:$G$405,$AP2066)),"時短開始日がマスタと相違／","")&amp;IF(AND($M2066&lt;&gt;"",INDEX(職員マスタ!$H$6:$H$405,$AP2066)&lt;&gt;"",$M2066&lt;&gt;INDEX(職員マスタ!$H$6:$H$405,$AP2066)),"時短終了日がマスタと相違／","")))&amp;IF(AND($B2066&lt;&gt;"",$E2066=""),"報酬額が未入力／","")&amp;IF(N($U2066)&gt;0,"申請書に入力エラーが残っています／","")&amp;IF(AND($B2066&lt;&gt;"",$AQ2066&lt;&gt;""),IF(COUNTIFS($B$6:$B$3005,$B2066,$C$6:$C$3005,$C2066,$D$6:$D$3005,$D2066)&gt;1,"同じ月の請求が重複しています／",""),"")&amp;IF(AND(N($E2066)&gt;0,$AB2066&lt;&gt;"",$AB2066&lt;&gt;"×",$AE2066=0,$AD2066=""),"計算額が下限以下のため不支給／",""))</f>
        <v/>
      </c>
      <c r="AN2066" s="12" t="n"/>
      <c r="AO2066" s="14">
        <f>IF($AF2066="保留中",COUNTIF($AF$6:$AF2066,"保留中"),"")</f>
        <v/>
      </c>
      <c r="AP2066" s="14">
        <f>IF($AQ2066="","",IF(SUMPRODUCT(MAX((職員マスタ!$A$6:$A$405=$B2066)*(((職員マスタ!$G$6:$G$405="")+(職員マスタ!$G$6:$G$405&lt;=EOMONTH($AQ2066,0)))&gt;0)*(((職員マスタ!$H$6:$H$405="")+(職員マスタ!$H$6:$H$405&gt;=$AQ2066))&gt;0)*(ROW(職員マスタ!$A$6:$A$405)-5)))&gt;0,SUMPRODUCT(MAX((職員マスタ!$A$6:$A$405=$B2066)*(((職員マスタ!$G$6:$G$405="")+(職員マスタ!$G$6:$G$405&lt;=EOMONTH($AQ2066,0)))&gt;0)*(((職員マスタ!$H$6:$H$405="")+(職員マスタ!$H$6:$H$405&gt;=$AQ2066))&gt;0)*(ROW(職員マスタ!$A$6:$A$405)-5))),IFERROR(MATCH($B2066,職員マスタ!$A$6:$A$405,0),"")))</f>
        <v/>
      </c>
      <c r="AQ2066" s="16">
        <f>IF(OR($B2066="",$C2066="",$D2066=""),"",DATE($C2066+2018,$D2066,1))</f>
        <v/>
      </c>
    </row>
    <row r="2067">
      <c r="A2067" s="11" t="n"/>
      <c r="B2067" s="12" t="n"/>
      <c r="C2067" s="12" t="n"/>
      <c r="D2067" s="12" t="n"/>
      <c r="E2067" s="13" t="n"/>
      <c r="F2067" s="12" t="n"/>
      <c r="G2067" s="13" t="n"/>
      <c r="H2067" s="12" t="n"/>
      <c r="I2067" s="12" t="n"/>
      <c r="J2067" s="12" t="n"/>
      <c r="K2067" s="12" t="n"/>
      <c r="L2067" s="11" t="n"/>
      <c r="M2067" s="11" t="n"/>
      <c r="N2067" s="11" t="n"/>
      <c r="O2067" s="11" t="n"/>
      <c r="P2067" s="12" t="n"/>
      <c r="Q2067" s="11" t="n"/>
      <c r="R2067" s="12" t="n"/>
      <c r="S2067" s="11" t="n"/>
      <c r="T2067" s="12" t="n"/>
      <c r="U2067" s="12" t="n"/>
      <c r="V2067" s="12" t="n"/>
      <c r="W2067" s="13" t="n"/>
      <c r="X2067" s="14">
        <f>IF($AP2067="",IF($B2067="","",$H2067),IF(INDEX(職員マスタ!$B$6:$B$405,$AP2067)="",$H2067,INDEX(職員マスタ!$B$6:$B$405,$AP2067)))</f>
        <v/>
      </c>
      <c r="Y2067" s="14">
        <f>IF($AP2067="",IF($B2067="","",$R2067),IF(INDEX(職員マスタ!$C$6:$C$405,$AP2067)="",$R2067,INDEX(職員マスタ!$C$6:$C$405,$AP2067)))</f>
        <v/>
      </c>
      <c r="Z2067" s="14">
        <f>IF($AQ2067="","","R"&amp;$C2067&amp;"."&amp;$D2067)</f>
        <v/>
      </c>
      <c r="AA2067" s="15">
        <f>IF(IF($AP2067="",FALSE,INDEX(職員マスタ!$K$6:$K$405,$AP2067)&lt;&gt;""),INDEX(職員マスタ!$K$6:$K$405,$AP2067),IF(N($W2067)&gt;0,$W2067,""))</f>
        <v/>
      </c>
      <c r="AB2067" s="14">
        <f>IF(OR($E2067="",$AA2067=""),"",IF($E2067&gt;=$AA2067,"×",IF($E2067&gt;=$AA2067*設定!$C$5,"△","○")))</f>
        <v/>
      </c>
      <c r="AC2067" s="15">
        <f>IF($AB2067="","",IF($AB2067="×",0,IF($AB2067="○",ROUNDDOWN($E2067*設定!$C$4,0),ROUNDDOWN($E2067*ROUND((9*$AA2067-9*$E2067)/(10*$E2067),4),0))))</f>
        <v/>
      </c>
      <c r="AD2067" s="13" t="n"/>
      <c r="AE2067" s="15">
        <f>IF($B2067="","",IF($AD2067&lt;&gt;"",$AD2067,IF($AC2067="","",IF($AC2067&lt;=設定!$C$3,0,$AC2067))))</f>
        <v/>
      </c>
      <c r="AF2067" s="14">
        <f>IF($B2067="","",IF(AND($AG2067&lt;&gt;"",$AI2067="",$AL2067=""),"保留中",IF($AL2067&lt;&gt;"",IF(N($AE2067)&gt;0,"支給済","不支給"),IF($AE2067="","要確認",IF($AE2067=0,"不支給","未処理")))))</f>
        <v/>
      </c>
      <c r="AG2067" s="12" t="n"/>
      <c r="AH2067" s="11" t="n"/>
      <c r="AI2067" s="11" t="n"/>
      <c r="AJ2067" s="11" t="n"/>
      <c r="AK2067" s="14">
        <f>IF(AND($AF2067="保留中",$AH2067&lt;&gt;""),TODAY()-$AH2067,"")</f>
        <v/>
      </c>
      <c r="AL2067" s="12" t="n"/>
      <c r="AM2067" s="14">
        <f>IF($B2067="","",IF($AQ2067="","対象年月が未入力／","")&amp;IF($B2067="","",IF($AP2067="","職員マスタに未登録の職員番号／",IF($AA2067="","標準報酬月額が未登録／","")&amp;IF(AND($AQ2067&lt;&gt;"",OR(AND(INDEX(職員マスタ!$G$6:$G$405,$AP2067)&lt;&gt;"",INDEX(職員マスタ!$G$6:$G$405,$AP2067)&gt;EOMONTH($AQ2067,0)),AND(INDEX(職員マスタ!$H$6:$H$405,$AP2067)&lt;&gt;"",INDEX(職員マスタ!$H$6:$H$405,$AP2067)&lt;$AQ2067))),"対象月が時短期間外／","")&amp;IF(AND(INDEX(職員マスタ!$K$6:$K$405,$AP2067)&lt;&gt;"",N($W2067)&gt;0,INDEX(職員マスタ!$K$6:$K$405,$AP2067)&lt;&gt;$W2067),"標準報酬月額が申請書と相違（台帳"&amp;TEXT(INDEX(職員マスタ!$K$6:$K$405,$AP2067),"#,##0")&amp;"円／申請書"&amp;TEXT($W2067,"#,##0")&amp;"円）／","")&amp;IF(AND(INDEX(職員マスタ!$F$6:$F$405,$AP2067)&lt;&gt;"",$AQ2067&lt;&gt;"",INDEX(職員マスタ!$F$6:$F$405,$AP2067)&lt;$AQ2067),"対象月に子が2歳到達済／","")&amp;IF(AND($H2067&lt;&gt;"",INDEX(職員マスタ!$B$6:$B$405,$AP2067)&lt;&gt;"",SUBSTITUTE(SUBSTITUTE($H2067," ","")," ","")&lt;&gt;SUBSTITUTE(SUBSTITUTE(INDEX(職員マスタ!$B$6:$B$405,$AP2067)," ","")," ","")),"氏名がマスタと相違／","")&amp;IF(AND($Q2067&lt;&gt;"",INDEX(職員マスタ!$E$6:$E$405,$AP2067)&lt;&gt;"",$Q2067&lt;&gt;INDEX(職員マスタ!$E$6:$E$405,$AP2067)),"子の生年月日がマスタと相違／","")&amp;IF(AND($L2067&lt;&gt;"",INDEX(職員マスタ!$G$6:$G$405,$AP2067)&lt;&gt;"",$L2067&lt;&gt;INDEX(職員マスタ!$G$6:$G$405,$AP2067)),"時短開始日がマスタと相違／","")&amp;IF(AND($M2067&lt;&gt;"",INDEX(職員マスタ!$H$6:$H$405,$AP2067)&lt;&gt;"",$M2067&lt;&gt;INDEX(職員マスタ!$H$6:$H$405,$AP2067)),"時短終了日がマスタと相違／","")))&amp;IF(AND($B2067&lt;&gt;"",$E2067=""),"報酬額が未入力／","")&amp;IF(N($U2067)&gt;0,"申請書に入力エラーが残っています／","")&amp;IF(AND($B2067&lt;&gt;"",$AQ2067&lt;&gt;""),IF(COUNTIFS($B$6:$B$3005,$B2067,$C$6:$C$3005,$C2067,$D$6:$D$3005,$D2067)&gt;1,"同じ月の請求が重複しています／",""),"")&amp;IF(AND(N($E2067)&gt;0,$AB2067&lt;&gt;"",$AB2067&lt;&gt;"×",$AE2067=0,$AD2067=""),"計算額が下限以下のため不支給／",""))</f>
        <v/>
      </c>
      <c r="AN2067" s="12" t="n"/>
      <c r="AO2067" s="14">
        <f>IF($AF2067="保留中",COUNTIF($AF$6:$AF2067,"保留中"),"")</f>
        <v/>
      </c>
      <c r="AP2067" s="14">
        <f>IF($AQ2067="","",IF(SUMPRODUCT(MAX((職員マスタ!$A$6:$A$405=$B2067)*(((職員マスタ!$G$6:$G$405="")+(職員マスタ!$G$6:$G$405&lt;=EOMONTH($AQ2067,0)))&gt;0)*(((職員マスタ!$H$6:$H$405="")+(職員マスタ!$H$6:$H$405&gt;=$AQ2067))&gt;0)*(ROW(職員マスタ!$A$6:$A$405)-5)))&gt;0,SUMPRODUCT(MAX((職員マスタ!$A$6:$A$405=$B2067)*(((職員マスタ!$G$6:$G$405="")+(職員マスタ!$G$6:$G$405&lt;=EOMONTH($AQ2067,0)))&gt;0)*(((職員マスタ!$H$6:$H$405="")+(職員マスタ!$H$6:$H$405&gt;=$AQ2067))&gt;0)*(ROW(職員マスタ!$A$6:$A$405)-5))),IFERROR(MATCH($B2067,職員マスタ!$A$6:$A$405,0),"")))</f>
        <v/>
      </c>
      <c r="AQ2067" s="16">
        <f>IF(OR($B2067="",$C2067="",$D2067=""),"",DATE($C2067+2018,$D2067,1))</f>
        <v/>
      </c>
    </row>
    <row r="2068">
      <c r="A2068" s="11" t="n"/>
      <c r="B2068" s="12" t="n"/>
      <c r="C2068" s="12" t="n"/>
      <c r="D2068" s="12" t="n"/>
      <c r="E2068" s="13" t="n"/>
      <c r="F2068" s="12" t="n"/>
      <c r="G2068" s="13" t="n"/>
      <c r="H2068" s="12" t="n"/>
      <c r="I2068" s="12" t="n"/>
      <c r="J2068" s="12" t="n"/>
      <c r="K2068" s="12" t="n"/>
      <c r="L2068" s="11" t="n"/>
      <c r="M2068" s="11" t="n"/>
      <c r="N2068" s="11" t="n"/>
      <c r="O2068" s="11" t="n"/>
      <c r="P2068" s="12" t="n"/>
      <c r="Q2068" s="11" t="n"/>
      <c r="R2068" s="12" t="n"/>
      <c r="S2068" s="11" t="n"/>
      <c r="T2068" s="12" t="n"/>
      <c r="U2068" s="12" t="n"/>
      <c r="V2068" s="12" t="n"/>
      <c r="W2068" s="13" t="n"/>
      <c r="X2068" s="14">
        <f>IF($AP2068="",IF($B2068="","",$H2068),IF(INDEX(職員マスタ!$B$6:$B$405,$AP2068)="",$H2068,INDEX(職員マスタ!$B$6:$B$405,$AP2068)))</f>
        <v/>
      </c>
      <c r="Y2068" s="14">
        <f>IF($AP2068="",IF($B2068="","",$R2068),IF(INDEX(職員マスタ!$C$6:$C$405,$AP2068)="",$R2068,INDEX(職員マスタ!$C$6:$C$405,$AP2068)))</f>
        <v/>
      </c>
      <c r="Z2068" s="14">
        <f>IF($AQ2068="","","R"&amp;$C2068&amp;"."&amp;$D2068)</f>
        <v/>
      </c>
      <c r="AA2068" s="15">
        <f>IF(IF($AP2068="",FALSE,INDEX(職員マスタ!$K$6:$K$405,$AP2068)&lt;&gt;""),INDEX(職員マスタ!$K$6:$K$405,$AP2068),IF(N($W2068)&gt;0,$W2068,""))</f>
        <v/>
      </c>
      <c r="AB2068" s="14">
        <f>IF(OR($E2068="",$AA2068=""),"",IF($E2068&gt;=$AA2068,"×",IF($E2068&gt;=$AA2068*設定!$C$5,"△","○")))</f>
        <v/>
      </c>
      <c r="AC2068" s="15">
        <f>IF($AB2068="","",IF($AB2068="×",0,IF($AB2068="○",ROUNDDOWN($E2068*設定!$C$4,0),ROUNDDOWN($E2068*ROUND((9*$AA2068-9*$E2068)/(10*$E2068),4),0))))</f>
        <v/>
      </c>
      <c r="AD2068" s="13" t="n"/>
      <c r="AE2068" s="15">
        <f>IF($B2068="","",IF($AD2068&lt;&gt;"",$AD2068,IF($AC2068="","",IF($AC2068&lt;=設定!$C$3,0,$AC2068))))</f>
        <v/>
      </c>
      <c r="AF2068" s="14">
        <f>IF($B2068="","",IF(AND($AG2068&lt;&gt;"",$AI2068="",$AL2068=""),"保留中",IF($AL2068&lt;&gt;"",IF(N($AE2068)&gt;0,"支給済","不支給"),IF($AE2068="","要確認",IF($AE2068=0,"不支給","未処理")))))</f>
        <v/>
      </c>
      <c r="AG2068" s="12" t="n"/>
      <c r="AH2068" s="11" t="n"/>
      <c r="AI2068" s="11" t="n"/>
      <c r="AJ2068" s="11" t="n"/>
      <c r="AK2068" s="14">
        <f>IF(AND($AF2068="保留中",$AH2068&lt;&gt;""),TODAY()-$AH2068,"")</f>
        <v/>
      </c>
      <c r="AL2068" s="12" t="n"/>
      <c r="AM2068" s="14">
        <f>IF($B2068="","",IF($AQ2068="","対象年月が未入力／","")&amp;IF($B2068="","",IF($AP2068="","職員マスタに未登録の職員番号／",IF($AA2068="","標準報酬月額が未登録／","")&amp;IF(AND($AQ2068&lt;&gt;"",OR(AND(INDEX(職員マスタ!$G$6:$G$405,$AP2068)&lt;&gt;"",INDEX(職員マスタ!$G$6:$G$405,$AP2068)&gt;EOMONTH($AQ2068,0)),AND(INDEX(職員マスタ!$H$6:$H$405,$AP2068)&lt;&gt;"",INDEX(職員マスタ!$H$6:$H$405,$AP2068)&lt;$AQ2068))),"対象月が時短期間外／","")&amp;IF(AND(INDEX(職員マスタ!$K$6:$K$405,$AP2068)&lt;&gt;"",N($W2068)&gt;0,INDEX(職員マスタ!$K$6:$K$405,$AP2068)&lt;&gt;$W2068),"標準報酬月額が申請書と相違（台帳"&amp;TEXT(INDEX(職員マスタ!$K$6:$K$405,$AP2068),"#,##0")&amp;"円／申請書"&amp;TEXT($W2068,"#,##0")&amp;"円）／","")&amp;IF(AND(INDEX(職員マスタ!$F$6:$F$405,$AP2068)&lt;&gt;"",$AQ2068&lt;&gt;"",INDEX(職員マスタ!$F$6:$F$405,$AP2068)&lt;$AQ2068),"対象月に子が2歳到達済／","")&amp;IF(AND($H2068&lt;&gt;"",INDEX(職員マスタ!$B$6:$B$405,$AP2068)&lt;&gt;"",SUBSTITUTE(SUBSTITUTE($H2068," ","")," ","")&lt;&gt;SUBSTITUTE(SUBSTITUTE(INDEX(職員マスタ!$B$6:$B$405,$AP2068)," ","")," ","")),"氏名がマスタと相違／","")&amp;IF(AND($Q2068&lt;&gt;"",INDEX(職員マスタ!$E$6:$E$405,$AP2068)&lt;&gt;"",$Q2068&lt;&gt;INDEX(職員マスタ!$E$6:$E$405,$AP2068)),"子の生年月日がマスタと相違／","")&amp;IF(AND($L2068&lt;&gt;"",INDEX(職員マスタ!$G$6:$G$405,$AP2068)&lt;&gt;"",$L2068&lt;&gt;INDEX(職員マスタ!$G$6:$G$405,$AP2068)),"時短開始日がマスタと相違／","")&amp;IF(AND($M2068&lt;&gt;"",INDEX(職員マスタ!$H$6:$H$405,$AP2068)&lt;&gt;"",$M2068&lt;&gt;INDEX(職員マスタ!$H$6:$H$405,$AP2068)),"時短終了日がマスタと相違／","")))&amp;IF(AND($B2068&lt;&gt;"",$E2068=""),"報酬額が未入力／","")&amp;IF(N($U2068)&gt;0,"申請書に入力エラーが残っています／","")&amp;IF(AND($B2068&lt;&gt;"",$AQ2068&lt;&gt;""),IF(COUNTIFS($B$6:$B$3005,$B2068,$C$6:$C$3005,$C2068,$D$6:$D$3005,$D2068)&gt;1,"同じ月の請求が重複しています／",""),"")&amp;IF(AND(N($E2068)&gt;0,$AB2068&lt;&gt;"",$AB2068&lt;&gt;"×",$AE2068=0,$AD2068=""),"計算額が下限以下のため不支給／",""))</f>
        <v/>
      </c>
      <c r="AN2068" s="12" t="n"/>
      <c r="AO2068" s="14">
        <f>IF($AF2068="保留中",COUNTIF($AF$6:$AF2068,"保留中"),"")</f>
        <v/>
      </c>
      <c r="AP2068" s="14">
        <f>IF($AQ2068="","",IF(SUMPRODUCT(MAX((職員マスタ!$A$6:$A$405=$B2068)*(((職員マスタ!$G$6:$G$405="")+(職員マスタ!$G$6:$G$405&lt;=EOMONTH($AQ2068,0)))&gt;0)*(((職員マスタ!$H$6:$H$405="")+(職員マスタ!$H$6:$H$405&gt;=$AQ2068))&gt;0)*(ROW(職員マスタ!$A$6:$A$405)-5)))&gt;0,SUMPRODUCT(MAX((職員マスタ!$A$6:$A$405=$B2068)*(((職員マスタ!$G$6:$G$405="")+(職員マスタ!$G$6:$G$405&lt;=EOMONTH($AQ2068,0)))&gt;0)*(((職員マスタ!$H$6:$H$405="")+(職員マスタ!$H$6:$H$405&gt;=$AQ2068))&gt;0)*(ROW(職員マスタ!$A$6:$A$405)-5))),IFERROR(MATCH($B2068,職員マスタ!$A$6:$A$405,0),"")))</f>
        <v/>
      </c>
      <c r="AQ2068" s="16">
        <f>IF(OR($B2068="",$C2068="",$D2068=""),"",DATE($C2068+2018,$D2068,1))</f>
        <v/>
      </c>
    </row>
    <row r="2069">
      <c r="A2069" s="11" t="n"/>
      <c r="B2069" s="12" t="n"/>
      <c r="C2069" s="12" t="n"/>
      <c r="D2069" s="12" t="n"/>
      <c r="E2069" s="13" t="n"/>
      <c r="F2069" s="12" t="n"/>
      <c r="G2069" s="13" t="n"/>
      <c r="H2069" s="12" t="n"/>
      <c r="I2069" s="12" t="n"/>
      <c r="J2069" s="12" t="n"/>
      <c r="K2069" s="12" t="n"/>
      <c r="L2069" s="11" t="n"/>
      <c r="M2069" s="11" t="n"/>
      <c r="N2069" s="11" t="n"/>
      <c r="O2069" s="11" t="n"/>
      <c r="P2069" s="12" t="n"/>
      <c r="Q2069" s="11" t="n"/>
      <c r="R2069" s="12" t="n"/>
      <c r="S2069" s="11" t="n"/>
      <c r="T2069" s="12" t="n"/>
      <c r="U2069" s="12" t="n"/>
      <c r="V2069" s="12" t="n"/>
      <c r="W2069" s="13" t="n"/>
      <c r="X2069" s="14">
        <f>IF($AP2069="",IF($B2069="","",$H2069),IF(INDEX(職員マスタ!$B$6:$B$405,$AP2069)="",$H2069,INDEX(職員マスタ!$B$6:$B$405,$AP2069)))</f>
        <v/>
      </c>
      <c r="Y2069" s="14">
        <f>IF($AP2069="",IF($B2069="","",$R2069),IF(INDEX(職員マスタ!$C$6:$C$405,$AP2069)="",$R2069,INDEX(職員マスタ!$C$6:$C$405,$AP2069)))</f>
        <v/>
      </c>
      <c r="Z2069" s="14">
        <f>IF($AQ2069="","","R"&amp;$C2069&amp;"."&amp;$D2069)</f>
        <v/>
      </c>
      <c r="AA2069" s="15">
        <f>IF(IF($AP2069="",FALSE,INDEX(職員マスタ!$K$6:$K$405,$AP2069)&lt;&gt;""),INDEX(職員マスタ!$K$6:$K$405,$AP2069),IF(N($W2069)&gt;0,$W2069,""))</f>
        <v/>
      </c>
      <c r="AB2069" s="14">
        <f>IF(OR($E2069="",$AA2069=""),"",IF($E2069&gt;=$AA2069,"×",IF($E2069&gt;=$AA2069*設定!$C$5,"△","○")))</f>
        <v/>
      </c>
      <c r="AC2069" s="15">
        <f>IF($AB2069="","",IF($AB2069="×",0,IF($AB2069="○",ROUNDDOWN($E2069*設定!$C$4,0),ROUNDDOWN($E2069*ROUND((9*$AA2069-9*$E2069)/(10*$E2069),4),0))))</f>
        <v/>
      </c>
      <c r="AD2069" s="13" t="n"/>
      <c r="AE2069" s="15">
        <f>IF($B2069="","",IF($AD2069&lt;&gt;"",$AD2069,IF($AC2069="","",IF($AC2069&lt;=設定!$C$3,0,$AC2069))))</f>
        <v/>
      </c>
      <c r="AF2069" s="14">
        <f>IF($B2069="","",IF(AND($AG2069&lt;&gt;"",$AI2069="",$AL2069=""),"保留中",IF($AL2069&lt;&gt;"",IF(N($AE2069)&gt;0,"支給済","不支給"),IF($AE2069="","要確認",IF($AE2069=0,"不支給","未処理")))))</f>
        <v/>
      </c>
      <c r="AG2069" s="12" t="n"/>
      <c r="AH2069" s="11" t="n"/>
      <c r="AI2069" s="11" t="n"/>
      <c r="AJ2069" s="11" t="n"/>
      <c r="AK2069" s="14">
        <f>IF(AND($AF2069="保留中",$AH2069&lt;&gt;""),TODAY()-$AH2069,"")</f>
        <v/>
      </c>
      <c r="AL2069" s="12" t="n"/>
      <c r="AM2069" s="14">
        <f>IF($B2069="","",IF($AQ2069="","対象年月が未入力／","")&amp;IF($B2069="","",IF($AP2069="","職員マスタに未登録の職員番号／",IF($AA2069="","標準報酬月額が未登録／","")&amp;IF(AND($AQ2069&lt;&gt;"",OR(AND(INDEX(職員マスタ!$G$6:$G$405,$AP2069)&lt;&gt;"",INDEX(職員マスタ!$G$6:$G$405,$AP2069)&gt;EOMONTH($AQ2069,0)),AND(INDEX(職員マスタ!$H$6:$H$405,$AP2069)&lt;&gt;"",INDEX(職員マスタ!$H$6:$H$405,$AP2069)&lt;$AQ2069))),"対象月が時短期間外／","")&amp;IF(AND(INDEX(職員マスタ!$K$6:$K$405,$AP2069)&lt;&gt;"",N($W2069)&gt;0,INDEX(職員マスタ!$K$6:$K$405,$AP2069)&lt;&gt;$W2069),"標準報酬月額が申請書と相違（台帳"&amp;TEXT(INDEX(職員マスタ!$K$6:$K$405,$AP2069),"#,##0")&amp;"円／申請書"&amp;TEXT($W2069,"#,##0")&amp;"円）／","")&amp;IF(AND(INDEX(職員マスタ!$F$6:$F$405,$AP2069)&lt;&gt;"",$AQ2069&lt;&gt;"",INDEX(職員マスタ!$F$6:$F$405,$AP2069)&lt;$AQ2069),"対象月に子が2歳到達済／","")&amp;IF(AND($H2069&lt;&gt;"",INDEX(職員マスタ!$B$6:$B$405,$AP2069)&lt;&gt;"",SUBSTITUTE(SUBSTITUTE($H2069," ","")," ","")&lt;&gt;SUBSTITUTE(SUBSTITUTE(INDEX(職員マスタ!$B$6:$B$405,$AP2069)," ","")," ","")),"氏名がマスタと相違／","")&amp;IF(AND($Q2069&lt;&gt;"",INDEX(職員マスタ!$E$6:$E$405,$AP2069)&lt;&gt;"",$Q2069&lt;&gt;INDEX(職員マスタ!$E$6:$E$405,$AP2069)),"子の生年月日がマスタと相違／","")&amp;IF(AND($L2069&lt;&gt;"",INDEX(職員マスタ!$G$6:$G$405,$AP2069)&lt;&gt;"",$L2069&lt;&gt;INDEX(職員マスタ!$G$6:$G$405,$AP2069)),"時短開始日がマスタと相違／","")&amp;IF(AND($M2069&lt;&gt;"",INDEX(職員マスタ!$H$6:$H$405,$AP2069)&lt;&gt;"",$M2069&lt;&gt;INDEX(職員マスタ!$H$6:$H$405,$AP2069)),"時短終了日がマスタと相違／","")))&amp;IF(AND($B2069&lt;&gt;"",$E2069=""),"報酬額が未入力／","")&amp;IF(N($U2069)&gt;0,"申請書に入力エラーが残っています／","")&amp;IF(AND($B2069&lt;&gt;"",$AQ2069&lt;&gt;""),IF(COUNTIFS($B$6:$B$3005,$B2069,$C$6:$C$3005,$C2069,$D$6:$D$3005,$D2069)&gt;1,"同じ月の請求が重複しています／",""),"")&amp;IF(AND(N($E2069)&gt;0,$AB2069&lt;&gt;"",$AB2069&lt;&gt;"×",$AE2069=0,$AD2069=""),"計算額が下限以下のため不支給／",""))</f>
        <v/>
      </c>
      <c r="AN2069" s="12" t="n"/>
      <c r="AO2069" s="14">
        <f>IF($AF2069="保留中",COUNTIF($AF$6:$AF2069,"保留中"),"")</f>
        <v/>
      </c>
      <c r="AP2069" s="14">
        <f>IF($AQ2069="","",IF(SUMPRODUCT(MAX((職員マスタ!$A$6:$A$405=$B2069)*(((職員マスタ!$G$6:$G$405="")+(職員マスタ!$G$6:$G$405&lt;=EOMONTH($AQ2069,0)))&gt;0)*(((職員マスタ!$H$6:$H$405="")+(職員マスタ!$H$6:$H$405&gt;=$AQ2069))&gt;0)*(ROW(職員マスタ!$A$6:$A$405)-5)))&gt;0,SUMPRODUCT(MAX((職員マスタ!$A$6:$A$405=$B2069)*(((職員マスタ!$G$6:$G$405="")+(職員マスタ!$G$6:$G$405&lt;=EOMONTH($AQ2069,0)))&gt;0)*(((職員マスタ!$H$6:$H$405="")+(職員マスタ!$H$6:$H$405&gt;=$AQ2069))&gt;0)*(ROW(職員マスタ!$A$6:$A$405)-5))),IFERROR(MATCH($B2069,職員マスタ!$A$6:$A$405,0),"")))</f>
        <v/>
      </c>
      <c r="AQ2069" s="16">
        <f>IF(OR($B2069="",$C2069="",$D2069=""),"",DATE($C2069+2018,$D2069,1))</f>
        <v/>
      </c>
    </row>
    <row r="2070">
      <c r="A2070" s="11" t="n"/>
      <c r="B2070" s="12" t="n"/>
      <c r="C2070" s="12" t="n"/>
      <c r="D2070" s="12" t="n"/>
      <c r="E2070" s="13" t="n"/>
      <c r="F2070" s="12" t="n"/>
      <c r="G2070" s="13" t="n"/>
      <c r="H2070" s="12" t="n"/>
      <c r="I2070" s="12" t="n"/>
      <c r="J2070" s="12" t="n"/>
      <c r="K2070" s="12" t="n"/>
      <c r="L2070" s="11" t="n"/>
      <c r="M2070" s="11" t="n"/>
      <c r="N2070" s="11" t="n"/>
      <c r="O2070" s="11" t="n"/>
      <c r="P2070" s="12" t="n"/>
      <c r="Q2070" s="11" t="n"/>
      <c r="R2070" s="12" t="n"/>
      <c r="S2070" s="11" t="n"/>
      <c r="T2070" s="12" t="n"/>
      <c r="U2070" s="12" t="n"/>
      <c r="V2070" s="12" t="n"/>
      <c r="W2070" s="13" t="n"/>
      <c r="X2070" s="14">
        <f>IF($AP2070="",IF($B2070="","",$H2070),IF(INDEX(職員マスタ!$B$6:$B$405,$AP2070)="",$H2070,INDEX(職員マスタ!$B$6:$B$405,$AP2070)))</f>
        <v/>
      </c>
      <c r="Y2070" s="14">
        <f>IF($AP2070="",IF($B2070="","",$R2070),IF(INDEX(職員マスタ!$C$6:$C$405,$AP2070)="",$R2070,INDEX(職員マスタ!$C$6:$C$405,$AP2070)))</f>
        <v/>
      </c>
      <c r="Z2070" s="14">
        <f>IF($AQ2070="","","R"&amp;$C2070&amp;"."&amp;$D2070)</f>
        <v/>
      </c>
      <c r="AA2070" s="15">
        <f>IF(IF($AP2070="",FALSE,INDEX(職員マスタ!$K$6:$K$405,$AP2070)&lt;&gt;""),INDEX(職員マスタ!$K$6:$K$405,$AP2070),IF(N($W2070)&gt;0,$W2070,""))</f>
        <v/>
      </c>
      <c r="AB2070" s="14">
        <f>IF(OR($E2070="",$AA2070=""),"",IF($E2070&gt;=$AA2070,"×",IF($E2070&gt;=$AA2070*設定!$C$5,"△","○")))</f>
        <v/>
      </c>
      <c r="AC2070" s="15">
        <f>IF($AB2070="","",IF($AB2070="×",0,IF($AB2070="○",ROUNDDOWN($E2070*設定!$C$4,0),ROUNDDOWN($E2070*ROUND((9*$AA2070-9*$E2070)/(10*$E2070),4),0))))</f>
        <v/>
      </c>
      <c r="AD2070" s="13" t="n"/>
      <c r="AE2070" s="15">
        <f>IF($B2070="","",IF($AD2070&lt;&gt;"",$AD2070,IF($AC2070="","",IF($AC2070&lt;=設定!$C$3,0,$AC2070))))</f>
        <v/>
      </c>
      <c r="AF2070" s="14">
        <f>IF($B2070="","",IF(AND($AG2070&lt;&gt;"",$AI2070="",$AL2070=""),"保留中",IF($AL2070&lt;&gt;"",IF(N($AE2070)&gt;0,"支給済","不支給"),IF($AE2070="","要確認",IF($AE2070=0,"不支給","未処理")))))</f>
        <v/>
      </c>
      <c r="AG2070" s="12" t="n"/>
      <c r="AH2070" s="11" t="n"/>
      <c r="AI2070" s="11" t="n"/>
      <c r="AJ2070" s="11" t="n"/>
      <c r="AK2070" s="14">
        <f>IF(AND($AF2070="保留中",$AH2070&lt;&gt;""),TODAY()-$AH2070,"")</f>
        <v/>
      </c>
      <c r="AL2070" s="12" t="n"/>
      <c r="AM2070" s="14">
        <f>IF($B2070="","",IF($AQ2070="","対象年月が未入力／","")&amp;IF($B2070="","",IF($AP2070="","職員マスタに未登録の職員番号／",IF($AA2070="","標準報酬月額が未登録／","")&amp;IF(AND($AQ2070&lt;&gt;"",OR(AND(INDEX(職員マスタ!$G$6:$G$405,$AP2070)&lt;&gt;"",INDEX(職員マスタ!$G$6:$G$405,$AP2070)&gt;EOMONTH($AQ2070,0)),AND(INDEX(職員マスタ!$H$6:$H$405,$AP2070)&lt;&gt;"",INDEX(職員マスタ!$H$6:$H$405,$AP2070)&lt;$AQ2070))),"対象月が時短期間外／","")&amp;IF(AND(INDEX(職員マスタ!$K$6:$K$405,$AP2070)&lt;&gt;"",N($W2070)&gt;0,INDEX(職員マスタ!$K$6:$K$405,$AP2070)&lt;&gt;$W2070),"標準報酬月額が申請書と相違（台帳"&amp;TEXT(INDEX(職員マスタ!$K$6:$K$405,$AP2070),"#,##0")&amp;"円／申請書"&amp;TEXT($W2070,"#,##0")&amp;"円）／","")&amp;IF(AND(INDEX(職員マスタ!$F$6:$F$405,$AP2070)&lt;&gt;"",$AQ2070&lt;&gt;"",INDEX(職員マスタ!$F$6:$F$405,$AP2070)&lt;$AQ2070),"対象月に子が2歳到達済／","")&amp;IF(AND($H2070&lt;&gt;"",INDEX(職員マスタ!$B$6:$B$405,$AP2070)&lt;&gt;"",SUBSTITUTE(SUBSTITUTE($H2070," ","")," ","")&lt;&gt;SUBSTITUTE(SUBSTITUTE(INDEX(職員マスタ!$B$6:$B$405,$AP2070)," ","")," ","")),"氏名がマスタと相違／","")&amp;IF(AND($Q2070&lt;&gt;"",INDEX(職員マスタ!$E$6:$E$405,$AP2070)&lt;&gt;"",$Q2070&lt;&gt;INDEX(職員マスタ!$E$6:$E$405,$AP2070)),"子の生年月日がマスタと相違／","")&amp;IF(AND($L2070&lt;&gt;"",INDEX(職員マスタ!$G$6:$G$405,$AP2070)&lt;&gt;"",$L2070&lt;&gt;INDEX(職員マスタ!$G$6:$G$405,$AP2070)),"時短開始日がマスタと相違／","")&amp;IF(AND($M2070&lt;&gt;"",INDEX(職員マスタ!$H$6:$H$405,$AP2070)&lt;&gt;"",$M2070&lt;&gt;INDEX(職員マスタ!$H$6:$H$405,$AP2070)),"時短終了日がマスタと相違／","")))&amp;IF(AND($B2070&lt;&gt;"",$E2070=""),"報酬額が未入力／","")&amp;IF(N($U2070)&gt;0,"申請書に入力エラーが残っています／","")&amp;IF(AND($B2070&lt;&gt;"",$AQ2070&lt;&gt;""),IF(COUNTIFS($B$6:$B$3005,$B2070,$C$6:$C$3005,$C2070,$D$6:$D$3005,$D2070)&gt;1,"同じ月の請求が重複しています／",""),"")&amp;IF(AND(N($E2070)&gt;0,$AB2070&lt;&gt;"",$AB2070&lt;&gt;"×",$AE2070=0,$AD2070=""),"計算額が下限以下のため不支給／",""))</f>
        <v/>
      </c>
      <c r="AN2070" s="12" t="n"/>
      <c r="AO2070" s="14">
        <f>IF($AF2070="保留中",COUNTIF($AF$6:$AF2070,"保留中"),"")</f>
        <v/>
      </c>
      <c r="AP2070" s="14">
        <f>IF($AQ2070="","",IF(SUMPRODUCT(MAX((職員マスタ!$A$6:$A$405=$B2070)*(((職員マスタ!$G$6:$G$405="")+(職員マスタ!$G$6:$G$405&lt;=EOMONTH($AQ2070,0)))&gt;0)*(((職員マスタ!$H$6:$H$405="")+(職員マスタ!$H$6:$H$405&gt;=$AQ2070))&gt;0)*(ROW(職員マスタ!$A$6:$A$405)-5)))&gt;0,SUMPRODUCT(MAX((職員マスタ!$A$6:$A$405=$B2070)*(((職員マスタ!$G$6:$G$405="")+(職員マスタ!$G$6:$G$405&lt;=EOMONTH($AQ2070,0)))&gt;0)*(((職員マスタ!$H$6:$H$405="")+(職員マスタ!$H$6:$H$405&gt;=$AQ2070))&gt;0)*(ROW(職員マスタ!$A$6:$A$405)-5))),IFERROR(MATCH($B2070,職員マスタ!$A$6:$A$405,0),"")))</f>
        <v/>
      </c>
      <c r="AQ2070" s="16">
        <f>IF(OR($B2070="",$C2070="",$D2070=""),"",DATE($C2070+2018,$D2070,1))</f>
        <v/>
      </c>
    </row>
    <row r="2071">
      <c r="A2071" s="11" t="n"/>
      <c r="B2071" s="12" t="n"/>
      <c r="C2071" s="12" t="n"/>
      <c r="D2071" s="12" t="n"/>
      <c r="E2071" s="13" t="n"/>
      <c r="F2071" s="12" t="n"/>
      <c r="G2071" s="13" t="n"/>
      <c r="H2071" s="12" t="n"/>
      <c r="I2071" s="12" t="n"/>
      <c r="J2071" s="12" t="n"/>
      <c r="K2071" s="12" t="n"/>
      <c r="L2071" s="11" t="n"/>
      <c r="M2071" s="11" t="n"/>
      <c r="N2071" s="11" t="n"/>
      <c r="O2071" s="11" t="n"/>
      <c r="P2071" s="12" t="n"/>
      <c r="Q2071" s="11" t="n"/>
      <c r="R2071" s="12" t="n"/>
      <c r="S2071" s="11" t="n"/>
      <c r="T2071" s="12" t="n"/>
      <c r="U2071" s="12" t="n"/>
      <c r="V2071" s="12" t="n"/>
      <c r="W2071" s="13" t="n"/>
      <c r="X2071" s="14">
        <f>IF($AP2071="",IF($B2071="","",$H2071),IF(INDEX(職員マスタ!$B$6:$B$405,$AP2071)="",$H2071,INDEX(職員マスタ!$B$6:$B$405,$AP2071)))</f>
        <v/>
      </c>
      <c r="Y2071" s="14">
        <f>IF($AP2071="",IF($B2071="","",$R2071),IF(INDEX(職員マスタ!$C$6:$C$405,$AP2071)="",$R2071,INDEX(職員マスタ!$C$6:$C$405,$AP2071)))</f>
        <v/>
      </c>
      <c r="Z2071" s="14">
        <f>IF($AQ2071="","","R"&amp;$C2071&amp;"."&amp;$D2071)</f>
        <v/>
      </c>
      <c r="AA2071" s="15">
        <f>IF(IF($AP2071="",FALSE,INDEX(職員マスタ!$K$6:$K$405,$AP2071)&lt;&gt;""),INDEX(職員マスタ!$K$6:$K$405,$AP2071),IF(N($W2071)&gt;0,$W2071,""))</f>
        <v/>
      </c>
      <c r="AB2071" s="14">
        <f>IF(OR($E2071="",$AA2071=""),"",IF($E2071&gt;=$AA2071,"×",IF($E2071&gt;=$AA2071*設定!$C$5,"△","○")))</f>
        <v/>
      </c>
      <c r="AC2071" s="15">
        <f>IF($AB2071="","",IF($AB2071="×",0,IF($AB2071="○",ROUNDDOWN($E2071*設定!$C$4,0),ROUNDDOWN($E2071*ROUND((9*$AA2071-9*$E2071)/(10*$E2071),4),0))))</f>
        <v/>
      </c>
      <c r="AD2071" s="13" t="n"/>
      <c r="AE2071" s="15">
        <f>IF($B2071="","",IF($AD2071&lt;&gt;"",$AD2071,IF($AC2071="","",IF($AC2071&lt;=設定!$C$3,0,$AC2071))))</f>
        <v/>
      </c>
      <c r="AF2071" s="14">
        <f>IF($B2071="","",IF(AND($AG2071&lt;&gt;"",$AI2071="",$AL2071=""),"保留中",IF($AL2071&lt;&gt;"",IF(N($AE2071)&gt;0,"支給済","不支給"),IF($AE2071="","要確認",IF($AE2071=0,"不支給","未処理")))))</f>
        <v/>
      </c>
      <c r="AG2071" s="12" t="n"/>
      <c r="AH2071" s="11" t="n"/>
      <c r="AI2071" s="11" t="n"/>
      <c r="AJ2071" s="11" t="n"/>
      <c r="AK2071" s="14">
        <f>IF(AND($AF2071="保留中",$AH2071&lt;&gt;""),TODAY()-$AH2071,"")</f>
        <v/>
      </c>
      <c r="AL2071" s="12" t="n"/>
      <c r="AM2071" s="14">
        <f>IF($B2071="","",IF($AQ2071="","対象年月が未入力／","")&amp;IF($B2071="","",IF($AP2071="","職員マスタに未登録の職員番号／",IF($AA2071="","標準報酬月額が未登録／","")&amp;IF(AND($AQ2071&lt;&gt;"",OR(AND(INDEX(職員マスタ!$G$6:$G$405,$AP2071)&lt;&gt;"",INDEX(職員マスタ!$G$6:$G$405,$AP2071)&gt;EOMONTH($AQ2071,0)),AND(INDEX(職員マスタ!$H$6:$H$405,$AP2071)&lt;&gt;"",INDEX(職員マスタ!$H$6:$H$405,$AP2071)&lt;$AQ2071))),"対象月が時短期間外／","")&amp;IF(AND(INDEX(職員マスタ!$K$6:$K$405,$AP2071)&lt;&gt;"",N($W2071)&gt;0,INDEX(職員マスタ!$K$6:$K$405,$AP2071)&lt;&gt;$W2071),"標準報酬月額が申請書と相違（台帳"&amp;TEXT(INDEX(職員マスタ!$K$6:$K$405,$AP2071),"#,##0")&amp;"円／申請書"&amp;TEXT($W2071,"#,##0")&amp;"円）／","")&amp;IF(AND(INDEX(職員マスタ!$F$6:$F$405,$AP2071)&lt;&gt;"",$AQ2071&lt;&gt;"",INDEX(職員マスタ!$F$6:$F$405,$AP2071)&lt;$AQ2071),"対象月に子が2歳到達済／","")&amp;IF(AND($H2071&lt;&gt;"",INDEX(職員マスタ!$B$6:$B$405,$AP2071)&lt;&gt;"",SUBSTITUTE(SUBSTITUTE($H2071," ","")," ","")&lt;&gt;SUBSTITUTE(SUBSTITUTE(INDEX(職員マスタ!$B$6:$B$405,$AP2071)," ","")," ","")),"氏名がマスタと相違／","")&amp;IF(AND($Q2071&lt;&gt;"",INDEX(職員マスタ!$E$6:$E$405,$AP2071)&lt;&gt;"",$Q2071&lt;&gt;INDEX(職員マスタ!$E$6:$E$405,$AP2071)),"子の生年月日がマスタと相違／","")&amp;IF(AND($L2071&lt;&gt;"",INDEX(職員マスタ!$G$6:$G$405,$AP2071)&lt;&gt;"",$L2071&lt;&gt;INDEX(職員マスタ!$G$6:$G$405,$AP2071)),"時短開始日がマスタと相違／","")&amp;IF(AND($M2071&lt;&gt;"",INDEX(職員マスタ!$H$6:$H$405,$AP2071)&lt;&gt;"",$M2071&lt;&gt;INDEX(職員マスタ!$H$6:$H$405,$AP2071)),"時短終了日がマスタと相違／","")))&amp;IF(AND($B2071&lt;&gt;"",$E2071=""),"報酬額が未入力／","")&amp;IF(N($U2071)&gt;0,"申請書に入力エラーが残っています／","")&amp;IF(AND($B2071&lt;&gt;"",$AQ2071&lt;&gt;""),IF(COUNTIFS($B$6:$B$3005,$B2071,$C$6:$C$3005,$C2071,$D$6:$D$3005,$D2071)&gt;1,"同じ月の請求が重複しています／",""),"")&amp;IF(AND(N($E2071)&gt;0,$AB2071&lt;&gt;"",$AB2071&lt;&gt;"×",$AE2071=0,$AD2071=""),"計算額が下限以下のため不支給／",""))</f>
        <v/>
      </c>
      <c r="AN2071" s="12" t="n"/>
      <c r="AO2071" s="14">
        <f>IF($AF2071="保留中",COUNTIF($AF$6:$AF2071,"保留中"),"")</f>
        <v/>
      </c>
      <c r="AP2071" s="14">
        <f>IF($AQ2071="","",IF(SUMPRODUCT(MAX((職員マスタ!$A$6:$A$405=$B2071)*(((職員マスタ!$G$6:$G$405="")+(職員マスタ!$G$6:$G$405&lt;=EOMONTH($AQ2071,0)))&gt;0)*(((職員マスタ!$H$6:$H$405="")+(職員マスタ!$H$6:$H$405&gt;=$AQ2071))&gt;0)*(ROW(職員マスタ!$A$6:$A$405)-5)))&gt;0,SUMPRODUCT(MAX((職員マスタ!$A$6:$A$405=$B2071)*(((職員マスタ!$G$6:$G$405="")+(職員マスタ!$G$6:$G$405&lt;=EOMONTH($AQ2071,0)))&gt;0)*(((職員マスタ!$H$6:$H$405="")+(職員マスタ!$H$6:$H$405&gt;=$AQ2071))&gt;0)*(ROW(職員マスタ!$A$6:$A$405)-5))),IFERROR(MATCH($B2071,職員マスタ!$A$6:$A$405,0),"")))</f>
        <v/>
      </c>
      <c r="AQ2071" s="16">
        <f>IF(OR($B2071="",$C2071="",$D2071=""),"",DATE($C2071+2018,$D2071,1))</f>
        <v/>
      </c>
    </row>
    <row r="2072">
      <c r="A2072" s="11" t="n"/>
      <c r="B2072" s="12" t="n"/>
      <c r="C2072" s="12" t="n"/>
      <c r="D2072" s="12" t="n"/>
      <c r="E2072" s="13" t="n"/>
      <c r="F2072" s="12" t="n"/>
      <c r="G2072" s="13" t="n"/>
      <c r="H2072" s="12" t="n"/>
      <c r="I2072" s="12" t="n"/>
      <c r="J2072" s="12" t="n"/>
      <c r="K2072" s="12" t="n"/>
      <c r="L2072" s="11" t="n"/>
      <c r="M2072" s="11" t="n"/>
      <c r="N2072" s="11" t="n"/>
      <c r="O2072" s="11" t="n"/>
      <c r="P2072" s="12" t="n"/>
      <c r="Q2072" s="11" t="n"/>
      <c r="R2072" s="12" t="n"/>
      <c r="S2072" s="11" t="n"/>
      <c r="T2072" s="12" t="n"/>
      <c r="U2072" s="12" t="n"/>
      <c r="V2072" s="12" t="n"/>
      <c r="W2072" s="13" t="n"/>
      <c r="X2072" s="14">
        <f>IF($AP2072="",IF($B2072="","",$H2072),IF(INDEX(職員マスタ!$B$6:$B$405,$AP2072)="",$H2072,INDEX(職員マスタ!$B$6:$B$405,$AP2072)))</f>
        <v/>
      </c>
      <c r="Y2072" s="14">
        <f>IF($AP2072="",IF($B2072="","",$R2072),IF(INDEX(職員マスタ!$C$6:$C$405,$AP2072)="",$R2072,INDEX(職員マスタ!$C$6:$C$405,$AP2072)))</f>
        <v/>
      </c>
      <c r="Z2072" s="14">
        <f>IF($AQ2072="","","R"&amp;$C2072&amp;"."&amp;$D2072)</f>
        <v/>
      </c>
      <c r="AA2072" s="15">
        <f>IF(IF($AP2072="",FALSE,INDEX(職員マスタ!$K$6:$K$405,$AP2072)&lt;&gt;""),INDEX(職員マスタ!$K$6:$K$405,$AP2072),IF(N($W2072)&gt;0,$W2072,""))</f>
        <v/>
      </c>
      <c r="AB2072" s="14">
        <f>IF(OR($E2072="",$AA2072=""),"",IF($E2072&gt;=$AA2072,"×",IF($E2072&gt;=$AA2072*設定!$C$5,"△","○")))</f>
        <v/>
      </c>
      <c r="AC2072" s="15">
        <f>IF($AB2072="","",IF($AB2072="×",0,IF($AB2072="○",ROUNDDOWN($E2072*設定!$C$4,0),ROUNDDOWN($E2072*ROUND((9*$AA2072-9*$E2072)/(10*$E2072),4),0))))</f>
        <v/>
      </c>
      <c r="AD2072" s="13" t="n"/>
      <c r="AE2072" s="15">
        <f>IF($B2072="","",IF($AD2072&lt;&gt;"",$AD2072,IF($AC2072="","",IF($AC2072&lt;=設定!$C$3,0,$AC2072))))</f>
        <v/>
      </c>
      <c r="AF2072" s="14">
        <f>IF($B2072="","",IF(AND($AG2072&lt;&gt;"",$AI2072="",$AL2072=""),"保留中",IF($AL2072&lt;&gt;"",IF(N($AE2072)&gt;0,"支給済","不支給"),IF($AE2072="","要確認",IF($AE2072=0,"不支給","未処理")))))</f>
        <v/>
      </c>
      <c r="AG2072" s="12" t="n"/>
      <c r="AH2072" s="11" t="n"/>
      <c r="AI2072" s="11" t="n"/>
      <c r="AJ2072" s="11" t="n"/>
      <c r="AK2072" s="14">
        <f>IF(AND($AF2072="保留中",$AH2072&lt;&gt;""),TODAY()-$AH2072,"")</f>
        <v/>
      </c>
      <c r="AL2072" s="12" t="n"/>
      <c r="AM2072" s="14">
        <f>IF($B2072="","",IF($AQ2072="","対象年月が未入力／","")&amp;IF($B2072="","",IF($AP2072="","職員マスタに未登録の職員番号／",IF($AA2072="","標準報酬月額が未登録／","")&amp;IF(AND($AQ2072&lt;&gt;"",OR(AND(INDEX(職員マスタ!$G$6:$G$405,$AP2072)&lt;&gt;"",INDEX(職員マスタ!$G$6:$G$405,$AP2072)&gt;EOMONTH($AQ2072,0)),AND(INDEX(職員マスタ!$H$6:$H$405,$AP2072)&lt;&gt;"",INDEX(職員マスタ!$H$6:$H$405,$AP2072)&lt;$AQ2072))),"対象月が時短期間外／","")&amp;IF(AND(INDEX(職員マスタ!$K$6:$K$405,$AP2072)&lt;&gt;"",N($W2072)&gt;0,INDEX(職員マスタ!$K$6:$K$405,$AP2072)&lt;&gt;$W2072),"標準報酬月額が申請書と相違（台帳"&amp;TEXT(INDEX(職員マスタ!$K$6:$K$405,$AP2072),"#,##0")&amp;"円／申請書"&amp;TEXT($W2072,"#,##0")&amp;"円）／","")&amp;IF(AND(INDEX(職員マスタ!$F$6:$F$405,$AP2072)&lt;&gt;"",$AQ2072&lt;&gt;"",INDEX(職員マスタ!$F$6:$F$405,$AP2072)&lt;$AQ2072),"対象月に子が2歳到達済／","")&amp;IF(AND($H2072&lt;&gt;"",INDEX(職員マスタ!$B$6:$B$405,$AP2072)&lt;&gt;"",SUBSTITUTE(SUBSTITUTE($H2072," ","")," ","")&lt;&gt;SUBSTITUTE(SUBSTITUTE(INDEX(職員マスタ!$B$6:$B$405,$AP2072)," ","")," ","")),"氏名がマスタと相違／","")&amp;IF(AND($Q2072&lt;&gt;"",INDEX(職員マスタ!$E$6:$E$405,$AP2072)&lt;&gt;"",$Q2072&lt;&gt;INDEX(職員マスタ!$E$6:$E$405,$AP2072)),"子の生年月日がマスタと相違／","")&amp;IF(AND($L2072&lt;&gt;"",INDEX(職員マスタ!$G$6:$G$405,$AP2072)&lt;&gt;"",$L2072&lt;&gt;INDEX(職員マスタ!$G$6:$G$405,$AP2072)),"時短開始日がマスタと相違／","")&amp;IF(AND($M2072&lt;&gt;"",INDEX(職員マスタ!$H$6:$H$405,$AP2072)&lt;&gt;"",$M2072&lt;&gt;INDEX(職員マスタ!$H$6:$H$405,$AP2072)),"時短終了日がマスタと相違／","")))&amp;IF(AND($B2072&lt;&gt;"",$E2072=""),"報酬額が未入力／","")&amp;IF(N($U2072)&gt;0,"申請書に入力エラーが残っています／","")&amp;IF(AND($B2072&lt;&gt;"",$AQ2072&lt;&gt;""),IF(COUNTIFS($B$6:$B$3005,$B2072,$C$6:$C$3005,$C2072,$D$6:$D$3005,$D2072)&gt;1,"同じ月の請求が重複しています／",""),"")&amp;IF(AND(N($E2072)&gt;0,$AB2072&lt;&gt;"",$AB2072&lt;&gt;"×",$AE2072=0,$AD2072=""),"計算額が下限以下のため不支給／",""))</f>
        <v/>
      </c>
      <c r="AN2072" s="12" t="n"/>
      <c r="AO2072" s="14">
        <f>IF($AF2072="保留中",COUNTIF($AF$6:$AF2072,"保留中"),"")</f>
        <v/>
      </c>
      <c r="AP2072" s="14">
        <f>IF($AQ2072="","",IF(SUMPRODUCT(MAX((職員マスタ!$A$6:$A$405=$B2072)*(((職員マスタ!$G$6:$G$405="")+(職員マスタ!$G$6:$G$405&lt;=EOMONTH($AQ2072,0)))&gt;0)*(((職員マスタ!$H$6:$H$405="")+(職員マスタ!$H$6:$H$405&gt;=$AQ2072))&gt;0)*(ROW(職員マスタ!$A$6:$A$405)-5)))&gt;0,SUMPRODUCT(MAX((職員マスタ!$A$6:$A$405=$B2072)*(((職員マスタ!$G$6:$G$405="")+(職員マスタ!$G$6:$G$405&lt;=EOMONTH($AQ2072,0)))&gt;0)*(((職員マスタ!$H$6:$H$405="")+(職員マスタ!$H$6:$H$405&gt;=$AQ2072))&gt;0)*(ROW(職員マスタ!$A$6:$A$405)-5))),IFERROR(MATCH($B2072,職員マスタ!$A$6:$A$405,0),"")))</f>
        <v/>
      </c>
      <c r="AQ2072" s="16">
        <f>IF(OR($B2072="",$C2072="",$D2072=""),"",DATE($C2072+2018,$D2072,1))</f>
        <v/>
      </c>
    </row>
    <row r="2073">
      <c r="A2073" s="11" t="n"/>
      <c r="B2073" s="12" t="n"/>
      <c r="C2073" s="12" t="n"/>
      <c r="D2073" s="12" t="n"/>
      <c r="E2073" s="13" t="n"/>
      <c r="F2073" s="12" t="n"/>
      <c r="G2073" s="13" t="n"/>
      <c r="H2073" s="12" t="n"/>
      <c r="I2073" s="12" t="n"/>
      <c r="J2073" s="12" t="n"/>
      <c r="K2073" s="12" t="n"/>
      <c r="L2073" s="11" t="n"/>
      <c r="M2073" s="11" t="n"/>
      <c r="N2073" s="11" t="n"/>
      <c r="O2073" s="11" t="n"/>
      <c r="P2073" s="12" t="n"/>
      <c r="Q2073" s="11" t="n"/>
      <c r="R2073" s="12" t="n"/>
      <c r="S2073" s="11" t="n"/>
      <c r="T2073" s="12" t="n"/>
      <c r="U2073" s="12" t="n"/>
      <c r="V2073" s="12" t="n"/>
      <c r="W2073" s="13" t="n"/>
      <c r="X2073" s="14">
        <f>IF($AP2073="",IF($B2073="","",$H2073),IF(INDEX(職員マスタ!$B$6:$B$405,$AP2073)="",$H2073,INDEX(職員マスタ!$B$6:$B$405,$AP2073)))</f>
        <v/>
      </c>
      <c r="Y2073" s="14">
        <f>IF($AP2073="",IF($B2073="","",$R2073),IF(INDEX(職員マスタ!$C$6:$C$405,$AP2073)="",$R2073,INDEX(職員マスタ!$C$6:$C$405,$AP2073)))</f>
        <v/>
      </c>
      <c r="Z2073" s="14">
        <f>IF($AQ2073="","","R"&amp;$C2073&amp;"."&amp;$D2073)</f>
        <v/>
      </c>
      <c r="AA2073" s="15">
        <f>IF(IF($AP2073="",FALSE,INDEX(職員マスタ!$K$6:$K$405,$AP2073)&lt;&gt;""),INDEX(職員マスタ!$K$6:$K$405,$AP2073),IF(N($W2073)&gt;0,$W2073,""))</f>
        <v/>
      </c>
      <c r="AB2073" s="14">
        <f>IF(OR($E2073="",$AA2073=""),"",IF($E2073&gt;=$AA2073,"×",IF($E2073&gt;=$AA2073*設定!$C$5,"△","○")))</f>
        <v/>
      </c>
      <c r="AC2073" s="15">
        <f>IF($AB2073="","",IF($AB2073="×",0,IF($AB2073="○",ROUNDDOWN($E2073*設定!$C$4,0),ROUNDDOWN($E2073*ROUND((9*$AA2073-9*$E2073)/(10*$E2073),4),0))))</f>
        <v/>
      </c>
      <c r="AD2073" s="13" t="n"/>
      <c r="AE2073" s="15">
        <f>IF($B2073="","",IF($AD2073&lt;&gt;"",$AD2073,IF($AC2073="","",IF($AC2073&lt;=設定!$C$3,0,$AC2073))))</f>
        <v/>
      </c>
      <c r="AF2073" s="14">
        <f>IF($B2073="","",IF(AND($AG2073&lt;&gt;"",$AI2073="",$AL2073=""),"保留中",IF($AL2073&lt;&gt;"",IF(N($AE2073)&gt;0,"支給済","不支給"),IF($AE2073="","要確認",IF($AE2073=0,"不支給","未処理")))))</f>
        <v/>
      </c>
      <c r="AG2073" s="12" t="n"/>
      <c r="AH2073" s="11" t="n"/>
      <c r="AI2073" s="11" t="n"/>
      <c r="AJ2073" s="11" t="n"/>
      <c r="AK2073" s="14">
        <f>IF(AND($AF2073="保留中",$AH2073&lt;&gt;""),TODAY()-$AH2073,"")</f>
        <v/>
      </c>
      <c r="AL2073" s="12" t="n"/>
      <c r="AM2073" s="14">
        <f>IF($B2073="","",IF($AQ2073="","対象年月が未入力／","")&amp;IF($B2073="","",IF($AP2073="","職員マスタに未登録の職員番号／",IF($AA2073="","標準報酬月額が未登録／","")&amp;IF(AND($AQ2073&lt;&gt;"",OR(AND(INDEX(職員マスタ!$G$6:$G$405,$AP2073)&lt;&gt;"",INDEX(職員マスタ!$G$6:$G$405,$AP2073)&gt;EOMONTH($AQ2073,0)),AND(INDEX(職員マスタ!$H$6:$H$405,$AP2073)&lt;&gt;"",INDEX(職員マスタ!$H$6:$H$405,$AP2073)&lt;$AQ2073))),"対象月が時短期間外／","")&amp;IF(AND(INDEX(職員マスタ!$K$6:$K$405,$AP2073)&lt;&gt;"",N($W2073)&gt;0,INDEX(職員マスタ!$K$6:$K$405,$AP2073)&lt;&gt;$W2073),"標準報酬月額が申請書と相違（台帳"&amp;TEXT(INDEX(職員マスタ!$K$6:$K$405,$AP2073),"#,##0")&amp;"円／申請書"&amp;TEXT($W2073,"#,##0")&amp;"円）／","")&amp;IF(AND(INDEX(職員マスタ!$F$6:$F$405,$AP2073)&lt;&gt;"",$AQ2073&lt;&gt;"",INDEX(職員マスタ!$F$6:$F$405,$AP2073)&lt;$AQ2073),"対象月に子が2歳到達済／","")&amp;IF(AND($H2073&lt;&gt;"",INDEX(職員マスタ!$B$6:$B$405,$AP2073)&lt;&gt;"",SUBSTITUTE(SUBSTITUTE($H2073," ","")," ","")&lt;&gt;SUBSTITUTE(SUBSTITUTE(INDEX(職員マスタ!$B$6:$B$405,$AP2073)," ","")," ","")),"氏名がマスタと相違／","")&amp;IF(AND($Q2073&lt;&gt;"",INDEX(職員マスタ!$E$6:$E$405,$AP2073)&lt;&gt;"",$Q2073&lt;&gt;INDEX(職員マスタ!$E$6:$E$405,$AP2073)),"子の生年月日がマスタと相違／","")&amp;IF(AND($L2073&lt;&gt;"",INDEX(職員マスタ!$G$6:$G$405,$AP2073)&lt;&gt;"",$L2073&lt;&gt;INDEX(職員マスタ!$G$6:$G$405,$AP2073)),"時短開始日がマスタと相違／","")&amp;IF(AND($M2073&lt;&gt;"",INDEX(職員マスタ!$H$6:$H$405,$AP2073)&lt;&gt;"",$M2073&lt;&gt;INDEX(職員マスタ!$H$6:$H$405,$AP2073)),"時短終了日がマスタと相違／","")))&amp;IF(AND($B2073&lt;&gt;"",$E2073=""),"報酬額が未入力／","")&amp;IF(N($U2073)&gt;0,"申請書に入力エラーが残っています／","")&amp;IF(AND($B2073&lt;&gt;"",$AQ2073&lt;&gt;""),IF(COUNTIFS($B$6:$B$3005,$B2073,$C$6:$C$3005,$C2073,$D$6:$D$3005,$D2073)&gt;1,"同じ月の請求が重複しています／",""),"")&amp;IF(AND(N($E2073)&gt;0,$AB2073&lt;&gt;"",$AB2073&lt;&gt;"×",$AE2073=0,$AD2073=""),"計算額が下限以下のため不支給／",""))</f>
        <v/>
      </c>
      <c r="AN2073" s="12" t="n"/>
      <c r="AO2073" s="14">
        <f>IF($AF2073="保留中",COUNTIF($AF$6:$AF2073,"保留中"),"")</f>
        <v/>
      </c>
      <c r="AP2073" s="14">
        <f>IF($AQ2073="","",IF(SUMPRODUCT(MAX((職員マスタ!$A$6:$A$405=$B2073)*(((職員マスタ!$G$6:$G$405="")+(職員マスタ!$G$6:$G$405&lt;=EOMONTH($AQ2073,0)))&gt;0)*(((職員マスタ!$H$6:$H$405="")+(職員マスタ!$H$6:$H$405&gt;=$AQ2073))&gt;0)*(ROW(職員マスタ!$A$6:$A$405)-5)))&gt;0,SUMPRODUCT(MAX((職員マスタ!$A$6:$A$405=$B2073)*(((職員マスタ!$G$6:$G$405="")+(職員マスタ!$G$6:$G$405&lt;=EOMONTH($AQ2073,0)))&gt;0)*(((職員マスタ!$H$6:$H$405="")+(職員マスタ!$H$6:$H$405&gt;=$AQ2073))&gt;0)*(ROW(職員マスタ!$A$6:$A$405)-5))),IFERROR(MATCH($B2073,職員マスタ!$A$6:$A$405,0),"")))</f>
        <v/>
      </c>
      <c r="AQ2073" s="16">
        <f>IF(OR($B2073="",$C2073="",$D2073=""),"",DATE($C2073+2018,$D2073,1))</f>
        <v/>
      </c>
    </row>
    <row r="2074">
      <c r="A2074" s="11" t="n"/>
      <c r="B2074" s="12" t="n"/>
      <c r="C2074" s="12" t="n"/>
      <c r="D2074" s="12" t="n"/>
      <c r="E2074" s="13" t="n"/>
      <c r="F2074" s="12" t="n"/>
      <c r="G2074" s="13" t="n"/>
      <c r="H2074" s="12" t="n"/>
      <c r="I2074" s="12" t="n"/>
      <c r="J2074" s="12" t="n"/>
      <c r="K2074" s="12" t="n"/>
      <c r="L2074" s="11" t="n"/>
      <c r="M2074" s="11" t="n"/>
      <c r="N2074" s="11" t="n"/>
      <c r="O2074" s="11" t="n"/>
      <c r="P2074" s="12" t="n"/>
      <c r="Q2074" s="11" t="n"/>
      <c r="R2074" s="12" t="n"/>
      <c r="S2074" s="11" t="n"/>
      <c r="T2074" s="12" t="n"/>
      <c r="U2074" s="12" t="n"/>
      <c r="V2074" s="12" t="n"/>
      <c r="W2074" s="13" t="n"/>
      <c r="X2074" s="14">
        <f>IF($AP2074="",IF($B2074="","",$H2074),IF(INDEX(職員マスタ!$B$6:$B$405,$AP2074)="",$H2074,INDEX(職員マスタ!$B$6:$B$405,$AP2074)))</f>
        <v/>
      </c>
      <c r="Y2074" s="14">
        <f>IF($AP2074="",IF($B2074="","",$R2074),IF(INDEX(職員マスタ!$C$6:$C$405,$AP2074)="",$R2074,INDEX(職員マスタ!$C$6:$C$405,$AP2074)))</f>
        <v/>
      </c>
      <c r="Z2074" s="14">
        <f>IF($AQ2074="","","R"&amp;$C2074&amp;"."&amp;$D2074)</f>
        <v/>
      </c>
      <c r="AA2074" s="15">
        <f>IF(IF($AP2074="",FALSE,INDEX(職員マスタ!$K$6:$K$405,$AP2074)&lt;&gt;""),INDEX(職員マスタ!$K$6:$K$405,$AP2074),IF(N($W2074)&gt;0,$W2074,""))</f>
        <v/>
      </c>
      <c r="AB2074" s="14">
        <f>IF(OR($E2074="",$AA2074=""),"",IF($E2074&gt;=$AA2074,"×",IF($E2074&gt;=$AA2074*設定!$C$5,"△","○")))</f>
        <v/>
      </c>
      <c r="AC2074" s="15">
        <f>IF($AB2074="","",IF($AB2074="×",0,IF($AB2074="○",ROUNDDOWN($E2074*設定!$C$4,0),ROUNDDOWN($E2074*ROUND((9*$AA2074-9*$E2074)/(10*$E2074),4),0))))</f>
        <v/>
      </c>
      <c r="AD2074" s="13" t="n"/>
      <c r="AE2074" s="15">
        <f>IF($B2074="","",IF($AD2074&lt;&gt;"",$AD2074,IF($AC2074="","",IF($AC2074&lt;=設定!$C$3,0,$AC2074))))</f>
        <v/>
      </c>
      <c r="AF2074" s="14">
        <f>IF($B2074="","",IF(AND($AG2074&lt;&gt;"",$AI2074="",$AL2074=""),"保留中",IF($AL2074&lt;&gt;"",IF(N($AE2074)&gt;0,"支給済","不支給"),IF($AE2074="","要確認",IF($AE2074=0,"不支給","未処理")))))</f>
        <v/>
      </c>
      <c r="AG2074" s="12" t="n"/>
      <c r="AH2074" s="11" t="n"/>
      <c r="AI2074" s="11" t="n"/>
      <c r="AJ2074" s="11" t="n"/>
      <c r="AK2074" s="14">
        <f>IF(AND($AF2074="保留中",$AH2074&lt;&gt;""),TODAY()-$AH2074,"")</f>
        <v/>
      </c>
      <c r="AL2074" s="12" t="n"/>
      <c r="AM2074" s="14">
        <f>IF($B2074="","",IF($AQ2074="","対象年月が未入力／","")&amp;IF($B2074="","",IF($AP2074="","職員マスタに未登録の職員番号／",IF($AA2074="","標準報酬月額が未登録／","")&amp;IF(AND($AQ2074&lt;&gt;"",OR(AND(INDEX(職員マスタ!$G$6:$G$405,$AP2074)&lt;&gt;"",INDEX(職員マスタ!$G$6:$G$405,$AP2074)&gt;EOMONTH($AQ2074,0)),AND(INDEX(職員マスタ!$H$6:$H$405,$AP2074)&lt;&gt;"",INDEX(職員マスタ!$H$6:$H$405,$AP2074)&lt;$AQ2074))),"対象月が時短期間外／","")&amp;IF(AND(INDEX(職員マスタ!$K$6:$K$405,$AP2074)&lt;&gt;"",N($W2074)&gt;0,INDEX(職員マスタ!$K$6:$K$405,$AP2074)&lt;&gt;$W2074),"標準報酬月額が申請書と相違（台帳"&amp;TEXT(INDEX(職員マスタ!$K$6:$K$405,$AP2074),"#,##0")&amp;"円／申請書"&amp;TEXT($W2074,"#,##0")&amp;"円）／","")&amp;IF(AND(INDEX(職員マスタ!$F$6:$F$405,$AP2074)&lt;&gt;"",$AQ2074&lt;&gt;"",INDEX(職員マスタ!$F$6:$F$405,$AP2074)&lt;$AQ2074),"対象月に子が2歳到達済／","")&amp;IF(AND($H2074&lt;&gt;"",INDEX(職員マスタ!$B$6:$B$405,$AP2074)&lt;&gt;"",SUBSTITUTE(SUBSTITUTE($H2074," ","")," ","")&lt;&gt;SUBSTITUTE(SUBSTITUTE(INDEX(職員マスタ!$B$6:$B$405,$AP2074)," ","")," ","")),"氏名がマスタと相違／","")&amp;IF(AND($Q2074&lt;&gt;"",INDEX(職員マスタ!$E$6:$E$405,$AP2074)&lt;&gt;"",$Q2074&lt;&gt;INDEX(職員マスタ!$E$6:$E$405,$AP2074)),"子の生年月日がマスタと相違／","")&amp;IF(AND($L2074&lt;&gt;"",INDEX(職員マスタ!$G$6:$G$405,$AP2074)&lt;&gt;"",$L2074&lt;&gt;INDEX(職員マスタ!$G$6:$G$405,$AP2074)),"時短開始日がマスタと相違／","")&amp;IF(AND($M2074&lt;&gt;"",INDEX(職員マスタ!$H$6:$H$405,$AP2074)&lt;&gt;"",$M2074&lt;&gt;INDEX(職員マスタ!$H$6:$H$405,$AP2074)),"時短終了日がマスタと相違／","")))&amp;IF(AND($B2074&lt;&gt;"",$E2074=""),"報酬額が未入力／","")&amp;IF(N($U2074)&gt;0,"申請書に入力エラーが残っています／","")&amp;IF(AND($B2074&lt;&gt;"",$AQ2074&lt;&gt;""),IF(COUNTIFS($B$6:$B$3005,$B2074,$C$6:$C$3005,$C2074,$D$6:$D$3005,$D2074)&gt;1,"同じ月の請求が重複しています／",""),"")&amp;IF(AND(N($E2074)&gt;0,$AB2074&lt;&gt;"",$AB2074&lt;&gt;"×",$AE2074=0,$AD2074=""),"計算額が下限以下のため不支給／",""))</f>
        <v/>
      </c>
      <c r="AN2074" s="12" t="n"/>
      <c r="AO2074" s="14">
        <f>IF($AF2074="保留中",COUNTIF($AF$6:$AF2074,"保留中"),"")</f>
        <v/>
      </c>
      <c r="AP2074" s="14">
        <f>IF($AQ2074="","",IF(SUMPRODUCT(MAX((職員マスタ!$A$6:$A$405=$B2074)*(((職員マスタ!$G$6:$G$405="")+(職員マスタ!$G$6:$G$405&lt;=EOMONTH($AQ2074,0)))&gt;0)*(((職員マスタ!$H$6:$H$405="")+(職員マスタ!$H$6:$H$405&gt;=$AQ2074))&gt;0)*(ROW(職員マスタ!$A$6:$A$405)-5)))&gt;0,SUMPRODUCT(MAX((職員マスタ!$A$6:$A$405=$B2074)*(((職員マスタ!$G$6:$G$405="")+(職員マスタ!$G$6:$G$405&lt;=EOMONTH($AQ2074,0)))&gt;0)*(((職員マスタ!$H$6:$H$405="")+(職員マスタ!$H$6:$H$405&gt;=$AQ2074))&gt;0)*(ROW(職員マスタ!$A$6:$A$405)-5))),IFERROR(MATCH($B2074,職員マスタ!$A$6:$A$405,0),"")))</f>
        <v/>
      </c>
      <c r="AQ2074" s="16">
        <f>IF(OR($B2074="",$C2074="",$D2074=""),"",DATE($C2074+2018,$D2074,1))</f>
        <v/>
      </c>
    </row>
    <row r="2075">
      <c r="A2075" s="11" t="n"/>
      <c r="B2075" s="12" t="n"/>
      <c r="C2075" s="12" t="n"/>
      <c r="D2075" s="12" t="n"/>
      <c r="E2075" s="13" t="n"/>
      <c r="F2075" s="12" t="n"/>
      <c r="G2075" s="13" t="n"/>
      <c r="H2075" s="12" t="n"/>
      <c r="I2075" s="12" t="n"/>
      <c r="J2075" s="12" t="n"/>
      <c r="K2075" s="12" t="n"/>
      <c r="L2075" s="11" t="n"/>
      <c r="M2075" s="11" t="n"/>
      <c r="N2075" s="11" t="n"/>
      <c r="O2075" s="11" t="n"/>
      <c r="P2075" s="12" t="n"/>
      <c r="Q2075" s="11" t="n"/>
      <c r="R2075" s="12" t="n"/>
      <c r="S2075" s="11" t="n"/>
      <c r="T2075" s="12" t="n"/>
      <c r="U2075" s="12" t="n"/>
      <c r="V2075" s="12" t="n"/>
      <c r="W2075" s="13" t="n"/>
      <c r="X2075" s="14">
        <f>IF($AP2075="",IF($B2075="","",$H2075),IF(INDEX(職員マスタ!$B$6:$B$405,$AP2075)="",$H2075,INDEX(職員マスタ!$B$6:$B$405,$AP2075)))</f>
        <v/>
      </c>
      <c r="Y2075" s="14">
        <f>IF($AP2075="",IF($B2075="","",$R2075),IF(INDEX(職員マスタ!$C$6:$C$405,$AP2075)="",$R2075,INDEX(職員マスタ!$C$6:$C$405,$AP2075)))</f>
        <v/>
      </c>
      <c r="Z2075" s="14">
        <f>IF($AQ2075="","","R"&amp;$C2075&amp;"."&amp;$D2075)</f>
        <v/>
      </c>
      <c r="AA2075" s="15">
        <f>IF(IF($AP2075="",FALSE,INDEX(職員マスタ!$K$6:$K$405,$AP2075)&lt;&gt;""),INDEX(職員マスタ!$K$6:$K$405,$AP2075),IF(N($W2075)&gt;0,$W2075,""))</f>
        <v/>
      </c>
      <c r="AB2075" s="14">
        <f>IF(OR($E2075="",$AA2075=""),"",IF($E2075&gt;=$AA2075,"×",IF($E2075&gt;=$AA2075*設定!$C$5,"△","○")))</f>
        <v/>
      </c>
      <c r="AC2075" s="15">
        <f>IF($AB2075="","",IF($AB2075="×",0,IF($AB2075="○",ROUNDDOWN($E2075*設定!$C$4,0),ROUNDDOWN($E2075*ROUND((9*$AA2075-9*$E2075)/(10*$E2075),4),0))))</f>
        <v/>
      </c>
      <c r="AD2075" s="13" t="n"/>
      <c r="AE2075" s="15">
        <f>IF($B2075="","",IF($AD2075&lt;&gt;"",$AD2075,IF($AC2075="","",IF($AC2075&lt;=設定!$C$3,0,$AC2075))))</f>
        <v/>
      </c>
      <c r="AF2075" s="14">
        <f>IF($B2075="","",IF(AND($AG2075&lt;&gt;"",$AI2075="",$AL2075=""),"保留中",IF($AL2075&lt;&gt;"",IF(N($AE2075)&gt;0,"支給済","不支給"),IF($AE2075="","要確認",IF($AE2075=0,"不支給","未処理")))))</f>
        <v/>
      </c>
      <c r="AG2075" s="12" t="n"/>
      <c r="AH2075" s="11" t="n"/>
      <c r="AI2075" s="11" t="n"/>
      <c r="AJ2075" s="11" t="n"/>
      <c r="AK2075" s="14">
        <f>IF(AND($AF2075="保留中",$AH2075&lt;&gt;""),TODAY()-$AH2075,"")</f>
        <v/>
      </c>
      <c r="AL2075" s="12" t="n"/>
      <c r="AM2075" s="14">
        <f>IF($B2075="","",IF($AQ2075="","対象年月が未入力／","")&amp;IF($B2075="","",IF($AP2075="","職員マスタに未登録の職員番号／",IF($AA2075="","標準報酬月額が未登録／","")&amp;IF(AND($AQ2075&lt;&gt;"",OR(AND(INDEX(職員マスタ!$G$6:$G$405,$AP2075)&lt;&gt;"",INDEX(職員マスタ!$G$6:$G$405,$AP2075)&gt;EOMONTH($AQ2075,0)),AND(INDEX(職員マスタ!$H$6:$H$405,$AP2075)&lt;&gt;"",INDEX(職員マスタ!$H$6:$H$405,$AP2075)&lt;$AQ2075))),"対象月が時短期間外／","")&amp;IF(AND(INDEX(職員マスタ!$K$6:$K$405,$AP2075)&lt;&gt;"",N($W2075)&gt;0,INDEX(職員マスタ!$K$6:$K$405,$AP2075)&lt;&gt;$W2075),"標準報酬月額が申請書と相違（台帳"&amp;TEXT(INDEX(職員マスタ!$K$6:$K$405,$AP2075),"#,##0")&amp;"円／申請書"&amp;TEXT($W2075,"#,##0")&amp;"円）／","")&amp;IF(AND(INDEX(職員マスタ!$F$6:$F$405,$AP2075)&lt;&gt;"",$AQ2075&lt;&gt;"",INDEX(職員マスタ!$F$6:$F$405,$AP2075)&lt;$AQ2075),"対象月に子が2歳到達済／","")&amp;IF(AND($H2075&lt;&gt;"",INDEX(職員マスタ!$B$6:$B$405,$AP2075)&lt;&gt;"",SUBSTITUTE(SUBSTITUTE($H2075," ","")," ","")&lt;&gt;SUBSTITUTE(SUBSTITUTE(INDEX(職員マスタ!$B$6:$B$405,$AP2075)," ","")," ","")),"氏名がマスタと相違／","")&amp;IF(AND($Q2075&lt;&gt;"",INDEX(職員マスタ!$E$6:$E$405,$AP2075)&lt;&gt;"",$Q2075&lt;&gt;INDEX(職員マスタ!$E$6:$E$405,$AP2075)),"子の生年月日がマスタと相違／","")&amp;IF(AND($L2075&lt;&gt;"",INDEX(職員マスタ!$G$6:$G$405,$AP2075)&lt;&gt;"",$L2075&lt;&gt;INDEX(職員マスタ!$G$6:$G$405,$AP2075)),"時短開始日がマスタと相違／","")&amp;IF(AND($M2075&lt;&gt;"",INDEX(職員マスタ!$H$6:$H$405,$AP2075)&lt;&gt;"",$M2075&lt;&gt;INDEX(職員マスタ!$H$6:$H$405,$AP2075)),"時短終了日がマスタと相違／","")))&amp;IF(AND($B2075&lt;&gt;"",$E2075=""),"報酬額が未入力／","")&amp;IF(N($U2075)&gt;0,"申請書に入力エラーが残っています／","")&amp;IF(AND($B2075&lt;&gt;"",$AQ2075&lt;&gt;""),IF(COUNTIFS($B$6:$B$3005,$B2075,$C$6:$C$3005,$C2075,$D$6:$D$3005,$D2075)&gt;1,"同じ月の請求が重複しています／",""),"")&amp;IF(AND(N($E2075)&gt;0,$AB2075&lt;&gt;"",$AB2075&lt;&gt;"×",$AE2075=0,$AD2075=""),"計算額が下限以下のため不支給／",""))</f>
        <v/>
      </c>
      <c r="AN2075" s="12" t="n"/>
      <c r="AO2075" s="14">
        <f>IF($AF2075="保留中",COUNTIF($AF$6:$AF2075,"保留中"),"")</f>
        <v/>
      </c>
      <c r="AP2075" s="14">
        <f>IF($AQ2075="","",IF(SUMPRODUCT(MAX((職員マスタ!$A$6:$A$405=$B2075)*(((職員マスタ!$G$6:$G$405="")+(職員マスタ!$G$6:$G$405&lt;=EOMONTH($AQ2075,0)))&gt;0)*(((職員マスタ!$H$6:$H$405="")+(職員マスタ!$H$6:$H$405&gt;=$AQ2075))&gt;0)*(ROW(職員マスタ!$A$6:$A$405)-5)))&gt;0,SUMPRODUCT(MAX((職員マスタ!$A$6:$A$405=$B2075)*(((職員マスタ!$G$6:$G$405="")+(職員マスタ!$G$6:$G$405&lt;=EOMONTH($AQ2075,0)))&gt;0)*(((職員マスタ!$H$6:$H$405="")+(職員マスタ!$H$6:$H$405&gt;=$AQ2075))&gt;0)*(ROW(職員マスタ!$A$6:$A$405)-5))),IFERROR(MATCH($B2075,職員マスタ!$A$6:$A$405,0),"")))</f>
        <v/>
      </c>
      <c r="AQ2075" s="16">
        <f>IF(OR($B2075="",$C2075="",$D2075=""),"",DATE($C2075+2018,$D2075,1))</f>
        <v/>
      </c>
    </row>
    <row r="2076">
      <c r="A2076" s="11" t="n"/>
      <c r="B2076" s="12" t="n"/>
      <c r="C2076" s="12" t="n"/>
      <c r="D2076" s="12" t="n"/>
      <c r="E2076" s="13" t="n"/>
      <c r="F2076" s="12" t="n"/>
      <c r="G2076" s="13" t="n"/>
      <c r="H2076" s="12" t="n"/>
      <c r="I2076" s="12" t="n"/>
      <c r="J2076" s="12" t="n"/>
      <c r="K2076" s="12" t="n"/>
      <c r="L2076" s="11" t="n"/>
      <c r="M2076" s="11" t="n"/>
      <c r="N2076" s="11" t="n"/>
      <c r="O2076" s="11" t="n"/>
      <c r="P2076" s="12" t="n"/>
      <c r="Q2076" s="11" t="n"/>
      <c r="R2076" s="12" t="n"/>
      <c r="S2076" s="11" t="n"/>
      <c r="T2076" s="12" t="n"/>
      <c r="U2076" s="12" t="n"/>
      <c r="V2076" s="12" t="n"/>
      <c r="W2076" s="13" t="n"/>
      <c r="X2076" s="14">
        <f>IF($AP2076="",IF($B2076="","",$H2076),IF(INDEX(職員マスタ!$B$6:$B$405,$AP2076)="",$H2076,INDEX(職員マスタ!$B$6:$B$405,$AP2076)))</f>
        <v/>
      </c>
      <c r="Y2076" s="14">
        <f>IF($AP2076="",IF($B2076="","",$R2076),IF(INDEX(職員マスタ!$C$6:$C$405,$AP2076)="",$R2076,INDEX(職員マスタ!$C$6:$C$405,$AP2076)))</f>
        <v/>
      </c>
      <c r="Z2076" s="14">
        <f>IF($AQ2076="","","R"&amp;$C2076&amp;"."&amp;$D2076)</f>
        <v/>
      </c>
      <c r="AA2076" s="15">
        <f>IF(IF($AP2076="",FALSE,INDEX(職員マスタ!$K$6:$K$405,$AP2076)&lt;&gt;""),INDEX(職員マスタ!$K$6:$K$405,$AP2076),IF(N($W2076)&gt;0,$W2076,""))</f>
        <v/>
      </c>
      <c r="AB2076" s="14">
        <f>IF(OR($E2076="",$AA2076=""),"",IF($E2076&gt;=$AA2076,"×",IF($E2076&gt;=$AA2076*設定!$C$5,"△","○")))</f>
        <v/>
      </c>
      <c r="AC2076" s="15">
        <f>IF($AB2076="","",IF($AB2076="×",0,IF($AB2076="○",ROUNDDOWN($E2076*設定!$C$4,0),ROUNDDOWN($E2076*ROUND((9*$AA2076-9*$E2076)/(10*$E2076),4),0))))</f>
        <v/>
      </c>
      <c r="AD2076" s="13" t="n"/>
      <c r="AE2076" s="15">
        <f>IF($B2076="","",IF($AD2076&lt;&gt;"",$AD2076,IF($AC2076="","",IF($AC2076&lt;=設定!$C$3,0,$AC2076))))</f>
        <v/>
      </c>
      <c r="AF2076" s="14">
        <f>IF($B2076="","",IF(AND($AG2076&lt;&gt;"",$AI2076="",$AL2076=""),"保留中",IF($AL2076&lt;&gt;"",IF(N($AE2076)&gt;0,"支給済","不支給"),IF($AE2076="","要確認",IF($AE2076=0,"不支給","未処理")))))</f>
        <v/>
      </c>
      <c r="AG2076" s="12" t="n"/>
      <c r="AH2076" s="11" t="n"/>
      <c r="AI2076" s="11" t="n"/>
      <c r="AJ2076" s="11" t="n"/>
      <c r="AK2076" s="14">
        <f>IF(AND($AF2076="保留中",$AH2076&lt;&gt;""),TODAY()-$AH2076,"")</f>
        <v/>
      </c>
      <c r="AL2076" s="12" t="n"/>
      <c r="AM2076" s="14">
        <f>IF($B2076="","",IF($AQ2076="","対象年月が未入力／","")&amp;IF($B2076="","",IF($AP2076="","職員マスタに未登録の職員番号／",IF($AA2076="","標準報酬月額が未登録／","")&amp;IF(AND($AQ2076&lt;&gt;"",OR(AND(INDEX(職員マスタ!$G$6:$G$405,$AP2076)&lt;&gt;"",INDEX(職員マスタ!$G$6:$G$405,$AP2076)&gt;EOMONTH($AQ2076,0)),AND(INDEX(職員マスタ!$H$6:$H$405,$AP2076)&lt;&gt;"",INDEX(職員マスタ!$H$6:$H$405,$AP2076)&lt;$AQ2076))),"対象月が時短期間外／","")&amp;IF(AND(INDEX(職員マスタ!$K$6:$K$405,$AP2076)&lt;&gt;"",N($W2076)&gt;0,INDEX(職員マスタ!$K$6:$K$405,$AP2076)&lt;&gt;$W2076),"標準報酬月額が申請書と相違（台帳"&amp;TEXT(INDEX(職員マスタ!$K$6:$K$405,$AP2076),"#,##0")&amp;"円／申請書"&amp;TEXT($W2076,"#,##0")&amp;"円）／","")&amp;IF(AND(INDEX(職員マスタ!$F$6:$F$405,$AP2076)&lt;&gt;"",$AQ2076&lt;&gt;"",INDEX(職員マスタ!$F$6:$F$405,$AP2076)&lt;$AQ2076),"対象月に子が2歳到達済／","")&amp;IF(AND($H2076&lt;&gt;"",INDEX(職員マスタ!$B$6:$B$405,$AP2076)&lt;&gt;"",SUBSTITUTE(SUBSTITUTE($H2076," ","")," ","")&lt;&gt;SUBSTITUTE(SUBSTITUTE(INDEX(職員マスタ!$B$6:$B$405,$AP2076)," ","")," ","")),"氏名がマスタと相違／","")&amp;IF(AND($Q2076&lt;&gt;"",INDEX(職員マスタ!$E$6:$E$405,$AP2076)&lt;&gt;"",$Q2076&lt;&gt;INDEX(職員マスタ!$E$6:$E$405,$AP2076)),"子の生年月日がマスタと相違／","")&amp;IF(AND($L2076&lt;&gt;"",INDEX(職員マスタ!$G$6:$G$405,$AP2076)&lt;&gt;"",$L2076&lt;&gt;INDEX(職員マスタ!$G$6:$G$405,$AP2076)),"時短開始日がマスタと相違／","")&amp;IF(AND($M2076&lt;&gt;"",INDEX(職員マスタ!$H$6:$H$405,$AP2076)&lt;&gt;"",$M2076&lt;&gt;INDEX(職員マスタ!$H$6:$H$405,$AP2076)),"時短終了日がマスタと相違／","")))&amp;IF(AND($B2076&lt;&gt;"",$E2076=""),"報酬額が未入力／","")&amp;IF(N($U2076)&gt;0,"申請書に入力エラーが残っています／","")&amp;IF(AND($B2076&lt;&gt;"",$AQ2076&lt;&gt;""),IF(COUNTIFS($B$6:$B$3005,$B2076,$C$6:$C$3005,$C2076,$D$6:$D$3005,$D2076)&gt;1,"同じ月の請求が重複しています／",""),"")&amp;IF(AND(N($E2076)&gt;0,$AB2076&lt;&gt;"",$AB2076&lt;&gt;"×",$AE2076=0,$AD2076=""),"計算額が下限以下のため不支給／",""))</f>
        <v/>
      </c>
      <c r="AN2076" s="12" t="n"/>
      <c r="AO2076" s="14">
        <f>IF($AF2076="保留中",COUNTIF($AF$6:$AF2076,"保留中"),"")</f>
        <v/>
      </c>
      <c r="AP2076" s="14">
        <f>IF($AQ2076="","",IF(SUMPRODUCT(MAX((職員マスタ!$A$6:$A$405=$B2076)*(((職員マスタ!$G$6:$G$405="")+(職員マスタ!$G$6:$G$405&lt;=EOMONTH($AQ2076,0)))&gt;0)*(((職員マスタ!$H$6:$H$405="")+(職員マスタ!$H$6:$H$405&gt;=$AQ2076))&gt;0)*(ROW(職員マスタ!$A$6:$A$405)-5)))&gt;0,SUMPRODUCT(MAX((職員マスタ!$A$6:$A$405=$B2076)*(((職員マスタ!$G$6:$G$405="")+(職員マスタ!$G$6:$G$405&lt;=EOMONTH($AQ2076,0)))&gt;0)*(((職員マスタ!$H$6:$H$405="")+(職員マスタ!$H$6:$H$405&gt;=$AQ2076))&gt;0)*(ROW(職員マスタ!$A$6:$A$405)-5))),IFERROR(MATCH($B2076,職員マスタ!$A$6:$A$405,0),"")))</f>
        <v/>
      </c>
      <c r="AQ2076" s="16">
        <f>IF(OR($B2076="",$C2076="",$D2076=""),"",DATE($C2076+2018,$D2076,1))</f>
        <v/>
      </c>
    </row>
    <row r="2077">
      <c r="A2077" s="11" t="n"/>
      <c r="B2077" s="12" t="n"/>
      <c r="C2077" s="12" t="n"/>
      <c r="D2077" s="12" t="n"/>
      <c r="E2077" s="13" t="n"/>
      <c r="F2077" s="12" t="n"/>
      <c r="G2077" s="13" t="n"/>
      <c r="H2077" s="12" t="n"/>
      <c r="I2077" s="12" t="n"/>
      <c r="J2077" s="12" t="n"/>
      <c r="K2077" s="12" t="n"/>
      <c r="L2077" s="11" t="n"/>
      <c r="M2077" s="11" t="n"/>
      <c r="N2077" s="11" t="n"/>
      <c r="O2077" s="11" t="n"/>
      <c r="P2077" s="12" t="n"/>
      <c r="Q2077" s="11" t="n"/>
      <c r="R2077" s="12" t="n"/>
      <c r="S2077" s="11" t="n"/>
      <c r="T2077" s="12" t="n"/>
      <c r="U2077" s="12" t="n"/>
      <c r="V2077" s="12" t="n"/>
      <c r="W2077" s="13" t="n"/>
      <c r="X2077" s="14">
        <f>IF($AP2077="",IF($B2077="","",$H2077),IF(INDEX(職員マスタ!$B$6:$B$405,$AP2077)="",$H2077,INDEX(職員マスタ!$B$6:$B$405,$AP2077)))</f>
        <v/>
      </c>
      <c r="Y2077" s="14">
        <f>IF($AP2077="",IF($B2077="","",$R2077),IF(INDEX(職員マスタ!$C$6:$C$405,$AP2077)="",$R2077,INDEX(職員マスタ!$C$6:$C$405,$AP2077)))</f>
        <v/>
      </c>
      <c r="Z2077" s="14">
        <f>IF($AQ2077="","","R"&amp;$C2077&amp;"."&amp;$D2077)</f>
        <v/>
      </c>
      <c r="AA2077" s="15">
        <f>IF(IF($AP2077="",FALSE,INDEX(職員マスタ!$K$6:$K$405,$AP2077)&lt;&gt;""),INDEX(職員マスタ!$K$6:$K$405,$AP2077),IF(N($W2077)&gt;0,$W2077,""))</f>
        <v/>
      </c>
      <c r="AB2077" s="14">
        <f>IF(OR($E2077="",$AA2077=""),"",IF($E2077&gt;=$AA2077,"×",IF($E2077&gt;=$AA2077*設定!$C$5,"△","○")))</f>
        <v/>
      </c>
      <c r="AC2077" s="15">
        <f>IF($AB2077="","",IF($AB2077="×",0,IF($AB2077="○",ROUNDDOWN($E2077*設定!$C$4,0),ROUNDDOWN($E2077*ROUND((9*$AA2077-9*$E2077)/(10*$E2077),4),0))))</f>
        <v/>
      </c>
      <c r="AD2077" s="13" t="n"/>
      <c r="AE2077" s="15">
        <f>IF($B2077="","",IF($AD2077&lt;&gt;"",$AD2077,IF($AC2077="","",IF($AC2077&lt;=設定!$C$3,0,$AC2077))))</f>
        <v/>
      </c>
      <c r="AF2077" s="14">
        <f>IF($B2077="","",IF(AND($AG2077&lt;&gt;"",$AI2077="",$AL2077=""),"保留中",IF($AL2077&lt;&gt;"",IF(N($AE2077)&gt;0,"支給済","不支給"),IF($AE2077="","要確認",IF($AE2077=0,"不支給","未処理")))))</f>
        <v/>
      </c>
      <c r="AG2077" s="12" t="n"/>
      <c r="AH2077" s="11" t="n"/>
      <c r="AI2077" s="11" t="n"/>
      <c r="AJ2077" s="11" t="n"/>
      <c r="AK2077" s="14">
        <f>IF(AND($AF2077="保留中",$AH2077&lt;&gt;""),TODAY()-$AH2077,"")</f>
        <v/>
      </c>
      <c r="AL2077" s="12" t="n"/>
      <c r="AM2077" s="14">
        <f>IF($B2077="","",IF($AQ2077="","対象年月が未入力／","")&amp;IF($B2077="","",IF($AP2077="","職員マスタに未登録の職員番号／",IF($AA2077="","標準報酬月額が未登録／","")&amp;IF(AND($AQ2077&lt;&gt;"",OR(AND(INDEX(職員マスタ!$G$6:$G$405,$AP2077)&lt;&gt;"",INDEX(職員マスタ!$G$6:$G$405,$AP2077)&gt;EOMONTH($AQ2077,0)),AND(INDEX(職員マスタ!$H$6:$H$405,$AP2077)&lt;&gt;"",INDEX(職員マスタ!$H$6:$H$405,$AP2077)&lt;$AQ2077))),"対象月が時短期間外／","")&amp;IF(AND(INDEX(職員マスタ!$K$6:$K$405,$AP2077)&lt;&gt;"",N($W2077)&gt;0,INDEX(職員マスタ!$K$6:$K$405,$AP2077)&lt;&gt;$W2077),"標準報酬月額が申請書と相違（台帳"&amp;TEXT(INDEX(職員マスタ!$K$6:$K$405,$AP2077),"#,##0")&amp;"円／申請書"&amp;TEXT($W2077,"#,##0")&amp;"円）／","")&amp;IF(AND(INDEX(職員マスタ!$F$6:$F$405,$AP2077)&lt;&gt;"",$AQ2077&lt;&gt;"",INDEX(職員マスタ!$F$6:$F$405,$AP2077)&lt;$AQ2077),"対象月に子が2歳到達済／","")&amp;IF(AND($H2077&lt;&gt;"",INDEX(職員マスタ!$B$6:$B$405,$AP2077)&lt;&gt;"",SUBSTITUTE(SUBSTITUTE($H2077," ","")," ","")&lt;&gt;SUBSTITUTE(SUBSTITUTE(INDEX(職員マスタ!$B$6:$B$405,$AP2077)," ","")," ","")),"氏名がマスタと相違／","")&amp;IF(AND($Q2077&lt;&gt;"",INDEX(職員マスタ!$E$6:$E$405,$AP2077)&lt;&gt;"",$Q2077&lt;&gt;INDEX(職員マスタ!$E$6:$E$405,$AP2077)),"子の生年月日がマスタと相違／","")&amp;IF(AND($L2077&lt;&gt;"",INDEX(職員マスタ!$G$6:$G$405,$AP2077)&lt;&gt;"",$L2077&lt;&gt;INDEX(職員マスタ!$G$6:$G$405,$AP2077)),"時短開始日がマスタと相違／","")&amp;IF(AND($M2077&lt;&gt;"",INDEX(職員マスタ!$H$6:$H$405,$AP2077)&lt;&gt;"",$M2077&lt;&gt;INDEX(職員マスタ!$H$6:$H$405,$AP2077)),"時短終了日がマスタと相違／","")))&amp;IF(AND($B2077&lt;&gt;"",$E2077=""),"報酬額が未入力／","")&amp;IF(N($U2077)&gt;0,"申請書に入力エラーが残っています／","")&amp;IF(AND($B2077&lt;&gt;"",$AQ2077&lt;&gt;""),IF(COUNTIFS($B$6:$B$3005,$B2077,$C$6:$C$3005,$C2077,$D$6:$D$3005,$D2077)&gt;1,"同じ月の請求が重複しています／",""),"")&amp;IF(AND(N($E2077)&gt;0,$AB2077&lt;&gt;"",$AB2077&lt;&gt;"×",$AE2077=0,$AD2077=""),"計算額が下限以下のため不支給／",""))</f>
        <v/>
      </c>
      <c r="AN2077" s="12" t="n"/>
      <c r="AO2077" s="14">
        <f>IF($AF2077="保留中",COUNTIF($AF$6:$AF2077,"保留中"),"")</f>
        <v/>
      </c>
      <c r="AP2077" s="14">
        <f>IF($AQ2077="","",IF(SUMPRODUCT(MAX((職員マスタ!$A$6:$A$405=$B2077)*(((職員マスタ!$G$6:$G$405="")+(職員マスタ!$G$6:$G$405&lt;=EOMONTH($AQ2077,0)))&gt;0)*(((職員マスタ!$H$6:$H$405="")+(職員マスタ!$H$6:$H$405&gt;=$AQ2077))&gt;0)*(ROW(職員マスタ!$A$6:$A$405)-5)))&gt;0,SUMPRODUCT(MAX((職員マスタ!$A$6:$A$405=$B2077)*(((職員マスタ!$G$6:$G$405="")+(職員マスタ!$G$6:$G$405&lt;=EOMONTH($AQ2077,0)))&gt;0)*(((職員マスタ!$H$6:$H$405="")+(職員マスタ!$H$6:$H$405&gt;=$AQ2077))&gt;0)*(ROW(職員マスタ!$A$6:$A$405)-5))),IFERROR(MATCH($B2077,職員マスタ!$A$6:$A$405,0),"")))</f>
        <v/>
      </c>
      <c r="AQ2077" s="16">
        <f>IF(OR($B2077="",$C2077="",$D2077=""),"",DATE($C2077+2018,$D2077,1))</f>
        <v/>
      </c>
    </row>
    <row r="2078">
      <c r="A2078" s="11" t="n"/>
      <c r="B2078" s="12" t="n"/>
      <c r="C2078" s="12" t="n"/>
      <c r="D2078" s="12" t="n"/>
      <c r="E2078" s="13" t="n"/>
      <c r="F2078" s="12" t="n"/>
      <c r="G2078" s="13" t="n"/>
      <c r="H2078" s="12" t="n"/>
      <c r="I2078" s="12" t="n"/>
      <c r="J2078" s="12" t="n"/>
      <c r="K2078" s="12" t="n"/>
      <c r="L2078" s="11" t="n"/>
      <c r="M2078" s="11" t="n"/>
      <c r="N2078" s="11" t="n"/>
      <c r="O2078" s="11" t="n"/>
      <c r="P2078" s="12" t="n"/>
      <c r="Q2078" s="11" t="n"/>
      <c r="R2078" s="12" t="n"/>
      <c r="S2078" s="11" t="n"/>
      <c r="T2078" s="12" t="n"/>
      <c r="U2078" s="12" t="n"/>
      <c r="V2078" s="12" t="n"/>
      <c r="W2078" s="13" t="n"/>
      <c r="X2078" s="14">
        <f>IF($AP2078="",IF($B2078="","",$H2078),IF(INDEX(職員マスタ!$B$6:$B$405,$AP2078)="",$H2078,INDEX(職員マスタ!$B$6:$B$405,$AP2078)))</f>
        <v/>
      </c>
      <c r="Y2078" s="14">
        <f>IF($AP2078="",IF($B2078="","",$R2078),IF(INDEX(職員マスタ!$C$6:$C$405,$AP2078)="",$R2078,INDEX(職員マスタ!$C$6:$C$405,$AP2078)))</f>
        <v/>
      </c>
      <c r="Z2078" s="14">
        <f>IF($AQ2078="","","R"&amp;$C2078&amp;"."&amp;$D2078)</f>
        <v/>
      </c>
      <c r="AA2078" s="15">
        <f>IF(IF($AP2078="",FALSE,INDEX(職員マスタ!$K$6:$K$405,$AP2078)&lt;&gt;""),INDEX(職員マスタ!$K$6:$K$405,$AP2078),IF(N($W2078)&gt;0,$W2078,""))</f>
        <v/>
      </c>
      <c r="AB2078" s="14">
        <f>IF(OR($E2078="",$AA2078=""),"",IF($E2078&gt;=$AA2078,"×",IF($E2078&gt;=$AA2078*設定!$C$5,"△","○")))</f>
        <v/>
      </c>
      <c r="AC2078" s="15">
        <f>IF($AB2078="","",IF($AB2078="×",0,IF($AB2078="○",ROUNDDOWN($E2078*設定!$C$4,0),ROUNDDOWN($E2078*ROUND((9*$AA2078-9*$E2078)/(10*$E2078),4),0))))</f>
        <v/>
      </c>
      <c r="AD2078" s="13" t="n"/>
      <c r="AE2078" s="15">
        <f>IF($B2078="","",IF($AD2078&lt;&gt;"",$AD2078,IF($AC2078="","",IF($AC2078&lt;=設定!$C$3,0,$AC2078))))</f>
        <v/>
      </c>
      <c r="AF2078" s="14">
        <f>IF($B2078="","",IF(AND($AG2078&lt;&gt;"",$AI2078="",$AL2078=""),"保留中",IF($AL2078&lt;&gt;"",IF(N($AE2078)&gt;0,"支給済","不支給"),IF($AE2078="","要確認",IF($AE2078=0,"不支給","未処理")))))</f>
        <v/>
      </c>
      <c r="AG2078" s="12" t="n"/>
      <c r="AH2078" s="11" t="n"/>
      <c r="AI2078" s="11" t="n"/>
      <c r="AJ2078" s="11" t="n"/>
      <c r="AK2078" s="14">
        <f>IF(AND($AF2078="保留中",$AH2078&lt;&gt;""),TODAY()-$AH2078,"")</f>
        <v/>
      </c>
      <c r="AL2078" s="12" t="n"/>
      <c r="AM2078" s="14">
        <f>IF($B2078="","",IF($AQ2078="","対象年月が未入力／","")&amp;IF($B2078="","",IF($AP2078="","職員マスタに未登録の職員番号／",IF($AA2078="","標準報酬月額が未登録／","")&amp;IF(AND($AQ2078&lt;&gt;"",OR(AND(INDEX(職員マスタ!$G$6:$G$405,$AP2078)&lt;&gt;"",INDEX(職員マスタ!$G$6:$G$405,$AP2078)&gt;EOMONTH($AQ2078,0)),AND(INDEX(職員マスタ!$H$6:$H$405,$AP2078)&lt;&gt;"",INDEX(職員マスタ!$H$6:$H$405,$AP2078)&lt;$AQ2078))),"対象月が時短期間外／","")&amp;IF(AND(INDEX(職員マスタ!$K$6:$K$405,$AP2078)&lt;&gt;"",N($W2078)&gt;0,INDEX(職員マスタ!$K$6:$K$405,$AP2078)&lt;&gt;$W2078),"標準報酬月額が申請書と相違（台帳"&amp;TEXT(INDEX(職員マスタ!$K$6:$K$405,$AP2078),"#,##0")&amp;"円／申請書"&amp;TEXT($W2078,"#,##0")&amp;"円）／","")&amp;IF(AND(INDEX(職員マスタ!$F$6:$F$405,$AP2078)&lt;&gt;"",$AQ2078&lt;&gt;"",INDEX(職員マスタ!$F$6:$F$405,$AP2078)&lt;$AQ2078),"対象月に子が2歳到達済／","")&amp;IF(AND($H2078&lt;&gt;"",INDEX(職員マスタ!$B$6:$B$405,$AP2078)&lt;&gt;"",SUBSTITUTE(SUBSTITUTE($H2078," ","")," ","")&lt;&gt;SUBSTITUTE(SUBSTITUTE(INDEX(職員マスタ!$B$6:$B$405,$AP2078)," ","")," ","")),"氏名がマスタと相違／","")&amp;IF(AND($Q2078&lt;&gt;"",INDEX(職員マスタ!$E$6:$E$405,$AP2078)&lt;&gt;"",$Q2078&lt;&gt;INDEX(職員マスタ!$E$6:$E$405,$AP2078)),"子の生年月日がマスタと相違／","")&amp;IF(AND($L2078&lt;&gt;"",INDEX(職員マスタ!$G$6:$G$405,$AP2078)&lt;&gt;"",$L2078&lt;&gt;INDEX(職員マスタ!$G$6:$G$405,$AP2078)),"時短開始日がマスタと相違／","")&amp;IF(AND($M2078&lt;&gt;"",INDEX(職員マスタ!$H$6:$H$405,$AP2078)&lt;&gt;"",$M2078&lt;&gt;INDEX(職員マスタ!$H$6:$H$405,$AP2078)),"時短終了日がマスタと相違／","")))&amp;IF(AND($B2078&lt;&gt;"",$E2078=""),"報酬額が未入力／","")&amp;IF(N($U2078)&gt;0,"申請書に入力エラーが残っています／","")&amp;IF(AND($B2078&lt;&gt;"",$AQ2078&lt;&gt;""),IF(COUNTIFS($B$6:$B$3005,$B2078,$C$6:$C$3005,$C2078,$D$6:$D$3005,$D2078)&gt;1,"同じ月の請求が重複しています／",""),"")&amp;IF(AND(N($E2078)&gt;0,$AB2078&lt;&gt;"",$AB2078&lt;&gt;"×",$AE2078=0,$AD2078=""),"計算額が下限以下のため不支給／",""))</f>
        <v/>
      </c>
      <c r="AN2078" s="12" t="n"/>
      <c r="AO2078" s="14">
        <f>IF($AF2078="保留中",COUNTIF($AF$6:$AF2078,"保留中"),"")</f>
        <v/>
      </c>
      <c r="AP2078" s="14">
        <f>IF($AQ2078="","",IF(SUMPRODUCT(MAX((職員マスタ!$A$6:$A$405=$B2078)*(((職員マスタ!$G$6:$G$405="")+(職員マスタ!$G$6:$G$405&lt;=EOMONTH($AQ2078,0)))&gt;0)*(((職員マスタ!$H$6:$H$405="")+(職員マスタ!$H$6:$H$405&gt;=$AQ2078))&gt;0)*(ROW(職員マスタ!$A$6:$A$405)-5)))&gt;0,SUMPRODUCT(MAX((職員マスタ!$A$6:$A$405=$B2078)*(((職員マスタ!$G$6:$G$405="")+(職員マスタ!$G$6:$G$405&lt;=EOMONTH($AQ2078,0)))&gt;0)*(((職員マスタ!$H$6:$H$405="")+(職員マスタ!$H$6:$H$405&gt;=$AQ2078))&gt;0)*(ROW(職員マスタ!$A$6:$A$405)-5))),IFERROR(MATCH($B2078,職員マスタ!$A$6:$A$405,0),"")))</f>
        <v/>
      </c>
      <c r="AQ2078" s="16">
        <f>IF(OR($B2078="",$C2078="",$D2078=""),"",DATE($C2078+2018,$D2078,1))</f>
        <v/>
      </c>
    </row>
    <row r="2079">
      <c r="A2079" s="11" t="n"/>
      <c r="B2079" s="12" t="n"/>
      <c r="C2079" s="12" t="n"/>
      <c r="D2079" s="12" t="n"/>
      <c r="E2079" s="13" t="n"/>
      <c r="F2079" s="12" t="n"/>
      <c r="G2079" s="13" t="n"/>
      <c r="H2079" s="12" t="n"/>
      <c r="I2079" s="12" t="n"/>
      <c r="J2079" s="12" t="n"/>
      <c r="K2079" s="12" t="n"/>
      <c r="L2079" s="11" t="n"/>
      <c r="M2079" s="11" t="n"/>
      <c r="N2079" s="11" t="n"/>
      <c r="O2079" s="11" t="n"/>
      <c r="P2079" s="12" t="n"/>
      <c r="Q2079" s="11" t="n"/>
      <c r="R2079" s="12" t="n"/>
      <c r="S2079" s="11" t="n"/>
      <c r="T2079" s="12" t="n"/>
      <c r="U2079" s="12" t="n"/>
      <c r="V2079" s="12" t="n"/>
      <c r="W2079" s="13" t="n"/>
      <c r="X2079" s="14">
        <f>IF($AP2079="",IF($B2079="","",$H2079),IF(INDEX(職員マスタ!$B$6:$B$405,$AP2079)="",$H2079,INDEX(職員マスタ!$B$6:$B$405,$AP2079)))</f>
        <v/>
      </c>
      <c r="Y2079" s="14">
        <f>IF($AP2079="",IF($B2079="","",$R2079),IF(INDEX(職員マスタ!$C$6:$C$405,$AP2079)="",$R2079,INDEX(職員マスタ!$C$6:$C$405,$AP2079)))</f>
        <v/>
      </c>
      <c r="Z2079" s="14">
        <f>IF($AQ2079="","","R"&amp;$C2079&amp;"."&amp;$D2079)</f>
        <v/>
      </c>
      <c r="AA2079" s="15">
        <f>IF(IF($AP2079="",FALSE,INDEX(職員マスタ!$K$6:$K$405,$AP2079)&lt;&gt;""),INDEX(職員マスタ!$K$6:$K$405,$AP2079),IF(N($W2079)&gt;0,$W2079,""))</f>
        <v/>
      </c>
      <c r="AB2079" s="14">
        <f>IF(OR($E2079="",$AA2079=""),"",IF($E2079&gt;=$AA2079,"×",IF($E2079&gt;=$AA2079*設定!$C$5,"△","○")))</f>
        <v/>
      </c>
      <c r="AC2079" s="15">
        <f>IF($AB2079="","",IF($AB2079="×",0,IF($AB2079="○",ROUNDDOWN($E2079*設定!$C$4,0),ROUNDDOWN($E2079*ROUND((9*$AA2079-9*$E2079)/(10*$E2079),4),0))))</f>
        <v/>
      </c>
      <c r="AD2079" s="13" t="n"/>
      <c r="AE2079" s="15">
        <f>IF($B2079="","",IF($AD2079&lt;&gt;"",$AD2079,IF($AC2079="","",IF($AC2079&lt;=設定!$C$3,0,$AC2079))))</f>
        <v/>
      </c>
      <c r="AF2079" s="14">
        <f>IF($B2079="","",IF(AND($AG2079&lt;&gt;"",$AI2079="",$AL2079=""),"保留中",IF($AL2079&lt;&gt;"",IF(N($AE2079)&gt;0,"支給済","不支給"),IF($AE2079="","要確認",IF($AE2079=0,"不支給","未処理")))))</f>
        <v/>
      </c>
      <c r="AG2079" s="12" t="n"/>
      <c r="AH2079" s="11" t="n"/>
      <c r="AI2079" s="11" t="n"/>
      <c r="AJ2079" s="11" t="n"/>
      <c r="AK2079" s="14">
        <f>IF(AND($AF2079="保留中",$AH2079&lt;&gt;""),TODAY()-$AH2079,"")</f>
        <v/>
      </c>
      <c r="AL2079" s="12" t="n"/>
      <c r="AM2079" s="14">
        <f>IF($B2079="","",IF($AQ2079="","対象年月が未入力／","")&amp;IF($B2079="","",IF($AP2079="","職員マスタに未登録の職員番号／",IF($AA2079="","標準報酬月額が未登録／","")&amp;IF(AND($AQ2079&lt;&gt;"",OR(AND(INDEX(職員マスタ!$G$6:$G$405,$AP2079)&lt;&gt;"",INDEX(職員マスタ!$G$6:$G$405,$AP2079)&gt;EOMONTH($AQ2079,0)),AND(INDEX(職員マスタ!$H$6:$H$405,$AP2079)&lt;&gt;"",INDEX(職員マスタ!$H$6:$H$405,$AP2079)&lt;$AQ2079))),"対象月が時短期間外／","")&amp;IF(AND(INDEX(職員マスタ!$K$6:$K$405,$AP2079)&lt;&gt;"",N($W2079)&gt;0,INDEX(職員マスタ!$K$6:$K$405,$AP2079)&lt;&gt;$W2079),"標準報酬月額が申請書と相違（台帳"&amp;TEXT(INDEX(職員マスタ!$K$6:$K$405,$AP2079),"#,##0")&amp;"円／申請書"&amp;TEXT($W2079,"#,##0")&amp;"円）／","")&amp;IF(AND(INDEX(職員マスタ!$F$6:$F$405,$AP2079)&lt;&gt;"",$AQ2079&lt;&gt;"",INDEX(職員マスタ!$F$6:$F$405,$AP2079)&lt;$AQ2079),"対象月に子が2歳到達済／","")&amp;IF(AND($H2079&lt;&gt;"",INDEX(職員マスタ!$B$6:$B$405,$AP2079)&lt;&gt;"",SUBSTITUTE(SUBSTITUTE($H2079," ","")," ","")&lt;&gt;SUBSTITUTE(SUBSTITUTE(INDEX(職員マスタ!$B$6:$B$405,$AP2079)," ","")," ","")),"氏名がマスタと相違／","")&amp;IF(AND($Q2079&lt;&gt;"",INDEX(職員マスタ!$E$6:$E$405,$AP2079)&lt;&gt;"",$Q2079&lt;&gt;INDEX(職員マスタ!$E$6:$E$405,$AP2079)),"子の生年月日がマスタと相違／","")&amp;IF(AND($L2079&lt;&gt;"",INDEX(職員マスタ!$G$6:$G$405,$AP2079)&lt;&gt;"",$L2079&lt;&gt;INDEX(職員マスタ!$G$6:$G$405,$AP2079)),"時短開始日がマスタと相違／","")&amp;IF(AND($M2079&lt;&gt;"",INDEX(職員マスタ!$H$6:$H$405,$AP2079)&lt;&gt;"",$M2079&lt;&gt;INDEX(職員マスタ!$H$6:$H$405,$AP2079)),"時短終了日がマスタと相違／","")))&amp;IF(AND($B2079&lt;&gt;"",$E2079=""),"報酬額が未入力／","")&amp;IF(N($U2079)&gt;0,"申請書に入力エラーが残っています／","")&amp;IF(AND($B2079&lt;&gt;"",$AQ2079&lt;&gt;""),IF(COUNTIFS($B$6:$B$3005,$B2079,$C$6:$C$3005,$C2079,$D$6:$D$3005,$D2079)&gt;1,"同じ月の請求が重複しています／",""),"")&amp;IF(AND(N($E2079)&gt;0,$AB2079&lt;&gt;"",$AB2079&lt;&gt;"×",$AE2079=0,$AD2079=""),"計算額が下限以下のため不支給／",""))</f>
        <v/>
      </c>
      <c r="AN2079" s="12" t="n"/>
      <c r="AO2079" s="14">
        <f>IF($AF2079="保留中",COUNTIF($AF$6:$AF2079,"保留中"),"")</f>
        <v/>
      </c>
      <c r="AP2079" s="14">
        <f>IF($AQ2079="","",IF(SUMPRODUCT(MAX((職員マスタ!$A$6:$A$405=$B2079)*(((職員マスタ!$G$6:$G$405="")+(職員マスタ!$G$6:$G$405&lt;=EOMONTH($AQ2079,0)))&gt;0)*(((職員マスタ!$H$6:$H$405="")+(職員マスタ!$H$6:$H$405&gt;=$AQ2079))&gt;0)*(ROW(職員マスタ!$A$6:$A$405)-5)))&gt;0,SUMPRODUCT(MAX((職員マスタ!$A$6:$A$405=$B2079)*(((職員マスタ!$G$6:$G$405="")+(職員マスタ!$G$6:$G$405&lt;=EOMONTH($AQ2079,0)))&gt;0)*(((職員マスタ!$H$6:$H$405="")+(職員マスタ!$H$6:$H$405&gt;=$AQ2079))&gt;0)*(ROW(職員マスタ!$A$6:$A$405)-5))),IFERROR(MATCH($B2079,職員マスタ!$A$6:$A$405,0),"")))</f>
        <v/>
      </c>
      <c r="AQ2079" s="16">
        <f>IF(OR($B2079="",$C2079="",$D2079=""),"",DATE($C2079+2018,$D2079,1))</f>
        <v/>
      </c>
    </row>
    <row r="2080">
      <c r="A2080" s="11" t="n"/>
      <c r="B2080" s="12" t="n"/>
      <c r="C2080" s="12" t="n"/>
      <c r="D2080" s="12" t="n"/>
      <c r="E2080" s="13" t="n"/>
      <c r="F2080" s="12" t="n"/>
      <c r="G2080" s="13" t="n"/>
      <c r="H2080" s="12" t="n"/>
      <c r="I2080" s="12" t="n"/>
      <c r="J2080" s="12" t="n"/>
      <c r="K2080" s="12" t="n"/>
      <c r="L2080" s="11" t="n"/>
      <c r="M2080" s="11" t="n"/>
      <c r="N2080" s="11" t="n"/>
      <c r="O2080" s="11" t="n"/>
      <c r="P2080" s="12" t="n"/>
      <c r="Q2080" s="11" t="n"/>
      <c r="R2080" s="12" t="n"/>
      <c r="S2080" s="11" t="n"/>
      <c r="T2080" s="12" t="n"/>
      <c r="U2080" s="12" t="n"/>
      <c r="V2080" s="12" t="n"/>
      <c r="W2080" s="13" t="n"/>
      <c r="X2080" s="14">
        <f>IF($AP2080="",IF($B2080="","",$H2080),IF(INDEX(職員マスタ!$B$6:$B$405,$AP2080)="",$H2080,INDEX(職員マスタ!$B$6:$B$405,$AP2080)))</f>
        <v/>
      </c>
      <c r="Y2080" s="14">
        <f>IF($AP2080="",IF($B2080="","",$R2080),IF(INDEX(職員マスタ!$C$6:$C$405,$AP2080)="",$R2080,INDEX(職員マスタ!$C$6:$C$405,$AP2080)))</f>
        <v/>
      </c>
      <c r="Z2080" s="14">
        <f>IF($AQ2080="","","R"&amp;$C2080&amp;"."&amp;$D2080)</f>
        <v/>
      </c>
      <c r="AA2080" s="15">
        <f>IF(IF($AP2080="",FALSE,INDEX(職員マスタ!$K$6:$K$405,$AP2080)&lt;&gt;""),INDEX(職員マスタ!$K$6:$K$405,$AP2080),IF(N($W2080)&gt;0,$W2080,""))</f>
        <v/>
      </c>
      <c r="AB2080" s="14">
        <f>IF(OR($E2080="",$AA2080=""),"",IF($E2080&gt;=$AA2080,"×",IF($E2080&gt;=$AA2080*設定!$C$5,"△","○")))</f>
        <v/>
      </c>
      <c r="AC2080" s="15">
        <f>IF($AB2080="","",IF($AB2080="×",0,IF($AB2080="○",ROUNDDOWN($E2080*設定!$C$4,0),ROUNDDOWN($E2080*ROUND((9*$AA2080-9*$E2080)/(10*$E2080),4),0))))</f>
        <v/>
      </c>
      <c r="AD2080" s="13" t="n"/>
      <c r="AE2080" s="15">
        <f>IF($B2080="","",IF($AD2080&lt;&gt;"",$AD2080,IF($AC2080="","",IF($AC2080&lt;=設定!$C$3,0,$AC2080))))</f>
        <v/>
      </c>
      <c r="AF2080" s="14">
        <f>IF($B2080="","",IF(AND($AG2080&lt;&gt;"",$AI2080="",$AL2080=""),"保留中",IF($AL2080&lt;&gt;"",IF(N($AE2080)&gt;0,"支給済","不支給"),IF($AE2080="","要確認",IF($AE2080=0,"不支給","未処理")))))</f>
        <v/>
      </c>
      <c r="AG2080" s="12" t="n"/>
      <c r="AH2080" s="11" t="n"/>
      <c r="AI2080" s="11" t="n"/>
      <c r="AJ2080" s="11" t="n"/>
      <c r="AK2080" s="14">
        <f>IF(AND($AF2080="保留中",$AH2080&lt;&gt;""),TODAY()-$AH2080,"")</f>
        <v/>
      </c>
      <c r="AL2080" s="12" t="n"/>
      <c r="AM2080" s="14">
        <f>IF($B2080="","",IF($AQ2080="","対象年月が未入力／","")&amp;IF($B2080="","",IF($AP2080="","職員マスタに未登録の職員番号／",IF($AA2080="","標準報酬月額が未登録／","")&amp;IF(AND($AQ2080&lt;&gt;"",OR(AND(INDEX(職員マスタ!$G$6:$G$405,$AP2080)&lt;&gt;"",INDEX(職員マスタ!$G$6:$G$405,$AP2080)&gt;EOMONTH($AQ2080,0)),AND(INDEX(職員マスタ!$H$6:$H$405,$AP2080)&lt;&gt;"",INDEX(職員マスタ!$H$6:$H$405,$AP2080)&lt;$AQ2080))),"対象月が時短期間外／","")&amp;IF(AND(INDEX(職員マスタ!$K$6:$K$405,$AP2080)&lt;&gt;"",N($W2080)&gt;0,INDEX(職員マスタ!$K$6:$K$405,$AP2080)&lt;&gt;$W2080),"標準報酬月額が申請書と相違（台帳"&amp;TEXT(INDEX(職員マスタ!$K$6:$K$405,$AP2080),"#,##0")&amp;"円／申請書"&amp;TEXT($W2080,"#,##0")&amp;"円）／","")&amp;IF(AND(INDEX(職員マスタ!$F$6:$F$405,$AP2080)&lt;&gt;"",$AQ2080&lt;&gt;"",INDEX(職員マスタ!$F$6:$F$405,$AP2080)&lt;$AQ2080),"対象月に子が2歳到達済／","")&amp;IF(AND($H2080&lt;&gt;"",INDEX(職員マスタ!$B$6:$B$405,$AP2080)&lt;&gt;"",SUBSTITUTE(SUBSTITUTE($H2080," ","")," ","")&lt;&gt;SUBSTITUTE(SUBSTITUTE(INDEX(職員マスタ!$B$6:$B$405,$AP2080)," ","")," ","")),"氏名がマスタと相違／","")&amp;IF(AND($Q2080&lt;&gt;"",INDEX(職員マスタ!$E$6:$E$405,$AP2080)&lt;&gt;"",$Q2080&lt;&gt;INDEX(職員マスタ!$E$6:$E$405,$AP2080)),"子の生年月日がマスタと相違／","")&amp;IF(AND($L2080&lt;&gt;"",INDEX(職員マスタ!$G$6:$G$405,$AP2080)&lt;&gt;"",$L2080&lt;&gt;INDEX(職員マスタ!$G$6:$G$405,$AP2080)),"時短開始日がマスタと相違／","")&amp;IF(AND($M2080&lt;&gt;"",INDEX(職員マスタ!$H$6:$H$405,$AP2080)&lt;&gt;"",$M2080&lt;&gt;INDEX(職員マスタ!$H$6:$H$405,$AP2080)),"時短終了日がマスタと相違／","")))&amp;IF(AND($B2080&lt;&gt;"",$E2080=""),"報酬額が未入力／","")&amp;IF(N($U2080)&gt;0,"申請書に入力エラーが残っています／","")&amp;IF(AND($B2080&lt;&gt;"",$AQ2080&lt;&gt;""),IF(COUNTIFS($B$6:$B$3005,$B2080,$C$6:$C$3005,$C2080,$D$6:$D$3005,$D2080)&gt;1,"同じ月の請求が重複しています／",""),"")&amp;IF(AND(N($E2080)&gt;0,$AB2080&lt;&gt;"",$AB2080&lt;&gt;"×",$AE2080=0,$AD2080=""),"計算額が下限以下のため不支給／",""))</f>
        <v/>
      </c>
      <c r="AN2080" s="12" t="n"/>
      <c r="AO2080" s="14">
        <f>IF($AF2080="保留中",COUNTIF($AF$6:$AF2080,"保留中"),"")</f>
        <v/>
      </c>
      <c r="AP2080" s="14">
        <f>IF($AQ2080="","",IF(SUMPRODUCT(MAX((職員マスタ!$A$6:$A$405=$B2080)*(((職員マスタ!$G$6:$G$405="")+(職員マスタ!$G$6:$G$405&lt;=EOMONTH($AQ2080,0)))&gt;0)*(((職員マスタ!$H$6:$H$405="")+(職員マスタ!$H$6:$H$405&gt;=$AQ2080))&gt;0)*(ROW(職員マスタ!$A$6:$A$405)-5)))&gt;0,SUMPRODUCT(MAX((職員マスタ!$A$6:$A$405=$B2080)*(((職員マスタ!$G$6:$G$405="")+(職員マスタ!$G$6:$G$405&lt;=EOMONTH($AQ2080,0)))&gt;0)*(((職員マスタ!$H$6:$H$405="")+(職員マスタ!$H$6:$H$405&gt;=$AQ2080))&gt;0)*(ROW(職員マスタ!$A$6:$A$405)-5))),IFERROR(MATCH($B2080,職員マスタ!$A$6:$A$405,0),"")))</f>
        <v/>
      </c>
      <c r="AQ2080" s="16">
        <f>IF(OR($B2080="",$C2080="",$D2080=""),"",DATE($C2080+2018,$D2080,1))</f>
        <v/>
      </c>
    </row>
    <row r="2081">
      <c r="A2081" s="11" t="n"/>
      <c r="B2081" s="12" t="n"/>
      <c r="C2081" s="12" t="n"/>
      <c r="D2081" s="12" t="n"/>
      <c r="E2081" s="13" t="n"/>
      <c r="F2081" s="12" t="n"/>
      <c r="G2081" s="13" t="n"/>
      <c r="H2081" s="12" t="n"/>
      <c r="I2081" s="12" t="n"/>
      <c r="J2081" s="12" t="n"/>
      <c r="K2081" s="12" t="n"/>
      <c r="L2081" s="11" t="n"/>
      <c r="M2081" s="11" t="n"/>
      <c r="N2081" s="11" t="n"/>
      <c r="O2081" s="11" t="n"/>
      <c r="P2081" s="12" t="n"/>
      <c r="Q2081" s="11" t="n"/>
      <c r="R2081" s="12" t="n"/>
      <c r="S2081" s="11" t="n"/>
      <c r="T2081" s="12" t="n"/>
      <c r="U2081" s="12" t="n"/>
      <c r="V2081" s="12" t="n"/>
      <c r="W2081" s="13" t="n"/>
      <c r="X2081" s="14">
        <f>IF($AP2081="",IF($B2081="","",$H2081),IF(INDEX(職員マスタ!$B$6:$B$405,$AP2081)="",$H2081,INDEX(職員マスタ!$B$6:$B$405,$AP2081)))</f>
        <v/>
      </c>
      <c r="Y2081" s="14">
        <f>IF($AP2081="",IF($B2081="","",$R2081),IF(INDEX(職員マスタ!$C$6:$C$405,$AP2081)="",$R2081,INDEX(職員マスタ!$C$6:$C$405,$AP2081)))</f>
        <v/>
      </c>
      <c r="Z2081" s="14">
        <f>IF($AQ2081="","","R"&amp;$C2081&amp;"."&amp;$D2081)</f>
        <v/>
      </c>
      <c r="AA2081" s="15">
        <f>IF(IF($AP2081="",FALSE,INDEX(職員マスタ!$K$6:$K$405,$AP2081)&lt;&gt;""),INDEX(職員マスタ!$K$6:$K$405,$AP2081),IF(N($W2081)&gt;0,$W2081,""))</f>
        <v/>
      </c>
      <c r="AB2081" s="14">
        <f>IF(OR($E2081="",$AA2081=""),"",IF($E2081&gt;=$AA2081,"×",IF($E2081&gt;=$AA2081*設定!$C$5,"△","○")))</f>
        <v/>
      </c>
      <c r="AC2081" s="15">
        <f>IF($AB2081="","",IF($AB2081="×",0,IF($AB2081="○",ROUNDDOWN($E2081*設定!$C$4,0),ROUNDDOWN($E2081*ROUND((9*$AA2081-9*$E2081)/(10*$E2081),4),0))))</f>
        <v/>
      </c>
      <c r="AD2081" s="13" t="n"/>
      <c r="AE2081" s="15">
        <f>IF($B2081="","",IF($AD2081&lt;&gt;"",$AD2081,IF($AC2081="","",IF($AC2081&lt;=設定!$C$3,0,$AC2081))))</f>
        <v/>
      </c>
      <c r="AF2081" s="14">
        <f>IF($B2081="","",IF(AND($AG2081&lt;&gt;"",$AI2081="",$AL2081=""),"保留中",IF($AL2081&lt;&gt;"",IF(N($AE2081)&gt;0,"支給済","不支給"),IF($AE2081="","要確認",IF($AE2081=0,"不支給","未処理")))))</f>
        <v/>
      </c>
      <c r="AG2081" s="12" t="n"/>
      <c r="AH2081" s="11" t="n"/>
      <c r="AI2081" s="11" t="n"/>
      <c r="AJ2081" s="11" t="n"/>
      <c r="AK2081" s="14">
        <f>IF(AND($AF2081="保留中",$AH2081&lt;&gt;""),TODAY()-$AH2081,"")</f>
        <v/>
      </c>
      <c r="AL2081" s="12" t="n"/>
      <c r="AM2081" s="14">
        <f>IF($B2081="","",IF($AQ2081="","対象年月が未入力／","")&amp;IF($B2081="","",IF($AP2081="","職員マスタに未登録の職員番号／",IF($AA2081="","標準報酬月額が未登録／","")&amp;IF(AND($AQ2081&lt;&gt;"",OR(AND(INDEX(職員マスタ!$G$6:$G$405,$AP2081)&lt;&gt;"",INDEX(職員マスタ!$G$6:$G$405,$AP2081)&gt;EOMONTH($AQ2081,0)),AND(INDEX(職員マスタ!$H$6:$H$405,$AP2081)&lt;&gt;"",INDEX(職員マスタ!$H$6:$H$405,$AP2081)&lt;$AQ2081))),"対象月が時短期間外／","")&amp;IF(AND(INDEX(職員マスタ!$K$6:$K$405,$AP2081)&lt;&gt;"",N($W2081)&gt;0,INDEX(職員マスタ!$K$6:$K$405,$AP2081)&lt;&gt;$W2081),"標準報酬月額が申請書と相違（台帳"&amp;TEXT(INDEX(職員マスタ!$K$6:$K$405,$AP2081),"#,##0")&amp;"円／申請書"&amp;TEXT($W2081,"#,##0")&amp;"円）／","")&amp;IF(AND(INDEX(職員マスタ!$F$6:$F$405,$AP2081)&lt;&gt;"",$AQ2081&lt;&gt;"",INDEX(職員マスタ!$F$6:$F$405,$AP2081)&lt;$AQ2081),"対象月に子が2歳到達済／","")&amp;IF(AND($H2081&lt;&gt;"",INDEX(職員マスタ!$B$6:$B$405,$AP2081)&lt;&gt;"",SUBSTITUTE(SUBSTITUTE($H2081," ","")," ","")&lt;&gt;SUBSTITUTE(SUBSTITUTE(INDEX(職員マスタ!$B$6:$B$405,$AP2081)," ","")," ","")),"氏名がマスタと相違／","")&amp;IF(AND($Q2081&lt;&gt;"",INDEX(職員マスタ!$E$6:$E$405,$AP2081)&lt;&gt;"",$Q2081&lt;&gt;INDEX(職員マスタ!$E$6:$E$405,$AP2081)),"子の生年月日がマスタと相違／","")&amp;IF(AND($L2081&lt;&gt;"",INDEX(職員マスタ!$G$6:$G$405,$AP2081)&lt;&gt;"",$L2081&lt;&gt;INDEX(職員マスタ!$G$6:$G$405,$AP2081)),"時短開始日がマスタと相違／","")&amp;IF(AND($M2081&lt;&gt;"",INDEX(職員マスタ!$H$6:$H$405,$AP2081)&lt;&gt;"",$M2081&lt;&gt;INDEX(職員マスタ!$H$6:$H$405,$AP2081)),"時短終了日がマスタと相違／","")))&amp;IF(AND($B2081&lt;&gt;"",$E2081=""),"報酬額が未入力／","")&amp;IF(N($U2081)&gt;0,"申請書に入力エラーが残っています／","")&amp;IF(AND($B2081&lt;&gt;"",$AQ2081&lt;&gt;""),IF(COUNTIFS($B$6:$B$3005,$B2081,$C$6:$C$3005,$C2081,$D$6:$D$3005,$D2081)&gt;1,"同じ月の請求が重複しています／",""),"")&amp;IF(AND(N($E2081)&gt;0,$AB2081&lt;&gt;"",$AB2081&lt;&gt;"×",$AE2081=0,$AD2081=""),"計算額が下限以下のため不支給／",""))</f>
        <v/>
      </c>
      <c r="AN2081" s="12" t="n"/>
      <c r="AO2081" s="14">
        <f>IF($AF2081="保留中",COUNTIF($AF$6:$AF2081,"保留中"),"")</f>
        <v/>
      </c>
      <c r="AP2081" s="14">
        <f>IF($AQ2081="","",IF(SUMPRODUCT(MAX((職員マスタ!$A$6:$A$405=$B2081)*(((職員マスタ!$G$6:$G$405="")+(職員マスタ!$G$6:$G$405&lt;=EOMONTH($AQ2081,0)))&gt;0)*(((職員マスタ!$H$6:$H$405="")+(職員マスタ!$H$6:$H$405&gt;=$AQ2081))&gt;0)*(ROW(職員マスタ!$A$6:$A$405)-5)))&gt;0,SUMPRODUCT(MAX((職員マスタ!$A$6:$A$405=$B2081)*(((職員マスタ!$G$6:$G$405="")+(職員マスタ!$G$6:$G$405&lt;=EOMONTH($AQ2081,0)))&gt;0)*(((職員マスタ!$H$6:$H$405="")+(職員マスタ!$H$6:$H$405&gt;=$AQ2081))&gt;0)*(ROW(職員マスタ!$A$6:$A$405)-5))),IFERROR(MATCH($B2081,職員マスタ!$A$6:$A$405,0),"")))</f>
        <v/>
      </c>
      <c r="AQ2081" s="16">
        <f>IF(OR($B2081="",$C2081="",$D2081=""),"",DATE($C2081+2018,$D2081,1))</f>
        <v/>
      </c>
    </row>
    <row r="2082">
      <c r="A2082" s="11" t="n"/>
      <c r="B2082" s="12" t="n"/>
      <c r="C2082" s="12" t="n"/>
      <c r="D2082" s="12" t="n"/>
      <c r="E2082" s="13" t="n"/>
      <c r="F2082" s="12" t="n"/>
      <c r="G2082" s="13" t="n"/>
      <c r="H2082" s="12" t="n"/>
      <c r="I2082" s="12" t="n"/>
      <c r="J2082" s="12" t="n"/>
      <c r="K2082" s="12" t="n"/>
      <c r="L2082" s="11" t="n"/>
      <c r="M2082" s="11" t="n"/>
      <c r="N2082" s="11" t="n"/>
      <c r="O2082" s="11" t="n"/>
      <c r="P2082" s="12" t="n"/>
      <c r="Q2082" s="11" t="n"/>
      <c r="R2082" s="12" t="n"/>
      <c r="S2082" s="11" t="n"/>
      <c r="T2082" s="12" t="n"/>
      <c r="U2082" s="12" t="n"/>
      <c r="V2082" s="12" t="n"/>
      <c r="W2082" s="13" t="n"/>
      <c r="X2082" s="14">
        <f>IF($AP2082="",IF($B2082="","",$H2082),IF(INDEX(職員マスタ!$B$6:$B$405,$AP2082)="",$H2082,INDEX(職員マスタ!$B$6:$B$405,$AP2082)))</f>
        <v/>
      </c>
      <c r="Y2082" s="14">
        <f>IF($AP2082="",IF($B2082="","",$R2082),IF(INDEX(職員マスタ!$C$6:$C$405,$AP2082)="",$R2082,INDEX(職員マスタ!$C$6:$C$405,$AP2082)))</f>
        <v/>
      </c>
      <c r="Z2082" s="14">
        <f>IF($AQ2082="","","R"&amp;$C2082&amp;"."&amp;$D2082)</f>
        <v/>
      </c>
      <c r="AA2082" s="15">
        <f>IF(IF($AP2082="",FALSE,INDEX(職員マスタ!$K$6:$K$405,$AP2082)&lt;&gt;""),INDEX(職員マスタ!$K$6:$K$405,$AP2082),IF(N($W2082)&gt;0,$W2082,""))</f>
        <v/>
      </c>
      <c r="AB2082" s="14">
        <f>IF(OR($E2082="",$AA2082=""),"",IF($E2082&gt;=$AA2082,"×",IF($E2082&gt;=$AA2082*設定!$C$5,"△","○")))</f>
        <v/>
      </c>
      <c r="AC2082" s="15">
        <f>IF($AB2082="","",IF($AB2082="×",0,IF($AB2082="○",ROUNDDOWN($E2082*設定!$C$4,0),ROUNDDOWN($E2082*ROUND((9*$AA2082-9*$E2082)/(10*$E2082),4),0))))</f>
        <v/>
      </c>
      <c r="AD2082" s="13" t="n"/>
      <c r="AE2082" s="15">
        <f>IF($B2082="","",IF($AD2082&lt;&gt;"",$AD2082,IF($AC2082="","",IF($AC2082&lt;=設定!$C$3,0,$AC2082))))</f>
        <v/>
      </c>
      <c r="AF2082" s="14">
        <f>IF($B2082="","",IF(AND($AG2082&lt;&gt;"",$AI2082="",$AL2082=""),"保留中",IF($AL2082&lt;&gt;"",IF(N($AE2082)&gt;0,"支給済","不支給"),IF($AE2082="","要確認",IF($AE2082=0,"不支給","未処理")))))</f>
        <v/>
      </c>
      <c r="AG2082" s="12" t="n"/>
      <c r="AH2082" s="11" t="n"/>
      <c r="AI2082" s="11" t="n"/>
      <c r="AJ2082" s="11" t="n"/>
      <c r="AK2082" s="14">
        <f>IF(AND($AF2082="保留中",$AH2082&lt;&gt;""),TODAY()-$AH2082,"")</f>
        <v/>
      </c>
      <c r="AL2082" s="12" t="n"/>
      <c r="AM2082" s="14">
        <f>IF($B2082="","",IF($AQ2082="","対象年月が未入力／","")&amp;IF($B2082="","",IF($AP2082="","職員マスタに未登録の職員番号／",IF($AA2082="","標準報酬月額が未登録／","")&amp;IF(AND($AQ2082&lt;&gt;"",OR(AND(INDEX(職員マスタ!$G$6:$G$405,$AP2082)&lt;&gt;"",INDEX(職員マスタ!$G$6:$G$405,$AP2082)&gt;EOMONTH($AQ2082,0)),AND(INDEX(職員マスタ!$H$6:$H$405,$AP2082)&lt;&gt;"",INDEX(職員マスタ!$H$6:$H$405,$AP2082)&lt;$AQ2082))),"対象月が時短期間外／","")&amp;IF(AND(INDEX(職員マスタ!$K$6:$K$405,$AP2082)&lt;&gt;"",N($W2082)&gt;0,INDEX(職員マスタ!$K$6:$K$405,$AP2082)&lt;&gt;$W2082),"標準報酬月額が申請書と相違（台帳"&amp;TEXT(INDEX(職員マスタ!$K$6:$K$405,$AP2082),"#,##0")&amp;"円／申請書"&amp;TEXT($W2082,"#,##0")&amp;"円）／","")&amp;IF(AND(INDEX(職員マスタ!$F$6:$F$405,$AP2082)&lt;&gt;"",$AQ2082&lt;&gt;"",INDEX(職員マスタ!$F$6:$F$405,$AP2082)&lt;$AQ2082),"対象月に子が2歳到達済／","")&amp;IF(AND($H2082&lt;&gt;"",INDEX(職員マスタ!$B$6:$B$405,$AP2082)&lt;&gt;"",SUBSTITUTE(SUBSTITUTE($H2082," ","")," ","")&lt;&gt;SUBSTITUTE(SUBSTITUTE(INDEX(職員マスタ!$B$6:$B$405,$AP2082)," ","")," ","")),"氏名がマスタと相違／","")&amp;IF(AND($Q2082&lt;&gt;"",INDEX(職員マスタ!$E$6:$E$405,$AP2082)&lt;&gt;"",$Q2082&lt;&gt;INDEX(職員マスタ!$E$6:$E$405,$AP2082)),"子の生年月日がマスタと相違／","")&amp;IF(AND($L2082&lt;&gt;"",INDEX(職員マスタ!$G$6:$G$405,$AP2082)&lt;&gt;"",$L2082&lt;&gt;INDEX(職員マスタ!$G$6:$G$405,$AP2082)),"時短開始日がマスタと相違／","")&amp;IF(AND($M2082&lt;&gt;"",INDEX(職員マスタ!$H$6:$H$405,$AP2082)&lt;&gt;"",$M2082&lt;&gt;INDEX(職員マスタ!$H$6:$H$405,$AP2082)),"時短終了日がマスタと相違／","")))&amp;IF(AND($B2082&lt;&gt;"",$E2082=""),"報酬額が未入力／","")&amp;IF(N($U2082)&gt;0,"申請書に入力エラーが残っています／","")&amp;IF(AND($B2082&lt;&gt;"",$AQ2082&lt;&gt;""),IF(COUNTIFS($B$6:$B$3005,$B2082,$C$6:$C$3005,$C2082,$D$6:$D$3005,$D2082)&gt;1,"同じ月の請求が重複しています／",""),"")&amp;IF(AND(N($E2082)&gt;0,$AB2082&lt;&gt;"",$AB2082&lt;&gt;"×",$AE2082=0,$AD2082=""),"計算額が下限以下のため不支給／",""))</f>
        <v/>
      </c>
      <c r="AN2082" s="12" t="n"/>
      <c r="AO2082" s="14">
        <f>IF($AF2082="保留中",COUNTIF($AF$6:$AF2082,"保留中"),"")</f>
        <v/>
      </c>
      <c r="AP2082" s="14">
        <f>IF($AQ2082="","",IF(SUMPRODUCT(MAX((職員マスタ!$A$6:$A$405=$B2082)*(((職員マスタ!$G$6:$G$405="")+(職員マスタ!$G$6:$G$405&lt;=EOMONTH($AQ2082,0)))&gt;0)*(((職員マスタ!$H$6:$H$405="")+(職員マスタ!$H$6:$H$405&gt;=$AQ2082))&gt;0)*(ROW(職員マスタ!$A$6:$A$405)-5)))&gt;0,SUMPRODUCT(MAX((職員マスタ!$A$6:$A$405=$B2082)*(((職員マスタ!$G$6:$G$405="")+(職員マスタ!$G$6:$G$405&lt;=EOMONTH($AQ2082,0)))&gt;0)*(((職員マスタ!$H$6:$H$405="")+(職員マスタ!$H$6:$H$405&gt;=$AQ2082))&gt;0)*(ROW(職員マスタ!$A$6:$A$405)-5))),IFERROR(MATCH($B2082,職員マスタ!$A$6:$A$405,0),"")))</f>
        <v/>
      </c>
      <c r="AQ2082" s="16">
        <f>IF(OR($B2082="",$C2082="",$D2082=""),"",DATE($C2082+2018,$D2082,1))</f>
        <v/>
      </c>
    </row>
    <row r="2083">
      <c r="A2083" s="11" t="n"/>
      <c r="B2083" s="12" t="n"/>
      <c r="C2083" s="12" t="n"/>
      <c r="D2083" s="12" t="n"/>
      <c r="E2083" s="13" t="n"/>
      <c r="F2083" s="12" t="n"/>
      <c r="G2083" s="13" t="n"/>
      <c r="H2083" s="12" t="n"/>
      <c r="I2083" s="12" t="n"/>
      <c r="J2083" s="12" t="n"/>
      <c r="K2083" s="12" t="n"/>
      <c r="L2083" s="11" t="n"/>
      <c r="M2083" s="11" t="n"/>
      <c r="N2083" s="11" t="n"/>
      <c r="O2083" s="11" t="n"/>
      <c r="P2083" s="12" t="n"/>
      <c r="Q2083" s="11" t="n"/>
      <c r="R2083" s="12" t="n"/>
      <c r="S2083" s="11" t="n"/>
      <c r="T2083" s="12" t="n"/>
      <c r="U2083" s="12" t="n"/>
      <c r="V2083" s="12" t="n"/>
      <c r="W2083" s="13" t="n"/>
      <c r="X2083" s="14">
        <f>IF($AP2083="",IF($B2083="","",$H2083),IF(INDEX(職員マスタ!$B$6:$B$405,$AP2083)="",$H2083,INDEX(職員マスタ!$B$6:$B$405,$AP2083)))</f>
        <v/>
      </c>
      <c r="Y2083" s="14">
        <f>IF($AP2083="",IF($B2083="","",$R2083),IF(INDEX(職員マスタ!$C$6:$C$405,$AP2083)="",$R2083,INDEX(職員マスタ!$C$6:$C$405,$AP2083)))</f>
        <v/>
      </c>
      <c r="Z2083" s="14">
        <f>IF($AQ2083="","","R"&amp;$C2083&amp;"."&amp;$D2083)</f>
        <v/>
      </c>
      <c r="AA2083" s="15">
        <f>IF(IF($AP2083="",FALSE,INDEX(職員マスタ!$K$6:$K$405,$AP2083)&lt;&gt;""),INDEX(職員マスタ!$K$6:$K$405,$AP2083),IF(N($W2083)&gt;0,$W2083,""))</f>
        <v/>
      </c>
      <c r="AB2083" s="14">
        <f>IF(OR($E2083="",$AA2083=""),"",IF($E2083&gt;=$AA2083,"×",IF($E2083&gt;=$AA2083*設定!$C$5,"△","○")))</f>
        <v/>
      </c>
      <c r="AC2083" s="15">
        <f>IF($AB2083="","",IF($AB2083="×",0,IF($AB2083="○",ROUNDDOWN($E2083*設定!$C$4,0),ROUNDDOWN($E2083*ROUND((9*$AA2083-9*$E2083)/(10*$E2083),4),0))))</f>
        <v/>
      </c>
      <c r="AD2083" s="13" t="n"/>
      <c r="AE2083" s="15">
        <f>IF($B2083="","",IF($AD2083&lt;&gt;"",$AD2083,IF($AC2083="","",IF($AC2083&lt;=設定!$C$3,0,$AC2083))))</f>
        <v/>
      </c>
      <c r="AF2083" s="14">
        <f>IF($B2083="","",IF(AND($AG2083&lt;&gt;"",$AI2083="",$AL2083=""),"保留中",IF($AL2083&lt;&gt;"",IF(N($AE2083)&gt;0,"支給済","不支給"),IF($AE2083="","要確認",IF($AE2083=0,"不支給","未処理")))))</f>
        <v/>
      </c>
      <c r="AG2083" s="12" t="n"/>
      <c r="AH2083" s="11" t="n"/>
      <c r="AI2083" s="11" t="n"/>
      <c r="AJ2083" s="11" t="n"/>
      <c r="AK2083" s="14">
        <f>IF(AND($AF2083="保留中",$AH2083&lt;&gt;""),TODAY()-$AH2083,"")</f>
        <v/>
      </c>
      <c r="AL2083" s="12" t="n"/>
      <c r="AM2083" s="14">
        <f>IF($B2083="","",IF($AQ2083="","対象年月が未入力／","")&amp;IF($B2083="","",IF($AP2083="","職員マスタに未登録の職員番号／",IF($AA2083="","標準報酬月額が未登録／","")&amp;IF(AND($AQ2083&lt;&gt;"",OR(AND(INDEX(職員マスタ!$G$6:$G$405,$AP2083)&lt;&gt;"",INDEX(職員マスタ!$G$6:$G$405,$AP2083)&gt;EOMONTH($AQ2083,0)),AND(INDEX(職員マスタ!$H$6:$H$405,$AP2083)&lt;&gt;"",INDEX(職員マスタ!$H$6:$H$405,$AP2083)&lt;$AQ2083))),"対象月が時短期間外／","")&amp;IF(AND(INDEX(職員マスタ!$K$6:$K$405,$AP2083)&lt;&gt;"",N($W2083)&gt;0,INDEX(職員マスタ!$K$6:$K$405,$AP2083)&lt;&gt;$W2083),"標準報酬月額が申請書と相違（台帳"&amp;TEXT(INDEX(職員マスタ!$K$6:$K$405,$AP2083),"#,##0")&amp;"円／申請書"&amp;TEXT($W2083,"#,##0")&amp;"円）／","")&amp;IF(AND(INDEX(職員マスタ!$F$6:$F$405,$AP2083)&lt;&gt;"",$AQ2083&lt;&gt;"",INDEX(職員マスタ!$F$6:$F$405,$AP2083)&lt;$AQ2083),"対象月に子が2歳到達済／","")&amp;IF(AND($H2083&lt;&gt;"",INDEX(職員マスタ!$B$6:$B$405,$AP2083)&lt;&gt;"",SUBSTITUTE(SUBSTITUTE($H2083," ","")," ","")&lt;&gt;SUBSTITUTE(SUBSTITUTE(INDEX(職員マスタ!$B$6:$B$405,$AP2083)," ","")," ","")),"氏名がマスタと相違／","")&amp;IF(AND($Q2083&lt;&gt;"",INDEX(職員マスタ!$E$6:$E$405,$AP2083)&lt;&gt;"",$Q2083&lt;&gt;INDEX(職員マスタ!$E$6:$E$405,$AP2083)),"子の生年月日がマスタと相違／","")&amp;IF(AND($L2083&lt;&gt;"",INDEX(職員マスタ!$G$6:$G$405,$AP2083)&lt;&gt;"",$L2083&lt;&gt;INDEX(職員マスタ!$G$6:$G$405,$AP2083)),"時短開始日がマスタと相違／","")&amp;IF(AND($M2083&lt;&gt;"",INDEX(職員マスタ!$H$6:$H$405,$AP2083)&lt;&gt;"",$M2083&lt;&gt;INDEX(職員マスタ!$H$6:$H$405,$AP2083)),"時短終了日がマスタと相違／","")))&amp;IF(AND($B2083&lt;&gt;"",$E2083=""),"報酬額が未入力／","")&amp;IF(N($U2083)&gt;0,"申請書に入力エラーが残っています／","")&amp;IF(AND($B2083&lt;&gt;"",$AQ2083&lt;&gt;""),IF(COUNTIFS($B$6:$B$3005,$B2083,$C$6:$C$3005,$C2083,$D$6:$D$3005,$D2083)&gt;1,"同じ月の請求が重複しています／",""),"")&amp;IF(AND(N($E2083)&gt;0,$AB2083&lt;&gt;"",$AB2083&lt;&gt;"×",$AE2083=0,$AD2083=""),"計算額が下限以下のため不支給／",""))</f>
        <v/>
      </c>
      <c r="AN2083" s="12" t="n"/>
      <c r="AO2083" s="14">
        <f>IF($AF2083="保留中",COUNTIF($AF$6:$AF2083,"保留中"),"")</f>
        <v/>
      </c>
      <c r="AP2083" s="14">
        <f>IF($AQ2083="","",IF(SUMPRODUCT(MAX((職員マスタ!$A$6:$A$405=$B2083)*(((職員マスタ!$G$6:$G$405="")+(職員マスタ!$G$6:$G$405&lt;=EOMONTH($AQ2083,0)))&gt;0)*(((職員マスタ!$H$6:$H$405="")+(職員マスタ!$H$6:$H$405&gt;=$AQ2083))&gt;0)*(ROW(職員マスタ!$A$6:$A$405)-5)))&gt;0,SUMPRODUCT(MAX((職員マスタ!$A$6:$A$405=$B2083)*(((職員マスタ!$G$6:$G$405="")+(職員マスタ!$G$6:$G$405&lt;=EOMONTH($AQ2083,0)))&gt;0)*(((職員マスタ!$H$6:$H$405="")+(職員マスタ!$H$6:$H$405&gt;=$AQ2083))&gt;0)*(ROW(職員マスタ!$A$6:$A$405)-5))),IFERROR(MATCH($B2083,職員マスタ!$A$6:$A$405,0),"")))</f>
        <v/>
      </c>
      <c r="AQ2083" s="16">
        <f>IF(OR($B2083="",$C2083="",$D2083=""),"",DATE($C2083+2018,$D2083,1))</f>
        <v/>
      </c>
    </row>
    <row r="2084">
      <c r="A2084" s="11" t="n"/>
      <c r="B2084" s="12" t="n"/>
      <c r="C2084" s="12" t="n"/>
      <c r="D2084" s="12" t="n"/>
      <c r="E2084" s="13" t="n"/>
      <c r="F2084" s="12" t="n"/>
      <c r="G2084" s="13" t="n"/>
      <c r="H2084" s="12" t="n"/>
      <c r="I2084" s="12" t="n"/>
      <c r="J2084" s="12" t="n"/>
      <c r="K2084" s="12" t="n"/>
      <c r="L2084" s="11" t="n"/>
      <c r="M2084" s="11" t="n"/>
      <c r="N2084" s="11" t="n"/>
      <c r="O2084" s="11" t="n"/>
      <c r="P2084" s="12" t="n"/>
      <c r="Q2084" s="11" t="n"/>
      <c r="R2084" s="12" t="n"/>
      <c r="S2084" s="11" t="n"/>
      <c r="T2084" s="12" t="n"/>
      <c r="U2084" s="12" t="n"/>
      <c r="V2084" s="12" t="n"/>
      <c r="W2084" s="13" t="n"/>
      <c r="X2084" s="14">
        <f>IF($AP2084="",IF($B2084="","",$H2084),IF(INDEX(職員マスタ!$B$6:$B$405,$AP2084)="",$H2084,INDEX(職員マスタ!$B$6:$B$405,$AP2084)))</f>
        <v/>
      </c>
      <c r="Y2084" s="14">
        <f>IF($AP2084="",IF($B2084="","",$R2084),IF(INDEX(職員マスタ!$C$6:$C$405,$AP2084)="",$R2084,INDEX(職員マスタ!$C$6:$C$405,$AP2084)))</f>
        <v/>
      </c>
      <c r="Z2084" s="14">
        <f>IF($AQ2084="","","R"&amp;$C2084&amp;"."&amp;$D2084)</f>
        <v/>
      </c>
      <c r="AA2084" s="15">
        <f>IF(IF($AP2084="",FALSE,INDEX(職員マスタ!$K$6:$K$405,$AP2084)&lt;&gt;""),INDEX(職員マスタ!$K$6:$K$405,$AP2084),IF(N($W2084)&gt;0,$W2084,""))</f>
        <v/>
      </c>
      <c r="AB2084" s="14">
        <f>IF(OR($E2084="",$AA2084=""),"",IF($E2084&gt;=$AA2084,"×",IF($E2084&gt;=$AA2084*設定!$C$5,"△","○")))</f>
        <v/>
      </c>
      <c r="AC2084" s="15">
        <f>IF($AB2084="","",IF($AB2084="×",0,IF($AB2084="○",ROUNDDOWN($E2084*設定!$C$4,0),ROUNDDOWN($E2084*ROUND((9*$AA2084-9*$E2084)/(10*$E2084),4),0))))</f>
        <v/>
      </c>
      <c r="AD2084" s="13" t="n"/>
      <c r="AE2084" s="15">
        <f>IF($B2084="","",IF($AD2084&lt;&gt;"",$AD2084,IF($AC2084="","",IF($AC2084&lt;=設定!$C$3,0,$AC2084))))</f>
        <v/>
      </c>
      <c r="AF2084" s="14">
        <f>IF($B2084="","",IF(AND($AG2084&lt;&gt;"",$AI2084="",$AL2084=""),"保留中",IF($AL2084&lt;&gt;"",IF(N($AE2084)&gt;0,"支給済","不支給"),IF($AE2084="","要確認",IF($AE2084=0,"不支給","未処理")))))</f>
        <v/>
      </c>
      <c r="AG2084" s="12" t="n"/>
      <c r="AH2084" s="11" t="n"/>
      <c r="AI2084" s="11" t="n"/>
      <c r="AJ2084" s="11" t="n"/>
      <c r="AK2084" s="14">
        <f>IF(AND($AF2084="保留中",$AH2084&lt;&gt;""),TODAY()-$AH2084,"")</f>
        <v/>
      </c>
      <c r="AL2084" s="12" t="n"/>
      <c r="AM2084" s="14">
        <f>IF($B2084="","",IF($AQ2084="","対象年月が未入力／","")&amp;IF($B2084="","",IF($AP2084="","職員マスタに未登録の職員番号／",IF($AA2084="","標準報酬月額が未登録／","")&amp;IF(AND($AQ2084&lt;&gt;"",OR(AND(INDEX(職員マスタ!$G$6:$G$405,$AP2084)&lt;&gt;"",INDEX(職員マスタ!$G$6:$G$405,$AP2084)&gt;EOMONTH($AQ2084,0)),AND(INDEX(職員マスタ!$H$6:$H$405,$AP2084)&lt;&gt;"",INDEX(職員マスタ!$H$6:$H$405,$AP2084)&lt;$AQ2084))),"対象月が時短期間外／","")&amp;IF(AND(INDEX(職員マスタ!$K$6:$K$405,$AP2084)&lt;&gt;"",N($W2084)&gt;0,INDEX(職員マスタ!$K$6:$K$405,$AP2084)&lt;&gt;$W2084),"標準報酬月額が申請書と相違（台帳"&amp;TEXT(INDEX(職員マスタ!$K$6:$K$405,$AP2084),"#,##0")&amp;"円／申請書"&amp;TEXT($W2084,"#,##0")&amp;"円）／","")&amp;IF(AND(INDEX(職員マスタ!$F$6:$F$405,$AP2084)&lt;&gt;"",$AQ2084&lt;&gt;"",INDEX(職員マスタ!$F$6:$F$405,$AP2084)&lt;$AQ2084),"対象月に子が2歳到達済／","")&amp;IF(AND($H2084&lt;&gt;"",INDEX(職員マスタ!$B$6:$B$405,$AP2084)&lt;&gt;"",SUBSTITUTE(SUBSTITUTE($H2084," ","")," ","")&lt;&gt;SUBSTITUTE(SUBSTITUTE(INDEX(職員マスタ!$B$6:$B$405,$AP2084)," ","")," ","")),"氏名がマスタと相違／","")&amp;IF(AND($Q2084&lt;&gt;"",INDEX(職員マスタ!$E$6:$E$405,$AP2084)&lt;&gt;"",$Q2084&lt;&gt;INDEX(職員マスタ!$E$6:$E$405,$AP2084)),"子の生年月日がマスタと相違／","")&amp;IF(AND($L2084&lt;&gt;"",INDEX(職員マスタ!$G$6:$G$405,$AP2084)&lt;&gt;"",$L2084&lt;&gt;INDEX(職員マスタ!$G$6:$G$405,$AP2084)),"時短開始日がマスタと相違／","")&amp;IF(AND($M2084&lt;&gt;"",INDEX(職員マスタ!$H$6:$H$405,$AP2084)&lt;&gt;"",$M2084&lt;&gt;INDEX(職員マスタ!$H$6:$H$405,$AP2084)),"時短終了日がマスタと相違／","")))&amp;IF(AND($B2084&lt;&gt;"",$E2084=""),"報酬額が未入力／","")&amp;IF(N($U2084)&gt;0,"申請書に入力エラーが残っています／","")&amp;IF(AND($B2084&lt;&gt;"",$AQ2084&lt;&gt;""),IF(COUNTIFS($B$6:$B$3005,$B2084,$C$6:$C$3005,$C2084,$D$6:$D$3005,$D2084)&gt;1,"同じ月の請求が重複しています／",""),"")&amp;IF(AND(N($E2084)&gt;0,$AB2084&lt;&gt;"",$AB2084&lt;&gt;"×",$AE2084=0,$AD2084=""),"計算額が下限以下のため不支給／",""))</f>
        <v/>
      </c>
      <c r="AN2084" s="12" t="n"/>
      <c r="AO2084" s="14">
        <f>IF($AF2084="保留中",COUNTIF($AF$6:$AF2084,"保留中"),"")</f>
        <v/>
      </c>
      <c r="AP2084" s="14">
        <f>IF($AQ2084="","",IF(SUMPRODUCT(MAX((職員マスタ!$A$6:$A$405=$B2084)*(((職員マスタ!$G$6:$G$405="")+(職員マスタ!$G$6:$G$405&lt;=EOMONTH($AQ2084,0)))&gt;0)*(((職員マスタ!$H$6:$H$405="")+(職員マスタ!$H$6:$H$405&gt;=$AQ2084))&gt;0)*(ROW(職員マスタ!$A$6:$A$405)-5)))&gt;0,SUMPRODUCT(MAX((職員マスタ!$A$6:$A$405=$B2084)*(((職員マスタ!$G$6:$G$405="")+(職員マスタ!$G$6:$G$405&lt;=EOMONTH($AQ2084,0)))&gt;0)*(((職員マスタ!$H$6:$H$405="")+(職員マスタ!$H$6:$H$405&gt;=$AQ2084))&gt;0)*(ROW(職員マスタ!$A$6:$A$405)-5))),IFERROR(MATCH($B2084,職員マスタ!$A$6:$A$405,0),"")))</f>
        <v/>
      </c>
      <c r="AQ2084" s="16">
        <f>IF(OR($B2084="",$C2084="",$D2084=""),"",DATE($C2084+2018,$D2084,1))</f>
        <v/>
      </c>
    </row>
    <row r="2085">
      <c r="A2085" s="11" t="n"/>
      <c r="B2085" s="12" t="n"/>
      <c r="C2085" s="12" t="n"/>
      <c r="D2085" s="12" t="n"/>
      <c r="E2085" s="13" t="n"/>
      <c r="F2085" s="12" t="n"/>
      <c r="G2085" s="13" t="n"/>
      <c r="H2085" s="12" t="n"/>
      <c r="I2085" s="12" t="n"/>
      <c r="J2085" s="12" t="n"/>
      <c r="K2085" s="12" t="n"/>
      <c r="L2085" s="11" t="n"/>
      <c r="M2085" s="11" t="n"/>
      <c r="N2085" s="11" t="n"/>
      <c r="O2085" s="11" t="n"/>
      <c r="P2085" s="12" t="n"/>
      <c r="Q2085" s="11" t="n"/>
      <c r="R2085" s="12" t="n"/>
      <c r="S2085" s="11" t="n"/>
      <c r="T2085" s="12" t="n"/>
      <c r="U2085" s="12" t="n"/>
      <c r="V2085" s="12" t="n"/>
      <c r="W2085" s="13" t="n"/>
      <c r="X2085" s="14">
        <f>IF($AP2085="",IF($B2085="","",$H2085),IF(INDEX(職員マスタ!$B$6:$B$405,$AP2085)="",$H2085,INDEX(職員マスタ!$B$6:$B$405,$AP2085)))</f>
        <v/>
      </c>
      <c r="Y2085" s="14">
        <f>IF($AP2085="",IF($B2085="","",$R2085),IF(INDEX(職員マスタ!$C$6:$C$405,$AP2085)="",$R2085,INDEX(職員マスタ!$C$6:$C$405,$AP2085)))</f>
        <v/>
      </c>
      <c r="Z2085" s="14">
        <f>IF($AQ2085="","","R"&amp;$C2085&amp;"."&amp;$D2085)</f>
        <v/>
      </c>
      <c r="AA2085" s="15">
        <f>IF(IF($AP2085="",FALSE,INDEX(職員マスタ!$K$6:$K$405,$AP2085)&lt;&gt;""),INDEX(職員マスタ!$K$6:$K$405,$AP2085),IF(N($W2085)&gt;0,$W2085,""))</f>
        <v/>
      </c>
      <c r="AB2085" s="14">
        <f>IF(OR($E2085="",$AA2085=""),"",IF($E2085&gt;=$AA2085,"×",IF($E2085&gt;=$AA2085*設定!$C$5,"△","○")))</f>
        <v/>
      </c>
      <c r="AC2085" s="15">
        <f>IF($AB2085="","",IF($AB2085="×",0,IF($AB2085="○",ROUNDDOWN($E2085*設定!$C$4,0),ROUNDDOWN($E2085*ROUND((9*$AA2085-9*$E2085)/(10*$E2085),4),0))))</f>
        <v/>
      </c>
      <c r="AD2085" s="13" t="n"/>
      <c r="AE2085" s="15">
        <f>IF($B2085="","",IF($AD2085&lt;&gt;"",$AD2085,IF($AC2085="","",IF($AC2085&lt;=設定!$C$3,0,$AC2085))))</f>
        <v/>
      </c>
      <c r="AF2085" s="14">
        <f>IF($B2085="","",IF(AND($AG2085&lt;&gt;"",$AI2085="",$AL2085=""),"保留中",IF($AL2085&lt;&gt;"",IF(N($AE2085)&gt;0,"支給済","不支給"),IF($AE2085="","要確認",IF($AE2085=0,"不支給","未処理")))))</f>
        <v/>
      </c>
      <c r="AG2085" s="12" t="n"/>
      <c r="AH2085" s="11" t="n"/>
      <c r="AI2085" s="11" t="n"/>
      <c r="AJ2085" s="11" t="n"/>
      <c r="AK2085" s="14">
        <f>IF(AND($AF2085="保留中",$AH2085&lt;&gt;""),TODAY()-$AH2085,"")</f>
        <v/>
      </c>
      <c r="AL2085" s="12" t="n"/>
      <c r="AM2085" s="14">
        <f>IF($B2085="","",IF($AQ2085="","対象年月が未入力／","")&amp;IF($B2085="","",IF($AP2085="","職員マスタに未登録の職員番号／",IF($AA2085="","標準報酬月額が未登録／","")&amp;IF(AND($AQ2085&lt;&gt;"",OR(AND(INDEX(職員マスタ!$G$6:$G$405,$AP2085)&lt;&gt;"",INDEX(職員マスタ!$G$6:$G$405,$AP2085)&gt;EOMONTH($AQ2085,0)),AND(INDEX(職員マスタ!$H$6:$H$405,$AP2085)&lt;&gt;"",INDEX(職員マスタ!$H$6:$H$405,$AP2085)&lt;$AQ2085))),"対象月が時短期間外／","")&amp;IF(AND(INDEX(職員マスタ!$K$6:$K$405,$AP2085)&lt;&gt;"",N($W2085)&gt;0,INDEX(職員マスタ!$K$6:$K$405,$AP2085)&lt;&gt;$W2085),"標準報酬月額が申請書と相違（台帳"&amp;TEXT(INDEX(職員マスタ!$K$6:$K$405,$AP2085),"#,##0")&amp;"円／申請書"&amp;TEXT($W2085,"#,##0")&amp;"円）／","")&amp;IF(AND(INDEX(職員マスタ!$F$6:$F$405,$AP2085)&lt;&gt;"",$AQ2085&lt;&gt;"",INDEX(職員マスタ!$F$6:$F$405,$AP2085)&lt;$AQ2085),"対象月に子が2歳到達済／","")&amp;IF(AND($H2085&lt;&gt;"",INDEX(職員マスタ!$B$6:$B$405,$AP2085)&lt;&gt;"",SUBSTITUTE(SUBSTITUTE($H2085," ","")," ","")&lt;&gt;SUBSTITUTE(SUBSTITUTE(INDEX(職員マスタ!$B$6:$B$405,$AP2085)," ","")," ","")),"氏名がマスタと相違／","")&amp;IF(AND($Q2085&lt;&gt;"",INDEX(職員マスタ!$E$6:$E$405,$AP2085)&lt;&gt;"",$Q2085&lt;&gt;INDEX(職員マスタ!$E$6:$E$405,$AP2085)),"子の生年月日がマスタと相違／","")&amp;IF(AND($L2085&lt;&gt;"",INDEX(職員マスタ!$G$6:$G$405,$AP2085)&lt;&gt;"",$L2085&lt;&gt;INDEX(職員マスタ!$G$6:$G$405,$AP2085)),"時短開始日がマスタと相違／","")&amp;IF(AND($M2085&lt;&gt;"",INDEX(職員マスタ!$H$6:$H$405,$AP2085)&lt;&gt;"",$M2085&lt;&gt;INDEX(職員マスタ!$H$6:$H$405,$AP2085)),"時短終了日がマスタと相違／","")))&amp;IF(AND($B2085&lt;&gt;"",$E2085=""),"報酬額が未入力／","")&amp;IF(N($U2085)&gt;0,"申請書に入力エラーが残っています／","")&amp;IF(AND($B2085&lt;&gt;"",$AQ2085&lt;&gt;""),IF(COUNTIFS($B$6:$B$3005,$B2085,$C$6:$C$3005,$C2085,$D$6:$D$3005,$D2085)&gt;1,"同じ月の請求が重複しています／",""),"")&amp;IF(AND(N($E2085)&gt;0,$AB2085&lt;&gt;"",$AB2085&lt;&gt;"×",$AE2085=0,$AD2085=""),"計算額が下限以下のため不支給／",""))</f>
        <v/>
      </c>
      <c r="AN2085" s="12" t="n"/>
      <c r="AO2085" s="14">
        <f>IF($AF2085="保留中",COUNTIF($AF$6:$AF2085,"保留中"),"")</f>
        <v/>
      </c>
      <c r="AP2085" s="14">
        <f>IF($AQ2085="","",IF(SUMPRODUCT(MAX((職員マスタ!$A$6:$A$405=$B2085)*(((職員マスタ!$G$6:$G$405="")+(職員マスタ!$G$6:$G$405&lt;=EOMONTH($AQ2085,0)))&gt;0)*(((職員マスタ!$H$6:$H$405="")+(職員マスタ!$H$6:$H$405&gt;=$AQ2085))&gt;0)*(ROW(職員マスタ!$A$6:$A$405)-5)))&gt;0,SUMPRODUCT(MAX((職員マスタ!$A$6:$A$405=$B2085)*(((職員マスタ!$G$6:$G$405="")+(職員マスタ!$G$6:$G$405&lt;=EOMONTH($AQ2085,0)))&gt;0)*(((職員マスタ!$H$6:$H$405="")+(職員マスタ!$H$6:$H$405&gt;=$AQ2085))&gt;0)*(ROW(職員マスタ!$A$6:$A$405)-5))),IFERROR(MATCH($B2085,職員マスタ!$A$6:$A$405,0),"")))</f>
        <v/>
      </c>
      <c r="AQ2085" s="16">
        <f>IF(OR($B2085="",$C2085="",$D2085=""),"",DATE($C2085+2018,$D2085,1))</f>
        <v/>
      </c>
    </row>
    <row r="2086">
      <c r="A2086" s="11" t="n"/>
      <c r="B2086" s="12" t="n"/>
      <c r="C2086" s="12" t="n"/>
      <c r="D2086" s="12" t="n"/>
      <c r="E2086" s="13" t="n"/>
      <c r="F2086" s="12" t="n"/>
      <c r="G2086" s="13" t="n"/>
      <c r="H2086" s="12" t="n"/>
      <c r="I2086" s="12" t="n"/>
      <c r="J2086" s="12" t="n"/>
      <c r="K2086" s="12" t="n"/>
      <c r="L2086" s="11" t="n"/>
      <c r="M2086" s="11" t="n"/>
      <c r="N2086" s="11" t="n"/>
      <c r="O2086" s="11" t="n"/>
      <c r="P2086" s="12" t="n"/>
      <c r="Q2086" s="11" t="n"/>
      <c r="R2086" s="12" t="n"/>
      <c r="S2086" s="11" t="n"/>
      <c r="T2086" s="12" t="n"/>
      <c r="U2086" s="12" t="n"/>
      <c r="V2086" s="12" t="n"/>
      <c r="W2086" s="13" t="n"/>
      <c r="X2086" s="14">
        <f>IF($AP2086="",IF($B2086="","",$H2086),IF(INDEX(職員マスタ!$B$6:$B$405,$AP2086)="",$H2086,INDEX(職員マスタ!$B$6:$B$405,$AP2086)))</f>
        <v/>
      </c>
      <c r="Y2086" s="14">
        <f>IF($AP2086="",IF($B2086="","",$R2086),IF(INDEX(職員マスタ!$C$6:$C$405,$AP2086)="",$R2086,INDEX(職員マスタ!$C$6:$C$405,$AP2086)))</f>
        <v/>
      </c>
      <c r="Z2086" s="14">
        <f>IF($AQ2086="","","R"&amp;$C2086&amp;"."&amp;$D2086)</f>
        <v/>
      </c>
      <c r="AA2086" s="15">
        <f>IF(IF($AP2086="",FALSE,INDEX(職員マスタ!$K$6:$K$405,$AP2086)&lt;&gt;""),INDEX(職員マスタ!$K$6:$K$405,$AP2086),IF(N($W2086)&gt;0,$W2086,""))</f>
        <v/>
      </c>
      <c r="AB2086" s="14">
        <f>IF(OR($E2086="",$AA2086=""),"",IF($E2086&gt;=$AA2086,"×",IF($E2086&gt;=$AA2086*設定!$C$5,"△","○")))</f>
        <v/>
      </c>
      <c r="AC2086" s="15">
        <f>IF($AB2086="","",IF($AB2086="×",0,IF($AB2086="○",ROUNDDOWN($E2086*設定!$C$4,0),ROUNDDOWN($E2086*ROUND((9*$AA2086-9*$E2086)/(10*$E2086),4),0))))</f>
        <v/>
      </c>
      <c r="AD2086" s="13" t="n"/>
      <c r="AE2086" s="15">
        <f>IF($B2086="","",IF($AD2086&lt;&gt;"",$AD2086,IF($AC2086="","",IF($AC2086&lt;=設定!$C$3,0,$AC2086))))</f>
        <v/>
      </c>
      <c r="AF2086" s="14">
        <f>IF($B2086="","",IF(AND($AG2086&lt;&gt;"",$AI2086="",$AL2086=""),"保留中",IF($AL2086&lt;&gt;"",IF(N($AE2086)&gt;0,"支給済","不支給"),IF($AE2086="","要確認",IF($AE2086=0,"不支給","未処理")))))</f>
        <v/>
      </c>
      <c r="AG2086" s="12" t="n"/>
      <c r="AH2086" s="11" t="n"/>
      <c r="AI2086" s="11" t="n"/>
      <c r="AJ2086" s="11" t="n"/>
      <c r="AK2086" s="14">
        <f>IF(AND($AF2086="保留中",$AH2086&lt;&gt;""),TODAY()-$AH2086,"")</f>
        <v/>
      </c>
      <c r="AL2086" s="12" t="n"/>
      <c r="AM2086" s="14">
        <f>IF($B2086="","",IF($AQ2086="","対象年月が未入力／","")&amp;IF($B2086="","",IF($AP2086="","職員マスタに未登録の職員番号／",IF($AA2086="","標準報酬月額が未登録／","")&amp;IF(AND($AQ2086&lt;&gt;"",OR(AND(INDEX(職員マスタ!$G$6:$G$405,$AP2086)&lt;&gt;"",INDEX(職員マスタ!$G$6:$G$405,$AP2086)&gt;EOMONTH($AQ2086,0)),AND(INDEX(職員マスタ!$H$6:$H$405,$AP2086)&lt;&gt;"",INDEX(職員マスタ!$H$6:$H$405,$AP2086)&lt;$AQ2086))),"対象月が時短期間外／","")&amp;IF(AND(INDEX(職員マスタ!$K$6:$K$405,$AP2086)&lt;&gt;"",N($W2086)&gt;0,INDEX(職員マスタ!$K$6:$K$405,$AP2086)&lt;&gt;$W2086),"標準報酬月額が申請書と相違（台帳"&amp;TEXT(INDEX(職員マスタ!$K$6:$K$405,$AP2086),"#,##0")&amp;"円／申請書"&amp;TEXT($W2086,"#,##0")&amp;"円）／","")&amp;IF(AND(INDEX(職員マスタ!$F$6:$F$405,$AP2086)&lt;&gt;"",$AQ2086&lt;&gt;"",INDEX(職員マスタ!$F$6:$F$405,$AP2086)&lt;$AQ2086),"対象月に子が2歳到達済／","")&amp;IF(AND($H2086&lt;&gt;"",INDEX(職員マスタ!$B$6:$B$405,$AP2086)&lt;&gt;"",SUBSTITUTE(SUBSTITUTE($H2086," ","")," ","")&lt;&gt;SUBSTITUTE(SUBSTITUTE(INDEX(職員マスタ!$B$6:$B$405,$AP2086)," ","")," ","")),"氏名がマスタと相違／","")&amp;IF(AND($Q2086&lt;&gt;"",INDEX(職員マスタ!$E$6:$E$405,$AP2086)&lt;&gt;"",$Q2086&lt;&gt;INDEX(職員マスタ!$E$6:$E$405,$AP2086)),"子の生年月日がマスタと相違／","")&amp;IF(AND($L2086&lt;&gt;"",INDEX(職員マスタ!$G$6:$G$405,$AP2086)&lt;&gt;"",$L2086&lt;&gt;INDEX(職員マスタ!$G$6:$G$405,$AP2086)),"時短開始日がマスタと相違／","")&amp;IF(AND($M2086&lt;&gt;"",INDEX(職員マスタ!$H$6:$H$405,$AP2086)&lt;&gt;"",$M2086&lt;&gt;INDEX(職員マスタ!$H$6:$H$405,$AP2086)),"時短終了日がマスタと相違／","")))&amp;IF(AND($B2086&lt;&gt;"",$E2086=""),"報酬額が未入力／","")&amp;IF(N($U2086)&gt;0,"申請書に入力エラーが残っています／","")&amp;IF(AND($B2086&lt;&gt;"",$AQ2086&lt;&gt;""),IF(COUNTIFS($B$6:$B$3005,$B2086,$C$6:$C$3005,$C2086,$D$6:$D$3005,$D2086)&gt;1,"同じ月の請求が重複しています／",""),"")&amp;IF(AND(N($E2086)&gt;0,$AB2086&lt;&gt;"",$AB2086&lt;&gt;"×",$AE2086=0,$AD2086=""),"計算額が下限以下のため不支給／",""))</f>
        <v/>
      </c>
      <c r="AN2086" s="12" t="n"/>
      <c r="AO2086" s="14">
        <f>IF($AF2086="保留中",COUNTIF($AF$6:$AF2086,"保留中"),"")</f>
        <v/>
      </c>
      <c r="AP2086" s="14">
        <f>IF($AQ2086="","",IF(SUMPRODUCT(MAX((職員マスタ!$A$6:$A$405=$B2086)*(((職員マスタ!$G$6:$G$405="")+(職員マスタ!$G$6:$G$405&lt;=EOMONTH($AQ2086,0)))&gt;0)*(((職員マスタ!$H$6:$H$405="")+(職員マスタ!$H$6:$H$405&gt;=$AQ2086))&gt;0)*(ROW(職員マスタ!$A$6:$A$405)-5)))&gt;0,SUMPRODUCT(MAX((職員マスタ!$A$6:$A$405=$B2086)*(((職員マスタ!$G$6:$G$405="")+(職員マスタ!$G$6:$G$405&lt;=EOMONTH($AQ2086,0)))&gt;0)*(((職員マスタ!$H$6:$H$405="")+(職員マスタ!$H$6:$H$405&gt;=$AQ2086))&gt;0)*(ROW(職員マスタ!$A$6:$A$405)-5))),IFERROR(MATCH($B2086,職員マスタ!$A$6:$A$405,0),"")))</f>
        <v/>
      </c>
      <c r="AQ2086" s="16">
        <f>IF(OR($B2086="",$C2086="",$D2086=""),"",DATE($C2086+2018,$D2086,1))</f>
        <v/>
      </c>
    </row>
    <row r="2087">
      <c r="A2087" s="11" t="n"/>
      <c r="B2087" s="12" t="n"/>
      <c r="C2087" s="12" t="n"/>
      <c r="D2087" s="12" t="n"/>
      <c r="E2087" s="13" t="n"/>
      <c r="F2087" s="12" t="n"/>
      <c r="G2087" s="13" t="n"/>
      <c r="H2087" s="12" t="n"/>
      <c r="I2087" s="12" t="n"/>
      <c r="J2087" s="12" t="n"/>
      <c r="K2087" s="12" t="n"/>
      <c r="L2087" s="11" t="n"/>
      <c r="M2087" s="11" t="n"/>
      <c r="N2087" s="11" t="n"/>
      <c r="O2087" s="11" t="n"/>
      <c r="P2087" s="12" t="n"/>
      <c r="Q2087" s="11" t="n"/>
      <c r="R2087" s="12" t="n"/>
      <c r="S2087" s="11" t="n"/>
      <c r="T2087" s="12" t="n"/>
      <c r="U2087" s="12" t="n"/>
      <c r="V2087" s="12" t="n"/>
      <c r="W2087" s="13" t="n"/>
      <c r="X2087" s="14">
        <f>IF($AP2087="",IF($B2087="","",$H2087),IF(INDEX(職員マスタ!$B$6:$B$405,$AP2087)="",$H2087,INDEX(職員マスタ!$B$6:$B$405,$AP2087)))</f>
        <v/>
      </c>
      <c r="Y2087" s="14">
        <f>IF($AP2087="",IF($B2087="","",$R2087),IF(INDEX(職員マスタ!$C$6:$C$405,$AP2087)="",$R2087,INDEX(職員マスタ!$C$6:$C$405,$AP2087)))</f>
        <v/>
      </c>
      <c r="Z2087" s="14">
        <f>IF($AQ2087="","","R"&amp;$C2087&amp;"."&amp;$D2087)</f>
        <v/>
      </c>
      <c r="AA2087" s="15">
        <f>IF(IF($AP2087="",FALSE,INDEX(職員マスタ!$K$6:$K$405,$AP2087)&lt;&gt;""),INDEX(職員マスタ!$K$6:$K$405,$AP2087),IF(N($W2087)&gt;0,$W2087,""))</f>
        <v/>
      </c>
      <c r="AB2087" s="14">
        <f>IF(OR($E2087="",$AA2087=""),"",IF($E2087&gt;=$AA2087,"×",IF($E2087&gt;=$AA2087*設定!$C$5,"△","○")))</f>
        <v/>
      </c>
      <c r="AC2087" s="15">
        <f>IF($AB2087="","",IF($AB2087="×",0,IF($AB2087="○",ROUNDDOWN($E2087*設定!$C$4,0),ROUNDDOWN($E2087*ROUND((9*$AA2087-9*$E2087)/(10*$E2087),4),0))))</f>
        <v/>
      </c>
      <c r="AD2087" s="13" t="n"/>
      <c r="AE2087" s="15">
        <f>IF($B2087="","",IF($AD2087&lt;&gt;"",$AD2087,IF($AC2087="","",IF($AC2087&lt;=設定!$C$3,0,$AC2087))))</f>
        <v/>
      </c>
      <c r="AF2087" s="14">
        <f>IF($B2087="","",IF(AND($AG2087&lt;&gt;"",$AI2087="",$AL2087=""),"保留中",IF($AL2087&lt;&gt;"",IF(N($AE2087)&gt;0,"支給済","不支給"),IF($AE2087="","要確認",IF($AE2087=0,"不支給","未処理")))))</f>
        <v/>
      </c>
      <c r="AG2087" s="12" t="n"/>
      <c r="AH2087" s="11" t="n"/>
      <c r="AI2087" s="11" t="n"/>
      <c r="AJ2087" s="11" t="n"/>
      <c r="AK2087" s="14">
        <f>IF(AND($AF2087="保留中",$AH2087&lt;&gt;""),TODAY()-$AH2087,"")</f>
        <v/>
      </c>
      <c r="AL2087" s="12" t="n"/>
      <c r="AM2087" s="14">
        <f>IF($B2087="","",IF($AQ2087="","対象年月が未入力／","")&amp;IF($B2087="","",IF($AP2087="","職員マスタに未登録の職員番号／",IF($AA2087="","標準報酬月額が未登録／","")&amp;IF(AND($AQ2087&lt;&gt;"",OR(AND(INDEX(職員マスタ!$G$6:$G$405,$AP2087)&lt;&gt;"",INDEX(職員マスタ!$G$6:$G$405,$AP2087)&gt;EOMONTH($AQ2087,0)),AND(INDEX(職員マスタ!$H$6:$H$405,$AP2087)&lt;&gt;"",INDEX(職員マスタ!$H$6:$H$405,$AP2087)&lt;$AQ2087))),"対象月が時短期間外／","")&amp;IF(AND(INDEX(職員マスタ!$K$6:$K$405,$AP2087)&lt;&gt;"",N($W2087)&gt;0,INDEX(職員マスタ!$K$6:$K$405,$AP2087)&lt;&gt;$W2087),"標準報酬月額が申請書と相違（台帳"&amp;TEXT(INDEX(職員マスタ!$K$6:$K$405,$AP2087),"#,##0")&amp;"円／申請書"&amp;TEXT($W2087,"#,##0")&amp;"円）／","")&amp;IF(AND(INDEX(職員マスタ!$F$6:$F$405,$AP2087)&lt;&gt;"",$AQ2087&lt;&gt;"",INDEX(職員マスタ!$F$6:$F$405,$AP2087)&lt;$AQ2087),"対象月に子が2歳到達済／","")&amp;IF(AND($H2087&lt;&gt;"",INDEX(職員マスタ!$B$6:$B$405,$AP2087)&lt;&gt;"",SUBSTITUTE(SUBSTITUTE($H2087," ","")," ","")&lt;&gt;SUBSTITUTE(SUBSTITUTE(INDEX(職員マスタ!$B$6:$B$405,$AP2087)," ","")," ","")),"氏名がマスタと相違／","")&amp;IF(AND($Q2087&lt;&gt;"",INDEX(職員マスタ!$E$6:$E$405,$AP2087)&lt;&gt;"",$Q2087&lt;&gt;INDEX(職員マスタ!$E$6:$E$405,$AP2087)),"子の生年月日がマスタと相違／","")&amp;IF(AND($L2087&lt;&gt;"",INDEX(職員マスタ!$G$6:$G$405,$AP2087)&lt;&gt;"",$L2087&lt;&gt;INDEX(職員マスタ!$G$6:$G$405,$AP2087)),"時短開始日がマスタと相違／","")&amp;IF(AND($M2087&lt;&gt;"",INDEX(職員マスタ!$H$6:$H$405,$AP2087)&lt;&gt;"",$M2087&lt;&gt;INDEX(職員マスタ!$H$6:$H$405,$AP2087)),"時短終了日がマスタと相違／","")))&amp;IF(AND($B2087&lt;&gt;"",$E2087=""),"報酬額が未入力／","")&amp;IF(N($U2087)&gt;0,"申請書に入力エラーが残っています／","")&amp;IF(AND($B2087&lt;&gt;"",$AQ2087&lt;&gt;""),IF(COUNTIFS($B$6:$B$3005,$B2087,$C$6:$C$3005,$C2087,$D$6:$D$3005,$D2087)&gt;1,"同じ月の請求が重複しています／",""),"")&amp;IF(AND(N($E2087)&gt;0,$AB2087&lt;&gt;"",$AB2087&lt;&gt;"×",$AE2087=0,$AD2087=""),"計算額が下限以下のため不支給／",""))</f>
        <v/>
      </c>
      <c r="AN2087" s="12" t="n"/>
      <c r="AO2087" s="14">
        <f>IF($AF2087="保留中",COUNTIF($AF$6:$AF2087,"保留中"),"")</f>
        <v/>
      </c>
      <c r="AP2087" s="14">
        <f>IF($AQ2087="","",IF(SUMPRODUCT(MAX((職員マスタ!$A$6:$A$405=$B2087)*(((職員マスタ!$G$6:$G$405="")+(職員マスタ!$G$6:$G$405&lt;=EOMONTH($AQ2087,0)))&gt;0)*(((職員マスタ!$H$6:$H$405="")+(職員マスタ!$H$6:$H$405&gt;=$AQ2087))&gt;0)*(ROW(職員マスタ!$A$6:$A$405)-5)))&gt;0,SUMPRODUCT(MAX((職員マスタ!$A$6:$A$405=$B2087)*(((職員マスタ!$G$6:$G$405="")+(職員マスタ!$G$6:$G$405&lt;=EOMONTH($AQ2087,0)))&gt;0)*(((職員マスタ!$H$6:$H$405="")+(職員マスタ!$H$6:$H$405&gt;=$AQ2087))&gt;0)*(ROW(職員マスタ!$A$6:$A$405)-5))),IFERROR(MATCH($B2087,職員マスタ!$A$6:$A$405,0),"")))</f>
        <v/>
      </c>
      <c r="AQ2087" s="16">
        <f>IF(OR($B2087="",$C2087="",$D2087=""),"",DATE($C2087+2018,$D2087,1))</f>
        <v/>
      </c>
    </row>
    <row r="2088">
      <c r="A2088" s="11" t="n"/>
      <c r="B2088" s="12" t="n"/>
      <c r="C2088" s="12" t="n"/>
      <c r="D2088" s="12" t="n"/>
      <c r="E2088" s="13" t="n"/>
      <c r="F2088" s="12" t="n"/>
      <c r="G2088" s="13" t="n"/>
      <c r="H2088" s="12" t="n"/>
      <c r="I2088" s="12" t="n"/>
      <c r="J2088" s="12" t="n"/>
      <c r="K2088" s="12" t="n"/>
      <c r="L2088" s="11" t="n"/>
      <c r="M2088" s="11" t="n"/>
      <c r="N2088" s="11" t="n"/>
      <c r="O2088" s="11" t="n"/>
      <c r="P2088" s="12" t="n"/>
      <c r="Q2088" s="11" t="n"/>
      <c r="R2088" s="12" t="n"/>
      <c r="S2088" s="11" t="n"/>
      <c r="T2088" s="12" t="n"/>
      <c r="U2088" s="12" t="n"/>
      <c r="V2088" s="12" t="n"/>
      <c r="W2088" s="13" t="n"/>
      <c r="X2088" s="14">
        <f>IF($AP2088="",IF($B2088="","",$H2088),IF(INDEX(職員マスタ!$B$6:$B$405,$AP2088)="",$H2088,INDEX(職員マスタ!$B$6:$B$405,$AP2088)))</f>
        <v/>
      </c>
      <c r="Y2088" s="14">
        <f>IF($AP2088="",IF($B2088="","",$R2088),IF(INDEX(職員マスタ!$C$6:$C$405,$AP2088)="",$R2088,INDEX(職員マスタ!$C$6:$C$405,$AP2088)))</f>
        <v/>
      </c>
      <c r="Z2088" s="14">
        <f>IF($AQ2088="","","R"&amp;$C2088&amp;"."&amp;$D2088)</f>
        <v/>
      </c>
      <c r="AA2088" s="15">
        <f>IF(IF($AP2088="",FALSE,INDEX(職員マスタ!$K$6:$K$405,$AP2088)&lt;&gt;""),INDEX(職員マスタ!$K$6:$K$405,$AP2088),IF(N($W2088)&gt;0,$W2088,""))</f>
        <v/>
      </c>
      <c r="AB2088" s="14">
        <f>IF(OR($E2088="",$AA2088=""),"",IF($E2088&gt;=$AA2088,"×",IF($E2088&gt;=$AA2088*設定!$C$5,"△","○")))</f>
        <v/>
      </c>
      <c r="AC2088" s="15">
        <f>IF($AB2088="","",IF($AB2088="×",0,IF($AB2088="○",ROUNDDOWN($E2088*設定!$C$4,0),ROUNDDOWN($E2088*ROUND((9*$AA2088-9*$E2088)/(10*$E2088),4),0))))</f>
        <v/>
      </c>
      <c r="AD2088" s="13" t="n"/>
      <c r="AE2088" s="15">
        <f>IF($B2088="","",IF($AD2088&lt;&gt;"",$AD2088,IF($AC2088="","",IF($AC2088&lt;=設定!$C$3,0,$AC2088))))</f>
        <v/>
      </c>
      <c r="AF2088" s="14">
        <f>IF($B2088="","",IF(AND($AG2088&lt;&gt;"",$AI2088="",$AL2088=""),"保留中",IF($AL2088&lt;&gt;"",IF(N($AE2088)&gt;0,"支給済","不支給"),IF($AE2088="","要確認",IF($AE2088=0,"不支給","未処理")))))</f>
        <v/>
      </c>
      <c r="AG2088" s="12" t="n"/>
      <c r="AH2088" s="11" t="n"/>
      <c r="AI2088" s="11" t="n"/>
      <c r="AJ2088" s="11" t="n"/>
      <c r="AK2088" s="14">
        <f>IF(AND($AF2088="保留中",$AH2088&lt;&gt;""),TODAY()-$AH2088,"")</f>
        <v/>
      </c>
      <c r="AL2088" s="12" t="n"/>
      <c r="AM2088" s="14">
        <f>IF($B2088="","",IF($AQ2088="","対象年月が未入力／","")&amp;IF($B2088="","",IF($AP2088="","職員マスタに未登録の職員番号／",IF($AA2088="","標準報酬月額が未登録／","")&amp;IF(AND($AQ2088&lt;&gt;"",OR(AND(INDEX(職員マスタ!$G$6:$G$405,$AP2088)&lt;&gt;"",INDEX(職員マスタ!$G$6:$G$405,$AP2088)&gt;EOMONTH($AQ2088,0)),AND(INDEX(職員マスタ!$H$6:$H$405,$AP2088)&lt;&gt;"",INDEX(職員マスタ!$H$6:$H$405,$AP2088)&lt;$AQ2088))),"対象月が時短期間外／","")&amp;IF(AND(INDEX(職員マスタ!$K$6:$K$405,$AP2088)&lt;&gt;"",N($W2088)&gt;0,INDEX(職員マスタ!$K$6:$K$405,$AP2088)&lt;&gt;$W2088),"標準報酬月額が申請書と相違（台帳"&amp;TEXT(INDEX(職員マスタ!$K$6:$K$405,$AP2088),"#,##0")&amp;"円／申請書"&amp;TEXT($W2088,"#,##0")&amp;"円）／","")&amp;IF(AND(INDEX(職員マスタ!$F$6:$F$405,$AP2088)&lt;&gt;"",$AQ2088&lt;&gt;"",INDEX(職員マスタ!$F$6:$F$405,$AP2088)&lt;$AQ2088),"対象月に子が2歳到達済／","")&amp;IF(AND($H2088&lt;&gt;"",INDEX(職員マスタ!$B$6:$B$405,$AP2088)&lt;&gt;"",SUBSTITUTE(SUBSTITUTE($H2088," ","")," ","")&lt;&gt;SUBSTITUTE(SUBSTITUTE(INDEX(職員マスタ!$B$6:$B$405,$AP2088)," ","")," ","")),"氏名がマスタと相違／","")&amp;IF(AND($Q2088&lt;&gt;"",INDEX(職員マスタ!$E$6:$E$405,$AP2088)&lt;&gt;"",$Q2088&lt;&gt;INDEX(職員マスタ!$E$6:$E$405,$AP2088)),"子の生年月日がマスタと相違／","")&amp;IF(AND($L2088&lt;&gt;"",INDEX(職員マスタ!$G$6:$G$405,$AP2088)&lt;&gt;"",$L2088&lt;&gt;INDEX(職員マスタ!$G$6:$G$405,$AP2088)),"時短開始日がマスタと相違／","")&amp;IF(AND($M2088&lt;&gt;"",INDEX(職員マスタ!$H$6:$H$405,$AP2088)&lt;&gt;"",$M2088&lt;&gt;INDEX(職員マスタ!$H$6:$H$405,$AP2088)),"時短終了日がマスタと相違／","")))&amp;IF(AND($B2088&lt;&gt;"",$E2088=""),"報酬額が未入力／","")&amp;IF(N($U2088)&gt;0,"申請書に入力エラーが残っています／","")&amp;IF(AND($B2088&lt;&gt;"",$AQ2088&lt;&gt;""),IF(COUNTIFS($B$6:$B$3005,$B2088,$C$6:$C$3005,$C2088,$D$6:$D$3005,$D2088)&gt;1,"同じ月の請求が重複しています／",""),"")&amp;IF(AND(N($E2088)&gt;0,$AB2088&lt;&gt;"",$AB2088&lt;&gt;"×",$AE2088=0,$AD2088=""),"計算額が下限以下のため不支給／",""))</f>
        <v/>
      </c>
      <c r="AN2088" s="12" t="n"/>
      <c r="AO2088" s="14">
        <f>IF($AF2088="保留中",COUNTIF($AF$6:$AF2088,"保留中"),"")</f>
        <v/>
      </c>
      <c r="AP2088" s="14">
        <f>IF($AQ2088="","",IF(SUMPRODUCT(MAX((職員マスタ!$A$6:$A$405=$B2088)*(((職員マスタ!$G$6:$G$405="")+(職員マスタ!$G$6:$G$405&lt;=EOMONTH($AQ2088,0)))&gt;0)*(((職員マスタ!$H$6:$H$405="")+(職員マスタ!$H$6:$H$405&gt;=$AQ2088))&gt;0)*(ROW(職員マスタ!$A$6:$A$405)-5)))&gt;0,SUMPRODUCT(MAX((職員マスタ!$A$6:$A$405=$B2088)*(((職員マスタ!$G$6:$G$405="")+(職員マスタ!$G$6:$G$405&lt;=EOMONTH($AQ2088,0)))&gt;0)*(((職員マスタ!$H$6:$H$405="")+(職員マスタ!$H$6:$H$405&gt;=$AQ2088))&gt;0)*(ROW(職員マスタ!$A$6:$A$405)-5))),IFERROR(MATCH($B2088,職員マスタ!$A$6:$A$405,0),"")))</f>
        <v/>
      </c>
      <c r="AQ2088" s="16">
        <f>IF(OR($B2088="",$C2088="",$D2088=""),"",DATE($C2088+2018,$D2088,1))</f>
        <v/>
      </c>
    </row>
    <row r="2089">
      <c r="A2089" s="11" t="n"/>
      <c r="B2089" s="12" t="n"/>
      <c r="C2089" s="12" t="n"/>
      <c r="D2089" s="12" t="n"/>
      <c r="E2089" s="13" t="n"/>
      <c r="F2089" s="12" t="n"/>
      <c r="G2089" s="13" t="n"/>
      <c r="H2089" s="12" t="n"/>
      <c r="I2089" s="12" t="n"/>
      <c r="J2089" s="12" t="n"/>
      <c r="K2089" s="12" t="n"/>
      <c r="L2089" s="11" t="n"/>
      <c r="M2089" s="11" t="n"/>
      <c r="N2089" s="11" t="n"/>
      <c r="O2089" s="11" t="n"/>
      <c r="P2089" s="12" t="n"/>
      <c r="Q2089" s="11" t="n"/>
      <c r="R2089" s="12" t="n"/>
      <c r="S2089" s="11" t="n"/>
      <c r="T2089" s="12" t="n"/>
      <c r="U2089" s="12" t="n"/>
      <c r="V2089" s="12" t="n"/>
      <c r="W2089" s="13" t="n"/>
      <c r="X2089" s="14">
        <f>IF($AP2089="",IF($B2089="","",$H2089),IF(INDEX(職員マスタ!$B$6:$B$405,$AP2089)="",$H2089,INDEX(職員マスタ!$B$6:$B$405,$AP2089)))</f>
        <v/>
      </c>
      <c r="Y2089" s="14">
        <f>IF($AP2089="",IF($B2089="","",$R2089),IF(INDEX(職員マスタ!$C$6:$C$405,$AP2089)="",$R2089,INDEX(職員マスタ!$C$6:$C$405,$AP2089)))</f>
        <v/>
      </c>
      <c r="Z2089" s="14">
        <f>IF($AQ2089="","","R"&amp;$C2089&amp;"."&amp;$D2089)</f>
        <v/>
      </c>
      <c r="AA2089" s="15">
        <f>IF(IF($AP2089="",FALSE,INDEX(職員マスタ!$K$6:$K$405,$AP2089)&lt;&gt;""),INDEX(職員マスタ!$K$6:$K$405,$AP2089),IF(N($W2089)&gt;0,$W2089,""))</f>
        <v/>
      </c>
      <c r="AB2089" s="14">
        <f>IF(OR($E2089="",$AA2089=""),"",IF($E2089&gt;=$AA2089,"×",IF($E2089&gt;=$AA2089*設定!$C$5,"△","○")))</f>
        <v/>
      </c>
      <c r="AC2089" s="15">
        <f>IF($AB2089="","",IF($AB2089="×",0,IF($AB2089="○",ROUNDDOWN($E2089*設定!$C$4,0),ROUNDDOWN($E2089*ROUND((9*$AA2089-9*$E2089)/(10*$E2089),4),0))))</f>
        <v/>
      </c>
      <c r="AD2089" s="13" t="n"/>
      <c r="AE2089" s="15">
        <f>IF($B2089="","",IF($AD2089&lt;&gt;"",$AD2089,IF($AC2089="","",IF($AC2089&lt;=設定!$C$3,0,$AC2089))))</f>
        <v/>
      </c>
      <c r="AF2089" s="14">
        <f>IF($B2089="","",IF(AND($AG2089&lt;&gt;"",$AI2089="",$AL2089=""),"保留中",IF($AL2089&lt;&gt;"",IF(N($AE2089)&gt;0,"支給済","不支給"),IF($AE2089="","要確認",IF($AE2089=0,"不支給","未処理")))))</f>
        <v/>
      </c>
      <c r="AG2089" s="12" t="n"/>
      <c r="AH2089" s="11" t="n"/>
      <c r="AI2089" s="11" t="n"/>
      <c r="AJ2089" s="11" t="n"/>
      <c r="AK2089" s="14">
        <f>IF(AND($AF2089="保留中",$AH2089&lt;&gt;""),TODAY()-$AH2089,"")</f>
        <v/>
      </c>
      <c r="AL2089" s="12" t="n"/>
      <c r="AM2089" s="14">
        <f>IF($B2089="","",IF($AQ2089="","対象年月が未入力／","")&amp;IF($B2089="","",IF($AP2089="","職員マスタに未登録の職員番号／",IF($AA2089="","標準報酬月額が未登録／","")&amp;IF(AND($AQ2089&lt;&gt;"",OR(AND(INDEX(職員マスタ!$G$6:$G$405,$AP2089)&lt;&gt;"",INDEX(職員マスタ!$G$6:$G$405,$AP2089)&gt;EOMONTH($AQ2089,0)),AND(INDEX(職員マスタ!$H$6:$H$405,$AP2089)&lt;&gt;"",INDEX(職員マスタ!$H$6:$H$405,$AP2089)&lt;$AQ2089))),"対象月が時短期間外／","")&amp;IF(AND(INDEX(職員マスタ!$K$6:$K$405,$AP2089)&lt;&gt;"",N($W2089)&gt;0,INDEX(職員マスタ!$K$6:$K$405,$AP2089)&lt;&gt;$W2089),"標準報酬月額が申請書と相違（台帳"&amp;TEXT(INDEX(職員マスタ!$K$6:$K$405,$AP2089),"#,##0")&amp;"円／申請書"&amp;TEXT($W2089,"#,##0")&amp;"円）／","")&amp;IF(AND(INDEX(職員マスタ!$F$6:$F$405,$AP2089)&lt;&gt;"",$AQ2089&lt;&gt;"",INDEX(職員マスタ!$F$6:$F$405,$AP2089)&lt;$AQ2089),"対象月に子が2歳到達済／","")&amp;IF(AND($H2089&lt;&gt;"",INDEX(職員マスタ!$B$6:$B$405,$AP2089)&lt;&gt;"",SUBSTITUTE(SUBSTITUTE($H2089," ","")," ","")&lt;&gt;SUBSTITUTE(SUBSTITUTE(INDEX(職員マスタ!$B$6:$B$405,$AP2089)," ","")," ","")),"氏名がマスタと相違／","")&amp;IF(AND($Q2089&lt;&gt;"",INDEX(職員マスタ!$E$6:$E$405,$AP2089)&lt;&gt;"",$Q2089&lt;&gt;INDEX(職員マスタ!$E$6:$E$405,$AP2089)),"子の生年月日がマスタと相違／","")&amp;IF(AND($L2089&lt;&gt;"",INDEX(職員マスタ!$G$6:$G$405,$AP2089)&lt;&gt;"",$L2089&lt;&gt;INDEX(職員マスタ!$G$6:$G$405,$AP2089)),"時短開始日がマスタと相違／","")&amp;IF(AND($M2089&lt;&gt;"",INDEX(職員マスタ!$H$6:$H$405,$AP2089)&lt;&gt;"",$M2089&lt;&gt;INDEX(職員マスタ!$H$6:$H$405,$AP2089)),"時短終了日がマスタと相違／","")))&amp;IF(AND($B2089&lt;&gt;"",$E2089=""),"報酬額が未入力／","")&amp;IF(N($U2089)&gt;0,"申請書に入力エラーが残っています／","")&amp;IF(AND($B2089&lt;&gt;"",$AQ2089&lt;&gt;""),IF(COUNTIFS($B$6:$B$3005,$B2089,$C$6:$C$3005,$C2089,$D$6:$D$3005,$D2089)&gt;1,"同じ月の請求が重複しています／",""),"")&amp;IF(AND(N($E2089)&gt;0,$AB2089&lt;&gt;"",$AB2089&lt;&gt;"×",$AE2089=0,$AD2089=""),"計算額が下限以下のため不支給／",""))</f>
        <v/>
      </c>
      <c r="AN2089" s="12" t="n"/>
      <c r="AO2089" s="14">
        <f>IF($AF2089="保留中",COUNTIF($AF$6:$AF2089,"保留中"),"")</f>
        <v/>
      </c>
      <c r="AP2089" s="14">
        <f>IF($AQ2089="","",IF(SUMPRODUCT(MAX((職員マスタ!$A$6:$A$405=$B2089)*(((職員マスタ!$G$6:$G$405="")+(職員マスタ!$G$6:$G$405&lt;=EOMONTH($AQ2089,0)))&gt;0)*(((職員マスタ!$H$6:$H$405="")+(職員マスタ!$H$6:$H$405&gt;=$AQ2089))&gt;0)*(ROW(職員マスタ!$A$6:$A$405)-5)))&gt;0,SUMPRODUCT(MAX((職員マスタ!$A$6:$A$405=$B2089)*(((職員マスタ!$G$6:$G$405="")+(職員マスタ!$G$6:$G$405&lt;=EOMONTH($AQ2089,0)))&gt;0)*(((職員マスタ!$H$6:$H$405="")+(職員マスタ!$H$6:$H$405&gt;=$AQ2089))&gt;0)*(ROW(職員マスタ!$A$6:$A$405)-5))),IFERROR(MATCH($B2089,職員マスタ!$A$6:$A$405,0),"")))</f>
        <v/>
      </c>
      <c r="AQ2089" s="16">
        <f>IF(OR($B2089="",$C2089="",$D2089=""),"",DATE($C2089+2018,$D2089,1))</f>
        <v/>
      </c>
    </row>
    <row r="2090">
      <c r="A2090" s="11" t="n"/>
      <c r="B2090" s="12" t="n"/>
      <c r="C2090" s="12" t="n"/>
      <c r="D2090" s="12" t="n"/>
      <c r="E2090" s="13" t="n"/>
      <c r="F2090" s="12" t="n"/>
      <c r="G2090" s="13" t="n"/>
      <c r="H2090" s="12" t="n"/>
      <c r="I2090" s="12" t="n"/>
      <c r="J2090" s="12" t="n"/>
      <c r="K2090" s="12" t="n"/>
      <c r="L2090" s="11" t="n"/>
      <c r="M2090" s="11" t="n"/>
      <c r="N2090" s="11" t="n"/>
      <c r="O2090" s="11" t="n"/>
      <c r="P2090" s="12" t="n"/>
      <c r="Q2090" s="11" t="n"/>
      <c r="R2090" s="12" t="n"/>
      <c r="S2090" s="11" t="n"/>
      <c r="T2090" s="12" t="n"/>
      <c r="U2090" s="12" t="n"/>
      <c r="V2090" s="12" t="n"/>
      <c r="W2090" s="13" t="n"/>
      <c r="X2090" s="14">
        <f>IF($AP2090="",IF($B2090="","",$H2090),IF(INDEX(職員マスタ!$B$6:$B$405,$AP2090)="",$H2090,INDEX(職員マスタ!$B$6:$B$405,$AP2090)))</f>
        <v/>
      </c>
      <c r="Y2090" s="14">
        <f>IF($AP2090="",IF($B2090="","",$R2090),IF(INDEX(職員マスタ!$C$6:$C$405,$AP2090)="",$R2090,INDEX(職員マスタ!$C$6:$C$405,$AP2090)))</f>
        <v/>
      </c>
      <c r="Z2090" s="14">
        <f>IF($AQ2090="","","R"&amp;$C2090&amp;"."&amp;$D2090)</f>
        <v/>
      </c>
      <c r="AA2090" s="15">
        <f>IF(IF($AP2090="",FALSE,INDEX(職員マスタ!$K$6:$K$405,$AP2090)&lt;&gt;""),INDEX(職員マスタ!$K$6:$K$405,$AP2090),IF(N($W2090)&gt;0,$W2090,""))</f>
        <v/>
      </c>
      <c r="AB2090" s="14">
        <f>IF(OR($E2090="",$AA2090=""),"",IF($E2090&gt;=$AA2090,"×",IF($E2090&gt;=$AA2090*設定!$C$5,"△","○")))</f>
        <v/>
      </c>
      <c r="AC2090" s="15">
        <f>IF($AB2090="","",IF($AB2090="×",0,IF($AB2090="○",ROUNDDOWN($E2090*設定!$C$4,0),ROUNDDOWN($E2090*ROUND((9*$AA2090-9*$E2090)/(10*$E2090),4),0))))</f>
        <v/>
      </c>
      <c r="AD2090" s="13" t="n"/>
      <c r="AE2090" s="15">
        <f>IF($B2090="","",IF($AD2090&lt;&gt;"",$AD2090,IF($AC2090="","",IF($AC2090&lt;=設定!$C$3,0,$AC2090))))</f>
        <v/>
      </c>
      <c r="AF2090" s="14">
        <f>IF($B2090="","",IF(AND($AG2090&lt;&gt;"",$AI2090="",$AL2090=""),"保留中",IF($AL2090&lt;&gt;"",IF(N($AE2090)&gt;0,"支給済","不支給"),IF($AE2090="","要確認",IF($AE2090=0,"不支給","未処理")))))</f>
        <v/>
      </c>
      <c r="AG2090" s="12" t="n"/>
      <c r="AH2090" s="11" t="n"/>
      <c r="AI2090" s="11" t="n"/>
      <c r="AJ2090" s="11" t="n"/>
      <c r="AK2090" s="14">
        <f>IF(AND($AF2090="保留中",$AH2090&lt;&gt;""),TODAY()-$AH2090,"")</f>
        <v/>
      </c>
      <c r="AL2090" s="12" t="n"/>
      <c r="AM2090" s="14">
        <f>IF($B2090="","",IF($AQ2090="","対象年月が未入力／","")&amp;IF($B2090="","",IF($AP2090="","職員マスタに未登録の職員番号／",IF($AA2090="","標準報酬月額が未登録／","")&amp;IF(AND($AQ2090&lt;&gt;"",OR(AND(INDEX(職員マスタ!$G$6:$G$405,$AP2090)&lt;&gt;"",INDEX(職員マスタ!$G$6:$G$405,$AP2090)&gt;EOMONTH($AQ2090,0)),AND(INDEX(職員マスタ!$H$6:$H$405,$AP2090)&lt;&gt;"",INDEX(職員マスタ!$H$6:$H$405,$AP2090)&lt;$AQ2090))),"対象月が時短期間外／","")&amp;IF(AND(INDEX(職員マスタ!$K$6:$K$405,$AP2090)&lt;&gt;"",N($W2090)&gt;0,INDEX(職員マスタ!$K$6:$K$405,$AP2090)&lt;&gt;$W2090),"標準報酬月額が申請書と相違（台帳"&amp;TEXT(INDEX(職員マスタ!$K$6:$K$405,$AP2090),"#,##0")&amp;"円／申請書"&amp;TEXT($W2090,"#,##0")&amp;"円）／","")&amp;IF(AND(INDEX(職員マスタ!$F$6:$F$405,$AP2090)&lt;&gt;"",$AQ2090&lt;&gt;"",INDEX(職員マスタ!$F$6:$F$405,$AP2090)&lt;$AQ2090),"対象月に子が2歳到達済／","")&amp;IF(AND($H2090&lt;&gt;"",INDEX(職員マスタ!$B$6:$B$405,$AP2090)&lt;&gt;"",SUBSTITUTE(SUBSTITUTE($H2090," ","")," ","")&lt;&gt;SUBSTITUTE(SUBSTITUTE(INDEX(職員マスタ!$B$6:$B$405,$AP2090)," ","")," ","")),"氏名がマスタと相違／","")&amp;IF(AND($Q2090&lt;&gt;"",INDEX(職員マスタ!$E$6:$E$405,$AP2090)&lt;&gt;"",$Q2090&lt;&gt;INDEX(職員マスタ!$E$6:$E$405,$AP2090)),"子の生年月日がマスタと相違／","")&amp;IF(AND($L2090&lt;&gt;"",INDEX(職員マスタ!$G$6:$G$405,$AP2090)&lt;&gt;"",$L2090&lt;&gt;INDEX(職員マスタ!$G$6:$G$405,$AP2090)),"時短開始日がマスタと相違／","")&amp;IF(AND($M2090&lt;&gt;"",INDEX(職員マスタ!$H$6:$H$405,$AP2090)&lt;&gt;"",$M2090&lt;&gt;INDEX(職員マスタ!$H$6:$H$405,$AP2090)),"時短終了日がマスタと相違／","")))&amp;IF(AND($B2090&lt;&gt;"",$E2090=""),"報酬額が未入力／","")&amp;IF(N($U2090)&gt;0,"申請書に入力エラーが残っています／","")&amp;IF(AND($B2090&lt;&gt;"",$AQ2090&lt;&gt;""),IF(COUNTIFS($B$6:$B$3005,$B2090,$C$6:$C$3005,$C2090,$D$6:$D$3005,$D2090)&gt;1,"同じ月の請求が重複しています／",""),"")&amp;IF(AND(N($E2090)&gt;0,$AB2090&lt;&gt;"",$AB2090&lt;&gt;"×",$AE2090=0,$AD2090=""),"計算額が下限以下のため不支給／",""))</f>
        <v/>
      </c>
      <c r="AN2090" s="12" t="n"/>
      <c r="AO2090" s="14">
        <f>IF($AF2090="保留中",COUNTIF($AF$6:$AF2090,"保留中"),"")</f>
        <v/>
      </c>
      <c r="AP2090" s="14">
        <f>IF($AQ2090="","",IF(SUMPRODUCT(MAX((職員マスタ!$A$6:$A$405=$B2090)*(((職員マスタ!$G$6:$G$405="")+(職員マスタ!$G$6:$G$405&lt;=EOMONTH($AQ2090,0)))&gt;0)*(((職員マスタ!$H$6:$H$405="")+(職員マスタ!$H$6:$H$405&gt;=$AQ2090))&gt;0)*(ROW(職員マスタ!$A$6:$A$405)-5)))&gt;0,SUMPRODUCT(MAX((職員マスタ!$A$6:$A$405=$B2090)*(((職員マスタ!$G$6:$G$405="")+(職員マスタ!$G$6:$G$405&lt;=EOMONTH($AQ2090,0)))&gt;0)*(((職員マスタ!$H$6:$H$405="")+(職員マスタ!$H$6:$H$405&gt;=$AQ2090))&gt;0)*(ROW(職員マスタ!$A$6:$A$405)-5))),IFERROR(MATCH($B2090,職員マスタ!$A$6:$A$405,0),"")))</f>
        <v/>
      </c>
      <c r="AQ2090" s="16">
        <f>IF(OR($B2090="",$C2090="",$D2090=""),"",DATE($C2090+2018,$D2090,1))</f>
        <v/>
      </c>
    </row>
    <row r="2091">
      <c r="A2091" s="11" t="n"/>
      <c r="B2091" s="12" t="n"/>
      <c r="C2091" s="12" t="n"/>
      <c r="D2091" s="12" t="n"/>
      <c r="E2091" s="13" t="n"/>
      <c r="F2091" s="12" t="n"/>
      <c r="G2091" s="13" t="n"/>
      <c r="H2091" s="12" t="n"/>
      <c r="I2091" s="12" t="n"/>
      <c r="J2091" s="12" t="n"/>
      <c r="K2091" s="12" t="n"/>
      <c r="L2091" s="11" t="n"/>
      <c r="M2091" s="11" t="n"/>
      <c r="N2091" s="11" t="n"/>
      <c r="O2091" s="11" t="n"/>
      <c r="P2091" s="12" t="n"/>
      <c r="Q2091" s="11" t="n"/>
      <c r="R2091" s="12" t="n"/>
      <c r="S2091" s="11" t="n"/>
      <c r="T2091" s="12" t="n"/>
      <c r="U2091" s="12" t="n"/>
      <c r="V2091" s="12" t="n"/>
      <c r="W2091" s="13" t="n"/>
      <c r="X2091" s="14">
        <f>IF($AP2091="",IF($B2091="","",$H2091),IF(INDEX(職員マスタ!$B$6:$B$405,$AP2091)="",$H2091,INDEX(職員マスタ!$B$6:$B$405,$AP2091)))</f>
        <v/>
      </c>
      <c r="Y2091" s="14">
        <f>IF($AP2091="",IF($B2091="","",$R2091),IF(INDEX(職員マスタ!$C$6:$C$405,$AP2091)="",$R2091,INDEX(職員マスタ!$C$6:$C$405,$AP2091)))</f>
        <v/>
      </c>
      <c r="Z2091" s="14">
        <f>IF($AQ2091="","","R"&amp;$C2091&amp;"."&amp;$D2091)</f>
        <v/>
      </c>
      <c r="AA2091" s="15">
        <f>IF(IF($AP2091="",FALSE,INDEX(職員マスタ!$K$6:$K$405,$AP2091)&lt;&gt;""),INDEX(職員マスタ!$K$6:$K$405,$AP2091),IF(N($W2091)&gt;0,$W2091,""))</f>
        <v/>
      </c>
      <c r="AB2091" s="14">
        <f>IF(OR($E2091="",$AA2091=""),"",IF($E2091&gt;=$AA2091,"×",IF($E2091&gt;=$AA2091*設定!$C$5,"△","○")))</f>
        <v/>
      </c>
      <c r="AC2091" s="15">
        <f>IF($AB2091="","",IF($AB2091="×",0,IF($AB2091="○",ROUNDDOWN($E2091*設定!$C$4,0),ROUNDDOWN($E2091*ROUND((9*$AA2091-9*$E2091)/(10*$E2091),4),0))))</f>
        <v/>
      </c>
      <c r="AD2091" s="13" t="n"/>
      <c r="AE2091" s="15">
        <f>IF($B2091="","",IF($AD2091&lt;&gt;"",$AD2091,IF($AC2091="","",IF($AC2091&lt;=設定!$C$3,0,$AC2091))))</f>
        <v/>
      </c>
      <c r="AF2091" s="14">
        <f>IF($B2091="","",IF(AND($AG2091&lt;&gt;"",$AI2091="",$AL2091=""),"保留中",IF($AL2091&lt;&gt;"",IF(N($AE2091)&gt;0,"支給済","不支給"),IF($AE2091="","要確認",IF($AE2091=0,"不支給","未処理")))))</f>
        <v/>
      </c>
      <c r="AG2091" s="12" t="n"/>
      <c r="AH2091" s="11" t="n"/>
      <c r="AI2091" s="11" t="n"/>
      <c r="AJ2091" s="11" t="n"/>
      <c r="AK2091" s="14">
        <f>IF(AND($AF2091="保留中",$AH2091&lt;&gt;""),TODAY()-$AH2091,"")</f>
        <v/>
      </c>
      <c r="AL2091" s="12" t="n"/>
      <c r="AM2091" s="14">
        <f>IF($B2091="","",IF($AQ2091="","対象年月が未入力／","")&amp;IF($B2091="","",IF($AP2091="","職員マスタに未登録の職員番号／",IF($AA2091="","標準報酬月額が未登録／","")&amp;IF(AND($AQ2091&lt;&gt;"",OR(AND(INDEX(職員マスタ!$G$6:$G$405,$AP2091)&lt;&gt;"",INDEX(職員マスタ!$G$6:$G$405,$AP2091)&gt;EOMONTH($AQ2091,0)),AND(INDEX(職員マスタ!$H$6:$H$405,$AP2091)&lt;&gt;"",INDEX(職員マスタ!$H$6:$H$405,$AP2091)&lt;$AQ2091))),"対象月が時短期間外／","")&amp;IF(AND(INDEX(職員マスタ!$K$6:$K$405,$AP2091)&lt;&gt;"",N($W2091)&gt;0,INDEX(職員マスタ!$K$6:$K$405,$AP2091)&lt;&gt;$W2091),"標準報酬月額が申請書と相違（台帳"&amp;TEXT(INDEX(職員マスタ!$K$6:$K$405,$AP2091),"#,##0")&amp;"円／申請書"&amp;TEXT($W2091,"#,##0")&amp;"円）／","")&amp;IF(AND(INDEX(職員マスタ!$F$6:$F$405,$AP2091)&lt;&gt;"",$AQ2091&lt;&gt;"",INDEX(職員マスタ!$F$6:$F$405,$AP2091)&lt;$AQ2091),"対象月に子が2歳到達済／","")&amp;IF(AND($H2091&lt;&gt;"",INDEX(職員マスタ!$B$6:$B$405,$AP2091)&lt;&gt;"",SUBSTITUTE(SUBSTITUTE($H2091," ","")," ","")&lt;&gt;SUBSTITUTE(SUBSTITUTE(INDEX(職員マスタ!$B$6:$B$405,$AP2091)," ","")," ","")),"氏名がマスタと相違／","")&amp;IF(AND($Q2091&lt;&gt;"",INDEX(職員マスタ!$E$6:$E$405,$AP2091)&lt;&gt;"",$Q2091&lt;&gt;INDEX(職員マスタ!$E$6:$E$405,$AP2091)),"子の生年月日がマスタと相違／","")&amp;IF(AND($L2091&lt;&gt;"",INDEX(職員マスタ!$G$6:$G$405,$AP2091)&lt;&gt;"",$L2091&lt;&gt;INDEX(職員マスタ!$G$6:$G$405,$AP2091)),"時短開始日がマスタと相違／","")&amp;IF(AND($M2091&lt;&gt;"",INDEX(職員マスタ!$H$6:$H$405,$AP2091)&lt;&gt;"",$M2091&lt;&gt;INDEX(職員マスタ!$H$6:$H$405,$AP2091)),"時短終了日がマスタと相違／","")))&amp;IF(AND($B2091&lt;&gt;"",$E2091=""),"報酬額が未入力／","")&amp;IF(N($U2091)&gt;0,"申請書に入力エラーが残っています／","")&amp;IF(AND($B2091&lt;&gt;"",$AQ2091&lt;&gt;""),IF(COUNTIFS($B$6:$B$3005,$B2091,$C$6:$C$3005,$C2091,$D$6:$D$3005,$D2091)&gt;1,"同じ月の請求が重複しています／",""),"")&amp;IF(AND(N($E2091)&gt;0,$AB2091&lt;&gt;"",$AB2091&lt;&gt;"×",$AE2091=0,$AD2091=""),"計算額が下限以下のため不支給／",""))</f>
        <v/>
      </c>
      <c r="AN2091" s="12" t="n"/>
      <c r="AO2091" s="14">
        <f>IF($AF2091="保留中",COUNTIF($AF$6:$AF2091,"保留中"),"")</f>
        <v/>
      </c>
      <c r="AP2091" s="14">
        <f>IF($AQ2091="","",IF(SUMPRODUCT(MAX((職員マスタ!$A$6:$A$405=$B2091)*(((職員マスタ!$G$6:$G$405="")+(職員マスタ!$G$6:$G$405&lt;=EOMONTH($AQ2091,0)))&gt;0)*(((職員マスタ!$H$6:$H$405="")+(職員マスタ!$H$6:$H$405&gt;=$AQ2091))&gt;0)*(ROW(職員マスタ!$A$6:$A$405)-5)))&gt;0,SUMPRODUCT(MAX((職員マスタ!$A$6:$A$405=$B2091)*(((職員マスタ!$G$6:$G$405="")+(職員マスタ!$G$6:$G$405&lt;=EOMONTH($AQ2091,0)))&gt;0)*(((職員マスタ!$H$6:$H$405="")+(職員マスタ!$H$6:$H$405&gt;=$AQ2091))&gt;0)*(ROW(職員マスタ!$A$6:$A$405)-5))),IFERROR(MATCH($B2091,職員マスタ!$A$6:$A$405,0),"")))</f>
        <v/>
      </c>
      <c r="AQ2091" s="16">
        <f>IF(OR($B2091="",$C2091="",$D2091=""),"",DATE($C2091+2018,$D2091,1))</f>
        <v/>
      </c>
    </row>
    <row r="2092">
      <c r="A2092" s="11" t="n"/>
      <c r="B2092" s="12" t="n"/>
      <c r="C2092" s="12" t="n"/>
      <c r="D2092" s="12" t="n"/>
      <c r="E2092" s="13" t="n"/>
      <c r="F2092" s="12" t="n"/>
      <c r="G2092" s="13" t="n"/>
      <c r="H2092" s="12" t="n"/>
      <c r="I2092" s="12" t="n"/>
      <c r="J2092" s="12" t="n"/>
      <c r="K2092" s="12" t="n"/>
      <c r="L2092" s="11" t="n"/>
      <c r="M2092" s="11" t="n"/>
      <c r="N2092" s="11" t="n"/>
      <c r="O2092" s="11" t="n"/>
      <c r="P2092" s="12" t="n"/>
      <c r="Q2092" s="11" t="n"/>
      <c r="R2092" s="12" t="n"/>
      <c r="S2092" s="11" t="n"/>
      <c r="T2092" s="12" t="n"/>
      <c r="U2092" s="12" t="n"/>
      <c r="V2092" s="12" t="n"/>
      <c r="W2092" s="13" t="n"/>
      <c r="X2092" s="14">
        <f>IF($AP2092="",IF($B2092="","",$H2092),IF(INDEX(職員マスタ!$B$6:$B$405,$AP2092)="",$H2092,INDEX(職員マスタ!$B$6:$B$405,$AP2092)))</f>
        <v/>
      </c>
      <c r="Y2092" s="14">
        <f>IF($AP2092="",IF($B2092="","",$R2092),IF(INDEX(職員マスタ!$C$6:$C$405,$AP2092)="",$R2092,INDEX(職員マスタ!$C$6:$C$405,$AP2092)))</f>
        <v/>
      </c>
      <c r="Z2092" s="14">
        <f>IF($AQ2092="","","R"&amp;$C2092&amp;"."&amp;$D2092)</f>
        <v/>
      </c>
      <c r="AA2092" s="15">
        <f>IF(IF($AP2092="",FALSE,INDEX(職員マスタ!$K$6:$K$405,$AP2092)&lt;&gt;""),INDEX(職員マスタ!$K$6:$K$405,$AP2092),IF(N($W2092)&gt;0,$W2092,""))</f>
        <v/>
      </c>
      <c r="AB2092" s="14">
        <f>IF(OR($E2092="",$AA2092=""),"",IF($E2092&gt;=$AA2092,"×",IF($E2092&gt;=$AA2092*設定!$C$5,"△","○")))</f>
        <v/>
      </c>
      <c r="AC2092" s="15">
        <f>IF($AB2092="","",IF($AB2092="×",0,IF($AB2092="○",ROUNDDOWN($E2092*設定!$C$4,0),ROUNDDOWN($E2092*ROUND((9*$AA2092-9*$E2092)/(10*$E2092),4),0))))</f>
        <v/>
      </c>
      <c r="AD2092" s="13" t="n"/>
      <c r="AE2092" s="15">
        <f>IF($B2092="","",IF($AD2092&lt;&gt;"",$AD2092,IF($AC2092="","",IF($AC2092&lt;=設定!$C$3,0,$AC2092))))</f>
        <v/>
      </c>
      <c r="AF2092" s="14">
        <f>IF($B2092="","",IF(AND($AG2092&lt;&gt;"",$AI2092="",$AL2092=""),"保留中",IF($AL2092&lt;&gt;"",IF(N($AE2092)&gt;0,"支給済","不支給"),IF($AE2092="","要確認",IF($AE2092=0,"不支給","未処理")))))</f>
        <v/>
      </c>
      <c r="AG2092" s="12" t="n"/>
      <c r="AH2092" s="11" t="n"/>
      <c r="AI2092" s="11" t="n"/>
      <c r="AJ2092" s="11" t="n"/>
      <c r="AK2092" s="14">
        <f>IF(AND($AF2092="保留中",$AH2092&lt;&gt;""),TODAY()-$AH2092,"")</f>
        <v/>
      </c>
      <c r="AL2092" s="12" t="n"/>
      <c r="AM2092" s="14">
        <f>IF($B2092="","",IF($AQ2092="","対象年月が未入力／","")&amp;IF($B2092="","",IF($AP2092="","職員マスタに未登録の職員番号／",IF($AA2092="","標準報酬月額が未登録／","")&amp;IF(AND($AQ2092&lt;&gt;"",OR(AND(INDEX(職員マスタ!$G$6:$G$405,$AP2092)&lt;&gt;"",INDEX(職員マスタ!$G$6:$G$405,$AP2092)&gt;EOMONTH($AQ2092,0)),AND(INDEX(職員マスタ!$H$6:$H$405,$AP2092)&lt;&gt;"",INDEX(職員マスタ!$H$6:$H$405,$AP2092)&lt;$AQ2092))),"対象月が時短期間外／","")&amp;IF(AND(INDEX(職員マスタ!$K$6:$K$405,$AP2092)&lt;&gt;"",N($W2092)&gt;0,INDEX(職員マスタ!$K$6:$K$405,$AP2092)&lt;&gt;$W2092),"標準報酬月額が申請書と相違（台帳"&amp;TEXT(INDEX(職員マスタ!$K$6:$K$405,$AP2092),"#,##0")&amp;"円／申請書"&amp;TEXT($W2092,"#,##0")&amp;"円）／","")&amp;IF(AND(INDEX(職員マスタ!$F$6:$F$405,$AP2092)&lt;&gt;"",$AQ2092&lt;&gt;"",INDEX(職員マスタ!$F$6:$F$405,$AP2092)&lt;$AQ2092),"対象月に子が2歳到達済／","")&amp;IF(AND($H2092&lt;&gt;"",INDEX(職員マスタ!$B$6:$B$405,$AP2092)&lt;&gt;"",SUBSTITUTE(SUBSTITUTE($H2092," ","")," ","")&lt;&gt;SUBSTITUTE(SUBSTITUTE(INDEX(職員マスタ!$B$6:$B$405,$AP2092)," ","")," ","")),"氏名がマスタと相違／","")&amp;IF(AND($Q2092&lt;&gt;"",INDEX(職員マスタ!$E$6:$E$405,$AP2092)&lt;&gt;"",$Q2092&lt;&gt;INDEX(職員マスタ!$E$6:$E$405,$AP2092)),"子の生年月日がマスタと相違／","")&amp;IF(AND($L2092&lt;&gt;"",INDEX(職員マスタ!$G$6:$G$405,$AP2092)&lt;&gt;"",$L2092&lt;&gt;INDEX(職員マスタ!$G$6:$G$405,$AP2092)),"時短開始日がマスタと相違／","")&amp;IF(AND($M2092&lt;&gt;"",INDEX(職員マスタ!$H$6:$H$405,$AP2092)&lt;&gt;"",$M2092&lt;&gt;INDEX(職員マスタ!$H$6:$H$405,$AP2092)),"時短終了日がマスタと相違／","")))&amp;IF(AND($B2092&lt;&gt;"",$E2092=""),"報酬額が未入力／","")&amp;IF(N($U2092)&gt;0,"申請書に入力エラーが残っています／","")&amp;IF(AND($B2092&lt;&gt;"",$AQ2092&lt;&gt;""),IF(COUNTIFS($B$6:$B$3005,$B2092,$C$6:$C$3005,$C2092,$D$6:$D$3005,$D2092)&gt;1,"同じ月の請求が重複しています／",""),"")&amp;IF(AND(N($E2092)&gt;0,$AB2092&lt;&gt;"",$AB2092&lt;&gt;"×",$AE2092=0,$AD2092=""),"計算額が下限以下のため不支給／",""))</f>
        <v/>
      </c>
      <c r="AN2092" s="12" t="n"/>
      <c r="AO2092" s="14">
        <f>IF($AF2092="保留中",COUNTIF($AF$6:$AF2092,"保留中"),"")</f>
        <v/>
      </c>
      <c r="AP2092" s="14">
        <f>IF($AQ2092="","",IF(SUMPRODUCT(MAX((職員マスタ!$A$6:$A$405=$B2092)*(((職員マスタ!$G$6:$G$405="")+(職員マスタ!$G$6:$G$405&lt;=EOMONTH($AQ2092,0)))&gt;0)*(((職員マスタ!$H$6:$H$405="")+(職員マスタ!$H$6:$H$405&gt;=$AQ2092))&gt;0)*(ROW(職員マスタ!$A$6:$A$405)-5)))&gt;0,SUMPRODUCT(MAX((職員マスタ!$A$6:$A$405=$B2092)*(((職員マスタ!$G$6:$G$405="")+(職員マスタ!$G$6:$G$405&lt;=EOMONTH($AQ2092,0)))&gt;0)*(((職員マスタ!$H$6:$H$405="")+(職員マスタ!$H$6:$H$405&gt;=$AQ2092))&gt;0)*(ROW(職員マスタ!$A$6:$A$405)-5))),IFERROR(MATCH($B2092,職員マスタ!$A$6:$A$405,0),"")))</f>
        <v/>
      </c>
      <c r="AQ2092" s="16">
        <f>IF(OR($B2092="",$C2092="",$D2092=""),"",DATE($C2092+2018,$D2092,1))</f>
        <v/>
      </c>
    </row>
    <row r="2093">
      <c r="A2093" s="11" t="n"/>
      <c r="B2093" s="12" t="n"/>
      <c r="C2093" s="12" t="n"/>
      <c r="D2093" s="12" t="n"/>
      <c r="E2093" s="13" t="n"/>
      <c r="F2093" s="12" t="n"/>
      <c r="G2093" s="13" t="n"/>
      <c r="H2093" s="12" t="n"/>
      <c r="I2093" s="12" t="n"/>
      <c r="J2093" s="12" t="n"/>
      <c r="K2093" s="12" t="n"/>
      <c r="L2093" s="11" t="n"/>
      <c r="M2093" s="11" t="n"/>
      <c r="N2093" s="11" t="n"/>
      <c r="O2093" s="11" t="n"/>
      <c r="P2093" s="12" t="n"/>
      <c r="Q2093" s="11" t="n"/>
      <c r="R2093" s="12" t="n"/>
      <c r="S2093" s="11" t="n"/>
      <c r="T2093" s="12" t="n"/>
      <c r="U2093" s="12" t="n"/>
      <c r="V2093" s="12" t="n"/>
      <c r="W2093" s="13" t="n"/>
      <c r="X2093" s="14">
        <f>IF($AP2093="",IF($B2093="","",$H2093),IF(INDEX(職員マスタ!$B$6:$B$405,$AP2093)="",$H2093,INDEX(職員マスタ!$B$6:$B$405,$AP2093)))</f>
        <v/>
      </c>
      <c r="Y2093" s="14">
        <f>IF($AP2093="",IF($B2093="","",$R2093),IF(INDEX(職員マスタ!$C$6:$C$405,$AP2093)="",$R2093,INDEX(職員マスタ!$C$6:$C$405,$AP2093)))</f>
        <v/>
      </c>
      <c r="Z2093" s="14">
        <f>IF($AQ2093="","","R"&amp;$C2093&amp;"."&amp;$D2093)</f>
        <v/>
      </c>
      <c r="AA2093" s="15">
        <f>IF(IF($AP2093="",FALSE,INDEX(職員マスタ!$K$6:$K$405,$AP2093)&lt;&gt;""),INDEX(職員マスタ!$K$6:$K$405,$AP2093),IF(N($W2093)&gt;0,$W2093,""))</f>
        <v/>
      </c>
      <c r="AB2093" s="14">
        <f>IF(OR($E2093="",$AA2093=""),"",IF($E2093&gt;=$AA2093,"×",IF($E2093&gt;=$AA2093*設定!$C$5,"△","○")))</f>
        <v/>
      </c>
      <c r="AC2093" s="15">
        <f>IF($AB2093="","",IF($AB2093="×",0,IF($AB2093="○",ROUNDDOWN($E2093*設定!$C$4,0),ROUNDDOWN($E2093*ROUND((9*$AA2093-9*$E2093)/(10*$E2093),4),0))))</f>
        <v/>
      </c>
      <c r="AD2093" s="13" t="n"/>
      <c r="AE2093" s="15">
        <f>IF($B2093="","",IF($AD2093&lt;&gt;"",$AD2093,IF($AC2093="","",IF($AC2093&lt;=設定!$C$3,0,$AC2093))))</f>
        <v/>
      </c>
      <c r="AF2093" s="14">
        <f>IF($B2093="","",IF(AND($AG2093&lt;&gt;"",$AI2093="",$AL2093=""),"保留中",IF($AL2093&lt;&gt;"",IF(N($AE2093)&gt;0,"支給済","不支給"),IF($AE2093="","要確認",IF($AE2093=0,"不支給","未処理")))))</f>
        <v/>
      </c>
      <c r="AG2093" s="12" t="n"/>
      <c r="AH2093" s="11" t="n"/>
      <c r="AI2093" s="11" t="n"/>
      <c r="AJ2093" s="11" t="n"/>
      <c r="AK2093" s="14">
        <f>IF(AND($AF2093="保留中",$AH2093&lt;&gt;""),TODAY()-$AH2093,"")</f>
        <v/>
      </c>
      <c r="AL2093" s="12" t="n"/>
      <c r="AM2093" s="14">
        <f>IF($B2093="","",IF($AQ2093="","対象年月が未入力／","")&amp;IF($B2093="","",IF($AP2093="","職員マスタに未登録の職員番号／",IF($AA2093="","標準報酬月額が未登録／","")&amp;IF(AND($AQ2093&lt;&gt;"",OR(AND(INDEX(職員マスタ!$G$6:$G$405,$AP2093)&lt;&gt;"",INDEX(職員マスタ!$G$6:$G$405,$AP2093)&gt;EOMONTH($AQ2093,0)),AND(INDEX(職員マスタ!$H$6:$H$405,$AP2093)&lt;&gt;"",INDEX(職員マスタ!$H$6:$H$405,$AP2093)&lt;$AQ2093))),"対象月が時短期間外／","")&amp;IF(AND(INDEX(職員マスタ!$K$6:$K$405,$AP2093)&lt;&gt;"",N($W2093)&gt;0,INDEX(職員マスタ!$K$6:$K$405,$AP2093)&lt;&gt;$W2093),"標準報酬月額が申請書と相違（台帳"&amp;TEXT(INDEX(職員マスタ!$K$6:$K$405,$AP2093),"#,##0")&amp;"円／申請書"&amp;TEXT($W2093,"#,##0")&amp;"円）／","")&amp;IF(AND(INDEX(職員マスタ!$F$6:$F$405,$AP2093)&lt;&gt;"",$AQ2093&lt;&gt;"",INDEX(職員マスタ!$F$6:$F$405,$AP2093)&lt;$AQ2093),"対象月に子が2歳到達済／","")&amp;IF(AND($H2093&lt;&gt;"",INDEX(職員マスタ!$B$6:$B$405,$AP2093)&lt;&gt;"",SUBSTITUTE(SUBSTITUTE($H2093," ","")," ","")&lt;&gt;SUBSTITUTE(SUBSTITUTE(INDEX(職員マスタ!$B$6:$B$405,$AP2093)," ","")," ","")),"氏名がマスタと相違／","")&amp;IF(AND($Q2093&lt;&gt;"",INDEX(職員マスタ!$E$6:$E$405,$AP2093)&lt;&gt;"",$Q2093&lt;&gt;INDEX(職員マスタ!$E$6:$E$405,$AP2093)),"子の生年月日がマスタと相違／","")&amp;IF(AND($L2093&lt;&gt;"",INDEX(職員マスタ!$G$6:$G$405,$AP2093)&lt;&gt;"",$L2093&lt;&gt;INDEX(職員マスタ!$G$6:$G$405,$AP2093)),"時短開始日がマスタと相違／","")&amp;IF(AND($M2093&lt;&gt;"",INDEX(職員マスタ!$H$6:$H$405,$AP2093)&lt;&gt;"",$M2093&lt;&gt;INDEX(職員マスタ!$H$6:$H$405,$AP2093)),"時短終了日がマスタと相違／","")))&amp;IF(AND($B2093&lt;&gt;"",$E2093=""),"報酬額が未入力／","")&amp;IF(N($U2093)&gt;0,"申請書に入力エラーが残っています／","")&amp;IF(AND($B2093&lt;&gt;"",$AQ2093&lt;&gt;""),IF(COUNTIFS($B$6:$B$3005,$B2093,$C$6:$C$3005,$C2093,$D$6:$D$3005,$D2093)&gt;1,"同じ月の請求が重複しています／",""),"")&amp;IF(AND(N($E2093)&gt;0,$AB2093&lt;&gt;"",$AB2093&lt;&gt;"×",$AE2093=0,$AD2093=""),"計算額が下限以下のため不支給／",""))</f>
        <v/>
      </c>
      <c r="AN2093" s="12" t="n"/>
      <c r="AO2093" s="14">
        <f>IF($AF2093="保留中",COUNTIF($AF$6:$AF2093,"保留中"),"")</f>
        <v/>
      </c>
      <c r="AP2093" s="14">
        <f>IF($AQ2093="","",IF(SUMPRODUCT(MAX((職員マスタ!$A$6:$A$405=$B2093)*(((職員マスタ!$G$6:$G$405="")+(職員マスタ!$G$6:$G$405&lt;=EOMONTH($AQ2093,0)))&gt;0)*(((職員マスタ!$H$6:$H$405="")+(職員マスタ!$H$6:$H$405&gt;=$AQ2093))&gt;0)*(ROW(職員マスタ!$A$6:$A$405)-5)))&gt;0,SUMPRODUCT(MAX((職員マスタ!$A$6:$A$405=$B2093)*(((職員マスタ!$G$6:$G$405="")+(職員マスタ!$G$6:$G$405&lt;=EOMONTH($AQ2093,0)))&gt;0)*(((職員マスタ!$H$6:$H$405="")+(職員マスタ!$H$6:$H$405&gt;=$AQ2093))&gt;0)*(ROW(職員マスタ!$A$6:$A$405)-5))),IFERROR(MATCH($B2093,職員マスタ!$A$6:$A$405,0),"")))</f>
        <v/>
      </c>
      <c r="AQ2093" s="16">
        <f>IF(OR($B2093="",$C2093="",$D2093=""),"",DATE($C2093+2018,$D2093,1))</f>
        <v/>
      </c>
    </row>
    <row r="2094">
      <c r="A2094" s="11" t="n"/>
      <c r="B2094" s="12" t="n"/>
      <c r="C2094" s="12" t="n"/>
      <c r="D2094" s="12" t="n"/>
      <c r="E2094" s="13" t="n"/>
      <c r="F2094" s="12" t="n"/>
      <c r="G2094" s="13" t="n"/>
      <c r="H2094" s="12" t="n"/>
      <c r="I2094" s="12" t="n"/>
      <c r="J2094" s="12" t="n"/>
      <c r="K2094" s="12" t="n"/>
      <c r="L2094" s="11" t="n"/>
      <c r="M2094" s="11" t="n"/>
      <c r="N2094" s="11" t="n"/>
      <c r="O2094" s="11" t="n"/>
      <c r="P2094" s="12" t="n"/>
      <c r="Q2094" s="11" t="n"/>
      <c r="R2094" s="12" t="n"/>
      <c r="S2094" s="11" t="n"/>
      <c r="T2094" s="12" t="n"/>
      <c r="U2094" s="12" t="n"/>
      <c r="V2094" s="12" t="n"/>
      <c r="W2094" s="13" t="n"/>
      <c r="X2094" s="14">
        <f>IF($AP2094="",IF($B2094="","",$H2094),IF(INDEX(職員マスタ!$B$6:$B$405,$AP2094)="",$H2094,INDEX(職員マスタ!$B$6:$B$405,$AP2094)))</f>
        <v/>
      </c>
      <c r="Y2094" s="14">
        <f>IF($AP2094="",IF($B2094="","",$R2094),IF(INDEX(職員マスタ!$C$6:$C$405,$AP2094)="",$R2094,INDEX(職員マスタ!$C$6:$C$405,$AP2094)))</f>
        <v/>
      </c>
      <c r="Z2094" s="14">
        <f>IF($AQ2094="","","R"&amp;$C2094&amp;"."&amp;$D2094)</f>
        <v/>
      </c>
      <c r="AA2094" s="15">
        <f>IF(IF($AP2094="",FALSE,INDEX(職員マスタ!$K$6:$K$405,$AP2094)&lt;&gt;""),INDEX(職員マスタ!$K$6:$K$405,$AP2094),IF(N($W2094)&gt;0,$W2094,""))</f>
        <v/>
      </c>
      <c r="AB2094" s="14">
        <f>IF(OR($E2094="",$AA2094=""),"",IF($E2094&gt;=$AA2094,"×",IF($E2094&gt;=$AA2094*設定!$C$5,"△","○")))</f>
        <v/>
      </c>
      <c r="AC2094" s="15">
        <f>IF($AB2094="","",IF($AB2094="×",0,IF($AB2094="○",ROUNDDOWN($E2094*設定!$C$4,0),ROUNDDOWN($E2094*ROUND((9*$AA2094-9*$E2094)/(10*$E2094),4),0))))</f>
        <v/>
      </c>
      <c r="AD2094" s="13" t="n"/>
      <c r="AE2094" s="15">
        <f>IF($B2094="","",IF($AD2094&lt;&gt;"",$AD2094,IF($AC2094="","",IF($AC2094&lt;=設定!$C$3,0,$AC2094))))</f>
        <v/>
      </c>
      <c r="AF2094" s="14">
        <f>IF($B2094="","",IF(AND($AG2094&lt;&gt;"",$AI2094="",$AL2094=""),"保留中",IF($AL2094&lt;&gt;"",IF(N($AE2094)&gt;0,"支給済","不支給"),IF($AE2094="","要確認",IF($AE2094=0,"不支給","未処理")))))</f>
        <v/>
      </c>
      <c r="AG2094" s="12" t="n"/>
      <c r="AH2094" s="11" t="n"/>
      <c r="AI2094" s="11" t="n"/>
      <c r="AJ2094" s="11" t="n"/>
      <c r="AK2094" s="14">
        <f>IF(AND($AF2094="保留中",$AH2094&lt;&gt;""),TODAY()-$AH2094,"")</f>
        <v/>
      </c>
      <c r="AL2094" s="12" t="n"/>
      <c r="AM2094" s="14">
        <f>IF($B2094="","",IF($AQ2094="","対象年月が未入力／","")&amp;IF($B2094="","",IF($AP2094="","職員マスタに未登録の職員番号／",IF($AA2094="","標準報酬月額が未登録／","")&amp;IF(AND($AQ2094&lt;&gt;"",OR(AND(INDEX(職員マスタ!$G$6:$G$405,$AP2094)&lt;&gt;"",INDEX(職員マスタ!$G$6:$G$405,$AP2094)&gt;EOMONTH($AQ2094,0)),AND(INDEX(職員マスタ!$H$6:$H$405,$AP2094)&lt;&gt;"",INDEX(職員マスタ!$H$6:$H$405,$AP2094)&lt;$AQ2094))),"対象月が時短期間外／","")&amp;IF(AND(INDEX(職員マスタ!$K$6:$K$405,$AP2094)&lt;&gt;"",N($W2094)&gt;0,INDEX(職員マスタ!$K$6:$K$405,$AP2094)&lt;&gt;$W2094),"標準報酬月額が申請書と相違（台帳"&amp;TEXT(INDEX(職員マスタ!$K$6:$K$405,$AP2094),"#,##0")&amp;"円／申請書"&amp;TEXT($W2094,"#,##0")&amp;"円）／","")&amp;IF(AND(INDEX(職員マスタ!$F$6:$F$405,$AP2094)&lt;&gt;"",$AQ2094&lt;&gt;"",INDEX(職員マスタ!$F$6:$F$405,$AP2094)&lt;$AQ2094),"対象月に子が2歳到達済／","")&amp;IF(AND($H2094&lt;&gt;"",INDEX(職員マスタ!$B$6:$B$405,$AP2094)&lt;&gt;"",SUBSTITUTE(SUBSTITUTE($H2094," ","")," ","")&lt;&gt;SUBSTITUTE(SUBSTITUTE(INDEX(職員マスタ!$B$6:$B$405,$AP2094)," ","")," ","")),"氏名がマスタと相違／","")&amp;IF(AND($Q2094&lt;&gt;"",INDEX(職員マスタ!$E$6:$E$405,$AP2094)&lt;&gt;"",$Q2094&lt;&gt;INDEX(職員マスタ!$E$6:$E$405,$AP2094)),"子の生年月日がマスタと相違／","")&amp;IF(AND($L2094&lt;&gt;"",INDEX(職員マスタ!$G$6:$G$405,$AP2094)&lt;&gt;"",$L2094&lt;&gt;INDEX(職員マスタ!$G$6:$G$405,$AP2094)),"時短開始日がマスタと相違／","")&amp;IF(AND($M2094&lt;&gt;"",INDEX(職員マスタ!$H$6:$H$405,$AP2094)&lt;&gt;"",$M2094&lt;&gt;INDEX(職員マスタ!$H$6:$H$405,$AP2094)),"時短終了日がマスタと相違／","")))&amp;IF(AND($B2094&lt;&gt;"",$E2094=""),"報酬額が未入力／","")&amp;IF(N($U2094)&gt;0,"申請書に入力エラーが残っています／","")&amp;IF(AND($B2094&lt;&gt;"",$AQ2094&lt;&gt;""),IF(COUNTIFS($B$6:$B$3005,$B2094,$C$6:$C$3005,$C2094,$D$6:$D$3005,$D2094)&gt;1,"同じ月の請求が重複しています／",""),"")&amp;IF(AND(N($E2094)&gt;0,$AB2094&lt;&gt;"",$AB2094&lt;&gt;"×",$AE2094=0,$AD2094=""),"計算額が下限以下のため不支給／",""))</f>
        <v/>
      </c>
      <c r="AN2094" s="12" t="n"/>
      <c r="AO2094" s="14">
        <f>IF($AF2094="保留中",COUNTIF($AF$6:$AF2094,"保留中"),"")</f>
        <v/>
      </c>
      <c r="AP2094" s="14">
        <f>IF($AQ2094="","",IF(SUMPRODUCT(MAX((職員マスタ!$A$6:$A$405=$B2094)*(((職員マスタ!$G$6:$G$405="")+(職員マスタ!$G$6:$G$405&lt;=EOMONTH($AQ2094,0)))&gt;0)*(((職員マスタ!$H$6:$H$405="")+(職員マスタ!$H$6:$H$405&gt;=$AQ2094))&gt;0)*(ROW(職員マスタ!$A$6:$A$405)-5)))&gt;0,SUMPRODUCT(MAX((職員マスタ!$A$6:$A$405=$B2094)*(((職員マスタ!$G$6:$G$405="")+(職員マスタ!$G$6:$G$405&lt;=EOMONTH($AQ2094,0)))&gt;0)*(((職員マスタ!$H$6:$H$405="")+(職員マスタ!$H$6:$H$405&gt;=$AQ2094))&gt;0)*(ROW(職員マスタ!$A$6:$A$405)-5))),IFERROR(MATCH($B2094,職員マスタ!$A$6:$A$405,0),"")))</f>
        <v/>
      </c>
      <c r="AQ2094" s="16">
        <f>IF(OR($B2094="",$C2094="",$D2094=""),"",DATE($C2094+2018,$D2094,1))</f>
        <v/>
      </c>
    </row>
    <row r="2095">
      <c r="A2095" s="11" t="n"/>
      <c r="B2095" s="12" t="n"/>
      <c r="C2095" s="12" t="n"/>
      <c r="D2095" s="12" t="n"/>
      <c r="E2095" s="13" t="n"/>
      <c r="F2095" s="12" t="n"/>
      <c r="G2095" s="13" t="n"/>
      <c r="H2095" s="12" t="n"/>
      <c r="I2095" s="12" t="n"/>
      <c r="J2095" s="12" t="n"/>
      <c r="K2095" s="12" t="n"/>
      <c r="L2095" s="11" t="n"/>
      <c r="M2095" s="11" t="n"/>
      <c r="N2095" s="11" t="n"/>
      <c r="O2095" s="11" t="n"/>
      <c r="P2095" s="12" t="n"/>
      <c r="Q2095" s="11" t="n"/>
      <c r="R2095" s="12" t="n"/>
      <c r="S2095" s="11" t="n"/>
      <c r="T2095" s="12" t="n"/>
      <c r="U2095" s="12" t="n"/>
      <c r="V2095" s="12" t="n"/>
      <c r="W2095" s="13" t="n"/>
      <c r="X2095" s="14">
        <f>IF($AP2095="",IF($B2095="","",$H2095),IF(INDEX(職員マスタ!$B$6:$B$405,$AP2095)="",$H2095,INDEX(職員マスタ!$B$6:$B$405,$AP2095)))</f>
        <v/>
      </c>
      <c r="Y2095" s="14">
        <f>IF($AP2095="",IF($B2095="","",$R2095),IF(INDEX(職員マスタ!$C$6:$C$405,$AP2095)="",$R2095,INDEX(職員マスタ!$C$6:$C$405,$AP2095)))</f>
        <v/>
      </c>
      <c r="Z2095" s="14">
        <f>IF($AQ2095="","","R"&amp;$C2095&amp;"."&amp;$D2095)</f>
        <v/>
      </c>
      <c r="AA2095" s="15">
        <f>IF(IF($AP2095="",FALSE,INDEX(職員マスタ!$K$6:$K$405,$AP2095)&lt;&gt;""),INDEX(職員マスタ!$K$6:$K$405,$AP2095),IF(N($W2095)&gt;0,$W2095,""))</f>
        <v/>
      </c>
      <c r="AB2095" s="14">
        <f>IF(OR($E2095="",$AA2095=""),"",IF($E2095&gt;=$AA2095,"×",IF($E2095&gt;=$AA2095*設定!$C$5,"△","○")))</f>
        <v/>
      </c>
      <c r="AC2095" s="15">
        <f>IF($AB2095="","",IF($AB2095="×",0,IF($AB2095="○",ROUNDDOWN($E2095*設定!$C$4,0),ROUNDDOWN($E2095*ROUND((9*$AA2095-9*$E2095)/(10*$E2095),4),0))))</f>
        <v/>
      </c>
      <c r="AD2095" s="13" t="n"/>
      <c r="AE2095" s="15">
        <f>IF($B2095="","",IF($AD2095&lt;&gt;"",$AD2095,IF($AC2095="","",IF($AC2095&lt;=設定!$C$3,0,$AC2095))))</f>
        <v/>
      </c>
      <c r="AF2095" s="14">
        <f>IF($B2095="","",IF(AND($AG2095&lt;&gt;"",$AI2095="",$AL2095=""),"保留中",IF($AL2095&lt;&gt;"",IF(N($AE2095)&gt;0,"支給済","不支給"),IF($AE2095="","要確認",IF($AE2095=0,"不支給","未処理")))))</f>
        <v/>
      </c>
      <c r="AG2095" s="12" t="n"/>
      <c r="AH2095" s="11" t="n"/>
      <c r="AI2095" s="11" t="n"/>
      <c r="AJ2095" s="11" t="n"/>
      <c r="AK2095" s="14">
        <f>IF(AND($AF2095="保留中",$AH2095&lt;&gt;""),TODAY()-$AH2095,"")</f>
        <v/>
      </c>
      <c r="AL2095" s="12" t="n"/>
      <c r="AM2095" s="14">
        <f>IF($B2095="","",IF($AQ2095="","対象年月が未入力／","")&amp;IF($B2095="","",IF($AP2095="","職員マスタに未登録の職員番号／",IF($AA2095="","標準報酬月額が未登録／","")&amp;IF(AND($AQ2095&lt;&gt;"",OR(AND(INDEX(職員マスタ!$G$6:$G$405,$AP2095)&lt;&gt;"",INDEX(職員マスタ!$G$6:$G$405,$AP2095)&gt;EOMONTH($AQ2095,0)),AND(INDEX(職員マスタ!$H$6:$H$405,$AP2095)&lt;&gt;"",INDEX(職員マスタ!$H$6:$H$405,$AP2095)&lt;$AQ2095))),"対象月が時短期間外／","")&amp;IF(AND(INDEX(職員マスタ!$K$6:$K$405,$AP2095)&lt;&gt;"",N($W2095)&gt;0,INDEX(職員マスタ!$K$6:$K$405,$AP2095)&lt;&gt;$W2095),"標準報酬月額が申請書と相違（台帳"&amp;TEXT(INDEX(職員マスタ!$K$6:$K$405,$AP2095),"#,##0")&amp;"円／申請書"&amp;TEXT($W2095,"#,##0")&amp;"円）／","")&amp;IF(AND(INDEX(職員マスタ!$F$6:$F$405,$AP2095)&lt;&gt;"",$AQ2095&lt;&gt;"",INDEX(職員マスタ!$F$6:$F$405,$AP2095)&lt;$AQ2095),"対象月に子が2歳到達済／","")&amp;IF(AND($H2095&lt;&gt;"",INDEX(職員マスタ!$B$6:$B$405,$AP2095)&lt;&gt;"",SUBSTITUTE(SUBSTITUTE($H2095," ","")," ","")&lt;&gt;SUBSTITUTE(SUBSTITUTE(INDEX(職員マスタ!$B$6:$B$405,$AP2095)," ","")," ","")),"氏名がマスタと相違／","")&amp;IF(AND($Q2095&lt;&gt;"",INDEX(職員マスタ!$E$6:$E$405,$AP2095)&lt;&gt;"",$Q2095&lt;&gt;INDEX(職員マスタ!$E$6:$E$405,$AP2095)),"子の生年月日がマスタと相違／","")&amp;IF(AND($L2095&lt;&gt;"",INDEX(職員マスタ!$G$6:$G$405,$AP2095)&lt;&gt;"",$L2095&lt;&gt;INDEX(職員マスタ!$G$6:$G$405,$AP2095)),"時短開始日がマスタと相違／","")&amp;IF(AND($M2095&lt;&gt;"",INDEX(職員マスタ!$H$6:$H$405,$AP2095)&lt;&gt;"",$M2095&lt;&gt;INDEX(職員マスタ!$H$6:$H$405,$AP2095)),"時短終了日がマスタと相違／","")))&amp;IF(AND($B2095&lt;&gt;"",$E2095=""),"報酬額が未入力／","")&amp;IF(N($U2095)&gt;0,"申請書に入力エラーが残っています／","")&amp;IF(AND($B2095&lt;&gt;"",$AQ2095&lt;&gt;""),IF(COUNTIFS($B$6:$B$3005,$B2095,$C$6:$C$3005,$C2095,$D$6:$D$3005,$D2095)&gt;1,"同じ月の請求が重複しています／",""),"")&amp;IF(AND(N($E2095)&gt;0,$AB2095&lt;&gt;"",$AB2095&lt;&gt;"×",$AE2095=0,$AD2095=""),"計算額が下限以下のため不支給／",""))</f>
        <v/>
      </c>
      <c r="AN2095" s="12" t="n"/>
      <c r="AO2095" s="14">
        <f>IF($AF2095="保留中",COUNTIF($AF$6:$AF2095,"保留中"),"")</f>
        <v/>
      </c>
      <c r="AP2095" s="14">
        <f>IF($AQ2095="","",IF(SUMPRODUCT(MAX((職員マスタ!$A$6:$A$405=$B2095)*(((職員マスタ!$G$6:$G$405="")+(職員マスタ!$G$6:$G$405&lt;=EOMONTH($AQ2095,0)))&gt;0)*(((職員マスタ!$H$6:$H$405="")+(職員マスタ!$H$6:$H$405&gt;=$AQ2095))&gt;0)*(ROW(職員マスタ!$A$6:$A$405)-5)))&gt;0,SUMPRODUCT(MAX((職員マスタ!$A$6:$A$405=$B2095)*(((職員マスタ!$G$6:$G$405="")+(職員マスタ!$G$6:$G$405&lt;=EOMONTH($AQ2095,0)))&gt;0)*(((職員マスタ!$H$6:$H$405="")+(職員マスタ!$H$6:$H$405&gt;=$AQ2095))&gt;0)*(ROW(職員マスタ!$A$6:$A$405)-5))),IFERROR(MATCH($B2095,職員マスタ!$A$6:$A$405,0),"")))</f>
        <v/>
      </c>
      <c r="AQ2095" s="16">
        <f>IF(OR($B2095="",$C2095="",$D2095=""),"",DATE($C2095+2018,$D2095,1))</f>
        <v/>
      </c>
    </row>
    <row r="2096">
      <c r="A2096" s="11" t="n"/>
      <c r="B2096" s="12" t="n"/>
      <c r="C2096" s="12" t="n"/>
      <c r="D2096" s="12" t="n"/>
      <c r="E2096" s="13" t="n"/>
      <c r="F2096" s="12" t="n"/>
      <c r="G2096" s="13" t="n"/>
      <c r="H2096" s="12" t="n"/>
      <c r="I2096" s="12" t="n"/>
      <c r="J2096" s="12" t="n"/>
      <c r="K2096" s="12" t="n"/>
      <c r="L2096" s="11" t="n"/>
      <c r="M2096" s="11" t="n"/>
      <c r="N2096" s="11" t="n"/>
      <c r="O2096" s="11" t="n"/>
      <c r="P2096" s="12" t="n"/>
      <c r="Q2096" s="11" t="n"/>
      <c r="R2096" s="12" t="n"/>
      <c r="S2096" s="11" t="n"/>
      <c r="T2096" s="12" t="n"/>
      <c r="U2096" s="12" t="n"/>
      <c r="V2096" s="12" t="n"/>
      <c r="W2096" s="13" t="n"/>
      <c r="X2096" s="14">
        <f>IF($AP2096="",IF($B2096="","",$H2096),IF(INDEX(職員マスタ!$B$6:$B$405,$AP2096)="",$H2096,INDEX(職員マスタ!$B$6:$B$405,$AP2096)))</f>
        <v/>
      </c>
      <c r="Y2096" s="14">
        <f>IF($AP2096="",IF($B2096="","",$R2096),IF(INDEX(職員マスタ!$C$6:$C$405,$AP2096)="",$R2096,INDEX(職員マスタ!$C$6:$C$405,$AP2096)))</f>
        <v/>
      </c>
      <c r="Z2096" s="14">
        <f>IF($AQ2096="","","R"&amp;$C2096&amp;"."&amp;$D2096)</f>
        <v/>
      </c>
      <c r="AA2096" s="15">
        <f>IF(IF($AP2096="",FALSE,INDEX(職員マスタ!$K$6:$K$405,$AP2096)&lt;&gt;""),INDEX(職員マスタ!$K$6:$K$405,$AP2096),IF(N($W2096)&gt;0,$W2096,""))</f>
        <v/>
      </c>
      <c r="AB2096" s="14">
        <f>IF(OR($E2096="",$AA2096=""),"",IF($E2096&gt;=$AA2096,"×",IF($E2096&gt;=$AA2096*設定!$C$5,"△","○")))</f>
        <v/>
      </c>
      <c r="AC2096" s="15">
        <f>IF($AB2096="","",IF($AB2096="×",0,IF($AB2096="○",ROUNDDOWN($E2096*設定!$C$4,0),ROUNDDOWN($E2096*ROUND((9*$AA2096-9*$E2096)/(10*$E2096),4),0))))</f>
        <v/>
      </c>
      <c r="AD2096" s="13" t="n"/>
      <c r="AE2096" s="15">
        <f>IF($B2096="","",IF($AD2096&lt;&gt;"",$AD2096,IF($AC2096="","",IF($AC2096&lt;=設定!$C$3,0,$AC2096))))</f>
        <v/>
      </c>
      <c r="AF2096" s="14">
        <f>IF($B2096="","",IF(AND($AG2096&lt;&gt;"",$AI2096="",$AL2096=""),"保留中",IF($AL2096&lt;&gt;"",IF(N($AE2096)&gt;0,"支給済","不支給"),IF($AE2096="","要確認",IF($AE2096=0,"不支給","未処理")))))</f>
        <v/>
      </c>
      <c r="AG2096" s="12" t="n"/>
      <c r="AH2096" s="11" t="n"/>
      <c r="AI2096" s="11" t="n"/>
      <c r="AJ2096" s="11" t="n"/>
      <c r="AK2096" s="14">
        <f>IF(AND($AF2096="保留中",$AH2096&lt;&gt;""),TODAY()-$AH2096,"")</f>
        <v/>
      </c>
      <c r="AL2096" s="12" t="n"/>
      <c r="AM2096" s="14">
        <f>IF($B2096="","",IF($AQ2096="","対象年月が未入力／","")&amp;IF($B2096="","",IF($AP2096="","職員マスタに未登録の職員番号／",IF($AA2096="","標準報酬月額が未登録／","")&amp;IF(AND($AQ2096&lt;&gt;"",OR(AND(INDEX(職員マスタ!$G$6:$G$405,$AP2096)&lt;&gt;"",INDEX(職員マスタ!$G$6:$G$405,$AP2096)&gt;EOMONTH($AQ2096,0)),AND(INDEX(職員マスタ!$H$6:$H$405,$AP2096)&lt;&gt;"",INDEX(職員マスタ!$H$6:$H$405,$AP2096)&lt;$AQ2096))),"対象月が時短期間外／","")&amp;IF(AND(INDEX(職員マスタ!$K$6:$K$405,$AP2096)&lt;&gt;"",N($W2096)&gt;0,INDEX(職員マスタ!$K$6:$K$405,$AP2096)&lt;&gt;$W2096),"標準報酬月額が申請書と相違（台帳"&amp;TEXT(INDEX(職員マスタ!$K$6:$K$405,$AP2096),"#,##0")&amp;"円／申請書"&amp;TEXT($W2096,"#,##0")&amp;"円）／","")&amp;IF(AND(INDEX(職員マスタ!$F$6:$F$405,$AP2096)&lt;&gt;"",$AQ2096&lt;&gt;"",INDEX(職員マスタ!$F$6:$F$405,$AP2096)&lt;$AQ2096),"対象月に子が2歳到達済／","")&amp;IF(AND($H2096&lt;&gt;"",INDEX(職員マスタ!$B$6:$B$405,$AP2096)&lt;&gt;"",SUBSTITUTE(SUBSTITUTE($H2096," ","")," ","")&lt;&gt;SUBSTITUTE(SUBSTITUTE(INDEX(職員マスタ!$B$6:$B$405,$AP2096)," ","")," ","")),"氏名がマスタと相違／","")&amp;IF(AND($Q2096&lt;&gt;"",INDEX(職員マスタ!$E$6:$E$405,$AP2096)&lt;&gt;"",$Q2096&lt;&gt;INDEX(職員マスタ!$E$6:$E$405,$AP2096)),"子の生年月日がマスタと相違／","")&amp;IF(AND($L2096&lt;&gt;"",INDEX(職員マスタ!$G$6:$G$405,$AP2096)&lt;&gt;"",$L2096&lt;&gt;INDEX(職員マスタ!$G$6:$G$405,$AP2096)),"時短開始日がマスタと相違／","")&amp;IF(AND($M2096&lt;&gt;"",INDEX(職員マスタ!$H$6:$H$405,$AP2096)&lt;&gt;"",$M2096&lt;&gt;INDEX(職員マスタ!$H$6:$H$405,$AP2096)),"時短終了日がマスタと相違／","")))&amp;IF(AND($B2096&lt;&gt;"",$E2096=""),"報酬額が未入力／","")&amp;IF(N($U2096)&gt;0,"申請書に入力エラーが残っています／","")&amp;IF(AND($B2096&lt;&gt;"",$AQ2096&lt;&gt;""),IF(COUNTIFS($B$6:$B$3005,$B2096,$C$6:$C$3005,$C2096,$D$6:$D$3005,$D2096)&gt;1,"同じ月の請求が重複しています／",""),"")&amp;IF(AND(N($E2096)&gt;0,$AB2096&lt;&gt;"",$AB2096&lt;&gt;"×",$AE2096=0,$AD2096=""),"計算額が下限以下のため不支給／",""))</f>
        <v/>
      </c>
      <c r="AN2096" s="12" t="n"/>
      <c r="AO2096" s="14">
        <f>IF($AF2096="保留中",COUNTIF($AF$6:$AF2096,"保留中"),"")</f>
        <v/>
      </c>
      <c r="AP2096" s="14">
        <f>IF($AQ2096="","",IF(SUMPRODUCT(MAX((職員マスタ!$A$6:$A$405=$B2096)*(((職員マスタ!$G$6:$G$405="")+(職員マスタ!$G$6:$G$405&lt;=EOMONTH($AQ2096,0)))&gt;0)*(((職員マスタ!$H$6:$H$405="")+(職員マスタ!$H$6:$H$405&gt;=$AQ2096))&gt;0)*(ROW(職員マスタ!$A$6:$A$405)-5)))&gt;0,SUMPRODUCT(MAX((職員マスタ!$A$6:$A$405=$B2096)*(((職員マスタ!$G$6:$G$405="")+(職員マスタ!$G$6:$G$405&lt;=EOMONTH($AQ2096,0)))&gt;0)*(((職員マスタ!$H$6:$H$405="")+(職員マスタ!$H$6:$H$405&gt;=$AQ2096))&gt;0)*(ROW(職員マスタ!$A$6:$A$405)-5))),IFERROR(MATCH($B2096,職員マスタ!$A$6:$A$405,0),"")))</f>
        <v/>
      </c>
      <c r="AQ2096" s="16">
        <f>IF(OR($B2096="",$C2096="",$D2096=""),"",DATE($C2096+2018,$D2096,1))</f>
        <v/>
      </c>
    </row>
    <row r="2097">
      <c r="A2097" s="11" t="n"/>
      <c r="B2097" s="12" t="n"/>
      <c r="C2097" s="12" t="n"/>
      <c r="D2097" s="12" t="n"/>
      <c r="E2097" s="13" t="n"/>
      <c r="F2097" s="12" t="n"/>
      <c r="G2097" s="13" t="n"/>
      <c r="H2097" s="12" t="n"/>
      <c r="I2097" s="12" t="n"/>
      <c r="J2097" s="12" t="n"/>
      <c r="K2097" s="12" t="n"/>
      <c r="L2097" s="11" t="n"/>
      <c r="M2097" s="11" t="n"/>
      <c r="N2097" s="11" t="n"/>
      <c r="O2097" s="11" t="n"/>
      <c r="P2097" s="12" t="n"/>
      <c r="Q2097" s="11" t="n"/>
      <c r="R2097" s="12" t="n"/>
      <c r="S2097" s="11" t="n"/>
      <c r="T2097" s="12" t="n"/>
      <c r="U2097" s="12" t="n"/>
      <c r="V2097" s="12" t="n"/>
      <c r="W2097" s="13" t="n"/>
      <c r="X2097" s="14">
        <f>IF($AP2097="",IF($B2097="","",$H2097),IF(INDEX(職員マスタ!$B$6:$B$405,$AP2097)="",$H2097,INDEX(職員マスタ!$B$6:$B$405,$AP2097)))</f>
        <v/>
      </c>
      <c r="Y2097" s="14">
        <f>IF($AP2097="",IF($B2097="","",$R2097),IF(INDEX(職員マスタ!$C$6:$C$405,$AP2097)="",$R2097,INDEX(職員マスタ!$C$6:$C$405,$AP2097)))</f>
        <v/>
      </c>
      <c r="Z2097" s="14">
        <f>IF($AQ2097="","","R"&amp;$C2097&amp;"."&amp;$D2097)</f>
        <v/>
      </c>
      <c r="AA2097" s="15">
        <f>IF(IF($AP2097="",FALSE,INDEX(職員マスタ!$K$6:$K$405,$AP2097)&lt;&gt;""),INDEX(職員マスタ!$K$6:$K$405,$AP2097),IF(N($W2097)&gt;0,$W2097,""))</f>
        <v/>
      </c>
      <c r="AB2097" s="14">
        <f>IF(OR($E2097="",$AA2097=""),"",IF($E2097&gt;=$AA2097,"×",IF($E2097&gt;=$AA2097*設定!$C$5,"△","○")))</f>
        <v/>
      </c>
      <c r="AC2097" s="15">
        <f>IF($AB2097="","",IF($AB2097="×",0,IF($AB2097="○",ROUNDDOWN($E2097*設定!$C$4,0),ROUNDDOWN($E2097*ROUND((9*$AA2097-9*$E2097)/(10*$E2097),4),0))))</f>
        <v/>
      </c>
      <c r="AD2097" s="13" t="n"/>
      <c r="AE2097" s="15">
        <f>IF($B2097="","",IF($AD2097&lt;&gt;"",$AD2097,IF($AC2097="","",IF($AC2097&lt;=設定!$C$3,0,$AC2097))))</f>
        <v/>
      </c>
      <c r="AF2097" s="14">
        <f>IF($B2097="","",IF(AND($AG2097&lt;&gt;"",$AI2097="",$AL2097=""),"保留中",IF($AL2097&lt;&gt;"",IF(N($AE2097)&gt;0,"支給済","不支給"),IF($AE2097="","要確認",IF($AE2097=0,"不支給","未処理")))))</f>
        <v/>
      </c>
      <c r="AG2097" s="12" t="n"/>
      <c r="AH2097" s="11" t="n"/>
      <c r="AI2097" s="11" t="n"/>
      <c r="AJ2097" s="11" t="n"/>
      <c r="AK2097" s="14">
        <f>IF(AND($AF2097="保留中",$AH2097&lt;&gt;""),TODAY()-$AH2097,"")</f>
        <v/>
      </c>
      <c r="AL2097" s="12" t="n"/>
      <c r="AM2097" s="14">
        <f>IF($B2097="","",IF($AQ2097="","対象年月が未入力／","")&amp;IF($B2097="","",IF($AP2097="","職員マスタに未登録の職員番号／",IF($AA2097="","標準報酬月額が未登録／","")&amp;IF(AND($AQ2097&lt;&gt;"",OR(AND(INDEX(職員マスタ!$G$6:$G$405,$AP2097)&lt;&gt;"",INDEX(職員マスタ!$G$6:$G$405,$AP2097)&gt;EOMONTH($AQ2097,0)),AND(INDEX(職員マスタ!$H$6:$H$405,$AP2097)&lt;&gt;"",INDEX(職員マスタ!$H$6:$H$405,$AP2097)&lt;$AQ2097))),"対象月が時短期間外／","")&amp;IF(AND(INDEX(職員マスタ!$K$6:$K$405,$AP2097)&lt;&gt;"",N($W2097)&gt;0,INDEX(職員マスタ!$K$6:$K$405,$AP2097)&lt;&gt;$W2097),"標準報酬月額が申請書と相違（台帳"&amp;TEXT(INDEX(職員マスタ!$K$6:$K$405,$AP2097),"#,##0")&amp;"円／申請書"&amp;TEXT($W2097,"#,##0")&amp;"円）／","")&amp;IF(AND(INDEX(職員マスタ!$F$6:$F$405,$AP2097)&lt;&gt;"",$AQ2097&lt;&gt;"",INDEX(職員マスタ!$F$6:$F$405,$AP2097)&lt;$AQ2097),"対象月に子が2歳到達済／","")&amp;IF(AND($H2097&lt;&gt;"",INDEX(職員マスタ!$B$6:$B$405,$AP2097)&lt;&gt;"",SUBSTITUTE(SUBSTITUTE($H2097," ","")," ","")&lt;&gt;SUBSTITUTE(SUBSTITUTE(INDEX(職員マスタ!$B$6:$B$405,$AP2097)," ","")," ","")),"氏名がマスタと相違／","")&amp;IF(AND($Q2097&lt;&gt;"",INDEX(職員マスタ!$E$6:$E$405,$AP2097)&lt;&gt;"",$Q2097&lt;&gt;INDEX(職員マスタ!$E$6:$E$405,$AP2097)),"子の生年月日がマスタと相違／","")&amp;IF(AND($L2097&lt;&gt;"",INDEX(職員マスタ!$G$6:$G$405,$AP2097)&lt;&gt;"",$L2097&lt;&gt;INDEX(職員マスタ!$G$6:$G$405,$AP2097)),"時短開始日がマスタと相違／","")&amp;IF(AND($M2097&lt;&gt;"",INDEX(職員マスタ!$H$6:$H$405,$AP2097)&lt;&gt;"",$M2097&lt;&gt;INDEX(職員マスタ!$H$6:$H$405,$AP2097)),"時短終了日がマスタと相違／","")))&amp;IF(AND($B2097&lt;&gt;"",$E2097=""),"報酬額が未入力／","")&amp;IF(N($U2097)&gt;0,"申請書に入力エラーが残っています／","")&amp;IF(AND($B2097&lt;&gt;"",$AQ2097&lt;&gt;""),IF(COUNTIFS($B$6:$B$3005,$B2097,$C$6:$C$3005,$C2097,$D$6:$D$3005,$D2097)&gt;1,"同じ月の請求が重複しています／",""),"")&amp;IF(AND(N($E2097)&gt;0,$AB2097&lt;&gt;"",$AB2097&lt;&gt;"×",$AE2097=0,$AD2097=""),"計算額が下限以下のため不支給／",""))</f>
        <v/>
      </c>
      <c r="AN2097" s="12" t="n"/>
      <c r="AO2097" s="14">
        <f>IF($AF2097="保留中",COUNTIF($AF$6:$AF2097,"保留中"),"")</f>
        <v/>
      </c>
      <c r="AP2097" s="14">
        <f>IF($AQ2097="","",IF(SUMPRODUCT(MAX((職員マスタ!$A$6:$A$405=$B2097)*(((職員マスタ!$G$6:$G$405="")+(職員マスタ!$G$6:$G$405&lt;=EOMONTH($AQ2097,0)))&gt;0)*(((職員マスタ!$H$6:$H$405="")+(職員マスタ!$H$6:$H$405&gt;=$AQ2097))&gt;0)*(ROW(職員マスタ!$A$6:$A$405)-5)))&gt;0,SUMPRODUCT(MAX((職員マスタ!$A$6:$A$405=$B2097)*(((職員マスタ!$G$6:$G$405="")+(職員マスタ!$G$6:$G$405&lt;=EOMONTH($AQ2097,0)))&gt;0)*(((職員マスタ!$H$6:$H$405="")+(職員マスタ!$H$6:$H$405&gt;=$AQ2097))&gt;0)*(ROW(職員マスタ!$A$6:$A$405)-5))),IFERROR(MATCH($B2097,職員マスタ!$A$6:$A$405,0),"")))</f>
        <v/>
      </c>
      <c r="AQ2097" s="16">
        <f>IF(OR($B2097="",$C2097="",$D2097=""),"",DATE($C2097+2018,$D2097,1))</f>
        <v/>
      </c>
    </row>
    <row r="2098">
      <c r="A2098" s="11" t="n"/>
      <c r="B2098" s="12" t="n"/>
      <c r="C2098" s="12" t="n"/>
      <c r="D2098" s="12" t="n"/>
      <c r="E2098" s="13" t="n"/>
      <c r="F2098" s="12" t="n"/>
      <c r="G2098" s="13" t="n"/>
      <c r="H2098" s="12" t="n"/>
      <c r="I2098" s="12" t="n"/>
      <c r="J2098" s="12" t="n"/>
      <c r="K2098" s="12" t="n"/>
      <c r="L2098" s="11" t="n"/>
      <c r="M2098" s="11" t="n"/>
      <c r="N2098" s="11" t="n"/>
      <c r="O2098" s="11" t="n"/>
      <c r="P2098" s="12" t="n"/>
      <c r="Q2098" s="11" t="n"/>
      <c r="R2098" s="12" t="n"/>
      <c r="S2098" s="11" t="n"/>
      <c r="T2098" s="12" t="n"/>
      <c r="U2098" s="12" t="n"/>
      <c r="V2098" s="12" t="n"/>
      <c r="W2098" s="13" t="n"/>
      <c r="X2098" s="14">
        <f>IF($AP2098="",IF($B2098="","",$H2098),IF(INDEX(職員マスタ!$B$6:$B$405,$AP2098)="",$H2098,INDEX(職員マスタ!$B$6:$B$405,$AP2098)))</f>
        <v/>
      </c>
      <c r="Y2098" s="14">
        <f>IF($AP2098="",IF($B2098="","",$R2098),IF(INDEX(職員マスタ!$C$6:$C$405,$AP2098)="",$R2098,INDEX(職員マスタ!$C$6:$C$405,$AP2098)))</f>
        <v/>
      </c>
      <c r="Z2098" s="14">
        <f>IF($AQ2098="","","R"&amp;$C2098&amp;"."&amp;$D2098)</f>
        <v/>
      </c>
      <c r="AA2098" s="15">
        <f>IF(IF($AP2098="",FALSE,INDEX(職員マスタ!$K$6:$K$405,$AP2098)&lt;&gt;""),INDEX(職員マスタ!$K$6:$K$405,$AP2098),IF(N($W2098)&gt;0,$W2098,""))</f>
        <v/>
      </c>
      <c r="AB2098" s="14">
        <f>IF(OR($E2098="",$AA2098=""),"",IF($E2098&gt;=$AA2098,"×",IF($E2098&gt;=$AA2098*設定!$C$5,"△","○")))</f>
        <v/>
      </c>
      <c r="AC2098" s="15">
        <f>IF($AB2098="","",IF($AB2098="×",0,IF($AB2098="○",ROUNDDOWN($E2098*設定!$C$4,0),ROUNDDOWN($E2098*ROUND((9*$AA2098-9*$E2098)/(10*$E2098),4),0))))</f>
        <v/>
      </c>
      <c r="AD2098" s="13" t="n"/>
      <c r="AE2098" s="15">
        <f>IF($B2098="","",IF($AD2098&lt;&gt;"",$AD2098,IF($AC2098="","",IF($AC2098&lt;=設定!$C$3,0,$AC2098))))</f>
        <v/>
      </c>
      <c r="AF2098" s="14">
        <f>IF($B2098="","",IF(AND($AG2098&lt;&gt;"",$AI2098="",$AL2098=""),"保留中",IF($AL2098&lt;&gt;"",IF(N($AE2098)&gt;0,"支給済","不支給"),IF($AE2098="","要確認",IF($AE2098=0,"不支給","未処理")))))</f>
        <v/>
      </c>
      <c r="AG2098" s="12" t="n"/>
      <c r="AH2098" s="11" t="n"/>
      <c r="AI2098" s="11" t="n"/>
      <c r="AJ2098" s="11" t="n"/>
      <c r="AK2098" s="14">
        <f>IF(AND($AF2098="保留中",$AH2098&lt;&gt;""),TODAY()-$AH2098,"")</f>
        <v/>
      </c>
      <c r="AL2098" s="12" t="n"/>
      <c r="AM2098" s="14">
        <f>IF($B2098="","",IF($AQ2098="","対象年月が未入力／","")&amp;IF($B2098="","",IF($AP2098="","職員マスタに未登録の職員番号／",IF($AA2098="","標準報酬月額が未登録／","")&amp;IF(AND($AQ2098&lt;&gt;"",OR(AND(INDEX(職員マスタ!$G$6:$G$405,$AP2098)&lt;&gt;"",INDEX(職員マスタ!$G$6:$G$405,$AP2098)&gt;EOMONTH($AQ2098,0)),AND(INDEX(職員マスタ!$H$6:$H$405,$AP2098)&lt;&gt;"",INDEX(職員マスタ!$H$6:$H$405,$AP2098)&lt;$AQ2098))),"対象月が時短期間外／","")&amp;IF(AND(INDEX(職員マスタ!$K$6:$K$405,$AP2098)&lt;&gt;"",N($W2098)&gt;0,INDEX(職員マスタ!$K$6:$K$405,$AP2098)&lt;&gt;$W2098),"標準報酬月額が申請書と相違（台帳"&amp;TEXT(INDEX(職員マスタ!$K$6:$K$405,$AP2098),"#,##0")&amp;"円／申請書"&amp;TEXT($W2098,"#,##0")&amp;"円）／","")&amp;IF(AND(INDEX(職員マスタ!$F$6:$F$405,$AP2098)&lt;&gt;"",$AQ2098&lt;&gt;"",INDEX(職員マスタ!$F$6:$F$405,$AP2098)&lt;$AQ2098),"対象月に子が2歳到達済／","")&amp;IF(AND($H2098&lt;&gt;"",INDEX(職員マスタ!$B$6:$B$405,$AP2098)&lt;&gt;"",SUBSTITUTE(SUBSTITUTE($H2098," ","")," ","")&lt;&gt;SUBSTITUTE(SUBSTITUTE(INDEX(職員マスタ!$B$6:$B$405,$AP2098)," ","")," ","")),"氏名がマスタと相違／","")&amp;IF(AND($Q2098&lt;&gt;"",INDEX(職員マスタ!$E$6:$E$405,$AP2098)&lt;&gt;"",$Q2098&lt;&gt;INDEX(職員マスタ!$E$6:$E$405,$AP2098)),"子の生年月日がマスタと相違／","")&amp;IF(AND($L2098&lt;&gt;"",INDEX(職員マスタ!$G$6:$G$405,$AP2098)&lt;&gt;"",$L2098&lt;&gt;INDEX(職員マスタ!$G$6:$G$405,$AP2098)),"時短開始日がマスタと相違／","")&amp;IF(AND($M2098&lt;&gt;"",INDEX(職員マスタ!$H$6:$H$405,$AP2098)&lt;&gt;"",$M2098&lt;&gt;INDEX(職員マスタ!$H$6:$H$405,$AP2098)),"時短終了日がマスタと相違／","")))&amp;IF(AND($B2098&lt;&gt;"",$E2098=""),"報酬額が未入力／","")&amp;IF(N($U2098)&gt;0,"申請書に入力エラーが残っています／","")&amp;IF(AND($B2098&lt;&gt;"",$AQ2098&lt;&gt;""),IF(COUNTIFS($B$6:$B$3005,$B2098,$C$6:$C$3005,$C2098,$D$6:$D$3005,$D2098)&gt;1,"同じ月の請求が重複しています／",""),"")&amp;IF(AND(N($E2098)&gt;0,$AB2098&lt;&gt;"",$AB2098&lt;&gt;"×",$AE2098=0,$AD2098=""),"計算額が下限以下のため不支給／",""))</f>
        <v/>
      </c>
      <c r="AN2098" s="12" t="n"/>
      <c r="AO2098" s="14">
        <f>IF($AF2098="保留中",COUNTIF($AF$6:$AF2098,"保留中"),"")</f>
        <v/>
      </c>
      <c r="AP2098" s="14">
        <f>IF($AQ2098="","",IF(SUMPRODUCT(MAX((職員マスタ!$A$6:$A$405=$B2098)*(((職員マスタ!$G$6:$G$405="")+(職員マスタ!$G$6:$G$405&lt;=EOMONTH($AQ2098,0)))&gt;0)*(((職員マスタ!$H$6:$H$405="")+(職員マスタ!$H$6:$H$405&gt;=$AQ2098))&gt;0)*(ROW(職員マスタ!$A$6:$A$405)-5)))&gt;0,SUMPRODUCT(MAX((職員マスタ!$A$6:$A$405=$B2098)*(((職員マスタ!$G$6:$G$405="")+(職員マスタ!$G$6:$G$405&lt;=EOMONTH($AQ2098,0)))&gt;0)*(((職員マスタ!$H$6:$H$405="")+(職員マスタ!$H$6:$H$405&gt;=$AQ2098))&gt;0)*(ROW(職員マスタ!$A$6:$A$405)-5))),IFERROR(MATCH($B2098,職員マスタ!$A$6:$A$405,0),"")))</f>
        <v/>
      </c>
      <c r="AQ2098" s="16">
        <f>IF(OR($B2098="",$C2098="",$D2098=""),"",DATE($C2098+2018,$D2098,1))</f>
        <v/>
      </c>
    </row>
    <row r="2099">
      <c r="A2099" s="11" t="n"/>
      <c r="B2099" s="12" t="n"/>
      <c r="C2099" s="12" t="n"/>
      <c r="D2099" s="12" t="n"/>
      <c r="E2099" s="13" t="n"/>
      <c r="F2099" s="12" t="n"/>
      <c r="G2099" s="13" t="n"/>
      <c r="H2099" s="12" t="n"/>
      <c r="I2099" s="12" t="n"/>
      <c r="J2099" s="12" t="n"/>
      <c r="K2099" s="12" t="n"/>
      <c r="L2099" s="11" t="n"/>
      <c r="M2099" s="11" t="n"/>
      <c r="N2099" s="11" t="n"/>
      <c r="O2099" s="11" t="n"/>
      <c r="P2099" s="12" t="n"/>
      <c r="Q2099" s="11" t="n"/>
      <c r="R2099" s="12" t="n"/>
      <c r="S2099" s="11" t="n"/>
      <c r="T2099" s="12" t="n"/>
      <c r="U2099" s="12" t="n"/>
      <c r="V2099" s="12" t="n"/>
      <c r="W2099" s="13" t="n"/>
      <c r="X2099" s="14">
        <f>IF($AP2099="",IF($B2099="","",$H2099),IF(INDEX(職員マスタ!$B$6:$B$405,$AP2099)="",$H2099,INDEX(職員マスタ!$B$6:$B$405,$AP2099)))</f>
        <v/>
      </c>
      <c r="Y2099" s="14">
        <f>IF($AP2099="",IF($B2099="","",$R2099),IF(INDEX(職員マスタ!$C$6:$C$405,$AP2099)="",$R2099,INDEX(職員マスタ!$C$6:$C$405,$AP2099)))</f>
        <v/>
      </c>
      <c r="Z2099" s="14">
        <f>IF($AQ2099="","","R"&amp;$C2099&amp;"."&amp;$D2099)</f>
        <v/>
      </c>
      <c r="AA2099" s="15">
        <f>IF(IF($AP2099="",FALSE,INDEX(職員マスタ!$K$6:$K$405,$AP2099)&lt;&gt;""),INDEX(職員マスタ!$K$6:$K$405,$AP2099),IF(N($W2099)&gt;0,$W2099,""))</f>
        <v/>
      </c>
      <c r="AB2099" s="14">
        <f>IF(OR($E2099="",$AA2099=""),"",IF($E2099&gt;=$AA2099,"×",IF($E2099&gt;=$AA2099*設定!$C$5,"△","○")))</f>
        <v/>
      </c>
      <c r="AC2099" s="15">
        <f>IF($AB2099="","",IF($AB2099="×",0,IF($AB2099="○",ROUNDDOWN($E2099*設定!$C$4,0),ROUNDDOWN($E2099*ROUND((9*$AA2099-9*$E2099)/(10*$E2099),4),0))))</f>
        <v/>
      </c>
      <c r="AD2099" s="13" t="n"/>
      <c r="AE2099" s="15">
        <f>IF($B2099="","",IF($AD2099&lt;&gt;"",$AD2099,IF($AC2099="","",IF($AC2099&lt;=設定!$C$3,0,$AC2099))))</f>
        <v/>
      </c>
      <c r="AF2099" s="14">
        <f>IF($B2099="","",IF(AND($AG2099&lt;&gt;"",$AI2099="",$AL2099=""),"保留中",IF($AL2099&lt;&gt;"",IF(N($AE2099)&gt;0,"支給済","不支給"),IF($AE2099="","要確認",IF($AE2099=0,"不支給","未処理")))))</f>
        <v/>
      </c>
      <c r="AG2099" s="12" t="n"/>
      <c r="AH2099" s="11" t="n"/>
      <c r="AI2099" s="11" t="n"/>
      <c r="AJ2099" s="11" t="n"/>
      <c r="AK2099" s="14">
        <f>IF(AND($AF2099="保留中",$AH2099&lt;&gt;""),TODAY()-$AH2099,"")</f>
        <v/>
      </c>
      <c r="AL2099" s="12" t="n"/>
      <c r="AM2099" s="14">
        <f>IF($B2099="","",IF($AQ2099="","対象年月が未入力／","")&amp;IF($B2099="","",IF($AP2099="","職員マスタに未登録の職員番号／",IF($AA2099="","標準報酬月額が未登録／","")&amp;IF(AND($AQ2099&lt;&gt;"",OR(AND(INDEX(職員マスタ!$G$6:$G$405,$AP2099)&lt;&gt;"",INDEX(職員マスタ!$G$6:$G$405,$AP2099)&gt;EOMONTH($AQ2099,0)),AND(INDEX(職員マスタ!$H$6:$H$405,$AP2099)&lt;&gt;"",INDEX(職員マスタ!$H$6:$H$405,$AP2099)&lt;$AQ2099))),"対象月が時短期間外／","")&amp;IF(AND(INDEX(職員マスタ!$K$6:$K$405,$AP2099)&lt;&gt;"",N($W2099)&gt;0,INDEX(職員マスタ!$K$6:$K$405,$AP2099)&lt;&gt;$W2099),"標準報酬月額が申請書と相違（台帳"&amp;TEXT(INDEX(職員マスタ!$K$6:$K$405,$AP2099),"#,##0")&amp;"円／申請書"&amp;TEXT($W2099,"#,##0")&amp;"円）／","")&amp;IF(AND(INDEX(職員マスタ!$F$6:$F$405,$AP2099)&lt;&gt;"",$AQ2099&lt;&gt;"",INDEX(職員マスタ!$F$6:$F$405,$AP2099)&lt;$AQ2099),"対象月に子が2歳到達済／","")&amp;IF(AND($H2099&lt;&gt;"",INDEX(職員マスタ!$B$6:$B$405,$AP2099)&lt;&gt;"",SUBSTITUTE(SUBSTITUTE($H2099," ","")," ","")&lt;&gt;SUBSTITUTE(SUBSTITUTE(INDEX(職員マスタ!$B$6:$B$405,$AP2099)," ","")," ","")),"氏名がマスタと相違／","")&amp;IF(AND($Q2099&lt;&gt;"",INDEX(職員マスタ!$E$6:$E$405,$AP2099)&lt;&gt;"",$Q2099&lt;&gt;INDEX(職員マスタ!$E$6:$E$405,$AP2099)),"子の生年月日がマスタと相違／","")&amp;IF(AND($L2099&lt;&gt;"",INDEX(職員マスタ!$G$6:$G$405,$AP2099)&lt;&gt;"",$L2099&lt;&gt;INDEX(職員マスタ!$G$6:$G$405,$AP2099)),"時短開始日がマスタと相違／","")&amp;IF(AND($M2099&lt;&gt;"",INDEX(職員マスタ!$H$6:$H$405,$AP2099)&lt;&gt;"",$M2099&lt;&gt;INDEX(職員マスタ!$H$6:$H$405,$AP2099)),"時短終了日がマスタと相違／","")))&amp;IF(AND($B2099&lt;&gt;"",$E2099=""),"報酬額が未入力／","")&amp;IF(N($U2099)&gt;0,"申請書に入力エラーが残っています／","")&amp;IF(AND($B2099&lt;&gt;"",$AQ2099&lt;&gt;""),IF(COUNTIFS($B$6:$B$3005,$B2099,$C$6:$C$3005,$C2099,$D$6:$D$3005,$D2099)&gt;1,"同じ月の請求が重複しています／",""),"")&amp;IF(AND(N($E2099)&gt;0,$AB2099&lt;&gt;"",$AB2099&lt;&gt;"×",$AE2099=0,$AD2099=""),"計算額が下限以下のため不支給／",""))</f>
        <v/>
      </c>
      <c r="AN2099" s="12" t="n"/>
      <c r="AO2099" s="14">
        <f>IF($AF2099="保留中",COUNTIF($AF$6:$AF2099,"保留中"),"")</f>
        <v/>
      </c>
      <c r="AP2099" s="14">
        <f>IF($AQ2099="","",IF(SUMPRODUCT(MAX((職員マスタ!$A$6:$A$405=$B2099)*(((職員マスタ!$G$6:$G$405="")+(職員マスタ!$G$6:$G$405&lt;=EOMONTH($AQ2099,0)))&gt;0)*(((職員マスタ!$H$6:$H$405="")+(職員マスタ!$H$6:$H$405&gt;=$AQ2099))&gt;0)*(ROW(職員マスタ!$A$6:$A$405)-5)))&gt;0,SUMPRODUCT(MAX((職員マスタ!$A$6:$A$405=$B2099)*(((職員マスタ!$G$6:$G$405="")+(職員マスタ!$G$6:$G$405&lt;=EOMONTH($AQ2099,0)))&gt;0)*(((職員マスタ!$H$6:$H$405="")+(職員マスタ!$H$6:$H$405&gt;=$AQ2099))&gt;0)*(ROW(職員マスタ!$A$6:$A$405)-5))),IFERROR(MATCH($B2099,職員マスタ!$A$6:$A$405,0),"")))</f>
        <v/>
      </c>
      <c r="AQ2099" s="16">
        <f>IF(OR($B2099="",$C2099="",$D2099=""),"",DATE($C2099+2018,$D2099,1))</f>
        <v/>
      </c>
    </row>
    <row r="2100">
      <c r="A2100" s="11" t="n"/>
      <c r="B2100" s="12" t="n"/>
      <c r="C2100" s="12" t="n"/>
      <c r="D2100" s="12" t="n"/>
      <c r="E2100" s="13" t="n"/>
      <c r="F2100" s="12" t="n"/>
      <c r="G2100" s="13" t="n"/>
      <c r="H2100" s="12" t="n"/>
      <c r="I2100" s="12" t="n"/>
      <c r="J2100" s="12" t="n"/>
      <c r="K2100" s="12" t="n"/>
      <c r="L2100" s="11" t="n"/>
      <c r="M2100" s="11" t="n"/>
      <c r="N2100" s="11" t="n"/>
      <c r="O2100" s="11" t="n"/>
      <c r="P2100" s="12" t="n"/>
      <c r="Q2100" s="11" t="n"/>
      <c r="R2100" s="12" t="n"/>
      <c r="S2100" s="11" t="n"/>
      <c r="T2100" s="12" t="n"/>
      <c r="U2100" s="12" t="n"/>
      <c r="V2100" s="12" t="n"/>
      <c r="W2100" s="13" t="n"/>
      <c r="X2100" s="14">
        <f>IF($AP2100="",IF($B2100="","",$H2100),IF(INDEX(職員マスタ!$B$6:$B$405,$AP2100)="",$H2100,INDEX(職員マスタ!$B$6:$B$405,$AP2100)))</f>
        <v/>
      </c>
      <c r="Y2100" s="14">
        <f>IF($AP2100="",IF($B2100="","",$R2100),IF(INDEX(職員マスタ!$C$6:$C$405,$AP2100)="",$R2100,INDEX(職員マスタ!$C$6:$C$405,$AP2100)))</f>
        <v/>
      </c>
      <c r="Z2100" s="14">
        <f>IF($AQ2100="","","R"&amp;$C2100&amp;"."&amp;$D2100)</f>
        <v/>
      </c>
      <c r="AA2100" s="15">
        <f>IF(IF($AP2100="",FALSE,INDEX(職員マスタ!$K$6:$K$405,$AP2100)&lt;&gt;""),INDEX(職員マスタ!$K$6:$K$405,$AP2100),IF(N($W2100)&gt;0,$W2100,""))</f>
        <v/>
      </c>
      <c r="AB2100" s="14">
        <f>IF(OR($E2100="",$AA2100=""),"",IF($E2100&gt;=$AA2100,"×",IF($E2100&gt;=$AA2100*設定!$C$5,"△","○")))</f>
        <v/>
      </c>
      <c r="AC2100" s="15">
        <f>IF($AB2100="","",IF($AB2100="×",0,IF($AB2100="○",ROUNDDOWN($E2100*設定!$C$4,0),ROUNDDOWN($E2100*ROUND((9*$AA2100-9*$E2100)/(10*$E2100),4),0))))</f>
        <v/>
      </c>
      <c r="AD2100" s="13" t="n"/>
      <c r="AE2100" s="15">
        <f>IF($B2100="","",IF($AD2100&lt;&gt;"",$AD2100,IF($AC2100="","",IF($AC2100&lt;=設定!$C$3,0,$AC2100))))</f>
        <v/>
      </c>
      <c r="AF2100" s="14">
        <f>IF($B2100="","",IF(AND($AG2100&lt;&gt;"",$AI2100="",$AL2100=""),"保留中",IF($AL2100&lt;&gt;"",IF(N($AE2100)&gt;0,"支給済","不支給"),IF($AE2100="","要確認",IF($AE2100=0,"不支給","未処理")))))</f>
        <v/>
      </c>
      <c r="AG2100" s="12" t="n"/>
      <c r="AH2100" s="11" t="n"/>
      <c r="AI2100" s="11" t="n"/>
      <c r="AJ2100" s="11" t="n"/>
      <c r="AK2100" s="14">
        <f>IF(AND($AF2100="保留中",$AH2100&lt;&gt;""),TODAY()-$AH2100,"")</f>
        <v/>
      </c>
      <c r="AL2100" s="12" t="n"/>
      <c r="AM2100" s="14">
        <f>IF($B2100="","",IF($AQ2100="","対象年月が未入力／","")&amp;IF($B2100="","",IF($AP2100="","職員マスタに未登録の職員番号／",IF($AA2100="","標準報酬月額が未登録／","")&amp;IF(AND($AQ2100&lt;&gt;"",OR(AND(INDEX(職員マスタ!$G$6:$G$405,$AP2100)&lt;&gt;"",INDEX(職員マスタ!$G$6:$G$405,$AP2100)&gt;EOMONTH($AQ2100,0)),AND(INDEX(職員マスタ!$H$6:$H$405,$AP2100)&lt;&gt;"",INDEX(職員マスタ!$H$6:$H$405,$AP2100)&lt;$AQ2100))),"対象月が時短期間外／","")&amp;IF(AND(INDEX(職員マスタ!$K$6:$K$405,$AP2100)&lt;&gt;"",N($W2100)&gt;0,INDEX(職員マスタ!$K$6:$K$405,$AP2100)&lt;&gt;$W2100),"標準報酬月額が申請書と相違（台帳"&amp;TEXT(INDEX(職員マスタ!$K$6:$K$405,$AP2100),"#,##0")&amp;"円／申請書"&amp;TEXT($W2100,"#,##0")&amp;"円）／","")&amp;IF(AND(INDEX(職員マスタ!$F$6:$F$405,$AP2100)&lt;&gt;"",$AQ2100&lt;&gt;"",INDEX(職員マスタ!$F$6:$F$405,$AP2100)&lt;$AQ2100),"対象月に子が2歳到達済／","")&amp;IF(AND($H2100&lt;&gt;"",INDEX(職員マスタ!$B$6:$B$405,$AP2100)&lt;&gt;"",SUBSTITUTE(SUBSTITUTE($H2100," ","")," ","")&lt;&gt;SUBSTITUTE(SUBSTITUTE(INDEX(職員マスタ!$B$6:$B$405,$AP2100)," ","")," ","")),"氏名がマスタと相違／","")&amp;IF(AND($Q2100&lt;&gt;"",INDEX(職員マスタ!$E$6:$E$405,$AP2100)&lt;&gt;"",$Q2100&lt;&gt;INDEX(職員マスタ!$E$6:$E$405,$AP2100)),"子の生年月日がマスタと相違／","")&amp;IF(AND($L2100&lt;&gt;"",INDEX(職員マスタ!$G$6:$G$405,$AP2100)&lt;&gt;"",$L2100&lt;&gt;INDEX(職員マスタ!$G$6:$G$405,$AP2100)),"時短開始日がマスタと相違／","")&amp;IF(AND($M2100&lt;&gt;"",INDEX(職員マスタ!$H$6:$H$405,$AP2100)&lt;&gt;"",$M2100&lt;&gt;INDEX(職員マスタ!$H$6:$H$405,$AP2100)),"時短終了日がマスタと相違／","")))&amp;IF(AND($B2100&lt;&gt;"",$E2100=""),"報酬額が未入力／","")&amp;IF(N($U2100)&gt;0,"申請書に入力エラーが残っています／","")&amp;IF(AND($B2100&lt;&gt;"",$AQ2100&lt;&gt;""),IF(COUNTIFS($B$6:$B$3005,$B2100,$C$6:$C$3005,$C2100,$D$6:$D$3005,$D2100)&gt;1,"同じ月の請求が重複しています／",""),"")&amp;IF(AND(N($E2100)&gt;0,$AB2100&lt;&gt;"",$AB2100&lt;&gt;"×",$AE2100=0,$AD2100=""),"計算額が下限以下のため不支給／",""))</f>
        <v/>
      </c>
      <c r="AN2100" s="12" t="n"/>
      <c r="AO2100" s="14">
        <f>IF($AF2100="保留中",COUNTIF($AF$6:$AF2100,"保留中"),"")</f>
        <v/>
      </c>
      <c r="AP2100" s="14">
        <f>IF($AQ2100="","",IF(SUMPRODUCT(MAX((職員マスタ!$A$6:$A$405=$B2100)*(((職員マスタ!$G$6:$G$405="")+(職員マスタ!$G$6:$G$405&lt;=EOMONTH($AQ2100,0)))&gt;0)*(((職員マスタ!$H$6:$H$405="")+(職員マスタ!$H$6:$H$405&gt;=$AQ2100))&gt;0)*(ROW(職員マスタ!$A$6:$A$405)-5)))&gt;0,SUMPRODUCT(MAX((職員マスタ!$A$6:$A$405=$B2100)*(((職員マスタ!$G$6:$G$405="")+(職員マスタ!$G$6:$G$405&lt;=EOMONTH($AQ2100,0)))&gt;0)*(((職員マスタ!$H$6:$H$405="")+(職員マスタ!$H$6:$H$405&gt;=$AQ2100))&gt;0)*(ROW(職員マスタ!$A$6:$A$405)-5))),IFERROR(MATCH($B2100,職員マスタ!$A$6:$A$405,0),"")))</f>
        <v/>
      </c>
      <c r="AQ2100" s="16">
        <f>IF(OR($B2100="",$C2100="",$D2100=""),"",DATE($C2100+2018,$D2100,1))</f>
        <v/>
      </c>
    </row>
    <row r="2101">
      <c r="A2101" s="11" t="n"/>
      <c r="B2101" s="12" t="n"/>
      <c r="C2101" s="12" t="n"/>
      <c r="D2101" s="12" t="n"/>
      <c r="E2101" s="13" t="n"/>
      <c r="F2101" s="12" t="n"/>
      <c r="G2101" s="13" t="n"/>
      <c r="H2101" s="12" t="n"/>
      <c r="I2101" s="12" t="n"/>
      <c r="J2101" s="12" t="n"/>
      <c r="K2101" s="12" t="n"/>
      <c r="L2101" s="11" t="n"/>
      <c r="M2101" s="11" t="n"/>
      <c r="N2101" s="11" t="n"/>
      <c r="O2101" s="11" t="n"/>
      <c r="P2101" s="12" t="n"/>
      <c r="Q2101" s="11" t="n"/>
      <c r="R2101" s="12" t="n"/>
      <c r="S2101" s="11" t="n"/>
      <c r="T2101" s="12" t="n"/>
      <c r="U2101" s="12" t="n"/>
      <c r="V2101" s="12" t="n"/>
      <c r="W2101" s="13" t="n"/>
      <c r="X2101" s="14">
        <f>IF($AP2101="",IF($B2101="","",$H2101),IF(INDEX(職員マスタ!$B$6:$B$405,$AP2101)="",$H2101,INDEX(職員マスタ!$B$6:$B$405,$AP2101)))</f>
        <v/>
      </c>
      <c r="Y2101" s="14">
        <f>IF($AP2101="",IF($B2101="","",$R2101),IF(INDEX(職員マスタ!$C$6:$C$405,$AP2101)="",$R2101,INDEX(職員マスタ!$C$6:$C$405,$AP2101)))</f>
        <v/>
      </c>
      <c r="Z2101" s="14">
        <f>IF($AQ2101="","","R"&amp;$C2101&amp;"."&amp;$D2101)</f>
        <v/>
      </c>
      <c r="AA2101" s="15">
        <f>IF(IF($AP2101="",FALSE,INDEX(職員マスタ!$K$6:$K$405,$AP2101)&lt;&gt;""),INDEX(職員マスタ!$K$6:$K$405,$AP2101),IF(N($W2101)&gt;0,$W2101,""))</f>
        <v/>
      </c>
      <c r="AB2101" s="14">
        <f>IF(OR($E2101="",$AA2101=""),"",IF($E2101&gt;=$AA2101,"×",IF($E2101&gt;=$AA2101*設定!$C$5,"△","○")))</f>
        <v/>
      </c>
      <c r="AC2101" s="15">
        <f>IF($AB2101="","",IF($AB2101="×",0,IF($AB2101="○",ROUNDDOWN($E2101*設定!$C$4,0),ROUNDDOWN($E2101*ROUND((9*$AA2101-9*$E2101)/(10*$E2101),4),0))))</f>
        <v/>
      </c>
      <c r="AD2101" s="13" t="n"/>
      <c r="AE2101" s="15">
        <f>IF($B2101="","",IF($AD2101&lt;&gt;"",$AD2101,IF($AC2101="","",IF($AC2101&lt;=設定!$C$3,0,$AC2101))))</f>
        <v/>
      </c>
      <c r="AF2101" s="14">
        <f>IF($B2101="","",IF(AND($AG2101&lt;&gt;"",$AI2101="",$AL2101=""),"保留中",IF($AL2101&lt;&gt;"",IF(N($AE2101)&gt;0,"支給済","不支給"),IF($AE2101="","要確認",IF($AE2101=0,"不支給","未処理")))))</f>
        <v/>
      </c>
      <c r="AG2101" s="12" t="n"/>
      <c r="AH2101" s="11" t="n"/>
      <c r="AI2101" s="11" t="n"/>
      <c r="AJ2101" s="11" t="n"/>
      <c r="AK2101" s="14">
        <f>IF(AND($AF2101="保留中",$AH2101&lt;&gt;""),TODAY()-$AH2101,"")</f>
        <v/>
      </c>
      <c r="AL2101" s="12" t="n"/>
      <c r="AM2101" s="14">
        <f>IF($B2101="","",IF($AQ2101="","対象年月が未入力／","")&amp;IF($B2101="","",IF($AP2101="","職員マスタに未登録の職員番号／",IF($AA2101="","標準報酬月額が未登録／","")&amp;IF(AND($AQ2101&lt;&gt;"",OR(AND(INDEX(職員マスタ!$G$6:$G$405,$AP2101)&lt;&gt;"",INDEX(職員マスタ!$G$6:$G$405,$AP2101)&gt;EOMONTH($AQ2101,0)),AND(INDEX(職員マスタ!$H$6:$H$405,$AP2101)&lt;&gt;"",INDEX(職員マスタ!$H$6:$H$405,$AP2101)&lt;$AQ2101))),"対象月が時短期間外／","")&amp;IF(AND(INDEX(職員マスタ!$K$6:$K$405,$AP2101)&lt;&gt;"",N($W2101)&gt;0,INDEX(職員マスタ!$K$6:$K$405,$AP2101)&lt;&gt;$W2101),"標準報酬月額が申請書と相違（台帳"&amp;TEXT(INDEX(職員マスタ!$K$6:$K$405,$AP2101),"#,##0")&amp;"円／申請書"&amp;TEXT($W2101,"#,##0")&amp;"円）／","")&amp;IF(AND(INDEX(職員マスタ!$F$6:$F$405,$AP2101)&lt;&gt;"",$AQ2101&lt;&gt;"",INDEX(職員マスタ!$F$6:$F$405,$AP2101)&lt;$AQ2101),"対象月に子が2歳到達済／","")&amp;IF(AND($H2101&lt;&gt;"",INDEX(職員マスタ!$B$6:$B$405,$AP2101)&lt;&gt;"",SUBSTITUTE(SUBSTITUTE($H2101," ","")," ","")&lt;&gt;SUBSTITUTE(SUBSTITUTE(INDEX(職員マスタ!$B$6:$B$405,$AP2101)," ","")," ","")),"氏名がマスタと相違／","")&amp;IF(AND($Q2101&lt;&gt;"",INDEX(職員マスタ!$E$6:$E$405,$AP2101)&lt;&gt;"",$Q2101&lt;&gt;INDEX(職員マスタ!$E$6:$E$405,$AP2101)),"子の生年月日がマスタと相違／","")&amp;IF(AND($L2101&lt;&gt;"",INDEX(職員マスタ!$G$6:$G$405,$AP2101)&lt;&gt;"",$L2101&lt;&gt;INDEX(職員マスタ!$G$6:$G$405,$AP2101)),"時短開始日がマスタと相違／","")&amp;IF(AND($M2101&lt;&gt;"",INDEX(職員マスタ!$H$6:$H$405,$AP2101)&lt;&gt;"",$M2101&lt;&gt;INDEX(職員マスタ!$H$6:$H$405,$AP2101)),"時短終了日がマスタと相違／","")))&amp;IF(AND($B2101&lt;&gt;"",$E2101=""),"報酬額が未入力／","")&amp;IF(N($U2101)&gt;0,"申請書に入力エラーが残っています／","")&amp;IF(AND($B2101&lt;&gt;"",$AQ2101&lt;&gt;""),IF(COUNTIFS($B$6:$B$3005,$B2101,$C$6:$C$3005,$C2101,$D$6:$D$3005,$D2101)&gt;1,"同じ月の請求が重複しています／",""),"")&amp;IF(AND(N($E2101)&gt;0,$AB2101&lt;&gt;"",$AB2101&lt;&gt;"×",$AE2101=0,$AD2101=""),"計算額が下限以下のため不支給／",""))</f>
        <v/>
      </c>
      <c r="AN2101" s="12" t="n"/>
      <c r="AO2101" s="14">
        <f>IF($AF2101="保留中",COUNTIF($AF$6:$AF2101,"保留中"),"")</f>
        <v/>
      </c>
      <c r="AP2101" s="14">
        <f>IF($AQ2101="","",IF(SUMPRODUCT(MAX((職員マスタ!$A$6:$A$405=$B2101)*(((職員マスタ!$G$6:$G$405="")+(職員マスタ!$G$6:$G$405&lt;=EOMONTH($AQ2101,0)))&gt;0)*(((職員マスタ!$H$6:$H$405="")+(職員マスタ!$H$6:$H$405&gt;=$AQ2101))&gt;0)*(ROW(職員マスタ!$A$6:$A$405)-5)))&gt;0,SUMPRODUCT(MAX((職員マスタ!$A$6:$A$405=$B2101)*(((職員マスタ!$G$6:$G$405="")+(職員マスタ!$G$6:$G$405&lt;=EOMONTH($AQ2101,0)))&gt;0)*(((職員マスタ!$H$6:$H$405="")+(職員マスタ!$H$6:$H$405&gt;=$AQ2101))&gt;0)*(ROW(職員マスタ!$A$6:$A$405)-5))),IFERROR(MATCH($B2101,職員マスタ!$A$6:$A$405,0),"")))</f>
        <v/>
      </c>
      <c r="AQ2101" s="16">
        <f>IF(OR($B2101="",$C2101="",$D2101=""),"",DATE($C2101+2018,$D2101,1))</f>
        <v/>
      </c>
    </row>
    <row r="2102">
      <c r="A2102" s="11" t="n"/>
      <c r="B2102" s="12" t="n"/>
      <c r="C2102" s="12" t="n"/>
      <c r="D2102" s="12" t="n"/>
      <c r="E2102" s="13" t="n"/>
      <c r="F2102" s="12" t="n"/>
      <c r="G2102" s="13" t="n"/>
      <c r="H2102" s="12" t="n"/>
      <c r="I2102" s="12" t="n"/>
      <c r="J2102" s="12" t="n"/>
      <c r="K2102" s="12" t="n"/>
      <c r="L2102" s="11" t="n"/>
      <c r="M2102" s="11" t="n"/>
      <c r="N2102" s="11" t="n"/>
      <c r="O2102" s="11" t="n"/>
      <c r="P2102" s="12" t="n"/>
      <c r="Q2102" s="11" t="n"/>
      <c r="R2102" s="12" t="n"/>
      <c r="S2102" s="11" t="n"/>
      <c r="T2102" s="12" t="n"/>
      <c r="U2102" s="12" t="n"/>
      <c r="V2102" s="12" t="n"/>
      <c r="W2102" s="13" t="n"/>
      <c r="X2102" s="14">
        <f>IF($AP2102="",IF($B2102="","",$H2102),IF(INDEX(職員マスタ!$B$6:$B$405,$AP2102)="",$H2102,INDEX(職員マスタ!$B$6:$B$405,$AP2102)))</f>
        <v/>
      </c>
      <c r="Y2102" s="14">
        <f>IF($AP2102="",IF($B2102="","",$R2102),IF(INDEX(職員マスタ!$C$6:$C$405,$AP2102)="",$R2102,INDEX(職員マスタ!$C$6:$C$405,$AP2102)))</f>
        <v/>
      </c>
      <c r="Z2102" s="14">
        <f>IF($AQ2102="","","R"&amp;$C2102&amp;"."&amp;$D2102)</f>
        <v/>
      </c>
      <c r="AA2102" s="15">
        <f>IF(IF($AP2102="",FALSE,INDEX(職員マスタ!$K$6:$K$405,$AP2102)&lt;&gt;""),INDEX(職員マスタ!$K$6:$K$405,$AP2102),IF(N($W2102)&gt;0,$W2102,""))</f>
        <v/>
      </c>
      <c r="AB2102" s="14">
        <f>IF(OR($E2102="",$AA2102=""),"",IF($E2102&gt;=$AA2102,"×",IF($E2102&gt;=$AA2102*設定!$C$5,"△","○")))</f>
        <v/>
      </c>
      <c r="AC2102" s="15">
        <f>IF($AB2102="","",IF($AB2102="×",0,IF($AB2102="○",ROUNDDOWN($E2102*設定!$C$4,0),ROUNDDOWN($E2102*ROUND((9*$AA2102-9*$E2102)/(10*$E2102),4),0))))</f>
        <v/>
      </c>
      <c r="AD2102" s="13" t="n"/>
      <c r="AE2102" s="15">
        <f>IF($B2102="","",IF($AD2102&lt;&gt;"",$AD2102,IF($AC2102="","",IF($AC2102&lt;=設定!$C$3,0,$AC2102))))</f>
        <v/>
      </c>
      <c r="AF2102" s="14">
        <f>IF($B2102="","",IF(AND($AG2102&lt;&gt;"",$AI2102="",$AL2102=""),"保留中",IF($AL2102&lt;&gt;"",IF(N($AE2102)&gt;0,"支給済","不支給"),IF($AE2102="","要確認",IF($AE2102=0,"不支給","未処理")))))</f>
        <v/>
      </c>
      <c r="AG2102" s="12" t="n"/>
      <c r="AH2102" s="11" t="n"/>
      <c r="AI2102" s="11" t="n"/>
      <c r="AJ2102" s="11" t="n"/>
      <c r="AK2102" s="14">
        <f>IF(AND($AF2102="保留中",$AH2102&lt;&gt;""),TODAY()-$AH2102,"")</f>
        <v/>
      </c>
      <c r="AL2102" s="12" t="n"/>
      <c r="AM2102" s="14">
        <f>IF($B2102="","",IF($AQ2102="","対象年月が未入力／","")&amp;IF($B2102="","",IF($AP2102="","職員マスタに未登録の職員番号／",IF($AA2102="","標準報酬月額が未登録／","")&amp;IF(AND($AQ2102&lt;&gt;"",OR(AND(INDEX(職員マスタ!$G$6:$G$405,$AP2102)&lt;&gt;"",INDEX(職員マスタ!$G$6:$G$405,$AP2102)&gt;EOMONTH($AQ2102,0)),AND(INDEX(職員マスタ!$H$6:$H$405,$AP2102)&lt;&gt;"",INDEX(職員マスタ!$H$6:$H$405,$AP2102)&lt;$AQ2102))),"対象月が時短期間外／","")&amp;IF(AND(INDEX(職員マスタ!$K$6:$K$405,$AP2102)&lt;&gt;"",N($W2102)&gt;0,INDEX(職員マスタ!$K$6:$K$405,$AP2102)&lt;&gt;$W2102),"標準報酬月額が申請書と相違（台帳"&amp;TEXT(INDEX(職員マスタ!$K$6:$K$405,$AP2102),"#,##0")&amp;"円／申請書"&amp;TEXT($W2102,"#,##0")&amp;"円）／","")&amp;IF(AND(INDEX(職員マスタ!$F$6:$F$405,$AP2102)&lt;&gt;"",$AQ2102&lt;&gt;"",INDEX(職員マスタ!$F$6:$F$405,$AP2102)&lt;$AQ2102),"対象月に子が2歳到達済／","")&amp;IF(AND($H2102&lt;&gt;"",INDEX(職員マスタ!$B$6:$B$405,$AP2102)&lt;&gt;"",SUBSTITUTE(SUBSTITUTE($H2102," ","")," ","")&lt;&gt;SUBSTITUTE(SUBSTITUTE(INDEX(職員マスタ!$B$6:$B$405,$AP2102)," ","")," ","")),"氏名がマスタと相違／","")&amp;IF(AND($Q2102&lt;&gt;"",INDEX(職員マスタ!$E$6:$E$405,$AP2102)&lt;&gt;"",$Q2102&lt;&gt;INDEX(職員マスタ!$E$6:$E$405,$AP2102)),"子の生年月日がマスタと相違／","")&amp;IF(AND($L2102&lt;&gt;"",INDEX(職員マスタ!$G$6:$G$405,$AP2102)&lt;&gt;"",$L2102&lt;&gt;INDEX(職員マスタ!$G$6:$G$405,$AP2102)),"時短開始日がマスタと相違／","")&amp;IF(AND($M2102&lt;&gt;"",INDEX(職員マスタ!$H$6:$H$405,$AP2102)&lt;&gt;"",$M2102&lt;&gt;INDEX(職員マスタ!$H$6:$H$405,$AP2102)),"時短終了日がマスタと相違／","")))&amp;IF(AND($B2102&lt;&gt;"",$E2102=""),"報酬額が未入力／","")&amp;IF(N($U2102)&gt;0,"申請書に入力エラーが残っています／","")&amp;IF(AND($B2102&lt;&gt;"",$AQ2102&lt;&gt;""),IF(COUNTIFS($B$6:$B$3005,$B2102,$C$6:$C$3005,$C2102,$D$6:$D$3005,$D2102)&gt;1,"同じ月の請求が重複しています／",""),"")&amp;IF(AND(N($E2102)&gt;0,$AB2102&lt;&gt;"",$AB2102&lt;&gt;"×",$AE2102=0,$AD2102=""),"計算額が下限以下のため不支給／",""))</f>
        <v/>
      </c>
      <c r="AN2102" s="12" t="n"/>
      <c r="AO2102" s="14">
        <f>IF($AF2102="保留中",COUNTIF($AF$6:$AF2102,"保留中"),"")</f>
        <v/>
      </c>
      <c r="AP2102" s="14">
        <f>IF($AQ2102="","",IF(SUMPRODUCT(MAX((職員マスタ!$A$6:$A$405=$B2102)*(((職員マスタ!$G$6:$G$405="")+(職員マスタ!$G$6:$G$405&lt;=EOMONTH($AQ2102,0)))&gt;0)*(((職員マスタ!$H$6:$H$405="")+(職員マスタ!$H$6:$H$405&gt;=$AQ2102))&gt;0)*(ROW(職員マスタ!$A$6:$A$405)-5)))&gt;0,SUMPRODUCT(MAX((職員マスタ!$A$6:$A$405=$B2102)*(((職員マスタ!$G$6:$G$405="")+(職員マスタ!$G$6:$G$405&lt;=EOMONTH($AQ2102,0)))&gt;0)*(((職員マスタ!$H$6:$H$405="")+(職員マスタ!$H$6:$H$405&gt;=$AQ2102))&gt;0)*(ROW(職員マスタ!$A$6:$A$405)-5))),IFERROR(MATCH($B2102,職員マスタ!$A$6:$A$405,0),"")))</f>
        <v/>
      </c>
      <c r="AQ2102" s="16">
        <f>IF(OR($B2102="",$C2102="",$D2102=""),"",DATE($C2102+2018,$D2102,1))</f>
        <v/>
      </c>
    </row>
    <row r="2103">
      <c r="A2103" s="11" t="n"/>
      <c r="B2103" s="12" t="n"/>
      <c r="C2103" s="12" t="n"/>
      <c r="D2103" s="12" t="n"/>
      <c r="E2103" s="13" t="n"/>
      <c r="F2103" s="12" t="n"/>
      <c r="G2103" s="13" t="n"/>
      <c r="H2103" s="12" t="n"/>
      <c r="I2103" s="12" t="n"/>
      <c r="J2103" s="12" t="n"/>
      <c r="K2103" s="12" t="n"/>
      <c r="L2103" s="11" t="n"/>
      <c r="M2103" s="11" t="n"/>
      <c r="N2103" s="11" t="n"/>
      <c r="O2103" s="11" t="n"/>
      <c r="P2103" s="12" t="n"/>
      <c r="Q2103" s="11" t="n"/>
      <c r="R2103" s="12" t="n"/>
      <c r="S2103" s="11" t="n"/>
      <c r="T2103" s="12" t="n"/>
      <c r="U2103" s="12" t="n"/>
      <c r="V2103" s="12" t="n"/>
      <c r="W2103" s="13" t="n"/>
      <c r="X2103" s="14">
        <f>IF($AP2103="",IF($B2103="","",$H2103),IF(INDEX(職員マスタ!$B$6:$B$405,$AP2103)="",$H2103,INDEX(職員マスタ!$B$6:$B$405,$AP2103)))</f>
        <v/>
      </c>
      <c r="Y2103" s="14">
        <f>IF($AP2103="",IF($B2103="","",$R2103),IF(INDEX(職員マスタ!$C$6:$C$405,$AP2103)="",$R2103,INDEX(職員マスタ!$C$6:$C$405,$AP2103)))</f>
        <v/>
      </c>
      <c r="Z2103" s="14">
        <f>IF($AQ2103="","","R"&amp;$C2103&amp;"."&amp;$D2103)</f>
        <v/>
      </c>
      <c r="AA2103" s="15">
        <f>IF(IF($AP2103="",FALSE,INDEX(職員マスタ!$K$6:$K$405,$AP2103)&lt;&gt;""),INDEX(職員マスタ!$K$6:$K$405,$AP2103),IF(N($W2103)&gt;0,$W2103,""))</f>
        <v/>
      </c>
      <c r="AB2103" s="14">
        <f>IF(OR($E2103="",$AA2103=""),"",IF($E2103&gt;=$AA2103,"×",IF($E2103&gt;=$AA2103*設定!$C$5,"△","○")))</f>
        <v/>
      </c>
      <c r="AC2103" s="15">
        <f>IF($AB2103="","",IF($AB2103="×",0,IF($AB2103="○",ROUNDDOWN($E2103*設定!$C$4,0),ROUNDDOWN($E2103*ROUND((9*$AA2103-9*$E2103)/(10*$E2103),4),0))))</f>
        <v/>
      </c>
      <c r="AD2103" s="13" t="n"/>
      <c r="AE2103" s="15">
        <f>IF($B2103="","",IF($AD2103&lt;&gt;"",$AD2103,IF($AC2103="","",IF($AC2103&lt;=設定!$C$3,0,$AC2103))))</f>
        <v/>
      </c>
      <c r="AF2103" s="14">
        <f>IF($B2103="","",IF(AND($AG2103&lt;&gt;"",$AI2103="",$AL2103=""),"保留中",IF($AL2103&lt;&gt;"",IF(N($AE2103)&gt;0,"支給済","不支給"),IF($AE2103="","要確認",IF($AE2103=0,"不支給","未処理")))))</f>
        <v/>
      </c>
      <c r="AG2103" s="12" t="n"/>
      <c r="AH2103" s="11" t="n"/>
      <c r="AI2103" s="11" t="n"/>
      <c r="AJ2103" s="11" t="n"/>
      <c r="AK2103" s="14">
        <f>IF(AND($AF2103="保留中",$AH2103&lt;&gt;""),TODAY()-$AH2103,"")</f>
        <v/>
      </c>
      <c r="AL2103" s="12" t="n"/>
      <c r="AM2103" s="14">
        <f>IF($B2103="","",IF($AQ2103="","対象年月が未入力／","")&amp;IF($B2103="","",IF($AP2103="","職員マスタに未登録の職員番号／",IF($AA2103="","標準報酬月額が未登録／","")&amp;IF(AND($AQ2103&lt;&gt;"",OR(AND(INDEX(職員マスタ!$G$6:$G$405,$AP2103)&lt;&gt;"",INDEX(職員マスタ!$G$6:$G$405,$AP2103)&gt;EOMONTH($AQ2103,0)),AND(INDEX(職員マスタ!$H$6:$H$405,$AP2103)&lt;&gt;"",INDEX(職員マスタ!$H$6:$H$405,$AP2103)&lt;$AQ2103))),"対象月が時短期間外／","")&amp;IF(AND(INDEX(職員マスタ!$K$6:$K$405,$AP2103)&lt;&gt;"",N($W2103)&gt;0,INDEX(職員マスタ!$K$6:$K$405,$AP2103)&lt;&gt;$W2103),"標準報酬月額が申請書と相違（台帳"&amp;TEXT(INDEX(職員マスタ!$K$6:$K$405,$AP2103),"#,##0")&amp;"円／申請書"&amp;TEXT($W2103,"#,##0")&amp;"円）／","")&amp;IF(AND(INDEX(職員マスタ!$F$6:$F$405,$AP2103)&lt;&gt;"",$AQ2103&lt;&gt;"",INDEX(職員マスタ!$F$6:$F$405,$AP2103)&lt;$AQ2103),"対象月に子が2歳到達済／","")&amp;IF(AND($H2103&lt;&gt;"",INDEX(職員マスタ!$B$6:$B$405,$AP2103)&lt;&gt;"",SUBSTITUTE(SUBSTITUTE($H2103," ","")," ","")&lt;&gt;SUBSTITUTE(SUBSTITUTE(INDEX(職員マスタ!$B$6:$B$405,$AP2103)," ","")," ","")),"氏名がマスタと相違／","")&amp;IF(AND($Q2103&lt;&gt;"",INDEX(職員マスタ!$E$6:$E$405,$AP2103)&lt;&gt;"",$Q2103&lt;&gt;INDEX(職員マスタ!$E$6:$E$405,$AP2103)),"子の生年月日がマスタと相違／","")&amp;IF(AND($L2103&lt;&gt;"",INDEX(職員マスタ!$G$6:$G$405,$AP2103)&lt;&gt;"",$L2103&lt;&gt;INDEX(職員マスタ!$G$6:$G$405,$AP2103)),"時短開始日がマスタと相違／","")&amp;IF(AND($M2103&lt;&gt;"",INDEX(職員マスタ!$H$6:$H$405,$AP2103)&lt;&gt;"",$M2103&lt;&gt;INDEX(職員マスタ!$H$6:$H$405,$AP2103)),"時短終了日がマスタと相違／","")))&amp;IF(AND($B2103&lt;&gt;"",$E2103=""),"報酬額が未入力／","")&amp;IF(N($U2103)&gt;0,"申請書に入力エラーが残っています／","")&amp;IF(AND($B2103&lt;&gt;"",$AQ2103&lt;&gt;""),IF(COUNTIFS($B$6:$B$3005,$B2103,$C$6:$C$3005,$C2103,$D$6:$D$3005,$D2103)&gt;1,"同じ月の請求が重複しています／",""),"")&amp;IF(AND(N($E2103)&gt;0,$AB2103&lt;&gt;"",$AB2103&lt;&gt;"×",$AE2103=0,$AD2103=""),"計算額が下限以下のため不支給／",""))</f>
        <v/>
      </c>
      <c r="AN2103" s="12" t="n"/>
      <c r="AO2103" s="14">
        <f>IF($AF2103="保留中",COUNTIF($AF$6:$AF2103,"保留中"),"")</f>
        <v/>
      </c>
      <c r="AP2103" s="14">
        <f>IF($AQ2103="","",IF(SUMPRODUCT(MAX((職員マスタ!$A$6:$A$405=$B2103)*(((職員マスタ!$G$6:$G$405="")+(職員マスタ!$G$6:$G$405&lt;=EOMONTH($AQ2103,0)))&gt;0)*(((職員マスタ!$H$6:$H$405="")+(職員マスタ!$H$6:$H$405&gt;=$AQ2103))&gt;0)*(ROW(職員マスタ!$A$6:$A$405)-5)))&gt;0,SUMPRODUCT(MAX((職員マスタ!$A$6:$A$405=$B2103)*(((職員マスタ!$G$6:$G$405="")+(職員マスタ!$G$6:$G$405&lt;=EOMONTH($AQ2103,0)))&gt;0)*(((職員マスタ!$H$6:$H$405="")+(職員マスタ!$H$6:$H$405&gt;=$AQ2103))&gt;0)*(ROW(職員マスタ!$A$6:$A$405)-5))),IFERROR(MATCH($B2103,職員マスタ!$A$6:$A$405,0),"")))</f>
        <v/>
      </c>
      <c r="AQ2103" s="16">
        <f>IF(OR($B2103="",$C2103="",$D2103=""),"",DATE($C2103+2018,$D2103,1))</f>
        <v/>
      </c>
    </row>
    <row r="2104">
      <c r="A2104" s="11" t="n"/>
      <c r="B2104" s="12" t="n"/>
      <c r="C2104" s="12" t="n"/>
      <c r="D2104" s="12" t="n"/>
      <c r="E2104" s="13" t="n"/>
      <c r="F2104" s="12" t="n"/>
      <c r="G2104" s="13" t="n"/>
      <c r="H2104" s="12" t="n"/>
      <c r="I2104" s="12" t="n"/>
      <c r="J2104" s="12" t="n"/>
      <c r="K2104" s="12" t="n"/>
      <c r="L2104" s="11" t="n"/>
      <c r="M2104" s="11" t="n"/>
      <c r="N2104" s="11" t="n"/>
      <c r="O2104" s="11" t="n"/>
      <c r="P2104" s="12" t="n"/>
      <c r="Q2104" s="11" t="n"/>
      <c r="R2104" s="12" t="n"/>
      <c r="S2104" s="11" t="n"/>
      <c r="T2104" s="12" t="n"/>
      <c r="U2104" s="12" t="n"/>
      <c r="V2104" s="12" t="n"/>
      <c r="W2104" s="13" t="n"/>
      <c r="X2104" s="14">
        <f>IF($AP2104="",IF($B2104="","",$H2104),IF(INDEX(職員マスタ!$B$6:$B$405,$AP2104)="",$H2104,INDEX(職員マスタ!$B$6:$B$405,$AP2104)))</f>
        <v/>
      </c>
      <c r="Y2104" s="14">
        <f>IF($AP2104="",IF($B2104="","",$R2104),IF(INDEX(職員マスタ!$C$6:$C$405,$AP2104)="",$R2104,INDEX(職員マスタ!$C$6:$C$405,$AP2104)))</f>
        <v/>
      </c>
      <c r="Z2104" s="14">
        <f>IF($AQ2104="","","R"&amp;$C2104&amp;"."&amp;$D2104)</f>
        <v/>
      </c>
      <c r="AA2104" s="15">
        <f>IF(IF($AP2104="",FALSE,INDEX(職員マスタ!$K$6:$K$405,$AP2104)&lt;&gt;""),INDEX(職員マスタ!$K$6:$K$405,$AP2104),IF(N($W2104)&gt;0,$W2104,""))</f>
        <v/>
      </c>
      <c r="AB2104" s="14">
        <f>IF(OR($E2104="",$AA2104=""),"",IF($E2104&gt;=$AA2104,"×",IF($E2104&gt;=$AA2104*設定!$C$5,"△","○")))</f>
        <v/>
      </c>
      <c r="AC2104" s="15">
        <f>IF($AB2104="","",IF($AB2104="×",0,IF($AB2104="○",ROUNDDOWN($E2104*設定!$C$4,0),ROUNDDOWN($E2104*ROUND((9*$AA2104-9*$E2104)/(10*$E2104),4),0))))</f>
        <v/>
      </c>
      <c r="AD2104" s="13" t="n"/>
      <c r="AE2104" s="15">
        <f>IF($B2104="","",IF($AD2104&lt;&gt;"",$AD2104,IF($AC2104="","",IF($AC2104&lt;=設定!$C$3,0,$AC2104))))</f>
        <v/>
      </c>
      <c r="AF2104" s="14">
        <f>IF($B2104="","",IF(AND($AG2104&lt;&gt;"",$AI2104="",$AL2104=""),"保留中",IF($AL2104&lt;&gt;"",IF(N($AE2104)&gt;0,"支給済","不支給"),IF($AE2104="","要確認",IF($AE2104=0,"不支給","未処理")))))</f>
        <v/>
      </c>
      <c r="AG2104" s="12" t="n"/>
      <c r="AH2104" s="11" t="n"/>
      <c r="AI2104" s="11" t="n"/>
      <c r="AJ2104" s="11" t="n"/>
      <c r="AK2104" s="14">
        <f>IF(AND($AF2104="保留中",$AH2104&lt;&gt;""),TODAY()-$AH2104,"")</f>
        <v/>
      </c>
      <c r="AL2104" s="12" t="n"/>
      <c r="AM2104" s="14">
        <f>IF($B2104="","",IF($AQ2104="","対象年月が未入力／","")&amp;IF($B2104="","",IF($AP2104="","職員マスタに未登録の職員番号／",IF($AA2104="","標準報酬月額が未登録／","")&amp;IF(AND($AQ2104&lt;&gt;"",OR(AND(INDEX(職員マスタ!$G$6:$G$405,$AP2104)&lt;&gt;"",INDEX(職員マスタ!$G$6:$G$405,$AP2104)&gt;EOMONTH($AQ2104,0)),AND(INDEX(職員マスタ!$H$6:$H$405,$AP2104)&lt;&gt;"",INDEX(職員マスタ!$H$6:$H$405,$AP2104)&lt;$AQ2104))),"対象月が時短期間外／","")&amp;IF(AND(INDEX(職員マスタ!$K$6:$K$405,$AP2104)&lt;&gt;"",N($W2104)&gt;0,INDEX(職員マスタ!$K$6:$K$405,$AP2104)&lt;&gt;$W2104),"標準報酬月額が申請書と相違（台帳"&amp;TEXT(INDEX(職員マスタ!$K$6:$K$405,$AP2104),"#,##0")&amp;"円／申請書"&amp;TEXT($W2104,"#,##0")&amp;"円）／","")&amp;IF(AND(INDEX(職員マスタ!$F$6:$F$405,$AP2104)&lt;&gt;"",$AQ2104&lt;&gt;"",INDEX(職員マスタ!$F$6:$F$405,$AP2104)&lt;$AQ2104),"対象月に子が2歳到達済／","")&amp;IF(AND($H2104&lt;&gt;"",INDEX(職員マスタ!$B$6:$B$405,$AP2104)&lt;&gt;"",SUBSTITUTE(SUBSTITUTE($H2104," ","")," ","")&lt;&gt;SUBSTITUTE(SUBSTITUTE(INDEX(職員マスタ!$B$6:$B$405,$AP2104)," ","")," ","")),"氏名がマスタと相違／","")&amp;IF(AND($Q2104&lt;&gt;"",INDEX(職員マスタ!$E$6:$E$405,$AP2104)&lt;&gt;"",$Q2104&lt;&gt;INDEX(職員マスタ!$E$6:$E$405,$AP2104)),"子の生年月日がマスタと相違／","")&amp;IF(AND($L2104&lt;&gt;"",INDEX(職員マスタ!$G$6:$G$405,$AP2104)&lt;&gt;"",$L2104&lt;&gt;INDEX(職員マスタ!$G$6:$G$405,$AP2104)),"時短開始日がマスタと相違／","")&amp;IF(AND($M2104&lt;&gt;"",INDEX(職員マスタ!$H$6:$H$405,$AP2104)&lt;&gt;"",$M2104&lt;&gt;INDEX(職員マスタ!$H$6:$H$405,$AP2104)),"時短終了日がマスタと相違／","")))&amp;IF(AND($B2104&lt;&gt;"",$E2104=""),"報酬額が未入力／","")&amp;IF(N($U2104)&gt;0,"申請書に入力エラーが残っています／","")&amp;IF(AND($B2104&lt;&gt;"",$AQ2104&lt;&gt;""),IF(COUNTIFS($B$6:$B$3005,$B2104,$C$6:$C$3005,$C2104,$D$6:$D$3005,$D2104)&gt;1,"同じ月の請求が重複しています／",""),"")&amp;IF(AND(N($E2104)&gt;0,$AB2104&lt;&gt;"",$AB2104&lt;&gt;"×",$AE2104=0,$AD2104=""),"計算額が下限以下のため不支給／",""))</f>
        <v/>
      </c>
      <c r="AN2104" s="12" t="n"/>
      <c r="AO2104" s="14">
        <f>IF($AF2104="保留中",COUNTIF($AF$6:$AF2104,"保留中"),"")</f>
        <v/>
      </c>
      <c r="AP2104" s="14">
        <f>IF($AQ2104="","",IF(SUMPRODUCT(MAX((職員マスタ!$A$6:$A$405=$B2104)*(((職員マスタ!$G$6:$G$405="")+(職員マスタ!$G$6:$G$405&lt;=EOMONTH($AQ2104,0)))&gt;0)*(((職員マスタ!$H$6:$H$405="")+(職員マスタ!$H$6:$H$405&gt;=$AQ2104))&gt;0)*(ROW(職員マスタ!$A$6:$A$405)-5)))&gt;0,SUMPRODUCT(MAX((職員マスタ!$A$6:$A$405=$B2104)*(((職員マスタ!$G$6:$G$405="")+(職員マスタ!$G$6:$G$405&lt;=EOMONTH($AQ2104,0)))&gt;0)*(((職員マスタ!$H$6:$H$405="")+(職員マスタ!$H$6:$H$405&gt;=$AQ2104))&gt;0)*(ROW(職員マスタ!$A$6:$A$405)-5))),IFERROR(MATCH($B2104,職員マスタ!$A$6:$A$405,0),"")))</f>
        <v/>
      </c>
      <c r="AQ2104" s="16">
        <f>IF(OR($B2104="",$C2104="",$D2104=""),"",DATE($C2104+2018,$D2104,1))</f>
        <v/>
      </c>
    </row>
    <row r="2105">
      <c r="A2105" s="11" t="n"/>
      <c r="B2105" s="12" t="n"/>
      <c r="C2105" s="12" t="n"/>
      <c r="D2105" s="12" t="n"/>
      <c r="E2105" s="13" t="n"/>
      <c r="F2105" s="12" t="n"/>
      <c r="G2105" s="13" t="n"/>
      <c r="H2105" s="12" t="n"/>
      <c r="I2105" s="12" t="n"/>
      <c r="J2105" s="12" t="n"/>
      <c r="K2105" s="12" t="n"/>
      <c r="L2105" s="11" t="n"/>
      <c r="M2105" s="11" t="n"/>
      <c r="N2105" s="11" t="n"/>
      <c r="O2105" s="11" t="n"/>
      <c r="P2105" s="12" t="n"/>
      <c r="Q2105" s="11" t="n"/>
      <c r="R2105" s="12" t="n"/>
      <c r="S2105" s="11" t="n"/>
      <c r="T2105" s="12" t="n"/>
      <c r="U2105" s="12" t="n"/>
      <c r="V2105" s="12" t="n"/>
      <c r="W2105" s="13" t="n"/>
      <c r="X2105" s="14">
        <f>IF($AP2105="",IF($B2105="","",$H2105),IF(INDEX(職員マスタ!$B$6:$B$405,$AP2105)="",$H2105,INDEX(職員マスタ!$B$6:$B$405,$AP2105)))</f>
        <v/>
      </c>
      <c r="Y2105" s="14">
        <f>IF($AP2105="",IF($B2105="","",$R2105),IF(INDEX(職員マスタ!$C$6:$C$405,$AP2105)="",$R2105,INDEX(職員マスタ!$C$6:$C$405,$AP2105)))</f>
        <v/>
      </c>
      <c r="Z2105" s="14">
        <f>IF($AQ2105="","","R"&amp;$C2105&amp;"."&amp;$D2105)</f>
        <v/>
      </c>
      <c r="AA2105" s="15">
        <f>IF(IF($AP2105="",FALSE,INDEX(職員マスタ!$K$6:$K$405,$AP2105)&lt;&gt;""),INDEX(職員マスタ!$K$6:$K$405,$AP2105),IF(N($W2105)&gt;0,$W2105,""))</f>
        <v/>
      </c>
      <c r="AB2105" s="14">
        <f>IF(OR($E2105="",$AA2105=""),"",IF($E2105&gt;=$AA2105,"×",IF($E2105&gt;=$AA2105*設定!$C$5,"△","○")))</f>
        <v/>
      </c>
      <c r="AC2105" s="15">
        <f>IF($AB2105="","",IF($AB2105="×",0,IF($AB2105="○",ROUNDDOWN($E2105*設定!$C$4,0),ROUNDDOWN($E2105*ROUND((9*$AA2105-9*$E2105)/(10*$E2105),4),0))))</f>
        <v/>
      </c>
      <c r="AD2105" s="13" t="n"/>
      <c r="AE2105" s="15">
        <f>IF($B2105="","",IF($AD2105&lt;&gt;"",$AD2105,IF($AC2105="","",IF($AC2105&lt;=設定!$C$3,0,$AC2105))))</f>
        <v/>
      </c>
      <c r="AF2105" s="14">
        <f>IF($B2105="","",IF(AND($AG2105&lt;&gt;"",$AI2105="",$AL2105=""),"保留中",IF($AL2105&lt;&gt;"",IF(N($AE2105)&gt;0,"支給済","不支給"),IF($AE2105="","要確認",IF($AE2105=0,"不支給","未処理")))))</f>
        <v/>
      </c>
      <c r="AG2105" s="12" t="n"/>
      <c r="AH2105" s="11" t="n"/>
      <c r="AI2105" s="11" t="n"/>
      <c r="AJ2105" s="11" t="n"/>
      <c r="AK2105" s="14">
        <f>IF(AND($AF2105="保留中",$AH2105&lt;&gt;""),TODAY()-$AH2105,"")</f>
        <v/>
      </c>
      <c r="AL2105" s="12" t="n"/>
      <c r="AM2105" s="14">
        <f>IF($B2105="","",IF($AQ2105="","対象年月が未入力／","")&amp;IF($B2105="","",IF($AP2105="","職員マスタに未登録の職員番号／",IF($AA2105="","標準報酬月額が未登録／","")&amp;IF(AND($AQ2105&lt;&gt;"",OR(AND(INDEX(職員マスタ!$G$6:$G$405,$AP2105)&lt;&gt;"",INDEX(職員マスタ!$G$6:$G$405,$AP2105)&gt;EOMONTH($AQ2105,0)),AND(INDEX(職員マスタ!$H$6:$H$405,$AP2105)&lt;&gt;"",INDEX(職員マスタ!$H$6:$H$405,$AP2105)&lt;$AQ2105))),"対象月が時短期間外／","")&amp;IF(AND(INDEX(職員マスタ!$K$6:$K$405,$AP2105)&lt;&gt;"",N($W2105)&gt;0,INDEX(職員マスタ!$K$6:$K$405,$AP2105)&lt;&gt;$W2105),"標準報酬月額が申請書と相違（台帳"&amp;TEXT(INDEX(職員マスタ!$K$6:$K$405,$AP2105),"#,##0")&amp;"円／申請書"&amp;TEXT($W2105,"#,##0")&amp;"円）／","")&amp;IF(AND(INDEX(職員マスタ!$F$6:$F$405,$AP2105)&lt;&gt;"",$AQ2105&lt;&gt;"",INDEX(職員マスタ!$F$6:$F$405,$AP2105)&lt;$AQ2105),"対象月に子が2歳到達済／","")&amp;IF(AND($H2105&lt;&gt;"",INDEX(職員マスタ!$B$6:$B$405,$AP2105)&lt;&gt;"",SUBSTITUTE(SUBSTITUTE($H2105," ","")," ","")&lt;&gt;SUBSTITUTE(SUBSTITUTE(INDEX(職員マスタ!$B$6:$B$405,$AP2105)," ","")," ","")),"氏名がマスタと相違／","")&amp;IF(AND($Q2105&lt;&gt;"",INDEX(職員マスタ!$E$6:$E$405,$AP2105)&lt;&gt;"",$Q2105&lt;&gt;INDEX(職員マスタ!$E$6:$E$405,$AP2105)),"子の生年月日がマスタと相違／","")&amp;IF(AND($L2105&lt;&gt;"",INDEX(職員マスタ!$G$6:$G$405,$AP2105)&lt;&gt;"",$L2105&lt;&gt;INDEX(職員マスタ!$G$6:$G$405,$AP2105)),"時短開始日がマスタと相違／","")&amp;IF(AND($M2105&lt;&gt;"",INDEX(職員マスタ!$H$6:$H$405,$AP2105)&lt;&gt;"",$M2105&lt;&gt;INDEX(職員マスタ!$H$6:$H$405,$AP2105)),"時短終了日がマスタと相違／","")))&amp;IF(AND($B2105&lt;&gt;"",$E2105=""),"報酬額が未入力／","")&amp;IF(N($U2105)&gt;0,"申請書に入力エラーが残っています／","")&amp;IF(AND($B2105&lt;&gt;"",$AQ2105&lt;&gt;""),IF(COUNTIFS($B$6:$B$3005,$B2105,$C$6:$C$3005,$C2105,$D$6:$D$3005,$D2105)&gt;1,"同じ月の請求が重複しています／",""),"")&amp;IF(AND(N($E2105)&gt;0,$AB2105&lt;&gt;"",$AB2105&lt;&gt;"×",$AE2105=0,$AD2105=""),"計算額が下限以下のため不支給／",""))</f>
        <v/>
      </c>
      <c r="AN2105" s="12" t="n"/>
      <c r="AO2105" s="14">
        <f>IF($AF2105="保留中",COUNTIF($AF$6:$AF2105,"保留中"),"")</f>
        <v/>
      </c>
      <c r="AP2105" s="14">
        <f>IF($AQ2105="","",IF(SUMPRODUCT(MAX((職員マスタ!$A$6:$A$405=$B2105)*(((職員マスタ!$G$6:$G$405="")+(職員マスタ!$G$6:$G$405&lt;=EOMONTH($AQ2105,0)))&gt;0)*(((職員マスタ!$H$6:$H$405="")+(職員マスタ!$H$6:$H$405&gt;=$AQ2105))&gt;0)*(ROW(職員マスタ!$A$6:$A$405)-5)))&gt;0,SUMPRODUCT(MAX((職員マスタ!$A$6:$A$405=$B2105)*(((職員マスタ!$G$6:$G$405="")+(職員マスタ!$G$6:$G$405&lt;=EOMONTH($AQ2105,0)))&gt;0)*(((職員マスタ!$H$6:$H$405="")+(職員マスタ!$H$6:$H$405&gt;=$AQ2105))&gt;0)*(ROW(職員マスタ!$A$6:$A$405)-5))),IFERROR(MATCH($B2105,職員マスタ!$A$6:$A$405,0),"")))</f>
        <v/>
      </c>
      <c r="AQ2105" s="16">
        <f>IF(OR($B2105="",$C2105="",$D2105=""),"",DATE($C2105+2018,$D2105,1))</f>
        <v/>
      </c>
    </row>
    <row r="2106">
      <c r="A2106" s="11" t="n"/>
      <c r="B2106" s="12" t="n"/>
      <c r="C2106" s="12" t="n"/>
      <c r="D2106" s="12" t="n"/>
      <c r="E2106" s="13" t="n"/>
      <c r="F2106" s="12" t="n"/>
      <c r="G2106" s="13" t="n"/>
      <c r="H2106" s="12" t="n"/>
      <c r="I2106" s="12" t="n"/>
      <c r="J2106" s="12" t="n"/>
      <c r="K2106" s="12" t="n"/>
      <c r="L2106" s="11" t="n"/>
      <c r="M2106" s="11" t="n"/>
      <c r="N2106" s="11" t="n"/>
      <c r="O2106" s="11" t="n"/>
      <c r="P2106" s="12" t="n"/>
      <c r="Q2106" s="11" t="n"/>
      <c r="R2106" s="12" t="n"/>
      <c r="S2106" s="11" t="n"/>
      <c r="T2106" s="12" t="n"/>
      <c r="U2106" s="12" t="n"/>
      <c r="V2106" s="12" t="n"/>
      <c r="W2106" s="13" t="n"/>
      <c r="X2106" s="14">
        <f>IF($AP2106="",IF($B2106="","",$H2106),IF(INDEX(職員マスタ!$B$6:$B$405,$AP2106)="",$H2106,INDEX(職員マスタ!$B$6:$B$405,$AP2106)))</f>
        <v/>
      </c>
      <c r="Y2106" s="14">
        <f>IF($AP2106="",IF($B2106="","",$R2106),IF(INDEX(職員マスタ!$C$6:$C$405,$AP2106)="",$R2106,INDEX(職員マスタ!$C$6:$C$405,$AP2106)))</f>
        <v/>
      </c>
      <c r="Z2106" s="14">
        <f>IF($AQ2106="","","R"&amp;$C2106&amp;"."&amp;$D2106)</f>
        <v/>
      </c>
      <c r="AA2106" s="15">
        <f>IF(IF($AP2106="",FALSE,INDEX(職員マスタ!$K$6:$K$405,$AP2106)&lt;&gt;""),INDEX(職員マスタ!$K$6:$K$405,$AP2106),IF(N($W2106)&gt;0,$W2106,""))</f>
        <v/>
      </c>
      <c r="AB2106" s="14">
        <f>IF(OR($E2106="",$AA2106=""),"",IF($E2106&gt;=$AA2106,"×",IF($E2106&gt;=$AA2106*設定!$C$5,"△","○")))</f>
        <v/>
      </c>
      <c r="AC2106" s="15">
        <f>IF($AB2106="","",IF($AB2106="×",0,IF($AB2106="○",ROUNDDOWN($E2106*設定!$C$4,0),ROUNDDOWN($E2106*ROUND((9*$AA2106-9*$E2106)/(10*$E2106),4),0))))</f>
        <v/>
      </c>
      <c r="AD2106" s="13" t="n"/>
      <c r="AE2106" s="15">
        <f>IF($B2106="","",IF($AD2106&lt;&gt;"",$AD2106,IF($AC2106="","",IF($AC2106&lt;=設定!$C$3,0,$AC2106))))</f>
        <v/>
      </c>
      <c r="AF2106" s="14">
        <f>IF($B2106="","",IF(AND($AG2106&lt;&gt;"",$AI2106="",$AL2106=""),"保留中",IF($AL2106&lt;&gt;"",IF(N($AE2106)&gt;0,"支給済","不支給"),IF($AE2106="","要確認",IF($AE2106=0,"不支給","未処理")))))</f>
        <v/>
      </c>
      <c r="AG2106" s="12" t="n"/>
      <c r="AH2106" s="11" t="n"/>
      <c r="AI2106" s="11" t="n"/>
      <c r="AJ2106" s="11" t="n"/>
      <c r="AK2106" s="14">
        <f>IF(AND($AF2106="保留中",$AH2106&lt;&gt;""),TODAY()-$AH2106,"")</f>
        <v/>
      </c>
      <c r="AL2106" s="12" t="n"/>
      <c r="AM2106" s="14">
        <f>IF($B2106="","",IF($AQ2106="","対象年月が未入力／","")&amp;IF($B2106="","",IF($AP2106="","職員マスタに未登録の職員番号／",IF($AA2106="","標準報酬月額が未登録／","")&amp;IF(AND($AQ2106&lt;&gt;"",OR(AND(INDEX(職員マスタ!$G$6:$G$405,$AP2106)&lt;&gt;"",INDEX(職員マスタ!$G$6:$G$405,$AP2106)&gt;EOMONTH($AQ2106,0)),AND(INDEX(職員マスタ!$H$6:$H$405,$AP2106)&lt;&gt;"",INDEX(職員マスタ!$H$6:$H$405,$AP2106)&lt;$AQ2106))),"対象月が時短期間外／","")&amp;IF(AND(INDEX(職員マスタ!$K$6:$K$405,$AP2106)&lt;&gt;"",N($W2106)&gt;0,INDEX(職員マスタ!$K$6:$K$405,$AP2106)&lt;&gt;$W2106),"標準報酬月額が申請書と相違（台帳"&amp;TEXT(INDEX(職員マスタ!$K$6:$K$405,$AP2106),"#,##0")&amp;"円／申請書"&amp;TEXT($W2106,"#,##0")&amp;"円）／","")&amp;IF(AND(INDEX(職員マスタ!$F$6:$F$405,$AP2106)&lt;&gt;"",$AQ2106&lt;&gt;"",INDEX(職員マスタ!$F$6:$F$405,$AP2106)&lt;$AQ2106),"対象月に子が2歳到達済／","")&amp;IF(AND($H2106&lt;&gt;"",INDEX(職員マスタ!$B$6:$B$405,$AP2106)&lt;&gt;"",SUBSTITUTE(SUBSTITUTE($H2106," ","")," ","")&lt;&gt;SUBSTITUTE(SUBSTITUTE(INDEX(職員マスタ!$B$6:$B$405,$AP2106)," ","")," ","")),"氏名がマスタと相違／","")&amp;IF(AND($Q2106&lt;&gt;"",INDEX(職員マスタ!$E$6:$E$405,$AP2106)&lt;&gt;"",$Q2106&lt;&gt;INDEX(職員マスタ!$E$6:$E$405,$AP2106)),"子の生年月日がマスタと相違／","")&amp;IF(AND($L2106&lt;&gt;"",INDEX(職員マスタ!$G$6:$G$405,$AP2106)&lt;&gt;"",$L2106&lt;&gt;INDEX(職員マスタ!$G$6:$G$405,$AP2106)),"時短開始日がマスタと相違／","")&amp;IF(AND($M2106&lt;&gt;"",INDEX(職員マスタ!$H$6:$H$405,$AP2106)&lt;&gt;"",$M2106&lt;&gt;INDEX(職員マスタ!$H$6:$H$405,$AP2106)),"時短終了日がマスタと相違／","")))&amp;IF(AND($B2106&lt;&gt;"",$E2106=""),"報酬額が未入力／","")&amp;IF(N($U2106)&gt;0,"申請書に入力エラーが残っています／","")&amp;IF(AND($B2106&lt;&gt;"",$AQ2106&lt;&gt;""),IF(COUNTIFS($B$6:$B$3005,$B2106,$C$6:$C$3005,$C2106,$D$6:$D$3005,$D2106)&gt;1,"同じ月の請求が重複しています／",""),"")&amp;IF(AND(N($E2106)&gt;0,$AB2106&lt;&gt;"",$AB2106&lt;&gt;"×",$AE2106=0,$AD2106=""),"計算額が下限以下のため不支給／",""))</f>
        <v/>
      </c>
      <c r="AN2106" s="12" t="n"/>
      <c r="AO2106" s="14">
        <f>IF($AF2106="保留中",COUNTIF($AF$6:$AF2106,"保留中"),"")</f>
        <v/>
      </c>
      <c r="AP2106" s="14">
        <f>IF($AQ2106="","",IF(SUMPRODUCT(MAX((職員マスタ!$A$6:$A$405=$B2106)*(((職員マスタ!$G$6:$G$405="")+(職員マスタ!$G$6:$G$405&lt;=EOMONTH($AQ2106,0)))&gt;0)*(((職員マスタ!$H$6:$H$405="")+(職員マスタ!$H$6:$H$405&gt;=$AQ2106))&gt;0)*(ROW(職員マスタ!$A$6:$A$405)-5)))&gt;0,SUMPRODUCT(MAX((職員マスタ!$A$6:$A$405=$B2106)*(((職員マスタ!$G$6:$G$405="")+(職員マスタ!$G$6:$G$405&lt;=EOMONTH($AQ2106,0)))&gt;0)*(((職員マスタ!$H$6:$H$405="")+(職員マスタ!$H$6:$H$405&gt;=$AQ2106))&gt;0)*(ROW(職員マスタ!$A$6:$A$405)-5))),IFERROR(MATCH($B2106,職員マスタ!$A$6:$A$405,0),"")))</f>
        <v/>
      </c>
      <c r="AQ2106" s="16">
        <f>IF(OR($B2106="",$C2106="",$D2106=""),"",DATE($C2106+2018,$D2106,1))</f>
        <v/>
      </c>
    </row>
    <row r="2107">
      <c r="A2107" s="11" t="n"/>
      <c r="B2107" s="12" t="n"/>
      <c r="C2107" s="12" t="n"/>
      <c r="D2107" s="12" t="n"/>
      <c r="E2107" s="13" t="n"/>
      <c r="F2107" s="12" t="n"/>
      <c r="G2107" s="13" t="n"/>
      <c r="H2107" s="12" t="n"/>
      <c r="I2107" s="12" t="n"/>
      <c r="J2107" s="12" t="n"/>
      <c r="K2107" s="12" t="n"/>
      <c r="L2107" s="11" t="n"/>
      <c r="M2107" s="11" t="n"/>
      <c r="N2107" s="11" t="n"/>
      <c r="O2107" s="11" t="n"/>
      <c r="P2107" s="12" t="n"/>
      <c r="Q2107" s="11" t="n"/>
      <c r="R2107" s="12" t="n"/>
      <c r="S2107" s="11" t="n"/>
      <c r="T2107" s="12" t="n"/>
      <c r="U2107" s="12" t="n"/>
      <c r="V2107" s="12" t="n"/>
      <c r="W2107" s="13" t="n"/>
      <c r="X2107" s="14">
        <f>IF($AP2107="",IF($B2107="","",$H2107),IF(INDEX(職員マスタ!$B$6:$B$405,$AP2107)="",$H2107,INDEX(職員マスタ!$B$6:$B$405,$AP2107)))</f>
        <v/>
      </c>
      <c r="Y2107" s="14">
        <f>IF($AP2107="",IF($B2107="","",$R2107),IF(INDEX(職員マスタ!$C$6:$C$405,$AP2107)="",$R2107,INDEX(職員マスタ!$C$6:$C$405,$AP2107)))</f>
        <v/>
      </c>
      <c r="Z2107" s="14">
        <f>IF($AQ2107="","","R"&amp;$C2107&amp;"."&amp;$D2107)</f>
        <v/>
      </c>
      <c r="AA2107" s="15">
        <f>IF(IF($AP2107="",FALSE,INDEX(職員マスタ!$K$6:$K$405,$AP2107)&lt;&gt;""),INDEX(職員マスタ!$K$6:$K$405,$AP2107),IF(N($W2107)&gt;0,$W2107,""))</f>
        <v/>
      </c>
      <c r="AB2107" s="14">
        <f>IF(OR($E2107="",$AA2107=""),"",IF($E2107&gt;=$AA2107,"×",IF($E2107&gt;=$AA2107*設定!$C$5,"△","○")))</f>
        <v/>
      </c>
      <c r="AC2107" s="15">
        <f>IF($AB2107="","",IF($AB2107="×",0,IF($AB2107="○",ROUNDDOWN($E2107*設定!$C$4,0),ROUNDDOWN($E2107*ROUND((9*$AA2107-9*$E2107)/(10*$E2107),4),0))))</f>
        <v/>
      </c>
      <c r="AD2107" s="13" t="n"/>
      <c r="AE2107" s="15">
        <f>IF($B2107="","",IF($AD2107&lt;&gt;"",$AD2107,IF($AC2107="","",IF($AC2107&lt;=設定!$C$3,0,$AC2107))))</f>
        <v/>
      </c>
      <c r="AF2107" s="14">
        <f>IF($B2107="","",IF(AND($AG2107&lt;&gt;"",$AI2107="",$AL2107=""),"保留中",IF($AL2107&lt;&gt;"",IF(N($AE2107)&gt;0,"支給済","不支給"),IF($AE2107="","要確認",IF($AE2107=0,"不支給","未処理")))))</f>
        <v/>
      </c>
      <c r="AG2107" s="12" t="n"/>
      <c r="AH2107" s="11" t="n"/>
      <c r="AI2107" s="11" t="n"/>
      <c r="AJ2107" s="11" t="n"/>
      <c r="AK2107" s="14">
        <f>IF(AND($AF2107="保留中",$AH2107&lt;&gt;""),TODAY()-$AH2107,"")</f>
        <v/>
      </c>
      <c r="AL2107" s="12" t="n"/>
      <c r="AM2107" s="14">
        <f>IF($B2107="","",IF($AQ2107="","対象年月が未入力／","")&amp;IF($B2107="","",IF($AP2107="","職員マスタに未登録の職員番号／",IF($AA2107="","標準報酬月額が未登録／","")&amp;IF(AND($AQ2107&lt;&gt;"",OR(AND(INDEX(職員マスタ!$G$6:$G$405,$AP2107)&lt;&gt;"",INDEX(職員マスタ!$G$6:$G$405,$AP2107)&gt;EOMONTH($AQ2107,0)),AND(INDEX(職員マスタ!$H$6:$H$405,$AP2107)&lt;&gt;"",INDEX(職員マスタ!$H$6:$H$405,$AP2107)&lt;$AQ2107))),"対象月が時短期間外／","")&amp;IF(AND(INDEX(職員マスタ!$K$6:$K$405,$AP2107)&lt;&gt;"",N($W2107)&gt;0,INDEX(職員マスタ!$K$6:$K$405,$AP2107)&lt;&gt;$W2107),"標準報酬月額が申請書と相違（台帳"&amp;TEXT(INDEX(職員マスタ!$K$6:$K$405,$AP2107),"#,##0")&amp;"円／申請書"&amp;TEXT($W2107,"#,##0")&amp;"円）／","")&amp;IF(AND(INDEX(職員マスタ!$F$6:$F$405,$AP2107)&lt;&gt;"",$AQ2107&lt;&gt;"",INDEX(職員マスタ!$F$6:$F$405,$AP2107)&lt;$AQ2107),"対象月に子が2歳到達済／","")&amp;IF(AND($H2107&lt;&gt;"",INDEX(職員マスタ!$B$6:$B$405,$AP2107)&lt;&gt;"",SUBSTITUTE(SUBSTITUTE($H2107," ","")," ","")&lt;&gt;SUBSTITUTE(SUBSTITUTE(INDEX(職員マスタ!$B$6:$B$405,$AP2107)," ","")," ","")),"氏名がマスタと相違／","")&amp;IF(AND($Q2107&lt;&gt;"",INDEX(職員マスタ!$E$6:$E$405,$AP2107)&lt;&gt;"",$Q2107&lt;&gt;INDEX(職員マスタ!$E$6:$E$405,$AP2107)),"子の生年月日がマスタと相違／","")&amp;IF(AND($L2107&lt;&gt;"",INDEX(職員マスタ!$G$6:$G$405,$AP2107)&lt;&gt;"",$L2107&lt;&gt;INDEX(職員マスタ!$G$6:$G$405,$AP2107)),"時短開始日がマスタと相違／","")&amp;IF(AND($M2107&lt;&gt;"",INDEX(職員マスタ!$H$6:$H$405,$AP2107)&lt;&gt;"",$M2107&lt;&gt;INDEX(職員マスタ!$H$6:$H$405,$AP2107)),"時短終了日がマスタと相違／","")))&amp;IF(AND($B2107&lt;&gt;"",$E2107=""),"報酬額が未入力／","")&amp;IF(N($U2107)&gt;0,"申請書に入力エラーが残っています／","")&amp;IF(AND($B2107&lt;&gt;"",$AQ2107&lt;&gt;""),IF(COUNTIFS($B$6:$B$3005,$B2107,$C$6:$C$3005,$C2107,$D$6:$D$3005,$D2107)&gt;1,"同じ月の請求が重複しています／",""),"")&amp;IF(AND(N($E2107)&gt;0,$AB2107&lt;&gt;"",$AB2107&lt;&gt;"×",$AE2107=0,$AD2107=""),"計算額が下限以下のため不支給／",""))</f>
        <v/>
      </c>
      <c r="AN2107" s="12" t="n"/>
      <c r="AO2107" s="14">
        <f>IF($AF2107="保留中",COUNTIF($AF$6:$AF2107,"保留中"),"")</f>
        <v/>
      </c>
      <c r="AP2107" s="14">
        <f>IF($AQ2107="","",IF(SUMPRODUCT(MAX((職員マスタ!$A$6:$A$405=$B2107)*(((職員マスタ!$G$6:$G$405="")+(職員マスタ!$G$6:$G$405&lt;=EOMONTH($AQ2107,0)))&gt;0)*(((職員マスタ!$H$6:$H$405="")+(職員マスタ!$H$6:$H$405&gt;=$AQ2107))&gt;0)*(ROW(職員マスタ!$A$6:$A$405)-5)))&gt;0,SUMPRODUCT(MAX((職員マスタ!$A$6:$A$405=$B2107)*(((職員マスタ!$G$6:$G$405="")+(職員マスタ!$G$6:$G$405&lt;=EOMONTH($AQ2107,0)))&gt;0)*(((職員マスタ!$H$6:$H$405="")+(職員マスタ!$H$6:$H$405&gt;=$AQ2107))&gt;0)*(ROW(職員マスタ!$A$6:$A$405)-5))),IFERROR(MATCH($B2107,職員マスタ!$A$6:$A$405,0),"")))</f>
        <v/>
      </c>
      <c r="AQ2107" s="16">
        <f>IF(OR($B2107="",$C2107="",$D2107=""),"",DATE($C2107+2018,$D2107,1))</f>
        <v/>
      </c>
    </row>
    <row r="2108">
      <c r="A2108" s="11" t="n"/>
      <c r="B2108" s="12" t="n"/>
      <c r="C2108" s="12" t="n"/>
      <c r="D2108" s="12" t="n"/>
      <c r="E2108" s="13" t="n"/>
      <c r="F2108" s="12" t="n"/>
      <c r="G2108" s="13" t="n"/>
      <c r="H2108" s="12" t="n"/>
      <c r="I2108" s="12" t="n"/>
      <c r="J2108" s="12" t="n"/>
      <c r="K2108" s="12" t="n"/>
      <c r="L2108" s="11" t="n"/>
      <c r="M2108" s="11" t="n"/>
      <c r="N2108" s="11" t="n"/>
      <c r="O2108" s="11" t="n"/>
      <c r="P2108" s="12" t="n"/>
      <c r="Q2108" s="11" t="n"/>
      <c r="R2108" s="12" t="n"/>
      <c r="S2108" s="11" t="n"/>
      <c r="T2108" s="12" t="n"/>
      <c r="U2108" s="12" t="n"/>
      <c r="V2108" s="12" t="n"/>
      <c r="W2108" s="13" t="n"/>
      <c r="X2108" s="14">
        <f>IF($AP2108="",IF($B2108="","",$H2108),IF(INDEX(職員マスタ!$B$6:$B$405,$AP2108)="",$H2108,INDEX(職員マスタ!$B$6:$B$405,$AP2108)))</f>
        <v/>
      </c>
      <c r="Y2108" s="14">
        <f>IF($AP2108="",IF($B2108="","",$R2108),IF(INDEX(職員マスタ!$C$6:$C$405,$AP2108)="",$R2108,INDEX(職員マスタ!$C$6:$C$405,$AP2108)))</f>
        <v/>
      </c>
      <c r="Z2108" s="14">
        <f>IF($AQ2108="","","R"&amp;$C2108&amp;"."&amp;$D2108)</f>
        <v/>
      </c>
      <c r="AA2108" s="15">
        <f>IF(IF($AP2108="",FALSE,INDEX(職員マスタ!$K$6:$K$405,$AP2108)&lt;&gt;""),INDEX(職員マスタ!$K$6:$K$405,$AP2108),IF(N($W2108)&gt;0,$W2108,""))</f>
        <v/>
      </c>
      <c r="AB2108" s="14">
        <f>IF(OR($E2108="",$AA2108=""),"",IF($E2108&gt;=$AA2108,"×",IF($E2108&gt;=$AA2108*設定!$C$5,"△","○")))</f>
        <v/>
      </c>
      <c r="AC2108" s="15">
        <f>IF($AB2108="","",IF($AB2108="×",0,IF($AB2108="○",ROUNDDOWN($E2108*設定!$C$4,0),ROUNDDOWN($E2108*ROUND((9*$AA2108-9*$E2108)/(10*$E2108),4),0))))</f>
        <v/>
      </c>
      <c r="AD2108" s="13" t="n"/>
      <c r="AE2108" s="15">
        <f>IF($B2108="","",IF($AD2108&lt;&gt;"",$AD2108,IF($AC2108="","",IF($AC2108&lt;=設定!$C$3,0,$AC2108))))</f>
        <v/>
      </c>
      <c r="AF2108" s="14">
        <f>IF($B2108="","",IF(AND($AG2108&lt;&gt;"",$AI2108="",$AL2108=""),"保留中",IF($AL2108&lt;&gt;"",IF(N($AE2108)&gt;0,"支給済","不支給"),IF($AE2108="","要確認",IF($AE2108=0,"不支給","未処理")))))</f>
        <v/>
      </c>
      <c r="AG2108" s="12" t="n"/>
      <c r="AH2108" s="11" t="n"/>
      <c r="AI2108" s="11" t="n"/>
      <c r="AJ2108" s="11" t="n"/>
      <c r="AK2108" s="14">
        <f>IF(AND($AF2108="保留中",$AH2108&lt;&gt;""),TODAY()-$AH2108,"")</f>
        <v/>
      </c>
      <c r="AL2108" s="12" t="n"/>
      <c r="AM2108" s="14">
        <f>IF($B2108="","",IF($AQ2108="","対象年月が未入力／","")&amp;IF($B2108="","",IF($AP2108="","職員マスタに未登録の職員番号／",IF($AA2108="","標準報酬月額が未登録／","")&amp;IF(AND($AQ2108&lt;&gt;"",OR(AND(INDEX(職員マスタ!$G$6:$G$405,$AP2108)&lt;&gt;"",INDEX(職員マスタ!$G$6:$G$405,$AP2108)&gt;EOMONTH($AQ2108,0)),AND(INDEX(職員マスタ!$H$6:$H$405,$AP2108)&lt;&gt;"",INDEX(職員マスタ!$H$6:$H$405,$AP2108)&lt;$AQ2108))),"対象月が時短期間外／","")&amp;IF(AND(INDEX(職員マスタ!$K$6:$K$405,$AP2108)&lt;&gt;"",N($W2108)&gt;0,INDEX(職員マスタ!$K$6:$K$405,$AP2108)&lt;&gt;$W2108),"標準報酬月額が申請書と相違（台帳"&amp;TEXT(INDEX(職員マスタ!$K$6:$K$405,$AP2108),"#,##0")&amp;"円／申請書"&amp;TEXT($W2108,"#,##0")&amp;"円）／","")&amp;IF(AND(INDEX(職員マスタ!$F$6:$F$405,$AP2108)&lt;&gt;"",$AQ2108&lt;&gt;"",INDEX(職員マスタ!$F$6:$F$405,$AP2108)&lt;$AQ2108),"対象月に子が2歳到達済／","")&amp;IF(AND($H2108&lt;&gt;"",INDEX(職員マスタ!$B$6:$B$405,$AP2108)&lt;&gt;"",SUBSTITUTE(SUBSTITUTE($H2108," ","")," ","")&lt;&gt;SUBSTITUTE(SUBSTITUTE(INDEX(職員マスタ!$B$6:$B$405,$AP2108)," ","")," ","")),"氏名がマスタと相違／","")&amp;IF(AND($Q2108&lt;&gt;"",INDEX(職員マスタ!$E$6:$E$405,$AP2108)&lt;&gt;"",$Q2108&lt;&gt;INDEX(職員マスタ!$E$6:$E$405,$AP2108)),"子の生年月日がマスタと相違／","")&amp;IF(AND($L2108&lt;&gt;"",INDEX(職員マスタ!$G$6:$G$405,$AP2108)&lt;&gt;"",$L2108&lt;&gt;INDEX(職員マスタ!$G$6:$G$405,$AP2108)),"時短開始日がマスタと相違／","")&amp;IF(AND($M2108&lt;&gt;"",INDEX(職員マスタ!$H$6:$H$405,$AP2108)&lt;&gt;"",$M2108&lt;&gt;INDEX(職員マスタ!$H$6:$H$405,$AP2108)),"時短終了日がマスタと相違／","")))&amp;IF(AND($B2108&lt;&gt;"",$E2108=""),"報酬額が未入力／","")&amp;IF(N($U2108)&gt;0,"申請書に入力エラーが残っています／","")&amp;IF(AND($B2108&lt;&gt;"",$AQ2108&lt;&gt;""),IF(COUNTIFS($B$6:$B$3005,$B2108,$C$6:$C$3005,$C2108,$D$6:$D$3005,$D2108)&gt;1,"同じ月の請求が重複しています／",""),"")&amp;IF(AND(N($E2108)&gt;0,$AB2108&lt;&gt;"",$AB2108&lt;&gt;"×",$AE2108=0,$AD2108=""),"計算額が下限以下のため不支給／",""))</f>
        <v/>
      </c>
      <c r="AN2108" s="12" t="n"/>
      <c r="AO2108" s="14">
        <f>IF($AF2108="保留中",COUNTIF($AF$6:$AF2108,"保留中"),"")</f>
        <v/>
      </c>
      <c r="AP2108" s="14">
        <f>IF($AQ2108="","",IF(SUMPRODUCT(MAX((職員マスタ!$A$6:$A$405=$B2108)*(((職員マスタ!$G$6:$G$405="")+(職員マスタ!$G$6:$G$405&lt;=EOMONTH($AQ2108,0)))&gt;0)*(((職員マスタ!$H$6:$H$405="")+(職員マスタ!$H$6:$H$405&gt;=$AQ2108))&gt;0)*(ROW(職員マスタ!$A$6:$A$405)-5)))&gt;0,SUMPRODUCT(MAX((職員マスタ!$A$6:$A$405=$B2108)*(((職員マスタ!$G$6:$G$405="")+(職員マスタ!$G$6:$G$405&lt;=EOMONTH($AQ2108,0)))&gt;0)*(((職員マスタ!$H$6:$H$405="")+(職員マスタ!$H$6:$H$405&gt;=$AQ2108))&gt;0)*(ROW(職員マスタ!$A$6:$A$405)-5))),IFERROR(MATCH($B2108,職員マスタ!$A$6:$A$405,0),"")))</f>
        <v/>
      </c>
      <c r="AQ2108" s="16">
        <f>IF(OR($B2108="",$C2108="",$D2108=""),"",DATE($C2108+2018,$D2108,1))</f>
        <v/>
      </c>
    </row>
    <row r="2109">
      <c r="A2109" s="11" t="n"/>
      <c r="B2109" s="12" t="n"/>
      <c r="C2109" s="12" t="n"/>
      <c r="D2109" s="12" t="n"/>
      <c r="E2109" s="13" t="n"/>
      <c r="F2109" s="12" t="n"/>
      <c r="G2109" s="13" t="n"/>
      <c r="H2109" s="12" t="n"/>
      <c r="I2109" s="12" t="n"/>
      <c r="J2109" s="12" t="n"/>
      <c r="K2109" s="12" t="n"/>
      <c r="L2109" s="11" t="n"/>
      <c r="M2109" s="11" t="n"/>
      <c r="N2109" s="11" t="n"/>
      <c r="O2109" s="11" t="n"/>
      <c r="P2109" s="12" t="n"/>
      <c r="Q2109" s="11" t="n"/>
      <c r="R2109" s="12" t="n"/>
      <c r="S2109" s="11" t="n"/>
      <c r="T2109" s="12" t="n"/>
      <c r="U2109" s="12" t="n"/>
      <c r="V2109" s="12" t="n"/>
      <c r="W2109" s="13" t="n"/>
      <c r="X2109" s="14">
        <f>IF($AP2109="",IF($B2109="","",$H2109),IF(INDEX(職員マスタ!$B$6:$B$405,$AP2109)="",$H2109,INDEX(職員マスタ!$B$6:$B$405,$AP2109)))</f>
        <v/>
      </c>
      <c r="Y2109" s="14">
        <f>IF($AP2109="",IF($B2109="","",$R2109),IF(INDEX(職員マスタ!$C$6:$C$405,$AP2109)="",$R2109,INDEX(職員マスタ!$C$6:$C$405,$AP2109)))</f>
        <v/>
      </c>
      <c r="Z2109" s="14">
        <f>IF($AQ2109="","","R"&amp;$C2109&amp;"."&amp;$D2109)</f>
        <v/>
      </c>
      <c r="AA2109" s="15">
        <f>IF(IF($AP2109="",FALSE,INDEX(職員マスタ!$K$6:$K$405,$AP2109)&lt;&gt;""),INDEX(職員マスタ!$K$6:$K$405,$AP2109),IF(N($W2109)&gt;0,$W2109,""))</f>
        <v/>
      </c>
      <c r="AB2109" s="14">
        <f>IF(OR($E2109="",$AA2109=""),"",IF($E2109&gt;=$AA2109,"×",IF($E2109&gt;=$AA2109*設定!$C$5,"△","○")))</f>
        <v/>
      </c>
      <c r="AC2109" s="15">
        <f>IF($AB2109="","",IF($AB2109="×",0,IF($AB2109="○",ROUNDDOWN($E2109*設定!$C$4,0),ROUNDDOWN($E2109*ROUND((9*$AA2109-9*$E2109)/(10*$E2109),4),0))))</f>
        <v/>
      </c>
      <c r="AD2109" s="13" t="n"/>
      <c r="AE2109" s="15">
        <f>IF($B2109="","",IF($AD2109&lt;&gt;"",$AD2109,IF($AC2109="","",IF($AC2109&lt;=設定!$C$3,0,$AC2109))))</f>
        <v/>
      </c>
      <c r="AF2109" s="14">
        <f>IF($B2109="","",IF(AND($AG2109&lt;&gt;"",$AI2109="",$AL2109=""),"保留中",IF($AL2109&lt;&gt;"",IF(N($AE2109)&gt;0,"支給済","不支給"),IF($AE2109="","要確認",IF($AE2109=0,"不支給","未処理")))))</f>
        <v/>
      </c>
      <c r="AG2109" s="12" t="n"/>
      <c r="AH2109" s="11" t="n"/>
      <c r="AI2109" s="11" t="n"/>
      <c r="AJ2109" s="11" t="n"/>
      <c r="AK2109" s="14">
        <f>IF(AND($AF2109="保留中",$AH2109&lt;&gt;""),TODAY()-$AH2109,"")</f>
        <v/>
      </c>
      <c r="AL2109" s="12" t="n"/>
      <c r="AM2109" s="14">
        <f>IF($B2109="","",IF($AQ2109="","対象年月が未入力／","")&amp;IF($B2109="","",IF($AP2109="","職員マスタに未登録の職員番号／",IF($AA2109="","標準報酬月額が未登録／","")&amp;IF(AND($AQ2109&lt;&gt;"",OR(AND(INDEX(職員マスタ!$G$6:$G$405,$AP2109)&lt;&gt;"",INDEX(職員マスタ!$G$6:$G$405,$AP2109)&gt;EOMONTH($AQ2109,0)),AND(INDEX(職員マスタ!$H$6:$H$405,$AP2109)&lt;&gt;"",INDEX(職員マスタ!$H$6:$H$405,$AP2109)&lt;$AQ2109))),"対象月が時短期間外／","")&amp;IF(AND(INDEX(職員マスタ!$K$6:$K$405,$AP2109)&lt;&gt;"",N($W2109)&gt;0,INDEX(職員マスタ!$K$6:$K$405,$AP2109)&lt;&gt;$W2109),"標準報酬月額が申請書と相違（台帳"&amp;TEXT(INDEX(職員マスタ!$K$6:$K$405,$AP2109),"#,##0")&amp;"円／申請書"&amp;TEXT($W2109,"#,##0")&amp;"円）／","")&amp;IF(AND(INDEX(職員マスタ!$F$6:$F$405,$AP2109)&lt;&gt;"",$AQ2109&lt;&gt;"",INDEX(職員マスタ!$F$6:$F$405,$AP2109)&lt;$AQ2109),"対象月に子が2歳到達済／","")&amp;IF(AND($H2109&lt;&gt;"",INDEX(職員マスタ!$B$6:$B$405,$AP2109)&lt;&gt;"",SUBSTITUTE(SUBSTITUTE($H2109," ","")," ","")&lt;&gt;SUBSTITUTE(SUBSTITUTE(INDEX(職員マスタ!$B$6:$B$405,$AP2109)," ","")," ","")),"氏名がマスタと相違／","")&amp;IF(AND($Q2109&lt;&gt;"",INDEX(職員マスタ!$E$6:$E$405,$AP2109)&lt;&gt;"",$Q2109&lt;&gt;INDEX(職員マスタ!$E$6:$E$405,$AP2109)),"子の生年月日がマスタと相違／","")&amp;IF(AND($L2109&lt;&gt;"",INDEX(職員マスタ!$G$6:$G$405,$AP2109)&lt;&gt;"",$L2109&lt;&gt;INDEX(職員マスタ!$G$6:$G$405,$AP2109)),"時短開始日がマスタと相違／","")&amp;IF(AND($M2109&lt;&gt;"",INDEX(職員マスタ!$H$6:$H$405,$AP2109)&lt;&gt;"",$M2109&lt;&gt;INDEX(職員マスタ!$H$6:$H$405,$AP2109)),"時短終了日がマスタと相違／","")))&amp;IF(AND($B2109&lt;&gt;"",$E2109=""),"報酬額が未入力／","")&amp;IF(N($U2109)&gt;0,"申請書に入力エラーが残っています／","")&amp;IF(AND($B2109&lt;&gt;"",$AQ2109&lt;&gt;""),IF(COUNTIFS($B$6:$B$3005,$B2109,$C$6:$C$3005,$C2109,$D$6:$D$3005,$D2109)&gt;1,"同じ月の請求が重複しています／",""),"")&amp;IF(AND(N($E2109)&gt;0,$AB2109&lt;&gt;"",$AB2109&lt;&gt;"×",$AE2109=0,$AD2109=""),"計算額が下限以下のため不支給／",""))</f>
        <v/>
      </c>
      <c r="AN2109" s="12" t="n"/>
      <c r="AO2109" s="14">
        <f>IF($AF2109="保留中",COUNTIF($AF$6:$AF2109,"保留中"),"")</f>
        <v/>
      </c>
      <c r="AP2109" s="14">
        <f>IF($AQ2109="","",IF(SUMPRODUCT(MAX((職員マスタ!$A$6:$A$405=$B2109)*(((職員マスタ!$G$6:$G$405="")+(職員マスタ!$G$6:$G$405&lt;=EOMONTH($AQ2109,0)))&gt;0)*(((職員マスタ!$H$6:$H$405="")+(職員マスタ!$H$6:$H$405&gt;=$AQ2109))&gt;0)*(ROW(職員マスタ!$A$6:$A$405)-5)))&gt;0,SUMPRODUCT(MAX((職員マスタ!$A$6:$A$405=$B2109)*(((職員マスタ!$G$6:$G$405="")+(職員マスタ!$G$6:$G$405&lt;=EOMONTH($AQ2109,0)))&gt;0)*(((職員マスタ!$H$6:$H$405="")+(職員マスタ!$H$6:$H$405&gt;=$AQ2109))&gt;0)*(ROW(職員マスタ!$A$6:$A$405)-5))),IFERROR(MATCH($B2109,職員マスタ!$A$6:$A$405,0),"")))</f>
        <v/>
      </c>
      <c r="AQ2109" s="16">
        <f>IF(OR($B2109="",$C2109="",$D2109=""),"",DATE($C2109+2018,$D2109,1))</f>
        <v/>
      </c>
    </row>
    <row r="2110">
      <c r="A2110" s="11" t="n"/>
      <c r="B2110" s="12" t="n"/>
      <c r="C2110" s="12" t="n"/>
      <c r="D2110" s="12" t="n"/>
      <c r="E2110" s="13" t="n"/>
      <c r="F2110" s="12" t="n"/>
      <c r="G2110" s="13" t="n"/>
      <c r="H2110" s="12" t="n"/>
      <c r="I2110" s="12" t="n"/>
      <c r="J2110" s="12" t="n"/>
      <c r="K2110" s="12" t="n"/>
      <c r="L2110" s="11" t="n"/>
      <c r="M2110" s="11" t="n"/>
      <c r="N2110" s="11" t="n"/>
      <c r="O2110" s="11" t="n"/>
      <c r="P2110" s="12" t="n"/>
      <c r="Q2110" s="11" t="n"/>
      <c r="R2110" s="12" t="n"/>
      <c r="S2110" s="11" t="n"/>
      <c r="T2110" s="12" t="n"/>
      <c r="U2110" s="12" t="n"/>
      <c r="V2110" s="12" t="n"/>
      <c r="W2110" s="13" t="n"/>
      <c r="X2110" s="14">
        <f>IF($AP2110="",IF($B2110="","",$H2110),IF(INDEX(職員マスタ!$B$6:$B$405,$AP2110)="",$H2110,INDEX(職員マスタ!$B$6:$B$405,$AP2110)))</f>
        <v/>
      </c>
      <c r="Y2110" s="14">
        <f>IF($AP2110="",IF($B2110="","",$R2110),IF(INDEX(職員マスタ!$C$6:$C$405,$AP2110)="",$R2110,INDEX(職員マスタ!$C$6:$C$405,$AP2110)))</f>
        <v/>
      </c>
      <c r="Z2110" s="14">
        <f>IF($AQ2110="","","R"&amp;$C2110&amp;"."&amp;$D2110)</f>
        <v/>
      </c>
      <c r="AA2110" s="15">
        <f>IF(IF($AP2110="",FALSE,INDEX(職員マスタ!$K$6:$K$405,$AP2110)&lt;&gt;""),INDEX(職員マスタ!$K$6:$K$405,$AP2110),IF(N($W2110)&gt;0,$W2110,""))</f>
        <v/>
      </c>
      <c r="AB2110" s="14">
        <f>IF(OR($E2110="",$AA2110=""),"",IF($E2110&gt;=$AA2110,"×",IF($E2110&gt;=$AA2110*設定!$C$5,"△","○")))</f>
        <v/>
      </c>
      <c r="AC2110" s="15">
        <f>IF($AB2110="","",IF($AB2110="×",0,IF($AB2110="○",ROUNDDOWN($E2110*設定!$C$4,0),ROUNDDOWN($E2110*ROUND((9*$AA2110-9*$E2110)/(10*$E2110),4),0))))</f>
        <v/>
      </c>
      <c r="AD2110" s="13" t="n"/>
      <c r="AE2110" s="15">
        <f>IF($B2110="","",IF($AD2110&lt;&gt;"",$AD2110,IF($AC2110="","",IF($AC2110&lt;=設定!$C$3,0,$AC2110))))</f>
        <v/>
      </c>
      <c r="AF2110" s="14">
        <f>IF($B2110="","",IF(AND($AG2110&lt;&gt;"",$AI2110="",$AL2110=""),"保留中",IF($AL2110&lt;&gt;"",IF(N($AE2110)&gt;0,"支給済","不支給"),IF($AE2110="","要確認",IF($AE2110=0,"不支給","未処理")))))</f>
        <v/>
      </c>
      <c r="AG2110" s="12" t="n"/>
      <c r="AH2110" s="11" t="n"/>
      <c r="AI2110" s="11" t="n"/>
      <c r="AJ2110" s="11" t="n"/>
      <c r="AK2110" s="14">
        <f>IF(AND($AF2110="保留中",$AH2110&lt;&gt;""),TODAY()-$AH2110,"")</f>
        <v/>
      </c>
      <c r="AL2110" s="12" t="n"/>
      <c r="AM2110" s="14">
        <f>IF($B2110="","",IF($AQ2110="","対象年月が未入力／","")&amp;IF($B2110="","",IF($AP2110="","職員マスタに未登録の職員番号／",IF($AA2110="","標準報酬月額が未登録／","")&amp;IF(AND($AQ2110&lt;&gt;"",OR(AND(INDEX(職員マスタ!$G$6:$G$405,$AP2110)&lt;&gt;"",INDEX(職員マスタ!$G$6:$G$405,$AP2110)&gt;EOMONTH($AQ2110,0)),AND(INDEX(職員マスタ!$H$6:$H$405,$AP2110)&lt;&gt;"",INDEX(職員マスタ!$H$6:$H$405,$AP2110)&lt;$AQ2110))),"対象月が時短期間外／","")&amp;IF(AND(INDEX(職員マスタ!$K$6:$K$405,$AP2110)&lt;&gt;"",N($W2110)&gt;0,INDEX(職員マスタ!$K$6:$K$405,$AP2110)&lt;&gt;$W2110),"標準報酬月額が申請書と相違（台帳"&amp;TEXT(INDEX(職員マスタ!$K$6:$K$405,$AP2110),"#,##0")&amp;"円／申請書"&amp;TEXT($W2110,"#,##0")&amp;"円）／","")&amp;IF(AND(INDEX(職員マスタ!$F$6:$F$405,$AP2110)&lt;&gt;"",$AQ2110&lt;&gt;"",INDEX(職員マスタ!$F$6:$F$405,$AP2110)&lt;$AQ2110),"対象月に子が2歳到達済／","")&amp;IF(AND($H2110&lt;&gt;"",INDEX(職員マスタ!$B$6:$B$405,$AP2110)&lt;&gt;"",SUBSTITUTE(SUBSTITUTE($H2110," ","")," ","")&lt;&gt;SUBSTITUTE(SUBSTITUTE(INDEX(職員マスタ!$B$6:$B$405,$AP2110)," ","")," ","")),"氏名がマスタと相違／","")&amp;IF(AND($Q2110&lt;&gt;"",INDEX(職員マスタ!$E$6:$E$405,$AP2110)&lt;&gt;"",$Q2110&lt;&gt;INDEX(職員マスタ!$E$6:$E$405,$AP2110)),"子の生年月日がマスタと相違／","")&amp;IF(AND($L2110&lt;&gt;"",INDEX(職員マスタ!$G$6:$G$405,$AP2110)&lt;&gt;"",$L2110&lt;&gt;INDEX(職員マスタ!$G$6:$G$405,$AP2110)),"時短開始日がマスタと相違／","")&amp;IF(AND($M2110&lt;&gt;"",INDEX(職員マスタ!$H$6:$H$405,$AP2110)&lt;&gt;"",$M2110&lt;&gt;INDEX(職員マスタ!$H$6:$H$405,$AP2110)),"時短終了日がマスタと相違／","")))&amp;IF(AND($B2110&lt;&gt;"",$E2110=""),"報酬額が未入力／","")&amp;IF(N($U2110)&gt;0,"申請書に入力エラーが残っています／","")&amp;IF(AND($B2110&lt;&gt;"",$AQ2110&lt;&gt;""),IF(COUNTIFS($B$6:$B$3005,$B2110,$C$6:$C$3005,$C2110,$D$6:$D$3005,$D2110)&gt;1,"同じ月の請求が重複しています／",""),"")&amp;IF(AND(N($E2110)&gt;0,$AB2110&lt;&gt;"",$AB2110&lt;&gt;"×",$AE2110=0,$AD2110=""),"計算額が下限以下のため不支給／",""))</f>
        <v/>
      </c>
      <c r="AN2110" s="12" t="n"/>
      <c r="AO2110" s="14">
        <f>IF($AF2110="保留中",COUNTIF($AF$6:$AF2110,"保留中"),"")</f>
        <v/>
      </c>
      <c r="AP2110" s="14">
        <f>IF($AQ2110="","",IF(SUMPRODUCT(MAX((職員マスタ!$A$6:$A$405=$B2110)*(((職員マスタ!$G$6:$G$405="")+(職員マスタ!$G$6:$G$405&lt;=EOMONTH($AQ2110,0)))&gt;0)*(((職員マスタ!$H$6:$H$405="")+(職員マスタ!$H$6:$H$405&gt;=$AQ2110))&gt;0)*(ROW(職員マスタ!$A$6:$A$405)-5)))&gt;0,SUMPRODUCT(MAX((職員マスタ!$A$6:$A$405=$B2110)*(((職員マスタ!$G$6:$G$405="")+(職員マスタ!$G$6:$G$405&lt;=EOMONTH($AQ2110,0)))&gt;0)*(((職員マスタ!$H$6:$H$405="")+(職員マスタ!$H$6:$H$405&gt;=$AQ2110))&gt;0)*(ROW(職員マスタ!$A$6:$A$405)-5))),IFERROR(MATCH($B2110,職員マスタ!$A$6:$A$405,0),"")))</f>
        <v/>
      </c>
      <c r="AQ2110" s="16">
        <f>IF(OR($B2110="",$C2110="",$D2110=""),"",DATE($C2110+2018,$D2110,1))</f>
        <v/>
      </c>
    </row>
    <row r="2111">
      <c r="A2111" s="11" t="n"/>
      <c r="B2111" s="12" t="n"/>
      <c r="C2111" s="12" t="n"/>
      <c r="D2111" s="12" t="n"/>
      <c r="E2111" s="13" t="n"/>
      <c r="F2111" s="12" t="n"/>
      <c r="G2111" s="13" t="n"/>
      <c r="H2111" s="12" t="n"/>
      <c r="I2111" s="12" t="n"/>
      <c r="J2111" s="12" t="n"/>
      <c r="K2111" s="12" t="n"/>
      <c r="L2111" s="11" t="n"/>
      <c r="M2111" s="11" t="n"/>
      <c r="N2111" s="11" t="n"/>
      <c r="O2111" s="11" t="n"/>
      <c r="P2111" s="12" t="n"/>
      <c r="Q2111" s="11" t="n"/>
      <c r="R2111" s="12" t="n"/>
      <c r="S2111" s="11" t="n"/>
      <c r="T2111" s="12" t="n"/>
      <c r="U2111" s="12" t="n"/>
      <c r="V2111" s="12" t="n"/>
      <c r="W2111" s="13" t="n"/>
      <c r="X2111" s="14">
        <f>IF($AP2111="",IF($B2111="","",$H2111),IF(INDEX(職員マスタ!$B$6:$B$405,$AP2111)="",$H2111,INDEX(職員マスタ!$B$6:$B$405,$AP2111)))</f>
        <v/>
      </c>
      <c r="Y2111" s="14">
        <f>IF($AP2111="",IF($B2111="","",$R2111),IF(INDEX(職員マスタ!$C$6:$C$405,$AP2111)="",$R2111,INDEX(職員マスタ!$C$6:$C$405,$AP2111)))</f>
        <v/>
      </c>
      <c r="Z2111" s="14">
        <f>IF($AQ2111="","","R"&amp;$C2111&amp;"."&amp;$D2111)</f>
        <v/>
      </c>
      <c r="AA2111" s="15">
        <f>IF(IF($AP2111="",FALSE,INDEX(職員マスタ!$K$6:$K$405,$AP2111)&lt;&gt;""),INDEX(職員マスタ!$K$6:$K$405,$AP2111),IF(N($W2111)&gt;0,$W2111,""))</f>
        <v/>
      </c>
      <c r="AB2111" s="14">
        <f>IF(OR($E2111="",$AA2111=""),"",IF($E2111&gt;=$AA2111,"×",IF($E2111&gt;=$AA2111*設定!$C$5,"△","○")))</f>
        <v/>
      </c>
      <c r="AC2111" s="15">
        <f>IF($AB2111="","",IF($AB2111="×",0,IF($AB2111="○",ROUNDDOWN($E2111*設定!$C$4,0),ROUNDDOWN($E2111*ROUND((9*$AA2111-9*$E2111)/(10*$E2111),4),0))))</f>
        <v/>
      </c>
      <c r="AD2111" s="13" t="n"/>
      <c r="AE2111" s="15">
        <f>IF($B2111="","",IF($AD2111&lt;&gt;"",$AD2111,IF($AC2111="","",IF($AC2111&lt;=設定!$C$3,0,$AC2111))))</f>
        <v/>
      </c>
      <c r="AF2111" s="14">
        <f>IF($B2111="","",IF(AND($AG2111&lt;&gt;"",$AI2111="",$AL2111=""),"保留中",IF($AL2111&lt;&gt;"",IF(N($AE2111)&gt;0,"支給済","不支給"),IF($AE2111="","要確認",IF($AE2111=0,"不支給","未処理")))))</f>
        <v/>
      </c>
      <c r="AG2111" s="12" t="n"/>
      <c r="AH2111" s="11" t="n"/>
      <c r="AI2111" s="11" t="n"/>
      <c r="AJ2111" s="11" t="n"/>
      <c r="AK2111" s="14">
        <f>IF(AND($AF2111="保留中",$AH2111&lt;&gt;""),TODAY()-$AH2111,"")</f>
        <v/>
      </c>
      <c r="AL2111" s="12" t="n"/>
      <c r="AM2111" s="14">
        <f>IF($B2111="","",IF($AQ2111="","対象年月が未入力／","")&amp;IF($B2111="","",IF($AP2111="","職員マスタに未登録の職員番号／",IF($AA2111="","標準報酬月額が未登録／","")&amp;IF(AND($AQ2111&lt;&gt;"",OR(AND(INDEX(職員マスタ!$G$6:$G$405,$AP2111)&lt;&gt;"",INDEX(職員マスタ!$G$6:$G$405,$AP2111)&gt;EOMONTH($AQ2111,0)),AND(INDEX(職員マスタ!$H$6:$H$405,$AP2111)&lt;&gt;"",INDEX(職員マスタ!$H$6:$H$405,$AP2111)&lt;$AQ2111))),"対象月が時短期間外／","")&amp;IF(AND(INDEX(職員マスタ!$K$6:$K$405,$AP2111)&lt;&gt;"",N($W2111)&gt;0,INDEX(職員マスタ!$K$6:$K$405,$AP2111)&lt;&gt;$W2111),"標準報酬月額が申請書と相違（台帳"&amp;TEXT(INDEX(職員マスタ!$K$6:$K$405,$AP2111),"#,##0")&amp;"円／申請書"&amp;TEXT($W2111,"#,##0")&amp;"円）／","")&amp;IF(AND(INDEX(職員マスタ!$F$6:$F$405,$AP2111)&lt;&gt;"",$AQ2111&lt;&gt;"",INDEX(職員マスタ!$F$6:$F$405,$AP2111)&lt;$AQ2111),"対象月に子が2歳到達済／","")&amp;IF(AND($H2111&lt;&gt;"",INDEX(職員マスタ!$B$6:$B$405,$AP2111)&lt;&gt;"",SUBSTITUTE(SUBSTITUTE($H2111," ","")," ","")&lt;&gt;SUBSTITUTE(SUBSTITUTE(INDEX(職員マスタ!$B$6:$B$405,$AP2111)," ","")," ","")),"氏名がマスタと相違／","")&amp;IF(AND($Q2111&lt;&gt;"",INDEX(職員マスタ!$E$6:$E$405,$AP2111)&lt;&gt;"",$Q2111&lt;&gt;INDEX(職員マスタ!$E$6:$E$405,$AP2111)),"子の生年月日がマスタと相違／","")&amp;IF(AND($L2111&lt;&gt;"",INDEX(職員マスタ!$G$6:$G$405,$AP2111)&lt;&gt;"",$L2111&lt;&gt;INDEX(職員マスタ!$G$6:$G$405,$AP2111)),"時短開始日がマスタと相違／","")&amp;IF(AND($M2111&lt;&gt;"",INDEX(職員マスタ!$H$6:$H$405,$AP2111)&lt;&gt;"",$M2111&lt;&gt;INDEX(職員マスタ!$H$6:$H$405,$AP2111)),"時短終了日がマスタと相違／","")))&amp;IF(AND($B2111&lt;&gt;"",$E2111=""),"報酬額が未入力／","")&amp;IF(N($U2111)&gt;0,"申請書に入力エラーが残っています／","")&amp;IF(AND($B2111&lt;&gt;"",$AQ2111&lt;&gt;""),IF(COUNTIFS($B$6:$B$3005,$B2111,$C$6:$C$3005,$C2111,$D$6:$D$3005,$D2111)&gt;1,"同じ月の請求が重複しています／",""),"")&amp;IF(AND(N($E2111)&gt;0,$AB2111&lt;&gt;"",$AB2111&lt;&gt;"×",$AE2111=0,$AD2111=""),"計算額が下限以下のため不支給／",""))</f>
        <v/>
      </c>
      <c r="AN2111" s="12" t="n"/>
      <c r="AO2111" s="14">
        <f>IF($AF2111="保留中",COUNTIF($AF$6:$AF2111,"保留中"),"")</f>
        <v/>
      </c>
      <c r="AP2111" s="14">
        <f>IF($AQ2111="","",IF(SUMPRODUCT(MAX((職員マスタ!$A$6:$A$405=$B2111)*(((職員マスタ!$G$6:$G$405="")+(職員マスタ!$G$6:$G$405&lt;=EOMONTH($AQ2111,0)))&gt;0)*(((職員マスタ!$H$6:$H$405="")+(職員マスタ!$H$6:$H$405&gt;=$AQ2111))&gt;0)*(ROW(職員マスタ!$A$6:$A$405)-5)))&gt;0,SUMPRODUCT(MAX((職員マスタ!$A$6:$A$405=$B2111)*(((職員マスタ!$G$6:$G$405="")+(職員マスタ!$G$6:$G$405&lt;=EOMONTH($AQ2111,0)))&gt;0)*(((職員マスタ!$H$6:$H$405="")+(職員マスタ!$H$6:$H$405&gt;=$AQ2111))&gt;0)*(ROW(職員マスタ!$A$6:$A$405)-5))),IFERROR(MATCH($B2111,職員マスタ!$A$6:$A$405,0),"")))</f>
        <v/>
      </c>
      <c r="AQ2111" s="16">
        <f>IF(OR($B2111="",$C2111="",$D2111=""),"",DATE($C2111+2018,$D2111,1))</f>
        <v/>
      </c>
    </row>
    <row r="2112">
      <c r="A2112" s="11" t="n"/>
      <c r="B2112" s="12" t="n"/>
      <c r="C2112" s="12" t="n"/>
      <c r="D2112" s="12" t="n"/>
      <c r="E2112" s="13" t="n"/>
      <c r="F2112" s="12" t="n"/>
      <c r="G2112" s="13" t="n"/>
      <c r="H2112" s="12" t="n"/>
      <c r="I2112" s="12" t="n"/>
      <c r="J2112" s="12" t="n"/>
      <c r="K2112" s="12" t="n"/>
      <c r="L2112" s="11" t="n"/>
      <c r="M2112" s="11" t="n"/>
      <c r="N2112" s="11" t="n"/>
      <c r="O2112" s="11" t="n"/>
      <c r="P2112" s="12" t="n"/>
      <c r="Q2112" s="11" t="n"/>
      <c r="R2112" s="12" t="n"/>
      <c r="S2112" s="11" t="n"/>
      <c r="T2112" s="12" t="n"/>
      <c r="U2112" s="12" t="n"/>
      <c r="V2112" s="12" t="n"/>
      <c r="W2112" s="13" t="n"/>
      <c r="X2112" s="14">
        <f>IF($AP2112="",IF($B2112="","",$H2112),IF(INDEX(職員マスタ!$B$6:$B$405,$AP2112)="",$H2112,INDEX(職員マスタ!$B$6:$B$405,$AP2112)))</f>
        <v/>
      </c>
      <c r="Y2112" s="14">
        <f>IF($AP2112="",IF($B2112="","",$R2112),IF(INDEX(職員マスタ!$C$6:$C$405,$AP2112)="",$R2112,INDEX(職員マスタ!$C$6:$C$405,$AP2112)))</f>
        <v/>
      </c>
      <c r="Z2112" s="14">
        <f>IF($AQ2112="","","R"&amp;$C2112&amp;"."&amp;$D2112)</f>
        <v/>
      </c>
      <c r="AA2112" s="15">
        <f>IF(IF($AP2112="",FALSE,INDEX(職員マスタ!$K$6:$K$405,$AP2112)&lt;&gt;""),INDEX(職員マスタ!$K$6:$K$405,$AP2112),IF(N($W2112)&gt;0,$W2112,""))</f>
        <v/>
      </c>
      <c r="AB2112" s="14">
        <f>IF(OR($E2112="",$AA2112=""),"",IF($E2112&gt;=$AA2112,"×",IF($E2112&gt;=$AA2112*設定!$C$5,"△","○")))</f>
        <v/>
      </c>
      <c r="AC2112" s="15">
        <f>IF($AB2112="","",IF($AB2112="×",0,IF($AB2112="○",ROUNDDOWN($E2112*設定!$C$4,0),ROUNDDOWN($E2112*ROUND((9*$AA2112-9*$E2112)/(10*$E2112),4),0))))</f>
        <v/>
      </c>
      <c r="AD2112" s="13" t="n"/>
      <c r="AE2112" s="15">
        <f>IF($B2112="","",IF($AD2112&lt;&gt;"",$AD2112,IF($AC2112="","",IF($AC2112&lt;=設定!$C$3,0,$AC2112))))</f>
        <v/>
      </c>
      <c r="AF2112" s="14">
        <f>IF($B2112="","",IF(AND($AG2112&lt;&gt;"",$AI2112="",$AL2112=""),"保留中",IF($AL2112&lt;&gt;"",IF(N($AE2112)&gt;0,"支給済","不支給"),IF($AE2112="","要確認",IF($AE2112=0,"不支給","未処理")))))</f>
        <v/>
      </c>
      <c r="AG2112" s="12" t="n"/>
      <c r="AH2112" s="11" t="n"/>
      <c r="AI2112" s="11" t="n"/>
      <c r="AJ2112" s="11" t="n"/>
      <c r="AK2112" s="14">
        <f>IF(AND($AF2112="保留中",$AH2112&lt;&gt;""),TODAY()-$AH2112,"")</f>
        <v/>
      </c>
      <c r="AL2112" s="12" t="n"/>
      <c r="AM2112" s="14">
        <f>IF($B2112="","",IF($AQ2112="","対象年月が未入力／","")&amp;IF($B2112="","",IF($AP2112="","職員マスタに未登録の職員番号／",IF($AA2112="","標準報酬月額が未登録／","")&amp;IF(AND($AQ2112&lt;&gt;"",OR(AND(INDEX(職員マスタ!$G$6:$G$405,$AP2112)&lt;&gt;"",INDEX(職員マスタ!$G$6:$G$405,$AP2112)&gt;EOMONTH($AQ2112,0)),AND(INDEX(職員マスタ!$H$6:$H$405,$AP2112)&lt;&gt;"",INDEX(職員マスタ!$H$6:$H$405,$AP2112)&lt;$AQ2112))),"対象月が時短期間外／","")&amp;IF(AND(INDEX(職員マスタ!$K$6:$K$405,$AP2112)&lt;&gt;"",N($W2112)&gt;0,INDEX(職員マスタ!$K$6:$K$405,$AP2112)&lt;&gt;$W2112),"標準報酬月額が申請書と相違（台帳"&amp;TEXT(INDEX(職員マスタ!$K$6:$K$405,$AP2112),"#,##0")&amp;"円／申請書"&amp;TEXT($W2112,"#,##0")&amp;"円）／","")&amp;IF(AND(INDEX(職員マスタ!$F$6:$F$405,$AP2112)&lt;&gt;"",$AQ2112&lt;&gt;"",INDEX(職員マスタ!$F$6:$F$405,$AP2112)&lt;$AQ2112),"対象月に子が2歳到達済／","")&amp;IF(AND($H2112&lt;&gt;"",INDEX(職員マスタ!$B$6:$B$405,$AP2112)&lt;&gt;"",SUBSTITUTE(SUBSTITUTE($H2112," ","")," ","")&lt;&gt;SUBSTITUTE(SUBSTITUTE(INDEX(職員マスタ!$B$6:$B$405,$AP2112)," ","")," ","")),"氏名がマスタと相違／","")&amp;IF(AND($Q2112&lt;&gt;"",INDEX(職員マスタ!$E$6:$E$405,$AP2112)&lt;&gt;"",$Q2112&lt;&gt;INDEX(職員マスタ!$E$6:$E$405,$AP2112)),"子の生年月日がマスタと相違／","")&amp;IF(AND($L2112&lt;&gt;"",INDEX(職員マスタ!$G$6:$G$405,$AP2112)&lt;&gt;"",$L2112&lt;&gt;INDEX(職員マスタ!$G$6:$G$405,$AP2112)),"時短開始日がマスタと相違／","")&amp;IF(AND($M2112&lt;&gt;"",INDEX(職員マスタ!$H$6:$H$405,$AP2112)&lt;&gt;"",$M2112&lt;&gt;INDEX(職員マスタ!$H$6:$H$405,$AP2112)),"時短終了日がマスタと相違／","")))&amp;IF(AND($B2112&lt;&gt;"",$E2112=""),"報酬額が未入力／","")&amp;IF(N($U2112)&gt;0,"申請書に入力エラーが残っています／","")&amp;IF(AND($B2112&lt;&gt;"",$AQ2112&lt;&gt;""),IF(COUNTIFS($B$6:$B$3005,$B2112,$C$6:$C$3005,$C2112,$D$6:$D$3005,$D2112)&gt;1,"同じ月の請求が重複しています／",""),"")&amp;IF(AND(N($E2112)&gt;0,$AB2112&lt;&gt;"",$AB2112&lt;&gt;"×",$AE2112=0,$AD2112=""),"計算額が下限以下のため不支給／",""))</f>
        <v/>
      </c>
      <c r="AN2112" s="12" t="n"/>
      <c r="AO2112" s="14">
        <f>IF($AF2112="保留中",COUNTIF($AF$6:$AF2112,"保留中"),"")</f>
        <v/>
      </c>
      <c r="AP2112" s="14">
        <f>IF($AQ2112="","",IF(SUMPRODUCT(MAX((職員マスタ!$A$6:$A$405=$B2112)*(((職員マスタ!$G$6:$G$405="")+(職員マスタ!$G$6:$G$405&lt;=EOMONTH($AQ2112,0)))&gt;0)*(((職員マスタ!$H$6:$H$405="")+(職員マスタ!$H$6:$H$405&gt;=$AQ2112))&gt;0)*(ROW(職員マスタ!$A$6:$A$405)-5)))&gt;0,SUMPRODUCT(MAX((職員マスタ!$A$6:$A$405=$B2112)*(((職員マスタ!$G$6:$G$405="")+(職員マスタ!$G$6:$G$405&lt;=EOMONTH($AQ2112,0)))&gt;0)*(((職員マスタ!$H$6:$H$405="")+(職員マスタ!$H$6:$H$405&gt;=$AQ2112))&gt;0)*(ROW(職員マスタ!$A$6:$A$405)-5))),IFERROR(MATCH($B2112,職員マスタ!$A$6:$A$405,0),"")))</f>
        <v/>
      </c>
      <c r="AQ2112" s="16">
        <f>IF(OR($B2112="",$C2112="",$D2112=""),"",DATE($C2112+2018,$D2112,1))</f>
        <v/>
      </c>
    </row>
    <row r="2113">
      <c r="A2113" s="11" t="n"/>
      <c r="B2113" s="12" t="n"/>
      <c r="C2113" s="12" t="n"/>
      <c r="D2113" s="12" t="n"/>
      <c r="E2113" s="13" t="n"/>
      <c r="F2113" s="12" t="n"/>
      <c r="G2113" s="13" t="n"/>
      <c r="H2113" s="12" t="n"/>
      <c r="I2113" s="12" t="n"/>
      <c r="J2113" s="12" t="n"/>
      <c r="K2113" s="12" t="n"/>
      <c r="L2113" s="11" t="n"/>
      <c r="M2113" s="11" t="n"/>
      <c r="N2113" s="11" t="n"/>
      <c r="O2113" s="11" t="n"/>
      <c r="P2113" s="12" t="n"/>
      <c r="Q2113" s="11" t="n"/>
      <c r="R2113" s="12" t="n"/>
      <c r="S2113" s="11" t="n"/>
      <c r="T2113" s="12" t="n"/>
      <c r="U2113" s="12" t="n"/>
      <c r="V2113" s="12" t="n"/>
      <c r="W2113" s="13" t="n"/>
      <c r="X2113" s="14">
        <f>IF($AP2113="",IF($B2113="","",$H2113),IF(INDEX(職員マスタ!$B$6:$B$405,$AP2113)="",$H2113,INDEX(職員マスタ!$B$6:$B$405,$AP2113)))</f>
        <v/>
      </c>
      <c r="Y2113" s="14">
        <f>IF($AP2113="",IF($B2113="","",$R2113),IF(INDEX(職員マスタ!$C$6:$C$405,$AP2113)="",$R2113,INDEX(職員マスタ!$C$6:$C$405,$AP2113)))</f>
        <v/>
      </c>
      <c r="Z2113" s="14">
        <f>IF($AQ2113="","","R"&amp;$C2113&amp;"."&amp;$D2113)</f>
        <v/>
      </c>
      <c r="AA2113" s="15">
        <f>IF(IF($AP2113="",FALSE,INDEX(職員マスタ!$K$6:$K$405,$AP2113)&lt;&gt;""),INDEX(職員マスタ!$K$6:$K$405,$AP2113),IF(N($W2113)&gt;0,$W2113,""))</f>
        <v/>
      </c>
      <c r="AB2113" s="14">
        <f>IF(OR($E2113="",$AA2113=""),"",IF($E2113&gt;=$AA2113,"×",IF($E2113&gt;=$AA2113*設定!$C$5,"△","○")))</f>
        <v/>
      </c>
      <c r="AC2113" s="15">
        <f>IF($AB2113="","",IF($AB2113="×",0,IF($AB2113="○",ROUNDDOWN($E2113*設定!$C$4,0),ROUNDDOWN($E2113*ROUND((9*$AA2113-9*$E2113)/(10*$E2113),4),0))))</f>
        <v/>
      </c>
      <c r="AD2113" s="13" t="n"/>
      <c r="AE2113" s="15">
        <f>IF($B2113="","",IF($AD2113&lt;&gt;"",$AD2113,IF($AC2113="","",IF($AC2113&lt;=設定!$C$3,0,$AC2113))))</f>
        <v/>
      </c>
      <c r="AF2113" s="14">
        <f>IF($B2113="","",IF(AND($AG2113&lt;&gt;"",$AI2113="",$AL2113=""),"保留中",IF($AL2113&lt;&gt;"",IF(N($AE2113)&gt;0,"支給済","不支給"),IF($AE2113="","要確認",IF($AE2113=0,"不支給","未処理")))))</f>
        <v/>
      </c>
      <c r="AG2113" s="12" t="n"/>
      <c r="AH2113" s="11" t="n"/>
      <c r="AI2113" s="11" t="n"/>
      <c r="AJ2113" s="11" t="n"/>
      <c r="AK2113" s="14">
        <f>IF(AND($AF2113="保留中",$AH2113&lt;&gt;""),TODAY()-$AH2113,"")</f>
        <v/>
      </c>
      <c r="AL2113" s="12" t="n"/>
      <c r="AM2113" s="14">
        <f>IF($B2113="","",IF($AQ2113="","対象年月が未入力／","")&amp;IF($B2113="","",IF($AP2113="","職員マスタに未登録の職員番号／",IF($AA2113="","標準報酬月額が未登録／","")&amp;IF(AND($AQ2113&lt;&gt;"",OR(AND(INDEX(職員マスタ!$G$6:$G$405,$AP2113)&lt;&gt;"",INDEX(職員マスタ!$G$6:$G$405,$AP2113)&gt;EOMONTH($AQ2113,0)),AND(INDEX(職員マスタ!$H$6:$H$405,$AP2113)&lt;&gt;"",INDEX(職員マスタ!$H$6:$H$405,$AP2113)&lt;$AQ2113))),"対象月が時短期間外／","")&amp;IF(AND(INDEX(職員マスタ!$K$6:$K$405,$AP2113)&lt;&gt;"",N($W2113)&gt;0,INDEX(職員マスタ!$K$6:$K$405,$AP2113)&lt;&gt;$W2113),"標準報酬月額が申請書と相違（台帳"&amp;TEXT(INDEX(職員マスタ!$K$6:$K$405,$AP2113),"#,##0")&amp;"円／申請書"&amp;TEXT($W2113,"#,##0")&amp;"円）／","")&amp;IF(AND(INDEX(職員マスタ!$F$6:$F$405,$AP2113)&lt;&gt;"",$AQ2113&lt;&gt;"",INDEX(職員マスタ!$F$6:$F$405,$AP2113)&lt;$AQ2113),"対象月に子が2歳到達済／","")&amp;IF(AND($H2113&lt;&gt;"",INDEX(職員マスタ!$B$6:$B$405,$AP2113)&lt;&gt;"",SUBSTITUTE(SUBSTITUTE($H2113," ","")," ","")&lt;&gt;SUBSTITUTE(SUBSTITUTE(INDEX(職員マスタ!$B$6:$B$405,$AP2113)," ","")," ","")),"氏名がマスタと相違／","")&amp;IF(AND($Q2113&lt;&gt;"",INDEX(職員マスタ!$E$6:$E$405,$AP2113)&lt;&gt;"",$Q2113&lt;&gt;INDEX(職員マスタ!$E$6:$E$405,$AP2113)),"子の生年月日がマスタと相違／","")&amp;IF(AND($L2113&lt;&gt;"",INDEX(職員マスタ!$G$6:$G$405,$AP2113)&lt;&gt;"",$L2113&lt;&gt;INDEX(職員マスタ!$G$6:$G$405,$AP2113)),"時短開始日がマスタと相違／","")&amp;IF(AND($M2113&lt;&gt;"",INDEX(職員マスタ!$H$6:$H$405,$AP2113)&lt;&gt;"",$M2113&lt;&gt;INDEX(職員マスタ!$H$6:$H$405,$AP2113)),"時短終了日がマスタと相違／","")))&amp;IF(AND($B2113&lt;&gt;"",$E2113=""),"報酬額が未入力／","")&amp;IF(N($U2113)&gt;0,"申請書に入力エラーが残っています／","")&amp;IF(AND($B2113&lt;&gt;"",$AQ2113&lt;&gt;""),IF(COUNTIFS($B$6:$B$3005,$B2113,$C$6:$C$3005,$C2113,$D$6:$D$3005,$D2113)&gt;1,"同じ月の請求が重複しています／",""),"")&amp;IF(AND(N($E2113)&gt;0,$AB2113&lt;&gt;"",$AB2113&lt;&gt;"×",$AE2113=0,$AD2113=""),"計算額が下限以下のため不支給／",""))</f>
        <v/>
      </c>
      <c r="AN2113" s="12" t="n"/>
      <c r="AO2113" s="14">
        <f>IF($AF2113="保留中",COUNTIF($AF$6:$AF2113,"保留中"),"")</f>
        <v/>
      </c>
      <c r="AP2113" s="14">
        <f>IF($AQ2113="","",IF(SUMPRODUCT(MAX((職員マスタ!$A$6:$A$405=$B2113)*(((職員マスタ!$G$6:$G$405="")+(職員マスタ!$G$6:$G$405&lt;=EOMONTH($AQ2113,0)))&gt;0)*(((職員マスタ!$H$6:$H$405="")+(職員マスタ!$H$6:$H$405&gt;=$AQ2113))&gt;0)*(ROW(職員マスタ!$A$6:$A$405)-5)))&gt;0,SUMPRODUCT(MAX((職員マスタ!$A$6:$A$405=$B2113)*(((職員マスタ!$G$6:$G$405="")+(職員マスタ!$G$6:$G$405&lt;=EOMONTH($AQ2113,0)))&gt;0)*(((職員マスタ!$H$6:$H$405="")+(職員マスタ!$H$6:$H$405&gt;=$AQ2113))&gt;0)*(ROW(職員マスタ!$A$6:$A$405)-5))),IFERROR(MATCH($B2113,職員マスタ!$A$6:$A$405,0),"")))</f>
        <v/>
      </c>
      <c r="AQ2113" s="16">
        <f>IF(OR($B2113="",$C2113="",$D2113=""),"",DATE($C2113+2018,$D2113,1))</f>
        <v/>
      </c>
    </row>
    <row r="2114">
      <c r="A2114" s="11" t="n"/>
      <c r="B2114" s="12" t="n"/>
      <c r="C2114" s="12" t="n"/>
      <c r="D2114" s="12" t="n"/>
      <c r="E2114" s="13" t="n"/>
      <c r="F2114" s="12" t="n"/>
      <c r="G2114" s="13" t="n"/>
      <c r="H2114" s="12" t="n"/>
      <c r="I2114" s="12" t="n"/>
      <c r="J2114" s="12" t="n"/>
      <c r="K2114" s="12" t="n"/>
      <c r="L2114" s="11" t="n"/>
      <c r="M2114" s="11" t="n"/>
      <c r="N2114" s="11" t="n"/>
      <c r="O2114" s="11" t="n"/>
      <c r="P2114" s="12" t="n"/>
      <c r="Q2114" s="11" t="n"/>
      <c r="R2114" s="12" t="n"/>
      <c r="S2114" s="11" t="n"/>
      <c r="T2114" s="12" t="n"/>
      <c r="U2114" s="12" t="n"/>
      <c r="V2114" s="12" t="n"/>
      <c r="W2114" s="13" t="n"/>
      <c r="X2114" s="14">
        <f>IF($AP2114="",IF($B2114="","",$H2114),IF(INDEX(職員マスタ!$B$6:$B$405,$AP2114)="",$H2114,INDEX(職員マスタ!$B$6:$B$405,$AP2114)))</f>
        <v/>
      </c>
      <c r="Y2114" s="14">
        <f>IF($AP2114="",IF($B2114="","",$R2114),IF(INDEX(職員マスタ!$C$6:$C$405,$AP2114)="",$R2114,INDEX(職員マスタ!$C$6:$C$405,$AP2114)))</f>
        <v/>
      </c>
      <c r="Z2114" s="14">
        <f>IF($AQ2114="","","R"&amp;$C2114&amp;"."&amp;$D2114)</f>
        <v/>
      </c>
      <c r="AA2114" s="15">
        <f>IF(IF($AP2114="",FALSE,INDEX(職員マスタ!$K$6:$K$405,$AP2114)&lt;&gt;""),INDEX(職員マスタ!$K$6:$K$405,$AP2114),IF(N($W2114)&gt;0,$W2114,""))</f>
        <v/>
      </c>
      <c r="AB2114" s="14">
        <f>IF(OR($E2114="",$AA2114=""),"",IF($E2114&gt;=$AA2114,"×",IF($E2114&gt;=$AA2114*設定!$C$5,"△","○")))</f>
        <v/>
      </c>
      <c r="AC2114" s="15">
        <f>IF($AB2114="","",IF($AB2114="×",0,IF($AB2114="○",ROUNDDOWN($E2114*設定!$C$4,0),ROUNDDOWN($E2114*ROUND((9*$AA2114-9*$E2114)/(10*$E2114),4),0))))</f>
        <v/>
      </c>
      <c r="AD2114" s="13" t="n"/>
      <c r="AE2114" s="15">
        <f>IF($B2114="","",IF($AD2114&lt;&gt;"",$AD2114,IF($AC2114="","",IF($AC2114&lt;=設定!$C$3,0,$AC2114))))</f>
        <v/>
      </c>
      <c r="AF2114" s="14">
        <f>IF($B2114="","",IF(AND($AG2114&lt;&gt;"",$AI2114="",$AL2114=""),"保留中",IF($AL2114&lt;&gt;"",IF(N($AE2114)&gt;0,"支給済","不支給"),IF($AE2114="","要確認",IF($AE2114=0,"不支給","未処理")))))</f>
        <v/>
      </c>
      <c r="AG2114" s="12" t="n"/>
      <c r="AH2114" s="11" t="n"/>
      <c r="AI2114" s="11" t="n"/>
      <c r="AJ2114" s="11" t="n"/>
      <c r="AK2114" s="14">
        <f>IF(AND($AF2114="保留中",$AH2114&lt;&gt;""),TODAY()-$AH2114,"")</f>
        <v/>
      </c>
      <c r="AL2114" s="12" t="n"/>
      <c r="AM2114" s="14">
        <f>IF($B2114="","",IF($AQ2114="","対象年月が未入力／","")&amp;IF($B2114="","",IF($AP2114="","職員マスタに未登録の職員番号／",IF($AA2114="","標準報酬月額が未登録／","")&amp;IF(AND($AQ2114&lt;&gt;"",OR(AND(INDEX(職員マスタ!$G$6:$G$405,$AP2114)&lt;&gt;"",INDEX(職員マスタ!$G$6:$G$405,$AP2114)&gt;EOMONTH($AQ2114,0)),AND(INDEX(職員マスタ!$H$6:$H$405,$AP2114)&lt;&gt;"",INDEX(職員マスタ!$H$6:$H$405,$AP2114)&lt;$AQ2114))),"対象月が時短期間外／","")&amp;IF(AND(INDEX(職員マスタ!$K$6:$K$405,$AP2114)&lt;&gt;"",N($W2114)&gt;0,INDEX(職員マスタ!$K$6:$K$405,$AP2114)&lt;&gt;$W2114),"標準報酬月額が申請書と相違（台帳"&amp;TEXT(INDEX(職員マスタ!$K$6:$K$405,$AP2114),"#,##0")&amp;"円／申請書"&amp;TEXT($W2114,"#,##0")&amp;"円）／","")&amp;IF(AND(INDEX(職員マスタ!$F$6:$F$405,$AP2114)&lt;&gt;"",$AQ2114&lt;&gt;"",INDEX(職員マスタ!$F$6:$F$405,$AP2114)&lt;$AQ2114),"対象月に子が2歳到達済／","")&amp;IF(AND($H2114&lt;&gt;"",INDEX(職員マスタ!$B$6:$B$405,$AP2114)&lt;&gt;"",SUBSTITUTE(SUBSTITUTE($H2114," ","")," ","")&lt;&gt;SUBSTITUTE(SUBSTITUTE(INDEX(職員マスタ!$B$6:$B$405,$AP2114)," ","")," ","")),"氏名がマスタと相違／","")&amp;IF(AND($Q2114&lt;&gt;"",INDEX(職員マスタ!$E$6:$E$405,$AP2114)&lt;&gt;"",$Q2114&lt;&gt;INDEX(職員マスタ!$E$6:$E$405,$AP2114)),"子の生年月日がマスタと相違／","")&amp;IF(AND($L2114&lt;&gt;"",INDEX(職員マスタ!$G$6:$G$405,$AP2114)&lt;&gt;"",$L2114&lt;&gt;INDEX(職員マスタ!$G$6:$G$405,$AP2114)),"時短開始日がマスタと相違／","")&amp;IF(AND($M2114&lt;&gt;"",INDEX(職員マスタ!$H$6:$H$405,$AP2114)&lt;&gt;"",$M2114&lt;&gt;INDEX(職員マスタ!$H$6:$H$405,$AP2114)),"時短終了日がマスタと相違／","")))&amp;IF(AND($B2114&lt;&gt;"",$E2114=""),"報酬額が未入力／","")&amp;IF(N($U2114)&gt;0,"申請書に入力エラーが残っています／","")&amp;IF(AND($B2114&lt;&gt;"",$AQ2114&lt;&gt;""),IF(COUNTIFS($B$6:$B$3005,$B2114,$C$6:$C$3005,$C2114,$D$6:$D$3005,$D2114)&gt;1,"同じ月の請求が重複しています／",""),"")&amp;IF(AND(N($E2114)&gt;0,$AB2114&lt;&gt;"",$AB2114&lt;&gt;"×",$AE2114=0,$AD2114=""),"計算額が下限以下のため不支給／",""))</f>
        <v/>
      </c>
      <c r="AN2114" s="12" t="n"/>
      <c r="AO2114" s="14">
        <f>IF($AF2114="保留中",COUNTIF($AF$6:$AF2114,"保留中"),"")</f>
        <v/>
      </c>
      <c r="AP2114" s="14">
        <f>IF($AQ2114="","",IF(SUMPRODUCT(MAX((職員マスタ!$A$6:$A$405=$B2114)*(((職員マスタ!$G$6:$G$405="")+(職員マスタ!$G$6:$G$405&lt;=EOMONTH($AQ2114,0)))&gt;0)*(((職員マスタ!$H$6:$H$405="")+(職員マスタ!$H$6:$H$405&gt;=$AQ2114))&gt;0)*(ROW(職員マスタ!$A$6:$A$405)-5)))&gt;0,SUMPRODUCT(MAX((職員マスタ!$A$6:$A$405=$B2114)*(((職員マスタ!$G$6:$G$405="")+(職員マスタ!$G$6:$G$405&lt;=EOMONTH($AQ2114,0)))&gt;0)*(((職員マスタ!$H$6:$H$405="")+(職員マスタ!$H$6:$H$405&gt;=$AQ2114))&gt;0)*(ROW(職員マスタ!$A$6:$A$405)-5))),IFERROR(MATCH($B2114,職員マスタ!$A$6:$A$405,0),"")))</f>
        <v/>
      </c>
      <c r="AQ2114" s="16">
        <f>IF(OR($B2114="",$C2114="",$D2114=""),"",DATE($C2114+2018,$D2114,1))</f>
        <v/>
      </c>
    </row>
    <row r="2115">
      <c r="A2115" s="11" t="n"/>
      <c r="B2115" s="12" t="n"/>
      <c r="C2115" s="12" t="n"/>
      <c r="D2115" s="12" t="n"/>
      <c r="E2115" s="13" t="n"/>
      <c r="F2115" s="12" t="n"/>
      <c r="G2115" s="13" t="n"/>
      <c r="H2115" s="12" t="n"/>
      <c r="I2115" s="12" t="n"/>
      <c r="J2115" s="12" t="n"/>
      <c r="K2115" s="12" t="n"/>
      <c r="L2115" s="11" t="n"/>
      <c r="M2115" s="11" t="n"/>
      <c r="N2115" s="11" t="n"/>
      <c r="O2115" s="11" t="n"/>
      <c r="P2115" s="12" t="n"/>
      <c r="Q2115" s="11" t="n"/>
      <c r="R2115" s="12" t="n"/>
      <c r="S2115" s="11" t="n"/>
      <c r="T2115" s="12" t="n"/>
      <c r="U2115" s="12" t="n"/>
      <c r="V2115" s="12" t="n"/>
      <c r="W2115" s="13" t="n"/>
      <c r="X2115" s="14">
        <f>IF($AP2115="",IF($B2115="","",$H2115),IF(INDEX(職員マスタ!$B$6:$B$405,$AP2115)="",$H2115,INDEX(職員マスタ!$B$6:$B$405,$AP2115)))</f>
        <v/>
      </c>
      <c r="Y2115" s="14">
        <f>IF($AP2115="",IF($B2115="","",$R2115),IF(INDEX(職員マスタ!$C$6:$C$405,$AP2115)="",$R2115,INDEX(職員マスタ!$C$6:$C$405,$AP2115)))</f>
        <v/>
      </c>
      <c r="Z2115" s="14">
        <f>IF($AQ2115="","","R"&amp;$C2115&amp;"."&amp;$D2115)</f>
        <v/>
      </c>
      <c r="AA2115" s="15">
        <f>IF(IF($AP2115="",FALSE,INDEX(職員マスタ!$K$6:$K$405,$AP2115)&lt;&gt;""),INDEX(職員マスタ!$K$6:$K$405,$AP2115),IF(N($W2115)&gt;0,$W2115,""))</f>
        <v/>
      </c>
      <c r="AB2115" s="14">
        <f>IF(OR($E2115="",$AA2115=""),"",IF($E2115&gt;=$AA2115,"×",IF($E2115&gt;=$AA2115*設定!$C$5,"△","○")))</f>
        <v/>
      </c>
      <c r="AC2115" s="15">
        <f>IF($AB2115="","",IF($AB2115="×",0,IF($AB2115="○",ROUNDDOWN($E2115*設定!$C$4,0),ROUNDDOWN($E2115*ROUND((9*$AA2115-9*$E2115)/(10*$E2115),4),0))))</f>
        <v/>
      </c>
      <c r="AD2115" s="13" t="n"/>
      <c r="AE2115" s="15">
        <f>IF($B2115="","",IF($AD2115&lt;&gt;"",$AD2115,IF($AC2115="","",IF($AC2115&lt;=設定!$C$3,0,$AC2115))))</f>
        <v/>
      </c>
      <c r="AF2115" s="14">
        <f>IF($B2115="","",IF(AND($AG2115&lt;&gt;"",$AI2115="",$AL2115=""),"保留中",IF($AL2115&lt;&gt;"",IF(N($AE2115)&gt;0,"支給済","不支給"),IF($AE2115="","要確認",IF($AE2115=0,"不支給","未処理")))))</f>
        <v/>
      </c>
      <c r="AG2115" s="12" t="n"/>
      <c r="AH2115" s="11" t="n"/>
      <c r="AI2115" s="11" t="n"/>
      <c r="AJ2115" s="11" t="n"/>
      <c r="AK2115" s="14">
        <f>IF(AND($AF2115="保留中",$AH2115&lt;&gt;""),TODAY()-$AH2115,"")</f>
        <v/>
      </c>
      <c r="AL2115" s="12" t="n"/>
      <c r="AM2115" s="14">
        <f>IF($B2115="","",IF($AQ2115="","対象年月が未入力／","")&amp;IF($B2115="","",IF($AP2115="","職員マスタに未登録の職員番号／",IF($AA2115="","標準報酬月額が未登録／","")&amp;IF(AND($AQ2115&lt;&gt;"",OR(AND(INDEX(職員マスタ!$G$6:$G$405,$AP2115)&lt;&gt;"",INDEX(職員マスタ!$G$6:$G$405,$AP2115)&gt;EOMONTH($AQ2115,0)),AND(INDEX(職員マスタ!$H$6:$H$405,$AP2115)&lt;&gt;"",INDEX(職員マスタ!$H$6:$H$405,$AP2115)&lt;$AQ2115))),"対象月が時短期間外／","")&amp;IF(AND(INDEX(職員マスタ!$K$6:$K$405,$AP2115)&lt;&gt;"",N($W2115)&gt;0,INDEX(職員マスタ!$K$6:$K$405,$AP2115)&lt;&gt;$W2115),"標準報酬月額が申請書と相違（台帳"&amp;TEXT(INDEX(職員マスタ!$K$6:$K$405,$AP2115),"#,##0")&amp;"円／申請書"&amp;TEXT($W2115,"#,##0")&amp;"円）／","")&amp;IF(AND(INDEX(職員マスタ!$F$6:$F$405,$AP2115)&lt;&gt;"",$AQ2115&lt;&gt;"",INDEX(職員マスタ!$F$6:$F$405,$AP2115)&lt;$AQ2115),"対象月に子が2歳到達済／","")&amp;IF(AND($H2115&lt;&gt;"",INDEX(職員マスタ!$B$6:$B$405,$AP2115)&lt;&gt;"",SUBSTITUTE(SUBSTITUTE($H2115," ","")," ","")&lt;&gt;SUBSTITUTE(SUBSTITUTE(INDEX(職員マスタ!$B$6:$B$405,$AP2115)," ","")," ","")),"氏名がマスタと相違／","")&amp;IF(AND($Q2115&lt;&gt;"",INDEX(職員マスタ!$E$6:$E$405,$AP2115)&lt;&gt;"",$Q2115&lt;&gt;INDEX(職員マスタ!$E$6:$E$405,$AP2115)),"子の生年月日がマスタと相違／","")&amp;IF(AND($L2115&lt;&gt;"",INDEX(職員マスタ!$G$6:$G$405,$AP2115)&lt;&gt;"",$L2115&lt;&gt;INDEX(職員マスタ!$G$6:$G$405,$AP2115)),"時短開始日がマスタと相違／","")&amp;IF(AND($M2115&lt;&gt;"",INDEX(職員マスタ!$H$6:$H$405,$AP2115)&lt;&gt;"",$M2115&lt;&gt;INDEX(職員マスタ!$H$6:$H$405,$AP2115)),"時短終了日がマスタと相違／","")))&amp;IF(AND($B2115&lt;&gt;"",$E2115=""),"報酬額が未入力／","")&amp;IF(N($U2115)&gt;0,"申請書に入力エラーが残っています／","")&amp;IF(AND($B2115&lt;&gt;"",$AQ2115&lt;&gt;""),IF(COUNTIFS($B$6:$B$3005,$B2115,$C$6:$C$3005,$C2115,$D$6:$D$3005,$D2115)&gt;1,"同じ月の請求が重複しています／",""),"")&amp;IF(AND(N($E2115)&gt;0,$AB2115&lt;&gt;"",$AB2115&lt;&gt;"×",$AE2115=0,$AD2115=""),"計算額が下限以下のため不支給／",""))</f>
        <v/>
      </c>
      <c r="AN2115" s="12" t="n"/>
      <c r="AO2115" s="14">
        <f>IF($AF2115="保留中",COUNTIF($AF$6:$AF2115,"保留中"),"")</f>
        <v/>
      </c>
      <c r="AP2115" s="14">
        <f>IF($AQ2115="","",IF(SUMPRODUCT(MAX((職員マスタ!$A$6:$A$405=$B2115)*(((職員マスタ!$G$6:$G$405="")+(職員マスタ!$G$6:$G$405&lt;=EOMONTH($AQ2115,0)))&gt;0)*(((職員マスタ!$H$6:$H$405="")+(職員マスタ!$H$6:$H$405&gt;=$AQ2115))&gt;0)*(ROW(職員マスタ!$A$6:$A$405)-5)))&gt;0,SUMPRODUCT(MAX((職員マスタ!$A$6:$A$405=$B2115)*(((職員マスタ!$G$6:$G$405="")+(職員マスタ!$G$6:$G$405&lt;=EOMONTH($AQ2115,0)))&gt;0)*(((職員マスタ!$H$6:$H$405="")+(職員マスタ!$H$6:$H$405&gt;=$AQ2115))&gt;0)*(ROW(職員マスタ!$A$6:$A$405)-5))),IFERROR(MATCH($B2115,職員マスタ!$A$6:$A$405,0),"")))</f>
        <v/>
      </c>
      <c r="AQ2115" s="16">
        <f>IF(OR($B2115="",$C2115="",$D2115=""),"",DATE($C2115+2018,$D2115,1))</f>
        <v/>
      </c>
    </row>
    <row r="2116">
      <c r="A2116" s="11" t="n"/>
      <c r="B2116" s="12" t="n"/>
      <c r="C2116" s="12" t="n"/>
      <c r="D2116" s="12" t="n"/>
      <c r="E2116" s="13" t="n"/>
      <c r="F2116" s="12" t="n"/>
      <c r="G2116" s="13" t="n"/>
      <c r="H2116" s="12" t="n"/>
      <c r="I2116" s="12" t="n"/>
      <c r="J2116" s="12" t="n"/>
      <c r="K2116" s="12" t="n"/>
      <c r="L2116" s="11" t="n"/>
      <c r="M2116" s="11" t="n"/>
      <c r="N2116" s="11" t="n"/>
      <c r="O2116" s="11" t="n"/>
      <c r="P2116" s="12" t="n"/>
      <c r="Q2116" s="11" t="n"/>
      <c r="R2116" s="12" t="n"/>
      <c r="S2116" s="11" t="n"/>
      <c r="T2116" s="12" t="n"/>
      <c r="U2116" s="12" t="n"/>
      <c r="V2116" s="12" t="n"/>
      <c r="W2116" s="13" t="n"/>
      <c r="X2116" s="14">
        <f>IF($AP2116="",IF($B2116="","",$H2116),IF(INDEX(職員マスタ!$B$6:$B$405,$AP2116)="",$H2116,INDEX(職員マスタ!$B$6:$B$405,$AP2116)))</f>
        <v/>
      </c>
      <c r="Y2116" s="14">
        <f>IF($AP2116="",IF($B2116="","",$R2116),IF(INDEX(職員マスタ!$C$6:$C$405,$AP2116)="",$R2116,INDEX(職員マスタ!$C$6:$C$405,$AP2116)))</f>
        <v/>
      </c>
      <c r="Z2116" s="14">
        <f>IF($AQ2116="","","R"&amp;$C2116&amp;"."&amp;$D2116)</f>
        <v/>
      </c>
      <c r="AA2116" s="15">
        <f>IF(IF($AP2116="",FALSE,INDEX(職員マスタ!$K$6:$K$405,$AP2116)&lt;&gt;""),INDEX(職員マスタ!$K$6:$K$405,$AP2116),IF(N($W2116)&gt;0,$W2116,""))</f>
        <v/>
      </c>
      <c r="AB2116" s="14">
        <f>IF(OR($E2116="",$AA2116=""),"",IF($E2116&gt;=$AA2116,"×",IF($E2116&gt;=$AA2116*設定!$C$5,"△","○")))</f>
        <v/>
      </c>
      <c r="AC2116" s="15">
        <f>IF($AB2116="","",IF($AB2116="×",0,IF($AB2116="○",ROUNDDOWN($E2116*設定!$C$4,0),ROUNDDOWN($E2116*ROUND((9*$AA2116-9*$E2116)/(10*$E2116),4),0))))</f>
        <v/>
      </c>
      <c r="AD2116" s="13" t="n"/>
      <c r="AE2116" s="15">
        <f>IF($B2116="","",IF($AD2116&lt;&gt;"",$AD2116,IF($AC2116="","",IF($AC2116&lt;=設定!$C$3,0,$AC2116))))</f>
        <v/>
      </c>
      <c r="AF2116" s="14">
        <f>IF($B2116="","",IF(AND($AG2116&lt;&gt;"",$AI2116="",$AL2116=""),"保留中",IF($AL2116&lt;&gt;"",IF(N($AE2116)&gt;0,"支給済","不支給"),IF($AE2116="","要確認",IF($AE2116=0,"不支給","未処理")))))</f>
        <v/>
      </c>
      <c r="AG2116" s="12" t="n"/>
      <c r="AH2116" s="11" t="n"/>
      <c r="AI2116" s="11" t="n"/>
      <c r="AJ2116" s="11" t="n"/>
      <c r="AK2116" s="14">
        <f>IF(AND($AF2116="保留中",$AH2116&lt;&gt;""),TODAY()-$AH2116,"")</f>
        <v/>
      </c>
      <c r="AL2116" s="12" t="n"/>
      <c r="AM2116" s="14">
        <f>IF($B2116="","",IF($AQ2116="","対象年月が未入力／","")&amp;IF($B2116="","",IF($AP2116="","職員マスタに未登録の職員番号／",IF($AA2116="","標準報酬月額が未登録／","")&amp;IF(AND($AQ2116&lt;&gt;"",OR(AND(INDEX(職員マスタ!$G$6:$G$405,$AP2116)&lt;&gt;"",INDEX(職員マスタ!$G$6:$G$405,$AP2116)&gt;EOMONTH($AQ2116,0)),AND(INDEX(職員マスタ!$H$6:$H$405,$AP2116)&lt;&gt;"",INDEX(職員マスタ!$H$6:$H$405,$AP2116)&lt;$AQ2116))),"対象月が時短期間外／","")&amp;IF(AND(INDEX(職員マスタ!$K$6:$K$405,$AP2116)&lt;&gt;"",N($W2116)&gt;0,INDEX(職員マスタ!$K$6:$K$405,$AP2116)&lt;&gt;$W2116),"標準報酬月額が申請書と相違（台帳"&amp;TEXT(INDEX(職員マスタ!$K$6:$K$405,$AP2116),"#,##0")&amp;"円／申請書"&amp;TEXT($W2116,"#,##0")&amp;"円）／","")&amp;IF(AND(INDEX(職員マスタ!$F$6:$F$405,$AP2116)&lt;&gt;"",$AQ2116&lt;&gt;"",INDEX(職員マスタ!$F$6:$F$405,$AP2116)&lt;$AQ2116),"対象月に子が2歳到達済／","")&amp;IF(AND($H2116&lt;&gt;"",INDEX(職員マスタ!$B$6:$B$405,$AP2116)&lt;&gt;"",SUBSTITUTE(SUBSTITUTE($H2116," ","")," ","")&lt;&gt;SUBSTITUTE(SUBSTITUTE(INDEX(職員マスタ!$B$6:$B$405,$AP2116)," ","")," ","")),"氏名がマスタと相違／","")&amp;IF(AND($Q2116&lt;&gt;"",INDEX(職員マスタ!$E$6:$E$405,$AP2116)&lt;&gt;"",$Q2116&lt;&gt;INDEX(職員マスタ!$E$6:$E$405,$AP2116)),"子の生年月日がマスタと相違／","")&amp;IF(AND($L2116&lt;&gt;"",INDEX(職員マスタ!$G$6:$G$405,$AP2116)&lt;&gt;"",$L2116&lt;&gt;INDEX(職員マスタ!$G$6:$G$405,$AP2116)),"時短開始日がマスタと相違／","")&amp;IF(AND($M2116&lt;&gt;"",INDEX(職員マスタ!$H$6:$H$405,$AP2116)&lt;&gt;"",$M2116&lt;&gt;INDEX(職員マスタ!$H$6:$H$405,$AP2116)),"時短終了日がマスタと相違／","")))&amp;IF(AND($B2116&lt;&gt;"",$E2116=""),"報酬額が未入力／","")&amp;IF(N($U2116)&gt;0,"申請書に入力エラーが残っています／","")&amp;IF(AND($B2116&lt;&gt;"",$AQ2116&lt;&gt;""),IF(COUNTIFS($B$6:$B$3005,$B2116,$C$6:$C$3005,$C2116,$D$6:$D$3005,$D2116)&gt;1,"同じ月の請求が重複しています／",""),"")&amp;IF(AND(N($E2116)&gt;0,$AB2116&lt;&gt;"",$AB2116&lt;&gt;"×",$AE2116=0,$AD2116=""),"計算額が下限以下のため不支給／",""))</f>
        <v/>
      </c>
      <c r="AN2116" s="12" t="n"/>
      <c r="AO2116" s="14">
        <f>IF($AF2116="保留中",COUNTIF($AF$6:$AF2116,"保留中"),"")</f>
        <v/>
      </c>
      <c r="AP2116" s="14">
        <f>IF($AQ2116="","",IF(SUMPRODUCT(MAX((職員マスタ!$A$6:$A$405=$B2116)*(((職員マスタ!$G$6:$G$405="")+(職員マスタ!$G$6:$G$405&lt;=EOMONTH($AQ2116,0)))&gt;0)*(((職員マスタ!$H$6:$H$405="")+(職員マスタ!$H$6:$H$405&gt;=$AQ2116))&gt;0)*(ROW(職員マスタ!$A$6:$A$405)-5)))&gt;0,SUMPRODUCT(MAX((職員マスタ!$A$6:$A$405=$B2116)*(((職員マスタ!$G$6:$G$405="")+(職員マスタ!$G$6:$G$405&lt;=EOMONTH($AQ2116,0)))&gt;0)*(((職員マスタ!$H$6:$H$405="")+(職員マスタ!$H$6:$H$405&gt;=$AQ2116))&gt;0)*(ROW(職員マスタ!$A$6:$A$405)-5))),IFERROR(MATCH($B2116,職員マスタ!$A$6:$A$405,0),"")))</f>
        <v/>
      </c>
      <c r="AQ2116" s="16">
        <f>IF(OR($B2116="",$C2116="",$D2116=""),"",DATE($C2116+2018,$D2116,1))</f>
        <v/>
      </c>
    </row>
    <row r="2117">
      <c r="A2117" s="11" t="n"/>
      <c r="B2117" s="12" t="n"/>
      <c r="C2117" s="12" t="n"/>
      <c r="D2117" s="12" t="n"/>
      <c r="E2117" s="13" t="n"/>
      <c r="F2117" s="12" t="n"/>
      <c r="G2117" s="13" t="n"/>
      <c r="H2117" s="12" t="n"/>
      <c r="I2117" s="12" t="n"/>
      <c r="J2117" s="12" t="n"/>
      <c r="K2117" s="12" t="n"/>
      <c r="L2117" s="11" t="n"/>
      <c r="M2117" s="11" t="n"/>
      <c r="N2117" s="11" t="n"/>
      <c r="O2117" s="11" t="n"/>
      <c r="P2117" s="12" t="n"/>
      <c r="Q2117" s="11" t="n"/>
      <c r="R2117" s="12" t="n"/>
      <c r="S2117" s="11" t="n"/>
      <c r="T2117" s="12" t="n"/>
      <c r="U2117" s="12" t="n"/>
      <c r="V2117" s="12" t="n"/>
      <c r="W2117" s="13" t="n"/>
      <c r="X2117" s="14">
        <f>IF($AP2117="",IF($B2117="","",$H2117),IF(INDEX(職員マスタ!$B$6:$B$405,$AP2117)="",$H2117,INDEX(職員マスタ!$B$6:$B$405,$AP2117)))</f>
        <v/>
      </c>
      <c r="Y2117" s="14">
        <f>IF($AP2117="",IF($B2117="","",$R2117),IF(INDEX(職員マスタ!$C$6:$C$405,$AP2117)="",$R2117,INDEX(職員マスタ!$C$6:$C$405,$AP2117)))</f>
        <v/>
      </c>
      <c r="Z2117" s="14">
        <f>IF($AQ2117="","","R"&amp;$C2117&amp;"."&amp;$D2117)</f>
        <v/>
      </c>
      <c r="AA2117" s="15">
        <f>IF(IF($AP2117="",FALSE,INDEX(職員マスタ!$K$6:$K$405,$AP2117)&lt;&gt;""),INDEX(職員マスタ!$K$6:$K$405,$AP2117),IF(N($W2117)&gt;0,$W2117,""))</f>
        <v/>
      </c>
      <c r="AB2117" s="14">
        <f>IF(OR($E2117="",$AA2117=""),"",IF($E2117&gt;=$AA2117,"×",IF($E2117&gt;=$AA2117*設定!$C$5,"△","○")))</f>
        <v/>
      </c>
      <c r="AC2117" s="15">
        <f>IF($AB2117="","",IF($AB2117="×",0,IF($AB2117="○",ROUNDDOWN($E2117*設定!$C$4,0),ROUNDDOWN($E2117*ROUND((9*$AA2117-9*$E2117)/(10*$E2117),4),0))))</f>
        <v/>
      </c>
      <c r="AD2117" s="13" t="n"/>
      <c r="AE2117" s="15">
        <f>IF($B2117="","",IF($AD2117&lt;&gt;"",$AD2117,IF($AC2117="","",IF($AC2117&lt;=設定!$C$3,0,$AC2117))))</f>
        <v/>
      </c>
      <c r="AF2117" s="14">
        <f>IF($B2117="","",IF(AND($AG2117&lt;&gt;"",$AI2117="",$AL2117=""),"保留中",IF($AL2117&lt;&gt;"",IF(N($AE2117)&gt;0,"支給済","不支給"),IF($AE2117="","要確認",IF($AE2117=0,"不支給","未処理")))))</f>
        <v/>
      </c>
      <c r="AG2117" s="12" t="n"/>
      <c r="AH2117" s="11" t="n"/>
      <c r="AI2117" s="11" t="n"/>
      <c r="AJ2117" s="11" t="n"/>
      <c r="AK2117" s="14">
        <f>IF(AND($AF2117="保留中",$AH2117&lt;&gt;""),TODAY()-$AH2117,"")</f>
        <v/>
      </c>
      <c r="AL2117" s="12" t="n"/>
      <c r="AM2117" s="14">
        <f>IF($B2117="","",IF($AQ2117="","対象年月が未入力／","")&amp;IF($B2117="","",IF($AP2117="","職員マスタに未登録の職員番号／",IF($AA2117="","標準報酬月額が未登録／","")&amp;IF(AND($AQ2117&lt;&gt;"",OR(AND(INDEX(職員マスタ!$G$6:$G$405,$AP2117)&lt;&gt;"",INDEX(職員マスタ!$G$6:$G$405,$AP2117)&gt;EOMONTH($AQ2117,0)),AND(INDEX(職員マスタ!$H$6:$H$405,$AP2117)&lt;&gt;"",INDEX(職員マスタ!$H$6:$H$405,$AP2117)&lt;$AQ2117))),"対象月が時短期間外／","")&amp;IF(AND(INDEX(職員マスタ!$K$6:$K$405,$AP2117)&lt;&gt;"",N($W2117)&gt;0,INDEX(職員マスタ!$K$6:$K$405,$AP2117)&lt;&gt;$W2117),"標準報酬月額が申請書と相違（台帳"&amp;TEXT(INDEX(職員マスタ!$K$6:$K$405,$AP2117),"#,##0")&amp;"円／申請書"&amp;TEXT($W2117,"#,##0")&amp;"円）／","")&amp;IF(AND(INDEX(職員マスタ!$F$6:$F$405,$AP2117)&lt;&gt;"",$AQ2117&lt;&gt;"",INDEX(職員マスタ!$F$6:$F$405,$AP2117)&lt;$AQ2117),"対象月に子が2歳到達済／","")&amp;IF(AND($H2117&lt;&gt;"",INDEX(職員マスタ!$B$6:$B$405,$AP2117)&lt;&gt;"",SUBSTITUTE(SUBSTITUTE($H2117," ","")," ","")&lt;&gt;SUBSTITUTE(SUBSTITUTE(INDEX(職員マスタ!$B$6:$B$405,$AP2117)," ","")," ","")),"氏名がマスタと相違／","")&amp;IF(AND($Q2117&lt;&gt;"",INDEX(職員マスタ!$E$6:$E$405,$AP2117)&lt;&gt;"",$Q2117&lt;&gt;INDEX(職員マスタ!$E$6:$E$405,$AP2117)),"子の生年月日がマスタと相違／","")&amp;IF(AND($L2117&lt;&gt;"",INDEX(職員マスタ!$G$6:$G$405,$AP2117)&lt;&gt;"",$L2117&lt;&gt;INDEX(職員マスタ!$G$6:$G$405,$AP2117)),"時短開始日がマスタと相違／","")&amp;IF(AND($M2117&lt;&gt;"",INDEX(職員マスタ!$H$6:$H$405,$AP2117)&lt;&gt;"",$M2117&lt;&gt;INDEX(職員マスタ!$H$6:$H$405,$AP2117)),"時短終了日がマスタと相違／","")))&amp;IF(AND($B2117&lt;&gt;"",$E2117=""),"報酬額が未入力／","")&amp;IF(N($U2117)&gt;0,"申請書に入力エラーが残っています／","")&amp;IF(AND($B2117&lt;&gt;"",$AQ2117&lt;&gt;""),IF(COUNTIFS($B$6:$B$3005,$B2117,$C$6:$C$3005,$C2117,$D$6:$D$3005,$D2117)&gt;1,"同じ月の請求が重複しています／",""),"")&amp;IF(AND(N($E2117)&gt;0,$AB2117&lt;&gt;"",$AB2117&lt;&gt;"×",$AE2117=0,$AD2117=""),"計算額が下限以下のため不支給／",""))</f>
        <v/>
      </c>
      <c r="AN2117" s="12" t="n"/>
      <c r="AO2117" s="14">
        <f>IF($AF2117="保留中",COUNTIF($AF$6:$AF2117,"保留中"),"")</f>
        <v/>
      </c>
      <c r="AP2117" s="14">
        <f>IF($AQ2117="","",IF(SUMPRODUCT(MAX((職員マスタ!$A$6:$A$405=$B2117)*(((職員マスタ!$G$6:$G$405="")+(職員マスタ!$G$6:$G$405&lt;=EOMONTH($AQ2117,0)))&gt;0)*(((職員マスタ!$H$6:$H$405="")+(職員マスタ!$H$6:$H$405&gt;=$AQ2117))&gt;0)*(ROW(職員マスタ!$A$6:$A$405)-5)))&gt;0,SUMPRODUCT(MAX((職員マスタ!$A$6:$A$405=$B2117)*(((職員マスタ!$G$6:$G$405="")+(職員マスタ!$G$6:$G$405&lt;=EOMONTH($AQ2117,0)))&gt;0)*(((職員マスタ!$H$6:$H$405="")+(職員マスタ!$H$6:$H$405&gt;=$AQ2117))&gt;0)*(ROW(職員マスタ!$A$6:$A$405)-5))),IFERROR(MATCH($B2117,職員マスタ!$A$6:$A$405,0),"")))</f>
        <v/>
      </c>
      <c r="AQ2117" s="16">
        <f>IF(OR($B2117="",$C2117="",$D2117=""),"",DATE($C2117+2018,$D2117,1))</f>
        <v/>
      </c>
    </row>
    <row r="2118">
      <c r="A2118" s="11" t="n"/>
      <c r="B2118" s="12" t="n"/>
      <c r="C2118" s="12" t="n"/>
      <c r="D2118" s="12" t="n"/>
      <c r="E2118" s="13" t="n"/>
      <c r="F2118" s="12" t="n"/>
      <c r="G2118" s="13" t="n"/>
      <c r="H2118" s="12" t="n"/>
      <c r="I2118" s="12" t="n"/>
      <c r="J2118" s="12" t="n"/>
      <c r="K2118" s="12" t="n"/>
      <c r="L2118" s="11" t="n"/>
      <c r="M2118" s="11" t="n"/>
      <c r="N2118" s="11" t="n"/>
      <c r="O2118" s="11" t="n"/>
      <c r="P2118" s="12" t="n"/>
      <c r="Q2118" s="11" t="n"/>
      <c r="R2118" s="12" t="n"/>
      <c r="S2118" s="11" t="n"/>
      <c r="T2118" s="12" t="n"/>
      <c r="U2118" s="12" t="n"/>
      <c r="V2118" s="12" t="n"/>
      <c r="W2118" s="13" t="n"/>
      <c r="X2118" s="14">
        <f>IF($AP2118="",IF($B2118="","",$H2118),IF(INDEX(職員マスタ!$B$6:$B$405,$AP2118)="",$H2118,INDEX(職員マスタ!$B$6:$B$405,$AP2118)))</f>
        <v/>
      </c>
      <c r="Y2118" s="14">
        <f>IF($AP2118="",IF($B2118="","",$R2118),IF(INDEX(職員マスタ!$C$6:$C$405,$AP2118)="",$R2118,INDEX(職員マスタ!$C$6:$C$405,$AP2118)))</f>
        <v/>
      </c>
      <c r="Z2118" s="14">
        <f>IF($AQ2118="","","R"&amp;$C2118&amp;"."&amp;$D2118)</f>
        <v/>
      </c>
      <c r="AA2118" s="15">
        <f>IF(IF($AP2118="",FALSE,INDEX(職員マスタ!$K$6:$K$405,$AP2118)&lt;&gt;""),INDEX(職員マスタ!$K$6:$K$405,$AP2118),IF(N($W2118)&gt;0,$W2118,""))</f>
        <v/>
      </c>
      <c r="AB2118" s="14">
        <f>IF(OR($E2118="",$AA2118=""),"",IF($E2118&gt;=$AA2118,"×",IF($E2118&gt;=$AA2118*設定!$C$5,"△","○")))</f>
        <v/>
      </c>
      <c r="AC2118" s="15">
        <f>IF($AB2118="","",IF($AB2118="×",0,IF($AB2118="○",ROUNDDOWN($E2118*設定!$C$4,0),ROUNDDOWN($E2118*ROUND((9*$AA2118-9*$E2118)/(10*$E2118),4),0))))</f>
        <v/>
      </c>
      <c r="AD2118" s="13" t="n"/>
      <c r="AE2118" s="15">
        <f>IF($B2118="","",IF($AD2118&lt;&gt;"",$AD2118,IF($AC2118="","",IF($AC2118&lt;=設定!$C$3,0,$AC2118))))</f>
        <v/>
      </c>
      <c r="AF2118" s="14">
        <f>IF($B2118="","",IF(AND($AG2118&lt;&gt;"",$AI2118="",$AL2118=""),"保留中",IF($AL2118&lt;&gt;"",IF(N($AE2118)&gt;0,"支給済","不支給"),IF($AE2118="","要確認",IF($AE2118=0,"不支給","未処理")))))</f>
        <v/>
      </c>
      <c r="AG2118" s="12" t="n"/>
      <c r="AH2118" s="11" t="n"/>
      <c r="AI2118" s="11" t="n"/>
      <c r="AJ2118" s="11" t="n"/>
      <c r="AK2118" s="14">
        <f>IF(AND($AF2118="保留中",$AH2118&lt;&gt;""),TODAY()-$AH2118,"")</f>
        <v/>
      </c>
      <c r="AL2118" s="12" t="n"/>
      <c r="AM2118" s="14">
        <f>IF($B2118="","",IF($AQ2118="","対象年月が未入力／","")&amp;IF($B2118="","",IF($AP2118="","職員マスタに未登録の職員番号／",IF($AA2118="","標準報酬月額が未登録／","")&amp;IF(AND($AQ2118&lt;&gt;"",OR(AND(INDEX(職員マスタ!$G$6:$G$405,$AP2118)&lt;&gt;"",INDEX(職員マスタ!$G$6:$G$405,$AP2118)&gt;EOMONTH($AQ2118,0)),AND(INDEX(職員マスタ!$H$6:$H$405,$AP2118)&lt;&gt;"",INDEX(職員マスタ!$H$6:$H$405,$AP2118)&lt;$AQ2118))),"対象月が時短期間外／","")&amp;IF(AND(INDEX(職員マスタ!$K$6:$K$405,$AP2118)&lt;&gt;"",N($W2118)&gt;0,INDEX(職員マスタ!$K$6:$K$405,$AP2118)&lt;&gt;$W2118),"標準報酬月額が申請書と相違（台帳"&amp;TEXT(INDEX(職員マスタ!$K$6:$K$405,$AP2118),"#,##0")&amp;"円／申請書"&amp;TEXT($W2118,"#,##0")&amp;"円）／","")&amp;IF(AND(INDEX(職員マスタ!$F$6:$F$405,$AP2118)&lt;&gt;"",$AQ2118&lt;&gt;"",INDEX(職員マスタ!$F$6:$F$405,$AP2118)&lt;$AQ2118),"対象月に子が2歳到達済／","")&amp;IF(AND($H2118&lt;&gt;"",INDEX(職員マスタ!$B$6:$B$405,$AP2118)&lt;&gt;"",SUBSTITUTE(SUBSTITUTE($H2118," ","")," ","")&lt;&gt;SUBSTITUTE(SUBSTITUTE(INDEX(職員マスタ!$B$6:$B$405,$AP2118)," ","")," ","")),"氏名がマスタと相違／","")&amp;IF(AND($Q2118&lt;&gt;"",INDEX(職員マスタ!$E$6:$E$405,$AP2118)&lt;&gt;"",$Q2118&lt;&gt;INDEX(職員マスタ!$E$6:$E$405,$AP2118)),"子の生年月日がマスタと相違／","")&amp;IF(AND($L2118&lt;&gt;"",INDEX(職員マスタ!$G$6:$G$405,$AP2118)&lt;&gt;"",$L2118&lt;&gt;INDEX(職員マスタ!$G$6:$G$405,$AP2118)),"時短開始日がマスタと相違／","")&amp;IF(AND($M2118&lt;&gt;"",INDEX(職員マスタ!$H$6:$H$405,$AP2118)&lt;&gt;"",$M2118&lt;&gt;INDEX(職員マスタ!$H$6:$H$405,$AP2118)),"時短終了日がマスタと相違／","")))&amp;IF(AND($B2118&lt;&gt;"",$E2118=""),"報酬額が未入力／","")&amp;IF(N($U2118)&gt;0,"申請書に入力エラーが残っています／","")&amp;IF(AND($B2118&lt;&gt;"",$AQ2118&lt;&gt;""),IF(COUNTIFS($B$6:$B$3005,$B2118,$C$6:$C$3005,$C2118,$D$6:$D$3005,$D2118)&gt;1,"同じ月の請求が重複しています／",""),"")&amp;IF(AND(N($E2118)&gt;0,$AB2118&lt;&gt;"",$AB2118&lt;&gt;"×",$AE2118=0,$AD2118=""),"計算額が下限以下のため不支給／",""))</f>
        <v/>
      </c>
      <c r="AN2118" s="12" t="n"/>
      <c r="AO2118" s="14">
        <f>IF($AF2118="保留中",COUNTIF($AF$6:$AF2118,"保留中"),"")</f>
        <v/>
      </c>
      <c r="AP2118" s="14">
        <f>IF($AQ2118="","",IF(SUMPRODUCT(MAX((職員マスタ!$A$6:$A$405=$B2118)*(((職員マスタ!$G$6:$G$405="")+(職員マスタ!$G$6:$G$405&lt;=EOMONTH($AQ2118,0)))&gt;0)*(((職員マスタ!$H$6:$H$405="")+(職員マスタ!$H$6:$H$405&gt;=$AQ2118))&gt;0)*(ROW(職員マスタ!$A$6:$A$405)-5)))&gt;0,SUMPRODUCT(MAX((職員マスタ!$A$6:$A$405=$B2118)*(((職員マスタ!$G$6:$G$405="")+(職員マスタ!$G$6:$G$405&lt;=EOMONTH($AQ2118,0)))&gt;0)*(((職員マスタ!$H$6:$H$405="")+(職員マスタ!$H$6:$H$405&gt;=$AQ2118))&gt;0)*(ROW(職員マスタ!$A$6:$A$405)-5))),IFERROR(MATCH($B2118,職員マスタ!$A$6:$A$405,0),"")))</f>
        <v/>
      </c>
      <c r="AQ2118" s="16">
        <f>IF(OR($B2118="",$C2118="",$D2118=""),"",DATE($C2118+2018,$D2118,1))</f>
        <v/>
      </c>
    </row>
    <row r="2119">
      <c r="A2119" s="11" t="n"/>
      <c r="B2119" s="12" t="n"/>
      <c r="C2119" s="12" t="n"/>
      <c r="D2119" s="12" t="n"/>
      <c r="E2119" s="13" t="n"/>
      <c r="F2119" s="12" t="n"/>
      <c r="G2119" s="13" t="n"/>
      <c r="H2119" s="12" t="n"/>
      <c r="I2119" s="12" t="n"/>
      <c r="J2119" s="12" t="n"/>
      <c r="K2119" s="12" t="n"/>
      <c r="L2119" s="11" t="n"/>
      <c r="M2119" s="11" t="n"/>
      <c r="N2119" s="11" t="n"/>
      <c r="O2119" s="11" t="n"/>
      <c r="P2119" s="12" t="n"/>
      <c r="Q2119" s="11" t="n"/>
      <c r="R2119" s="12" t="n"/>
      <c r="S2119" s="11" t="n"/>
      <c r="T2119" s="12" t="n"/>
      <c r="U2119" s="12" t="n"/>
      <c r="V2119" s="12" t="n"/>
      <c r="W2119" s="13" t="n"/>
      <c r="X2119" s="14">
        <f>IF($AP2119="",IF($B2119="","",$H2119),IF(INDEX(職員マスタ!$B$6:$B$405,$AP2119)="",$H2119,INDEX(職員マスタ!$B$6:$B$405,$AP2119)))</f>
        <v/>
      </c>
      <c r="Y2119" s="14">
        <f>IF($AP2119="",IF($B2119="","",$R2119),IF(INDEX(職員マスタ!$C$6:$C$405,$AP2119)="",$R2119,INDEX(職員マスタ!$C$6:$C$405,$AP2119)))</f>
        <v/>
      </c>
      <c r="Z2119" s="14">
        <f>IF($AQ2119="","","R"&amp;$C2119&amp;"."&amp;$D2119)</f>
        <v/>
      </c>
      <c r="AA2119" s="15">
        <f>IF(IF($AP2119="",FALSE,INDEX(職員マスタ!$K$6:$K$405,$AP2119)&lt;&gt;""),INDEX(職員マスタ!$K$6:$K$405,$AP2119),IF(N($W2119)&gt;0,$W2119,""))</f>
        <v/>
      </c>
      <c r="AB2119" s="14">
        <f>IF(OR($E2119="",$AA2119=""),"",IF($E2119&gt;=$AA2119,"×",IF($E2119&gt;=$AA2119*設定!$C$5,"△","○")))</f>
        <v/>
      </c>
      <c r="AC2119" s="15">
        <f>IF($AB2119="","",IF($AB2119="×",0,IF($AB2119="○",ROUNDDOWN($E2119*設定!$C$4,0),ROUNDDOWN($E2119*ROUND((9*$AA2119-9*$E2119)/(10*$E2119),4),0))))</f>
        <v/>
      </c>
      <c r="AD2119" s="13" t="n"/>
      <c r="AE2119" s="15">
        <f>IF($B2119="","",IF($AD2119&lt;&gt;"",$AD2119,IF($AC2119="","",IF($AC2119&lt;=設定!$C$3,0,$AC2119))))</f>
        <v/>
      </c>
      <c r="AF2119" s="14">
        <f>IF($B2119="","",IF(AND($AG2119&lt;&gt;"",$AI2119="",$AL2119=""),"保留中",IF($AL2119&lt;&gt;"",IF(N($AE2119)&gt;0,"支給済","不支給"),IF($AE2119="","要確認",IF($AE2119=0,"不支給","未処理")))))</f>
        <v/>
      </c>
      <c r="AG2119" s="12" t="n"/>
      <c r="AH2119" s="11" t="n"/>
      <c r="AI2119" s="11" t="n"/>
      <c r="AJ2119" s="11" t="n"/>
      <c r="AK2119" s="14">
        <f>IF(AND($AF2119="保留中",$AH2119&lt;&gt;""),TODAY()-$AH2119,"")</f>
        <v/>
      </c>
      <c r="AL2119" s="12" t="n"/>
      <c r="AM2119" s="14">
        <f>IF($B2119="","",IF($AQ2119="","対象年月が未入力／","")&amp;IF($B2119="","",IF($AP2119="","職員マスタに未登録の職員番号／",IF($AA2119="","標準報酬月額が未登録／","")&amp;IF(AND($AQ2119&lt;&gt;"",OR(AND(INDEX(職員マスタ!$G$6:$G$405,$AP2119)&lt;&gt;"",INDEX(職員マスタ!$G$6:$G$405,$AP2119)&gt;EOMONTH($AQ2119,0)),AND(INDEX(職員マスタ!$H$6:$H$405,$AP2119)&lt;&gt;"",INDEX(職員マスタ!$H$6:$H$405,$AP2119)&lt;$AQ2119))),"対象月が時短期間外／","")&amp;IF(AND(INDEX(職員マスタ!$K$6:$K$405,$AP2119)&lt;&gt;"",N($W2119)&gt;0,INDEX(職員マスタ!$K$6:$K$405,$AP2119)&lt;&gt;$W2119),"標準報酬月額が申請書と相違（台帳"&amp;TEXT(INDEX(職員マスタ!$K$6:$K$405,$AP2119),"#,##0")&amp;"円／申請書"&amp;TEXT($W2119,"#,##0")&amp;"円）／","")&amp;IF(AND(INDEX(職員マスタ!$F$6:$F$405,$AP2119)&lt;&gt;"",$AQ2119&lt;&gt;"",INDEX(職員マスタ!$F$6:$F$405,$AP2119)&lt;$AQ2119),"対象月に子が2歳到達済／","")&amp;IF(AND($H2119&lt;&gt;"",INDEX(職員マスタ!$B$6:$B$405,$AP2119)&lt;&gt;"",SUBSTITUTE(SUBSTITUTE($H2119," ","")," ","")&lt;&gt;SUBSTITUTE(SUBSTITUTE(INDEX(職員マスタ!$B$6:$B$405,$AP2119)," ","")," ","")),"氏名がマスタと相違／","")&amp;IF(AND($Q2119&lt;&gt;"",INDEX(職員マスタ!$E$6:$E$405,$AP2119)&lt;&gt;"",$Q2119&lt;&gt;INDEX(職員マスタ!$E$6:$E$405,$AP2119)),"子の生年月日がマスタと相違／","")&amp;IF(AND($L2119&lt;&gt;"",INDEX(職員マスタ!$G$6:$G$405,$AP2119)&lt;&gt;"",$L2119&lt;&gt;INDEX(職員マスタ!$G$6:$G$405,$AP2119)),"時短開始日がマスタと相違／","")&amp;IF(AND($M2119&lt;&gt;"",INDEX(職員マスタ!$H$6:$H$405,$AP2119)&lt;&gt;"",$M2119&lt;&gt;INDEX(職員マスタ!$H$6:$H$405,$AP2119)),"時短終了日がマスタと相違／","")))&amp;IF(AND($B2119&lt;&gt;"",$E2119=""),"報酬額が未入力／","")&amp;IF(N($U2119)&gt;0,"申請書に入力エラーが残っています／","")&amp;IF(AND($B2119&lt;&gt;"",$AQ2119&lt;&gt;""),IF(COUNTIFS($B$6:$B$3005,$B2119,$C$6:$C$3005,$C2119,$D$6:$D$3005,$D2119)&gt;1,"同じ月の請求が重複しています／",""),"")&amp;IF(AND(N($E2119)&gt;0,$AB2119&lt;&gt;"",$AB2119&lt;&gt;"×",$AE2119=0,$AD2119=""),"計算額が下限以下のため不支給／",""))</f>
        <v/>
      </c>
      <c r="AN2119" s="12" t="n"/>
      <c r="AO2119" s="14">
        <f>IF($AF2119="保留中",COUNTIF($AF$6:$AF2119,"保留中"),"")</f>
        <v/>
      </c>
      <c r="AP2119" s="14">
        <f>IF($AQ2119="","",IF(SUMPRODUCT(MAX((職員マスタ!$A$6:$A$405=$B2119)*(((職員マスタ!$G$6:$G$405="")+(職員マスタ!$G$6:$G$405&lt;=EOMONTH($AQ2119,0)))&gt;0)*(((職員マスタ!$H$6:$H$405="")+(職員マスタ!$H$6:$H$405&gt;=$AQ2119))&gt;0)*(ROW(職員マスタ!$A$6:$A$405)-5)))&gt;0,SUMPRODUCT(MAX((職員マスタ!$A$6:$A$405=$B2119)*(((職員マスタ!$G$6:$G$405="")+(職員マスタ!$G$6:$G$405&lt;=EOMONTH($AQ2119,0)))&gt;0)*(((職員マスタ!$H$6:$H$405="")+(職員マスタ!$H$6:$H$405&gt;=$AQ2119))&gt;0)*(ROW(職員マスタ!$A$6:$A$405)-5))),IFERROR(MATCH($B2119,職員マスタ!$A$6:$A$405,0),"")))</f>
        <v/>
      </c>
      <c r="AQ2119" s="16">
        <f>IF(OR($B2119="",$C2119="",$D2119=""),"",DATE($C2119+2018,$D2119,1))</f>
        <v/>
      </c>
    </row>
    <row r="2120">
      <c r="A2120" s="11" t="n"/>
      <c r="B2120" s="12" t="n"/>
      <c r="C2120" s="12" t="n"/>
      <c r="D2120" s="12" t="n"/>
      <c r="E2120" s="13" t="n"/>
      <c r="F2120" s="12" t="n"/>
      <c r="G2120" s="13" t="n"/>
      <c r="H2120" s="12" t="n"/>
      <c r="I2120" s="12" t="n"/>
      <c r="J2120" s="12" t="n"/>
      <c r="K2120" s="12" t="n"/>
      <c r="L2120" s="11" t="n"/>
      <c r="M2120" s="11" t="n"/>
      <c r="N2120" s="11" t="n"/>
      <c r="O2120" s="11" t="n"/>
      <c r="P2120" s="12" t="n"/>
      <c r="Q2120" s="11" t="n"/>
      <c r="R2120" s="12" t="n"/>
      <c r="S2120" s="11" t="n"/>
      <c r="T2120" s="12" t="n"/>
      <c r="U2120" s="12" t="n"/>
      <c r="V2120" s="12" t="n"/>
      <c r="W2120" s="13" t="n"/>
      <c r="X2120" s="14">
        <f>IF($AP2120="",IF($B2120="","",$H2120),IF(INDEX(職員マスタ!$B$6:$B$405,$AP2120)="",$H2120,INDEX(職員マスタ!$B$6:$B$405,$AP2120)))</f>
        <v/>
      </c>
      <c r="Y2120" s="14">
        <f>IF($AP2120="",IF($B2120="","",$R2120),IF(INDEX(職員マスタ!$C$6:$C$405,$AP2120)="",$R2120,INDEX(職員マスタ!$C$6:$C$405,$AP2120)))</f>
        <v/>
      </c>
      <c r="Z2120" s="14">
        <f>IF($AQ2120="","","R"&amp;$C2120&amp;"."&amp;$D2120)</f>
        <v/>
      </c>
      <c r="AA2120" s="15">
        <f>IF(IF($AP2120="",FALSE,INDEX(職員マスタ!$K$6:$K$405,$AP2120)&lt;&gt;""),INDEX(職員マスタ!$K$6:$K$405,$AP2120),IF(N($W2120)&gt;0,$W2120,""))</f>
        <v/>
      </c>
      <c r="AB2120" s="14">
        <f>IF(OR($E2120="",$AA2120=""),"",IF($E2120&gt;=$AA2120,"×",IF($E2120&gt;=$AA2120*設定!$C$5,"△","○")))</f>
        <v/>
      </c>
      <c r="AC2120" s="15">
        <f>IF($AB2120="","",IF($AB2120="×",0,IF($AB2120="○",ROUNDDOWN($E2120*設定!$C$4,0),ROUNDDOWN($E2120*ROUND((9*$AA2120-9*$E2120)/(10*$E2120),4),0))))</f>
        <v/>
      </c>
      <c r="AD2120" s="13" t="n"/>
      <c r="AE2120" s="15">
        <f>IF($B2120="","",IF($AD2120&lt;&gt;"",$AD2120,IF($AC2120="","",IF($AC2120&lt;=設定!$C$3,0,$AC2120))))</f>
        <v/>
      </c>
      <c r="AF2120" s="14">
        <f>IF($B2120="","",IF(AND($AG2120&lt;&gt;"",$AI2120="",$AL2120=""),"保留中",IF($AL2120&lt;&gt;"",IF(N($AE2120)&gt;0,"支給済","不支給"),IF($AE2120="","要確認",IF($AE2120=0,"不支給","未処理")))))</f>
        <v/>
      </c>
      <c r="AG2120" s="12" t="n"/>
      <c r="AH2120" s="11" t="n"/>
      <c r="AI2120" s="11" t="n"/>
      <c r="AJ2120" s="11" t="n"/>
      <c r="AK2120" s="14">
        <f>IF(AND($AF2120="保留中",$AH2120&lt;&gt;""),TODAY()-$AH2120,"")</f>
        <v/>
      </c>
      <c r="AL2120" s="12" t="n"/>
      <c r="AM2120" s="14">
        <f>IF($B2120="","",IF($AQ2120="","対象年月が未入力／","")&amp;IF($B2120="","",IF($AP2120="","職員マスタに未登録の職員番号／",IF($AA2120="","標準報酬月額が未登録／","")&amp;IF(AND($AQ2120&lt;&gt;"",OR(AND(INDEX(職員マスタ!$G$6:$G$405,$AP2120)&lt;&gt;"",INDEX(職員マスタ!$G$6:$G$405,$AP2120)&gt;EOMONTH($AQ2120,0)),AND(INDEX(職員マスタ!$H$6:$H$405,$AP2120)&lt;&gt;"",INDEX(職員マスタ!$H$6:$H$405,$AP2120)&lt;$AQ2120))),"対象月が時短期間外／","")&amp;IF(AND(INDEX(職員マスタ!$K$6:$K$405,$AP2120)&lt;&gt;"",N($W2120)&gt;0,INDEX(職員マスタ!$K$6:$K$405,$AP2120)&lt;&gt;$W2120),"標準報酬月額が申請書と相違（台帳"&amp;TEXT(INDEX(職員マスタ!$K$6:$K$405,$AP2120),"#,##0")&amp;"円／申請書"&amp;TEXT($W2120,"#,##0")&amp;"円）／","")&amp;IF(AND(INDEX(職員マスタ!$F$6:$F$405,$AP2120)&lt;&gt;"",$AQ2120&lt;&gt;"",INDEX(職員マスタ!$F$6:$F$405,$AP2120)&lt;$AQ2120),"対象月に子が2歳到達済／","")&amp;IF(AND($H2120&lt;&gt;"",INDEX(職員マスタ!$B$6:$B$405,$AP2120)&lt;&gt;"",SUBSTITUTE(SUBSTITUTE($H2120," ","")," ","")&lt;&gt;SUBSTITUTE(SUBSTITUTE(INDEX(職員マスタ!$B$6:$B$405,$AP2120)," ","")," ","")),"氏名がマスタと相違／","")&amp;IF(AND($Q2120&lt;&gt;"",INDEX(職員マスタ!$E$6:$E$405,$AP2120)&lt;&gt;"",$Q2120&lt;&gt;INDEX(職員マスタ!$E$6:$E$405,$AP2120)),"子の生年月日がマスタと相違／","")&amp;IF(AND($L2120&lt;&gt;"",INDEX(職員マスタ!$G$6:$G$405,$AP2120)&lt;&gt;"",$L2120&lt;&gt;INDEX(職員マスタ!$G$6:$G$405,$AP2120)),"時短開始日がマスタと相違／","")&amp;IF(AND($M2120&lt;&gt;"",INDEX(職員マスタ!$H$6:$H$405,$AP2120)&lt;&gt;"",$M2120&lt;&gt;INDEX(職員マスタ!$H$6:$H$405,$AP2120)),"時短終了日がマスタと相違／","")))&amp;IF(AND($B2120&lt;&gt;"",$E2120=""),"報酬額が未入力／","")&amp;IF(N($U2120)&gt;0,"申請書に入力エラーが残っています／","")&amp;IF(AND($B2120&lt;&gt;"",$AQ2120&lt;&gt;""),IF(COUNTIFS($B$6:$B$3005,$B2120,$C$6:$C$3005,$C2120,$D$6:$D$3005,$D2120)&gt;1,"同じ月の請求が重複しています／",""),"")&amp;IF(AND(N($E2120)&gt;0,$AB2120&lt;&gt;"",$AB2120&lt;&gt;"×",$AE2120=0,$AD2120=""),"計算額が下限以下のため不支給／",""))</f>
        <v/>
      </c>
      <c r="AN2120" s="12" t="n"/>
      <c r="AO2120" s="14">
        <f>IF($AF2120="保留中",COUNTIF($AF$6:$AF2120,"保留中"),"")</f>
        <v/>
      </c>
      <c r="AP2120" s="14">
        <f>IF($AQ2120="","",IF(SUMPRODUCT(MAX((職員マスタ!$A$6:$A$405=$B2120)*(((職員マスタ!$G$6:$G$405="")+(職員マスタ!$G$6:$G$405&lt;=EOMONTH($AQ2120,0)))&gt;0)*(((職員マスタ!$H$6:$H$405="")+(職員マスタ!$H$6:$H$405&gt;=$AQ2120))&gt;0)*(ROW(職員マスタ!$A$6:$A$405)-5)))&gt;0,SUMPRODUCT(MAX((職員マスタ!$A$6:$A$405=$B2120)*(((職員マスタ!$G$6:$G$405="")+(職員マスタ!$G$6:$G$405&lt;=EOMONTH($AQ2120,0)))&gt;0)*(((職員マスタ!$H$6:$H$405="")+(職員マスタ!$H$6:$H$405&gt;=$AQ2120))&gt;0)*(ROW(職員マスタ!$A$6:$A$405)-5))),IFERROR(MATCH($B2120,職員マスタ!$A$6:$A$405,0),"")))</f>
        <v/>
      </c>
      <c r="AQ2120" s="16">
        <f>IF(OR($B2120="",$C2120="",$D2120=""),"",DATE($C2120+2018,$D2120,1))</f>
        <v/>
      </c>
    </row>
    <row r="2121">
      <c r="A2121" s="11" t="n"/>
      <c r="B2121" s="12" t="n"/>
      <c r="C2121" s="12" t="n"/>
      <c r="D2121" s="12" t="n"/>
      <c r="E2121" s="13" t="n"/>
      <c r="F2121" s="12" t="n"/>
      <c r="G2121" s="13" t="n"/>
      <c r="H2121" s="12" t="n"/>
      <c r="I2121" s="12" t="n"/>
      <c r="J2121" s="12" t="n"/>
      <c r="K2121" s="12" t="n"/>
      <c r="L2121" s="11" t="n"/>
      <c r="M2121" s="11" t="n"/>
      <c r="N2121" s="11" t="n"/>
      <c r="O2121" s="11" t="n"/>
      <c r="P2121" s="12" t="n"/>
      <c r="Q2121" s="11" t="n"/>
      <c r="R2121" s="12" t="n"/>
      <c r="S2121" s="11" t="n"/>
      <c r="T2121" s="12" t="n"/>
      <c r="U2121" s="12" t="n"/>
      <c r="V2121" s="12" t="n"/>
      <c r="W2121" s="13" t="n"/>
      <c r="X2121" s="14">
        <f>IF($AP2121="",IF($B2121="","",$H2121),IF(INDEX(職員マスタ!$B$6:$B$405,$AP2121)="",$H2121,INDEX(職員マスタ!$B$6:$B$405,$AP2121)))</f>
        <v/>
      </c>
      <c r="Y2121" s="14">
        <f>IF($AP2121="",IF($B2121="","",$R2121),IF(INDEX(職員マスタ!$C$6:$C$405,$AP2121)="",$R2121,INDEX(職員マスタ!$C$6:$C$405,$AP2121)))</f>
        <v/>
      </c>
      <c r="Z2121" s="14">
        <f>IF($AQ2121="","","R"&amp;$C2121&amp;"."&amp;$D2121)</f>
        <v/>
      </c>
      <c r="AA2121" s="15">
        <f>IF(IF($AP2121="",FALSE,INDEX(職員マスタ!$K$6:$K$405,$AP2121)&lt;&gt;""),INDEX(職員マスタ!$K$6:$K$405,$AP2121),IF(N($W2121)&gt;0,$W2121,""))</f>
        <v/>
      </c>
      <c r="AB2121" s="14">
        <f>IF(OR($E2121="",$AA2121=""),"",IF($E2121&gt;=$AA2121,"×",IF($E2121&gt;=$AA2121*設定!$C$5,"△","○")))</f>
        <v/>
      </c>
      <c r="AC2121" s="15">
        <f>IF($AB2121="","",IF($AB2121="×",0,IF($AB2121="○",ROUNDDOWN($E2121*設定!$C$4,0),ROUNDDOWN($E2121*ROUND((9*$AA2121-9*$E2121)/(10*$E2121),4),0))))</f>
        <v/>
      </c>
      <c r="AD2121" s="13" t="n"/>
      <c r="AE2121" s="15">
        <f>IF($B2121="","",IF($AD2121&lt;&gt;"",$AD2121,IF($AC2121="","",IF($AC2121&lt;=設定!$C$3,0,$AC2121))))</f>
        <v/>
      </c>
      <c r="AF2121" s="14">
        <f>IF($B2121="","",IF(AND($AG2121&lt;&gt;"",$AI2121="",$AL2121=""),"保留中",IF($AL2121&lt;&gt;"",IF(N($AE2121)&gt;0,"支給済","不支給"),IF($AE2121="","要確認",IF($AE2121=0,"不支給","未処理")))))</f>
        <v/>
      </c>
      <c r="AG2121" s="12" t="n"/>
      <c r="AH2121" s="11" t="n"/>
      <c r="AI2121" s="11" t="n"/>
      <c r="AJ2121" s="11" t="n"/>
      <c r="AK2121" s="14">
        <f>IF(AND($AF2121="保留中",$AH2121&lt;&gt;""),TODAY()-$AH2121,"")</f>
        <v/>
      </c>
      <c r="AL2121" s="12" t="n"/>
      <c r="AM2121" s="14">
        <f>IF($B2121="","",IF($AQ2121="","対象年月が未入力／","")&amp;IF($B2121="","",IF($AP2121="","職員マスタに未登録の職員番号／",IF($AA2121="","標準報酬月額が未登録／","")&amp;IF(AND($AQ2121&lt;&gt;"",OR(AND(INDEX(職員マスタ!$G$6:$G$405,$AP2121)&lt;&gt;"",INDEX(職員マスタ!$G$6:$G$405,$AP2121)&gt;EOMONTH($AQ2121,0)),AND(INDEX(職員マスタ!$H$6:$H$405,$AP2121)&lt;&gt;"",INDEX(職員マスタ!$H$6:$H$405,$AP2121)&lt;$AQ2121))),"対象月が時短期間外／","")&amp;IF(AND(INDEX(職員マスタ!$K$6:$K$405,$AP2121)&lt;&gt;"",N($W2121)&gt;0,INDEX(職員マスタ!$K$6:$K$405,$AP2121)&lt;&gt;$W2121),"標準報酬月額が申請書と相違（台帳"&amp;TEXT(INDEX(職員マスタ!$K$6:$K$405,$AP2121),"#,##0")&amp;"円／申請書"&amp;TEXT($W2121,"#,##0")&amp;"円）／","")&amp;IF(AND(INDEX(職員マスタ!$F$6:$F$405,$AP2121)&lt;&gt;"",$AQ2121&lt;&gt;"",INDEX(職員マスタ!$F$6:$F$405,$AP2121)&lt;$AQ2121),"対象月に子が2歳到達済／","")&amp;IF(AND($H2121&lt;&gt;"",INDEX(職員マスタ!$B$6:$B$405,$AP2121)&lt;&gt;"",SUBSTITUTE(SUBSTITUTE($H2121," ","")," ","")&lt;&gt;SUBSTITUTE(SUBSTITUTE(INDEX(職員マスタ!$B$6:$B$405,$AP2121)," ","")," ","")),"氏名がマスタと相違／","")&amp;IF(AND($Q2121&lt;&gt;"",INDEX(職員マスタ!$E$6:$E$405,$AP2121)&lt;&gt;"",$Q2121&lt;&gt;INDEX(職員マスタ!$E$6:$E$405,$AP2121)),"子の生年月日がマスタと相違／","")&amp;IF(AND($L2121&lt;&gt;"",INDEX(職員マスタ!$G$6:$G$405,$AP2121)&lt;&gt;"",$L2121&lt;&gt;INDEX(職員マスタ!$G$6:$G$405,$AP2121)),"時短開始日がマスタと相違／","")&amp;IF(AND($M2121&lt;&gt;"",INDEX(職員マスタ!$H$6:$H$405,$AP2121)&lt;&gt;"",$M2121&lt;&gt;INDEX(職員マスタ!$H$6:$H$405,$AP2121)),"時短終了日がマスタと相違／","")))&amp;IF(AND($B2121&lt;&gt;"",$E2121=""),"報酬額が未入力／","")&amp;IF(N($U2121)&gt;0,"申請書に入力エラーが残っています／","")&amp;IF(AND($B2121&lt;&gt;"",$AQ2121&lt;&gt;""),IF(COUNTIFS($B$6:$B$3005,$B2121,$C$6:$C$3005,$C2121,$D$6:$D$3005,$D2121)&gt;1,"同じ月の請求が重複しています／",""),"")&amp;IF(AND(N($E2121)&gt;0,$AB2121&lt;&gt;"",$AB2121&lt;&gt;"×",$AE2121=0,$AD2121=""),"計算額が下限以下のため不支給／",""))</f>
        <v/>
      </c>
      <c r="AN2121" s="12" t="n"/>
      <c r="AO2121" s="14">
        <f>IF($AF2121="保留中",COUNTIF($AF$6:$AF2121,"保留中"),"")</f>
        <v/>
      </c>
      <c r="AP2121" s="14">
        <f>IF($AQ2121="","",IF(SUMPRODUCT(MAX((職員マスタ!$A$6:$A$405=$B2121)*(((職員マスタ!$G$6:$G$405="")+(職員マスタ!$G$6:$G$405&lt;=EOMONTH($AQ2121,0)))&gt;0)*(((職員マスタ!$H$6:$H$405="")+(職員マスタ!$H$6:$H$405&gt;=$AQ2121))&gt;0)*(ROW(職員マスタ!$A$6:$A$405)-5)))&gt;0,SUMPRODUCT(MAX((職員マスタ!$A$6:$A$405=$B2121)*(((職員マスタ!$G$6:$G$405="")+(職員マスタ!$G$6:$G$405&lt;=EOMONTH($AQ2121,0)))&gt;0)*(((職員マスタ!$H$6:$H$405="")+(職員マスタ!$H$6:$H$405&gt;=$AQ2121))&gt;0)*(ROW(職員マスタ!$A$6:$A$405)-5))),IFERROR(MATCH($B2121,職員マスタ!$A$6:$A$405,0),"")))</f>
        <v/>
      </c>
      <c r="AQ2121" s="16">
        <f>IF(OR($B2121="",$C2121="",$D2121=""),"",DATE($C2121+2018,$D2121,1))</f>
        <v/>
      </c>
    </row>
    <row r="2122">
      <c r="A2122" s="11" t="n"/>
      <c r="B2122" s="12" t="n"/>
      <c r="C2122" s="12" t="n"/>
      <c r="D2122" s="12" t="n"/>
      <c r="E2122" s="13" t="n"/>
      <c r="F2122" s="12" t="n"/>
      <c r="G2122" s="13" t="n"/>
      <c r="H2122" s="12" t="n"/>
      <c r="I2122" s="12" t="n"/>
      <c r="J2122" s="12" t="n"/>
      <c r="K2122" s="12" t="n"/>
      <c r="L2122" s="11" t="n"/>
      <c r="M2122" s="11" t="n"/>
      <c r="N2122" s="11" t="n"/>
      <c r="O2122" s="11" t="n"/>
      <c r="P2122" s="12" t="n"/>
      <c r="Q2122" s="11" t="n"/>
      <c r="R2122" s="12" t="n"/>
      <c r="S2122" s="11" t="n"/>
      <c r="T2122" s="12" t="n"/>
      <c r="U2122" s="12" t="n"/>
      <c r="V2122" s="12" t="n"/>
      <c r="W2122" s="13" t="n"/>
      <c r="X2122" s="14">
        <f>IF($AP2122="",IF($B2122="","",$H2122),IF(INDEX(職員マスタ!$B$6:$B$405,$AP2122)="",$H2122,INDEX(職員マスタ!$B$6:$B$405,$AP2122)))</f>
        <v/>
      </c>
      <c r="Y2122" s="14">
        <f>IF($AP2122="",IF($B2122="","",$R2122),IF(INDEX(職員マスタ!$C$6:$C$405,$AP2122)="",$R2122,INDEX(職員マスタ!$C$6:$C$405,$AP2122)))</f>
        <v/>
      </c>
      <c r="Z2122" s="14">
        <f>IF($AQ2122="","","R"&amp;$C2122&amp;"."&amp;$D2122)</f>
        <v/>
      </c>
      <c r="AA2122" s="15">
        <f>IF(IF($AP2122="",FALSE,INDEX(職員マスタ!$K$6:$K$405,$AP2122)&lt;&gt;""),INDEX(職員マスタ!$K$6:$K$405,$AP2122),IF(N($W2122)&gt;0,$W2122,""))</f>
        <v/>
      </c>
      <c r="AB2122" s="14">
        <f>IF(OR($E2122="",$AA2122=""),"",IF($E2122&gt;=$AA2122,"×",IF($E2122&gt;=$AA2122*設定!$C$5,"△","○")))</f>
        <v/>
      </c>
      <c r="AC2122" s="15">
        <f>IF($AB2122="","",IF($AB2122="×",0,IF($AB2122="○",ROUNDDOWN($E2122*設定!$C$4,0),ROUNDDOWN($E2122*ROUND((9*$AA2122-9*$E2122)/(10*$E2122),4),0))))</f>
        <v/>
      </c>
      <c r="AD2122" s="13" t="n"/>
      <c r="AE2122" s="15">
        <f>IF($B2122="","",IF($AD2122&lt;&gt;"",$AD2122,IF($AC2122="","",IF($AC2122&lt;=設定!$C$3,0,$AC2122))))</f>
        <v/>
      </c>
      <c r="AF2122" s="14">
        <f>IF($B2122="","",IF(AND($AG2122&lt;&gt;"",$AI2122="",$AL2122=""),"保留中",IF($AL2122&lt;&gt;"",IF(N($AE2122)&gt;0,"支給済","不支給"),IF($AE2122="","要確認",IF($AE2122=0,"不支給","未処理")))))</f>
        <v/>
      </c>
      <c r="AG2122" s="12" t="n"/>
      <c r="AH2122" s="11" t="n"/>
      <c r="AI2122" s="11" t="n"/>
      <c r="AJ2122" s="11" t="n"/>
      <c r="AK2122" s="14">
        <f>IF(AND($AF2122="保留中",$AH2122&lt;&gt;""),TODAY()-$AH2122,"")</f>
        <v/>
      </c>
      <c r="AL2122" s="12" t="n"/>
      <c r="AM2122" s="14">
        <f>IF($B2122="","",IF($AQ2122="","対象年月が未入力／","")&amp;IF($B2122="","",IF($AP2122="","職員マスタに未登録の職員番号／",IF($AA2122="","標準報酬月額が未登録／","")&amp;IF(AND($AQ2122&lt;&gt;"",OR(AND(INDEX(職員マスタ!$G$6:$G$405,$AP2122)&lt;&gt;"",INDEX(職員マスタ!$G$6:$G$405,$AP2122)&gt;EOMONTH($AQ2122,0)),AND(INDEX(職員マスタ!$H$6:$H$405,$AP2122)&lt;&gt;"",INDEX(職員マスタ!$H$6:$H$405,$AP2122)&lt;$AQ2122))),"対象月が時短期間外／","")&amp;IF(AND(INDEX(職員マスタ!$K$6:$K$405,$AP2122)&lt;&gt;"",N($W2122)&gt;0,INDEX(職員マスタ!$K$6:$K$405,$AP2122)&lt;&gt;$W2122),"標準報酬月額が申請書と相違（台帳"&amp;TEXT(INDEX(職員マスタ!$K$6:$K$405,$AP2122),"#,##0")&amp;"円／申請書"&amp;TEXT($W2122,"#,##0")&amp;"円）／","")&amp;IF(AND(INDEX(職員マスタ!$F$6:$F$405,$AP2122)&lt;&gt;"",$AQ2122&lt;&gt;"",INDEX(職員マスタ!$F$6:$F$405,$AP2122)&lt;$AQ2122),"対象月に子が2歳到達済／","")&amp;IF(AND($H2122&lt;&gt;"",INDEX(職員マスタ!$B$6:$B$405,$AP2122)&lt;&gt;"",SUBSTITUTE(SUBSTITUTE($H2122," ","")," ","")&lt;&gt;SUBSTITUTE(SUBSTITUTE(INDEX(職員マスタ!$B$6:$B$405,$AP2122)," ","")," ","")),"氏名がマスタと相違／","")&amp;IF(AND($Q2122&lt;&gt;"",INDEX(職員マスタ!$E$6:$E$405,$AP2122)&lt;&gt;"",$Q2122&lt;&gt;INDEX(職員マスタ!$E$6:$E$405,$AP2122)),"子の生年月日がマスタと相違／","")&amp;IF(AND($L2122&lt;&gt;"",INDEX(職員マスタ!$G$6:$G$405,$AP2122)&lt;&gt;"",$L2122&lt;&gt;INDEX(職員マスタ!$G$6:$G$405,$AP2122)),"時短開始日がマスタと相違／","")&amp;IF(AND($M2122&lt;&gt;"",INDEX(職員マスタ!$H$6:$H$405,$AP2122)&lt;&gt;"",$M2122&lt;&gt;INDEX(職員マスタ!$H$6:$H$405,$AP2122)),"時短終了日がマスタと相違／","")))&amp;IF(AND($B2122&lt;&gt;"",$E2122=""),"報酬額が未入力／","")&amp;IF(N($U2122)&gt;0,"申請書に入力エラーが残っています／","")&amp;IF(AND($B2122&lt;&gt;"",$AQ2122&lt;&gt;""),IF(COUNTIFS($B$6:$B$3005,$B2122,$C$6:$C$3005,$C2122,$D$6:$D$3005,$D2122)&gt;1,"同じ月の請求が重複しています／",""),"")&amp;IF(AND(N($E2122)&gt;0,$AB2122&lt;&gt;"",$AB2122&lt;&gt;"×",$AE2122=0,$AD2122=""),"計算額が下限以下のため不支給／",""))</f>
        <v/>
      </c>
      <c r="AN2122" s="12" t="n"/>
      <c r="AO2122" s="14">
        <f>IF($AF2122="保留中",COUNTIF($AF$6:$AF2122,"保留中"),"")</f>
        <v/>
      </c>
      <c r="AP2122" s="14">
        <f>IF($AQ2122="","",IF(SUMPRODUCT(MAX((職員マスタ!$A$6:$A$405=$B2122)*(((職員マスタ!$G$6:$G$405="")+(職員マスタ!$G$6:$G$405&lt;=EOMONTH($AQ2122,0)))&gt;0)*(((職員マスタ!$H$6:$H$405="")+(職員マスタ!$H$6:$H$405&gt;=$AQ2122))&gt;0)*(ROW(職員マスタ!$A$6:$A$405)-5)))&gt;0,SUMPRODUCT(MAX((職員マスタ!$A$6:$A$405=$B2122)*(((職員マスタ!$G$6:$G$405="")+(職員マスタ!$G$6:$G$405&lt;=EOMONTH($AQ2122,0)))&gt;0)*(((職員マスタ!$H$6:$H$405="")+(職員マスタ!$H$6:$H$405&gt;=$AQ2122))&gt;0)*(ROW(職員マスタ!$A$6:$A$405)-5))),IFERROR(MATCH($B2122,職員マスタ!$A$6:$A$405,0),"")))</f>
        <v/>
      </c>
      <c r="AQ2122" s="16">
        <f>IF(OR($B2122="",$C2122="",$D2122=""),"",DATE($C2122+2018,$D2122,1))</f>
        <v/>
      </c>
    </row>
    <row r="2123">
      <c r="A2123" s="11" t="n"/>
      <c r="B2123" s="12" t="n"/>
      <c r="C2123" s="12" t="n"/>
      <c r="D2123" s="12" t="n"/>
      <c r="E2123" s="13" t="n"/>
      <c r="F2123" s="12" t="n"/>
      <c r="G2123" s="13" t="n"/>
      <c r="H2123" s="12" t="n"/>
      <c r="I2123" s="12" t="n"/>
      <c r="J2123" s="12" t="n"/>
      <c r="K2123" s="12" t="n"/>
      <c r="L2123" s="11" t="n"/>
      <c r="M2123" s="11" t="n"/>
      <c r="N2123" s="11" t="n"/>
      <c r="O2123" s="11" t="n"/>
      <c r="P2123" s="12" t="n"/>
      <c r="Q2123" s="11" t="n"/>
      <c r="R2123" s="12" t="n"/>
      <c r="S2123" s="11" t="n"/>
      <c r="T2123" s="12" t="n"/>
      <c r="U2123" s="12" t="n"/>
      <c r="V2123" s="12" t="n"/>
      <c r="W2123" s="13" t="n"/>
      <c r="X2123" s="14">
        <f>IF($AP2123="",IF($B2123="","",$H2123),IF(INDEX(職員マスタ!$B$6:$B$405,$AP2123)="",$H2123,INDEX(職員マスタ!$B$6:$B$405,$AP2123)))</f>
        <v/>
      </c>
      <c r="Y2123" s="14">
        <f>IF($AP2123="",IF($B2123="","",$R2123),IF(INDEX(職員マスタ!$C$6:$C$405,$AP2123)="",$R2123,INDEX(職員マスタ!$C$6:$C$405,$AP2123)))</f>
        <v/>
      </c>
      <c r="Z2123" s="14">
        <f>IF($AQ2123="","","R"&amp;$C2123&amp;"."&amp;$D2123)</f>
        <v/>
      </c>
      <c r="AA2123" s="15">
        <f>IF(IF($AP2123="",FALSE,INDEX(職員マスタ!$K$6:$K$405,$AP2123)&lt;&gt;""),INDEX(職員マスタ!$K$6:$K$405,$AP2123),IF(N($W2123)&gt;0,$W2123,""))</f>
        <v/>
      </c>
      <c r="AB2123" s="14">
        <f>IF(OR($E2123="",$AA2123=""),"",IF($E2123&gt;=$AA2123,"×",IF($E2123&gt;=$AA2123*設定!$C$5,"△","○")))</f>
        <v/>
      </c>
      <c r="AC2123" s="15">
        <f>IF($AB2123="","",IF($AB2123="×",0,IF($AB2123="○",ROUNDDOWN($E2123*設定!$C$4,0),ROUNDDOWN($E2123*ROUND((9*$AA2123-9*$E2123)/(10*$E2123),4),0))))</f>
        <v/>
      </c>
      <c r="AD2123" s="13" t="n"/>
      <c r="AE2123" s="15">
        <f>IF($B2123="","",IF($AD2123&lt;&gt;"",$AD2123,IF($AC2123="","",IF($AC2123&lt;=設定!$C$3,0,$AC2123))))</f>
        <v/>
      </c>
      <c r="AF2123" s="14">
        <f>IF($B2123="","",IF(AND($AG2123&lt;&gt;"",$AI2123="",$AL2123=""),"保留中",IF($AL2123&lt;&gt;"",IF(N($AE2123)&gt;0,"支給済","不支給"),IF($AE2123="","要確認",IF($AE2123=0,"不支給","未処理")))))</f>
        <v/>
      </c>
      <c r="AG2123" s="12" t="n"/>
      <c r="AH2123" s="11" t="n"/>
      <c r="AI2123" s="11" t="n"/>
      <c r="AJ2123" s="11" t="n"/>
      <c r="AK2123" s="14">
        <f>IF(AND($AF2123="保留中",$AH2123&lt;&gt;""),TODAY()-$AH2123,"")</f>
        <v/>
      </c>
      <c r="AL2123" s="12" t="n"/>
      <c r="AM2123" s="14">
        <f>IF($B2123="","",IF($AQ2123="","対象年月が未入力／","")&amp;IF($B2123="","",IF($AP2123="","職員マスタに未登録の職員番号／",IF($AA2123="","標準報酬月額が未登録／","")&amp;IF(AND($AQ2123&lt;&gt;"",OR(AND(INDEX(職員マスタ!$G$6:$G$405,$AP2123)&lt;&gt;"",INDEX(職員マスタ!$G$6:$G$405,$AP2123)&gt;EOMONTH($AQ2123,0)),AND(INDEX(職員マスタ!$H$6:$H$405,$AP2123)&lt;&gt;"",INDEX(職員マスタ!$H$6:$H$405,$AP2123)&lt;$AQ2123))),"対象月が時短期間外／","")&amp;IF(AND(INDEX(職員マスタ!$K$6:$K$405,$AP2123)&lt;&gt;"",N($W2123)&gt;0,INDEX(職員マスタ!$K$6:$K$405,$AP2123)&lt;&gt;$W2123),"標準報酬月額が申請書と相違（台帳"&amp;TEXT(INDEX(職員マスタ!$K$6:$K$405,$AP2123),"#,##0")&amp;"円／申請書"&amp;TEXT($W2123,"#,##0")&amp;"円）／","")&amp;IF(AND(INDEX(職員マスタ!$F$6:$F$405,$AP2123)&lt;&gt;"",$AQ2123&lt;&gt;"",INDEX(職員マスタ!$F$6:$F$405,$AP2123)&lt;$AQ2123),"対象月に子が2歳到達済／","")&amp;IF(AND($H2123&lt;&gt;"",INDEX(職員マスタ!$B$6:$B$405,$AP2123)&lt;&gt;"",SUBSTITUTE(SUBSTITUTE($H2123," ","")," ","")&lt;&gt;SUBSTITUTE(SUBSTITUTE(INDEX(職員マスタ!$B$6:$B$405,$AP2123)," ","")," ","")),"氏名がマスタと相違／","")&amp;IF(AND($Q2123&lt;&gt;"",INDEX(職員マスタ!$E$6:$E$405,$AP2123)&lt;&gt;"",$Q2123&lt;&gt;INDEX(職員マスタ!$E$6:$E$405,$AP2123)),"子の生年月日がマスタと相違／","")&amp;IF(AND($L2123&lt;&gt;"",INDEX(職員マスタ!$G$6:$G$405,$AP2123)&lt;&gt;"",$L2123&lt;&gt;INDEX(職員マスタ!$G$6:$G$405,$AP2123)),"時短開始日がマスタと相違／","")&amp;IF(AND($M2123&lt;&gt;"",INDEX(職員マスタ!$H$6:$H$405,$AP2123)&lt;&gt;"",$M2123&lt;&gt;INDEX(職員マスタ!$H$6:$H$405,$AP2123)),"時短終了日がマスタと相違／","")))&amp;IF(AND($B2123&lt;&gt;"",$E2123=""),"報酬額が未入力／","")&amp;IF(N($U2123)&gt;0,"申請書に入力エラーが残っています／","")&amp;IF(AND($B2123&lt;&gt;"",$AQ2123&lt;&gt;""),IF(COUNTIFS($B$6:$B$3005,$B2123,$C$6:$C$3005,$C2123,$D$6:$D$3005,$D2123)&gt;1,"同じ月の請求が重複しています／",""),"")&amp;IF(AND(N($E2123)&gt;0,$AB2123&lt;&gt;"",$AB2123&lt;&gt;"×",$AE2123=0,$AD2123=""),"計算額が下限以下のため不支給／",""))</f>
        <v/>
      </c>
      <c r="AN2123" s="12" t="n"/>
      <c r="AO2123" s="14">
        <f>IF($AF2123="保留中",COUNTIF($AF$6:$AF2123,"保留中"),"")</f>
        <v/>
      </c>
      <c r="AP2123" s="14">
        <f>IF($AQ2123="","",IF(SUMPRODUCT(MAX((職員マスタ!$A$6:$A$405=$B2123)*(((職員マスタ!$G$6:$G$405="")+(職員マスタ!$G$6:$G$405&lt;=EOMONTH($AQ2123,0)))&gt;0)*(((職員マスタ!$H$6:$H$405="")+(職員マスタ!$H$6:$H$405&gt;=$AQ2123))&gt;0)*(ROW(職員マスタ!$A$6:$A$405)-5)))&gt;0,SUMPRODUCT(MAX((職員マスタ!$A$6:$A$405=$B2123)*(((職員マスタ!$G$6:$G$405="")+(職員マスタ!$G$6:$G$405&lt;=EOMONTH($AQ2123,0)))&gt;0)*(((職員マスタ!$H$6:$H$405="")+(職員マスタ!$H$6:$H$405&gt;=$AQ2123))&gt;0)*(ROW(職員マスタ!$A$6:$A$405)-5))),IFERROR(MATCH($B2123,職員マスタ!$A$6:$A$405,0),"")))</f>
        <v/>
      </c>
      <c r="AQ2123" s="16">
        <f>IF(OR($B2123="",$C2123="",$D2123=""),"",DATE($C2123+2018,$D2123,1))</f>
        <v/>
      </c>
    </row>
    <row r="2124">
      <c r="A2124" s="11" t="n"/>
      <c r="B2124" s="12" t="n"/>
      <c r="C2124" s="12" t="n"/>
      <c r="D2124" s="12" t="n"/>
      <c r="E2124" s="13" t="n"/>
      <c r="F2124" s="12" t="n"/>
      <c r="G2124" s="13" t="n"/>
      <c r="H2124" s="12" t="n"/>
      <c r="I2124" s="12" t="n"/>
      <c r="J2124" s="12" t="n"/>
      <c r="K2124" s="12" t="n"/>
      <c r="L2124" s="11" t="n"/>
      <c r="M2124" s="11" t="n"/>
      <c r="N2124" s="11" t="n"/>
      <c r="O2124" s="11" t="n"/>
      <c r="P2124" s="12" t="n"/>
      <c r="Q2124" s="11" t="n"/>
      <c r="R2124" s="12" t="n"/>
      <c r="S2124" s="11" t="n"/>
      <c r="T2124" s="12" t="n"/>
      <c r="U2124" s="12" t="n"/>
      <c r="V2124" s="12" t="n"/>
      <c r="W2124" s="13" t="n"/>
      <c r="X2124" s="14">
        <f>IF($AP2124="",IF($B2124="","",$H2124),IF(INDEX(職員マスタ!$B$6:$B$405,$AP2124)="",$H2124,INDEX(職員マスタ!$B$6:$B$405,$AP2124)))</f>
        <v/>
      </c>
      <c r="Y2124" s="14">
        <f>IF($AP2124="",IF($B2124="","",$R2124),IF(INDEX(職員マスタ!$C$6:$C$405,$AP2124)="",$R2124,INDEX(職員マスタ!$C$6:$C$405,$AP2124)))</f>
        <v/>
      </c>
      <c r="Z2124" s="14">
        <f>IF($AQ2124="","","R"&amp;$C2124&amp;"."&amp;$D2124)</f>
        <v/>
      </c>
      <c r="AA2124" s="15">
        <f>IF(IF($AP2124="",FALSE,INDEX(職員マスタ!$K$6:$K$405,$AP2124)&lt;&gt;""),INDEX(職員マスタ!$K$6:$K$405,$AP2124),IF(N($W2124)&gt;0,$W2124,""))</f>
        <v/>
      </c>
      <c r="AB2124" s="14">
        <f>IF(OR($E2124="",$AA2124=""),"",IF($E2124&gt;=$AA2124,"×",IF($E2124&gt;=$AA2124*設定!$C$5,"△","○")))</f>
        <v/>
      </c>
      <c r="AC2124" s="15">
        <f>IF($AB2124="","",IF($AB2124="×",0,IF($AB2124="○",ROUNDDOWN($E2124*設定!$C$4,0),ROUNDDOWN($E2124*ROUND((9*$AA2124-9*$E2124)/(10*$E2124),4),0))))</f>
        <v/>
      </c>
      <c r="AD2124" s="13" t="n"/>
      <c r="AE2124" s="15">
        <f>IF($B2124="","",IF($AD2124&lt;&gt;"",$AD2124,IF($AC2124="","",IF($AC2124&lt;=設定!$C$3,0,$AC2124))))</f>
        <v/>
      </c>
      <c r="AF2124" s="14">
        <f>IF($B2124="","",IF(AND($AG2124&lt;&gt;"",$AI2124="",$AL2124=""),"保留中",IF($AL2124&lt;&gt;"",IF(N($AE2124)&gt;0,"支給済","不支給"),IF($AE2124="","要確認",IF($AE2124=0,"不支給","未処理")))))</f>
        <v/>
      </c>
      <c r="AG2124" s="12" t="n"/>
      <c r="AH2124" s="11" t="n"/>
      <c r="AI2124" s="11" t="n"/>
      <c r="AJ2124" s="11" t="n"/>
      <c r="AK2124" s="14">
        <f>IF(AND($AF2124="保留中",$AH2124&lt;&gt;""),TODAY()-$AH2124,"")</f>
        <v/>
      </c>
      <c r="AL2124" s="12" t="n"/>
      <c r="AM2124" s="14">
        <f>IF($B2124="","",IF($AQ2124="","対象年月が未入力／","")&amp;IF($B2124="","",IF($AP2124="","職員マスタに未登録の職員番号／",IF($AA2124="","標準報酬月額が未登録／","")&amp;IF(AND($AQ2124&lt;&gt;"",OR(AND(INDEX(職員マスタ!$G$6:$G$405,$AP2124)&lt;&gt;"",INDEX(職員マスタ!$G$6:$G$405,$AP2124)&gt;EOMONTH($AQ2124,0)),AND(INDEX(職員マスタ!$H$6:$H$405,$AP2124)&lt;&gt;"",INDEX(職員マスタ!$H$6:$H$405,$AP2124)&lt;$AQ2124))),"対象月が時短期間外／","")&amp;IF(AND(INDEX(職員マスタ!$K$6:$K$405,$AP2124)&lt;&gt;"",N($W2124)&gt;0,INDEX(職員マスタ!$K$6:$K$405,$AP2124)&lt;&gt;$W2124),"標準報酬月額が申請書と相違（台帳"&amp;TEXT(INDEX(職員マスタ!$K$6:$K$405,$AP2124),"#,##0")&amp;"円／申請書"&amp;TEXT($W2124,"#,##0")&amp;"円）／","")&amp;IF(AND(INDEX(職員マスタ!$F$6:$F$405,$AP2124)&lt;&gt;"",$AQ2124&lt;&gt;"",INDEX(職員マスタ!$F$6:$F$405,$AP2124)&lt;$AQ2124),"対象月に子が2歳到達済／","")&amp;IF(AND($H2124&lt;&gt;"",INDEX(職員マスタ!$B$6:$B$405,$AP2124)&lt;&gt;"",SUBSTITUTE(SUBSTITUTE($H2124," ","")," ","")&lt;&gt;SUBSTITUTE(SUBSTITUTE(INDEX(職員マスタ!$B$6:$B$405,$AP2124)," ","")," ","")),"氏名がマスタと相違／","")&amp;IF(AND($Q2124&lt;&gt;"",INDEX(職員マスタ!$E$6:$E$405,$AP2124)&lt;&gt;"",$Q2124&lt;&gt;INDEX(職員マスタ!$E$6:$E$405,$AP2124)),"子の生年月日がマスタと相違／","")&amp;IF(AND($L2124&lt;&gt;"",INDEX(職員マスタ!$G$6:$G$405,$AP2124)&lt;&gt;"",$L2124&lt;&gt;INDEX(職員マスタ!$G$6:$G$405,$AP2124)),"時短開始日がマスタと相違／","")&amp;IF(AND($M2124&lt;&gt;"",INDEX(職員マスタ!$H$6:$H$405,$AP2124)&lt;&gt;"",$M2124&lt;&gt;INDEX(職員マスタ!$H$6:$H$405,$AP2124)),"時短終了日がマスタと相違／","")))&amp;IF(AND($B2124&lt;&gt;"",$E2124=""),"報酬額が未入力／","")&amp;IF(N($U2124)&gt;0,"申請書に入力エラーが残っています／","")&amp;IF(AND($B2124&lt;&gt;"",$AQ2124&lt;&gt;""),IF(COUNTIFS($B$6:$B$3005,$B2124,$C$6:$C$3005,$C2124,$D$6:$D$3005,$D2124)&gt;1,"同じ月の請求が重複しています／",""),"")&amp;IF(AND(N($E2124)&gt;0,$AB2124&lt;&gt;"",$AB2124&lt;&gt;"×",$AE2124=0,$AD2124=""),"計算額が下限以下のため不支給／",""))</f>
        <v/>
      </c>
      <c r="AN2124" s="12" t="n"/>
      <c r="AO2124" s="14">
        <f>IF($AF2124="保留中",COUNTIF($AF$6:$AF2124,"保留中"),"")</f>
        <v/>
      </c>
      <c r="AP2124" s="14">
        <f>IF($AQ2124="","",IF(SUMPRODUCT(MAX((職員マスタ!$A$6:$A$405=$B2124)*(((職員マスタ!$G$6:$G$405="")+(職員マスタ!$G$6:$G$405&lt;=EOMONTH($AQ2124,0)))&gt;0)*(((職員マスタ!$H$6:$H$405="")+(職員マスタ!$H$6:$H$405&gt;=$AQ2124))&gt;0)*(ROW(職員マスタ!$A$6:$A$405)-5)))&gt;0,SUMPRODUCT(MAX((職員マスタ!$A$6:$A$405=$B2124)*(((職員マスタ!$G$6:$G$405="")+(職員マスタ!$G$6:$G$405&lt;=EOMONTH($AQ2124,0)))&gt;0)*(((職員マスタ!$H$6:$H$405="")+(職員マスタ!$H$6:$H$405&gt;=$AQ2124))&gt;0)*(ROW(職員マスタ!$A$6:$A$405)-5))),IFERROR(MATCH($B2124,職員マスタ!$A$6:$A$405,0),"")))</f>
        <v/>
      </c>
      <c r="AQ2124" s="16">
        <f>IF(OR($B2124="",$C2124="",$D2124=""),"",DATE($C2124+2018,$D2124,1))</f>
        <v/>
      </c>
    </row>
    <row r="2125">
      <c r="A2125" s="11" t="n"/>
      <c r="B2125" s="12" t="n"/>
      <c r="C2125" s="12" t="n"/>
      <c r="D2125" s="12" t="n"/>
      <c r="E2125" s="13" t="n"/>
      <c r="F2125" s="12" t="n"/>
      <c r="G2125" s="13" t="n"/>
      <c r="H2125" s="12" t="n"/>
      <c r="I2125" s="12" t="n"/>
      <c r="J2125" s="12" t="n"/>
      <c r="K2125" s="12" t="n"/>
      <c r="L2125" s="11" t="n"/>
      <c r="M2125" s="11" t="n"/>
      <c r="N2125" s="11" t="n"/>
      <c r="O2125" s="11" t="n"/>
      <c r="P2125" s="12" t="n"/>
      <c r="Q2125" s="11" t="n"/>
      <c r="R2125" s="12" t="n"/>
      <c r="S2125" s="11" t="n"/>
      <c r="T2125" s="12" t="n"/>
      <c r="U2125" s="12" t="n"/>
      <c r="V2125" s="12" t="n"/>
      <c r="W2125" s="13" t="n"/>
      <c r="X2125" s="14">
        <f>IF($AP2125="",IF($B2125="","",$H2125),IF(INDEX(職員マスタ!$B$6:$B$405,$AP2125)="",$H2125,INDEX(職員マスタ!$B$6:$B$405,$AP2125)))</f>
        <v/>
      </c>
      <c r="Y2125" s="14">
        <f>IF($AP2125="",IF($B2125="","",$R2125),IF(INDEX(職員マスタ!$C$6:$C$405,$AP2125)="",$R2125,INDEX(職員マスタ!$C$6:$C$405,$AP2125)))</f>
        <v/>
      </c>
      <c r="Z2125" s="14">
        <f>IF($AQ2125="","","R"&amp;$C2125&amp;"."&amp;$D2125)</f>
        <v/>
      </c>
      <c r="AA2125" s="15">
        <f>IF(IF($AP2125="",FALSE,INDEX(職員マスタ!$K$6:$K$405,$AP2125)&lt;&gt;""),INDEX(職員マスタ!$K$6:$K$405,$AP2125),IF(N($W2125)&gt;0,$W2125,""))</f>
        <v/>
      </c>
      <c r="AB2125" s="14">
        <f>IF(OR($E2125="",$AA2125=""),"",IF($E2125&gt;=$AA2125,"×",IF($E2125&gt;=$AA2125*設定!$C$5,"△","○")))</f>
        <v/>
      </c>
      <c r="AC2125" s="15">
        <f>IF($AB2125="","",IF($AB2125="×",0,IF($AB2125="○",ROUNDDOWN($E2125*設定!$C$4,0),ROUNDDOWN($E2125*ROUND((9*$AA2125-9*$E2125)/(10*$E2125),4),0))))</f>
        <v/>
      </c>
      <c r="AD2125" s="13" t="n"/>
      <c r="AE2125" s="15">
        <f>IF($B2125="","",IF($AD2125&lt;&gt;"",$AD2125,IF($AC2125="","",IF($AC2125&lt;=設定!$C$3,0,$AC2125))))</f>
        <v/>
      </c>
      <c r="AF2125" s="14">
        <f>IF($B2125="","",IF(AND($AG2125&lt;&gt;"",$AI2125="",$AL2125=""),"保留中",IF($AL2125&lt;&gt;"",IF(N($AE2125)&gt;0,"支給済","不支給"),IF($AE2125="","要確認",IF($AE2125=0,"不支給","未処理")))))</f>
        <v/>
      </c>
      <c r="AG2125" s="12" t="n"/>
      <c r="AH2125" s="11" t="n"/>
      <c r="AI2125" s="11" t="n"/>
      <c r="AJ2125" s="11" t="n"/>
      <c r="AK2125" s="14">
        <f>IF(AND($AF2125="保留中",$AH2125&lt;&gt;""),TODAY()-$AH2125,"")</f>
        <v/>
      </c>
      <c r="AL2125" s="12" t="n"/>
      <c r="AM2125" s="14">
        <f>IF($B2125="","",IF($AQ2125="","対象年月が未入力／","")&amp;IF($B2125="","",IF($AP2125="","職員マスタに未登録の職員番号／",IF($AA2125="","標準報酬月額が未登録／","")&amp;IF(AND($AQ2125&lt;&gt;"",OR(AND(INDEX(職員マスタ!$G$6:$G$405,$AP2125)&lt;&gt;"",INDEX(職員マスタ!$G$6:$G$405,$AP2125)&gt;EOMONTH($AQ2125,0)),AND(INDEX(職員マスタ!$H$6:$H$405,$AP2125)&lt;&gt;"",INDEX(職員マスタ!$H$6:$H$405,$AP2125)&lt;$AQ2125))),"対象月が時短期間外／","")&amp;IF(AND(INDEX(職員マスタ!$K$6:$K$405,$AP2125)&lt;&gt;"",N($W2125)&gt;0,INDEX(職員マスタ!$K$6:$K$405,$AP2125)&lt;&gt;$W2125),"標準報酬月額が申請書と相違（台帳"&amp;TEXT(INDEX(職員マスタ!$K$6:$K$405,$AP2125),"#,##0")&amp;"円／申請書"&amp;TEXT($W2125,"#,##0")&amp;"円）／","")&amp;IF(AND(INDEX(職員マスタ!$F$6:$F$405,$AP2125)&lt;&gt;"",$AQ2125&lt;&gt;"",INDEX(職員マスタ!$F$6:$F$405,$AP2125)&lt;$AQ2125),"対象月に子が2歳到達済／","")&amp;IF(AND($H2125&lt;&gt;"",INDEX(職員マスタ!$B$6:$B$405,$AP2125)&lt;&gt;"",SUBSTITUTE(SUBSTITUTE($H2125," ","")," ","")&lt;&gt;SUBSTITUTE(SUBSTITUTE(INDEX(職員マスタ!$B$6:$B$405,$AP2125)," ","")," ","")),"氏名がマスタと相違／","")&amp;IF(AND($Q2125&lt;&gt;"",INDEX(職員マスタ!$E$6:$E$405,$AP2125)&lt;&gt;"",$Q2125&lt;&gt;INDEX(職員マスタ!$E$6:$E$405,$AP2125)),"子の生年月日がマスタと相違／","")&amp;IF(AND($L2125&lt;&gt;"",INDEX(職員マスタ!$G$6:$G$405,$AP2125)&lt;&gt;"",$L2125&lt;&gt;INDEX(職員マスタ!$G$6:$G$405,$AP2125)),"時短開始日がマスタと相違／","")&amp;IF(AND($M2125&lt;&gt;"",INDEX(職員マスタ!$H$6:$H$405,$AP2125)&lt;&gt;"",$M2125&lt;&gt;INDEX(職員マスタ!$H$6:$H$405,$AP2125)),"時短終了日がマスタと相違／","")))&amp;IF(AND($B2125&lt;&gt;"",$E2125=""),"報酬額が未入力／","")&amp;IF(N($U2125)&gt;0,"申請書に入力エラーが残っています／","")&amp;IF(AND($B2125&lt;&gt;"",$AQ2125&lt;&gt;""),IF(COUNTIFS($B$6:$B$3005,$B2125,$C$6:$C$3005,$C2125,$D$6:$D$3005,$D2125)&gt;1,"同じ月の請求が重複しています／",""),"")&amp;IF(AND(N($E2125)&gt;0,$AB2125&lt;&gt;"",$AB2125&lt;&gt;"×",$AE2125=0,$AD2125=""),"計算額が下限以下のため不支給／",""))</f>
        <v/>
      </c>
      <c r="AN2125" s="12" t="n"/>
      <c r="AO2125" s="14">
        <f>IF($AF2125="保留中",COUNTIF($AF$6:$AF2125,"保留中"),"")</f>
        <v/>
      </c>
      <c r="AP2125" s="14">
        <f>IF($AQ2125="","",IF(SUMPRODUCT(MAX((職員マスタ!$A$6:$A$405=$B2125)*(((職員マスタ!$G$6:$G$405="")+(職員マスタ!$G$6:$G$405&lt;=EOMONTH($AQ2125,0)))&gt;0)*(((職員マスタ!$H$6:$H$405="")+(職員マスタ!$H$6:$H$405&gt;=$AQ2125))&gt;0)*(ROW(職員マスタ!$A$6:$A$405)-5)))&gt;0,SUMPRODUCT(MAX((職員マスタ!$A$6:$A$405=$B2125)*(((職員マスタ!$G$6:$G$405="")+(職員マスタ!$G$6:$G$405&lt;=EOMONTH($AQ2125,0)))&gt;0)*(((職員マスタ!$H$6:$H$405="")+(職員マスタ!$H$6:$H$405&gt;=$AQ2125))&gt;0)*(ROW(職員マスタ!$A$6:$A$405)-5))),IFERROR(MATCH($B2125,職員マスタ!$A$6:$A$405,0),"")))</f>
        <v/>
      </c>
      <c r="AQ2125" s="16">
        <f>IF(OR($B2125="",$C2125="",$D2125=""),"",DATE($C2125+2018,$D2125,1))</f>
        <v/>
      </c>
    </row>
    <row r="2126">
      <c r="A2126" s="11" t="n"/>
      <c r="B2126" s="12" t="n"/>
      <c r="C2126" s="12" t="n"/>
      <c r="D2126" s="12" t="n"/>
      <c r="E2126" s="13" t="n"/>
      <c r="F2126" s="12" t="n"/>
      <c r="G2126" s="13" t="n"/>
      <c r="H2126" s="12" t="n"/>
      <c r="I2126" s="12" t="n"/>
      <c r="J2126" s="12" t="n"/>
      <c r="K2126" s="12" t="n"/>
      <c r="L2126" s="11" t="n"/>
      <c r="M2126" s="11" t="n"/>
      <c r="N2126" s="11" t="n"/>
      <c r="O2126" s="11" t="n"/>
      <c r="P2126" s="12" t="n"/>
      <c r="Q2126" s="11" t="n"/>
      <c r="R2126" s="12" t="n"/>
      <c r="S2126" s="11" t="n"/>
      <c r="T2126" s="12" t="n"/>
      <c r="U2126" s="12" t="n"/>
      <c r="V2126" s="12" t="n"/>
      <c r="W2126" s="13" t="n"/>
      <c r="X2126" s="14">
        <f>IF($AP2126="",IF($B2126="","",$H2126),IF(INDEX(職員マスタ!$B$6:$B$405,$AP2126)="",$H2126,INDEX(職員マスタ!$B$6:$B$405,$AP2126)))</f>
        <v/>
      </c>
      <c r="Y2126" s="14">
        <f>IF($AP2126="",IF($B2126="","",$R2126),IF(INDEX(職員マスタ!$C$6:$C$405,$AP2126)="",$R2126,INDEX(職員マスタ!$C$6:$C$405,$AP2126)))</f>
        <v/>
      </c>
      <c r="Z2126" s="14">
        <f>IF($AQ2126="","","R"&amp;$C2126&amp;"."&amp;$D2126)</f>
        <v/>
      </c>
      <c r="AA2126" s="15">
        <f>IF(IF($AP2126="",FALSE,INDEX(職員マスタ!$K$6:$K$405,$AP2126)&lt;&gt;""),INDEX(職員マスタ!$K$6:$K$405,$AP2126),IF(N($W2126)&gt;0,$W2126,""))</f>
        <v/>
      </c>
      <c r="AB2126" s="14">
        <f>IF(OR($E2126="",$AA2126=""),"",IF($E2126&gt;=$AA2126,"×",IF($E2126&gt;=$AA2126*設定!$C$5,"△","○")))</f>
        <v/>
      </c>
      <c r="AC2126" s="15">
        <f>IF($AB2126="","",IF($AB2126="×",0,IF($AB2126="○",ROUNDDOWN($E2126*設定!$C$4,0),ROUNDDOWN($E2126*ROUND((9*$AA2126-9*$E2126)/(10*$E2126),4),0))))</f>
        <v/>
      </c>
      <c r="AD2126" s="13" t="n"/>
      <c r="AE2126" s="15">
        <f>IF($B2126="","",IF($AD2126&lt;&gt;"",$AD2126,IF($AC2126="","",IF($AC2126&lt;=設定!$C$3,0,$AC2126))))</f>
        <v/>
      </c>
      <c r="AF2126" s="14">
        <f>IF($B2126="","",IF(AND($AG2126&lt;&gt;"",$AI2126="",$AL2126=""),"保留中",IF($AL2126&lt;&gt;"",IF(N($AE2126)&gt;0,"支給済","不支給"),IF($AE2126="","要確認",IF($AE2126=0,"不支給","未処理")))))</f>
        <v/>
      </c>
      <c r="AG2126" s="12" t="n"/>
      <c r="AH2126" s="11" t="n"/>
      <c r="AI2126" s="11" t="n"/>
      <c r="AJ2126" s="11" t="n"/>
      <c r="AK2126" s="14">
        <f>IF(AND($AF2126="保留中",$AH2126&lt;&gt;""),TODAY()-$AH2126,"")</f>
        <v/>
      </c>
      <c r="AL2126" s="12" t="n"/>
      <c r="AM2126" s="14">
        <f>IF($B2126="","",IF($AQ2126="","対象年月が未入力／","")&amp;IF($B2126="","",IF($AP2126="","職員マスタに未登録の職員番号／",IF($AA2126="","標準報酬月額が未登録／","")&amp;IF(AND($AQ2126&lt;&gt;"",OR(AND(INDEX(職員マスタ!$G$6:$G$405,$AP2126)&lt;&gt;"",INDEX(職員マスタ!$G$6:$G$405,$AP2126)&gt;EOMONTH($AQ2126,0)),AND(INDEX(職員マスタ!$H$6:$H$405,$AP2126)&lt;&gt;"",INDEX(職員マスタ!$H$6:$H$405,$AP2126)&lt;$AQ2126))),"対象月が時短期間外／","")&amp;IF(AND(INDEX(職員マスタ!$K$6:$K$405,$AP2126)&lt;&gt;"",N($W2126)&gt;0,INDEX(職員マスタ!$K$6:$K$405,$AP2126)&lt;&gt;$W2126),"標準報酬月額が申請書と相違（台帳"&amp;TEXT(INDEX(職員マスタ!$K$6:$K$405,$AP2126),"#,##0")&amp;"円／申請書"&amp;TEXT($W2126,"#,##0")&amp;"円）／","")&amp;IF(AND(INDEX(職員マスタ!$F$6:$F$405,$AP2126)&lt;&gt;"",$AQ2126&lt;&gt;"",INDEX(職員マスタ!$F$6:$F$405,$AP2126)&lt;$AQ2126),"対象月に子が2歳到達済／","")&amp;IF(AND($H2126&lt;&gt;"",INDEX(職員マスタ!$B$6:$B$405,$AP2126)&lt;&gt;"",SUBSTITUTE(SUBSTITUTE($H2126," ","")," ","")&lt;&gt;SUBSTITUTE(SUBSTITUTE(INDEX(職員マスタ!$B$6:$B$405,$AP2126)," ","")," ","")),"氏名がマスタと相違／","")&amp;IF(AND($Q2126&lt;&gt;"",INDEX(職員マスタ!$E$6:$E$405,$AP2126)&lt;&gt;"",$Q2126&lt;&gt;INDEX(職員マスタ!$E$6:$E$405,$AP2126)),"子の生年月日がマスタと相違／","")&amp;IF(AND($L2126&lt;&gt;"",INDEX(職員マスタ!$G$6:$G$405,$AP2126)&lt;&gt;"",$L2126&lt;&gt;INDEX(職員マスタ!$G$6:$G$405,$AP2126)),"時短開始日がマスタと相違／","")&amp;IF(AND($M2126&lt;&gt;"",INDEX(職員マスタ!$H$6:$H$405,$AP2126)&lt;&gt;"",$M2126&lt;&gt;INDEX(職員マスタ!$H$6:$H$405,$AP2126)),"時短終了日がマスタと相違／","")))&amp;IF(AND($B2126&lt;&gt;"",$E2126=""),"報酬額が未入力／","")&amp;IF(N($U2126)&gt;0,"申請書に入力エラーが残っています／","")&amp;IF(AND($B2126&lt;&gt;"",$AQ2126&lt;&gt;""),IF(COUNTIFS($B$6:$B$3005,$B2126,$C$6:$C$3005,$C2126,$D$6:$D$3005,$D2126)&gt;1,"同じ月の請求が重複しています／",""),"")&amp;IF(AND(N($E2126)&gt;0,$AB2126&lt;&gt;"",$AB2126&lt;&gt;"×",$AE2126=0,$AD2126=""),"計算額が下限以下のため不支給／",""))</f>
        <v/>
      </c>
      <c r="AN2126" s="12" t="n"/>
      <c r="AO2126" s="14">
        <f>IF($AF2126="保留中",COUNTIF($AF$6:$AF2126,"保留中"),"")</f>
        <v/>
      </c>
      <c r="AP2126" s="14">
        <f>IF($AQ2126="","",IF(SUMPRODUCT(MAX((職員マスタ!$A$6:$A$405=$B2126)*(((職員マスタ!$G$6:$G$405="")+(職員マスタ!$G$6:$G$405&lt;=EOMONTH($AQ2126,0)))&gt;0)*(((職員マスタ!$H$6:$H$405="")+(職員マスタ!$H$6:$H$405&gt;=$AQ2126))&gt;0)*(ROW(職員マスタ!$A$6:$A$405)-5)))&gt;0,SUMPRODUCT(MAX((職員マスタ!$A$6:$A$405=$B2126)*(((職員マスタ!$G$6:$G$405="")+(職員マスタ!$G$6:$G$405&lt;=EOMONTH($AQ2126,0)))&gt;0)*(((職員マスタ!$H$6:$H$405="")+(職員マスタ!$H$6:$H$405&gt;=$AQ2126))&gt;0)*(ROW(職員マスタ!$A$6:$A$405)-5))),IFERROR(MATCH($B2126,職員マスタ!$A$6:$A$405,0),"")))</f>
        <v/>
      </c>
      <c r="AQ2126" s="16">
        <f>IF(OR($B2126="",$C2126="",$D2126=""),"",DATE($C2126+2018,$D2126,1))</f>
        <v/>
      </c>
    </row>
    <row r="2127">
      <c r="A2127" s="11" t="n"/>
      <c r="B2127" s="12" t="n"/>
      <c r="C2127" s="12" t="n"/>
      <c r="D2127" s="12" t="n"/>
      <c r="E2127" s="13" t="n"/>
      <c r="F2127" s="12" t="n"/>
      <c r="G2127" s="13" t="n"/>
      <c r="H2127" s="12" t="n"/>
      <c r="I2127" s="12" t="n"/>
      <c r="J2127" s="12" t="n"/>
      <c r="K2127" s="12" t="n"/>
      <c r="L2127" s="11" t="n"/>
      <c r="M2127" s="11" t="n"/>
      <c r="N2127" s="11" t="n"/>
      <c r="O2127" s="11" t="n"/>
      <c r="P2127" s="12" t="n"/>
      <c r="Q2127" s="11" t="n"/>
      <c r="R2127" s="12" t="n"/>
      <c r="S2127" s="11" t="n"/>
      <c r="T2127" s="12" t="n"/>
      <c r="U2127" s="12" t="n"/>
      <c r="V2127" s="12" t="n"/>
      <c r="W2127" s="13" t="n"/>
      <c r="X2127" s="14">
        <f>IF($AP2127="",IF($B2127="","",$H2127),IF(INDEX(職員マスタ!$B$6:$B$405,$AP2127)="",$H2127,INDEX(職員マスタ!$B$6:$B$405,$AP2127)))</f>
        <v/>
      </c>
      <c r="Y2127" s="14">
        <f>IF($AP2127="",IF($B2127="","",$R2127),IF(INDEX(職員マスタ!$C$6:$C$405,$AP2127)="",$R2127,INDEX(職員マスタ!$C$6:$C$405,$AP2127)))</f>
        <v/>
      </c>
      <c r="Z2127" s="14">
        <f>IF($AQ2127="","","R"&amp;$C2127&amp;"."&amp;$D2127)</f>
        <v/>
      </c>
      <c r="AA2127" s="15">
        <f>IF(IF($AP2127="",FALSE,INDEX(職員マスタ!$K$6:$K$405,$AP2127)&lt;&gt;""),INDEX(職員マスタ!$K$6:$K$405,$AP2127),IF(N($W2127)&gt;0,$W2127,""))</f>
        <v/>
      </c>
      <c r="AB2127" s="14">
        <f>IF(OR($E2127="",$AA2127=""),"",IF($E2127&gt;=$AA2127,"×",IF($E2127&gt;=$AA2127*設定!$C$5,"△","○")))</f>
        <v/>
      </c>
      <c r="AC2127" s="15">
        <f>IF($AB2127="","",IF($AB2127="×",0,IF($AB2127="○",ROUNDDOWN($E2127*設定!$C$4,0),ROUNDDOWN($E2127*ROUND((9*$AA2127-9*$E2127)/(10*$E2127),4),0))))</f>
        <v/>
      </c>
      <c r="AD2127" s="13" t="n"/>
      <c r="AE2127" s="15">
        <f>IF($B2127="","",IF($AD2127&lt;&gt;"",$AD2127,IF($AC2127="","",IF($AC2127&lt;=設定!$C$3,0,$AC2127))))</f>
        <v/>
      </c>
      <c r="AF2127" s="14">
        <f>IF($B2127="","",IF(AND($AG2127&lt;&gt;"",$AI2127="",$AL2127=""),"保留中",IF($AL2127&lt;&gt;"",IF(N($AE2127)&gt;0,"支給済","不支給"),IF($AE2127="","要確認",IF($AE2127=0,"不支給","未処理")))))</f>
        <v/>
      </c>
      <c r="AG2127" s="12" t="n"/>
      <c r="AH2127" s="11" t="n"/>
      <c r="AI2127" s="11" t="n"/>
      <c r="AJ2127" s="11" t="n"/>
      <c r="AK2127" s="14">
        <f>IF(AND($AF2127="保留中",$AH2127&lt;&gt;""),TODAY()-$AH2127,"")</f>
        <v/>
      </c>
      <c r="AL2127" s="12" t="n"/>
      <c r="AM2127" s="14">
        <f>IF($B2127="","",IF($AQ2127="","対象年月が未入力／","")&amp;IF($B2127="","",IF($AP2127="","職員マスタに未登録の職員番号／",IF($AA2127="","標準報酬月額が未登録／","")&amp;IF(AND($AQ2127&lt;&gt;"",OR(AND(INDEX(職員マスタ!$G$6:$G$405,$AP2127)&lt;&gt;"",INDEX(職員マスタ!$G$6:$G$405,$AP2127)&gt;EOMONTH($AQ2127,0)),AND(INDEX(職員マスタ!$H$6:$H$405,$AP2127)&lt;&gt;"",INDEX(職員マスタ!$H$6:$H$405,$AP2127)&lt;$AQ2127))),"対象月が時短期間外／","")&amp;IF(AND(INDEX(職員マスタ!$K$6:$K$405,$AP2127)&lt;&gt;"",N($W2127)&gt;0,INDEX(職員マスタ!$K$6:$K$405,$AP2127)&lt;&gt;$W2127),"標準報酬月額が申請書と相違（台帳"&amp;TEXT(INDEX(職員マスタ!$K$6:$K$405,$AP2127),"#,##0")&amp;"円／申請書"&amp;TEXT($W2127,"#,##0")&amp;"円）／","")&amp;IF(AND(INDEX(職員マスタ!$F$6:$F$405,$AP2127)&lt;&gt;"",$AQ2127&lt;&gt;"",INDEX(職員マスタ!$F$6:$F$405,$AP2127)&lt;$AQ2127),"対象月に子が2歳到達済／","")&amp;IF(AND($H2127&lt;&gt;"",INDEX(職員マスタ!$B$6:$B$405,$AP2127)&lt;&gt;"",SUBSTITUTE(SUBSTITUTE($H2127," ","")," ","")&lt;&gt;SUBSTITUTE(SUBSTITUTE(INDEX(職員マスタ!$B$6:$B$405,$AP2127)," ","")," ","")),"氏名がマスタと相違／","")&amp;IF(AND($Q2127&lt;&gt;"",INDEX(職員マスタ!$E$6:$E$405,$AP2127)&lt;&gt;"",$Q2127&lt;&gt;INDEX(職員マスタ!$E$6:$E$405,$AP2127)),"子の生年月日がマスタと相違／","")&amp;IF(AND($L2127&lt;&gt;"",INDEX(職員マスタ!$G$6:$G$405,$AP2127)&lt;&gt;"",$L2127&lt;&gt;INDEX(職員マスタ!$G$6:$G$405,$AP2127)),"時短開始日がマスタと相違／","")&amp;IF(AND($M2127&lt;&gt;"",INDEX(職員マスタ!$H$6:$H$405,$AP2127)&lt;&gt;"",$M2127&lt;&gt;INDEX(職員マスタ!$H$6:$H$405,$AP2127)),"時短終了日がマスタと相違／","")))&amp;IF(AND($B2127&lt;&gt;"",$E2127=""),"報酬額が未入力／","")&amp;IF(N($U2127)&gt;0,"申請書に入力エラーが残っています／","")&amp;IF(AND($B2127&lt;&gt;"",$AQ2127&lt;&gt;""),IF(COUNTIFS($B$6:$B$3005,$B2127,$C$6:$C$3005,$C2127,$D$6:$D$3005,$D2127)&gt;1,"同じ月の請求が重複しています／",""),"")&amp;IF(AND(N($E2127)&gt;0,$AB2127&lt;&gt;"",$AB2127&lt;&gt;"×",$AE2127=0,$AD2127=""),"計算額が下限以下のため不支給／",""))</f>
        <v/>
      </c>
      <c r="AN2127" s="12" t="n"/>
      <c r="AO2127" s="14">
        <f>IF($AF2127="保留中",COUNTIF($AF$6:$AF2127,"保留中"),"")</f>
        <v/>
      </c>
      <c r="AP2127" s="14">
        <f>IF($AQ2127="","",IF(SUMPRODUCT(MAX((職員マスタ!$A$6:$A$405=$B2127)*(((職員マスタ!$G$6:$G$405="")+(職員マスタ!$G$6:$G$405&lt;=EOMONTH($AQ2127,0)))&gt;0)*(((職員マスタ!$H$6:$H$405="")+(職員マスタ!$H$6:$H$405&gt;=$AQ2127))&gt;0)*(ROW(職員マスタ!$A$6:$A$405)-5)))&gt;0,SUMPRODUCT(MAX((職員マスタ!$A$6:$A$405=$B2127)*(((職員マスタ!$G$6:$G$405="")+(職員マスタ!$G$6:$G$405&lt;=EOMONTH($AQ2127,0)))&gt;0)*(((職員マスタ!$H$6:$H$405="")+(職員マスタ!$H$6:$H$405&gt;=$AQ2127))&gt;0)*(ROW(職員マスタ!$A$6:$A$405)-5))),IFERROR(MATCH($B2127,職員マスタ!$A$6:$A$405,0),"")))</f>
        <v/>
      </c>
      <c r="AQ2127" s="16">
        <f>IF(OR($B2127="",$C2127="",$D2127=""),"",DATE($C2127+2018,$D2127,1))</f>
        <v/>
      </c>
    </row>
    <row r="2128">
      <c r="A2128" s="11" t="n"/>
      <c r="B2128" s="12" t="n"/>
      <c r="C2128" s="12" t="n"/>
      <c r="D2128" s="12" t="n"/>
      <c r="E2128" s="13" t="n"/>
      <c r="F2128" s="12" t="n"/>
      <c r="G2128" s="13" t="n"/>
      <c r="H2128" s="12" t="n"/>
      <c r="I2128" s="12" t="n"/>
      <c r="J2128" s="12" t="n"/>
      <c r="K2128" s="12" t="n"/>
      <c r="L2128" s="11" t="n"/>
      <c r="M2128" s="11" t="n"/>
      <c r="N2128" s="11" t="n"/>
      <c r="O2128" s="11" t="n"/>
      <c r="P2128" s="12" t="n"/>
      <c r="Q2128" s="11" t="n"/>
      <c r="R2128" s="12" t="n"/>
      <c r="S2128" s="11" t="n"/>
      <c r="T2128" s="12" t="n"/>
      <c r="U2128" s="12" t="n"/>
      <c r="V2128" s="12" t="n"/>
      <c r="W2128" s="13" t="n"/>
      <c r="X2128" s="14">
        <f>IF($AP2128="",IF($B2128="","",$H2128),IF(INDEX(職員マスタ!$B$6:$B$405,$AP2128)="",$H2128,INDEX(職員マスタ!$B$6:$B$405,$AP2128)))</f>
        <v/>
      </c>
      <c r="Y2128" s="14">
        <f>IF($AP2128="",IF($B2128="","",$R2128),IF(INDEX(職員マスタ!$C$6:$C$405,$AP2128)="",$R2128,INDEX(職員マスタ!$C$6:$C$405,$AP2128)))</f>
        <v/>
      </c>
      <c r="Z2128" s="14">
        <f>IF($AQ2128="","","R"&amp;$C2128&amp;"."&amp;$D2128)</f>
        <v/>
      </c>
      <c r="AA2128" s="15">
        <f>IF(IF($AP2128="",FALSE,INDEX(職員マスタ!$K$6:$K$405,$AP2128)&lt;&gt;""),INDEX(職員マスタ!$K$6:$K$405,$AP2128),IF(N($W2128)&gt;0,$W2128,""))</f>
        <v/>
      </c>
      <c r="AB2128" s="14">
        <f>IF(OR($E2128="",$AA2128=""),"",IF($E2128&gt;=$AA2128,"×",IF($E2128&gt;=$AA2128*設定!$C$5,"△","○")))</f>
        <v/>
      </c>
      <c r="AC2128" s="15">
        <f>IF($AB2128="","",IF($AB2128="×",0,IF($AB2128="○",ROUNDDOWN($E2128*設定!$C$4,0),ROUNDDOWN($E2128*ROUND((9*$AA2128-9*$E2128)/(10*$E2128),4),0))))</f>
        <v/>
      </c>
      <c r="AD2128" s="13" t="n"/>
      <c r="AE2128" s="15">
        <f>IF($B2128="","",IF($AD2128&lt;&gt;"",$AD2128,IF($AC2128="","",IF($AC2128&lt;=設定!$C$3,0,$AC2128))))</f>
        <v/>
      </c>
      <c r="AF2128" s="14">
        <f>IF($B2128="","",IF(AND($AG2128&lt;&gt;"",$AI2128="",$AL2128=""),"保留中",IF($AL2128&lt;&gt;"",IF(N($AE2128)&gt;0,"支給済","不支給"),IF($AE2128="","要確認",IF($AE2128=0,"不支給","未処理")))))</f>
        <v/>
      </c>
      <c r="AG2128" s="12" t="n"/>
      <c r="AH2128" s="11" t="n"/>
      <c r="AI2128" s="11" t="n"/>
      <c r="AJ2128" s="11" t="n"/>
      <c r="AK2128" s="14">
        <f>IF(AND($AF2128="保留中",$AH2128&lt;&gt;""),TODAY()-$AH2128,"")</f>
        <v/>
      </c>
      <c r="AL2128" s="12" t="n"/>
      <c r="AM2128" s="14">
        <f>IF($B2128="","",IF($AQ2128="","対象年月が未入力／","")&amp;IF($B2128="","",IF($AP2128="","職員マスタに未登録の職員番号／",IF($AA2128="","標準報酬月額が未登録／","")&amp;IF(AND($AQ2128&lt;&gt;"",OR(AND(INDEX(職員マスタ!$G$6:$G$405,$AP2128)&lt;&gt;"",INDEX(職員マスタ!$G$6:$G$405,$AP2128)&gt;EOMONTH($AQ2128,0)),AND(INDEX(職員マスタ!$H$6:$H$405,$AP2128)&lt;&gt;"",INDEX(職員マスタ!$H$6:$H$405,$AP2128)&lt;$AQ2128))),"対象月が時短期間外／","")&amp;IF(AND(INDEX(職員マスタ!$K$6:$K$405,$AP2128)&lt;&gt;"",N($W2128)&gt;0,INDEX(職員マスタ!$K$6:$K$405,$AP2128)&lt;&gt;$W2128),"標準報酬月額が申請書と相違（台帳"&amp;TEXT(INDEX(職員マスタ!$K$6:$K$405,$AP2128),"#,##0")&amp;"円／申請書"&amp;TEXT($W2128,"#,##0")&amp;"円）／","")&amp;IF(AND(INDEX(職員マスタ!$F$6:$F$405,$AP2128)&lt;&gt;"",$AQ2128&lt;&gt;"",INDEX(職員マスタ!$F$6:$F$405,$AP2128)&lt;$AQ2128),"対象月に子が2歳到達済／","")&amp;IF(AND($H2128&lt;&gt;"",INDEX(職員マスタ!$B$6:$B$405,$AP2128)&lt;&gt;"",SUBSTITUTE(SUBSTITUTE($H2128," ","")," ","")&lt;&gt;SUBSTITUTE(SUBSTITUTE(INDEX(職員マスタ!$B$6:$B$405,$AP2128)," ","")," ","")),"氏名がマスタと相違／","")&amp;IF(AND($Q2128&lt;&gt;"",INDEX(職員マスタ!$E$6:$E$405,$AP2128)&lt;&gt;"",$Q2128&lt;&gt;INDEX(職員マスタ!$E$6:$E$405,$AP2128)),"子の生年月日がマスタと相違／","")&amp;IF(AND($L2128&lt;&gt;"",INDEX(職員マスタ!$G$6:$G$405,$AP2128)&lt;&gt;"",$L2128&lt;&gt;INDEX(職員マスタ!$G$6:$G$405,$AP2128)),"時短開始日がマスタと相違／","")&amp;IF(AND($M2128&lt;&gt;"",INDEX(職員マスタ!$H$6:$H$405,$AP2128)&lt;&gt;"",$M2128&lt;&gt;INDEX(職員マスタ!$H$6:$H$405,$AP2128)),"時短終了日がマスタと相違／","")))&amp;IF(AND($B2128&lt;&gt;"",$E2128=""),"報酬額が未入力／","")&amp;IF(N($U2128)&gt;0,"申請書に入力エラーが残っています／","")&amp;IF(AND($B2128&lt;&gt;"",$AQ2128&lt;&gt;""),IF(COUNTIFS($B$6:$B$3005,$B2128,$C$6:$C$3005,$C2128,$D$6:$D$3005,$D2128)&gt;1,"同じ月の請求が重複しています／",""),"")&amp;IF(AND(N($E2128)&gt;0,$AB2128&lt;&gt;"",$AB2128&lt;&gt;"×",$AE2128=0,$AD2128=""),"計算額が下限以下のため不支給／",""))</f>
        <v/>
      </c>
      <c r="AN2128" s="12" t="n"/>
      <c r="AO2128" s="14">
        <f>IF($AF2128="保留中",COUNTIF($AF$6:$AF2128,"保留中"),"")</f>
        <v/>
      </c>
      <c r="AP2128" s="14">
        <f>IF($AQ2128="","",IF(SUMPRODUCT(MAX((職員マスタ!$A$6:$A$405=$B2128)*(((職員マスタ!$G$6:$G$405="")+(職員マスタ!$G$6:$G$405&lt;=EOMONTH($AQ2128,0)))&gt;0)*(((職員マスタ!$H$6:$H$405="")+(職員マスタ!$H$6:$H$405&gt;=$AQ2128))&gt;0)*(ROW(職員マスタ!$A$6:$A$405)-5)))&gt;0,SUMPRODUCT(MAX((職員マスタ!$A$6:$A$405=$B2128)*(((職員マスタ!$G$6:$G$405="")+(職員マスタ!$G$6:$G$405&lt;=EOMONTH($AQ2128,0)))&gt;0)*(((職員マスタ!$H$6:$H$405="")+(職員マスタ!$H$6:$H$405&gt;=$AQ2128))&gt;0)*(ROW(職員マスタ!$A$6:$A$405)-5))),IFERROR(MATCH($B2128,職員マスタ!$A$6:$A$405,0),"")))</f>
        <v/>
      </c>
      <c r="AQ2128" s="16">
        <f>IF(OR($B2128="",$C2128="",$D2128=""),"",DATE($C2128+2018,$D2128,1))</f>
        <v/>
      </c>
    </row>
    <row r="2129">
      <c r="A2129" s="11" t="n"/>
      <c r="B2129" s="12" t="n"/>
      <c r="C2129" s="12" t="n"/>
      <c r="D2129" s="12" t="n"/>
      <c r="E2129" s="13" t="n"/>
      <c r="F2129" s="12" t="n"/>
      <c r="G2129" s="13" t="n"/>
      <c r="H2129" s="12" t="n"/>
      <c r="I2129" s="12" t="n"/>
      <c r="J2129" s="12" t="n"/>
      <c r="K2129" s="12" t="n"/>
      <c r="L2129" s="11" t="n"/>
      <c r="M2129" s="11" t="n"/>
      <c r="N2129" s="11" t="n"/>
      <c r="O2129" s="11" t="n"/>
      <c r="P2129" s="12" t="n"/>
      <c r="Q2129" s="11" t="n"/>
      <c r="R2129" s="12" t="n"/>
      <c r="S2129" s="11" t="n"/>
      <c r="T2129" s="12" t="n"/>
      <c r="U2129" s="12" t="n"/>
      <c r="V2129" s="12" t="n"/>
      <c r="W2129" s="13" t="n"/>
      <c r="X2129" s="14">
        <f>IF($AP2129="",IF($B2129="","",$H2129),IF(INDEX(職員マスタ!$B$6:$B$405,$AP2129)="",$H2129,INDEX(職員マスタ!$B$6:$B$405,$AP2129)))</f>
        <v/>
      </c>
      <c r="Y2129" s="14">
        <f>IF($AP2129="",IF($B2129="","",$R2129),IF(INDEX(職員マスタ!$C$6:$C$405,$AP2129)="",$R2129,INDEX(職員マスタ!$C$6:$C$405,$AP2129)))</f>
        <v/>
      </c>
      <c r="Z2129" s="14">
        <f>IF($AQ2129="","","R"&amp;$C2129&amp;"."&amp;$D2129)</f>
        <v/>
      </c>
      <c r="AA2129" s="15">
        <f>IF(IF($AP2129="",FALSE,INDEX(職員マスタ!$K$6:$K$405,$AP2129)&lt;&gt;""),INDEX(職員マスタ!$K$6:$K$405,$AP2129),IF(N($W2129)&gt;0,$W2129,""))</f>
        <v/>
      </c>
      <c r="AB2129" s="14">
        <f>IF(OR($E2129="",$AA2129=""),"",IF($E2129&gt;=$AA2129,"×",IF($E2129&gt;=$AA2129*設定!$C$5,"△","○")))</f>
        <v/>
      </c>
      <c r="AC2129" s="15">
        <f>IF($AB2129="","",IF($AB2129="×",0,IF($AB2129="○",ROUNDDOWN($E2129*設定!$C$4,0),ROUNDDOWN($E2129*ROUND((9*$AA2129-9*$E2129)/(10*$E2129),4),0))))</f>
        <v/>
      </c>
      <c r="AD2129" s="13" t="n"/>
      <c r="AE2129" s="15">
        <f>IF($B2129="","",IF($AD2129&lt;&gt;"",$AD2129,IF($AC2129="","",IF($AC2129&lt;=設定!$C$3,0,$AC2129))))</f>
        <v/>
      </c>
      <c r="AF2129" s="14">
        <f>IF($B2129="","",IF(AND($AG2129&lt;&gt;"",$AI2129="",$AL2129=""),"保留中",IF($AL2129&lt;&gt;"",IF(N($AE2129)&gt;0,"支給済","不支給"),IF($AE2129="","要確認",IF($AE2129=0,"不支給","未処理")))))</f>
        <v/>
      </c>
      <c r="AG2129" s="12" t="n"/>
      <c r="AH2129" s="11" t="n"/>
      <c r="AI2129" s="11" t="n"/>
      <c r="AJ2129" s="11" t="n"/>
      <c r="AK2129" s="14">
        <f>IF(AND($AF2129="保留中",$AH2129&lt;&gt;""),TODAY()-$AH2129,"")</f>
        <v/>
      </c>
      <c r="AL2129" s="12" t="n"/>
      <c r="AM2129" s="14">
        <f>IF($B2129="","",IF($AQ2129="","対象年月が未入力／","")&amp;IF($B2129="","",IF($AP2129="","職員マスタに未登録の職員番号／",IF($AA2129="","標準報酬月額が未登録／","")&amp;IF(AND($AQ2129&lt;&gt;"",OR(AND(INDEX(職員マスタ!$G$6:$G$405,$AP2129)&lt;&gt;"",INDEX(職員マスタ!$G$6:$G$405,$AP2129)&gt;EOMONTH($AQ2129,0)),AND(INDEX(職員マスタ!$H$6:$H$405,$AP2129)&lt;&gt;"",INDEX(職員マスタ!$H$6:$H$405,$AP2129)&lt;$AQ2129))),"対象月が時短期間外／","")&amp;IF(AND(INDEX(職員マスタ!$K$6:$K$405,$AP2129)&lt;&gt;"",N($W2129)&gt;0,INDEX(職員マスタ!$K$6:$K$405,$AP2129)&lt;&gt;$W2129),"標準報酬月額が申請書と相違（台帳"&amp;TEXT(INDEX(職員マスタ!$K$6:$K$405,$AP2129),"#,##0")&amp;"円／申請書"&amp;TEXT($W2129,"#,##0")&amp;"円）／","")&amp;IF(AND(INDEX(職員マスタ!$F$6:$F$405,$AP2129)&lt;&gt;"",$AQ2129&lt;&gt;"",INDEX(職員マスタ!$F$6:$F$405,$AP2129)&lt;$AQ2129),"対象月に子が2歳到達済／","")&amp;IF(AND($H2129&lt;&gt;"",INDEX(職員マスタ!$B$6:$B$405,$AP2129)&lt;&gt;"",SUBSTITUTE(SUBSTITUTE($H2129," ","")," ","")&lt;&gt;SUBSTITUTE(SUBSTITUTE(INDEX(職員マスタ!$B$6:$B$405,$AP2129)," ","")," ","")),"氏名がマスタと相違／","")&amp;IF(AND($Q2129&lt;&gt;"",INDEX(職員マスタ!$E$6:$E$405,$AP2129)&lt;&gt;"",$Q2129&lt;&gt;INDEX(職員マスタ!$E$6:$E$405,$AP2129)),"子の生年月日がマスタと相違／","")&amp;IF(AND($L2129&lt;&gt;"",INDEX(職員マスタ!$G$6:$G$405,$AP2129)&lt;&gt;"",$L2129&lt;&gt;INDEX(職員マスタ!$G$6:$G$405,$AP2129)),"時短開始日がマスタと相違／","")&amp;IF(AND($M2129&lt;&gt;"",INDEX(職員マスタ!$H$6:$H$405,$AP2129)&lt;&gt;"",$M2129&lt;&gt;INDEX(職員マスタ!$H$6:$H$405,$AP2129)),"時短終了日がマスタと相違／","")))&amp;IF(AND($B2129&lt;&gt;"",$E2129=""),"報酬額が未入力／","")&amp;IF(N($U2129)&gt;0,"申請書に入力エラーが残っています／","")&amp;IF(AND($B2129&lt;&gt;"",$AQ2129&lt;&gt;""),IF(COUNTIFS($B$6:$B$3005,$B2129,$C$6:$C$3005,$C2129,$D$6:$D$3005,$D2129)&gt;1,"同じ月の請求が重複しています／",""),"")&amp;IF(AND(N($E2129)&gt;0,$AB2129&lt;&gt;"",$AB2129&lt;&gt;"×",$AE2129=0,$AD2129=""),"計算額が下限以下のため不支給／",""))</f>
        <v/>
      </c>
      <c r="AN2129" s="12" t="n"/>
      <c r="AO2129" s="14">
        <f>IF($AF2129="保留中",COUNTIF($AF$6:$AF2129,"保留中"),"")</f>
        <v/>
      </c>
      <c r="AP2129" s="14">
        <f>IF($AQ2129="","",IF(SUMPRODUCT(MAX((職員マスタ!$A$6:$A$405=$B2129)*(((職員マスタ!$G$6:$G$405="")+(職員マスタ!$G$6:$G$405&lt;=EOMONTH($AQ2129,0)))&gt;0)*(((職員マスタ!$H$6:$H$405="")+(職員マスタ!$H$6:$H$405&gt;=$AQ2129))&gt;0)*(ROW(職員マスタ!$A$6:$A$405)-5)))&gt;0,SUMPRODUCT(MAX((職員マスタ!$A$6:$A$405=$B2129)*(((職員マスタ!$G$6:$G$405="")+(職員マスタ!$G$6:$G$405&lt;=EOMONTH($AQ2129,0)))&gt;0)*(((職員マスタ!$H$6:$H$405="")+(職員マスタ!$H$6:$H$405&gt;=$AQ2129))&gt;0)*(ROW(職員マスタ!$A$6:$A$405)-5))),IFERROR(MATCH($B2129,職員マスタ!$A$6:$A$405,0),"")))</f>
        <v/>
      </c>
      <c r="AQ2129" s="16">
        <f>IF(OR($B2129="",$C2129="",$D2129=""),"",DATE($C2129+2018,$D2129,1))</f>
        <v/>
      </c>
    </row>
    <row r="2130">
      <c r="A2130" s="11" t="n"/>
      <c r="B2130" s="12" t="n"/>
      <c r="C2130" s="12" t="n"/>
      <c r="D2130" s="12" t="n"/>
      <c r="E2130" s="13" t="n"/>
      <c r="F2130" s="12" t="n"/>
      <c r="G2130" s="13" t="n"/>
      <c r="H2130" s="12" t="n"/>
      <c r="I2130" s="12" t="n"/>
      <c r="J2130" s="12" t="n"/>
      <c r="K2130" s="12" t="n"/>
      <c r="L2130" s="11" t="n"/>
      <c r="M2130" s="11" t="n"/>
      <c r="N2130" s="11" t="n"/>
      <c r="O2130" s="11" t="n"/>
      <c r="P2130" s="12" t="n"/>
      <c r="Q2130" s="11" t="n"/>
      <c r="R2130" s="12" t="n"/>
      <c r="S2130" s="11" t="n"/>
      <c r="T2130" s="12" t="n"/>
      <c r="U2130" s="12" t="n"/>
      <c r="V2130" s="12" t="n"/>
      <c r="W2130" s="13" t="n"/>
      <c r="X2130" s="14">
        <f>IF($AP2130="",IF($B2130="","",$H2130),IF(INDEX(職員マスタ!$B$6:$B$405,$AP2130)="",$H2130,INDEX(職員マスタ!$B$6:$B$405,$AP2130)))</f>
        <v/>
      </c>
      <c r="Y2130" s="14">
        <f>IF($AP2130="",IF($B2130="","",$R2130),IF(INDEX(職員マスタ!$C$6:$C$405,$AP2130)="",$R2130,INDEX(職員マスタ!$C$6:$C$405,$AP2130)))</f>
        <v/>
      </c>
      <c r="Z2130" s="14">
        <f>IF($AQ2130="","","R"&amp;$C2130&amp;"."&amp;$D2130)</f>
        <v/>
      </c>
      <c r="AA2130" s="15">
        <f>IF(IF($AP2130="",FALSE,INDEX(職員マスタ!$K$6:$K$405,$AP2130)&lt;&gt;""),INDEX(職員マスタ!$K$6:$K$405,$AP2130),IF(N($W2130)&gt;0,$W2130,""))</f>
        <v/>
      </c>
      <c r="AB2130" s="14">
        <f>IF(OR($E2130="",$AA2130=""),"",IF($E2130&gt;=$AA2130,"×",IF($E2130&gt;=$AA2130*設定!$C$5,"△","○")))</f>
        <v/>
      </c>
      <c r="AC2130" s="15">
        <f>IF($AB2130="","",IF($AB2130="×",0,IF($AB2130="○",ROUNDDOWN($E2130*設定!$C$4,0),ROUNDDOWN($E2130*ROUND((9*$AA2130-9*$E2130)/(10*$E2130),4),0))))</f>
        <v/>
      </c>
      <c r="AD2130" s="13" t="n"/>
      <c r="AE2130" s="15">
        <f>IF($B2130="","",IF($AD2130&lt;&gt;"",$AD2130,IF($AC2130="","",IF($AC2130&lt;=設定!$C$3,0,$AC2130))))</f>
        <v/>
      </c>
      <c r="AF2130" s="14">
        <f>IF($B2130="","",IF(AND($AG2130&lt;&gt;"",$AI2130="",$AL2130=""),"保留中",IF($AL2130&lt;&gt;"",IF(N($AE2130)&gt;0,"支給済","不支給"),IF($AE2130="","要確認",IF($AE2130=0,"不支給","未処理")))))</f>
        <v/>
      </c>
      <c r="AG2130" s="12" t="n"/>
      <c r="AH2130" s="11" t="n"/>
      <c r="AI2130" s="11" t="n"/>
      <c r="AJ2130" s="11" t="n"/>
      <c r="AK2130" s="14">
        <f>IF(AND($AF2130="保留中",$AH2130&lt;&gt;""),TODAY()-$AH2130,"")</f>
        <v/>
      </c>
      <c r="AL2130" s="12" t="n"/>
      <c r="AM2130" s="14">
        <f>IF($B2130="","",IF($AQ2130="","対象年月が未入力／","")&amp;IF($B2130="","",IF($AP2130="","職員マスタに未登録の職員番号／",IF($AA2130="","標準報酬月額が未登録／","")&amp;IF(AND($AQ2130&lt;&gt;"",OR(AND(INDEX(職員マスタ!$G$6:$G$405,$AP2130)&lt;&gt;"",INDEX(職員マスタ!$G$6:$G$405,$AP2130)&gt;EOMONTH($AQ2130,0)),AND(INDEX(職員マスタ!$H$6:$H$405,$AP2130)&lt;&gt;"",INDEX(職員マスタ!$H$6:$H$405,$AP2130)&lt;$AQ2130))),"対象月が時短期間外／","")&amp;IF(AND(INDEX(職員マスタ!$K$6:$K$405,$AP2130)&lt;&gt;"",N($W2130)&gt;0,INDEX(職員マスタ!$K$6:$K$405,$AP2130)&lt;&gt;$W2130),"標準報酬月額が申請書と相違（台帳"&amp;TEXT(INDEX(職員マスタ!$K$6:$K$405,$AP2130),"#,##0")&amp;"円／申請書"&amp;TEXT($W2130,"#,##0")&amp;"円）／","")&amp;IF(AND(INDEX(職員マスタ!$F$6:$F$405,$AP2130)&lt;&gt;"",$AQ2130&lt;&gt;"",INDEX(職員マスタ!$F$6:$F$405,$AP2130)&lt;$AQ2130),"対象月に子が2歳到達済／","")&amp;IF(AND($H2130&lt;&gt;"",INDEX(職員マスタ!$B$6:$B$405,$AP2130)&lt;&gt;"",SUBSTITUTE(SUBSTITUTE($H2130," ","")," ","")&lt;&gt;SUBSTITUTE(SUBSTITUTE(INDEX(職員マスタ!$B$6:$B$405,$AP2130)," ","")," ","")),"氏名がマスタと相違／","")&amp;IF(AND($Q2130&lt;&gt;"",INDEX(職員マスタ!$E$6:$E$405,$AP2130)&lt;&gt;"",$Q2130&lt;&gt;INDEX(職員マスタ!$E$6:$E$405,$AP2130)),"子の生年月日がマスタと相違／","")&amp;IF(AND($L2130&lt;&gt;"",INDEX(職員マスタ!$G$6:$G$405,$AP2130)&lt;&gt;"",$L2130&lt;&gt;INDEX(職員マスタ!$G$6:$G$405,$AP2130)),"時短開始日がマスタと相違／","")&amp;IF(AND($M2130&lt;&gt;"",INDEX(職員マスタ!$H$6:$H$405,$AP2130)&lt;&gt;"",$M2130&lt;&gt;INDEX(職員マスタ!$H$6:$H$405,$AP2130)),"時短終了日がマスタと相違／","")))&amp;IF(AND($B2130&lt;&gt;"",$E2130=""),"報酬額が未入力／","")&amp;IF(N($U2130)&gt;0,"申請書に入力エラーが残っています／","")&amp;IF(AND($B2130&lt;&gt;"",$AQ2130&lt;&gt;""),IF(COUNTIFS($B$6:$B$3005,$B2130,$C$6:$C$3005,$C2130,$D$6:$D$3005,$D2130)&gt;1,"同じ月の請求が重複しています／",""),"")&amp;IF(AND(N($E2130)&gt;0,$AB2130&lt;&gt;"",$AB2130&lt;&gt;"×",$AE2130=0,$AD2130=""),"計算額が下限以下のため不支給／",""))</f>
        <v/>
      </c>
      <c r="AN2130" s="12" t="n"/>
      <c r="AO2130" s="14">
        <f>IF($AF2130="保留中",COUNTIF($AF$6:$AF2130,"保留中"),"")</f>
        <v/>
      </c>
      <c r="AP2130" s="14">
        <f>IF($AQ2130="","",IF(SUMPRODUCT(MAX((職員マスタ!$A$6:$A$405=$B2130)*(((職員マスタ!$G$6:$G$405="")+(職員マスタ!$G$6:$G$405&lt;=EOMONTH($AQ2130,0)))&gt;0)*(((職員マスタ!$H$6:$H$405="")+(職員マスタ!$H$6:$H$405&gt;=$AQ2130))&gt;0)*(ROW(職員マスタ!$A$6:$A$405)-5)))&gt;0,SUMPRODUCT(MAX((職員マスタ!$A$6:$A$405=$B2130)*(((職員マスタ!$G$6:$G$405="")+(職員マスタ!$G$6:$G$405&lt;=EOMONTH($AQ2130,0)))&gt;0)*(((職員マスタ!$H$6:$H$405="")+(職員マスタ!$H$6:$H$405&gt;=$AQ2130))&gt;0)*(ROW(職員マスタ!$A$6:$A$405)-5))),IFERROR(MATCH($B2130,職員マスタ!$A$6:$A$405,0),"")))</f>
        <v/>
      </c>
      <c r="AQ2130" s="16">
        <f>IF(OR($B2130="",$C2130="",$D2130=""),"",DATE($C2130+2018,$D2130,1))</f>
        <v/>
      </c>
    </row>
    <row r="2131">
      <c r="A2131" s="11" t="n"/>
      <c r="B2131" s="12" t="n"/>
      <c r="C2131" s="12" t="n"/>
      <c r="D2131" s="12" t="n"/>
      <c r="E2131" s="13" t="n"/>
      <c r="F2131" s="12" t="n"/>
      <c r="G2131" s="13" t="n"/>
      <c r="H2131" s="12" t="n"/>
      <c r="I2131" s="12" t="n"/>
      <c r="J2131" s="12" t="n"/>
      <c r="K2131" s="12" t="n"/>
      <c r="L2131" s="11" t="n"/>
      <c r="M2131" s="11" t="n"/>
      <c r="N2131" s="11" t="n"/>
      <c r="O2131" s="11" t="n"/>
      <c r="P2131" s="12" t="n"/>
      <c r="Q2131" s="11" t="n"/>
      <c r="R2131" s="12" t="n"/>
      <c r="S2131" s="11" t="n"/>
      <c r="T2131" s="12" t="n"/>
      <c r="U2131" s="12" t="n"/>
      <c r="V2131" s="12" t="n"/>
      <c r="W2131" s="13" t="n"/>
      <c r="X2131" s="14">
        <f>IF($AP2131="",IF($B2131="","",$H2131),IF(INDEX(職員マスタ!$B$6:$B$405,$AP2131)="",$H2131,INDEX(職員マスタ!$B$6:$B$405,$AP2131)))</f>
        <v/>
      </c>
      <c r="Y2131" s="14">
        <f>IF($AP2131="",IF($B2131="","",$R2131),IF(INDEX(職員マスタ!$C$6:$C$405,$AP2131)="",$R2131,INDEX(職員マスタ!$C$6:$C$405,$AP2131)))</f>
        <v/>
      </c>
      <c r="Z2131" s="14">
        <f>IF($AQ2131="","","R"&amp;$C2131&amp;"."&amp;$D2131)</f>
        <v/>
      </c>
      <c r="AA2131" s="15">
        <f>IF(IF($AP2131="",FALSE,INDEX(職員マスタ!$K$6:$K$405,$AP2131)&lt;&gt;""),INDEX(職員マスタ!$K$6:$K$405,$AP2131),IF(N($W2131)&gt;0,$W2131,""))</f>
        <v/>
      </c>
      <c r="AB2131" s="14">
        <f>IF(OR($E2131="",$AA2131=""),"",IF($E2131&gt;=$AA2131,"×",IF($E2131&gt;=$AA2131*設定!$C$5,"△","○")))</f>
        <v/>
      </c>
      <c r="AC2131" s="15">
        <f>IF($AB2131="","",IF($AB2131="×",0,IF($AB2131="○",ROUNDDOWN($E2131*設定!$C$4,0),ROUNDDOWN($E2131*ROUND((9*$AA2131-9*$E2131)/(10*$E2131),4),0))))</f>
        <v/>
      </c>
      <c r="AD2131" s="13" t="n"/>
      <c r="AE2131" s="15">
        <f>IF($B2131="","",IF($AD2131&lt;&gt;"",$AD2131,IF($AC2131="","",IF($AC2131&lt;=設定!$C$3,0,$AC2131))))</f>
        <v/>
      </c>
      <c r="AF2131" s="14">
        <f>IF($B2131="","",IF(AND($AG2131&lt;&gt;"",$AI2131="",$AL2131=""),"保留中",IF($AL2131&lt;&gt;"",IF(N($AE2131)&gt;0,"支給済","不支給"),IF($AE2131="","要確認",IF($AE2131=0,"不支給","未処理")))))</f>
        <v/>
      </c>
      <c r="AG2131" s="12" t="n"/>
      <c r="AH2131" s="11" t="n"/>
      <c r="AI2131" s="11" t="n"/>
      <c r="AJ2131" s="11" t="n"/>
      <c r="AK2131" s="14">
        <f>IF(AND($AF2131="保留中",$AH2131&lt;&gt;""),TODAY()-$AH2131,"")</f>
        <v/>
      </c>
      <c r="AL2131" s="12" t="n"/>
      <c r="AM2131" s="14">
        <f>IF($B2131="","",IF($AQ2131="","対象年月が未入力／","")&amp;IF($B2131="","",IF($AP2131="","職員マスタに未登録の職員番号／",IF($AA2131="","標準報酬月額が未登録／","")&amp;IF(AND($AQ2131&lt;&gt;"",OR(AND(INDEX(職員マスタ!$G$6:$G$405,$AP2131)&lt;&gt;"",INDEX(職員マスタ!$G$6:$G$405,$AP2131)&gt;EOMONTH($AQ2131,0)),AND(INDEX(職員マスタ!$H$6:$H$405,$AP2131)&lt;&gt;"",INDEX(職員マスタ!$H$6:$H$405,$AP2131)&lt;$AQ2131))),"対象月が時短期間外／","")&amp;IF(AND(INDEX(職員マスタ!$K$6:$K$405,$AP2131)&lt;&gt;"",N($W2131)&gt;0,INDEX(職員マスタ!$K$6:$K$405,$AP2131)&lt;&gt;$W2131),"標準報酬月額が申請書と相違（台帳"&amp;TEXT(INDEX(職員マスタ!$K$6:$K$405,$AP2131),"#,##0")&amp;"円／申請書"&amp;TEXT($W2131,"#,##0")&amp;"円）／","")&amp;IF(AND(INDEX(職員マスタ!$F$6:$F$405,$AP2131)&lt;&gt;"",$AQ2131&lt;&gt;"",INDEX(職員マスタ!$F$6:$F$405,$AP2131)&lt;$AQ2131),"対象月に子が2歳到達済／","")&amp;IF(AND($H2131&lt;&gt;"",INDEX(職員マスタ!$B$6:$B$405,$AP2131)&lt;&gt;"",SUBSTITUTE(SUBSTITUTE($H2131," ","")," ","")&lt;&gt;SUBSTITUTE(SUBSTITUTE(INDEX(職員マスタ!$B$6:$B$405,$AP2131)," ","")," ","")),"氏名がマスタと相違／","")&amp;IF(AND($Q2131&lt;&gt;"",INDEX(職員マスタ!$E$6:$E$405,$AP2131)&lt;&gt;"",$Q2131&lt;&gt;INDEX(職員マスタ!$E$6:$E$405,$AP2131)),"子の生年月日がマスタと相違／","")&amp;IF(AND($L2131&lt;&gt;"",INDEX(職員マスタ!$G$6:$G$405,$AP2131)&lt;&gt;"",$L2131&lt;&gt;INDEX(職員マスタ!$G$6:$G$405,$AP2131)),"時短開始日がマスタと相違／","")&amp;IF(AND($M2131&lt;&gt;"",INDEX(職員マスタ!$H$6:$H$405,$AP2131)&lt;&gt;"",$M2131&lt;&gt;INDEX(職員マスタ!$H$6:$H$405,$AP2131)),"時短終了日がマスタと相違／","")))&amp;IF(AND($B2131&lt;&gt;"",$E2131=""),"報酬額が未入力／","")&amp;IF(N($U2131)&gt;0,"申請書に入力エラーが残っています／","")&amp;IF(AND($B2131&lt;&gt;"",$AQ2131&lt;&gt;""),IF(COUNTIFS($B$6:$B$3005,$B2131,$C$6:$C$3005,$C2131,$D$6:$D$3005,$D2131)&gt;1,"同じ月の請求が重複しています／",""),"")&amp;IF(AND(N($E2131)&gt;0,$AB2131&lt;&gt;"",$AB2131&lt;&gt;"×",$AE2131=0,$AD2131=""),"計算額が下限以下のため不支給／",""))</f>
        <v/>
      </c>
      <c r="AN2131" s="12" t="n"/>
      <c r="AO2131" s="14">
        <f>IF($AF2131="保留中",COUNTIF($AF$6:$AF2131,"保留中"),"")</f>
        <v/>
      </c>
      <c r="AP2131" s="14">
        <f>IF($AQ2131="","",IF(SUMPRODUCT(MAX((職員マスタ!$A$6:$A$405=$B2131)*(((職員マスタ!$G$6:$G$405="")+(職員マスタ!$G$6:$G$405&lt;=EOMONTH($AQ2131,0)))&gt;0)*(((職員マスタ!$H$6:$H$405="")+(職員マスタ!$H$6:$H$405&gt;=$AQ2131))&gt;0)*(ROW(職員マスタ!$A$6:$A$405)-5)))&gt;0,SUMPRODUCT(MAX((職員マスタ!$A$6:$A$405=$B2131)*(((職員マスタ!$G$6:$G$405="")+(職員マスタ!$G$6:$G$405&lt;=EOMONTH($AQ2131,0)))&gt;0)*(((職員マスタ!$H$6:$H$405="")+(職員マスタ!$H$6:$H$405&gt;=$AQ2131))&gt;0)*(ROW(職員マスタ!$A$6:$A$405)-5))),IFERROR(MATCH($B2131,職員マスタ!$A$6:$A$405,0),"")))</f>
        <v/>
      </c>
      <c r="AQ2131" s="16">
        <f>IF(OR($B2131="",$C2131="",$D2131=""),"",DATE($C2131+2018,$D2131,1))</f>
        <v/>
      </c>
    </row>
    <row r="2132">
      <c r="A2132" s="11" t="n"/>
      <c r="B2132" s="12" t="n"/>
      <c r="C2132" s="12" t="n"/>
      <c r="D2132" s="12" t="n"/>
      <c r="E2132" s="13" t="n"/>
      <c r="F2132" s="12" t="n"/>
      <c r="G2132" s="13" t="n"/>
      <c r="H2132" s="12" t="n"/>
      <c r="I2132" s="12" t="n"/>
      <c r="J2132" s="12" t="n"/>
      <c r="K2132" s="12" t="n"/>
      <c r="L2132" s="11" t="n"/>
      <c r="M2132" s="11" t="n"/>
      <c r="N2132" s="11" t="n"/>
      <c r="O2132" s="11" t="n"/>
      <c r="P2132" s="12" t="n"/>
      <c r="Q2132" s="11" t="n"/>
      <c r="R2132" s="12" t="n"/>
      <c r="S2132" s="11" t="n"/>
      <c r="T2132" s="12" t="n"/>
      <c r="U2132" s="12" t="n"/>
      <c r="V2132" s="12" t="n"/>
      <c r="W2132" s="13" t="n"/>
      <c r="X2132" s="14">
        <f>IF($AP2132="",IF($B2132="","",$H2132),IF(INDEX(職員マスタ!$B$6:$B$405,$AP2132)="",$H2132,INDEX(職員マスタ!$B$6:$B$405,$AP2132)))</f>
        <v/>
      </c>
      <c r="Y2132" s="14">
        <f>IF($AP2132="",IF($B2132="","",$R2132),IF(INDEX(職員マスタ!$C$6:$C$405,$AP2132)="",$R2132,INDEX(職員マスタ!$C$6:$C$405,$AP2132)))</f>
        <v/>
      </c>
      <c r="Z2132" s="14">
        <f>IF($AQ2132="","","R"&amp;$C2132&amp;"."&amp;$D2132)</f>
        <v/>
      </c>
      <c r="AA2132" s="15">
        <f>IF(IF($AP2132="",FALSE,INDEX(職員マスタ!$K$6:$K$405,$AP2132)&lt;&gt;""),INDEX(職員マスタ!$K$6:$K$405,$AP2132),IF(N($W2132)&gt;0,$W2132,""))</f>
        <v/>
      </c>
      <c r="AB2132" s="14">
        <f>IF(OR($E2132="",$AA2132=""),"",IF($E2132&gt;=$AA2132,"×",IF($E2132&gt;=$AA2132*設定!$C$5,"△","○")))</f>
        <v/>
      </c>
      <c r="AC2132" s="15">
        <f>IF($AB2132="","",IF($AB2132="×",0,IF($AB2132="○",ROUNDDOWN($E2132*設定!$C$4,0),ROUNDDOWN($E2132*ROUND((9*$AA2132-9*$E2132)/(10*$E2132),4),0))))</f>
        <v/>
      </c>
      <c r="AD2132" s="13" t="n"/>
      <c r="AE2132" s="15">
        <f>IF($B2132="","",IF($AD2132&lt;&gt;"",$AD2132,IF($AC2132="","",IF($AC2132&lt;=設定!$C$3,0,$AC2132))))</f>
        <v/>
      </c>
      <c r="AF2132" s="14">
        <f>IF($B2132="","",IF(AND($AG2132&lt;&gt;"",$AI2132="",$AL2132=""),"保留中",IF($AL2132&lt;&gt;"",IF(N($AE2132)&gt;0,"支給済","不支給"),IF($AE2132="","要確認",IF($AE2132=0,"不支給","未処理")))))</f>
        <v/>
      </c>
      <c r="AG2132" s="12" t="n"/>
      <c r="AH2132" s="11" t="n"/>
      <c r="AI2132" s="11" t="n"/>
      <c r="AJ2132" s="11" t="n"/>
      <c r="AK2132" s="14">
        <f>IF(AND($AF2132="保留中",$AH2132&lt;&gt;""),TODAY()-$AH2132,"")</f>
        <v/>
      </c>
      <c r="AL2132" s="12" t="n"/>
      <c r="AM2132" s="14">
        <f>IF($B2132="","",IF($AQ2132="","対象年月が未入力／","")&amp;IF($B2132="","",IF($AP2132="","職員マスタに未登録の職員番号／",IF($AA2132="","標準報酬月額が未登録／","")&amp;IF(AND($AQ2132&lt;&gt;"",OR(AND(INDEX(職員マスタ!$G$6:$G$405,$AP2132)&lt;&gt;"",INDEX(職員マスタ!$G$6:$G$405,$AP2132)&gt;EOMONTH($AQ2132,0)),AND(INDEX(職員マスタ!$H$6:$H$405,$AP2132)&lt;&gt;"",INDEX(職員マスタ!$H$6:$H$405,$AP2132)&lt;$AQ2132))),"対象月が時短期間外／","")&amp;IF(AND(INDEX(職員マスタ!$K$6:$K$405,$AP2132)&lt;&gt;"",N($W2132)&gt;0,INDEX(職員マスタ!$K$6:$K$405,$AP2132)&lt;&gt;$W2132),"標準報酬月額が申請書と相違（台帳"&amp;TEXT(INDEX(職員マスタ!$K$6:$K$405,$AP2132),"#,##0")&amp;"円／申請書"&amp;TEXT($W2132,"#,##0")&amp;"円）／","")&amp;IF(AND(INDEX(職員マスタ!$F$6:$F$405,$AP2132)&lt;&gt;"",$AQ2132&lt;&gt;"",INDEX(職員マスタ!$F$6:$F$405,$AP2132)&lt;$AQ2132),"対象月に子が2歳到達済／","")&amp;IF(AND($H2132&lt;&gt;"",INDEX(職員マスタ!$B$6:$B$405,$AP2132)&lt;&gt;"",SUBSTITUTE(SUBSTITUTE($H2132," ","")," ","")&lt;&gt;SUBSTITUTE(SUBSTITUTE(INDEX(職員マスタ!$B$6:$B$405,$AP2132)," ","")," ","")),"氏名がマスタと相違／","")&amp;IF(AND($Q2132&lt;&gt;"",INDEX(職員マスタ!$E$6:$E$405,$AP2132)&lt;&gt;"",$Q2132&lt;&gt;INDEX(職員マスタ!$E$6:$E$405,$AP2132)),"子の生年月日がマスタと相違／","")&amp;IF(AND($L2132&lt;&gt;"",INDEX(職員マスタ!$G$6:$G$405,$AP2132)&lt;&gt;"",$L2132&lt;&gt;INDEX(職員マスタ!$G$6:$G$405,$AP2132)),"時短開始日がマスタと相違／","")&amp;IF(AND($M2132&lt;&gt;"",INDEX(職員マスタ!$H$6:$H$405,$AP2132)&lt;&gt;"",$M2132&lt;&gt;INDEX(職員マスタ!$H$6:$H$405,$AP2132)),"時短終了日がマスタと相違／","")))&amp;IF(AND($B2132&lt;&gt;"",$E2132=""),"報酬額が未入力／","")&amp;IF(N($U2132)&gt;0,"申請書に入力エラーが残っています／","")&amp;IF(AND($B2132&lt;&gt;"",$AQ2132&lt;&gt;""),IF(COUNTIFS($B$6:$B$3005,$B2132,$C$6:$C$3005,$C2132,$D$6:$D$3005,$D2132)&gt;1,"同じ月の請求が重複しています／",""),"")&amp;IF(AND(N($E2132)&gt;0,$AB2132&lt;&gt;"",$AB2132&lt;&gt;"×",$AE2132=0,$AD2132=""),"計算額が下限以下のため不支給／",""))</f>
        <v/>
      </c>
      <c r="AN2132" s="12" t="n"/>
      <c r="AO2132" s="14">
        <f>IF($AF2132="保留中",COUNTIF($AF$6:$AF2132,"保留中"),"")</f>
        <v/>
      </c>
      <c r="AP2132" s="14">
        <f>IF($AQ2132="","",IF(SUMPRODUCT(MAX((職員マスタ!$A$6:$A$405=$B2132)*(((職員マスタ!$G$6:$G$405="")+(職員マスタ!$G$6:$G$405&lt;=EOMONTH($AQ2132,0)))&gt;0)*(((職員マスタ!$H$6:$H$405="")+(職員マスタ!$H$6:$H$405&gt;=$AQ2132))&gt;0)*(ROW(職員マスタ!$A$6:$A$405)-5)))&gt;0,SUMPRODUCT(MAX((職員マスタ!$A$6:$A$405=$B2132)*(((職員マスタ!$G$6:$G$405="")+(職員マスタ!$G$6:$G$405&lt;=EOMONTH($AQ2132,0)))&gt;0)*(((職員マスタ!$H$6:$H$405="")+(職員マスタ!$H$6:$H$405&gt;=$AQ2132))&gt;0)*(ROW(職員マスタ!$A$6:$A$405)-5))),IFERROR(MATCH($B2132,職員マスタ!$A$6:$A$405,0),"")))</f>
        <v/>
      </c>
      <c r="AQ2132" s="16">
        <f>IF(OR($B2132="",$C2132="",$D2132=""),"",DATE($C2132+2018,$D2132,1))</f>
        <v/>
      </c>
    </row>
    <row r="2133">
      <c r="A2133" s="11" t="n"/>
      <c r="B2133" s="12" t="n"/>
      <c r="C2133" s="12" t="n"/>
      <c r="D2133" s="12" t="n"/>
      <c r="E2133" s="13" t="n"/>
      <c r="F2133" s="12" t="n"/>
      <c r="G2133" s="13" t="n"/>
      <c r="H2133" s="12" t="n"/>
      <c r="I2133" s="12" t="n"/>
      <c r="J2133" s="12" t="n"/>
      <c r="K2133" s="12" t="n"/>
      <c r="L2133" s="11" t="n"/>
      <c r="M2133" s="11" t="n"/>
      <c r="N2133" s="11" t="n"/>
      <c r="O2133" s="11" t="n"/>
      <c r="P2133" s="12" t="n"/>
      <c r="Q2133" s="11" t="n"/>
      <c r="R2133" s="12" t="n"/>
      <c r="S2133" s="11" t="n"/>
      <c r="T2133" s="12" t="n"/>
      <c r="U2133" s="12" t="n"/>
      <c r="V2133" s="12" t="n"/>
      <c r="W2133" s="13" t="n"/>
      <c r="X2133" s="14">
        <f>IF($AP2133="",IF($B2133="","",$H2133),IF(INDEX(職員マスタ!$B$6:$B$405,$AP2133)="",$H2133,INDEX(職員マスタ!$B$6:$B$405,$AP2133)))</f>
        <v/>
      </c>
      <c r="Y2133" s="14">
        <f>IF($AP2133="",IF($B2133="","",$R2133),IF(INDEX(職員マスタ!$C$6:$C$405,$AP2133)="",$R2133,INDEX(職員マスタ!$C$6:$C$405,$AP2133)))</f>
        <v/>
      </c>
      <c r="Z2133" s="14">
        <f>IF($AQ2133="","","R"&amp;$C2133&amp;"."&amp;$D2133)</f>
        <v/>
      </c>
      <c r="AA2133" s="15">
        <f>IF(IF($AP2133="",FALSE,INDEX(職員マスタ!$K$6:$K$405,$AP2133)&lt;&gt;""),INDEX(職員マスタ!$K$6:$K$405,$AP2133),IF(N($W2133)&gt;0,$W2133,""))</f>
        <v/>
      </c>
      <c r="AB2133" s="14">
        <f>IF(OR($E2133="",$AA2133=""),"",IF($E2133&gt;=$AA2133,"×",IF($E2133&gt;=$AA2133*設定!$C$5,"△","○")))</f>
        <v/>
      </c>
      <c r="AC2133" s="15">
        <f>IF($AB2133="","",IF($AB2133="×",0,IF($AB2133="○",ROUNDDOWN($E2133*設定!$C$4,0),ROUNDDOWN($E2133*ROUND((9*$AA2133-9*$E2133)/(10*$E2133),4),0))))</f>
        <v/>
      </c>
      <c r="AD2133" s="13" t="n"/>
      <c r="AE2133" s="15">
        <f>IF($B2133="","",IF($AD2133&lt;&gt;"",$AD2133,IF($AC2133="","",IF($AC2133&lt;=設定!$C$3,0,$AC2133))))</f>
        <v/>
      </c>
      <c r="AF2133" s="14">
        <f>IF($B2133="","",IF(AND($AG2133&lt;&gt;"",$AI2133="",$AL2133=""),"保留中",IF($AL2133&lt;&gt;"",IF(N($AE2133)&gt;0,"支給済","不支給"),IF($AE2133="","要確認",IF($AE2133=0,"不支給","未処理")))))</f>
        <v/>
      </c>
      <c r="AG2133" s="12" t="n"/>
      <c r="AH2133" s="11" t="n"/>
      <c r="AI2133" s="11" t="n"/>
      <c r="AJ2133" s="11" t="n"/>
      <c r="AK2133" s="14">
        <f>IF(AND($AF2133="保留中",$AH2133&lt;&gt;""),TODAY()-$AH2133,"")</f>
        <v/>
      </c>
      <c r="AL2133" s="12" t="n"/>
      <c r="AM2133" s="14">
        <f>IF($B2133="","",IF($AQ2133="","対象年月が未入力／","")&amp;IF($B2133="","",IF($AP2133="","職員マスタに未登録の職員番号／",IF($AA2133="","標準報酬月額が未登録／","")&amp;IF(AND($AQ2133&lt;&gt;"",OR(AND(INDEX(職員マスタ!$G$6:$G$405,$AP2133)&lt;&gt;"",INDEX(職員マスタ!$G$6:$G$405,$AP2133)&gt;EOMONTH($AQ2133,0)),AND(INDEX(職員マスタ!$H$6:$H$405,$AP2133)&lt;&gt;"",INDEX(職員マスタ!$H$6:$H$405,$AP2133)&lt;$AQ2133))),"対象月が時短期間外／","")&amp;IF(AND(INDEX(職員マスタ!$K$6:$K$405,$AP2133)&lt;&gt;"",N($W2133)&gt;0,INDEX(職員マスタ!$K$6:$K$405,$AP2133)&lt;&gt;$W2133),"標準報酬月額が申請書と相違（台帳"&amp;TEXT(INDEX(職員マスタ!$K$6:$K$405,$AP2133),"#,##0")&amp;"円／申請書"&amp;TEXT($W2133,"#,##0")&amp;"円）／","")&amp;IF(AND(INDEX(職員マスタ!$F$6:$F$405,$AP2133)&lt;&gt;"",$AQ2133&lt;&gt;"",INDEX(職員マスタ!$F$6:$F$405,$AP2133)&lt;$AQ2133),"対象月に子が2歳到達済／","")&amp;IF(AND($H2133&lt;&gt;"",INDEX(職員マスタ!$B$6:$B$405,$AP2133)&lt;&gt;"",SUBSTITUTE(SUBSTITUTE($H2133," ","")," ","")&lt;&gt;SUBSTITUTE(SUBSTITUTE(INDEX(職員マスタ!$B$6:$B$405,$AP2133)," ","")," ","")),"氏名がマスタと相違／","")&amp;IF(AND($Q2133&lt;&gt;"",INDEX(職員マスタ!$E$6:$E$405,$AP2133)&lt;&gt;"",$Q2133&lt;&gt;INDEX(職員マスタ!$E$6:$E$405,$AP2133)),"子の生年月日がマスタと相違／","")&amp;IF(AND($L2133&lt;&gt;"",INDEX(職員マスタ!$G$6:$G$405,$AP2133)&lt;&gt;"",$L2133&lt;&gt;INDEX(職員マスタ!$G$6:$G$405,$AP2133)),"時短開始日がマスタと相違／","")&amp;IF(AND($M2133&lt;&gt;"",INDEX(職員マスタ!$H$6:$H$405,$AP2133)&lt;&gt;"",$M2133&lt;&gt;INDEX(職員マスタ!$H$6:$H$405,$AP2133)),"時短終了日がマスタと相違／","")))&amp;IF(AND($B2133&lt;&gt;"",$E2133=""),"報酬額が未入力／","")&amp;IF(N($U2133)&gt;0,"申請書に入力エラーが残っています／","")&amp;IF(AND($B2133&lt;&gt;"",$AQ2133&lt;&gt;""),IF(COUNTIFS($B$6:$B$3005,$B2133,$C$6:$C$3005,$C2133,$D$6:$D$3005,$D2133)&gt;1,"同じ月の請求が重複しています／",""),"")&amp;IF(AND(N($E2133)&gt;0,$AB2133&lt;&gt;"",$AB2133&lt;&gt;"×",$AE2133=0,$AD2133=""),"計算額が下限以下のため不支給／",""))</f>
        <v/>
      </c>
      <c r="AN2133" s="12" t="n"/>
      <c r="AO2133" s="14">
        <f>IF($AF2133="保留中",COUNTIF($AF$6:$AF2133,"保留中"),"")</f>
        <v/>
      </c>
      <c r="AP2133" s="14">
        <f>IF($AQ2133="","",IF(SUMPRODUCT(MAX((職員マスタ!$A$6:$A$405=$B2133)*(((職員マスタ!$G$6:$G$405="")+(職員マスタ!$G$6:$G$405&lt;=EOMONTH($AQ2133,0)))&gt;0)*(((職員マスタ!$H$6:$H$405="")+(職員マスタ!$H$6:$H$405&gt;=$AQ2133))&gt;0)*(ROW(職員マスタ!$A$6:$A$405)-5)))&gt;0,SUMPRODUCT(MAX((職員マスタ!$A$6:$A$405=$B2133)*(((職員マスタ!$G$6:$G$405="")+(職員マスタ!$G$6:$G$405&lt;=EOMONTH($AQ2133,0)))&gt;0)*(((職員マスタ!$H$6:$H$405="")+(職員マスタ!$H$6:$H$405&gt;=$AQ2133))&gt;0)*(ROW(職員マスタ!$A$6:$A$405)-5))),IFERROR(MATCH($B2133,職員マスタ!$A$6:$A$405,0),"")))</f>
        <v/>
      </c>
      <c r="AQ2133" s="16">
        <f>IF(OR($B2133="",$C2133="",$D2133=""),"",DATE($C2133+2018,$D2133,1))</f>
        <v/>
      </c>
    </row>
    <row r="2134">
      <c r="A2134" s="11" t="n"/>
      <c r="B2134" s="12" t="n"/>
      <c r="C2134" s="12" t="n"/>
      <c r="D2134" s="12" t="n"/>
      <c r="E2134" s="13" t="n"/>
      <c r="F2134" s="12" t="n"/>
      <c r="G2134" s="13" t="n"/>
      <c r="H2134" s="12" t="n"/>
      <c r="I2134" s="12" t="n"/>
      <c r="J2134" s="12" t="n"/>
      <c r="K2134" s="12" t="n"/>
      <c r="L2134" s="11" t="n"/>
      <c r="M2134" s="11" t="n"/>
      <c r="N2134" s="11" t="n"/>
      <c r="O2134" s="11" t="n"/>
      <c r="P2134" s="12" t="n"/>
      <c r="Q2134" s="11" t="n"/>
      <c r="R2134" s="12" t="n"/>
      <c r="S2134" s="11" t="n"/>
      <c r="T2134" s="12" t="n"/>
      <c r="U2134" s="12" t="n"/>
      <c r="V2134" s="12" t="n"/>
      <c r="W2134" s="13" t="n"/>
      <c r="X2134" s="14">
        <f>IF($AP2134="",IF($B2134="","",$H2134),IF(INDEX(職員マスタ!$B$6:$B$405,$AP2134)="",$H2134,INDEX(職員マスタ!$B$6:$B$405,$AP2134)))</f>
        <v/>
      </c>
      <c r="Y2134" s="14">
        <f>IF($AP2134="",IF($B2134="","",$R2134),IF(INDEX(職員マスタ!$C$6:$C$405,$AP2134)="",$R2134,INDEX(職員マスタ!$C$6:$C$405,$AP2134)))</f>
        <v/>
      </c>
      <c r="Z2134" s="14">
        <f>IF($AQ2134="","","R"&amp;$C2134&amp;"."&amp;$D2134)</f>
        <v/>
      </c>
      <c r="AA2134" s="15">
        <f>IF(IF($AP2134="",FALSE,INDEX(職員マスタ!$K$6:$K$405,$AP2134)&lt;&gt;""),INDEX(職員マスタ!$K$6:$K$405,$AP2134),IF(N($W2134)&gt;0,$W2134,""))</f>
        <v/>
      </c>
      <c r="AB2134" s="14">
        <f>IF(OR($E2134="",$AA2134=""),"",IF($E2134&gt;=$AA2134,"×",IF($E2134&gt;=$AA2134*設定!$C$5,"△","○")))</f>
        <v/>
      </c>
      <c r="AC2134" s="15">
        <f>IF($AB2134="","",IF($AB2134="×",0,IF($AB2134="○",ROUNDDOWN($E2134*設定!$C$4,0),ROUNDDOWN($E2134*ROUND((9*$AA2134-9*$E2134)/(10*$E2134),4),0))))</f>
        <v/>
      </c>
      <c r="AD2134" s="13" t="n"/>
      <c r="AE2134" s="15">
        <f>IF($B2134="","",IF($AD2134&lt;&gt;"",$AD2134,IF($AC2134="","",IF($AC2134&lt;=設定!$C$3,0,$AC2134))))</f>
        <v/>
      </c>
      <c r="AF2134" s="14">
        <f>IF($B2134="","",IF(AND($AG2134&lt;&gt;"",$AI2134="",$AL2134=""),"保留中",IF($AL2134&lt;&gt;"",IF(N($AE2134)&gt;0,"支給済","不支給"),IF($AE2134="","要確認",IF($AE2134=0,"不支給","未処理")))))</f>
        <v/>
      </c>
      <c r="AG2134" s="12" t="n"/>
      <c r="AH2134" s="11" t="n"/>
      <c r="AI2134" s="11" t="n"/>
      <c r="AJ2134" s="11" t="n"/>
      <c r="AK2134" s="14">
        <f>IF(AND($AF2134="保留中",$AH2134&lt;&gt;""),TODAY()-$AH2134,"")</f>
        <v/>
      </c>
      <c r="AL2134" s="12" t="n"/>
      <c r="AM2134" s="14">
        <f>IF($B2134="","",IF($AQ2134="","対象年月が未入力／","")&amp;IF($B2134="","",IF($AP2134="","職員マスタに未登録の職員番号／",IF($AA2134="","標準報酬月額が未登録／","")&amp;IF(AND($AQ2134&lt;&gt;"",OR(AND(INDEX(職員マスタ!$G$6:$G$405,$AP2134)&lt;&gt;"",INDEX(職員マスタ!$G$6:$G$405,$AP2134)&gt;EOMONTH($AQ2134,0)),AND(INDEX(職員マスタ!$H$6:$H$405,$AP2134)&lt;&gt;"",INDEX(職員マスタ!$H$6:$H$405,$AP2134)&lt;$AQ2134))),"対象月が時短期間外／","")&amp;IF(AND(INDEX(職員マスタ!$K$6:$K$405,$AP2134)&lt;&gt;"",N($W2134)&gt;0,INDEX(職員マスタ!$K$6:$K$405,$AP2134)&lt;&gt;$W2134),"標準報酬月額が申請書と相違（台帳"&amp;TEXT(INDEX(職員マスタ!$K$6:$K$405,$AP2134),"#,##0")&amp;"円／申請書"&amp;TEXT($W2134,"#,##0")&amp;"円）／","")&amp;IF(AND(INDEX(職員マスタ!$F$6:$F$405,$AP2134)&lt;&gt;"",$AQ2134&lt;&gt;"",INDEX(職員マスタ!$F$6:$F$405,$AP2134)&lt;$AQ2134),"対象月に子が2歳到達済／","")&amp;IF(AND($H2134&lt;&gt;"",INDEX(職員マスタ!$B$6:$B$405,$AP2134)&lt;&gt;"",SUBSTITUTE(SUBSTITUTE($H2134," ","")," ","")&lt;&gt;SUBSTITUTE(SUBSTITUTE(INDEX(職員マスタ!$B$6:$B$405,$AP2134)," ","")," ","")),"氏名がマスタと相違／","")&amp;IF(AND($Q2134&lt;&gt;"",INDEX(職員マスタ!$E$6:$E$405,$AP2134)&lt;&gt;"",$Q2134&lt;&gt;INDEX(職員マスタ!$E$6:$E$405,$AP2134)),"子の生年月日がマスタと相違／","")&amp;IF(AND($L2134&lt;&gt;"",INDEX(職員マスタ!$G$6:$G$405,$AP2134)&lt;&gt;"",$L2134&lt;&gt;INDEX(職員マスタ!$G$6:$G$405,$AP2134)),"時短開始日がマスタと相違／","")&amp;IF(AND($M2134&lt;&gt;"",INDEX(職員マスタ!$H$6:$H$405,$AP2134)&lt;&gt;"",$M2134&lt;&gt;INDEX(職員マスタ!$H$6:$H$405,$AP2134)),"時短終了日がマスタと相違／","")))&amp;IF(AND($B2134&lt;&gt;"",$E2134=""),"報酬額が未入力／","")&amp;IF(N($U2134)&gt;0,"申請書に入力エラーが残っています／","")&amp;IF(AND($B2134&lt;&gt;"",$AQ2134&lt;&gt;""),IF(COUNTIFS($B$6:$B$3005,$B2134,$C$6:$C$3005,$C2134,$D$6:$D$3005,$D2134)&gt;1,"同じ月の請求が重複しています／",""),"")&amp;IF(AND(N($E2134)&gt;0,$AB2134&lt;&gt;"",$AB2134&lt;&gt;"×",$AE2134=0,$AD2134=""),"計算額が下限以下のため不支給／",""))</f>
        <v/>
      </c>
      <c r="AN2134" s="12" t="n"/>
      <c r="AO2134" s="14">
        <f>IF($AF2134="保留中",COUNTIF($AF$6:$AF2134,"保留中"),"")</f>
        <v/>
      </c>
      <c r="AP2134" s="14">
        <f>IF($AQ2134="","",IF(SUMPRODUCT(MAX((職員マスタ!$A$6:$A$405=$B2134)*(((職員マスタ!$G$6:$G$405="")+(職員マスタ!$G$6:$G$405&lt;=EOMONTH($AQ2134,0)))&gt;0)*(((職員マスタ!$H$6:$H$405="")+(職員マスタ!$H$6:$H$405&gt;=$AQ2134))&gt;0)*(ROW(職員マスタ!$A$6:$A$405)-5)))&gt;0,SUMPRODUCT(MAX((職員マスタ!$A$6:$A$405=$B2134)*(((職員マスタ!$G$6:$G$405="")+(職員マスタ!$G$6:$G$405&lt;=EOMONTH($AQ2134,0)))&gt;0)*(((職員マスタ!$H$6:$H$405="")+(職員マスタ!$H$6:$H$405&gt;=$AQ2134))&gt;0)*(ROW(職員マスタ!$A$6:$A$405)-5))),IFERROR(MATCH($B2134,職員マスタ!$A$6:$A$405,0),"")))</f>
        <v/>
      </c>
      <c r="AQ2134" s="16">
        <f>IF(OR($B2134="",$C2134="",$D2134=""),"",DATE($C2134+2018,$D2134,1))</f>
        <v/>
      </c>
    </row>
    <row r="2135">
      <c r="A2135" s="11" t="n"/>
      <c r="B2135" s="12" t="n"/>
      <c r="C2135" s="12" t="n"/>
      <c r="D2135" s="12" t="n"/>
      <c r="E2135" s="13" t="n"/>
      <c r="F2135" s="12" t="n"/>
      <c r="G2135" s="13" t="n"/>
      <c r="H2135" s="12" t="n"/>
      <c r="I2135" s="12" t="n"/>
      <c r="J2135" s="12" t="n"/>
      <c r="K2135" s="12" t="n"/>
      <c r="L2135" s="11" t="n"/>
      <c r="M2135" s="11" t="n"/>
      <c r="N2135" s="11" t="n"/>
      <c r="O2135" s="11" t="n"/>
      <c r="P2135" s="12" t="n"/>
      <c r="Q2135" s="11" t="n"/>
      <c r="R2135" s="12" t="n"/>
      <c r="S2135" s="11" t="n"/>
      <c r="T2135" s="12" t="n"/>
      <c r="U2135" s="12" t="n"/>
      <c r="V2135" s="12" t="n"/>
      <c r="W2135" s="13" t="n"/>
      <c r="X2135" s="14">
        <f>IF($AP2135="",IF($B2135="","",$H2135),IF(INDEX(職員マスタ!$B$6:$B$405,$AP2135)="",$H2135,INDEX(職員マスタ!$B$6:$B$405,$AP2135)))</f>
        <v/>
      </c>
      <c r="Y2135" s="14">
        <f>IF($AP2135="",IF($B2135="","",$R2135),IF(INDEX(職員マスタ!$C$6:$C$405,$AP2135)="",$R2135,INDEX(職員マスタ!$C$6:$C$405,$AP2135)))</f>
        <v/>
      </c>
      <c r="Z2135" s="14">
        <f>IF($AQ2135="","","R"&amp;$C2135&amp;"."&amp;$D2135)</f>
        <v/>
      </c>
      <c r="AA2135" s="15">
        <f>IF(IF($AP2135="",FALSE,INDEX(職員マスタ!$K$6:$K$405,$AP2135)&lt;&gt;""),INDEX(職員マスタ!$K$6:$K$405,$AP2135),IF(N($W2135)&gt;0,$W2135,""))</f>
        <v/>
      </c>
      <c r="AB2135" s="14">
        <f>IF(OR($E2135="",$AA2135=""),"",IF($E2135&gt;=$AA2135,"×",IF($E2135&gt;=$AA2135*設定!$C$5,"△","○")))</f>
        <v/>
      </c>
      <c r="AC2135" s="15">
        <f>IF($AB2135="","",IF($AB2135="×",0,IF($AB2135="○",ROUNDDOWN($E2135*設定!$C$4,0),ROUNDDOWN($E2135*ROUND((9*$AA2135-9*$E2135)/(10*$E2135),4),0))))</f>
        <v/>
      </c>
      <c r="AD2135" s="13" t="n"/>
      <c r="AE2135" s="15">
        <f>IF($B2135="","",IF($AD2135&lt;&gt;"",$AD2135,IF($AC2135="","",IF($AC2135&lt;=設定!$C$3,0,$AC2135))))</f>
        <v/>
      </c>
      <c r="AF2135" s="14">
        <f>IF($B2135="","",IF(AND($AG2135&lt;&gt;"",$AI2135="",$AL2135=""),"保留中",IF($AL2135&lt;&gt;"",IF(N($AE2135)&gt;0,"支給済","不支給"),IF($AE2135="","要確認",IF($AE2135=0,"不支給","未処理")))))</f>
        <v/>
      </c>
      <c r="AG2135" s="12" t="n"/>
      <c r="AH2135" s="11" t="n"/>
      <c r="AI2135" s="11" t="n"/>
      <c r="AJ2135" s="11" t="n"/>
      <c r="AK2135" s="14">
        <f>IF(AND($AF2135="保留中",$AH2135&lt;&gt;""),TODAY()-$AH2135,"")</f>
        <v/>
      </c>
      <c r="AL2135" s="12" t="n"/>
      <c r="AM2135" s="14">
        <f>IF($B2135="","",IF($AQ2135="","対象年月が未入力／","")&amp;IF($B2135="","",IF($AP2135="","職員マスタに未登録の職員番号／",IF($AA2135="","標準報酬月額が未登録／","")&amp;IF(AND($AQ2135&lt;&gt;"",OR(AND(INDEX(職員マスタ!$G$6:$G$405,$AP2135)&lt;&gt;"",INDEX(職員マスタ!$G$6:$G$405,$AP2135)&gt;EOMONTH($AQ2135,0)),AND(INDEX(職員マスタ!$H$6:$H$405,$AP2135)&lt;&gt;"",INDEX(職員マスタ!$H$6:$H$405,$AP2135)&lt;$AQ2135))),"対象月が時短期間外／","")&amp;IF(AND(INDEX(職員マスタ!$K$6:$K$405,$AP2135)&lt;&gt;"",N($W2135)&gt;0,INDEX(職員マスタ!$K$6:$K$405,$AP2135)&lt;&gt;$W2135),"標準報酬月額が申請書と相違（台帳"&amp;TEXT(INDEX(職員マスタ!$K$6:$K$405,$AP2135),"#,##0")&amp;"円／申請書"&amp;TEXT($W2135,"#,##0")&amp;"円）／","")&amp;IF(AND(INDEX(職員マスタ!$F$6:$F$405,$AP2135)&lt;&gt;"",$AQ2135&lt;&gt;"",INDEX(職員マスタ!$F$6:$F$405,$AP2135)&lt;$AQ2135),"対象月に子が2歳到達済／","")&amp;IF(AND($H2135&lt;&gt;"",INDEX(職員マスタ!$B$6:$B$405,$AP2135)&lt;&gt;"",SUBSTITUTE(SUBSTITUTE($H2135," ","")," ","")&lt;&gt;SUBSTITUTE(SUBSTITUTE(INDEX(職員マスタ!$B$6:$B$405,$AP2135)," ","")," ","")),"氏名がマスタと相違／","")&amp;IF(AND($Q2135&lt;&gt;"",INDEX(職員マスタ!$E$6:$E$405,$AP2135)&lt;&gt;"",$Q2135&lt;&gt;INDEX(職員マスタ!$E$6:$E$405,$AP2135)),"子の生年月日がマスタと相違／","")&amp;IF(AND($L2135&lt;&gt;"",INDEX(職員マスタ!$G$6:$G$405,$AP2135)&lt;&gt;"",$L2135&lt;&gt;INDEX(職員マスタ!$G$6:$G$405,$AP2135)),"時短開始日がマスタと相違／","")&amp;IF(AND($M2135&lt;&gt;"",INDEX(職員マスタ!$H$6:$H$405,$AP2135)&lt;&gt;"",$M2135&lt;&gt;INDEX(職員マスタ!$H$6:$H$405,$AP2135)),"時短終了日がマスタと相違／","")))&amp;IF(AND($B2135&lt;&gt;"",$E2135=""),"報酬額が未入力／","")&amp;IF(N($U2135)&gt;0,"申請書に入力エラーが残っています／","")&amp;IF(AND($B2135&lt;&gt;"",$AQ2135&lt;&gt;""),IF(COUNTIFS($B$6:$B$3005,$B2135,$C$6:$C$3005,$C2135,$D$6:$D$3005,$D2135)&gt;1,"同じ月の請求が重複しています／",""),"")&amp;IF(AND(N($E2135)&gt;0,$AB2135&lt;&gt;"",$AB2135&lt;&gt;"×",$AE2135=0,$AD2135=""),"計算額が下限以下のため不支給／",""))</f>
        <v/>
      </c>
      <c r="AN2135" s="12" t="n"/>
      <c r="AO2135" s="14">
        <f>IF($AF2135="保留中",COUNTIF($AF$6:$AF2135,"保留中"),"")</f>
        <v/>
      </c>
      <c r="AP2135" s="14">
        <f>IF($AQ2135="","",IF(SUMPRODUCT(MAX((職員マスタ!$A$6:$A$405=$B2135)*(((職員マスタ!$G$6:$G$405="")+(職員マスタ!$G$6:$G$405&lt;=EOMONTH($AQ2135,0)))&gt;0)*(((職員マスタ!$H$6:$H$405="")+(職員マスタ!$H$6:$H$405&gt;=$AQ2135))&gt;0)*(ROW(職員マスタ!$A$6:$A$405)-5)))&gt;0,SUMPRODUCT(MAX((職員マスタ!$A$6:$A$405=$B2135)*(((職員マスタ!$G$6:$G$405="")+(職員マスタ!$G$6:$G$405&lt;=EOMONTH($AQ2135,0)))&gt;0)*(((職員マスタ!$H$6:$H$405="")+(職員マスタ!$H$6:$H$405&gt;=$AQ2135))&gt;0)*(ROW(職員マスタ!$A$6:$A$405)-5))),IFERROR(MATCH($B2135,職員マスタ!$A$6:$A$405,0),"")))</f>
        <v/>
      </c>
      <c r="AQ2135" s="16">
        <f>IF(OR($B2135="",$C2135="",$D2135=""),"",DATE($C2135+2018,$D2135,1))</f>
        <v/>
      </c>
    </row>
    <row r="2136">
      <c r="A2136" s="11" t="n"/>
      <c r="B2136" s="12" t="n"/>
      <c r="C2136" s="12" t="n"/>
      <c r="D2136" s="12" t="n"/>
      <c r="E2136" s="13" t="n"/>
      <c r="F2136" s="12" t="n"/>
      <c r="G2136" s="13" t="n"/>
      <c r="H2136" s="12" t="n"/>
      <c r="I2136" s="12" t="n"/>
      <c r="J2136" s="12" t="n"/>
      <c r="K2136" s="12" t="n"/>
      <c r="L2136" s="11" t="n"/>
      <c r="M2136" s="11" t="n"/>
      <c r="N2136" s="11" t="n"/>
      <c r="O2136" s="11" t="n"/>
      <c r="P2136" s="12" t="n"/>
      <c r="Q2136" s="11" t="n"/>
      <c r="R2136" s="12" t="n"/>
      <c r="S2136" s="11" t="n"/>
      <c r="T2136" s="12" t="n"/>
      <c r="U2136" s="12" t="n"/>
      <c r="V2136" s="12" t="n"/>
      <c r="W2136" s="13" t="n"/>
      <c r="X2136" s="14">
        <f>IF($AP2136="",IF($B2136="","",$H2136),IF(INDEX(職員マスタ!$B$6:$B$405,$AP2136)="",$H2136,INDEX(職員マスタ!$B$6:$B$405,$AP2136)))</f>
        <v/>
      </c>
      <c r="Y2136" s="14">
        <f>IF($AP2136="",IF($B2136="","",$R2136),IF(INDEX(職員マスタ!$C$6:$C$405,$AP2136)="",$R2136,INDEX(職員マスタ!$C$6:$C$405,$AP2136)))</f>
        <v/>
      </c>
      <c r="Z2136" s="14">
        <f>IF($AQ2136="","","R"&amp;$C2136&amp;"."&amp;$D2136)</f>
        <v/>
      </c>
      <c r="AA2136" s="15">
        <f>IF(IF($AP2136="",FALSE,INDEX(職員マスタ!$K$6:$K$405,$AP2136)&lt;&gt;""),INDEX(職員マスタ!$K$6:$K$405,$AP2136),IF(N($W2136)&gt;0,$W2136,""))</f>
        <v/>
      </c>
      <c r="AB2136" s="14">
        <f>IF(OR($E2136="",$AA2136=""),"",IF($E2136&gt;=$AA2136,"×",IF($E2136&gt;=$AA2136*設定!$C$5,"△","○")))</f>
        <v/>
      </c>
      <c r="AC2136" s="15">
        <f>IF($AB2136="","",IF($AB2136="×",0,IF($AB2136="○",ROUNDDOWN($E2136*設定!$C$4,0),ROUNDDOWN($E2136*ROUND((9*$AA2136-9*$E2136)/(10*$E2136),4),0))))</f>
        <v/>
      </c>
      <c r="AD2136" s="13" t="n"/>
      <c r="AE2136" s="15">
        <f>IF($B2136="","",IF($AD2136&lt;&gt;"",$AD2136,IF($AC2136="","",IF($AC2136&lt;=設定!$C$3,0,$AC2136))))</f>
        <v/>
      </c>
      <c r="AF2136" s="14">
        <f>IF($B2136="","",IF(AND($AG2136&lt;&gt;"",$AI2136="",$AL2136=""),"保留中",IF($AL2136&lt;&gt;"",IF(N($AE2136)&gt;0,"支給済","不支給"),IF($AE2136="","要確認",IF($AE2136=0,"不支給","未処理")))))</f>
        <v/>
      </c>
      <c r="AG2136" s="12" t="n"/>
      <c r="AH2136" s="11" t="n"/>
      <c r="AI2136" s="11" t="n"/>
      <c r="AJ2136" s="11" t="n"/>
      <c r="AK2136" s="14">
        <f>IF(AND($AF2136="保留中",$AH2136&lt;&gt;""),TODAY()-$AH2136,"")</f>
        <v/>
      </c>
      <c r="AL2136" s="12" t="n"/>
      <c r="AM2136" s="14">
        <f>IF($B2136="","",IF($AQ2136="","対象年月が未入力／","")&amp;IF($B2136="","",IF($AP2136="","職員マスタに未登録の職員番号／",IF($AA2136="","標準報酬月額が未登録／","")&amp;IF(AND($AQ2136&lt;&gt;"",OR(AND(INDEX(職員マスタ!$G$6:$G$405,$AP2136)&lt;&gt;"",INDEX(職員マスタ!$G$6:$G$405,$AP2136)&gt;EOMONTH($AQ2136,0)),AND(INDEX(職員マスタ!$H$6:$H$405,$AP2136)&lt;&gt;"",INDEX(職員マスタ!$H$6:$H$405,$AP2136)&lt;$AQ2136))),"対象月が時短期間外／","")&amp;IF(AND(INDEX(職員マスタ!$K$6:$K$405,$AP2136)&lt;&gt;"",N($W2136)&gt;0,INDEX(職員マスタ!$K$6:$K$405,$AP2136)&lt;&gt;$W2136),"標準報酬月額が申請書と相違（台帳"&amp;TEXT(INDEX(職員マスタ!$K$6:$K$405,$AP2136),"#,##0")&amp;"円／申請書"&amp;TEXT($W2136,"#,##0")&amp;"円）／","")&amp;IF(AND(INDEX(職員マスタ!$F$6:$F$405,$AP2136)&lt;&gt;"",$AQ2136&lt;&gt;"",INDEX(職員マスタ!$F$6:$F$405,$AP2136)&lt;$AQ2136),"対象月に子が2歳到達済／","")&amp;IF(AND($H2136&lt;&gt;"",INDEX(職員マスタ!$B$6:$B$405,$AP2136)&lt;&gt;"",SUBSTITUTE(SUBSTITUTE($H2136," ","")," ","")&lt;&gt;SUBSTITUTE(SUBSTITUTE(INDEX(職員マスタ!$B$6:$B$405,$AP2136)," ","")," ","")),"氏名がマスタと相違／","")&amp;IF(AND($Q2136&lt;&gt;"",INDEX(職員マスタ!$E$6:$E$405,$AP2136)&lt;&gt;"",$Q2136&lt;&gt;INDEX(職員マスタ!$E$6:$E$405,$AP2136)),"子の生年月日がマスタと相違／","")&amp;IF(AND($L2136&lt;&gt;"",INDEX(職員マスタ!$G$6:$G$405,$AP2136)&lt;&gt;"",$L2136&lt;&gt;INDEX(職員マスタ!$G$6:$G$405,$AP2136)),"時短開始日がマスタと相違／","")&amp;IF(AND($M2136&lt;&gt;"",INDEX(職員マスタ!$H$6:$H$405,$AP2136)&lt;&gt;"",$M2136&lt;&gt;INDEX(職員マスタ!$H$6:$H$405,$AP2136)),"時短終了日がマスタと相違／","")))&amp;IF(AND($B2136&lt;&gt;"",$E2136=""),"報酬額が未入力／","")&amp;IF(N($U2136)&gt;0,"申請書に入力エラーが残っています／","")&amp;IF(AND($B2136&lt;&gt;"",$AQ2136&lt;&gt;""),IF(COUNTIFS($B$6:$B$3005,$B2136,$C$6:$C$3005,$C2136,$D$6:$D$3005,$D2136)&gt;1,"同じ月の請求が重複しています／",""),"")&amp;IF(AND(N($E2136)&gt;0,$AB2136&lt;&gt;"",$AB2136&lt;&gt;"×",$AE2136=0,$AD2136=""),"計算額が下限以下のため不支給／",""))</f>
        <v/>
      </c>
      <c r="AN2136" s="12" t="n"/>
      <c r="AO2136" s="14">
        <f>IF($AF2136="保留中",COUNTIF($AF$6:$AF2136,"保留中"),"")</f>
        <v/>
      </c>
      <c r="AP2136" s="14">
        <f>IF($AQ2136="","",IF(SUMPRODUCT(MAX((職員マスタ!$A$6:$A$405=$B2136)*(((職員マスタ!$G$6:$G$405="")+(職員マスタ!$G$6:$G$405&lt;=EOMONTH($AQ2136,0)))&gt;0)*(((職員マスタ!$H$6:$H$405="")+(職員マスタ!$H$6:$H$405&gt;=$AQ2136))&gt;0)*(ROW(職員マスタ!$A$6:$A$405)-5)))&gt;0,SUMPRODUCT(MAX((職員マスタ!$A$6:$A$405=$B2136)*(((職員マスタ!$G$6:$G$405="")+(職員マスタ!$G$6:$G$405&lt;=EOMONTH($AQ2136,0)))&gt;0)*(((職員マスタ!$H$6:$H$405="")+(職員マスタ!$H$6:$H$405&gt;=$AQ2136))&gt;0)*(ROW(職員マスタ!$A$6:$A$405)-5))),IFERROR(MATCH($B2136,職員マスタ!$A$6:$A$405,0),"")))</f>
        <v/>
      </c>
      <c r="AQ2136" s="16">
        <f>IF(OR($B2136="",$C2136="",$D2136=""),"",DATE($C2136+2018,$D2136,1))</f>
        <v/>
      </c>
    </row>
    <row r="2137">
      <c r="A2137" s="11" t="n"/>
      <c r="B2137" s="12" t="n"/>
      <c r="C2137" s="12" t="n"/>
      <c r="D2137" s="12" t="n"/>
      <c r="E2137" s="13" t="n"/>
      <c r="F2137" s="12" t="n"/>
      <c r="G2137" s="13" t="n"/>
      <c r="H2137" s="12" t="n"/>
      <c r="I2137" s="12" t="n"/>
      <c r="J2137" s="12" t="n"/>
      <c r="K2137" s="12" t="n"/>
      <c r="L2137" s="11" t="n"/>
      <c r="M2137" s="11" t="n"/>
      <c r="N2137" s="11" t="n"/>
      <c r="O2137" s="11" t="n"/>
      <c r="P2137" s="12" t="n"/>
      <c r="Q2137" s="11" t="n"/>
      <c r="R2137" s="12" t="n"/>
      <c r="S2137" s="11" t="n"/>
      <c r="T2137" s="12" t="n"/>
      <c r="U2137" s="12" t="n"/>
      <c r="V2137" s="12" t="n"/>
      <c r="W2137" s="13" t="n"/>
      <c r="X2137" s="14">
        <f>IF($AP2137="",IF($B2137="","",$H2137),IF(INDEX(職員マスタ!$B$6:$B$405,$AP2137)="",$H2137,INDEX(職員マスタ!$B$6:$B$405,$AP2137)))</f>
        <v/>
      </c>
      <c r="Y2137" s="14">
        <f>IF($AP2137="",IF($B2137="","",$R2137),IF(INDEX(職員マスタ!$C$6:$C$405,$AP2137)="",$R2137,INDEX(職員マスタ!$C$6:$C$405,$AP2137)))</f>
        <v/>
      </c>
      <c r="Z2137" s="14">
        <f>IF($AQ2137="","","R"&amp;$C2137&amp;"."&amp;$D2137)</f>
        <v/>
      </c>
      <c r="AA2137" s="15">
        <f>IF(IF($AP2137="",FALSE,INDEX(職員マスタ!$K$6:$K$405,$AP2137)&lt;&gt;""),INDEX(職員マスタ!$K$6:$K$405,$AP2137),IF(N($W2137)&gt;0,$W2137,""))</f>
        <v/>
      </c>
      <c r="AB2137" s="14">
        <f>IF(OR($E2137="",$AA2137=""),"",IF($E2137&gt;=$AA2137,"×",IF($E2137&gt;=$AA2137*設定!$C$5,"△","○")))</f>
        <v/>
      </c>
      <c r="AC2137" s="15">
        <f>IF($AB2137="","",IF($AB2137="×",0,IF($AB2137="○",ROUNDDOWN($E2137*設定!$C$4,0),ROUNDDOWN($E2137*ROUND((9*$AA2137-9*$E2137)/(10*$E2137),4),0))))</f>
        <v/>
      </c>
      <c r="AD2137" s="13" t="n"/>
      <c r="AE2137" s="15">
        <f>IF($B2137="","",IF($AD2137&lt;&gt;"",$AD2137,IF($AC2137="","",IF($AC2137&lt;=設定!$C$3,0,$AC2137))))</f>
        <v/>
      </c>
      <c r="AF2137" s="14">
        <f>IF($B2137="","",IF(AND($AG2137&lt;&gt;"",$AI2137="",$AL2137=""),"保留中",IF($AL2137&lt;&gt;"",IF(N($AE2137)&gt;0,"支給済","不支給"),IF($AE2137="","要確認",IF($AE2137=0,"不支給","未処理")))))</f>
        <v/>
      </c>
      <c r="AG2137" s="12" t="n"/>
      <c r="AH2137" s="11" t="n"/>
      <c r="AI2137" s="11" t="n"/>
      <c r="AJ2137" s="11" t="n"/>
      <c r="AK2137" s="14">
        <f>IF(AND($AF2137="保留中",$AH2137&lt;&gt;""),TODAY()-$AH2137,"")</f>
        <v/>
      </c>
      <c r="AL2137" s="12" t="n"/>
      <c r="AM2137" s="14">
        <f>IF($B2137="","",IF($AQ2137="","対象年月が未入力／","")&amp;IF($B2137="","",IF($AP2137="","職員マスタに未登録の職員番号／",IF($AA2137="","標準報酬月額が未登録／","")&amp;IF(AND($AQ2137&lt;&gt;"",OR(AND(INDEX(職員マスタ!$G$6:$G$405,$AP2137)&lt;&gt;"",INDEX(職員マスタ!$G$6:$G$405,$AP2137)&gt;EOMONTH($AQ2137,0)),AND(INDEX(職員マスタ!$H$6:$H$405,$AP2137)&lt;&gt;"",INDEX(職員マスタ!$H$6:$H$405,$AP2137)&lt;$AQ2137))),"対象月が時短期間外／","")&amp;IF(AND(INDEX(職員マスタ!$K$6:$K$405,$AP2137)&lt;&gt;"",N($W2137)&gt;0,INDEX(職員マスタ!$K$6:$K$405,$AP2137)&lt;&gt;$W2137),"標準報酬月額が申請書と相違（台帳"&amp;TEXT(INDEX(職員マスタ!$K$6:$K$405,$AP2137),"#,##0")&amp;"円／申請書"&amp;TEXT($W2137,"#,##0")&amp;"円）／","")&amp;IF(AND(INDEX(職員マスタ!$F$6:$F$405,$AP2137)&lt;&gt;"",$AQ2137&lt;&gt;"",INDEX(職員マスタ!$F$6:$F$405,$AP2137)&lt;$AQ2137),"対象月に子が2歳到達済／","")&amp;IF(AND($H2137&lt;&gt;"",INDEX(職員マスタ!$B$6:$B$405,$AP2137)&lt;&gt;"",SUBSTITUTE(SUBSTITUTE($H2137," ","")," ","")&lt;&gt;SUBSTITUTE(SUBSTITUTE(INDEX(職員マスタ!$B$6:$B$405,$AP2137)," ","")," ","")),"氏名がマスタと相違／","")&amp;IF(AND($Q2137&lt;&gt;"",INDEX(職員マスタ!$E$6:$E$405,$AP2137)&lt;&gt;"",$Q2137&lt;&gt;INDEX(職員マスタ!$E$6:$E$405,$AP2137)),"子の生年月日がマスタと相違／","")&amp;IF(AND($L2137&lt;&gt;"",INDEX(職員マスタ!$G$6:$G$405,$AP2137)&lt;&gt;"",$L2137&lt;&gt;INDEX(職員マスタ!$G$6:$G$405,$AP2137)),"時短開始日がマスタと相違／","")&amp;IF(AND($M2137&lt;&gt;"",INDEX(職員マスタ!$H$6:$H$405,$AP2137)&lt;&gt;"",$M2137&lt;&gt;INDEX(職員マスタ!$H$6:$H$405,$AP2137)),"時短終了日がマスタと相違／","")))&amp;IF(AND($B2137&lt;&gt;"",$E2137=""),"報酬額が未入力／","")&amp;IF(N($U2137)&gt;0,"申請書に入力エラーが残っています／","")&amp;IF(AND($B2137&lt;&gt;"",$AQ2137&lt;&gt;""),IF(COUNTIFS($B$6:$B$3005,$B2137,$C$6:$C$3005,$C2137,$D$6:$D$3005,$D2137)&gt;1,"同じ月の請求が重複しています／",""),"")&amp;IF(AND(N($E2137)&gt;0,$AB2137&lt;&gt;"",$AB2137&lt;&gt;"×",$AE2137=0,$AD2137=""),"計算額が下限以下のため不支給／",""))</f>
        <v/>
      </c>
      <c r="AN2137" s="12" t="n"/>
      <c r="AO2137" s="14">
        <f>IF($AF2137="保留中",COUNTIF($AF$6:$AF2137,"保留中"),"")</f>
        <v/>
      </c>
      <c r="AP2137" s="14">
        <f>IF($AQ2137="","",IF(SUMPRODUCT(MAX((職員マスタ!$A$6:$A$405=$B2137)*(((職員マスタ!$G$6:$G$405="")+(職員マスタ!$G$6:$G$405&lt;=EOMONTH($AQ2137,0)))&gt;0)*(((職員マスタ!$H$6:$H$405="")+(職員マスタ!$H$6:$H$405&gt;=$AQ2137))&gt;0)*(ROW(職員マスタ!$A$6:$A$405)-5)))&gt;0,SUMPRODUCT(MAX((職員マスタ!$A$6:$A$405=$B2137)*(((職員マスタ!$G$6:$G$405="")+(職員マスタ!$G$6:$G$405&lt;=EOMONTH($AQ2137,0)))&gt;0)*(((職員マスタ!$H$6:$H$405="")+(職員マスタ!$H$6:$H$405&gt;=$AQ2137))&gt;0)*(ROW(職員マスタ!$A$6:$A$405)-5))),IFERROR(MATCH($B2137,職員マスタ!$A$6:$A$405,0),"")))</f>
        <v/>
      </c>
      <c r="AQ2137" s="16">
        <f>IF(OR($B2137="",$C2137="",$D2137=""),"",DATE($C2137+2018,$D2137,1))</f>
        <v/>
      </c>
    </row>
    <row r="2138">
      <c r="A2138" s="11" t="n"/>
      <c r="B2138" s="12" t="n"/>
      <c r="C2138" s="12" t="n"/>
      <c r="D2138" s="12" t="n"/>
      <c r="E2138" s="13" t="n"/>
      <c r="F2138" s="12" t="n"/>
      <c r="G2138" s="13" t="n"/>
      <c r="H2138" s="12" t="n"/>
      <c r="I2138" s="12" t="n"/>
      <c r="J2138" s="12" t="n"/>
      <c r="K2138" s="12" t="n"/>
      <c r="L2138" s="11" t="n"/>
      <c r="M2138" s="11" t="n"/>
      <c r="N2138" s="11" t="n"/>
      <c r="O2138" s="11" t="n"/>
      <c r="P2138" s="12" t="n"/>
      <c r="Q2138" s="11" t="n"/>
      <c r="R2138" s="12" t="n"/>
      <c r="S2138" s="11" t="n"/>
      <c r="T2138" s="12" t="n"/>
      <c r="U2138" s="12" t="n"/>
      <c r="V2138" s="12" t="n"/>
      <c r="W2138" s="13" t="n"/>
      <c r="X2138" s="14">
        <f>IF($AP2138="",IF($B2138="","",$H2138),IF(INDEX(職員マスタ!$B$6:$B$405,$AP2138)="",$H2138,INDEX(職員マスタ!$B$6:$B$405,$AP2138)))</f>
        <v/>
      </c>
      <c r="Y2138" s="14">
        <f>IF($AP2138="",IF($B2138="","",$R2138),IF(INDEX(職員マスタ!$C$6:$C$405,$AP2138)="",$R2138,INDEX(職員マスタ!$C$6:$C$405,$AP2138)))</f>
        <v/>
      </c>
      <c r="Z2138" s="14">
        <f>IF($AQ2138="","","R"&amp;$C2138&amp;"."&amp;$D2138)</f>
        <v/>
      </c>
      <c r="AA2138" s="15">
        <f>IF(IF($AP2138="",FALSE,INDEX(職員マスタ!$K$6:$K$405,$AP2138)&lt;&gt;""),INDEX(職員マスタ!$K$6:$K$405,$AP2138),IF(N($W2138)&gt;0,$W2138,""))</f>
        <v/>
      </c>
      <c r="AB2138" s="14">
        <f>IF(OR($E2138="",$AA2138=""),"",IF($E2138&gt;=$AA2138,"×",IF($E2138&gt;=$AA2138*設定!$C$5,"△","○")))</f>
        <v/>
      </c>
      <c r="AC2138" s="15">
        <f>IF($AB2138="","",IF($AB2138="×",0,IF($AB2138="○",ROUNDDOWN($E2138*設定!$C$4,0),ROUNDDOWN($E2138*ROUND((9*$AA2138-9*$E2138)/(10*$E2138),4),0))))</f>
        <v/>
      </c>
      <c r="AD2138" s="13" t="n"/>
      <c r="AE2138" s="15">
        <f>IF($B2138="","",IF($AD2138&lt;&gt;"",$AD2138,IF($AC2138="","",IF($AC2138&lt;=設定!$C$3,0,$AC2138))))</f>
        <v/>
      </c>
      <c r="AF2138" s="14">
        <f>IF($B2138="","",IF(AND($AG2138&lt;&gt;"",$AI2138="",$AL2138=""),"保留中",IF($AL2138&lt;&gt;"",IF(N($AE2138)&gt;0,"支給済","不支給"),IF($AE2138="","要確認",IF($AE2138=0,"不支給","未処理")))))</f>
        <v/>
      </c>
      <c r="AG2138" s="12" t="n"/>
      <c r="AH2138" s="11" t="n"/>
      <c r="AI2138" s="11" t="n"/>
      <c r="AJ2138" s="11" t="n"/>
      <c r="AK2138" s="14">
        <f>IF(AND($AF2138="保留中",$AH2138&lt;&gt;""),TODAY()-$AH2138,"")</f>
        <v/>
      </c>
      <c r="AL2138" s="12" t="n"/>
      <c r="AM2138" s="14">
        <f>IF($B2138="","",IF($AQ2138="","対象年月が未入力／","")&amp;IF($B2138="","",IF($AP2138="","職員マスタに未登録の職員番号／",IF($AA2138="","標準報酬月額が未登録／","")&amp;IF(AND($AQ2138&lt;&gt;"",OR(AND(INDEX(職員マスタ!$G$6:$G$405,$AP2138)&lt;&gt;"",INDEX(職員マスタ!$G$6:$G$405,$AP2138)&gt;EOMONTH($AQ2138,0)),AND(INDEX(職員マスタ!$H$6:$H$405,$AP2138)&lt;&gt;"",INDEX(職員マスタ!$H$6:$H$405,$AP2138)&lt;$AQ2138))),"対象月が時短期間外／","")&amp;IF(AND(INDEX(職員マスタ!$K$6:$K$405,$AP2138)&lt;&gt;"",N($W2138)&gt;0,INDEX(職員マスタ!$K$6:$K$405,$AP2138)&lt;&gt;$W2138),"標準報酬月額が申請書と相違（台帳"&amp;TEXT(INDEX(職員マスタ!$K$6:$K$405,$AP2138),"#,##0")&amp;"円／申請書"&amp;TEXT($W2138,"#,##0")&amp;"円）／","")&amp;IF(AND(INDEX(職員マスタ!$F$6:$F$405,$AP2138)&lt;&gt;"",$AQ2138&lt;&gt;"",INDEX(職員マスタ!$F$6:$F$405,$AP2138)&lt;$AQ2138),"対象月に子が2歳到達済／","")&amp;IF(AND($H2138&lt;&gt;"",INDEX(職員マスタ!$B$6:$B$405,$AP2138)&lt;&gt;"",SUBSTITUTE(SUBSTITUTE($H2138," ","")," ","")&lt;&gt;SUBSTITUTE(SUBSTITUTE(INDEX(職員マスタ!$B$6:$B$405,$AP2138)," ","")," ","")),"氏名がマスタと相違／","")&amp;IF(AND($Q2138&lt;&gt;"",INDEX(職員マスタ!$E$6:$E$405,$AP2138)&lt;&gt;"",$Q2138&lt;&gt;INDEX(職員マスタ!$E$6:$E$405,$AP2138)),"子の生年月日がマスタと相違／","")&amp;IF(AND($L2138&lt;&gt;"",INDEX(職員マスタ!$G$6:$G$405,$AP2138)&lt;&gt;"",$L2138&lt;&gt;INDEX(職員マスタ!$G$6:$G$405,$AP2138)),"時短開始日がマスタと相違／","")&amp;IF(AND($M2138&lt;&gt;"",INDEX(職員マスタ!$H$6:$H$405,$AP2138)&lt;&gt;"",$M2138&lt;&gt;INDEX(職員マスタ!$H$6:$H$405,$AP2138)),"時短終了日がマスタと相違／","")))&amp;IF(AND($B2138&lt;&gt;"",$E2138=""),"報酬額が未入力／","")&amp;IF(N($U2138)&gt;0,"申請書に入力エラーが残っています／","")&amp;IF(AND($B2138&lt;&gt;"",$AQ2138&lt;&gt;""),IF(COUNTIFS($B$6:$B$3005,$B2138,$C$6:$C$3005,$C2138,$D$6:$D$3005,$D2138)&gt;1,"同じ月の請求が重複しています／",""),"")&amp;IF(AND(N($E2138)&gt;0,$AB2138&lt;&gt;"",$AB2138&lt;&gt;"×",$AE2138=0,$AD2138=""),"計算額が下限以下のため不支給／",""))</f>
        <v/>
      </c>
      <c r="AN2138" s="12" t="n"/>
      <c r="AO2138" s="14">
        <f>IF($AF2138="保留中",COUNTIF($AF$6:$AF2138,"保留中"),"")</f>
        <v/>
      </c>
      <c r="AP2138" s="14">
        <f>IF($AQ2138="","",IF(SUMPRODUCT(MAX((職員マスタ!$A$6:$A$405=$B2138)*(((職員マスタ!$G$6:$G$405="")+(職員マスタ!$G$6:$G$405&lt;=EOMONTH($AQ2138,0)))&gt;0)*(((職員マスタ!$H$6:$H$405="")+(職員マスタ!$H$6:$H$405&gt;=$AQ2138))&gt;0)*(ROW(職員マスタ!$A$6:$A$405)-5)))&gt;0,SUMPRODUCT(MAX((職員マスタ!$A$6:$A$405=$B2138)*(((職員マスタ!$G$6:$G$405="")+(職員マスタ!$G$6:$G$405&lt;=EOMONTH($AQ2138,0)))&gt;0)*(((職員マスタ!$H$6:$H$405="")+(職員マスタ!$H$6:$H$405&gt;=$AQ2138))&gt;0)*(ROW(職員マスタ!$A$6:$A$405)-5))),IFERROR(MATCH($B2138,職員マスタ!$A$6:$A$405,0),"")))</f>
        <v/>
      </c>
      <c r="AQ2138" s="16">
        <f>IF(OR($B2138="",$C2138="",$D2138=""),"",DATE($C2138+2018,$D2138,1))</f>
        <v/>
      </c>
    </row>
    <row r="2139">
      <c r="A2139" s="11" t="n"/>
      <c r="B2139" s="12" t="n"/>
      <c r="C2139" s="12" t="n"/>
      <c r="D2139" s="12" t="n"/>
      <c r="E2139" s="13" t="n"/>
      <c r="F2139" s="12" t="n"/>
      <c r="G2139" s="13" t="n"/>
      <c r="H2139" s="12" t="n"/>
      <c r="I2139" s="12" t="n"/>
      <c r="J2139" s="12" t="n"/>
      <c r="K2139" s="12" t="n"/>
      <c r="L2139" s="11" t="n"/>
      <c r="M2139" s="11" t="n"/>
      <c r="N2139" s="11" t="n"/>
      <c r="O2139" s="11" t="n"/>
      <c r="P2139" s="12" t="n"/>
      <c r="Q2139" s="11" t="n"/>
      <c r="R2139" s="12" t="n"/>
      <c r="S2139" s="11" t="n"/>
      <c r="T2139" s="12" t="n"/>
      <c r="U2139" s="12" t="n"/>
      <c r="V2139" s="12" t="n"/>
      <c r="W2139" s="13" t="n"/>
      <c r="X2139" s="14">
        <f>IF($AP2139="",IF($B2139="","",$H2139),IF(INDEX(職員マスタ!$B$6:$B$405,$AP2139)="",$H2139,INDEX(職員マスタ!$B$6:$B$405,$AP2139)))</f>
        <v/>
      </c>
      <c r="Y2139" s="14">
        <f>IF($AP2139="",IF($B2139="","",$R2139),IF(INDEX(職員マスタ!$C$6:$C$405,$AP2139)="",$R2139,INDEX(職員マスタ!$C$6:$C$405,$AP2139)))</f>
        <v/>
      </c>
      <c r="Z2139" s="14">
        <f>IF($AQ2139="","","R"&amp;$C2139&amp;"."&amp;$D2139)</f>
        <v/>
      </c>
      <c r="AA2139" s="15">
        <f>IF(IF($AP2139="",FALSE,INDEX(職員マスタ!$K$6:$K$405,$AP2139)&lt;&gt;""),INDEX(職員マスタ!$K$6:$K$405,$AP2139),IF(N($W2139)&gt;0,$W2139,""))</f>
        <v/>
      </c>
      <c r="AB2139" s="14">
        <f>IF(OR($E2139="",$AA2139=""),"",IF($E2139&gt;=$AA2139,"×",IF($E2139&gt;=$AA2139*設定!$C$5,"△","○")))</f>
        <v/>
      </c>
      <c r="AC2139" s="15">
        <f>IF($AB2139="","",IF($AB2139="×",0,IF($AB2139="○",ROUNDDOWN($E2139*設定!$C$4,0),ROUNDDOWN($E2139*ROUND((9*$AA2139-9*$E2139)/(10*$E2139),4),0))))</f>
        <v/>
      </c>
      <c r="AD2139" s="13" t="n"/>
      <c r="AE2139" s="15">
        <f>IF($B2139="","",IF($AD2139&lt;&gt;"",$AD2139,IF($AC2139="","",IF($AC2139&lt;=設定!$C$3,0,$AC2139))))</f>
        <v/>
      </c>
      <c r="AF2139" s="14">
        <f>IF($B2139="","",IF(AND($AG2139&lt;&gt;"",$AI2139="",$AL2139=""),"保留中",IF($AL2139&lt;&gt;"",IF(N($AE2139)&gt;0,"支給済","不支給"),IF($AE2139="","要確認",IF($AE2139=0,"不支給","未処理")))))</f>
        <v/>
      </c>
      <c r="AG2139" s="12" t="n"/>
      <c r="AH2139" s="11" t="n"/>
      <c r="AI2139" s="11" t="n"/>
      <c r="AJ2139" s="11" t="n"/>
      <c r="AK2139" s="14">
        <f>IF(AND($AF2139="保留中",$AH2139&lt;&gt;""),TODAY()-$AH2139,"")</f>
        <v/>
      </c>
      <c r="AL2139" s="12" t="n"/>
      <c r="AM2139" s="14">
        <f>IF($B2139="","",IF($AQ2139="","対象年月が未入力／","")&amp;IF($B2139="","",IF($AP2139="","職員マスタに未登録の職員番号／",IF($AA2139="","標準報酬月額が未登録／","")&amp;IF(AND($AQ2139&lt;&gt;"",OR(AND(INDEX(職員マスタ!$G$6:$G$405,$AP2139)&lt;&gt;"",INDEX(職員マスタ!$G$6:$G$405,$AP2139)&gt;EOMONTH($AQ2139,0)),AND(INDEX(職員マスタ!$H$6:$H$405,$AP2139)&lt;&gt;"",INDEX(職員マスタ!$H$6:$H$405,$AP2139)&lt;$AQ2139))),"対象月が時短期間外／","")&amp;IF(AND(INDEX(職員マスタ!$K$6:$K$405,$AP2139)&lt;&gt;"",N($W2139)&gt;0,INDEX(職員マスタ!$K$6:$K$405,$AP2139)&lt;&gt;$W2139),"標準報酬月額が申請書と相違（台帳"&amp;TEXT(INDEX(職員マスタ!$K$6:$K$405,$AP2139),"#,##0")&amp;"円／申請書"&amp;TEXT($W2139,"#,##0")&amp;"円）／","")&amp;IF(AND(INDEX(職員マスタ!$F$6:$F$405,$AP2139)&lt;&gt;"",$AQ2139&lt;&gt;"",INDEX(職員マスタ!$F$6:$F$405,$AP2139)&lt;$AQ2139),"対象月に子が2歳到達済／","")&amp;IF(AND($H2139&lt;&gt;"",INDEX(職員マスタ!$B$6:$B$405,$AP2139)&lt;&gt;"",SUBSTITUTE(SUBSTITUTE($H2139," ","")," ","")&lt;&gt;SUBSTITUTE(SUBSTITUTE(INDEX(職員マスタ!$B$6:$B$405,$AP2139)," ","")," ","")),"氏名がマスタと相違／","")&amp;IF(AND($Q2139&lt;&gt;"",INDEX(職員マスタ!$E$6:$E$405,$AP2139)&lt;&gt;"",$Q2139&lt;&gt;INDEX(職員マスタ!$E$6:$E$405,$AP2139)),"子の生年月日がマスタと相違／","")&amp;IF(AND($L2139&lt;&gt;"",INDEX(職員マスタ!$G$6:$G$405,$AP2139)&lt;&gt;"",$L2139&lt;&gt;INDEX(職員マスタ!$G$6:$G$405,$AP2139)),"時短開始日がマスタと相違／","")&amp;IF(AND($M2139&lt;&gt;"",INDEX(職員マスタ!$H$6:$H$405,$AP2139)&lt;&gt;"",$M2139&lt;&gt;INDEX(職員マスタ!$H$6:$H$405,$AP2139)),"時短終了日がマスタと相違／","")))&amp;IF(AND($B2139&lt;&gt;"",$E2139=""),"報酬額が未入力／","")&amp;IF(N($U2139)&gt;0,"申請書に入力エラーが残っています／","")&amp;IF(AND($B2139&lt;&gt;"",$AQ2139&lt;&gt;""),IF(COUNTIFS($B$6:$B$3005,$B2139,$C$6:$C$3005,$C2139,$D$6:$D$3005,$D2139)&gt;1,"同じ月の請求が重複しています／",""),"")&amp;IF(AND(N($E2139)&gt;0,$AB2139&lt;&gt;"",$AB2139&lt;&gt;"×",$AE2139=0,$AD2139=""),"計算額が下限以下のため不支給／",""))</f>
        <v/>
      </c>
      <c r="AN2139" s="12" t="n"/>
      <c r="AO2139" s="14">
        <f>IF($AF2139="保留中",COUNTIF($AF$6:$AF2139,"保留中"),"")</f>
        <v/>
      </c>
      <c r="AP2139" s="14">
        <f>IF($AQ2139="","",IF(SUMPRODUCT(MAX((職員マスタ!$A$6:$A$405=$B2139)*(((職員マスタ!$G$6:$G$405="")+(職員マスタ!$G$6:$G$405&lt;=EOMONTH($AQ2139,0)))&gt;0)*(((職員マスタ!$H$6:$H$405="")+(職員マスタ!$H$6:$H$405&gt;=$AQ2139))&gt;0)*(ROW(職員マスタ!$A$6:$A$405)-5)))&gt;0,SUMPRODUCT(MAX((職員マスタ!$A$6:$A$405=$B2139)*(((職員マスタ!$G$6:$G$405="")+(職員マスタ!$G$6:$G$405&lt;=EOMONTH($AQ2139,0)))&gt;0)*(((職員マスタ!$H$6:$H$405="")+(職員マスタ!$H$6:$H$405&gt;=$AQ2139))&gt;0)*(ROW(職員マスタ!$A$6:$A$405)-5))),IFERROR(MATCH($B2139,職員マスタ!$A$6:$A$405,0),"")))</f>
        <v/>
      </c>
      <c r="AQ2139" s="16">
        <f>IF(OR($B2139="",$C2139="",$D2139=""),"",DATE($C2139+2018,$D2139,1))</f>
        <v/>
      </c>
    </row>
    <row r="2140">
      <c r="A2140" s="11" t="n"/>
      <c r="B2140" s="12" t="n"/>
      <c r="C2140" s="12" t="n"/>
      <c r="D2140" s="12" t="n"/>
      <c r="E2140" s="13" t="n"/>
      <c r="F2140" s="12" t="n"/>
      <c r="G2140" s="13" t="n"/>
      <c r="H2140" s="12" t="n"/>
      <c r="I2140" s="12" t="n"/>
      <c r="J2140" s="12" t="n"/>
      <c r="K2140" s="12" t="n"/>
      <c r="L2140" s="11" t="n"/>
      <c r="M2140" s="11" t="n"/>
      <c r="N2140" s="11" t="n"/>
      <c r="O2140" s="11" t="n"/>
      <c r="P2140" s="12" t="n"/>
      <c r="Q2140" s="11" t="n"/>
      <c r="R2140" s="12" t="n"/>
      <c r="S2140" s="11" t="n"/>
      <c r="T2140" s="12" t="n"/>
      <c r="U2140" s="12" t="n"/>
      <c r="V2140" s="12" t="n"/>
      <c r="W2140" s="13" t="n"/>
      <c r="X2140" s="14">
        <f>IF($AP2140="",IF($B2140="","",$H2140),IF(INDEX(職員マスタ!$B$6:$B$405,$AP2140)="",$H2140,INDEX(職員マスタ!$B$6:$B$405,$AP2140)))</f>
        <v/>
      </c>
      <c r="Y2140" s="14">
        <f>IF($AP2140="",IF($B2140="","",$R2140),IF(INDEX(職員マスタ!$C$6:$C$405,$AP2140)="",$R2140,INDEX(職員マスタ!$C$6:$C$405,$AP2140)))</f>
        <v/>
      </c>
      <c r="Z2140" s="14">
        <f>IF($AQ2140="","","R"&amp;$C2140&amp;"."&amp;$D2140)</f>
        <v/>
      </c>
      <c r="AA2140" s="15">
        <f>IF(IF($AP2140="",FALSE,INDEX(職員マスタ!$K$6:$K$405,$AP2140)&lt;&gt;""),INDEX(職員マスタ!$K$6:$K$405,$AP2140),IF(N($W2140)&gt;0,$W2140,""))</f>
        <v/>
      </c>
      <c r="AB2140" s="14">
        <f>IF(OR($E2140="",$AA2140=""),"",IF($E2140&gt;=$AA2140,"×",IF($E2140&gt;=$AA2140*設定!$C$5,"△","○")))</f>
        <v/>
      </c>
      <c r="AC2140" s="15">
        <f>IF($AB2140="","",IF($AB2140="×",0,IF($AB2140="○",ROUNDDOWN($E2140*設定!$C$4,0),ROUNDDOWN($E2140*ROUND((9*$AA2140-9*$E2140)/(10*$E2140),4),0))))</f>
        <v/>
      </c>
      <c r="AD2140" s="13" t="n"/>
      <c r="AE2140" s="15">
        <f>IF($B2140="","",IF($AD2140&lt;&gt;"",$AD2140,IF($AC2140="","",IF($AC2140&lt;=設定!$C$3,0,$AC2140))))</f>
        <v/>
      </c>
      <c r="AF2140" s="14">
        <f>IF($B2140="","",IF(AND($AG2140&lt;&gt;"",$AI2140="",$AL2140=""),"保留中",IF($AL2140&lt;&gt;"",IF(N($AE2140)&gt;0,"支給済","不支給"),IF($AE2140="","要確認",IF($AE2140=0,"不支給","未処理")))))</f>
        <v/>
      </c>
      <c r="AG2140" s="12" t="n"/>
      <c r="AH2140" s="11" t="n"/>
      <c r="AI2140" s="11" t="n"/>
      <c r="AJ2140" s="11" t="n"/>
      <c r="AK2140" s="14">
        <f>IF(AND($AF2140="保留中",$AH2140&lt;&gt;""),TODAY()-$AH2140,"")</f>
        <v/>
      </c>
      <c r="AL2140" s="12" t="n"/>
      <c r="AM2140" s="14">
        <f>IF($B2140="","",IF($AQ2140="","対象年月が未入力／","")&amp;IF($B2140="","",IF($AP2140="","職員マスタに未登録の職員番号／",IF($AA2140="","標準報酬月額が未登録／","")&amp;IF(AND($AQ2140&lt;&gt;"",OR(AND(INDEX(職員マスタ!$G$6:$G$405,$AP2140)&lt;&gt;"",INDEX(職員マスタ!$G$6:$G$405,$AP2140)&gt;EOMONTH($AQ2140,0)),AND(INDEX(職員マスタ!$H$6:$H$405,$AP2140)&lt;&gt;"",INDEX(職員マスタ!$H$6:$H$405,$AP2140)&lt;$AQ2140))),"対象月が時短期間外／","")&amp;IF(AND(INDEX(職員マスタ!$K$6:$K$405,$AP2140)&lt;&gt;"",N($W2140)&gt;0,INDEX(職員マスタ!$K$6:$K$405,$AP2140)&lt;&gt;$W2140),"標準報酬月額が申請書と相違（台帳"&amp;TEXT(INDEX(職員マスタ!$K$6:$K$405,$AP2140),"#,##0")&amp;"円／申請書"&amp;TEXT($W2140,"#,##0")&amp;"円）／","")&amp;IF(AND(INDEX(職員マスタ!$F$6:$F$405,$AP2140)&lt;&gt;"",$AQ2140&lt;&gt;"",INDEX(職員マスタ!$F$6:$F$405,$AP2140)&lt;$AQ2140),"対象月に子が2歳到達済／","")&amp;IF(AND($H2140&lt;&gt;"",INDEX(職員マスタ!$B$6:$B$405,$AP2140)&lt;&gt;"",SUBSTITUTE(SUBSTITUTE($H2140," ","")," ","")&lt;&gt;SUBSTITUTE(SUBSTITUTE(INDEX(職員マスタ!$B$6:$B$405,$AP2140)," ","")," ","")),"氏名がマスタと相違／","")&amp;IF(AND($Q2140&lt;&gt;"",INDEX(職員マスタ!$E$6:$E$405,$AP2140)&lt;&gt;"",$Q2140&lt;&gt;INDEX(職員マスタ!$E$6:$E$405,$AP2140)),"子の生年月日がマスタと相違／","")&amp;IF(AND($L2140&lt;&gt;"",INDEX(職員マスタ!$G$6:$G$405,$AP2140)&lt;&gt;"",$L2140&lt;&gt;INDEX(職員マスタ!$G$6:$G$405,$AP2140)),"時短開始日がマスタと相違／","")&amp;IF(AND($M2140&lt;&gt;"",INDEX(職員マスタ!$H$6:$H$405,$AP2140)&lt;&gt;"",$M2140&lt;&gt;INDEX(職員マスタ!$H$6:$H$405,$AP2140)),"時短終了日がマスタと相違／","")))&amp;IF(AND($B2140&lt;&gt;"",$E2140=""),"報酬額が未入力／","")&amp;IF(N($U2140)&gt;0,"申請書に入力エラーが残っています／","")&amp;IF(AND($B2140&lt;&gt;"",$AQ2140&lt;&gt;""),IF(COUNTIFS($B$6:$B$3005,$B2140,$C$6:$C$3005,$C2140,$D$6:$D$3005,$D2140)&gt;1,"同じ月の請求が重複しています／",""),"")&amp;IF(AND(N($E2140)&gt;0,$AB2140&lt;&gt;"",$AB2140&lt;&gt;"×",$AE2140=0,$AD2140=""),"計算額が下限以下のため不支給／",""))</f>
        <v/>
      </c>
      <c r="AN2140" s="12" t="n"/>
      <c r="AO2140" s="14">
        <f>IF($AF2140="保留中",COUNTIF($AF$6:$AF2140,"保留中"),"")</f>
        <v/>
      </c>
      <c r="AP2140" s="14">
        <f>IF($AQ2140="","",IF(SUMPRODUCT(MAX((職員マスタ!$A$6:$A$405=$B2140)*(((職員マスタ!$G$6:$G$405="")+(職員マスタ!$G$6:$G$405&lt;=EOMONTH($AQ2140,0)))&gt;0)*(((職員マスタ!$H$6:$H$405="")+(職員マスタ!$H$6:$H$405&gt;=$AQ2140))&gt;0)*(ROW(職員マスタ!$A$6:$A$405)-5)))&gt;0,SUMPRODUCT(MAX((職員マスタ!$A$6:$A$405=$B2140)*(((職員マスタ!$G$6:$G$405="")+(職員マスタ!$G$6:$G$405&lt;=EOMONTH($AQ2140,0)))&gt;0)*(((職員マスタ!$H$6:$H$405="")+(職員マスタ!$H$6:$H$405&gt;=$AQ2140))&gt;0)*(ROW(職員マスタ!$A$6:$A$405)-5))),IFERROR(MATCH($B2140,職員マスタ!$A$6:$A$405,0),"")))</f>
        <v/>
      </c>
      <c r="AQ2140" s="16">
        <f>IF(OR($B2140="",$C2140="",$D2140=""),"",DATE($C2140+2018,$D2140,1))</f>
        <v/>
      </c>
    </row>
    <row r="2141">
      <c r="A2141" s="11" t="n"/>
      <c r="B2141" s="12" t="n"/>
      <c r="C2141" s="12" t="n"/>
      <c r="D2141" s="12" t="n"/>
      <c r="E2141" s="13" t="n"/>
      <c r="F2141" s="12" t="n"/>
      <c r="G2141" s="13" t="n"/>
      <c r="H2141" s="12" t="n"/>
      <c r="I2141" s="12" t="n"/>
      <c r="J2141" s="12" t="n"/>
      <c r="K2141" s="12" t="n"/>
      <c r="L2141" s="11" t="n"/>
      <c r="M2141" s="11" t="n"/>
      <c r="N2141" s="11" t="n"/>
      <c r="O2141" s="11" t="n"/>
      <c r="P2141" s="12" t="n"/>
      <c r="Q2141" s="11" t="n"/>
      <c r="R2141" s="12" t="n"/>
      <c r="S2141" s="11" t="n"/>
      <c r="T2141" s="12" t="n"/>
      <c r="U2141" s="12" t="n"/>
      <c r="V2141" s="12" t="n"/>
      <c r="W2141" s="13" t="n"/>
      <c r="X2141" s="14">
        <f>IF($AP2141="",IF($B2141="","",$H2141),IF(INDEX(職員マスタ!$B$6:$B$405,$AP2141)="",$H2141,INDEX(職員マスタ!$B$6:$B$405,$AP2141)))</f>
        <v/>
      </c>
      <c r="Y2141" s="14">
        <f>IF($AP2141="",IF($B2141="","",$R2141),IF(INDEX(職員マスタ!$C$6:$C$405,$AP2141)="",$R2141,INDEX(職員マスタ!$C$6:$C$405,$AP2141)))</f>
        <v/>
      </c>
      <c r="Z2141" s="14">
        <f>IF($AQ2141="","","R"&amp;$C2141&amp;"."&amp;$D2141)</f>
        <v/>
      </c>
      <c r="AA2141" s="15">
        <f>IF(IF($AP2141="",FALSE,INDEX(職員マスタ!$K$6:$K$405,$AP2141)&lt;&gt;""),INDEX(職員マスタ!$K$6:$K$405,$AP2141),IF(N($W2141)&gt;0,$W2141,""))</f>
        <v/>
      </c>
      <c r="AB2141" s="14">
        <f>IF(OR($E2141="",$AA2141=""),"",IF($E2141&gt;=$AA2141,"×",IF($E2141&gt;=$AA2141*設定!$C$5,"△","○")))</f>
        <v/>
      </c>
      <c r="AC2141" s="15">
        <f>IF($AB2141="","",IF($AB2141="×",0,IF($AB2141="○",ROUNDDOWN($E2141*設定!$C$4,0),ROUNDDOWN($E2141*ROUND((9*$AA2141-9*$E2141)/(10*$E2141),4),0))))</f>
        <v/>
      </c>
      <c r="AD2141" s="13" t="n"/>
      <c r="AE2141" s="15">
        <f>IF($B2141="","",IF($AD2141&lt;&gt;"",$AD2141,IF($AC2141="","",IF($AC2141&lt;=設定!$C$3,0,$AC2141))))</f>
        <v/>
      </c>
      <c r="AF2141" s="14">
        <f>IF($B2141="","",IF(AND($AG2141&lt;&gt;"",$AI2141="",$AL2141=""),"保留中",IF($AL2141&lt;&gt;"",IF(N($AE2141)&gt;0,"支給済","不支給"),IF($AE2141="","要確認",IF($AE2141=0,"不支給","未処理")))))</f>
        <v/>
      </c>
      <c r="AG2141" s="12" t="n"/>
      <c r="AH2141" s="11" t="n"/>
      <c r="AI2141" s="11" t="n"/>
      <c r="AJ2141" s="11" t="n"/>
      <c r="AK2141" s="14">
        <f>IF(AND($AF2141="保留中",$AH2141&lt;&gt;""),TODAY()-$AH2141,"")</f>
        <v/>
      </c>
      <c r="AL2141" s="12" t="n"/>
      <c r="AM2141" s="14">
        <f>IF($B2141="","",IF($AQ2141="","対象年月が未入力／","")&amp;IF($B2141="","",IF($AP2141="","職員マスタに未登録の職員番号／",IF($AA2141="","標準報酬月額が未登録／","")&amp;IF(AND($AQ2141&lt;&gt;"",OR(AND(INDEX(職員マスタ!$G$6:$G$405,$AP2141)&lt;&gt;"",INDEX(職員マスタ!$G$6:$G$405,$AP2141)&gt;EOMONTH($AQ2141,0)),AND(INDEX(職員マスタ!$H$6:$H$405,$AP2141)&lt;&gt;"",INDEX(職員マスタ!$H$6:$H$405,$AP2141)&lt;$AQ2141))),"対象月が時短期間外／","")&amp;IF(AND(INDEX(職員マスタ!$K$6:$K$405,$AP2141)&lt;&gt;"",N($W2141)&gt;0,INDEX(職員マスタ!$K$6:$K$405,$AP2141)&lt;&gt;$W2141),"標準報酬月額が申請書と相違（台帳"&amp;TEXT(INDEX(職員マスタ!$K$6:$K$405,$AP2141),"#,##0")&amp;"円／申請書"&amp;TEXT($W2141,"#,##0")&amp;"円）／","")&amp;IF(AND(INDEX(職員マスタ!$F$6:$F$405,$AP2141)&lt;&gt;"",$AQ2141&lt;&gt;"",INDEX(職員マスタ!$F$6:$F$405,$AP2141)&lt;$AQ2141),"対象月に子が2歳到達済／","")&amp;IF(AND($H2141&lt;&gt;"",INDEX(職員マスタ!$B$6:$B$405,$AP2141)&lt;&gt;"",SUBSTITUTE(SUBSTITUTE($H2141," ","")," ","")&lt;&gt;SUBSTITUTE(SUBSTITUTE(INDEX(職員マスタ!$B$6:$B$405,$AP2141)," ","")," ","")),"氏名がマスタと相違／","")&amp;IF(AND($Q2141&lt;&gt;"",INDEX(職員マスタ!$E$6:$E$405,$AP2141)&lt;&gt;"",$Q2141&lt;&gt;INDEX(職員マスタ!$E$6:$E$405,$AP2141)),"子の生年月日がマスタと相違／","")&amp;IF(AND($L2141&lt;&gt;"",INDEX(職員マスタ!$G$6:$G$405,$AP2141)&lt;&gt;"",$L2141&lt;&gt;INDEX(職員マスタ!$G$6:$G$405,$AP2141)),"時短開始日がマスタと相違／","")&amp;IF(AND($M2141&lt;&gt;"",INDEX(職員マスタ!$H$6:$H$405,$AP2141)&lt;&gt;"",$M2141&lt;&gt;INDEX(職員マスタ!$H$6:$H$405,$AP2141)),"時短終了日がマスタと相違／","")))&amp;IF(AND($B2141&lt;&gt;"",$E2141=""),"報酬額が未入力／","")&amp;IF(N($U2141)&gt;0,"申請書に入力エラーが残っています／","")&amp;IF(AND($B2141&lt;&gt;"",$AQ2141&lt;&gt;""),IF(COUNTIFS($B$6:$B$3005,$B2141,$C$6:$C$3005,$C2141,$D$6:$D$3005,$D2141)&gt;1,"同じ月の請求が重複しています／",""),"")&amp;IF(AND(N($E2141)&gt;0,$AB2141&lt;&gt;"",$AB2141&lt;&gt;"×",$AE2141=0,$AD2141=""),"計算額が下限以下のため不支給／",""))</f>
        <v/>
      </c>
      <c r="AN2141" s="12" t="n"/>
      <c r="AO2141" s="14">
        <f>IF($AF2141="保留中",COUNTIF($AF$6:$AF2141,"保留中"),"")</f>
        <v/>
      </c>
      <c r="AP2141" s="14">
        <f>IF($AQ2141="","",IF(SUMPRODUCT(MAX((職員マスタ!$A$6:$A$405=$B2141)*(((職員マスタ!$G$6:$G$405="")+(職員マスタ!$G$6:$G$405&lt;=EOMONTH($AQ2141,0)))&gt;0)*(((職員マスタ!$H$6:$H$405="")+(職員マスタ!$H$6:$H$405&gt;=$AQ2141))&gt;0)*(ROW(職員マスタ!$A$6:$A$405)-5)))&gt;0,SUMPRODUCT(MAX((職員マスタ!$A$6:$A$405=$B2141)*(((職員マスタ!$G$6:$G$405="")+(職員マスタ!$G$6:$G$405&lt;=EOMONTH($AQ2141,0)))&gt;0)*(((職員マスタ!$H$6:$H$405="")+(職員マスタ!$H$6:$H$405&gt;=$AQ2141))&gt;0)*(ROW(職員マスタ!$A$6:$A$405)-5))),IFERROR(MATCH($B2141,職員マスタ!$A$6:$A$405,0),"")))</f>
        <v/>
      </c>
      <c r="AQ2141" s="16">
        <f>IF(OR($B2141="",$C2141="",$D2141=""),"",DATE($C2141+2018,$D2141,1))</f>
        <v/>
      </c>
    </row>
    <row r="2142">
      <c r="A2142" s="11" t="n"/>
      <c r="B2142" s="12" t="n"/>
      <c r="C2142" s="12" t="n"/>
      <c r="D2142" s="12" t="n"/>
      <c r="E2142" s="13" t="n"/>
      <c r="F2142" s="12" t="n"/>
      <c r="G2142" s="13" t="n"/>
      <c r="H2142" s="12" t="n"/>
      <c r="I2142" s="12" t="n"/>
      <c r="J2142" s="12" t="n"/>
      <c r="K2142" s="12" t="n"/>
      <c r="L2142" s="11" t="n"/>
      <c r="M2142" s="11" t="n"/>
      <c r="N2142" s="11" t="n"/>
      <c r="O2142" s="11" t="n"/>
      <c r="P2142" s="12" t="n"/>
      <c r="Q2142" s="11" t="n"/>
      <c r="R2142" s="12" t="n"/>
      <c r="S2142" s="11" t="n"/>
      <c r="T2142" s="12" t="n"/>
      <c r="U2142" s="12" t="n"/>
      <c r="V2142" s="12" t="n"/>
      <c r="W2142" s="13" t="n"/>
      <c r="X2142" s="14">
        <f>IF($AP2142="",IF($B2142="","",$H2142),IF(INDEX(職員マスタ!$B$6:$B$405,$AP2142)="",$H2142,INDEX(職員マスタ!$B$6:$B$405,$AP2142)))</f>
        <v/>
      </c>
      <c r="Y2142" s="14">
        <f>IF($AP2142="",IF($B2142="","",$R2142),IF(INDEX(職員マスタ!$C$6:$C$405,$AP2142)="",$R2142,INDEX(職員マスタ!$C$6:$C$405,$AP2142)))</f>
        <v/>
      </c>
      <c r="Z2142" s="14">
        <f>IF($AQ2142="","","R"&amp;$C2142&amp;"."&amp;$D2142)</f>
        <v/>
      </c>
      <c r="AA2142" s="15">
        <f>IF(IF($AP2142="",FALSE,INDEX(職員マスタ!$K$6:$K$405,$AP2142)&lt;&gt;""),INDEX(職員マスタ!$K$6:$K$405,$AP2142),IF(N($W2142)&gt;0,$W2142,""))</f>
        <v/>
      </c>
      <c r="AB2142" s="14">
        <f>IF(OR($E2142="",$AA2142=""),"",IF($E2142&gt;=$AA2142,"×",IF($E2142&gt;=$AA2142*設定!$C$5,"△","○")))</f>
        <v/>
      </c>
      <c r="AC2142" s="15">
        <f>IF($AB2142="","",IF($AB2142="×",0,IF($AB2142="○",ROUNDDOWN($E2142*設定!$C$4,0),ROUNDDOWN($E2142*ROUND((9*$AA2142-9*$E2142)/(10*$E2142),4),0))))</f>
        <v/>
      </c>
      <c r="AD2142" s="13" t="n"/>
      <c r="AE2142" s="15">
        <f>IF($B2142="","",IF($AD2142&lt;&gt;"",$AD2142,IF($AC2142="","",IF($AC2142&lt;=設定!$C$3,0,$AC2142))))</f>
        <v/>
      </c>
      <c r="AF2142" s="14">
        <f>IF($B2142="","",IF(AND($AG2142&lt;&gt;"",$AI2142="",$AL2142=""),"保留中",IF($AL2142&lt;&gt;"",IF(N($AE2142)&gt;0,"支給済","不支給"),IF($AE2142="","要確認",IF($AE2142=0,"不支給","未処理")))))</f>
        <v/>
      </c>
      <c r="AG2142" s="12" t="n"/>
      <c r="AH2142" s="11" t="n"/>
      <c r="AI2142" s="11" t="n"/>
      <c r="AJ2142" s="11" t="n"/>
      <c r="AK2142" s="14">
        <f>IF(AND($AF2142="保留中",$AH2142&lt;&gt;""),TODAY()-$AH2142,"")</f>
        <v/>
      </c>
      <c r="AL2142" s="12" t="n"/>
      <c r="AM2142" s="14">
        <f>IF($B2142="","",IF($AQ2142="","対象年月が未入力／","")&amp;IF($B2142="","",IF($AP2142="","職員マスタに未登録の職員番号／",IF($AA2142="","標準報酬月額が未登録／","")&amp;IF(AND($AQ2142&lt;&gt;"",OR(AND(INDEX(職員マスタ!$G$6:$G$405,$AP2142)&lt;&gt;"",INDEX(職員マスタ!$G$6:$G$405,$AP2142)&gt;EOMONTH($AQ2142,0)),AND(INDEX(職員マスタ!$H$6:$H$405,$AP2142)&lt;&gt;"",INDEX(職員マスタ!$H$6:$H$405,$AP2142)&lt;$AQ2142))),"対象月が時短期間外／","")&amp;IF(AND(INDEX(職員マスタ!$K$6:$K$405,$AP2142)&lt;&gt;"",N($W2142)&gt;0,INDEX(職員マスタ!$K$6:$K$405,$AP2142)&lt;&gt;$W2142),"標準報酬月額が申請書と相違（台帳"&amp;TEXT(INDEX(職員マスタ!$K$6:$K$405,$AP2142),"#,##0")&amp;"円／申請書"&amp;TEXT($W2142,"#,##0")&amp;"円）／","")&amp;IF(AND(INDEX(職員マスタ!$F$6:$F$405,$AP2142)&lt;&gt;"",$AQ2142&lt;&gt;"",INDEX(職員マスタ!$F$6:$F$405,$AP2142)&lt;$AQ2142),"対象月に子が2歳到達済／","")&amp;IF(AND($H2142&lt;&gt;"",INDEX(職員マスタ!$B$6:$B$405,$AP2142)&lt;&gt;"",SUBSTITUTE(SUBSTITUTE($H2142," ","")," ","")&lt;&gt;SUBSTITUTE(SUBSTITUTE(INDEX(職員マスタ!$B$6:$B$405,$AP2142)," ","")," ","")),"氏名がマスタと相違／","")&amp;IF(AND($Q2142&lt;&gt;"",INDEX(職員マスタ!$E$6:$E$405,$AP2142)&lt;&gt;"",$Q2142&lt;&gt;INDEX(職員マスタ!$E$6:$E$405,$AP2142)),"子の生年月日がマスタと相違／","")&amp;IF(AND($L2142&lt;&gt;"",INDEX(職員マスタ!$G$6:$G$405,$AP2142)&lt;&gt;"",$L2142&lt;&gt;INDEX(職員マスタ!$G$6:$G$405,$AP2142)),"時短開始日がマスタと相違／","")&amp;IF(AND($M2142&lt;&gt;"",INDEX(職員マスタ!$H$6:$H$405,$AP2142)&lt;&gt;"",$M2142&lt;&gt;INDEX(職員マスタ!$H$6:$H$405,$AP2142)),"時短終了日がマスタと相違／","")))&amp;IF(AND($B2142&lt;&gt;"",$E2142=""),"報酬額が未入力／","")&amp;IF(N($U2142)&gt;0,"申請書に入力エラーが残っています／","")&amp;IF(AND($B2142&lt;&gt;"",$AQ2142&lt;&gt;""),IF(COUNTIFS($B$6:$B$3005,$B2142,$C$6:$C$3005,$C2142,$D$6:$D$3005,$D2142)&gt;1,"同じ月の請求が重複しています／",""),"")&amp;IF(AND(N($E2142)&gt;0,$AB2142&lt;&gt;"",$AB2142&lt;&gt;"×",$AE2142=0,$AD2142=""),"計算額が下限以下のため不支給／",""))</f>
        <v/>
      </c>
      <c r="AN2142" s="12" t="n"/>
      <c r="AO2142" s="14">
        <f>IF($AF2142="保留中",COUNTIF($AF$6:$AF2142,"保留中"),"")</f>
        <v/>
      </c>
      <c r="AP2142" s="14">
        <f>IF($AQ2142="","",IF(SUMPRODUCT(MAX((職員マスタ!$A$6:$A$405=$B2142)*(((職員マスタ!$G$6:$G$405="")+(職員マスタ!$G$6:$G$405&lt;=EOMONTH($AQ2142,0)))&gt;0)*(((職員マスタ!$H$6:$H$405="")+(職員マスタ!$H$6:$H$405&gt;=$AQ2142))&gt;0)*(ROW(職員マスタ!$A$6:$A$405)-5)))&gt;0,SUMPRODUCT(MAX((職員マスタ!$A$6:$A$405=$B2142)*(((職員マスタ!$G$6:$G$405="")+(職員マスタ!$G$6:$G$405&lt;=EOMONTH($AQ2142,0)))&gt;0)*(((職員マスタ!$H$6:$H$405="")+(職員マスタ!$H$6:$H$405&gt;=$AQ2142))&gt;0)*(ROW(職員マスタ!$A$6:$A$405)-5))),IFERROR(MATCH($B2142,職員マスタ!$A$6:$A$405,0),"")))</f>
        <v/>
      </c>
      <c r="AQ2142" s="16">
        <f>IF(OR($B2142="",$C2142="",$D2142=""),"",DATE($C2142+2018,$D2142,1))</f>
        <v/>
      </c>
    </row>
    <row r="2143">
      <c r="A2143" s="11" t="n"/>
      <c r="B2143" s="12" t="n"/>
      <c r="C2143" s="12" t="n"/>
      <c r="D2143" s="12" t="n"/>
      <c r="E2143" s="13" t="n"/>
      <c r="F2143" s="12" t="n"/>
      <c r="G2143" s="13" t="n"/>
      <c r="H2143" s="12" t="n"/>
      <c r="I2143" s="12" t="n"/>
      <c r="J2143" s="12" t="n"/>
      <c r="K2143" s="12" t="n"/>
      <c r="L2143" s="11" t="n"/>
      <c r="M2143" s="11" t="n"/>
      <c r="N2143" s="11" t="n"/>
      <c r="O2143" s="11" t="n"/>
      <c r="P2143" s="12" t="n"/>
      <c r="Q2143" s="11" t="n"/>
      <c r="R2143" s="12" t="n"/>
      <c r="S2143" s="11" t="n"/>
      <c r="T2143" s="12" t="n"/>
      <c r="U2143" s="12" t="n"/>
      <c r="V2143" s="12" t="n"/>
      <c r="W2143" s="13" t="n"/>
      <c r="X2143" s="14">
        <f>IF($AP2143="",IF($B2143="","",$H2143),IF(INDEX(職員マスタ!$B$6:$B$405,$AP2143)="",$H2143,INDEX(職員マスタ!$B$6:$B$405,$AP2143)))</f>
        <v/>
      </c>
      <c r="Y2143" s="14">
        <f>IF($AP2143="",IF($B2143="","",$R2143),IF(INDEX(職員マスタ!$C$6:$C$405,$AP2143)="",$R2143,INDEX(職員マスタ!$C$6:$C$405,$AP2143)))</f>
        <v/>
      </c>
      <c r="Z2143" s="14">
        <f>IF($AQ2143="","","R"&amp;$C2143&amp;"."&amp;$D2143)</f>
        <v/>
      </c>
      <c r="AA2143" s="15">
        <f>IF(IF($AP2143="",FALSE,INDEX(職員マスタ!$K$6:$K$405,$AP2143)&lt;&gt;""),INDEX(職員マスタ!$K$6:$K$405,$AP2143),IF(N($W2143)&gt;0,$W2143,""))</f>
        <v/>
      </c>
      <c r="AB2143" s="14">
        <f>IF(OR($E2143="",$AA2143=""),"",IF($E2143&gt;=$AA2143,"×",IF($E2143&gt;=$AA2143*設定!$C$5,"△","○")))</f>
        <v/>
      </c>
      <c r="AC2143" s="15">
        <f>IF($AB2143="","",IF($AB2143="×",0,IF($AB2143="○",ROUNDDOWN($E2143*設定!$C$4,0),ROUNDDOWN($E2143*ROUND((9*$AA2143-9*$E2143)/(10*$E2143),4),0))))</f>
        <v/>
      </c>
      <c r="AD2143" s="13" t="n"/>
      <c r="AE2143" s="15">
        <f>IF($B2143="","",IF($AD2143&lt;&gt;"",$AD2143,IF($AC2143="","",IF($AC2143&lt;=設定!$C$3,0,$AC2143))))</f>
        <v/>
      </c>
      <c r="AF2143" s="14">
        <f>IF($B2143="","",IF(AND($AG2143&lt;&gt;"",$AI2143="",$AL2143=""),"保留中",IF($AL2143&lt;&gt;"",IF(N($AE2143)&gt;0,"支給済","不支給"),IF($AE2143="","要確認",IF($AE2143=0,"不支給","未処理")))))</f>
        <v/>
      </c>
      <c r="AG2143" s="12" t="n"/>
      <c r="AH2143" s="11" t="n"/>
      <c r="AI2143" s="11" t="n"/>
      <c r="AJ2143" s="11" t="n"/>
      <c r="AK2143" s="14">
        <f>IF(AND($AF2143="保留中",$AH2143&lt;&gt;""),TODAY()-$AH2143,"")</f>
        <v/>
      </c>
      <c r="AL2143" s="12" t="n"/>
      <c r="AM2143" s="14">
        <f>IF($B2143="","",IF($AQ2143="","対象年月が未入力／","")&amp;IF($B2143="","",IF($AP2143="","職員マスタに未登録の職員番号／",IF($AA2143="","標準報酬月額が未登録／","")&amp;IF(AND($AQ2143&lt;&gt;"",OR(AND(INDEX(職員マスタ!$G$6:$G$405,$AP2143)&lt;&gt;"",INDEX(職員マスタ!$G$6:$G$405,$AP2143)&gt;EOMONTH($AQ2143,0)),AND(INDEX(職員マスタ!$H$6:$H$405,$AP2143)&lt;&gt;"",INDEX(職員マスタ!$H$6:$H$405,$AP2143)&lt;$AQ2143))),"対象月が時短期間外／","")&amp;IF(AND(INDEX(職員マスタ!$K$6:$K$405,$AP2143)&lt;&gt;"",N($W2143)&gt;0,INDEX(職員マスタ!$K$6:$K$405,$AP2143)&lt;&gt;$W2143),"標準報酬月額が申請書と相違（台帳"&amp;TEXT(INDEX(職員マスタ!$K$6:$K$405,$AP2143),"#,##0")&amp;"円／申請書"&amp;TEXT($W2143,"#,##0")&amp;"円）／","")&amp;IF(AND(INDEX(職員マスタ!$F$6:$F$405,$AP2143)&lt;&gt;"",$AQ2143&lt;&gt;"",INDEX(職員マスタ!$F$6:$F$405,$AP2143)&lt;$AQ2143),"対象月に子が2歳到達済／","")&amp;IF(AND($H2143&lt;&gt;"",INDEX(職員マスタ!$B$6:$B$405,$AP2143)&lt;&gt;"",SUBSTITUTE(SUBSTITUTE($H2143," ","")," ","")&lt;&gt;SUBSTITUTE(SUBSTITUTE(INDEX(職員マスタ!$B$6:$B$405,$AP2143)," ","")," ","")),"氏名がマスタと相違／","")&amp;IF(AND($Q2143&lt;&gt;"",INDEX(職員マスタ!$E$6:$E$405,$AP2143)&lt;&gt;"",$Q2143&lt;&gt;INDEX(職員マスタ!$E$6:$E$405,$AP2143)),"子の生年月日がマスタと相違／","")&amp;IF(AND($L2143&lt;&gt;"",INDEX(職員マスタ!$G$6:$G$405,$AP2143)&lt;&gt;"",$L2143&lt;&gt;INDEX(職員マスタ!$G$6:$G$405,$AP2143)),"時短開始日がマスタと相違／","")&amp;IF(AND($M2143&lt;&gt;"",INDEX(職員マスタ!$H$6:$H$405,$AP2143)&lt;&gt;"",$M2143&lt;&gt;INDEX(職員マスタ!$H$6:$H$405,$AP2143)),"時短終了日がマスタと相違／","")))&amp;IF(AND($B2143&lt;&gt;"",$E2143=""),"報酬額が未入力／","")&amp;IF(N($U2143)&gt;0,"申請書に入力エラーが残っています／","")&amp;IF(AND($B2143&lt;&gt;"",$AQ2143&lt;&gt;""),IF(COUNTIFS($B$6:$B$3005,$B2143,$C$6:$C$3005,$C2143,$D$6:$D$3005,$D2143)&gt;1,"同じ月の請求が重複しています／",""),"")&amp;IF(AND(N($E2143)&gt;0,$AB2143&lt;&gt;"",$AB2143&lt;&gt;"×",$AE2143=0,$AD2143=""),"計算額が下限以下のため不支給／",""))</f>
        <v/>
      </c>
      <c r="AN2143" s="12" t="n"/>
      <c r="AO2143" s="14">
        <f>IF($AF2143="保留中",COUNTIF($AF$6:$AF2143,"保留中"),"")</f>
        <v/>
      </c>
      <c r="AP2143" s="14">
        <f>IF($AQ2143="","",IF(SUMPRODUCT(MAX((職員マスタ!$A$6:$A$405=$B2143)*(((職員マスタ!$G$6:$G$405="")+(職員マスタ!$G$6:$G$405&lt;=EOMONTH($AQ2143,0)))&gt;0)*(((職員マスタ!$H$6:$H$405="")+(職員マスタ!$H$6:$H$405&gt;=$AQ2143))&gt;0)*(ROW(職員マスタ!$A$6:$A$405)-5)))&gt;0,SUMPRODUCT(MAX((職員マスタ!$A$6:$A$405=$B2143)*(((職員マスタ!$G$6:$G$405="")+(職員マスタ!$G$6:$G$405&lt;=EOMONTH($AQ2143,0)))&gt;0)*(((職員マスタ!$H$6:$H$405="")+(職員マスタ!$H$6:$H$405&gt;=$AQ2143))&gt;0)*(ROW(職員マスタ!$A$6:$A$405)-5))),IFERROR(MATCH($B2143,職員マスタ!$A$6:$A$405,0),"")))</f>
        <v/>
      </c>
      <c r="AQ2143" s="16">
        <f>IF(OR($B2143="",$C2143="",$D2143=""),"",DATE($C2143+2018,$D2143,1))</f>
        <v/>
      </c>
    </row>
    <row r="2144">
      <c r="A2144" s="11" t="n"/>
      <c r="B2144" s="12" t="n"/>
      <c r="C2144" s="12" t="n"/>
      <c r="D2144" s="12" t="n"/>
      <c r="E2144" s="13" t="n"/>
      <c r="F2144" s="12" t="n"/>
      <c r="G2144" s="13" t="n"/>
      <c r="H2144" s="12" t="n"/>
      <c r="I2144" s="12" t="n"/>
      <c r="J2144" s="12" t="n"/>
      <c r="K2144" s="12" t="n"/>
      <c r="L2144" s="11" t="n"/>
      <c r="M2144" s="11" t="n"/>
      <c r="N2144" s="11" t="n"/>
      <c r="O2144" s="11" t="n"/>
      <c r="P2144" s="12" t="n"/>
      <c r="Q2144" s="11" t="n"/>
      <c r="R2144" s="12" t="n"/>
      <c r="S2144" s="11" t="n"/>
      <c r="T2144" s="12" t="n"/>
      <c r="U2144" s="12" t="n"/>
      <c r="V2144" s="12" t="n"/>
      <c r="W2144" s="13" t="n"/>
      <c r="X2144" s="14">
        <f>IF($AP2144="",IF($B2144="","",$H2144),IF(INDEX(職員マスタ!$B$6:$B$405,$AP2144)="",$H2144,INDEX(職員マスタ!$B$6:$B$405,$AP2144)))</f>
        <v/>
      </c>
      <c r="Y2144" s="14">
        <f>IF($AP2144="",IF($B2144="","",$R2144),IF(INDEX(職員マスタ!$C$6:$C$405,$AP2144)="",$R2144,INDEX(職員マスタ!$C$6:$C$405,$AP2144)))</f>
        <v/>
      </c>
      <c r="Z2144" s="14">
        <f>IF($AQ2144="","","R"&amp;$C2144&amp;"."&amp;$D2144)</f>
        <v/>
      </c>
      <c r="AA2144" s="15">
        <f>IF(IF($AP2144="",FALSE,INDEX(職員マスタ!$K$6:$K$405,$AP2144)&lt;&gt;""),INDEX(職員マスタ!$K$6:$K$405,$AP2144),IF(N($W2144)&gt;0,$W2144,""))</f>
        <v/>
      </c>
      <c r="AB2144" s="14">
        <f>IF(OR($E2144="",$AA2144=""),"",IF($E2144&gt;=$AA2144,"×",IF($E2144&gt;=$AA2144*設定!$C$5,"△","○")))</f>
        <v/>
      </c>
      <c r="AC2144" s="15">
        <f>IF($AB2144="","",IF($AB2144="×",0,IF($AB2144="○",ROUNDDOWN($E2144*設定!$C$4,0),ROUNDDOWN($E2144*ROUND((9*$AA2144-9*$E2144)/(10*$E2144),4),0))))</f>
        <v/>
      </c>
      <c r="AD2144" s="13" t="n"/>
      <c r="AE2144" s="15">
        <f>IF($B2144="","",IF($AD2144&lt;&gt;"",$AD2144,IF($AC2144="","",IF($AC2144&lt;=設定!$C$3,0,$AC2144))))</f>
        <v/>
      </c>
      <c r="AF2144" s="14">
        <f>IF($B2144="","",IF(AND($AG2144&lt;&gt;"",$AI2144="",$AL2144=""),"保留中",IF($AL2144&lt;&gt;"",IF(N($AE2144)&gt;0,"支給済","不支給"),IF($AE2144="","要確認",IF($AE2144=0,"不支給","未処理")))))</f>
        <v/>
      </c>
      <c r="AG2144" s="12" t="n"/>
      <c r="AH2144" s="11" t="n"/>
      <c r="AI2144" s="11" t="n"/>
      <c r="AJ2144" s="11" t="n"/>
      <c r="AK2144" s="14">
        <f>IF(AND($AF2144="保留中",$AH2144&lt;&gt;""),TODAY()-$AH2144,"")</f>
        <v/>
      </c>
      <c r="AL2144" s="12" t="n"/>
      <c r="AM2144" s="14">
        <f>IF($B2144="","",IF($AQ2144="","対象年月が未入力／","")&amp;IF($B2144="","",IF($AP2144="","職員マスタに未登録の職員番号／",IF($AA2144="","標準報酬月額が未登録／","")&amp;IF(AND($AQ2144&lt;&gt;"",OR(AND(INDEX(職員マスタ!$G$6:$G$405,$AP2144)&lt;&gt;"",INDEX(職員マスタ!$G$6:$G$405,$AP2144)&gt;EOMONTH($AQ2144,0)),AND(INDEX(職員マスタ!$H$6:$H$405,$AP2144)&lt;&gt;"",INDEX(職員マスタ!$H$6:$H$405,$AP2144)&lt;$AQ2144))),"対象月が時短期間外／","")&amp;IF(AND(INDEX(職員マスタ!$K$6:$K$405,$AP2144)&lt;&gt;"",N($W2144)&gt;0,INDEX(職員マスタ!$K$6:$K$405,$AP2144)&lt;&gt;$W2144),"標準報酬月額が申請書と相違（台帳"&amp;TEXT(INDEX(職員マスタ!$K$6:$K$405,$AP2144),"#,##0")&amp;"円／申請書"&amp;TEXT($W2144,"#,##0")&amp;"円）／","")&amp;IF(AND(INDEX(職員マスタ!$F$6:$F$405,$AP2144)&lt;&gt;"",$AQ2144&lt;&gt;"",INDEX(職員マスタ!$F$6:$F$405,$AP2144)&lt;$AQ2144),"対象月に子が2歳到達済／","")&amp;IF(AND($H2144&lt;&gt;"",INDEX(職員マスタ!$B$6:$B$405,$AP2144)&lt;&gt;"",SUBSTITUTE(SUBSTITUTE($H2144," ","")," ","")&lt;&gt;SUBSTITUTE(SUBSTITUTE(INDEX(職員マスタ!$B$6:$B$405,$AP2144)," ","")," ","")),"氏名がマスタと相違／","")&amp;IF(AND($Q2144&lt;&gt;"",INDEX(職員マスタ!$E$6:$E$405,$AP2144)&lt;&gt;"",$Q2144&lt;&gt;INDEX(職員マスタ!$E$6:$E$405,$AP2144)),"子の生年月日がマスタと相違／","")&amp;IF(AND($L2144&lt;&gt;"",INDEX(職員マスタ!$G$6:$G$405,$AP2144)&lt;&gt;"",$L2144&lt;&gt;INDEX(職員マスタ!$G$6:$G$405,$AP2144)),"時短開始日がマスタと相違／","")&amp;IF(AND($M2144&lt;&gt;"",INDEX(職員マスタ!$H$6:$H$405,$AP2144)&lt;&gt;"",$M2144&lt;&gt;INDEX(職員マスタ!$H$6:$H$405,$AP2144)),"時短終了日がマスタと相違／","")))&amp;IF(AND($B2144&lt;&gt;"",$E2144=""),"報酬額が未入力／","")&amp;IF(N($U2144)&gt;0,"申請書に入力エラーが残っています／","")&amp;IF(AND($B2144&lt;&gt;"",$AQ2144&lt;&gt;""),IF(COUNTIFS($B$6:$B$3005,$B2144,$C$6:$C$3005,$C2144,$D$6:$D$3005,$D2144)&gt;1,"同じ月の請求が重複しています／",""),"")&amp;IF(AND(N($E2144)&gt;0,$AB2144&lt;&gt;"",$AB2144&lt;&gt;"×",$AE2144=0,$AD2144=""),"計算額が下限以下のため不支給／",""))</f>
        <v/>
      </c>
      <c r="AN2144" s="12" t="n"/>
      <c r="AO2144" s="14">
        <f>IF($AF2144="保留中",COUNTIF($AF$6:$AF2144,"保留中"),"")</f>
        <v/>
      </c>
      <c r="AP2144" s="14">
        <f>IF($AQ2144="","",IF(SUMPRODUCT(MAX((職員マスタ!$A$6:$A$405=$B2144)*(((職員マスタ!$G$6:$G$405="")+(職員マスタ!$G$6:$G$405&lt;=EOMONTH($AQ2144,0)))&gt;0)*(((職員マスタ!$H$6:$H$405="")+(職員マスタ!$H$6:$H$405&gt;=$AQ2144))&gt;0)*(ROW(職員マスタ!$A$6:$A$405)-5)))&gt;0,SUMPRODUCT(MAX((職員マスタ!$A$6:$A$405=$B2144)*(((職員マスタ!$G$6:$G$405="")+(職員マスタ!$G$6:$G$405&lt;=EOMONTH($AQ2144,0)))&gt;0)*(((職員マスタ!$H$6:$H$405="")+(職員マスタ!$H$6:$H$405&gt;=$AQ2144))&gt;0)*(ROW(職員マスタ!$A$6:$A$405)-5))),IFERROR(MATCH($B2144,職員マスタ!$A$6:$A$405,0),"")))</f>
        <v/>
      </c>
      <c r="AQ2144" s="16">
        <f>IF(OR($B2144="",$C2144="",$D2144=""),"",DATE($C2144+2018,$D2144,1))</f>
        <v/>
      </c>
    </row>
    <row r="2145">
      <c r="A2145" s="11" t="n"/>
      <c r="B2145" s="12" t="n"/>
      <c r="C2145" s="12" t="n"/>
      <c r="D2145" s="12" t="n"/>
      <c r="E2145" s="13" t="n"/>
      <c r="F2145" s="12" t="n"/>
      <c r="G2145" s="13" t="n"/>
      <c r="H2145" s="12" t="n"/>
      <c r="I2145" s="12" t="n"/>
      <c r="J2145" s="12" t="n"/>
      <c r="K2145" s="12" t="n"/>
      <c r="L2145" s="11" t="n"/>
      <c r="M2145" s="11" t="n"/>
      <c r="N2145" s="11" t="n"/>
      <c r="O2145" s="11" t="n"/>
      <c r="P2145" s="12" t="n"/>
      <c r="Q2145" s="11" t="n"/>
      <c r="R2145" s="12" t="n"/>
      <c r="S2145" s="11" t="n"/>
      <c r="T2145" s="12" t="n"/>
      <c r="U2145" s="12" t="n"/>
      <c r="V2145" s="12" t="n"/>
      <c r="W2145" s="13" t="n"/>
      <c r="X2145" s="14">
        <f>IF($AP2145="",IF($B2145="","",$H2145),IF(INDEX(職員マスタ!$B$6:$B$405,$AP2145)="",$H2145,INDEX(職員マスタ!$B$6:$B$405,$AP2145)))</f>
        <v/>
      </c>
      <c r="Y2145" s="14">
        <f>IF($AP2145="",IF($B2145="","",$R2145),IF(INDEX(職員マスタ!$C$6:$C$405,$AP2145)="",$R2145,INDEX(職員マスタ!$C$6:$C$405,$AP2145)))</f>
        <v/>
      </c>
      <c r="Z2145" s="14">
        <f>IF($AQ2145="","","R"&amp;$C2145&amp;"."&amp;$D2145)</f>
        <v/>
      </c>
      <c r="AA2145" s="15">
        <f>IF(IF($AP2145="",FALSE,INDEX(職員マスタ!$K$6:$K$405,$AP2145)&lt;&gt;""),INDEX(職員マスタ!$K$6:$K$405,$AP2145),IF(N($W2145)&gt;0,$W2145,""))</f>
        <v/>
      </c>
      <c r="AB2145" s="14">
        <f>IF(OR($E2145="",$AA2145=""),"",IF($E2145&gt;=$AA2145,"×",IF($E2145&gt;=$AA2145*設定!$C$5,"△","○")))</f>
        <v/>
      </c>
      <c r="AC2145" s="15">
        <f>IF($AB2145="","",IF($AB2145="×",0,IF($AB2145="○",ROUNDDOWN($E2145*設定!$C$4,0),ROUNDDOWN($E2145*ROUND((9*$AA2145-9*$E2145)/(10*$E2145),4),0))))</f>
        <v/>
      </c>
      <c r="AD2145" s="13" t="n"/>
      <c r="AE2145" s="15">
        <f>IF($B2145="","",IF($AD2145&lt;&gt;"",$AD2145,IF($AC2145="","",IF($AC2145&lt;=設定!$C$3,0,$AC2145))))</f>
        <v/>
      </c>
      <c r="AF2145" s="14">
        <f>IF($B2145="","",IF(AND($AG2145&lt;&gt;"",$AI2145="",$AL2145=""),"保留中",IF($AL2145&lt;&gt;"",IF(N($AE2145)&gt;0,"支給済","不支給"),IF($AE2145="","要確認",IF($AE2145=0,"不支給","未処理")))))</f>
        <v/>
      </c>
      <c r="AG2145" s="12" t="n"/>
      <c r="AH2145" s="11" t="n"/>
      <c r="AI2145" s="11" t="n"/>
      <c r="AJ2145" s="11" t="n"/>
      <c r="AK2145" s="14">
        <f>IF(AND($AF2145="保留中",$AH2145&lt;&gt;""),TODAY()-$AH2145,"")</f>
        <v/>
      </c>
      <c r="AL2145" s="12" t="n"/>
      <c r="AM2145" s="14">
        <f>IF($B2145="","",IF($AQ2145="","対象年月が未入力／","")&amp;IF($B2145="","",IF($AP2145="","職員マスタに未登録の職員番号／",IF($AA2145="","標準報酬月額が未登録／","")&amp;IF(AND($AQ2145&lt;&gt;"",OR(AND(INDEX(職員マスタ!$G$6:$G$405,$AP2145)&lt;&gt;"",INDEX(職員マスタ!$G$6:$G$405,$AP2145)&gt;EOMONTH($AQ2145,0)),AND(INDEX(職員マスタ!$H$6:$H$405,$AP2145)&lt;&gt;"",INDEX(職員マスタ!$H$6:$H$405,$AP2145)&lt;$AQ2145))),"対象月が時短期間外／","")&amp;IF(AND(INDEX(職員マスタ!$K$6:$K$405,$AP2145)&lt;&gt;"",N($W2145)&gt;0,INDEX(職員マスタ!$K$6:$K$405,$AP2145)&lt;&gt;$W2145),"標準報酬月額が申請書と相違（台帳"&amp;TEXT(INDEX(職員マスタ!$K$6:$K$405,$AP2145),"#,##0")&amp;"円／申請書"&amp;TEXT($W2145,"#,##0")&amp;"円）／","")&amp;IF(AND(INDEX(職員マスタ!$F$6:$F$405,$AP2145)&lt;&gt;"",$AQ2145&lt;&gt;"",INDEX(職員マスタ!$F$6:$F$405,$AP2145)&lt;$AQ2145),"対象月に子が2歳到達済／","")&amp;IF(AND($H2145&lt;&gt;"",INDEX(職員マスタ!$B$6:$B$405,$AP2145)&lt;&gt;"",SUBSTITUTE(SUBSTITUTE($H2145," ","")," ","")&lt;&gt;SUBSTITUTE(SUBSTITUTE(INDEX(職員マスタ!$B$6:$B$405,$AP2145)," ","")," ","")),"氏名がマスタと相違／","")&amp;IF(AND($Q2145&lt;&gt;"",INDEX(職員マスタ!$E$6:$E$405,$AP2145)&lt;&gt;"",$Q2145&lt;&gt;INDEX(職員マスタ!$E$6:$E$405,$AP2145)),"子の生年月日がマスタと相違／","")&amp;IF(AND($L2145&lt;&gt;"",INDEX(職員マスタ!$G$6:$G$405,$AP2145)&lt;&gt;"",$L2145&lt;&gt;INDEX(職員マスタ!$G$6:$G$405,$AP2145)),"時短開始日がマスタと相違／","")&amp;IF(AND($M2145&lt;&gt;"",INDEX(職員マスタ!$H$6:$H$405,$AP2145)&lt;&gt;"",$M2145&lt;&gt;INDEX(職員マスタ!$H$6:$H$405,$AP2145)),"時短終了日がマスタと相違／","")))&amp;IF(AND($B2145&lt;&gt;"",$E2145=""),"報酬額が未入力／","")&amp;IF(N($U2145)&gt;0,"申請書に入力エラーが残っています／","")&amp;IF(AND($B2145&lt;&gt;"",$AQ2145&lt;&gt;""),IF(COUNTIFS($B$6:$B$3005,$B2145,$C$6:$C$3005,$C2145,$D$6:$D$3005,$D2145)&gt;1,"同じ月の請求が重複しています／",""),"")&amp;IF(AND(N($E2145)&gt;0,$AB2145&lt;&gt;"",$AB2145&lt;&gt;"×",$AE2145=0,$AD2145=""),"計算額が下限以下のため不支給／",""))</f>
        <v/>
      </c>
      <c r="AN2145" s="12" t="n"/>
      <c r="AO2145" s="14">
        <f>IF($AF2145="保留中",COUNTIF($AF$6:$AF2145,"保留中"),"")</f>
        <v/>
      </c>
      <c r="AP2145" s="14">
        <f>IF($AQ2145="","",IF(SUMPRODUCT(MAX((職員マスタ!$A$6:$A$405=$B2145)*(((職員マスタ!$G$6:$G$405="")+(職員マスタ!$G$6:$G$405&lt;=EOMONTH($AQ2145,0)))&gt;0)*(((職員マスタ!$H$6:$H$405="")+(職員マスタ!$H$6:$H$405&gt;=$AQ2145))&gt;0)*(ROW(職員マスタ!$A$6:$A$405)-5)))&gt;0,SUMPRODUCT(MAX((職員マスタ!$A$6:$A$405=$B2145)*(((職員マスタ!$G$6:$G$405="")+(職員マスタ!$G$6:$G$405&lt;=EOMONTH($AQ2145,0)))&gt;0)*(((職員マスタ!$H$6:$H$405="")+(職員マスタ!$H$6:$H$405&gt;=$AQ2145))&gt;0)*(ROW(職員マスタ!$A$6:$A$405)-5))),IFERROR(MATCH($B2145,職員マスタ!$A$6:$A$405,0),"")))</f>
        <v/>
      </c>
      <c r="AQ2145" s="16">
        <f>IF(OR($B2145="",$C2145="",$D2145=""),"",DATE($C2145+2018,$D2145,1))</f>
        <v/>
      </c>
    </row>
    <row r="2146">
      <c r="A2146" s="11" t="n"/>
      <c r="B2146" s="12" t="n"/>
      <c r="C2146" s="12" t="n"/>
      <c r="D2146" s="12" t="n"/>
      <c r="E2146" s="13" t="n"/>
      <c r="F2146" s="12" t="n"/>
      <c r="G2146" s="13" t="n"/>
      <c r="H2146" s="12" t="n"/>
      <c r="I2146" s="12" t="n"/>
      <c r="J2146" s="12" t="n"/>
      <c r="K2146" s="12" t="n"/>
      <c r="L2146" s="11" t="n"/>
      <c r="M2146" s="11" t="n"/>
      <c r="N2146" s="11" t="n"/>
      <c r="O2146" s="11" t="n"/>
      <c r="P2146" s="12" t="n"/>
      <c r="Q2146" s="11" t="n"/>
      <c r="R2146" s="12" t="n"/>
      <c r="S2146" s="11" t="n"/>
      <c r="T2146" s="12" t="n"/>
      <c r="U2146" s="12" t="n"/>
      <c r="V2146" s="12" t="n"/>
      <c r="W2146" s="13" t="n"/>
      <c r="X2146" s="14">
        <f>IF($AP2146="",IF($B2146="","",$H2146),IF(INDEX(職員マスタ!$B$6:$B$405,$AP2146)="",$H2146,INDEX(職員マスタ!$B$6:$B$405,$AP2146)))</f>
        <v/>
      </c>
      <c r="Y2146" s="14">
        <f>IF($AP2146="",IF($B2146="","",$R2146),IF(INDEX(職員マスタ!$C$6:$C$405,$AP2146)="",$R2146,INDEX(職員マスタ!$C$6:$C$405,$AP2146)))</f>
        <v/>
      </c>
      <c r="Z2146" s="14">
        <f>IF($AQ2146="","","R"&amp;$C2146&amp;"."&amp;$D2146)</f>
        <v/>
      </c>
      <c r="AA2146" s="15">
        <f>IF(IF($AP2146="",FALSE,INDEX(職員マスタ!$K$6:$K$405,$AP2146)&lt;&gt;""),INDEX(職員マスタ!$K$6:$K$405,$AP2146),IF(N($W2146)&gt;0,$W2146,""))</f>
        <v/>
      </c>
      <c r="AB2146" s="14">
        <f>IF(OR($E2146="",$AA2146=""),"",IF($E2146&gt;=$AA2146,"×",IF($E2146&gt;=$AA2146*設定!$C$5,"△","○")))</f>
        <v/>
      </c>
      <c r="AC2146" s="15">
        <f>IF($AB2146="","",IF($AB2146="×",0,IF($AB2146="○",ROUNDDOWN($E2146*設定!$C$4,0),ROUNDDOWN($E2146*ROUND((9*$AA2146-9*$E2146)/(10*$E2146),4),0))))</f>
        <v/>
      </c>
      <c r="AD2146" s="13" t="n"/>
      <c r="AE2146" s="15">
        <f>IF($B2146="","",IF($AD2146&lt;&gt;"",$AD2146,IF($AC2146="","",IF($AC2146&lt;=設定!$C$3,0,$AC2146))))</f>
        <v/>
      </c>
      <c r="AF2146" s="14">
        <f>IF($B2146="","",IF(AND($AG2146&lt;&gt;"",$AI2146="",$AL2146=""),"保留中",IF($AL2146&lt;&gt;"",IF(N($AE2146)&gt;0,"支給済","不支給"),IF($AE2146="","要確認",IF($AE2146=0,"不支給","未処理")))))</f>
        <v/>
      </c>
      <c r="AG2146" s="12" t="n"/>
      <c r="AH2146" s="11" t="n"/>
      <c r="AI2146" s="11" t="n"/>
      <c r="AJ2146" s="11" t="n"/>
      <c r="AK2146" s="14">
        <f>IF(AND($AF2146="保留中",$AH2146&lt;&gt;""),TODAY()-$AH2146,"")</f>
        <v/>
      </c>
      <c r="AL2146" s="12" t="n"/>
      <c r="AM2146" s="14">
        <f>IF($B2146="","",IF($AQ2146="","対象年月が未入力／","")&amp;IF($B2146="","",IF($AP2146="","職員マスタに未登録の職員番号／",IF($AA2146="","標準報酬月額が未登録／","")&amp;IF(AND($AQ2146&lt;&gt;"",OR(AND(INDEX(職員マスタ!$G$6:$G$405,$AP2146)&lt;&gt;"",INDEX(職員マスタ!$G$6:$G$405,$AP2146)&gt;EOMONTH($AQ2146,0)),AND(INDEX(職員マスタ!$H$6:$H$405,$AP2146)&lt;&gt;"",INDEX(職員マスタ!$H$6:$H$405,$AP2146)&lt;$AQ2146))),"対象月が時短期間外／","")&amp;IF(AND(INDEX(職員マスタ!$K$6:$K$405,$AP2146)&lt;&gt;"",N($W2146)&gt;0,INDEX(職員マスタ!$K$6:$K$405,$AP2146)&lt;&gt;$W2146),"標準報酬月額が申請書と相違（台帳"&amp;TEXT(INDEX(職員マスタ!$K$6:$K$405,$AP2146),"#,##0")&amp;"円／申請書"&amp;TEXT($W2146,"#,##0")&amp;"円）／","")&amp;IF(AND(INDEX(職員マスタ!$F$6:$F$405,$AP2146)&lt;&gt;"",$AQ2146&lt;&gt;"",INDEX(職員マスタ!$F$6:$F$405,$AP2146)&lt;$AQ2146),"対象月に子が2歳到達済／","")&amp;IF(AND($H2146&lt;&gt;"",INDEX(職員マスタ!$B$6:$B$405,$AP2146)&lt;&gt;"",SUBSTITUTE(SUBSTITUTE($H2146," ","")," ","")&lt;&gt;SUBSTITUTE(SUBSTITUTE(INDEX(職員マスタ!$B$6:$B$405,$AP2146)," ","")," ","")),"氏名がマスタと相違／","")&amp;IF(AND($Q2146&lt;&gt;"",INDEX(職員マスタ!$E$6:$E$405,$AP2146)&lt;&gt;"",$Q2146&lt;&gt;INDEX(職員マスタ!$E$6:$E$405,$AP2146)),"子の生年月日がマスタと相違／","")&amp;IF(AND($L2146&lt;&gt;"",INDEX(職員マスタ!$G$6:$G$405,$AP2146)&lt;&gt;"",$L2146&lt;&gt;INDEX(職員マスタ!$G$6:$G$405,$AP2146)),"時短開始日がマスタと相違／","")&amp;IF(AND($M2146&lt;&gt;"",INDEX(職員マスタ!$H$6:$H$405,$AP2146)&lt;&gt;"",$M2146&lt;&gt;INDEX(職員マスタ!$H$6:$H$405,$AP2146)),"時短終了日がマスタと相違／","")))&amp;IF(AND($B2146&lt;&gt;"",$E2146=""),"報酬額が未入力／","")&amp;IF(N($U2146)&gt;0,"申請書に入力エラーが残っています／","")&amp;IF(AND($B2146&lt;&gt;"",$AQ2146&lt;&gt;""),IF(COUNTIFS($B$6:$B$3005,$B2146,$C$6:$C$3005,$C2146,$D$6:$D$3005,$D2146)&gt;1,"同じ月の請求が重複しています／",""),"")&amp;IF(AND(N($E2146)&gt;0,$AB2146&lt;&gt;"",$AB2146&lt;&gt;"×",$AE2146=0,$AD2146=""),"計算額が下限以下のため不支給／",""))</f>
        <v/>
      </c>
      <c r="AN2146" s="12" t="n"/>
      <c r="AO2146" s="14">
        <f>IF($AF2146="保留中",COUNTIF($AF$6:$AF2146,"保留中"),"")</f>
        <v/>
      </c>
      <c r="AP2146" s="14">
        <f>IF($AQ2146="","",IF(SUMPRODUCT(MAX((職員マスタ!$A$6:$A$405=$B2146)*(((職員マスタ!$G$6:$G$405="")+(職員マスタ!$G$6:$G$405&lt;=EOMONTH($AQ2146,0)))&gt;0)*(((職員マスタ!$H$6:$H$405="")+(職員マスタ!$H$6:$H$405&gt;=$AQ2146))&gt;0)*(ROW(職員マスタ!$A$6:$A$405)-5)))&gt;0,SUMPRODUCT(MAX((職員マスタ!$A$6:$A$405=$B2146)*(((職員マスタ!$G$6:$G$405="")+(職員マスタ!$G$6:$G$405&lt;=EOMONTH($AQ2146,0)))&gt;0)*(((職員マスタ!$H$6:$H$405="")+(職員マスタ!$H$6:$H$405&gt;=$AQ2146))&gt;0)*(ROW(職員マスタ!$A$6:$A$405)-5))),IFERROR(MATCH($B2146,職員マスタ!$A$6:$A$405,0),"")))</f>
        <v/>
      </c>
      <c r="AQ2146" s="16">
        <f>IF(OR($B2146="",$C2146="",$D2146=""),"",DATE($C2146+2018,$D2146,1))</f>
        <v/>
      </c>
    </row>
    <row r="2147">
      <c r="A2147" s="11" t="n"/>
      <c r="B2147" s="12" t="n"/>
      <c r="C2147" s="12" t="n"/>
      <c r="D2147" s="12" t="n"/>
      <c r="E2147" s="13" t="n"/>
      <c r="F2147" s="12" t="n"/>
      <c r="G2147" s="13" t="n"/>
      <c r="H2147" s="12" t="n"/>
      <c r="I2147" s="12" t="n"/>
      <c r="J2147" s="12" t="n"/>
      <c r="K2147" s="12" t="n"/>
      <c r="L2147" s="11" t="n"/>
      <c r="M2147" s="11" t="n"/>
      <c r="N2147" s="11" t="n"/>
      <c r="O2147" s="11" t="n"/>
      <c r="P2147" s="12" t="n"/>
      <c r="Q2147" s="11" t="n"/>
      <c r="R2147" s="12" t="n"/>
      <c r="S2147" s="11" t="n"/>
      <c r="T2147" s="12" t="n"/>
      <c r="U2147" s="12" t="n"/>
      <c r="V2147" s="12" t="n"/>
      <c r="W2147" s="13" t="n"/>
      <c r="X2147" s="14">
        <f>IF($AP2147="",IF($B2147="","",$H2147),IF(INDEX(職員マスタ!$B$6:$B$405,$AP2147)="",$H2147,INDEX(職員マスタ!$B$6:$B$405,$AP2147)))</f>
        <v/>
      </c>
      <c r="Y2147" s="14">
        <f>IF($AP2147="",IF($B2147="","",$R2147),IF(INDEX(職員マスタ!$C$6:$C$405,$AP2147)="",$R2147,INDEX(職員マスタ!$C$6:$C$405,$AP2147)))</f>
        <v/>
      </c>
      <c r="Z2147" s="14">
        <f>IF($AQ2147="","","R"&amp;$C2147&amp;"."&amp;$D2147)</f>
        <v/>
      </c>
      <c r="AA2147" s="15">
        <f>IF(IF($AP2147="",FALSE,INDEX(職員マスタ!$K$6:$K$405,$AP2147)&lt;&gt;""),INDEX(職員マスタ!$K$6:$K$405,$AP2147),IF(N($W2147)&gt;0,$W2147,""))</f>
        <v/>
      </c>
      <c r="AB2147" s="14">
        <f>IF(OR($E2147="",$AA2147=""),"",IF($E2147&gt;=$AA2147,"×",IF($E2147&gt;=$AA2147*設定!$C$5,"△","○")))</f>
        <v/>
      </c>
      <c r="AC2147" s="15">
        <f>IF($AB2147="","",IF($AB2147="×",0,IF($AB2147="○",ROUNDDOWN($E2147*設定!$C$4,0),ROUNDDOWN($E2147*ROUND((9*$AA2147-9*$E2147)/(10*$E2147),4),0))))</f>
        <v/>
      </c>
      <c r="AD2147" s="13" t="n"/>
      <c r="AE2147" s="15">
        <f>IF($B2147="","",IF($AD2147&lt;&gt;"",$AD2147,IF($AC2147="","",IF($AC2147&lt;=設定!$C$3,0,$AC2147))))</f>
        <v/>
      </c>
      <c r="AF2147" s="14">
        <f>IF($B2147="","",IF(AND($AG2147&lt;&gt;"",$AI2147="",$AL2147=""),"保留中",IF($AL2147&lt;&gt;"",IF(N($AE2147)&gt;0,"支給済","不支給"),IF($AE2147="","要確認",IF($AE2147=0,"不支給","未処理")))))</f>
        <v/>
      </c>
      <c r="AG2147" s="12" t="n"/>
      <c r="AH2147" s="11" t="n"/>
      <c r="AI2147" s="11" t="n"/>
      <c r="AJ2147" s="11" t="n"/>
      <c r="AK2147" s="14">
        <f>IF(AND($AF2147="保留中",$AH2147&lt;&gt;""),TODAY()-$AH2147,"")</f>
        <v/>
      </c>
      <c r="AL2147" s="12" t="n"/>
      <c r="AM2147" s="14">
        <f>IF($B2147="","",IF($AQ2147="","対象年月が未入力／","")&amp;IF($B2147="","",IF($AP2147="","職員マスタに未登録の職員番号／",IF($AA2147="","標準報酬月額が未登録／","")&amp;IF(AND($AQ2147&lt;&gt;"",OR(AND(INDEX(職員マスタ!$G$6:$G$405,$AP2147)&lt;&gt;"",INDEX(職員マスタ!$G$6:$G$405,$AP2147)&gt;EOMONTH($AQ2147,0)),AND(INDEX(職員マスタ!$H$6:$H$405,$AP2147)&lt;&gt;"",INDEX(職員マスタ!$H$6:$H$405,$AP2147)&lt;$AQ2147))),"対象月が時短期間外／","")&amp;IF(AND(INDEX(職員マスタ!$K$6:$K$405,$AP2147)&lt;&gt;"",N($W2147)&gt;0,INDEX(職員マスタ!$K$6:$K$405,$AP2147)&lt;&gt;$W2147),"標準報酬月額が申請書と相違（台帳"&amp;TEXT(INDEX(職員マスタ!$K$6:$K$405,$AP2147),"#,##0")&amp;"円／申請書"&amp;TEXT($W2147,"#,##0")&amp;"円）／","")&amp;IF(AND(INDEX(職員マスタ!$F$6:$F$405,$AP2147)&lt;&gt;"",$AQ2147&lt;&gt;"",INDEX(職員マスタ!$F$6:$F$405,$AP2147)&lt;$AQ2147),"対象月に子が2歳到達済／","")&amp;IF(AND($H2147&lt;&gt;"",INDEX(職員マスタ!$B$6:$B$405,$AP2147)&lt;&gt;"",SUBSTITUTE(SUBSTITUTE($H2147," ","")," ","")&lt;&gt;SUBSTITUTE(SUBSTITUTE(INDEX(職員マスタ!$B$6:$B$405,$AP2147)," ","")," ","")),"氏名がマスタと相違／","")&amp;IF(AND($Q2147&lt;&gt;"",INDEX(職員マスタ!$E$6:$E$405,$AP2147)&lt;&gt;"",$Q2147&lt;&gt;INDEX(職員マスタ!$E$6:$E$405,$AP2147)),"子の生年月日がマスタと相違／","")&amp;IF(AND($L2147&lt;&gt;"",INDEX(職員マスタ!$G$6:$G$405,$AP2147)&lt;&gt;"",$L2147&lt;&gt;INDEX(職員マスタ!$G$6:$G$405,$AP2147)),"時短開始日がマスタと相違／","")&amp;IF(AND($M2147&lt;&gt;"",INDEX(職員マスタ!$H$6:$H$405,$AP2147)&lt;&gt;"",$M2147&lt;&gt;INDEX(職員マスタ!$H$6:$H$405,$AP2147)),"時短終了日がマスタと相違／","")))&amp;IF(AND($B2147&lt;&gt;"",$E2147=""),"報酬額が未入力／","")&amp;IF(N($U2147)&gt;0,"申請書に入力エラーが残っています／","")&amp;IF(AND($B2147&lt;&gt;"",$AQ2147&lt;&gt;""),IF(COUNTIFS($B$6:$B$3005,$B2147,$C$6:$C$3005,$C2147,$D$6:$D$3005,$D2147)&gt;1,"同じ月の請求が重複しています／",""),"")&amp;IF(AND(N($E2147)&gt;0,$AB2147&lt;&gt;"",$AB2147&lt;&gt;"×",$AE2147=0,$AD2147=""),"計算額が下限以下のため不支給／",""))</f>
        <v/>
      </c>
      <c r="AN2147" s="12" t="n"/>
      <c r="AO2147" s="14">
        <f>IF($AF2147="保留中",COUNTIF($AF$6:$AF2147,"保留中"),"")</f>
        <v/>
      </c>
      <c r="AP2147" s="14">
        <f>IF($AQ2147="","",IF(SUMPRODUCT(MAX((職員マスタ!$A$6:$A$405=$B2147)*(((職員マスタ!$G$6:$G$405="")+(職員マスタ!$G$6:$G$405&lt;=EOMONTH($AQ2147,0)))&gt;0)*(((職員マスタ!$H$6:$H$405="")+(職員マスタ!$H$6:$H$405&gt;=$AQ2147))&gt;0)*(ROW(職員マスタ!$A$6:$A$405)-5)))&gt;0,SUMPRODUCT(MAX((職員マスタ!$A$6:$A$405=$B2147)*(((職員マスタ!$G$6:$G$405="")+(職員マスタ!$G$6:$G$405&lt;=EOMONTH($AQ2147,0)))&gt;0)*(((職員マスタ!$H$6:$H$405="")+(職員マスタ!$H$6:$H$405&gt;=$AQ2147))&gt;0)*(ROW(職員マスタ!$A$6:$A$405)-5))),IFERROR(MATCH($B2147,職員マスタ!$A$6:$A$405,0),"")))</f>
        <v/>
      </c>
      <c r="AQ2147" s="16">
        <f>IF(OR($B2147="",$C2147="",$D2147=""),"",DATE($C2147+2018,$D2147,1))</f>
        <v/>
      </c>
    </row>
    <row r="2148">
      <c r="A2148" s="11" t="n"/>
      <c r="B2148" s="12" t="n"/>
      <c r="C2148" s="12" t="n"/>
      <c r="D2148" s="12" t="n"/>
      <c r="E2148" s="13" t="n"/>
      <c r="F2148" s="12" t="n"/>
      <c r="G2148" s="13" t="n"/>
      <c r="H2148" s="12" t="n"/>
      <c r="I2148" s="12" t="n"/>
      <c r="J2148" s="12" t="n"/>
      <c r="K2148" s="12" t="n"/>
      <c r="L2148" s="11" t="n"/>
      <c r="M2148" s="11" t="n"/>
      <c r="N2148" s="11" t="n"/>
      <c r="O2148" s="11" t="n"/>
      <c r="P2148" s="12" t="n"/>
      <c r="Q2148" s="11" t="n"/>
      <c r="R2148" s="12" t="n"/>
      <c r="S2148" s="11" t="n"/>
      <c r="T2148" s="12" t="n"/>
      <c r="U2148" s="12" t="n"/>
      <c r="V2148" s="12" t="n"/>
      <c r="W2148" s="13" t="n"/>
      <c r="X2148" s="14">
        <f>IF($AP2148="",IF($B2148="","",$H2148),IF(INDEX(職員マスタ!$B$6:$B$405,$AP2148)="",$H2148,INDEX(職員マスタ!$B$6:$B$405,$AP2148)))</f>
        <v/>
      </c>
      <c r="Y2148" s="14">
        <f>IF($AP2148="",IF($B2148="","",$R2148),IF(INDEX(職員マスタ!$C$6:$C$405,$AP2148)="",$R2148,INDEX(職員マスタ!$C$6:$C$405,$AP2148)))</f>
        <v/>
      </c>
      <c r="Z2148" s="14">
        <f>IF($AQ2148="","","R"&amp;$C2148&amp;"."&amp;$D2148)</f>
        <v/>
      </c>
      <c r="AA2148" s="15">
        <f>IF(IF($AP2148="",FALSE,INDEX(職員マスタ!$K$6:$K$405,$AP2148)&lt;&gt;""),INDEX(職員マスタ!$K$6:$K$405,$AP2148),IF(N($W2148)&gt;0,$W2148,""))</f>
        <v/>
      </c>
      <c r="AB2148" s="14">
        <f>IF(OR($E2148="",$AA2148=""),"",IF($E2148&gt;=$AA2148,"×",IF($E2148&gt;=$AA2148*設定!$C$5,"△","○")))</f>
        <v/>
      </c>
      <c r="AC2148" s="15">
        <f>IF($AB2148="","",IF($AB2148="×",0,IF($AB2148="○",ROUNDDOWN($E2148*設定!$C$4,0),ROUNDDOWN($E2148*ROUND((9*$AA2148-9*$E2148)/(10*$E2148),4),0))))</f>
        <v/>
      </c>
      <c r="AD2148" s="13" t="n"/>
      <c r="AE2148" s="15">
        <f>IF($B2148="","",IF($AD2148&lt;&gt;"",$AD2148,IF($AC2148="","",IF($AC2148&lt;=設定!$C$3,0,$AC2148))))</f>
        <v/>
      </c>
      <c r="AF2148" s="14">
        <f>IF($B2148="","",IF(AND($AG2148&lt;&gt;"",$AI2148="",$AL2148=""),"保留中",IF($AL2148&lt;&gt;"",IF(N($AE2148)&gt;0,"支給済","不支給"),IF($AE2148="","要確認",IF($AE2148=0,"不支給","未処理")))))</f>
        <v/>
      </c>
      <c r="AG2148" s="12" t="n"/>
      <c r="AH2148" s="11" t="n"/>
      <c r="AI2148" s="11" t="n"/>
      <c r="AJ2148" s="11" t="n"/>
      <c r="AK2148" s="14">
        <f>IF(AND($AF2148="保留中",$AH2148&lt;&gt;""),TODAY()-$AH2148,"")</f>
        <v/>
      </c>
      <c r="AL2148" s="12" t="n"/>
      <c r="AM2148" s="14">
        <f>IF($B2148="","",IF($AQ2148="","対象年月が未入力／","")&amp;IF($B2148="","",IF($AP2148="","職員マスタに未登録の職員番号／",IF($AA2148="","標準報酬月額が未登録／","")&amp;IF(AND($AQ2148&lt;&gt;"",OR(AND(INDEX(職員マスタ!$G$6:$G$405,$AP2148)&lt;&gt;"",INDEX(職員マスタ!$G$6:$G$405,$AP2148)&gt;EOMONTH($AQ2148,0)),AND(INDEX(職員マスタ!$H$6:$H$405,$AP2148)&lt;&gt;"",INDEX(職員マスタ!$H$6:$H$405,$AP2148)&lt;$AQ2148))),"対象月が時短期間外／","")&amp;IF(AND(INDEX(職員マスタ!$K$6:$K$405,$AP2148)&lt;&gt;"",N($W2148)&gt;0,INDEX(職員マスタ!$K$6:$K$405,$AP2148)&lt;&gt;$W2148),"標準報酬月額が申請書と相違（台帳"&amp;TEXT(INDEX(職員マスタ!$K$6:$K$405,$AP2148),"#,##0")&amp;"円／申請書"&amp;TEXT($W2148,"#,##0")&amp;"円）／","")&amp;IF(AND(INDEX(職員マスタ!$F$6:$F$405,$AP2148)&lt;&gt;"",$AQ2148&lt;&gt;"",INDEX(職員マスタ!$F$6:$F$405,$AP2148)&lt;$AQ2148),"対象月に子が2歳到達済／","")&amp;IF(AND($H2148&lt;&gt;"",INDEX(職員マスタ!$B$6:$B$405,$AP2148)&lt;&gt;"",SUBSTITUTE(SUBSTITUTE($H2148," ","")," ","")&lt;&gt;SUBSTITUTE(SUBSTITUTE(INDEX(職員マスタ!$B$6:$B$405,$AP2148)," ","")," ","")),"氏名がマスタと相違／","")&amp;IF(AND($Q2148&lt;&gt;"",INDEX(職員マスタ!$E$6:$E$405,$AP2148)&lt;&gt;"",$Q2148&lt;&gt;INDEX(職員マスタ!$E$6:$E$405,$AP2148)),"子の生年月日がマスタと相違／","")&amp;IF(AND($L2148&lt;&gt;"",INDEX(職員マスタ!$G$6:$G$405,$AP2148)&lt;&gt;"",$L2148&lt;&gt;INDEX(職員マスタ!$G$6:$G$405,$AP2148)),"時短開始日がマスタと相違／","")&amp;IF(AND($M2148&lt;&gt;"",INDEX(職員マスタ!$H$6:$H$405,$AP2148)&lt;&gt;"",$M2148&lt;&gt;INDEX(職員マスタ!$H$6:$H$405,$AP2148)),"時短終了日がマスタと相違／","")))&amp;IF(AND($B2148&lt;&gt;"",$E2148=""),"報酬額が未入力／","")&amp;IF(N($U2148)&gt;0,"申請書に入力エラーが残っています／","")&amp;IF(AND($B2148&lt;&gt;"",$AQ2148&lt;&gt;""),IF(COUNTIFS($B$6:$B$3005,$B2148,$C$6:$C$3005,$C2148,$D$6:$D$3005,$D2148)&gt;1,"同じ月の請求が重複しています／",""),"")&amp;IF(AND(N($E2148)&gt;0,$AB2148&lt;&gt;"",$AB2148&lt;&gt;"×",$AE2148=0,$AD2148=""),"計算額が下限以下のため不支給／",""))</f>
        <v/>
      </c>
      <c r="AN2148" s="12" t="n"/>
      <c r="AO2148" s="14">
        <f>IF($AF2148="保留中",COUNTIF($AF$6:$AF2148,"保留中"),"")</f>
        <v/>
      </c>
      <c r="AP2148" s="14">
        <f>IF($AQ2148="","",IF(SUMPRODUCT(MAX((職員マスタ!$A$6:$A$405=$B2148)*(((職員マスタ!$G$6:$G$405="")+(職員マスタ!$G$6:$G$405&lt;=EOMONTH($AQ2148,0)))&gt;0)*(((職員マスタ!$H$6:$H$405="")+(職員マスタ!$H$6:$H$405&gt;=$AQ2148))&gt;0)*(ROW(職員マスタ!$A$6:$A$405)-5)))&gt;0,SUMPRODUCT(MAX((職員マスタ!$A$6:$A$405=$B2148)*(((職員マスタ!$G$6:$G$405="")+(職員マスタ!$G$6:$G$405&lt;=EOMONTH($AQ2148,0)))&gt;0)*(((職員マスタ!$H$6:$H$405="")+(職員マスタ!$H$6:$H$405&gt;=$AQ2148))&gt;0)*(ROW(職員マスタ!$A$6:$A$405)-5))),IFERROR(MATCH($B2148,職員マスタ!$A$6:$A$405,0),"")))</f>
        <v/>
      </c>
      <c r="AQ2148" s="16">
        <f>IF(OR($B2148="",$C2148="",$D2148=""),"",DATE($C2148+2018,$D2148,1))</f>
        <v/>
      </c>
    </row>
    <row r="2149">
      <c r="A2149" s="11" t="n"/>
      <c r="B2149" s="12" t="n"/>
      <c r="C2149" s="12" t="n"/>
      <c r="D2149" s="12" t="n"/>
      <c r="E2149" s="13" t="n"/>
      <c r="F2149" s="12" t="n"/>
      <c r="G2149" s="13" t="n"/>
      <c r="H2149" s="12" t="n"/>
      <c r="I2149" s="12" t="n"/>
      <c r="J2149" s="12" t="n"/>
      <c r="K2149" s="12" t="n"/>
      <c r="L2149" s="11" t="n"/>
      <c r="M2149" s="11" t="n"/>
      <c r="N2149" s="11" t="n"/>
      <c r="O2149" s="11" t="n"/>
      <c r="P2149" s="12" t="n"/>
      <c r="Q2149" s="11" t="n"/>
      <c r="R2149" s="12" t="n"/>
      <c r="S2149" s="11" t="n"/>
      <c r="T2149" s="12" t="n"/>
      <c r="U2149" s="12" t="n"/>
      <c r="V2149" s="12" t="n"/>
      <c r="W2149" s="13" t="n"/>
      <c r="X2149" s="14">
        <f>IF($AP2149="",IF($B2149="","",$H2149),IF(INDEX(職員マスタ!$B$6:$B$405,$AP2149)="",$H2149,INDEX(職員マスタ!$B$6:$B$405,$AP2149)))</f>
        <v/>
      </c>
      <c r="Y2149" s="14">
        <f>IF($AP2149="",IF($B2149="","",$R2149),IF(INDEX(職員マスタ!$C$6:$C$405,$AP2149)="",$R2149,INDEX(職員マスタ!$C$6:$C$405,$AP2149)))</f>
        <v/>
      </c>
      <c r="Z2149" s="14">
        <f>IF($AQ2149="","","R"&amp;$C2149&amp;"."&amp;$D2149)</f>
        <v/>
      </c>
      <c r="AA2149" s="15">
        <f>IF(IF($AP2149="",FALSE,INDEX(職員マスタ!$K$6:$K$405,$AP2149)&lt;&gt;""),INDEX(職員マスタ!$K$6:$K$405,$AP2149),IF(N($W2149)&gt;0,$W2149,""))</f>
        <v/>
      </c>
      <c r="AB2149" s="14">
        <f>IF(OR($E2149="",$AA2149=""),"",IF($E2149&gt;=$AA2149,"×",IF($E2149&gt;=$AA2149*設定!$C$5,"△","○")))</f>
        <v/>
      </c>
      <c r="AC2149" s="15">
        <f>IF($AB2149="","",IF($AB2149="×",0,IF($AB2149="○",ROUNDDOWN($E2149*設定!$C$4,0),ROUNDDOWN($E2149*ROUND((9*$AA2149-9*$E2149)/(10*$E2149),4),0))))</f>
        <v/>
      </c>
      <c r="AD2149" s="13" t="n"/>
      <c r="AE2149" s="15">
        <f>IF($B2149="","",IF($AD2149&lt;&gt;"",$AD2149,IF($AC2149="","",IF($AC2149&lt;=設定!$C$3,0,$AC2149))))</f>
        <v/>
      </c>
      <c r="AF2149" s="14">
        <f>IF($B2149="","",IF(AND($AG2149&lt;&gt;"",$AI2149="",$AL2149=""),"保留中",IF($AL2149&lt;&gt;"",IF(N($AE2149)&gt;0,"支給済","不支給"),IF($AE2149="","要確認",IF($AE2149=0,"不支給","未処理")))))</f>
        <v/>
      </c>
      <c r="AG2149" s="12" t="n"/>
      <c r="AH2149" s="11" t="n"/>
      <c r="AI2149" s="11" t="n"/>
      <c r="AJ2149" s="11" t="n"/>
      <c r="AK2149" s="14">
        <f>IF(AND($AF2149="保留中",$AH2149&lt;&gt;""),TODAY()-$AH2149,"")</f>
        <v/>
      </c>
      <c r="AL2149" s="12" t="n"/>
      <c r="AM2149" s="14">
        <f>IF($B2149="","",IF($AQ2149="","対象年月が未入力／","")&amp;IF($B2149="","",IF($AP2149="","職員マスタに未登録の職員番号／",IF($AA2149="","標準報酬月額が未登録／","")&amp;IF(AND($AQ2149&lt;&gt;"",OR(AND(INDEX(職員マスタ!$G$6:$G$405,$AP2149)&lt;&gt;"",INDEX(職員マスタ!$G$6:$G$405,$AP2149)&gt;EOMONTH($AQ2149,0)),AND(INDEX(職員マスタ!$H$6:$H$405,$AP2149)&lt;&gt;"",INDEX(職員マスタ!$H$6:$H$405,$AP2149)&lt;$AQ2149))),"対象月が時短期間外／","")&amp;IF(AND(INDEX(職員マスタ!$K$6:$K$405,$AP2149)&lt;&gt;"",N($W2149)&gt;0,INDEX(職員マスタ!$K$6:$K$405,$AP2149)&lt;&gt;$W2149),"標準報酬月額が申請書と相違（台帳"&amp;TEXT(INDEX(職員マスタ!$K$6:$K$405,$AP2149),"#,##0")&amp;"円／申請書"&amp;TEXT($W2149,"#,##0")&amp;"円）／","")&amp;IF(AND(INDEX(職員マスタ!$F$6:$F$405,$AP2149)&lt;&gt;"",$AQ2149&lt;&gt;"",INDEX(職員マスタ!$F$6:$F$405,$AP2149)&lt;$AQ2149),"対象月に子が2歳到達済／","")&amp;IF(AND($H2149&lt;&gt;"",INDEX(職員マスタ!$B$6:$B$405,$AP2149)&lt;&gt;"",SUBSTITUTE(SUBSTITUTE($H2149," ","")," ","")&lt;&gt;SUBSTITUTE(SUBSTITUTE(INDEX(職員マスタ!$B$6:$B$405,$AP2149)," ","")," ","")),"氏名がマスタと相違／","")&amp;IF(AND($Q2149&lt;&gt;"",INDEX(職員マスタ!$E$6:$E$405,$AP2149)&lt;&gt;"",$Q2149&lt;&gt;INDEX(職員マスタ!$E$6:$E$405,$AP2149)),"子の生年月日がマスタと相違／","")&amp;IF(AND($L2149&lt;&gt;"",INDEX(職員マスタ!$G$6:$G$405,$AP2149)&lt;&gt;"",$L2149&lt;&gt;INDEX(職員マスタ!$G$6:$G$405,$AP2149)),"時短開始日がマスタと相違／","")&amp;IF(AND($M2149&lt;&gt;"",INDEX(職員マスタ!$H$6:$H$405,$AP2149)&lt;&gt;"",$M2149&lt;&gt;INDEX(職員マスタ!$H$6:$H$405,$AP2149)),"時短終了日がマスタと相違／","")))&amp;IF(AND($B2149&lt;&gt;"",$E2149=""),"報酬額が未入力／","")&amp;IF(N($U2149)&gt;0,"申請書に入力エラーが残っています／","")&amp;IF(AND($B2149&lt;&gt;"",$AQ2149&lt;&gt;""),IF(COUNTIFS($B$6:$B$3005,$B2149,$C$6:$C$3005,$C2149,$D$6:$D$3005,$D2149)&gt;1,"同じ月の請求が重複しています／",""),"")&amp;IF(AND(N($E2149)&gt;0,$AB2149&lt;&gt;"",$AB2149&lt;&gt;"×",$AE2149=0,$AD2149=""),"計算額が下限以下のため不支給／",""))</f>
        <v/>
      </c>
      <c r="AN2149" s="12" t="n"/>
      <c r="AO2149" s="14">
        <f>IF($AF2149="保留中",COUNTIF($AF$6:$AF2149,"保留中"),"")</f>
        <v/>
      </c>
      <c r="AP2149" s="14">
        <f>IF($AQ2149="","",IF(SUMPRODUCT(MAX((職員マスタ!$A$6:$A$405=$B2149)*(((職員マスタ!$G$6:$G$405="")+(職員マスタ!$G$6:$G$405&lt;=EOMONTH($AQ2149,0)))&gt;0)*(((職員マスタ!$H$6:$H$405="")+(職員マスタ!$H$6:$H$405&gt;=$AQ2149))&gt;0)*(ROW(職員マスタ!$A$6:$A$405)-5)))&gt;0,SUMPRODUCT(MAX((職員マスタ!$A$6:$A$405=$B2149)*(((職員マスタ!$G$6:$G$405="")+(職員マスタ!$G$6:$G$405&lt;=EOMONTH($AQ2149,0)))&gt;0)*(((職員マスタ!$H$6:$H$405="")+(職員マスタ!$H$6:$H$405&gt;=$AQ2149))&gt;0)*(ROW(職員マスタ!$A$6:$A$405)-5))),IFERROR(MATCH($B2149,職員マスタ!$A$6:$A$405,0),"")))</f>
        <v/>
      </c>
      <c r="AQ2149" s="16">
        <f>IF(OR($B2149="",$C2149="",$D2149=""),"",DATE($C2149+2018,$D2149,1))</f>
        <v/>
      </c>
    </row>
    <row r="2150">
      <c r="A2150" s="11" t="n"/>
      <c r="B2150" s="12" t="n"/>
      <c r="C2150" s="12" t="n"/>
      <c r="D2150" s="12" t="n"/>
      <c r="E2150" s="13" t="n"/>
      <c r="F2150" s="12" t="n"/>
      <c r="G2150" s="13" t="n"/>
      <c r="H2150" s="12" t="n"/>
      <c r="I2150" s="12" t="n"/>
      <c r="J2150" s="12" t="n"/>
      <c r="K2150" s="12" t="n"/>
      <c r="L2150" s="11" t="n"/>
      <c r="M2150" s="11" t="n"/>
      <c r="N2150" s="11" t="n"/>
      <c r="O2150" s="11" t="n"/>
      <c r="P2150" s="12" t="n"/>
      <c r="Q2150" s="11" t="n"/>
      <c r="R2150" s="12" t="n"/>
      <c r="S2150" s="11" t="n"/>
      <c r="T2150" s="12" t="n"/>
      <c r="U2150" s="12" t="n"/>
      <c r="V2150" s="12" t="n"/>
      <c r="W2150" s="13" t="n"/>
      <c r="X2150" s="14">
        <f>IF($AP2150="",IF($B2150="","",$H2150),IF(INDEX(職員マスタ!$B$6:$B$405,$AP2150)="",$H2150,INDEX(職員マスタ!$B$6:$B$405,$AP2150)))</f>
        <v/>
      </c>
      <c r="Y2150" s="14">
        <f>IF($AP2150="",IF($B2150="","",$R2150),IF(INDEX(職員マスタ!$C$6:$C$405,$AP2150)="",$R2150,INDEX(職員マスタ!$C$6:$C$405,$AP2150)))</f>
        <v/>
      </c>
      <c r="Z2150" s="14">
        <f>IF($AQ2150="","","R"&amp;$C2150&amp;"."&amp;$D2150)</f>
        <v/>
      </c>
      <c r="AA2150" s="15">
        <f>IF(IF($AP2150="",FALSE,INDEX(職員マスタ!$K$6:$K$405,$AP2150)&lt;&gt;""),INDEX(職員マスタ!$K$6:$K$405,$AP2150),IF(N($W2150)&gt;0,$W2150,""))</f>
        <v/>
      </c>
      <c r="AB2150" s="14">
        <f>IF(OR($E2150="",$AA2150=""),"",IF($E2150&gt;=$AA2150,"×",IF($E2150&gt;=$AA2150*設定!$C$5,"△","○")))</f>
        <v/>
      </c>
      <c r="AC2150" s="15">
        <f>IF($AB2150="","",IF($AB2150="×",0,IF($AB2150="○",ROUNDDOWN($E2150*設定!$C$4,0),ROUNDDOWN($E2150*ROUND((9*$AA2150-9*$E2150)/(10*$E2150),4),0))))</f>
        <v/>
      </c>
      <c r="AD2150" s="13" t="n"/>
      <c r="AE2150" s="15">
        <f>IF($B2150="","",IF($AD2150&lt;&gt;"",$AD2150,IF($AC2150="","",IF($AC2150&lt;=設定!$C$3,0,$AC2150))))</f>
        <v/>
      </c>
      <c r="AF2150" s="14">
        <f>IF($B2150="","",IF(AND($AG2150&lt;&gt;"",$AI2150="",$AL2150=""),"保留中",IF($AL2150&lt;&gt;"",IF(N($AE2150)&gt;0,"支給済","不支給"),IF($AE2150="","要確認",IF($AE2150=0,"不支給","未処理")))))</f>
        <v/>
      </c>
      <c r="AG2150" s="12" t="n"/>
      <c r="AH2150" s="11" t="n"/>
      <c r="AI2150" s="11" t="n"/>
      <c r="AJ2150" s="11" t="n"/>
      <c r="AK2150" s="14">
        <f>IF(AND($AF2150="保留中",$AH2150&lt;&gt;""),TODAY()-$AH2150,"")</f>
        <v/>
      </c>
      <c r="AL2150" s="12" t="n"/>
      <c r="AM2150" s="14">
        <f>IF($B2150="","",IF($AQ2150="","対象年月が未入力／","")&amp;IF($B2150="","",IF($AP2150="","職員マスタに未登録の職員番号／",IF($AA2150="","標準報酬月額が未登録／","")&amp;IF(AND($AQ2150&lt;&gt;"",OR(AND(INDEX(職員マスタ!$G$6:$G$405,$AP2150)&lt;&gt;"",INDEX(職員マスタ!$G$6:$G$405,$AP2150)&gt;EOMONTH($AQ2150,0)),AND(INDEX(職員マスタ!$H$6:$H$405,$AP2150)&lt;&gt;"",INDEX(職員マスタ!$H$6:$H$405,$AP2150)&lt;$AQ2150))),"対象月が時短期間外／","")&amp;IF(AND(INDEX(職員マスタ!$K$6:$K$405,$AP2150)&lt;&gt;"",N($W2150)&gt;0,INDEX(職員マスタ!$K$6:$K$405,$AP2150)&lt;&gt;$W2150),"標準報酬月額が申請書と相違（台帳"&amp;TEXT(INDEX(職員マスタ!$K$6:$K$405,$AP2150),"#,##0")&amp;"円／申請書"&amp;TEXT($W2150,"#,##0")&amp;"円）／","")&amp;IF(AND(INDEX(職員マスタ!$F$6:$F$405,$AP2150)&lt;&gt;"",$AQ2150&lt;&gt;"",INDEX(職員マスタ!$F$6:$F$405,$AP2150)&lt;$AQ2150),"対象月に子が2歳到達済／","")&amp;IF(AND($H2150&lt;&gt;"",INDEX(職員マスタ!$B$6:$B$405,$AP2150)&lt;&gt;"",SUBSTITUTE(SUBSTITUTE($H2150," ","")," ","")&lt;&gt;SUBSTITUTE(SUBSTITUTE(INDEX(職員マスタ!$B$6:$B$405,$AP2150)," ","")," ","")),"氏名がマスタと相違／","")&amp;IF(AND($Q2150&lt;&gt;"",INDEX(職員マスタ!$E$6:$E$405,$AP2150)&lt;&gt;"",$Q2150&lt;&gt;INDEX(職員マスタ!$E$6:$E$405,$AP2150)),"子の生年月日がマスタと相違／","")&amp;IF(AND($L2150&lt;&gt;"",INDEX(職員マスタ!$G$6:$G$405,$AP2150)&lt;&gt;"",$L2150&lt;&gt;INDEX(職員マスタ!$G$6:$G$405,$AP2150)),"時短開始日がマスタと相違／","")&amp;IF(AND($M2150&lt;&gt;"",INDEX(職員マスタ!$H$6:$H$405,$AP2150)&lt;&gt;"",$M2150&lt;&gt;INDEX(職員マスタ!$H$6:$H$405,$AP2150)),"時短終了日がマスタと相違／","")))&amp;IF(AND($B2150&lt;&gt;"",$E2150=""),"報酬額が未入力／","")&amp;IF(N($U2150)&gt;0,"申請書に入力エラーが残っています／","")&amp;IF(AND($B2150&lt;&gt;"",$AQ2150&lt;&gt;""),IF(COUNTIFS($B$6:$B$3005,$B2150,$C$6:$C$3005,$C2150,$D$6:$D$3005,$D2150)&gt;1,"同じ月の請求が重複しています／",""),"")&amp;IF(AND(N($E2150)&gt;0,$AB2150&lt;&gt;"",$AB2150&lt;&gt;"×",$AE2150=0,$AD2150=""),"計算額が下限以下のため不支給／",""))</f>
        <v/>
      </c>
      <c r="AN2150" s="12" t="n"/>
      <c r="AO2150" s="14">
        <f>IF($AF2150="保留中",COUNTIF($AF$6:$AF2150,"保留中"),"")</f>
        <v/>
      </c>
      <c r="AP2150" s="14">
        <f>IF($AQ2150="","",IF(SUMPRODUCT(MAX((職員マスタ!$A$6:$A$405=$B2150)*(((職員マスタ!$G$6:$G$405="")+(職員マスタ!$G$6:$G$405&lt;=EOMONTH($AQ2150,0)))&gt;0)*(((職員マスタ!$H$6:$H$405="")+(職員マスタ!$H$6:$H$405&gt;=$AQ2150))&gt;0)*(ROW(職員マスタ!$A$6:$A$405)-5)))&gt;0,SUMPRODUCT(MAX((職員マスタ!$A$6:$A$405=$B2150)*(((職員マスタ!$G$6:$G$405="")+(職員マスタ!$G$6:$G$405&lt;=EOMONTH($AQ2150,0)))&gt;0)*(((職員マスタ!$H$6:$H$405="")+(職員マスタ!$H$6:$H$405&gt;=$AQ2150))&gt;0)*(ROW(職員マスタ!$A$6:$A$405)-5))),IFERROR(MATCH($B2150,職員マスタ!$A$6:$A$405,0),"")))</f>
        <v/>
      </c>
      <c r="AQ2150" s="16">
        <f>IF(OR($B2150="",$C2150="",$D2150=""),"",DATE($C2150+2018,$D2150,1))</f>
        <v/>
      </c>
    </row>
    <row r="2151">
      <c r="A2151" s="11" t="n"/>
      <c r="B2151" s="12" t="n"/>
      <c r="C2151" s="12" t="n"/>
      <c r="D2151" s="12" t="n"/>
      <c r="E2151" s="13" t="n"/>
      <c r="F2151" s="12" t="n"/>
      <c r="G2151" s="13" t="n"/>
      <c r="H2151" s="12" t="n"/>
      <c r="I2151" s="12" t="n"/>
      <c r="J2151" s="12" t="n"/>
      <c r="K2151" s="12" t="n"/>
      <c r="L2151" s="11" t="n"/>
      <c r="M2151" s="11" t="n"/>
      <c r="N2151" s="11" t="n"/>
      <c r="O2151" s="11" t="n"/>
      <c r="P2151" s="12" t="n"/>
      <c r="Q2151" s="11" t="n"/>
      <c r="R2151" s="12" t="n"/>
      <c r="S2151" s="11" t="n"/>
      <c r="T2151" s="12" t="n"/>
      <c r="U2151" s="12" t="n"/>
      <c r="V2151" s="12" t="n"/>
      <c r="W2151" s="13" t="n"/>
      <c r="X2151" s="14">
        <f>IF($AP2151="",IF($B2151="","",$H2151),IF(INDEX(職員マスタ!$B$6:$B$405,$AP2151)="",$H2151,INDEX(職員マスタ!$B$6:$B$405,$AP2151)))</f>
        <v/>
      </c>
      <c r="Y2151" s="14">
        <f>IF($AP2151="",IF($B2151="","",$R2151),IF(INDEX(職員マスタ!$C$6:$C$405,$AP2151)="",$R2151,INDEX(職員マスタ!$C$6:$C$405,$AP2151)))</f>
        <v/>
      </c>
      <c r="Z2151" s="14">
        <f>IF($AQ2151="","","R"&amp;$C2151&amp;"."&amp;$D2151)</f>
        <v/>
      </c>
      <c r="AA2151" s="15">
        <f>IF(IF($AP2151="",FALSE,INDEX(職員マスタ!$K$6:$K$405,$AP2151)&lt;&gt;""),INDEX(職員マスタ!$K$6:$K$405,$AP2151),IF(N($W2151)&gt;0,$W2151,""))</f>
        <v/>
      </c>
      <c r="AB2151" s="14">
        <f>IF(OR($E2151="",$AA2151=""),"",IF($E2151&gt;=$AA2151,"×",IF($E2151&gt;=$AA2151*設定!$C$5,"△","○")))</f>
        <v/>
      </c>
      <c r="AC2151" s="15">
        <f>IF($AB2151="","",IF($AB2151="×",0,IF($AB2151="○",ROUNDDOWN($E2151*設定!$C$4,0),ROUNDDOWN($E2151*ROUND((9*$AA2151-9*$E2151)/(10*$E2151),4),0))))</f>
        <v/>
      </c>
      <c r="AD2151" s="13" t="n"/>
      <c r="AE2151" s="15">
        <f>IF($B2151="","",IF($AD2151&lt;&gt;"",$AD2151,IF($AC2151="","",IF($AC2151&lt;=設定!$C$3,0,$AC2151))))</f>
        <v/>
      </c>
      <c r="AF2151" s="14">
        <f>IF($B2151="","",IF(AND($AG2151&lt;&gt;"",$AI2151="",$AL2151=""),"保留中",IF($AL2151&lt;&gt;"",IF(N($AE2151)&gt;0,"支給済","不支給"),IF($AE2151="","要確認",IF($AE2151=0,"不支給","未処理")))))</f>
        <v/>
      </c>
      <c r="AG2151" s="12" t="n"/>
      <c r="AH2151" s="11" t="n"/>
      <c r="AI2151" s="11" t="n"/>
      <c r="AJ2151" s="11" t="n"/>
      <c r="AK2151" s="14">
        <f>IF(AND($AF2151="保留中",$AH2151&lt;&gt;""),TODAY()-$AH2151,"")</f>
        <v/>
      </c>
      <c r="AL2151" s="12" t="n"/>
      <c r="AM2151" s="14">
        <f>IF($B2151="","",IF($AQ2151="","対象年月が未入力／","")&amp;IF($B2151="","",IF($AP2151="","職員マスタに未登録の職員番号／",IF($AA2151="","標準報酬月額が未登録／","")&amp;IF(AND($AQ2151&lt;&gt;"",OR(AND(INDEX(職員マスタ!$G$6:$G$405,$AP2151)&lt;&gt;"",INDEX(職員マスタ!$G$6:$G$405,$AP2151)&gt;EOMONTH($AQ2151,0)),AND(INDEX(職員マスタ!$H$6:$H$405,$AP2151)&lt;&gt;"",INDEX(職員マスタ!$H$6:$H$405,$AP2151)&lt;$AQ2151))),"対象月が時短期間外／","")&amp;IF(AND(INDEX(職員マスタ!$K$6:$K$405,$AP2151)&lt;&gt;"",N($W2151)&gt;0,INDEX(職員マスタ!$K$6:$K$405,$AP2151)&lt;&gt;$W2151),"標準報酬月額が申請書と相違（台帳"&amp;TEXT(INDEX(職員マスタ!$K$6:$K$405,$AP2151),"#,##0")&amp;"円／申請書"&amp;TEXT($W2151,"#,##0")&amp;"円）／","")&amp;IF(AND(INDEX(職員マスタ!$F$6:$F$405,$AP2151)&lt;&gt;"",$AQ2151&lt;&gt;"",INDEX(職員マスタ!$F$6:$F$405,$AP2151)&lt;$AQ2151),"対象月に子が2歳到達済／","")&amp;IF(AND($H2151&lt;&gt;"",INDEX(職員マスタ!$B$6:$B$405,$AP2151)&lt;&gt;"",SUBSTITUTE(SUBSTITUTE($H2151," ","")," ","")&lt;&gt;SUBSTITUTE(SUBSTITUTE(INDEX(職員マスタ!$B$6:$B$405,$AP2151)," ","")," ","")),"氏名がマスタと相違／","")&amp;IF(AND($Q2151&lt;&gt;"",INDEX(職員マスタ!$E$6:$E$405,$AP2151)&lt;&gt;"",$Q2151&lt;&gt;INDEX(職員マスタ!$E$6:$E$405,$AP2151)),"子の生年月日がマスタと相違／","")&amp;IF(AND($L2151&lt;&gt;"",INDEX(職員マスタ!$G$6:$G$405,$AP2151)&lt;&gt;"",$L2151&lt;&gt;INDEX(職員マスタ!$G$6:$G$405,$AP2151)),"時短開始日がマスタと相違／","")&amp;IF(AND($M2151&lt;&gt;"",INDEX(職員マスタ!$H$6:$H$405,$AP2151)&lt;&gt;"",$M2151&lt;&gt;INDEX(職員マスタ!$H$6:$H$405,$AP2151)),"時短終了日がマスタと相違／","")))&amp;IF(AND($B2151&lt;&gt;"",$E2151=""),"報酬額が未入力／","")&amp;IF(N($U2151)&gt;0,"申請書に入力エラーが残っています／","")&amp;IF(AND($B2151&lt;&gt;"",$AQ2151&lt;&gt;""),IF(COUNTIFS($B$6:$B$3005,$B2151,$C$6:$C$3005,$C2151,$D$6:$D$3005,$D2151)&gt;1,"同じ月の請求が重複しています／",""),"")&amp;IF(AND(N($E2151)&gt;0,$AB2151&lt;&gt;"",$AB2151&lt;&gt;"×",$AE2151=0,$AD2151=""),"計算額が下限以下のため不支給／",""))</f>
        <v/>
      </c>
      <c r="AN2151" s="12" t="n"/>
      <c r="AO2151" s="14">
        <f>IF($AF2151="保留中",COUNTIF($AF$6:$AF2151,"保留中"),"")</f>
        <v/>
      </c>
      <c r="AP2151" s="14">
        <f>IF($AQ2151="","",IF(SUMPRODUCT(MAX((職員マスタ!$A$6:$A$405=$B2151)*(((職員マスタ!$G$6:$G$405="")+(職員マスタ!$G$6:$G$405&lt;=EOMONTH($AQ2151,0)))&gt;0)*(((職員マスタ!$H$6:$H$405="")+(職員マスタ!$H$6:$H$405&gt;=$AQ2151))&gt;0)*(ROW(職員マスタ!$A$6:$A$405)-5)))&gt;0,SUMPRODUCT(MAX((職員マスタ!$A$6:$A$405=$B2151)*(((職員マスタ!$G$6:$G$405="")+(職員マスタ!$G$6:$G$405&lt;=EOMONTH($AQ2151,0)))&gt;0)*(((職員マスタ!$H$6:$H$405="")+(職員マスタ!$H$6:$H$405&gt;=$AQ2151))&gt;0)*(ROW(職員マスタ!$A$6:$A$405)-5))),IFERROR(MATCH($B2151,職員マスタ!$A$6:$A$405,0),"")))</f>
        <v/>
      </c>
      <c r="AQ2151" s="16">
        <f>IF(OR($B2151="",$C2151="",$D2151=""),"",DATE($C2151+2018,$D2151,1))</f>
        <v/>
      </c>
    </row>
    <row r="2152">
      <c r="A2152" s="11" t="n"/>
      <c r="B2152" s="12" t="n"/>
      <c r="C2152" s="12" t="n"/>
      <c r="D2152" s="12" t="n"/>
      <c r="E2152" s="13" t="n"/>
      <c r="F2152" s="12" t="n"/>
      <c r="G2152" s="13" t="n"/>
      <c r="H2152" s="12" t="n"/>
      <c r="I2152" s="12" t="n"/>
      <c r="J2152" s="12" t="n"/>
      <c r="K2152" s="12" t="n"/>
      <c r="L2152" s="11" t="n"/>
      <c r="M2152" s="11" t="n"/>
      <c r="N2152" s="11" t="n"/>
      <c r="O2152" s="11" t="n"/>
      <c r="P2152" s="12" t="n"/>
      <c r="Q2152" s="11" t="n"/>
      <c r="R2152" s="12" t="n"/>
      <c r="S2152" s="11" t="n"/>
      <c r="T2152" s="12" t="n"/>
      <c r="U2152" s="12" t="n"/>
      <c r="V2152" s="12" t="n"/>
      <c r="W2152" s="13" t="n"/>
      <c r="X2152" s="14">
        <f>IF($AP2152="",IF($B2152="","",$H2152),IF(INDEX(職員マスタ!$B$6:$B$405,$AP2152)="",$H2152,INDEX(職員マスタ!$B$6:$B$405,$AP2152)))</f>
        <v/>
      </c>
      <c r="Y2152" s="14">
        <f>IF($AP2152="",IF($B2152="","",$R2152),IF(INDEX(職員マスタ!$C$6:$C$405,$AP2152)="",$R2152,INDEX(職員マスタ!$C$6:$C$405,$AP2152)))</f>
        <v/>
      </c>
      <c r="Z2152" s="14">
        <f>IF($AQ2152="","","R"&amp;$C2152&amp;"."&amp;$D2152)</f>
        <v/>
      </c>
      <c r="AA2152" s="15">
        <f>IF(IF($AP2152="",FALSE,INDEX(職員マスタ!$K$6:$K$405,$AP2152)&lt;&gt;""),INDEX(職員マスタ!$K$6:$K$405,$AP2152),IF(N($W2152)&gt;0,$W2152,""))</f>
        <v/>
      </c>
      <c r="AB2152" s="14">
        <f>IF(OR($E2152="",$AA2152=""),"",IF($E2152&gt;=$AA2152,"×",IF($E2152&gt;=$AA2152*設定!$C$5,"△","○")))</f>
        <v/>
      </c>
      <c r="AC2152" s="15">
        <f>IF($AB2152="","",IF($AB2152="×",0,IF($AB2152="○",ROUNDDOWN($E2152*設定!$C$4,0),ROUNDDOWN($E2152*ROUND((9*$AA2152-9*$E2152)/(10*$E2152),4),0))))</f>
        <v/>
      </c>
      <c r="AD2152" s="13" t="n"/>
      <c r="AE2152" s="15">
        <f>IF($B2152="","",IF($AD2152&lt;&gt;"",$AD2152,IF($AC2152="","",IF($AC2152&lt;=設定!$C$3,0,$AC2152))))</f>
        <v/>
      </c>
      <c r="AF2152" s="14">
        <f>IF($B2152="","",IF(AND($AG2152&lt;&gt;"",$AI2152="",$AL2152=""),"保留中",IF($AL2152&lt;&gt;"",IF(N($AE2152)&gt;0,"支給済","不支給"),IF($AE2152="","要確認",IF($AE2152=0,"不支給","未処理")))))</f>
        <v/>
      </c>
      <c r="AG2152" s="12" t="n"/>
      <c r="AH2152" s="11" t="n"/>
      <c r="AI2152" s="11" t="n"/>
      <c r="AJ2152" s="11" t="n"/>
      <c r="AK2152" s="14">
        <f>IF(AND($AF2152="保留中",$AH2152&lt;&gt;""),TODAY()-$AH2152,"")</f>
        <v/>
      </c>
      <c r="AL2152" s="12" t="n"/>
      <c r="AM2152" s="14">
        <f>IF($B2152="","",IF($AQ2152="","対象年月が未入力／","")&amp;IF($B2152="","",IF($AP2152="","職員マスタに未登録の職員番号／",IF($AA2152="","標準報酬月額が未登録／","")&amp;IF(AND($AQ2152&lt;&gt;"",OR(AND(INDEX(職員マスタ!$G$6:$G$405,$AP2152)&lt;&gt;"",INDEX(職員マスタ!$G$6:$G$405,$AP2152)&gt;EOMONTH($AQ2152,0)),AND(INDEX(職員マスタ!$H$6:$H$405,$AP2152)&lt;&gt;"",INDEX(職員マスタ!$H$6:$H$405,$AP2152)&lt;$AQ2152))),"対象月が時短期間外／","")&amp;IF(AND(INDEX(職員マスタ!$K$6:$K$405,$AP2152)&lt;&gt;"",N($W2152)&gt;0,INDEX(職員マスタ!$K$6:$K$405,$AP2152)&lt;&gt;$W2152),"標準報酬月額が申請書と相違（台帳"&amp;TEXT(INDEX(職員マスタ!$K$6:$K$405,$AP2152),"#,##0")&amp;"円／申請書"&amp;TEXT($W2152,"#,##0")&amp;"円）／","")&amp;IF(AND(INDEX(職員マスタ!$F$6:$F$405,$AP2152)&lt;&gt;"",$AQ2152&lt;&gt;"",INDEX(職員マスタ!$F$6:$F$405,$AP2152)&lt;$AQ2152),"対象月に子が2歳到達済／","")&amp;IF(AND($H2152&lt;&gt;"",INDEX(職員マスタ!$B$6:$B$405,$AP2152)&lt;&gt;"",SUBSTITUTE(SUBSTITUTE($H2152," ","")," ","")&lt;&gt;SUBSTITUTE(SUBSTITUTE(INDEX(職員マスタ!$B$6:$B$405,$AP2152)," ","")," ","")),"氏名がマスタと相違／","")&amp;IF(AND($Q2152&lt;&gt;"",INDEX(職員マスタ!$E$6:$E$405,$AP2152)&lt;&gt;"",$Q2152&lt;&gt;INDEX(職員マスタ!$E$6:$E$405,$AP2152)),"子の生年月日がマスタと相違／","")&amp;IF(AND($L2152&lt;&gt;"",INDEX(職員マスタ!$G$6:$G$405,$AP2152)&lt;&gt;"",$L2152&lt;&gt;INDEX(職員マスタ!$G$6:$G$405,$AP2152)),"時短開始日がマスタと相違／","")&amp;IF(AND($M2152&lt;&gt;"",INDEX(職員マスタ!$H$6:$H$405,$AP2152)&lt;&gt;"",$M2152&lt;&gt;INDEX(職員マスタ!$H$6:$H$405,$AP2152)),"時短終了日がマスタと相違／","")))&amp;IF(AND($B2152&lt;&gt;"",$E2152=""),"報酬額が未入力／","")&amp;IF(N($U2152)&gt;0,"申請書に入力エラーが残っています／","")&amp;IF(AND($B2152&lt;&gt;"",$AQ2152&lt;&gt;""),IF(COUNTIFS($B$6:$B$3005,$B2152,$C$6:$C$3005,$C2152,$D$6:$D$3005,$D2152)&gt;1,"同じ月の請求が重複しています／",""),"")&amp;IF(AND(N($E2152)&gt;0,$AB2152&lt;&gt;"",$AB2152&lt;&gt;"×",$AE2152=0,$AD2152=""),"計算額が下限以下のため不支給／",""))</f>
        <v/>
      </c>
      <c r="AN2152" s="12" t="n"/>
      <c r="AO2152" s="14">
        <f>IF($AF2152="保留中",COUNTIF($AF$6:$AF2152,"保留中"),"")</f>
        <v/>
      </c>
      <c r="AP2152" s="14">
        <f>IF($AQ2152="","",IF(SUMPRODUCT(MAX((職員マスタ!$A$6:$A$405=$B2152)*(((職員マスタ!$G$6:$G$405="")+(職員マスタ!$G$6:$G$405&lt;=EOMONTH($AQ2152,0)))&gt;0)*(((職員マスタ!$H$6:$H$405="")+(職員マスタ!$H$6:$H$405&gt;=$AQ2152))&gt;0)*(ROW(職員マスタ!$A$6:$A$405)-5)))&gt;0,SUMPRODUCT(MAX((職員マスタ!$A$6:$A$405=$B2152)*(((職員マスタ!$G$6:$G$405="")+(職員マスタ!$G$6:$G$405&lt;=EOMONTH($AQ2152,0)))&gt;0)*(((職員マスタ!$H$6:$H$405="")+(職員マスタ!$H$6:$H$405&gt;=$AQ2152))&gt;0)*(ROW(職員マスタ!$A$6:$A$405)-5))),IFERROR(MATCH($B2152,職員マスタ!$A$6:$A$405,0),"")))</f>
        <v/>
      </c>
      <c r="AQ2152" s="16">
        <f>IF(OR($B2152="",$C2152="",$D2152=""),"",DATE($C2152+2018,$D2152,1))</f>
        <v/>
      </c>
    </row>
    <row r="2153">
      <c r="A2153" s="11" t="n"/>
      <c r="B2153" s="12" t="n"/>
      <c r="C2153" s="12" t="n"/>
      <c r="D2153" s="12" t="n"/>
      <c r="E2153" s="13" t="n"/>
      <c r="F2153" s="12" t="n"/>
      <c r="G2153" s="13" t="n"/>
      <c r="H2153" s="12" t="n"/>
      <c r="I2153" s="12" t="n"/>
      <c r="J2153" s="12" t="n"/>
      <c r="K2153" s="12" t="n"/>
      <c r="L2153" s="11" t="n"/>
      <c r="M2153" s="11" t="n"/>
      <c r="N2153" s="11" t="n"/>
      <c r="O2153" s="11" t="n"/>
      <c r="P2153" s="12" t="n"/>
      <c r="Q2153" s="11" t="n"/>
      <c r="R2153" s="12" t="n"/>
      <c r="S2153" s="11" t="n"/>
      <c r="T2153" s="12" t="n"/>
      <c r="U2153" s="12" t="n"/>
      <c r="V2153" s="12" t="n"/>
      <c r="W2153" s="13" t="n"/>
      <c r="X2153" s="14">
        <f>IF($AP2153="",IF($B2153="","",$H2153),IF(INDEX(職員マスタ!$B$6:$B$405,$AP2153)="",$H2153,INDEX(職員マスタ!$B$6:$B$405,$AP2153)))</f>
        <v/>
      </c>
      <c r="Y2153" s="14">
        <f>IF($AP2153="",IF($B2153="","",$R2153),IF(INDEX(職員マスタ!$C$6:$C$405,$AP2153)="",$R2153,INDEX(職員マスタ!$C$6:$C$405,$AP2153)))</f>
        <v/>
      </c>
      <c r="Z2153" s="14">
        <f>IF($AQ2153="","","R"&amp;$C2153&amp;"."&amp;$D2153)</f>
        <v/>
      </c>
      <c r="AA2153" s="15">
        <f>IF(IF($AP2153="",FALSE,INDEX(職員マスタ!$K$6:$K$405,$AP2153)&lt;&gt;""),INDEX(職員マスタ!$K$6:$K$405,$AP2153),IF(N($W2153)&gt;0,$W2153,""))</f>
        <v/>
      </c>
      <c r="AB2153" s="14">
        <f>IF(OR($E2153="",$AA2153=""),"",IF($E2153&gt;=$AA2153,"×",IF($E2153&gt;=$AA2153*設定!$C$5,"△","○")))</f>
        <v/>
      </c>
      <c r="AC2153" s="15">
        <f>IF($AB2153="","",IF($AB2153="×",0,IF($AB2153="○",ROUNDDOWN($E2153*設定!$C$4,0),ROUNDDOWN($E2153*ROUND((9*$AA2153-9*$E2153)/(10*$E2153),4),0))))</f>
        <v/>
      </c>
      <c r="AD2153" s="13" t="n"/>
      <c r="AE2153" s="15">
        <f>IF($B2153="","",IF($AD2153&lt;&gt;"",$AD2153,IF($AC2153="","",IF($AC2153&lt;=設定!$C$3,0,$AC2153))))</f>
        <v/>
      </c>
      <c r="AF2153" s="14">
        <f>IF($B2153="","",IF(AND($AG2153&lt;&gt;"",$AI2153="",$AL2153=""),"保留中",IF($AL2153&lt;&gt;"",IF(N($AE2153)&gt;0,"支給済","不支給"),IF($AE2153="","要確認",IF($AE2153=0,"不支給","未処理")))))</f>
        <v/>
      </c>
      <c r="AG2153" s="12" t="n"/>
      <c r="AH2153" s="11" t="n"/>
      <c r="AI2153" s="11" t="n"/>
      <c r="AJ2153" s="11" t="n"/>
      <c r="AK2153" s="14">
        <f>IF(AND($AF2153="保留中",$AH2153&lt;&gt;""),TODAY()-$AH2153,"")</f>
        <v/>
      </c>
      <c r="AL2153" s="12" t="n"/>
      <c r="AM2153" s="14">
        <f>IF($B2153="","",IF($AQ2153="","対象年月が未入力／","")&amp;IF($B2153="","",IF($AP2153="","職員マスタに未登録の職員番号／",IF($AA2153="","標準報酬月額が未登録／","")&amp;IF(AND($AQ2153&lt;&gt;"",OR(AND(INDEX(職員マスタ!$G$6:$G$405,$AP2153)&lt;&gt;"",INDEX(職員マスタ!$G$6:$G$405,$AP2153)&gt;EOMONTH($AQ2153,0)),AND(INDEX(職員マスタ!$H$6:$H$405,$AP2153)&lt;&gt;"",INDEX(職員マスタ!$H$6:$H$405,$AP2153)&lt;$AQ2153))),"対象月が時短期間外／","")&amp;IF(AND(INDEX(職員マスタ!$K$6:$K$405,$AP2153)&lt;&gt;"",N($W2153)&gt;0,INDEX(職員マスタ!$K$6:$K$405,$AP2153)&lt;&gt;$W2153),"標準報酬月額が申請書と相違（台帳"&amp;TEXT(INDEX(職員マスタ!$K$6:$K$405,$AP2153),"#,##0")&amp;"円／申請書"&amp;TEXT($W2153,"#,##0")&amp;"円）／","")&amp;IF(AND(INDEX(職員マスタ!$F$6:$F$405,$AP2153)&lt;&gt;"",$AQ2153&lt;&gt;"",INDEX(職員マスタ!$F$6:$F$405,$AP2153)&lt;$AQ2153),"対象月に子が2歳到達済／","")&amp;IF(AND($H2153&lt;&gt;"",INDEX(職員マスタ!$B$6:$B$405,$AP2153)&lt;&gt;"",SUBSTITUTE(SUBSTITUTE($H2153," ","")," ","")&lt;&gt;SUBSTITUTE(SUBSTITUTE(INDEX(職員マスタ!$B$6:$B$405,$AP2153)," ","")," ","")),"氏名がマスタと相違／","")&amp;IF(AND($Q2153&lt;&gt;"",INDEX(職員マスタ!$E$6:$E$405,$AP2153)&lt;&gt;"",$Q2153&lt;&gt;INDEX(職員マスタ!$E$6:$E$405,$AP2153)),"子の生年月日がマスタと相違／","")&amp;IF(AND($L2153&lt;&gt;"",INDEX(職員マスタ!$G$6:$G$405,$AP2153)&lt;&gt;"",$L2153&lt;&gt;INDEX(職員マスタ!$G$6:$G$405,$AP2153)),"時短開始日がマスタと相違／","")&amp;IF(AND($M2153&lt;&gt;"",INDEX(職員マスタ!$H$6:$H$405,$AP2153)&lt;&gt;"",$M2153&lt;&gt;INDEX(職員マスタ!$H$6:$H$405,$AP2153)),"時短終了日がマスタと相違／","")))&amp;IF(AND($B2153&lt;&gt;"",$E2153=""),"報酬額が未入力／","")&amp;IF(N($U2153)&gt;0,"申請書に入力エラーが残っています／","")&amp;IF(AND($B2153&lt;&gt;"",$AQ2153&lt;&gt;""),IF(COUNTIFS($B$6:$B$3005,$B2153,$C$6:$C$3005,$C2153,$D$6:$D$3005,$D2153)&gt;1,"同じ月の請求が重複しています／",""),"")&amp;IF(AND(N($E2153)&gt;0,$AB2153&lt;&gt;"",$AB2153&lt;&gt;"×",$AE2153=0,$AD2153=""),"計算額が下限以下のため不支給／",""))</f>
        <v/>
      </c>
      <c r="AN2153" s="12" t="n"/>
      <c r="AO2153" s="14">
        <f>IF($AF2153="保留中",COUNTIF($AF$6:$AF2153,"保留中"),"")</f>
        <v/>
      </c>
      <c r="AP2153" s="14">
        <f>IF($AQ2153="","",IF(SUMPRODUCT(MAX((職員マスタ!$A$6:$A$405=$B2153)*(((職員マスタ!$G$6:$G$405="")+(職員マスタ!$G$6:$G$405&lt;=EOMONTH($AQ2153,0)))&gt;0)*(((職員マスタ!$H$6:$H$405="")+(職員マスタ!$H$6:$H$405&gt;=$AQ2153))&gt;0)*(ROW(職員マスタ!$A$6:$A$405)-5)))&gt;0,SUMPRODUCT(MAX((職員マスタ!$A$6:$A$405=$B2153)*(((職員マスタ!$G$6:$G$405="")+(職員マスタ!$G$6:$G$405&lt;=EOMONTH($AQ2153,0)))&gt;0)*(((職員マスタ!$H$6:$H$405="")+(職員マスタ!$H$6:$H$405&gt;=$AQ2153))&gt;0)*(ROW(職員マスタ!$A$6:$A$405)-5))),IFERROR(MATCH($B2153,職員マスタ!$A$6:$A$405,0),"")))</f>
        <v/>
      </c>
      <c r="AQ2153" s="16">
        <f>IF(OR($B2153="",$C2153="",$D2153=""),"",DATE($C2153+2018,$D2153,1))</f>
        <v/>
      </c>
    </row>
    <row r="2154">
      <c r="A2154" s="11" t="n"/>
      <c r="B2154" s="12" t="n"/>
      <c r="C2154" s="12" t="n"/>
      <c r="D2154" s="12" t="n"/>
      <c r="E2154" s="13" t="n"/>
      <c r="F2154" s="12" t="n"/>
      <c r="G2154" s="13" t="n"/>
      <c r="H2154" s="12" t="n"/>
      <c r="I2154" s="12" t="n"/>
      <c r="J2154" s="12" t="n"/>
      <c r="K2154" s="12" t="n"/>
      <c r="L2154" s="11" t="n"/>
      <c r="M2154" s="11" t="n"/>
      <c r="N2154" s="11" t="n"/>
      <c r="O2154" s="11" t="n"/>
      <c r="P2154" s="12" t="n"/>
      <c r="Q2154" s="11" t="n"/>
      <c r="R2154" s="12" t="n"/>
      <c r="S2154" s="11" t="n"/>
      <c r="T2154" s="12" t="n"/>
      <c r="U2154" s="12" t="n"/>
      <c r="V2154" s="12" t="n"/>
      <c r="W2154" s="13" t="n"/>
      <c r="X2154" s="14">
        <f>IF($AP2154="",IF($B2154="","",$H2154),IF(INDEX(職員マスタ!$B$6:$B$405,$AP2154)="",$H2154,INDEX(職員マスタ!$B$6:$B$405,$AP2154)))</f>
        <v/>
      </c>
      <c r="Y2154" s="14">
        <f>IF($AP2154="",IF($B2154="","",$R2154),IF(INDEX(職員マスタ!$C$6:$C$405,$AP2154)="",$R2154,INDEX(職員マスタ!$C$6:$C$405,$AP2154)))</f>
        <v/>
      </c>
      <c r="Z2154" s="14">
        <f>IF($AQ2154="","","R"&amp;$C2154&amp;"."&amp;$D2154)</f>
        <v/>
      </c>
      <c r="AA2154" s="15">
        <f>IF(IF($AP2154="",FALSE,INDEX(職員マスタ!$K$6:$K$405,$AP2154)&lt;&gt;""),INDEX(職員マスタ!$K$6:$K$405,$AP2154),IF(N($W2154)&gt;0,$W2154,""))</f>
        <v/>
      </c>
      <c r="AB2154" s="14">
        <f>IF(OR($E2154="",$AA2154=""),"",IF($E2154&gt;=$AA2154,"×",IF($E2154&gt;=$AA2154*設定!$C$5,"△","○")))</f>
        <v/>
      </c>
      <c r="AC2154" s="15">
        <f>IF($AB2154="","",IF($AB2154="×",0,IF($AB2154="○",ROUNDDOWN($E2154*設定!$C$4,0),ROUNDDOWN($E2154*ROUND((9*$AA2154-9*$E2154)/(10*$E2154),4),0))))</f>
        <v/>
      </c>
      <c r="AD2154" s="13" t="n"/>
      <c r="AE2154" s="15">
        <f>IF($B2154="","",IF($AD2154&lt;&gt;"",$AD2154,IF($AC2154="","",IF($AC2154&lt;=設定!$C$3,0,$AC2154))))</f>
        <v/>
      </c>
      <c r="AF2154" s="14">
        <f>IF($B2154="","",IF(AND($AG2154&lt;&gt;"",$AI2154="",$AL2154=""),"保留中",IF($AL2154&lt;&gt;"",IF(N($AE2154)&gt;0,"支給済","不支給"),IF($AE2154="","要確認",IF($AE2154=0,"不支給","未処理")))))</f>
        <v/>
      </c>
      <c r="AG2154" s="12" t="n"/>
      <c r="AH2154" s="11" t="n"/>
      <c r="AI2154" s="11" t="n"/>
      <c r="AJ2154" s="11" t="n"/>
      <c r="AK2154" s="14">
        <f>IF(AND($AF2154="保留中",$AH2154&lt;&gt;""),TODAY()-$AH2154,"")</f>
        <v/>
      </c>
      <c r="AL2154" s="12" t="n"/>
      <c r="AM2154" s="14">
        <f>IF($B2154="","",IF($AQ2154="","対象年月が未入力／","")&amp;IF($B2154="","",IF($AP2154="","職員マスタに未登録の職員番号／",IF($AA2154="","標準報酬月額が未登録／","")&amp;IF(AND($AQ2154&lt;&gt;"",OR(AND(INDEX(職員マスタ!$G$6:$G$405,$AP2154)&lt;&gt;"",INDEX(職員マスタ!$G$6:$G$405,$AP2154)&gt;EOMONTH($AQ2154,0)),AND(INDEX(職員マスタ!$H$6:$H$405,$AP2154)&lt;&gt;"",INDEX(職員マスタ!$H$6:$H$405,$AP2154)&lt;$AQ2154))),"対象月が時短期間外／","")&amp;IF(AND(INDEX(職員マスタ!$K$6:$K$405,$AP2154)&lt;&gt;"",N($W2154)&gt;0,INDEX(職員マスタ!$K$6:$K$405,$AP2154)&lt;&gt;$W2154),"標準報酬月額が申請書と相違（台帳"&amp;TEXT(INDEX(職員マスタ!$K$6:$K$405,$AP2154),"#,##0")&amp;"円／申請書"&amp;TEXT($W2154,"#,##0")&amp;"円）／","")&amp;IF(AND(INDEX(職員マスタ!$F$6:$F$405,$AP2154)&lt;&gt;"",$AQ2154&lt;&gt;"",INDEX(職員マスタ!$F$6:$F$405,$AP2154)&lt;$AQ2154),"対象月に子が2歳到達済／","")&amp;IF(AND($H2154&lt;&gt;"",INDEX(職員マスタ!$B$6:$B$405,$AP2154)&lt;&gt;"",SUBSTITUTE(SUBSTITUTE($H2154," ","")," ","")&lt;&gt;SUBSTITUTE(SUBSTITUTE(INDEX(職員マスタ!$B$6:$B$405,$AP2154)," ","")," ","")),"氏名がマスタと相違／","")&amp;IF(AND($Q2154&lt;&gt;"",INDEX(職員マスタ!$E$6:$E$405,$AP2154)&lt;&gt;"",$Q2154&lt;&gt;INDEX(職員マスタ!$E$6:$E$405,$AP2154)),"子の生年月日がマスタと相違／","")&amp;IF(AND($L2154&lt;&gt;"",INDEX(職員マスタ!$G$6:$G$405,$AP2154)&lt;&gt;"",$L2154&lt;&gt;INDEX(職員マスタ!$G$6:$G$405,$AP2154)),"時短開始日がマスタと相違／","")&amp;IF(AND($M2154&lt;&gt;"",INDEX(職員マスタ!$H$6:$H$405,$AP2154)&lt;&gt;"",$M2154&lt;&gt;INDEX(職員マスタ!$H$6:$H$405,$AP2154)),"時短終了日がマスタと相違／","")))&amp;IF(AND($B2154&lt;&gt;"",$E2154=""),"報酬額が未入力／","")&amp;IF(N($U2154)&gt;0,"申請書に入力エラーが残っています／","")&amp;IF(AND($B2154&lt;&gt;"",$AQ2154&lt;&gt;""),IF(COUNTIFS($B$6:$B$3005,$B2154,$C$6:$C$3005,$C2154,$D$6:$D$3005,$D2154)&gt;1,"同じ月の請求が重複しています／",""),"")&amp;IF(AND(N($E2154)&gt;0,$AB2154&lt;&gt;"",$AB2154&lt;&gt;"×",$AE2154=0,$AD2154=""),"計算額が下限以下のため不支給／",""))</f>
        <v/>
      </c>
      <c r="AN2154" s="12" t="n"/>
      <c r="AO2154" s="14">
        <f>IF($AF2154="保留中",COUNTIF($AF$6:$AF2154,"保留中"),"")</f>
        <v/>
      </c>
      <c r="AP2154" s="14">
        <f>IF($AQ2154="","",IF(SUMPRODUCT(MAX((職員マスタ!$A$6:$A$405=$B2154)*(((職員マスタ!$G$6:$G$405="")+(職員マスタ!$G$6:$G$405&lt;=EOMONTH($AQ2154,0)))&gt;0)*(((職員マスタ!$H$6:$H$405="")+(職員マスタ!$H$6:$H$405&gt;=$AQ2154))&gt;0)*(ROW(職員マスタ!$A$6:$A$405)-5)))&gt;0,SUMPRODUCT(MAX((職員マスタ!$A$6:$A$405=$B2154)*(((職員マスタ!$G$6:$G$405="")+(職員マスタ!$G$6:$G$405&lt;=EOMONTH($AQ2154,0)))&gt;0)*(((職員マスタ!$H$6:$H$405="")+(職員マスタ!$H$6:$H$405&gt;=$AQ2154))&gt;0)*(ROW(職員マスタ!$A$6:$A$405)-5))),IFERROR(MATCH($B2154,職員マスタ!$A$6:$A$405,0),"")))</f>
        <v/>
      </c>
      <c r="AQ2154" s="16">
        <f>IF(OR($B2154="",$C2154="",$D2154=""),"",DATE($C2154+2018,$D2154,1))</f>
        <v/>
      </c>
    </row>
    <row r="2155">
      <c r="A2155" s="11" t="n"/>
      <c r="B2155" s="12" t="n"/>
      <c r="C2155" s="12" t="n"/>
      <c r="D2155" s="12" t="n"/>
      <c r="E2155" s="13" t="n"/>
      <c r="F2155" s="12" t="n"/>
      <c r="G2155" s="13" t="n"/>
      <c r="H2155" s="12" t="n"/>
      <c r="I2155" s="12" t="n"/>
      <c r="J2155" s="12" t="n"/>
      <c r="K2155" s="12" t="n"/>
      <c r="L2155" s="11" t="n"/>
      <c r="M2155" s="11" t="n"/>
      <c r="N2155" s="11" t="n"/>
      <c r="O2155" s="11" t="n"/>
      <c r="P2155" s="12" t="n"/>
      <c r="Q2155" s="11" t="n"/>
      <c r="R2155" s="12" t="n"/>
      <c r="S2155" s="11" t="n"/>
      <c r="T2155" s="12" t="n"/>
      <c r="U2155" s="12" t="n"/>
      <c r="V2155" s="12" t="n"/>
      <c r="W2155" s="13" t="n"/>
      <c r="X2155" s="14">
        <f>IF($AP2155="",IF($B2155="","",$H2155),IF(INDEX(職員マスタ!$B$6:$B$405,$AP2155)="",$H2155,INDEX(職員マスタ!$B$6:$B$405,$AP2155)))</f>
        <v/>
      </c>
      <c r="Y2155" s="14">
        <f>IF($AP2155="",IF($B2155="","",$R2155),IF(INDEX(職員マスタ!$C$6:$C$405,$AP2155)="",$R2155,INDEX(職員マスタ!$C$6:$C$405,$AP2155)))</f>
        <v/>
      </c>
      <c r="Z2155" s="14">
        <f>IF($AQ2155="","","R"&amp;$C2155&amp;"."&amp;$D2155)</f>
        <v/>
      </c>
      <c r="AA2155" s="15">
        <f>IF(IF($AP2155="",FALSE,INDEX(職員マスタ!$K$6:$K$405,$AP2155)&lt;&gt;""),INDEX(職員マスタ!$K$6:$K$405,$AP2155),IF(N($W2155)&gt;0,$W2155,""))</f>
        <v/>
      </c>
      <c r="AB2155" s="14">
        <f>IF(OR($E2155="",$AA2155=""),"",IF($E2155&gt;=$AA2155,"×",IF($E2155&gt;=$AA2155*設定!$C$5,"△","○")))</f>
        <v/>
      </c>
      <c r="AC2155" s="15">
        <f>IF($AB2155="","",IF($AB2155="×",0,IF($AB2155="○",ROUNDDOWN($E2155*設定!$C$4,0),ROUNDDOWN($E2155*ROUND((9*$AA2155-9*$E2155)/(10*$E2155),4),0))))</f>
        <v/>
      </c>
      <c r="AD2155" s="13" t="n"/>
      <c r="AE2155" s="15">
        <f>IF($B2155="","",IF($AD2155&lt;&gt;"",$AD2155,IF($AC2155="","",IF($AC2155&lt;=設定!$C$3,0,$AC2155))))</f>
        <v/>
      </c>
      <c r="AF2155" s="14">
        <f>IF($B2155="","",IF(AND($AG2155&lt;&gt;"",$AI2155="",$AL2155=""),"保留中",IF($AL2155&lt;&gt;"",IF(N($AE2155)&gt;0,"支給済","不支給"),IF($AE2155="","要確認",IF($AE2155=0,"不支給","未処理")))))</f>
        <v/>
      </c>
      <c r="AG2155" s="12" t="n"/>
      <c r="AH2155" s="11" t="n"/>
      <c r="AI2155" s="11" t="n"/>
      <c r="AJ2155" s="11" t="n"/>
      <c r="AK2155" s="14">
        <f>IF(AND($AF2155="保留中",$AH2155&lt;&gt;""),TODAY()-$AH2155,"")</f>
        <v/>
      </c>
      <c r="AL2155" s="12" t="n"/>
      <c r="AM2155" s="14">
        <f>IF($B2155="","",IF($AQ2155="","対象年月が未入力／","")&amp;IF($B2155="","",IF($AP2155="","職員マスタに未登録の職員番号／",IF($AA2155="","標準報酬月額が未登録／","")&amp;IF(AND($AQ2155&lt;&gt;"",OR(AND(INDEX(職員マスタ!$G$6:$G$405,$AP2155)&lt;&gt;"",INDEX(職員マスタ!$G$6:$G$405,$AP2155)&gt;EOMONTH($AQ2155,0)),AND(INDEX(職員マスタ!$H$6:$H$405,$AP2155)&lt;&gt;"",INDEX(職員マスタ!$H$6:$H$405,$AP2155)&lt;$AQ2155))),"対象月が時短期間外／","")&amp;IF(AND(INDEX(職員マスタ!$K$6:$K$405,$AP2155)&lt;&gt;"",N($W2155)&gt;0,INDEX(職員マスタ!$K$6:$K$405,$AP2155)&lt;&gt;$W2155),"標準報酬月額が申請書と相違（台帳"&amp;TEXT(INDEX(職員マスタ!$K$6:$K$405,$AP2155),"#,##0")&amp;"円／申請書"&amp;TEXT($W2155,"#,##0")&amp;"円）／","")&amp;IF(AND(INDEX(職員マスタ!$F$6:$F$405,$AP2155)&lt;&gt;"",$AQ2155&lt;&gt;"",INDEX(職員マスタ!$F$6:$F$405,$AP2155)&lt;$AQ2155),"対象月に子が2歳到達済／","")&amp;IF(AND($H2155&lt;&gt;"",INDEX(職員マスタ!$B$6:$B$405,$AP2155)&lt;&gt;"",SUBSTITUTE(SUBSTITUTE($H2155," ","")," ","")&lt;&gt;SUBSTITUTE(SUBSTITUTE(INDEX(職員マスタ!$B$6:$B$405,$AP2155)," ","")," ","")),"氏名がマスタと相違／","")&amp;IF(AND($Q2155&lt;&gt;"",INDEX(職員マスタ!$E$6:$E$405,$AP2155)&lt;&gt;"",$Q2155&lt;&gt;INDEX(職員マスタ!$E$6:$E$405,$AP2155)),"子の生年月日がマスタと相違／","")&amp;IF(AND($L2155&lt;&gt;"",INDEX(職員マスタ!$G$6:$G$405,$AP2155)&lt;&gt;"",$L2155&lt;&gt;INDEX(職員マスタ!$G$6:$G$405,$AP2155)),"時短開始日がマスタと相違／","")&amp;IF(AND($M2155&lt;&gt;"",INDEX(職員マスタ!$H$6:$H$405,$AP2155)&lt;&gt;"",$M2155&lt;&gt;INDEX(職員マスタ!$H$6:$H$405,$AP2155)),"時短終了日がマスタと相違／","")))&amp;IF(AND($B2155&lt;&gt;"",$E2155=""),"報酬額が未入力／","")&amp;IF(N($U2155)&gt;0,"申請書に入力エラーが残っています／","")&amp;IF(AND($B2155&lt;&gt;"",$AQ2155&lt;&gt;""),IF(COUNTIFS($B$6:$B$3005,$B2155,$C$6:$C$3005,$C2155,$D$6:$D$3005,$D2155)&gt;1,"同じ月の請求が重複しています／",""),"")&amp;IF(AND(N($E2155)&gt;0,$AB2155&lt;&gt;"",$AB2155&lt;&gt;"×",$AE2155=0,$AD2155=""),"計算額が下限以下のため不支給／",""))</f>
        <v/>
      </c>
      <c r="AN2155" s="12" t="n"/>
      <c r="AO2155" s="14">
        <f>IF($AF2155="保留中",COUNTIF($AF$6:$AF2155,"保留中"),"")</f>
        <v/>
      </c>
      <c r="AP2155" s="14">
        <f>IF($AQ2155="","",IF(SUMPRODUCT(MAX((職員マスタ!$A$6:$A$405=$B2155)*(((職員マスタ!$G$6:$G$405="")+(職員マスタ!$G$6:$G$405&lt;=EOMONTH($AQ2155,0)))&gt;0)*(((職員マスタ!$H$6:$H$405="")+(職員マスタ!$H$6:$H$405&gt;=$AQ2155))&gt;0)*(ROW(職員マスタ!$A$6:$A$405)-5)))&gt;0,SUMPRODUCT(MAX((職員マスタ!$A$6:$A$405=$B2155)*(((職員マスタ!$G$6:$G$405="")+(職員マスタ!$G$6:$G$405&lt;=EOMONTH($AQ2155,0)))&gt;0)*(((職員マスタ!$H$6:$H$405="")+(職員マスタ!$H$6:$H$405&gt;=$AQ2155))&gt;0)*(ROW(職員マスタ!$A$6:$A$405)-5))),IFERROR(MATCH($B2155,職員マスタ!$A$6:$A$405,0),"")))</f>
        <v/>
      </c>
      <c r="AQ2155" s="16">
        <f>IF(OR($B2155="",$C2155="",$D2155=""),"",DATE($C2155+2018,$D2155,1))</f>
        <v/>
      </c>
    </row>
    <row r="2156">
      <c r="A2156" s="11" t="n"/>
      <c r="B2156" s="12" t="n"/>
      <c r="C2156" s="12" t="n"/>
      <c r="D2156" s="12" t="n"/>
      <c r="E2156" s="13" t="n"/>
      <c r="F2156" s="12" t="n"/>
      <c r="G2156" s="13" t="n"/>
      <c r="H2156" s="12" t="n"/>
      <c r="I2156" s="12" t="n"/>
      <c r="J2156" s="12" t="n"/>
      <c r="K2156" s="12" t="n"/>
      <c r="L2156" s="11" t="n"/>
      <c r="M2156" s="11" t="n"/>
      <c r="N2156" s="11" t="n"/>
      <c r="O2156" s="11" t="n"/>
      <c r="P2156" s="12" t="n"/>
      <c r="Q2156" s="11" t="n"/>
      <c r="R2156" s="12" t="n"/>
      <c r="S2156" s="11" t="n"/>
      <c r="T2156" s="12" t="n"/>
      <c r="U2156" s="12" t="n"/>
      <c r="V2156" s="12" t="n"/>
      <c r="W2156" s="13" t="n"/>
      <c r="X2156" s="14">
        <f>IF($AP2156="",IF($B2156="","",$H2156),IF(INDEX(職員マスタ!$B$6:$B$405,$AP2156)="",$H2156,INDEX(職員マスタ!$B$6:$B$405,$AP2156)))</f>
        <v/>
      </c>
      <c r="Y2156" s="14">
        <f>IF($AP2156="",IF($B2156="","",$R2156),IF(INDEX(職員マスタ!$C$6:$C$405,$AP2156)="",$R2156,INDEX(職員マスタ!$C$6:$C$405,$AP2156)))</f>
        <v/>
      </c>
      <c r="Z2156" s="14">
        <f>IF($AQ2156="","","R"&amp;$C2156&amp;"."&amp;$D2156)</f>
        <v/>
      </c>
      <c r="AA2156" s="15">
        <f>IF(IF($AP2156="",FALSE,INDEX(職員マスタ!$K$6:$K$405,$AP2156)&lt;&gt;""),INDEX(職員マスタ!$K$6:$K$405,$AP2156),IF(N($W2156)&gt;0,$W2156,""))</f>
        <v/>
      </c>
      <c r="AB2156" s="14">
        <f>IF(OR($E2156="",$AA2156=""),"",IF($E2156&gt;=$AA2156,"×",IF($E2156&gt;=$AA2156*設定!$C$5,"△","○")))</f>
        <v/>
      </c>
      <c r="AC2156" s="15">
        <f>IF($AB2156="","",IF($AB2156="×",0,IF($AB2156="○",ROUNDDOWN($E2156*設定!$C$4,0),ROUNDDOWN($E2156*ROUND((9*$AA2156-9*$E2156)/(10*$E2156),4),0))))</f>
        <v/>
      </c>
      <c r="AD2156" s="13" t="n"/>
      <c r="AE2156" s="15">
        <f>IF($B2156="","",IF($AD2156&lt;&gt;"",$AD2156,IF($AC2156="","",IF($AC2156&lt;=設定!$C$3,0,$AC2156))))</f>
        <v/>
      </c>
      <c r="AF2156" s="14">
        <f>IF($B2156="","",IF(AND($AG2156&lt;&gt;"",$AI2156="",$AL2156=""),"保留中",IF($AL2156&lt;&gt;"",IF(N($AE2156)&gt;0,"支給済","不支給"),IF($AE2156="","要確認",IF($AE2156=0,"不支給","未処理")))))</f>
        <v/>
      </c>
      <c r="AG2156" s="12" t="n"/>
      <c r="AH2156" s="11" t="n"/>
      <c r="AI2156" s="11" t="n"/>
      <c r="AJ2156" s="11" t="n"/>
      <c r="AK2156" s="14">
        <f>IF(AND($AF2156="保留中",$AH2156&lt;&gt;""),TODAY()-$AH2156,"")</f>
        <v/>
      </c>
      <c r="AL2156" s="12" t="n"/>
      <c r="AM2156" s="14">
        <f>IF($B2156="","",IF($AQ2156="","対象年月が未入力／","")&amp;IF($B2156="","",IF($AP2156="","職員マスタに未登録の職員番号／",IF($AA2156="","標準報酬月額が未登録／","")&amp;IF(AND($AQ2156&lt;&gt;"",OR(AND(INDEX(職員マスタ!$G$6:$G$405,$AP2156)&lt;&gt;"",INDEX(職員マスタ!$G$6:$G$405,$AP2156)&gt;EOMONTH($AQ2156,0)),AND(INDEX(職員マスタ!$H$6:$H$405,$AP2156)&lt;&gt;"",INDEX(職員マスタ!$H$6:$H$405,$AP2156)&lt;$AQ2156))),"対象月が時短期間外／","")&amp;IF(AND(INDEX(職員マスタ!$K$6:$K$405,$AP2156)&lt;&gt;"",N($W2156)&gt;0,INDEX(職員マスタ!$K$6:$K$405,$AP2156)&lt;&gt;$W2156),"標準報酬月額が申請書と相違（台帳"&amp;TEXT(INDEX(職員マスタ!$K$6:$K$405,$AP2156),"#,##0")&amp;"円／申請書"&amp;TEXT($W2156,"#,##0")&amp;"円）／","")&amp;IF(AND(INDEX(職員マスタ!$F$6:$F$405,$AP2156)&lt;&gt;"",$AQ2156&lt;&gt;"",INDEX(職員マスタ!$F$6:$F$405,$AP2156)&lt;$AQ2156),"対象月に子が2歳到達済／","")&amp;IF(AND($H2156&lt;&gt;"",INDEX(職員マスタ!$B$6:$B$405,$AP2156)&lt;&gt;"",SUBSTITUTE(SUBSTITUTE($H2156," ","")," ","")&lt;&gt;SUBSTITUTE(SUBSTITUTE(INDEX(職員マスタ!$B$6:$B$405,$AP2156)," ","")," ","")),"氏名がマスタと相違／","")&amp;IF(AND($Q2156&lt;&gt;"",INDEX(職員マスタ!$E$6:$E$405,$AP2156)&lt;&gt;"",$Q2156&lt;&gt;INDEX(職員マスタ!$E$6:$E$405,$AP2156)),"子の生年月日がマスタと相違／","")&amp;IF(AND($L2156&lt;&gt;"",INDEX(職員マスタ!$G$6:$G$405,$AP2156)&lt;&gt;"",$L2156&lt;&gt;INDEX(職員マスタ!$G$6:$G$405,$AP2156)),"時短開始日がマスタと相違／","")&amp;IF(AND($M2156&lt;&gt;"",INDEX(職員マスタ!$H$6:$H$405,$AP2156)&lt;&gt;"",$M2156&lt;&gt;INDEX(職員マスタ!$H$6:$H$405,$AP2156)),"時短終了日がマスタと相違／","")))&amp;IF(AND($B2156&lt;&gt;"",$E2156=""),"報酬額が未入力／","")&amp;IF(N($U2156)&gt;0,"申請書に入力エラーが残っています／","")&amp;IF(AND($B2156&lt;&gt;"",$AQ2156&lt;&gt;""),IF(COUNTIFS($B$6:$B$3005,$B2156,$C$6:$C$3005,$C2156,$D$6:$D$3005,$D2156)&gt;1,"同じ月の請求が重複しています／",""),"")&amp;IF(AND(N($E2156)&gt;0,$AB2156&lt;&gt;"",$AB2156&lt;&gt;"×",$AE2156=0,$AD2156=""),"計算額が下限以下のため不支給／",""))</f>
        <v/>
      </c>
      <c r="AN2156" s="12" t="n"/>
      <c r="AO2156" s="14">
        <f>IF($AF2156="保留中",COUNTIF($AF$6:$AF2156,"保留中"),"")</f>
        <v/>
      </c>
      <c r="AP2156" s="14">
        <f>IF($AQ2156="","",IF(SUMPRODUCT(MAX((職員マスタ!$A$6:$A$405=$B2156)*(((職員マスタ!$G$6:$G$405="")+(職員マスタ!$G$6:$G$405&lt;=EOMONTH($AQ2156,0)))&gt;0)*(((職員マスタ!$H$6:$H$405="")+(職員マスタ!$H$6:$H$405&gt;=$AQ2156))&gt;0)*(ROW(職員マスタ!$A$6:$A$405)-5)))&gt;0,SUMPRODUCT(MAX((職員マスタ!$A$6:$A$405=$B2156)*(((職員マスタ!$G$6:$G$405="")+(職員マスタ!$G$6:$G$405&lt;=EOMONTH($AQ2156,0)))&gt;0)*(((職員マスタ!$H$6:$H$405="")+(職員マスタ!$H$6:$H$405&gt;=$AQ2156))&gt;0)*(ROW(職員マスタ!$A$6:$A$405)-5))),IFERROR(MATCH($B2156,職員マスタ!$A$6:$A$405,0),"")))</f>
        <v/>
      </c>
      <c r="AQ2156" s="16">
        <f>IF(OR($B2156="",$C2156="",$D2156=""),"",DATE($C2156+2018,$D2156,1))</f>
        <v/>
      </c>
    </row>
    <row r="2157">
      <c r="A2157" s="11" t="n"/>
      <c r="B2157" s="12" t="n"/>
      <c r="C2157" s="12" t="n"/>
      <c r="D2157" s="12" t="n"/>
      <c r="E2157" s="13" t="n"/>
      <c r="F2157" s="12" t="n"/>
      <c r="G2157" s="13" t="n"/>
      <c r="H2157" s="12" t="n"/>
      <c r="I2157" s="12" t="n"/>
      <c r="J2157" s="12" t="n"/>
      <c r="K2157" s="12" t="n"/>
      <c r="L2157" s="11" t="n"/>
      <c r="M2157" s="11" t="n"/>
      <c r="N2157" s="11" t="n"/>
      <c r="O2157" s="11" t="n"/>
      <c r="P2157" s="12" t="n"/>
      <c r="Q2157" s="11" t="n"/>
      <c r="R2157" s="12" t="n"/>
      <c r="S2157" s="11" t="n"/>
      <c r="T2157" s="12" t="n"/>
      <c r="U2157" s="12" t="n"/>
      <c r="V2157" s="12" t="n"/>
      <c r="W2157" s="13" t="n"/>
      <c r="X2157" s="14">
        <f>IF($AP2157="",IF($B2157="","",$H2157),IF(INDEX(職員マスタ!$B$6:$B$405,$AP2157)="",$H2157,INDEX(職員マスタ!$B$6:$B$405,$AP2157)))</f>
        <v/>
      </c>
      <c r="Y2157" s="14">
        <f>IF($AP2157="",IF($B2157="","",$R2157),IF(INDEX(職員マスタ!$C$6:$C$405,$AP2157)="",$R2157,INDEX(職員マスタ!$C$6:$C$405,$AP2157)))</f>
        <v/>
      </c>
      <c r="Z2157" s="14">
        <f>IF($AQ2157="","","R"&amp;$C2157&amp;"."&amp;$D2157)</f>
        <v/>
      </c>
      <c r="AA2157" s="15">
        <f>IF(IF($AP2157="",FALSE,INDEX(職員マスタ!$K$6:$K$405,$AP2157)&lt;&gt;""),INDEX(職員マスタ!$K$6:$K$405,$AP2157),IF(N($W2157)&gt;0,$W2157,""))</f>
        <v/>
      </c>
      <c r="AB2157" s="14">
        <f>IF(OR($E2157="",$AA2157=""),"",IF($E2157&gt;=$AA2157,"×",IF($E2157&gt;=$AA2157*設定!$C$5,"△","○")))</f>
        <v/>
      </c>
      <c r="AC2157" s="15">
        <f>IF($AB2157="","",IF($AB2157="×",0,IF($AB2157="○",ROUNDDOWN($E2157*設定!$C$4,0),ROUNDDOWN($E2157*ROUND((9*$AA2157-9*$E2157)/(10*$E2157),4),0))))</f>
        <v/>
      </c>
      <c r="AD2157" s="13" t="n"/>
      <c r="AE2157" s="15">
        <f>IF($B2157="","",IF($AD2157&lt;&gt;"",$AD2157,IF($AC2157="","",IF($AC2157&lt;=設定!$C$3,0,$AC2157))))</f>
        <v/>
      </c>
      <c r="AF2157" s="14">
        <f>IF($B2157="","",IF(AND($AG2157&lt;&gt;"",$AI2157="",$AL2157=""),"保留中",IF($AL2157&lt;&gt;"",IF(N($AE2157)&gt;0,"支給済","不支給"),IF($AE2157="","要確認",IF($AE2157=0,"不支給","未処理")))))</f>
        <v/>
      </c>
      <c r="AG2157" s="12" t="n"/>
      <c r="AH2157" s="11" t="n"/>
      <c r="AI2157" s="11" t="n"/>
      <c r="AJ2157" s="11" t="n"/>
      <c r="AK2157" s="14">
        <f>IF(AND($AF2157="保留中",$AH2157&lt;&gt;""),TODAY()-$AH2157,"")</f>
        <v/>
      </c>
      <c r="AL2157" s="12" t="n"/>
      <c r="AM2157" s="14">
        <f>IF($B2157="","",IF($AQ2157="","対象年月が未入力／","")&amp;IF($B2157="","",IF($AP2157="","職員マスタに未登録の職員番号／",IF($AA2157="","標準報酬月額が未登録／","")&amp;IF(AND($AQ2157&lt;&gt;"",OR(AND(INDEX(職員マスタ!$G$6:$G$405,$AP2157)&lt;&gt;"",INDEX(職員マスタ!$G$6:$G$405,$AP2157)&gt;EOMONTH($AQ2157,0)),AND(INDEX(職員マスタ!$H$6:$H$405,$AP2157)&lt;&gt;"",INDEX(職員マスタ!$H$6:$H$405,$AP2157)&lt;$AQ2157))),"対象月が時短期間外／","")&amp;IF(AND(INDEX(職員マスタ!$K$6:$K$405,$AP2157)&lt;&gt;"",N($W2157)&gt;0,INDEX(職員マスタ!$K$6:$K$405,$AP2157)&lt;&gt;$W2157),"標準報酬月額が申請書と相違（台帳"&amp;TEXT(INDEX(職員マスタ!$K$6:$K$405,$AP2157),"#,##0")&amp;"円／申請書"&amp;TEXT($W2157,"#,##0")&amp;"円）／","")&amp;IF(AND(INDEX(職員マスタ!$F$6:$F$405,$AP2157)&lt;&gt;"",$AQ2157&lt;&gt;"",INDEX(職員マスタ!$F$6:$F$405,$AP2157)&lt;$AQ2157),"対象月に子が2歳到達済／","")&amp;IF(AND($H2157&lt;&gt;"",INDEX(職員マスタ!$B$6:$B$405,$AP2157)&lt;&gt;"",SUBSTITUTE(SUBSTITUTE($H2157," ","")," ","")&lt;&gt;SUBSTITUTE(SUBSTITUTE(INDEX(職員マスタ!$B$6:$B$405,$AP2157)," ","")," ","")),"氏名がマスタと相違／","")&amp;IF(AND($Q2157&lt;&gt;"",INDEX(職員マスタ!$E$6:$E$405,$AP2157)&lt;&gt;"",$Q2157&lt;&gt;INDEX(職員マスタ!$E$6:$E$405,$AP2157)),"子の生年月日がマスタと相違／","")&amp;IF(AND($L2157&lt;&gt;"",INDEX(職員マスタ!$G$6:$G$405,$AP2157)&lt;&gt;"",$L2157&lt;&gt;INDEX(職員マスタ!$G$6:$G$405,$AP2157)),"時短開始日がマスタと相違／","")&amp;IF(AND($M2157&lt;&gt;"",INDEX(職員マスタ!$H$6:$H$405,$AP2157)&lt;&gt;"",$M2157&lt;&gt;INDEX(職員マスタ!$H$6:$H$405,$AP2157)),"時短終了日がマスタと相違／","")))&amp;IF(AND($B2157&lt;&gt;"",$E2157=""),"報酬額が未入力／","")&amp;IF(N($U2157)&gt;0,"申請書に入力エラーが残っています／","")&amp;IF(AND($B2157&lt;&gt;"",$AQ2157&lt;&gt;""),IF(COUNTIFS($B$6:$B$3005,$B2157,$C$6:$C$3005,$C2157,$D$6:$D$3005,$D2157)&gt;1,"同じ月の請求が重複しています／",""),"")&amp;IF(AND(N($E2157)&gt;0,$AB2157&lt;&gt;"",$AB2157&lt;&gt;"×",$AE2157=0,$AD2157=""),"計算額が下限以下のため不支給／",""))</f>
        <v/>
      </c>
      <c r="AN2157" s="12" t="n"/>
      <c r="AO2157" s="14">
        <f>IF($AF2157="保留中",COUNTIF($AF$6:$AF2157,"保留中"),"")</f>
        <v/>
      </c>
      <c r="AP2157" s="14">
        <f>IF($AQ2157="","",IF(SUMPRODUCT(MAX((職員マスタ!$A$6:$A$405=$B2157)*(((職員マスタ!$G$6:$G$405="")+(職員マスタ!$G$6:$G$405&lt;=EOMONTH($AQ2157,0)))&gt;0)*(((職員マスタ!$H$6:$H$405="")+(職員マスタ!$H$6:$H$405&gt;=$AQ2157))&gt;0)*(ROW(職員マスタ!$A$6:$A$405)-5)))&gt;0,SUMPRODUCT(MAX((職員マスタ!$A$6:$A$405=$B2157)*(((職員マスタ!$G$6:$G$405="")+(職員マスタ!$G$6:$G$405&lt;=EOMONTH($AQ2157,0)))&gt;0)*(((職員マスタ!$H$6:$H$405="")+(職員マスタ!$H$6:$H$405&gt;=$AQ2157))&gt;0)*(ROW(職員マスタ!$A$6:$A$405)-5))),IFERROR(MATCH($B2157,職員マスタ!$A$6:$A$405,0),"")))</f>
        <v/>
      </c>
      <c r="AQ2157" s="16">
        <f>IF(OR($B2157="",$C2157="",$D2157=""),"",DATE($C2157+2018,$D2157,1))</f>
        <v/>
      </c>
    </row>
    <row r="2158">
      <c r="A2158" s="11" t="n"/>
      <c r="B2158" s="12" t="n"/>
      <c r="C2158" s="12" t="n"/>
      <c r="D2158" s="12" t="n"/>
      <c r="E2158" s="13" t="n"/>
      <c r="F2158" s="12" t="n"/>
      <c r="G2158" s="13" t="n"/>
      <c r="H2158" s="12" t="n"/>
      <c r="I2158" s="12" t="n"/>
      <c r="J2158" s="12" t="n"/>
      <c r="K2158" s="12" t="n"/>
      <c r="L2158" s="11" t="n"/>
      <c r="M2158" s="11" t="n"/>
      <c r="N2158" s="11" t="n"/>
      <c r="O2158" s="11" t="n"/>
      <c r="P2158" s="12" t="n"/>
      <c r="Q2158" s="11" t="n"/>
      <c r="R2158" s="12" t="n"/>
      <c r="S2158" s="11" t="n"/>
      <c r="T2158" s="12" t="n"/>
      <c r="U2158" s="12" t="n"/>
      <c r="V2158" s="12" t="n"/>
      <c r="W2158" s="13" t="n"/>
      <c r="X2158" s="14">
        <f>IF($AP2158="",IF($B2158="","",$H2158),IF(INDEX(職員マスタ!$B$6:$B$405,$AP2158)="",$H2158,INDEX(職員マスタ!$B$6:$B$405,$AP2158)))</f>
        <v/>
      </c>
      <c r="Y2158" s="14">
        <f>IF($AP2158="",IF($B2158="","",$R2158),IF(INDEX(職員マスタ!$C$6:$C$405,$AP2158)="",$R2158,INDEX(職員マスタ!$C$6:$C$405,$AP2158)))</f>
        <v/>
      </c>
      <c r="Z2158" s="14">
        <f>IF($AQ2158="","","R"&amp;$C2158&amp;"."&amp;$D2158)</f>
        <v/>
      </c>
      <c r="AA2158" s="15">
        <f>IF(IF($AP2158="",FALSE,INDEX(職員マスタ!$K$6:$K$405,$AP2158)&lt;&gt;""),INDEX(職員マスタ!$K$6:$K$405,$AP2158),IF(N($W2158)&gt;0,$W2158,""))</f>
        <v/>
      </c>
      <c r="AB2158" s="14">
        <f>IF(OR($E2158="",$AA2158=""),"",IF($E2158&gt;=$AA2158,"×",IF($E2158&gt;=$AA2158*設定!$C$5,"△","○")))</f>
        <v/>
      </c>
      <c r="AC2158" s="15">
        <f>IF($AB2158="","",IF($AB2158="×",0,IF($AB2158="○",ROUNDDOWN($E2158*設定!$C$4,0),ROUNDDOWN($E2158*ROUND((9*$AA2158-9*$E2158)/(10*$E2158),4),0))))</f>
        <v/>
      </c>
      <c r="AD2158" s="13" t="n"/>
      <c r="AE2158" s="15">
        <f>IF($B2158="","",IF($AD2158&lt;&gt;"",$AD2158,IF($AC2158="","",IF($AC2158&lt;=設定!$C$3,0,$AC2158))))</f>
        <v/>
      </c>
      <c r="AF2158" s="14">
        <f>IF($B2158="","",IF(AND($AG2158&lt;&gt;"",$AI2158="",$AL2158=""),"保留中",IF($AL2158&lt;&gt;"",IF(N($AE2158)&gt;0,"支給済","不支給"),IF($AE2158="","要確認",IF($AE2158=0,"不支給","未処理")))))</f>
        <v/>
      </c>
      <c r="AG2158" s="12" t="n"/>
      <c r="AH2158" s="11" t="n"/>
      <c r="AI2158" s="11" t="n"/>
      <c r="AJ2158" s="11" t="n"/>
      <c r="AK2158" s="14">
        <f>IF(AND($AF2158="保留中",$AH2158&lt;&gt;""),TODAY()-$AH2158,"")</f>
        <v/>
      </c>
      <c r="AL2158" s="12" t="n"/>
      <c r="AM2158" s="14">
        <f>IF($B2158="","",IF($AQ2158="","対象年月が未入力／","")&amp;IF($B2158="","",IF($AP2158="","職員マスタに未登録の職員番号／",IF($AA2158="","標準報酬月額が未登録／","")&amp;IF(AND($AQ2158&lt;&gt;"",OR(AND(INDEX(職員マスタ!$G$6:$G$405,$AP2158)&lt;&gt;"",INDEX(職員マスタ!$G$6:$G$405,$AP2158)&gt;EOMONTH($AQ2158,0)),AND(INDEX(職員マスタ!$H$6:$H$405,$AP2158)&lt;&gt;"",INDEX(職員マスタ!$H$6:$H$405,$AP2158)&lt;$AQ2158))),"対象月が時短期間外／","")&amp;IF(AND(INDEX(職員マスタ!$K$6:$K$405,$AP2158)&lt;&gt;"",N($W2158)&gt;0,INDEX(職員マスタ!$K$6:$K$405,$AP2158)&lt;&gt;$W2158),"標準報酬月額が申請書と相違（台帳"&amp;TEXT(INDEX(職員マスタ!$K$6:$K$405,$AP2158),"#,##0")&amp;"円／申請書"&amp;TEXT($W2158,"#,##0")&amp;"円）／","")&amp;IF(AND(INDEX(職員マスタ!$F$6:$F$405,$AP2158)&lt;&gt;"",$AQ2158&lt;&gt;"",INDEX(職員マスタ!$F$6:$F$405,$AP2158)&lt;$AQ2158),"対象月に子が2歳到達済／","")&amp;IF(AND($H2158&lt;&gt;"",INDEX(職員マスタ!$B$6:$B$405,$AP2158)&lt;&gt;"",SUBSTITUTE(SUBSTITUTE($H2158," ","")," ","")&lt;&gt;SUBSTITUTE(SUBSTITUTE(INDEX(職員マスタ!$B$6:$B$405,$AP2158)," ","")," ","")),"氏名がマスタと相違／","")&amp;IF(AND($Q2158&lt;&gt;"",INDEX(職員マスタ!$E$6:$E$405,$AP2158)&lt;&gt;"",$Q2158&lt;&gt;INDEX(職員マスタ!$E$6:$E$405,$AP2158)),"子の生年月日がマスタと相違／","")&amp;IF(AND($L2158&lt;&gt;"",INDEX(職員マスタ!$G$6:$G$405,$AP2158)&lt;&gt;"",$L2158&lt;&gt;INDEX(職員マスタ!$G$6:$G$405,$AP2158)),"時短開始日がマスタと相違／","")&amp;IF(AND($M2158&lt;&gt;"",INDEX(職員マスタ!$H$6:$H$405,$AP2158)&lt;&gt;"",$M2158&lt;&gt;INDEX(職員マスタ!$H$6:$H$405,$AP2158)),"時短終了日がマスタと相違／","")))&amp;IF(AND($B2158&lt;&gt;"",$E2158=""),"報酬額が未入力／","")&amp;IF(N($U2158)&gt;0,"申請書に入力エラーが残っています／","")&amp;IF(AND($B2158&lt;&gt;"",$AQ2158&lt;&gt;""),IF(COUNTIFS($B$6:$B$3005,$B2158,$C$6:$C$3005,$C2158,$D$6:$D$3005,$D2158)&gt;1,"同じ月の請求が重複しています／",""),"")&amp;IF(AND(N($E2158)&gt;0,$AB2158&lt;&gt;"",$AB2158&lt;&gt;"×",$AE2158=0,$AD2158=""),"計算額が下限以下のため不支給／",""))</f>
        <v/>
      </c>
      <c r="AN2158" s="12" t="n"/>
      <c r="AO2158" s="14">
        <f>IF($AF2158="保留中",COUNTIF($AF$6:$AF2158,"保留中"),"")</f>
        <v/>
      </c>
      <c r="AP2158" s="14">
        <f>IF($AQ2158="","",IF(SUMPRODUCT(MAX((職員マスタ!$A$6:$A$405=$B2158)*(((職員マスタ!$G$6:$G$405="")+(職員マスタ!$G$6:$G$405&lt;=EOMONTH($AQ2158,0)))&gt;0)*(((職員マスタ!$H$6:$H$405="")+(職員マスタ!$H$6:$H$405&gt;=$AQ2158))&gt;0)*(ROW(職員マスタ!$A$6:$A$405)-5)))&gt;0,SUMPRODUCT(MAX((職員マスタ!$A$6:$A$405=$B2158)*(((職員マスタ!$G$6:$G$405="")+(職員マスタ!$G$6:$G$405&lt;=EOMONTH($AQ2158,0)))&gt;0)*(((職員マスタ!$H$6:$H$405="")+(職員マスタ!$H$6:$H$405&gt;=$AQ2158))&gt;0)*(ROW(職員マスタ!$A$6:$A$405)-5))),IFERROR(MATCH($B2158,職員マスタ!$A$6:$A$405,0),"")))</f>
        <v/>
      </c>
      <c r="AQ2158" s="16">
        <f>IF(OR($B2158="",$C2158="",$D2158=""),"",DATE($C2158+2018,$D2158,1))</f>
        <v/>
      </c>
    </row>
    <row r="2159">
      <c r="A2159" s="11" t="n"/>
      <c r="B2159" s="12" t="n"/>
      <c r="C2159" s="12" t="n"/>
      <c r="D2159" s="12" t="n"/>
      <c r="E2159" s="13" t="n"/>
      <c r="F2159" s="12" t="n"/>
      <c r="G2159" s="13" t="n"/>
      <c r="H2159" s="12" t="n"/>
      <c r="I2159" s="12" t="n"/>
      <c r="J2159" s="12" t="n"/>
      <c r="K2159" s="12" t="n"/>
      <c r="L2159" s="11" t="n"/>
      <c r="M2159" s="11" t="n"/>
      <c r="N2159" s="11" t="n"/>
      <c r="O2159" s="11" t="n"/>
      <c r="P2159" s="12" t="n"/>
      <c r="Q2159" s="11" t="n"/>
      <c r="R2159" s="12" t="n"/>
      <c r="S2159" s="11" t="n"/>
      <c r="T2159" s="12" t="n"/>
      <c r="U2159" s="12" t="n"/>
      <c r="V2159" s="12" t="n"/>
      <c r="W2159" s="13" t="n"/>
      <c r="X2159" s="14">
        <f>IF($AP2159="",IF($B2159="","",$H2159),IF(INDEX(職員マスタ!$B$6:$B$405,$AP2159)="",$H2159,INDEX(職員マスタ!$B$6:$B$405,$AP2159)))</f>
        <v/>
      </c>
      <c r="Y2159" s="14">
        <f>IF($AP2159="",IF($B2159="","",$R2159),IF(INDEX(職員マスタ!$C$6:$C$405,$AP2159)="",$R2159,INDEX(職員マスタ!$C$6:$C$405,$AP2159)))</f>
        <v/>
      </c>
      <c r="Z2159" s="14">
        <f>IF($AQ2159="","","R"&amp;$C2159&amp;"."&amp;$D2159)</f>
        <v/>
      </c>
      <c r="AA2159" s="15">
        <f>IF(IF($AP2159="",FALSE,INDEX(職員マスタ!$K$6:$K$405,$AP2159)&lt;&gt;""),INDEX(職員マスタ!$K$6:$K$405,$AP2159),IF(N($W2159)&gt;0,$W2159,""))</f>
        <v/>
      </c>
      <c r="AB2159" s="14">
        <f>IF(OR($E2159="",$AA2159=""),"",IF($E2159&gt;=$AA2159,"×",IF($E2159&gt;=$AA2159*設定!$C$5,"△","○")))</f>
        <v/>
      </c>
      <c r="AC2159" s="15">
        <f>IF($AB2159="","",IF($AB2159="×",0,IF($AB2159="○",ROUNDDOWN($E2159*設定!$C$4,0),ROUNDDOWN($E2159*ROUND((9*$AA2159-9*$E2159)/(10*$E2159),4),0))))</f>
        <v/>
      </c>
      <c r="AD2159" s="13" t="n"/>
      <c r="AE2159" s="15">
        <f>IF($B2159="","",IF($AD2159&lt;&gt;"",$AD2159,IF($AC2159="","",IF($AC2159&lt;=設定!$C$3,0,$AC2159))))</f>
        <v/>
      </c>
      <c r="AF2159" s="14">
        <f>IF($B2159="","",IF(AND($AG2159&lt;&gt;"",$AI2159="",$AL2159=""),"保留中",IF($AL2159&lt;&gt;"",IF(N($AE2159)&gt;0,"支給済","不支給"),IF($AE2159="","要確認",IF($AE2159=0,"不支給","未処理")))))</f>
        <v/>
      </c>
      <c r="AG2159" s="12" t="n"/>
      <c r="AH2159" s="11" t="n"/>
      <c r="AI2159" s="11" t="n"/>
      <c r="AJ2159" s="11" t="n"/>
      <c r="AK2159" s="14">
        <f>IF(AND($AF2159="保留中",$AH2159&lt;&gt;""),TODAY()-$AH2159,"")</f>
        <v/>
      </c>
      <c r="AL2159" s="12" t="n"/>
      <c r="AM2159" s="14">
        <f>IF($B2159="","",IF($AQ2159="","対象年月が未入力／","")&amp;IF($B2159="","",IF($AP2159="","職員マスタに未登録の職員番号／",IF($AA2159="","標準報酬月額が未登録／","")&amp;IF(AND($AQ2159&lt;&gt;"",OR(AND(INDEX(職員マスタ!$G$6:$G$405,$AP2159)&lt;&gt;"",INDEX(職員マスタ!$G$6:$G$405,$AP2159)&gt;EOMONTH($AQ2159,0)),AND(INDEX(職員マスタ!$H$6:$H$405,$AP2159)&lt;&gt;"",INDEX(職員マスタ!$H$6:$H$405,$AP2159)&lt;$AQ2159))),"対象月が時短期間外／","")&amp;IF(AND(INDEX(職員マスタ!$K$6:$K$405,$AP2159)&lt;&gt;"",N($W2159)&gt;0,INDEX(職員マスタ!$K$6:$K$405,$AP2159)&lt;&gt;$W2159),"標準報酬月額が申請書と相違（台帳"&amp;TEXT(INDEX(職員マスタ!$K$6:$K$405,$AP2159),"#,##0")&amp;"円／申請書"&amp;TEXT($W2159,"#,##0")&amp;"円）／","")&amp;IF(AND(INDEX(職員マスタ!$F$6:$F$405,$AP2159)&lt;&gt;"",$AQ2159&lt;&gt;"",INDEX(職員マスタ!$F$6:$F$405,$AP2159)&lt;$AQ2159),"対象月に子が2歳到達済／","")&amp;IF(AND($H2159&lt;&gt;"",INDEX(職員マスタ!$B$6:$B$405,$AP2159)&lt;&gt;"",SUBSTITUTE(SUBSTITUTE($H2159," ","")," ","")&lt;&gt;SUBSTITUTE(SUBSTITUTE(INDEX(職員マスタ!$B$6:$B$405,$AP2159)," ","")," ","")),"氏名がマスタと相違／","")&amp;IF(AND($Q2159&lt;&gt;"",INDEX(職員マスタ!$E$6:$E$405,$AP2159)&lt;&gt;"",$Q2159&lt;&gt;INDEX(職員マスタ!$E$6:$E$405,$AP2159)),"子の生年月日がマスタと相違／","")&amp;IF(AND($L2159&lt;&gt;"",INDEX(職員マスタ!$G$6:$G$405,$AP2159)&lt;&gt;"",$L2159&lt;&gt;INDEX(職員マスタ!$G$6:$G$405,$AP2159)),"時短開始日がマスタと相違／","")&amp;IF(AND($M2159&lt;&gt;"",INDEX(職員マスタ!$H$6:$H$405,$AP2159)&lt;&gt;"",$M2159&lt;&gt;INDEX(職員マスタ!$H$6:$H$405,$AP2159)),"時短終了日がマスタと相違／","")))&amp;IF(AND($B2159&lt;&gt;"",$E2159=""),"報酬額が未入力／","")&amp;IF(N($U2159)&gt;0,"申請書に入力エラーが残っています／","")&amp;IF(AND($B2159&lt;&gt;"",$AQ2159&lt;&gt;""),IF(COUNTIFS($B$6:$B$3005,$B2159,$C$6:$C$3005,$C2159,$D$6:$D$3005,$D2159)&gt;1,"同じ月の請求が重複しています／",""),"")&amp;IF(AND(N($E2159)&gt;0,$AB2159&lt;&gt;"",$AB2159&lt;&gt;"×",$AE2159=0,$AD2159=""),"計算額が下限以下のため不支給／",""))</f>
        <v/>
      </c>
      <c r="AN2159" s="12" t="n"/>
      <c r="AO2159" s="14">
        <f>IF($AF2159="保留中",COUNTIF($AF$6:$AF2159,"保留中"),"")</f>
        <v/>
      </c>
      <c r="AP2159" s="14">
        <f>IF($AQ2159="","",IF(SUMPRODUCT(MAX((職員マスタ!$A$6:$A$405=$B2159)*(((職員マスタ!$G$6:$G$405="")+(職員マスタ!$G$6:$G$405&lt;=EOMONTH($AQ2159,0)))&gt;0)*(((職員マスタ!$H$6:$H$405="")+(職員マスタ!$H$6:$H$405&gt;=$AQ2159))&gt;0)*(ROW(職員マスタ!$A$6:$A$405)-5)))&gt;0,SUMPRODUCT(MAX((職員マスタ!$A$6:$A$405=$B2159)*(((職員マスタ!$G$6:$G$405="")+(職員マスタ!$G$6:$G$405&lt;=EOMONTH($AQ2159,0)))&gt;0)*(((職員マスタ!$H$6:$H$405="")+(職員マスタ!$H$6:$H$405&gt;=$AQ2159))&gt;0)*(ROW(職員マスタ!$A$6:$A$405)-5))),IFERROR(MATCH($B2159,職員マスタ!$A$6:$A$405,0),"")))</f>
        <v/>
      </c>
      <c r="AQ2159" s="16">
        <f>IF(OR($B2159="",$C2159="",$D2159=""),"",DATE($C2159+2018,$D2159,1))</f>
        <v/>
      </c>
    </row>
    <row r="2160">
      <c r="A2160" s="11" t="n"/>
      <c r="B2160" s="12" t="n"/>
      <c r="C2160" s="12" t="n"/>
      <c r="D2160" s="12" t="n"/>
      <c r="E2160" s="13" t="n"/>
      <c r="F2160" s="12" t="n"/>
      <c r="G2160" s="13" t="n"/>
      <c r="H2160" s="12" t="n"/>
      <c r="I2160" s="12" t="n"/>
      <c r="J2160" s="12" t="n"/>
      <c r="K2160" s="12" t="n"/>
      <c r="L2160" s="11" t="n"/>
      <c r="M2160" s="11" t="n"/>
      <c r="N2160" s="11" t="n"/>
      <c r="O2160" s="11" t="n"/>
      <c r="P2160" s="12" t="n"/>
      <c r="Q2160" s="11" t="n"/>
      <c r="R2160" s="12" t="n"/>
      <c r="S2160" s="11" t="n"/>
      <c r="T2160" s="12" t="n"/>
      <c r="U2160" s="12" t="n"/>
      <c r="V2160" s="12" t="n"/>
      <c r="W2160" s="13" t="n"/>
      <c r="X2160" s="14">
        <f>IF($AP2160="",IF($B2160="","",$H2160),IF(INDEX(職員マスタ!$B$6:$B$405,$AP2160)="",$H2160,INDEX(職員マスタ!$B$6:$B$405,$AP2160)))</f>
        <v/>
      </c>
      <c r="Y2160" s="14">
        <f>IF($AP2160="",IF($B2160="","",$R2160),IF(INDEX(職員マスタ!$C$6:$C$405,$AP2160)="",$R2160,INDEX(職員マスタ!$C$6:$C$405,$AP2160)))</f>
        <v/>
      </c>
      <c r="Z2160" s="14">
        <f>IF($AQ2160="","","R"&amp;$C2160&amp;"."&amp;$D2160)</f>
        <v/>
      </c>
      <c r="AA2160" s="15">
        <f>IF(IF($AP2160="",FALSE,INDEX(職員マスタ!$K$6:$K$405,$AP2160)&lt;&gt;""),INDEX(職員マスタ!$K$6:$K$405,$AP2160),IF(N($W2160)&gt;0,$W2160,""))</f>
        <v/>
      </c>
      <c r="AB2160" s="14">
        <f>IF(OR($E2160="",$AA2160=""),"",IF($E2160&gt;=$AA2160,"×",IF($E2160&gt;=$AA2160*設定!$C$5,"△","○")))</f>
        <v/>
      </c>
      <c r="AC2160" s="15">
        <f>IF($AB2160="","",IF($AB2160="×",0,IF($AB2160="○",ROUNDDOWN($E2160*設定!$C$4,0),ROUNDDOWN($E2160*ROUND((9*$AA2160-9*$E2160)/(10*$E2160),4),0))))</f>
        <v/>
      </c>
      <c r="AD2160" s="13" t="n"/>
      <c r="AE2160" s="15">
        <f>IF($B2160="","",IF($AD2160&lt;&gt;"",$AD2160,IF($AC2160="","",IF($AC2160&lt;=設定!$C$3,0,$AC2160))))</f>
        <v/>
      </c>
      <c r="AF2160" s="14">
        <f>IF($B2160="","",IF(AND($AG2160&lt;&gt;"",$AI2160="",$AL2160=""),"保留中",IF($AL2160&lt;&gt;"",IF(N($AE2160)&gt;0,"支給済","不支給"),IF($AE2160="","要確認",IF($AE2160=0,"不支給","未処理")))))</f>
        <v/>
      </c>
      <c r="AG2160" s="12" t="n"/>
      <c r="AH2160" s="11" t="n"/>
      <c r="AI2160" s="11" t="n"/>
      <c r="AJ2160" s="11" t="n"/>
      <c r="AK2160" s="14">
        <f>IF(AND($AF2160="保留中",$AH2160&lt;&gt;""),TODAY()-$AH2160,"")</f>
        <v/>
      </c>
      <c r="AL2160" s="12" t="n"/>
      <c r="AM2160" s="14">
        <f>IF($B2160="","",IF($AQ2160="","対象年月が未入力／","")&amp;IF($B2160="","",IF($AP2160="","職員マスタに未登録の職員番号／",IF($AA2160="","標準報酬月額が未登録／","")&amp;IF(AND($AQ2160&lt;&gt;"",OR(AND(INDEX(職員マスタ!$G$6:$G$405,$AP2160)&lt;&gt;"",INDEX(職員マスタ!$G$6:$G$405,$AP2160)&gt;EOMONTH($AQ2160,0)),AND(INDEX(職員マスタ!$H$6:$H$405,$AP2160)&lt;&gt;"",INDEX(職員マスタ!$H$6:$H$405,$AP2160)&lt;$AQ2160))),"対象月が時短期間外／","")&amp;IF(AND(INDEX(職員マスタ!$K$6:$K$405,$AP2160)&lt;&gt;"",N($W2160)&gt;0,INDEX(職員マスタ!$K$6:$K$405,$AP2160)&lt;&gt;$W2160),"標準報酬月額が申請書と相違（台帳"&amp;TEXT(INDEX(職員マスタ!$K$6:$K$405,$AP2160),"#,##0")&amp;"円／申請書"&amp;TEXT($W2160,"#,##0")&amp;"円）／","")&amp;IF(AND(INDEX(職員マスタ!$F$6:$F$405,$AP2160)&lt;&gt;"",$AQ2160&lt;&gt;"",INDEX(職員マスタ!$F$6:$F$405,$AP2160)&lt;$AQ2160),"対象月に子が2歳到達済／","")&amp;IF(AND($H2160&lt;&gt;"",INDEX(職員マスタ!$B$6:$B$405,$AP2160)&lt;&gt;"",SUBSTITUTE(SUBSTITUTE($H2160," ","")," ","")&lt;&gt;SUBSTITUTE(SUBSTITUTE(INDEX(職員マスタ!$B$6:$B$405,$AP2160)," ","")," ","")),"氏名がマスタと相違／","")&amp;IF(AND($Q2160&lt;&gt;"",INDEX(職員マスタ!$E$6:$E$405,$AP2160)&lt;&gt;"",$Q2160&lt;&gt;INDEX(職員マスタ!$E$6:$E$405,$AP2160)),"子の生年月日がマスタと相違／","")&amp;IF(AND($L2160&lt;&gt;"",INDEX(職員マスタ!$G$6:$G$405,$AP2160)&lt;&gt;"",$L2160&lt;&gt;INDEX(職員マスタ!$G$6:$G$405,$AP2160)),"時短開始日がマスタと相違／","")&amp;IF(AND($M2160&lt;&gt;"",INDEX(職員マスタ!$H$6:$H$405,$AP2160)&lt;&gt;"",$M2160&lt;&gt;INDEX(職員マスタ!$H$6:$H$405,$AP2160)),"時短終了日がマスタと相違／","")))&amp;IF(AND($B2160&lt;&gt;"",$E2160=""),"報酬額が未入力／","")&amp;IF(N($U2160)&gt;0,"申請書に入力エラーが残っています／","")&amp;IF(AND($B2160&lt;&gt;"",$AQ2160&lt;&gt;""),IF(COUNTIFS($B$6:$B$3005,$B2160,$C$6:$C$3005,$C2160,$D$6:$D$3005,$D2160)&gt;1,"同じ月の請求が重複しています／",""),"")&amp;IF(AND(N($E2160)&gt;0,$AB2160&lt;&gt;"",$AB2160&lt;&gt;"×",$AE2160=0,$AD2160=""),"計算額が下限以下のため不支給／",""))</f>
        <v/>
      </c>
      <c r="AN2160" s="12" t="n"/>
      <c r="AO2160" s="14">
        <f>IF($AF2160="保留中",COUNTIF($AF$6:$AF2160,"保留中"),"")</f>
        <v/>
      </c>
      <c r="AP2160" s="14">
        <f>IF($AQ2160="","",IF(SUMPRODUCT(MAX((職員マスタ!$A$6:$A$405=$B2160)*(((職員マスタ!$G$6:$G$405="")+(職員マスタ!$G$6:$G$405&lt;=EOMONTH($AQ2160,0)))&gt;0)*(((職員マスタ!$H$6:$H$405="")+(職員マスタ!$H$6:$H$405&gt;=$AQ2160))&gt;0)*(ROW(職員マスタ!$A$6:$A$405)-5)))&gt;0,SUMPRODUCT(MAX((職員マスタ!$A$6:$A$405=$B2160)*(((職員マスタ!$G$6:$G$405="")+(職員マスタ!$G$6:$G$405&lt;=EOMONTH($AQ2160,0)))&gt;0)*(((職員マスタ!$H$6:$H$405="")+(職員マスタ!$H$6:$H$405&gt;=$AQ2160))&gt;0)*(ROW(職員マスタ!$A$6:$A$405)-5))),IFERROR(MATCH($B2160,職員マスタ!$A$6:$A$405,0),"")))</f>
        <v/>
      </c>
      <c r="AQ2160" s="16">
        <f>IF(OR($B2160="",$C2160="",$D2160=""),"",DATE($C2160+2018,$D2160,1))</f>
        <v/>
      </c>
    </row>
    <row r="2161">
      <c r="A2161" s="11" t="n"/>
      <c r="B2161" s="12" t="n"/>
      <c r="C2161" s="12" t="n"/>
      <c r="D2161" s="12" t="n"/>
      <c r="E2161" s="13" t="n"/>
      <c r="F2161" s="12" t="n"/>
      <c r="G2161" s="13" t="n"/>
      <c r="H2161" s="12" t="n"/>
      <c r="I2161" s="12" t="n"/>
      <c r="J2161" s="12" t="n"/>
      <c r="K2161" s="12" t="n"/>
      <c r="L2161" s="11" t="n"/>
      <c r="M2161" s="11" t="n"/>
      <c r="N2161" s="11" t="n"/>
      <c r="O2161" s="11" t="n"/>
      <c r="P2161" s="12" t="n"/>
      <c r="Q2161" s="11" t="n"/>
      <c r="R2161" s="12" t="n"/>
      <c r="S2161" s="11" t="n"/>
      <c r="T2161" s="12" t="n"/>
      <c r="U2161" s="12" t="n"/>
      <c r="V2161" s="12" t="n"/>
      <c r="W2161" s="13" t="n"/>
      <c r="X2161" s="14">
        <f>IF($AP2161="",IF($B2161="","",$H2161),IF(INDEX(職員マスタ!$B$6:$B$405,$AP2161)="",$H2161,INDEX(職員マスタ!$B$6:$B$405,$AP2161)))</f>
        <v/>
      </c>
      <c r="Y2161" s="14">
        <f>IF($AP2161="",IF($B2161="","",$R2161),IF(INDEX(職員マスタ!$C$6:$C$405,$AP2161)="",$R2161,INDEX(職員マスタ!$C$6:$C$405,$AP2161)))</f>
        <v/>
      </c>
      <c r="Z2161" s="14">
        <f>IF($AQ2161="","","R"&amp;$C2161&amp;"."&amp;$D2161)</f>
        <v/>
      </c>
      <c r="AA2161" s="15">
        <f>IF(IF($AP2161="",FALSE,INDEX(職員マスタ!$K$6:$K$405,$AP2161)&lt;&gt;""),INDEX(職員マスタ!$K$6:$K$405,$AP2161),IF(N($W2161)&gt;0,$W2161,""))</f>
        <v/>
      </c>
      <c r="AB2161" s="14">
        <f>IF(OR($E2161="",$AA2161=""),"",IF($E2161&gt;=$AA2161,"×",IF($E2161&gt;=$AA2161*設定!$C$5,"△","○")))</f>
        <v/>
      </c>
      <c r="AC2161" s="15">
        <f>IF($AB2161="","",IF($AB2161="×",0,IF($AB2161="○",ROUNDDOWN($E2161*設定!$C$4,0),ROUNDDOWN($E2161*ROUND((9*$AA2161-9*$E2161)/(10*$E2161),4),0))))</f>
        <v/>
      </c>
      <c r="AD2161" s="13" t="n"/>
      <c r="AE2161" s="15">
        <f>IF($B2161="","",IF($AD2161&lt;&gt;"",$AD2161,IF($AC2161="","",IF($AC2161&lt;=設定!$C$3,0,$AC2161))))</f>
        <v/>
      </c>
      <c r="AF2161" s="14">
        <f>IF($B2161="","",IF(AND($AG2161&lt;&gt;"",$AI2161="",$AL2161=""),"保留中",IF($AL2161&lt;&gt;"",IF(N($AE2161)&gt;0,"支給済","不支給"),IF($AE2161="","要確認",IF($AE2161=0,"不支給","未処理")))))</f>
        <v/>
      </c>
      <c r="AG2161" s="12" t="n"/>
      <c r="AH2161" s="11" t="n"/>
      <c r="AI2161" s="11" t="n"/>
      <c r="AJ2161" s="11" t="n"/>
      <c r="AK2161" s="14">
        <f>IF(AND($AF2161="保留中",$AH2161&lt;&gt;""),TODAY()-$AH2161,"")</f>
        <v/>
      </c>
      <c r="AL2161" s="12" t="n"/>
      <c r="AM2161" s="14">
        <f>IF($B2161="","",IF($AQ2161="","対象年月が未入力／","")&amp;IF($B2161="","",IF($AP2161="","職員マスタに未登録の職員番号／",IF($AA2161="","標準報酬月額が未登録／","")&amp;IF(AND($AQ2161&lt;&gt;"",OR(AND(INDEX(職員マスタ!$G$6:$G$405,$AP2161)&lt;&gt;"",INDEX(職員マスタ!$G$6:$G$405,$AP2161)&gt;EOMONTH($AQ2161,0)),AND(INDEX(職員マスタ!$H$6:$H$405,$AP2161)&lt;&gt;"",INDEX(職員マスタ!$H$6:$H$405,$AP2161)&lt;$AQ2161))),"対象月が時短期間外／","")&amp;IF(AND(INDEX(職員マスタ!$K$6:$K$405,$AP2161)&lt;&gt;"",N($W2161)&gt;0,INDEX(職員マスタ!$K$6:$K$405,$AP2161)&lt;&gt;$W2161),"標準報酬月額が申請書と相違（台帳"&amp;TEXT(INDEX(職員マスタ!$K$6:$K$405,$AP2161),"#,##0")&amp;"円／申請書"&amp;TEXT($W2161,"#,##0")&amp;"円）／","")&amp;IF(AND(INDEX(職員マスタ!$F$6:$F$405,$AP2161)&lt;&gt;"",$AQ2161&lt;&gt;"",INDEX(職員マスタ!$F$6:$F$405,$AP2161)&lt;$AQ2161),"対象月に子が2歳到達済／","")&amp;IF(AND($H2161&lt;&gt;"",INDEX(職員マスタ!$B$6:$B$405,$AP2161)&lt;&gt;"",SUBSTITUTE(SUBSTITUTE($H2161," ","")," ","")&lt;&gt;SUBSTITUTE(SUBSTITUTE(INDEX(職員マスタ!$B$6:$B$405,$AP2161)," ","")," ","")),"氏名がマスタと相違／","")&amp;IF(AND($Q2161&lt;&gt;"",INDEX(職員マスタ!$E$6:$E$405,$AP2161)&lt;&gt;"",$Q2161&lt;&gt;INDEX(職員マスタ!$E$6:$E$405,$AP2161)),"子の生年月日がマスタと相違／","")&amp;IF(AND($L2161&lt;&gt;"",INDEX(職員マスタ!$G$6:$G$405,$AP2161)&lt;&gt;"",$L2161&lt;&gt;INDEX(職員マスタ!$G$6:$G$405,$AP2161)),"時短開始日がマスタと相違／","")&amp;IF(AND($M2161&lt;&gt;"",INDEX(職員マスタ!$H$6:$H$405,$AP2161)&lt;&gt;"",$M2161&lt;&gt;INDEX(職員マスタ!$H$6:$H$405,$AP2161)),"時短終了日がマスタと相違／","")))&amp;IF(AND($B2161&lt;&gt;"",$E2161=""),"報酬額が未入力／","")&amp;IF(N($U2161)&gt;0,"申請書に入力エラーが残っています／","")&amp;IF(AND($B2161&lt;&gt;"",$AQ2161&lt;&gt;""),IF(COUNTIFS($B$6:$B$3005,$B2161,$C$6:$C$3005,$C2161,$D$6:$D$3005,$D2161)&gt;1,"同じ月の請求が重複しています／",""),"")&amp;IF(AND(N($E2161)&gt;0,$AB2161&lt;&gt;"",$AB2161&lt;&gt;"×",$AE2161=0,$AD2161=""),"計算額が下限以下のため不支給／",""))</f>
        <v/>
      </c>
      <c r="AN2161" s="12" t="n"/>
      <c r="AO2161" s="14">
        <f>IF($AF2161="保留中",COUNTIF($AF$6:$AF2161,"保留中"),"")</f>
        <v/>
      </c>
      <c r="AP2161" s="14">
        <f>IF($AQ2161="","",IF(SUMPRODUCT(MAX((職員マスタ!$A$6:$A$405=$B2161)*(((職員マスタ!$G$6:$G$405="")+(職員マスタ!$G$6:$G$405&lt;=EOMONTH($AQ2161,0)))&gt;0)*(((職員マスタ!$H$6:$H$405="")+(職員マスタ!$H$6:$H$405&gt;=$AQ2161))&gt;0)*(ROW(職員マスタ!$A$6:$A$405)-5)))&gt;0,SUMPRODUCT(MAX((職員マスタ!$A$6:$A$405=$B2161)*(((職員マスタ!$G$6:$G$405="")+(職員マスタ!$G$6:$G$405&lt;=EOMONTH($AQ2161,0)))&gt;0)*(((職員マスタ!$H$6:$H$405="")+(職員マスタ!$H$6:$H$405&gt;=$AQ2161))&gt;0)*(ROW(職員マスタ!$A$6:$A$405)-5))),IFERROR(MATCH($B2161,職員マスタ!$A$6:$A$405,0),"")))</f>
        <v/>
      </c>
      <c r="AQ2161" s="16">
        <f>IF(OR($B2161="",$C2161="",$D2161=""),"",DATE($C2161+2018,$D2161,1))</f>
        <v/>
      </c>
    </row>
    <row r="2162">
      <c r="A2162" s="11" t="n"/>
      <c r="B2162" s="12" t="n"/>
      <c r="C2162" s="12" t="n"/>
      <c r="D2162" s="12" t="n"/>
      <c r="E2162" s="13" t="n"/>
      <c r="F2162" s="12" t="n"/>
      <c r="G2162" s="13" t="n"/>
      <c r="H2162" s="12" t="n"/>
      <c r="I2162" s="12" t="n"/>
      <c r="J2162" s="12" t="n"/>
      <c r="K2162" s="12" t="n"/>
      <c r="L2162" s="11" t="n"/>
      <c r="M2162" s="11" t="n"/>
      <c r="N2162" s="11" t="n"/>
      <c r="O2162" s="11" t="n"/>
      <c r="P2162" s="12" t="n"/>
      <c r="Q2162" s="11" t="n"/>
      <c r="R2162" s="12" t="n"/>
      <c r="S2162" s="11" t="n"/>
      <c r="T2162" s="12" t="n"/>
      <c r="U2162" s="12" t="n"/>
      <c r="V2162" s="12" t="n"/>
      <c r="W2162" s="13" t="n"/>
      <c r="X2162" s="14">
        <f>IF($AP2162="",IF($B2162="","",$H2162),IF(INDEX(職員マスタ!$B$6:$B$405,$AP2162)="",$H2162,INDEX(職員マスタ!$B$6:$B$405,$AP2162)))</f>
        <v/>
      </c>
      <c r="Y2162" s="14">
        <f>IF($AP2162="",IF($B2162="","",$R2162),IF(INDEX(職員マスタ!$C$6:$C$405,$AP2162)="",$R2162,INDEX(職員マスタ!$C$6:$C$405,$AP2162)))</f>
        <v/>
      </c>
      <c r="Z2162" s="14">
        <f>IF($AQ2162="","","R"&amp;$C2162&amp;"."&amp;$D2162)</f>
        <v/>
      </c>
      <c r="AA2162" s="15">
        <f>IF(IF($AP2162="",FALSE,INDEX(職員マスタ!$K$6:$K$405,$AP2162)&lt;&gt;""),INDEX(職員マスタ!$K$6:$K$405,$AP2162),IF(N($W2162)&gt;0,$W2162,""))</f>
        <v/>
      </c>
      <c r="AB2162" s="14">
        <f>IF(OR($E2162="",$AA2162=""),"",IF($E2162&gt;=$AA2162,"×",IF($E2162&gt;=$AA2162*設定!$C$5,"△","○")))</f>
        <v/>
      </c>
      <c r="AC2162" s="15">
        <f>IF($AB2162="","",IF($AB2162="×",0,IF($AB2162="○",ROUNDDOWN($E2162*設定!$C$4,0),ROUNDDOWN($E2162*ROUND((9*$AA2162-9*$E2162)/(10*$E2162),4),0))))</f>
        <v/>
      </c>
      <c r="AD2162" s="13" t="n"/>
      <c r="AE2162" s="15">
        <f>IF($B2162="","",IF($AD2162&lt;&gt;"",$AD2162,IF($AC2162="","",IF($AC2162&lt;=設定!$C$3,0,$AC2162))))</f>
        <v/>
      </c>
      <c r="AF2162" s="14">
        <f>IF($B2162="","",IF(AND($AG2162&lt;&gt;"",$AI2162="",$AL2162=""),"保留中",IF($AL2162&lt;&gt;"",IF(N($AE2162)&gt;0,"支給済","不支給"),IF($AE2162="","要確認",IF($AE2162=0,"不支給","未処理")))))</f>
        <v/>
      </c>
      <c r="AG2162" s="12" t="n"/>
      <c r="AH2162" s="11" t="n"/>
      <c r="AI2162" s="11" t="n"/>
      <c r="AJ2162" s="11" t="n"/>
      <c r="AK2162" s="14">
        <f>IF(AND($AF2162="保留中",$AH2162&lt;&gt;""),TODAY()-$AH2162,"")</f>
        <v/>
      </c>
      <c r="AL2162" s="12" t="n"/>
      <c r="AM2162" s="14">
        <f>IF($B2162="","",IF($AQ2162="","対象年月が未入力／","")&amp;IF($B2162="","",IF($AP2162="","職員マスタに未登録の職員番号／",IF($AA2162="","標準報酬月額が未登録／","")&amp;IF(AND($AQ2162&lt;&gt;"",OR(AND(INDEX(職員マスタ!$G$6:$G$405,$AP2162)&lt;&gt;"",INDEX(職員マスタ!$G$6:$G$405,$AP2162)&gt;EOMONTH($AQ2162,0)),AND(INDEX(職員マスタ!$H$6:$H$405,$AP2162)&lt;&gt;"",INDEX(職員マスタ!$H$6:$H$405,$AP2162)&lt;$AQ2162))),"対象月が時短期間外／","")&amp;IF(AND(INDEX(職員マスタ!$K$6:$K$405,$AP2162)&lt;&gt;"",N($W2162)&gt;0,INDEX(職員マスタ!$K$6:$K$405,$AP2162)&lt;&gt;$W2162),"標準報酬月額が申請書と相違（台帳"&amp;TEXT(INDEX(職員マスタ!$K$6:$K$405,$AP2162),"#,##0")&amp;"円／申請書"&amp;TEXT($W2162,"#,##0")&amp;"円）／","")&amp;IF(AND(INDEX(職員マスタ!$F$6:$F$405,$AP2162)&lt;&gt;"",$AQ2162&lt;&gt;"",INDEX(職員マスタ!$F$6:$F$405,$AP2162)&lt;$AQ2162),"対象月に子が2歳到達済／","")&amp;IF(AND($H2162&lt;&gt;"",INDEX(職員マスタ!$B$6:$B$405,$AP2162)&lt;&gt;"",SUBSTITUTE(SUBSTITUTE($H2162," ","")," ","")&lt;&gt;SUBSTITUTE(SUBSTITUTE(INDEX(職員マスタ!$B$6:$B$405,$AP2162)," ","")," ","")),"氏名がマスタと相違／","")&amp;IF(AND($Q2162&lt;&gt;"",INDEX(職員マスタ!$E$6:$E$405,$AP2162)&lt;&gt;"",$Q2162&lt;&gt;INDEX(職員マスタ!$E$6:$E$405,$AP2162)),"子の生年月日がマスタと相違／","")&amp;IF(AND($L2162&lt;&gt;"",INDEX(職員マスタ!$G$6:$G$405,$AP2162)&lt;&gt;"",$L2162&lt;&gt;INDEX(職員マスタ!$G$6:$G$405,$AP2162)),"時短開始日がマスタと相違／","")&amp;IF(AND($M2162&lt;&gt;"",INDEX(職員マスタ!$H$6:$H$405,$AP2162)&lt;&gt;"",$M2162&lt;&gt;INDEX(職員マスタ!$H$6:$H$405,$AP2162)),"時短終了日がマスタと相違／","")))&amp;IF(AND($B2162&lt;&gt;"",$E2162=""),"報酬額が未入力／","")&amp;IF(N($U2162)&gt;0,"申請書に入力エラーが残っています／","")&amp;IF(AND($B2162&lt;&gt;"",$AQ2162&lt;&gt;""),IF(COUNTIFS($B$6:$B$3005,$B2162,$C$6:$C$3005,$C2162,$D$6:$D$3005,$D2162)&gt;1,"同じ月の請求が重複しています／",""),"")&amp;IF(AND(N($E2162)&gt;0,$AB2162&lt;&gt;"",$AB2162&lt;&gt;"×",$AE2162=0,$AD2162=""),"計算額が下限以下のため不支給／",""))</f>
        <v/>
      </c>
      <c r="AN2162" s="12" t="n"/>
      <c r="AO2162" s="14">
        <f>IF($AF2162="保留中",COUNTIF($AF$6:$AF2162,"保留中"),"")</f>
        <v/>
      </c>
      <c r="AP2162" s="14">
        <f>IF($AQ2162="","",IF(SUMPRODUCT(MAX((職員マスタ!$A$6:$A$405=$B2162)*(((職員マスタ!$G$6:$G$405="")+(職員マスタ!$G$6:$G$405&lt;=EOMONTH($AQ2162,0)))&gt;0)*(((職員マスタ!$H$6:$H$405="")+(職員マスタ!$H$6:$H$405&gt;=$AQ2162))&gt;0)*(ROW(職員マスタ!$A$6:$A$405)-5)))&gt;0,SUMPRODUCT(MAX((職員マスタ!$A$6:$A$405=$B2162)*(((職員マスタ!$G$6:$G$405="")+(職員マスタ!$G$6:$G$405&lt;=EOMONTH($AQ2162,0)))&gt;0)*(((職員マスタ!$H$6:$H$405="")+(職員マスタ!$H$6:$H$405&gt;=$AQ2162))&gt;0)*(ROW(職員マスタ!$A$6:$A$405)-5))),IFERROR(MATCH($B2162,職員マスタ!$A$6:$A$405,0),"")))</f>
        <v/>
      </c>
      <c r="AQ2162" s="16">
        <f>IF(OR($B2162="",$C2162="",$D2162=""),"",DATE($C2162+2018,$D2162,1))</f>
        <v/>
      </c>
    </row>
    <row r="2163">
      <c r="A2163" s="11" t="n"/>
      <c r="B2163" s="12" t="n"/>
      <c r="C2163" s="12" t="n"/>
      <c r="D2163" s="12" t="n"/>
      <c r="E2163" s="13" t="n"/>
      <c r="F2163" s="12" t="n"/>
      <c r="G2163" s="13" t="n"/>
      <c r="H2163" s="12" t="n"/>
      <c r="I2163" s="12" t="n"/>
      <c r="J2163" s="12" t="n"/>
      <c r="K2163" s="12" t="n"/>
      <c r="L2163" s="11" t="n"/>
      <c r="M2163" s="11" t="n"/>
      <c r="N2163" s="11" t="n"/>
      <c r="O2163" s="11" t="n"/>
      <c r="P2163" s="12" t="n"/>
      <c r="Q2163" s="11" t="n"/>
      <c r="R2163" s="12" t="n"/>
      <c r="S2163" s="11" t="n"/>
      <c r="T2163" s="12" t="n"/>
      <c r="U2163" s="12" t="n"/>
      <c r="V2163" s="12" t="n"/>
      <c r="W2163" s="13" t="n"/>
      <c r="X2163" s="14">
        <f>IF($AP2163="",IF($B2163="","",$H2163),IF(INDEX(職員マスタ!$B$6:$B$405,$AP2163)="",$H2163,INDEX(職員マスタ!$B$6:$B$405,$AP2163)))</f>
        <v/>
      </c>
      <c r="Y2163" s="14">
        <f>IF($AP2163="",IF($B2163="","",$R2163),IF(INDEX(職員マスタ!$C$6:$C$405,$AP2163)="",$R2163,INDEX(職員マスタ!$C$6:$C$405,$AP2163)))</f>
        <v/>
      </c>
      <c r="Z2163" s="14">
        <f>IF($AQ2163="","","R"&amp;$C2163&amp;"."&amp;$D2163)</f>
        <v/>
      </c>
      <c r="AA2163" s="15">
        <f>IF(IF($AP2163="",FALSE,INDEX(職員マスタ!$K$6:$K$405,$AP2163)&lt;&gt;""),INDEX(職員マスタ!$K$6:$K$405,$AP2163),IF(N($W2163)&gt;0,$W2163,""))</f>
        <v/>
      </c>
      <c r="AB2163" s="14">
        <f>IF(OR($E2163="",$AA2163=""),"",IF($E2163&gt;=$AA2163,"×",IF($E2163&gt;=$AA2163*設定!$C$5,"△","○")))</f>
        <v/>
      </c>
      <c r="AC2163" s="15">
        <f>IF($AB2163="","",IF($AB2163="×",0,IF($AB2163="○",ROUNDDOWN($E2163*設定!$C$4,0),ROUNDDOWN($E2163*ROUND((9*$AA2163-9*$E2163)/(10*$E2163),4),0))))</f>
        <v/>
      </c>
      <c r="AD2163" s="13" t="n"/>
      <c r="AE2163" s="15">
        <f>IF($B2163="","",IF($AD2163&lt;&gt;"",$AD2163,IF($AC2163="","",IF($AC2163&lt;=設定!$C$3,0,$AC2163))))</f>
        <v/>
      </c>
      <c r="AF2163" s="14">
        <f>IF($B2163="","",IF(AND($AG2163&lt;&gt;"",$AI2163="",$AL2163=""),"保留中",IF($AL2163&lt;&gt;"",IF(N($AE2163)&gt;0,"支給済","不支給"),IF($AE2163="","要確認",IF($AE2163=0,"不支給","未処理")))))</f>
        <v/>
      </c>
      <c r="AG2163" s="12" t="n"/>
      <c r="AH2163" s="11" t="n"/>
      <c r="AI2163" s="11" t="n"/>
      <c r="AJ2163" s="11" t="n"/>
      <c r="AK2163" s="14">
        <f>IF(AND($AF2163="保留中",$AH2163&lt;&gt;""),TODAY()-$AH2163,"")</f>
        <v/>
      </c>
      <c r="AL2163" s="12" t="n"/>
      <c r="AM2163" s="14">
        <f>IF($B2163="","",IF($AQ2163="","対象年月が未入力／","")&amp;IF($B2163="","",IF($AP2163="","職員マスタに未登録の職員番号／",IF($AA2163="","標準報酬月額が未登録／","")&amp;IF(AND($AQ2163&lt;&gt;"",OR(AND(INDEX(職員マスタ!$G$6:$G$405,$AP2163)&lt;&gt;"",INDEX(職員マスタ!$G$6:$G$405,$AP2163)&gt;EOMONTH($AQ2163,0)),AND(INDEX(職員マスタ!$H$6:$H$405,$AP2163)&lt;&gt;"",INDEX(職員マスタ!$H$6:$H$405,$AP2163)&lt;$AQ2163))),"対象月が時短期間外／","")&amp;IF(AND(INDEX(職員マスタ!$K$6:$K$405,$AP2163)&lt;&gt;"",N($W2163)&gt;0,INDEX(職員マスタ!$K$6:$K$405,$AP2163)&lt;&gt;$W2163),"標準報酬月額が申請書と相違（台帳"&amp;TEXT(INDEX(職員マスタ!$K$6:$K$405,$AP2163),"#,##0")&amp;"円／申請書"&amp;TEXT($W2163,"#,##0")&amp;"円）／","")&amp;IF(AND(INDEX(職員マスタ!$F$6:$F$405,$AP2163)&lt;&gt;"",$AQ2163&lt;&gt;"",INDEX(職員マスタ!$F$6:$F$405,$AP2163)&lt;$AQ2163),"対象月に子が2歳到達済／","")&amp;IF(AND($H2163&lt;&gt;"",INDEX(職員マスタ!$B$6:$B$405,$AP2163)&lt;&gt;"",SUBSTITUTE(SUBSTITUTE($H2163," ","")," ","")&lt;&gt;SUBSTITUTE(SUBSTITUTE(INDEX(職員マスタ!$B$6:$B$405,$AP2163)," ","")," ","")),"氏名がマスタと相違／","")&amp;IF(AND($Q2163&lt;&gt;"",INDEX(職員マスタ!$E$6:$E$405,$AP2163)&lt;&gt;"",$Q2163&lt;&gt;INDEX(職員マスタ!$E$6:$E$405,$AP2163)),"子の生年月日がマスタと相違／","")&amp;IF(AND($L2163&lt;&gt;"",INDEX(職員マスタ!$G$6:$G$405,$AP2163)&lt;&gt;"",$L2163&lt;&gt;INDEX(職員マスタ!$G$6:$G$405,$AP2163)),"時短開始日がマスタと相違／","")&amp;IF(AND($M2163&lt;&gt;"",INDEX(職員マスタ!$H$6:$H$405,$AP2163)&lt;&gt;"",$M2163&lt;&gt;INDEX(職員マスタ!$H$6:$H$405,$AP2163)),"時短終了日がマスタと相違／","")))&amp;IF(AND($B2163&lt;&gt;"",$E2163=""),"報酬額が未入力／","")&amp;IF(N($U2163)&gt;0,"申請書に入力エラーが残っています／","")&amp;IF(AND($B2163&lt;&gt;"",$AQ2163&lt;&gt;""),IF(COUNTIFS($B$6:$B$3005,$B2163,$C$6:$C$3005,$C2163,$D$6:$D$3005,$D2163)&gt;1,"同じ月の請求が重複しています／",""),"")&amp;IF(AND(N($E2163)&gt;0,$AB2163&lt;&gt;"",$AB2163&lt;&gt;"×",$AE2163=0,$AD2163=""),"計算額が下限以下のため不支給／",""))</f>
        <v/>
      </c>
      <c r="AN2163" s="12" t="n"/>
      <c r="AO2163" s="14">
        <f>IF($AF2163="保留中",COUNTIF($AF$6:$AF2163,"保留中"),"")</f>
        <v/>
      </c>
      <c r="AP2163" s="14">
        <f>IF($AQ2163="","",IF(SUMPRODUCT(MAX((職員マスタ!$A$6:$A$405=$B2163)*(((職員マスタ!$G$6:$G$405="")+(職員マスタ!$G$6:$G$405&lt;=EOMONTH($AQ2163,0)))&gt;0)*(((職員マスタ!$H$6:$H$405="")+(職員マスタ!$H$6:$H$405&gt;=$AQ2163))&gt;0)*(ROW(職員マスタ!$A$6:$A$405)-5)))&gt;0,SUMPRODUCT(MAX((職員マスタ!$A$6:$A$405=$B2163)*(((職員マスタ!$G$6:$G$405="")+(職員マスタ!$G$6:$G$405&lt;=EOMONTH($AQ2163,0)))&gt;0)*(((職員マスタ!$H$6:$H$405="")+(職員マスタ!$H$6:$H$405&gt;=$AQ2163))&gt;0)*(ROW(職員マスタ!$A$6:$A$405)-5))),IFERROR(MATCH($B2163,職員マスタ!$A$6:$A$405,0),"")))</f>
        <v/>
      </c>
      <c r="AQ2163" s="16">
        <f>IF(OR($B2163="",$C2163="",$D2163=""),"",DATE($C2163+2018,$D2163,1))</f>
        <v/>
      </c>
    </row>
    <row r="2164">
      <c r="A2164" s="11" t="n"/>
      <c r="B2164" s="12" t="n"/>
      <c r="C2164" s="12" t="n"/>
      <c r="D2164" s="12" t="n"/>
      <c r="E2164" s="13" t="n"/>
      <c r="F2164" s="12" t="n"/>
      <c r="G2164" s="13" t="n"/>
      <c r="H2164" s="12" t="n"/>
      <c r="I2164" s="12" t="n"/>
      <c r="J2164" s="12" t="n"/>
      <c r="K2164" s="12" t="n"/>
      <c r="L2164" s="11" t="n"/>
      <c r="M2164" s="11" t="n"/>
      <c r="N2164" s="11" t="n"/>
      <c r="O2164" s="11" t="n"/>
      <c r="P2164" s="12" t="n"/>
      <c r="Q2164" s="11" t="n"/>
      <c r="R2164" s="12" t="n"/>
      <c r="S2164" s="11" t="n"/>
      <c r="T2164" s="12" t="n"/>
      <c r="U2164" s="12" t="n"/>
      <c r="V2164" s="12" t="n"/>
      <c r="W2164" s="13" t="n"/>
      <c r="X2164" s="14">
        <f>IF($AP2164="",IF($B2164="","",$H2164),IF(INDEX(職員マスタ!$B$6:$B$405,$AP2164)="",$H2164,INDEX(職員マスタ!$B$6:$B$405,$AP2164)))</f>
        <v/>
      </c>
      <c r="Y2164" s="14">
        <f>IF($AP2164="",IF($B2164="","",$R2164),IF(INDEX(職員マスタ!$C$6:$C$405,$AP2164)="",$R2164,INDEX(職員マスタ!$C$6:$C$405,$AP2164)))</f>
        <v/>
      </c>
      <c r="Z2164" s="14">
        <f>IF($AQ2164="","","R"&amp;$C2164&amp;"."&amp;$D2164)</f>
        <v/>
      </c>
      <c r="AA2164" s="15">
        <f>IF(IF($AP2164="",FALSE,INDEX(職員マスタ!$K$6:$K$405,$AP2164)&lt;&gt;""),INDEX(職員マスタ!$K$6:$K$405,$AP2164),IF(N($W2164)&gt;0,$W2164,""))</f>
        <v/>
      </c>
      <c r="AB2164" s="14">
        <f>IF(OR($E2164="",$AA2164=""),"",IF($E2164&gt;=$AA2164,"×",IF($E2164&gt;=$AA2164*設定!$C$5,"△","○")))</f>
        <v/>
      </c>
      <c r="AC2164" s="15">
        <f>IF($AB2164="","",IF($AB2164="×",0,IF($AB2164="○",ROUNDDOWN($E2164*設定!$C$4,0),ROUNDDOWN($E2164*ROUND((9*$AA2164-9*$E2164)/(10*$E2164),4),0))))</f>
        <v/>
      </c>
      <c r="AD2164" s="13" t="n"/>
      <c r="AE2164" s="15">
        <f>IF($B2164="","",IF($AD2164&lt;&gt;"",$AD2164,IF($AC2164="","",IF($AC2164&lt;=設定!$C$3,0,$AC2164))))</f>
        <v/>
      </c>
      <c r="AF2164" s="14">
        <f>IF($B2164="","",IF(AND($AG2164&lt;&gt;"",$AI2164="",$AL2164=""),"保留中",IF($AL2164&lt;&gt;"",IF(N($AE2164)&gt;0,"支給済","不支給"),IF($AE2164="","要確認",IF($AE2164=0,"不支給","未処理")))))</f>
        <v/>
      </c>
      <c r="AG2164" s="12" t="n"/>
      <c r="AH2164" s="11" t="n"/>
      <c r="AI2164" s="11" t="n"/>
      <c r="AJ2164" s="11" t="n"/>
      <c r="AK2164" s="14">
        <f>IF(AND($AF2164="保留中",$AH2164&lt;&gt;""),TODAY()-$AH2164,"")</f>
        <v/>
      </c>
      <c r="AL2164" s="12" t="n"/>
      <c r="AM2164" s="14">
        <f>IF($B2164="","",IF($AQ2164="","対象年月が未入力／","")&amp;IF($B2164="","",IF($AP2164="","職員マスタに未登録の職員番号／",IF($AA2164="","標準報酬月額が未登録／","")&amp;IF(AND($AQ2164&lt;&gt;"",OR(AND(INDEX(職員マスタ!$G$6:$G$405,$AP2164)&lt;&gt;"",INDEX(職員マスタ!$G$6:$G$405,$AP2164)&gt;EOMONTH($AQ2164,0)),AND(INDEX(職員マスタ!$H$6:$H$405,$AP2164)&lt;&gt;"",INDEX(職員マスタ!$H$6:$H$405,$AP2164)&lt;$AQ2164))),"対象月が時短期間外／","")&amp;IF(AND(INDEX(職員マスタ!$K$6:$K$405,$AP2164)&lt;&gt;"",N($W2164)&gt;0,INDEX(職員マスタ!$K$6:$K$405,$AP2164)&lt;&gt;$W2164),"標準報酬月額が申請書と相違（台帳"&amp;TEXT(INDEX(職員マスタ!$K$6:$K$405,$AP2164),"#,##0")&amp;"円／申請書"&amp;TEXT($W2164,"#,##0")&amp;"円）／","")&amp;IF(AND(INDEX(職員マスタ!$F$6:$F$405,$AP2164)&lt;&gt;"",$AQ2164&lt;&gt;"",INDEX(職員マスタ!$F$6:$F$405,$AP2164)&lt;$AQ2164),"対象月に子が2歳到達済／","")&amp;IF(AND($H2164&lt;&gt;"",INDEX(職員マスタ!$B$6:$B$405,$AP2164)&lt;&gt;"",SUBSTITUTE(SUBSTITUTE($H2164," ","")," ","")&lt;&gt;SUBSTITUTE(SUBSTITUTE(INDEX(職員マスタ!$B$6:$B$405,$AP2164)," ","")," ","")),"氏名がマスタと相違／","")&amp;IF(AND($Q2164&lt;&gt;"",INDEX(職員マスタ!$E$6:$E$405,$AP2164)&lt;&gt;"",$Q2164&lt;&gt;INDEX(職員マスタ!$E$6:$E$405,$AP2164)),"子の生年月日がマスタと相違／","")&amp;IF(AND($L2164&lt;&gt;"",INDEX(職員マスタ!$G$6:$G$405,$AP2164)&lt;&gt;"",$L2164&lt;&gt;INDEX(職員マスタ!$G$6:$G$405,$AP2164)),"時短開始日がマスタと相違／","")&amp;IF(AND($M2164&lt;&gt;"",INDEX(職員マスタ!$H$6:$H$405,$AP2164)&lt;&gt;"",$M2164&lt;&gt;INDEX(職員マスタ!$H$6:$H$405,$AP2164)),"時短終了日がマスタと相違／","")))&amp;IF(AND($B2164&lt;&gt;"",$E2164=""),"報酬額が未入力／","")&amp;IF(N($U2164)&gt;0,"申請書に入力エラーが残っています／","")&amp;IF(AND($B2164&lt;&gt;"",$AQ2164&lt;&gt;""),IF(COUNTIFS($B$6:$B$3005,$B2164,$C$6:$C$3005,$C2164,$D$6:$D$3005,$D2164)&gt;1,"同じ月の請求が重複しています／",""),"")&amp;IF(AND(N($E2164)&gt;0,$AB2164&lt;&gt;"",$AB2164&lt;&gt;"×",$AE2164=0,$AD2164=""),"計算額が下限以下のため不支給／",""))</f>
        <v/>
      </c>
      <c r="AN2164" s="12" t="n"/>
      <c r="AO2164" s="14">
        <f>IF($AF2164="保留中",COUNTIF($AF$6:$AF2164,"保留中"),"")</f>
        <v/>
      </c>
      <c r="AP2164" s="14">
        <f>IF($AQ2164="","",IF(SUMPRODUCT(MAX((職員マスタ!$A$6:$A$405=$B2164)*(((職員マスタ!$G$6:$G$405="")+(職員マスタ!$G$6:$G$405&lt;=EOMONTH($AQ2164,0)))&gt;0)*(((職員マスタ!$H$6:$H$405="")+(職員マスタ!$H$6:$H$405&gt;=$AQ2164))&gt;0)*(ROW(職員マスタ!$A$6:$A$405)-5)))&gt;0,SUMPRODUCT(MAX((職員マスタ!$A$6:$A$405=$B2164)*(((職員マスタ!$G$6:$G$405="")+(職員マスタ!$G$6:$G$405&lt;=EOMONTH($AQ2164,0)))&gt;0)*(((職員マスタ!$H$6:$H$405="")+(職員マスタ!$H$6:$H$405&gt;=$AQ2164))&gt;0)*(ROW(職員マスタ!$A$6:$A$405)-5))),IFERROR(MATCH($B2164,職員マスタ!$A$6:$A$405,0),"")))</f>
        <v/>
      </c>
      <c r="AQ2164" s="16">
        <f>IF(OR($B2164="",$C2164="",$D2164=""),"",DATE($C2164+2018,$D2164,1))</f>
        <v/>
      </c>
    </row>
    <row r="2165">
      <c r="A2165" s="11" t="n"/>
      <c r="B2165" s="12" t="n"/>
      <c r="C2165" s="12" t="n"/>
      <c r="D2165" s="12" t="n"/>
      <c r="E2165" s="13" t="n"/>
      <c r="F2165" s="12" t="n"/>
      <c r="G2165" s="13" t="n"/>
      <c r="H2165" s="12" t="n"/>
      <c r="I2165" s="12" t="n"/>
      <c r="J2165" s="12" t="n"/>
      <c r="K2165" s="12" t="n"/>
      <c r="L2165" s="11" t="n"/>
      <c r="M2165" s="11" t="n"/>
      <c r="N2165" s="11" t="n"/>
      <c r="O2165" s="11" t="n"/>
      <c r="P2165" s="12" t="n"/>
      <c r="Q2165" s="11" t="n"/>
      <c r="R2165" s="12" t="n"/>
      <c r="S2165" s="11" t="n"/>
      <c r="T2165" s="12" t="n"/>
      <c r="U2165" s="12" t="n"/>
      <c r="V2165" s="12" t="n"/>
      <c r="W2165" s="13" t="n"/>
      <c r="X2165" s="14">
        <f>IF($AP2165="",IF($B2165="","",$H2165),IF(INDEX(職員マスタ!$B$6:$B$405,$AP2165)="",$H2165,INDEX(職員マスタ!$B$6:$B$405,$AP2165)))</f>
        <v/>
      </c>
      <c r="Y2165" s="14">
        <f>IF($AP2165="",IF($B2165="","",$R2165),IF(INDEX(職員マスタ!$C$6:$C$405,$AP2165)="",$R2165,INDEX(職員マスタ!$C$6:$C$405,$AP2165)))</f>
        <v/>
      </c>
      <c r="Z2165" s="14">
        <f>IF($AQ2165="","","R"&amp;$C2165&amp;"."&amp;$D2165)</f>
        <v/>
      </c>
      <c r="AA2165" s="15">
        <f>IF(IF($AP2165="",FALSE,INDEX(職員マスタ!$K$6:$K$405,$AP2165)&lt;&gt;""),INDEX(職員マスタ!$K$6:$K$405,$AP2165),IF(N($W2165)&gt;0,$W2165,""))</f>
        <v/>
      </c>
      <c r="AB2165" s="14">
        <f>IF(OR($E2165="",$AA2165=""),"",IF($E2165&gt;=$AA2165,"×",IF($E2165&gt;=$AA2165*設定!$C$5,"△","○")))</f>
        <v/>
      </c>
      <c r="AC2165" s="15">
        <f>IF($AB2165="","",IF($AB2165="×",0,IF($AB2165="○",ROUNDDOWN($E2165*設定!$C$4,0),ROUNDDOWN($E2165*ROUND((9*$AA2165-9*$E2165)/(10*$E2165),4),0))))</f>
        <v/>
      </c>
      <c r="AD2165" s="13" t="n"/>
      <c r="AE2165" s="15">
        <f>IF($B2165="","",IF($AD2165&lt;&gt;"",$AD2165,IF($AC2165="","",IF($AC2165&lt;=設定!$C$3,0,$AC2165))))</f>
        <v/>
      </c>
      <c r="AF2165" s="14">
        <f>IF($B2165="","",IF(AND($AG2165&lt;&gt;"",$AI2165="",$AL2165=""),"保留中",IF($AL2165&lt;&gt;"",IF(N($AE2165)&gt;0,"支給済","不支給"),IF($AE2165="","要確認",IF($AE2165=0,"不支給","未処理")))))</f>
        <v/>
      </c>
      <c r="AG2165" s="12" t="n"/>
      <c r="AH2165" s="11" t="n"/>
      <c r="AI2165" s="11" t="n"/>
      <c r="AJ2165" s="11" t="n"/>
      <c r="AK2165" s="14">
        <f>IF(AND($AF2165="保留中",$AH2165&lt;&gt;""),TODAY()-$AH2165,"")</f>
        <v/>
      </c>
      <c r="AL2165" s="12" t="n"/>
      <c r="AM2165" s="14">
        <f>IF($B2165="","",IF($AQ2165="","対象年月が未入力／","")&amp;IF($B2165="","",IF($AP2165="","職員マスタに未登録の職員番号／",IF($AA2165="","標準報酬月額が未登録／","")&amp;IF(AND($AQ2165&lt;&gt;"",OR(AND(INDEX(職員マスタ!$G$6:$G$405,$AP2165)&lt;&gt;"",INDEX(職員マスタ!$G$6:$G$405,$AP2165)&gt;EOMONTH($AQ2165,0)),AND(INDEX(職員マスタ!$H$6:$H$405,$AP2165)&lt;&gt;"",INDEX(職員マスタ!$H$6:$H$405,$AP2165)&lt;$AQ2165))),"対象月が時短期間外／","")&amp;IF(AND(INDEX(職員マスタ!$K$6:$K$405,$AP2165)&lt;&gt;"",N($W2165)&gt;0,INDEX(職員マスタ!$K$6:$K$405,$AP2165)&lt;&gt;$W2165),"標準報酬月額が申請書と相違（台帳"&amp;TEXT(INDEX(職員マスタ!$K$6:$K$405,$AP2165),"#,##0")&amp;"円／申請書"&amp;TEXT($W2165,"#,##0")&amp;"円）／","")&amp;IF(AND(INDEX(職員マスタ!$F$6:$F$405,$AP2165)&lt;&gt;"",$AQ2165&lt;&gt;"",INDEX(職員マスタ!$F$6:$F$405,$AP2165)&lt;$AQ2165),"対象月に子が2歳到達済／","")&amp;IF(AND($H2165&lt;&gt;"",INDEX(職員マスタ!$B$6:$B$405,$AP2165)&lt;&gt;"",SUBSTITUTE(SUBSTITUTE($H2165," ","")," ","")&lt;&gt;SUBSTITUTE(SUBSTITUTE(INDEX(職員マスタ!$B$6:$B$405,$AP2165)," ","")," ","")),"氏名がマスタと相違／","")&amp;IF(AND($Q2165&lt;&gt;"",INDEX(職員マスタ!$E$6:$E$405,$AP2165)&lt;&gt;"",$Q2165&lt;&gt;INDEX(職員マスタ!$E$6:$E$405,$AP2165)),"子の生年月日がマスタと相違／","")&amp;IF(AND($L2165&lt;&gt;"",INDEX(職員マスタ!$G$6:$G$405,$AP2165)&lt;&gt;"",$L2165&lt;&gt;INDEX(職員マスタ!$G$6:$G$405,$AP2165)),"時短開始日がマスタと相違／","")&amp;IF(AND($M2165&lt;&gt;"",INDEX(職員マスタ!$H$6:$H$405,$AP2165)&lt;&gt;"",$M2165&lt;&gt;INDEX(職員マスタ!$H$6:$H$405,$AP2165)),"時短終了日がマスタと相違／","")))&amp;IF(AND($B2165&lt;&gt;"",$E2165=""),"報酬額が未入力／","")&amp;IF(N($U2165)&gt;0,"申請書に入力エラーが残っています／","")&amp;IF(AND($B2165&lt;&gt;"",$AQ2165&lt;&gt;""),IF(COUNTIFS($B$6:$B$3005,$B2165,$C$6:$C$3005,$C2165,$D$6:$D$3005,$D2165)&gt;1,"同じ月の請求が重複しています／",""),"")&amp;IF(AND(N($E2165)&gt;0,$AB2165&lt;&gt;"",$AB2165&lt;&gt;"×",$AE2165=0,$AD2165=""),"計算額が下限以下のため不支給／",""))</f>
        <v/>
      </c>
      <c r="AN2165" s="12" t="n"/>
      <c r="AO2165" s="14">
        <f>IF($AF2165="保留中",COUNTIF($AF$6:$AF2165,"保留中"),"")</f>
        <v/>
      </c>
      <c r="AP2165" s="14">
        <f>IF($AQ2165="","",IF(SUMPRODUCT(MAX((職員マスタ!$A$6:$A$405=$B2165)*(((職員マスタ!$G$6:$G$405="")+(職員マスタ!$G$6:$G$405&lt;=EOMONTH($AQ2165,0)))&gt;0)*(((職員マスタ!$H$6:$H$405="")+(職員マスタ!$H$6:$H$405&gt;=$AQ2165))&gt;0)*(ROW(職員マスタ!$A$6:$A$405)-5)))&gt;0,SUMPRODUCT(MAX((職員マスタ!$A$6:$A$405=$B2165)*(((職員マスタ!$G$6:$G$405="")+(職員マスタ!$G$6:$G$405&lt;=EOMONTH($AQ2165,0)))&gt;0)*(((職員マスタ!$H$6:$H$405="")+(職員マスタ!$H$6:$H$405&gt;=$AQ2165))&gt;0)*(ROW(職員マスタ!$A$6:$A$405)-5))),IFERROR(MATCH($B2165,職員マスタ!$A$6:$A$405,0),"")))</f>
        <v/>
      </c>
      <c r="AQ2165" s="16">
        <f>IF(OR($B2165="",$C2165="",$D2165=""),"",DATE($C2165+2018,$D2165,1))</f>
        <v/>
      </c>
    </row>
    <row r="2166">
      <c r="A2166" s="11" t="n"/>
      <c r="B2166" s="12" t="n"/>
      <c r="C2166" s="12" t="n"/>
      <c r="D2166" s="12" t="n"/>
      <c r="E2166" s="13" t="n"/>
      <c r="F2166" s="12" t="n"/>
      <c r="G2166" s="13" t="n"/>
      <c r="H2166" s="12" t="n"/>
      <c r="I2166" s="12" t="n"/>
      <c r="J2166" s="12" t="n"/>
      <c r="K2166" s="12" t="n"/>
      <c r="L2166" s="11" t="n"/>
      <c r="M2166" s="11" t="n"/>
      <c r="N2166" s="11" t="n"/>
      <c r="O2166" s="11" t="n"/>
      <c r="P2166" s="12" t="n"/>
      <c r="Q2166" s="11" t="n"/>
      <c r="R2166" s="12" t="n"/>
      <c r="S2166" s="11" t="n"/>
      <c r="T2166" s="12" t="n"/>
      <c r="U2166" s="12" t="n"/>
      <c r="V2166" s="12" t="n"/>
      <c r="W2166" s="13" t="n"/>
      <c r="X2166" s="14">
        <f>IF($AP2166="",IF($B2166="","",$H2166),IF(INDEX(職員マスタ!$B$6:$B$405,$AP2166)="",$H2166,INDEX(職員マスタ!$B$6:$B$405,$AP2166)))</f>
        <v/>
      </c>
      <c r="Y2166" s="14">
        <f>IF($AP2166="",IF($B2166="","",$R2166),IF(INDEX(職員マスタ!$C$6:$C$405,$AP2166)="",$R2166,INDEX(職員マスタ!$C$6:$C$405,$AP2166)))</f>
        <v/>
      </c>
      <c r="Z2166" s="14">
        <f>IF($AQ2166="","","R"&amp;$C2166&amp;"."&amp;$D2166)</f>
        <v/>
      </c>
      <c r="AA2166" s="15">
        <f>IF(IF($AP2166="",FALSE,INDEX(職員マスタ!$K$6:$K$405,$AP2166)&lt;&gt;""),INDEX(職員マスタ!$K$6:$K$405,$AP2166),IF(N($W2166)&gt;0,$W2166,""))</f>
        <v/>
      </c>
      <c r="AB2166" s="14">
        <f>IF(OR($E2166="",$AA2166=""),"",IF($E2166&gt;=$AA2166,"×",IF($E2166&gt;=$AA2166*設定!$C$5,"△","○")))</f>
        <v/>
      </c>
      <c r="AC2166" s="15">
        <f>IF($AB2166="","",IF($AB2166="×",0,IF($AB2166="○",ROUNDDOWN($E2166*設定!$C$4,0),ROUNDDOWN($E2166*ROUND((9*$AA2166-9*$E2166)/(10*$E2166),4),0))))</f>
        <v/>
      </c>
      <c r="AD2166" s="13" t="n"/>
      <c r="AE2166" s="15">
        <f>IF($B2166="","",IF($AD2166&lt;&gt;"",$AD2166,IF($AC2166="","",IF($AC2166&lt;=設定!$C$3,0,$AC2166))))</f>
        <v/>
      </c>
      <c r="AF2166" s="14">
        <f>IF($B2166="","",IF(AND($AG2166&lt;&gt;"",$AI2166="",$AL2166=""),"保留中",IF($AL2166&lt;&gt;"",IF(N($AE2166)&gt;0,"支給済","不支給"),IF($AE2166="","要確認",IF($AE2166=0,"不支給","未処理")))))</f>
        <v/>
      </c>
      <c r="AG2166" s="12" t="n"/>
      <c r="AH2166" s="11" t="n"/>
      <c r="AI2166" s="11" t="n"/>
      <c r="AJ2166" s="11" t="n"/>
      <c r="AK2166" s="14">
        <f>IF(AND($AF2166="保留中",$AH2166&lt;&gt;""),TODAY()-$AH2166,"")</f>
        <v/>
      </c>
      <c r="AL2166" s="12" t="n"/>
      <c r="AM2166" s="14">
        <f>IF($B2166="","",IF($AQ2166="","対象年月が未入力／","")&amp;IF($B2166="","",IF($AP2166="","職員マスタに未登録の職員番号／",IF($AA2166="","標準報酬月額が未登録／","")&amp;IF(AND($AQ2166&lt;&gt;"",OR(AND(INDEX(職員マスタ!$G$6:$G$405,$AP2166)&lt;&gt;"",INDEX(職員マスタ!$G$6:$G$405,$AP2166)&gt;EOMONTH($AQ2166,0)),AND(INDEX(職員マスタ!$H$6:$H$405,$AP2166)&lt;&gt;"",INDEX(職員マスタ!$H$6:$H$405,$AP2166)&lt;$AQ2166))),"対象月が時短期間外／","")&amp;IF(AND(INDEX(職員マスタ!$K$6:$K$405,$AP2166)&lt;&gt;"",N($W2166)&gt;0,INDEX(職員マスタ!$K$6:$K$405,$AP2166)&lt;&gt;$W2166),"標準報酬月額が申請書と相違（台帳"&amp;TEXT(INDEX(職員マスタ!$K$6:$K$405,$AP2166),"#,##0")&amp;"円／申請書"&amp;TEXT($W2166,"#,##0")&amp;"円）／","")&amp;IF(AND(INDEX(職員マスタ!$F$6:$F$405,$AP2166)&lt;&gt;"",$AQ2166&lt;&gt;"",INDEX(職員マスタ!$F$6:$F$405,$AP2166)&lt;$AQ2166),"対象月に子が2歳到達済／","")&amp;IF(AND($H2166&lt;&gt;"",INDEX(職員マスタ!$B$6:$B$405,$AP2166)&lt;&gt;"",SUBSTITUTE(SUBSTITUTE($H2166," ","")," ","")&lt;&gt;SUBSTITUTE(SUBSTITUTE(INDEX(職員マスタ!$B$6:$B$405,$AP2166)," ","")," ","")),"氏名がマスタと相違／","")&amp;IF(AND($Q2166&lt;&gt;"",INDEX(職員マスタ!$E$6:$E$405,$AP2166)&lt;&gt;"",$Q2166&lt;&gt;INDEX(職員マスタ!$E$6:$E$405,$AP2166)),"子の生年月日がマスタと相違／","")&amp;IF(AND($L2166&lt;&gt;"",INDEX(職員マスタ!$G$6:$G$405,$AP2166)&lt;&gt;"",$L2166&lt;&gt;INDEX(職員マスタ!$G$6:$G$405,$AP2166)),"時短開始日がマスタと相違／","")&amp;IF(AND($M2166&lt;&gt;"",INDEX(職員マスタ!$H$6:$H$405,$AP2166)&lt;&gt;"",$M2166&lt;&gt;INDEX(職員マスタ!$H$6:$H$405,$AP2166)),"時短終了日がマスタと相違／","")))&amp;IF(AND($B2166&lt;&gt;"",$E2166=""),"報酬額が未入力／","")&amp;IF(N($U2166)&gt;0,"申請書に入力エラーが残っています／","")&amp;IF(AND($B2166&lt;&gt;"",$AQ2166&lt;&gt;""),IF(COUNTIFS($B$6:$B$3005,$B2166,$C$6:$C$3005,$C2166,$D$6:$D$3005,$D2166)&gt;1,"同じ月の請求が重複しています／",""),"")&amp;IF(AND(N($E2166)&gt;0,$AB2166&lt;&gt;"",$AB2166&lt;&gt;"×",$AE2166=0,$AD2166=""),"計算額が下限以下のため不支給／",""))</f>
        <v/>
      </c>
      <c r="AN2166" s="12" t="n"/>
      <c r="AO2166" s="14">
        <f>IF($AF2166="保留中",COUNTIF($AF$6:$AF2166,"保留中"),"")</f>
        <v/>
      </c>
      <c r="AP2166" s="14">
        <f>IF($AQ2166="","",IF(SUMPRODUCT(MAX((職員マスタ!$A$6:$A$405=$B2166)*(((職員マスタ!$G$6:$G$405="")+(職員マスタ!$G$6:$G$405&lt;=EOMONTH($AQ2166,0)))&gt;0)*(((職員マスタ!$H$6:$H$405="")+(職員マスタ!$H$6:$H$405&gt;=$AQ2166))&gt;0)*(ROW(職員マスタ!$A$6:$A$405)-5)))&gt;0,SUMPRODUCT(MAX((職員マスタ!$A$6:$A$405=$B2166)*(((職員マスタ!$G$6:$G$405="")+(職員マスタ!$G$6:$G$405&lt;=EOMONTH($AQ2166,0)))&gt;0)*(((職員マスタ!$H$6:$H$405="")+(職員マスタ!$H$6:$H$405&gt;=$AQ2166))&gt;0)*(ROW(職員マスタ!$A$6:$A$405)-5))),IFERROR(MATCH($B2166,職員マスタ!$A$6:$A$405,0),"")))</f>
        <v/>
      </c>
      <c r="AQ2166" s="16">
        <f>IF(OR($B2166="",$C2166="",$D2166=""),"",DATE($C2166+2018,$D2166,1))</f>
        <v/>
      </c>
    </row>
    <row r="2167">
      <c r="A2167" s="11" t="n"/>
      <c r="B2167" s="12" t="n"/>
      <c r="C2167" s="12" t="n"/>
      <c r="D2167" s="12" t="n"/>
      <c r="E2167" s="13" t="n"/>
      <c r="F2167" s="12" t="n"/>
      <c r="G2167" s="13" t="n"/>
      <c r="H2167" s="12" t="n"/>
      <c r="I2167" s="12" t="n"/>
      <c r="J2167" s="12" t="n"/>
      <c r="K2167" s="12" t="n"/>
      <c r="L2167" s="11" t="n"/>
      <c r="M2167" s="11" t="n"/>
      <c r="N2167" s="11" t="n"/>
      <c r="O2167" s="11" t="n"/>
      <c r="P2167" s="12" t="n"/>
      <c r="Q2167" s="11" t="n"/>
      <c r="R2167" s="12" t="n"/>
      <c r="S2167" s="11" t="n"/>
      <c r="T2167" s="12" t="n"/>
      <c r="U2167" s="12" t="n"/>
      <c r="V2167" s="12" t="n"/>
      <c r="W2167" s="13" t="n"/>
      <c r="X2167" s="14">
        <f>IF($AP2167="",IF($B2167="","",$H2167),IF(INDEX(職員マスタ!$B$6:$B$405,$AP2167)="",$H2167,INDEX(職員マスタ!$B$6:$B$405,$AP2167)))</f>
        <v/>
      </c>
      <c r="Y2167" s="14">
        <f>IF($AP2167="",IF($B2167="","",$R2167),IF(INDEX(職員マスタ!$C$6:$C$405,$AP2167)="",$R2167,INDEX(職員マスタ!$C$6:$C$405,$AP2167)))</f>
        <v/>
      </c>
      <c r="Z2167" s="14">
        <f>IF($AQ2167="","","R"&amp;$C2167&amp;"."&amp;$D2167)</f>
        <v/>
      </c>
      <c r="AA2167" s="15">
        <f>IF(IF($AP2167="",FALSE,INDEX(職員マスタ!$K$6:$K$405,$AP2167)&lt;&gt;""),INDEX(職員マスタ!$K$6:$K$405,$AP2167),IF(N($W2167)&gt;0,$W2167,""))</f>
        <v/>
      </c>
      <c r="AB2167" s="14">
        <f>IF(OR($E2167="",$AA2167=""),"",IF($E2167&gt;=$AA2167,"×",IF($E2167&gt;=$AA2167*設定!$C$5,"△","○")))</f>
        <v/>
      </c>
      <c r="AC2167" s="15">
        <f>IF($AB2167="","",IF($AB2167="×",0,IF($AB2167="○",ROUNDDOWN($E2167*設定!$C$4,0),ROUNDDOWN($E2167*ROUND((9*$AA2167-9*$E2167)/(10*$E2167),4),0))))</f>
        <v/>
      </c>
      <c r="AD2167" s="13" t="n"/>
      <c r="AE2167" s="15">
        <f>IF($B2167="","",IF($AD2167&lt;&gt;"",$AD2167,IF($AC2167="","",IF($AC2167&lt;=設定!$C$3,0,$AC2167))))</f>
        <v/>
      </c>
      <c r="AF2167" s="14">
        <f>IF($B2167="","",IF(AND($AG2167&lt;&gt;"",$AI2167="",$AL2167=""),"保留中",IF($AL2167&lt;&gt;"",IF(N($AE2167)&gt;0,"支給済","不支給"),IF($AE2167="","要確認",IF($AE2167=0,"不支給","未処理")))))</f>
        <v/>
      </c>
      <c r="AG2167" s="12" t="n"/>
      <c r="AH2167" s="11" t="n"/>
      <c r="AI2167" s="11" t="n"/>
      <c r="AJ2167" s="11" t="n"/>
      <c r="AK2167" s="14">
        <f>IF(AND($AF2167="保留中",$AH2167&lt;&gt;""),TODAY()-$AH2167,"")</f>
        <v/>
      </c>
      <c r="AL2167" s="12" t="n"/>
      <c r="AM2167" s="14">
        <f>IF($B2167="","",IF($AQ2167="","対象年月が未入力／","")&amp;IF($B2167="","",IF($AP2167="","職員マスタに未登録の職員番号／",IF($AA2167="","標準報酬月額が未登録／","")&amp;IF(AND($AQ2167&lt;&gt;"",OR(AND(INDEX(職員マスタ!$G$6:$G$405,$AP2167)&lt;&gt;"",INDEX(職員マスタ!$G$6:$G$405,$AP2167)&gt;EOMONTH($AQ2167,0)),AND(INDEX(職員マスタ!$H$6:$H$405,$AP2167)&lt;&gt;"",INDEX(職員マスタ!$H$6:$H$405,$AP2167)&lt;$AQ2167))),"対象月が時短期間外／","")&amp;IF(AND(INDEX(職員マスタ!$K$6:$K$405,$AP2167)&lt;&gt;"",N($W2167)&gt;0,INDEX(職員マスタ!$K$6:$K$405,$AP2167)&lt;&gt;$W2167),"標準報酬月額が申請書と相違（台帳"&amp;TEXT(INDEX(職員マスタ!$K$6:$K$405,$AP2167),"#,##0")&amp;"円／申請書"&amp;TEXT($W2167,"#,##0")&amp;"円）／","")&amp;IF(AND(INDEX(職員マスタ!$F$6:$F$405,$AP2167)&lt;&gt;"",$AQ2167&lt;&gt;"",INDEX(職員マスタ!$F$6:$F$405,$AP2167)&lt;$AQ2167),"対象月に子が2歳到達済／","")&amp;IF(AND($H2167&lt;&gt;"",INDEX(職員マスタ!$B$6:$B$405,$AP2167)&lt;&gt;"",SUBSTITUTE(SUBSTITUTE($H2167," ","")," ","")&lt;&gt;SUBSTITUTE(SUBSTITUTE(INDEX(職員マスタ!$B$6:$B$405,$AP2167)," ","")," ","")),"氏名がマスタと相違／","")&amp;IF(AND($Q2167&lt;&gt;"",INDEX(職員マスタ!$E$6:$E$405,$AP2167)&lt;&gt;"",$Q2167&lt;&gt;INDEX(職員マスタ!$E$6:$E$405,$AP2167)),"子の生年月日がマスタと相違／","")&amp;IF(AND($L2167&lt;&gt;"",INDEX(職員マスタ!$G$6:$G$405,$AP2167)&lt;&gt;"",$L2167&lt;&gt;INDEX(職員マスタ!$G$6:$G$405,$AP2167)),"時短開始日がマスタと相違／","")&amp;IF(AND($M2167&lt;&gt;"",INDEX(職員マスタ!$H$6:$H$405,$AP2167)&lt;&gt;"",$M2167&lt;&gt;INDEX(職員マスタ!$H$6:$H$405,$AP2167)),"時短終了日がマスタと相違／","")))&amp;IF(AND($B2167&lt;&gt;"",$E2167=""),"報酬額が未入力／","")&amp;IF(N($U2167)&gt;0,"申請書に入力エラーが残っています／","")&amp;IF(AND($B2167&lt;&gt;"",$AQ2167&lt;&gt;""),IF(COUNTIFS($B$6:$B$3005,$B2167,$C$6:$C$3005,$C2167,$D$6:$D$3005,$D2167)&gt;1,"同じ月の請求が重複しています／",""),"")&amp;IF(AND(N($E2167)&gt;0,$AB2167&lt;&gt;"",$AB2167&lt;&gt;"×",$AE2167=0,$AD2167=""),"計算額が下限以下のため不支給／",""))</f>
        <v/>
      </c>
      <c r="AN2167" s="12" t="n"/>
      <c r="AO2167" s="14">
        <f>IF($AF2167="保留中",COUNTIF($AF$6:$AF2167,"保留中"),"")</f>
        <v/>
      </c>
      <c r="AP2167" s="14">
        <f>IF($AQ2167="","",IF(SUMPRODUCT(MAX((職員マスタ!$A$6:$A$405=$B2167)*(((職員マスタ!$G$6:$G$405="")+(職員マスタ!$G$6:$G$405&lt;=EOMONTH($AQ2167,0)))&gt;0)*(((職員マスタ!$H$6:$H$405="")+(職員マスタ!$H$6:$H$405&gt;=$AQ2167))&gt;0)*(ROW(職員マスタ!$A$6:$A$405)-5)))&gt;0,SUMPRODUCT(MAX((職員マスタ!$A$6:$A$405=$B2167)*(((職員マスタ!$G$6:$G$405="")+(職員マスタ!$G$6:$G$405&lt;=EOMONTH($AQ2167,0)))&gt;0)*(((職員マスタ!$H$6:$H$405="")+(職員マスタ!$H$6:$H$405&gt;=$AQ2167))&gt;0)*(ROW(職員マスタ!$A$6:$A$405)-5))),IFERROR(MATCH($B2167,職員マスタ!$A$6:$A$405,0),"")))</f>
        <v/>
      </c>
      <c r="AQ2167" s="16">
        <f>IF(OR($B2167="",$C2167="",$D2167=""),"",DATE($C2167+2018,$D2167,1))</f>
        <v/>
      </c>
    </row>
    <row r="2168">
      <c r="A2168" s="11" t="n"/>
      <c r="B2168" s="12" t="n"/>
      <c r="C2168" s="12" t="n"/>
      <c r="D2168" s="12" t="n"/>
      <c r="E2168" s="13" t="n"/>
      <c r="F2168" s="12" t="n"/>
      <c r="G2168" s="13" t="n"/>
      <c r="H2168" s="12" t="n"/>
      <c r="I2168" s="12" t="n"/>
      <c r="J2168" s="12" t="n"/>
      <c r="K2168" s="12" t="n"/>
      <c r="L2168" s="11" t="n"/>
      <c r="M2168" s="11" t="n"/>
      <c r="N2168" s="11" t="n"/>
      <c r="O2168" s="11" t="n"/>
      <c r="P2168" s="12" t="n"/>
      <c r="Q2168" s="11" t="n"/>
      <c r="R2168" s="12" t="n"/>
      <c r="S2168" s="11" t="n"/>
      <c r="T2168" s="12" t="n"/>
      <c r="U2168" s="12" t="n"/>
      <c r="V2168" s="12" t="n"/>
      <c r="W2168" s="13" t="n"/>
      <c r="X2168" s="14">
        <f>IF($AP2168="",IF($B2168="","",$H2168),IF(INDEX(職員マスタ!$B$6:$B$405,$AP2168)="",$H2168,INDEX(職員マスタ!$B$6:$B$405,$AP2168)))</f>
        <v/>
      </c>
      <c r="Y2168" s="14">
        <f>IF($AP2168="",IF($B2168="","",$R2168),IF(INDEX(職員マスタ!$C$6:$C$405,$AP2168)="",$R2168,INDEX(職員マスタ!$C$6:$C$405,$AP2168)))</f>
        <v/>
      </c>
      <c r="Z2168" s="14">
        <f>IF($AQ2168="","","R"&amp;$C2168&amp;"."&amp;$D2168)</f>
        <v/>
      </c>
      <c r="AA2168" s="15">
        <f>IF(IF($AP2168="",FALSE,INDEX(職員マスタ!$K$6:$K$405,$AP2168)&lt;&gt;""),INDEX(職員マスタ!$K$6:$K$405,$AP2168),IF(N($W2168)&gt;0,$W2168,""))</f>
        <v/>
      </c>
      <c r="AB2168" s="14">
        <f>IF(OR($E2168="",$AA2168=""),"",IF($E2168&gt;=$AA2168,"×",IF($E2168&gt;=$AA2168*設定!$C$5,"△","○")))</f>
        <v/>
      </c>
      <c r="AC2168" s="15">
        <f>IF($AB2168="","",IF($AB2168="×",0,IF($AB2168="○",ROUNDDOWN($E2168*設定!$C$4,0),ROUNDDOWN($E2168*ROUND((9*$AA2168-9*$E2168)/(10*$E2168),4),0))))</f>
        <v/>
      </c>
      <c r="AD2168" s="13" t="n"/>
      <c r="AE2168" s="15">
        <f>IF($B2168="","",IF($AD2168&lt;&gt;"",$AD2168,IF($AC2168="","",IF($AC2168&lt;=設定!$C$3,0,$AC2168))))</f>
        <v/>
      </c>
      <c r="AF2168" s="14">
        <f>IF($B2168="","",IF(AND($AG2168&lt;&gt;"",$AI2168="",$AL2168=""),"保留中",IF($AL2168&lt;&gt;"",IF(N($AE2168)&gt;0,"支給済","不支給"),IF($AE2168="","要確認",IF($AE2168=0,"不支給","未処理")))))</f>
        <v/>
      </c>
      <c r="AG2168" s="12" t="n"/>
      <c r="AH2168" s="11" t="n"/>
      <c r="AI2168" s="11" t="n"/>
      <c r="AJ2168" s="11" t="n"/>
      <c r="AK2168" s="14">
        <f>IF(AND($AF2168="保留中",$AH2168&lt;&gt;""),TODAY()-$AH2168,"")</f>
        <v/>
      </c>
      <c r="AL2168" s="12" t="n"/>
      <c r="AM2168" s="14">
        <f>IF($B2168="","",IF($AQ2168="","対象年月が未入力／","")&amp;IF($B2168="","",IF($AP2168="","職員マスタに未登録の職員番号／",IF($AA2168="","標準報酬月額が未登録／","")&amp;IF(AND($AQ2168&lt;&gt;"",OR(AND(INDEX(職員マスタ!$G$6:$G$405,$AP2168)&lt;&gt;"",INDEX(職員マスタ!$G$6:$G$405,$AP2168)&gt;EOMONTH($AQ2168,0)),AND(INDEX(職員マスタ!$H$6:$H$405,$AP2168)&lt;&gt;"",INDEX(職員マスタ!$H$6:$H$405,$AP2168)&lt;$AQ2168))),"対象月が時短期間外／","")&amp;IF(AND(INDEX(職員マスタ!$K$6:$K$405,$AP2168)&lt;&gt;"",N($W2168)&gt;0,INDEX(職員マスタ!$K$6:$K$405,$AP2168)&lt;&gt;$W2168),"標準報酬月額が申請書と相違（台帳"&amp;TEXT(INDEX(職員マスタ!$K$6:$K$405,$AP2168),"#,##0")&amp;"円／申請書"&amp;TEXT($W2168,"#,##0")&amp;"円）／","")&amp;IF(AND(INDEX(職員マスタ!$F$6:$F$405,$AP2168)&lt;&gt;"",$AQ2168&lt;&gt;"",INDEX(職員マスタ!$F$6:$F$405,$AP2168)&lt;$AQ2168),"対象月に子が2歳到達済／","")&amp;IF(AND($H2168&lt;&gt;"",INDEX(職員マスタ!$B$6:$B$405,$AP2168)&lt;&gt;"",SUBSTITUTE(SUBSTITUTE($H2168," ","")," ","")&lt;&gt;SUBSTITUTE(SUBSTITUTE(INDEX(職員マスタ!$B$6:$B$405,$AP2168)," ","")," ","")),"氏名がマスタと相違／","")&amp;IF(AND($Q2168&lt;&gt;"",INDEX(職員マスタ!$E$6:$E$405,$AP2168)&lt;&gt;"",$Q2168&lt;&gt;INDEX(職員マスタ!$E$6:$E$405,$AP2168)),"子の生年月日がマスタと相違／","")&amp;IF(AND($L2168&lt;&gt;"",INDEX(職員マスタ!$G$6:$G$405,$AP2168)&lt;&gt;"",$L2168&lt;&gt;INDEX(職員マスタ!$G$6:$G$405,$AP2168)),"時短開始日がマスタと相違／","")&amp;IF(AND($M2168&lt;&gt;"",INDEX(職員マスタ!$H$6:$H$405,$AP2168)&lt;&gt;"",$M2168&lt;&gt;INDEX(職員マスタ!$H$6:$H$405,$AP2168)),"時短終了日がマスタと相違／","")))&amp;IF(AND($B2168&lt;&gt;"",$E2168=""),"報酬額が未入力／","")&amp;IF(N($U2168)&gt;0,"申請書に入力エラーが残っています／","")&amp;IF(AND($B2168&lt;&gt;"",$AQ2168&lt;&gt;""),IF(COUNTIFS($B$6:$B$3005,$B2168,$C$6:$C$3005,$C2168,$D$6:$D$3005,$D2168)&gt;1,"同じ月の請求が重複しています／",""),"")&amp;IF(AND(N($E2168)&gt;0,$AB2168&lt;&gt;"",$AB2168&lt;&gt;"×",$AE2168=0,$AD2168=""),"計算額が下限以下のため不支給／",""))</f>
        <v/>
      </c>
      <c r="AN2168" s="12" t="n"/>
      <c r="AO2168" s="14">
        <f>IF($AF2168="保留中",COUNTIF($AF$6:$AF2168,"保留中"),"")</f>
        <v/>
      </c>
      <c r="AP2168" s="14">
        <f>IF($AQ2168="","",IF(SUMPRODUCT(MAX((職員マスタ!$A$6:$A$405=$B2168)*(((職員マスタ!$G$6:$G$405="")+(職員マスタ!$G$6:$G$405&lt;=EOMONTH($AQ2168,0)))&gt;0)*(((職員マスタ!$H$6:$H$405="")+(職員マスタ!$H$6:$H$405&gt;=$AQ2168))&gt;0)*(ROW(職員マスタ!$A$6:$A$405)-5)))&gt;0,SUMPRODUCT(MAX((職員マスタ!$A$6:$A$405=$B2168)*(((職員マスタ!$G$6:$G$405="")+(職員マスタ!$G$6:$G$405&lt;=EOMONTH($AQ2168,0)))&gt;0)*(((職員マスタ!$H$6:$H$405="")+(職員マスタ!$H$6:$H$405&gt;=$AQ2168))&gt;0)*(ROW(職員マスタ!$A$6:$A$405)-5))),IFERROR(MATCH($B2168,職員マスタ!$A$6:$A$405,0),"")))</f>
        <v/>
      </c>
      <c r="AQ2168" s="16">
        <f>IF(OR($B2168="",$C2168="",$D2168=""),"",DATE($C2168+2018,$D2168,1))</f>
        <v/>
      </c>
    </row>
    <row r="2169">
      <c r="A2169" s="11" t="n"/>
      <c r="B2169" s="12" t="n"/>
      <c r="C2169" s="12" t="n"/>
      <c r="D2169" s="12" t="n"/>
      <c r="E2169" s="13" t="n"/>
      <c r="F2169" s="12" t="n"/>
      <c r="G2169" s="13" t="n"/>
      <c r="H2169" s="12" t="n"/>
      <c r="I2169" s="12" t="n"/>
      <c r="J2169" s="12" t="n"/>
      <c r="K2169" s="12" t="n"/>
      <c r="L2169" s="11" t="n"/>
      <c r="M2169" s="11" t="n"/>
      <c r="N2169" s="11" t="n"/>
      <c r="O2169" s="11" t="n"/>
      <c r="P2169" s="12" t="n"/>
      <c r="Q2169" s="11" t="n"/>
      <c r="R2169" s="12" t="n"/>
      <c r="S2169" s="11" t="n"/>
      <c r="T2169" s="12" t="n"/>
      <c r="U2169" s="12" t="n"/>
      <c r="V2169" s="12" t="n"/>
      <c r="W2169" s="13" t="n"/>
      <c r="X2169" s="14">
        <f>IF($AP2169="",IF($B2169="","",$H2169),IF(INDEX(職員マスタ!$B$6:$B$405,$AP2169)="",$H2169,INDEX(職員マスタ!$B$6:$B$405,$AP2169)))</f>
        <v/>
      </c>
      <c r="Y2169" s="14">
        <f>IF($AP2169="",IF($B2169="","",$R2169),IF(INDEX(職員マスタ!$C$6:$C$405,$AP2169)="",$R2169,INDEX(職員マスタ!$C$6:$C$405,$AP2169)))</f>
        <v/>
      </c>
      <c r="Z2169" s="14">
        <f>IF($AQ2169="","","R"&amp;$C2169&amp;"."&amp;$D2169)</f>
        <v/>
      </c>
      <c r="AA2169" s="15">
        <f>IF(IF($AP2169="",FALSE,INDEX(職員マスタ!$K$6:$K$405,$AP2169)&lt;&gt;""),INDEX(職員マスタ!$K$6:$K$405,$AP2169),IF(N($W2169)&gt;0,$W2169,""))</f>
        <v/>
      </c>
      <c r="AB2169" s="14">
        <f>IF(OR($E2169="",$AA2169=""),"",IF($E2169&gt;=$AA2169,"×",IF($E2169&gt;=$AA2169*設定!$C$5,"△","○")))</f>
        <v/>
      </c>
      <c r="AC2169" s="15">
        <f>IF($AB2169="","",IF($AB2169="×",0,IF($AB2169="○",ROUNDDOWN($E2169*設定!$C$4,0),ROUNDDOWN($E2169*ROUND((9*$AA2169-9*$E2169)/(10*$E2169),4),0))))</f>
        <v/>
      </c>
      <c r="AD2169" s="13" t="n"/>
      <c r="AE2169" s="15">
        <f>IF($B2169="","",IF($AD2169&lt;&gt;"",$AD2169,IF($AC2169="","",IF($AC2169&lt;=設定!$C$3,0,$AC2169))))</f>
        <v/>
      </c>
      <c r="AF2169" s="14">
        <f>IF($B2169="","",IF(AND($AG2169&lt;&gt;"",$AI2169="",$AL2169=""),"保留中",IF($AL2169&lt;&gt;"",IF(N($AE2169)&gt;0,"支給済","不支給"),IF($AE2169="","要確認",IF($AE2169=0,"不支給","未処理")))))</f>
        <v/>
      </c>
      <c r="AG2169" s="12" t="n"/>
      <c r="AH2169" s="11" t="n"/>
      <c r="AI2169" s="11" t="n"/>
      <c r="AJ2169" s="11" t="n"/>
      <c r="AK2169" s="14">
        <f>IF(AND($AF2169="保留中",$AH2169&lt;&gt;""),TODAY()-$AH2169,"")</f>
        <v/>
      </c>
      <c r="AL2169" s="12" t="n"/>
      <c r="AM2169" s="14">
        <f>IF($B2169="","",IF($AQ2169="","対象年月が未入力／","")&amp;IF($B2169="","",IF($AP2169="","職員マスタに未登録の職員番号／",IF($AA2169="","標準報酬月額が未登録／","")&amp;IF(AND($AQ2169&lt;&gt;"",OR(AND(INDEX(職員マスタ!$G$6:$G$405,$AP2169)&lt;&gt;"",INDEX(職員マスタ!$G$6:$G$405,$AP2169)&gt;EOMONTH($AQ2169,0)),AND(INDEX(職員マスタ!$H$6:$H$405,$AP2169)&lt;&gt;"",INDEX(職員マスタ!$H$6:$H$405,$AP2169)&lt;$AQ2169))),"対象月が時短期間外／","")&amp;IF(AND(INDEX(職員マスタ!$K$6:$K$405,$AP2169)&lt;&gt;"",N($W2169)&gt;0,INDEX(職員マスタ!$K$6:$K$405,$AP2169)&lt;&gt;$W2169),"標準報酬月額が申請書と相違（台帳"&amp;TEXT(INDEX(職員マスタ!$K$6:$K$405,$AP2169),"#,##0")&amp;"円／申請書"&amp;TEXT($W2169,"#,##0")&amp;"円）／","")&amp;IF(AND(INDEX(職員マスタ!$F$6:$F$405,$AP2169)&lt;&gt;"",$AQ2169&lt;&gt;"",INDEX(職員マスタ!$F$6:$F$405,$AP2169)&lt;$AQ2169),"対象月に子が2歳到達済／","")&amp;IF(AND($H2169&lt;&gt;"",INDEX(職員マスタ!$B$6:$B$405,$AP2169)&lt;&gt;"",SUBSTITUTE(SUBSTITUTE($H2169," ","")," ","")&lt;&gt;SUBSTITUTE(SUBSTITUTE(INDEX(職員マスタ!$B$6:$B$405,$AP2169)," ","")," ","")),"氏名がマスタと相違／","")&amp;IF(AND($Q2169&lt;&gt;"",INDEX(職員マスタ!$E$6:$E$405,$AP2169)&lt;&gt;"",$Q2169&lt;&gt;INDEX(職員マスタ!$E$6:$E$405,$AP2169)),"子の生年月日がマスタと相違／","")&amp;IF(AND($L2169&lt;&gt;"",INDEX(職員マスタ!$G$6:$G$405,$AP2169)&lt;&gt;"",$L2169&lt;&gt;INDEX(職員マスタ!$G$6:$G$405,$AP2169)),"時短開始日がマスタと相違／","")&amp;IF(AND($M2169&lt;&gt;"",INDEX(職員マスタ!$H$6:$H$405,$AP2169)&lt;&gt;"",$M2169&lt;&gt;INDEX(職員マスタ!$H$6:$H$405,$AP2169)),"時短終了日がマスタと相違／","")))&amp;IF(AND($B2169&lt;&gt;"",$E2169=""),"報酬額が未入力／","")&amp;IF(N($U2169)&gt;0,"申請書に入力エラーが残っています／","")&amp;IF(AND($B2169&lt;&gt;"",$AQ2169&lt;&gt;""),IF(COUNTIFS($B$6:$B$3005,$B2169,$C$6:$C$3005,$C2169,$D$6:$D$3005,$D2169)&gt;1,"同じ月の請求が重複しています／",""),"")&amp;IF(AND(N($E2169)&gt;0,$AB2169&lt;&gt;"",$AB2169&lt;&gt;"×",$AE2169=0,$AD2169=""),"計算額が下限以下のため不支給／",""))</f>
        <v/>
      </c>
      <c r="AN2169" s="12" t="n"/>
      <c r="AO2169" s="14">
        <f>IF($AF2169="保留中",COUNTIF($AF$6:$AF2169,"保留中"),"")</f>
        <v/>
      </c>
      <c r="AP2169" s="14">
        <f>IF($AQ2169="","",IF(SUMPRODUCT(MAX((職員マスタ!$A$6:$A$405=$B2169)*(((職員マスタ!$G$6:$G$405="")+(職員マスタ!$G$6:$G$405&lt;=EOMONTH($AQ2169,0)))&gt;0)*(((職員マスタ!$H$6:$H$405="")+(職員マスタ!$H$6:$H$405&gt;=$AQ2169))&gt;0)*(ROW(職員マスタ!$A$6:$A$405)-5)))&gt;0,SUMPRODUCT(MAX((職員マスタ!$A$6:$A$405=$B2169)*(((職員マスタ!$G$6:$G$405="")+(職員マスタ!$G$6:$G$405&lt;=EOMONTH($AQ2169,0)))&gt;0)*(((職員マスタ!$H$6:$H$405="")+(職員マスタ!$H$6:$H$405&gt;=$AQ2169))&gt;0)*(ROW(職員マスタ!$A$6:$A$405)-5))),IFERROR(MATCH($B2169,職員マスタ!$A$6:$A$405,0),"")))</f>
        <v/>
      </c>
      <c r="AQ2169" s="16">
        <f>IF(OR($B2169="",$C2169="",$D2169=""),"",DATE($C2169+2018,$D2169,1))</f>
        <v/>
      </c>
    </row>
    <row r="2170">
      <c r="A2170" s="11" t="n"/>
      <c r="B2170" s="12" t="n"/>
      <c r="C2170" s="12" t="n"/>
      <c r="D2170" s="12" t="n"/>
      <c r="E2170" s="13" t="n"/>
      <c r="F2170" s="12" t="n"/>
      <c r="G2170" s="13" t="n"/>
      <c r="H2170" s="12" t="n"/>
      <c r="I2170" s="12" t="n"/>
      <c r="J2170" s="12" t="n"/>
      <c r="K2170" s="12" t="n"/>
      <c r="L2170" s="11" t="n"/>
      <c r="M2170" s="11" t="n"/>
      <c r="N2170" s="11" t="n"/>
      <c r="O2170" s="11" t="n"/>
      <c r="P2170" s="12" t="n"/>
      <c r="Q2170" s="11" t="n"/>
      <c r="R2170" s="12" t="n"/>
      <c r="S2170" s="11" t="n"/>
      <c r="T2170" s="12" t="n"/>
      <c r="U2170" s="12" t="n"/>
      <c r="V2170" s="12" t="n"/>
      <c r="W2170" s="13" t="n"/>
      <c r="X2170" s="14">
        <f>IF($AP2170="",IF($B2170="","",$H2170),IF(INDEX(職員マスタ!$B$6:$B$405,$AP2170)="",$H2170,INDEX(職員マスタ!$B$6:$B$405,$AP2170)))</f>
        <v/>
      </c>
      <c r="Y2170" s="14">
        <f>IF($AP2170="",IF($B2170="","",$R2170),IF(INDEX(職員マスタ!$C$6:$C$405,$AP2170)="",$R2170,INDEX(職員マスタ!$C$6:$C$405,$AP2170)))</f>
        <v/>
      </c>
      <c r="Z2170" s="14">
        <f>IF($AQ2170="","","R"&amp;$C2170&amp;"."&amp;$D2170)</f>
        <v/>
      </c>
      <c r="AA2170" s="15">
        <f>IF(IF($AP2170="",FALSE,INDEX(職員マスタ!$K$6:$K$405,$AP2170)&lt;&gt;""),INDEX(職員マスタ!$K$6:$K$405,$AP2170),IF(N($W2170)&gt;0,$W2170,""))</f>
        <v/>
      </c>
      <c r="AB2170" s="14">
        <f>IF(OR($E2170="",$AA2170=""),"",IF($E2170&gt;=$AA2170,"×",IF($E2170&gt;=$AA2170*設定!$C$5,"△","○")))</f>
        <v/>
      </c>
      <c r="AC2170" s="15">
        <f>IF($AB2170="","",IF($AB2170="×",0,IF($AB2170="○",ROUNDDOWN($E2170*設定!$C$4,0),ROUNDDOWN($E2170*ROUND((9*$AA2170-9*$E2170)/(10*$E2170),4),0))))</f>
        <v/>
      </c>
      <c r="AD2170" s="13" t="n"/>
      <c r="AE2170" s="15">
        <f>IF($B2170="","",IF($AD2170&lt;&gt;"",$AD2170,IF($AC2170="","",IF($AC2170&lt;=設定!$C$3,0,$AC2170))))</f>
        <v/>
      </c>
      <c r="AF2170" s="14">
        <f>IF($B2170="","",IF(AND($AG2170&lt;&gt;"",$AI2170="",$AL2170=""),"保留中",IF($AL2170&lt;&gt;"",IF(N($AE2170)&gt;0,"支給済","不支給"),IF($AE2170="","要確認",IF($AE2170=0,"不支給","未処理")))))</f>
        <v/>
      </c>
      <c r="AG2170" s="12" t="n"/>
      <c r="AH2170" s="11" t="n"/>
      <c r="AI2170" s="11" t="n"/>
      <c r="AJ2170" s="11" t="n"/>
      <c r="AK2170" s="14">
        <f>IF(AND($AF2170="保留中",$AH2170&lt;&gt;""),TODAY()-$AH2170,"")</f>
        <v/>
      </c>
      <c r="AL2170" s="12" t="n"/>
      <c r="AM2170" s="14">
        <f>IF($B2170="","",IF($AQ2170="","対象年月が未入力／","")&amp;IF($B2170="","",IF($AP2170="","職員マスタに未登録の職員番号／",IF($AA2170="","標準報酬月額が未登録／","")&amp;IF(AND($AQ2170&lt;&gt;"",OR(AND(INDEX(職員マスタ!$G$6:$G$405,$AP2170)&lt;&gt;"",INDEX(職員マスタ!$G$6:$G$405,$AP2170)&gt;EOMONTH($AQ2170,0)),AND(INDEX(職員マスタ!$H$6:$H$405,$AP2170)&lt;&gt;"",INDEX(職員マスタ!$H$6:$H$405,$AP2170)&lt;$AQ2170))),"対象月が時短期間外／","")&amp;IF(AND(INDEX(職員マスタ!$K$6:$K$405,$AP2170)&lt;&gt;"",N($W2170)&gt;0,INDEX(職員マスタ!$K$6:$K$405,$AP2170)&lt;&gt;$W2170),"標準報酬月額が申請書と相違（台帳"&amp;TEXT(INDEX(職員マスタ!$K$6:$K$405,$AP2170),"#,##0")&amp;"円／申請書"&amp;TEXT($W2170,"#,##0")&amp;"円）／","")&amp;IF(AND(INDEX(職員マスタ!$F$6:$F$405,$AP2170)&lt;&gt;"",$AQ2170&lt;&gt;"",INDEX(職員マスタ!$F$6:$F$405,$AP2170)&lt;$AQ2170),"対象月に子が2歳到達済／","")&amp;IF(AND($H2170&lt;&gt;"",INDEX(職員マスタ!$B$6:$B$405,$AP2170)&lt;&gt;"",SUBSTITUTE(SUBSTITUTE($H2170," ","")," ","")&lt;&gt;SUBSTITUTE(SUBSTITUTE(INDEX(職員マスタ!$B$6:$B$405,$AP2170)," ","")," ","")),"氏名がマスタと相違／","")&amp;IF(AND($Q2170&lt;&gt;"",INDEX(職員マスタ!$E$6:$E$405,$AP2170)&lt;&gt;"",$Q2170&lt;&gt;INDEX(職員マスタ!$E$6:$E$405,$AP2170)),"子の生年月日がマスタと相違／","")&amp;IF(AND($L2170&lt;&gt;"",INDEX(職員マスタ!$G$6:$G$405,$AP2170)&lt;&gt;"",$L2170&lt;&gt;INDEX(職員マスタ!$G$6:$G$405,$AP2170)),"時短開始日がマスタと相違／","")&amp;IF(AND($M2170&lt;&gt;"",INDEX(職員マスタ!$H$6:$H$405,$AP2170)&lt;&gt;"",$M2170&lt;&gt;INDEX(職員マスタ!$H$6:$H$405,$AP2170)),"時短終了日がマスタと相違／","")))&amp;IF(AND($B2170&lt;&gt;"",$E2170=""),"報酬額が未入力／","")&amp;IF(N($U2170)&gt;0,"申請書に入力エラーが残っています／","")&amp;IF(AND($B2170&lt;&gt;"",$AQ2170&lt;&gt;""),IF(COUNTIFS($B$6:$B$3005,$B2170,$C$6:$C$3005,$C2170,$D$6:$D$3005,$D2170)&gt;1,"同じ月の請求が重複しています／",""),"")&amp;IF(AND(N($E2170)&gt;0,$AB2170&lt;&gt;"",$AB2170&lt;&gt;"×",$AE2170=0,$AD2170=""),"計算額が下限以下のため不支給／",""))</f>
        <v/>
      </c>
      <c r="AN2170" s="12" t="n"/>
      <c r="AO2170" s="14">
        <f>IF($AF2170="保留中",COUNTIF($AF$6:$AF2170,"保留中"),"")</f>
        <v/>
      </c>
      <c r="AP2170" s="14">
        <f>IF($AQ2170="","",IF(SUMPRODUCT(MAX((職員マスタ!$A$6:$A$405=$B2170)*(((職員マスタ!$G$6:$G$405="")+(職員マスタ!$G$6:$G$405&lt;=EOMONTH($AQ2170,0)))&gt;0)*(((職員マスタ!$H$6:$H$405="")+(職員マスタ!$H$6:$H$405&gt;=$AQ2170))&gt;0)*(ROW(職員マスタ!$A$6:$A$405)-5)))&gt;0,SUMPRODUCT(MAX((職員マスタ!$A$6:$A$405=$B2170)*(((職員マスタ!$G$6:$G$405="")+(職員マスタ!$G$6:$G$405&lt;=EOMONTH($AQ2170,0)))&gt;0)*(((職員マスタ!$H$6:$H$405="")+(職員マスタ!$H$6:$H$405&gt;=$AQ2170))&gt;0)*(ROW(職員マスタ!$A$6:$A$405)-5))),IFERROR(MATCH($B2170,職員マスタ!$A$6:$A$405,0),"")))</f>
        <v/>
      </c>
      <c r="AQ2170" s="16">
        <f>IF(OR($B2170="",$C2170="",$D2170=""),"",DATE($C2170+2018,$D2170,1))</f>
        <v/>
      </c>
    </row>
    <row r="2171">
      <c r="A2171" s="11" t="n"/>
      <c r="B2171" s="12" t="n"/>
      <c r="C2171" s="12" t="n"/>
      <c r="D2171" s="12" t="n"/>
      <c r="E2171" s="13" t="n"/>
      <c r="F2171" s="12" t="n"/>
      <c r="G2171" s="13" t="n"/>
      <c r="H2171" s="12" t="n"/>
      <c r="I2171" s="12" t="n"/>
      <c r="J2171" s="12" t="n"/>
      <c r="K2171" s="12" t="n"/>
      <c r="L2171" s="11" t="n"/>
      <c r="M2171" s="11" t="n"/>
      <c r="N2171" s="11" t="n"/>
      <c r="O2171" s="11" t="n"/>
      <c r="P2171" s="12" t="n"/>
      <c r="Q2171" s="11" t="n"/>
      <c r="R2171" s="12" t="n"/>
      <c r="S2171" s="11" t="n"/>
      <c r="T2171" s="12" t="n"/>
      <c r="U2171" s="12" t="n"/>
      <c r="V2171" s="12" t="n"/>
      <c r="W2171" s="13" t="n"/>
      <c r="X2171" s="14">
        <f>IF($AP2171="",IF($B2171="","",$H2171),IF(INDEX(職員マスタ!$B$6:$B$405,$AP2171)="",$H2171,INDEX(職員マスタ!$B$6:$B$405,$AP2171)))</f>
        <v/>
      </c>
      <c r="Y2171" s="14">
        <f>IF($AP2171="",IF($B2171="","",$R2171),IF(INDEX(職員マスタ!$C$6:$C$405,$AP2171)="",$R2171,INDEX(職員マスタ!$C$6:$C$405,$AP2171)))</f>
        <v/>
      </c>
      <c r="Z2171" s="14">
        <f>IF($AQ2171="","","R"&amp;$C2171&amp;"."&amp;$D2171)</f>
        <v/>
      </c>
      <c r="AA2171" s="15">
        <f>IF(IF($AP2171="",FALSE,INDEX(職員マスタ!$K$6:$K$405,$AP2171)&lt;&gt;""),INDEX(職員マスタ!$K$6:$K$405,$AP2171),IF(N($W2171)&gt;0,$W2171,""))</f>
        <v/>
      </c>
      <c r="AB2171" s="14">
        <f>IF(OR($E2171="",$AA2171=""),"",IF($E2171&gt;=$AA2171,"×",IF($E2171&gt;=$AA2171*設定!$C$5,"△","○")))</f>
        <v/>
      </c>
      <c r="AC2171" s="15">
        <f>IF($AB2171="","",IF($AB2171="×",0,IF($AB2171="○",ROUNDDOWN($E2171*設定!$C$4,0),ROUNDDOWN($E2171*ROUND((9*$AA2171-9*$E2171)/(10*$E2171),4),0))))</f>
        <v/>
      </c>
      <c r="AD2171" s="13" t="n"/>
      <c r="AE2171" s="15">
        <f>IF($B2171="","",IF($AD2171&lt;&gt;"",$AD2171,IF($AC2171="","",IF($AC2171&lt;=設定!$C$3,0,$AC2171))))</f>
        <v/>
      </c>
      <c r="AF2171" s="14">
        <f>IF($B2171="","",IF(AND($AG2171&lt;&gt;"",$AI2171="",$AL2171=""),"保留中",IF($AL2171&lt;&gt;"",IF(N($AE2171)&gt;0,"支給済","不支給"),IF($AE2171="","要確認",IF($AE2171=0,"不支給","未処理")))))</f>
        <v/>
      </c>
      <c r="AG2171" s="12" t="n"/>
      <c r="AH2171" s="11" t="n"/>
      <c r="AI2171" s="11" t="n"/>
      <c r="AJ2171" s="11" t="n"/>
      <c r="AK2171" s="14">
        <f>IF(AND($AF2171="保留中",$AH2171&lt;&gt;""),TODAY()-$AH2171,"")</f>
        <v/>
      </c>
      <c r="AL2171" s="12" t="n"/>
      <c r="AM2171" s="14">
        <f>IF($B2171="","",IF($AQ2171="","対象年月が未入力／","")&amp;IF($B2171="","",IF($AP2171="","職員マスタに未登録の職員番号／",IF($AA2171="","標準報酬月額が未登録／","")&amp;IF(AND($AQ2171&lt;&gt;"",OR(AND(INDEX(職員マスタ!$G$6:$G$405,$AP2171)&lt;&gt;"",INDEX(職員マスタ!$G$6:$G$405,$AP2171)&gt;EOMONTH($AQ2171,0)),AND(INDEX(職員マスタ!$H$6:$H$405,$AP2171)&lt;&gt;"",INDEX(職員マスタ!$H$6:$H$405,$AP2171)&lt;$AQ2171))),"対象月が時短期間外／","")&amp;IF(AND(INDEX(職員マスタ!$K$6:$K$405,$AP2171)&lt;&gt;"",N($W2171)&gt;0,INDEX(職員マスタ!$K$6:$K$405,$AP2171)&lt;&gt;$W2171),"標準報酬月額が申請書と相違（台帳"&amp;TEXT(INDEX(職員マスタ!$K$6:$K$405,$AP2171),"#,##0")&amp;"円／申請書"&amp;TEXT($W2171,"#,##0")&amp;"円）／","")&amp;IF(AND(INDEX(職員マスタ!$F$6:$F$405,$AP2171)&lt;&gt;"",$AQ2171&lt;&gt;"",INDEX(職員マスタ!$F$6:$F$405,$AP2171)&lt;$AQ2171),"対象月に子が2歳到達済／","")&amp;IF(AND($H2171&lt;&gt;"",INDEX(職員マスタ!$B$6:$B$405,$AP2171)&lt;&gt;"",SUBSTITUTE(SUBSTITUTE($H2171," ","")," ","")&lt;&gt;SUBSTITUTE(SUBSTITUTE(INDEX(職員マスタ!$B$6:$B$405,$AP2171)," ","")," ","")),"氏名がマスタと相違／","")&amp;IF(AND($Q2171&lt;&gt;"",INDEX(職員マスタ!$E$6:$E$405,$AP2171)&lt;&gt;"",$Q2171&lt;&gt;INDEX(職員マスタ!$E$6:$E$405,$AP2171)),"子の生年月日がマスタと相違／","")&amp;IF(AND($L2171&lt;&gt;"",INDEX(職員マスタ!$G$6:$G$405,$AP2171)&lt;&gt;"",$L2171&lt;&gt;INDEX(職員マスタ!$G$6:$G$405,$AP2171)),"時短開始日がマスタと相違／","")&amp;IF(AND($M2171&lt;&gt;"",INDEX(職員マスタ!$H$6:$H$405,$AP2171)&lt;&gt;"",$M2171&lt;&gt;INDEX(職員マスタ!$H$6:$H$405,$AP2171)),"時短終了日がマスタと相違／","")))&amp;IF(AND($B2171&lt;&gt;"",$E2171=""),"報酬額が未入力／","")&amp;IF(N($U2171)&gt;0,"申請書に入力エラーが残っています／","")&amp;IF(AND($B2171&lt;&gt;"",$AQ2171&lt;&gt;""),IF(COUNTIFS($B$6:$B$3005,$B2171,$C$6:$C$3005,$C2171,$D$6:$D$3005,$D2171)&gt;1,"同じ月の請求が重複しています／",""),"")&amp;IF(AND(N($E2171)&gt;0,$AB2171&lt;&gt;"",$AB2171&lt;&gt;"×",$AE2171=0,$AD2171=""),"計算額が下限以下のため不支給／",""))</f>
        <v/>
      </c>
      <c r="AN2171" s="12" t="n"/>
      <c r="AO2171" s="14">
        <f>IF($AF2171="保留中",COUNTIF($AF$6:$AF2171,"保留中"),"")</f>
        <v/>
      </c>
      <c r="AP2171" s="14">
        <f>IF($AQ2171="","",IF(SUMPRODUCT(MAX((職員マスタ!$A$6:$A$405=$B2171)*(((職員マスタ!$G$6:$G$405="")+(職員マスタ!$G$6:$G$405&lt;=EOMONTH($AQ2171,0)))&gt;0)*(((職員マスタ!$H$6:$H$405="")+(職員マスタ!$H$6:$H$405&gt;=$AQ2171))&gt;0)*(ROW(職員マスタ!$A$6:$A$405)-5)))&gt;0,SUMPRODUCT(MAX((職員マスタ!$A$6:$A$405=$B2171)*(((職員マスタ!$G$6:$G$405="")+(職員マスタ!$G$6:$G$405&lt;=EOMONTH($AQ2171,0)))&gt;0)*(((職員マスタ!$H$6:$H$405="")+(職員マスタ!$H$6:$H$405&gt;=$AQ2171))&gt;0)*(ROW(職員マスタ!$A$6:$A$405)-5))),IFERROR(MATCH($B2171,職員マスタ!$A$6:$A$405,0),"")))</f>
        <v/>
      </c>
      <c r="AQ2171" s="16">
        <f>IF(OR($B2171="",$C2171="",$D2171=""),"",DATE($C2171+2018,$D2171,1))</f>
        <v/>
      </c>
    </row>
    <row r="2172">
      <c r="A2172" s="11" t="n"/>
      <c r="B2172" s="12" t="n"/>
      <c r="C2172" s="12" t="n"/>
      <c r="D2172" s="12" t="n"/>
      <c r="E2172" s="13" t="n"/>
      <c r="F2172" s="12" t="n"/>
      <c r="G2172" s="13" t="n"/>
      <c r="H2172" s="12" t="n"/>
      <c r="I2172" s="12" t="n"/>
      <c r="J2172" s="12" t="n"/>
      <c r="K2172" s="12" t="n"/>
      <c r="L2172" s="11" t="n"/>
      <c r="M2172" s="11" t="n"/>
      <c r="N2172" s="11" t="n"/>
      <c r="O2172" s="11" t="n"/>
      <c r="P2172" s="12" t="n"/>
      <c r="Q2172" s="11" t="n"/>
      <c r="R2172" s="12" t="n"/>
      <c r="S2172" s="11" t="n"/>
      <c r="T2172" s="12" t="n"/>
      <c r="U2172" s="12" t="n"/>
      <c r="V2172" s="12" t="n"/>
      <c r="W2172" s="13" t="n"/>
      <c r="X2172" s="14">
        <f>IF($AP2172="",IF($B2172="","",$H2172),IF(INDEX(職員マスタ!$B$6:$B$405,$AP2172)="",$H2172,INDEX(職員マスタ!$B$6:$B$405,$AP2172)))</f>
        <v/>
      </c>
      <c r="Y2172" s="14">
        <f>IF($AP2172="",IF($B2172="","",$R2172),IF(INDEX(職員マスタ!$C$6:$C$405,$AP2172)="",$R2172,INDEX(職員マスタ!$C$6:$C$405,$AP2172)))</f>
        <v/>
      </c>
      <c r="Z2172" s="14">
        <f>IF($AQ2172="","","R"&amp;$C2172&amp;"."&amp;$D2172)</f>
        <v/>
      </c>
      <c r="AA2172" s="15">
        <f>IF(IF($AP2172="",FALSE,INDEX(職員マスタ!$K$6:$K$405,$AP2172)&lt;&gt;""),INDEX(職員マスタ!$K$6:$K$405,$AP2172),IF(N($W2172)&gt;0,$W2172,""))</f>
        <v/>
      </c>
      <c r="AB2172" s="14">
        <f>IF(OR($E2172="",$AA2172=""),"",IF($E2172&gt;=$AA2172,"×",IF($E2172&gt;=$AA2172*設定!$C$5,"△","○")))</f>
        <v/>
      </c>
      <c r="AC2172" s="15">
        <f>IF($AB2172="","",IF($AB2172="×",0,IF($AB2172="○",ROUNDDOWN($E2172*設定!$C$4,0),ROUNDDOWN($E2172*ROUND((9*$AA2172-9*$E2172)/(10*$E2172),4),0))))</f>
        <v/>
      </c>
      <c r="AD2172" s="13" t="n"/>
      <c r="AE2172" s="15">
        <f>IF($B2172="","",IF($AD2172&lt;&gt;"",$AD2172,IF($AC2172="","",IF($AC2172&lt;=設定!$C$3,0,$AC2172))))</f>
        <v/>
      </c>
      <c r="AF2172" s="14">
        <f>IF($B2172="","",IF(AND($AG2172&lt;&gt;"",$AI2172="",$AL2172=""),"保留中",IF($AL2172&lt;&gt;"",IF(N($AE2172)&gt;0,"支給済","不支給"),IF($AE2172="","要確認",IF($AE2172=0,"不支給","未処理")))))</f>
        <v/>
      </c>
      <c r="AG2172" s="12" t="n"/>
      <c r="AH2172" s="11" t="n"/>
      <c r="AI2172" s="11" t="n"/>
      <c r="AJ2172" s="11" t="n"/>
      <c r="AK2172" s="14">
        <f>IF(AND($AF2172="保留中",$AH2172&lt;&gt;""),TODAY()-$AH2172,"")</f>
        <v/>
      </c>
      <c r="AL2172" s="12" t="n"/>
      <c r="AM2172" s="14">
        <f>IF($B2172="","",IF($AQ2172="","対象年月が未入力／","")&amp;IF($B2172="","",IF($AP2172="","職員マスタに未登録の職員番号／",IF($AA2172="","標準報酬月額が未登録／","")&amp;IF(AND($AQ2172&lt;&gt;"",OR(AND(INDEX(職員マスタ!$G$6:$G$405,$AP2172)&lt;&gt;"",INDEX(職員マスタ!$G$6:$G$405,$AP2172)&gt;EOMONTH($AQ2172,0)),AND(INDEX(職員マスタ!$H$6:$H$405,$AP2172)&lt;&gt;"",INDEX(職員マスタ!$H$6:$H$405,$AP2172)&lt;$AQ2172))),"対象月が時短期間外／","")&amp;IF(AND(INDEX(職員マスタ!$K$6:$K$405,$AP2172)&lt;&gt;"",N($W2172)&gt;0,INDEX(職員マスタ!$K$6:$K$405,$AP2172)&lt;&gt;$W2172),"標準報酬月額が申請書と相違（台帳"&amp;TEXT(INDEX(職員マスタ!$K$6:$K$405,$AP2172),"#,##0")&amp;"円／申請書"&amp;TEXT($W2172,"#,##0")&amp;"円）／","")&amp;IF(AND(INDEX(職員マスタ!$F$6:$F$405,$AP2172)&lt;&gt;"",$AQ2172&lt;&gt;"",INDEX(職員マスタ!$F$6:$F$405,$AP2172)&lt;$AQ2172),"対象月に子が2歳到達済／","")&amp;IF(AND($H2172&lt;&gt;"",INDEX(職員マスタ!$B$6:$B$405,$AP2172)&lt;&gt;"",SUBSTITUTE(SUBSTITUTE($H2172," ","")," ","")&lt;&gt;SUBSTITUTE(SUBSTITUTE(INDEX(職員マスタ!$B$6:$B$405,$AP2172)," ","")," ","")),"氏名がマスタと相違／","")&amp;IF(AND($Q2172&lt;&gt;"",INDEX(職員マスタ!$E$6:$E$405,$AP2172)&lt;&gt;"",$Q2172&lt;&gt;INDEX(職員マスタ!$E$6:$E$405,$AP2172)),"子の生年月日がマスタと相違／","")&amp;IF(AND($L2172&lt;&gt;"",INDEX(職員マスタ!$G$6:$G$405,$AP2172)&lt;&gt;"",$L2172&lt;&gt;INDEX(職員マスタ!$G$6:$G$405,$AP2172)),"時短開始日がマスタと相違／","")&amp;IF(AND($M2172&lt;&gt;"",INDEX(職員マスタ!$H$6:$H$405,$AP2172)&lt;&gt;"",$M2172&lt;&gt;INDEX(職員マスタ!$H$6:$H$405,$AP2172)),"時短終了日がマスタと相違／","")))&amp;IF(AND($B2172&lt;&gt;"",$E2172=""),"報酬額が未入力／","")&amp;IF(N($U2172)&gt;0,"申請書に入力エラーが残っています／","")&amp;IF(AND($B2172&lt;&gt;"",$AQ2172&lt;&gt;""),IF(COUNTIFS($B$6:$B$3005,$B2172,$C$6:$C$3005,$C2172,$D$6:$D$3005,$D2172)&gt;1,"同じ月の請求が重複しています／",""),"")&amp;IF(AND(N($E2172)&gt;0,$AB2172&lt;&gt;"",$AB2172&lt;&gt;"×",$AE2172=0,$AD2172=""),"計算額が下限以下のため不支給／",""))</f>
        <v/>
      </c>
      <c r="AN2172" s="12" t="n"/>
      <c r="AO2172" s="14">
        <f>IF($AF2172="保留中",COUNTIF($AF$6:$AF2172,"保留中"),"")</f>
        <v/>
      </c>
      <c r="AP2172" s="14">
        <f>IF($AQ2172="","",IF(SUMPRODUCT(MAX((職員マスタ!$A$6:$A$405=$B2172)*(((職員マスタ!$G$6:$G$405="")+(職員マスタ!$G$6:$G$405&lt;=EOMONTH($AQ2172,0)))&gt;0)*(((職員マスタ!$H$6:$H$405="")+(職員マスタ!$H$6:$H$405&gt;=$AQ2172))&gt;0)*(ROW(職員マスタ!$A$6:$A$405)-5)))&gt;0,SUMPRODUCT(MAX((職員マスタ!$A$6:$A$405=$B2172)*(((職員マスタ!$G$6:$G$405="")+(職員マスタ!$G$6:$G$405&lt;=EOMONTH($AQ2172,0)))&gt;0)*(((職員マスタ!$H$6:$H$405="")+(職員マスタ!$H$6:$H$405&gt;=$AQ2172))&gt;0)*(ROW(職員マスタ!$A$6:$A$405)-5))),IFERROR(MATCH($B2172,職員マスタ!$A$6:$A$405,0),"")))</f>
        <v/>
      </c>
      <c r="AQ2172" s="16">
        <f>IF(OR($B2172="",$C2172="",$D2172=""),"",DATE($C2172+2018,$D2172,1))</f>
        <v/>
      </c>
    </row>
    <row r="2173">
      <c r="A2173" s="11" t="n"/>
      <c r="B2173" s="12" t="n"/>
      <c r="C2173" s="12" t="n"/>
      <c r="D2173" s="12" t="n"/>
      <c r="E2173" s="13" t="n"/>
      <c r="F2173" s="12" t="n"/>
      <c r="G2173" s="13" t="n"/>
      <c r="H2173" s="12" t="n"/>
      <c r="I2173" s="12" t="n"/>
      <c r="J2173" s="12" t="n"/>
      <c r="K2173" s="12" t="n"/>
      <c r="L2173" s="11" t="n"/>
      <c r="M2173" s="11" t="n"/>
      <c r="N2173" s="11" t="n"/>
      <c r="O2173" s="11" t="n"/>
      <c r="P2173" s="12" t="n"/>
      <c r="Q2173" s="11" t="n"/>
      <c r="R2173" s="12" t="n"/>
      <c r="S2173" s="11" t="n"/>
      <c r="T2173" s="12" t="n"/>
      <c r="U2173" s="12" t="n"/>
      <c r="V2173" s="12" t="n"/>
      <c r="W2173" s="13" t="n"/>
      <c r="X2173" s="14">
        <f>IF($AP2173="",IF($B2173="","",$H2173),IF(INDEX(職員マスタ!$B$6:$B$405,$AP2173)="",$H2173,INDEX(職員マスタ!$B$6:$B$405,$AP2173)))</f>
        <v/>
      </c>
      <c r="Y2173" s="14">
        <f>IF($AP2173="",IF($B2173="","",$R2173),IF(INDEX(職員マスタ!$C$6:$C$405,$AP2173)="",$R2173,INDEX(職員マスタ!$C$6:$C$405,$AP2173)))</f>
        <v/>
      </c>
      <c r="Z2173" s="14">
        <f>IF($AQ2173="","","R"&amp;$C2173&amp;"."&amp;$D2173)</f>
        <v/>
      </c>
      <c r="AA2173" s="15">
        <f>IF(IF($AP2173="",FALSE,INDEX(職員マスタ!$K$6:$K$405,$AP2173)&lt;&gt;""),INDEX(職員マスタ!$K$6:$K$405,$AP2173),IF(N($W2173)&gt;0,$W2173,""))</f>
        <v/>
      </c>
      <c r="AB2173" s="14">
        <f>IF(OR($E2173="",$AA2173=""),"",IF($E2173&gt;=$AA2173,"×",IF($E2173&gt;=$AA2173*設定!$C$5,"△","○")))</f>
        <v/>
      </c>
      <c r="AC2173" s="15">
        <f>IF($AB2173="","",IF($AB2173="×",0,IF($AB2173="○",ROUNDDOWN($E2173*設定!$C$4,0),ROUNDDOWN($E2173*ROUND((9*$AA2173-9*$E2173)/(10*$E2173),4),0))))</f>
        <v/>
      </c>
      <c r="AD2173" s="13" t="n"/>
      <c r="AE2173" s="15">
        <f>IF($B2173="","",IF($AD2173&lt;&gt;"",$AD2173,IF($AC2173="","",IF($AC2173&lt;=設定!$C$3,0,$AC2173))))</f>
        <v/>
      </c>
      <c r="AF2173" s="14">
        <f>IF($B2173="","",IF(AND($AG2173&lt;&gt;"",$AI2173="",$AL2173=""),"保留中",IF($AL2173&lt;&gt;"",IF(N($AE2173)&gt;0,"支給済","不支給"),IF($AE2173="","要確認",IF($AE2173=0,"不支給","未処理")))))</f>
        <v/>
      </c>
      <c r="AG2173" s="12" t="n"/>
      <c r="AH2173" s="11" t="n"/>
      <c r="AI2173" s="11" t="n"/>
      <c r="AJ2173" s="11" t="n"/>
      <c r="AK2173" s="14">
        <f>IF(AND($AF2173="保留中",$AH2173&lt;&gt;""),TODAY()-$AH2173,"")</f>
        <v/>
      </c>
      <c r="AL2173" s="12" t="n"/>
      <c r="AM2173" s="14">
        <f>IF($B2173="","",IF($AQ2173="","対象年月が未入力／","")&amp;IF($B2173="","",IF($AP2173="","職員マスタに未登録の職員番号／",IF($AA2173="","標準報酬月額が未登録／","")&amp;IF(AND($AQ2173&lt;&gt;"",OR(AND(INDEX(職員マスタ!$G$6:$G$405,$AP2173)&lt;&gt;"",INDEX(職員マスタ!$G$6:$G$405,$AP2173)&gt;EOMONTH($AQ2173,0)),AND(INDEX(職員マスタ!$H$6:$H$405,$AP2173)&lt;&gt;"",INDEX(職員マスタ!$H$6:$H$405,$AP2173)&lt;$AQ2173))),"対象月が時短期間外／","")&amp;IF(AND(INDEX(職員マスタ!$K$6:$K$405,$AP2173)&lt;&gt;"",N($W2173)&gt;0,INDEX(職員マスタ!$K$6:$K$405,$AP2173)&lt;&gt;$W2173),"標準報酬月額が申請書と相違（台帳"&amp;TEXT(INDEX(職員マスタ!$K$6:$K$405,$AP2173),"#,##0")&amp;"円／申請書"&amp;TEXT($W2173,"#,##0")&amp;"円）／","")&amp;IF(AND(INDEX(職員マスタ!$F$6:$F$405,$AP2173)&lt;&gt;"",$AQ2173&lt;&gt;"",INDEX(職員マスタ!$F$6:$F$405,$AP2173)&lt;$AQ2173),"対象月に子が2歳到達済／","")&amp;IF(AND($H2173&lt;&gt;"",INDEX(職員マスタ!$B$6:$B$405,$AP2173)&lt;&gt;"",SUBSTITUTE(SUBSTITUTE($H2173," ","")," ","")&lt;&gt;SUBSTITUTE(SUBSTITUTE(INDEX(職員マスタ!$B$6:$B$405,$AP2173)," ","")," ","")),"氏名がマスタと相違／","")&amp;IF(AND($Q2173&lt;&gt;"",INDEX(職員マスタ!$E$6:$E$405,$AP2173)&lt;&gt;"",$Q2173&lt;&gt;INDEX(職員マスタ!$E$6:$E$405,$AP2173)),"子の生年月日がマスタと相違／","")&amp;IF(AND($L2173&lt;&gt;"",INDEX(職員マスタ!$G$6:$G$405,$AP2173)&lt;&gt;"",$L2173&lt;&gt;INDEX(職員マスタ!$G$6:$G$405,$AP2173)),"時短開始日がマスタと相違／","")&amp;IF(AND($M2173&lt;&gt;"",INDEX(職員マスタ!$H$6:$H$405,$AP2173)&lt;&gt;"",$M2173&lt;&gt;INDEX(職員マスタ!$H$6:$H$405,$AP2173)),"時短終了日がマスタと相違／","")))&amp;IF(AND($B2173&lt;&gt;"",$E2173=""),"報酬額が未入力／","")&amp;IF(N($U2173)&gt;0,"申請書に入力エラーが残っています／","")&amp;IF(AND($B2173&lt;&gt;"",$AQ2173&lt;&gt;""),IF(COUNTIFS($B$6:$B$3005,$B2173,$C$6:$C$3005,$C2173,$D$6:$D$3005,$D2173)&gt;1,"同じ月の請求が重複しています／",""),"")&amp;IF(AND(N($E2173)&gt;0,$AB2173&lt;&gt;"",$AB2173&lt;&gt;"×",$AE2173=0,$AD2173=""),"計算額が下限以下のため不支給／",""))</f>
        <v/>
      </c>
      <c r="AN2173" s="12" t="n"/>
      <c r="AO2173" s="14">
        <f>IF($AF2173="保留中",COUNTIF($AF$6:$AF2173,"保留中"),"")</f>
        <v/>
      </c>
      <c r="AP2173" s="14">
        <f>IF($AQ2173="","",IF(SUMPRODUCT(MAX((職員マスタ!$A$6:$A$405=$B2173)*(((職員マスタ!$G$6:$G$405="")+(職員マスタ!$G$6:$G$405&lt;=EOMONTH($AQ2173,0)))&gt;0)*(((職員マスタ!$H$6:$H$405="")+(職員マスタ!$H$6:$H$405&gt;=$AQ2173))&gt;0)*(ROW(職員マスタ!$A$6:$A$405)-5)))&gt;0,SUMPRODUCT(MAX((職員マスタ!$A$6:$A$405=$B2173)*(((職員マスタ!$G$6:$G$405="")+(職員マスタ!$G$6:$G$405&lt;=EOMONTH($AQ2173,0)))&gt;0)*(((職員マスタ!$H$6:$H$405="")+(職員マスタ!$H$6:$H$405&gt;=$AQ2173))&gt;0)*(ROW(職員マスタ!$A$6:$A$405)-5))),IFERROR(MATCH($B2173,職員マスタ!$A$6:$A$405,0),"")))</f>
        <v/>
      </c>
      <c r="AQ2173" s="16">
        <f>IF(OR($B2173="",$C2173="",$D2173=""),"",DATE($C2173+2018,$D2173,1))</f>
        <v/>
      </c>
    </row>
    <row r="2174">
      <c r="A2174" s="11" t="n"/>
      <c r="B2174" s="12" t="n"/>
      <c r="C2174" s="12" t="n"/>
      <c r="D2174" s="12" t="n"/>
      <c r="E2174" s="13" t="n"/>
      <c r="F2174" s="12" t="n"/>
      <c r="G2174" s="13" t="n"/>
      <c r="H2174" s="12" t="n"/>
      <c r="I2174" s="12" t="n"/>
      <c r="J2174" s="12" t="n"/>
      <c r="K2174" s="12" t="n"/>
      <c r="L2174" s="11" t="n"/>
      <c r="M2174" s="11" t="n"/>
      <c r="N2174" s="11" t="n"/>
      <c r="O2174" s="11" t="n"/>
      <c r="P2174" s="12" t="n"/>
      <c r="Q2174" s="11" t="n"/>
      <c r="R2174" s="12" t="n"/>
      <c r="S2174" s="11" t="n"/>
      <c r="T2174" s="12" t="n"/>
      <c r="U2174" s="12" t="n"/>
      <c r="V2174" s="12" t="n"/>
      <c r="W2174" s="13" t="n"/>
      <c r="X2174" s="14">
        <f>IF($AP2174="",IF($B2174="","",$H2174),IF(INDEX(職員マスタ!$B$6:$B$405,$AP2174)="",$H2174,INDEX(職員マスタ!$B$6:$B$405,$AP2174)))</f>
        <v/>
      </c>
      <c r="Y2174" s="14">
        <f>IF($AP2174="",IF($B2174="","",$R2174),IF(INDEX(職員マスタ!$C$6:$C$405,$AP2174)="",$R2174,INDEX(職員マスタ!$C$6:$C$405,$AP2174)))</f>
        <v/>
      </c>
      <c r="Z2174" s="14">
        <f>IF($AQ2174="","","R"&amp;$C2174&amp;"."&amp;$D2174)</f>
        <v/>
      </c>
      <c r="AA2174" s="15">
        <f>IF(IF($AP2174="",FALSE,INDEX(職員マスタ!$K$6:$K$405,$AP2174)&lt;&gt;""),INDEX(職員マスタ!$K$6:$K$405,$AP2174),IF(N($W2174)&gt;0,$W2174,""))</f>
        <v/>
      </c>
      <c r="AB2174" s="14">
        <f>IF(OR($E2174="",$AA2174=""),"",IF($E2174&gt;=$AA2174,"×",IF($E2174&gt;=$AA2174*設定!$C$5,"△","○")))</f>
        <v/>
      </c>
      <c r="AC2174" s="15">
        <f>IF($AB2174="","",IF($AB2174="×",0,IF($AB2174="○",ROUNDDOWN($E2174*設定!$C$4,0),ROUNDDOWN($E2174*ROUND((9*$AA2174-9*$E2174)/(10*$E2174),4),0))))</f>
        <v/>
      </c>
      <c r="AD2174" s="13" t="n"/>
      <c r="AE2174" s="15">
        <f>IF($B2174="","",IF($AD2174&lt;&gt;"",$AD2174,IF($AC2174="","",IF($AC2174&lt;=設定!$C$3,0,$AC2174))))</f>
        <v/>
      </c>
      <c r="AF2174" s="14">
        <f>IF($B2174="","",IF(AND($AG2174&lt;&gt;"",$AI2174="",$AL2174=""),"保留中",IF($AL2174&lt;&gt;"",IF(N($AE2174)&gt;0,"支給済","不支給"),IF($AE2174="","要確認",IF($AE2174=0,"不支給","未処理")))))</f>
        <v/>
      </c>
      <c r="AG2174" s="12" t="n"/>
      <c r="AH2174" s="11" t="n"/>
      <c r="AI2174" s="11" t="n"/>
      <c r="AJ2174" s="11" t="n"/>
      <c r="AK2174" s="14">
        <f>IF(AND($AF2174="保留中",$AH2174&lt;&gt;""),TODAY()-$AH2174,"")</f>
        <v/>
      </c>
      <c r="AL2174" s="12" t="n"/>
      <c r="AM2174" s="14">
        <f>IF($B2174="","",IF($AQ2174="","対象年月が未入力／","")&amp;IF($B2174="","",IF($AP2174="","職員マスタに未登録の職員番号／",IF($AA2174="","標準報酬月額が未登録／","")&amp;IF(AND($AQ2174&lt;&gt;"",OR(AND(INDEX(職員マスタ!$G$6:$G$405,$AP2174)&lt;&gt;"",INDEX(職員マスタ!$G$6:$G$405,$AP2174)&gt;EOMONTH($AQ2174,0)),AND(INDEX(職員マスタ!$H$6:$H$405,$AP2174)&lt;&gt;"",INDEX(職員マスタ!$H$6:$H$405,$AP2174)&lt;$AQ2174))),"対象月が時短期間外／","")&amp;IF(AND(INDEX(職員マスタ!$K$6:$K$405,$AP2174)&lt;&gt;"",N($W2174)&gt;0,INDEX(職員マスタ!$K$6:$K$405,$AP2174)&lt;&gt;$W2174),"標準報酬月額が申請書と相違（台帳"&amp;TEXT(INDEX(職員マスタ!$K$6:$K$405,$AP2174),"#,##0")&amp;"円／申請書"&amp;TEXT($W2174,"#,##0")&amp;"円）／","")&amp;IF(AND(INDEX(職員マスタ!$F$6:$F$405,$AP2174)&lt;&gt;"",$AQ2174&lt;&gt;"",INDEX(職員マスタ!$F$6:$F$405,$AP2174)&lt;$AQ2174),"対象月に子が2歳到達済／","")&amp;IF(AND($H2174&lt;&gt;"",INDEX(職員マスタ!$B$6:$B$405,$AP2174)&lt;&gt;"",SUBSTITUTE(SUBSTITUTE($H2174," ","")," ","")&lt;&gt;SUBSTITUTE(SUBSTITUTE(INDEX(職員マスタ!$B$6:$B$405,$AP2174)," ","")," ","")),"氏名がマスタと相違／","")&amp;IF(AND($Q2174&lt;&gt;"",INDEX(職員マスタ!$E$6:$E$405,$AP2174)&lt;&gt;"",$Q2174&lt;&gt;INDEX(職員マスタ!$E$6:$E$405,$AP2174)),"子の生年月日がマスタと相違／","")&amp;IF(AND($L2174&lt;&gt;"",INDEX(職員マスタ!$G$6:$G$405,$AP2174)&lt;&gt;"",$L2174&lt;&gt;INDEX(職員マスタ!$G$6:$G$405,$AP2174)),"時短開始日がマスタと相違／","")&amp;IF(AND($M2174&lt;&gt;"",INDEX(職員マスタ!$H$6:$H$405,$AP2174)&lt;&gt;"",$M2174&lt;&gt;INDEX(職員マスタ!$H$6:$H$405,$AP2174)),"時短終了日がマスタと相違／","")))&amp;IF(AND($B2174&lt;&gt;"",$E2174=""),"報酬額が未入力／","")&amp;IF(N($U2174)&gt;0,"申請書に入力エラーが残っています／","")&amp;IF(AND($B2174&lt;&gt;"",$AQ2174&lt;&gt;""),IF(COUNTIFS($B$6:$B$3005,$B2174,$C$6:$C$3005,$C2174,$D$6:$D$3005,$D2174)&gt;1,"同じ月の請求が重複しています／",""),"")&amp;IF(AND(N($E2174)&gt;0,$AB2174&lt;&gt;"",$AB2174&lt;&gt;"×",$AE2174=0,$AD2174=""),"計算額が下限以下のため不支給／",""))</f>
        <v/>
      </c>
      <c r="AN2174" s="12" t="n"/>
      <c r="AO2174" s="14">
        <f>IF($AF2174="保留中",COUNTIF($AF$6:$AF2174,"保留中"),"")</f>
        <v/>
      </c>
      <c r="AP2174" s="14">
        <f>IF($AQ2174="","",IF(SUMPRODUCT(MAX((職員マスタ!$A$6:$A$405=$B2174)*(((職員マスタ!$G$6:$G$405="")+(職員マスタ!$G$6:$G$405&lt;=EOMONTH($AQ2174,0)))&gt;0)*(((職員マスタ!$H$6:$H$405="")+(職員マスタ!$H$6:$H$405&gt;=$AQ2174))&gt;0)*(ROW(職員マスタ!$A$6:$A$405)-5)))&gt;0,SUMPRODUCT(MAX((職員マスタ!$A$6:$A$405=$B2174)*(((職員マスタ!$G$6:$G$405="")+(職員マスタ!$G$6:$G$405&lt;=EOMONTH($AQ2174,0)))&gt;0)*(((職員マスタ!$H$6:$H$405="")+(職員マスタ!$H$6:$H$405&gt;=$AQ2174))&gt;0)*(ROW(職員マスタ!$A$6:$A$405)-5))),IFERROR(MATCH($B2174,職員マスタ!$A$6:$A$405,0),"")))</f>
        <v/>
      </c>
      <c r="AQ2174" s="16">
        <f>IF(OR($B2174="",$C2174="",$D2174=""),"",DATE($C2174+2018,$D2174,1))</f>
        <v/>
      </c>
    </row>
    <row r="2175">
      <c r="A2175" s="11" t="n"/>
      <c r="B2175" s="12" t="n"/>
      <c r="C2175" s="12" t="n"/>
      <c r="D2175" s="12" t="n"/>
      <c r="E2175" s="13" t="n"/>
      <c r="F2175" s="12" t="n"/>
      <c r="G2175" s="13" t="n"/>
      <c r="H2175" s="12" t="n"/>
      <c r="I2175" s="12" t="n"/>
      <c r="J2175" s="12" t="n"/>
      <c r="K2175" s="12" t="n"/>
      <c r="L2175" s="11" t="n"/>
      <c r="M2175" s="11" t="n"/>
      <c r="N2175" s="11" t="n"/>
      <c r="O2175" s="11" t="n"/>
      <c r="P2175" s="12" t="n"/>
      <c r="Q2175" s="11" t="n"/>
      <c r="R2175" s="12" t="n"/>
      <c r="S2175" s="11" t="n"/>
      <c r="T2175" s="12" t="n"/>
      <c r="U2175" s="12" t="n"/>
      <c r="V2175" s="12" t="n"/>
      <c r="W2175" s="13" t="n"/>
      <c r="X2175" s="14">
        <f>IF($AP2175="",IF($B2175="","",$H2175),IF(INDEX(職員マスタ!$B$6:$B$405,$AP2175)="",$H2175,INDEX(職員マスタ!$B$6:$B$405,$AP2175)))</f>
        <v/>
      </c>
      <c r="Y2175" s="14">
        <f>IF($AP2175="",IF($B2175="","",$R2175),IF(INDEX(職員マスタ!$C$6:$C$405,$AP2175)="",$R2175,INDEX(職員マスタ!$C$6:$C$405,$AP2175)))</f>
        <v/>
      </c>
      <c r="Z2175" s="14">
        <f>IF($AQ2175="","","R"&amp;$C2175&amp;"."&amp;$D2175)</f>
        <v/>
      </c>
      <c r="AA2175" s="15">
        <f>IF(IF($AP2175="",FALSE,INDEX(職員マスタ!$K$6:$K$405,$AP2175)&lt;&gt;""),INDEX(職員マスタ!$K$6:$K$405,$AP2175),IF(N($W2175)&gt;0,$W2175,""))</f>
        <v/>
      </c>
      <c r="AB2175" s="14">
        <f>IF(OR($E2175="",$AA2175=""),"",IF($E2175&gt;=$AA2175,"×",IF($E2175&gt;=$AA2175*設定!$C$5,"△","○")))</f>
        <v/>
      </c>
      <c r="AC2175" s="15">
        <f>IF($AB2175="","",IF($AB2175="×",0,IF($AB2175="○",ROUNDDOWN($E2175*設定!$C$4,0),ROUNDDOWN($E2175*ROUND((9*$AA2175-9*$E2175)/(10*$E2175),4),0))))</f>
        <v/>
      </c>
      <c r="AD2175" s="13" t="n"/>
      <c r="AE2175" s="15">
        <f>IF($B2175="","",IF($AD2175&lt;&gt;"",$AD2175,IF($AC2175="","",IF($AC2175&lt;=設定!$C$3,0,$AC2175))))</f>
        <v/>
      </c>
      <c r="AF2175" s="14">
        <f>IF($B2175="","",IF(AND($AG2175&lt;&gt;"",$AI2175="",$AL2175=""),"保留中",IF($AL2175&lt;&gt;"",IF(N($AE2175)&gt;0,"支給済","不支給"),IF($AE2175="","要確認",IF($AE2175=0,"不支給","未処理")))))</f>
        <v/>
      </c>
      <c r="AG2175" s="12" t="n"/>
      <c r="AH2175" s="11" t="n"/>
      <c r="AI2175" s="11" t="n"/>
      <c r="AJ2175" s="11" t="n"/>
      <c r="AK2175" s="14">
        <f>IF(AND($AF2175="保留中",$AH2175&lt;&gt;""),TODAY()-$AH2175,"")</f>
        <v/>
      </c>
      <c r="AL2175" s="12" t="n"/>
      <c r="AM2175" s="14">
        <f>IF($B2175="","",IF($AQ2175="","対象年月が未入力／","")&amp;IF($B2175="","",IF($AP2175="","職員マスタに未登録の職員番号／",IF($AA2175="","標準報酬月額が未登録／","")&amp;IF(AND($AQ2175&lt;&gt;"",OR(AND(INDEX(職員マスタ!$G$6:$G$405,$AP2175)&lt;&gt;"",INDEX(職員マスタ!$G$6:$G$405,$AP2175)&gt;EOMONTH($AQ2175,0)),AND(INDEX(職員マスタ!$H$6:$H$405,$AP2175)&lt;&gt;"",INDEX(職員マスタ!$H$6:$H$405,$AP2175)&lt;$AQ2175))),"対象月が時短期間外／","")&amp;IF(AND(INDEX(職員マスタ!$K$6:$K$405,$AP2175)&lt;&gt;"",N($W2175)&gt;0,INDEX(職員マスタ!$K$6:$K$405,$AP2175)&lt;&gt;$W2175),"標準報酬月額が申請書と相違（台帳"&amp;TEXT(INDEX(職員マスタ!$K$6:$K$405,$AP2175),"#,##0")&amp;"円／申請書"&amp;TEXT($W2175,"#,##0")&amp;"円）／","")&amp;IF(AND(INDEX(職員マスタ!$F$6:$F$405,$AP2175)&lt;&gt;"",$AQ2175&lt;&gt;"",INDEX(職員マスタ!$F$6:$F$405,$AP2175)&lt;$AQ2175),"対象月に子が2歳到達済／","")&amp;IF(AND($H2175&lt;&gt;"",INDEX(職員マスタ!$B$6:$B$405,$AP2175)&lt;&gt;"",SUBSTITUTE(SUBSTITUTE($H2175," ","")," ","")&lt;&gt;SUBSTITUTE(SUBSTITUTE(INDEX(職員マスタ!$B$6:$B$405,$AP2175)," ","")," ","")),"氏名がマスタと相違／","")&amp;IF(AND($Q2175&lt;&gt;"",INDEX(職員マスタ!$E$6:$E$405,$AP2175)&lt;&gt;"",$Q2175&lt;&gt;INDEX(職員マスタ!$E$6:$E$405,$AP2175)),"子の生年月日がマスタと相違／","")&amp;IF(AND($L2175&lt;&gt;"",INDEX(職員マスタ!$G$6:$G$405,$AP2175)&lt;&gt;"",$L2175&lt;&gt;INDEX(職員マスタ!$G$6:$G$405,$AP2175)),"時短開始日がマスタと相違／","")&amp;IF(AND($M2175&lt;&gt;"",INDEX(職員マスタ!$H$6:$H$405,$AP2175)&lt;&gt;"",$M2175&lt;&gt;INDEX(職員マスタ!$H$6:$H$405,$AP2175)),"時短終了日がマスタと相違／","")))&amp;IF(AND($B2175&lt;&gt;"",$E2175=""),"報酬額が未入力／","")&amp;IF(N($U2175)&gt;0,"申請書に入力エラーが残っています／","")&amp;IF(AND($B2175&lt;&gt;"",$AQ2175&lt;&gt;""),IF(COUNTIFS($B$6:$B$3005,$B2175,$C$6:$C$3005,$C2175,$D$6:$D$3005,$D2175)&gt;1,"同じ月の請求が重複しています／",""),"")&amp;IF(AND(N($E2175)&gt;0,$AB2175&lt;&gt;"",$AB2175&lt;&gt;"×",$AE2175=0,$AD2175=""),"計算額が下限以下のため不支給／",""))</f>
        <v/>
      </c>
      <c r="AN2175" s="12" t="n"/>
      <c r="AO2175" s="14">
        <f>IF($AF2175="保留中",COUNTIF($AF$6:$AF2175,"保留中"),"")</f>
        <v/>
      </c>
      <c r="AP2175" s="14">
        <f>IF($AQ2175="","",IF(SUMPRODUCT(MAX((職員マスタ!$A$6:$A$405=$B2175)*(((職員マスタ!$G$6:$G$405="")+(職員マスタ!$G$6:$G$405&lt;=EOMONTH($AQ2175,0)))&gt;0)*(((職員マスタ!$H$6:$H$405="")+(職員マスタ!$H$6:$H$405&gt;=$AQ2175))&gt;0)*(ROW(職員マスタ!$A$6:$A$405)-5)))&gt;0,SUMPRODUCT(MAX((職員マスタ!$A$6:$A$405=$B2175)*(((職員マスタ!$G$6:$G$405="")+(職員マスタ!$G$6:$G$405&lt;=EOMONTH($AQ2175,0)))&gt;0)*(((職員マスタ!$H$6:$H$405="")+(職員マスタ!$H$6:$H$405&gt;=$AQ2175))&gt;0)*(ROW(職員マスタ!$A$6:$A$405)-5))),IFERROR(MATCH($B2175,職員マスタ!$A$6:$A$405,0),"")))</f>
        <v/>
      </c>
      <c r="AQ2175" s="16">
        <f>IF(OR($B2175="",$C2175="",$D2175=""),"",DATE($C2175+2018,$D2175,1))</f>
        <v/>
      </c>
    </row>
    <row r="2176">
      <c r="A2176" s="11" t="n"/>
      <c r="B2176" s="12" t="n"/>
      <c r="C2176" s="12" t="n"/>
      <c r="D2176" s="12" t="n"/>
      <c r="E2176" s="13" t="n"/>
      <c r="F2176" s="12" t="n"/>
      <c r="G2176" s="13" t="n"/>
      <c r="H2176" s="12" t="n"/>
      <c r="I2176" s="12" t="n"/>
      <c r="J2176" s="12" t="n"/>
      <c r="K2176" s="12" t="n"/>
      <c r="L2176" s="11" t="n"/>
      <c r="M2176" s="11" t="n"/>
      <c r="N2176" s="11" t="n"/>
      <c r="O2176" s="11" t="n"/>
      <c r="P2176" s="12" t="n"/>
      <c r="Q2176" s="11" t="n"/>
      <c r="R2176" s="12" t="n"/>
      <c r="S2176" s="11" t="n"/>
      <c r="T2176" s="12" t="n"/>
      <c r="U2176" s="12" t="n"/>
      <c r="V2176" s="12" t="n"/>
      <c r="W2176" s="13" t="n"/>
      <c r="X2176" s="14">
        <f>IF($AP2176="",IF($B2176="","",$H2176),IF(INDEX(職員マスタ!$B$6:$B$405,$AP2176)="",$H2176,INDEX(職員マスタ!$B$6:$B$405,$AP2176)))</f>
        <v/>
      </c>
      <c r="Y2176" s="14">
        <f>IF($AP2176="",IF($B2176="","",$R2176),IF(INDEX(職員マスタ!$C$6:$C$405,$AP2176)="",$R2176,INDEX(職員マスタ!$C$6:$C$405,$AP2176)))</f>
        <v/>
      </c>
      <c r="Z2176" s="14">
        <f>IF($AQ2176="","","R"&amp;$C2176&amp;"."&amp;$D2176)</f>
        <v/>
      </c>
      <c r="AA2176" s="15">
        <f>IF(IF($AP2176="",FALSE,INDEX(職員マスタ!$K$6:$K$405,$AP2176)&lt;&gt;""),INDEX(職員マスタ!$K$6:$K$405,$AP2176),IF(N($W2176)&gt;0,$W2176,""))</f>
        <v/>
      </c>
      <c r="AB2176" s="14">
        <f>IF(OR($E2176="",$AA2176=""),"",IF($E2176&gt;=$AA2176,"×",IF($E2176&gt;=$AA2176*設定!$C$5,"△","○")))</f>
        <v/>
      </c>
      <c r="AC2176" s="15">
        <f>IF($AB2176="","",IF($AB2176="×",0,IF($AB2176="○",ROUNDDOWN($E2176*設定!$C$4,0),ROUNDDOWN($E2176*ROUND((9*$AA2176-9*$E2176)/(10*$E2176),4),0))))</f>
        <v/>
      </c>
      <c r="AD2176" s="13" t="n"/>
      <c r="AE2176" s="15">
        <f>IF($B2176="","",IF($AD2176&lt;&gt;"",$AD2176,IF($AC2176="","",IF($AC2176&lt;=設定!$C$3,0,$AC2176))))</f>
        <v/>
      </c>
      <c r="AF2176" s="14">
        <f>IF($B2176="","",IF(AND($AG2176&lt;&gt;"",$AI2176="",$AL2176=""),"保留中",IF($AL2176&lt;&gt;"",IF(N($AE2176)&gt;0,"支給済","不支給"),IF($AE2176="","要確認",IF($AE2176=0,"不支給","未処理")))))</f>
        <v/>
      </c>
      <c r="AG2176" s="12" t="n"/>
      <c r="AH2176" s="11" t="n"/>
      <c r="AI2176" s="11" t="n"/>
      <c r="AJ2176" s="11" t="n"/>
      <c r="AK2176" s="14">
        <f>IF(AND($AF2176="保留中",$AH2176&lt;&gt;""),TODAY()-$AH2176,"")</f>
        <v/>
      </c>
      <c r="AL2176" s="12" t="n"/>
      <c r="AM2176" s="14">
        <f>IF($B2176="","",IF($AQ2176="","対象年月が未入力／","")&amp;IF($B2176="","",IF($AP2176="","職員マスタに未登録の職員番号／",IF($AA2176="","標準報酬月額が未登録／","")&amp;IF(AND($AQ2176&lt;&gt;"",OR(AND(INDEX(職員マスタ!$G$6:$G$405,$AP2176)&lt;&gt;"",INDEX(職員マスタ!$G$6:$G$405,$AP2176)&gt;EOMONTH($AQ2176,0)),AND(INDEX(職員マスタ!$H$6:$H$405,$AP2176)&lt;&gt;"",INDEX(職員マスタ!$H$6:$H$405,$AP2176)&lt;$AQ2176))),"対象月が時短期間外／","")&amp;IF(AND(INDEX(職員マスタ!$K$6:$K$405,$AP2176)&lt;&gt;"",N($W2176)&gt;0,INDEX(職員マスタ!$K$6:$K$405,$AP2176)&lt;&gt;$W2176),"標準報酬月額が申請書と相違（台帳"&amp;TEXT(INDEX(職員マスタ!$K$6:$K$405,$AP2176),"#,##0")&amp;"円／申請書"&amp;TEXT($W2176,"#,##0")&amp;"円）／","")&amp;IF(AND(INDEX(職員マスタ!$F$6:$F$405,$AP2176)&lt;&gt;"",$AQ2176&lt;&gt;"",INDEX(職員マスタ!$F$6:$F$405,$AP2176)&lt;$AQ2176),"対象月に子が2歳到達済／","")&amp;IF(AND($H2176&lt;&gt;"",INDEX(職員マスタ!$B$6:$B$405,$AP2176)&lt;&gt;"",SUBSTITUTE(SUBSTITUTE($H2176," ","")," ","")&lt;&gt;SUBSTITUTE(SUBSTITUTE(INDEX(職員マスタ!$B$6:$B$405,$AP2176)," ","")," ","")),"氏名がマスタと相違／","")&amp;IF(AND($Q2176&lt;&gt;"",INDEX(職員マスタ!$E$6:$E$405,$AP2176)&lt;&gt;"",$Q2176&lt;&gt;INDEX(職員マスタ!$E$6:$E$405,$AP2176)),"子の生年月日がマスタと相違／","")&amp;IF(AND($L2176&lt;&gt;"",INDEX(職員マスタ!$G$6:$G$405,$AP2176)&lt;&gt;"",$L2176&lt;&gt;INDEX(職員マスタ!$G$6:$G$405,$AP2176)),"時短開始日がマスタと相違／","")&amp;IF(AND($M2176&lt;&gt;"",INDEX(職員マスタ!$H$6:$H$405,$AP2176)&lt;&gt;"",$M2176&lt;&gt;INDEX(職員マスタ!$H$6:$H$405,$AP2176)),"時短終了日がマスタと相違／","")))&amp;IF(AND($B2176&lt;&gt;"",$E2176=""),"報酬額が未入力／","")&amp;IF(N($U2176)&gt;0,"申請書に入力エラーが残っています／","")&amp;IF(AND($B2176&lt;&gt;"",$AQ2176&lt;&gt;""),IF(COUNTIFS($B$6:$B$3005,$B2176,$C$6:$C$3005,$C2176,$D$6:$D$3005,$D2176)&gt;1,"同じ月の請求が重複しています／",""),"")&amp;IF(AND(N($E2176)&gt;0,$AB2176&lt;&gt;"",$AB2176&lt;&gt;"×",$AE2176=0,$AD2176=""),"計算額が下限以下のため不支給／",""))</f>
        <v/>
      </c>
      <c r="AN2176" s="12" t="n"/>
      <c r="AO2176" s="14">
        <f>IF($AF2176="保留中",COUNTIF($AF$6:$AF2176,"保留中"),"")</f>
        <v/>
      </c>
      <c r="AP2176" s="14">
        <f>IF($AQ2176="","",IF(SUMPRODUCT(MAX((職員マスタ!$A$6:$A$405=$B2176)*(((職員マスタ!$G$6:$G$405="")+(職員マスタ!$G$6:$G$405&lt;=EOMONTH($AQ2176,0)))&gt;0)*(((職員マスタ!$H$6:$H$405="")+(職員マスタ!$H$6:$H$405&gt;=$AQ2176))&gt;0)*(ROW(職員マスタ!$A$6:$A$405)-5)))&gt;0,SUMPRODUCT(MAX((職員マスタ!$A$6:$A$405=$B2176)*(((職員マスタ!$G$6:$G$405="")+(職員マスタ!$G$6:$G$405&lt;=EOMONTH($AQ2176,0)))&gt;0)*(((職員マスタ!$H$6:$H$405="")+(職員マスタ!$H$6:$H$405&gt;=$AQ2176))&gt;0)*(ROW(職員マスタ!$A$6:$A$405)-5))),IFERROR(MATCH($B2176,職員マスタ!$A$6:$A$405,0),"")))</f>
        <v/>
      </c>
      <c r="AQ2176" s="16">
        <f>IF(OR($B2176="",$C2176="",$D2176=""),"",DATE($C2176+2018,$D2176,1))</f>
        <v/>
      </c>
    </row>
    <row r="2177">
      <c r="A2177" s="11" t="n"/>
      <c r="B2177" s="12" t="n"/>
      <c r="C2177" s="12" t="n"/>
      <c r="D2177" s="12" t="n"/>
      <c r="E2177" s="13" t="n"/>
      <c r="F2177" s="12" t="n"/>
      <c r="G2177" s="13" t="n"/>
      <c r="H2177" s="12" t="n"/>
      <c r="I2177" s="12" t="n"/>
      <c r="J2177" s="12" t="n"/>
      <c r="K2177" s="12" t="n"/>
      <c r="L2177" s="11" t="n"/>
      <c r="M2177" s="11" t="n"/>
      <c r="N2177" s="11" t="n"/>
      <c r="O2177" s="11" t="n"/>
      <c r="P2177" s="12" t="n"/>
      <c r="Q2177" s="11" t="n"/>
      <c r="R2177" s="12" t="n"/>
      <c r="S2177" s="11" t="n"/>
      <c r="T2177" s="12" t="n"/>
      <c r="U2177" s="12" t="n"/>
      <c r="V2177" s="12" t="n"/>
      <c r="W2177" s="13" t="n"/>
      <c r="X2177" s="14">
        <f>IF($AP2177="",IF($B2177="","",$H2177),IF(INDEX(職員マスタ!$B$6:$B$405,$AP2177)="",$H2177,INDEX(職員マスタ!$B$6:$B$405,$AP2177)))</f>
        <v/>
      </c>
      <c r="Y2177" s="14">
        <f>IF($AP2177="",IF($B2177="","",$R2177),IF(INDEX(職員マスタ!$C$6:$C$405,$AP2177)="",$R2177,INDEX(職員マスタ!$C$6:$C$405,$AP2177)))</f>
        <v/>
      </c>
      <c r="Z2177" s="14">
        <f>IF($AQ2177="","","R"&amp;$C2177&amp;"."&amp;$D2177)</f>
        <v/>
      </c>
      <c r="AA2177" s="15">
        <f>IF(IF($AP2177="",FALSE,INDEX(職員マスタ!$K$6:$K$405,$AP2177)&lt;&gt;""),INDEX(職員マスタ!$K$6:$K$405,$AP2177),IF(N($W2177)&gt;0,$W2177,""))</f>
        <v/>
      </c>
      <c r="AB2177" s="14">
        <f>IF(OR($E2177="",$AA2177=""),"",IF($E2177&gt;=$AA2177,"×",IF($E2177&gt;=$AA2177*設定!$C$5,"△","○")))</f>
        <v/>
      </c>
      <c r="AC2177" s="15">
        <f>IF($AB2177="","",IF($AB2177="×",0,IF($AB2177="○",ROUNDDOWN($E2177*設定!$C$4,0),ROUNDDOWN($E2177*ROUND((9*$AA2177-9*$E2177)/(10*$E2177),4),0))))</f>
        <v/>
      </c>
      <c r="AD2177" s="13" t="n"/>
      <c r="AE2177" s="15">
        <f>IF($B2177="","",IF($AD2177&lt;&gt;"",$AD2177,IF($AC2177="","",IF($AC2177&lt;=設定!$C$3,0,$AC2177))))</f>
        <v/>
      </c>
      <c r="AF2177" s="14">
        <f>IF($B2177="","",IF(AND($AG2177&lt;&gt;"",$AI2177="",$AL2177=""),"保留中",IF($AL2177&lt;&gt;"",IF(N($AE2177)&gt;0,"支給済","不支給"),IF($AE2177="","要確認",IF($AE2177=0,"不支給","未処理")))))</f>
        <v/>
      </c>
      <c r="AG2177" s="12" t="n"/>
      <c r="AH2177" s="11" t="n"/>
      <c r="AI2177" s="11" t="n"/>
      <c r="AJ2177" s="11" t="n"/>
      <c r="AK2177" s="14">
        <f>IF(AND($AF2177="保留中",$AH2177&lt;&gt;""),TODAY()-$AH2177,"")</f>
        <v/>
      </c>
      <c r="AL2177" s="12" t="n"/>
      <c r="AM2177" s="14">
        <f>IF($B2177="","",IF($AQ2177="","対象年月が未入力／","")&amp;IF($B2177="","",IF($AP2177="","職員マスタに未登録の職員番号／",IF($AA2177="","標準報酬月額が未登録／","")&amp;IF(AND($AQ2177&lt;&gt;"",OR(AND(INDEX(職員マスタ!$G$6:$G$405,$AP2177)&lt;&gt;"",INDEX(職員マスタ!$G$6:$G$405,$AP2177)&gt;EOMONTH($AQ2177,0)),AND(INDEX(職員マスタ!$H$6:$H$405,$AP2177)&lt;&gt;"",INDEX(職員マスタ!$H$6:$H$405,$AP2177)&lt;$AQ2177))),"対象月が時短期間外／","")&amp;IF(AND(INDEX(職員マスタ!$K$6:$K$405,$AP2177)&lt;&gt;"",N($W2177)&gt;0,INDEX(職員マスタ!$K$6:$K$405,$AP2177)&lt;&gt;$W2177),"標準報酬月額が申請書と相違（台帳"&amp;TEXT(INDEX(職員マスタ!$K$6:$K$405,$AP2177),"#,##0")&amp;"円／申請書"&amp;TEXT($W2177,"#,##0")&amp;"円）／","")&amp;IF(AND(INDEX(職員マスタ!$F$6:$F$405,$AP2177)&lt;&gt;"",$AQ2177&lt;&gt;"",INDEX(職員マスタ!$F$6:$F$405,$AP2177)&lt;$AQ2177),"対象月に子が2歳到達済／","")&amp;IF(AND($H2177&lt;&gt;"",INDEX(職員マスタ!$B$6:$B$405,$AP2177)&lt;&gt;"",SUBSTITUTE(SUBSTITUTE($H2177," ","")," ","")&lt;&gt;SUBSTITUTE(SUBSTITUTE(INDEX(職員マスタ!$B$6:$B$405,$AP2177)," ","")," ","")),"氏名がマスタと相違／","")&amp;IF(AND($Q2177&lt;&gt;"",INDEX(職員マスタ!$E$6:$E$405,$AP2177)&lt;&gt;"",$Q2177&lt;&gt;INDEX(職員マスタ!$E$6:$E$405,$AP2177)),"子の生年月日がマスタと相違／","")&amp;IF(AND($L2177&lt;&gt;"",INDEX(職員マスタ!$G$6:$G$405,$AP2177)&lt;&gt;"",$L2177&lt;&gt;INDEX(職員マスタ!$G$6:$G$405,$AP2177)),"時短開始日がマスタと相違／","")&amp;IF(AND($M2177&lt;&gt;"",INDEX(職員マスタ!$H$6:$H$405,$AP2177)&lt;&gt;"",$M2177&lt;&gt;INDEX(職員マスタ!$H$6:$H$405,$AP2177)),"時短終了日がマスタと相違／","")))&amp;IF(AND($B2177&lt;&gt;"",$E2177=""),"報酬額が未入力／","")&amp;IF(N($U2177)&gt;0,"申請書に入力エラーが残っています／","")&amp;IF(AND($B2177&lt;&gt;"",$AQ2177&lt;&gt;""),IF(COUNTIFS($B$6:$B$3005,$B2177,$C$6:$C$3005,$C2177,$D$6:$D$3005,$D2177)&gt;1,"同じ月の請求が重複しています／",""),"")&amp;IF(AND(N($E2177)&gt;0,$AB2177&lt;&gt;"",$AB2177&lt;&gt;"×",$AE2177=0,$AD2177=""),"計算額が下限以下のため不支給／",""))</f>
        <v/>
      </c>
      <c r="AN2177" s="12" t="n"/>
      <c r="AO2177" s="14">
        <f>IF($AF2177="保留中",COUNTIF($AF$6:$AF2177,"保留中"),"")</f>
        <v/>
      </c>
      <c r="AP2177" s="14">
        <f>IF($AQ2177="","",IF(SUMPRODUCT(MAX((職員マスタ!$A$6:$A$405=$B2177)*(((職員マスタ!$G$6:$G$405="")+(職員マスタ!$G$6:$G$405&lt;=EOMONTH($AQ2177,0)))&gt;0)*(((職員マスタ!$H$6:$H$405="")+(職員マスタ!$H$6:$H$405&gt;=$AQ2177))&gt;0)*(ROW(職員マスタ!$A$6:$A$405)-5)))&gt;0,SUMPRODUCT(MAX((職員マスタ!$A$6:$A$405=$B2177)*(((職員マスタ!$G$6:$G$405="")+(職員マスタ!$G$6:$G$405&lt;=EOMONTH($AQ2177,0)))&gt;0)*(((職員マスタ!$H$6:$H$405="")+(職員マスタ!$H$6:$H$405&gt;=$AQ2177))&gt;0)*(ROW(職員マスタ!$A$6:$A$405)-5))),IFERROR(MATCH($B2177,職員マスタ!$A$6:$A$405,0),"")))</f>
        <v/>
      </c>
      <c r="AQ2177" s="16">
        <f>IF(OR($B2177="",$C2177="",$D2177=""),"",DATE($C2177+2018,$D2177,1))</f>
        <v/>
      </c>
    </row>
    <row r="2178">
      <c r="A2178" s="11" t="n"/>
      <c r="B2178" s="12" t="n"/>
      <c r="C2178" s="12" t="n"/>
      <c r="D2178" s="12" t="n"/>
      <c r="E2178" s="13" t="n"/>
      <c r="F2178" s="12" t="n"/>
      <c r="G2178" s="13" t="n"/>
      <c r="H2178" s="12" t="n"/>
      <c r="I2178" s="12" t="n"/>
      <c r="J2178" s="12" t="n"/>
      <c r="K2178" s="12" t="n"/>
      <c r="L2178" s="11" t="n"/>
      <c r="M2178" s="11" t="n"/>
      <c r="N2178" s="11" t="n"/>
      <c r="O2178" s="11" t="n"/>
      <c r="P2178" s="12" t="n"/>
      <c r="Q2178" s="11" t="n"/>
      <c r="R2178" s="12" t="n"/>
      <c r="S2178" s="11" t="n"/>
      <c r="T2178" s="12" t="n"/>
      <c r="U2178" s="12" t="n"/>
      <c r="V2178" s="12" t="n"/>
      <c r="W2178" s="13" t="n"/>
      <c r="X2178" s="14">
        <f>IF($AP2178="",IF($B2178="","",$H2178),IF(INDEX(職員マスタ!$B$6:$B$405,$AP2178)="",$H2178,INDEX(職員マスタ!$B$6:$B$405,$AP2178)))</f>
        <v/>
      </c>
      <c r="Y2178" s="14">
        <f>IF($AP2178="",IF($B2178="","",$R2178),IF(INDEX(職員マスタ!$C$6:$C$405,$AP2178)="",$R2178,INDEX(職員マスタ!$C$6:$C$405,$AP2178)))</f>
        <v/>
      </c>
      <c r="Z2178" s="14">
        <f>IF($AQ2178="","","R"&amp;$C2178&amp;"."&amp;$D2178)</f>
        <v/>
      </c>
      <c r="AA2178" s="15">
        <f>IF(IF($AP2178="",FALSE,INDEX(職員マスタ!$K$6:$K$405,$AP2178)&lt;&gt;""),INDEX(職員マスタ!$K$6:$K$405,$AP2178),IF(N($W2178)&gt;0,$W2178,""))</f>
        <v/>
      </c>
      <c r="AB2178" s="14">
        <f>IF(OR($E2178="",$AA2178=""),"",IF($E2178&gt;=$AA2178,"×",IF($E2178&gt;=$AA2178*設定!$C$5,"△","○")))</f>
        <v/>
      </c>
      <c r="AC2178" s="15">
        <f>IF($AB2178="","",IF($AB2178="×",0,IF($AB2178="○",ROUNDDOWN($E2178*設定!$C$4,0),ROUNDDOWN($E2178*ROUND((9*$AA2178-9*$E2178)/(10*$E2178),4),0))))</f>
        <v/>
      </c>
      <c r="AD2178" s="13" t="n"/>
      <c r="AE2178" s="15">
        <f>IF($B2178="","",IF($AD2178&lt;&gt;"",$AD2178,IF($AC2178="","",IF($AC2178&lt;=設定!$C$3,0,$AC2178))))</f>
        <v/>
      </c>
      <c r="AF2178" s="14">
        <f>IF($B2178="","",IF(AND($AG2178&lt;&gt;"",$AI2178="",$AL2178=""),"保留中",IF($AL2178&lt;&gt;"",IF(N($AE2178)&gt;0,"支給済","不支給"),IF($AE2178="","要確認",IF($AE2178=0,"不支給","未処理")))))</f>
        <v/>
      </c>
      <c r="AG2178" s="12" t="n"/>
      <c r="AH2178" s="11" t="n"/>
      <c r="AI2178" s="11" t="n"/>
      <c r="AJ2178" s="11" t="n"/>
      <c r="AK2178" s="14">
        <f>IF(AND($AF2178="保留中",$AH2178&lt;&gt;""),TODAY()-$AH2178,"")</f>
        <v/>
      </c>
      <c r="AL2178" s="12" t="n"/>
      <c r="AM2178" s="14">
        <f>IF($B2178="","",IF($AQ2178="","対象年月が未入力／","")&amp;IF($B2178="","",IF($AP2178="","職員マスタに未登録の職員番号／",IF($AA2178="","標準報酬月額が未登録／","")&amp;IF(AND($AQ2178&lt;&gt;"",OR(AND(INDEX(職員マスタ!$G$6:$G$405,$AP2178)&lt;&gt;"",INDEX(職員マスタ!$G$6:$G$405,$AP2178)&gt;EOMONTH($AQ2178,0)),AND(INDEX(職員マスタ!$H$6:$H$405,$AP2178)&lt;&gt;"",INDEX(職員マスタ!$H$6:$H$405,$AP2178)&lt;$AQ2178))),"対象月が時短期間外／","")&amp;IF(AND(INDEX(職員マスタ!$K$6:$K$405,$AP2178)&lt;&gt;"",N($W2178)&gt;0,INDEX(職員マスタ!$K$6:$K$405,$AP2178)&lt;&gt;$W2178),"標準報酬月額が申請書と相違（台帳"&amp;TEXT(INDEX(職員マスタ!$K$6:$K$405,$AP2178),"#,##0")&amp;"円／申請書"&amp;TEXT($W2178,"#,##0")&amp;"円）／","")&amp;IF(AND(INDEX(職員マスタ!$F$6:$F$405,$AP2178)&lt;&gt;"",$AQ2178&lt;&gt;"",INDEX(職員マスタ!$F$6:$F$405,$AP2178)&lt;$AQ2178),"対象月に子が2歳到達済／","")&amp;IF(AND($H2178&lt;&gt;"",INDEX(職員マスタ!$B$6:$B$405,$AP2178)&lt;&gt;"",SUBSTITUTE(SUBSTITUTE($H2178," ","")," ","")&lt;&gt;SUBSTITUTE(SUBSTITUTE(INDEX(職員マスタ!$B$6:$B$405,$AP2178)," ","")," ","")),"氏名がマスタと相違／","")&amp;IF(AND($Q2178&lt;&gt;"",INDEX(職員マスタ!$E$6:$E$405,$AP2178)&lt;&gt;"",$Q2178&lt;&gt;INDEX(職員マスタ!$E$6:$E$405,$AP2178)),"子の生年月日がマスタと相違／","")&amp;IF(AND($L2178&lt;&gt;"",INDEX(職員マスタ!$G$6:$G$405,$AP2178)&lt;&gt;"",$L2178&lt;&gt;INDEX(職員マスタ!$G$6:$G$405,$AP2178)),"時短開始日がマスタと相違／","")&amp;IF(AND($M2178&lt;&gt;"",INDEX(職員マスタ!$H$6:$H$405,$AP2178)&lt;&gt;"",$M2178&lt;&gt;INDEX(職員マスタ!$H$6:$H$405,$AP2178)),"時短終了日がマスタと相違／","")))&amp;IF(AND($B2178&lt;&gt;"",$E2178=""),"報酬額が未入力／","")&amp;IF(N($U2178)&gt;0,"申請書に入力エラーが残っています／","")&amp;IF(AND($B2178&lt;&gt;"",$AQ2178&lt;&gt;""),IF(COUNTIFS($B$6:$B$3005,$B2178,$C$6:$C$3005,$C2178,$D$6:$D$3005,$D2178)&gt;1,"同じ月の請求が重複しています／",""),"")&amp;IF(AND(N($E2178)&gt;0,$AB2178&lt;&gt;"",$AB2178&lt;&gt;"×",$AE2178=0,$AD2178=""),"計算額が下限以下のため不支給／",""))</f>
        <v/>
      </c>
      <c r="AN2178" s="12" t="n"/>
      <c r="AO2178" s="14">
        <f>IF($AF2178="保留中",COUNTIF($AF$6:$AF2178,"保留中"),"")</f>
        <v/>
      </c>
      <c r="AP2178" s="14">
        <f>IF($AQ2178="","",IF(SUMPRODUCT(MAX((職員マスタ!$A$6:$A$405=$B2178)*(((職員マスタ!$G$6:$G$405="")+(職員マスタ!$G$6:$G$405&lt;=EOMONTH($AQ2178,0)))&gt;0)*(((職員マスタ!$H$6:$H$405="")+(職員マスタ!$H$6:$H$405&gt;=$AQ2178))&gt;0)*(ROW(職員マスタ!$A$6:$A$405)-5)))&gt;0,SUMPRODUCT(MAX((職員マスタ!$A$6:$A$405=$B2178)*(((職員マスタ!$G$6:$G$405="")+(職員マスタ!$G$6:$G$405&lt;=EOMONTH($AQ2178,0)))&gt;0)*(((職員マスタ!$H$6:$H$405="")+(職員マスタ!$H$6:$H$405&gt;=$AQ2178))&gt;0)*(ROW(職員マスタ!$A$6:$A$405)-5))),IFERROR(MATCH($B2178,職員マスタ!$A$6:$A$405,0),"")))</f>
        <v/>
      </c>
      <c r="AQ2178" s="16">
        <f>IF(OR($B2178="",$C2178="",$D2178=""),"",DATE($C2178+2018,$D2178,1))</f>
        <v/>
      </c>
    </row>
    <row r="2179">
      <c r="A2179" s="11" t="n"/>
      <c r="B2179" s="12" t="n"/>
      <c r="C2179" s="12" t="n"/>
      <c r="D2179" s="12" t="n"/>
      <c r="E2179" s="13" t="n"/>
      <c r="F2179" s="12" t="n"/>
      <c r="G2179" s="13" t="n"/>
      <c r="H2179" s="12" t="n"/>
      <c r="I2179" s="12" t="n"/>
      <c r="J2179" s="12" t="n"/>
      <c r="K2179" s="12" t="n"/>
      <c r="L2179" s="11" t="n"/>
      <c r="M2179" s="11" t="n"/>
      <c r="N2179" s="11" t="n"/>
      <c r="O2179" s="11" t="n"/>
      <c r="P2179" s="12" t="n"/>
      <c r="Q2179" s="11" t="n"/>
      <c r="R2179" s="12" t="n"/>
      <c r="S2179" s="11" t="n"/>
      <c r="T2179" s="12" t="n"/>
      <c r="U2179" s="12" t="n"/>
      <c r="V2179" s="12" t="n"/>
      <c r="W2179" s="13" t="n"/>
      <c r="X2179" s="14">
        <f>IF($AP2179="",IF($B2179="","",$H2179),IF(INDEX(職員マスタ!$B$6:$B$405,$AP2179)="",$H2179,INDEX(職員マスタ!$B$6:$B$405,$AP2179)))</f>
        <v/>
      </c>
      <c r="Y2179" s="14">
        <f>IF($AP2179="",IF($B2179="","",$R2179),IF(INDEX(職員マスタ!$C$6:$C$405,$AP2179)="",$R2179,INDEX(職員マスタ!$C$6:$C$405,$AP2179)))</f>
        <v/>
      </c>
      <c r="Z2179" s="14">
        <f>IF($AQ2179="","","R"&amp;$C2179&amp;"."&amp;$D2179)</f>
        <v/>
      </c>
      <c r="AA2179" s="15">
        <f>IF(IF($AP2179="",FALSE,INDEX(職員マスタ!$K$6:$K$405,$AP2179)&lt;&gt;""),INDEX(職員マスタ!$K$6:$K$405,$AP2179),IF(N($W2179)&gt;0,$W2179,""))</f>
        <v/>
      </c>
      <c r="AB2179" s="14">
        <f>IF(OR($E2179="",$AA2179=""),"",IF($E2179&gt;=$AA2179,"×",IF($E2179&gt;=$AA2179*設定!$C$5,"△","○")))</f>
        <v/>
      </c>
      <c r="AC2179" s="15">
        <f>IF($AB2179="","",IF($AB2179="×",0,IF($AB2179="○",ROUNDDOWN($E2179*設定!$C$4,0),ROUNDDOWN($E2179*ROUND((9*$AA2179-9*$E2179)/(10*$E2179),4),0))))</f>
        <v/>
      </c>
      <c r="AD2179" s="13" t="n"/>
      <c r="AE2179" s="15">
        <f>IF($B2179="","",IF($AD2179&lt;&gt;"",$AD2179,IF($AC2179="","",IF($AC2179&lt;=設定!$C$3,0,$AC2179))))</f>
        <v/>
      </c>
      <c r="AF2179" s="14">
        <f>IF($B2179="","",IF(AND($AG2179&lt;&gt;"",$AI2179="",$AL2179=""),"保留中",IF($AL2179&lt;&gt;"",IF(N($AE2179)&gt;0,"支給済","不支給"),IF($AE2179="","要確認",IF($AE2179=0,"不支給","未処理")))))</f>
        <v/>
      </c>
      <c r="AG2179" s="12" t="n"/>
      <c r="AH2179" s="11" t="n"/>
      <c r="AI2179" s="11" t="n"/>
      <c r="AJ2179" s="11" t="n"/>
      <c r="AK2179" s="14">
        <f>IF(AND($AF2179="保留中",$AH2179&lt;&gt;""),TODAY()-$AH2179,"")</f>
        <v/>
      </c>
      <c r="AL2179" s="12" t="n"/>
      <c r="AM2179" s="14">
        <f>IF($B2179="","",IF($AQ2179="","対象年月が未入力／","")&amp;IF($B2179="","",IF($AP2179="","職員マスタに未登録の職員番号／",IF($AA2179="","標準報酬月額が未登録／","")&amp;IF(AND($AQ2179&lt;&gt;"",OR(AND(INDEX(職員マスタ!$G$6:$G$405,$AP2179)&lt;&gt;"",INDEX(職員マスタ!$G$6:$G$405,$AP2179)&gt;EOMONTH($AQ2179,0)),AND(INDEX(職員マスタ!$H$6:$H$405,$AP2179)&lt;&gt;"",INDEX(職員マスタ!$H$6:$H$405,$AP2179)&lt;$AQ2179))),"対象月が時短期間外／","")&amp;IF(AND(INDEX(職員マスタ!$K$6:$K$405,$AP2179)&lt;&gt;"",N($W2179)&gt;0,INDEX(職員マスタ!$K$6:$K$405,$AP2179)&lt;&gt;$W2179),"標準報酬月額が申請書と相違（台帳"&amp;TEXT(INDEX(職員マスタ!$K$6:$K$405,$AP2179),"#,##0")&amp;"円／申請書"&amp;TEXT($W2179,"#,##0")&amp;"円）／","")&amp;IF(AND(INDEX(職員マスタ!$F$6:$F$405,$AP2179)&lt;&gt;"",$AQ2179&lt;&gt;"",INDEX(職員マスタ!$F$6:$F$405,$AP2179)&lt;$AQ2179),"対象月に子が2歳到達済／","")&amp;IF(AND($H2179&lt;&gt;"",INDEX(職員マスタ!$B$6:$B$405,$AP2179)&lt;&gt;"",SUBSTITUTE(SUBSTITUTE($H2179," ","")," ","")&lt;&gt;SUBSTITUTE(SUBSTITUTE(INDEX(職員マスタ!$B$6:$B$405,$AP2179)," ","")," ","")),"氏名がマスタと相違／","")&amp;IF(AND($Q2179&lt;&gt;"",INDEX(職員マスタ!$E$6:$E$405,$AP2179)&lt;&gt;"",$Q2179&lt;&gt;INDEX(職員マスタ!$E$6:$E$405,$AP2179)),"子の生年月日がマスタと相違／","")&amp;IF(AND($L2179&lt;&gt;"",INDEX(職員マスタ!$G$6:$G$405,$AP2179)&lt;&gt;"",$L2179&lt;&gt;INDEX(職員マスタ!$G$6:$G$405,$AP2179)),"時短開始日がマスタと相違／","")&amp;IF(AND($M2179&lt;&gt;"",INDEX(職員マスタ!$H$6:$H$405,$AP2179)&lt;&gt;"",$M2179&lt;&gt;INDEX(職員マスタ!$H$6:$H$405,$AP2179)),"時短終了日がマスタと相違／","")))&amp;IF(AND($B2179&lt;&gt;"",$E2179=""),"報酬額が未入力／","")&amp;IF(N($U2179)&gt;0,"申請書に入力エラーが残っています／","")&amp;IF(AND($B2179&lt;&gt;"",$AQ2179&lt;&gt;""),IF(COUNTIFS($B$6:$B$3005,$B2179,$C$6:$C$3005,$C2179,$D$6:$D$3005,$D2179)&gt;1,"同じ月の請求が重複しています／",""),"")&amp;IF(AND(N($E2179)&gt;0,$AB2179&lt;&gt;"",$AB2179&lt;&gt;"×",$AE2179=0,$AD2179=""),"計算額が下限以下のため不支給／",""))</f>
        <v/>
      </c>
      <c r="AN2179" s="12" t="n"/>
      <c r="AO2179" s="14">
        <f>IF($AF2179="保留中",COUNTIF($AF$6:$AF2179,"保留中"),"")</f>
        <v/>
      </c>
      <c r="AP2179" s="14">
        <f>IF($AQ2179="","",IF(SUMPRODUCT(MAX((職員マスタ!$A$6:$A$405=$B2179)*(((職員マスタ!$G$6:$G$405="")+(職員マスタ!$G$6:$G$405&lt;=EOMONTH($AQ2179,0)))&gt;0)*(((職員マスタ!$H$6:$H$405="")+(職員マスタ!$H$6:$H$405&gt;=$AQ2179))&gt;0)*(ROW(職員マスタ!$A$6:$A$405)-5)))&gt;0,SUMPRODUCT(MAX((職員マスタ!$A$6:$A$405=$B2179)*(((職員マスタ!$G$6:$G$405="")+(職員マスタ!$G$6:$G$405&lt;=EOMONTH($AQ2179,0)))&gt;0)*(((職員マスタ!$H$6:$H$405="")+(職員マスタ!$H$6:$H$405&gt;=$AQ2179))&gt;0)*(ROW(職員マスタ!$A$6:$A$405)-5))),IFERROR(MATCH($B2179,職員マスタ!$A$6:$A$405,0),"")))</f>
        <v/>
      </c>
      <c r="AQ2179" s="16">
        <f>IF(OR($B2179="",$C2179="",$D2179=""),"",DATE($C2179+2018,$D2179,1))</f>
        <v/>
      </c>
    </row>
    <row r="2180">
      <c r="A2180" s="11" t="n"/>
      <c r="B2180" s="12" t="n"/>
      <c r="C2180" s="12" t="n"/>
      <c r="D2180" s="12" t="n"/>
      <c r="E2180" s="13" t="n"/>
      <c r="F2180" s="12" t="n"/>
      <c r="G2180" s="13" t="n"/>
      <c r="H2180" s="12" t="n"/>
      <c r="I2180" s="12" t="n"/>
      <c r="J2180" s="12" t="n"/>
      <c r="K2180" s="12" t="n"/>
      <c r="L2180" s="11" t="n"/>
      <c r="M2180" s="11" t="n"/>
      <c r="N2180" s="11" t="n"/>
      <c r="O2180" s="11" t="n"/>
      <c r="P2180" s="12" t="n"/>
      <c r="Q2180" s="11" t="n"/>
      <c r="R2180" s="12" t="n"/>
      <c r="S2180" s="11" t="n"/>
      <c r="T2180" s="12" t="n"/>
      <c r="U2180" s="12" t="n"/>
      <c r="V2180" s="12" t="n"/>
      <c r="W2180" s="13" t="n"/>
      <c r="X2180" s="14">
        <f>IF($AP2180="",IF($B2180="","",$H2180),IF(INDEX(職員マスタ!$B$6:$B$405,$AP2180)="",$H2180,INDEX(職員マスタ!$B$6:$B$405,$AP2180)))</f>
        <v/>
      </c>
      <c r="Y2180" s="14">
        <f>IF($AP2180="",IF($B2180="","",$R2180),IF(INDEX(職員マスタ!$C$6:$C$405,$AP2180)="",$R2180,INDEX(職員マスタ!$C$6:$C$405,$AP2180)))</f>
        <v/>
      </c>
      <c r="Z2180" s="14">
        <f>IF($AQ2180="","","R"&amp;$C2180&amp;"."&amp;$D2180)</f>
        <v/>
      </c>
      <c r="AA2180" s="15">
        <f>IF(IF($AP2180="",FALSE,INDEX(職員マスタ!$K$6:$K$405,$AP2180)&lt;&gt;""),INDEX(職員マスタ!$K$6:$K$405,$AP2180),IF(N($W2180)&gt;0,$W2180,""))</f>
        <v/>
      </c>
      <c r="AB2180" s="14">
        <f>IF(OR($E2180="",$AA2180=""),"",IF($E2180&gt;=$AA2180,"×",IF($E2180&gt;=$AA2180*設定!$C$5,"△","○")))</f>
        <v/>
      </c>
      <c r="AC2180" s="15">
        <f>IF($AB2180="","",IF($AB2180="×",0,IF($AB2180="○",ROUNDDOWN($E2180*設定!$C$4,0),ROUNDDOWN($E2180*ROUND((9*$AA2180-9*$E2180)/(10*$E2180),4),0))))</f>
        <v/>
      </c>
      <c r="AD2180" s="13" t="n"/>
      <c r="AE2180" s="15">
        <f>IF($B2180="","",IF($AD2180&lt;&gt;"",$AD2180,IF($AC2180="","",IF($AC2180&lt;=設定!$C$3,0,$AC2180))))</f>
        <v/>
      </c>
      <c r="AF2180" s="14">
        <f>IF($B2180="","",IF(AND($AG2180&lt;&gt;"",$AI2180="",$AL2180=""),"保留中",IF($AL2180&lt;&gt;"",IF(N($AE2180)&gt;0,"支給済","不支給"),IF($AE2180="","要確認",IF($AE2180=0,"不支給","未処理")))))</f>
        <v/>
      </c>
      <c r="AG2180" s="12" t="n"/>
      <c r="AH2180" s="11" t="n"/>
      <c r="AI2180" s="11" t="n"/>
      <c r="AJ2180" s="11" t="n"/>
      <c r="AK2180" s="14">
        <f>IF(AND($AF2180="保留中",$AH2180&lt;&gt;""),TODAY()-$AH2180,"")</f>
        <v/>
      </c>
      <c r="AL2180" s="12" t="n"/>
      <c r="AM2180" s="14">
        <f>IF($B2180="","",IF($AQ2180="","対象年月が未入力／","")&amp;IF($B2180="","",IF($AP2180="","職員マスタに未登録の職員番号／",IF($AA2180="","標準報酬月額が未登録／","")&amp;IF(AND($AQ2180&lt;&gt;"",OR(AND(INDEX(職員マスタ!$G$6:$G$405,$AP2180)&lt;&gt;"",INDEX(職員マスタ!$G$6:$G$405,$AP2180)&gt;EOMONTH($AQ2180,0)),AND(INDEX(職員マスタ!$H$6:$H$405,$AP2180)&lt;&gt;"",INDEX(職員マスタ!$H$6:$H$405,$AP2180)&lt;$AQ2180))),"対象月が時短期間外／","")&amp;IF(AND(INDEX(職員マスタ!$K$6:$K$405,$AP2180)&lt;&gt;"",N($W2180)&gt;0,INDEX(職員マスタ!$K$6:$K$405,$AP2180)&lt;&gt;$W2180),"標準報酬月額が申請書と相違（台帳"&amp;TEXT(INDEX(職員マスタ!$K$6:$K$405,$AP2180),"#,##0")&amp;"円／申請書"&amp;TEXT($W2180,"#,##0")&amp;"円）／","")&amp;IF(AND(INDEX(職員マスタ!$F$6:$F$405,$AP2180)&lt;&gt;"",$AQ2180&lt;&gt;"",INDEX(職員マスタ!$F$6:$F$405,$AP2180)&lt;$AQ2180),"対象月に子が2歳到達済／","")&amp;IF(AND($H2180&lt;&gt;"",INDEX(職員マスタ!$B$6:$B$405,$AP2180)&lt;&gt;"",SUBSTITUTE(SUBSTITUTE($H2180," ","")," ","")&lt;&gt;SUBSTITUTE(SUBSTITUTE(INDEX(職員マスタ!$B$6:$B$405,$AP2180)," ","")," ","")),"氏名がマスタと相違／","")&amp;IF(AND($Q2180&lt;&gt;"",INDEX(職員マスタ!$E$6:$E$405,$AP2180)&lt;&gt;"",$Q2180&lt;&gt;INDEX(職員マスタ!$E$6:$E$405,$AP2180)),"子の生年月日がマスタと相違／","")&amp;IF(AND($L2180&lt;&gt;"",INDEX(職員マスタ!$G$6:$G$405,$AP2180)&lt;&gt;"",$L2180&lt;&gt;INDEX(職員マスタ!$G$6:$G$405,$AP2180)),"時短開始日がマスタと相違／","")&amp;IF(AND($M2180&lt;&gt;"",INDEX(職員マスタ!$H$6:$H$405,$AP2180)&lt;&gt;"",$M2180&lt;&gt;INDEX(職員マスタ!$H$6:$H$405,$AP2180)),"時短終了日がマスタと相違／","")))&amp;IF(AND($B2180&lt;&gt;"",$E2180=""),"報酬額が未入力／","")&amp;IF(N($U2180)&gt;0,"申請書に入力エラーが残っています／","")&amp;IF(AND($B2180&lt;&gt;"",$AQ2180&lt;&gt;""),IF(COUNTIFS($B$6:$B$3005,$B2180,$C$6:$C$3005,$C2180,$D$6:$D$3005,$D2180)&gt;1,"同じ月の請求が重複しています／",""),"")&amp;IF(AND(N($E2180)&gt;0,$AB2180&lt;&gt;"",$AB2180&lt;&gt;"×",$AE2180=0,$AD2180=""),"計算額が下限以下のため不支給／",""))</f>
        <v/>
      </c>
      <c r="AN2180" s="12" t="n"/>
      <c r="AO2180" s="14">
        <f>IF($AF2180="保留中",COUNTIF($AF$6:$AF2180,"保留中"),"")</f>
        <v/>
      </c>
      <c r="AP2180" s="14">
        <f>IF($AQ2180="","",IF(SUMPRODUCT(MAX((職員マスタ!$A$6:$A$405=$B2180)*(((職員マスタ!$G$6:$G$405="")+(職員マスタ!$G$6:$G$405&lt;=EOMONTH($AQ2180,0)))&gt;0)*(((職員マスタ!$H$6:$H$405="")+(職員マスタ!$H$6:$H$405&gt;=$AQ2180))&gt;0)*(ROW(職員マスタ!$A$6:$A$405)-5)))&gt;0,SUMPRODUCT(MAX((職員マスタ!$A$6:$A$405=$B2180)*(((職員マスタ!$G$6:$G$405="")+(職員マスタ!$G$6:$G$405&lt;=EOMONTH($AQ2180,0)))&gt;0)*(((職員マスタ!$H$6:$H$405="")+(職員マスタ!$H$6:$H$405&gt;=$AQ2180))&gt;0)*(ROW(職員マスタ!$A$6:$A$405)-5))),IFERROR(MATCH($B2180,職員マスタ!$A$6:$A$405,0),"")))</f>
        <v/>
      </c>
      <c r="AQ2180" s="16">
        <f>IF(OR($B2180="",$C2180="",$D2180=""),"",DATE($C2180+2018,$D2180,1))</f>
        <v/>
      </c>
    </row>
    <row r="2181">
      <c r="A2181" s="11" t="n"/>
      <c r="B2181" s="12" t="n"/>
      <c r="C2181" s="12" t="n"/>
      <c r="D2181" s="12" t="n"/>
      <c r="E2181" s="13" t="n"/>
      <c r="F2181" s="12" t="n"/>
      <c r="G2181" s="13" t="n"/>
      <c r="H2181" s="12" t="n"/>
      <c r="I2181" s="12" t="n"/>
      <c r="J2181" s="12" t="n"/>
      <c r="K2181" s="12" t="n"/>
      <c r="L2181" s="11" t="n"/>
      <c r="M2181" s="11" t="n"/>
      <c r="N2181" s="11" t="n"/>
      <c r="O2181" s="11" t="n"/>
      <c r="P2181" s="12" t="n"/>
      <c r="Q2181" s="11" t="n"/>
      <c r="R2181" s="12" t="n"/>
      <c r="S2181" s="11" t="n"/>
      <c r="T2181" s="12" t="n"/>
      <c r="U2181" s="12" t="n"/>
      <c r="V2181" s="12" t="n"/>
      <c r="W2181" s="13" t="n"/>
      <c r="X2181" s="14">
        <f>IF($AP2181="",IF($B2181="","",$H2181),IF(INDEX(職員マスタ!$B$6:$B$405,$AP2181)="",$H2181,INDEX(職員マスタ!$B$6:$B$405,$AP2181)))</f>
        <v/>
      </c>
      <c r="Y2181" s="14">
        <f>IF($AP2181="",IF($B2181="","",$R2181),IF(INDEX(職員マスタ!$C$6:$C$405,$AP2181)="",$R2181,INDEX(職員マスタ!$C$6:$C$405,$AP2181)))</f>
        <v/>
      </c>
      <c r="Z2181" s="14">
        <f>IF($AQ2181="","","R"&amp;$C2181&amp;"."&amp;$D2181)</f>
        <v/>
      </c>
      <c r="AA2181" s="15">
        <f>IF(IF($AP2181="",FALSE,INDEX(職員マスタ!$K$6:$K$405,$AP2181)&lt;&gt;""),INDEX(職員マスタ!$K$6:$K$405,$AP2181),IF(N($W2181)&gt;0,$W2181,""))</f>
        <v/>
      </c>
      <c r="AB2181" s="14">
        <f>IF(OR($E2181="",$AA2181=""),"",IF($E2181&gt;=$AA2181,"×",IF($E2181&gt;=$AA2181*設定!$C$5,"△","○")))</f>
        <v/>
      </c>
      <c r="AC2181" s="15">
        <f>IF($AB2181="","",IF($AB2181="×",0,IF($AB2181="○",ROUNDDOWN($E2181*設定!$C$4,0),ROUNDDOWN($E2181*ROUND((9*$AA2181-9*$E2181)/(10*$E2181),4),0))))</f>
        <v/>
      </c>
      <c r="AD2181" s="13" t="n"/>
      <c r="AE2181" s="15">
        <f>IF($B2181="","",IF($AD2181&lt;&gt;"",$AD2181,IF($AC2181="","",IF($AC2181&lt;=設定!$C$3,0,$AC2181))))</f>
        <v/>
      </c>
      <c r="AF2181" s="14">
        <f>IF($B2181="","",IF(AND($AG2181&lt;&gt;"",$AI2181="",$AL2181=""),"保留中",IF($AL2181&lt;&gt;"",IF(N($AE2181)&gt;0,"支給済","不支給"),IF($AE2181="","要確認",IF($AE2181=0,"不支給","未処理")))))</f>
        <v/>
      </c>
      <c r="AG2181" s="12" t="n"/>
      <c r="AH2181" s="11" t="n"/>
      <c r="AI2181" s="11" t="n"/>
      <c r="AJ2181" s="11" t="n"/>
      <c r="AK2181" s="14">
        <f>IF(AND($AF2181="保留中",$AH2181&lt;&gt;""),TODAY()-$AH2181,"")</f>
        <v/>
      </c>
      <c r="AL2181" s="12" t="n"/>
      <c r="AM2181" s="14">
        <f>IF($B2181="","",IF($AQ2181="","対象年月が未入力／","")&amp;IF($B2181="","",IF($AP2181="","職員マスタに未登録の職員番号／",IF($AA2181="","標準報酬月額が未登録／","")&amp;IF(AND($AQ2181&lt;&gt;"",OR(AND(INDEX(職員マスタ!$G$6:$G$405,$AP2181)&lt;&gt;"",INDEX(職員マスタ!$G$6:$G$405,$AP2181)&gt;EOMONTH($AQ2181,0)),AND(INDEX(職員マスタ!$H$6:$H$405,$AP2181)&lt;&gt;"",INDEX(職員マスタ!$H$6:$H$405,$AP2181)&lt;$AQ2181))),"対象月が時短期間外／","")&amp;IF(AND(INDEX(職員マスタ!$K$6:$K$405,$AP2181)&lt;&gt;"",N($W2181)&gt;0,INDEX(職員マスタ!$K$6:$K$405,$AP2181)&lt;&gt;$W2181),"標準報酬月額が申請書と相違（台帳"&amp;TEXT(INDEX(職員マスタ!$K$6:$K$405,$AP2181),"#,##0")&amp;"円／申請書"&amp;TEXT($W2181,"#,##0")&amp;"円）／","")&amp;IF(AND(INDEX(職員マスタ!$F$6:$F$405,$AP2181)&lt;&gt;"",$AQ2181&lt;&gt;"",INDEX(職員マスタ!$F$6:$F$405,$AP2181)&lt;$AQ2181),"対象月に子が2歳到達済／","")&amp;IF(AND($H2181&lt;&gt;"",INDEX(職員マスタ!$B$6:$B$405,$AP2181)&lt;&gt;"",SUBSTITUTE(SUBSTITUTE($H2181," ","")," ","")&lt;&gt;SUBSTITUTE(SUBSTITUTE(INDEX(職員マスタ!$B$6:$B$405,$AP2181)," ","")," ","")),"氏名がマスタと相違／","")&amp;IF(AND($Q2181&lt;&gt;"",INDEX(職員マスタ!$E$6:$E$405,$AP2181)&lt;&gt;"",$Q2181&lt;&gt;INDEX(職員マスタ!$E$6:$E$405,$AP2181)),"子の生年月日がマスタと相違／","")&amp;IF(AND($L2181&lt;&gt;"",INDEX(職員マスタ!$G$6:$G$405,$AP2181)&lt;&gt;"",$L2181&lt;&gt;INDEX(職員マスタ!$G$6:$G$405,$AP2181)),"時短開始日がマスタと相違／","")&amp;IF(AND($M2181&lt;&gt;"",INDEX(職員マスタ!$H$6:$H$405,$AP2181)&lt;&gt;"",$M2181&lt;&gt;INDEX(職員マスタ!$H$6:$H$405,$AP2181)),"時短終了日がマスタと相違／","")))&amp;IF(AND($B2181&lt;&gt;"",$E2181=""),"報酬額が未入力／","")&amp;IF(N($U2181)&gt;0,"申請書に入力エラーが残っています／","")&amp;IF(AND($B2181&lt;&gt;"",$AQ2181&lt;&gt;""),IF(COUNTIFS($B$6:$B$3005,$B2181,$C$6:$C$3005,$C2181,$D$6:$D$3005,$D2181)&gt;1,"同じ月の請求が重複しています／",""),"")&amp;IF(AND(N($E2181)&gt;0,$AB2181&lt;&gt;"",$AB2181&lt;&gt;"×",$AE2181=0,$AD2181=""),"計算額が下限以下のため不支給／",""))</f>
        <v/>
      </c>
      <c r="AN2181" s="12" t="n"/>
      <c r="AO2181" s="14">
        <f>IF($AF2181="保留中",COUNTIF($AF$6:$AF2181,"保留中"),"")</f>
        <v/>
      </c>
      <c r="AP2181" s="14">
        <f>IF($AQ2181="","",IF(SUMPRODUCT(MAX((職員マスタ!$A$6:$A$405=$B2181)*(((職員マスタ!$G$6:$G$405="")+(職員マスタ!$G$6:$G$405&lt;=EOMONTH($AQ2181,0)))&gt;0)*(((職員マスタ!$H$6:$H$405="")+(職員マスタ!$H$6:$H$405&gt;=$AQ2181))&gt;0)*(ROW(職員マスタ!$A$6:$A$405)-5)))&gt;0,SUMPRODUCT(MAX((職員マスタ!$A$6:$A$405=$B2181)*(((職員マスタ!$G$6:$G$405="")+(職員マスタ!$G$6:$G$405&lt;=EOMONTH($AQ2181,0)))&gt;0)*(((職員マスタ!$H$6:$H$405="")+(職員マスタ!$H$6:$H$405&gt;=$AQ2181))&gt;0)*(ROW(職員マスタ!$A$6:$A$405)-5))),IFERROR(MATCH($B2181,職員マスタ!$A$6:$A$405,0),"")))</f>
        <v/>
      </c>
      <c r="AQ2181" s="16">
        <f>IF(OR($B2181="",$C2181="",$D2181=""),"",DATE($C2181+2018,$D2181,1))</f>
        <v/>
      </c>
    </row>
    <row r="2182">
      <c r="A2182" s="11" t="n"/>
      <c r="B2182" s="12" t="n"/>
      <c r="C2182" s="12" t="n"/>
      <c r="D2182" s="12" t="n"/>
      <c r="E2182" s="13" t="n"/>
      <c r="F2182" s="12" t="n"/>
      <c r="G2182" s="13" t="n"/>
      <c r="H2182" s="12" t="n"/>
      <c r="I2182" s="12" t="n"/>
      <c r="J2182" s="12" t="n"/>
      <c r="K2182" s="12" t="n"/>
      <c r="L2182" s="11" t="n"/>
      <c r="M2182" s="11" t="n"/>
      <c r="N2182" s="11" t="n"/>
      <c r="O2182" s="11" t="n"/>
      <c r="P2182" s="12" t="n"/>
      <c r="Q2182" s="11" t="n"/>
      <c r="R2182" s="12" t="n"/>
      <c r="S2182" s="11" t="n"/>
      <c r="T2182" s="12" t="n"/>
      <c r="U2182" s="12" t="n"/>
      <c r="V2182" s="12" t="n"/>
      <c r="W2182" s="13" t="n"/>
      <c r="X2182" s="14">
        <f>IF($AP2182="",IF($B2182="","",$H2182),IF(INDEX(職員マスタ!$B$6:$B$405,$AP2182)="",$H2182,INDEX(職員マスタ!$B$6:$B$405,$AP2182)))</f>
        <v/>
      </c>
      <c r="Y2182" s="14">
        <f>IF($AP2182="",IF($B2182="","",$R2182),IF(INDEX(職員マスタ!$C$6:$C$405,$AP2182)="",$R2182,INDEX(職員マスタ!$C$6:$C$405,$AP2182)))</f>
        <v/>
      </c>
      <c r="Z2182" s="14">
        <f>IF($AQ2182="","","R"&amp;$C2182&amp;"."&amp;$D2182)</f>
        <v/>
      </c>
      <c r="AA2182" s="15">
        <f>IF(IF($AP2182="",FALSE,INDEX(職員マスタ!$K$6:$K$405,$AP2182)&lt;&gt;""),INDEX(職員マスタ!$K$6:$K$405,$AP2182),IF(N($W2182)&gt;0,$W2182,""))</f>
        <v/>
      </c>
      <c r="AB2182" s="14">
        <f>IF(OR($E2182="",$AA2182=""),"",IF($E2182&gt;=$AA2182,"×",IF($E2182&gt;=$AA2182*設定!$C$5,"△","○")))</f>
        <v/>
      </c>
      <c r="AC2182" s="15">
        <f>IF($AB2182="","",IF($AB2182="×",0,IF($AB2182="○",ROUNDDOWN($E2182*設定!$C$4,0),ROUNDDOWN($E2182*ROUND((9*$AA2182-9*$E2182)/(10*$E2182),4),0))))</f>
        <v/>
      </c>
      <c r="AD2182" s="13" t="n"/>
      <c r="AE2182" s="15">
        <f>IF($B2182="","",IF($AD2182&lt;&gt;"",$AD2182,IF($AC2182="","",IF($AC2182&lt;=設定!$C$3,0,$AC2182))))</f>
        <v/>
      </c>
      <c r="AF2182" s="14">
        <f>IF($B2182="","",IF(AND($AG2182&lt;&gt;"",$AI2182="",$AL2182=""),"保留中",IF($AL2182&lt;&gt;"",IF(N($AE2182)&gt;0,"支給済","不支給"),IF($AE2182="","要確認",IF($AE2182=0,"不支給","未処理")))))</f>
        <v/>
      </c>
      <c r="AG2182" s="12" t="n"/>
      <c r="AH2182" s="11" t="n"/>
      <c r="AI2182" s="11" t="n"/>
      <c r="AJ2182" s="11" t="n"/>
      <c r="AK2182" s="14">
        <f>IF(AND($AF2182="保留中",$AH2182&lt;&gt;""),TODAY()-$AH2182,"")</f>
        <v/>
      </c>
      <c r="AL2182" s="12" t="n"/>
      <c r="AM2182" s="14">
        <f>IF($B2182="","",IF($AQ2182="","対象年月が未入力／","")&amp;IF($B2182="","",IF($AP2182="","職員マスタに未登録の職員番号／",IF($AA2182="","標準報酬月額が未登録／","")&amp;IF(AND($AQ2182&lt;&gt;"",OR(AND(INDEX(職員マスタ!$G$6:$G$405,$AP2182)&lt;&gt;"",INDEX(職員マスタ!$G$6:$G$405,$AP2182)&gt;EOMONTH($AQ2182,0)),AND(INDEX(職員マスタ!$H$6:$H$405,$AP2182)&lt;&gt;"",INDEX(職員マスタ!$H$6:$H$405,$AP2182)&lt;$AQ2182))),"対象月が時短期間外／","")&amp;IF(AND(INDEX(職員マスタ!$K$6:$K$405,$AP2182)&lt;&gt;"",N($W2182)&gt;0,INDEX(職員マスタ!$K$6:$K$405,$AP2182)&lt;&gt;$W2182),"標準報酬月額が申請書と相違（台帳"&amp;TEXT(INDEX(職員マスタ!$K$6:$K$405,$AP2182),"#,##0")&amp;"円／申請書"&amp;TEXT($W2182,"#,##0")&amp;"円）／","")&amp;IF(AND(INDEX(職員マスタ!$F$6:$F$405,$AP2182)&lt;&gt;"",$AQ2182&lt;&gt;"",INDEX(職員マスタ!$F$6:$F$405,$AP2182)&lt;$AQ2182),"対象月に子が2歳到達済／","")&amp;IF(AND($H2182&lt;&gt;"",INDEX(職員マスタ!$B$6:$B$405,$AP2182)&lt;&gt;"",SUBSTITUTE(SUBSTITUTE($H2182," ","")," ","")&lt;&gt;SUBSTITUTE(SUBSTITUTE(INDEX(職員マスタ!$B$6:$B$405,$AP2182)," ","")," ","")),"氏名がマスタと相違／","")&amp;IF(AND($Q2182&lt;&gt;"",INDEX(職員マスタ!$E$6:$E$405,$AP2182)&lt;&gt;"",$Q2182&lt;&gt;INDEX(職員マスタ!$E$6:$E$405,$AP2182)),"子の生年月日がマスタと相違／","")&amp;IF(AND($L2182&lt;&gt;"",INDEX(職員マスタ!$G$6:$G$405,$AP2182)&lt;&gt;"",$L2182&lt;&gt;INDEX(職員マスタ!$G$6:$G$405,$AP2182)),"時短開始日がマスタと相違／","")&amp;IF(AND($M2182&lt;&gt;"",INDEX(職員マスタ!$H$6:$H$405,$AP2182)&lt;&gt;"",$M2182&lt;&gt;INDEX(職員マスタ!$H$6:$H$405,$AP2182)),"時短終了日がマスタと相違／","")))&amp;IF(AND($B2182&lt;&gt;"",$E2182=""),"報酬額が未入力／","")&amp;IF(N($U2182)&gt;0,"申請書に入力エラーが残っています／","")&amp;IF(AND($B2182&lt;&gt;"",$AQ2182&lt;&gt;""),IF(COUNTIFS($B$6:$B$3005,$B2182,$C$6:$C$3005,$C2182,$D$6:$D$3005,$D2182)&gt;1,"同じ月の請求が重複しています／",""),"")&amp;IF(AND(N($E2182)&gt;0,$AB2182&lt;&gt;"",$AB2182&lt;&gt;"×",$AE2182=0,$AD2182=""),"計算額が下限以下のため不支給／",""))</f>
        <v/>
      </c>
      <c r="AN2182" s="12" t="n"/>
      <c r="AO2182" s="14">
        <f>IF($AF2182="保留中",COUNTIF($AF$6:$AF2182,"保留中"),"")</f>
        <v/>
      </c>
      <c r="AP2182" s="14">
        <f>IF($AQ2182="","",IF(SUMPRODUCT(MAX((職員マスタ!$A$6:$A$405=$B2182)*(((職員マスタ!$G$6:$G$405="")+(職員マスタ!$G$6:$G$405&lt;=EOMONTH($AQ2182,0)))&gt;0)*(((職員マスタ!$H$6:$H$405="")+(職員マスタ!$H$6:$H$405&gt;=$AQ2182))&gt;0)*(ROW(職員マスタ!$A$6:$A$405)-5)))&gt;0,SUMPRODUCT(MAX((職員マスタ!$A$6:$A$405=$B2182)*(((職員マスタ!$G$6:$G$405="")+(職員マスタ!$G$6:$G$405&lt;=EOMONTH($AQ2182,0)))&gt;0)*(((職員マスタ!$H$6:$H$405="")+(職員マスタ!$H$6:$H$405&gt;=$AQ2182))&gt;0)*(ROW(職員マスタ!$A$6:$A$405)-5))),IFERROR(MATCH($B2182,職員マスタ!$A$6:$A$405,0),"")))</f>
        <v/>
      </c>
      <c r="AQ2182" s="16">
        <f>IF(OR($B2182="",$C2182="",$D2182=""),"",DATE($C2182+2018,$D2182,1))</f>
        <v/>
      </c>
    </row>
    <row r="2183">
      <c r="A2183" s="11" t="n"/>
      <c r="B2183" s="12" t="n"/>
      <c r="C2183" s="12" t="n"/>
      <c r="D2183" s="12" t="n"/>
      <c r="E2183" s="13" t="n"/>
      <c r="F2183" s="12" t="n"/>
      <c r="G2183" s="13" t="n"/>
      <c r="H2183" s="12" t="n"/>
      <c r="I2183" s="12" t="n"/>
      <c r="J2183" s="12" t="n"/>
      <c r="K2183" s="12" t="n"/>
      <c r="L2183" s="11" t="n"/>
      <c r="M2183" s="11" t="n"/>
      <c r="N2183" s="11" t="n"/>
      <c r="O2183" s="11" t="n"/>
      <c r="P2183" s="12" t="n"/>
      <c r="Q2183" s="11" t="n"/>
      <c r="R2183" s="12" t="n"/>
      <c r="S2183" s="11" t="n"/>
      <c r="T2183" s="12" t="n"/>
      <c r="U2183" s="12" t="n"/>
      <c r="V2183" s="12" t="n"/>
      <c r="W2183" s="13" t="n"/>
      <c r="X2183" s="14">
        <f>IF($AP2183="",IF($B2183="","",$H2183),IF(INDEX(職員マスタ!$B$6:$B$405,$AP2183)="",$H2183,INDEX(職員マスタ!$B$6:$B$405,$AP2183)))</f>
        <v/>
      </c>
      <c r="Y2183" s="14">
        <f>IF($AP2183="",IF($B2183="","",$R2183),IF(INDEX(職員マスタ!$C$6:$C$405,$AP2183)="",$R2183,INDEX(職員マスタ!$C$6:$C$405,$AP2183)))</f>
        <v/>
      </c>
      <c r="Z2183" s="14">
        <f>IF($AQ2183="","","R"&amp;$C2183&amp;"."&amp;$D2183)</f>
        <v/>
      </c>
      <c r="AA2183" s="15">
        <f>IF(IF($AP2183="",FALSE,INDEX(職員マスタ!$K$6:$K$405,$AP2183)&lt;&gt;""),INDEX(職員マスタ!$K$6:$K$405,$AP2183),IF(N($W2183)&gt;0,$W2183,""))</f>
        <v/>
      </c>
      <c r="AB2183" s="14">
        <f>IF(OR($E2183="",$AA2183=""),"",IF($E2183&gt;=$AA2183,"×",IF($E2183&gt;=$AA2183*設定!$C$5,"△","○")))</f>
        <v/>
      </c>
      <c r="AC2183" s="15">
        <f>IF($AB2183="","",IF($AB2183="×",0,IF($AB2183="○",ROUNDDOWN($E2183*設定!$C$4,0),ROUNDDOWN($E2183*ROUND((9*$AA2183-9*$E2183)/(10*$E2183),4),0))))</f>
        <v/>
      </c>
      <c r="AD2183" s="13" t="n"/>
      <c r="AE2183" s="15">
        <f>IF($B2183="","",IF($AD2183&lt;&gt;"",$AD2183,IF($AC2183="","",IF($AC2183&lt;=設定!$C$3,0,$AC2183))))</f>
        <v/>
      </c>
      <c r="AF2183" s="14">
        <f>IF($B2183="","",IF(AND($AG2183&lt;&gt;"",$AI2183="",$AL2183=""),"保留中",IF($AL2183&lt;&gt;"",IF(N($AE2183)&gt;0,"支給済","不支給"),IF($AE2183="","要確認",IF($AE2183=0,"不支給","未処理")))))</f>
        <v/>
      </c>
      <c r="AG2183" s="12" t="n"/>
      <c r="AH2183" s="11" t="n"/>
      <c r="AI2183" s="11" t="n"/>
      <c r="AJ2183" s="11" t="n"/>
      <c r="AK2183" s="14">
        <f>IF(AND($AF2183="保留中",$AH2183&lt;&gt;""),TODAY()-$AH2183,"")</f>
        <v/>
      </c>
      <c r="AL2183" s="12" t="n"/>
      <c r="AM2183" s="14">
        <f>IF($B2183="","",IF($AQ2183="","対象年月が未入力／","")&amp;IF($B2183="","",IF($AP2183="","職員マスタに未登録の職員番号／",IF($AA2183="","標準報酬月額が未登録／","")&amp;IF(AND($AQ2183&lt;&gt;"",OR(AND(INDEX(職員マスタ!$G$6:$G$405,$AP2183)&lt;&gt;"",INDEX(職員マスタ!$G$6:$G$405,$AP2183)&gt;EOMONTH($AQ2183,0)),AND(INDEX(職員マスタ!$H$6:$H$405,$AP2183)&lt;&gt;"",INDEX(職員マスタ!$H$6:$H$405,$AP2183)&lt;$AQ2183))),"対象月が時短期間外／","")&amp;IF(AND(INDEX(職員マスタ!$K$6:$K$405,$AP2183)&lt;&gt;"",N($W2183)&gt;0,INDEX(職員マスタ!$K$6:$K$405,$AP2183)&lt;&gt;$W2183),"標準報酬月額が申請書と相違（台帳"&amp;TEXT(INDEX(職員マスタ!$K$6:$K$405,$AP2183),"#,##0")&amp;"円／申請書"&amp;TEXT($W2183,"#,##0")&amp;"円）／","")&amp;IF(AND(INDEX(職員マスタ!$F$6:$F$405,$AP2183)&lt;&gt;"",$AQ2183&lt;&gt;"",INDEX(職員マスタ!$F$6:$F$405,$AP2183)&lt;$AQ2183),"対象月に子が2歳到達済／","")&amp;IF(AND($H2183&lt;&gt;"",INDEX(職員マスタ!$B$6:$B$405,$AP2183)&lt;&gt;"",SUBSTITUTE(SUBSTITUTE($H2183," ","")," ","")&lt;&gt;SUBSTITUTE(SUBSTITUTE(INDEX(職員マスタ!$B$6:$B$405,$AP2183)," ","")," ","")),"氏名がマスタと相違／","")&amp;IF(AND($Q2183&lt;&gt;"",INDEX(職員マスタ!$E$6:$E$405,$AP2183)&lt;&gt;"",$Q2183&lt;&gt;INDEX(職員マスタ!$E$6:$E$405,$AP2183)),"子の生年月日がマスタと相違／","")&amp;IF(AND($L2183&lt;&gt;"",INDEX(職員マスタ!$G$6:$G$405,$AP2183)&lt;&gt;"",$L2183&lt;&gt;INDEX(職員マスタ!$G$6:$G$405,$AP2183)),"時短開始日がマスタと相違／","")&amp;IF(AND($M2183&lt;&gt;"",INDEX(職員マスタ!$H$6:$H$405,$AP2183)&lt;&gt;"",$M2183&lt;&gt;INDEX(職員マスタ!$H$6:$H$405,$AP2183)),"時短終了日がマスタと相違／","")))&amp;IF(AND($B2183&lt;&gt;"",$E2183=""),"報酬額が未入力／","")&amp;IF(N($U2183)&gt;0,"申請書に入力エラーが残っています／","")&amp;IF(AND($B2183&lt;&gt;"",$AQ2183&lt;&gt;""),IF(COUNTIFS($B$6:$B$3005,$B2183,$C$6:$C$3005,$C2183,$D$6:$D$3005,$D2183)&gt;1,"同じ月の請求が重複しています／",""),"")&amp;IF(AND(N($E2183)&gt;0,$AB2183&lt;&gt;"",$AB2183&lt;&gt;"×",$AE2183=0,$AD2183=""),"計算額が下限以下のため不支給／",""))</f>
        <v/>
      </c>
      <c r="AN2183" s="12" t="n"/>
      <c r="AO2183" s="14">
        <f>IF($AF2183="保留中",COUNTIF($AF$6:$AF2183,"保留中"),"")</f>
        <v/>
      </c>
      <c r="AP2183" s="14">
        <f>IF($AQ2183="","",IF(SUMPRODUCT(MAX((職員マスタ!$A$6:$A$405=$B2183)*(((職員マスタ!$G$6:$G$405="")+(職員マスタ!$G$6:$G$405&lt;=EOMONTH($AQ2183,0)))&gt;0)*(((職員マスタ!$H$6:$H$405="")+(職員マスタ!$H$6:$H$405&gt;=$AQ2183))&gt;0)*(ROW(職員マスタ!$A$6:$A$405)-5)))&gt;0,SUMPRODUCT(MAX((職員マスタ!$A$6:$A$405=$B2183)*(((職員マスタ!$G$6:$G$405="")+(職員マスタ!$G$6:$G$405&lt;=EOMONTH($AQ2183,0)))&gt;0)*(((職員マスタ!$H$6:$H$405="")+(職員マスタ!$H$6:$H$405&gt;=$AQ2183))&gt;0)*(ROW(職員マスタ!$A$6:$A$405)-5))),IFERROR(MATCH($B2183,職員マスタ!$A$6:$A$405,0),"")))</f>
        <v/>
      </c>
      <c r="AQ2183" s="16">
        <f>IF(OR($B2183="",$C2183="",$D2183=""),"",DATE($C2183+2018,$D2183,1))</f>
        <v/>
      </c>
    </row>
    <row r="2184">
      <c r="A2184" s="11" t="n"/>
      <c r="B2184" s="12" t="n"/>
      <c r="C2184" s="12" t="n"/>
      <c r="D2184" s="12" t="n"/>
      <c r="E2184" s="13" t="n"/>
      <c r="F2184" s="12" t="n"/>
      <c r="G2184" s="13" t="n"/>
      <c r="H2184" s="12" t="n"/>
      <c r="I2184" s="12" t="n"/>
      <c r="J2184" s="12" t="n"/>
      <c r="K2184" s="12" t="n"/>
      <c r="L2184" s="11" t="n"/>
      <c r="M2184" s="11" t="n"/>
      <c r="N2184" s="11" t="n"/>
      <c r="O2184" s="11" t="n"/>
      <c r="P2184" s="12" t="n"/>
      <c r="Q2184" s="11" t="n"/>
      <c r="R2184" s="12" t="n"/>
      <c r="S2184" s="11" t="n"/>
      <c r="T2184" s="12" t="n"/>
      <c r="U2184" s="12" t="n"/>
      <c r="V2184" s="12" t="n"/>
      <c r="W2184" s="13" t="n"/>
      <c r="X2184" s="14">
        <f>IF($AP2184="",IF($B2184="","",$H2184),IF(INDEX(職員マスタ!$B$6:$B$405,$AP2184)="",$H2184,INDEX(職員マスタ!$B$6:$B$405,$AP2184)))</f>
        <v/>
      </c>
      <c r="Y2184" s="14">
        <f>IF($AP2184="",IF($B2184="","",$R2184),IF(INDEX(職員マスタ!$C$6:$C$405,$AP2184)="",$R2184,INDEX(職員マスタ!$C$6:$C$405,$AP2184)))</f>
        <v/>
      </c>
      <c r="Z2184" s="14">
        <f>IF($AQ2184="","","R"&amp;$C2184&amp;"."&amp;$D2184)</f>
        <v/>
      </c>
      <c r="AA2184" s="15">
        <f>IF(IF($AP2184="",FALSE,INDEX(職員マスタ!$K$6:$K$405,$AP2184)&lt;&gt;""),INDEX(職員マスタ!$K$6:$K$405,$AP2184),IF(N($W2184)&gt;0,$W2184,""))</f>
        <v/>
      </c>
      <c r="AB2184" s="14">
        <f>IF(OR($E2184="",$AA2184=""),"",IF($E2184&gt;=$AA2184,"×",IF($E2184&gt;=$AA2184*設定!$C$5,"△","○")))</f>
        <v/>
      </c>
      <c r="AC2184" s="15">
        <f>IF($AB2184="","",IF($AB2184="×",0,IF($AB2184="○",ROUNDDOWN($E2184*設定!$C$4,0),ROUNDDOWN($E2184*ROUND((9*$AA2184-9*$E2184)/(10*$E2184),4),0))))</f>
        <v/>
      </c>
      <c r="AD2184" s="13" t="n"/>
      <c r="AE2184" s="15">
        <f>IF($B2184="","",IF($AD2184&lt;&gt;"",$AD2184,IF($AC2184="","",IF($AC2184&lt;=設定!$C$3,0,$AC2184))))</f>
        <v/>
      </c>
      <c r="AF2184" s="14">
        <f>IF($B2184="","",IF(AND($AG2184&lt;&gt;"",$AI2184="",$AL2184=""),"保留中",IF($AL2184&lt;&gt;"",IF(N($AE2184)&gt;0,"支給済","不支給"),IF($AE2184="","要確認",IF($AE2184=0,"不支給","未処理")))))</f>
        <v/>
      </c>
      <c r="AG2184" s="12" t="n"/>
      <c r="AH2184" s="11" t="n"/>
      <c r="AI2184" s="11" t="n"/>
      <c r="AJ2184" s="11" t="n"/>
      <c r="AK2184" s="14">
        <f>IF(AND($AF2184="保留中",$AH2184&lt;&gt;""),TODAY()-$AH2184,"")</f>
        <v/>
      </c>
      <c r="AL2184" s="12" t="n"/>
      <c r="AM2184" s="14">
        <f>IF($B2184="","",IF($AQ2184="","対象年月が未入力／","")&amp;IF($B2184="","",IF($AP2184="","職員マスタに未登録の職員番号／",IF($AA2184="","標準報酬月額が未登録／","")&amp;IF(AND($AQ2184&lt;&gt;"",OR(AND(INDEX(職員マスタ!$G$6:$G$405,$AP2184)&lt;&gt;"",INDEX(職員マスタ!$G$6:$G$405,$AP2184)&gt;EOMONTH($AQ2184,0)),AND(INDEX(職員マスタ!$H$6:$H$405,$AP2184)&lt;&gt;"",INDEX(職員マスタ!$H$6:$H$405,$AP2184)&lt;$AQ2184))),"対象月が時短期間外／","")&amp;IF(AND(INDEX(職員マスタ!$K$6:$K$405,$AP2184)&lt;&gt;"",N($W2184)&gt;0,INDEX(職員マスタ!$K$6:$K$405,$AP2184)&lt;&gt;$W2184),"標準報酬月額が申請書と相違（台帳"&amp;TEXT(INDEX(職員マスタ!$K$6:$K$405,$AP2184),"#,##0")&amp;"円／申請書"&amp;TEXT($W2184,"#,##0")&amp;"円）／","")&amp;IF(AND(INDEX(職員マスタ!$F$6:$F$405,$AP2184)&lt;&gt;"",$AQ2184&lt;&gt;"",INDEX(職員マスタ!$F$6:$F$405,$AP2184)&lt;$AQ2184),"対象月に子が2歳到達済／","")&amp;IF(AND($H2184&lt;&gt;"",INDEX(職員マスタ!$B$6:$B$405,$AP2184)&lt;&gt;"",SUBSTITUTE(SUBSTITUTE($H2184," ","")," ","")&lt;&gt;SUBSTITUTE(SUBSTITUTE(INDEX(職員マスタ!$B$6:$B$405,$AP2184)," ","")," ","")),"氏名がマスタと相違／","")&amp;IF(AND($Q2184&lt;&gt;"",INDEX(職員マスタ!$E$6:$E$405,$AP2184)&lt;&gt;"",$Q2184&lt;&gt;INDEX(職員マスタ!$E$6:$E$405,$AP2184)),"子の生年月日がマスタと相違／","")&amp;IF(AND($L2184&lt;&gt;"",INDEX(職員マスタ!$G$6:$G$405,$AP2184)&lt;&gt;"",$L2184&lt;&gt;INDEX(職員マスタ!$G$6:$G$405,$AP2184)),"時短開始日がマスタと相違／","")&amp;IF(AND($M2184&lt;&gt;"",INDEX(職員マスタ!$H$6:$H$405,$AP2184)&lt;&gt;"",$M2184&lt;&gt;INDEX(職員マスタ!$H$6:$H$405,$AP2184)),"時短終了日がマスタと相違／","")))&amp;IF(AND($B2184&lt;&gt;"",$E2184=""),"報酬額が未入力／","")&amp;IF(N($U2184)&gt;0,"申請書に入力エラーが残っています／","")&amp;IF(AND($B2184&lt;&gt;"",$AQ2184&lt;&gt;""),IF(COUNTIFS($B$6:$B$3005,$B2184,$C$6:$C$3005,$C2184,$D$6:$D$3005,$D2184)&gt;1,"同じ月の請求が重複しています／",""),"")&amp;IF(AND(N($E2184)&gt;0,$AB2184&lt;&gt;"",$AB2184&lt;&gt;"×",$AE2184=0,$AD2184=""),"計算額が下限以下のため不支給／",""))</f>
        <v/>
      </c>
      <c r="AN2184" s="12" t="n"/>
      <c r="AO2184" s="14">
        <f>IF($AF2184="保留中",COUNTIF($AF$6:$AF2184,"保留中"),"")</f>
        <v/>
      </c>
      <c r="AP2184" s="14">
        <f>IF($AQ2184="","",IF(SUMPRODUCT(MAX((職員マスタ!$A$6:$A$405=$B2184)*(((職員マスタ!$G$6:$G$405="")+(職員マスタ!$G$6:$G$405&lt;=EOMONTH($AQ2184,0)))&gt;0)*(((職員マスタ!$H$6:$H$405="")+(職員マスタ!$H$6:$H$405&gt;=$AQ2184))&gt;0)*(ROW(職員マスタ!$A$6:$A$405)-5)))&gt;0,SUMPRODUCT(MAX((職員マスタ!$A$6:$A$405=$B2184)*(((職員マスタ!$G$6:$G$405="")+(職員マスタ!$G$6:$G$405&lt;=EOMONTH($AQ2184,0)))&gt;0)*(((職員マスタ!$H$6:$H$405="")+(職員マスタ!$H$6:$H$405&gt;=$AQ2184))&gt;0)*(ROW(職員マスタ!$A$6:$A$405)-5))),IFERROR(MATCH($B2184,職員マスタ!$A$6:$A$405,0),"")))</f>
        <v/>
      </c>
      <c r="AQ2184" s="16">
        <f>IF(OR($B2184="",$C2184="",$D2184=""),"",DATE($C2184+2018,$D2184,1))</f>
        <v/>
      </c>
    </row>
    <row r="2185">
      <c r="A2185" s="11" t="n"/>
      <c r="B2185" s="12" t="n"/>
      <c r="C2185" s="12" t="n"/>
      <c r="D2185" s="12" t="n"/>
      <c r="E2185" s="13" t="n"/>
      <c r="F2185" s="12" t="n"/>
      <c r="G2185" s="13" t="n"/>
      <c r="H2185" s="12" t="n"/>
      <c r="I2185" s="12" t="n"/>
      <c r="J2185" s="12" t="n"/>
      <c r="K2185" s="12" t="n"/>
      <c r="L2185" s="11" t="n"/>
      <c r="M2185" s="11" t="n"/>
      <c r="N2185" s="11" t="n"/>
      <c r="O2185" s="11" t="n"/>
      <c r="P2185" s="12" t="n"/>
      <c r="Q2185" s="11" t="n"/>
      <c r="R2185" s="12" t="n"/>
      <c r="S2185" s="11" t="n"/>
      <c r="T2185" s="12" t="n"/>
      <c r="U2185" s="12" t="n"/>
      <c r="V2185" s="12" t="n"/>
      <c r="W2185" s="13" t="n"/>
      <c r="X2185" s="14">
        <f>IF($AP2185="",IF($B2185="","",$H2185),IF(INDEX(職員マスタ!$B$6:$B$405,$AP2185)="",$H2185,INDEX(職員マスタ!$B$6:$B$405,$AP2185)))</f>
        <v/>
      </c>
      <c r="Y2185" s="14">
        <f>IF($AP2185="",IF($B2185="","",$R2185),IF(INDEX(職員マスタ!$C$6:$C$405,$AP2185)="",$R2185,INDEX(職員マスタ!$C$6:$C$405,$AP2185)))</f>
        <v/>
      </c>
      <c r="Z2185" s="14">
        <f>IF($AQ2185="","","R"&amp;$C2185&amp;"."&amp;$D2185)</f>
        <v/>
      </c>
      <c r="AA2185" s="15">
        <f>IF(IF($AP2185="",FALSE,INDEX(職員マスタ!$K$6:$K$405,$AP2185)&lt;&gt;""),INDEX(職員マスタ!$K$6:$K$405,$AP2185),IF(N($W2185)&gt;0,$W2185,""))</f>
        <v/>
      </c>
      <c r="AB2185" s="14">
        <f>IF(OR($E2185="",$AA2185=""),"",IF($E2185&gt;=$AA2185,"×",IF($E2185&gt;=$AA2185*設定!$C$5,"△","○")))</f>
        <v/>
      </c>
      <c r="AC2185" s="15">
        <f>IF($AB2185="","",IF($AB2185="×",0,IF($AB2185="○",ROUNDDOWN($E2185*設定!$C$4,0),ROUNDDOWN($E2185*ROUND((9*$AA2185-9*$E2185)/(10*$E2185),4),0))))</f>
        <v/>
      </c>
      <c r="AD2185" s="13" t="n"/>
      <c r="AE2185" s="15">
        <f>IF($B2185="","",IF($AD2185&lt;&gt;"",$AD2185,IF($AC2185="","",IF($AC2185&lt;=設定!$C$3,0,$AC2185))))</f>
        <v/>
      </c>
      <c r="AF2185" s="14">
        <f>IF($B2185="","",IF(AND($AG2185&lt;&gt;"",$AI2185="",$AL2185=""),"保留中",IF($AL2185&lt;&gt;"",IF(N($AE2185)&gt;0,"支給済","不支給"),IF($AE2185="","要確認",IF($AE2185=0,"不支給","未処理")))))</f>
        <v/>
      </c>
      <c r="AG2185" s="12" t="n"/>
      <c r="AH2185" s="11" t="n"/>
      <c r="AI2185" s="11" t="n"/>
      <c r="AJ2185" s="11" t="n"/>
      <c r="AK2185" s="14">
        <f>IF(AND($AF2185="保留中",$AH2185&lt;&gt;""),TODAY()-$AH2185,"")</f>
        <v/>
      </c>
      <c r="AL2185" s="12" t="n"/>
      <c r="AM2185" s="14">
        <f>IF($B2185="","",IF($AQ2185="","対象年月が未入力／","")&amp;IF($B2185="","",IF($AP2185="","職員マスタに未登録の職員番号／",IF($AA2185="","標準報酬月額が未登録／","")&amp;IF(AND($AQ2185&lt;&gt;"",OR(AND(INDEX(職員マスタ!$G$6:$G$405,$AP2185)&lt;&gt;"",INDEX(職員マスタ!$G$6:$G$405,$AP2185)&gt;EOMONTH($AQ2185,0)),AND(INDEX(職員マスタ!$H$6:$H$405,$AP2185)&lt;&gt;"",INDEX(職員マスタ!$H$6:$H$405,$AP2185)&lt;$AQ2185))),"対象月が時短期間外／","")&amp;IF(AND(INDEX(職員マスタ!$K$6:$K$405,$AP2185)&lt;&gt;"",N($W2185)&gt;0,INDEX(職員マスタ!$K$6:$K$405,$AP2185)&lt;&gt;$W2185),"標準報酬月額が申請書と相違（台帳"&amp;TEXT(INDEX(職員マスタ!$K$6:$K$405,$AP2185),"#,##0")&amp;"円／申請書"&amp;TEXT($W2185,"#,##0")&amp;"円）／","")&amp;IF(AND(INDEX(職員マスタ!$F$6:$F$405,$AP2185)&lt;&gt;"",$AQ2185&lt;&gt;"",INDEX(職員マスタ!$F$6:$F$405,$AP2185)&lt;$AQ2185),"対象月に子が2歳到達済／","")&amp;IF(AND($H2185&lt;&gt;"",INDEX(職員マスタ!$B$6:$B$405,$AP2185)&lt;&gt;"",SUBSTITUTE(SUBSTITUTE($H2185," ","")," ","")&lt;&gt;SUBSTITUTE(SUBSTITUTE(INDEX(職員マスタ!$B$6:$B$405,$AP2185)," ","")," ","")),"氏名がマスタと相違／","")&amp;IF(AND($Q2185&lt;&gt;"",INDEX(職員マスタ!$E$6:$E$405,$AP2185)&lt;&gt;"",$Q2185&lt;&gt;INDEX(職員マスタ!$E$6:$E$405,$AP2185)),"子の生年月日がマスタと相違／","")&amp;IF(AND($L2185&lt;&gt;"",INDEX(職員マスタ!$G$6:$G$405,$AP2185)&lt;&gt;"",$L2185&lt;&gt;INDEX(職員マスタ!$G$6:$G$405,$AP2185)),"時短開始日がマスタと相違／","")&amp;IF(AND($M2185&lt;&gt;"",INDEX(職員マスタ!$H$6:$H$405,$AP2185)&lt;&gt;"",$M2185&lt;&gt;INDEX(職員マスタ!$H$6:$H$405,$AP2185)),"時短終了日がマスタと相違／","")))&amp;IF(AND($B2185&lt;&gt;"",$E2185=""),"報酬額が未入力／","")&amp;IF(N($U2185)&gt;0,"申請書に入力エラーが残っています／","")&amp;IF(AND($B2185&lt;&gt;"",$AQ2185&lt;&gt;""),IF(COUNTIFS($B$6:$B$3005,$B2185,$C$6:$C$3005,$C2185,$D$6:$D$3005,$D2185)&gt;1,"同じ月の請求が重複しています／",""),"")&amp;IF(AND(N($E2185)&gt;0,$AB2185&lt;&gt;"",$AB2185&lt;&gt;"×",$AE2185=0,$AD2185=""),"計算額が下限以下のため不支給／",""))</f>
        <v/>
      </c>
      <c r="AN2185" s="12" t="n"/>
      <c r="AO2185" s="14">
        <f>IF($AF2185="保留中",COUNTIF($AF$6:$AF2185,"保留中"),"")</f>
        <v/>
      </c>
      <c r="AP2185" s="14">
        <f>IF($AQ2185="","",IF(SUMPRODUCT(MAX((職員マスタ!$A$6:$A$405=$B2185)*(((職員マスタ!$G$6:$G$405="")+(職員マスタ!$G$6:$G$405&lt;=EOMONTH($AQ2185,0)))&gt;0)*(((職員マスタ!$H$6:$H$405="")+(職員マスタ!$H$6:$H$405&gt;=$AQ2185))&gt;0)*(ROW(職員マスタ!$A$6:$A$405)-5)))&gt;0,SUMPRODUCT(MAX((職員マスタ!$A$6:$A$405=$B2185)*(((職員マスタ!$G$6:$G$405="")+(職員マスタ!$G$6:$G$405&lt;=EOMONTH($AQ2185,0)))&gt;0)*(((職員マスタ!$H$6:$H$405="")+(職員マスタ!$H$6:$H$405&gt;=$AQ2185))&gt;0)*(ROW(職員マスタ!$A$6:$A$405)-5))),IFERROR(MATCH($B2185,職員マスタ!$A$6:$A$405,0),"")))</f>
        <v/>
      </c>
      <c r="AQ2185" s="16">
        <f>IF(OR($B2185="",$C2185="",$D2185=""),"",DATE($C2185+2018,$D2185,1))</f>
        <v/>
      </c>
    </row>
    <row r="2186">
      <c r="A2186" s="11" t="n"/>
      <c r="B2186" s="12" t="n"/>
      <c r="C2186" s="12" t="n"/>
      <c r="D2186" s="12" t="n"/>
      <c r="E2186" s="13" t="n"/>
      <c r="F2186" s="12" t="n"/>
      <c r="G2186" s="13" t="n"/>
      <c r="H2186" s="12" t="n"/>
      <c r="I2186" s="12" t="n"/>
      <c r="J2186" s="12" t="n"/>
      <c r="K2186" s="12" t="n"/>
      <c r="L2186" s="11" t="n"/>
      <c r="M2186" s="11" t="n"/>
      <c r="N2186" s="11" t="n"/>
      <c r="O2186" s="11" t="n"/>
      <c r="P2186" s="12" t="n"/>
      <c r="Q2186" s="11" t="n"/>
      <c r="R2186" s="12" t="n"/>
      <c r="S2186" s="11" t="n"/>
      <c r="T2186" s="12" t="n"/>
      <c r="U2186" s="12" t="n"/>
      <c r="V2186" s="12" t="n"/>
      <c r="W2186" s="13" t="n"/>
      <c r="X2186" s="14">
        <f>IF($AP2186="",IF($B2186="","",$H2186),IF(INDEX(職員マスタ!$B$6:$B$405,$AP2186)="",$H2186,INDEX(職員マスタ!$B$6:$B$405,$AP2186)))</f>
        <v/>
      </c>
      <c r="Y2186" s="14">
        <f>IF($AP2186="",IF($B2186="","",$R2186),IF(INDEX(職員マスタ!$C$6:$C$405,$AP2186)="",$R2186,INDEX(職員マスタ!$C$6:$C$405,$AP2186)))</f>
        <v/>
      </c>
      <c r="Z2186" s="14">
        <f>IF($AQ2186="","","R"&amp;$C2186&amp;"."&amp;$D2186)</f>
        <v/>
      </c>
      <c r="AA2186" s="15">
        <f>IF(IF($AP2186="",FALSE,INDEX(職員マスタ!$K$6:$K$405,$AP2186)&lt;&gt;""),INDEX(職員マスタ!$K$6:$K$405,$AP2186),IF(N($W2186)&gt;0,$W2186,""))</f>
        <v/>
      </c>
      <c r="AB2186" s="14">
        <f>IF(OR($E2186="",$AA2186=""),"",IF($E2186&gt;=$AA2186,"×",IF($E2186&gt;=$AA2186*設定!$C$5,"△","○")))</f>
        <v/>
      </c>
      <c r="AC2186" s="15">
        <f>IF($AB2186="","",IF($AB2186="×",0,IF($AB2186="○",ROUNDDOWN($E2186*設定!$C$4,0),ROUNDDOWN($E2186*ROUND((9*$AA2186-9*$E2186)/(10*$E2186),4),0))))</f>
        <v/>
      </c>
      <c r="AD2186" s="13" t="n"/>
      <c r="AE2186" s="15">
        <f>IF($B2186="","",IF($AD2186&lt;&gt;"",$AD2186,IF($AC2186="","",IF($AC2186&lt;=設定!$C$3,0,$AC2186))))</f>
        <v/>
      </c>
      <c r="AF2186" s="14">
        <f>IF($B2186="","",IF(AND($AG2186&lt;&gt;"",$AI2186="",$AL2186=""),"保留中",IF($AL2186&lt;&gt;"",IF(N($AE2186)&gt;0,"支給済","不支給"),IF($AE2186="","要確認",IF($AE2186=0,"不支給","未処理")))))</f>
        <v/>
      </c>
      <c r="AG2186" s="12" t="n"/>
      <c r="AH2186" s="11" t="n"/>
      <c r="AI2186" s="11" t="n"/>
      <c r="AJ2186" s="11" t="n"/>
      <c r="AK2186" s="14">
        <f>IF(AND($AF2186="保留中",$AH2186&lt;&gt;""),TODAY()-$AH2186,"")</f>
        <v/>
      </c>
      <c r="AL2186" s="12" t="n"/>
      <c r="AM2186" s="14">
        <f>IF($B2186="","",IF($AQ2186="","対象年月が未入力／","")&amp;IF($B2186="","",IF($AP2186="","職員マスタに未登録の職員番号／",IF($AA2186="","標準報酬月額が未登録／","")&amp;IF(AND($AQ2186&lt;&gt;"",OR(AND(INDEX(職員マスタ!$G$6:$G$405,$AP2186)&lt;&gt;"",INDEX(職員マスタ!$G$6:$G$405,$AP2186)&gt;EOMONTH($AQ2186,0)),AND(INDEX(職員マスタ!$H$6:$H$405,$AP2186)&lt;&gt;"",INDEX(職員マスタ!$H$6:$H$405,$AP2186)&lt;$AQ2186))),"対象月が時短期間外／","")&amp;IF(AND(INDEX(職員マスタ!$K$6:$K$405,$AP2186)&lt;&gt;"",N($W2186)&gt;0,INDEX(職員マスタ!$K$6:$K$405,$AP2186)&lt;&gt;$W2186),"標準報酬月額が申請書と相違（台帳"&amp;TEXT(INDEX(職員マスタ!$K$6:$K$405,$AP2186),"#,##0")&amp;"円／申請書"&amp;TEXT($W2186,"#,##0")&amp;"円）／","")&amp;IF(AND(INDEX(職員マスタ!$F$6:$F$405,$AP2186)&lt;&gt;"",$AQ2186&lt;&gt;"",INDEX(職員マスタ!$F$6:$F$405,$AP2186)&lt;$AQ2186),"対象月に子が2歳到達済／","")&amp;IF(AND($H2186&lt;&gt;"",INDEX(職員マスタ!$B$6:$B$405,$AP2186)&lt;&gt;"",SUBSTITUTE(SUBSTITUTE($H2186," ","")," ","")&lt;&gt;SUBSTITUTE(SUBSTITUTE(INDEX(職員マスタ!$B$6:$B$405,$AP2186)," ","")," ","")),"氏名がマスタと相違／","")&amp;IF(AND($Q2186&lt;&gt;"",INDEX(職員マスタ!$E$6:$E$405,$AP2186)&lt;&gt;"",$Q2186&lt;&gt;INDEX(職員マスタ!$E$6:$E$405,$AP2186)),"子の生年月日がマスタと相違／","")&amp;IF(AND($L2186&lt;&gt;"",INDEX(職員マスタ!$G$6:$G$405,$AP2186)&lt;&gt;"",$L2186&lt;&gt;INDEX(職員マスタ!$G$6:$G$405,$AP2186)),"時短開始日がマスタと相違／","")&amp;IF(AND($M2186&lt;&gt;"",INDEX(職員マスタ!$H$6:$H$405,$AP2186)&lt;&gt;"",$M2186&lt;&gt;INDEX(職員マスタ!$H$6:$H$405,$AP2186)),"時短終了日がマスタと相違／","")))&amp;IF(AND($B2186&lt;&gt;"",$E2186=""),"報酬額が未入力／","")&amp;IF(N($U2186)&gt;0,"申請書に入力エラーが残っています／","")&amp;IF(AND($B2186&lt;&gt;"",$AQ2186&lt;&gt;""),IF(COUNTIFS($B$6:$B$3005,$B2186,$C$6:$C$3005,$C2186,$D$6:$D$3005,$D2186)&gt;1,"同じ月の請求が重複しています／",""),"")&amp;IF(AND(N($E2186)&gt;0,$AB2186&lt;&gt;"",$AB2186&lt;&gt;"×",$AE2186=0,$AD2186=""),"計算額が下限以下のため不支給／",""))</f>
        <v/>
      </c>
      <c r="AN2186" s="12" t="n"/>
      <c r="AO2186" s="14">
        <f>IF($AF2186="保留中",COUNTIF($AF$6:$AF2186,"保留中"),"")</f>
        <v/>
      </c>
      <c r="AP2186" s="14">
        <f>IF($AQ2186="","",IF(SUMPRODUCT(MAX((職員マスタ!$A$6:$A$405=$B2186)*(((職員マスタ!$G$6:$G$405="")+(職員マスタ!$G$6:$G$405&lt;=EOMONTH($AQ2186,0)))&gt;0)*(((職員マスタ!$H$6:$H$405="")+(職員マスタ!$H$6:$H$405&gt;=$AQ2186))&gt;0)*(ROW(職員マスタ!$A$6:$A$405)-5)))&gt;0,SUMPRODUCT(MAX((職員マスタ!$A$6:$A$405=$B2186)*(((職員マスタ!$G$6:$G$405="")+(職員マスタ!$G$6:$G$405&lt;=EOMONTH($AQ2186,0)))&gt;0)*(((職員マスタ!$H$6:$H$405="")+(職員マスタ!$H$6:$H$405&gt;=$AQ2186))&gt;0)*(ROW(職員マスタ!$A$6:$A$405)-5))),IFERROR(MATCH($B2186,職員マスタ!$A$6:$A$405,0),"")))</f>
        <v/>
      </c>
      <c r="AQ2186" s="16">
        <f>IF(OR($B2186="",$C2186="",$D2186=""),"",DATE($C2186+2018,$D2186,1))</f>
        <v/>
      </c>
    </row>
    <row r="2187">
      <c r="A2187" s="11" t="n"/>
      <c r="B2187" s="12" t="n"/>
      <c r="C2187" s="12" t="n"/>
      <c r="D2187" s="12" t="n"/>
      <c r="E2187" s="13" t="n"/>
      <c r="F2187" s="12" t="n"/>
      <c r="G2187" s="13" t="n"/>
      <c r="H2187" s="12" t="n"/>
      <c r="I2187" s="12" t="n"/>
      <c r="J2187" s="12" t="n"/>
      <c r="K2187" s="12" t="n"/>
      <c r="L2187" s="11" t="n"/>
      <c r="M2187" s="11" t="n"/>
      <c r="N2187" s="11" t="n"/>
      <c r="O2187" s="11" t="n"/>
      <c r="P2187" s="12" t="n"/>
      <c r="Q2187" s="11" t="n"/>
      <c r="R2187" s="12" t="n"/>
      <c r="S2187" s="11" t="n"/>
      <c r="T2187" s="12" t="n"/>
      <c r="U2187" s="12" t="n"/>
      <c r="V2187" s="12" t="n"/>
      <c r="W2187" s="13" t="n"/>
      <c r="X2187" s="14">
        <f>IF($AP2187="",IF($B2187="","",$H2187),IF(INDEX(職員マスタ!$B$6:$B$405,$AP2187)="",$H2187,INDEX(職員マスタ!$B$6:$B$405,$AP2187)))</f>
        <v/>
      </c>
      <c r="Y2187" s="14">
        <f>IF($AP2187="",IF($B2187="","",$R2187),IF(INDEX(職員マスタ!$C$6:$C$405,$AP2187)="",$R2187,INDEX(職員マスタ!$C$6:$C$405,$AP2187)))</f>
        <v/>
      </c>
      <c r="Z2187" s="14">
        <f>IF($AQ2187="","","R"&amp;$C2187&amp;"."&amp;$D2187)</f>
        <v/>
      </c>
      <c r="AA2187" s="15">
        <f>IF(IF($AP2187="",FALSE,INDEX(職員マスタ!$K$6:$K$405,$AP2187)&lt;&gt;""),INDEX(職員マスタ!$K$6:$K$405,$AP2187),IF(N($W2187)&gt;0,$W2187,""))</f>
        <v/>
      </c>
      <c r="AB2187" s="14">
        <f>IF(OR($E2187="",$AA2187=""),"",IF($E2187&gt;=$AA2187,"×",IF($E2187&gt;=$AA2187*設定!$C$5,"△","○")))</f>
        <v/>
      </c>
      <c r="AC2187" s="15">
        <f>IF($AB2187="","",IF($AB2187="×",0,IF($AB2187="○",ROUNDDOWN($E2187*設定!$C$4,0),ROUNDDOWN($E2187*ROUND((9*$AA2187-9*$E2187)/(10*$E2187),4),0))))</f>
        <v/>
      </c>
      <c r="AD2187" s="13" t="n"/>
      <c r="AE2187" s="15">
        <f>IF($B2187="","",IF($AD2187&lt;&gt;"",$AD2187,IF($AC2187="","",IF($AC2187&lt;=設定!$C$3,0,$AC2187))))</f>
        <v/>
      </c>
      <c r="AF2187" s="14">
        <f>IF($B2187="","",IF(AND($AG2187&lt;&gt;"",$AI2187="",$AL2187=""),"保留中",IF($AL2187&lt;&gt;"",IF(N($AE2187)&gt;0,"支給済","不支給"),IF($AE2187="","要確認",IF($AE2187=0,"不支給","未処理")))))</f>
        <v/>
      </c>
      <c r="AG2187" s="12" t="n"/>
      <c r="AH2187" s="11" t="n"/>
      <c r="AI2187" s="11" t="n"/>
      <c r="AJ2187" s="11" t="n"/>
      <c r="AK2187" s="14">
        <f>IF(AND($AF2187="保留中",$AH2187&lt;&gt;""),TODAY()-$AH2187,"")</f>
        <v/>
      </c>
      <c r="AL2187" s="12" t="n"/>
      <c r="AM2187" s="14">
        <f>IF($B2187="","",IF($AQ2187="","対象年月が未入力／","")&amp;IF($B2187="","",IF($AP2187="","職員マスタに未登録の職員番号／",IF($AA2187="","標準報酬月額が未登録／","")&amp;IF(AND($AQ2187&lt;&gt;"",OR(AND(INDEX(職員マスタ!$G$6:$G$405,$AP2187)&lt;&gt;"",INDEX(職員マスタ!$G$6:$G$405,$AP2187)&gt;EOMONTH($AQ2187,0)),AND(INDEX(職員マスタ!$H$6:$H$405,$AP2187)&lt;&gt;"",INDEX(職員マスタ!$H$6:$H$405,$AP2187)&lt;$AQ2187))),"対象月が時短期間外／","")&amp;IF(AND(INDEX(職員マスタ!$K$6:$K$405,$AP2187)&lt;&gt;"",N($W2187)&gt;0,INDEX(職員マスタ!$K$6:$K$405,$AP2187)&lt;&gt;$W2187),"標準報酬月額が申請書と相違（台帳"&amp;TEXT(INDEX(職員マスタ!$K$6:$K$405,$AP2187),"#,##0")&amp;"円／申請書"&amp;TEXT($W2187,"#,##0")&amp;"円）／","")&amp;IF(AND(INDEX(職員マスタ!$F$6:$F$405,$AP2187)&lt;&gt;"",$AQ2187&lt;&gt;"",INDEX(職員マスタ!$F$6:$F$405,$AP2187)&lt;$AQ2187),"対象月に子が2歳到達済／","")&amp;IF(AND($H2187&lt;&gt;"",INDEX(職員マスタ!$B$6:$B$405,$AP2187)&lt;&gt;"",SUBSTITUTE(SUBSTITUTE($H2187," ","")," ","")&lt;&gt;SUBSTITUTE(SUBSTITUTE(INDEX(職員マスタ!$B$6:$B$405,$AP2187)," ","")," ","")),"氏名がマスタと相違／","")&amp;IF(AND($Q2187&lt;&gt;"",INDEX(職員マスタ!$E$6:$E$405,$AP2187)&lt;&gt;"",$Q2187&lt;&gt;INDEX(職員マスタ!$E$6:$E$405,$AP2187)),"子の生年月日がマスタと相違／","")&amp;IF(AND($L2187&lt;&gt;"",INDEX(職員マスタ!$G$6:$G$405,$AP2187)&lt;&gt;"",$L2187&lt;&gt;INDEX(職員マスタ!$G$6:$G$405,$AP2187)),"時短開始日がマスタと相違／","")&amp;IF(AND($M2187&lt;&gt;"",INDEX(職員マスタ!$H$6:$H$405,$AP2187)&lt;&gt;"",$M2187&lt;&gt;INDEX(職員マスタ!$H$6:$H$405,$AP2187)),"時短終了日がマスタと相違／","")))&amp;IF(AND($B2187&lt;&gt;"",$E2187=""),"報酬額が未入力／","")&amp;IF(N($U2187)&gt;0,"申請書に入力エラーが残っています／","")&amp;IF(AND($B2187&lt;&gt;"",$AQ2187&lt;&gt;""),IF(COUNTIFS($B$6:$B$3005,$B2187,$C$6:$C$3005,$C2187,$D$6:$D$3005,$D2187)&gt;1,"同じ月の請求が重複しています／",""),"")&amp;IF(AND(N($E2187)&gt;0,$AB2187&lt;&gt;"",$AB2187&lt;&gt;"×",$AE2187=0,$AD2187=""),"計算額が下限以下のため不支給／",""))</f>
        <v/>
      </c>
      <c r="AN2187" s="12" t="n"/>
      <c r="AO2187" s="14">
        <f>IF($AF2187="保留中",COUNTIF($AF$6:$AF2187,"保留中"),"")</f>
        <v/>
      </c>
      <c r="AP2187" s="14">
        <f>IF($AQ2187="","",IF(SUMPRODUCT(MAX((職員マスタ!$A$6:$A$405=$B2187)*(((職員マスタ!$G$6:$G$405="")+(職員マスタ!$G$6:$G$405&lt;=EOMONTH($AQ2187,0)))&gt;0)*(((職員マスタ!$H$6:$H$405="")+(職員マスタ!$H$6:$H$405&gt;=$AQ2187))&gt;0)*(ROW(職員マスタ!$A$6:$A$405)-5)))&gt;0,SUMPRODUCT(MAX((職員マスタ!$A$6:$A$405=$B2187)*(((職員マスタ!$G$6:$G$405="")+(職員マスタ!$G$6:$G$405&lt;=EOMONTH($AQ2187,0)))&gt;0)*(((職員マスタ!$H$6:$H$405="")+(職員マスタ!$H$6:$H$405&gt;=$AQ2187))&gt;0)*(ROW(職員マスタ!$A$6:$A$405)-5))),IFERROR(MATCH($B2187,職員マスタ!$A$6:$A$405,0),"")))</f>
        <v/>
      </c>
      <c r="AQ2187" s="16">
        <f>IF(OR($B2187="",$C2187="",$D2187=""),"",DATE($C2187+2018,$D2187,1))</f>
        <v/>
      </c>
    </row>
    <row r="2188">
      <c r="A2188" s="11" t="n"/>
      <c r="B2188" s="12" t="n"/>
      <c r="C2188" s="12" t="n"/>
      <c r="D2188" s="12" t="n"/>
      <c r="E2188" s="13" t="n"/>
      <c r="F2188" s="12" t="n"/>
      <c r="G2188" s="13" t="n"/>
      <c r="H2188" s="12" t="n"/>
      <c r="I2188" s="12" t="n"/>
      <c r="J2188" s="12" t="n"/>
      <c r="K2188" s="12" t="n"/>
      <c r="L2188" s="11" t="n"/>
      <c r="M2188" s="11" t="n"/>
      <c r="N2188" s="11" t="n"/>
      <c r="O2188" s="11" t="n"/>
      <c r="P2188" s="12" t="n"/>
      <c r="Q2188" s="11" t="n"/>
      <c r="R2188" s="12" t="n"/>
      <c r="S2188" s="11" t="n"/>
      <c r="T2188" s="12" t="n"/>
      <c r="U2188" s="12" t="n"/>
      <c r="V2188" s="12" t="n"/>
      <c r="W2188" s="13" t="n"/>
      <c r="X2188" s="14">
        <f>IF($AP2188="",IF($B2188="","",$H2188),IF(INDEX(職員マスタ!$B$6:$B$405,$AP2188)="",$H2188,INDEX(職員マスタ!$B$6:$B$405,$AP2188)))</f>
        <v/>
      </c>
      <c r="Y2188" s="14">
        <f>IF($AP2188="",IF($B2188="","",$R2188),IF(INDEX(職員マスタ!$C$6:$C$405,$AP2188)="",$R2188,INDEX(職員マスタ!$C$6:$C$405,$AP2188)))</f>
        <v/>
      </c>
      <c r="Z2188" s="14">
        <f>IF($AQ2188="","","R"&amp;$C2188&amp;"."&amp;$D2188)</f>
        <v/>
      </c>
      <c r="AA2188" s="15">
        <f>IF(IF($AP2188="",FALSE,INDEX(職員マスタ!$K$6:$K$405,$AP2188)&lt;&gt;""),INDEX(職員マスタ!$K$6:$K$405,$AP2188),IF(N($W2188)&gt;0,$W2188,""))</f>
        <v/>
      </c>
      <c r="AB2188" s="14">
        <f>IF(OR($E2188="",$AA2188=""),"",IF($E2188&gt;=$AA2188,"×",IF($E2188&gt;=$AA2188*設定!$C$5,"△","○")))</f>
        <v/>
      </c>
      <c r="AC2188" s="15">
        <f>IF($AB2188="","",IF($AB2188="×",0,IF($AB2188="○",ROUNDDOWN($E2188*設定!$C$4,0),ROUNDDOWN($E2188*ROUND((9*$AA2188-9*$E2188)/(10*$E2188),4),0))))</f>
        <v/>
      </c>
      <c r="AD2188" s="13" t="n"/>
      <c r="AE2188" s="15">
        <f>IF($B2188="","",IF($AD2188&lt;&gt;"",$AD2188,IF($AC2188="","",IF($AC2188&lt;=設定!$C$3,0,$AC2188))))</f>
        <v/>
      </c>
      <c r="AF2188" s="14">
        <f>IF($B2188="","",IF(AND($AG2188&lt;&gt;"",$AI2188="",$AL2188=""),"保留中",IF($AL2188&lt;&gt;"",IF(N($AE2188)&gt;0,"支給済","不支給"),IF($AE2188="","要確認",IF($AE2188=0,"不支給","未処理")))))</f>
        <v/>
      </c>
      <c r="AG2188" s="12" t="n"/>
      <c r="AH2188" s="11" t="n"/>
      <c r="AI2188" s="11" t="n"/>
      <c r="AJ2188" s="11" t="n"/>
      <c r="AK2188" s="14">
        <f>IF(AND($AF2188="保留中",$AH2188&lt;&gt;""),TODAY()-$AH2188,"")</f>
        <v/>
      </c>
      <c r="AL2188" s="12" t="n"/>
      <c r="AM2188" s="14">
        <f>IF($B2188="","",IF($AQ2188="","対象年月が未入力／","")&amp;IF($B2188="","",IF($AP2188="","職員マスタに未登録の職員番号／",IF($AA2188="","標準報酬月額が未登録／","")&amp;IF(AND($AQ2188&lt;&gt;"",OR(AND(INDEX(職員マスタ!$G$6:$G$405,$AP2188)&lt;&gt;"",INDEX(職員マスタ!$G$6:$G$405,$AP2188)&gt;EOMONTH($AQ2188,0)),AND(INDEX(職員マスタ!$H$6:$H$405,$AP2188)&lt;&gt;"",INDEX(職員マスタ!$H$6:$H$405,$AP2188)&lt;$AQ2188))),"対象月が時短期間外／","")&amp;IF(AND(INDEX(職員マスタ!$K$6:$K$405,$AP2188)&lt;&gt;"",N($W2188)&gt;0,INDEX(職員マスタ!$K$6:$K$405,$AP2188)&lt;&gt;$W2188),"標準報酬月額が申請書と相違（台帳"&amp;TEXT(INDEX(職員マスタ!$K$6:$K$405,$AP2188),"#,##0")&amp;"円／申請書"&amp;TEXT($W2188,"#,##0")&amp;"円）／","")&amp;IF(AND(INDEX(職員マスタ!$F$6:$F$405,$AP2188)&lt;&gt;"",$AQ2188&lt;&gt;"",INDEX(職員マスタ!$F$6:$F$405,$AP2188)&lt;$AQ2188),"対象月に子が2歳到達済／","")&amp;IF(AND($H2188&lt;&gt;"",INDEX(職員マスタ!$B$6:$B$405,$AP2188)&lt;&gt;"",SUBSTITUTE(SUBSTITUTE($H2188," ","")," ","")&lt;&gt;SUBSTITUTE(SUBSTITUTE(INDEX(職員マスタ!$B$6:$B$405,$AP2188)," ","")," ","")),"氏名がマスタと相違／","")&amp;IF(AND($Q2188&lt;&gt;"",INDEX(職員マスタ!$E$6:$E$405,$AP2188)&lt;&gt;"",$Q2188&lt;&gt;INDEX(職員マスタ!$E$6:$E$405,$AP2188)),"子の生年月日がマスタと相違／","")&amp;IF(AND($L2188&lt;&gt;"",INDEX(職員マスタ!$G$6:$G$405,$AP2188)&lt;&gt;"",$L2188&lt;&gt;INDEX(職員マスタ!$G$6:$G$405,$AP2188)),"時短開始日がマスタと相違／","")&amp;IF(AND($M2188&lt;&gt;"",INDEX(職員マスタ!$H$6:$H$405,$AP2188)&lt;&gt;"",$M2188&lt;&gt;INDEX(職員マスタ!$H$6:$H$405,$AP2188)),"時短終了日がマスタと相違／","")))&amp;IF(AND($B2188&lt;&gt;"",$E2188=""),"報酬額が未入力／","")&amp;IF(N($U2188)&gt;0,"申請書に入力エラーが残っています／","")&amp;IF(AND($B2188&lt;&gt;"",$AQ2188&lt;&gt;""),IF(COUNTIFS($B$6:$B$3005,$B2188,$C$6:$C$3005,$C2188,$D$6:$D$3005,$D2188)&gt;1,"同じ月の請求が重複しています／",""),"")&amp;IF(AND(N($E2188)&gt;0,$AB2188&lt;&gt;"",$AB2188&lt;&gt;"×",$AE2188=0,$AD2188=""),"計算額が下限以下のため不支給／",""))</f>
        <v/>
      </c>
      <c r="AN2188" s="12" t="n"/>
      <c r="AO2188" s="14">
        <f>IF($AF2188="保留中",COUNTIF($AF$6:$AF2188,"保留中"),"")</f>
        <v/>
      </c>
      <c r="AP2188" s="14">
        <f>IF($AQ2188="","",IF(SUMPRODUCT(MAX((職員マスタ!$A$6:$A$405=$B2188)*(((職員マスタ!$G$6:$G$405="")+(職員マスタ!$G$6:$G$405&lt;=EOMONTH($AQ2188,0)))&gt;0)*(((職員マスタ!$H$6:$H$405="")+(職員マスタ!$H$6:$H$405&gt;=$AQ2188))&gt;0)*(ROW(職員マスタ!$A$6:$A$405)-5)))&gt;0,SUMPRODUCT(MAX((職員マスタ!$A$6:$A$405=$B2188)*(((職員マスタ!$G$6:$G$405="")+(職員マスタ!$G$6:$G$405&lt;=EOMONTH($AQ2188,0)))&gt;0)*(((職員マスタ!$H$6:$H$405="")+(職員マスタ!$H$6:$H$405&gt;=$AQ2188))&gt;0)*(ROW(職員マスタ!$A$6:$A$405)-5))),IFERROR(MATCH($B2188,職員マスタ!$A$6:$A$405,0),"")))</f>
        <v/>
      </c>
      <c r="AQ2188" s="16">
        <f>IF(OR($B2188="",$C2188="",$D2188=""),"",DATE($C2188+2018,$D2188,1))</f>
        <v/>
      </c>
    </row>
    <row r="2189">
      <c r="A2189" s="11" t="n"/>
      <c r="B2189" s="12" t="n"/>
      <c r="C2189" s="12" t="n"/>
      <c r="D2189" s="12" t="n"/>
      <c r="E2189" s="13" t="n"/>
      <c r="F2189" s="12" t="n"/>
      <c r="G2189" s="13" t="n"/>
      <c r="H2189" s="12" t="n"/>
      <c r="I2189" s="12" t="n"/>
      <c r="J2189" s="12" t="n"/>
      <c r="K2189" s="12" t="n"/>
      <c r="L2189" s="11" t="n"/>
      <c r="M2189" s="11" t="n"/>
      <c r="N2189" s="11" t="n"/>
      <c r="O2189" s="11" t="n"/>
      <c r="P2189" s="12" t="n"/>
      <c r="Q2189" s="11" t="n"/>
      <c r="R2189" s="12" t="n"/>
      <c r="S2189" s="11" t="n"/>
      <c r="T2189" s="12" t="n"/>
      <c r="U2189" s="12" t="n"/>
      <c r="V2189" s="12" t="n"/>
      <c r="W2189" s="13" t="n"/>
      <c r="X2189" s="14">
        <f>IF($AP2189="",IF($B2189="","",$H2189),IF(INDEX(職員マスタ!$B$6:$B$405,$AP2189)="",$H2189,INDEX(職員マスタ!$B$6:$B$405,$AP2189)))</f>
        <v/>
      </c>
      <c r="Y2189" s="14">
        <f>IF($AP2189="",IF($B2189="","",$R2189),IF(INDEX(職員マスタ!$C$6:$C$405,$AP2189)="",$R2189,INDEX(職員マスタ!$C$6:$C$405,$AP2189)))</f>
        <v/>
      </c>
      <c r="Z2189" s="14">
        <f>IF($AQ2189="","","R"&amp;$C2189&amp;"."&amp;$D2189)</f>
        <v/>
      </c>
      <c r="AA2189" s="15">
        <f>IF(IF($AP2189="",FALSE,INDEX(職員マスタ!$K$6:$K$405,$AP2189)&lt;&gt;""),INDEX(職員マスタ!$K$6:$K$405,$AP2189),IF(N($W2189)&gt;0,$W2189,""))</f>
        <v/>
      </c>
      <c r="AB2189" s="14">
        <f>IF(OR($E2189="",$AA2189=""),"",IF($E2189&gt;=$AA2189,"×",IF($E2189&gt;=$AA2189*設定!$C$5,"△","○")))</f>
        <v/>
      </c>
      <c r="AC2189" s="15">
        <f>IF($AB2189="","",IF($AB2189="×",0,IF($AB2189="○",ROUNDDOWN($E2189*設定!$C$4,0),ROUNDDOWN($E2189*ROUND((9*$AA2189-9*$E2189)/(10*$E2189),4),0))))</f>
        <v/>
      </c>
      <c r="AD2189" s="13" t="n"/>
      <c r="AE2189" s="15">
        <f>IF($B2189="","",IF($AD2189&lt;&gt;"",$AD2189,IF($AC2189="","",IF($AC2189&lt;=設定!$C$3,0,$AC2189))))</f>
        <v/>
      </c>
      <c r="AF2189" s="14">
        <f>IF($B2189="","",IF(AND($AG2189&lt;&gt;"",$AI2189="",$AL2189=""),"保留中",IF($AL2189&lt;&gt;"",IF(N($AE2189)&gt;0,"支給済","不支給"),IF($AE2189="","要確認",IF($AE2189=0,"不支給","未処理")))))</f>
        <v/>
      </c>
      <c r="AG2189" s="12" t="n"/>
      <c r="AH2189" s="11" t="n"/>
      <c r="AI2189" s="11" t="n"/>
      <c r="AJ2189" s="11" t="n"/>
      <c r="AK2189" s="14">
        <f>IF(AND($AF2189="保留中",$AH2189&lt;&gt;""),TODAY()-$AH2189,"")</f>
        <v/>
      </c>
      <c r="AL2189" s="12" t="n"/>
      <c r="AM2189" s="14">
        <f>IF($B2189="","",IF($AQ2189="","対象年月が未入力／","")&amp;IF($B2189="","",IF($AP2189="","職員マスタに未登録の職員番号／",IF($AA2189="","標準報酬月額が未登録／","")&amp;IF(AND($AQ2189&lt;&gt;"",OR(AND(INDEX(職員マスタ!$G$6:$G$405,$AP2189)&lt;&gt;"",INDEX(職員マスタ!$G$6:$G$405,$AP2189)&gt;EOMONTH($AQ2189,0)),AND(INDEX(職員マスタ!$H$6:$H$405,$AP2189)&lt;&gt;"",INDEX(職員マスタ!$H$6:$H$405,$AP2189)&lt;$AQ2189))),"対象月が時短期間外／","")&amp;IF(AND(INDEX(職員マスタ!$K$6:$K$405,$AP2189)&lt;&gt;"",N($W2189)&gt;0,INDEX(職員マスタ!$K$6:$K$405,$AP2189)&lt;&gt;$W2189),"標準報酬月額が申請書と相違（台帳"&amp;TEXT(INDEX(職員マスタ!$K$6:$K$405,$AP2189),"#,##0")&amp;"円／申請書"&amp;TEXT($W2189,"#,##0")&amp;"円）／","")&amp;IF(AND(INDEX(職員マスタ!$F$6:$F$405,$AP2189)&lt;&gt;"",$AQ2189&lt;&gt;"",INDEX(職員マスタ!$F$6:$F$405,$AP2189)&lt;$AQ2189),"対象月に子が2歳到達済／","")&amp;IF(AND($H2189&lt;&gt;"",INDEX(職員マスタ!$B$6:$B$405,$AP2189)&lt;&gt;"",SUBSTITUTE(SUBSTITUTE($H2189," ","")," ","")&lt;&gt;SUBSTITUTE(SUBSTITUTE(INDEX(職員マスタ!$B$6:$B$405,$AP2189)," ","")," ","")),"氏名がマスタと相違／","")&amp;IF(AND($Q2189&lt;&gt;"",INDEX(職員マスタ!$E$6:$E$405,$AP2189)&lt;&gt;"",$Q2189&lt;&gt;INDEX(職員マスタ!$E$6:$E$405,$AP2189)),"子の生年月日がマスタと相違／","")&amp;IF(AND($L2189&lt;&gt;"",INDEX(職員マスタ!$G$6:$G$405,$AP2189)&lt;&gt;"",$L2189&lt;&gt;INDEX(職員マスタ!$G$6:$G$405,$AP2189)),"時短開始日がマスタと相違／","")&amp;IF(AND($M2189&lt;&gt;"",INDEX(職員マスタ!$H$6:$H$405,$AP2189)&lt;&gt;"",$M2189&lt;&gt;INDEX(職員マスタ!$H$6:$H$405,$AP2189)),"時短終了日がマスタと相違／","")))&amp;IF(AND($B2189&lt;&gt;"",$E2189=""),"報酬額が未入力／","")&amp;IF(N($U2189)&gt;0,"申請書に入力エラーが残っています／","")&amp;IF(AND($B2189&lt;&gt;"",$AQ2189&lt;&gt;""),IF(COUNTIFS($B$6:$B$3005,$B2189,$C$6:$C$3005,$C2189,$D$6:$D$3005,$D2189)&gt;1,"同じ月の請求が重複しています／",""),"")&amp;IF(AND(N($E2189)&gt;0,$AB2189&lt;&gt;"",$AB2189&lt;&gt;"×",$AE2189=0,$AD2189=""),"計算額が下限以下のため不支給／",""))</f>
        <v/>
      </c>
      <c r="AN2189" s="12" t="n"/>
      <c r="AO2189" s="14">
        <f>IF($AF2189="保留中",COUNTIF($AF$6:$AF2189,"保留中"),"")</f>
        <v/>
      </c>
      <c r="AP2189" s="14">
        <f>IF($AQ2189="","",IF(SUMPRODUCT(MAX((職員マスタ!$A$6:$A$405=$B2189)*(((職員マスタ!$G$6:$G$405="")+(職員マスタ!$G$6:$G$405&lt;=EOMONTH($AQ2189,0)))&gt;0)*(((職員マスタ!$H$6:$H$405="")+(職員マスタ!$H$6:$H$405&gt;=$AQ2189))&gt;0)*(ROW(職員マスタ!$A$6:$A$405)-5)))&gt;0,SUMPRODUCT(MAX((職員マスタ!$A$6:$A$405=$B2189)*(((職員マスタ!$G$6:$G$405="")+(職員マスタ!$G$6:$G$405&lt;=EOMONTH($AQ2189,0)))&gt;0)*(((職員マスタ!$H$6:$H$405="")+(職員マスタ!$H$6:$H$405&gt;=$AQ2189))&gt;0)*(ROW(職員マスタ!$A$6:$A$405)-5))),IFERROR(MATCH($B2189,職員マスタ!$A$6:$A$405,0),"")))</f>
        <v/>
      </c>
      <c r="AQ2189" s="16">
        <f>IF(OR($B2189="",$C2189="",$D2189=""),"",DATE($C2189+2018,$D2189,1))</f>
        <v/>
      </c>
    </row>
    <row r="2190">
      <c r="A2190" s="11" t="n"/>
      <c r="B2190" s="12" t="n"/>
      <c r="C2190" s="12" t="n"/>
      <c r="D2190" s="12" t="n"/>
      <c r="E2190" s="13" t="n"/>
      <c r="F2190" s="12" t="n"/>
      <c r="G2190" s="13" t="n"/>
      <c r="H2190" s="12" t="n"/>
      <c r="I2190" s="12" t="n"/>
      <c r="J2190" s="12" t="n"/>
      <c r="K2190" s="12" t="n"/>
      <c r="L2190" s="11" t="n"/>
      <c r="M2190" s="11" t="n"/>
      <c r="N2190" s="11" t="n"/>
      <c r="O2190" s="11" t="n"/>
      <c r="P2190" s="12" t="n"/>
      <c r="Q2190" s="11" t="n"/>
      <c r="R2190" s="12" t="n"/>
      <c r="S2190" s="11" t="n"/>
      <c r="T2190" s="12" t="n"/>
      <c r="U2190" s="12" t="n"/>
      <c r="V2190" s="12" t="n"/>
      <c r="W2190" s="13" t="n"/>
      <c r="X2190" s="14">
        <f>IF($AP2190="",IF($B2190="","",$H2190),IF(INDEX(職員マスタ!$B$6:$B$405,$AP2190)="",$H2190,INDEX(職員マスタ!$B$6:$B$405,$AP2190)))</f>
        <v/>
      </c>
      <c r="Y2190" s="14">
        <f>IF($AP2190="",IF($B2190="","",$R2190),IF(INDEX(職員マスタ!$C$6:$C$405,$AP2190)="",$R2190,INDEX(職員マスタ!$C$6:$C$405,$AP2190)))</f>
        <v/>
      </c>
      <c r="Z2190" s="14">
        <f>IF($AQ2190="","","R"&amp;$C2190&amp;"."&amp;$D2190)</f>
        <v/>
      </c>
      <c r="AA2190" s="15">
        <f>IF(IF($AP2190="",FALSE,INDEX(職員マスタ!$K$6:$K$405,$AP2190)&lt;&gt;""),INDEX(職員マスタ!$K$6:$K$405,$AP2190),IF(N($W2190)&gt;0,$W2190,""))</f>
        <v/>
      </c>
      <c r="AB2190" s="14">
        <f>IF(OR($E2190="",$AA2190=""),"",IF($E2190&gt;=$AA2190,"×",IF($E2190&gt;=$AA2190*設定!$C$5,"△","○")))</f>
        <v/>
      </c>
      <c r="AC2190" s="15">
        <f>IF($AB2190="","",IF($AB2190="×",0,IF($AB2190="○",ROUNDDOWN($E2190*設定!$C$4,0),ROUNDDOWN($E2190*ROUND((9*$AA2190-9*$E2190)/(10*$E2190),4),0))))</f>
        <v/>
      </c>
      <c r="AD2190" s="13" t="n"/>
      <c r="AE2190" s="15">
        <f>IF($B2190="","",IF($AD2190&lt;&gt;"",$AD2190,IF($AC2190="","",IF($AC2190&lt;=設定!$C$3,0,$AC2190))))</f>
        <v/>
      </c>
      <c r="AF2190" s="14">
        <f>IF($B2190="","",IF(AND($AG2190&lt;&gt;"",$AI2190="",$AL2190=""),"保留中",IF($AL2190&lt;&gt;"",IF(N($AE2190)&gt;0,"支給済","不支給"),IF($AE2190="","要確認",IF($AE2190=0,"不支給","未処理")))))</f>
        <v/>
      </c>
      <c r="AG2190" s="12" t="n"/>
      <c r="AH2190" s="11" t="n"/>
      <c r="AI2190" s="11" t="n"/>
      <c r="AJ2190" s="11" t="n"/>
      <c r="AK2190" s="14">
        <f>IF(AND($AF2190="保留中",$AH2190&lt;&gt;""),TODAY()-$AH2190,"")</f>
        <v/>
      </c>
      <c r="AL2190" s="12" t="n"/>
      <c r="AM2190" s="14">
        <f>IF($B2190="","",IF($AQ2190="","対象年月が未入力／","")&amp;IF($B2190="","",IF($AP2190="","職員マスタに未登録の職員番号／",IF($AA2190="","標準報酬月額が未登録／","")&amp;IF(AND($AQ2190&lt;&gt;"",OR(AND(INDEX(職員マスタ!$G$6:$G$405,$AP2190)&lt;&gt;"",INDEX(職員マスタ!$G$6:$G$405,$AP2190)&gt;EOMONTH($AQ2190,0)),AND(INDEX(職員マスタ!$H$6:$H$405,$AP2190)&lt;&gt;"",INDEX(職員マスタ!$H$6:$H$405,$AP2190)&lt;$AQ2190))),"対象月が時短期間外／","")&amp;IF(AND(INDEX(職員マスタ!$K$6:$K$405,$AP2190)&lt;&gt;"",N($W2190)&gt;0,INDEX(職員マスタ!$K$6:$K$405,$AP2190)&lt;&gt;$W2190),"標準報酬月額が申請書と相違（台帳"&amp;TEXT(INDEX(職員マスタ!$K$6:$K$405,$AP2190),"#,##0")&amp;"円／申請書"&amp;TEXT($W2190,"#,##0")&amp;"円）／","")&amp;IF(AND(INDEX(職員マスタ!$F$6:$F$405,$AP2190)&lt;&gt;"",$AQ2190&lt;&gt;"",INDEX(職員マスタ!$F$6:$F$405,$AP2190)&lt;$AQ2190),"対象月に子が2歳到達済／","")&amp;IF(AND($H2190&lt;&gt;"",INDEX(職員マスタ!$B$6:$B$405,$AP2190)&lt;&gt;"",SUBSTITUTE(SUBSTITUTE($H2190," ","")," ","")&lt;&gt;SUBSTITUTE(SUBSTITUTE(INDEX(職員マスタ!$B$6:$B$405,$AP2190)," ","")," ","")),"氏名がマスタと相違／","")&amp;IF(AND($Q2190&lt;&gt;"",INDEX(職員マスタ!$E$6:$E$405,$AP2190)&lt;&gt;"",$Q2190&lt;&gt;INDEX(職員マスタ!$E$6:$E$405,$AP2190)),"子の生年月日がマスタと相違／","")&amp;IF(AND($L2190&lt;&gt;"",INDEX(職員マスタ!$G$6:$G$405,$AP2190)&lt;&gt;"",$L2190&lt;&gt;INDEX(職員マスタ!$G$6:$G$405,$AP2190)),"時短開始日がマスタと相違／","")&amp;IF(AND($M2190&lt;&gt;"",INDEX(職員マスタ!$H$6:$H$405,$AP2190)&lt;&gt;"",$M2190&lt;&gt;INDEX(職員マスタ!$H$6:$H$405,$AP2190)),"時短終了日がマスタと相違／","")))&amp;IF(AND($B2190&lt;&gt;"",$E2190=""),"報酬額が未入力／","")&amp;IF(N($U2190)&gt;0,"申請書に入力エラーが残っています／","")&amp;IF(AND($B2190&lt;&gt;"",$AQ2190&lt;&gt;""),IF(COUNTIFS($B$6:$B$3005,$B2190,$C$6:$C$3005,$C2190,$D$6:$D$3005,$D2190)&gt;1,"同じ月の請求が重複しています／",""),"")&amp;IF(AND(N($E2190)&gt;0,$AB2190&lt;&gt;"",$AB2190&lt;&gt;"×",$AE2190=0,$AD2190=""),"計算額が下限以下のため不支給／",""))</f>
        <v/>
      </c>
      <c r="AN2190" s="12" t="n"/>
      <c r="AO2190" s="14">
        <f>IF($AF2190="保留中",COUNTIF($AF$6:$AF2190,"保留中"),"")</f>
        <v/>
      </c>
      <c r="AP2190" s="14">
        <f>IF($AQ2190="","",IF(SUMPRODUCT(MAX((職員マスタ!$A$6:$A$405=$B2190)*(((職員マスタ!$G$6:$G$405="")+(職員マスタ!$G$6:$G$405&lt;=EOMONTH($AQ2190,0)))&gt;0)*(((職員マスタ!$H$6:$H$405="")+(職員マスタ!$H$6:$H$405&gt;=$AQ2190))&gt;0)*(ROW(職員マスタ!$A$6:$A$405)-5)))&gt;0,SUMPRODUCT(MAX((職員マスタ!$A$6:$A$405=$B2190)*(((職員マスタ!$G$6:$G$405="")+(職員マスタ!$G$6:$G$405&lt;=EOMONTH($AQ2190,0)))&gt;0)*(((職員マスタ!$H$6:$H$405="")+(職員マスタ!$H$6:$H$405&gt;=$AQ2190))&gt;0)*(ROW(職員マスタ!$A$6:$A$405)-5))),IFERROR(MATCH($B2190,職員マスタ!$A$6:$A$405,0),"")))</f>
        <v/>
      </c>
      <c r="AQ2190" s="16">
        <f>IF(OR($B2190="",$C2190="",$D2190=""),"",DATE($C2190+2018,$D2190,1))</f>
        <v/>
      </c>
    </row>
    <row r="2191">
      <c r="A2191" s="11" t="n"/>
      <c r="B2191" s="12" t="n"/>
      <c r="C2191" s="12" t="n"/>
      <c r="D2191" s="12" t="n"/>
      <c r="E2191" s="13" t="n"/>
      <c r="F2191" s="12" t="n"/>
      <c r="G2191" s="13" t="n"/>
      <c r="H2191" s="12" t="n"/>
      <c r="I2191" s="12" t="n"/>
      <c r="J2191" s="12" t="n"/>
      <c r="K2191" s="12" t="n"/>
      <c r="L2191" s="11" t="n"/>
      <c r="M2191" s="11" t="n"/>
      <c r="N2191" s="11" t="n"/>
      <c r="O2191" s="11" t="n"/>
      <c r="P2191" s="12" t="n"/>
      <c r="Q2191" s="11" t="n"/>
      <c r="R2191" s="12" t="n"/>
      <c r="S2191" s="11" t="n"/>
      <c r="T2191" s="12" t="n"/>
      <c r="U2191" s="12" t="n"/>
      <c r="V2191" s="12" t="n"/>
      <c r="W2191" s="13" t="n"/>
      <c r="X2191" s="14">
        <f>IF($AP2191="",IF($B2191="","",$H2191),IF(INDEX(職員マスタ!$B$6:$B$405,$AP2191)="",$H2191,INDEX(職員マスタ!$B$6:$B$405,$AP2191)))</f>
        <v/>
      </c>
      <c r="Y2191" s="14">
        <f>IF($AP2191="",IF($B2191="","",$R2191),IF(INDEX(職員マスタ!$C$6:$C$405,$AP2191)="",$R2191,INDEX(職員マスタ!$C$6:$C$405,$AP2191)))</f>
        <v/>
      </c>
      <c r="Z2191" s="14">
        <f>IF($AQ2191="","","R"&amp;$C2191&amp;"."&amp;$D2191)</f>
        <v/>
      </c>
      <c r="AA2191" s="15">
        <f>IF(IF($AP2191="",FALSE,INDEX(職員マスタ!$K$6:$K$405,$AP2191)&lt;&gt;""),INDEX(職員マスタ!$K$6:$K$405,$AP2191),IF(N($W2191)&gt;0,$W2191,""))</f>
        <v/>
      </c>
      <c r="AB2191" s="14">
        <f>IF(OR($E2191="",$AA2191=""),"",IF($E2191&gt;=$AA2191,"×",IF($E2191&gt;=$AA2191*設定!$C$5,"△","○")))</f>
        <v/>
      </c>
      <c r="AC2191" s="15">
        <f>IF($AB2191="","",IF($AB2191="×",0,IF($AB2191="○",ROUNDDOWN($E2191*設定!$C$4,0),ROUNDDOWN($E2191*ROUND((9*$AA2191-9*$E2191)/(10*$E2191),4),0))))</f>
        <v/>
      </c>
      <c r="AD2191" s="13" t="n"/>
      <c r="AE2191" s="15">
        <f>IF($B2191="","",IF($AD2191&lt;&gt;"",$AD2191,IF($AC2191="","",IF($AC2191&lt;=設定!$C$3,0,$AC2191))))</f>
        <v/>
      </c>
      <c r="AF2191" s="14">
        <f>IF($B2191="","",IF(AND($AG2191&lt;&gt;"",$AI2191="",$AL2191=""),"保留中",IF($AL2191&lt;&gt;"",IF(N($AE2191)&gt;0,"支給済","不支給"),IF($AE2191="","要確認",IF($AE2191=0,"不支給","未処理")))))</f>
        <v/>
      </c>
      <c r="AG2191" s="12" t="n"/>
      <c r="AH2191" s="11" t="n"/>
      <c r="AI2191" s="11" t="n"/>
      <c r="AJ2191" s="11" t="n"/>
      <c r="AK2191" s="14">
        <f>IF(AND($AF2191="保留中",$AH2191&lt;&gt;""),TODAY()-$AH2191,"")</f>
        <v/>
      </c>
      <c r="AL2191" s="12" t="n"/>
      <c r="AM2191" s="14">
        <f>IF($B2191="","",IF($AQ2191="","対象年月が未入力／","")&amp;IF($B2191="","",IF($AP2191="","職員マスタに未登録の職員番号／",IF($AA2191="","標準報酬月額が未登録／","")&amp;IF(AND($AQ2191&lt;&gt;"",OR(AND(INDEX(職員マスタ!$G$6:$G$405,$AP2191)&lt;&gt;"",INDEX(職員マスタ!$G$6:$G$405,$AP2191)&gt;EOMONTH($AQ2191,0)),AND(INDEX(職員マスタ!$H$6:$H$405,$AP2191)&lt;&gt;"",INDEX(職員マスタ!$H$6:$H$405,$AP2191)&lt;$AQ2191))),"対象月が時短期間外／","")&amp;IF(AND(INDEX(職員マスタ!$K$6:$K$405,$AP2191)&lt;&gt;"",N($W2191)&gt;0,INDEX(職員マスタ!$K$6:$K$405,$AP2191)&lt;&gt;$W2191),"標準報酬月額が申請書と相違（台帳"&amp;TEXT(INDEX(職員マスタ!$K$6:$K$405,$AP2191),"#,##0")&amp;"円／申請書"&amp;TEXT($W2191,"#,##0")&amp;"円）／","")&amp;IF(AND(INDEX(職員マスタ!$F$6:$F$405,$AP2191)&lt;&gt;"",$AQ2191&lt;&gt;"",INDEX(職員マスタ!$F$6:$F$405,$AP2191)&lt;$AQ2191),"対象月に子が2歳到達済／","")&amp;IF(AND($H2191&lt;&gt;"",INDEX(職員マスタ!$B$6:$B$405,$AP2191)&lt;&gt;"",SUBSTITUTE(SUBSTITUTE($H2191," ","")," ","")&lt;&gt;SUBSTITUTE(SUBSTITUTE(INDEX(職員マスタ!$B$6:$B$405,$AP2191)," ","")," ","")),"氏名がマスタと相違／","")&amp;IF(AND($Q2191&lt;&gt;"",INDEX(職員マスタ!$E$6:$E$405,$AP2191)&lt;&gt;"",$Q2191&lt;&gt;INDEX(職員マスタ!$E$6:$E$405,$AP2191)),"子の生年月日がマスタと相違／","")&amp;IF(AND($L2191&lt;&gt;"",INDEX(職員マスタ!$G$6:$G$405,$AP2191)&lt;&gt;"",$L2191&lt;&gt;INDEX(職員マスタ!$G$6:$G$405,$AP2191)),"時短開始日がマスタと相違／","")&amp;IF(AND($M2191&lt;&gt;"",INDEX(職員マスタ!$H$6:$H$405,$AP2191)&lt;&gt;"",$M2191&lt;&gt;INDEX(職員マスタ!$H$6:$H$405,$AP2191)),"時短終了日がマスタと相違／","")))&amp;IF(AND($B2191&lt;&gt;"",$E2191=""),"報酬額が未入力／","")&amp;IF(N($U2191)&gt;0,"申請書に入力エラーが残っています／","")&amp;IF(AND($B2191&lt;&gt;"",$AQ2191&lt;&gt;""),IF(COUNTIFS($B$6:$B$3005,$B2191,$C$6:$C$3005,$C2191,$D$6:$D$3005,$D2191)&gt;1,"同じ月の請求が重複しています／",""),"")&amp;IF(AND(N($E2191)&gt;0,$AB2191&lt;&gt;"",$AB2191&lt;&gt;"×",$AE2191=0,$AD2191=""),"計算額が下限以下のため不支給／",""))</f>
        <v/>
      </c>
      <c r="AN2191" s="12" t="n"/>
      <c r="AO2191" s="14">
        <f>IF($AF2191="保留中",COUNTIF($AF$6:$AF2191,"保留中"),"")</f>
        <v/>
      </c>
      <c r="AP2191" s="14">
        <f>IF($AQ2191="","",IF(SUMPRODUCT(MAX((職員マスタ!$A$6:$A$405=$B2191)*(((職員マスタ!$G$6:$G$405="")+(職員マスタ!$G$6:$G$405&lt;=EOMONTH($AQ2191,0)))&gt;0)*(((職員マスタ!$H$6:$H$405="")+(職員マスタ!$H$6:$H$405&gt;=$AQ2191))&gt;0)*(ROW(職員マスタ!$A$6:$A$405)-5)))&gt;0,SUMPRODUCT(MAX((職員マスタ!$A$6:$A$405=$B2191)*(((職員マスタ!$G$6:$G$405="")+(職員マスタ!$G$6:$G$405&lt;=EOMONTH($AQ2191,0)))&gt;0)*(((職員マスタ!$H$6:$H$405="")+(職員マスタ!$H$6:$H$405&gt;=$AQ2191))&gt;0)*(ROW(職員マスタ!$A$6:$A$405)-5))),IFERROR(MATCH($B2191,職員マスタ!$A$6:$A$405,0),"")))</f>
        <v/>
      </c>
      <c r="AQ2191" s="16">
        <f>IF(OR($B2191="",$C2191="",$D2191=""),"",DATE($C2191+2018,$D2191,1))</f>
        <v/>
      </c>
    </row>
    <row r="2192">
      <c r="A2192" s="11" t="n"/>
      <c r="B2192" s="12" t="n"/>
      <c r="C2192" s="12" t="n"/>
      <c r="D2192" s="12" t="n"/>
      <c r="E2192" s="13" t="n"/>
      <c r="F2192" s="12" t="n"/>
      <c r="G2192" s="13" t="n"/>
      <c r="H2192" s="12" t="n"/>
      <c r="I2192" s="12" t="n"/>
      <c r="J2192" s="12" t="n"/>
      <c r="K2192" s="12" t="n"/>
      <c r="L2192" s="11" t="n"/>
      <c r="M2192" s="11" t="n"/>
      <c r="N2192" s="11" t="n"/>
      <c r="O2192" s="11" t="n"/>
      <c r="P2192" s="12" t="n"/>
      <c r="Q2192" s="11" t="n"/>
      <c r="R2192" s="12" t="n"/>
      <c r="S2192" s="11" t="n"/>
      <c r="T2192" s="12" t="n"/>
      <c r="U2192" s="12" t="n"/>
      <c r="V2192" s="12" t="n"/>
      <c r="W2192" s="13" t="n"/>
      <c r="X2192" s="14">
        <f>IF($AP2192="",IF($B2192="","",$H2192),IF(INDEX(職員マスタ!$B$6:$B$405,$AP2192)="",$H2192,INDEX(職員マスタ!$B$6:$B$405,$AP2192)))</f>
        <v/>
      </c>
      <c r="Y2192" s="14">
        <f>IF($AP2192="",IF($B2192="","",$R2192),IF(INDEX(職員マスタ!$C$6:$C$405,$AP2192)="",$R2192,INDEX(職員マスタ!$C$6:$C$405,$AP2192)))</f>
        <v/>
      </c>
      <c r="Z2192" s="14">
        <f>IF($AQ2192="","","R"&amp;$C2192&amp;"."&amp;$D2192)</f>
        <v/>
      </c>
      <c r="AA2192" s="15">
        <f>IF(IF($AP2192="",FALSE,INDEX(職員マスタ!$K$6:$K$405,$AP2192)&lt;&gt;""),INDEX(職員マスタ!$K$6:$K$405,$AP2192),IF(N($W2192)&gt;0,$W2192,""))</f>
        <v/>
      </c>
      <c r="AB2192" s="14">
        <f>IF(OR($E2192="",$AA2192=""),"",IF($E2192&gt;=$AA2192,"×",IF($E2192&gt;=$AA2192*設定!$C$5,"△","○")))</f>
        <v/>
      </c>
      <c r="AC2192" s="15">
        <f>IF($AB2192="","",IF($AB2192="×",0,IF($AB2192="○",ROUNDDOWN($E2192*設定!$C$4,0),ROUNDDOWN($E2192*ROUND((9*$AA2192-9*$E2192)/(10*$E2192),4),0))))</f>
        <v/>
      </c>
      <c r="AD2192" s="13" t="n"/>
      <c r="AE2192" s="15">
        <f>IF($B2192="","",IF($AD2192&lt;&gt;"",$AD2192,IF($AC2192="","",IF($AC2192&lt;=設定!$C$3,0,$AC2192))))</f>
        <v/>
      </c>
      <c r="AF2192" s="14">
        <f>IF($B2192="","",IF(AND($AG2192&lt;&gt;"",$AI2192="",$AL2192=""),"保留中",IF($AL2192&lt;&gt;"",IF(N($AE2192)&gt;0,"支給済","不支給"),IF($AE2192="","要確認",IF($AE2192=0,"不支給","未処理")))))</f>
        <v/>
      </c>
      <c r="AG2192" s="12" t="n"/>
      <c r="AH2192" s="11" t="n"/>
      <c r="AI2192" s="11" t="n"/>
      <c r="AJ2192" s="11" t="n"/>
      <c r="AK2192" s="14">
        <f>IF(AND($AF2192="保留中",$AH2192&lt;&gt;""),TODAY()-$AH2192,"")</f>
        <v/>
      </c>
      <c r="AL2192" s="12" t="n"/>
      <c r="AM2192" s="14">
        <f>IF($B2192="","",IF($AQ2192="","対象年月が未入力／","")&amp;IF($B2192="","",IF($AP2192="","職員マスタに未登録の職員番号／",IF($AA2192="","標準報酬月額が未登録／","")&amp;IF(AND($AQ2192&lt;&gt;"",OR(AND(INDEX(職員マスタ!$G$6:$G$405,$AP2192)&lt;&gt;"",INDEX(職員マスタ!$G$6:$G$405,$AP2192)&gt;EOMONTH($AQ2192,0)),AND(INDEX(職員マスタ!$H$6:$H$405,$AP2192)&lt;&gt;"",INDEX(職員マスタ!$H$6:$H$405,$AP2192)&lt;$AQ2192))),"対象月が時短期間外／","")&amp;IF(AND(INDEX(職員マスタ!$K$6:$K$405,$AP2192)&lt;&gt;"",N($W2192)&gt;0,INDEX(職員マスタ!$K$6:$K$405,$AP2192)&lt;&gt;$W2192),"標準報酬月額が申請書と相違（台帳"&amp;TEXT(INDEX(職員マスタ!$K$6:$K$405,$AP2192),"#,##0")&amp;"円／申請書"&amp;TEXT($W2192,"#,##0")&amp;"円）／","")&amp;IF(AND(INDEX(職員マスタ!$F$6:$F$405,$AP2192)&lt;&gt;"",$AQ2192&lt;&gt;"",INDEX(職員マスタ!$F$6:$F$405,$AP2192)&lt;$AQ2192),"対象月に子が2歳到達済／","")&amp;IF(AND($H2192&lt;&gt;"",INDEX(職員マスタ!$B$6:$B$405,$AP2192)&lt;&gt;"",SUBSTITUTE(SUBSTITUTE($H2192," ","")," ","")&lt;&gt;SUBSTITUTE(SUBSTITUTE(INDEX(職員マスタ!$B$6:$B$405,$AP2192)," ","")," ","")),"氏名がマスタと相違／","")&amp;IF(AND($Q2192&lt;&gt;"",INDEX(職員マスタ!$E$6:$E$405,$AP2192)&lt;&gt;"",$Q2192&lt;&gt;INDEX(職員マスタ!$E$6:$E$405,$AP2192)),"子の生年月日がマスタと相違／","")&amp;IF(AND($L2192&lt;&gt;"",INDEX(職員マスタ!$G$6:$G$405,$AP2192)&lt;&gt;"",$L2192&lt;&gt;INDEX(職員マスタ!$G$6:$G$405,$AP2192)),"時短開始日がマスタと相違／","")&amp;IF(AND($M2192&lt;&gt;"",INDEX(職員マスタ!$H$6:$H$405,$AP2192)&lt;&gt;"",$M2192&lt;&gt;INDEX(職員マスタ!$H$6:$H$405,$AP2192)),"時短終了日がマスタと相違／","")))&amp;IF(AND($B2192&lt;&gt;"",$E2192=""),"報酬額が未入力／","")&amp;IF(N($U2192)&gt;0,"申請書に入力エラーが残っています／","")&amp;IF(AND($B2192&lt;&gt;"",$AQ2192&lt;&gt;""),IF(COUNTIFS($B$6:$B$3005,$B2192,$C$6:$C$3005,$C2192,$D$6:$D$3005,$D2192)&gt;1,"同じ月の請求が重複しています／",""),"")&amp;IF(AND(N($E2192)&gt;0,$AB2192&lt;&gt;"",$AB2192&lt;&gt;"×",$AE2192=0,$AD2192=""),"計算額が下限以下のため不支給／",""))</f>
        <v/>
      </c>
      <c r="AN2192" s="12" t="n"/>
      <c r="AO2192" s="14">
        <f>IF($AF2192="保留中",COUNTIF($AF$6:$AF2192,"保留中"),"")</f>
        <v/>
      </c>
      <c r="AP2192" s="14">
        <f>IF($AQ2192="","",IF(SUMPRODUCT(MAX((職員マスタ!$A$6:$A$405=$B2192)*(((職員マスタ!$G$6:$G$405="")+(職員マスタ!$G$6:$G$405&lt;=EOMONTH($AQ2192,0)))&gt;0)*(((職員マスタ!$H$6:$H$405="")+(職員マスタ!$H$6:$H$405&gt;=$AQ2192))&gt;0)*(ROW(職員マスタ!$A$6:$A$405)-5)))&gt;0,SUMPRODUCT(MAX((職員マスタ!$A$6:$A$405=$B2192)*(((職員マスタ!$G$6:$G$405="")+(職員マスタ!$G$6:$G$405&lt;=EOMONTH($AQ2192,0)))&gt;0)*(((職員マスタ!$H$6:$H$405="")+(職員マスタ!$H$6:$H$405&gt;=$AQ2192))&gt;0)*(ROW(職員マスタ!$A$6:$A$405)-5))),IFERROR(MATCH($B2192,職員マスタ!$A$6:$A$405,0),"")))</f>
        <v/>
      </c>
      <c r="AQ2192" s="16">
        <f>IF(OR($B2192="",$C2192="",$D2192=""),"",DATE($C2192+2018,$D2192,1))</f>
        <v/>
      </c>
    </row>
    <row r="2193">
      <c r="A2193" s="11" t="n"/>
      <c r="B2193" s="12" t="n"/>
      <c r="C2193" s="12" t="n"/>
      <c r="D2193" s="12" t="n"/>
      <c r="E2193" s="13" t="n"/>
      <c r="F2193" s="12" t="n"/>
      <c r="G2193" s="13" t="n"/>
      <c r="H2193" s="12" t="n"/>
      <c r="I2193" s="12" t="n"/>
      <c r="J2193" s="12" t="n"/>
      <c r="K2193" s="12" t="n"/>
      <c r="L2193" s="11" t="n"/>
      <c r="M2193" s="11" t="n"/>
      <c r="N2193" s="11" t="n"/>
      <c r="O2193" s="11" t="n"/>
      <c r="P2193" s="12" t="n"/>
      <c r="Q2193" s="11" t="n"/>
      <c r="R2193" s="12" t="n"/>
      <c r="S2193" s="11" t="n"/>
      <c r="T2193" s="12" t="n"/>
      <c r="U2193" s="12" t="n"/>
      <c r="V2193" s="12" t="n"/>
      <c r="W2193" s="13" t="n"/>
      <c r="X2193" s="14">
        <f>IF($AP2193="",IF($B2193="","",$H2193),IF(INDEX(職員マスタ!$B$6:$B$405,$AP2193)="",$H2193,INDEX(職員マスタ!$B$6:$B$405,$AP2193)))</f>
        <v/>
      </c>
      <c r="Y2193" s="14">
        <f>IF($AP2193="",IF($B2193="","",$R2193),IF(INDEX(職員マスタ!$C$6:$C$405,$AP2193)="",$R2193,INDEX(職員マスタ!$C$6:$C$405,$AP2193)))</f>
        <v/>
      </c>
      <c r="Z2193" s="14">
        <f>IF($AQ2193="","","R"&amp;$C2193&amp;"."&amp;$D2193)</f>
        <v/>
      </c>
      <c r="AA2193" s="15">
        <f>IF(IF($AP2193="",FALSE,INDEX(職員マスタ!$K$6:$K$405,$AP2193)&lt;&gt;""),INDEX(職員マスタ!$K$6:$K$405,$AP2193),IF(N($W2193)&gt;0,$W2193,""))</f>
        <v/>
      </c>
      <c r="AB2193" s="14">
        <f>IF(OR($E2193="",$AA2193=""),"",IF($E2193&gt;=$AA2193,"×",IF($E2193&gt;=$AA2193*設定!$C$5,"△","○")))</f>
        <v/>
      </c>
      <c r="AC2193" s="15">
        <f>IF($AB2193="","",IF($AB2193="×",0,IF($AB2193="○",ROUNDDOWN($E2193*設定!$C$4,0),ROUNDDOWN($E2193*ROUND((9*$AA2193-9*$E2193)/(10*$E2193),4),0))))</f>
        <v/>
      </c>
      <c r="AD2193" s="13" t="n"/>
      <c r="AE2193" s="15">
        <f>IF($B2193="","",IF($AD2193&lt;&gt;"",$AD2193,IF($AC2193="","",IF($AC2193&lt;=設定!$C$3,0,$AC2193))))</f>
        <v/>
      </c>
      <c r="AF2193" s="14">
        <f>IF($B2193="","",IF(AND($AG2193&lt;&gt;"",$AI2193="",$AL2193=""),"保留中",IF($AL2193&lt;&gt;"",IF(N($AE2193)&gt;0,"支給済","不支給"),IF($AE2193="","要確認",IF($AE2193=0,"不支給","未処理")))))</f>
        <v/>
      </c>
      <c r="AG2193" s="12" t="n"/>
      <c r="AH2193" s="11" t="n"/>
      <c r="AI2193" s="11" t="n"/>
      <c r="AJ2193" s="11" t="n"/>
      <c r="AK2193" s="14">
        <f>IF(AND($AF2193="保留中",$AH2193&lt;&gt;""),TODAY()-$AH2193,"")</f>
        <v/>
      </c>
      <c r="AL2193" s="12" t="n"/>
      <c r="AM2193" s="14">
        <f>IF($B2193="","",IF($AQ2193="","対象年月が未入力／","")&amp;IF($B2193="","",IF($AP2193="","職員マスタに未登録の職員番号／",IF($AA2193="","標準報酬月額が未登録／","")&amp;IF(AND($AQ2193&lt;&gt;"",OR(AND(INDEX(職員マスタ!$G$6:$G$405,$AP2193)&lt;&gt;"",INDEX(職員マスタ!$G$6:$G$405,$AP2193)&gt;EOMONTH($AQ2193,0)),AND(INDEX(職員マスタ!$H$6:$H$405,$AP2193)&lt;&gt;"",INDEX(職員マスタ!$H$6:$H$405,$AP2193)&lt;$AQ2193))),"対象月が時短期間外／","")&amp;IF(AND(INDEX(職員マスタ!$K$6:$K$405,$AP2193)&lt;&gt;"",N($W2193)&gt;0,INDEX(職員マスタ!$K$6:$K$405,$AP2193)&lt;&gt;$W2193),"標準報酬月額が申請書と相違（台帳"&amp;TEXT(INDEX(職員マスタ!$K$6:$K$405,$AP2193),"#,##0")&amp;"円／申請書"&amp;TEXT($W2193,"#,##0")&amp;"円）／","")&amp;IF(AND(INDEX(職員マスタ!$F$6:$F$405,$AP2193)&lt;&gt;"",$AQ2193&lt;&gt;"",INDEX(職員マスタ!$F$6:$F$405,$AP2193)&lt;$AQ2193),"対象月に子が2歳到達済／","")&amp;IF(AND($H2193&lt;&gt;"",INDEX(職員マスタ!$B$6:$B$405,$AP2193)&lt;&gt;"",SUBSTITUTE(SUBSTITUTE($H2193," ","")," ","")&lt;&gt;SUBSTITUTE(SUBSTITUTE(INDEX(職員マスタ!$B$6:$B$405,$AP2193)," ","")," ","")),"氏名がマスタと相違／","")&amp;IF(AND($Q2193&lt;&gt;"",INDEX(職員マスタ!$E$6:$E$405,$AP2193)&lt;&gt;"",$Q2193&lt;&gt;INDEX(職員マスタ!$E$6:$E$405,$AP2193)),"子の生年月日がマスタと相違／","")&amp;IF(AND($L2193&lt;&gt;"",INDEX(職員マスタ!$G$6:$G$405,$AP2193)&lt;&gt;"",$L2193&lt;&gt;INDEX(職員マスタ!$G$6:$G$405,$AP2193)),"時短開始日がマスタと相違／","")&amp;IF(AND($M2193&lt;&gt;"",INDEX(職員マスタ!$H$6:$H$405,$AP2193)&lt;&gt;"",$M2193&lt;&gt;INDEX(職員マスタ!$H$6:$H$405,$AP2193)),"時短終了日がマスタと相違／","")))&amp;IF(AND($B2193&lt;&gt;"",$E2193=""),"報酬額が未入力／","")&amp;IF(N($U2193)&gt;0,"申請書に入力エラーが残っています／","")&amp;IF(AND($B2193&lt;&gt;"",$AQ2193&lt;&gt;""),IF(COUNTIFS($B$6:$B$3005,$B2193,$C$6:$C$3005,$C2193,$D$6:$D$3005,$D2193)&gt;1,"同じ月の請求が重複しています／",""),"")&amp;IF(AND(N($E2193)&gt;0,$AB2193&lt;&gt;"",$AB2193&lt;&gt;"×",$AE2193=0,$AD2193=""),"計算額が下限以下のため不支給／",""))</f>
        <v/>
      </c>
      <c r="AN2193" s="12" t="n"/>
      <c r="AO2193" s="14">
        <f>IF($AF2193="保留中",COUNTIF($AF$6:$AF2193,"保留中"),"")</f>
        <v/>
      </c>
      <c r="AP2193" s="14">
        <f>IF($AQ2193="","",IF(SUMPRODUCT(MAX((職員マスタ!$A$6:$A$405=$B2193)*(((職員マスタ!$G$6:$G$405="")+(職員マスタ!$G$6:$G$405&lt;=EOMONTH($AQ2193,0)))&gt;0)*(((職員マスタ!$H$6:$H$405="")+(職員マスタ!$H$6:$H$405&gt;=$AQ2193))&gt;0)*(ROW(職員マスタ!$A$6:$A$405)-5)))&gt;0,SUMPRODUCT(MAX((職員マスタ!$A$6:$A$405=$B2193)*(((職員マスタ!$G$6:$G$405="")+(職員マスタ!$G$6:$G$405&lt;=EOMONTH($AQ2193,0)))&gt;0)*(((職員マスタ!$H$6:$H$405="")+(職員マスタ!$H$6:$H$405&gt;=$AQ2193))&gt;0)*(ROW(職員マスタ!$A$6:$A$405)-5))),IFERROR(MATCH($B2193,職員マスタ!$A$6:$A$405,0),"")))</f>
        <v/>
      </c>
      <c r="AQ2193" s="16">
        <f>IF(OR($B2193="",$C2193="",$D2193=""),"",DATE($C2193+2018,$D2193,1))</f>
        <v/>
      </c>
    </row>
    <row r="2194">
      <c r="A2194" s="11" t="n"/>
      <c r="B2194" s="12" t="n"/>
      <c r="C2194" s="12" t="n"/>
      <c r="D2194" s="12" t="n"/>
      <c r="E2194" s="13" t="n"/>
      <c r="F2194" s="12" t="n"/>
      <c r="G2194" s="13" t="n"/>
      <c r="H2194" s="12" t="n"/>
      <c r="I2194" s="12" t="n"/>
      <c r="J2194" s="12" t="n"/>
      <c r="K2194" s="12" t="n"/>
      <c r="L2194" s="11" t="n"/>
      <c r="M2194" s="11" t="n"/>
      <c r="N2194" s="11" t="n"/>
      <c r="O2194" s="11" t="n"/>
      <c r="P2194" s="12" t="n"/>
      <c r="Q2194" s="11" t="n"/>
      <c r="R2194" s="12" t="n"/>
      <c r="S2194" s="11" t="n"/>
      <c r="T2194" s="12" t="n"/>
      <c r="U2194" s="12" t="n"/>
      <c r="V2194" s="12" t="n"/>
      <c r="W2194" s="13" t="n"/>
      <c r="X2194" s="14">
        <f>IF($AP2194="",IF($B2194="","",$H2194),IF(INDEX(職員マスタ!$B$6:$B$405,$AP2194)="",$H2194,INDEX(職員マスタ!$B$6:$B$405,$AP2194)))</f>
        <v/>
      </c>
      <c r="Y2194" s="14">
        <f>IF($AP2194="",IF($B2194="","",$R2194),IF(INDEX(職員マスタ!$C$6:$C$405,$AP2194)="",$R2194,INDEX(職員マスタ!$C$6:$C$405,$AP2194)))</f>
        <v/>
      </c>
      <c r="Z2194" s="14">
        <f>IF($AQ2194="","","R"&amp;$C2194&amp;"."&amp;$D2194)</f>
        <v/>
      </c>
      <c r="AA2194" s="15">
        <f>IF(IF($AP2194="",FALSE,INDEX(職員マスタ!$K$6:$K$405,$AP2194)&lt;&gt;""),INDEX(職員マスタ!$K$6:$K$405,$AP2194),IF(N($W2194)&gt;0,$W2194,""))</f>
        <v/>
      </c>
      <c r="AB2194" s="14">
        <f>IF(OR($E2194="",$AA2194=""),"",IF($E2194&gt;=$AA2194,"×",IF($E2194&gt;=$AA2194*設定!$C$5,"△","○")))</f>
        <v/>
      </c>
      <c r="AC2194" s="15">
        <f>IF($AB2194="","",IF($AB2194="×",0,IF($AB2194="○",ROUNDDOWN($E2194*設定!$C$4,0),ROUNDDOWN($E2194*ROUND((9*$AA2194-9*$E2194)/(10*$E2194),4),0))))</f>
        <v/>
      </c>
      <c r="AD2194" s="13" t="n"/>
      <c r="AE2194" s="15">
        <f>IF($B2194="","",IF($AD2194&lt;&gt;"",$AD2194,IF($AC2194="","",IF($AC2194&lt;=設定!$C$3,0,$AC2194))))</f>
        <v/>
      </c>
      <c r="AF2194" s="14">
        <f>IF($B2194="","",IF(AND($AG2194&lt;&gt;"",$AI2194="",$AL2194=""),"保留中",IF($AL2194&lt;&gt;"",IF(N($AE2194)&gt;0,"支給済","不支給"),IF($AE2194="","要確認",IF($AE2194=0,"不支給","未処理")))))</f>
        <v/>
      </c>
      <c r="AG2194" s="12" t="n"/>
      <c r="AH2194" s="11" t="n"/>
      <c r="AI2194" s="11" t="n"/>
      <c r="AJ2194" s="11" t="n"/>
      <c r="AK2194" s="14">
        <f>IF(AND($AF2194="保留中",$AH2194&lt;&gt;""),TODAY()-$AH2194,"")</f>
        <v/>
      </c>
      <c r="AL2194" s="12" t="n"/>
      <c r="AM2194" s="14">
        <f>IF($B2194="","",IF($AQ2194="","対象年月が未入力／","")&amp;IF($B2194="","",IF($AP2194="","職員マスタに未登録の職員番号／",IF($AA2194="","標準報酬月額が未登録／","")&amp;IF(AND($AQ2194&lt;&gt;"",OR(AND(INDEX(職員マスタ!$G$6:$G$405,$AP2194)&lt;&gt;"",INDEX(職員マスタ!$G$6:$G$405,$AP2194)&gt;EOMONTH($AQ2194,0)),AND(INDEX(職員マスタ!$H$6:$H$405,$AP2194)&lt;&gt;"",INDEX(職員マスタ!$H$6:$H$405,$AP2194)&lt;$AQ2194))),"対象月が時短期間外／","")&amp;IF(AND(INDEX(職員マスタ!$K$6:$K$405,$AP2194)&lt;&gt;"",N($W2194)&gt;0,INDEX(職員マスタ!$K$6:$K$405,$AP2194)&lt;&gt;$W2194),"標準報酬月額が申請書と相違（台帳"&amp;TEXT(INDEX(職員マスタ!$K$6:$K$405,$AP2194),"#,##0")&amp;"円／申請書"&amp;TEXT($W2194,"#,##0")&amp;"円）／","")&amp;IF(AND(INDEX(職員マスタ!$F$6:$F$405,$AP2194)&lt;&gt;"",$AQ2194&lt;&gt;"",INDEX(職員マスタ!$F$6:$F$405,$AP2194)&lt;$AQ2194),"対象月に子が2歳到達済／","")&amp;IF(AND($H2194&lt;&gt;"",INDEX(職員マスタ!$B$6:$B$405,$AP2194)&lt;&gt;"",SUBSTITUTE(SUBSTITUTE($H2194," ","")," ","")&lt;&gt;SUBSTITUTE(SUBSTITUTE(INDEX(職員マスタ!$B$6:$B$405,$AP2194)," ","")," ","")),"氏名がマスタと相違／","")&amp;IF(AND($Q2194&lt;&gt;"",INDEX(職員マスタ!$E$6:$E$405,$AP2194)&lt;&gt;"",$Q2194&lt;&gt;INDEX(職員マスタ!$E$6:$E$405,$AP2194)),"子の生年月日がマスタと相違／","")&amp;IF(AND($L2194&lt;&gt;"",INDEX(職員マスタ!$G$6:$G$405,$AP2194)&lt;&gt;"",$L2194&lt;&gt;INDEX(職員マスタ!$G$6:$G$405,$AP2194)),"時短開始日がマスタと相違／","")&amp;IF(AND($M2194&lt;&gt;"",INDEX(職員マスタ!$H$6:$H$405,$AP2194)&lt;&gt;"",$M2194&lt;&gt;INDEX(職員マスタ!$H$6:$H$405,$AP2194)),"時短終了日がマスタと相違／","")))&amp;IF(AND($B2194&lt;&gt;"",$E2194=""),"報酬額が未入力／","")&amp;IF(N($U2194)&gt;0,"申請書に入力エラーが残っています／","")&amp;IF(AND($B2194&lt;&gt;"",$AQ2194&lt;&gt;""),IF(COUNTIFS($B$6:$B$3005,$B2194,$C$6:$C$3005,$C2194,$D$6:$D$3005,$D2194)&gt;1,"同じ月の請求が重複しています／",""),"")&amp;IF(AND(N($E2194)&gt;0,$AB2194&lt;&gt;"",$AB2194&lt;&gt;"×",$AE2194=0,$AD2194=""),"計算額が下限以下のため不支給／",""))</f>
        <v/>
      </c>
      <c r="AN2194" s="12" t="n"/>
      <c r="AO2194" s="14">
        <f>IF($AF2194="保留中",COUNTIF($AF$6:$AF2194,"保留中"),"")</f>
        <v/>
      </c>
      <c r="AP2194" s="14">
        <f>IF($AQ2194="","",IF(SUMPRODUCT(MAX((職員マスタ!$A$6:$A$405=$B2194)*(((職員マスタ!$G$6:$G$405="")+(職員マスタ!$G$6:$G$405&lt;=EOMONTH($AQ2194,0)))&gt;0)*(((職員マスタ!$H$6:$H$405="")+(職員マスタ!$H$6:$H$405&gt;=$AQ2194))&gt;0)*(ROW(職員マスタ!$A$6:$A$405)-5)))&gt;0,SUMPRODUCT(MAX((職員マスタ!$A$6:$A$405=$B2194)*(((職員マスタ!$G$6:$G$405="")+(職員マスタ!$G$6:$G$405&lt;=EOMONTH($AQ2194,0)))&gt;0)*(((職員マスタ!$H$6:$H$405="")+(職員マスタ!$H$6:$H$405&gt;=$AQ2194))&gt;0)*(ROW(職員マスタ!$A$6:$A$405)-5))),IFERROR(MATCH($B2194,職員マスタ!$A$6:$A$405,0),"")))</f>
        <v/>
      </c>
      <c r="AQ2194" s="16">
        <f>IF(OR($B2194="",$C2194="",$D2194=""),"",DATE($C2194+2018,$D2194,1))</f>
        <v/>
      </c>
    </row>
    <row r="2195">
      <c r="A2195" s="11" t="n"/>
      <c r="B2195" s="12" t="n"/>
      <c r="C2195" s="12" t="n"/>
      <c r="D2195" s="12" t="n"/>
      <c r="E2195" s="13" t="n"/>
      <c r="F2195" s="12" t="n"/>
      <c r="G2195" s="13" t="n"/>
      <c r="H2195" s="12" t="n"/>
      <c r="I2195" s="12" t="n"/>
      <c r="J2195" s="12" t="n"/>
      <c r="K2195" s="12" t="n"/>
      <c r="L2195" s="11" t="n"/>
      <c r="M2195" s="11" t="n"/>
      <c r="N2195" s="11" t="n"/>
      <c r="O2195" s="11" t="n"/>
      <c r="P2195" s="12" t="n"/>
      <c r="Q2195" s="11" t="n"/>
      <c r="R2195" s="12" t="n"/>
      <c r="S2195" s="11" t="n"/>
      <c r="T2195" s="12" t="n"/>
      <c r="U2195" s="12" t="n"/>
      <c r="V2195" s="12" t="n"/>
      <c r="W2195" s="13" t="n"/>
      <c r="X2195" s="14">
        <f>IF($AP2195="",IF($B2195="","",$H2195),IF(INDEX(職員マスタ!$B$6:$B$405,$AP2195)="",$H2195,INDEX(職員マスタ!$B$6:$B$405,$AP2195)))</f>
        <v/>
      </c>
      <c r="Y2195" s="14">
        <f>IF($AP2195="",IF($B2195="","",$R2195),IF(INDEX(職員マスタ!$C$6:$C$405,$AP2195)="",$R2195,INDEX(職員マスタ!$C$6:$C$405,$AP2195)))</f>
        <v/>
      </c>
      <c r="Z2195" s="14">
        <f>IF($AQ2195="","","R"&amp;$C2195&amp;"."&amp;$D2195)</f>
        <v/>
      </c>
      <c r="AA2195" s="15">
        <f>IF(IF($AP2195="",FALSE,INDEX(職員マスタ!$K$6:$K$405,$AP2195)&lt;&gt;""),INDEX(職員マスタ!$K$6:$K$405,$AP2195),IF(N($W2195)&gt;0,$W2195,""))</f>
        <v/>
      </c>
      <c r="AB2195" s="14">
        <f>IF(OR($E2195="",$AA2195=""),"",IF($E2195&gt;=$AA2195,"×",IF($E2195&gt;=$AA2195*設定!$C$5,"△","○")))</f>
        <v/>
      </c>
      <c r="AC2195" s="15">
        <f>IF($AB2195="","",IF($AB2195="×",0,IF($AB2195="○",ROUNDDOWN($E2195*設定!$C$4,0),ROUNDDOWN($E2195*ROUND((9*$AA2195-9*$E2195)/(10*$E2195),4),0))))</f>
        <v/>
      </c>
      <c r="AD2195" s="13" t="n"/>
      <c r="AE2195" s="15">
        <f>IF($B2195="","",IF($AD2195&lt;&gt;"",$AD2195,IF($AC2195="","",IF($AC2195&lt;=設定!$C$3,0,$AC2195))))</f>
        <v/>
      </c>
      <c r="AF2195" s="14">
        <f>IF($B2195="","",IF(AND($AG2195&lt;&gt;"",$AI2195="",$AL2195=""),"保留中",IF($AL2195&lt;&gt;"",IF(N($AE2195)&gt;0,"支給済","不支給"),IF($AE2195="","要確認",IF($AE2195=0,"不支給","未処理")))))</f>
        <v/>
      </c>
      <c r="AG2195" s="12" t="n"/>
      <c r="AH2195" s="11" t="n"/>
      <c r="AI2195" s="11" t="n"/>
      <c r="AJ2195" s="11" t="n"/>
      <c r="AK2195" s="14">
        <f>IF(AND($AF2195="保留中",$AH2195&lt;&gt;""),TODAY()-$AH2195,"")</f>
        <v/>
      </c>
      <c r="AL2195" s="12" t="n"/>
      <c r="AM2195" s="14">
        <f>IF($B2195="","",IF($AQ2195="","対象年月が未入力／","")&amp;IF($B2195="","",IF($AP2195="","職員マスタに未登録の職員番号／",IF($AA2195="","標準報酬月額が未登録／","")&amp;IF(AND($AQ2195&lt;&gt;"",OR(AND(INDEX(職員マスタ!$G$6:$G$405,$AP2195)&lt;&gt;"",INDEX(職員マスタ!$G$6:$G$405,$AP2195)&gt;EOMONTH($AQ2195,0)),AND(INDEX(職員マスタ!$H$6:$H$405,$AP2195)&lt;&gt;"",INDEX(職員マスタ!$H$6:$H$405,$AP2195)&lt;$AQ2195))),"対象月が時短期間外／","")&amp;IF(AND(INDEX(職員マスタ!$K$6:$K$405,$AP2195)&lt;&gt;"",N($W2195)&gt;0,INDEX(職員マスタ!$K$6:$K$405,$AP2195)&lt;&gt;$W2195),"標準報酬月額が申請書と相違（台帳"&amp;TEXT(INDEX(職員マスタ!$K$6:$K$405,$AP2195),"#,##0")&amp;"円／申請書"&amp;TEXT($W2195,"#,##0")&amp;"円）／","")&amp;IF(AND(INDEX(職員マスタ!$F$6:$F$405,$AP2195)&lt;&gt;"",$AQ2195&lt;&gt;"",INDEX(職員マスタ!$F$6:$F$405,$AP2195)&lt;$AQ2195),"対象月に子が2歳到達済／","")&amp;IF(AND($H2195&lt;&gt;"",INDEX(職員マスタ!$B$6:$B$405,$AP2195)&lt;&gt;"",SUBSTITUTE(SUBSTITUTE($H2195," ","")," ","")&lt;&gt;SUBSTITUTE(SUBSTITUTE(INDEX(職員マスタ!$B$6:$B$405,$AP2195)," ","")," ","")),"氏名がマスタと相違／","")&amp;IF(AND($Q2195&lt;&gt;"",INDEX(職員マスタ!$E$6:$E$405,$AP2195)&lt;&gt;"",$Q2195&lt;&gt;INDEX(職員マスタ!$E$6:$E$405,$AP2195)),"子の生年月日がマスタと相違／","")&amp;IF(AND($L2195&lt;&gt;"",INDEX(職員マスタ!$G$6:$G$405,$AP2195)&lt;&gt;"",$L2195&lt;&gt;INDEX(職員マスタ!$G$6:$G$405,$AP2195)),"時短開始日がマスタと相違／","")&amp;IF(AND($M2195&lt;&gt;"",INDEX(職員マスタ!$H$6:$H$405,$AP2195)&lt;&gt;"",$M2195&lt;&gt;INDEX(職員マスタ!$H$6:$H$405,$AP2195)),"時短終了日がマスタと相違／","")))&amp;IF(AND($B2195&lt;&gt;"",$E2195=""),"報酬額が未入力／","")&amp;IF(N($U2195)&gt;0,"申請書に入力エラーが残っています／","")&amp;IF(AND($B2195&lt;&gt;"",$AQ2195&lt;&gt;""),IF(COUNTIFS($B$6:$B$3005,$B2195,$C$6:$C$3005,$C2195,$D$6:$D$3005,$D2195)&gt;1,"同じ月の請求が重複しています／",""),"")&amp;IF(AND(N($E2195)&gt;0,$AB2195&lt;&gt;"",$AB2195&lt;&gt;"×",$AE2195=0,$AD2195=""),"計算額が下限以下のため不支給／",""))</f>
        <v/>
      </c>
      <c r="AN2195" s="12" t="n"/>
      <c r="AO2195" s="14">
        <f>IF($AF2195="保留中",COUNTIF($AF$6:$AF2195,"保留中"),"")</f>
        <v/>
      </c>
      <c r="AP2195" s="14">
        <f>IF($AQ2195="","",IF(SUMPRODUCT(MAX((職員マスタ!$A$6:$A$405=$B2195)*(((職員マスタ!$G$6:$G$405="")+(職員マスタ!$G$6:$G$405&lt;=EOMONTH($AQ2195,0)))&gt;0)*(((職員マスタ!$H$6:$H$405="")+(職員マスタ!$H$6:$H$405&gt;=$AQ2195))&gt;0)*(ROW(職員マスタ!$A$6:$A$405)-5)))&gt;0,SUMPRODUCT(MAX((職員マスタ!$A$6:$A$405=$B2195)*(((職員マスタ!$G$6:$G$405="")+(職員マスタ!$G$6:$G$405&lt;=EOMONTH($AQ2195,0)))&gt;0)*(((職員マスタ!$H$6:$H$405="")+(職員マスタ!$H$6:$H$405&gt;=$AQ2195))&gt;0)*(ROW(職員マスタ!$A$6:$A$405)-5))),IFERROR(MATCH($B2195,職員マスタ!$A$6:$A$405,0),"")))</f>
        <v/>
      </c>
      <c r="AQ2195" s="16">
        <f>IF(OR($B2195="",$C2195="",$D2195=""),"",DATE($C2195+2018,$D2195,1))</f>
        <v/>
      </c>
    </row>
    <row r="2196">
      <c r="A2196" s="11" t="n"/>
      <c r="B2196" s="12" t="n"/>
      <c r="C2196" s="12" t="n"/>
      <c r="D2196" s="12" t="n"/>
      <c r="E2196" s="13" t="n"/>
      <c r="F2196" s="12" t="n"/>
      <c r="G2196" s="13" t="n"/>
      <c r="H2196" s="12" t="n"/>
      <c r="I2196" s="12" t="n"/>
      <c r="J2196" s="12" t="n"/>
      <c r="K2196" s="12" t="n"/>
      <c r="L2196" s="11" t="n"/>
      <c r="M2196" s="11" t="n"/>
      <c r="N2196" s="11" t="n"/>
      <c r="O2196" s="11" t="n"/>
      <c r="P2196" s="12" t="n"/>
      <c r="Q2196" s="11" t="n"/>
      <c r="R2196" s="12" t="n"/>
      <c r="S2196" s="11" t="n"/>
      <c r="T2196" s="12" t="n"/>
      <c r="U2196" s="12" t="n"/>
      <c r="V2196" s="12" t="n"/>
      <c r="W2196" s="13" t="n"/>
      <c r="X2196" s="14">
        <f>IF($AP2196="",IF($B2196="","",$H2196),IF(INDEX(職員マスタ!$B$6:$B$405,$AP2196)="",$H2196,INDEX(職員マスタ!$B$6:$B$405,$AP2196)))</f>
        <v/>
      </c>
      <c r="Y2196" s="14">
        <f>IF($AP2196="",IF($B2196="","",$R2196),IF(INDEX(職員マスタ!$C$6:$C$405,$AP2196)="",$R2196,INDEX(職員マスタ!$C$6:$C$405,$AP2196)))</f>
        <v/>
      </c>
      <c r="Z2196" s="14">
        <f>IF($AQ2196="","","R"&amp;$C2196&amp;"."&amp;$D2196)</f>
        <v/>
      </c>
      <c r="AA2196" s="15">
        <f>IF(IF($AP2196="",FALSE,INDEX(職員マスタ!$K$6:$K$405,$AP2196)&lt;&gt;""),INDEX(職員マスタ!$K$6:$K$405,$AP2196),IF(N($W2196)&gt;0,$W2196,""))</f>
        <v/>
      </c>
      <c r="AB2196" s="14">
        <f>IF(OR($E2196="",$AA2196=""),"",IF($E2196&gt;=$AA2196,"×",IF($E2196&gt;=$AA2196*設定!$C$5,"△","○")))</f>
        <v/>
      </c>
      <c r="AC2196" s="15">
        <f>IF($AB2196="","",IF($AB2196="×",0,IF($AB2196="○",ROUNDDOWN($E2196*設定!$C$4,0),ROUNDDOWN($E2196*ROUND((9*$AA2196-9*$E2196)/(10*$E2196),4),0))))</f>
        <v/>
      </c>
      <c r="AD2196" s="13" t="n"/>
      <c r="AE2196" s="15">
        <f>IF($B2196="","",IF($AD2196&lt;&gt;"",$AD2196,IF($AC2196="","",IF($AC2196&lt;=設定!$C$3,0,$AC2196))))</f>
        <v/>
      </c>
      <c r="AF2196" s="14">
        <f>IF($B2196="","",IF(AND($AG2196&lt;&gt;"",$AI2196="",$AL2196=""),"保留中",IF($AL2196&lt;&gt;"",IF(N($AE2196)&gt;0,"支給済","不支給"),IF($AE2196="","要確認",IF($AE2196=0,"不支給","未処理")))))</f>
        <v/>
      </c>
      <c r="AG2196" s="12" t="n"/>
      <c r="AH2196" s="11" t="n"/>
      <c r="AI2196" s="11" t="n"/>
      <c r="AJ2196" s="11" t="n"/>
      <c r="AK2196" s="14">
        <f>IF(AND($AF2196="保留中",$AH2196&lt;&gt;""),TODAY()-$AH2196,"")</f>
        <v/>
      </c>
      <c r="AL2196" s="12" t="n"/>
      <c r="AM2196" s="14">
        <f>IF($B2196="","",IF($AQ2196="","対象年月が未入力／","")&amp;IF($B2196="","",IF($AP2196="","職員マスタに未登録の職員番号／",IF($AA2196="","標準報酬月額が未登録／","")&amp;IF(AND($AQ2196&lt;&gt;"",OR(AND(INDEX(職員マスタ!$G$6:$G$405,$AP2196)&lt;&gt;"",INDEX(職員マスタ!$G$6:$G$405,$AP2196)&gt;EOMONTH($AQ2196,0)),AND(INDEX(職員マスタ!$H$6:$H$405,$AP2196)&lt;&gt;"",INDEX(職員マスタ!$H$6:$H$405,$AP2196)&lt;$AQ2196))),"対象月が時短期間外／","")&amp;IF(AND(INDEX(職員マスタ!$K$6:$K$405,$AP2196)&lt;&gt;"",N($W2196)&gt;0,INDEX(職員マスタ!$K$6:$K$405,$AP2196)&lt;&gt;$W2196),"標準報酬月額が申請書と相違（台帳"&amp;TEXT(INDEX(職員マスタ!$K$6:$K$405,$AP2196),"#,##0")&amp;"円／申請書"&amp;TEXT($W2196,"#,##0")&amp;"円）／","")&amp;IF(AND(INDEX(職員マスタ!$F$6:$F$405,$AP2196)&lt;&gt;"",$AQ2196&lt;&gt;"",INDEX(職員マスタ!$F$6:$F$405,$AP2196)&lt;$AQ2196),"対象月に子が2歳到達済／","")&amp;IF(AND($H2196&lt;&gt;"",INDEX(職員マスタ!$B$6:$B$405,$AP2196)&lt;&gt;"",SUBSTITUTE(SUBSTITUTE($H2196," ","")," ","")&lt;&gt;SUBSTITUTE(SUBSTITUTE(INDEX(職員マスタ!$B$6:$B$405,$AP2196)," ","")," ","")),"氏名がマスタと相違／","")&amp;IF(AND($Q2196&lt;&gt;"",INDEX(職員マスタ!$E$6:$E$405,$AP2196)&lt;&gt;"",$Q2196&lt;&gt;INDEX(職員マスタ!$E$6:$E$405,$AP2196)),"子の生年月日がマスタと相違／","")&amp;IF(AND($L2196&lt;&gt;"",INDEX(職員マスタ!$G$6:$G$405,$AP2196)&lt;&gt;"",$L2196&lt;&gt;INDEX(職員マスタ!$G$6:$G$405,$AP2196)),"時短開始日がマスタと相違／","")&amp;IF(AND($M2196&lt;&gt;"",INDEX(職員マスタ!$H$6:$H$405,$AP2196)&lt;&gt;"",$M2196&lt;&gt;INDEX(職員マスタ!$H$6:$H$405,$AP2196)),"時短終了日がマスタと相違／","")))&amp;IF(AND($B2196&lt;&gt;"",$E2196=""),"報酬額が未入力／","")&amp;IF(N($U2196)&gt;0,"申請書に入力エラーが残っています／","")&amp;IF(AND($B2196&lt;&gt;"",$AQ2196&lt;&gt;""),IF(COUNTIFS($B$6:$B$3005,$B2196,$C$6:$C$3005,$C2196,$D$6:$D$3005,$D2196)&gt;1,"同じ月の請求が重複しています／",""),"")&amp;IF(AND(N($E2196)&gt;0,$AB2196&lt;&gt;"",$AB2196&lt;&gt;"×",$AE2196=0,$AD2196=""),"計算額が下限以下のため不支給／",""))</f>
        <v/>
      </c>
      <c r="AN2196" s="12" t="n"/>
      <c r="AO2196" s="14">
        <f>IF($AF2196="保留中",COUNTIF($AF$6:$AF2196,"保留中"),"")</f>
        <v/>
      </c>
      <c r="AP2196" s="14">
        <f>IF($AQ2196="","",IF(SUMPRODUCT(MAX((職員マスタ!$A$6:$A$405=$B2196)*(((職員マスタ!$G$6:$G$405="")+(職員マスタ!$G$6:$G$405&lt;=EOMONTH($AQ2196,0)))&gt;0)*(((職員マスタ!$H$6:$H$405="")+(職員マスタ!$H$6:$H$405&gt;=$AQ2196))&gt;0)*(ROW(職員マスタ!$A$6:$A$405)-5)))&gt;0,SUMPRODUCT(MAX((職員マスタ!$A$6:$A$405=$B2196)*(((職員マスタ!$G$6:$G$405="")+(職員マスタ!$G$6:$G$405&lt;=EOMONTH($AQ2196,0)))&gt;0)*(((職員マスタ!$H$6:$H$405="")+(職員マスタ!$H$6:$H$405&gt;=$AQ2196))&gt;0)*(ROW(職員マスタ!$A$6:$A$405)-5))),IFERROR(MATCH($B2196,職員マスタ!$A$6:$A$405,0),"")))</f>
        <v/>
      </c>
      <c r="AQ2196" s="16">
        <f>IF(OR($B2196="",$C2196="",$D2196=""),"",DATE($C2196+2018,$D2196,1))</f>
        <v/>
      </c>
    </row>
    <row r="2197">
      <c r="A2197" s="11" t="n"/>
      <c r="B2197" s="12" t="n"/>
      <c r="C2197" s="12" t="n"/>
      <c r="D2197" s="12" t="n"/>
      <c r="E2197" s="13" t="n"/>
      <c r="F2197" s="12" t="n"/>
      <c r="G2197" s="13" t="n"/>
      <c r="H2197" s="12" t="n"/>
      <c r="I2197" s="12" t="n"/>
      <c r="J2197" s="12" t="n"/>
      <c r="K2197" s="12" t="n"/>
      <c r="L2197" s="11" t="n"/>
      <c r="M2197" s="11" t="n"/>
      <c r="N2197" s="11" t="n"/>
      <c r="O2197" s="11" t="n"/>
      <c r="P2197" s="12" t="n"/>
      <c r="Q2197" s="11" t="n"/>
      <c r="R2197" s="12" t="n"/>
      <c r="S2197" s="11" t="n"/>
      <c r="T2197" s="12" t="n"/>
      <c r="U2197" s="12" t="n"/>
      <c r="V2197" s="12" t="n"/>
      <c r="W2197" s="13" t="n"/>
      <c r="X2197" s="14">
        <f>IF($AP2197="",IF($B2197="","",$H2197),IF(INDEX(職員マスタ!$B$6:$B$405,$AP2197)="",$H2197,INDEX(職員マスタ!$B$6:$B$405,$AP2197)))</f>
        <v/>
      </c>
      <c r="Y2197" s="14">
        <f>IF($AP2197="",IF($B2197="","",$R2197),IF(INDEX(職員マスタ!$C$6:$C$405,$AP2197)="",$R2197,INDEX(職員マスタ!$C$6:$C$405,$AP2197)))</f>
        <v/>
      </c>
      <c r="Z2197" s="14">
        <f>IF($AQ2197="","","R"&amp;$C2197&amp;"."&amp;$D2197)</f>
        <v/>
      </c>
      <c r="AA2197" s="15">
        <f>IF(IF($AP2197="",FALSE,INDEX(職員マスタ!$K$6:$K$405,$AP2197)&lt;&gt;""),INDEX(職員マスタ!$K$6:$K$405,$AP2197),IF(N($W2197)&gt;0,$W2197,""))</f>
        <v/>
      </c>
      <c r="AB2197" s="14">
        <f>IF(OR($E2197="",$AA2197=""),"",IF($E2197&gt;=$AA2197,"×",IF($E2197&gt;=$AA2197*設定!$C$5,"△","○")))</f>
        <v/>
      </c>
      <c r="AC2197" s="15">
        <f>IF($AB2197="","",IF($AB2197="×",0,IF($AB2197="○",ROUNDDOWN($E2197*設定!$C$4,0),ROUNDDOWN($E2197*ROUND((9*$AA2197-9*$E2197)/(10*$E2197),4),0))))</f>
        <v/>
      </c>
      <c r="AD2197" s="13" t="n"/>
      <c r="AE2197" s="15">
        <f>IF($B2197="","",IF($AD2197&lt;&gt;"",$AD2197,IF($AC2197="","",IF($AC2197&lt;=設定!$C$3,0,$AC2197))))</f>
        <v/>
      </c>
      <c r="AF2197" s="14">
        <f>IF($B2197="","",IF(AND($AG2197&lt;&gt;"",$AI2197="",$AL2197=""),"保留中",IF($AL2197&lt;&gt;"",IF(N($AE2197)&gt;0,"支給済","不支給"),IF($AE2197="","要確認",IF($AE2197=0,"不支給","未処理")))))</f>
        <v/>
      </c>
      <c r="AG2197" s="12" t="n"/>
      <c r="AH2197" s="11" t="n"/>
      <c r="AI2197" s="11" t="n"/>
      <c r="AJ2197" s="11" t="n"/>
      <c r="AK2197" s="14">
        <f>IF(AND($AF2197="保留中",$AH2197&lt;&gt;""),TODAY()-$AH2197,"")</f>
        <v/>
      </c>
      <c r="AL2197" s="12" t="n"/>
      <c r="AM2197" s="14">
        <f>IF($B2197="","",IF($AQ2197="","対象年月が未入力／","")&amp;IF($B2197="","",IF($AP2197="","職員マスタに未登録の職員番号／",IF($AA2197="","標準報酬月額が未登録／","")&amp;IF(AND($AQ2197&lt;&gt;"",OR(AND(INDEX(職員マスタ!$G$6:$G$405,$AP2197)&lt;&gt;"",INDEX(職員マスタ!$G$6:$G$405,$AP2197)&gt;EOMONTH($AQ2197,0)),AND(INDEX(職員マスタ!$H$6:$H$405,$AP2197)&lt;&gt;"",INDEX(職員マスタ!$H$6:$H$405,$AP2197)&lt;$AQ2197))),"対象月が時短期間外／","")&amp;IF(AND(INDEX(職員マスタ!$K$6:$K$405,$AP2197)&lt;&gt;"",N($W2197)&gt;0,INDEX(職員マスタ!$K$6:$K$405,$AP2197)&lt;&gt;$W2197),"標準報酬月額が申請書と相違（台帳"&amp;TEXT(INDEX(職員マスタ!$K$6:$K$405,$AP2197),"#,##0")&amp;"円／申請書"&amp;TEXT($W2197,"#,##0")&amp;"円）／","")&amp;IF(AND(INDEX(職員マスタ!$F$6:$F$405,$AP2197)&lt;&gt;"",$AQ2197&lt;&gt;"",INDEX(職員マスタ!$F$6:$F$405,$AP2197)&lt;$AQ2197),"対象月に子が2歳到達済／","")&amp;IF(AND($H2197&lt;&gt;"",INDEX(職員マスタ!$B$6:$B$405,$AP2197)&lt;&gt;"",SUBSTITUTE(SUBSTITUTE($H2197," ","")," ","")&lt;&gt;SUBSTITUTE(SUBSTITUTE(INDEX(職員マスタ!$B$6:$B$405,$AP2197)," ","")," ","")),"氏名がマスタと相違／","")&amp;IF(AND($Q2197&lt;&gt;"",INDEX(職員マスタ!$E$6:$E$405,$AP2197)&lt;&gt;"",$Q2197&lt;&gt;INDEX(職員マスタ!$E$6:$E$405,$AP2197)),"子の生年月日がマスタと相違／","")&amp;IF(AND($L2197&lt;&gt;"",INDEX(職員マスタ!$G$6:$G$405,$AP2197)&lt;&gt;"",$L2197&lt;&gt;INDEX(職員マスタ!$G$6:$G$405,$AP2197)),"時短開始日がマスタと相違／","")&amp;IF(AND($M2197&lt;&gt;"",INDEX(職員マスタ!$H$6:$H$405,$AP2197)&lt;&gt;"",$M2197&lt;&gt;INDEX(職員マスタ!$H$6:$H$405,$AP2197)),"時短終了日がマスタと相違／","")))&amp;IF(AND($B2197&lt;&gt;"",$E2197=""),"報酬額が未入力／","")&amp;IF(N($U2197)&gt;0,"申請書に入力エラーが残っています／","")&amp;IF(AND($B2197&lt;&gt;"",$AQ2197&lt;&gt;""),IF(COUNTIFS($B$6:$B$3005,$B2197,$C$6:$C$3005,$C2197,$D$6:$D$3005,$D2197)&gt;1,"同じ月の請求が重複しています／",""),"")&amp;IF(AND(N($E2197)&gt;0,$AB2197&lt;&gt;"",$AB2197&lt;&gt;"×",$AE2197=0,$AD2197=""),"計算額が下限以下のため不支給／",""))</f>
        <v/>
      </c>
      <c r="AN2197" s="12" t="n"/>
      <c r="AO2197" s="14">
        <f>IF($AF2197="保留中",COUNTIF($AF$6:$AF2197,"保留中"),"")</f>
        <v/>
      </c>
      <c r="AP2197" s="14">
        <f>IF($AQ2197="","",IF(SUMPRODUCT(MAX((職員マスタ!$A$6:$A$405=$B2197)*(((職員マスタ!$G$6:$G$405="")+(職員マスタ!$G$6:$G$405&lt;=EOMONTH($AQ2197,0)))&gt;0)*(((職員マスタ!$H$6:$H$405="")+(職員マスタ!$H$6:$H$405&gt;=$AQ2197))&gt;0)*(ROW(職員マスタ!$A$6:$A$405)-5)))&gt;0,SUMPRODUCT(MAX((職員マスタ!$A$6:$A$405=$B2197)*(((職員マスタ!$G$6:$G$405="")+(職員マスタ!$G$6:$G$405&lt;=EOMONTH($AQ2197,0)))&gt;0)*(((職員マスタ!$H$6:$H$405="")+(職員マスタ!$H$6:$H$405&gt;=$AQ2197))&gt;0)*(ROW(職員マスタ!$A$6:$A$405)-5))),IFERROR(MATCH($B2197,職員マスタ!$A$6:$A$405,0),"")))</f>
        <v/>
      </c>
      <c r="AQ2197" s="16">
        <f>IF(OR($B2197="",$C2197="",$D2197=""),"",DATE($C2197+2018,$D2197,1))</f>
        <v/>
      </c>
    </row>
    <row r="2198">
      <c r="A2198" s="11" t="n"/>
      <c r="B2198" s="12" t="n"/>
      <c r="C2198" s="12" t="n"/>
      <c r="D2198" s="12" t="n"/>
      <c r="E2198" s="13" t="n"/>
      <c r="F2198" s="12" t="n"/>
      <c r="G2198" s="13" t="n"/>
      <c r="H2198" s="12" t="n"/>
      <c r="I2198" s="12" t="n"/>
      <c r="J2198" s="12" t="n"/>
      <c r="K2198" s="12" t="n"/>
      <c r="L2198" s="11" t="n"/>
      <c r="M2198" s="11" t="n"/>
      <c r="N2198" s="11" t="n"/>
      <c r="O2198" s="11" t="n"/>
      <c r="P2198" s="12" t="n"/>
      <c r="Q2198" s="11" t="n"/>
      <c r="R2198" s="12" t="n"/>
      <c r="S2198" s="11" t="n"/>
      <c r="T2198" s="12" t="n"/>
      <c r="U2198" s="12" t="n"/>
      <c r="V2198" s="12" t="n"/>
      <c r="W2198" s="13" t="n"/>
      <c r="X2198" s="14">
        <f>IF($AP2198="",IF($B2198="","",$H2198),IF(INDEX(職員マスタ!$B$6:$B$405,$AP2198)="",$H2198,INDEX(職員マスタ!$B$6:$B$405,$AP2198)))</f>
        <v/>
      </c>
      <c r="Y2198" s="14">
        <f>IF($AP2198="",IF($B2198="","",$R2198),IF(INDEX(職員マスタ!$C$6:$C$405,$AP2198)="",$R2198,INDEX(職員マスタ!$C$6:$C$405,$AP2198)))</f>
        <v/>
      </c>
      <c r="Z2198" s="14">
        <f>IF($AQ2198="","","R"&amp;$C2198&amp;"."&amp;$D2198)</f>
        <v/>
      </c>
      <c r="AA2198" s="15">
        <f>IF(IF($AP2198="",FALSE,INDEX(職員マスタ!$K$6:$K$405,$AP2198)&lt;&gt;""),INDEX(職員マスタ!$K$6:$K$405,$AP2198),IF(N($W2198)&gt;0,$W2198,""))</f>
        <v/>
      </c>
      <c r="AB2198" s="14">
        <f>IF(OR($E2198="",$AA2198=""),"",IF($E2198&gt;=$AA2198,"×",IF($E2198&gt;=$AA2198*設定!$C$5,"△","○")))</f>
        <v/>
      </c>
      <c r="AC2198" s="15">
        <f>IF($AB2198="","",IF($AB2198="×",0,IF($AB2198="○",ROUNDDOWN($E2198*設定!$C$4,0),ROUNDDOWN($E2198*ROUND((9*$AA2198-9*$E2198)/(10*$E2198),4),0))))</f>
        <v/>
      </c>
      <c r="AD2198" s="13" t="n"/>
      <c r="AE2198" s="15">
        <f>IF($B2198="","",IF($AD2198&lt;&gt;"",$AD2198,IF($AC2198="","",IF($AC2198&lt;=設定!$C$3,0,$AC2198))))</f>
        <v/>
      </c>
      <c r="AF2198" s="14">
        <f>IF($B2198="","",IF(AND($AG2198&lt;&gt;"",$AI2198="",$AL2198=""),"保留中",IF($AL2198&lt;&gt;"",IF(N($AE2198)&gt;0,"支給済","不支給"),IF($AE2198="","要確認",IF($AE2198=0,"不支給","未処理")))))</f>
        <v/>
      </c>
      <c r="AG2198" s="12" t="n"/>
      <c r="AH2198" s="11" t="n"/>
      <c r="AI2198" s="11" t="n"/>
      <c r="AJ2198" s="11" t="n"/>
      <c r="AK2198" s="14">
        <f>IF(AND($AF2198="保留中",$AH2198&lt;&gt;""),TODAY()-$AH2198,"")</f>
        <v/>
      </c>
      <c r="AL2198" s="12" t="n"/>
      <c r="AM2198" s="14">
        <f>IF($B2198="","",IF($AQ2198="","対象年月が未入力／","")&amp;IF($B2198="","",IF($AP2198="","職員マスタに未登録の職員番号／",IF($AA2198="","標準報酬月額が未登録／","")&amp;IF(AND($AQ2198&lt;&gt;"",OR(AND(INDEX(職員マスタ!$G$6:$G$405,$AP2198)&lt;&gt;"",INDEX(職員マスタ!$G$6:$G$405,$AP2198)&gt;EOMONTH($AQ2198,0)),AND(INDEX(職員マスタ!$H$6:$H$405,$AP2198)&lt;&gt;"",INDEX(職員マスタ!$H$6:$H$405,$AP2198)&lt;$AQ2198))),"対象月が時短期間外／","")&amp;IF(AND(INDEX(職員マスタ!$K$6:$K$405,$AP2198)&lt;&gt;"",N($W2198)&gt;0,INDEX(職員マスタ!$K$6:$K$405,$AP2198)&lt;&gt;$W2198),"標準報酬月額が申請書と相違（台帳"&amp;TEXT(INDEX(職員マスタ!$K$6:$K$405,$AP2198),"#,##0")&amp;"円／申請書"&amp;TEXT($W2198,"#,##0")&amp;"円）／","")&amp;IF(AND(INDEX(職員マスタ!$F$6:$F$405,$AP2198)&lt;&gt;"",$AQ2198&lt;&gt;"",INDEX(職員マスタ!$F$6:$F$405,$AP2198)&lt;$AQ2198),"対象月に子が2歳到達済／","")&amp;IF(AND($H2198&lt;&gt;"",INDEX(職員マスタ!$B$6:$B$405,$AP2198)&lt;&gt;"",SUBSTITUTE(SUBSTITUTE($H2198," ","")," ","")&lt;&gt;SUBSTITUTE(SUBSTITUTE(INDEX(職員マスタ!$B$6:$B$405,$AP2198)," ","")," ","")),"氏名がマスタと相違／","")&amp;IF(AND($Q2198&lt;&gt;"",INDEX(職員マスタ!$E$6:$E$405,$AP2198)&lt;&gt;"",$Q2198&lt;&gt;INDEX(職員マスタ!$E$6:$E$405,$AP2198)),"子の生年月日がマスタと相違／","")&amp;IF(AND($L2198&lt;&gt;"",INDEX(職員マスタ!$G$6:$G$405,$AP2198)&lt;&gt;"",$L2198&lt;&gt;INDEX(職員マスタ!$G$6:$G$405,$AP2198)),"時短開始日がマスタと相違／","")&amp;IF(AND($M2198&lt;&gt;"",INDEX(職員マスタ!$H$6:$H$405,$AP2198)&lt;&gt;"",$M2198&lt;&gt;INDEX(職員マスタ!$H$6:$H$405,$AP2198)),"時短終了日がマスタと相違／","")))&amp;IF(AND($B2198&lt;&gt;"",$E2198=""),"報酬額が未入力／","")&amp;IF(N($U2198)&gt;0,"申請書に入力エラーが残っています／","")&amp;IF(AND($B2198&lt;&gt;"",$AQ2198&lt;&gt;""),IF(COUNTIFS($B$6:$B$3005,$B2198,$C$6:$C$3005,$C2198,$D$6:$D$3005,$D2198)&gt;1,"同じ月の請求が重複しています／",""),"")&amp;IF(AND(N($E2198)&gt;0,$AB2198&lt;&gt;"",$AB2198&lt;&gt;"×",$AE2198=0,$AD2198=""),"計算額が下限以下のため不支給／",""))</f>
        <v/>
      </c>
      <c r="AN2198" s="12" t="n"/>
      <c r="AO2198" s="14">
        <f>IF($AF2198="保留中",COUNTIF($AF$6:$AF2198,"保留中"),"")</f>
        <v/>
      </c>
      <c r="AP2198" s="14">
        <f>IF($AQ2198="","",IF(SUMPRODUCT(MAX((職員マスタ!$A$6:$A$405=$B2198)*(((職員マスタ!$G$6:$G$405="")+(職員マスタ!$G$6:$G$405&lt;=EOMONTH($AQ2198,0)))&gt;0)*(((職員マスタ!$H$6:$H$405="")+(職員マスタ!$H$6:$H$405&gt;=$AQ2198))&gt;0)*(ROW(職員マスタ!$A$6:$A$405)-5)))&gt;0,SUMPRODUCT(MAX((職員マスタ!$A$6:$A$405=$B2198)*(((職員マスタ!$G$6:$G$405="")+(職員マスタ!$G$6:$G$405&lt;=EOMONTH($AQ2198,0)))&gt;0)*(((職員マスタ!$H$6:$H$405="")+(職員マスタ!$H$6:$H$405&gt;=$AQ2198))&gt;0)*(ROW(職員マスタ!$A$6:$A$405)-5))),IFERROR(MATCH($B2198,職員マスタ!$A$6:$A$405,0),"")))</f>
        <v/>
      </c>
      <c r="AQ2198" s="16">
        <f>IF(OR($B2198="",$C2198="",$D2198=""),"",DATE($C2198+2018,$D2198,1))</f>
        <v/>
      </c>
    </row>
    <row r="2199">
      <c r="A2199" s="11" t="n"/>
      <c r="B2199" s="12" t="n"/>
      <c r="C2199" s="12" t="n"/>
      <c r="D2199" s="12" t="n"/>
      <c r="E2199" s="13" t="n"/>
      <c r="F2199" s="12" t="n"/>
      <c r="G2199" s="13" t="n"/>
      <c r="H2199" s="12" t="n"/>
      <c r="I2199" s="12" t="n"/>
      <c r="J2199" s="12" t="n"/>
      <c r="K2199" s="12" t="n"/>
      <c r="L2199" s="11" t="n"/>
      <c r="M2199" s="11" t="n"/>
      <c r="N2199" s="11" t="n"/>
      <c r="O2199" s="11" t="n"/>
      <c r="P2199" s="12" t="n"/>
      <c r="Q2199" s="11" t="n"/>
      <c r="R2199" s="12" t="n"/>
      <c r="S2199" s="11" t="n"/>
      <c r="T2199" s="12" t="n"/>
      <c r="U2199" s="12" t="n"/>
      <c r="V2199" s="12" t="n"/>
      <c r="W2199" s="13" t="n"/>
      <c r="X2199" s="14">
        <f>IF($AP2199="",IF($B2199="","",$H2199),IF(INDEX(職員マスタ!$B$6:$B$405,$AP2199)="",$H2199,INDEX(職員マスタ!$B$6:$B$405,$AP2199)))</f>
        <v/>
      </c>
      <c r="Y2199" s="14">
        <f>IF($AP2199="",IF($B2199="","",$R2199),IF(INDEX(職員マスタ!$C$6:$C$405,$AP2199)="",$R2199,INDEX(職員マスタ!$C$6:$C$405,$AP2199)))</f>
        <v/>
      </c>
      <c r="Z2199" s="14">
        <f>IF($AQ2199="","","R"&amp;$C2199&amp;"."&amp;$D2199)</f>
        <v/>
      </c>
      <c r="AA2199" s="15">
        <f>IF(IF($AP2199="",FALSE,INDEX(職員マスタ!$K$6:$K$405,$AP2199)&lt;&gt;""),INDEX(職員マスタ!$K$6:$K$405,$AP2199),IF(N($W2199)&gt;0,$W2199,""))</f>
        <v/>
      </c>
      <c r="AB2199" s="14">
        <f>IF(OR($E2199="",$AA2199=""),"",IF($E2199&gt;=$AA2199,"×",IF($E2199&gt;=$AA2199*設定!$C$5,"△","○")))</f>
        <v/>
      </c>
      <c r="AC2199" s="15">
        <f>IF($AB2199="","",IF($AB2199="×",0,IF($AB2199="○",ROUNDDOWN($E2199*設定!$C$4,0),ROUNDDOWN($E2199*ROUND((9*$AA2199-9*$E2199)/(10*$E2199),4),0))))</f>
        <v/>
      </c>
      <c r="AD2199" s="13" t="n"/>
      <c r="AE2199" s="15">
        <f>IF($B2199="","",IF($AD2199&lt;&gt;"",$AD2199,IF($AC2199="","",IF($AC2199&lt;=設定!$C$3,0,$AC2199))))</f>
        <v/>
      </c>
      <c r="AF2199" s="14">
        <f>IF($B2199="","",IF(AND($AG2199&lt;&gt;"",$AI2199="",$AL2199=""),"保留中",IF($AL2199&lt;&gt;"",IF(N($AE2199)&gt;0,"支給済","不支給"),IF($AE2199="","要確認",IF($AE2199=0,"不支給","未処理")))))</f>
        <v/>
      </c>
      <c r="AG2199" s="12" t="n"/>
      <c r="AH2199" s="11" t="n"/>
      <c r="AI2199" s="11" t="n"/>
      <c r="AJ2199" s="11" t="n"/>
      <c r="AK2199" s="14">
        <f>IF(AND($AF2199="保留中",$AH2199&lt;&gt;""),TODAY()-$AH2199,"")</f>
        <v/>
      </c>
      <c r="AL2199" s="12" t="n"/>
      <c r="AM2199" s="14">
        <f>IF($B2199="","",IF($AQ2199="","対象年月が未入力／","")&amp;IF($B2199="","",IF($AP2199="","職員マスタに未登録の職員番号／",IF($AA2199="","標準報酬月額が未登録／","")&amp;IF(AND($AQ2199&lt;&gt;"",OR(AND(INDEX(職員マスタ!$G$6:$G$405,$AP2199)&lt;&gt;"",INDEX(職員マスタ!$G$6:$G$405,$AP2199)&gt;EOMONTH($AQ2199,0)),AND(INDEX(職員マスタ!$H$6:$H$405,$AP2199)&lt;&gt;"",INDEX(職員マスタ!$H$6:$H$405,$AP2199)&lt;$AQ2199))),"対象月が時短期間外／","")&amp;IF(AND(INDEX(職員マスタ!$K$6:$K$405,$AP2199)&lt;&gt;"",N($W2199)&gt;0,INDEX(職員マスタ!$K$6:$K$405,$AP2199)&lt;&gt;$W2199),"標準報酬月額が申請書と相違（台帳"&amp;TEXT(INDEX(職員マスタ!$K$6:$K$405,$AP2199),"#,##0")&amp;"円／申請書"&amp;TEXT($W2199,"#,##0")&amp;"円）／","")&amp;IF(AND(INDEX(職員マスタ!$F$6:$F$405,$AP2199)&lt;&gt;"",$AQ2199&lt;&gt;"",INDEX(職員マスタ!$F$6:$F$405,$AP2199)&lt;$AQ2199),"対象月に子が2歳到達済／","")&amp;IF(AND($H2199&lt;&gt;"",INDEX(職員マスタ!$B$6:$B$405,$AP2199)&lt;&gt;"",SUBSTITUTE(SUBSTITUTE($H2199," ","")," ","")&lt;&gt;SUBSTITUTE(SUBSTITUTE(INDEX(職員マスタ!$B$6:$B$405,$AP2199)," ","")," ","")),"氏名がマスタと相違／","")&amp;IF(AND($Q2199&lt;&gt;"",INDEX(職員マスタ!$E$6:$E$405,$AP2199)&lt;&gt;"",$Q2199&lt;&gt;INDEX(職員マスタ!$E$6:$E$405,$AP2199)),"子の生年月日がマスタと相違／","")&amp;IF(AND($L2199&lt;&gt;"",INDEX(職員マスタ!$G$6:$G$405,$AP2199)&lt;&gt;"",$L2199&lt;&gt;INDEX(職員マスタ!$G$6:$G$405,$AP2199)),"時短開始日がマスタと相違／","")&amp;IF(AND($M2199&lt;&gt;"",INDEX(職員マスタ!$H$6:$H$405,$AP2199)&lt;&gt;"",$M2199&lt;&gt;INDEX(職員マスタ!$H$6:$H$405,$AP2199)),"時短終了日がマスタと相違／","")))&amp;IF(AND($B2199&lt;&gt;"",$E2199=""),"報酬額が未入力／","")&amp;IF(N($U2199)&gt;0,"申請書に入力エラーが残っています／","")&amp;IF(AND($B2199&lt;&gt;"",$AQ2199&lt;&gt;""),IF(COUNTIFS($B$6:$B$3005,$B2199,$C$6:$C$3005,$C2199,$D$6:$D$3005,$D2199)&gt;1,"同じ月の請求が重複しています／",""),"")&amp;IF(AND(N($E2199)&gt;0,$AB2199&lt;&gt;"",$AB2199&lt;&gt;"×",$AE2199=0,$AD2199=""),"計算額が下限以下のため不支給／",""))</f>
        <v/>
      </c>
      <c r="AN2199" s="12" t="n"/>
      <c r="AO2199" s="14">
        <f>IF($AF2199="保留中",COUNTIF($AF$6:$AF2199,"保留中"),"")</f>
        <v/>
      </c>
      <c r="AP2199" s="14">
        <f>IF($AQ2199="","",IF(SUMPRODUCT(MAX((職員マスタ!$A$6:$A$405=$B2199)*(((職員マスタ!$G$6:$G$405="")+(職員マスタ!$G$6:$G$405&lt;=EOMONTH($AQ2199,0)))&gt;0)*(((職員マスタ!$H$6:$H$405="")+(職員マスタ!$H$6:$H$405&gt;=$AQ2199))&gt;0)*(ROW(職員マスタ!$A$6:$A$405)-5)))&gt;0,SUMPRODUCT(MAX((職員マスタ!$A$6:$A$405=$B2199)*(((職員マスタ!$G$6:$G$405="")+(職員マスタ!$G$6:$G$405&lt;=EOMONTH($AQ2199,0)))&gt;0)*(((職員マスタ!$H$6:$H$405="")+(職員マスタ!$H$6:$H$405&gt;=$AQ2199))&gt;0)*(ROW(職員マスタ!$A$6:$A$405)-5))),IFERROR(MATCH($B2199,職員マスタ!$A$6:$A$405,0),"")))</f>
        <v/>
      </c>
      <c r="AQ2199" s="16">
        <f>IF(OR($B2199="",$C2199="",$D2199=""),"",DATE($C2199+2018,$D2199,1))</f>
        <v/>
      </c>
    </row>
    <row r="2200">
      <c r="A2200" s="11" t="n"/>
      <c r="B2200" s="12" t="n"/>
      <c r="C2200" s="12" t="n"/>
      <c r="D2200" s="12" t="n"/>
      <c r="E2200" s="13" t="n"/>
      <c r="F2200" s="12" t="n"/>
      <c r="G2200" s="13" t="n"/>
      <c r="H2200" s="12" t="n"/>
      <c r="I2200" s="12" t="n"/>
      <c r="J2200" s="12" t="n"/>
      <c r="K2200" s="12" t="n"/>
      <c r="L2200" s="11" t="n"/>
      <c r="M2200" s="11" t="n"/>
      <c r="N2200" s="11" t="n"/>
      <c r="O2200" s="11" t="n"/>
      <c r="P2200" s="12" t="n"/>
      <c r="Q2200" s="11" t="n"/>
      <c r="R2200" s="12" t="n"/>
      <c r="S2200" s="11" t="n"/>
      <c r="T2200" s="12" t="n"/>
      <c r="U2200" s="12" t="n"/>
      <c r="V2200" s="12" t="n"/>
      <c r="W2200" s="13" t="n"/>
      <c r="X2200" s="14">
        <f>IF($AP2200="",IF($B2200="","",$H2200),IF(INDEX(職員マスタ!$B$6:$B$405,$AP2200)="",$H2200,INDEX(職員マスタ!$B$6:$B$405,$AP2200)))</f>
        <v/>
      </c>
      <c r="Y2200" s="14">
        <f>IF($AP2200="",IF($B2200="","",$R2200),IF(INDEX(職員マスタ!$C$6:$C$405,$AP2200)="",$R2200,INDEX(職員マスタ!$C$6:$C$405,$AP2200)))</f>
        <v/>
      </c>
      <c r="Z2200" s="14">
        <f>IF($AQ2200="","","R"&amp;$C2200&amp;"."&amp;$D2200)</f>
        <v/>
      </c>
      <c r="AA2200" s="15">
        <f>IF(IF($AP2200="",FALSE,INDEX(職員マスタ!$K$6:$K$405,$AP2200)&lt;&gt;""),INDEX(職員マスタ!$K$6:$K$405,$AP2200),IF(N($W2200)&gt;0,$W2200,""))</f>
        <v/>
      </c>
      <c r="AB2200" s="14">
        <f>IF(OR($E2200="",$AA2200=""),"",IF($E2200&gt;=$AA2200,"×",IF($E2200&gt;=$AA2200*設定!$C$5,"△","○")))</f>
        <v/>
      </c>
      <c r="AC2200" s="15">
        <f>IF($AB2200="","",IF($AB2200="×",0,IF($AB2200="○",ROUNDDOWN($E2200*設定!$C$4,0),ROUNDDOWN($E2200*ROUND((9*$AA2200-9*$E2200)/(10*$E2200),4),0))))</f>
        <v/>
      </c>
      <c r="AD2200" s="13" t="n"/>
      <c r="AE2200" s="15">
        <f>IF($B2200="","",IF($AD2200&lt;&gt;"",$AD2200,IF($AC2200="","",IF($AC2200&lt;=設定!$C$3,0,$AC2200))))</f>
        <v/>
      </c>
      <c r="AF2200" s="14">
        <f>IF($B2200="","",IF(AND($AG2200&lt;&gt;"",$AI2200="",$AL2200=""),"保留中",IF($AL2200&lt;&gt;"",IF(N($AE2200)&gt;0,"支給済","不支給"),IF($AE2200="","要確認",IF($AE2200=0,"不支給","未処理")))))</f>
        <v/>
      </c>
      <c r="AG2200" s="12" t="n"/>
      <c r="AH2200" s="11" t="n"/>
      <c r="AI2200" s="11" t="n"/>
      <c r="AJ2200" s="11" t="n"/>
      <c r="AK2200" s="14">
        <f>IF(AND($AF2200="保留中",$AH2200&lt;&gt;""),TODAY()-$AH2200,"")</f>
        <v/>
      </c>
      <c r="AL2200" s="12" t="n"/>
      <c r="AM2200" s="14">
        <f>IF($B2200="","",IF($AQ2200="","対象年月が未入力／","")&amp;IF($B2200="","",IF($AP2200="","職員マスタに未登録の職員番号／",IF($AA2200="","標準報酬月額が未登録／","")&amp;IF(AND($AQ2200&lt;&gt;"",OR(AND(INDEX(職員マスタ!$G$6:$G$405,$AP2200)&lt;&gt;"",INDEX(職員マスタ!$G$6:$G$405,$AP2200)&gt;EOMONTH($AQ2200,0)),AND(INDEX(職員マスタ!$H$6:$H$405,$AP2200)&lt;&gt;"",INDEX(職員マスタ!$H$6:$H$405,$AP2200)&lt;$AQ2200))),"対象月が時短期間外／","")&amp;IF(AND(INDEX(職員マスタ!$K$6:$K$405,$AP2200)&lt;&gt;"",N($W2200)&gt;0,INDEX(職員マスタ!$K$6:$K$405,$AP2200)&lt;&gt;$W2200),"標準報酬月額が申請書と相違（台帳"&amp;TEXT(INDEX(職員マスタ!$K$6:$K$405,$AP2200),"#,##0")&amp;"円／申請書"&amp;TEXT($W2200,"#,##0")&amp;"円）／","")&amp;IF(AND(INDEX(職員マスタ!$F$6:$F$405,$AP2200)&lt;&gt;"",$AQ2200&lt;&gt;"",INDEX(職員マスタ!$F$6:$F$405,$AP2200)&lt;$AQ2200),"対象月に子が2歳到達済／","")&amp;IF(AND($H2200&lt;&gt;"",INDEX(職員マスタ!$B$6:$B$405,$AP2200)&lt;&gt;"",SUBSTITUTE(SUBSTITUTE($H2200," ","")," ","")&lt;&gt;SUBSTITUTE(SUBSTITUTE(INDEX(職員マスタ!$B$6:$B$405,$AP2200)," ","")," ","")),"氏名がマスタと相違／","")&amp;IF(AND($Q2200&lt;&gt;"",INDEX(職員マスタ!$E$6:$E$405,$AP2200)&lt;&gt;"",$Q2200&lt;&gt;INDEX(職員マスタ!$E$6:$E$405,$AP2200)),"子の生年月日がマスタと相違／","")&amp;IF(AND($L2200&lt;&gt;"",INDEX(職員マスタ!$G$6:$G$405,$AP2200)&lt;&gt;"",$L2200&lt;&gt;INDEX(職員マスタ!$G$6:$G$405,$AP2200)),"時短開始日がマスタと相違／","")&amp;IF(AND($M2200&lt;&gt;"",INDEX(職員マスタ!$H$6:$H$405,$AP2200)&lt;&gt;"",$M2200&lt;&gt;INDEX(職員マスタ!$H$6:$H$405,$AP2200)),"時短終了日がマスタと相違／","")))&amp;IF(AND($B2200&lt;&gt;"",$E2200=""),"報酬額が未入力／","")&amp;IF(N($U2200)&gt;0,"申請書に入力エラーが残っています／","")&amp;IF(AND($B2200&lt;&gt;"",$AQ2200&lt;&gt;""),IF(COUNTIFS($B$6:$B$3005,$B2200,$C$6:$C$3005,$C2200,$D$6:$D$3005,$D2200)&gt;1,"同じ月の請求が重複しています／",""),"")&amp;IF(AND(N($E2200)&gt;0,$AB2200&lt;&gt;"",$AB2200&lt;&gt;"×",$AE2200=0,$AD2200=""),"計算額が下限以下のため不支給／",""))</f>
        <v/>
      </c>
      <c r="AN2200" s="12" t="n"/>
      <c r="AO2200" s="14">
        <f>IF($AF2200="保留中",COUNTIF($AF$6:$AF2200,"保留中"),"")</f>
        <v/>
      </c>
      <c r="AP2200" s="14">
        <f>IF($AQ2200="","",IF(SUMPRODUCT(MAX((職員マスタ!$A$6:$A$405=$B2200)*(((職員マスタ!$G$6:$G$405="")+(職員マスタ!$G$6:$G$405&lt;=EOMONTH($AQ2200,0)))&gt;0)*(((職員マスタ!$H$6:$H$405="")+(職員マスタ!$H$6:$H$405&gt;=$AQ2200))&gt;0)*(ROW(職員マスタ!$A$6:$A$405)-5)))&gt;0,SUMPRODUCT(MAX((職員マスタ!$A$6:$A$405=$B2200)*(((職員マスタ!$G$6:$G$405="")+(職員マスタ!$G$6:$G$405&lt;=EOMONTH($AQ2200,0)))&gt;0)*(((職員マスタ!$H$6:$H$405="")+(職員マスタ!$H$6:$H$405&gt;=$AQ2200))&gt;0)*(ROW(職員マスタ!$A$6:$A$405)-5))),IFERROR(MATCH($B2200,職員マスタ!$A$6:$A$405,0),"")))</f>
        <v/>
      </c>
      <c r="AQ2200" s="16">
        <f>IF(OR($B2200="",$C2200="",$D2200=""),"",DATE($C2200+2018,$D2200,1))</f>
        <v/>
      </c>
    </row>
    <row r="2201">
      <c r="A2201" s="11" t="n"/>
      <c r="B2201" s="12" t="n"/>
      <c r="C2201" s="12" t="n"/>
      <c r="D2201" s="12" t="n"/>
      <c r="E2201" s="13" t="n"/>
      <c r="F2201" s="12" t="n"/>
      <c r="G2201" s="13" t="n"/>
      <c r="H2201" s="12" t="n"/>
      <c r="I2201" s="12" t="n"/>
      <c r="J2201" s="12" t="n"/>
      <c r="K2201" s="12" t="n"/>
      <c r="L2201" s="11" t="n"/>
      <c r="M2201" s="11" t="n"/>
      <c r="N2201" s="11" t="n"/>
      <c r="O2201" s="11" t="n"/>
      <c r="P2201" s="12" t="n"/>
      <c r="Q2201" s="11" t="n"/>
      <c r="R2201" s="12" t="n"/>
      <c r="S2201" s="11" t="n"/>
      <c r="T2201" s="12" t="n"/>
      <c r="U2201" s="12" t="n"/>
      <c r="V2201" s="12" t="n"/>
      <c r="W2201" s="13" t="n"/>
      <c r="X2201" s="14">
        <f>IF($AP2201="",IF($B2201="","",$H2201),IF(INDEX(職員マスタ!$B$6:$B$405,$AP2201)="",$H2201,INDEX(職員マスタ!$B$6:$B$405,$AP2201)))</f>
        <v/>
      </c>
      <c r="Y2201" s="14">
        <f>IF($AP2201="",IF($B2201="","",$R2201),IF(INDEX(職員マスタ!$C$6:$C$405,$AP2201)="",$R2201,INDEX(職員マスタ!$C$6:$C$405,$AP2201)))</f>
        <v/>
      </c>
      <c r="Z2201" s="14">
        <f>IF($AQ2201="","","R"&amp;$C2201&amp;"."&amp;$D2201)</f>
        <v/>
      </c>
      <c r="AA2201" s="15">
        <f>IF(IF($AP2201="",FALSE,INDEX(職員マスタ!$K$6:$K$405,$AP2201)&lt;&gt;""),INDEX(職員マスタ!$K$6:$K$405,$AP2201),IF(N($W2201)&gt;0,$W2201,""))</f>
        <v/>
      </c>
      <c r="AB2201" s="14">
        <f>IF(OR($E2201="",$AA2201=""),"",IF($E2201&gt;=$AA2201,"×",IF($E2201&gt;=$AA2201*設定!$C$5,"△","○")))</f>
        <v/>
      </c>
      <c r="AC2201" s="15">
        <f>IF($AB2201="","",IF($AB2201="×",0,IF($AB2201="○",ROUNDDOWN($E2201*設定!$C$4,0),ROUNDDOWN($E2201*ROUND((9*$AA2201-9*$E2201)/(10*$E2201),4),0))))</f>
        <v/>
      </c>
      <c r="AD2201" s="13" t="n"/>
      <c r="AE2201" s="15">
        <f>IF($B2201="","",IF($AD2201&lt;&gt;"",$AD2201,IF($AC2201="","",IF($AC2201&lt;=設定!$C$3,0,$AC2201))))</f>
        <v/>
      </c>
      <c r="AF2201" s="14">
        <f>IF($B2201="","",IF(AND($AG2201&lt;&gt;"",$AI2201="",$AL2201=""),"保留中",IF($AL2201&lt;&gt;"",IF(N($AE2201)&gt;0,"支給済","不支給"),IF($AE2201="","要確認",IF($AE2201=0,"不支給","未処理")))))</f>
        <v/>
      </c>
      <c r="AG2201" s="12" t="n"/>
      <c r="AH2201" s="11" t="n"/>
      <c r="AI2201" s="11" t="n"/>
      <c r="AJ2201" s="11" t="n"/>
      <c r="AK2201" s="14">
        <f>IF(AND($AF2201="保留中",$AH2201&lt;&gt;""),TODAY()-$AH2201,"")</f>
        <v/>
      </c>
      <c r="AL2201" s="12" t="n"/>
      <c r="AM2201" s="14">
        <f>IF($B2201="","",IF($AQ2201="","対象年月が未入力／","")&amp;IF($B2201="","",IF($AP2201="","職員マスタに未登録の職員番号／",IF($AA2201="","標準報酬月額が未登録／","")&amp;IF(AND($AQ2201&lt;&gt;"",OR(AND(INDEX(職員マスタ!$G$6:$G$405,$AP2201)&lt;&gt;"",INDEX(職員マスタ!$G$6:$G$405,$AP2201)&gt;EOMONTH($AQ2201,0)),AND(INDEX(職員マスタ!$H$6:$H$405,$AP2201)&lt;&gt;"",INDEX(職員マスタ!$H$6:$H$405,$AP2201)&lt;$AQ2201))),"対象月が時短期間外／","")&amp;IF(AND(INDEX(職員マスタ!$K$6:$K$405,$AP2201)&lt;&gt;"",N($W2201)&gt;0,INDEX(職員マスタ!$K$6:$K$405,$AP2201)&lt;&gt;$W2201),"標準報酬月額が申請書と相違（台帳"&amp;TEXT(INDEX(職員マスタ!$K$6:$K$405,$AP2201),"#,##0")&amp;"円／申請書"&amp;TEXT($W2201,"#,##0")&amp;"円）／","")&amp;IF(AND(INDEX(職員マスタ!$F$6:$F$405,$AP2201)&lt;&gt;"",$AQ2201&lt;&gt;"",INDEX(職員マスタ!$F$6:$F$405,$AP2201)&lt;$AQ2201),"対象月に子が2歳到達済／","")&amp;IF(AND($H2201&lt;&gt;"",INDEX(職員マスタ!$B$6:$B$405,$AP2201)&lt;&gt;"",SUBSTITUTE(SUBSTITUTE($H2201," ","")," ","")&lt;&gt;SUBSTITUTE(SUBSTITUTE(INDEX(職員マスタ!$B$6:$B$405,$AP2201)," ","")," ","")),"氏名がマスタと相違／","")&amp;IF(AND($Q2201&lt;&gt;"",INDEX(職員マスタ!$E$6:$E$405,$AP2201)&lt;&gt;"",$Q2201&lt;&gt;INDEX(職員マスタ!$E$6:$E$405,$AP2201)),"子の生年月日がマスタと相違／","")&amp;IF(AND($L2201&lt;&gt;"",INDEX(職員マスタ!$G$6:$G$405,$AP2201)&lt;&gt;"",$L2201&lt;&gt;INDEX(職員マスタ!$G$6:$G$405,$AP2201)),"時短開始日がマスタと相違／","")&amp;IF(AND($M2201&lt;&gt;"",INDEX(職員マスタ!$H$6:$H$405,$AP2201)&lt;&gt;"",$M2201&lt;&gt;INDEX(職員マスタ!$H$6:$H$405,$AP2201)),"時短終了日がマスタと相違／","")))&amp;IF(AND($B2201&lt;&gt;"",$E2201=""),"報酬額が未入力／","")&amp;IF(N($U2201)&gt;0,"申請書に入力エラーが残っています／","")&amp;IF(AND($B2201&lt;&gt;"",$AQ2201&lt;&gt;""),IF(COUNTIFS($B$6:$B$3005,$B2201,$C$6:$C$3005,$C2201,$D$6:$D$3005,$D2201)&gt;1,"同じ月の請求が重複しています／",""),"")&amp;IF(AND(N($E2201)&gt;0,$AB2201&lt;&gt;"",$AB2201&lt;&gt;"×",$AE2201=0,$AD2201=""),"計算額が下限以下のため不支給／",""))</f>
        <v/>
      </c>
      <c r="AN2201" s="12" t="n"/>
      <c r="AO2201" s="14">
        <f>IF($AF2201="保留中",COUNTIF($AF$6:$AF2201,"保留中"),"")</f>
        <v/>
      </c>
      <c r="AP2201" s="14">
        <f>IF($AQ2201="","",IF(SUMPRODUCT(MAX((職員マスタ!$A$6:$A$405=$B2201)*(((職員マスタ!$G$6:$G$405="")+(職員マスタ!$G$6:$G$405&lt;=EOMONTH($AQ2201,0)))&gt;0)*(((職員マスタ!$H$6:$H$405="")+(職員マスタ!$H$6:$H$405&gt;=$AQ2201))&gt;0)*(ROW(職員マスタ!$A$6:$A$405)-5)))&gt;0,SUMPRODUCT(MAX((職員マスタ!$A$6:$A$405=$B2201)*(((職員マスタ!$G$6:$G$405="")+(職員マスタ!$G$6:$G$405&lt;=EOMONTH($AQ2201,0)))&gt;0)*(((職員マスタ!$H$6:$H$405="")+(職員マスタ!$H$6:$H$405&gt;=$AQ2201))&gt;0)*(ROW(職員マスタ!$A$6:$A$405)-5))),IFERROR(MATCH($B2201,職員マスタ!$A$6:$A$405,0),"")))</f>
        <v/>
      </c>
      <c r="AQ2201" s="16">
        <f>IF(OR($B2201="",$C2201="",$D2201=""),"",DATE($C2201+2018,$D2201,1))</f>
        <v/>
      </c>
    </row>
    <row r="2202">
      <c r="A2202" s="11" t="n"/>
      <c r="B2202" s="12" t="n"/>
      <c r="C2202" s="12" t="n"/>
      <c r="D2202" s="12" t="n"/>
      <c r="E2202" s="13" t="n"/>
      <c r="F2202" s="12" t="n"/>
      <c r="G2202" s="13" t="n"/>
      <c r="H2202" s="12" t="n"/>
      <c r="I2202" s="12" t="n"/>
      <c r="J2202" s="12" t="n"/>
      <c r="K2202" s="12" t="n"/>
      <c r="L2202" s="11" t="n"/>
      <c r="M2202" s="11" t="n"/>
      <c r="N2202" s="11" t="n"/>
      <c r="O2202" s="11" t="n"/>
      <c r="P2202" s="12" t="n"/>
      <c r="Q2202" s="11" t="n"/>
      <c r="R2202" s="12" t="n"/>
      <c r="S2202" s="11" t="n"/>
      <c r="T2202" s="12" t="n"/>
      <c r="U2202" s="12" t="n"/>
      <c r="V2202" s="12" t="n"/>
      <c r="W2202" s="13" t="n"/>
      <c r="X2202" s="14">
        <f>IF($AP2202="",IF($B2202="","",$H2202),IF(INDEX(職員マスタ!$B$6:$B$405,$AP2202)="",$H2202,INDEX(職員マスタ!$B$6:$B$405,$AP2202)))</f>
        <v/>
      </c>
      <c r="Y2202" s="14">
        <f>IF($AP2202="",IF($B2202="","",$R2202),IF(INDEX(職員マスタ!$C$6:$C$405,$AP2202)="",$R2202,INDEX(職員マスタ!$C$6:$C$405,$AP2202)))</f>
        <v/>
      </c>
      <c r="Z2202" s="14">
        <f>IF($AQ2202="","","R"&amp;$C2202&amp;"."&amp;$D2202)</f>
        <v/>
      </c>
      <c r="AA2202" s="15">
        <f>IF(IF($AP2202="",FALSE,INDEX(職員マスタ!$K$6:$K$405,$AP2202)&lt;&gt;""),INDEX(職員マスタ!$K$6:$K$405,$AP2202),IF(N($W2202)&gt;0,$W2202,""))</f>
        <v/>
      </c>
      <c r="AB2202" s="14">
        <f>IF(OR($E2202="",$AA2202=""),"",IF($E2202&gt;=$AA2202,"×",IF($E2202&gt;=$AA2202*設定!$C$5,"△","○")))</f>
        <v/>
      </c>
      <c r="AC2202" s="15">
        <f>IF($AB2202="","",IF($AB2202="×",0,IF($AB2202="○",ROUNDDOWN($E2202*設定!$C$4,0),ROUNDDOWN($E2202*ROUND((9*$AA2202-9*$E2202)/(10*$E2202),4),0))))</f>
        <v/>
      </c>
      <c r="AD2202" s="13" t="n"/>
      <c r="AE2202" s="15">
        <f>IF($B2202="","",IF($AD2202&lt;&gt;"",$AD2202,IF($AC2202="","",IF($AC2202&lt;=設定!$C$3,0,$AC2202))))</f>
        <v/>
      </c>
      <c r="AF2202" s="14">
        <f>IF($B2202="","",IF(AND($AG2202&lt;&gt;"",$AI2202="",$AL2202=""),"保留中",IF($AL2202&lt;&gt;"",IF(N($AE2202)&gt;0,"支給済","不支給"),IF($AE2202="","要確認",IF($AE2202=0,"不支給","未処理")))))</f>
        <v/>
      </c>
      <c r="AG2202" s="12" t="n"/>
      <c r="AH2202" s="11" t="n"/>
      <c r="AI2202" s="11" t="n"/>
      <c r="AJ2202" s="11" t="n"/>
      <c r="AK2202" s="14">
        <f>IF(AND($AF2202="保留中",$AH2202&lt;&gt;""),TODAY()-$AH2202,"")</f>
        <v/>
      </c>
      <c r="AL2202" s="12" t="n"/>
      <c r="AM2202" s="14">
        <f>IF($B2202="","",IF($AQ2202="","対象年月が未入力／","")&amp;IF($B2202="","",IF($AP2202="","職員マスタに未登録の職員番号／",IF($AA2202="","標準報酬月額が未登録／","")&amp;IF(AND($AQ2202&lt;&gt;"",OR(AND(INDEX(職員マスタ!$G$6:$G$405,$AP2202)&lt;&gt;"",INDEX(職員マスタ!$G$6:$G$405,$AP2202)&gt;EOMONTH($AQ2202,0)),AND(INDEX(職員マスタ!$H$6:$H$405,$AP2202)&lt;&gt;"",INDEX(職員マスタ!$H$6:$H$405,$AP2202)&lt;$AQ2202))),"対象月が時短期間外／","")&amp;IF(AND(INDEX(職員マスタ!$K$6:$K$405,$AP2202)&lt;&gt;"",N($W2202)&gt;0,INDEX(職員マスタ!$K$6:$K$405,$AP2202)&lt;&gt;$W2202),"標準報酬月額が申請書と相違（台帳"&amp;TEXT(INDEX(職員マスタ!$K$6:$K$405,$AP2202),"#,##0")&amp;"円／申請書"&amp;TEXT($W2202,"#,##0")&amp;"円）／","")&amp;IF(AND(INDEX(職員マスタ!$F$6:$F$405,$AP2202)&lt;&gt;"",$AQ2202&lt;&gt;"",INDEX(職員マスタ!$F$6:$F$405,$AP2202)&lt;$AQ2202),"対象月に子が2歳到達済／","")&amp;IF(AND($H2202&lt;&gt;"",INDEX(職員マスタ!$B$6:$B$405,$AP2202)&lt;&gt;"",SUBSTITUTE(SUBSTITUTE($H2202," ","")," ","")&lt;&gt;SUBSTITUTE(SUBSTITUTE(INDEX(職員マスタ!$B$6:$B$405,$AP2202)," ","")," ","")),"氏名がマスタと相違／","")&amp;IF(AND($Q2202&lt;&gt;"",INDEX(職員マスタ!$E$6:$E$405,$AP2202)&lt;&gt;"",$Q2202&lt;&gt;INDEX(職員マスタ!$E$6:$E$405,$AP2202)),"子の生年月日がマスタと相違／","")&amp;IF(AND($L2202&lt;&gt;"",INDEX(職員マスタ!$G$6:$G$405,$AP2202)&lt;&gt;"",$L2202&lt;&gt;INDEX(職員マスタ!$G$6:$G$405,$AP2202)),"時短開始日がマスタと相違／","")&amp;IF(AND($M2202&lt;&gt;"",INDEX(職員マスタ!$H$6:$H$405,$AP2202)&lt;&gt;"",$M2202&lt;&gt;INDEX(職員マスタ!$H$6:$H$405,$AP2202)),"時短終了日がマスタと相違／","")))&amp;IF(AND($B2202&lt;&gt;"",$E2202=""),"報酬額が未入力／","")&amp;IF(N($U2202)&gt;0,"申請書に入力エラーが残っています／","")&amp;IF(AND($B2202&lt;&gt;"",$AQ2202&lt;&gt;""),IF(COUNTIFS($B$6:$B$3005,$B2202,$C$6:$C$3005,$C2202,$D$6:$D$3005,$D2202)&gt;1,"同じ月の請求が重複しています／",""),"")&amp;IF(AND(N($E2202)&gt;0,$AB2202&lt;&gt;"",$AB2202&lt;&gt;"×",$AE2202=0,$AD2202=""),"計算額が下限以下のため不支給／",""))</f>
        <v/>
      </c>
      <c r="AN2202" s="12" t="n"/>
      <c r="AO2202" s="14">
        <f>IF($AF2202="保留中",COUNTIF($AF$6:$AF2202,"保留中"),"")</f>
        <v/>
      </c>
      <c r="AP2202" s="14">
        <f>IF($AQ2202="","",IF(SUMPRODUCT(MAX((職員マスタ!$A$6:$A$405=$B2202)*(((職員マスタ!$G$6:$G$405="")+(職員マスタ!$G$6:$G$405&lt;=EOMONTH($AQ2202,0)))&gt;0)*(((職員マスタ!$H$6:$H$405="")+(職員マスタ!$H$6:$H$405&gt;=$AQ2202))&gt;0)*(ROW(職員マスタ!$A$6:$A$405)-5)))&gt;0,SUMPRODUCT(MAX((職員マスタ!$A$6:$A$405=$B2202)*(((職員マスタ!$G$6:$G$405="")+(職員マスタ!$G$6:$G$405&lt;=EOMONTH($AQ2202,0)))&gt;0)*(((職員マスタ!$H$6:$H$405="")+(職員マスタ!$H$6:$H$405&gt;=$AQ2202))&gt;0)*(ROW(職員マスタ!$A$6:$A$405)-5))),IFERROR(MATCH($B2202,職員マスタ!$A$6:$A$405,0),"")))</f>
        <v/>
      </c>
      <c r="AQ2202" s="16">
        <f>IF(OR($B2202="",$C2202="",$D2202=""),"",DATE($C2202+2018,$D2202,1))</f>
        <v/>
      </c>
    </row>
    <row r="2203">
      <c r="A2203" s="11" t="n"/>
      <c r="B2203" s="12" t="n"/>
      <c r="C2203" s="12" t="n"/>
      <c r="D2203" s="12" t="n"/>
      <c r="E2203" s="13" t="n"/>
      <c r="F2203" s="12" t="n"/>
      <c r="G2203" s="13" t="n"/>
      <c r="H2203" s="12" t="n"/>
      <c r="I2203" s="12" t="n"/>
      <c r="J2203" s="12" t="n"/>
      <c r="K2203" s="12" t="n"/>
      <c r="L2203" s="11" t="n"/>
      <c r="M2203" s="11" t="n"/>
      <c r="N2203" s="11" t="n"/>
      <c r="O2203" s="11" t="n"/>
      <c r="P2203" s="12" t="n"/>
      <c r="Q2203" s="11" t="n"/>
      <c r="R2203" s="12" t="n"/>
      <c r="S2203" s="11" t="n"/>
      <c r="T2203" s="12" t="n"/>
      <c r="U2203" s="12" t="n"/>
      <c r="V2203" s="12" t="n"/>
      <c r="W2203" s="13" t="n"/>
      <c r="X2203" s="14">
        <f>IF($AP2203="",IF($B2203="","",$H2203),IF(INDEX(職員マスタ!$B$6:$B$405,$AP2203)="",$H2203,INDEX(職員マスタ!$B$6:$B$405,$AP2203)))</f>
        <v/>
      </c>
      <c r="Y2203" s="14">
        <f>IF($AP2203="",IF($B2203="","",$R2203),IF(INDEX(職員マスタ!$C$6:$C$405,$AP2203)="",$R2203,INDEX(職員マスタ!$C$6:$C$405,$AP2203)))</f>
        <v/>
      </c>
      <c r="Z2203" s="14">
        <f>IF($AQ2203="","","R"&amp;$C2203&amp;"."&amp;$D2203)</f>
        <v/>
      </c>
      <c r="AA2203" s="15">
        <f>IF(IF($AP2203="",FALSE,INDEX(職員マスタ!$K$6:$K$405,$AP2203)&lt;&gt;""),INDEX(職員マスタ!$K$6:$K$405,$AP2203),IF(N($W2203)&gt;0,$W2203,""))</f>
        <v/>
      </c>
      <c r="AB2203" s="14">
        <f>IF(OR($E2203="",$AA2203=""),"",IF($E2203&gt;=$AA2203,"×",IF($E2203&gt;=$AA2203*設定!$C$5,"△","○")))</f>
        <v/>
      </c>
      <c r="AC2203" s="15">
        <f>IF($AB2203="","",IF($AB2203="×",0,IF($AB2203="○",ROUNDDOWN($E2203*設定!$C$4,0),ROUNDDOWN($E2203*ROUND((9*$AA2203-9*$E2203)/(10*$E2203),4),0))))</f>
        <v/>
      </c>
      <c r="AD2203" s="13" t="n"/>
      <c r="AE2203" s="15">
        <f>IF($B2203="","",IF($AD2203&lt;&gt;"",$AD2203,IF($AC2203="","",IF($AC2203&lt;=設定!$C$3,0,$AC2203))))</f>
        <v/>
      </c>
      <c r="AF2203" s="14">
        <f>IF($B2203="","",IF(AND($AG2203&lt;&gt;"",$AI2203="",$AL2203=""),"保留中",IF($AL2203&lt;&gt;"",IF(N($AE2203)&gt;0,"支給済","不支給"),IF($AE2203="","要確認",IF($AE2203=0,"不支給","未処理")))))</f>
        <v/>
      </c>
      <c r="AG2203" s="12" t="n"/>
      <c r="AH2203" s="11" t="n"/>
      <c r="AI2203" s="11" t="n"/>
      <c r="AJ2203" s="11" t="n"/>
      <c r="AK2203" s="14">
        <f>IF(AND($AF2203="保留中",$AH2203&lt;&gt;""),TODAY()-$AH2203,"")</f>
        <v/>
      </c>
      <c r="AL2203" s="12" t="n"/>
      <c r="AM2203" s="14">
        <f>IF($B2203="","",IF($AQ2203="","対象年月が未入力／","")&amp;IF($B2203="","",IF($AP2203="","職員マスタに未登録の職員番号／",IF($AA2203="","標準報酬月額が未登録／","")&amp;IF(AND($AQ2203&lt;&gt;"",OR(AND(INDEX(職員マスタ!$G$6:$G$405,$AP2203)&lt;&gt;"",INDEX(職員マスタ!$G$6:$G$405,$AP2203)&gt;EOMONTH($AQ2203,0)),AND(INDEX(職員マスタ!$H$6:$H$405,$AP2203)&lt;&gt;"",INDEX(職員マスタ!$H$6:$H$405,$AP2203)&lt;$AQ2203))),"対象月が時短期間外／","")&amp;IF(AND(INDEX(職員マスタ!$K$6:$K$405,$AP2203)&lt;&gt;"",N($W2203)&gt;0,INDEX(職員マスタ!$K$6:$K$405,$AP2203)&lt;&gt;$W2203),"標準報酬月額が申請書と相違（台帳"&amp;TEXT(INDEX(職員マスタ!$K$6:$K$405,$AP2203),"#,##0")&amp;"円／申請書"&amp;TEXT($W2203,"#,##0")&amp;"円）／","")&amp;IF(AND(INDEX(職員マスタ!$F$6:$F$405,$AP2203)&lt;&gt;"",$AQ2203&lt;&gt;"",INDEX(職員マスタ!$F$6:$F$405,$AP2203)&lt;$AQ2203),"対象月に子が2歳到達済／","")&amp;IF(AND($H2203&lt;&gt;"",INDEX(職員マスタ!$B$6:$B$405,$AP2203)&lt;&gt;"",SUBSTITUTE(SUBSTITUTE($H2203," ","")," ","")&lt;&gt;SUBSTITUTE(SUBSTITUTE(INDEX(職員マスタ!$B$6:$B$405,$AP2203)," ","")," ","")),"氏名がマスタと相違／","")&amp;IF(AND($Q2203&lt;&gt;"",INDEX(職員マスタ!$E$6:$E$405,$AP2203)&lt;&gt;"",$Q2203&lt;&gt;INDEX(職員マスタ!$E$6:$E$405,$AP2203)),"子の生年月日がマスタと相違／","")&amp;IF(AND($L2203&lt;&gt;"",INDEX(職員マスタ!$G$6:$G$405,$AP2203)&lt;&gt;"",$L2203&lt;&gt;INDEX(職員マスタ!$G$6:$G$405,$AP2203)),"時短開始日がマスタと相違／","")&amp;IF(AND($M2203&lt;&gt;"",INDEX(職員マスタ!$H$6:$H$405,$AP2203)&lt;&gt;"",$M2203&lt;&gt;INDEX(職員マスタ!$H$6:$H$405,$AP2203)),"時短終了日がマスタと相違／","")))&amp;IF(AND($B2203&lt;&gt;"",$E2203=""),"報酬額が未入力／","")&amp;IF(N($U2203)&gt;0,"申請書に入力エラーが残っています／","")&amp;IF(AND($B2203&lt;&gt;"",$AQ2203&lt;&gt;""),IF(COUNTIFS($B$6:$B$3005,$B2203,$C$6:$C$3005,$C2203,$D$6:$D$3005,$D2203)&gt;1,"同じ月の請求が重複しています／",""),"")&amp;IF(AND(N($E2203)&gt;0,$AB2203&lt;&gt;"",$AB2203&lt;&gt;"×",$AE2203=0,$AD2203=""),"計算額が下限以下のため不支給／",""))</f>
        <v/>
      </c>
      <c r="AN2203" s="12" t="n"/>
      <c r="AO2203" s="14">
        <f>IF($AF2203="保留中",COUNTIF($AF$6:$AF2203,"保留中"),"")</f>
        <v/>
      </c>
      <c r="AP2203" s="14">
        <f>IF($AQ2203="","",IF(SUMPRODUCT(MAX((職員マスタ!$A$6:$A$405=$B2203)*(((職員マスタ!$G$6:$G$405="")+(職員マスタ!$G$6:$G$405&lt;=EOMONTH($AQ2203,0)))&gt;0)*(((職員マスタ!$H$6:$H$405="")+(職員マスタ!$H$6:$H$405&gt;=$AQ2203))&gt;0)*(ROW(職員マスタ!$A$6:$A$405)-5)))&gt;0,SUMPRODUCT(MAX((職員マスタ!$A$6:$A$405=$B2203)*(((職員マスタ!$G$6:$G$405="")+(職員マスタ!$G$6:$G$405&lt;=EOMONTH($AQ2203,0)))&gt;0)*(((職員マスタ!$H$6:$H$405="")+(職員マスタ!$H$6:$H$405&gt;=$AQ2203))&gt;0)*(ROW(職員マスタ!$A$6:$A$405)-5))),IFERROR(MATCH($B2203,職員マスタ!$A$6:$A$405,0),"")))</f>
        <v/>
      </c>
      <c r="AQ2203" s="16">
        <f>IF(OR($B2203="",$C2203="",$D2203=""),"",DATE($C2203+2018,$D2203,1))</f>
        <v/>
      </c>
    </row>
    <row r="2204">
      <c r="A2204" s="11" t="n"/>
      <c r="B2204" s="12" t="n"/>
      <c r="C2204" s="12" t="n"/>
      <c r="D2204" s="12" t="n"/>
      <c r="E2204" s="13" t="n"/>
      <c r="F2204" s="12" t="n"/>
      <c r="G2204" s="13" t="n"/>
      <c r="H2204" s="12" t="n"/>
      <c r="I2204" s="12" t="n"/>
      <c r="J2204" s="12" t="n"/>
      <c r="K2204" s="12" t="n"/>
      <c r="L2204" s="11" t="n"/>
      <c r="M2204" s="11" t="n"/>
      <c r="N2204" s="11" t="n"/>
      <c r="O2204" s="11" t="n"/>
      <c r="P2204" s="12" t="n"/>
      <c r="Q2204" s="11" t="n"/>
      <c r="R2204" s="12" t="n"/>
      <c r="S2204" s="11" t="n"/>
      <c r="T2204" s="12" t="n"/>
      <c r="U2204" s="12" t="n"/>
      <c r="V2204" s="12" t="n"/>
      <c r="W2204" s="13" t="n"/>
      <c r="X2204" s="14">
        <f>IF($AP2204="",IF($B2204="","",$H2204),IF(INDEX(職員マスタ!$B$6:$B$405,$AP2204)="",$H2204,INDEX(職員マスタ!$B$6:$B$405,$AP2204)))</f>
        <v/>
      </c>
      <c r="Y2204" s="14">
        <f>IF($AP2204="",IF($B2204="","",$R2204),IF(INDEX(職員マスタ!$C$6:$C$405,$AP2204)="",$R2204,INDEX(職員マスタ!$C$6:$C$405,$AP2204)))</f>
        <v/>
      </c>
      <c r="Z2204" s="14">
        <f>IF($AQ2204="","","R"&amp;$C2204&amp;"."&amp;$D2204)</f>
        <v/>
      </c>
      <c r="AA2204" s="15">
        <f>IF(IF($AP2204="",FALSE,INDEX(職員マスタ!$K$6:$K$405,$AP2204)&lt;&gt;""),INDEX(職員マスタ!$K$6:$K$405,$AP2204),IF(N($W2204)&gt;0,$W2204,""))</f>
        <v/>
      </c>
      <c r="AB2204" s="14">
        <f>IF(OR($E2204="",$AA2204=""),"",IF($E2204&gt;=$AA2204,"×",IF($E2204&gt;=$AA2204*設定!$C$5,"△","○")))</f>
        <v/>
      </c>
      <c r="AC2204" s="15">
        <f>IF($AB2204="","",IF($AB2204="×",0,IF($AB2204="○",ROUNDDOWN($E2204*設定!$C$4,0),ROUNDDOWN($E2204*ROUND((9*$AA2204-9*$E2204)/(10*$E2204),4),0))))</f>
        <v/>
      </c>
      <c r="AD2204" s="13" t="n"/>
      <c r="AE2204" s="15">
        <f>IF($B2204="","",IF($AD2204&lt;&gt;"",$AD2204,IF($AC2204="","",IF($AC2204&lt;=設定!$C$3,0,$AC2204))))</f>
        <v/>
      </c>
      <c r="AF2204" s="14">
        <f>IF($B2204="","",IF(AND($AG2204&lt;&gt;"",$AI2204="",$AL2204=""),"保留中",IF($AL2204&lt;&gt;"",IF(N($AE2204)&gt;0,"支給済","不支給"),IF($AE2204="","要確認",IF($AE2204=0,"不支給","未処理")))))</f>
        <v/>
      </c>
      <c r="AG2204" s="12" t="n"/>
      <c r="AH2204" s="11" t="n"/>
      <c r="AI2204" s="11" t="n"/>
      <c r="AJ2204" s="11" t="n"/>
      <c r="AK2204" s="14">
        <f>IF(AND($AF2204="保留中",$AH2204&lt;&gt;""),TODAY()-$AH2204,"")</f>
        <v/>
      </c>
      <c r="AL2204" s="12" t="n"/>
      <c r="AM2204" s="14">
        <f>IF($B2204="","",IF($AQ2204="","対象年月が未入力／","")&amp;IF($B2204="","",IF($AP2204="","職員マスタに未登録の職員番号／",IF($AA2204="","標準報酬月額が未登録／","")&amp;IF(AND($AQ2204&lt;&gt;"",OR(AND(INDEX(職員マスタ!$G$6:$G$405,$AP2204)&lt;&gt;"",INDEX(職員マスタ!$G$6:$G$405,$AP2204)&gt;EOMONTH($AQ2204,0)),AND(INDEX(職員マスタ!$H$6:$H$405,$AP2204)&lt;&gt;"",INDEX(職員マスタ!$H$6:$H$405,$AP2204)&lt;$AQ2204))),"対象月が時短期間外／","")&amp;IF(AND(INDEX(職員マスタ!$K$6:$K$405,$AP2204)&lt;&gt;"",N($W2204)&gt;0,INDEX(職員マスタ!$K$6:$K$405,$AP2204)&lt;&gt;$W2204),"標準報酬月額が申請書と相違（台帳"&amp;TEXT(INDEX(職員マスタ!$K$6:$K$405,$AP2204),"#,##0")&amp;"円／申請書"&amp;TEXT($W2204,"#,##0")&amp;"円）／","")&amp;IF(AND(INDEX(職員マスタ!$F$6:$F$405,$AP2204)&lt;&gt;"",$AQ2204&lt;&gt;"",INDEX(職員マスタ!$F$6:$F$405,$AP2204)&lt;$AQ2204),"対象月に子が2歳到達済／","")&amp;IF(AND($H2204&lt;&gt;"",INDEX(職員マスタ!$B$6:$B$405,$AP2204)&lt;&gt;"",SUBSTITUTE(SUBSTITUTE($H2204," ","")," ","")&lt;&gt;SUBSTITUTE(SUBSTITUTE(INDEX(職員マスタ!$B$6:$B$405,$AP2204)," ","")," ","")),"氏名がマスタと相違／","")&amp;IF(AND($Q2204&lt;&gt;"",INDEX(職員マスタ!$E$6:$E$405,$AP2204)&lt;&gt;"",$Q2204&lt;&gt;INDEX(職員マスタ!$E$6:$E$405,$AP2204)),"子の生年月日がマスタと相違／","")&amp;IF(AND($L2204&lt;&gt;"",INDEX(職員マスタ!$G$6:$G$405,$AP2204)&lt;&gt;"",$L2204&lt;&gt;INDEX(職員マスタ!$G$6:$G$405,$AP2204)),"時短開始日がマスタと相違／","")&amp;IF(AND($M2204&lt;&gt;"",INDEX(職員マスタ!$H$6:$H$405,$AP2204)&lt;&gt;"",$M2204&lt;&gt;INDEX(職員マスタ!$H$6:$H$405,$AP2204)),"時短終了日がマスタと相違／","")))&amp;IF(AND($B2204&lt;&gt;"",$E2204=""),"報酬額が未入力／","")&amp;IF(N($U2204)&gt;0,"申請書に入力エラーが残っています／","")&amp;IF(AND($B2204&lt;&gt;"",$AQ2204&lt;&gt;""),IF(COUNTIFS($B$6:$B$3005,$B2204,$C$6:$C$3005,$C2204,$D$6:$D$3005,$D2204)&gt;1,"同じ月の請求が重複しています／",""),"")&amp;IF(AND(N($E2204)&gt;0,$AB2204&lt;&gt;"",$AB2204&lt;&gt;"×",$AE2204=0,$AD2204=""),"計算額が下限以下のため不支給／",""))</f>
        <v/>
      </c>
      <c r="AN2204" s="12" t="n"/>
      <c r="AO2204" s="14">
        <f>IF($AF2204="保留中",COUNTIF($AF$6:$AF2204,"保留中"),"")</f>
        <v/>
      </c>
      <c r="AP2204" s="14">
        <f>IF($AQ2204="","",IF(SUMPRODUCT(MAX((職員マスタ!$A$6:$A$405=$B2204)*(((職員マスタ!$G$6:$G$405="")+(職員マスタ!$G$6:$G$405&lt;=EOMONTH($AQ2204,0)))&gt;0)*(((職員マスタ!$H$6:$H$405="")+(職員マスタ!$H$6:$H$405&gt;=$AQ2204))&gt;0)*(ROW(職員マスタ!$A$6:$A$405)-5)))&gt;0,SUMPRODUCT(MAX((職員マスタ!$A$6:$A$405=$B2204)*(((職員マスタ!$G$6:$G$405="")+(職員マスタ!$G$6:$G$405&lt;=EOMONTH($AQ2204,0)))&gt;0)*(((職員マスタ!$H$6:$H$405="")+(職員マスタ!$H$6:$H$405&gt;=$AQ2204))&gt;0)*(ROW(職員マスタ!$A$6:$A$405)-5))),IFERROR(MATCH($B2204,職員マスタ!$A$6:$A$405,0),"")))</f>
        <v/>
      </c>
      <c r="AQ2204" s="16">
        <f>IF(OR($B2204="",$C2204="",$D2204=""),"",DATE($C2204+2018,$D2204,1))</f>
        <v/>
      </c>
    </row>
    <row r="2205">
      <c r="A2205" s="11" t="n"/>
      <c r="B2205" s="12" t="n"/>
      <c r="C2205" s="12" t="n"/>
      <c r="D2205" s="12" t="n"/>
      <c r="E2205" s="13" t="n"/>
      <c r="F2205" s="12" t="n"/>
      <c r="G2205" s="13" t="n"/>
      <c r="H2205" s="12" t="n"/>
      <c r="I2205" s="12" t="n"/>
      <c r="J2205" s="12" t="n"/>
      <c r="K2205" s="12" t="n"/>
      <c r="L2205" s="11" t="n"/>
      <c r="M2205" s="11" t="n"/>
      <c r="N2205" s="11" t="n"/>
      <c r="O2205" s="11" t="n"/>
      <c r="P2205" s="12" t="n"/>
      <c r="Q2205" s="11" t="n"/>
      <c r="R2205" s="12" t="n"/>
      <c r="S2205" s="11" t="n"/>
      <c r="T2205" s="12" t="n"/>
      <c r="U2205" s="12" t="n"/>
      <c r="V2205" s="12" t="n"/>
      <c r="W2205" s="13" t="n"/>
      <c r="X2205" s="14">
        <f>IF($AP2205="",IF($B2205="","",$H2205),IF(INDEX(職員マスタ!$B$6:$B$405,$AP2205)="",$H2205,INDEX(職員マスタ!$B$6:$B$405,$AP2205)))</f>
        <v/>
      </c>
      <c r="Y2205" s="14">
        <f>IF($AP2205="",IF($B2205="","",$R2205),IF(INDEX(職員マスタ!$C$6:$C$405,$AP2205)="",$R2205,INDEX(職員マスタ!$C$6:$C$405,$AP2205)))</f>
        <v/>
      </c>
      <c r="Z2205" s="14">
        <f>IF($AQ2205="","","R"&amp;$C2205&amp;"."&amp;$D2205)</f>
        <v/>
      </c>
      <c r="AA2205" s="15">
        <f>IF(IF($AP2205="",FALSE,INDEX(職員マスタ!$K$6:$K$405,$AP2205)&lt;&gt;""),INDEX(職員マスタ!$K$6:$K$405,$AP2205),IF(N($W2205)&gt;0,$W2205,""))</f>
        <v/>
      </c>
      <c r="AB2205" s="14">
        <f>IF(OR($E2205="",$AA2205=""),"",IF($E2205&gt;=$AA2205,"×",IF($E2205&gt;=$AA2205*設定!$C$5,"△","○")))</f>
        <v/>
      </c>
      <c r="AC2205" s="15">
        <f>IF($AB2205="","",IF($AB2205="×",0,IF($AB2205="○",ROUNDDOWN($E2205*設定!$C$4,0),ROUNDDOWN($E2205*ROUND((9*$AA2205-9*$E2205)/(10*$E2205),4),0))))</f>
        <v/>
      </c>
      <c r="AD2205" s="13" t="n"/>
      <c r="AE2205" s="15">
        <f>IF($B2205="","",IF($AD2205&lt;&gt;"",$AD2205,IF($AC2205="","",IF($AC2205&lt;=設定!$C$3,0,$AC2205))))</f>
        <v/>
      </c>
      <c r="AF2205" s="14">
        <f>IF($B2205="","",IF(AND($AG2205&lt;&gt;"",$AI2205="",$AL2205=""),"保留中",IF($AL2205&lt;&gt;"",IF(N($AE2205)&gt;0,"支給済","不支給"),IF($AE2205="","要確認",IF($AE2205=0,"不支給","未処理")))))</f>
        <v/>
      </c>
      <c r="AG2205" s="12" t="n"/>
      <c r="AH2205" s="11" t="n"/>
      <c r="AI2205" s="11" t="n"/>
      <c r="AJ2205" s="11" t="n"/>
      <c r="AK2205" s="14">
        <f>IF(AND($AF2205="保留中",$AH2205&lt;&gt;""),TODAY()-$AH2205,"")</f>
        <v/>
      </c>
      <c r="AL2205" s="12" t="n"/>
      <c r="AM2205" s="14">
        <f>IF($B2205="","",IF($AQ2205="","対象年月が未入力／","")&amp;IF($B2205="","",IF($AP2205="","職員マスタに未登録の職員番号／",IF($AA2205="","標準報酬月額が未登録／","")&amp;IF(AND($AQ2205&lt;&gt;"",OR(AND(INDEX(職員マスタ!$G$6:$G$405,$AP2205)&lt;&gt;"",INDEX(職員マスタ!$G$6:$G$405,$AP2205)&gt;EOMONTH($AQ2205,0)),AND(INDEX(職員マスタ!$H$6:$H$405,$AP2205)&lt;&gt;"",INDEX(職員マスタ!$H$6:$H$405,$AP2205)&lt;$AQ2205))),"対象月が時短期間外／","")&amp;IF(AND(INDEX(職員マスタ!$K$6:$K$405,$AP2205)&lt;&gt;"",N($W2205)&gt;0,INDEX(職員マスタ!$K$6:$K$405,$AP2205)&lt;&gt;$W2205),"標準報酬月額が申請書と相違（台帳"&amp;TEXT(INDEX(職員マスタ!$K$6:$K$405,$AP2205),"#,##0")&amp;"円／申請書"&amp;TEXT($W2205,"#,##0")&amp;"円）／","")&amp;IF(AND(INDEX(職員マスタ!$F$6:$F$405,$AP2205)&lt;&gt;"",$AQ2205&lt;&gt;"",INDEX(職員マスタ!$F$6:$F$405,$AP2205)&lt;$AQ2205),"対象月に子が2歳到達済／","")&amp;IF(AND($H2205&lt;&gt;"",INDEX(職員マスタ!$B$6:$B$405,$AP2205)&lt;&gt;"",SUBSTITUTE(SUBSTITUTE($H2205," ","")," ","")&lt;&gt;SUBSTITUTE(SUBSTITUTE(INDEX(職員マスタ!$B$6:$B$405,$AP2205)," ","")," ","")),"氏名がマスタと相違／","")&amp;IF(AND($Q2205&lt;&gt;"",INDEX(職員マスタ!$E$6:$E$405,$AP2205)&lt;&gt;"",$Q2205&lt;&gt;INDEX(職員マスタ!$E$6:$E$405,$AP2205)),"子の生年月日がマスタと相違／","")&amp;IF(AND($L2205&lt;&gt;"",INDEX(職員マスタ!$G$6:$G$405,$AP2205)&lt;&gt;"",$L2205&lt;&gt;INDEX(職員マスタ!$G$6:$G$405,$AP2205)),"時短開始日がマスタと相違／","")&amp;IF(AND($M2205&lt;&gt;"",INDEX(職員マスタ!$H$6:$H$405,$AP2205)&lt;&gt;"",$M2205&lt;&gt;INDEX(職員マスタ!$H$6:$H$405,$AP2205)),"時短終了日がマスタと相違／","")))&amp;IF(AND($B2205&lt;&gt;"",$E2205=""),"報酬額が未入力／","")&amp;IF(N($U2205)&gt;0,"申請書に入力エラーが残っています／","")&amp;IF(AND($B2205&lt;&gt;"",$AQ2205&lt;&gt;""),IF(COUNTIFS($B$6:$B$3005,$B2205,$C$6:$C$3005,$C2205,$D$6:$D$3005,$D2205)&gt;1,"同じ月の請求が重複しています／",""),"")&amp;IF(AND(N($E2205)&gt;0,$AB2205&lt;&gt;"",$AB2205&lt;&gt;"×",$AE2205=0,$AD2205=""),"計算額が下限以下のため不支給／",""))</f>
        <v/>
      </c>
      <c r="AN2205" s="12" t="n"/>
      <c r="AO2205" s="14">
        <f>IF($AF2205="保留中",COUNTIF($AF$6:$AF2205,"保留中"),"")</f>
        <v/>
      </c>
      <c r="AP2205" s="14">
        <f>IF($AQ2205="","",IF(SUMPRODUCT(MAX((職員マスタ!$A$6:$A$405=$B2205)*(((職員マスタ!$G$6:$G$405="")+(職員マスタ!$G$6:$G$405&lt;=EOMONTH($AQ2205,0)))&gt;0)*(((職員マスタ!$H$6:$H$405="")+(職員マスタ!$H$6:$H$405&gt;=$AQ2205))&gt;0)*(ROW(職員マスタ!$A$6:$A$405)-5)))&gt;0,SUMPRODUCT(MAX((職員マスタ!$A$6:$A$405=$B2205)*(((職員マスタ!$G$6:$G$405="")+(職員マスタ!$G$6:$G$405&lt;=EOMONTH($AQ2205,0)))&gt;0)*(((職員マスタ!$H$6:$H$405="")+(職員マスタ!$H$6:$H$405&gt;=$AQ2205))&gt;0)*(ROW(職員マスタ!$A$6:$A$405)-5))),IFERROR(MATCH($B2205,職員マスタ!$A$6:$A$405,0),"")))</f>
        <v/>
      </c>
      <c r="AQ2205" s="16">
        <f>IF(OR($B2205="",$C2205="",$D2205=""),"",DATE($C2205+2018,$D2205,1))</f>
        <v/>
      </c>
    </row>
    <row r="2206">
      <c r="A2206" s="11" t="n"/>
      <c r="B2206" s="12" t="n"/>
      <c r="C2206" s="12" t="n"/>
      <c r="D2206" s="12" t="n"/>
      <c r="E2206" s="13" t="n"/>
      <c r="F2206" s="12" t="n"/>
      <c r="G2206" s="13" t="n"/>
      <c r="H2206" s="12" t="n"/>
      <c r="I2206" s="12" t="n"/>
      <c r="J2206" s="12" t="n"/>
      <c r="K2206" s="12" t="n"/>
      <c r="L2206" s="11" t="n"/>
      <c r="M2206" s="11" t="n"/>
      <c r="N2206" s="11" t="n"/>
      <c r="O2206" s="11" t="n"/>
      <c r="P2206" s="12" t="n"/>
      <c r="Q2206" s="11" t="n"/>
      <c r="R2206" s="12" t="n"/>
      <c r="S2206" s="11" t="n"/>
      <c r="T2206" s="12" t="n"/>
      <c r="U2206" s="12" t="n"/>
      <c r="V2206" s="12" t="n"/>
      <c r="W2206" s="13" t="n"/>
      <c r="X2206" s="14">
        <f>IF($AP2206="",IF($B2206="","",$H2206),IF(INDEX(職員マスタ!$B$6:$B$405,$AP2206)="",$H2206,INDEX(職員マスタ!$B$6:$B$405,$AP2206)))</f>
        <v/>
      </c>
      <c r="Y2206" s="14">
        <f>IF($AP2206="",IF($B2206="","",$R2206),IF(INDEX(職員マスタ!$C$6:$C$405,$AP2206)="",$R2206,INDEX(職員マスタ!$C$6:$C$405,$AP2206)))</f>
        <v/>
      </c>
      <c r="Z2206" s="14">
        <f>IF($AQ2206="","","R"&amp;$C2206&amp;"."&amp;$D2206)</f>
        <v/>
      </c>
      <c r="AA2206" s="15">
        <f>IF(IF($AP2206="",FALSE,INDEX(職員マスタ!$K$6:$K$405,$AP2206)&lt;&gt;""),INDEX(職員マスタ!$K$6:$K$405,$AP2206),IF(N($W2206)&gt;0,$W2206,""))</f>
        <v/>
      </c>
      <c r="AB2206" s="14">
        <f>IF(OR($E2206="",$AA2206=""),"",IF($E2206&gt;=$AA2206,"×",IF($E2206&gt;=$AA2206*設定!$C$5,"△","○")))</f>
        <v/>
      </c>
      <c r="AC2206" s="15">
        <f>IF($AB2206="","",IF($AB2206="×",0,IF($AB2206="○",ROUNDDOWN($E2206*設定!$C$4,0),ROUNDDOWN($E2206*ROUND((9*$AA2206-9*$E2206)/(10*$E2206),4),0))))</f>
        <v/>
      </c>
      <c r="AD2206" s="13" t="n"/>
      <c r="AE2206" s="15">
        <f>IF($B2206="","",IF($AD2206&lt;&gt;"",$AD2206,IF($AC2206="","",IF($AC2206&lt;=設定!$C$3,0,$AC2206))))</f>
        <v/>
      </c>
      <c r="AF2206" s="14">
        <f>IF($B2206="","",IF(AND($AG2206&lt;&gt;"",$AI2206="",$AL2206=""),"保留中",IF($AL2206&lt;&gt;"",IF(N($AE2206)&gt;0,"支給済","不支給"),IF($AE2206="","要確認",IF($AE2206=0,"不支給","未処理")))))</f>
        <v/>
      </c>
      <c r="AG2206" s="12" t="n"/>
      <c r="AH2206" s="11" t="n"/>
      <c r="AI2206" s="11" t="n"/>
      <c r="AJ2206" s="11" t="n"/>
      <c r="AK2206" s="14">
        <f>IF(AND($AF2206="保留中",$AH2206&lt;&gt;""),TODAY()-$AH2206,"")</f>
        <v/>
      </c>
      <c r="AL2206" s="12" t="n"/>
      <c r="AM2206" s="14">
        <f>IF($B2206="","",IF($AQ2206="","対象年月が未入力／","")&amp;IF($B2206="","",IF($AP2206="","職員マスタに未登録の職員番号／",IF($AA2206="","標準報酬月額が未登録／","")&amp;IF(AND($AQ2206&lt;&gt;"",OR(AND(INDEX(職員マスタ!$G$6:$G$405,$AP2206)&lt;&gt;"",INDEX(職員マスタ!$G$6:$G$405,$AP2206)&gt;EOMONTH($AQ2206,0)),AND(INDEX(職員マスタ!$H$6:$H$405,$AP2206)&lt;&gt;"",INDEX(職員マスタ!$H$6:$H$405,$AP2206)&lt;$AQ2206))),"対象月が時短期間外／","")&amp;IF(AND(INDEX(職員マスタ!$K$6:$K$405,$AP2206)&lt;&gt;"",N($W2206)&gt;0,INDEX(職員マスタ!$K$6:$K$405,$AP2206)&lt;&gt;$W2206),"標準報酬月額が申請書と相違（台帳"&amp;TEXT(INDEX(職員マスタ!$K$6:$K$405,$AP2206),"#,##0")&amp;"円／申請書"&amp;TEXT($W2206,"#,##0")&amp;"円）／","")&amp;IF(AND(INDEX(職員マスタ!$F$6:$F$405,$AP2206)&lt;&gt;"",$AQ2206&lt;&gt;"",INDEX(職員マスタ!$F$6:$F$405,$AP2206)&lt;$AQ2206),"対象月に子が2歳到達済／","")&amp;IF(AND($H2206&lt;&gt;"",INDEX(職員マスタ!$B$6:$B$405,$AP2206)&lt;&gt;"",SUBSTITUTE(SUBSTITUTE($H2206," ","")," ","")&lt;&gt;SUBSTITUTE(SUBSTITUTE(INDEX(職員マスタ!$B$6:$B$405,$AP2206)," ","")," ","")),"氏名がマスタと相違／","")&amp;IF(AND($Q2206&lt;&gt;"",INDEX(職員マスタ!$E$6:$E$405,$AP2206)&lt;&gt;"",$Q2206&lt;&gt;INDEX(職員マスタ!$E$6:$E$405,$AP2206)),"子の生年月日がマスタと相違／","")&amp;IF(AND($L2206&lt;&gt;"",INDEX(職員マスタ!$G$6:$G$405,$AP2206)&lt;&gt;"",$L2206&lt;&gt;INDEX(職員マスタ!$G$6:$G$405,$AP2206)),"時短開始日がマスタと相違／","")&amp;IF(AND($M2206&lt;&gt;"",INDEX(職員マスタ!$H$6:$H$405,$AP2206)&lt;&gt;"",$M2206&lt;&gt;INDEX(職員マスタ!$H$6:$H$405,$AP2206)),"時短終了日がマスタと相違／","")))&amp;IF(AND($B2206&lt;&gt;"",$E2206=""),"報酬額が未入力／","")&amp;IF(N($U2206)&gt;0,"申請書に入力エラーが残っています／","")&amp;IF(AND($B2206&lt;&gt;"",$AQ2206&lt;&gt;""),IF(COUNTIFS($B$6:$B$3005,$B2206,$C$6:$C$3005,$C2206,$D$6:$D$3005,$D2206)&gt;1,"同じ月の請求が重複しています／",""),"")&amp;IF(AND(N($E2206)&gt;0,$AB2206&lt;&gt;"",$AB2206&lt;&gt;"×",$AE2206=0,$AD2206=""),"計算額が下限以下のため不支給／",""))</f>
        <v/>
      </c>
      <c r="AN2206" s="12" t="n"/>
      <c r="AO2206" s="14">
        <f>IF($AF2206="保留中",COUNTIF($AF$6:$AF2206,"保留中"),"")</f>
        <v/>
      </c>
      <c r="AP2206" s="14">
        <f>IF($AQ2206="","",IF(SUMPRODUCT(MAX((職員マスタ!$A$6:$A$405=$B2206)*(((職員マスタ!$G$6:$G$405="")+(職員マスタ!$G$6:$G$405&lt;=EOMONTH($AQ2206,0)))&gt;0)*(((職員マスタ!$H$6:$H$405="")+(職員マスタ!$H$6:$H$405&gt;=$AQ2206))&gt;0)*(ROW(職員マスタ!$A$6:$A$405)-5)))&gt;0,SUMPRODUCT(MAX((職員マスタ!$A$6:$A$405=$B2206)*(((職員マスタ!$G$6:$G$405="")+(職員マスタ!$G$6:$G$405&lt;=EOMONTH($AQ2206,0)))&gt;0)*(((職員マスタ!$H$6:$H$405="")+(職員マスタ!$H$6:$H$405&gt;=$AQ2206))&gt;0)*(ROW(職員マスタ!$A$6:$A$405)-5))),IFERROR(MATCH($B2206,職員マスタ!$A$6:$A$405,0),"")))</f>
        <v/>
      </c>
      <c r="AQ2206" s="16">
        <f>IF(OR($B2206="",$C2206="",$D2206=""),"",DATE($C2206+2018,$D2206,1))</f>
        <v/>
      </c>
    </row>
    <row r="2207">
      <c r="A2207" s="11" t="n"/>
      <c r="B2207" s="12" t="n"/>
      <c r="C2207" s="12" t="n"/>
      <c r="D2207" s="12" t="n"/>
      <c r="E2207" s="13" t="n"/>
      <c r="F2207" s="12" t="n"/>
      <c r="G2207" s="13" t="n"/>
      <c r="H2207" s="12" t="n"/>
      <c r="I2207" s="12" t="n"/>
      <c r="J2207" s="12" t="n"/>
      <c r="K2207" s="12" t="n"/>
      <c r="L2207" s="11" t="n"/>
      <c r="M2207" s="11" t="n"/>
      <c r="N2207" s="11" t="n"/>
      <c r="O2207" s="11" t="n"/>
      <c r="P2207" s="12" t="n"/>
      <c r="Q2207" s="11" t="n"/>
      <c r="R2207" s="12" t="n"/>
      <c r="S2207" s="11" t="n"/>
      <c r="T2207" s="12" t="n"/>
      <c r="U2207" s="12" t="n"/>
      <c r="V2207" s="12" t="n"/>
      <c r="W2207" s="13" t="n"/>
      <c r="X2207" s="14">
        <f>IF($AP2207="",IF($B2207="","",$H2207),IF(INDEX(職員マスタ!$B$6:$B$405,$AP2207)="",$H2207,INDEX(職員マスタ!$B$6:$B$405,$AP2207)))</f>
        <v/>
      </c>
      <c r="Y2207" s="14">
        <f>IF($AP2207="",IF($B2207="","",$R2207),IF(INDEX(職員マスタ!$C$6:$C$405,$AP2207)="",$R2207,INDEX(職員マスタ!$C$6:$C$405,$AP2207)))</f>
        <v/>
      </c>
      <c r="Z2207" s="14">
        <f>IF($AQ2207="","","R"&amp;$C2207&amp;"."&amp;$D2207)</f>
        <v/>
      </c>
      <c r="AA2207" s="15">
        <f>IF(IF($AP2207="",FALSE,INDEX(職員マスタ!$K$6:$K$405,$AP2207)&lt;&gt;""),INDEX(職員マスタ!$K$6:$K$405,$AP2207),IF(N($W2207)&gt;0,$W2207,""))</f>
        <v/>
      </c>
      <c r="AB2207" s="14">
        <f>IF(OR($E2207="",$AA2207=""),"",IF($E2207&gt;=$AA2207,"×",IF($E2207&gt;=$AA2207*設定!$C$5,"△","○")))</f>
        <v/>
      </c>
      <c r="AC2207" s="15">
        <f>IF($AB2207="","",IF($AB2207="×",0,IF($AB2207="○",ROUNDDOWN($E2207*設定!$C$4,0),ROUNDDOWN($E2207*ROUND((9*$AA2207-9*$E2207)/(10*$E2207),4),0))))</f>
        <v/>
      </c>
      <c r="AD2207" s="13" t="n"/>
      <c r="AE2207" s="15">
        <f>IF($B2207="","",IF($AD2207&lt;&gt;"",$AD2207,IF($AC2207="","",IF($AC2207&lt;=設定!$C$3,0,$AC2207))))</f>
        <v/>
      </c>
      <c r="AF2207" s="14">
        <f>IF($B2207="","",IF(AND($AG2207&lt;&gt;"",$AI2207="",$AL2207=""),"保留中",IF($AL2207&lt;&gt;"",IF(N($AE2207)&gt;0,"支給済","不支給"),IF($AE2207="","要確認",IF($AE2207=0,"不支給","未処理")))))</f>
        <v/>
      </c>
      <c r="AG2207" s="12" t="n"/>
      <c r="AH2207" s="11" t="n"/>
      <c r="AI2207" s="11" t="n"/>
      <c r="AJ2207" s="11" t="n"/>
      <c r="AK2207" s="14">
        <f>IF(AND($AF2207="保留中",$AH2207&lt;&gt;""),TODAY()-$AH2207,"")</f>
        <v/>
      </c>
      <c r="AL2207" s="12" t="n"/>
      <c r="AM2207" s="14">
        <f>IF($B2207="","",IF($AQ2207="","対象年月が未入力／","")&amp;IF($B2207="","",IF($AP2207="","職員マスタに未登録の職員番号／",IF($AA2207="","標準報酬月額が未登録／","")&amp;IF(AND($AQ2207&lt;&gt;"",OR(AND(INDEX(職員マスタ!$G$6:$G$405,$AP2207)&lt;&gt;"",INDEX(職員マスタ!$G$6:$G$405,$AP2207)&gt;EOMONTH($AQ2207,0)),AND(INDEX(職員マスタ!$H$6:$H$405,$AP2207)&lt;&gt;"",INDEX(職員マスタ!$H$6:$H$405,$AP2207)&lt;$AQ2207))),"対象月が時短期間外／","")&amp;IF(AND(INDEX(職員マスタ!$K$6:$K$405,$AP2207)&lt;&gt;"",N($W2207)&gt;0,INDEX(職員マスタ!$K$6:$K$405,$AP2207)&lt;&gt;$W2207),"標準報酬月額が申請書と相違（台帳"&amp;TEXT(INDEX(職員マスタ!$K$6:$K$405,$AP2207),"#,##0")&amp;"円／申請書"&amp;TEXT($W2207,"#,##0")&amp;"円）／","")&amp;IF(AND(INDEX(職員マスタ!$F$6:$F$405,$AP2207)&lt;&gt;"",$AQ2207&lt;&gt;"",INDEX(職員マスタ!$F$6:$F$405,$AP2207)&lt;$AQ2207),"対象月に子が2歳到達済／","")&amp;IF(AND($H2207&lt;&gt;"",INDEX(職員マスタ!$B$6:$B$405,$AP2207)&lt;&gt;"",SUBSTITUTE(SUBSTITUTE($H2207," ","")," ","")&lt;&gt;SUBSTITUTE(SUBSTITUTE(INDEX(職員マスタ!$B$6:$B$405,$AP2207)," ","")," ","")),"氏名がマスタと相違／","")&amp;IF(AND($Q2207&lt;&gt;"",INDEX(職員マスタ!$E$6:$E$405,$AP2207)&lt;&gt;"",$Q2207&lt;&gt;INDEX(職員マスタ!$E$6:$E$405,$AP2207)),"子の生年月日がマスタと相違／","")&amp;IF(AND($L2207&lt;&gt;"",INDEX(職員マスタ!$G$6:$G$405,$AP2207)&lt;&gt;"",$L2207&lt;&gt;INDEX(職員マスタ!$G$6:$G$405,$AP2207)),"時短開始日がマスタと相違／","")&amp;IF(AND($M2207&lt;&gt;"",INDEX(職員マスタ!$H$6:$H$405,$AP2207)&lt;&gt;"",$M2207&lt;&gt;INDEX(職員マスタ!$H$6:$H$405,$AP2207)),"時短終了日がマスタと相違／","")))&amp;IF(AND($B2207&lt;&gt;"",$E2207=""),"報酬額が未入力／","")&amp;IF(N($U2207)&gt;0,"申請書に入力エラーが残っています／","")&amp;IF(AND($B2207&lt;&gt;"",$AQ2207&lt;&gt;""),IF(COUNTIFS($B$6:$B$3005,$B2207,$C$6:$C$3005,$C2207,$D$6:$D$3005,$D2207)&gt;1,"同じ月の請求が重複しています／",""),"")&amp;IF(AND(N($E2207)&gt;0,$AB2207&lt;&gt;"",$AB2207&lt;&gt;"×",$AE2207=0,$AD2207=""),"計算額が下限以下のため不支給／",""))</f>
        <v/>
      </c>
      <c r="AN2207" s="12" t="n"/>
      <c r="AO2207" s="14">
        <f>IF($AF2207="保留中",COUNTIF($AF$6:$AF2207,"保留中"),"")</f>
        <v/>
      </c>
      <c r="AP2207" s="14">
        <f>IF($AQ2207="","",IF(SUMPRODUCT(MAX((職員マスタ!$A$6:$A$405=$B2207)*(((職員マスタ!$G$6:$G$405="")+(職員マスタ!$G$6:$G$405&lt;=EOMONTH($AQ2207,0)))&gt;0)*(((職員マスタ!$H$6:$H$405="")+(職員マスタ!$H$6:$H$405&gt;=$AQ2207))&gt;0)*(ROW(職員マスタ!$A$6:$A$405)-5)))&gt;0,SUMPRODUCT(MAX((職員マスタ!$A$6:$A$405=$B2207)*(((職員マスタ!$G$6:$G$405="")+(職員マスタ!$G$6:$G$405&lt;=EOMONTH($AQ2207,0)))&gt;0)*(((職員マスタ!$H$6:$H$405="")+(職員マスタ!$H$6:$H$405&gt;=$AQ2207))&gt;0)*(ROW(職員マスタ!$A$6:$A$405)-5))),IFERROR(MATCH($B2207,職員マスタ!$A$6:$A$405,0),"")))</f>
        <v/>
      </c>
      <c r="AQ2207" s="16">
        <f>IF(OR($B2207="",$C2207="",$D2207=""),"",DATE($C2207+2018,$D2207,1))</f>
        <v/>
      </c>
    </row>
    <row r="2208">
      <c r="A2208" s="11" t="n"/>
      <c r="B2208" s="12" t="n"/>
      <c r="C2208" s="12" t="n"/>
      <c r="D2208" s="12" t="n"/>
      <c r="E2208" s="13" t="n"/>
      <c r="F2208" s="12" t="n"/>
      <c r="G2208" s="13" t="n"/>
      <c r="H2208" s="12" t="n"/>
      <c r="I2208" s="12" t="n"/>
      <c r="J2208" s="12" t="n"/>
      <c r="K2208" s="12" t="n"/>
      <c r="L2208" s="11" t="n"/>
      <c r="M2208" s="11" t="n"/>
      <c r="N2208" s="11" t="n"/>
      <c r="O2208" s="11" t="n"/>
      <c r="P2208" s="12" t="n"/>
      <c r="Q2208" s="11" t="n"/>
      <c r="R2208" s="12" t="n"/>
      <c r="S2208" s="11" t="n"/>
      <c r="T2208" s="12" t="n"/>
      <c r="U2208" s="12" t="n"/>
      <c r="V2208" s="12" t="n"/>
      <c r="W2208" s="13" t="n"/>
      <c r="X2208" s="14">
        <f>IF($AP2208="",IF($B2208="","",$H2208),IF(INDEX(職員マスタ!$B$6:$B$405,$AP2208)="",$H2208,INDEX(職員マスタ!$B$6:$B$405,$AP2208)))</f>
        <v/>
      </c>
      <c r="Y2208" s="14">
        <f>IF($AP2208="",IF($B2208="","",$R2208),IF(INDEX(職員マスタ!$C$6:$C$405,$AP2208)="",$R2208,INDEX(職員マスタ!$C$6:$C$405,$AP2208)))</f>
        <v/>
      </c>
      <c r="Z2208" s="14">
        <f>IF($AQ2208="","","R"&amp;$C2208&amp;"."&amp;$D2208)</f>
        <v/>
      </c>
      <c r="AA2208" s="15">
        <f>IF(IF($AP2208="",FALSE,INDEX(職員マスタ!$K$6:$K$405,$AP2208)&lt;&gt;""),INDEX(職員マスタ!$K$6:$K$405,$AP2208),IF(N($W2208)&gt;0,$W2208,""))</f>
        <v/>
      </c>
      <c r="AB2208" s="14">
        <f>IF(OR($E2208="",$AA2208=""),"",IF($E2208&gt;=$AA2208,"×",IF($E2208&gt;=$AA2208*設定!$C$5,"△","○")))</f>
        <v/>
      </c>
      <c r="AC2208" s="15">
        <f>IF($AB2208="","",IF($AB2208="×",0,IF($AB2208="○",ROUNDDOWN($E2208*設定!$C$4,0),ROUNDDOWN($E2208*ROUND((9*$AA2208-9*$E2208)/(10*$E2208),4),0))))</f>
        <v/>
      </c>
      <c r="AD2208" s="13" t="n"/>
      <c r="AE2208" s="15">
        <f>IF($B2208="","",IF($AD2208&lt;&gt;"",$AD2208,IF($AC2208="","",IF($AC2208&lt;=設定!$C$3,0,$AC2208))))</f>
        <v/>
      </c>
      <c r="AF2208" s="14">
        <f>IF($B2208="","",IF(AND($AG2208&lt;&gt;"",$AI2208="",$AL2208=""),"保留中",IF($AL2208&lt;&gt;"",IF(N($AE2208)&gt;0,"支給済","不支給"),IF($AE2208="","要確認",IF($AE2208=0,"不支給","未処理")))))</f>
        <v/>
      </c>
      <c r="AG2208" s="12" t="n"/>
      <c r="AH2208" s="11" t="n"/>
      <c r="AI2208" s="11" t="n"/>
      <c r="AJ2208" s="11" t="n"/>
      <c r="AK2208" s="14">
        <f>IF(AND($AF2208="保留中",$AH2208&lt;&gt;""),TODAY()-$AH2208,"")</f>
        <v/>
      </c>
      <c r="AL2208" s="12" t="n"/>
      <c r="AM2208" s="14">
        <f>IF($B2208="","",IF($AQ2208="","対象年月が未入力／","")&amp;IF($B2208="","",IF($AP2208="","職員マスタに未登録の職員番号／",IF($AA2208="","標準報酬月額が未登録／","")&amp;IF(AND($AQ2208&lt;&gt;"",OR(AND(INDEX(職員マスタ!$G$6:$G$405,$AP2208)&lt;&gt;"",INDEX(職員マスタ!$G$6:$G$405,$AP2208)&gt;EOMONTH($AQ2208,0)),AND(INDEX(職員マスタ!$H$6:$H$405,$AP2208)&lt;&gt;"",INDEX(職員マスタ!$H$6:$H$405,$AP2208)&lt;$AQ2208))),"対象月が時短期間外／","")&amp;IF(AND(INDEX(職員マスタ!$K$6:$K$405,$AP2208)&lt;&gt;"",N($W2208)&gt;0,INDEX(職員マスタ!$K$6:$K$405,$AP2208)&lt;&gt;$W2208),"標準報酬月額が申請書と相違（台帳"&amp;TEXT(INDEX(職員マスタ!$K$6:$K$405,$AP2208),"#,##0")&amp;"円／申請書"&amp;TEXT($W2208,"#,##0")&amp;"円）／","")&amp;IF(AND(INDEX(職員マスタ!$F$6:$F$405,$AP2208)&lt;&gt;"",$AQ2208&lt;&gt;"",INDEX(職員マスタ!$F$6:$F$405,$AP2208)&lt;$AQ2208),"対象月に子が2歳到達済／","")&amp;IF(AND($H2208&lt;&gt;"",INDEX(職員マスタ!$B$6:$B$405,$AP2208)&lt;&gt;"",SUBSTITUTE(SUBSTITUTE($H2208," ","")," ","")&lt;&gt;SUBSTITUTE(SUBSTITUTE(INDEX(職員マスタ!$B$6:$B$405,$AP2208)," ","")," ","")),"氏名がマスタと相違／","")&amp;IF(AND($Q2208&lt;&gt;"",INDEX(職員マスタ!$E$6:$E$405,$AP2208)&lt;&gt;"",$Q2208&lt;&gt;INDEX(職員マスタ!$E$6:$E$405,$AP2208)),"子の生年月日がマスタと相違／","")&amp;IF(AND($L2208&lt;&gt;"",INDEX(職員マスタ!$G$6:$G$405,$AP2208)&lt;&gt;"",$L2208&lt;&gt;INDEX(職員マスタ!$G$6:$G$405,$AP2208)),"時短開始日がマスタと相違／","")&amp;IF(AND($M2208&lt;&gt;"",INDEX(職員マスタ!$H$6:$H$405,$AP2208)&lt;&gt;"",$M2208&lt;&gt;INDEX(職員マスタ!$H$6:$H$405,$AP2208)),"時短終了日がマスタと相違／","")))&amp;IF(AND($B2208&lt;&gt;"",$E2208=""),"報酬額が未入力／","")&amp;IF(N($U2208)&gt;0,"申請書に入力エラーが残っています／","")&amp;IF(AND($B2208&lt;&gt;"",$AQ2208&lt;&gt;""),IF(COUNTIFS($B$6:$B$3005,$B2208,$C$6:$C$3005,$C2208,$D$6:$D$3005,$D2208)&gt;1,"同じ月の請求が重複しています／",""),"")&amp;IF(AND(N($E2208)&gt;0,$AB2208&lt;&gt;"",$AB2208&lt;&gt;"×",$AE2208=0,$AD2208=""),"計算額が下限以下のため不支給／",""))</f>
        <v/>
      </c>
      <c r="AN2208" s="12" t="n"/>
      <c r="AO2208" s="14">
        <f>IF($AF2208="保留中",COUNTIF($AF$6:$AF2208,"保留中"),"")</f>
        <v/>
      </c>
      <c r="AP2208" s="14">
        <f>IF($AQ2208="","",IF(SUMPRODUCT(MAX((職員マスタ!$A$6:$A$405=$B2208)*(((職員マスタ!$G$6:$G$405="")+(職員マスタ!$G$6:$G$405&lt;=EOMONTH($AQ2208,0)))&gt;0)*(((職員マスタ!$H$6:$H$405="")+(職員マスタ!$H$6:$H$405&gt;=$AQ2208))&gt;0)*(ROW(職員マスタ!$A$6:$A$405)-5)))&gt;0,SUMPRODUCT(MAX((職員マスタ!$A$6:$A$405=$B2208)*(((職員マスタ!$G$6:$G$405="")+(職員マスタ!$G$6:$G$405&lt;=EOMONTH($AQ2208,0)))&gt;0)*(((職員マスタ!$H$6:$H$405="")+(職員マスタ!$H$6:$H$405&gt;=$AQ2208))&gt;0)*(ROW(職員マスタ!$A$6:$A$405)-5))),IFERROR(MATCH($B2208,職員マスタ!$A$6:$A$405,0),"")))</f>
        <v/>
      </c>
      <c r="AQ2208" s="16">
        <f>IF(OR($B2208="",$C2208="",$D2208=""),"",DATE($C2208+2018,$D2208,1))</f>
        <v/>
      </c>
    </row>
    <row r="2209">
      <c r="A2209" s="11" t="n"/>
      <c r="B2209" s="12" t="n"/>
      <c r="C2209" s="12" t="n"/>
      <c r="D2209" s="12" t="n"/>
      <c r="E2209" s="13" t="n"/>
      <c r="F2209" s="12" t="n"/>
      <c r="G2209" s="13" t="n"/>
      <c r="H2209" s="12" t="n"/>
      <c r="I2209" s="12" t="n"/>
      <c r="J2209" s="12" t="n"/>
      <c r="K2209" s="12" t="n"/>
      <c r="L2209" s="11" t="n"/>
      <c r="M2209" s="11" t="n"/>
      <c r="N2209" s="11" t="n"/>
      <c r="O2209" s="11" t="n"/>
      <c r="P2209" s="12" t="n"/>
      <c r="Q2209" s="11" t="n"/>
      <c r="R2209" s="12" t="n"/>
      <c r="S2209" s="11" t="n"/>
      <c r="T2209" s="12" t="n"/>
      <c r="U2209" s="12" t="n"/>
      <c r="V2209" s="12" t="n"/>
      <c r="W2209" s="13" t="n"/>
      <c r="X2209" s="14">
        <f>IF($AP2209="",IF($B2209="","",$H2209),IF(INDEX(職員マスタ!$B$6:$B$405,$AP2209)="",$H2209,INDEX(職員マスタ!$B$6:$B$405,$AP2209)))</f>
        <v/>
      </c>
      <c r="Y2209" s="14">
        <f>IF($AP2209="",IF($B2209="","",$R2209),IF(INDEX(職員マスタ!$C$6:$C$405,$AP2209)="",$R2209,INDEX(職員マスタ!$C$6:$C$405,$AP2209)))</f>
        <v/>
      </c>
      <c r="Z2209" s="14">
        <f>IF($AQ2209="","","R"&amp;$C2209&amp;"."&amp;$D2209)</f>
        <v/>
      </c>
      <c r="AA2209" s="15">
        <f>IF(IF($AP2209="",FALSE,INDEX(職員マスタ!$K$6:$K$405,$AP2209)&lt;&gt;""),INDEX(職員マスタ!$K$6:$K$405,$AP2209),IF(N($W2209)&gt;0,$W2209,""))</f>
        <v/>
      </c>
      <c r="AB2209" s="14">
        <f>IF(OR($E2209="",$AA2209=""),"",IF($E2209&gt;=$AA2209,"×",IF($E2209&gt;=$AA2209*設定!$C$5,"△","○")))</f>
        <v/>
      </c>
      <c r="AC2209" s="15">
        <f>IF($AB2209="","",IF($AB2209="×",0,IF($AB2209="○",ROUNDDOWN($E2209*設定!$C$4,0),ROUNDDOWN($E2209*ROUND((9*$AA2209-9*$E2209)/(10*$E2209),4),0))))</f>
        <v/>
      </c>
      <c r="AD2209" s="13" t="n"/>
      <c r="AE2209" s="15">
        <f>IF($B2209="","",IF($AD2209&lt;&gt;"",$AD2209,IF($AC2209="","",IF($AC2209&lt;=設定!$C$3,0,$AC2209))))</f>
        <v/>
      </c>
      <c r="AF2209" s="14">
        <f>IF($B2209="","",IF(AND($AG2209&lt;&gt;"",$AI2209="",$AL2209=""),"保留中",IF($AL2209&lt;&gt;"",IF(N($AE2209)&gt;0,"支給済","不支給"),IF($AE2209="","要確認",IF($AE2209=0,"不支給","未処理")))))</f>
        <v/>
      </c>
      <c r="AG2209" s="12" t="n"/>
      <c r="AH2209" s="11" t="n"/>
      <c r="AI2209" s="11" t="n"/>
      <c r="AJ2209" s="11" t="n"/>
      <c r="AK2209" s="14">
        <f>IF(AND($AF2209="保留中",$AH2209&lt;&gt;""),TODAY()-$AH2209,"")</f>
        <v/>
      </c>
      <c r="AL2209" s="12" t="n"/>
      <c r="AM2209" s="14">
        <f>IF($B2209="","",IF($AQ2209="","対象年月が未入力／","")&amp;IF($B2209="","",IF($AP2209="","職員マスタに未登録の職員番号／",IF($AA2209="","標準報酬月額が未登録／","")&amp;IF(AND($AQ2209&lt;&gt;"",OR(AND(INDEX(職員マスタ!$G$6:$G$405,$AP2209)&lt;&gt;"",INDEX(職員マスタ!$G$6:$G$405,$AP2209)&gt;EOMONTH($AQ2209,0)),AND(INDEX(職員マスタ!$H$6:$H$405,$AP2209)&lt;&gt;"",INDEX(職員マスタ!$H$6:$H$405,$AP2209)&lt;$AQ2209))),"対象月が時短期間外／","")&amp;IF(AND(INDEX(職員マスタ!$K$6:$K$405,$AP2209)&lt;&gt;"",N($W2209)&gt;0,INDEX(職員マスタ!$K$6:$K$405,$AP2209)&lt;&gt;$W2209),"標準報酬月額が申請書と相違（台帳"&amp;TEXT(INDEX(職員マスタ!$K$6:$K$405,$AP2209),"#,##0")&amp;"円／申請書"&amp;TEXT($W2209,"#,##0")&amp;"円）／","")&amp;IF(AND(INDEX(職員マスタ!$F$6:$F$405,$AP2209)&lt;&gt;"",$AQ2209&lt;&gt;"",INDEX(職員マスタ!$F$6:$F$405,$AP2209)&lt;$AQ2209),"対象月に子が2歳到達済／","")&amp;IF(AND($H2209&lt;&gt;"",INDEX(職員マスタ!$B$6:$B$405,$AP2209)&lt;&gt;"",SUBSTITUTE(SUBSTITUTE($H2209," ","")," ","")&lt;&gt;SUBSTITUTE(SUBSTITUTE(INDEX(職員マスタ!$B$6:$B$405,$AP2209)," ","")," ","")),"氏名がマスタと相違／","")&amp;IF(AND($Q2209&lt;&gt;"",INDEX(職員マスタ!$E$6:$E$405,$AP2209)&lt;&gt;"",$Q2209&lt;&gt;INDEX(職員マスタ!$E$6:$E$405,$AP2209)),"子の生年月日がマスタと相違／","")&amp;IF(AND($L2209&lt;&gt;"",INDEX(職員マスタ!$G$6:$G$405,$AP2209)&lt;&gt;"",$L2209&lt;&gt;INDEX(職員マスタ!$G$6:$G$405,$AP2209)),"時短開始日がマスタと相違／","")&amp;IF(AND($M2209&lt;&gt;"",INDEX(職員マスタ!$H$6:$H$405,$AP2209)&lt;&gt;"",$M2209&lt;&gt;INDEX(職員マスタ!$H$6:$H$405,$AP2209)),"時短終了日がマスタと相違／","")))&amp;IF(AND($B2209&lt;&gt;"",$E2209=""),"報酬額が未入力／","")&amp;IF(N($U2209)&gt;0,"申請書に入力エラーが残っています／","")&amp;IF(AND($B2209&lt;&gt;"",$AQ2209&lt;&gt;""),IF(COUNTIFS($B$6:$B$3005,$B2209,$C$6:$C$3005,$C2209,$D$6:$D$3005,$D2209)&gt;1,"同じ月の請求が重複しています／",""),"")&amp;IF(AND(N($E2209)&gt;0,$AB2209&lt;&gt;"",$AB2209&lt;&gt;"×",$AE2209=0,$AD2209=""),"計算額が下限以下のため不支給／",""))</f>
        <v/>
      </c>
      <c r="AN2209" s="12" t="n"/>
      <c r="AO2209" s="14">
        <f>IF($AF2209="保留中",COUNTIF($AF$6:$AF2209,"保留中"),"")</f>
        <v/>
      </c>
      <c r="AP2209" s="14">
        <f>IF($AQ2209="","",IF(SUMPRODUCT(MAX((職員マスタ!$A$6:$A$405=$B2209)*(((職員マスタ!$G$6:$G$405="")+(職員マスタ!$G$6:$G$405&lt;=EOMONTH($AQ2209,0)))&gt;0)*(((職員マスタ!$H$6:$H$405="")+(職員マスタ!$H$6:$H$405&gt;=$AQ2209))&gt;0)*(ROW(職員マスタ!$A$6:$A$405)-5)))&gt;0,SUMPRODUCT(MAX((職員マスタ!$A$6:$A$405=$B2209)*(((職員マスタ!$G$6:$G$405="")+(職員マスタ!$G$6:$G$405&lt;=EOMONTH($AQ2209,0)))&gt;0)*(((職員マスタ!$H$6:$H$405="")+(職員マスタ!$H$6:$H$405&gt;=$AQ2209))&gt;0)*(ROW(職員マスタ!$A$6:$A$405)-5))),IFERROR(MATCH($B2209,職員マスタ!$A$6:$A$405,0),"")))</f>
        <v/>
      </c>
      <c r="AQ2209" s="16">
        <f>IF(OR($B2209="",$C2209="",$D2209=""),"",DATE($C2209+2018,$D2209,1))</f>
        <v/>
      </c>
    </row>
    <row r="2210">
      <c r="A2210" s="11" t="n"/>
      <c r="B2210" s="12" t="n"/>
      <c r="C2210" s="12" t="n"/>
      <c r="D2210" s="12" t="n"/>
      <c r="E2210" s="13" t="n"/>
      <c r="F2210" s="12" t="n"/>
      <c r="G2210" s="13" t="n"/>
      <c r="H2210" s="12" t="n"/>
      <c r="I2210" s="12" t="n"/>
      <c r="J2210" s="12" t="n"/>
      <c r="K2210" s="12" t="n"/>
      <c r="L2210" s="11" t="n"/>
      <c r="M2210" s="11" t="n"/>
      <c r="N2210" s="11" t="n"/>
      <c r="O2210" s="11" t="n"/>
      <c r="P2210" s="12" t="n"/>
      <c r="Q2210" s="11" t="n"/>
      <c r="R2210" s="12" t="n"/>
      <c r="S2210" s="11" t="n"/>
      <c r="T2210" s="12" t="n"/>
      <c r="U2210" s="12" t="n"/>
      <c r="V2210" s="12" t="n"/>
      <c r="W2210" s="13" t="n"/>
      <c r="X2210" s="14">
        <f>IF($AP2210="",IF($B2210="","",$H2210),IF(INDEX(職員マスタ!$B$6:$B$405,$AP2210)="",$H2210,INDEX(職員マスタ!$B$6:$B$405,$AP2210)))</f>
        <v/>
      </c>
      <c r="Y2210" s="14">
        <f>IF($AP2210="",IF($B2210="","",$R2210),IF(INDEX(職員マスタ!$C$6:$C$405,$AP2210)="",$R2210,INDEX(職員マスタ!$C$6:$C$405,$AP2210)))</f>
        <v/>
      </c>
      <c r="Z2210" s="14">
        <f>IF($AQ2210="","","R"&amp;$C2210&amp;"."&amp;$D2210)</f>
        <v/>
      </c>
      <c r="AA2210" s="15">
        <f>IF(IF($AP2210="",FALSE,INDEX(職員マスタ!$K$6:$K$405,$AP2210)&lt;&gt;""),INDEX(職員マスタ!$K$6:$K$405,$AP2210),IF(N($W2210)&gt;0,$W2210,""))</f>
        <v/>
      </c>
      <c r="AB2210" s="14">
        <f>IF(OR($E2210="",$AA2210=""),"",IF($E2210&gt;=$AA2210,"×",IF($E2210&gt;=$AA2210*設定!$C$5,"△","○")))</f>
        <v/>
      </c>
      <c r="AC2210" s="15">
        <f>IF($AB2210="","",IF($AB2210="×",0,IF($AB2210="○",ROUNDDOWN($E2210*設定!$C$4,0),ROUNDDOWN($E2210*ROUND((9*$AA2210-9*$E2210)/(10*$E2210),4),0))))</f>
        <v/>
      </c>
      <c r="AD2210" s="13" t="n"/>
      <c r="AE2210" s="15">
        <f>IF($B2210="","",IF($AD2210&lt;&gt;"",$AD2210,IF($AC2210="","",IF($AC2210&lt;=設定!$C$3,0,$AC2210))))</f>
        <v/>
      </c>
      <c r="AF2210" s="14">
        <f>IF($B2210="","",IF(AND($AG2210&lt;&gt;"",$AI2210="",$AL2210=""),"保留中",IF($AL2210&lt;&gt;"",IF(N($AE2210)&gt;0,"支給済","不支給"),IF($AE2210="","要確認",IF($AE2210=0,"不支給","未処理")))))</f>
        <v/>
      </c>
      <c r="AG2210" s="12" t="n"/>
      <c r="AH2210" s="11" t="n"/>
      <c r="AI2210" s="11" t="n"/>
      <c r="AJ2210" s="11" t="n"/>
      <c r="AK2210" s="14">
        <f>IF(AND($AF2210="保留中",$AH2210&lt;&gt;""),TODAY()-$AH2210,"")</f>
        <v/>
      </c>
      <c r="AL2210" s="12" t="n"/>
      <c r="AM2210" s="14">
        <f>IF($B2210="","",IF($AQ2210="","対象年月が未入力／","")&amp;IF($B2210="","",IF($AP2210="","職員マスタに未登録の職員番号／",IF($AA2210="","標準報酬月額が未登録／","")&amp;IF(AND($AQ2210&lt;&gt;"",OR(AND(INDEX(職員マスタ!$G$6:$G$405,$AP2210)&lt;&gt;"",INDEX(職員マスタ!$G$6:$G$405,$AP2210)&gt;EOMONTH($AQ2210,0)),AND(INDEX(職員マスタ!$H$6:$H$405,$AP2210)&lt;&gt;"",INDEX(職員マスタ!$H$6:$H$405,$AP2210)&lt;$AQ2210))),"対象月が時短期間外／","")&amp;IF(AND(INDEX(職員マスタ!$K$6:$K$405,$AP2210)&lt;&gt;"",N($W2210)&gt;0,INDEX(職員マスタ!$K$6:$K$405,$AP2210)&lt;&gt;$W2210),"標準報酬月額が申請書と相違（台帳"&amp;TEXT(INDEX(職員マスタ!$K$6:$K$405,$AP2210),"#,##0")&amp;"円／申請書"&amp;TEXT($W2210,"#,##0")&amp;"円）／","")&amp;IF(AND(INDEX(職員マスタ!$F$6:$F$405,$AP2210)&lt;&gt;"",$AQ2210&lt;&gt;"",INDEX(職員マスタ!$F$6:$F$405,$AP2210)&lt;$AQ2210),"対象月に子が2歳到達済／","")&amp;IF(AND($H2210&lt;&gt;"",INDEX(職員マスタ!$B$6:$B$405,$AP2210)&lt;&gt;"",SUBSTITUTE(SUBSTITUTE($H2210," ","")," ","")&lt;&gt;SUBSTITUTE(SUBSTITUTE(INDEX(職員マスタ!$B$6:$B$405,$AP2210)," ","")," ","")),"氏名がマスタと相違／","")&amp;IF(AND($Q2210&lt;&gt;"",INDEX(職員マスタ!$E$6:$E$405,$AP2210)&lt;&gt;"",$Q2210&lt;&gt;INDEX(職員マスタ!$E$6:$E$405,$AP2210)),"子の生年月日がマスタと相違／","")&amp;IF(AND($L2210&lt;&gt;"",INDEX(職員マスタ!$G$6:$G$405,$AP2210)&lt;&gt;"",$L2210&lt;&gt;INDEX(職員マスタ!$G$6:$G$405,$AP2210)),"時短開始日がマスタと相違／","")&amp;IF(AND($M2210&lt;&gt;"",INDEX(職員マスタ!$H$6:$H$405,$AP2210)&lt;&gt;"",$M2210&lt;&gt;INDEX(職員マスタ!$H$6:$H$405,$AP2210)),"時短終了日がマスタと相違／","")))&amp;IF(AND($B2210&lt;&gt;"",$E2210=""),"報酬額が未入力／","")&amp;IF(N($U2210)&gt;0,"申請書に入力エラーが残っています／","")&amp;IF(AND($B2210&lt;&gt;"",$AQ2210&lt;&gt;""),IF(COUNTIFS($B$6:$B$3005,$B2210,$C$6:$C$3005,$C2210,$D$6:$D$3005,$D2210)&gt;1,"同じ月の請求が重複しています／",""),"")&amp;IF(AND(N($E2210)&gt;0,$AB2210&lt;&gt;"",$AB2210&lt;&gt;"×",$AE2210=0,$AD2210=""),"計算額が下限以下のため不支給／",""))</f>
        <v/>
      </c>
      <c r="AN2210" s="12" t="n"/>
      <c r="AO2210" s="14">
        <f>IF($AF2210="保留中",COUNTIF($AF$6:$AF2210,"保留中"),"")</f>
        <v/>
      </c>
      <c r="AP2210" s="14">
        <f>IF($AQ2210="","",IF(SUMPRODUCT(MAX((職員マスタ!$A$6:$A$405=$B2210)*(((職員マスタ!$G$6:$G$405="")+(職員マスタ!$G$6:$G$405&lt;=EOMONTH($AQ2210,0)))&gt;0)*(((職員マスタ!$H$6:$H$405="")+(職員マスタ!$H$6:$H$405&gt;=$AQ2210))&gt;0)*(ROW(職員マスタ!$A$6:$A$405)-5)))&gt;0,SUMPRODUCT(MAX((職員マスタ!$A$6:$A$405=$B2210)*(((職員マスタ!$G$6:$G$405="")+(職員マスタ!$G$6:$G$405&lt;=EOMONTH($AQ2210,0)))&gt;0)*(((職員マスタ!$H$6:$H$405="")+(職員マスタ!$H$6:$H$405&gt;=$AQ2210))&gt;0)*(ROW(職員マスタ!$A$6:$A$405)-5))),IFERROR(MATCH($B2210,職員マスタ!$A$6:$A$405,0),"")))</f>
        <v/>
      </c>
      <c r="AQ2210" s="16">
        <f>IF(OR($B2210="",$C2210="",$D2210=""),"",DATE($C2210+2018,$D2210,1))</f>
        <v/>
      </c>
    </row>
    <row r="2211">
      <c r="A2211" s="11" t="n"/>
      <c r="B2211" s="12" t="n"/>
      <c r="C2211" s="12" t="n"/>
      <c r="D2211" s="12" t="n"/>
      <c r="E2211" s="13" t="n"/>
      <c r="F2211" s="12" t="n"/>
      <c r="G2211" s="13" t="n"/>
      <c r="H2211" s="12" t="n"/>
      <c r="I2211" s="12" t="n"/>
      <c r="J2211" s="12" t="n"/>
      <c r="K2211" s="12" t="n"/>
      <c r="L2211" s="11" t="n"/>
      <c r="M2211" s="11" t="n"/>
      <c r="N2211" s="11" t="n"/>
      <c r="O2211" s="11" t="n"/>
      <c r="P2211" s="12" t="n"/>
      <c r="Q2211" s="11" t="n"/>
      <c r="R2211" s="12" t="n"/>
      <c r="S2211" s="11" t="n"/>
      <c r="T2211" s="12" t="n"/>
      <c r="U2211" s="12" t="n"/>
      <c r="V2211" s="12" t="n"/>
      <c r="W2211" s="13" t="n"/>
      <c r="X2211" s="14">
        <f>IF($AP2211="",IF($B2211="","",$H2211),IF(INDEX(職員マスタ!$B$6:$B$405,$AP2211)="",$H2211,INDEX(職員マスタ!$B$6:$B$405,$AP2211)))</f>
        <v/>
      </c>
      <c r="Y2211" s="14">
        <f>IF($AP2211="",IF($B2211="","",$R2211),IF(INDEX(職員マスタ!$C$6:$C$405,$AP2211)="",$R2211,INDEX(職員マスタ!$C$6:$C$405,$AP2211)))</f>
        <v/>
      </c>
      <c r="Z2211" s="14">
        <f>IF($AQ2211="","","R"&amp;$C2211&amp;"."&amp;$D2211)</f>
        <v/>
      </c>
      <c r="AA2211" s="15">
        <f>IF(IF($AP2211="",FALSE,INDEX(職員マスタ!$K$6:$K$405,$AP2211)&lt;&gt;""),INDEX(職員マスタ!$K$6:$K$405,$AP2211),IF(N($W2211)&gt;0,$W2211,""))</f>
        <v/>
      </c>
      <c r="AB2211" s="14">
        <f>IF(OR($E2211="",$AA2211=""),"",IF($E2211&gt;=$AA2211,"×",IF($E2211&gt;=$AA2211*設定!$C$5,"△","○")))</f>
        <v/>
      </c>
      <c r="AC2211" s="15">
        <f>IF($AB2211="","",IF($AB2211="×",0,IF($AB2211="○",ROUNDDOWN($E2211*設定!$C$4,0),ROUNDDOWN($E2211*ROUND((9*$AA2211-9*$E2211)/(10*$E2211),4),0))))</f>
        <v/>
      </c>
      <c r="AD2211" s="13" t="n"/>
      <c r="AE2211" s="15">
        <f>IF($B2211="","",IF($AD2211&lt;&gt;"",$AD2211,IF($AC2211="","",IF($AC2211&lt;=設定!$C$3,0,$AC2211))))</f>
        <v/>
      </c>
      <c r="AF2211" s="14">
        <f>IF($B2211="","",IF(AND($AG2211&lt;&gt;"",$AI2211="",$AL2211=""),"保留中",IF($AL2211&lt;&gt;"",IF(N($AE2211)&gt;0,"支給済","不支給"),IF($AE2211="","要確認",IF($AE2211=0,"不支給","未処理")))))</f>
        <v/>
      </c>
      <c r="AG2211" s="12" t="n"/>
      <c r="AH2211" s="11" t="n"/>
      <c r="AI2211" s="11" t="n"/>
      <c r="AJ2211" s="11" t="n"/>
      <c r="AK2211" s="14">
        <f>IF(AND($AF2211="保留中",$AH2211&lt;&gt;""),TODAY()-$AH2211,"")</f>
        <v/>
      </c>
      <c r="AL2211" s="12" t="n"/>
      <c r="AM2211" s="14">
        <f>IF($B2211="","",IF($AQ2211="","対象年月が未入力／","")&amp;IF($B2211="","",IF($AP2211="","職員マスタに未登録の職員番号／",IF($AA2211="","標準報酬月額が未登録／","")&amp;IF(AND($AQ2211&lt;&gt;"",OR(AND(INDEX(職員マスタ!$G$6:$G$405,$AP2211)&lt;&gt;"",INDEX(職員マスタ!$G$6:$G$405,$AP2211)&gt;EOMONTH($AQ2211,0)),AND(INDEX(職員マスタ!$H$6:$H$405,$AP2211)&lt;&gt;"",INDEX(職員マスタ!$H$6:$H$405,$AP2211)&lt;$AQ2211))),"対象月が時短期間外／","")&amp;IF(AND(INDEX(職員マスタ!$K$6:$K$405,$AP2211)&lt;&gt;"",N($W2211)&gt;0,INDEX(職員マスタ!$K$6:$K$405,$AP2211)&lt;&gt;$W2211),"標準報酬月額が申請書と相違（台帳"&amp;TEXT(INDEX(職員マスタ!$K$6:$K$405,$AP2211),"#,##0")&amp;"円／申請書"&amp;TEXT($W2211,"#,##0")&amp;"円）／","")&amp;IF(AND(INDEX(職員マスタ!$F$6:$F$405,$AP2211)&lt;&gt;"",$AQ2211&lt;&gt;"",INDEX(職員マスタ!$F$6:$F$405,$AP2211)&lt;$AQ2211),"対象月に子が2歳到達済／","")&amp;IF(AND($H2211&lt;&gt;"",INDEX(職員マスタ!$B$6:$B$405,$AP2211)&lt;&gt;"",SUBSTITUTE(SUBSTITUTE($H2211," ","")," ","")&lt;&gt;SUBSTITUTE(SUBSTITUTE(INDEX(職員マスタ!$B$6:$B$405,$AP2211)," ","")," ","")),"氏名がマスタと相違／","")&amp;IF(AND($Q2211&lt;&gt;"",INDEX(職員マスタ!$E$6:$E$405,$AP2211)&lt;&gt;"",$Q2211&lt;&gt;INDEX(職員マスタ!$E$6:$E$405,$AP2211)),"子の生年月日がマスタと相違／","")&amp;IF(AND($L2211&lt;&gt;"",INDEX(職員マスタ!$G$6:$G$405,$AP2211)&lt;&gt;"",$L2211&lt;&gt;INDEX(職員マスタ!$G$6:$G$405,$AP2211)),"時短開始日がマスタと相違／","")&amp;IF(AND($M2211&lt;&gt;"",INDEX(職員マスタ!$H$6:$H$405,$AP2211)&lt;&gt;"",$M2211&lt;&gt;INDEX(職員マスタ!$H$6:$H$405,$AP2211)),"時短終了日がマスタと相違／","")))&amp;IF(AND($B2211&lt;&gt;"",$E2211=""),"報酬額が未入力／","")&amp;IF(N($U2211)&gt;0,"申請書に入力エラーが残っています／","")&amp;IF(AND($B2211&lt;&gt;"",$AQ2211&lt;&gt;""),IF(COUNTIFS($B$6:$B$3005,$B2211,$C$6:$C$3005,$C2211,$D$6:$D$3005,$D2211)&gt;1,"同じ月の請求が重複しています／",""),"")&amp;IF(AND(N($E2211)&gt;0,$AB2211&lt;&gt;"",$AB2211&lt;&gt;"×",$AE2211=0,$AD2211=""),"計算額が下限以下のため不支給／",""))</f>
        <v/>
      </c>
      <c r="AN2211" s="12" t="n"/>
      <c r="AO2211" s="14">
        <f>IF($AF2211="保留中",COUNTIF($AF$6:$AF2211,"保留中"),"")</f>
        <v/>
      </c>
      <c r="AP2211" s="14">
        <f>IF($AQ2211="","",IF(SUMPRODUCT(MAX((職員マスタ!$A$6:$A$405=$B2211)*(((職員マスタ!$G$6:$G$405="")+(職員マスタ!$G$6:$G$405&lt;=EOMONTH($AQ2211,0)))&gt;0)*(((職員マスタ!$H$6:$H$405="")+(職員マスタ!$H$6:$H$405&gt;=$AQ2211))&gt;0)*(ROW(職員マスタ!$A$6:$A$405)-5)))&gt;0,SUMPRODUCT(MAX((職員マスタ!$A$6:$A$405=$B2211)*(((職員マスタ!$G$6:$G$405="")+(職員マスタ!$G$6:$G$405&lt;=EOMONTH($AQ2211,0)))&gt;0)*(((職員マスタ!$H$6:$H$405="")+(職員マスタ!$H$6:$H$405&gt;=$AQ2211))&gt;0)*(ROW(職員マスタ!$A$6:$A$405)-5))),IFERROR(MATCH($B2211,職員マスタ!$A$6:$A$405,0),"")))</f>
        <v/>
      </c>
      <c r="AQ2211" s="16">
        <f>IF(OR($B2211="",$C2211="",$D2211=""),"",DATE($C2211+2018,$D2211,1))</f>
        <v/>
      </c>
    </row>
    <row r="2212">
      <c r="A2212" s="11" t="n"/>
      <c r="B2212" s="12" t="n"/>
      <c r="C2212" s="12" t="n"/>
      <c r="D2212" s="12" t="n"/>
      <c r="E2212" s="13" t="n"/>
      <c r="F2212" s="12" t="n"/>
      <c r="G2212" s="13" t="n"/>
      <c r="H2212" s="12" t="n"/>
      <c r="I2212" s="12" t="n"/>
      <c r="J2212" s="12" t="n"/>
      <c r="K2212" s="12" t="n"/>
      <c r="L2212" s="11" t="n"/>
      <c r="M2212" s="11" t="n"/>
      <c r="N2212" s="11" t="n"/>
      <c r="O2212" s="11" t="n"/>
      <c r="P2212" s="12" t="n"/>
      <c r="Q2212" s="11" t="n"/>
      <c r="R2212" s="12" t="n"/>
      <c r="S2212" s="11" t="n"/>
      <c r="T2212" s="12" t="n"/>
      <c r="U2212" s="12" t="n"/>
      <c r="V2212" s="12" t="n"/>
      <c r="W2212" s="13" t="n"/>
      <c r="X2212" s="14">
        <f>IF($AP2212="",IF($B2212="","",$H2212),IF(INDEX(職員マスタ!$B$6:$B$405,$AP2212)="",$H2212,INDEX(職員マスタ!$B$6:$B$405,$AP2212)))</f>
        <v/>
      </c>
      <c r="Y2212" s="14">
        <f>IF($AP2212="",IF($B2212="","",$R2212),IF(INDEX(職員マスタ!$C$6:$C$405,$AP2212)="",$R2212,INDEX(職員マスタ!$C$6:$C$405,$AP2212)))</f>
        <v/>
      </c>
      <c r="Z2212" s="14">
        <f>IF($AQ2212="","","R"&amp;$C2212&amp;"."&amp;$D2212)</f>
        <v/>
      </c>
      <c r="AA2212" s="15">
        <f>IF(IF($AP2212="",FALSE,INDEX(職員マスタ!$K$6:$K$405,$AP2212)&lt;&gt;""),INDEX(職員マスタ!$K$6:$K$405,$AP2212),IF(N($W2212)&gt;0,$W2212,""))</f>
        <v/>
      </c>
      <c r="AB2212" s="14">
        <f>IF(OR($E2212="",$AA2212=""),"",IF($E2212&gt;=$AA2212,"×",IF($E2212&gt;=$AA2212*設定!$C$5,"△","○")))</f>
        <v/>
      </c>
      <c r="AC2212" s="15">
        <f>IF($AB2212="","",IF($AB2212="×",0,IF($AB2212="○",ROUNDDOWN($E2212*設定!$C$4,0),ROUNDDOWN($E2212*ROUND((9*$AA2212-9*$E2212)/(10*$E2212),4),0))))</f>
        <v/>
      </c>
      <c r="AD2212" s="13" t="n"/>
      <c r="AE2212" s="15">
        <f>IF($B2212="","",IF($AD2212&lt;&gt;"",$AD2212,IF($AC2212="","",IF($AC2212&lt;=設定!$C$3,0,$AC2212))))</f>
        <v/>
      </c>
      <c r="AF2212" s="14">
        <f>IF($B2212="","",IF(AND($AG2212&lt;&gt;"",$AI2212="",$AL2212=""),"保留中",IF($AL2212&lt;&gt;"",IF(N($AE2212)&gt;0,"支給済","不支給"),IF($AE2212="","要確認",IF($AE2212=0,"不支給","未処理")))))</f>
        <v/>
      </c>
      <c r="AG2212" s="12" t="n"/>
      <c r="AH2212" s="11" t="n"/>
      <c r="AI2212" s="11" t="n"/>
      <c r="AJ2212" s="11" t="n"/>
      <c r="AK2212" s="14">
        <f>IF(AND($AF2212="保留中",$AH2212&lt;&gt;""),TODAY()-$AH2212,"")</f>
        <v/>
      </c>
      <c r="AL2212" s="12" t="n"/>
      <c r="AM2212" s="14">
        <f>IF($B2212="","",IF($AQ2212="","対象年月が未入力／","")&amp;IF($B2212="","",IF($AP2212="","職員マスタに未登録の職員番号／",IF($AA2212="","標準報酬月額が未登録／","")&amp;IF(AND($AQ2212&lt;&gt;"",OR(AND(INDEX(職員マスタ!$G$6:$G$405,$AP2212)&lt;&gt;"",INDEX(職員マスタ!$G$6:$G$405,$AP2212)&gt;EOMONTH($AQ2212,0)),AND(INDEX(職員マスタ!$H$6:$H$405,$AP2212)&lt;&gt;"",INDEX(職員マスタ!$H$6:$H$405,$AP2212)&lt;$AQ2212))),"対象月が時短期間外／","")&amp;IF(AND(INDEX(職員マスタ!$K$6:$K$405,$AP2212)&lt;&gt;"",N($W2212)&gt;0,INDEX(職員マスタ!$K$6:$K$405,$AP2212)&lt;&gt;$W2212),"標準報酬月額が申請書と相違（台帳"&amp;TEXT(INDEX(職員マスタ!$K$6:$K$405,$AP2212),"#,##0")&amp;"円／申請書"&amp;TEXT($W2212,"#,##0")&amp;"円）／","")&amp;IF(AND(INDEX(職員マスタ!$F$6:$F$405,$AP2212)&lt;&gt;"",$AQ2212&lt;&gt;"",INDEX(職員マスタ!$F$6:$F$405,$AP2212)&lt;$AQ2212),"対象月に子が2歳到達済／","")&amp;IF(AND($H2212&lt;&gt;"",INDEX(職員マスタ!$B$6:$B$405,$AP2212)&lt;&gt;"",SUBSTITUTE(SUBSTITUTE($H2212," ","")," ","")&lt;&gt;SUBSTITUTE(SUBSTITUTE(INDEX(職員マスタ!$B$6:$B$405,$AP2212)," ","")," ","")),"氏名がマスタと相違／","")&amp;IF(AND($Q2212&lt;&gt;"",INDEX(職員マスタ!$E$6:$E$405,$AP2212)&lt;&gt;"",$Q2212&lt;&gt;INDEX(職員マスタ!$E$6:$E$405,$AP2212)),"子の生年月日がマスタと相違／","")&amp;IF(AND($L2212&lt;&gt;"",INDEX(職員マスタ!$G$6:$G$405,$AP2212)&lt;&gt;"",$L2212&lt;&gt;INDEX(職員マスタ!$G$6:$G$405,$AP2212)),"時短開始日がマスタと相違／","")&amp;IF(AND($M2212&lt;&gt;"",INDEX(職員マスタ!$H$6:$H$405,$AP2212)&lt;&gt;"",$M2212&lt;&gt;INDEX(職員マスタ!$H$6:$H$405,$AP2212)),"時短終了日がマスタと相違／","")))&amp;IF(AND($B2212&lt;&gt;"",$E2212=""),"報酬額が未入力／","")&amp;IF(N($U2212)&gt;0,"申請書に入力エラーが残っています／","")&amp;IF(AND($B2212&lt;&gt;"",$AQ2212&lt;&gt;""),IF(COUNTIFS($B$6:$B$3005,$B2212,$C$6:$C$3005,$C2212,$D$6:$D$3005,$D2212)&gt;1,"同じ月の請求が重複しています／",""),"")&amp;IF(AND(N($E2212)&gt;0,$AB2212&lt;&gt;"",$AB2212&lt;&gt;"×",$AE2212=0,$AD2212=""),"計算額が下限以下のため不支給／",""))</f>
        <v/>
      </c>
      <c r="AN2212" s="12" t="n"/>
      <c r="AO2212" s="14">
        <f>IF($AF2212="保留中",COUNTIF($AF$6:$AF2212,"保留中"),"")</f>
        <v/>
      </c>
      <c r="AP2212" s="14">
        <f>IF($AQ2212="","",IF(SUMPRODUCT(MAX((職員マスタ!$A$6:$A$405=$B2212)*(((職員マスタ!$G$6:$G$405="")+(職員マスタ!$G$6:$G$405&lt;=EOMONTH($AQ2212,0)))&gt;0)*(((職員マスタ!$H$6:$H$405="")+(職員マスタ!$H$6:$H$405&gt;=$AQ2212))&gt;0)*(ROW(職員マスタ!$A$6:$A$405)-5)))&gt;0,SUMPRODUCT(MAX((職員マスタ!$A$6:$A$405=$B2212)*(((職員マスタ!$G$6:$G$405="")+(職員マスタ!$G$6:$G$405&lt;=EOMONTH($AQ2212,0)))&gt;0)*(((職員マスタ!$H$6:$H$405="")+(職員マスタ!$H$6:$H$405&gt;=$AQ2212))&gt;0)*(ROW(職員マスタ!$A$6:$A$405)-5))),IFERROR(MATCH($B2212,職員マスタ!$A$6:$A$405,0),"")))</f>
        <v/>
      </c>
      <c r="AQ2212" s="16">
        <f>IF(OR($B2212="",$C2212="",$D2212=""),"",DATE($C2212+2018,$D2212,1))</f>
        <v/>
      </c>
    </row>
    <row r="2213">
      <c r="A2213" s="11" t="n"/>
      <c r="B2213" s="12" t="n"/>
      <c r="C2213" s="12" t="n"/>
      <c r="D2213" s="12" t="n"/>
      <c r="E2213" s="13" t="n"/>
      <c r="F2213" s="12" t="n"/>
      <c r="G2213" s="13" t="n"/>
      <c r="H2213" s="12" t="n"/>
      <c r="I2213" s="12" t="n"/>
      <c r="J2213" s="12" t="n"/>
      <c r="K2213" s="12" t="n"/>
      <c r="L2213" s="11" t="n"/>
      <c r="M2213" s="11" t="n"/>
      <c r="N2213" s="11" t="n"/>
      <c r="O2213" s="11" t="n"/>
      <c r="P2213" s="12" t="n"/>
      <c r="Q2213" s="11" t="n"/>
      <c r="R2213" s="12" t="n"/>
      <c r="S2213" s="11" t="n"/>
      <c r="T2213" s="12" t="n"/>
      <c r="U2213" s="12" t="n"/>
      <c r="V2213" s="12" t="n"/>
      <c r="W2213" s="13" t="n"/>
      <c r="X2213" s="14">
        <f>IF($AP2213="",IF($B2213="","",$H2213),IF(INDEX(職員マスタ!$B$6:$B$405,$AP2213)="",$H2213,INDEX(職員マスタ!$B$6:$B$405,$AP2213)))</f>
        <v/>
      </c>
      <c r="Y2213" s="14">
        <f>IF($AP2213="",IF($B2213="","",$R2213),IF(INDEX(職員マスタ!$C$6:$C$405,$AP2213)="",$R2213,INDEX(職員マスタ!$C$6:$C$405,$AP2213)))</f>
        <v/>
      </c>
      <c r="Z2213" s="14">
        <f>IF($AQ2213="","","R"&amp;$C2213&amp;"."&amp;$D2213)</f>
        <v/>
      </c>
      <c r="AA2213" s="15">
        <f>IF(IF($AP2213="",FALSE,INDEX(職員マスタ!$K$6:$K$405,$AP2213)&lt;&gt;""),INDEX(職員マスタ!$K$6:$K$405,$AP2213),IF(N($W2213)&gt;0,$W2213,""))</f>
        <v/>
      </c>
      <c r="AB2213" s="14">
        <f>IF(OR($E2213="",$AA2213=""),"",IF($E2213&gt;=$AA2213,"×",IF($E2213&gt;=$AA2213*設定!$C$5,"△","○")))</f>
        <v/>
      </c>
      <c r="AC2213" s="15">
        <f>IF($AB2213="","",IF($AB2213="×",0,IF($AB2213="○",ROUNDDOWN($E2213*設定!$C$4,0),ROUNDDOWN($E2213*ROUND((9*$AA2213-9*$E2213)/(10*$E2213),4),0))))</f>
        <v/>
      </c>
      <c r="AD2213" s="13" t="n"/>
      <c r="AE2213" s="15">
        <f>IF($B2213="","",IF($AD2213&lt;&gt;"",$AD2213,IF($AC2213="","",IF($AC2213&lt;=設定!$C$3,0,$AC2213))))</f>
        <v/>
      </c>
      <c r="AF2213" s="14">
        <f>IF($B2213="","",IF(AND($AG2213&lt;&gt;"",$AI2213="",$AL2213=""),"保留中",IF($AL2213&lt;&gt;"",IF(N($AE2213)&gt;0,"支給済","不支給"),IF($AE2213="","要確認",IF($AE2213=0,"不支給","未処理")))))</f>
        <v/>
      </c>
      <c r="AG2213" s="12" t="n"/>
      <c r="AH2213" s="11" t="n"/>
      <c r="AI2213" s="11" t="n"/>
      <c r="AJ2213" s="11" t="n"/>
      <c r="AK2213" s="14">
        <f>IF(AND($AF2213="保留中",$AH2213&lt;&gt;""),TODAY()-$AH2213,"")</f>
        <v/>
      </c>
      <c r="AL2213" s="12" t="n"/>
      <c r="AM2213" s="14">
        <f>IF($B2213="","",IF($AQ2213="","対象年月が未入力／","")&amp;IF($B2213="","",IF($AP2213="","職員マスタに未登録の職員番号／",IF($AA2213="","標準報酬月額が未登録／","")&amp;IF(AND($AQ2213&lt;&gt;"",OR(AND(INDEX(職員マスタ!$G$6:$G$405,$AP2213)&lt;&gt;"",INDEX(職員マスタ!$G$6:$G$405,$AP2213)&gt;EOMONTH($AQ2213,0)),AND(INDEX(職員マスタ!$H$6:$H$405,$AP2213)&lt;&gt;"",INDEX(職員マスタ!$H$6:$H$405,$AP2213)&lt;$AQ2213))),"対象月が時短期間外／","")&amp;IF(AND(INDEX(職員マスタ!$K$6:$K$405,$AP2213)&lt;&gt;"",N($W2213)&gt;0,INDEX(職員マスタ!$K$6:$K$405,$AP2213)&lt;&gt;$W2213),"標準報酬月額が申請書と相違（台帳"&amp;TEXT(INDEX(職員マスタ!$K$6:$K$405,$AP2213),"#,##0")&amp;"円／申請書"&amp;TEXT($W2213,"#,##0")&amp;"円）／","")&amp;IF(AND(INDEX(職員マスタ!$F$6:$F$405,$AP2213)&lt;&gt;"",$AQ2213&lt;&gt;"",INDEX(職員マスタ!$F$6:$F$405,$AP2213)&lt;$AQ2213),"対象月に子が2歳到達済／","")&amp;IF(AND($H2213&lt;&gt;"",INDEX(職員マスタ!$B$6:$B$405,$AP2213)&lt;&gt;"",SUBSTITUTE(SUBSTITUTE($H2213," ","")," ","")&lt;&gt;SUBSTITUTE(SUBSTITUTE(INDEX(職員マスタ!$B$6:$B$405,$AP2213)," ","")," ","")),"氏名がマスタと相違／","")&amp;IF(AND($Q2213&lt;&gt;"",INDEX(職員マスタ!$E$6:$E$405,$AP2213)&lt;&gt;"",$Q2213&lt;&gt;INDEX(職員マスタ!$E$6:$E$405,$AP2213)),"子の生年月日がマスタと相違／","")&amp;IF(AND($L2213&lt;&gt;"",INDEX(職員マスタ!$G$6:$G$405,$AP2213)&lt;&gt;"",$L2213&lt;&gt;INDEX(職員マスタ!$G$6:$G$405,$AP2213)),"時短開始日がマスタと相違／","")&amp;IF(AND($M2213&lt;&gt;"",INDEX(職員マスタ!$H$6:$H$405,$AP2213)&lt;&gt;"",$M2213&lt;&gt;INDEX(職員マスタ!$H$6:$H$405,$AP2213)),"時短終了日がマスタと相違／","")))&amp;IF(AND($B2213&lt;&gt;"",$E2213=""),"報酬額が未入力／","")&amp;IF(N($U2213)&gt;0,"申請書に入力エラーが残っています／","")&amp;IF(AND($B2213&lt;&gt;"",$AQ2213&lt;&gt;""),IF(COUNTIFS($B$6:$B$3005,$B2213,$C$6:$C$3005,$C2213,$D$6:$D$3005,$D2213)&gt;1,"同じ月の請求が重複しています／",""),"")&amp;IF(AND(N($E2213)&gt;0,$AB2213&lt;&gt;"",$AB2213&lt;&gt;"×",$AE2213=0,$AD2213=""),"計算額が下限以下のため不支給／",""))</f>
        <v/>
      </c>
      <c r="AN2213" s="12" t="n"/>
      <c r="AO2213" s="14">
        <f>IF($AF2213="保留中",COUNTIF($AF$6:$AF2213,"保留中"),"")</f>
        <v/>
      </c>
      <c r="AP2213" s="14">
        <f>IF($AQ2213="","",IF(SUMPRODUCT(MAX((職員マスタ!$A$6:$A$405=$B2213)*(((職員マスタ!$G$6:$G$405="")+(職員マスタ!$G$6:$G$405&lt;=EOMONTH($AQ2213,0)))&gt;0)*(((職員マスタ!$H$6:$H$405="")+(職員マスタ!$H$6:$H$405&gt;=$AQ2213))&gt;0)*(ROW(職員マスタ!$A$6:$A$405)-5)))&gt;0,SUMPRODUCT(MAX((職員マスタ!$A$6:$A$405=$B2213)*(((職員マスタ!$G$6:$G$405="")+(職員マスタ!$G$6:$G$405&lt;=EOMONTH($AQ2213,0)))&gt;0)*(((職員マスタ!$H$6:$H$405="")+(職員マスタ!$H$6:$H$405&gt;=$AQ2213))&gt;0)*(ROW(職員マスタ!$A$6:$A$405)-5))),IFERROR(MATCH($B2213,職員マスタ!$A$6:$A$405,0),"")))</f>
        <v/>
      </c>
      <c r="AQ2213" s="16">
        <f>IF(OR($B2213="",$C2213="",$D2213=""),"",DATE($C2213+2018,$D2213,1))</f>
        <v/>
      </c>
    </row>
    <row r="2214">
      <c r="A2214" s="11" t="n"/>
      <c r="B2214" s="12" t="n"/>
      <c r="C2214" s="12" t="n"/>
      <c r="D2214" s="12" t="n"/>
      <c r="E2214" s="13" t="n"/>
      <c r="F2214" s="12" t="n"/>
      <c r="G2214" s="13" t="n"/>
      <c r="H2214" s="12" t="n"/>
      <c r="I2214" s="12" t="n"/>
      <c r="J2214" s="12" t="n"/>
      <c r="K2214" s="12" t="n"/>
      <c r="L2214" s="11" t="n"/>
      <c r="M2214" s="11" t="n"/>
      <c r="N2214" s="11" t="n"/>
      <c r="O2214" s="11" t="n"/>
      <c r="P2214" s="12" t="n"/>
      <c r="Q2214" s="11" t="n"/>
      <c r="R2214" s="12" t="n"/>
      <c r="S2214" s="11" t="n"/>
      <c r="T2214" s="12" t="n"/>
      <c r="U2214" s="12" t="n"/>
      <c r="V2214" s="12" t="n"/>
      <c r="W2214" s="13" t="n"/>
      <c r="X2214" s="14">
        <f>IF($AP2214="",IF($B2214="","",$H2214),IF(INDEX(職員マスタ!$B$6:$B$405,$AP2214)="",$H2214,INDEX(職員マスタ!$B$6:$B$405,$AP2214)))</f>
        <v/>
      </c>
      <c r="Y2214" s="14">
        <f>IF($AP2214="",IF($B2214="","",$R2214),IF(INDEX(職員マスタ!$C$6:$C$405,$AP2214)="",$R2214,INDEX(職員マスタ!$C$6:$C$405,$AP2214)))</f>
        <v/>
      </c>
      <c r="Z2214" s="14">
        <f>IF($AQ2214="","","R"&amp;$C2214&amp;"."&amp;$D2214)</f>
        <v/>
      </c>
      <c r="AA2214" s="15">
        <f>IF(IF($AP2214="",FALSE,INDEX(職員マスタ!$K$6:$K$405,$AP2214)&lt;&gt;""),INDEX(職員マスタ!$K$6:$K$405,$AP2214),IF(N($W2214)&gt;0,$W2214,""))</f>
        <v/>
      </c>
      <c r="AB2214" s="14">
        <f>IF(OR($E2214="",$AA2214=""),"",IF($E2214&gt;=$AA2214,"×",IF($E2214&gt;=$AA2214*設定!$C$5,"△","○")))</f>
        <v/>
      </c>
      <c r="AC2214" s="15">
        <f>IF($AB2214="","",IF($AB2214="×",0,IF($AB2214="○",ROUNDDOWN($E2214*設定!$C$4,0),ROUNDDOWN($E2214*ROUND((9*$AA2214-9*$E2214)/(10*$E2214),4),0))))</f>
        <v/>
      </c>
      <c r="AD2214" s="13" t="n"/>
      <c r="AE2214" s="15">
        <f>IF($B2214="","",IF($AD2214&lt;&gt;"",$AD2214,IF($AC2214="","",IF($AC2214&lt;=設定!$C$3,0,$AC2214))))</f>
        <v/>
      </c>
      <c r="AF2214" s="14">
        <f>IF($B2214="","",IF(AND($AG2214&lt;&gt;"",$AI2214="",$AL2214=""),"保留中",IF($AL2214&lt;&gt;"",IF(N($AE2214)&gt;0,"支給済","不支給"),IF($AE2214="","要確認",IF($AE2214=0,"不支給","未処理")))))</f>
        <v/>
      </c>
      <c r="AG2214" s="12" t="n"/>
      <c r="AH2214" s="11" t="n"/>
      <c r="AI2214" s="11" t="n"/>
      <c r="AJ2214" s="11" t="n"/>
      <c r="AK2214" s="14">
        <f>IF(AND($AF2214="保留中",$AH2214&lt;&gt;""),TODAY()-$AH2214,"")</f>
        <v/>
      </c>
      <c r="AL2214" s="12" t="n"/>
      <c r="AM2214" s="14">
        <f>IF($B2214="","",IF($AQ2214="","対象年月が未入力／","")&amp;IF($B2214="","",IF($AP2214="","職員マスタに未登録の職員番号／",IF($AA2214="","標準報酬月額が未登録／","")&amp;IF(AND($AQ2214&lt;&gt;"",OR(AND(INDEX(職員マスタ!$G$6:$G$405,$AP2214)&lt;&gt;"",INDEX(職員マスタ!$G$6:$G$405,$AP2214)&gt;EOMONTH($AQ2214,0)),AND(INDEX(職員マスタ!$H$6:$H$405,$AP2214)&lt;&gt;"",INDEX(職員マスタ!$H$6:$H$405,$AP2214)&lt;$AQ2214))),"対象月が時短期間外／","")&amp;IF(AND(INDEX(職員マスタ!$K$6:$K$405,$AP2214)&lt;&gt;"",N($W2214)&gt;0,INDEX(職員マスタ!$K$6:$K$405,$AP2214)&lt;&gt;$W2214),"標準報酬月額が申請書と相違（台帳"&amp;TEXT(INDEX(職員マスタ!$K$6:$K$405,$AP2214),"#,##0")&amp;"円／申請書"&amp;TEXT($W2214,"#,##0")&amp;"円）／","")&amp;IF(AND(INDEX(職員マスタ!$F$6:$F$405,$AP2214)&lt;&gt;"",$AQ2214&lt;&gt;"",INDEX(職員マスタ!$F$6:$F$405,$AP2214)&lt;$AQ2214),"対象月に子が2歳到達済／","")&amp;IF(AND($H2214&lt;&gt;"",INDEX(職員マスタ!$B$6:$B$405,$AP2214)&lt;&gt;"",SUBSTITUTE(SUBSTITUTE($H2214," ","")," ","")&lt;&gt;SUBSTITUTE(SUBSTITUTE(INDEX(職員マスタ!$B$6:$B$405,$AP2214)," ","")," ","")),"氏名がマスタと相違／","")&amp;IF(AND($Q2214&lt;&gt;"",INDEX(職員マスタ!$E$6:$E$405,$AP2214)&lt;&gt;"",$Q2214&lt;&gt;INDEX(職員マスタ!$E$6:$E$405,$AP2214)),"子の生年月日がマスタと相違／","")&amp;IF(AND($L2214&lt;&gt;"",INDEX(職員マスタ!$G$6:$G$405,$AP2214)&lt;&gt;"",$L2214&lt;&gt;INDEX(職員マスタ!$G$6:$G$405,$AP2214)),"時短開始日がマスタと相違／","")&amp;IF(AND($M2214&lt;&gt;"",INDEX(職員マスタ!$H$6:$H$405,$AP2214)&lt;&gt;"",$M2214&lt;&gt;INDEX(職員マスタ!$H$6:$H$405,$AP2214)),"時短終了日がマスタと相違／","")))&amp;IF(AND($B2214&lt;&gt;"",$E2214=""),"報酬額が未入力／","")&amp;IF(N($U2214)&gt;0,"申請書に入力エラーが残っています／","")&amp;IF(AND($B2214&lt;&gt;"",$AQ2214&lt;&gt;""),IF(COUNTIFS($B$6:$B$3005,$B2214,$C$6:$C$3005,$C2214,$D$6:$D$3005,$D2214)&gt;1,"同じ月の請求が重複しています／",""),"")&amp;IF(AND(N($E2214)&gt;0,$AB2214&lt;&gt;"",$AB2214&lt;&gt;"×",$AE2214=0,$AD2214=""),"計算額が下限以下のため不支給／",""))</f>
        <v/>
      </c>
      <c r="AN2214" s="12" t="n"/>
      <c r="AO2214" s="14">
        <f>IF($AF2214="保留中",COUNTIF($AF$6:$AF2214,"保留中"),"")</f>
        <v/>
      </c>
      <c r="AP2214" s="14">
        <f>IF($AQ2214="","",IF(SUMPRODUCT(MAX((職員マスタ!$A$6:$A$405=$B2214)*(((職員マスタ!$G$6:$G$405="")+(職員マスタ!$G$6:$G$405&lt;=EOMONTH($AQ2214,0)))&gt;0)*(((職員マスタ!$H$6:$H$405="")+(職員マスタ!$H$6:$H$405&gt;=$AQ2214))&gt;0)*(ROW(職員マスタ!$A$6:$A$405)-5)))&gt;0,SUMPRODUCT(MAX((職員マスタ!$A$6:$A$405=$B2214)*(((職員マスタ!$G$6:$G$405="")+(職員マスタ!$G$6:$G$405&lt;=EOMONTH($AQ2214,0)))&gt;0)*(((職員マスタ!$H$6:$H$405="")+(職員マスタ!$H$6:$H$405&gt;=$AQ2214))&gt;0)*(ROW(職員マスタ!$A$6:$A$405)-5))),IFERROR(MATCH($B2214,職員マスタ!$A$6:$A$405,0),"")))</f>
        <v/>
      </c>
      <c r="AQ2214" s="16">
        <f>IF(OR($B2214="",$C2214="",$D2214=""),"",DATE($C2214+2018,$D2214,1))</f>
        <v/>
      </c>
    </row>
    <row r="2215">
      <c r="A2215" s="11" t="n"/>
      <c r="B2215" s="12" t="n"/>
      <c r="C2215" s="12" t="n"/>
      <c r="D2215" s="12" t="n"/>
      <c r="E2215" s="13" t="n"/>
      <c r="F2215" s="12" t="n"/>
      <c r="G2215" s="13" t="n"/>
      <c r="H2215" s="12" t="n"/>
      <c r="I2215" s="12" t="n"/>
      <c r="J2215" s="12" t="n"/>
      <c r="K2215" s="12" t="n"/>
      <c r="L2215" s="11" t="n"/>
      <c r="M2215" s="11" t="n"/>
      <c r="N2215" s="11" t="n"/>
      <c r="O2215" s="11" t="n"/>
      <c r="P2215" s="12" t="n"/>
      <c r="Q2215" s="11" t="n"/>
      <c r="R2215" s="12" t="n"/>
      <c r="S2215" s="11" t="n"/>
      <c r="T2215" s="12" t="n"/>
      <c r="U2215" s="12" t="n"/>
      <c r="V2215" s="12" t="n"/>
      <c r="W2215" s="13" t="n"/>
      <c r="X2215" s="14">
        <f>IF($AP2215="",IF($B2215="","",$H2215),IF(INDEX(職員マスタ!$B$6:$B$405,$AP2215)="",$H2215,INDEX(職員マスタ!$B$6:$B$405,$AP2215)))</f>
        <v/>
      </c>
      <c r="Y2215" s="14">
        <f>IF($AP2215="",IF($B2215="","",$R2215),IF(INDEX(職員マスタ!$C$6:$C$405,$AP2215)="",$R2215,INDEX(職員マスタ!$C$6:$C$405,$AP2215)))</f>
        <v/>
      </c>
      <c r="Z2215" s="14">
        <f>IF($AQ2215="","","R"&amp;$C2215&amp;"."&amp;$D2215)</f>
        <v/>
      </c>
      <c r="AA2215" s="15">
        <f>IF(IF($AP2215="",FALSE,INDEX(職員マスタ!$K$6:$K$405,$AP2215)&lt;&gt;""),INDEX(職員マスタ!$K$6:$K$405,$AP2215),IF(N($W2215)&gt;0,$W2215,""))</f>
        <v/>
      </c>
      <c r="AB2215" s="14">
        <f>IF(OR($E2215="",$AA2215=""),"",IF($E2215&gt;=$AA2215,"×",IF($E2215&gt;=$AA2215*設定!$C$5,"△","○")))</f>
        <v/>
      </c>
      <c r="AC2215" s="15">
        <f>IF($AB2215="","",IF($AB2215="×",0,IF($AB2215="○",ROUNDDOWN($E2215*設定!$C$4,0),ROUNDDOWN($E2215*ROUND((9*$AA2215-9*$E2215)/(10*$E2215),4),0))))</f>
        <v/>
      </c>
      <c r="AD2215" s="13" t="n"/>
      <c r="AE2215" s="15">
        <f>IF($B2215="","",IF($AD2215&lt;&gt;"",$AD2215,IF($AC2215="","",IF($AC2215&lt;=設定!$C$3,0,$AC2215))))</f>
        <v/>
      </c>
      <c r="AF2215" s="14">
        <f>IF($B2215="","",IF(AND($AG2215&lt;&gt;"",$AI2215="",$AL2215=""),"保留中",IF($AL2215&lt;&gt;"",IF(N($AE2215)&gt;0,"支給済","不支給"),IF($AE2215="","要確認",IF($AE2215=0,"不支給","未処理")))))</f>
        <v/>
      </c>
      <c r="AG2215" s="12" t="n"/>
      <c r="AH2215" s="11" t="n"/>
      <c r="AI2215" s="11" t="n"/>
      <c r="AJ2215" s="11" t="n"/>
      <c r="AK2215" s="14">
        <f>IF(AND($AF2215="保留中",$AH2215&lt;&gt;""),TODAY()-$AH2215,"")</f>
        <v/>
      </c>
      <c r="AL2215" s="12" t="n"/>
      <c r="AM2215" s="14">
        <f>IF($B2215="","",IF($AQ2215="","対象年月が未入力／","")&amp;IF($B2215="","",IF($AP2215="","職員マスタに未登録の職員番号／",IF($AA2215="","標準報酬月額が未登録／","")&amp;IF(AND($AQ2215&lt;&gt;"",OR(AND(INDEX(職員マスタ!$G$6:$G$405,$AP2215)&lt;&gt;"",INDEX(職員マスタ!$G$6:$G$405,$AP2215)&gt;EOMONTH($AQ2215,0)),AND(INDEX(職員マスタ!$H$6:$H$405,$AP2215)&lt;&gt;"",INDEX(職員マスタ!$H$6:$H$405,$AP2215)&lt;$AQ2215))),"対象月が時短期間外／","")&amp;IF(AND(INDEX(職員マスタ!$K$6:$K$405,$AP2215)&lt;&gt;"",N($W2215)&gt;0,INDEX(職員マスタ!$K$6:$K$405,$AP2215)&lt;&gt;$W2215),"標準報酬月額が申請書と相違（台帳"&amp;TEXT(INDEX(職員マスタ!$K$6:$K$405,$AP2215),"#,##0")&amp;"円／申請書"&amp;TEXT($W2215,"#,##0")&amp;"円）／","")&amp;IF(AND(INDEX(職員マスタ!$F$6:$F$405,$AP2215)&lt;&gt;"",$AQ2215&lt;&gt;"",INDEX(職員マスタ!$F$6:$F$405,$AP2215)&lt;$AQ2215),"対象月に子が2歳到達済／","")&amp;IF(AND($H2215&lt;&gt;"",INDEX(職員マスタ!$B$6:$B$405,$AP2215)&lt;&gt;"",SUBSTITUTE(SUBSTITUTE($H2215," ","")," ","")&lt;&gt;SUBSTITUTE(SUBSTITUTE(INDEX(職員マスタ!$B$6:$B$405,$AP2215)," ","")," ","")),"氏名がマスタと相違／","")&amp;IF(AND($Q2215&lt;&gt;"",INDEX(職員マスタ!$E$6:$E$405,$AP2215)&lt;&gt;"",$Q2215&lt;&gt;INDEX(職員マスタ!$E$6:$E$405,$AP2215)),"子の生年月日がマスタと相違／","")&amp;IF(AND($L2215&lt;&gt;"",INDEX(職員マスタ!$G$6:$G$405,$AP2215)&lt;&gt;"",$L2215&lt;&gt;INDEX(職員マスタ!$G$6:$G$405,$AP2215)),"時短開始日がマスタと相違／","")&amp;IF(AND($M2215&lt;&gt;"",INDEX(職員マスタ!$H$6:$H$405,$AP2215)&lt;&gt;"",$M2215&lt;&gt;INDEX(職員マスタ!$H$6:$H$405,$AP2215)),"時短終了日がマスタと相違／","")))&amp;IF(AND($B2215&lt;&gt;"",$E2215=""),"報酬額が未入力／","")&amp;IF(N($U2215)&gt;0,"申請書に入力エラーが残っています／","")&amp;IF(AND($B2215&lt;&gt;"",$AQ2215&lt;&gt;""),IF(COUNTIFS($B$6:$B$3005,$B2215,$C$6:$C$3005,$C2215,$D$6:$D$3005,$D2215)&gt;1,"同じ月の請求が重複しています／",""),"")&amp;IF(AND(N($E2215)&gt;0,$AB2215&lt;&gt;"",$AB2215&lt;&gt;"×",$AE2215=0,$AD2215=""),"計算額が下限以下のため不支給／",""))</f>
        <v/>
      </c>
      <c r="AN2215" s="12" t="n"/>
      <c r="AO2215" s="14">
        <f>IF($AF2215="保留中",COUNTIF($AF$6:$AF2215,"保留中"),"")</f>
        <v/>
      </c>
      <c r="AP2215" s="14">
        <f>IF($AQ2215="","",IF(SUMPRODUCT(MAX((職員マスタ!$A$6:$A$405=$B2215)*(((職員マスタ!$G$6:$G$405="")+(職員マスタ!$G$6:$G$405&lt;=EOMONTH($AQ2215,0)))&gt;0)*(((職員マスタ!$H$6:$H$405="")+(職員マスタ!$H$6:$H$405&gt;=$AQ2215))&gt;0)*(ROW(職員マスタ!$A$6:$A$405)-5)))&gt;0,SUMPRODUCT(MAX((職員マスタ!$A$6:$A$405=$B2215)*(((職員マスタ!$G$6:$G$405="")+(職員マスタ!$G$6:$G$405&lt;=EOMONTH($AQ2215,0)))&gt;0)*(((職員マスタ!$H$6:$H$405="")+(職員マスタ!$H$6:$H$405&gt;=$AQ2215))&gt;0)*(ROW(職員マスタ!$A$6:$A$405)-5))),IFERROR(MATCH($B2215,職員マスタ!$A$6:$A$405,0),"")))</f>
        <v/>
      </c>
      <c r="AQ2215" s="16">
        <f>IF(OR($B2215="",$C2215="",$D2215=""),"",DATE($C2215+2018,$D2215,1))</f>
        <v/>
      </c>
    </row>
    <row r="2216">
      <c r="A2216" s="11" t="n"/>
      <c r="B2216" s="12" t="n"/>
      <c r="C2216" s="12" t="n"/>
      <c r="D2216" s="12" t="n"/>
      <c r="E2216" s="13" t="n"/>
      <c r="F2216" s="12" t="n"/>
      <c r="G2216" s="13" t="n"/>
      <c r="H2216" s="12" t="n"/>
      <c r="I2216" s="12" t="n"/>
      <c r="J2216" s="12" t="n"/>
      <c r="K2216" s="12" t="n"/>
      <c r="L2216" s="11" t="n"/>
      <c r="M2216" s="11" t="n"/>
      <c r="N2216" s="11" t="n"/>
      <c r="O2216" s="11" t="n"/>
      <c r="P2216" s="12" t="n"/>
      <c r="Q2216" s="11" t="n"/>
      <c r="R2216" s="12" t="n"/>
      <c r="S2216" s="11" t="n"/>
      <c r="T2216" s="12" t="n"/>
      <c r="U2216" s="12" t="n"/>
      <c r="V2216" s="12" t="n"/>
      <c r="W2216" s="13" t="n"/>
      <c r="X2216" s="14">
        <f>IF($AP2216="",IF($B2216="","",$H2216),IF(INDEX(職員マスタ!$B$6:$B$405,$AP2216)="",$H2216,INDEX(職員マスタ!$B$6:$B$405,$AP2216)))</f>
        <v/>
      </c>
      <c r="Y2216" s="14">
        <f>IF($AP2216="",IF($B2216="","",$R2216),IF(INDEX(職員マスタ!$C$6:$C$405,$AP2216)="",$R2216,INDEX(職員マスタ!$C$6:$C$405,$AP2216)))</f>
        <v/>
      </c>
      <c r="Z2216" s="14">
        <f>IF($AQ2216="","","R"&amp;$C2216&amp;"."&amp;$D2216)</f>
        <v/>
      </c>
      <c r="AA2216" s="15">
        <f>IF(IF($AP2216="",FALSE,INDEX(職員マスタ!$K$6:$K$405,$AP2216)&lt;&gt;""),INDEX(職員マスタ!$K$6:$K$405,$AP2216),IF(N($W2216)&gt;0,$W2216,""))</f>
        <v/>
      </c>
      <c r="AB2216" s="14">
        <f>IF(OR($E2216="",$AA2216=""),"",IF($E2216&gt;=$AA2216,"×",IF($E2216&gt;=$AA2216*設定!$C$5,"△","○")))</f>
        <v/>
      </c>
      <c r="AC2216" s="15">
        <f>IF($AB2216="","",IF($AB2216="×",0,IF($AB2216="○",ROUNDDOWN($E2216*設定!$C$4,0),ROUNDDOWN($E2216*ROUND((9*$AA2216-9*$E2216)/(10*$E2216),4),0))))</f>
        <v/>
      </c>
      <c r="AD2216" s="13" t="n"/>
      <c r="AE2216" s="15">
        <f>IF($B2216="","",IF($AD2216&lt;&gt;"",$AD2216,IF($AC2216="","",IF($AC2216&lt;=設定!$C$3,0,$AC2216))))</f>
        <v/>
      </c>
      <c r="AF2216" s="14">
        <f>IF($B2216="","",IF(AND($AG2216&lt;&gt;"",$AI2216="",$AL2216=""),"保留中",IF($AL2216&lt;&gt;"",IF(N($AE2216)&gt;0,"支給済","不支給"),IF($AE2216="","要確認",IF($AE2216=0,"不支給","未処理")))))</f>
        <v/>
      </c>
      <c r="AG2216" s="12" t="n"/>
      <c r="AH2216" s="11" t="n"/>
      <c r="AI2216" s="11" t="n"/>
      <c r="AJ2216" s="11" t="n"/>
      <c r="AK2216" s="14">
        <f>IF(AND($AF2216="保留中",$AH2216&lt;&gt;""),TODAY()-$AH2216,"")</f>
        <v/>
      </c>
      <c r="AL2216" s="12" t="n"/>
      <c r="AM2216" s="14">
        <f>IF($B2216="","",IF($AQ2216="","対象年月が未入力／","")&amp;IF($B2216="","",IF($AP2216="","職員マスタに未登録の職員番号／",IF($AA2216="","標準報酬月額が未登録／","")&amp;IF(AND($AQ2216&lt;&gt;"",OR(AND(INDEX(職員マスタ!$G$6:$G$405,$AP2216)&lt;&gt;"",INDEX(職員マスタ!$G$6:$G$405,$AP2216)&gt;EOMONTH($AQ2216,0)),AND(INDEX(職員マスタ!$H$6:$H$405,$AP2216)&lt;&gt;"",INDEX(職員マスタ!$H$6:$H$405,$AP2216)&lt;$AQ2216))),"対象月が時短期間外／","")&amp;IF(AND(INDEX(職員マスタ!$K$6:$K$405,$AP2216)&lt;&gt;"",N($W2216)&gt;0,INDEX(職員マスタ!$K$6:$K$405,$AP2216)&lt;&gt;$W2216),"標準報酬月額が申請書と相違（台帳"&amp;TEXT(INDEX(職員マスタ!$K$6:$K$405,$AP2216),"#,##0")&amp;"円／申請書"&amp;TEXT($W2216,"#,##0")&amp;"円）／","")&amp;IF(AND(INDEX(職員マスタ!$F$6:$F$405,$AP2216)&lt;&gt;"",$AQ2216&lt;&gt;"",INDEX(職員マスタ!$F$6:$F$405,$AP2216)&lt;$AQ2216),"対象月に子が2歳到達済／","")&amp;IF(AND($H2216&lt;&gt;"",INDEX(職員マスタ!$B$6:$B$405,$AP2216)&lt;&gt;"",SUBSTITUTE(SUBSTITUTE($H2216," ","")," ","")&lt;&gt;SUBSTITUTE(SUBSTITUTE(INDEX(職員マスタ!$B$6:$B$405,$AP2216)," ","")," ","")),"氏名がマスタと相違／","")&amp;IF(AND($Q2216&lt;&gt;"",INDEX(職員マスタ!$E$6:$E$405,$AP2216)&lt;&gt;"",$Q2216&lt;&gt;INDEX(職員マスタ!$E$6:$E$405,$AP2216)),"子の生年月日がマスタと相違／","")&amp;IF(AND($L2216&lt;&gt;"",INDEX(職員マスタ!$G$6:$G$405,$AP2216)&lt;&gt;"",$L2216&lt;&gt;INDEX(職員マスタ!$G$6:$G$405,$AP2216)),"時短開始日がマスタと相違／","")&amp;IF(AND($M2216&lt;&gt;"",INDEX(職員マスタ!$H$6:$H$405,$AP2216)&lt;&gt;"",$M2216&lt;&gt;INDEX(職員マスタ!$H$6:$H$405,$AP2216)),"時短終了日がマスタと相違／","")))&amp;IF(AND($B2216&lt;&gt;"",$E2216=""),"報酬額が未入力／","")&amp;IF(N($U2216)&gt;0,"申請書に入力エラーが残っています／","")&amp;IF(AND($B2216&lt;&gt;"",$AQ2216&lt;&gt;""),IF(COUNTIFS($B$6:$B$3005,$B2216,$C$6:$C$3005,$C2216,$D$6:$D$3005,$D2216)&gt;1,"同じ月の請求が重複しています／",""),"")&amp;IF(AND(N($E2216)&gt;0,$AB2216&lt;&gt;"",$AB2216&lt;&gt;"×",$AE2216=0,$AD2216=""),"計算額が下限以下のため不支給／",""))</f>
        <v/>
      </c>
      <c r="AN2216" s="12" t="n"/>
      <c r="AO2216" s="14">
        <f>IF($AF2216="保留中",COUNTIF($AF$6:$AF2216,"保留中"),"")</f>
        <v/>
      </c>
      <c r="AP2216" s="14">
        <f>IF($AQ2216="","",IF(SUMPRODUCT(MAX((職員マスタ!$A$6:$A$405=$B2216)*(((職員マスタ!$G$6:$G$405="")+(職員マスタ!$G$6:$G$405&lt;=EOMONTH($AQ2216,0)))&gt;0)*(((職員マスタ!$H$6:$H$405="")+(職員マスタ!$H$6:$H$405&gt;=$AQ2216))&gt;0)*(ROW(職員マスタ!$A$6:$A$405)-5)))&gt;0,SUMPRODUCT(MAX((職員マスタ!$A$6:$A$405=$B2216)*(((職員マスタ!$G$6:$G$405="")+(職員マスタ!$G$6:$G$405&lt;=EOMONTH($AQ2216,0)))&gt;0)*(((職員マスタ!$H$6:$H$405="")+(職員マスタ!$H$6:$H$405&gt;=$AQ2216))&gt;0)*(ROW(職員マスタ!$A$6:$A$405)-5))),IFERROR(MATCH($B2216,職員マスタ!$A$6:$A$405,0),"")))</f>
        <v/>
      </c>
      <c r="AQ2216" s="16">
        <f>IF(OR($B2216="",$C2216="",$D2216=""),"",DATE($C2216+2018,$D2216,1))</f>
        <v/>
      </c>
    </row>
    <row r="2217">
      <c r="A2217" s="11" t="n"/>
      <c r="B2217" s="12" t="n"/>
      <c r="C2217" s="12" t="n"/>
      <c r="D2217" s="12" t="n"/>
      <c r="E2217" s="13" t="n"/>
      <c r="F2217" s="12" t="n"/>
      <c r="G2217" s="13" t="n"/>
      <c r="H2217" s="12" t="n"/>
      <c r="I2217" s="12" t="n"/>
      <c r="J2217" s="12" t="n"/>
      <c r="K2217" s="12" t="n"/>
      <c r="L2217" s="11" t="n"/>
      <c r="M2217" s="11" t="n"/>
      <c r="N2217" s="11" t="n"/>
      <c r="O2217" s="11" t="n"/>
      <c r="P2217" s="12" t="n"/>
      <c r="Q2217" s="11" t="n"/>
      <c r="R2217" s="12" t="n"/>
      <c r="S2217" s="11" t="n"/>
      <c r="T2217" s="12" t="n"/>
      <c r="U2217" s="12" t="n"/>
      <c r="V2217" s="12" t="n"/>
      <c r="W2217" s="13" t="n"/>
      <c r="X2217" s="14">
        <f>IF($AP2217="",IF($B2217="","",$H2217),IF(INDEX(職員マスタ!$B$6:$B$405,$AP2217)="",$H2217,INDEX(職員マスタ!$B$6:$B$405,$AP2217)))</f>
        <v/>
      </c>
      <c r="Y2217" s="14">
        <f>IF($AP2217="",IF($B2217="","",$R2217),IF(INDEX(職員マスタ!$C$6:$C$405,$AP2217)="",$R2217,INDEX(職員マスタ!$C$6:$C$405,$AP2217)))</f>
        <v/>
      </c>
      <c r="Z2217" s="14">
        <f>IF($AQ2217="","","R"&amp;$C2217&amp;"."&amp;$D2217)</f>
        <v/>
      </c>
      <c r="AA2217" s="15">
        <f>IF(IF($AP2217="",FALSE,INDEX(職員マスタ!$K$6:$K$405,$AP2217)&lt;&gt;""),INDEX(職員マスタ!$K$6:$K$405,$AP2217),IF(N($W2217)&gt;0,$W2217,""))</f>
        <v/>
      </c>
      <c r="AB2217" s="14">
        <f>IF(OR($E2217="",$AA2217=""),"",IF($E2217&gt;=$AA2217,"×",IF($E2217&gt;=$AA2217*設定!$C$5,"△","○")))</f>
        <v/>
      </c>
      <c r="AC2217" s="15">
        <f>IF($AB2217="","",IF($AB2217="×",0,IF($AB2217="○",ROUNDDOWN($E2217*設定!$C$4,0),ROUNDDOWN($E2217*ROUND((9*$AA2217-9*$E2217)/(10*$E2217),4),0))))</f>
        <v/>
      </c>
      <c r="AD2217" s="13" t="n"/>
      <c r="AE2217" s="15">
        <f>IF($B2217="","",IF($AD2217&lt;&gt;"",$AD2217,IF($AC2217="","",IF($AC2217&lt;=設定!$C$3,0,$AC2217))))</f>
        <v/>
      </c>
      <c r="AF2217" s="14">
        <f>IF($B2217="","",IF(AND($AG2217&lt;&gt;"",$AI2217="",$AL2217=""),"保留中",IF($AL2217&lt;&gt;"",IF(N($AE2217)&gt;0,"支給済","不支給"),IF($AE2217="","要確認",IF($AE2217=0,"不支給","未処理")))))</f>
        <v/>
      </c>
      <c r="AG2217" s="12" t="n"/>
      <c r="AH2217" s="11" t="n"/>
      <c r="AI2217" s="11" t="n"/>
      <c r="AJ2217" s="11" t="n"/>
      <c r="AK2217" s="14">
        <f>IF(AND($AF2217="保留中",$AH2217&lt;&gt;""),TODAY()-$AH2217,"")</f>
        <v/>
      </c>
      <c r="AL2217" s="12" t="n"/>
      <c r="AM2217" s="14">
        <f>IF($B2217="","",IF($AQ2217="","対象年月が未入力／","")&amp;IF($B2217="","",IF($AP2217="","職員マスタに未登録の職員番号／",IF($AA2217="","標準報酬月額が未登録／","")&amp;IF(AND($AQ2217&lt;&gt;"",OR(AND(INDEX(職員マスタ!$G$6:$G$405,$AP2217)&lt;&gt;"",INDEX(職員マスタ!$G$6:$G$405,$AP2217)&gt;EOMONTH($AQ2217,0)),AND(INDEX(職員マスタ!$H$6:$H$405,$AP2217)&lt;&gt;"",INDEX(職員マスタ!$H$6:$H$405,$AP2217)&lt;$AQ2217))),"対象月が時短期間外／","")&amp;IF(AND(INDEX(職員マスタ!$K$6:$K$405,$AP2217)&lt;&gt;"",N($W2217)&gt;0,INDEX(職員マスタ!$K$6:$K$405,$AP2217)&lt;&gt;$W2217),"標準報酬月額が申請書と相違（台帳"&amp;TEXT(INDEX(職員マスタ!$K$6:$K$405,$AP2217),"#,##0")&amp;"円／申請書"&amp;TEXT($W2217,"#,##0")&amp;"円）／","")&amp;IF(AND(INDEX(職員マスタ!$F$6:$F$405,$AP2217)&lt;&gt;"",$AQ2217&lt;&gt;"",INDEX(職員マスタ!$F$6:$F$405,$AP2217)&lt;$AQ2217),"対象月に子が2歳到達済／","")&amp;IF(AND($H2217&lt;&gt;"",INDEX(職員マスタ!$B$6:$B$405,$AP2217)&lt;&gt;"",SUBSTITUTE(SUBSTITUTE($H2217," ","")," ","")&lt;&gt;SUBSTITUTE(SUBSTITUTE(INDEX(職員マスタ!$B$6:$B$405,$AP2217)," ","")," ","")),"氏名がマスタと相違／","")&amp;IF(AND($Q2217&lt;&gt;"",INDEX(職員マスタ!$E$6:$E$405,$AP2217)&lt;&gt;"",$Q2217&lt;&gt;INDEX(職員マスタ!$E$6:$E$405,$AP2217)),"子の生年月日がマスタと相違／","")&amp;IF(AND($L2217&lt;&gt;"",INDEX(職員マスタ!$G$6:$G$405,$AP2217)&lt;&gt;"",$L2217&lt;&gt;INDEX(職員マスタ!$G$6:$G$405,$AP2217)),"時短開始日がマスタと相違／","")&amp;IF(AND($M2217&lt;&gt;"",INDEX(職員マスタ!$H$6:$H$405,$AP2217)&lt;&gt;"",$M2217&lt;&gt;INDEX(職員マスタ!$H$6:$H$405,$AP2217)),"時短終了日がマスタと相違／","")))&amp;IF(AND($B2217&lt;&gt;"",$E2217=""),"報酬額が未入力／","")&amp;IF(N($U2217)&gt;0,"申請書に入力エラーが残っています／","")&amp;IF(AND($B2217&lt;&gt;"",$AQ2217&lt;&gt;""),IF(COUNTIFS($B$6:$B$3005,$B2217,$C$6:$C$3005,$C2217,$D$6:$D$3005,$D2217)&gt;1,"同じ月の請求が重複しています／",""),"")&amp;IF(AND(N($E2217)&gt;0,$AB2217&lt;&gt;"",$AB2217&lt;&gt;"×",$AE2217=0,$AD2217=""),"計算額が下限以下のため不支給／",""))</f>
        <v/>
      </c>
      <c r="AN2217" s="12" t="n"/>
      <c r="AO2217" s="14">
        <f>IF($AF2217="保留中",COUNTIF($AF$6:$AF2217,"保留中"),"")</f>
        <v/>
      </c>
      <c r="AP2217" s="14">
        <f>IF($AQ2217="","",IF(SUMPRODUCT(MAX((職員マスタ!$A$6:$A$405=$B2217)*(((職員マスタ!$G$6:$G$405="")+(職員マスタ!$G$6:$G$405&lt;=EOMONTH($AQ2217,0)))&gt;0)*(((職員マスタ!$H$6:$H$405="")+(職員マスタ!$H$6:$H$405&gt;=$AQ2217))&gt;0)*(ROW(職員マスタ!$A$6:$A$405)-5)))&gt;0,SUMPRODUCT(MAX((職員マスタ!$A$6:$A$405=$B2217)*(((職員マスタ!$G$6:$G$405="")+(職員マスタ!$G$6:$G$405&lt;=EOMONTH($AQ2217,0)))&gt;0)*(((職員マスタ!$H$6:$H$405="")+(職員マスタ!$H$6:$H$405&gt;=$AQ2217))&gt;0)*(ROW(職員マスタ!$A$6:$A$405)-5))),IFERROR(MATCH($B2217,職員マスタ!$A$6:$A$405,0),"")))</f>
        <v/>
      </c>
      <c r="AQ2217" s="16">
        <f>IF(OR($B2217="",$C2217="",$D2217=""),"",DATE($C2217+2018,$D2217,1))</f>
        <v/>
      </c>
    </row>
    <row r="2218">
      <c r="A2218" s="11" t="n"/>
      <c r="B2218" s="12" t="n"/>
      <c r="C2218" s="12" t="n"/>
      <c r="D2218" s="12" t="n"/>
      <c r="E2218" s="13" t="n"/>
      <c r="F2218" s="12" t="n"/>
      <c r="G2218" s="13" t="n"/>
      <c r="H2218" s="12" t="n"/>
      <c r="I2218" s="12" t="n"/>
      <c r="J2218" s="12" t="n"/>
      <c r="K2218" s="12" t="n"/>
      <c r="L2218" s="11" t="n"/>
      <c r="M2218" s="11" t="n"/>
      <c r="N2218" s="11" t="n"/>
      <c r="O2218" s="11" t="n"/>
      <c r="P2218" s="12" t="n"/>
      <c r="Q2218" s="11" t="n"/>
      <c r="R2218" s="12" t="n"/>
      <c r="S2218" s="11" t="n"/>
      <c r="T2218" s="12" t="n"/>
      <c r="U2218" s="12" t="n"/>
      <c r="V2218" s="12" t="n"/>
      <c r="W2218" s="13" t="n"/>
      <c r="X2218" s="14">
        <f>IF($AP2218="",IF($B2218="","",$H2218),IF(INDEX(職員マスタ!$B$6:$B$405,$AP2218)="",$H2218,INDEX(職員マスタ!$B$6:$B$405,$AP2218)))</f>
        <v/>
      </c>
      <c r="Y2218" s="14">
        <f>IF($AP2218="",IF($B2218="","",$R2218),IF(INDEX(職員マスタ!$C$6:$C$405,$AP2218)="",$R2218,INDEX(職員マスタ!$C$6:$C$405,$AP2218)))</f>
        <v/>
      </c>
      <c r="Z2218" s="14">
        <f>IF($AQ2218="","","R"&amp;$C2218&amp;"."&amp;$D2218)</f>
        <v/>
      </c>
      <c r="AA2218" s="15">
        <f>IF(IF($AP2218="",FALSE,INDEX(職員マスタ!$K$6:$K$405,$AP2218)&lt;&gt;""),INDEX(職員マスタ!$K$6:$K$405,$AP2218),IF(N($W2218)&gt;0,$W2218,""))</f>
        <v/>
      </c>
      <c r="AB2218" s="14">
        <f>IF(OR($E2218="",$AA2218=""),"",IF($E2218&gt;=$AA2218,"×",IF($E2218&gt;=$AA2218*設定!$C$5,"△","○")))</f>
        <v/>
      </c>
      <c r="AC2218" s="15">
        <f>IF($AB2218="","",IF($AB2218="×",0,IF($AB2218="○",ROUNDDOWN($E2218*設定!$C$4,0),ROUNDDOWN($E2218*ROUND((9*$AA2218-9*$E2218)/(10*$E2218),4),0))))</f>
        <v/>
      </c>
      <c r="AD2218" s="13" t="n"/>
      <c r="AE2218" s="15">
        <f>IF($B2218="","",IF($AD2218&lt;&gt;"",$AD2218,IF($AC2218="","",IF($AC2218&lt;=設定!$C$3,0,$AC2218))))</f>
        <v/>
      </c>
      <c r="AF2218" s="14">
        <f>IF($B2218="","",IF(AND($AG2218&lt;&gt;"",$AI2218="",$AL2218=""),"保留中",IF($AL2218&lt;&gt;"",IF(N($AE2218)&gt;0,"支給済","不支給"),IF($AE2218="","要確認",IF($AE2218=0,"不支給","未処理")))))</f>
        <v/>
      </c>
      <c r="AG2218" s="12" t="n"/>
      <c r="AH2218" s="11" t="n"/>
      <c r="AI2218" s="11" t="n"/>
      <c r="AJ2218" s="11" t="n"/>
      <c r="AK2218" s="14">
        <f>IF(AND($AF2218="保留中",$AH2218&lt;&gt;""),TODAY()-$AH2218,"")</f>
        <v/>
      </c>
      <c r="AL2218" s="12" t="n"/>
      <c r="AM2218" s="14">
        <f>IF($B2218="","",IF($AQ2218="","対象年月が未入力／","")&amp;IF($B2218="","",IF($AP2218="","職員マスタに未登録の職員番号／",IF($AA2218="","標準報酬月額が未登録／","")&amp;IF(AND($AQ2218&lt;&gt;"",OR(AND(INDEX(職員マスタ!$G$6:$G$405,$AP2218)&lt;&gt;"",INDEX(職員マスタ!$G$6:$G$405,$AP2218)&gt;EOMONTH($AQ2218,0)),AND(INDEX(職員マスタ!$H$6:$H$405,$AP2218)&lt;&gt;"",INDEX(職員マスタ!$H$6:$H$405,$AP2218)&lt;$AQ2218))),"対象月が時短期間外／","")&amp;IF(AND(INDEX(職員マスタ!$K$6:$K$405,$AP2218)&lt;&gt;"",N($W2218)&gt;0,INDEX(職員マスタ!$K$6:$K$405,$AP2218)&lt;&gt;$W2218),"標準報酬月額が申請書と相違（台帳"&amp;TEXT(INDEX(職員マスタ!$K$6:$K$405,$AP2218),"#,##0")&amp;"円／申請書"&amp;TEXT($W2218,"#,##0")&amp;"円）／","")&amp;IF(AND(INDEX(職員マスタ!$F$6:$F$405,$AP2218)&lt;&gt;"",$AQ2218&lt;&gt;"",INDEX(職員マスタ!$F$6:$F$405,$AP2218)&lt;$AQ2218),"対象月に子が2歳到達済／","")&amp;IF(AND($H2218&lt;&gt;"",INDEX(職員マスタ!$B$6:$B$405,$AP2218)&lt;&gt;"",SUBSTITUTE(SUBSTITUTE($H2218," ","")," ","")&lt;&gt;SUBSTITUTE(SUBSTITUTE(INDEX(職員マスタ!$B$6:$B$405,$AP2218)," ","")," ","")),"氏名がマスタと相違／","")&amp;IF(AND($Q2218&lt;&gt;"",INDEX(職員マスタ!$E$6:$E$405,$AP2218)&lt;&gt;"",$Q2218&lt;&gt;INDEX(職員マスタ!$E$6:$E$405,$AP2218)),"子の生年月日がマスタと相違／","")&amp;IF(AND($L2218&lt;&gt;"",INDEX(職員マスタ!$G$6:$G$405,$AP2218)&lt;&gt;"",$L2218&lt;&gt;INDEX(職員マスタ!$G$6:$G$405,$AP2218)),"時短開始日がマスタと相違／","")&amp;IF(AND($M2218&lt;&gt;"",INDEX(職員マスタ!$H$6:$H$405,$AP2218)&lt;&gt;"",$M2218&lt;&gt;INDEX(職員マスタ!$H$6:$H$405,$AP2218)),"時短終了日がマスタと相違／","")))&amp;IF(AND($B2218&lt;&gt;"",$E2218=""),"報酬額が未入力／","")&amp;IF(N($U2218)&gt;0,"申請書に入力エラーが残っています／","")&amp;IF(AND($B2218&lt;&gt;"",$AQ2218&lt;&gt;""),IF(COUNTIFS($B$6:$B$3005,$B2218,$C$6:$C$3005,$C2218,$D$6:$D$3005,$D2218)&gt;1,"同じ月の請求が重複しています／",""),"")&amp;IF(AND(N($E2218)&gt;0,$AB2218&lt;&gt;"",$AB2218&lt;&gt;"×",$AE2218=0,$AD2218=""),"計算額が下限以下のため不支給／",""))</f>
        <v/>
      </c>
      <c r="AN2218" s="12" t="n"/>
      <c r="AO2218" s="14">
        <f>IF($AF2218="保留中",COUNTIF($AF$6:$AF2218,"保留中"),"")</f>
        <v/>
      </c>
      <c r="AP2218" s="14">
        <f>IF($AQ2218="","",IF(SUMPRODUCT(MAX((職員マスタ!$A$6:$A$405=$B2218)*(((職員マスタ!$G$6:$G$405="")+(職員マスタ!$G$6:$G$405&lt;=EOMONTH($AQ2218,0)))&gt;0)*(((職員マスタ!$H$6:$H$405="")+(職員マスタ!$H$6:$H$405&gt;=$AQ2218))&gt;0)*(ROW(職員マスタ!$A$6:$A$405)-5)))&gt;0,SUMPRODUCT(MAX((職員マスタ!$A$6:$A$405=$B2218)*(((職員マスタ!$G$6:$G$405="")+(職員マスタ!$G$6:$G$405&lt;=EOMONTH($AQ2218,0)))&gt;0)*(((職員マスタ!$H$6:$H$405="")+(職員マスタ!$H$6:$H$405&gt;=$AQ2218))&gt;0)*(ROW(職員マスタ!$A$6:$A$405)-5))),IFERROR(MATCH($B2218,職員マスタ!$A$6:$A$405,0),"")))</f>
        <v/>
      </c>
      <c r="AQ2218" s="16">
        <f>IF(OR($B2218="",$C2218="",$D2218=""),"",DATE($C2218+2018,$D2218,1))</f>
        <v/>
      </c>
    </row>
    <row r="2219">
      <c r="A2219" s="11" t="n"/>
      <c r="B2219" s="12" t="n"/>
      <c r="C2219" s="12" t="n"/>
      <c r="D2219" s="12" t="n"/>
      <c r="E2219" s="13" t="n"/>
      <c r="F2219" s="12" t="n"/>
      <c r="G2219" s="13" t="n"/>
      <c r="H2219" s="12" t="n"/>
      <c r="I2219" s="12" t="n"/>
      <c r="J2219" s="12" t="n"/>
      <c r="K2219" s="12" t="n"/>
      <c r="L2219" s="11" t="n"/>
      <c r="M2219" s="11" t="n"/>
      <c r="N2219" s="11" t="n"/>
      <c r="O2219" s="11" t="n"/>
      <c r="P2219" s="12" t="n"/>
      <c r="Q2219" s="11" t="n"/>
      <c r="R2219" s="12" t="n"/>
      <c r="S2219" s="11" t="n"/>
      <c r="T2219" s="12" t="n"/>
      <c r="U2219" s="12" t="n"/>
      <c r="V2219" s="12" t="n"/>
      <c r="W2219" s="13" t="n"/>
      <c r="X2219" s="14">
        <f>IF($AP2219="",IF($B2219="","",$H2219),IF(INDEX(職員マスタ!$B$6:$B$405,$AP2219)="",$H2219,INDEX(職員マスタ!$B$6:$B$405,$AP2219)))</f>
        <v/>
      </c>
      <c r="Y2219" s="14">
        <f>IF($AP2219="",IF($B2219="","",$R2219),IF(INDEX(職員マスタ!$C$6:$C$405,$AP2219)="",$R2219,INDEX(職員マスタ!$C$6:$C$405,$AP2219)))</f>
        <v/>
      </c>
      <c r="Z2219" s="14">
        <f>IF($AQ2219="","","R"&amp;$C2219&amp;"."&amp;$D2219)</f>
        <v/>
      </c>
      <c r="AA2219" s="15">
        <f>IF(IF($AP2219="",FALSE,INDEX(職員マスタ!$K$6:$K$405,$AP2219)&lt;&gt;""),INDEX(職員マスタ!$K$6:$K$405,$AP2219),IF(N($W2219)&gt;0,$W2219,""))</f>
        <v/>
      </c>
      <c r="AB2219" s="14">
        <f>IF(OR($E2219="",$AA2219=""),"",IF($E2219&gt;=$AA2219,"×",IF($E2219&gt;=$AA2219*設定!$C$5,"△","○")))</f>
        <v/>
      </c>
      <c r="AC2219" s="15">
        <f>IF($AB2219="","",IF($AB2219="×",0,IF($AB2219="○",ROUNDDOWN($E2219*設定!$C$4,0),ROUNDDOWN($E2219*ROUND((9*$AA2219-9*$E2219)/(10*$E2219),4),0))))</f>
        <v/>
      </c>
      <c r="AD2219" s="13" t="n"/>
      <c r="AE2219" s="15">
        <f>IF($B2219="","",IF($AD2219&lt;&gt;"",$AD2219,IF($AC2219="","",IF($AC2219&lt;=設定!$C$3,0,$AC2219))))</f>
        <v/>
      </c>
      <c r="AF2219" s="14">
        <f>IF($B2219="","",IF(AND($AG2219&lt;&gt;"",$AI2219="",$AL2219=""),"保留中",IF($AL2219&lt;&gt;"",IF(N($AE2219)&gt;0,"支給済","不支給"),IF($AE2219="","要確認",IF($AE2219=0,"不支給","未処理")))))</f>
        <v/>
      </c>
      <c r="AG2219" s="12" t="n"/>
      <c r="AH2219" s="11" t="n"/>
      <c r="AI2219" s="11" t="n"/>
      <c r="AJ2219" s="11" t="n"/>
      <c r="AK2219" s="14">
        <f>IF(AND($AF2219="保留中",$AH2219&lt;&gt;""),TODAY()-$AH2219,"")</f>
        <v/>
      </c>
      <c r="AL2219" s="12" t="n"/>
      <c r="AM2219" s="14">
        <f>IF($B2219="","",IF($AQ2219="","対象年月が未入力／","")&amp;IF($B2219="","",IF($AP2219="","職員マスタに未登録の職員番号／",IF($AA2219="","標準報酬月額が未登録／","")&amp;IF(AND($AQ2219&lt;&gt;"",OR(AND(INDEX(職員マスタ!$G$6:$G$405,$AP2219)&lt;&gt;"",INDEX(職員マスタ!$G$6:$G$405,$AP2219)&gt;EOMONTH($AQ2219,0)),AND(INDEX(職員マスタ!$H$6:$H$405,$AP2219)&lt;&gt;"",INDEX(職員マスタ!$H$6:$H$405,$AP2219)&lt;$AQ2219))),"対象月が時短期間外／","")&amp;IF(AND(INDEX(職員マスタ!$K$6:$K$405,$AP2219)&lt;&gt;"",N($W2219)&gt;0,INDEX(職員マスタ!$K$6:$K$405,$AP2219)&lt;&gt;$W2219),"標準報酬月額が申請書と相違（台帳"&amp;TEXT(INDEX(職員マスタ!$K$6:$K$405,$AP2219),"#,##0")&amp;"円／申請書"&amp;TEXT($W2219,"#,##0")&amp;"円）／","")&amp;IF(AND(INDEX(職員マスタ!$F$6:$F$405,$AP2219)&lt;&gt;"",$AQ2219&lt;&gt;"",INDEX(職員マスタ!$F$6:$F$405,$AP2219)&lt;$AQ2219),"対象月に子が2歳到達済／","")&amp;IF(AND($H2219&lt;&gt;"",INDEX(職員マスタ!$B$6:$B$405,$AP2219)&lt;&gt;"",SUBSTITUTE(SUBSTITUTE($H2219," ","")," ","")&lt;&gt;SUBSTITUTE(SUBSTITUTE(INDEX(職員マスタ!$B$6:$B$405,$AP2219)," ","")," ","")),"氏名がマスタと相違／","")&amp;IF(AND($Q2219&lt;&gt;"",INDEX(職員マスタ!$E$6:$E$405,$AP2219)&lt;&gt;"",$Q2219&lt;&gt;INDEX(職員マスタ!$E$6:$E$405,$AP2219)),"子の生年月日がマスタと相違／","")&amp;IF(AND($L2219&lt;&gt;"",INDEX(職員マスタ!$G$6:$G$405,$AP2219)&lt;&gt;"",$L2219&lt;&gt;INDEX(職員マスタ!$G$6:$G$405,$AP2219)),"時短開始日がマスタと相違／","")&amp;IF(AND($M2219&lt;&gt;"",INDEX(職員マスタ!$H$6:$H$405,$AP2219)&lt;&gt;"",$M2219&lt;&gt;INDEX(職員マスタ!$H$6:$H$405,$AP2219)),"時短終了日がマスタと相違／","")))&amp;IF(AND($B2219&lt;&gt;"",$E2219=""),"報酬額が未入力／","")&amp;IF(N($U2219)&gt;0,"申請書に入力エラーが残っています／","")&amp;IF(AND($B2219&lt;&gt;"",$AQ2219&lt;&gt;""),IF(COUNTIFS($B$6:$B$3005,$B2219,$C$6:$C$3005,$C2219,$D$6:$D$3005,$D2219)&gt;1,"同じ月の請求が重複しています／",""),"")&amp;IF(AND(N($E2219)&gt;0,$AB2219&lt;&gt;"",$AB2219&lt;&gt;"×",$AE2219=0,$AD2219=""),"計算額が下限以下のため不支給／",""))</f>
        <v/>
      </c>
      <c r="AN2219" s="12" t="n"/>
      <c r="AO2219" s="14">
        <f>IF($AF2219="保留中",COUNTIF($AF$6:$AF2219,"保留中"),"")</f>
        <v/>
      </c>
      <c r="AP2219" s="14">
        <f>IF($AQ2219="","",IF(SUMPRODUCT(MAX((職員マスタ!$A$6:$A$405=$B2219)*(((職員マスタ!$G$6:$G$405="")+(職員マスタ!$G$6:$G$405&lt;=EOMONTH($AQ2219,0)))&gt;0)*(((職員マスタ!$H$6:$H$405="")+(職員マスタ!$H$6:$H$405&gt;=$AQ2219))&gt;0)*(ROW(職員マスタ!$A$6:$A$405)-5)))&gt;0,SUMPRODUCT(MAX((職員マスタ!$A$6:$A$405=$B2219)*(((職員マスタ!$G$6:$G$405="")+(職員マスタ!$G$6:$G$405&lt;=EOMONTH($AQ2219,0)))&gt;0)*(((職員マスタ!$H$6:$H$405="")+(職員マスタ!$H$6:$H$405&gt;=$AQ2219))&gt;0)*(ROW(職員マスタ!$A$6:$A$405)-5))),IFERROR(MATCH($B2219,職員マスタ!$A$6:$A$405,0),"")))</f>
        <v/>
      </c>
      <c r="AQ2219" s="16">
        <f>IF(OR($B2219="",$C2219="",$D2219=""),"",DATE($C2219+2018,$D2219,1))</f>
        <v/>
      </c>
    </row>
    <row r="2220">
      <c r="A2220" s="11" t="n"/>
      <c r="B2220" s="12" t="n"/>
      <c r="C2220" s="12" t="n"/>
      <c r="D2220" s="12" t="n"/>
      <c r="E2220" s="13" t="n"/>
      <c r="F2220" s="12" t="n"/>
      <c r="G2220" s="13" t="n"/>
      <c r="H2220" s="12" t="n"/>
      <c r="I2220" s="12" t="n"/>
      <c r="J2220" s="12" t="n"/>
      <c r="K2220" s="12" t="n"/>
      <c r="L2220" s="11" t="n"/>
      <c r="M2220" s="11" t="n"/>
      <c r="N2220" s="11" t="n"/>
      <c r="O2220" s="11" t="n"/>
      <c r="P2220" s="12" t="n"/>
      <c r="Q2220" s="11" t="n"/>
      <c r="R2220" s="12" t="n"/>
      <c r="S2220" s="11" t="n"/>
      <c r="T2220" s="12" t="n"/>
      <c r="U2220" s="12" t="n"/>
      <c r="V2220" s="12" t="n"/>
      <c r="W2220" s="13" t="n"/>
      <c r="X2220" s="14">
        <f>IF($AP2220="",IF($B2220="","",$H2220),IF(INDEX(職員マスタ!$B$6:$B$405,$AP2220)="",$H2220,INDEX(職員マスタ!$B$6:$B$405,$AP2220)))</f>
        <v/>
      </c>
      <c r="Y2220" s="14">
        <f>IF($AP2220="",IF($B2220="","",$R2220),IF(INDEX(職員マスタ!$C$6:$C$405,$AP2220)="",$R2220,INDEX(職員マスタ!$C$6:$C$405,$AP2220)))</f>
        <v/>
      </c>
      <c r="Z2220" s="14">
        <f>IF($AQ2220="","","R"&amp;$C2220&amp;"."&amp;$D2220)</f>
        <v/>
      </c>
      <c r="AA2220" s="15">
        <f>IF(IF($AP2220="",FALSE,INDEX(職員マスタ!$K$6:$K$405,$AP2220)&lt;&gt;""),INDEX(職員マスタ!$K$6:$K$405,$AP2220),IF(N($W2220)&gt;0,$W2220,""))</f>
        <v/>
      </c>
      <c r="AB2220" s="14">
        <f>IF(OR($E2220="",$AA2220=""),"",IF($E2220&gt;=$AA2220,"×",IF($E2220&gt;=$AA2220*設定!$C$5,"△","○")))</f>
        <v/>
      </c>
      <c r="AC2220" s="15">
        <f>IF($AB2220="","",IF($AB2220="×",0,IF($AB2220="○",ROUNDDOWN($E2220*設定!$C$4,0),ROUNDDOWN($E2220*ROUND((9*$AA2220-9*$E2220)/(10*$E2220),4),0))))</f>
        <v/>
      </c>
      <c r="AD2220" s="13" t="n"/>
      <c r="AE2220" s="15">
        <f>IF($B2220="","",IF($AD2220&lt;&gt;"",$AD2220,IF($AC2220="","",IF($AC2220&lt;=設定!$C$3,0,$AC2220))))</f>
        <v/>
      </c>
      <c r="AF2220" s="14">
        <f>IF($B2220="","",IF(AND($AG2220&lt;&gt;"",$AI2220="",$AL2220=""),"保留中",IF($AL2220&lt;&gt;"",IF(N($AE2220)&gt;0,"支給済","不支給"),IF($AE2220="","要確認",IF($AE2220=0,"不支給","未処理")))))</f>
        <v/>
      </c>
      <c r="AG2220" s="12" t="n"/>
      <c r="AH2220" s="11" t="n"/>
      <c r="AI2220" s="11" t="n"/>
      <c r="AJ2220" s="11" t="n"/>
      <c r="AK2220" s="14">
        <f>IF(AND($AF2220="保留中",$AH2220&lt;&gt;""),TODAY()-$AH2220,"")</f>
        <v/>
      </c>
      <c r="AL2220" s="12" t="n"/>
      <c r="AM2220" s="14">
        <f>IF($B2220="","",IF($AQ2220="","対象年月が未入力／","")&amp;IF($B2220="","",IF($AP2220="","職員マスタに未登録の職員番号／",IF($AA2220="","標準報酬月額が未登録／","")&amp;IF(AND($AQ2220&lt;&gt;"",OR(AND(INDEX(職員マスタ!$G$6:$G$405,$AP2220)&lt;&gt;"",INDEX(職員マスタ!$G$6:$G$405,$AP2220)&gt;EOMONTH($AQ2220,0)),AND(INDEX(職員マスタ!$H$6:$H$405,$AP2220)&lt;&gt;"",INDEX(職員マスタ!$H$6:$H$405,$AP2220)&lt;$AQ2220))),"対象月が時短期間外／","")&amp;IF(AND(INDEX(職員マスタ!$K$6:$K$405,$AP2220)&lt;&gt;"",N($W2220)&gt;0,INDEX(職員マスタ!$K$6:$K$405,$AP2220)&lt;&gt;$W2220),"標準報酬月額が申請書と相違（台帳"&amp;TEXT(INDEX(職員マスタ!$K$6:$K$405,$AP2220),"#,##0")&amp;"円／申請書"&amp;TEXT($W2220,"#,##0")&amp;"円）／","")&amp;IF(AND(INDEX(職員マスタ!$F$6:$F$405,$AP2220)&lt;&gt;"",$AQ2220&lt;&gt;"",INDEX(職員マスタ!$F$6:$F$405,$AP2220)&lt;$AQ2220),"対象月に子が2歳到達済／","")&amp;IF(AND($H2220&lt;&gt;"",INDEX(職員マスタ!$B$6:$B$405,$AP2220)&lt;&gt;"",SUBSTITUTE(SUBSTITUTE($H2220," ","")," ","")&lt;&gt;SUBSTITUTE(SUBSTITUTE(INDEX(職員マスタ!$B$6:$B$405,$AP2220)," ","")," ","")),"氏名がマスタと相違／","")&amp;IF(AND($Q2220&lt;&gt;"",INDEX(職員マスタ!$E$6:$E$405,$AP2220)&lt;&gt;"",$Q2220&lt;&gt;INDEX(職員マスタ!$E$6:$E$405,$AP2220)),"子の生年月日がマスタと相違／","")&amp;IF(AND($L2220&lt;&gt;"",INDEX(職員マスタ!$G$6:$G$405,$AP2220)&lt;&gt;"",$L2220&lt;&gt;INDEX(職員マスタ!$G$6:$G$405,$AP2220)),"時短開始日がマスタと相違／","")&amp;IF(AND($M2220&lt;&gt;"",INDEX(職員マスタ!$H$6:$H$405,$AP2220)&lt;&gt;"",$M2220&lt;&gt;INDEX(職員マスタ!$H$6:$H$405,$AP2220)),"時短終了日がマスタと相違／","")))&amp;IF(AND($B2220&lt;&gt;"",$E2220=""),"報酬額が未入力／","")&amp;IF(N($U2220)&gt;0,"申請書に入力エラーが残っています／","")&amp;IF(AND($B2220&lt;&gt;"",$AQ2220&lt;&gt;""),IF(COUNTIFS($B$6:$B$3005,$B2220,$C$6:$C$3005,$C2220,$D$6:$D$3005,$D2220)&gt;1,"同じ月の請求が重複しています／",""),"")&amp;IF(AND(N($E2220)&gt;0,$AB2220&lt;&gt;"",$AB2220&lt;&gt;"×",$AE2220=0,$AD2220=""),"計算額が下限以下のため不支給／",""))</f>
        <v/>
      </c>
      <c r="AN2220" s="12" t="n"/>
      <c r="AO2220" s="14">
        <f>IF($AF2220="保留中",COUNTIF($AF$6:$AF2220,"保留中"),"")</f>
        <v/>
      </c>
      <c r="AP2220" s="14">
        <f>IF($AQ2220="","",IF(SUMPRODUCT(MAX((職員マスタ!$A$6:$A$405=$B2220)*(((職員マスタ!$G$6:$G$405="")+(職員マスタ!$G$6:$G$405&lt;=EOMONTH($AQ2220,0)))&gt;0)*(((職員マスタ!$H$6:$H$405="")+(職員マスタ!$H$6:$H$405&gt;=$AQ2220))&gt;0)*(ROW(職員マスタ!$A$6:$A$405)-5)))&gt;0,SUMPRODUCT(MAX((職員マスタ!$A$6:$A$405=$B2220)*(((職員マスタ!$G$6:$G$405="")+(職員マスタ!$G$6:$G$405&lt;=EOMONTH($AQ2220,0)))&gt;0)*(((職員マスタ!$H$6:$H$405="")+(職員マスタ!$H$6:$H$405&gt;=$AQ2220))&gt;0)*(ROW(職員マスタ!$A$6:$A$405)-5))),IFERROR(MATCH($B2220,職員マスタ!$A$6:$A$405,0),"")))</f>
        <v/>
      </c>
      <c r="AQ2220" s="16">
        <f>IF(OR($B2220="",$C2220="",$D2220=""),"",DATE($C2220+2018,$D2220,1))</f>
        <v/>
      </c>
    </row>
    <row r="2221">
      <c r="A2221" s="11" t="n"/>
      <c r="B2221" s="12" t="n"/>
      <c r="C2221" s="12" t="n"/>
      <c r="D2221" s="12" t="n"/>
      <c r="E2221" s="13" t="n"/>
      <c r="F2221" s="12" t="n"/>
      <c r="G2221" s="13" t="n"/>
      <c r="H2221" s="12" t="n"/>
      <c r="I2221" s="12" t="n"/>
      <c r="J2221" s="12" t="n"/>
      <c r="K2221" s="12" t="n"/>
      <c r="L2221" s="11" t="n"/>
      <c r="M2221" s="11" t="n"/>
      <c r="N2221" s="11" t="n"/>
      <c r="O2221" s="11" t="n"/>
      <c r="P2221" s="12" t="n"/>
      <c r="Q2221" s="11" t="n"/>
      <c r="R2221" s="12" t="n"/>
      <c r="S2221" s="11" t="n"/>
      <c r="T2221" s="12" t="n"/>
      <c r="U2221" s="12" t="n"/>
      <c r="V2221" s="12" t="n"/>
      <c r="W2221" s="13" t="n"/>
      <c r="X2221" s="14">
        <f>IF($AP2221="",IF($B2221="","",$H2221),IF(INDEX(職員マスタ!$B$6:$B$405,$AP2221)="",$H2221,INDEX(職員マスタ!$B$6:$B$405,$AP2221)))</f>
        <v/>
      </c>
      <c r="Y2221" s="14">
        <f>IF($AP2221="",IF($B2221="","",$R2221),IF(INDEX(職員マスタ!$C$6:$C$405,$AP2221)="",$R2221,INDEX(職員マスタ!$C$6:$C$405,$AP2221)))</f>
        <v/>
      </c>
      <c r="Z2221" s="14">
        <f>IF($AQ2221="","","R"&amp;$C2221&amp;"."&amp;$D2221)</f>
        <v/>
      </c>
      <c r="AA2221" s="15">
        <f>IF(IF($AP2221="",FALSE,INDEX(職員マスタ!$K$6:$K$405,$AP2221)&lt;&gt;""),INDEX(職員マスタ!$K$6:$K$405,$AP2221),IF(N($W2221)&gt;0,$W2221,""))</f>
        <v/>
      </c>
      <c r="AB2221" s="14">
        <f>IF(OR($E2221="",$AA2221=""),"",IF($E2221&gt;=$AA2221,"×",IF($E2221&gt;=$AA2221*設定!$C$5,"△","○")))</f>
        <v/>
      </c>
      <c r="AC2221" s="15">
        <f>IF($AB2221="","",IF($AB2221="×",0,IF($AB2221="○",ROUNDDOWN($E2221*設定!$C$4,0),ROUNDDOWN($E2221*ROUND((9*$AA2221-9*$E2221)/(10*$E2221),4),0))))</f>
        <v/>
      </c>
      <c r="AD2221" s="13" t="n"/>
      <c r="AE2221" s="15">
        <f>IF($B2221="","",IF($AD2221&lt;&gt;"",$AD2221,IF($AC2221="","",IF($AC2221&lt;=設定!$C$3,0,$AC2221))))</f>
        <v/>
      </c>
      <c r="AF2221" s="14">
        <f>IF($B2221="","",IF(AND($AG2221&lt;&gt;"",$AI2221="",$AL2221=""),"保留中",IF($AL2221&lt;&gt;"",IF(N($AE2221)&gt;0,"支給済","不支給"),IF($AE2221="","要確認",IF($AE2221=0,"不支給","未処理")))))</f>
        <v/>
      </c>
      <c r="AG2221" s="12" t="n"/>
      <c r="AH2221" s="11" t="n"/>
      <c r="AI2221" s="11" t="n"/>
      <c r="AJ2221" s="11" t="n"/>
      <c r="AK2221" s="14">
        <f>IF(AND($AF2221="保留中",$AH2221&lt;&gt;""),TODAY()-$AH2221,"")</f>
        <v/>
      </c>
      <c r="AL2221" s="12" t="n"/>
      <c r="AM2221" s="14">
        <f>IF($B2221="","",IF($AQ2221="","対象年月が未入力／","")&amp;IF($B2221="","",IF($AP2221="","職員マスタに未登録の職員番号／",IF($AA2221="","標準報酬月額が未登録／","")&amp;IF(AND($AQ2221&lt;&gt;"",OR(AND(INDEX(職員マスタ!$G$6:$G$405,$AP2221)&lt;&gt;"",INDEX(職員マスタ!$G$6:$G$405,$AP2221)&gt;EOMONTH($AQ2221,0)),AND(INDEX(職員マスタ!$H$6:$H$405,$AP2221)&lt;&gt;"",INDEX(職員マスタ!$H$6:$H$405,$AP2221)&lt;$AQ2221))),"対象月が時短期間外／","")&amp;IF(AND(INDEX(職員マスタ!$K$6:$K$405,$AP2221)&lt;&gt;"",N($W2221)&gt;0,INDEX(職員マスタ!$K$6:$K$405,$AP2221)&lt;&gt;$W2221),"標準報酬月額が申請書と相違（台帳"&amp;TEXT(INDEX(職員マスタ!$K$6:$K$405,$AP2221),"#,##0")&amp;"円／申請書"&amp;TEXT($W2221,"#,##0")&amp;"円）／","")&amp;IF(AND(INDEX(職員マスタ!$F$6:$F$405,$AP2221)&lt;&gt;"",$AQ2221&lt;&gt;"",INDEX(職員マスタ!$F$6:$F$405,$AP2221)&lt;$AQ2221),"対象月に子が2歳到達済／","")&amp;IF(AND($H2221&lt;&gt;"",INDEX(職員マスタ!$B$6:$B$405,$AP2221)&lt;&gt;"",SUBSTITUTE(SUBSTITUTE($H2221," ","")," ","")&lt;&gt;SUBSTITUTE(SUBSTITUTE(INDEX(職員マスタ!$B$6:$B$405,$AP2221)," ","")," ","")),"氏名がマスタと相違／","")&amp;IF(AND($Q2221&lt;&gt;"",INDEX(職員マスタ!$E$6:$E$405,$AP2221)&lt;&gt;"",$Q2221&lt;&gt;INDEX(職員マスタ!$E$6:$E$405,$AP2221)),"子の生年月日がマスタと相違／","")&amp;IF(AND($L2221&lt;&gt;"",INDEX(職員マスタ!$G$6:$G$405,$AP2221)&lt;&gt;"",$L2221&lt;&gt;INDEX(職員マスタ!$G$6:$G$405,$AP2221)),"時短開始日がマスタと相違／","")&amp;IF(AND($M2221&lt;&gt;"",INDEX(職員マスタ!$H$6:$H$405,$AP2221)&lt;&gt;"",$M2221&lt;&gt;INDEX(職員マスタ!$H$6:$H$405,$AP2221)),"時短終了日がマスタと相違／","")))&amp;IF(AND($B2221&lt;&gt;"",$E2221=""),"報酬額が未入力／","")&amp;IF(N($U2221)&gt;0,"申請書に入力エラーが残っています／","")&amp;IF(AND($B2221&lt;&gt;"",$AQ2221&lt;&gt;""),IF(COUNTIFS($B$6:$B$3005,$B2221,$C$6:$C$3005,$C2221,$D$6:$D$3005,$D2221)&gt;1,"同じ月の請求が重複しています／",""),"")&amp;IF(AND(N($E2221)&gt;0,$AB2221&lt;&gt;"",$AB2221&lt;&gt;"×",$AE2221=0,$AD2221=""),"計算額が下限以下のため不支給／",""))</f>
        <v/>
      </c>
      <c r="AN2221" s="12" t="n"/>
      <c r="AO2221" s="14">
        <f>IF($AF2221="保留中",COUNTIF($AF$6:$AF2221,"保留中"),"")</f>
        <v/>
      </c>
      <c r="AP2221" s="14">
        <f>IF($AQ2221="","",IF(SUMPRODUCT(MAX((職員マスタ!$A$6:$A$405=$B2221)*(((職員マスタ!$G$6:$G$405="")+(職員マスタ!$G$6:$G$405&lt;=EOMONTH($AQ2221,0)))&gt;0)*(((職員マスタ!$H$6:$H$405="")+(職員マスタ!$H$6:$H$405&gt;=$AQ2221))&gt;0)*(ROW(職員マスタ!$A$6:$A$405)-5)))&gt;0,SUMPRODUCT(MAX((職員マスタ!$A$6:$A$405=$B2221)*(((職員マスタ!$G$6:$G$405="")+(職員マスタ!$G$6:$G$405&lt;=EOMONTH($AQ2221,0)))&gt;0)*(((職員マスタ!$H$6:$H$405="")+(職員マスタ!$H$6:$H$405&gt;=$AQ2221))&gt;0)*(ROW(職員マスタ!$A$6:$A$405)-5))),IFERROR(MATCH($B2221,職員マスタ!$A$6:$A$405,0),"")))</f>
        <v/>
      </c>
      <c r="AQ2221" s="16">
        <f>IF(OR($B2221="",$C2221="",$D2221=""),"",DATE($C2221+2018,$D2221,1))</f>
        <v/>
      </c>
    </row>
    <row r="2222">
      <c r="A2222" s="11" t="n"/>
      <c r="B2222" s="12" t="n"/>
      <c r="C2222" s="12" t="n"/>
      <c r="D2222" s="12" t="n"/>
      <c r="E2222" s="13" t="n"/>
      <c r="F2222" s="12" t="n"/>
      <c r="G2222" s="13" t="n"/>
      <c r="H2222" s="12" t="n"/>
      <c r="I2222" s="12" t="n"/>
      <c r="J2222" s="12" t="n"/>
      <c r="K2222" s="12" t="n"/>
      <c r="L2222" s="11" t="n"/>
      <c r="M2222" s="11" t="n"/>
      <c r="N2222" s="11" t="n"/>
      <c r="O2222" s="11" t="n"/>
      <c r="P2222" s="12" t="n"/>
      <c r="Q2222" s="11" t="n"/>
      <c r="R2222" s="12" t="n"/>
      <c r="S2222" s="11" t="n"/>
      <c r="T2222" s="12" t="n"/>
      <c r="U2222" s="12" t="n"/>
      <c r="V2222" s="12" t="n"/>
      <c r="W2222" s="13" t="n"/>
      <c r="X2222" s="14">
        <f>IF($AP2222="",IF($B2222="","",$H2222),IF(INDEX(職員マスタ!$B$6:$B$405,$AP2222)="",$H2222,INDEX(職員マスタ!$B$6:$B$405,$AP2222)))</f>
        <v/>
      </c>
      <c r="Y2222" s="14">
        <f>IF($AP2222="",IF($B2222="","",$R2222),IF(INDEX(職員マスタ!$C$6:$C$405,$AP2222)="",$R2222,INDEX(職員マスタ!$C$6:$C$405,$AP2222)))</f>
        <v/>
      </c>
      <c r="Z2222" s="14">
        <f>IF($AQ2222="","","R"&amp;$C2222&amp;"."&amp;$D2222)</f>
        <v/>
      </c>
      <c r="AA2222" s="15">
        <f>IF(IF($AP2222="",FALSE,INDEX(職員マスタ!$K$6:$K$405,$AP2222)&lt;&gt;""),INDEX(職員マスタ!$K$6:$K$405,$AP2222),IF(N($W2222)&gt;0,$W2222,""))</f>
        <v/>
      </c>
      <c r="AB2222" s="14">
        <f>IF(OR($E2222="",$AA2222=""),"",IF($E2222&gt;=$AA2222,"×",IF($E2222&gt;=$AA2222*設定!$C$5,"△","○")))</f>
        <v/>
      </c>
      <c r="AC2222" s="15">
        <f>IF($AB2222="","",IF($AB2222="×",0,IF($AB2222="○",ROUNDDOWN($E2222*設定!$C$4,0),ROUNDDOWN($E2222*ROUND((9*$AA2222-9*$E2222)/(10*$E2222),4),0))))</f>
        <v/>
      </c>
      <c r="AD2222" s="13" t="n"/>
      <c r="AE2222" s="15">
        <f>IF($B2222="","",IF($AD2222&lt;&gt;"",$AD2222,IF($AC2222="","",IF($AC2222&lt;=設定!$C$3,0,$AC2222))))</f>
        <v/>
      </c>
      <c r="AF2222" s="14">
        <f>IF($B2222="","",IF(AND($AG2222&lt;&gt;"",$AI2222="",$AL2222=""),"保留中",IF($AL2222&lt;&gt;"",IF(N($AE2222)&gt;0,"支給済","不支給"),IF($AE2222="","要確認",IF($AE2222=0,"不支給","未処理")))))</f>
        <v/>
      </c>
      <c r="AG2222" s="12" t="n"/>
      <c r="AH2222" s="11" t="n"/>
      <c r="AI2222" s="11" t="n"/>
      <c r="AJ2222" s="11" t="n"/>
      <c r="AK2222" s="14">
        <f>IF(AND($AF2222="保留中",$AH2222&lt;&gt;""),TODAY()-$AH2222,"")</f>
        <v/>
      </c>
      <c r="AL2222" s="12" t="n"/>
      <c r="AM2222" s="14">
        <f>IF($B2222="","",IF($AQ2222="","対象年月が未入力／","")&amp;IF($B2222="","",IF($AP2222="","職員マスタに未登録の職員番号／",IF($AA2222="","標準報酬月額が未登録／","")&amp;IF(AND($AQ2222&lt;&gt;"",OR(AND(INDEX(職員マスタ!$G$6:$G$405,$AP2222)&lt;&gt;"",INDEX(職員マスタ!$G$6:$G$405,$AP2222)&gt;EOMONTH($AQ2222,0)),AND(INDEX(職員マスタ!$H$6:$H$405,$AP2222)&lt;&gt;"",INDEX(職員マスタ!$H$6:$H$405,$AP2222)&lt;$AQ2222))),"対象月が時短期間外／","")&amp;IF(AND(INDEX(職員マスタ!$K$6:$K$405,$AP2222)&lt;&gt;"",N($W2222)&gt;0,INDEX(職員マスタ!$K$6:$K$405,$AP2222)&lt;&gt;$W2222),"標準報酬月額が申請書と相違（台帳"&amp;TEXT(INDEX(職員マスタ!$K$6:$K$405,$AP2222),"#,##0")&amp;"円／申請書"&amp;TEXT($W2222,"#,##0")&amp;"円）／","")&amp;IF(AND(INDEX(職員マスタ!$F$6:$F$405,$AP2222)&lt;&gt;"",$AQ2222&lt;&gt;"",INDEX(職員マスタ!$F$6:$F$405,$AP2222)&lt;$AQ2222),"対象月に子が2歳到達済／","")&amp;IF(AND($H2222&lt;&gt;"",INDEX(職員マスタ!$B$6:$B$405,$AP2222)&lt;&gt;"",SUBSTITUTE(SUBSTITUTE($H2222," ","")," ","")&lt;&gt;SUBSTITUTE(SUBSTITUTE(INDEX(職員マスタ!$B$6:$B$405,$AP2222)," ","")," ","")),"氏名がマスタと相違／","")&amp;IF(AND($Q2222&lt;&gt;"",INDEX(職員マスタ!$E$6:$E$405,$AP2222)&lt;&gt;"",$Q2222&lt;&gt;INDEX(職員マスタ!$E$6:$E$405,$AP2222)),"子の生年月日がマスタと相違／","")&amp;IF(AND($L2222&lt;&gt;"",INDEX(職員マスタ!$G$6:$G$405,$AP2222)&lt;&gt;"",$L2222&lt;&gt;INDEX(職員マスタ!$G$6:$G$405,$AP2222)),"時短開始日がマスタと相違／","")&amp;IF(AND($M2222&lt;&gt;"",INDEX(職員マスタ!$H$6:$H$405,$AP2222)&lt;&gt;"",$M2222&lt;&gt;INDEX(職員マスタ!$H$6:$H$405,$AP2222)),"時短終了日がマスタと相違／","")))&amp;IF(AND($B2222&lt;&gt;"",$E2222=""),"報酬額が未入力／","")&amp;IF(N($U2222)&gt;0,"申請書に入力エラーが残っています／","")&amp;IF(AND($B2222&lt;&gt;"",$AQ2222&lt;&gt;""),IF(COUNTIFS($B$6:$B$3005,$B2222,$C$6:$C$3005,$C2222,$D$6:$D$3005,$D2222)&gt;1,"同じ月の請求が重複しています／",""),"")&amp;IF(AND(N($E2222)&gt;0,$AB2222&lt;&gt;"",$AB2222&lt;&gt;"×",$AE2222=0,$AD2222=""),"計算額が下限以下のため不支給／",""))</f>
        <v/>
      </c>
      <c r="AN2222" s="12" t="n"/>
      <c r="AO2222" s="14">
        <f>IF($AF2222="保留中",COUNTIF($AF$6:$AF2222,"保留中"),"")</f>
        <v/>
      </c>
      <c r="AP2222" s="14">
        <f>IF($AQ2222="","",IF(SUMPRODUCT(MAX((職員マスタ!$A$6:$A$405=$B2222)*(((職員マスタ!$G$6:$G$405="")+(職員マスタ!$G$6:$G$405&lt;=EOMONTH($AQ2222,0)))&gt;0)*(((職員マスタ!$H$6:$H$405="")+(職員マスタ!$H$6:$H$405&gt;=$AQ2222))&gt;0)*(ROW(職員マスタ!$A$6:$A$405)-5)))&gt;0,SUMPRODUCT(MAX((職員マスタ!$A$6:$A$405=$B2222)*(((職員マスタ!$G$6:$G$405="")+(職員マスタ!$G$6:$G$405&lt;=EOMONTH($AQ2222,0)))&gt;0)*(((職員マスタ!$H$6:$H$405="")+(職員マスタ!$H$6:$H$405&gt;=$AQ2222))&gt;0)*(ROW(職員マスタ!$A$6:$A$405)-5))),IFERROR(MATCH($B2222,職員マスタ!$A$6:$A$405,0),"")))</f>
        <v/>
      </c>
      <c r="AQ2222" s="16">
        <f>IF(OR($B2222="",$C2222="",$D2222=""),"",DATE($C2222+2018,$D2222,1))</f>
        <v/>
      </c>
    </row>
    <row r="2223">
      <c r="A2223" s="11" t="n"/>
      <c r="B2223" s="12" t="n"/>
      <c r="C2223" s="12" t="n"/>
      <c r="D2223" s="12" t="n"/>
      <c r="E2223" s="13" t="n"/>
      <c r="F2223" s="12" t="n"/>
      <c r="G2223" s="13" t="n"/>
      <c r="H2223" s="12" t="n"/>
      <c r="I2223" s="12" t="n"/>
      <c r="J2223" s="12" t="n"/>
      <c r="K2223" s="12" t="n"/>
      <c r="L2223" s="11" t="n"/>
      <c r="M2223" s="11" t="n"/>
      <c r="N2223" s="11" t="n"/>
      <c r="O2223" s="11" t="n"/>
      <c r="P2223" s="12" t="n"/>
      <c r="Q2223" s="11" t="n"/>
      <c r="R2223" s="12" t="n"/>
      <c r="S2223" s="11" t="n"/>
      <c r="T2223" s="12" t="n"/>
      <c r="U2223" s="12" t="n"/>
      <c r="V2223" s="12" t="n"/>
      <c r="W2223" s="13" t="n"/>
      <c r="X2223" s="14">
        <f>IF($AP2223="",IF($B2223="","",$H2223),IF(INDEX(職員マスタ!$B$6:$B$405,$AP2223)="",$H2223,INDEX(職員マスタ!$B$6:$B$405,$AP2223)))</f>
        <v/>
      </c>
      <c r="Y2223" s="14">
        <f>IF($AP2223="",IF($B2223="","",$R2223),IF(INDEX(職員マスタ!$C$6:$C$405,$AP2223)="",$R2223,INDEX(職員マスタ!$C$6:$C$405,$AP2223)))</f>
        <v/>
      </c>
      <c r="Z2223" s="14">
        <f>IF($AQ2223="","","R"&amp;$C2223&amp;"."&amp;$D2223)</f>
        <v/>
      </c>
      <c r="AA2223" s="15">
        <f>IF(IF($AP2223="",FALSE,INDEX(職員マスタ!$K$6:$K$405,$AP2223)&lt;&gt;""),INDEX(職員マスタ!$K$6:$K$405,$AP2223),IF(N($W2223)&gt;0,$W2223,""))</f>
        <v/>
      </c>
      <c r="AB2223" s="14">
        <f>IF(OR($E2223="",$AA2223=""),"",IF($E2223&gt;=$AA2223,"×",IF($E2223&gt;=$AA2223*設定!$C$5,"△","○")))</f>
        <v/>
      </c>
      <c r="AC2223" s="15">
        <f>IF($AB2223="","",IF($AB2223="×",0,IF($AB2223="○",ROUNDDOWN($E2223*設定!$C$4,0),ROUNDDOWN($E2223*ROUND((9*$AA2223-9*$E2223)/(10*$E2223),4),0))))</f>
        <v/>
      </c>
      <c r="AD2223" s="13" t="n"/>
      <c r="AE2223" s="15">
        <f>IF($B2223="","",IF($AD2223&lt;&gt;"",$AD2223,IF($AC2223="","",IF($AC2223&lt;=設定!$C$3,0,$AC2223))))</f>
        <v/>
      </c>
      <c r="AF2223" s="14">
        <f>IF($B2223="","",IF(AND($AG2223&lt;&gt;"",$AI2223="",$AL2223=""),"保留中",IF($AL2223&lt;&gt;"",IF(N($AE2223)&gt;0,"支給済","不支給"),IF($AE2223="","要確認",IF($AE2223=0,"不支給","未処理")))))</f>
        <v/>
      </c>
      <c r="AG2223" s="12" t="n"/>
      <c r="AH2223" s="11" t="n"/>
      <c r="AI2223" s="11" t="n"/>
      <c r="AJ2223" s="11" t="n"/>
      <c r="AK2223" s="14">
        <f>IF(AND($AF2223="保留中",$AH2223&lt;&gt;""),TODAY()-$AH2223,"")</f>
        <v/>
      </c>
      <c r="AL2223" s="12" t="n"/>
      <c r="AM2223" s="14">
        <f>IF($B2223="","",IF($AQ2223="","対象年月が未入力／","")&amp;IF($B2223="","",IF($AP2223="","職員マスタに未登録の職員番号／",IF($AA2223="","標準報酬月額が未登録／","")&amp;IF(AND($AQ2223&lt;&gt;"",OR(AND(INDEX(職員マスタ!$G$6:$G$405,$AP2223)&lt;&gt;"",INDEX(職員マスタ!$G$6:$G$405,$AP2223)&gt;EOMONTH($AQ2223,0)),AND(INDEX(職員マスタ!$H$6:$H$405,$AP2223)&lt;&gt;"",INDEX(職員マスタ!$H$6:$H$405,$AP2223)&lt;$AQ2223))),"対象月が時短期間外／","")&amp;IF(AND(INDEX(職員マスタ!$K$6:$K$405,$AP2223)&lt;&gt;"",N($W2223)&gt;0,INDEX(職員マスタ!$K$6:$K$405,$AP2223)&lt;&gt;$W2223),"標準報酬月額が申請書と相違（台帳"&amp;TEXT(INDEX(職員マスタ!$K$6:$K$405,$AP2223),"#,##0")&amp;"円／申請書"&amp;TEXT($W2223,"#,##0")&amp;"円）／","")&amp;IF(AND(INDEX(職員マスタ!$F$6:$F$405,$AP2223)&lt;&gt;"",$AQ2223&lt;&gt;"",INDEX(職員マスタ!$F$6:$F$405,$AP2223)&lt;$AQ2223),"対象月に子が2歳到達済／","")&amp;IF(AND($H2223&lt;&gt;"",INDEX(職員マスタ!$B$6:$B$405,$AP2223)&lt;&gt;"",SUBSTITUTE(SUBSTITUTE($H2223," ","")," ","")&lt;&gt;SUBSTITUTE(SUBSTITUTE(INDEX(職員マスタ!$B$6:$B$405,$AP2223)," ","")," ","")),"氏名がマスタと相違／","")&amp;IF(AND($Q2223&lt;&gt;"",INDEX(職員マスタ!$E$6:$E$405,$AP2223)&lt;&gt;"",$Q2223&lt;&gt;INDEX(職員マスタ!$E$6:$E$405,$AP2223)),"子の生年月日がマスタと相違／","")&amp;IF(AND($L2223&lt;&gt;"",INDEX(職員マスタ!$G$6:$G$405,$AP2223)&lt;&gt;"",$L2223&lt;&gt;INDEX(職員マスタ!$G$6:$G$405,$AP2223)),"時短開始日がマスタと相違／","")&amp;IF(AND($M2223&lt;&gt;"",INDEX(職員マスタ!$H$6:$H$405,$AP2223)&lt;&gt;"",$M2223&lt;&gt;INDEX(職員マスタ!$H$6:$H$405,$AP2223)),"時短終了日がマスタと相違／","")))&amp;IF(AND($B2223&lt;&gt;"",$E2223=""),"報酬額が未入力／","")&amp;IF(N($U2223)&gt;0,"申請書に入力エラーが残っています／","")&amp;IF(AND($B2223&lt;&gt;"",$AQ2223&lt;&gt;""),IF(COUNTIFS($B$6:$B$3005,$B2223,$C$6:$C$3005,$C2223,$D$6:$D$3005,$D2223)&gt;1,"同じ月の請求が重複しています／",""),"")&amp;IF(AND(N($E2223)&gt;0,$AB2223&lt;&gt;"",$AB2223&lt;&gt;"×",$AE2223=0,$AD2223=""),"計算額が下限以下のため不支給／",""))</f>
        <v/>
      </c>
      <c r="AN2223" s="12" t="n"/>
      <c r="AO2223" s="14">
        <f>IF($AF2223="保留中",COUNTIF($AF$6:$AF2223,"保留中"),"")</f>
        <v/>
      </c>
      <c r="AP2223" s="14">
        <f>IF($AQ2223="","",IF(SUMPRODUCT(MAX((職員マスタ!$A$6:$A$405=$B2223)*(((職員マスタ!$G$6:$G$405="")+(職員マスタ!$G$6:$G$405&lt;=EOMONTH($AQ2223,0)))&gt;0)*(((職員マスタ!$H$6:$H$405="")+(職員マスタ!$H$6:$H$405&gt;=$AQ2223))&gt;0)*(ROW(職員マスタ!$A$6:$A$405)-5)))&gt;0,SUMPRODUCT(MAX((職員マスタ!$A$6:$A$405=$B2223)*(((職員マスタ!$G$6:$G$405="")+(職員マスタ!$G$6:$G$405&lt;=EOMONTH($AQ2223,0)))&gt;0)*(((職員マスタ!$H$6:$H$405="")+(職員マスタ!$H$6:$H$405&gt;=$AQ2223))&gt;0)*(ROW(職員マスタ!$A$6:$A$405)-5))),IFERROR(MATCH($B2223,職員マスタ!$A$6:$A$405,0),"")))</f>
        <v/>
      </c>
      <c r="AQ2223" s="16">
        <f>IF(OR($B2223="",$C2223="",$D2223=""),"",DATE($C2223+2018,$D2223,1))</f>
        <v/>
      </c>
    </row>
    <row r="2224">
      <c r="A2224" s="11" t="n"/>
      <c r="B2224" s="12" t="n"/>
      <c r="C2224" s="12" t="n"/>
      <c r="D2224" s="12" t="n"/>
      <c r="E2224" s="13" t="n"/>
      <c r="F2224" s="12" t="n"/>
      <c r="G2224" s="13" t="n"/>
      <c r="H2224" s="12" t="n"/>
      <c r="I2224" s="12" t="n"/>
      <c r="J2224" s="12" t="n"/>
      <c r="K2224" s="12" t="n"/>
      <c r="L2224" s="11" t="n"/>
      <c r="M2224" s="11" t="n"/>
      <c r="N2224" s="11" t="n"/>
      <c r="O2224" s="11" t="n"/>
      <c r="P2224" s="12" t="n"/>
      <c r="Q2224" s="11" t="n"/>
      <c r="R2224" s="12" t="n"/>
      <c r="S2224" s="11" t="n"/>
      <c r="T2224" s="12" t="n"/>
      <c r="U2224" s="12" t="n"/>
      <c r="V2224" s="12" t="n"/>
      <c r="W2224" s="13" t="n"/>
      <c r="X2224" s="14">
        <f>IF($AP2224="",IF($B2224="","",$H2224),IF(INDEX(職員マスタ!$B$6:$B$405,$AP2224)="",$H2224,INDEX(職員マスタ!$B$6:$B$405,$AP2224)))</f>
        <v/>
      </c>
      <c r="Y2224" s="14">
        <f>IF($AP2224="",IF($B2224="","",$R2224),IF(INDEX(職員マスタ!$C$6:$C$405,$AP2224)="",$R2224,INDEX(職員マスタ!$C$6:$C$405,$AP2224)))</f>
        <v/>
      </c>
      <c r="Z2224" s="14">
        <f>IF($AQ2224="","","R"&amp;$C2224&amp;"."&amp;$D2224)</f>
        <v/>
      </c>
      <c r="AA2224" s="15">
        <f>IF(IF($AP2224="",FALSE,INDEX(職員マスタ!$K$6:$K$405,$AP2224)&lt;&gt;""),INDEX(職員マスタ!$K$6:$K$405,$AP2224),IF(N($W2224)&gt;0,$W2224,""))</f>
        <v/>
      </c>
      <c r="AB2224" s="14">
        <f>IF(OR($E2224="",$AA2224=""),"",IF($E2224&gt;=$AA2224,"×",IF($E2224&gt;=$AA2224*設定!$C$5,"△","○")))</f>
        <v/>
      </c>
      <c r="AC2224" s="15">
        <f>IF($AB2224="","",IF($AB2224="×",0,IF($AB2224="○",ROUNDDOWN($E2224*設定!$C$4,0),ROUNDDOWN($E2224*ROUND((9*$AA2224-9*$E2224)/(10*$E2224),4),0))))</f>
        <v/>
      </c>
      <c r="AD2224" s="13" t="n"/>
      <c r="AE2224" s="15">
        <f>IF($B2224="","",IF($AD2224&lt;&gt;"",$AD2224,IF($AC2224="","",IF($AC2224&lt;=設定!$C$3,0,$AC2224))))</f>
        <v/>
      </c>
      <c r="AF2224" s="14">
        <f>IF($B2224="","",IF(AND($AG2224&lt;&gt;"",$AI2224="",$AL2224=""),"保留中",IF($AL2224&lt;&gt;"",IF(N($AE2224)&gt;0,"支給済","不支給"),IF($AE2224="","要確認",IF($AE2224=0,"不支給","未処理")))))</f>
        <v/>
      </c>
      <c r="AG2224" s="12" t="n"/>
      <c r="AH2224" s="11" t="n"/>
      <c r="AI2224" s="11" t="n"/>
      <c r="AJ2224" s="11" t="n"/>
      <c r="AK2224" s="14">
        <f>IF(AND($AF2224="保留中",$AH2224&lt;&gt;""),TODAY()-$AH2224,"")</f>
        <v/>
      </c>
      <c r="AL2224" s="12" t="n"/>
      <c r="AM2224" s="14">
        <f>IF($B2224="","",IF($AQ2224="","対象年月が未入力／","")&amp;IF($B2224="","",IF($AP2224="","職員マスタに未登録の職員番号／",IF($AA2224="","標準報酬月額が未登録／","")&amp;IF(AND($AQ2224&lt;&gt;"",OR(AND(INDEX(職員マスタ!$G$6:$G$405,$AP2224)&lt;&gt;"",INDEX(職員マスタ!$G$6:$G$405,$AP2224)&gt;EOMONTH($AQ2224,0)),AND(INDEX(職員マスタ!$H$6:$H$405,$AP2224)&lt;&gt;"",INDEX(職員マスタ!$H$6:$H$405,$AP2224)&lt;$AQ2224))),"対象月が時短期間外／","")&amp;IF(AND(INDEX(職員マスタ!$K$6:$K$405,$AP2224)&lt;&gt;"",N($W2224)&gt;0,INDEX(職員マスタ!$K$6:$K$405,$AP2224)&lt;&gt;$W2224),"標準報酬月額が申請書と相違（台帳"&amp;TEXT(INDEX(職員マスタ!$K$6:$K$405,$AP2224),"#,##0")&amp;"円／申請書"&amp;TEXT($W2224,"#,##0")&amp;"円）／","")&amp;IF(AND(INDEX(職員マスタ!$F$6:$F$405,$AP2224)&lt;&gt;"",$AQ2224&lt;&gt;"",INDEX(職員マスタ!$F$6:$F$405,$AP2224)&lt;$AQ2224),"対象月に子が2歳到達済／","")&amp;IF(AND($H2224&lt;&gt;"",INDEX(職員マスタ!$B$6:$B$405,$AP2224)&lt;&gt;"",SUBSTITUTE(SUBSTITUTE($H2224," ","")," ","")&lt;&gt;SUBSTITUTE(SUBSTITUTE(INDEX(職員マスタ!$B$6:$B$405,$AP2224)," ","")," ","")),"氏名がマスタと相違／","")&amp;IF(AND($Q2224&lt;&gt;"",INDEX(職員マスタ!$E$6:$E$405,$AP2224)&lt;&gt;"",$Q2224&lt;&gt;INDEX(職員マスタ!$E$6:$E$405,$AP2224)),"子の生年月日がマスタと相違／","")&amp;IF(AND($L2224&lt;&gt;"",INDEX(職員マスタ!$G$6:$G$405,$AP2224)&lt;&gt;"",$L2224&lt;&gt;INDEX(職員マスタ!$G$6:$G$405,$AP2224)),"時短開始日がマスタと相違／","")&amp;IF(AND($M2224&lt;&gt;"",INDEX(職員マスタ!$H$6:$H$405,$AP2224)&lt;&gt;"",$M2224&lt;&gt;INDEX(職員マスタ!$H$6:$H$405,$AP2224)),"時短終了日がマスタと相違／","")))&amp;IF(AND($B2224&lt;&gt;"",$E2224=""),"報酬額が未入力／","")&amp;IF(N($U2224)&gt;0,"申請書に入力エラーが残っています／","")&amp;IF(AND($B2224&lt;&gt;"",$AQ2224&lt;&gt;""),IF(COUNTIFS($B$6:$B$3005,$B2224,$C$6:$C$3005,$C2224,$D$6:$D$3005,$D2224)&gt;1,"同じ月の請求が重複しています／",""),"")&amp;IF(AND(N($E2224)&gt;0,$AB2224&lt;&gt;"",$AB2224&lt;&gt;"×",$AE2224=0,$AD2224=""),"計算額が下限以下のため不支給／",""))</f>
        <v/>
      </c>
      <c r="AN2224" s="12" t="n"/>
      <c r="AO2224" s="14">
        <f>IF($AF2224="保留中",COUNTIF($AF$6:$AF2224,"保留中"),"")</f>
        <v/>
      </c>
      <c r="AP2224" s="14">
        <f>IF($AQ2224="","",IF(SUMPRODUCT(MAX((職員マスタ!$A$6:$A$405=$B2224)*(((職員マスタ!$G$6:$G$405="")+(職員マスタ!$G$6:$G$405&lt;=EOMONTH($AQ2224,0)))&gt;0)*(((職員マスタ!$H$6:$H$405="")+(職員マスタ!$H$6:$H$405&gt;=$AQ2224))&gt;0)*(ROW(職員マスタ!$A$6:$A$405)-5)))&gt;0,SUMPRODUCT(MAX((職員マスタ!$A$6:$A$405=$B2224)*(((職員マスタ!$G$6:$G$405="")+(職員マスタ!$G$6:$G$405&lt;=EOMONTH($AQ2224,0)))&gt;0)*(((職員マスタ!$H$6:$H$405="")+(職員マスタ!$H$6:$H$405&gt;=$AQ2224))&gt;0)*(ROW(職員マスタ!$A$6:$A$405)-5))),IFERROR(MATCH($B2224,職員マスタ!$A$6:$A$405,0),"")))</f>
        <v/>
      </c>
      <c r="AQ2224" s="16">
        <f>IF(OR($B2224="",$C2224="",$D2224=""),"",DATE($C2224+2018,$D2224,1))</f>
        <v/>
      </c>
    </row>
    <row r="2225">
      <c r="A2225" s="11" t="n"/>
      <c r="B2225" s="12" t="n"/>
      <c r="C2225" s="12" t="n"/>
      <c r="D2225" s="12" t="n"/>
      <c r="E2225" s="13" t="n"/>
      <c r="F2225" s="12" t="n"/>
      <c r="G2225" s="13" t="n"/>
      <c r="H2225" s="12" t="n"/>
      <c r="I2225" s="12" t="n"/>
      <c r="J2225" s="12" t="n"/>
      <c r="K2225" s="12" t="n"/>
      <c r="L2225" s="11" t="n"/>
      <c r="M2225" s="11" t="n"/>
      <c r="N2225" s="11" t="n"/>
      <c r="O2225" s="11" t="n"/>
      <c r="P2225" s="12" t="n"/>
      <c r="Q2225" s="11" t="n"/>
      <c r="R2225" s="12" t="n"/>
      <c r="S2225" s="11" t="n"/>
      <c r="T2225" s="12" t="n"/>
      <c r="U2225" s="12" t="n"/>
      <c r="V2225" s="12" t="n"/>
      <c r="W2225" s="13" t="n"/>
      <c r="X2225" s="14">
        <f>IF($AP2225="",IF($B2225="","",$H2225),IF(INDEX(職員マスタ!$B$6:$B$405,$AP2225)="",$H2225,INDEX(職員マスタ!$B$6:$B$405,$AP2225)))</f>
        <v/>
      </c>
      <c r="Y2225" s="14">
        <f>IF($AP2225="",IF($B2225="","",$R2225),IF(INDEX(職員マスタ!$C$6:$C$405,$AP2225)="",$R2225,INDEX(職員マスタ!$C$6:$C$405,$AP2225)))</f>
        <v/>
      </c>
      <c r="Z2225" s="14">
        <f>IF($AQ2225="","","R"&amp;$C2225&amp;"."&amp;$D2225)</f>
        <v/>
      </c>
      <c r="AA2225" s="15">
        <f>IF(IF($AP2225="",FALSE,INDEX(職員マスタ!$K$6:$K$405,$AP2225)&lt;&gt;""),INDEX(職員マスタ!$K$6:$K$405,$AP2225),IF(N($W2225)&gt;0,$W2225,""))</f>
        <v/>
      </c>
      <c r="AB2225" s="14">
        <f>IF(OR($E2225="",$AA2225=""),"",IF($E2225&gt;=$AA2225,"×",IF($E2225&gt;=$AA2225*設定!$C$5,"△","○")))</f>
        <v/>
      </c>
      <c r="AC2225" s="15">
        <f>IF($AB2225="","",IF($AB2225="×",0,IF($AB2225="○",ROUNDDOWN($E2225*設定!$C$4,0),ROUNDDOWN($E2225*ROUND((9*$AA2225-9*$E2225)/(10*$E2225),4),0))))</f>
        <v/>
      </c>
      <c r="AD2225" s="13" t="n"/>
      <c r="AE2225" s="15">
        <f>IF($B2225="","",IF($AD2225&lt;&gt;"",$AD2225,IF($AC2225="","",IF($AC2225&lt;=設定!$C$3,0,$AC2225))))</f>
        <v/>
      </c>
      <c r="AF2225" s="14">
        <f>IF($B2225="","",IF(AND($AG2225&lt;&gt;"",$AI2225="",$AL2225=""),"保留中",IF($AL2225&lt;&gt;"",IF(N($AE2225)&gt;0,"支給済","不支給"),IF($AE2225="","要確認",IF($AE2225=0,"不支給","未処理")))))</f>
        <v/>
      </c>
      <c r="AG2225" s="12" t="n"/>
      <c r="AH2225" s="11" t="n"/>
      <c r="AI2225" s="11" t="n"/>
      <c r="AJ2225" s="11" t="n"/>
      <c r="AK2225" s="14">
        <f>IF(AND($AF2225="保留中",$AH2225&lt;&gt;""),TODAY()-$AH2225,"")</f>
        <v/>
      </c>
      <c r="AL2225" s="12" t="n"/>
      <c r="AM2225" s="14">
        <f>IF($B2225="","",IF($AQ2225="","対象年月が未入力／","")&amp;IF($B2225="","",IF($AP2225="","職員マスタに未登録の職員番号／",IF($AA2225="","標準報酬月額が未登録／","")&amp;IF(AND($AQ2225&lt;&gt;"",OR(AND(INDEX(職員マスタ!$G$6:$G$405,$AP2225)&lt;&gt;"",INDEX(職員マスタ!$G$6:$G$405,$AP2225)&gt;EOMONTH($AQ2225,0)),AND(INDEX(職員マスタ!$H$6:$H$405,$AP2225)&lt;&gt;"",INDEX(職員マスタ!$H$6:$H$405,$AP2225)&lt;$AQ2225))),"対象月が時短期間外／","")&amp;IF(AND(INDEX(職員マスタ!$K$6:$K$405,$AP2225)&lt;&gt;"",N($W2225)&gt;0,INDEX(職員マスタ!$K$6:$K$405,$AP2225)&lt;&gt;$W2225),"標準報酬月額が申請書と相違（台帳"&amp;TEXT(INDEX(職員マスタ!$K$6:$K$405,$AP2225),"#,##0")&amp;"円／申請書"&amp;TEXT($W2225,"#,##0")&amp;"円）／","")&amp;IF(AND(INDEX(職員マスタ!$F$6:$F$405,$AP2225)&lt;&gt;"",$AQ2225&lt;&gt;"",INDEX(職員マスタ!$F$6:$F$405,$AP2225)&lt;$AQ2225),"対象月に子が2歳到達済／","")&amp;IF(AND($H2225&lt;&gt;"",INDEX(職員マスタ!$B$6:$B$405,$AP2225)&lt;&gt;"",SUBSTITUTE(SUBSTITUTE($H2225," ","")," ","")&lt;&gt;SUBSTITUTE(SUBSTITUTE(INDEX(職員マスタ!$B$6:$B$405,$AP2225)," ","")," ","")),"氏名がマスタと相違／","")&amp;IF(AND($Q2225&lt;&gt;"",INDEX(職員マスタ!$E$6:$E$405,$AP2225)&lt;&gt;"",$Q2225&lt;&gt;INDEX(職員マスタ!$E$6:$E$405,$AP2225)),"子の生年月日がマスタと相違／","")&amp;IF(AND($L2225&lt;&gt;"",INDEX(職員マスタ!$G$6:$G$405,$AP2225)&lt;&gt;"",$L2225&lt;&gt;INDEX(職員マスタ!$G$6:$G$405,$AP2225)),"時短開始日がマスタと相違／","")&amp;IF(AND($M2225&lt;&gt;"",INDEX(職員マスタ!$H$6:$H$405,$AP2225)&lt;&gt;"",$M2225&lt;&gt;INDEX(職員マスタ!$H$6:$H$405,$AP2225)),"時短終了日がマスタと相違／","")))&amp;IF(AND($B2225&lt;&gt;"",$E2225=""),"報酬額が未入力／","")&amp;IF(N($U2225)&gt;0,"申請書に入力エラーが残っています／","")&amp;IF(AND($B2225&lt;&gt;"",$AQ2225&lt;&gt;""),IF(COUNTIFS($B$6:$B$3005,$B2225,$C$6:$C$3005,$C2225,$D$6:$D$3005,$D2225)&gt;1,"同じ月の請求が重複しています／",""),"")&amp;IF(AND(N($E2225)&gt;0,$AB2225&lt;&gt;"",$AB2225&lt;&gt;"×",$AE2225=0,$AD2225=""),"計算額が下限以下のため不支給／",""))</f>
        <v/>
      </c>
      <c r="AN2225" s="12" t="n"/>
      <c r="AO2225" s="14">
        <f>IF($AF2225="保留中",COUNTIF($AF$6:$AF2225,"保留中"),"")</f>
        <v/>
      </c>
      <c r="AP2225" s="14">
        <f>IF($AQ2225="","",IF(SUMPRODUCT(MAX((職員マスタ!$A$6:$A$405=$B2225)*(((職員マスタ!$G$6:$G$405="")+(職員マスタ!$G$6:$G$405&lt;=EOMONTH($AQ2225,0)))&gt;0)*(((職員マスタ!$H$6:$H$405="")+(職員マスタ!$H$6:$H$405&gt;=$AQ2225))&gt;0)*(ROW(職員マスタ!$A$6:$A$405)-5)))&gt;0,SUMPRODUCT(MAX((職員マスタ!$A$6:$A$405=$B2225)*(((職員マスタ!$G$6:$G$405="")+(職員マスタ!$G$6:$G$405&lt;=EOMONTH($AQ2225,0)))&gt;0)*(((職員マスタ!$H$6:$H$405="")+(職員マスタ!$H$6:$H$405&gt;=$AQ2225))&gt;0)*(ROW(職員マスタ!$A$6:$A$405)-5))),IFERROR(MATCH($B2225,職員マスタ!$A$6:$A$405,0),"")))</f>
        <v/>
      </c>
      <c r="AQ2225" s="16">
        <f>IF(OR($B2225="",$C2225="",$D2225=""),"",DATE($C2225+2018,$D2225,1))</f>
        <v/>
      </c>
    </row>
    <row r="2226">
      <c r="A2226" s="11" t="n"/>
      <c r="B2226" s="12" t="n"/>
      <c r="C2226" s="12" t="n"/>
      <c r="D2226" s="12" t="n"/>
      <c r="E2226" s="13" t="n"/>
      <c r="F2226" s="12" t="n"/>
      <c r="G2226" s="13" t="n"/>
      <c r="H2226" s="12" t="n"/>
      <c r="I2226" s="12" t="n"/>
      <c r="J2226" s="12" t="n"/>
      <c r="K2226" s="12" t="n"/>
      <c r="L2226" s="11" t="n"/>
      <c r="M2226" s="11" t="n"/>
      <c r="N2226" s="11" t="n"/>
      <c r="O2226" s="11" t="n"/>
      <c r="P2226" s="12" t="n"/>
      <c r="Q2226" s="11" t="n"/>
      <c r="R2226" s="12" t="n"/>
      <c r="S2226" s="11" t="n"/>
      <c r="T2226" s="12" t="n"/>
      <c r="U2226" s="12" t="n"/>
      <c r="V2226" s="12" t="n"/>
      <c r="W2226" s="13" t="n"/>
      <c r="X2226" s="14">
        <f>IF($AP2226="",IF($B2226="","",$H2226),IF(INDEX(職員マスタ!$B$6:$B$405,$AP2226)="",$H2226,INDEX(職員マスタ!$B$6:$B$405,$AP2226)))</f>
        <v/>
      </c>
      <c r="Y2226" s="14">
        <f>IF($AP2226="",IF($B2226="","",$R2226),IF(INDEX(職員マスタ!$C$6:$C$405,$AP2226)="",$R2226,INDEX(職員マスタ!$C$6:$C$405,$AP2226)))</f>
        <v/>
      </c>
      <c r="Z2226" s="14">
        <f>IF($AQ2226="","","R"&amp;$C2226&amp;"."&amp;$D2226)</f>
        <v/>
      </c>
      <c r="AA2226" s="15">
        <f>IF(IF($AP2226="",FALSE,INDEX(職員マスタ!$K$6:$K$405,$AP2226)&lt;&gt;""),INDEX(職員マスタ!$K$6:$K$405,$AP2226),IF(N($W2226)&gt;0,$W2226,""))</f>
        <v/>
      </c>
      <c r="AB2226" s="14">
        <f>IF(OR($E2226="",$AA2226=""),"",IF($E2226&gt;=$AA2226,"×",IF($E2226&gt;=$AA2226*設定!$C$5,"△","○")))</f>
        <v/>
      </c>
      <c r="AC2226" s="15">
        <f>IF($AB2226="","",IF($AB2226="×",0,IF($AB2226="○",ROUNDDOWN($E2226*設定!$C$4,0),ROUNDDOWN($E2226*ROUND((9*$AA2226-9*$E2226)/(10*$E2226),4),0))))</f>
        <v/>
      </c>
      <c r="AD2226" s="13" t="n"/>
      <c r="AE2226" s="15">
        <f>IF($B2226="","",IF($AD2226&lt;&gt;"",$AD2226,IF($AC2226="","",IF($AC2226&lt;=設定!$C$3,0,$AC2226))))</f>
        <v/>
      </c>
      <c r="AF2226" s="14">
        <f>IF($B2226="","",IF(AND($AG2226&lt;&gt;"",$AI2226="",$AL2226=""),"保留中",IF($AL2226&lt;&gt;"",IF(N($AE2226)&gt;0,"支給済","不支給"),IF($AE2226="","要確認",IF($AE2226=0,"不支給","未処理")))))</f>
        <v/>
      </c>
      <c r="AG2226" s="12" t="n"/>
      <c r="AH2226" s="11" t="n"/>
      <c r="AI2226" s="11" t="n"/>
      <c r="AJ2226" s="11" t="n"/>
      <c r="AK2226" s="14">
        <f>IF(AND($AF2226="保留中",$AH2226&lt;&gt;""),TODAY()-$AH2226,"")</f>
        <v/>
      </c>
      <c r="AL2226" s="12" t="n"/>
      <c r="AM2226" s="14">
        <f>IF($B2226="","",IF($AQ2226="","対象年月が未入力／","")&amp;IF($B2226="","",IF($AP2226="","職員マスタに未登録の職員番号／",IF($AA2226="","標準報酬月額が未登録／","")&amp;IF(AND($AQ2226&lt;&gt;"",OR(AND(INDEX(職員マスタ!$G$6:$G$405,$AP2226)&lt;&gt;"",INDEX(職員マスタ!$G$6:$G$405,$AP2226)&gt;EOMONTH($AQ2226,0)),AND(INDEX(職員マスタ!$H$6:$H$405,$AP2226)&lt;&gt;"",INDEX(職員マスタ!$H$6:$H$405,$AP2226)&lt;$AQ2226))),"対象月が時短期間外／","")&amp;IF(AND(INDEX(職員マスタ!$K$6:$K$405,$AP2226)&lt;&gt;"",N($W2226)&gt;0,INDEX(職員マスタ!$K$6:$K$405,$AP2226)&lt;&gt;$W2226),"標準報酬月額が申請書と相違（台帳"&amp;TEXT(INDEX(職員マスタ!$K$6:$K$405,$AP2226),"#,##0")&amp;"円／申請書"&amp;TEXT($W2226,"#,##0")&amp;"円）／","")&amp;IF(AND(INDEX(職員マスタ!$F$6:$F$405,$AP2226)&lt;&gt;"",$AQ2226&lt;&gt;"",INDEX(職員マスタ!$F$6:$F$405,$AP2226)&lt;$AQ2226),"対象月に子が2歳到達済／","")&amp;IF(AND($H2226&lt;&gt;"",INDEX(職員マスタ!$B$6:$B$405,$AP2226)&lt;&gt;"",SUBSTITUTE(SUBSTITUTE($H2226," ","")," ","")&lt;&gt;SUBSTITUTE(SUBSTITUTE(INDEX(職員マスタ!$B$6:$B$405,$AP2226)," ","")," ","")),"氏名がマスタと相違／","")&amp;IF(AND($Q2226&lt;&gt;"",INDEX(職員マスタ!$E$6:$E$405,$AP2226)&lt;&gt;"",$Q2226&lt;&gt;INDEX(職員マスタ!$E$6:$E$405,$AP2226)),"子の生年月日がマスタと相違／","")&amp;IF(AND($L2226&lt;&gt;"",INDEX(職員マスタ!$G$6:$G$405,$AP2226)&lt;&gt;"",$L2226&lt;&gt;INDEX(職員マスタ!$G$6:$G$405,$AP2226)),"時短開始日がマスタと相違／","")&amp;IF(AND($M2226&lt;&gt;"",INDEX(職員マスタ!$H$6:$H$405,$AP2226)&lt;&gt;"",$M2226&lt;&gt;INDEX(職員マスタ!$H$6:$H$405,$AP2226)),"時短終了日がマスタと相違／","")))&amp;IF(AND($B2226&lt;&gt;"",$E2226=""),"報酬額が未入力／","")&amp;IF(N($U2226)&gt;0,"申請書に入力エラーが残っています／","")&amp;IF(AND($B2226&lt;&gt;"",$AQ2226&lt;&gt;""),IF(COUNTIFS($B$6:$B$3005,$B2226,$C$6:$C$3005,$C2226,$D$6:$D$3005,$D2226)&gt;1,"同じ月の請求が重複しています／",""),"")&amp;IF(AND(N($E2226)&gt;0,$AB2226&lt;&gt;"",$AB2226&lt;&gt;"×",$AE2226=0,$AD2226=""),"計算額が下限以下のため不支給／",""))</f>
        <v/>
      </c>
      <c r="AN2226" s="12" t="n"/>
      <c r="AO2226" s="14">
        <f>IF($AF2226="保留中",COUNTIF($AF$6:$AF2226,"保留中"),"")</f>
        <v/>
      </c>
      <c r="AP2226" s="14">
        <f>IF($AQ2226="","",IF(SUMPRODUCT(MAX((職員マスタ!$A$6:$A$405=$B2226)*(((職員マスタ!$G$6:$G$405="")+(職員マスタ!$G$6:$G$405&lt;=EOMONTH($AQ2226,0)))&gt;0)*(((職員マスタ!$H$6:$H$405="")+(職員マスタ!$H$6:$H$405&gt;=$AQ2226))&gt;0)*(ROW(職員マスタ!$A$6:$A$405)-5)))&gt;0,SUMPRODUCT(MAX((職員マスタ!$A$6:$A$405=$B2226)*(((職員マスタ!$G$6:$G$405="")+(職員マスタ!$G$6:$G$405&lt;=EOMONTH($AQ2226,0)))&gt;0)*(((職員マスタ!$H$6:$H$405="")+(職員マスタ!$H$6:$H$405&gt;=$AQ2226))&gt;0)*(ROW(職員マスタ!$A$6:$A$405)-5))),IFERROR(MATCH($B2226,職員マスタ!$A$6:$A$405,0),"")))</f>
        <v/>
      </c>
      <c r="AQ2226" s="16">
        <f>IF(OR($B2226="",$C2226="",$D2226=""),"",DATE($C2226+2018,$D2226,1))</f>
        <v/>
      </c>
    </row>
    <row r="2227">
      <c r="A2227" s="11" t="n"/>
      <c r="B2227" s="12" t="n"/>
      <c r="C2227" s="12" t="n"/>
      <c r="D2227" s="12" t="n"/>
      <c r="E2227" s="13" t="n"/>
      <c r="F2227" s="12" t="n"/>
      <c r="G2227" s="13" t="n"/>
      <c r="H2227" s="12" t="n"/>
      <c r="I2227" s="12" t="n"/>
      <c r="J2227" s="12" t="n"/>
      <c r="K2227" s="12" t="n"/>
      <c r="L2227" s="11" t="n"/>
      <c r="M2227" s="11" t="n"/>
      <c r="N2227" s="11" t="n"/>
      <c r="O2227" s="11" t="n"/>
      <c r="P2227" s="12" t="n"/>
      <c r="Q2227" s="11" t="n"/>
      <c r="R2227" s="12" t="n"/>
      <c r="S2227" s="11" t="n"/>
      <c r="T2227" s="12" t="n"/>
      <c r="U2227" s="12" t="n"/>
      <c r="V2227" s="12" t="n"/>
      <c r="W2227" s="13" t="n"/>
      <c r="X2227" s="14">
        <f>IF($AP2227="",IF($B2227="","",$H2227),IF(INDEX(職員マスタ!$B$6:$B$405,$AP2227)="",$H2227,INDEX(職員マスタ!$B$6:$B$405,$AP2227)))</f>
        <v/>
      </c>
      <c r="Y2227" s="14">
        <f>IF($AP2227="",IF($B2227="","",$R2227),IF(INDEX(職員マスタ!$C$6:$C$405,$AP2227)="",$R2227,INDEX(職員マスタ!$C$6:$C$405,$AP2227)))</f>
        <v/>
      </c>
      <c r="Z2227" s="14">
        <f>IF($AQ2227="","","R"&amp;$C2227&amp;"."&amp;$D2227)</f>
        <v/>
      </c>
      <c r="AA2227" s="15">
        <f>IF(IF($AP2227="",FALSE,INDEX(職員マスタ!$K$6:$K$405,$AP2227)&lt;&gt;""),INDEX(職員マスタ!$K$6:$K$405,$AP2227),IF(N($W2227)&gt;0,$W2227,""))</f>
        <v/>
      </c>
      <c r="AB2227" s="14">
        <f>IF(OR($E2227="",$AA2227=""),"",IF($E2227&gt;=$AA2227,"×",IF($E2227&gt;=$AA2227*設定!$C$5,"△","○")))</f>
        <v/>
      </c>
      <c r="AC2227" s="15">
        <f>IF($AB2227="","",IF($AB2227="×",0,IF($AB2227="○",ROUNDDOWN($E2227*設定!$C$4,0),ROUNDDOWN($E2227*ROUND((9*$AA2227-9*$E2227)/(10*$E2227),4),0))))</f>
        <v/>
      </c>
      <c r="AD2227" s="13" t="n"/>
      <c r="AE2227" s="15">
        <f>IF($B2227="","",IF($AD2227&lt;&gt;"",$AD2227,IF($AC2227="","",IF($AC2227&lt;=設定!$C$3,0,$AC2227))))</f>
        <v/>
      </c>
      <c r="AF2227" s="14">
        <f>IF($B2227="","",IF(AND($AG2227&lt;&gt;"",$AI2227="",$AL2227=""),"保留中",IF($AL2227&lt;&gt;"",IF(N($AE2227)&gt;0,"支給済","不支給"),IF($AE2227="","要確認",IF($AE2227=0,"不支給","未処理")))))</f>
        <v/>
      </c>
      <c r="AG2227" s="12" t="n"/>
      <c r="AH2227" s="11" t="n"/>
      <c r="AI2227" s="11" t="n"/>
      <c r="AJ2227" s="11" t="n"/>
      <c r="AK2227" s="14">
        <f>IF(AND($AF2227="保留中",$AH2227&lt;&gt;""),TODAY()-$AH2227,"")</f>
        <v/>
      </c>
      <c r="AL2227" s="12" t="n"/>
      <c r="AM2227" s="14">
        <f>IF($B2227="","",IF($AQ2227="","対象年月が未入力／","")&amp;IF($B2227="","",IF($AP2227="","職員マスタに未登録の職員番号／",IF($AA2227="","標準報酬月額が未登録／","")&amp;IF(AND($AQ2227&lt;&gt;"",OR(AND(INDEX(職員マスタ!$G$6:$G$405,$AP2227)&lt;&gt;"",INDEX(職員マスタ!$G$6:$G$405,$AP2227)&gt;EOMONTH($AQ2227,0)),AND(INDEX(職員マスタ!$H$6:$H$405,$AP2227)&lt;&gt;"",INDEX(職員マスタ!$H$6:$H$405,$AP2227)&lt;$AQ2227))),"対象月が時短期間外／","")&amp;IF(AND(INDEX(職員マスタ!$K$6:$K$405,$AP2227)&lt;&gt;"",N($W2227)&gt;0,INDEX(職員マスタ!$K$6:$K$405,$AP2227)&lt;&gt;$W2227),"標準報酬月額が申請書と相違（台帳"&amp;TEXT(INDEX(職員マスタ!$K$6:$K$405,$AP2227),"#,##0")&amp;"円／申請書"&amp;TEXT($W2227,"#,##0")&amp;"円）／","")&amp;IF(AND(INDEX(職員マスタ!$F$6:$F$405,$AP2227)&lt;&gt;"",$AQ2227&lt;&gt;"",INDEX(職員マスタ!$F$6:$F$405,$AP2227)&lt;$AQ2227),"対象月に子が2歳到達済／","")&amp;IF(AND($H2227&lt;&gt;"",INDEX(職員マスタ!$B$6:$B$405,$AP2227)&lt;&gt;"",SUBSTITUTE(SUBSTITUTE($H2227," ","")," ","")&lt;&gt;SUBSTITUTE(SUBSTITUTE(INDEX(職員マスタ!$B$6:$B$405,$AP2227)," ","")," ","")),"氏名がマスタと相違／","")&amp;IF(AND($Q2227&lt;&gt;"",INDEX(職員マスタ!$E$6:$E$405,$AP2227)&lt;&gt;"",$Q2227&lt;&gt;INDEX(職員マスタ!$E$6:$E$405,$AP2227)),"子の生年月日がマスタと相違／","")&amp;IF(AND($L2227&lt;&gt;"",INDEX(職員マスタ!$G$6:$G$405,$AP2227)&lt;&gt;"",$L2227&lt;&gt;INDEX(職員マスタ!$G$6:$G$405,$AP2227)),"時短開始日がマスタと相違／","")&amp;IF(AND($M2227&lt;&gt;"",INDEX(職員マスタ!$H$6:$H$405,$AP2227)&lt;&gt;"",$M2227&lt;&gt;INDEX(職員マスタ!$H$6:$H$405,$AP2227)),"時短終了日がマスタと相違／","")))&amp;IF(AND($B2227&lt;&gt;"",$E2227=""),"報酬額が未入力／","")&amp;IF(N($U2227)&gt;0,"申請書に入力エラーが残っています／","")&amp;IF(AND($B2227&lt;&gt;"",$AQ2227&lt;&gt;""),IF(COUNTIFS($B$6:$B$3005,$B2227,$C$6:$C$3005,$C2227,$D$6:$D$3005,$D2227)&gt;1,"同じ月の請求が重複しています／",""),"")&amp;IF(AND(N($E2227)&gt;0,$AB2227&lt;&gt;"",$AB2227&lt;&gt;"×",$AE2227=0,$AD2227=""),"計算額が下限以下のため不支給／",""))</f>
        <v/>
      </c>
      <c r="AN2227" s="12" t="n"/>
      <c r="AO2227" s="14">
        <f>IF($AF2227="保留中",COUNTIF($AF$6:$AF2227,"保留中"),"")</f>
        <v/>
      </c>
      <c r="AP2227" s="14">
        <f>IF($AQ2227="","",IF(SUMPRODUCT(MAX((職員マスタ!$A$6:$A$405=$B2227)*(((職員マスタ!$G$6:$G$405="")+(職員マスタ!$G$6:$G$405&lt;=EOMONTH($AQ2227,0)))&gt;0)*(((職員マスタ!$H$6:$H$405="")+(職員マスタ!$H$6:$H$405&gt;=$AQ2227))&gt;0)*(ROW(職員マスタ!$A$6:$A$405)-5)))&gt;0,SUMPRODUCT(MAX((職員マスタ!$A$6:$A$405=$B2227)*(((職員マスタ!$G$6:$G$405="")+(職員マスタ!$G$6:$G$405&lt;=EOMONTH($AQ2227,0)))&gt;0)*(((職員マスタ!$H$6:$H$405="")+(職員マスタ!$H$6:$H$405&gt;=$AQ2227))&gt;0)*(ROW(職員マスタ!$A$6:$A$405)-5))),IFERROR(MATCH($B2227,職員マスタ!$A$6:$A$405,0),"")))</f>
        <v/>
      </c>
      <c r="AQ2227" s="16">
        <f>IF(OR($B2227="",$C2227="",$D2227=""),"",DATE($C2227+2018,$D2227,1))</f>
        <v/>
      </c>
    </row>
    <row r="2228">
      <c r="A2228" s="11" t="n"/>
      <c r="B2228" s="12" t="n"/>
      <c r="C2228" s="12" t="n"/>
      <c r="D2228" s="12" t="n"/>
      <c r="E2228" s="13" t="n"/>
      <c r="F2228" s="12" t="n"/>
      <c r="G2228" s="13" t="n"/>
      <c r="H2228" s="12" t="n"/>
      <c r="I2228" s="12" t="n"/>
      <c r="J2228" s="12" t="n"/>
      <c r="K2228" s="12" t="n"/>
      <c r="L2228" s="11" t="n"/>
      <c r="M2228" s="11" t="n"/>
      <c r="N2228" s="11" t="n"/>
      <c r="O2228" s="11" t="n"/>
      <c r="P2228" s="12" t="n"/>
      <c r="Q2228" s="11" t="n"/>
      <c r="R2228" s="12" t="n"/>
      <c r="S2228" s="11" t="n"/>
      <c r="T2228" s="12" t="n"/>
      <c r="U2228" s="12" t="n"/>
      <c r="V2228" s="12" t="n"/>
      <c r="W2228" s="13" t="n"/>
      <c r="X2228" s="14">
        <f>IF($AP2228="",IF($B2228="","",$H2228),IF(INDEX(職員マスタ!$B$6:$B$405,$AP2228)="",$H2228,INDEX(職員マスタ!$B$6:$B$405,$AP2228)))</f>
        <v/>
      </c>
      <c r="Y2228" s="14">
        <f>IF($AP2228="",IF($B2228="","",$R2228),IF(INDEX(職員マスタ!$C$6:$C$405,$AP2228)="",$R2228,INDEX(職員マスタ!$C$6:$C$405,$AP2228)))</f>
        <v/>
      </c>
      <c r="Z2228" s="14">
        <f>IF($AQ2228="","","R"&amp;$C2228&amp;"."&amp;$D2228)</f>
        <v/>
      </c>
      <c r="AA2228" s="15">
        <f>IF(IF($AP2228="",FALSE,INDEX(職員マスタ!$K$6:$K$405,$AP2228)&lt;&gt;""),INDEX(職員マスタ!$K$6:$K$405,$AP2228),IF(N($W2228)&gt;0,$W2228,""))</f>
        <v/>
      </c>
      <c r="AB2228" s="14">
        <f>IF(OR($E2228="",$AA2228=""),"",IF($E2228&gt;=$AA2228,"×",IF($E2228&gt;=$AA2228*設定!$C$5,"△","○")))</f>
        <v/>
      </c>
      <c r="AC2228" s="15">
        <f>IF($AB2228="","",IF($AB2228="×",0,IF($AB2228="○",ROUNDDOWN($E2228*設定!$C$4,0),ROUNDDOWN($E2228*ROUND((9*$AA2228-9*$E2228)/(10*$E2228),4),0))))</f>
        <v/>
      </c>
      <c r="AD2228" s="13" t="n"/>
      <c r="AE2228" s="15">
        <f>IF($B2228="","",IF($AD2228&lt;&gt;"",$AD2228,IF($AC2228="","",IF($AC2228&lt;=設定!$C$3,0,$AC2228))))</f>
        <v/>
      </c>
      <c r="AF2228" s="14">
        <f>IF($B2228="","",IF(AND($AG2228&lt;&gt;"",$AI2228="",$AL2228=""),"保留中",IF($AL2228&lt;&gt;"",IF(N($AE2228)&gt;0,"支給済","不支給"),IF($AE2228="","要確認",IF($AE2228=0,"不支給","未処理")))))</f>
        <v/>
      </c>
      <c r="AG2228" s="12" t="n"/>
      <c r="AH2228" s="11" t="n"/>
      <c r="AI2228" s="11" t="n"/>
      <c r="AJ2228" s="11" t="n"/>
      <c r="AK2228" s="14">
        <f>IF(AND($AF2228="保留中",$AH2228&lt;&gt;""),TODAY()-$AH2228,"")</f>
        <v/>
      </c>
      <c r="AL2228" s="12" t="n"/>
      <c r="AM2228" s="14">
        <f>IF($B2228="","",IF($AQ2228="","対象年月が未入力／","")&amp;IF($B2228="","",IF($AP2228="","職員マスタに未登録の職員番号／",IF($AA2228="","標準報酬月額が未登録／","")&amp;IF(AND($AQ2228&lt;&gt;"",OR(AND(INDEX(職員マスタ!$G$6:$G$405,$AP2228)&lt;&gt;"",INDEX(職員マスタ!$G$6:$G$405,$AP2228)&gt;EOMONTH($AQ2228,0)),AND(INDEX(職員マスタ!$H$6:$H$405,$AP2228)&lt;&gt;"",INDEX(職員マスタ!$H$6:$H$405,$AP2228)&lt;$AQ2228))),"対象月が時短期間外／","")&amp;IF(AND(INDEX(職員マスタ!$K$6:$K$405,$AP2228)&lt;&gt;"",N($W2228)&gt;0,INDEX(職員マスタ!$K$6:$K$405,$AP2228)&lt;&gt;$W2228),"標準報酬月額が申請書と相違（台帳"&amp;TEXT(INDEX(職員マスタ!$K$6:$K$405,$AP2228),"#,##0")&amp;"円／申請書"&amp;TEXT($W2228,"#,##0")&amp;"円）／","")&amp;IF(AND(INDEX(職員マスタ!$F$6:$F$405,$AP2228)&lt;&gt;"",$AQ2228&lt;&gt;"",INDEX(職員マスタ!$F$6:$F$405,$AP2228)&lt;$AQ2228),"対象月に子が2歳到達済／","")&amp;IF(AND($H2228&lt;&gt;"",INDEX(職員マスタ!$B$6:$B$405,$AP2228)&lt;&gt;"",SUBSTITUTE(SUBSTITUTE($H2228," ","")," ","")&lt;&gt;SUBSTITUTE(SUBSTITUTE(INDEX(職員マスタ!$B$6:$B$405,$AP2228)," ","")," ","")),"氏名がマスタと相違／","")&amp;IF(AND($Q2228&lt;&gt;"",INDEX(職員マスタ!$E$6:$E$405,$AP2228)&lt;&gt;"",$Q2228&lt;&gt;INDEX(職員マスタ!$E$6:$E$405,$AP2228)),"子の生年月日がマスタと相違／","")&amp;IF(AND($L2228&lt;&gt;"",INDEX(職員マスタ!$G$6:$G$405,$AP2228)&lt;&gt;"",$L2228&lt;&gt;INDEX(職員マスタ!$G$6:$G$405,$AP2228)),"時短開始日がマスタと相違／","")&amp;IF(AND($M2228&lt;&gt;"",INDEX(職員マスタ!$H$6:$H$405,$AP2228)&lt;&gt;"",$M2228&lt;&gt;INDEX(職員マスタ!$H$6:$H$405,$AP2228)),"時短終了日がマスタと相違／","")))&amp;IF(AND($B2228&lt;&gt;"",$E2228=""),"報酬額が未入力／","")&amp;IF(N($U2228)&gt;0,"申請書に入力エラーが残っています／","")&amp;IF(AND($B2228&lt;&gt;"",$AQ2228&lt;&gt;""),IF(COUNTIFS($B$6:$B$3005,$B2228,$C$6:$C$3005,$C2228,$D$6:$D$3005,$D2228)&gt;1,"同じ月の請求が重複しています／",""),"")&amp;IF(AND(N($E2228)&gt;0,$AB2228&lt;&gt;"",$AB2228&lt;&gt;"×",$AE2228=0,$AD2228=""),"計算額が下限以下のため不支給／",""))</f>
        <v/>
      </c>
      <c r="AN2228" s="12" t="n"/>
      <c r="AO2228" s="14">
        <f>IF($AF2228="保留中",COUNTIF($AF$6:$AF2228,"保留中"),"")</f>
        <v/>
      </c>
      <c r="AP2228" s="14">
        <f>IF($AQ2228="","",IF(SUMPRODUCT(MAX((職員マスタ!$A$6:$A$405=$B2228)*(((職員マスタ!$G$6:$G$405="")+(職員マスタ!$G$6:$G$405&lt;=EOMONTH($AQ2228,0)))&gt;0)*(((職員マスタ!$H$6:$H$405="")+(職員マスタ!$H$6:$H$405&gt;=$AQ2228))&gt;0)*(ROW(職員マスタ!$A$6:$A$405)-5)))&gt;0,SUMPRODUCT(MAX((職員マスタ!$A$6:$A$405=$B2228)*(((職員マスタ!$G$6:$G$405="")+(職員マスタ!$G$6:$G$405&lt;=EOMONTH($AQ2228,0)))&gt;0)*(((職員マスタ!$H$6:$H$405="")+(職員マスタ!$H$6:$H$405&gt;=$AQ2228))&gt;0)*(ROW(職員マスタ!$A$6:$A$405)-5))),IFERROR(MATCH($B2228,職員マスタ!$A$6:$A$405,0),"")))</f>
        <v/>
      </c>
      <c r="AQ2228" s="16">
        <f>IF(OR($B2228="",$C2228="",$D2228=""),"",DATE($C2228+2018,$D2228,1))</f>
        <v/>
      </c>
    </row>
    <row r="2229">
      <c r="A2229" s="11" t="n"/>
      <c r="B2229" s="12" t="n"/>
      <c r="C2229" s="12" t="n"/>
      <c r="D2229" s="12" t="n"/>
      <c r="E2229" s="13" t="n"/>
      <c r="F2229" s="12" t="n"/>
      <c r="G2229" s="13" t="n"/>
      <c r="H2229" s="12" t="n"/>
      <c r="I2229" s="12" t="n"/>
      <c r="J2229" s="12" t="n"/>
      <c r="K2229" s="12" t="n"/>
      <c r="L2229" s="11" t="n"/>
      <c r="M2229" s="11" t="n"/>
      <c r="N2229" s="11" t="n"/>
      <c r="O2229" s="11" t="n"/>
      <c r="P2229" s="12" t="n"/>
      <c r="Q2229" s="11" t="n"/>
      <c r="R2229" s="12" t="n"/>
      <c r="S2229" s="11" t="n"/>
      <c r="T2229" s="12" t="n"/>
      <c r="U2229" s="12" t="n"/>
      <c r="V2229" s="12" t="n"/>
      <c r="W2229" s="13" t="n"/>
      <c r="X2229" s="14">
        <f>IF($AP2229="",IF($B2229="","",$H2229),IF(INDEX(職員マスタ!$B$6:$B$405,$AP2229)="",$H2229,INDEX(職員マスタ!$B$6:$B$405,$AP2229)))</f>
        <v/>
      </c>
      <c r="Y2229" s="14">
        <f>IF($AP2229="",IF($B2229="","",$R2229),IF(INDEX(職員マスタ!$C$6:$C$405,$AP2229)="",$R2229,INDEX(職員マスタ!$C$6:$C$405,$AP2229)))</f>
        <v/>
      </c>
      <c r="Z2229" s="14">
        <f>IF($AQ2229="","","R"&amp;$C2229&amp;"."&amp;$D2229)</f>
        <v/>
      </c>
      <c r="AA2229" s="15">
        <f>IF(IF($AP2229="",FALSE,INDEX(職員マスタ!$K$6:$K$405,$AP2229)&lt;&gt;""),INDEX(職員マスタ!$K$6:$K$405,$AP2229),IF(N($W2229)&gt;0,$W2229,""))</f>
        <v/>
      </c>
      <c r="AB2229" s="14">
        <f>IF(OR($E2229="",$AA2229=""),"",IF($E2229&gt;=$AA2229,"×",IF($E2229&gt;=$AA2229*設定!$C$5,"△","○")))</f>
        <v/>
      </c>
      <c r="AC2229" s="15">
        <f>IF($AB2229="","",IF($AB2229="×",0,IF($AB2229="○",ROUNDDOWN($E2229*設定!$C$4,0),ROUNDDOWN($E2229*ROUND((9*$AA2229-9*$E2229)/(10*$E2229),4),0))))</f>
        <v/>
      </c>
      <c r="AD2229" s="13" t="n"/>
      <c r="AE2229" s="15">
        <f>IF($B2229="","",IF($AD2229&lt;&gt;"",$AD2229,IF($AC2229="","",IF($AC2229&lt;=設定!$C$3,0,$AC2229))))</f>
        <v/>
      </c>
      <c r="AF2229" s="14">
        <f>IF($B2229="","",IF(AND($AG2229&lt;&gt;"",$AI2229="",$AL2229=""),"保留中",IF($AL2229&lt;&gt;"",IF(N($AE2229)&gt;0,"支給済","不支給"),IF($AE2229="","要確認",IF($AE2229=0,"不支給","未処理")))))</f>
        <v/>
      </c>
      <c r="AG2229" s="12" t="n"/>
      <c r="AH2229" s="11" t="n"/>
      <c r="AI2229" s="11" t="n"/>
      <c r="AJ2229" s="11" t="n"/>
      <c r="AK2229" s="14">
        <f>IF(AND($AF2229="保留中",$AH2229&lt;&gt;""),TODAY()-$AH2229,"")</f>
        <v/>
      </c>
      <c r="AL2229" s="12" t="n"/>
      <c r="AM2229" s="14">
        <f>IF($B2229="","",IF($AQ2229="","対象年月が未入力／","")&amp;IF($B2229="","",IF($AP2229="","職員マスタに未登録の職員番号／",IF($AA2229="","標準報酬月額が未登録／","")&amp;IF(AND($AQ2229&lt;&gt;"",OR(AND(INDEX(職員マスタ!$G$6:$G$405,$AP2229)&lt;&gt;"",INDEX(職員マスタ!$G$6:$G$405,$AP2229)&gt;EOMONTH($AQ2229,0)),AND(INDEX(職員マスタ!$H$6:$H$405,$AP2229)&lt;&gt;"",INDEX(職員マスタ!$H$6:$H$405,$AP2229)&lt;$AQ2229))),"対象月が時短期間外／","")&amp;IF(AND(INDEX(職員マスタ!$K$6:$K$405,$AP2229)&lt;&gt;"",N($W2229)&gt;0,INDEX(職員マスタ!$K$6:$K$405,$AP2229)&lt;&gt;$W2229),"標準報酬月額が申請書と相違（台帳"&amp;TEXT(INDEX(職員マスタ!$K$6:$K$405,$AP2229),"#,##0")&amp;"円／申請書"&amp;TEXT($W2229,"#,##0")&amp;"円）／","")&amp;IF(AND(INDEX(職員マスタ!$F$6:$F$405,$AP2229)&lt;&gt;"",$AQ2229&lt;&gt;"",INDEX(職員マスタ!$F$6:$F$405,$AP2229)&lt;$AQ2229),"対象月に子が2歳到達済／","")&amp;IF(AND($H2229&lt;&gt;"",INDEX(職員マスタ!$B$6:$B$405,$AP2229)&lt;&gt;"",SUBSTITUTE(SUBSTITUTE($H2229," ","")," ","")&lt;&gt;SUBSTITUTE(SUBSTITUTE(INDEX(職員マスタ!$B$6:$B$405,$AP2229)," ","")," ","")),"氏名がマスタと相違／","")&amp;IF(AND($Q2229&lt;&gt;"",INDEX(職員マスタ!$E$6:$E$405,$AP2229)&lt;&gt;"",$Q2229&lt;&gt;INDEX(職員マスタ!$E$6:$E$405,$AP2229)),"子の生年月日がマスタと相違／","")&amp;IF(AND($L2229&lt;&gt;"",INDEX(職員マスタ!$G$6:$G$405,$AP2229)&lt;&gt;"",$L2229&lt;&gt;INDEX(職員マスタ!$G$6:$G$405,$AP2229)),"時短開始日がマスタと相違／","")&amp;IF(AND($M2229&lt;&gt;"",INDEX(職員マスタ!$H$6:$H$405,$AP2229)&lt;&gt;"",$M2229&lt;&gt;INDEX(職員マスタ!$H$6:$H$405,$AP2229)),"時短終了日がマスタと相違／","")))&amp;IF(AND($B2229&lt;&gt;"",$E2229=""),"報酬額が未入力／","")&amp;IF(N($U2229)&gt;0,"申請書に入力エラーが残っています／","")&amp;IF(AND($B2229&lt;&gt;"",$AQ2229&lt;&gt;""),IF(COUNTIFS($B$6:$B$3005,$B2229,$C$6:$C$3005,$C2229,$D$6:$D$3005,$D2229)&gt;1,"同じ月の請求が重複しています／",""),"")&amp;IF(AND(N($E2229)&gt;0,$AB2229&lt;&gt;"",$AB2229&lt;&gt;"×",$AE2229=0,$AD2229=""),"計算額が下限以下のため不支給／",""))</f>
        <v/>
      </c>
      <c r="AN2229" s="12" t="n"/>
      <c r="AO2229" s="14">
        <f>IF($AF2229="保留中",COUNTIF($AF$6:$AF2229,"保留中"),"")</f>
        <v/>
      </c>
      <c r="AP2229" s="14">
        <f>IF($AQ2229="","",IF(SUMPRODUCT(MAX((職員マスタ!$A$6:$A$405=$B2229)*(((職員マスタ!$G$6:$G$405="")+(職員マスタ!$G$6:$G$405&lt;=EOMONTH($AQ2229,0)))&gt;0)*(((職員マスタ!$H$6:$H$405="")+(職員マスタ!$H$6:$H$405&gt;=$AQ2229))&gt;0)*(ROW(職員マスタ!$A$6:$A$405)-5)))&gt;0,SUMPRODUCT(MAX((職員マスタ!$A$6:$A$405=$B2229)*(((職員マスタ!$G$6:$G$405="")+(職員マスタ!$G$6:$G$405&lt;=EOMONTH($AQ2229,0)))&gt;0)*(((職員マスタ!$H$6:$H$405="")+(職員マスタ!$H$6:$H$405&gt;=$AQ2229))&gt;0)*(ROW(職員マスタ!$A$6:$A$405)-5))),IFERROR(MATCH($B2229,職員マスタ!$A$6:$A$405,0),"")))</f>
        <v/>
      </c>
      <c r="AQ2229" s="16">
        <f>IF(OR($B2229="",$C2229="",$D2229=""),"",DATE($C2229+2018,$D2229,1))</f>
        <v/>
      </c>
    </row>
    <row r="2230">
      <c r="A2230" s="11" t="n"/>
      <c r="B2230" s="12" t="n"/>
      <c r="C2230" s="12" t="n"/>
      <c r="D2230" s="12" t="n"/>
      <c r="E2230" s="13" t="n"/>
      <c r="F2230" s="12" t="n"/>
      <c r="G2230" s="13" t="n"/>
      <c r="H2230" s="12" t="n"/>
      <c r="I2230" s="12" t="n"/>
      <c r="J2230" s="12" t="n"/>
      <c r="K2230" s="12" t="n"/>
      <c r="L2230" s="11" t="n"/>
      <c r="M2230" s="11" t="n"/>
      <c r="N2230" s="11" t="n"/>
      <c r="O2230" s="11" t="n"/>
      <c r="P2230" s="12" t="n"/>
      <c r="Q2230" s="11" t="n"/>
      <c r="R2230" s="12" t="n"/>
      <c r="S2230" s="11" t="n"/>
      <c r="T2230" s="12" t="n"/>
      <c r="U2230" s="12" t="n"/>
      <c r="V2230" s="12" t="n"/>
      <c r="W2230" s="13" t="n"/>
      <c r="X2230" s="14">
        <f>IF($AP2230="",IF($B2230="","",$H2230),IF(INDEX(職員マスタ!$B$6:$B$405,$AP2230)="",$H2230,INDEX(職員マスタ!$B$6:$B$405,$AP2230)))</f>
        <v/>
      </c>
      <c r="Y2230" s="14">
        <f>IF($AP2230="",IF($B2230="","",$R2230),IF(INDEX(職員マスタ!$C$6:$C$405,$AP2230)="",$R2230,INDEX(職員マスタ!$C$6:$C$405,$AP2230)))</f>
        <v/>
      </c>
      <c r="Z2230" s="14">
        <f>IF($AQ2230="","","R"&amp;$C2230&amp;"."&amp;$D2230)</f>
        <v/>
      </c>
      <c r="AA2230" s="15">
        <f>IF(IF($AP2230="",FALSE,INDEX(職員マスタ!$K$6:$K$405,$AP2230)&lt;&gt;""),INDEX(職員マスタ!$K$6:$K$405,$AP2230),IF(N($W2230)&gt;0,$W2230,""))</f>
        <v/>
      </c>
      <c r="AB2230" s="14">
        <f>IF(OR($E2230="",$AA2230=""),"",IF($E2230&gt;=$AA2230,"×",IF($E2230&gt;=$AA2230*設定!$C$5,"△","○")))</f>
        <v/>
      </c>
      <c r="AC2230" s="15">
        <f>IF($AB2230="","",IF($AB2230="×",0,IF($AB2230="○",ROUNDDOWN($E2230*設定!$C$4,0),ROUNDDOWN($E2230*ROUND((9*$AA2230-9*$E2230)/(10*$E2230),4),0))))</f>
        <v/>
      </c>
      <c r="AD2230" s="13" t="n"/>
      <c r="AE2230" s="15">
        <f>IF($B2230="","",IF($AD2230&lt;&gt;"",$AD2230,IF($AC2230="","",IF($AC2230&lt;=設定!$C$3,0,$AC2230))))</f>
        <v/>
      </c>
      <c r="AF2230" s="14">
        <f>IF($B2230="","",IF(AND($AG2230&lt;&gt;"",$AI2230="",$AL2230=""),"保留中",IF($AL2230&lt;&gt;"",IF(N($AE2230)&gt;0,"支給済","不支給"),IF($AE2230="","要確認",IF($AE2230=0,"不支給","未処理")))))</f>
        <v/>
      </c>
      <c r="AG2230" s="12" t="n"/>
      <c r="AH2230" s="11" t="n"/>
      <c r="AI2230" s="11" t="n"/>
      <c r="AJ2230" s="11" t="n"/>
      <c r="AK2230" s="14">
        <f>IF(AND($AF2230="保留中",$AH2230&lt;&gt;""),TODAY()-$AH2230,"")</f>
        <v/>
      </c>
      <c r="AL2230" s="12" t="n"/>
      <c r="AM2230" s="14">
        <f>IF($B2230="","",IF($AQ2230="","対象年月が未入力／","")&amp;IF($B2230="","",IF($AP2230="","職員マスタに未登録の職員番号／",IF($AA2230="","標準報酬月額が未登録／","")&amp;IF(AND($AQ2230&lt;&gt;"",OR(AND(INDEX(職員マスタ!$G$6:$G$405,$AP2230)&lt;&gt;"",INDEX(職員マスタ!$G$6:$G$405,$AP2230)&gt;EOMONTH($AQ2230,0)),AND(INDEX(職員マスタ!$H$6:$H$405,$AP2230)&lt;&gt;"",INDEX(職員マスタ!$H$6:$H$405,$AP2230)&lt;$AQ2230))),"対象月が時短期間外／","")&amp;IF(AND(INDEX(職員マスタ!$K$6:$K$405,$AP2230)&lt;&gt;"",N($W2230)&gt;0,INDEX(職員マスタ!$K$6:$K$405,$AP2230)&lt;&gt;$W2230),"標準報酬月額が申請書と相違（台帳"&amp;TEXT(INDEX(職員マスタ!$K$6:$K$405,$AP2230),"#,##0")&amp;"円／申請書"&amp;TEXT($W2230,"#,##0")&amp;"円）／","")&amp;IF(AND(INDEX(職員マスタ!$F$6:$F$405,$AP2230)&lt;&gt;"",$AQ2230&lt;&gt;"",INDEX(職員マスタ!$F$6:$F$405,$AP2230)&lt;$AQ2230),"対象月に子が2歳到達済／","")&amp;IF(AND($H2230&lt;&gt;"",INDEX(職員マスタ!$B$6:$B$405,$AP2230)&lt;&gt;"",SUBSTITUTE(SUBSTITUTE($H2230," ","")," ","")&lt;&gt;SUBSTITUTE(SUBSTITUTE(INDEX(職員マスタ!$B$6:$B$405,$AP2230)," ","")," ","")),"氏名がマスタと相違／","")&amp;IF(AND($Q2230&lt;&gt;"",INDEX(職員マスタ!$E$6:$E$405,$AP2230)&lt;&gt;"",$Q2230&lt;&gt;INDEX(職員マスタ!$E$6:$E$405,$AP2230)),"子の生年月日がマスタと相違／","")&amp;IF(AND($L2230&lt;&gt;"",INDEX(職員マスタ!$G$6:$G$405,$AP2230)&lt;&gt;"",$L2230&lt;&gt;INDEX(職員マスタ!$G$6:$G$405,$AP2230)),"時短開始日がマスタと相違／","")&amp;IF(AND($M2230&lt;&gt;"",INDEX(職員マスタ!$H$6:$H$405,$AP2230)&lt;&gt;"",$M2230&lt;&gt;INDEX(職員マスタ!$H$6:$H$405,$AP2230)),"時短終了日がマスタと相違／","")))&amp;IF(AND($B2230&lt;&gt;"",$E2230=""),"報酬額が未入力／","")&amp;IF(N($U2230)&gt;0,"申請書に入力エラーが残っています／","")&amp;IF(AND($B2230&lt;&gt;"",$AQ2230&lt;&gt;""),IF(COUNTIFS($B$6:$B$3005,$B2230,$C$6:$C$3005,$C2230,$D$6:$D$3005,$D2230)&gt;1,"同じ月の請求が重複しています／",""),"")&amp;IF(AND(N($E2230)&gt;0,$AB2230&lt;&gt;"",$AB2230&lt;&gt;"×",$AE2230=0,$AD2230=""),"計算額が下限以下のため不支給／",""))</f>
        <v/>
      </c>
      <c r="AN2230" s="12" t="n"/>
      <c r="AO2230" s="14">
        <f>IF($AF2230="保留中",COUNTIF($AF$6:$AF2230,"保留中"),"")</f>
        <v/>
      </c>
      <c r="AP2230" s="14">
        <f>IF($AQ2230="","",IF(SUMPRODUCT(MAX((職員マスタ!$A$6:$A$405=$B2230)*(((職員マスタ!$G$6:$G$405="")+(職員マスタ!$G$6:$G$405&lt;=EOMONTH($AQ2230,0)))&gt;0)*(((職員マスタ!$H$6:$H$405="")+(職員マスタ!$H$6:$H$405&gt;=$AQ2230))&gt;0)*(ROW(職員マスタ!$A$6:$A$405)-5)))&gt;0,SUMPRODUCT(MAX((職員マスタ!$A$6:$A$405=$B2230)*(((職員マスタ!$G$6:$G$405="")+(職員マスタ!$G$6:$G$405&lt;=EOMONTH($AQ2230,0)))&gt;0)*(((職員マスタ!$H$6:$H$405="")+(職員マスタ!$H$6:$H$405&gt;=$AQ2230))&gt;0)*(ROW(職員マスタ!$A$6:$A$405)-5))),IFERROR(MATCH($B2230,職員マスタ!$A$6:$A$405,0),"")))</f>
        <v/>
      </c>
      <c r="AQ2230" s="16">
        <f>IF(OR($B2230="",$C2230="",$D2230=""),"",DATE($C2230+2018,$D2230,1))</f>
        <v/>
      </c>
    </row>
    <row r="2231">
      <c r="A2231" s="11" t="n"/>
      <c r="B2231" s="12" t="n"/>
      <c r="C2231" s="12" t="n"/>
      <c r="D2231" s="12" t="n"/>
      <c r="E2231" s="13" t="n"/>
      <c r="F2231" s="12" t="n"/>
      <c r="G2231" s="13" t="n"/>
      <c r="H2231" s="12" t="n"/>
      <c r="I2231" s="12" t="n"/>
      <c r="J2231" s="12" t="n"/>
      <c r="K2231" s="12" t="n"/>
      <c r="L2231" s="11" t="n"/>
      <c r="M2231" s="11" t="n"/>
      <c r="N2231" s="11" t="n"/>
      <c r="O2231" s="11" t="n"/>
      <c r="P2231" s="12" t="n"/>
      <c r="Q2231" s="11" t="n"/>
      <c r="R2231" s="12" t="n"/>
      <c r="S2231" s="11" t="n"/>
      <c r="T2231" s="12" t="n"/>
      <c r="U2231" s="12" t="n"/>
      <c r="V2231" s="12" t="n"/>
      <c r="W2231" s="13" t="n"/>
      <c r="X2231" s="14">
        <f>IF($AP2231="",IF($B2231="","",$H2231),IF(INDEX(職員マスタ!$B$6:$B$405,$AP2231)="",$H2231,INDEX(職員マスタ!$B$6:$B$405,$AP2231)))</f>
        <v/>
      </c>
      <c r="Y2231" s="14">
        <f>IF($AP2231="",IF($B2231="","",$R2231),IF(INDEX(職員マスタ!$C$6:$C$405,$AP2231)="",$R2231,INDEX(職員マスタ!$C$6:$C$405,$AP2231)))</f>
        <v/>
      </c>
      <c r="Z2231" s="14">
        <f>IF($AQ2231="","","R"&amp;$C2231&amp;"."&amp;$D2231)</f>
        <v/>
      </c>
      <c r="AA2231" s="15">
        <f>IF(IF($AP2231="",FALSE,INDEX(職員マスタ!$K$6:$K$405,$AP2231)&lt;&gt;""),INDEX(職員マスタ!$K$6:$K$405,$AP2231),IF(N($W2231)&gt;0,$W2231,""))</f>
        <v/>
      </c>
      <c r="AB2231" s="14">
        <f>IF(OR($E2231="",$AA2231=""),"",IF($E2231&gt;=$AA2231,"×",IF($E2231&gt;=$AA2231*設定!$C$5,"△","○")))</f>
        <v/>
      </c>
      <c r="AC2231" s="15">
        <f>IF($AB2231="","",IF($AB2231="×",0,IF($AB2231="○",ROUNDDOWN($E2231*設定!$C$4,0),ROUNDDOWN($E2231*ROUND((9*$AA2231-9*$E2231)/(10*$E2231),4),0))))</f>
        <v/>
      </c>
      <c r="AD2231" s="13" t="n"/>
      <c r="AE2231" s="15">
        <f>IF($B2231="","",IF($AD2231&lt;&gt;"",$AD2231,IF($AC2231="","",IF($AC2231&lt;=設定!$C$3,0,$AC2231))))</f>
        <v/>
      </c>
      <c r="AF2231" s="14">
        <f>IF($B2231="","",IF(AND($AG2231&lt;&gt;"",$AI2231="",$AL2231=""),"保留中",IF($AL2231&lt;&gt;"",IF(N($AE2231)&gt;0,"支給済","不支給"),IF($AE2231="","要確認",IF($AE2231=0,"不支給","未処理")))))</f>
        <v/>
      </c>
      <c r="AG2231" s="12" t="n"/>
      <c r="AH2231" s="11" t="n"/>
      <c r="AI2231" s="11" t="n"/>
      <c r="AJ2231" s="11" t="n"/>
      <c r="AK2231" s="14">
        <f>IF(AND($AF2231="保留中",$AH2231&lt;&gt;""),TODAY()-$AH2231,"")</f>
        <v/>
      </c>
      <c r="AL2231" s="12" t="n"/>
      <c r="AM2231" s="14">
        <f>IF($B2231="","",IF($AQ2231="","対象年月が未入力／","")&amp;IF($B2231="","",IF($AP2231="","職員マスタに未登録の職員番号／",IF($AA2231="","標準報酬月額が未登録／","")&amp;IF(AND($AQ2231&lt;&gt;"",OR(AND(INDEX(職員マスタ!$G$6:$G$405,$AP2231)&lt;&gt;"",INDEX(職員マスタ!$G$6:$G$405,$AP2231)&gt;EOMONTH($AQ2231,0)),AND(INDEX(職員マスタ!$H$6:$H$405,$AP2231)&lt;&gt;"",INDEX(職員マスタ!$H$6:$H$405,$AP2231)&lt;$AQ2231))),"対象月が時短期間外／","")&amp;IF(AND(INDEX(職員マスタ!$K$6:$K$405,$AP2231)&lt;&gt;"",N($W2231)&gt;0,INDEX(職員マスタ!$K$6:$K$405,$AP2231)&lt;&gt;$W2231),"標準報酬月額が申請書と相違（台帳"&amp;TEXT(INDEX(職員マスタ!$K$6:$K$405,$AP2231),"#,##0")&amp;"円／申請書"&amp;TEXT($W2231,"#,##0")&amp;"円）／","")&amp;IF(AND(INDEX(職員マスタ!$F$6:$F$405,$AP2231)&lt;&gt;"",$AQ2231&lt;&gt;"",INDEX(職員マスタ!$F$6:$F$405,$AP2231)&lt;$AQ2231),"対象月に子が2歳到達済／","")&amp;IF(AND($H2231&lt;&gt;"",INDEX(職員マスタ!$B$6:$B$405,$AP2231)&lt;&gt;"",SUBSTITUTE(SUBSTITUTE($H2231," ","")," ","")&lt;&gt;SUBSTITUTE(SUBSTITUTE(INDEX(職員マスタ!$B$6:$B$405,$AP2231)," ","")," ","")),"氏名がマスタと相違／","")&amp;IF(AND($Q2231&lt;&gt;"",INDEX(職員マスタ!$E$6:$E$405,$AP2231)&lt;&gt;"",$Q2231&lt;&gt;INDEX(職員マスタ!$E$6:$E$405,$AP2231)),"子の生年月日がマスタと相違／","")&amp;IF(AND($L2231&lt;&gt;"",INDEX(職員マスタ!$G$6:$G$405,$AP2231)&lt;&gt;"",$L2231&lt;&gt;INDEX(職員マスタ!$G$6:$G$405,$AP2231)),"時短開始日がマスタと相違／","")&amp;IF(AND($M2231&lt;&gt;"",INDEX(職員マスタ!$H$6:$H$405,$AP2231)&lt;&gt;"",$M2231&lt;&gt;INDEX(職員マスタ!$H$6:$H$405,$AP2231)),"時短終了日がマスタと相違／","")))&amp;IF(AND($B2231&lt;&gt;"",$E2231=""),"報酬額が未入力／","")&amp;IF(N($U2231)&gt;0,"申請書に入力エラーが残っています／","")&amp;IF(AND($B2231&lt;&gt;"",$AQ2231&lt;&gt;""),IF(COUNTIFS($B$6:$B$3005,$B2231,$C$6:$C$3005,$C2231,$D$6:$D$3005,$D2231)&gt;1,"同じ月の請求が重複しています／",""),"")&amp;IF(AND(N($E2231)&gt;0,$AB2231&lt;&gt;"",$AB2231&lt;&gt;"×",$AE2231=0,$AD2231=""),"計算額が下限以下のため不支給／",""))</f>
        <v/>
      </c>
      <c r="AN2231" s="12" t="n"/>
      <c r="AO2231" s="14">
        <f>IF($AF2231="保留中",COUNTIF($AF$6:$AF2231,"保留中"),"")</f>
        <v/>
      </c>
      <c r="AP2231" s="14">
        <f>IF($AQ2231="","",IF(SUMPRODUCT(MAX((職員マスタ!$A$6:$A$405=$B2231)*(((職員マスタ!$G$6:$G$405="")+(職員マスタ!$G$6:$G$405&lt;=EOMONTH($AQ2231,0)))&gt;0)*(((職員マスタ!$H$6:$H$405="")+(職員マスタ!$H$6:$H$405&gt;=$AQ2231))&gt;0)*(ROW(職員マスタ!$A$6:$A$405)-5)))&gt;0,SUMPRODUCT(MAX((職員マスタ!$A$6:$A$405=$B2231)*(((職員マスタ!$G$6:$G$405="")+(職員マスタ!$G$6:$G$405&lt;=EOMONTH($AQ2231,0)))&gt;0)*(((職員マスタ!$H$6:$H$405="")+(職員マスタ!$H$6:$H$405&gt;=$AQ2231))&gt;0)*(ROW(職員マスタ!$A$6:$A$405)-5))),IFERROR(MATCH($B2231,職員マスタ!$A$6:$A$405,0),"")))</f>
        <v/>
      </c>
      <c r="AQ2231" s="16">
        <f>IF(OR($B2231="",$C2231="",$D2231=""),"",DATE($C2231+2018,$D2231,1))</f>
        <v/>
      </c>
    </row>
    <row r="2232">
      <c r="A2232" s="11" t="n"/>
      <c r="B2232" s="12" t="n"/>
      <c r="C2232" s="12" t="n"/>
      <c r="D2232" s="12" t="n"/>
      <c r="E2232" s="13" t="n"/>
      <c r="F2232" s="12" t="n"/>
      <c r="G2232" s="13" t="n"/>
      <c r="H2232" s="12" t="n"/>
      <c r="I2232" s="12" t="n"/>
      <c r="J2232" s="12" t="n"/>
      <c r="K2232" s="12" t="n"/>
      <c r="L2232" s="11" t="n"/>
      <c r="M2232" s="11" t="n"/>
      <c r="N2232" s="11" t="n"/>
      <c r="O2232" s="11" t="n"/>
      <c r="P2232" s="12" t="n"/>
      <c r="Q2232" s="11" t="n"/>
      <c r="R2232" s="12" t="n"/>
      <c r="S2232" s="11" t="n"/>
      <c r="T2232" s="12" t="n"/>
      <c r="U2232" s="12" t="n"/>
      <c r="V2232" s="12" t="n"/>
      <c r="W2232" s="13" t="n"/>
      <c r="X2232" s="14">
        <f>IF($AP2232="",IF($B2232="","",$H2232),IF(INDEX(職員マスタ!$B$6:$B$405,$AP2232)="",$H2232,INDEX(職員マスタ!$B$6:$B$405,$AP2232)))</f>
        <v/>
      </c>
      <c r="Y2232" s="14">
        <f>IF($AP2232="",IF($B2232="","",$R2232),IF(INDEX(職員マスタ!$C$6:$C$405,$AP2232)="",$R2232,INDEX(職員マスタ!$C$6:$C$405,$AP2232)))</f>
        <v/>
      </c>
      <c r="Z2232" s="14">
        <f>IF($AQ2232="","","R"&amp;$C2232&amp;"."&amp;$D2232)</f>
        <v/>
      </c>
      <c r="AA2232" s="15">
        <f>IF(IF($AP2232="",FALSE,INDEX(職員マスタ!$K$6:$K$405,$AP2232)&lt;&gt;""),INDEX(職員マスタ!$K$6:$K$405,$AP2232),IF(N($W2232)&gt;0,$W2232,""))</f>
        <v/>
      </c>
      <c r="AB2232" s="14">
        <f>IF(OR($E2232="",$AA2232=""),"",IF($E2232&gt;=$AA2232,"×",IF($E2232&gt;=$AA2232*設定!$C$5,"△","○")))</f>
        <v/>
      </c>
      <c r="AC2232" s="15">
        <f>IF($AB2232="","",IF($AB2232="×",0,IF($AB2232="○",ROUNDDOWN($E2232*設定!$C$4,0),ROUNDDOWN($E2232*ROUND((9*$AA2232-9*$E2232)/(10*$E2232),4),0))))</f>
        <v/>
      </c>
      <c r="AD2232" s="13" t="n"/>
      <c r="AE2232" s="15">
        <f>IF($B2232="","",IF($AD2232&lt;&gt;"",$AD2232,IF($AC2232="","",IF($AC2232&lt;=設定!$C$3,0,$AC2232))))</f>
        <v/>
      </c>
      <c r="AF2232" s="14">
        <f>IF($B2232="","",IF(AND($AG2232&lt;&gt;"",$AI2232="",$AL2232=""),"保留中",IF($AL2232&lt;&gt;"",IF(N($AE2232)&gt;0,"支給済","不支給"),IF($AE2232="","要確認",IF($AE2232=0,"不支給","未処理")))))</f>
        <v/>
      </c>
      <c r="AG2232" s="12" t="n"/>
      <c r="AH2232" s="11" t="n"/>
      <c r="AI2232" s="11" t="n"/>
      <c r="AJ2232" s="11" t="n"/>
      <c r="AK2232" s="14">
        <f>IF(AND($AF2232="保留中",$AH2232&lt;&gt;""),TODAY()-$AH2232,"")</f>
        <v/>
      </c>
      <c r="AL2232" s="12" t="n"/>
      <c r="AM2232" s="14">
        <f>IF($B2232="","",IF($AQ2232="","対象年月が未入力／","")&amp;IF($B2232="","",IF($AP2232="","職員マスタに未登録の職員番号／",IF($AA2232="","標準報酬月額が未登録／","")&amp;IF(AND($AQ2232&lt;&gt;"",OR(AND(INDEX(職員マスタ!$G$6:$G$405,$AP2232)&lt;&gt;"",INDEX(職員マスタ!$G$6:$G$405,$AP2232)&gt;EOMONTH($AQ2232,0)),AND(INDEX(職員マスタ!$H$6:$H$405,$AP2232)&lt;&gt;"",INDEX(職員マスタ!$H$6:$H$405,$AP2232)&lt;$AQ2232))),"対象月が時短期間外／","")&amp;IF(AND(INDEX(職員マスタ!$K$6:$K$405,$AP2232)&lt;&gt;"",N($W2232)&gt;0,INDEX(職員マスタ!$K$6:$K$405,$AP2232)&lt;&gt;$W2232),"標準報酬月額が申請書と相違（台帳"&amp;TEXT(INDEX(職員マスタ!$K$6:$K$405,$AP2232),"#,##0")&amp;"円／申請書"&amp;TEXT($W2232,"#,##0")&amp;"円）／","")&amp;IF(AND(INDEX(職員マスタ!$F$6:$F$405,$AP2232)&lt;&gt;"",$AQ2232&lt;&gt;"",INDEX(職員マスタ!$F$6:$F$405,$AP2232)&lt;$AQ2232),"対象月に子が2歳到達済／","")&amp;IF(AND($H2232&lt;&gt;"",INDEX(職員マスタ!$B$6:$B$405,$AP2232)&lt;&gt;"",SUBSTITUTE(SUBSTITUTE($H2232," ","")," ","")&lt;&gt;SUBSTITUTE(SUBSTITUTE(INDEX(職員マスタ!$B$6:$B$405,$AP2232)," ","")," ","")),"氏名がマスタと相違／","")&amp;IF(AND($Q2232&lt;&gt;"",INDEX(職員マスタ!$E$6:$E$405,$AP2232)&lt;&gt;"",$Q2232&lt;&gt;INDEX(職員マスタ!$E$6:$E$405,$AP2232)),"子の生年月日がマスタと相違／","")&amp;IF(AND($L2232&lt;&gt;"",INDEX(職員マスタ!$G$6:$G$405,$AP2232)&lt;&gt;"",$L2232&lt;&gt;INDEX(職員マスタ!$G$6:$G$405,$AP2232)),"時短開始日がマスタと相違／","")&amp;IF(AND($M2232&lt;&gt;"",INDEX(職員マスタ!$H$6:$H$405,$AP2232)&lt;&gt;"",$M2232&lt;&gt;INDEX(職員マスタ!$H$6:$H$405,$AP2232)),"時短終了日がマスタと相違／","")))&amp;IF(AND($B2232&lt;&gt;"",$E2232=""),"報酬額が未入力／","")&amp;IF(N($U2232)&gt;0,"申請書に入力エラーが残っています／","")&amp;IF(AND($B2232&lt;&gt;"",$AQ2232&lt;&gt;""),IF(COUNTIFS($B$6:$B$3005,$B2232,$C$6:$C$3005,$C2232,$D$6:$D$3005,$D2232)&gt;1,"同じ月の請求が重複しています／",""),"")&amp;IF(AND(N($E2232)&gt;0,$AB2232&lt;&gt;"",$AB2232&lt;&gt;"×",$AE2232=0,$AD2232=""),"計算額が下限以下のため不支給／",""))</f>
        <v/>
      </c>
      <c r="AN2232" s="12" t="n"/>
      <c r="AO2232" s="14">
        <f>IF($AF2232="保留中",COUNTIF($AF$6:$AF2232,"保留中"),"")</f>
        <v/>
      </c>
      <c r="AP2232" s="14">
        <f>IF($AQ2232="","",IF(SUMPRODUCT(MAX((職員マスタ!$A$6:$A$405=$B2232)*(((職員マスタ!$G$6:$G$405="")+(職員マスタ!$G$6:$G$405&lt;=EOMONTH($AQ2232,0)))&gt;0)*(((職員マスタ!$H$6:$H$405="")+(職員マスタ!$H$6:$H$405&gt;=$AQ2232))&gt;0)*(ROW(職員マスタ!$A$6:$A$405)-5)))&gt;0,SUMPRODUCT(MAX((職員マスタ!$A$6:$A$405=$B2232)*(((職員マスタ!$G$6:$G$405="")+(職員マスタ!$G$6:$G$405&lt;=EOMONTH($AQ2232,0)))&gt;0)*(((職員マスタ!$H$6:$H$405="")+(職員マスタ!$H$6:$H$405&gt;=$AQ2232))&gt;0)*(ROW(職員マスタ!$A$6:$A$405)-5))),IFERROR(MATCH($B2232,職員マスタ!$A$6:$A$405,0),"")))</f>
        <v/>
      </c>
      <c r="AQ2232" s="16">
        <f>IF(OR($B2232="",$C2232="",$D2232=""),"",DATE($C2232+2018,$D2232,1))</f>
        <v/>
      </c>
    </row>
    <row r="2233">
      <c r="A2233" s="11" t="n"/>
      <c r="B2233" s="12" t="n"/>
      <c r="C2233" s="12" t="n"/>
      <c r="D2233" s="12" t="n"/>
      <c r="E2233" s="13" t="n"/>
      <c r="F2233" s="12" t="n"/>
      <c r="G2233" s="13" t="n"/>
      <c r="H2233" s="12" t="n"/>
      <c r="I2233" s="12" t="n"/>
      <c r="J2233" s="12" t="n"/>
      <c r="K2233" s="12" t="n"/>
      <c r="L2233" s="11" t="n"/>
      <c r="M2233" s="11" t="n"/>
      <c r="N2233" s="11" t="n"/>
      <c r="O2233" s="11" t="n"/>
      <c r="P2233" s="12" t="n"/>
      <c r="Q2233" s="11" t="n"/>
      <c r="R2233" s="12" t="n"/>
      <c r="S2233" s="11" t="n"/>
      <c r="T2233" s="12" t="n"/>
      <c r="U2233" s="12" t="n"/>
      <c r="V2233" s="12" t="n"/>
      <c r="W2233" s="13" t="n"/>
      <c r="X2233" s="14">
        <f>IF($AP2233="",IF($B2233="","",$H2233),IF(INDEX(職員マスタ!$B$6:$B$405,$AP2233)="",$H2233,INDEX(職員マスタ!$B$6:$B$405,$AP2233)))</f>
        <v/>
      </c>
      <c r="Y2233" s="14">
        <f>IF($AP2233="",IF($B2233="","",$R2233),IF(INDEX(職員マスタ!$C$6:$C$405,$AP2233)="",$R2233,INDEX(職員マスタ!$C$6:$C$405,$AP2233)))</f>
        <v/>
      </c>
      <c r="Z2233" s="14">
        <f>IF($AQ2233="","","R"&amp;$C2233&amp;"."&amp;$D2233)</f>
        <v/>
      </c>
      <c r="AA2233" s="15">
        <f>IF(IF($AP2233="",FALSE,INDEX(職員マスタ!$K$6:$K$405,$AP2233)&lt;&gt;""),INDEX(職員マスタ!$K$6:$K$405,$AP2233),IF(N($W2233)&gt;0,$W2233,""))</f>
        <v/>
      </c>
      <c r="AB2233" s="14">
        <f>IF(OR($E2233="",$AA2233=""),"",IF($E2233&gt;=$AA2233,"×",IF($E2233&gt;=$AA2233*設定!$C$5,"△","○")))</f>
        <v/>
      </c>
      <c r="AC2233" s="15">
        <f>IF($AB2233="","",IF($AB2233="×",0,IF($AB2233="○",ROUNDDOWN($E2233*設定!$C$4,0),ROUNDDOWN($E2233*ROUND((9*$AA2233-9*$E2233)/(10*$E2233),4),0))))</f>
        <v/>
      </c>
      <c r="AD2233" s="13" t="n"/>
      <c r="AE2233" s="15">
        <f>IF($B2233="","",IF($AD2233&lt;&gt;"",$AD2233,IF($AC2233="","",IF($AC2233&lt;=設定!$C$3,0,$AC2233))))</f>
        <v/>
      </c>
      <c r="AF2233" s="14">
        <f>IF($B2233="","",IF(AND($AG2233&lt;&gt;"",$AI2233="",$AL2233=""),"保留中",IF($AL2233&lt;&gt;"",IF(N($AE2233)&gt;0,"支給済","不支給"),IF($AE2233="","要確認",IF($AE2233=0,"不支給","未処理")))))</f>
        <v/>
      </c>
      <c r="AG2233" s="12" t="n"/>
      <c r="AH2233" s="11" t="n"/>
      <c r="AI2233" s="11" t="n"/>
      <c r="AJ2233" s="11" t="n"/>
      <c r="AK2233" s="14">
        <f>IF(AND($AF2233="保留中",$AH2233&lt;&gt;""),TODAY()-$AH2233,"")</f>
        <v/>
      </c>
      <c r="AL2233" s="12" t="n"/>
      <c r="AM2233" s="14">
        <f>IF($B2233="","",IF($AQ2233="","対象年月が未入力／","")&amp;IF($B2233="","",IF($AP2233="","職員マスタに未登録の職員番号／",IF($AA2233="","標準報酬月額が未登録／","")&amp;IF(AND($AQ2233&lt;&gt;"",OR(AND(INDEX(職員マスタ!$G$6:$G$405,$AP2233)&lt;&gt;"",INDEX(職員マスタ!$G$6:$G$405,$AP2233)&gt;EOMONTH($AQ2233,0)),AND(INDEX(職員マスタ!$H$6:$H$405,$AP2233)&lt;&gt;"",INDEX(職員マスタ!$H$6:$H$405,$AP2233)&lt;$AQ2233))),"対象月が時短期間外／","")&amp;IF(AND(INDEX(職員マスタ!$K$6:$K$405,$AP2233)&lt;&gt;"",N($W2233)&gt;0,INDEX(職員マスタ!$K$6:$K$405,$AP2233)&lt;&gt;$W2233),"標準報酬月額が申請書と相違（台帳"&amp;TEXT(INDEX(職員マスタ!$K$6:$K$405,$AP2233),"#,##0")&amp;"円／申請書"&amp;TEXT($W2233,"#,##0")&amp;"円）／","")&amp;IF(AND(INDEX(職員マスタ!$F$6:$F$405,$AP2233)&lt;&gt;"",$AQ2233&lt;&gt;"",INDEX(職員マスタ!$F$6:$F$405,$AP2233)&lt;$AQ2233),"対象月に子が2歳到達済／","")&amp;IF(AND($H2233&lt;&gt;"",INDEX(職員マスタ!$B$6:$B$405,$AP2233)&lt;&gt;"",SUBSTITUTE(SUBSTITUTE($H2233," ","")," ","")&lt;&gt;SUBSTITUTE(SUBSTITUTE(INDEX(職員マスタ!$B$6:$B$405,$AP2233)," ","")," ","")),"氏名がマスタと相違／","")&amp;IF(AND($Q2233&lt;&gt;"",INDEX(職員マスタ!$E$6:$E$405,$AP2233)&lt;&gt;"",$Q2233&lt;&gt;INDEX(職員マスタ!$E$6:$E$405,$AP2233)),"子の生年月日がマスタと相違／","")&amp;IF(AND($L2233&lt;&gt;"",INDEX(職員マスタ!$G$6:$G$405,$AP2233)&lt;&gt;"",$L2233&lt;&gt;INDEX(職員マスタ!$G$6:$G$405,$AP2233)),"時短開始日がマスタと相違／","")&amp;IF(AND($M2233&lt;&gt;"",INDEX(職員マスタ!$H$6:$H$405,$AP2233)&lt;&gt;"",$M2233&lt;&gt;INDEX(職員マスタ!$H$6:$H$405,$AP2233)),"時短終了日がマスタと相違／","")))&amp;IF(AND($B2233&lt;&gt;"",$E2233=""),"報酬額が未入力／","")&amp;IF(N($U2233)&gt;0,"申請書に入力エラーが残っています／","")&amp;IF(AND($B2233&lt;&gt;"",$AQ2233&lt;&gt;""),IF(COUNTIFS($B$6:$B$3005,$B2233,$C$6:$C$3005,$C2233,$D$6:$D$3005,$D2233)&gt;1,"同じ月の請求が重複しています／",""),"")&amp;IF(AND(N($E2233)&gt;0,$AB2233&lt;&gt;"",$AB2233&lt;&gt;"×",$AE2233=0,$AD2233=""),"計算額が下限以下のため不支給／",""))</f>
        <v/>
      </c>
      <c r="AN2233" s="12" t="n"/>
      <c r="AO2233" s="14">
        <f>IF($AF2233="保留中",COUNTIF($AF$6:$AF2233,"保留中"),"")</f>
        <v/>
      </c>
      <c r="AP2233" s="14">
        <f>IF($AQ2233="","",IF(SUMPRODUCT(MAX((職員マスタ!$A$6:$A$405=$B2233)*(((職員マスタ!$G$6:$G$405="")+(職員マスタ!$G$6:$G$405&lt;=EOMONTH($AQ2233,0)))&gt;0)*(((職員マスタ!$H$6:$H$405="")+(職員マスタ!$H$6:$H$405&gt;=$AQ2233))&gt;0)*(ROW(職員マスタ!$A$6:$A$405)-5)))&gt;0,SUMPRODUCT(MAX((職員マスタ!$A$6:$A$405=$B2233)*(((職員マスタ!$G$6:$G$405="")+(職員マスタ!$G$6:$G$405&lt;=EOMONTH($AQ2233,0)))&gt;0)*(((職員マスタ!$H$6:$H$405="")+(職員マスタ!$H$6:$H$405&gt;=$AQ2233))&gt;0)*(ROW(職員マスタ!$A$6:$A$405)-5))),IFERROR(MATCH($B2233,職員マスタ!$A$6:$A$405,0),"")))</f>
        <v/>
      </c>
      <c r="AQ2233" s="16">
        <f>IF(OR($B2233="",$C2233="",$D2233=""),"",DATE($C2233+2018,$D2233,1))</f>
        <v/>
      </c>
    </row>
    <row r="2234">
      <c r="A2234" s="11" t="n"/>
      <c r="B2234" s="12" t="n"/>
      <c r="C2234" s="12" t="n"/>
      <c r="D2234" s="12" t="n"/>
      <c r="E2234" s="13" t="n"/>
      <c r="F2234" s="12" t="n"/>
      <c r="G2234" s="13" t="n"/>
      <c r="H2234" s="12" t="n"/>
      <c r="I2234" s="12" t="n"/>
      <c r="J2234" s="12" t="n"/>
      <c r="K2234" s="12" t="n"/>
      <c r="L2234" s="11" t="n"/>
      <c r="M2234" s="11" t="n"/>
      <c r="N2234" s="11" t="n"/>
      <c r="O2234" s="11" t="n"/>
      <c r="P2234" s="12" t="n"/>
      <c r="Q2234" s="11" t="n"/>
      <c r="R2234" s="12" t="n"/>
      <c r="S2234" s="11" t="n"/>
      <c r="T2234" s="12" t="n"/>
      <c r="U2234" s="12" t="n"/>
      <c r="V2234" s="12" t="n"/>
      <c r="W2234" s="13" t="n"/>
      <c r="X2234" s="14">
        <f>IF($AP2234="",IF($B2234="","",$H2234),IF(INDEX(職員マスタ!$B$6:$B$405,$AP2234)="",$H2234,INDEX(職員マスタ!$B$6:$B$405,$AP2234)))</f>
        <v/>
      </c>
      <c r="Y2234" s="14">
        <f>IF($AP2234="",IF($B2234="","",$R2234),IF(INDEX(職員マスタ!$C$6:$C$405,$AP2234)="",$R2234,INDEX(職員マスタ!$C$6:$C$405,$AP2234)))</f>
        <v/>
      </c>
      <c r="Z2234" s="14">
        <f>IF($AQ2234="","","R"&amp;$C2234&amp;"."&amp;$D2234)</f>
        <v/>
      </c>
      <c r="AA2234" s="15">
        <f>IF(IF($AP2234="",FALSE,INDEX(職員マスタ!$K$6:$K$405,$AP2234)&lt;&gt;""),INDEX(職員マスタ!$K$6:$K$405,$AP2234),IF(N($W2234)&gt;0,$W2234,""))</f>
        <v/>
      </c>
      <c r="AB2234" s="14">
        <f>IF(OR($E2234="",$AA2234=""),"",IF($E2234&gt;=$AA2234,"×",IF($E2234&gt;=$AA2234*設定!$C$5,"△","○")))</f>
        <v/>
      </c>
      <c r="AC2234" s="15">
        <f>IF($AB2234="","",IF($AB2234="×",0,IF($AB2234="○",ROUNDDOWN($E2234*設定!$C$4,0),ROUNDDOWN($E2234*ROUND((9*$AA2234-9*$E2234)/(10*$E2234),4),0))))</f>
        <v/>
      </c>
      <c r="AD2234" s="13" t="n"/>
      <c r="AE2234" s="15">
        <f>IF($B2234="","",IF($AD2234&lt;&gt;"",$AD2234,IF($AC2234="","",IF($AC2234&lt;=設定!$C$3,0,$AC2234))))</f>
        <v/>
      </c>
      <c r="AF2234" s="14">
        <f>IF($B2234="","",IF(AND($AG2234&lt;&gt;"",$AI2234="",$AL2234=""),"保留中",IF($AL2234&lt;&gt;"",IF(N($AE2234)&gt;0,"支給済","不支給"),IF($AE2234="","要確認",IF($AE2234=0,"不支給","未処理")))))</f>
        <v/>
      </c>
      <c r="AG2234" s="12" t="n"/>
      <c r="AH2234" s="11" t="n"/>
      <c r="AI2234" s="11" t="n"/>
      <c r="AJ2234" s="11" t="n"/>
      <c r="AK2234" s="14">
        <f>IF(AND($AF2234="保留中",$AH2234&lt;&gt;""),TODAY()-$AH2234,"")</f>
        <v/>
      </c>
      <c r="AL2234" s="12" t="n"/>
      <c r="AM2234" s="14">
        <f>IF($B2234="","",IF($AQ2234="","対象年月が未入力／","")&amp;IF($B2234="","",IF($AP2234="","職員マスタに未登録の職員番号／",IF($AA2234="","標準報酬月額が未登録／","")&amp;IF(AND($AQ2234&lt;&gt;"",OR(AND(INDEX(職員マスタ!$G$6:$G$405,$AP2234)&lt;&gt;"",INDEX(職員マスタ!$G$6:$G$405,$AP2234)&gt;EOMONTH($AQ2234,0)),AND(INDEX(職員マスタ!$H$6:$H$405,$AP2234)&lt;&gt;"",INDEX(職員マスタ!$H$6:$H$405,$AP2234)&lt;$AQ2234))),"対象月が時短期間外／","")&amp;IF(AND(INDEX(職員マスタ!$K$6:$K$405,$AP2234)&lt;&gt;"",N($W2234)&gt;0,INDEX(職員マスタ!$K$6:$K$405,$AP2234)&lt;&gt;$W2234),"標準報酬月額が申請書と相違（台帳"&amp;TEXT(INDEX(職員マスタ!$K$6:$K$405,$AP2234),"#,##0")&amp;"円／申請書"&amp;TEXT($W2234,"#,##0")&amp;"円）／","")&amp;IF(AND(INDEX(職員マスタ!$F$6:$F$405,$AP2234)&lt;&gt;"",$AQ2234&lt;&gt;"",INDEX(職員マスタ!$F$6:$F$405,$AP2234)&lt;$AQ2234),"対象月に子が2歳到達済／","")&amp;IF(AND($H2234&lt;&gt;"",INDEX(職員マスタ!$B$6:$B$405,$AP2234)&lt;&gt;"",SUBSTITUTE(SUBSTITUTE($H2234," ","")," ","")&lt;&gt;SUBSTITUTE(SUBSTITUTE(INDEX(職員マスタ!$B$6:$B$405,$AP2234)," ","")," ","")),"氏名がマスタと相違／","")&amp;IF(AND($Q2234&lt;&gt;"",INDEX(職員マスタ!$E$6:$E$405,$AP2234)&lt;&gt;"",$Q2234&lt;&gt;INDEX(職員マスタ!$E$6:$E$405,$AP2234)),"子の生年月日がマスタと相違／","")&amp;IF(AND($L2234&lt;&gt;"",INDEX(職員マスタ!$G$6:$G$405,$AP2234)&lt;&gt;"",$L2234&lt;&gt;INDEX(職員マスタ!$G$6:$G$405,$AP2234)),"時短開始日がマスタと相違／","")&amp;IF(AND($M2234&lt;&gt;"",INDEX(職員マスタ!$H$6:$H$405,$AP2234)&lt;&gt;"",$M2234&lt;&gt;INDEX(職員マスタ!$H$6:$H$405,$AP2234)),"時短終了日がマスタと相違／","")))&amp;IF(AND($B2234&lt;&gt;"",$E2234=""),"報酬額が未入力／","")&amp;IF(N($U2234)&gt;0,"申請書に入力エラーが残っています／","")&amp;IF(AND($B2234&lt;&gt;"",$AQ2234&lt;&gt;""),IF(COUNTIFS($B$6:$B$3005,$B2234,$C$6:$C$3005,$C2234,$D$6:$D$3005,$D2234)&gt;1,"同じ月の請求が重複しています／",""),"")&amp;IF(AND(N($E2234)&gt;0,$AB2234&lt;&gt;"",$AB2234&lt;&gt;"×",$AE2234=0,$AD2234=""),"計算額が下限以下のため不支給／",""))</f>
        <v/>
      </c>
      <c r="AN2234" s="12" t="n"/>
      <c r="AO2234" s="14">
        <f>IF($AF2234="保留中",COUNTIF($AF$6:$AF2234,"保留中"),"")</f>
        <v/>
      </c>
      <c r="AP2234" s="14">
        <f>IF($AQ2234="","",IF(SUMPRODUCT(MAX((職員マスタ!$A$6:$A$405=$B2234)*(((職員マスタ!$G$6:$G$405="")+(職員マスタ!$G$6:$G$405&lt;=EOMONTH($AQ2234,0)))&gt;0)*(((職員マスタ!$H$6:$H$405="")+(職員マスタ!$H$6:$H$405&gt;=$AQ2234))&gt;0)*(ROW(職員マスタ!$A$6:$A$405)-5)))&gt;0,SUMPRODUCT(MAX((職員マスタ!$A$6:$A$405=$B2234)*(((職員マスタ!$G$6:$G$405="")+(職員マスタ!$G$6:$G$405&lt;=EOMONTH($AQ2234,0)))&gt;0)*(((職員マスタ!$H$6:$H$405="")+(職員マスタ!$H$6:$H$405&gt;=$AQ2234))&gt;0)*(ROW(職員マスタ!$A$6:$A$405)-5))),IFERROR(MATCH($B2234,職員マスタ!$A$6:$A$405,0),"")))</f>
        <v/>
      </c>
      <c r="AQ2234" s="16">
        <f>IF(OR($B2234="",$C2234="",$D2234=""),"",DATE($C2234+2018,$D2234,1))</f>
        <v/>
      </c>
    </row>
    <row r="2235">
      <c r="A2235" s="11" t="n"/>
      <c r="B2235" s="12" t="n"/>
      <c r="C2235" s="12" t="n"/>
      <c r="D2235" s="12" t="n"/>
      <c r="E2235" s="13" t="n"/>
      <c r="F2235" s="12" t="n"/>
      <c r="G2235" s="13" t="n"/>
      <c r="H2235" s="12" t="n"/>
      <c r="I2235" s="12" t="n"/>
      <c r="J2235" s="12" t="n"/>
      <c r="K2235" s="12" t="n"/>
      <c r="L2235" s="11" t="n"/>
      <c r="M2235" s="11" t="n"/>
      <c r="N2235" s="11" t="n"/>
      <c r="O2235" s="11" t="n"/>
      <c r="P2235" s="12" t="n"/>
      <c r="Q2235" s="11" t="n"/>
      <c r="R2235" s="12" t="n"/>
      <c r="S2235" s="11" t="n"/>
      <c r="T2235" s="12" t="n"/>
      <c r="U2235" s="12" t="n"/>
      <c r="V2235" s="12" t="n"/>
      <c r="W2235" s="13" t="n"/>
      <c r="X2235" s="14">
        <f>IF($AP2235="",IF($B2235="","",$H2235),IF(INDEX(職員マスタ!$B$6:$B$405,$AP2235)="",$H2235,INDEX(職員マスタ!$B$6:$B$405,$AP2235)))</f>
        <v/>
      </c>
      <c r="Y2235" s="14">
        <f>IF($AP2235="",IF($B2235="","",$R2235),IF(INDEX(職員マスタ!$C$6:$C$405,$AP2235)="",$R2235,INDEX(職員マスタ!$C$6:$C$405,$AP2235)))</f>
        <v/>
      </c>
      <c r="Z2235" s="14">
        <f>IF($AQ2235="","","R"&amp;$C2235&amp;"."&amp;$D2235)</f>
        <v/>
      </c>
      <c r="AA2235" s="15">
        <f>IF(IF($AP2235="",FALSE,INDEX(職員マスタ!$K$6:$K$405,$AP2235)&lt;&gt;""),INDEX(職員マスタ!$K$6:$K$405,$AP2235),IF(N($W2235)&gt;0,$W2235,""))</f>
        <v/>
      </c>
      <c r="AB2235" s="14">
        <f>IF(OR($E2235="",$AA2235=""),"",IF($E2235&gt;=$AA2235,"×",IF($E2235&gt;=$AA2235*設定!$C$5,"△","○")))</f>
        <v/>
      </c>
      <c r="AC2235" s="15">
        <f>IF($AB2235="","",IF($AB2235="×",0,IF($AB2235="○",ROUNDDOWN($E2235*設定!$C$4,0),ROUNDDOWN($E2235*ROUND((9*$AA2235-9*$E2235)/(10*$E2235),4),0))))</f>
        <v/>
      </c>
      <c r="AD2235" s="13" t="n"/>
      <c r="AE2235" s="15">
        <f>IF($B2235="","",IF($AD2235&lt;&gt;"",$AD2235,IF($AC2235="","",IF($AC2235&lt;=設定!$C$3,0,$AC2235))))</f>
        <v/>
      </c>
      <c r="AF2235" s="14">
        <f>IF($B2235="","",IF(AND($AG2235&lt;&gt;"",$AI2235="",$AL2235=""),"保留中",IF($AL2235&lt;&gt;"",IF(N($AE2235)&gt;0,"支給済","不支給"),IF($AE2235="","要確認",IF($AE2235=0,"不支給","未処理")))))</f>
        <v/>
      </c>
      <c r="AG2235" s="12" t="n"/>
      <c r="AH2235" s="11" t="n"/>
      <c r="AI2235" s="11" t="n"/>
      <c r="AJ2235" s="11" t="n"/>
      <c r="AK2235" s="14">
        <f>IF(AND($AF2235="保留中",$AH2235&lt;&gt;""),TODAY()-$AH2235,"")</f>
        <v/>
      </c>
      <c r="AL2235" s="12" t="n"/>
      <c r="AM2235" s="14">
        <f>IF($B2235="","",IF($AQ2235="","対象年月が未入力／","")&amp;IF($B2235="","",IF($AP2235="","職員マスタに未登録の職員番号／",IF($AA2235="","標準報酬月額が未登録／","")&amp;IF(AND($AQ2235&lt;&gt;"",OR(AND(INDEX(職員マスタ!$G$6:$G$405,$AP2235)&lt;&gt;"",INDEX(職員マスタ!$G$6:$G$405,$AP2235)&gt;EOMONTH($AQ2235,0)),AND(INDEX(職員マスタ!$H$6:$H$405,$AP2235)&lt;&gt;"",INDEX(職員マスタ!$H$6:$H$405,$AP2235)&lt;$AQ2235))),"対象月が時短期間外／","")&amp;IF(AND(INDEX(職員マスタ!$K$6:$K$405,$AP2235)&lt;&gt;"",N($W2235)&gt;0,INDEX(職員マスタ!$K$6:$K$405,$AP2235)&lt;&gt;$W2235),"標準報酬月額が申請書と相違（台帳"&amp;TEXT(INDEX(職員マスタ!$K$6:$K$405,$AP2235),"#,##0")&amp;"円／申請書"&amp;TEXT($W2235,"#,##0")&amp;"円）／","")&amp;IF(AND(INDEX(職員マスタ!$F$6:$F$405,$AP2235)&lt;&gt;"",$AQ2235&lt;&gt;"",INDEX(職員マスタ!$F$6:$F$405,$AP2235)&lt;$AQ2235),"対象月に子が2歳到達済／","")&amp;IF(AND($H2235&lt;&gt;"",INDEX(職員マスタ!$B$6:$B$405,$AP2235)&lt;&gt;"",SUBSTITUTE(SUBSTITUTE($H2235," ","")," ","")&lt;&gt;SUBSTITUTE(SUBSTITUTE(INDEX(職員マスタ!$B$6:$B$405,$AP2235)," ","")," ","")),"氏名がマスタと相違／","")&amp;IF(AND($Q2235&lt;&gt;"",INDEX(職員マスタ!$E$6:$E$405,$AP2235)&lt;&gt;"",$Q2235&lt;&gt;INDEX(職員マスタ!$E$6:$E$405,$AP2235)),"子の生年月日がマスタと相違／","")&amp;IF(AND($L2235&lt;&gt;"",INDEX(職員マスタ!$G$6:$G$405,$AP2235)&lt;&gt;"",$L2235&lt;&gt;INDEX(職員マスタ!$G$6:$G$405,$AP2235)),"時短開始日がマスタと相違／","")&amp;IF(AND($M2235&lt;&gt;"",INDEX(職員マスタ!$H$6:$H$405,$AP2235)&lt;&gt;"",$M2235&lt;&gt;INDEX(職員マスタ!$H$6:$H$405,$AP2235)),"時短終了日がマスタと相違／","")))&amp;IF(AND($B2235&lt;&gt;"",$E2235=""),"報酬額が未入力／","")&amp;IF(N($U2235)&gt;0,"申請書に入力エラーが残っています／","")&amp;IF(AND($B2235&lt;&gt;"",$AQ2235&lt;&gt;""),IF(COUNTIFS($B$6:$B$3005,$B2235,$C$6:$C$3005,$C2235,$D$6:$D$3005,$D2235)&gt;1,"同じ月の請求が重複しています／",""),"")&amp;IF(AND(N($E2235)&gt;0,$AB2235&lt;&gt;"",$AB2235&lt;&gt;"×",$AE2235=0,$AD2235=""),"計算額が下限以下のため不支給／",""))</f>
        <v/>
      </c>
      <c r="AN2235" s="12" t="n"/>
      <c r="AO2235" s="14">
        <f>IF($AF2235="保留中",COUNTIF($AF$6:$AF2235,"保留中"),"")</f>
        <v/>
      </c>
      <c r="AP2235" s="14">
        <f>IF($AQ2235="","",IF(SUMPRODUCT(MAX((職員マスタ!$A$6:$A$405=$B2235)*(((職員マスタ!$G$6:$G$405="")+(職員マスタ!$G$6:$G$405&lt;=EOMONTH($AQ2235,0)))&gt;0)*(((職員マスタ!$H$6:$H$405="")+(職員マスタ!$H$6:$H$405&gt;=$AQ2235))&gt;0)*(ROW(職員マスタ!$A$6:$A$405)-5)))&gt;0,SUMPRODUCT(MAX((職員マスタ!$A$6:$A$405=$B2235)*(((職員マスタ!$G$6:$G$405="")+(職員マスタ!$G$6:$G$405&lt;=EOMONTH($AQ2235,0)))&gt;0)*(((職員マスタ!$H$6:$H$405="")+(職員マスタ!$H$6:$H$405&gt;=$AQ2235))&gt;0)*(ROW(職員マスタ!$A$6:$A$405)-5))),IFERROR(MATCH($B2235,職員マスタ!$A$6:$A$405,0),"")))</f>
        <v/>
      </c>
      <c r="AQ2235" s="16">
        <f>IF(OR($B2235="",$C2235="",$D2235=""),"",DATE($C2235+2018,$D2235,1))</f>
        <v/>
      </c>
    </row>
    <row r="2236">
      <c r="A2236" s="11" t="n"/>
      <c r="B2236" s="12" t="n"/>
      <c r="C2236" s="12" t="n"/>
      <c r="D2236" s="12" t="n"/>
      <c r="E2236" s="13" t="n"/>
      <c r="F2236" s="12" t="n"/>
      <c r="G2236" s="13" t="n"/>
      <c r="H2236" s="12" t="n"/>
      <c r="I2236" s="12" t="n"/>
      <c r="J2236" s="12" t="n"/>
      <c r="K2236" s="12" t="n"/>
      <c r="L2236" s="11" t="n"/>
      <c r="M2236" s="11" t="n"/>
      <c r="N2236" s="11" t="n"/>
      <c r="O2236" s="11" t="n"/>
      <c r="P2236" s="12" t="n"/>
      <c r="Q2236" s="11" t="n"/>
      <c r="R2236" s="12" t="n"/>
      <c r="S2236" s="11" t="n"/>
      <c r="T2236" s="12" t="n"/>
      <c r="U2236" s="12" t="n"/>
      <c r="V2236" s="12" t="n"/>
      <c r="W2236" s="13" t="n"/>
      <c r="X2236" s="14">
        <f>IF($AP2236="",IF($B2236="","",$H2236),IF(INDEX(職員マスタ!$B$6:$B$405,$AP2236)="",$H2236,INDEX(職員マスタ!$B$6:$B$405,$AP2236)))</f>
        <v/>
      </c>
      <c r="Y2236" s="14">
        <f>IF($AP2236="",IF($B2236="","",$R2236),IF(INDEX(職員マスタ!$C$6:$C$405,$AP2236)="",$R2236,INDEX(職員マスタ!$C$6:$C$405,$AP2236)))</f>
        <v/>
      </c>
      <c r="Z2236" s="14">
        <f>IF($AQ2236="","","R"&amp;$C2236&amp;"."&amp;$D2236)</f>
        <v/>
      </c>
      <c r="AA2236" s="15">
        <f>IF(IF($AP2236="",FALSE,INDEX(職員マスタ!$K$6:$K$405,$AP2236)&lt;&gt;""),INDEX(職員マスタ!$K$6:$K$405,$AP2236),IF(N($W2236)&gt;0,$W2236,""))</f>
        <v/>
      </c>
      <c r="AB2236" s="14">
        <f>IF(OR($E2236="",$AA2236=""),"",IF($E2236&gt;=$AA2236,"×",IF($E2236&gt;=$AA2236*設定!$C$5,"△","○")))</f>
        <v/>
      </c>
      <c r="AC2236" s="15">
        <f>IF($AB2236="","",IF($AB2236="×",0,IF($AB2236="○",ROUNDDOWN($E2236*設定!$C$4,0),ROUNDDOWN($E2236*ROUND((9*$AA2236-9*$E2236)/(10*$E2236),4),0))))</f>
        <v/>
      </c>
      <c r="AD2236" s="13" t="n"/>
      <c r="AE2236" s="15">
        <f>IF($B2236="","",IF($AD2236&lt;&gt;"",$AD2236,IF($AC2236="","",IF($AC2236&lt;=設定!$C$3,0,$AC2236))))</f>
        <v/>
      </c>
      <c r="AF2236" s="14">
        <f>IF($B2236="","",IF(AND($AG2236&lt;&gt;"",$AI2236="",$AL2236=""),"保留中",IF($AL2236&lt;&gt;"",IF(N($AE2236)&gt;0,"支給済","不支給"),IF($AE2236="","要確認",IF($AE2236=0,"不支給","未処理")))))</f>
        <v/>
      </c>
      <c r="AG2236" s="12" t="n"/>
      <c r="AH2236" s="11" t="n"/>
      <c r="AI2236" s="11" t="n"/>
      <c r="AJ2236" s="11" t="n"/>
      <c r="AK2236" s="14">
        <f>IF(AND($AF2236="保留中",$AH2236&lt;&gt;""),TODAY()-$AH2236,"")</f>
        <v/>
      </c>
      <c r="AL2236" s="12" t="n"/>
      <c r="AM2236" s="14">
        <f>IF($B2236="","",IF($AQ2236="","対象年月が未入力／","")&amp;IF($B2236="","",IF($AP2236="","職員マスタに未登録の職員番号／",IF($AA2236="","標準報酬月額が未登録／","")&amp;IF(AND($AQ2236&lt;&gt;"",OR(AND(INDEX(職員マスタ!$G$6:$G$405,$AP2236)&lt;&gt;"",INDEX(職員マスタ!$G$6:$G$405,$AP2236)&gt;EOMONTH($AQ2236,0)),AND(INDEX(職員マスタ!$H$6:$H$405,$AP2236)&lt;&gt;"",INDEX(職員マスタ!$H$6:$H$405,$AP2236)&lt;$AQ2236))),"対象月が時短期間外／","")&amp;IF(AND(INDEX(職員マスタ!$K$6:$K$405,$AP2236)&lt;&gt;"",N($W2236)&gt;0,INDEX(職員マスタ!$K$6:$K$405,$AP2236)&lt;&gt;$W2236),"標準報酬月額が申請書と相違（台帳"&amp;TEXT(INDEX(職員マスタ!$K$6:$K$405,$AP2236),"#,##0")&amp;"円／申請書"&amp;TEXT($W2236,"#,##0")&amp;"円）／","")&amp;IF(AND(INDEX(職員マスタ!$F$6:$F$405,$AP2236)&lt;&gt;"",$AQ2236&lt;&gt;"",INDEX(職員マスタ!$F$6:$F$405,$AP2236)&lt;$AQ2236),"対象月に子が2歳到達済／","")&amp;IF(AND($H2236&lt;&gt;"",INDEX(職員マスタ!$B$6:$B$405,$AP2236)&lt;&gt;"",SUBSTITUTE(SUBSTITUTE($H2236," ","")," ","")&lt;&gt;SUBSTITUTE(SUBSTITUTE(INDEX(職員マスタ!$B$6:$B$405,$AP2236)," ","")," ","")),"氏名がマスタと相違／","")&amp;IF(AND($Q2236&lt;&gt;"",INDEX(職員マスタ!$E$6:$E$405,$AP2236)&lt;&gt;"",$Q2236&lt;&gt;INDEX(職員マスタ!$E$6:$E$405,$AP2236)),"子の生年月日がマスタと相違／","")&amp;IF(AND($L2236&lt;&gt;"",INDEX(職員マスタ!$G$6:$G$405,$AP2236)&lt;&gt;"",$L2236&lt;&gt;INDEX(職員マスタ!$G$6:$G$405,$AP2236)),"時短開始日がマスタと相違／","")&amp;IF(AND($M2236&lt;&gt;"",INDEX(職員マスタ!$H$6:$H$405,$AP2236)&lt;&gt;"",$M2236&lt;&gt;INDEX(職員マスタ!$H$6:$H$405,$AP2236)),"時短終了日がマスタと相違／","")))&amp;IF(AND($B2236&lt;&gt;"",$E2236=""),"報酬額が未入力／","")&amp;IF(N($U2236)&gt;0,"申請書に入力エラーが残っています／","")&amp;IF(AND($B2236&lt;&gt;"",$AQ2236&lt;&gt;""),IF(COUNTIFS($B$6:$B$3005,$B2236,$C$6:$C$3005,$C2236,$D$6:$D$3005,$D2236)&gt;1,"同じ月の請求が重複しています／",""),"")&amp;IF(AND(N($E2236)&gt;0,$AB2236&lt;&gt;"",$AB2236&lt;&gt;"×",$AE2236=0,$AD2236=""),"計算額が下限以下のため不支給／",""))</f>
        <v/>
      </c>
      <c r="AN2236" s="12" t="n"/>
      <c r="AO2236" s="14">
        <f>IF($AF2236="保留中",COUNTIF($AF$6:$AF2236,"保留中"),"")</f>
        <v/>
      </c>
      <c r="AP2236" s="14">
        <f>IF($AQ2236="","",IF(SUMPRODUCT(MAX((職員マスタ!$A$6:$A$405=$B2236)*(((職員マスタ!$G$6:$G$405="")+(職員マスタ!$G$6:$G$405&lt;=EOMONTH($AQ2236,0)))&gt;0)*(((職員マスタ!$H$6:$H$405="")+(職員マスタ!$H$6:$H$405&gt;=$AQ2236))&gt;0)*(ROW(職員マスタ!$A$6:$A$405)-5)))&gt;0,SUMPRODUCT(MAX((職員マスタ!$A$6:$A$405=$B2236)*(((職員マスタ!$G$6:$G$405="")+(職員マスタ!$G$6:$G$405&lt;=EOMONTH($AQ2236,0)))&gt;0)*(((職員マスタ!$H$6:$H$405="")+(職員マスタ!$H$6:$H$405&gt;=$AQ2236))&gt;0)*(ROW(職員マスタ!$A$6:$A$405)-5))),IFERROR(MATCH($B2236,職員マスタ!$A$6:$A$405,0),"")))</f>
        <v/>
      </c>
      <c r="AQ2236" s="16">
        <f>IF(OR($B2236="",$C2236="",$D2236=""),"",DATE($C2236+2018,$D2236,1))</f>
        <v/>
      </c>
    </row>
    <row r="2237">
      <c r="A2237" s="11" t="n"/>
      <c r="B2237" s="12" t="n"/>
      <c r="C2237" s="12" t="n"/>
      <c r="D2237" s="12" t="n"/>
      <c r="E2237" s="13" t="n"/>
      <c r="F2237" s="12" t="n"/>
      <c r="G2237" s="13" t="n"/>
      <c r="H2237" s="12" t="n"/>
      <c r="I2237" s="12" t="n"/>
      <c r="J2237" s="12" t="n"/>
      <c r="K2237" s="12" t="n"/>
      <c r="L2237" s="11" t="n"/>
      <c r="M2237" s="11" t="n"/>
      <c r="N2237" s="11" t="n"/>
      <c r="O2237" s="11" t="n"/>
      <c r="P2237" s="12" t="n"/>
      <c r="Q2237" s="11" t="n"/>
      <c r="R2237" s="12" t="n"/>
      <c r="S2237" s="11" t="n"/>
      <c r="T2237" s="12" t="n"/>
      <c r="U2237" s="12" t="n"/>
      <c r="V2237" s="12" t="n"/>
      <c r="W2237" s="13" t="n"/>
      <c r="X2237" s="14">
        <f>IF($AP2237="",IF($B2237="","",$H2237),IF(INDEX(職員マスタ!$B$6:$B$405,$AP2237)="",$H2237,INDEX(職員マスタ!$B$6:$B$405,$AP2237)))</f>
        <v/>
      </c>
      <c r="Y2237" s="14">
        <f>IF($AP2237="",IF($B2237="","",$R2237),IF(INDEX(職員マスタ!$C$6:$C$405,$AP2237)="",$R2237,INDEX(職員マスタ!$C$6:$C$405,$AP2237)))</f>
        <v/>
      </c>
      <c r="Z2237" s="14">
        <f>IF($AQ2237="","","R"&amp;$C2237&amp;"."&amp;$D2237)</f>
        <v/>
      </c>
      <c r="AA2237" s="15">
        <f>IF(IF($AP2237="",FALSE,INDEX(職員マスタ!$K$6:$K$405,$AP2237)&lt;&gt;""),INDEX(職員マスタ!$K$6:$K$405,$AP2237),IF(N($W2237)&gt;0,$W2237,""))</f>
        <v/>
      </c>
      <c r="AB2237" s="14">
        <f>IF(OR($E2237="",$AA2237=""),"",IF($E2237&gt;=$AA2237,"×",IF($E2237&gt;=$AA2237*設定!$C$5,"△","○")))</f>
        <v/>
      </c>
      <c r="AC2237" s="15">
        <f>IF($AB2237="","",IF($AB2237="×",0,IF($AB2237="○",ROUNDDOWN($E2237*設定!$C$4,0),ROUNDDOWN($E2237*ROUND((9*$AA2237-9*$E2237)/(10*$E2237),4),0))))</f>
        <v/>
      </c>
      <c r="AD2237" s="13" t="n"/>
      <c r="AE2237" s="15">
        <f>IF($B2237="","",IF($AD2237&lt;&gt;"",$AD2237,IF($AC2237="","",IF($AC2237&lt;=設定!$C$3,0,$AC2237))))</f>
        <v/>
      </c>
      <c r="AF2237" s="14">
        <f>IF($B2237="","",IF(AND($AG2237&lt;&gt;"",$AI2237="",$AL2237=""),"保留中",IF($AL2237&lt;&gt;"",IF(N($AE2237)&gt;0,"支給済","不支給"),IF($AE2237="","要確認",IF($AE2237=0,"不支給","未処理")))))</f>
        <v/>
      </c>
      <c r="AG2237" s="12" t="n"/>
      <c r="AH2237" s="11" t="n"/>
      <c r="AI2237" s="11" t="n"/>
      <c r="AJ2237" s="11" t="n"/>
      <c r="AK2237" s="14">
        <f>IF(AND($AF2237="保留中",$AH2237&lt;&gt;""),TODAY()-$AH2237,"")</f>
        <v/>
      </c>
      <c r="AL2237" s="12" t="n"/>
      <c r="AM2237" s="14">
        <f>IF($B2237="","",IF($AQ2237="","対象年月が未入力／","")&amp;IF($B2237="","",IF($AP2237="","職員マスタに未登録の職員番号／",IF($AA2237="","標準報酬月額が未登録／","")&amp;IF(AND($AQ2237&lt;&gt;"",OR(AND(INDEX(職員マスタ!$G$6:$G$405,$AP2237)&lt;&gt;"",INDEX(職員マスタ!$G$6:$G$405,$AP2237)&gt;EOMONTH($AQ2237,0)),AND(INDEX(職員マスタ!$H$6:$H$405,$AP2237)&lt;&gt;"",INDEX(職員マスタ!$H$6:$H$405,$AP2237)&lt;$AQ2237))),"対象月が時短期間外／","")&amp;IF(AND(INDEX(職員マスタ!$K$6:$K$405,$AP2237)&lt;&gt;"",N($W2237)&gt;0,INDEX(職員マスタ!$K$6:$K$405,$AP2237)&lt;&gt;$W2237),"標準報酬月額が申請書と相違（台帳"&amp;TEXT(INDEX(職員マスタ!$K$6:$K$405,$AP2237),"#,##0")&amp;"円／申請書"&amp;TEXT($W2237,"#,##0")&amp;"円）／","")&amp;IF(AND(INDEX(職員マスタ!$F$6:$F$405,$AP2237)&lt;&gt;"",$AQ2237&lt;&gt;"",INDEX(職員マスタ!$F$6:$F$405,$AP2237)&lt;$AQ2237),"対象月に子が2歳到達済／","")&amp;IF(AND($H2237&lt;&gt;"",INDEX(職員マスタ!$B$6:$B$405,$AP2237)&lt;&gt;"",SUBSTITUTE(SUBSTITUTE($H2237," ","")," ","")&lt;&gt;SUBSTITUTE(SUBSTITUTE(INDEX(職員マスタ!$B$6:$B$405,$AP2237)," ","")," ","")),"氏名がマスタと相違／","")&amp;IF(AND($Q2237&lt;&gt;"",INDEX(職員マスタ!$E$6:$E$405,$AP2237)&lt;&gt;"",$Q2237&lt;&gt;INDEX(職員マスタ!$E$6:$E$405,$AP2237)),"子の生年月日がマスタと相違／","")&amp;IF(AND($L2237&lt;&gt;"",INDEX(職員マスタ!$G$6:$G$405,$AP2237)&lt;&gt;"",$L2237&lt;&gt;INDEX(職員マスタ!$G$6:$G$405,$AP2237)),"時短開始日がマスタと相違／","")&amp;IF(AND($M2237&lt;&gt;"",INDEX(職員マスタ!$H$6:$H$405,$AP2237)&lt;&gt;"",$M2237&lt;&gt;INDEX(職員マスタ!$H$6:$H$405,$AP2237)),"時短終了日がマスタと相違／","")))&amp;IF(AND($B2237&lt;&gt;"",$E2237=""),"報酬額が未入力／","")&amp;IF(N($U2237)&gt;0,"申請書に入力エラーが残っています／","")&amp;IF(AND($B2237&lt;&gt;"",$AQ2237&lt;&gt;""),IF(COUNTIFS($B$6:$B$3005,$B2237,$C$6:$C$3005,$C2237,$D$6:$D$3005,$D2237)&gt;1,"同じ月の請求が重複しています／",""),"")&amp;IF(AND(N($E2237)&gt;0,$AB2237&lt;&gt;"",$AB2237&lt;&gt;"×",$AE2237=0,$AD2237=""),"計算額が下限以下のため不支給／",""))</f>
        <v/>
      </c>
      <c r="AN2237" s="12" t="n"/>
      <c r="AO2237" s="14">
        <f>IF($AF2237="保留中",COUNTIF($AF$6:$AF2237,"保留中"),"")</f>
        <v/>
      </c>
      <c r="AP2237" s="14">
        <f>IF($AQ2237="","",IF(SUMPRODUCT(MAX((職員マスタ!$A$6:$A$405=$B2237)*(((職員マスタ!$G$6:$G$405="")+(職員マスタ!$G$6:$G$405&lt;=EOMONTH($AQ2237,0)))&gt;0)*(((職員マスタ!$H$6:$H$405="")+(職員マスタ!$H$6:$H$405&gt;=$AQ2237))&gt;0)*(ROW(職員マスタ!$A$6:$A$405)-5)))&gt;0,SUMPRODUCT(MAX((職員マスタ!$A$6:$A$405=$B2237)*(((職員マスタ!$G$6:$G$405="")+(職員マスタ!$G$6:$G$405&lt;=EOMONTH($AQ2237,0)))&gt;0)*(((職員マスタ!$H$6:$H$405="")+(職員マスタ!$H$6:$H$405&gt;=$AQ2237))&gt;0)*(ROW(職員マスタ!$A$6:$A$405)-5))),IFERROR(MATCH($B2237,職員マスタ!$A$6:$A$405,0),"")))</f>
        <v/>
      </c>
      <c r="AQ2237" s="16">
        <f>IF(OR($B2237="",$C2237="",$D2237=""),"",DATE($C2237+2018,$D2237,1))</f>
        <v/>
      </c>
    </row>
    <row r="2238">
      <c r="A2238" s="11" t="n"/>
      <c r="B2238" s="12" t="n"/>
      <c r="C2238" s="12" t="n"/>
      <c r="D2238" s="12" t="n"/>
      <c r="E2238" s="13" t="n"/>
      <c r="F2238" s="12" t="n"/>
      <c r="G2238" s="13" t="n"/>
      <c r="H2238" s="12" t="n"/>
      <c r="I2238" s="12" t="n"/>
      <c r="J2238" s="12" t="n"/>
      <c r="K2238" s="12" t="n"/>
      <c r="L2238" s="11" t="n"/>
      <c r="M2238" s="11" t="n"/>
      <c r="N2238" s="11" t="n"/>
      <c r="O2238" s="11" t="n"/>
      <c r="P2238" s="12" t="n"/>
      <c r="Q2238" s="11" t="n"/>
      <c r="R2238" s="12" t="n"/>
      <c r="S2238" s="11" t="n"/>
      <c r="T2238" s="12" t="n"/>
      <c r="U2238" s="12" t="n"/>
      <c r="V2238" s="12" t="n"/>
      <c r="W2238" s="13" t="n"/>
      <c r="X2238" s="14">
        <f>IF($AP2238="",IF($B2238="","",$H2238),IF(INDEX(職員マスタ!$B$6:$B$405,$AP2238)="",$H2238,INDEX(職員マスタ!$B$6:$B$405,$AP2238)))</f>
        <v/>
      </c>
      <c r="Y2238" s="14">
        <f>IF($AP2238="",IF($B2238="","",$R2238),IF(INDEX(職員マスタ!$C$6:$C$405,$AP2238)="",$R2238,INDEX(職員マスタ!$C$6:$C$405,$AP2238)))</f>
        <v/>
      </c>
      <c r="Z2238" s="14">
        <f>IF($AQ2238="","","R"&amp;$C2238&amp;"."&amp;$D2238)</f>
        <v/>
      </c>
      <c r="AA2238" s="15">
        <f>IF(IF($AP2238="",FALSE,INDEX(職員マスタ!$K$6:$K$405,$AP2238)&lt;&gt;""),INDEX(職員マスタ!$K$6:$K$405,$AP2238),IF(N($W2238)&gt;0,$W2238,""))</f>
        <v/>
      </c>
      <c r="AB2238" s="14">
        <f>IF(OR($E2238="",$AA2238=""),"",IF($E2238&gt;=$AA2238,"×",IF($E2238&gt;=$AA2238*設定!$C$5,"△","○")))</f>
        <v/>
      </c>
      <c r="AC2238" s="15">
        <f>IF($AB2238="","",IF($AB2238="×",0,IF($AB2238="○",ROUNDDOWN($E2238*設定!$C$4,0),ROUNDDOWN($E2238*ROUND((9*$AA2238-9*$E2238)/(10*$E2238),4),0))))</f>
        <v/>
      </c>
      <c r="AD2238" s="13" t="n"/>
      <c r="AE2238" s="15">
        <f>IF($B2238="","",IF($AD2238&lt;&gt;"",$AD2238,IF($AC2238="","",IF($AC2238&lt;=設定!$C$3,0,$AC2238))))</f>
        <v/>
      </c>
      <c r="AF2238" s="14">
        <f>IF($B2238="","",IF(AND($AG2238&lt;&gt;"",$AI2238="",$AL2238=""),"保留中",IF($AL2238&lt;&gt;"",IF(N($AE2238)&gt;0,"支給済","不支給"),IF($AE2238="","要確認",IF($AE2238=0,"不支給","未処理")))))</f>
        <v/>
      </c>
      <c r="AG2238" s="12" t="n"/>
      <c r="AH2238" s="11" t="n"/>
      <c r="AI2238" s="11" t="n"/>
      <c r="AJ2238" s="11" t="n"/>
      <c r="AK2238" s="14">
        <f>IF(AND($AF2238="保留中",$AH2238&lt;&gt;""),TODAY()-$AH2238,"")</f>
        <v/>
      </c>
      <c r="AL2238" s="12" t="n"/>
      <c r="AM2238" s="14">
        <f>IF($B2238="","",IF($AQ2238="","対象年月が未入力／","")&amp;IF($B2238="","",IF($AP2238="","職員マスタに未登録の職員番号／",IF($AA2238="","標準報酬月額が未登録／","")&amp;IF(AND($AQ2238&lt;&gt;"",OR(AND(INDEX(職員マスタ!$G$6:$G$405,$AP2238)&lt;&gt;"",INDEX(職員マスタ!$G$6:$G$405,$AP2238)&gt;EOMONTH($AQ2238,0)),AND(INDEX(職員マスタ!$H$6:$H$405,$AP2238)&lt;&gt;"",INDEX(職員マスタ!$H$6:$H$405,$AP2238)&lt;$AQ2238))),"対象月が時短期間外／","")&amp;IF(AND(INDEX(職員マスタ!$K$6:$K$405,$AP2238)&lt;&gt;"",N($W2238)&gt;0,INDEX(職員マスタ!$K$6:$K$405,$AP2238)&lt;&gt;$W2238),"標準報酬月額が申請書と相違（台帳"&amp;TEXT(INDEX(職員マスタ!$K$6:$K$405,$AP2238),"#,##0")&amp;"円／申請書"&amp;TEXT($W2238,"#,##0")&amp;"円）／","")&amp;IF(AND(INDEX(職員マスタ!$F$6:$F$405,$AP2238)&lt;&gt;"",$AQ2238&lt;&gt;"",INDEX(職員マスタ!$F$6:$F$405,$AP2238)&lt;$AQ2238),"対象月に子が2歳到達済／","")&amp;IF(AND($H2238&lt;&gt;"",INDEX(職員マスタ!$B$6:$B$405,$AP2238)&lt;&gt;"",SUBSTITUTE(SUBSTITUTE($H2238," ","")," ","")&lt;&gt;SUBSTITUTE(SUBSTITUTE(INDEX(職員マスタ!$B$6:$B$405,$AP2238)," ","")," ","")),"氏名がマスタと相違／","")&amp;IF(AND($Q2238&lt;&gt;"",INDEX(職員マスタ!$E$6:$E$405,$AP2238)&lt;&gt;"",$Q2238&lt;&gt;INDEX(職員マスタ!$E$6:$E$405,$AP2238)),"子の生年月日がマスタと相違／","")&amp;IF(AND($L2238&lt;&gt;"",INDEX(職員マスタ!$G$6:$G$405,$AP2238)&lt;&gt;"",$L2238&lt;&gt;INDEX(職員マスタ!$G$6:$G$405,$AP2238)),"時短開始日がマスタと相違／","")&amp;IF(AND($M2238&lt;&gt;"",INDEX(職員マスタ!$H$6:$H$405,$AP2238)&lt;&gt;"",$M2238&lt;&gt;INDEX(職員マスタ!$H$6:$H$405,$AP2238)),"時短終了日がマスタと相違／","")))&amp;IF(AND($B2238&lt;&gt;"",$E2238=""),"報酬額が未入力／","")&amp;IF(N($U2238)&gt;0,"申請書に入力エラーが残っています／","")&amp;IF(AND($B2238&lt;&gt;"",$AQ2238&lt;&gt;""),IF(COUNTIFS($B$6:$B$3005,$B2238,$C$6:$C$3005,$C2238,$D$6:$D$3005,$D2238)&gt;1,"同じ月の請求が重複しています／",""),"")&amp;IF(AND(N($E2238)&gt;0,$AB2238&lt;&gt;"",$AB2238&lt;&gt;"×",$AE2238=0,$AD2238=""),"計算額が下限以下のため不支給／",""))</f>
        <v/>
      </c>
      <c r="AN2238" s="12" t="n"/>
      <c r="AO2238" s="14">
        <f>IF($AF2238="保留中",COUNTIF($AF$6:$AF2238,"保留中"),"")</f>
        <v/>
      </c>
      <c r="AP2238" s="14">
        <f>IF($AQ2238="","",IF(SUMPRODUCT(MAX((職員マスタ!$A$6:$A$405=$B2238)*(((職員マスタ!$G$6:$G$405="")+(職員マスタ!$G$6:$G$405&lt;=EOMONTH($AQ2238,0)))&gt;0)*(((職員マスタ!$H$6:$H$405="")+(職員マスタ!$H$6:$H$405&gt;=$AQ2238))&gt;0)*(ROW(職員マスタ!$A$6:$A$405)-5)))&gt;0,SUMPRODUCT(MAX((職員マスタ!$A$6:$A$405=$B2238)*(((職員マスタ!$G$6:$G$405="")+(職員マスタ!$G$6:$G$405&lt;=EOMONTH($AQ2238,0)))&gt;0)*(((職員マスタ!$H$6:$H$405="")+(職員マスタ!$H$6:$H$405&gt;=$AQ2238))&gt;0)*(ROW(職員マスタ!$A$6:$A$405)-5))),IFERROR(MATCH($B2238,職員マスタ!$A$6:$A$405,0),"")))</f>
        <v/>
      </c>
      <c r="AQ2238" s="16">
        <f>IF(OR($B2238="",$C2238="",$D2238=""),"",DATE($C2238+2018,$D2238,1))</f>
        <v/>
      </c>
    </row>
    <row r="2239">
      <c r="A2239" s="11" t="n"/>
      <c r="B2239" s="12" t="n"/>
      <c r="C2239" s="12" t="n"/>
      <c r="D2239" s="12" t="n"/>
      <c r="E2239" s="13" t="n"/>
      <c r="F2239" s="12" t="n"/>
      <c r="G2239" s="13" t="n"/>
      <c r="H2239" s="12" t="n"/>
      <c r="I2239" s="12" t="n"/>
      <c r="J2239" s="12" t="n"/>
      <c r="K2239" s="12" t="n"/>
      <c r="L2239" s="11" t="n"/>
      <c r="M2239" s="11" t="n"/>
      <c r="N2239" s="11" t="n"/>
      <c r="O2239" s="11" t="n"/>
      <c r="P2239" s="12" t="n"/>
      <c r="Q2239" s="11" t="n"/>
      <c r="R2239" s="12" t="n"/>
      <c r="S2239" s="11" t="n"/>
      <c r="T2239" s="12" t="n"/>
      <c r="U2239" s="12" t="n"/>
      <c r="V2239" s="12" t="n"/>
      <c r="W2239" s="13" t="n"/>
      <c r="X2239" s="14">
        <f>IF($AP2239="",IF($B2239="","",$H2239),IF(INDEX(職員マスタ!$B$6:$B$405,$AP2239)="",$H2239,INDEX(職員マスタ!$B$6:$B$405,$AP2239)))</f>
        <v/>
      </c>
      <c r="Y2239" s="14">
        <f>IF($AP2239="",IF($B2239="","",$R2239),IF(INDEX(職員マスタ!$C$6:$C$405,$AP2239)="",$R2239,INDEX(職員マスタ!$C$6:$C$405,$AP2239)))</f>
        <v/>
      </c>
      <c r="Z2239" s="14">
        <f>IF($AQ2239="","","R"&amp;$C2239&amp;"."&amp;$D2239)</f>
        <v/>
      </c>
      <c r="AA2239" s="15">
        <f>IF(IF($AP2239="",FALSE,INDEX(職員マスタ!$K$6:$K$405,$AP2239)&lt;&gt;""),INDEX(職員マスタ!$K$6:$K$405,$AP2239),IF(N($W2239)&gt;0,$W2239,""))</f>
        <v/>
      </c>
      <c r="AB2239" s="14">
        <f>IF(OR($E2239="",$AA2239=""),"",IF($E2239&gt;=$AA2239,"×",IF($E2239&gt;=$AA2239*設定!$C$5,"△","○")))</f>
        <v/>
      </c>
      <c r="AC2239" s="15">
        <f>IF($AB2239="","",IF($AB2239="×",0,IF($AB2239="○",ROUNDDOWN($E2239*設定!$C$4,0),ROUNDDOWN($E2239*ROUND((9*$AA2239-9*$E2239)/(10*$E2239),4),0))))</f>
        <v/>
      </c>
      <c r="AD2239" s="13" t="n"/>
      <c r="AE2239" s="15">
        <f>IF($B2239="","",IF($AD2239&lt;&gt;"",$AD2239,IF($AC2239="","",IF($AC2239&lt;=設定!$C$3,0,$AC2239))))</f>
        <v/>
      </c>
      <c r="AF2239" s="14">
        <f>IF($B2239="","",IF(AND($AG2239&lt;&gt;"",$AI2239="",$AL2239=""),"保留中",IF($AL2239&lt;&gt;"",IF(N($AE2239)&gt;0,"支給済","不支給"),IF($AE2239="","要確認",IF($AE2239=0,"不支給","未処理")))))</f>
        <v/>
      </c>
      <c r="AG2239" s="12" t="n"/>
      <c r="AH2239" s="11" t="n"/>
      <c r="AI2239" s="11" t="n"/>
      <c r="AJ2239" s="11" t="n"/>
      <c r="AK2239" s="14">
        <f>IF(AND($AF2239="保留中",$AH2239&lt;&gt;""),TODAY()-$AH2239,"")</f>
        <v/>
      </c>
      <c r="AL2239" s="12" t="n"/>
      <c r="AM2239" s="14">
        <f>IF($B2239="","",IF($AQ2239="","対象年月が未入力／","")&amp;IF($B2239="","",IF($AP2239="","職員マスタに未登録の職員番号／",IF($AA2239="","標準報酬月額が未登録／","")&amp;IF(AND($AQ2239&lt;&gt;"",OR(AND(INDEX(職員マスタ!$G$6:$G$405,$AP2239)&lt;&gt;"",INDEX(職員マスタ!$G$6:$G$405,$AP2239)&gt;EOMONTH($AQ2239,0)),AND(INDEX(職員マスタ!$H$6:$H$405,$AP2239)&lt;&gt;"",INDEX(職員マスタ!$H$6:$H$405,$AP2239)&lt;$AQ2239))),"対象月が時短期間外／","")&amp;IF(AND(INDEX(職員マスタ!$K$6:$K$405,$AP2239)&lt;&gt;"",N($W2239)&gt;0,INDEX(職員マスタ!$K$6:$K$405,$AP2239)&lt;&gt;$W2239),"標準報酬月額が申請書と相違（台帳"&amp;TEXT(INDEX(職員マスタ!$K$6:$K$405,$AP2239),"#,##0")&amp;"円／申請書"&amp;TEXT($W2239,"#,##0")&amp;"円）／","")&amp;IF(AND(INDEX(職員マスタ!$F$6:$F$405,$AP2239)&lt;&gt;"",$AQ2239&lt;&gt;"",INDEX(職員マスタ!$F$6:$F$405,$AP2239)&lt;$AQ2239),"対象月に子が2歳到達済／","")&amp;IF(AND($H2239&lt;&gt;"",INDEX(職員マスタ!$B$6:$B$405,$AP2239)&lt;&gt;"",SUBSTITUTE(SUBSTITUTE($H2239," ","")," ","")&lt;&gt;SUBSTITUTE(SUBSTITUTE(INDEX(職員マスタ!$B$6:$B$405,$AP2239)," ","")," ","")),"氏名がマスタと相違／","")&amp;IF(AND($Q2239&lt;&gt;"",INDEX(職員マスタ!$E$6:$E$405,$AP2239)&lt;&gt;"",$Q2239&lt;&gt;INDEX(職員マスタ!$E$6:$E$405,$AP2239)),"子の生年月日がマスタと相違／","")&amp;IF(AND($L2239&lt;&gt;"",INDEX(職員マスタ!$G$6:$G$405,$AP2239)&lt;&gt;"",$L2239&lt;&gt;INDEX(職員マスタ!$G$6:$G$405,$AP2239)),"時短開始日がマスタと相違／","")&amp;IF(AND($M2239&lt;&gt;"",INDEX(職員マスタ!$H$6:$H$405,$AP2239)&lt;&gt;"",$M2239&lt;&gt;INDEX(職員マスタ!$H$6:$H$405,$AP2239)),"時短終了日がマスタと相違／","")))&amp;IF(AND($B2239&lt;&gt;"",$E2239=""),"報酬額が未入力／","")&amp;IF(N($U2239)&gt;0,"申請書に入力エラーが残っています／","")&amp;IF(AND($B2239&lt;&gt;"",$AQ2239&lt;&gt;""),IF(COUNTIFS($B$6:$B$3005,$B2239,$C$6:$C$3005,$C2239,$D$6:$D$3005,$D2239)&gt;1,"同じ月の請求が重複しています／",""),"")&amp;IF(AND(N($E2239)&gt;0,$AB2239&lt;&gt;"",$AB2239&lt;&gt;"×",$AE2239=0,$AD2239=""),"計算額が下限以下のため不支給／",""))</f>
        <v/>
      </c>
      <c r="AN2239" s="12" t="n"/>
      <c r="AO2239" s="14">
        <f>IF($AF2239="保留中",COUNTIF($AF$6:$AF2239,"保留中"),"")</f>
        <v/>
      </c>
      <c r="AP2239" s="14">
        <f>IF($AQ2239="","",IF(SUMPRODUCT(MAX((職員マスタ!$A$6:$A$405=$B2239)*(((職員マスタ!$G$6:$G$405="")+(職員マスタ!$G$6:$G$405&lt;=EOMONTH($AQ2239,0)))&gt;0)*(((職員マスタ!$H$6:$H$405="")+(職員マスタ!$H$6:$H$405&gt;=$AQ2239))&gt;0)*(ROW(職員マスタ!$A$6:$A$405)-5)))&gt;0,SUMPRODUCT(MAX((職員マスタ!$A$6:$A$405=$B2239)*(((職員マスタ!$G$6:$G$405="")+(職員マスタ!$G$6:$G$405&lt;=EOMONTH($AQ2239,0)))&gt;0)*(((職員マスタ!$H$6:$H$405="")+(職員マスタ!$H$6:$H$405&gt;=$AQ2239))&gt;0)*(ROW(職員マスタ!$A$6:$A$405)-5))),IFERROR(MATCH($B2239,職員マスタ!$A$6:$A$405,0),"")))</f>
        <v/>
      </c>
      <c r="AQ2239" s="16">
        <f>IF(OR($B2239="",$C2239="",$D2239=""),"",DATE($C2239+2018,$D2239,1))</f>
        <v/>
      </c>
    </row>
    <row r="2240">
      <c r="A2240" s="11" t="n"/>
      <c r="B2240" s="12" t="n"/>
      <c r="C2240" s="12" t="n"/>
      <c r="D2240" s="12" t="n"/>
      <c r="E2240" s="13" t="n"/>
      <c r="F2240" s="12" t="n"/>
      <c r="G2240" s="13" t="n"/>
      <c r="H2240" s="12" t="n"/>
      <c r="I2240" s="12" t="n"/>
      <c r="J2240" s="12" t="n"/>
      <c r="K2240" s="12" t="n"/>
      <c r="L2240" s="11" t="n"/>
      <c r="M2240" s="11" t="n"/>
      <c r="N2240" s="11" t="n"/>
      <c r="O2240" s="11" t="n"/>
      <c r="P2240" s="12" t="n"/>
      <c r="Q2240" s="11" t="n"/>
      <c r="R2240" s="12" t="n"/>
      <c r="S2240" s="11" t="n"/>
      <c r="T2240" s="12" t="n"/>
      <c r="U2240" s="12" t="n"/>
      <c r="V2240" s="12" t="n"/>
      <c r="W2240" s="13" t="n"/>
      <c r="X2240" s="14">
        <f>IF($AP2240="",IF($B2240="","",$H2240),IF(INDEX(職員マスタ!$B$6:$B$405,$AP2240)="",$H2240,INDEX(職員マスタ!$B$6:$B$405,$AP2240)))</f>
        <v/>
      </c>
      <c r="Y2240" s="14">
        <f>IF($AP2240="",IF($B2240="","",$R2240),IF(INDEX(職員マスタ!$C$6:$C$405,$AP2240)="",$R2240,INDEX(職員マスタ!$C$6:$C$405,$AP2240)))</f>
        <v/>
      </c>
      <c r="Z2240" s="14">
        <f>IF($AQ2240="","","R"&amp;$C2240&amp;"."&amp;$D2240)</f>
        <v/>
      </c>
      <c r="AA2240" s="15">
        <f>IF(IF($AP2240="",FALSE,INDEX(職員マスタ!$K$6:$K$405,$AP2240)&lt;&gt;""),INDEX(職員マスタ!$K$6:$K$405,$AP2240),IF(N($W2240)&gt;0,$W2240,""))</f>
        <v/>
      </c>
      <c r="AB2240" s="14">
        <f>IF(OR($E2240="",$AA2240=""),"",IF($E2240&gt;=$AA2240,"×",IF($E2240&gt;=$AA2240*設定!$C$5,"△","○")))</f>
        <v/>
      </c>
      <c r="AC2240" s="15">
        <f>IF($AB2240="","",IF($AB2240="×",0,IF($AB2240="○",ROUNDDOWN($E2240*設定!$C$4,0),ROUNDDOWN($E2240*ROUND((9*$AA2240-9*$E2240)/(10*$E2240),4),0))))</f>
        <v/>
      </c>
      <c r="AD2240" s="13" t="n"/>
      <c r="AE2240" s="15">
        <f>IF($B2240="","",IF($AD2240&lt;&gt;"",$AD2240,IF($AC2240="","",IF($AC2240&lt;=設定!$C$3,0,$AC2240))))</f>
        <v/>
      </c>
      <c r="AF2240" s="14">
        <f>IF($B2240="","",IF(AND($AG2240&lt;&gt;"",$AI2240="",$AL2240=""),"保留中",IF($AL2240&lt;&gt;"",IF(N($AE2240)&gt;0,"支給済","不支給"),IF($AE2240="","要確認",IF($AE2240=0,"不支給","未処理")))))</f>
        <v/>
      </c>
      <c r="AG2240" s="12" t="n"/>
      <c r="AH2240" s="11" t="n"/>
      <c r="AI2240" s="11" t="n"/>
      <c r="AJ2240" s="11" t="n"/>
      <c r="AK2240" s="14">
        <f>IF(AND($AF2240="保留中",$AH2240&lt;&gt;""),TODAY()-$AH2240,"")</f>
        <v/>
      </c>
      <c r="AL2240" s="12" t="n"/>
      <c r="AM2240" s="14">
        <f>IF($B2240="","",IF($AQ2240="","対象年月が未入力／","")&amp;IF($B2240="","",IF($AP2240="","職員マスタに未登録の職員番号／",IF($AA2240="","標準報酬月額が未登録／","")&amp;IF(AND($AQ2240&lt;&gt;"",OR(AND(INDEX(職員マスタ!$G$6:$G$405,$AP2240)&lt;&gt;"",INDEX(職員マスタ!$G$6:$G$405,$AP2240)&gt;EOMONTH($AQ2240,0)),AND(INDEX(職員マスタ!$H$6:$H$405,$AP2240)&lt;&gt;"",INDEX(職員マスタ!$H$6:$H$405,$AP2240)&lt;$AQ2240))),"対象月が時短期間外／","")&amp;IF(AND(INDEX(職員マスタ!$K$6:$K$405,$AP2240)&lt;&gt;"",N($W2240)&gt;0,INDEX(職員マスタ!$K$6:$K$405,$AP2240)&lt;&gt;$W2240),"標準報酬月額が申請書と相違（台帳"&amp;TEXT(INDEX(職員マスタ!$K$6:$K$405,$AP2240),"#,##0")&amp;"円／申請書"&amp;TEXT($W2240,"#,##0")&amp;"円）／","")&amp;IF(AND(INDEX(職員マスタ!$F$6:$F$405,$AP2240)&lt;&gt;"",$AQ2240&lt;&gt;"",INDEX(職員マスタ!$F$6:$F$405,$AP2240)&lt;$AQ2240),"対象月に子が2歳到達済／","")&amp;IF(AND($H2240&lt;&gt;"",INDEX(職員マスタ!$B$6:$B$405,$AP2240)&lt;&gt;"",SUBSTITUTE(SUBSTITUTE($H2240," ","")," ","")&lt;&gt;SUBSTITUTE(SUBSTITUTE(INDEX(職員マスタ!$B$6:$B$405,$AP2240)," ","")," ","")),"氏名がマスタと相違／","")&amp;IF(AND($Q2240&lt;&gt;"",INDEX(職員マスタ!$E$6:$E$405,$AP2240)&lt;&gt;"",$Q2240&lt;&gt;INDEX(職員マスタ!$E$6:$E$405,$AP2240)),"子の生年月日がマスタと相違／","")&amp;IF(AND($L2240&lt;&gt;"",INDEX(職員マスタ!$G$6:$G$405,$AP2240)&lt;&gt;"",$L2240&lt;&gt;INDEX(職員マスタ!$G$6:$G$405,$AP2240)),"時短開始日がマスタと相違／","")&amp;IF(AND($M2240&lt;&gt;"",INDEX(職員マスタ!$H$6:$H$405,$AP2240)&lt;&gt;"",$M2240&lt;&gt;INDEX(職員マスタ!$H$6:$H$405,$AP2240)),"時短終了日がマスタと相違／","")))&amp;IF(AND($B2240&lt;&gt;"",$E2240=""),"報酬額が未入力／","")&amp;IF(N($U2240)&gt;0,"申請書に入力エラーが残っています／","")&amp;IF(AND($B2240&lt;&gt;"",$AQ2240&lt;&gt;""),IF(COUNTIFS($B$6:$B$3005,$B2240,$C$6:$C$3005,$C2240,$D$6:$D$3005,$D2240)&gt;1,"同じ月の請求が重複しています／",""),"")&amp;IF(AND(N($E2240)&gt;0,$AB2240&lt;&gt;"",$AB2240&lt;&gt;"×",$AE2240=0,$AD2240=""),"計算額が下限以下のため不支給／",""))</f>
        <v/>
      </c>
      <c r="AN2240" s="12" t="n"/>
      <c r="AO2240" s="14">
        <f>IF($AF2240="保留中",COUNTIF($AF$6:$AF2240,"保留中"),"")</f>
        <v/>
      </c>
      <c r="AP2240" s="14">
        <f>IF($AQ2240="","",IF(SUMPRODUCT(MAX((職員マスタ!$A$6:$A$405=$B2240)*(((職員マスタ!$G$6:$G$405="")+(職員マスタ!$G$6:$G$405&lt;=EOMONTH($AQ2240,0)))&gt;0)*(((職員マスタ!$H$6:$H$405="")+(職員マスタ!$H$6:$H$405&gt;=$AQ2240))&gt;0)*(ROW(職員マスタ!$A$6:$A$405)-5)))&gt;0,SUMPRODUCT(MAX((職員マスタ!$A$6:$A$405=$B2240)*(((職員マスタ!$G$6:$G$405="")+(職員マスタ!$G$6:$G$405&lt;=EOMONTH($AQ2240,0)))&gt;0)*(((職員マスタ!$H$6:$H$405="")+(職員マスタ!$H$6:$H$405&gt;=$AQ2240))&gt;0)*(ROW(職員マスタ!$A$6:$A$405)-5))),IFERROR(MATCH($B2240,職員マスタ!$A$6:$A$405,0),"")))</f>
        <v/>
      </c>
      <c r="AQ2240" s="16">
        <f>IF(OR($B2240="",$C2240="",$D2240=""),"",DATE($C2240+2018,$D2240,1))</f>
        <v/>
      </c>
    </row>
    <row r="2241">
      <c r="A2241" s="11" t="n"/>
      <c r="B2241" s="12" t="n"/>
      <c r="C2241" s="12" t="n"/>
      <c r="D2241" s="12" t="n"/>
      <c r="E2241" s="13" t="n"/>
      <c r="F2241" s="12" t="n"/>
      <c r="G2241" s="13" t="n"/>
      <c r="H2241" s="12" t="n"/>
      <c r="I2241" s="12" t="n"/>
      <c r="J2241" s="12" t="n"/>
      <c r="K2241" s="12" t="n"/>
      <c r="L2241" s="11" t="n"/>
      <c r="M2241" s="11" t="n"/>
      <c r="N2241" s="11" t="n"/>
      <c r="O2241" s="11" t="n"/>
      <c r="P2241" s="12" t="n"/>
      <c r="Q2241" s="11" t="n"/>
      <c r="R2241" s="12" t="n"/>
      <c r="S2241" s="11" t="n"/>
      <c r="T2241" s="12" t="n"/>
      <c r="U2241" s="12" t="n"/>
      <c r="V2241" s="12" t="n"/>
      <c r="W2241" s="13" t="n"/>
      <c r="X2241" s="14">
        <f>IF($AP2241="",IF($B2241="","",$H2241),IF(INDEX(職員マスタ!$B$6:$B$405,$AP2241)="",$H2241,INDEX(職員マスタ!$B$6:$B$405,$AP2241)))</f>
        <v/>
      </c>
      <c r="Y2241" s="14">
        <f>IF($AP2241="",IF($B2241="","",$R2241),IF(INDEX(職員マスタ!$C$6:$C$405,$AP2241)="",$R2241,INDEX(職員マスタ!$C$6:$C$405,$AP2241)))</f>
        <v/>
      </c>
      <c r="Z2241" s="14">
        <f>IF($AQ2241="","","R"&amp;$C2241&amp;"."&amp;$D2241)</f>
        <v/>
      </c>
      <c r="AA2241" s="15">
        <f>IF(IF($AP2241="",FALSE,INDEX(職員マスタ!$K$6:$K$405,$AP2241)&lt;&gt;""),INDEX(職員マスタ!$K$6:$K$405,$AP2241),IF(N($W2241)&gt;0,$W2241,""))</f>
        <v/>
      </c>
      <c r="AB2241" s="14">
        <f>IF(OR($E2241="",$AA2241=""),"",IF($E2241&gt;=$AA2241,"×",IF($E2241&gt;=$AA2241*設定!$C$5,"△","○")))</f>
        <v/>
      </c>
      <c r="AC2241" s="15">
        <f>IF($AB2241="","",IF($AB2241="×",0,IF($AB2241="○",ROUNDDOWN($E2241*設定!$C$4,0),ROUNDDOWN($E2241*ROUND((9*$AA2241-9*$E2241)/(10*$E2241),4),0))))</f>
        <v/>
      </c>
      <c r="AD2241" s="13" t="n"/>
      <c r="AE2241" s="15">
        <f>IF($B2241="","",IF($AD2241&lt;&gt;"",$AD2241,IF($AC2241="","",IF($AC2241&lt;=設定!$C$3,0,$AC2241))))</f>
        <v/>
      </c>
      <c r="AF2241" s="14">
        <f>IF($B2241="","",IF(AND($AG2241&lt;&gt;"",$AI2241="",$AL2241=""),"保留中",IF($AL2241&lt;&gt;"",IF(N($AE2241)&gt;0,"支給済","不支給"),IF($AE2241="","要確認",IF($AE2241=0,"不支給","未処理")))))</f>
        <v/>
      </c>
      <c r="AG2241" s="12" t="n"/>
      <c r="AH2241" s="11" t="n"/>
      <c r="AI2241" s="11" t="n"/>
      <c r="AJ2241" s="11" t="n"/>
      <c r="AK2241" s="14">
        <f>IF(AND($AF2241="保留中",$AH2241&lt;&gt;""),TODAY()-$AH2241,"")</f>
        <v/>
      </c>
      <c r="AL2241" s="12" t="n"/>
      <c r="AM2241" s="14">
        <f>IF($B2241="","",IF($AQ2241="","対象年月が未入力／","")&amp;IF($B2241="","",IF($AP2241="","職員マスタに未登録の職員番号／",IF($AA2241="","標準報酬月額が未登録／","")&amp;IF(AND($AQ2241&lt;&gt;"",OR(AND(INDEX(職員マスタ!$G$6:$G$405,$AP2241)&lt;&gt;"",INDEX(職員マスタ!$G$6:$G$405,$AP2241)&gt;EOMONTH($AQ2241,0)),AND(INDEX(職員マスタ!$H$6:$H$405,$AP2241)&lt;&gt;"",INDEX(職員マスタ!$H$6:$H$405,$AP2241)&lt;$AQ2241))),"対象月が時短期間外／","")&amp;IF(AND(INDEX(職員マスタ!$K$6:$K$405,$AP2241)&lt;&gt;"",N($W2241)&gt;0,INDEX(職員マスタ!$K$6:$K$405,$AP2241)&lt;&gt;$W2241),"標準報酬月額が申請書と相違（台帳"&amp;TEXT(INDEX(職員マスタ!$K$6:$K$405,$AP2241),"#,##0")&amp;"円／申請書"&amp;TEXT($W2241,"#,##0")&amp;"円）／","")&amp;IF(AND(INDEX(職員マスタ!$F$6:$F$405,$AP2241)&lt;&gt;"",$AQ2241&lt;&gt;"",INDEX(職員マスタ!$F$6:$F$405,$AP2241)&lt;$AQ2241),"対象月に子が2歳到達済／","")&amp;IF(AND($H2241&lt;&gt;"",INDEX(職員マスタ!$B$6:$B$405,$AP2241)&lt;&gt;"",SUBSTITUTE(SUBSTITUTE($H2241," ","")," ","")&lt;&gt;SUBSTITUTE(SUBSTITUTE(INDEX(職員マスタ!$B$6:$B$405,$AP2241)," ","")," ","")),"氏名がマスタと相違／","")&amp;IF(AND($Q2241&lt;&gt;"",INDEX(職員マスタ!$E$6:$E$405,$AP2241)&lt;&gt;"",$Q2241&lt;&gt;INDEX(職員マスタ!$E$6:$E$405,$AP2241)),"子の生年月日がマスタと相違／","")&amp;IF(AND($L2241&lt;&gt;"",INDEX(職員マスタ!$G$6:$G$405,$AP2241)&lt;&gt;"",$L2241&lt;&gt;INDEX(職員マスタ!$G$6:$G$405,$AP2241)),"時短開始日がマスタと相違／","")&amp;IF(AND($M2241&lt;&gt;"",INDEX(職員マスタ!$H$6:$H$405,$AP2241)&lt;&gt;"",$M2241&lt;&gt;INDEX(職員マスタ!$H$6:$H$405,$AP2241)),"時短終了日がマスタと相違／","")))&amp;IF(AND($B2241&lt;&gt;"",$E2241=""),"報酬額が未入力／","")&amp;IF(N($U2241)&gt;0,"申請書に入力エラーが残っています／","")&amp;IF(AND($B2241&lt;&gt;"",$AQ2241&lt;&gt;""),IF(COUNTIFS($B$6:$B$3005,$B2241,$C$6:$C$3005,$C2241,$D$6:$D$3005,$D2241)&gt;1,"同じ月の請求が重複しています／",""),"")&amp;IF(AND(N($E2241)&gt;0,$AB2241&lt;&gt;"",$AB2241&lt;&gt;"×",$AE2241=0,$AD2241=""),"計算額が下限以下のため不支給／",""))</f>
        <v/>
      </c>
      <c r="AN2241" s="12" t="n"/>
      <c r="AO2241" s="14">
        <f>IF($AF2241="保留中",COUNTIF($AF$6:$AF2241,"保留中"),"")</f>
        <v/>
      </c>
      <c r="AP2241" s="14">
        <f>IF($AQ2241="","",IF(SUMPRODUCT(MAX((職員マスタ!$A$6:$A$405=$B2241)*(((職員マスタ!$G$6:$G$405="")+(職員マスタ!$G$6:$G$405&lt;=EOMONTH($AQ2241,0)))&gt;0)*(((職員マスタ!$H$6:$H$405="")+(職員マスタ!$H$6:$H$405&gt;=$AQ2241))&gt;0)*(ROW(職員マスタ!$A$6:$A$405)-5)))&gt;0,SUMPRODUCT(MAX((職員マスタ!$A$6:$A$405=$B2241)*(((職員マスタ!$G$6:$G$405="")+(職員マスタ!$G$6:$G$405&lt;=EOMONTH($AQ2241,0)))&gt;0)*(((職員マスタ!$H$6:$H$405="")+(職員マスタ!$H$6:$H$405&gt;=$AQ2241))&gt;0)*(ROW(職員マスタ!$A$6:$A$405)-5))),IFERROR(MATCH($B2241,職員マスタ!$A$6:$A$405,0),"")))</f>
        <v/>
      </c>
      <c r="AQ2241" s="16">
        <f>IF(OR($B2241="",$C2241="",$D2241=""),"",DATE($C2241+2018,$D2241,1))</f>
        <v/>
      </c>
    </row>
    <row r="2242">
      <c r="A2242" s="11" t="n"/>
      <c r="B2242" s="12" t="n"/>
      <c r="C2242" s="12" t="n"/>
      <c r="D2242" s="12" t="n"/>
      <c r="E2242" s="13" t="n"/>
      <c r="F2242" s="12" t="n"/>
      <c r="G2242" s="13" t="n"/>
      <c r="H2242" s="12" t="n"/>
      <c r="I2242" s="12" t="n"/>
      <c r="J2242" s="12" t="n"/>
      <c r="K2242" s="12" t="n"/>
      <c r="L2242" s="11" t="n"/>
      <c r="M2242" s="11" t="n"/>
      <c r="N2242" s="11" t="n"/>
      <c r="O2242" s="11" t="n"/>
      <c r="P2242" s="12" t="n"/>
      <c r="Q2242" s="11" t="n"/>
      <c r="R2242" s="12" t="n"/>
      <c r="S2242" s="11" t="n"/>
      <c r="T2242" s="12" t="n"/>
      <c r="U2242" s="12" t="n"/>
      <c r="V2242" s="12" t="n"/>
      <c r="W2242" s="13" t="n"/>
      <c r="X2242" s="14">
        <f>IF($AP2242="",IF($B2242="","",$H2242),IF(INDEX(職員マスタ!$B$6:$B$405,$AP2242)="",$H2242,INDEX(職員マスタ!$B$6:$B$405,$AP2242)))</f>
        <v/>
      </c>
      <c r="Y2242" s="14">
        <f>IF($AP2242="",IF($B2242="","",$R2242),IF(INDEX(職員マスタ!$C$6:$C$405,$AP2242)="",$R2242,INDEX(職員マスタ!$C$6:$C$405,$AP2242)))</f>
        <v/>
      </c>
      <c r="Z2242" s="14">
        <f>IF($AQ2242="","","R"&amp;$C2242&amp;"."&amp;$D2242)</f>
        <v/>
      </c>
      <c r="AA2242" s="15">
        <f>IF(IF($AP2242="",FALSE,INDEX(職員マスタ!$K$6:$K$405,$AP2242)&lt;&gt;""),INDEX(職員マスタ!$K$6:$K$405,$AP2242),IF(N($W2242)&gt;0,$W2242,""))</f>
        <v/>
      </c>
      <c r="AB2242" s="14">
        <f>IF(OR($E2242="",$AA2242=""),"",IF($E2242&gt;=$AA2242,"×",IF($E2242&gt;=$AA2242*設定!$C$5,"△","○")))</f>
        <v/>
      </c>
      <c r="AC2242" s="15">
        <f>IF($AB2242="","",IF($AB2242="×",0,IF($AB2242="○",ROUNDDOWN($E2242*設定!$C$4,0),ROUNDDOWN($E2242*ROUND((9*$AA2242-9*$E2242)/(10*$E2242),4),0))))</f>
        <v/>
      </c>
      <c r="AD2242" s="13" t="n"/>
      <c r="AE2242" s="15">
        <f>IF($B2242="","",IF($AD2242&lt;&gt;"",$AD2242,IF($AC2242="","",IF($AC2242&lt;=設定!$C$3,0,$AC2242))))</f>
        <v/>
      </c>
      <c r="AF2242" s="14">
        <f>IF($B2242="","",IF(AND($AG2242&lt;&gt;"",$AI2242="",$AL2242=""),"保留中",IF($AL2242&lt;&gt;"",IF(N($AE2242)&gt;0,"支給済","不支給"),IF($AE2242="","要確認",IF($AE2242=0,"不支給","未処理")))))</f>
        <v/>
      </c>
      <c r="AG2242" s="12" t="n"/>
      <c r="AH2242" s="11" t="n"/>
      <c r="AI2242" s="11" t="n"/>
      <c r="AJ2242" s="11" t="n"/>
      <c r="AK2242" s="14">
        <f>IF(AND($AF2242="保留中",$AH2242&lt;&gt;""),TODAY()-$AH2242,"")</f>
        <v/>
      </c>
      <c r="AL2242" s="12" t="n"/>
      <c r="AM2242" s="14">
        <f>IF($B2242="","",IF($AQ2242="","対象年月が未入力／","")&amp;IF($B2242="","",IF($AP2242="","職員マスタに未登録の職員番号／",IF($AA2242="","標準報酬月額が未登録／","")&amp;IF(AND($AQ2242&lt;&gt;"",OR(AND(INDEX(職員マスタ!$G$6:$G$405,$AP2242)&lt;&gt;"",INDEX(職員マスタ!$G$6:$G$405,$AP2242)&gt;EOMONTH($AQ2242,0)),AND(INDEX(職員マスタ!$H$6:$H$405,$AP2242)&lt;&gt;"",INDEX(職員マスタ!$H$6:$H$405,$AP2242)&lt;$AQ2242))),"対象月が時短期間外／","")&amp;IF(AND(INDEX(職員マスタ!$K$6:$K$405,$AP2242)&lt;&gt;"",N($W2242)&gt;0,INDEX(職員マスタ!$K$6:$K$405,$AP2242)&lt;&gt;$W2242),"標準報酬月額が申請書と相違（台帳"&amp;TEXT(INDEX(職員マスタ!$K$6:$K$405,$AP2242),"#,##0")&amp;"円／申請書"&amp;TEXT($W2242,"#,##0")&amp;"円）／","")&amp;IF(AND(INDEX(職員マスタ!$F$6:$F$405,$AP2242)&lt;&gt;"",$AQ2242&lt;&gt;"",INDEX(職員マスタ!$F$6:$F$405,$AP2242)&lt;$AQ2242),"対象月に子が2歳到達済／","")&amp;IF(AND($H2242&lt;&gt;"",INDEX(職員マスタ!$B$6:$B$405,$AP2242)&lt;&gt;"",SUBSTITUTE(SUBSTITUTE($H2242," ","")," ","")&lt;&gt;SUBSTITUTE(SUBSTITUTE(INDEX(職員マスタ!$B$6:$B$405,$AP2242)," ","")," ","")),"氏名がマスタと相違／","")&amp;IF(AND($Q2242&lt;&gt;"",INDEX(職員マスタ!$E$6:$E$405,$AP2242)&lt;&gt;"",$Q2242&lt;&gt;INDEX(職員マスタ!$E$6:$E$405,$AP2242)),"子の生年月日がマスタと相違／","")&amp;IF(AND($L2242&lt;&gt;"",INDEX(職員マスタ!$G$6:$G$405,$AP2242)&lt;&gt;"",$L2242&lt;&gt;INDEX(職員マスタ!$G$6:$G$405,$AP2242)),"時短開始日がマスタと相違／","")&amp;IF(AND($M2242&lt;&gt;"",INDEX(職員マスタ!$H$6:$H$405,$AP2242)&lt;&gt;"",$M2242&lt;&gt;INDEX(職員マスタ!$H$6:$H$405,$AP2242)),"時短終了日がマスタと相違／","")))&amp;IF(AND($B2242&lt;&gt;"",$E2242=""),"報酬額が未入力／","")&amp;IF(N($U2242)&gt;0,"申請書に入力エラーが残っています／","")&amp;IF(AND($B2242&lt;&gt;"",$AQ2242&lt;&gt;""),IF(COUNTIFS($B$6:$B$3005,$B2242,$C$6:$C$3005,$C2242,$D$6:$D$3005,$D2242)&gt;1,"同じ月の請求が重複しています／",""),"")&amp;IF(AND(N($E2242)&gt;0,$AB2242&lt;&gt;"",$AB2242&lt;&gt;"×",$AE2242=0,$AD2242=""),"計算額が下限以下のため不支給／",""))</f>
        <v/>
      </c>
      <c r="AN2242" s="12" t="n"/>
      <c r="AO2242" s="14">
        <f>IF($AF2242="保留中",COUNTIF($AF$6:$AF2242,"保留中"),"")</f>
        <v/>
      </c>
      <c r="AP2242" s="14">
        <f>IF($AQ2242="","",IF(SUMPRODUCT(MAX((職員マスタ!$A$6:$A$405=$B2242)*(((職員マスタ!$G$6:$G$405="")+(職員マスタ!$G$6:$G$405&lt;=EOMONTH($AQ2242,0)))&gt;0)*(((職員マスタ!$H$6:$H$405="")+(職員マスタ!$H$6:$H$405&gt;=$AQ2242))&gt;0)*(ROW(職員マスタ!$A$6:$A$405)-5)))&gt;0,SUMPRODUCT(MAX((職員マスタ!$A$6:$A$405=$B2242)*(((職員マスタ!$G$6:$G$405="")+(職員マスタ!$G$6:$G$405&lt;=EOMONTH($AQ2242,0)))&gt;0)*(((職員マスタ!$H$6:$H$405="")+(職員マスタ!$H$6:$H$405&gt;=$AQ2242))&gt;0)*(ROW(職員マスタ!$A$6:$A$405)-5))),IFERROR(MATCH($B2242,職員マスタ!$A$6:$A$405,0),"")))</f>
        <v/>
      </c>
      <c r="AQ2242" s="16">
        <f>IF(OR($B2242="",$C2242="",$D2242=""),"",DATE($C2242+2018,$D2242,1))</f>
        <v/>
      </c>
    </row>
    <row r="2243">
      <c r="A2243" s="11" t="n"/>
      <c r="B2243" s="12" t="n"/>
      <c r="C2243" s="12" t="n"/>
      <c r="D2243" s="12" t="n"/>
      <c r="E2243" s="13" t="n"/>
      <c r="F2243" s="12" t="n"/>
      <c r="G2243" s="13" t="n"/>
      <c r="H2243" s="12" t="n"/>
      <c r="I2243" s="12" t="n"/>
      <c r="J2243" s="12" t="n"/>
      <c r="K2243" s="12" t="n"/>
      <c r="L2243" s="11" t="n"/>
      <c r="M2243" s="11" t="n"/>
      <c r="N2243" s="11" t="n"/>
      <c r="O2243" s="11" t="n"/>
      <c r="P2243" s="12" t="n"/>
      <c r="Q2243" s="11" t="n"/>
      <c r="R2243" s="12" t="n"/>
      <c r="S2243" s="11" t="n"/>
      <c r="T2243" s="12" t="n"/>
      <c r="U2243" s="12" t="n"/>
      <c r="V2243" s="12" t="n"/>
      <c r="W2243" s="13" t="n"/>
      <c r="X2243" s="14">
        <f>IF($AP2243="",IF($B2243="","",$H2243),IF(INDEX(職員マスタ!$B$6:$B$405,$AP2243)="",$H2243,INDEX(職員マスタ!$B$6:$B$405,$AP2243)))</f>
        <v/>
      </c>
      <c r="Y2243" s="14">
        <f>IF($AP2243="",IF($B2243="","",$R2243),IF(INDEX(職員マスタ!$C$6:$C$405,$AP2243)="",$R2243,INDEX(職員マスタ!$C$6:$C$405,$AP2243)))</f>
        <v/>
      </c>
      <c r="Z2243" s="14">
        <f>IF($AQ2243="","","R"&amp;$C2243&amp;"."&amp;$D2243)</f>
        <v/>
      </c>
      <c r="AA2243" s="15">
        <f>IF(IF($AP2243="",FALSE,INDEX(職員マスタ!$K$6:$K$405,$AP2243)&lt;&gt;""),INDEX(職員マスタ!$K$6:$K$405,$AP2243),IF(N($W2243)&gt;0,$W2243,""))</f>
        <v/>
      </c>
      <c r="AB2243" s="14">
        <f>IF(OR($E2243="",$AA2243=""),"",IF($E2243&gt;=$AA2243,"×",IF($E2243&gt;=$AA2243*設定!$C$5,"△","○")))</f>
        <v/>
      </c>
      <c r="AC2243" s="15">
        <f>IF($AB2243="","",IF($AB2243="×",0,IF($AB2243="○",ROUNDDOWN($E2243*設定!$C$4,0),ROUNDDOWN($E2243*ROUND((9*$AA2243-9*$E2243)/(10*$E2243),4),0))))</f>
        <v/>
      </c>
      <c r="AD2243" s="13" t="n"/>
      <c r="AE2243" s="15">
        <f>IF($B2243="","",IF($AD2243&lt;&gt;"",$AD2243,IF($AC2243="","",IF($AC2243&lt;=設定!$C$3,0,$AC2243))))</f>
        <v/>
      </c>
      <c r="AF2243" s="14">
        <f>IF($B2243="","",IF(AND($AG2243&lt;&gt;"",$AI2243="",$AL2243=""),"保留中",IF($AL2243&lt;&gt;"",IF(N($AE2243)&gt;0,"支給済","不支給"),IF($AE2243="","要確認",IF($AE2243=0,"不支給","未処理")))))</f>
        <v/>
      </c>
      <c r="AG2243" s="12" t="n"/>
      <c r="AH2243" s="11" t="n"/>
      <c r="AI2243" s="11" t="n"/>
      <c r="AJ2243" s="11" t="n"/>
      <c r="AK2243" s="14">
        <f>IF(AND($AF2243="保留中",$AH2243&lt;&gt;""),TODAY()-$AH2243,"")</f>
        <v/>
      </c>
      <c r="AL2243" s="12" t="n"/>
      <c r="AM2243" s="14">
        <f>IF($B2243="","",IF($AQ2243="","対象年月が未入力／","")&amp;IF($B2243="","",IF($AP2243="","職員マスタに未登録の職員番号／",IF($AA2243="","標準報酬月額が未登録／","")&amp;IF(AND($AQ2243&lt;&gt;"",OR(AND(INDEX(職員マスタ!$G$6:$G$405,$AP2243)&lt;&gt;"",INDEX(職員マスタ!$G$6:$G$405,$AP2243)&gt;EOMONTH($AQ2243,0)),AND(INDEX(職員マスタ!$H$6:$H$405,$AP2243)&lt;&gt;"",INDEX(職員マスタ!$H$6:$H$405,$AP2243)&lt;$AQ2243))),"対象月が時短期間外／","")&amp;IF(AND(INDEX(職員マスタ!$K$6:$K$405,$AP2243)&lt;&gt;"",N($W2243)&gt;0,INDEX(職員マスタ!$K$6:$K$405,$AP2243)&lt;&gt;$W2243),"標準報酬月額が申請書と相違（台帳"&amp;TEXT(INDEX(職員マスタ!$K$6:$K$405,$AP2243),"#,##0")&amp;"円／申請書"&amp;TEXT($W2243,"#,##0")&amp;"円）／","")&amp;IF(AND(INDEX(職員マスタ!$F$6:$F$405,$AP2243)&lt;&gt;"",$AQ2243&lt;&gt;"",INDEX(職員マスタ!$F$6:$F$405,$AP2243)&lt;$AQ2243),"対象月に子が2歳到達済／","")&amp;IF(AND($H2243&lt;&gt;"",INDEX(職員マスタ!$B$6:$B$405,$AP2243)&lt;&gt;"",SUBSTITUTE(SUBSTITUTE($H2243," ","")," ","")&lt;&gt;SUBSTITUTE(SUBSTITUTE(INDEX(職員マスタ!$B$6:$B$405,$AP2243)," ","")," ","")),"氏名がマスタと相違／","")&amp;IF(AND($Q2243&lt;&gt;"",INDEX(職員マスタ!$E$6:$E$405,$AP2243)&lt;&gt;"",$Q2243&lt;&gt;INDEX(職員マスタ!$E$6:$E$405,$AP2243)),"子の生年月日がマスタと相違／","")&amp;IF(AND($L2243&lt;&gt;"",INDEX(職員マスタ!$G$6:$G$405,$AP2243)&lt;&gt;"",$L2243&lt;&gt;INDEX(職員マスタ!$G$6:$G$405,$AP2243)),"時短開始日がマスタと相違／","")&amp;IF(AND($M2243&lt;&gt;"",INDEX(職員マスタ!$H$6:$H$405,$AP2243)&lt;&gt;"",$M2243&lt;&gt;INDEX(職員マスタ!$H$6:$H$405,$AP2243)),"時短終了日がマスタと相違／","")))&amp;IF(AND($B2243&lt;&gt;"",$E2243=""),"報酬額が未入力／","")&amp;IF(N($U2243)&gt;0,"申請書に入力エラーが残っています／","")&amp;IF(AND($B2243&lt;&gt;"",$AQ2243&lt;&gt;""),IF(COUNTIFS($B$6:$B$3005,$B2243,$C$6:$C$3005,$C2243,$D$6:$D$3005,$D2243)&gt;1,"同じ月の請求が重複しています／",""),"")&amp;IF(AND(N($E2243)&gt;0,$AB2243&lt;&gt;"",$AB2243&lt;&gt;"×",$AE2243=0,$AD2243=""),"計算額が下限以下のため不支給／",""))</f>
        <v/>
      </c>
      <c r="AN2243" s="12" t="n"/>
      <c r="AO2243" s="14">
        <f>IF($AF2243="保留中",COUNTIF($AF$6:$AF2243,"保留中"),"")</f>
        <v/>
      </c>
      <c r="AP2243" s="14">
        <f>IF($AQ2243="","",IF(SUMPRODUCT(MAX((職員マスタ!$A$6:$A$405=$B2243)*(((職員マスタ!$G$6:$G$405="")+(職員マスタ!$G$6:$G$405&lt;=EOMONTH($AQ2243,0)))&gt;0)*(((職員マスタ!$H$6:$H$405="")+(職員マスタ!$H$6:$H$405&gt;=$AQ2243))&gt;0)*(ROW(職員マスタ!$A$6:$A$405)-5)))&gt;0,SUMPRODUCT(MAX((職員マスタ!$A$6:$A$405=$B2243)*(((職員マスタ!$G$6:$G$405="")+(職員マスタ!$G$6:$G$405&lt;=EOMONTH($AQ2243,0)))&gt;0)*(((職員マスタ!$H$6:$H$405="")+(職員マスタ!$H$6:$H$405&gt;=$AQ2243))&gt;0)*(ROW(職員マスタ!$A$6:$A$405)-5))),IFERROR(MATCH($B2243,職員マスタ!$A$6:$A$405,0),"")))</f>
        <v/>
      </c>
      <c r="AQ2243" s="16">
        <f>IF(OR($B2243="",$C2243="",$D2243=""),"",DATE($C2243+2018,$D2243,1))</f>
        <v/>
      </c>
    </row>
    <row r="2244">
      <c r="A2244" s="11" t="n"/>
      <c r="B2244" s="12" t="n"/>
      <c r="C2244" s="12" t="n"/>
      <c r="D2244" s="12" t="n"/>
      <c r="E2244" s="13" t="n"/>
      <c r="F2244" s="12" t="n"/>
      <c r="G2244" s="13" t="n"/>
      <c r="H2244" s="12" t="n"/>
      <c r="I2244" s="12" t="n"/>
      <c r="J2244" s="12" t="n"/>
      <c r="K2244" s="12" t="n"/>
      <c r="L2244" s="11" t="n"/>
      <c r="M2244" s="11" t="n"/>
      <c r="N2244" s="11" t="n"/>
      <c r="O2244" s="11" t="n"/>
      <c r="P2244" s="12" t="n"/>
      <c r="Q2244" s="11" t="n"/>
      <c r="R2244" s="12" t="n"/>
      <c r="S2244" s="11" t="n"/>
      <c r="T2244" s="12" t="n"/>
      <c r="U2244" s="12" t="n"/>
      <c r="V2244" s="12" t="n"/>
      <c r="W2244" s="13" t="n"/>
      <c r="X2244" s="14">
        <f>IF($AP2244="",IF($B2244="","",$H2244),IF(INDEX(職員マスタ!$B$6:$B$405,$AP2244)="",$H2244,INDEX(職員マスタ!$B$6:$B$405,$AP2244)))</f>
        <v/>
      </c>
      <c r="Y2244" s="14">
        <f>IF($AP2244="",IF($B2244="","",$R2244),IF(INDEX(職員マスタ!$C$6:$C$405,$AP2244)="",$R2244,INDEX(職員マスタ!$C$6:$C$405,$AP2244)))</f>
        <v/>
      </c>
      <c r="Z2244" s="14">
        <f>IF($AQ2244="","","R"&amp;$C2244&amp;"."&amp;$D2244)</f>
        <v/>
      </c>
      <c r="AA2244" s="15">
        <f>IF(IF($AP2244="",FALSE,INDEX(職員マスタ!$K$6:$K$405,$AP2244)&lt;&gt;""),INDEX(職員マスタ!$K$6:$K$405,$AP2244),IF(N($W2244)&gt;0,$W2244,""))</f>
        <v/>
      </c>
      <c r="AB2244" s="14">
        <f>IF(OR($E2244="",$AA2244=""),"",IF($E2244&gt;=$AA2244,"×",IF($E2244&gt;=$AA2244*設定!$C$5,"△","○")))</f>
        <v/>
      </c>
      <c r="AC2244" s="15">
        <f>IF($AB2244="","",IF($AB2244="×",0,IF($AB2244="○",ROUNDDOWN($E2244*設定!$C$4,0),ROUNDDOWN($E2244*ROUND((9*$AA2244-9*$E2244)/(10*$E2244),4),0))))</f>
        <v/>
      </c>
      <c r="AD2244" s="13" t="n"/>
      <c r="AE2244" s="15">
        <f>IF($B2244="","",IF($AD2244&lt;&gt;"",$AD2244,IF($AC2244="","",IF($AC2244&lt;=設定!$C$3,0,$AC2244))))</f>
        <v/>
      </c>
      <c r="AF2244" s="14">
        <f>IF($B2244="","",IF(AND($AG2244&lt;&gt;"",$AI2244="",$AL2244=""),"保留中",IF($AL2244&lt;&gt;"",IF(N($AE2244)&gt;0,"支給済","不支給"),IF($AE2244="","要確認",IF($AE2244=0,"不支給","未処理")))))</f>
        <v/>
      </c>
      <c r="AG2244" s="12" t="n"/>
      <c r="AH2244" s="11" t="n"/>
      <c r="AI2244" s="11" t="n"/>
      <c r="AJ2244" s="11" t="n"/>
      <c r="AK2244" s="14">
        <f>IF(AND($AF2244="保留中",$AH2244&lt;&gt;""),TODAY()-$AH2244,"")</f>
        <v/>
      </c>
      <c r="AL2244" s="12" t="n"/>
      <c r="AM2244" s="14">
        <f>IF($B2244="","",IF($AQ2244="","対象年月が未入力／","")&amp;IF($B2244="","",IF($AP2244="","職員マスタに未登録の職員番号／",IF($AA2244="","標準報酬月額が未登録／","")&amp;IF(AND($AQ2244&lt;&gt;"",OR(AND(INDEX(職員マスタ!$G$6:$G$405,$AP2244)&lt;&gt;"",INDEX(職員マスタ!$G$6:$G$405,$AP2244)&gt;EOMONTH($AQ2244,0)),AND(INDEX(職員マスタ!$H$6:$H$405,$AP2244)&lt;&gt;"",INDEX(職員マスタ!$H$6:$H$405,$AP2244)&lt;$AQ2244))),"対象月が時短期間外／","")&amp;IF(AND(INDEX(職員マスタ!$K$6:$K$405,$AP2244)&lt;&gt;"",N($W2244)&gt;0,INDEX(職員マスタ!$K$6:$K$405,$AP2244)&lt;&gt;$W2244),"標準報酬月額が申請書と相違（台帳"&amp;TEXT(INDEX(職員マスタ!$K$6:$K$405,$AP2244),"#,##0")&amp;"円／申請書"&amp;TEXT($W2244,"#,##0")&amp;"円）／","")&amp;IF(AND(INDEX(職員マスタ!$F$6:$F$405,$AP2244)&lt;&gt;"",$AQ2244&lt;&gt;"",INDEX(職員マスタ!$F$6:$F$405,$AP2244)&lt;$AQ2244),"対象月に子が2歳到達済／","")&amp;IF(AND($H2244&lt;&gt;"",INDEX(職員マスタ!$B$6:$B$405,$AP2244)&lt;&gt;"",SUBSTITUTE(SUBSTITUTE($H2244," ","")," ","")&lt;&gt;SUBSTITUTE(SUBSTITUTE(INDEX(職員マスタ!$B$6:$B$405,$AP2244)," ","")," ","")),"氏名がマスタと相違／","")&amp;IF(AND($Q2244&lt;&gt;"",INDEX(職員マスタ!$E$6:$E$405,$AP2244)&lt;&gt;"",$Q2244&lt;&gt;INDEX(職員マスタ!$E$6:$E$405,$AP2244)),"子の生年月日がマスタと相違／","")&amp;IF(AND($L2244&lt;&gt;"",INDEX(職員マスタ!$G$6:$G$405,$AP2244)&lt;&gt;"",$L2244&lt;&gt;INDEX(職員マスタ!$G$6:$G$405,$AP2244)),"時短開始日がマスタと相違／","")&amp;IF(AND($M2244&lt;&gt;"",INDEX(職員マスタ!$H$6:$H$405,$AP2244)&lt;&gt;"",$M2244&lt;&gt;INDEX(職員マスタ!$H$6:$H$405,$AP2244)),"時短終了日がマスタと相違／","")))&amp;IF(AND($B2244&lt;&gt;"",$E2244=""),"報酬額が未入力／","")&amp;IF(N($U2244)&gt;0,"申請書に入力エラーが残っています／","")&amp;IF(AND($B2244&lt;&gt;"",$AQ2244&lt;&gt;""),IF(COUNTIFS($B$6:$B$3005,$B2244,$C$6:$C$3005,$C2244,$D$6:$D$3005,$D2244)&gt;1,"同じ月の請求が重複しています／",""),"")&amp;IF(AND(N($E2244)&gt;0,$AB2244&lt;&gt;"",$AB2244&lt;&gt;"×",$AE2244=0,$AD2244=""),"計算額が下限以下のため不支給／",""))</f>
        <v/>
      </c>
      <c r="AN2244" s="12" t="n"/>
      <c r="AO2244" s="14">
        <f>IF($AF2244="保留中",COUNTIF($AF$6:$AF2244,"保留中"),"")</f>
        <v/>
      </c>
      <c r="AP2244" s="14">
        <f>IF($AQ2244="","",IF(SUMPRODUCT(MAX((職員マスタ!$A$6:$A$405=$B2244)*(((職員マスタ!$G$6:$G$405="")+(職員マスタ!$G$6:$G$405&lt;=EOMONTH($AQ2244,0)))&gt;0)*(((職員マスタ!$H$6:$H$405="")+(職員マスタ!$H$6:$H$405&gt;=$AQ2244))&gt;0)*(ROW(職員マスタ!$A$6:$A$405)-5)))&gt;0,SUMPRODUCT(MAX((職員マスタ!$A$6:$A$405=$B2244)*(((職員マスタ!$G$6:$G$405="")+(職員マスタ!$G$6:$G$405&lt;=EOMONTH($AQ2244,0)))&gt;0)*(((職員マスタ!$H$6:$H$405="")+(職員マスタ!$H$6:$H$405&gt;=$AQ2244))&gt;0)*(ROW(職員マスタ!$A$6:$A$405)-5))),IFERROR(MATCH($B2244,職員マスタ!$A$6:$A$405,0),"")))</f>
        <v/>
      </c>
      <c r="AQ2244" s="16">
        <f>IF(OR($B2244="",$C2244="",$D2244=""),"",DATE($C2244+2018,$D2244,1))</f>
        <v/>
      </c>
    </row>
    <row r="2245">
      <c r="A2245" s="11" t="n"/>
      <c r="B2245" s="12" t="n"/>
      <c r="C2245" s="12" t="n"/>
      <c r="D2245" s="12" t="n"/>
      <c r="E2245" s="13" t="n"/>
      <c r="F2245" s="12" t="n"/>
      <c r="G2245" s="13" t="n"/>
      <c r="H2245" s="12" t="n"/>
      <c r="I2245" s="12" t="n"/>
      <c r="J2245" s="12" t="n"/>
      <c r="K2245" s="12" t="n"/>
      <c r="L2245" s="11" t="n"/>
      <c r="M2245" s="11" t="n"/>
      <c r="N2245" s="11" t="n"/>
      <c r="O2245" s="11" t="n"/>
      <c r="P2245" s="12" t="n"/>
      <c r="Q2245" s="11" t="n"/>
      <c r="R2245" s="12" t="n"/>
      <c r="S2245" s="11" t="n"/>
      <c r="T2245" s="12" t="n"/>
      <c r="U2245" s="12" t="n"/>
      <c r="V2245" s="12" t="n"/>
      <c r="W2245" s="13" t="n"/>
      <c r="X2245" s="14">
        <f>IF($AP2245="",IF($B2245="","",$H2245),IF(INDEX(職員マスタ!$B$6:$B$405,$AP2245)="",$H2245,INDEX(職員マスタ!$B$6:$B$405,$AP2245)))</f>
        <v/>
      </c>
      <c r="Y2245" s="14">
        <f>IF($AP2245="",IF($B2245="","",$R2245),IF(INDEX(職員マスタ!$C$6:$C$405,$AP2245)="",$R2245,INDEX(職員マスタ!$C$6:$C$405,$AP2245)))</f>
        <v/>
      </c>
      <c r="Z2245" s="14">
        <f>IF($AQ2245="","","R"&amp;$C2245&amp;"."&amp;$D2245)</f>
        <v/>
      </c>
      <c r="AA2245" s="15">
        <f>IF(IF($AP2245="",FALSE,INDEX(職員マスタ!$K$6:$K$405,$AP2245)&lt;&gt;""),INDEX(職員マスタ!$K$6:$K$405,$AP2245),IF(N($W2245)&gt;0,$W2245,""))</f>
        <v/>
      </c>
      <c r="AB2245" s="14">
        <f>IF(OR($E2245="",$AA2245=""),"",IF($E2245&gt;=$AA2245,"×",IF($E2245&gt;=$AA2245*設定!$C$5,"△","○")))</f>
        <v/>
      </c>
      <c r="AC2245" s="15">
        <f>IF($AB2245="","",IF($AB2245="×",0,IF($AB2245="○",ROUNDDOWN($E2245*設定!$C$4,0),ROUNDDOWN($E2245*ROUND((9*$AA2245-9*$E2245)/(10*$E2245),4),0))))</f>
        <v/>
      </c>
      <c r="AD2245" s="13" t="n"/>
      <c r="AE2245" s="15">
        <f>IF($B2245="","",IF($AD2245&lt;&gt;"",$AD2245,IF($AC2245="","",IF($AC2245&lt;=設定!$C$3,0,$AC2245))))</f>
        <v/>
      </c>
      <c r="AF2245" s="14">
        <f>IF($B2245="","",IF(AND($AG2245&lt;&gt;"",$AI2245="",$AL2245=""),"保留中",IF($AL2245&lt;&gt;"",IF(N($AE2245)&gt;0,"支給済","不支給"),IF($AE2245="","要確認",IF($AE2245=0,"不支給","未処理")))))</f>
        <v/>
      </c>
      <c r="AG2245" s="12" t="n"/>
      <c r="AH2245" s="11" t="n"/>
      <c r="AI2245" s="11" t="n"/>
      <c r="AJ2245" s="11" t="n"/>
      <c r="AK2245" s="14">
        <f>IF(AND($AF2245="保留中",$AH2245&lt;&gt;""),TODAY()-$AH2245,"")</f>
        <v/>
      </c>
      <c r="AL2245" s="12" t="n"/>
      <c r="AM2245" s="14">
        <f>IF($B2245="","",IF($AQ2245="","対象年月が未入力／","")&amp;IF($B2245="","",IF($AP2245="","職員マスタに未登録の職員番号／",IF($AA2245="","標準報酬月額が未登録／","")&amp;IF(AND($AQ2245&lt;&gt;"",OR(AND(INDEX(職員マスタ!$G$6:$G$405,$AP2245)&lt;&gt;"",INDEX(職員マスタ!$G$6:$G$405,$AP2245)&gt;EOMONTH($AQ2245,0)),AND(INDEX(職員マスタ!$H$6:$H$405,$AP2245)&lt;&gt;"",INDEX(職員マスタ!$H$6:$H$405,$AP2245)&lt;$AQ2245))),"対象月が時短期間外／","")&amp;IF(AND(INDEX(職員マスタ!$K$6:$K$405,$AP2245)&lt;&gt;"",N($W2245)&gt;0,INDEX(職員マスタ!$K$6:$K$405,$AP2245)&lt;&gt;$W2245),"標準報酬月額が申請書と相違（台帳"&amp;TEXT(INDEX(職員マスタ!$K$6:$K$405,$AP2245),"#,##0")&amp;"円／申請書"&amp;TEXT($W2245,"#,##0")&amp;"円）／","")&amp;IF(AND(INDEX(職員マスタ!$F$6:$F$405,$AP2245)&lt;&gt;"",$AQ2245&lt;&gt;"",INDEX(職員マスタ!$F$6:$F$405,$AP2245)&lt;$AQ2245),"対象月に子が2歳到達済／","")&amp;IF(AND($H2245&lt;&gt;"",INDEX(職員マスタ!$B$6:$B$405,$AP2245)&lt;&gt;"",SUBSTITUTE(SUBSTITUTE($H2245," ","")," ","")&lt;&gt;SUBSTITUTE(SUBSTITUTE(INDEX(職員マスタ!$B$6:$B$405,$AP2245)," ","")," ","")),"氏名がマスタと相違／","")&amp;IF(AND($Q2245&lt;&gt;"",INDEX(職員マスタ!$E$6:$E$405,$AP2245)&lt;&gt;"",$Q2245&lt;&gt;INDEX(職員マスタ!$E$6:$E$405,$AP2245)),"子の生年月日がマスタと相違／","")&amp;IF(AND($L2245&lt;&gt;"",INDEX(職員マスタ!$G$6:$G$405,$AP2245)&lt;&gt;"",$L2245&lt;&gt;INDEX(職員マスタ!$G$6:$G$405,$AP2245)),"時短開始日がマスタと相違／","")&amp;IF(AND($M2245&lt;&gt;"",INDEX(職員マスタ!$H$6:$H$405,$AP2245)&lt;&gt;"",$M2245&lt;&gt;INDEX(職員マスタ!$H$6:$H$405,$AP2245)),"時短終了日がマスタと相違／","")))&amp;IF(AND($B2245&lt;&gt;"",$E2245=""),"報酬額が未入力／","")&amp;IF(N($U2245)&gt;0,"申請書に入力エラーが残っています／","")&amp;IF(AND($B2245&lt;&gt;"",$AQ2245&lt;&gt;""),IF(COUNTIFS($B$6:$B$3005,$B2245,$C$6:$C$3005,$C2245,$D$6:$D$3005,$D2245)&gt;1,"同じ月の請求が重複しています／",""),"")&amp;IF(AND(N($E2245)&gt;0,$AB2245&lt;&gt;"",$AB2245&lt;&gt;"×",$AE2245=0,$AD2245=""),"計算額が下限以下のため不支給／",""))</f>
        <v/>
      </c>
      <c r="AN2245" s="12" t="n"/>
      <c r="AO2245" s="14">
        <f>IF($AF2245="保留中",COUNTIF($AF$6:$AF2245,"保留中"),"")</f>
        <v/>
      </c>
      <c r="AP2245" s="14">
        <f>IF($AQ2245="","",IF(SUMPRODUCT(MAX((職員マスタ!$A$6:$A$405=$B2245)*(((職員マスタ!$G$6:$G$405="")+(職員マスタ!$G$6:$G$405&lt;=EOMONTH($AQ2245,0)))&gt;0)*(((職員マスタ!$H$6:$H$405="")+(職員マスタ!$H$6:$H$405&gt;=$AQ2245))&gt;0)*(ROW(職員マスタ!$A$6:$A$405)-5)))&gt;0,SUMPRODUCT(MAX((職員マスタ!$A$6:$A$405=$B2245)*(((職員マスタ!$G$6:$G$405="")+(職員マスタ!$G$6:$G$405&lt;=EOMONTH($AQ2245,0)))&gt;0)*(((職員マスタ!$H$6:$H$405="")+(職員マスタ!$H$6:$H$405&gt;=$AQ2245))&gt;0)*(ROW(職員マスタ!$A$6:$A$405)-5))),IFERROR(MATCH($B2245,職員マスタ!$A$6:$A$405,0),"")))</f>
        <v/>
      </c>
      <c r="AQ2245" s="16">
        <f>IF(OR($B2245="",$C2245="",$D2245=""),"",DATE($C2245+2018,$D2245,1))</f>
        <v/>
      </c>
    </row>
    <row r="2246">
      <c r="A2246" s="11" t="n"/>
      <c r="B2246" s="12" t="n"/>
      <c r="C2246" s="12" t="n"/>
      <c r="D2246" s="12" t="n"/>
      <c r="E2246" s="13" t="n"/>
      <c r="F2246" s="12" t="n"/>
      <c r="G2246" s="13" t="n"/>
      <c r="H2246" s="12" t="n"/>
      <c r="I2246" s="12" t="n"/>
      <c r="J2246" s="12" t="n"/>
      <c r="K2246" s="12" t="n"/>
      <c r="L2246" s="11" t="n"/>
      <c r="M2246" s="11" t="n"/>
      <c r="N2246" s="11" t="n"/>
      <c r="O2246" s="11" t="n"/>
      <c r="P2246" s="12" t="n"/>
      <c r="Q2246" s="11" t="n"/>
      <c r="R2246" s="12" t="n"/>
      <c r="S2246" s="11" t="n"/>
      <c r="T2246" s="12" t="n"/>
      <c r="U2246" s="12" t="n"/>
      <c r="V2246" s="12" t="n"/>
      <c r="W2246" s="13" t="n"/>
      <c r="X2246" s="14">
        <f>IF($AP2246="",IF($B2246="","",$H2246),IF(INDEX(職員マスタ!$B$6:$B$405,$AP2246)="",$H2246,INDEX(職員マスタ!$B$6:$B$405,$AP2246)))</f>
        <v/>
      </c>
      <c r="Y2246" s="14">
        <f>IF($AP2246="",IF($B2246="","",$R2246),IF(INDEX(職員マスタ!$C$6:$C$405,$AP2246)="",$R2246,INDEX(職員マスタ!$C$6:$C$405,$AP2246)))</f>
        <v/>
      </c>
      <c r="Z2246" s="14">
        <f>IF($AQ2246="","","R"&amp;$C2246&amp;"."&amp;$D2246)</f>
        <v/>
      </c>
      <c r="AA2246" s="15">
        <f>IF(IF($AP2246="",FALSE,INDEX(職員マスタ!$K$6:$K$405,$AP2246)&lt;&gt;""),INDEX(職員マスタ!$K$6:$K$405,$AP2246),IF(N($W2246)&gt;0,$W2246,""))</f>
        <v/>
      </c>
      <c r="AB2246" s="14">
        <f>IF(OR($E2246="",$AA2246=""),"",IF($E2246&gt;=$AA2246,"×",IF($E2246&gt;=$AA2246*設定!$C$5,"△","○")))</f>
        <v/>
      </c>
      <c r="AC2246" s="15">
        <f>IF($AB2246="","",IF($AB2246="×",0,IF($AB2246="○",ROUNDDOWN($E2246*設定!$C$4,0),ROUNDDOWN($E2246*ROUND((9*$AA2246-9*$E2246)/(10*$E2246),4),0))))</f>
        <v/>
      </c>
      <c r="AD2246" s="13" t="n"/>
      <c r="AE2246" s="15">
        <f>IF($B2246="","",IF($AD2246&lt;&gt;"",$AD2246,IF($AC2246="","",IF($AC2246&lt;=設定!$C$3,0,$AC2246))))</f>
        <v/>
      </c>
      <c r="AF2246" s="14">
        <f>IF($B2246="","",IF(AND($AG2246&lt;&gt;"",$AI2246="",$AL2246=""),"保留中",IF($AL2246&lt;&gt;"",IF(N($AE2246)&gt;0,"支給済","不支給"),IF($AE2246="","要確認",IF($AE2246=0,"不支給","未処理")))))</f>
        <v/>
      </c>
      <c r="AG2246" s="12" t="n"/>
      <c r="AH2246" s="11" t="n"/>
      <c r="AI2246" s="11" t="n"/>
      <c r="AJ2246" s="11" t="n"/>
      <c r="AK2246" s="14">
        <f>IF(AND($AF2246="保留中",$AH2246&lt;&gt;""),TODAY()-$AH2246,"")</f>
        <v/>
      </c>
      <c r="AL2246" s="12" t="n"/>
      <c r="AM2246" s="14">
        <f>IF($B2246="","",IF($AQ2246="","対象年月が未入力／","")&amp;IF($B2246="","",IF($AP2246="","職員マスタに未登録の職員番号／",IF($AA2246="","標準報酬月額が未登録／","")&amp;IF(AND($AQ2246&lt;&gt;"",OR(AND(INDEX(職員マスタ!$G$6:$G$405,$AP2246)&lt;&gt;"",INDEX(職員マスタ!$G$6:$G$405,$AP2246)&gt;EOMONTH($AQ2246,0)),AND(INDEX(職員マスタ!$H$6:$H$405,$AP2246)&lt;&gt;"",INDEX(職員マスタ!$H$6:$H$405,$AP2246)&lt;$AQ2246))),"対象月が時短期間外／","")&amp;IF(AND(INDEX(職員マスタ!$K$6:$K$405,$AP2246)&lt;&gt;"",N($W2246)&gt;0,INDEX(職員マスタ!$K$6:$K$405,$AP2246)&lt;&gt;$W2246),"標準報酬月額が申請書と相違（台帳"&amp;TEXT(INDEX(職員マスタ!$K$6:$K$405,$AP2246),"#,##0")&amp;"円／申請書"&amp;TEXT($W2246,"#,##0")&amp;"円）／","")&amp;IF(AND(INDEX(職員マスタ!$F$6:$F$405,$AP2246)&lt;&gt;"",$AQ2246&lt;&gt;"",INDEX(職員マスタ!$F$6:$F$405,$AP2246)&lt;$AQ2246),"対象月に子が2歳到達済／","")&amp;IF(AND($H2246&lt;&gt;"",INDEX(職員マスタ!$B$6:$B$405,$AP2246)&lt;&gt;"",SUBSTITUTE(SUBSTITUTE($H2246," ","")," ","")&lt;&gt;SUBSTITUTE(SUBSTITUTE(INDEX(職員マスタ!$B$6:$B$405,$AP2246)," ","")," ","")),"氏名がマスタと相違／","")&amp;IF(AND($Q2246&lt;&gt;"",INDEX(職員マスタ!$E$6:$E$405,$AP2246)&lt;&gt;"",$Q2246&lt;&gt;INDEX(職員マスタ!$E$6:$E$405,$AP2246)),"子の生年月日がマスタと相違／","")&amp;IF(AND($L2246&lt;&gt;"",INDEX(職員マスタ!$G$6:$G$405,$AP2246)&lt;&gt;"",$L2246&lt;&gt;INDEX(職員マスタ!$G$6:$G$405,$AP2246)),"時短開始日がマスタと相違／","")&amp;IF(AND($M2246&lt;&gt;"",INDEX(職員マスタ!$H$6:$H$405,$AP2246)&lt;&gt;"",$M2246&lt;&gt;INDEX(職員マスタ!$H$6:$H$405,$AP2246)),"時短終了日がマスタと相違／","")))&amp;IF(AND($B2246&lt;&gt;"",$E2246=""),"報酬額が未入力／","")&amp;IF(N($U2246)&gt;0,"申請書に入力エラーが残っています／","")&amp;IF(AND($B2246&lt;&gt;"",$AQ2246&lt;&gt;""),IF(COUNTIFS($B$6:$B$3005,$B2246,$C$6:$C$3005,$C2246,$D$6:$D$3005,$D2246)&gt;1,"同じ月の請求が重複しています／",""),"")&amp;IF(AND(N($E2246)&gt;0,$AB2246&lt;&gt;"",$AB2246&lt;&gt;"×",$AE2246=0,$AD2246=""),"計算額が下限以下のため不支給／",""))</f>
        <v/>
      </c>
      <c r="AN2246" s="12" t="n"/>
      <c r="AO2246" s="14">
        <f>IF($AF2246="保留中",COUNTIF($AF$6:$AF2246,"保留中"),"")</f>
        <v/>
      </c>
      <c r="AP2246" s="14">
        <f>IF($AQ2246="","",IF(SUMPRODUCT(MAX((職員マスタ!$A$6:$A$405=$B2246)*(((職員マスタ!$G$6:$G$405="")+(職員マスタ!$G$6:$G$405&lt;=EOMONTH($AQ2246,0)))&gt;0)*(((職員マスタ!$H$6:$H$405="")+(職員マスタ!$H$6:$H$405&gt;=$AQ2246))&gt;0)*(ROW(職員マスタ!$A$6:$A$405)-5)))&gt;0,SUMPRODUCT(MAX((職員マスタ!$A$6:$A$405=$B2246)*(((職員マスタ!$G$6:$G$405="")+(職員マスタ!$G$6:$G$405&lt;=EOMONTH($AQ2246,0)))&gt;0)*(((職員マスタ!$H$6:$H$405="")+(職員マスタ!$H$6:$H$405&gt;=$AQ2246))&gt;0)*(ROW(職員マスタ!$A$6:$A$405)-5))),IFERROR(MATCH($B2246,職員マスタ!$A$6:$A$405,0),"")))</f>
        <v/>
      </c>
      <c r="AQ2246" s="16">
        <f>IF(OR($B2246="",$C2246="",$D2246=""),"",DATE($C2246+2018,$D2246,1))</f>
        <v/>
      </c>
    </row>
    <row r="2247">
      <c r="A2247" s="11" t="n"/>
      <c r="B2247" s="12" t="n"/>
      <c r="C2247" s="12" t="n"/>
      <c r="D2247" s="12" t="n"/>
      <c r="E2247" s="13" t="n"/>
      <c r="F2247" s="12" t="n"/>
      <c r="G2247" s="13" t="n"/>
      <c r="H2247" s="12" t="n"/>
      <c r="I2247" s="12" t="n"/>
      <c r="J2247" s="12" t="n"/>
      <c r="K2247" s="12" t="n"/>
      <c r="L2247" s="11" t="n"/>
      <c r="M2247" s="11" t="n"/>
      <c r="N2247" s="11" t="n"/>
      <c r="O2247" s="11" t="n"/>
      <c r="P2247" s="12" t="n"/>
      <c r="Q2247" s="11" t="n"/>
      <c r="R2247" s="12" t="n"/>
      <c r="S2247" s="11" t="n"/>
      <c r="T2247" s="12" t="n"/>
      <c r="U2247" s="12" t="n"/>
      <c r="V2247" s="12" t="n"/>
      <c r="W2247" s="13" t="n"/>
      <c r="X2247" s="14">
        <f>IF($AP2247="",IF($B2247="","",$H2247),IF(INDEX(職員マスタ!$B$6:$B$405,$AP2247)="",$H2247,INDEX(職員マスタ!$B$6:$B$405,$AP2247)))</f>
        <v/>
      </c>
      <c r="Y2247" s="14">
        <f>IF($AP2247="",IF($B2247="","",$R2247),IF(INDEX(職員マスタ!$C$6:$C$405,$AP2247)="",$R2247,INDEX(職員マスタ!$C$6:$C$405,$AP2247)))</f>
        <v/>
      </c>
      <c r="Z2247" s="14">
        <f>IF($AQ2247="","","R"&amp;$C2247&amp;"."&amp;$D2247)</f>
        <v/>
      </c>
      <c r="AA2247" s="15">
        <f>IF(IF($AP2247="",FALSE,INDEX(職員マスタ!$K$6:$K$405,$AP2247)&lt;&gt;""),INDEX(職員マスタ!$K$6:$K$405,$AP2247),IF(N($W2247)&gt;0,$W2247,""))</f>
        <v/>
      </c>
      <c r="AB2247" s="14">
        <f>IF(OR($E2247="",$AA2247=""),"",IF($E2247&gt;=$AA2247,"×",IF($E2247&gt;=$AA2247*設定!$C$5,"△","○")))</f>
        <v/>
      </c>
      <c r="AC2247" s="15">
        <f>IF($AB2247="","",IF($AB2247="×",0,IF($AB2247="○",ROUNDDOWN($E2247*設定!$C$4,0),ROUNDDOWN($E2247*ROUND((9*$AA2247-9*$E2247)/(10*$E2247),4),0))))</f>
        <v/>
      </c>
      <c r="AD2247" s="13" t="n"/>
      <c r="AE2247" s="15">
        <f>IF($B2247="","",IF($AD2247&lt;&gt;"",$AD2247,IF($AC2247="","",IF($AC2247&lt;=設定!$C$3,0,$AC2247))))</f>
        <v/>
      </c>
      <c r="AF2247" s="14">
        <f>IF($B2247="","",IF(AND($AG2247&lt;&gt;"",$AI2247="",$AL2247=""),"保留中",IF($AL2247&lt;&gt;"",IF(N($AE2247)&gt;0,"支給済","不支給"),IF($AE2247="","要確認",IF($AE2247=0,"不支給","未処理")))))</f>
        <v/>
      </c>
      <c r="AG2247" s="12" t="n"/>
      <c r="AH2247" s="11" t="n"/>
      <c r="AI2247" s="11" t="n"/>
      <c r="AJ2247" s="11" t="n"/>
      <c r="AK2247" s="14">
        <f>IF(AND($AF2247="保留中",$AH2247&lt;&gt;""),TODAY()-$AH2247,"")</f>
        <v/>
      </c>
      <c r="AL2247" s="12" t="n"/>
      <c r="AM2247" s="14">
        <f>IF($B2247="","",IF($AQ2247="","対象年月が未入力／","")&amp;IF($B2247="","",IF($AP2247="","職員マスタに未登録の職員番号／",IF($AA2247="","標準報酬月額が未登録／","")&amp;IF(AND($AQ2247&lt;&gt;"",OR(AND(INDEX(職員マスタ!$G$6:$G$405,$AP2247)&lt;&gt;"",INDEX(職員マスタ!$G$6:$G$405,$AP2247)&gt;EOMONTH($AQ2247,0)),AND(INDEX(職員マスタ!$H$6:$H$405,$AP2247)&lt;&gt;"",INDEX(職員マスタ!$H$6:$H$405,$AP2247)&lt;$AQ2247))),"対象月が時短期間外／","")&amp;IF(AND(INDEX(職員マスタ!$K$6:$K$405,$AP2247)&lt;&gt;"",N($W2247)&gt;0,INDEX(職員マスタ!$K$6:$K$405,$AP2247)&lt;&gt;$W2247),"標準報酬月額が申請書と相違（台帳"&amp;TEXT(INDEX(職員マスタ!$K$6:$K$405,$AP2247),"#,##0")&amp;"円／申請書"&amp;TEXT($W2247,"#,##0")&amp;"円）／","")&amp;IF(AND(INDEX(職員マスタ!$F$6:$F$405,$AP2247)&lt;&gt;"",$AQ2247&lt;&gt;"",INDEX(職員マスタ!$F$6:$F$405,$AP2247)&lt;$AQ2247),"対象月に子が2歳到達済／","")&amp;IF(AND($H2247&lt;&gt;"",INDEX(職員マスタ!$B$6:$B$405,$AP2247)&lt;&gt;"",SUBSTITUTE(SUBSTITUTE($H2247," ","")," ","")&lt;&gt;SUBSTITUTE(SUBSTITUTE(INDEX(職員マスタ!$B$6:$B$405,$AP2247)," ","")," ","")),"氏名がマスタと相違／","")&amp;IF(AND($Q2247&lt;&gt;"",INDEX(職員マスタ!$E$6:$E$405,$AP2247)&lt;&gt;"",$Q2247&lt;&gt;INDEX(職員マスタ!$E$6:$E$405,$AP2247)),"子の生年月日がマスタと相違／","")&amp;IF(AND($L2247&lt;&gt;"",INDEX(職員マスタ!$G$6:$G$405,$AP2247)&lt;&gt;"",$L2247&lt;&gt;INDEX(職員マスタ!$G$6:$G$405,$AP2247)),"時短開始日がマスタと相違／","")&amp;IF(AND($M2247&lt;&gt;"",INDEX(職員マスタ!$H$6:$H$405,$AP2247)&lt;&gt;"",$M2247&lt;&gt;INDEX(職員マスタ!$H$6:$H$405,$AP2247)),"時短終了日がマスタと相違／","")))&amp;IF(AND($B2247&lt;&gt;"",$E2247=""),"報酬額が未入力／","")&amp;IF(N($U2247)&gt;0,"申請書に入力エラーが残っています／","")&amp;IF(AND($B2247&lt;&gt;"",$AQ2247&lt;&gt;""),IF(COUNTIFS($B$6:$B$3005,$B2247,$C$6:$C$3005,$C2247,$D$6:$D$3005,$D2247)&gt;1,"同じ月の請求が重複しています／",""),"")&amp;IF(AND(N($E2247)&gt;0,$AB2247&lt;&gt;"",$AB2247&lt;&gt;"×",$AE2247=0,$AD2247=""),"計算額が下限以下のため不支給／",""))</f>
        <v/>
      </c>
      <c r="AN2247" s="12" t="n"/>
      <c r="AO2247" s="14">
        <f>IF($AF2247="保留中",COUNTIF($AF$6:$AF2247,"保留中"),"")</f>
        <v/>
      </c>
      <c r="AP2247" s="14">
        <f>IF($AQ2247="","",IF(SUMPRODUCT(MAX((職員マスタ!$A$6:$A$405=$B2247)*(((職員マスタ!$G$6:$G$405="")+(職員マスタ!$G$6:$G$405&lt;=EOMONTH($AQ2247,0)))&gt;0)*(((職員マスタ!$H$6:$H$405="")+(職員マスタ!$H$6:$H$405&gt;=$AQ2247))&gt;0)*(ROW(職員マスタ!$A$6:$A$405)-5)))&gt;0,SUMPRODUCT(MAX((職員マスタ!$A$6:$A$405=$B2247)*(((職員マスタ!$G$6:$G$405="")+(職員マスタ!$G$6:$G$405&lt;=EOMONTH($AQ2247,0)))&gt;0)*(((職員マスタ!$H$6:$H$405="")+(職員マスタ!$H$6:$H$405&gt;=$AQ2247))&gt;0)*(ROW(職員マスタ!$A$6:$A$405)-5))),IFERROR(MATCH($B2247,職員マスタ!$A$6:$A$405,0),"")))</f>
        <v/>
      </c>
      <c r="AQ2247" s="16">
        <f>IF(OR($B2247="",$C2247="",$D2247=""),"",DATE($C2247+2018,$D2247,1))</f>
        <v/>
      </c>
    </row>
    <row r="2248">
      <c r="A2248" s="11" t="n"/>
      <c r="B2248" s="12" t="n"/>
      <c r="C2248" s="12" t="n"/>
      <c r="D2248" s="12" t="n"/>
      <c r="E2248" s="13" t="n"/>
      <c r="F2248" s="12" t="n"/>
      <c r="G2248" s="13" t="n"/>
      <c r="H2248" s="12" t="n"/>
      <c r="I2248" s="12" t="n"/>
      <c r="J2248" s="12" t="n"/>
      <c r="K2248" s="12" t="n"/>
      <c r="L2248" s="11" t="n"/>
      <c r="M2248" s="11" t="n"/>
      <c r="N2248" s="11" t="n"/>
      <c r="O2248" s="11" t="n"/>
      <c r="P2248" s="12" t="n"/>
      <c r="Q2248" s="11" t="n"/>
      <c r="R2248" s="12" t="n"/>
      <c r="S2248" s="11" t="n"/>
      <c r="T2248" s="12" t="n"/>
      <c r="U2248" s="12" t="n"/>
      <c r="V2248" s="12" t="n"/>
      <c r="W2248" s="13" t="n"/>
      <c r="X2248" s="14">
        <f>IF($AP2248="",IF($B2248="","",$H2248),IF(INDEX(職員マスタ!$B$6:$B$405,$AP2248)="",$H2248,INDEX(職員マスタ!$B$6:$B$405,$AP2248)))</f>
        <v/>
      </c>
      <c r="Y2248" s="14">
        <f>IF($AP2248="",IF($B2248="","",$R2248),IF(INDEX(職員マスタ!$C$6:$C$405,$AP2248)="",$R2248,INDEX(職員マスタ!$C$6:$C$405,$AP2248)))</f>
        <v/>
      </c>
      <c r="Z2248" s="14">
        <f>IF($AQ2248="","","R"&amp;$C2248&amp;"."&amp;$D2248)</f>
        <v/>
      </c>
      <c r="AA2248" s="15">
        <f>IF(IF($AP2248="",FALSE,INDEX(職員マスタ!$K$6:$K$405,$AP2248)&lt;&gt;""),INDEX(職員マスタ!$K$6:$K$405,$AP2248),IF(N($W2248)&gt;0,$W2248,""))</f>
        <v/>
      </c>
      <c r="AB2248" s="14">
        <f>IF(OR($E2248="",$AA2248=""),"",IF($E2248&gt;=$AA2248,"×",IF($E2248&gt;=$AA2248*設定!$C$5,"△","○")))</f>
        <v/>
      </c>
      <c r="AC2248" s="15">
        <f>IF($AB2248="","",IF($AB2248="×",0,IF($AB2248="○",ROUNDDOWN($E2248*設定!$C$4,0),ROUNDDOWN($E2248*ROUND((9*$AA2248-9*$E2248)/(10*$E2248),4),0))))</f>
        <v/>
      </c>
      <c r="AD2248" s="13" t="n"/>
      <c r="AE2248" s="15">
        <f>IF($B2248="","",IF($AD2248&lt;&gt;"",$AD2248,IF($AC2248="","",IF($AC2248&lt;=設定!$C$3,0,$AC2248))))</f>
        <v/>
      </c>
      <c r="AF2248" s="14">
        <f>IF($B2248="","",IF(AND($AG2248&lt;&gt;"",$AI2248="",$AL2248=""),"保留中",IF($AL2248&lt;&gt;"",IF(N($AE2248)&gt;0,"支給済","不支給"),IF($AE2248="","要確認",IF($AE2248=0,"不支給","未処理")))))</f>
        <v/>
      </c>
      <c r="AG2248" s="12" t="n"/>
      <c r="AH2248" s="11" t="n"/>
      <c r="AI2248" s="11" t="n"/>
      <c r="AJ2248" s="11" t="n"/>
      <c r="AK2248" s="14">
        <f>IF(AND($AF2248="保留中",$AH2248&lt;&gt;""),TODAY()-$AH2248,"")</f>
        <v/>
      </c>
      <c r="AL2248" s="12" t="n"/>
      <c r="AM2248" s="14">
        <f>IF($B2248="","",IF($AQ2248="","対象年月が未入力／","")&amp;IF($B2248="","",IF($AP2248="","職員マスタに未登録の職員番号／",IF($AA2248="","標準報酬月額が未登録／","")&amp;IF(AND($AQ2248&lt;&gt;"",OR(AND(INDEX(職員マスタ!$G$6:$G$405,$AP2248)&lt;&gt;"",INDEX(職員マスタ!$G$6:$G$405,$AP2248)&gt;EOMONTH($AQ2248,0)),AND(INDEX(職員マスタ!$H$6:$H$405,$AP2248)&lt;&gt;"",INDEX(職員マスタ!$H$6:$H$405,$AP2248)&lt;$AQ2248))),"対象月が時短期間外／","")&amp;IF(AND(INDEX(職員マスタ!$K$6:$K$405,$AP2248)&lt;&gt;"",N($W2248)&gt;0,INDEX(職員マスタ!$K$6:$K$405,$AP2248)&lt;&gt;$W2248),"標準報酬月額が申請書と相違（台帳"&amp;TEXT(INDEX(職員マスタ!$K$6:$K$405,$AP2248),"#,##0")&amp;"円／申請書"&amp;TEXT($W2248,"#,##0")&amp;"円）／","")&amp;IF(AND(INDEX(職員マスタ!$F$6:$F$405,$AP2248)&lt;&gt;"",$AQ2248&lt;&gt;"",INDEX(職員マスタ!$F$6:$F$405,$AP2248)&lt;$AQ2248),"対象月に子が2歳到達済／","")&amp;IF(AND($H2248&lt;&gt;"",INDEX(職員マスタ!$B$6:$B$405,$AP2248)&lt;&gt;"",SUBSTITUTE(SUBSTITUTE($H2248," ","")," ","")&lt;&gt;SUBSTITUTE(SUBSTITUTE(INDEX(職員マスタ!$B$6:$B$405,$AP2248)," ","")," ","")),"氏名がマスタと相違／","")&amp;IF(AND($Q2248&lt;&gt;"",INDEX(職員マスタ!$E$6:$E$405,$AP2248)&lt;&gt;"",$Q2248&lt;&gt;INDEX(職員マスタ!$E$6:$E$405,$AP2248)),"子の生年月日がマスタと相違／","")&amp;IF(AND($L2248&lt;&gt;"",INDEX(職員マスタ!$G$6:$G$405,$AP2248)&lt;&gt;"",$L2248&lt;&gt;INDEX(職員マスタ!$G$6:$G$405,$AP2248)),"時短開始日がマスタと相違／","")&amp;IF(AND($M2248&lt;&gt;"",INDEX(職員マスタ!$H$6:$H$405,$AP2248)&lt;&gt;"",$M2248&lt;&gt;INDEX(職員マスタ!$H$6:$H$405,$AP2248)),"時短終了日がマスタと相違／","")))&amp;IF(AND($B2248&lt;&gt;"",$E2248=""),"報酬額が未入力／","")&amp;IF(N($U2248)&gt;0,"申請書に入力エラーが残っています／","")&amp;IF(AND($B2248&lt;&gt;"",$AQ2248&lt;&gt;""),IF(COUNTIFS($B$6:$B$3005,$B2248,$C$6:$C$3005,$C2248,$D$6:$D$3005,$D2248)&gt;1,"同じ月の請求が重複しています／",""),"")&amp;IF(AND(N($E2248)&gt;0,$AB2248&lt;&gt;"",$AB2248&lt;&gt;"×",$AE2248=0,$AD2248=""),"計算額が下限以下のため不支給／",""))</f>
        <v/>
      </c>
      <c r="AN2248" s="12" t="n"/>
      <c r="AO2248" s="14">
        <f>IF($AF2248="保留中",COUNTIF($AF$6:$AF2248,"保留中"),"")</f>
        <v/>
      </c>
      <c r="AP2248" s="14">
        <f>IF($AQ2248="","",IF(SUMPRODUCT(MAX((職員マスタ!$A$6:$A$405=$B2248)*(((職員マスタ!$G$6:$G$405="")+(職員マスタ!$G$6:$G$405&lt;=EOMONTH($AQ2248,0)))&gt;0)*(((職員マスタ!$H$6:$H$405="")+(職員マスタ!$H$6:$H$405&gt;=$AQ2248))&gt;0)*(ROW(職員マスタ!$A$6:$A$405)-5)))&gt;0,SUMPRODUCT(MAX((職員マスタ!$A$6:$A$405=$B2248)*(((職員マスタ!$G$6:$G$405="")+(職員マスタ!$G$6:$G$405&lt;=EOMONTH($AQ2248,0)))&gt;0)*(((職員マスタ!$H$6:$H$405="")+(職員マスタ!$H$6:$H$405&gt;=$AQ2248))&gt;0)*(ROW(職員マスタ!$A$6:$A$405)-5))),IFERROR(MATCH($B2248,職員マスタ!$A$6:$A$405,0),"")))</f>
        <v/>
      </c>
      <c r="AQ2248" s="16">
        <f>IF(OR($B2248="",$C2248="",$D2248=""),"",DATE($C2248+2018,$D2248,1))</f>
        <v/>
      </c>
    </row>
    <row r="2249">
      <c r="A2249" s="11" t="n"/>
      <c r="B2249" s="12" t="n"/>
      <c r="C2249" s="12" t="n"/>
      <c r="D2249" s="12" t="n"/>
      <c r="E2249" s="13" t="n"/>
      <c r="F2249" s="12" t="n"/>
      <c r="G2249" s="13" t="n"/>
      <c r="H2249" s="12" t="n"/>
      <c r="I2249" s="12" t="n"/>
      <c r="J2249" s="12" t="n"/>
      <c r="K2249" s="12" t="n"/>
      <c r="L2249" s="11" t="n"/>
      <c r="M2249" s="11" t="n"/>
      <c r="N2249" s="11" t="n"/>
      <c r="O2249" s="11" t="n"/>
      <c r="P2249" s="12" t="n"/>
      <c r="Q2249" s="11" t="n"/>
      <c r="R2249" s="12" t="n"/>
      <c r="S2249" s="11" t="n"/>
      <c r="T2249" s="12" t="n"/>
      <c r="U2249" s="12" t="n"/>
      <c r="V2249" s="12" t="n"/>
      <c r="W2249" s="13" t="n"/>
      <c r="X2249" s="14">
        <f>IF($AP2249="",IF($B2249="","",$H2249),IF(INDEX(職員マスタ!$B$6:$B$405,$AP2249)="",$H2249,INDEX(職員マスタ!$B$6:$B$405,$AP2249)))</f>
        <v/>
      </c>
      <c r="Y2249" s="14">
        <f>IF($AP2249="",IF($B2249="","",$R2249),IF(INDEX(職員マスタ!$C$6:$C$405,$AP2249)="",$R2249,INDEX(職員マスタ!$C$6:$C$405,$AP2249)))</f>
        <v/>
      </c>
      <c r="Z2249" s="14">
        <f>IF($AQ2249="","","R"&amp;$C2249&amp;"."&amp;$D2249)</f>
        <v/>
      </c>
      <c r="AA2249" s="15">
        <f>IF(IF($AP2249="",FALSE,INDEX(職員マスタ!$K$6:$K$405,$AP2249)&lt;&gt;""),INDEX(職員マスタ!$K$6:$K$405,$AP2249),IF(N($W2249)&gt;0,$W2249,""))</f>
        <v/>
      </c>
      <c r="AB2249" s="14">
        <f>IF(OR($E2249="",$AA2249=""),"",IF($E2249&gt;=$AA2249,"×",IF($E2249&gt;=$AA2249*設定!$C$5,"△","○")))</f>
        <v/>
      </c>
      <c r="AC2249" s="15">
        <f>IF($AB2249="","",IF($AB2249="×",0,IF($AB2249="○",ROUNDDOWN($E2249*設定!$C$4,0),ROUNDDOWN($E2249*ROUND((9*$AA2249-9*$E2249)/(10*$E2249),4),0))))</f>
        <v/>
      </c>
      <c r="AD2249" s="13" t="n"/>
      <c r="AE2249" s="15">
        <f>IF($B2249="","",IF($AD2249&lt;&gt;"",$AD2249,IF($AC2249="","",IF($AC2249&lt;=設定!$C$3,0,$AC2249))))</f>
        <v/>
      </c>
      <c r="AF2249" s="14">
        <f>IF($B2249="","",IF(AND($AG2249&lt;&gt;"",$AI2249="",$AL2249=""),"保留中",IF($AL2249&lt;&gt;"",IF(N($AE2249)&gt;0,"支給済","不支給"),IF($AE2249="","要確認",IF($AE2249=0,"不支給","未処理")))))</f>
        <v/>
      </c>
      <c r="AG2249" s="12" t="n"/>
      <c r="AH2249" s="11" t="n"/>
      <c r="AI2249" s="11" t="n"/>
      <c r="AJ2249" s="11" t="n"/>
      <c r="AK2249" s="14">
        <f>IF(AND($AF2249="保留中",$AH2249&lt;&gt;""),TODAY()-$AH2249,"")</f>
        <v/>
      </c>
      <c r="AL2249" s="12" t="n"/>
      <c r="AM2249" s="14">
        <f>IF($B2249="","",IF($AQ2249="","対象年月が未入力／","")&amp;IF($B2249="","",IF($AP2249="","職員マスタに未登録の職員番号／",IF($AA2249="","標準報酬月額が未登録／","")&amp;IF(AND($AQ2249&lt;&gt;"",OR(AND(INDEX(職員マスタ!$G$6:$G$405,$AP2249)&lt;&gt;"",INDEX(職員マスタ!$G$6:$G$405,$AP2249)&gt;EOMONTH($AQ2249,0)),AND(INDEX(職員マスタ!$H$6:$H$405,$AP2249)&lt;&gt;"",INDEX(職員マスタ!$H$6:$H$405,$AP2249)&lt;$AQ2249))),"対象月が時短期間外／","")&amp;IF(AND(INDEX(職員マスタ!$K$6:$K$405,$AP2249)&lt;&gt;"",N($W2249)&gt;0,INDEX(職員マスタ!$K$6:$K$405,$AP2249)&lt;&gt;$W2249),"標準報酬月額が申請書と相違（台帳"&amp;TEXT(INDEX(職員マスタ!$K$6:$K$405,$AP2249),"#,##0")&amp;"円／申請書"&amp;TEXT($W2249,"#,##0")&amp;"円）／","")&amp;IF(AND(INDEX(職員マスタ!$F$6:$F$405,$AP2249)&lt;&gt;"",$AQ2249&lt;&gt;"",INDEX(職員マスタ!$F$6:$F$405,$AP2249)&lt;$AQ2249),"対象月に子が2歳到達済／","")&amp;IF(AND($H2249&lt;&gt;"",INDEX(職員マスタ!$B$6:$B$405,$AP2249)&lt;&gt;"",SUBSTITUTE(SUBSTITUTE($H2249," ","")," ","")&lt;&gt;SUBSTITUTE(SUBSTITUTE(INDEX(職員マスタ!$B$6:$B$405,$AP2249)," ","")," ","")),"氏名がマスタと相違／","")&amp;IF(AND($Q2249&lt;&gt;"",INDEX(職員マスタ!$E$6:$E$405,$AP2249)&lt;&gt;"",$Q2249&lt;&gt;INDEX(職員マスタ!$E$6:$E$405,$AP2249)),"子の生年月日がマスタと相違／","")&amp;IF(AND($L2249&lt;&gt;"",INDEX(職員マスタ!$G$6:$G$405,$AP2249)&lt;&gt;"",$L2249&lt;&gt;INDEX(職員マスタ!$G$6:$G$405,$AP2249)),"時短開始日がマスタと相違／","")&amp;IF(AND($M2249&lt;&gt;"",INDEX(職員マスタ!$H$6:$H$405,$AP2249)&lt;&gt;"",$M2249&lt;&gt;INDEX(職員マスタ!$H$6:$H$405,$AP2249)),"時短終了日がマスタと相違／","")))&amp;IF(AND($B2249&lt;&gt;"",$E2249=""),"報酬額が未入力／","")&amp;IF(N($U2249)&gt;0,"申請書に入力エラーが残っています／","")&amp;IF(AND($B2249&lt;&gt;"",$AQ2249&lt;&gt;""),IF(COUNTIFS($B$6:$B$3005,$B2249,$C$6:$C$3005,$C2249,$D$6:$D$3005,$D2249)&gt;1,"同じ月の請求が重複しています／",""),"")&amp;IF(AND(N($E2249)&gt;0,$AB2249&lt;&gt;"",$AB2249&lt;&gt;"×",$AE2249=0,$AD2249=""),"計算額が下限以下のため不支給／",""))</f>
        <v/>
      </c>
      <c r="AN2249" s="12" t="n"/>
      <c r="AO2249" s="14">
        <f>IF($AF2249="保留中",COUNTIF($AF$6:$AF2249,"保留中"),"")</f>
        <v/>
      </c>
      <c r="AP2249" s="14">
        <f>IF($AQ2249="","",IF(SUMPRODUCT(MAX((職員マスタ!$A$6:$A$405=$B2249)*(((職員マスタ!$G$6:$G$405="")+(職員マスタ!$G$6:$G$405&lt;=EOMONTH($AQ2249,0)))&gt;0)*(((職員マスタ!$H$6:$H$405="")+(職員マスタ!$H$6:$H$405&gt;=$AQ2249))&gt;0)*(ROW(職員マスタ!$A$6:$A$405)-5)))&gt;0,SUMPRODUCT(MAX((職員マスタ!$A$6:$A$405=$B2249)*(((職員マスタ!$G$6:$G$405="")+(職員マスタ!$G$6:$G$405&lt;=EOMONTH($AQ2249,0)))&gt;0)*(((職員マスタ!$H$6:$H$405="")+(職員マスタ!$H$6:$H$405&gt;=$AQ2249))&gt;0)*(ROW(職員マスタ!$A$6:$A$405)-5))),IFERROR(MATCH($B2249,職員マスタ!$A$6:$A$405,0),"")))</f>
        <v/>
      </c>
      <c r="AQ2249" s="16">
        <f>IF(OR($B2249="",$C2249="",$D2249=""),"",DATE($C2249+2018,$D2249,1))</f>
        <v/>
      </c>
    </row>
    <row r="2250">
      <c r="A2250" s="11" t="n"/>
      <c r="B2250" s="12" t="n"/>
      <c r="C2250" s="12" t="n"/>
      <c r="D2250" s="12" t="n"/>
      <c r="E2250" s="13" t="n"/>
      <c r="F2250" s="12" t="n"/>
      <c r="G2250" s="13" t="n"/>
      <c r="H2250" s="12" t="n"/>
      <c r="I2250" s="12" t="n"/>
      <c r="J2250" s="12" t="n"/>
      <c r="K2250" s="12" t="n"/>
      <c r="L2250" s="11" t="n"/>
      <c r="M2250" s="11" t="n"/>
      <c r="N2250" s="11" t="n"/>
      <c r="O2250" s="11" t="n"/>
      <c r="P2250" s="12" t="n"/>
      <c r="Q2250" s="11" t="n"/>
      <c r="R2250" s="12" t="n"/>
      <c r="S2250" s="11" t="n"/>
      <c r="T2250" s="12" t="n"/>
      <c r="U2250" s="12" t="n"/>
      <c r="V2250" s="12" t="n"/>
      <c r="W2250" s="13" t="n"/>
      <c r="X2250" s="14">
        <f>IF($AP2250="",IF($B2250="","",$H2250),IF(INDEX(職員マスタ!$B$6:$B$405,$AP2250)="",$H2250,INDEX(職員マスタ!$B$6:$B$405,$AP2250)))</f>
        <v/>
      </c>
      <c r="Y2250" s="14">
        <f>IF($AP2250="",IF($B2250="","",$R2250),IF(INDEX(職員マスタ!$C$6:$C$405,$AP2250)="",$R2250,INDEX(職員マスタ!$C$6:$C$405,$AP2250)))</f>
        <v/>
      </c>
      <c r="Z2250" s="14">
        <f>IF($AQ2250="","","R"&amp;$C2250&amp;"."&amp;$D2250)</f>
        <v/>
      </c>
      <c r="AA2250" s="15">
        <f>IF(IF($AP2250="",FALSE,INDEX(職員マスタ!$K$6:$K$405,$AP2250)&lt;&gt;""),INDEX(職員マスタ!$K$6:$K$405,$AP2250),IF(N($W2250)&gt;0,$W2250,""))</f>
        <v/>
      </c>
      <c r="AB2250" s="14">
        <f>IF(OR($E2250="",$AA2250=""),"",IF($E2250&gt;=$AA2250,"×",IF($E2250&gt;=$AA2250*設定!$C$5,"△","○")))</f>
        <v/>
      </c>
      <c r="AC2250" s="15">
        <f>IF($AB2250="","",IF($AB2250="×",0,IF($AB2250="○",ROUNDDOWN($E2250*設定!$C$4,0),ROUNDDOWN($E2250*ROUND((9*$AA2250-9*$E2250)/(10*$E2250),4),0))))</f>
        <v/>
      </c>
      <c r="AD2250" s="13" t="n"/>
      <c r="AE2250" s="15">
        <f>IF($B2250="","",IF($AD2250&lt;&gt;"",$AD2250,IF($AC2250="","",IF($AC2250&lt;=設定!$C$3,0,$AC2250))))</f>
        <v/>
      </c>
      <c r="AF2250" s="14">
        <f>IF($B2250="","",IF(AND($AG2250&lt;&gt;"",$AI2250="",$AL2250=""),"保留中",IF($AL2250&lt;&gt;"",IF(N($AE2250)&gt;0,"支給済","不支給"),IF($AE2250="","要確認",IF($AE2250=0,"不支給","未処理")))))</f>
        <v/>
      </c>
      <c r="AG2250" s="12" t="n"/>
      <c r="AH2250" s="11" t="n"/>
      <c r="AI2250" s="11" t="n"/>
      <c r="AJ2250" s="11" t="n"/>
      <c r="AK2250" s="14">
        <f>IF(AND($AF2250="保留中",$AH2250&lt;&gt;""),TODAY()-$AH2250,"")</f>
        <v/>
      </c>
      <c r="AL2250" s="12" t="n"/>
      <c r="AM2250" s="14">
        <f>IF($B2250="","",IF($AQ2250="","対象年月が未入力／","")&amp;IF($B2250="","",IF($AP2250="","職員マスタに未登録の職員番号／",IF($AA2250="","標準報酬月額が未登録／","")&amp;IF(AND($AQ2250&lt;&gt;"",OR(AND(INDEX(職員マスタ!$G$6:$G$405,$AP2250)&lt;&gt;"",INDEX(職員マスタ!$G$6:$G$405,$AP2250)&gt;EOMONTH($AQ2250,0)),AND(INDEX(職員マスタ!$H$6:$H$405,$AP2250)&lt;&gt;"",INDEX(職員マスタ!$H$6:$H$405,$AP2250)&lt;$AQ2250))),"対象月が時短期間外／","")&amp;IF(AND(INDEX(職員マスタ!$K$6:$K$405,$AP2250)&lt;&gt;"",N($W2250)&gt;0,INDEX(職員マスタ!$K$6:$K$405,$AP2250)&lt;&gt;$W2250),"標準報酬月額が申請書と相違（台帳"&amp;TEXT(INDEX(職員マスタ!$K$6:$K$405,$AP2250),"#,##0")&amp;"円／申請書"&amp;TEXT($W2250,"#,##0")&amp;"円）／","")&amp;IF(AND(INDEX(職員マスタ!$F$6:$F$405,$AP2250)&lt;&gt;"",$AQ2250&lt;&gt;"",INDEX(職員マスタ!$F$6:$F$405,$AP2250)&lt;$AQ2250),"対象月に子が2歳到達済／","")&amp;IF(AND($H2250&lt;&gt;"",INDEX(職員マスタ!$B$6:$B$405,$AP2250)&lt;&gt;"",SUBSTITUTE(SUBSTITUTE($H2250," ","")," ","")&lt;&gt;SUBSTITUTE(SUBSTITUTE(INDEX(職員マスタ!$B$6:$B$405,$AP2250)," ","")," ","")),"氏名がマスタと相違／","")&amp;IF(AND($Q2250&lt;&gt;"",INDEX(職員マスタ!$E$6:$E$405,$AP2250)&lt;&gt;"",$Q2250&lt;&gt;INDEX(職員マスタ!$E$6:$E$405,$AP2250)),"子の生年月日がマスタと相違／","")&amp;IF(AND($L2250&lt;&gt;"",INDEX(職員マスタ!$G$6:$G$405,$AP2250)&lt;&gt;"",$L2250&lt;&gt;INDEX(職員マスタ!$G$6:$G$405,$AP2250)),"時短開始日がマスタと相違／","")&amp;IF(AND($M2250&lt;&gt;"",INDEX(職員マスタ!$H$6:$H$405,$AP2250)&lt;&gt;"",$M2250&lt;&gt;INDEX(職員マスタ!$H$6:$H$405,$AP2250)),"時短終了日がマスタと相違／","")))&amp;IF(AND($B2250&lt;&gt;"",$E2250=""),"報酬額が未入力／","")&amp;IF(N($U2250)&gt;0,"申請書に入力エラーが残っています／","")&amp;IF(AND($B2250&lt;&gt;"",$AQ2250&lt;&gt;""),IF(COUNTIFS($B$6:$B$3005,$B2250,$C$6:$C$3005,$C2250,$D$6:$D$3005,$D2250)&gt;1,"同じ月の請求が重複しています／",""),"")&amp;IF(AND(N($E2250)&gt;0,$AB2250&lt;&gt;"",$AB2250&lt;&gt;"×",$AE2250=0,$AD2250=""),"計算額が下限以下のため不支給／",""))</f>
        <v/>
      </c>
      <c r="AN2250" s="12" t="n"/>
      <c r="AO2250" s="14">
        <f>IF($AF2250="保留中",COUNTIF($AF$6:$AF2250,"保留中"),"")</f>
        <v/>
      </c>
      <c r="AP2250" s="14">
        <f>IF($AQ2250="","",IF(SUMPRODUCT(MAX((職員マスタ!$A$6:$A$405=$B2250)*(((職員マスタ!$G$6:$G$405="")+(職員マスタ!$G$6:$G$405&lt;=EOMONTH($AQ2250,0)))&gt;0)*(((職員マスタ!$H$6:$H$405="")+(職員マスタ!$H$6:$H$405&gt;=$AQ2250))&gt;0)*(ROW(職員マスタ!$A$6:$A$405)-5)))&gt;0,SUMPRODUCT(MAX((職員マスタ!$A$6:$A$405=$B2250)*(((職員マスタ!$G$6:$G$405="")+(職員マスタ!$G$6:$G$405&lt;=EOMONTH($AQ2250,0)))&gt;0)*(((職員マスタ!$H$6:$H$405="")+(職員マスタ!$H$6:$H$405&gt;=$AQ2250))&gt;0)*(ROW(職員マスタ!$A$6:$A$405)-5))),IFERROR(MATCH($B2250,職員マスタ!$A$6:$A$405,0),"")))</f>
        <v/>
      </c>
      <c r="AQ2250" s="16">
        <f>IF(OR($B2250="",$C2250="",$D2250=""),"",DATE($C2250+2018,$D2250,1))</f>
        <v/>
      </c>
    </row>
    <row r="2251">
      <c r="A2251" s="11" t="n"/>
      <c r="B2251" s="12" t="n"/>
      <c r="C2251" s="12" t="n"/>
      <c r="D2251" s="12" t="n"/>
      <c r="E2251" s="13" t="n"/>
      <c r="F2251" s="12" t="n"/>
      <c r="G2251" s="13" t="n"/>
      <c r="H2251" s="12" t="n"/>
      <c r="I2251" s="12" t="n"/>
      <c r="J2251" s="12" t="n"/>
      <c r="K2251" s="12" t="n"/>
      <c r="L2251" s="11" t="n"/>
      <c r="M2251" s="11" t="n"/>
      <c r="N2251" s="11" t="n"/>
      <c r="O2251" s="11" t="n"/>
      <c r="P2251" s="12" t="n"/>
      <c r="Q2251" s="11" t="n"/>
      <c r="R2251" s="12" t="n"/>
      <c r="S2251" s="11" t="n"/>
      <c r="T2251" s="12" t="n"/>
      <c r="U2251" s="12" t="n"/>
      <c r="V2251" s="12" t="n"/>
      <c r="W2251" s="13" t="n"/>
      <c r="X2251" s="14">
        <f>IF($AP2251="",IF($B2251="","",$H2251),IF(INDEX(職員マスタ!$B$6:$B$405,$AP2251)="",$H2251,INDEX(職員マスタ!$B$6:$B$405,$AP2251)))</f>
        <v/>
      </c>
      <c r="Y2251" s="14">
        <f>IF($AP2251="",IF($B2251="","",$R2251),IF(INDEX(職員マスタ!$C$6:$C$405,$AP2251)="",$R2251,INDEX(職員マスタ!$C$6:$C$405,$AP2251)))</f>
        <v/>
      </c>
      <c r="Z2251" s="14">
        <f>IF($AQ2251="","","R"&amp;$C2251&amp;"."&amp;$D2251)</f>
        <v/>
      </c>
      <c r="AA2251" s="15">
        <f>IF(IF($AP2251="",FALSE,INDEX(職員マスタ!$K$6:$K$405,$AP2251)&lt;&gt;""),INDEX(職員マスタ!$K$6:$K$405,$AP2251),IF(N($W2251)&gt;0,$W2251,""))</f>
        <v/>
      </c>
      <c r="AB2251" s="14">
        <f>IF(OR($E2251="",$AA2251=""),"",IF($E2251&gt;=$AA2251,"×",IF($E2251&gt;=$AA2251*設定!$C$5,"△","○")))</f>
        <v/>
      </c>
      <c r="AC2251" s="15">
        <f>IF($AB2251="","",IF($AB2251="×",0,IF($AB2251="○",ROUNDDOWN($E2251*設定!$C$4,0),ROUNDDOWN($E2251*ROUND((9*$AA2251-9*$E2251)/(10*$E2251),4),0))))</f>
        <v/>
      </c>
      <c r="AD2251" s="13" t="n"/>
      <c r="AE2251" s="15">
        <f>IF($B2251="","",IF($AD2251&lt;&gt;"",$AD2251,IF($AC2251="","",IF($AC2251&lt;=設定!$C$3,0,$AC2251))))</f>
        <v/>
      </c>
      <c r="AF2251" s="14">
        <f>IF($B2251="","",IF(AND($AG2251&lt;&gt;"",$AI2251="",$AL2251=""),"保留中",IF($AL2251&lt;&gt;"",IF(N($AE2251)&gt;0,"支給済","不支給"),IF($AE2251="","要確認",IF($AE2251=0,"不支給","未処理")))))</f>
        <v/>
      </c>
      <c r="AG2251" s="12" t="n"/>
      <c r="AH2251" s="11" t="n"/>
      <c r="AI2251" s="11" t="n"/>
      <c r="AJ2251" s="11" t="n"/>
      <c r="AK2251" s="14">
        <f>IF(AND($AF2251="保留中",$AH2251&lt;&gt;""),TODAY()-$AH2251,"")</f>
        <v/>
      </c>
      <c r="AL2251" s="12" t="n"/>
      <c r="AM2251" s="14">
        <f>IF($B2251="","",IF($AQ2251="","対象年月が未入力／","")&amp;IF($B2251="","",IF($AP2251="","職員マスタに未登録の職員番号／",IF($AA2251="","標準報酬月額が未登録／","")&amp;IF(AND($AQ2251&lt;&gt;"",OR(AND(INDEX(職員マスタ!$G$6:$G$405,$AP2251)&lt;&gt;"",INDEX(職員マスタ!$G$6:$G$405,$AP2251)&gt;EOMONTH($AQ2251,0)),AND(INDEX(職員マスタ!$H$6:$H$405,$AP2251)&lt;&gt;"",INDEX(職員マスタ!$H$6:$H$405,$AP2251)&lt;$AQ2251))),"対象月が時短期間外／","")&amp;IF(AND(INDEX(職員マスタ!$K$6:$K$405,$AP2251)&lt;&gt;"",N($W2251)&gt;0,INDEX(職員マスタ!$K$6:$K$405,$AP2251)&lt;&gt;$W2251),"標準報酬月額が申請書と相違（台帳"&amp;TEXT(INDEX(職員マスタ!$K$6:$K$405,$AP2251),"#,##0")&amp;"円／申請書"&amp;TEXT($W2251,"#,##0")&amp;"円）／","")&amp;IF(AND(INDEX(職員マスタ!$F$6:$F$405,$AP2251)&lt;&gt;"",$AQ2251&lt;&gt;"",INDEX(職員マスタ!$F$6:$F$405,$AP2251)&lt;$AQ2251),"対象月に子が2歳到達済／","")&amp;IF(AND($H2251&lt;&gt;"",INDEX(職員マスタ!$B$6:$B$405,$AP2251)&lt;&gt;"",SUBSTITUTE(SUBSTITUTE($H2251," ","")," ","")&lt;&gt;SUBSTITUTE(SUBSTITUTE(INDEX(職員マスタ!$B$6:$B$405,$AP2251)," ","")," ","")),"氏名がマスタと相違／","")&amp;IF(AND($Q2251&lt;&gt;"",INDEX(職員マスタ!$E$6:$E$405,$AP2251)&lt;&gt;"",$Q2251&lt;&gt;INDEX(職員マスタ!$E$6:$E$405,$AP2251)),"子の生年月日がマスタと相違／","")&amp;IF(AND($L2251&lt;&gt;"",INDEX(職員マスタ!$G$6:$G$405,$AP2251)&lt;&gt;"",$L2251&lt;&gt;INDEX(職員マスタ!$G$6:$G$405,$AP2251)),"時短開始日がマスタと相違／","")&amp;IF(AND($M2251&lt;&gt;"",INDEX(職員マスタ!$H$6:$H$405,$AP2251)&lt;&gt;"",$M2251&lt;&gt;INDEX(職員マスタ!$H$6:$H$405,$AP2251)),"時短終了日がマスタと相違／","")))&amp;IF(AND($B2251&lt;&gt;"",$E2251=""),"報酬額が未入力／","")&amp;IF(N($U2251)&gt;0,"申請書に入力エラーが残っています／","")&amp;IF(AND($B2251&lt;&gt;"",$AQ2251&lt;&gt;""),IF(COUNTIFS($B$6:$B$3005,$B2251,$C$6:$C$3005,$C2251,$D$6:$D$3005,$D2251)&gt;1,"同じ月の請求が重複しています／",""),"")&amp;IF(AND(N($E2251)&gt;0,$AB2251&lt;&gt;"",$AB2251&lt;&gt;"×",$AE2251=0,$AD2251=""),"計算額が下限以下のため不支給／",""))</f>
        <v/>
      </c>
      <c r="AN2251" s="12" t="n"/>
      <c r="AO2251" s="14">
        <f>IF($AF2251="保留中",COUNTIF($AF$6:$AF2251,"保留中"),"")</f>
        <v/>
      </c>
      <c r="AP2251" s="14">
        <f>IF($AQ2251="","",IF(SUMPRODUCT(MAX((職員マスタ!$A$6:$A$405=$B2251)*(((職員マスタ!$G$6:$G$405="")+(職員マスタ!$G$6:$G$405&lt;=EOMONTH($AQ2251,0)))&gt;0)*(((職員マスタ!$H$6:$H$405="")+(職員マスタ!$H$6:$H$405&gt;=$AQ2251))&gt;0)*(ROW(職員マスタ!$A$6:$A$405)-5)))&gt;0,SUMPRODUCT(MAX((職員マスタ!$A$6:$A$405=$B2251)*(((職員マスタ!$G$6:$G$405="")+(職員マスタ!$G$6:$G$405&lt;=EOMONTH($AQ2251,0)))&gt;0)*(((職員マスタ!$H$6:$H$405="")+(職員マスタ!$H$6:$H$405&gt;=$AQ2251))&gt;0)*(ROW(職員マスタ!$A$6:$A$405)-5))),IFERROR(MATCH($B2251,職員マスタ!$A$6:$A$405,0),"")))</f>
        <v/>
      </c>
      <c r="AQ2251" s="16">
        <f>IF(OR($B2251="",$C2251="",$D2251=""),"",DATE($C2251+2018,$D2251,1))</f>
        <v/>
      </c>
    </row>
    <row r="2252">
      <c r="A2252" s="11" t="n"/>
      <c r="B2252" s="12" t="n"/>
      <c r="C2252" s="12" t="n"/>
      <c r="D2252" s="12" t="n"/>
      <c r="E2252" s="13" t="n"/>
      <c r="F2252" s="12" t="n"/>
      <c r="G2252" s="13" t="n"/>
      <c r="H2252" s="12" t="n"/>
      <c r="I2252" s="12" t="n"/>
      <c r="J2252" s="12" t="n"/>
      <c r="K2252" s="12" t="n"/>
      <c r="L2252" s="11" t="n"/>
      <c r="M2252" s="11" t="n"/>
      <c r="N2252" s="11" t="n"/>
      <c r="O2252" s="11" t="n"/>
      <c r="P2252" s="12" t="n"/>
      <c r="Q2252" s="11" t="n"/>
      <c r="R2252" s="12" t="n"/>
      <c r="S2252" s="11" t="n"/>
      <c r="T2252" s="12" t="n"/>
      <c r="U2252" s="12" t="n"/>
      <c r="V2252" s="12" t="n"/>
      <c r="W2252" s="13" t="n"/>
      <c r="X2252" s="14">
        <f>IF($AP2252="",IF($B2252="","",$H2252),IF(INDEX(職員マスタ!$B$6:$B$405,$AP2252)="",$H2252,INDEX(職員マスタ!$B$6:$B$405,$AP2252)))</f>
        <v/>
      </c>
      <c r="Y2252" s="14">
        <f>IF($AP2252="",IF($B2252="","",$R2252),IF(INDEX(職員マスタ!$C$6:$C$405,$AP2252)="",$R2252,INDEX(職員マスタ!$C$6:$C$405,$AP2252)))</f>
        <v/>
      </c>
      <c r="Z2252" s="14">
        <f>IF($AQ2252="","","R"&amp;$C2252&amp;"."&amp;$D2252)</f>
        <v/>
      </c>
      <c r="AA2252" s="15">
        <f>IF(IF($AP2252="",FALSE,INDEX(職員マスタ!$K$6:$K$405,$AP2252)&lt;&gt;""),INDEX(職員マスタ!$K$6:$K$405,$AP2252),IF(N($W2252)&gt;0,$W2252,""))</f>
        <v/>
      </c>
      <c r="AB2252" s="14">
        <f>IF(OR($E2252="",$AA2252=""),"",IF($E2252&gt;=$AA2252,"×",IF($E2252&gt;=$AA2252*設定!$C$5,"△","○")))</f>
        <v/>
      </c>
      <c r="AC2252" s="15">
        <f>IF($AB2252="","",IF($AB2252="×",0,IF($AB2252="○",ROUNDDOWN($E2252*設定!$C$4,0),ROUNDDOWN($E2252*ROUND((9*$AA2252-9*$E2252)/(10*$E2252),4),0))))</f>
        <v/>
      </c>
      <c r="AD2252" s="13" t="n"/>
      <c r="AE2252" s="15">
        <f>IF($B2252="","",IF($AD2252&lt;&gt;"",$AD2252,IF($AC2252="","",IF($AC2252&lt;=設定!$C$3,0,$AC2252))))</f>
        <v/>
      </c>
      <c r="AF2252" s="14">
        <f>IF($B2252="","",IF(AND($AG2252&lt;&gt;"",$AI2252="",$AL2252=""),"保留中",IF($AL2252&lt;&gt;"",IF(N($AE2252)&gt;0,"支給済","不支給"),IF($AE2252="","要確認",IF($AE2252=0,"不支給","未処理")))))</f>
        <v/>
      </c>
      <c r="AG2252" s="12" t="n"/>
      <c r="AH2252" s="11" t="n"/>
      <c r="AI2252" s="11" t="n"/>
      <c r="AJ2252" s="11" t="n"/>
      <c r="AK2252" s="14">
        <f>IF(AND($AF2252="保留中",$AH2252&lt;&gt;""),TODAY()-$AH2252,"")</f>
        <v/>
      </c>
      <c r="AL2252" s="12" t="n"/>
      <c r="AM2252" s="14">
        <f>IF($B2252="","",IF($AQ2252="","対象年月が未入力／","")&amp;IF($B2252="","",IF($AP2252="","職員マスタに未登録の職員番号／",IF($AA2252="","標準報酬月額が未登録／","")&amp;IF(AND($AQ2252&lt;&gt;"",OR(AND(INDEX(職員マスタ!$G$6:$G$405,$AP2252)&lt;&gt;"",INDEX(職員マスタ!$G$6:$G$405,$AP2252)&gt;EOMONTH($AQ2252,0)),AND(INDEX(職員マスタ!$H$6:$H$405,$AP2252)&lt;&gt;"",INDEX(職員マスタ!$H$6:$H$405,$AP2252)&lt;$AQ2252))),"対象月が時短期間外／","")&amp;IF(AND(INDEX(職員マスタ!$K$6:$K$405,$AP2252)&lt;&gt;"",N($W2252)&gt;0,INDEX(職員マスタ!$K$6:$K$405,$AP2252)&lt;&gt;$W2252),"標準報酬月額が申請書と相違（台帳"&amp;TEXT(INDEX(職員マスタ!$K$6:$K$405,$AP2252),"#,##0")&amp;"円／申請書"&amp;TEXT($W2252,"#,##0")&amp;"円）／","")&amp;IF(AND(INDEX(職員マスタ!$F$6:$F$405,$AP2252)&lt;&gt;"",$AQ2252&lt;&gt;"",INDEX(職員マスタ!$F$6:$F$405,$AP2252)&lt;$AQ2252),"対象月に子が2歳到達済／","")&amp;IF(AND($H2252&lt;&gt;"",INDEX(職員マスタ!$B$6:$B$405,$AP2252)&lt;&gt;"",SUBSTITUTE(SUBSTITUTE($H2252," ","")," ","")&lt;&gt;SUBSTITUTE(SUBSTITUTE(INDEX(職員マスタ!$B$6:$B$405,$AP2252)," ","")," ","")),"氏名がマスタと相違／","")&amp;IF(AND($Q2252&lt;&gt;"",INDEX(職員マスタ!$E$6:$E$405,$AP2252)&lt;&gt;"",$Q2252&lt;&gt;INDEX(職員マスタ!$E$6:$E$405,$AP2252)),"子の生年月日がマスタと相違／","")&amp;IF(AND($L2252&lt;&gt;"",INDEX(職員マスタ!$G$6:$G$405,$AP2252)&lt;&gt;"",$L2252&lt;&gt;INDEX(職員マスタ!$G$6:$G$405,$AP2252)),"時短開始日がマスタと相違／","")&amp;IF(AND($M2252&lt;&gt;"",INDEX(職員マスタ!$H$6:$H$405,$AP2252)&lt;&gt;"",$M2252&lt;&gt;INDEX(職員マスタ!$H$6:$H$405,$AP2252)),"時短終了日がマスタと相違／","")))&amp;IF(AND($B2252&lt;&gt;"",$E2252=""),"報酬額が未入力／","")&amp;IF(N($U2252)&gt;0,"申請書に入力エラーが残っています／","")&amp;IF(AND($B2252&lt;&gt;"",$AQ2252&lt;&gt;""),IF(COUNTIFS($B$6:$B$3005,$B2252,$C$6:$C$3005,$C2252,$D$6:$D$3005,$D2252)&gt;1,"同じ月の請求が重複しています／",""),"")&amp;IF(AND(N($E2252)&gt;0,$AB2252&lt;&gt;"",$AB2252&lt;&gt;"×",$AE2252=0,$AD2252=""),"計算額が下限以下のため不支給／",""))</f>
        <v/>
      </c>
      <c r="AN2252" s="12" t="n"/>
      <c r="AO2252" s="14">
        <f>IF($AF2252="保留中",COUNTIF($AF$6:$AF2252,"保留中"),"")</f>
        <v/>
      </c>
      <c r="AP2252" s="14">
        <f>IF($AQ2252="","",IF(SUMPRODUCT(MAX((職員マスタ!$A$6:$A$405=$B2252)*(((職員マスタ!$G$6:$G$405="")+(職員マスタ!$G$6:$G$405&lt;=EOMONTH($AQ2252,0)))&gt;0)*(((職員マスタ!$H$6:$H$405="")+(職員マスタ!$H$6:$H$405&gt;=$AQ2252))&gt;0)*(ROW(職員マスタ!$A$6:$A$405)-5)))&gt;0,SUMPRODUCT(MAX((職員マスタ!$A$6:$A$405=$B2252)*(((職員マスタ!$G$6:$G$405="")+(職員マスタ!$G$6:$G$405&lt;=EOMONTH($AQ2252,0)))&gt;0)*(((職員マスタ!$H$6:$H$405="")+(職員マスタ!$H$6:$H$405&gt;=$AQ2252))&gt;0)*(ROW(職員マスタ!$A$6:$A$405)-5))),IFERROR(MATCH($B2252,職員マスタ!$A$6:$A$405,0),"")))</f>
        <v/>
      </c>
      <c r="AQ2252" s="16">
        <f>IF(OR($B2252="",$C2252="",$D2252=""),"",DATE($C2252+2018,$D2252,1))</f>
        <v/>
      </c>
    </row>
    <row r="2253">
      <c r="A2253" s="11" t="n"/>
      <c r="B2253" s="12" t="n"/>
      <c r="C2253" s="12" t="n"/>
      <c r="D2253" s="12" t="n"/>
      <c r="E2253" s="13" t="n"/>
      <c r="F2253" s="12" t="n"/>
      <c r="G2253" s="13" t="n"/>
      <c r="H2253" s="12" t="n"/>
      <c r="I2253" s="12" t="n"/>
      <c r="J2253" s="12" t="n"/>
      <c r="K2253" s="12" t="n"/>
      <c r="L2253" s="11" t="n"/>
      <c r="M2253" s="11" t="n"/>
      <c r="N2253" s="11" t="n"/>
      <c r="O2253" s="11" t="n"/>
      <c r="P2253" s="12" t="n"/>
      <c r="Q2253" s="11" t="n"/>
      <c r="R2253" s="12" t="n"/>
      <c r="S2253" s="11" t="n"/>
      <c r="T2253" s="12" t="n"/>
      <c r="U2253" s="12" t="n"/>
      <c r="V2253" s="12" t="n"/>
      <c r="W2253" s="13" t="n"/>
      <c r="X2253" s="14">
        <f>IF($AP2253="",IF($B2253="","",$H2253),IF(INDEX(職員マスタ!$B$6:$B$405,$AP2253)="",$H2253,INDEX(職員マスタ!$B$6:$B$405,$AP2253)))</f>
        <v/>
      </c>
      <c r="Y2253" s="14">
        <f>IF($AP2253="",IF($B2253="","",$R2253),IF(INDEX(職員マスタ!$C$6:$C$405,$AP2253)="",$R2253,INDEX(職員マスタ!$C$6:$C$405,$AP2253)))</f>
        <v/>
      </c>
      <c r="Z2253" s="14">
        <f>IF($AQ2253="","","R"&amp;$C2253&amp;"."&amp;$D2253)</f>
        <v/>
      </c>
      <c r="AA2253" s="15">
        <f>IF(IF($AP2253="",FALSE,INDEX(職員マスタ!$K$6:$K$405,$AP2253)&lt;&gt;""),INDEX(職員マスタ!$K$6:$K$405,$AP2253),IF(N($W2253)&gt;0,$W2253,""))</f>
        <v/>
      </c>
      <c r="AB2253" s="14">
        <f>IF(OR($E2253="",$AA2253=""),"",IF($E2253&gt;=$AA2253,"×",IF($E2253&gt;=$AA2253*設定!$C$5,"△","○")))</f>
        <v/>
      </c>
      <c r="AC2253" s="15">
        <f>IF($AB2253="","",IF($AB2253="×",0,IF($AB2253="○",ROUNDDOWN($E2253*設定!$C$4,0),ROUNDDOWN($E2253*ROUND((9*$AA2253-9*$E2253)/(10*$E2253),4),0))))</f>
        <v/>
      </c>
      <c r="AD2253" s="13" t="n"/>
      <c r="AE2253" s="15">
        <f>IF($B2253="","",IF($AD2253&lt;&gt;"",$AD2253,IF($AC2253="","",IF($AC2253&lt;=設定!$C$3,0,$AC2253))))</f>
        <v/>
      </c>
      <c r="AF2253" s="14">
        <f>IF($B2253="","",IF(AND($AG2253&lt;&gt;"",$AI2253="",$AL2253=""),"保留中",IF($AL2253&lt;&gt;"",IF(N($AE2253)&gt;0,"支給済","不支給"),IF($AE2253="","要確認",IF($AE2253=0,"不支給","未処理")))))</f>
        <v/>
      </c>
      <c r="AG2253" s="12" t="n"/>
      <c r="AH2253" s="11" t="n"/>
      <c r="AI2253" s="11" t="n"/>
      <c r="AJ2253" s="11" t="n"/>
      <c r="AK2253" s="14">
        <f>IF(AND($AF2253="保留中",$AH2253&lt;&gt;""),TODAY()-$AH2253,"")</f>
        <v/>
      </c>
      <c r="AL2253" s="12" t="n"/>
      <c r="AM2253" s="14">
        <f>IF($B2253="","",IF($AQ2253="","対象年月が未入力／","")&amp;IF($B2253="","",IF($AP2253="","職員マスタに未登録の職員番号／",IF($AA2253="","標準報酬月額が未登録／","")&amp;IF(AND($AQ2253&lt;&gt;"",OR(AND(INDEX(職員マスタ!$G$6:$G$405,$AP2253)&lt;&gt;"",INDEX(職員マスタ!$G$6:$G$405,$AP2253)&gt;EOMONTH($AQ2253,0)),AND(INDEX(職員マスタ!$H$6:$H$405,$AP2253)&lt;&gt;"",INDEX(職員マスタ!$H$6:$H$405,$AP2253)&lt;$AQ2253))),"対象月が時短期間外／","")&amp;IF(AND(INDEX(職員マスタ!$K$6:$K$405,$AP2253)&lt;&gt;"",N($W2253)&gt;0,INDEX(職員マスタ!$K$6:$K$405,$AP2253)&lt;&gt;$W2253),"標準報酬月額が申請書と相違（台帳"&amp;TEXT(INDEX(職員マスタ!$K$6:$K$405,$AP2253),"#,##0")&amp;"円／申請書"&amp;TEXT($W2253,"#,##0")&amp;"円）／","")&amp;IF(AND(INDEX(職員マスタ!$F$6:$F$405,$AP2253)&lt;&gt;"",$AQ2253&lt;&gt;"",INDEX(職員マスタ!$F$6:$F$405,$AP2253)&lt;$AQ2253),"対象月に子が2歳到達済／","")&amp;IF(AND($H2253&lt;&gt;"",INDEX(職員マスタ!$B$6:$B$405,$AP2253)&lt;&gt;"",SUBSTITUTE(SUBSTITUTE($H2253," ","")," ","")&lt;&gt;SUBSTITUTE(SUBSTITUTE(INDEX(職員マスタ!$B$6:$B$405,$AP2253)," ","")," ","")),"氏名がマスタと相違／","")&amp;IF(AND($Q2253&lt;&gt;"",INDEX(職員マスタ!$E$6:$E$405,$AP2253)&lt;&gt;"",$Q2253&lt;&gt;INDEX(職員マスタ!$E$6:$E$405,$AP2253)),"子の生年月日がマスタと相違／","")&amp;IF(AND($L2253&lt;&gt;"",INDEX(職員マスタ!$G$6:$G$405,$AP2253)&lt;&gt;"",$L2253&lt;&gt;INDEX(職員マスタ!$G$6:$G$405,$AP2253)),"時短開始日がマスタと相違／","")&amp;IF(AND($M2253&lt;&gt;"",INDEX(職員マスタ!$H$6:$H$405,$AP2253)&lt;&gt;"",$M2253&lt;&gt;INDEX(職員マスタ!$H$6:$H$405,$AP2253)),"時短終了日がマスタと相違／","")))&amp;IF(AND($B2253&lt;&gt;"",$E2253=""),"報酬額が未入力／","")&amp;IF(N($U2253)&gt;0,"申請書に入力エラーが残っています／","")&amp;IF(AND($B2253&lt;&gt;"",$AQ2253&lt;&gt;""),IF(COUNTIFS($B$6:$B$3005,$B2253,$C$6:$C$3005,$C2253,$D$6:$D$3005,$D2253)&gt;1,"同じ月の請求が重複しています／",""),"")&amp;IF(AND(N($E2253)&gt;0,$AB2253&lt;&gt;"",$AB2253&lt;&gt;"×",$AE2253=0,$AD2253=""),"計算額が下限以下のため不支給／",""))</f>
        <v/>
      </c>
      <c r="AN2253" s="12" t="n"/>
      <c r="AO2253" s="14">
        <f>IF($AF2253="保留中",COUNTIF($AF$6:$AF2253,"保留中"),"")</f>
        <v/>
      </c>
      <c r="AP2253" s="14">
        <f>IF($AQ2253="","",IF(SUMPRODUCT(MAX((職員マスタ!$A$6:$A$405=$B2253)*(((職員マスタ!$G$6:$G$405="")+(職員マスタ!$G$6:$G$405&lt;=EOMONTH($AQ2253,0)))&gt;0)*(((職員マスタ!$H$6:$H$405="")+(職員マスタ!$H$6:$H$405&gt;=$AQ2253))&gt;0)*(ROW(職員マスタ!$A$6:$A$405)-5)))&gt;0,SUMPRODUCT(MAX((職員マスタ!$A$6:$A$405=$B2253)*(((職員マスタ!$G$6:$G$405="")+(職員マスタ!$G$6:$G$405&lt;=EOMONTH($AQ2253,0)))&gt;0)*(((職員マスタ!$H$6:$H$405="")+(職員マスタ!$H$6:$H$405&gt;=$AQ2253))&gt;0)*(ROW(職員マスタ!$A$6:$A$405)-5))),IFERROR(MATCH($B2253,職員マスタ!$A$6:$A$405,0),"")))</f>
        <v/>
      </c>
      <c r="AQ2253" s="16">
        <f>IF(OR($B2253="",$C2253="",$D2253=""),"",DATE($C2253+2018,$D2253,1))</f>
        <v/>
      </c>
    </row>
    <row r="2254">
      <c r="A2254" s="11" t="n"/>
      <c r="B2254" s="12" t="n"/>
      <c r="C2254" s="12" t="n"/>
      <c r="D2254" s="12" t="n"/>
      <c r="E2254" s="13" t="n"/>
      <c r="F2254" s="12" t="n"/>
      <c r="G2254" s="13" t="n"/>
      <c r="H2254" s="12" t="n"/>
      <c r="I2254" s="12" t="n"/>
      <c r="J2254" s="12" t="n"/>
      <c r="K2254" s="12" t="n"/>
      <c r="L2254" s="11" t="n"/>
      <c r="M2254" s="11" t="n"/>
      <c r="N2254" s="11" t="n"/>
      <c r="O2254" s="11" t="n"/>
      <c r="P2254" s="12" t="n"/>
      <c r="Q2254" s="11" t="n"/>
      <c r="R2254" s="12" t="n"/>
      <c r="S2254" s="11" t="n"/>
      <c r="T2254" s="12" t="n"/>
      <c r="U2254" s="12" t="n"/>
      <c r="V2254" s="12" t="n"/>
      <c r="W2254" s="13" t="n"/>
      <c r="X2254" s="14">
        <f>IF($AP2254="",IF($B2254="","",$H2254),IF(INDEX(職員マスタ!$B$6:$B$405,$AP2254)="",$H2254,INDEX(職員マスタ!$B$6:$B$405,$AP2254)))</f>
        <v/>
      </c>
      <c r="Y2254" s="14">
        <f>IF($AP2254="",IF($B2254="","",$R2254),IF(INDEX(職員マスタ!$C$6:$C$405,$AP2254)="",$R2254,INDEX(職員マスタ!$C$6:$C$405,$AP2254)))</f>
        <v/>
      </c>
      <c r="Z2254" s="14">
        <f>IF($AQ2254="","","R"&amp;$C2254&amp;"."&amp;$D2254)</f>
        <v/>
      </c>
      <c r="AA2254" s="15">
        <f>IF(IF($AP2254="",FALSE,INDEX(職員マスタ!$K$6:$K$405,$AP2254)&lt;&gt;""),INDEX(職員マスタ!$K$6:$K$405,$AP2254),IF(N($W2254)&gt;0,$W2254,""))</f>
        <v/>
      </c>
      <c r="AB2254" s="14">
        <f>IF(OR($E2254="",$AA2254=""),"",IF($E2254&gt;=$AA2254,"×",IF($E2254&gt;=$AA2254*設定!$C$5,"△","○")))</f>
        <v/>
      </c>
      <c r="AC2254" s="15">
        <f>IF($AB2254="","",IF($AB2254="×",0,IF($AB2254="○",ROUNDDOWN($E2254*設定!$C$4,0),ROUNDDOWN($E2254*ROUND((9*$AA2254-9*$E2254)/(10*$E2254),4),0))))</f>
        <v/>
      </c>
      <c r="AD2254" s="13" t="n"/>
      <c r="AE2254" s="15">
        <f>IF($B2254="","",IF($AD2254&lt;&gt;"",$AD2254,IF($AC2254="","",IF($AC2254&lt;=設定!$C$3,0,$AC2254))))</f>
        <v/>
      </c>
      <c r="AF2254" s="14">
        <f>IF($B2254="","",IF(AND($AG2254&lt;&gt;"",$AI2254="",$AL2254=""),"保留中",IF($AL2254&lt;&gt;"",IF(N($AE2254)&gt;0,"支給済","不支給"),IF($AE2254="","要確認",IF($AE2254=0,"不支給","未処理")))))</f>
        <v/>
      </c>
      <c r="AG2254" s="12" t="n"/>
      <c r="AH2254" s="11" t="n"/>
      <c r="AI2254" s="11" t="n"/>
      <c r="AJ2254" s="11" t="n"/>
      <c r="AK2254" s="14">
        <f>IF(AND($AF2254="保留中",$AH2254&lt;&gt;""),TODAY()-$AH2254,"")</f>
        <v/>
      </c>
      <c r="AL2254" s="12" t="n"/>
      <c r="AM2254" s="14">
        <f>IF($B2254="","",IF($AQ2254="","対象年月が未入力／","")&amp;IF($B2254="","",IF($AP2254="","職員マスタに未登録の職員番号／",IF($AA2254="","標準報酬月額が未登録／","")&amp;IF(AND($AQ2254&lt;&gt;"",OR(AND(INDEX(職員マスタ!$G$6:$G$405,$AP2254)&lt;&gt;"",INDEX(職員マスタ!$G$6:$G$405,$AP2254)&gt;EOMONTH($AQ2254,0)),AND(INDEX(職員マスタ!$H$6:$H$405,$AP2254)&lt;&gt;"",INDEX(職員マスタ!$H$6:$H$405,$AP2254)&lt;$AQ2254))),"対象月が時短期間外／","")&amp;IF(AND(INDEX(職員マスタ!$K$6:$K$405,$AP2254)&lt;&gt;"",N($W2254)&gt;0,INDEX(職員マスタ!$K$6:$K$405,$AP2254)&lt;&gt;$W2254),"標準報酬月額が申請書と相違（台帳"&amp;TEXT(INDEX(職員マスタ!$K$6:$K$405,$AP2254),"#,##0")&amp;"円／申請書"&amp;TEXT($W2254,"#,##0")&amp;"円）／","")&amp;IF(AND(INDEX(職員マスタ!$F$6:$F$405,$AP2254)&lt;&gt;"",$AQ2254&lt;&gt;"",INDEX(職員マスタ!$F$6:$F$405,$AP2254)&lt;$AQ2254),"対象月に子が2歳到達済／","")&amp;IF(AND($H2254&lt;&gt;"",INDEX(職員マスタ!$B$6:$B$405,$AP2254)&lt;&gt;"",SUBSTITUTE(SUBSTITUTE($H2254," ","")," ","")&lt;&gt;SUBSTITUTE(SUBSTITUTE(INDEX(職員マスタ!$B$6:$B$405,$AP2254)," ","")," ","")),"氏名がマスタと相違／","")&amp;IF(AND($Q2254&lt;&gt;"",INDEX(職員マスタ!$E$6:$E$405,$AP2254)&lt;&gt;"",$Q2254&lt;&gt;INDEX(職員マスタ!$E$6:$E$405,$AP2254)),"子の生年月日がマスタと相違／","")&amp;IF(AND($L2254&lt;&gt;"",INDEX(職員マスタ!$G$6:$G$405,$AP2254)&lt;&gt;"",$L2254&lt;&gt;INDEX(職員マスタ!$G$6:$G$405,$AP2254)),"時短開始日がマスタと相違／","")&amp;IF(AND($M2254&lt;&gt;"",INDEX(職員マスタ!$H$6:$H$405,$AP2254)&lt;&gt;"",$M2254&lt;&gt;INDEX(職員マスタ!$H$6:$H$405,$AP2254)),"時短終了日がマスタと相違／","")))&amp;IF(AND($B2254&lt;&gt;"",$E2254=""),"報酬額が未入力／","")&amp;IF(N($U2254)&gt;0,"申請書に入力エラーが残っています／","")&amp;IF(AND($B2254&lt;&gt;"",$AQ2254&lt;&gt;""),IF(COUNTIFS($B$6:$B$3005,$B2254,$C$6:$C$3005,$C2254,$D$6:$D$3005,$D2254)&gt;1,"同じ月の請求が重複しています／",""),"")&amp;IF(AND(N($E2254)&gt;0,$AB2254&lt;&gt;"",$AB2254&lt;&gt;"×",$AE2254=0,$AD2254=""),"計算額が下限以下のため不支給／",""))</f>
        <v/>
      </c>
      <c r="AN2254" s="12" t="n"/>
      <c r="AO2254" s="14">
        <f>IF($AF2254="保留中",COUNTIF($AF$6:$AF2254,"保留中"),"")</f>
        <v/>
      </c>
      <c r="AP2254" s="14">
        <f>IF($AQ2254="","",IF(SUMPRODUCT(MAX((職員マスタ!$A$6:$A$405=$B2254)*(((職員マスタ!$G$6:$G$405="")+(職員マスタ!$G$6:$G$405&lt;=EOMONTH($AQ2254,0)))&gt;0)*(((職員マスタ!$H$6:$H$405="")+(職員マスタ!$H$6:$H$405&gt;=$AQ2254))&gt;0)*(ROW(職員マスタ!$A$6:$A$405)-5)))&gt;0,SUMPRODUCT(MAX((職員マスタ!$A$6:$A$405=$B2254)*(((職員マスタ!$G$6:$G$405="")+(職員マスタ!$G$6:$G$405&lt;=EOMONTH($AQ2254,0)))&gt;0)*(((職員マスタ!$H$6:$H$405="")+(職員マスタ!$H$6:$H$405&gt;=$AQ2254))&gt;0)*(ROW(職員マスタ!$A$6:$A$405)-5))),IFERROR(MATCH($B2254,職員マスタ!$A$6:$A$405,0),"")))</f>
        <v/>
      </c>
      <c r="AQ2254" s="16">
        <f>IF(OR($B2254="",$C2254="",$D2254=""),"",DATE($C2254+2018,$D2254,1))</f>
        <v/>
      </c>
    </row>
    <row r="2255">
      <c r="A2255" s="11" t="n"/>
      <c r="B2255" s="12" t="n"/>
      <c r="C2255" s="12" t="n"/>
      <c r="D2255" s="12" t="n"/>
      <c r="E2255" s="13" t="n"/>
      <c r="F2255" s="12" t="n"/>
      <c r="G2255" s="13" t="n"/>
      <c r="H2255" s="12" t="n"/>
      <c r="I2255" s="12" t="n"/>
      <c r="J2255" s="12" t="n"/>
      <c r="K2255" s="12" t="n"/>
      <c r="L2255" s="11" t="n"/>
      <c r="M2255" s="11" t="n"/>
      <c r="N2255" s="11" t="n"/>
      <c r="O2255" s="11" t="n"/>
      <c r="P2255" s="12" t="n"/>
      <c r="Q2255" s="11" t="n"/>
      <c r="R2255" s="12" t="n"/>
      <c r="S2255" s="11" t="n"/>
      <c r="T2255" s="12" t="n"/>
      <c r="U2255" s="12" t="n"/>
      <c r="V2255" s="12" t="n"/>
      <c r="W2255" s="13" t="n"/>
      <c r="X2255" s="14">
        <f>IF($AP2255="",IF($B2255="","",$H2255),IF(INDEX(職員マスタ!$B$6:$B$405,$AP2255)="",$H2255,INDEX(職員マスタ!$B$6:$B$405,$AP2255)))</f>
        <v/>
      </c>
      <c r="Y2255" s="14">
        <f>IF($AP2255="",IF($B2255="","",$R2255),IF(INDEX(職員マスタ!$C$6:$C$405,$AP2255)="",$R2255,INDEX(職員マスタ!$C$6:$C$405,$AP2255)))</f>
        <v/>
      </c>
      <c r="Z2255" s="14">
        <f>IF($AQ2255="","","R"&amp;$C2255&amp;"."&amp;$D2255)</f>
        <v/>
      </c>
      <c r="AA2255" s="15">
        <f>IF(IF($AP2255="",FALSE,INDEX(職員マスタ!$K$6:$K$405,$AP2255)&lt;&gt;""),INDEX(職員マスタ!$K$6:$K$405,$AP2255),IF(N($W2255)&gt;0,$W2255,""))</f>
        <v/>
      </c>
      <c r="AB2255" s="14">
        <f>IF(OR($E2255="",$AA2255=""),"",IF($E2255&gt;=$AA2255,"×",IF($E2255&gt;=$AA2255*設定!$C$5,"△","○")))</f>
        <v/>
      </c>
      <c r="AC2255" s="15">
        <f>IF($AB2255="","",IF($AB2255="×",0,IF($AB2255="○",ROUNDDOWN($E2255*設定!$C$4,0),ROUNDDOWN($E2255*ROUND((9*$AA2255-9*$E2255)/(10*$E2255),4),0))))</f>
        <v/>
      </c>
      <c r="AD2255" s="13" t="n"/>
      <c r="AE2255" s="15">
        <f>IF($B2255="","",IF($AD2255&lt;&gt;"",$AD2255,IF($AC2255="","",IF($AC2255&lt;=設定!$C$3,0,$AC2255))))</f>
        <v/>
      </c>
      <c r="AF2255" s="14">
        <f>IF($B2255="","",IF(AND($AG2255&lt;&gt;"",$AI2255="",$AL2255=""),"保留中",IF($AL2255&lt;&gt;"",IF(N($AE2255)&gt;0,"支給済","不支給"),IF($AE2255="","要確認",IF($AE2255=0,"不支給","未処理")))))</f>
        <v/>
      </c>
      <c r="AG2255" s="12" t="n"/>
      <c r="AH2255" s="11" t="n"/>
      <c r="AI2255" s="11" t="n"/>
      <c r="AJ2255" s="11" t="n"/>
      <c r="AK2255" s="14">
        <f>IF(AND($AF2255="保留中",$AH2255&lt;&gt;""),TODAY()-$AH2255,"")</f>
        <v/>
      </c>
      <c r="AL2255" s="12" t="n"/>
      <c r="AM2255" s="14">
        <f>IF($B2255="","",IF($AQ2255="","対象年月が未入力／","")&amp;IF($B2255="","",IF($AP2255="","職員マスタに未登録の職員番号／",IF($AA2255="","標準報酬月額が未登録／","")&amp;IF(AND($AQ2255&lt;&gt;"",OR(AND(INDEX(職員マスタ!$G$6:$G$405,$AP2255)&lt;&gt;"",INDEX(職員マスタ!$G$6:$G$405,$AP2255)&gt;EOMONTH($AQ2255,0)),AND(INDEX(職員マスタ!$H$6:$H$405,$AP2255)&lt;&gt;"",INDEX(職員マスタ!$H$6:$H$405,$AP2255)&lt;$AQ2255))),"対象月が時短期間外／","")&amp;IF(AND(INDEX(職員マスタ!$K$6:$K$405,$AP2255)&lt;&gt;"",N($W2255)&gt;0,INDEX(職員マスタ!$K$6:$K$405,$AP2255)&lt;&gt;$W2255),"標準報酬月額が申請書と相違（台帳"&amp;TEXT(INDEX(職員マスタ!$K$6:$K$405,$AP2255),"#,##0")&amp;"円／申請書"&amp;TEXT($W2255,"#,##0")&amp;"円）／","")&amp;IF(AND(INDEX(職員マスタ!$F$6:$F$405,$AP2255)&lt;&gt;"",$AQ2255&lt;&gt;"",INDEX(職員マスタ!$F$6:$F$405,$AP2255)&lt;$AQ2255),"対象月に子が2歳到達済／","")&amp;IF(AND($H2255&lt;&gt;"",INDEX(職員マスタ!$B$6:$B$405,$AP2255)&lt;&gt;"",SUBSTITUTE(SUBSTITUTE($H2255," ","")," ","")&lt;&gt;SUBSTITUTE(SUBSTITUTE(INDEX(職員マスタ!$B$6:$B$405,$AP2255)," ","")," ","")),"氏名がマスタと相違／","")&amp;IF(AND($Q2255&lt;&gt;"",INDEX(職員マスタ!$E$6:$E$405,$AP2255)&lt;&gt;"",$Q2255&lt;&gt;INDEX(職員マスタ!$E$6:$E$405,$AP2255)),"子の生年月日がマスタと相違／","")&amp;IF(AND($L2255&lt;&gt;"",INDEX(職員マスタ!$G$6:$G$405,$AP2255)&lt;&gt;"",$L2255&lt;&gt;INDEX(職員マスタ!$G$6:$G$405,$AP2255)),"時短開始日がマスタと相違／","")&amp;IF(AND($M2255&lt;&gt;"",INDEX(職員マスタ!$H$6:$H$405,$AP2255)&lt;&gt;"",$M2255&lt;&gt;INDEX(職員マスタ!$H$6:$H$405,$AP2255)),"時短終了日がマスタと相違／","")))&amp;IF(AND($B2255&lt;&gt;"",$E2255=""),"報酬額が未入力／","")&amp;IF(N($U2255)&gt;0,"申請書に入力エラーが残っています／","")&amp;IF(AND($B2255&lt;&gt;"",$AQ2255&lt;&gt;""),IF(COUNTIFS($B$6:$B$3005,$B2255,$C$6:$C$3005,$C2255,$D$6:$D$3005,$D2255)&gt;1,"同じ月の請求が重複しています／",""),"")&amp;IF(AND(N($E2255)&gt;0,$AB2255&lt;&gt;"",$AB2255&lt;&gt;"×",$AE2255=0,$AD2255=""),"計算額が下限以下のため不支給／",""))</f>
        <v/>
      </c>
      <c r="AN2255" s="12" t="n"/>
      <c r="AO2255" s="14">
        <f>IF($AF2255="保留中",COUNTIF($AF$6:$AF2255,"保留中"),"")</f>
        <v/>
      </c>
      <c r="AP2255" s="14">
        <f>IF($AQ2255="","",IF(SUMPRODUCT(MAX((職員マスタ!$A$6:$A$405=$B2255)*(((職員マスタ!$G$6:$G$405="")+(職員マスタ!$G$6:$G$405&lt;=EOMONTH($AQ2255,0)))&gt;0)*(((職員マスタ!$H$6:$H$405="")+(職員マスタ!$H$6:$H$405&gt;=$AQ2255))&gt;0)*(ROW(職員マスタ!$A$6:$A$405)-5)))&gt;0,SUMPRODUCT(MAX((職員マスタ!$A$6:$A$405=$B2255)*(((職員マスタ!$G$6:$G$405="")+(職員マスタ!$G$6:$G$405&lt;=EOMONTH($AQ2255,0)))&gt;0)*(((職員マスタ!$H$6:$H$405="")+(職員マスタ!$H$6:$H$405&gt;=$AQ2255))&gt;0)*(ROW(職員マスタ!$A$6:$A$405)-5))),IFERROR(MATCH($B2255,職員マスタ!$A$6:$A$405,0),"")))</f>
        <v/>
      </c>
      <c r="AQ2255" s="16">
        <f>IF(OR($B2255="",$C2255="",$D2255=""),"",DATE($C2255+2018,$D2255,1))</f>
        <v/>
      </c>
    </row>
    <row r="2256">
      <c r="A2256" s="11" t="n"/>
      <c r="B2256" s="12" t="n"/>
      <c r="C2256" s="12" t="n"/>
      <c r="D2256" s="12" t="n"/>
      <c r="E2256" s="13" t="n"/>
      <c r="F2256" s="12" t="n"/>
      <c r="G2256" s="13" t="n"/>
      <c r="H2256" s="12" t="n"/>
      <c r="I2256" s="12" t="n"/>
      <c r="J2256" s="12" t="n"/>
      <c r="K2256" s="12" t="n"/>
      <c r="L2256" s="11" t="n"/>
      <c r="M2256" s="11" t="n"/>
      <c r="N2256" s="11" t="n"/>
      <c r="O2256" s="11" t="n"/>
      <c r="P2256" s="12" t="n"/>
      <c r="Q2256" s="11" t="n"/>
      <c r="R2256" s="12" t="n"/>
      <c r="S2256" s="11" t="n"/>
      <c r="T2256" s="12" t="n"/>
      <c r="U2256" s="12" t="n"/>
      <c r="V2256" s="12" t="n"/>
      <c r="W2256" s="13" t="n"/>
      <c r="X2256" s="14">
        <f>IF($AP2256="",IF($B2256="","",$H2256),IF(INDEX(職員マスタ!$B$6:$B$405,$AP2256)="",$H2256,INDEX(職員マスタ!$B$6:$B$405,$AP2256)))</f>
        <v/>
      </c>
      <c r="Y2256" s="14">
        <f>IF($AP2256="",IF($B2256="","",$R2256),IF(INDEX(職員マスタ!$C$6:$C$405,$AP2256)="",$R2256,INDEX(職員マスタ!$C$6:$C$405,$AP2256)))</f>
        <v/>
      </c>
      <c r="Z2256" s="14">
        <f>IF($AQ2256="","","R"&amp;$C2256&amp;"."&amp;$D2256)</f>
        <v/>
      </c>
      <c r="AA2256" s="15">
        <f>IF(IF($AP2256="",FALSE,INDEX(職員マスタ!$K$6:$K$405,$AP2256)&lt;&gt;""),INDEX(職員マスタ!$K$6:$K$405,$AP2256),IF(N($W2256)&gt;0,$W2256,""))</f>
        <v/>
      </c>
      <c r="AB2256" s="14">
        <f>IF(OR($E2256="",$AA2256=""),"",IF($E2256&gt;=$AA2256,"×",IF($E2256&gt;=$AA2256*設定!$C$5,"△","○")))</f>
        <v/>
      </c>
      <c r="AC2256" s="15">
        <f>IF($AB2256="","",IF($AB2256="×",0,IF($AB2256="○",ROUNDDOWN($E2256*設定!$C$4,0),ROUNDDOWN($E2256*ROUND((9*$AA2256-9*$E2256)/(10*$E2256),4),0))))</f>
        <v/>
      </c>
      <c r="AD2256" s="13" t="n"/>
      <c r="AE2256" s="15">
        <f>IF($B2256="","",IF($AD2256&lt;&gt;"",$AD2256,IF($AC2256="","",IF($AC2256&lt;=設定!$C$3,0,$AC2256))))</f>
        <v/>
      </c>
      <c r="AF2256" s="14">
        <f>IF($B2256="","",IF(AND($AG2256&lt;&gt;"",$AI2256="",$AL2256=""),"保留中",IF($AL2256&lt;&gt;"",IF(N($AE2256)&gt;0,"支給済","不支給"),IF($AE2256="","要確認",IF($AE2256=0,"不支給","未処理")))))</f>
        <v/>
      </c>
      <c r="AG2256" s="12" t="n"/>
      <c r="AH2256" s="11" t="n"/>
      <c r="AI2256" s="11" t="n"/>
      <c r="AJ2256" s="11" t="n"/>
      <c r="AK2256" s="14">
        <f>IF(AND($AF2256="保留中",$AH2256&lt;&gt;""),TODAY()-$AH2256,"")</f>
        <v/>
      </c>
      <c r="AL2256" s="12" t="n"/>
      <c r="AM2256" s="14">
        <f>IF($B2256="","",IF($AQ2256="","対象年月が未入力／","")&amp;IF($B2256="","",IF($AP2256="","職員マスタに未登録の職員番号／",IF($AA2256="","標準報酬月額が未登録／","")&amp;IF(AND($AQ2256&lt;&gt;"",OR(AND(INDEX(職員マスタ!$G$6:$G$405,$AP2256)&lt;&gt;"",INDEX(職員マスタ!$G$6:$G$405,$AP2256)&gt;EOMONTH($AQ2256,0)),AND(INDEX(職員マスタ!$H$6:$H$405,$AP2256)&lt;&gt;"",INDEX(職員マスタ!$H$6:$H$405,$AP2256)&lt;$AQ2256))),"対象月が時短期間外／","")&amp;IF(AND(INDEX(職員マスタ!$K$6:$K$405,$AP2256)&lt;&gt;"",N($W2256)&gt;0,INDEX(職員マスタ!$K$6:$K$405,$AP2256)&lt;&gt;$W2256),"標準報酬月額が申請書と相違（台帳"&amp;TEXT(INDEX(職員マスタ!$K$6:$K$405,$AP2256),"#,##0")&amp;"円／申請書"&amp;TEXT($W2256,"#,##0")&amp;"円）／","")&amp;IF(AND(INDEX(職員マスタ!$F$6:$F$405,$AP2256)&lt;&gt;"",$AQ2256&lt;&gt;"",INDEX(職員マスタ!$F$6:$F$405,$AP2256)&lt;$AQ2256),"対象月に子が2歳到達済／","")&amp;IF(AND($H2256&lt;&gt;"",INDEX(職員マスタ!$B$6:$B$405,$AP2256)&lt;&gt;"",SUBSTITUTE(SUBSTITUTE($H2256," ","")," ","")&lt;&gt;SUBSTITUTE(SUBSTITUTE(INDEX(職員マスタ!$B$6:$B$405,$AP2256)," ","")," ","")),"氏名がマスタと相違／","")&amp;IF(AND($Q2256&lt;&gt;"",INDEX(職員マスタ!$E$6:$E$405,$AP2256)&lt;&gt;"",$Q2256&lt;&gt;INDEX(職員マスタ!$E$6:$E$405,$AP2256)),"子の生年月日がマスタと相違／","")&amp;IF(AND($L2256&lt;&gt;"",INDEX(職員マスタ!$G$6:$G$405,$AP2256)&lt;&gt;"",$L2256&lt;&gt;INDEX(職員マスタ!$G$6:$G$405,$AP2256)),"時短開始日がマスタと相違／","")&amp;IF(AND($M2256&lt;&gt;"",INDEX(職員マスタ!$H$6:$H$405,$AP2256)&lt;&gt;"",$M2256&lt;&gt;INDEX(職員マスタ!$H$6:$H$405,$AP2256)),"時短終了日がマスタと相違／","")))&amp;IF(AND($B2256&lt;&gt;"",$E2256=""),"報酬額が未入力／","")&amp;IF(N($U2256)&gt;0,"申請書に入力エラーが残っています／","")&amp;IF(AND($B2256&lt;&gt;"",$AQ2256&lt;&gt;""),IF(COUNTIFS($B$6:$B$3005,$B2256,$C$6:$C$3005,$C2256,$D$6:$D$3005,$D2256)&gt;1,"同じ月の請求が重複しています／",""),"")&amp;IF(AND(N($E2256)&gt;0,$AB2256&lt;&gt;"",$AB2256&lt;&gt;"×",$AE2256=0,$AD2256=""),"計算額が下限以下のため不支給／",""))</f>
        <v/>
      </c>
      <c r="AN2256" s="12" t="n"/>
      <c r="AO2256" s="14">
        <f>IF($AF2256="保留中",COUNTIF($AF$6:$AF2256,"保留中"),"")</f>
        <v/>
      </c>
      <c r="AP2256" s="14">
        <f>IF($AQ2256="","",IF(SUMPRODUCT(MAX((職員マスタ!$A$6:$A$405=$B2256)*(((職員マスタ!$G$6:$G$405="")+(職員マスタ!$G$6:$G$405&lt;=EOMONTH($AQ2256,0)))&gt;0)*(((職員マスタ!$H$6:$H$405="")+(職員マスタ!$H$6:$H$405&gt;=$AQ2256))&gt;0)*(ROW(職員マスタ!$A$6:$A$405)-5)))&gt;0,SUMPRODUCT(MAX((職員マスタ!$A$6:$A$405=$B2256)*(((職員マスタ!$G$6:$G$405="")+(職員マスタ!$G$6:$G$405&lt;=EOMONTH($AQ2256,0)))&gt;0)*(((職員マスタ!$H$6:$H$405="")+(職員マスタ!$H$6:$H$405&gt;=$AQ2256))&gt;0)*(ROW(職員マスタ!$A$6:$A$405)-5))),IFERROR(MATCH($B2256,職員マスタ!$A$6:$A$405,0),"")))</f>
        <v/>
      </c>
      <c r="AQ2256" s="16">
        <f>IF(OR($B2256="",$C2256="",$D2256=""),"",DATE($C2256+2018,$D2256,1))</f>
        <v/>
      </c>
    </row>
    <row r="2257">
      <c r="A2257" s="11" t="n"/>
      <c r="B2257" s="12" t="n"/>
      <c r="C2257" s="12" t="n"/>
      <c r="D2257" s="12" t="n"/>
      <c r="E2257" s="13" t="n"/>
      <c r="F2257" s="12" t="n"/>
      <c r="G2257" s="13" t="n"/>
      <c r="H2257" s="12" t="n"/>
      <c r="I2257" s="12" t="n"/>
      <c r="J2257" s="12" t="n"/>
      <c r="K2257" s="12" t="n"/>
      <c r="L2257" s="11" t="n"/>
      <c r="M2257" s="11" t="n"/>
      <c r="N2257" s="11" t="n"/>
      <c r="O2257" s="11" t="n"/>
      <c r="P2257" s="12" t="n"/>
      <c r="Q2257" s="11" t="n"/>
      <c r="R2257" s="12" t="n"/>
      <c r="S2257" s="11" t="n"/>
      <c r="T2257" s="12" t="n"/>
      <c r="U2257" s="12" t="n"/>
      <c r="V2257" s="12" t="n"/>
      <c r="W2257" s="13" t="n"/>
      <c r="X2257" s="14">
        <f>IF($AP2257="",IF($B2257="","",$H2257),IF(INDEX(職員マスタ!$B$6:$B$405,$AP2257)="",$H2257,INDEX(職員マスタ!$B$6:$B$405,$AP2257)))</f>
        <v/>
      </c>
      <c r="Y2257" s="14">
        <f>IF($AP2257="",IF($B2257="","",$R2257),IF(INDEX(職員マスタ!$C$6:$C$405,$AP2257)="",$R2257,INDEX(職員マスタ!$C$6:$C$405,$AP2257)))</f>
        <v/>
      </c>
      <c r="Z2257" s="14">
        <f>IF($AQ2257="","","R"&amp;$C2257&amp;"."&amp;$D2257)</f>
        <v/>
      </c>
      <c r="AA2257" s="15">
        <f>IF(IF($AP2257="",FALSE,INDEX(職員マスタ!$K$6:$K$405,$AP2257)&lt;&gt;""),INDEX(職員マスタ!$K$6:$K$405,$AP2257),IF(N($W2257)&gt;0,$W2257,""))</f>
        <v/>
      </c>
      <c r="AB2257" s="14">
        <f>IF(OR($E2257="",$AA2257=""),"",IF($E2257&gt;=$AA2257,"×",IF($E2257&gt;=$AA2257*設定!$C$5,"△","○")))</f>
        <v/>
      </c>
      <c r="AC2257" s="15">
        <f>IF($AB2257="","",IF($AB2257="×",0,IF($AB2257="○",ROUNDDOWN($E2257*設定!$C$4,0),ROUNDDOWN($E2257*ROUND((9*$AA2257-9*$E2257)/(10*$E2257),4),0))))</f>
        <v/>
      </c>
      <c r="AD2257" s="13" t="n"/>
      <c r="AE2257" s="15">
        <f>IF($B2257="","",IF($AD2257&lt;&gt;"",$AD2257,IF($AC2257="","",IF($AC2257&lt;=設定!$C$3,0,$AC2257))))</f>
        <v/>
      </c>
      <c r="AF2257" s="14">
        <f>IF($B2257="","",IF(AND($AG2257&lt;&gt;"",$AI2257="",$AL2257=""),"保留中",IF($AL2257&lt;&gt;"",IF(N($AE2257)&gt;0,"支給済","不支給"),IF($AE2257="","要確認",IF($AE2257=0,"不支給","未処理")))))</f>
        <v/>
      </c>
      <c r="AG2257" s="12" t="n"/>
      <c r="AH2257" s="11" t="n"/>
      <c r="AI2257" s="11" t="n"/>
      <c r="AJ2257" s="11" t="n"/>
      <c r="AK2257" s="14">
        <f>IF(AND($AF2257="保留中",$AH2257&lt;&gt;""),TODAY()-$AH2257,"")</f>
        <v/>
      </c>
      <c r="AL2257" s="12" t="n"/>
      <c r="AM2257" s="14">
        <f>IF($B2257="","",IF($AQ2257="","対象年月が未入力／","")&amp;IF($B2257="","",IF($AP2257="","職員マスタに未登録の職員番号／",IF($AA2257="","標準報酬月額が未登録／","")&amp;IF(AND($AQ2257&lt;&gt;"",OR(AND(INDEX(職員マスタ!$G$6:$G$405,$AP2257)&lt;&gt;"",INDEX(職員マスタ!$G$6:$G$405,$AP2257)&gt;EOMONTH($AQ2257,0)),AND(INDEX(職員マスタ!$H$6:$H$405,$AP2257)&lt;&gt;"",INDEX(職員マスタ!$H$6:$H$405,$AP2257)&lt;$AQ2257))),"対象月が時短期間外／","")&amp;IF(AND(INDEX(職員マスタ!$K$6:$K$405,$AP2257)&lt;&gt;"",N($W2257)&gt;0,INDEX(職員マスタ!$K$6:$K$405,$AP2257)&lt;&gt;$W2257),"標準報酬月額が申請書と相違（台帳"&amp;TEXT(INDEX(職員マスタ!$K$6:$K$405,$AP2257),"#,##0")&amp;"円／申請書"&amp;TEXT($W2257,"#,##0")&amp;"円）／","")&amp;IF(AND(INDEX(職員マスタ!$F$6:$F$405,$AP2257)&lt;&gt;"",$AQ2257&lt;&gt;"",INDEX(職員マスタ!$F$6:$F$405,$AP2257)&lt;$AQ2257),"対象月に子が2歳到達済／","")&amp;IF(AND($H2257&lt;&gt;"",INDEX(職員マスタ!$B$6:$B$405,$AP2257)&lt;&gt;"",SUBSTITUTE(SUBSTITUTE($H2257," ","")," ","")&lt;&gt;SUBSTITUTE(SUBSTITUTE(INDEX(職員マスタ!$B$6:$B$405,$AP2257)," ","")," ","")),"氏名がマスタと相違／","")&amp;IF(AND($Q2257&lt;&gt;"",INDEX(職員マスタ!$E$6:$E$405,$AP2257)&lt;&gt;"",$Q2257&lt;&gt;INDEX(職員マスタ!$E$6:$E$405,$AP2257)),"子の生年月日がマスタと相違／","")&amp;IF(AND($L2257&lt;&gt;"",INDEX(職員マスタ!$G$6:$G$405,$AP2257)&lt;&gt;"",$L2257&lt;&gt;INDEX(職員マスタ!$G$6:$G$405,$AP2257)),"時短開始日がマスタと相違／","")&amp;IF(AND($M2257&lt;&gt;"",INDEX(職員マスタ!$H$6:$H$405,$AP2257)&lt;&gt;"",$M2257&lt;&gt;INDEX(職員マスタ!$H$6:$H$405,$AP2257)),"時短終了日がマスタと相違／","")))&amp;IF(AND($B2257&lt;&gt;"",$E2257=""),"報酬額が未入力／","")&amp;IF(N($U2257)&gt;0,"申請書に入力エラーが残っています／","")&amp;IF(AND($B2257&lt;&gt;"",$AQ2257&lt;&gt;""),IF(COUNTIFS($B$6:$B$3005,$B2257,$C$6:$C$3005,$C2257,$D$6:$D$3005,$D2257)&gt;1,"同じ月の請求が重複しています／",""),"")&amp;IF(AND(N($E2257)&gt;0,$AB2257&lt;&gt;"",$AB2257&lt;&gt;"×",$AE2257=0,$AD2257=""),"計算額が下限以下のため不支給／",""))</f>
        <v/>
      </c>
      <c r="AN2257" s="12" t="n"/>
      <c r="AO2257" s="14">
        <f>IF($AF2257="保留中",COUNTIF($AF$6:$AF2257,"保留中"),"")</f>
        <v/>
      </c>
      <c r="AP2257" s="14">
        <f>IF($AQ2257="","",IF(SUMPRODUCT(MAX((職員マスタ!$A$6:$A$405=$B2257)*(((職員マスタ!$G$6:$G$405="")+(職員マスタ!$G$6:$G$405&lt;=EOMONTH($AQ2257,0)))&gt;0)*(((職員マスタ!$H$6:$H$405="")+(職員マスタ!$H$6:$H$405&gt;=$AQ2257))&gt;0)*(ROW(職員マスタ!$A$6:$A$405)-5)))&gt;0,SUMPRODUCT(MAX((職員マスタ!$A$6:$A$405=$B2257)*(((職員マスタ!$G$6:$G$405="")+(職員マスタ!$G$6:$G$405&lt;=EOMONTH($AQ2257,0)))&gt;0)*(((職員マスタ!$H$6:$H$405="")+(職員マスタ!$H$6:$H$405&gt;=$AQ2257))&gt;0)*(ROW(職員マスタ!$A$6:$A$405)-5))),IFERROR(MATCH($B2257,職員マスタ!$A$6:$A$405,0),"")))</f>
        <v/>
      </c>
      <c r="AQ2257" s="16">
        <f>IF(OR($B2257="",$C2257="",$D2257=""),"",DATE($C2257+2018,$D2257,1))</f>
        <v/>
      </c>
    </row>
    <row r="2258">
      <c r="A2258" s="11" t="n"/>
      <c r="B2258" s="12" t="n"/>
      <c r="C2258" s="12" t="n"/>
      <c r="D2258" s="12" t="n"/>
      <c r="E2258" s="13" t="n"/>
      <c r="F2258" s="12" t="n"/>
      <c r="G2258" s="13" t="n"/>
      <c r="H2258" s="12" t="n"/>
      <c r="I2258" s="12" t="n"/>
      <c r="J2258" s="12" t="n"/>
      <c r="K2258" s="12" t="n"/>
      <c r="L2258" s="11" t="n"/>
      <c r="M2258" s="11" t="n"/>
      <c r="N2258" s="11" t="n"/>
      <c r="O2258" s="11" t="n"/>
      <c r="P2258" s="12" t="n"/>
      <c r="Q2258" s="11" t="n"/>
      <c r="R2258" s="12" t="n"/>
      <c r="S2258" s="11" t="n"/>
      <c r="T2258" s="12" t="n"/>
      <c r="U2258" s="12" t="n"/>
      <c r="V2258" s="12" t="n"/>
      <c r="W2258" s="13" t="n"/>
      <c r="X2258" s="14">
        <f>IF($AP2258="",IF($B2258="","",$H2258),IF(INDEX(職員マスタ!$B$6:$B$405,$AP2258)="",$H2258,INDEX(職員マスタ!$B$6:$B$405,$AP2258)))</f>
        <v/>
      </c>
      <c r="Y2258" s="14">
        <f>IF($AP2258="",IF($B2258="","",$R2258),IF(INDEX(職員マスタ!$C$6:$C$405,$AP2258)="",$R2258,INDEX(職員マスタ!$C$6:$C$405,$AP2258)))</f>
        <v/>
      </c>
      <c r="Z2258" s="14">
        <f>IF($AQ2258="","","R"&amp;$C2258&amp;"."&amp;$D2258)</f>
        <v/>
      </c>
      <c r="AA2258" s="15">
        <f>IF(IF($AP2258="",FALSE,INDEX(職員マスタ!$K$6:$K$405,$AP2258)&lt;&gt;""),INDEX(職員マスタ!$K$6:$K$405,$AP2258),IF(N($W2258)&gt;0,$W2258,""))</f>
        <v/>
      </c>
      <c r="AB2258" s="14">
        <f>IF(OR($E2258="",$AA2258=""),"",IF($E2258&gt;=$AA2258,"×",IF($E2258&gt;=$AA2258*設定!$C$5,"△","○")))</f>
        <v/>
      </c>
      <c r="AC2258" s="15">
        <f>IF($AB2258="","",IF($AB2258="×",0,IF($AB2258="○",ROUNDDOWN($E2258*設定!$C$4,0),ROUNDDOWN($E2258*ROUND((9*$AA2258-9*$E2258)/(10*$E2258),4),0))))</f>
        <v/>
      </c>
      <c r="AD2258" s="13" t="n"/>
      <c r="AE2258" s="15">
        <f>IF($B2258="","",IF($AD2258&lt;&gt;"",$AD2258,IF($AC2258="","",IF($AC2258&lt;=設定!$C$3,0,$AC2258))))</f>
        <v/>
      </c>
      <c r="AF2258" s="14">
        <f>IF($B2258="","",IF(AND($AG2258&lt;&gt;"",$AI2258="",$AL2258=""),"保留中",IF($AL2258&lt;&gt;"",IF(N($AE2258)&gt;0,"支給済","不支給"),IF($AE2258="","要確認",IF($AE2258=0,"不支給","未処理")))))</f>
        <v/>
      </c>
      <c r="AG2258" s="12" t="n"/>
      <c r="AH2258" s="11" t="n"/>
      <c r="AI2258" s="11" t="n"/>
      <c r="AJ2258" s="11" t="n"/>
      <c r="AK2258" s="14">
        <f>IF(AND($AF2258="保留中",$AH2258&lt;&gt;""),TODAY()-$AH2258,"")</f>
        <v/>
      </c>
      <c r="AL2258" s="12" t="n"/>
      <c r="AM2258" s="14">
        <f>IF($B2258="","",IF($AQ2258="","対象年月が未入力／","")&amp;IF($B2258="","",IF($AP2258="","職員マスタに未登録の職員番号／",IF($AA2258="","標準報酬月額が未登録／","")&amp;IF(AND($AQ2258&lt;&gt;"",OR(AND(INDEX(職員マスタ!$G$6:$G$405,$AP2258)&lt;&gt;"",INDEX(職員マスタ!$G$6:$G$405,$AP2258)&gt;EOMONTH($AQ2258,0)),AND(INDEX(職員マスタ!$H$6:$H$405,$AP2258)&lt;&gt;"",INDEX(職員マスタ!$H$6:$H$405,$AP2258)&lt;$AQ2258))),"対象月が時短期間外／","")&amp;IF(AND(INDEX(職員マスタ!$K$6:$K$405,$AP2258)&lt;&gt;"",N($W2258)&gt;0,INDEX(職員マスタ!$K$6:$K$405,$AP2258)&lt;&gt;$W2258),"標準報酬月額が申請書と相違（台帳"&amp;TEXT(INDEX(職員マスタ!$K$6:$K$405,$AP2258),"#,##0")&amp;"円／申請書"&amp;TEXT($W2258,"#,##0")&amp;"円）／","")&amp;IF(AND(INDEX(職員マスタ!$F$6:$F$405,$AP2258)&lt;&gt;"",$AQ2258&lt;&gt;"",INDEX(職員マスタ!$F$6:$F$405,$AP2258)&lt;$AQ2258),"対象月に子が2歳到達済／","")&amp;IF(AND($H2258&lt;&gt;"",INDEX(職員マスタ!$B$6:$B$405,$AP2258)&lt;&gt;"",SUBSTITUTE(SUBSTITUTE($H2258," ","")," ","")&lt;&gt;SUBSTITUTE(SUBSTITUTE(INDEX(職員マスタ!$B$6:$B$405,$AP2258)," ","")," ","")),"氏名がマスタと相違／","")&amp;IF(AND($Q2258&lt;&gt;"",INDEX(職員マスタ!$E$6:$E$405,$AP2258)&lt;&gt;"",$Q2258&lt;&gt;INDEX(職員マスタ!$E$6:$E$405,$AP2258)),"子の生年月日がマスタと相違／","")&amp;IF(AND($L2258&lt;&gt;"",INDEX(職員マスタ!$G$6:$G$405,$AP2258)&lt;&gt;"",$L2258&lt;&gt;INDEX(職員マスタ!$G$6:$G$405,$AP2258)),"時短開始日がマスタと相違／","")&amp;IF(AND($M2258&lt;&gt;"",INDEX(職員マスタ!$H$6:$H$405,$AP2258)&lt;&gt;"",$M2258&lt;&gt;INDEX(職員マスタ!$H$6:$H$405,$AP2258)),"時短終了日がマスタと相違／","")))&amp;IF(AND($B2258&lt;&gt;"",$E2258=""),"報酬額が未入力／","")&amp;IF(N($U2258)&gt;0,"申請書に入力エラーが残っています／","")&amp;IF(AND($B2258&lt;&gt;"",$AQ2258&lt;&gt;""),IF(COUNTIFS($B$6:$B$3005,$B2258,$C$6:$C$3005,$C2258,$D$6:$D$3005,$D2258)&gt;1,"同じ月の請求が重複しています／",""),"")&amp;IF(AND(N($E2258)&gt;0,$AB2258&lt;&gt;"",$AB2258&lt;&gt;"×",$AE2258=0,$AD2258=""),"計算額が下限以下のため不支給／",""))</f>
        <v/>
      </c>
      <c r="AN2258" s="12" t="n"/>
      <c r="AO2258" s="14">
        <f>IF($AF2258="保留中",COUNTIF($AF$6:$AF2258,"保留中"),"")</f>
        <v/>
      </c>
      <c r="AP2258" s="14">
        <f>IF($AQ2258="","",IF(SUMPRODUCT(MAX((職員マスタ!$A$6:$A$405=$B2258)*(((職員マスタ!$G$6:$G$405="")+(職員マスタ!$G$6:$G$405&lt;=EOMONTH($AQ2258,0)))&gt;0)*(((職員マスタ!$H$6:$H$405="")+(職員マスタ!$H$6:$H$405&gt;=$AQ2258))&gt;0)*(ROW(職員マスタ!$A$6:$A$405)-5)))&gt;0,SUMPRODUCT(MAX((職員マスタ!$A$6:$A$405=$B2258)*(((職員マスタ!$G$6:$G$405="")+(職員マスタ!$G$6:$G$405&lt;=EOMONTH($AQ2258,0)))&gt;0)*(((職員マスタ!$H$6:$H$405="")+(職員マスタ!$H$6:$H$405&gt;=$AQ2258))&gt;0)*(ROW(職員マスタ!$A$6:$A$405)-5))),IFERROR(MATCH($B2258,職員マスタ!$A$6:$A$405,0),"")))</f>
        <v/>
      </c>
      <c r="AQ2258" s="16">
        <f>IF(OR($B2258="",$C2258="",$D2258=""),"",DATE($C2258+2018,$D2258,1))</f>
        <v/>
      </c>
    </row>
    <row r="2259">
      <c r="A2259" s="11" t="n"/>
      <c r="B2259" s="12" t="n"/>
      <c r="C2259" s="12" t="n"/>
      <c r="D2259" s="12" t="n"/>
      <c r="E2259" s="13" t="n"/>
      <c r="F2259" s="12" t="n"/>
      <c r="G2259" s="13" t="n"/>
      <c r="H2259" s="12" t="n"/>
      <c r="I2259" s="12" t="n"/>
      <c r="J2259" s="12" t="n"/>
      <c r="K2259" s="12" t="n"/>
      <c r="L2259" s="11" t="n"/>
      <c r="M2259" s="11" t="n"/>
      <c r="N2259" s="11" t="n"/>
      <c r="O2259" s="11" t="n"/>
      <c r="P2259" s="12" t="n"/>
      <c r="Q2259" s="11" t="n"/>
      <c r="R2259" s="12" t="n"/>
      <c r="S2259" s="11" t="n"/>
      <c r="T2259" s="12" t="n"/>
      <c r="U2259" s="12" t="n"/>
      <c r="V2259" s="12" t="n"/>
      <c r="W2259" s="13" t="n"/>
      <c r="X2259" s="14">
        <f>IF($AP2259="",IF($B2259="","",$H2259),IF(INDEX(職員マスタ!$B$6:$B$405,$AP2259)="",$H2259,INDEX(職員マスタ!$B$6:$B$405,$AP2259)))</f>
        <v/>
      </c>
      <c r="Y2259" s="14">
        <f>IF($AP2259="",IF($B2259="","",$R2259),IF(INDEX(職員マスタ!$C$6:$C$405,$AP2259)="",$R2259,INDEX(職員マスタ!$C$6:$C$405,$AP2259)))</f>
        <v/>
      </c>
      <c r="Z2259" s="14">
        <f>IF($AQ2259="","","R"&amp;$C2259&amp;"."&amp;$D2259)</f>
        <v/>
      </c>
      <c r="AA2259" s="15">
        <f>IF(IF($AP2259="",FALSE,INDEX(職員マスタ!$K$6:$K$405,$AP2259)&lt;&gt;""),INDEX(職員マスタ!$K$6:$K$405,$AP2259),IF(N($W2259)&gt;0,$W2259,""))</f>
        <v/>
      </c>
      <c r="AB2259" s="14">
        <f>IF(OR($E2259="",$AA2259=""),"",IF($E2259&gt;=$AA2259,"×",IF($E2259&gt;=$AA2259*設定!$C$5,"△","○")))</f>
        <v/>
      </c>
      <c r="AC2259" s="15">
        <f>IF($AB2259="","",IF($AB2259="×",0,IF($AB2259="○",ROUNDDOWN($E2259*設定!$C$4,0),ROUNDDOWN($E2259*ROUND((9*$AA2259-9*$E2259)/(10*$E2259),4),0))))</f>
        <v/>
      </c>
      <c r="AD2259" s="13" t="n"/>
      <c r="AE2259" s="15">
        <f>IF($B2259="","",IF($AD2259&lt;&gt;"",$AD2259,IF($AC2259="","",IF($AC2259&lt;=設定!$C$3,0,$AC2259))))</f>
        <v/>
      </c>
      <c r="AF2259" s="14">
        <f>IF($B2259="","",IF(AND($AG2259&lt;&gt;"",$AI2259="",$AL2259=""),"保留中",IF($AL2259&lt;&gt;"",IF(N($AE2259)&gt;0,"支給済","不支給"),IF($AE2259="","要確認",IF($AE2259=0,"不支給","未処理")))))</f>
        <v/>
      </c>
      <c r="AG2259" s="12" t="n"/>
      <c r="AH2259" s="11" t="n"/>
      <c r="AI2259" s="11" t="n"/>
      <c r="AJ2259" s="11" t="n"/>
      <c r="AK2259" s="14">
        <f>IF(AND($AF2259="保留中",$AH2259&lt;&gt;""),TODAY()-$AH2259,"")</f>
        <v/>
      </c>
      <c r="AL2259" s="12" t="n"/>
      <c r="AM2259" s="14">
        <f>IF($B2259="","",IF($AQ2259="","対象年月が未入力／","")&amp;IF($B2259="","",IF($AP2259="","職員マスタに未登録の職員番号／",IF($AA2259="","標準報酬月額が未登録／","")&amp;IF(AND($AQ2259&lt;&gt;"",OR(AND(INDEX(職員マスタ!$G$6:$G$405,$AP2259)&lt;&gt;"",INDEX(職員マスタ!$G$6:$G$405,$AP2259)&gt;EOMONTH($AQ2259,0)),AND(INDEX(職員マスタ!$H$6:$H$405,$AP2259)&lt;&gt;"",INDEX(職員マスタ!$H$6:$H$405,$AP2259)&lt;$AQ2259))),"対象月が時短期間外／","")&amp;IF(AND(INDEX(職員マスタ!$K$6:$K$405,$AP2259)&lt;&gt;"",N($W2259)&gt;0,INDEX(職員マスタ!$K$6:$K$405,$AP2259)&lt;&gt;$W2259),"標準報酬月額が申請書と相違（台帳"&amp;TEXT(INDEX(職員マスタ!$K$6:$K$405,$AP2259),"#,##0")&amp;"円／申請書"&amp;TEXT($W2259,"#,##0")&amp;"円）／","")&amp;IF(AND(INDEX(職員マスタ!$F$6:$F$405,$AP2259)&lt;&gt;"",$AQ2259&lt;&gt;"",INDEX(職員マスタ!$F$6:$F$405,$AP2259)&lt;$AQ2259),"対象月に子が2歳到達済／","")&amp;IF(AND($H2259&lt;&gt;"",INDEX(職員マスタ!$B$6:$B$405,$AP2259)&lt;&gt;"",SUBSTITUTE(SUBSTITUTE($H2259," ","")," ","")&lt;&gt;SUBSTITUTE(SUBSTITUTE(INDEX(職員マスタ!$B$6:$B$405,$AP2259)," ","")," ","")),"氏名がマスタと相違／","")&amp;IF(AND($Q2259&lt;&gt;"",INDEX(職員マスタ!$E$6:$E$405,$AP2259)&lt;&gt;"",$Q2259&lt;&gt;INDEX(職員マスタ!$E$6:$E$405,$AP2259)),"子の生年月日がマスタと相違／","")&amp;IF(AND($L2259&lt;&gt;"",INDEX(職員マスタ!$G$6:$G$405,$AP2259)&lt;&gt;"",$L2259&lt;&gt;INDEX(職員マスタ!$G$6:$G$405,$AP2259)),"時短開始日がマスタと相違／","")&amp;IF(AND($M2259&lt;&gt;"",INDEX(職員マスタ!$H$6:$H$405,$AP2259)&lt;&gt;"",$M2259&lt;&gt;INDEX(職員マスタ!$H$6:$H$405,$AP2259)),"時短終了日がマスタと相違／","")))&amp;IF(AND($B2259&lt;&gt;"",$E2259=""),"報酬額が未入力／","")&amp;IF(N($U2259)&gt;0,"申請書に入力エラーが残っています／","")&amp;IF(AND($B2259&lt;&gt;"",$AQ2259&lt;&gt;""),IF(COUNTIFS($B$6:$B$3005,$B2259,$C$6:$C$3005,$C2259,$D$6:$D$3005,$D2259)&gt;1,"同じ月の請求が重複しています／",""),"")&amp;IF(AND(N($E2259)&gt;0,$AB2259&lt;&gt;"",$AB2259&lt;&gt;"×",$AE2259=0,$AD2259=""),"計算額が下限以下のため不支給／",""))</f>
        <v/>
      </c>
      <c r="AN2259" s="12" t="n"/>
      <c r="AO2259" s="14">
        <f>IF($AF2259="保留中",COUNTIF($AF$6:$AF2259,"保留中"),"")</f>
        <v/>
      </c>
      <c r="AP2259" s="14">
        <f>IF($AQ2259="","",IF(SUMPRODUCT(MAX((職員マスタ!$A$6:$A$405=$B2259)*(((職員マスタ!$G$6:$G$405="")+(職員マスタ!$G$6:$G$405&lt;=EOMONTH($AQ2259,0)))&gt;0)*(((職員マスタ!$H$6:$H$405="")+(職員マスタ!$H$6:$H$405&gt;=$AQ2259))&gt;0)*(ROW(職員マスタ!$A$6:$A$405)-5)))&gt;0,SUMPRODUCT(MAX((職員マスタ!$A$6:$A$405=$B2259)*(((職員マスタ!$G$6:$G$405="")+(職員マスタ!$G$6:$G$405&lt;=EOMONTH($AQ2259,0)))&gt;0)*(((職員マスタ!$H$6:$H$405="")+(職員マスタ!$H$6:$H$405&gt;=$AQ2259))&gt;0)*(ROW(職員マスタ!$A$6:$A$405)-5))),IFERROR(MATCH($B2259,職員マスタ!$A$6:$A$405,0),"")))</f>
        <v/>
      </c>
      <c r="AQ2259" s="16">
        <f>IF(OR($B2259="",$C2259="",$D2259=""),"",DATE($C2259+2018,$D2259,1))</f>
        <v/>
      </c>
    </row>
    <row r="2260">
      <c r="A2260" s="11" t="n"/>
      <c r="B2260" s="12" t="n"/>
      <c r="C2260" s="12" t="n"/>
      <c r="D2260" s="12" t="n"/>
      <c r="E2260" s="13" t="n"/>
      <c r="F2260" s="12" t="n"/>
      <c r="G2260" s="13" t="n"/>
      <c r="H2260" s="12" t="n"/>
      <c r="I2260" s="12" t="n"/>
      <c r="J2260" s="12" t="n"/>
      <c r="K2260" s="12" t="n"/>
      <c r="L2260" s="11" t="n"/>
      <c r="M2260" s="11" t="n"/>
      <c r="N2260" s="11" t="n"/>
      <c r="O2260" s="11" t="n"/>
      <c r="P2260" s="12" t="n"/>
      <c r="Q2260" s="11" t="n"/>
      <c r="R2260" s="12" t="n"/>
      <c r="S2260" s="11" t="n"/>
      <c r="T2260" s="12" t="n"/>
      <c r="U2260" s="12" t="n"/>
      <c r="V2260" s="12" t="n"/>
      <c r="W2260" s="13" t="n"/>
      <c r="X2260" s="14">
        <f>IF($AP2260="",IF($B2260="","",$H2260),IF(INDEX(職員マスタ!$B$6:$B$405,$AP2260)="",$H2260,INDEX(職員マスタ!$B$6:$B$405,$AP2260)))</f>
        <v/>
      </c>
      <c r="Y2260" s="14">
        <f>IF($AP2260="",IF($B2260="","",$R2260),IF(INDEX(職員マスタ!$C$6:$C$405,$AP2260)="",$R2260,INDEX(職員マスタ!$C$6:$C$405,$AP2260)))</f>
        <v/>
      </c>
      <c r="Z2260" s="14">
        <f>IF($AQ2260="","","R"&amp;$C2260&amp;"."&amp;$D2260)</f>
        <v/>
      </c>
      <c r="AA2260" s="15">
        <f>IF(IF($AP2260="",FALSE,INDEX(職員マスタ!$K$6:$K$405,$AP2260)&lt;&gt;""),INDEX(職員マスタ!$K$6:$K$405,$AP2260),IF(N($W2260)&gt;0,$W2260,""))</f>
        <v/>
      </c>
      <c r="AB2260" s="14">
        <f>IF(OR($E2260="",$AA2260=""),"",IF($E2260&gt;=$AA2260,"×",IF($E2260&gt;=$AA2260*設定!$C$5,"△","○")))</f>
        <v/>
      </c>
      <c r="AC2260" s="15">
        <f>IF($AB2260="","",IF($AB2260="×",0,IF($AB2260="○",ROUNDDOWN($E2260*設定!$C$4,0),ROUNDDOWN($E2260*ROUND((9*$AA2260-9*$E2260)/(10*$E2260),4),0))))</f>
        <v/>
      </c>
      <c r="AD2260" s="13" t="n"/>
      <c r="AE2260" s="15">
        <f>IF($B2260="","",IF($AD2260&lt;&gt;"",$AD2260,IF($AC2260="","",IF($AC2260&lt;=設定!$C$3,0,$AC2260))))</f>
        <v/>
      </c>
      <c r="AF2260" s="14">
        <f>IF($B2260="","",IF(AND($AG2260&lt;&gt;"",$AI2260="",$AL2260=""),"保留中",IF($AL2260&lt;&gt;"",IF(N($AE2260)&gt;0,"支給済","不支給"),IF($AE2260="","要確認",IF($AE2260=0,"不支給","未処理")))))</f>
        <v/>
      </c>
      <c r="AG2260" s="12" t="n"/>
      <c r="AH2260" s="11" t="n"/>
      <c r="AI2260" s="11" t="n"/>
      <c r="AJ2260" s="11" t="n"/>
      <c r="AK2260" s="14">
        <f>IF(AND($AF2260="保留中",$AH2260&lt;&gt;""),TODAY()-$AH2260,"")</f>
        <v/>
      </c>
      <c r="AL2260" s="12" t="n"/>
      <c r="AM2260" s="14">
        <f>IF($B2260="","",IF($AQ2260="","対象年月が未入力／","")&amp;IF($B2260="","",IF($AP2260="","職員マスタに未登録の職員番号／",IF($AA2260="","標準報酬月額が未登録／","")&amp;IF(AND($AQ2260&lt;&gt;"",OR(AND(INDEX(職員マスタ!$G$6:$G$405,$AP2260)&lt;&gt;"",INDEX(職員マスタ!$G$6:$G$405,$AP2260)&gt;EOMONTH($AQ2260,0)),AND(INDEX(職員マスタ!$H$6:$H$405,$AP2260)&lt;&gt;"",INDEX(職員マスタ!$H$6:$H$405,$AP2260)&lt;$AQ2260))),"対象月が時短期間外／","")&amp;IF(AND(INDEX(職員マスタ!$K$6:$K$405,$AP2260)&lt;&gt;"",N($W2260)&gt;0,INDEX(職員マスタ!$K$6:$K$405,$AP2260)&lt;&gt;$W2260),"標準報酬月額が申請書と相違（台帳"&amp;TEXT(INDEX(職員マスタ!$K$6:$K$405,$AP2260),"#,##0")&amp;"円／申請書"&amp;TEXT($W2260,"#,##0")&amp;"円）／","")&amp;IF(AND(INDEX(職員マスタ!$F$6:$F$405,$AP2260)&lt;&gt;"",$AQ2260&lt;&gt;"",INDEX(職員マスタ!$F$6:$F$405,$AP2260)&lt;$AQ2260),"対象月に子が2歳到達済／","")&amp;IF(AND($H2260&lt;&gt;"",INDEX(職員マスタ!$B$6:$B$405,$AP2260)&lt;&gt;"",SUBSTITUTE(SUBSTITUTE($H2260," ","")," ","")&lt;&gt;SUBSTITUTE(SUBSTITUTE(INDEX(職員マスタ!$B$6:$B$405,$AP2260)," ","")," ","")),"氏名がマスタと相違／","")&amp;IF(AND($Q2260&lt;&gt;"",INDEX(職員マスタ!$E$6:$E$405,$AP2260)&lt;&gt;"",$Q2260&lt;&gt;INDEX(職員マスタ!$E$6:$E$405,$AP2260)),"子の生年月日がマスタと相違／","")&amp;IF(AND($L2260&lt;&gt;"",INDEX(職員マスタ!$G$6:$G$405,$AP2260)&lt;&gt;"",$L2260&lt;&gt;INDEX(職員マスタ!$G$6:$G$405,$AP2260)),"時短開始日がマスタと相違／","")&amp;IF(AND($M2260&lt;&gt;"",INDEX(職員マスタ!$H$6:$H$405,$AP2260)&lt;&gt;"",$M2260&lt;&gt;INDEX(職員マスタ!$H$6:$H$405,$AP2260)),"時短終了日がマスタと相違／","")))&amp;IF(AND($B2260&lt;&gt;"",$E2260=""),"報酬額が未入力／","")&amp;IF(N($U2260)&gt;0,"申請書に入力エラーが残っています／","")&amp;IF(AND($B2260&lt;&gt;"",$AQ2260&lt;&gt;""),IF(COUNTIFS($B$6:$B$3005,$B2260,$C$6:$C$3005,$C2260,$D$6:$D$3005,$D2260)&gt;1,"同じ月の請求が重複しています／",""),"")&amp;IF(AND(N($E2260)&gt;0,$AB2260&lt;&gt;"",$AB2260&lt;&gt;"×",$AE2260=0,$AD2260=""),"計算額が下限以下のため不支給／",""))</f>
        <v/>
      </c>
      <c r="AN2260" s="12" t="n"/>
      <c r="AO2260" s="14">
        <f>IF($AF2260="保留中",COUNTIF($AF$6:$AF2260,"保留中"),"")</f>
        <v/>
      </c>
      <c r="AP2260" s="14">
        <f>IF($AQ2260="","",IF(SUMPRODUCT(MAX((職員マスタ!$A$6:$A$405=$B2260)*(((職員マスタ!$G$6:$G$405="")+(職員マスタ!$G$6:$G$405&lt;=EOMONTH($AQ2260,0)))&gt;0)*(((職員マスタ!$H$6:$H$405="")+(職員マスタ!$H$6:$H$405&gt;=$AQ2260))&gt;0)*(ROW(職員マスタ!$A$6:$A$405)-5)))&gt;0,SUMPRODUCT(MAX((職員マスタ!$A$6:$A$405=$B2260)*(((職員マスタ!$G$6:$G$405="")+(職員マスタ!$G$6:$G$405&lt;=EOMONTH($AQ2260,0)))&gt;0)*(((職員マスタ!$H$6:$H$405="")+(職員マスタ!$H$6:$H$405&gt;=$AQ2260))&gt;0)*(ROW(職員マスタ!$A$6:$A$405)-5))),IFERROR(MATCH($B2260,職員マスタ!$A$6:$A$405,0),"")))</f>
        <v/>
      </c>
      <c r="AQ2260" s="16">
        <f>IF(OR($B2260="",$C2260="",$D2260=""),"",DATE($C2260+2018,$D2260,1))</f>
        <v/>
      </c>
    </row>
    <row r="2261">
      <c r="A2261" s="11" t="n"/>
      <c r="B2261" s="12" t="n"/>
      <c r="C2261" s="12" t="n"/>
      <c r="D2261" s="12" t="n"/>
      <c r="E2261" s="13" t="n"/>
      <c r="F2261" s="12" t="n"/>
      <c r="G2261" s="13" t="n"/>
      <c r="H2261" s="12" t="n"/>
      <c r="I2261" s="12" t="n"/>
      <c r="J2261" s="12" t="n"/>
      <c r="K2261" s="12" t="n"/>
      <c r="L2261" s="11" t="n"/>
      <c r="M2261" s="11" t="n"/>
      <c r="N2261" s="11" t="n"/>
      <c r="O2261" s="11" t="n"/>
      <c r="P2261" s="12" t="n"/>
      <c r="Q2261" s="11" t="n"/>
      <c r="R2261" s="12" t="n"/>
      <c r="S2261" s="11" t="n"/>
      <c r="T2261" s="12" t="n"/>
      <c r="U2261" s="12" t="n"/>
      <c r="V2261" s="12" t="n"/>
      <c r="W2261" s="13" t="n"/>
      <c r="X2261" s="14">
        <f>IF($AP2261="",IF($B2261="","",$H2261),IF(INDEX(職員マスタ!$B$6:$B$405,$AP2261)="",$H2261,INDEX(職員マスタ!$B$6:$B$405,$AP2261)))</f>
        <v/>
      </c>
      <c r="Y2261" s="14">
        <f>IF($AP2261="",IF($B2261="","",$R2261),IF(INDEX(職員マスタ!$C$6:$C$405,$AP2261)="",$R2261,INDEX(職員マスタ!$C$6:$C$405,$AP2261)))</f>
        <v/>
      </c>
      <c r="Z2261" s="14">
        <f>IF($AQ2261="","","R"&amp;$C2261&amp;"."&amp;$D2261)</f>
        <v/>
      </c>
      <c r="AA2261" s="15">
        <f>IF(IF($AP2261="",FALSE,INDEX(職員マスタ!$K$6:$K$405,$AP2261)&lt;&gt;""),INDEX(職員マスタ!$K$6:$K$405,$AP2261),IF(N($W2261)&gt;0,$W2261,""))</f>
        <v/>
      </c>
      <c r="AB2261" s="14">
        <f>IF(OR($E2261="",$AA2261=""),"",IF($E2261&gt;=$AA2261,"×",IF($E2261&gt;=$AA2261*設定!$C$5,"△","○")))</f>
        <v/>
      </c>
      <c r="AC2261" s="15">
        <f>IF($AB2261="","",IF($AB2261="×",0,IF($AB2261="○",ROUNDDOWN($E2261*設定!$C$4,0),ROUNDDOWN($E2261*ROUND((9*$AA2261-9*$E2261)/(10*$E2261),4),0))))</f>
        <v/>
      </c>
      <c r="AD2261" s="13" t="n"/>
      <c r="AE2261" s="15">
        <f>IF($B2261="","",IF($AD2261&lt;&gt;"",$AD2261,IF($AC2261="","",IF($AC2261&lt;=設定!$C$3,0,$AC2261))))</f>
        <v/>
      </c>
      <c r="AF2261" s="14">
        <f>IF($B2261="","",IF(AND($AG2261&lt;&gt;"",$AI2261="",$AL2261=""),"保留中",IF($AL2261&lt;&gt;"",IF(N($AE2261)&gt;0,"支給済","不支給"),IF($AE2261="","要確認",IF($AE2261=0,"不支給","未処理")))))</f>
        <v/>
      </c>
      <c r="AG2261" s="12" t="n"/>
      <c r="AH2261" s="11" t="n"/>
      <c r="AI2261" s="11" t="n"/>
      <c r="AJ2261" s="11" t="n"/>
      <c r="AK2261" s="14">
        <f>IF(AND($AF2261="保留中",$AH2261&lt;&gt;""),TODAY()-$AH2261,"")</f>
        <v/>
      </c>
      <c r="AL2261" s="12" t="n"/>
      <c r="AM2261" s="14">
        <f>IF($B2261="","",IF($AQ2261="","対象年月が未入力／","")&amp;IF($B2261="","",IF($AP2261="","職員マスタに未登録の職員番号／",IF($AA2261="","標準報酬月額が未登録／","")&amp;IF(AND($AQ2261&lt;&gt;"",OR(AND(INDEX(職員マスタ!$G$6:$G$405,$AP2261)&lt;&gt;"",INDEX(職員マスタ!$G$6:$G$405,$AP2261)&gt;EOMONTH($AQ2261,0)),AND(INDEX(職員マスタ!$H$6:$H$405,$AP2261)&lt;&gt;"",INDEX(職員マスタ!$H$6:$H$405,$AP2261)&lt;$AQ2261))),"対象月が時短期間外／","")&amp;IF(AND(INDEX(職員マスタ!$K$6:$K$405,$AP2261)&lt;&gt;"",N($W2261)&gt;0,INDEX(職員マスタ!$K$6:$K$405,$AP2261)&lt;&gt;$W2261),"標準報酬月額が申請書と相違（台帳"&amp;TEXT(INDEX(職員マスタ!$K$6:$K$405,$AP2261),"#,##0")&amp;"円／申請書"&amp;TEXT($W2261,"#,##0")&amp;"円）／","")&amp;IF(AND(INDEX(職員マスタ!$F$6:$F$405,$AP2261)&lt;&gt;"",$AQ2261&lt;&gt;"",INDEX(職員マスタ!$F$6:$F$405,$AP2261)&lt;$AQ2261),"対象月に子が2歳到達済／","")&amp;IF(AND($H2261&lt;&gt;"",INDEX(職員マスタ!$B$6:$B$405,$AP2261)&lt;&gt;"",SUBSTITUTE(SUBSTITUTE($H2261," ","")," ","")&lt;&gt;SUBSTITUTE(SUBSTITUTE(INDEX(職員マスタ!$B$6:$B$405,$AP2261)," ","")," ","")),"氏名がマスタと相違／","")&amp;IF(AND($Q2261&lt;&gt;"",INDEX(職員マスタ!$E$6:$E$405,$AP2261)&lt;&gt;"",$Q2261&lt;&gt;INDEX(職員マスタ!$E$6:$E$405,$AP2261)),"子の生年月日がマスタと相違／","")&amp;IF(AND($L2261&lt;&gt;"",INDEX(職員マスタ!$G$6:$G$405,$AP2261)&lt;&gt;"",$L2261&lt;&gt;INDEX(職員マスタ!$G$6:$G$405,$AP2261)),"時短開始日がマスタと相違／","")&amp;IF(AND($M2261&lt;&gt;"",INDEX(職員マスタ!$H$6:$H$405,$AP2261)&lt;&gt;"",$M2261&lt;&gt;INDEX(職員マスタ!$H$6:$H$405,$AP2261)),"時短終了日がマスタと相違／","")))&amp;IF(AND($B2261&lt;&gt;"",$E2261=""),"報酬額が未入力／","")&amp;IF(N($U2261)&gt;0,"申請書に入力エラーが残っています／","")&amp;IF(AND($B2261&lt;&gt;"",$AQ2261&lt;&gt;""),IF(COUNTIFS($B$6:$B$3005,$B2261,$C$6:$C$3005,$C2261,$D$6:$D$3005,$D2261)&gt;1,"同じ月の請求が重複しています／",""),"")&amp;IF(AND(N($E2261)&gt;0,$AB2261&lt;&gt;"",$AB2261&lt;&gt;"×",$AE2261=0,$AD2261=""),"計算額が下限以下のため不支給／",""))</f>
        <v/>
      </c>
      <c r="AN2261" s="12" t="n"/>
      <c r="AO2261" s="14">
        <f>IF($AF2261="保留中",COUNTIF($AF$6:$AF2261,"保留中"),"")</f>
        <v/>
      </c>
      <c r="AP2261" s="14">
        <f>IF($AQ2261="","",IF(SUMPRODUCT(MAX((職員マスタ!$A$6:$A$405=$B2261)*(((職員マスタ!$G$6:$G$405="")+(職員マスタ!$G$6:$G$405&lt;=EOMONTH($AQ2261,0)))&gt;0)*(((職員マスタ!$H$6:$H$405="")+(職員マスタ!$H$6:$H$405&gt;=$AQ2261))&gt;0)*(ROW(職員マスタ!$A$6:$A$405)-5)))&gt;0,SUMPRODUCT(MAX((職員マスタ!$A$6:$A$405=$B2261)*(((職員マスタ!$G$6:$G$405="")+(職員マスタ!$G$6:$G$405&lt;=EOMONTH($AQ2261,0)))&gt;0)*(((職員マスタ!$H$6:$H$405="")+(職員マスタ!$H$6:$H$405&gt;=$AQ2261))&gt;0)*(ROW(職員マスタ!$A$6:$A$405)-5))),IFERROR(MATCH($B2261,職員マスタ!$A$6:$A$405,0),"")))</f>
        <v/>
      </c>
      <c r="AQ2261" s="16">
        <f>IF(OR($B2261="",$C2261="",$D2261=""),"",DATE($C2261+2018,$D2261,1))</f>
        <v/>
      </c>
    </row>
    <row r="2262">
      <c r="A2262" s="11" t="n"/>
      <c r="B2262" s="12" t="n"/>
      <c r="C2262" s="12" t="n"/>
      <c r="D2262" s="12" t="n"/>
      <c r="E2262" s="13" t="n"/>
      <c r="F2262" s="12" t="n"/>
      <c r="G2262" s="13" t="n"/>
      <c r="H2262" s="12" t="n"/>
      <c r="I2262" s="12" t="n"/>
      <c r="J2262" s="12" t="n"/>
      <c r="K2262" s="12" t="n"/>
      <c r="L2262" s="11" t="n"/>
      <c r="M2262" s="11" t="n"/>
      <c r="N2262" s="11" t="n"/>
      <c r="O2262" s="11" t="n"/>
      <c r="P2262" s="12" t="n"/>
      <c r="Q2262" s="11" t="n"/>
      <c r="R2262" s="12" t="n"/>
      <c r="S2262" s="11" t="n"/>
      <c r="T2262" s="12" t="n"/>
      <c r="U2262" s="12" t="n"/>
      <c r="V2262" s="12" t="n"/>
      <c r="W2262" s="13" t="n"/>
      <c r="X2262" s="14">
        <f>IF($AP2262="",IF($B2262="","",$H2262),IF(INDEX(職員マスタ!$B$6:$B$405,$AP2262)="",$H2262,INDEX(職員マスタ!$B$6:$B$405,$AP2262)))</f>
        <v/>
      </c>
      <c r="Y2262" s="14">
        <f>IF($AP2262="",IF($B2262="","",$R2262),IF(INDEX(職員マスタ!$C$6:$C$405,$AP2262)="",$R2262,INDEX(職員マスタ!$C$6:$C$405,$AP2262)))</f>
        <v/>
      </c>
      <c r="Z2262" s="14">
        <f>IF($AQ2262="","","R"&amp;$C2262&amp;"."&amp;$D2262)</f>
        <v/>
      </c>
      <c r="AA2262" s="15">
        <f>IF(IF($AP2262="",FALSE,INDEX(職員マスタ!$K$6:$K$405,$AP2262)&lt;&gt;""),INDEX(職員マスタ!$K$6:$K$405,$AP2262),IF(N($W2262)&gt;0,$W2262,""))</f>
        <v/>
      </c>
      <c r="AB2262" s="14">
        <f>IF(OR($E2262="",$AA2262=""),"",IF($E2262&gt;=$AA2262,"×",IF($E2262&gt;=$AA2262*設定!$C$5,"△","○")))</f>
        <v/>
      </c>
      <c r="AC2262" s="15">
        <f>IF($AB2262="","",IF($AB2262="×",0,IF($AB2262="○",ROUNDDOWN($E2262*設定!$C$4,0),ROUNDDOWN($E2262*ROUND((9*$AA2262-9*$E2262)/(10*$E2262),4),0))))</f>
        <v/>
      </c>
      <c r="AD2262" s="13" t="n"/>
      <c r="AE2262" s="15">
        <f>IF($B2262="","",IF($AD2262&lt;&gt;"",$AD2262,IF($AC2262="","",IF($AC2262&lt;=設定!$C$3,0,$AC2262))))</f>
        <v/>
      </c>
      <c r="AF2262" s="14">
        <f>IF($B2262="","",IF(AND($AG2262&lt;&gt;"",$AI2262="",$AL2262=""),"保留中",IF($AL2262&lt;&gt;"",IF(N($AE2262)&gt;0,"支給済","不支給"),IF($AE2262="","要確認",IF($AE2262=0,"不支給","未処理")))))</f>
        <v/>
      </c>
      <c r="AG2262" s="12" t="n"/>
      <c r="AH2262" s="11" t="n"/>
      <c r="AI2262" s="11" t="n"/>
      <c r="AJ2262" s="11" t="n"/>
      <c r="AK2262" s="14">
        <f>IF(AND($AF2262="保留中",$AH2262&lt;&gt;""),TODAY()-$AH2262,"")</f>
        <v/>
      </c>
      <c r="AL2262" s="12" t="n"/>
      <c r="AM2262" s="14">
        <f>IF($B2262="","",IF($AQ2262="","対象年月が未入力／","")&amp;IF($B2262="","",IF($AP2262="","職員マスタに未登録の職員番号／",IF($AA2262="","標準報酬月額が未登録／","")&amp;IF(AND($AQ2262&lt;&gt;"",OR(AND(INDEX(職員マスタ!$G$6:$G$405,$AP2262)&lt;&gt;"",INDEX(職員マスタ!$G$6:$G$405,$AP2262)&gt;EOMONTH($AQ2262,0)),AND(INDEX(職員マスタ!$H$6:$H$405,$AP2262)&lt;&gt;"",INDEX(職員マスタ!$H$6:$H$405,$AP2262)&lt;$AQ2262))),"対象月が時短期間外／","")&amp;IF(AND(INDEX(職員マスタ!$K$6:$K$405,$AP2262)&lt;&gt;"",N($W2262)&gt;0,INDEX(職員マスタ!$K$6:$K$405,$AP2262)&lt;&gt;$W2262),"標準報酬月額が申請書と相違（台帳"&amp;TEXT(INDEX(職員マスタ!$K$6:$K$405,$AP2262),"#,##0")&amp;"円／申請書"&amp;TEXT($W2262,"#,##0")&amp;"円）／","")&amp;IF(AND(INDEX(職員マスタ!$F$6:$F$405,$AP2262)&lt;&gt;"",$AQ2262&lt;&gt;"",INDEX(職員マスタ!$F$6:$F$405,$AP2262)&lt;$AQ2262),"対象月に子が2歳到達済／","")&amp;IF(AND($H2262&lt;&gt;"",INDEX(職員マスタ!$B$6:$B$405,$AP2262)&lt;&gt;"",SUBSTITUTE(SUBSTITUTE($H2262," ","")," ","")&lt;&gt;SUBSTITUTE(SUBSTITUTE(INDEX(職員マスタ!$B$6:$B$405,$AP2262)," ","")," ","")),"氏名がマスタと相違／","")&amp;IF(AND($Q2262&lt;&gt;"",INDEX(職員マスタ!$E$6:$E$405,$AP2262)&lt;&gt;"",$Q2262&lt;&gt;INDEX(職員マスタ!$E$6:$E$405,$AP2262)),"子の生年月日がマスタと相違／","")&amp;IF(AND($L2262&lt;&gt;"",INDEX(職員マスタ!$G$6:$G$405,$AP2262)&lt;&gt;"",$L2262&lt;&gt;INDEX(職員マスタ!$G$6:$G$405,$AP2262)),"時短開始日がマスタと相違／","")&amp;IF(AND($M2262&lt;&gt;"",INDEX(職員マスタ!$H$6:$H$405,$AP2262)&lt;&gt;"",$M2262&lt;&gt;INDEX(職員マスタ!$H$6:$H$405,$AP2262)),"時短終了日がマスタと相違／","")))&amp;IF(AND($B2262&lt;&gt;"",$E2262=""),"報酬額が未入力／","")&amp;IF(N($U2262)&gt;0,"申請書に入力エラーが残っています／","")&amp;IF(AND($B2262&lt;&gt;"",$AQ2262&lt;&gt;""),IF(COUNTIFS($B$6:$B$3005,$B2262,$C$6:$C$3005,$C2262,$D$6:$D$3005,$D2262)&gt;1,"同じ月の請求が重複しています／",""),"")&amp;IF(AND(N($E2262)&gt;0,$AB2262&lt;&gt;"",$AB2262&lt;&gt;"×",$AE2262=0,$AD2262=""),"計算額が下限以下のため不支給／",""))</f>
        <v/>
      </c>
      <c r="AN2262" s="12" t="n"/>
      <c r="AO2262" s="14">
        <f>IF($AF2262="保留中",COUNTIF($AF$6:$AF2262,"保留中"),"")</f>
        <v/>
      </c>
      <c r="AP2262" s="14">
        <f>IF($AQ2262="","",IF(SUMPRODUCT(MAX((職員マスタ!$A$6:$A$405=$B2262)*(((職員マスタ!$G$6:$G$405="")+(職員マスタ!$G$6:$G$405&lt;=EOMONTH($AQ2262,0)))&gt;0)*(((職員マスタ!$H$6:$H$405="")+(職員マスタ!$H$6:$H$405&gt;=$AQ2262))&gt;0)*(ROW(職員マスタ!$A$6:$A$405)-5)))&gt;0,SUMPRODUCT(MAX((職員マスタ!$A$6:$A$405=$B2262)*(((職員マスタ!$G$6:$G$405="")+(職員マスタ!$G$6:$G$405&lt;=EOMONTH($AQ2262,0)))&gt;0)*(((職員マスタ!$H$6:$H$405="")+(職員マスタ!$H$6:$H$405&gt;=$AQ2262))&gt;0)*(ROW(職員マスタ!$A$6:$A$405)-5))),IFERROR(MATCH($B2262,職員マスタ!$A$6:$A$405,0),"")))</f>
        <v/>
      </c>
      <c r="AQ2262" s="16">
        <f>IF(OR($B2262="",$C2262="",$D2262=""),"",DATE($C2262+2018,$D2262,1))</f>
        <v/>
      </c>
    </row>
    <row r="2263">
      <c r="A2263" s="11" t="n"/>
      <c r="B2263" s="12" t="n"/>
      <c r="C2263" s="12" t="n"/>
      <c r="D2263" s="12" t="n"/>
      <c r="E2263" s="13" t="n"/>
      <c r="F2263" s="12" t="n"/>
      <c r="G2263" s="13" t="n"/>
      <c r="H2263" s="12" t="n"/>
      <c r="I2263" s="12" t="n"/>
      <c r="J2263" s="12" t="n"/>
      <c r="K2263" s="12" t="n"/>
      <c r="L2263" s="11" t="n"/>
      <c r="M2263" s="11" t="n"/>
      <c r="N2263" s="11" t="n"/>
      <c r="O2263" s="11" t="n"/>
      <c r="P2263" s="12" t="n"/>
      <c r="Q2263" s="11" t="n"/>
      <c r="R2263" s="12" t="n"/>
      <c r="S2263" s="11" t="n"/>
      <c r="T2263" s="12" t="n"/>
      <c r="U2263" s="12" t="n"/>
      <c r="V2263" s="12" t="n"/>
      <c r="W2263" s="13" t="n"/>
      <c r="X2263" s="14">
        <f>IF($AP2263="",IF($B2263="","",$H2263),IF(INDEX(職員マスタ!$B$6:$B$405,$AP2263)="",$H2263,INDEX(職員マスタ!$B$6:$B$405,$AP2263)))</f>
        <v/>
      </c>
      <c r="Y2263" s="14">
        <f>IF($AP2263="",IF($B2263="","",$R2263),IF(INDEX(職員マスタ!$C$6:$C$405,$AP2263)="",$R2263,INDEX(職員マスタ!$C$6:$C$405,$AP2263)))</f>
        <v/>
      </c>
      <c r="Z2263" s="14">
        <f>IF($AQ2263="","","R"&amp;$C2263&amp;"."&amp;$D2263)</f>
        <v/>
      </c>
      <c r="AA2263" s="15">
        <f>IF(IF($AP2263="",FALSE,INDEX(職員マスタ!$K$6:$K$405,$AP2263)&lt;&gt;""),INDEX(職員マスタ!$K$6:$K$405,$AP2263),IF(N($W2263)&gt;0,$W2263,""))</f>
        <v/>
      </c>
      <c r="AB2263" s="14">
        <f>IF(OR($E2263="",$AA2263=""),"",IF($E2263&gt;=$AA2263,"×",IF($E2263&gt;=$AA2263*設定!$C$5,"△","○")))</f>
        <v/>
      </c>
      <c r="AC2263" s="15">
        <f>IF($AB2263="","",IF($AB2263="×",0,IF($AB2263="○",ROUNDDOWN($E2263*設定!$C$4,0),ROUNDDOWN($E2263*ROUND((9*$AA2263-9*$E2263)/(10*$E2263),4),0))))</f>
        <v/>
      </c>
      <c r="AD2263" s="13" t="n"/>
      <c r="AE2263" s="15">
        <f>IF($B2263="","",IF($AD2263&lt;&gt;"",$AD2263,IF($AC2263="","",IF($AC2263&lt;=設定!$C$3,0,$AC2263))))</f>
        <v/>
      </c>
      <c r="AF2263" s="14">
        <f>IF($B2263="","",IF(AND($AG2263&lt;&gt;"",$AI2263="",$AL2263=""),"保留中",IF($AL2263&lt;&gt;"",IF(N($AE2263)&gt;0,"支給済","不支給"),IF($AE2263="","要確認",IF($AE2263=0,"不支給","未処理")))))</f>
        <v/>
      </c>
      <c r="AG2263" s="12" t="n"/>
      <c r="AH2263" s="11" t="n"/>
      <c r="AI2263" s="11" t="n"/>
      <c r="AJ2263" s="11" t="n"/>
      <c r="AK2263" s="14">
        <f>IF(AND($AF2263="保留中",$AH2263&lt;&gt;""),TODAY()-$AH2263,"")</f>
        <v/>
      </c>
      <c r="AL2263" s="12" t="n"/>
      <c r="AM2263" s="14">
        <f>IF($B2263="","",IF($AQ2263="","対象年月が未入力／","")&amp;IF($B2263="","",IF($AP2263="","職員マスタに未登録の職員番号／",IF($AA2263="","標準報酬月額が未登録／","")&amp;IF(AND($AQ2263&lt;&gt;"",OR(AND(INDEX(職員マスタ!$G$6:$G$405,$AP2263)&lt;&gt;"",INDEX(職員マスタ!$G$6:$G$405,$AP2263)&gt;EOMONTH($AQ2263,0)),AND(INDEX(職員マスタ!$H$6:$H$405,$AP2263)&lt;&gt;"",INDEX(職員マスタ!$H$6:$H$405,$AP2263)&lt;$AQ2263))),"対象月が時短期間外／","")&amp;IF(AND(INDEX(職員マスタ!$K$6:$K$405,$AP2263)&lt;&gt;"",N($W2263)&gt;0,INDEX(職員マスタ!$K$6:$K$405,$AP2263)&lt;&gt;$W2263),"標準報酬月額が申請書と相違（台帳"&amp;TEXT(INDEX(職員マスタ!$K$6:$K$405,$AP2263),"#,##0")&amp;"円／申請書"&amp;TEXT($W2263,"#,##0")&amp;"円）／","")&amp;IF(AND(INDEX(職員マスタ!$F$6:$F$405,$AP2263)&lt;&gt;"",$AQ2263&lt;&gt;"",INDEX(職員マスタ!$F$6:$F$405,$AP2263)&lt;$AQ2263),"対象月に子が2歳到達済／","")&amp;IF(AND($H2263&lt;&gt;"",INDEX(職員マスタ!$B$6:$B$405,$AP2263)&lt;&gt;"",SUBSTITUTE(SUBSTITUTE($H2263," ","")," ","")&lt;&gt;SUBSTITUTE(SUBSTITUTE(INDEX(職員マスタ!$B$6:$B$405,$AP2263)," ","")," ","")),"氏名がマスタと相違／","")&amp;IF(AND($Q2263&lt;&gt;"",INDEX(職員マスタ!$E$6:$E$405,$AP2263)&lt;&gt;"",$Q2263&lt;&gt;INDEX(職員マスタ!$E$6:$E$405,$AP2263)),"子の生年月日がマスタと相違／","")&amp;IF(AND($L2263&lt;&gt;"",INDEX(職員マスタ!$G$6:$G$405,$AP2263)&lt;&gt;"",$L2263&lt;&gt;INDEX(職員マスタ!$G$6:$G$405,$AP2263)),"時短開始日がマスタと相違／","")&amp;IF(AND($M2263&lt;&gt;"",INDEX(職員マスタ!$H$6:$H$405,$AP2263)&lt;&gt;"",$M2263&lt;&gt;INDEX(職員マスタ!$H$6:$H$405,$AP2263)),"時短終了日がマスタと相違／","")))&amp;IF(AND($B2263&lt;&gt;"",$E2263=""),"報酬額が未入力／","")&amp;IF(N($U2263)&gt;0,"申請書に入力エラーが残っています／","")&amp;IF(AND($B2263&lt;&gt;"",$AQ2263&lt;&gt;""),IF(COUNTIFS($B$6:$B$3005,$B2263,$C$6:$C$3005,$C2263,$D$6:$D$3005,$D2263)&gt;1,"同じ月の請求が重複しています／",""),"")&amp;IF(AND(N($E2263)&gt;0,$AB2263&lt;&gt;"",$AB2263&lt;&gt;"×",$AE2263=0,$AD2263=""),"計算額が下限以下のため不支給／",""))</f>
        <v/>
      </c>
      <c r="AN2263" s="12" t="n"/>
      <c r="AO2263" s="14">
        <f>IF($AF2263="保留中",COUNTIF($AF$6:$AF2263,"保留中"),"")</f>
        <v/>
      </c>
      <c r="AP2263" s="14">
        <f>IF($AQ2263="","",IF(SUMPRODUCT(MAX((職員マスタ!$A$6:$A$405=$B2263)*(((職員マスタ!$G$6:$G$405="")+(職員マスタ!$G$6:$G$405&lt;=EOMONTH($AQ2263,0)))&gt;0)*(((職員マスタ!$H$6:$H$405="")+(職員マスタ!$H$6:$H$405&gt;=$AQ2263))&gt;0)*(ROW(職員マスタ!$A$6:$A$405)-5)))&gt;0,SUMPRODUCT(MAX((職員マスタ!$A$6:$A$405=$B2263)*(((職員マスタ!$G$6:$G$405="")+(職員マスタ!$G$6:$G$405&lt;=EOMONTH($AQ2263,0)))&gt;0)*(((職員マスタ!$H$6:$H$405="")+(職員マスタ!$H$6:$H$405&gt;=$AQ2263))&gt;0)*(ROW(職員マスタ!$A$6:$A$405)-5))),IFERROR(MATCH($B2263,職員マスタ!$A$6:$A$405,0),"")))</f>
        <v/>
      </c>
      <c r="AQ2263" s="16">
        <f>IF(OR($B2263="",$C2263="",$D2263=""),"",DATE($C2263+2018,$D2263,1))</f>
        <v/>
      </c>
    </row>
    <row r="2264">
      <c r="A2264" s="11" t="n"/>
      <c r="B2264" s="12" t="n"/>
      <c r="C2264" s="12" t="n"/>
      <c r="D2264" s="12" t="n"/>
      <c r="E2264" s="13" t="n"/>
      <c r="F2264" s="12" t="n"/>
      <c r="G2264" s="13" t="n"/>
      <c r="H2264" s="12" t="n"/>
      <c r="I2264" s="12" t="n"/>
      <c r="J2264" s="12" t="n"/>
      <c r="K2264" s="12" t="n"/>
      <c r="L2264" s="11" t="n"/>
      <c r="M2264" s="11" t="n"/>
      <c r="N2264" s="11" t="n"/>
      <c r="O2264" s="11" t="n"/>
      <c r="P2264" s="12" t="n"/>
      <c r="Q2264" s="11" t="n"/>
      <c r="R2264" s="12" t="n"/>
      <c r="S2264" s="11" t="n"/>
      <c r="T2264" s="12" t="n"/>
      <c r="U2264" s="12" t="n"/>
      <c r="V2264" s="12" t="n"/>
      <c r="W2264" s="13" t="n"/>
      <c r="X2264" s="14">
        <f>IF($AP2264="",IF($B2264="","",$H2264),IF(INDEX(職員マスタ!$B$6:$B$405,$AP2264)="",$H2264,INDEX(職員マスタ!$B$6:$B$405,$AP2264)))</f>
        <v/>
      </c>
      <c r="Y2264" s="14">
        <f>IF($AP2264="",IF($B2264="","",$R2264),IF(INDEX(職員マスタ!$C$6:$C$405,$AP2264)="",$R2264,INDEX(職員マスタ!$C$6:$C$405,$AP2264)))</f>
        <v/>
      </c>
      <c r="Z2264" s="14">
        <f>IF($AQ2264="","","R"&amp;$C2264&amp;"."&amp;$D2264)</f>
        <v/>
      </c>
      <c r="AA2264" s="15">
        <f>IF(IF($AP2264="",FALSE,INDEX(職員マスタ!$K$6:$K$405,$AP2264)&lt;&gt;""),INDEX(職員マスタ!$K$6:$K$405,$AP2264),IF(N($W2264)&gt;0,$W2264,""))</f>
        <v/>
      </c>
      <c r="AB2264" s="14">
        <f>IF(OR($E2264="",$AA2264=""),"",IF($E2264&gt;=$AA2264,"×",IF($E2264&gt;=$AA2264*設定!$C$5,"△","○")))</f>
        <v/>
      </c>
      <c r="AC2264" s="15">
        <f>IF($AB2264="","",IF($AB2264="×",0,IF($AB2264="○",ROUNDDOWN($E2264*設定!$C$4,0),ROUNDDOWN($E2264*ROUND((9*$AA2264-9*$E2264)/(10*$E2264),4),0))))</f>
        <v/>
      </c>
      <c r="AD2264" s="13" t="n"/>
      <c r="AE2264" s="15">
        <f>IF($B2264="","",IF($AD2264&lt;&gt;"",$AD2264,IF($AC2264="","",IF($AC2264&lt;=設定!$C$3,0,$AC2264))))</f>
        <v/>
      </c>
      <c r="AF2264" s="14">
        <f>IF($B2264="","",IF(AND($AG2264&lt;&gt;"",$AI2264="",$AL2264=""),"保留中",IF($AL2264&lt;&gt;"",IF(N($AE2264)&gt;0,"支給済","不支給"),IF($AE2264="","要確認",IF($AE2264=0,"不支給","未処理")))))</f>
        <v/>
      </c>
      <c r="AG2264" s="12" t="n"/>
      <c r="AH2264" s="11" t="n"/>
      <c r="AI2264" s="11" t="n"/>
      <c r="AJ2264" s="11" t="n"/>
      <c r="AK2264" s="14">
        <f>IF(AND($AF2264="保留中",$AH2264&lt;&gt;""),TODAY()-$AH2264,"")</f>
        <v/>
      </c>
      <c r="AL2264" s="12" t="n"/>
      <c r="AM2264" s="14">
        <f>IF($B2264="","",IF($AQ2264="","対象年月が未入力／","")&amp;IF($B2264="","",IF($AP2264="","職員マスタに未登録の職員番号／",IF($AA2264="","標準報酬月額が未登録／","")&amp;IF(AND($AQ2264&lt;&gt;"",OR(AND(INDEX(職員マスタ!$G$6:$G$405,$AP2264)&lt;&gt;"",INDEX(職員マスタ!$G$6:$G$405,$AP2264)&gt;EOMONTH($AQ2264,0)),AND(INDEX(職員マスタ!$H$6:$H$405,$AP2264)&lt;&gt;"",INDEX(職員マスタ!$H$6:$H$405,$AP2264)&lt;$AQ2264))),"対象月が時短期間外／","")&amp;IF(AND(INDEX(職員マスタ!$K$6:$K$405,$AP2264)&lt;&gt;"",N($W2264)&gt;0,INDEX(職員マスタ!$K$6:$K$405,$AP2264)&lt;&gt;$W2264),"標準報酬月額が申請書と相違（台帳"&amp;TEXT(INDEX(職員マスタ!$K$6:$K$405,$AP2264),"#,##0")&amp;"円／申請書"&amp;TEXT($W2264,"#,##0")&amp;"円）／","")&amp;IF(AND(INDEX(職員マスタ!$F$6:$F$405,$AP2264)&lt;&gt;"",$AQ2264&lt;&gt;"",INDEX(職員マスタ!$F$6:$F$405,$AP2264)&lt;$AQ2264),"対象月に子が2歳到達済／","")&amp;IF(AND($H2264&lt;&gt;"",INDEX(職員マスタ!$B$6:$B$405,$AP2264)&lt;&gt;"",SUBSTITUTE(SUBSTITUTE($H2264," ","")," ","")&lt;&gt;SUBSTITUTE(SUBSTITUTE(INDEX(職員マスタ!$B$6:$B$405,$AP2264)," ","")," ","")),"氏名がマスタと相違／","")&amp;IF(AND($Q2264&lt;&gt;"",INDEX(職員マスタ!$E$6:$E$405,$AP2264)&lt;&gt;"",$Q2264&lt;&gt;INDEX(職員マスタ!$E$6:$E$405,$AP2264)),"子の生年月日がマスタと相違／","")&amp;IF(AND($L2264&lt;&gt;"",INDEX(職員マスタ!$G$6:$G$405,$AP2264)&lt;&gt;"",$L2264&lt;&gt;INDEX(職員マスタ!$G$6:$G$405,$AP2264)),"時短開始日がマスタと相違／","")&amp;IF(AND($M2264&lt;&gt;"",INDEX(職員マスタ!$H$6:$H$405,$AP2264)&lt;&gt;"",$M2264&lt;&gt;INDEX(職員マスタ!$H$6:$H$405,$AP2264)),"時短終了日がマスタと相違／","")))&amp;IF(AND($B2264&lt;&gt;"",$E2264=""),"報酬額が未入力／","")&amp;IF(N($U2264)&gt;0,"申請書に入力エラーが残っています／","")&amp;IF(AND($B2264&lt;&gt;"",$AQ2264&lt;&gt;""),IF(COUNTIFS($B$6:$B$3005,$B2264,$C$6:$C$3005,$C2264,$D$6:$D$3005,$D2264)&gt;1,"同じ月の請求が重複しています／",""),"")&amp;IF(AND(N($E2264)&gt;0,$AB2264&lt;&gt;"",$AB2264&lt;&gt;"×",$AE2264=0,$AD2264=""),"計算額が下限以下のため不支給／",""))</f>
        <v/>
      </c>
      <c r="AN2264" s="12" t="n"/>
      <c r="AO2264" s="14">
        <f>IF($AF2264="保留中",COUNTIF($AF$6:$AF2264,"保留中"),"")</f>
        <v/>
      </c>
      <c r="AP2264" s="14">
        <f>IF($AQ2264="","",IF(SUMPRODUCT(MAX((職員マスタ!$A$6:$A$405=$B2264)*(((職員マスタ!$G$6:$G$405="")+(職員マスタ!$G$6:$G$405&lt;=EOMONTH($AQ2264,0)))&gt;0)*(((職員マスタ!$H$6:$H$405="")+(職員マスタ!$H$6:$H$405&gt;=$AQ2264))&gt;0)*(ROW(職員マスタ!$A$6:$A$405)-5)))&gt;0,SUMPRODUCT(MAX((職員マスタ!$A$6:$A$405=$B2264)*(((職員マスタ!$G$6:$G$405="")+(職員マスタ!$G$6:$G$405&lt;=EOMONTH($AQ2264,0)))&gt;0)*(((職員マスタ!$H$6:$H$405="")+(職員マスタ!$H$6:$H$405&gt;=$AQ2264))&gt;0)*(ROW(職員マスタ!$A$6:$A$405)-5))),IFERROR(MATCH($B2264,職員マスタ!$A$6:$A$405,0),"")))</f>
        <v/>
      </c>
      <c r="AQ2264" s="16">
        <f>IF(OR($B2264="",$C2264="",$D2264=""),"",DATE($C2264+2018,$D2264,1))</f>
        <v/>
      </c>
    </row>
    <row r="2265">
      <c r="A2265" s="11" t="n"/>
      <c r="B2265" s="12" t="n"/>
      <c r="C2265" s="12" t="n"/>
      <c r="D2265" s="12" t="n"/>
      <c r="E2265" s="13" t="n"/>
      <c r="F2265" s="12" t="n"/>
      <c r="G2265" s="13" t="n"/>
      <c r="H2265" s="12" t="n"/>
      <c r="I2265" s="12" t="n"/>
      <c r="J2265" s="12" t="n"/>
      <c r="K2265" s="12" t="n"/>
      <c r="L2265" s="11" t="n"/>
      <c r="M2265" s="11" t="n"/>
      <c r="N2265" s="11" t="n"/>
      <c r="O2265" s="11" t="n"/>
      <c r="P2265" s="12" t="n"/>
      <c r="Q2265" s="11" t="n"/>
      <c r="R2265" s="12" t="n"/>
      <c r="S2265" s="11" t="n"/>
      <c r="T2265" s="12" t="n"/>
      <c r="U2265" s="12" t="n"/>
      <c r="V2265" s="12" t="n"/>
      <c r="W2265" s="13" t="n"/>
      <c r="X2265" s="14">
        <f>IF($AP2265="",IF($B2265="","",$H2265),IF(INDEX(職員マスタ!$B$6:$B$405,$AP2265)="",$H2265,INDEX(職員マスタ!$B$6:$B$405,$AP2265)))</f>
        <v/>
      </c>
      <c r="Y2265" s="14">
        <f>IF($AP2265="",IF($B2265="","",$R2265),IF(INDEX(職員マスタ!$C$6:$C$405,$AP2265)="",$R2265,INDEX(職員マスタ!$C$6:$C$405,$AP2265)))</f>
        <v/>
      </c>
      <c r="Z2265" s="14">
        <f>IF($AQ2265="","","R"&amp;$C2265&amp;"."&amp;$D2265)</f>
        <v/>
      </c>
      <c r="AA2265" s="15">
        <f>IF(IF($AP2265="",FALSE,INDEX(職員マスタ!$K$6:$K$405,$AP2265)&lt;&gt;""),INDEX(職員マスタ!$K$6:$K$405,$AP2265),IF(N($W2265)&gt;0,$W2265,""))</f>
        <v/>
      </c>
      <c r="AB2265" s="14">
        <f>IF(OR($E2265="",$AA2265=""),"",IF($E2265&gt;=$AA2265,"×",IF($E2265&gt;=$AA2265*設定!$C$5,"△","○")))</f>
        <v/>
      </c>
      <c r="AC2265" s="15">
        <f>IF($AB2265="","",IF($AB2265="×",0,IF($AB2265="○",ROUNDDOWN($E2265*設定!$C$4,0),ROUNDDOWN($E2265*ROUND((9*$AA2265-9*$E2265)/(10*$E2265),4),0))))</f>
        <v/>
      </c>
      <c r="AD2265" s="13" t="n"/>
      <c r="AE2265" s="15">
        <f>IF($B2265="","",IF($AD2265&lt;&gt;"",$AD2265,IF($AC2265="","",IF($AC2265&lt;=設定!$C$3,0,$AC2265))))</f>
        <v/>
      </c>
      <c r="AF2265" s="14">
        <f>IF($B2265="","",IF(AND($AG2265&lt;&gt;"",$AI2265="",$AL2265=""),"保留中",IF($AL2265&lt;&gt;"",IF(N($AE2265)&gt;0,"支給済","不支給"),IF($AE2265="","要確認",IF($AE2265=0,"不支給","未処理")))))</f>
        <v/>
      </c>
      <c r="AG2265" s="12" t="n"/>
      <c r="AH2265" s="11" t="n"/>
      <c r="AI2265" s="11" t="n"/>
      <c r="AJ2265" s="11" t="n"/>
      <c r="AK2265" s="14">
        <f>IF(AND($AF2265="保留中",$AH2265&lt;&gt;""),TODAY()-$AH2265,"")</f>
        <v/>
      </c>
      <c r="AL2265" s="12" t="n"/>
      <c r="AM2265" s="14">
        <f>IF($B2265="","",IF($AQ2265="","対象年月が未入力／","")&amp;IF($B2265="","",IF($AP2265="","職員マスタに未登録の職員番号／",IF($AA2265="","標準報酬月額が未登録／","")&amp;IF(AND($AQ2265&lt;&gt;"",OR(AND(INDEX(職員マスタ!$G$6:$G$405,$AP2265)&lt;&gt;"",INDEX(職員マスタ!$G$6:$G$405,$AP2265)&gt;EOMONTH($AQ2265,0)),AND(INDEX(職員マスタ!$H$6:$H$405,$AP2265)&lt;&gt;"",INDEX(職員マスタ!$H$6:$H$405,$AP2265)&lt;$AQ2265))),"対象月が時短期間外／","")&amp;IF(AND(INDEX(職員マスタ!$K$6:$K$405,$AP2265)&lt;&gt;"",N($W2265)&gt;0,INDEX(職員マスタ!$K$6:$K$405,$AP2265)&lt;&gt;$W2265),"標準報酬月額が申請書と相違（台帳"&amp;TEXT(INDEX(職員マスタ!$K$6:$K$405,$AP2265),"#,##0")&amp;"円／申請書"&amp;TEXT($W2265,"#,##0")&amp;"円）／","")&amp;IF(AND(INDEX(職員マスタ!$F$6:$F$405,$AP2265)&lt;&gt;"",$AQ2265&lt;&gt;"",INDEX(職員マスタ!$F$6:$F$405,$AP2265)&lt;$AQ2265),"対象月に子が2歳到達済／","")&amp;IF(AND($H2265&lt;&gt;"",INDEX(職員マスタ!$B$6:$B$405,$AP2265)&lt;&gt;"",SUBSTITUTE(SUBSTITUTE($H2265," ","")," ","")&lt;&gt;SUBSTITUTE(SUBSTITUTE(INDEX(職員マスタ!$B$6:$B$405,$AP2265)," ","")," ","")),"氏名がマスタと相違／","")&amp;IF(AND($Q2265&lt;&gt;"",INDEX(職員マスタ!$E$6:$E$405,$AP2265)&lt;&gt;"",$Q2265&lt;&gt;INDEX(職員マスタ!$E$6:$E$405,$AP2265)),"子の生年月日がマスタと相違／","")&amp;IF(AND($L2265&lt;&gt;"",INDEX(職員マスタ!$G$6:$G$405,$AP2265)&lt;&gt;"",$L2265&lt;&gt;INDEX(職員マスタ!$G$6:$G$405,$AP2265)),"時短開始日がマスタと相違／","")&amp;IF(AND($M2265&lt;&gt;"",INDEX(職員マスタ!$H$6:$H$405,$AP2265)&lt;&gt;"",$M2265&lt;&gt;INDEX(職員マスタ!$H$6:$H$405,$AP2265)),"時短終了日がマスタと相違／","")))&amp;IF(AND($B2265&lt;&gt;"",$E2265=""),"報酬額が未入力／","")&amp;IF(N($U2265)&gt;0,"申請書に入力エラーが残っています／","")&amp;IF(AND($B2265&lt;&gt;"",$AQ2265&lt;&gt;""),IF(COUNTIFS($B$6:$B$3005,$B2265,$C$6:$C$3005,$C2265,$D$6:$D$3005,$D2265)&gt;1,"同じ月の請求が重複しています／",""),"")&amp;IF(AND(N($E2265)&gt;0,$AB2265&lt;&gt;"",$AB2265&lt;&gt;"×",$AE2265=0,$AD2265=""),"計算額が下限以下のため不支給／",""))</f>
        <v/>
      </c>
      <c r="AN2265" s="12" t="n"/>
      <c r="AO2265" s="14">
        <f>IF($AF2265="保留中",COUNTIF($AF$6:$AF2265,"保留中"),"")</f>
        <v/>
      </c>
      <c r="AP2265" s="14">
        <f>IF($AQ2265="","",IF(SUMPRODUCT(MAX((職員マスタ!$A$6:$A$405=$B2265)*(((職員マスタ!$G$6:$G$405="")+(職員マスタ!$G$6:$G$405&lt;=EOMONTH($AQ2265,0)))&gt;0)*(((職員マスタ!$H$6:$H$405="")+(職員マスタ!$H$6:$H$405&gt;=$AQ2265))&gt;0)*(ROW(職員マスタ!$A$6:$A$405)-5)))&gt;0,SUMPRODUCT(MAX((職員マスタ!$A$6:$A$405=$B2265)*(((職員マスタ!$G$6:$G$405="")+(職員マスタ!$G$6:$G$405&lt;=EOMONTH($AQ2265,0)))&gt;0)*(((職員マスタ!$H$6:$H$405="")+(職員マスタ!$H$6:$H$405&gt;=$AQ2265))&gt;0)*(ROW(職員マスタ!$A$6:$A$405)-5))),IFERROR(MATCH($B2265,職員マスタ!$A$6:$A$405,0),"")))</f>
        <v/>
      </c>
      <c r="AQ2265" s="16">
        <f>IF(OR($B2265="",$C2265="",$D2265=""),"",DATE($C2265+2018,$D2265,1))</f>
        <v/>
      </c>
    </row>
    <row r="2266">
      <c r="A2266" s="11" t="n"/>
      <c r="B2266" s="12" t="n"/>
      <c r="C2266" s="12" t="n"/>
      <c r="D2266" s="12" t="n"/>
      <c r="E2266" s="13" t="n"/>
      <c r="F2266" s="12" t="n"/>
      <c r="G2266" s="13" t="n"/>
      <c r="H2266" s="12" t="n"/>
      <c r="I2266" s="12" t="n"/>
      <c r="J2266" s="12" t="n"/>
      <c r="K2266" s="12" t="n"/>
      <c r="L2266" s="11" t="n"/>
      <c r="M2266" s="11" t="n"/>
      <c r="N2266" s="11" t="n"/>
      <c r="O2266" s="11" t="n"/>
      <c r="P2266" s="12" t="n"/>
      <c r="Q2266" s="11" t="n"/>
      <c r="R2266" s="12" t="n"/>
      <c r="S2266" s="11" t="n"/>
      <c r="T2266" s="12" t="n"/>
      <c r="U2266" s="12" t="n"/>
      <c r="V2266" s="12" t="n"/>
      <c r="W2266" s="13" t="n"/>
      <c r="X2266" s="14">
        <f>IF($AP2266="",IF($B2266="","",$H2266),IF(INDEX(職員マスタ!$B$6:$B$405,$AP2266)="",$H2266,INDEX(職員マスタ!$B$6:$B$405,$AP2266)))</f>
        <v/>
      </c>
      <c r="Y2266" s="14">
        <f>IF($AP2266="",IF($B2266="","",$R2266),IF(INDEX(職員マスタ!$C$6:$C$405,$AP2266)="",$R2266,INDEX(職員マスタ!$C$6:$C$405,$AP2266)))</f>
        <v/>
      </c>
      <c r="Z2266" s="14">
        <f>IF($AQ2266="","","R"&amp;$C2266&amp;"."&amp;$D2266)</f>
        <v/>
      </c>
      <c r="AA2266" s="15">
        <f>IF(IF($AP2266="",FALSE,INDEX(職員マスタ!$K$6:$K$405,$AP2266)&lt;&gt;""),INDEX(職員マスタ!$K$6:$K$405,$AP2266),IF(N($W2266)&gt;0,$W2266,""))</f>
        <v/>
      </c>
      <c r="AB2266" s="14">
        <f>IF(OR($E2266="",$AA2266=""),"",IF($E2266&gt;=$AA2266,"×",IF($E2266&gt;=$AA2266*設定!$C$5,"△","○")))</f>
        <v/>
      </c>
      <c r="AC2266" s="15">
        <f>IF($AB2266="","",IF($AB2266="×",0,IF($AB2266="○",ROUNDDOWN($E2266*設定!$C$4,0),ROUNDDOWN($E2266*ROUND((9*$AA2266-9*$E2266)/(10*$E2266),4),0))))</f>
        <v/>
      </c>
      <c r="AD2266" s="13" t="n"/>
      <c r="AE2266" s="15">
        <f>IF($B2266="","",IF($AD2266&lt;&gt;"",$AD2266,IF($AC2266="","",IF($AC2266&lt;=設定!$C$3,0,$AC2266))))</f>
        <v/>
      </c>
      <c r="AF2266" s="14">
        <f>IF($B2266="","",IF(AND($AG2266&lt;&gt;"",$AI2266="",$AL2266=""),"保留中",IF($AL2266&lt;&gt;"",IF(N($AE2266)&gt;0,"支給済","不支給"),IF($AE2266="","要確認",IF($AE2266=0,"不支給","未処理")))))</f>
        <v/>
      </c>
      <c r="AG2266" s="12" t="n"/>
      <c r="AH2266" s="11" t="n"/>
      <c r="AI2266" s="11" t="n"/>
      <c r="AJ2266" s="11" t="n"/>
      <c r="AK2266" s="14">
        <f>IF(AND($AF2266="保留中",$AH2266&lt;&gt;""),TODAY()-$AH2266,"")</f>
        <v/>
      </c>
      <c r="AL2266" s="12" t="n"/>
      <c r="AM2266" s="14">
        <f>IF($B2266="","",IF($AQ2266="","対象年月が未入力／","")&amp;IF($B2266="","",IF($AP2266="","職員マスタに未登録の職員番号／",IF($AA2266="","標準報酬月額が未登録／","")&amp;IF(AND($AQ2266&lt;&gt;"",OR(AND(INDEX(職員マスタ!$G$6:$G$405,$AP2266)&lt;&gt;"",INDEX(職員マスタ!$G$6:$G$405,$AP2266)&gt;EOMONTH($AQ2266,0)),AND(INDEX(職員マスタ!$H$6:$H$405,$AP2266)&lt;&gt;"",INDEX(職員マスタ!$H$6:$H$405,$AP2266)&lt;$AQ2266))),"対象月が時短期間外／","")&amp;IF(AND(INDEX(職員マスタ!$K$6:$K$405,$AP2266)&lt;&gt;"",N($W2266)&gt;0,INDEX(職員マスタ!$K$6:$K$405,$AP2266)&lt;&gt;$W2266),"標準報酬月額が申請書と相違（台帳"&amp;TEXT(INDEX(職員マスタ!$K$6:$K$405,$AP2266),"#,##0")&amp;"円／申請書"&amp;TEXT($W2266,"#,##0")&amp;"円）／","")&amp;IF(AND(INDEX(職員マスタ!$F$6:$F$405,$AP2266)&lt;&gt;"",$AQ2266&lt;&gt;"",INDEX(職員マスタ!$F$6:$F$405,$AP2266)&lt;$AQ2266),"対象月に子が2歳到達済／","")&amp;IF(AND($H2266&lt;&gt;"",INDEX(職員マスタ!$B$6:$B$405,$AP2266)&lt;&gt;"",SUBSTITUTE(SUBSTITUTE($H2266," ","")," ","")&lt;&gt;SUBSTITUTE(SUBSTITUTE(INDEX(職員マスタ!$B$6:$B$405,$AP2266)," ","")," ","")),"氏名がマスタと相違／","")&amp;IF(AND($Q2266&lt;&gt;"",INDEX(職員マスタ!$E$6:$E$405,$AP2266)&lt;&gt;"",$Q2266&lt;&gt;INDEX(職員マスタ!$E$6:$E$405,$AP2266)),"子の生年月日がマスタと相違／","")&amp;IF(AND($L2266&lt;&gt;"",INDEX(職員マスタ!$G$6:$G$405,$AP2266)&lt;&gt;"",$L2266&lt;&gt;INDEX(職員マスタ!$G$6:$G$405,$AP2266)),"時短開始日がマスタと相違／","")&amp;IF(AND($M2266&lt;&gt;"",INDEX(職員マスタ!$H$6:$H$405,$AP2266)&lt;&gt;"",$M2266&lt;&gt;INDEX(職員マスタ!$H$6:$H$405,$AP2266)),"時短終了日がマスタと相違／","")))&amp;IF(AND($B2266&lt;&gt;"",$E2266=""),"報酬額が未入力／","")&amp;IF(N($U2266)&gt;0,"申請書に入力エラーが残っています／","")&amp;IF(AND($B2266&lt;&gt;"",$AQ2266&lt;&gt;""),IF(COUNTIFS($B$6:$B$3005,$B2266,$C$6:$C$3005,$C2266,$D$6:$D$3005,$D2266)&gt;1,"同じ月の請求が重複しています／",""),"")&amp;IF(AND(N($E2266)&gt;0,$AB2266&lt;&gt;"",$AB2266&lt;&gt;"×",$AE2266=0,$AD2266=""),"計算額が下限以下のため不支給／",""))</f>
        <v/>
      </c>
      <c r="AN2266" s="12" t="n"/>
      <c r="AO2266" s="14">
        <f>IF($AF2266="保留中",COUNTIF($AF$6:$AF2266,"保留中"),"")</f>
        <v/>
      </c>
      <c r="AP2266" s="14">
        <f>IF($AQ2266="","",IF(SUMPRODUCT(MAX((職員マスタ!$A$6:$A$405=$B2266)*(((職員マスタ!$G$6:$G$405="")+(職員マスタ!$G$6:$G$405&lt;=EOMONTH($AQ2266,0)))&gt;0)*(((職員マスタ!$H$6:$H$405="")+(職員マスタ!$H$6:$H$405&gt;=$AQ2266))&gt;0)*(ROW(職員マスタ!$A$6:$A$405)-5)))&gt;0,SUMPRODUCT(MAX((職員マスタ!$A$6:$A$405=$B2266)*(((職員マスタ!$G$6:$G$405="")+(職員マスタ!$G$6:$G$405&lt;=EOMONTH($AQ2266,0)))&gt;0)*(((職員マスタ!$H$6:$H$405="")+(職員マスタ!$H$6:$H$405&gt;=$AQ2266))&gt;0)*(ROW(職員マスタ!$A$6:$A$405)-5))),IFERROR(MATCH($B2266,職員マスタ!$A$6:$A$405,0),"")))</f>
        <v/>
      </c>
      <c r="AQ2266" s="16">
        <f>IF(OR($B2266="",$C2266="",$D2266=""),"",DATE($C2266+2018,$D2266,1))</f>
        <v/>
      </c>
    </row>
    <row r="2267">
      <c r="A2267" s="11" t="n"/>
      <c r="B2267" s="12" t="n"/>
      <c r="C2267" s="12" t="n"/>
      <c r="D2267" s="12" t="n"/>
      <c r="E2267" s="13" t="n"/>
      <c r="F2267" s="12" t="n"/>
      <c r="G2267" s="13" t="n"/>
      <c r="H2267" s="12" t="n"/>
      <c r="I2267" s="12" t="n"/>
      <c r="J2267" s="12" t="n"/>
      <c r="K2267" s="12" t="n"/>
      <c r="L2267" s="11" t="n"/>
      <c r="M2267" s="11" t="n"/>
      <c r="N2267" s="11" t="n"/>
      <c r="O2267" s="11" t="n"/>
      <c r="P2267" s="12" t="n"/>
      <c r="Q2267" s="11" t="n"/>
      <c r="R2267" s="12" t="n"/>
      <c r="S2267" s="11" t="n"/>
      <c r="T2267" s="12" t="n"/>
      <c r="U2267" s="12" t="n"/>
      <c r="V2267" s="12" t="n"/>
      <c r="W2267" s="13" t="n"/>
      <c r="X2267" s="14">
        <f>IF($AP2267="",IF($B2267="","",$H2267),IF(INDEX(職員マスタ!$B$6:$B$405,$AP2267)="",$H2267,INDEX(職員マスタ!$B$6:$B$405,$AP2267)))</f>
        <v/>
      </c>
      <c r="Y2267" s="14">
        <f>IF($AP2267="",IF($B2267="","",$R2267),IF(INDEX(職員マスタ!$C$6:$C$405,$AP2267)="",$R2267,INDEX(職員マスタ!$C$6:$C$405,$AP2267)))</f>
        <v/>
      </c>
      <c r="Z2267" s="14">
        <f>IF($AQ2267="","","R"&amp;$C2267&amp;"."&amp;$D2267)</f>
        <v/>
      </c>
      <c r="AA2267" s="15">
        <f>IF(IF($AP2267="",FALSE,INDEX(職員マスタ!$K$6:$K$405,$AP2267)&lt;&gt;""),INDEX(職員マスタ!$K$6:$K$405,$AP2267),IF(N($W2267)&gt;0,$W2267,""))</f>
        <v/>
      </c>
      <c r="AB2267" s="14">
        <f>IF(OR($E2267="",$AA2267=""),"",IF($E2267&gt;=$AA2267,"×",IF($E2267&gt;=$AA2267*設定!$C$5,"△","○")))</f>
        <v/>
      </c>
      <c r="AC2267" s="15">
        <f>IF($AB2267="","",IF($AB2267="×",0,IF($AB2267="○",ROUNDDOWN($E2267*設定!$C$4,0),ROUNDDOWN($E2267*ROUND((9*$AA2267-9*$E2267)/(10*$E2267),4),0))))</f>
        <v/>
      </c>
      <c r="AD2267" s="13" t="n"/>
      <c r="AE2267" s="15">
        <f>IF($B2267="","",IF($AD2267&lt;&gt;"",$AD2267,IF($AC2267="","",IF($AC2267&lt;=設定!$C$3,0,$AC2267))))</f>
        <v/>
      </c>
      <c r="AF2267" s="14">
        <f>IF($B2267="","",IF(AND($AG2267&lt;&gt;"",$AI2267="",$AL2267=""),"保留中",IF($AL2267&lt;&gt;"",IF(N($AE2267)&gt;0,"支給済","不支給"),IF($AE2267="","要確認",IF($AE2267=0,"不支給","未処理")))))</f>
        <v/>
      </c>
      <c r="AG2267" s="12" t="n"/>
      <c r="AH2267" s="11" t="n"/>
      <c r="AI2267" s="11" t="n"/>
      <c r="AJ2267" s="11" t="n"/>
      <c r="AK2267" s="14">
        <f>IF(AND($AF2267="保留中",$AH2267&lt;&gt;""),TODAY()-$AH2267,"")</f>
        <v/>
      </c>
      <c r="AL2267" s="12" t="n"/>
      <c r="AM2267" s="14">
        <f>IF($B2267="","",IF($AQ2267="","対象年月が未入力／","")&amp;IF($B2267="","",IF($AP2267="","職員マスタに未登録の職員番号／",IF($AA2267="","標準報酬月額が未登録／","")&amp;IF(AND($AQ2267&lt;&gt;"",OR(AND(INDEX(職員マスタ!$G$6:$G$405,$AP2267)&lt;&gt;"",INDEX(職員マスタ!$G$6:$G$405,$AP2267)&gt;EOMONTH($AQ2267,0)),AND(INDEX(職員マスタ!$H$6:$H$405,$AP2267)&lt;&gt;"",INDEX(職員マスタ!$H$6:$H$405,$AP2267)&lt;$AQ2267))),"対象月が時短期間外／","")&amp;IF(AND(INDEX(職員マスタ!$K$6:$K$405,$AP2267)&lt;&gt;"",N($W2267)&gt;0,INDEX(職員マスタ!$K$6:$K$405,$AP2267)&lt;&gt;$W2267),"標準報酬月額が申請書と相違（台帳"&amp;TEXT(INDEX(職員マスタ!$K$6:$K$405,$AP2267),"#,##0")&amp;"円／申請書"&amp;TEXT($W2267,"#,##0")&amp;"円）／","")&amp;IF(AND(INDEX(職員マスタ!$F$6:$F$405,$AP2267)&lt;&gt;"",$AQ2267&lt;&gt;"",INDEX(職員マスタ!$F$6:$F$405,$AP2267)&lt;$AQ2267),"対象月に子が2歳到達済／","")&amp;IF(AND($H2267&lt;&gt;"",INDEX(職員マスタ!$B$6:$B$405,$AP2267)&lt;&gt;"",SUBSTITUTE(SUBSTITUTE($H2267," ","")," ","")&lt;&gt;SUBSTITUTE(SUBSTITUTE(INDEX(職員マスタ!$B$6:$B$405,$AP2267)," ","")," ","")),"氏名がマスタと相違／","")&amp;IF(AND($Q2267&lt;&gt;"",INDEX(職員マスタ!$E$6:$E$405,$AP2267)&lt;&gt;"",$Q2267&lt;&gt;INDEX(職員マスタ!$E$6:$E$405,$AP2267)),"子の生年月日がマスタと相違／","")&amp;IF(AND($L2267&lt;&gt;"",INDEX(職員マスタ!$G$6:$G$405,$AP2267)&lt;&gt;"",$L2267&lt;&gt;INDEX(職員マスタ!$G$6:$G$405,$AP2267)),"時短開始日がマスタと相違／","")&amp;IF(AND($M2267&lt;&gt;"",INDEX(職員マスタ!$H$6:$H$405,$AP2267)&lt;&gt;"",$M2267&lt;&gt;INDEX(職員マスタ!$H$6:$H$405,$AP2267)),"時短終了日がマスタと相違／","")))&amp;IF(AND($B2267&lt;&gt;"",$E2267=""),"報酬額が未入力／","")&amp;IF(N($U2267)&gt;0,"申請書に入力エラーが残っています／","")&amp;IF(AND($B2267&lt;&gt;"",$AQ2267&lt;&gt;""),IF(COUNTIFS($B$6:$B$3005,$B2267,$C$6:$C$3005,$C2267,$D$6:$D$3005,$D2267)&gt;1,"同じ月の請求が重複しています／",""),"")&amp;IF(AND(N($E2267)&gt;0,$AB2267&lt;&gt;"",$AB2267&lt;&gt;"×",$AE2267=0,$AD2267=""),"計算額が下限以下のため不支給／",""))</f>
        <v/>
      </c>
      <c r="AN2267" s="12" t="n"/>
      <c r="AO2267" s="14">
        <f>IF($AF2267="保留中",COUNTIF($AF$6:$AF2267,"保留中"),"")</f>
        <v/>
      </c>
      <c r="AP2267" s="14">
        <f>IF($AQ2267="","",IF(SUMPRODUCT(MAX((職員マスタ!$A$6:$A$405=$B2267)*(((職員マスタ!$G$6:$G$405="")+(職員マスタ!$G$6:$G$405&lt;=EOMONTH($AQ2267,0)))&gt;0)*(((職員マスタ!$H$6:$H$405="")+(職員マスタ!$H$6:$H$405&gt;=$AQ2267))&gt;0)*(ROW(職員マスタ!$A$6:$A$405)-5)))&gt;0,SUMPRODUCT(MAX((職員マスタ!$A$6:$A$405=$B2267)*(((職員マスタ!$G$6:$G$405="")+(職員マスタ!$G$6:$G$405&lt;=EOMONTH($AQ2267,0)))&gt;0)*(((職員マスタ!$H$6:$H$405="")+(職員マスタ!$H$6:$H$405&gt;=$AQ2267))&gt;0)*(ROW(職員マスタ!$A$6:$A$405)-5))),IFERROR(MATCH($B2267,職員マスタ!$A$6:$A$405,0),"")))</f>
        <v/>
      </c>
      <c r="AQ2267" s="16">
        <f>IF(OR($B2267="",$C2267="",$D2267=""),"",DATE($C2267+2018,$D2267,1))</f>
        <v/>
      </c>
    </row>
    <row r="2268">
      <c r="A2268" s="11" t="n"/>
      <c r="B2268" s="12" t="n"/>
      <c r="C2268" s="12" t="n"/>
      <c r="D2268" s="12" t="n"/>
      <c r="E2268" s="13" t="n"/>
      <c r="F2268" s="12" t="n"/>
      <c r="G2268" s="13" t="n"/>
      <c r="H2268" s="12" t="n"/>
      <c r="I2268" s="12" t="n"/>
      <c r="J2268" s="12" t="n"/>
      <c r="K2268" s="12" t="n"/>
      <c r="L2268" s="11" t="n"/>
      <c r="M2268" s="11" t="n"/>
      <c r="N2268" s="11" t="n"/>
      <c r="O2268" s="11" t="n"/>
      <c r="P2268" s="12" t="n"/>
      <c r="Q2268" s="11" t="n"/>
      <c r="R2268" s="12" t="n"/>
      <c r="S2268" s="11" t="n"/>
      <c r="T2268" s="12" t="n"/>
      <c r="U2268" s="12" t="n"/>
      <c r="V2268" s="12" t="n"/>
      <c r="W2268" s="13" t="n"/>
      <c r="X2268" s="14">
        <f>IF($AP2268="",IF($B2268="","",$H2268),IF(INDEX(職員マスタ!$B$6:$B$405,$AP2268)="",$H2268,INDEX(職員マスタ!$B$6:$B$405,$AP2268)))</f>
        <v/>
      </c>
      <c r="Y2268" s="14">
        <f>IF($AP2268="",IF($B2268="","",$R2268),IF(INDEX(職員マスタ!$C$6:$C$405,$AP2268)="",$R2268,INDEX(職員マスタ!$C$6:$C$405,$AP2268)))</f>
        <v/>
      </c>
      <c r="Z2268" s="14">
        <f>IF($AQ2268="","","R"&amp;$C2268&amp;"."&amp;$D2268)</f>
        <v/>
      </c>
      <c r="AA2268" s="15">
        <f>IF(IF($AP2268="",FALSE,INDEX(職員マスタ!$K$6:$K$405,$AP2268)&lt;&gt;""),INDEX(職員マスタ!$K$6:$K$405,$AP2268),IF(N($W2268)&gt;0,$W2268,""))</f>
        <v/>
      </c>
      <c r="AB2268" s="14">
        <f>IF(OR($E2268="",$AA2268=""),"",IF($E2268&gt;=$AA2268,"×",IF($E2268&gt;=$AA2268*設定!$C$5,"△","○")))</f>
        <v/>
      </c>
      <c r="AC2268" s="15">
        <f>IF($AB2268="","",IF($AB2268="×",0,IF($AB2268="○",ROUNDDOWN($E2268*設定!$C$4,0),ROUNDDOWN($E2268*ROUND((9*$AA2268-9*$E2268)/(10*$E2268),4),0))))</f>
        <v/>
      </c>
      <c r="AD2268" s="13" t="n"/>
      <c r="AE2268" s="15">
        <f>IF($B2268="","",IF($AD2268&lt;&gt;"",$AD2268,IF($AC2268="","",IF($AC2268&lt;=設定!$C$3,0,$AC2268))))</f>
        <v/>
      </c>
      <c r="AF2268" s="14">
        <f>IF($B2268="","",IF(AND($AG2268&lt;&gt;"",$AI2268="",$AL2268=""),"保留中",IF($AL2268&lt;&gt;"",IF(N($AE2268)&gt;0,"支給済","不支給"),IF($AE2268="","要確認",IF($AE2268=0,"不支給","未処理")))))</f>
        <v/>
      </c>
      <c r="AG2268" s="12" t="n"/>
      <c r="AH2268" s="11" t="n"/>
      <c r="AI2268" s="11" t="n"/>
      <c r="AJ2268" s="11" t="n"/>
      <c r="AK2268" s="14">
        <f>IF(AND($AF2268="保留中",$AH2268&lt;&gt;""),TODAY()-$AH2268,"")</f>
        <v/>
      </c>
      <c r="AL2268" s="12" t="n"/>
      <c r="AM2268" s="14">
        <f>IF($B2268="","",IF($AQ2268="","対象年月が未入力／","")&amp;IF($B2268="","",IF($AP2268="","職員マスタに未登録の職員番号／",IF($AA2268="","標準報酬月額が未登録／","")&amp;IF(AND($AQ2268&lt;&gt;"",OR(AND(INDEX(職員マスタ!$G$6:$G$405,$AP2268)&lt;&gt;"",INDEX(職員マスタ!$G$6:$G$405,$AP2268)&gt;EOMONTH($AQ2268,0)),AND(INDEX(職員マスタ!$H$6:$H$405,$AP2268)&lt;&gt;"",INDEX(職員マスタ!$H$6:$H$405,$AP2268)&lt;$AQ2268))),"対象月が時短期間外／","")&amp;IF(AND(INDEX(職員マスタ!$K$6:$K$405,$AP2268)&lt;&gt;"",N($W2268)&gt;0,INDEX(職員マスタ!$K$6:$K$405,$AP2268)&lt;&gt;$W2268),"標準報酬月額が申請書と相違（台帳"&amp;TEXT(INDEX(職員マスタ!$K$6:$K$405,$AP2268),"#,##0")&amp;"円／申請書"&amp;TEXT($W2268,"#,##0")&amp;"円）／","")&amp;IF(AND(INDEX(職員マスタ!$F$6:$F$405,$AP2268)&lt;&gt;"",$AQ2268&lt;&gt;"",INDEX(職員マスタ!$F$6:$F$405,$AP2268)&lt;$AQ2268),"対象月に子が2歳到達済／","")&amp;IF(AND($H2268&lt;&gt;"",INDEX(職員マスタ!$B$6:$B$405,$AP2268)&lt;&gt;"",SUBSTITUTE(SUBSTITUTE($H2268," ","")," ","")&lt;&gt;SUBSTITUTE(SUBSTITUTE(INDEX(職員マスタ!$B$6:$B$405,$AP2268)," ","")," ","")),"氏名がマスタと相違／","")&amp;IF(AND($Q2268&lt;&gt;"",INDEX(職員マスタ!$E$6:$E$405,$AP2268)&lt;&gt;"",$Q2268&lt;&gt;INDEX(職員マスタ!$E$6:$E$405,$AP2268)),"子の生年月日がマスタと相違／","")&amp;IF(AND($L2268&lt;&gt;"",INDEX(職員マスタ!$G$6:$G$405,$AP2268)&lt;&gt;"",$L2268&lt;&gt;INDEX(職員マスタ!$G$6:$G$405,$AP2268)),"時短開始日がマスタと相違／","")&amp;IF(AND($M2268&lt;&gt;"",INDEX(職員マスタ!$H$6:$H$405,$AP2268)&lt;&gt;"",$M2268&lt;&gt;INDEX(職員マスタ!$H$6:$H$405,$AP2268)),"時短終了日がマスタと相違／","")))&amp;IF(AND($B2268&lt;&gt;"",$E2268=""),"報酬額が未入力／","")&amp;IF(N($U2268)&gt;0,"申請書に入力エラーが残っています／","")&amp;IF(AND($B2268&lt;&gt;"",$AQ2268&lt;&gt;""),IF(COUNTIFS($B$6:$B$3005,$B2268,$C$6:$C$3005,$C2268,$D$6:$D$3005,$D2268)&gt;1,"同じ月の請求が重複しています／",""),"")&amp;IF(AND(N($E2268)&gt;0,$AB2268&lt;&gt;"",$AB2268&lt;&gt;"×",$AE2268=0,$AD2268=""),"計算額が下限以下のため不支給／",""))</f>
        <v/>
      </c>
      <c r="AN2268" s="12" t="n"/>
      <c r="AO2268" s="14">
        <f>IF($AF2268="保留中",COUNTIF($AF$6:$AF2268,"保留中"),"")</f>
        <v/>
      </c>
      <c r="AP2268" s="14">
        <f>IF($AQ2268="","",IF(SUMPRODUCT(MAX((職員マスタ!$A$6:$A$405=$B2268)*(((職員マスタ!$G$6:$G$405="")+(職員マスタ!$G$6:$G$405&lt;=EOMONTH($AQ2268,0)))&gt;0)*(((職員マスタ!$H$6:$H$405="")+(職員マスタ!$H$6:$H$405&gt;=$AQ2268))&gt;0)*(ROW(職員マスタ!$A$6:$A$405)-5)))&gt;0,SUMPRODUCT(MAX((職員マスタ!$A$6:$A$405=$B2268)*(((職員マスタ!$G$6:$G$405="")+(職員マスタ!$G$6:$G$405&lt;=EOMONTH($AQ2268,0)))&gt;0)*(((職員マスタ!$H$6:$H$405="")+(職員マスタ!$H$6:$H$405&gt;=$AQ2268))&gt;0)*(ROW(職員マスタ!$A$6:$A$405)-5))),IFERROR(MATCH($B2268,職員マスタ!$A$6:$A$405,0),"")))</f>
        <v/>
      </c>
      <c r="AQ2268" s="16">
        <f>IF(OR($B2268="",$C2268="",$D2268=""),"",DATE($C2268+2018,$D2268,1))</f>
        <v/>
      </c>
    </row>
    <row r="2269">
      <c r="A2269" s="11" t="n"/>
      <c r="B2269" s="12" t="n"/>
      <c r="C2269" s="12" t="n"/>
      <c r="D2269" s="12" t="n"/>
      <c r="E2269" s="13" t="n"/>
      <c r="F2269" s="12" t="n"/>
      <c r="G2269" s="13" t="n"/>
      <c r="H2269" s="12" t="n"/>
      <c r="I2269" s="12" t="n"/>
      <c r="J2269" s="12" t="n"/>
      <c r="K2269" s="12" t="n"/>
      <c r="L2269" s="11" t="n"/>
      <c r="M2269" s="11" t="n"/>
      <c r="N2269" s="11" t="n"/>
      <c r="O2269" s="11" t="n"/>
      <c r="P2269" s="12" t="n"/>
      <c r="Q2269" s="11" t="n"/>
      <c r="R2269" s="12" t="n"/>
      <c r="S2269" s="11" t="n"/>
      <c r="T2269" s="12" t="n"/>
      <c r="U2269" s="12" t="n"/>
      <c r="V2269" s="12" t="n"/>
      <c r="W2269" s="13" t="n"/>
      <c r="X2269" s="14">
        <f>IF($AP2269="",IF($B2269="","",$H2269),IF(INDEX(職員マスタ!$B$6:$B$405,$AP2269)="",$H2269,INDEX(職員マスタ!$B$6:$B$405,$AP2269)))</f>
        <v/>
      </c>
      <c r="Y2269" s="14">
        <f>IF($AP2269="",IF($B2269="","",$R2269),IF(INDEX(職員マスタ!$C$6:$C$405,$AP2269)="",$R2269,INDEX(職員マスタ!$C$6:$C$405,$AP2269)))</f>
        <v/>
      </c>
      <c r="Z2269" s="14">
        <f>IF($AQ2269="","","R"&amp;$C2269&amp;"."&amp;$D2269)</f>
        <v/>
      </c>
      <c r="AA2269" s="15">
        <f>IF(IF($AP2269="",FALSE,INDEX(職員マスタ!$K$6:$K$405,$AP2269)&lt;&gt;""),INDEX(職員マスタ!$K$6:$K$405,$AP2269),IF(N($W2269)&gt;0,$W2269,""))</f>
        <v/>
      </c>
      <c r="AB2269" s="14">
        <f>IF(OR($E2269="",$AA2269=""),"",IF($E2269&gt;=$AA2269,"×",IF($E2269&gt;=$AA2269*設定!$C$5,"△","○")))</f>
        <v/>
      </c>
      <c r="AC2269" s="15">
        <f>IF($AB2269="","",IF($AB2269="×",0,IF($AB2269="○",ROUNDDOWN($E2269*設定!$C$4,0),ROUNDDOWN($E2269*ROUND((9*$AA2269-9*$E2269)/(10*$E2269),4),0))))</f>
        <v/>
      </c>
      <c r="AD2269" s="13" t="n"/>
      <c r="AE2269" s="15">
        <f>IF($B2269="","",IF($AD2269&lt;&gt;"",$AD2269,IF($AC2269="","",IF($AC2269&lt;=設定!$C$3,0,$AC2269))))</f>
        <v/>
      </c>
      <c r="AF2269" s="14">
        <f>IF($B2269="","",IF(AND($AG2269&lt;&gt;"",$AI2269="",$AL2269=""),"保留中",IF($AL2269&lt;&gt;"",IF(N($AE2269)&gt;0,"支給済","不支給"),IF($AE2269="","要確認",IF($AE2269=0,"不支給","未処理")))))</f>
        <v/>
      </c>
      <c r="AG2269" s="12" t="n"/>
      <c r="AH2269" s="11" t="n"/>
      <c r="AI2269" s="11" t="n"/>
      <c r="AJ2269" s="11" t="n"/>
      <c r="AK2269" s="14">
        <f>IF(AND($AF2269="保留中",$AH2269&lt;&gt;""),TODAY()-$AH2269,"")</f>
        <v/>
      </c>
      <c r="AL2269" s="12" t="n"/>
      <c r="AM2269" s="14">
        <f>IF($B2269="","",IF($AQ2269="","対象年月が未入力／","")&amp;IF($B2269="","",IF($AP2269="","職員マスタに未登録の職員番号／",IF($AA2269="","標準報酬月額が未登録／","")&amp;IF(AND($AQ2269&lt;&gt;"",OR(AND(INDEX(職員マスタ!$G$6:$G$405,$AP2269)&lt;&gt;"",INDEX(職員マスタ!$G$6:$G$405,$AP2269)&gt;EOMONTH($AQ2269,0)),AND(INDEX(職員マスタ!$H$6:$H$405,$AP2269)&lt;&gt;"",INDEX(職員マスタ!$H$6:$H$405,$AP2269)&lt;$AQ2269))),"対象月が時短期間外／","")&amp;IF(AND(INDEX(職員マスタ!$K$6:$K$405,$AP2269)&lt;&gt;"",N($W2269)&gt;0,INDEX(職員マスタ!$K$6:$K$405,$AP2269)&lt;&gt;$W2269),"標準報酬月額が申請書と相違（台帳"&amp;TEXT(INDEX(職員マスタ!$K$6:$K$405,$AP2269),"#,##0")&amp;"円／申請書"&amp;TEXT($W2269,"#,##0")&amp;"円）／","")&amp;IF(AND(INDEX(職員マスタ!$F$6:$F$405,$AP2269)&lt;&gt;"",$AQ2269&lt;&gt;"",INDEX(職員マスタ!$F$6:$F$405,$AP2269)&lt;$AQ2269),"対象月に子が2歳到達済／","")&amp;IF(AND($H2269&lt;&gt;"",INDEX(職員マスタ!$B$6:$B$405,$AP2269)&lt;&gt;"",SUBSTITUTE(SUBSTITUTE($H2269," ","")," ","")&lt;&gt;SUBSTITUTE(SUBSTITUTE(INDEX(職員マスタ!$B$6:$B$405,$AP2269)," ","")," ","")),"氏名がマスタと相違／","")&amp;IF(AND($Q2269&lt;&gt;"",INDEX(職員マスタ!$E$6:$E$405,$AP2269)&lt;&gt;"",$Q2269&lt;&gt;INDEX(職員マスタ!$E$6:$E$405,$AP2269)),"子の生年月日がマスタと相違／","")&amp;IF(AND($L2269&lt;&gt;"",INDEX(職員マスタ!$G$6:$G$405,$AP2269)&lt;&gt;"",$L2269&lt;&gt;INDEX(職員マスタ!$G$6:$G$405,$AP2269)),"時短開始日がマスタと相違／","")&amp;IF(AND($M2269&lt;&gt;"",INDEX(職員マスタ!$H$6:$H$405,$AP2269)&lt;&gt;"",$M2269&lt;&gt;INDEX(職員マスタ!$H$6:$H$405,$AP2269)),"時短終了日がマスタと相違／","")))&amp;IF(AND($B2269&lt;&gt;"",$E2269=""),"報酬額が未入力／","")&amp;IF(N($U2269)&gt;0,"申請書に入力エラーが残っています／","")&amp;IF(AND($B2269&lt;&gt;"",$AQ2269&lt;&gt;""),IF(COUNTIFS($B$6:$B$3005,$B2269,$C$6:$C$3005,$C2269,$D$6:$D$3005,$D2269)&gt;1,"同じ月の請求が重複しています／",""),"")&amp;IF(AND(N($E2269)&gt;0,$AB2269&lt;&gt;"",$AB2269&lt;&gt;"×",$AE2269=0,$AD2269=""),"計算額が下限以下のため不支給／",""))</f>
        <v/>
      </c>
      <c r="AN2269" s="12" t="n"/>
      <c r="AO2269" s="14">
        <f>IF($AF2269="保留中",COUNTIF($AF$6:$AF2269,"保留中"),"")</f>
        <v/>
      </c>
      <c r="AP2269" s="14">
        <f>IF($AQ2269="","",IF(SUMPRODUCT(MAX((職員マスタ!$A$6:$A$405=$B2269)*(((職員マスタ!$G$6:$G$405="")+(職員マスタ!$G$6:$G$405&lt;=EOMONTH($AQ2269,0)))&gt;0)*(((職員マスタ!$H$6:$H$405="")+(職員マスタ!$H$6:$H$405&gt;=$AQ2269))&gt;0)*(ROW(職員マスタ!$A$6:$A$405)-5)))&gt;0,SUMPRODUCT(MAX((職員マスタ!$A$6:$A$405=$B2269)*(((職員マスタ!$G$6:$G$405="")+(職員マスタ!$G$6:$G$405&lt;=EOMONTH($AQ2269,0)))&gt;0)*(((職員マスタ!$H$6:$H$405="")+(職員マスタ!$H$6:$H$405&gt;=$AQ2269))&gt;0)*(ROW(職員マスタ!$A$6:$A$405)-5))),IFERROR(MATCH($B2269,職員マスタ!$A$6:$A$405,0),"")))</f>
        <v/>
      </c>
      <c r="AQ2269" s="16">
        <f>IF(OR($B2269="",$C2269="",$D2269=""),"",DATE($C2269+2018,$D2269,1))</f>
        <v/>
      </c>
    </row>
    <row r="2270">
      <c r="A2270" s="11" t="n"/>
      <c r="B2270" s="12" t="n"/>
      <c r="C2270" s="12" t="n"/>
      <c r="D2270" s="12" t="n"/>
      <c r="E2270" s="13" t="n"/>
      <c r="F2270" s="12" t="n"/>
      <c r="G2270" s="13" t="n"/>
      <c r="H2270" s="12" t="n"/>
      <c r="I2270" s="12" t="n"/>
      <c r="J2270" s="12" t="n"/>
      <c r="K2270" s="12" t="n"/>
      <c r="L2270" s="11" t="n"/>
      <c r="M2270" s="11" t="n"/>
      <c r="N2270" s="11" t="n"/>
      <c r="O2270" s="11" t="n"/>
      <c r="P2270" s="12" t="n"/>
      <c r="Q2270" s="11" t="n"/>
      <c r="R2270" s="12" t="n"/>
      <c r="S2270" s="11" t="n"/>
      <c r="T2270" s="12" t="n"/>
      <c r="U2270" s="12" t="n"/>
      <c r="V2270" s="12" t="n"/>
      <c r="W2270" s="13" t="n"/>
      <c r="X2270" s="14">
        <f>IF($AP2270="",IF($B2270="","",$H2270),IF(INDEX(職員マスタ!$B$6:$B$405,$AP2270)="",$H2270,INDEX(職員マスタ!$B$6:$B$405,$AP2270)))</f>
        <v/>
      </c>
      <c r="Y2270" s="14">
        <f>IF($AP2270="",IF($B2270="","",$R2270),IF(INDEX(職員マスタ!$C$6:$C$405,$AP2270)="",$R2270,INDEX(職員マスタ!$C$6:$C$405,$AP2270)))</f>
        <v/>
      </c>
      <c r="Z2270" s="14">
        <f>IF($AQ2270="","","R"&amp;$C2270&amp;"."&amp;$D2270)</f>
        <v/>
      </c>
      <c r="AA2270" s="15">
        <f>IF(IF($AP2270="",FALSE,INDEX(職員マスタ!$K$6:$K$405,$AP2270)&lt;&gt;""),INDEX(職員マスタ!$K$6:$K$405,$AP2270),IF(N($W2270)&gt;0,$W2270,""))</f>
        <v/>
      </c>
      <c r="AB2270" s="14">
        <f>IF(OR($E2270="",$AA2270=""),"",IF($E2270&gt;=$AA2270,"×",IF($E2270&gt;=$AA2270*設定!$C$5,"△","○")))</f>
        <v/>
      </c>
      <c r="AC2270" s="15">
        <f>IF($AB2270="","",IF($AB2270="×",0,IF($AB2270="○",ROUNDDOWN($E2270*設定!$C$4,0),ROUNDDOWN($E2270*ROUND((9*$AA2270-9*$E2270)/(10*$E2270),4),0))))</f>
        <v/>
      </c>
      <c r="AD2270" s="13" t="n"/>
      <c r="AE2270" s="15">
        <f>IF($B2270="","",IF($AD2270&lt;&gt;"",$AD2270,IF($AC2270="","",IF($AC2270&lt;=設定!$C$3,0,$AC2270))))</f>
        <v/>
      </c>
      <c r="AF2270" s="14">
        <f>IF($B2270="","",IF(AND($AG2270&lt;&gt;"",$AI2270="",$AL2270=""),"保留中",IF($AL2270&lt;&gt;"",IF(N($AE2270)&gt;0,"支給済","不支給"),IF($AE2270="","要確認",IF($AE2270=0,"不支給","未処理")))))</f>
        <v/>
      </c>
      <c r="AG2270" s="12" t="n"/>
      <c r="AH2270" s="11" t="n"/>
      <c r="AI2270" s="11" t="n"/>
      <c r="AJ2270" s="11" t="n"/>
      <c r="AK2270" s="14">
        <f>IF(AND($AF2270="保留中",$AH2270&lt;&gt;""),TODAY()-$AH2270,"")</f>
        <v/>
      </c>
      <c r="AL2270" s="12" t="n"/>
      <c r="AM2270" s="14">
        <f>IF($B2270="","",IF($AQ2270="","対象年月が未入力／","")&amp;IF($B2270="","",IF($AP2270="","職員マスタに未登録の職員番号／",IF($AA2270="","標準報酬月額が未登録／","")&amp;IF(AND($AQ2270&lt;&gt;"",OR(AND(INDEX(職員マスタ!$G$6:$G$405,$AP2270)&lt;&gt;"",INDEX(職員マスタ!$G$6:$G$405,$AP2270)&gt;EOMONTH($AQ2270,0)),AND(INDEX(職員マスタ!$H$6:$H$405,$AP2270)&lt;&gt;"",INDEX(職員マスタ!$H$6:$H$405,$AP2270)&lt;$AQ2270))),"対象月が時短期間外／","")&amp;IF(AND(INDEX(職員マスタ!$K$6:$K$405,$AP2270)&lt;&gt;"",N($W2270)&gt;0,INDEX(職員マスタ!$K$6:$K$405,$AP2270)&lt;&gt;$W2270),"標準報酬月額が申請書と相違（台帳"&amp;TEXT(INDEX(職員マスタ!$K$6:$K$405,$AP2270),"#,##0")&amp;"円／申請書"&amp;TEXT($W2270,"#,##0")&amp;"円）／","")&amp;IF(AND(INDEX(職員マスタ!$F$6:$F$405,$AP2270)&lt;&gt;"",$AQ2270&lt;&gt;"",INDEX(職員マスタ!$F$6:$F$405,$AP2270)&lt;$AQ2270),"対象月に子が2歳到達済／","")&amp;IF(AND($H2270&lt;&gt;"",INDEX(職員マスタ!$B$6:$B$405,$AP2270)&lt;&gt;"",SUBSTITUTE(SUBSTITUTE($H2270," ","")," ","")&lt;&gt;SUBSTITUTE(SUBSTITUTE(INDEX(職員マスタ!$B$6:$B$405,$AP2270)," ","")," ","")),"氏名がマスタと相違／","")&amp;IF(AND($Q2270&lt;&gt;"",INDEX(職員マスタ!$E$6:$E$405,$AP2270)&lt;&gt;"",$Q2270&lt;&gt;INDEX(職員マスタ!$E$6:$E$405,$AP2270)),"子の生年月日がマスタと相違／","")&amp;IF(AND($L2270&lt;&gt;"",INDEX(職員マスタ!$G$6:$G$405,$AP2270)&lt;&gt;"",$L2270&lt;&gt;INDEX(職員マスタ!$G$6:$G$405,$AP2270)),"時短開始日がマスタと相違／","")&amp;IF(AND($M2270&lt;&gt;"",INDEX(職員マスタ!$H$6:$H$405,$AP2270)&lt;&gt;"",$M2270&lt;&gt;INDEX(職員マスタ!$H$6:$H$405,$AP2270)),"時短終了日がマスタと相違／","")))&amp;IF(AND($B2270&lt;&gt;"",$E2270=""),"報酬額が未入力／","")&amp;IF(N($U2270)&gt;0,"申請書に入力エラーが残っています／","")&amp;IF(AND($B2270&lt;&gt;"",$AQ2270&lt;&gt;""),IF(COUNTIFS($B$6:$B$3005,$B2270,$C$6:$C$3005,$C2270,$D$6:$D$3005,$D2270)&gt;1,"同じ月の請求が重複しています／",""),"")&amp;IF(AND(N($E2270)&gt;0,$AB2270&lt;&gt;"",$AB2270&lt;&gt;"×",$AE2270=0,$AD2270=""),"計算額が下限以下のため不支給／",""))</f>
        <v/>
      </c>
      <c r="AN2270" s="12" t="n"/>
      <c r="AO2270" s="14">
        <f>IF($AF2270="保留中",COUNTIF($AF$6:$AF2270,"保留中"),"")</f>
        <v/>
      </c>
      <c r="AP2270" s="14">
        <f>IF($AQ2270="","",IF(SUMPRODUCT(MAX((職員マスタ!$A$6:$A$405=$B2270)*(((職員マスタ!$G$6:$G$405="")+(職員マスタ!$G$6:$G$405&lt;=EOMONTH($AQ2270,0)))&gt;0)*(((職員マスタ!$H$6:$H$405="")+(職員マスタ!$H$6:$H$405&gt;=$AQ2270))&gt;0)*(ROW(職員マスタ!$A$6:$A$405)-5)))&gt;0,SUMPRODUCT(MAX((職員マスタ!$A$6:$A$405=$B2270)*(((職員マスタ!$G$6:$G$405="")+(職員マスタ!$G$6:$G$405&lt;=EOMONTH($AQ2270,0)))&gt;0)*(((職員マスタ!$H$6:$H$405="")+(職員マスタ!$H$6:$H$405&gt;=$AQ2270))&gt;0)*(ROW(職員マスタ!$A$6:$A$405)-5))),IFERROR(MATCH($B2270,職員マスタ!$A$6:$A$405,0),"")))</f>
        <v/>
      </c>
      <c r="AQ2270" s="16">
        <f>IF(OR($B2270="",$C2270="",$D2270=""),"",DATE($C2270+2018,$D2270,1))</f>
        <v/>
      </c>
    </row>
    <row r="2271">
      <c r="A2271" s="11" t="n"/>
      <c r="B2271" s="12" t="n"/>
      <c r="C2271" s="12" t="n"/>
      <c r="D2271" s="12" t="n"/>
      <c r="E2271" s="13" t="n"/>
      <c r="F2271" s="12" t="n"/>
      <c r="G2271" s="13" t="n"/>
      <c r="H2271" s="12" t="n"/>
      <c r="I2271" s="12" t="n"/>
      <c r="J2271" s="12" t="n"/>
      <c r="K2271" s="12" t="n"/>
      <c r="L2271" s="11" t="n"/>
      <c r="M2271" s="11" t="n"/>
      <c r="N2271" s="11" t="n"/>
      <c r="O2271" s="11" t="n"/>
      <c r="P2271" s="12" t="n"/>
      <c r="Q2271" s="11" t="n"/>
      <c r="R2271" s="12" t="n"/>
      <c r="S2271" s="11" t="n"/>
      <c r="T2271" s="12" t="n"/>
      <c r="U2271" s="12" t="n"/>
      <c r="V2271" s="12" t="n"/>
      <c r="W2271" s="13" t="n"/>
      <c r="X2271" s="14">
        <f>IF($AP2271="",IF($B2271="","",$H2271),IF(INDEX(職員マスタ!$B$6:$B$405,$AP2271)="",$H2271,INDEX(職員マスタ!$B$6:$B$405,$AP2271)))</f>
        <v/>
      </c>
      <c r="Y2271" s="14">
        <f>IF($AP2271="",IF($B2271="","",$R2271),IF(INDEX(職員マスタ!$C$6:$C$405,$AP2271)="",$R2271,INDEX(職員マスタ!$C$6:$C$405,$AP2271)))</f>
        <v/>
      </c>
      <c r="Z2271" s="14">
        <f>IF($AQ2271="","","R"&amp;$C2271&amp;"."&amp;$D2271)</f>
        <v/>
      </c>
      <c r="AA2271" s="15">
        <f>IF(IF($AP2271="",FALSE,INDEX(職員マスタ!$K$6:$K$405,$AP2271)&lt;&gt;""),INDEX(職員マスタ!$K$6:$K$405,$AP2271),IF(N($W2271)&gt;0,$W2271,""))</f>
        <v/>
      </c>
      <c r="AB2271" s="14">
        <f>IF(OR($E2271="",$AA2271=""),"",IF($E2271&gt;=$AA2271,"×",IF($E2271&gt;=$AA2271*設定!$C$5,"△","○")))</f>
        <v/>
      </c>
      <c r="AC2271" s="15">
        <f>IF($AB2271="","",IF($AB2271="×",0,IF($AB2271="○",ROUNDDOWN($E2271*設定!$C$4,0),ROUNDDOWN($E2271*ROUND((9*$AA2271-9*$E2271)/(10*$E2271),4),0))))</f>
        <v/>
      </c>
      <c r="AD2271" s="13" t="n"/>
      <c r="AE2271" s="15">
        <f>IF($B2271="","",IF($AD2271&lt;&gt;"",$AD2271,IF($AC2271="","",IF($AC2271&lt;=設定!$C$3,0,$AC2271))))</f>
        <v/>
      </c>
      <c r="AF2271" s="14">
        <f>IF($B2271="","",IF(AND($AG2271&lt;&gt;"",$AI2271="",$AL2271=""),"保留中",IF($AL2271&lt;&gt;"",IF(N($AE2271)&gt;0,"支給済","不支給"),IF($AE2271="","要確認",IF($AE2271=0,"不支給","未処理")))))</f>
        <v/>
      </c>
      <c r="AG2271" s="12" t="n"/>
      <c r="AH2271" s="11" t="n"/>
      <c r="AI2271" s="11" t="n"/>
      <c r="AJ2271" s="11" t="n"/>
      <c r="AK2271" s="14">
        <f>IF(AND($AF2271="保留中",$AH2271&lt;&gt;""),TODAY()-$AH2271,"")</f>
        <v/>
      </c>
      <c r="AL2271" s="12" t="n"/>
      <c r="AM2271" s="14">
        <f>IF($B2271="","",IF($AQ2271="","対象年月が未入力／","")&amp;IF($B2271="","",IF($AP2271="","職員マスタに未登録の職員番号／",IF($AA2271="","標準報酬月額が未登録／","")&amp;IF(AND($AQ2271&lt;&gt;"",OR(AND(INDEX(職員マスタ!$G$6:$G$405,$AP2271)&lt;&gt;"",INDEX(職員マスタ!$G$6:$G$405,$AP2271)&gt;EOMONTH($AQ2271,0)),AND(INDEX(職員マスタ!$H$6:$H$405,$AP2271)&lt;&gt;"",INDEX(職員マスタ!$H$6:$H$405,$AP2271)&lt;$AQ2271))),"対象月が時短期間外／","")&amp;IF(AND(INDEX(職員マスタ!$K$6:$K$405,$AP2271)&lt;&gt;"",N($W2271)&gt;0,INDEX(職員マスタ!$K$6:$K$405,$AP2271)&lt;&gt;$W2271),"標準報酬月額が申請書と相違（台帳"&amp;TEXT(INDEX(職員マスタ!$K$6:$K$405,$AP2271),"#,##0")&amp;"円／申請書"&amp;TEXT($W2271,"#,##0")&amp;"円）／","")&amp;IF(AND(INDEX(職員マスタ!$F$6:$F$405,$AP2271)&lt;&gt;"",$AQ2271&lt;&gt;"",INDEX(職員マスタ!$F$6:$F$405,$AP2271)&lt;$AQ2271),"対象月に子が2歳到達済／","")&amp;IF(AND($H2271&lt;&gt;"",INDEX(職員マスタ!$B$6:$B$405,$AP2271)&lt;&gt;"",SUBSTITUTE(SUBSTITUTE($H2271," ","")," ","")&lt;&gt;SUBSTITUTE(SUBSTITUTE(INDEX(職員マスタ!$B$6:$B$405,$AP2271)," ","")," ","")),"氏名がマスタと相違／","")&amp;IF(AND($Q2271&lt;&gt;"",INDEX(職員マスタ!$E$6:$E$405,$AP2271)&lt;&gt;"",$Q2271&lt;&gt;INDEX(職員マスタ!$E$6:$E$405,$AP2271)),"子の生年月日がマスタと相違／","")&amp;IF(AND($L2271&lt;&gt;"",INDEX(職員マスタ!$G$6:$G$405,$AP2271)&lt;&gt;"",$L2271&lt;&gt;INDEX(職員マスタ!$G$6:$G$405,$AP2271)),"時短開始日がマスタと相違／","")&amp;IF(AND($M2271&lt;&gt;"",INDEX(職員マスタ!$H$6:$H$405,$AP2271)&lt;&gt;"",$M2271&lt;&gt;INDEX(職員マスタ!$H$6:$H$405,$AP2271)),"時短終了日がマスタと相違／","")))&amp;IF(AND($B2271&lt;&gt;"",$E2271=""),"報酬額が未入力／","")&amp;IF(N($U2271)&gt;0,"申請書に入力エラーが残っています／","")&amp;IF(AND($B2271&lt;&gt;"",$AQ2271&lt;&gt;""),IF(COUNTIFS($B$6:$B$3005,$B2271,$C$6:$C$3005,$C2271,$D$6:$D$3005,$D2271)&gt;1,"同じ月の請求が重複しています／",""),"")&amp;IF(AND(N($E2271)&gt;0,$AB2271&lt;&gt;"",$AB2271&lt;&gt;"×",$AE2271=0,$AD2271=""),"計算額が下限以下のため不支給／",""))</f>
        <v/>
      </c>
      <c r="AN2271" s="12" t="n"/>
      <c r="AO2271" s="14">
        <f>IF($AF2271="保留中",COUNTIF($AF$6:$AF2271,"保留中"),"")</f>
        <v/>
      </c>
      <c r="AP2271" s="14">
        <f>IF($AQ2271="","",IF(SUMPRODUCT(MAX((職員マスタ!$A$6:$A$405=$B2271)*(((職員マスタ!$G$6:$G$405="")+(職員マスタ!$G$6:$G$405&lt;=EOMONTH($AQ2271,0)))&gt;0)*(((職員マスタ!$H$6:$H$405="")+(職員マスタ!$H$6:$H$405&gt;=$AQ2271))&gt;0)*(ROW(職員マスタ!$A$6:$A$405)-5)))&gt;0,SUMPRODUCT(MAX((職員マスタ!$A$6:$A$405=$B2271)*(((職員マスタ!$G$6:$G$405="")+(職員マスタ!$G$6:$G$405&lt;=EOMONTH($AQ2271,0)))&gt;0)*(((職員マスタ!$H$6:$H$405="")+(職員マスタ!$H$6:$H$405&gt;=$AQ2271))&gt;0)*(ROW(職員マスタ!$A$6:$A$405)-5))),IFERROR(MATCH($B2271,職員マスタ!$A$6:$A$405,0),"")))</f>
        <v/>
      </c>
      <c r="AQ2271" s="16">
        <f>IF(OR($B2271="",$C2271="",$D2271=""),"",DATE($C2271+2018,$D2271,1))</f>
        <v/>
      </c>
    </row>
    <row r="2272">
      <c r="A2272" s="11" t="n"/>
      <c r="B2272" s="12" t="n"/>
      <c r="C2272" s="12" t="n"/>
      <c r="D2272" s="12" t="n"/>
      <c r="E2272" s="13" t="n"/>
      <c r="F2272" s="12" t="n"/>
      <c r="G2272" s="13" t="n"/>
      <c r="H2272" s="12" t="n"/>
      <c r="I2272" s="12" t="n"/>
      <c r="J2272" s="12" t="n"/>
      <c r="K2272" s="12" t="n"/>
      <c r="L2272" s="11" t="n"/>
      <c r="M2272" s="11" t="n"/>
      <c r="N2272" s="11" t="n"/>
      <c r="O2272" s="11" t="n"/>
      <c r="P2272" s="12" t="n"/>
      <c r="Q2272" s="11" t="n"/>
      <c r="R2272" s="12" t="n"/>
      <c r="S2272" s="11" t="n"/>
      <c r="T2272" s="12" t="n"/>
      <c r="U2272" s="12" t="n"/>
      <c r="V2272" s="12" t="n"/>
      <c r="W2272" s="13" t="n"/>
      <c r="X2272" s="14">
        <f>IF($AP2272="",IF($B2272="","",$H2272),IF(INDEX(職員マスタ!$B$6:$B$405,$AP2272)="",$H2272,INDEX(職員マスタ!$B$6:$B$405,$AP2272)))</f>
        <v/>
      </c>
      <c r="Y2272" s="14">
        <f>IF($AP2272="",IF($B2272="","",$R2272),IF(INDEX(職員マスタ!$C$6:$C$405,$AP2272)="",$R2272,INDEX(職員マスタ!$C$6:$C$405,$AP2272)))</f>
        <v/>
      </c>
      <c r="Z2272" s="14">
        <f>IF($AQ2272="","","R"&amp;$C2272&amp;"."&amp;$D2272)</f>
        <v/>
      </c>
      <c r="AA2272" s="15">
        <f>IF(IF($AP2272="",FALSE,INDEX(職員マスタ!$K$6:$K$405,$AP2272)&lt;&gt;""),INDEX(職員マスタ!$K$6:$K$405,$AP2272),IF(N($W2272)&gt;0,$W2272,""))</f>
        <v/>
      </c>
      <c r="AB2272" s="14">
        <f>IF(OR($E2272="",$AA2272=""),"",IF($E2272&gt;=$AA2272,"×",IF($E2272&gt;=$AA2272*設定!$C$5,"△","○")))</f>
        <v/>
      </c>
      <c r="AC2272" s="15">
        <f>IF($AB2272="","",IF($AB2272="×",0,IF($AB2272="○",ROUNDDOWN($E2272*設定!$C$4,0),ROUNDDOWN($E2272*ROUND((9*$AA2272-9*$E2272)/(10*$E2272),4),0))))</f>
        <v/>
      </c>
      <c r="AD2272" s="13" t="n"/>
      <c r="AE2272" s="15">
        <f>IF($B2272="","",IF($AD2272&lt;&gt;"",$AD2272,IF($AC2272="","",IF($AC2272&lt;=設定!$C$3,0,$AC2272))))</f>
        <v/>
      </c>
      <c r="AF2272" s="14">
        <f>IF($B2272="","",IF(AND($AG2272&lt;&gt;"",$AI2272="",$AL2272=""),"保留中",IF($AL2272&lt;&gt;"",IF(N($AE2272)&gt;0,"支給済","不支給"),IF($AE2272="","要確認",IF($AE2272=0,"不支給","未処理")))))</f>
        <v/>
      </c>
      <c r="AG2272" s="12" t="n"/>
      <c r="AH2272" s="11" t="n"/>
      <c r="AI2272" s="11" t="n"/>
      <c r="AJ2272" s="11" t="n"/>
      <c r="AK2272" s="14">
        <f>IF(AND($AF2272="保留中",$AH2272&lt;&gt;""),TODAY()-$AH2272,"")</f>
        <v/>
      </c>
      <c r="AL2272" s="12" t="n"/>
      <c r="AM2272" s="14">
        <f>IF($B2272="","",IF($AQ2272="","対象年月が未入力／","")&amp;IF($B2272="","",IF($AP2272="","職員マスタに未登録の職員番号／",IF($AA2272="","標準報酬月額が未登録／","")&amp;IF(AND($AQ2272&lt;&gt;"",OR(AND(INDEX(職員マスタ!$G$6:$G$405,$AP2272)&lt;&gt;"",INDEX(職員マスタ!$G$6:$G$405,$AP2272)&gt;EOMONTH($AQ2272,0)),AND(INDEX(職員マスタ!$H$6:$H$405,$AP2272)&lt;&gt;"",INDEX(職員マスタ!$H$6:$H$405,$AP2272)&lt;$AQ2272))),"対象月が時短期間外／","")&amp;IF(AND(INDEX(職員マスタ!$K$6:$K$405,$AP2272)&lt;&gt;"",N($W2272)&gt;0,INDEX(職員マスタ!$K$6:$K$405,$AP2272)&lt;&gt;$W2272),"標準報酬月額が申請書と相違（台帳"&amp;TEXT(INDEX(職員マスタ!$K$6:$K$405,$AP2272),"#,##0")&amp;"円／申請書"&amp;TEXT($W2272,"#,##0")&amp;"円）／","")&amp;IF(AND(INDEX(職員マスタ!$F$6:$F$405,$AP2272)&lt;&gt;"",$AQ2272&lt;&gt;"",INDEX(職員マスタ!$F$6:$F$405,$AP2272)&lt;$AQ2272),"対象月に子が2歳到達済／","")&amp;IF(AND($H2272&lt;&gt;"",INDEX(職員マスタ!$B$6:$B$405,$AP2272)&lt;&gt;"",SUBSTITUTE(SUBSTITUTE($H2272," ","")," ","")&lt;&gt;SUBSTITUTE(SUBSTITUTE(INDEX(職員マスタ!$B$6:$B$405,$AP2272)," ","")," ","")),"氏名がマスタと相違／","")&amp;IF(AND($Q2272&lt;&gt;"",INDEX(職員マスタ!$E$6:$E$405,$AP2272)&lt;&gt;"",$Q2272&lt;&gt;INDEX(職員マスタ!$E$6:$E$405,$AP2272)),"子の生年月日がマスタと相違／","")&amp;IF(AND($L2272&lt;&gt;"",INDEX(職員マスタ!$G$6:$G$405,$AP2272)&lt;&gt;"",$L2272&lt;&gt;INDEX(職員マスタ!$G$6:$G$405,$AP2272)),"時短開始日がマスタと相違／","")&amp;IF(AND($M2272&lt;&gt;"",INDEX(職員マスタ!$H$6:$H$405,$AP2272)&lt;&gt;"",$M2272&lt;&gt;INDEX(職員マスタ!$H$6:$H$405,$AP2272)),"時短終了日がマスタと相違／","")))&amp;IF(AND($B2272&lt;&gt;"",$E2272=""),"報酬額が未入力／","")&amp;IF(N($U2272)&gt;0,"申請書に入力エラーが残っています／","")&amp;IF(AND($B2272&lt;&gt;"",$AQ2272&lt;&gt;""),IF(COUNTIFS($B$6:$B$3005,$B2272,$C$6:$C$3005,$C2272,$D$6:$D$3005,$D2272)&gt;1,"同じ月の請求が重複しています／",""),"")&amp;IF(AND(N($E2272)&gt;0,$AB2272&lt;&gt;"",$AB2272&lt;&gt;"×",$AE2272=0,$AD2272=""),"計算額が下限以下のため不支給／",""))</f>
        <v/>
      </c>
      <c r="AN2272" s="12" t="n"/>
      <c r="AO2272" s="14">
        <f>IF($AF2272="保留中",COUNTIF($AF$6:$AF2272,"保留中"),"")</f>
        <v/>
      </c>
      <c r="AP2272" s="14">
        <f>IF($AQ2272="","",IF(SUMPRODUCT(MAX((職員マスタ!$A$6:$A$405=$B2272)*(((職員マスタ!$G$6:$G$405="")+(職員マスタ!$G$6:$G$405&lt;=EOMONTH($AQ2272,0)))&gt;0)*(((職員マスタ!$H$6:$H$405="")+(職員マスタ!$H$6:$H$405&gt;=$AQ2272))&gt;0)*(ROW(職員マスタ!$A$6:$A$405)-5)))&gt;0,SUMPRODUCT(MAX((職員マスタ!$A$6:$A$405=$B2272)*(((職員マスタ!$G$6:$G$405="")+(職員マスタ!$G$6:$G$405&lt;=EOMONTH($AQ2272,0)))&gt;0)*(((職員マスタ!$H$6:$H$405="")+(職員マスタ!$H$6:$H$405&gt;=$AQ2272))&gt;0)*(ROW(職員マスタ!$A$6:$A$405)-5))),IFERROR(MATCH($B2272,職員マスタ!$A$6:$A$405,0),"")))</f>
        <v/>
      </c>
      <c r="AQ2272" s="16">
        <f>IF(OR($B2272="",$C2272="",$D2272=""),"",DATE($C2272+2018,$D2272,1))</f>
        <v/>
      </c>
    </row>
    <row r="2273">
      <c r="A2273" s="11" t="n"/>
      <c r="B2273" s="12" t="n"/>
      <c r="C2273" s="12" t="n"/>
      <c r="D2273" s="12" t="n"/>
      <c r="E2273" s="13" t="n"/>
      <c r="F2273" s="12" t="n"/>
      <c r="G2273" s="13" t="n"/>
      <c r="H2273" s="12" t="n"/>
      <c r="I2273" s="12" t="n"/>
      <c r="J2273" s="12" t="n"/>
      <c r="K2273" s="12" t="n"/>
      <c r="L2273" s="11" t="n"/>
      <c r="M2273" s="11" t="n"/>
      <c r="N2273" s="11" t="n"/>
      <c r="O2273" s="11" t="n"/>
      <c r="P2273" s="12" t="n"/>
      <c r="Q2273" s="11" t="n"/>
      <c r="R2273" s="12" t="n"/>
      <c r="S2273" s="11" t="n"/>
      <c r="T2273" s="12" t="n"/>
      <c r="U2273" s="12" t="n"/>
      <c r="V2273" s="12" t="n"/>
      <c r="W2273" s="13" t="n"/>
      <c r="X2273" s="14">
        <f>IF($AP2273="",IF($B2273="","",$H2273),IF(INDEX(職員マスタ!$B$6:$B$405,$AP2273)="",$H2273,INDEX(職員マスタ!$B$6:$B$405,$AP2273)))</f>
        <v/>
      </c>
      <c r="Y2273" s="14">
        <f>IF($AP2273="",IF($B2273="","",$R2273),IF(INDEX(職員マスタ!$C$6:$C$405,$AP2273)="",$R2273,INDEX(職員マスタ!$C$6:$C$405,$AP2273)))</f>
        <v/>
      </c>
      <c r="Z2273" s="14">
        <f>IF($AQ2273="","","R"&amp;$C2273&amp;"."&amp;$D2273)</f>
        <v/>
      </c>
      <c r="AA2273" s="15">
        <f>IF(IF($AP2273="",FALSE,INDEX(職員マスタ!$K$6:$K$405,$AP2273)&lt;&gt;""),INDEX(職員マスタ!$K$6:$K$405,$AP2273),IF(N($W2273)&gt;0,$W2273,""))</f>
        <v/>
      </c>
      <c r="AB2273" s="14">
        <f>IF(OR($E2273="",$AA2273=""),"",IF($E2273&gt;=$AA2273,"×",IF($E2273&gt;=$AA2273*設定!$C$5,"△","○")))</f>
        <v/>
      </c>
      <c r="AC2273" s="15">
        <f>IF($AB2273="","",IF($AB2273="×",0,IF($AB2273="○",ROUNDDOWN($E2273*設定!$C$4,0),ROUNDDOWN($E2273*ROUND((9*$AA2273-9*$E2273)/(10*$E2273),4),0))))</f>
        <v/>
      </c>
      <c r="AD2273" s="13" t="n"/>
      <c r="AE2273" s="15">
        <f>IF($B2273="","",IF($AD2273&lt;&gt;"",$AD2273,IF($AC2273="","",IF($AC2273&lt;=設定!$C$3,0,$AC2273))))</f>
        <v/>
      </c>
      <c r="AF2273" s="14">
        <f>IF($B2273="","",IF(AND($AG2273&lt;&gt;"",$AI2273="",$AL2273=""),"保留中",IF($AL2273&lt;&gt;"",IF(N($AE2273)&gt;0,"支給済","不支給"),IF($AE2273="","要確認",IF($AE2273=0,"不支給","未処理")))))</f>
        <v/>
      </c>
      <c r="AG2273" s="12" t="n"/>
      <c r="AH2273" s="11" t="n"/>
      <c r="AI2273" s="11" t="n"/>
      <c r="AJ2273" s="11" t="n"/>
      <c r="AK2273" s="14">
        <f>IF(AND($AF2273="保留中",$AH2273&lt;&gt;""),TODAY()-$AH2273,"")</f>
        <v/>
      </c>
      <c r="AL2273" s="12" t="n"/>
      <c r="AM2273" s="14">
        <f>IF($B2273="","",IF($AQ2273="","対象年月が未入力／","")&amp;IF($B2273="","",IF($AP2273="","職員マスタに未登録の職員番号／",IF($AA2273="","標準報酬月額が未登録／","")&amp;IF(AND($AQ2273&lt;&gt;"",OR(AND(INDEX(職員マスタ!$G$6:$G$405,$AP2273)&lt;&gt;"",INDEX(職員マスタ!$G$6:$G$405,$AP2273)&gt;EOMONTH($AQ2273,0)),AND(INDEX(職員マスタ!$H$6:$H$405,$AP2273)&lt;&gt;"",INDEX(職員マスタ!$H$6:$H$405,$AP2273)&lt;$AQ2273))),"対象月が時短期間外／","")&amp;IF(AND(INDEX(職員マスタ!$K$6:$K$405,$AP2273)&lt;&gt;"",N($W2273)&gt;0,INDEX(職員マスタ!$K$6:$K$405,$AP2273)&lt;&gt;$W2273),"標準報酬月額が申請書と相違（台帳"&amp;TEXT(INDEX(職員マスタ!$K$6:$K$405,$AP2273),"#,##0")&amp;"円／申請書"&amp;TEXT($W2273,"#,##0")&amp;"円）／","")&amp;IF(AND(INDEX(職員マスタ!$F$6:$F$405,$AP2273)&lt;&gt;"",$AQ2273&lt;&gt;"",INDEX(職員マスタ!$F$6:$F$405,$AP2273)&lt;$AQ2273),"対象月に子が2歳到達済／","")&amp;IF(AND($H2273&lt;&gt;"",INDEX(職員マスタ!$B$6:$B$405,$AP2273)&lt;&gt;"",SUBSTITUTE(SUBSTITUTE($H2273," ","")," ","")&lt;&gt;SUBSTITUTE(SUBSTITUTE(INDEX(職員マスタ!$B$6:$B$405,$AP2273)," ","")," ","")),"氏名がマスタと相違／","")&amp;IF(AND($Q2273&lt;&gt;"",INDEX(職員マスタ!$E$6:$E$405,$AP2273)&lt;&gt;"",$Q2273&lt;&gt;INDEX(職員マスタ!$E$6:$E$405,$AP2273)),"子の生年月日がマスタと相違／","")&amp;IF(AND($L2273&lt;&gt;"",INDEX(職員マスタ!$G$6:$G$405,$AP2273)&lt;&gt;"",$L2273&lt;&gt;INDEX(職員マスタ!$G$6:$G$405,$AP2273)),"時短開始日がマスタと相違／","")&amp;IF(AND($M2273&lt;&gt;"",INDEX(職員マスタ!$H$6:$H$405,$AP2273)&lt;&gt;"",$M2273&lt;&gt;INDEX(職員マスタ!$H$6:$H$405,$AP2273)),"時短終了日がマスタと相違／","")))&amp;IF(AND($B2273&lt;&gt;"",$E2273=""),"報酬額が未入力／","")&amp;IF(N($U2273)&gt;0,"申請書に入力エラーが残っています／","")&amp;IF(AND($B2273&lt;&gt;"",$AQ2273&lt;&gt;""),IF(COUNTIFS($B$6:$B$3005,$B2273,$C$6:$C$3005,$C2273,$D$6:$D$3005,$D2273)&gt;1,"同じ月の請求が重複しています／",""),"")&amp;IF(AND(N($E2273)&gt;0,$AB2273&lt;&gt;"",$AB2273&lt;&gt;"×",$AE2273=0,$AD2273=""),"計算額が下限以下のため不支給／",""))</f>
        <v/>
      </c>
      <c r="AN2273" s="12" t="n"/>
      <c r="AO2273" s="14">
        <f>IF($AF2273="保留中",COUNTIF($AF$6:$AF2273,"保留中"),"")</f>
        <v/>
      </c>
      <c r="AP2273" s="14">
        <f>IF($AQ2273="","",IF(SUMPRODUCT(MAX((職員マスタ!$A$6:$A$405=$B2273)*(((職員マスタ!$G$6:$G$405="")+(職員マスタ!$G$6:$G$405&lt;=EOMONTH($AQ2273,0)))&gt;0)*(((職員マスタ!$H$6:$H$405="")+(職員マスタ!$H$6:$H$405&gt;=$AQ2273))&gt;0)*(ROW(職員マスタ!$A$6:$A$405)-5)))&gt;0,SUMPRODUCT(MAX((職員マスタ!$A$6:$A$405=$B2273)*(((職員マスタ!$G$6:$G$405="")+(職員マスタ!$G$6:$G$405&lt;=EOMONTH($AQ2273,0)))&gt;0)*(((職員マスタ!$H$6:$H$405="")+(職員マスタ!$H$6:$H$405&gt;=$AQ2273))&gt;0)*(ROW(職員マスタ!$A$6:$A$405)-5))),IFERROR(MATCH($B2273,職員マスタ!$A$6:$A$405,0),"")))</f>
        <v/>
      </c>
      <c r="AQ2273" s="16">
        <f>IF(OR($B2273="",$C2273="",$D2273=""),"",DATE($C2273+2018,$D2273,1))</f>
        <v/>
      </c>
    </row>
    <row r="2274">
      <c r="A2274" s="11" t="n"/>
      <c r="B2274" s="12" t="n"/>
      <c r="C2274" s="12" t="n"/>
      <c r="D2274" s="12" t="n"/>
      <c r="E2274" s="13" t="n"/>
      <c r="F2274" s="12" t="n"/>
      <c r="G2274" s="13" t="n"/>
      <c r="H2274" s="12" t="n"/>
      <c r="I2274" s="12" t="n"/>
      <c r="J2274" s="12" t="n"/>
      <c r="K2274" s="12" t="n"/>
      <c r="L2274" s="11" t="n"/>
      <c r="M2274" s="11" t="n"/>
      <c r="N2274" s="11" t="n"/>
      <c r="O2274" s="11" t="n"/>
      <c r="P2274" s="12" t="n"/>
      <c r="Q2274" s="11" t="n"/>
      <c r="R2274" s="12" t="n"/>
      <c r="S2274" s="11" t="n"/>
      <c r="T2274" s="12" t="n"/>
      <c r="U2274" s="12" t="n"/>
      <c r="V2274" s="12" t="n"/>
      <c r="W2274" s="13" t="n"/>
      <c r="X2274" s="14">
        <f>IF($AP2274="",IF($B2274="","",$H2274),IF(INDEX(職員マスタ!$B$6:$B$405,$AP2274)="",$H2274,INDEX(職員マスタ!$B$6:$B$405,$AP2274)))</f>
        <v/>
      </c>
      <c r="Y2274" s="14">
        <f>IF($AP2274="",IF($B2274="","",$R2274),IF(INDEX(職員マスタ!$C$6:$C$405,$AP2274)="",$R2274,INDEX(職員マスタ!$C$6:$C$405,$AP2274)))</f>
        <v/>
      </c>
      <c r="Z2274" s="14">
        <f>IF($AQ2274="","","R"&amp;$C2274&amp;"."&amp;$D2274)</f>
        <v/>
      </c>
      <c r="AA2274" s="15">
        <f>IF(IF($AP2274="",FALSE,INDEX(職員マスタ!$K$6:$K$405,$AP2274)&lt;&gt;""),INDEX(職員マスタ!$K$6:$K$405,$AP2274),IF(N($W2274)&gt;0,$W2274,""))</f>
        <v/>
      </c>
      <c r="AB2274" s="14">
        <f>IF(OR($E2274="",$AA2274=""),"",IF($E2274&gt;=$AA2274,"×",IF($E2274&gt;=$AA2274*設定!$C$5,"△","○")))</f>
        <v/>
      </c>
      <c r="AC2274" s="15">
        <f>IF($AB2274="","",IF($AB2274="×",0,IF($AB2274="○",ROUNDDOWN($E2274*設定!$C$4,0),ROUNDDOWN($E2274*ROUND((9*$AA2274-9*$E2274)/(10*$E2274),4),0))))</f>
        <v/>
      </c>
      <c r="AD2274" s="13" t="n"/>
      <c r="AE2274" s="15">
        <f>IF($B2274="","",IF($AD2274&lt;&gt;"",$AD2274,IF($AC2274="","",IF($AC2274&lt;=設定!$C$3,0,$AC2274))))</f>
        <v/>
      </c>
      <c r="AF2274" s="14">
        <f>IF($B2274="","",IF(AND($AG2274&lt;&gt;"",$AI2274="",$AL2274=""),"保留中",IF($AL2274&lt;&gt;"",IF(N($AE2274)&gt;0,"支給済","不支給"),IF($AE2274="","要確認",IF($AE2274=0,"不支給","未処理")))))</f>
        <v/>
      </c>
      <c r="AG2274" s="12" t="n"/>
      <c r="AH2274" s="11" t="n"/>
      <c r="AI2274" s="11" t="n"/>
      <c r="AJ2274" s="11" t="n"/>
      <c r="AK2274" s="14">
        <f>IF(AND($AF2274="保留中",$AH2274&lt;&gt;""),TODAY()-$AH2274,"")</f>
        <v/>
      </c>
      <c r="AL2274" s="12" t="n"/>
      <c r="AM2274" s="14">
        <f>IF($B2274="","",IF($AQ2274="","対象年月が未入力／","")&amp;IF($B2274="","",IF($AP2274="","職員マスタに未登録の職員番号／",IF($AA2274="","標準報酬月額が未登録／","")&amp;IF(AND($AQ2274&lt;&gt;"",OR(AND(INDEX(職員マスタ!$G$6:$G$405,$AP2274)&lt;&gt;"",INDEX(職員マスタ!$G$6:$G$405,$AP2274)&gt;EOMONTH($AQ2274,0)),AND(INDEX(職員マスタ!$H$6:$H$405,$AP2274)&lt;&gt;"",INDEX(職員マスタ!$H$6:$H$405,$AP2274)&lt;$AQ2274))),"対象月が時短期間外／","")&amp;IF(AND(INDEX(職員マスタ!$K$6:$K$405,$AP2274)&lt;&gt;"",N($W2274)&gt;0,INDEX(職員マスタ!$K$6:$K$405,$AP2274)&lt;&gt;$W2274),"標準報酬月額が申請書と相違（台帳"&amp;TEXT(INDEX(職員マスタ!$K$6:$K$405,$AP2274),"#,##0")&amp;"円／申請書"&amp;TEXT($W2274,"#,##0")&amp;"円）／","")&amp;IF(AND(INDEX(職員マスタ!$F$6:$F$405,$AP2274)&lt;&gt;"",$AQ2274&lt;&gt;"",INDEX(職員マスタ!$F$6:$F$405,$AP2274)&lt;$AQ2274),"対象月に子が2歳到達済／","")&amp;IF(AND($H2274&lt;&gt;"",INDEX(職員マスタ!$B$6:$B$405,$AP2274)&lt;&gt;"",SUBSTITUTE(SUBSTITUTE($H2274," ","")," ","")&lt;&gt;SUBSTITUTE(SUBSTITUTE(INDEX(職員マスタ!$B$6:$B$405,$AP2274)," ","")," ","")),"氏名がマスタと相違／","")&amp;IF(AND($Q2274&lt;&gt;"",INDEX(職員マスタ!$E$6:$E$405,$AP2274)&lt;&gt;"",$Q2274&lt;&gt;INDEX(職員マスタ!$E$6:$E$405,$AP2274)),"子の生年月日がマスタと相違／","")&amp;IF(AND($L2274&lt;&gt;"",INDEX(職員マスタ!$G$6:$G$405,$AP2274)&lt;&gt;"",$L2274&lt;&gt;INDEX(職員マスタ!$G$6:$G$405,$AP2274)),"時短開始日がマスタと相違／","")&amp;IF(AND($M2274&lt;&gt;"",INDEX(職員マスタ!$H$6:$H$405,$AP2274)&lt;&gt;"",$M2274&lt;&gt;INDEX(職員マスタ!$H$6:$H$405,$AP2274)),"時短終了日がマスタと相違／","")))&amp;IF(AND($B2274&lt;&gt;"",$E2274=""),"報酬額が未入力／","")&amp;IF(N($U2274)&gt;0,"申請書に入力エラーが残っています／","")&amp;IF(AND($B2274&lt;&gt;"",$AQ2274&lt;&gt;""),IF(COUNTIFS($B$6:$B$3005,$B2274,$C$6:$C$3005,$C2274,$D$6:$D$3005,$D2274)&gt;1,"同じ月の請求が重複しています／",""),"")&amp;IF(AND(N($E2274)&gt;0,$AB2274&lt;&gt;"",$AB2274&lt;&gt;"×",$AE2274=0,$AD2274=""),"計算額が下限以下のため不支給／",""))</f>
        <v/>
      </c>
      <c r="AN2274" s="12" t="n"/>
      <c r="AO2274" s="14">
        <f>IF($AF2274="保留中",COUNTIF($AF$6:$AF2274,"保留中"),"")</f>
        <v/>
      </c>
      <c r="AP2274" s="14">
        <f>IF($AQ2274="","",IF(SUMPRODUCT(MAX((職員マスタ!$A$6:$A$405=$B2274)*(((職員マスタ!$G$6:$G$405="")+(職員マスタ!$G$6:$G$405&lt;=EOMONTH($AQ2274,0)))&gt;0)*(((職員マスタ!$H$6:$H$405="")+(職員マスタ!$H$6:$H$405&gt;=$AQ2274))&gt;0)*(ROW(職員マスタ!$A$6:$A$405)-5)))&gt;0,SUMPRODUCT(MAX((職員マスタ!$A$6:$A$405=$B2274)*(((職員マスタ!$G$6:$G$405="")+(職員マスタ!$G$6:$G$405&lt;=EOMONTH($AQ2274,0)))&gt;0)*(((職員マスタ!$H$6:$H$405="")+(職員マスタ!$H$6:$H$405&gt;=$AQ2274))&gt;0)*(ROW(職員マスタ!$A$6:$A$405)-5))),IFERROR(MATCH($B2274,職員マスタ!$A$6:$A$405,0),"")))</f>
        <v/>
      </c>
      <c r="AQ2274" s="16">
        <f>IF(OR($B2274="",$C2274="",$D2274=""),"",DATE($C2274+2018,$D2274,1))</f>
        <v/>
      </c>
    </row>
    <row r="2275">
      <c r="A2275" s="11" t="n"/>
      <c r="B2275" s="12" t="n"/>
      <c r="C2275" s="12" t="n"/>
      <c r="D2275" s="12" t="n"/>
      <c r="E2275" s="13" t="n"/>
      <c r="F2275" s="12" t="n"/>
      <c r="G2275" s="13" t="n"/>
      <c r="H2275" s="12" t="n"/>
      <c r="I2275" s="12" t="n"/>
      <c r="J2275" s="12" t="n"/>
      <c r="K2275" s="12" t="n"/>
      <c r="L2275" s="11" t="n"/>
      <c r="M2275" s="11" t="n"/>
      <c r="N2275" s="11" t="n"/>
      <c r="O2275" s="11" t="n"/>
      <c r="P2275" s="12" t="n"/>
      <c r="Q2275" s="11" t="n"/>
      <c r="R2275" s="12" t="n"/>
      <c r="S2275" s="11" t="n"/>
      <c r="T2275" s="12" t="n"/>
      <c r="U2275" s="12" t="n"/>
      <c r="V2275" s="12" t="n"/>
      <c r="W2275" s="13" t="n"/>
      <c r="X2275" s="14">
        <f>IF($AP2275="",IF($B2275="","",$H2275),IF(INDEX(職員マスタ!$B$6:$B$405,$AP2275)="",$H2275,INDEX(職員マスタ!$B$6:$B$405,$AP2275)))</f>
        <v/>
      </c>
      <c r="Y2275" s="14">
        <f>IF($AP2275="",IF($B2275="","",$R2275),IF(INDEX(職員マスタ!$C$6:$C$405,$AP2275)="",$R2275,INDEX(職員マスタ!$C$6:$C$405,$AP2275)))</f>
        <v/>
      </c>
      <c r="Z2275" s="14">
        <f>IF($AQ2275="","","R"&amp;$C2275&amp;"."&amp;$D2275)</f>
        <v/>
      </c>
      <c r="AA2275" s="15">
        <f>IF(IF($AP2275="",FALSE,INDEX(職員マスタ!$K$6:$K$405,$AP2275)&lt;&gt;""),INDEX(職員マスタ!$K$6:$K$405,$AP2275),IF(N($W2275)&gt;0,$W2275,""))</f>
        <v/>
      </c>
      <c r="AB2275" s="14">
        <f>IF(OR($E2275="",$AA2275=""),"",IF($E2275&gt;=$AA2275,"×",IF($E2275&gt;=$AA2275*設定!$C$5,"△","○")))</f>
        <v/>
      </c>
      <c r="AC2275" s="15">
        <f>IF($AB2275="","",IF($AB2275="×",0,IF($AB2275="○",ROUNDDOWN($E2275*設定!$C$4,0),ROUNDDOWN($E2275*ROUND((9*$AA2275-9*$E2275)/(10*$E2275),4),0))))</f>
        <v/>
      </c>
      <c r="AD2275" s="13" t="n"/>
      <c r="AE2275" s="15">
        <f>IF($B2275="","",IF($AD2275&lt;&gt;"",$AD2275,IF($AC2275="","",IF($AC2275&lt;=設定!$C$3,0,$AC2275))))</f>
        <v/>
      </c>
      <c r="AF2275" s="14">
        <f>IF($B2275="","",IF(AND($AG2275&lt;&gt;"",$AI2275="",$AL2275=""),"保留中",IF($AL2275&lt;&gt;"",IF(N($AE2275)&gt;0,"支給済","不支給"),IF($AE2275="","要確認",IF($AE2275=0,"不支給","未処理")))))</f>
        <v/>
      </c>
      <c r="AG2275" s="12" t="n"/>
      <c r="AH2275" s="11" t="n"/>
      <c r="AI2275" s="11" t="n"/>
      <c r="AJ2275" s="11" t="n"/>
      <c r="AK2275" s="14">
        <f>IF(AND($AF2275="保留中",$AH2275&lt;&gt;""),TODAY()-$AH2275,"")</f>
        <v/>
      </c>
      <c r="AL2275" s="12" t="n"/>
      <c r="AM2275" s="14">
        <f>IF($B2275="","",IF($AQ2275="","対象年月が未入力／","")&amp;IF($B2275="","",IF($AP2275="","職員マスタに未登録の職員番号／",IF($AA2275="","標準報酬月額が未登録／","")&amp;IF(AND($AQ2275&lt;&gt;"",OR(AND(INDEX(職員マスタ!$G$6:$G$405,$AP2275)&lt;&gt;"",INDEX(職員マスタ!$G$6:$G$405,$AP2275)&gt;EOMONTH($AQ2275,0)),AND(INDEX(職員マスタ!$H$6:$H$405,$AP2275)&lt;&gt;"",INDEX(職員マスタ!$H$6:$H$405,$AP2275)&lt;$AQ2275))),"対象月が時短期間外／","")&amp;IF(AND(INDEX(職員マスタ!$K$6:$K$405,$AP2275)&lt;&gt;"",N($W2275)&gt;0,INDEX(職員マスタ!$K$6:$K$405,$AP2275)&lt;&gt;$W2275),"標準報酬月額が申請書と相違（台帳"&amp;TEXT(INDEX(職員マスタ!$K$6:$K$405,$AP2275),"#,##0")&amp;"円／申請書"&amp;TEXT($W2275,"#,##0")&amp;"円）／","")&amp;IF(AND(INDEX(職員マスタ!$F$6:$F$405,$AP2275)&lt;&gt;"",$AQ2275&lt;&gt;"",INDEX(職員マスタ!$F$6:$F$405,$AP2275)&lt;$AQ2275),"対象月に子が2歳到達済／","")&amp;IF(AND($H2275&lt;&gt;"",INDEX(職員マスタ!$B$6:$B$405,$AP2275)&lt;&gt;"",SUBSTITUTE(SUBSTITUTE($H2275," ","")," ","")&lt;&gt;SUBSTITUTE(SUBSTITUTE(INDEX(職員マスタ!$B$6:$B$405,$AP2275)," ","")," ","")),"氏名がマスタと相違／","")&amp;IF(AND($Q2275&lt;&gt;"",INDEX(職員マスタ!$E$6:$E$405,$AP2275)&lt;&gt;"",$Q2275&lt;&gt;INDEX(職員マスタ!$E$6:$E$405,$AP2275)),"子の生年月日がマスタと相違／","")&amp;IF(AND($L2275&lt;&gt;"",INDEX(職員マスタ!$G$6:$G$405,$AP2275)&lt;&gt;"",$L2275&lt;&gt;INDEX(職員マスタ!$G$6:$G$405,$AP2275)),"時短開始日がマスタと相違／","")&amp;IF(AND($M2275&lt;&gt;"",INDEX(職員マスタ!$H$6:$H$405,$AP2275)&lt;&gt;"",$M2275&lt;&gt;INDEX(職員マスタ!$H$6:$H$405,$AP2275)),"時短終了日がマスタと相違／","")))&amp;IF(AND($B2275&lt;&gt;"",$E2275=""),"報酬額が未入力／","")&amp;IF(N($U2275)&gt;0,"申請書に入力エラーが残っています／","")&amp;IF(AND($B2275&lt;&gt;"",$AQ2275&lt;&gt;""),IF(COUNTIFS($B$6:$B$3005,$B2275,$C$6:$C$3005,$C2275,$D$6:$D$3005,$D2275)&gt;1,"同じ月の請求が重複しています／",""),"")&amp;IF(AND(N($E2275)&gt;0,$AB2275&lt;&gt;"",$AB2275&lt;&gt;"×",$AE2275=0,$AD2275=""),"計算額が下限以下のため不支給／",""))</f>
        <v/>
      </c>
      <c r="AN2275" s="12" t="n"/>
      <c r="AO2275" s="14">
        <f>IF($AF2275="保留中",COUNTIF($AF$6:$AF2275,"保留中"),"")</f>
        <v/>
      </c>
      <c r="AP2275" s="14">
        <f>IF($AQ2275="","",IF(SUMPRODUCT(MAX((職員マスタ!$A$6:$A$405=$B2275)*(((職員マスタ!$G$6:$G$405="")+(職員マスタ!$G$6:$G$405&lt;=EOMONTH($AQ2275,0)))&gt;0)*(((職員マスタ!$H$6:$H$405="")+(職員マスタ!$H$6:$H$405&gt;=$AQ2275))&gt;0)*(ROW(職員マスタ!$A$6:$A$405)-5)))&gt;0,SUMPRODUCT(MAX((職員マスタ!$A$6:$A$405=$B2275)*(((職員マスタ!$G$6:$G$405="")+(職員マスタ!$G$6:$G$405&lt;=EOMONTH($AQ2275,0)))&gt;0)*(((職員マスタ!$H$6:$H$405="")+(職員マスタ!$H$6:$H$405&gt;=$AQ2275))&gt;0)*(ROW(職員マスタ!$A$6:$A$405)-5))),IFERROR(MATCH($B2275,職員マスタ!$A$6:$A$405,0),"")))</f>
        <v/>
      </c>
      <c r="AQ2275" s="16">
        <f>IF(OR($B2275="",$C2275="",$D2275=""),"",DATE($C2275+2018,$D2275,1))</f>
        <v/>
      </c>
    </row>
    <row r="2276">
      <c r="A2276" s="11" t="n"/>
      <c r="B2276" s="12" t="n"/>
      <c r="C2276" s="12" t="n"/>
      <c r="D2276" s="12" t="n"/>
      <c r="E2276" s="13" t="n"/>
      <c r="F2276" s="12" t="n"/>
      <c r="G2276" s="13" t="n"/>
      <c r="H2276" s="12" t="n"/>
      <c r="I2276" s="12" t="n"/>
      <c r="J2276" s="12" t="n"/>
      <c r="K2276" s="12" t="n"/>
      <c r="L2276" s="11" t="n"/>
      <c r="M2276" s="11" t="n"/>
      <c r="N2276" s="11" t="n"/>
      <c r="O2276" s="11" t="n"/>
      <c r="P2276" s="12" t="n"/>
      <c r="Q2276" s="11" t="n"/>
      <c r="R2276" s="12" t="n"/>
      <c r="S2276" s="11" t="n"/>
      <c r="T2276" s="12" t="n"/>
      <c r="U2276" s="12" t="n"/>
      <c r="V2276" s="12" t="n"/>
      <c r="W2276" s="13" t="n"/>
      <c r="X2276" s="14">
        <f>IF($AP2276="",IF($B2276="","",$H2276),IF(INDEX(職員マスタ!$B$6:$B$405,$AP2276)="",$H2276,INDEX(職員マスタ!$B$6:$B$405,$AP2276)))</f>
        <v/>
      </c>
      <c r="Y2276" s="14">
        <f>IF($AP2276="",IF($B2276="","",$R2276),IF(INDEX(職員マスタ!$C$6:$C$405,$AP2276)="",$R2276,INDEX(職員マスタ!$C$6:$C$405,$AP2276)))</f>
        <v/>
      </c>
      <c r="Z2276" s="14">
        <f>IF($AQ2276="","","R"&amp;$C2276&amp;"."&amp;$D2276)</f>
        <v/>
      </c>
      <c r="AA2276" s="15">
        <f>IF(IF($AP2276="",FALSE,INDEX(職員マスタ!$K$6:$K$405,$AP2276)&lt;&gt;""),INDEX(職員マスタ!$K$6:$K$405,$AP2276),IF(N($W2276)&gt;0,$W2276,""))</f>
        <v/>
      </c>
      <c r="AB2276" s="14">
        <f>IF(OR($E2276="",$AA2276=""),"",IF($E2276&gt;=$AA2276,"×",IF($E2276&gt;=$AA2276*設定!$C$5,"△","○")))</f>
        <v/>
      </c>
      <c r="AC2276" s="15">
        <f>IF($AB2276="","",IF($AB2276="×",0,IF($AB2276="○",ROUNDDOWN($E2276*設定!$C$4,0),ROUNDDOWN($E2276*ROUND((9*$AA2276-9*$E2276)/(10*$E2276),4),0))))</f>
        <v/>
      </c>
      <c r="AD2276" s="13" t="n"/>
      <c r="AE2276" s="15">
        <f>IF($B2276="","",IF($AD2276&lt;&gt;"",$AD2276,IF($AC2276="","",IF($AC2276&lt;=設定!$C$3,0,$AC2276))))</f>
        <v/>
      </c>
      <c r="AF2276" s="14">
        <f>IF($B2276="","",IF(AND($AG2276&lt;&gt;"",$AI2276="",$AL2276=""),"保留中",IF($AL2276&lt;&gt;"",IF(N($AE2276)&gt;0,"支給済","不支給"),IF($AE2276="","要確認",IF($AE2276=0,"不支給","未処理")))))</f>
        <v/>
      </c>
      <c r="AG2276" s="12" t="n"/>
      <c r="AH2276" s="11" t="n"/>
      <c r="AI2276" s="11" t="n"/>
      <c r="AJ2276" s="11" t="n"/>
      <c r="AK2276" s="14">
        <f>IF(AND($AF2276="保留中",$AH2276&lt;&gt;""),TODAY()-$AH2276,"")</f>
        <v/>
      </c>
      <c r="AL2276" s="12" t="n"/>
      <c r="AM2276" s="14">
        <f>IF($B2276="","",IF($AQ2276="","対象年月が未入力／","")&amp;IF($B2276="","",IF($AP2276="","職員マスタに未登録の職員番号／",IF($AA2276="","標準報酬月額が未登録／","")&amp;IF(AND($AQ2276&lt;&gt;"",OR(AND(INDEX(職員マスタ!$G$6:$G$405,$AP2276)&lt;&gt;"",INDEX(職員マスタ!$G$6:$G$405,$AP2276)&gt;EOMONTH($AQ2276,0)),AND(INDEX(職員マスタ!$H$6:$H$405,$AP2276)&lt;&gt;"",INDEX(職員マスタ!$H$6:$H$405,$AP2276)&lt;$AQ2276))),"対象月が時短期間外／","")&amp;IF(AND(INDEX(職員マスタ!$K$6:$K$405,$AP2276)&lt;&gt;"",N($W2276)&gt;0,INDEX(職員マスタ!$K$6:$K$405,$AP2276)&lt;&gt;$W2276),"標準報酬月額が申請書と相違（台帳"&amp;TEXT(INDEX(職員マスタ!$K$6:$K$405,$AP2276),"#,##0")&amp;"円／申請書"&amp;TEXT($W2276,"#,##0")&amp;"円）／","")&amp;IF(AND(INDEX(職員マスタ!$F$6:$F$405,$AP2276)&lt;&gt;"",$AQ2276&lt;&gt;"",INDEX(職員マスタ!$F$6:$F$405,$AP2276)&lt;$AQ2276),"対象月に子が2歳到達済／","")&amp;IF(AND($H2276&lt;&gt;"",INDEX(職員マスタ!$B$6:$B$405,$AP2276)&lt;&gt;"",SUBSTITUTE(SUBSTITUTE($H2276," ","")," ","")&lt;&gt;SUBSTITUTE(SUBSTITUTE(INDEX(職員マスタ!$B$6:$B$405,$AP2276)," ","")," ","")),"氏名がマスタと相違／","")&amp;IF(AND($Q2276&lt;&gt;"",INDEX(職員マスタ!$E$6:$E$405,$AP2276)&lt;&gt;"",$Q2276&lt;&gt;INDEX(職員マスタ!$E$6:$E$405,$AP2276)),"子の生年月日がマスタと相違／","")&amp;IF(AND($L2276&lt;&gt;"",INDEX(職員マスタ!$G$6:$G$405,$AP2276)&lt;&gt;"",$L2276&lt;&gt;INDEX(職員マスタ!$G$6:$G$405,$AP2276)),"時短開始日がマスタと相違／","")&amp;IF(AND($M2276&lt;&gt;"",INDEX(職員マスタ!$H$6:$H$405,$AP2276)&lt;&gt;"",$M2276&lt;&gt;INDEX(職員マスタ!$H$6:$H$405,$AP2276)),"時短終了日がマスタと相違／","")))&amp;IF(AND($B2276&lt;&gt;"",$E2276=""),"報酬額が未入力／","")&amp;IF(N($U2276)&gt;0,"申請書に入力エラーが残っています／","")&amp;IF(AND($B2276&lt;&gt;"",$AQ2276&lt;&gt;""),IF(COUNTIFS($B$6:$B$3005,$B2276,$C$6:$C$3005,$C2276,$D$6:$D$3005,$D2276)&gt;1,"同じ月の請求が重複しています／",""),"")&amp;IF(AND(N($E2276)&gt;0,$AB2276&lt;&gt;"",$AB2276&lt;&gt;"×",$AE2276=0,$AD2276=""),"計算額が下限以下のため不支給／",""))</f>
        <v/>
      </c>
      <c r="AN2276" s="12" t="n"/>
      <c r="AO2276" s="14">
        <f>IF($AF2276="保留中",COUNTIF($AF$6:$AF2276,"保留中"),"")</f>
        <v/>
      </c>
      <c r="AP2276" s="14">
        <f>IF($AQ2276="","",IF(SUMPRODUCT(MAX((職員マスタ!$A$6:$A$405=$B2276)*(((職員マスタ!$G$6:$G$405="")+(職員マスタ!$G$6:$G$405&lt;=EOMONTH($AQ2276,0)))&gt;0)*(((職員マスタ!$H$6:$H$405="")+(職員マスタ!$H$6:$H$405&gt;=$AQ2276))&gt;0)*(ROW(職員マスタ!$A$6:$A$405)-5)))&gt;0,SUMPRODUCT(MAX((職員マスタ!$A$6:$A$405=$B2276)*(((職員マスタ!$G$6:$G$405="")+(職員マスタ!$G$6:$G$405&lt;=EOMONTH($AQ2276,0)))&gt;0)*(((職員マスタ!$H$6:$H$405="")+(職員マスタ!$H$6:$H$405&gt;=$AQ2276))&gt;0)*(ROW(職員マスタ!$A$6:$A$405)-5))),IFERROR(MATCH($B2276,職員マスタ!$A$6:$A$405,0),"")))</f>
        <v/>
      </c>
      <c r="AQ2276" s="16">
        <f>IF(OR($B2276="",$C2276="",$D2276=""),"",DATE($C2276+2018,$D2276,1))</f>
        <v/>
      </c>
    </row>
    <row r="2277">
      <c r="A2277" s="11" t="n"/>
      <c r="B2277" s="12" t="n"/>
      <c r="C2277" s="12" t="n"/>
      <c r="D2277" s="12" t="n"/>
      <c r="E2277" s="13" t="n"/>
      <c r="F2277" s="12" t="n"/>
      <c r="G2277" s="13" t="n"/>
      <c r="H2277" s="12" t="n"/>
      <c r="I2277" s="12" t="n"/>
      <c r="J2277" s="12" t="n"/>
      <c r="K2277" s="12" t="n"/>
      <c r="L2277" s="11" t="n"/>
      <c r="M2277" s="11" t="n"/>
      <c r="N2277" s="11" t="n"/>
      <c r="O2277" s="11" t="n"/>
      <c r="P2277" s="12" t="n"/>
      <c r="Q2277" s="11" t="n"/>
      <c r="R2277" s="12" t="n"/>
      <c r="S2277" s="11" t="n"/>
      <c r="T2277" s="12" t="n"/>
      <c r="U2277" s="12" t="n"/>
      <c r="V2277" s="12" t="n"/>
      <c r="W2277" s="13" t="n"/>
      <c r="X2277" s="14">
        <f>IF($AP2277="",IF($B2277="","",$H2277),IF(INDEX(職員マスタ!$B$6:$B$405,$AP2277)="",$H2277,INDEX(職員マスタ!$B$6:$B$405,$AP2277)))</f>
        <v/>
      </c>
      <c r="Y2277" s="14">
        <f>IF($AP2277="",IF($B2277="","",$R2277),IF(INDEX(職員マスタ!$C$6:$C$405,$AP2277)="",$R2277,INDEX(職員マスタ!$C$6:$C$405,$AP2277)))</f>
        <v/>
      </c>
      <c r="Z2277" s="14">
        <f>IF($AQ2277="","","R"&amp;$C2277&amp;"."&amp;$D2277)</f>
        <v/>
      </c>
      <c r="AA2277" s="15">
        <f>IF(IF($AP2277="",FALSE,INDEX(職員マスタ!$K$6:$K$405,$AP2277)&lt;&gt;""),INDEX(職員マスタ!$K$6:$K$405,$AP2277),IF(N($W2277)&gt;0,$W2277,""))</f>
        <v/>
      </c>
      <c r="AB2277" s="14">
        <f>IF(OR($E2277="",$AA2277=""),"",IF($E2277&gt;=$AA2277,"×",IF($E2277&gt;=$AA2277*設定!$C$5,"△","○")))</f>
        <v/>
      </c>
      <c r="AC2277" s="15">
        <f>IF($AB2277="","",IF($AB2277="×",0,IF($AB2277="○",ROUNDDOWN($E2277*設定!$C$4,0),ROUNDDOWN($E2277*ROUND((9*$AA2277-9*$E2277)/(10*$E2277),4),0))))</f>
        <v/>
      </c>
      <c r="AD2277" s="13" t="n"/>
      <c r="AE2277" s="15">
        <f>IF($B2277="","",IF($AD2277&lt;&gt;"",$AD2277,IF($AC2277="","",IF($AC2277&lt;=設定!$C$3,0,$AC2277))))</f>
        <v/>
      </c>
      <c r="AF2277" s="14">
        <f>IF($B2277="","",IF(AND($AG2277&lt;&gt;"",$AI2277="",$AL2277=""),"保留中",IF($AL2277&lt;&gt;"",IF(N($AE2277)&gt;0,"支給済","不支給"),IF($AE2277="","要確認",IF($AE2277=0,"不支給","未処理")))))</f>
        <v/>
      </c>
      <c r="AG2277" s="12" t="n"/>
      <c r="AH2277" s="11" t="n"/>
      <c r="AI2277" s="11" t="n"/>
      <c r="AJ2277" s="11" t="n"/>
      <c r="AK2277" s="14">
        <f>IF(AND($AF2277="保留中",$AH2277&lt;&gt;""),TODAY()-$AH2277,"")</f>
        <v/>
      </c>
      <c r="AL2277" s="12" t="n"/>
      <c r="AM2277" s="14">
        <f>IF($B2277="","",IF($AQ2277="","対象年月が未入力／","")&amp;IF($B2277="","",IF($AP2277="","職員マスタに未登録の職員番号／",IF($AA2277="","標準報酬月額が未登録／","")&amp;IF(AND($AQ2277&lt;&gt;"",OR(AND(INDEX(職員マスタ!$G$6:$G$405,$AP2277)&lt;&gt;"",INDEX(職員マスタ!$G$6:$G$405,$AP2277)&gt;EOMONTH($AQ2277,0)),AND(INDEX(職員マスタ!$H$6:$H$405,$AP2277)&lt;&gt;"",INDEX(職員マスタ!$H$6:$H$405,$AP2277)&lt;$AQ2277))),"対象月が時短期間外／","")&amp;IF(AND(INDEX(職員マスタ!$K$6:$K$405,$AP2277)&lt;&gt;"",N($W2277)&gt;0,INDEX(職員マスタ!$K$6:$K$405,$AP2277)&lt;&gt;$W2277),"標準報酬月額が申請書と相違（台帳"&amp;TEXT(INDEX(職員マスタ!$K$6:$K$405,$AP2277),"#,##0")&amp;"円／申請書"&amp;TEXT($W2277,"#,##0")&amp;"円）／","")&amp;IF(AND(INDEX(職員マスタ!$F$6:$F$405,$AP2277)&lt;&gt;"",$AQ2277&lt;&gt;"",INDEX(職員マスタ!$F$6:$F$405,$AP2277)&lt;$AQ2277),"対象月に子が2歳到達済／","")&amp;IF(AND($H2277&lt;&gt;"",INDEX(職員マスタ!$B$6:$B$405,$AP2277)&lt;&gt;"",SUBSTITUTE(SUBSTITUTE($H2277," ","")," ","")&lt;&gt;SUBSTITUTE(SUBSTITUTE(INDEX(職員マスタ!$B$6:$B$405,$AP2277)," ","")," ","")),"氏名がマスタと相違／","")&amp;IF(AND($Q2277&lt;&gt;"",INDEX(職員マスタ!$E$6:$E$405,$AP2277)&lt;&gt;"",$Q2277&lt;&gt;INDEX(職員マスタ!$E$6:$E$405,$AP2277)),"子の生年月日がマスタと相違／","")&amp;IF(AND($L2277&lt;&gt;"",INDEX(職員マスタ!$G$6:$G$405,$AP2277)&lt;&gt;"",$L2277&lt;&gt;INDEX(職員マスタ!$G$6:$G$405,$AP2277)),"時短開始日がマスタと相違／","")&amp;IF(AND($M2277&lt;&gt;"",INDEX(職員マスタ!$H$6:$H$405,$AP2277)&lt;&gt;"",$M2277&lt;&gt;INDEX(職員マスタ!$H$6:$H$405,$AP2277)),"時短終了日がマスタと相違／","")))&amp;IF(AND($B2277&lt;&gt;"",$E2277=""),"報酬額が未入力／","")&amp;IF(N($U2277)&gt;0,"申請書に入力エラーが残っています／","")&amp;IF(AND($B2277&lt;&gt;"",$AQ2277&lt;&gt;""),IF(COUNTIFS($B$6:$B$3005,$B2277,$C$6:$C$3005,$C2277,$D$6:$D$3005,$D2277)&gt;1,"同じ月の請求が重複しています／",""),"")&amp;IF(AND(N($E2277)&gt;0,$AB2277&lt;&gt;"",$AB2277&lt;&gt;"×",$AE2277=0,$AD2277=""),"計算額が下限以下のため不支給／",""))</f>
        <v/>
      </c>
      <c r="AN2277" s="12" t="n"/>
      <c r="AO2277" s="14">
        <f>IF($AF2277="保留中",COUNTIF($AF$6:$AF2277,"保留中"),"")</f>
        <v/>
      </c>
      <c r="AP2277" s="14">
        <f>IF($AQ2277="","",IF(SUMPRODUCT(MAX((職員マスタ!$A$6:$A$405=$B2277)*(((職員マスタ!$G$6:$G$405="")+(職員マスタ!$G$6:$G$405&lt;=EOMONTH($AQ2277,0)))&gt;0)*(((職員マスタ!$H$6:$H$405="")+(職員マスタ!$H$6:$H$405&gt;=$AQ2277))&gt;0)*(ROW(職員マスタ!$A$6:$A$405)-5)))&gt;0,SUMPRODUCT(MAX((職員マスタ!$A$6:$A$405=$B2277)*(((職員マスタ!$G$6:$G$405="")+(職員マスタ!$G$6:$G$405&lt;=EOMONTH($AQ2277,0)))&gt;0)*(((職員マスタ!$H$6:$H$405="")+(職員マスタ!$H$6:$H$405&gt;=$AQ2277))&gt;0)*(ROW(職員マスタ!$A$6:$A$405)-5))),IFERROR(MATCH($B2277,職員マスタ!$A$6:$A$405,0),"")))</f>
        <v/>
      </c>
      <c r="AQ2277" s="16">
        <f>IF(OR($B2277="",$C2277="",$D2277=""),"",DATE($C2277+2018,$D2277,1))</f>
        <v/>
      </c>
    </row>
    <row r="2278">
      <c r="A2278" s="11" t="n"/>
      <c r="B2278" s="12" t="n"/>
      <c r="C2278" s="12" t="n"/>
      <c r="D2278" s="12" t="n"/>
      <c r="E2278" s="13" t="n"/>
      <c r="F2278" s="12" t="n"/>
      <c r="G2278" s="13" t="n"/>
      <c r="H2278" s="12" t="n"/>
      <c r="I2278" s="12" t="n"/>
      <c r="J2278" s="12" t="n"/>
      <c r="K2278" s="12" t="n"/>
      <c r="L2278" s="11" t="n"/>
      <c r="M2278" s="11" t="n"/>
      <c r="N2278" s="11" t="n"/>
      <c r="O2278" s="11" t="n"/>
      <c r="P2278" s="12" t="n"/>
      <c r="Q2278" s="11" t="n"/>
      <c r="R2278" s="12" t="n"/>
      <c r="S2278" s="11" t="n"/>
      <c r="T2278" s="12" t="n"/>
      <c r="U2278" s="12" t="n"/>
      <c r="V2278" s="12" t="n"/>
      <c r="W2278" s="13" t="n"/>
      <c r="X2278" s="14">
        <f>IF($AP2278="",IF($B2278="","",$H2278),IF(INDEX(職員マスタ!$B$6:$B$405,$AP2278)="",$H2278,INDEX(職員マスタ!$B$6:$B$405,$AP2278)))</f>
        <v/>
      </c>
      <c r="Y2278" s="14">
        <f>IF($AP2278="",IF($B2278="","",$R2278),IF(INDEX(職員マスタ!$C$6:$C$405,$AP2278)="",$R2278,INDEX(職員マスタ!$C$6:$C$405,$AP2278)))</f>
        <v/>
      </c>
      <c r="Z2278" s="14">
        <f>IF($AQ2278="","","R"&amp;$C2278&amp;"."&amp;$D2278)</f>
        <v/>
      </c>
      <c r="AA2278" s="15">
        <f>IF(IF($AP2278="",FALSE,INDEX(職員マスタ!$K$6:$K$405,$AP2278)&lt;&gt;""),INDEX(職員マスタ!$K$6:$K$405,$AP2278),IF(N($W2278)&gt;0,$W2278,""))</f>
        <v/>
      </c>
      <c r="AB2278" s="14">
        <f>IF(OR($E2278="",$AA2278=""),"",IF($E2278&gt;=$AA2278,"×",IF($E2278&gt;=$AA2278*設定!$C$5,"△","○")))</f>
        <v/>
      </c>
      <c r="AC2278" s="15">
        <f>IF($AB2278="","",IF($AB2278="×",0,IF($AB2278="○",ROUNDDOWN($E2278*設定!$C$4,0),ROUNDDOWN($E2278*ROUND((9*$AA2278-9*$E2278)/(10*$E2278),4),0))))</f>
        <v/>
      </c>
      <c r="AD2278" s="13" t="n"/>
      <c r="AE2278" s="15">
        <f>IF($B2278="","",IF($AD2278&lt;&gt;"",$AD2278,IF($AC2278="","",IF($AC2278&lt;=設定!$C$3,0,$AC2278))))</f>
        <v/>
      </c>
      <c r="AF2278" s="14">
        <f>IF($B2278="","",IF(AND($AG2278&lt;&gt;"",$AI2278="",$AL2278=""),"保留中",IF($AL2278&lt;&gt;"",IF(N($AE2278)&gt;0,"支給済","不支給"),IF($AE2278="","要確認",IF($AE2278=0,"不支給","未処理")))))</f>
        <v/>
      </c>
      <c r="AG2278" s="12" t="n"/>
      <c r="AH2278" s="11" t="n"/>
      <c r="AI2278" s="11" t="n"/>
      <c r="AJ2278" s="11" t="n"/>
      <c r="AK2278" s="14">
        <f>IF(AND($AF2278="保留中",$AH2278&lt;&gt;""),TODAY()-$AH2278,"")</f>
        <v/>
      </c>
      <c r="AL2278" s="12" t="n"/>
      <c r="AM2278" s="14">
        <f>IF($B2278="","",IF($AQ2278="","対象年月が未入力／","")&amp;IF($B2278="","",IF($AP2278="","職員マスタに未登録の職員番号／",IF($AA2278="","標準報酬月額が未登録／","")&amp;IF(AND($AQ2278&lt;&gt;"",OR(AND(INDEX(職員マスタ!$G$6:$G$405,$AP2278)&lt;&gt;"",INDEX(職員マスタ!$G$6:$G$405,$AP2278)&gt;EOMONTH($AQ2278,0)),AND(INDEX(職員マスタ!$H$6:$H$405,$AP2278)&lt;&gt;"",INDEX(職員マスタ!$H$6:$H$405,$AP2278)&lt;$AQ2278))),"対象月が時短期間外／","")&amp;IF(AND(INDEX(職員マスタ!$K$6:$K$405,$AP2278)&lt;&gt;"",N($W2278)&gt;0,INDEX(職員マスタ!$K$6:$K$405,$AP2278)&lt;&gt;$W2278),"標準報酬月額が申請書と相違（台帳"&amp;TEXT(INDEX(職員マスタ!$K$6:$K$405,$AP2278),"#,##0")&amp;"円／申請書"&amp;TEXT($W2278,"#,##0")&amp;"円）／","")&amp;IF(AND(INDEX(職員マスタ!$F$6:$F$405,$AP2278)&lt;&gt;"",$AQ2278&lt;&gt;"",INDEX(職員マスタ!$F$6:$F$405,$AP2278)&lt;$AQ2278),"対象月に子が2歳到達済／","")&amp;IF(AND($H2278&lt;&gt;"",INDEX(職員マスタ!$B$6:$B$405,$AP2278)&lt;&gt;"",SUBSTITUTE(SUBSTITUTE($H2278," ","")," ","")&lt;&gt;SUBSTITUTE(SUBSTITUTE(INDEX(職員マスタ!$B$6:$B$405,$AP2278)," ","")," ","")),"氏名がマスタと相違／","")&amp;IF(AND($Q2278&lt;&gt;"",INDEX(職員マスタ!$E$6:$E$405,$AP2278)&lt;&gt;"",$Q2278&lt;&gt;INDEX(職員マスタ!$E$6:$E$405,$AP2278)),"子の生年月日がマスタと相違／","")&amp;IF(AND($L2278&lt;&gt;"",INDEX(職員マスタ!$G$6:$G$405,$AP2278)&lt;&gt;"",$L2278&lt;&gt;INDEX(職員マスタ!$G$6:$G$405,$AP2278)),"時短開始日がマスタと相違／","")&amp;IF(AND($M2278&lt;&gt;"",INDEX(職員マスタ!$H$6:$H$405,$AP2278)&lt;&gt;"",$M2278&lt;&gt;INDEX(職員マスタ!$H$6:$H$405,$AP2278)),"時短終了日がマスタと相違／","")))&amp;IF(AND($B2278&lt;&gt;"",$E2278=""),"報酬額が未入力／","")&amp;IF(N($U2278)&gt;0,"申請書に入力エラーが残っています／","")&amp;IF(AND($B2278&lt;&gt;"",$AQ2278&lt;&gt;""),IF(COUNTIFS($B$6:$B$3005,$B2278,$C$6:$C$3005,$C2278,$D$6:$D$3005,$D2278)&gt;1,"同じ月の請求が重複しています／",""),"")&amp;IF(AND(N($E2278)&gt;0,$AB2278&lt;&gt;"",$AB2278&lt;&gt;"×",$AE2278=0,$AD2278=""),"計算額が下限以下のため不支給／",""))</f>
        <v/>
      </c>
      <c r="AN2278" s="12" t="n"/>
      <c r="AO2278" s="14">
        <f>IF($AF2278="保留中",COUNTIF($AF$6:$AF2278,"保留中"),"")</f>
        <v/>
      </c>
      <c r="AP2278" s="14">
        <f>IF($AQ2278="","",IF(SUMPRODUCT(MAX((職員マスタ!$A$6:$A$405=$B2278)*(((職員マスタ!$G$6:$G$405="")+(職員マスタ!$G$6:$G$405&lt;=EOMONTH($AQ2278,0)))&gt;0)*(((職員マスタ!$H$6:$H$405="")+(職員マスタ!$H$6:$H$405&gt;=$AQ2278))&gt;0)*(ROW(職員マスタ!$A$6:$A$405)-5)))&gt;0,SUMPRODUCT(MAX((職員マスタ!$A$6:$A$405=$B2278)*(((職員マスタ!$G$6:$G$405="")+(職員マスタ!$G$6:$G$405&lt;=EOMONTH($AQ2278,0)))&gt;0)*(((職員マスタ!$H$6:$H$405="")+(職員マスタ!$H$6:$H$405&gt;=$AQ2278))&gt;0)*(ROW(職員マスタ!$A$6:$A$405)-5))),IFERROR(MATCH($B2278,職員マスタ!$A$6:$A$405,0),"")))</f>
        <v/>
      </c>
      <c r="AQ2278" s="16">
        <f>IF(OR($B2278="",$C2278="",$D2278=""),"",DATE($C2278+2018,$D2278,1))</f>
        <v/>
      </c>
    </row>
    <row r="2279">
      <c r="A2279" s="11" t="n"/>
      <c r="B2279" s="12" t="n"/>
      <c r="C2279" s="12" t="n"/>
      <c r="D2279" s="12" t="n"/>
      <c r="E2279" s="13" t="n"/>
      <c r="F2279" s="12" t="n"/>
      <c r="G2279" s="13" t="n"/>
      <c r="H2279" s="12" t="n"/>
      <c r="I2279" s="12" t="n"/>
      <c r="J2279" s="12" t="n"/>
      <c r="K2279" s="12" t="n"/>
      <c r="L2279" s="11" t="n"/>
      <c r="M2279" s="11" t="n"/>
      <c r="N2279" s="11" t="n"/>
      <c r="O2279" s="11" t="n"/>
      <c r="P2279" s="12" t="n"/>
      <c r="Q2279" s="11" t="n"/>
      <c r="R2279" s="12" t="n"/>
      <c r="S2279" s="11" t="n"/>
      <c r="T2279" s="12" t="n"/>
      <c r="U2279" s="12" t="n"/>
      <c r="V2279" s="12" t="n"/>
      <c r="W2279" s="13" t="n"/>
      <c r="X2279" s="14">
        <f>IF($AP2279="",IF($B2279="","",$H2279),IF(INDEX(職員マスタ!$B$6:$B$405,$AP2279)="",$H2279,INDEX(職員マスタ!$B$6:$B$405,$AP2279)))</f>
        <v/>
      </c>
      <c r="Y2279" s="14">
        <f>IF($AP2279="",IF($B2279="","",$R2279),IF(INDEX(職員マスタ!$C$6:$C$405,$AP2279)="",$R2279,INDEX(職員マスタ!$C$6:$C$405,$AP2279)))</f>
        <v/>
      </c>
      <c r="Z2279" s="14">
        <f>IF($AQ2279="","","R"&amp;$C2279&amp;"."&amp;$D2279)</f>
        <v/>
      </c>
      <c r="AA2279" s="15">
        <f>IF(IF($AP2279="",FALSE,INDEX(職員マスタ!$K$6:$K$405,$AP2279)&lt;&gt;""),INDEX(職員マスタ!$K$6:$K$405,$AP2279),IF(N($W2279)&gt;0,$W2279,""))</f>
        <v/>
      </c>
      <c r="AB2279" s="14">
        <f>IF(OR($E2279="",$AA2279=""),"",IF($E2279&gt;=$AA2279,"×",IF($E2279&gt;=$AA2279*設定!$C$5,"△","○")))</f>
        <v/>
      </c>
      <c r="AC2279" s="15">
        <f>IF($AB2279="","",IF($AB2279="×",0,IF($AB2279="○",ROUNDDOWN($E2279*設定!$C$4,0),ROUNDDOWN($E2279*ROUND((9*$AA2279-9*$E2279)/(10*$E2279),4),0))))</f>
        <v/>
      </c>
      <c r="AD2279" s="13" t="n"/>
      <c r="AE2279" s="15">
        <f>IF($B2279="","",IF($AD2279&lt;&gt;"",$AD2279,IF($AC2279="","",IF($AC2279&lt;=設定!$C$3,0,$AC2279))))</f>
        <v/>
      </c>
      <c r="AF2279" s="14">
        <f>IF($B2279="","",IF(AND($AG2279&lt;&gt;"",$AI2279="",$AL2279=""),"保留中",IF($AL2279&lt;&gt;"",IF(N($AE2279)&gt;0,"支給済","不支給"),IF($AE2279="","要確認",IF($AE2279=0,"不支給","未処理")))))</f>
        <v/>
      </c>
      <c r="AG2279" s="12" t="n"/>
      <c r="AH2279" s="11" t="n"/>
      <c r="AI2279" s="11" t="n"/>
      <c r="AJ2279" s="11" t="n"/>
      <c r="AK2279" s="14">
        <f>IF(AND($AF2279="保留中",$AH2279&lt;&gt;""),TODAY()-$AH2279,"")</f>
        <v/>
      </c>
      <c r="AL2279" s="12" t="n"/>
      <c r="AM2279" s="14">
        <f>IF($B2279="","",IF($AQ2279="","対象年月が未入力／","")&amp;IF($B2279="","",IF($AP2279="","職員マスタに未登録の職員番号／",IF($AA2279="","標準報酬月額が未登録／","")&amp;IF(AND($AQ2279&lt;&gt;"",OR(AND(INDEX(職員マスタ!$G$6:$G$405,$AP2279)&lt;&gt;"",INDEX(職員マスタ!$G$6:$G$405,$AP2279)&gt;EOMONTH($AQ2279,0)),AND(INDEX(職員マスタ!$H$6:$H$405,$AP2279)&lt;&gt;"",INDEX(職員マスタ!$H$6:$H$405,$AP2279)&lt;$AQ2279))),"対象月が時短期間外／","")&amp;IF(AND(INDEX(職員マスタ!$K$6:$K$405,$AP2279)&lt;&gt;"",N($W2279)&gt;0,INDEX(職員マスタ!$K$6:$K$405,$AP2279)&lt;&gt;$W2279),"標準報酬月額が申請書と相違（台帳"&amp;TEXT(INDEX(職員マスタ!$K$6:$K$405,$AP2279),"#,##0")&amp;"円／申請書"&amp;TEXT($W2279,"#,##0")&amp;"円）／","")&amp;IF(AND(INDEX(職員マスタ!$F$6:$F$405,$AP2279)&lt;&gt;"",$AQ2279&lt;&gt;"",INDEX(職員マスタ!$F$6:$F$405,$AP2279)&lt;$AQ2279),"対象月に子が2歳到達済／","")&amp;IF(AND($H2279&lt;&gt;"",INDEX(職員マスタ!$B$6:$B$405,$AP2279)&lt;&gt;"",SUBSTITUTE(SUBSTITUTE($H2279," ","")," ","")&lt;&gt;SUBSTITUTE(SUBSTITUTE(INDEX(職員マスタ!$B$6:$B$405,$AP2279)," ","")," ","")),"氏名がマスタと相違／","")&amp;IF(AND($Q2279&lt;&gt;"",INDEX(職員マスタ!$E$6:$E$405,$AP2279)&lt;&gt;"",$Q2279&lt;&gt;INDEX(職員マスタ!$E$6:$E$405,$AP2279)),"子の生年月日がマスタと相違／","")&amp;IF(AND($L2279&lt;&gt;"",INDEX(職員マスタ!$G$6:$G$405,$AP2279)&lt;&gt;"",$L2279&lt;&gt;INDEX(職員マスタ!$G$6:$G$405,$AP2279)),"時短開始日がマスタと相違／","")&amp;IF(AND($M2279&lt;&gt;"",INDEX(職員マスタ!$H$6:$H$405,$AP2279)&lt;&gt;"",$M2279&lt;&gt;INDEX(職員マスタ!$H$6:$H$405,$AP2279)),"時短終了日がマスタと相違／","")))&amp;IF(AND($B2279&lt;&gt;"",$E2279=""),"報酬額が未入力／","")&amp;IF(N($U2279)&gt;0,"申請書に入力エラーが残っています／","")&amp;IF(AND($B2279&lt;&gt;"",$AQ2279&lt;&gt;""),IF(COUNTIFS($B$6:$B$3005,$B2279,$C$6:$C$3005,$C2279,$D$6:$D$3005,$D2279)&gt;1,"同じ月の請求が重複しています／",""),"")&amp;IF(AND(N($E2279)&gt;0,$AB2279&lt;&gt;"",$AB2279&lt;&gt;"×",$AE2279=0,$AD2279=""),"計算額が下限以下のため不支給／",""))</f>
        <v/>
      </c>
      <c r="AN2279" s="12" t="n"/>
      <c r="AO2279" s="14">
        <f>IF($AF2279="保留中",COUNTIF($AF$6:$AF2279,"保留中"),"")</f>
        <v/>
      </c>
      <c r="AP2279" s="14">
        <f>IF($AQ2279="","",IF(SUMPRODUCT(MAX((職員マスタ!$A$6:$A$405=$B2279)*(((職員マスタ!$G$6:$G$405="")+(職員マスタ!$G$6:$G$405&lt;=EOMONTH($AQ2279,0)))&gt;0)*(((職員マスタ!$H$6:$H$405="")+(職員マスタ!$H$6:$H$405&gt;=$AQ2279))&gt;0)*(ROW(職員マスタ!$A$6:$A$405)-5)))&gt;0,SUMPRODUCT(MAX((職員マスタ!$A$6:$A$405=$B2279)*(((職員マスタ!$G$6:$G$405="")+(職員マスタ!$G$6:$G$405&lt;=EOMONTH($AQ2279,0)))&gt;0)*(((職員マスタ!$H$6:$H$405="")+(職員マスタ!$H$6:$H$405&gt;=$AQ2279))&gt;0)*(ROW(職員マスタ!$A$6:$A$405)-5))),IFERROR(MATCH($B2279,職員マスタ!$A$6:$A$405,0),"")))</f>
        <v/>
      </c>
      <c r="AQ2279" s="16">
        <f>IF(OR($B2279="",$C2279="",$D2279=""),"",DATE($C2279+2018,$D2279,1))</f>
        <v/>
      </c>
    </row>
    <row r="2280">
      <c r="A2280" s="11" t="n"/>
      <c r="B2280" s="12" t="n"/>
      <c r="C2280" s="12" t="n"/>
      <c r="D2280" s="12" t="n"/>
      <c r="E2280" s="13" t="n"/>
      <c r="F2280" s="12" t="n"/>
      <c r="G2280" s="13" t="n"/>
      <c r="H2280" s="12" t="n"/>
      <c r="I2280" s="12" t="n"/>
      <c r="J2280" s="12" t="n"/>
      <c r="K2280" s="12" t="n"/>
      <c r="L2280" s="11" t="n"/>
      <c r="M2280" s="11" t="n"/>
      <c r="N2280" s="11" t="n"/>
      <c r="O2280" s="11" t="n"/>
      <c r="P2280" s="12" t="n"/>
      <c r="Q2280" s="11" t="n"/>
      <c r="R2280" s="12" t="n"/>
      <c r="S2280" s="11" t="n"/>
      <c r="T2280" s="12" t="n"/>
      <c r="U2280" s="12" t="n"/>
      <c r="V2280" s="12" t="n"/>
      <c r="W2280" s="13" t="n"/>
      <c r="X2280" s="14">
        <f>IF($AP2280="",IF($B2280="","",$H2280),IF(INDEX(職員マスタ!$B$6:$B$405,$AP2280)="",$H2280,INDEX(職員マスタ!$B$6:$B$405,$AP2280)))</f>
        <v/>
      </c>
      <c r="Y2280" s="14">
        <f>IF($AP2280="",IF($B2280="","",$R2280),IF(INDEX(職員マスタ!$C$6:$C$405,$AP2280)="",$R2280,INDEX(職員マスタ!$C$6:$C$405,$AP2280)))</f>
        <v/>
      </c>
      <c r="Z2280" s="14">
        <f>IF($AQ2280="","","R"&amp;$C2280&amp;"."&amp;$D2280)</f>
        <v/>
      </c>
      <c r="AA2280" s="15">
        <f>IF(IF($AP2280="",FALSE,INDEX(職員マスタ!$K$6:$K$405,$AP2280)&lt;&gt;""),INDEX(職員マスタ!$K$6:$K$405,$AP2280),IF(N($W2280)&gt;0,$W2280,""))</f>
        <v/>
      </c>
      <c r="AB2280" s="14">
        <f>IF(OR($E2280="",$AA2280=""),"",IF($E2280&gt;=$AA2280,"×",IF($E2280&gt;=$AA2280*設定!$C$5,"△","○")))</f>
        <v/>
      </c>
      <c r="AC2280" s="15">
        <f>IF($AB2280="","",IF($AB2280="×",0,IF($AB2280="○",ROUNDDOWN($E2280*設定!$C$4,0),ROUNDDOWN($E2280*ROUND((9*$AA2280-9*$E2280)/(10*$E2280),4),0))))</f>
        <v/>
      </c>
      <c r="AD2280" s="13" t="n"/>
      <c r="AE2280" s="15">
        <f>IF($B2280="","",IF($AD2280&lt;&gt;"",$AD2280,IF($AC2280="","",IF($AC2280&lt;=設定!$C$3,0,$AC2280))))</f>
        <v/>
      </c>
      <c r="AF2280" s="14">
        <f>IF($B2280="","",IF(AND($AG2280&lt;&gt;"",$AI2280="",$AL2280=""),"保留中",IF($AL2280&lt;&gt;"",IF(N($AE2280)&gt;0,"支給済","不支給"),IF($AE2280="","要確認",IF($AE2280=0,"不支給","未処理")))))</f>
        <v/>
      </c>
      <c r="AG2280" s="12" t="n"/>
      <c r="AH2280" s="11" t="n"/>
      <c r="AI2280" s="11" t="n"/>
      <c r="AJ2280" s="11" t="n"/>
      <c r="AK2280" s="14">
        <f>IF(AND($AF2280="保留中",$AH2280&lt;&gt;""),TODAY()-$AH2280,"")</f>
        <v/>
      </c>
      <c r="AL2280" s="12" t="n"/>
      <c r="AM2280" s="14">
        <f>IF($B2280="","",IF($AQ2280="","対象年月が未入力／","")&amp;IF($B2280="","",IF($AP2280="","職員マスタに未登録の職員番号／",IF($AA2280="","標準報酬月額が未登録／","")&amp;IF(AND($AQ2280&lt;&gt;"",OR(AND(INDEX(職員マスタ!$G$6:$G$405,$AP2280)&lt;&gt;"",INDEX(職員マスタ!$G$6:$G$405,$AP2280)&gt;EOMONTH($AQ2280,0)),AND(INDEX(職員マスタ!$H$6:$H$405,$AP2280)&lt;&gt;"",INDEX(職員マスタ!$H$6:$H$405,$AP2280)&lt;$AQ2280))),"対象月が時短期間外／","")&amp;IF(AND(INDEX(職員マスタ!$K$6:$K$405,$AP2280)&lt;&gt;"",N($W2280)&gt;0,INDEX(職員マスタ!$K$6:$K$405,$AP2280)&lt;&gt;$W2280),"標準報酬月額が申請書と相違（台帳"&amp;TEXT(INDEX(職員マスタ!$K$6:$K$405,$AP2280),"#,##0")&amp;"円／申請書"&amp;TEXT($W2280,"#,##0")&amp;"円）／","")&amp;IF(AND(INDEX(職員マスタ!$F$6:$F$405,$AP2280)&lt;&gt;"",$AQ2280&lt;&gt;"",INDEX(職員マスタ!$F$6:$F$405,$AP2280)&lt;$AQ2280),"対象月に子が2歳到達済／","")&amp;IF(AND($H2280&lt;&gt;"",INDEX(職員マスタ!$B$6:$B$405,$AP2280)&lt;&gt;"",SUBSTITUTE(SUBSTITUTE($H2280," ","")," ","")&lt;&gt;SUBSTITUTE(SUBSTITUTE(INDEX(職員マスタ!$B$6:$B$405,$AP2280)," ","")," ","")),"氏名がマスタと相違／","")&amp;IF(AND($Q2280&lt;&gt;"",INDEX(職員マスタ!$E$6:$E$405,$AP2280)&lt;&gt;"",$Q2280&lt;&gt;INDEX(職員マスタ!$E$6:$E$405,$AP2280)),"子の生年月日がマスタと相違／","")&amp;IF(AND($L2280&lt;&gt;"",INDEX(職員マスタ!$G$6:$G$405,$AP2280)&lt;&gt;"",$L2280&lt;&gt;INDEX(職員マスタ!$G$6:$G$405,$AP2280)),"時短開始日がマスタと相違／","")&amp;IF(AND($M2280&lt;&gt;"",INDEX(職員マスタ!$H$6:$H$405,$AP2280)&lt;&gt;"",$M2280&lt;&gt;INDEX(職員マスタ!$H$6:$H$405,$AP2280)),"時短終了日がマスタと相違／","")))&amp;IF(AND($B2280&lt;&gt;"",$E2280=""),"報酬額が未入力／","")&amp;IF(N($U2280)&gt;0,"申請書に入力エラーが残っています／","")&amp;IF(AND($B2280&lt;&gt;"",$AQ2280&lt;&gt;""),IF(COUNTIFS($B$6:$B$3005,$B2280,$C$6:$C$3005,$C2280,$D$6:$D$3005,$D2280)&gt;1,"同じ月の請求が重複しています／",""),"")&amp;IF(AND(N($E2280)&gt;0,$AB2280&lt;&gt;"",$AB2280&lt;&gt;"×",$AE2280=0,$AD2280=""),"計算額が下限以下のため不支給／",""))</f>
        <v/>
      </c>
      <c r="AN2280" s="12" t="n"/>
      <c r="AO2280" s="14">
        <f>IF($AF2280="保留中",COUNTIF($AF$6:$AF2280,"保留中"),"")</f>
        <v/>
      </c>
      <c r="AP2280" s="14">
        <f>IF($AQ2280="","",IF(SUMPRODUCT(MAX((職員マスタ!$A$6:$A$405=$B2280)*(((職員マスタ!$G$6:$G$405="")+(職員マスタ!$G$6:$G$405&lt;=EOMONTH($AQ2280,0)))&gt;0)*(((職員マスタ!$H$6:$H$405="")+(職員マスタ!$H$6:$H$405&gt;=$AQ2280))&gt;0)*(ROW(職員マスタ!$A$6:$A$405)-5)))&gt;0,SUMPRODUCT(MAX((職員マスタ!$A$6:$A$405=$B2280)*(((職員マスタ!$G$6:$G$405="")+(職員マスタ!$G$6:$G$405&lt;=EOMONTH($AQ2280,0)))&gt;0)*(((職員マスタ!$H$6:$H$405="")+(職員マスタ!$H$6:$H$405&gt;=$AQ2280))&gt;0)*(ROW(職員マスタ!$A$6:$A$405)-5))),IFERROR(MATCH($B2280,職員マスタ!$A$6:$A$405,0),"")))</f>
        <v/>
      </c>
      <c r="AQ2280" s="16">
        <f>IF(OR($B2280="",$C2280="",$D2280=""),"",DATE($C2280+2018,$D2280,1))</f>
        <v/>
      </c>
    </row>
    <row r="2281">
      <c r="A2281" s="11" t="n"/>
      <c r="B2281" s="12" t="n"/>
      <c r="C2281" s="12" t="n"/>
      <c r="D2281" s="12" t="n"/>
      <c r="E2281" s="13" t="n"/>
      <c r="F2281" s="12" t="n"/>
      <c r="G2281" s="13" t="n"/>
      <c r="H2281" s="12" t="n"/>
      <c r="I2281" s="12" t="n"/>
      <c r="J2281" s="12" t="n"/>
      <c r="K2281" s="12" t="n"/>
      <c r="L2281" s="11" t="n"/>
      <c r="M2281" s="11" t="n"/>
      <c r="N2281" s="11" t="n"/>
      <c r="O2281" s="11" t="n"/>
      <c r="P2281" s="12" t="n"/>
      <c r="Q2281" s="11" t="n"/>
      <c r="R2281" s="12" t="n"/>
      <c r="S2281" s="11" t="n"/>
      <c r="T2281" s="12" t="n"/>
      <c r="U2281" s="12" t="n"/>
      <c r="V2281" s="12" t="n"/>
      <c r="W2281" s="13" t="n"/>
      <c r="X2281" s="14">
        <f>IF($AP2281="",IF($B2281="","",$H2281),IF(INDEX(職員マスタ!$B$6:$B$405,$AP2281)="",$H2281,INDEX(職員マスタ!$B$6:$B$405,$AP2281)))</f>
        <v/>
      </c>
      <c r="Y2281" s="14">
        <f>IF($AP2281="",IF($B2281="","",$R2281),IF(INDEX(職員マスタ!$C$6:$C$405,$AP2281)="",$R2281,INDEX(職員マスタ!$C$6:$C$405,$AP2281)))</f>
        <v/>
      </c>
      <c r="Z2281" s="14">
        <f>IF($AQ2281="","","R"&amp;$C2281&amp;"."&amp;$D2281)</f>
        <v/>
      </c>
      <c r="AA2281" s="15">
        <f>IF(IF($AP2281="",FALSE,INDEX(職員マスタ!$K$6:$K$405,$AP2281)&lt;&gt;""),INDEX(職員マスタ!$K$6:$K$405,$AP2281),IF(N($W2281)&gt;0,$W2281,""))</f>
        <v/>
      </c>
      <c r="AB2281" s="14">
        <f>IF(OR($E2281="",$AA2281=""),"",IF($E2281&gt;=$AA2281,"×",IF($E2281&gt;=$AA2281*設定!$C$5,"△","○")))</f>
        <v/>
      </c>
      <c r="AC2281" s="15">
        <f>IF($AB2281="","",IF($AB2281="×",0,IF($AB2281="○",ROUNDDOWN($E2281*設定!$C$4,0),ROUNDDOWN($E2281*ROUND((9*$AA2281-9*$E2281)/(10*$E2281),4),0))))</f>
        <v/>
      </c>
      <c r="AD2281" s="13" t="n"/>
      <c r="AE2281" s="15">
        <f>IF($B2281="","",IF($AD2281&lt;&gt;"",$AD2281,IF($AC2281="","",IF($AC2281&lt;=設定!$C$3,0,$AC2281))))</f>
        <v/>
      </c>
      <c r="AF2281" s="14">
        <f>IF($B2281="","",IF(AND($AG2281&lt;&gt;"",$AI2281="",$AL2281=""),"保留中",IF($AL2281&lt;&gt;"",IF(N($AE2281)&gt;0,"支給済","不支給"),IF($AE2281="","要確認",IF($AE2281=0,"不支給","未処理")))))</f>
        <v/>
      </c>
      <c r="AG2281" s="12" t="n"/>
      <c r="AH2281" s="11" t="n"/>
      <c r="AI2281" s="11" t="n"/>
      <c r="AJ2281" s="11" t="n"/>
      <c r="AK2281" s="14">
        <f>IF(AND($AF2281="保留中",$AH2281&lt;&gt;""),TODAY()-$AH2281,"")</f>
        <v/>
      </c>
      <c r="AL2281" s="12" t="n"/>
      <c r="AM2281" s="14">
        <f>IF($B2281="","",IF($AQ2281="","対象年月が未入力／","")&amp;IF($B2281="","",IF($AP2281="","職員マスタに未登録の職員番号／",IF($AA2281="","標準報酬月額が未登録／","")&amp;IF(AND($AQ2281&lt;&gt;"",OR(AND(INDEX(職員マスタ!$G$6:$G$405,$AP2281)&lt;&gt;"",INDEX(職員マスタ!$G$6:$G$405,$AP2281)&gt;EOMONTH($AQ2281,0)),AND(INDEX(職員マスタ!$H$6:$H$405,$AP2281)&lt;&gt;"",INDEX(職員マスタ!$H$6:$H$405,$AP2281)&lt;$AQ2281))),"対象月が時短期間外／","")&amp;IF(AND(INDEX(職員マスタ!$K$6:$K$405,$AP2281)&lt;&gt;"",N($W2281)&gt;0,INDEX(職員マスタ!$K$6:$K$405,$AP2281)&lt;&gt;$W2281),"標準報酬月額が申請書と相違（台帳"&amp;TEXT(INDEX(職員マスタ!$K$6:$K$405,$AP2281),"#,##0")&amp;"円／申請書"&amp;TEXT($W2281,"#,##0")&amp;"円）／","")&amp;IF(AND(INDEX(職員マスタ!$F$6:$F$405,$AP2281)&lt;&gt;"",$AQ2281&lt;&gt;"",INDEX(職員マスタ!$F$6:$F$405,$AP2281)&lt;$AQ2281),"対象月に子が2歳到達済／","")&amp;IF(AND($H2281&lt;&gt;"",INDEX(職員マスタ!$B$6:$B$405,$AP2281)&lt;&gt;"",SUBSTITUTE(SUBSTITUTE($H2281," ","")," ","")&lt;&gt;SUBSTITUTE(SUBSTITUTE(INDEX(職員マスタ!$B$6:$B$405,$AP2281)," ","")," ","")),"氏名がマスタと相違／","")&amp;IF(AND($Q2281&lt;&gt;"",INDEX(職員マスタ!$E$6:$E$405,$AP2281)&lt;&gt;"",$Q2281&lt;&gt;INDEX(職員マスタ!$E$6:$E$405,$AP2281)),"子の生年月日がマスタと相違／","")&amp;IF(AND($L2281&lt;&gt;"",INDEX(職員マスタ!$G$6:$G$405,$AP2281)&lt;&gt;"",$L2281&lt;&gt;INDEX(職員マスタ!$G$6:$G$405,$AP2281)),"時短開始日がマスタと相違／","")&amp;IF(AND($M2281&lt;&gt;"",INDEX(職員マスタ!$H$6:$H$405,$AP2281)&lt;&gt;"",$M2281&lt;&gt;INDEX(職員マスタ!$H$6:$H$405,$AP2281)),"時短終了日がマスタと相違／","")))&amp;IF(AND($B2281&lt;&gt;"",$E2281=""),"報酬額が未入力／","")&amp;IF(N($U2281)&gt;0,"申請書に入力エラーが残っています／","")&amp;IF(AND($B2281&lt;&gt;"",$AQ2281&lt;&gt;""),IF(COUNTIFS($B$6:$B$3005,$B2281,$C$6:$C$3005,$C2281,$D$6:$D$3005,$D2281)&gt;1,"同じ月の請求が重複しています／",""),"")&amp;IF(AND(N($E2281)&gt;0,$AB2281&lt;&gt;"",$AB2281&lt;&gt;"×",$AE2281=0,$AD2281=""),"計算額が下限以下のため不支給／",""))</f>
        <v/>
      </c>
      <c r="AN2281" s="12" t="n"/>
      <c r="AO2281" s="14">
        <f>IF($AF2281="保留中",COUNTIF($AF$6:$AF2281,"保留中"),"")</f>
        <v/>
      </c>
      <c r="AP2281" s="14">
        <f>IF($AQ2281="","",IF(SUMPRODUCT(MAX((職員マスタ!$A$6:$A$405=$B2281)*(((職員マスタ!$G$6:$G$405="")+(職員マスタ!$G$6:$G$405&lt;=EOMONTH($AQ2281,0)))&gt;0)*(((職員マスタ!$H$6:$H$405="")+(職員マスタ!$H$6:$H$405&gt;=$AQ2281))&gt;0)*(ROW(職員マスタ!$A$6:$A$405)-5)))&gt;0,SUMPRODUCT(MAX((職員マスタ!$A$6:$A$405=$B2281)*(((職員マスタ!$G$6:$G$405="")+(職員マスタ!$G$6:$G$405&lt;=EOMONTH($AQ2281,0)))&gt;0)*(((職員マスタ!$H$6:$H$405="")+(職員マスタ!$H$6:$H$405&gt;=$AQ2281))&gt;0)*(ROW(職員マスタ!$A$6:$A$405)-5))),IFERROR(MATCH($B2281,職員マスタ!$A$6:$A$405,0),"")))</f>
        <v/>
      </c>
      <c r="AQ2281" s="16">
        <f>IF(OR($B2281="",$C2281="",$D2281=""),"",DATE($C2281+2018,$D2281,1))</f>
        <v/>
      </c>
    </row>
    <row r="2282">
      <c r="A2282" s="11" t="n"/>
      <c r="B2282" s="12" t="n"/>
      <c r="C2282" s="12" t="n"/>
      <c r="D2282" s="12" t="n"/>
      <c r="E2282" s="13" t="n"/>
      <c r="F2282" s="12" t="n"/>
      <c r="G2282" s="13" t="n"/>
      <c r="H2282" s="12" t="n"/>
      <c r="I2282" s="12" t="n"/>
      <c r="J2282" s="12" t="n"/>
      <c r="K2282" s="12" t="n"/>
      <c r="L2282" s="11" t="n"/>
      <c r="M2282" s="11" t="n"/>
      <c r="N2282" s="11" t="n"/>
      <c r="O2282" s="11" t="n"/>
      <c r="P2282" s="12" t="n"/>
      <c r="Q2282" s="11" t="n"/>
      <c r="R2282" s="12" t="n"/>
      <c r="S2282" s="11" t="n"/>
      <c r="T2282" s="12" t="n"/>
      <c r="U2282" s="12" t="n"/>
      <c r="V2282" s="12" t="n"/>
      <c r="W2282" s="13" t="n"/>
      <c r="X2282" s="14">
        <f>IF($AP2282="",IF($B2282="","",$H2282),IF(INDEX(職員マスタ!$B$6:$B$405,$AP2282)="",$H2282,INDEX(職員マスタ!$B$6:$B$405,$AP2282)))</f>
        <v/>
      </c>
      <c r="Y2282" s="14">
        <f>IF($AP2282="",IF($B2282="","",$R2282),IF(INDEX(職員マスタ!$C$6:$C$405,$AP2282)="",$R2282,INDEX(職員マスタ!$C$6:$C$405,$AP2282)))</f>
        <v/>
      </c>
      <c r="Z2282" s="14">
        <f>IF($AQ2282="","","R"&amp;$C2282&amp;"."&amp;$D2282)</f>
        <v/>
      </c>
      <c r="AA2282" s="15">
        <f>IF(IF($AP2282="",FALSE,INDEX(職員マスタ!$K$6:$K$405,$AP2282)&lt;&gt;""),INDEX(職員マスタ!$K$6:$K$405,$AP2282),IF(N($W2282)&gt;0,$W2282,""))</f>
        <v/>
      </c>
      <c r="AB2282" s="14">
        <f>IF(OR($E2282="",$AA2282=""),"",IF($E2282&gt;=$AA2282,"×",IF($E2282&gt;=$AA2282*設定!$C$5,"△","○")))</f>
        <v/>
      </c>
      <c r="AC2282" s="15">
        <f>IF($AB2282="","",IF($AB2282="×",0,IF($AB2282="○",ROUNDDOWN($E2282*設定!$C$4,0),ROUNDDOWN($E2282*ROUND((9*$AA2282-9*$E2282)/(10*$E2282),4),0))))</f>
        <v/>
      </c>
      <c r="AD2282" s="13" t="n"/>
      <c r="AE2282" s="15">
        <f>IF($B2282="","",IF($AD2282&lt;&gt;"",$AD2282,IF($AC2282="","",IF($AC2282&lt;=設定!$C$3,0,$AC2282))))</f>
        <v/>
      </c>
      <c r="AF2282" s="14">
        <f>IF($B2282="","",IF(AND($AG2282&lt;&gt;"",$AI2282="",$AL2282=""),"保留中",IF($AL2282&lt;&gt;"",IF(N($AE2282)&gt;0,"支給済","不支給"),IF($AE2282="","要確認",IF($AE2282=0,"不支給","未処理")))))</f>
        <v/>
      </c>
      <c r="AG2282" s="12" t="n"/>
      <c r="AH2282" s="11" t="n"/>
      <c r="AI2282" s="11" t="n"/>
      <c r="AJ2282" s="11" t="n"/>
      <c r="AK2282" s="14">
        <f>IF(AND($AF2282="保留中",$AH2282&lt;&gt;""),TODAY()-$AH2282,"")</f>
        <v/>
      </c>
      <c r="AL2282" s="12" t="n"/>
      <c r="AM2282" s="14">
        <f>IF($B2282="","",IF($AQ2282="","対象年月が未入力／","")&amp;IF($B2282="","",IF($AP2282="","職員マスタに未登録の職員番号／",IF($AA2282="","標準報酬月額が未登録／","")&amp;IF(AND($AQ2282&lt;&gt;"",OR(AND(INDEX(職員マスタ!$G$6:$G$405,$AP2282)&lt;&gt;"",INDEX(職員マスタ!$G$6:$G$405,$AP2282)&gt;EOMONTH($AQ2282,0)),AND(INDEX(職員マスタ!$H$6:$H$405,$AP2282)&lt;&gt;"",INDEX(職員マスタ!$H$6:$H$405,$AP2282)&lt;$AQ2282))),"対象月が時短期間外／","")&amp;IF(AND(INDEX(職員マスタ!$K$6:$K$405,$AP2282)&lt;&gt;"",N($W2282)&gt;0,INDEX(職員マスタ!$K$6:$K$405,$AP2282)&lt;&gt;$W2282),"標準報酬月額が申請書と相違（台帳"&amp;TEXT(INDEX(職員マスタ!$K$6:$K$405,$AP2282),"#,##0")&amp;"円／申請書"&amp;TEXT($W2282,"#,##0")&amp;"円）／","")&amp;IF(AND(INDEX(職員マスタ!$F$6:$F$405,$AP2282)&lt;&gt;"",$AQ2282&lt;&gt;"",INDEX(職員マスタ!$F$6:$F$405,$AP2282)&lt;$AQ2282),"対象月に子が2歳到達済／","")&amp;IF(AND($H2282&lt;&gt;"",INDEX(職員マスタ!$B$6:$B$405,$AP2282)&lt;&gt;"",SUBSTITUTE(SUBSTITUTE($H2282," ","")," ","")&lt;&gt;SUBSTITUTE(SUBSTITUTE(INDEX(職員マスタ!$B$6:$B$405,$AP2282)," ","")," ","")),"氏名がマスタと相違／","")&amp;IF(AND($Q2282&lt;&gt;"",INDEX(職員マスタ!$E$6:$E$405,$AP2282)&lt;&gt;"",$Q2282&lt;&gt;INDEX(職員マスタ!$E$6:$E$405,$AP2282)),"子の生年月日がマスタと相違／","")&amp;IF(AND($L2282&lt;&gt;"",INDEX(職員マスタ!$G$6:$G$405,$AP2282)&lt;&gt;"",$L2282&lt;&gt;INDEX(職員マスタ!$G$6:$G$405,$AP2282)),"時短開始日がマスタと相違／","")&amp;IF(AND($M2282&lt;&gt;"",INDEX(職員マスタ!$H$6:$H$405,$AP2282)&lt;&gt;"",$M2282&lt;&gt;INDEX(職員マスタ!$H$6:$H$405,$AP2282)),"時短終了日がマスタと相違／","")))&amp;IF(AND($B2282&lt;&gt;"",$E2282=""),"報酬額が未入力／","")&amp;IF(N($U2282)&gt;0,"申請書に入力エラーが残っています／","")&amp;IF(AND($B2282&lt;&gt;"",$AQ2282&lt;&gt;""),IF(COUNTIFS($B$6:$B$3005,$B2282,$C$6:$C$3005,$C2282,$D$6:$D$3005,$D2282)&gt;1,"同じ月の請求が重複しています／",""),"")&amp;IF(AND(N($E2282)&gt;0,$AB2282&lt;&gt;"",$AB2282&lt;&gt;"×",$AE2282=0,$AD2282=""),"計算額が下限以下のため不支給／",""))</f>
        <v/>
      </c>
      <c r="AN2282" s="12" t="n"/>
      <c r="AO2282" s="14">
        <f>IF($AF2282="保留中",COUNTIF($AF$6:$AF2282,"保留中"),"")</f>
        <v/>
      </c>
      <c r="AP2282" s="14">
        <f>IF($AQ2282="","",IF(SUMPRODUCT(MAX((職員マスタ!$A$6:$A$405=$B2282)*(((職員マスタ!$G$6:$G$405="")+(職員マスタ!$G$6:$G$405&lt;=EOMONTH($AQ2282,0)))&gt;0)*(((職員マスタ!$H$6:$H$405="")+(職員マスタ!$H$6:$H$405&gt;=$AQ2282))&gt;0)*(ROW(職員マスタ!$A$6:$A$405)-5)))&gt;0,SUMPRODUCT(MAX((職員マスタ!$A$6:$A$405=$B2282)*(((職員マスタ!$G$6:$G$405="")+(職員マスタ!$G$6:$G$405&lt;=EOMONTH($AQ2282,0)))&gt;0)*(((職員マスタ!$H$6:$H$405="")+(職員マスタ!$H$6:$H$405&gt;=$AQ2282))&gt;0)*(ROW(職員マスタ!$A$6:$A$405)-5))),IFERROR(MATCH($B2282,職員マスタ!$A$6:$A$405,0),"")))</f>
        <v/>
      </c>
      <c r="AQ2282" s="16">
        <f>IF(OR($B2282="",$C2282="",$D2282=""),"",DATE($C2282+2018,$D2282,1))</f>
        <v/>
      </c>
    </row>
    <row r="2283">
      <c r="A2283" s="11" t="n"/>
      <c r="B2283" s="12" t="n"/>
      <c r="C2283" s="12" t="n"/>
      <c r="D2283" s="12" t="n"/>
      <c r="E2283" s="13" t="n"/>
      <c r="F2283" s="12" t="n"/>
      <c r="G2283" s="13" t="n"/>
      <c r="H2283" s="12" t="n"/>
      <c r="I2283" s="12" t="n"/>
      <c r="J2283" s="12" t="n"/>
      <c r="K2283" s="12" t="n"/>
      <c r="L2283" s="11" t="n"/>
      <c r="M2283" s="11" t="n"/>
      <c r="N2283" s="11" t="n"/>
      <c r="O2283" s="11" t="n"/>
      <c r="P2283" s="12" t="n"/>
      <c r="Q2283" s="11" t="n"/>
      <c r="R2283" s="12" t="n"/>
      <c r="S2283" s="11" t="n"/>
      <c r="T2283" s="12" t="n"/>
      <c r="U2283" s="12" t="n"/>
      <c r="V2283" s="12" t="n"/>
      <c r="W2283" s="13" t="n"/>
      <c r="X2283" s="14">
        <f>IF($AP2283="",IF($B2283="","",$H2283),IF(INDEX(職員マスタ!$B$6:$B$405,$AP2283)="",$H2283,INDEX(職員マスタ!$B$6:$B$405,$AP2283)))</f>
        <v/>
      </c>
      <c r="Y2283" s="14">
        <f>IF($AP2283="",IF($B2283="","",$R2283),IF(INDEX(職員マスタ!$C$6:$C$405,$AP2283)="",$R2283,INDEX(職員マスタ!$C$6:$C$405,$AP2283)))</f>
        <v/>
      </c>
      <c r="Z2283" s="14">
        <f>IF($AQ2283="","","R"&amp;$C2283&amp;"."&amp;$D2283)</f>
        <v/>
      </c>
      <c r="AA2283" s="15">
        <f>IF(IF($AP2283="",FALSE,INDEX(職員マスタ!$K$6:$K$405,$AP2283)&lt;&gt;""),INDEX(職員マスタ!$K$6:$K$405,$AP2283),IF(N($W2283)&gt;0,$W2283,""))</f>
        <v/>
      </c>
      <c r="AB2283" s="14">
        <f>IF(OR($E2283="",$AA2283=""),"",IF($E2283&gt;=$AA2283,"×",IF($E2283&gt;=$AA2283*設定!$C$5,"△","○")))</f>
        <v/>
      </c>
      <c r="AC2283" s="15">
        <f>IF($AB2283="","",IF($AB2283="×",0,IF($AB2283="○",ROUNDDOWN($E2283*設定!$C$4,0),ROUNDDOWN($E2283*ROUND((9*$AA2283-9*$E2283)/(10*$E2283),4),0))))</f>
        <v/>
      </c>
      <c r="AD2283" s="13" t="n"/>
      <c r="AE2283" s="15">
        <f>IF($B2283="","",IF($AD2283&lt;&gt;"",$AD2283,IF($AC2283="","",IF($AC2283&lt;=設定!$C$3,0,$AC2283))))</f>
        <v/>
      </c>
      <c r="AF2283" s="14">
        <f>IF($B2283="","",IF(AND($AG2283&lt;&gt;"",$AI2283="",$AL2283=""),"保留中",IF($AL2283&lt;&gt;"",IF(N($AE2283)&gt;0,"支給済","不支給"),IF($AE2283="","要確認",IF($AE2283=0,"不支給","未処理")))))</f>
        <v/>
      </c>
      <c r="AG2283" s="12" t="n"/>
      <c r="AH2283" s="11" t="n"/>
      <c r="AI2283" s="11" t="n"/>
      <c r="AJ2283" s="11" t="n"/>
      <c r="AK2283" s="14">
        <f>IF(AND($AF2283="保留中",$AH2283&lt;&gt;""),TODAY()-$AH2283,"")</f>
        <v/>
      </c>
      <c r="AL2283" s="12" t="n"/>
      <c r="AM2283" s="14">
        <f>IF($B2283="","",IF($AQ2283="","対象年月が未入力／","")&amp;IF($B2283="","",IF($AP2283="","職員マスタに未登録の職員番号／",IF($AA2283="","標準報酬月額が未登録／","")&amp;IF(AND($AQ2283&lt;&gt;"",OR(AND(INDEX(職員マスタ!$G$6:$G$405,$AP2283)&lt;&gt;"",INDEX(職員マスタ!$G$6:$G$405,$AP2283)&gt;EOMONTH($AQ2283,0)),AND(INDEX(職員マスタ!$H$6:$H$405,$AP2283)&lt;&gt;"",INDEX(職員マスタ!$H$6:$H$405,$AP2283)&lt;$AQ2283))),"対象月が時短期間外／","")&amp;IF(AND(INDEX(職員マスタ!$K$6:$K$405,$AP2283)&lt;&gt;"",N($W2283)&gt;0,INDEX(職員マスタ!$K$6:$K$405,$AP2283)&lt;&gt;$W2283),"標準報酬月額が申請書と相違（台帳"&amp;TEXT(INDEX(職員マスタ!$K$6:$K$405,$AP2283),"#,##0")&amp;"円／申請書"&amp;TEXT($W2283,"#,##0")&amp;"円）／","")&amp;IF(AND(INDEX(職員マスタ!$F$6:$F$405,$AP2283)&lt;&gt;"",$AQ2283&lt;&gt;"",INDEX(職員マスタ!$F$6:$F$405,$AP2283)&lt;$AQ2283),"対象月に子が2歳到達済／","")&amp;IF(AND($H2283&lt;&gt;"",INDEX(職員マスタ!$B$6:$B$405,$AP2283)&lt;&gt;"",SUBSTITUTE(SUBSTITUTE($H2283," ","")," ","")&lt;&gt;SUBSTITUTE(SUBSTITUTE(INDEX(職員マスタ!$B$6:$B$405,$AP2283)," ","")," ","")),"氏名がマスタと相違／","")&amp;IF(AND($Q2283&lt;&gt;"",INDEX(職員マスタ!$E$6:$E$405,$AP2283)&lt;&gt;"",$Q2283&lt;&gt;INDEX(職員マスタ!$E$6:$E$405,$AP2283)),"子の生年月日がマスタと相違／","")&amp;IF(AND($L2283&lt;&gt;"",INDEX(職員マスタ!$G$6:$G$405,$AP2283)&lt;&gt;"",$L2283&lt;&gt;INDEX(職員マスタ!$G$6:$G$405,$AP2283)),"時短開始日がマスタと相違／","")&amp;IF(AND($M2283&lt;&gt;"",INDEX(職員マスタ!$H$6:$H$405,$AP2283)&lt;&gt;"",$M2283&lt;&gt;INDEX(職員マスタ!$H$6:$H$405,$AP2283)),"時短終了日がマスタと相違／","")))&amp;IF(AND($B2283&lt;&gt;"",$E2283=""),"報酬額が未入力／","")&amp;IF(N($U2283)&gt;0,"申請書に入力エラーが残っています／","")&amp;IF(AND($B2283&lt;&gt;"",$AQ2283&lt;&gt;""),IF(COUNTIFS($B$6:$B$3005,$B2283,$C$6:$C$3005,$C2283,$D$6:$D$3005,$D2283)&gt;1,"同じ月の請求が重複しています／",""),"")&amp;IF(AND(N($E2283)&gt;0,$AB2283&lt;&gt;"",$AB2283&lt;&gt;"×",$AE2283=0,$AD2283=""),"計算額が下限以下のため不支給／",""))</f>
        <v/>
      </c>
      <c r="AN2283" s="12" t="n"/>
      <c r="AO2283" s="14">
        <f>IF($AF2283="保留中",COUNTIF($AF$6:$AF2283,"保留中"),"")</f>
        <v/>
      </c>
      <c r="AP2283" s="14">
        <f>IF($AQ2283="","",IF(SUMPRODUCT(MAX((職員マスタ!$A$6:$A$405=$B2283)*(((職員マスタ!$G$6:$G$405="")+(職員マスタ!$G$6:$G$405&lt;=EOMONTH($AQ2283,0)))&gt;0)*(((職員マスタ!$H$6:$H$405="")+(職員マスタ!$H$6:$H$405&gt;=$AQ2283))&gt;0)*(ROW(職員マスタ!$A$6:$A$405)-5)))&gt;0,SUMPRODUCT(MAX((職員マスタ!$A$6:$A$405=$B2283)*(((職員マスタ!$G$6:$G$405="")+(職員マスタ!$G$6:$G$405&lt;=EOMONTH($AQ2283,0)))&gt;0)*(((職員マスタ!$H$6:$H$405="")+(職員マスタ!$H$6:$H$405&gt;=$AQ2283))&gt;0)*(ROW(職員マスタ!$A$6:$A$405)-5))),IFERROR(MATCH($B2283,職員マスタ!$A$6:$A$405,0),"")))</f>
        <v/>
      </c>
      <c r="AQ2283" s="16">
        <f>IF(OR($B2283="",$C2283="",$D2283=""),"",DATE($C2283+2018,$D2283,1))</f>
        <v/>
      </c>
    </row>
    <row r="2284">
      <c r="A2284" s="11" t="n"/>
      <c r="B2284" s="12" t="n"/>
      <c r="C2284" s="12" t="n"/>
      <c r="D2284" s="12" t="n"/>
      <c r="E2284" s="13" t="n"/>
      <c r="F2284" s="12" t="n"/>
      <c r="G2284" s="13" t="n"/>
      <c r="H2284" s="12" t="n"/>
      <c r="I2284" s="12" t="n"/>
      <c r="J2284" s="12" t="n"/>
      <c r="K2284" s="12" t="n"/>
      <c r="L2284" s="11" t="n"/>
      <c r="M2284" s="11" t="n"/>
      <c r="N2284" s="11" t="n"/>
      <c r="O2284" s="11" t="n"/>
      <c r="P2284" s="12" t="n"/>
      <c r="Q2284" s="11" t="n"/>
      <c r="R2284" s="12" t="n"/>
      <c r="S2284" s="11" t="n"/>
      <c r="T2284" s="12" t="n"/>
      <c r="U2284" s="12" t="n"/>
      <c r="V2284" s="12" t="n"/>
      <c r="W2284" s="13" t="n"/>
      <c r="X2284" s="14">
        <f>IF($AP2284="",IF($B2284="","",$H2284),IF(INDEX(職員マスタ!$B$6:$B$405,$AP2284)="",$H2284,INDEX(職員マスタ!$B$6:$B$405,$AP2284)))</f>
        <v/>
      </c>
      <c r="Y2284" s="14">
        <f>IF($AP2284="",IF($B2284="","",$R2284),IF(INDEX(職員マスタ!$C$6:$C$405,$AP2284)="",$R2284,INDEX(職員マスタ!$C$6:$C$405,$AP2284)))</f>
        <v/>
      </c>
      <c r="Z2284" s="14">
        <f>IF($AQ2284="","","R"&amp;$C2284&amp;"."&amp;$D2284)</f>
        <v/>
      </c>
      <c r="AA2284" s="15">
        <f>IF(IF($AP2284="",FALSE,INDEX(職員マスタ!$K$6:$K$405,$AP2284)&lt;&gt;""),INDEX(職員マスタ!$K$6:$K$405,$AP2284),IF(N($W2284)&gt;0,$W2284,""))</f>
        <v/>
      </c>
      <c r="AB2284" s="14">
        <f>IF(OR($E2284="",$AA2284=""),"",IF($E2284&gt;=$AA2284,"×",IF($E2284&gt;=$AA2284*設定!$C$5,"△","○")))</f>
        <v/>
      </c>
      <c r="AC2284" s="15">
        <f>IF($AB2284="","",IF($AB2284="×",0,IF($AB2284="○",ROUNDDOWN($E2284*設定!$C$4,0),ROUNDDOWN($E2284*ROUND((9*$AA2284-9*$E2284)/(10*$E2284),4),0))))</f>
        <v/>
      </c>
      <c r="AD2284" s="13" t="n"/>
      <c r="AE2284" s="15">
        <f>IF($B2284="","",IF($AD2284&lt;&gt;"",$AD2284,IF($AC2284="","",IF($AC2284&lt;=設定!$C$3,0,$AC2284))))</f>
        <v/>
      </c>
      <c r="AF2284" s="14">
        <f>IF($B2284="","",IF(AND($AG2284&lt;&gt;"",$AI2284="",$AL2284=""),"保留中",IF($AL2284&lt;&gt;"",IF(N($AE2284)&gt;0,"支給済","不支給"),IF($AE2284="","要確認",IF($AE2284=0,"不支給","未処理")))))</f>
        <v/>
      </c>
      <c r="AG2284" s="12" t="n"/>
      <c r="AH2284" s="11" t="n"/>
      <c r="AI2284" s="11" t="n"/>
      <c r="AJ2284" s="11" t="n"/>
      <c r="AK2284" s="14">
        <f>IF(AND($AF2284="保留中",$AH2284&lt;&gt;""),TODAY()-$AH2284,"")</f>
        <v/>
      </c>
      <c r="AL2284" s="12" t="n"/>
      <c r="AM2284" s="14">
        <f>IF($B2284="","",IF($AQ2284="","対象年月が未入力／","")&amp;IF($B2284="","",IF($AP2284="","職員マスタに未登録の職員番号／",IF($AA2284="","標準報酬月額が未登録／","")&amp;IF(AND($AQ2284&lt;&gt;"",OR(AND(INDEX(職員マスタ!$G$6:$G$405,$AP2284)&lt;&gt;"",INDEX(職員マスタ!$G$6:$G$405,$AP2284)&gt;EOMONTH($AQ2284,0)),AND(INDEX(職員マスタ!$H$6:$H$405,$AP2284)&lt;&gt;"",INDEX(職員マスタ!$H$6:$H$405,$AP2284)&lt;$AQ2284))),"対象月が時短期間外／","")&amp;IF(AND(INDEX(職員マスタ!$K$6:$K$405,$AP2284)&lt;&gt;"",N($W2284)&gt;0,INDEX(職員マスタ!$K$6:$K$405,$AP2284)&lt;&gt;$W2284),"標準報酬月額が申請書と相違（台帳"&amp;TEXT(INDEX(職員マスタ!$K$6:$K$405,$AP2284),"#,##0")&amp;"円／申請書"&amp;TEXT($W2284,"#,##0")&amp;"円）／","")&amp;IF(AND(INDEX(職員マスタ!$F$6:$F$405,$AP2284)&lt;&gt;"",$AQ2284&lt;&gt;"",INDEX(職員マスタ!$F$6:$F$405,$AP2284)&lt;$AQ2284),"対象月に子が2歳到達済／","")&amp;IF(AND($H2284&lt;&gt;"",INDEX(職員マスタ!$B$6:$B$405,$AP2284)&lt;&gt;"",SUBSTITUTE(SUBSTITUTE($H2284," ","")," ","")&lt;&gt;SUBSTITUTE(SUBSTITUTE(INDEX(職員マスタ!$B$6:$B$405,$AP2284)," ","")," ","")),"氏名がマスタと相違／","")&amp;IF(AND($Q2284&lt;&gt;"",INDEX(職員マスタ!$E$6:$E$405,$AP2284)&lt;&gt;"",$Q2284&lt;&gt;INDEX(職員マスタ!$E$6:$E$405,$AP2284)),"子の生年月日がマスタと相違／","")&amp;IF(AND($L2284&lt;&gt;"",INDEX(職員マスタ!$G$6:$G$405,$AP2284)&lt;&gt;"",$L2284&lt;&gt;INDEX(職員マスタ!$G$6:$G$405,$AP2284)),"時短開始日がマスタと相違／","")&amp;IF(AND($M2284&lt;&gt;"",INDEX(職員マスタ!$H$6:$H$405,$AP2284)&lt;&gt;"",$M2284&lt;&gt;INDEX(職員マスタ!$H$6:$H$405,$AP2284)),"時短終了日がマスタと相違／","")))&amp;IF(AND($B2284&lt;&gt;"",$E2284=""),"報酬額が未入力／","")&amp;IF(N($U2284)&gt;0,"申請書に入力エラーが残っています／","")&amp;IF(AND($B2284&lt;&gt;"",$AQ2284&lt;&gt;""),IF(COUNTIFS($B$6:$B$3005,$B2284,$C$6:$C$3005,$C2284,$D$6:$D$3005,$D2284)&gt;1,"同じ月の請求が重複しています／",""),"")&amp;IF(AND(N($E2284)&gt;0,$AB2284&lt;&gt;"",$AB2284&lt;&gt;"×",$AE2284=0,$AD2284=""),"計算額が下限以下のため不支給／",""))</f>
        <v/>
      </c>
      <c r="AN2284" s="12" t="n"/>
      <c r="AO2284" s="14">
        <f>IF($AF2284="保留中",COUNTIF($AF$6:$AF2284,"保留中"),"")</f>
        <v/>
      </c>
      <c r="AP2284" s="14">
        <f>IF($AQ2284="","",IF(SUMPRODUCT(MAX((職員マスタ!$A$6:$A$405=$B2284)*(((職員マスタ!$G$6:$G$405="")+(職員マスタ!$G$6:$G$405&lt;=EOMONTH($AQ2284,0)))&gt;0)*(((職員マスタ!$H$6:$H$405="")+(職員マスタ!$H$6:$H$405&gt;=$AQ2284))&gt;0)*(ROW(職員マスタ!$A$6:$A$405)-5)))&gt;0,SUMPRODUCT(MAX((職員マスタ!$A$6:$A$405=$B2284)*(((職員マスタ!$G$6:$G$405="")+(職員マスタ!$G$6:$G$405&lt;=EOMONTH($AQ2284,0)))&gt;0)*(((職員マスタ!$H$6:$H$405="")+(職員マスタ!$H$6:$H$405&gt;=$AQ2284))&gt;0)*(ROW(職員マスタ!$A$6:$A$405)-5))),IFERROR(MATCH($B2284,職員マスタ!$A$6:$A$405,0),"")))</f>
        <v/>
      </c>
      <c r="AQ2284" s="16">
        <f>IF(OR($B2284="",$C2284="",$D2284=""),"",DATE($C2284+2018,$D2284,1))</f>
        <v/>
      </c>
    </row>
    <row r="2285">
      <c r="A2285" s="11" t="n"/>
      <c r="B2285" s="12" t="n"/>
      <c r="C2285" s="12" t="n"/>
      <c r="D2285" s="12" t="n"/>
      <c r="E2285" s="13" t="n"/>
      <c r="F2285" s="12" t="n"/>
      <c r="G2285" s="13" t="n"/>
      <c r="H2285" s="12" t="n"/>
      <c r="I2285" s="12" t="n"/>
      <c r="J2285" s="12" t="n"/>
      <c r="K2285" s="12" t="n"/>
      <c r="L2285" s="11" t="n"/>
      <c r="M2285" s="11" t="n"/>
      <c r="N2285" s="11" t="n"/>
      <c r="O2285" s="11" t="n"/>
      <c r="P2285" s="12" t="n"/>
      <c r="Q2285" s="11" t="n"/>
      <c r="R2285" s="12" t="n"/>
      <c r="S2285" s="11" t="n"/>
      <c r="T2285" s="12" t="n"/>
      <c r="U2285" s="12" t="n"/>
      <c r="V2285" s="12" t="n"/>
      <c r="W2285" s="13" t="n"/>
      <c r="X2285" s="14">
        <f>IF($AP2285="",IF($B2285="","",$H2285),IF(INDEX(職員マスタ!$B$6:$B$405,$AP2285)="",$H2285,INDEX(職員マスタ!$B$6:$B$405,$AP2285)))</f>
        <v/>
      </c>
      <c r="Y2285" s="14">
        <f>IF($AP2285="",IF($B2285="","",$R2285),IF(INDEX(職員マスタ!$C$6:$C$405,$AP2285)="",$R2285,INDEX(職員マスタ!$C$6:$C$405,$AP2285)))</f>
        <v/>
      </c>
      <c r="Z2285" s="14">
        <f>IF($AQ2285="","","R"&amp;$C2285&amp;"."&amp;$D2285)</f>
        <v/>
      </c>
      <c r="AA2285" s="15">
        <f>IF(IF($AP2285="",FALSE,INDEX(職員マスタ!$K$6:$K$405,$AP2285)&lt;&gt;""),INDEX(職員マスタ!$K$6:$K$405,$AP2285),IF(N($W2285)&gt;0,$W2285,""))</f>
        <v/>
      </c>
      <c r="AB2285" s="14">
        <f>IF(OR($E2285="",$AA2285=""),"",IF($E2285&gt;=$AA2285,"×",IF($E2285&gt;=$AA2285*設定!$C$5,"△","○")))</f>
        <v/>
      </c>
      <c r="AC2285" s="15">
        <f>IF($AB2285="","",IF($AB2285="×",0,IF($AB2285="○",ROUNDDOWN($E2285*設定!$C$4,0),ROUNDDOWN($E2285*ROUND((9*$AA2285-9*$E2285)/(10*$E2285),4),0))))</f>
        <v/>
      </c>
      <c r="AD2285" s="13" t="n"/>
      <c r="AE2285" s="15">
        <f>IF($B2285="","",IF($AD2285&lt;&gt;"",$AD2285,IF($AC2285="","",IF($AC2285&lt;=設定!$C$3,0,$AC2285))))</f>
        <v/>
      </c>
      <c r="AF2285" s="14">
        <f>IF($B2285="","",IF(AND($AG2285&lt;&gt;"",$AI2285="",$AL2285=""),"保留中",IF($AL2285&lt;&gt;"",IF(N($AE2285)&gt;0,"支給済","不支給"),IF($AE2285="","要確認",IF($AE2285=0,"不支給","未処理")))))</f>
        <v/>
      </c>
      <c r="AG2285" s="12" t="n"/>
      <c r="AH2285" s="11" t="n"/>
      <c r="AI2285" s="11" t="n"/>
      <c r="AJ2285" s="11" t="n"/>
      <c r="AK2285" s="14">
        <f>IF(AND($AF2285="保留中",$AH2285&lt;&gt;""),TODAY()-$AH2285,"")</f>
        <v/>
      </c>
      <c r="AL2285" s="12" t="n"/>
      <c r="AM2285" s="14">
        <f>IF($B2285="","",IF($AQ2285="","対象年月が未入力／","")&amp;IF($B2285="","",IF($AP2285="","職員マスタに未登録の職員番号／",IF($AA2285="","標準報酬月額が未登録／","")&amp;IF(AND($AQ2285&lt;&gt;"",OR(AND(INDEX(職員マスタ!$G$6:$G$405,$AP2285)&lt;&gt;"",INDEX(職員マスタ!$G$6:$G$405,$AP2285)&gt;EOMONTH($AQ2285,0)),AND(INDEX(職員マスタ!$H$6:$H$405,$AP2285)&lt;&gt;"",INDEX(職員マスタ!$H$6:$H$405,$AP2285)&lt;$AQ2285))),"対象月が時短期間外／","")&amp;IF(AND(INDEX(職員マスタ!$K$6:$K$405,$AP2285)&lt;&gt;"",N($W2285)&gt;0,INDEX(職員マスタ!$K$6:$K$405,$AP2285)&lt;&gt;$W2285),"標準報酬月額が申請書と相違（台帳"&amp;TEXT(INDEX(職員マスタ!$K$6:$K$405,$AP2285),"#,##0")&amp;"円／申請書"&amp;TEXT($W2285,"#,##0")&amp;"円）／","")&amp;IF(AND(INDEX(職員マスタ!$F$6:$F$405,$AP2285)&lt;&gt;"",$AQ2285&lt;&gt;"",INDEX(職員マスタ!$F$6:$F$405,$AP2285)&lt;$AQ2285),"対象月に子が2歳到達済／","")&amp;IF(AND($H2285&lt;&gt;"",INDEX(職員マスタ!$B$6:$B$405,$AP2285)&lt;&gt;"",SUBSTITUTE(SUBSTITUTE($H2285," ","")," ","")&lt;&gt;SUBSTITUTE(SUBSTITUTE(INDEX(職員マスタ!$B$6:$B$405,$AP2285)," ","")," ","")),"氏名がマスタと相違／","")&amp;IF(AND($Q2285&lt;&gt;"",INDEX(職員マスタ!$E$6:$E$405,$AP2285)&lt;&gt;"",$Q2285&lt;&gt;INDEX(職員マスタ!$E$6:$E$405,$AP2285)),"子の生年月日がマスタと相違／","")&amp;IF(AND($L2285&lt;&gt;"",INDEX(職員マスタ!$G$6:$G$405,$AP2285)&lt;&gt;"",$L2285&lt;&gt;INDEX(職員マスタ!$G$6:$G$405,$AP2285)),"時短開始日がマスタと相違／","")&amp;IF(AND($M2285&lt;&gt;"",INDEX(職員マスタ!$H$6:$H$405,$AP2285)&lt;&gt;"",$M2285&lt;&gt;INDEX(職員マスタ!$H$6:$H$405,$AP2285)),"時短終了日がマスタと相違／","")))&amp;IF(AND($B2285&lt;&gt;"",$E2285=""),"報酬額が未入力／","")&amp;IF(N($U2285)&gt;0,"申請書に入力エラーが残っています／","")&amp;IF(AND($B2285&lt;&gt;"",$AQ2285&lt;&gt;""),IF(COUNTIFS($B$6:$B$3005,$B2285,$C$6:$C$3005,$C2285,$D$6:$D$3005,$D2285)&gt;1,"同じ月の請求が重複しています／",""),"")&amp;IF(AND(N($E2285)&gt;0,$AB2285&lt;&gt;"",$AB2285&lt;&gt;"×",$AE2285=0,$AD2285=""),"計算額が下限以下のため不支給／",""))</f>
        <v/>
      </c>
      <c r="AN2285" s="12" t="n"/>
      <c r="AO2285" s="14">
        <f>IF($AF2285="保留中",COUNTIF($AF$6:$AF2285,"保留中"),"")</f>
        <v/>
      </c>
      <c r="AP2285" s="14">
        <f>IF($AQ2285="","",IF(SUMPRODUCT(MAX((職員マスタ!$A$6:$A$405=$B2285)*(((職員マスタ!$G$6:$G$405="")+(職員マスタ!$G$6:$G$405&lt;=EOMONTH($AQ2285,0)))&gt;0)*(((職員マスタ!$H$6:$H$405="")+(職員マスタ!$H$6:$H$405&gt;=$AQ2285))&gt;0)*(ROW(職員マスタ!$A$6:$A$405)-5)))&gt;0,SUMPRODUCT(MAX((職員マスタ!$A$6:$A$405=$B2285)*(((職員マスタ!$G$6:$G$405="")+(職員マスタ!$G$6:$G$405&lt;=EOMONTH($AQ2285,0)))&gt;0)*(((職員マスタ!$H$6:$H$405="")+(職員マスタ!$H$6:$H$405&gt;=$AQ2285))&gt;0)*(ROW(職員マスタ!$A$6:$A$405)-5))),IFERROR(MATCH($B2285,職員マスタ!$A$6:$A$405,0),"")))</f>
        <v/>
      </c>
      <c r="AQ2285" s="16">
        <f>IF(OR($B2285="",$C2285="",$D2285=""),"",DATE($C2285+2018,$D2285,1))</f>
        <v/>
      </c>
    </row>
    <row r="2286">
      <c r="A2286" s="11" t="n"/>
      <c r="B2286" s="12" t="n"/>
      <c r="C2286" s="12" t="n"/>
      <c r="D2286" s="12" t="n"/>
      <c r="E2286" s="13" t="n"/>
      <c r="F2286" s="12" t="n"/>
      <c r="G2286" s="13" t="n"/>
      <c r="H2286" s="12" t="n"/>
      <c r="I2286" s="12" t="n"/>
      <c r="J2286" s="12" t="n"/>
      <c r="K2286" s="12" t="n"/>
      <c r="L2286" s="11" t="n"/>
      <c r="M2286" s="11" t="n"/>
      <c r="N2286" s="11" t="n"/>
      <c r="O2286" s="11" t="n"/>
      <c r="P2286" s="12" t="n"/>
      <c r="Q2286" s="11" t="n"/>
      <c r="R2286" s="12" t="n"/>
      <c r="S2286" s="11" t="n"/>
      <c r="T2286" s="12" t="n"/>
      <c r="U2286" s="12" t="n"/>
      <c r="V2286" s="12" t="n"/>
      <c r="W2286" s="13" t="n"/>
      <c r="X2286" s="14">
        <f>IF($AP2286="",IF($B2286="","",$H2286),IF(INDEX(職員マスタ!$B$6:$B$405,$AP2286)="",$H2286,INDEX(職員マスタ!$B$6:$B$405,$AP2286)))</f>
        <v/>
      </c>
      <c r="Y2286" s="14">
        <f>IF($AP2286="",IF($B2286="","",$R2286),IF(INDEX(職員マスタ!$C$6:$C$405,$AP2286)="",$R2286,INDEX(職員マスタ!$C$6:$C$405,$AP2286)))</f>
        <v/>
      </c>
      <c r="Z2286" s="14">
        <f>IF($AQ2286="","","R"&amp;$C2286&amp;"."&amp;$D2286)</f>
        <v/>
      </c>
      <c r="AA2286" s="15">
        <f>IF(IF($AP2286="",FALSE,INDEX(職員マスタ!$K$6:$K$405,$AP2286)&lt;&gt;""),INDEX(職員マスタ!$K$6:$K$405,$AP2286),IF(N($W2286)&gt;0,$W2286,""))</f>
        <v/>
      </c>
      <c r="AB2286" s="14">
        <f>IF(OR($E2286="",$AA2286=""),"",IF($E2286&gt;=$AA2286,"×",IF($E2286&gt;=$AA2286*設定!$C$5,"△","○")))</f>
        <v/>
      </c>
      <c r="AC2286" s="15">
        <f>IF($AB2286="","",IF($AB2286="×",0,IF($AB2286="○",ROUNDDOWN($E2286*設定!$C$4,0),ROUNDDOWN($E2286*ROUND((9*$AA2286-9*$E2286)/(10*$E2286),4),0))))</f>
        <v/>
      </c>
      <c r="AD2286" s="13" t="n"/>
      <c r="AE2286" s="15">
        <f>IF($B2286="","",IF($AD2286&lt;&gt;"",$AD2286,IF($AC2286="","",IF($AC2286&lt;=設定!$C$3,0,$AC2286))))</f>
        <v/>
      </c>
      <c r="AF2286" s="14">
        <f>IF($B2286="","",IF(AND($AG2286&lt;&gt;"",$AI2286="",$AL2286=""),"保留中",IF($AL2286&lt;&gt;"",IF(N($AE2286)&gt;0,"支給済","不支給"),IF($AE2286="","要確認",IF($AE2286=0,"不支給","未処理")))))</f>
        <v/>
      </c>
      <c r="AG2286" s="12" t="n"/>
      <c r="AH2286" s="11" t="n"/>
      <c r="AI2286" s="11" t="n"/>
      <c r="AJ2286" s="11" t="n"/>
      <c r="AK2286" s="14">
        <f>IF(AND($AF2286="保留中",$AH2286&lt;&gt;""),TODAY()-$AH2286,"")</f>
        <v/>
      </c>
      <c r="AL2286" s="12" t="n"/>
      <c r="AM2286" s="14">
        <f>IF($B2286="","",IF($AQ2286="","対象年月が未入力／","")&amp;IF($B2286="","",IF($AP2286="","職員マスタに未登録の職員番号／",IF($AA2286="","標準報酬月額が未登録／","")&amp;IF(AND($AQ2286&lt;&gt;"",OR(AND(INDEX(職員マスタ!$G$6:$G$405,$AP2286)&lt;&gt;"",INDEX(職員マスタ!$G$6:$G$405,$AP2286)&gt;EOMONTH($AQ2286,0)),AND(INDEX(職員マスタ!$H$6:$H$405,$AP2286)&lt;&gt;"",INDEX(職員マスタ!$H$6:$H$405,$AP2286)&lt;$AQ2286))),"対象月が時短期間外／","")&amp;IF(AND(INDEX(職員マスタ!$K$6:$K$405,$AP2286)&lt;&gt;"",N($W2286)&gt;0,INDEX(職員マスタ!$K$6:$K$405,$AP2286)&lt;&gt;$W2286),"標準報酬月額が申請書と相違（台帳"&amp;TEXT(INDEX(職員マスタ!$K$6:$K$405,$AP2286),"#,##0")&amp;"円／申請書"&amp;TEXT($W2286,"#,##0")&amp;"円）／","")&amp;IF(AND(INDEX(職員マスタ!$F$6:$F$405,$AP2286)&lt;&gt;"",$AQ2286&lt;&gt;"",INDEX(職員マスタ!$F$6:$F$405,$AP2286)&lt;$AQ2286),"対象月に子が2歳到達済／","")&amp;IF(AND($H2286&lt;&gt;"",INDEX(職員マスタ!$B$6:$B$405,$AP2286)&lt;&gt;"",SUBSTITUTE(SUBSTITUTE($H2286," ","")," ","")&lt;&gt;SUBSTITUTE(SUBSTITUTE(INDEX(職員マスタ!$B$6:$B$405,$AP2286)," ","")," ","")),"氏名がマスタと相違／","")&amp;IF(AND($Q2286&lt;&gt;"",INDEX(職員マスタ!$E$6:$E$405,$AP2286)&lt;&gt;"",$Q2286&lt;&gt;INDEX(職員マスタ!$E$6:$E$405,$AP2286)),"子の生年月日がマスタと相違／","")&amp;IF(AND($L2286&lt;&gt;"",INDEX(職員マスタ!$G$6:$G$405,$AP2286)&lt;&gt;"",$L2286&lt;&gt;INDEX(職員マスタ!$G$6:$G$405,$AP2286)),"時短開始日がマスタと相違／","")&amp;IF(AND($M2286&lt;&gt;"",INDEX(職員マスタ!$H$6:$H$405,$AP2286)&lt;&gt;"",$M2286&lt;&gt;INDEX(職員マスタ!$H$6:$H$405,$AP2286)),"時短終了日がマスタと相違／","")))&amp;IF(AND($B2286&lt;&gt;"",$E2286=""),"報酬額が未入力／","")&amp;IF(N($U2286)&gt;0,"申請書に入力エラーが残っています／","")&amp;IF(AND($B2286&lt;&gt;"",$AQ2286&lt;&gt;""),IF(COUNTIFS($B$6:$B$3005,$B2286,$C$6:$C$3005,$C2286,$D$6:$D$3005,$D2286)&gt;1,"同じ月の請求が重複しています／",""),"")&amp;IF(AND(N($E2286)&gt;0,$AB2286&lt;&gt;"",$AB2286&lt;&gt;"×",$AE2286=0,$AD2286=""),"計算額が下限以下のため不支給／",""))</f>
        <v/>
      </c>
      <c r="AN2286" s="12" t="n"/>
      <c r="AO2286" s="14">
        <f>IF($AF2286="保留中",COUNTIF($AF$6:$AF2286,"保留中"),"")</f>
        <v/>
      </c>
      <c r="AP2286" s="14">
        <f>IF($AQ2286="","",IF(SUMPRODUCT(MAX((職員マスタ!$A$6:$A$405=$B2286)*(((職員マスタ!$G$6:$G$405="")+(職員マスタ!$G$6:$G$405&lt;=EOMONTH($AQ2286,0)))&gt;0)*(((職員マスタ!$H$6:$H$405="")+(職員マスタ!$H$6:$H$405&gt;=$AQ2286))&gt;0)*(ROW(職員マスタ!$A$6:$A$405)-5)))&gt;0,SUMPRODUCT(MAX((職員マスタ!$A$6:$A$405=$B2286)*(((職員マスタ!$G$6:$G$405="")+(職員マスタ!$G$6:$G$405&lt;=EOMONTH($AQ2286,0)))&gt;0)*(((職員マスタ!$H$6:$H$405="")+(職員マスタ!$H$6:$H$405&gt;=$AQ2286))&gt;0)*(ROW(職員マスタ!$A$6:$A$405)-5))),IFERROR(MATCH($B2286,職員マスタ!$A$6:$A$405,0),"")))</f>
        <v/>
      </c>
      <c r="AQ2286" s="16">
        <f>IF(OR($B2286="",$C2286="",$D2286=""),"",DATE($C2286+2018,$D2286,1))</f>
        <v/>
      </c>
    </row>
    <row r="2287">
      <c r="A2287" s="11" t="n"/>
      <c r="B2287" s="12" t="n"/>
      <c r="C2287" s="12" t="n"/>
      <c r="D2287" s="12" t="n"/>
      <c r="E2287" s="13" t="n"/>
      <c r="F2287" s="12" t="n"/>
      <c r="G2287" s="13" t="n"/>
      <c r="H2287" s="12" t="n"/>
      <c r="I2287" s="12" t="n"/>
      <c r="J2287" s="12" t="n"/>
      <c r="K2287" s="12" t="n"/>
      <c r="L2287" s="11" t="n"/>
      <c r="M2287" s="11" t="n"/>
      <c r="N2287" s="11" t="n"/>
      <c r="O2287" s="11" t="n"/>
      <c r="P2287" s="12" t="n"/>
      <c r="Q2287" s="11" t="n"/>
      <c r="R2287" s="12" t="n"/>
      <c r="S2287" s="11" t="n"/>
      <c r="T2287" s="12" t="n"/>
      <c r="U2287" s="12" t="n"/>
      <c r="V2287" s="12" t="n"/>
      <c r="W2287" s="13" t="n"/>
      <c r="X2287" s="14">
        <f>IF($AP2287="",IF($B2287="","",$H2287),IF(INDEX(職員マスタ!$B$6:$B$405,$AP2287)="",$H2287,INDEX(職員マスタ!$B$6:$B$405,$AP2287)))</f>
        <v/>
      </c>
      <c r="Y2287" s="14">
        <f>IF($AP2287="",IF($B2287="","",$R2287),IF(INDEX(職員マスタ!$C$6:$C$405,$AP2287)="",$R2287,INDEX(職員マスタ!$C$6:$C$405,$AP2287)))</f>
        <v/>
      </c>
      <c r="Z2287" s="14">
        <f>IF($AQ2287="","","R"&amp;$C2287&amp;"."&amp;$D2287)</f>
        <v/>
      </c>
      <c r="AA2287" s="15">
        <f>IF(IF($AP2287="",FALSE,INDEX(職員マスタ!$K$6:$K$405,$AP2287)&lt;&gt;""),INDEX(職員マスタ!$K$6:$K$405,$AP2287),IF(N($W2287)&gt;0,$W2287,""))</f>
        <v/>
      </c>
      <c r="AB2287" s="14">
        <f>IF(OR($E2287="",$AA2287=""),"",IF($E2287&gt;=$AA2287,"×",IF($E2287&gt;=$AA2287*設定!$C$5,"△","○")))</f>
        <v/>
      </c>
      <c r="AC2287" s="15">
        <f>IF($AB2287="","",IF($AB2287="×",0,IF($AB2287="○",ROUNDDOWN($E2287*設定!$C$4,0),ROUNDDOWN($E2287*ROUND((9*$AA2287-9*$E2287)/(10*$E2287),4),0))))</f>
        <v/>
      </c>
      <c r="AD2287" s="13" t="n"/>
      <c r="AE2287" s="15">
        <f>IF($B2287="","",IF($AD2287&lt;&gt;"",$AD2287,IF($AC2287="","",IF($AC2287&lt;=設定!$C$3,0,$AC2287))))</f>
        <v/>
      </c>
      <c r="AF2287" s="14">
        <f>IF($B2287="","",IF(AND($AG2287&lt;&gt;"",$AI2287="",$AL2287=""),"保留中",IF($AL2287&lt;&gt;"",IF(N($AE2287)&gt;0,"支給済","不支給"),IF($AE2287="","要確認",IF($AE2287=0,"不支給","未処理")))))</f>
        <v/>
      </c>
      <c r="AG2287" s="12" t="n"/>
      <c r="AH2287" s="11" t="n"/>
      <c r="AI2287" s="11" t="n"/>
      <c r="AJ2287" s="11" t="n"/>
      <c r="AK2287" s="14">
        <f>IF(AND($AF2287="保留中",$AH2287&lt;&gt;""),TODAY()-$AH2287,"")</f>
        <v/>
      </c>
      <c r="AL2287" s="12" t="n"/>
      <c r="AM2287" s="14">
        <f>IF($B2287="","",IF($AQ2287="","対象年月が未入力／","")&amp;IF($B2287="","",IF($AP2287="","職員マスタに未登録の職員番号／",IF($AA2287="","標準報酬月額が未登録／","")&amp;IF(AND($AQ2287&lt;&gt;"",OR(AND(INDEX(職員マスタ!$G$6:$G$405,$AP2287)&lt;&gt;"",INDEX(職員マスタ!$G$6:$G$405,$AP2287)&gt;EOMONTH($AQ2287,0)),AND(INDEX(職員マスタ!$H$6:$H$405,$AP2287)&lt;&gt;"",INDEX(職員マスタ!$H$6:$H$405,$AP2287)&lt;$AQ2287))),"対象月が時短期間外／","")&amp;IF(AND(INDEX(職員マスタ!$K$6:$K$405,$AP2287)&lt;&gt;"",N($W2287)&gt;0,INDEX(職員マスタ!$K$6:$K$405,$AP2287)&lt;&gt;$W2287),"標準報酬月額が申請書と相違（台帳"&amp;TEXT(INDEX(職員マスタ!$K$6:$K$405,$AP2287),"#,##0")&amp;"円／申請書"&amp;TEXT($W2287,"#,##0")&amp;"円）／","")&amp;IF(AND(INDEX(職員マスタ!$F$6:$F$405,$AP2287)&lt;&gt;"",$AQ2287&lt;&gt;"",INDEX(職員マスタ!$F$6:$F$405,$AP2287)&lt;$AQ2287),"対象月に子が2歳到達済／","")&amp;IF(AND($H2287&lt;&gt;"",INDEX(職員マスタ!$B$6:$B$405,$AP2287)&lt;&gt;"",SUBSTITUTE(SUBSTITUTE($H2287," ","")," ","")&lt;&gt;SUBSTITUTE(SUBSTITUTE(INDEX(職員マスタ!$B$6:$B$405,$AP2287)," ","")," ","")),"氏名がマスタと相違／","")&amp;IF(AND($Q2287&lt;&gt;"",INDEX(職員マスタ!$E$6:$E$405,$AP2287)&lt;&gt;"",$Q2287&lt;&gt;INDEX(職員マスタ!$E$6:$E$405,$AP2287)),"子の生年月日がマスタと相違／","")&amp;IF(AND($L2287&lt;&gt;"",INDEX(職員マスタ!$G$6:$G$405,$AP2287)&lt;&gt;"",$L2287&lt;&gt;INDEX(職員マスタ!$G$6:$G$405,$AP2287)),"時短開始日がマスタと相違／","")&amp;IF(AND($M2287&lt;&gt;"",INDEX(職員マスタ!$H$6:$H$405,$AP2287)&lt;&gt;"",$M2287&lt;&gt;INDEX(職員マスタ!$H$6:$H$405,$AP2287)),"時短終了日がマスタと相違／","")))&amp;IF(AND($B2287&lt;&gt;"",$E2287=""),"報酬額が未入力／","")&amp;IF(N($U2287)&gt;0,"申請書に入力エラーが残っています／","")&amp;IF(AND($B2287&lt;&gt;"",$AQ2287&lt;&gt;""),IF(COUNTIFS($B$6:$B$3005,$B2287,$C$6:$C$3005,$C2287,$D$6:$D$3005,$D2287)&gt;1,"同じ月の請求が重複しています／",""),"")&amp;IF(AND(N($E2287)&gt;0,$AB2287&lt;&gt;"",$AB2287&lt;&gt;"×",$AE2287=0,$AD2287=""),"計算額が下限以下のため不支給／",""))</f>
        <v/>
      </c>
      <c r="AN2287" s="12" t="n"/>
      <c r="AO2287" s="14">
        <f>IF($AF2287="保留中",COUNTIF($AF$6:$AF2287,"保留中"),"")</f>
        <v/>
      </c>
      <c r="AP2287" s="14">
        <f>IF($AQ2287="","",IF(SUMPRODUCT(MAX((職員マスタ!$A$6:$A$405=$B2287)*(((職員マスタ!$G$6:$G$405="")+(職員マスタ!$G$6:$G$405&lt;=EOMONTH($AQ2287,0)))&gt;0)*(((職員マスタ!$H$6:$H$405="")+(職員マスタ!$H$6:$H$405&gt;=$AQ2287))&gt;0)*(ROW(職員マスタ!$A$6:$A$405)-5)))&gt;0,SUMPRODUCT(MAX((職員マスタ!$A$6:$A$405=$B2287)*(((職員マスタ!$G$6:$G$405="")+(職員マスタ!$G$6:$G$405&lt;=EOMONTH($AQ2287,0)))&gt;0)*(((職員マスタ!$H$6:$H$405="")+(職員マスタ!$H$6:$H$405&gt;=$AQ2287))&gt;0)*(ROW(職員マスタ!$A$6:$A$405)-5))),IFERROR(MATCH($B2287,職員マスタ!$A$6:$A$405,0),"")))</f>
        <v/>
      </c>
      <c r="AQ2287" s="16">
        <f>IF(OR($B2287="",$C2287="",$D2287=""),"",DATE($C2287+2018,$D2287,1))</f>
        <v/>
      </c>
    </row>
    <row r="2288">
      <c r="A2288" s="11" t="n"/>
      <c r="B2288" s="12" t="n"/>
      <c r="C2288" s="12" t="n"/>
      <c r="D2288" s="12" t="n"/>
      <c r="E2288" s="13" t="n"/>
      <c r="F2288" s="12" t="n"/>
      <c r="G2288" s="13" t="n"/>
      <c r="H2288" s="12" t="n"/>
      <c r="I2288" s="12" t="n"/>
      <c r="J2288" s="12" t="n"/>
      <c r="K2288" s="12" t="n"/>
      <c r="L2288" s="11" t="n"/>
      <c r="M2288" s="11" t="n"/>
      <c r="N2288" s="11" t="n"/>
      <c r="O2288" s="11" t="n"/>
      <c r="P2288" s="12" t="n"/>
      <c r="Q2288" s="11" t="n"/>
      <c r="R2288" s="12" t="n"/>
      <c r="S2288" s="11" t="n"/>
      <c r="T2288" s="12" t="n"/>
      <c r="U2288" s="12" t="n"/>
      <c r="V2288" s="12" t="n"/>
      <c r="W2288" s="13" t="n"/>
      <c r="X2288" s="14">
        <f>IF($AP2288="",IF($B2288="","",$H2288),IF(INDEX(職員マスタ!$B$6:$B$405,$AP2288)="",$H2288,INDEX(職員マスタ!$B$6:$B$405,$AP2288)))</f>
        <v/>
      </c>
      <c r="Y2288" s="14">
        <f>IF($AP2288="",IF($B2288="","",$R2288),IF(INDEX(職員マスタ!$C$6:$C$405,$AP2288)="",$R2288,INDEX(職員マスタ!$C$6:$C$405,$AP2288)))</f>
        <v/>
      </c>
      <c r="Z2288" s="14">
        <f>IF($AQ2288="","","R"&amp;$C2288&amp;"."&amp;$D2288)</f>
        <v/>
      </c>
      <c r="AA2288" s="15">
        <f>IF(IF($AP2288="",FALSE,INDEX(職員マスタ!$K$6:$K$405,$AP2288)&lt;&gt;""),INDEX(職員マスタ!$K$6:$K$405,$AP2288),IF(N($W2288)&gt;0,$W2288,""))</f>
        <v/>
      </c>
      <c r="AB2288" s="14">
        <f>IF(OR($E2288="",$AA2288=""),"",IF($E2288&gt;=$AA2288,"×",IF($E2288&gt;=$AA2288*設定!$C$5,"△","○")))</f>
        <v/>
      </c>
      <c r="AC2288" s="15">
        <f>IF($AB2288="","",IF($AB2288="×",0,IF($AB2288="○",ROUNDDOWN($E2288*設定!$C$4,0),ROUNDDOWN($E2288*ROUND((9*$AA2288-9*$E2288)/(10*$E2288),4),0))))</f>
        <v/>
      </c>
      <c r="AD2288" s="13" t="n"/>
      <c r="AE2288" s="15">
        <f>IF($B2288="","",IF($AD2288&lt;&gt;"",$AD2288,IF($AC2288="","",IF($AC2288&lt;=設定!$C$3,0,$AC2288))))</f>
        <v/>
      </c>
      <c r="AF2288" s="14">
        <f>IF($B2288="","",IF(AND($AG2288&lt;&gt;"",$AI2288="",$AL2288=""),"保留中",IF($AL2288&lt;&gt;"",IF(N($AE2288)&gt;0,"支給済","不支給"),IF($AE2288="","要確認",IF($AE2288=0,"不支給","未処理")))))</f>
        <v/>
      </c>
      <c r="AG2288" s="12" t="n"/>
      <c r="AH2288" s="11" t="n"/>
      <c r="AI2288" s="11" t="n"/>
      <c r="AJ2288" s="11" t="n"/>
      <c r="AK2288" s="14">
        <f>IF(AND($AF2288="保留中",$AH2288&lt;&gt;""),TODAY()-$AH2288,"")</f>
        <v/>
      </c>
      <c r="AL2288" s="12" t="n"/>
      <c r="AM2288" s="14">
        <f>IF($B2288="","",IF($AQ2288="","対象年月が未入力／","")&amp;IF($B2288="","",IF($AP2288="","職員マスタに未登録の職員番号／",IF($AA2288="","標準報酬月額が未登録／","")&amp;IF(AND($AQ2288&lt;&gt;"",OR(AND(INDEX(職員マスタ!$G$6:$G$405,$AP2288)&lt;&gt;"",INDEX(職員マスタ!$G$6:$G$405,$AP2288)&gt;EOMONTH($AQ2288,0)),AND(INDEX(職員マスタ!$H$6:$H$405,$AP2288)&lt;&gt;"",INDEX(職員マスタ!$H$6:$H$405,$AP2288)&lt;$AQ2288))),"対象月が時短期間外／","")&amp;IF(AND(INDEX(職員マスタ!$K$6:$K$405,$AP2288)&lt;&gt;"",N($W2288)&gt;0,INDEX(職員マスタ!$K$6:$K$405,$AP2288)&lt;&gt;$W2288),"標準報酬月額が申請書と相違（台帳"&amp;TEXT(INDEX(職員マスタ!$K$6:$K$405,$AP2288),"#,##0")&amp;"円／申請書"&amp;TEXT($W2288,"#,##0")&amp;"円）／","")&amp;IF(AND(INDEX(職員マスタ!$F$6:$F$405,$AP2288)&lt;&gt;"",$AQ2288&lt;&gt;"",INDEX(職員マスタ!$F$6:$F$405,$AP2288)&lt;$AQ2288),"対象月に子が2歳到達済／","")&amp;IF(AND($H2288&lt;&gt;"",INDEX(職員マスタ!$B$6:$B$405,$AP2288)&lt;&gt;"",SUBSTITUTE(SUBSTITUTE($H2288," ","")," ","")&lt;&gt;SUBSTITUTE(SUBSTITUTE(INDEX(職員マスタ!$B$6:$B$405,$AP2288)," ","")," ","")),"氏名がマスタと相違／","")&amp;IF(AND($Q2288&lt;&gt;"",INDEX(職員マスタ!$E$6:$E$405,$AP2288)&lt;&gt;"",$Q2288&lt;&gt;INDEX(職員マスタ!$E$6:$E$405,$AP2288)),"子の生年月日がマスタと相違／","")&amp;IF(AND($L2288&lt;&gt;"",INDEX(職員マスタ!$G$6:$G$405,$AP2288)&lt;&gt;"",$L2288&lt;&gt;INDEX(職員マスタ!$G$6:$G$405,$AP2288)),"時短開始日がマスタと相違／","")&amp;IF(AND($M2288&lt;&gt;"",INDEX(職員マスタ!$H$6:$H$405,$AP2288)&lt;&gt;"",$M2288&lt;&gt;INDEX(職員マスタ!$H$6:$H$405,$AP2288)),"時短終了日がマスタと相違／","")))&amp;IF(AND($B2288&lt;&gt;"",$E2288=""),"報酬額が未入力／","")&amp;IF(N($U2288)&gt;0,"申請書に入力エラーが残っています／","")&amp;IF(AND($B2288&lt;&gt;"",$AQ2288&lt;&gt;""),IF(COUNTIFS($B$6:$B$3005,$B2288,$C$6:$C$3005,$C2288,$D$6:$D$3005,$D2288)&gt;1,"同じ月の請求が重複しています／",""),"")&amp;IF(AND(N($E2288)&gt;0,$AB2288&lt;&gt;"",$AB2288&lt;&gt;"×",$AE2288=0,$AD2288=""),"計算額が下限以下のため不支給／",""))</f>
        <v/>
      </c>
      <c r="AN2288" s="12" t="n"/>
      <c r="AO2288" s="14">
        <f>IF($AF2288="保留中",COUNTIF($AF$6:$AF2288,"保留中"),"")</f>
        <v/>
      </c>
      <c r="AP2288" s="14">
        <f>IF($AQ2288="","",IF(SUMPRODUCT(MAX((職員マスタ!$A$6:$A$405=$B2288)*(((職員マスタ!$G$6:$G$405="")+(職員マスタ!$G$6:$G$405&lt;=EOMONTH($AQ2288,0)))&gt;0)*(((職員マスタ!$H$6:$H$405="")+(職員マスタ!$H$6:$H$405&gt;=$AQ2288))&gt;0)*(ROW(職員マスタ!$A$6:$A$405)-5)))&gt;0,SUMPRODUCT(MAX((職員マスタ!$A$6:$A$405=$B2288)*(((職員マスタ!$G$6:$G$405="")+(職員マスタ!$G$6:$G$405&lt;=EOMONTH($AQ2288,0)))&gt;0)*(((職員マスタ!$H$6:$H$405="")+(職員マスタ!$H$6:$H$405&gt;=$AQ2288))&gt;0)*(ROW(職員マスタ!$A$6:$A$405)-5))),IFERROR(MATCH($B2288,職員マスタ!$A$6:$A$405,0),"")))</f>
        <v/>
      </c>
      <c r="AQ2288" s="16">
        <f>IF(OR($B2288="",$C2288="",$D2288=""),"",DATE($C2288+2018,$D2288,1))</f>
        <v/>
      </c>
    </row>
    <row r="2289">
      <c r="A2289" s="11" t="n"/>
      <c r="B2289" s="12" t="n"/>
      <c r="C2289" s="12" t="n"/>
      <c r="D2289" s="12" t="n"/>
      <c r="E2289" s="13" t="n"/>
      <c r="F2289" s="12" t="n"/>
      <c r="G2289" s="13" t="n"/>
      <c r="H2289" s="12" t="n"/>
      <c r="I2289" s="12" t="n"/>
      <c r="J2289" s="12" t="n"/>
      <c r="K2289" s="12" t="n"/>
      <c r="L2289" s="11" t="n"/>
      <c r="M2289" s="11" t="n"/>
      <c r="N2289" s="11" t="n"/>
      <c r="O2289" s="11" t="n"/>
      <c r="P2289" s="12" t="n"/>
      <c r="Q2289" s="11" t="n"/>
      <c r="R2289" s="12" t="n"/>
      <c r="S2289" s="11" t="n"/>
      <c r="T2289" s="12" t="n"/>
      <c r="U2289" s="12" t="n"/>
      <c r="V2289" s="12" t="n"/>
      <c r="W2289" s="13" t="n"/>
      <c r="X2289" s="14">
        <f>IF($AP2289="",IF($B2289="","",$H2289),IF(INDEX(職員マスタ!$B$6:$B$405,$AP2289)="",$H2289,INDEX(職員マスタ!$B$6:$B$405,$AP2289)))</f>
        <v/>
      </c>
      <c r="Y2289" s="14">
        <f>IF($AP2289="",IF($B2289="","",$R2289),IF(INDEX(職員マスタ!$C$6:$C$405,$AP2289)="",$R2289,INDEX(職員マスタ!$C$6:$C$405,$AP2289)))</f>
        <v/>
      </c>
      <c r="Z2289" s="14">
        <f>IF($AQ2289="","","R"&amp;$C2289&amp;"."&amp;$D2289)</f>
        <v/>
      </c>
      <c r="AA2289" s="15">
        <f>IF(IF($AP2289="",FALSE,INDEX(職員マスタ!$K$6:$K$405,$AP2289)&lt;&gt;""),INDEX(職員マスタ!$K$6:$K$405,$AP2289),IF(N($W2289)&gt;0,$W2289,""))</f>
        <v/>
      </c>
      <c r="AB2289" s="14">
        <f>IF(OR($E2289="",$AA2289=""),"",IF($E2289&gt;=$AA2289,"×",IF($E2289&gt;=$AA2289*設定!$C$5,"△","○")))</f>
        <v/>
      </c>
      <c r="AC2289" s="15">
        <f>IF($AB2289="","",IF($AB2289="×",0,IF($AB2289="○",ROUNDDOWN($E2289*設定!$C$4,0),ROUNDDOWN($E2289*ROUND((9*$AA2289-9*$E2289)/(10*$E2289),4),0))))</f>
        <v/>
      </c>
      <c r="AD2289" s="13" t="n"/>
      <c r="AE2289" s="15">
        <f>IF($B2289="","",IF($AD2289&lt;&gt;"",$AD2289,IF($AC2289="","",IF($AC2289&lt;=設定!$C$3,0,$AC2289))))</f>
        <v/>
      </c>
      <c r="AF2289" s="14">
        <f>IF($B2289="","",IF(AND($AG2289&lt;&gt;"",$AI2289="",$AL2289=""),"保留中",IF($AL2289&lt;&gt;"",IF(N($AE2289)&gt;0,"支給済","不支給"),IF($AE2289="","要確認",IF($AE2289=0,"不支給","未処理")))))</f>
        <v/>
      </c>
      <c r="AG2289" s="12" t="n"/>
      <c r="AH2289" s="11" t="n"/>
      <c r="AI2289" s="11" t="n"/>
      <c r="AJ2289" s="11" t="n"/>
      <c r="AK2289" s="14">
        <f>IF(AND($AF2289="保留中",$AH2289&lt;&gt;""),TODAY()-$AH2289,"")</f>
        <v/>
      </c>
      <c r="AL2289" s="12" t="n"/>
      <c r="AM2289" s="14">
        <f>IF($B2289="","",IF($AQ2289="","対象年月が未入力／","")&amp;IF($B2289="","",IF($AP2289="","職員マスタに未登録の職員番号／",IF($AA2289="","標準報酬月額が未登録／","")&amp;IF(AND($AQ2289&lt;&gt;"",OR(AND(INDEX(職員マスタ!$G$6:$G$405,$AP2289)&lt;&gt;"",INDEX(職員マスタ!$G$6:$G$405,$AP2289)&gt;EOMONTH($AQ2289,0)),AND(INDEX(職員マスタ!$H$6:$H$405,$AP2289)&lt;&gt;"",INDEX(職員マスタ!$H$6:$H$405,$AP2289)&lt;$AQ2289))),"対象月が時短期間外／","")&amp;IF(AND(INDEX(職員マスタ!$K$6:$K$405,$AP2289)&lt;&gt;"",N($W2289)&gt;0,INDEX(職員マスタ!$K$6:$K$405,$AP2289)&lt;&gt;$W2289),"標準報酬月額が申請書と相違（台帳"&amp;TEXT(INDEX(職員マスタ!$K$6:$K$405,$AP2289),"#,##0")&amp;"円／申請書"&amp;TEXT($W2289,"#,##0")&amp;"円）／","")&amp;IF(AND(INDEX(職員マスタ!$F$6:$F$405,$AP2289)&lt;&gt;"",$AQ2289&lt;&gt;"",INDEX(職員マスタ!$F$6:$F$405,$AP2289)&lt;$AQ2289),"対象月に子が2歳到達済／","")&amp;IF(AND($H2289&lt;&gt;"",INDEX(職員マスタ!$B$6:$B$405,$AP2289)&lt;&gt;"",SUBSTITUTE(SUBSTITUTE($H2289," ","")," ","")&lt;&gt;SUBSTITUTE(SUBSTITUTE(INDEX(職員マスタ!$B$6:$B$405,$AP2289)," ","")," ","")),"氏名がマスタと相違／","")&amp;IF(AND($Q2289&lt;&gt;"",INDEX(職員マスタ!$E$6:$E$405,$AP2289)&lt;&gt;"",$Q2289&lt;&gt;INDEX(職員マスタ!$E$6:$E$405,$AP2289)),"子の生年月日がマスタと相違／","")&amp;IF(AND($L2289&lt;&gt;"",INDEX(職員マスタ!$G$6:$G$405,$AP2289)&lt;&gt;"",$L2289&lt;&gt;INDEX(職員マスタ!$G$6:$G$405,$AP2289)),"時短開始日がマスタと相違／","")&amp;IF(AND($M2289&lt;&gt;"",INDEX(職員マスタ!$H$6:$H$405,$AP2289)&lt;&gt;"",$M2289&lt;&gt;INDEX(職員マスタ!$H$6:$H$405,$AP2289)),"時短終了日がマスタと相違／","")))&amp;IF(AND($B2289&lt;&gt;"",$E2289=""),"報酬額が未入力／","")&amp;IF(N($U2289)&gt;0,"申請書に入力エラーが残っています／","")&amp;IF(AND($B2289&lt;&gt;"",$AQ2289&lt;&gt;""),IF(COUNTIFS($B$6:$B$3005,$B2289,$C$6:$C$3005,$C2289,$D$6:$D$3005,$D2289)&gt;1,"同じ月の請求が重複しています／",""),"")&amp;IF(AND(N($E2289)&gt;0,$AB2289&lt;&gt;"",$AB2289&lt;&gt;"×",$AE2289=0,$AD2289=""),"計算額が下限以下のため不支給／",""))</f>
        <v/>
      </c>
      <c r="AN2289" s="12" t="n"/>
      <c r="AO2289" s="14">
        <f>IF($AF2289="保留中",COUNTIF($AF$6:$AF2289,"保留中"),"")</f>
        <v/>
      </c>
      <c r="AP2289" s="14">
        <f>IF($AQ2289="","",IF(SUMPRODUCT(MAX((職員マスタ!$A$6:$A$405=$B2289)*(((職員マスタ!$G$6:$G$405="")+(職員マスタ!$G$6:$G$405&lt;=EOMONTH($AQ2289,0)))&gt;0)*(((職員マスタ!$H$6:$H$405="")+(職員マスタ!$H$6:$H$405&gt;=$AQ2289))&gt;0)*(ROW(職員マスタ!$A$6:$A$405)-5)))&gt;0,SUMPRODUCT(MAX((職員マスタ!$A$6:$A$405=$B2289)*(((職員マスタ!$G$6:$G$405="")+(職員マスタ!$G$6:$G$405&lt;=EOMONTH($AQ2289,0)))&gt;0)*(((職員マスタ!$H$6:$H$405="")+(職員マスタ!$H$6:$H$405&gt;=$AQ2289))&gt;0)*(ROW(職員マスタ!$A$6:$A$405)-5))),IFERROR(MATCH($B2289,職員マスタ!$A$6:$A$405,0),"")))</f>
        <v/>
      </c>
      <c r="AQ2289" s="16">
        <f>IF(OR($B2289="",$C2289="",$D2289=""),"",DATE($C2289+2018,$D2289,1))</f>
        <v/>
      </c>
    </row>
    <row r="2290">
      <c r="A2290" s="11" t="n"/>
      <c r="B2290" s="12" t="n"/>
      <c r="C2290" s="12" t="n"/>
      <c r="D2290" s="12" t="n"/>
      <c r="E2290" s="13" t="n"/>
      <c r="F2290" s="12" t="n"/>
      <c r="G2290" s="13" t="n"/>
      <c r="H2290" s="12" t="n"/>
      <c r="I2290" s="12" t="n"/>
      <c r="J2290" s="12" t="n"/>
      <c r="K2290" s="12" t="n"/>
      <c r="L2290" s="11" t="n"/>
      <c r="M2290" s="11" t="n"/>
      <c r="N2290" s="11" t="n"/>
      <c r="O2290" s="11" t="n"/>
      <c r="P2290" s="12" t="n"/>
      <c r="Q2290" s="11" t="n"/>
      <c r="R2290" s="12" t="n"/>
      <c r="S2290" s="11" t="n"/>
      <c r="T2290" s="12" t="n"/>
      <c r="U2290" s="12" t="n"/>
      <c r="V2290" s="12" t="n"/>
      <c r="W2290" s="13" t="n"/>
      <c r="X2290" s="14">
        <f>IF($AP2290="",IF($B2290="","",$H2290),IF(INDEX(職員マスタ!$B$6:$B$405,$AP2290)="",$H2290,INDEX(職員マスタ!$B$6:$B$405,$AP2290)))</f>
        <v/>
      </c>
      <c r="Y2290" s="14">
        <f>IF($AP2290="",IF($B2290="","",$R2290),IF(INDEX(職員マスタ!$C$6:$C$405,$AP2290)="",$R2290,INDEX(職員マスタ!$C$6:$C$405,$AP2290)))</f>
        <v/>
      </c>
      <c r="Z2290" s="14">
        <f>IF($AQ2290="","","R"&amp;$C2290&amp;"."&amp;$D2290)</f>
        <v/>
      </c>
      <c r="AA2290" s="15">
        <f>IF(IF($AP2290="",FALSE,INDEX(職員マスタ!$K$6:$K$405,$AP2290)&lt;&gt;""),INDEX(職員マスタ!$K$6:$K$405,$AP2290),IF(N($W2290)&gt;0,$W2290,""))</f>
        <v/>
      </c>
      <c r="AB2290" s="14">
        <f>IF(OR($E2290="",$AA2290=""),"",IF($E2290&gt;=$AA2290,"×",IF($E2290&gt;=$AA2290*設定!$C$5,"△","○")))</f>
        <v/>
      </c>
      <c r="AC2290" s="15">
        <f>IF($AB2290="","",IF($AB2290="×",0,IF($AB2290="○",ROUNDDOWN($E2290*設定!$C$4,0),ROUNDDOWN($E2290*ROUND((9*$AA2290-9*$E2290)/(10*$E2290),4),0))))</f>
        <v/>
      </c>
      <c r="AD2290" s="13" t="n"/>
      <c r="AE2290" s="15">
        <f>IF($B2290="","",IF($AD2290&lt;&gt;"",$AD2290,IF($AC2290="","",IF($AC2290&lt;=設定!$C$3,0,$AC2290))))</f>
        <v/>
      </c>
      <c r="AF2290" s="14">
        <f>IF($B2290="","",IF(AND($AG2290&lt;&gt;"",$AI2290="",$AL2290=""),"保留中",IF($AL2290&lt;&gt;"",IF(N($AE2290)&gt;0,"支給済","不支給"),IF($AE2290="","要確認",IF($AE2290=0,"不支給","未処理")))))</f>
        <v/>
      </c>
      <c r="AG2290" s="12" t="n"/>
      <c r="AH2290" s="11" t="n"/>
      <c r="AI2290" s="11" t="n"/>
      <c r="AJ2290" s="11" t="n"/>
      <c r="AK2290" s="14">
        <f>IF(AND($AF2290="保留中",$AH2290&lt;&gt;""),TODAY()-$AH2290,"")</f>
        <v/>
      </c>
      <c r="AL2290" s="12" t="n"/>
      <c r="AM2290" s="14">
        <f>IF($B2290="","",IF($AQ2290="","対象年月が未入力／","")&amp;IF($B2290="","",IF($AP2290="","職員マスタに未登録の職員番号／",IF($AA2290="","標準報酬月額が未登録／","")&amp;IF(AND($AQ2290&lt;&gt;"",OR(AND(INDEX(職員マスタ!$G$6:$G$405,$AP2290)&lt;&gt;"",INDEX(職員マスタ!$G$6:$G$405,$AP2290)&gt;EOMONTH($AQ2290,0)),AND(INDEX(職員マスタ!$H$6:$H$405,$AP2290)&lt;&gt;"",INDEX(職員マスタ!$H$6:$H$405,$AP2290)&lt;$AQ2290))),"対象月が時短期間外／","")&amp;IF(AND(INDEX(職員マスタ!$K$6:$K$405,$AP2290)&lt;&gt;"",N($W2290)&gt;0,INDEX(職員マスタ!$K$6:$K$405,$AP2290)&lt;&gt;$W2290),"標準報酬月額が申請書と相違（台帳"&amp;TEXT(INDEX(職員マスタ!$K$6:$K$405,$AP2290),"#,##0")&amp;"円／申請書"&amp;TEXT($W2290,"#,##0")&amp;"円）／","")&amp;IF(AND(INDEX(職員マスタ!$F$6:$F$405,$AP2290)&lt;&gt;"",$AQ2290&lt;&gt;"",INDEX(職員マスタ!$F$6:$F$405,$AP2290)&lt;$AQ2290),"対象月に子が2歳到達済／","")&amp;IF(AND($H2290&lt;&gt;"",INDEX(職員マスタ!$B$6:$B$405,$AP2290)&lt;&gt;"",SUBSTITUTE(SUBSTITUTE($H2290," ","")," ","")&lt;&gt;SUBSTITUTE(SUBSTITUTE(INDEX(職員マスタ!$B$6:$B$405,$AP2290)," ","")," ","")),"氏名がマスタと相違／","")&amp;IF(AND($Q2290&lt;&gt;"",INDEX(職員マスタ!$E$6:$E$405,$AP2290)&lt;&gt;"",$Q2290&lt;&gt;INDEX(職員マスタ!$E$6:$E$405,$AP2290)),"子の生年月日がマスタと相違／","")&amp;IF(AND($L2290&lt;&gt;"",INDEX(職員マスタ!$G$6:$G$405,$AP2290)&lt;&gt;"",$L2290&lt;&gt;INDEX(職員マスタ!$G$6:$G$405,$AP2290)),"時短開始日がマスタと相違／","")&amp;IF(AND($M2290&lt;&gt;"",INDEX(職員マスタ!$H$6:$H$405,$AP2290)&lt;&gt;"",$M2290&lt;&gt;INDEX(職員マスタ!$H$6:$H$405,$AP2290)),"時短終了日がマスタと相違／","")))&amp;IF(AND($B2290&lt;&gt;"",$E2290=""),"報酬額が未入力／","")&amp;IF(N($U2290)&gt;0,"申請書に入力エラーが残っています／","")&amp;IF(AND($B2290&lt;&gt;"",$AQ2290&lt;&gt;""),IF(COUNTIFS($B$6:$B$3005,$B2290,$C$6:$C$3005,$C2290,$D$6:$D$3005,$D2290)&gt;1,"同じ月の請求が重複しています／",""),"")&amp;IF(AND(N($E2290)&gt;0,$AB2290&lt;&gt;"",$AB2290&lt;&gt;"×",$AE2290=0,$AD2290=""),"計算額が下限以下のため不支給／",""))</f>
        <v/>
      </c>
      <c r="AN2290" s="12" t="n"/>
      <c r="AO2290" s="14">
        <f>IF($AF2290="保留中",COUNTIF($AF$6:$AF2290,"保留中"),"")</f>
        <v/>
      </c>
      <c r="AP2290" s="14">
        <f>IF($AQ2290="","",IF(SUMPRODUCT(MAX((職員マスタ!$A$6:$A$405=$B2290)*(((職員マスタ!$G$6:$G$405="")+(職員マスタ!$G$6:$G$405&lt;=EOMONTH($AQ2290,0)))&gt;0)*(((職員マスタ!$H$6:$H$405="")+(職員マスタ!$H$6:$H$405&gt;=$AQ2290))&gt;0)*(ROW(職員マスタ!$A$6:$A$405)-5)))&gt;0,SUMPRODUCT(MAX((職員マスタ!$A$6:$A$405=$B2290)*(((職員マスタ!$G$6:$G$405="")+(職員マスタ!$G$6:$G$405&lt;=EOMONTH($AQ2290,0)))&gt;0)*(((職員マスタ!$H$6:$H$405="")+(職員マスタ!$H$6:$H$405&gt;=$AQ2290))&gt;0)*(ROW(職員マスタ!$A$6:$A$405)-5))),IFERROR(MATCH($B2290,職員マスタ!$A$6:$A$405,0),"")))</f>
        <v/>
      </c>
      <c r="AQ2290" s="16">
        <f>IF(OR($B2290="",$C2290="",$D2290=""),"",DATE($C2290+2018,$D2290,1))</f>
        <v/>
      </c>
    </row>
    <row r="2291">
      <c r="A2291" s="11" t="n"/>
      <c r="B2291" s="12" t="n"/>
      <c r="C2291" s="12" t="n"/>
      <c r="D2291" s="12" t="n"/>
      <c r="E2291" s="13" t="n"/>
      <c r="F2291" s="12" t="n"/>
      <c r="G2291" s="13" t="n"/>
      <c r="H2291" s="12" t="n"/>
      <c r="I2291" s="12" t="n"/>
      <c r="J2291" s="12" t="n"/>
      <c r="K2291" s="12" t="n"/>
      <c r="L2291" s="11" t="n"/>
      <c r="M2291" s="11" t="n"/>
      <c r="N2291" s="11" t="n"/>
      <c r="O2291" s="11" t="n"/>
      <c r="P2291" s="12" t="n"/>
      <c r="Q2291" s="11" t="n"/>
      <c r="R2291" s="12" t="n"/>
      <c r="S2291" s="11" t="n"/>
      <c r="T2291" s="12" t="n"/>
      <c r="U2291" s="12" t="n"/>
      <c r="V2291" s="12" t="n"/>
      <c r="W2291" s="13" t="n"/>
      <c r="X2291" s="14">
        <f>IF($AP2291="",IF($B2291="","",$H2291),IF(INDEX(職員マスタ!$B$6:$B$405,$AP2291)="",$H2291,INDEX(職員マスタ!$B$6:$B$405,$AP2291)))</f>
        <v/>
      </c>
      <c r="Y2291" s="14">
        <f>IF($AP2291="",IF($B2291="","",$R2291),IF(INDEX(職員マスタ!$C$6:$C$405,$AP2291)="",$R2291,INDEX(職員マスタ!$C$6:$C$405,$AP2291)))</f>
        <v/>
      </c>
      <c r="Z2291" s="14">
        <f>IF($AQ2291="","","R"&amp;$C2291&amp;"."&amp;$D2291)</f>
        <v/>
      </c>
      <c r="AA2291" s="15">
        <f>IF(IF($AP2291="",FALSE,INDEX(職員マスタ!$K$6:$K$405,$AP2291)&lt;&gt;""),INDEX(職員マスタ!$K$6:$K$405,$AP2291),IF(N($W2291)&gt;0,$W2291,""))</f>
        <v/>
      </c>
      <c r="AB2291" s="14">
        <f>IF(OR($E2291="",$AA2291=""),"",IF($E2291&gt;=$AA2291,"×",IF($E2291&gt;=$AA2291*設定!$C$5,"△","○")))</f>
        <v/>
      </c>
      <c r="AC2291" s="15">
        <f>IF($AB2291="","",IF($AB2291="×",0,IF($AB2291="○",ROUNDDOWN($E2291*設定!$C$4,0),ROUNDDOWN($E2291*ROUND((9*$AA2291-9*$E2291)/(10*$E2291),4),0))))</f>
        <v/>
      </c>
      <c r="AD2291" s="13" t="n"/>
      <c r="AE2291" s="15">
        <f>IF($B2291="","",IF($AD2291&lt;&gt;"",$AD2291,IF($AC2291="","",IF($AC2291&lt;=設定!$C$3,0,$AC2291))))</f>
        <v/>
      </c>
      <c r="AF2291" s="14">
        <f>IF($B2291="","",IF(AND($AG2291&lt;&gt;"",$AI2291="",$AL2291=""),"保留中",IF($AL2291&lt;&gt;"",IF(N($AE2291)&gt;0,"支給済","不支給"),IF($AE2291="","要確認",IF($AE2291=0,"不支給","未処理")))))</f>
        <v/>
      </c>
      <c r="AG2291" s="12" t="n"/>
      <c r="AH2291" s="11" t="n"/>
      <c r="AI2291" s="11" t="n"/>
      <c r="AJ2291" s="11" t="n"/>
      <c r="AK2291" s="14">
        <f>IF(AND($AF2291="保留中",$AH2291&lt;&gt;""),TODAY()-$AH2291,"")</f>
        <v/>
      </c>
      <c r="AL2291" s="12" t="n"/>
      <c r="AM2291" s="14">
        <f>IF($B2291="","",IF($AQ2291="","対象年月が未入力／","")&amp;IF($B2291="","",IF($AP2291="","職員マスタに未登録の職員番号／",IF($AA2291="","標準報酬月額が未登録／","")&amp;IF(AND($AQ2291&lt;&gt;"",OR(AND(INDEX(職員マスタ!$G$6:$G$405,$AP2291)&lt;&gt;"",INDEX(職員マスタ!$G$6:$G$405,$AP2291)&gt;EOMONTH($AQ2291,0)),AND(INDEX(職員マスタ!$H$6:$H$405,$AP2291)&lt;&gt;"",INDEX(職員マスタ!$H$6:$H$405,$AP2291)&lt;$AQ2291))),"対象月が時短期間外／","")&amp;IF(AND(INDEX(職員マスタ!$K$6:$K$405,$AP2291)&lt;&gt;"",N($W2291)&gt;0,INDEX(職員マスタ!$K$6:$K$405,$AP2291)&lt;&gt;$W2291),"標準報酬月額が申請書と相違（台帳"&amp;TEXT(INDEX(職員マスタ!$K$6:$K$405,$AP2291),"#,##0")&amp;"円／申請書"&amp;TEXT($W2291,"#,##0")&amp;"円）／","")&amp;IF(AND(INDEX(職員マスタ!$F$6:$F$405,$AP2291)&lt;&gt;"",$AQ2291&lt;&gt;"",INDEX(職員マスタ!$F$6:$F$405,$AP2291)&lt;$AQ2291),"対象月に子が2歳到達済／","")&amp;IF(AND($H2291&lt;&gt;"",INDEX(職員マスタ!$B$6:$B$405,$AP2291)&lt;&gt;"",SUBSTITUTE(SUBSTITUTE($H2291," ","")," ","")&lt;&gt;SUBSTITUTE(SUBSTITUTE(INDEX(職員マスタ!$B$6:$B$405,$AP2291)," ","")," ","")),"氏名がマスタと相違／","")&amp;IF(AND($Q2291&lt;&gt;"",INDEX(職員マスタ!$E$6:$E$405,$AP2291)&lt;&gt;"",$Q2291&lt;&gt;INDEX(職員マスタ!$E$6:$E$405,$AP2291)),"子の生年月日がマスタと相違／","")&amp;IF(AND($L2291&lt;&gt;"",INDEX(職員マスタ!$G$6:$G$405,$AP2291)&lt;&gt;"",$L2291&lt;&gt;INDEX(職員マスタ!$G$6:$G$405,$AP2291)),"時短開始日がマスタと相違／","")&amp;IF(AND($M2291&lt;&gt;"",INDEX(職員マスタ!$H$6:$H$405,$AP2291)&lt;&gt;"",$M2291&lt;&gt;INDEX(職員マスタ!$H$6:$H$405,$AP2291)),"時短終了日がマスタと相違／","")))&amp;IF(AND($B2291&lt;&gt;"",$E2291=""),"報酬額が未入力／","")&amp;IF(N($U2291)&gt;0,"申請書に入力エラーが残っています／","")&amp;IF(AND($B2291&lt;&gt;"",$AQ2291&lt;&gt;""),IF(COUNTIFS($B$6:$B$3005,$B2291,$C$6:$C$3005,$C2291,$D$6:$D$3005,$D2291)&gt;1,"同じ月の請求が重複しています／",""),"")&amp;IF(AND(N($E2291)&gt;0,$AB2291&lt;&gt;"",$AB2291&lt;&gt;"×",$AE2291=0,$AD2291=""),"計算額が下限以下のため不支給／",""))</f>
        <v/>
      </c>
      <c r="AN2291" s="12" t="n"/>
      <c r="AO2291" s="14">
        <f>IF($AF2291="保留中",COUNTIF($AF$6:$AF2291,"保留中"),"")</f>
        <v/>
      </c>
      <c r="AP2291" s="14">
        <f>IF($AQ2291="","",IF(SUMPRODUCT(MAX((職員マスタ!$A$6:$A$405=$B2291)*(((職員マスタ!$G$6:$G$405="")+(職員マスタ!$G$6:$G$405&lt;=EOMONTH($AQ2291,0)))&gt;0)*(((職員マスタ!$H$6:$H$405="")+(職員マスタ!$H$6:$H$405&gt;=$AQ2291))&gt;0)*(ROW(職員マスタ!$A$6:$A$405)-5)))&gt;0,SUMPRODUCT(MAX((職員マスタ!$A$6:$A$405=$B2291)*(((職員マスタ!$G$6:$G$405="")+(職員マスタ!$G$6:$G$405&lt;=EOMONTH($AQ2291,0)))&gt;0)*(((職員マスタ!$H$6:$H$405="")+(職員マスタ!$H$6:$H$405&gt;=$AQ2291))&gt;0)*(ROW(職員マスタ!$A$6:$A$405)-5))),IFERROR(MATCH($B2291,職員マスタ!$A$6:$A$405,0),"")))</f>
        <v/>
      </c>
      <c r="AQ2291" s="16">
        <f>IF(OR($B2291="",$C2291="",$D2291=""),"",DATE($C2291+2018,$D2291,1))</f>
        <v/>
      </c>
    </row>
    <row r="2292">
      <c r="A2292" s="11" t="n"/>
      <c r="B2292" s="12" t="n"/>
      <c r="C2292" s="12" t="n"/>
      <c r="D2292" s="12" t="n"/>
      <c r="E2292" s="13" t="n"/>
      <c r="F2292" s="12" t="n"/>
      <c r="G2292" s="13" t="n"/>
      <c r="H2292" s="12" t="n"/>
      <c r="I2292" s="12" t="n"/>
      <c r="J2292" s="12" t="n"/>
      <c r="K2292" s="12" t="n"/>
      <c r="L2292" s="11" t="n"/>
      <c r="M2292" s="11" t="n"/>
      <c r="N2292" s="11" t="n"/>
      <c r="O2292" s="11" t="n"/>
      <c r="P2292" s="12" t="n"/>
      <c r="Q2292" s="11" t="n"/>
      <c r="R2292" s="12" t="n"/>
      <c r="S2292" s="11" t="n"/>
      <c r="T2292" s="12" t="n"/>
      <c r="U2292" s="12" t="n"/>
      <c r="V2292" s="12" t="n"/>
      <c r="W2292" s="13" t="n"/>
      <c r="X2292" s="14">
        <f>IF($AP2292="",IF($B2292="","",$H2292),IF(INDEX(職員マスタ!$B$6:$B$405,$AP2292)="",$H2292,INDEX(職員マスタ!$B$6:$B$405,$AP2292)))</f>
        <v/>
      </c>
      <c r="Y2292" s="14">
        <f>IF($AP2292="",IF($B2292="","",$R2292),IF(INDEX(職員マスタ!$C$6:$C$405,$AP2292)="",$R2292,INDEX(職員マスタ!$C$6:$C$405,$AP2292)))</f>
        <v/>
      </c>
      <c r="Z2292" s="14">
        <f>IF($AQ2292="","","R"&amp;$C2292&amp;"."&amp;$D2292)</f>
        <v/>
      </c>
      <c r="AA2292" s="15">
        <f>IF(IF($AP2292="",FALSE,INDEX(職員マスタ!$K$6:$K$405,$AP2292)&lt;&gt;""),INDEX(職員マスタ!$K$6:$K$405,$AP2292),IF(N($W2292)&gt;0,$W2292,""))</f>
        <v/>
      </c>
      <c r="AB2292" s="14">
        <f>IF(OR($E2292="",$AA2292=""),"",IF($E2292&gt;=$AA2292,"×",IF($E2292&gt;=$AA2292*設定!$C$5,"△","○")))</f>
        <v/>
      </c>
      <c r="AC2292" s="15">
        <f>IF($AB2292="","",IF($AB2292="×",0,IF($AB2292="○",ROUNDDOWN($E2292*設定!$C$4,0),ROUNDDOWN($E2292*ROUND((9*$AA2292-9*$E2292)/(10*$E2292),4),0))))</f>
        <v/>
      </c>
      <c r="AD2292" s="13" t="n"/>
      <c r="AE2292" s="15">
        <f>IF($B2292="","",IF($AD2292&lt;&gt;"",$AD2292,IF($AC2292="","",IF($AC2292&lt;=設定!$C$3,0,$AC2292))))</f>
        <v/>
      </c>
      <c r="AF2292" s="14">
        <f>IF($B2292="","",IF(AND($AG2292&lt;&gt;"",$AI2292="",$AL2292=""),"保留中",IF($AL2292&lt;&gt;"",IF(N($AE2292)&gt;0,"支給済","不支給"),IF($AE2292="","要確認",IF($AE2292=0,"不支給","未処理")))))</f>
        <v/>
      </c>
      <c r="AG2292" s="12" t="n"/>
      <c r="AH2292" s="11" t="n"/>
      <c r="AI2292" s="11" t="n"/>
      <c r="AJ2292" s="11" t="n"/>
      <c r="AK2292" s="14">
        <f>IF(AND($AF2292="保留中",$AH2292&lt;&gt;""),TODAY()-$AH2292,"")</f>
        <v/>
      </c>
      <c r="AL2292" s="12" t="n"/>
      <c r="AM2292" s="14">
        <f>IF($B2292="","",IF($AQ2292="","対象年月が未入力／","")&amp;IF($B2292="","",IF($AP2292="","職員マスタに未登録の職員番号／",IF($AA2292="","標準報酬月額が未登録／","")&amp;IF(AND($AQ2292&lt;&gt;"",OR(AND(INDEX(職員マスタ!$G$6:$G$405,$AP2292)&lt;&gt;"",INDEX(職員マスタ!$G$6:$G$405,$AP2292)&gt;EOMONTH($AQ2292,0)),AND(INDEX(職員マスタ!$H$6:$H$405,$AP2292)&lt;&gt;"",INDEX(職員マスタ!$H$6:$H$405,$AP2292)&lt;$AQ2292))),"対象月が時短期間外／","")&amp;IF(AND(INDEX(職員マスタ!$K$6:$K$405,$AP2292)&lt;&gt;"",N($W2292)&gt;0,INDEX(職員マスタ!$K$6:$K$405,$AP2292)&lt;&gt;$W2292),"標準報酬月額が申請書と相違（台帳"&amp;TEXT(INDEX(職員マスタ!$K$6:$K$405,$AP2292),"#,##0")&amp;"円／申請書"&amp;TEXT($W2292,"#,##0")&amp;"円）／","")&amp;IF(AND(INDEX(職員マスタ!$F$6:$F$405,$AP2292)&lt;&gt;"",$AQ2292&lt;&gt;"",INDEX(職員マスタ!$F$6:$F$405,$AP2292)&lt;$AQ2292),"対象月に子が2歳到達済／","")&amp;IF(AND($H2292&lt;&gt;"",INDEX(職員マスタ!$B$6:$B$405,$AP2292)&lt;&gt;"",SUBSTITUTE(SUBSTITUTE($H2292," ","")," ","")&lt;&gt;SUBSTITUTE(SUBSTITUTE(INDEX(職員マスタ!$B$6:$B$405,$AP2292)," ","")," ","")),"氏名がマスタと相違／","")&amp;IF(AND($Q2292&lt;&gt;"",INDEX(職員マスタ!$E$6:$E$405,$AP2292)&lt;&gt;"",$Q2292&lt;&gt;INDEX(職員マスタ!$E$6:$E$405,$AP2292)),"子の生年月日がマスタと相違／","")&amp;IF(AND($L2292&lt;&gt;"",INDEX(職員マスタ!$G$6:$G$405,$AP2292)&lt;&gt;"",$L2292&lt;&gt;INDEX(職員マスタ!$G$6:$G$405,$AP2292)),"時短開始日がマスタと相違／","")&amp;IF(AND($M2292&lt;&gt;"",INDEX(職員マスタ!$H$6:$H$405,$AP2292)&lt;&gt;"",$M2292&lt;&gt;INDEX(職員マスタ!$H$6:$H$405,$AP2292)),"時短終了日がマスタと相違／","")))&amp;IF(AND($B2292&lt;&gt;"",$E2292=""),"報酬額が未入力／","")&amp;IF(N($U2292)&gt;0,"申請書に入力エラーが残っています／","")&amp;IF(AND($B2292&lt;&gt;"",$AQ2292&lt;&gt;""),IF(COUNTIFS($B$6:$B$3005,$B2292,$C$6:$C$3005,$C2292,$D$6:$D$3005,$D2292)&gt;1,"同じ月の請求が重複しています／",""),"")&amp;IF(AND(N($E2292)&gt;0,$AB2292&lt;&gt;"",$AB2292&lt;&gt;"×",$AE2292=0,$AD2292=""),"計算額が下限以下のため不支給／",""))</f>
        <v/>
      </c>
      <c r="AN2292" s="12" t="n"/>
      <c r="AO2292" s="14">
        <f>IF($AF2292="保留中",COUNTIF($AF$6:$AF2292,"保留中"),"")</f>
        <v/>
      </c>
      <c r="AP2292" s="14">
        <f>IF($AQ2292="","",IF(SUMPRODUCT(MAX((職員マスタ!$A$6:$A$405=$B2292)*(((職員マスタ!$G$6:$G$405="")+(職員マスタ!$G$6:$G$405&lt;=EOMONTH($AQ2292,0)))&gt;0)*(((職員マスタ!$H$6:$H$405="")+(職員マスタ!$H$6:$H$405&gt;=$AQ2292))&gt;0)*(ROW(職員マスタ!$A$6:$A$405)-5)))&gt;0,SUMPRODUCT(MAX((職員マスタ!$A$6:$A$405=$B2292)*(((職員マスタ!$G$6:$G$405="")+(職員マスタ!$G$6:$G$405&lt;=EOMONTH($AQ2292,0)))&gt;0)*(((職員マスタ!$H$6:$H$405="")+(職員マスタ!$H$6:$H$405&gt;=$AQ2292))&gt;0)*(ROW(職員マスタ!$A$6:$A$405)-5))),IFERROR(MATCH($B2292,職員マスタ!$A$6:$A$405,0),"")))</f>
        <v/>
      </c>
      <c r="AQ2292" s="16">
        <f>IF(OR($B2292="",$C2292="",$D2292=""),"",DATE($C2292+2018,$D2292,1))</f>
        <v/>
      </c>
    </row>
    <row r="2293">
      <c r="A2293" s="11" t="n"/>
      <c r="B2293" s="12" t="n"/>
      <c r="C2293" s="12" t="n"/>
      <c r="D2293" s="12" t="n"/>
      <c r="E2293" s="13" t="n"/>
      <c r="F2293" s="12" t="n"/>
      <c r="G2293" s="13" t="n"/>
      <c r="H2293" s="12" t="n"/>
      <c r="I2293" s="12" t="n"/>
      <c r="J2293" s="12" t="n"/>
      <c r="K2293" s="12" t="n"/>
      <c r="L2293" s="11" t="n"/>
      <c r="M2293" s="11" t="n"/>
      <c r="N2293" s="11" t="n"/>
      <c r="O2293" s="11" t="n"/>
      <c r="P2293" s="12" t="n"/>
      <c r="Q2293" s="11" t="n"/>
      <c r="R2293" s="12" t="n"/>
      <c r="S2293" s="11" t="n"/>
      <c r="T2293" s="12" t="n"/>
      <c r="U2293" s="12" t="n"/>
      <c r="V2293" s="12" t="n"/>
      <c r="W2293" s="13" t="n"/>
      <c r="X2293" s="14">
        <f>IF($AP2293="",IF($B2293="","",$H2293),IF(INDEX(職員マスタ!$B$6:$B$405,$AP2293)="",$H2293,INDEX(職員マスタ!$B$6:$B$405,$AP2293)))</f>
        <v/>
      </c>
      <c r="Y2293" s="14">
        <f>IF($AP2293="",IF($B2293="","",$R2293),IF(INDEX(職員マスタ!$C$6:$C$405,$AP2293)="",$R2293,INDEX(職員マスタ!$C$6:$C$405,$AP2293)))</f>
        <v/>
      </c>
      <c r="Z2293" s="14">
        <f>IF($AQ2293="","","R"&amp;$C2293&amp;"."&amp;$D2293)</f>
        <v/>
      </c>
      <c r="AA2293" s="15">
        <f>IF(IF($AP2293="",FALSE,INDEX(職員マスタ!$K$6:$K$405,$AP2293)&lt;&gt;""),INDEX(職員マスタ!$K$6:$K$405,$AP2293),IF(N($W2293)&gt;0,$W2293,""))</f>
        <v/>
      </c>
      <c r="AB2293" s="14">
        <f>IF(OR($E2293="",$AA2293=""),"",IF($E2293&gt;=$AA2293,"×",IF($E2293&gt;=$AA2293*設定!$C$5,"△","○")))</f>
        <v/>
      </c>
      <c r="AC2293" s="15">
        <f>IF($AB2293="","",IF($AB2293="×",0,IF($AB2293="○",ROUNDDOWN($E2293*設定!$C$4,0),ROUNDDOWN($E2293*ROUND((9*$AA2293-9*$E2293)/(10*$E2293),4),0))))</f>
        <v/>
      </c>
      <c r="AD2293" s="13" t="n"/>
      <c r="AE2293" s="15">
        <f>IF($B2293="","",IF($AD2293&lt;&gt;"",$AD2293,IF($AC2293="","",IF($AC2293&lt;=設定!$C$3,0,$AC2293))))</f>
        <v/>
      </c>
      <c r="AF2293" s="14">
        <f>IF($B2293="","",IF(AND($AG2293&lt;&gt;"",$AI2293="",$AL2293=""),"保留中",IF($AL2293&lt;&gt;"",IF(N($AE2293)&gt;0,"支給済","不支給"),IF($AE2293="","要確認",IF($AE2293=0,"不支給","未処理")))))</f>
        <v/>
      </c>
      <c r="AG2293" s="12" t="n"/>
      <c r="AH2293" s="11" t="n"/>
      <c r="AI2293" s="11" t="n"/>
      <c r="AJ2293" s="11" t="n"/>
      <c r="AK2293" s="14">
        <f>IF(AND($AF2293="保留中",$AH2293&lt;&gt;""),TODAY()-$AH2293,"")</f>
        <v/>
      </c>
      <c r="AL2293" s="12" t="n"/>
      <c r="AM2293" s="14">
        <f>IF($B2293="","",IF($AQ2293="","対象年月が未入力／","")&amp;IF($B2293="","",IF($AP2293="","職員マスタに未登録の職員番号／",IF($AA2293="","標準報酬月額が未登録／","")&amp;IF(AND($AQ2293&lt;&gt;"",OR(AND(INDEX(職員マスタ!$G$6:$G$405,$AP2293)&lt;&gt;"",INDEX(職員マスタ!$G$6:$G$405,$AP2293)&gt;EOMONTH($AQ2293,0)),AND(INDEX(職員マスタ!$H$6:$H$405,$AP2293)&lt;&gt;"",INDEX(職員マスタ!$H$6:$H$405,$AP2293)&lt;$AQ2293))),"対象月が時短期間外／","")&amp;IF(AND(INDEX(職員マスタ!$K$6:$K$405,$AP2293)&lt;&gt;"",N($W2293)&gt;0,INDEX(職員マスタ!$K$6:$K$405,$AP2293)&lt;&gt;$W2293),"標準報酬月額が申請書と相違（台帳"&amp;TEXT(INDEX(職員マスタ!$K$6:$K$405,$AP2293),"#,##0")&amp;"円／申請書"&amp;TEXT($W2293,"#,##0")&amp;"円）／","")&amp;IF(AND(INDEX(職員マスタ!$F$6:$F$405,$AP2293)&lt;&gt;"",$AQ2293&lt;&gt;"",INDEX(職員マスタ!$F$6:$F$405,$AP2293)&lt;$AQ2293),"対象月に子が2歳到達済／","")&amp;IF(AND($H2293&lt;&gt;"",INDEX(職員マスタ!$B$6:$B$405,$AP2293)&lt;&gt;"",SUBSTITUTE(SUBSTITUTE($H2293," ","")," ","")&lt;&gt;SUBSTITUTE(SUBSTITUTE(INDEX(職員マスタ!$B$6:$B$405,$AP2293)," ","")," ","")),"氏名がマスタと相違／","")&amp;IF(AND($Q2293&lt;&gt;"",INDEX(職員マスタ!$E$6:$E$405,$AP2293)&lt;&gt;"",$Q2293&lt;&gt;INDEX(職員マスタ!$E$6:$E$405,$AP2293)),"子の生年月日がマスタと相違／","")&amp;IF(AND($L2293&lt;&gt;"",INDEX(職員マスタ!$G$6:$G$405,$AP2293)&lt;&gt;"",$L2293&lt;&gt;INDEX(職員マスタ!$G$6:$G$405,$AP2293)),"時短開始日がマスタと相違／","")&amp;IF(AND($M2293&lt;&gt;"",INDEX(職員マスタ!$H$6:$H$405,$AP2293)&lt;&gt;"",$M2293&lt;&gt;INDEX(職員マスタ!$H$6:$H$405,$AP2293)),"時短終了日がマスタと相違／","")))&amp;IF(AND($B2293&lt;&gt;"",$E2293=""),"報酬額が未入力／","")&amp;IF(N($U2293)&gt;0,"申請書に入力エラーが残っています／","")&amp;IF(AND($B2293&lt;&gt;"",$AQ2293&lt;&gt;""),IF(COUNTIFS($B$6:$B$3005,$B2293,$C$6:$C$3005,$C2293,$D$6:$D$3005,$D2293)&gt;1,"同じ月の請求が重複しています／",""),"")&amp;IF(AND(N($E2293)&gt;0,$AB2293&lt;&gt;"",$AB2293&lt;&gt;"×",$AE2293=0,$AD2293=""),"計算額が下限以下のため不支給／",""))</f>
        <v/>
      </c>
      <c r="AN2293" s="12" t="n"/>
      <c r="AO2293" s="14">
        <f>IF($AF2293="保留中",COUNTIF($AF$6:$AF2293,"保留中"),"")</f>
        <v/>
      </c>
      <c r="AP2293" s="14">
        <f>IF($AQ2293="","",IF(SUMPRODUCT(MAX((職員マスタ!$A$6:$A$405=$B2293)*(((職員マスタ!$G$6:$G$405="")+(職員マスタ!$G$6:$G$405&lt;=EOMONTH($AQ2293,0)))&gt;0)*(((職員マスタ!$H$6:$H$405="")+(職員マスタ!$H$6:$H$405&gt;=$AQ2293))&gt;0)*(ROW(職員マスタ!$A$6:$A$405)-5)))&gt;0,SUMPRODUCT(MAX((職員マスタ!$A$6:$A$405=$B2293)*(((職員マスタ!$G$6:$G$405="")+(職員マスタ!$G$6:$G$405&lt;=EOMONTH($AQ2293,0)))&gt;0)*(((職員マスタ!$H$6:$H$405="")+(職員マスタ!$H$6:$H$405&gt;=$AQ2293))&gt;0)*(ROW(職員マスタ!$A$6:$A$405)-5))),IFERROR(MATCH($B2293,職員マスタ!$A$6:$A$405,0),"")))</f>
        <v/>
      </c>
      <c r="AQ2293" s="16">
        <f>IF(OR($B2293="",$C2293="",$D2293=""),"",DATE($C2293+2018,$D2293,1))</f>
        <v/>
      </c>
    </row>
    <row r="2294">
      <c r="A2294" s="11" t="n"/>
      <c r="B2294" s="12" t="n"/>
      <c r="C2294" s="12" t="n"/>
      <c r="D2294" s="12" t="n"/>
      <c r="E2294" s="13" t="n"/>
      <c r="F2294" s="12" t="n"/>
      <c r="G2294" s="13" t="n"/>
      <c r="H2294" s="12" t="n"/>
      <c r="I2294" s="12" t="n"/>
      <c r="J2294" s="12" t="n"/>
      <c r="K2294" s="12" t="n"/>
      <c r="L2294" s="11" t="n"/>
      <c r="M2294" s="11" t="n"/>
      <c r="N2294" s="11" t="n"/>
      <c r="O2294" s="11" t="n"/>
      <c r="P2294" s="12" t="n"/>
      <c r="Q2294" s="11" t="n"/>
      <c r="R2294" s="12" t="n"/>
      <c r="S2294" s="11" t="n"/>
      <c r="T2294" s="12" t="n"/>
      <c r="U2294" s="12" t="n"/>
      <c r="V2294" s="12" t="n"/>
      <c r="W2294" s="13" t="n"/>
      <c r="X2294" s="14">
        <f>IF($AP2294="",IF($B2294="","",$H2294),IF(INDEX(職員マスタ!$B$6:$B$405,$AP2294)="",$H2294,INDEX(職員マスタ!$B$6:$B$405,$AP2294)))</f>
        <v/>
      </c>
      <c r="Y2294" s="14">
        <f>IF($AP2294="",IF($B2294="","",$R2294),IF(INDEX(職員マスタ!$C$6:$C$405,$AP2294)="",$R2294,INDEX(職員マスタ!$C$6:$C$405,$AP2294)))</f>
        <v/>
      </c>
      <c r="Z2294" s="14">
        <f>IF($AQ2294="","","R"&amp;$C2294&amp;"."&amp;$D2294)</f>
        <v/>
      </c>
      <c r="AA2294" s="15">
        <f>IF(IF($AP2294="",FALSE,INDEX(職員マスタ!$K$6:$K$405,$AP2294)&lt;&gt;""),INDEX(職員マスタ!$K$6:$K$405,$AP2294),IF(N($W2294)&gt;0,$W2294,""))</f>
        <v/>
      </c>
      <c r="AB2294" s="14">
        <f>IF(OR($E2294="",$AA2294=""),"",IF($E2294&gt;=$AA2294,"×",IF($E2294&gt;=$AA2294*設定!$C$5,"△","○")))</f>
        <v/>
      </c>
      <c r="AC2294" s="15">
        <f>IF($AB2294="","",IF($AB2294="×",0,IF($AB2294="○",ROUNDDOWN($E2294*設定!$C$4,0),ROUNDDOWN($E2294*ROUND((9*$AA2294-9*$E2294)/(10*$E2294),4),0))))</f>
        <v/>
      </c>
      <c r="AD2294" s="13" t="n"/>
      <c r="AE2294" s="15">
        <f>IF($B2294="","",IF($AD2294&lt;&gt;"",$AD2294,IF($AC2294="","",IF($AC2294&lt;=設定!$C$3,0,$AC2294))))</f>
        <v/>
      </c>
      <c r="AF2294" s="14">
        <f>IF($B2294="","",IF(AND($AG2294&lt;&gt;"",$AI2294="",$AL2294=""),"保留中",IF($AL2294&lt;&gt;"",IF(N($AE2294)&gt;0,"支給済","不支給"),IF($AE2294="","要確認",IF($AE2294=0,"不支給","未処理")))))</f>
        <v/>
      </c>
      <c r="AG2294" s="12" t="n"/>
      <c r="AH2294" s="11" t="n"/>
      <c r="AI2294" s="11" t="n"/>
      <c r="AJ2294" s="11" t="n"/>
      <c r="AK2294" s="14">
        <f>IF(AND($AF2294="保留中",$AH2294&lt;&gt;""),TODAY()-$AH2294,"")</f>
        <v/>
      </c>
      <c r="AL2294" s="12" t="n"/>
      <c r="AM2294" s="14">
        <f>IF($B2294="","",IF($AQ2294="","対象年月が未入力／","")&amp;IF($B2294="","",IF($AP2294="","職員マスタに未登録の職員番号／",IF($AA2294="","標準報酬月額が未登録／","")&amp;IF(AND($AQ2294&lt;&gt;"",OR(AND(INDEX(職員マスタ!$G$6:$G$405,$AP2294)&lt;&gt;"",INDEX(職員マスタ!$G$6:$G$405,$AP2294)&gt;EOMONTH($AQ2294,0)),AND(INDEX(職員マスタ!$H$6:$H$405,$AP2294)&lt;&gt;"",INDEX(職員マスタ!$H$6:$H$405,$AP2294)&lt;$AQ2294))),"対象月が時短期間外／","")&amp;IF(AND(INDEX(職員マスタ!$K$6:$K$405,$AP2294)&lt;&gt;"",N($W2294)&gt;0,INDEX(職員マスタ!$K$6:$K$405,$AP2294)&lt;&gt;$W2294),"標準報酬月額が申請書と相違（台帳"&amp;TEXT(INDEX(職員マスタ!$K$6:$K$405,$AP2294),"#,##0")&amp;"円／申請書"&amp;TEXT($W2294,"#,##0")&amp;"円）／","")&amp;IF(AND(INDEX(職員マスタ!$F$6:$F$405,$AP2294)&lt;&gt;"",$AQ2294&lt;&gt;"",INDEX(職員マスタ!$F$6:$F$405,$AP2294)&lt;$AQ2294),"対象月に子が2歳到達済／","")&amp;IF(AND($H2294&lt;&gt;"",INDEX(職員マスタ!$B$6:$B$405,$AP2294)&lt;&gt;"",SUBSTITUTE(SUBSTITUTE($H2294," ","")," ","")&lt;&gt;SUBSTITUTE(SUBSTITUTE(INDEX(職員マスタ!$B$6:$B$405,$AP2294)," ","")," ","")),"氏名がマスタと相違／","")&amp;IF(AND($Q2294&lt;&gt;"",INDEX(職員マスタ!$E$6:$E$405,$AP2294)&lt;&gt;"",$Q2294&lt;&gt;INDEX(職員マスタ!$E$6:$E$405,$AP2294)),"子の生年月日がマスタと相違／","")&amp;IF(AND($L2294&lt;&gt;"",INDEX(職員マスタ!$G$6:$G$405,$AP2294)&lt;&gt;"",$L2294&lt;&gt;INDEX(職員マスタ!$G$6:$G$405,$AP2294)),"時短開始日がマスタと相違／","")&amp;IF(AND($M2294&lt;&gt;"",INDEX(職員マスタ!$H$6:$H$405,$AP2294)&lt;&gt;"",$M2294&lt;&gt;INDEX(職員マスタ!$H$6:$H$405,$AP2294)),"時短終了日がマスタと相違／","")))&amp;IF(AND($B2294&lt;&gt;"",$E2294=""),"報酬額が未入力／","")&amp;IF(N($U2294)&gt;0,"申請書に入力エラーが残っています／","")&amp;IF(AND($B2294&lt;&gt;"",$AQ2294&lt;&gt;""),IF(COUNTIFS($B$6:$B$3005,$B2294,$C$6:$C$3005,$C2294,$D$6:$D$3005,$D2294)&gt;1,"同じ月の請求が重複しています／",""),"")&amp;IF(AND(N($E2294)&gt;0,$AB2294&lt;&gt;"",$AB2294&lt;&gt;"×",$AE2294=0,$AD2294=""),"計算額が下限以下のため不支給／",""))</f>
        <v/>
      </c>
      <c r="AN2294" s="12" t="n"/>
      <c r="AO2294" s="14">
        <f>IF($AF2294="保留中",COUNTIF($AF$6:$AF2294,"保留中"),"")</f>
        <v/>
      </c>
      <c r="AP2294" s="14">
        <f>IF($AQ2294="","",IF(SUMPRODUCT(MAX((職員マスタ!$A$6:$A$405=$B2294)*(((職員マスタ!$G$6:$G$405="")+(職員マスタ!$G$6:$G$405&lt;=EOMONTH($AQ2294,0)))&gt;0)*(((職員マスタ!$H$6:$H$405="")+(職員マスタ!$H$6:$H$405&gt;=$AQ2294))&gt;0)*(ROW(職員マスタ!$A$6:$A$405)-5)))&gt;0,SUMPRODUCT(MAX((職員マスタ!$A$6:$A$405=$B2294)*(((職員マスタ!$G$6:$G$405="")+(職員マスタ!$G$6:$G$405&lt;=EOMONTH($AQ2294,0)))&gt;0)*(((職員マスタ!$H$6:$H$405="")+(職員マスタ!$H$6:$H$405&gt;=$AQ2294))&gt;0)*(ROW(職員マスタ!$A$6:$A$405)-5))),IFERROR(MATCH($B2294,職員マスタ!$A$6:$A$405,0),"")))</f>
        <v/>
      </c>
      <c r="AQ2294" s="16">
        <f>IF(OR($B2294="",$C2294="",$D2294=""),"",DATE($C2294+2018,$D2294,1))</f>
        <v/>
      </c>
    </row>
    <row r="2295">
      <c r="A2295" s="11" t="n"/>
      <c r="B2295" s="12" t="n"/>
      <c r="C2295" s="12" t="n"/>
      <c r="D2295" s="12" t="n"/>
      <c r="E2295" s="13" t="n"/>
      <c r="F2295" s="12" t="n"/>
      <c r="G2295" s="13" t="n"/>
      <c r="H2295" s="12" t="n"/>
      <c r="I2295" s="12" t="n"/>
      <c r="J2295" s="12" t="n"/>
      <c r="K2295" s="12" t="n"/>
      <c r="L2295" s="11" t="n"/>
      <c r="M2295" s="11" t="n"/>
      <c r="N2295" s="11" t="n"/>
      <c r="O2295" s="11" t="n"/>
      <c r="P2295" s="12" t="n"/>
      <c r="Q2295" s="11" t="n"/>
      <c r="R2295" s="12" t="n"/>
      <c r="S2295" s="11" t="n"/>
      <c r="T2295" s="12" t="n"/>
      <c r="U2295" s="12" t="n"/>
      <c r="V2295" s="12" t="n"/>
      <c r="W2295" s="13" t="n"/>
      <c r="X2295" s="14">
        <f>IF($AP2295="",IF($B2295="","",$H2295),IF(INDEX(職員マスタ!$B$6:$B$405,$AP2295)="",$H2295,INDEX(職員マスタ!$B$6:$B$405,$AP2295)))</f>
        <v/>
      </c>
      <c r="Y2295" s="14">
        <f>IF($AP2295="",IF($B2295="","",$R2295),IF(INDEX(職員マスタ!$C$6:$C$405,$AP2295)="",$R2295,INDEX(職員マスタ!$C$6:$C$405,$AP2295)))</f>
        <v/>
      </c>
      <c r="Z2295" s="14">
        <f>IF($AQ2295="","","R"&amp;$C2295&amp;"."&amp;$D2295)</f>
        <v/>
      </c>
      <c r="AA2295" s="15">
        <f>IF(IF($AP2295="",FALSE,INDEX(職員マスタ!$K$6:$K$405,$AP2295)&lt;&gt;""),INDEX(職員マスタ!$K$6:$K$405,$AP2295),IF(N($W2295)&gt;0,$W2295,""))</f>
        <v/>
      </c>
      <c r="AB2295" s="14">
        <f>IF(OR($E2295="",$AA2295=""),"",IF($E2295&gt;=$AA2295,"×",IF($E2295&gt;=$AA2295*設定!$C$5,"△","○")))</f>
        <v/>
      </c>
      <c r="AC2295" s="15">
        <f>IF($AB2295="","",IF($AB2295="×",0,IF($AB2295="○",ROUNDDOWN($E2295*設定!$C$4,0),ROUNDDOWN($E2295*ROUND((9*$AA2295-9*$E2295)/(10*$E2295),4),0))))</f>
        <v/>
      </c>
      <c r="AD2295" s="13" t="n"/>
      <c r="AE2295" s="15">
        <f>IF($B2295="","",IF($AD2295&lt;&gt;"",$AD2295,IF($AC2295="","",IF($AC2295&lt;=設定!$C$3,0,$AC2295))))</f>
        <v/>
      </c>
      <c r="AF2295" s="14">
        <f>IF($B2295="","",IF(AND($AG2295&lt;&gt;"",$AI2295="",$AL2295=""),"保留中",IF($AL2295&lt;&gt;"",IF(N($AE2295)&gt;0,"支給済","不支給"),IF($AE2295="","要確認",IF($AE2295=0,"不支給","未処理")))))</f>
        <v/>
      </c>
      <c r="AG2295" s="12" t="n"/>
      <c r="AH2295" s="11" t="n"/>
      <c r="AI2295" s="11" t="n"/>
      <c r="AJ2295" s="11" t="n"/>
      <c r="AK2295" s="14">
        <f>IF(AND($AF2295="保留中",$AH2295&lt;&gt;""),TODAY()-$AH2295,"")</f>
        <v/>
      </c>
      <c r="AL2295" s="12" t="n"/>
      <c r="AM2295" s="14">
        <f>IF($B2295="","",IF($AQ2295="","対象年月が未入力／","")&amp;IF($B2295="","",IF($AP2295="","職員マスタに未登録の職員番号／",IF($AA2295="","標準報酬月額が未登録／","")&amp;IF(AND($AQ2295&lt;&gt;"",OR(AND(INDEX(職員マスタ!$G$6:$G$405,$AP2295)&lt;&gt;"",INDEX(職員マスタ!$G$6:$G$405,$AP2295)&gt;EOMONTH($AQ2295,0)),AND(INDEX(職員マスタ!$H$6:$H$405,$AP2295)&lt;&gt;"",INDEX(職員マスタ!$H$6:$H$405,$AP2295)&lt;$AQ2295))),"対象月が時短期間外／","")&amp;IF(AND(INDEX(職員マスタ!$K$6:$K$405,$AP2295)&lt;&gt;"",N($W2295)&gt;0,INDEX(職員マスタ!$K$6:$K$405,$AP2295)&lt;&gt;$W2295),"標準報酬月額が申請書と相違（台帳"&amp;TEXT(INDEX(職員マスタ!$K$6:$K$405,$AP2295),"#,##0")&amp;"円／申請書"&amp;TEXT($W2295,"#,##0")&amp;"円）／","")&amp;IF(AND(INDEX(職員マスタ!$F$6:$F$405,$AP2295)&lt;&gt;"",$AQ2295&lt;&gt;"",INDEX(職員マスタ!$F$6:$F$405,$AP2295)&lt;$AQ2295),"対象月に子が2歳到達済／","")&amp;IF(AND($H2295&lt;&gt;"",INDEX(職員マスタ!$B$6:$B$405,$AP2295)&lt;&gt;"",SUBSTITUTE(SUBSTITUTE($H2295," ","")," ","")&lt;&gt;SUBSTITUTE(SUBSTITUTE(INDEX(職員マスタ!$B$6:$B$405,$AP2295)," ","")," ","")),"氏名がマスタと相違／","")&amp;IF(AND($Q2295&lt;&gt;"",INDEX(職員マスタ!$E$6:$E$405,$AP2295)&lt;&gt;"",$Q2295&lt;&gt;INDEX(職員マスタ!$E$6:$E$405,$AP2295)),"子の生年月日がマスタと相違／","")&amp;IF(AND($L2295&lt;&gt;"",INDEX(職員マスタ!$G$6:$G$405,$AP2295)&lt;&gt;"",$L2295&lt;&gt;INDEX(職員マスタ!$G$6:$G$405,$AP2295)),"時短開始日がマスタと相違／","")&amp;IF(AND($M2295&lt;&gt;"",INDEX(職員マスタ!$H$6:$H$405,$AP2295)&lt;&gt;"",$M2295&lt;&gt;INDEX(職員マスタ!$H$6:$H$405,$AP2295)),"時短終了日がマスタと相違／","")))&amp;IF(AND($B2295&lt;&gt;"",$E2295=""),"報酬額が未入力／","")&amp;IF(N($U2295)&gt;0,"申請書に入力エラーが残っています／","")&amp;IF(AND($B2295&lt;&gt;"",$AQ2295&lt;&gt;""),IF(COUNTIFS($B$6:$B$3005,$B2295,$C$6:$C$3005,$C2295,$D$6:$D$3005,$D2295)&gt;1,"同じ月の請求が重複しています／",""),"")&amp;IF(AND(N($E2295)&gt;0,$AB2295&lt;&gt;"",$AB2295&lt;&gt;"×",$AE2295=0,$AD2295=""),"計算額が下限以下のため不支給／",""))</f>
        <v/>
      </c>
      <c r="AN2295" s="12" t="n"/>
      <c r="AO2295" s="14">
        <f>IF($AF2295="保留中",COUNTIF($AF$6:$AF2295,"保留中"),"")</f>
        <v/>
      </c>
      <c r="AP2295" s="14">
        <f>IF($AQ2295="","",IF(SUMPRODUCT(MAX((職員マスタ!$A$6:$A$405=$B2295)*(((職員マスタ!$G$6:$G$405="")+(職員マスタ!$G$6:$G$405&lt;=EOMONTH($AQ2295,0)))&gt;0)*(((職員マスタ!$H$6:$H$405="")+(職員マスタ!$H$6:$H$405&gt;=$AQ2295))&gt;0)*(ROW(職員マスタ!$A$6:$A$405)-5)))&gt;0,SUMPRODUCT(MAX((職員マスタ!$A$6:$A$405=$B2295)*(((職員マスタ!$G$6:$G$405="")+(職員マスタ!$G$6:$G$405&lt;=EOMONTH($AQ2295,0)))&gt;0)*(((職員マスタ!$H$6:$H$405="")+(職員マスタ!$H$6:$H$405&gt;=$AQ2295))&gt;0)*(ROW(職員マスタ!$A$6:$A$405)-5))),IFERROR(MATCH($B2295,職員マスタ!$A$6:$A$405,0),"")))</f>
        <v/>
      </c>
      <c r="AQ2295" s="16">
        <f>IF(OR($B2295="",$C2295="",$D2295=""),"",DATE($C2295+2018,$D2295,1))</f>
        <v/>
      </c>
    </row>
    <row r="2296">
      <c r="A2296" s="11" t="n"/>
      <c r="B2296" s="12" t="n"/>
      <c r="C2296" s="12" t="n"/>
      <c r="D2296" s="12" t="n"/>
      <c r="E2296" s="13" t="n"/>
      <c r="F2296" s="12" t="n"/>
      <c r="G2296" s="13" t="n"/>
      <c r="H2296" s="12" t="n"/>
      <c r="I2296" s="12" t="n"/>
      <c r="J2296" s="12" t="n"/>
      <c r="K2296" s="12" t="n"/>
      <c r="L2296" s="11" t="n"/>
      <c r="M2296" s="11" t="n"/>
      <c r="N2296" s="11" t="n"/>
      <c r="O2296" s="11" t="n"/>
      <c r="P2296" s="12" t="n"/>
      <c r="Q2296" s="11" t="n"/>
      <c r="R2296" s="12" t="n"/>
      <c r="S2296" s="11" t="n"/>
      <c r="T2296" s="12" t="n"/>
      <c r="U2296" s="12" t="n"/>
      <c r="V2296" s="12" t="n"/>
      <c r="W2296" s="13" t="n"/>
      <c r="X2296" s="14">
        <f>IF($AP2296="",IF($B2296="","",$H2296),IF(INDEX(職員マスタ!$B$6:$B$405,$AP2296)="",$H2296,INDEX(職員マスタ!$B$6:$B$405,$AP2296)))</f>
        <v/>
      </c>
      <c r="Y2296" s="14">
        <f>IF($AP2296="",IF($B2296="","",$R2296),IF(INDEX(職員マスタ!$C$6:$C$405,$AP2296)="",$R2296,INDEX(職員マスタ!$C$6:$C$405,$AP2296)))</f>
        <v/>
      </c>
      <c r="Z2296" s="14">
        <f>IF($AQ2296="","","R"&amp;$C2296&amp;"."&amp;$D2296)</f>
        <v/>
      </c>
      <c r="AA2296" s="15">
        <f>IF(IF($AP2296="",FALSE,INDEX(職員マスタ!$K$6:$K$405,$AP2296)&lt;&gt;""),INDEX(職員マスタ!$K$6:$K$405,$AP2296),IF(N($W2296)&gt;0,$W2296,""))</f>
        <v/>
      </c>
      <c r="AB2296" s="14">
        <f>IF(OR($E2296="",$AA2296=""),"",IF($E2296&gt;=$AA2296,"×",IF($E2296&gt;=$AA2296*設定!$C$5,"△","○")))</f>
        <v/>
      </c>
      <c r="AC2296" s="15">
        <f>IF($AB2296="","",IF($AB2296="×",0,IF($AB2296="○",ROUNDDOWN($E2296*設定!$C$4,0),ROUNDDOWN($E2296*ROUND((9*$AA2296-9*$E2296)/(10*$E2296),4),0))))</f>
        <v/>
      </c>
      <c r="AD2296" s="13" t="n"/>
      <c r="AE2296" s="15">
        <f>IF($B2296="","",IF($AD2296&lt;&gt;"",$AD2296,IF($AC2296="","",IF($AC2296&lt;=設定!$C$3,0,$AC2296))))</f>
        <v/>
      </c>
      <c r="AF2296" s="14">
        <f>IF($B2296="","",IF(AND($AG2296&lt;&gt;"",$AI2296="",$AL2296=""),"保留中",IF($AL2296&lt;&gt;"",IF(N($AE2296)&gt;0,"支給済","不支給"),IF($AE2296="","要確認",IF($AE2296=0,"不支給","未処理")))))</f>
        <v/>
      </c>
      <c r="AG2296" s="12" t="n"/>
      <c r="AH2296" s="11" t="n"/>
      <c r="AI2296" s="11" t="n"/>
      <c r="AJ2296" s="11" t="n"/>
      <c r="AK2296" s="14">
        <f>IF(AND($AF2296="保留中",$AH2296&lt;&gt;""),TODAY()-$AH2296,"")</f>
        <v/>
      </c>
      <c r="AL2296" s="12" t="n"/>
      <c r="AM2296" s="14">
        <f>IF($B2296="","",IF($AQ2296="","対象年月が未入力／","")&amp;IF($B2296="","",IF($AP2296="","職員マスタに未登録の職員番号／",IF($AA2296="","標準報酬月額が未登録／","")&amp;IF(AND($AQ2296&lt;&gt;"",OR(AND(INDEX(職員マスタ!$G$6:$G$405,$AP2296)&lt;&gt;"",INDEX(職員マスタ!$G$6:$G$405,$AP2296)&gt;EOMONTH($AQ2296,0)),AND(INDEX(職員マスタ!$H$6:$H$405,$AP2296)&lt;&gt;"",INDEX(職員マスタ!$H$6:$H$405,$AP2296)&lt;$AQ2296))),"対象月が時短期間外／","")&amp;IF(AND(INDEX(職員マスタ!$K$6:$K$405,$AP2296)&lt;&gt;"",N($W2296)&gt;0,INDEX(職員マスタ!$K$6:$K$405,$AP2296)&lt;&gt;$W2296),"標準報酬月額が申請書と相違（台帳"&amp;TEXT(INDEX(職員マスタ!$K$6:$K$405,$AP2296),"#,##0")&amp;"円／申請書"&amp;TEXT($W2296,"#,##0")&amp;"円）／","")&amp;IF(AND(INDEX(職員マスタ!$F$6:$F$405,$AP2296)&lt;&gt;"",$AQ2296&lt;&gt;"",INDEX(職員マスタ!$F$6:$F$405,$AP2296)&lt;$AQ2296),"対象月に子が2歳到達済／","")&amp;IF(AND($H2296&lt;&gt;"",INDEX(職員マスタ!$B$6:$B$405,$AP2296)&lt;&gt;"",SUBSTITUTE(SUBSTITUTE($H2296," ","")," ","")&lt;&gt;SUBSTITUTE(SUBSTITUTE(INDEX(職員マスタ!$B$6:$B$405,$AP2296)," ","")," ","")),"氏名がマスタと相違／","")&amp;IF(AND($Q2296&lt;&gt;"",INDEX(職員マスタ!$E$6:$E$405,$AP2296)&lt;&gt;"",$Q2296&lt;&gt;INDEX(職員マスタ!$E$6:$E$405,$AP2296)),"子の生年月日がマスタと相違／","")&amp;IF(AND($L2296&lt;&gt;"",INDEX(職員マスタ!$G$6:$G$405,$AP2296)&lt;&gt;"",$L2296&lt;&gt;INDEX(職員マスタ!$G$6:$G$405,$AP2296)),"時短開始日がマスタと相違／","")&amp;IF(AND($M2296&lt;&gt;"",INDEX(職員マスタ!$H$6:$H$405,$AP2296)&lt;&gt;"",$M2296&lt;&gt;INDEX(職員マスタ!$H$6:$H$405,$AP2296)),"時短終了日がマスタと相違／","")))&amp;IF(AND($B2296&lt;&gt;"",$E2296=""),"報酬額が未入力／","")&amp;IF(N($U2296)&gt;0,"申請書に入力エラーが残っています／","")&amp;IF(AND($B2296&lt;&gt;"",$AQ2296&lt;&gt;""),IF(COUNTIFS($B$6:$B$3005,$B2296,$C$6:$C$3005,$C2296,$D$6:$D$3005,$D2296)&gt;1,"同じ月の請求が重複しています／",""),"")&amp;IF(AND(N($E2296)&gt;0,$AB2296&lt;&gt;"",$AB2296&lt;&gt;"×",$AE2296=0,$AD2296=""),"計算額が下限以下のため不支給／",""))</f>
        <v/>
      </c>
      <c r="AN2296" s="12" t="n"/>
      <c r="AO2296" s="14">
        <f>IF($AF2296="保留中",COUNTIF($AF$6:$AF2296,"保留中"),"")</f>
        <v/>
      </c>
      <c r="AP2296" s="14">
        <f>IF($AQ2296="","",IF(SUMPRODUCT(MAX((職員マスタ!$A$6:$A$405=$B2296)*(((職員マスタ!$G$6:$G$405="")+(職員マスタ!$G$6:$G$405&lt;=EOMONTH($AQ2296,0)))&gt;0)*(((職員マスタ!$H$6:$H$405="")+(職員マスタ!$H$6:$H$405&gt;=$AQ2296))&gt;0)*(ROW(職員マスタ!$A$6:$A$405)-5)))&gt;0,SUMPRODUCT(MAX((職員マスタ!$A$6:$A$405=$B2296)*(((職員マスタ!$G$6:$G$405="")+(職員マスタ!$G$6:$G$405&lt;=EOMONTH($AQ2296,0)))&gt;0)*(((職員マスタ!$H$6:$H$405="")+(職員マスタ!$H$6:$H$405&gt;=$AQ2296))&gt;0)*(ROW(職員マスタ!$A$6:$A$405)-5))),IFERROR(MATCH($B2296,職員マスタ!$A$6:$A$405,0),"")))</f>
        <v/>
      </c>
      <c r="AQ2296" s="16">
        <f>IF(OR($B2296="",$C2296="",$D2296=""),"",DATE($C2296+2018,$D2296,1))</f>
        <v/>
      </c>
    </row>
    <row r="2297">
      <c r="A2297" s="11" t="n"/>
      <c r="B2297" s="12" t="n"/>
      <c r="C2297" s="12" t="n"/>
      <c r="D2297" s="12" t="n"/>
      <c r="E2297" s="13" t="n"/>
      <c r="F2297" s="12" t="n"/>
      <c r="G2297" s="13" t="n"/>
      <c r="H2297" s="12" t="n"/>
      <c r="I2297" s="12" t="n"/>
      <c r="J2297" s="12" t="n"/>
      <c r="K2297" s="12" t="n"/>
      <c r="L2297" s="11" t="n"/>
      <c r="M2297" s="11" t="n"/>
      <c r="N2297" s="11" t="n"/>
      <c r="O2297" s="11" t="n"/>
      <c r="P2297" s="12" t="n"/>
      <c r="Q2297" s="11" t="n"/>
      <c r="R2297" s="12" t="n"/>
      <c r="S2297" s="11" t="n"/>
      <c r="T2297" s="12" t="n"/>
      <c r="U2297" s="12" t="n"/>
      <c r="V2297" s="12" t="n"/>
      <c r="W2297" s="13" t="n"/>
      <c r="X2297" s="14">
        <f>IF($AP2297="",IF($B2297="","",$H2297),IF(INDEX(職員マスタ!$B$6:$B$405,$AP2297)="",$H2297,INDEX(職員マスタ!$B$6:$B$405,$AP2297)))</f>
        <v/>
      </c>
      <c r="Y2297" s="14">
        <f>IF($AP2297="",IF($B2297="","",$R2297),IF(INDEX(職員マスタ!$C$6:$C$405,$AP2297)="",$R2297,INDEX(職員マスタ!$C$6:$C$405,$AP2297)))</f>
        <v/>
      </c>
      <c r="Z2297" s="14">
        <f>IF($AQ2297="","","R"&amp;$C2297&amp;"."&amp;$D2297)</f>
        <v/>
      </c>
      <c r="AA2297" s="15">
        <f>IF(IF($AP2297="",FALSE,INDEX(職員マスタ!$K$6:$K$405,$AP2297)&lt;&gt;""),INDEX(職員マスタ!$K$6:$K$405,$AP2297),IF(N($W2297)&gt;0,$W2297,""))</f>
        <v/>
      </c>
      <c r="AB2297" s="14">
        <f>IF(OR($E2297="",$AA2297=""),"",IF($E2297&gt;=$AA2297,"×",IF($E2297&gt;=$AA2297*設定!$C$5,"△","○")))</f>
        <v/>
      </c>
      <c r="AC2297" s="15">
        <f>IF($AB2297="","",IF($AB2297="×",0,IF($AB2297="○",ROUNDDOWN($E2297*設定!$C$4,0),ROUNDDOWN($E2297*ROUND((9*$AA2297-9*$E2297)/(10*$E2297),4),0))))</f>
        <v/>
      </c>
      <c r="AD2297" s="13" t="n"/>
      <c r="AE2297" s="15">
        <f>IF($B2297="","",IF($AD2297&lt;&gt;"",$AD2297,IF($AC2297="","",IF($AC2297&lt;=設定!$C$3,0,$AC2297))))</f>
        <v/>
      </c>
      <c r="AF2297" s="14">
        <f>IF($B2297="","",IF(AND($AG2297&lt;&gt;"",$AI2297="",$AL2297=""),"保留中",IF($AL2297&lt;&gt;"",IF(N($AE2297)&gt;0,"支給済","不支給"),IF($AE2297="","要確認",IF($AE2297=0,"不支給","未処理")))))</f>
        <v/>
      </c>
      <c r="AG2297" s="12" t="n"/>
      <c r="AH2297" s="11" t="n"/>
      <c r="AI2297" s="11" t="n"/>
      <c r="AJ2297" s="11" t="n"/>
      <c r="AK2297" s="14">
        <f>IF(AND($AF2297="保留中",$AH2297&lt;&gt;""),TODAY()-$AH2297,"")</f>
        <v/>
      </c>
      <c r="AL2297" s="12" t="n"/>
      <c r="AM2297" s="14">
        <f>IF($B2297="","",IF($AQ2297="","対象年月が未入力／","")&amp;IF($B2297="","",IF($AP2297="","職員マスタに未登録の職員番号／",IF($AA2297="","標準報酬月額が未登録／","")&amp;IF(AND($AQ2297&lt;&gt;"",OR(AND(INDEX(職員マスタ!$G$6:$G$405,$AP2297)&lt;&gt;"",INDEX(職員マスタ!$G$6:$G$405,$AP2297)&gt;EOMONTH($AQ2297,0)),AND(INDEX(職員マスタ!$H$6:$H$405,$AP2297)&lt;&gt;"",INDEX(職員マスタ!$H$6:$H$405,$AP2297)&lt;$AQ2297))),"対象月が時短期間外／","")&amp;IF(AND(INDEX(職員マスタ!$K$6:$K$405,$AP2297)&lt;&gt;"",N($W2297)&gt;0,INDEX(職員マスタ!$K$6:$K$405,$AP2297)&lt;&gt;$W2297),"標準報酬月額が申請書と相違（台帳"&amp;TEXT(INDEX(職員マスタ!$K$6:$K$405,$AP2297),"#,##0")&amp;"円／申請書"&amp;TEXT($W2297,"#,##0")&amp;"円）／","")&amp;IF(AND(INDEX(職員マスタ!$F$6:$F$405,$AP2297)&lt;&gt;"",$AQ2297&lt;&gt;"",INDEX(職員マスタ!$F$6:$F$405,$AP2297)&lt;$AQ2297),"対象月に子が2歳到達済／","")&amp;IF(AND($H2297&lt;&gt;"",INDEX(職員マスタ!$B$6:$B$405,$AP2297)&lt;&gt;"",SUBSTITUTE(SUBSTITUTE($H2297," ","")," ","")&lt;&gt;SUBSTITUTE(SUBSTITUTE(INDEX(職員マスタ!$B$6:$B$405,$AP2297)," ","")," ","")),"氏名がマスタと相違／","")&amp;IF(AND($Q2297&lt;&gt;"",INDEX(職員マスタ!$E$6:$E$405,$AP2297)&lt;&gt;"",$Q2297&lt;&gt;INDEX(職員マスタ!$E$6:$E$405,$AP2297)),"子の生年月日がマスタと相違／","")&amp;IF(AND($L2297&lt;&gt;"",INDEX(職員マスタ!$G$6:$G$405,$AP2297)&lt;&gt;"",$L2297&lt;&gt;INDEX(職員マスタ!$G$6:$G$405,$AP2297)),"時短開始日がマスタと相違／","")&amp;IF(AND($M2297&lt;&gt;"",INDEX(職員マスタ!$H$6:$H$405,$AP2297)&lt;&gt;"",$M2297&lt;&gt;INDEX(職員マスタ!$H$6:$H$405,$AP2297)),"時短終了日がマスタと相違／","")))&amp;IF(AND($B2297&lt;&gt;"",$E2297=""),"報酬額が未入力／","")&amp;IF(N($U2297)&gt;0,"申請書に入力エラーが残っています／","")&amp;IF(AND($B2297&lt;&gt;"",$AQ2297&lt;&gt;""),IF(COUNTIFS($B$6:$B$3005,$B2297,$C$6:$C$3005,$C2297,$D$6:$D$3005,$D2297)&gt;1,"同じ月の請求が重複しています／",""),"")&amp;IF(AND(N($E2297)&gt;0,$AB2297&lt;&gt;"",$AB2297&lt;&gt;"×",$AE2297=0,$AD2297=""),"計算額が下限以下のため不支給／",""))</f>
        <v/>
      </c>
      <c r="AN2297" s="12" t="n"/>
      <c r="AO2297" s="14">
        <f>IF($AF2297="保留中",COUNTIF($AF$6:$AF2297,"保留中"),"")</f>
        <v/>
      </c>
      <c r="AP2297" s="14">
        <f>IF($AQ2297="","",IF(SUMPRODUCT(MAX((職員マスタ!$A$6:$A$405=$B2297)*(((職員マスタ!$G$6:$G$405="")+(職員マスタ!$G$6:$G$405&lt;=EOMONTH($AQ2297,0)))&gt;0)*(((職員マスタ!$H$6:$H$405="")+(職員マスタ!$H$6:$H$405&gt;=$AQ2297))&gt;0)*(ROW(職員マスタ!$A$6:$A$405)-5)))&gt;0,SUMPRODUCT(MAX((職員マスタ!$A$6:$A$405=$B2297)*(((職員マスタ!$G$6:$G$405="")+(職員マスタ!$G$6:$G$405&lt;=EOMONTH($AQ2297,0)))&gt;0)*(((職員マスタ!$H$6:$H$405="")+(職員マスタ!$H$6:$H$405&gt;=$AQ2297))&gt;0)*(ROW(職員マスタ!$A$6:$A$405)-5))),IFERROR(MATCH($B2297,職員マスタ!$A$6:$A$405,0),"")))</f>
        <v/>
      </c>
      <c r="AQ2297" s="16">
        <f>IF(OR($B2297="",$C2297="",$D2297=""),"",DATE($C2297+2018,$D2297,1))</f>
        <v/>
      </c>
    </row>
    <row r="2298">
      <c r="A2298" s="11" t="n"/>
      <c r="B2298" s="12" t="n"/>
      <c r="C2298" s="12" t="n"/>
      <c r="D2298" s="12" t="n"/>
      <c r="E2298" s="13" t="n"/>
      <c r="F2298" s="12" t="n"/>
      <c r="G2298" s="13" t="n"/>
      <c r="H2298" s="12" t="n"/>
      <c r="I2298" s="12" t="n"/>
      <c r="J2298" s="12" t="n"/>
      <c r="K2298" s="12" t="n"/>
      <c r="L2298" s="11" t="n"/>
      <c r="M2298" s="11" t="n"/>
      <c r="N2298" s="11" t="n"/>
      <c r="O2298" s="11" t="n"/>
      <c r="P2298" s="12" t="n"/>
      <c r="Q2298" s="11" t="n"/>
      <c r="R2298" s="12" t="n"/>
      <c r="S2298" s="11" t="n"/>
      <c r="T2298" s="12" t="n"/>
      <c r="U2298" s="12" t="n"/>
      <c r="V2298" s="12" t="n"/>
      <c r="W2298" s="13" t="n"/>
      <c r="X2298" s="14">
        <f>IF($AP2298="",IF($B2298="","",$H2298),IF(INDEX(職員マスタ!$B$6:$B$405,$AP2298)="",$H2298,INDEX(職員マスタ!$B$6:$B$405,$AP2298)))</f>
        <v/>
      </c>
      <c r="Y2298" s="14">
        <f>IF($AP2298="",IF($B2298="","",$R2298),IF(INDEX(職員マスタ!$C$6:$C$405,$AP2298)="",$R2298,INDEX(職員マスタ!$C$6:$C$405,$AP2298)))</f>
        <v/>
      </c>
      <c r="Z2298" s="14">
        <f>IF($AQ2298="","","R"&amp;$C2298&amp;"."&amp;$D2298)</f>
        <v/>
      </c>
      <c r="AA2298" s="15">
        <f>IF(IF($AP2298="",FALSE,INDEX(職員マスタ!$K$6:$K$405,$AP2298)&lt;&gt;""),INDEX(職員マスタ!$K$6:$K$405,$AP2298),IF(N($W2298)&gt;0,$W2298,""))</f>
        <v/>
      </c>
      <c r="AB2298" s="14">
        <f>IF(OR($E2298="",$AA2298=""),"",IF($E2298&gt;=$AA2298,"×",IF($E2298&gt;=$AA2298*設定!$C$5,"△","○")))</f>
        <v/>
      </c>
      <c r="AC2298" s="15">
        <f>IF($AB2298="","",IF($AB2298="×",0,IF($AB2298="○",ROUNDDOWN($E2298*設定!$C$4,0),ROUNDDOWN($E2298*ROUND((9*$AA2298-9*$E2298)/(10*$E2298),4),0))))</f>
        <v/>
      </c>
      <c r="AD2298" s="13" t="n"/>
      <c r="AE2298" s="15">
        <f>IF($B2298="","",IF($AD2298&lt;&gt;"",$AD2298,IF($AC2298="","",IF($AC2298&lt;=設定!$C$3,0,$AC2298))))</f>
        <v/>
      </c>
      <c r="AF2298" s="14">
        <f>IF($B2298="","",IF(AND($AG2298&lt;&gt;"",$AI2298="",$AL2298=""),"保留中",IF($AL2298&lt;&gt;"",IF(N($AE2298)&gt;0,"支給済","不支給"),IF($AE2298="","要確認",IF($AE2298=0,"不支給","未処理")))))</f>
        <v/>
      </c>
      <c r="AG2298" s="12" t="n"/>
      <c r="AH2298" s="11" t="n"/>
      <c r="AI2298" s="11" t="n"/>
      <c r="AJ2298" s="11" t="n"/>
      <c r="AK2298" s="14">
        <f>IF(AND($AF2298="保留中",$AH2298&lt;&gt;""),TODAY()-$AH2298,"")</f>
        <v/>
      </c>
      <c r="AL2298" s="12" t="n"/>
      <c r="AM2298" s="14">
        <f>IF($B2298="","",IF($AQ2298="","対象年月が未入力／","")&amp;IF($B2298="","",IF($AP2298="","職員マスタに未登録の職員番号／",IF($AA2298="","標準報酬月額が未登録／","")&amp;IF(AND($AQ2298&lt;&gt;"",OR(AND(INDEX(職員マスタ!$G$6:$G$405,$AP2298)&lt;&gt;"",INDEX(職員マスタ!$G$6:$G$405,$AP2298)&gt;EOMONTH($AQ2298,0)),AND(INDEX(職員マスタ!$H$6:$H$405,$AP2298)&lt;&gt;"",INDEX(職員マスタ!$H$6:$H$405,$AP2298)&lt;$AQ2298))),"対象月が時短期間外／","")&amp;IF(AND(INDEX(職員マスタ!$K$6:$K$405,$AP2298)&lt;&gt;"",N($W2298)&gt;0,INDEX(職員マスタ!$K$6:$K$405,$AP2298)&lt;&gt;$W2298),"標準報酬月額が申請書と相違（台帳"&amp;TEXT(INDEX(職員マスタ!$K$6:$K$405,$AP2298),"#,##0")&amp;"円／申請書"&amp;TEXT($W2298,"#,##0")&amp;"円）／","")&amp;IF(AND(INDEX(職員マスタ!$F$6:$F$405,$AP2298)&lt;&gt;"",$AQ2298&lt;&gt;"",INDEX(職員マスタ!$F$6:$F$405,$AP2298)&lt;$AQ2298),"対象月に子が2歳到達済／","")&amp;IF(AND($H2298&lt;&gt;"",INDEX(職員マスタ!$B$6:$B$405,$AP2298)&lt;&gt;"",SUBSTITUTE(SUBSTITUTE($H2298," ","")," ","")&lt;&gt;SUBSTITUTE(SUBSTITUTE(INDEX(職員マスタ!$B$6:$B$405,$AP2298)," ","")," ","")),"氏名がマスタと相違／","")&amp;IF(AND($Q2298&lt;&gt;"",INDEX(職員マスタ!$E$6:$E$405,$AP2298)&lt;&gt;"",$Q2298&lt;&gt;INDEX(職員マスタ!$E$6:$E$405,$AP2298)),"子の生年月日がマスタと相違／","")&amp;IF(AND($L2298&lt;&gt;"",INDEX(職員マスタ!$G$6:$G$405,$AP2298)&lt;&gt;"",$L2298&lt;&gt;INDEX(職員マスタ!$G$6:$G$405,$AP2298)),"時短開始日がマスタと相違／","")&amp;IF(AND($M2298&lt;&gt;"",INDEX(職員マスタ!$H$6:$H$405,$AP2298)&lt;&gt;"",$M2298&lt;&gt;INDEX(職員マスタ!$H$6:$H$405,$AP2298)),"時短終了日がマスタと相違／","")))&amp;IF(AND($B2298&lt;&gt;"",$E2298=""),"報酬額が未入力／","")&amp;IF(N($U2298)&gt;0,"申請書に入力エラーが残っています／","")&amp;IF(AND($B2298&lt;&gt;"",$AQ2298&lt;&gt;""),IF(COUNTIFS($B$6:$B$3005,$B2298,$C$6:$C$3005,$C2298,$D$6:$D$3005,$D2298)&gt;1,"同じ月の請求が重複しています／",""),"")&amp;IF(AND(N($E2298)&gt;0,$AB2298&lt;&gt;"",$AB2298&lt;&gt;"×",$AE2298=0,$AD2298=""),"計算額が下限以下のため不支給／",""))</f>
        <v/>
      </c>
      <c r="AN2298" s="12" t="n"/>
      <c r="AO2298" s="14">
        <f>IF($AF2298="保留中",COUNTIF($AF$6:$AF2298,"保留中"),"")</f>
        <v/>
      </c>
      <c r="AP2298" s="14">
        <f>IF($AQ2298="","",IF(SUMPRODUCT(MAX((職員マスタ!$A$6:$A$405=$B2298)*(((職員マスタ!$G$6:$G$405="")+(職員マスタ!$G$6:$G$405&lt;=EOMONTH($AQ2298,0)))&gt;0)*(((職員マスタ!$H$6:$H$405="")+(職員マスタ!$H$6:$H$405&gt;=$AQ2298))&gt;0)*(ROW(職員マスタ!$A$6:$A$405)-5)))&gt;0,SUMPRODUCT(MAX((職員マスタ!$A$6:$A$405=$B2298)*(((職員マスタ!$G$6:$G$405="")+(職員マスタ!$G$6:$G$405&lt;=EOMONTH($AQ2298,0)))&gt;0)*(((職員マスタ!$H$6:$H$405="")+(職員マスタ!$H$6:$H$405&gt;=$AQ2298))&gt;0)*(ROW(職員マスタ!$A$6:$A$405)-5))),IFERROR(MATCH($B2298,職員マスタ!$A$6:$A$405,0),"")))</f>
        <v/>
      </c>
      <c r="AQ2298" s="16">
        <f>IF(OR($B2298="",$C2298="",$D2298=""),"",DATE($C2298+2018,$D2298,1))</f>
        <v/>
      </c>
    </row>
    <row r="2299">
      <c r="A2299" s="11" t="n"/>
      <c r="B2299" s="12" t="n"/>
      <c r="C2299" s="12" t="n"/>
      <c r="D2299" s="12" t="n"/>
      <c r="E2299" s="13" t="n"/>
      <c r="F2299" s="12" t="n"/>
      <c r="G2299" s="13" t="n"/>
      <c r="H2299" s="12" t="n"/>
      <c r="I2299" s="12" t="n"/>
      <c r="J2299" s="12" t="n"/>
      <c r="K2299" s="12" t="n"/>
      <c r="L2299" s="11" t="n"/>
      <c r="M2299" s="11" t="n"/>
      <c r="N2299" s="11" t="n"/>
      <c r="O2299" s="11" t="n"/>
      <c r="P2299" s="12" t="n"/>
      <c r="Q2299" s="11" t="n"/>
      <c r="R2299" s="12" t="n"/>
      <c r="S2299" s="11" t="n"/>
      <c r="T2299" s="12" t="n"/>
      <c r="U2299" s="12" t="n"/>
      <c r="V2299" s="12" t="n"/>
      <c r="W2299" s="13" t="n"/>
      <c r="X2299" s="14">
        <f>IF($AP2299="",IF($B2299="","",$H2299),IF(INDEX(職員マスタ!$B$6:$B$405,$AP2299)="",$H2299,INDEX(職員マスタ!$B$6:$B$405,$AP2299)))</f>
        <v/>
      </c>
      <c r="Y2299" s="14">
        <f>IF($AP2299="",IF($B2299="","",$R2299),IF(INDEX(職員マスタ!$C$6:$C$405,$AP2299)="",$R2299,INDEX(職員マスタ!$C$6:$C$405,$AP2299)))</f>
        <v/>
      </c>
      <c r="Z2299" s="14">
        <f>IF($AQ2299="","","R"&amp;$C2299&amp;"."&amp;$D2299)</f>
        <v/>
      </c>
      <c r="AA2299" s="15">
        <f>IF(IF($AP2299="",FALSE,INDEX(職員マスタ!$K$6:$K$405,$AP2299)&lt;&gt;""),INDEX(職員マスタ!$K$6:$K$405,$AP2299),IF(N($W2299)&gt;0,$W2299,""))</f>
        <v/>
      </c>
      <c r="AB2299" s="14">
        <f>IF(OR($E2299="",$AA2299=""),"",IF($E2299&gt;=$AA2299,"×",IF($E2299&gt;=$AA2299*設定!$C$5,"△","○")))</f>
        <v/>
      </c>
      <c r="AC2299" s="15">
        <f>IF($AB2299="","",IF($AB2299="×",0,IF($AB2299="○",ROUNDDOWN($E2299*設定!$C$4,0),ROUNDDOWN($E2299*ROUND((9*$AA2299-9*$E2299)/(10*$E2299),4),0))))</f>
        <v/>
      </c>
      <c r="AD2299" s="13" t="n"/>
      <c r="AE2299" s="15">
        <f>IF($B2299="","",IF($AD2299&lt;&gt;"",$AD2299,IF($AC2299="","",IF($AC2299&lt;=設定!$C$3,0,$AC2299))))</f>
        <v/>
      </c>
      <c r="AF2299" s="14">
        <f>IF($B2299="","",IF(AND($AG2299&lt;&gt;"",$AI2299="",$AL2299=""),"保留中",IF($AL2299&lt;&gt;"",IF(N($AE2299)&gt;0,"支給済","不支給"),IF($AE2299="","要確認",IF($AE2299=0,"不支給","未処理")))))</f>
        <v/>
      </c>
      <c r="AG2299" s="12" t="n"/>
      <c r="AH2299" s="11" t="n"/>
      <c r="AI2299" s="11" t="n"/>
      <c r="AJ2299" s="11" t="n"/>
      <c r="AK2299" s="14">
        <f>IF(AND($AF2299="保留中",$AH2299&lt;&gt;""),TODAY()-$AH2299,"")</f>
        <v/>
      </c>
      <c r="AL2299" s="12" t="n"/>
      <c r="AM2299" s="14">
        <f>IF($B2299="","",IF($AQ2299="","対象年月が未入力／","")&amp;IF($B2299="","",IF($AP2299="","職員マスタに未登録の職員番号／",IF($AA2299="","標準報酬月額が未登録／","")&amp;IF(AND($AQ2299&lt;&gt;"",OR(AND(INDEX(職員マスタ!$G$6:$G$405,$AP2299)&lt;&gt;"",INDEX(職員マスタ!$G$6:$G$405,$AP2299)&gt;EOMONTH($AQ2299,0)),AND(INDEX(職員マスタ!$H$6:$H$405,$AP2299)&lt;&gt;"",INDEX(職員マスタ!$H$6:$H$405,$AP2299)&lt;$AQ2299))),"対象月が時短期間外／","")&amp;IF(AND(INDEX(職員マスタ!$K$6:$K$405,$AP2299)&lt;&gt;"",N($W2299)&gt;0,INDEX(職員マスタ!$K$6:$K$405,$AP2299)&lt;&gt;$W2299),"標準報酬月額が申請書と相違（台帳"&amp;TEXT(INDEX(職員マスタ!$K$6:$K$405,$AP2299),"#,##0")&amp;"円／申請書"&amp;TEXT($W2299,"#,##0")&amp;"円）／","")&amp;IF(AND(INDEX(職員マスタ!$F$6:$F$405,$AP2299)&lt;&gt;"",$AQ2299&lt;&gt;"",INDEX(職員マスタ!$F$6:$F$405,$AP2299)&lt;$AQ2299),"対象月に子が2歳到達済／","")&amp;IF(AND($H2299&lt;&gt;"",INDEX(職員マスタ!$B$6:$B$405,$AP2299)&lt;&gt;"",SUBSTITUTE(SUBSTITUTE($H2299," ","")," ","")&lt;&gt;SUBSTITUTE(SUBSTITUTE(INDEX(職員マスタ!$B$6:$B$405,$AP2299)," ","")," ","")),"氏名がマスタと相違／","")&amp;IF(AND($Q2299&lt;&gt;"",INDEX(職員マスタ!$E$6:$E$405,$AP2299)&lt;&gt;"",$Q2299&lt;&gt;INDEX(職員マスタ!$E$6:$E$405,$AP2299)),"子の生年月日がマスタと相違／","")&amp;IF(AND($L2299&lt;&gt;"",INDEX(職員マスタ!$G$6:$G$405,$AP2299)&lt;&gt;"",$L2299&lt;&gt;INDEX(職員マスタ!$G$6:$G$405,$AP2299)),"時短開始日がマスタと相違／","")&amp;IF(AND($M2299&lt;&gt;"",INDEX(職員マスタ!$H$6:$H$405,$AP2299)&lt;&gt;"",$M2299&lt;&gt;INDEX(職員マスタ!$H$6:$H$405,$AP2299)),"時短終了日がマスタと相違／","")))&amp;IF(AND($B2299&lt;&gt;"",$E2299=""),"報酬額が未入力／","")&amp;IF(N($U2299)&gt;0,"申請書に入力エラーが残っています／","")&amp;IF(AND($B2299&lt;&gt;"",$AQ2299&lt;&gt;""),IF(COUNTIFS($B$6:$B$3005,$B2299,$C$6:$C$3005,$C2299,$D$6:$D$3005,$D2299)&gt;1,"同じ月の請求が重複しています／",""),"")&amp;IF(AND(N($E2299)&gt;0,$AB2299&lt;&gt;"",$AB2299&lt;&gt;"×",$AE2299=0,$AD2299=""),"計算額が下限以下のため不支給／",""))</f>
        <v/>
      </c>
      <c r="AN2299" s="12" t="n"/>
      <c r="AO2299" s="14">
        <f>IF($AF2299="保留中",COUNTIF($AF$6:$AF2299,"保留中"),"")</f>
        <v/>
      </c>
      <c r="AP2299" s="14">
        <f>IF($AQ2299="","",IF(SUMPRODUCT(MAX((職員マスタ!$A$6:$A$405=$B2299)*(((職員マスタ!$G$6:$G$405="")+(職員マスタ!$G$6:$G$405&lt;=EOMONTH($AQ2299,0)))&gt;0)*(((職員マスタ!$H$6:$H$405="")+(職員マスタ!$H$6:$H$405&gt;=$AQ2299))&gt;0)*(ROW(職員マスタ!$A$6:$A$405)-5)))&gt;0,SUMPRODUCT(MAX((職員マスタ!$A$6:$A$405=$B2299)*(((職員マスタ!$G$6:$G$405="")+(職員マスタ!$G$6:$G$405&lt;=EOMONTH($AQ2299,0)))&gt;0)*(((職員マスタ!$H$6:$H$405="")+(職員マスタ!$H$6:$H$405&gt;=$AQ2299))&gt;0)*(ROW(職員マスタ!$A$6:$A$405)-5))),IFERROR(MATCH($B2299,職員マスタ!$A$6:$A$405,0),"")))</f>
        <v/>
      </c>
      <c r="AQ2299" s="16">
        <f>IF(OR($B2299="",$C2299="",$D2299=""),"",DATE($C2299+2018,$D2299,1))</f>
        <v/>
      </c>
    </row>
    <row r="2300">
      <c r="A2300" s="11" t="n"/>
      <c r="B2300" s="12" t="n"/>
      <c r="C2300" s="12" t="n"/>
      <c r="D2300" s="12" t="n"/>
      <c r="E2300" s="13" t="n"/>
      <c r="F2300" s="12" t="n"/>
      <c r="G2300" s="13" t="n"/>
      <c r="H2300" s="12" t="n"/>
      <c r="I2300" s="12" t="n"/>
      <c r="J2300" s="12" t="n"/>
      <c r="K2300" s="12" t="n"/>
      <c r="L2300" s="11" t="n"/>
      <c r="M2300" s="11" t="n"/>
      <c r="N2300" s="11" t="n"/>
      <c r="O2300" s="11" t="n"/>
      <c r="P2300" s="12" t="n"/>
      <c r="Q2300" s="11" t="n"/>
      <c r="R2300" s="12" t="n"/>
      <c r="S2300" s="11" t="n"/>
      <c r="T2300" s="12" t="n"/>
      <c r="U2300" s="12" t="n"/>
      <c r="V2300" s="12" t="n"/>
      <c r="W2300" s="13" t="n"/>
      <c r="X2300" s="14">
        <f>IF($AP2300="",IF($B2300="","",$H2300),IF(INDEX(職員マスタ!$B$6:$B$405,$AP2300)="",$H2300,INDEX(職員マスタ!$B$6:$B$405,$AP2300)))</f>
        <v/>
      </c>
      <c r="Y2300" s="14">
        <f>IF($AP2300="",IF($B2300="","",$R2300),IF(INDEX(職員マスタ!$C$6:$C$405,$AP2300)="",$R2300,INDEX(職員マスタ!$C$6:$C$405,$AP2300)))</f>
        <v/>
      </c>
      <c r="Z2300" s="14">
        <f>IF($AQ2300="","","R"&amp;$C2300&amp;"."&amp;$D2300)</f>
        <v/>
      </c>
      <c r="AA2300" s="15">
        <f>IF(IF($AP2300="",FALSE,INDEX(職員マスタ!$K$6:$K$405,$AP2300)&lt;&gt;""),INDEX(職員マスタ!$K$6:$K$405,$AP2300),IF(N($W2300)&gt;0,$W2300,""))</f>
        <v/>
      </c>
      <c r="AB2300" s="14">
        <f>IF(OR($E2300="",$AA2300=""),"",IF($E2300&gt;=$AA2300,"×",IF($E2300&gt;=$AA2300*設定!$C$5,"△","○")))</f>
        <v/>
      </c>
      <c r="AC2300" s="15">
        <f>IF($AB2300="","",IF($AB2300="×",0,IF($AB2300="○",ROUNDDOWN($E2300*設定!$C$4,0),ROUNDDOWN($E2300*ROUND((9*$AA2300-9*$E2300)/(10*$E2300),4),0))))</f>
        <v/>
      </c>
      <c r="AD2300" s="13" t="n"/>
      <c r="AE2300" s="15">
        <f>IF($B2300="","",IF($AD2300&lt;&gt;"",$AD2300,IF($AC2300="","",IF($AC2300&lt;=設定!$C$3,0,$AC2300))))</f>
        <v/>
      </c>
      <c r="AF2300" s="14">
        <f>IF($B2300="","",IF(AND($AG2300&lt;&gt;"",$AI2300="",$AL2300=""),"保留中",IF($AL2300&lt;&gt;"",IF(N($AE2300)&gt;0,"支給済","不支給"),IF($AE2300="","要確認",IF($AE2300=0,"不支給","未処理")))))</f>
        <v/>
      </c>
      <c r="AG2300" s="12" t="n"/>
      <c r="AH2300" s="11" t="n"/>
      <c r="AI2300" s="11" t="n"/>
      <c r="AJ2300" s="11" t="n"/>
      <c r="AK2300" s="14">
        <f>IF(AND($AF2300="保留中",$AH2300&lt;&gt;""),TODAY()-$AH2300,"")</f>
        <v/>
      </c>
      <c r="AL2300" s="12" t="n"/>
      <c r="AM2300" s="14">
        <f>IF($B2300="","",IF($AQ2300="","対象年月が未入力／","")&amp;IF($B2300="","",IF($AP2300="","職員マスタに未登録の職員番号／",IF($AA2300="","標準報酬月額が未登録／","")&amp;IF(AND($AQ2300&lt;&gt;"",OR(AND(INDEX(職員マスタ!$G$6:$G$405,$AP2300)&lt;&gt;"",INDEX(職員マスタ!$G$6:$G$405,$AP2300)&gt;EOMONTH($AQ2300,0)),AND(INDEX(職員マスタ!$H$6:$H$405,$AP2300)&lt;&gt;"",INDEX(職員マスタ!$H$6:$H$405,$AP2300)&lt;$AQ2300))),"対象月が時短期間外／","")&amp;IF(AND(INDEX(職員マスタ!$K$6:$K$405,$AP2300)&lt;&gt;"",N($W2300)&gt;0,INDEX(職員マスタ!$K$6:$K$405,$AP2300)&lt;&gt;$W2300),"標準報酬月額が申請書と相違（台帳"&amp;TEXT(INDEX(職員マスタ!$K$6:$K$405,$AP2300),"#,##0")&amp;"円／申請書"&amp;TEXT($W2300,"#,##0")&amp;"円）／","")&amp;IF(AND(INDEX(職員マスタ!$F$6:$F$405,$AP2300)&lt;&gt;"",$AQ2300&lt;&gt;"",INDEX(職員マスタ!$F$6:$F$405,$AP2300)&lt;$AQ2300),"対象月に子が2歳到達済／","")&amp;IF(AND($H2300&lt;&gt;"",INDEX(職員マスタ!$B$6:$B$405,$AP2300)&lt;&gt;"",SUBSTITUTE(SUBSTITUTE($H2300," ","")," ","")&lt;&gt;SUBSTITUTE(SUBSTITUTE(INDEX(職員マスタ!$B$6:$B$405,$AP2300)," ","")," ","")),"氏名がマスタと相違／","")&amp;IF(AND($Q2300&lt;&gt;"",INDEX(職員マスタ!$E$6:$E$405,$AP2300)&lt;&gt;"",$Q2300&lt;&gt;INDEX(職員マスタ!$E$6:$E$405,$AP2300)),"子の生年月日がマスタと相違／","")&amp;IF(AND($L2300&lt;&gt;"",INDEX(職員マスタ!$G$6:$G$405,$AP2300)&lt;&gt;"",$L2300&lt;&gt;INDEX(職員マスタ!$G$6:$G$405,$AP2300)),"時短開始日がマスタと相違／","")&amp;IF(AND($M2300&lt;&gt;"",INDEX(職員マスタ!$H$6:$H$405,$AP2300)&lt;&gt;"",$M2300&lt;&gt;INDEX(職員マスタ!$H$6:$H$405,$AP2300)),"時短終了日がマスタと相違／","")))&amp;IF(AND($B2300&lt;&gt;"",$E2300=""),"報酬額が未入力／","")&amp;IF(N($U2300)&gt;0,"申請書に入力エラーが残っています／","")&amp;IF(AND($B2300&lt;&gt;"",$AQ2300&lt;&gt;""),IF(COUNTIFS($B$6:$B$3005,$B2300,$C$6:$C$3005,$C2300,$D$6:$D$3005,$D2300)&gt;1,"同じ月の請求が重複しています／",""),"")&amp;IF(AND(N($E2300)&gt;0,$AB2300&lt;&gt;"",$AB2300&lt;&gt;"×",$AE2300=0,$AD2300=""),"計算額が下限以下のため不支給／",""))</f>
        <v/>
      </c>
      <c r="AN2300" s="12" t="n"/>
      <c r="AO2300" s="14">
        <f>IF($AF2300="保留中",COUNTIF($AF$6:$AF2300,"保留中"),"")</f>
        <v/>
      </c>
      <c r="AP2300" s="14">
        <f>IF($AQ2300="","",IF(SUMPRODUCT(MAX((職員マスタ!$A$6:$A$405=$B2300)*(((職員マスタ!$G$6:$G$405="")+(職員マスタ!$G$6:$G$405&lt;=EOMONTH($AQ2300,0)))&gt;0)*(((職員マスタ!$H$6:$H$405="")+(職員マスタ!$H$6:$H$405&gt;=$AQ2300))&gt;0)*(ROW(職員マスタ!$A$6:$A$405)-5)))&gt;0,SUMPRODUCT(MAX((職員マスタ!$A$6:$A$405=$B2300)*(((職員マスタ!$G$6:$G$405="")+(職員マスタ!$G$6:$G$405&lt;=EOMONTH($AQ2300,0)))&gt;0)*(((職員マスタ!$H$6:$H$405="")+(職員マスタ!$H$6:$H$405&gt;=$AQ2300))&gt;0)*(ROW(職員マスタ!$A$6:$A$405)-5))),IFERROR(MATCH($B2300,職員マスタ!$A$6:$A$405,0),"")))</f>
        <v/>
      </c>
      <c r="AQ2300" s="16">
        <f>IF(OR($B2300="",$C2300="",$D2300=""),"",DATE($C2300+2018,$D2300,1))</f>
        <v/>
      </c>
    </row>
    <row r="2301">
      <c r="A2301" s="11" t="n"/>
      <c r="B2301" s="12" t="n"/>
      <c r="C2301" s="12" t="n"/>
      <c r="D2301" s="12" t="n"/>
      <c r="E2301" s="13" t="n"/>
      <c r="F2301" s="12" t="n"/>
      <c r="G2301" s="13" t="n"/>
      <c r="H2301" s="12" t="n"/>
      <c r="I2301" s="12" t="n"/>
      <c r="J2301" s="12" t="n"/>
      <c r="K2301" s="12" t="n"/>
      <c r="L2301" s="11" t="n"/>
      <c r="M2301" s="11" t="n"/>
      <c r="N2301" s="11" t="n"/>
      <c r="O2301" s="11" t="n"/>
      <c r="P2301" s="12" t="n"/>
      <c r="Q2301" s="11" t="n"/>
      <c r="R2301" s="12" t="n"/>
      <c r="S2301" s="11" t="n"/>
      <c r="T2301" s="12" t="n"/>
      <c r="U2301" s="12" t="n"/>
      <c r="V2301" s="12" t="n"/>
      <c r="W2301" s="13" t="n"/>
      <c r="X2301" s="14">
        <f>IF($AP2301="",IF($B2301="","",$H2301),IF(INDEX(職員マスタ!$B$6:$B$405,$AP2301)="",$H2301,INDEX(職員マスタ!$B$6:$B$405,$AP2301)))</f>
        <v/>
      </c>
      <c r="Y2301" s="14">
        <f>IF($AP2301="",IF($B2301="","",$R2301),IF(INDEX(職員マスタ!$C$6:$C$405,$AP2301)="",$R2301,INDEX(職員マスタ!$C$6:$C$405,$AP2301)))</f>
        <v/>
      </c>
      <c r="Z2301" s="14">
        <f>IF($AQ2301="","","R"&amp;$C2301&amp;"."&amp;$D2301)</f>
        <v/>
      </c>
      <c r="AA2301" s="15">
        <f>IF(IF($AP2301="",FALSE,INDEX(職員マスタ!$K$6:$K$405,$AP2301)&lt;&gt;""),INDEX(職員マスタ!$K$6:$K$405,$AP2301),IF(N($W2301)&gt;0,$W2301,""))</f>
        <v/>
      </c>
      <c r="AB2301" s="14">
        <f>IF(OR($E2301="",$AA2301=""),"",IF($E2301&gt;=$AA2301,"×",IF($E2301&gt;=$AA2301*設定!$C$5,"△","○")))</f>
        <v/>
      </c>
      <c r="AC2301" s="15">
        <f>IF($AB2301="","",IF($AB2301="×",0,IF($AB2301="○",ROUNDDOWN($E2301*設定!$C$4,0),ROUNDDOWN($E2301*ROUND((9*$AA2301-9*$E2301)/(10*$E2301),4),0))))</f>
        <v/>
      </c>
      <c r="AD2301" s="13" t="n"/>
      <c r="AE2301" s="15">
        <f>IF($B2301="","",IF($AD2301&lt;&gt;"",$AD2301,IF($AC2301="","",IF($AC2301&lt;=設定!$C$3,0,$AC2301))))</f>
        <v/>
      </c>
      <c r="AF2301" s="14">
        <f>IF($B2301="","",IF(AND($AG2301&lt;&gt;"",$AI2301="",$AL2301=""),"保留中",IF($AL2301&lt;&gt;"",IF(N($AE2301)&gt;0,"支給済","不支給"),IF($AE2301="","要確認",IF($AE2301=0,"不支給","未処理")))))</f>
        <v/>
      </c>
      <c r="AG2301" s="12" t="n"/>
      <c r="AH2301" s="11" t="n"/>
      <c r="AI2301" s="11" t="n"/>
      <c r="AJ2301" s="11" t="n"/>
      <c r="AK2301" s="14">
        <f>IF(AND($AF2301="保留中",$AH2301&lt;&gt;""),TODAY()-$AH2301,"")</f>
        <v/>
      </c>
      <c r="AL2301" s="12" t="n"/>
      <c r="AM2301" s="14">
        <f>IF($B2301="","",IF($AQ2301="","対象年月が未入力／","")&amp;IF($B2301="","",IF($AP2301="","職員マスタに未登録の職員番号／",IF($AA2301="","標準報酬月額が未登録／","")&amp;IF(AND($AQ2301&lt;&gt;"",OR(AND(INDEX(職員マスタ!$G$6:$G$405,$AP2301)&lt;&gt;"",INDEX(職員マスタ!$G$6:$G$405,$AP2301)&gt;EOMONTH($AQ2301,0)),AND(INDEX(職員マスタ!$H$6:$H$405,$AP2301)&lt;&gt;"",INDEX(職員マスタ!$H$6:$H$405,$AP2301)&lt;$AQ2301))),"対象月が時短期間外／","")&amp;IF(AND(INDEX(職員マスタ!$K$6:$K$405,$AP2301)&lt;&gt;"",N($W2301)&gt;0,INDEX(職員マスタ!$K$6:$K$405,$AP2301)&lt;&gt;$W2301),"標準報酬月額が申請書と相違（台帳"&amp;TEXT(INDEX(職員マスタ!$K$6:$K$405,$AP2301),"#,##0")&amp;"円／申請書"&amp;TEXT($W2301,"#,##0")&amp;"円）／","")&amp;IF(AND(INDEX(職員マスタ!$F$6:$F$405,$AP2301)&lt;&gt;"",$AQ2301&lt;&gt;"",INDEX(職員マスタ!$F$6:$F$405,$AP2301)&lt;$AQ2301),"対象月に子が2歳到達済／","")&amp;IF(AND($H2301&lt;&gt;"",INDEX(職員マスタ!$B$6:$B$405,$AP2301)&lt;&gt;"",SUBSTITUTE(SUBSTITUTE($H2301," ","")," ","")&lt;&gt;SUBSTITUTE(SUBSTITUTE(INDEX(職員マスタ!$B$6:$B$405,$AP2301)," ","")," ","")),"氏名がマスタと相違／","")&amp;IF(AND($Q2301&lt;&gt;"",INDEX(職員マスタ!$E$6:$E$405,$AP2301)&lt;&gt;"",$Q2301&lt;&gt;INDEX(職員マスタ!$E$6:$E$405,$AP2301)),"子の生年月日がマスタと相違／","")&amp;IF(AND($L2301&lt;&gt;"",INDEX(職員マスタ!$G$6:$G$405,$AP2301)&lt;&gt;"",$L2301&lt;&gt;INDEX(職員マスタ!$G$6:$G$405,$AP2301)),"時短開始日がマスタと相違／","")&amp;IF(AND($M2301&lt;&gt;"",INDEX(職員マスタ!$H$6:$H$405,$AP2301)&lt;&gt;"",$M2301&lt;&gt;INDEX(職員マスタ!$H$6:$H$405,$AP2301)),"時短終了日がマスタと相違／","")))&amp;IF(AND($B2301&lt;&gt;"",$E2301=""),"報酬額が未入力／","")&amp;IF(N($U2301)&gt;0,"申請書に入力エラーが残っています／","")&amp;IF(AND($B2301&lt;&gt;"",$AQ2301&lt;&gt;""),IF(COUNTIFS($B$6:$B$3005,$B2301,$C$6:$C$3005,$C2301,$D$6:$D$3005,$D2301)&gt;1,"同じ月の請求が重複しています／",""),"")&amp;IF(AND(N($E2301)&gt;0,$AB2301&lt;&gt;"",$AB2301&lt;&gt;"×",$AE2301=0,$AD2301=""),"計算額が下限以下のため不支給／",""))</f>
        <v/>
      </c>
      <c r="AN2301" s="12" t="n"/>
      <c r="AO2301" s="14">
        <f>IF($AF2301="保留中",COUNTIF($AF$6:$AF2301,"保留中"),"")</f>
        <v/>
      </c>
      <c r="AP2301" s="14">
        <f>IF($AQ2301="","",IF(SUMPRODUCT(MAX((職員マスタ!$A$6:$A$405=$B2301)*(((職員マスタ!$G$6:$G$405="")+(職員マスタ!$G$6:$G$405&lt;=EOMONTH($AQ2301,0)))&gt;0)*(((職員マスタ!$H$6:$H$405="")+(職員マスタ!$H$6:$H$405&gt;=$AQ2301))&gt;0)*(ROW(職員マスタ!$A$6:$A$405)-5)))&gt;0,SUMPRODUCT(MAX((職員マスタ!$A$6:$A$405=$B2301)*(((職員マスタ!$G$6:$G$405="")+(職員マスタ!$G$6:$G$405&lt;=EOMONTH($AQ2301,0)))&gt;0)*(((職員マスタ!$H$6:$H$405="")+(職員マスタ!$H$6:$H$405&gt;=$AQ2301))&gt;0)*(ROW(職員マスタ!$A$6:$A$405)-5))),IFERROR(MATCH($B2301,職員マスタ!$A$6:$A$405,0),"")))</f>
        <v/>
      </c>
      <c r="AQ2301" s="16">
        <f>IF(OR($B2301="",$C2301="",$D2301=""),"",DATE($C2301+2018,$D2301,1))</f>
        <v/>
      </c>
    </row>
    <row r="2302">
      <c r="A2302" s="11" t="n"/>
      <c r="B2302" s="12" t="n"/>
      <c r="C2302" s="12" t="n"/>
      <c r="D2302" s="12" t="n"/>
      <c r="E2302" s="13" t="n"/>
      <c r="F2302" s="12" t="n"/>
      <c r="G2302" s="13" t="n"/>
      <c r="H2302" s="12" t="n"/>
      <c r="I2302" s="12" t="n"/>
      <c r="J2302" s="12" t="n"/>
      <c r="K2302" s="12" t="n"/>
      <c r="L2302" s="11" t="n"/>
      <c r="M2302" s="11" t="n"/>
      <c r="N2302" s="11" t="n"/>
      <c r="O2302" s="11" t="n"/>
      <c r="P2302" s="12" t="n"/>
      <c r="Q2302" s="11" t="n"/>
      <c r="R2302" s="12" t="n"/>
      <c r="S2302" s="11" t="n"/>
      <c r="T2302" s="12" t="n"/>
      <c r="U2302" s="12" t="n"/>
      <c r="V2302" s="12" t="n"/>
      <c r="W2302" s="13" t="n"/>
      <c r="X2302" s="14">
        <f>IF($AP2302="",IF($B2302="","",$H2302),IF(INDEX(職員マスタ!$B$6:$B$405,$AP2302)="",$H2302,INDEX(職員マスタ!$B$6:$B$405,$AP2302)))</f>
        <v/>
      </c>
      <c r="Y2302" s="14">
        <f>IF($AP2302="",IF($B2302="","",$R2302),IF(INDEX(職員マスタ!$C$6:$C$405,$AP2302)="",$R2302,INDEX(職員マスタ!$C$6:$C$405,$AP2302)))</f>
        <v/>
      </c>
      <c r="Z2302" s="14">
        <f>IF($AQ2302="","","R"&amp;$C2302&amp;"."&amp;$D2302)</f>
        <v/>
      </c>
      <c r="AA2302" s="15">
        <f>IF(IF($AP2302="",FALSE,INDEX(職員マスタ!$K$6:$K$405,$AP2302)&lt;&gt;""),INDEX(職員マスタ!$K$6:$K$405,$AP2302),IF(N($W2302)&gt;0,$W2302,""))</f>
        <v/>
      </c>
      <c r="AB2302" s="14">
        <f>IF(OR($E2302="",$AA2302=""),"",IF($E2302&gt;=$AA2302,"×",IF($E2302&gt;=$AA2302*設定!$C$5,"△","○")))</f>
        <v/>
      </c>
      <c r="AC2302" s="15">
        <f>IF($AB2302="","",IF($AB2302="×",0,IF($AB2302="○",ROUNDDOWN($E2302*設定!$C$4,0),ROUNDDOWN($E2302*ROUND((9*$AA2302-9*$E2302)/(10*$E2302),4),0))))</f>
        <v/>
      </c>
      <c r="AD2302" s="13" t="n"/>
      <c r="AE2302" s="15">
        <f>IF($B2302="","",IF($AD2302&lt;&gt;"",$AD2302,IF($AC2302="","",IF($AC2302&lt;=設定!$C$3,0,$AC2302))))</f>
        <v/>
      </c>
      <c r="AF2302" s="14">
        <f>IF($B2302="","",IF(AND($AG2302&lt;&gt;"",$AI2302="",$AL2302=""),"保留中",IF($AL2302&lt;&gt;"",IF(N($AE2302)&gt;0,"支給済","不支給"),IF($AE2302="","要確認",IF($AE2302=0,"不支給","未処理")))))</f>
        <v/>
      </c>
      <c r="AG2302" s="12" t="n"/>
      <c r="AH2302" s="11" t="n"/>
      <c r="AI2302" s="11" t="n"/>
      <c r="AJ2302" s="11" t="n"/>
      <c r="AK2302" s="14">
        <f>IF(AND($AF2302="保留中",$AH2302&lt;&gt;""),TODAY()-$AH2302,"")</f>
        <v/>
      </c>
      <c r="AL2302" s="12" t="n"/>
      <c r="AM2302" s="14">
        <f>IF($B2302="","",IF($AQ2302="","対象年月が未入力／","")&amp;IF($B2302="","",IF($AP2302="","職員マスタに未登録の職員番号／",IF($AA2302="","標準報酬月額が未登録／","")&amp;IF(AND($AQ2302&lt;&gt;"",OR(AND(INDEX(職員マスタ!$G$6:$G$405,$AP2302)&lt;&gt;"",INDEX(職員マスタ!$G$6:$G$405,$AP2302)&gt;EOMONTH($AQ2302,0)),AND(INDEX(職員マスタ!$H$6:$H$405,$AP2302)&lt;&gt;"",INDEX(職員マスタ!$H$6:$H$405,$AP2302)&lt;$AQ2302))),"対象月が時短期間外／","")&amp;IF(AND(INDEX(職員マスタ!$K$6:$K$405,$AP2302)&lt;&gt;"",N($W2302)&gt;0,INDEX(職員マスタ!$K$6:$K$405,$AP2302)&lt;&gt;$W2302),"標準報酬月額が申請書と相違（台帳"&amp;TEXT(INDEX(職員マスタ!$K$6:$K$405,$AP2302),"#,##0")&amp;"円／申請書"&amp;TEXT($W2302,"#,##0")&amp;"円）／","")&amp;IF(AND(INDEX(職員マスタ!$F$6:$F$405,$AP2302)&lt;&gt;"",$AQ2302&lt;&gt;"",INDEX(職員マスタ!$F$6:$F$405,$AP2302)&lt;$AQ2302),"対象月に子が2歳到達済／","")&amp;IF(AND($H2302&lt;&gt;"",INDEX(職員マスタ!$B$6:$B$405,$AP2302)&lt;&gt;"",SUBSTITUTE(SUBSTITUTE($H2302," ","")," ","")&lt;&gt;SUBSTITUTE(SUBSTITUTE(INDEX(職員マスタ!$B$6:$B$405,$AP2302)," ","")," ","")),"氏名がマスタと相違／","")&amp;IF(AND($Q2302&lt;&gt;"",INDEX(職員マスタ!$E$6:$E$405,$AP2302)&lt;&gt;"",$Q2302&lt;&gt;INDEX(職員マスタ!$E$6:$E$405,$AP2302)),"子の生年月日がマスタと相違／","")&amp;IF(AND($L2302&lt;&gt;"",INDEX(職員マスタ!$G$6:$G$405,$AP2302)&lt;&gt;"",$L2302&lt;&gt;INDEX(職員マスタ!$G$6:$G$405,$AP2302)),"時短開始日がマスタと相違／","")&amp;IF(AND($M2302&lt;&gt;"",INDEX(職員マスタ!$H$6:$H$405,$AP2302)&lt;&gt;"",$M2302&lt;&gt;INDEX(職員マスタ!$H$6:$H$405,$AP2302)),"時短終了日がマスタと相違／","")))&amp;IF(AND($B2302&lt;&gt;"",$E2302=""),"報酬額が未入力／","")&amp;IF(N($U2302)&gt;0,"申請書に入力エラーが残っています／","")&amp;IF(AND($B2302&lt;&gt;"",$AQ2302&lt;&gt;""),IF(COUNTIFS($B$6:$B$3005,$B2302,$C$6:$C$3005,$C2302,$D$6:$D$3005,$D2302)&gt;1,"同じ月の請求が重複しています／",""),"")&amp;IF(AND(N($E2302)&gt;0,$AB2302&lt;&gt;"",$AB2302&lt;&gt;"×",$AE2302=0,$AD2302=""),"計算額が下限以下のため不支給／",""))</f>
        <v/>
      </c>
      <c r="AN2302" s="12" t="n"/>
      <c r="AO2302" s="14">
        <f>IF($AF2302="保留中",COUNTIF($AF$6:$AF2302,"保留中"),"")</f>
        <v/>
      </c>
      <c r="AP2302" s="14">
        <f>IF($AQ2302="","",IF(SUMPRODUCT(MAX((職員マスタ!$A$6:$A$405=$B2302)*(((職員マスタ!$G$6:$G$405="")+(職員マスタ!$G$6:$G$405&lt;=EOMONTH($AQ2302,0)))&gt;0)*(((職員マスタ!$H$6:$H$405="")+(職員マスタ!$H$6:$H$405&gt;=$AQ2302))&gt;0)*(ROW(職員マスタ!$A$6:$A$405)-5)))&gt;0,SUMPRODUCT(MAX((職員マスタ!$A$6:$A$405=$B2302)*(((職員マスタ!$G$6:$G$405="")+(職員マスタ!$G$6:$G$405&lt;=EOMONTH($AQ2302,0)))&gt;0)*(((職員マスタ!$H$6:$H$405="")+(職員マスタ!$H$6:$H$405&gt;=$AQ2302))&gt;0)*(ROW(職員マスタ!$A$6:$A$405)-5))),IFERROR(MATCH($B2302,職員マスタ!$A$6:$A$405,0),"")))</f>
        <v/>
      </c>
      <c r="AQ2302" s="16">
        <f>IF(OR($B2302="",$C2302="",$D2302=""),"",DATE($C2302+2018,$D2302,1))</f>
        <v/>
      </c>
    </row>
    <row r="2303">
      <c r="A2303" s="11" t="n"/>
      <c r="B2303" s="12" t="n"/>
      <c r="C2303" s="12" t="n"/>
      <c r="D2303" s="12" t="n"/>
      <c r="E2303" s="13" t="n"/>
      <c r="F2303" s="12" t="n"/>
      <c r="G2303" s="13" t="n"/>
      <c r="H2303" s="12" t="n"/>
      <c r="I2303" s="12" t="n"/>
      <c r="J2303" s="12" t="n"/>
      <c r="K2303" s="12" t="n"/>
      <c r="L2303" s="11" t="n"/>
      <c r="M2303" s="11" t="n"/>
      <c r="N2303" s="11" t="n"/>
      <c r="O2303" s="11" t="n"/>
      <c r="P2303" s="12" t="n"/>
      <c r="Q2303" s="11" t="n"/>
      <c r="R2303" s="12" t="n"/>
      <c r="S2303" s="11" t="n"/>
      <c r="T2303" s="12" t="n"/>
      <c r="U2303" s="12" t="n"/>
      <c r="V2303" s="12" t="n"/>
      <c r="W2303" s="13" t="n"/>
      <c r="X2303" s="14">
        <f>IF($AP2303="",IF($B2303="","",$H2303),IF(INDEX(職員マスタ!$B$6:$B$405,$AP2303)="",$H2303,INDEX(職員マスタ!$B$6:$B$405,$AP2303)))</f>
        <v/>
      </c>
      <c r="Y2303" s="14">
        <f>IF($AP2303="",IF($B2303="","",$R2303),IF(INDEX(職員マスタ!$C$6:$C$405,$AP2303)="",$R2303,INDEX(職員マスタ!$C$6:$C$405,$AP2303)))</f>
        <v/>
      </c>
      <c r="Z2303" s="14">
        <f>IF($AQ2303="","","R"&amp;$C2303&amp;"."&amp;$D2303)</f>
        <v/>
      </c>
      <c r="AA2303" s="15">
        <f>IF(IF($AP2303="",FALSE,INDEX(職員マスタ!$K$6:$K$405,$AP2303)&lt;&gt;""),INDEX(職員マスタ!$K$6:$K$405,$AP2303),IF(N($W2303)&gt;0,$W2303,""))</f>
        <v/>
      </c>
      <c r="AB2303" s="14">
        <f>IF(OR($E2303="",$AA2303=""),"",IF($E2303&gt;=$AA2303,"×",IF($E2303&gt;=$AA2303*設定!$C$5,"△","○")))</f>
        <v/>
      </c>
      <c r="AC2303" s="15">
        <f>IF($AB2303="","",IF($AB2303="×",0,IF($AB2303="○",ROUNDDOWN($E2303*設定!$C$4,0),ROUNDDOWN($E2303*ROUND((9*$AA2303-9*$E2303)/(10*$E2303),4),0))))</f>
        <v/>
      </c>
      <c r="AD2303" s="13" t="n"/>
      <c r="AE2303" s="15">
        <f>IF($B2303="","",IF($AD2303&lt;&gt;"",$AD2303,IF($AC2303="","",IF($AC2303&lt;=設定!$C$3,0,$AC2303))))</f>
        <v/>
      </c>
      <c r="AF2303" s="14">
        <f>IF($B2303="","",IF(AND($AG2303&lt;&gt;"",$AI2303="",$AL2303=""),"保留中",IF($AL2303&lt;&gt;"",IF(N($AE2303)&gt;0,"支給済","不支給"),IF($AE2303="","要確認",IF($AE2303=0,"不支給","未処理")))))</f>
        <v/>
      </c>
      <c r="AG2303" s="12" t="n"/>
      <c r="AH2303" s="11" t="n"/>
      <c r="AI2303" s="11" t="n"/>
      <c r="AJ2303" s="11" t="n"/>
      <c r="AK2303" s="14">
        <f>IF(AND($AF2303="保留中",$AH2303&lt;&gt;""),TODAY()-$AH2303,"")</f>
        <v/>
      </c>
      <c r="AL2303" s="12" t="n"/>
      <c r="AM2303" s="14">
        <f>IF($B2303="","",IF($AQ2303="","対象年月が未入力／","")&amp;IF($B2303="","",IF($AP2303="","職員マスタに未登録の職員番号／",IF($AA2303="","標準報酬月額が未登録／","")&amp;IF(AND($AQ2303&lt;&gt;"",OR(AND(INDEX(職員マスタ!$G$6:$G$405,$AP2303)&lt;&gt;"",INDEX(職員マスタ!$G$6:$G$405,$AP2303)&gt;EOMONTH($AQ2303,0)),AND(INDEX(職員マスタ!$H$6:$H$405,$AP2303)&lt;&gt;"",INDEX(職員マスタ!$H$6:$H$405,$AP2303)&lt;$AQ2303))),"対象月が時短期間外／","")&amp;IF(AND(INDEX(職員マスタ!$K$6:$K$405,$AP2303)&lt;&gt;"",N($W2303)&gt;0,INDEX(職員マスタ!$K$6:$K$405,$AP2303)&lt;&gt;$W2303),"標準報酬月額が申請書と相違（台帳"&amp;TEXT(INDEX(職員マスタ!$K$6:$K$405,$AP2303),"#,##0")&amp;"円／申請書"&amp;TEXT($W2303,"#,##0")&amp;"円）／","")&amp;IF(AND(INDEX(職員マスタ!$F$6:$F$405,$AP2303)&lt;&gt;"",$AQ2303&lt;&gt;"",INDEX(職員マスタ!$F$6:$F$405,$AP2303)&lt;$AQ2303),"対象月に子が2歳到達済／","")&amp;IF(AND($H2303&lt;&gt;"",INDEX(職員マスタ!$B$6:$B$405,$AP2303)&lt;&gt;"",SUBSTITUTE(SUBSTITUTE($H2303," ","")," ","")&lt;&gt;SUBSTITUTE(SUBSTITUTE(INDEX(職員マスタ!$B$6:$B$405,$AP2303)," ","")," ","")),"氏名がマスタと相違／","")&amp;IF(AND($Q2303&lt;&gt;"",INDEX(職員マスタ!$E$6:$E$405,$AP2303)&lt;&gt;"",$Q2303&lt;&gt;INDEX(職員マスタ!$E$6:$E$405,$AP2303)),"子の生年月日がマスタと相違／","")&amp;IF(AND($L2303&lt;&gt;"",INDEX(職員マスタ!$G$6:$G$405,$AP2303)&lt;&gt;"",$L2303&lt;&gt;INDEX(職員マスタ!$G$6:$G$405,$AP2303)),"時短開始日がマスタと相違／","")&amp;IF(AND($M2303&lt;&gt;"",INDEX(職員マスタ!$H$6:$H$405,$AP2303)&lt;&gt;"",$M2303&lt;&gt;INDEX(職員マスタ!$H$6:$H$405,$AP2303)),"時短終了日がマスタと相違／","")))&amp;IF(AND($B2303&lt;&gt;"",$E2303=""),"報酬額が未入力／","")&amp;IF(N($U2303)&gt;0,"申請書に入力エラーが残っています／","")&amp;IF(AND($B2303&lt;&gt;"",$AQ2303&lt;&gt;""),IF(COUNTIFS($B$6:$B$3005,$B2303,$C$6:$C$3005,$C2303,$D$6:$D$3005,$D2303)&gt;1,"同じ月の請求が重複しています／",""),"")&amp;IF(AND(N($E2303)&gt;0,$AB2303&lt;&gt;"",$AB2303&lt;&gt;"×",$AE2303=0,$AD2303=""),"計算額が下限以下のため不支給／",""))</f>
        <v/>
      </c>
      <c r="AN2303" s="12" t="n"/>
      <c r="AO2303" s="14">
        <f>IF($AF2303="保留中",COUNTIF($AF$6:$AF2303,"保留中"),"")</f>
        <v/>
      </c>
      <c r="AP2303" s="14">
        <f>IF($AQ2303="","",IF(SUMPRODUCT(MAX((職員マスタ!$A$6:$A$405=$B2303)*(((職員マスタ!$G$6:$G$405="")+(職員マスタ!$G$6:$G$405&lt;=EOMONTH($AQ2303,0)))&gt;0)*(((職員マスタ!$H$6:$H$405="")+(職員マスタ!$H$6:$H$405&gt;=$AQ2303))&gt;0)*(ROW(職員マスタ!$A$6:$A$405)-5)))&gt;0,SUMPRODUCT(MAX((職員マスタ!$A$6:$A$405=$B2303)*(((職員マスタ!$G$6:$G$405="")+(職員マスタ!$G$6:$G$405&lt;=EOMONTH($AQ2303,0)))&gt;0)*(((職員マスタ!$H$6:$H$405="")+(職員マスタ!$H$6:$H$405&gt;=$AQ2303))&gt;0)*(ROW(職員マスタ!$A$6:$A$405)-5))),IFERROR(MATCH($B2303,職員マスタ!$A$6:$A$405,0),"")))</f>
        <v/>
      </c>
      <c r="AQ2303" s="16">
        <f>IF(OR($B2303="",$C2303="",$D2303=""),"",DATE($C2303+2018,$D2303,1))</f>
        <v/>
      </c>
    </row>
    <row r="2304">
      <c r="A2304" s="11" t="n"/>
      <c r="B2304" s="12" t="n"/>
      <c r="C2304" s="12" t="n"/>
      <c r="D2304" s="12" t="n"/>
      <c r="E2304" s="13" t="n"/>
      <c r="F2304" s="12" t="n"/>
      <c r="G2304" s="13" t="n"/>
      <c r="H2304" s="12" t="n"/>
      <c r="I2304" s="12" t="n"/>
      <c r="J2304" s="12" t="n"/>
      <c r="K2304" s="12" t="n"/>
      <c r="L2304" s="11" t="n"/>
      <c r="M2304" s="11" t="n"/>
      <c r="N2304" s="11" t="n"/>
      <c r="O2304" s="11" t="n"/>
      <c r="P2304" s="12" t="n"/>
      <c r="Q2304" s="11" t="n"/>
      <c r="R2304" s="12" t="n"/>
      <c r="S2304" s="11" t="n"/>
      <c r="T2304" s="12" t="n"/>
      <c r="U2304" s="12" t="n"/>
      <c r="V2304" s="12" t="n"/>
      <c r="W2304" s="13" t="n"/>
      <c r="X2304" s="14">
        <f>IF($AP2304="",IF($B2304="","",$H2304),IF(INDEX(職員マスタ!$B$6:$B$405,$AP2304)="",$H2304,INDEX(職員マスタ!$B$6:$B$405,$AP2304)))</f>
        <v/>
      </c>
      <c r="Y2304" s="14">
        <f>IF($AP2304="",IF($B2304="","",$R2304),IF(INDEX(職員マスタ!$C$6:$C$405,$AP2304)="",$R2304,INDEX(職員マスタ!$C$6:$C$405,$AP2304)))</f>
        <v/>
      </c>
      <c r="Z2304" s="14">
        <f>IF($AQ2304="","","R"&amp;$C2304&amp;"."&amp;$D2304)</f>
        <v/>
      </c>
      <c r="AA2304" s="15">
        <f>IF(IF($AP2304="",FALSE,INDEX(職員マスタ!$K$6:$K$405,$AP2304)&lt;&gt;""),INDEX(職員マスタ!$K$6:$K$405,$AP2304),IF(N($W2304)&gt;0,$W2304,""))</f>
        <v/>
      </c>
      <c r="AB2304" s="14">
        <f>IF(OR($E2304="",$AA2304=""),"",IF($E2304&gt;=$AA2304,"×",IF($E2304&gt;=$AA2304*設定!$C$5,"△","○")))</f>
        <v/>
      </c>
      <c r="AC2304" s="15">
        <f>IF($AB2304="","",IF($AB2304="×",0,IF($AB2304="○",ROUNDDOWN($E2304*設定!$C$4,0),ROUNDDOWN($E2304*ROUND((9*$AA2304-9*$E2304)/(10*$E2304),4),0))))</f>
        <v/>
      </c>
      <c r="AD2304" s="13" t="n"/>
      <c r="AE2304" s="15">
        <f>IF($B2304="","",IF($AD2304&lt;&gt;"",$AD2304,IF($AC2304="","",IF($AC2304&lt;=設定!$C$3,0,$AC2304))))</f>
        <v/>
      </c>
      <c r="AF2304" s="14">
        <f>IF($B2304="","",IF(AND($AG2304&lt;&gt;"",$AI2304="",$AL2304=""),"保留中",IF($AL2304&lt;&gt;"",IF(N($AE2304)&gt;0,"支給済","不支給"),IF($AE2304="","要確認",IF($AE2304=0,"不支給","未処理")))))</f>
        <v/>
      </c>
      <c r="AG2304" s="12" t="n"/>
      <c r="AH2304" s="11" t="n"/>
      <c r="AI2304" s="11" t="n"/>
      <c r="AJ2304" s="11" t="n"/>
      <c r="AK2304" s="14">
        <f>IF(AND($AF2304="保留中",$AH2304&lt;&gt;""),TODAY()-$AH2304,"")</f>
        <v/>
      </c>
      <c r="AL2304" s="12" t="n"/>
      <c r="AM2304" s="14">
        <f>IF($B2304="","",IF($AQ2304="","対象年月が未入力／","")&amp;IF($B2304="","",IF($AP2304="","職員マスタに未登録の職員番号／",IF($AA2304="","標準報酬月額が未登録／","")&amp;IF(AND($AQ2304&lt;&gt;"",OR(AND(INDEX(職員マスタ!$G$6:$G$405,$AP2304)&lt;&gt;"",INDEX(職員マスタ!$G$6:$G$405,$AP2304)&gt;EOMONTH($AQ2304,0)),AND(INDEX(職員マスタ!$H$6:$H$405,$AP2304)&lt;&gt;"",INDEX(職員マスタ!$H$6:$H$405,$AP2304)&lt;$AQ2304))),"対象月が時短期間外／","")&amp;IF(AND(INDEX(職員マスタ!$K$6:$K$405,$AP2304)&lt;&gt;"",N($W2304)&gt;0,INDEX(職員マスタ!$K$6:$K$405,$AP2304)&lt;&gt;$W2304),"標準報酬月額が申請書と相違（台帳"&amp;TEXT(INDEX(職員マスタ!$K$6:$K$405,$AP2304),"#,##0")&amp;"円／申請書"&amp;TEXT($W2304,"#,##0")&amp;"円）／","")&amp;IF(AND(INDEX(職員マスタ!$F$6:$F$405,$AP2304)&lt;&gt;"",$AQ2304&lt;&gt;"",INDEX(職員マスタ!$F$6:$F$405,$AP2304)&lt;$AQ2304),"対象月に子が2歳到達済／","")&amp;IF(AND($H2304&lt;&gt;"",INDEX(職員マスタ!$B$6:$B$405,$AP2304)&lt;&gt;"",SUBSTITUTE(SUBSTITUTE($H2304," ","")," ","")&lt;&gt;SUBSTITUTE(SUBSTITUTE(INDEX(職員マスタ!$B$6:$B$405,$AP2304)," ","")," ","")),"氏名がマスタと相違／","")&amp;IF(AND($Q2304&lt;&gt;"",INDEX(職員マスタ!$E$6:$E$405,$AP2304)&lt;&gt;"",$Q2304&lt;&gt;INDEX(職員マスタ!$E$6:$E$405,$AP2304)),"子の生年月日がマスタと相違／","")&amp;IF(AND($L2304&lt;&gt;"",INDEX(職員マスタ!$G$6:$G$405,$AP2304)&lt;&gt;"",$L2304&lt;&gt;INDEX(職員マスタ!$G$6:$G$405,$AP2304)),"時短開始日がマスタと相違／","")&amp;IF(AND($M2304&lt;&gt;"",INDEX(職員マスタ!$H$6:$H$405,$AP2304)&lt;&gt;"",$M2304&lt;&gt;INDEX(職員マスタ!$H$6:$H$405,$AP2304)),"時短終了日がマスタと相違／","")))&amp;IF(AND($B2304&lt;&gt;"",$E2304=""),"報酬額が未入力／","")&amp;IF(N($U2304)&gt;0,"申請書に入力エラーが残っています／","")&amp;IF(AND($B2304&lt;&gt;"",$AQ2304&lt;&gt;""),IF(COUNTIFS($B$6:$B$3005,$B2304,$C$6:$C$3005,$C2304,$D$6:$D$3005,$D2304)&gt;1,"同じ月の請求が重複しています／",""),"")&amp;IF(AND(N($E2304)&gt;0,$AB2304&lt;&gt;"",$AB2304&lt;&gt;"×",$AE2304=0,$AD2304=""),"計算額が下限以下のため不支給／",""))</f>
        <v/>
      </c>
      <c r="AN2304" s="12" t="n"/>
      <c r="AO2304" s="14">
        <f>IF($AF2304="保留中",COUNTIF($AF$6:$AF2304,"保留中"),"")</f>
        <v/>
      </c>
      <c r="AP2304" s="14">
        <f>IF($AQ2304="","",IF(SUMPRODUCT(MAX((職員マスタ!$A$6:$A$405=$B2304)*(((職員マスタ!$G$6:$G$405="")+(職員マスタ!$G$6:$G$405&lt;=EOMONTH($AQ2304,0)))&gt;0)*(((職員マスタ!$H$6:$H$405="")+(職員マスタ!$H$6:$H$405&gt;=$AQ2304))&gt;0)*(ROW(職員マスタ!$A$6:$A$405)-5)))&gt;0,SUMPRODUCT(MAX((職員マスタ!$A$6:$A$405=$B2304)*(((職員マスタ!$G$6:$G$405="")+(職員マスタ!$G$6:$G$405&lt;=EOMONTH($AQ2304,0)))&gt;0)*(((職員マスタ!$H$6:$H$405="")+(職員マスタ!$H$6:$H$405&gt;=$AQ2304))&gt;0)*(ROW(職員マスタ!$A$6:$A$405)-5))),IFERROR(MATCH($B2304,職員マスタ!$A$6:$A$405,0),"")))</f>
        <v/>
      </c>
      <c r="AQ2304" s="16">
        <f>IF(OR($B2304="",$C2304="",$D2304=""),"",DATE($C2304+2018,$D2304,1))</f>
        <v/>
      </c>
    </row>
    <row r="2305">
      <c r="A2305" s="11" t="n"/>
      <c r="B2305" s="12" t="n"/>
      <c r="C2305" s="12" t="n"/>
      <c r="D2305" s="12" t="n"/>
      <c r="E2305" s="13" t="n"/>
      <c r="F2305" s="12" t="n"/>
      <c r="G2305" s="13" t="n"/>
      <c r="H2305" s="12" t="n"/>
      <c r="I2305" s="12" t="n"/>
      <c r="J2305" s="12" t="n"/>
      <c r="K2305" s="12" t="n"/>
      <c r="L2305" s="11" t="n"/>
      <c r="M2305" s="11" t="n"/>
      <c r="N2305" s="11" t="n"/>
      <c r="O2305" s="11" t="n"/>
      <c r="P2305" s="12" t="n"/>
      <c r="Q2305" s="11" t="n"/>
      <c r="R2305" s="12" t="n"/>
      <c r="S2305" s="11" t="n"/>
      <c r="T2305" s="12" t="n"/>
      <c r="U2305" s="12" t="n"/>
      <c r="V2305" s="12" t="n"/>
      <c r="W2305" s="13" t="n"/>
      <c r="X2305" s="14">
        <f>IF($AP2305="",IF($B2305="","",$H2305),IF(INDEX(職員マスタ!$B$6:$B$405,$AP2305)="",$H2305,INDEX(職員マスタ!$B$6:$B$405,$AP2305)))</f>
        <v/>
      </c>
      <c r="Y2305" s="14">
        <f>IF($AP2305="",IF($B2305="","",$R2305),IF(INDEX(職員マスタ!$C$6:$C$405,$AP2305)="",$R2305,INDEX(職員マスタ!$C$6:$C$405,$AP2305)))</f>
        <v/>
      </c>
      <c r="Z2305" s="14">
        <f>IF($AQ2305="","","R"&amp;$C2305&amp;"."&amp;$D2305)</f>
        <v/>
      </c>
      <c r="AA2305" s="15">
        <f>IF(IF($AP2305="",FALSE,INDEX(職員マスタ!$K$6:$K$405,$AP2305)&lt;&gt;""),INDEX(職員マスタ!$K$6:$K$405,$AP2305),IF(N($W2305)&gt;0,$W2305,""))</f>
        <v/>
      </c>
      <c r="AB2305" s="14">
        <f>IF(OR($E2305="",$AA2305=""),"",IF($E2305&gt;=$AA2305,"×",IF($E2305&gt;=$AA2305*設定!$C$5,"△","○")))</f>
        <v/>
      </c>
      <c r="AC2305" s="15">
        <f>IF($AB2305="","",IF($AB2305="×",0,IF($AB2305="○",ROUNDDOWN($E2305*設定!$C$4,0),ROUNDDOWN($E2305*ROUND((9*$AA2305-9*$E2305)/(10*$E2305),4),0))))</f>
        <v/>
      </c>
      <c r="AD2305" s="13" t="n"/>
      <c r="AE2305" s="15">
        <f>IF($B2305="","",IF($AD2305&lt;&gt;"",$AD2305,IF($AC2305="","",IF($AC2305&lt;=設定!$C$3,0,$AC2305))))</f>
        <v/>
      </c>
      <c r="AF2305" s="14">
        <f>IF($B2305="","",IF(AND($AG2305&lt;&gt;"",$AI2305="",$AL2305=""),"保留中",IF($AL2305&lt;&gt;"",IF(N($AE2305)&gt;0,"支給済","不支給"),IF($AE2305="","要確認",IF($AE2305=0,"不支給","未処理")))))</f>
        <v/>
      </c>
      <c r="AG2305" s="12" t="n"/>
      <c r="AH2305" s="11" t="n"/>
      <c r="AI2305" s="11" t="n"/>
      <c r="AJ2305" s="11" t="n"/>
      <c r="AK2305" s="14">
        <f>IF(AND($AF2305="保留中",$AH2305&lt;&gt;""),TODAY()-$AH2305,"")</f>
        <v/>
      </c>
      <c r="AL2305" s="12" t="n"/>
      <c r="AM2305" s="14">
        <f>IF($B2305="","",IF($AQ2305="","対象年月が未入力／","")&amp;IF($B2305="","",IF($AP2305="","職員マスタに未登録の職員番号／",IF($AA2305="","標準報酬月額が未登録／","")&amp;IF(AND($AQ2305&lt;&gt;"",OR(AND(INDEX(職員マスタ!$G$6:$G$405,$AP2305)&lt;&gt;"",INDEX(職員マスタ!$G$6:$G$405,$AP2305)&gt;EOMONTH($AQ2305,0)),AND(INDEX(職員マスタ!$H$6:$H$405,$AP2305)&lt;&gt;"",INDEX(職員マスタ!$H$6:$H$405,$AP2305)&lt;$AQ2305))),"対象月が時短期間外／","")&amp;IF(AND(INDEX(職員マスタ!$K$6:$K$405,$AP2305)&lt;&gt;"",N($W2305)&gt;0,INDEX(職員マスタ!$K$6:$K$405,$AP2305)&lt;&gt;$W2305),"標準報酬月額が申請書と相違（台帳"&amp;TEXT(INDEX(職員マスタ!$K$6:$K$405,$AP2305),"#,##0")&amp;"円／申請書"&amp;TEXT($W2305,"#,##0")&amp;"円）／","")&amp;IF(AND(INDEX(職員マスタ!$F$6:$F$405,$AP2305)&lt;&gt;"",$AQ2305&lt;&gt;"",INDEX(職員マスタ!$F$6:$F$405,$AP2305)&lt;$AQ2305),"対象月に子が2歳到達済／","")&amp;IF(AND($H2305&lt;&gt;"",INDEX(職員マスタ!$B$6:$B$405,$AP2305)&lt;&gt;"",SUBSTITUTE(SUBSTITUTE($H2305," ","")," ","")&lt;&gt;SUBSTITUTE(SUBSTITUTE(INDEX(職員マスタ!$B$6:$B$405,$AP2305)," ","")," ","")),"氏名がマスタと相違／","")&amp;IF(AND($Q2305&lt;&gt;"",INDEX(職員マスタ!$E$6:$E$405,$AP2305)&lt;&gt;"",$Q2305&lt;&gt;INDEX(職員マスタ!$E$6:$E$405,$AP2305)),"子の生年月日がマスタと相違／","")&amp;IF(AND($L2305&lt;&gt;"",INDEX(職員マスタ!$G$6:$G$405,$AP2305)&lt;&gt;"",$L2305&lt;&gt;INDEX(職員マスタ!$G$6:$G$405,$AP2305)),"時短開始日がマスタと相違／","")&amp;IF(AND($M2305&lt;&gt;"",INDEX(職員マスタ!$H$6:$H$405,$AP2305)&lt;&gt;"",$M2305&lt;&gt;INDEX(職員マスタ!$H$6:$H$405,$AP2305)),"時短終了日がマスタと相違／","")))&amp;IF(AND($B2305&lt;&gt;"",$E2305=""),"報酬額が未入力／","")&amp;IF(N($U2305)&gt;0,"申請書に入力エラーが残っています／","")&amp;IF(AND($B2305&lt;&gt;"",$AQ2305&lt;&gt;""),IF(COUNTIFS($B$6:$B$3005,$B2305,$C$6:$C$3005,$C2305,$D$6:$D$3005,$D2305)&gt;1,"同じ月の請求が重複しています／",""),"")&amp;IF(AND(N($E2305)&gt;0,$AB2305&lt;&gt;"",$AB2305&lt;&gt;"×",$AE2305=0,$AD2305=""),"計算額が下限以下のため不支給／",""))</f>
        <v/>
      </c>
      <c r="AN2305" s="12" t="n"/>
      <c r="AO2305" s="14">
        <f>IF($AF2305="保留中",COUNTIF($AF$6:$AF2305,"保留中"),"")</f>
        <v/>
      </c>
      <c r="AP2305" s="14">
        <f>IF($AQ2305="","",IF(SUMPRODUCT(MAX((職員マスタ!$A$6:$A$405=$B2305)*(((職員マスタ!$G$6:$G$405="")+(職員マスタ!$G$6:$G$405&lt;=EOMONTH($AQ2305,0)))&gt;0)*(((職員マスタ!$H$6:$H$405="")+(職員マスタ!$H$6:$H$405&gt;=$AQ2305))&gt;0)*(ROW(職員マスタ!$A$6:$A$405)-5)))&gt;0,SUMPRODUCT(MAX((職員マスタ!$A$6:$A$405=$B2305)*(((職員マスタ!$G$6:$G$405="")+(職員マスタ!$G$6:$G$405&lt;=EOMONTH($AQ2305,0)))&gt;0)*(((職員マスタ!$H$6:$H$405="")+(職員マスタ!$H$6:$H$405&gt;=$AQ2305))&gt;0)*(ROW(職員マスタ!$A$6:$A$405)-5))),IFERROR(MATCH($B2305,職員マスタ!$A$6:$A$405,0),"")))</f>
        <v/>
      </c>
      <c r="AQ2305" s="16">
        <f>IF(OR($B2305="",$C2305="",$D2305=""),"",DATE($C2305+2018,$D2305,1))</f>
        <v/>
      </c>
    </row>
    <row r="2306">
      <c r="A2306" s="11" t="n"/>
      <c r="B2306" s="12" t="n"/>
      <c r="C2306" s="12" t="n"/>
      <c r="D2306" s="12" t="n"/>
      <c r="E2306" s="13" t="n"/>
      <c r="F2306" s="12" t="n"/>
      <c r="G2306" s="13" t="n"/>
      <c r="H2306" s="12" t="n"/>
      <c r="I2306" s="12" t="n"/>
      <c r="J2306" s="12" t="n"/>
      <c r="K2306" s="12" t="n"/>
      <c r="L2306" s="11" t="n"/>
      <c r="M2306" s="11" t="n"/>
      <c r="N2306" s="11" t="n"/>
      <c r="O2306" s="11" t="n"/>
      <c r="P2306" s="12" t="n"/>
      <c r="Q2306" s="11" t="n"/>
      <c r="R2306" s="12" t="n"/>
      <c r="S2306" s="11" t="n"/>
      <c r="T2306" s="12" t="n"/>
      <c r="U2306" s="12" t="n"/>
      <c r="V2306" s="12" t="n"/>
      <c r="W2306" s="13" t="n"/>
      <c r="X2306" s="14">
        <f>IF($AP2306="",IF($B2306="","",$H2306),IF(INDEX(職員マスタ!$B$6:$B$405,$AP2306)="",$H2306,INDEX(職員マスタ!$B$6:$B$405,$AP2306)))</f>
        <v/>
      </c>
      <c r="Y2306" s="14">
        <f>IF($AP2306="",IF($B2306="","",$R2306),IF(INDEX(職員マスタ!$C$6:$C$405,$AP2306)="",$R2306,INDEX(職員マスタ!$C$6:$C$405,$AP2306)))</f>
        <v/>
      </c>
      <c r="Z2306" s="14">
        <f>IF($AQ2306="","","R"&amp;$C2306&amp;"."&amp;$D2306)</f>
        <v/>
      </c>
      <c r="AA2306" s="15">
        <f>IF(IF($AP2306="",FALSE,INDEX(職員マスタ!$K$6:$K$405,$AP2306)&lt;&gt;""),INDEX(職員マスタ!$K$6:$K$405,$AP2306),IF(N($W2306)&gt;0,$W2306,""))</f>
        <v/>
      </c>
      <c r="AB2306" s="14">
        <f>IF(OR($E2306="",$AA2306=""),"",IF($E2306&gt;=$AA2306,"×",IF($E2306&gt;=$AA2306*設定!$C$5,"△","○")))</f>
        <v/>
      </c>
      <c r="AC2306" s="15">
        <f>IF($AB2306="","",IF($AB2306="×",0,IF($AB2306="○",ROUNDDOWN($E2306*設定!$C$4,0),ROUNDDOWN($E2306*ROUND((9*$AA2306-9*$E2306)/(10*$E2306),4),0))))</f>
        <v/>
      </c>
      <c r="AD2306" s="13" t="n"/>
      <c r="AE2306" s="15">
        <f>IF($B2306="","",IF($AD2306&lt;&gt;"",$AD2306,IF($AC2306="","",IF($AC2306&lt;=設定!$C$3,0,$AC2306))))</f>
        <v/>
      </c>
      <c r="AF2306" s="14">
        <f>IF($B2306="","",IF(AND($AG2306&lt;&gt;"",$AI2306="",$AL2306=""),"保留中",IF($AL2306&lt;&gt;"",IF(N($AE2306)&gt;0,"支給済","不支給"),IF($AE2306="","要確認",IF($AE2306=0,"不支給","未処理")))))</f>
        <v/>
      </c>
      <c r="AG2306" s="12" t="n"/>
      <c r="AH2306" s="11" t="n"/>
      <c r="AI2306" s="11" t="n"/>
      <c r="AJ2306" s="11" t="n"/>
      <c r="AK2306" s="14">
        <f>IF(AND($AF2306="保留中",$AH2306&lt;&gt;""),TODAY()-$AH2306,"")</f>
        <v/>
      </c>
      <c r="AL2306" s="12" t="n"/>
      <c r="AM2306" s="14">
        <f>IF($B2306="","",IF($AQ2306="","対象年月が未入力／","")&amp;IF($B2306="","",IF($AP2306="","職員マスタに未登録の職員番号／",IF($AA2306="","標準報酬月額が未登録／","")&amp;IF(AND($AQ2306&lt;&gt;"",OR(AND(INDEX(職員マスタ!$G$6:$G$405,$AP2306)&lt;&gt;"",INDEX(職員マスタ!$G$6:$G$405,$AP2306)&gt;EOMONTH($AQ2306,0)),AND(INDEX(職員マスタ!$H$6:$H$405,$AP2306)&lt;&gt;"",INDEX(職員マスタ!$H$6:$H$405,$AP2306)&lt;$AQ2306))),"対象月が時短期間外／","")&amp;IF(AND(INDEX(職員マスタ!$K$6:$K$405,$AP2306)&lt;&gt;"",N($W2306)&gt;0,INDEX(職員マスタ!$K$6:$K$405,$AP2306)&lt;&gt;$W2306),"標準報酬月額が申請書と相違（台帳"&amp;TEXT(INDEX(職員マスタ!$K$6:$K$405,$AP2306),"#,##0")&amp;"円／申請書"&amp;TEXT($W2306,"#,##0")&amp;"円）／","")&amp;IF(AND(INDEX(職員マスタ!$F$6:$F$405,$AP2306)&lt;&gt;"",$AQ2306&lt;&gt;"",INDEX(職員マスタ!$F$6:$F$405,$AP2306)&lt;$AQ2306),"対象月に子が2歳到達済／","")&amp;IF(AND($H2306&lt;&gt;"",INDEX(職員マスタ!$B$6:$B$405,$AP2306)&lt;&gt;"",SUBSTITUTE(SUBSTITUTE($H2306," ","")," ","")&lt;&gt;SUBSTITUTE(SUBSTITUTE(INDEX(職員マスタ!$B$6:$B$405,$AP2306)," ","")," ","")),"氏名がマスタと相違／","")&amp;IF(AND($Q2306&lt;&gt;"",INDEX(職員マスタ!$E$6:$E$405,$AP2306)&lt;&gt;"",$Q2306&lt;&gt;INDEX(職員マスタ!$E$6:$E$405,$AP2306)),"子の生年月日がマスタと相違／","")&amp;IF(AND($L2306&lt;&gt;"",INDEX(職員マスタ!$G$6:$G$405,$AP2306)&lt;&gt;"",$L2306&lt;&gt;INDEX(職員マスタ!$G$6:$G$405,$AP2306)),"時短開始日がマスタと相違／","")&amp;IF(AND($M2306&lt;&gt;"",INDEX(職員マスタ!$H$6:$H$405,$AP2306)&lt;&gt;"",$M2306&lt;&gt;INDEX(職員マスタ!$H$6:$H$405,$AP2306)),"時短終了日がマスタと相違／","")))&amp;IF(AND($B2306&lt;&gt;"",$E2306=""),"報酬額が未入力／","")&amp;IF(N($U2306)&gt;0,"申請書に入力エラーが残っています／","")&amp;IF(AND($B2306&lt;&gt;"",$AQ2306&lt;&gt;""),IF(COUNTIFS($B$6:$B$3005,$B2306,$C$6:$C$3005,$C2306,$D$6:$D$3005,$D2306)&gt;1,"同じ月の請求が重複しています／",""),"")&amp;IF(AND(N($E2306)&gt;0,$AB2306&lt;&gt;"",$AB2306&lt;&gt;"×",$AE2306=0,$AD2306=""),"計算額が下限以下のため不支給／",""))</f>
        <v/>
      </c>
      <c r="AN2306" s="12" t="n"/>
      <c r="AO2306" s="14">
        <f>IF($AF2306="保留中",COUNTIF($AF$6:$AF2306,"保留中"),"")</f>
        <v/>
      </c>
      <c r="AP2306" s="14">
        <f>IF($AQ2306="","",IF(SUMPRODUCT(MAX((職員マスタ!$A$6:$A$405=$B2306)*(((職員マスタ!$G$6:$G$405="")+(職員マスタ!$G$6:$G$405&lt;=EOMONTH($AQ2306,0)))&gt;0)*(((職員マスタ!$H$6:$H$405="")+(職員マスタ!$H$6:$H$405&gt;=$AQ2306))&gt;0)*(ROW(職員マスタ!$A$6:$A$405)-5)))&gt;0,SUMPRODUCT(MAX((職員マスタ!$A$6:$A$405=$B2306)*(((職員マスタ!$G$6:$G$405="")+(職員マスタ!$G$6:$G$405&lt;=EOMONTH($AQ2306,0)))&gt;0)*(((職員マスタ!$H$6:$H$405="")+(職員マスタ!$H$6:$H$405&gt;=$AQ2306))&gt;0)*(ROW(職員マスタ!$A$6:$A$405)-5))),IFERROR(MATCH($B2306,職員マスタ!$A$6:$A$405,0),"")))</f>
        <v/>
      </c>
      <c r="AQ2306" s="16">
        <f>IF(OR($B2306="",$C2306="",$D2306=""),"",DATE($C2306+2018,$D2306,1))</f>
        <v/>
      </c>
    </row>
    <row r="2307">
      <c r="A2307" s="11" t="n"/>
      <c r="B2307" s="12" t="n"/>
      <c r="C2307" s="12" t="n"/>
      <c r="D2307" s="12" t="n"/>
      <c r="E2307" s="13" t="n"/>
      <c r="F2307" s="12" t="n"/>
      <c r="G2307" s="13" t="n"/>
      <c r="H2307" s="12" t="n"/>
      <c r="I2307" s="12" t="n"/>
      <c r="J2307" s="12" t="n"/>
      <c r="K2307" s="12" t="n"/>
      <c r="L2307" s="11" t="n"/>
      <c r="M2307" s="11" t="n"/>
      <c r="N2307" s="11" t="n"/>
      <c r="O2307" s="11" t="n"/>
      <c r="P2307" s="12" t="n"/>
      <c r="Q2307" s="11" t="n"/>
      <c r="R2307" s="12" t="n"/>
      <c r="S2307" s="11" t="n"/>
      <c r="T2307" s="12" t="n"/>
      <c r="U2307" s="12" t="n"/>
      <c r="V2307" s="12" t="n"/>
      <c r="W2307" s="13" t="n"/>
      <c r="X2307" s="14">
        <f>IF($AP2307="",IF($B2307="","",$H2307),IF(INDEX(職員マスタ!$B$6:$B$405,$AP2307)="",$H2307,INDEX(職員マスタ!$B$6:$B$405,$AP2307)))</f>
        <v/>
      </c>
      <c r="Y2307" s="14">
        <f>IF($AP2307="",IF($B2307="","",$R2307),IF(INDEX(職員マスタ!$C$6:$C$405,$AP2307)="",$R2307,INDEX(職員マスタ!$C$6:$C$405,$AP2307)))</f>
        <v/>
      </c>
      <c r="Z2307" s="14">
        <f>IF($AQ2307="","","R"&amp;$C2307&amp;"."&amp;$D2307)</f>
        <v/>
      </c>
      <c r="AA2307" s="15">
        <f>IF(IF($AP2307="",FALSE,INDEX(職員マスタ!$K$6:$K$405,$AP2307)&lt;&gt;""),INDEX(職員マスタ!$K$6:$K$405,$AP2307),IF(N($W2307)&gt;0,$W2307,""))</f>
        <v/>
      </c>
      <c r="AB2307" s="14">
        <f>IF(OR($E2307="",$AA2307=""),"",IF($E2307&gt;=$AA2307,"×",IF($E2307&gt;=$AA2307*設定!$C$5,"△","○")))</f>
        <v/>
      </c>
      <c r="AC2307" s="15">
        <f>IF($AB2307="","",IF($AB2307="×",0,IF($AB2307="○",ROUNDDOWN($E2307*設定!$C$4,0),ROUNDDOWN($E2307*ROUND((9*$AA2307-9*$E2307)/(10*$E2307),4),0))))</f>
        <v/>
      </c>
      <c r="AD2307" s="13" t="n"/>
      <c r="AE2307" s="15">
        <f>IF($B2307="","",IF($AD2307&lt;&gt;"",$AD2307,IF($AC2307="","",IF($AC2307&lt;=設定!$C$3,0,$AC2307))))</f>
        <v/>
      </c>
      <c r="AF2307" s="14">
        <f>IF($B2307="","",IF(AND($AG2307&lt;&gt;"",$AI2307="",$AL2307=""),"保留中",IF($AL2307&lt;&gt;"",IF(N($AE2307)&gt;0,"支給済","不支給"),IF($AE2307="","要確認",IF($AE2307=0,"不支給","未処理")))))</f>
        <v/>
      </c>
      <c r="AG2307" s="12" t="n"/>
      <c r="AH2307" s="11" t="n"/>
      <c r="AI2307" s="11" t="n"/>
      <c r="AJ2307" s="11" t="n"/>
      <c r="AK2307" s="14">
        <f>IF(AND($AF2307="保留中",$AH2307&lt;&gt;""),TODAY()-$AH2307,"")</f>
        <v/>
      </c>
      <c r="AL2307" s="12" t="n"/>
      <c r="AM2307" s="14">
        <f>IF($B2307="","",IF($AQ2307="","対象年月が未入力／","")&amp;IF($B2307="","",IF($AP2307="","職員マスタに未登録の職員番号／",IF($AA2307="","標準報酬月額が未登録／","")&amp;IF(AND($AQ2307&lt;&gt;"",OR(AND(INDEX(職員マスタ!$G$6:$G$405,$AP2307)&lt;&gt;"",INDEX(職員マスタ!$G$6:$G$405,$AP2307)&gt;EOMONTH($AQ2307,0)),AND(INDEX(職員マスタ!$H$6:$H$405,$AP2307)&lt;&gt;"",INDEX(職員マスタ!$H$6:$H$405,$AP2307)&lt;$AQ2307))),"対象月が時短期間外／","")&amp;IF(AND(INDEX(職員マスタ!$K$6:$K$405,$AP2307)&lt;&gt;"",N($W2307)&gt;0,INDEX(職員マスタ!$K$6:$K$405,$AP2307)&lt;&gt;$W2307),"標準報酬月額が申請書と相違（台帳"&amp;TEXT(INDEX(職員マスタ!$K$6:$K$405,$AP2307),"#,##0")&amp;"円／申請書"&amp;TEXT($W2307,"#,##0")&amp;"円）／","")&amp;IF(AND(INDEX(職員マスタ!$F$6:$F$405,$AP2307)&lt;&gt;"",$AQ2307&lt;&gt;"",INDEX(職員マスタ!$F$6:$F$405,$AP2307)&lt;$AQ2307),"対象月に子が2歳到達済／","")&amp;IF(AND($H2307&lt;&gt;"",INDEX(職員マスタ!$B$6:$B$405,$AP2307)&lt;&gt;"",SUBSTITUTE(SUBSTITUTE($H2307," ","")," ","")&lt;&gt;SUBSTITUTE(SUBSTITUTE(INDEX(職員マスタ!$B$6:$B$405,$AP2307)," ","")," ","")),"氏名がマスタと相違／","")&amp;IF(AND($Q2307&lt;&gt;"",INDEX(職員マスタ!$E$6:$E$405,$AP2307)&lt;&gt;"",$Q2307&lt;&gt;INDEX(職員マスタ!$E$6:$E$405,$AP2307)),"子の生年月日がマスタと相違／","")&amp;IF(AND($L2307&lt;&gt;"",INDEX(職員マスタ!$G$6:$G$405,$AP2307)&lt;&gt;"",$L2307&lt;&gt;INDEX(職員マスタ!$G$6:$G$405,$AP2307)),"時短開始日がマスタと相違／","")&amp;IF(AND($M2307&lt;&gt;"",INDEX(職員マスタ!$H$6:$H$405,$AP2307)&lt;&gt;"",$M2307&lt;&gt;INDEX(職員マスタ!$H$6:$H$405,$AP2307)),"時短終了日がマスタと相違／","")))&amp;IF(AND($B2307&lt;&gt;"",$E2307=""),"報酬額が未入力／","")&amp;IF(N($U2307)&gt;0,"申請書に入力エラーが残っています／","")&amp;IF(AND($B2307&lt;&gt;"",$AQ2307&lt;&gt;""),IF(COUNTIFS($B$6:$B$3005,$B2307,$C$6:$C$3005,$C2307,$D$6:$D$3005,$D2307)&gt;1,"同じ月の請求が重複しています／",""),"")&amp;IF(AND(N($E2307)&gt;0,$AB2307&lt;&gt;"",$AB2307&lt;&gt;"×",$AE2307=0,$AD2307=""),"計算額が下限以下のため不支給／",""))</f>
        <v/>
      </c>
      <c r="AN2307" s="12" t="n"/>
      <c r="AO2307" s="14">
        <f>IF($AF2307="保留中",COUNTIF($AF$6:$AF2307,"保留中"),"")</f>
        <v/>
      </c>
      <c r="AP2307" s="14">
        <f>IF($AQ2307="","",IF(SUMPRODUCT(MAX((職員マスタ!$A$6:$A$405=$B2307)*(((職員マスタ!$G$6:$G$405="")+(職員マスタ!$G$6:$G$405&lt;=EOMONTH($AQ2307,0)))&gt;0)*(((職員マスタ!$H$6:$H$405="")+(職員マスタ!$H$6:$H$405&gt;=$AQ2307))&gt;0)*(ROW(職員マスタ!$A$6:$A$405)-5)))&gt;0,SUMPRODUCT(MAX((職員マスタ!$A$6:$A$405=$B2307)*(((職員マスタ!$G$6:$G$405="")+(職員マスタ!$G$6:$G$405&lt;=EOMONTH($AQ2307,0)))&gt;0)*(((職員マスタ!$H$6:$H$405="")+(職員マスタ!$H$6:$H$405&gt;=$AQ2307))&gt;0)*(ROW(職員マスタ!$A$6:$A$405)-5))),IFERROR(MATCH($B2307,職員マスタ!$A$6:$A$405,0),"")))</f>
        <v/>
      </c>
      <c r="AQ2307" s="16">
        <f>IF(OR($B2307="",$C2307="",$D2307=""),"",DATE($C2307+2018,$D2307,1))</f>
        <v/>
      </c>
    </row>
    <row r="2308">
      <c r="A2308" s="11" t="n"/>
      <c r="B2308" s="12" t="n"/>
      <c r="C2308" s="12" t="n"/>
      <c r="D2308" s="12" t="n"/>
      <c r="E2308" s="13" t="n"/>
      <c r="F2308" s="12" t="n"/>
      <c r="G2308" s="13" t="n"/>
      <c r="H2308" s="12" t="n"/>
      <c r="I2308" s="12" t="n"/>
      <c r="J2308" s="12" t="n"/>
      <c r="K2308" s="12" t="n"/>
      <c r="L2308" s="11" t="n"/>
      <c r="M2308" s="11" t="n"/>
      <c r="N2308" s="11" t="n"/>
      <c r="O2308" s="11" t="n"/>
      <c r="P2308" s="12" t="n"/>
      <c r="Q2308" s="11" t="n"/>
      <c r="R2308" s="12" t="n"/>
      <c r="S2308" s="11" t="n"/>
      <c r="T2308" s="12" t="n"/>
      <c r="U2308" s="12" t="n"/>
      <c r="V2308" s="12" t="n"/>
      <c r="W2308" s="13" t="n"/>
      <c r="X2308" s="14">
        <f>IF($AP2308="",IF($B2308="","",$H2308),IF(INDEX(職員マスタ!$B$6:$B$405,$AP2308)="",$H2308,INDEX(職員マスタ!$B$6:$B$405,$AP2308)))</f>
        <v/>
      </c>
      <c r="Y2308" s="14">
        <f>IF($AP2308="",IF($B2308="","",$R2308),IF(INDEX(職員マスタ!$C$6:$C$405,$AP2308)="",$R2308,INDEX(職員マスタ!$C$6:$C$405,$AP2308)))</f>
        <v/>
      </c>
      <c r="Z2308" s="14">
        <f>IF($AQ2308="","","R"&amp;$C2308&amp;"."&amp;$D2308)</f>
        <v/>
      </c>
      <c r="AA2308" s="15">
        <f>IF(IF($AP2308="",FALSE,INDEX(職員マスタ!$K$6:$K$405,$AP2308)&lt;&gt;""),INDEX(職員マスタ!$K$6:$K$405,$AP2308),IF(N($W2308)&gt;0,$W2308,""))</f>
        <v/>
      </c>
      <c r="AB2308" s="14">
        <f>IF(OR($E2308="",$AA2308=""),"",IF($E2308&gt;=$AA2308,"×",IF($E2308&gt;=$AA2308*設定!$C$5,"△","○")))</f>
        <v/>
      </c>
      <c r="AC2308" s="15">
        <f>IF($AB2308="","",IF($AB2308="×",0,IF($AB2308="○",ROUNDDOWN($E2308*設定!$C$4,0),ROUNDDOWN($E2308*ROUND((9*$AA2308-9*$E2308)/(10*$E2308),4),0))))</f>
        <v/>
      </c>
      <c r="AD2308" s="13" t="n"/>
      <c r="AE2308" s="15">
        <f>IF($B2308="","",IF($AD2308&lt;&gt;"",$AD2308,IF($AC2308="","",IF($AC2308&lt;=設定!$C$3,0,$AC2308))))</f>
        <v/>
      </c>
      <c r="AF2308" s="14">
        <f>IF($B2308="","",IF(AND($AG2308&lt;&gt;"",$AI2308="",$AL2308=""),"保留中",IF($AL2308&lt;&gt;"",IF(N($AE2308)&gt;0,"支給済","不支給"),IF($AE2308="","要確認",IF($AE2308=0,"不支給","未処理")))))</f>
        <v/>
      </c>
      <c r="AG2308" s="12" t="n"/>
      <c r="AH2308" s="11" t="n"/>
      <c r="AI2308" s="11" t="n"/>
      <c r="AJ2308" s="11" t="n"/>
      <c r="AK2308" s="14">
        <f>IF(AND($AF2308="保留中",$AH2308&lt;&gt;""),TODAY()-$AH2308,"")</f>
        <v/>
      </c>
      <c r="AL2308" s="12" t="n"/>
      <c r="AM2308" s="14">
        <f>IF($B2308="","",IF($AQ2308="","対象年月が未入力／","")&amp;IF($B2308="","",IF($AP2308="","職員マスタに未登録の職員番号／",IF($AA2308="","標準報酬月額が未登録／","")&amp;IF(AND($AQ2308&lt;&gt;"",OR(AND(INDEX(職員マスタ!$G$6:$G$405,$AP2308)&lt;&gt;"",INDEX(職員マスタ!$G$6:$G$405,$AP2308)&gt;EOMONTH($AQ2308,0)),AND(INDEX(職員マスタ!$H$6:$H$405,$AP2308)&lt;&gt;"",INDEX(職員マスタ!$H$6:$H$405,$AP2308)&lt;$AQ2308))),"対象月が時短期間外／","")&amp;IF(AND(INDEX(職員マスタ!$K$6:$K$405,$AP2308)&lt;&gt;"",N($W2308)&gt;0,INDEX(職員マスタ!$K$6:$K$405,$AP2308)&lt;&gt;$W2308),"標準報酬月額が申請書と相違（台帳"&amp;TEXT(INDEX(職員マスタ!$K$6:$K$405,$AP2308),"#,##0")&amp;"円／申請書"&amp;TEXT($W2308,"#,##0")&amp;"円）／","")&amp;IF(AND(INDEX(職員マスタ!$F$6:$F$405,$AP2308)&lt;&gt;"",$AQ2308&lt;&gt;"",INDEX(職員マスタ!$F$6:$F$405,$AP2308)&lt;$AQ2308),"対象月に子が2歳到達済／","")&amp;IF(AND($H2308&lt;&gt;"",INDEX(職員マスタ!$B$6:$B$405,$AP2308)&lt;&gt;"",SUBSTITUTE(SUBSTITUTE($H2308," ","")," ","")&lt;&gt;SUBSTITUTE(SUBSTITUTE(INDEX(職員マスタ!$B$6:$B$405,$AP2308)," ","")," ","")),"氏名がマスタと相違／","")&amp;IF(AND($Q2308&lt;&gt;"",INDEX(職員マスタ!$E$6:$E$405,$AP2308)&lt;&gt;"",$Q2308&lt;&gt;INDEX(職員マスタ!$E$6:$E$405,$AP2308)),"子の生年月日がマスタと相違／","")&amp;IF(AND($L2308&lt;&gt;"",INDEX(職員マスタ!$G$6:$G$405,$AP2308)&lt;&gt;"",$L2308&lt;&gt;INDEX(職員マスタ!$G$6:$G$405,$AP2308)),"時短開始日がマスタと相違／","")&amp;IF(AND($M2308&lt;&gt;"",INDEX(職員マスタ!$H$6:$H$405,$AP2308)&lt;&gt;"",$M2308&lt;&gt;INDEX(職員マスタ!$H$6:$H$405,$AP2308)),"時短終了日がマスタと相違／","")))&amp;IF(AND($B2308&lt;&gt;"",$E2308=""),"報酬額が未入力／","")&amp;IF(N($U2308)&gt;0,"申請書に入力エラーが残っています／","")&amp;IF(AND($B2308&lt;&gt;"",$AQ2308&lt;&gt;""),IF(COUNTIFS($B$6:$B$3005,$B2308,$C$6:$C$3005,$C2308,$D$6:$D$3005,$D2308)&gt;1,"同じ月の請求が重複しています／",""),"")&amp;IF(AND(N($E2308)&gt;0,$AB2308&lt;&gt;"",$AB2308&lt;&gt;"×",$AE2308=0,$AD2308=""),"計算額が下限以下のため不支給／",""))</f>
        <v/>
      </c>
      <c r="AN2308" s="12" t="n"/>
      <c r="AO2308" s="14">
        <f>IF($AF2308="保留中",COUNTIF($AF$6:$AF2308,"保留中"),"")</f>
        <v/>
      </c>
      <c r="AP2308" s="14">
        <f>IF($AQ2308="","",IF(SUMPRODUCT(MAX((職員マスタ!$A$6:$A$405=$B2308)*(((職員マスタ!$G$6:$G$405="")+(職員マスタ!$G$6:$G$405&lt;=EOMONTH($AQ2308,0)))&gt;0)*(((職員マスタ!$H$6:$H$405="")+(職員マスタ!$H$6:$H$405&gt;=$AQ2308))&gt;0)*(ROW(職員マスタ!$A$6:$A$405)-5)))&gt;0,SUMPRODUCT(MAX((職員マスタ!$A$6:$A$405=$B2308)*(((職員マスタ!$G$6:$G$405="")+(職員マスタ!$G$6:$G$405&lt;=EOMONTH($AQ2308,0)))&gt;0)*(((職員マスタ!$H$6:$H$405="")+(職員マスタ!$H$6:$H$405&gt;=$AQ2308))&gt;0)*(ROW(職員マスタ!$A$6:$A$405)-5))),IFERROR(MATCH($B2308,職員マスタ!$A$6:$A$405,0),"")))</f>
        <v/>
      </c>
      <c r="AQ2308" s="16">
        <f>IF(OR($B2308="",$C2308="",$D2308=""),"",DATE($C2308+2018,$D2308,1))</f>
        <v/>
      </c>
    </row>
    <row r="2309">
      <c r="A2309" s="11" t="n"/>
      <c r="B2309" s="12" t="n"/>
      <c r="C2309" s="12" t="n"/>
      <c r="D2309" s="12" t="n"/>
      <c r="E2309" s="13" t="n"/>
      <c r="F2309" s="12" t="n"/>
      <c r="G2309" s="13" t="n"/>
      <c r="H2309" s="12" t="n"/>
      <c r="I2309" s="12" t="n"/>
      <c r="J2309" s="12" t="n"/>
      <c r="K2309" s="12" t="n"/>
      <c r="L2309" s="11" t="n"/>
      <c r="M2309" s="11" t="n"/>
      <c r="N2309" s="11" t="n"/>
      <c r="O2309" s="11" t="n"/>
      <c r="P2309" s="12" t="n"/>
      <c r="Q2309" s="11" t="n"/>
      <c r="R2309" s="12" t="n"/>
      <c r="S2309" s="11" t="n"/>
      <c r="T2309" s="12" t="n"/>
      <c r="U2309" s="12" t="n"/>
      <c r="V2309" s="12" t="n"/>
      <c r="W2309" s="13" t="n"/>
      <c r="X2309" s="14">
        <f>IF($AP2309="",IF($B2309="","",$H2309),IF(INDEX(職員マスタ!$B$6:$B$405,$AP2309)="",$H2309,INDEX(職員マスタ!$B$6:$B$405,$AP2309)))</f>
        <v/>
      </c>
      <c r="Y2309" s="14">
        <f>IF($AP2309="",IF($B2309="","",$R2309),IF(INDEX(職員マスタ!$C$6:$C$405,$AP2309)="",$R2309,INDEX(職員マスタ!$C$6:$C$405,$AP2309)))</f>
        <v/>
      </c>
      <c r="Z2309" s="14">
        <f>IF($AQ2309="","","R"&amp;$C2309&amp;"."&amp;$D2309)</f>
        <v/>
      </c>
      <c r="AA2309" s="15">
        <f>IF(IF($AP2309="",FALSE,INDEX(職員マスタ!$K$6:$K$405,$AP2309)&lt;&gt;""),INDEX(職員マスタ!$K$6:$K$405,$AP2309),IF(N($W2309)&gt;0,$W2309,""))</f>
        <v/>
      </c>
      <c r="AB2309" s="14">
        <f>IF(OR($E2309="",$AA2309=""),"",IF($E2309&gt;=$AA2309,"×",IF($E2309&gt;=$AA2309*設定!$C$5,"△","○")))</f>
        <v/>
      </c>
      <c r="AC2309" s="15">
        <f>IF($AB2309="","",IF($AB2309="×",0,IF($AB2309="○",ROUNDDOWN($E2309*設定!$C$4,0),ROUNDDOWN($E2309*ROUND((9*$AA2309-9*$E2309)/(10*$E2309),4),0))))</f>
        <v/>
      </c>
      <c r="AD2309" s="13" t="n"/>
      <c r="AE2309" s="15">
        <f>IF($B2309="","",IF($AD2309&lt;&gt;"",$AD2309,IF($AC2309="","",IF($AC2309&lt;=設定!$C$3,0,$AC2309))))</f>
        <v/>
      </c>
      <c r="AF2309" s="14">
        <f>IF($B2309="","",IF(AND($AG2309&lt;&gt;"",$AI2309="",$AL2309=""),"保留中",IF($AL2309&lt;&gt;"",IF(N($AE2309)&gt;0,"支給済","不支給"),IF($AE2309="","要確認",IF($AE2309=0,"不支給","未処理")))))</f>
        <v/>
      </c>
      <c r="AG2309" s="12" t="n"/>
      <c r="AH2309" s="11" t="n"/>
      <c r="AI2309" s="11" t="n"/>
      <c r="AJ2309" s="11" t="n"/>
      <c r="AK2309" s="14">
        <f>IF(AND($AF2309="保留中",$AH2309&lt;&gt;""),TODAY()-$AH2309,"")</f>
        <v/>
      </c>
      <c r="AL2309" s="12" t="n"/>
      <c r="AM2309" s="14">
        <f>IF($B2309="","",IF($AQ2309="","対象年月が未入力／","")&amp;IF($B2309="","",IF($AP2309="","職員マスタに未登録の職員番号／",IF($AA2309="","標準報酬月額が未登録／","")&amp;IF(AND($AQ2309&lt;&gt;"",OR(AND(INDEX(職員マスタ!$G$6:$G$405,$AP2309)&lt;&gt;"",INDEX(職員マスタ!$G$6:$G$405,$AP2309)&gt;EOMONTH($AQ2309,0)),AND(INDEX(職員マスタ!$H$6:$H$405,$AP2309)&lt;&gt;"",INDEX(職員マスタ!$H$6:$H$405,$AP2309)&lt;$AQ2309))),"対象月が時短期間外／","")&amp;IF(AND(INDEX(職員マスタ!$K$6:$K$405,$AP2309)&lt;&gt;"",N($W2309)&gt;0,INDEX(職員マスタ!$K$6:$K$405,$AP2309)&lt;&gt;$W2309),"標準報酬月額が申請書と相違（台帳"&amp;TEXT(INDEX(職員マスタ!$K$6:$K$405,$AP2309),"#,##0")&amp;"円／申請書"&amp;TEXT($W2309,"#,##0")&amp;"円）／","")&amp;IF(AND(INDEX(職員マスタ!$F$6:$F$405,$AP2309)&lt;&gt;"",$AQ2309&lt;&gt;"",INDEX(職員マスタ!$F$6:$F$405,$AP2309)&lt;$AQ2309),"対象月に子が2歳到達済／","")&amp;IF(AND($H2309&lt;&gt;"",INDEX(職員マスタ!$B$6:$B$405,$AP2309)&lt;&gt;"",SUBSTITUTE(SUBSTITUTE($H2309," ","")," ","")&lt;&gt;SUBSTITUTE(SUBSTITUTE(INDEX(職員マスタ!$B$6:$B$405,$AP2309)," ","")," ","")),"氏名がマスタと相違／","")&amp;IF(AND($Q2309&lt;&gt;"",INDEX(職員マスタ!$E$6:$E$405,$AP2309)&lt;&gt;"",$Q2309&lt;&gt;INDEX(職員マスタ!$E$6:$E$405,$AP2309)),"子の生年月日がマスタと相違／","")&amp;IF(AND($L2309&lt;&gt;"",INDEX(職員マスタ!$G$6:$G$405,$AP2309)&lt;&gt;"",$L2309&lt;&gt;INDEX(職員マスタ!$G$6:$G$405,$AP2309)),"時短開始日がマスタと相違／","")&amp;IF(AND($M2309&lt;&gt;"",INDEX(職員マスタ!$H$6:$H$405,$AP2309)&lt;&gt;"",$M2309&lt;&gt;INDEX(職員マスタ!$H$6:$H$405,$AP2309)),"時短終了日がマスタと相違／","")))&amp;IF(AND($B2309&lt;&gt;"",$E2309=""),"報酬額が未入力／","")&amp;IF(N($U2309)&gt;0,"申請書に入力エラーが残っています／","")&amp;IF(AND($B2309&lt;&gt;"",$AQ2309&lt;&gt;""),IF(COUNTIFS($B$6:$B$3005,$B2309,$C$6:$C$3005,$C2309,$D$6:$D$3005,$D2309)&gt;1,"同じ月の請求が重複しています／",""),"")&amp;IF(AND(N($E2309)&gt;0,$AB2309&lt;&gt;"",$AB2309&lt;&gt;"×",$AE2309=0,$AD2309=""),"計算額が下限以下のため不支給／",""))</f>
        <v/>
      </c>
      <c r="AN2309" s="12" t="n"/>
      <c r="AO2309" s="14">
        <f>IF($AF2309="保留中",COUNTIF($AF$6:$AF2309,"保留中"),"")</f>
        <v/>
      </c>
      <c r="AP2309" s="14">
        <f>IF($AQ2309="","",IF(SUMPRODUCT(MAX((職員マスタ!$A$6:$A$405=$B2309)*(((職員マスタ!$G$6:$G$405="")+(職員マスタ!$G$6:$G$405&lt;=EOMONTH($AQ2309,0)))&gt;0)*(((職員マスタ!$H$6:$H$405="")+(職員マスタ!$H$6:$H$405&gt;=$AQ2309))&gt;0)*(ROW(職員マスタ!$A$6:$A$405)-5)))&gt;0,SUMPRODUCT(MAX((職員マスタ!$A$6:$A$405=$B2309)*(((職員マスタ!$G$6:$G$405="")+(職員マスタ!$G$6:$G$405&lt;=EOMONTH($AQ2309,0)))&gt;0)*(((職員マスタ!$H$6:$H$405="")+(職員マスタ!$H$6:$H$405&gt;=$AQ2309))&gt;0)*(ROW(職員マスタ!$A$6:$A$405)-5))),IFERROR(MATCH($B2309,職員マスタ!$A$6:$A$405,0),"")))</f>
        <v/>
      </c>
      <c r="AQ2309" s="16">
        <f>IF(OR($B2309="",$C2309="",$D2309=""),"",DATE($C2309+2018,$D2309,1))</f>
        <v/>
      </c>
    </row>
    <row r="2310">
      <c r="A2310" s="11" t="n"/>
      <c r="B2310" s="12" t="n"/>
      <c r="C2310" s="12" t="n"/>
      <c r="D2310" s="12" t="n"/>
      <c r="E2310" s="13" t="n"/>
      <c r="F2310" s="12" t="n"/>
      <c r="G2310" s="13" t="n"/>
      <c r="H2310" s="12" t="n"/>
      <c r="I2310" s="12" t="n"/>
      <c r="J2310" s="12" t="n"/>
      <c r="K2310" s="12" t="n"/>
      <c r="L2310" s="11" t="n"/>
      <c r="M2310" s="11" t="n"/>
      <c r="N2310" s="11" t="n"/>
      <c r="O2310" s="11" t="n"/>
      <c r="P2310" s="12" t="n"/>
      <c r="Q2310" s="11" t="n"/>
      <c r="R2310" s="12" t="n"/>
      <c r="S2310" s="11" t="n"/>
      <c r="T2310" s="12" t="n"/>
      <c r="U2310" s="12" t="n"/>
      <c r="V2310" s="12" t="n"/>
      <c r="W2310" s="13" t="n"/>
      <c r="X2310" s="14">
        <f>IF($AP2310="",IF($B2310="","",$H2310),IF(INDEX(職員マスタ!$B$6:$B$405,$AP2310)="",$H2310,INDEX(職員マスタ!$B$6:$B$405,$AP2310)))</f>
        <v/>
      </c>
      <c r="Y2310" s="14">
        <f>IF($AP2310="",IF($B2310="","",$R2310),IF(INDEX(職員マスタ!$C$6:$C$405,$AP2310)="",$R2310,INDEX(職員マスタ!$C$6:$C$405,$AP2310)))</f>
        <v/>
      </c>
      <c r="Z2310" s="14">
        <f>IF($AQ2310="","","R"&amp;$C2310&amp;"."&amp;$D2310)</f>
        <v/>
      </c>
      <c r="AA2310" s="15">
        <f>IF(IF($AP2310="",FALSE,INDEX(職員マスタ!$K$6:$K$405,$AP2310)&lt;&gt;""),INDEX(職員マスタ!$K$6:$K$405,$AP2310),IF(N($W2310)&gt;0,$W2310,""))</f>
        <v/>
      </c>
      <c r="AB2310" s="14">
        <f>IF(OR($E2310="",$AA2310=""),"",IF($E2310&gt;=$AA2310,"×",IF($E2310&gt;=$AA2310*設定!$C$5,"△","○")))</f>
        <v/>
      </c>
      <c r="AC2310" s="15">
        <f>IF($AB2310="","",IF($AB2310="×",0,IF($AB2310="○",ROUNDDOWN($E2310*設定!$C$4,0),ROUNDDOWN($E2310*ROUND((9*$AA2310-9*$E2310)/(10*$E2310),4),0))))</f>
        <v/>
      </c>
      <c r="AD2310" s="13" t="n"/>
      <c r="AE2310" s="15">
        <f>IF($B2310="","",IF($AD2310&lt;&gt;"",$AD2310,IF($AC2310="","",IF($AC2310&lt;=設定!$C$3,0,$AC2310))))</f>
        <v/>
      </c>
      <c r="AF2310" s="14">
        <f>IF($B2310="","",IF(AND($AG2310&lt;&gt;"",$AI2310="",$AL2310=""),"保留中",IF($AL2310&lt;&gt;"",IF(N($AE2310)&gt;0,"支給済","不支給"),IF($AE2310="","要確認",IF($AE2310=0,"不支給","未処理")))))</f>
        <v/>
      </c>
      <c r="AG2310" s="12" t="n"/>
      <c r="AH2310" s="11" t="n"/>
      <c r="AI2310" s="11" t="n"/>
      <c r="AJ2310" s="11" t="n"/>
      <c r="AK2310" s="14">
        <f>IF(AND($AF2310="保留中",$AH2310&lt;&gt;""),TODAY()-$AH2310,"")</f>
        <v/>
      </c>
      <c r="AL2310" s="12" t="n"/>
      <c r="AM2310" s="14">
        <f>IF($B2310="","",IF($AQ2310="","対象年月が未入力／","")&amp;IF($B2310="","",IF($AP2310="","職員マスタに未登録の職員番号／",IF($AA2310="","標準報酬月額が未登録／","")&amp;IF(AND($AQ2310&lt;&gt;"",OR(AND(INDEX(職員マスタ!$G$6:$G$405,$AP2310)&lt;&gt;"",INDEX(職員マスタ!$G$6:$G$405,$AP2310)&gt;EOMONTH($AQ2310,0)),AND(INDEX(職員マスタ!$H$6:$H$405,$AP2310)&lt;&gt;"",INDEX(職員マスタ!$H$6:$H$405,$AP2310)&lt;$AQ2310))),"対象月が時短期間外／","")&amp;IF(AND(INDEX(職員マスタ!$K$6:$K$405,$AP2310)&lt;&gt;"",N($W2310)&gt;0,INDEX(職員マスタ!$K$6:$K$405,$AP2310)&lt;&gt;$W2310),"標準報酬月額が申請書と相違（台帳"&amp;TEXT(INDEX(職員マスタ!$K$6:$K$405,$AP2310),"#,##0")&amp;"円／申請書"&amp;TEXT($W2310,"#,##0")&amp;"円）／","")&amp;IF(AND(INDEX(職員マスタ!$F$6:$F$405,$AP2310)&lt;&gt;"",$AQ2310&lt;&gt;"",INDEX(職員マスタ!$F$6:$F$405,$AP2310)&lt;$AQ2310),"対象月に子が2歳到達済／","")&amp;IF(AND($H2310&lt;&gt;"",INDEX(職員マスタ!$B$6:$B$405,$AP2310)&lt;&gt;"",SUBSTITUTE(SUBSTITUTE($H2310," ","")," ","")&lt;&gt;SUBSTITUTE(SUBSTITUTE(INDEX(職員マスタ!$B$6:$B$405,$AP2310)," ","")," ","")),"氏名がマスタと相違／","")&amp;IF(AND($Q2310&lt;&gt;"",INDEX(職員マスタ!$E$6:$E$405,$AP2310)&lt;&gt;"",$Q2310&lt;&gt;INDEX(職員マスタ!$E$6:$E$405,$AP2310)),"子の生年月日がマスタと相違／","")&amp;IF(AND($L2310&lt;&gt;"",INDEX(職員マスタ!$G$6:$G$405,$AP2310)&lt;&gt;"",$L2310&lt;&gt;INDEX(職員マスタ!$G$6:$G$405,$AP2310)),"時短開始日がマスタと相違／","")&amp;IF(AND($M2310&lt;&gt;"",INDEX(職員マスタ!$H$6:$H$405,$AP2310)&lt;&gt;"",$M2310&lt;&gt;INDEX(職員マスタ!$H$6:$H$405,$AP2310)),"時短終了日がマスタと相違／","")))&amp;IF(AND($B2310&lt;&gt;"",$E2310=""),"報酬額が未入力／","")&amp;IF(N($U2310)&gt;0,"申請書に入力エラーが残っています／","")&amp;IF(AND($B2310&lt;&gt;"",$AQ2310&lt;&gt;""),IF(COUNTIFS($B$6:$B$3005,$B2310,$C$6:$C$3005,$C2310,$D$6:$D$3005,$D2310)&gt;1,"同じ月の請求が重複しています／",""),"")&amp;IF(AND(N($E2310)&gt;0,$AB2310&lt;&gt;"",$AB2310&lt;&gt;"×",$AE2310=0,$AD2310=""),"計算額が下限以下のため不支給／",""))</f>
        <v/>
      </c>
      <c r="AN2310" s="12" t="n"/>
      <c r="AO2310" s="14">
        <f>IF($AF2310="保留中",COUNTIF($AF$6:$AF2310,"保留中"),"")</f>
        <v/>
      </c>
      <c r="AP2310" s="14">
        <f>IF($AQ2310="","",IF(SUMPRODUCT(MAX((職員マスタ!$A$6:$A$405=$B2310)*(((職員マスタ!$G$6:$G$405="")+(職員マスタ!$G$6:$G$405&lt;=EOMONTH($AQ2310,0)))&gt;0)*(((職員マスタ!$H$6:$H$405="")+(職員マスタ!$H$6:$H$405&gt;=$AQ2310))&gt;0)*(ROW(職員マスタ!$A$6:$A$405)-5)))&gt;0,SUMPRODUCT(MAX((職員マスタ!$A$6:$A$405=$B2310)*(((職員マスタ!$G$6:$G$405="")+(職員マスタ!$G$6:$G$405&lt;=EOMONTH($AQ2310,0)))&gt;0)*(((職員マスタ!$H$6:$H$405="")+(職員マスタ!$H$6:$H$405&gt;=$AQ2310))&gt;0)*(ROW(職員マスタ!$A$6:$A$405)-5))),IFERROR(MATCH($B2310,職員マスタ!$A$6:$A$405,0),"")))</f>
        <v/>
      </c>
      <c r="AQ2310" s="16">
        <f>IF(OR($B2310="",$C2310="",$D2310=""),"",DATE($C2310+2018,$D2310,1))</f>
        <v/>
      </c>
    </row>
    <row r="2311">
      <c r="A2311" s="11" t="n"/>
      <c r="B2311" s="12" t="n"/>
      <c r="C2311" s="12" t="n"/>
      <c r="D2311" s="12" t="n"/>
      <c r="E2311" s="13" t="n"/>
      <c r="F2311" s="12" t="n"/>
      <c r="G2311" s="13" t="n"/>
      <c r="H2311" s="12" t="n"/>
      <c r="I2311" s="12" t="n"/>
      <c r="J2311" s="12" t="n"/>
      <c r="K2311" s="12" t="n"/>
      <c r="L2311" s="11" t="n"/>
      <c r="M2311" s="11" t="n"/>
      <c r="N2311" s="11" t="n"/>
      <c r="O2311" s="11" t="n"/>
      <c r="P2311" s="12" t="n"/>
      <c r="Q2311" s="11" t="n"/>
      <c r="R2311" s="12" t="n"/>
      <c r="S2311" s="11" t="n"/>
      <c r="T2311" s="12" t="n"/>
      <c r="U2311" s="12" t="n"/>
      <c r="V2311" s="12" t="n"/>
      <c r="W2311" s="13" t="n"/>
      <c r="X2311" s="14">
        <f>IF($AP2311="",IF($B2311="","",$H2311),IF(INDEX(職員マスタ!$B$6:$B$405,$AP2311)="",$H2311,INDEX(職員マスタ!$B$6:$B$405,$AP2311)))</f>
        <v/>
      </c>
      <c r="Y2311" s="14">
        <f>IF($AP2311="",IF($B2311="","",$R2311),IF(INDEX(職員マスタ!$C$6:$C$405,$AP2311)="",$R2311,INDEX(職員マスタ!$C$6:$C$405,$AP2311)))</f>
        <v/>
      </c>
      <c r="Z2311" s="14">
        <f>IF($AQ2311="","","R"&amp;$C2311&amp;"."&amp;$D2311)</f>
        <v/>
      </c>
      <c r="AA2311" s="15">
        <f>IF(IF($AP2311="",FALSE,INDEX(職員マスタ!$K$6:$K$405,$AP2311)&lt;&gt;""),INDEX(職員マスタ!$K$6:$K$405,$AP2311),IF(N($W2311)&gt;0,$W2311,""))</f>
        <v/>
      </c>
      <c r="AB2311" s="14">
        <f>IF(OR($E2311="",$AA2311=""),"",IF($E2311&gt;=$AA2311,"×",IF($E2311&gt;=$AA2311*設定!$C$5,"△","○")))</f>
        <v/>
      </c>
      <c r="AC2311" s="15">
        <f>IF($AB2311="","",IF($AB2311="×",0,IF($AB2311="○",ROUNDDOWN($E2311*設定!$C$4,0),ROUNDDOWN($E2311*ROUND((9*$AA2311-9*$E2311)/(10*$E2311),4),0))))</f>
        <v/>
      </c>
      <c r="AD2311" s="13" t="n"/>
      <c r="AE2311" s="15">
        <f>IF($B2311="","",IF($AD2311&lt;&gt;"",$AD2311,IF($AC2311="","",IF($AC2311&lt;=設定!$C$3,0,$AC2311))))</f>
        <v/>
      </c>
      <c r="AF2311" s="14">
        <f>IF($B2311="","",IF(AND($AG2311&lt;&gt;"",$AI2311="",$AL2311=""),"保留中",IF($AL2311&lt;&gt;"",IF(N($AE2311)&gt;0,"支給済","不支給"),IF($AE2311="","要確認",IF($AE2311=0,"不支給","未処理")))))</f>
        <v/>
      </c>
      <c r="AG2311" s="12" t="n"/>
      <c r="AH2311" s="11" t="n"/>
      <c r="AI2311" s="11" t="n"/>
      <c r="AJ2311" s="11" t="n"/>
      <c r="AK2311" s="14">
        <f>IF(AND($AF2311="保留中",$AH2311&lt;&gt;""),TODAY()-$AH2311,"")</f>
        <v/>
      </c>
      <c r="AL2311" s="12" t="n"/>
      <c r="AM2311" s="14">
        <f>IF($B2311="","",IF($AQ2311="","対象年月が未入力／","")&amp;IF($B2311="","",IF($AP2311="","職員マスタに未登録の職員番号／",IF($AA2311="","標準報酬月額が未登録／","")&amp;IF(AND($AQ2311&lt;&gt;"",OR(AND(INDEX(職員マスタ!$G$6:$G$405,$AP2311)&lt;&gt;"",INDEX(職員マスタ!$G$6:$G$405,$AP2311)&gt;EOMONTH($AQ2311,0)),AND(INDEX(職員マスタ!$H$6:$H$405,$AP2311)&lt;&gt;"",INDEX(職員マスタ!$H$6:$H$405,$AP2311)&lt;$AQ2311))),"対象月が時短期間外／","")&amp;IF(AND(INDEX(職員マスタ!$K$6:$K$405,$AP2311)&lt;&gt;"",N($W2311)&gt;0,INDEX(職員マスタ!$K$6:$K$405,$AP2311)&lt;&gt;$W2311),"標準報酬月額が申請書と相違（台帳"&amp;TEXT(INDEX(職員マスタ!$K$6:$K$405,$AP2311),"#,##0")&amp;"円／申請書"&amp;TEXT($W2311,"#,##0")&amp;"円）／","")&amp;IF(AND(INDEX(職員マスタ!$F$6:$F$405,$AP2311)&lt;&gt;"",$AQ2311&lt;&gt;"",INDEX(職員マスタ!$F$6:$F$405,$AP2311)&lt;$AQ2311),"対象月に子が2歳到達済／","")&amp;IF(AND($H2311&lt;&gt;"",INDEX(職員マスタ!$B$6:$B$405,$AP2311)&lt;&gt;"",SUBSTITUTE(SUBSTITUTE($H2311," ","")," ","")&lt;&gt;SUBSTITUTE(SUBSTITUTE(INDEX(職員マスタ!$B$6:$B$405,$AP2311)," ","")," ","")),"氏名がマスタと相違／","")&amp;IF(AND($Q2311&lt;&gt;"",INDEX(職員マスタ!$E$6:$E$405,$AP2311)&lt;&gt;"",$Q2311&lt;&gt;INDEX(職員マスタ!$E$6:$E$405,$AP2311)),"子の生年月日がマスタと相違／","")&amp;IF(AND($L2311&lt;&gt;"",INDEX(職員マスタ!$G$6:$G$405,$AP2311)&lt;&gt;"",$L2311&lt;&gt;INDEX(職員マスタ!$G$6:$G$405,$AP2311)),"時短開始日がマスタと相違／","")&amp;IF(AND($M2311&lt;&gt;"",INDEX(職員マスタ!$H$6:$H$405,$AP2311)&lt;&gt;"",$M2311&lt;&gt;INDEX(職員マスタ!$H$6:$H$405,$AP2311)),"時短終了日がマスタと相違／","")))&amp;IF(AND($B2311&lt;&gt;"",$E2311=""),"報酬額が未入力／","")&amp;IF(N($U2311)&gt;0,"申請書に入力エラーが残っています／","")&amp;IF(AND($B2311&lt;&gt;"",$AQ2311&lt;&gt;""),IF(COUNTIFS($B$6:$B$3005,$B2311,$C$6:$C$3005,$C2311,$D$6:$D$3005,$D2311)&gt;1,"同じ月の請求が重複しています／",""),"")&amp;IF(AND(N($E2311)&gt;0,$AB2311&lt;&gt;"",$AB2311&lt;&gt;"×",$AE2311=0,$AD2311=""),"計算額が下限以下のため不支給／",""))</f>
        <v/>
      </c>
      <c r="AN2311" s="12" t="n"/>
      <c r="AO2311" s="14">
        <f>IF($AF2311="保留中",COUNTIF($AF$6:$AF2311,"保留中"),"")</f>
        <v/>
      </c>
      <c r="AP2311" s="14">
        <f>IF($AQ2311="","",IF(SUMPRODUCT(MAX((職員マスタ!$A$6:$A$405=$B2311)*(((職員マスタ!$G$6:$G$405="")+(職員マスタ!$G$6:$G$405&lt;=EOMONTH($AQ2311,0)))&gt;0)*(((職員マスタ!$H$6:$H$405="")+(職員マスタ!$H$6:$H$405&gt;=$AQ2311))&gt;0)*(ROW(職員マスタ!$A$6:$A$405)-5)))&gt;0,SUMPRODUCT(MAX((職員マスタ!$A$6:$A$405=$B2311)*(((職員マスタ!$G$6:$G$405="")+(職員マスタ!$G$6:$G$405&lt;=EOMONTH($AQ2311,0)))&gt;0)*(((職員マスタ!$H$6:$H$405="")+(職員マスタ!$H$6:$H$405&gt;=$AQ2311))&gt;0)*(ROW(職員マスタ!$A$6:$A$405)-5))),IFERROR(MATCH($B2311,職員マスタ!$A$6:$A$405,0),"")))</f>
        <v/>
      </c>
      <c r="AQ2311" s="16">
        <f>IF(OR($B2311="",$C2311="",$D2311=""),"",DATE($C2311+2018,$D2311,1))</f>
        <v/>
      </c>
    </row>
    <row r="2312">
      <c r="A2312" s="11" t="n"/>
      <c r="B2312" s="12" t="n"/>
      <c r="C2312" s="12" t="n"/>
      <c r="D2312" s="12" t="n"/>
      <c r="E2312" s="13" t="n"/>
      <c r="F2312" s="12" t="n"/>
      <c r="G2312" s="13" t="n"/>
      <c r="H2312" s="12" t="n"/>
      <c r="I2312" s="12" t="n"/>
      <c r="J2312" s="12" t="n"/>
      <c r="K2312" s="12" t="n"/>
      <c r="L2312" s="11" t="n"/>
      <c r="M2312" s="11" t="n"/>
      <c r="N2312" s="11" t="n"/>
      <c r="O2312" s="11" t="n"/>
      <c r="P2312" s="12" t="n"/>
      <c r="Q2312" s="11" t="n"/>
      <c r="R2312" s="12" t="n"/>
      <c r="S2312" s="11" t="n"/>
      <c r="T2312" s="12" t="n"/>
      <c r="U2312" s="12" t="n"/>
      <c r="V2312" s="12" t="n"/>
      <c r="W2312" s="13" t="n"/>
      <c r="X2312" s="14">
        <f>IF($AP2312="",IF($B2312="","",$H2312),IF(INDEX(職員マスタ!$B$6:$B$405,$AP2312)="",$H2312,INDEX(職員マスタ!$B$6:$B$405,$AP2312)))</f>
        <v/>
      </c>
      <c r="Y2312" s="14">
        <f>IF($AP2312="",IF($B2312="","",$R2312),IF(INDEX(職員マスタ!$C$6:$C$405,$AP2312)="",$R2312,INDEX(職員マスタ!$C$6:$C$405,$AP2312)))</f>
        <v/>
      </c>
      <c r="Z2312" s="14">
        <f>IF($AQ2312="","","R"&amp;$C2312&amp;"."&amp;$D2312)</f>
        <v/>
      </c>
      <c r="AA2312" s="15">
        <f>IF(IF($AP2312="",FALSE,INDEX(職員マスタ!$K$6:$K$405,$AP2312)&lt;&gt;""),INDEX(職員マスタ!$K$6:$K$405,$AP2312),IF(N($W2312)&gt;0,$W2312,""))</f>
        <v/>
      </c>
      <c r="AB2312" s="14">
        <f>IF(OR($E2312="",$AA2312=""),"",IF($E2312&gt;=$AA2312,"×",IF($E2312&gt;=$AA2312*設定!$C$5,"△","○")))</f>
        <v/>
      </c>
      <c r="AC2312" s="15">
        <f>IF($AB2312="","",IF($AB2312="×",0,IF($AB2312="○",ROUNDDOWN($E2312*設定!$C$4,0),ROUNDDOWN($E2312*ROUND((9*$AA2312-9*$E2312)/(10*$E2312),4),0))))</f>
        <v/>
      </c>
      <c r="AD2312" s="13" t="n"/>
      <c r="AE2312" s="15">
        <f>IF($B2312="","",IF($AD2312&lt;&gt;"",$AD2312,IF($AC2312="","",IF($AC2312&lt;=設定!$C$3,0,$AC2312))))</f>
        <v/>
      </c>
      <c r="AF2312" s="14">
        <f>IF($B2312="","",IF(AND($AG2312&lt;&gt;"",$AI2312="",$AL2312=""),"保留中",IF($AL2312&lt;&gt;"",IF(N($AE2312)&gt;0,"支給済","不支給"),IF($AE2312="","要確認",IF($AE2312=0,"不支給","未処理")))))</f>
        <v/>
      </c>
      <c r="AG2312" s="12" t="n"/>
      <c r="AH2312" s="11" t="n"/>
      <c r="AI2312" s="11" t="n"/>
      <c r="AJ2312" s="11" t="n"/>
      <c r="AK2312" s="14">
        <f>IF(AND($AF2312="保留中",$AH2312&lt;&gt;""),TODAY()-$AH2312,"")</f>
        <v/>
      </c>
      <c r="AL2312" s="12" t="n"/>
      <c r="AM2312" s="14">
        <f>IF($B2312="","",IF($AQ2312="","対象年月が未入力／","")&amp;IF($B2312="","",IF($AP2312="","職員マスタに未登録の職員番号／",IF($AA2312="","標準報酬月額が未登録／","")&amp;IF(AND($AQ2312&lt;&gt;"",OR(AND(INDEX(職員マスタ!$G$6:$G$405,$AP2312)&lt;&gt;"",INDEX(職員マスタ!$G$6:$G$405,$AP2312)&gt;EOMONTH($AQ2312,0)),AND(INDEX(職員マスタ!$H$6:$H$405,$AP2312)&lt;&gt;"",INDEX(職員マスタ!$H$6:$H$405,$AP2312)&lt;$AQ2312))),"対象月が時短期間外／","")&amp;IF(AND(INDEX(職員マスタ!$K$6:$K$405,$AP2312)&lt;&gt;"",N($W2312)&gt;0,INDEX(職員マスタ!$K$6:$K$405,$AP2312)&lt;&gt;$W2312),"標準報酬月額が申請書と相違（台帳"&amp;TEXT(INDEX(職員マスタ!$K$6:$K$405,$AP2312),"#,##0")&amp;"円／申請書"&amp;TEXT($W2312,"#,##0")&amp;"円）／","")&amp;IF(AND(INDEX(職員マスタ!$F$6:$F$405,$AP2312)&lt;&gt;"",$AQ2312&lt;&gt;"",INDEX(職員マスタ!$F$6:$F$405,$AP2312)&lt;$AQ2312),"対象月に子が2歳到達済／","")&amp;IF(AND($H2312&lt;&gt;"",INDEX(職員マスタ!$B$6:$B$405,$AP2312)&lt;&gt;"",SUBSTITUTE(SUBSTITUTE($H2312," ","")," ","")&lt;&gt;SUBSTITUTE(SUBSTITUTE(INDEX(職員マスタ!$B$6:$B$405,$AP2312)," ","")," ","")),"氏名がマスタと相違／","")&amp;IF(AND($Q2312&lt;&gt;"",INDEX(職員マスタ!$E$6:$E$405,$AP2312)&lt;&gt;"",$Q2312&lt;&gt;INDEX(職員マスタ!$E$6:$E$405,$AP2312)),"子の生年月日がマスタと相違／","")&amp;IF(AND($L2312&lt;&gt;"",INDEX(職員マスタ!$G$6:$G$405,$AP2312)&lt;&gt;"",$L2312&lt;&gt;INDEX(職員マスタ!$G$6:$G$405,$AP2312)),"時短開始日がマスタと相違／","")&amp;IF(AND($M2312&lt;&gt;"",INDEX(職員マスタ!$H$6:$H$405,$AP2312)&lt;&gt;"",$M2312&lt;&gt;INDEX(職員マスタ!$H$6:$H$405,$AP2312)),"時短終了日がマスタと相違／","")))&amp;IF(AND($B2312&lt;&gt;"",$E2312=""),"報酬額が未入力／","")&amp;IF(N($U2312)&gt;0,"申請書に入力エラーが残っています／","")&amp;IF(AND($B2312&lt;&gt;"",$AQ2312&lt;&gt;""),IF(COUNTIFS($B$6:$B$3005,$B2312,$C$6:$C$3005,$C2312,$D$6:$D$3005,$D2312)&gt;1,"同じ月の請求が重複しています／",""),"")&amp;IF(AND(N($E2312)&gt;0,$AB2312&lt;&gt;"",$AB2312&lt;&gt;"×",$AE2312=0,$AD2312=""),"計算額が下限以下のため不支給／",""))</f>
        <v/>
      </c>
      <c r="AN2312" s="12" t="n"/>
      <c r="AO2312" s="14">
        <f>IF($AF2312="保留中",COUNTIF($AF$6:$AF2312,"保留中"),"")</f>
        <v/>
      </c>
      <c r="AP2312" s="14">
        <f>IF($AQ2312="","",IF(SUMPRODUCT(MAX((職員マスタ!$A$6:$A$405=$B2312)*(((職員マスタ!$G$6:$G$405="")+(職員マスタ!$G$6:$G$405&lt;=EOMONTH($AQ2312,0)))&gt;0)*(((職員マスタ!$H$6:$H$405="")+(職員マスタ!$H$6:$H$405&gt;=$AQ2312))&gt;0)*(ROW(職員マスタ!$A$6:$A$405)-5)))&gt;0,SUMPRODUCT(MAX((職員マスタ!$A$6:$A$405=$B2312)*(((職員マスタ!$G$6:$G$405="")+(職員マスタ!$G$6:$G$405&lt;=EOMONTH($AQ2312,0)))&gt;0)*(((職員マスタ!$H$6:$H$405="")+(職員マスタ!$H$6:$H$405&gt;=$AQ2312))&gt;0)*(ROW(職員マスタ!$A$6:$A$405)-5))),IFERROR(MATCH($B2312,職員マスタ!$A$6:$A$405,0),"")))</f>
        <v/>
      </c>
      <c r="AQ2312" s="16">
        <f>IF(OR($B2312="",$C2312="",$D2312=""),"",DATE($C2312+2018,$D2312,1))</f>
        <v/>
      </c>
    </row>
    <row r="2313">
      <c r="A2313" s="11" t="n"/>
      <c r="B2313" s="12" t="n"/>
      <c r="C2313" s="12" t="n"/>
      <c r="D2313" s="12" t="n"/>
      <c r="E2313" s="13" t="n"/>
      <c r="F2313" s="12" t="n"/>
      <c r="G2313" s="13" t="n"/>
      <c r="H2313" s="12" t="n"/>
      <c r="I2313" s="12" t="n"/>
      <c r="J2313" s="12" t="n"/>
      <c r="K2313" s="12" t="n"/>
      <c r="L2313" s="11" t="n"/>
      <c r="M2313" s="11" t="n"/>
      <c r="N2313" s="11" t="n"/>
      <c r="O2313" s="11" t="n"/>
      <c r="P2313" s="12" t="n"/>
      <c r="Q2313" s="11" t="n"/>
      <c r="R2313" s="12" t="n"/>
      <c r="S2313" s="11" t="n"/>
      <c r="T2313" s="12" t="n"/>
      <c r="U2313" s="12" t="n"/>
      <c r="V2313" s="12" t="n"/>
      <c r="W2313" s="13" t="n"/>
      <c r="X2313" s="14">
        <f>IF($AP2313="",IF($B2313="","",$H2313),IF(INDEX(職員マスタ!$B$6:$B$405,$AP2313)="",$H2313,INDEX(職員マスタ!$B$6:$B$405,$AP2313)))</f>
        <v/>
      </c>
      <c r="Y2313" s="14">
        <f>IF($AP2313="",IF($B2313="","",$R2313),IF(INDEX(職員マスタ!$C$6:$C$405,$AP2313)="",$R2313,INDEX(職員マスタ!$C$6:$C$405,$AP2313)))</f>
        <v/>
      </c>
      <c r="Z2313" s="14">
        <f>IF($AQ2313="","","R"&amp;$C2313&amp;"."&amp;$D2313)</f>
        <v/>
      </c>
      <c r="AA2313" s="15">
        <f>IF(IF($AP2313="",FALSE,INDEX(職員マスタ!$K$6:$K$405,$AP2313)&lt;&gt;""),INDEX(職員マスタ!$K$6:$K$405,$AP2313),IF(N($W2313)&gt;0,$W2313,""))</f>
        <v/>
      </c>
      <c r="AB2313" s="14">
        <f>IF(OR($E2313="",$AA2313=""),"",IF($E2313&gt;=$AA2313,"×",IF($E2313&gt;=$AA2313*設定!$C$5,"△","○")))</f>
        <v/>
      </c>
      <c r="AC2313" s="15">
        <f>IF($AB2313="","",IF($AB2313="×",0,IF($AB2313="○",ROUNDDOWN($E2313*設定!$C$4,0),ROUNDDOWN($E2313*ROUND((9*$AA2313-9*$E2313)/(10*$E2313),4),0))))</f>
        <v/>
      </c>
      <c r="AD2313" s="13" t="n"/>
      <c r="AE2313" s="15">
        <f>IF($B2313="","",IF($AD2313&lt;&gt;"",$AD2313,IF($AC2313="","",IF($AC2313&lt;=設定!$C$3,0,$AC2313))))</f>
        <v/>
      </c>
      <c r="AF2313" s="14">
        <f>IF($B2313="","",IF(AND($AG2313&lt;&gt;"",$AI2313="",$AL2313=""),"保留中",IF($AL2313&lt;&gt;"",IF(N($AE2313)&gt;0,"支給済","不支給"),IF($AE2313="","要確認",IF($AE2313=0,"不支給","未処理")))))</f>
        <v/>
      </c>
      <c r="AG2313" s="12" t="n"/>
      <c r="AH2313" s="11" t="n"/>
      <c r="AI2313" s="11" t="n"/>
      <c r="AJ2313" s="11" t="n"/>
      <c r="AK2313" s="14">
        <f>IF(AND($AF2313="保留中",$AH2313&lt;&gt;""),TODAY()-$AH2313,"")</f>
        <v/>
      </c>
      <c r="AL2313" s="12" t="n"/>
      <c r="AM2313" s="14">
        <f>IF($B2313="","",IF($AQ2313="","対象年月が未入力／","")&amp;IF($B2313="","",IF($AP2313="","職員マスタに未登録の職員番号／",IF($AA2313="","標準報酬月額が未登録／","")&amp;IF(AND($AQ2313&lt;&gt;"",OR(AND(INDEX(職員マスタ!$G$6:$G$405,$AP2313)&lt;&gt;"",INDEX(職員マスタ!$G$6:$G$405,$AP2313)&gt;EOMONTH($AQ2313,0)),AND(INDEX(職員マスタ!$H$6:$H$405,$AP2313)&lt;&gt;"",INDEX(職員マスタ!$H$6:$H$405,$AP2313)&lt;$AQ2313))),"対象月が時短期間外／","")&amp;IF(AND(INDEX(職員マスタ!$K$6:$K$405,$AP2313)&lt;&gt;"",N($W2313)&gt;0,INDEX(職員マスタ!$K$6:$K$405,$AP2313)&lt;&gt;$W2313),"標準報酬月額が申請書と相違（台帳"&amp;TEXT(INDEX(職員マスタ!$K$6:$K$405,$AP2313),"#,##0")&amp;"円／申請書"&amp;TEXT($W2313,"#,##0")&amp;"円）／","")&amp;IF(AND(INDEX(職員マスタ!$F$6:$F$405,$AP2313)&lt;&gt;"",$AQ2313&lt;&gt;"",INDEX(職員マスタ!$F$6:$F$405,$AP2313)&lt;$AQ2313),"対象月に子が2歳到達済／","")&amp;IF(AND($H2313&lt;&gt;"",INDEX(職員マスタ!$B$6:$B$405,$AP2313)&lt;&gt;"",SUBSTITUTE(SUBSTITUTE($H2313," ","")," ","")&lt;&gt;SUBSTITUTE(SUBSTITUTE(INDEX(職員マスタ!$B$6:$B$405,$AP2313)," ","")," ","")),"氏名がマスタと相違／","")&amp;IF(AND($Q2313&lt;&gt;"",INDEX(職員マスタ!$E$6:$E$405,$AP2313)&lt;&gt;"",$Q2313&lt;&gt;INDEX(職員マスタ!$E$6:$E$405,$AP2313)),"子の生年月日がマスタと相違／","")&amp;IF(AND($L2313&lt;&gt;"",INDEX(職員マスタ!$G$6:$G$405,$AP2313)&lt;&gt;"",$L2313&lt;&gt;INDEX(職員マスタ!$G$6:$G$405,$AP2313)),"時短開始日がマスタと相違／","")&amp;IF(AND($M2313&lt;&gt;"",INDEX(職員マスタ!$H$6:$H$405,$AP2313)&lt;&gt;"",$M2313&lt;&gt;INDEX(職員マスタ!$H$6:$H$405,$AP2313)),"時短終了日がマスタと相違／","")))&amp;IF(AND($B2313&lt;&gt;"",$E2313=""),"報酬額が未入力／","")&amp;IF(N($U2313)&gt;0,"申請書に入力エラーが残っています／","")&amp;IF(AND($B2313&lt;&gt;"",$AQ2313&lt;&gt;""),IF(COUNTIFS($B$6:$B$3005,$B2313,$C$6:$C$3005,$C2313,$D$6:$D$3005,$D2313)&gt;1,"同じ月の請求が重複しています／",""),"")&amp;IF(AND(N($E2313)&gt;0,$AB2313&lt;&gt;"",$AB2313&lt;&gt;"×",$AE2313=0,$AD2313=""),"計算額が下限以下のため不支給／",""))</f>
        <v/>
      </c>
      <c r="AN2313" s="12" t="n"/>
      <c r="AO2313" s="14">
        <f>IF($AF2313="保留中",COUNTIF($AF$6:$AF2313,"保留中"),"")</f>
        <v/>
      </c>
      <c r="AP2313" s="14">
        <f>IF($AQ2313="","",IF(SUMPRODUCT(MAX((職員マスタ!$A$6:$A$405=$B2313)*(((職員マスタ!$G$6:$G$405="")+(職員マスタ!$G$6:$G$405&lt;=EOMONTH($AQ2313,0)))&gt;0)*(((職員マスタ!$H$6:$H$405="")+(職員マスタ!$H$6:$H$405&gt;=$AQ2313))&gt;0)*(ROW(職員マスタ!$A$6:$A$405)-5)))&gt;0,SUMPRODUCT(MAX((職員マスタ!$A$6:$A$405=$B2313)*(((職員マスタ!$G$6:$G$405="")+(職員マスタ!$G$6:$G$405&lt;=EOMONTH($AQ2313,0)))&gt;0)*(((職員マスタ!$H$6:$H$405="")+(職員マスタ!$H$6:$H$405&gt;=$AQ2313))&gt;0)*(ROW(職員マスタ!$A$6:$A$405)-5))),IFERROR(MATCH($B2313,職員マスタ!$A$6:$A$405,0),"")))</f>
        <v/>
      </c>
      <c r="AQ2313" s="16">
        <f>IF(OR($B2313="",$C2313="",$D2313=""),"",DATE($C2313+2018,$D2313,1))</f>
        <v/>
      </c>
    </row>
    <row r="2314">
      <c r="A2314" s="11" t="n"/>
      <c r="B2314" s="12" t="n"/>
      <c r="C2314" s="12" t="n"/>
      <c r="D2314" s="12" t="n"/>
      <c r="E2314" s="13" t="n"/>
      <c r="F2314" s="12" t="n"/>
      <c r="G2314" s="13" t="n"/>
      <c r="H2314" s="12" t="n"/>
      <c r="I2314" s="12" t="n"/>
      <c r="J2314" s="12" t="n"/>
      <c r="K2314" s="12" t="n"/>
      <c r="L2314" s="11" t="n"/>
      <c r="M2314" s="11" t="n"/>
      <c r="N2314" s="11" t="n"/>
      <c r="O2314" s="11" t="n"/>
      <c r="P2314" s="12" t="n"/>
      <c r="Q2314" s="11" t="n"/>
      <c r="R2314" s="12" t="n"/>
      <c r="S2314" s="11" t="n"/>
      <c r="T2314" s="12" t="n"/>
      <c r="U2314" s="12" t="n"/>
      <c r="V2314" s="12" t="n"/>
      <c r="W2314" s="13" t="n"/>
      <c r="X2314" s="14">
        <f>IF($AP2314="",IF($B2314="","",$H2314),IF(INDEX(職員マスタ!$B$6:$B$405,$AP2314)="",$H2314,INDEX(職員マスタ!$B$6:$B$405,$AP2314)))</f>
        <v/>
      </c>
      <c r="Y2314" s="14">
        <f>IF($AP2314="",IF($B2314="","",$R2314),IF(INDEX(職員マスタ!$C$6:$C$405,$AP2314)="",$R2314,INDEX(職員マスタ!$C$6:$C$405,$AP2314)))</f>
        <v/>
      </c>
      <c r="Z2314" s="14">
        <f>IF($AQ2314="","","R"&amp;$C2314&amp;"."&amp;$D2314)</f>
        <v/>
      </c>
      <c r="AA2314" s="15">
        <f>IF(IF($AP2314="",FALSE,INDEX(職員マスタ!$K$6:$K$405,$AP2314)&lt;&gt;""),INDEX(職員マスタ!$K$6:$K$405,$AP2314),IF(N($W2314)&gt;0,$W2314,""))</f>
        <v/>
      </c>
      <c r="AB2314" s="14">
        <f>IF(OR($E2314="",$AA2314=""),"",IF($E2314&gt;=$AA2314,"×",IF($E2314&gt;=$AA2314*設定!$C$5,"△","○")))</f>
        <v/>
      </c>
      <c r="AC2314" s="15">
        <f>IF($AB2314="","",IF($AB2314="×",0,IF($AB2314="○",ROUNDDOWN($E2314*設定!$C$4,0),ROUNDDOWN($E2314*ROUND((9*$AA2314-9*$E2314)/(10*$E2314),4),0))))</f>
        <v/>
      </c>
      <c r="AD2314" s="13" t="n"/>
      <c r="AE2314" s="15">
        <f>IF($B2314="","",IF($AD2314&lt;&gt;"",$AD2314,IF($AC2314="","",IF($AC2314&lt;=設定!$C$3,0,$AC2314))))</f>
        <v/>
      </c>
      <c r="AF2314" s="14">
        <f>IF($B2314="","",IF(AND($AG2314&lt;&gt;"",$AI2314="",$AL2314=""),"保留中",IF($AL2314&lt;&gt;"",IF(N($AE2314)&gt;0,"支給済","不支給"),IF($AE2314="","要確認",IF($AE2314=0,"不支給","未処理")))))</f>
        <v/>
      </c>
      <c r="AG2314" s="12" t="n"/>
      <c r="AH2314" s="11" t="n"/>
      <c r="AI2314" s="11" t="n"/>
      <c r="AJ2314" s="11" t="n"/>
      <c r="AK2314" s="14">
        <f>IF(AND($AF2314="保留中",$AH2314&lt;&gt;""),TODAY()-$AH2314,"")</f>
        <v/>
      </c>
      <c r="AL2314" s="12" t="n"/>
      <c r="AM2314" s="14">
        <f>IF($B2314="","",IF($AQ2314="","対象年月が未入力／","")&amp;IF($B2314="","",IF($AP2314="","職員マスタに未登録の職員番号／",IF($AA2314="","標準報酬月額が未登録／","")&amp;IF(AND($AQ2314&lt;&gt;"",OR(AND(INDEX(職員マスタ!$G$6:$G$405,$AP2314)&lt;&gt;"",INDEX(職員マスタ!$G$6:$G$405,$AP2314)&gt;EOMONTH($AQ2314,0)),AND(INDEX(職員マスタ!$H$6:$H$405,$AP2314)&lt;&gt;"",INDEX(職員マスタ!$H$6:$H$405,$AP2314)&lt;$AQ2314))),"対象月が時短期間外／","")&amp;IF(AND(INDEX(職員マスタ!$K$6:$K$405,$AP2314)&lt;&gt;"",N($W2314)&gt;0,INDEX(職員マスタ!$K$6:$K$405,$AP2314)&lt;&gt;$W2314),"標準報酬月額が申請書と相違（台帳"&amp;TEXT(INDEX(職員マスタ!$K$6:$K$405,$AP2314),"#,##0")&amp;"円／申請書"&amp;TEXT($W2314,"#,##0")&amp;"円）／","")&amp;IF(AND(INDEX(職員マスタ!$F$6:$F$405,$AP2314)&lt;&gt;"",$AQ2314&lt;&gt;"",INDEX(職員マスタ!$F$6:$F$405,$AP2314)&lt;$AQ2314),"対象月に子が2歳到達済／","")&amp;IF(AND($H2314&lt;&gt;"",INDEX(職員マスタ!$B$6:$B$405,$AP2314)&lt;&gt;"",SUBSTITUTE(SUBSTITUTE($H2314," ","")," ","")&lt;&gt;SUBSTITUTE(SUBSTITUTE(INDEX(職員マスタ!$B$6:$B$405,$AP2314)," ","")," ","")),"氏名がマスタと相違／","")&amp;IF(AND($Q2314&lt;&gt;"",INDEX(職員マスタ!$E$6:$E$405,$AP2314)&lt;&gt;"",$Q2314&lt;&gt;INDEX(職員マスタ!$E$6:$E$405,$AP2314)),"子の生年月日がマスタと相違／","")&amp;IF(AND($L2314&lt;&gt;"",INDEX(職員マスタ!$G$6:$G$405,$AP2314)&lt;&gt;"",$L2314&lt;&gt;INDEX(職員マスタ!$G$6:$G$405,$AP2314)),"時短開始日がマスタと相違／","")&amp;IF(AND($M2314&lt;&gt;"",INDEX(職員マスタ!$H$6:$H$405,$AP2314)&lt;&gt;"",$M2314&lt;&gt;INDEX(職員マスタ!$H$6:$H$405,$AP2314)),"時短終了日がマスタと相違／","")))&amp;IF(AND($B2314&lt;&gt;"",$E2314=""),"報酬額が未入力／","")&amp;IF(N($U2314)&gt;0,"申請書に入力エラーが残っています／","")&amp;IF(AND($B2314&lt;&gt;"",$AQ2314&lt;&gt;""),IF(COUNTIFS($B$6:$B$3005,$B2314,$C$6:$C$3005,$C2314,$D$6:$D$3005,$D2314)&gt;1,"同じ月の請求が重複しています／",""),"")&amp;IF(AND(N($E2314)&gt;0,$AB2314&lt;&gt;"",$AB2314&lt;&gt;"×",$AE2314=0,$AD2314=""),"計算額が下限以下のため不支給／",""))</f>
        <v/>
      </c>
      <c r="AN2314" s="12" t="n"/>
      <c r="AO2314" s="14">
        <f>IF($AF2314="保留中",COUNTIF($AF$6:$AF2314,"保留中"),"")</f>
        <v/>
      </c>
      <c r="AP2314" s="14">
        <f>IF($AQ2314="","",IF(SUMPRODUCT(MAX((職員マスタ!$A$6:$A$405=$B2314)*(((職員マスタ!$G$6:$G$405="")+(職員マスタ!$G$6:$G$405&lt;=EOMONTH($AQ2314,0)))&gt;0)*(((職員マスタ!$H$6:$H$405="")+(職員マスタ!$H$6:$H$405&gt;=$AQ2314))&gt;0)*(ROW(職員マスタ!$A$6:$A$405)-5)))&gt;0,SUMPRODUCT(MAX((職員マスタ!$A$6:$A$405=$B2314)*(((職員マスタ!$G$6:$G$405="")+(職員マスタ!$G$6:$G$405&lt;=EOMONTH($AQ2314,0)))&gt;0)*(((職員マスタ!$H$6:$H$405="")+(職員マスタ!$H$6:$H$405&gt;=$AQ2314))&gt;0)*(ROW(職員マスタ!$A$6:$A$405)-5))),IFERROR(MATCH($B2314,職員マスタ!$A$6:$A$405,0),"")))</f>
        <v/>
      </c>
      <c r="AQ2314" s="16">
        <f>IF(OR($B2314="",$C2314="",$D2314=""),"",DATE($C2314+2018,$D2314,1))</f>
        <v/>
      </c>
    </row>
    <row r="2315">
      <c r="A2315" s="11" t="n"/>
      <c r="B2315" s="12" t="n"/>
      <c r="C2315" s="12" t="n"/>
      <c r="D2315" s="12" t="n"/>
      <c r="E2315" s="13" t="n"/>
      <c r="F2315" s="12" t="n"/>
      <c r="G2315" s="13" t="n"/>
      <c r="H2315" s="12" t="n"/>
      <c r="I2315" s="12" t="n"/>
      <c r="J2315" s="12" t="n"/>
      <c r="K2315" s="12" t="n"/>
      <c r="L2315" s="11" t="n"/>
      <c r="M2315" s="11" t="n"/>
      <c r="N2315" s="11" t="n"/>
      <c r="O2315" s="11" t="n"/>
      <c r="P2315" s="12" t="n"/>
      <c r="Q2315" s="11" t="n"/>
      <c r="R2315" s="12" t="n"/>
      <c r="S2315" s="11" t="n"/>
      <c r="T2315" s="12" t="n"/>
      <c r="U2315" s="12" t="n"/>
      <c r="V2315" s="12" t="n"/>
      <c r="W2315" s="13" t="n"/>
      <c r="X2315" s="14">
        <f>IF($AP2315="",IF($B2315="","",$H2315),IF(INDEX(職員マスタ!$B$6:$B$405,$AP2315)="",$H2315,INDEX(職員マスタ!$B$6:$B$405,$AP2315)))</f>
        <v/>
      </c>
      <c r="Y2315" s="14">
        <f>IF($AP2315="",IF($B2315="","",$R2315),IF(INDEX(職員マスタ!$C$6:$C$405,$AP2315)="",$R2315,INDEX(職員マスタ!$C$6:$C$405,$AP2315)))</f>
        <v/>
      </c>
      <c r="Z2315" s="14">
        <f>IF($AQ2315="","","R"&amp;$C2315&amp;"."&amp;$D2315)</f>
        <v/>
      </c>
      <c r="AA2315" s="15">
        <f>IF(IF($AP2315="",FALSE,INDEX(職員マスタ!$K$6:$K$405,$AP2315)&lt;&gt;""),INDEX(職員マスタ!$K$6:$K$405,$AP2315),IF(N($W2315)&gt;0,$W2315,""))</f>
        <v/>
      </c>
      <c r="AB2315" s="14">
        <f>IF(OR($E2315="",$AA2315=""),"",IF($E2315&gt;=$AA2315,"×",IF($E2315&gt;=$AA2315*設定!$C$5,"△","○")))</f>
        <v/>
      </c>
      <c r="AC2315" s="15">
        <f>IF($AB2315="","",IF($AB2315="×",0,IF($AB2315="○",ROUNDDOWN($E2315*設定!$C$4,0),ROUNDDOWN($E2315*ROUND((9*$AA2315-9*$E2315)/(10*$E2315),4),0))))</f>
        <v/>
      </c>
      <c r="AD2315" s="13" t="n"/>
      <c r="AE2315" s="15">
        <f>IF($B2315="","",IF($AD2315&lt;&gt;"",$AD2315,IF($AC2315="","",IF($AC2315&lt;=設定!$C$3,0,$AC2315))))</f>
        <v/>
      </c>
      <c r="AF2315" s="14">
        <f>IF($B2315="","",IF(AND($AG2315&lt;&gt;"",$AI2315="",$AL2315=""),"保留中",IF($AL2315&lt;&gt;"",IF(N($AE2315)&gt;0,"支給済","不支給"),IF($AE2315="","要確認",IF($AE2315=0,"不支給","未処理")))))</f>
        <v/>
      </c>
      <c r="AG2315" s="12" t="n"/>
      <c r="AH2315" s="11" t="n"/>
      <c r="AI2315" s="11" t="n"/>
      <c r="AJ2315" s="11" t="n"/>
      <c r="AK2315" s="14">
        <f>IF(AND($AF2315="保留中",$AH2315&lt;&gt;""),TODAY()-$AH2315,"")</f>
        <v/>
      </c>
      <c r="AL2315" s="12" t="n"/>
      <c r="AM2315" s="14">
        <f>IF($B2315="","",IF($AQ2315="","対象年月が未入力／","")&amp;IF($B2315="","",IF($AP2315="","職員マスタに未登録の職員番号／",IF($AA2315="","標準報酬月額が未登録／","")&amp;IF(AND($AQ2315&lt;&gt;"",OR(AND(INDEX(職員マスタ!$G$6:$G$405,$AP2315)&lt;&gt;"",INDEX(職員マスタ!$G$6:$G$405,$AP2315)&gt;EOMONTH($AQ2315,0)),AND(INDEX(職員マスタ!$H$6:$H$405,$AP2315)&lt;&gt;"",INDEX(職員マスタ!$H$6:$H$405,$AP2315)&lt;$AQ2315))),"対象月が時短期間外／","")&amp;IF(AND(INDEX(職員マスタ!$K$6:$K$405,$AP2315)&lt;&gt;"",N($W2315)&gt;0,INDEX(職員マスタ!$K$6:$K$405,$AP2315)&lt;&gt;$W2315),"標準報酬月額が申請書と相違（台帳"&amp;TEXT(INDEX(職員マスタ!$K$6:$K$405,$AP2315),"#,##0")&amp;"円／申請書"&amp;TEXT($W2315,"#,##0")&amp;"円）／","")&amp;IF(AND(INDEX(職員マスタ!$F$6:$F$405,$AP2315)&lt;&gt;"",$AQ2315&lt;&gt;"",INDEX(職員マスタ!$F$6:$F$405,$AP2315)&lt;$AQ2315),"対象月に子が2歳到達済／","")&amp;IF(AND($H2315&lt;&gt;"",INDEX(職員マスタ!$B$6:$B$405,$AP2315)&lt;&gt;"",SUBSTITUTE(SUBSTITUTE($H2315," ","")," ","")&lt;&gt;SUBSTITUTE(SUBSTITUTE(INDEX(職員マスタ!$B$6:$B$405,$AP2315)," ","")," ","")),"氏名がマスタと相違／","")&amp;IF(AND($Q2315&lt;&gt;"",INDEX(職員マスタ!$E$6:$E$405,$AP2315)&lt;&gt;"",$Q2315&lt;&gt;INDEX(職員マスタ!$E$6:$E$405,$AP2315)),"子の生年月日がマスタと相違／","")&amp;IF(AND($L2315&lt;&gt;"",INDEX(職員マスタ!$G$6:$G$405,$AP2315)&lt;&gt;"",$L2315&lt;&gt;INDEX(職員マスタ!$G$6:$G$405,$AP2315)),"時短開始日がマスタと相違／","")&amp;IF(AND($M2315&lt;&gt;"",INDEX(職員マスタ!$H$6:$H$405,$AP2315)&lt;&gt;"",$M2315&lt;&gt;INDEX(職員マスタ!$H$6:$H$405,$AP2315)),"時短終了日がマスタと相違／","")))&amp;IF(AND($B2315&lt;&gt;"",$E2315=""),"報酬額が未入力／","")&amp;IF(N($U2315)&gt;0,"申請書に入力エラーが残っています／","")&amp;IF(AND($B2315&lt;&gt;"",$AQ2315&lt;&gt;""),IF(COUNTIFS($B$6:$B$3005,$B2315,$C$6:$C$3005,$C2315,$D$6:$D$3005,$D2315)&gt;1,"同じ月の請求が重複しています／",""),"")&amp;IF(AND(N($E2315)&gt;0,$AB2315&lt;&gt;"",$AB2315&lt;&gt;"×",$AE2315=0,$AD2315=""),"計算額が下限以下のため不支給／",""))</f>
        <v/>
      </c>
      <c r="AN2315" s="12" t="n"/>
      <c r="AO2315" s="14">
        <f>IF($AF2315="保留中",COUNTIF($AF$6:$AF2315,"保留中"),"")</f>
        <v/>
      </c>
      <c r="AP2315" s="14">
        <f>IF($AQ2315="","",IF(SUMPRODUCT(MAX((職員マスタ!$A$6:$A$405=$B2315)*(((職員マスタ!$G$6:$G$405="")+(職員マスタ!$G$6:$G$405&lt;=EOMONTH($AQ2315,0)))&gt;0)*(((職員マスタ!$H$6:$H$405="")+(職員マスタ!$H$6:$H$405&gt;=$AQ2315))&gt;0)*(ROW(職員マスタ!$A$6:$A$405)-5)))&gt;0,SUMPRODUCT(MAX((職員マスタ!$A$6:$A$405=$B2315)*(((職員マスタ!$G$6:$G$405="")+(職員マスタ!$G$6:$G$405&lt;=EOMONTH($AQ2315,0)))&gt;0)*(((職員マスタ!$H$6:$H$405="")+(職員マスタ!$H$6:$H$405&gt;=$AQ2315))&gt;0)*(ROW(職員マスタ!$A$6:$A$405)-5))),IFERROR(MATCH($B2315,職員マスタ!$A$6:$A$405,0),"")))</f>
        <v/>
      </c>
      <c r="AQ2315" s="16">
        <f>IF(OR($B2315="",$C2315="",$D2315=""),"",DATE($C2315+2018,$D2315,1))</f>
        <v/>
      </c>
    </row>
    <row r="2316">
      <c r="A2316" s="11" t="n"/>
      <c r="B2316" s="12" t="n"/>
      <c r="C2316" s="12" t="n"/>
      <c r="D2316" s="12" t="n"/>
      <c r="E2316" s="13" t="n"/>
      <c r="F2316" s="12" t="n"/>
      <c r="G2316" s="13" t="n"/>
      <c r="H2316" s="12" t="n"/>
      <c r="I2316" s="12" t="n"/>
      <c r="J2316" s="12" t="n"/>
      <c r="K2316" s="12" t="n"/>
      <c r="L2316" s="11" t="n"/>
      <c r="M2316" s="11" t="n"/>
      <c r="N2316" s="11" t="n"/>
      <c r="O2316" s="11" t="n"/>
      <c r="P2316" s="12" t="n"/>
      <c r="Q2316" s="11" t="n"/>
      <c r="R2316" s="12" t="n"/>
      <c r="S2316" s="11" t="n"/>
      <c r="T2316" s="12" t="n"/>
      <c r="U2316" s="12" t="n"/>
      <c r="V2316" s="12" t="n"/>
      <c r="W2316" s="13" t="n"/>
      <c r="X2316" s="14">
        <f>IF($AP2316="",IF($B2316="","",$H2316),IF(INDEX(職員マスタ!$B$6:$B$405,$AP2316)="",$H2316,INDEX(職員マスタ!$B$6:$B$405,$AP2316)))</f>
        <v/>
      </c>
      <c r="Y2316" s="14">
        <f>IF($AP2316="",IF($B2316="","",$R2316),IF(INDEX(職員マスタ!$C$6:$C$405,$AP2316)="",$R2316,INDEX(職員マスタ!$C$6:$C$405,$AP2316)))</f>
        <v/>
      </c>
      <c r="Z2316" s="14">
        <f>IF($AQ2316="","","R"&amp;$C2316&amp;"."&amp;$D2316)</f>
        <v/>
      </c>
      <c r="AA2316" s="15">
        <f>IF(IF($AP2316="",FALSE,INDEX(職員マスタ!$K$6:$K$405,$AP2316)&lt;&gt;""),INDEX(職員マスタ!$K$6:$K$405,$AP2316),IF(N($W2316)&gt;0,$W2316,""))</f>
        <v/>
      </c>
      <c r="AB2316" s="14">
        <f>IF(OR($E2316="",$AA2316=""),"",IF($E2316&gt;=$AA2316,"×",IF($E2316&gt;=$AA2316*設定!$C$5,"△","○")))</f>
        <v/>
      </c>
      <c r="AC2316" s="15">
        <f>IF($AB2316="","",IF($AB2316="×",0,IF($AB2316="○",ROUNDDOWN($E2316*設定!$C$4,0),ROUNDDOWN($E2316*ROUND((9*$AA2316-9*$E2316)/(10*$E2316),4),0))))</f>
        <v/>
      </c>
      <c r="AD2316" s="13" t="n"/>
      <c r="AE2316" s="15">
        <f>IF($B2316="","",IF($AD2316&lt;&gt;"",$AD2316,IF($AC2316="","",IF($AC2316&lt;=設定!$C$3,0,$AC2316))))</f>
        <v/>
      </c>
      <c r="AF2316" s="14">
        <f>IF($B2316="","",IF(AND($AG2316&lt;&gt;"",$AI2316="",$AL2316=""),"保留中",IF($AL2316&lt;&gt;"",IF(N($AE2316)&gt;0,"支給済","不支給"),IF($AE2316="","要確認",IF($AE2316=0,"不支給","未処理")))))</f>
        <v/>
      </c>
      <c r="AG2316" s="12" t="n"/>
      <c r="AH2316" s="11" t="n"/>
      <c r="AI2316" s="11" t="n"/>
      <c r="AJ2316" s="11" t="n"/>
      <c r="AK2316" s="14">
        <f>IF(AND($AF2316="保留中",$AH2316&lt;&gt;""),TODAY()-$AH2316,"")</f>
        <v/>
      </c>
      <c r="AL2316" s="12" t="n"/>
      <c r="AM2316" s="14">
        <f>IF($B2316="","",IF($AQ2316="","対象年月が未入力／","")&amp;IF($B2316="","",IF($AP2316="","職員マスタに未登録の職員番号／",IF($AA2316="","標準報酬月額が未登録／","")&amp;IF(AND($AQ2316&lt;&gt;"",OR(AND(INDEX(職員マスタ!$G$6:$G$405,$AP2316)&lt;&gt;"",INDEX(職員マスタ!$G$6:$G$405,$AP2316)&gt;EOMONTH($AQ2316,0)),AND(INDEX(職員マスタ!$H$6:$H$405,$AP2316)&lt;&gt;"",INDEX(職員マスタ!$H$6:$H$405,$AP2316)&lt;$AQ2316))),"対象月が時短期間外／","")&amp;IF(AND(INDEX(職員マスタ!$K$6:$K$405,$AP2316)&lt;&gt;"",N($W2316)&gt;0,INDEX(職員マスタ!$K$6:$K$405,$AP2316)&lt;&gt;$W2316),"標準報酬月額が申請書と相違（台帳"&amp;TEXT(INDEX(職員マスタ!$K$6:$K$405,$AP2316),"#,##0")&amp;"円／申請書"&amp;TEXT($W2316,"#,##0")&amp;"円）／","")&amp;IF(AND(INDEX(職員マスタ!$F$6:$F$405,$AP2316)&lt;&gt;"",$AQ2316&lt;&gt;"",INDEX(職員マスタ!$F$6:$F$405,$AP2316)&lt;$AQ2316),"対象月に子が2歳到達済／","")&amp;IF(AND($H2316&lt;&gt;"",INDEX(職員マスタ!$B$6:$B$405,$AP2316)&lt;&gt;"",SUBSTITUTE(SUBSTITUTE($H2316," ","")," ","")&lt;&gt;SUBSTITUTE(SUBSTITUTE(INDEX(職員マスタ!$B$6:$B$405,$AP2316)," ","")," ","")),"氏名がマスタと相違／","")&amp;IF(AND($Q2316&lt;&gt;"",INDEX(職員マスタ!$E$6:$E$405,$AP2316)&lt;&gt;"",$Q2316&lt;&gt;INDEX(職員マスタ!$E$6:$E$405,$AP2316)),"子の生年月日がマスタと相違／","")&amp;IF(AND($L2316&lt;&gt;"",INDEX(職員マスタ!$G$6:$G$405,$AP2316)&lt;&gt;"",$L2316&lt;&gt;INDEX(職員マスタ!$G$6:$G$405,$AP2316)),"時短開始日がマスタと相違／","")&amp;IF(AND($M2316&lt;&gt;"",INDEX(職員マスタ!$H$6:$H$405,$AP2316)&lt;&gt;"",$M2316&lt;&gt;INDEX(職員マスタ!$H$6:$H$405,$AP2316)),"時短終了日がマスタと相違／","")))&amp;IF(AND($B2316&lt;&gt;"",$E2316=""),"報酬額が未入力／","")&amp;IF(N($U2316)&gt;0,"申請書に入力エラーが残っています／","")&amp;IF(AND($B2316&lt;&gt;"",$AQ2316&lt;&gt;""),IF(COUNTIFS($B$6:$B$3005,$B2316,$C$6:$C$3005,$C2316,$D$6:$D$3005,$D2316)&gt;1,"同じ月の請求が重複しています／",""),"")&amp;IF(AND(N($E2316)&gt;0,$AB2316&lt;&gt;"",$AB2316&lt;&gt;"×",$AE2316=0,$AD2316=""),"計算額が下限以下のため不支給／",""))</f>
        <v/>
      </c>
      <c r="AN2316" s="12" t="n"/>
      <c r="AO2316" s="14">
        <f>IF($AF2316="保留中",COUNTIF($AF$6:$AF2316,"保留中"),"")</f>
        <v/>
      </c>
      <c r="AP2316" s="14">
        <f>IF($AQ2316="","",IF(SUMPRODUCT(MAX((職員マスタ!$A$6:$A$405=$B2316)*(((職員マスタ!$G$6:$G$405="")+(職員マスタ!$G$6:$G$405&lt;=EOMONTH($AQ2316,0)))&gt;0)*(((職員マスタ!$H$6:$H$405="")+(職員マスタ!$H$6:$H$405&gt;=$AQ2316))&gt;0)*(ROW(職員マスタ!$A$6:$A$405)-5)))&gt;0,SUMPRODUCT(MAX((職員マスタ!$A$6:$A$405=$B2316)*(((職員マスタ!$G$6:$G$405="")+(職員マスタ!$G$6:$G$405&lt;=EOMONTH($AQ2316,0)))&gt;0)*(((職員マスタ!$H$6:$H$405="")+(職員マスタ!$H$6:$H$405&gt;=$AQ2316))&gt;0)*(ROW(職員マスタ!$A$6:$A$405)-5))),IFERROR(MATCH($B2316,職員マスタ!$A$6:$A$405,0),"")))</f>
        <v/>
      </c>
      <c r="AQ2316" s="16">
        <f>IF(OR($B2316="",$C2316="",$D2316=""),"",DATE($C2316+2018,$D2316,1))</f>
        <v/>
      </c>
    </row>
    <row r="2317">
      <c r="A2317" s="11" t="n"/>
      <c r="B2317" s="12" t="n"/>
      <c r="C2317" s="12" t="n"/>
      <c r="D2317" s="12" t="n"/>
      <c r="E2317" s="13" t="n"/>
      <c r="F2317" s="12" t="n"/>
      <c r="G2317" s="13" t="n"/>
      <c r="H2317" s="12" t="n"/>
      <c r="I2317" s="12" t="n"/>
      <c r="J2317" s="12" t="n"/>
      <c r="K2317" s="12" t="n"/>
      <c r="L2317" s="11" t="n"/>
      <c r="M2317" s="11" t="n"/>
      <c r="N2317" s="11" t="n"/>
      <c r="O2317" s="11" t="n"/>
      <c r="P2317" s="12" t="n"/>
      <c r="Q2317" s="11" t="n"/>
      <c r="R2317" s="12" t="n"/>
      <c r="S2317" s="11" t="n"/>
      <c r="T2317" s="12" t="n"/>
      <c r="U2317" s="12" t="n"/>
      <c r="V2317" s="12" t="n"/>
      <c r="W2317" s="13" t="n"/>
      <c r="X2317" s="14">
        <f>IF($AP2317="",IF($B2317="","",$H2317),IF(INDEX(職員マスタ!$B$6:$B$405,$AP2317)="",$H2317,INDEX(職員マスタ!$B$6:$B$405,$AP2317)))</f>
        <v/>
      </c>
      <c r="Y2317" s="14">
        <f>IF($AP2317="",IF($B2317="","",$R2317),IF(INDEX(職員マスタ!$C$6:$C$405,$AP2317)="",$R2317,INDEX(職員マスタ!$C$6:$C$405,$AP2317)))</f>
        <v/>
      </c>
      <c r="Z2317" s="14">
        <f>IF($AQ2317="","","R"&amp;$C2317&amp;"."&amp;$D2317)</f>
        <v/>
      </c>
      <c r="AA2317" s="15">
        <f>IF(IF($AP2317="",FALSE,INDEX(職員マスタ!$K$6:$K$405,$AP2317)&lt;&gt;""),INDEX(職員マスタ!$K$6:$K$405,$AP2317),IF(N($W2317)&gt;0,$W2317,""))</f>
        <v/>
      </c>
      <c r="AB2317" s="14">
        <f>IF(OR($E2317="",$AA2317=""),"",IF($E2317&gt;=$AA2317,"×",IF($E2317&gt;=$AA2317*設定!$C$5,"△","○")))</f>
        <v/>
      </c>
      <c r="AC2317" s="15">
        <f>IF($AB2317="","",IF($AB2317="×",0,IF($AB2317="○",ROUNDDOWN($E2317*設定!$C$4,0),ROUNDDOWN($E2317*ROUND((9*$AA2317-9*$E2317)/(10*$E2317),4),0))))</f>
        <v/>
      </c>
      <c r="AD2317" s="13" t="n"/>
      <c r="AE2317" s="15">
        <f>IF($B2317="","",IF($AD2317&lt;&gt;"",$AD2317,IF($AC2317="","",IF($AC2317&lt;=設定!$C$3,0,$AC2317))))</f>
        <v/>
      </c>
      <c r="AF2317" s="14">
        <f>IF($B2317="","",IF(AND($AG2317&lt;&gt;"",$AI2317="",$AL2317=""),"保留中",IF($AL2317&lt;&gt;"",IF(N($AE2317)&gt;0,"支給済","不支給"),IF($AE2317="","要確認",IF($AE2317=0,"不支給","未処理")))))</f>
        <v/>
      </c>
      <c r="AG2317" s="12" t="n"/>
      <c r="AH2317" s="11" t="n"/>
      <c r="AI2317" s="11" t="n"/>
      <c r="AJ2317" s="11" t="n"/>
      <c r="AK2317" s="14">
        <f>IF(AND($AF2317="保留中",$AH2317&lt;&gt;""),TODAY()-$AH2317,"")</f>
        <v/>
      </c>
      <c r="AL2317" s="12" t="n"/>
      <c r="AM2317" s="14">
        <f>IF($B2317="","",IF($AQ2317="","対象年月が未入力／","")&amp;IF($B2317="","",IF($AP2317="","職員マスタに未登録の職員番号／",IF($AA2317="","標準報酬月額が未登録／","")&amp;IF(AND($AQ2317&lt;&gt;"",OR(AND(INDEX(職員マスタ!$G$6:$G$405,$AP2317)&lt;&gt;"",INDEX(職員マスタ!$G$6:$G$405,$AP2317)&gt;EOMONTH($AQ2317,0)),AND(INDEX(職員マスタ!$H$6:$H$405,$AP2317)&lt;&gt;"",INDEX(職員マスタ!$H$6:$H$405,$AP2317)&lt;$AQ2317))),"対象月が時短期間外／","")&amp;IF(AND(INDEX(職員マスタ!$K$6:$K$405,$AP2317)&lt;&gt;"",N($W2317)&gt;0,INDEX(職員マスタ!$K$6:$K$405,$AP2317)&lt;&gt;$W2317),"標準報酬月額が申請書と相違（台帳"&amp;TEXT(INDEX(職員マスタ!$K$6:$K$405,$AP2317),"#,##0")&amp;"円／申請書"&amp;TEXT($W2317,"#,##0")&amp;"円）／","")&amp;IF(AND(INDEX(職員マスタ!$F$6:$F$405,$AP2317)&lt;&gt;"",$AQ2317&lt;&gt;"",INDEX(職員マスタ!$F$6:$F$405,$AP2317)&lt;$AQ2317),"対象月に子が2歳到達済／","")&amp;IF(AND($H2317&lt;&gt;"",INDEX(職員マスタ!$B$6:$B$405,$AP2317)&lt;&gt;"",SUBSTITUTE(SUBSTITUTE($H2317," ","")," ","")&lt;&gt;SUBSTITUTE(SUBSTITUTE(INDEX(職員マスタ!$B$6:$B$405,$AP2317)," ","")," ","")),"氏名がマスタと相違／","")&amp;IF(AND($Q2317&lt;&gt;"",INDEX(職員マスタ!$E$6:$E$405,$AP2317)&lt;&gt;"",$Q2317&lt;&gt;INDEX(職員マスタ!$E$6:$E$405,$AP2317)),"子の生年月日がマスタと相違／","")&amp;IF(AND($L2317&lt;&gt;"",INDEX(職員マスタ!$G$6:$G$405,$AP2317)&lt;&gt;"",$L2317&lt;&gt;INDEX(職員マスタ!$G$6:$G$405,$AP2317)),"時短開始日がマスタと相違／","")&amp;IF(AND($M2317&lt;&gt;"",INDEX(職員マスタ!$H$6:$H$405,$AP2317)&lt;&gt;"",$M2317&lt;&gt;INDEX(職員マスタ!$H$6:$H$405,$AP2317)),"時短終了日がマスタと相違／","")))&amp;IF(AND($B2317&lt;&gt;"",$E2317=""),"報酬額が未入力／","")&amp;IF(N($U2317)&gt;0,"申請書に入力エラーが残っています／","")&amp;IF(AND($B2317&lt;&gt;"",$AQ2317&lt;&gt;""),IF(COUNTIFS($B$6:$B$3005,$B2317,$C$6:$C$3005,$C2317,$D$6:$D$3005,$D2317)&gt;1,"同じ月の請求が重複しています／",""),"")&amp;IF(AND(N($E2317)&gt;0,$AB2317&lt;&gt;"",$AB2317&lt;&gt;"×",$AE2317=0,$AD2317=""),"計算額が下限以下のため不支給／",""))</f>
        <v/>
      </c>
      <c r="AN2317" s="12" t="n"/>
      <c r="AO2317" s="14">
        <f>IF($AF2317="保留中",COUNTIF($AF$6:$AF2317,"保留中"),"")</f>
        <v/>
      </c>
      <c r="AP2317" s="14">
        <f>IF($AQ2317="","",IF(SUMPRODUCT(MAX((職員マスタ!$A$6:$A$405=$B2317)*(((職員マスタ!$G$6:$G$405="")+(職員マスタ!$G$6:$G$405&lt;=EOMONTH($AQ2317,0)))&gt;0)*(((職員マスタ!$H$6:$H$405="")+(職員マスタ!$H$6:$H$405&gt;=$AQ2317))&gt;0)*(ROW(職員マスタ!$A$6:$A$405)-5)))&gt;0,SUMPRODUCT(MAX((職員マスタ!$A$6:$A$405=$B2317)*(((職員マスタ!$G$6:$G$405="")+(職員マスタ!$G$6:$G$405&lt;=EOMONTH($AQ2317,0)))&gt;0)*(((職員マスタ!$H$6:$H$405="")+(職員マスタ!$H$6:$H$405&gt;=$AQ2317))&gt;0)*(ROW(職員マスタ!$A$6:$A$405)-5))),IFERROR(MATCH($B2317,職員マスタ!$A$6:$A$405,0),"")))</f>
        <v/>
      </c>
      <c r="AQ2317" s="16">
        <f>IF(OR($B2317="",$C2317="",$D2317=""),"",DATE($C2317+2018,$D2317,1))</f>
        <v/>
      </c>
    </row>
    <row r="2318">
      <c r="A2318" s="11" t="n"/>
      <c r="B2318" s="12" t="n"/>
      <c r="C2318" s="12" t="n"/>
      <c r="D2318" s="12" t="n"/>
      <c r="E2318" s="13" t="n"/>
      <c r="F2318" s="12" t="n"/>
      <c r="G2318" s="13" t="n"/>
      <c r="H2318" s="12" t="n"/>
      <c r="I2318" s="12" t="n"/>
      <c r="J2318" s="12" t="n"/>
      <c r="K2318" s="12" t="n"/>
      <c r="L2318" s="11" t="n"/>
      <c r="M2318" s="11" t="n"/>
      <c r="N2318" s="11" t="n"/>
      <c r="O2318" s="11" t="n"/>
      <c r="P2318" s="12" t="n"/>
      <c r="Q2318" s="11" t="n"/>
      <c r="R2318" s="12" t="n"/>
      <c r="S2318" s="11" t="n"/>
      <c r="T2318" s="12" t="n"/>
      <c r="U2318" s="12" t="n"/>
      <c r="V2318" s="12" t="n"/>
      <c r="W2318" s="13" t="n"/>
      <c r="X2318" s="14">
        <f>IF($AP2318="",IF($B2318="","",$H2318),IF(INDEX(職員マスタ!$B$6:$B$405,$AP2318)="",$H2318,INDEX(職員マスタ!$B$6:$B$405,$AP2318)))</f>
        <v/>
      </c>
      <c r="Y2318" s="14">
        <f>IF($AP2318="",IF($B2318="","",$R2318),IF(INDEX(職員マスタ!$C$6:$C$405,$AP2318)="",$R2318,INDEX(職員マスタ!$C$6:$C$405,$AP2318)))</f>
        <v/>
      </c>
      <c r="Z2318" s="14">
        <f>IF($AQ2318="","","R"&amp;$C2318&amp;"."&amp;$D2318)</f>
        <v/>
      </c>
      <c r="AA2318" s="15">
        <f>IF(IF($AP2318="",FALSE,INDEX(職員マスタ!$K$6:$K$405,$AP2318)&lt;&gt;""),INDEX(職員マスタ!$K$6:$K$405,$AP2318),IF(N($W2318)&gt;0,$W2318,""))</f>
        <v/>
      </c>
      <c r="AB2318" s="14">
        <f>IF(OR($E2318="",$AA2318=""),"",IF($E2318&gt;=$AA2318,"×",IF($E2318&gt;=$AA2318*設定!$C$5,"△","○")))</f>
        <v/>
      </c>
      <c r="AC2318" s="15">
        <f>IF($AB2318="","",IF($AB2318="×",0,IF($AB2318="○",ROUNDDOWN($E2318*設定!$C$4,0),ROUNDDOWN($E2318*ROUND((9*$AA2318-9*$E2318)/(10*$E2318),4),0))))</f>
        <v/>
      </c>
      <c r="AD2318" s="13" t="n"/>
      <c r="AE2318" s="15">
        <f>IF($B2318="","",IF($AD2318&lt;&gt;"",$AD2318,IF($AC2318="","",IF($AC2318&lt;=設定!$C$3,0,$AC2318))))</f>
        <v/>
      </c>
      <c r="AF2318" s="14">
        <f>IF($B2318="","",IF(AND($AG2318&lt;&gt;"",$AI2318="",$AL2318=""),"保留中",IF($AL2318&lt;&gt;"",IF(N($AE2318)&gt;0,"支給済","不支給"),IF($AE2318="","要確認",IF($AE2318=0,"不支給","未処理")))))</f>
        <v/>
      </c>
      <c r="AG2318" s="12" t="n"/>
      <c r="AH2318" s="11" t="n"/>
      <c r="AI2318" s="11" t="n"/>
      <c r="AJ2318" s="11" t="n"/>
      <c r="AK2318" s="14">
        <f>IF(AND($AF2318="保留中",$AH2318&lt;&gt;""),TODAY()-$AH2318,"")</f>
        <v/>
      </c>
      <c r="AL2318" s="12" t="n"/>
      <c r="AM2318" s="14">
        <f>IF($B2318="","",IF($AQ2318="","対象年月が未入力／","")&amp;IF($B2318="","",IF($AP2318="","職員マスタに未登録の職員番号／",IF($AA2318="","標準報酬月額が未登録／","")&amp;IF(AND($AQ2318&lt;&gt;"",OR(AND(INDEX(職員マスタ!$G$6:$G$405,$AP2318)&lt;&gt;"",INDEX(職員マスタ!$G$6:$G$405,$AP2318)&gt;EOMONTH($AQ2318,0)),AND(INDEX(職員マスタ!$H$6:$H$405,$AP2318)&lt;&gt;"",INDEX(職員マスタ!$H$6:$H$405,$AP2318)&lt;$AQ2318))),"対象月が時短期間外／","")&amp;IF(AND(INDEX(職員マスタ!$K$6:$K$405,$AP2318)&lt;&gt;"",N($W2318)&gt;0,INDEX(職員マスタ!$K$6:$K$405,$AP2318)&lt;&gt;$W2318),"標準報酬月額が申請書と相違（台帳"&amp;TEXT(INDEX(職員マスタ!$K$6:$K$405,$AP2318),"#,##0")&amp;"円／申請書"&amp;TEXT($W2318,"#,##0")&amp;"円）／","")&amp;IF(AND(INDEX(職員マスタ!$F$6:$F$405,$AP2318)&lt;&gt;"",$AQ2318&lt;&gt;"",INDEX(職員マスタ!$F$6:$F$405,$AP2318)&lt;$AQ2318),"対象月に子が2歳到達済／","")&amp;IF(AND($H2318&lt;&gt;"",INDEX(職員マスタ!$B$6:$B$405,$AP2318)&lt;&gt;"",SUBSTITUTE(SUBSTITUTE($H2318," ","")," ","")&lt;&gt;SUBSTITUTE(SUBSTITUTE(INDEX(職員マスタ!$B$6:$B$405,$AP2318)," ","")," ","")),"氏名がマスタと相違／","")&amp;IF(AND($Q2318&lt;&gt;"",INDEX(職員マスタ!$E$6:$E$405,$AP2318)&lt;&gt;"",$Q2318&lt;&gt;INDEX(職員マスタ!$E$6:$E$405,$AP2318)),"子の生年月日がマスタと相違／","")&amp;IF(AND($L2318&lt;&gt;"",INDEX(職員マスタ!$G$6:$G$405,$AP2318)&lt;&gt;"",$L2318&lt;&gt;INDEX(職員マスタ!$G$6:$G$405,$AP2318)),"時短開始日がマスタと相違／","")&amp;IF(AND($M2318&lt;&gt;"",INDEX(職員マスタ!$H$6:$H$405,$AP2318)&lt;&gt;"",$M2318&lt;&gt;INDEX(職員マスタ!$H$6:$H$405,$AP2318)),"時短終了日がマスタと相違／","")))&amp;IF(AND($B2318&lt;&gt;"",$E2318=""),"報酬額が未入力／","")&amp;IF(N($U2318)&gt;0,"申請書に入力エラーが残っています／","")&amp;IF(AND($B2318&lt;&gt;"",$AQ2318&lt;&gt;""),IF(COUNTIFS($B$6:$B$3005,$B2318,$C$6:$C$3005,$C2318,$D$6:$D$3005,$D2318)&gt;1,"同じ月の請求が重複しています／",""),"")&amp;IF(AND(N($E2318)&gt;0,$AB2318&lt;&gt;"",$AB2318&lt;&gt;"×",$AE2318=0,$AD2318=""),"計算額が下限以下のため不支給／",""))</f>
        <v/>
      </c>
      <c r="AN2318" s="12" t="n"/>
      <c r="AO2318" s="14">
        <f>IF($AF2318="保留中",COUNTIF($AF$6:$AF2318,"保留中"),"")</f>
        <v/>
      </c>
      <c r="AP2318" s="14">
        <f>IF($AQ2318="","",IF(SUMPRODUCT(MAX((職員マスタ!$A$6:$A$405=$B2318)*(((職員マスタ!$G$6:$G$405="")+(職員マスタ!$G$6:$G$405&lt;=EOMONTH($AQ2318,0)))&gt;0)*(((職員マスタ!$H$6:$H$405="")+(職員マスタ!$H$6:$H$405&gt;=$AQ2318))&gt;0)*(ROW(職員マスタ!$A$6:$A$405)-5)))&gt;0,SUMPRODUCT(MAX((職員マスタ!$A$6:$A$405=$B2318)*(((職員マスタ!$G$6:$G$405="")+(職員マスタ!$G$6:$G$405&lt;=EOMONTH($AQ2318,0)))&gt;0)*(((職員マスタ!$H$6:$H$405="")+(職員マスタ!$H$6:$H$405&gt;=$AQ2318))&gt;0)*(ROW(職員マスタ!$A$6:$A$405)-5))),IFERROR(MATCH($B2318,職員マスタ!$A$6:$A$405,0),"")))</f>
        <v/>
      </c>
      <c r="AQ2318" s="16">
        <f>IF(OR($B2318="",$C2318="",$D2318=""),"",DATE($C2318+2018,$D2318,1))</f>
        <v/>
      </c>
    </row>
    <row r="2319">
      <c r="A2319" s="11" t="n"/>
      <c r="B2319" s="12" t="n"/>
      <c r="C2319" s="12" t="n"/>
      <c r="D2319" s="12" t="n"/>
      <c r="E2319" s="13" t="n"/>
      <c r="F2319" s="12" t="n"/>
      <c r="G2319" s="13" t="n"/>
      <c r="H2319" s="12" t="n"/>
      <c r="I2319" s="12" t="n"/>
      <c r="J2319" s="12" t="n"/>
      <c r="K2319" s="12" t="n"/>
      <c r="L2319" s="11" t="n"/>
      <c r="M2319" s="11" t="n"/>
      <c r="N2319" s="11" t="n"/>
      <c r="O2319" s="11" t="n"/>
      <c r="P2319" s="12" t="n"/>
      <c r="Q2319" s="11" t="n"/>
      <c r="R2319" s="12" t="n"/>
      <c r="S2319" s="11" t="n"/>
      <c r="T2319" s="12" t="n"/>
      <c r="U2319" s="12" t="n"/>
      <c r="V2319" s="12" t="n"/>
      <c r="W2319" s="13" t="n"/>
      <c r="X2319" s="14">
        <f>IF($AP2319="",IF($B2319="","",$H2319),IF(INDEX(職員マスタ!$B$6:$B$405,$AP2319)="",$H2319,INDEX(職員マスタ!$B$6:$B$405,$AP2319)))</f>
        <v/>
      </c>
      <c r="Y2319" s="14">
        <f>IF($AP2319="",IF($B2319="","",$R2319),IF(INDEX(職員マスタ!$C$6:$C$405,$AP2319)="",$R2319,INDEX(職員マスタ!$C$6:$C$405,$AP2319)))</f>
        <v/>
      </c>
      <c r="Z2319" s="14">
        <f>IF($AQ2319="","","R"&amp;$C2319&amp;"."&amp;$D2319)</f>
        <v/>
      </c>
      <c r="AA2319" s="15">
        <f>IF(IF($AP2319="",FALSE,INDEX(職員マスタ!$K$6:$K$405,$AP2319)&lt;&gt;""),INDEX(職員マスタ!$K$6:$K$405,$AP2319),IF(N($W2319)&gt;0,$W2319,""))</f>
        <v/>
      </c>
      <c r="AB2319" s="14">
        <f>IF(OR($E2319="",$AA2319=""),"",IF($E2319&gt;=$AA2319,"×",IF($E2319&gt;=$AA2319*設定!$C$5,"△","○")))</f>
        <v/>
      </c>
      <c r="AC2319" s="15">
        <f>IF($AB2319="","",IF($AB2319="×",0,IF($AB2319="○",ROUNDDOWN($E2319*設定!$C$4,0),ROUNDDOWN($E2319*ROUND((9*$AA2319-9*$E2319)/(10*$E2319),4),0))))</f>
        <v/>
      </c>
      <c r="AD2319" s="13" t="n"/>
      <c r="AE2319" s="15">
        <f>IF($B2319="","",IF($AD2319&lt;&gt;"",$AD2319,IF($AC2319="","",IF($AC2319&lt;=設定!$C$3,0,$AC2319))))</f>
        <v/>
      </c>
      <c r="AF2319" s="14">
        <f>IF($B2319="","",IF(AND($AG2319&lt;&gt;"",$AI2319="",$AL2319=""),"保留中",IF($AL2319&lt;&gt;"",IF(N($AE2319)&gt;0,"支給済","不支給"),IF($AE2319="","要確認",IF($AE2319=0,"不支給","未処理")))))</f>
        <v/>
      </c>
      <c r="AG2319" s="12" t="n"/>
      <c r="AH2319" s="11" t="n"/>
      <c r="AI2319" s="11" t="n"/>
      <c r="AJ2319" s="11" t="n"/>
      <c r="AK2319" s="14">
        <f>IF(AND($AF2319="保留中",$AH2319&lt;&gt;""),TODAY()-$AH2319,"")</f>
        <v/>
      </c>
      <c r="AL2319" s="12" t="n"/>
      <c r="AM2319" s="14">
        <f>IF($B2319="","",IF($AQ2319="","対象年月が未入力／","")&amp;IF($B2319="","",IF($AP2319="","職員マスタに未登録の職員番号／",IF($AA2319="","標準報酬月額が未登録／","")&amp;IF(AND($AQ2319&lt;&gt;"",OR(AND(INDEX(職員マスタ!$G$6:$G$405,$AP2319)&lt;&gt;"",INDEX(職員マスタ!$G$6:$G$405,$AP2319)&gt;EOMONTH($AQ2319,0)),AND(INDEX(職員マスタ!$H$6:$H$405,$AP2319)&lt;&gt;"",INDEX(職員マスタ!$H$6:$H$405,$AP2319)&lt;$AQ2319))),"対象月が時短期間外／","")&amp;IF(AND(INDEX(職員マスタ!$K$6:$K$405,$AP2319)&lt;&gt;"",N($W2319)&gt;0,INDEX(職員マスタ!$K$6:$K$405,$AP2319)&lt;&gt;$W2319),"標準報酬月額が申請書と相違（台帳"&amp;TEXT(INDEX(職員マスタ!$K$6:$K$405,$AP2319),"#,##0")&amp;"円／申請書"&amp;TEXT($W2319,"#,##0")&amp;"円）／","")&amp;IF(AND(INDEX(職員マスタ!$F$6:$F$405,$AP2319)&lt;&gt;"",$AQ2319&lt;&gt;"",INDEX(職員マスタ!$F$6:$F$405,$AP2319)&lt;$AQ2319),"対象月に子が2歳到達済／","")&amp;IF(AND($H2319&lt;&gt;"",INDEX(職員マスタ!$B$6:$B$405,$AP2319)&lt;&gt;"",SUBSTITUTE(SUBSTITUTE($H2319," ","")," ","")&lt;&gt;SUBSTITUTE(SUBSTITUTE(INDEX(職員マスタ!$B$6:$B$405,$AP2319)," ","")," ","")),"氏名がマスタと相違／","")&amp;IF(AND($Q2319&lt;&gt;"",INDEX(職員マスタ!$E$6:$E$405,$AP2319)&lt;&gt;"",$Q2319&lt;&gt;INDEX(職員マスタ!$E$6:$E$405,$AP2319)),"子の生年月日がマスタと相違／","")&amp;IF(AND($L2319&lt;&gt;"",INDEX(職員マスタ!$G$6:$G$405,$AP2319)&lt;&gt;"",$L2319&lt;&gt;INDEX(職員マスタ!$G$6:$G$405,$AP2319)),"時短開始日がマスタと相違／","")&amp;IF(AND($M2319&lt;&gt;"",INDEX(職員マスタ!$H$6:$H$405,$AP2319)&lt;&gt;"",$M2319&lt;&gt;INDEX(職員マスタ!$H$6:$H$405,$AP2319)),"時短終了日がマスタと相違／","")))&amp;IF(AND($B2319&lt;&gt;"",$E2319=""),"報酬額が未入力／","")&amp;IF(N($U2319)&gt;0,"申請書に入力エラーが残っています／","")&amp;IF(AND($B2319&lt;&gt;"",$AQ2319&lt;&gt;""),IF(COUNTIFS($B$6:$B$3005,$B2319,$C$6:$C$3005,$C2319,$D$6:$D$3005,$D2319)&gt;1,"同じ月の請求が重複しています／",""),"")&amp;IF(AND(N($E2319)&gt;0,$AB2319&lt;&gt;"",$AB2319&lt;&gt;"×",$AE2319=0,$AD2319=""),"計算額が下限以下のため不支給／",""))</f>
        <v/>
      </c>
      <c r="AN2319" s="12" t="n"/>
      <c r="AO2319" s="14">
        <f>IF($AF2319="保留中",COUNTIF($AF$6:$AF2319,"保留中"),"")</f>
        <v/>
      </c>
      <c r="AP2319" s="14">
        <f>IF($AQ2319="","",IF(SUMPRODUCT(MAX((職員マスタ!$A$6:$A$405=$B2319)*(((職員マスタ!$G$6:$G$405="")+(職員マスタ!$G$6:$G$405&lt;=EOMONTH($AQ2319,0)))&gt;0)*(((職員マスタ!$H$6:$H$405="")+(職員マスタ!$H$6:$H$405&gt;=$AQ2319))&gt;0)*(ROW(職員マスタ!$A$6:$A$405)-5)))&gt;0,SUMPRODUCT(MAX((職員マスタ!$A$6:$A$405=$B2319)*(((職員マスタ!$G$6:$G$405="")+(職員マスタ!$G$6:$G$405&lt;=EOMONTH($AQ2319,0)))&gt;0)*(((職員マスタ!$H$6:$H$405="")+(職員マスタ!$H$6:$H$405&gt;=$AQ2319))&gt;0)*(ROW(職員マスタ!$A$6:$A$405)-5))),IFERROR(MATCH($B2319,職員マスタ!$A$6:$A$405,0),"")))</f>
        <v/>
      </c>
      <c r="AQ2319" s="16">
        <f>IF(OR($B2319="",$C2319="",$D2319=""),"",DATE($C2319+2018,$D2319,1))</f>
        <v/>
      </c>
    </row>
    <row r="2320">
      <c r="A2320" s="11" t="n"/>
      <c r="B2320" s="12" t="n"/>
      <c r="C2320" s="12" t="n"/>
      <c r="D2320" s="12" t="n"/>
      <c r="E2320" s="13" t="n"/>
      <c r="F2320" s="12" t="n"/>
      <c r="G2320" s="13" t="n"/>
      <c r="H2320" s="12" t="n"/>
      <c r="I2320" s="12" t="n"/>
      <c r="J2320" s="12" t="n"/>
      <c r="K2320" s="12" t="n"/>
      <c r="L2320" s="11" t="n"/>
      <c r="M2320" s="11" t="n"/>
      <c r="N2320" s="11" t="n"/>
      <c r="O2320" s="11" t="n"/>
      <c r="P2320" s="12" t="n"/>
      <c r="Q2320" s="11" t="n"/>
      <c r="R2320" s="12" t="n"/>
      <c r="S2320" s="11" t="n"/>
      <c r="T2320" s="12" t="n"/>
      <c r="U2320" s="12" t="n"/>
      <c r="V2320" s="12" t="n"/>
      <c r="W2320" s="13" t="n"/>
      <c r="X2320" s="14">
        <f>IF($AP2320="",IF($B2320="","",$H2320),IF(INDEX(職員マスタ!$B$6:$B$405,$AP2320)="",$H2320,INDEX(職員マスタ!$B$6:$B$405,$AP2320)))</f>
        <v/>
      </c>
      <c r="Y2320" s="14">
        <f>IF($AP2320="",IF($B2320="","",$R2320),IF(INDEX(職員マスタ!$C$6:$C$405,$AP2320)="",$R2320,INDEX(職員マスタ!$C$6:$C$405,$AP2320)))</f>
        <v/>
      </c>
      <c r="Z2320" s="14">
        <f>IF($AQ2320="","","R"&amp;$C2320&amp;"."&amp;$D2320)</f>
        <v/>
      </c>
      <c r="AA2320" s="15">
        <f>IF(IF($AP2320="",FALSE,INDEX(職員マスタ!$K$6:$K$405,$AP2320)&lt;&gt;""),INDEX(職員マスタ!$K$6:$K$405,$AP2320),IF(N($W2320)&gt;0,$W2320,""))</f>
        <v/>
      </c>
      <c r="AB2320" s="14">
        <f>IF(OR($E2320="",$AA2320=""),"",IF($E2320&gt;=$AA2320,"×",IF($E2320&gt;=$AA2320*設定!$C$5,"△","○")))</f>
        <v/>
      </c>
      <c r="AC2320" s="15">
        <f>IF($AB2320="","",IF($AB2320="×",0,IF($AB2320="○",ROUNDDOWN($E2320*設定!$C$4,0),ROUNDDOWN($E2320*ROUND((9*$AA2320-9*$E2320)/(10*$E2320),4),0))))</f>
        <v/>
      </c>
      <c r="AD2320" s="13" t="n"/>
      <c r="AE2320" s="15">
        <f>IF($B2320="","",IF($AD2320&lt;&gt;"",$AD2320,IF($AC2320="","",IF($AC2320&lt;=設定!$C$3,0,$AC2320))))</f>
        <v/>
      </c>
      <c r="AF2320" s="14">
        <f>IF($B2320="","",IF(AND($AG2320&lt;&gt;"",$AI2320="",$AL2320=""),"保留中",IF($AL2320&lt;&gt;"",IF(N($AE2320)&gt;0,"支給済","不支給"),IF($AE2320="","要確認",IF($AE2320=0,"不支給","未処理")))))</f>
        <v/>
      </c>
      <c r="AG2320" s="12" t="n"/>
      <c r="AH2320" s="11" t="n"/>
      <c r="AI2320" s="11" t="n"/>
      <c r="AJ2320" s="11" t="n"/>
      <c r="AK2320" s="14">
        <f>IF(AND($AF2320="保留中",$AH2320&lt;&gt;""),TODAY()-$AH2320,"")</f>
        <v/>
      </c>
      <c r="AL2320" s="12" t="n"/>
      <c r="AM2320" s="14">
        <f>IF($B2320="","",IF($AQ2320="","対象年月が未入力／","")&amp;IF($B2320="","",IF($AP2320="","職員マスタに未登録の職員番号／",IF($AA2320="","標準報酬月額が未登録／","")&amp;IF(AND($AQ2320&lt;&gt;"",OR(AND(INDEX(職員マスタ!$G$6:$G$405,$AP2320)&lt;&gt;"",INDEX(職員マスタ!$G$6:$G$405,$AP2320)&gt;EOMONTH($AQ2320,0)),AND(INDEX(職員マスタ!$H$6:$H$405,$AP2320)&lt;&gt;"",INDEX(職員マスタ!$H$6:$H$405,$AP2320)&lt;$AQ2320))),"対象月が時短期間外／","")&amp;IF(AND(INDEX(職員マスタ!$K$6:$K$405,$AP2320)&lt;&gt;"",N($W2320)&gt;0,INDEX(職員マスタ!$K$6:$K$405,$AP2320)&lt;&gt;$W2320),"標準報酬月額が申請書と相違（台帳"&amp;TEXT(INDEX(職員マスタ!$K$6:$K$405,$AP2320),"#,##0")&amp;"円／申請書"&amp;TEXT($W2320,"#,##0")&amp;"円）／","")&amp;IF(AND(INDEX(職員マスタ!$F$6:$F$405,$AP2320)&lt;&gt;"",$AQ2320&lt;&gt;"",INDEX(職員マスタ!$F$6:$F$405,$AP2320)&lt;$AQ2320),"対象月に子が2歳到達済／","")&amp;IF(AND($H2320&lt;&gt;"",INDEX(職員マスタ!$B$6:$B$405,$AP2320)&lt;&gt;"",SUBSTITUTE(SUBSTITUTE($H2320," ","")," ","")&lt;&gt;SUBSTITUTE(SUBSTITUTE(INDEX(職員マスタ!$B$6:$B$405,$AP2320)," ","")," ","")),"氏名がマスタと相違／","")&amp;IF(AND($Q2320&lt;&gt;"",INDEX(職員マスタ!$E$6:$E$405,$AP2320)&lt;&gt;"",$Q2320&lt;&gt;INDEX(職員マスタ!$E$6:$E$405,$AP2320)),"子の生年月日がマスタと相違／","")&amp;IF(AND($L2320&lt;&gt;"",INDEX(職員マスタ!$G$6:$G$405,$AP2320)&lt;&gt;"",$L2320&lt;&gt;INDEX(職員マスタ!$G$6:$G$405,$AP2320)),"時短開始日がマスタと相違／","")&amp;IF(AND($M2320&lt;&gt;"",INDEX(職員マスタ!$H$6:$H$405,$AP2320)&lt;&gt;"",$M2320&lt;&gt;INDEX(職員マスタ!$H$6:$H$405,$AP2320)),"時短終了日がマスタと相違／","")))&amp;IF(AND($B2320&lt;&gt;"",$E2320=""),"報酬額が未入力／","")&amp;IF(N($U2320)&gt;0,"申請書に入力エラーが残っています／","")&amp;IF(AND($B2320&lt;&gt;"",$AQ2320&lt;&gt;""),IF(COUNTIFS($B$6:$B$3005,$B2320,$C$6:$C$3005,$C2320,$D$6:$D$3005,$D2320)&gt;1,"同じ月の請求が重複しています／",""),"")&amp;IF(AND(N($E2320)&gt;0,$AB2320&lt;&gt;"",$AB2320&lt;&gt;"×",$AE2320=0,$AD2320=""),"計算額が下限以下のため不支給／",""))</f>
        <v/>
      </c>
      <c r="AN2320" s="12" t="n"/>
      <c r="AO2320" s="14">
        <f>IF($AF2320="保留中",COUNTIF($AF$6:$AF2320,"保留中"),"")</f>
        <v/>
      </c>
      <c r="AP2320" s="14">
        <f>IF($AQ2320="","",IF(SUMPRODUCT(MAX((職員マスタ!$A$6:$A$405=$B2320)*(((職員マスタ!$G$6:$G$405="")+(職員マスタ!$G$6:$G$405&lt;=EOMONTH($AQ2320,0)))&gt;0)*(((職員マスタ!$H$6:$H$405="")+(職員マスタ!$H$6:$H$405&gt;=$AQ2320))&gt;0)*(ROW(職員マスタ!$A$6:$A$405)-5)))&gt;0,SUMPRODUCT(MAX((職員マスタ!$A$6:$A$405=$B2320)*(((職員マスタ!$G$6:$G$405="")+(職員マスタ!$G$6:$G$405&lt;=EOMONTH($AQ2320,0)))&gt;0)*(((職員マスタ!$H$6:$H$405="")+(職員マスタ!$H$6:$H$405&gt;=$AQ2320))&gt;0)*(ROW(職員マスタ!$A$6:$A$405)-5))),IFERROR(MATCH($B2320,職員マスタ!$A$6:$A$405,0),"")))</f>
        <v/>
      </c>
      <c r="AQ2320" s="16">
        <f>IF(OR($B2320="",$C2320="",$D2320=""),"",DATE($C2320+2018,$D2320,1))</f>
        <v/>
      </c>
    </row>
    <row r="2321">
      <c r="A2321" s="11" t="n"/>
      <c r="B2321" s="12" t="n"/>
      <c r="C2321" s="12" t="n"/>
      <c r="D2321" s="12" t="n"/>
      <c r="E2321" s="13" t="n"/>
      <c r="F2321" s="12" t="n"/>
      <c r="G2321" s="13" t="n"/>
      <c r="H2321" s="12" t="n"/>
      <c r="I2321" s="12" t="n"/>
      <c r="J2321" s="12" t="n"/>
      <c r="K2321" s="12" t="n"/>
      <c r="L2321" s="11" t="n"/>
      <c r="M2321" s="11" t="n"/>
      <c r="N2321" s="11" t="n"/>
      <c r="O2321" s="11" t="n"/>
      <c r="P2321" s="12" t="n"/>
      <c r="Q2321" s="11" t="n"/>
      <c r="R2321" s="12" t="n"/>
      <c r="S2321" s="11" t="n"/>
      <c r="T2321" s="12" t="n"/>
      <c r="U2321" s="12" t="n"/>
      <c r="V2321" s="12" t="n"/>
      <c r="W2321" s="13" t="n"/>
      <c r="X2321" s="14">
        <f>IF($AP2321="",IF($B2321="","",$H2321),IF(INDEX(職員マスタ!$B$6:$B$405,$AP2321)="",$H2321,INDEX(職員マスタ!$B$6:$B$405,$AP2321)))</f>
        <v/>
      </c>
      <c r="Y2321" s="14">
        <f>IF($AP2321="",IF($B2321="","",$R2321),IF(INDEX(職員マスタ!$C$6:$C$405,$AP2321)="",$R2321,INDEX(職員マスタ!$C$6:$C$405,$AP2321)))</f>
        <v/>
      </c>
      <c r="Z2321" s="14">
        <f>IF($AQ2321="","","R"&amp;$C2321&amp;"."&amp;$D2321)</f>
        <v/>
      </c>
      <c r="AA2321" s="15">
        <f>IF(IF($AP2321="",FALSE,INDEX(職員マスタ!$K$6:$K$405,$AP2321)&lt;&gt;""),INDEX(職員マスタ!$K$6:$K$405,$AP2321),IF(N($W2321)&gt;0,$W2321,""))</f>
        <v/>
      </c>
      <c r="AB2321" s="14">
        <f>IF(OR($E2321="",$AA2321=""),"",IF($E2321&gt;=$AA2321,"×",IF($E2321&gt;=$AA2321*設定!$C$5,"△","○")))</f>
        <v/>
      </c>
      <c r="AC2321" s="15">
        <f>IF($AB2321="","",IF($AB2321="×",0,IF($AB2321="○",ROUNDDOWN($E2321*設定!$C$4,0),ROUNDDOWN($E2321*ROUND((9*$AA2321-9*$E2321)/(10*$E2321),4),0))))</f>
        <v/>
      </c>
      <c r="AD2321" s="13" t="n"/>
      <c r="AE2321" s="15">
        <f>IF($B2321="","",IF($AD2321&lt;&gt;"",$AD2321,IF($AC2321="","",IF($AC2321&lt;=設定!$C$3,0,$AC2321))))</f>
        <v/>
      </c>
      <c r="AF2321" s="14">
        <f>IF($B2321="","",IF(AND($AG2321&lt;&gt;"",$AI2321="",$AL2321=""),"保留中",IF($AL2321&lt;&gt;"",IF(N($AE2321)&gt;0,"支給済","不支給"),IF($AE2321="","要確認",IF($AE2321=0,"不支給","未処理")))))</f>
        <v/>
      </c>
      <c r="AG2321" s="12" t="n"/>
      <c r="AH2321" s="11" t="n"/>
      <c r="AI2321" s="11" t="n"/>
      <c r="AJ2321" s="11" t="n"/>
      <c r="AK2321" s="14">
        <f>IF(AND($AF2321="保留中",$AH2321&lt;&gt;""),TODAY()-$AH2321,"")</f>
        <v/>
      </c>
      <c r="AL2321" s="12" t="n"/>
      <c r="AM2321" s="14">
        <f>IF($B2321="","",IF($AQ2321="","対象年月が未入力／","")&amp;IF($B2321="","",IF($AP2321="","職員マスタに未登録の職員番号／",IF($AA2321="","標準報酬月額が未登録／","")&amp;IF(AND($AQ2321&lt;&gt;"",OR(AND(INDEX(職員マスタ!$G$6:$G$405,$AP2321)&lt;&gt;"",INDEX(職員マスタ!$G$6:$G$405,$AP2321)&gt;EOMONTH($AQ2321,0)),AND(INDEX(職員マスタ!$H$6:$H$405,$AP2321)&lt;&gt;"",INDEX(職員マスタ!$H$6:$H$405,$AP2321)&lt;$AQ2321))),"対象月が時短期間外／","")&amp;IF(AND(INDEX(職員マスタ!$K$6:$K$405,$AP2321)&lt;&gt;"",N($W2321)&gt;0,INDEX(職員マスタ!$K$6:$K$405,$AP2321)&lt;&gt;$W2321),"標準報酬月額が申請書と相違（台帳"&amp;TEXT(INDEX(職員マスタ!$K$6:$K$405,$AP2321),"#,##0")&amp;"円／申請書"&amp;TEXT($W2321,"#,##0")&amp;"円）／","")&amp;IF(AND(INDEX(職員マスタ!$F$6:$F$405,$AP2321)&lt;&gt;"",$AQ2321&lt;&gt;"",INDEX(職員マスタ!$F$6:$F$405,$AP2321)&lt;$AQ2321),"対象月に子が2歳到達済／","")&amp;IF(AND($H2321&lt;&gt;"",INDEX(職員マスタ!$B$6:$B$405,$AP2321)&lt;&gt;"",SUBSTITUTE(SUBSTITUTE($H2321," ","")," ","")&lt;&gt;SUBSTITUTE(SUBSTITUTE(INDEX(職員マスタ!$B$6:$B$405,$AP2321)," ","")," ","")),"氏名がマスタと相違／","")&amp;IF(AND($Q2321&lt;&gt;"",INDEX(職員マスタ!$E$6:$E$405,$AP2321)&lt;&gt;"",$Q2321&lt;&gt;INDEX(職員マスタ!$E$6:$E$405,$AP2321)),"子の生年月日がマスタと相違／","")&amp;IF(AND($L2321&lt;&gt;"",INDEX(職員マスタ!$G$6:$G$405,$AP2321)&lt;&gt;"",$L2321&lt;&gt;INDEX(職員マスタ!$G$6:$G$405,$AP2321)),"時短開始日がマスタと相違／","")&amp;IF(AND($M2321&lt;&gt;"",INDEX(職員マスタ!$H$6:$H$405,$AP2321)&lt;&gt;"",$M2321&lt;&gt;INDEX(職員マスタ!$H$6:$H$405,$AP2321)),"時短終了日がマスタと相違／","")))&amp;IF(AND($B2321&lt;&gt;"",$E2321=""),"報酬額が未入力／","")&amp;IF(N($U2321)&gt;0,"申請書に入力エラーが残っています／","")&amp;IF(AND($B2321&lt;&gt;"",$AQ2321&lt;&gt;""),IF(COUNTIFS($B$6:$B$3005,$B2321,$C$6:$C$3005,$C2321,$D$6:$D$3005,$D2321)&gt;1,"同じ月の請求が重複しています／",""),"")&amp;IF(AND(N($E2321)&gt;0,$AB2321&lt;&gt;"",$AB2321&lt;&gt;"×",$AE2321=0,$AD2321=""),"計算額が下限以下のため不支給／",""))</f>
        <v/>
      </c>
      <c r="AN2321" s="12" t="n"/>
      <c r="AO2321" s="14">
        <f>IF($AF2321="保留中",COUNTIF($AF$6:$AF2321,"保留中"),"")</f>
        <v/>
      </c>
      <c r="AP2321" s="14">
        <f>IF($AQ2321="","",IF(SUMPRODUCT(MAX((職員マスタ!$A$6:$A$405=$B2321)*(((職員マスタ!$G$6:$G$405="")+(職員マスタ!$G$6:$G$405&lt;=EOMONTH($AQ2321,0)))&gt;0)*(((職員マスタ!$H$6:$H$405="")+(職員マスタ!$H$6:$H$405&gt;=$AQ2321))&gt;0)*(ROW(職員マスタ!$A$6:$A$405)-5)))&gt;0,SUMPRODUCT(MAX((職員マスタ!$A$6:$A$405=$B2321)*(((職員マスタ!$G$6:$G$405="")+(職員マスタ!$G$6:$G$405&lt;=EOMONTH($AQ2321,0)))&gt;0)*(((職員マスタ!$H$6:$H$405="")+(職員マスタ!$H$6:$H$405&gt;=$AQ2321))&gt;0)*(ROW(職員マスタ!$A$6:$A$405)-5))),IFERROR(MATCH($B2321,職員マスタ!$A$6:$A$405,0),"")))</f>
        <v/>
      </c>
      <c r="AQ2321" s="16">
        <f>IF(OR($B2321="",$C2321="",$D2321=""),"",DATE($C2321+2018,$D2321,1))</f>
        <v/>
      </c>
    </row>
    <row r="2322">
      <c r="A2322" s="11" t="n"/>
      <c r="B2322" s="12" t="n"/>
      <c r="C2322" s="12" t="n"/>
      <c r="D2322" s="12" t="n"/>
      <c r="E2322" s="13" t="n"/>
      <c r="F2322" s="12" t="n"/>
      <c r="G2322" s="13" t="n"/>
      <c r="H2322" s="12" t="n"/>
      <c r="I2322" s="12" t="n"/>
      <c r="J2322" s="12" t="n"/>
      <c r="K2322" s="12" t="n"/>
      <c r="L2322" s="11" t="n"/>
      <c r="M2322" s="11" t="n"/>
      <c r="N2322" s="11" t="n"/>
      <c r="O2322" s="11" t="n"/>
      <c r="P2322" s="12" t="n"/>
      <c r="Q2322" s="11" t="n"/>
      <c r="R2322" s="12" t="n"/>
      <c r="S2322" s="11" t="n"/>
      <c r="T2322" s="12" t="n"/>
      <c r="U2322" s="12" t="n"/>
      <c r="V2322" s="12" t="n"/>
      <c r="W2322" s="13" t="n"/>
      <c r="X2322" s="14">
        <f>IF($AP2322="",IF($B2322="","",$H2322),IF(INDEX(職員マスタ!$B$6:$B$405,$AP2322)="",$H2322,INDEX(職員マスタ!$B$6:$B$405,$AP2322)))</f>
        <v/>
      </c>
      <c r="Y2322" s="14">
        <f>IF($AP2322="",IF($B2322="","",$R2322),IF(INDEX(職員マスタ!$C$6:$C$405,$AP2322)="",$R2322,INDEX(職員マスタ!$C$6:$C$405,$AP2322)))</f>
        <v/>
      </c>
      <c r="Z2322" s="14">
        <f>IF($AQ2322="","","R"&amp;$C2322&amp;"."&amp;$D2322)</f>
        <v/>
      </c>
      <c r="AA2322" s="15">
        <f>IF(IF($AP2322="",FALSE,INDEX(職員マスタ!$K$6:$K$405,$AP2322)&lt;&gt;""),INDEX(職員マスタ!$K$6:$K$405,$AP2322),IF(N($W2322)&gt;0,$W2322,""))</f>
        <v/>
      </c>
      <c r="AB2322" s="14">
        <f>IF(OR($E2322="",$AA2322=""),"",IF($E2322&gt;=$AA2322,"×",IF($E2322&gt;=$AA2322*設定!$C$5,"△","○")))</f>
        <v/>
      </c>
      <c r="AC2322" s="15">
        <f>IF($AB2322="","",IF($AB2322="×",0,IF($AB2322="○",ROUNDDOWN($E2322*設定!$C$4,0),ROUNDDOWN($E2322*ROUND((9*$AA2322-9*$E2322)/(10*$E2322),4),0))))</f>
        <v/>
      </c>
      <c r="AD2322" s="13" t="n"/>
      <c r="AE2322" s="15">
        <f>IF($B2322="","",IF($AD2322&lt;&gt;"",$AD2322,IF($AC2322="","",IF($AC2322&lt;=設定!$C$3,0,$AC2322))))</f>
        <v/>
      </c>
      <c r="AF2322" s="14">
        <f>IF($B2322="","",IF(AND($AG2322&lt;&gt;"",$AI2322="",$AL2322=""),"保留中",IF($AL2322&lt;&gt;"",IF(N($AE2322)&gt;0,"支給済","不支給"),IF($AE2322="","要確認",IF($AE2322=0,"不支給","未処理")))))</f>
        <v/>
      </c>
      <c r="AG2322" s="12" t="n"/>
      <c r="AH2322" s="11" t="n"/>
      <c r="AI2322" s="11" t="n"/>
      <c r="AJ2322" s="11" t="n"/>
      <c r="AK2322" s="14">
        <f>IF(AND($AF2322="保留中",$AH2322&lt;&gt;""),TODAY()-$AH2322,"")</f>
        <v/>
      </c>
      <c r="AL2322" s="12" t="n"/>
      <c r="AM2322" s="14">
        <f>IF($B2322="","",IF($AQ2322="","対象年月が未入力／","")&amp;IF($B2322="","",IF($AP2322="","職員マスタに未登録の職員番号／",IF($AA2322="","標準報酬月額が未登録／","")&amp;IF(AND($AQ2322&lt;&gt;"",OR(AND(INDEX(職員マスタ!$G$6:$G$405,$AP2322)&lt;&gt;"",INDEX(職員マスタ!$G$6:$G$405,$AP2322)&gt;EOMONTH($AQ2322,0)),AND(INDEX(職員マスタ!$H$6:$H$405,$AP2322)&lt;&gt;"",INDEX(職員マスタ!$H$6:$H$405,$AP2322)&lt;$AQ2322))),"対象月が時短期間外／","")&amp;IF(AND(INDEX(職員マスタ!$K$6:$K$405,$AP2322)&lt;&gt;"",N($W2322)&gt;0,INDEX(職員マスタ!$K$6:$K$405,$AP2322)&lt;&gt;$W2322),"標準報酬月額が申請書と相違（台帳"&amp;TEXT(INDEX(職員マスタ!$K$6:$K$405,$AP2322),"#,##0")&amp;"円／申請書"&amp;TEXT($W2322,"#,##0")&amp;"円）／","")&amp;IF(AND(INDEX(職員マスタ!$F$6:$F$405,$AP2322)&lt;&gt;"",$AQ2322&lt;&gt;"",INDEX(職員マスタ!$F$6:$F$405,$AP2322)&lt;$AQ2322),"対象月に子が2歳到達済／","")&amp;IF(AND($H2322&lt;&gt;"",INDEX(職員マスタ!$B$6:$B$405,$AP2322)&lt;&gt;"",SUBSTITUTE(SUBSTITUTE($H2322," ","")," ","")&lt;&gt;SUBSTITUTE(SUBSTITUTE(INDEX(職員マスタ!$B$6:$B$405,$AP2322)," ","")," ","")),"氏名がマスタと相違／","")&amp;IF(AND($Q2322&lt;&gt;"",INDEX(職員マスタ!$E$6:$E$405,$AP2322)&lt;&gt;"",$Q2322&lt;&gt;INDEX(職員マスタ!$E$6:$E$405,$AP2322)),"子の生年月日がマスタと相違／","")&amp;IF(AND($L2322&lt;&gt;"",INDEX(職員マスタ!$G$6:$G$405,$AP2322)&lt;&gt;"",$L2322&lt;&gt;INDEX(職員マスタ!$G$6:$G$405,$AP2322)),"時短開始日がマスタと相違／","")&amp;IF(AND($M2322&lt;&gt;"",INDEX(職員マスタ!$H$6:$H$405,$AP2322)&lt;&gt;"",$M2322&lt;&gt;INDEX(職員マスタ!$H$6:$H$405,$AP2322)),"時短終了日がマスタと相違／","")))&amp;IF(AND($B2322&lt;&gt;"",$E2322=""),"報酬額が未入力／","")&amp;IF(N($U2322)&gt;0,"申請書に入力エラーが残っています／","")&amp;IF(AND($B2322&lt;&gt;"",$AQ2322&lt;&gt;""),IF(COUNTIFS($B$6:$B$3005,$B2322,$C$6:$C$3005,$C2322,$D$6:$D$3005,$D2322)&gt;1,"同じ月の請求が重複しています／",""),"")&amp;IF(AND(N($E2322)&gt;0,$AB2322&lt;&gt;"",$AB2322&lt;&gt;"×",$AE2322=0,$AD2322=""),"計算額が下限以下のため不支給／",""))</f>
        <v/>
      </c>
      <c r="AN2322" s="12" t="n"/>
      <c r="AO2322" s="14">
        <f>IF($AF2322="保留中",COUNTIF($AF$6:$AF2322,"保留中"),"")</f>
        <v/>
      </c>
      <c r="AP2322" s="14">
        <f>IF($AQ2322="","",IF(SUMPRODUCT(MAX((職員マスタ!$A$6:$A$405=$B2322)*(((職員マスタ!$G$6:$G$405="")+(職員マスタ!$G$6:$G$405&lt;=EOMONTH($AQ2322,0)))&gt;0)*(((職員マスタ!$H$6:$H$405="")+(職員マスタ!$H$6:$H$405&gt;=$AQ2322))&gt;0)*(ROW(職員マスタ!$A$6:$A$405)-5)))&gt;0,SUMPRODUCT(MAX((職員マスタ!$A$6:$A$405=$B2322)*(((職員マスタ!$G$6:$G$405="")+(職員マスタ!$G$6:$G$405&lt;=EOMONTH($AQ2322,0)))&gt;0)*(((職員マスタ!$H$6:$H$405="")+(職員マスタ!$H$6:$H$405&gt;=$AQ2322))&gt;0)*(ROW(職員マスタ!$A$6:$A$405)-5))),IFERROR(MATCH($B2322,職員マスタ!$A$6:$A$405,0),"")))</f>
        <v/>
      </c>
      <c r="AQ2322" s="16">
        <f>IF(OR($B2322="",$C2322="",$D2322=""),"",DATE($C2322+2018,$D2322,1))</f>
        <v/>
      </c>
    </row>
    <row r="2323">
      <c r="A2323" s="11" t="n"/>
      <c r="B2323" s="12" t="n"/>
      <c r="C2323" s="12" t="n"/>
      <c r="D2323" s="12" t="n"/>
      <c r="E2323" s="13" t="n"/>
      <c r="F2323" s="12" t="n"/>
      <c r="G2323" s="13" t="n"/>
      <c r="H2323" s="12" t="n"/>
      <c r="I2323" s="12" t="n"/>
      <c r="J2323" s="12" t="n"/>
      <c r="K2323" s="12" t="n"/>
      <c r="L2323" s="11" t="n"/>
      <c r="M2323" s="11" t="n"/>
      <c r="N2323" s="11" t="n"/>
      <c r="O2323" s="11" t="n"/>
      <c r="P2323" s="12" t="n"/>
      <c r="Q2323" s="11" t="n"/>
      <c r="R2323" s="12" t="n"/>
      <c r="S2323" s="11" t="n"/>
      <c r="T2323" s="12" t="n"/>
      <c r="U2323" s="12" t="n"/>
      <c r="V2323" s="12" t="n"/>
      <c r="W2323" s="13" t="n"/>
      <c r="X2323" s="14">
        <f>IF($AP2323="",IF($B2323="","",$H2323),IF(INDEX(職員マスタ!$B$6:$B$405,$AP2323)="",$H2323,INDEX(職員マスタ!$B$6:$B$405,$AP2323)))</f>
        <v/>
      </c>
      <c r="Y2323" s="14">
        <f>IF($AP2323="",IF($B2323="","",$R2323),IF(INDEX(職員マスタ!$C$6:$C$405,$AP2323)="",$R2323,INDEX(職員マスタ!$C$6:$C$405,$AP2323)))</f>
        <v/>
      </c>
      <c r="Z2323" s="14">
        <f>IF($AQ2323="","","R"&amp;$C2323&amp;"."&amp;$D2323)</f>
        <v/>
      </c>
      <c r="AA2323" s="15">
        <f>IF(IF($AP2323="",FALSE,INDEX(職員マスタ!$K$6:$K$405,$AP2323)&lt;&gt;""),INDEX(職員マスタ!$K$6:$K$405,$AP2323),IF(N($W2323)&gt;0,$W2323,""))</f>
        <v/>
      </c>
      <c r="AB2323" s="14">
        <f>IF(OR($E2323="",$AA2323=""),"",IF($E2323&gt;=$AA2323,"×",IF($E2323&gt;=$AA2323*設定!$C$5,"△","○")))</f>
        <v/>
      </c>
      <c r="AC2323" s="15">
        <f>IF($AB2323="","",IF($AB2323="×",0,IF($AB2323="○",ROUNDDOWN($E2323*設定!$C$4,0),ROUNDDOWN($E2323*ROUND((9*$AA2323-9*$E2323)/(10*$E2323),4),0))))</f>
        <v/>
      </c>
      <c r="AD2323" s="13" t="n"/>
      <c r="AE2323" s="15">
        <f>IF($B2323="","",IF($AD2323&lt;&gt;"",$AD2323,IF($AC2323="","",IF($AC2323&lt;=設定!$C$3,0,$AC2323))))</f>
        <v/>
      </c>
      <c r="AF2323" s="14">
        <f>IF($B2323="","",IF(AND($AG2323&lt;&gt;"",$AI2323="",$AL2323=""),"保留中",IF($AL2323&lt;&gt;"",IF(N($AE2323)&gt;0,"支給済","不支給"),IF($AE2323="","要確認",IF($AE2323=0,"不支給","未処理")))))</f>
        <v/>
      </c>
      <c r="AG2323" s="12" t="n"/>
      <c r="AH2323" s="11" t="n"/>
      <c r="AI2323" s="11" t="n"/>
      <c r="AJ2323" s="11" t="n"/>
      <c r="AK2323" s="14">
        <f>IF(AND($AF2323="保留中",$AH2323&lt;&gt;""),TODAY()-$AH2323,"")</f>
        <v/>
      </c>
      <c r="AL2323" s="12" t="n"/>
      <c r="AM2323" s="14">
        <f>IF($B2323="","",IF($AQ2323="","対象年月が未入力／","")&amp;IF($B2323="","",IF($AP2323="","職員マスタに未登録の職員番号／",IF($AA2323="","標準報酬月額が未登録／","")&amp;IF(AND($AQ2323&lt;&gt;"",OR(AND(INDEX(職員マスタ!$G$6:$G$405,$AP2323)&lt;&gt;"",INDEX(職員マスタ!$G$6:$G$405,$AP2323)&gt;EOMONTH($AQ2323,0)),AND(INDEX(職員マスタ!$H$6:$H$405,$AP2323)&lt;&gt;"",INDEX(職員マスタ!$H$6:$H$405,$AP2323)&lt;$AQ2323))),"対象月が時短期間外／","")&amp;IF(AND(INDEX(職員マスタ!$K$6:$K$405,$AP2323)&lt;&gt;"",N($W2323)&gt;0,INDEX(職員マスタ!$K$6:$K$405,$AP2323)&lt;&gt;$W2323),"標準報酬月額が申請書と相違（台帳"&amp;TEXT(INDEX(職員マスタ!$K$6:$K$405,$AP2323),"#,##0")&amp;"円／申請書"&amp;TEXT($W2323,"#,##0")&amp;"円）／","")&amp;IF(AND(INDEX(職員マスタ!$F$6:$F$405,$AP2323)&lt;&gt;"",$AQ2323&lt;&gt;"",INDEX(職員マスタ!$F$6:$F$405,$AP2323)&lt;$AQ2323),"対象月に子が2歳到達済／","")&amp;IF(AND($H2323&lt;&gt;"",INDEX(職員マスタ!$B$6:$B$405,$AP2323)&lt;&gt;"",SUBSTITUTE(SUBSTITUTE($H2323," ","")," ","")&lt;&gt;SUBSTITUTE(SUBSTITUTE(INDEX(職員マスタ!$B$6:$B$405,$AP2323)," ","")," ","")),"氏名がマスタと相違／","")&amp;IF(AND($Q2323&lt;&gt;"",INDEX(職員マスタ!$E$6:$E$405,$AP2323)&lt;&gt;"",$Q2323&lt;&gt;INDEX(職員マスタ!$E$6:$E$405,$AP2323)),"子の生年月日がマスタと相違／","")&amp;IF(AND($L2323&lt;&gt;"",INDEX(職員マスタ!$G$6:$G$405,$AP2323)&lt;&gt;"",$L2323&lt;&gt;INDEX(職員マスタ!$G$6:$G$405,$AP2323)),"時短開始日がマスタと相違／","")&amp;IF(AND($M2323&lt;&gt;"",INDEX(職員マスタ!$H$6:$H$405,$AP2323)&lt;&gt;"",$M2323&lt;&gt;INDEX(職員マスタ!$H$6:$H$405,$AP2323)),"時短終了日がマスタと相違／","")))&amp;IF(AND($B2323&lt;&gt;"",$E2323=""),"報酬額が未入力／","")&amp;IF(N($U2323)&gt;0,"申請書に入力エラーが残っています／","")&amp;IF(AND($B2323&lt;&gt;"",$AQ2323&lt;&gt;""),IF(COUNTIFS($B$6:$B$3005,$B2323,$C$6:$C$3005,$C2323,$D$6:$D$3005,$D2323)&gt;1,"同じ月の請求が重複しています／",""),"")&amp;IF(AND(N($E2323)&gt;0,$AB2323&lt;&gt;"",$AB2323&lt;&gt;"×",$AE2323=0,$AD2323=""),"計算額が下限以下のため不支給／",""))</f>
        <v/>
      </c>
      <c r="AN2323" s="12" t="n"/>
      <c r="AO2323" s="14">
        <f>IF($AF2323="保留中",COUNTIF($AF$6:$AF2323,"保留中"),"")</f>
        <v/>
      </c>
      <c r="AP2323" s="14">
        <f>IF($AQ2323="","",IF(SUMPRODUCT(MAX((職員マスタ!$A$6:$A$405=$B2323)*(((職員マスタ!$G$6:$G$405="")+(職員マスタ!$G$6:$G$405&lt;=EOMONTH($AQ2323,0)))&gt;0)*(((職員マスタ!$H$6:$H$405="")+(職員マスタ!$H$6:$H$405&gt;=$AQ2323))&gt;0)*(ROW(職員マスタ!$A$6:$A$405)-5)))&gt;0,SUMPRODUCT(MAX((職員マスタ!$A$6:$A$405=$B2323)*(((職員マスタ!$G$6:$G$405="")+(職員マスタ!$G$6:$G$405&lt;=EOMONTH($AQ2323,0)))&gt;0)*(((職員マスタ!$H$6:$H$405="")+(職員マスタ!$H$6:$H$405&gt;=$AQ2323))&gt;0)*(ROW(職員マスタ!$A$6:$A$405)-5))),IFERROR(MATCH($B2323,職員マスタ!$A$6:$A$405,0),"")))</f>
        <v/>
      </c>
      <c r="AQ2323" s="16">
        <f>IF(OR($B2323="",$C2323="",$D2323=""),"",DATE($C2323+2018,$D2323,1))</f>
        <v/>
      </c>
    </row>
    <row r="2324">
      <c r="A2324" s="11" t="n"/>
      <c r="B2324" s="12" t="n"/>
      <c r="C2324" s="12" t="n"/>
      <c r="D2324" s="12" t="n"/>
      <c r="E2324" s="13" t="n"/>
      <c r="F2324" s="12" t="n"/>
      <c r="G2324" s="13" t="n"/>
      <c r="H2324" s="12" t="n"/>
      <c r="I2324" s="12" t="n"/>
      <c r="J2324" s="12" t="n"/>
      <c r="K2324" s="12" t="n"/>
      <c r="L2324" s="11" t="n"/>
      <c r="M2324" s="11" t="n"/>
      <c r="N2324" s="11" t="n"/>
      <c r="O2324" s="11" t="n"/>
      <c r="P2324" s="12" t="n"/>
      <c r="Q2324" s="11" t="n"/>
      <c r="R2324" s="12" t="n"/>
      <c r="S2324" s="11" t="n"/>
      <c r="T2324" s="12" t="n"/>
      <c r="U2324" s="12" t="n"/>
      <c r="V2324" s="12" t="n"/>
      <c r="W2324" s="13" t="n"/>
      <c r="X2324" s="14">
        <f>IF($AP2324="",IF($B2324="","",$H2324),IF(INDEX(職員マスタ!$B$6:$B$405,$AP2324)="",$H2324,INDEX(職員マスタ!$B$6:$B$405,$AP2324)))</f>
        <v/>
      </c>
      <c r="Y2324" s="14">
        <f>IF($AP2324="",IF($B2324="","",$R2324),IF(INDEX(職員マスタ!$C$6:$C$405,$AP2324)="",$R2324,INDEX(職員マスタ!$C$6:$C$405,$AP2324)))</f>
        <v/>
      </c>
      <c r="Z2324" s="14">
        <f>IF($AQ2324="","","R"&amp;$C2324&amp;"."&amp;$D2324)</f>
        <v/>
      </c>
      <c r="AA2324" s="15">
        <f>IF(IF($AP2324="",FALSE,INDEX(職員マスタ!$K$6:$K$405,$AP2324)&lt;&gt;""),INDEX(職員マスタ!$K$6:$K$405,$AP2324),IF(N($W2324)&gt;0,$W2324,""))</f>
        <v/>
      </c>
      <c r="AB2324" s="14">
        <f>IF(OR($E2324="",$AA2324=""),"",IF($E2324&gt;=$AA2324,"×",IF($E2324&gt;=$AA2324*設定!$C$5,"△","○")))</f>
        <v/>
      </c>
      <c r="AC2324" s="15">
        <f>IF($AB2324="","",IF($AB2324="×",0,IF($AB2324="○",ROUNDDOWN($E2324*設定!$C$4,0),ROUNDDOWN($E2324*ROUND((9*$AA2324-9*$E2324)/(10*$E2324),4),0))))</f>
        <v/>
      </c>
      <c r="AD2324" s="13" t="n"/>
      <c r="AE2324" s="15">
        <f>IF($B2324="","",IF($AD2324&lt;&gt;"",$AD2324,IF($AC2324="","",IF($AC2324&lt;=設定!$C$3,0,$AC2324))))</f>
        <v/>
      </c>
      <c r="AF2324" s="14">
        <f>IF($B2324="","",IF(AND($AG2324&lt;&gt;"",$AI2324="",$AL2324=""),"保留中",IF($AL2324&lt;&gt;"",IF(N($AE2324)&gt;0,"支給済","不支給"),IF($AE2324="","要確認",IF($AE2324=0,"不支給","未処理")))))</f>
        <v/>
      </c>
      <c r="AG2324" s="12" t="n"/>
      <c r="AH2324" s="11" t="n"/>
      <c r="AI2324" s="11" t="n"/>
      <c r="AJ2324" s="11" t="n"/>
      <c r="AK2324" s="14">
        <f>IF(AND($AF2324="保留中",$AH2324&lt;&gt;""),TODAY()-$AH2324,"")</f>
        <v/>
      </c>
      <c r="AL2324" s="12" t="n"/>
      <c r="AM2324" s="14">
        <f>IF($B2324="","",IF($AQ2324="","対象年月が未入力／","")&amp;IF($B2324="","",IF($AP2324="","職員マスタに未登録の職員番号／",IF($AA2324="","標準報酬月額が未登録／","")&amp;IF(AND($AQ2324&lt;&gt;"",OR(AND(INDEX(職員マスタ!$G$6:$G$405,$AP2324)&lt;&gt;"",INDEX(職員マスタ!$G$6:$G$405,$AP2324)&gt;EOMONTH($AQ2324,0)),AND(INDEX(職員マスタ!$H$6:$H$405,$AP2324)&lt;&gt;"",INDEX(職員マスタ!$H$6:$H$405,$AP2324)&lt;$AQ2324))),"対象月が時短期間外／","")&amp;IF(AND(INDEX(職員マスタ!$K$6:$K$405,$AP2324)&lt;&gt;"",N($W2324)&gt;0,INDEX(職員マスタ!$K$6:$K$405,$AP2324)&lt;&gt;$W2324),"標準報酬月額が申請書と相違（台帳"&amp;TEXT(INDEX(職員マスタ!$K$6:$K$405,$AP2324),"#,##0")&amp;"円／申請書"&amp;TEXT($W2324,"#,##0")&amp;"円）／","")&amp;IF(AND(INDEX(職員マスタ!$F$6:$F$405,$AP2324)&lt;&gt;"",$AQ2324&lt;&gt;"",INDEX(職員マスタ!$F$6:$F$405,$AP2324)&lt;$AQ2324),"対象月に子が2歳到達済／","")&amp;IF(AND($H2324&lt;&gt;"",INDEX(職員マスタ!$B$6:$B$405,$AP2324)&lt;&gt;"",SUBSTITUTE(SUBSTITUTE($H2324," ","")," ","")&lt;&gt;SUBSTITUTE(SUBSTITUTE(INDEX(職員マスタ!$B$6:$B$405,$AP2324)," ","")," ","")),"氏名がマスタと相違／","")&amp;IF(AND($Q2324&lt;&gt;"",INDEX(職員マスタ!$E$6:$E$405,$AP2324)&lt;&gt;"",$Q2324&lt;&gt;INDEX(職員マスタ!$E$6:$E$405,$AP2324)),"子の生年月日がマスタと相違／","")&amp;IF(AND($L2324&lt;&gt;"",INDEX(職員マスタ!$G$6:$G$405,$AP2324)&lt;&gt;"",$L2324&lt;&gt;INDEX(職員マスタ!$G$6:$G$405,$AP2324)),"時短開始日がマスタと相違／","")&amp;IF(AND($M2324&lt;&gt;"",INDEX(職員マスタ!$H$6:$H$405,$AP2324)&lt;&gt;"",$M2324&lt;&gt;INDEX(職員マスタ!$H$6:$H$405,$AP2324)),"時短終了日がマスタと相違／","")))&amp;IF(AND($B2324&lt;&gt;"",$E2324=""),"報酬額が未入力／","")&amp;IF(N($U2324)&gt;0,"申請書に入力エラーが残っています／","")&amp;IF(AND($B2324&lt;&gt;"",$AQ2324&lt;&gt;""),IF(COUNTIFS($B$6:$B$3005,$B2324,$C$6:$C$3005,$C2324,$D$6:$D$3005,$D2324)&gt;1,"同じ月の請求が重複しています／",""),"")&amp;IF(AND(N($E2324)&gt;0,$AB2324&lt;&gt;"",$AB2324&lt;&gt;"×",$AE2324=0,$AD2324=""),"計算額が下限以下のため不支給／",""))</f>
        <v/>
      </c>
      <c r="AN2324" s="12" t="n"/>
      <c r="AO2324" s="14">
        <f>IF($AF2324="保留中",COUNTIF($AF$6:$AF2324,"保留中"),"")</f>
        <v/>
      </c>
      <c r="AP2324" s="14">
        <f>IF($AQ2324="","",IF(SUMPRODUCT(MAX((職員マスタ!$A$6:$A$405=$B2324)*(((職員マスタ!$G$6:$G$405="")+(職員マスタ!$G$6:$G$405&lt;=EOMONTH($AQ2324,0)))&gt;0)*(((職員マスタ!$H$6:$H$405="")+(職員マスタ!$H$6:$H$405&gt;=$AQ2324))&gt;0)*(ROW(職員マスタ!$A$6:$A$405)-5)))&gt;0,SUMPRODUCT(MAX((職員マスタ!$A$6:$A$405=$B2324)*(((職員マスタ!$G$6:$G$405="")+(職員マスタ!$G$6:$G$405&lt;=EOMONTH($AQ2324,0)))&gt;0)*(((職員マスタ!$H$6:$H$405="")+(職員マスタ!$H$6:$H$405&gt;=$AQ2324))&gt;0)*(ROW(職員マスタ!$A$6:$A$405)-5))),IFERROR(MATCH($B2324,職員マスタ!$A$6:$A$405,0),"")))</f>
        <v/>
      </c>
      <c r="AQ2324" s="16">
        <f>IF(OR($B2324="",$C2324="",$D2324=""),"",DATE($C2324+2018,$D2324,1))</f>
        <v/>
      </c>
    </row>
    <row r="2325">
      <c r="A2325" s="11" t="n"/>
      <c r="B2325" s="12" t="n"/>
      <c r="C2325" s="12" t="n"/>
      <c r="D2325" s="12" t="n"/>
      <c r="E2325" s="13" t="n"/>
      <c r="F2325" s="12" t="n"/>
      <c r="G2325" s="13" t="n"/>
      <c r="H2325" s="12" t="n"/>
      <c r="I2325" s="12" t="n"/>
      <c r="J2325" s="12" t="n"/>
      <c r="K2325" s="12" t="n"/>
      <c r="L2325" s="11" t="n"/>
      <c r="M2325" s="11" t="n"/>
      <c r="N2325" s="11" t="n"/>
      <c r="O2325" s="11" t="n"/>
      <c r="P2325" s="12" t="n"/>
      <c r="Q2325" s="11" t="n"/>
      <c r="R2325" s="12" t="n"/>
      <c r="S2325" s="11" t="n"/>
      <c r="T2325" s="12" t="n"/>
      <c r="U2325" s="12" t="n"/>
      <c r="V2325" s="12" t="n"/>
      <c r="W2325" s="13" t="n"/>
      <c r="X2325" s="14">
        <f>IF($AP2325="",IF($B2325="","",$H2325),IF(INDEX(職員マスタ!$B$6:$B$405,$AP2325)="",$H2325,INDEX(職員マスタ!$B$6:$B$405,$AP2325)))</f>
        <v/>
      </c>
      <c r="Y2325" s="14">
        <f>IF($AP2325="",IF($B2325="","",$R2325),IF(INDEX(職員マスタ!$C$6:$C$405,$AP2325)="",$R2325,INDEX(職員マスタ!$C$6:$C$405,$AP2325)))</f>
        <v/>
      </c>
      <c r="Z2325" s="14">
        <f>IF($AQ2325="","","R"&amp;$C2325&amp;"."&amp;$D2325)</f>
        <v/>
      </c>
      <c r="AA2325" s="15">
        <f>IF(IF($AP2325="",FALSE,INDEX(職員マスタ!$K$6:$K$405,$AP2325)&lt;&gt;""),INDEX(職員マスタ!$K$6:$K$405,$AP2325),IF(N($W2325)&gt;0,$W2325,""))</f>
        <v/>
      </c>
      <c r="AB2325" s="14">
        <f>IF(OR($E2325="",$AA2325=""),"",IF($E2325&gt;=$AA2325,"×",IF($E2325&gt;=$AA2325*設定!$C$5,"△","○")))</f>
        <v/>
      </c>
      <c r="AC2325" s="15">
        <f>IF($AB2325="","",IF($AB2325="×",0,IF($AB2325="○",ROUNDDOWN($E2325*設定!$C$4,0),ROUNDDOWN($E2325*ROUND((9*$AA2325-9*$E2325)/(10*$E2325),4),0))))</f>
        <v/>
      </c>
      <c r="AD2325" s="13" t="n"/>
      <c r="AE2325" s="15">
        <f>IF($B2325="","",IF($AD2325&lt;&gt;"",$AD2325,IF($AC2325="","",IF($AC2325&lt;=設定!$C$3,0,$AC2325))))</f>
        <v/>
      </c>
      <c r="AF2325" s="14">
        <f>IF($B2325="","",IF(AND($AG2325&lt;&gt;"",$AI2325="",$AL2325=""),"保留中",IF($AL2325&lt;&gt;"",IF(N($AE2325)&gt;0,"支給済","不支給"),IF($AE2325="","要確認",IF($AE2325=0,"不支給","未処理")))))</f>
        <v/>
      </c>
      <c r="AG2325" s="12" t="n"/>
      <c r="AH2325" s="11" t="n"/>
      <c r="AI2325" s="11" t="n"/>
      <c r="AJ2325" s="11" t="n"/>
      <c r="AK2325" s="14">
        <f>IF(AND($AF2325="保留中",$AH2325&lt;&gt;""),TODAY()-$AH2325,"")</f>
        <v/>
      </c>
      <c r="AL2325" s="12" t="n"/>
      <c r="AM2325" s="14">
        <f>IF($B2325="","",IF($AQ2325="","対象年月が未入力／","")&amp;IF($B2325="","",IF($AP2325="","職員マスタに未登録の職員番号／",IF($AA2325="","標準報酬月額が未登録／","")&amp;IF(AND($AQ2325&lt;&gt;"",OR(AND(INDEX(職員マスタ!$G$6:$G$405,$AP2325)&lt;&gt;"",INDEX(職員マスタ!$G$6:$G$405,$AP2325)&gt;EOMONTH($AQ2325,0)),AND(INDEX(職員マスタ!$H$6:$H$405,$AP2325)&lt;&gt;"",INDEX(職員マスタ!$H$6:$H$405,$AP2325)&lt;$AQ2325))),"対象月が時短期間外／","")&amp;IF(AND(INDEX(職員マスタ!$K$6:$K$405,$AP2325)&lt;&gt;"",N($W2325)&gt;0,INDEX(職員マスタ!$K$6:$K$405,$AP2325)&lt;&gt;$W2325),"標準報酬月額が申請書と相違（台帳"&amp;TEXT(INDEX(職員マスタ!$K$6:$K$405,$AP2325),"#,##0")&amp;"円／申請書"&amp;TEXT($W2325,"#,##0")&amp;"円）／","")&amp;IF(AND(INDEX(職員マスタ!$F$6:$F$405,$AP2325)&lt;&gt;"",$AQ2325&lt;&gt;"",INDEX(職員マスタ!$F$6:$F$405,$AP2325)&lt;$AQ2325),"対象月に子が2歳到達済／","")&amp;IF(AND($H2325&lt;&gt;"",INDEX(職員マスタ!$B$6:$B$405,$AP2325)&lt;&gt;"",SUBSTITUTE(SUBSTITUTE($H2325," ","")," ","")&lt;&gt;SUBSTITUTE(SUBSTITUTE(INDEX(職員マスタ!$B$6:$B$405,$AP2325)," ","")," ","")),"氏名がマスタと相違／","")&amp;IF(AND($Q2325&lt;&gt;"",INDEX(職員マスタ!$E$6:$E$405,$AP2325)&lt;&gt;"",$Q2325&lt;&gt;INDEX(職員マスタ!$E$6:$E$405,$AP2325)),"子の生年月日がマスタと相違／","")&amp;IF(AND($L2325&lt;&gt;"",INDEX(職員マスタ!$G$6:$G$405,$AP2325)&lt;&gt;"",$L2325&lt;&gt;INDEX(職員マスタ!$G$6:$G$405,$AP2325)),"時短開始日がマスタと相違／","")&amp;IF(AND($M2325&lt;&gt;"",INDEX(職員マスタ!$H$6:$H$405,$AP2325)&lt;&gt;"",$M2325&lt;&gt;INDEX(職員マスタ!$H$6:$H$405,$AP2325)),"時短終了日がマスタと相違／","")))&amp;IF(AND($B2325&lt;&gt;"",$E2325=""),"報酬額が未入力／","")&amp;IF(N($U2325)&gt;0,"申請書に入力エラーが残っています／","")&amp;IF(AND($B2325&lt;&gt;"",$AQ2325&lt;&gt;""),IF(COUNTIFS($B$6:$B$3005,$B2325,$C$6:$C$3005,$C2325,$D$6:$D$3005,$D2325)&gt;1,"同じ月の請求が重複しています／",""),"")&amp;IF(AND(N($E2325)&gt;0,$AB2325&lt;&gt;"",$AB2325&lt;&gt;"×",$AE2325=0,$AD2325=""),"計算額が下限以下のため不支給／",""))</f>
        <v/>
      </c>
      <c r="AN2325" s="12" t="n"/>
      <c r="AO2325" s="14">
        <f>IF($AF2325="保留中",COUNTIF($AF$6:$AF2325,"保留中"),"")</f>
        <v/>
      </c>
      <c r="AP2325" s="14">
        <f>IF($AQ2325="","",IF(SUMPRODUCT(MAX((職員マスタ!$A$6:$A$405=$B2325)*(((職員マスタ!$G$6:$G$405="")+(職員マスタ!$G$6:$G$405&lt;=EOMONTH($AQ2325,0)))&gt;0)*(((職員マスタ!$H$6:$H$405="")+(職員マスタ!$H$6:$H$405&gt;=$AQ2325))&gt;0)*(ROW(職員マスタ!$A$6:$A$405)-5)))&gt;0,SUMPRODUCT(MAX((職員マスタ!$A$6:$A$405=$B2325)*(((職員マスタ!$G$6:$G$405="")+(職員マスタ!$G$6:$G$405&lt;=EOMONTH($AQ2325,0)))&gt;0)*(((職員マスタ!$H$6:$H$405="")+(職員マスタ!$H$6:$H$405&gt;=$AQ2325))&gt;0)*(ROW(職員マスタ!$A$6:$A$405)-5))),IFERROR(MATCH($B2325,職員マスタ!$A$6:$A$405,0),"")))</f>
        <v/>
      </c>
      <c r="AQ2325" s="16">
        <f>IF(OR($B2325="",$C2325="",$D2325=""),"",DATE($C2325+2018,$D2325,1))</f>
        <v/>
      </c>
    </row>
    <row r="2326">
      <c r="A2326" s="11" t="n"/>
      <c r="B2326" s="12" t="n"/>
      <c r="C2326" s="12" t="n"/>
      <c r="D2326" s="12" t="n"/>
      <c r="E2326" s="13" t="n"/>
      <c r="F2326" s="12" t="n"/>
      <c r="G2326" s="13" t="n"/>
      <c r="H2326" s="12" t="n"/>
      <c r="I2326" s="12" t="n"/>
      <c r="J2326" s="12" t="n"/>
      <c r="K2326" s="12" t="n"/>
      <c r="L2326" s="11" t="n"/>
      <c r="M2326" s="11" t="n"/>
      <c r="N2326" s="11" t="n"/>
      <c r="O2326" s="11" t="n"/>
      <c r="P2326" s="12" t="n"/>
      <c r="Q2326" s="11" t="n"/>
      <c r="R2326" s="12" t="n"/>
      <c r="S2326" s="11" t="n"/>
      <c r="T2326" s="12" t="n"/>
      <c r="U2326" s="12" t="n"/>
      <c r="V2326" s="12" t="n"/>
      <c r="W2326" s="13" t="n"/>
      <c r="X2326" s="14">
        <f>IF($AP2326="",IF($B2326="","",$H2326),IF(INDEX(職員マスタ!$B$6:$B$405,$AP2326)="",$H2326,INDEX(職員マスタ!$B$6:$B$405,$AP2326)))</f>
        <v/>
      </c>
      <c r="Y2326" s="14">
        <f>IF($AP2326="",IF($B2326="","",$R2326),IF(INDEX(職員マスタ!$C$6:$C$405,$AP2326)="",$R2326,INDEX(職員マスタ!$C$6:$C$405,$AP2326)))</f>
        <v/>
      </c>
      <c r="Z2326" s="14">
        <f>IF($AQ2326="","","R"&amp;$C2326&amp;"."&amp;$D2326)</f>
        <v/>
      </c>
      <c r="AA2326" s="15">
        <f>IF(IF($AP2326="",FALSE,INDEX(職員マスタ!$K$6:$K$405,$AP2326)&lt;&gt;""),INDEX(職員マスタ!$K$6:$K$405,$AP2326),IF(N($W2326)&gt;0,$W2326,""))</f>
        <v/>
      </c>
      <c r="AB2326" s="14">
        <f>IF(OR($E2326="",$AA2326=""),"",IF($E2326&gt;=$AA2326,"×",IF($E2326&gt;=$AA2326*設定!$C$5,"△","○")))</f>
        <v/>
      </c>
      <c r="AC2326" s="15">
        <f>IF($AB2326="","",IF($AB2326="×",0,IF($AB2326="○",ROUNDDOWN($E2326*設定!$C$4,0),ROUNDDOWN($E2326*ROUND((9*$AA2326-9*$E2326)/(10*$E2326),4),0))))</f>
        <v/>
      </c>
      <c r="AD2326" s="13" t="n"/>
      <c r="AE2326" s="15">
        <f>IF($B2326="","",IF($AD2326&lt;&gt;"",$AD2326,IF($AC2326="","",IF($AC2326&lt;=設定!$C$3,0,$AC2326))))</f>
        <v/>
      </c>
      <c r="AF2326" s="14">
        <f>IF($B2326="","",IF(AND($AG2326&lt;&gt;"",$AI2326="",$AL2326=""),"保留中",IF($AL2326&lt;&gt;"",IF(N($AE2326)&gt;0,"支給済","不支給"),IF($AE2326="","要確認",IF($AE2326=0,"不支給","未処理")))))</f>
        <v/>
      </c>
      <c r="AG2326" s="12" t="n"/>
      <c r="AH2326" s="11" t="n"/>
      <c r="AI2326" s="11" t="n"/>
      <c r="AJ2326" s="11" t="n"/>
      <c r="AK2326" s="14">
        <f>IF(AND($AF2326="保留中",$AH2326&lt;&gt;""),TODAY()-$AH2326,"")</f>
        <v/>
      </c>
      <c r="AL2326" s="12" t="n"/>
      <c r="AM2326" s="14">
        <f>IF($B2326="","",IF($AQ2326="","対象年月が未入力／","")&amp;IF($B2326="","",IF($AP2326="","職員マスタに未登録の職員番号／",IF($AA2326="","標準報酬月額が未登録／","")&amp;IF(AND($AQ2326&lt;&gt;"",OR(AND(INDEX(職員マスタ!$G$6:$G$405,$AP2326)&lt;&gt;"",INDEX(職員マスタ!$G$6:$G$405,$AP2326)&gt;EOMONTH($AQ2326,0)),AND(INDEX(職員マスタ!$H$6:$H$405,$AP2326)&lt;&gt;"",INDEX(職員マスタ!$H$6:$H$405,$AP2326)&lt;$AQ2326))),"対象月が時短期間外／","")&amp;IF(AND(INDEX(職員マスタ!$K$6:$K$405,$AP2326)&lt;&gt;"",N($W2326)&gt;0,INDEX(職員マスタ!$K$6:$K$405,$AP2326)&lt;&gt;$W2326),"標準報酬月額が申請書と相違（台帳"&amp;TEXT(INDEX(職員マスタ!$K$6:$K$405,$AP2326),"#,##0")&amp;"円／申請書"&amp;TEXT($W2326,"#,##0")&amp;"円）／","")&amp;IF(AND(INDEX(職員マスタ!$F$6:$F$405,$AP2326)&lt;&gt;"",$AQ2326&lt;&gt;"",INDEX(職員マスタ!$F$6:$F$405,$AP2326)&lt;$AQ2326),"対象月に子が2歳到達済／","")&amp;IF(AND($H2326&lt;&gt;"",INDEX(職員マスタ!$B$6:$B$405,$AP2326)&lt;&gt;"",SUBSTITUTE(SUBSTITUTE($H2326," ","")," ","")&lt;&gt;SUBSTITUTE(SUBSTITUTE(INDEX(職員マスタ!$B$6:$B$405,$AP2326)," ","")," ","")),"氏名がマスタと相違／","")&amp;IF(AND($Q2326&lt;&gt;"",INDEX(職員マスタ!$E$6:$E$405,$AP2326)&lt;&gt;"",$Q2326&lt;&gt;INDEX(職員マスタ!$E$6:$E$405,$AP2326)),"子の生年月日がマスタと相違／","")&amp;IF(AND($L2326&lt;&gt;"",INDEX(職員マスタ!$G$6:$G$405,$AP2326)&lt;&gt;"",$L2326&lt;&gt;INDEX(職員マスタ!$G$6:$G$405,$AP2326)),"時短開始日がマスタと相違／","")&amp;IF(AND($M2326&lt;&gt;"",INDEX(職員マスタ!$H$6:$H$405,$AP2326)&lt;&gt;"",$M2326&lt;&gt;INDEX(職員マスタ!$H$6:$H$405,$AP2326)),"時短終了日がマスタと相違／","")))&amp;IF(AND($B2326&lt;&gt;"",$E2326=""),"報酬額が未入力／","")&amp;IF(N($U2326)&gt;0,"申請書に入力エラーが残っています／","")&amp;IF(AND($B2326&lt;&gt;"",$AQ2326&lt;&gt;""),IF(COUNTIFS($B$6:$B$3005,$B2326,$C$6:$C$3005,$C2326,$D$6:$D$3005,$D2326)&gt;1,"同じ月の請求が重複しています／",""),"")&amp;IF(AND(N($E2326)&gt;0,$AB2326&lt;&gt;"",$AB2326&lt;&gt;"×",$AE2326=0,$AD2326=""),"計算額が下限以下のため不支給／",""))</f>
        <v/>
      </c>
      <c r="AN2326" s="12" t="n"/>
      <c r="AO2326" s="14">
        <f>IF($AF2326="保留中",COUNTIF($AF$6:$AF2326,"保留中"),"")</f>
        <v/>
      </c>
      <c r="AP2326" s="14">
        <f>IF($AQ2326="","",IF(SUMPRODUCT(MAX((職員マスタ!$A$6:$A$405=$B2326)*(((職員マスタ!$G$6:$G$405="")+(職員マスタ!$G$6:$G$405&lt;=EOMONTH($AQ2326,0)))&gt;0)*(((職員マスタ!$H$6:$H$405="")+(職員マスタ!$H$6:$H$405&gt;=$AQ2326))&gt;0)*(ROW(職員マスタ!$A$6:$A$405)-5)))&gt;0,SUMPRODUCT(MAX((職員マスタ!$A$6:$A$405=$B2326)*(((職員マスタ!$G$6:$G$405="")+(職員マスタ!$G$6:$G$405&lt;=EOMONTH($AQ2326,0)))&gt;0)*(((職員マスタ!$H$6:$H$405="")+(職員マスタ!$H$6:$H$405&gt;=$AQ2326))&gt;0)*(ROW(職員マスタ!$A$6:$A$405)-5))),IFERROR(MATCH($B2326,職員マスタ!$A$6:$A$405,0),"")))</f>
        <v/>
      </c>
      <c r="AQ2326" s="16">
        <f>IF(OR($B2326="",$C2326="",$D2326=""),"",DATE($C2326+2018,$D2326,1))</f>
        <v/>
      </c>
    </row>
    <row r="2327">
      <c r="A2327" s="11" t="n"/>
      <c r="B2327" s="12" t="n"/>
      <c r="C2327" s="12" t="n"/>
      <c r="D2327" s="12" t="n"/>
      <c r="E2327" s="13" t="n"/>
      <c r="F2327" s="12" t="n"/>
      <c r="G2327" s="13" t="n"/>
      <c r="H2327" s="12" t="n"/>
      <c r="I2327" s="12" t="n"/>
      <c r="J2327" s="12" t="n"/>
      <c r="K2327" s="12" t="n"/>
      <c r="L2327" s="11" t="n"/>
      <c r="M2327" s="11" t="n"/>
      <c r="N2327" s="11" t="n"/>
      <c r="O2327" s="11" t="n"/>
      <c r="P2327" s="12" t="n"/>
      <c r="Q2327" s="11" t="n"/>
      <c r="R2327" s="12" t="n"/>
      <c r="S2327" s="11" t="n"/>
      <c r="T2327" s="12" t="n"/>
      <c r="U2327" s="12" t="n"/>
      <c r="V2327" s="12" t="n"/>
      <c r="W2327" s="13" t="n"/>
      <c r="X2327" s="14">
        <f>IF($AP2327="",IF($B2327="","",$H2327),IF(INDEX(職員マスタ!$B$6:$B$405,$AP2327)="",$H2327,INDEX(職員マスタ!$B$6:$B$405,$AP2327)))</f>
        <v/>
      </c>
      <c r="Y2327" s="14">
        <f>IF($AP2327="",IF($B2327="","",$R2327),IF(INDEX(職員マスタ!$C$6:$C$405,$AP2327)="",$R2327,INDEX(職員マスタ!$C$6:$C$405,$AP2327)))</f>
        <v/>
      </c>
      <c r="Z2327" s="14">
        <f>IF($AQ2327="","","R"&amp;$C2327&amp;"."&amp;$D2327)</f>
        <v/>
      </c>
      <c r="AA2327" s="15">
        <f>IF(IF($AP2327="",FALSE,INDEX(職員マスタ!$K$6:$K$405,$AP2327)&lt;&gt;""),INDEX(職員マスタ!$K$6:$K$405,$AP2327),IF(N($W2327)&gt;0,$W2327,""))</f>
        <v/>
      </c>
      <c r="AB2327" s="14">
        <f>IF(OR($E2327="",$AA2327=""),"",IF($E2327&gt;=$AA2327,"×",IF($E2327&gt;=$AA2327*設定!$C$5,"△","○")))</f>
        <v/>
      </c>
      <c r="AC2327" s="15">
        <f>IF($AB2327="","",IF($AB2327="×",0,IF($AB2327="○",ROUNDDOWN($E2327*設定!$C$4,0),ROUNDDOWN($E2327*ROUND((9*$AA2327-9*$E2327)/(10*$E2327),4),0))))</f>
        <v/>
      </c>
      <c r="AD2327" s="13" t="n"/>
      <c r="AE2327" s="15">
        <f>IF($B2327="","",IF($AD2327&lt;&gt;"",$AD2327,IF($AC2327="","",IF($AC2327&lt;=設定!$C$3,0,$AC2327))))</f>
        <v/>
      </c>
      <c r="AF2327" s="14">
        <f>IF($B2327="","",IF(AND($AG2327&lt;&gt;"",$AI2327="",$AL2327=""),"保留中",IF($AL2327&lt;&gt;"",IF(N($AE2327)&gt;0,"支給済","不支給"),IF($AE2327="","要確認",IF($AE2327=0,"不支給","未処理")))))</f>
        <v/>
      </c>
      <c r="AG2327" s="12" t="n"/>
      <c r="AH2327" s="11" t="n"/>
      <c r="AI2327" s="11" t="n"/>
      <c r="AJ2327" s="11" t="n"/>
      <c r="AK2327" s="14">
        <f>IF(AND($AF2327="保留中",$AH2327&lt;&gt;""),TODAY()-$AH2327,"")</f>
        <v/>
      </c>
      <c r="AL2327" s="12" t="n"/>
      <c r="AM2327" s="14">
        <f>IF($B2327="","",IF($AQ2327="","対象年月が未入力／","")&amp;IF($B2327="","",IF($AP2327="","職員マスタに未登録の職員番号／",IF($AA2327="","標準報酬月額が未登録／","")&amp;IF(AND($AQ2327&lt;&gt;"",OR(AND(INDEX(職員マスタ!$G$6:$G$405,$AP2327)&lt;&gt;"",INDEX(職員マスタ!$G$6:$G$405,$AP2327)&gt;EOMONTH($AQ2327,0)),AND(INDEX(職員マスタ!$H$6:$H$405,$AP2327)&lt;&gt;"",INDEX(職員マスタ!$H$6:$H$405,$AP2327)&lt;$AQ2327))),"対象月が時短期間外／","")&amp;IF(AND(INDEX(職員マスタ!$K$6:$K$405,$AP2327)&lt;&gt;"",N($W2327)&gt;0,INDEX(職員マスタ!$K$6:$K$405,$AP2327)&lt;&gt;$W2327),"標準報酬月額が申請書と相違（台帳"&amp;TEXT(INDEX(職員マスタ!$K$6:$K$405,$AP2327),"#,##0")&amp;"円／申請書"&amp;TEXT($W2327,"#,##0")&amp;"円）／","")&amp;IF(AND(INDEX(職員マスタ!$F$6:$F$405,$AP2327)&lt;&gt;"",$AQ2327&lt;&gt;"",INDEX(職員マスタ!$F$6:$F$405,$AP2327)&lt;$AQ2327),"対象月に子が2歳到達済／","")&amp;IF(AND($H2327&lt;&gt;"",INDEX(職員マスタ!$B$6:$B$405,$AP2327)&lt;&gt;"",SUBSTITUTE(SUBSTITUTE($H2327," ","")," ","")&lt;&gt;SUBSTITUTE(SUBSTITUTE(INDEX(職員マスタ!$B$6:$B$405,$AP2327)," ","")," ","")),"氏名がマスタと相違／","")&amp;IF(AND($Q2327&lt;&gt;"",INDEX(職員マスタ!$E$6:$E$405,$AP2327)&lt;&gt;"",$Q2327&lt;&gt;INDEX(職員マスタ!$E$6:$E$405,$AP2327)),"子の生年月日がマスタと相違／","")&amp;IF(AND($L2327&lt;&gt;"",INDEX(職員マスタ!$G$6:$G$405,$AP2327)&lt;&gt;"",$L2327&lt;&gt;INDEX(職員マスタ!$G$6:$G$405,$AP2327)),"時短開始日がマスタと相違／","")&amp;IF(AND($M2327&lt;&gt;"",INDEX(職員マスタ!$H$6:$H$405,$AP2327)&lt;&gt;"",$M2327&lt;&gt;INDEX(職員マスタ!$H$6:$H$405,$AP2327)),"時短終了日がマスタと相違／","")))&amp;IF(AND($B2327&lt;&gt;"",$E2327=""),"報酬額が未入力／","")&amp;IF(N($U2327)&gt;0,"申請書に入力エラーが残っています／","")&amp;IF(AND($B2327&lt;&gt;"",$AQ2327&lt;&gt;""),IF(COUNTIFS($B$6:$B$3005,$B2327,$C$6:$C$3005,$C2327,$D$6:$D$3005,$D2327)&gt;1,"同じ月の請求が重複しています／",""),"")&amp;IF(AND(N($E2327)&gt;0,$AB2327&lt;&gt;"",$AB2327&lt;&gt;"×",$AE2327=0,$AD2327=""),"計算額が下限以下のため不支給／",""))</f>
        <v/>
      </c>
      <c r="AN2327" s="12" t="n"/>
      <c r="AO2327" s="14">
        <f>IF($AF2327="保留中",COUNTIF($AF$6:$AF2327,"保留中"),"")</f>
        <v/>
      </c>
      <c r="AP2327" s="14">
        <f>IF($AQ2327="","",IF(SUMPRODUCT(MAX((職員マスタ!$A$6:$A$405=$B2327)*(((職員マスタ!$G$6:$G$405="")+(職員マスタ!$G$6:$G$405&lt;=EOMONTH($AQ2327,0)))&gt;0)*(((職員マスタ!$H$6:$H$405="")+(職員マスタ!$H$6:$H$405&gt;=$AQ2327))&gt;0)*(ROW(職員マスタ!$A$6:$A$405)-5)))&gt;0,SUMPRODUCT(MAX((職員マスタ!$A$6:$A$405=$B2327)*(((職員マスタ!$G$6:$G$405="")+(職員マスタ!$G$6:$G$405&lt;=EOMONTH($AQ2327,0)))&gt;0)*(((職員マスタ!$H$6:$H$405="")+(職員マスタ!$H$6:$H$405&gt;=$AQ2327))&gt;0)*(ROW(職員マスタ!$A$6:$A$405)-5))),IFERROR(MATCH($B2327,職員マスタ!$A$6:$A$405,0),"")))</f>
        <v/>
      </c>
      <c r="AQ2327" s="16">
        <f>IF(OR($B2327="",$C2327="",$D2327=""),"",DATE($C2327+2018,$D2327,1))</f>
        <v/>
      </c>
    </row>
    <row r="2328">
      <c r="A2328" s="11" t="n"/>
      <c r="B2328" s="12" t="n"/>
      <c r="C2328" s="12" t="n"/>
      <c r="D2328" s="12" t="n"/>
      <c r="E2328" s="13" t="n"/>
      <c r="F2328" s="12" t="n"/>
      <c r="G2328" s="13" t="n"/>
      <c r="H2328" s="12" t="n"/>
      <c r="I2328" s="12" t="n"/>
      <c r="J2328" s="12" t="n"/>
      <c r="K2328" s="12" t="n"/>
      <c r="L2328" s="11" t="n"/>
      <c r="M2328" s="11" t="n"/>
      <c r="N2328" s="11" t="n"/>
      <c r="O2328" s="11" t="n"/>
      <c r="P2328" s="12" t="n"/>
      <c r="Q2328" s="11" t="n"/>
      <c r="R2328" s="12" t="n"/>
      <c r="S2328" s="11" t="n"/>
      <c r="T2328" s="12" t="n"/>
      <c r="U2328" s="12" t="n"/>
      <c r="V2328" s="12" t="n"/>
      <c r="W2328" s="13" t="n"/>
      <c r="X2328" s="14">
        <f>IF($AP2328="",IF($B2328="","",$H2328),IF(INDEX(職員マスタ!$B$6:$B$405,$AP2328)="",$H2328,INDEX(職員マスタ!$B$6:$B$405,$AP2328)))</f>
        <v/>
      </c>
      <c r="Y2328" s="14">
        <f>IF($AP2328="",IF($B2328="","",$R2328),IF(INDEX(職員マスタ!$C$6:$C$405,$AP2328)="",$R2328,INDEX(職員マスタ!$C$6:$C$405,$AP2328)))</f>
        <v/>
      </c>
      <c r="Z2328" s="14">
        <f>IF($AQ2328="","","R"&amp;$C2328&amp;"."&amp;$D2328)</f>
        <v/>
      </c>
      <c r="AA2328" s="15">
        <f>IF(IF($AP2328="",FALSE,INDEX(職員マスタ!$K$6:$K$405,$AP2328)&lt;&gt;""),INDEX(職員マスタ!$K$6:$K$405,$AP2328),IF(N($W2328)&gt;0,$W2328,""))</f>
        <v/>
      </c>
      <c r="AB2328" s="14">
        <f>IF(OR($E2328="",$AA2328=""),"",IF($E2328&gt;=$AA2328,"×",IF($E2328&gt;=$AA2328*設定!$C$5,"△","○")))</f>
        <v/>
      </c>
      <c r="AC2328" s="15">
        <f>IF($AB2328="","",IF($AB2328="×",0,IF($AB2328="○",ROUNDDOWN($E2328*設定!$C$4,0),ROUNDDOWN($E2328*ROUND((9*$AA2328-9*$E2328)/(10*$E2328),4),0))))</f>
        <v/>
      </c>
      <c r="AD2328" s="13" t="n"/>
      <c r="AE2328" s="15">
        <f>IF($B2328="","",IF($AD2328&lt;&gt;"",$AD2328,IF($AC2328="","",IF($AC2328&lt;=設定!$C$3,0,$AC2328))))</f>
        <v/>
      </c>
      <c r="AF2328" s="14">
        <f>IF($B2328="","",IF(AND($AG2328&lt;&gt;"",$AI2328="",$AL2328=""),"保留中",IF($AL2328&lt;&gt;"",IF(N($AE2328)&gt;0,"支給済","不支給"),IF($AE2328="","要確認",IF($AE2328=0,"不支給","未処理")))))</f>
        <v/>
      </c>
      <c r="AG2328" s="12" t="n"/>
      <c r="AH2328" s="11" t="n"/>
      <c r="AI2328" s="11" t="n"/>
      <c r="AJ2328" s="11" t="n"/>
      <c r="AK2328" s="14">
        <f>IF(AND($AF2328="保留中",$AH2328&lt;&gt;""),TODAY()-$AH2328,"")</f>
        <v/>
      </c>
      <c r="AL2328" s="12" t="n"/>
      <c r="AM2328" s="14">
        <f>IF($B2328="","",IF($AQ2328="","対象年月が未入力／","")&amp;IF($B2328="","",IF($AP2328="","職員マスタに未登録の職員番号／",IF($AA2328="","標準報酬月額が未登録／","")&amp;IF(AND($AQ2328&lt;&gt;"",OR(AND(INDEX(職員マスタ!$G$6:$G$405,$AP2328)&lt;&gt;"",INDEX(職員マスタ!$G$6:$G$405,$AP2328)&gt;EOMONTH($AQ2328,0)),AND(INDEX(職員マスタ!$H$6:$H$405,$AP2328)&lt;&gt;"",INDEX(職員マスタ!$H$6:$H$405,$AP2328)&lt;$AQ2328))),"対象月が時短期間外／","")&amp;IF(AND(INDEX(職員マスタ!$K$6:$K$405,$AP2328)&lt;&gt;"",N($W2328)&gt;0,INDEX(職員マスタ!$K$6:$K$405,$AP2328)&lt;&gt;$W2328),"標準報酬月額が申請書と相違（台帳"&amp;TEXT(INDEX(職員マスタ!$K$6:$K$405,$AP2328),"#,##0")&amp;"円／申請書"&amp;TEXT($W2328,"#,##0")&amp;"円）／","")&amp;IF(AND(INDEX(職員マスタ!$F$6:$F$405,$AP2328)&lt;&gt;"",$AQ2328&lt;&gt;"",INDEX(職員マスタ!$F$6:$F$405,$AP2328)&lt;$AQ2328),"対象月に子が2歳到達済／","")&amp;IF(AND($H2328&lt;&gt;"",INDEX(職員マスタ!$B$6:$B$405,$AP2328)&lt;&gt;"",SUBSTITUTE(SUBSTITUTE($H2328," ","")," ","")&lt;&gt;SUBSTITUTE(SUBSTITUTE(INDEX(職員マスタ!$B$6:$B$405,$AP2328)," ","")," ","")),"氏名がマスタと相違／","")&amp;IF(AND($Q2328&lt;&gt;"",INDEX(職員マスタ!$E$6:$E$405,$AP2328)&lt;&gt;"",$Q2328&lt;&gt;INDEX(職員マスタ!$E$6:$E$405,$AP2328)),"子の生年月日がマスタと相違／","")&amp;IF(AND($L2328&lt;&gt;"",INDEX(職員マスタ!$G$6:$G$405,$AP2328)&lt;&gt;"",$L2328&lt;&gt;INDEX(職員マスタ!$G$6:$G$405,$AP2328)),"時短開始日がマスタと相違／","")&amp;IF(AND($M2328&lt;&gt;"",INDEX(職員マスタ!$H$6:$H$405,$AP2328)&lt;&gt;"",$M2328&lt;&gt;INDEX(職員マスタ!$H$6:$H$405,$AP2328)),"時短終了日がマスタと相違／","")))&amp;IF(AND($B2328&lt;&gt;"",$E2328=""),"報酬額が未入力／","")&amp;IF(N($U2328)&gt;0,"申請書に入力エラーが残っています／","")&amp;IF(AND($B2328&lt;&gt;"",$AQ2328&lt;&gt;""),IF(COUNTIFS($B$6:$B$3005,$B2328,$C$6:$C$3005,$C2328,$D$6:$D$3005,$D2328)&gt;1,"同じ月の請求が重複しています／",""),"")&amp;IF(AND(N($E2328)&gt;0,$AB2328&lt;&gt;"",$AB2328&lt;&gt;"×",$AE2328=0,$AD2328=""),"計算額が下限以下のため不支給／",""))</f>
        <v/>
      </c>
      <c r="AN2328" s="12" t="n"/>
      <c r="AO2328" s="14">
        <f>IF($AF2328="保留中",COUNTIF($AF$6:$AF2328,"保留中"),"")</f>
        <v/>
      </c>
      <c r="AP2328" s="14">
        <f>IF($AQ2328="","",IF(SUMPRODUCT(MAX((職員マスタ!$A$6:$A$405=$B2328)*(((職員マスタ!$G$6:$G$405="")+(職員マスタ!$G$6:$G$405&lt;=EOMONTH($AQ2328,0)))&gt;0)*(((職員マスタ!$H$6:$H$405="")+(職員マスタ!$H$6:$H$405&gt;=$AQ2328))&gt;0)*(ROW(職員マスタ!$A$6:$A$405)-5)))&gt;0,SUMPRODUCT(MAX((職員マスタ!$A$6:$A$405=$B2328)*(((職員マスタ!$G$6:$G$405="")+(職員マスタ!$G$6:$G$405&lt;=EOMONTH($AQ2328,0)))&gt;0)*(((職員マスタ!$H$6:$H$405="")+(職員マスタ!$H$6:$H$405&gt;=$AQ2328))&gt;0)*(ROW(職員マスタ!$A$6:$A$405)-5))),IFERROR(MATCH($B2328,職員マスタ!$A$6:$A$405,0),"")))</f>
        <v/>
      </c>
      <c r="AQ2328" s="16">
        <f>IF(OR($B2328="",$C2328="",$D2328=""),"",DATE($C2328+2018,$D2328,1))</f>
        <v/>
      </c>
    </row>
    <row r="2329">
      <c r="A2329" s="11" t="n"/>
      <c r="B2329" s="12" t="n"/>
      <c r="C2329" s="12" t="n"/>
      <c r="D2329" s="12" t="n"/>
      <c r="E2329" s="13" t="n"/>
      <c r="F2329" s="12" t="n"/>
      <c r="G2329" s="13" t="n"/>
      <c r="H2329" s="12" t="n"/>
      <c r="I2329" s="12" t="n"/>
      <c r="J2329" s="12" t="n"/>
      <c r="K2329" s="12" t="n"/>
      <c r="L2329" s="11" t="n"/>
      <c r="M2329" s="11" t="n"/>
      <c r="N2329" s="11" t="n"/>
      <c r="O2329" s="11" t="n"/>
      <c r="P2329" s="12" t="n"/>
      <c r="Q2329" s="11" t="n"/>
      <c r="R2329" s="12" t="n"/>
      <c r="S2329" s="11" t="n"/>
      <c r="T2329" s="12" t="n"/>
      <c r="U2329" s="12" t="n"/>
      <c r="V2329" s="12" t="n"/>
      <c r="W2329" s="13" t="n"/>
      <c r="X2329" s="14">
        <f>IF($AP2329="",IF($B2329="","",$H2329),IF(INDEX(職員マスタ!$B$6:$B$405,$AP2329)="",$H2329,INDEX(職員マスタ!$B$6:$B$405,$AP2329)))</f>
        <v/>
      </c>
      <c r="Y2329" s="14">
        <f>IF($AP2329="",IF($B2329="","",$R2329),IF(INDEX(職員マスタ!$C$6:$C$405,$AP2329)="",$R2329,INDEX(職員マスタ!$C$6:$C$405,$AP2329)))</f>
        <v/>
      </c>
      <c r="Z2329" s="14">
        <f>IF($AQ2329="","","R"&amp;$C2329&amp;"."&amp;$D2329)</f>
        <v/>
      </c>
      <c r="AA2329" s="15">
        <f>IF(IF($AP2329="",FALSE,INDEX(職員マスタ!$K$6:$K$405,$AP2329)&lt;&gt;""),INDEX(職員マスタ!$K$6:$K$405,$AP2329),IF(N($W2329)&gt;0,$W2329,""))</f>
        <v/>
      </c>
      <c r="AB2329" s="14">
        <f>IF(OR($E2329="",$AA2329=""),"",IF($E2329&gt;=$AA2329,"×",IF($E2329&gt;=$AA2329*設定!$C$5,"△","○")))</f>
        <v/>
      </c>
      <c r="AC2329" s="15">
        <f>IF($AB2329="","",IF($AB2329="×",0,IF($AB2329="○",ROUNDDOWN($E2329*設定!$C$4,0),ROUNDDOWN($E2329*ROUND((9*$AA2329-9*$E2329)/(10*$E2329),4),0))))</f>
        <v/>
      </c>
      <c r="AD2329" s="13" t="n"/>
      <c r="AE2329" s="15">
        <f>IF($B2329="","",IF($AD2329&lt;&gt;"",$AD2329,IF($AC2329="","",IF($AC2329&lt;=設定!$C$3,0,$AC2329))))</f>
        <v/>
      </c>
      <c r="AF2329" s="14">
        <f>IF($B2329="","",IF(AND($AG2329&lt;&gt;"",$AI2329="",$AL2329=""),"保留中",IF($AL2329&lt;&gt;"",IF(N($AE2329)&gt;0,"支給済","不支給"),IF($AE2329="","要確認",IF($AE2329=0,"不支給","未処理")))))</f>
        <v/>
      </c>
      <c r="AG2329" s="12" t="n"/>
      <c r="AH2329" s="11" t="n"/>
      <c r="AI2329" s="11" t="n"/>
      <c r="AJ2329" s="11" t="n"/>
      <c r="AK2329" s="14">
        <f>IF(AND($AF2329="保留中",$AH2329&lt;&gt;""),TODAY()-$AH2329,"")</f>
        <v/>
      </c>
      <c r="AL2329" s="12" t="n"/>
      <c r="AM2329" s="14">
        <f>IF($B2329="","",IF($AQ2329="","対象年月が未入力／","")&amp;IF($B2329="","",IF($AP2329="","職員マスタに未登録の職員番号／",IF($AA2329="","標準報酬月額が未登録／","")&amp;IF(AND($AQ2329&lt;&gt;"",OR(AND(INDEX(職員マスタ!$G$6:$G$405,$AP2329)&lt;&gt;"",INDEX(職員マスタ!$G$6:$G$405,$AP2329)&gt;EOMONTH($AQ2329,0)),AND(INDEX(職員マスタ!$H$6:$H$405,$AP2329)&lt;&gt;"",INDEX(職員マスタ!$H$6:$H$405,$AP2329)&lt;$AQ2329))),"対象月が時短期間外／","")&amp;IF(AND(INDEX(職員マスタ!$K$6:$K$405,$AP2329)&lt;&gt;"",N($W2329)&gt;0,INDEX(職員マスタ!$K$6:$K$405,$AP2329)&lt;&gt;$W2329),"標準報酬月額が申請書と相違（台帳"&amp;TEXT(INDEX(職員マスタ!$K$6:$K$405,$AP2329),"#,##0")&amp;"円／申請書"&amp;TEXT($W2329,"#,##0")&amp;"円）／","")&amp;IF(AND(INDEX(職員マスタ!$F$6:$F$405,$AP2329)&lt;&gt;"",$AQ2329&lt;&gt;"",INDEX(職員マスタ!$F$6:$F$405,$AP2329)&lt;$AQ2329),"対象月に子が2歳到達済／","")&amp;IF(AND($H2329&lt;&gt;"",INDEX(職員マスタ!$B$6:$B$405,$AP2329)&lt;&gt;"",SUBSTITUTE(SUBSTITUTE($H2329," ","")," ","")&lt;&gt;SUBSTITUTE(SUBSTITUTE(INDEX(職員マスタ!$B$6:$B$405,$AP2329)," ","")," ","")),"氏名がマスタと相違／","")&amp;IF(AND($Q2329&lt;&gt;"",INDEX(職員マスタ!$E$6:$E$405,$AP2329)&lt;&gt;"",$Q2329&lt;&gt;INDEX(職員マスタ!$E$6:$E$405,$AP2329)),"子の生年月日がマスタと相違／","")&amp;IF(AND($L2329&lt;&gt;"",INDEX(職員マスタ!$G$6:$G$405,$AP2329)&lt;&gt;"",$L2329&lt;&gt;INDEX(職員マスタ!$G$6:$G$405,$AP2329)),"時短開始日がマスタと相違／","")&amp;IF(AND($M2329&lt;&gt;"",INDEX(職員マスタ!$H$6:$H$405,$AP2329)&lt;&gt;"",$M2329&lt;&gt;INDEX(職員マスタ!$H$6:$H$405,$AP2329)),"時短終了日がマスタと相違／","")))&amp;IF(AND($B2329&lt;&gt;"",$E2329=""),"報酬額が未入力／","")&amp;IF(N($U2329)&gt;0,"申請書に入力エラーが残っています／","")&amp;IF(AND($B2329&lt;&gt;"",$AQ2329&lt;&gt;""),IF(COUNTIFS($B$6:$B$3005,$B2329,$C$6:$C$3005,$C2329,$D$6:$D$3005,$D2329)&gt;1,"同じ月の請求が重複しています／",""),"")&amp;IF(AND(N($E2329)&gt;0,$AB2329&lt;&gt;"",$AB2329&lt;&gt;"×",$AE2329=0,$AD2329=""),"計算額が下限以下のため不支給／",""))</f>
        <v/>
      </c>
      <c r="AN2329" s="12" t="n"/>
      <c r="AO2329" s="14">
        <f>IF($AF2329="保留中",COUNTIF($AF$6:$AF2329,"保留中"),"")</f>
        <v/>
      </c>
      <c r="AP2329" s="14">
        <f>IF($AQ2329="","",IF(SUMPRODUCT(MAX((職員マスタ!$A$6:$A$405=$B2329)*(((職員マスタ!$G$6:$G$405="")+(職員マスタ!$G$6:$G$405&lt;=EOMONTH($AQ2329,0)))&gt;0)*(((職員マスタ!$H$6:$H$405="")+(職員マスタ!$H$6:$H$405&gt;=$AQ2329))&gt;0)*(ROW(職員マスタ!$A$6:$A$405)-5)))&gt;0,SUMPRODUCT(MAX((職員マスタ!$A$6:$A$405=$B2329)*(((職員マスタ!$G$6:$G$405="")+(職員マスタ!$G$6:$G$405&lt;=EOMONTH($AQ2329,0)))&gt;0)*(((職員マスタ!$H$6:$H$405="")+(職員マスタ!$H$6:$H$405&gt;=$AQ2329))&gt;0)*(ROW(職員マスタ!$A$6:$A$405)-5))),IFERROR(MATCH($B2329,職員マスタ!$A$6:$A$405,0),"")))</f>
        <v/>
      </c>
      <c r="AQ2329" s="16">
        <f>IF(OR($B2329="",$C2329="",$D2329=""),"",DATE($C2329+2018,$D2329,1))</f>
        <v/>
      </c>
    </row>
    <row r="2330">
      <c r="A2330" s="11" t="n"/>
      <c r="B2330" s="12" t="n"/>
      <c r="C2330" s="12" t="n"/>
      <c r="D2330" s="12" t="n"/>
      <c r="E2330" s="13" t="n"/>
      <c r="F2330" s="12" t="n"/>
      <c r="G2330" s="13" t="n"/>
      <c r="H2330" s="12" t="n"/>
      <c r="I2330" s="12" t="n"/>
      <c r="J2330" s="12" t="n"/>
      <c r="K2330" s="12" t="n"/>
      <c r="L2330" s="11" t="n"/>
      <c r="M2330" s="11" t="n"/>
      <c r="N2330" s="11" t="n"/>
      <c r="O2330" s="11" t="n"/>
      <c r="P2330" s="12" t="n"/>
      <c r="Q2330" s="11" t="n"/>
      <c r="R2330" s="12" t="n"/>
      <c r="S2330" s="11" t="n"/>
      <c r="T2330" s="12" t="n"/>
      <c r="U2330" s="12" t="n"/>
      <c r="V2330" s="12" t="n"/>
      <c r="W2330" s="13" t="n"/>
      <c r="X2330" s="14">
        <f>IF($AP2330="",IF($B2330="","",$H2330),IF(INDEX(職員マスタ!$B$6:$B$405,$AP2330)="",$H2330,INDEX(職員マスタ!$B$6:$B$405,$AP2330)))</f>
        <v/>
      </c>
      <c r="Y2330" s="14">
        <f>IF($AP2330="",IF($B2330="","",$R2330),IF(INDEX(職員マスタ!$C$6:$C$405,$AP2330)="",$R2330,INDEX(職員マスタ!$C$6:$C$405,$AP2330)))</f>
        <v/>
      </c>
      <c r="Z2330" s="14">
        <f>IF($AQ2330="","","R"&amp;$C2330&amp;"."&amp;$D2330)</f>
        <v/>
      </c>
      <c r="AA2330" s="15">
        <f>IF(IF($AP2330="",FALSE,INDEX(職員マスタ!$K$6:$K$405,$AP2330)&lt;&gt;""),INDEX(職員マスタ!$K$6:$K$405,$AP2330),IF(N($W2330)&gt;0,$W2330,""))</f>
        <v/>
      </c>
      <c r="AB2330" s="14">
        <f>IF(OR($E2330="",$AA2330=""),"",IF($E2330&gt;=$AA2330,"×",IF($E2330&gt;=$AA2330*設定!$C$5,"△","○")))</f>
        <v/>
      </c>
      <c r="AC2330" s="15">
        <f>IF($AB2330="","",IF($AB2330="×",0,IF($AB2330="○",ROUNDDOWN($E2330*設定!$C$4,0),ROUNDDOWN($E2330*ROUND((9*$AA2330-9*$E2330)/(10*$E2330),4),0))))</f>
        <v/>
      </c>
      <c r="AD2330" s="13" t="n"/>
      <c r="AE2330" s="15">
        <f>IF($B2330="","",IF($AD2330&lt;&gt;"",$AD2330,IF($AC2330="","",IF($AC2330&lt;=設定!$C$3,0,$AC2330))))</f>
        <v/>
      </c>
      <c r="AF2330" s="14">
        <f>IF($B2330="","",IF(AND($AG2330&lt;&gt;"",$AI2330="",$AL2330=""),"保留中",IF($AL2330&lt;&gt;"",IF(N($AE2330)&gt;0,"支給済","不支給"),IF($AE2330="","要確認",IF($AE2330=0,"不支給","未処理")))))</f>
        <v/>
      </c>
      <c r="AG2330" s="12" t="n"/>
      <c r="AH2330" s="11" t="n"/>
      <c r="AI2330" s="11" t="n"/>
      <c r="AJ2330" s="11" t="n"/>
      <c r="AK2330" s="14">
        <f>IF(AND($AF2330="保留中",$AH2330&lt;&gt;""),TODAY()-$AH2330,"")</f>
        <v/>
      </c>
      <c r="AL2330" s="12" t="n"/>
      <c r="AM2330" s="14">
        <f>IF($B2330="","",IF($AQ2330="","対象年月が未入力／","")&amp;IF($B2330="","",IF($AP2330="","職員マスタに未登録の職員番号／",IF($AA2330="","標準報酬月額が未登録／","")&amp;IF(AND($AQ2330&lt;&gt;"",OR(AND(INDEX(職員マスタ!$G$6:$G$405,$AP2330)&lt;&gt;"",INDEX(職員マスタ!$G$6:$G$405,$AP2330)&gt;EOMONTH($AQ2330,0)),AND(INDEX(職員マスタ!$H$6:$H$405,$AP2330)&lt;&gt;"",INDEX(職員マスタ!$H$6:$H$405,$AP2330)&lt;$AQ2330))),"対象月が時短期間外／","")&amp;IF(AND(INDEX(職員マスタ!$K$6:$K$405,$AP2330)&lt;&gt;"",N($W2330)&gt;0,INDEX(職員マスタ!$K$6:$K$405,$AP2330)&lt;&gt;$W2330),"標準報酬月額が申請書と相違（台帳"&amp;TEXT(INDEX(職員マスタ!$K$6:$K$405,$AP2330),"#,##0")&amp;"円／申請書"&amp;TEXT($W2330,"#,##0")&amp;"円）／","")&amp;IF(AND(INDEX(職員マスタ!$F$6:$F$405,$AP2330)&lt;&gt;"",$AQ2330&lt;&gt;"",INDEX(職員マスタ!$F$6:$F$405,$AP2330)&lt;$AQ2330),"対象月に子が2歳到達済／","")&amp;IF(AND($H2330&lt;&gt;"",INDEX(職員マスタ!$B$6:$B$405,$AP2330)&lt;&gt;"",SUBSTITUTE(SUBSTITUTE($H2330," ","")," ","")&lt;&gt;SUBSTITUTE(SUBSTITUTE(INDEX(職員マスタ!$B$6:$B$405,$AP2330)," ","")," ","")),"氏名がマスタと相違／","")&amp;IF(AND($Q2330&lt;&gt;"",INDEX(職員マスタ!$E$6:$E$405,$AP2330)&lt;&gt;"",$Q2330&lt;&gt;INDEX(職員マスタ!$E$6:$E$405,$AP2330)),"子の生年月日がマスタと相違／","")&amp;IF(AND($L2330&lt;&gt;"",INDEX(職員マスタ!$G$6:$G$405,$AP2330)&lt;&gt;"",$L2330&lt;&gt;INDEX(職員マスタ!$G$6:$G$405,$AP2330)),"時短開始日がマスタと相違／","")&amp;IF(AND($M2330&lt;&gt;"",INDEX(職員マスタ!$H$6:$H$405,$AP2330)&lt;&gt;"",$M2330&lt;&gt;INDEX(職員マスタ!$H$6:$H$405,$AP2330)),"時短終了日がマスタと相違／","")))&amp;IF(AND($B2330&lt;&gt;"",$E2330=""),"報酬額が未入力／","")&amp;IF(N($U2330)&gt;0,"申請書に入力エラーが残っています／","")&amp;IF(AND($B2330&lt;&gt;"",$AQ2330&lt;&gt;""),IF(COUNTIFS($B$6:$B$3005,$B2330,$C$6:$C$3005,$C2330,$D$6:$D$3005,$D2330)&gt;1,"同じ月の請求が重複しています／",""),"")&amp;IF(AND(N($E2330)&gt;0,$AB2330&lt;&gt;"",$AB2330&lt;&gt;"×",$AE2330=0,$AD2330=""),"計算額が下限以下のため不支給／",""))</f>
        <v/>
      </c>
      <c r="AN2330" s="12" t="n"/>
      <c r="AO2330" s="14">
        <f>IF($AF2330="保留中",COUNTIF($AF$6:$AF2330,"保留中"),"")</f>
        <v/>
      </c>
      <c r="AP2330" s="14">
        <f>IF($AQ2330="","",IF(SUMPRODUCT(MAX((職員マスタ!$A$6:$A$405=$B2330)*(((職員マスタ!$G$6:$G$405="")+(職員マスタ!$G$6:$G$405&lt;=EOMONTH($AQ2330,0)))&gt;0)*(((職員マスタ!$H$6:$H$405="")+(職員マスタ!$H$6:$H$405&gt;=$AQ2330))&gt;0)*(ROW(職員マスタ!$A$6:$A$405)-5)))&gt;0,SUMPRODUCT(MAX((職員マスタ!$A$6:$A$405=$B2330)*(((職員マスタ!$G$6:$G$405="")+(職員マスタ!$G$6:$G$405&lt;=EOMONTH($AQ2330,0)))&gt;0)*(((職員マスタ!$H$6:$H$405="")+(職員マスタ!$H$6:$H$405&gt;=$AQ2330))&gt;0)*(ROW(職員マスタ!$A$6:$A$405)-5))),IFERROR(MATCH($B2330,職員マスタ!$A$6:$A$405,0),"")))</f>
        <v/>
      </c>
      <c r="AQ2330" s="16">
        <f>IF(OR($B2330="",$C2330="",$D2330=""),"",DATE($C2330+2018,$D2330,1))</f>
        <v/>
      </c>
    </row>
    <row r="2331">
      <c r="A2331" s="11" t="n"/>
      <c r="B2331" s="12" t="n"/>
      <c r="C2331" s="12" t="n"/>
      <c r="D2331" s="12" t="n"/>
      <c r="E2331" s="13" t="n"/>
      <c r="F2331" s="12" t="n"/>
      <c r="G2331" s="13" t="n"/>
      <c r="H2331" s="12" t="n"/>
      <c r="I2331" s="12" t="n"/>
      <c r="J2331" s="12" t="n"/>
      <c r="K2331" s="12" t="n"/>
      <c r="L2331" s="11" t="n"/>
      <c r="M2331" s="11" t="n"/>
      <c r="N2331" s="11" t="n"/>
      <c r="O2331" s="11" t="n"/>
      <c r="P2331" s="12" t="n"/>
      <c r="Q2331" s="11" t="n"/>
      <c r="R2331" s="12" t="n"/>
      <c r="S2331" s="11" t="n"/>
      <c r="T2331" s="12" t="n"/>
      <c r="U2331" s="12" t="n"/>
      <c r="V2331" s="12" t="n"/>
      <c r="W2331" s="13" t="n"/>
      <c r="X2331" s="14">
        <f>IF($AP2331="",IF($B2331="","",$H2331),IF(INDEX(職員マスタ!$B$6:$B$405,$AP2331)="",$H2331,INDEX(職員マスタ!$B$6:$B$405,$AP2331)))</f>
        <v/>
      </c>
      <c r="Y2331" s="14">
        <f>IF($AP2331="",IF($B2331="","",$R2331),IF(INDEX(職員マスタ!$C$6:$C$405,$AP2331)="",$R2331,INDEX(職員マスタ!$C$6:$C$405,$AP2331)))</f>
        <v/>
      </c>
      <c r="Z2331" s="14">
        <f>IF($AQ2331="","","R"&amp;$C2331&amp;"."&amp;$D2331)</f>
        <v/>
      </c>
      <c r="AA2331" s="15">
        <f>IF(IF($AP2331="",FALSE,INDEX(職員マスタ!$K$6:$K$405,$AP2331)&lt;&gt;""),INDEX(職員マスタ!$K$6:$K$405,$AP2331),IF(N($W2331)&gt;0,$W2331,""))</f>
        <v/>
      </c>
      <c r="AB2331" s="14">
        <f>IF(OR($E2331="",$AA2331=""),"",IF($E2331&gt;=$AA2331,"×",IF($E2331&gt;=$AA2331*設定!$C$5,"△","○")))</f>
        <v/>
      </c>
      <c r="AC2331" s="15">
        <f>IF($AB2331="","",IF($AB2331="×",0,IF($AB2331="○",ROUNDDOWN($E2331*設定!$C$4,0),ROUNDDOWN($E2331*ROUND((9*$AA2331-9*$E2331)/(10*$E2331),4),0))))</f>
        <v/>
      </c>
      <c r="AD2331" s="13" t="n"/>
      <c r="AE2331" s="15">
        <f>IF($B2331="","",IF($AD2331&lt;&gt;"",$AD2331,IF($AC2331="","",IF($AC2331&lt;=設定!$C$3,0,$AC2331))))</f>
        <v/>
      </c>
      <c r="AF2331" s="14">
        <f>IF($B2331="","",IF(AND($AG2331&lt;&gt;"",$AI2331="",$AL2331=""),"保留中",IF($AL2331&lt;&gt;"",IF(N($AE2331)&gt;0,"支給済","不支給"),IF($AE2331="","要確認",IF($AE2331=0,"不支給","未処理")))))</f>
        <v/>
      </c>
      <c r="AG2331" s="12" t="n"/>
      <c r="AH2331" s="11" t="n"/>
      <c r="AI2331" s="11" t="n"/>
      <c r="AJ2331" s="11" t="n"/>
      <c r="AK2331" s="14">
        <f>IF(AND($AF2331="保留中",$AH2331&lt;&gt;""),TODAY()-$AH2331,"")</f>
        <v/>
      </c>
      <c r="AL2331" s="12" t="n"/>
      <c r="AM2331" s="14">
        <f>IF($B2331="","",IF($AQ2331="","対象年月が未入力／","")&amp;IF($B2331="","",IF($AP2331="","職員マスタに未登録の職員番号／",IF($AA2331="","標準報酬月額が未登録／","")&amp;IF(AND($AQ2331&lt;&gt;"",OR(AND(INDEX(職員マスタ!$G$6:$G$405,$AP2331)&lt;&gt;"",INDEX(職員マスタ!$G$6:$G$405,$AP2331)&gt;EOMONTH($AQ2331,0)),AND(INDEX(職員マスタ!$H$6:$H$405,$AP2331)&lt;&gt;"",INDEX(職員マスタ!$H$6:$H$405,$AP2331)&lt;$AQ2331))),"対象月が時短期間外／","")&amp;IF(AND(INDEX(職員マスタ!$K$6:$K$405,$AP2331)&lt;&gt;"",N($W2331)&gt;0,INDEX(職員マスタ!$K$6:$K$405,$AP2331)&lt;&gt;$W2331),"標準報酬月額が申請書と相違（台帳"&amp;TEXT(INDEX(職員マスタ!$K$6:$K$405,$AP2331),"#,##0")&amp;"円／申請書"&amp;TEXT($W2331,"#,##0")&amp;"円）／","")&amp;IF(AND(INDEX(職員マスタ!$F$6:$F$405,$AP2331)&lt;&gt;"",$AQ2331&lt;&gt;"",INDEX(職員マスタ!$F$6:$F$405,$AP2331)&lt;$AQ2331),"対象月に子が2歳到達済／","")&amp;IF(AND($H2331&lt;&gt;"",INDEX(職員マスタ!$B$6:$B$405,$AP2331)&lt;&gt;"",SUBSTITUTE(SUBSTITUTE($H2331," ","")," ","")&lt;&gt;SUBSTITUTE(SUBSTITUTE(INDEX(職員マスタ!$B$6:$B$405,$AP2331)," ","")," ","")),"氏名がマスタと相違／","")&amp;IF(AND($Q2331&lt;&gt;"",INDEX(職員マスタ!$E$6:$E$405,$AP2331)&lt;&gt;"",$Q2331&lt;&gt;INDEX(職員マスタ!$E$6:$E$405,$AP2331)),"子の生年月日がマスタと相違／","")&amp;IF(AND($L2331&lt;&gt;"",INDEX(職員マスタ!$G$6:$G$405,$AP2331)&lt;&gt;"",$L2331&lt;&gt;INDEX(職員マスタ!$G$6:$G$405,$AP2331)),"時短開始日がマスタと相違／","")&amp;IF(AND($M2331&lt;&gt;"",INDEX(職員マスタ!$H$6:$H$405,$AP2331)&lt;&gt;"",$M2331&lt;&gt;INDEX(職員マスタ!$H$6:$H$405,$AP2331)),"時短終了日がマスタと相違／","")))&amp;IF(AND($B2331&lt;&gt;"",$E2331=""),"報酬額が未入力／","")&amp;IF(N($U2331)&gt;0,"申請書に入力エラーが残っています／","")&amp;IF(AND($B2331&lt;&gt;"",$AQ2331&lt;&gt;""),IF(COUNTIFS($B$6:$B$3005,$B2331,$C$6:$C$3005,$C2331,$D$6:$D$3005,$D2331)&gt;1,"同じ月の請求が重複しています／",""),"")&amp;IF(AND(N($E2331)&gt;0,$AB2331&lt;&gt;"",$AB2331&lt;&gt;"×",$AE2331=0,$AD2331=""),"計算額が下限以下のため不支給／",""))</f>
        <v/>
      </c>
      <c r="AN2331" s="12" t="n"/>
      <c r="AO2331" s="14">
        <f>IF($AF2331="保留中",COUNTIF($AF$6:$AF2331,"保留中"),"")</f>
        <v/>
      </c>
      <c r="AP2331" s="14">
        <f>IF($AQ2331="","",IF(SUMPRODUCT(MAX((職員マスタ!$A$6:$A$405=$B2331)*(((職員マスタ!$G$6:$G$405="")+(職員マスタ!$G$6:$G$405&lt;=EOMONTH($AQ2331,0)))&gt;0)*(((職員マスタ!$H$6:$H$405="")+(職員マスタ!$H$6:$H$405&gt;=$AQ2331))&gt;0)*(ROW(職員マスタ!$A$6:$A$405)-5)))&gt;0,SUMPRODUCT(MAX((職員マスタ!$A$6:$A$405=$B2331)*(((職員マスタ!$G$6:$G$405="")+(職員マスタ!$G$6:$G$405&lt;=EOMONTH($AQ2331,0)))&gt;0)*(((職員マスタ!$H$6:$H$405="")+(職員マスタ!$H$6:$H$405&gt;=$AQ2331))&gt;0)*(ROW(職員マスタ!$A$6:$A$405)-5))),IFERROR(MATCH($B2331,職員マスタ!$A$6:$A$405,0),"")))</f>
        <v/>
      </c>
      <c r="AQ2331" s="16">
        <f>IF(OR($B2331="",$C2331="",$D2331=""),"",DATE($C2331+2018,$D2331,1))</f>
        <v/>
      </c>
    </row>
    <row r="2332">
      <c r="A2332" s="11" t="n"/>
      <c r="B2332" s="12" t="n"/>
      <c r="C2332" s="12" t="n"/>
      <c r="D2332" s="12" t="n"/>
      <c r="E2332" s="13" t="n"/>
      <c r="F2332" s="12" t="n"/>
      <c r="G2332" s="13" t="n"/>
      <c r="H2332" s="12" t="n"/>
      <c r="I2332" s="12" t="n"/>
      <c r="J2332" s="12" t="n"/>
      <c r="K2332" s="12" t="n"/>
      <c r="L2332" s="11" t="n"/>
      <c r="M2332" s="11" t="n"/>
      <c r="N2332" s="11" t="n"/>
      <c r="O2332" s="11" t="n"/>
      <c r="P2332" s="12" t="n"/>
      <c r="Q2332" s="11" t="n"/>
      <c r="R2332" s="12" t="n"/>
      <c r="S2332" s="11" t="n"/>
      <c r="T2332" s="12" t="n"/>
      <c r="U2332" s="12" t="n"/>
      <c r="V2332" s="12" t="n"/>
      <c r="W2332" s="13" t="n"/>
      <c r="X2332" s="14">
        <f>IF($AP2332="",IF($B2332="","",$H2332),IF(INDEX(職員マスタ!$B$6:$B$405,$AP2332)="",$H2332,INDEX(職員マスタ!$B$6:$B$405,$AP2332)))</f>
        <v/>
      </c>
      <c r="Y2332" s="14">
        <f>IF($AP2332="",IF($B2332="","",$R2332),IF(INDEX(職員マスタ!$C$6:$C$405,$AP2332)="",$R2332,INDEX(職員マスタ!$C$6:$C$405,$AP2332)))</f>
        <v/>
      </c>
      <c r="Z2332" s="14">
        <f>IF($AQ2332="","","R"&amp;$C2332&amp;"."&amp;$D2332)</f>
        <v/>
      </c>
      <c r="AA2332" s="15">
        <f>IF(IF($AP2332="",FALSE,INDEX(職員マスタ!$K$6:$K$405,$AP2332)&lt;&gt;""),INDEX(職員マスタ!$K$6:$K$405,$AP2332),IF(N($W2332)&gt;0,$W2332,""))</f>
        <v/>
      </c>
      <c r="AB2332" s="14">
        <f>IF(OR($E2332="",$AA2332=""),"",IF($E2332&gt;=$AA2332,"×",IF($E2332&gt;=$AA2332*設定!$C$5,"△","○")))</f>
        <v/>
      </c>
      <c r="AC2332" s="15">
        <f>IF($AB2332="","",IF($AB2332="×",0,IF($AB2332="○",ROUNDDOWN($E2332*設定!$C$4,0),ROUNDDOWN($E2332*ROUND((9*$AA2332-9*$E2332)/(10*$E2332),4),0))))</f>
        <v/>
      </c>
      <c r="AD2332" s="13" t="n"/>
      <c r="AE2332" s="15">
        <f>IF($B2332="","",IF($AD2332&lt;&gt;"",$AD2332,IF($AC2332="","",IF($AC2332&lt;=設定!$C$3,0,$AC2332))))</f>
        <v/>
      </c>
      <c r="AF2332" s="14">
        <f>IF($B2332="","",IF(AND($AG2332&lt;&gt;"",$AI2332="",$AL2332=""),"保留中",IF($AL2332&lt;&gt;"",IF(N($AE2332)&gt;0,"支給済","不支給"),IF($AE2332="","要確認",IF($AE2332=0,"不支給","未処理")))))</f>
        <v/>
      </c>
      <c r="AG2332" s="12" t="n"/>
      <c r="AH2332" s="11" t="n"/>
      <c r="AI2332" s="11" t="n"/>
      <c r="AJ2332" s="11" t="n"/>
      <c r="AK2332" s="14">
        <f>IF(AND($AF2332="保留中",$AH2332&lt;&gt;""),TODAY()-$AH2332,"")</f>
        <v/>
      </c>
      <c r="AL2332" s="12" t="n"/>
      <c r="AM2332" s="14">
        <f>IF($B2332="","",IF($AQ2332="","対象年月が未入力／","")&amp;IF($B2332="","",IF($AP2332="","職員マスタに未登録の職員番号／",IF($AA2332="","標準報酬月額が未登録／","")&amp;IF(AND($AQ2332&lt;&gt;"",OR(AND(INDEX(職員マスタ!$G$6:$G$405,$AP2332)&lt;&gt;"",INDEX(職員マスタ!$G$6:$G$405,$AP2332)&gt;EOMONTH($AQ2332,0)),AND(INDEX(職員マスタ!$H$6:$H$405,$AP2332)&lt;&gt;"",INDEX(職員マスタ!$H$6:$H$405,$AP2332)&lt;$AQ2332))),"対象月が時短期間外／","")&amp;IF(AND(INDEX(職員マスタ!$K$6:$K$405,$AP2332)&lt;&gt;"",N($W2332)&gt;0,INDEX(職員マスタ!$K$6:$K$405,$AP2332)&lt;&gt;$W2332),"標準報酬月額が申請書と相違（台帳"&amp;TEXT(INDEX(職員マスタ!$K$6:$K$405,$AP2332),"#,##0")&amp;"円／申請書"&amp;TEXT($W2332,"#,##0")&amp;"円）／","")&amp;IF(AND(INDEX(職員マスタ!$F$6:$F$405,$AP2332)&lt;&gt;"",$AQ2332&lt;&gt;"",INDEX(職員マスタ!$F$6:$F$405,$AP2332)&lt;$AQ2332),"対象月に子が2歳到達済／","")&amp;IF(AND($H2332&lt;&gt;"",INDEX(職員マスタ!$B$6:$B$405,$AP2332)&lt;&gt;"",SUBSTITUTE(SUBSTITUTE($H2332," ","")," ","")&lt;&gt;SUBSTITUTE(SUBSTITUTE(INDEX(職員マスタ!$B$6:$B$405,$AP2332)," ","")," ","")),"氏名がマスタと相違／","")&amp;IF(AND($Q2332&lt;&gt;"",INDEX(職員マスタ!$E$6:$E$405,$AP2332)&lt;&gt;"",$Q2332&lt;&gt;INDEX(職員マスタ!$E$6:$E$405,$AP2332)),"子の生年月日がマスタと相違／","")&amp;IF(AND($L2332&lt;&gt;"",INDEX(職員マスタ!$G$6:$G$405,$AP2332)&lt;&gt;"",$L2332&lt;&gt;INDEX(職員マスタ!$G$6:$G$405,$AP2332)),"時短開始日がマスタと相違／","")&amp;IF(AND($M2332&lt;&gt;"",INDEX(職員マスタ!$H$6:$H$405,$AP2332)&lt;&gt;"",$M2332&lt;&gt;INDEX(職員マスタ!$H$6:$H$405,$AP2332)),"時短終了日がマスタと相違／","")))&amp;IF(AND($B2332&lt;&gt;"",$E2332=""),"報酬額が未入力／","")&amp;IF(N($U2332)&gt;0,"申請書に入力エラーが残っています／","")&amp;IF(AND($B2332&lt;&gt;"",$AQ2332&lt;&gt;""),IF(COUNTIFS($B$6:$B$3005,$B2332,$C$6:$C$3005,$C2332,$D$6:$D$3005,$D2332)&gt;1,"同じ月の請求が重複しています／",""),"")&amp;IF(AND(N($E2332)&gt;0,$AB2332&lt;&gt;"",$AB2332&lt;&gt;"×",$AE2332=0,$AD2332=""),"計算額が下限以下のため不支給／",""))</f>
        <v/>
      </c>
      <c r="AN2332" s="12" t="n"/>
      <c r="AO2332" s="14">
        <f>IF($AF2332="保留中",COUNTIF($AF$6:$AF2332,"保留中"),"")</f>
        <v/>
      </c>
      <c r="AP2332" s="14">
        <f>IF($AQ2332="","",IF(SUMPRODUCT(MAX((職員マスタ!$A$6:$A$405=$B2332)*(((職員マスタ!$G$6:$G$405="")+(職員マスタ!$G$6:$G$405&lt;=EOMONTH($AQ2332,0)))&gt;0)*(((職員マスタ!$H$6:$H$405="")+(職員マスタ!$H$6:$H$405&gt;=$AQ2332))&gt;0)*(ROW(職員マスタ!$A$6:$A$405)-5)))&gt;0,SUMPRODUCT(MAX((職員マスタ!$A$6:$A$405=$B2332)*(((職員マスタ!$G$6:$G$405="")+(職員マスタ!$G$6:$G$405&lt;=EOMONTH($AQ2332,0)))&gt;0)*(((職員マスタ!$H$6:$H$405="")+(職員マスタ!$H$6:$H$405&gt;=$AQ2332))&gt;0)*(ROW(職員マスタ!$A$6:$A$405)-5))),IFERROR(MATCH($B2332,職員マスタ!$A$6:$A$405,0),"")))</f>
        <v/>
      </c>
      <c r="AQ2332" s="16">
        <f>IF(OR($B2332="",$C2332="",$D2332=""),"",DATE($C2332+2018,$D2332,1))</f>
        <v/>
      </c>
    </row>
    <row r="2333">
      <c r="A2333" s="11" t="n"/>
      <c r="B2333" s="12" t="n"/>
      <c r="C2333" s="12" t="n"/>
      <c r="D2333" s="12" t="n"/>
      <c r="E2333" s="13" t="n"/>
      <c r="F2333" s="12" t="n"/>
      <c r="G2333" s="13" t="n"/>
      <c r="H2333" s="12" t="n"/>
      <c r="I2333" s="12" t="n"/>
      <c r="J2333" s="12" t="n"/>
      <c r="K2333" s="12" t="n"/>
      <c r="L2333" s="11" t="n"/>
      <c r="M2333" s="11" t="n"/>
      <c r="N2333" s="11" t="n"/>
      <c r="O2333" s="11" t="n"/>
      <c r="P2333" s="12" t="n"/>
      <c r="Q2333" s="11" t="n"/>
      <c r="R2333" s="12" t="n"/>
      <c r="S2333" s="11" t="n"/>
      <c r="T2333" s="12" t="n"/>
      <c r="U2333" s="12" t="n"/>
      <c r="V2333" s="12" t="n"/>
      <c r="W2333" s="13" t="n"/>
      <c r="X2333" s="14">
        <f>IF($AP2333="",IF($B2333="","",$H2333),IF(INDEX(職員マスタ!$B$6:$B$405,$AP2333)="",$H2333,INDEX(職員マスタ!$B$6:$B$405,$AP2333)))</f>
        <v/>
      </c>
      <c r="Y2333" s="14">
        <f>IF($AP2333="",IF($B2333="","",$R2333),IF(INDEX(職員マスタ!$C$6:$C$405,$AP2333)="",$R2333,INDEX(職員マスタ!$C$6:$C$405,$AP2333)))</f>
        <v/>
      </c>
      <c r="Z2333" s="14">
        <f>IF($AQ2333="","","R"&amp;$C2333&amp;"."&amp;$D2333)</f>
        <v/>
      </c>
      <c r="AA2333" s="15">
        <f>IF(IF($AP2333="",FALSE,INDEX(職員マスタ!$K$6:$K$405,$AP2333)&lt;&gt;""),INDEX(職員マスタ!$K$6:$K$405,$AP2333),IF(N($W2333)&gt;0,$W2333,""))</f>
        <v/>
      </c>
      <c r="AB2333" s="14">
        <f>IF(OR($E2333="",$AA2333=""),"",IF($E2333&gt;=$AA2333,"×",IF($E2333&gt;=$AA2333*設定!$C$5,"△","○")))</f>
        <v/>
      </c>
      <c r="AC2333" s="15">
        <f>IF($AB2333="","",IF($AB2333="×",0,IF($AB2333="○",ROUNDDOWN($E2333*設定!$C$4,0),ROUNDDOWN($E2333*ROUND((9*$AA2333-9*$E2333)/(10*$E2333),4),0))))</f>
        <v/>
      </c>
      <c r="AD2333" s="13" t="n"/>
      <c r="AE2333" s="15">
        <f>IF($B2333="","",IF($AD2333&lt;&gt;"",$AD2333,IF($AC2333="","",IF($AC2333&lt;=設定!$C$3,0,$AC2333))))</f>
        <v/>
      </c>
      <c r="AF2333" s="14">
        <f>IF($B2333="","",IF(AND($AG2333&lt;&gt;"",$AI2333="",$AL2333=""),"保留中",IF($AL2333&lt;&gt;"",IF(N($AE2333)&gt;0,"支給済","不支給"),IF($AE2333="","要確認",IF($AE2333=0,"不支給","未処理")))))</f>
        <v/>
      </c>
      <c r="AG2333" s="12" t="n"/>
      <c r="AH2333" s="11" t="n"/>
      <c r="AI2333" s="11" t="n"/>
      <c r="AJ2333" s="11" t="n"/>
      <c r="AK2333" s="14">
        <f>IF(AND($AF2333="保留中",$AH2333&lt;&gt;""),TODAY()-$AH2333,"")</f>
        <v/>
      </c>
      <c r="AL2333" s="12" t="n"/>
      <c r="AM2333" s="14">
        <f>IF($B2333="","",IF($AQ2333="","対象年月が未入力／","")&amp;IF($B2333="","",IF($AP2333="","職員マスタに未登録の職員番号／",IF($AA2333="","標準報酬月額が未登録／","")&amp;IF(AND($AQ2333&lt;&gt;"",OR(AND(INDEX(職員マスタ!$G$6:$G$405,$AP2333)&lt;&gt;"",INDEX(職員マスタ!$G$6:$G$405,$AP2333)&gt;EOMONTH($AQ2333,0)),AND(INDEX(職員マスタ!$H$6:$H$405,$AP2333)&lt;&gt;"",INDEX(職員マスタ!$H$6:$H$405,$AP2333)&lt;$AQ2333))),"対象月が時短期間外／","")&amp;IF(AND(INDEX(職員マスタ!$K$6:$K$405,$AP2333)&lt;&gt;"",N($W2333)&gt;0,INDEX(職員マスタ!$K$6:$K$405,$AP2333)&lt;&gt;$W2333),"標準報酬月額が申請書と相違（台帳"&amp;TEXT(INDEX(職員マスタ!$K$6:$K$405,$AP2333),"#,##0")&amp;"円／申請書"&amp;TEXT($W2333,"#,##0")&amp;"円）／","")&amp;IF(AND(INDEX(職員マスタ!$F$6:$F$405,$AP2333)&lt;&gt;"",$AQ2333&lt;&gt;"",INDEX(職員マスタ!$F$6:$F$405,$AP2333)&lt;$AQ2333),"対象月に子が2歳到達済／","")&amp;IF(AND($H2333&lt;&gt;"",INDEX(職員マスタ!$B$6:$B$405,$AP2333)&lt;&gt;"",SUBSTITUTE(SUBSTITUTE($H2333," ","")," ","")&lt;&gt;SUBSTITUTE(SUBSTITUTE(INDEX(職員マスタ!$B$6:$B$405,$AP2333)," ","")," ","")),"氏名がマスタと相違／","")&amp;IF(AND($Q2333&lt;&gt;"",INDEX(職員マスタ!$E$6:$E$405,$AP2333)&lt;&gt;"",$Q2333&lt;&gt;INDEX(職員マスタ!$E$6:$E$405,$AP2333)),"子の生年月日がマスタと相違／","")&amp;IF(AND($L2333&lt;&gt;"",INDEX(職員マスタ!$G$6:$G$405,$AP2333)&lt;&gt;"",$L2333&lt;&gt;INDEX(職員マスタ!$G$6:$G$405,$AP2333)),"時短開始日がマスタと相違／","")&amp;IF(AND($M2333&lt;&gt;"",INDEX(職員マスタ!$H$6:$H$405,$AP2333)&lt;&gt;"",$M2333&lt;&gt;INDEX(職員マスタ!$H$6:$H$405,$AP2333)),"時短終了日がマスタと相違／","")))&amp;IF(AND($B2333&lt;&gt;"",$E2333=""),"報酬額が未入力／","")&amp;IF(N($U2333)&gt;0,"申請書に入力エラーが残っています／","")&amp;IF(AND($B2333&lt;&gt;"",$AQ2333&lt;&gt;""),IF(COUNTIFS($B$6:$B$3005,$B2333,$C$6:$C$3005,$C2333,$D$6:$D$3005,$D2333)&gt;1,"同じ月の請求が重複しています／",""),"")&amp;IF(AND(N($E2333)&gt;0,$AB2333&lt;&gt;"",$AB2333&lt;&gt;"×",$AE2333=0,$AD2333=""),"計算額が下限以下のため不支給／",""))</f>
        <v/>
      </c>
      <c r="AN2333" s="12" t="n"/>
      <c r="AO2333" s="14">
        <f>IF($AF2333="保留中",COUNTIF($AF$6:$AF2333,"保留中"),"")</f>
        <v/>
      </c>
      <c r="AP2333" s="14">
        <f>IF($AQ2333="","",IF(SUMPRODUCT(MAX((職員マスタ!$A$6:$A$405=$B2333)*(((職員マスタ!$G$6:$G$405="")+(職員マスタ!$G$6:$G$405&lt;=EOMONTH($AQ2333,0)))&gt;0)*(((職員マスタ!$H$6:$H$405="")+(職員マスタ!$H$6:$H$405&gt;=$AQ2333))&gt;0)*(ROW(職員マスタ!$A$6:$A$405)-5)))&gt;0,SUMPRODUCT(MAX((職員マスタ!$A$6:$A$405=$B2333)*(((職員マスタ!$G$6:$G$405="")+(職員マスタ!$G$6:$G$405&lt;=EOMONTH($AQ2333,0)))&gt;0)*(((職員マスタ!$H$6:$H$405="")+(職員マスタ!$H$6:$H$405&gt;=$AQ2333))&gt;0)*(ROW(職員マスタ!$A$6:$A$405)-5))),IFERROR(MATCH($B2333,職員マスタ!$A$6:$A$405,0),"")))</f>
        <v/>
      </c>
      <c r="AQ2333" s="16">
        <f>IF(OR($B2333="",$C2333="",$D2333=""),"",DATE($C2333+2018,$D2333,1))</f>
        <v/>
      </c>
    </row>
    <row r="2334">
      <c r="A2334" s="11" t="n"/>
      <c r="B2334" s="12" t="n"/>
      <c r="C2334" s="12" t="n"/>
      <c r="D2334" s="12" t="n"/>
      <c r="E2334" s="13" t="n"/>
      <c r="F2334" s="12" t="n"/>
      <c r="G2334" s="13" t="n"/>
      <c r="H2334" s="12" t="n"/>
      <c r="I2334" s="12" t="n"/>
      <c r="J2334" s="12" t="n"/>
      <c r="K2334" s="12" t="n"/>
      <c r="L2334" s="11" t="n"/>
      <c r="M2334" s="11" t="n"/>
      <c r="N2334" s="11" t="n"/>
      <c r="O2334" s="11" t="n"/>
      <c r="P2334" s="12" t="n"/>
      <c r="Q2334" s="11" t="n"/>
      <c r="R2334" s="12" t="n"/>
      <c r="S2334" s="11" t="n"/>
      <c r="T2334" s="12" t="n"/>
      <c r="U2334" s="12" t="n"/>
      <c r="V2334" s="12" t="n"/>
      <c r="W2334" s="13" t="n"/>
      <c r="X2334" s="14">
        <f>IF($AP2334="",IF($B2334="","",$H2334),IF(INDEX(職員マスタ!$B$6:$B$405,$AP2334)="",$H2334,INDEX(職員マスタ!$B$6:$B$405,$AP2334)))</f>
        <v/>
      </c>
      <c r="Y2334" s="14">
        <f>IF($AP2334="",IF($B2334="","",$R2334),IF(INDEX(職員マスタ!$C$6:$C$405,$AP2334)="",$R2334,INDEX(職員マスタ!$C$6:$C$405,$AP2334)))</f>
        <v/>
      </c>
      <c r="Z2334" s="14">
        <f>IF($AQ2334="","","R"&amp;$C2334&amp;"."&amp;$D2334)</f>
        <v/>
      </c>
      <c r="AA2334" s="15">
        <f>IF(IF($AP2334="",FALSE,INDEX(職員マスタ!$K$6:$K$405,$AP2334)&lt;&gt;""),INDEX(職員マスタ!$K$6:$K$405,$AP2334),IF(N($W2334)&gt;0,$W2334,""))</f>
        <v/>
      </c>
      <c r="AB2334" s="14">
        <f>IF(OR($E2334="",$AA2334=""),"",IF($E2334&gt;=$AA2334,"×",IF($E2334&gt;=$AA2334*設定!$C$5,"△","○")))</f>
        <v/>
      </c>
      <c r="AC2334" s="15">
        <f>IF($AB2334="","",IF($AB2334="×",0,IF($AB2334="○",ROUNDDOWN($E2334*設定!$C$4,0),ROUNDDOWN($E2334*ROUND((9*$AA2334-9*$E2334)/(10*$E2334),4),0))))</f>
        <v/>
      </c>
      <c r="AD2334" s="13" t="n"/>
      <c r="AE2334" s="15">
        <f>IF($B2334="","",IF($AD2334&lt;&gt;"",$AD2334,IF($AC2334="","",IF($AC2334&lt;=設定!$C$3,0,$AC2334))))</f>
        <v/>
      </c>
      <c r="AF2334" s="14">
        <f>IF($B2334="","",IF(AND($AG2334&lt;&gt;"",$AI2334="",$AL2334=""),"保留中",IF($AL2334&lt;&gt;"",IF(N($AE2334)&gt;0,"支給済","不支給"),IF($AE2334="","要確認",IF($AE2334=0,"不支給","未処理")))))</f>
        <v/>
      </c>
      <c r="AG2334" s="12" t="n"/>
      <c r="AH2334" s="11" t="n"/>
      <c r="AI2334" s="11" t="n"/>
      <c r="AJ2334" s="11" t="n"/>
      <c r="AK2334" s="14">
        <f>IF(AND($AF2334="保留中",$AH2334&lt;&gt;""),TODAY()-$AH2334,"")</f>
        <v/>
      </c>
      <c r="AL2334" s="12" t="n"/>
      <c r="AM2334" s="14">
        <f>IF($B2334="","",IF($AQ2334="","対象年月が未入力／","")&amp;IF($B2334="","",IF($AP2334="","職員マスタに未登録の職員番号／",IF($AA2334="","標準報酬月額が未登録／","")&amp;IF(AND($AQ2334&lt;&gt;"",OR(AND(INDEX(職員マスタ!$G$6:$G$405,$AP2334)&lt;&gt;"",INDEX(職員マスタ!$G$6:$G$405,$AP2334)&gt;EOMONTH($AQ2334,0)),AND(INDEX(職員マスタ!$H$6:$H$405,$AP2334)&lt;&gt;"",INDEX(職員マスタ!$H$6:$H$405,$AP2334)&lt;$AQ2334))),"対象月が時短期間外／","")&amp;IF(AND(INDEX(職員マスタ!$K$6:$K$405,$AP2334)&lt;&gt;"",N($W2334)&gt;0,INDEX(職員マスタ!$K$6:$K$405,$AP2334)&lt;&gt;$W2334),"標準報酬月額が申請書と相違（台帳"&amp;TEXT(INDEX(職員マスタ!$K$6:$K$405,$AP2334),"#,##0")&amp;"円／申請書"&amp;TEXT($W2334,"#,##0")&amp;"円）／","")&amp;IF(AND(INDEX(職員マスタ!$F$6:$F$405,$AP2334)&lt;&gt;"",$AQ2334&lt;&gt;"",INDEX(職員マスタ!$F$6:$F$405,$AP2334)&lt;$AQ2334),"対象月に子が2歳到達済／","")&amp;IF(AND($H2334&lt;&gt;"",INDEX(職員マスタ!$B$6:$B$405,$AP2334)&lt;&gt;"",SUBSTITUTE(SUBSTITUTE($H2334," ","")," ","")&lt;&gt;SUBSTITUTE(SUBSTITUTE(INDEX(職員マスタ!$B$6:$B$405,$AP2334)," ","")," ","")),"氏名がマスタと相違／","")&amp;IF(AND($Q2334&lt;&gt;"",INDEX(職員マスタ!$E$6:$E$405,$AP2334)&lt;&gt;"",$Q2334&lt;&gt;INDEX(職員マスタ!$E$6:$E$405,$AP2334)),"子の生年月日がマスタと相違／","")&amp;IF(AND($L2334&lt;&gt;"",INDEX(職員マスタ!$G$6:$G$405,$AP2334)&lt;&gt;"",$L2334&lt;&gt;INDEX(職員マスタ!$G$6:$G$405,$AP2334)),"時短開始日がマスタと相違／","")&amp;IF(AND($M2334&lt;&gt;"",INDEX(職員マスタ!$H$6:$H$405,$AP2334)&lt;&gt;"",$M2334&lt;&gt;INDEX(職員マスタ!$H$6:$H$405,$AP2334)),"時短終了日がマスタと相違／","")))&amp;IF(AND($B2334&lt;&gt;"",$E2334=""),"報酬額が未入力／","")&amp;IF(N($U2334)&gt;0,"申請書に入力エラーが残っています／","")&amp;IF(AND($B2334&lt;&gt;"",$AQ2334&lt;&gt;""),IF(COUNTIFS($B$6:$B$3005,$B2334,$C$6:$C$3005,$C2334,$D$6:$D$3005,$D2334)&gt;1,"同じ月の請求が重複しています／",""),"")&amp;IF(AND(N($E2334)&gt;0,$AB2334&lt;&gt;"",$AB2334&lt;&gt;"×",$AE2334=0,$AD2334=""),"計算額が下限以下のため不支給／",""))</f>
        <v/>
      </c>
      <c r="AN2334" s="12" t="n"/>
      <c r="AO2334" s="14">
        <f>IF($AF2334="保留中",COUNTIF($AF$6:$AF2334,"保留中"),"")</f>
        <v/>
      </c>
      <c r="AP2334" s="14">
        <f>IF($AQ2334="","",IF(SUMPRODUCT(MAX((職員マスタ!$A$6:$A$405=$B2334)*(((職員マスタ!$G$6:$G$405="")+(職員マスタ!$G$6:$G$405&lt;=EOMONTH($AQ2334,0)))&gt;0)*(((職員マスタ!$H$6:$H$405="")+(職員マスタ!$H$6:$H$405&gt;=$AQ2334))&gt;0)*(ROW(職員マスタ!$A$6:$A$405)-5)))&gt;0,SUMPRODUCT(MAX((職員マスタ!$A$6:$A$405=$B2334)*(((職員マスタ!$G$6:$G$405="")+(職員マスタ!$G$6:$G$405&lt;=EOMONTH($AQ2334,0)))&gt;0)*(((職員マスタ!$H$6:$H$405="")+(職員マスタ!$H$6:$H$405&gt;=$AQ2334))&gt;0)*(ROW(職員マスタ!$A$6:$A$405)-5))),IFERROR(MATCH($B2334,職員マスタ!$A$6:$A$405,0),"")))</f>
        <v/>
      </c>
      <c r="AQ2334" s="16">
        <f>IF(OR($B2334="",$C2334="",$D2334=""),"",DATE($C2334+2018,$D2334,1))</f>
        <v/>
      </c>
    </row>
    <row r="2335">
      <c r="A2335" s="11" t="n"/>
      <c r="B2335" s="12" t="n"/>
      <c r="C2335" s="12" t="n"/>
      <c r="D2335" s="12" t="n"/>
      <c r="E2335" s="13" t="n"/>
      <c r="F2335" s="12" t="n"/>
      <c r="G2335" s="13" t="n"/>
      <c r="H2335" s="12" t="n"/>
      <c r="I2335" s="12" t="n"/>
      <c r="J2335" s="12" t="n"/>
      <c r="K2335" s="12" t="n"/>
      <c r="L2335" s="11" t="n"/>
      <c r="M2335" s="11" t="n"/>
      <c r="N2335" s="11" t="n"/>
      <c r="O2335" s="11" t="n"/>
      <c r="P2335" s="12" t="n"/>
      <c r="Q2335" s="11" t="n"/>
      <c r="R2335" s="12" t="n"/>
      <c r="S2335" s="11" t="n"/>
      <c r="T2335" s="12" t="n"/>
      <c r="U2335" s="12" t="n"/>
      <c r="V2335" s="12" t="n"/>
      <c r="W2335" s="13" t="n"/>
      <c r="X2335" s="14">
        <f>IF($AP2335="",IF($B2335="","",$H2335),IF(INDEX(職員マスタ!$B$6:$B$405,$AP2335)="",$H2335,INDEX(職員マスタ!$B$6:$B$405,$AP2335)))</f>
        <v/>
      </c>
      <c r="Y2335" s="14">
        <f>IF($AP2335="",IF($B2335="","",$R2335),IF(INDEX(職員マスタ!$C$6:$C$405,$AP2335)="",$R2335,INDEX(職員マスタ!$C$6:$C$405,$AP2335)))</f>
        <v/>
      </c>
      <c r="Z2335" s="14">
        <f>IF($AQ2335="","","R"&amp;$C2335&amp;"."&amp;$D2335)</f>
        <v/>
      </c>
      <c r="AA2335" s="15">
        <f>IF(IF($AP2335="",FALSE,INDEX(職員マスタ!$K$6:$K$405,$AP2335)&lt;&gt;""),INDEX(職員マスタ!$K$6:$K$405,$AP2335),IF(N($W2335)&gt;0,$W2335,""))</f>
        <v/>
      </c>
      <c r="AB2335" s="14">
        <f>IF(OR($E2335="",$AA2335=""),"",IF($E2335&gt;=$AA2335,"×",IF($E2335&gt;=$AA2335*設定!$C$5,"△","○")))</f>
        <v/>
      </c>
      <c r="AC2335" s="15">
        <f>IF($AB2335="","",IF($AB2335="×",0,IF($AB2335="○",ROUNDDOWN($E2335*設定!$C$4,0),ROUNDDOWN($E2335*ROUND((9*$AA2335-9*$E2335)/(10*$E2335),4),0))))</f>
        <v/>
      </c>
      <c r="AD2335" s="13" t="n"/>
      <c r="AE2335" s="15">
        <f>IF($B2335="","",IF($AD2335&lt;&gt;"",$AD2335,IF($AC2335="","",IF($AC2335&lt;=設定!$C$3,0,$AC2335))))</f>
        <v/>
      </c>
      <c r="AF2335" s="14">
        <f>IF($B2335="","",IF(AND($AG2335&lt;&gt;"",$AI2335="",$AL2335=""),"保留中",IF($AL2335&lt;&gt;"",IF(N($AE2335)&gt;0,"支給済","不支給"),IF($AE2335="","要確認",IF($AE2335=0,"不支給","未処理")))))</f>
        <v/>
      </c>
      <c r="AG2335" s="12" t="n"/>
      <c r="AH2335" s="11" t="n"/>
      <c r="AI2335" s="11" t="n"/>
      <c r="AJ2335" s="11" t="n"/>
      <c r="AK2335" s="14">
        <f>IF(AND($AF2335="保留中",$AH2335&lt;&gt;""),TODAY()-$AH2335,"")</f>
        <v/>
      </c>
      <c r="AL2335" s="12" t="n"/>
      <c r="AM2335" s="14">
        <f>IF($B2335="","",IF($AQ2335="","対象年月が未入力／","")&amp;IF($B2335="","",IF($AP2335="","職員マスタに未登録の職員番号／",IF($AA2335="","標準報酬月額が未登録／","")&amp;IF(AND($AQ2335&lt;&gt;"",OR(AND(INDEX(職員マスタ!$G$6:$G$405,$AP2335)&lt;&gt;"",INDEX(職員マスタ!$G$6:$G$405,$AP2335)&gt;EOMONTH($AQ2335,0)),AND(INDEX(職員マスタ!$H$6:$H$405,$AP2335)&lt;&gt;"",INDEX(職員マスタ!$H$6:$H$405,$AP2335)&lt;$AQ2335))),"対象月が時短期間外／","")&amp;IF(AND(INDEX(職員マスタ!$K$6:$K$405,$AP2335)&lt;&gt;"",N($W2335)&gt;0,INDEX(職員マスタ!$K$6:$K$405,$AP2335)&lt;&gt;$W2335),"標準報酬月額が申請書と相違（台帳"&amp;TEXT(INDEX(職員マスタ!$K$6:$K$405,$AP2335),"#,##0")&amp;"円／申請書"&amp;TEXT($W2335,"#,##0")&amp;"円）／","")&amp;IF(AND(INDEX(職員マスタ!$F$6:$F$405,$AP2335)&lt;&gt;"",$AQ2335&lt;&gt;"",INDEX(職員マスタ!$F$6:$F$405,$AP2335)&lt;$AQ2335),"対象月に子が2歳到達済／","")&amp;IF(AND($H2335&lt;&gt;"",INDEX(職員マスタ!$B$6:$B$405,$AP2335)&lt;&gt;"",SUBSTITUTE(SUBSTITUTE($H2335," ","")," ","")&lt;&gt;SUBSTITUTE(SUBSTITUTE(INDEX(職員マスタ!$B$6:$B$405,$AP2335)," ","")," ","")),"氏名がマスタと相違／","")&amp;IF(AND($Q2335&lt;&gt;"",INDEX(職員マスタ!$E$6:$E$405,$AP2335)&lt;&gt;"",$Q2335&lt;&gt;INDEX(職員マスタ!$E$6:$E$405,$AP2335)),"子の生年月日がマスタと相違／","")&amp;IF(AND($L2335&lt;&gt;"",INDEX(職員マスタ!$G$6:$G$405,$AP2335)&lt;&gt;"",$L2335&lt;&gt;INDEX(職員マスタ!$G$6:$G$405,$AP2335)),"時短開始日がマスタと相違／","")&amp;IF(AND($M2335&lt;&gt;"",INDEX(職員マスタ!$H$6:$H$405,$AP2335)&lt;&gt;"",$M2335&lt;&gt;INDEX(職員マスタ!$H$6:$H$405,$AP2335)),"時短終了日がマスタと相違／","")))&amp;IF(AND($B2335&lt;&gt;"",$E2335=""),"報酬額が未入力／","")&amp;IF(N($U2335)&gt;0,"申請書に入力エラーが残っています／","")&amp;IF(AND($B2335&lt;&gt;"",$AQ2335&lt;&gt;""),IF(COUNTIFS($B$6:$B$3005,$B2335,$C$6:$C$3005,$C2335,$D$6:$D$3005,$D2335)&gt;1,"同じ月の請求が重複しています／",""),"")&amp;IF(AND(N($E2335)&gt;0,$AB2335&lt;&gt;"",$AB2335&lt;&gt;"×",$AE2335=0,$AD2335=""),"計算額が下限以下のため不支給／",""))</f>
        <v/>
      </c>
      <c r="AN2335" s="12" t="n"/>
      <c r="AO2335" s="14">
        <f>IF($AF2335="保留中",COUNTIF($AF$6:$AF2335,"保留中"),"")</f>
        <v/>
      </c>
      <c r="AP2335" s="14">
        <f>IF($AQ2335="","",IF(SUMPRODUCT(MAX((職員マスタ!$A$6:$A$405=$B2335)*(((職員マスタ!$G$6:$G$405="")+(職員マスタ!$G$6:$G$405&lt;=EOMONTH($AQ2335,0)))&gt;0)*(((職員マスタ!$H$6:$H$405="")+(職員マスタ!$H$6:$H$405&gt;=$AQ2335))&gt;0)*(ROW(職員マスタ!$A$6:$A$405)-5)))&gt;0,SUMPRODUCT(MAX((職員マスタ!$A$6:$A$405=$B2335)*(((職員マスタ!$G$6:$G$405="")+(職員マスタ!$G$6:$G$405&lt;=EOMONTH($AQ2335,0)))&gt;0)*(((職員マスタ!$H$6:$H$405="")+(職員マスタ!$H$6:$H$405&gt;=$AQ2335))&gt;0)*(ROW(職員マスタ!$A$6:$A$405)-5))),IFERROR(MATCH($B2335,職員マスタ!$A$6:$A$405,0),"")))</f>
        <v/>
      </c>
      <c r="AQ2335" s="16">
        <f>IF(OR($B2335="",$C2335="",$D2335=""),"",DATE($C2335+2018,$D2335,1))</f>
        <v/>
      </c>
    </row>
    <row r="2336">
      <c r="A2336" s="11" t="n"/>
      <c r="B2336" s="12" t="n"/>
      <c r="C2336" s="12" t="n"/>
      <c r="D2336" s="12" t="n"/>
      <c r="E2336" s="13" t="n"/>
      <c r="F2336" s="12" t="n"/>
      <c r="G2336" s="13" t="n"/>
      <c r="H2336" s="12" t="n"/>
      <c r="I2336" s="12" t="n"/>
      <c r="J2336" s="12" t="n"/>
      <c r="K2336" s="12" t="n"/>
      <c r="L2336" s="11" t="n"/>
      <c r="M2336" s="11" t="n"/>
      <c r="N2336" s="11" t="n"/>
      <c r="O2336" s="11" t="n"/>
      <c r="P2336" s="12" t="n"/>
      <c r="Q2336" s="11" t="n"/>
      <c r="R2336" s="12" t="n"/>
      <c r="S2336" s="11" t="n"/>
      <c r="T2336" s="12" t="n"/>
      <c r="U2336" s="12" t="n"/>
      <c r="V2336" s="12" t="n"/>
      <c r="W2336" s="13" t="n"/>
      <c r="X2336" s="14">
        <f>IF($AP2336="",IF($B2336="","",$H2336),IF(INDEX(職員マスタ!$B$6:$B$405,$AP2336)="",$H2336,INDEX(職員マスタ!$B$6:$B$405,$AP2336)))</f>
        <v/>
      </c>
      <c r="Y2336" s="14">
        <f>IF($AP2336="",IF($B2336="","",$R2336),IF(INDEX(職員マスタ!$C$6:$C$405,$AP2336)="",$R2336,INDEX(職員マスタ!$C$6:$C$405,$AP2336)))</f>
        <v/>
      </c>
      <c r="Z2336" s="14">
        <f>IF($AQ2336="","","R"&amp;$C2336&amp;"."&amp;$D2336)</f>
        <v/>
      </c>
      <c r="AA2336" s="15">
        <f>IF(IF($AP2336="",FALSE,INDEX(職員マスタ!$K$6:$K$405,$AP2336)&lt;&gt;""),INDEX(職員マスタ!$K$6:$K$405,$AP2336),IF(N($W2336)&gt;0,$W2336,""))</f>
        <v/>
      </c>
      <c r="AB2336" s="14">
        <f>IF(OR($E2336="",$AA2336=""),"",IF($E2336&gt;=$AA2336,"×",IF($E2336&gt;=$AA2336*設定!$C$5,"△","○")))</f>
        <v/>
      </c>
      <c r="AC2336" s="15">
        <f>IF($AB2336="","",IF($AB2336="×",0,IF($AB2336="○",ROUNDDOWN($E2336*設定!$C$4,0),ROUNDDOWN($E2336*ROUND((9*$AA2336-9*$E2336)/(10*$E2336),4),0))))</f>
        <v/>
      </c>
      <c r="AD2336" s="13" t="n"/>
      <c r="AE2336" s="15">
        <f>IF($B2336="","",IF($AD2336&lt;&gt;"",$AD2336,IF($AC2336="","",IF($AC2336&lt;=設定!$C$3,0,$AC2336))))</f>
        <v/>
      </c>
      <c r="AF2336" s="14">
        <f>IF($B2336="","",IF(AND($AG2336&lt;&gt;"",$AI2336="",$AL2336=""),"保留中",IF($AL2336&lt;&gt;"",IF(N($AE2336)&gt;0,"支給済","不支給"),IF($AE2336="","要確認",IF($AE2336=0,"不支給","未処理")))))</f>
        <v/>
      </c>
      <c r="AG2336" s="12" t="n"/>
      <c r="AH2336" s="11" t="n"/>
      <c r="AI2336" s="11" t="n"/>
      <c r="AJ2336" s="11" t="n"/>
      <c r="AK2336" s="14">
        <f>IF(AND($AF2336="保留中",$AH2336&lt;&gt;""),TODAY()-$AH2336,"")</f>
        <v/>
      </c>
      <c r="AL2336" s="12" t="n"/>
      <c r="AM2336" s="14">
        <f>IF($B2336="","",IF($AQ2336="","対象年月が未入力／","")&amp;IF($B2336="","",IF($AP2336="","職員マスタに未登録の職員番号／",IF($AA2336="","標準報酬月額が未登録／","")&amp;IF(AND($AQ2336&lt;&gt;"",OR(AND(INDEX(職員マスタ!$G$6:$G$405,$AP2336)&lt;&gt;"",INDEX(職員マスタ!$G$6:$G$405,$AP2336)&gt;EOMONTH($AQ2336,0)),AND(INDEX(職員マスタ!$H$6:$H$405,$AP2336)&lt;&gt;"",INDEX(職員マスタ!$H$6:$H$405,$AP2336)&lt;$AQ2336))),"対象月が時短期間外／","")&amp;IF(AND(INDEX(職員マスタ!$K$6:$K$405,$AP2336)&lt;&gt;"",N($W2336)&gt;0,INDEX(職員マスタ!$K$6:$K$405,$AP2336)&lt;&gt;$W2336),"標準報酬月額が申請書と相違（台帳"&amp;TEXT(INDEX(職員マスタ!$K$6:$K$405,$AP2336),"#,##0")&amp;"円／申請書"&amp;TEXT($W2336,"#,##0")&amp;"円）／","")&amp;IF(AND(INDEX(職員マスタ!$F$6:$F$405,$AP2336)&lt;&gt;"",$AQ2336&lt;&gt;"",INDEX(職員マスタ!$F$6:$F$405,$AP2336)&lt;$AQ2336),"対象月に子が2歳到達済／","")&amp;IF(AND($H2336&lt;&gt;"",INDEX(職員マスタ!$B$6:$B$405,$AP2336)&lt;&gt;"",SUBSTITUTE(SUBSTITUTE($H2336," ","")," ","")&lt;&gt;SUBSTITUTE(SUBSTITUTE(INDEX(職員マスタ!$B$6:$B$405,$AP2336)," ","")," ","")),"氏名がマスタと相違／","")&amp;IF(AND($Q2336&lt;&gt;"",INDEX(職員マスタ!$E$6:$E$405,$AP2336)&lt;&gt;"",$Q2336&lt;&gt;INDEX(職員マスタ!$E$6:$E$405,$AP2336)),"子の生年月日がマスタと相違／","")&amp;IF(AND($L2336&lt;&gt;"",INDEX(職員マスタ!$G$6:$G$405,$AP2336)&lt;&gt;"",$L2336&lt;&gt;INDEX(職員マスタ!$G$6:$G$405,$AP2336)),"時短開始日がマスタと相違／","")&amp;IF(AND($M2336&lt;&gt;"",INDEX(職員マスタ!$H$6:$H$405,$AP2336)&lt;&gt;"",$M2336&lt;&gt;INDEX(職員マスタ!$H$6:$H$405,$AP2336)),"時短終了日がマスタと相違／","")))&amp;IF(AND($B2336&lt;&gt;"",$E2336=""),"報酬額が未入力／","")&amp;IF(N($U2336)&gt;0,"申請書に入力エラーが残っています／","")&amp;IF(AND($B2336&lt;&gt;"",$AQ2336&lt;&gt;""),IF(COUNTIFS($B$6:$B$3005,$B2336,$C$6:$C$3005,$C2336,$D$6:$D$3005,$D2336)&gt;1,"同じ月の請求が重複しています／",""),"")&amp;IF(AND(N($E2336)&gt;0,$AB2336&lt;&gt;"",$AB2336&lt;&gt;"×",$AE2336=0,$AD2336=""),"計算額が下限以下のため不支給／",""))</f>
        <v/>
      </c>
      <c r="AN2336" s="12" t="n"/>
      <c r="AO2336" s="14">
        <f>IF($AF2336="保留中",COUNTIF($AF$6:$AF2336,"保留中"),"")</f>
        <v/>
      </c>
      <c r="AP2336" s="14">
        <f>IF($AQ2336="","",IF(SUMPRODUCT(MAX((職員マスタ!$A$6:$A$405=$B2336)*(((職員マスタ!$G$6:$G$405="")+(職員マスタ!$G$6:$G$405&lt;=EOMONTH($AQ2336,0)))&gt;0)*(((職員マスタ!$H$6:$H$405="")+(職員マスタ!$H$6:$H$405&gt;=$AQ2336))&gt;0)*(ROW(職員マスタ!$A$6:$A$405)-5)))&gt;0,SUMPRODUCT(MAX((職員マスタ!$A$6:$A$405=$B2336)*(((職員マスタ!$G$6:$G$405="")+(職員マスタ!$G$6:$G$405&lt;=EOMONTH($AQ2336,0)))&gt;0)*(((職員マスタ!$H$6:$H$405="")+(職員マスタ!$H$6:$H$405&gt;=$AQ2336))&gt;0)*(ROW(職員マスタ!$A$6:$A$405)-5))),IFERROR(MATCH($B2336,職員マスタ!$A$6:$A$405,0),"")))</f>
        <v/>
      </c>
      <c r="AQ2336" s="16">
        <f>IF(OR($B2336="",$C2336="",$D2336=""),"",DATE($C2336+2018,$D2336,1))</f>
        <v/>
      </c>
    </row>
    <row r="2337">
      <c r="A2337" s="11" t="n"/>
      <c r="B2337" s="12" t="n"/>
      <c r="C2337" s="12" t="n"/>
      <c r="D2337" s="12" t="n"/>
      <c r="E2337" s="13" t="n"/>
      <c r="F2337" s="12" t="n"/>
      <c r="G2337" s="13" t="n"/>
      <c r="H2337" s="12" t="n"/>
      <c r="I2337" s="12" t="n"/>
      <c r="J2337" s="12" t="n"/>
      <c r="K2337" s="12" t="n"/>
      <c r="L2337" s="11" t="n"/>
      <c r="M2337" s="11" t="n"/>
      <c r="N2337" s="11" t="n"/>
      <c r="O2337" s="11" t="n"/>
      <c r="P2337" s="12" t="n"/>
      <c r="Q2337" s="11" t="n"/>
      <c r="R2337" s="12" t="n"/>
      <c r="S2337" s="11" t="n"/>
      <c r="T2337" s="12" t="n"/>
      <c r="U2337" s="12" t="n"/>
      <c r="V2337" s="12" t="n"/>
      <c r="W2337" s="13" t="n"/>
      <c r="X2337" s="14">
        <f>IF($AP2337="",IF($B2337="","",$H2337),IF(INDEX(職員マスタ!$B$6:$B$405,$AP2337)="",$H2337,INDEX(職員マスタ!$B$6:$B$405,$AP2337)))</f>
        <v/>
      </c>
      <c r="Y2337" s="14">
        <f>IF($AP2337="",IF($B2337="","",$R2337),IF(INDEX(職員マスタ!$C$6:$C$405,$AP2337)="",$R2337,INDEX(職員マスタ!$C$6:$C$405,$AP2337)))</f>
        <v/>
      </c>
      <c r="Z2337" s="14">
        <f>IF($AQ2337="","","R"&amp;$C2337&amp;"."&amp;$D2337)</f>
        <v/>
      </c>
      <c r="AA2337" s="15">
        <f>IF(IF($AP2337="",FALSE,INDEX(職員マスタ!$K$6:$K$405,$AP2337)&lt;&gt;""),INDEX(職員マスタ!$K$6:$K$405,$AP2337),IF(N($W2337)&gt;0,$W2337,""))</f>
        <v/>
      </c>
      <c r="AB2337" s="14">
        <f>IF(OR($E2337="",$AA2337=""),"",IF($E2337&gt;=$AA2337,"×",IF($E2337&gt;=$AA2337*設定!$C$5,"△","○")))</f>
        <v/>
      </c>
      <c r="AC2337" s="15">
        <f>IF($AB2337="","",IF($AB2337="×",0,IF($AB2337="○",ROUNDDOWN($E2337*設定!$C$4,0),ROUNDDOWN($E2337*ROUND((9*$AA2337-9*$E2337)/(10*$E2337),4),0))))</f>
        <v/>
      </c>
      <c r="AD2337" s="13" t="n"/>
      <c r="AE2337" s="15">
        <f>IF($B2337="","",IF($AD2337&lt;&gt;"",$AD2337,IF($AC2337="","",IF($AC2337&lt;=設定!$C$3,0,$AC2337))))</f>
        <v/>
      </c>
      <c r="AF2337" s="14">
        <f>IF($B2337="","",IF(AND($AG2337&lt;&gt;"",$AI2337="",$AL2337=""),"保留中",IF($AL2337&lt;&gt;"",IF(N($AE2337)&gt;0,"支給済","不支給"),IF($AE2337="","要確認",IF($AE2337=0,"不支給","未処理")))))</f>
        <v/>
      </c>
      <c r="AG2337" s="12" t="n"/>
      <c r="AH2337" s="11" t="n"/>
      <c r="AI2337" s="11" t="n"/>
      <c r="AJ2337" s="11" t="n"/>
      <c r="AK2337" s="14">
        <f>IF(AND($AF2337="保留中",$AH2337&lt;&gt;""),TODAY()-$AH2337,"")</f>
        <v/>
      </c>
      <c r="AL2337" s="12" t="n"/>
      <c r="AM2337" s="14">
        <f>IF($B2337="","",IF($AQ2337="","対象年月が未入力／","")&amp;IF($B2337="","",IF($AP2337="","職員マスタに未登録の職員番号／",IF($AA2337="","標準報酬月額が未登録／","")&amp;IF(AND($AQ2337&lt;&gt;"",OR(AND(INDEX(職員マスタ!$G$6:$G$405,$AP2337)&lt;&gt;"",INDEX(職員マスタ!$G$6:$G$405,$AP2337)&gt;EOMONTH($AQ2337,0)),AND(INDEX(職員マスタ!$H$6:$H$405,$AP2337)&lt;&gt;"",INDEX(職員マスタ!$H$6:$H$405,$AP2337)&lt;$AQ2337))),"対象月が時短期間外／","")&amp;IF(AND(INDEX(職員マスタ!$K$6:$K$405,$AP2337)&lt;&gt;"",N($W2337)&gt;0,INDEX(職員マスタ!$K$6:$K$405,$AP2337)&lt;&gt;$W2337),"標準報酬月額が申請書と相違（台帳"&amp;TEXT(INDEX(職員マスタ!$K$6:$K$405,$AP2337),"#,##0")&amp;"円／申請書"&amp;TEXT($W2337,"#,##0")&amp;"円）／","")&amp;IF(AND(INDEX(職員マスタ!$F$6:$F$405,$AP2337)&lt;&gt;"",$AQ2337&lt;&gt;"",INDEX(職員マスタ!$F$6:$F$405,$AP2337)&lt;$AQ2337),"対象月に子が2歳到達済／","")&amp;IF(AND($H2337&lt;&gt;"",INDEX(職員マスタ!$B$6:$B$405,$AP2337)&lt;&gt;"",SUBSTITUTE(SUBSTITUTE($H2337," ","")," ","")&lt;&gt;SUBSTITUTE(SUBSTITUTE(INDEX(職員マスタ!$B$6:$B$405,$AP2337)," ","")," ","")),"氏名がマスタと相違／","")&amp;IF(AND($Q2337&lt;&gt;"",INDEX(職員マスタ!$E$6:$E$405,$AP2337)&lt;&gt;"",$Q2337&lt;&gt;INDEX(職員マスタ!$E$6:$E$405,$AP2337)),"子の生年月日がマスタと相違／","")&amp;IF(AND($L2337&lt;&gt;"",INDEX(職員マスタ!$G$6:$G$405,$AP2337)&lt;&gt;"",$L2337&lt;&gt;INDEX(職員マスタ!$G$6:$G$405,$AP2337)),"時短開始日がマスタと相違／","")&amp;IF(AND($M2337&lt;&gt;"",INDEX(職員マスタ!$H$6:$H$405,$AP2337)&lt;&gt;"",$M2337&lt;&gt;INDEX(職員マスタ!$H$6:$H$405,$AP2337)),"時短終了日がマスタと相違／","")))&amp;IF(AND($B2337&lt;&gt;"",$E2337=""),"報酬額が未入力／","")&amp;IF(N($U2337)&gt;0,"申請書に入力エラーが残っています／","")&amp;IF(AND($B2337&lt;&gt;"",$AQ2337&lt;&gt;""),IF(COUNTIFS($B$6:$B$3005,$B2337,$C$6:$C$3005,$C2337,$D$6:$D$3005,$D2337)&gt;1,"同じ月の請求が重複しています／",""),"")&amp;IF(AND(N($E2337)&gt;0,$AB2337&lt;&gt;"",$AB2337&lt;&gt;"×",$AE2337=0,$AD2337=""),"計算額が下限以下のため不支給／",""))</f>
        <v/>
      </c>
      <c r="AN2337" s="12" t="n"/>
      <c r="AO2337" s="14">
        <f>IF($AF2337="保留中",COUNTIF($AF$6:$AF2337,"保留中"),"")</f>
        <v/>
      </c>
      <c r="AP2337" s="14">
        <f>IF($AQ2337="","",IF(SUMPRODUCT(MAX((職員マスタ!$A$6:$A$405=$B2337)*(((職員マスタ!$G$6:$G$405="")+(職員マスタ!$G$6:$G$405&lt;=EOMONTH($AQ2337,0)))&gt;0)*(((職員マスタ!$H$6:$H$405="")+(職員マスタ!$H$6:$H$405&gt;=$AQ2337))&gt;0)*(ROW(職員マスタ!$A$6:$A$405)-5)))&gt;0,SUMPRODUCT(MAX((職員マスタ!$A$6:$A$405=$B2337)*(((職員マスタ!$G$6:$G$405="")+(職員マスタ!$G$6:$G$405&lt;=EOMONTH($AQ2337,0)))&gt;0)*(((職員マスタ!$H$6:$H$405="")+(職員マスタ!$H$6:$H$405&gt;=$AQ2337))&gt;0)*(ROW(職員マスタ!$A$6:$A$405)-5))),IFERROR(MATCH($B2337,職員マスタ!$A$6:$A$405,0),"")))</f>
        <v/>
      </c>
      <c r="AQ2337" s="16">
        <f>IF(OR($B2337="",$C2337="",$D2337=""),"",DATE($C2337+2018,$D2337,1))</f>
        <v/>
      </c>
    </row>
    <row r="2338">
      <c r="A2338" s="11" t="n"/>
      <c r="B2338" s="12" t="n"/>
      <c r="C2338" s="12" t="n"/>
      <c r="D2338" s="12" t="n"/>
      <c r="E2338" s="13" t="n"/>
      <c r="F2338" s="12" t="n"/>
      <c r="G2338" s="13" t="n"/>
      <c r="H2338" s="12" t="n"/>
      <c r="I2338" s="12" t="n"/>
      <c r="J2338" s="12" t="n"/>
      <c r="K2338" s="12" t="n"/>
      <c r="L2338" s="11" t="n"/>
      <c r="M2338" s="11" t="n"/>
      <c r="N2338" s="11" t="n"/>
      <c r="O2338" s="11" t="n"/>
      <c r="P2338" s="12" t="n"/>
      <c r="Q2338" s="11" t="n"/>
      <c r="R2338" s="12" t="n"/>
      <c r="S2338" s="11" t="n"/>
      <c r="T2338" s="12" t="n"/>
      <c r="U2338" s="12" t="n"/>
      <c r="V2338" s="12" t="n"/>
      <c r="W2338" s="13" t="n"/>
      <c r="X2338" s="14">
        <f>IF($AP2338="",IF($B2338="","",$H2338),IF(INDEX(職員マスタ!$B$6:$B$405,$AP2338)="",$H2338,INDEX(職員マスタ!$B$6:$B$405,$AP2338)))</f>
        <v/>
      </c>
      <c r="Y2338" s="14">
        <f>IF($AP2338="",IF($B2338="","",$R2338),IF(INDEX(職員マスタ!$C$6:$C$405,$AP2338)="",$R2338,INDEX(職員マスタ!$C$6:$C$405,$AP2338)))</f>
        <v/>
      </c>
      <c r="Z2338" s="14">
        <f>IF($AQ2338="","","R"&amp;$C2338&amp;"."&amp;$D2338)</f>
        <v/>
      </c>
      <c r="AA2338" s="15">
        <f>IF(IF($AP2338="",FALSE,INDEX(職員マスタ!$K$6:$K$405,$AP2338)&lt;&gt;""),INDEX(職員マスタ!$K$6:$K$405,$AP2338),IF(N($W2338)&gt;0,$W2338,""))</f>
        <v/>
      </c>
      <c r="AB2338" s="14">
        <f>IF(OR($E2338="",$AA2338=""),"",IF($E2338&gt;=$AA2338,"×",IF($E2338&gt;=$AA2338*設定!$C$5,"△","○")))</f>
        <v/>
      </c>
      <c r="AC2338" s="15">
        <f>IF($AB2338="","",IF($AB2338="×",0,IF($AB2338="○",ROUNDDOWN($E2338*設定!$C$4,0),ROUNDDOWN($E2338*ROUND((9*$AA2338-9*$E2338)/(10*$E2338),4),0))))</f>
        <v/>
      </c>
      <c r="AD2338" s="13" t="n"/>
      <c r="AE2338" s="15">
        <f>IF($B2338="","",IF($AD2338&lt;&gt;"",$AD2338,IF($AC2338="","",IF($AC2338&lt;=設定!$C$3,0,$AC2338))))</f>
        <v/>
      </c>
      <c r="AF2338" s="14">
        <f>IF($B2338="","",IF(AND($AG2338&lt;&gt;"",$AI2338="",$AL2338=""),"保留中",IF($AL2338&lt;&gt;"",IF(N($AE2338)&gt;0,"支給済","不支給"),IF($AE2338="","要確認",IF($AE2338=0,"不支給","未処理")))))</f>
        <v/>
      </c>
      <c r="AG2338" s="12" t="n"/>
      <c r="AH2338" s="11" t="n"/>
      <c r="AI2338" s="11" t="n"/>
      <c r="AJ2338" s="11" t="n"/>
      <c r="AK2338" s="14">
        <f>IF(AND($AF2338="保留中",$AH2338&lt;&gt;""),TODAY()-$AH2338,"")</f>
        <v/>
      </c>
      <c r="AL2338" s="12" t="n"/>
      <c r="AM2338" s="14">
        <f>IF($B2338="","",IF($AQ2338="","対象年月が未入力／","")&amp;IF($B2338="","",IF($AP2338="","職員マスタに未登録の職員番号／",IF($AA2338="","標準報酬月額が未登録／","")&amp;IF(AND($AQ2338&lt;&gt;"",OR(AND(INDEX(職員マスタ!$G$6:$G$405,$AP2338)&lt;&gt;"",INDEX(職員マスタ!$G$6:$G$405,$AP2338)&gt;EOMONTH($AQ2338,0)),AND(INDEX(職員マスタ!$H$6:$H$405,$AP2338)&lt;&gt;"",INDEX(職員マスタ!$H$6:$H$405,$AP2338)&lt;$AQ2338))),"対象月が時短期間外／","")&amp;IF(AND(INDEX(職員マスタ!$K$6:$K$405,$AP2338)&lt;&gt;"",N($W2338)&gt;0,INDEX(職員マスタ!$K$6:$K$405,$AP2338)&lt;&gt;$W2338),"標準報酬月額が申請書と相違（台帳"&amp;TEXT(INDEX(職員マスタ!$K$6:$K$405,$AP2338),"#,##0")&amp;"円／申請書"&amp;TEXT($W2338,"#,##0")&amp;"円）／","")&amp;IF(AND(INDEX(職員マスタ!$F$6:$F$405,$AP2338)&lt;&gt;"",$AQ2338&lt;&gt;"",INDEX(職員マスタ!$F$6:$F$405,$AP2338)&lt;$AQ2338),"対象月に子が2歳到達済／","")&amp;IF(AND($H2338&lt;&gt;"",INDEX(職員マスタ!$B$6:$B$405,$AP2338)&lt;&gt;"",SUBSTITUTE(SUBSTITUTE($H2338," ","")," ","")&lt;&gt;SUBSTITUTE(SUBSTITUTE(INDEX(職員マスタ!$B$6:$B$405,$AP2338)," ","")," ","")),"氏名がマスタと相違／","")&amp;IF(AND($Q2338&lt;&gt;"",INDEX(職員マスタ!$E$6:$E$405,$AP2338)&lt;&gt;"",$Q2338&lt;&gt;INDEX(職員マスタ!$E$6:$E$405,$AP2338)),"子の生年月日がマスタと相違／","")&amp;IF(AND($L2338&lt;&gt;"",INDEX(職員マスタ!$G$6:$G$405,$AP2338)&lt;&gt;"",$L2338&lt;&gt;INDEX(職員マスタ!$G$6:$G$405,$AP2338)),"時短開始日がマスタと相違／","")&amp;IF(AND($M2338&lt;&gt;"",INDEX(職員マスタ!$H$6:$H$405,$AP2338)&lt;&gt;"",$M2338&lt;&gt;INDEX(職員マスタ!$H$6:$H$405,$AP2338)),"時短終了日がマスタと相違／","")))&amp;IF(AND($B2338&lt;&gt;"",$E2338=""),"報酬額が未入力／","")&amp;IF(N($U2338)&gt;0,"申請書に入力エラーが残っています／","")&amp;IF(AND($B2338&lt;&gt;"",$AQ2338&lt;&gt;""),IF(COUNTIFS($B$6:$B$3005,$B2338,$C$6:$C$3005,$C2338,$D$6:$D$3005,$D2338)&gt;1,"同じ月の請求が重複しています／",""),"")&amp;IF(AND(N($E2338)&gt;0,$AB2338&lt;&gt;"",$AB2338&lt;&gt;"×",$AE2338=0,$AD2338=""),"計算額が下限以下のため不支給／",""))</f>
        <v/>
      </c>
      <c r="AN2338" s="12" t="n"/>
      <c r="AO2338" s="14">
        <f>IF($AF2338="保留中",COUNTIF($AF$6:$AF2338,"保留中"),"")</f>
        <v/>
      </c>
      <c r="AP2338" s="14">
        <f>IF($AQ2338="","",IF(SUMPRODUCT(MAX((職員マスタ!$A$6:$A$405=$B2338)*(((職員マスタ!$G$6:$G$405="")+(職員マスタ!$G$6:$G$405&lt;=EOMONTH($AQ2338,0)))&gt;0)*(((職員マスタ!$H$6:$H$405="")+(職員マスタ!$H$6:$H$405&gt;=$AQ2338))&gt;0)*(ROW(職員マスタ!$A$6:$A$405)-5)))&gt;0,SUMPRODUCT(MAX((職員マスタ!$A$6:$A$405=$B2338)*(((職員マスタ!$G$6:$G$405="")+(職員マスタ!$G$6:$G$405&lt;=EOMONTH($AQ2338,0)))&gt;0)*(((職員マスタ!$H$6:$H$405="")+(職員マスタ!$H$6:$H$405&gt;=$AQ2338))&gt;0)*(ROW(職員マスタ!$A$6:$A$405)-5))),IFERROR(MATCH($B2338,職員マスタ!$A$6:$A$405,0),"")))</f>
        <v/>
      </c>
      <c r="AQ2338" s="16">
        <f>IF(OR($B2338="",$C2338="",$D2338=""),"",DATE($C2338+2018,$D2338,1))</f>
        <v/>
      </c>
    </row>
    <row r="2339">
      <c r="A2339" s="11" t="n"/>
      <c r="B2339" s="12" t="n"/>
      <c r="C2339" s="12" t="n"/>
      <c r="D2339" s="12" t="n"/>
      <c r="E2339" s="13" t="n"/>
      <c r="F2339" s="12" t="n"/>
      <c r="G2339" s="13" t="n"/>
      <c r="H2339" s="12" t="n"/>
      <c r="I2339" s="12" t="n"/>
      <c r="J2339" s="12" t="n"/>
      <c r="K2339" s="12" t="n"/>
      <c r="L2339" s="11" t="n"/>
      <c r="M2339" s="11" t="n"/>
      <c r="N2339" s="11" t="n"/>
      <c r="O2339" s="11" t="n"/>
      <c r="P2339" s="12" t="n"/>
      <c r="Q2339" s="11" t="n"/>
      <c r="R2339" s="12" t="n"/>
      <c r="S2339" s="11" t="n"/>
      <c r="T2339" s="12" t="n"/>
      <c r="U2339" s="12" t="n"/>
      <c r="V2339" s="12" t="n"/>
      <c r="W2339" s="13" t="n"/>
      <c r="X2339" s="14">
        <f>IF($AP2339="",IF($B2339="","",$H2339),IF(INDEX(職員マスタ!$B$6:$B$405,$AP2339)="",$H2339,INDEX(職員マスタ!$B$6:$B$405,$AP2339)))</f>
        <v/>
      </c>
      <c r="Y2339" s="14">
        <f>IF($AP2339="",IF($B2339="","",$R2339),IF(INDEX(職員マスタ!$C$6:$C$405,$AP2339)="",$R2339,INDEX(職員マスタ!$C$6:$C$405,$AP2339)))</f>
        <v/>
      </c>
      <c r="Z2339" s="14">
        <f>IF($AQ2339="","","R"&amp;$C2339&amp;"."&amp;$D2339)</f>
        <v/>
      </c>
      <c r="AA2339" s="15">
        <f>IF(IF($AP2339="",FALSE,INDEX(職員マスタ!$K$6:$K$405,$AP2339)&lt;&gt;""),INDEX(職員マスタ!$K$6:$K$405,$AP2339),IF(N($W2339)&gt;0,$W2339,""))</f>
        <v/>
      </c>
      <c r="AB2339" s="14">
        <f>IF(OR($E2339="",$AA2339=""),"",IF($E2339&gt;=$AA2339,"×",IF($E2339&gt;=$AA2339*設定!$C$5,"△","○")))</f>
        <v/>
      </c>
      <c r="AC2339" s="15">
        <f>IF($AB2339="","",IF($AB2339="×",0,IF($AB2339="○",ROUNDDOWN($E2339*設定!$C$4,0),ROUNDDOWN($E2339*ROUND((9*$AA2339-9*$E2339)/(10*$E2339),4),0))))</f>
        <v/>
      </c>
      <c r="AD2339" s="13" t="n"/>
      <c r="AE2339" s="15">
        <f>IF($B2339="","",IF($AD2339&lt;&gt;"",$AD2339,IF($AC2339="","",IF($AC2339&lt;=設定!$C$3,0,$AC2339))))</f>
        <v/>
      </c>
      <c r="AF2339" s="14">
        <f>IF($B2339="","",IF(AND($AG2339&lt;&gt;"",$AI2339="",$AL2339=""),"保留中",IF($AL2339&lt;&gt;"",IF(N($AE2339)&gt;0,"支給済","不支給"),IF($AE2339="","要確認",IF($AE2339=0,"不支給","未処理")))))</f>
        <v/>
      </c>
      <c r="AG2339" s="12" t="n"/>
      <c r="AH2339" s="11" t="n"/>
      <c r="AI2339" s="11" t="n"/>
      <c r="AJ2339" s="11" t="n"/>
      <c r="AK2339" s="14">
        <f>IF(AND($AF2339="保留中",$AH2339&lt;&gt;""),TODAY()-$AH2339,"")</f>
        <v/>
      </c>
      <c r="AL2339" s="12" t="n"/>
      <c r="AM2339" s="14">
        <f>IF($B2339="","",IF($AQ2339="","対象年月が未入力／","")&amp;IF($B2339="","",IF($AP2339="","職員マスタに未登録の職員番号／",IF($AA2339="","標準報酬月額が未登録／","")&amp;IF(AND($AQ2339&lt;&gt;"",OR(AND(INDEX(職員マスタ!$G$6:$G$405,$AP2339)&lt;&gt;"",INDEX(職員マスタ!$G$6:$G$405,$AP2339)&gt;EOMONTH($AQ2339,0)),AND(INDEX(職員マスタ!$H$6:$H$405,$AP2339)&lt;&gt;"",INDEX(職員マスタ!$H$6:$H$405,$AP2339)&lt;$AQ2339))),"対象月が時短期間外／","")&amp;IF(AND(INDEX(職員マスタ!$K$6:$K$405,$AP2339)&lt;&gt;"",N($W2339)&gt;0,INDEX(職員マスタ!$K$6:$K$405,$AP2339)&lt;&gt;$W2339),"標準報酬月額が申請書と相違（台帳"&amp;TEXT(INDEX(職員マスタ!$K$6:$K$405,$AP2339),"#,##0")&amp;"円／申請書"&amp;TEXT($W2339,"#,##0")&amp;"円）／","")&amp;IF(AND(INDEX(職員マスタ!$F$6:$F$405,$AP2339)&lt;&gt;"",$AQ2339&lt;&gt;"",INDEX(職員マスタ!$F$6:$F$405,$AP2339)&lt;$AQ2339),"対象月に子が2歳到達済／","")&amp;IF(AND($H2339&lt;&gt;"",INDEX(職員マスタ!$B$6:$B$405,$AP2339)&lt;&gt;"",SUBSTITUTE(SUBSTITUTE($H2339," ","")," ","")&lt;&gt;SUBSTITUTE(SUBSTITUTE(INDEX(職員マスタ!$B$6:$B$405,$AP2339)," ","")," ","")),"氏名がマスタと相違／","")&amp;IF(AND($Q2339&lt;&gt;"",INDEX(職員マスタ!$E$6:$E$405,$AP2339)&lt;&gt;"",$Q2339&lt;&gt;INDEX(職員マスタ!$E$6:$E$405,$AP2339)),"子の生年月日がマスタと相違／","")&amp;IF(AND($L2339&lt;&gt;"",INDEX(職員マスタ!$G$6:$G$405,$AP2339)&lt;&gt;"",$L2339&lt;&gt;INDEX(職員マスタ!$G$6:$G$405,$AP2339)),"時短開始日がマスタと相違／","")&amp;IF(AND($M2339&lt;&gt;"",INDEX(職員マスタ!$H$6:$H$405,$AP2339)&lt;&gt;"",$M2339&lt;&gt;INDEX(職員マスタ!$H$6:$H$405,$AP2339)),"時短終了日がマスタと相違／","")))&amp;IF(AND($B2339&lt;&gt;"",$E2339=""),"報酬額が未入力／","")&amp;IF(N($U2339)&gt;0,"申請書に入力エラーが残っています／","")&amp;IF(AND($B2339&lt;&gt;"",$AQ2339&lt;&gt;""),IF(COUNTIFS($B$6:$B$3005,$B2339,$C$6:$C$3005,$C2339,$D$6:$D$3005,$D2339)&gt;1,"同じ月の請求が重複しています／",""),"")&amp;IF(AND(N($E2339)&gt;0,$AB2339&lt;&gt;"",$AB2339&lt;&gt;"×",$AE2339=0,$AD2339=""),"計算額が下限以下のため不支給／",""))</f>
        <v/>
      </c>
      <c r="AN2339" s="12" t="n"/>
      <c r="AO2339" s="14">
        <f>IF($AF2339="保留中",COUNTIF($AF$6:$AF2339,"保留中"),"")</f>
        <v/>
      </c>
      <c r="AP2339" s="14">
        <f>IF($AQ2339="","",IF(SUMPRODUCT(MAX((職員マスタ!$A$6:$A$405=$B2339)*(((職員マスタ!$G$6:$G$405="")+(職員マスタ!$G$6:$G$405&lt;=EOMONTH($AQ2339,0)))&gt;0)*(((職員マスタ!$H$6:$H$405="")+(職員マスタ!$H$6:$H$405&gt;=$AQ2339))&gt;0)*(ROW(職員マスタ!$A$6:$A$405)-5)))&gt;0,SUMPRODUCT(MAX((職員マスタ!$A$6:$A$405=$B2339)*(((職員マスタ!$G$6:$G$405="")+(職員マスタ!$G$6:$G$405&lt;=EOMONTH($AQ2339,0)))&gt;0)*(((職員マスタ!$H$6:$H$405="")+(職員マスタ!$H$6:$H$405&gt;=$AQ2339))&gt;0)*(ROW(職員マスタ!$A$6:$A$405)-5))),IFERROR(MATCH($B2339,職員マスタ!$A$6:$A$405,0),"")))</f>
        <v/>
      </c>
      <c r="AQ2339" s="16">
        <f>IF(OR($B2339="",$C2339="",$D2339=""),"",DATE($C2339+2018,$D2339,1))</f>
        <v/>
      </c>
    </row>
    <row r="2340">
      <c r="A2340" s="11" t="n"/>
      <c r="B2340" s="12" t="n"/>
      <c r="C2340" s="12" t="n"/>
      <c r="D2340" s="12" t="n"/>
      <c r="E2340" s="13" t="n"/>
      <c r="F2340" s="12" t="n"/>
      <c r="G2340" s="13" t="n"/>
      <c r="H2340" s="12" t="n"/>
      <c r="I2340" s="12" t="n"/>
      <c r="J2340" s="12" t="n"/>
      <c r="K2340" s="12" t="n"/>
      <c r="L2340" s="11" t="n"/>
      <c r="M2340" s="11" t="n"/>
      <c r="N2340" s="11" t="n"/>
      <c r="O2340" s="11" t="n"/>
      <c r="P2340" s="12" t="n"/>
      <c r="Q2340" s="11" t="n"/>
      <c r="R2340" s="12" t="n"/>
      <c r="S2340" s="11" t="n"/>
      <c r="T2340" s="12" t="n"/>
      <c r="U2340" s="12" t="n"/>
      <c r="V2340" s="12" t="n"/>
      <c r="W2340" s="13" t="n"/>
      <c r="X2340" s="14">
        <f>IF($AP2340="",IF($B2340="","",$H2340),IF(INDEX(職員マスタ!$B$6:$B$405,$AP2340)="",$H2340,INDEX(職員マスタ!$B$6:$B$405,$AP2340)))</f>
        <v/>
      </c>
      <c r="Y2340" s="14">
        <f>IF($AP2340="",IF($B2340="","",$R2340),IF(INDEX(職員マスタ!$C$6:$C$405,$AP2340)="",$R2340,INDEX(職員マスタ!$C$6:$C$405,$AP2340)))</f>
        <v/>
      </c>
      <c r="Z2340" s="14">
        <f>IF($AQ2340="","","R"&amp;$C2340&amp;"."&amp;$D2340)</f>
        <v/>
      </c>
      <c r="AA2340" s="15">
        <f>IF(IF($AP2340="",FALSE,INDEX(職員マスタ!$K$6:$K$405,$AP2340)&lt;&gt;""),INDEX(職員マスタ!$K$6:$K$405,$AP2340),IF(N($W2340)&gt;0,$W2340,""))</f>
        <v/>
      </c>
      <c r="AB2340" s="14">
        <f>IF(OR($E2340="",$AA2340=""),"",IF($E2340&gt;=$AA2340,"×",IF($E2340&gt;=$AA2340*設定!$C$5,"△","○")))</f>
        <v/>
      </c>
      <c r="AC2340" s="15">
        <f>IF($AB2340="","",IF($AB2340="×",0,IF($AB2340="○",ROUNDDOWN($E2340*設定!$C$4,0),ROUNDDOWN($E2340*ROUND((9*$AA2340-9*$E2340)/(10*$E2340),4),0))))</f>
        <v/>
      </c>
      <c r="AD2340" s="13" t="n"/>
      <c r="AE2340" s="15">
        <f>IF($B2340="","",IF($AD2340&lt;&gt;"",$AD2340,IF($AC2340="","",IF($AC2340&lt;=設定!$C$3,0,$AC2340))))</f>
        <v/>
      </c>
      <c r="AF2340" s="14">
        <f>IF($B2340="","",IF(AND($AG2340&lt;&gt;"",$AI2340="",$AL2340=""),"保留中",IF($AL2340&lt;&gt;"",IF(N($AE2340)&gt;0,"支給済","不支給"),IF($AE2340="","要確認",IF($AE2340=0,"不支給","未処理")))))</f>
        <v/>
      </c>
      <c r="AG2340" s="12" t="n"/>
      <c r="AH2340" s="11" t="n"/>
      <c r="AI2340" s="11" t="n"/>
      <c r="AJ2340" s="11" t="n"/>
      <c r="AK2340" s="14">
        <f>IF(AND($AF2340="保留中",$AH2340&lt;&gt;""),TODAY()-$AH2340,"")</f>
        <v/>
      </c>
      <c r="AL2340" s="12" t="n"/>
      <c r="AM2340" s="14">
        <f>IF($B2340="","",IF($AQ2340="","対象年月が未入力／","")&amp;IF($B2340="","",IF($AP2340="","職員マスタに未登録の職員番号／",IF($AA2340="","標準報酬月額が未登録／","")&amp;IF(AND($AQ2340&lt;&gt;"",OR(AND(INDEX(職員マスタ!$G$6:$G$405,$AP2340)&lt;&gt;"",INDEX(職員マスタ!$G$6:$G$405,$AP2340)&gt;EOMONTH($AQ2340,0)),AND(INDEX(職員マスタ!$H$6:$H$405,$AP2340)&lt;&gt;"",INDEX(職員マスタ!$H$6:$H$405,$AP2340)&lt;$AQ2340))),"対象月が時短期間外／","")&amp;IF(AND(INDEX(職員マスタ!$K$6:$K$405,$AP2340)&lt;&gt;"",N($W2340)&gt;0,INDEX(職員マスタ!$K$6:$K$405,$AP2340)&lt;&gt;$W2340),"標準報酬月額が申請書と相違（台帳"&amp;TEXT(INDEX(職員マスタ!$K$6:$K$405,$AP2340),"#,##0")&amp;"円／申請書"&amp;TEXT($W2340,"#,##0")&amp;"円）／","")&amp;IF(AND(INDEX(職員マスタ!$F$6:$F$405,$AP2340)&lt;&gt;"",$AQ2340&lt;&gt;"",INDEX(職員マスタ!$F$6:$F$405,$AP2340)&lt;$AQ2340),"対象月に子が2歳到達済／","")&amp;IF(AND($H2340&lt;&gt;"",INDEX(職員マスタ!$B$6:$B$405,$AP2340)&lt;&gt;"",SUBSTITUTE(SUBSTITUTE($H2340," ","")," ","")&lt;&gt;SUBSTITUTE(SUBSTITUTE(INDEX(職員マスタ!$B$6:$B$405,$AP2340)," ","")," ","")),"氏名がマスタと相違／","")&amp;IF(AND($Q2340&lt;&gt;"",INDEX(職員マスタ!$E$6:$E$405,$AP2340)&lt;&gt;"",$Q2340&lt;&gt;INDEX(職員マスタ!$E$6:$E$405,$AP2340)),"子の生年月日がマスタと相違／","")&amp;IF(AND($L2340&lt;&gt;"",INDEX(職員マスタ!$G$6:$G$405,$AP2340)&lt;&gt;"",$L2340&lt;&gt;INDEX(職員マスタ!$G$6:$G$405,$AP2340)),"時短開始日がマスタと相違／","")&amp;IF(AND($M2340&lt;&gt;"",INDEX(職員マスタ!$H$6:$H$405,$AP2340)&lt;&gt;"",$M2340&lt;&gt;INDEX(職員マスタ!$H$6:$H$405,$AP2340)),"時短終了日がマスタと相違／","")))&amp;IF(AND($B2340&lt;&gt;"",$E2340=""),"報酬額が未入力／","")&amp;IF(N($U2340)&gt;0,"申請書に入力エラーが残っています／","")&amp;IF(AND($B2340&lt;&gt;"",$AQ2340&lt;&gt;""),IF(COUNTIFS($B$6:$B$3005,$B2340,$C$6:$C$3005,$C2340,$D$6:$D$3005,$D2340)&gt;1,"同じ月の請求が重複しています／",""),"")&amp;IF(AND(N($E2340)&gt;0,$AB2340&lt;&gt;"",$AB2340&lt;&gt;"×",$AE2340=0,$AD2340=""),"計算額が下限以下のため不支給／",""))</f>
        <v/>
      </c>
      <c r="AN2340" s="12" t="n"/>
      <c r="AO2340" s="14">
        <f>IF($AF2340="保留中",COUNTIF($AF$6:$AF2340,"保留中"),"")</f>
        <v/>
      </c>
      <c r="AP2340" s="14">
        <f>IF($AQ2340="","",IF(SUMPRODUCT(MAX((職員マスタ!$A$6:$A$405=$B2340)*(((職員マスタ!$G$6:$G$405="")+(職員マスタ!$G$6:$G$405&lt;=EOMONTH($AQ2340,0)))&gt;0)*(((職員マスタ!$H$6:$H$405="")+(職員マスタ!$H$6:$H$405&gt;=$AQ2340))&gt;0)*(ROW(職員マスタ!$A$6:$A$405)-5)))&gt;0,SUMPRODUCT(MAX((職員マスタ!$A$6:$A$405=$B2340)*(((職員マスタ!$G$6:$G$405="")+(職員マスタ!$G$6:$G$405&lt;=EOMONTH($AQ2340,0)))&gt;0)*(((職員マスタ!$H$6:$H$405="")+(職員マスタ!$H$6:$H$405&gt;=$AQ2340))&gt;0)*(ROW(職員マスタ!$A$6:$A$405)-5))),IFERROR(MATCH($B2340,職員マスタ!$A$6:$A$405,0),"")))</f>
        <v/>
      </c>
      <c r="AQ2340" s="16">
        <f>IF(OR($B2340="",$C2340="",$D2340=""),"",DATE($C2340+2018,$D2340,1))</f>
        <v/>
      </c>
    </row>
    <row r="2341">
      <c r="A2341" s="11" t="n"/>
      <c r="B2341" s="12" t="n"/>
      <c r="C2341" s="12" t="n"/>
      <c r="D2341" s="12" t="n"/>
      <c r="E2341" s="13" t="n"/>
      <c r="F2341" s="12" t="n"/>
      <c r="G2341" s="13" t="n"/>
      <c r="H2341" s="12" t="n"/>
      <c r="I2341" s="12" t="n"/>
      <c r="J2341" s="12" t="n"/>
      <c r="K2341" s="12" t="n"/>
      <c r="L2341" s="11" t="n"/>
      <c r="M2341" s="11" t="n"/>
      <c r="N2341" s="11" t="n"/>
      <c r="O2341" s="11" t="n"/>
      <c r="P2341" s="12" t="n"/>
      <c r="Q2341" s="11" t="n"/>
      <c r="R2341" s="12" t="n"/>
      <c r="S2341" s="11" t="n"/>
      <c r="T2341" s="12" t="n"/>
      <c r="U2341" s="12" t="n"/>
      <c r="V2341" s="12" t="n"/>
      <c r="W2341" s="13" t="n"/>
      <c r="X2341" s="14">
        <f>IF($AP2341="",IF($B2341="","",$H2341),IF(INDEX(職員マスタ!$B$6:$B$405,$AP2341)="",$H2341,INDEX(職員マスタ!$B$6:$B$405,$AP2341)))</f>
        <v/>
      </c>
      <c r="Y2341" s="14">
        <f>IF($AP2341="",IF($B2341="","",$R2341),IF(INDEX(職員マスタ!$C$6:$C$405,$AP2341)="",$R2341,INDEX(職員マスタ!$C$6:$C$405,$AP2341)))</f>
        <v/>
      </c>
      <c r="Z2341" s="14">
        <f>IF($AQ2341="","","R"&amp;$C2341&amp;"."&amp;$D2341)</f>
        <v/>
      </c>
      <c r="AA2341" s="15">
        <f>IF(IF($AP2341="",FALSE,INDEX(職員マスタ!$K$6:$K$405,$AP2341)&lt;&gt;""),INDEX(職員マスタ!$K$6:$K$405,$AP2341),IF(N($W2341)&gt;0,$W2341,""))</f>
        <v/>
      </c>
      <c r="AB2341" s="14">
        <f>IF(OR($E2341="",$AA2341=""),"",IF($E2341&gt;=$AA2341,"×",IF($E2341&gt;=$AA2341*設定!$C$5,"△","○")))</f>
        <v/>
      </c>
      <c r="AC2341" s="15">
        <f>IF($AB2341="","",IF($AB2341="×",0,IF($AB2341="○",ROUNDDOWN($E2341*設定!$C$4,0),ROUNDDOWN($E2341*ROUND((9*$AA2341-9*$E2341)/(10*$E2341),4),0))))</f>
        <v/>
      </c>
      <c r="AD2341" s="13" t="n"/>
      <c r="AE2341" s="15">
        <f>IF($B2341="","",IF($AD2341&lt;&gt;"",$AD2341,IF($AC2341="","",IF($AC2341&lt;=設定!$C$3,0,$AC2341))))</f>
        <v/>
      </c>
      <c r="AF2341" s="14">
        <f>IF($B2341="","",IF(AND($AG2341&lt;&gt;"",$AI2341="",$AL2341=""),"保留中",IF($AL2341&lt;&gt;"",IF(N($AE2341)&gt;0,"支給済","不支給"),IF($AE2341="","要確認",IF($AE2341=0,"不支給","未処理")))))</f>
        <v/>
      </c>
      <c r="AG2341" s="12" t="n"/>
      <c r="AH2341" s="11" t="n"/>
      <c r="AI2341" s="11" t="n"/>
      <c r="AJ2341" s="11" t="n"/>
      <c r="AK2341" s="14">
        <f>IF(AND($AF2341="保留中",$AH2341&lt;&gt;""),TODAY()-$AH2341,"")</f>
        <v/>
      </c>
      <c r="AL2341" s="12" t="n"/>
      <c r="AM2341" s="14">
        <f>IF($B2341="","",IF($AQ2341="","対象年月が未入力／","")&amp;IF($B2341="","",IF($AP2341="","職員マスタに未登録の職員番号／",IF($AA2341="","標準報酬月額が未登録／","")&amp;IF(AND($AQ2341&lt;&gt;"",OR(AND(INDEX(職員マスタ!$G$6:$G$405,$AP2341)&lt;&gt;"",INDEX(職員マスタ!$G$6:$G$405,$AP2341)&gt;EOMONTH($AQ2341,0)),AND(INDEX(職員マスタ!$H$6:$H$405,$AP2341)&lt;&gt;"",INDEX(職員マスタ!$H$6:$H$405,$AP2341)&lt;$AQ2341))),"対象月が時短期間外／","")&amp;IF(AND(INDEX(職員マスタ!$K$6:$K$405,$AP2341)&lt;&gt;"",N($W2341)&gt;0,INDEX(職員マスタ!$K$6:$K$405,$AP2341)&lt;&gt;$W2341),"標準報酬月額が申請書と相違（台帳"&amp;TEXT(INDEX(職員マスタ!$K$6:$K$405,$AP2341),"#,##0")&amp;"円／申請書"&amp;TEXT($W2341,"#,##0")&amp;"円）／","")&amp;IF(AND(INDEX(職員マスタ!$F$6:$F$405,$AP2341)&lt;&gt;"",$AQ2341&lt;&gt;"",INDEX(職員マスタ!$F$6:$F$405,$AP2341)&lt;$AQ2341),"対象月に子が2歳到達済／","")&amp;IF(AND($H2341&lt;&gt;"",INDEX(職員マスタ!$B$6:$B$405,$AP2341)&lt;&gt;"",SUBSTITUTE(SUBSTITUTE($H2341," ","")," ","")&lt;&gt;SUBSTITUTE(SUBSTITUTE(INDEX(職員マスタ!$B$6:$B$405,$AP2341)," ","")," ","")),"氏名がマスタと相違／","")&amp;IF(AND($Q2341&lt;&gt;"",INDEX(職員マスタ!$E$6:$E$405,$AP2341)&lt;&gt;"",$Q2341&lt;&gt;INDEX(職員マスタ!$E$6:$E$405,$AP2341)),"子の生年月日がマスタと相違／","")&amp;IF(AND($L2341&lt;&gt;"",INDEX(職員マスタ!$G$6:$G$405,$AP2341)&lt;&gt;"",$L2341&lt;&gt;INDEX(職員マスタ!$G$6:$G$405,$AP2341)),"時短開始日がマスタと相違／","")&amp;IF(AND($M2341&lt;&gt;"",INDEX(職員マスタ!$H$6:$H$405,$AP2341)&lt;&gt;"",$M2341&lt;&gt;INDEX(職員マスタ!$H$6:$H$405,$AP2341)),"時短終了日がマスタと相違／","")))&amp;IF(AND($B2341&lt;&gt;"",$E2341=""),"報酬額が未入力／","")&amp;IF(N($U2341)&gt;0,"申請書に入力エラーが残っています／","")&amp;IF(AND($B2341&lt;&gt;"",$AQ2341&lt;&gt;""),IF(COUNTIFS($B$6:$B$3005,$B2341,$C$6:$C$3005,$C2341,$D$6:$D$3005,$D2341)&gt;1,"同じ月の請求が重複しています／",""),"")&amp;IF(AND(N($E2341)&gt;0,$AB2341&lt;&gt;"",$AB2341&lt;&gt;"×",$AE2341=0,$AD2341=""),"計算額が下限以下のため不支給／",""))</f>
        <v/>
      </c>
      <c r="AN2341" s="12" t="n"/>
      <c r="AO2341" s="14">
        <f>IF($AF2341="保留中",COUNTIF($AF$6:$AF2341,"保留中"),"")</f>
        <v/>
      </c>
      <c r="AP2341" s="14">
        <f>IF($AQ2341="","",IF(SUMPRODUCT(MAX((職員マスタ!$A$6:$A$405=$B2341)*(((職員マスタ!$G$6:$G$405="")+(職員マスタ!$G$6:$G$405&lt;=EOMONTH($AQ2341,0)))&gt;0)*(((職員マスタ!$H$6:$H$405="")+(職員マスタ!$H$6:$H$405&gt;=$AQ2341))&gt;0)*(ROW(職員マスタ!$A$6:$A$405)-5)))&gt;0,SUMPRODUCT(MAX((職員マスタ!$A$6:$A$405=$B2341)*(((職員マスタ!$G$6:$G$405="")+(職員マスタ!$G$6:$G$405&lt;=EOMONTH($AQ2341,0)))&gt;0)*(((職員マスタ!$H$6:$H$405="")+(職員マスタ!$H$6:$H$405&gt;=$AQ2341))&gt;0)*(ROW(職員マスタ!$A$6:$A$405)-5))),IFERROR(MATCH($B2341,職員マスタ!$A$6:$A$405,0),"")))</f>
        <v/>
      </c>
      <c r="AQ2341" s="16">
        <f>IF(OR($B2341="",$C2341="",$D2341=""),"",DATE($C2341+2018,$D2341,1))</f>
        <v/>
      </c>
    </row>
    <row r="2342">
      <c r="A2342" s="11" t="n"/>
      <c r="B2342" s="12" t="n"/>
      <c r="C2342" s="12" t="n"/>
      <c r="D2342" s="12" t="n"/>
      <c r="E2342" s="13" t="n"/>
      <c r="F2342" s="12" t="n"/>
      <c r="G2342" s="13" t="n"/>
      <c r="H2342" s="12" t="n"/>
      <c r="I2342" s="12" t="n"/>
      <c r="J2342" s="12" t="n"/>
      <c r="K2342" s="12" t="n"/>
      <c r="L2342" s="11" t="n"/>
      <c r="M2342" s="11" t="n"/>
      <c r="N2342" s="11" t="n"/>
      <c r="O2342" s="11" t="n"/>
      <c r="P2342" s="12" t="n"/>
      <c r="Q2342" s="11" t="n"/>
      <c r="R2342" s="12" t="n"/>
      <c r="S2342" s="11" t="n"/>
      <c r="T2342" s="12" t="n"/>
      <c r="U2342" s="12" t="n"/>
      <c r="V2342" s="12" t="n"/>
      <c r="W2342" s="13" t="n"/>
      <c r="X2342" s="14">
        <f>IF($AP2342="",IF($B2342="","",$H2342),IF(INDEX(職員マスタ!$B$6:$B$405,$AP2342)="",$H2342,INDEX(職員マスタ!$B$6:$B$405,$AP2342)))</f>
        <v/>
      </c>
      <c r="Y2342" s="14">
        <f>IF($AP2342="",IF($B2342="","",$R2342),IF(INDEX(職員マスタ!$C$6:$C$405,$AP2342)="",$R2342,INDEX(職員マスタ!$C$6:$C$405,$AP2342)))</f>
        <v/>
      </c>
      <c r="Z2342" s="14">
        <f>IF($AQ2342="","","R"&amp;$C2342&amp;"."&amp;$D2342)</f>
        <v/>
      </c>
      <c r="AA2342" s="15">
        <f>IF(IF($AP2342="",FALSE,INDEX(職員マスタ!$K$6:$K$405,$AP2342)&lt;&gt;""),INDEX(職員マスタ!$K$6:$K$405,$AP2342),IF(N($W2342)&gt;0,$W2342,""))</f>
        <v/>
      </c>
      <c r="AB2342" s="14">
        <f>IF(OR($E2342="",$AA2342=""),"",IF($E2342&gt;=$AA2342,"×",IF($E2342&gt;=$AA2342*設定!$C$5,"△","○")))</f>
        <v/>
      </c>
      <c r="AC2342" s="15">
        <f>IF($AB2342="","",IF($AB2342="×",0,IF($AB2342="○",ROUNDDOWN($E2342*設定!$C$4,0),ROUNDDOWN($E2342*ROUND((9*$AA2342-9*$E2342)/(10*$E2342),4),0))))</f>
        <v/>
      </c>
      <c r="AD2342" s="13" t="n"/>
      <c r="AE2342" s="15">
        <f>IF($B2342="","",IF($AD2342&lt;&gt;"",$AD2342,IF($AC2342="","",IF($AC2342&lt;=設定!$C$3,0,$AC2342))))</f>
        <v/>
      </c>
      <c r="AF2342" s="14">
        <f>IF($B2342="","",IF(AND($AG2342&lt;&gt;"",$AI2342="",$AL2342=""),"保留中",IF($AL2342&lt;&gt;"",IF(N($AE2342)&gt;0,"支給済","不支給"),IF($AE2342="","要確認",IF($AE2342=0,"不支給","未処理")))))</f>
        <v/>
      </c>
      <c r="AG2342" s="12" t="n"/>
      <c r="AH2342" s="11" t="n"/>
      <c r="AI2342" s="11" t="n"/>
      <c r="AJ2342" s="11" t="n"/>
      <c r="AK2342" s="14">
        <f>IF(AND($AF2342="保留中",$AH2342&lt;&gt;""),TODAY()-$AH2342,"")</f>
        <v/>
      </c>
      <c r="AL2342" s="12" t="n"/>
      <c r="AM2342" s="14">
        <f>IF($B2342="","",IF($AQ2342="","対象年月が未入力／","")&amp;IF($B2342="","",IF($AP2342="","職員マスタに未登録の職員番号／",IF($AA2342="","標準報酬月額が未登録／","")&amp;IF(AND($AQ2342&lt;&gt;"",OR(AND(INDEX(職員マスタ!$G$6:$G$405,$AP2342)&lt;&gt;"",INDEX(職員マスタ!$G$6:$G$405,$AP2342)&gt;EOMONTH($AQ2342,0)),AND(INDEX(職員マスタ!$H$6:$H$405,$AP2342)&lt;&gt;"",INDEX(職員マスタ!$H$6:$H$405,$AP2342)&lt;$AQ2342))),"対象月が時短期間外／","")&amp;IF(AND(INDEX(職員マスタ!$K$6:$K$405,$AP2342)&lt;&gt;"",N($W2342)&gt;0,INDEX(職員マスタ!$K$6:$K$405,$AP2342)&lt;&gt;$W2342),"標準報酬月額が申請書と相違（台帳"&amp;TEXT(INDEX(職員マスタ!$K$6:$K$405,$AP2342),"#,##0")&amp;"円／申請書"&amp;TEXT($W2342,"#,##0")&amp;"円）／","")&amp;IF(AND(INDEX(職員マスタ!$F$6:$F$405,$AP2342)&lt;&gt;"",$AQ2342&lt;&gt;"",INDEX(職員マスタ!$F$6:$F$405,$AP2342)&lt;$AQ2342),"対象月に子が2歳到達済／","")&amp;IF(AND($H2342&lt;&gt;"",INDEX(職員マスタ!$B$6:$B$405,$AP2342)&lt;&gt;"",SUBSTITUTE(SUBSTITUTE($H2342," ","")," ","")&lt;&gt;SUBSTITUTE(SUBSTITUTE(INDEX(職員マスタ!$B$6:$B$405,$AP2342)," ","")," ","")),"氏名がマスタと相違／","")&amp;IF(AND($Q2342&lt;&gt;"",INDEX(職員マスタ!$E$6:$E$405,$AP2342)&lt;&gt;"",$Q2342&lt;&gt;INDEX(職員マスタ!$E$6:$E$405,$AP2342)),"子の生年月日がマスタと相違／","")&amp;IF(AND($L2342&lt;&gt;"",INDEX(職員マスタ!$G$6:$G$405,$AP2342)&lt;&gt;"",$L2342&lt;&gt;INDEX(職員マスタ!$G$6:$G$405,$AP2342)),"時短開始日がマスタと相違／","")&amp;IF(AND($M2342&lt;&gt;"",INDEX(職員マスタ!$H$6:$H$405,$AP2342)&lt;&gt;"",$M2342&lt;&gt;INDEX(職員マスタ!$H$6:$H$405,$AP2342)),"時短終了日がマスタと相違／","")))&amp;IF(AND($B2342&lt;&gt;"",$E2342=""),"報酬額が未入力／","")&amp;IF(N($U2342)&gt;0,"申請書に入力エラーが残っています／","")&amp;IF(AND($B2342&lt;&gt;"",$AQ2342&lt;&gt;""),IF(COUNTIFS($B$6:$B$3005,$B2342,$C$6:$C$3005,$C2342,$D$6:$D$3005,$D2342)&gt;1,"同じ月の請求が重複しています／",""),"")&amp;IF(AND(N($E2342)&gt;0,$AB2342&lt;&gt;"",$AB2342&lt;&gt;"×",$AE2342=0,$AD2342=""),"計算額が下限以下のため不支給／",""))</f>
        <v/>
      </c>
      <c r="AN2342" s="12" t="n"/>
      <c r="AO2342" s="14">
        <f>IF($AF2342="保留中",COUNTIF($AF$6:$AF2342,"保留中"),"")</f>
        <v/>
      </c>
      <c r="AP2342" s="14">
        <f>IF($AQ2342="","",IF(SUMPRODUCT(MAX((職員マスタ!$A$6:$A$405=$B2342)*(((職員マスタ!$G$6:$G$405="")+(職員マスタ!$G$6:$G$405&lt;=EOMONTH($AQ2342,0)))&gt;0)*(((職員マスタ!$H$6:$H$405="")+(職員マスタ!$H$6:$H$405&gt;=$AQ2342))&gt;0)*(ROW(職員マスタ!$A$6:$A$405)-5)))&gt;0,SUMPRODUCT(MAX((職員マスタ!$A$6:$A$405=$B2342)*(((職員マスタ!$G$6:$G$405="")+(職員マスタ!$G$6:$G$405&lt;=EOMONTH($AQ2342,0)))&gt;0)*(((職員マスタ!$H$6:$H$405="")+(職員マスタ!$H$6:$H$405&gt;=$AQ2342))&gt;0)*(ROW(職員マスタ!$A$6:$A$405)-5))),IFERROR(MATCH($B2342,職員マスタ!$A$6:$A$405,0),"")))</f>
        <v/>
      </c>
      <c r="AQ2342" s="16">
        <f>IF(OR($B2342="",$C2342="",$D2342=""),"",DATE($C2342+2018,$D2342,1))</f>
        <v/>
      </c>
    </row>
    <row r="2343">
      <c r="A2343" s="11" t="n"/>
      <c r="B2343" s="12" t="n"/>
      <c r="C2343" s="12" t="n"/>
      <c r="D2343" s="12" t="n"/>
      <c r="E2343" s="13" t="n"/>
      <c r="F2343" s="12" t="n"/>
      <c r="G2343" s="13" t="n"/>
      <c r="H2343" s="12" t="n"/>
      <c r="I2343" s="12" t="n"/>
      <c r="J2343" s="12" t="n"/>
      <c r="K2343" s="12" t="n"/>
      <c r="L2343" s="11" t="n"/>
      <c r="M2343" s="11" t="n"/>
      <c r="N2343" s="11" t="n"/>
      <c r="O2343" s="11" t="n"/>
      <c r="P2343" s="12" t="n"/>
      <c r="Q2343" s="11" t="n"/>
      <c r="R2343" s="12" t="n"/>
      <c r="S2343" s="11" t="n"/>
      <c r="T2343" s="12" t="n"/>
      <c r="U2343" s="12" t="n"/>
      <c r="V2343" s="12" t="n"/>
      <c r="W2343" s="13" t="n"/>
      <c r="X2343" s="14">
        <f>IF($AP2343="",IF($B2343="","",$H2343),IF(INDEX(職員マスタ!$B$6:$B$405,$AP2343)="",$H2343,INDEX(職員マスタ!$B$6:$B$405,$AP2343)))</f>
        <v/>
      </c>
      <c r="Y2343" s="14">
        <f>IF($AP2343="",IF($B2343="","",$R2343),IF(INDEX(職員マスタ!$C$6:$C$405,$AP2343)="",$R2343,INDEX(職員マスタ!$C$6:$C$405,$AP2343)))</f>
        <v/>
      </c>
      <c r="Z2343" s="14">
        <f>IF($AQ2343="","","R"&amp;$C2343&amp;"."&amp;$D2343)</f>
        <v/>
      </c>
      <c r="AA2343" s="15">
        <f>IF(IF($AP2343="",FALSE,INDEX(職員マスタ!$K$6:$K$405,$AP2343)&lt;&gt;""),INDEX(職員マスタ!$K$6:$K$405,$AP2343),IF(N($W2343)&gt;0,$W2343,""))</f>
        <v/>
      </c>
      <c r="AB2343" s="14">
        <f>IF(OR($E2343="",$AA2343=""),"",IF($E2343&gt;=$AA2343,"×",IF($E2343&gt;=$AA2343*設定!$C$5,"△","○")))</f>
        <v/>
      </c>
      <c r="AC2343" s="15">
        <f>IF($AB2343="","",IF($AB2343="×",0,IF($AB2343="○",ROUNDDOWN($E2343*設定!$C$4,0),ROUNDDOWN($E2343*ROUND((9*$AA2343-9*$E2343)/(10*$E2343),4),0))))</f>
        <v/>
      </c>
      <c r="AD2343" s="13" t="n"/>
      <c r="AE2343" s="15">
        <f>IF($B2343="","",IF($AD2343&lt;&gt;"",$AD2343,IF($AC2343="","",IF($AC2343&lt;=設定!$C$3,0,$AC2343))))</f>
        <v/>
      </c>
      <c r="AF2343" s="14">
        <f>IF($B2343="","",IF(AND($AG2343&lt;&gt;"",$AI2343="",$AL2343=""),"保留中",IF($AL2343&lt;&gt;"",IF(N($AE2343)&gt;0,"支給済","不支給"),IF($AE2343="","要確認",IF($AE2343=0,"不支給","未処理")))))</f>
        <v/>
      </c>
      <c r="AG2343" s="12" t="n"/>
      <c r="AH2343" s="11" t="n"/>
      <c r="AI2343" s="11" t="n"/>
      <c r="AJ2343" s="11" t="n"/>
      <c r="AK2343" s="14">
        <f>IF(AND($AF2343="保留中",$AH2343&lt;&gt;""),TODAY()-$AH2343,"")</f>
        <v/>
      </c>
      <c r="AL2343" s="12" t="n"/>
      <c r="AM2343" s="14">
        <f>IF($B2343="","",IF($AQ2343="","対象年月が未入力／","")&amp;IF($B2343="","",IF($AP2343="","職員マスタに未登録の職員番号／",IF($AA2343="","標準報酬月額が未登録／","")&amp;IF(AND($AQ2343&lt;&gt;"",OR(AND(INDEX(職員マスタ!$G$6:$G$405,$AP2343)&lt;&gt;"",INDEX(職員マスタ!$G$6:$G$405,$AP2343)&gt;EOMONTH($AQ2343,0)),AND(INDEX(職員マスタ!$H$6:$H$405,$AP2343)&lt;&gt;"",INDEX(職員マスタ!$H$6:$H$405,$AP2343)&lt;$AQ2343))),"対象月が時短期間外／","")&amp;IF(AND(INDEX(職員マスタ!$K$6:$K$405,$AP2343)&lt;&gt;"",N($W2343)&gt;0,INDEX(職員マスタ!$K$6:$K$405,$AP2343)&lt;&gt;$W2343),"標準報酬月額が申請書と相違（台帳"&amp;TEXT(INDEX(職員マスタ!$K$6:$K$405,$AP2343),"#,##0")&amp;"円／申請書"&amp;TEXT($W2343,"#,##0")&amp;"円）／","")&amp;IF(AND(INDEX(職員マスタ!$F$6:$F$405,$AP2343)&lt;&gt;"",$AQ2343&lt;&gt;"",INDEX(職員マスタ!$F$6:$F$405,$AP2343)&lt;$AQ2343),"対象月に子が2歳到達済／","")&amp;IF(AND($H2343&lt;&gt;"",INDEX(職員マスタ!$B$6:$B$405,$AP2343)&lt;&gt;"",SUBSTITUTE(SUBSTITUTE($H2343," ","")," ","")&lt;&gt;SUBSTITUTE(SUBSTITUTE(INDEX(職員マスタ!$B$6:$B$405,$AP2343)," ","")," ","")),"氏名がマスタと相違／","")&amp;IF(AND($Q2343&lt;&gt;"",INDEX(職員マスタ!$E$6:$E$405,$AP2343)&lt;&gt;"",$Q2343&lt;&gt;INDEX(職員マスタ!$E$6:$E$405,$AP2343)),"子の生年月日がマスタと相違／","")&amp;IF(AND($L2343&lt;&gt;"",INDEX(職員マスタ!$G$6:$G$405,$AP2343)&lt;&gt;"",$L2343&lt;&gt;INDEX(職員マスタ!$G$6:$G$405,$AP2343)),"時短開始日がマスタと相違／","")&amp;IF(AND($M2343&lt;&gt;"",INDEX(職員マスタ!$H$6:$H$405,$AP2343)&lt;&gt;"",$M2343&lt;&gt;INDEX(職員マスタ!$H$6:$H$405,$AP2343)),"時短終了日がマスタと相違／","")))&amp;IF(AND($B2343&lt;&gt;"",$E2343=""),"報酬額が未入力／","")&amp;IF(N($U2343)&gt;0,"申請書に入力エラーが残っています／","")&amp;IF(AND($B2343&lt;&gt;"",$AQ2343&lt;&gt;""),IF(COUNTIFS($B$6:$B$3005,$B2343,$C$6:$C$3005,$C2343,$D$6:$D$3005,$D2343)&gt;1,"同じ月の請求が重複しています／",""),"")&amp;IF(AND(N($E2343)&gt;0,$AB2343&lt;&gt;"",$AB2343&lt;&gt;"×",$AE2343=0,$AD2343=""),"計算額が下限以下のため不支給／",""))</f>
        <v/>
      </c>
      <c r="AN2343" s="12" t="n"/>
      <c r="AO2343" s="14">
        <f>IF($AF2343="保留中",COUNTIF($AF$6:$AF2343,"保留中"),"")</f>
        <v/>
      </c>
      <c r="AP2343" s="14">
        <f>IF($AQ2343="","",IF(SUMPRODUCT(MAX((職員マスタ!$A$6:$A$405=$B2343)*(((職員マスタ!$G$6:$G$405="")+(職員マスタ!$G$6:$G$405&lt;=EOMONTH($AQ2343,0)))&gt;0)*(((職員マスタ!$H$6:$H$405="")+(職員マスタ!$H$6:$H$405&gt;=$AQ2343))&gt;0)*(ROW(職員マスタ!$A$6:$A$405)-5)))&gt;0,SUMPRODUCT(MAX((職員マスタ!$A$6:$A$405=$B2343)*(((職員マスタ!$G$6:$G$405="")+(職員マスタ!$G$6:$G$405&lt;=EOMONTH($AQ2343,0)))&gt;0)*(((職員マスタ!$H$6:$H$405="")+(職員マスタ!$H$6:$H$405&gt;=$AQ2343))&gt;0)*(ROW(職員マスタ!$A$6:$A$405)-5))),IFERROR(MATCH($B2343,職員マスタ!$A$6:$A$405,0),"")))</f>
        <v/>
      </c>
      <c r="AQ2343" s="16">
        <f>IF(OR($B2343="",$C2343="",$D2343=""),"",DATE($C2343+2018,$D2343,1))</f>
        <v/>
      </c>
    </row>
    <row r="2344">
      <c r="A2344" s="11" t="n"/>
      <c r="B2344" s="12" t="n"/>
      <c r="C2344" s="12" t="n"/>
      <c r="D2344" s="12" t="n"/>
      <c r="E2344" s="13" t="n"/>
      <c r="F2344" s="12" t="n"/>
      <c r="G2344" s="13" t="n"/>
      <c r="H2344" s="12" t="n"/>
      <c r="I2344" s="12" t="n"/>
      <c r="J2344" s="12" t="n"/>
      <c r="K2344" s="12" t="n"/>
      <c r="L2344" s="11" t="n"/>
      <c r="M2344" s="11" t="n"/>
      <c r="N2344" s="11" t="n"/>
      <c r="O2344" s="11" t="n"/>
      <c r="P2344" s="12" t="n"/>
      <c r="Q2344" s="11" t="n"/>
      <c r="R2344" s="12" t="n"/>
      <c r="S2344" s="11" t="n"/>
      <c r="T2344" s="12" t="n"/>
      <c r="U2344" s="12" t="n"/>
      <c r="V2344" s="12" t="n"/>
      <c r="W2344" s="13" t="n"/>
      <c r="X2344" s="14">
        <f>IF($AP2344="",IF($B2344="","",$H2344),IF(INDEX(職員マスタ!$B$6:$B$405,$AP2344)="",$H2344,INDEX(職員マスタ!$B$6:$B$405,$AP2344)))</f>
        <v/>
      </c>
      <c r="Y2344" s="14">
        <f>IF($AP2344="",IF($B2344="","",$R2344),IF(INDEX(職員マスタ!$C$6:$C$405,$AP2344)="",$R2344,INDEX(職員マスタ!$C$6:$C$405,$AP2344)))</f>
        <v/>
      </c>
      <c r="Z2344" s="14">
        <f>IF($AQ2344="","","R"&amp;$C2344&amp;"."&amp;$D2344)</f>
        <v/>
      </c>
      <c r="AA2344" s="15">
        <f>IF(IF($AP2344="",FALSE,INDEX(職員マスタ!$K$6:$K$405,$AP2344)&lt;&gt;""),INDEX(職員マスタ!$K$6:$K$405,$AP2344),IF(N($W2344)&gt;0,$W2344,""))</f>
        <v/>
      </c>
      <c r="AB2344" s="14">
        <f>IF(OR($E2344="",$AA2344=""),"",IF($E2344&gt;=$AA2344,"×",IF($E2344&gt;=$AA2344*設定!$C$5,"△","○")))</f>
        <v/>
      </c>
      <c r="AC2344" s="15">
        <f>IF($AB2344="","",IF($AB2344="×",0,IF($AB2344="○",ROUNDDOWN($E2344*設定!$C$4,0),ROUNDDOWN($E2344*ROUND((9*$AA2344-9*$E2344)/(10*$E2344),4),0))))</f>
        <v/>
      </c>
      <c r="AD2344" s="13" t="n"/>
      <c r="AE2344" s="15">
        <f>IF($B2344="","",IF($AD2344&lt;&gt;"",$AD2344,IF($AC2344="","",IF($AC2344&lt;=設定!$C$3,0,$AC2344))))</f>
        <v/>
      </c>
      <c r="AF2344" s="14">
        <f>IF($B2344="","",IF(AND($AG2344&lt;&gt;"",$AI2344="",$AL2344=""),"保留中",IF($AL2344&lt;&gt;"",IF(N($AE2344)&gt;0,"支給済","不支給"),IF($AE2344="","要確認",IF($AE2344=0,"不支給","未処理")))))</f>
        <v/>
      </c>
      <c r="AG2344" s="12" t="n"/>
      <c r="AH2344" s="11" t="n"/>
      <c r="AI2344" s="11" t="n"/>
      <c r="AJ2344" s="11" t="n"/>
      <c r="AK2344" s="14">
        <f>IF(AND($AF2344="保留中",$AH2344&lt;&gt;""),TODAY()-$AH2344,"")</f>
        <v/>
      </c>
      <c r="AL2344" s="12" t="n"/>
      <c r="AM2344" s="14">
        <f>IF($B2344="","",IF($AQ2344="","対象年月が未入力／","")&amp;IF($B2344="","",IF($AP2344="","職員マスタに未登録の職員番号／",IF($AA2344="","標準報酬月額が未登録／","")&amp;IF(AND($AQ2344&lt;&gt;"",OR(AND(INDEX(職員マスタ!$G$6:$G$405,$AP2344)&lt;&gt;"",INDEX(職員マスタ!$G$6:$G$405,$AP2344)&gt;EOMONTH($AQ2344,0)),AND(INDEX(職員マスタ!$H$6:$H$405,$AP2344)&lt;&gt;"",INDEX(職員マスタ!$H$6:$H$405,$AP2344)&lt;$AQ2344))),"対象月が時短期間外／","")&amp;IF(AND(INDEX(職員マスタ!$K$6:$K$405,$AP2344)&lt;&gt;"",N($W2344)&gt;0,INDEX(職員マスタ!$K$6:$K$405,$AP2344)&lt;&gt;$W2344),"標準報酬月額が申請書と相違（台帳"&amp;TEXT(INDEX(職員マスタ!$K$6:$K$405,$AP2344),"#,##0")&amp;"円／申請書"&amp;TEXT($W2344,"#,##0")&amp;"円）／","")&amp;IF(AND(INDEX(職員マスタ!$F$6:$F$405,$AP2344)&lt;&gt;"",$AQ2344&lt;&gt;"",INDEX(職員マスタ!$F$6:$F$405,$AP2344)&lt;$AQ2344),"対象月に子が2歳到達済／","")&amp;IF(AND($H2344&lt;&gt;"",INDEX(職員マスタ!$B$6:$B$405,$AP2344)&lt;&gt;"",SUBSTITUTE(SUBSTITUTE($H2344," ","")," ","")&lt;&gt;SUBSTITUTE(SUBSTITUTE(INDEX(職員マスタ!$B$6:$B$405,$AP2344)," ","")," ","")),"氏名がマスタと相違／","")&amp;IF(AND($Q2344&lt;&gt;"",INDEX(職員マスタ!$E$6:$E$405,$AP2344)&lt;&gt;"",$Q2344&lt;&gt;INDEX(職員マスタ!$E$6:$E$405,$AP2344)),"子の生年月日がマスタと相違／","")&amp;IF(AND($L2344&lt;&gt;"",INDEX(職員マスタ!$G$6:$G$405,$AP2344)&lt;&gt;"",$L2344&lt;&gt;INDEX(職員マスタ!$G$6:$G$405,$AP2344)),"時短開始日がマスタと相違／","")&amp;IF(AND($M2344&lt;&gt;"",INDEX(職員マスタ!$H$6:$H$405,$AP2344)&lt;&gt;"",$M2344&lt;&gt;INDEX(職員マスタ!$H$6:$H$405,$AP2344)),"時短終了日がマスタと相違／","")))&amp;IF(AND($B2344&lt;&gt;"",$E2344=""),"報酬額が未入力／","")&amp;IF(N($U2344)&gt;0,"申請書に入力エラーが残っています／","")&amp;IF(AND($B2344&lt;&gt;"",$AQ2344&lt;&gt;""),IF(COUNTIFS($B$6:$B$3005,$B2344,$C$6:$C$3005,$C2344,$D$6:$D$3005,$D2344)&gt;1,"同じ月の請求が重複しています／",""),"")&amp;IF(AND(N($E2344)&gt;0,$AB2344&lt;&gt;"",$AB2344&lt;&gt;"×",$AE2344=0,$AD2344=""),"計算額が下限以下のため不支給／",""))</f>
        <v/>
      </c>
      <c r="AN2344" s="12" t="n"/>
      <c r="AO2344" s="14">
        <f>IF($AF2344="保留中",COUNTIF($AF$6:$AF2344,"保留中"),"")</f>
        <v/>
      </c>
      <c r="AP2344" s="14">
        <f>IF($AQ2344="","",IF(SUMPRODUCT(MAX((職員マスタ!$A$6:$A$405=$B2344)*(((職員マスタ!$G$6:$G$405="")+(職員マスタ!$G$6:$G$405&lt;=EOMONTH($AQ2344,0)))&gt;0)*(((職員マスタ!$H$6:$H$405="")+(職員マスタ!$H$6:$H$405&gt;=$AQ2344))&gt;0)*(ROW(職員マスタ!$A$6:$A$405)-5)))&gt;0,SUMPRODUCT(MAX((職員マスタ!$A$6:$A$405=$B2344)*(((職員マスタ!$G$6:$G$405="")+(職員マスタ!$G$6:$G$405&lt;=EOMONTH($AQ2344,0)))&gt;0)*(((職員マスタ!$H$6:$H$405="")+(職員マスタ!$H$6:$H$405&gt;=$AQ2344))&gt;0)*(ROW(職員マスタ!$A$6:$A$405)-5))),IFERROR(MATCH($B2344,職員マスタ!$A$6:$A$405,0),"")))</f>
        <v/>
      </c>
      <c r="AQ2344" s="16">
        <f>IF(OR($B2344="",$C2344="",$D2344=""),"",DATE($C2344+2018,$D2344,1))</f>
        <v/>
      </c>
    </row>
    <row r="2345">
      <c r="A2345" s="11" t="n"/>
      <c r="B2345" s="12" t="n"/>
      <c r="C2345" s="12" t="n"/>
      <c r="D2345" s="12" t="n"/>
      <c r="E2345" s="13" t="n"/>
      <c r="F2345" s="12" t="n"/>
      <c r="G2345" s="13" t="n"/>
      <c r="H2345" s="12" t="n"/>
      <c r="I2345" s="12" t="n"/>
      <c r="J2345" s="12" t="n"/>
      <c r="K2345" s="12" t="n"/>
      <c r="L2345" s="11" t="n"/>
      <c r="M2345" s="11" t="n"/>
      <c r="N2345" s="11" t="n"/>
      <c r="O2345" s="11" t="n"/>
      <c r="P2345" s="12" t="n"/>
      <c r="Q2345" s="11" t="n"/>
      <c r="R2345" s="12" t="n"/>
      <c r="S2345" s="11" t="n"/>
      <c r="T2345" s="12" t="n"/>
      <c r="U2345" s="12" t="n"/>
      <c r="V2345" s="12" t="n"/>
      <c r="W2345" s="13" t="n"/>
      <c r="X2345" s="14">
        <f>IF($AP2345="",IF($B2345="","",$H2345),IF(INDEX(職員マスタ!$B$6:$B$405,$AP2345)="",$H2345,INDEX(職員マスタ!$B$6:$B$405,$AP2345)))</f>
        <v/>
      </c>
      <c r="Y2345" s="14">
        <f>IF($AP2345="",IF($B2345="","",$R2345),IF(INDEX(職員マスタ!$C$6:$C$405,$AP2345)="",$R2345,INDEX(職員マスタ!$C$6:$C$405,$AP2345)))</f>
        <v/>
      </c>
      <c r="Z2345" s="14">
        <f>IF($AQ2345="","","R"&amp;$C2345&amp;"."&amp;$D2345)</f>
        <v/>
      </c>
      <c r="AA2345" s="15">
        <f>IF(IF($AP2345="",FALSE,INDEX(職員マスタ!$K$6:$K$405,$AP2345)&lt;&gt;""),INDEX(職員マスタ!$K$6:$K$405,$AP2345),IF(N($W2345)&gt;0,$W2345,""))</f>
        <v/>
      </c>
      <c r="AB2345" s="14">
        <f>IF(OR($E2345="",$AA2345=""),"",IF($E2345&gt;=$AA2345,"×",IF($E2345&gt;=$AA2345*設定!$C$5,"△","○")))</f>
        <v/>
      </c>
      <c r="AC2345" s="15">
        <f>IF($AB2345="","",IF($AB2345="×",0,IF($AB2345="○",ROUNDDOWN($E2345*設定!$C$4,0),ROUNDDOWN($E2345*ROUND((9*$AA2345-9*$E2345)/(10*$E2345),4),0))))</f>
        <v/>
      </c>
      <c r="AD2345" s="13" t="n"/>
      <c r="AE2345" s="15">
        <f>IF($B2345="","",IF($AD2345&lt;&gt;"",$AD2345,IF($AC2345="","",IF($AC2345&lt;=設定!$C$3,0,$AC2345))))</f>
        <v/>
      </c>
      <c r="AF2345" s="14">
        <f>IF($B2345="","",IF(AND($AG2345&lt;&gt;"",$AI2345="",$AL2345=""),"保留中",IF($AL2345&lt;&gt;"",IF(N($AE2345)&gt;0,"支給済","不支給"),IF($AE2345="","要確認",IF($AE2345=0,"不支給","未処理")))))</f>
        <v/>
      </c>
      <c r="AG2345" s="12" t="n"/>
      <c r="AH2345" s="11" t="n"/>
      <c r="AI2345" s="11" t="n"/>
      <c r="AJ2345" s="11" t="n"/>
      <c r="AK2345" s="14">
        <f>IF(AND($AF2345="保留中",$AH2345&lt;&gt;""),TODAY()-$AH2345,"")</f>
        <v/>
      </c>
      <c r="AL2345" s="12" t="n"/>
      <c r="AM2345" s="14">
        <f>IF($B2345="","",IF($AQ2345="","対象年月が未入力／","")&amp;IF($B2345="","",IF($AP2345="","職員マスタに未登録の職員番号／",IF($AA2345="","標準報酬月額が未登録／","")&amp;IF(AND($AQ2345&lt;&gt;"",OR(AND(INDEX(職員マスタ!$G$6:$G$405,$AP2345)&lt;&gt;"",INDEX(職員マスタ!$G$6:$G$405,$AP2345)&gt;EOMONTH($AQ2345,0)),AND(INDEX(職員マスタ!$H$6:$H$405,$AP2345)&lt;&gt;"",INDEX(職員マスタ!$H$6:$H$405,$AP2345)&lt;$AQ2345))),"対象月が時短期間外／","")&amp;IF(AND(INDEX(職員マスタ!$K$6:$K$405,$AP2345)&lt;&gt;"",N($W2345)&gt;0,INDEX(職員マスタ!$K$6:$K$405,$AP2345)&lt;&gt;$W2345),"標準報酬月額が申請書と相違（台帳"&amp;TEXT(INDEX(職員マスタ!$K$6:$K$405,$AP2345),"#,##0")&amp;"円／申請書"&amp;TEXT($W2345,"#,##0")&amp;"円）／","")&amp;IF(AND(INDEX(職員マスタ!$F$6:$F$405,$AP2345)&lt;&gt;"",$AQ2345&lt;&gt;"",INDEX(職員マスタ!$F$6:$F$405,$AP2345)&lt;$AQ2345),"対象月に子が2歳到達済／","")&amp;IF(AND($H2345&lt;&gt;"",INDEX(職員マスタ!$B$6:$B$405,$AP2345)&lt;&gt;"",SUBSTITUTE(SUBSTITUTE($H2345," ","")," ","")&lt;&gt;SUBSTITUTE(SUBSTITUTE(INDEX(職員マスタ!$B$6:$B$405,$AP2345)," ","")," ","")),"氏名がマスタと相違／","")&amp;IF(AND($Q2345&lt;&gt;"",INDEX(職員マスタ!$E$6:$E$405,$AP2345)&lt;&gt;"",$Q2345&lt;&gt;INDEX(職員マスタ!$E$6:$E$405,$AP2345)),"子の生年月日がマスタと相違／","")&amp;IF(AND($L2345&lt;&gt;"",INDEX(職員マスタ!$G$6:$G$405,$AP2345)&lt;&gt;"",$L2345&lt;&gt;INDEX(職員マスタ!$G$6:$G$405,$AP2345)),"時短開始日がマスタと相違／","")&amp;IF(AND($M2345&lt;&gt;"",INDEX(職員マスタ!$H$6:$H$405,$AP2345)&lt;&gt;"",$M2345&lt;&gt;INDEX(職員マスタ!$H$6:$H$405,$AP2345)),"時短終了日がマスタと相違／","")))&amp;IF(AND($B2345&lt;&gt;"",$E2345=""),"報酬額が未入力／","")&amp;IF(N($U2345)&gt;0,"申請書に入力エラーが残っています／","")&amp;IF(AND($B2345&lt;&gt;"",$AQ2345&lt;&gt;""),IF(COUNTIFS($B$6:$B$3005,$B2345,$C$6:$C$3005,$C2345,$D$6:$D$3005,$D2345)&gt;1,"同じ月の請求が重複しています／",""),"")&amp;IF(AND(N($E2345)&gt;0,$AB2345&lt;&gt;"",$AB2345&lt;&gt;"×",$AE2345=0,$AD2345=""),"計算額が下限以下のため不支給／",""))</f>
        <v/>
      </c>
      <c r="AN2345" s="12" t="n"/>
      <c r="AO2345" s="14">
        <f>IF($AF2345="保留中",COUNTIF($AF$6:$AF2345,"保留中"),"")</f>
        <v/>
      </c>
      <c r="AP2345" s="14">
        <f>IF($AQ2345="","",IF(SUMPRODUCT(MAX((職員マスタ!$A$6:$A$405=$B2345)*(((職員マスタ!$G$6:$G$405="")+(職員マスタ!$G$6:$G$405&lt;=EOMONTH($AQ2345,0)))&gt;0)*(((職員マスタ!$H$6:$H$405="")+(職員マスタ!$H$6:$H$405&gt;=$AQ2345))&gt;0)*(ROW(職員マスタ!$A$6:$A$405)-5)))&gt;0,SUMPRODUCT(MAX((職員マスタ!$A$6:$A$405=$B2345)*(((職員マスタ!$G$6:$G$405="")+(職員マスタ!$G$6:$G$405&lt;=EOMONTH($AQ2345,0)))&gt;0)*(((職員マスタ!$H$6:$H$405="")+(職員マスタ!$H$6:$H$405&gt;=$AQ2345))&gt;0)*(ROW(職員マスタ!$A$6:$A$405)-5))),IFERROR(MATCH($B2345,職員マスタ!$A$6:$A$405,0),"")))</f>
        <v/>
      </c>
      <c r="AQ2345" s="16">
        <f>IF(OR($B2345="",$C2345="",$D2345=""),"",DATE($C2345+2018,$D2345,1))</f>
        <v/>
      </c>
    </row>
    <row r="2346">
      <c r="A2346" s="11" t="n"/>
      <c r="B2346" s="12" t="n"/>
      <c r="C2346" s="12" t="n"/>
      <c r="D2346" s="12" t="n"/>
      <c r="E2346" s="13" t="n"/>
      <c r="F2346" s="12" t="n"/>
      <c r="G2346" s="13" t="n"/>
      <c r="H2346" s="12" t="n"/>
      <c r="I2346" s="12" t="n"/>
      <c r="J2346" s="12" t="n"/>
      <c r="K2346" s="12" t="n"/>
      <c r="L2346" s="11" t="n"/>
      <c r="M2346" s="11" t="n"/>
      <c r="N2346" s="11" t="n"/>
      <c r="O2346" s="11" t="n"/>
      <c r="P2346" s="12" t="n"/>
      <c r="Q2346" s="11" t="n"/>
      <c r="R2346" s="12" t="n"/>
      <c r="S2346" s="11" t="n"/>
      <c r="T2346" s="12" t="n"/>
      <c r="U2346" s="12" t="n"/>
      <c r="V2346" s="12" t="n"/>
      <c r="W2346" s="13" t="n"/>
      <c r="X2346" s="14">
        <f>IF($AP2346="",IF($B2346="","",$H2346),IF(INDEX(職員マスタ!$B$6:$B$405,$AP2346)="",$H2346,INDEX(職員マスタ!$B$6:$B$405,$AP2346)))</f>
        <v/>
      </c>
      <c r="Y2346" s="14">
        <f>IF($AP2346="",IF($B2346="","",$R2346),IF(INDEX(職員マスタ!$C$6:$C$405,$AP2346)="",$R2346,INDEX(職員マスタ!$C$6:$C$405,$AP2346)))</f>
        <v/>
      </c>
      <c r="Z2346" s="14">
        <f>IF($AQ2346="","","R"&amp;$C2346&amp;"."&amp;$D2346)</f>
        <v/>
      </c>
      <c r="AA2346" s="15">
        <f>IF(IF($AP2346="",FALSE,INDEX(職員マスタ!$K$6:$K$405,$AP2346)&lt;&gt;""),INDEX(職員マスタ!$K$6:$K$405,$AP2346),IF(N($W2346)&gt;0,$W2346,""))</f>
        <v/>
      </c>
      <c r="AB2346" s="14">
        <f>IF(OR($E2346="",$AA2346=""),"",IF($E2346&gt;=$AA2346,"×",IF($E2346&gt;=$AA2346*設定!$C$5,"△","○")))</f>
        <v/>
      </c>
      <c r="AC2346" s="15">
        <f>IF($AB2346="","",IF($AB2346="×",0,IF($AB2346="○",ROUNDDOWN($E2346*設定!$C$4,0),ROUNDDOWN($E2346*ROUND((9*$AA2346-9*$E2346)/(10*$E2346),4),0))))</f>
        <v/>
      </c>
      <c r="AD2346" s="13" t="n"/>
      <c r="AE2346" s="15">
        <f>IF($B2346="","",IF($AD2346&lt;&gt;"",$AD2346,IF($AC2346="","",IF($AC2346&lt;=設定!$C$3,0,$AC2346))))</f>
        <v/>
      </c>
      <c r="AF2346" s="14">
        <f>IF($B2346="","",IF(AND($AG2346&lt;&gt;"",$AI2346="",$AL2346=""),"保留中",IF($AL2346&lt;&gt;"",IF(N($AE2346)&gt;0,"支給済","不支給"),IF($AE2346="","要確認",IF($AE2346=0,"不支給","未処理")))))</f>
        <v/>
      </c>
      <c r="AG2346" s="12" t="n"/>
      <c r="AH2346" s="11" t="n"/>
      <c r="AI2346" s="11" t="n"/>
      <c r="AJ2346" s="11" t="n"/>
      <c r="AK2346" s="14">
        <f>IF(AND($AF2346="保留中",$AH2346&lt;&gt;""),TODAY()-$AH2346,"")</f>
        <v/>
      </c>
      <c r="AL2346" s="12" t="n"/>
      <c r="AM2346" s="14">
        <f>IF($B2346="","",IF($AQ2346="","対象年月が未入力／","")&amp;IF($B2346="","",IF($AP2346="","職員マスタに未登録の職員番号／",IF($AA2346="","標準報酬月額が未登録／","")&amp;IF(AND($AQ2346&lt;&gt;"",OR(AND(INDEX(職員マスタ!$G$6:$G$405,$AP2346)&lt;&gt;"",INDEX(職員マスタ!$G$6:$G$405,$AP2346)&gt;EOMONTH($AQ2346,0)),AND(INDEX(職員マスタ!$H$6:$H$405,$AP2346)&lt;&gt;"",INDEX(職員マスタ!$H$6:$H$405,$AP2346)&lt;$AQ2346))),"対象月が時短期間外／","")&amp;IF(AND(INDEX(職員マスタ!$K$6:$K$405,$AP2346)&lt;&gt;"",N($W2346)&gt;0,INDEX(職員マスタ!$K$6:$K$405,$AP2346)&lt;&gt;$W2346),"標準報酬月額が申請書と相違（台帳"&amp;TEXT(INDEX(職員マスタ!$K$6:$K$405,$AP2346),"#,##0")&amp;"円／申請書"&amp;TEXT($W2346,"#,##0")&amp;"円）／","")&amp;IF(AND(INDEX(職員マスタ!$F$6:$F$405,$AP2346)&lt;&gt;"",$AQ2346&lt;&gt;"",INDEX(職員マスタ!$F$6:$F$405,$AP2346)&lt;$AQ2346),"対象月に子が2歳到達済／","")&amp;IF(AND($H2346&lt;&gt;"",INDEX(職員マスタ!$B$6:$B$405,$AP2346)&lt;&gt;"",SUBSTITUTE(SUBSTITUTE($H2346," ","")," ","")&lt;&gt;SUBSTITUTE(SUBSTITUTE(INDEX(職員マスタ!$B$6:$B$405,$AP2346)," ","")," ","")),"氏名がマスタと相違／","")&amp;IF(AND($Q2346&lt;&gt;"",INDEX(職員マスタ!$E$6:$E$405,$AP2346)&lt;&gt;"",$Q2346&lt;&gt;INDEX(職員マスタ!$E$6:$E$405,$AP2346)),"子の生年月日がマスタと相違／","")&amp;IF(AND($L2346&lt;&gt;"",INDEX(職員マスタ!$G$6:$G$405,$AP2346)&lt;&gt;"",$L2346&lt;&gt;INDEX(職員マスタ!$G$6:$G$405,$AP2346)),"時短開始日がマスタと相違／","")&amp;IF(AND($M2346&lt;&gt;"",INDEX(職員マスタ!$H$6:$H$405,$AP2346)&lt;&gt;"",$M2346&lt;&gt;INDEX(職員マスタ!$H$6:$H$405,$AP2346)),"時短終了日がマスタと相違／","")))&amp;IF(AND($B2346&lt;&gt;"",$E2346=""),"報酬額が未入力／","")&amp;IF(N($U2346)&gt;0,"申請書に入力エラーが残っています／","")&amp;IF(AND($B2346&lt;&gt;"",$AQ2346&lt;&gt;""),IF(COUNTIFS($B$6:$B$3005,$B2346,$C$6:$C$3005,$C2346,$D$6:$D$3005,$D2346)&gt;1,"同じ月の請求が重複しています／",""),"")&amp;IF(AND(N($E2346)&gt;0,$AB2346&lt;&gt;"",$AB2346&lt;&gt;"×",$AE2346=0,$AD2346=""),"計算額が下限以下のため不支給／",""))</f>
        <v/>
      </c>
      <c r="AN2346" s="12" t="n"/>
      <c r="AO2346" s="14">
        <f>IF($AF2346="保留中",COUNTIF($AF$6:$AF2346,"保留中"),"")</f>
        <v/>
      </c>
      <c r="AP2346" s="14">
        <f>IF($AQ2346="","",IF(SUMPRODUCT(MAX((職員マスタ!$A$6:$A$405=$B2346)*(((職員マスタ!$G$6:$G$405="")+(職員マスタ!$G$6:$G$405&lt;=EOMONTH($AQ2346,0)))&gt;0)*(((職員マスタ!$H$6:$H$405="")+(職員マスタ!$H$6:$H$405&gt;=$AQ2346))&gt;0)*(ROW(職員マスタ!$A$6:$A$405)-5)))&gt;0,SUMPRODUCT(MAX((職員マスタ!$A$6:$A$405=$B2346)*(((職員マスタ!$G$6:$G$405="")+(職員マスタ!$G$6:$G$405&lt;=EOMONTH($AQ2346,0)))&gt;0)*(((職員マスタ!$H$6:$H$405="")+(職員マスタ!$H$6:$H$405&gt;=$AQ2346))&gt;0)*(ROW(職員マスタ!$A$6:$A$405)-5))),IFERROR(MATCH($B2346,職員マスタ!$A$6:$A$405,0),"")))</f>
        <v/>
      </c>
      <c r="AQ2346" s="16">
        <f>IF(OR($B2346="",$C2346="",$D2346=""),"",DATE($C2346+2018,$D2346,1))</f>
        <v/>
      </c>
    </row>
    <row r="2347">
      <c r="A2347" s="11" t="n"/>
      <c r="B2347" s="12" t="n"/>
      <c r="C2347" s="12" t="n"/>
      <c r="D2347" s="12" t="n"/>
      <c r="E2347" s="13" t="n"/>
      <c r="F2347" s="12" t="n"/>
      <c r="G2347" s="13" t="n"/>
      <c r="H2347" s="12" t="n"/>
      <c r="I2347" s="12" t="n"/>
      <c r="J2347" s="12" t="n"/>
      <c r="K2347" s="12" t="n"/>
      <c r="L2347" s="11" t="n"/>
      <c r="M2347" s="11" t="n"/>
      <c r="N2347" s="11" t="n"/>
      <c r="O2347" s="11" t="n"/>
      <c r="P2347" s="12" t="n"/>
      <c r="Q2347" s="11" t="n"/>
      <c r="R2347" s="12" t="n"/>
      <c r="S2347" s="11" t="n"/>
      <c r="T2347" s="12" t="n"/>
      <c r="U2347" s="12" t="n"/>
      <c r="V2347" s="12" t="n"/>
      <c r="W2347" s="13" t="n"/>
      <c r="X2347" s="14">
        <f>IF($AP2347="",IF($B2347="","",$H2347),IF(INDEX(職員マスタ!$B$6:$B$405,$AP2347)="",$H2347,INDEX(職員マスタ!$B$6:$B$405,$AP2347)))</f>
        <v/>
      </c>
      <c r="Y2347" s="14">
        <f>IF($AP2347="",IF($B2347="","",$R2347),IF(INDEX(職員マスタ!$C$6:$C$405,$AP2347)="",$R2347,INDEX(職員マスタ!$C$6:$C$405,$AP2347)))</f>
        <v/>
      </c>
      <c r="Z2347" s="14">
        <f>IF($AQ2347="","","R"&amp;$C2347&amp;"."&amp;$D2347)</f>
        <v/>
      </c>
      <c r="AA2347" s="15">
        <f>IF(IF($AP2347="",FALSE,INDEX(職員マスタ!$K$6:$K$405,$AP2347)&lt;&gt;""),INDEX(職員マスタ!$K$6:$K$405,$AP2347),IF(N($W2347)&gt;0,$W2347,""))</f>
        <v/>
      </c>
      <c r="AB2347" s="14">
        <f>IF(OR($E2347="",$AA2347=""),"",IF($E2347&gt;=$AA2347,"×",IF($E2347&gt;=$AA2347*設定!$C$5,"△","○")))</f>
        <v/>
      </c>
      <c r="AC2347" s="15">
        <f>IF($AB2347="","",IF($AB2347="×",0,IF($AB2347="○",ROUNDDOWN($E2347*設定!$C$4,0),ROUNDDOWN($E2347*ROUND((9*$AA2347-9*$E2347)/(10*$E2347),4),0))))</f>
        <v/>
      </c>
      <c r="AD2347" s="13" t="n"/>
      <c r="AE2347" s="15">
        <f>IF($B2347="","",IF($AD2347&lt;&gt;"",$AD2347,IF($AC2347="","",IF($AC2347&lt;=設定!$C$3,0,$AC2347))))</f>
        <v/>
      </c>
      <c r="AF2347" s="14">
        <f>IF($B2347="","",IF(AND($AG2347&lt;&gt;"",$AI2347="",$AL2347=""),"保留中",IF($AL2347&lt;&gt;"",IF(N($AE2347)&gt;0,"支給済","不支給"),IF($AE2347="","要確認",IF($AE2347=0,"不支給","未処理")))))</f>
        <v/>
      </c>
      <c r="AG2347" s="12" t="n"/>
      <c r="AH2347" s="11" t="n"/>
      <c r="AI2347" s="11" t="n"/>
      <c r="AJ2347" s="11" t="n"/>
      <c r="AK2347" s="14">
        <f>IF(AND($AF2347="保留中",$AH2347&lt;&gt;""),TODAY()-$AH2347,"")</f>
        <v/>
      </c>
      <c r="AL2347" s="12" t="n"/>
      <c r="AM2347" s="14">
        <f>IF($B2347="","",IF($AQ2347="","対象年月が未入力／","")&amp;IF($B2347="","",IF($AP2347="","職員マスタに未登録の職員番号／",IF($AA2347="","標準報酬月額が未登録／","")&amp;IF(AND($AQ2347&lt;&gt;"",OR(AND(INDEX(職員マスタ!$G$6:$G$405,$AP2347)&lt;&gt;"",INDEX(職員マスタ!$G$6:$G$405,$AP2347)&gt;EOMONTH($AQ2347,0)),AND(INDEX(職員マスタ!$H$6:$H$405,$AP2347)&lt;&gt;"",INDEX(職員マスタ!$H$6:$H$405,$AP2347)&lt;$AQ2347))),"対象月が時短期間外／","")&amp;IF(AND(INDEX(職員マスタ!$K$6:$K$405,$AP2347)&lt;&gt;"",N($W2347)&gt;0,INDEX(職員マスタ!$K$6:$K$405,$AP2347)&lt;&gt;$W2347),"標準報酬月額が申請書と相違（台帳"&amp;TEXT(INDEX(職員マスタ!$K$6:$K$405,$AP2347),"#,##0")&amp;"円／申請書"&amp;TEXT($W2347,"#,##0")&amp;"円）／","")&amp;IF(AND(INDEX(職員マスタ!$F$6:$F$405,$AP2347)&lt;&gt;"",$AQ2347&lt;&gt;"",INDEX(職員マスタ!$F$6:$F$405,$AP2347)&lt;$AQ2347),"対象月に子が2歳到達済／","")&amp;IF(AND($H2347&lt;&gt;"",INDEX(職員マスタ!$B$6:$B$405,$AP2347)&lt;&gt;"",SUBSTITUTE(SUBSTITUTE($H2347," ","")," ","")&lt;&gt;SUBSTITUTE(SUBSTITUTE(INDEX(職員マスタ!$B$6:$B$405,$AP2347)," ","")," ","")),"氏名がマスタと相違／","")&amp;IF(AND($Q2347&lt;&gt;"",INDEX(職員マスタ!$E$6:$E$405,$AP2347)&lt;&gt;"",$Q2347&lt;&gt;INDEX(職員マスタ!$E$6:$E$405,$AP2347)),"子の生年月日がマスタと相違／","")&amp;IF(AND($L2347&lt;&gt;"",INDEX(職員マスタ!$G$6:$G$405,$AP2347)&lt;&gt;"",$L2347&lt;&gt;INDEX(職員マスタ!$G$6:$G$405,$AP2347)),"時短開始日がマスタと相違／","")&amp;IF(AND($M2347&lt;&gt;"",INDEX(職員マスタ!$H$6:$H$405,$AP2347)&lt;&gt;"",$M2347&lt;&gt;INDEX(職員マスタ!$H$6:$H$405,$AP2347)),"時短終了日がマスタと相違／","")))&amp;IF(AND($B2347&lt;&gt;"",$E2347=""),"報酬額が未入力／","")&amp;IF(N($U2347)&gt;0,"申請書に入力エラーが残っています／","")&amp;IF(AND($B2347&lt;&gt;"",$AQ2347&lt;&gt;""),IF(COUNTIFS($B$6:$B$3005,$B2347,$C$6:$C$3005,$C2347,$D$6:$D$3005,$D2347)&gt;1,"同じ月の請求が重複しています／",""),"")&amp;IF(AND(N($E2347)&gt;0,$AB2347&lt;&gt;"",$AB2347&lt;&gt;"×",$AE2347=0,$AD2347=""),"計算額が下限以下のため不支給／",""))</f>
        <v/>
      </c>
      <c r="AN2347" s="12" t="n"/>
      <c r="AO2347" s="14">
        <f>IF($AF2347="保留中",COUNTIF($AF$6:$AF2347,"保留中"),"")</f>
        <v/>
      </c>
      <c r="AP2347" s="14">
        <f>IF($AQ2347="","",IF(SUMPRODUCT(MAX((職員マスタ!$A$6:$A$405=$B2347)*(((職員マスタ!$G$6:$G$405="")+(職員マスタ!$G$6:$G$405&lt;=EOMONTH($AQ2347,0)))&gt;0)*(((職員マスタ!$H$6:$H$405="")+(職員マスタ!$H$6:$H$405&gt;=$AQ2347))&gt;0)*(ROW(職員マスタ!$A$6:$A$405)-5)))&gt;0,SUMPRODUCT(MAX((職員マスタ!$A$6:$A$405=$B2347)*(((職員マスタ!$G$6:$G$405="")+(職員マスタ!$G$6:$G$405&lt;=EOMONTH($AQ2347,0)))&gt;0)*(((職員マスタ!$H$6:$H$405="")+(職員マスタ!$H$6:$H$405&gt;=$AQ2347))&gt;0)*(ROW(職員マスタ!$A$6:$A$405)-5))),IFERROR(MATCH($B2347,職員マスタ!$A$6:$A$405,0),"")))</f>
        <v/>
      </c>
      <c r="AQ2347" s="16">
        <f>IF(OR($B2347="",$C2347="",$D2347=""),"",DATE($C2347+2018,$D2347,1))</f>
        <v/>
      </c>
    </row>
    <row r="2348">
      <c r="A2348" s="11" t="n"/>
      <c r="B2348" s="12" t="n"/>
      <c r="C2348" s="12" t="n"/>
      <c r="D2348" s="12" t="n"/>
      <c r="E2348" s="13" t="n"/>
      <c r="F2348" s="12" t="n"/>
      <c r="G2348" s="13" t="n"/>
      <c r="H2348" s="12" t="n"/>
      <c r="I2348" s="12" t="n"/>
      <c r="J2348" s="12" t="n"/>
      <c r="K2348" s="12" t="n"/>
      <c r="L2348" s="11" t="n"/>
      <c r="M2348" s="11" t="n"/>
      <c r="N2348" s="11" t="n"/>
      <c r="O2348" s="11" t="n"/>
      <c r="P2348" s="12" t="n"/>
      <c r="Q2348" s="11" t="n"/>
      <c r="R2348" s="12" t="n"/>
      <c r="S2348" s="11" t="n"/>
      <c r="T2348" s="12" t="n"/>
      <c r="U2348" s="12" t="n"/>
      <c r="V2348" s="12" t="n"/>
      <c r="W2348" s="13" t="n"/>
      <c r="X2348" s="14">
        <f>IF($AP2348="",IF($B2348="","",$H2348),IF(INDEX(職員マスタ!$B$6:$B$405,$AP2348)="",$H2348,INDEX(職員マスタ!$B$6:$B$405,$AP2348)))</f>
        <v/>
      </c>
      <c r="Y2348" s="14">
        <f>IF($AP2348="",IF($B2348="","",$R2348),IF(INDEX(職員マスタ!$C$6:$C$405,$AP2348)="",$R2348,INDEX(職員マスタ!$C$6:$C$405,$AP2348)))</f>
        <v/>
      </c>
      <c r="Z2348" s="14">
        <f>IF($AQ2348="","","R"&amp;$C2348&amp;"."&amp;$D2348)</f>
        <v/>
      </c>
      <c r="AA2348" s="15">
        <f>IF(IF($AP2348="",FALSE,INDEX(職員マスタ!$K$6:$K$405,$AP2348)&lt;&gt;""),INDEX(職員マスタ!$K$6:$K$405,$AP2348),IF(N($W2348)&gt;0,$W2348,""))</f>
        <v/>
      </c>
      <c r="AB2348" s="14">
        <f>IF(OR($E2348="",$AA2348=""),"",IF($E2348&gt;=$AA2348,"×",IF($E2348&gt;=$AA2348*設定!$C$5,"△","○")))</f>
        <v/>
      </c>
      <c r="AC2348" s="15">
        <f>IF($AB2348="","",IF($AB2348="×",0,IF($AB2348="○",ROUNDDOWN($E2348*設定!$C$4,0),ROUNDDOWN($E2348*ROUND((9*$AA2348-9*$E2348)/(10*$E2348),4),0))))</f>
        <v/>
      </c>
      <c r="AD2348" s="13" t="n"/>
      <c r="AE2348" s="15">
        <f>IF($B2348="","",IF($AD2348&lt;&gt;"",$AD2348,IF($AC2348="","",IF($AC2348&lt;=設定!$C$3,0,$AC2348))))</f>
        <v/>
      </c>
      <c r="AF2348" s="14">
        <f>IF($B2348="","",IF(AND($AG2348&lt;&gt;"",$AI2348="",$AL2348=""),"保留中",IF($AL2348&lt;&gt;"",IF(N($AE2348)&gt;0,"支給済","不支給"),IF($AE2348="","要確認",IF($AE2348=0,"不支給","未処理")))))</f>
        <v/>
      </c>
      <c r="AG2348" s="12" t="n"/>
      <c r="AH2348" s="11" t="n"/>
      <c r="AI2348" s="11" t="n"/>
      <c r="AJ2348" s="11" t="n"/>
      <c r="AK2348" s="14">
        <f>IF(AND($AF2348="保留中",$AH2348&lt;&gt;""),TODAY()-$AH2348,"")</f>
        <v/>
      </c>
      <c r="AL2348" s="12" t="n"/>
      <c r="AM2348" s="14">
        <f>IF($B2348="","",IF($AQ2348="","対象年月が未入力／","")&amp;IF($B2348="","",IF($AP2348="","職員マスタに未登録の職員番号／",IF($AA2348="","標準報酬月額が未登録／","")&amp;IF(AND($AQ2348&lt;&gt;"",OR(AND(INDEX(職員マスタ!$G$6:$G$405,$AP2348)&lt;&gt;"",INDEX(職員マスタ!$G$6:$G$405,$AP2348)&gt;EOMONTH($AQ2348,0)),AND(INDEX(職員マスタ!$H$6:$H$405,$AP2348)&lt;&gt;"",INDEX(職員マスタ!$H$6:$H$405,$AP2348)&lt;$AQ2348))),"対象月が時短期間外／","")&amp;IF(AND(INDEX(職員マスタ!$K$6:$K$405,$AP2348)&lt;&gt;"",N($W2348)&gt;0,INDEX(職員マスタ!$K$6:$K$405,$AP2348)&lt;&gt;$W2348),"標準報酬月額が申請書と相違（台帳"&amp;TEXT(INDEX(職員マスタ!$K$6:$K$405,$AP2348),"#,##0")&amp;"円／申請書"&amp;TEXT($W2348,"#,##0")&amp;"円）／","")&amp;IF(AND(INDEX(職員マスタ!$F$6:$F$405,$AP2348)&lt;&gt;"",$AQ2348&lt;&gt;"",INDEX(職員マスタ!$F$6:$F$405,$AP2348)&lt;$AQ2348),"対象月に子が2歳到達済／","")&amp;IF(AND($H2348&lt;&gt;"",INDEX(職員マスタ!$B$6:$B$405,$AP2348)&lt;&gt;"",SUBSTITUTE(SUBSTITUTE($H2348," ","")," ","")&lt;&gt;SUBSTITUTE(SUBSTITUTE(INDEX(職員マスタ!$B$6:$B$405,$AP2348)," ","")," ","")),"氏名がマスタと相違／","")&amp;IF(AND($Q2348&lt;&gt;"",INDEX(職員マスタ!$E$6:$E$405,$AP2348)&lt;&gt;"",$Q2348&lt;&gt;INDEX(職員マスタ!$E$6:$E$405,$AP2348)),"子の生年月日がマスタと相違／","")&amp;IF(AND($L2348&lt;&gt;"",INDEX(職員マスタ!$G$6:$G$405,$AP2348)&lt;&gt;"",$L2348&lt;&gt;INDEX(職員マスタ!$G$6:$G$405,$AP2348)),"時短開始日がマスタと相違／","")&amp;IF(AND($M2348&lt;&gt;"",INDEX(職員マスタ!$H$6:$H$405,$AP2348)&lt;&gt;"",$M2348&lt;&gt;INDEX(職員マスタ!$H$6:$H$405,$AP2348)),"時短終了日がマスタと相違／","")))&amp;IF(AND($B2348&lt;&gt;"",$E2348=""),"報酬額が未入力／","")&amp;IF(N($U2348)&gt;0,"申請書に入力エラーが残っています／","")&amp;IF(AND($B2348&lt;&gt;"",$AQ2348&lt;&gt;""),IF(COUNTIFS($B$6:$B$3005,$B2348,$C$6:$C$3005,$C2348,$D$6:$D$3005,$D2348)&gt;1,"同じ月の請求が重複しています／",""),"")&amp;IF(AND(N($E2348)&gt;0,$AB2348&lt;&gt;"",$AB2348&lt;&gt;"×",$AE2348=0,$AD2348=""),"計算額が下限以下のため不支給／",""))</f>
        <v/>
      </c>
      <c r="AN2348" s="12" t="n"/>
      <c r="AO2348" s="14">
        <f>IF($AF2348="保留中",COUNTIF($AF$6:$AF2348,"保留中"),"")</f>
        <v/>
      </c>
      <c r="AP2348" s="14">
        <f>IF($AQ2348="","",IF(SUMPRODUCT(MAX((職員マスタ!$A$6:$A$405=$B2348)*(((職員マスタ!$G$6:$G$405="")+(職員マスタ!$G$6:$G$405&lt;=EOMONTH($AQ2348,0)))&gt;0)*(((職員マスタ!$H$6:$H$405="")+(職員マスタ!$H$6:$H$405&gt;=$AQ2348))&gt;0)*(ROW(職員マスタ!$A$6:$A$405)-5)))&gt;0,SUMPRODUCT(MAX((職員マスタ!$A$6:$A$405=$B2348)*(((職員マスタ!$G$6:$G$405="")+(職員マスタ!$G$6:$G$405&lt;=EOMONTH($AQ2348,0)))&gt;0)*(((職員マスタ!$H$6:$H$405="")+(職員マスタ!$H$6:$H$405&gt;=$AQ2348))&gt;0)*(ROW(職員マスタ!$A$6:$A$405)-5))),IFERROR(MATCH($B2348,職員マスタ!$A$6:$A$405,0),"")))</f>
        <v/>
      </c>
      <c r="AQ2348" s="16">
        <f>IF(OR($B2348="",$C2348="",$D2348=""),"",DATE($C2348+2018,$D2348,1))</f>
        <v/>
      </c>
    </row>
    <row r="2349">
      <c r="A2349" s="11" t="n"/>
      <c r="B2349" s="12" t="n"/>
      <c r="C2349" s="12" t="n"/>
      <c r="D2349" s="12" t="n"/>
      <c r="E2349" s="13" t="n"/>
      <c r="F2349" s="12" t="n"/>
      <c r="G2349" s="13" t="n"/>
      <c r="H2349" s="12" t="n"/>
      <c r="I2349" s="12" t="n"/>
      <c r="J2349" s="12" t="n"/>
      <c r="K2349" s="12" t="n"/>
      <c r="L2349" s="11" t="n"/>
      <c r="M2349" s="11" t="n"/>
      <c r="N2349" s="11" t="n"/>
      <c r="O2349" s="11" t="n"/>
      <c r="P2349" s="12" t="n"/>
      <c r="Q2349" s="11" t="n"/>
      <c r="R2349" s="12" t="n"/>
      <c r="S2349" s="11" t="n"/>
      <c r="T2349" s="12" t="n"/>
      <c r="U2349" s="12" t="n"/>
      <c r="V2349" s="12" t="n"/>
      <c r="W2349" s="13" t="n"/>
      <c r="X2349" s="14">
        <f>IF($AP2349="",IF($B2349="","",$H2349),IF(INDEX(職員マスタ!$B$6:$B$405,$AP2349)="",$H2349,INDEX(職員マスタ!$B$6:$B$405,$AP2349)))</f>
        <v/>
      </c>
      <c r="Y2349" s="14">
        <f>IF($AP2349="",IF($B2349="","",$R2349),IF(INDEX(職員マスタ!$C$6:$C$405,$AP2349)="",$R2349,INDEX(職員マスタ!$C$6:$C$405,$AP2349)))</f>
        <v/>
      </c>
      <c r="Z2349" s="14">
        <f>IF($AQ2349="","","R"&amp;$C2349&amp;"."&amp;$D2349)</f>
        <v/>
      </c>
      <c r="AA2349" s="15">
        <f>IF(IF($AP2349="",FALSE,INDEX(職員マスタ!$K$6:$K$405,$AP2349)&lt;&gt;""),INDEX(職員マスタ!$K$6:$K$405,$AP2349),IF(N($W2349)&gt;0,$W2349,""))</f>
        <v/>
      </c>
      <c r="AB2349" s="14">
        <f>IF(OR($E2349="",$AA2349=""),"",IF($E2349&gt;=$AA2349,"×",IF($E2349&gt;=$AA2349*設定!$C$5,"△","○")))</f>
        <v/>
      </c>
      <c r="AC2349" s="15">
        <f>IF($AB2349="","",IF($AB2349="×",0,IF($AB2349="○",ROUNDDOWN($E2349*設定!$C$4,0),ROUNDDOWN($E2349*ROUND((9*$AA2349-9*$E2349)/(10*$E2349),4),0))))</f>
        <v/>
      </c>
      <c r="AD2349" s="13" t="n"/>
      <c r="AE2349" s="15">
        <f>IF($B2349="","",IF($AD2349&lt;&gt;"",$AD2349,IF($AC2349="","",IF($AC2349&lt;=設定!$C$3,0,$AC2349))))</f>
        <v/>
      </c>
      <c r="AF2349" s="14">
        <f>IF($B2349="","",IF(AND($AG2349&lt;&gt;"",$AI2349="",$AL2349=""),"保留中",IF($AL2349&lt;&gt;"",IF(N($AE2349)&gt;0,"支給済","不支給"),IF($AE2349="","要確認",IF($AE2349=0,"不支給","未処理")))))</f>
        <v/>
      </c>
      <c r="AG2349" s="12" t="n"/>
      <c r="AH2349" s="11" t="n"/>
      <c r="AI2349" s="11" t="n"/>
      <c r="AJ2349" s="11" t="n"/>
      <c r="AK2349" s="14">
        <f>IF(AND($AF2349="保留中",$AH2349&lt;&gt;""),TODAY()-$AH2349,"")</f>
        <v/>
      </c>
      <c r="AL2349" s="12" t="n"/>
      <c r="AM2349" s="14">
        <f>IF($B2349="","",IF($AQ2349="","対象年月が未入力／","")&amp;IF($B2349="","",IF($AP2349="","職員マスタに未登録の職員番号／",IF($AA2349="","標準報酬月額が未登録／","")&amp;IF(AND($AQ2349&lt;&gt;"",OR(AND(INDEX(職員マスタ!$G$6:$G$405,$AP2349)&lt;&gt;"",INDEX(職員マスタ!$G$6:$G$405,$AP2349)&gt;EOMONTH($AQ2349,0)),AND(INDEX(職員マスタ!$H$6:$H$405,$AP2349)&lt;&gt;"",INDEX(職員マスタ!$H$6:$H$405,$AP2349)&lt;$AQ2349))),"対象月が時短期間外／","")&amp;IF(AND(INDEX(職員マスタ!$K$6:$K$405,$AP2349)&lt;&gt;"",N($W2349)&gt;0,INDEX(職員マスタ!$K$6:$K$405,$AP2349)&lt;&gt;$W2349),"標準報酬月額が申請書と相違（台帳"&amp;TEXT(INDEX(職員マスタ!$K$6:$K$405,$AP2349),"#,##0")&amp;"円／申請書"&amp;TEXT($W2349,"#,##0")&amp;"円）／","")&amp;IF(AND(INDEX(職員マスタ!$F$6:$F$405,$AP2349)&lt;&gt;"",$AQ2349&lt;&gt;"",INDEX(職員マスタ!$F$6:$F$405,$AP2349)&lt;$AQ2349),"対象月に子が2歳到達済／","")&amp;IF(AND($H2349&lt;&gt;"",INDEX(職員マスタ!$B$6:$B$405,$AP2349)&lt;&gt;"",SUBSTITUTE(SUBSTITUTE($H2349," ","")," ","")&lt;&gt;SUBSTITUTE(SUBSTITUTE(INDEX(職員マスタ!$B$6:$B$405,$AP2349)," ","")," ","")),"氏名がマスタと相違／","")&amp;IF(AND($Q2349&lt;&gt;"",INDEX(職員マスタ!$E$6:$E$405,$AP2349)&lt;&gt;"",$Q2349&lt;&gt;INDEX(職員マスタ!$E$6:$E$405,$AP2349)),"子の生年月日がマスタと相違／","")&amp;IF(AND($L2349&lt;&gt;"",INDEX(職員マスタ!$G$6:$G$405,$AP2349)&lt;&gt;"",$L2349&lt;&gt;INDEX(職員マスタ!$G$6:$G$405,$AP2349)),"時短開始日がマスタと相違／","")&amp;IF(AND($M2349&lt;&gt;"",INDEX(職員マスタ!$H$6:$H$405,$AP2349)&lt;&gt;"",$M2349&lt;&gt;INDEX(職員マスタ!$H$6:$H$405,$AP2349)),"時短終了日がマスタと相違／","")))&amp;IF(AND($B2349&lt;&gt;"",$E2349=""),"報酬額が未入力／","")&amp;IF(N($U2349)&gt;0,"申請書に入力エラーが残っています／","")&amp;IF(AND($B2349&lt;&gt;"",$AQ2349&lt;&gt;""),IF(COUNTIFS($B$6:$B$3005,$B2349,$C$6:$C$3005,$C2349,$D$6:$D$3005,$D2349)&gt;1,"同じ月の請求が重複しています／",""),"")&amp;IF(AND(N($E2349)&gt;0,$AB2349&lt;&gt;"",$AB2349&lt;&gt;"×",$AE2349=0,$AD2349=""),"計算額が下限以下のため不支給／",""))</f>
        <v/>
      </c>
      <c r="AN2349" s="12" t="n"/>
      <c r="AO2349" s="14">
        <f>IF($AF2349="保留中",COUNTIF($AF$6:$AF2349,"保留中"),"")</f>
        <v/>
      </c>
      <c r="AP2349" s="14">
        <f>IF($AQ2349="","",IF(SUMPRODUCT(MAX((職員マスタ!$A$6:$A$405=$B2349)*(((職員マスタ!$G$6:$G$405="")+(職員マスタ!$G$6:$G$405&lt;=EOMONTH($AQ2349,0)))&gt;0)*(((職員マスタ!$H$6:$H$405="")+(職員マスタ!$H$6:$H$405&gt;=$AQ2349))&gt;0)*(ROW(職員マスタ!$A$6:$A$405)-5)))&gt;0,SUMPRODUCT(MAX((職員マスタ!$A$6:$A$405=$B2349)*(((職員マスタ!$G$6:$G$405="")+(職員マスタ!$G$6:$G$405&lt;=EOMONTH($AQ2349,0)))&gt;0)*(((職員マスタ!$H$6:$H$405="")+(職員マスタ!$H$6:$H$405&gt;=$AQ2349))&gt;0)*(ROW(職員マスタ!$A$6:$A$405)-5))),IFERROR(MATCH($B2349,職員マスタ!$A$6:$A$405,0),"")))</f>
        <v/>
      </c>
      <c r="AQ2349" s="16">
        <f>IF(OR($B2349="",$C2349="",$D2349=""),"",DATE($C2349+2018,$D2349,1))</f>
        <v/>
      </c>
    </row>
    <row r="2350">
      <c r="A2350" s="11" t="n"/>
      <c r="B2350" s="12" t="n"/>
      <c r="C2350" s="12" t="n"/>
      <c r="D2350" s="12" t="n"/>
      <c r="E2350" s="13" t="n"/>
      <c r="F2350" s="12" t="n"/>
      <c r="G2350" s="13" t="n"/>
      <c r="H2350" s="12" t="n"/>
      <c r="I2350" s="12" t="n"/>
      <c r="J2350" s="12" t="n"/>
      <c r="K2350" s="12" t="n"/>
      <c r="L2350" s="11" t="n"/>
      <c r="M2350" s="11" t="n"/>
      <c r="N2350" s="11" t="n"/>
      <c r="O2350" s="11" t="n"/>
      <c r="P2350" s="12" t="n"/>
      <c r="Q2350" s="11" t="n"/>
      <c r="R2350" s="12" t="n"/>
      <c r="S2350" s="11" t="n"/>
      <c r="T2350" s="12" t="n"/>
      <c r="U2350" s="12" t="n"/>
      <c r="V2350" s="12" t="n"/>
      <c r="W2350" s="13" t="n"/>
      <c r="X2350" s="14">
        <f>IF($AP2350="",IF($B2350="","",$H2350),IF(INDEX(職員マスタ!$B$6:$B$405,$AP2350)="",$H2350,INDEX(職員マスタ!$B$6:$B$405,$AP2350)))</f>
        <v/>
      </c>
      <c r="Y2350" s="14">
        <f>IF($AP2350="",IF($B2350="","",$R2350),IF(INDEX(職員マスタ!$C$6:$C$405,$AP2350)="",$R2350,INDEX(職員マスタ!$C$6:$C$405,$AP2350)))</f>
        <v/>
      </c>
      <c r="Z2350" s="14">
        <f>IF($AQ2350="","","R"&amp;$C2350&amp;"."&amp;$D2350)</f>
        <v/>
      </c>
      <c r="AA2350" s="15">
        <f>IF(IF($AP2350="",FALSE,INDEX(職員マスタ!$K$6:$K$405,$AP2350)&lt;&gt;""),INDEX(職員マスタ!$K$6:$K$405,$AP2350),IF(N($W2350)&gt;0,$W2350,""))</f>
        <v/>
      </c>
      <c r="AB2350" s="14">
        <f>IF(OR($E2350="",$AA2350=""),"",IF($E2350&gt;=$AA2350,"×",IF($E2350&gt;=$AA2350*設定!$C$5,"△","○")))</f>
        <v/>
      </c>
      <c r="AC2350" s="15">
        <f>IF($AB2350="","",IF($AB2350="×",0,IF($AB2350="○",ROUNDDOWN($E2350*設定!$C$4,0),ROUNDDOWN($E2350*ROUND((9*$AA2350-9*$E2350)/(10*$E2350),4),0))))</f>
        <v/>
      </c>
      <c r="AD2350" s="13" t="n"/>
      <c r="AE2350" s="15">
        <f>IF($B2350="","",IF($AD2350&lt;&gt;"",$AD2350,IF($AC2350="","",IF($AC2350&lt;=設定!$C$3,0,$AC2350))))</f>
        <v/>
      </c>
      <c r="AF2350" s="14">
        <f>IF($B2350="","",IF(AND($AG2350&lt;&gt;"",$AI2350="",$AL2350=""),"保留中",IF($AL2350&lt;&gt;"",IF(N($AE2350)&gt;0,"支給済","不支給"),IF($AE2350="","要確認",IF($AE2350=0,"不支給","未処理")))))</f>
        <v/>
      </c>
      <c r="AG2350" s="12" t="n"/>
      <c r="AH2350" s="11" t="n"/>
      <c r="AI2350" s="11" t="n"/>
      <c r="AJ2350" s="11" t="n"/>
      <c r="AK2350" s="14">
        <f>IF(AND($AF2350="保留中",$AH2350&lt;&gt;""),TODAY()-$AH2350,"")</f>
        <v/>
      </c>
      <c r="AL2350" s="12" t="n"/>
      <c r="AM2350" s="14">
        <f>IF($B2350="","",IF($AQ2350="","対象年月が未入力／","")&amp;IF($B2350="","",IF($AP2350="","職員マスタに未登録の職員番号／",IF($AA2350="","標準報酬月額が未登録／","")&amp;IF(AND($AQ2350&lt;&gt;"",OR(AND(INDEX(職員マスタ!$G$6:$G$405,$AP2350)&lt;&gt;"",INDEX(職員マスタ!$G$6:$G$405,$AP2350)&gt;EOMONTH($AQ2350,0)),AND(INDEX(職員マスタ!$H$6:$H$405,$AP2350)&lt;&gt;"",INDEX(職員マスタ!$H$6:$H$405,$AP2350)&lt;$AQ2350))),"対象月が時短期間外／","")&amp;IF(AND(INDEX(職員マスタ!$K$6:$K$405,$AP2350)&lt;&gt;"",N($W2350)&gt;0,INDEX(職員マスタ!$K$6:$K$405,$AP2350)&lt;&gt;$W2350),"標準報酬月額が申請書と相違（台帳"&amp;TEXT(INDEX(職員マスタ!$K$6:$K$405,$AP2350),"#,##0")&amp;"円／申請書"&amp;TEXT($W2350,"#,##0")&amp;"円）／","")&amp;IF(AND(INDEX(職員マスタ!$F$6:$F$405,$AP2350)&lt;&gt;"",$AQ2350&lt;&gt;"",INDEX(職員マスタ!$F$6:$F$405,$AP2350)&lt;$AQ2350),"対象月に子が2歳到達済／","")&amp;IF(AND($H2350&lt;&gt;"",INDEX(職員マスタ!$B$6:$B$405,$AP2350)&lt;&gt;"",SUBSTITUTE(SUBSTITUTE($H2350," ","")," ","")&lt;&gt;SUBSTITUTE(SUBSTITUTE(INDEX(職員マスタ!$B$6:$B$405,$AP2350)," ","")," ","")),"氏名がマスタと相違／","")&amp;IF(AND($Q2350&lt;&gt;"",INDEX(職員マスタ!$E$6:$E$405,$AP2350)&lt;&gt;"",$Q2350&lt;&gt;INDEX(職員マスタ!$E$6:$E$405,$AP2350)),"子の生年月日がマスタと相違／","")&amp;IF(AND($L2350&lt;&gt;"",INDEX(職員マスタ!$G$6:$G$405,$AP2350)&lt;&gt;"",$L2350&lt;&gt;INDEX(職員マスタ!$G$6:$G$405,$AP2350)),"時短開始日がマスタと相違／","")&amp;IF(AND($M2350&lt;&gt;"",INDEX(職員マスタ!$H$6:$H$405,$AP2350)&lt;&gt;"",$M2350&lt;&gt;INDEX(職員マスタ!$H$6:$H$405,$AP2350)),"時短終了日がマスタと相違／","")))&amp;IF(AND($B2350&lt;&gt;"",$E2350=""),"報酬額が未入力／","")&amp;IF(N($U2350)&gt;0,"申請書に入力エラーが残っています／","")&amp;IF(AND($B2350&lt;&gt;"",$AQ2350&lt;&gt;""),IF(COUNTIFS($B$6:$B$3005,$B2350,$C$6:$C$3005,$C2350,$D$6:$D$3005,$D2350)&gt;1,"同じ月の請求が重複しています／",""),"")&amp;IF(AND(N($E2350)&gt;0,$AB2350&lt;&gt;"",$AB2350&lt;&gt;"×",$AE2350=0,$AD2350=""),"計算額が下限以下のため不支給／",""))</f>
        <v/>
      </c>
      <c r="AN2350" s="12" t="n"/>
      <c r="AO2350" s="14">
        <f>IF($AF2350="保留中",COUNTIF($AF$6:$AF2350,"保留中"),"")</f>
        <v/>
      </c>
      <c r="AP2350" s="14">
        <f>IF($AQ2350="","",IF(SUMPRODUCT(MAX((職員マスタ!$A$6:$A$405=$B2350)*(((職員マスタ!$G$6:$G$405="")+(職員マスタ!$G$6:$G$405&lt;=EOMONTH($AQ2350,0)))&gt;0)*(((職員マスタ!$H$6:$H$405="")+(職員マスタ!$H$6:$H$405&gt;=$AQ2350))&gt;0)*(ROW(職員マスタ!$A$6:$A$405)-5)))&gt;0,SUMPRODUCT(MAX((職員マスタ!$A$6:$A$405=$B2350)*(((職員マスタ!$G$6:$G$405="")+(職員マスタ!$G$6:$G$405&lt;=EOMONTH($AQ2350,0)))&gt;0)*(((職員マスタ!$H$6:$H$405="")+(職員マスタ!$H$6:$H$405&gt;=$AQ2350))&gt;0)*(ROW(職員マスタ!$A$6:$A$405)-5))),IFERROR(MATCH($B2350,職員マスタ!$A$6:$A$405,0),"")))</f>
        <v/>
      </c>
      <c r="AQ2350" s="16">
        <f>IF(OR($B2350="",$C2350="",$D2350=""),"",DATE($C2350+2018,$D2350,1))</f>
        <v/>
      </c>
    </row>
    <row r="2351">
      <c r="A2351" s="11" t="n"/>
      <c r="B2351" s="12" t="n"/>
      <c r="C2351" s="12" t="n"/>
      <c r="D2351" s="12" t="n"/>
      <c r="E2351" s="13" t="n"/>
      <c r="F2351" s="12" t="n"/>
      <c r="G2351" s="13" t="n"/>
      <c r="H2351" s="12" t="n"/>
      <c r="I2351" s="12" t="n"/>
      <c r="J2351" s="12" t="n"/>
      <c r="K2351" s="12" t="n"/>
      <c r="L2351" s="11" t="n"/>
      <c r="M2351" s="11" t="n"/>
      <c r="N2351" s="11" t="n"/>
      <c r="O2351" s="11" t="n"/>
      <c r="P2351" s="12" t="n"/>
      <c r="Q2351" s="11" t="n"/>
      <c r="R2351" s="12" t="n"/>
      <c r="S2351" s="11" t="n"/>
      <c r="T2351" s="12" t="n"/>
      <c r="U2351" s="12" t="n"/>
      <c r="V2351" s="12" t="n"/>
      <c r="W2351" s="13" t="n"/>
      <c r="X2351" s="14">
        <f>IF($AP2351="",IF($B2351="","",$H2351),IF(INDEX(職員マスタ!$B$6:$B$405,$AP2351)="",$H2351,INDEX(職員マスタ!$B$6:$B$405,$AP2351)))</f>
        <v/>
      </c>
      <c r="Y2351" s="14">
        <f>IF($AP2351="",IF($B2351="","",$R2351),IF(INDEX(職員マスタ!$C$6:$C$405,$AP2351)="",$R2351,INDEX(職員マスタ!$C$6:$C$405,$AP2351)))</f>
        <v/>
      </c>
      <c r="Z2351" s="14">
        <f>IF($AQ2351="","","R"&amp;$C2351&amp;"."&amp;$D2351)</f>
        <v/>
      </c>
      <c r="AA2351" s="15">
        <f>IF(IF($AP2351="",FALSE,INDEX(職員マスタ!$K$6:$K$405,$AP2351)&lt;&gt;""),INDEX(職員マスタ!$K$6:$K$405,$AP2351),IF(N($W2351)&gt;0,$W2351,""))</f>
        <v/>
      </c>
      <c r="AB2351" s="14">
        <f>IF(OR($E2351="",$AA2351=""),"",IF($E2351&gt;=$AA2351,"×",IF($E2351&gt;=$AA2351*設定!$C$5,"△","○")))</f>
        <v/>
      </c>
      <c r="AC2351" s="15">
        <f>IF($AB2351="","",IF($AB2351="×",0,IF($AB2351="○",ROUNDDOWN($E2351*設定!$C$4,0),ROUNDDOWN($E2351*ROUND((9*$AA2351-9*$E2351)/(10*$E2351),4),0))))</f>
        <v/>
      </c>
      <c r="AD2351" s="13" t="n"/>
      <c r="AE2351" s="15">
        <f>IF($B2351="","",IF($AD2351&lt;&gt;"",$AD2351,IF($AC2351="","",IF($AC2351&lt;=設定!$C$3,0,$AC2351))))</f>
        <v/>
      </c>
      <c r="AF2351" s="14">
        <f>IF($B2351="","",IF(AND($AG2351&lt;&gt;"",$AI2351="",$AL2351=""),"保留中",IF($AL2351&lt;&gt;"",IF(N($AE2351)&gt;0,"支給済","不支給"),IF($AE2351="","要確認",IF($AE2351=0,"不支給","未処理")))))</f>
        <v/>
      </c>
      <c r="AG2351" s="12" t="n"/>
      <c r="AH2351" s="11" t="n"/>
      <c r="AI2351" s="11" t="n"/>
      <c r="AJ2351" s="11" t="n"/>
      <c r="AK2351" s="14">
        <f>IF(AND($AF2351="保留中",$AH2351&lt;&gt;""),TODAY()-$AH2351,"")</f>
        <v/>
      </c>
      <c r="AL2351" s="12" t="n"/>
      <c r="AM2351" s="14">
        <f>IF($B2351="","",IF($AQ2351="","対象年月が未入力／","")&amp;IF($B2351="","",IF($AP2351="","職員マスタに未登録の職員番号／",IF($AA2351="","標準報酬月額が未登録／","")&amp;IF(AND($AQ2351&lt;&gt;"",OR(AND(INDEX(職員マスタ!$G$6:$G$405,$AP2351)&lt;&gt;"",INDEX(職員マスタ!$G$6:$G$405,$AP2351)&gt;EOMONTH($AQ2351,0)),AND(INDEX(職員マスタ!$H$6:$H$405,$AP2351)&lt;&gt;"",INDEX(職員マスタ!$H$6:$H$405,$AP2351)&lt;$AQ2351))),"対象月が時短期間外／","")&amp;IF(AND(INDEX(職員マスタ!$K$6:$K$405,$AP2351)&lt;&gt;"",N($W2351)&gt;0,INDEX(職員マスタ!$K$6:$K$405,$AP2351)&lt;&gt;$W2351),"標準報酬月額が申請書と相違（台帳"&amp;TEXT(INDEX(職員マスタ!$K$6:$K$405,$AP2351),"#,##0")&amp;"円／申請書"&amp;TEXT($W2351,"#,##0")&amp;"円）／","")&amp;IF(AND(INDEX(職員マスタ!$F$6:$F$405,$AP2351)&lt;&gt;"",$AQ2351&lt;&gt;"",INDEX(職員マスタ!$F$6:$F$405,$AP2351)&lt;$AQ2351),"対象月に子が2歳到達済／","")&amp;IF(AND($H2351&lt;&gt;"",INDEX(職員マスタ!$B$6:$B$405,$AP2351)&lt;&gt;"",SUBSTITUTE(SUBSTITUTE($H2351," ","")," ","")&lt;&gt;SUBSTITUTE(SUBSTITUTE(INDEX(職員マスタ!$B$6:$B$405,$AP2351)," ","")," ","")),"氏名がマスタと相違／","")&amp;IF(AND($Q2351&lt;&gt;"",INDEX(職員マスタ!$E$6:$E$405,$AP2351)&lt;&gt;"",$Q2351&lt;&gt;INDEX(職員マスタ!$E$6:$E$405,$AP2351)),"子の生年月日がマスタと相違／","")&amp;IF(AND($L2351&lt;&gt;"",INDEX(職員マスタ!$G$6:$G$405,$AP2351)&lt;&gt;"",$L2351&lt;&gt;INDEX(職員マスタ!$G$6:$G$405,$AP2351)),"時短開始日がマスタと相違／","")&amp;IF(AND($M2351&lt;&gt;"",INDEX(職員マスタ!$H$6:$H$405,$AP2351)&lt;&gt;"",$M2351&lt;&gt;INDEX(職員マスタ!$H$6:$H$405,$AP2351)),"時短終了日がマスタと相違／","")))&amp;IF(AND($B2351&lt;&gt;"",$E2351=""),"報酬額が未入力／","")&amp;IF(N($U2351)&gt;0,"申請書に入力エラーが残っています／","")&amp;IF(AND($B2351&lt;&gt;"",$AQ2351&lt;&gt;""),IF(COUNTIFS($B$6:$B$3005,$B2351,$C$6:$C$3005,$C2351,$D$6:$D$3005,$D2351)&gt;1,"同じ月の請求が重複しています／",""),"")&amp;IF(AND(N($E2351)&gt;0,$AB2351&lt;&gt;"",$AB2351&lt;&gt;"×",$AE2351=0,$AD2351=""),"計算額が下限以下のため不支給／",""))</f>
        <v/>
      </c>
      <c r="AN2351" s="12" t="n"/>
      <c r="AO2351" s="14">
        <f>IF($AF2351="保留中",COUNTIF($AF$6:$AF2351,"保留中"),"")</f>
        <v/>
      </c>
      <c r="AP2351" s="14">
        <f>IF($AQ2351="","",IF(SUMPRODUCT(MAX((職員マスタ!$A$6:$A$405=$B2351)*(((職員マスタ!$G$6:$G$405="")+(職員マスタ!$G$6:$G$405&lt;=EOMONTH($AQ2351,0)))&gt;0)*(((職員マスタ!$H$6:$H$405="")+(職員マスタ!$H$6:$H$405&gt;=$AQ2351))&gt;0)*(ROW(職員マスタ!$A$6:$A$405)-5)))&gt;0,SUMPRODUCT(MAX((職員マスタ!$A$6:$A$405=$B2351)*(((職員マスタ!$G$6:$G$405="")+(職員マスタ!$G$6:$G$405&lt;=EOMONTH($AQ2351,0)))&gt;0)*(((職員マスタ!$H$6:$H$405="")+(職員マスタ!$H$6:$H$405&gt;=$AQ2351))&gt;0)*(ROW(職員マスタ!$A$6:$A$405)-5))),IFERROR(MATCH($B2351,職員マスタ!$A$6:$A$405,0),"")))</f>
        <v/>
      </c>
      <c r="AQ2351" s="16">
        <f>IF(OR($B2351="",$C2351="",$D2351=""),"",DATE($C2351+2018,$D2351,1))</f>
        <v/>
      </c>
    </row>
    <row r="2352">
      <c r="A2352" s="11" t="n"/>
      <c r="B2352" s="12" t="n"/>
      <c r="C2352" s="12" t="n"/>
      <c r="D2352" s="12" t="n"/>
      <c r="E2352" s="13" t="n"/>
      <c r="F2352" s="12" t="n"/>
      <c r="G2352" s="13" t="n"/>
      <c r="H2352" s="12" t="n"/>
      <c r="I2352" s="12" t="n"/>
      <c r="J2352" s="12" t="n"/>
      <c r="K2352" s="12" t="n"/>
      <c r="L2352" s="11" t="n"/>
      <c r="M2352" s="11" t="n"/>
      <c r="N2352" s="11" t="n"/>
      <c r="O2352" s="11" t="n"/>
      <c r="P2352" s="12" t="n"/>
      <c r="Q2352" s="11" t="n"/>
      <c r="R2352" s="12" t="n"/>
      <c r="S2352" s="11" t="n"/>
      <c r="T2352" s="12" t="n"/>
      <c r="U2352" s="12" t="n"/>
      <c r="V2352" s="12" t="n"/>
      <c r="W2352" s="13" t="n"/>
      <c r="X2352" s="14">
        <f>IF($AP2352="",IF($B2352="","",$H2352),IF(INDEX(職員マスタ!$B$6:$B$405,$AP2352)="",$H2352,INDEX(職員マスタ!$B$6:$B$405,$AP2352)))</f>
        <v/>
      </c>
      <c r="Y2352" s="14">
        <f>IF($AP2352="",IF($B2352="","",$R2352),IF(INDEX(職員マスタ!$C$6:$C$405,$AP2352)="",$R2352,INDEX(職員マスタ!$C$6:$C$405,$AP2352)))</f>
        <v/>
      </c>
      <c r="Z2352" s="14">
        <f>IF($AQ2352="","","R"&amp;$C2352&amp;"."&amp;$D2352)</f>
        <v/>
      </c>
      <c r="AA2352" s="15">
        <f>IF(IF($AP2352="",FALSE,INDEX(職員マスタ!$K$6:$K$405,$AP2352)&lt;&gt;""),INDEX(職員マスタ!$K$6:$K$405,$AP2352),IF(N($W2352)&gt;0,$W2352,""))</f>
        <v/>
      </c>
      <c r="AB2352" s="14">
        <f>IF(OR($E2352="",$AA2352=""),"",IF($E2352&gt;=$AA2352,"×",IF($E2352&gt;=$AA2352*設定!$C$5,"△","○")))</f>
        <v/>
      </c>
      <c r="AC2352" s="15">
        <f>IF($AB2352="","",IF($AB2352="×",0,IF($AB2352="○",ROUNDDOWN($E2352*設定!$C$4,0),ROUNDDOWN($E2352*ROUND((9*$AA2352-9*$E2352)/(10*$E2352),4),0))))</f>
        <v/>
      </c>
      <c r="AD2352" s="13" t="n"/>
      <c r="AE2352" s="15">
        <f>IF($B2352="","",IF($AD2352&lt;&gt;"",$AD2352,IF($AC2352="","",IF($AC2352&lt;=設定!$C$3,0,$AC2352))))</f>
        <v/>
      </c>
      <c r="AF2352" s="14">
        <f>IF($B2352="","",IF(AND($AG2352&lt;&gt;"",$AI2352="",$AL2352=""),"保留中",IF($AL2352&lt;&gt;"",IF(N($AE2352)&gt;0,"支給済","不支給"),IF($AE2352="","要確認",IF($AE2352=0,"不支給","未処理")))))</f>
        <v/>
      </c>
      <c r="AG2352" s="12" t="n"/>
      <c r="AH2352" s="11" t="n"/>
      <c r="AI2352" s="11" t="n"/>
      <c r="AJ2352" s="11" t="n"/>
      <c r="AK2352" s="14">
        <f>IF(AND($AF2352="保留中",$AH2352&lt;&gt;""),TODAY()-$AH2352,"")</f>
        <v/>
      </c>
      <c r="AL2352" s="12" t="n"/>
      <c r="AM2352" s="14">
        <f>IF($B2352="","",IF($AQ2352="","対象年月が未入力／","")&amp;IF($B2352="","",IF($AP2352="","職員マスタに未登録の職員番号／",IF($AA2352="","標準報酬月額が未登録／","")&amp;IF(AND($AQ2352&lt;&gt;"",OR(AND(INDEX(職員マスタ!$G$6:$G$405,$AP2352)&lt;&gt;"",INDEX(職員マスタ!$G$6:$G$405,$AP2352)&gt;EOMONTH($AQ2352,0)),AND(INDEX(職員マスタ!$H$6:$H$405,$AP2352)&lt;&gt;"",INDEX(職員マスタ!$H$6:$H$405,$AP2352)&lt;$AQ2352))),"対象月が時短期間外／","")&amp;IF(AND(INDEX(職員マスタ!$K$6:$K$405,$AP2352)&lt;&gt;"",N($W2352)&gt;0,INDEX(職員マスタ!$K$6:$K$405,$AP2352)&lt;&gt;$W2352),"標準報酬月額が申請書と相違（台帳"&amp;TEXT(INDEX(職員マスタ!$K$6:$K$405,$AP2352),"#,##0")&amp;"円／申請書"&amp;TEXT($W2352,"#,##0")&amp;"円）／","")&amp;IF(AND(INDEX(職員マスタ!$F$6:$F$405,$AP2352)&lt;&gt;"",$AQ2352&lt;&gt;"",INDEX(職員マスタ!$F$6:$F$405,$AP2352)&lt;$AQ2352),"対象月に子が2歳到達済／","")&amp;IF(AND($H2352&lt;&gt;"",INDEX(職員マスタ!$B$6:$B$405,$AP2352)&lt;&gt;"",SUBSTITUTE(SUBSTITUTE($H2352," ","")," ","")&lt;&gt;SUBSTITUTE(SUBSTITUTE(INDEX(職員マスタ!$B$6:$B$405,$AP2352)," ","")," ","")),"氏名がマスタと相違／","")&amp;IF(AND($Q2352&lt;&gt;"",INDEX(職員マスタ!$E$6:$E$405,$AP2352)&lt;&gt;"",$Q2352&lt;&gt;INDEX(職員マスタ!$E$6:$E$405,$AP2352)),"子の生年月日がマスタと相違／","")&amp;IF(AND($L2352&lt;&gt;"",INDEX(職員マスタ!$G$6:$G$405,$AP2352)&lt;&gt;"",$L2352&lt;&gt;INDEX(職員マスタ!$G$6:$G$405,$AP2352)),"時短開始日がマスタと相違／","")&amp;IF(AND($M2352&lt;&gt;"",INDEX(職員マスタ!$H$6:$H$405,$AP2352)&lt;&gt;"",$M2352&lt;&gt;INDEX(職員マスタ!$H$6:$H$405,$AP2352)),"時短終了日がマスタと相違／","")))&amp;IF(AND($B2352&lt;&gt;"",$E2352=""),"報酬額が未入力／","")&amp;IF(N($U2352)&gt;0,"申請書に入力エラーが残っています／","")&amp;IF(AND($B2352&lt;&gt;"",$AQ2352&lt;&gt;""),IF(COUNTIFS($B$6:$B$3005,$B2352,$C$6:$C$3005,$C2352,$D$6:$D$3005,$D2352)&gt;1,"同じ月の請求が重複しています／",""),"")&amp;IF(AND(N($E2352)&gt;0,$AB2352&lt;&gt;"",$AB2352&lt;&gt;"×",$AE2352=0,$AD2352=""),"計算額が下限以下のため不支給／",""))</f>
        <v/>
      </c>
      <c r="AN2352" s="12" t="n"/>
      <c r="AO2352" s="14">
        <f>IF($AF2352="保留中",COUNTIF($AF$6:$AF2352,"保留中"),"")</f>
        <v/>
      </c>
      <c r="AP2352" s="14">
        <f>IF($AQ2352="","",IF(SUMPRODUCT(MAX((職員マスタ!$A$6:$A$405=$B2352)*(((職員マスタ!$G$6:$G$405="")+(職員マスタ!$G$6:$G$405&lt;=EOMONTH($AQ2352,0)))&gt;0)*(((職員マスタ!$H$6:$H$405="")+(職員マスタ!$H$6:$H$405&gt;=$AQ2352))&gt;0)*(ROW(職員マスタ!$A$6:$A$405)-5)))&gt;0,SUMPRODUCT(MAX((職員マスタ!$A$6:$A$405=$B2352)*(((職員マスタ!$G$6:$G$405="")+(職員マスタ!$G$6:$G$405&lt;=EOMONTH($AQ2352,0)))&gt;0)*(((職員マスタ!$H$6:$H$405="")+(職員マスタ!$H$6:$H$405&gt;=$AQ2352))&gt;0)*(ROW(職員マスタ!$A$6:$A$405)-5))),IFERROR(MATCH($B2352,職員マスタ!$A$6:$A$405,0),"")))</f>
        <v/>
      </c>
      <c r="AQ2352" s="16">
        <f>IF(OR($B2352="",$C2352="",$D2352=""),"",DATE($C2352+2018,$D2352,1))</f>
        <v/>
      </c>
    </row>
    <row r="2353">
      <c r="A2353" s="11" t="n"/>
      <c r="B2353" s="12" t="n"/>
      <c r="C2353" s="12" t="n"/>
      <c r="D2353" s="12" t="n"/>
      <c r="E2353" s="13" t="n"/>
      <c r="F2353" s="12" t="n"/>
      <c r="G2353" s="13" t="n"/>
      <c r="H2353" s="12" t="n"/>
      <c r="I2353" s="12" t="n"/>
      <c r="J2353" s="12" t="n"/>
      <c r="K2353" s="12" t="n"/>
      <c r="L2353" s="11" t="n"/>
      <c r="M2353" s="11" t="n"/>
      <c r="N2353" s="11" t="n"/>
      <c r="O2353" s="11" t="n"/>
      <c r="P2353" s="12" t="n"/>
      <c r="Q2353" s="11" t="n"/>
      <c r="R2353" s="12" t="n"/>
      <c r="S2353" s="11" t="n"/>
      <c r="T2353" s="12" t="n"/>
      <c r="U2353" s="12" t="n"/>
      <c r="V2353" s="12" t="n"/>
      <c r="W2353" s="13" t="n"/>
      <c r="X2353" s="14">
        <f>IF($AP2353="",IF($B2353="","",$H2353),IF(INDEX(職員マスタ!$B$6:$B$405,$AP2353)="",$H2353,INDEX(職員マスタ!$B$6:$B$405,$AP2353)))</f>
        <v/>
      </c>
      <c r="Y2353" s="14">
        <f>IF($AP2353="",IF($B2353="","",$R2353),IF(INDEX(職員マスタ!$C$6:$C$405,$AP2353)="",$R2353,INDEX(職員マスタ!$C$6:$C$405,$AP2353)))</f>
        <v/>
      </c>
      <c r="Z2353" s="14">
        <f>IF($AQ2353="","","R"&amp;$C2353&amp;"."&amp;$D2353)</f>
        <v/>
      </c>
      <c r="AA2353" s="15">
        <f>IF(IF($AP2353="",FALSE,INDEX(職員マスタ!$K$6:$K$405,$AP2353)&lt;&gt;""),INDEX(職員マスタ!$K$6:$K$405,$AP2353),IF(N($W2353)&gt;0,$W2353,""))</f>
        <v/>
      </c>
      <c r="AB2353" s="14">
        <f>IF(OR($E2353="",$AA2353=""),"",IF($E2353&gt;=$AA2353,"×",IF($E2353&gt;=$AA2353*設定!$C$5,"△","○")))</f>
        <v/>
      </c>
      <c r="AC2353" s="15">
        <f>IF($AB2353="","",IF($AB2353="×",0,IF($AB2353="○",ROUNDDOWN($E2353*設定!$C$4,0),ROUNDDOWN($E2353*ROUND((9*$AA2353-9*$E2353)/(10*$E2353),4),0))))</f>
        <v/>
      </c>
      <c r="AD2353" s="13" t="n"/>
      <c r="AE2353" s="15">
        <f>IF($B2353="","",IF($AD2353&lt;&gt;"",$AD2353,IF($AC2353="","",IF($AC2353&lt;=設定!$C$3,0,$AC2353))))</f>
        <v/>
      </c>
      <c r="AF2353" s="14">
        <f>IF($B2353="","",IF(AND($AG2353&lt;&gt;"",$AI2353="",$AL2353=""),"保留中",IF($AL2353&lt;&gt;"",IF(N($AE2353)&gt;0,"支給済","不支給"),IF($AE2353="","要確認",IF($AE2353=0,"不支給","未処理")))))</f>
        <v/>
      </c>
      <c r="AG2353" s="12" t="n"/>
      <c r="AH2353" s="11" t="n"/>
      <c r="AI2353" s="11" t="n"/>
      <c r="AJ2353" s="11" t="n"/>
      <c r="AK2353" s="14">
        <f>IF(AND($AF2353="保留中",$AH2353&lt;&gt;""),TODAY()-$AH2353,"")</f>
        <v/>
      </c>
      <c r="AL2353" s="12" t="n"/>
      <c r="AM2353" s="14">
        <f>IF($B2353="","",IF($AQ2353="","対象年月が未入力／","")&amp;IF($B2353="","",IF($AP2353="","職員マスタに未登録の職員番号／",IF($AA2353="","標準報酬月額が未登録／","")&amp;IF(AND($AQ2353&lt;&gt;"",OR(AND(INDEX(職員マスタ!$G$6:$G$405,$AP2353)&lt;&gt;"",INDEX(職員マスタ!$G$6:$G$405,$AP2353)&gt;EOMONTH($AQ2353,0)),AND(INDEX(職員マスタ!$H$6:$H$405,$AP2353)&lt;&gt;"",INDEX(職員マスタ!$H$6:$H$405,$AP2353)&lt;$AQ2353))),"対象月が時短期間外／","")&amp;IF(AND(INDEX(職員マスタ!$K$6:$K$405,$AP2353)&lt;&gt;"",N($W2353)&gt;0,INDEX(職員マスタ!$K$6:$K$405,$AP2353)&lt;&gt;$W2353),"標準報酬月額が申請書と相違（台帳"&amp;TEXT(INDEX(職員マスタ!$K$6:$K$405,$AP2353),"#,##0")&amp;"円／申請書"&amp;TEXT($W2353,"#,##0")&amp;"円）／","")&amp;IF(AND(INDEX(職員マスタ!$F$6:$F$405,$AP2353)&lt;&gt;"",$AQ2353&lt;&gt;"",INDEX(職員マスタ!$F$6:$F$405,$AP2353)&lt;$AQ2353),"対象月に子が2歳到達済／","")&amp;IF(AND($H2353&lt;&gt;"",INDEX(職員マスタ!$B$6:$B$405,$AP2353)&lt;&gt;"",SUBSTITUTE(SUBSTITUTE($H2353," ","")," ","")&lt;&gt;SUBSTITUTE(SUBSTITUTE(INDEX(職員マスタ!$B$6:$B$405,$AP2353)," ","")," ","")),"氏名がマスタと相違／","")&amp;IF(AND($Q2353&lt;&gt;"",INDEX(職員マスタ!$E$6:$E$405,$AP2353)&lt;&gt;"",$Q2353&lt;&gt;INDEX(職員マスタ!$E$6:$E$405,$AP2353)),"子の生年月日がマスタと相違／","")&amp;IF(AND($L2353&lt;&gt;"",INDEX(職員マスタ!$G$6:$G$405,$AP2353)&lt;&gt;"",$L2353&lt;&gt;INDEX(職員マスタ!$G$6:$G$405,$AP2353)),"時短開始日がマスタと相違／","")&amp;IF(AND($M2353&lt;&gt;"",INDEX(職員マスタ!$H$6:$H$405,$AP2353)&lt;&gt;"",$M2353&lt;&gt;INDEX(職員マスタ!$H$6:$H$405,$AP2353)),"時短終了日がマスタと相違／","")))&amp;IF(AND($B2353&lt;&gt;"",$E2353=""),"報酬額が未入力／","")&amp;IF(N($U2353)&gt;0,"申請書に入力エラーが残っています／","")&amp;IF(AND($B2353&lt;&gt;"",$AQ2353&lt;&gt;""),IF(COUNTIFS($B$6:$B$3005,$B2353,$C$6:$C$3005,$C2353,$D$6:$D$3005,$D2353)&gt;1,"同じ月の請求が重複しています／",""),"")&amp;IF(AND(N($E2353)&gt;0,$AB2353&lt;&gt;"",$AB2353&lt;&gt;"×",$AE2353=0,$AD2353=""),"計算額が下限以下のため不支給／",""))</f>
        <v/>
      </c>
      <c r="AN2353" s="12" t="n"/>
      <c r="AO2353" s="14">
        <f>IF($AF2353="保留中",COUNTIF($AF$6:$AF2353,"保留中"),"")</f>
        <v/>
      </c>
      <c r="AP2353" s="14">
        <f>IF($AQ2353="","",IF(SUMPRODUCT(MAX((職員マスタ!$A$6:$A$405=$B2353)*(((職員マスタ!$G$6:$G$405="")+(職員マスタ!$G$6:$G$405&lt;=EOMONTH($AQ2353,0)))&gt;0)*(((職員マスタ!$H$6:$H$405="")+(職員マスタ!$H$6:$H$405&gt;=$AQ2353))&gt;0)*(ROW(職員マスタ!$A$6:$A$405)-5)))&gt;0,SUMPRODUCT(MAX((職員マスタ!$A$6:$A$405=$B2353)*(((職員マスタ!$G$6:$G$405="")+(職員マスタ!$G$6:$G$405&lt;=EOMONTH($AQ2353,0)))&gt;0)*(((職員マスタ!$H$6:$H$405="")+(職員マスタ!$H$6:$H$405&gt;=$AQ2353))&gt;0)*(ROW(職員マスタ!$A$6:$A$405)-5))),IFERROR(MATCH($B2353,職員マスタ!$A$6:$A$405,0),"")))</f>
        <v/>
      </c>
      <c r="AQ2353" s="16">
        <f>IF(OR($B2353="",$C2353="",$D2353=""),"",DATE($C2353+2018,$D2353,1))</f>
        <v/>
      </c>
    </row>
    <row r="2354">
      <c r="A2354" s="11" t="n"/>
      <c r="B2354" s="12" t="n"/>
      <c r="C2354" s="12" t="n"/>
      <c r="D2354" s="12" t="n"/>
      <c r="E2354" s="13" t="n"/>
      <c r="F2354" s="12" t="n"/>
      <c r="G2354" s="13" t="n"/>
      <c r="H2354" s="12" t="n"/>
      <c r="I2354" s="12" t="n"/>
      <c r="J2354" s="12" t="n"/>
      <c r="K2354" s="12" t="n"/>
      <c r="L2354" s="11" t="n"/>
      <c r="M2354" s="11" t="n"/>
      <c r="N2354" s="11" t="n"/>
      <c r="O2354" s="11" t="n"/>
      <c r="P2354" s="12" t="n"/>
      <c r="Q2354" s="11" t="n"/>
      <c r="R2354" s="12" t="n"/>
      <c r="S2354" s="11" t="n"/>
      <c r="T2354" s="12" t="n"/>
      <c r="U2354" s="12" t="n"/>
      <c r="V2354" s="12" t="n"/>
      <c r="W2354" s="13" t="n"/>
      <c r="X2354" s="14">
        <f>IF($AP2354="",IF($B2354="","",$H2354),IF(INDEX(職員マスタ!$B$6:$B$405,$AP2354)="",$H2354,INDEX(職員マスタ!$B$6:$B$405,$AP2354)))</f>
        <v/>
      </c>
      <c r="Y2354" s="14">
        <f>IF($AP2354="",IF($B2354="","",$R2354),IF(INDEX(職員マスタ!$C$6:$C$405,$AP2354)="",$R2354,INDEX(職員マスタ!$C$6:$C$405,$AP2354)))</f>
        <v/>
      </c>
      <c r="Z2354" s="14">
        <f>IF($AQ2354="","","R"&amp;$C2354&amp;"."&amp;$D2354)</f>
        <v/>
      </c>
      <c r="AA2354" s="15">
        <f>IF(IF($AP2354="",FALSE,INDEX(職員マスタ!$K$6:$K$405,$AP2354)&lt;&gt;""),INDEX(職員マスタ!$K$6:$K$405,$AP2354),IF(N($W2354)&gt;0,$W2354,""))</f>
        <v/>
      </c>
      <c r="AB2354" s="14">
        <f>IF(OR($E2354="",$AA2354=""),"",IF($E2354&gt;=$AA2354,"×",IF($E2354&gt;=$AA2354*設定!$C$5,"△","○")))</f>
        <v/>
      </c>
      <c r="AC2354" s="15">
        <f>IF($AB2354="","",IF($AB2354="×",0,IF($AB2354="○",ROUNDDOWN($E2354*設定!$C$4,0),ROUNDDOWN($E2354*ROUND((9*$AA2354-9*$E2354)/(10*$E2354),4),0))))</f>
        <v/>
      </c>
      <c r="AD2354" s="13" t="n"/>
      <c r="AE2354" s="15">
        <f>IF($B2354="","",IF($AD2354&lt;&gt;"",$AD2354,IF($AC2354="","",IF($AC2354&lt;=設定!$C$3,0,$AC2354))))</f>
        <v/>
      </c>
      <c r="AF2354" s="14">
        <f>IF($B2354="","",IF(AND($AG2354&lt;&gt;"",$AI2354="",$AL2354=""),"保留中",IF($AL2354&lt;&gt;"",IF(N($AE2354)&gt;0,"支給済","不支給"),IF($AE2354="","要確認",IF($AE2354=0,"不支給","未処理")))))</f>
        <v/>
      </c>
      <c r="AG2354" s="12" t="n"/>
      <c r="AH2354" s="11" t="n"/>
      <c r="AI2354" s="11" t="n"/>
      <c r="AJ2354" s="11" t="n"/>
      <c r="AK2354" s="14">
        <f>IF(AND($AF2354="保留中",$AH2354&lt;&gt;""),TODAY()-$AH2354,"")</f>
        <v/>
      </c>
      <c r="AL2354" s="12" t="n"/>
      <c r="AM2354" s="14">
        <f>IF($B2354="","",IF($AQ2354="","対象年月が未入力／","")&amp;IF($B2354="","",IF($AP2354="","職員マスタに未登録の職員番号／",IF($AA2354="","標準報酬月額が未登録／","")&amp;IF(AND($AQ2354&lt;&gt;"",OR(AND(INDEX(職員マスタ!$G$6:$G$405,$AP2354)&lt;&gt;"",INDEX(職員マスタ!$G$6:$G$405,$AP2354)&gt;EOMONTH($AQ2354,0)),AND(INDEX(職員マスタ!$H$6:$H$405,$AP2354)&lt;&gt;"",INDEX(職員マスタ!$H$6:$H$405,$AP2354)&lt;$AQ2354))),"対象月が時短期間外／","")&amp;IF(AND(INDEX(職員マスタ!$K$6:$K$405,$AP2354)&lt;&gt;"",N($W2354)&gt;0,INDEX(職員マスタ!$K$6:$K$405,$AP2354)&lt;&gt;$W2354),"標準報酬月額が申請書と相違（台帳"&amp;TEXT(INDEX(職員マスタ!$K$6:$K$405,$AP2354),"#,##0")&amp;"円／申請書"&amp;TEXT($W2354,"#,##0")&amp;"円）／","")&amp;IF(AND(INDEX(職員マスタ!$F$6:$F$405,$AP2354)&lt;&gt;"",$AQ2354&lt;&gt;"",INDEX(職員マスタ!$F$6:$F$405,$AP2354)&lt;$AQ2354),"対象月に子が2歳到達済／","")&amp;IF(AND($H2354&lt;&gt;"",INDEX(職員マスタ!$B$6:$B$405,$AP2354)&lt;&gt;"",SUBSTITUTE(SUBSTITUTE($H2354," ","")," ","")&lt;&gt;SUBSTITUTE(SUBSTITUTE(INDEX(職員マスタ!$B$6:$B$405,$AP2354)," ","")," ","")),"氏名がマスタと相違／","")&amp;IF(AND($Q2354&lt;&gt;"",INDEX(職員マスタ!$E$6:$E$405,$AP2354)&lt;&gt;"",$Q2354&lt;&gt;INDEX(職員マスタ!$E$6:$E$405,$AP2354)),"子の生年月日がマスタと相違／","")&amp;IF(AND($L2354&lt;&gt;"",INDEX(職員マスタ!$G$6:$G$405,$AP2354)&lt;&gt;"",$L2354&lt;&gt;INDEX(職員マスタ!$G$6:$G$405,$AP2354)),"時短開始日がマスタと相違／","")&amp;IF(AND($M2354&lt;&gt;"",INDEX(職員マスタ!$H$6:$H$405,$AP2354)&lt;&gt;"",$M2354&lt;&gt;INDEX(職員マスタ!$H$6:$H$405,$AP2354)),"時短終了日がマスタと相違／","")))&amp;IF(AND($B2354&lt;&gt;"",$E2354=""),"報酬額が未入力／","")&amp;IF(N($U2354)&gt;0,"申請書に入力エラーが残っています／","")&amp;IF(AND($B2354&lt;&gt;"",$AQ2354&lt;&gt;""),IF(COUNTIFS($B$6:$B$3005,$B2354,$C$6:$C$3005,$C2354,$D$6:$D$3005,$D2354)&gt;1,"同じ月の請求が重複しています／",""),"")&amp;IF(AND(N($E2354)&gt;0,$AB2354&lt;&gt;"",$AB2354&lt;&gt;"×",$AE2354=0,$AD2354=""),"計算額が下限以下のため不支給／",""))</f>
        <v/>
      </c>
      <c r="AN2354" s="12" t="n"/>
      <c r="AO2354" s="14">
        <f>IF($AF2354="保留中",COUNTIF($AF$6:$AF2354,"保留中"),"")</f>
        <v/>
      </c>
      <c r="AP2354" s="14">
        <f>IF($AQ2354="","",IF(SUMPRODUCT(MAX((職員マスタ!$A$6:$A$405=$B2354)*(((職員マスタ!$G$6:$G$405="")+(職員マスタ!$G$6:$G$405&lt;=EOMONTH($AQ2354,0)))&gt;0)*(((職員マスタ!$H$6:$H$405="")+(職員マスタ!$H$6:$H$405&gt;=$AQ2354))&gt;0)*(ROW(職員マスタ!$A$6:$A$405)-5)))&gt;0,SUMPRODUCT(MAX((職員マスタ!$A$6:$A$405=$B2354)*(((職員マスタ!$G$6:$G$405="")+(職員マスタ!$G$6:$G$405&lt;=EOMONTH($AQ2354,0)))&gt;0)*(((職員マスタ!$H$6:$H$405="")+(職員マスタ!$H$6:$H$405&gt;=$AQ2354))&gt;0)*(ROW(職員マスタ!$A$6:$A$405)-5))),IFERROR(MATCH($B2354,職員マスタ!$A$6:$A$405,0),"")))</f>
        <v/>
      </c>
      <c r="AQ2354" s="16">
        <f>IF(OR($B2354="",$C2354="",$D2354=""),"",DATE($C2354+2018,$D2354,1))</f>
        <v/>
      </c>
    </row>
    <row r="2355">
      <c r="A2355" s="11" t="n"/>
      <c r="B2355" s="12" t="n"/>
      <c r="C2355" s="12" t="n"/>
      <c r="D2355" s="12" t="n"/>
      <c r="E2355" s="13" t="n"/>
      <c r="F2355" s="12" t="n"/>
      <c r="G2355" s="13" t="n"/>
      <c r="H2355" s="12" t="n"/>
      <c r="I2355" s="12" t="n"/>
      <c r="J2355" s="12" t="n"/>
      <c r="K2355" s="12" t="n"/>
      <c r="L2355" s="11" t="n"/>
      <c r="M2355" s="11" t="n"/>
      <c r="N2355" s="11" t="n"/>
      <c r="O2355" s="11" t="n"/>
      <c r="P2355" s="12" t="n"/>
      <c r="Q2355" s="11" t="n"/>
      <c r="R2355" s="12" t="n"/>
      <c r="S2355" s="11" t="n"/>
      <c r="T2355" s="12" t="n"/>
      <c r="U2355" s="12" t="n"/>
      <c r="V2355" s="12" t="n"/>
      <c r="W2355" s="13" t="n"/>
      <c r="X2355" s="14">
        <f>IF($AP2355="",IF($B2355="","",$H2355),IF(INDEX(職員マスタ!$B$6:$B$405,$AP2355)="",$H2355,INDEX(職員マスタ!$B$6:$B$405,$AP2355)))</f>
        <v/>
      </c>
      <c r="Y2355" s="14">
        <f>IF($AP2355="",IF($B2355="","",$R2355),IF(INDEX(職員マスタ!$C$6:$C$405,$AP2355)="",$R2355,INDEX(職員マスタ!$C$6:$C$405,$AP2355)))</f>
        <v/>
      </c>
      <c r="Z2355" s="14">
        <f>IF($AQ2355="","","R"&amp;$C2355&amp;"."&amp;$D2355)</f>
        <v/>
      </c>
      <c r="AA2355" s="15">
        <f>IF(IF($AP2355="",FALSE,INDEX(職員マスタ!$K$6:$K$405,$AP2355)&lt;&gt;""),INDEX(職員マスタ!$K$6:$K$405,$AP2355),IF(N($W2355)&gt;0,$W2355,""))</f>
        <v/>
      </c>
      <c r="AB2355" s="14">
        <f>IF(OR($E2355="",$AA2355=""),"",IF($E2355&gt;=$AA2355,"×",IF($E2355&gt;=$AA2355*設定!$C$5,"△","○")))</f>
        <v/>
      </c>
      <c r="AC2355" s="15">
        <f>IF($AB2355="","",IF($AB2355="×",0,IF($AB2355="○",ROUNDDOWN($E2355*設定!$C$4,0),ROUNDDOWN($E2355*ROUND((9*$AA2355-9*$E2355)/(10*$E2355),4),0))))</f>
        <v/>
      </c>
      <c r="AD2355" s="13" t="n"/>
      <c r="AE2355" s="15">
        <f>IF($B2355="","",IF($AD2355&lt;&gt;"",$AD2355,IF($AC2355="","",IF($AC2355&lt;=設定!$C$3,0,$AC2355))))</f>
        <v/>
      </c>
      <c r="AF2355" s="14">
        <f>IF($B2355="","",IF(AND($AG2355&lt;&gt;"",$AI2355="",$AL2355=""),"保留中",IF($AL2355&lt;&gt;"",IF(N($AE2355)&gt;0,"支給済","不支給"),IF($AE2355="","要確認",IF($AE2355=0,"不支給","未処理")))))</f>
        <v/>
      </c>
      <c r="AG2355" s="12" t="n"/>
      <c r="AH2355" s="11" t="n"/>
      <c r="AI2355" s="11" t="n"/>
      <c r="AJ2355" s="11" t="n"/>
      <c r="AK2355" s="14">
        <f>IF(AND($AF2355="保留中",$AH2355&lt;&gt;""),TODAY()-$AH2355,"")</f>
        <v/>
      </c>
      <c r="AL2355" s="12" t="n"/>
      <c r="AM2355" s="14">
        <f>IF($B2355="","",IF($AQ2355="","対象年月が未入力／","")&amp;IF($B2355="","",IF($AP2355="","職員マスタに未登録の職員番号／",IF($AA2355="","標準報酬月額が未登録／","")&amp;IF(AND($AQ2355&lt;&gt;"",OR(AND(INDEX(職員マスタ!$G$6:$G$405,$AP2355)&lt;&gt;"",INDEX(職員マスタ!$G$6:$G$405,$AP2355)&gt;EOMONTH($AQ2355,0)),AND(INDEX(職員マスタ!$H$6:$H$405,$AP2355)&lt;&gt;"",INDEX(職員マスタ!$H$6:$H$405,$AP2355)&lt;$AQ2355))),"対象月が時短期間外／","")&amp;IF(AND(INDEX(職員マスタ!$K$6:$K$405,$AP2355)&lt;&gt;"",N($W2355)&gt;0,INDEX(職員マスタ!$K$6:$K$405,$AP2355)&lt;&gt;$W2355),"標準報酬月額が申請書と相違（台帳"&amp;TEXT(INDEX(職員マスタ!$K$6:$K$405,$AP2355),"#,##0")&amp;"円／申請書"&amp;TEXT($W2355,"#,##0")&amp;"円）／","")&amp;IF(AND(INDEX(職員マスタ!$F$6:$F$405,$AP2355)&lt;&gt;"",$AQ2355&lt;&gt;"",INDEX(職員マスタ!$F$6:$F$405,$AP2355)&lt;$AQ2355),"対象月に子が2歳到達済／","")&amp;IF(AND($H2355&lt;&gt;"",INDEX(職員マスタ!$B$6:$B$405,$AP2355)&lt;&gt;"",SUBSTITUTE(SUBSTITUTE($H2355," ","")," ","")&lt;&gt;SUBSTITUTE(SUBSTITUTE(INDEX(職員マスタ!$B$6:$B$405,$AP2355)," ","")," ","")),"氏名がマスタと相違／","")&amp;IF(AND($Q2355&lt;&gt;"",INDEX(職員マスタ!$E$6:$E$405,$AP2355)&lt;&gt;"",$Q2355&lt;&gt;INDEX(職員マスタ!$E$6:$E$405,$AP2355)),"子の生年月日がマスタと相違／","")&amp;IF(AND($L2355&lt;&gt;"",INDEX(職員マスタ!$G$6:$G$405,$AP2355)&lt;&gt;"",$L2355&lt;&gt;INDEX(職員マスタ!$G$6:$G$405,$AP2355)),"時短開始日がマスタと相違／","")&amp;IF(AND($M2355&lt;&gt;"",INDEX(職員マスタ!$H$6:$H$405,$AP2355)&lt;&gt;"",$M2355&lt;&gt;INDEX(職員マスタ!$H$6:$H$405,$AP2355)),"時短終了日がマスタと相違／","")))&amp;IF(AND($B2355&lt;&gt;"",$E2355=""),"報酬額が未入力／","")&amp;IF(N($U2355)&gt;0,"申請書に入力エラーが残っています／","")&amp;IF(AND($B2355&lt;&gt;"",$AQ2355&lt;&gt;""),IF(COUNTIFS($B$6:$B$3005,$B2355,$C$6:$C$3005,$C2355,$D$6:$D$3005,$D2355)&gt;1,"同じ月の請求が重複しています／",""),"")&amp;IF(AND(N($E2355)&gt;0,$AB2355&lt;&gt;"",$AB2355&lt;&gt;"×",$AE2355=0,$AD2355=""),"計算額が下限以下のため不支給／",""))</f>
        <v/>
      </c>
      <c r="AN2355" s="12" t="n"/>
      <c r="AO2355" s="14">
        <f>IF($AF2355="保留中",COUNTIF($AF$6:$AF2355,"保留中"),"")</f>
        <v/>
      </c>
      <c r="AP2355" s="14">
        <f>IF($AQ2355="","",IF(SUMPRODUCT(MAX((職員マスタ!$A$6:$A$405=$B2355)*(((職員マスタ!$G$6:$G$405="")+(職員マスタ!$G$6:$G$405&lt;=EOMONTH($AQ2355,0)))&gt;0)*(((職員マスタ!$H$6:$H$405="")+(職員マスタ!$H$6:$H$405&gt;=$AQ2355))&gt;0)*(ROW(職員マスタ!$A$6:$A$405)-5)))&gt;0,SUMPRODUCT(MAX((職員マスタ!$A$6:$A$405=$B2355)*(((職員マスタ!$G$6:$G$405="")+(職員マスタ!$G$6:$G$405&lt;=EOMONTH($AQ2355,0)))&gt;0)*(((職員マスタ!$H$6:$H$405="")+(職員マスタ!$H$6:$H$405&gt;=$AQ2355))&gt;0)*(ROW(職員マスタ!$A$6:$A$405)-5))),IFERROR(MATCH($B2355,職員マスタ!$A$6:$A$405,0),"")))</f>
        <v/>
      </c>
      <c r="AQ2355" s="16">
        <f>IF(OR($B2355="",$C2355="",$D2355=""),"",DATE($C2355+2018,$D2355,1))</f>
        <v/>
      </c>
    </row>
    <row r="2356">
      <c r="A2356" s="11" t="n"/>
      <c r="B2356" s="12" t="n"/>
      <c r="C2356" s="12" t="n"/>
      <c r="D2356" s="12" t="n"/>
      <c r="E2356" s="13" t="n"/>
      <c r="F2356" s="12" t="n"/>
      <c r="G2356" s="13" t="n"/>
      <c r="H2356" s="12" t="n"/>
      <c r="I2356" s="12" t="n"/>
      <c r="J2356" s="12" t="n"/>
      <c r="K2356" s="12" t="n"/>
      <c r="L2356" s="11" t="n"/>
      <c r="M2356" s="11" t="n"/>
      <c r="N2356" s="11" t="n"/>
      <c r="O2356" s="11" t="n"/>
      <c r="P2356" s="12" t="n"/>
      <c r="Q2356" s="11" t="n"/>
      <c r="R2356" s="12" t="n"/>
      <c r="S2356" s="11" t="n"/>
      <c r="T2356" s="12" t="n"/>
      <c r="U2356" s="12" t="n"/>
      <c r="V2356" s="12" t="n"/>
      <c r="W2356" s="13" t="n"/>
      <c r="X2356" s="14">
        <f>IF($AP2356="",IF($B2356="","",$H2356),IF(INDEX(職員マスタ!$B$6:$B$405,$AP2356)="",$H2356,INDEX(職員マスタ!$B$6:$B$405,$AP2356)))</f>
        <v/>
      </c>
      <c r="Y2356" s="14">
        <f>IF($AP2356="",IF($B2356="","",$R2356),IF(INDEX(職員マスタ!$C$6:$C$405,$AP2356)="",$R2356,INDEX(職員マスタ!$C$6:$C$405,$AP2356)))</f>
        <v/>
      </c>
      <c r="Z2356" s="14">
        <f>IF($AQ2356="","","R"&amp;$C2356&amp;"."&amp;$D2356)</f>
        <v/>
      </c>
      <c r="AA2356" s="15">
        <f>IF(IF($AP2356="",FALSE,INDEX(職員マスタ!$K$6:$K$405,$AP2356)&lt;&gt;""),INDEX(職員マスタ!$K$6:$K$405,$AP2356),IF(N($W2356)&gt;0,$W2356,""))</f>
        <v/>
      </c>
      <c r="AB2356" s="14">
        <f>IF(OR($E2356="",$AA2356=""),"",IF($E2356&gt;=$AA2356,"×",IF($E2356&gt;=$AA2356*設定!$C$5,"△","○")))</f>
        <v/>
      </c>
      <c r="AC2356" s="15">
        <f>IF($AB2356="","",IF($AB2356="×",0,IF($AB2356="○",ROUNDDOWN($E2356*設定!$C$4,0),ROUNDDOWN($E2356*ROUND((9*$AA2356-9*$E2356)/(10*$E2356),4),0))))</f>
        <v/>
      </c>
      <c r="AD2356" s="13" t="n"/>
      <c r="AE2356" s="15">
        <f>IF($B2356="","",IF($AD2356&lt;&gt;"",$AD2356,IF($AC2356="","",IF($AC2356&lt;=設定!$C$3,0,$AC2356))))</f>
        <v/>
      </c>
      <c r="AF2356" s="14">
        <f>IF($B2356="","",IF(AND($AG2356&lt;&gt;"",$AI2356="",$AL2356=""),"保留中",IF($AL2356&lt;&gt;"",IF(N($AE2356)&gt;0,"支給済","不支給"),IF($AE2356="","要確認",IF($AE2356=0,"不支給","未処理")))))</f>
        <v/>
      </c>
      <c r="AG2356" s="12" t="n"/>
      <c r="AH2356" s="11" t="n"/>
      <c r="AI2356" s="11" t="n"/>
      <c r="AJ2356" s="11" t="n"/>
      <c r="AK2356" s="14">
        <f>IF(AND($AF2356="保留中",$AH2356&lt;&gt;""),TODAY()-$AH2356,"")</f>
        <v/>
      </c>
      <c r="AL2356" s="12" t="n"/>
      <c r="AM2356" s="14">
        <f>IF($B2356="","",IF($AQ2356="","対象年月が未入力／","")&amp;IF($B2356="","",IF($AP2356="","職員マスタに未登録の職員番号／",IF($AA2356="","標準報酬月額が未登録／","")&amp;IF(AND($AQ2356&lt;&gt;"",OR(AND(INDEX(職員マスタ!$G$6:$G$405,$AP2356)&lt;&gt;"",INDEX(職員マスタ!$G$6:$G$405,$AP2356)&gt;EOMONTH($AQ2356,0)),AND(INDEX(職員マスタ!$H$6:$H$405,$AP2356)&lt;&gt;"",INDEX(職員マスタ!$H$6:$H$405,$AP2356)&lt;$AQ2356))),"対象月が時短期間外／","")&amp;IF(AND(INDEX(職員マスタ!$K$6:$K$405,$AP2356)&lt;&gt;"",N($W2356)&gt;0,INDEX(職員マスタ!$K$6:$K$405,$AP2356)&lt;&gt;$W2356),"標準報酬月額が申請書と相違（台帳"&amp;TEXT(INDEX(職員マスタ!$K$6:$K$405,$AP2356),"#,##0")&amp;"円／申請書"&amp;TEXT($W2356,"#,##0")&amp;"円）／","")&amp;IF(AND(INDEX(職員マスタ!$F$6:$F$405,$AP2356)&lt;&gt;"",$AQ2356&lt;&gt;"",INDEX(職員マスタ!$F$6:$F$405,$AP2356)&lt;$AQ2356),"対象月に子が2歳到達済／","")&amp;IF(AND($H2356&lt;&gt;"",INDEX(職員マスタ!$B$6:$B$405,$AP2356)&lt;&gt;"",SUBSTITUTE(SUBSTITUTE($H2356," ","")," ","")&lt;&gt;SUBSTITUTE(SUBSTITUTE(INDEX(職員マスタ!$B$6:$B$405,$AP2356)," ","")," ","")),"氏名がマスタと相違／","")&amp;IF(AND($Q2356&lt;&gt;"",INDEX(職員マスタ!$E$6:$E$405,$AP2356)&lt;&gt;"",$Q2356&lt;&gt;INDEX(職員マスタ!$E$6:$E$405,$AP2356)),"子の生年月日がマスタと相違／","")&amp;IF(AND($L2356&lt;&gt;"",INDEX(職員マスタ!$G$6:$G$405,$AP2356)&lt;&gt;"",$L2356&lt;&gt;INDEX(職員マスタ!$G$6:$G$405,$AP2356)),"時短開始日がマスタと相違／","")&amp;IF(AND($M2356&lt;&gt;"",INDEX(職員マスタ!$H$6:$H$405,$AP2356)&lt;&gt;"",$M2356&lt;&gt;INDEX(職員マスタ!$H$6:$H$405,$AP2356)),"時短終了日がマスタと相違／","")))&amp;IF(AND($B2356&lt;&gt;"",$E2356=""),"報酬額が未入力／","")&amp;IF(N($U2356)&gt;0,"申請書に入力エラーが残っています／","")&amp;IF(AND($B2356&lt;&gt;"",$AQ2356&lt;&gt;""),IF(COUNTIFS($B$6:$B$3005,$B2356,$C$6:$C$3005,$C2356,$D$6:$D$3005,$D2356)&gt;1,"同じ月の請求が重複しています／",""),"")&amp;IF(AND(N($E2356)&gt;0,$AB2356&lt;&gt;"",$AB2356&lt;&gt;"×",$AE2356=0,$AD2356=""),"計算額が下限以下のため不支給／",""))</f>
        <v/>
      </c>
      <c r="AN2356" s="12" t="n"/>
      <c r="AO2356" s="14">
        <f>IF($AF2356="保留中",COUNTIF($AF$6:$AF2356,"保留中"),"")</f>
        <v/>
      </c>
      <c r="AP2356" s="14">
        <f>IF($AQ2356="","",IF(SUMPRODUCT(MAX((職員マスタ!$A$6:$A$405=$B2356)*(((職員マスタ!$G$6:$G$405="")+(職員マスタ!$G$6:$G$405&lt;=EOMONTH($AQ2356,0)))&gt;0)*(((職員マスタ!$H$6:$H$405="")+(職員マスタ!$H$6:$H$405&gt;=$AQ2356))&gt;0)*(ROW(職員マスタ!$A$6:$A$405)-5)))&gt;0,SUMPRODUCT(MAX((職員マスタ!$A$6:$A$405=$B2356)*(((職員マスタ!$G$6:$G$405="")+(職員マスタ!$G$6:$G$405&lt;=EOMONTH($AQ2356,0)))&gt;0)*(((職員マスタ!$H$6:$H$405="")+(職員マスタ!$H$6:$H$405&gt;=$AQ2356))&gt;0)*(ROW(職員マスタ!$A$6:$A$405)-5))),IFERROR(MATCH($B2356,職員マスタ!$A$6:$A$405,0),"")))</f>
        <v/>
      </c>
      <c r="AQ2356" s="16">
        <f>IF(OR($B2356="",$C2356="",$D2356=""),"",DATE($C2356+2018,$D2356,1))</f>
        <v/>
      </c>
    </row>
    <row r="2357">
      <c r="A2357" s="11" t="n"/>
      <c r="B2357" s="12" t="n"/>
      <c r="C2357" s="12" t="n"/>
      <c r="D2357" s="12" t="n"/>
      <c r="E2357" s="13" t="n"/>
      <c r="F2357" s="12" t="n"/>
      <c r="G2357" s="13" t="n"/>
      <c r="H2357" s="12" t="n"/>
      <c r="I2357" s="12" t="n"/>
      <c r="J2357" s="12" t="n"/>
      <c r="K2357" s="12" t="n"/>
      <c r="L2357" s="11" t="n"/>
      <c r="M2357" s="11" t="n"/>
      <c r="N2357" s="11" t="n"/>
      <c r="O2357" s="11" t="n"/>
      <c r="P2357" s="12" t="n"/>
      <c r="Q2357" s="11" t="n"/>
      <c r="R2357" s="12" t="n"/>
      <c r="S2357" s="11" t="n"/>
      <c r="T2357" s="12" t="n"/>
      <c r="U2357" s="12" t="n"/>
      <c r="V2357" s="12" t="n"/>
      <c r="W2357" s="13" t="n"/>
      <c r="X2357" s="14">
        <f>IF($AP2357="",IF($B2357="","",$H2357),IF(INDEX(職員マスタ!$B$6:$B$405,$AP2357)="",$H2357,INDEX(職員マスタ!$B$6:$B$405,$AP2357)))</f>
        <v/>
      </c>
      <c r="Y2357" s="14">
        <f>IF($AP2357="",IF($B2357="","",$R2357),IF(INDEX(職員マスタ!$C$6:$C$405,$AP2357)="",$R2357,INDEX(職員マスタ!$C$6:$C$405,$AP2357)))</f>
        <v/>
      </c>
      <c r="Z2357" s="14">
        <f>IF($AQ2357="","","R"&amp;$C2357&amp;"."&amp;$D2357)</f>
        <v/>
      </c>
      <c r="AA2357" s="15">
        <f>IF(IF($AP2357="",FALSE,INDEX(職員マスタ!$K$6:$K$405,$AP2357)&lt;&gt;""),INDEX(職員マスタ!$K$6:$K$405,$AP2357),IF(N($W2357)&gt;0,$W2357,""))</f>
        <v/>
      </c>
      <c r="AB2357" s="14">
        <f>IF(OR($E2357="",$AA2357=""),"",IF($E2357&gt;=$AA2357,"×",IF($E2357&gt;=$AA2357*設定!$C$5,"△","○")))</f>
        <v/>
      </c>
      <c r="AC2357" s="15">
        <f>IF($AB2357="","",IF($AB2357="×",0,IF($AB2357="○",ROUNDDOWN($E2357*設定!$C$4,0),ROUNDDOWN($E2357*ROUND((9*$AA2357-9*$E2357)/(10*$E2357),4),0))))</f>
        <v/>
      </c>
      <c r="AD2357" s="13" t="n"/>
      <c r="AE2357" s="15">
        <f>IF($B2357="","",IF($AD2357&lt;&gt;"",$AD2357,IF($AC2357="","",IF($AC2357&lt;=設定!$C$3,0,$AC2357))))</f>
        <v/>
      </c>
      <c r="AF2357" s="14">
        <f>IF($B2357="","",IF(AND($AG2357&lt;&gt;"",$AI2357="",$AL2357=""),"保留中",IF($AL2357&lt;&gt;"",IF(N($AE2357)&gt;0,"支給済","不支給"),IF($AE2357="","要確認",IF($AE2357=0,"不支給","未処理")))))</f>
        <v/>
      </c>
      <c r="AG2357" s="12" t="n"/>
      <c r="AH2357" s="11" t="n"/>
      <c r="AI2357" s="11" t="n"/>
      <c r="AJ2357" s="11" t="n"/>
      <c r="AK2357" s="14">
        <f>IF(AND($AF2357="保留中",$AH2357&lt;&gt;""),TODAY()-$AH2357,"")</f>
        <v/>
      </c>
      <c r="AL2357" s="12" t="n"/>
      <c r="AM2357" s="14">
        <f>IF($B2357="","",IF($AQ2357="","対象年月が未入力／","")&amp;IF($B2357="","",IF($AP2357="","職員マスタに未登録の職員番号／",IF($AA2357="","標準報酬月額が未登録／","")&amp;IF(AND($AQ2357&lt;&gt;"",OR(AND(INDEX(職員マスタ!$G$6:$G$405,$AP2357)&lt;&gt;"",INDEX(職員マスタ!$G$6:$G$405,$AP2357)&gt;EOMONTH($AQ2357,0)),AND(INDEX(職員マスタ!$H$6:$H$405,$AP2357)&lt;&gt;"",INDEX(職員マスタ!$H$6:$H$405,$AP2357)&lt;$AQ2357))),"対象月が時短期間外／","")&amp;IF(AND(INDEX(職員マスタ!$K$6:$K$405,$AP2357)&lt;&gt;"",N($W2357)&gt;0,INDEX(職員マスタ!$K$6:$K$405,$AP2357)&lt;&gt;$W2357),"標準報酬月額が申請書と相違（台帳"&amp;TEXT(INDEX(職員マスタ!$K$6:$K$405,$AP2357),"#,##0")&amp;"円／申請書"&amp;TEXT($W2357,"#,##0")&amp;"円）／","")&amp;IF(AND(INDEX(職員マスタ!$F$6:$F$405,$AP2357)&lt;&gt;"",$AQ2357&lt;&gt;"",INDEX(職員マスタ!$F$6:$F$405,$AP2357)&lt;$AQ2357),"対象月に子が2歳到達済／","")&amp;IF(AND($H2357&lt;&gt;"",INDEX(職員マスタ!$B$6:$B$405,$AP2357)&lt;&gt;"",SUBSTITUTE(SUBSTITUTE($H2357," ","")," ","")&lt;&gt;SUBSTITUTE(SUBSTITUTE(INDEX(職員マスタ!$B$6:$B$405,$AP2357)," ","")," ","")),"氏名がマスタと相違／","")&amp;IF(AND($Q2357&lt;&gt;"",INDEX(職員マスタ!$E$6:$E$405,$AP2357)&lt;&gt;"",$Q2357&lt;&gt;INDEX(職員マスタ!$E$6:$E$405,$AP2357)),"子の生年月日がマスタと相違／","")&amp;IF(AND($L2357&lt;&gt;"",INDEX(職員マスタ!$G$6:$G$405,$AP2357)&lt;&gt;"",$L2357&lt;&gt;INDEX(職員マスタ!$G$6:$G$405,$AP2357)),"時短開始日がマスタと相違／","")&amp;IF(AND($M2357&lt;&gt;"",INDEX(職員マスタ!$H$6:$H$405,$AP2357)&lt;&gt;"",$M2357&lt;&gt;INDEX(職員マスタ!$H$6:$H$405,$AP2357)),"時短終了日がマスタと相違／","")))&amp;IF(AND($B2357&lt;&gt;"",$E2357=""),"報酬額が未入力／","")&amp;IF(N($U2357)&gt;0,"申請書に入力エラーが残っています／","")&amp;IF(AND($B2357&lt;&gt;"",$AQ2357&lt;&gt;""),IF(COUNTIFS($B$6:$B$3005,$B2357,$C$6:$C$3005,$C2357,$D$6:$D$3005,$D2357)&gt;1,"同じ月の請求が重複しています／",""),"")&amp;IF(AND(N($E2357)&gt;0,$AB2357&lt;&gt;"",$AB2357&lt;&gt;"×",$AE2357=0,$AD2357=""),"計算額が下限以下のため不支給／",""))</f>
        <v/>
      </c>
      <c r="AN2357" s="12" t="n"/>
      <c r="AO2357" s="14">
        <f>IF($AF2357="保留中",COUNTIF($AF$6:$AF2357,"保留中"),"")</f>
        <v/>
      </c>
      <c r="AP2357" s="14">
        <f>IF($AQ2357="","",IF(SUMPRODUCT(MAX((職員マスタ!$A$6:$A$405=$B2357)*(((職員マスタ!$G$6:$G$405="")+(職員マスタ!$G$6:$G$405&lt;=EOMONTH($AQ2357,0)))&gt;0)*(((職員マスタ!$H$6:$H$405="")+(職員マスタ!$H$6:$H$405&gt;=$AQ2357))&gt;0)*(ROW(職員マスタ!$A$6:$A$405)-5)))&gt;0,SUMPRODUCT(MAX((職員マスタ!$A$6:$A$405=$B2357)*(((職員マスタ!$G$6:$G$405="")+(職員マスタ!$G$6:$G$405&lt;=EOMONTH($AQ2357,0)))&gt;0)*(((職員マスタ!$H$6:$H$405="")+(職員マスタ!$H$6:$H$405&gt;=$AQ2357))&gt;0)*(ROW(職員マスタ!$A$6:$A$405)-5))),IFERROR(MATCH($B2357,職員マスタ!$A$6:$A$405,0),"")))</f>
        <v/>
      </c>
      <c r="AQ2357" s="16">
        <f>IF(OR($B2357="",$C2357="",$D2357=""),"",DATE($C2357+2018,$D2357,1))</f>
        <v/>
      </c>
    </row>
    <row r="2358">
      <c r="A2358" s="11" t="n"/>
      <c r="B2358" s="12" t="n"/>
      <c r="C2358" s="12" t="n"/>
      <c r="D2358" s="12" t="n"/>
      <c r="E2358" s="13" t="n"/>
      <c r="F2358" s="12" t="n"/>
      <c r="G2358" s="13" t="n"/>
      <c r="H2358" s="12" t="n"/>
      <c r="I2358" s="12" t="n"/>
      <c r="J2358" s="12" t="n"/>
      <c r="K2358" s="12" t="n"/>
      <c r="L2358" s="11" t="n"/>
      <c r="M2358" s="11" t="n"/>
      <c r="N2358" s="11" t="n"/>
      <c r="O2358" s="11" t="n"/>
      <c r="P2358" s="12" t="n"/>
      <c r="Q2358" s="11" t="n"/>
      <c r="R2358" s="12" t="n"/>
      <c r="S2358" s="11" t="n"/>
      <c r="T2358" s="12" t="n"/>
      <c r="U2358" s="12" t="n"/>
      <c r="V2358" s="12" t="n"/>
      <c r="W2358" s="13" t="n"/>
      <c r="X2358" s="14">
        <f>IF($AP2358="",IF($B2358="","",$H2358),IF(INDEX(職員マスタ!$B$6:$B$405,$AP2358)="",$H2358,INDEX(職員マスタ!$B$6:$B$405,$AP2358)))</f>
        <v/>
      </c>
      <c r="Y2358" s="14">
        <f>IF($AP2358="",IF($B2358="","",$R2358),IF(INDEX(職員マスタ!$C$6:$C$405,$AP2358)="",$R2358,INDEX(職員マスタ!$C$6:$C$405,$AP2358)))</f>
        <v/>
      </c>
      <c r="Z2358" s="14">
        <f>IF($AQ2358="","","R"&amp;$C2358&amp;"."&amp;$D2358)</f>
        <v/>
      </c>
      <c r="AA2358" s="15">
        <f>IF(IF($AP2358="",FALSE,INDEX(職員マスタ!$K$6:$K$405,$AP2358)&lt;&gt;""),INDEX(職員マスタ!$K$6:$K$405,$AP2358),IF(N($W2358)&gt;0,$W2358,""))</f>
        <v/>
      </c>
      <c r="AB2358" s="14">
        <f>IF(OR($E2358="",$AA2358=""),"",IF($E2358&gt;=$AA2358,"×",IF($E2358&gt;=$AA2358*設定!$C$5,"△","○")))</f>
        <v/>
      </c>
      <c r="AC2358" s="15">
        <f>IF($AB2358="","",IF($AB2358="×",0,IF($AB2358="○",ROUNDDOWN($E2358*設定!$C$4,0),ROUNDDOWN($E2358*ROUND((9*$AA2358-9*$E2358)/(10*$E2358),4),0))))</f>
        <v/>
      </c>
      <c r="AD2358" s="13" t="n"/>
      <c r="AE2358" s="15">
        <f>IF($B2358="","",IF($AD2358&lt;&gt;"",$AD2358,IF($AC2358="","",IF($AC2358&lt;=設定!$C$3,0,$AC2358))))</f>
        <v/>
      </c>
      <c r="AF2358" s="14">
        <f>IF($B2358="","",IF(AND($AG2358&lt;&gt;"",$AI2358="",$AL2358=""),"保留中",IF($AL2358&lt;&gt;"",IF(N($AE2358)&gt;0,"支給済","不支給"),IF($AE2358="","要確認",IF($AE2358=0,"不支給","未処理")))))</f>
        <v/>
      </c>
      <c r="AG2358" s="12" t="n"/>
      <c r="AH2358" s="11" t="n"/>
      <c r="AI2358" s="11" t="n"/>
      <c r="AJ2358" s="11" t="n"/>
      <c r="AK2358" s="14">
        <f>IF(AND($AF2358="保留中",$AH2358&lt;&gt;""),TODAY()-$AH2358,"")</f>
        <v/>
      </c>
      <c r="AL2358" s="12" t="n"/>
      <c r="AM2358" s="14">
        <f>IF($B2358="","",IF($AQ2358="","対象年月が未入力／","")&amp;IF($B2358="","",IF($AP2358="","職員マスタに未登録の職員番号／",IF($AA2358="","標準報酬月額が未登録／","")&amp;IF(AND($AQ2358&lt;&gt;"",OR(AND(INDEX(職員マスタ!$G$6:$G$405,$AP2358)&lt;&gt;"",INDEX(職員マスタ!$G$6:$G$405,$AP2358)&gt;EOMONTH($AQ2358,0)),AND(INDEX(職員マスタ!$H$6:$H$405,$AP2358)&lt;&gt;"",INDEX(職員マスタ!$H$6:$H$405,$AP2358)&lt;$AQ2358))),"対象月が時短期間外／","")&amp;IF(AND(INDEX(職員マスタ!$K$6:$K$405,$AP2358)&lt;&gt;"",N($W2358)&gt;0,INDEX(職員マスタ!$K$6:$K$405,$AP2358)&lt;&gt;$W2358),"標準報酬月額が申請書と相違（台帳"&amp;TEXT(INDEX(職員マスタ!$K$6:$K$405,$AP2358),"#,##0")&amp;"円／申請書"&amp;TEXT($W2358,"#,##0")&amp;"円）／","")&amp;IF(AND(INDEX(職員マスタ!$F$6:$F$405,$AP2358)&lt;&gt;"",$AQ2358&lt;&gt;"",INDEX(職員マスタ!$F$6:$F$405,$AP2358)&lt;$AQ2358),"対象月に子が2歳到達済／","")&amp;IF(AND($H2358&lt;&gt;"",INDEX(職員マスタ!$B$6:$B$405,$AP2358)&lt;&gt;"",SUBSTITUTE(SUBSTITUTE($H2358," ","")," ","")&lt;&gt;SUBSTITUTE(SUBSTITUTE(INDEX(職員マスタ!$B$6:$B$405,$AP2358)," ","")," ","")),"氏名がマスタと相違／","")&amp;IF(AND($Q2358&lt;&gt;"",INDEX(職員マスタ!$E$6:$E$405,$AP2358)&lt;&gt;"",$Q2358&lt;&gt;INDEX(職員マスタ!$E$6:$E$405,$AP2358)),"子の生年月日がマスタと相違／","")&amp;IF(AND($L2358&lt;&gt;"",INDEX(職員マスタ!$G$6:$G$405,$AP2358)&lt;&gt;"",$L2358&lt;&gt;INDEX(職員マスタ!$G$6:$G$405,$AP2358)),"時短開始日がマスタと相違／","")&amp;IF(AND($M2358&lt;&gt;"",INDEX(職員マスタ!$H$6:$H$405,$AP2358)&lt;&gt;"",$M2358&lt;&gt;INDEX(職員マスタ!$H$6:$H$405,$AP2358)),"時短終了日がマスタと相違／","")))&amp;IF(AND($B2358&lt;&gt;"",$E2358=""),"報酬額が未入力／","")&amp;IF(N($U2358)&gt;0,"申請書に入力エラーが残っています／","")&amp;IF(AND($B2358&lt;&gt;"",$AQ2358&lt;&gt;""),IF(COUNTIFS($B$6:$B$3005,$B2358,$C$6:$C$3005,$C2358,$D$6:$D$3005,$D2358)&gt;1,"同じ月の請求が重複しています／",""),"")&amp;IF(AND(N($E2358)&gt;0,$AB2358&lt;&gt;"",$AB2358&lt;&gt;"×",$AE2358=0,$AD2358=""),"計算額が下限以下のため不支給／",""))</f>
        <v/>
      </c>
      <c r="AN2358" s="12" t="n"/>
      <c r="AO2358" s="14">
        <f>IF($AF2358="保留中",COUNTIF($AF$6:$AF2358,"保留中"),"")</f>
        <v/>
      </c>
      <c r="AP2358" s="14">
        <f>IF($AQ2358="","",IF(SUMPRODUCT(MAX((職員マスタ!$A$6:$A$405=$B2358)*(((職員マスタ!$G$6:$G$405="")+(職員マスタ!$G$6:$G$405&lt;=EOMONTH($AQ2358,0)))&gt;0)*(((職員マスタ!$H$6:$H$405="")+(職員マスタ!$H$6:$H$405&gt;=$AQ2358))&gt;0)*(ROW(職員マスタ!$A$6:$A$405)-5)))&gt;0,SUMPRODUCT(MAX((職員マスタ!$A$6:$A$405=$B2358)*(((職員マスタ!$G$6:$G$405="")+(職員マスタ!$G$6:$G$405&lt;=EOMONTH($AQ2358,0)))&gt;0)*(((職員マスタ!$H$6:$H$405="")+(職員マスタ!$H$6:$H$405&gt;=$AQ2358))&gt;0)*(ROW(職員マスタ!$A$6:$A$405)-5))),IFERROR(MATCH($B2358,職員マスタ!$A$6:$A$405,0),"")))</f>
        <v/>
      </c>
      <c r="AQ2358" s="16">
        <f>IF(OR($B2358="",$C2358="",$D2358=""),"",DATE($C2358+2018,$D2358,1))</f>
        <v/>
      </c>
    </row>
    <row r="2359">
      <c r="A2359" s="11" t="n"/>
      <c r="B2359" s="12" t="n"/>
      <c r="C2359" s="12" t="n"/>
      <c r="D2359" s="12" t="n"/>
      <c r="E2359" s="13" t="n"/>
      <c r="F2359" s="12" t="n"/>
      <c r="G2359" s="13" t="n"/>
      <c r="H2359" s="12" t="n"/>
      <c r="I2359" s="12" t="n"/>
      <c r="J2359" s="12" t="n"/>
      <c r="K2359" s="12" t="n"/>
      <c r="L2359" s="11" t="n"/>
      <c r="M2359" s="11" t="n"/>
      <c r="N2359" s="11" t="n"/>
      <c r="O2359" s="11" t="n"/>
      <c r="P2359" s="12" t="n"/>
      <c r="Q2359" s="11" t="n"/>
      <c r="R2359" s="12" t="n"/>
      <c r="S2359" s="11" t="n"/>
      <c r="T2359" s="12" t="n"/>
      <c r="U2359" s="12" t="n"/>
      <c r="V2359" s="12" t="n"/>
      <c r="W2359" s="13" t="n"/>
      <c r="X2359" s="14">
        <f>IF($AP2359="",IF($B2359="","",$H2359),IF(INDEX(職員マスタ!$B$6:$B$405,$AP2359)="",$H2359,INDEX(職員マスタ!$B$6:$B$405,$AP2359)))</f>
        <v/>
      </c>
      <c r="Y2359" s="14">
        <f>IF($AP2359="",IF($B2359="","",$R2359),IF(INDEX(職員マスタ!$C$6:$C$405,$AP2359)="",$R2359,INDEX(職員マスタ!$C$6:$C$405,$AP2359)))</f>
        <v/>
      </c>
      <c r="Z2359" s="14">
        <f>IF($AQ2359="","","R"&amp;$C2359&amp;"."&amp;$D2359)</f>
        <v/>
      </c>
      <c r="AA2359" s="15">
        <f>IF(IF($AP2359="",FALSE,INDEX(職員マスタ!$K$6:$K$405,$AP2359)&lt;&gt;""),INDEX(職員マスタ!$K$6:$K$405,$AP2359),IF(N($W2359)&gt;0,$W2359,""))</f>
        <v/>
      </c>
      <c r="AB2359" s="14">
        <f>IF(OR($E2359="",$AA2359=""),"",IF($E2359&gt;=$AA2359,"×",IF($E2359&gt;=$AA2359*設定!$C$5,"△","○")))</f>
        <v/>
      </c>
      <c r="AC2359" s="15">
        <f>IF($AB2359="","",IF($AB2359="×",0,IF($AB2359="○",ROUNDDOWN($E2359*設定!$C$4,0),ROUNDDOWN($E2359*ROUND((9*$AA2359-9*$E2359)/(10*$E2359),4),0))))</f>
        <v/>
      </c>
      <c r="AD2359" s="13" t="n"/>
      <c r="AE2359" s="15">
        <f>IF($B2359="","",IF($AD2359&lt;&gt;"",$AD2359,IF($AC2359="","",IF($AC2359&lt;=設定!$C$3,0,$AC2359))))</f>
        <v/>
      </c>
      <c r="AF2359" s="14">
        <f>IF($B2359="","",IF(AND($AG2359&lt;&gt;"",$AI2359="",$AL2359=""),"保留中",IF($AL2359&lt;&gt;"",IF(N($AE2359)&gt;0,"支給済","不支給"),IF($AE2359="","要確認",IF($AE2359=0,"不支給","未処理")))))</f>
        <v/>
      </c>
      <c r="AG2359" s="12" t="n"/>
      <c r="AH2359" s="11" t="n"/>
      <c r="AI2359" s="11" t="n"/>
      <c r="AJ2359" s="11" t="n"/>
      <c r="AK2359" s="14">
        <f>IF(AND($AF2359="保留中",$AH2359&lt;&gt;""),TODAY()-$AH2359,"")</f>
        <v/>
      </c>
      <c r="AL2359" s="12" t="n"/>
      <c r="AM2359" s="14">
        <f>IF($B2359="","",IF($AQ2359="","対象年月が未入力／","")&amp;IF($B2359="","",IF($AP2359="","職員マスタに未登録の職員番号／",IF($AA2359="","標準報酬月額が未登録／","")&amp;IF(AND($AQ2359&lt;&gt;"",OR(AND(INDEX(職員マスタ!$G$6:$G$405,$AP2359)&lt;&gt;"",INDEX(職員マスタ!$G$6:$G$405,$AP2359)&gt;EOMONTH($AQ2359,0)),AND(INDEX(職員マスタ!$H$6:$H$405,$AP2359)&lt;&gt;"",INDEX(職員マスタ!$H$6:$H$405,$AP2359)&lt;$AQ2359))),"対象月が時短期間外／","")&amp;IF(AND(INDEX(職員マスタ!$K$6:$K$405,$AP2359)&lt;&gt;"",N($W2359)&gt;0,INDEX(職員マスタ!$K$6:$K$405,$AP2359)&lt;&gt;$W2359),"標準報酬月額が申請書と相違（台帳"&amp;TEXT(INDEX(職員マスタ!$K$6:$K$405,$AP2359),"#,##0")&amp;"円／申請書"&amp;TEXT($W2359,"#,##0")&amp;"円）／","")&amp;IF(AND(INDEX(職員マスタ!$F$6:$F$405,$AP2359)&lt;&gt;"",$AQ2359&lt;&gt;"",INDEX(職員マスタ!$F$6:$F$405,$AP2359)&lt;$AQ2359),"対象月に子が2歳到達済／","")&amp;IF(AND($H2359&lt;&gt;"",INDEX(職員マスタ!$B$6:$B$405,$AP2359)&lt;&gt;"",SUBSTITUTE(SUBSTITUTE($H2359," ","")," ","")&lt;&gt;SUBSTITUTE(SUBSTITUTE(INDEX(職員マスタ!$B$6:$B$405,$AP2359)," ","")," ","")),"氏名がマスタと相違／","")&amp;IF(AND($Q2359&lt;&gt;"",INDEX(職員マスタ!$E$6:$E$405,$AP2359)&lt;&gt;"",$Q2359&lt;&gt;INDEX(職員マスタ!$E$6:$E$405,$AP2359)),"子の生年月日がマスタと相違／","")&amp;IF(AND($L2359&lt;&gt;"",INDEX(職員マスタ!$G$6:$G$405,$AP2359)&lt;&gt;"",$L2359&lt;&gt;INDEX(職員マスタ!$G$6:$G$405,$AP2359)),"時短開始日がマスタと相違／","")&amp;IF(AND($M2359&lt;&gt;"",INDEX(職員マスタ!$H$6:$H$405,$AP2359)&lt;&gt;"",$M2359&lt;&gt;INDEX(職員マスタ!$H$6:$H$405,$AP2359)),"時短終了日がマスタと相違／","")))&amp;IF(AND($B2359&lt;&gt;"",$E2359=""),"報酬額が未入力／","")&amp;IF(N($U2359)&gt;0,"申請書に入力エラーが残っています／","")&amp;IF(AND($B2359&lt;&gt;"",$AQ2359&lt;&gt;""),IF(COUNTIFS($B$6:$B$3005,$B2359,$C$6:$C$3005,$C2359,$D$6:$D$3005,$D2359)&gt;1,"同じ月の請求が重複しています／",""),"")&amp;IF(AND(N($E2359)&gt;0,$AB2359&lt;&gt;"",$AB2359&lt;&gt;"×",$AE2359=0,$AD2359=""),"計算額が下限以下のため不支給／",""))</f>
        <v/>
      </c>
      <c r="AN2359" s="12" t="n"/>
      <c r="AO2359" s="14">
        <f>IF($AF2359="保留中",COUNTIF($AF$6:$AF2359,"保留中"),"")</f>
        <v/>
      </c>
      <c r="AP2359" s="14">
        <f>IF($AQ2359="","",IF(SUMPRODUCT(MAX((職員マスタ!$A$6:$A$405=$B2359)*(((職員マスタ!$G$6:$G$405="")+(職員マスタ!$G$6:$G$405&lt;=EOMONTH($AQ2359,0)))&gt;0)*(((職員マスタ!$H$6:$H$405="")+(職員マスタ!$H$6:$H$405&gt;=$AQ2359))&gt;0)*(ROW(職員マスタ!$A$6:$A$405)-5)))&gt;0,SUMPRODUCT(MAX((職員マスタ!$A$6:$A$405=$B2359)*(((職員マスタ!$G$6:$G$405="")+(職員マスタ!$G$6:$G$405&lt;=EOMONTH($AQ2359,0)))&gt;0)*(((職員マスタ!$H$6:$H$405="")+(職員マスタ!$H$6:$H$405&gt;=$AQ2359))&gt;0)*(ROW(職員マスタ!$A$6:$A$405)-5))),IFERROR(MATCH($B2359,職員マスタ!$A$6:$A$405,0),"")))</f>
        <v/>
      </c>
      <c r="AQ2359" s="16">
        <f>IF(OR($B2359="",$C2359="",$D2359=""),"",DATE($C2359+2018,$D2359,1))</f>
        <v/>
      </c>
    </row>
    <row r="2360">
      <c r="A2360" s="11" t="n"/>
      <c r="B2360" s="12" t="n"/>
      <c r="C2360" s="12" t="n"/>
      <c r="D2360" s="12" t="n"/>
      <c r="E2360" s="13" t="n"/>
      <c r="F2360" s="12" t="n"/>
      <c r="G2360" s="13" t="n"/>
      <c r="H2360" s="12" t="n"/>
      <c r="I2360" s="12" t="n"/>
      <c r="J2360" s="12" t="n"/>
      <c r="K2360" s="12" t="n"/>
      <c r="L2360" s="11" t="n"/>
      <c r="M2360" s="11" t="n"/>
      <c r="N2360" s="11" t="n"/>
      <c r="O2360" s="11" t="n"/>
      <c r="P2360" s="12" t="n"/>
      <c r="Q2360" s="11" t="n"/>
      <c r="R2360" s="12" t="n"/>
      <c r="S2360" s="11" t="n"/>
      <c r="T2360" s="12" t="n"/>
      <c r="U2360" s="12" t="n"/>
      <c r="V2360" s="12" t="n"/>
      <c r="W2360" s="13" t="n"/>
      <c r="X2360" s="14">
        <f>IF($AP2360="",IF($B2360="","",$H2360),IF(INDEX(職員マスタ!$B$6:$B$405,$AP2360)="",$H2360,INDEX(職員マスタ!$B$6:$B$405,$AP2360)))</f>
        <v/>
      </c>
      <c r="Y2360" s="14">
        <f>IF($AP2360="",IF($B2360="","",$R2360),IF(INDEX(職員マスタ!$C$6:$C$405,$AP2360)="",$R2360,INDEX(職員マスタ!$C$6:$C$405,$AP2360)))</f>
        <v/>
      </c>
      <c r="Z2360" s="14">
        <f>IF($AQ2360="","","R"&amp;$C2360&amp;"."&amp;$D2360)</f>
        <v/>
      </c>
      <c r="AA2360" s="15">
        <f>IF(IF($AP2360="",FALSE,INDEX(職員マスタ!$K$6:$K$405,$AP2360)&lt;&gt;""),INDEX(職員マスタ!$K$6:$K$405,$AP2360),IF(N($W2360)&gt;0,$W2360,""))</f>
        <v/>
      </c>
      <c r="AB2360" s="14">
        <f>IF(OR($E2360="",$AA2360=""),"",IF($E2360&gt;=$AA2360,"×",IF($E2360&gt;=$AA2360*設定!$C$5,"△","○")))</f>
        <v/>
      </c>
      <c r="AC2360" s="15">
        <f>IF($AB2360="","",IF($AB2360="×",0,IF($AB2360="○",ROUNDDOWN($E2360*設定!$C$4,0),ROUNDDOWN($E2360*ROUND((9*$AA2360-9*$E2360)/(10*$E2360),4),0))))</f>
        <v/>
      </c>
      <c r="AD2360" s="13" t="n"/>
      <c r="AE2360" s="15">
        <f>IF($B2360="","",IF($AD2360&lt;&gt;"",$AD2360,IF($AC2360="","",IF($AC2360&lt;=設定!$C$3,0,$AC2360))))</f>
        <v/>
      </c>
      <c r="AF2360" s="14">
        <f>IF($B2360="","",IF(AND($AG2360&lt;&gt;"",$AI2360="",$AL2360=""),"保留中",IF($AL2360&lt;&gt;"",IF(N($AE2360)&gt;0,"支給済","不支給"),IF($AE2360="","要確認",IF($AE2360=0,"不支給","未処理")))))</f>
        <v/>
      </c>
      <c r="AG2360" s="12" t="n"/>
      <c r="AH2360" s="11" t="n"/>
      <c r="AI2360" s="11" t="n"/>
      <c r="AJ2360" s="11" t="n"/>
      <c r="AK2360" s="14">
        <f>IF(AND($AF2360="保留中",$AH2360&lt;&gt;""),TODAY()-$AH2360,"")</f>
        <v/>
      </c>
      <c r="AL2360" s="12" t="n"/>
      <c r="AM2360" s="14">
        <f>IF($B2360="","",IF($AQ2360="","対象年月が未入力／","")&amp;IF($B2360="","",IF($AP2360="","職員マスタに未登録の職員番号／",IF($AA2360="","標準報酬月額が未登録／","")&amp;IF(AND($AQ2360&lt;&gt;"",OR(AND(INDEX(職員マスタ!$G$6:$G$405,$AP2360)&lt;&gt;"",INDEX(職員マスタ!$G$6:$G$405,$AP2360)&gt;EOMONTH($AQ2360,0)),AND(INDEX(職員マスタ!$H$6:$H$405,$AP2360)&lt;&gt;"",INDEX(職員マスタ!$H$6:$H$405,$AP2360)&lt;$AQ2360))),"対象月が時短期間外／","")&amp;IF(AND(INDEX(職員マスタ!$K$6:$K$405,$AP2360)&lt;&gt;"",N($W2360)&gt;0,INDEX(職員マスタ!$K$6:$K$405,$AP2360)&lt;&gt;$W2360),"標準報酬月額が申請書と相違（台帳"&amp;TEXT(INDEX(職員マスタ!$K$6:$K$405,$AP2360),"#,##0")&amp;"円／申請書"&amp;TEXT($W2360,"#,##0")&amp;"円）／","")&amp;IF(AND(INDEX(職員マスタ!$F$6:$F$405,$AP2360)&lt;&gt;"",$AQ2360&lt;&gt;"",INDEX(職員マスタ!$F$6:$F$405,$AP2360)&lt;$AQ2360),"対象月に子が2歳到達済／","")&amp;IF(AND($H2360&lt;&gt;"",INDEX(職員マスタ!$B$6:$B$405,$AP2360)&lt;&gt;"",SUBSTITUTE(SUBSTITUTE($H2360," ","")," ","")&lt;&gt;SUBSTITUTE(SUBSTITUTE(INDEX(職員マスタ!$B$6:$B$405,$AP2360)," ","")," ","")),"氏名がマスタと相違／","")&amp;IF(AND($Q2360&lt;&gt;"",INDEX(職員マスタ!$E$6:$E$405,$AP2360)&lt;&gt;"",$Q2360&lt;&gt;INDEX(職員マスタ!$E$6:$E$405,$AP2360)),"子の生年月日がマスタと相違／","")&amp;IF(AND($L2360&lt;&gt;"",INDEX(職員マスタ!$G$6:$G$405,$AP2360)&lt;&gt;"",$L2360&lt;&gt;INDEX(職員マスタ!$G$6:$G$405,$AP2360)),"時短開始日がマスタと相違／","")&amp;IF(AND($M2360&lt;&gt;"",INDEX(職員マスタ!$H$6:$H$405,$AP2360)&lt;&gt;"",$M2360&lt;&gt;INDEX(職員マスタ!$H$6:$H$405,$AP2360)),"時短終了日がマスタと相違／","")))&amp;IF(AND($B2360&lt;&gt;"",$E2360=""),"報酬額が未入力／","")&amp;IF(N($U2360)&gt;0,"申請書に入力エラーが残っています／","")&amp;IF(AND($B2360&lt;&gt;"",$AQ2360&lt;&gt;""),IF(COUNTIFS($B$6:$B$3005,$B2360,$C$6:$C$3005,$C2360,$D$6:$D$3005,$D2360)&gt;1,"同じ月の請求が重複しています／",""),"")&amp;IF(AND(N($E2360)&gt;0,$AB2360&lt;&gt;"",$AB2360&lt;&gt;"×",$AE2360=0,$AD2360=""),"計算額が下限以下のため不支給／",""))</f>
        <v/>
      </c>
      <c r="AN2360" s="12" t="n"/>
      <c r="AO2360" s="14">
        <f>IF($AF2360="保留中",COUNTIF($AF$6:$AF2360,"保留中"),"")</f>
        <v/>
      </c>
      <c r="AP2360" s="14">
        <f>IF($AQ2360="","",IF(SUMPRODUCT(MAX((職員マスタ!$A$6:$A$405=$B2360)*(((職員マスタ!$G$6:$G$405="")+(職員マスタ!$G$6:$G$405&lt;=EOMONTH($AQ2360,0)))&gt;0)*(((職員マスタ!$H$6:$H$405="")+(職員マスタ!$H$6:$H$405&gt;=$AQ2360))&gt;0)*(ROW(職員マスタ!$A$6:$A$405)-5)))&gt;0,SUMPRODUCT(MAX((職員マスタ!$A$6:$A$405=$B2360)*(((職員マスタ!$G$6:$G$405="")+(職員マスタ!$G$6:$G$405&lt;=EOMONTH($AQ2360,0)))&gt;0)*(((職員マスタ!$H$6:$H$405="")+(職員マスタ!$H$6:$H$405&gt;=$AQ2360))&gt;0)*(ROW(職員マスタ!$A$6:$A$405)-5))),IFERROR(MATCH($B2360,職員マスタ!$A$6:$A$405,0),"")))</f>
        <v/>
      </c>
      <c r="AQ2360" s="16">
        <f>IF(OR($B2360="",$C2360="",$D2360=""),"",DATE($C2360+2018,$D2360,1))</f>
        <v/>
      </c>
    </row>
    <row r="2361">
      <c r="A2361" s="11" t="n"/>
      <c r="B2361" s="12" t="n"/>
      <c r="C2361" s="12" t="n"/>
      <c r="D2361" s="12" t="n"/>
      <c r="E2361" s="13" t="n"/>
      <c r="F2361" s="12" t="n"/>
      <c r="G2361" s="13" t="n"/>
      <c r="H2361" s="12" t="n"/>
      <c r="I2361" s="12" t="n"/>
      <c r="J2361" s="12" t="n"/>
      <c r="K2361" s="12" t="n"/>
      <c r="L2361" s="11" t="n"/>
      <c r="M2361" s="11" t="n"/>
      <c r="N2361" s="11" t="n"/>
      <c r="O2361" s="11" t="n"/>
      <c r="P2361" s="12" t="n"/>
      <c r="Q2361" s="11" t="n"/>
      <c r="R2361" s="12" t="n"/>
      <c r="S2361" s="11" t="n"/>
      <c r="T2361" s="12" t="n"/>
      <c r="U2361" s="12" t="n"/>
      <c r="V2361" s="12" t="n"/>
      <c r="W2361" s="13" t="n"/>
      <c r="X2361" s="14">
        <f>IF($AP2361="",IF($B2361="","",$H2361),IF(INDEX(職員マスタ!$B$6:$B$405,$AP2361)="",$H2361,INDEX(職員マスタ!$B$6:$B$405,$AP2361)))</f>
        <v/>
      </c>
      <c r="Y2361" s="14">
        <f>IF($AP2361="",IF($B2361="","",$R2361),IF(INDEX(職員マスタ!$C$6:$C$405,$AP2361)="",$R2361,INDEX(職員マスタ!$C$6:$C$405,$AP2361)))</f>
        <v/>
      </c>
      <c r="Z2361" s="14">
        <f>IF($AQ2361="","","R"&amp;$C2361&amp;"."&amp;$D2361)</f>
        <v/>
      </c>
      <c r="AA2361" s="15">
        <f>IF(IF($AP2361="",FALSE,INDEX(職員マスタ!$K$6:$K$405,$AP2361)&lt;&gt;""),INDEX(職員マスタ!$K$6:$K$405,$AP2361),IF(N($W2361)&gt;0,$W2361,""))</f>
        <v/>
      </c>
      <c r="AB2361" s="14">
        <f>IF(OR($E2361="",$AA2361=""),"",IF($E2361&gt;=$AA2361,"×",IF($E2361&gt;=$AA2361*設定!$C$5,"△","○")))</f>
        <v/>
      </c>
      <c r="AC2361" s="15">
        <f>IF($AB2361="","",IF($AB2361="×",0,IF($AB2361="○",ROUNDDOWN($E2361*設定!$C$4,0),ROUNDDOWN($E2361*ROUND((9*$AA2361-9*$E2361)/(10*$E2361),4),0))))</f>
        <v/>
      </c>
      <c r="AD2361" s="13" t="n"/>
      <c r="AE2361" s="15">
        <f>IF($B2361="","",IF($AD2361&lt;&gt;"",$AD2361,IF($AC2361="","",IF($AC2361&lt;=設定!$C$3,0,$AC2361))))</f>
        <v/>
      </c>
      <c r="AF2361" s="14">
        <f>IF($B2361="","",IF(AND($AG2361&lt;&gt;"",$AI2361="",$AL2361=""),"保留中",IF($AL2361&lt;&gt;"",IF(N($AE2361)&gt;0,"支給済","不支給"),IF($AE2361="","要確認",IF($AE2361=0,"不支給","未処理")))))</f>
        <v/>
      </c>
      <c r="AG2361" s="12" t="n"/>
      <c r="AH2361" s="11" t="n"/>
      <c r="AI2361" s="11" t="n"/>
      <c r="AJ2361" s="11" t="n"/>
      <c r="AK2361" s="14">
        <f>IF(AND($AF2361="保留中",$AH2361&lt;&gt;""),TODAY()-$AH2361,"")</f>
        <v/>
      </c>
      <c r="AL2361" s="12" t="n"/>
      <c r="AM2361" s="14">
        <f>IF($B2361="","",IF($AQ2361="","対象年月が未入力／","")&amp;IF($B2361="","",IF($AP2361="","職員マスタに未登録の職員番号／",IF($AA2361="","標準報酬月額が未登録／","")&amp;IF(AND($AQ2361&lt;&gt;"",OR(AND(INDEX(職員マスタ!$G$6:$G$405,$AP2361)&lt;&gt;"",INDEX(職員マスタ!$G$6:$G$405,$AP2361)&gt;EOMONTH($AQ2361,0)),AND(INDEX(職員マスタ!$H$6:$H$405,$AP2361)&lt;&gt;"",INDEX(職員マスタ!$H$6:$H$405,$AP2361)&lt;$AQ2361))),"対象月が時短期間外／","")&amp;IF(AND(INDEX(職員マスタ!$K$6:$K$405,$AP2361)&lt;&gt;"",N($W2361)&gt;0,INDEX(職員マスタ!$K$6:$K$405,$AP2361)&lt;&gt;$W2361),"標準報酬月額が申請書と相違（台帳"&amp;TEXT(INDEX(職員マスタ!$K$6:$K$405,$AP2361),"#,##0")&amp;"円／申請書"&amp;TEXT($W2361,"#,##0")&amp;"円）／","")&amp;IF(AND(INDEX(職員マスタ!$F$6:$F$405,$AP2361)&lt;&gt;"",$AQ2361&lt;&gt;"",INDEX(職員マスタ!$F$6:$F$405,$AP2361)&lt;$AQ2361),"対象月に子が2歳到達済／","")&amp;IF(AND($H2361&lt;&gt;"",INDEX(職員マスタ!$B$6:$B$405,$AP2361)&lt;&gt;"",SUBSTITUTE(SUBSTITUTE($H2361," ","")," ","")&lt;&gt;SUBSTITUTE(SUBSTITUTE(INDEX(職員マスタ!$B$6:$B$405,$AP2361)," ","")," ","")),"氏名がマスタと相違／","")&amp;IF(AND($Q2361&lt;&gt;"",INDEX(職員マスタ!$E$6:$E$405,$AP2361)&lt;&gt;"",$Q2361&lt;&gt;INDEX(職員マスタ!$E$6:$E$405,$AP2361)),"子の生年月日がマスタと相違／","")&amp;IF(AND($L2361&lt;&gt;"",INDEX(職員マスタ!$G$6:$G$405,$AP2361)&lt;&gt;"",$L2361&lt;&gt;INDEX(職員マスタ!$G$6:$G$405,$AP2361)),"時短開始日がマスタと相違／","")&amp;IF(AND($M2361&lt;&gt;"",INDEX(職員マスタ!$H$6:$H$405,$AP2361)&lt;&gt;"",$M2361&lt;&gt;INDEX(職員マスタ!$H$6:$H$405,$AP2361)),"時短終了日がマスタと相違／","")))&amp;IF(AND($B2361&lt;&gt;"",$E2361=""),"報酬額が未入力／","")&amp;IF(N($U2361)&gt;0,"申請書に入力エラーが残っています／","")&amp;IF(AND($B2361&lt;&gt;"",$AQ2361&lt;&gt;""),IF(COUNTIFS($B$6:$B$3005,$B2361,$C$6:$C$3005,$C2361,$D$6:$D$3005,$D2361)&gt;1,"同じ月の請求が重複しています／",""),"")&amp;IF(AND(N($E2361)&gt;0,$AB2361&lt;&gt;"",$AB2361&lt;&gt;"×",$AE2361=0,$AD2361=""),"計算額が下限以下のため不支給／",""))</f>
        <v/>
      </c>
      <c r="AN2361" s="12" t="n"/>
      <c r="AO2361" s="14">
        <f>IF($AF2361="保留中",COUNTIF($AF$6:$AF2361,"保留中"),"")</f>
        <v/>
      </c>
      <c r="AP2361" s="14">
        <f>IF($AQ2361="","",IF(SUMPRODUCT(MAX((職員マスタ!$A$6:$A$405=$B2361)*(((職員マスタ!$G$6:$G$405="")+(職員マスタ!$G$6:$G$405&lt;=EOMONTH($AQ2361,0)))&gt;0)*(((職員マスタ!$H$6:$H$405="")+(職員マスタ!$H$6:$H$405&gt;=$AQ2361))&gt;0)*(ROW(職員マスタ!$A$6:$A$405)-5)))&gt;0,SUMPRODUCT(MAX((職員マスタ!$A$6:$A$405=$B2361)*(((職員マスタ!$G$6:$G$405="")+(職員マスタ!$G$6:$G$405&lt;=EOMONTH($AQ2361,0)))&gt;0)*(((職員マスタ!$H$6:$H$405="")+(職員マスタ!$H$6:$H$405&gt;=$AQ2361))&gt;0)*(ROW(職員マスタ!$A$6:$A$405)-5))),IFERROR(MATCH($B2361,職員マスタ!$A$6:$A$405,0),"")))</f>
        <v/>
      </c>
      <c r="AQ2361" s="16">
        <f>IF(OR($B2361="",$C2361="",$D2361=""),"",DATE($C2361+2018,$D2361,1))</f>
        <v/>
      </c>
    </row>
    <row r="2362">
      <c r="A2362" s="11" t="n"/>
      <c r="B2362" s="12" t="n"/>
      <c r="C2362" s="12" t="n"/>
      <c r="D2362" s="12" t="n"/>
      <c r="E2362" s="13" t="n"/>
      <c r="F2362" s="12" t="n"/>
      <c r="G2362" s="13" t="n"/>
      <c r="H2362" s="12" t="n"/>
      <c r="I2362" s="12" t="n"/>
      <c r="J2362" s="12" t="n"/>
      <c r="K2362" s="12" t="n"/>
      <c r="L2362" s="11" t="n"/>
      <c r="M2362" s="11" t="n"/>
      <c r="N2362" s="11" t="n"/>
      <c r="O2362" s="11" t="n"/>
      <c r="P2362" s="12" t="n"/>
      <c r="Q2362" s="11" t="n"/>
      <c r="R2362" s="12" t="n"/>
      <c r="S2362" s="11" t="n"/>
      <c r="T2362" s="12" t="n"/>
      <c r="U2362" s="12" t="n"/>
      <c r="V2362" s="12" t="n"/>
      <c r="W2362" s="13" t="n"/>
      <c r="X2362" s="14">
        <f>IF($AP2362="",IF($B2362="","",$H2362),IF(INDEX(職員マスタ!$B$6:$B$405,$AP2362)="",$H2362,INDEX(職員マスタ!$B$6:$B$405,$AP2362)))</f>
        <v/>
      </c>
      <c r="Y2362" s="14">
        <f>IF($AP2362="",IF($B2362="","",$R2362),IF(INDEX(職員マスタ!$C$6:$C$405,$AP2362)="",$R2362,INDEX(職員マスタ!$C$6:$C$405,$AP2362)))</f>
        <v/>
      </c>
      <c r="Z2362" s="14">
        <f>IF($AQ2362="","","R"&amp;$C2362&amp;"."&amp;$D2362)</f>
        <v/>
      </c>
      <c r="AA2362" s="15">
        <f>IF(IF($AP2362="",FALSE,INDEX(職員マスタ!$K$6:$K$405,$AP2362)&lt;&gt;""),INDEX(職員マスタ!$K$6:$K$405,$AP2362),IF(N($W2362)&gt;0,$W2362,""))</f>
        <v/>
      </c>
      <c r="AB2362" s="14">
        <f>IF(OR($E2362="",$AA2362=""),"",IF($E2362&gt;=$AA2362,"×",IF($E2362&gt;=$AA2362*設定!$C$5,"△","○")))</f>
        <v/>
      </c>
      <c r="AC2362" s="15">
        <f>IF($AB2362="","",IF($AB2362="×",0,IF($AB2362="○",ROUNDDOWN($E2362*設定!$C$4,0),ROUNDDOWN($E2362*ROUND((9*$AA2362-9*$E2362)/(10*$E2362),4),0))))</f>
        <v/>
      </c>
      <c r="AD2362" s="13" t="n"/>
      <c r="AE2362" s="15">
        <f>IF($B2362="","",IF($AD2362&lt;&gt;"",$AD2362,IF($AC2362="","",IF($AC2362&lt;=設定!$C$3,0,$AC2362))))</f>
        <v/>
      </c>
      <c r="AF2362" s="14">
        <f>IF($B2362="","",IF(AND($AG2362&lt;&gt;"",$AI2362="",$AL2362=""),"保留中",IF($AL2362&lt;&gt;"",IF(N($AE2362)&gt;0,"支給済","不支給"),IF($AE2362="","要確認",IF($AE2362=0,"不支給","未処理")))))</f>
        <v/>
      </c>
      <c r="AG2362" s="12" t="n"/>
      <c r="AH2362" s="11" t="n"/>
      <c r="AI2362" s="11" t="n"/>
      <c r="AJ2362" s="11" t="n"/>
      <c r="AK2362" s="14">
        <f>IF(AND($AF2362="保留中",$AH2362&lt;&gt;""),TODAY()-$AH2362,"")</f>
        <v/>
      </c>
      <c r="AL2362" s="12" t="n"/>
      <c r="AM2362" s="14">
        <f>IF($B2362="","",IF($AQ2362="","対象年月が未入力／","")&amp;IF($B2362="","",IF($AP2362="","職員マスタに未登録の職員番号／",IF($AA2362="","標準報酬月額が未登録／","")&amp;IF(AND($AQ2362&lt;&gt;"",OR(AND(INDEX(職員マスタ!$G$6:$G$405,$AP2362)&lt;&gt;"",INDEX(職員マスタ!$G$6:$G$405,$AP2362)&gt;EOMONTH($AQ2362,0)),AND(INDEX(職員マスタ!$H$6:$H$405,$AP2362)&lt;&gt;"",INDEX(職員マスタ!$H$6:$H$405,$AP2362)&lt;$AQ2362))),"対象月が時短期間外／","")&amp;IF(AND(INDEX(職員マスタ!$K$6:$K$405,$AP2362)&lt;&gt;"",N($W2362)&gt;0,INDEX(職員マスタ!$K$6:$K$405,$AP2362)&lt;&gt;$W2362),"標準報酬月額が申請書と相違（台帳"&amp;TEXT(INDEX(職員マスタ!$K$6:$K$405,$AP2362),"#,##0")&amp;"円／申請書"&amp;TEXT($W2362,"#,##0")&amp;"円）／","")&amp;IF(AND(INDEX(職員マスタ!$F$6:$F$405,$AP2362)&lt;&gt;"",$AQ2362&lt;&gt;"",INDEX(職員マスタ!$F$6:$F$405,$AP2362)&lt;$AQ2362),"対象月に子が2歳到達済／","")&amp;IF(AND($H2362&lt;&gt;"",INDEX(職員マスタ!$B$6:$B$405,$AP2362)&lt;&gt;"",SUBSTITUTE(SUBSTITUTE($H2362," ","")," ","")&lt;&gt;SUBSTITUTE(SUBSTITUTE(INDEX(職員マスタ!$B$6:$B$405,$AP2362)," ","")," ","")),"氏名がマスタと相違／","")&amp;IF(AND($Q2362&lt;&gt;"",INDEX(職員マスタ!$E$6:$E$405,$AP2362)&lt;&gt;"",$Q2362&lt;&gt;INDEX(職員マスタ!$E$6:$E$405,$AP2362)),"子の生年月日がマスタと相違／","")&amp;IF(AND($L2362&lt;&gt;"",INDEX(職員マスタ!$G$6:$G$405,$AP2362)&lt;&gt;"",$L2362&lt;&gt;INDEX(職員マスタ!$G$6:$G$405,$AP2362)),"時短開始日がマスタと相違／","")&amp;IF(AND($M2362&lt;&gt;"",INDEX(職員マスタ!$H$6:$H$405,$AP2362)&lt;&gt;"",$M2362&lt;&gt;INDEX(職員マスタ!$H$6:$H$405,$AP2362)),"時短終了日がマスタと相違／","")))&amp;IF(AND($B2362&lt;&gt;"",$E2362=""),"報酬額が未入力／","")&amp;IF(N($U2362)&gt;0,"申請書に入力エラーが残っています／","")&amp;IF(AND($B2362&lt;&gt;"",$AQ2362&lt;&gt;""),IF(COUNTIFS($B$6:$B$3005,$B2362,$C$6:$C$3005,$C2362,$D$6:$D$3005,$D2362)&gt;1,"同じ月の請求が重複しています／",""),"")&amp;IF(AND(N($E2362)&gt;0,$AB2362&lt;&gt;"",$AB2362&lt;&gt;"×",$AE2362=0,$AD2362=""),"計算額が下限以下のため不支給／",""))</f>
        <v/>
      </c>
      <c r="AN2362" s="12" t="n"/>
      <c r="AO2362" s="14">
        <f>IF($AF2362="保留中",COUNTIF($AF$6:$AF2362,"保留中"),"")</f>
        <v/>
      </c>
      <c r="AP2362" s="14">
        <f>IF($AQ2362="","",IF(SUMPRODUCT(MAX((職員マスタ!$A$6:$A$405=$B2362)*(((職員マスタ!$G$6:$G$405="")+(職員マスタ!$G$6:$G$405&lt;=EOMONTH($AQ2362,0)))&gt;0)*(((職員マスタ!$H$6:$H$405="")+(職員マスタ!$H$6:$H$405&gt;=$AQ2362))&gt;0)*(ROW(職員マスタ!$A$6:$A$405)-5)))&gt;0,SUMPRODUCT(MAX((職員マスタ!$A$6:$A$405=$B2362)*(((職員マスタ!$G$6:$G$405="")+(職員マスタ!$G$6:$G$405&lt;=EOMONTH($AQ2362,0)))&gt;0)*(((職員マスタ!$H$6:$H$405="")+(職員マスタ!$H$6:$H$405&gt;=$AQ2362))&gt;0)*(ROW(職員マスタ!$A$6:$A$405)-5))),IFERROR(MATCH($B2362,職員マスタ!$A$6:$A$405,0),"")))</f>
        <v/>
      </c>
      <c r="AQ2362" s="16">
        <f>IF(OR($B2362="",$C2362="",$D2362=""),"",DATE($C2362+2018,$D2362,1))</f>
        <v/>
      </c>
    </row>
    <row r="2363">
      <c r="A2363" s="11" t="n"/>
      <c r="B2363" s="12" t="n"/>
      <c r="C2363" s="12" t="n"/>
      <c r="D2363" s="12" t="n"/>
      <c r="E2363" s="13" t="n"/>
      <c r="F2363" s="12" t="n"/>
      <c r="G2363" s="13" t="n"/>
      <c r="H2363" s="12" t="n"/>
      <c r="I2363" s="12" t="n"/>
      <c r="J2363" s="12" t="n"/>
      <c r="K2363" s="12" t="n"/>
      <c r="L2363" s="11" t="n"/>
      <c r="M2363" s="11" t="n"/>
      <c r="N2363" s="11" t="n"/>
      <c r="O2363" s="11" t="n"/>
      <c r="P2363" s="12" t="n"/>
      <c r="Q2363" s="11" t="n"/>
      <c r="R2363" s="12" t="n"/>
      <c r="S2363" s="11" t="n"/>
      <c r="T2363" s="12" t="n"/>
      <c r="U2363" s="12" t="n"/>
      <c r="V2363" s="12" t="n"/>
      <c r="W2363" s="13" t="n"/>
      <c r="X2363" s="14">
        <f>IF($AP2363="",IF($B2363="","",$H2363),IF(INDEX(職員マスタ!$B$6:$B$405,$AP2363)="",$H2363,INDEX(職員マスタ!$B$6:$B$405,$AP2363)))</f>
        <v/>
      </c>
      <c r="Y2363" s="14">
        <f>IF($AP2363="",IF($B2363="","",$R2363),IF(INDEX(職員マスタ!$C$6:$C$405,$AP2363)="",$R2363,INDEX(職員マスタ!$C$6:$C$405,$AP2363)))</f>
        <v/>
      </c>
      <c r="Z2363" s="14">
        <f>IF($AQ2363="","","R"&amp;$C2363&amp;"."&amp;$D2363)</f>
        <v/>
      </c>
      <c r="AA2363" s="15">
        <f>IF(IF($AP2363="",FALSE,INDEX(職員マスタ!$K$6:$K$405,$AP2363)&lt;&gt;""),INDEX(職員マスタ!$K$6:$K$405,$AP2363),IF(N($W2363)&gt;0,$W2363,""))</f>
        <v/>
      </c>
      <c r="AB2363" s="14">
        <f>IF(OR($E2363="",$AA2363=""),"",IF($E2363&gt;=$AA2363,"×",IF($E2363&gt;=$AA2363*設定!$C$5,"△","○")))</f>
        <v/>
      </c>
      <c r="AC2363" s="15">
        <f>IF($AB2363="","",IF($AB2363="×",0,IF($AB2363="○",ROUNDDOWN($E2363*設定!$C$4,0),ROUNDDOWN($E2363*ROUND((9*$AA2363-9*$E2363)/(10*$E2363),4),0))))</f>
        <v/>
      </c>
      <c r="AD2363" s="13" t="n"/>
      <c r="AE2363" s="15">
        <f>IF($B2363="","",IF($AD2363&lt;&gt;"",$AD2363,IF($AC2363="","",IF($AC2363&lt;=設定!$C$3,0,$AC2363))))</f>
        <v/>
      </c>
      <c r="AF2363" s="14">
        <f>IF($B2363="","",IF(AND($AG2363&lt;&gt;"",$AI2363="",$AL2363=""),"保留中",IF($AL2363&lt;&gt;"",IF(N($AE2363)&gt;0,"支給済","不支給"),IF($AE2363="","要確認",IF($AE2363=0,"不支給","未処理")))))</f>
        <v/>
      </c>
      <c r="AG2363" s="12" t="n"/>
      <c r="AH2363" s="11" t="n"/>
      <c r="AI2363" s="11" t="n"/>
      <c r="AJ2363" s="11" t="n"/>
      <c r="AK2363" s="14">
        <f>IF(AND($AF2363="保留中",$AH2363&lt;&gt;""),TODAY()-$AH2363,"")</f>
        <v/>
      </c>
      <c r="AL2363" s="12" t="n"/>
      <c r="AM2363" s="14">
        <f>IF($B2363="","",IF($AQ2363="","対象年月が未入力／","")&amp;IF($B2363="","",IF($AP2363="","職員マスタに未登録の職員番号／",IF($AA2363="","標準報酬月額が未登録／","")&amp;IF(AND($AQ2363&lt;&gt;"",OR(AND(INDEX(職員マスタ!$G$6:$G$405,$AP2363)&lt;&gt;"",INDEX(職員マスタ!$G$6:$G$405,$AP2363)&gt;EOMONTH($AQ2363,0)),AND(INDEX(職員マスタ!$H$6:$H$405,$AP2363)&lt;&gt;"",INDEX(職員マスタ!$H$6:$H$405,$AP2363)&lt;$AQ2363))),"対象月が時短期間外／","")&amp;IF(AND(INDEX(職員マスタ!$K$6:$K$405,$AP2363)&lt;&gt;"",N($W2363)&gt;0,INDEX(職員マスタ!$K$6:$K$405,$AP2363)&lt;&gt;$W2363),"標準報酬月額が申請書と相違（台帳"&amp;TEXT(INDEX(職員マスタ!$K$6:$K$405,$AP2363),"#,##0")&amp;"円／申請書"&amp;TEXT($W2363,"#,##0")&amp;"円）／","")&amp;IF(AND(INDEX(職員マスタ!$F$6:$F$405,$AP2363)&lt;&gt;"",$AQ2363&lt;&gt;"",INDEX(職員マスタ!$F$6:$F$405,$AP2363)&lt;$AQ2363),"対象月に子が2歳到達済／","")&amp;IF(AND($H2363&lt;&gt;"",INDEX(職員マスタ!$B$6:$B$405,$AP2363)&lt;&gt;"",SUBSTITUTE(SUBSTITUTE($H2363," ","")," ","")&lt;&gt;SUBSTITUTE(SUBSTITUTE(INDEX(職員マスタ!$B$6:$B$405,$AP2363)," ","")," ","")),"氏名がマスタと相違／","")&amp;IF(AND($Q2363&lt;&gt;"",INDEX(職員マスタ!$E$6:$E$405,$AP2363)&lt;&gt;"",$Q2363&lt;&gt;INDEX(職員マスタ!$E$6:$E$405,$AP2363)),"子の生年月日がマスタと相違／","")&amp;IF(AND($L2363&lt;&gt;"",INDEX(職員マスタ!$G$6:$G$405,$AP2363)&lt;&gt;"",$L2363&lt;&gt;INDEX(職員マスタ!$G$6:$G$405,$AP2363)),"時短開始日がマスタと相違／","")&amp;IF(AND($M2363&lt;&gt;"",INDEX(職員マスタ!$H$6:$H$405,$AP2363)&lt;&gt;"",$M2363&lt;&gt;INDEX(職員マスタ!$H$6:$H$405,$AP2363)),"時短終了日がマスタと相違／","")))&amp;IF(AND($B2363&lt;&gt;"",$E2363=""),"報酬額が未入力／","")&amp;IF(N($U2363)&gt;0,"申請書に入力エラーが残っています／","")&amp;IF(AND($B2363&lt;&gt;"",$AQ2363&lt;&gt;""),IF(COUNTIFS($B$6:$B$3005,$B2363,$C$6:$C$3005,$C2363,$D$6:$D$3005,$D2363)&gt;1,"同じ月の請求が重複しています／",""),"")&amp;IF(AND(N($E2363)&gt;0,$AB2363&lt;&gt;"",$AB2363&lt;&gt;"×",$AE2363=0,$AD2363=""),"計算額が下限以下のため不支給／",""))</f>
        <v/>
      </c>
      <c r="AN2363" s="12" t="n"/>
      <c r="AO2363" s="14">
        <f>IF($AF2363="保留中",COUNTIF($AF$6:$AF2363,"保留中"),"")</f>
        <v/>
      </c>
      <c r="AP2363" s="14">
        <f>IF($AQ2363="","",IF(SUMPRODUCT(MAX((職員マスタ!$A$6:$A$405=$B2363)*(((職員マスタ!$G$6:$G$405="")+(職員マスタ!$G$6:$G$405&lt;=EOMONTH($AQ2363,0)))&gt;0)*(((職員マスタ!$H$6:$H$405="")+(職員マスタ!$H$6:$H$405&gt;=$AQ2363))&gt;0)*(ROW(職員マスタ!$A$6:$A$405)-5)))&gt;0,SUMPRODUCT(MAX((職員マスタ!$A$6:$A$405=$B2363)*(((職員マスタ!$G$6:$G$405="")+(職員マスタ!$G$6:$G$405&lt;=EOMONTH($AQ2363,0)))&gt;0)*(((職員マスタ!$H$6:$H$405="")+(職員マスタ!$H$6:$H$405&gt;=$AQ2363))&gt;0)*(ROW(職員マスタ!$A$6:$A$405)-5))),IFERROR(MATCH($B2363,職員マスタ!$A$6:$A$405,0),"")))</f>
        <v/>
      </c>
      <c r="AQ2363" s="16">
        <f>IF(OR($B2363="",$C2363="",$D2363=""),"",DATE($C2363+2018,$D2363,1))</f>
        <v/>
      </c>
    </row>
    <row r="2364">
      <c r="A2364" s="11" t="n"/>
      <c r="B2364" s="12" t="n"/>
      <c r="C2364" s="12" t="n"/>
      <c r="D2364" s="12" t="n"/>
      <c r="E2364" s="13" t="n"/>
      <c r="F2364" s="12" t="n"/>
      <c r="G2364" s="13" t="n"/>
      <c r="H2364" s="12" t="n"/>
      <c r="I2364" s="12" t="n"/>
      <c r="J2364" s="12" t="n"/>
      <c r="K2364" s="12" t="n"/>
      <c r="L2364" s="11" t="n"/>
      <c r="M2364" s="11" t="n"/>
      <c r="N2364" s="11" t="n"/>
      <c r="O2364" s="11" t="n"/>
      <c r="P2364" s="12" t="n"/>
      <c r="Q2364" s="11" t="n"/>
      <c r="R2364" s="12" t="n"/>
      <c r="S2364" s="11" t="n"/>
      <c r="T2364" s="12" t="n"/>
      <c r="U2364" s="12" t="n"/>
      <c r="V2364" s="12" t="n"/>
      <c r="W2364" s="13" t="n"/>
      <c r="X2364" s="14">
        <f>IF($AP2364="",IF($B2364="","",$H2364),IF(INDEX(職員マスタ!$B$6:$B$405,$AP2364)="",$H2364,INDEX(職員マスタ!$B$6:$B$405,$AP2364)))</f>
        <v/>
      </c>
      <c r="Y2364" s="14">
        <f>IF($AP2364="",IF($B2364="","",$R2364),IF(INDEX(職員マスタ!$C$6:$C$405,$AP2364)="",$R2364,INDEX(職員マスタ!$C$6:$C$405,$AP2364)))</f>
        <v/>
      </c>
      <c r="Z2364" s="14">
        <f>IF($AQ2364="","","R"&amp;$C2364&amp;"."&amp;$D2364)</f>
        <v/>
      </c>
      <c r="AA2364" s="15">
        <f>IF(IF($AP2364="",FALSE,INDEX(職員マスタ!$K$6:$K$405,$AP2364)&lt;&gt;""),INDEX(職員マスタ!$K$6:$K$405,$AP2364),IF(N($W2364)&gt;0,$W2364,""))</f>
        <v/>
      </c>
      <c r="AB2364" s="14">
        <f>IF(OR($E2364="",$AA2364=""),"",IF($E2364&gt;=$AA2364,"×",IF($E2364&gt;=$AA2364*設定!$C$5,"△","○")))</f>
        <v/>
      </c>
      <c r="AC2364" s="15">
        <f>IF($AB2364="","",IF($AB2364="×",0,IF($AB2364="○",ROUNDDOWN($E2364*設定!$C$4,0),ROUNDDOWN($E2364*ROUND((9*$AA2364-9*$E2364)/(10*$E2364),4),0))))</f>
        <v/>
      </c>
      <c r="AD2364" s="13" t="n"/>
      <c r="AE2364" s="15">
        <f>IF($B2364="","",IF($AD2364&lt;&gt;"",$AD2364,IF($AC2364="","",IF($AC2364&lt;=設定!$C$3,0,$AC2364))))</f>
        <v/>
      </c>
      <c r="AF2364" s="14">
        <f>IF($B2364="","",IF(AND($AG2364&lt;&gt;"",$AI2364="",$AL2364=""),"保留中",IF($AL2364&lt;&gt;"",IF(N($AE2364)&gt;0,"支給済","不支給"),IF($AE2364="","要確認",IF($AE2364=0,"不支給","未処理")))))</f>
        <v/>
      </c>
      <c r="AG2364" s="12" t="n"/>
      <c r="AH2364" s="11" t="n"/>
      <c r="AI2364" s="11" t="n"/>
      <c r="AJ2364" s="11" t="n"/>
      <c r="AK2364" s="14">
        <f>IF(AND($AF2364="保留中",$AH2364&lt;&gt;""),TODAY()-$AH2364,"")</f>
        <v/>
      </c>
      <c r="AL2364" s="12" t="n"/>
      <c r="AM2364" s="14">
        <f>IF($B2364="","",IF($AQ2364="","対象年月が未入力／","")&amp;IF($B2364="","",IF($AP2364="","職員マスタに未登録の職員番号／",IF($AA2364="","標準報酬月額が未登録／","")&amp;IF(AND($AQ2364&lt;&gt;"",OR(AND(INDEX(職員マスタ!$G$6:$G$405,$AP2364)&lt;&gt;"",INDEX(職員マスタ!$G$6:$G$405,$AP2364)&gt;EOMONTH($AQ2364,0)),AND(INDEX(職員マスタ!$H$6:$H$405,$AP2364)&lt;&gt;"",INDEX(職員マスタ!$H$6:$H$405,$AP2364)&lt;$AQ2364))),"対象月が時短期間外／","")&amp;IF(AND(INDEX(職員マスタ!$K$6:$K$405,$AP2364)&lt;&gt;"",N($W2364)&gt;0,INDEX(職員マスタ!$K$6:$K$405,$AP2364)&lt;&gt;$W2364),"標準報酬月額が申請書と相違（台帳"&amp;TEXT(INDEX(職員マスタ!$K$6:$K$405,$AP2364),"#,##0")&amp;"円／申請書"&amp;TEXT($W2364,"#,##0")&amp;"円）／","")&amp;IF(AND(INDEX(職員マスタ!$F$6:$F$405,$AP2364)&lt;&gt;"",$AQ2364&lt;&gt;"",INDEX(職員マスタ!$F$6:$F$405,$AP2364)&lt;$AQ2364),"対象月に子が2歳到達済／","")&amp;IF(AND($H2364&lt;&gt;"",INDEX(職員マスタ!$B$6:$B$405,$AP2364)&lt;&gt;"",SUBSTITUTE(SUBSTITUTE($H2364," ","")," ","")&lt;&gt;SUBSTITUTE(SUBSTITUTE(INDEX(職員マスタ!$B$6:$B$405,$AP2364)," ","")," ","")),"氏名がマスタと相違／","")&amp;IF(AND($Q2364&lt;&gt;"",INDEX(職員マスタ!$E$6:$E$405,$AP2364)&lt;&gt;"",$Q2364&lt;&gt;INDEX(職員マスタ!$E$6:$E$405,$AP2364)),"子の生年月日がマスタと相違／","")&amp;IF(AND($L2364&lt;&gt;"",INDEX(職員マスタ!$G$6:$G$405,$AP2364)&lt;&gt;"",$L2364&lt;&gt;INDEX(職員マスタ!$G$6:$G$405,$AP2364)),"時短開始日がマスタと相違／","")&amp;IF(AND($M2364&lt;&gt;"",INDEX(職員マスタ!$H$6:$H$405,$AP2364)&lt;&gt;"",$M2364&lt;&gt;INDEX(職員マスタ!$H$6:$H$405,$AP2364)),"時短終了日がマスタと相違／","")))&amp;IF(AND($B2364&lt;&gt;"",$E2364=""),"報酬額が未入力／","")&amp;IF(N($U2364)&gt;0,"申請書に入力エラーが残っています／","")&amp;IF(AND($B2364&lt;&gt;"",$AQ2364&lt;&gt;""),IF(COUNTIFS($B$6:$B$3005,$B2364,$C$6:$C$3005,$C2364,$D$6:$D$3005,$D2364)&gt;1,"同じ月の請求が重複しています／",""),"")&amp;IF(AND(N($E2364)&gt;0,$AB2364&lt;&gt;"",$AB2364&lt;&gt;"×",$AE2364=0,$AD2364=""),"計算額が下限以下のため不支給／",""))</f>
        <v/>
      </c>
      <c r="AN2364" s="12" t="n"/>
      <c r="AO2364" s="14">
        <f>IF($AF2364="保留中",COUNTIF($AF$6:$AF2364,"保留中"),"")</f>
        <v/>
      </c>
      <c r="AP2364" s="14">
        <f>IF($AQ2364="","",IF(SUMPRODUCT(MAX((職員マスタ!$A$6:$A$405=$B2364)*(((職員マスタ!$G$6:$G$405="")+(職員マスタ!$G$6:$G$405&lt;=EOMONTH($AQ2364,0)))&gt;0)*(((職員マスタ!$H$6:$H$405="")+(職員マスタ!$H$6:$H$405&gt;=$AQ2364))&gt;0)*(ROW(職員マスタ!$A$6:$A$405)-5)))&gt;0,SUMPRODUCT(MAX((職員マスタ!$A$6:$A$405=$B2364)*(((職員マスタ!$G$6:$G$405="")+(職員マスタ!$G$6:$G$405&lt;=EOMONTH($AQ2364,0)))&gt;0)*(((職員マスタ!$H$6:$H$405="")+(職員マスタ!$H$6:$H$405&gt;=$AQ2364))&gt;0)*(ROW(職員マスタ!$A$6:$A$405)-5))),IFERROR(MATCH($B2364,職員マスタ!$A$6:$A$405,0),"")))</f>
        <v/>
      </c>
      <c r="AQ2364" s="16">
        <f>IF(OR($B2364="",$C2364="",$D2364=""),"",DATE($C2364+2018,$D2364,1))</f>
        <v/>
      </c>
    </row>
    <row r="2365">
      <c r="A2365" s="11" t="n"/>
      <c r="B2365" s="12" t="n"/>
      <c r="C2365" s="12" t="n"/>
      <c r="D2365" s="12" t="n"/>
      <c r="E2365" s="13" t="n"/>
      <c r="F2365" s="12" t="n"/>
      <c r="G2365" s="13" t="n"/>
      <c r="H2365" s="12" t="n"/>
      <c r="I2365" s="12" t="n"/>
      <c r="J2365" s="12" t="n"/>
      <c r="K2365" s="12" t="n"/>
      <c r="L2365" s="11" t="n"/>
      <c r="M2365" s="11" t="n"/>
      <c r="N2365" s="11" t="n"/>
      <c r="O2365" s="11" t="n"/>
      <c r="P2365" s="12" t="n"/>
      <c r="Q2365" s="11" t="n"/>
      <c r="R2365" s="12" t="n"/>
      <c r="S2365" s="11" t="n"/>
      <c r="T2365" s="12" t="n"/>
      <c r="U2365" s="12" t="n"/>
      <c r="V2365" s="12" t="n"/>
      <c r="W2365" s="13" t="n"/>
      <c r="X2365" s="14">
        <f>IF($AP2365="",IF($B2365="","",$H2365),IF(INDEX(職員マスタ!$B$6:$B$405,$AP2365)="",$H2365,INDEX(職員マスタ!$B$6:$B$405,$AP2365)))</f>
        <v/>
      </c>
      <c r="Y2365" s="14">
        <f>IF($AP2365="",IF($B2365="","",$R2365),IF(INDEX(職員マスタ!$C$6:$C$405,$AP2365)="",$R2365,INDEX(職員マスタ!$C$6:$C$405,$AP2365)))</f>
        <v/>
      </c>
      <c r="Z2365" s="14">
        <f>IF($AQ2365="","","R"&amp;$C2365&amp;"."&amp;$D2365)</f>
        <v/>
      </c>
      <c r="AA2365" s="15">
        <f>IF(IF($AP2365="",FALSE,INDEX(職員マスタ!$K$6:$K$405,$AP2365)&lt;&gt;""),INDEX(職員マスタ!$K$6:$K$405,$AP2365),IF(N($W2365)&gt;0,$W2365,""))</f>
        <v/>
      </c>
      <c r="AB2365" s="14">
        <f>IF(OR($E2365="",$AA2365=""),"",IF($E2365&gt;=$AA2365,"×",IF($E2365&gt;=$AA2365*設定!$C$5,"△","○")))</f>
        <v/>
      </c>
      <c r="AC2365" s="15">
        <f>IF($AB2365="","",IF($AB2365="×",0,IF($AB2365="○",ROUNDDOWN($E2365*設定!$C$4,0),ROUNDDOWN($E2365*ROUND((9*$AA2365-9*$E2365)/(10*$E2365),4),0))))</f>
        <v/>
      </c>
      <c r="AD2365" s="13" t="n"/>
      <c r="AE2365" s="15">
        <f>IF($B2365="","",IF($AD2365&lt;&gt;"",$AD2365,IF($AC2365="","",IF($AC2365&lt;=設定!$C$3,0,$AC2365))))</f>
        <v/>
      </c>
      <c r="AF2365" s="14">
        <f>IF($B2365="","",IF(AND($AG2365&lt;&gt;"",$AI2365="",$AL2365=""),"保留中",IF($AL2365&lt;&gt;"",IF(N($AE2365)&gt;0,"支給済","不支給"),IF($AE2365="","要確認",IF($AE2365=0,"不支給","未処理")))))</f>
        <v/>
      </c>
      <c r="AG2365" s="12" t="n"/>
      <c r="AH2365" s="11" t="n"/>
      <c r="AI2365" s="11" t="n"/>
      <c r="AJ2365" s="11" t="n"/>
      <c r="AK2365" s="14">
        <f>IF(AND($AF2365="保留中",$AH2365&lt;&gt;""),TODAY()-$AH2365,"")</f>
        <v/>
      </c>
      <c r="AL2365" s="12" t="n"/>
      <c r="AM2365" s="14">
        <f>IF($B2365="","",IF($AQ2365="","対象年月が未入力／","")&amp;IF($B2365="","",IF($AP2365="","職員マスタに未登録の職員番号／",IF($AA2365="","標準報酬月額が未登録／","")&amp;IF(AND($AQ2365&lt;&gt;"",OR(AND(INDEX(職員マスタ!$G$6:$G$405,$AP2365)&lt;&gt;"",INDEX(職員マスタ!$G$6:$G$405,$AP2365)&gt;EOMONTH($AQ2365,0)),AND(INDEX(職員マスタ!$H$6:$H$405,$AP2365)&lt;&gt;"",INDEX(職員マスタ!$H$6:$H$405,$AP2365)&lt;$AQ2365))),"対象月が時短期間外／","")&amp;IF(AND(INDEX(職員マスタ!$K$6:$K$405,$AP2365)&lt;&gt;"",N($W2365)&gt;0,INDEX(職員マスタ!$K$6:$K$405,$AP2365)&lt;&gt;$W2365),"標準報酬月額が申請書と相違（台帳"&amp;TEXT(INDEX(職員マスタ!$K$6:$K$405,$AP2365),"#,##0")&amp;"円／申請書"&amp;TEXT($W2365,"#,##0")&amp;"円）／","")&amp;IF(AND(INDEX(職員マスタ!$F$6:$F$405,$AP2365)&lt;&gt;"",$AQ2365&lt;&gt;"",INDEX(職員マスタ!$F$6:$F$405,$AP2365)&lt;$AQ2365),"対象月に子が2歳到達済／","")&amp;IF(AND($H2365&lt;&gt;"",INDEX(職員マスタ!$B$6:$B$405,$AP2365)&lt;&gt;"",SUBSTITUTE(SUBSTITUTE($H2365," ","")," ","")&lt;&gt;SUBSTITUTE(SUBSTITUTE(INDEX(職員マスタ!$B$6:$B$405,$AP2365)," ","")," ","")),"氏名がマスタと相違／","")&amp;IF(AND($Q2365&lt;&gt;"",INDEX(職員マスタ!$E$6:$E$405,$AP2365)&lt;&gt;"",$Q2365&lt;&gt;INDEX(職員マスタ!$E$6:$E$405,$AP2365)),"子の生年月日がマスタと相違／","")&amp;IF(AND($L2365&lt;&gt;"",INDEX(職員マスタ!$G$6:$G$405,$AP2365)&lt;&gt;"",$L2365&lt;&gt;INDEX(職員マスタ!$G$6:$G$405,$AP2365)),"時短開始日がマスタと相違／","")&amp;IF(AND($M2365&lt;&gt;"",INDEX(職員マスタ!$H$6:$H$405,$AP2365)&lt;&gt;"",$M2365&lt;&gt;INDEX(職員マスタ!$H$6:$H$405,$AP2365)),"時短終了日がマスタと相違／","")))&amp;IF(AND($B2365&lt;&gt;"",$E2365=""),"報酬額が未入力／","")&amp;IF(N($U2365)&gt;0,"申請書に入力エラーが残っています／","")&amp;IF(AND($B2365&lt;&gt;"",$AQ2365&lt;&gt;""),IF(COUNTIFS($B$6:$B$3005,$B2365,$C$6:$C$3005,$C2365,$D$6:$D$3005,$D2365)&gt;1,"同じ月の請求が重複しています／",""),"")&amp;IF(AND(N($E2365)&gt;0,$AB2365&lt;&gt;"",$AB2365&lt;&gt;"×",$AE2365=0,$AD2365=""),"計算額が下限以下のため不支給／",""))</f>
        <v/>
      </c>
      <c r="AN2365" s="12" t="n"/>
      <c r="AO2365" s="14">
        <f>IF($AF2365="保留中",COUNTIF($AF$6:$AF2365,"保留中"),"")</f>
        <v/>
      </c>
      <c r="AP2365" s="14">
        <f>IF($AQ2365="","",IF(SUMPRODUCT(MAX((職員マスタ!$A$6:$A$405=$B2365)*(((職員マスタ!$G$6:$G$405="")+(職員マスタ!$G$6:$G$405&lt;=EOMONTH($AQ2365,0)))&gt;0)*(((職員マスタ!$H$6:$H$405="")+(職員マスタ!$H$6:$H$405&gt;=$AQ2365))&gt;0)*(ROW(職員マスタ!$A$6:$A$405)-5)))&gt;0,SUMPRODUCT(MAX((職員マスタ!$A$6:$A$405=$B2365)*(((職員マスタ!$G$6:$G$405="")+(職員マスタ!$G$6:$G$405&lt;=EOMONTH($AQ2365,0)))&gt;0)*(((職員マスタ!$H$6:$H$405="")+(職員マスタ!$H$6:$H$405&gt;=$AQ2365))&gt;0)*(ROW(職員マスタ!$A$6:$A$405)-5))),IFERROR(MATCH($B2365,職員マスタ!$A$6:$A$405,0),"")))</f>
        <v/>
      </c>
      <c r="AQ2365" s="16">
        <f>IF(OR($B2365="",$C2365="",$D2365=""),"",DATE($C2365+2018,$D2365,1))</f>
        <v/>
      </c>
    </row>
    <row r="2366">
      <c r="A2366" s="11" t="n"/>
      <c r="B2366" s="12" t="n"/>
      <c r="C2366" s="12" t="n"/>
      <c r="D2366" s="12" t="n"/>
      <c r="E2366" s="13" t="n"/>
      <c r="F2366" s="12" t="n"/>
      <c r="G2366" s="13" t="n"/>
      <c r="H2366" s="12" t="n"/>
      <c r="I2366" s="12" t="n"/>
      <c r="J2366" s="12" t="n"/>
      <c r="K2366" s="12" t="n"/>
      <c r="L2366" s="11" t="n"/>
      <c r="M2366" s="11" t="n"/>
      <c r="N2366" s="11" t="n"/>
      <c r="O2366" s="11" t="n"/>
      <c r="P2366" s="12" t="n"/>
      <c r="Q2366" s="11" t="n"/>
      <c r="R2366" s="12" t="n"/>
      <c r="S2366" s="11" t="n"/>
      <c r="T2366" s="12" t="n"/>
      <c r="U2366" s="12" t="n"/>
      <c r="V2366" s="12" t="n"/>
      <c r="W2366" s="13" t="n"/>
      <c r="X2366" s="14">
        <f>IF($AP2366="",IF($B2366="","",$H2366),IF(INDEX(職員マスタ!$B$6:$B$405,$AP2366)="",$H2366,INDEX(職員マスタ!$B$6:$B$405,$AP2366)))</f>
        <v/>
      </c>
      <c r="Y2366" s="14">
        <f>IF($AP2366="",IF($B2366="","",$R2366),IF(INDEX(職員マスタ!$C$6:$C$405,$AP2366)="",$R2366,INDEX(職員マスタ!$C$6:$C$405,$AP2366)))</f>
        <v/>
      </c>
      <c r="Z2366" s="14">
        <f>IF($AQ2366="","","R"&amp;$C2366&amp;"."&amp;$D2366)</f>
        <v/>
      </c>
      <c r="AA2366" s="15">
        <f>IF(IF($AP2366="",FALSE,INDEX(職員マスタ!$K$6:$K$405,$AP2366)&lt;&gt;""),INDEX(職員マスタ!$K$6:$K$405,$AP2366),IF(N($W2366)&gt;0,$W2366,""))</f>
        <v/>
      </c>
      <c r="AB2366" s="14">
        <f>IF(OR($E2366="",$AA2366=""),"",IF($E2366&gt;=$AA2366,"×",IF($E2366&gt;=$AA2366*設定!$C$5,"△","○")))</f>
        <v/>
      </c>
      <c r="AC2366" s="15">
        <f>IF($AB2366="","",IF($AB2366="×",0,IF($AB2366="○",ROUNDDOWN($E2366*設定!$C$4,0),ROUNDDOWN($E2366*ROUND((9*$AA2366-9*$E2366)/(10*$E2366),4),0))))</f>
        <v/>
      </c>
      <c r="AD2366" s="13" t="n"/>
      <c r="AE2366" s="15">
        <f>IF($B2366="","",IF($AD2366&lt;&gt;"",$AD2366,IF($AC2366="","",IF($AC2366&lt;=設定!$C$3,0,$AC2366))))</f>
        <v/>
      </c>
      <c r="AF2366" s="14">
        <f>IF($B2366="","",IF(AND($AG2366&lt;&gt;"",$AI2366="",$AL2366=""),"保留中",IF($AL2366&lt;&gt;"",IF(N($AE2366)&gt;0,"支給済","不支給"),IF($AE2366="","要確認",IF($AE2366=0,"不支給","未処理")))))</f>
        <v/>
      </c>
      <c r="AG2366" s="12" t="n"/>
      <c r="AH2366" s="11" t="n"/>
      <c r="AI2366" s="11" t="n"/>
      <c r="AJ2366" s="11" t="n"/>
      <c r="AK2366" s="14">
        <f>IF(AND($AF2366="保留中",$AH2366&lt;&gt;""),TODAY()-$AH2366,"")</f>
        <v/>
      </c>
      <c r="AL2366" s="12" t="n"/>
      <c r="AM2366" s="14">
        <f>IF($B2366="","",IF($AQ2366="","対象年月が未入力／","")&amp;IF($B2366="","",IF($AP2366="","職員マスタに未登録の職員番号／",IF($AA2366="","標準報酬月額が未登録／","")&amp;IF(AND($AQ2366&lt;&gt;"",OR(AND(INDEX(職員マスタ!$G$6:$G$405,$AP2366)&lt;&gt;"",INDEX(職員マスタ!$G$6:$G$405,$AP2366)&gt;EOMONTH($AQ2366,0)),AND(INDEX(職員マスタ!$H$6:$H$405,$AP2366)&lt;&gt;"",INDEX(職員マスタ!$H$6:$H$405,$AP2366)&lt;$AQ2366))),"対象月が時短期間外／","")&amp;IF(AND(INDEX(職員マスタ!$K$6:$K$405,$AP2366)&lt;&gt;"",N($W2366)&gt;0,INDEX(職員マスタ!$K$6:$K$405,$AP2366)&lt;&gt;$W2366),"標準報酬月額が申請書と相違（台帳"&amp;TEXT(INDEX(職員マスタ!$K$6:$K$405,$AP2366),"#,##0")&amp;"円／申請書"&amp;TEXT($W2366,"#,##0")&amp;"円）／","")&amp;IF(AND(INDEX(職員マスタ!$F$6:$F$405,$AP2366)&lt;&gt;"",$AQ2366&lt;&gt;"",INDEX(職員マスタ!$F$6:$F$405,$AP2366)&lt;$AQ2366),"対象月に子が2歳到達済／","")&amp;IF(AND($H2366&lt;&gt;"",INDEX(職員マスタ!$B$6:$B$405,$AP2366)&lt;&gt;"",SUBSTITUTE(SUBSTITUTE($H2366," ","")," ","")&lt;&gt;SUBSTITUTE(SUBSTITUTE(INDEX(職員マスタ!$B$6:$B$405,$AP2366)," ","")," ","")),"氏名がマスタと相違／","")&amp;IF(AND($Q2366&lt;&gt;"",INDEX(職員マスタ!$E$6:$E$405,$AP2366)&lt;&gt;"",$Q2366&lt;&gt;INDEX(職員マスタ!$E$6:$E$405,$AP2366)),"子の生年月日がマスタと相違／","")&amp;IF(AND($L2366&lt;&gt;"",INDEX(職員マスタ!$G$6:$G$405,$AP2366)&lt;&gt;"",$L2366&lt;&gt;INDEX(職員マスタ!$G$6:$G$405,$AP2366)),"時短開始日がマスタと相違／","")&amp;IF(AND($M2366&lt;&gt;"",INDEX(職員マスタ!$H$6:$H$405,$AP2366)&lt;&gt;"",$M2366&lt;&gt;INDEX(職員マスタ!$H$6:$H$405,$AP2366)),"時短終了日がマスタと相違／","")))&amp;IF(AND($B2366&lt;&gt;"",$E2366=""),"報酬額が未入力／","")&amp;IF(N($U2366)&gt;0,"申請書に入力エラーが残っています／","")&amp;IF(AND($B2366&lt;&gt;"",$AQ2366&lt;&gt;""),IF(COUNTIFS($B$6:$B$3005,$B2366,$C$6:$C$3005,$C2366,$D$6:$D$3005,$D2366)&gt;1,"同じ月の請求が重複しています／",""),"")&amp;IF(AND(N($E2366)&gt;0,$AB2366&lt;&gt;"",$AB2366&lt;&gt;"×",$AE2366=0,$AD2366=""),"計算額が下限以下のため不支給／",""))</f>
        <v/>
      </c>
      <c r="AN2366" s="12" t="n"/>
      <c r="AO2366" s="14">
        <f>IF($AF2366="保留中",COUNTIF($AF$6:$AF2366,"保留中"),"")</f>
        <v/>
      </c>
      <c r="AP2366" s="14">
        <f>IF($AQ2366="","",IF(SUMPRODUCT(MAX((職員マスタ!$A$6:$A$405=$B2366)*(((職員マスタ!$G$6:$G$405="")+(職員マスタ!$G$6:$G$405&lt;=EOMONTH($AQ2366,0)))&gt;0)*(((職員マスタ!$H$6:$H$405="")+(職員マスタ!$H$6:$H$405&gt;=$AQ2366))&gt;0)*(ROW(職員マスタ!$A$6:$A$405)-5)))&gt;0,SUMPRODUCT(MAX((職員マスタ!$A$6:$A$405=$B2366)*(((職員マスタ!$G$6:$G$405="")+(職員マスタ!$G$6:$G$405&lt;=EOMONTH($AQ2366,0)))&gt;0)*(((職員マスタ!$H$6:$H$405="")+(職員マスタ!$H$6:$H$405&gt;=$AQ2366))&gt;0)*(ROW(職員マスタ!$A$6:$A$405)-5))),IFERROR(MATCH($B2366,職員マスタ!$A$6:$A$405,0),"")))</f>
        <v/>
      </c>
      <c r="AQ2366" s="16">
        <f>IF(OR($B2366="",$C2366="",$D2366=""),"",DATE($C2366+2018,$D2366,1))</f>
        <v/>
      </c>
    </row>
    <row r="2367">
      <c r="A2367" s="11" t="n"/>
      <c r="B2367" s="12" t="n"/>
      <c r="C2367" s="12" t="n"/>
      <c r="D2367" s="12" t="n"/>
      <c r="E2367" s="13" t="n"/>
      <c r="F2367" s="12" t="n"/>
      <c r="G2367" s="13" t="n"/>
      <c r="H2367" s="12" t="n"/>
      <c r="I2367" s="12" t="n"/>
      <c r="J2367" s="12" t="n"/>
      <c r="K2367" s="12" t="n"/>
      <c r="L2367" s="11" t="n"/>
      <c r="M2367" s="11" t="n"/>
      <c r="N2367" s="11" t="n"/>
      <c r="O2367" s="11" t="n"/>
      <c r="P2367" s="12" t="n"/>
      <c r="Q2367" s="11" t="n"/>
      <c r="R2367" s="12" t="n"/>
      <c r="S2367" s="11" t="n"/>
      <c r="T2367" s="12" t="n"/>
      <c r="U2367" s="12" t="n"/>
      <c r="V2367" s="12" t="n"/>
      <c r="W2367" s="13" t="n"/>
      <c r="X2367" s="14">
        <f>IF($AP2367="",IF($B2367="","",$H2367),IF(INDEX(職員マスタ!$B$6:$B$405,$AP2367)="",$H2367,INDEX(職員マスタ!$B$6:$B$405,$AP2367)))</f>
        <v/>
      </c>
      <c r="Y2367" s="14">
        <f>IF($AP2367="",IF($B2367="","",$R2367),IF(INDEX(職員マスタ!$C$6:$C$405,$AP2367)="",$R2367,INDEX(職員マスタ!$C$6:$C$405,$AP2367)))</f>
        <v/>
      </c>
      <c r="Z2367" s="14">
        <f>IF($AQ2367="","","R"&amp;$C2367&amp;"."&amp;$D2367)</f>
        <v/>
      </c>
      <c r="AA2367" s="15">
        <f>IF(IF($AP2367="",FALSE,INDEX(職員マスタ!$K$6:$K$405,$AP2367)&lt;&gt;""),INDEX(職員マスタ!$K$6:$K$405,$AP2367),IF(N($W2367)&gt;0,$W2367,""))</f>
        <v/>
      </c>
      <c r="AB2367" s="14">
        <f>IF(OR($E2367="",$AA2367=""),"",IF($E2367&gt;=$AA2367,"×",IF($E2367&gt;=$AA2367*設定!$C$5,"△","○")))</f>
        <v/>
      </c>
      <c r="AC2367" s="15">
        <f>IF($AB2367="","",IF($AB2367="×",0,IF($AB2367="○",ROUNDDOWN($E2367*設定!$C$4,0),ROUNDDOWN($E2367*ROUND((9*$AA2367-9*$E2367)/(10*$E2367),4),0))))</f>
        <v/>
      </c>
      <c r="AD2367" s="13" t="n"/>
      <c r="AE2367" s="15">
        <f>IF($B2367="","",IF($AD2367&lt;&gt;"",$AD2367,IF($AC2367="","",IF($AC2367&lt;=設定!$C$3,0,$AC2367))))</f>
        <v/>
      </c>
      <c r="AF2367" s="14">
        <f>IF($B2367="","",IF(AND($AG2367&lt;&gt;"",$AI2367="",$AL2367=""),"保留中",IF($AL2367&lt;&gt;"",IF(N($AE2367)&gt;0,"支給済","不支給"),IF($AE2367="","要確認",IF($AE2367=0,"不支給","未処理")))))</f>
        <v/>
      </c>
      <c r="AG2367" s="12" t="n"/>
      <c r="AH2367" s="11" t="n"/>
      <c r="AI2367" s="11" t="n"/>
      <c r="AJ2367" s="11" t="n"/>
      <c r="AK2367" s="14">
        <f>IF(AND($AF2367="保留中",$AH2367&lt;&gt;""),TODAY()-$AH2367,"")</f>
        <v/>
      </c>
      <c r="AL2367" s="12" t="n"/>
      <c r="AM2367" s="14">
        <f>IF($B2367="","",IF($AQ2367="","対象年月が未入力／","")&amp;IF($B2367="","",IF($AP2367="","職員マスタに未登録の職員番号／",IF($AA2367="","標準報酬月額が未登録／","")&amp;IF(AND($AQ2367&lt;&gt;"",OR(AND(INDEX(職員マスタ!$G$6:$G$405,$AP2367)&lt;&gt;"",INDEX(職員マスタ!$G$6:$G$405,$AP2367)&gt;EOMONTH($AQ2367,0)),AND(INDEX(職員マスタ!$H$6:$H$405,$AP2367)&lt;&gt;"",INDEX(職員マスタ!$H$6:$H$405,$AP2367)&lt;$AQ2367))),"対象月が時短期間外／","")&amp;IF(AND(INDEX(職員マスタ!$K$6:$K$405,$AP2367)&lt;&gt;"",N($W2367)&gt;0,INDEX(職員マスタ!$K$6:$K$405,$AP2367)&lt;&gt;$W2367),"標準報酬月額が申請書と相違（台帳"&amp;TEXT(INDEX(職員マスタ!$K$6:$K$405,$AP2367),"#,##0")&amp;"円／申請書"&amp;TEXT($W2367,"#,##0")&amp;"円）／","")&amp;IF(AND(INDEX(職員マスタ!$F$6:$F$405,$AP2367)&lt;&gt;"",$AQ2367&lt;&gt;"",INDEX(職員マスタ!$F$6:$F$405,$AP2367)&lt;$AQ2367),"対象月に子が2歳到達済／","")&amp;IF(AND($H2367&lt;&gt;"",INDEX(職員マスタ!$B$6:$B$405,$AP2367)&lt;&gt;"",SUBSTITUTE(SUBSTITUTE($H2367," ","")," ","")&lt;&gt;SUBSTITUTE(SUBSTITUTE(INDEX(職員マスタ!$B$6:$B$405,$AP2367)," ","")," ","")),"氏名がマスタと相違／","")&amp;IF(AND($Q2367&lt;&gt;"",INDEX(職員マスタ!$E$6:$E$405,$AP2367)&lt;&gt;"",$Q2367&lt;&gt;INDEX(職員マスタ!$E$6:$E$405,$AP2367)),"子の生年月日がマスタと相違／","")&amp;IF(AND($L2367&lt;&gt;"",INDEX(職員マスタ!$G$6:$G$405,$AP2367)&lt;&gt;"",$L2367&lt;&gt;INDEX(職員マスタ!$G$6:$G$405,$AP2367)),"時短開始日がマスタと相違／","")&amp;IF(AND($M2367&lt;&gt;"",INDEX(職員マスタ!$H$6:$H$405,$AP2367)&lt;&gt;"",$M2367&lt;&gt;INDEX(職員マスタ!$H$6:$H$405,$AP2367)),"時短終了日がマスタと相違／","")))&amp;IF(AND($B2367&lt;&gt;"",$E2367=""),"報酬額が未入力／","")&amp;IF(N($U2367)&gt;0,"申請書に入力エラーが残っています／","")&amp;IF(AND($B2367&lt;&gt;"",$AQ2367&lt;&gt;""),IF(COUNTIFS($B$6:$B$3005,$B2367,$C$6:$C$3005,$C2367,$D$6:$D$3005,$D2367)&gt;1,"同じ月の請求が重複しています／",""),"")&amp;IF(AND(N($E2367)&gt;0,$AB2367&lt;&gt;"",$AB2367&lt;&gt;"×",$AE2367=0,$AD2367=""),"計算額が下限以下のため不支給／",""))</f>
        <v/>
      </c>
      <c r="AN2367" s="12" t="n"/>
      <c r="AO2367" s="14">
        <f>IF($AF2367="保留中",COUNTIF($AF$6:$AF2367,"保留中"),"")</f>
        <v/>
      </c>
      <c r="AP2367" s="14">
        <f>IF($AQ2367="","",IF(SUMPRODUCT(MAX((職員マスタ!$A$6:$A$405=$B2367)*(((職員マスタ!$G$6:$G$405="")+(職員マスタ!$G$6:$G$405&lt;=EOMONTH($AQ2367,0)))&gt;0)*(((職員マスタ!$H$6:$H$405="")+(職員マスタ!$H$6:$H$405&gt;=$AQ2367))&gt;0)*(ROW(職員マスタ!$A$6:$A$405)-5)))&gt;0,SUMPRODUCT(MAX((職員マスタ!$A$6:$A$405=$B2367)*(((職員マスタ!$G$6:$G$405="")+(職員マスタ!$G$6:$G$405&lt;=EOMONTH($AQ2367,0)))&gt;0)*(((職員マスタ!$H$6:$H$405="")+(職員マスタ!$H$6:$H$405&gt;=$AQ2367))&gt;0)*(ROW(職員マスタ!$A$6:$A$405)-5))),IFERROR(MATCH($B2367,職員マスタ!$A$6:$A$405,0),"")))</f>
        <v/>
      </c>
      <c r="AQ2367" s="16">
        <f>IF(OR($B2367="",$C2367="",$D2367=""),"",DATE($C2367+2018,$D2367,1))</f>
        <v/>
      </c>
    </row>
    <row r="2368">
      <c r="A2368" s="11" t="n"/>
      <c r="B2368" s="12" t="n"/>
      <c r="C2368" s="12" t="n"/>
      <c r="D2368" s="12" t="n"/>
      <c r="E2368" s="13" t="n"/>
      <c r="F2368" s="12" t="n"/>
      <c r="G2368" s="13" t="n"/>
      <c r="H2368" s="12" t="n"/>
      <c r="I2368" s="12" t="n"/>
      <c r="J2368" s="12" t="n"/>
      <c r="K2368" s="12" t="n"/>
      <c r="L2368" s="11" t="n"/>
      <c r="M2368" s="11" t="n"/>
      <c r="N2368" s="11" t="n"/>
      <c r="O2368" s="11" t="n"/>
      <c r="P2368" s="12" t="n"/>
      <c r="Q2368" s="11" t="n"/>
      <c r="R2368" s="12" t="n"/>
      <c r="S2368" s="11" t="n"/>
      <c r="T2368" s="12" t="n"/>
      <c r="U2368" s="12" t="n"/>
      <c r="V2368" s="12" t="n"/>
      <c r="W2368" s="13" t="n"/>
      <c r="X2368" s="14">
        <f>IF($AP2368="",IF($B2368="","",$H2368),IF(INDEX(職員マスタ!$B$6:$B$405,$AP2368)="",$H2368,INDEX(職員マスタ!$B$6:$B$405,$AP2368)))</f>
        <v/>
      </c>
      <c r="Y2368" s="14">
        <f>IF($AP2368="",IF($B2368="","",$R2368),IF(INDEX(職員マスタ!$C$6:$C$405,$AP2368)="",$R2368,INDEX(職員マスタ!$C$6:$C$405,$AP2368)))</f>
        <v/>
      </c>
      <c r="Z2368" s="14">
        <f>IF($AQ2368="","","R"&amp;$C2368&amp;"."&amp;$D2368)</f>
        <v/>
      </c>
      <c r="AA2368" s="15">
        <f>IF(IF($AP2368="",FALSE,INDEX(職員マスタ!$K$6:$K$405,$AP2368)&lt;&gt;""),INDEX(職員マスタ!$K$6:$K$405,$AP2368),IF(N($W2368)&gt;0,$W2368,""))</f>
        <v/>
      </c>
      <c r="AB2368" s="14">
        <f>IF(OR($E2368="",$AA2368=""),"",IF($E2368&gt;=$AA2368,"×",IF($E2368&gt;=$AA2368*設定!$C$5,"△","○")))</f>
        <v/>
      </c>
      <c r="AC2368" s="15">
        <f>IF($AB2368="","",IF($AB2368="×",0,IF($AB2368="○",ROUNDDOWN($E2368*設定!$C$4,0),ROUNDDOWN($E2368*ROUND((9*$AA2368-9*$E2368)/(10*$E2368),4),0))))</f>
        <v/>
      </c>
      <c r="AD2368" s="13" t="n"/>
      <c r="AE2368" s="15">
        <f>IF($B2368="","",IF($AD2368&lt;&gt;"",$AD2368,IF($AC2368="","",IF($AC2368&lt;=設定!$C$3,0,$AC2368))))</f>
        <v/>
      </c>
      <c r="AF2368" s="14">
        <f>IF($B2368="","",IF(AND($AG2368&lt;&gt;"",$AI2368="",$AL2368=""),"保留中",IF($AL2368&lt;&gt;"",IF(N($AE2368)&gt;0,"支給済","不支給"),IF($AE2368="","要確認",IF($AE2368=0,"不支給","未処理")))))</f>
        <v/>
      </c>
      <c r="AG2368" s="12" t="n"/>
      <c r="AH2368" s="11" t="n"/>
      <c r="AI2368" s="11" t="n"/>
      <c r="AJ2368" s="11" t="n"/>
      <c r="AK2368" s="14">
        <f>IF(AND($AF2368="保留中",$AH2368&lt;&gt;""),TODAY()-$AH2368,"")</f>
        <v/>
      </c>
      <c r="AL2368" s="12" t="n"/>
      <c r="AM2368" s="14">
        <f>IF($B2368="","",IF($AQ2368="","対象年月が未入力／","")&amp;IF($B2368="","",IF($AP2368="","職員マスタに未登録の職員番号／",IF($AA2368="","標準報酬月額が未登録／","")&amp;IF(AND($AQ2368&lt;&gt;"",OR(AND(INDEX(職員マスタ!$G$6:$G$405,$AP2368)&lt;&gt;"",INDEX(職員マスタ!$G$6:$G$405,$AP2368)&gt;EOMONTH($AQ2368,0)),AND(INDEX(職員マスタ!$H$6:$H$405,$AP2368)&lt;&gt;"",INDEX(職員マスタ!$H$6:$H$405,$AP2368)&lt;$AQ2368))),"対象月が時短期間外／","")&amp;IF(AND(INDEX(職員マスタ!$K$6:$K$405,$AP2368)&lt;&gt;"",N($W2368)&gt;0,INDEX(職員マスタ!$K$6:$K$405,$AP2368)&lt;&gt;$W2368),"標準報酬月額が申請書と相違（台帳"&amp;TEXT(INDEX(職員マスタ!$K$6:$K$405,$AP2368),"#,##0")&amp;"円／申請書"&amp;TEXT($W2368,"#,##0")&amp;"円）／","")&amp;IF(AND(INDEX(職員マスタ!$F$6:$F$405,$AP2368)&lt;&gt;"",$AQ2368&lt;&gt;"",INDEX(職員マスタ!$F$6:$F$405,$AP2368)&lt;$AQ2368),"対象月に子が2歳到達済／","")&amp;IF(AND($H2368&lt;&gt;"",INDEX(職員マスタ!$B$6:$B$405,$AP2368)&lt;&gt;"",SUBSTITUTE(SUBSTITUTE($H2368," ","")," ","")&lt;&gt;SUBSTITUTE(SUBSTITUTE(INDEX(職員マスタ!$B$6:$B$405,$AP2368)," ","")," ","")),"氏名がマスタと相違／","")&amp;IF(AND($Q2368&lt;&gt;"",INDEX(職員マスタ!$E$6:$E$405,$AP2368)&lt;&gt;"",$Q2368&lt;&gt;INDEX(職員マスタ!$E$6:$E$405,$AP2368)),"子の生年月日がマスタと相違／","")&amp;IF(AND($L2368&lt;&gt;"",INDEX(職員マスタ!$G$6:$G$405,$AP2368)&lt;&gt;"",$L2368&lt;&gt;INDEX(職員マスタ!$G$6:$G$405,$AP2368)),"時短開始日がマスタと相違／","")&amp;IF(AND($M2368&lt;&gt;"",INDEX(職員マスタ!$H$6:$H$405,$AP2368)&lt;&gt;"",$M2368&lt;&gt;INDEX(職員マスタ!$H$6:$H$405,$AP2368)),"時短終了日がマスタと相違／","")))&amp;IF(AND($B2368&lt;&gt;"",$E2368=""),"報酬額が未入力／","")&amp;IF(N($U2368)&gt;0,"申請書に入力エラーが残っています／","")&amp;IF(AND($B2368&lt;&gt;"",$AQ2368&lt;&gt;""),IF(COUNTIFS($B$6:$B$3005,$B2368,$C$6:$C$3005,$C2368,$D$6:$D$3005,$D2368)&gt;1,"同じ月の請求が重複しています／",""),"")&amp;IF(AND(N($E2368)&gt;0,$AB2368&lt;&gt;"",$AB2368&lt;&gt;"×",$AE2368=0,$AD2368=""),"計算額が下限以下のため不支給／",""))</f>
        <v/>
      </c>
      <c r="AN2368" s="12" t="n"/>
      <c r="AO2368" s="14">
        <f>IF($AF2368="保留中",COUNTIF($AF$6:$AF2368,"保留中"),"")</f>
        <v/>
      </c>
      <c r="AP2368" s="14">
        <f>IF($AQ2368="","",IF(SUMPRODUCT(MAX((職員マスタ!$A$6:$A$405=$B2368)*(((職員マスタ!$G$6:$G$405="")+(職員マスタ!$G$6:$G$405&lt;=EOMONTH($AQ2368,0)))&gt;0)*(((職員マスタ!$H$6:$H$405="")+(職員マスタ!$H$6:$H$405&gt;=$AQ2368))&gt;0)*(ROW(職員マスタ!$A$6:$A$405)-5)))&gt;0,SUMPRODUCT(MAX((職員マスタ!$A$6:$A$405=$B2368)*(((職員マスタ!$G$6:$G$405="")+(職員マスタ!$G$6:$G$405&lt;=EOMONTH($AQ2368,0)))&gt;0)*(((職員マスタ!$H$6:$H$405="")+(職員マスタ!$H$6:$H$405&gt;=$AQ2368))&gt;0)*(ROW(職員マスタ!$A$6:$A$405)-5))),IFERROR(MATCH($B2368,職員マスタ!$A$6:$A$405,0),"")))</f>
        <v/>
      </c>
      <c r="AQ2368" s="16">
        <f>IF(OR($B2368="",$C2368="",$D2368=""),"",DATE($C2368+2018,$D2368,1))</f>
        <v/>
      </c>
    </row>
    <row r="2369">
      <c r="A2369" s="11" t="n"/>
      <c r="B2369" s="12" t="n"/>
      <c r="C2369" s="12" t="n"/>
      <c r="D2369" s="12" t="n"/>
      <c r="E2369" s="13" t="n"/>
      <c r="F2369" s="12" t="n"/>
      <c r="G2369" s="13" t="n"/>
      <c r="H2369" s="12" t="n"/>
      <c r="I2369" s="12" t="n"/>
      <c r="J2369" s="12" t="n"/>
      <c r="K2369" s="12" t="n"/>
      <c r="L2369" s="11" t="n"/>
      <c r="M2369" s="11" t="n"/>
      <c r="N2369" s="11" t="n"/>
      <c r="O2369" s="11" t="n"/>
      <c r="P2369" s="12" t="n"/>
      <c r="Q2369" s="11" t="n"/>
      <c r="R2369" s="12" t="n"/>
      <c r="S2369" s="11" t="n"/>
      <c r="T2369" s="12" t="n"/>
      <c r="U2369" s="12" t="n"/>
      <c r="V2369" s="12" t="n"/>
      <c r="W2369" s="13" t="n"/>
      <c r="X2369" s="14">
        <f>IF($AP2369="",IF($B2369="","",$H2369),IF(INDEX(職員マスタ!$B$6:$B$405,$AP2369)="",$H2369,INDEX(職員マスタ!$B$6:$B$405,$AP2369)))</f>
        <v/>
      </c>
      <c r="Y2369" s="14">
        <f>IF($AP2369="",IF($B2369="","",$R2369),IF(INDEX(職員マスタ!$C$6:$C$405,$AP2369)="",$R2369,INDEX(職員マスタ!$C$6:$C$405,$AP2369)))</f>
        <v/>
      </c>
      <c r="Z2369" s="14">
        <f>IF($AQ2369="","","R"&amp;$C2369&amp;"."&amp;$D2369)</f>
        <v/>
      </c>
      <c r="AA2369" s="15">
        <f>IF(IF($AP2369="",FALSE,INDEX(職員マスタ!$K$6:$K$405,$AP2369)&lt;&gt;""),INDEX(職員マスタ!$K$6:$K$405,$AP2369),IF(N($W2369)&gt;0,$W2369,""))</f>
        <v/>
      </c>
      <c r="AB2369" s="14">
        <f>IF(OR($E2369="",$AA2369=""),"",IF($E2369&gt;=$AA2369,"×",IF($E2369&gt;=$AA2369*設定!$C$5,"△","○")))</f>
        <v/>
      </c>
      <c r="AC2369" s="15">
        <f>IF($AB2369="","",IF($AB2369="×",0,IF($AB2369="○",ROUNDDOWN($E2369*設定!$C$4,0),ROUNDDOWN($E2369*ROUND((9*$AA2369-9*$E2369)/(10*$E2369),4),0))))</f>
        <v/>
      </c>
      <c r="AD2369" s="13" t="n"/>
      <c r="AE2369" s="15">
        <f>IF($B2369="","",IF($AD2369&lt;&gt;"",$AD2369,IF($AC2369="","",IF($AC2369&lt;=設定!$C$3,0,$AC2369))))</f>
        <v/>
      </c>
      <c r="AF2369" s="14">
        <f>IF($B2369="","",IF(AND($AG2369&lt;&gt;"",$AI2369="",$AL2369=""),"保留中",IF($AL2369&lt;&gt;"",IF(N($AE2369)&gt;0,"支給済","不支給"),IF($AE2369="","要確認",IF($AE2369=0,"不支給","未処理")))))</f>
        <v/>
      </c>
      <c r="AG2369" s="12" t="n"/>
      <c r="AH2369" s="11" t="n"/>
      <c r="AI2369" s="11" t="n"/>
      <c r="AJ2369" s="11" t="n"/>
      <c r="AK2369" s="14">
        <f>IF(AND($AF2369="保留中",$AH2369&lt;&gt;""),TODAY()-$AH2369,"")</f>
        <v/>
      </c>
      <c r="AL2369" s="12" t="n"/>
      <c r="AM2369" s="14">
        <f>IF($B2369="","",IF($AQ2369="","対象年月が未入力／","")&amp;IF($B2369="","",IF($AP2369="","職員マスタに未登録の職員番号／",IF($AA2369="","標準報酬月額が未登録／","")&amp;IF(AND($AQ2369&lt;&gt;"",OR(AND(INDEX(職員マスタ!$G$6:$G$405,$AP2369)&lt;&gt;"",INDEX(職員マスタ!$G$6:$G$405,$AP2369)&gt;EOMONTH($AQ2369,0)),AND(INDEX(職員マスタ!$H$6:$H$405,$AP2369)&lt;&gt;"",INDEX(職員マスタ!$H$6:$H$405,$AP2369)&lt;$AQ2369))),"対象月が時短期間外／","")&amp;IF(AND(INDEX(職員マスタ!$K$6:$K$405,$AP2369)&lt;&gt;"",N($W2369)&gt;0,INDEX(職員マスタ!$K$6:$K$405,$AP2369)&lt;&gt;$W2369),"標準報酬月額が申請書と相違（台帳"&amp;TEXT(INDEX(職員マスタ!$K$6:$K$405,$AP2369),"#,##0")&amp;"円／申請書"&amp;TEXT($W2369,"#,##0")&amp;"円）／","")&amp;IF(AND(INDEX(職員マスタ!$F$6:$F$405,$AP2369)&lt;&gt;"",$AQ2369&lt;&gt;"",INDEX(職員マスタ!$F$6:$F$405,$AP2369)&lt;$AQ2369),"対象月に子が2歳到達済／","")&amp;IF(AND($H2369&lt;&gt;"",INDEX(職員マスタ!$B$6:$B$405,$AP2369)&lt;&gt;"",SUBSTITUTE(SUBSTITUTE($H2369," ","")," ","")&lt;&gt;SUBSTITUTE(SUBSTITUTE(INDEX(職員マスタ!$B$6:$B$405,$AP2369)," ","")," ","")),"氏名がマスタと相違／","")&amp;IF(AND($Q2369&lt;&gt;"",INDEX(職員マスタ!$E$6:$E$405,$AP2369)&lt;&gt;"",$Q2369&lt;&gt;INDEX(職員マスタ!$E$6:$E$405,$AP2369)),"子の生年月日がマスタと相違／","")&amp;IF(AND($L2369&lt;&gt;"",INDEX(職員マスタ!$G$6:$G$405,$AP2369)&lt;&gt;"",$L2369&lt;&gt;INDEX(職員マスタ!$G$6:$G$405,$AP2369)),"時短開始日がマスタと相違／","")&amp;IF(AND($M2369&lt;&gt;"",INDEX(職員マスタ!$H$6:$H$405,$AP2369)&lt;&gt;"",$M2369&lt;&gt;INDEX(職員マスタ!$H$6:$H$405,$AP2369)),"時短終了日がマスタと相違／","")))&amp;IF(AND($B2369&lt;&gt;"",$E2369=""),"報酬額が未入力／","")&amp;IF(N($U2369)&gt;0,"申請書に入力エラーが残っています／","")&amp;IF(AND($B2369&lt;&gt;"",$AQ2369&lt;&gt;""),IF(COUNTIFS($B$6:$B$3005,$B2369,$C$6:$C$3005,$C2369,$D$6:$D$3005,$D2369)&gt;1,"同じ月の請求が重複しています／",""),"")&amp;IF(AND(N($E2369)&gt;0,$AB2369&lt;&gt;"",$AB2369&lt;&gt;"×",$AE2369=0,$AD2369=""),"計算額が下限以下のため不支給／",""))</f>
        <v/>
      </c>
      <c r="AN2369" s="12" t="n"/>
      <c r="AO2369" s="14">
        <f>IF($AF2369="保留中",COUNTIF($AF$6:$AF2369,"保留中"),"")</f>
        <v/>
      </c>
      <c r="AP2369" s="14">
        <f>IF($AQ2369="","",IF(SUMPRODUCT(MAX((職員マスタ!$A$6:$A$405=$B2369)*(((職員マスタ!$G$6:$G$405="")+(職員マスタ!$G$6:$G$405&lt;=EOMONTH($AQ2369,0)))&gt;0)*(((職員マスタ!$H$6:$H$405="")+(職員マスタ!$H$6:$H$405&gt;=$AQ2369))&gt;0)*(ROW(職員マスタ!$A$6:$A$405)-5)))&gt;0,SUMPRODUCT(MAX((職員マスタ!$A$6:$A$405=$B2369)*(((職員マスタ!$G$6:$G$405="")+(職員マスタ!$G$6:$G$405&lt;=EOMONTH($AQ2369,0)))&gt;0)*(((職員マスタ!$H$6:$H$405="")+(職員マスタ!$H$6:$H$405&gt;=$AQ2369))&gt;0)*(ROW(職員マスタ!$A$6:$A$405)-5))),IFERROR(MATCH($B2369,職員マスタ!$A$6:$A$405,0),"")))</f>
        <v/>
      </c>
      <c r="AQ2369" s="16">
        <f>IF(OR($B2369="",$C2369="",$D2369=""),"",DATE($C2369+2018,$D2369,1))</f>
        <v/>
      </c>
    </row>
    <row r="2370">
      <c r="A2370" s="11" t="n"/>
      <c r="B2370" s="12" t="n"/>
      <c r="C2370" s="12" t="n"/>
      <c r="D2370" s="12" t="n"/>
      <c r="E2370" s="13" t="n"/>
      <c r="F2370" s="12" t="n"/>
      <c r="G2370" s="13" t="n"/>
      <c r="H2370" s="12" t="n"/>
      <c r="I2370" s="12" t="n"/>
      <c r="J2370" s="12" t="n"/>
      <c r="K2370" s="12" t="n"/>
      <c r="L2370" s="11" t="n"/>
      <c r="M2370" s="11" t="n"/>
      <c r="N2370" s="11" t="n"/>
      <c r="O2370" s="11" t="n"/>
      <c r="P2370" s="12" t="n"/>
      <c r="Q2370" s="11" t="n"/>
      <c r="R2370" s="12" t="n"/>
      <c r="S2370" s="11" t="n"/>
      <c r="T2370" s="12" t="n"/>
      <c r="U2370" s="12" t="n"/>
      <c r="V2370" s="12" t="n"/>
      <c r="W2370" s="13" t="n"/>
      <c r="X2370" s="14">
        <f>IF($AP2370="",IF($B2370="","",$H2370),IF(INDEX(職員マスタ!$B$6:$B$405,$AP2370)="",$H2370,INDEX(職員マスタ!$B$6:$B$405,$AP2370)))</f>
        <v/>
      </c>
      <c r="Y2370" s="14">
        <f>IF($AP2370="",IF($B2370="","",$R2370),IF(INDEX(職員マスタ!$C$6:$C$405,$AP2370)="",$R2370,INDEX(職員マスタ!$C$6:$C$405,$AP2370)))</f>
        <v/>
      </c>
      <c r="Z2370" s="14">
        <f>IF($AQ2370="","","R"&amp;$C2370&amp;"."&amp;$D2370)</f>
        <v/>
      </c>
      <c r="AA2370" s="15">
        <f>IF(IF($AP2370="",FALSE,INDEX(職員マスタ!$K$6:$K$405,$AP2370)&lt;&gt;""),INDEX(職員マスタ!$K$6:$K$405,$AP2370),IF(N($W2370)&gt;0,$W2370,""))</f>
        <v/>
      </c>
      <c r="AB2370" s="14">
        <f>IF(OR($E2370="",$AA2370=""),"",IF($E2370&gt;=$AA2370,"×",IF($E2370&gt;=$AA2370*設定!$C$5,"△","○")))</f>
        <v/>
      </c>
      <c r="AC2370" s="15">
        <f>IF($AB2370="","",IF($AB2370="×",0,IF($AB2370="○",ROUNDDOWN($E2370*設定!$C$4,0),ROUNDDOWN($E2370*ROUND((9*$AA2370-9*$E2370)/(10*$E2370),4),0))))</f>
        <v/>
      </c>
      <c r="AD2370" s="13" t="n"/>
      <c r="AE2370" s="15">
        <f>IF($B2370="","",IF($AD2370&lt;&gt;"",$AD2370,IF($AC2370="","",IF($AC2370&lt;=設定!$C$3,0,$AC2370))))</f>
        <v/>
      </c>
      <c r="AF2370" s="14">
        <f>IF($B2370="","",IF(AND($AG2370&lt;&gt;"",$AI2370="",$AL2370=""),"保留中",IF($AL2370&lt;&gt;"",IF(N($AE2370)&gt;0,"支給済","不支給"),IF($AE2370="","要確認",IF($AE2370=0,"不支給","未処理")))))</f>
        <v/>
      </c>
      <c r="AG2370" s="12" t="n"/>
      <c r="AH2370" s="11" t="n"/>
      <c r="AI2370" s="11" t="n"/>
      <c r="AJ2370" s="11" t="n"/>
      <c r="AK2370" s="14">
        <f>IF(AND($AF2370="保留中",$AH2370&lt;&gt;""),TODAY()-$AH2370,"")</f>
        <v/>
      </c>
      <c r="AL2370" s="12" t="n"/>
      <c r="AM2370" s="14">
        <f>IF($B2370="","",IF($AQ2370="","対象年月が未入力／","")&amp;IF($B2370="","",IF($AP2370="","職員マスタに未登録の職員番号／",IF($AA2370="","標準報酬月額が未登録／","")&amp;IF(AND($AQ2370&lt;&gt;"",OR(AND(INDEX(職員マスタ!$G$6:$G$405,$AP2370)&lt;&gt;"",INDEX(職員マスタ!$G$6:$G$405,$AP2370)&gt;EOMONTH($AQ2370,0)),AND(INDEX(職員マスタ!$H$6:$H$405,$AP2370)&lt;&gt;"",INDEX(職員マスタ!$H$6:$H$405,$AP2370)&lt;$AQ2370))),"対象月が時短期間外／","")&amp;IF(AND(INDEX(職員マスタ!$K$6:$K$405,$AP2370)&lt;&gt;"",N($W2370)&gt;0,INDEX(職員マスタ!$K$6:$K$405,$AP2370)&lt;&gt;$W2370),"標準報酬月額が申請書と相違（台帳"&amp;TEXT(INDEX(職員マスタ!$K$6:$K$405,$AP2370),"#,##0")&amp;"円／申請書"&amp;TEXT($W2370,"#,##0")&amp;"円）／","")&amp;IF(AND(INDEX(職員マスタ!$F$6:$F$405,$AP2370)&lt;&gt;"",$AQ2370&lt;&gt;"",INDEX(職員マスタ!$F$6:$F$405,$AP2370)&lt;$AQ2370),"対象月に子が2歳到達済／","")&amp;IF(AND($H2370&lt;&gt;"",INDEX(職員マスタ!$B$6:$B$405,$AP2370)&lt;&gt;"",SUBSTITUTE(SUBSTITUTE($H2370," ","")," ","")&lt;&gt;SUBSTITUTE(SUBSTITUTE(INDEX(職員マスタ!$B$6:$B$405,$AP2370)," ","")," ","")),"氏名がマスタと相違／","")&amp;IF(AND($Q2370&lt;&gt;"",INDEX(職員マスタ!$E$6:$E$405,$AP2370)&lt;&gt;"",$Q2370&lt;&gt;INDEX(職員マスタ!$E$6:$E$405,$AP2370)),"子の生年月日がマスタと相違／","")&amp;IF(AND($L2370&lt;&gt;"",INDEX(職員マスタ!$G$6:$G$405,$AP2370)&lt;&gt;"",$L2370&lt;&gt;INDEX(職員マスタ!$G$6:$G$405,$AP2370)),"時短開始日がマスタと相違／","")&amp;IF(AND($M2370&lt;&gt;"",INDEX(職員マスタ!$H$6:$H$405,$AP2370)&lt;&gt;"",$M2370&lt;&gt;INDEX(職員マスタ!$H$6:$H$405,$AP2370)),"時短終了日がマスタと相違／","")))&amp;IF(AND($B2370&lt;&gt;"",$E2370=""),"報酬額が未入力／","")&amp;IF(N($U2370)&gt;0,"申請書に入力エラーが残っています／","")&amp;IF(AND($B2370&lt;&gt;"",$AQ2370&lt;&gt;""),IF(COUNTIFS($B$6:$B$3005,$B2370,$C$6:$C$3005,$C2370,$D$6:$D$3005,$D2370)&gt;1,"同じ月の請求が重複しています／",""),"")&amp;IF(AND(N($E2370)&gt;0,$AB2370&lt;&gt;"",$AB2370&lt;&gt;"×",$AE2370=0,$AD2370=""),"計算額が下限以下のため不支給／",""))</f>
        <v/>
      </c>
      <c r="AN2370" s="12" t="n"/>
      <c r="AO2370" s="14">
        <f>IF($AF2370="保留中",COUNTIF($AF$6:$AF2370,"保留中"),"")</f>
        <v/>
      </c>
      <c r="AP2370" s="14">
        <f>IF($AQ2370="","",IF(SUMPRODUCT(MAX((職員マスタ!$A$6:$A$405=$B2370)*(((職員マスタ!$G$6:$G$405="")+(職員マスタ!$G$6:$G$405&lt;=EOMONTH($AQ2370,0)))&gt;0)*(((職員マスタ!$H$6:$H$405="")+(職員マスタ!$H$6:$H$405&gt;=$AQ2370))&gt;0)*(ROW(職員マスタ!$A$6:$A$405)-5)))&gt;0,SUMPRODUCT(MAX((職員マスタ!$A$6:$A$405=$B2370)*(((職員マスタ!$G$6:$G$405="")+(職員マスタ!$G$6:$G$405&lt;=EOMONTH($AQ2370,0)))&gt;0)*(((職員マスタ!$H$6:$H$405="")+(職員マスタ!$H$6:$H$405&gt;=$AQ2370))&gt;0)*(ROW(職員マスタ!$A$6:$A$405)-5))),IFERROR(MATCH($B2370,職員マスタ!$A$6:$A$405,0),"")))</f>
        <v/>
      </c>
      <c r="AQ2370" s="16">
        <f>IF(OR($B2370="",$C2370="",$D2370=""),"",DATE($C2370+2018,$D2370,1))</f>
        <v/>
      </c>
    </row>
    <row r="2371">
      <c r="A2371" s="11" t="n"/>
      <c r="B2371" s="12" t="n"/>
      <c r="C2371" s="12" t="n"/>
      <c r="D2371" s="12" t="n"/>
      <c r="E2371" s="13" t="n"/>
      <c r="F2371" s="12" t="n"/>
      <c r="G2371" s="13" t="n"/>
      <c r="H2371" s="12" t="n"/>
      <c r="I2371" s="12" t="n"/>
      <c r="J2371" s="12" t="n"/>
      <c r="K2371" s="12" t="n"/>
      <c r="L2371" s="11" t="n"/>
      <c r="M2371" s="11" t="n"/>
      <c r="N2371" s="11" t="n"/>
      <c r="O2371" s="11" t="n"/>
      <c r="P2371" s="12" t="n"/>
      <c r="Q2371" s="11" t="n"/>
      <c r="R2371" s="12" t="n"/>
      <c r="S2371" s="11" t="n"/>
      <c r="T2371" s="12" t="n"/>
      <c r="U2371" s="12" t="n"/>
      <c r="V2371" s="12" t="n"/>
      <c r="W2371" s="13" t="n"/>
      <c r="X2371" s="14">
        <f>IF($AP2371="",IF($B2371="","",$H2371),IF(INDEX(職員マスタ!$B$6:$B$405,$AP2371)="",$H2371,INDEX(職員マスタ!$B$6:$B$405,$AP2371)))</f>
        <v/>
      </c>
      <c r="Y2371" s="14">
        <f>IF($AP2371="",IF($B2371="","",$R2371),IF(INDEX(職員マスタ!$C$6:$C$405,$AP2371)="",$R2371,INDEX(職員マスタ!$C$6:$C$405,$AP2371)))</f>
        <v/>
      </c>
      <c r="Z2371" s="14">
        <f>IF($AQ2371="","","R"&amp;$C2371&amp;"."&amp;$D2371)</f>
        <v/>
      </c>
      <c r="AA2371" s="15">
        <f>IF(IF($AP2371="",FALSE,INDEX(職員マスタ!$K$6:$K$405,$AP2371)&lt;&gt;""),INDEX(職員マスタ!$K$6:$K$405,$AP2371),IF(N($W2371)&gt;0,$W2371,""))</f>
        <v/>
      </c>
      <c r="AB2371" s="14">
        <f>IF(OR($E2371="",$AA2371=""),"",IF($E2371&gt;=$AA2371,"×",IF($E2371&gt;=$AA2371*設定!$C$5,"△","○")))</f>
        <v/>
      </c>
      <c r="AC2371" s="15">
        <f>IF($AB2371="","",IF($AB2371="×",0,IF($AB2371="○",ROUNDDOWN($E2371*設定!$C$4,0),ROUNDDOWN($E2371*ROUND((9*$AA2371-9*$E2371)/(10*$E2371),4),0))))</f>
        <v/>
      </c>
      <c r="AD2371" s="13" t="n"/>
      <c r="AE2371" s="15">
        <f>IF($B2371="","",IF($AD2371&lt;&gt;"",$AD2371,IF($AC2371="","",IF($AC2371&lt;=設定!$C$3,0,$AC2371))))</f>
        <v/>
      </c>
      <c r="AF2371" s="14">
        <f>IF($B2371="","",IF(AND($AG2371&lt;&gt;"",$AI2371="",$AL2371=""),"保留中",IF($AL2371&lt;&gt;"",IF(N($AE2371)&gt;0,"支給済","不支給"),IF($AE2371="","要確認",IF($AE2371=0,"不支給","未処理")))))</f>
        <v/>
      </c>
      <c r="AG2371" s="12" t="n"/>
      <c r="AH2371" s="11" t="n"/>
      <c r="AI2371" s="11" t="n"/>
      <c r="AJ2371" s="11" t="n"/>
      <c r="AK2371" s="14">
        <f>IF(AND($AF2371="保留中",$AH2371&lt;&gt;""),TODAY()-$AH2371,"")</f>
        <v/>
      </c>
      <c r="AL2371" s="12" t="n"/>
      <c r="AM2371" s="14">
        <f>IF($B2371="","",IF($AQ2371="","対象年月が未入力／","")&amp;IF($B2371="","",IF($AP2371="","職員マスタに未登録の職員番号／",IF($AA2371="","標準報酬月額が未登録／","")&amp;IF(AND($AQ2371&lt;&gt;"",OR(AND(INDEX(職員マスタ!$G$6:$G$405,$AP2371)&lt;&gt;"",INDEX(職員マスタ!$G$6:$G$405,$AP2371)&gt;EOMONTH($AQ2371,0)),AND(INDEX(職員マスタ!$H$6:$H$405,$AP2371)&lt;&gt;"",INDEX(職員マスタ!$H$6:$H$405,$AP2371)&lt;$AQ2371))),"対象月が時短期間外／","")&amp;IF(AND(INDEX(職員マスタ!$K$6:$K$405,$AP2371)&lt;&gt;"",N($W2371)&gt;0,INDEX(職員マスタ!$K$6:$K$405,$AP2371)&lt;&gt;$W2371),"標準報酬月額が申請書と相違（台帳"&amp;TEXT(INDEX(職員マスタ!$K$6:$K$405,$AP2371),"#,##0")&amp;"円／申請書"&amp;TEXT($W2371,"#,##0")&amp;"円）／","")&amp;IF(AND(INDEX(職員マスタ!$F$6:$F$405,$AP2371)&lt;&gt;"",$AQ2371&lt;&gt;"",INDEX(職員マスタ!$F$6:$F$405,$AP2371)&lt;$AQ2371),"対象月に子が2歳到達済／","")&amp;IF(AND($H2371&lt;&gt;"",INDEX(職員マスタ!$B$6:$B$405,$AP2371)&lt;&gt;"",SUBSTITUTE(SUBSTITUTE($H2371," ","")," ","")&lt;&gt;SUBSTITUTE(SUBSTITUTE(INDEX(職員マスタ!$B$6:$B$405,$AP2371)," ","")," ","")),"氏名がマスタと相違／","")&amp;IF(AND($Q2371&lt;&gt;"",INDEX(職員マスタ!$E$6:$E$405,$AP2371)&lt;&gt;"",$Q2371&lt;&gt;INDEX(職員マスタ!$E$6:$E$405,$AP2371)),"子の生年月日がマスタと相違／","")&amp;IF(AND($L2371&lt;&gt;"",INDEX(職員マスタ!$G$6:$G$405,$AP2371)&lt;&gt;"",$L2371&lt;&gt;INDEX(職員マスタ!$G$6:$G$405,$AP2371)),"時短開始日がマスタと相違／","")&amp;IF(AND($M2371&lt;&gt;"",INDEX(職員マスタ!$H$6:$H$405,$AP2371)&lt;&gt;"",$M2371&lt;&gt;INDEX(職員マスタ!$H$6:$H$405,$AP2371)),"時短終了日がマスタと相違／","")))&amp;IF(AND($B2371&lt;&gt;"",$E2371=""),"報酬額が未入力／","")&amp;IF(N($U2371)&gt;0,"申請書に入力エラーが残っています／","")&amp;IF(AND($B2371&lt;&gt;"",$AQ2371&lt;&gt;""),IF(COUNTIFS($B$6:$B$3005,$B2371,$C$6:$C$3005,$C2371,$D$6:$D$3005,$D2371)&gt;1,"同じ月の請求が重複しています／",""),"")&amp;IF(AND(N($E2371)&gt;0,$AB2371&lt;&gt;"",$AB2371&lt;&gt;"×",$AE2371=0,$AD2371=""),"計算額が下限以下のため不支給／",""))</f>
        <v/>
      </c>
      <c r="AN2371" s="12" t="n"/>
      <c r="AO2371" s="14">
        <f>IF($AF2371="保留中",COUNTIF($AF$6:$AF2371,"保留中"),"")</f>
        <v/>
      </c>
      <c r="AP2371" s="14">
        <f>IF($AQ2371="","",IF(SUMPRODUCT(MAX((職員マスタ!$A$6:$A$405=$B2371)*(((職員マスタ!$G$6:$G$405="")+(職員マスタ!$G$6:$G$405&lt;=EOMONTH($AQ2371,0)))&gt;0)*(((職員マスタ!$H$6:$H$405="")+(職員マスタ!$H$6:$H$405&gt;=$AQ2371))&gt;0)*(ROW(職員マスタ!$A$6:$A$405)-5)))&gt;0,SUMPRODUCT(MAX((職員マスタ!$A$6:$A$405=$B2371)*(((職員マスタ!$G$6:$G$405="")+(職員マスタ!$G$6:$G$405&lt;=EOMONTH($AQ2371,0)))&gt;0)*(((職員マスタ!$H$6:$H$405="")+(職員マスタ!$H$6:$H$405&gt;=$AQ2371))&gt;0)*(ROW(職員マスタ!$A$6:$A$405)-5))),IFERROR(MATCH($B2371,職員マスタ!$A$6:$A$405,0),"")))</f>
        <v/>
      </c>
      <c r="AQ2371" s="16">
        <f>IF(OR($B2371="",$C2371="",$D2371=""),"",DATE($C2371+2018,$D2371,1))</f>
        <v/>
      </c>
    </row>
    <row r="2372">
      <c r="A2372" s="11" t="n"/>
      <c r="B2372" s="12" t="n"/>
      <c r="C2372" s="12" t="n"/>
      <c r="D2372" s="12" t="n"/>
      <c r="E2372" s="13" t="n"/>
      <c r="F2372" s="12" t="n"/>
      <c r="G2372" s="13" t="n"/>
      <c r="H2372" s="12" t="n"/>
      <c r="I2372" s="12" t="n"/>
      <c r="J2372" s="12" t="n"/>
      <c r="K2372" s="12" t="n"/>
      <c r="L2372" s="11" t="n"/>
      <c r="M2372" s="11" t="n"/>
      <c r="N2372" s="11" t="n"/>
      <c r="O2372" s="11" t="n"/>
      <c r="P2372" s="12" t="n"/>
      <c r="Q2372" s="11" t="n"/>
      <c r="R2372" s="12" t="n"/>
      <c r="S2372" s="11" t="n"/>
      <c r="T2372" s="12" t="n"/>
      <c r="U2372" s="12" t="n"/>
      <c r="V2372" s="12" t="n"/>
      <c r="W2372" s="13" t="n"/>
      <c r="X2372" s="14">
        <f>IF($AP2372="",IF($B2372="","",$H2372),IF(INDEX(職員マスタ!$B$6:$B$405,$AP2372)="",$H2372,INDEX(職員マスタ!$B$6:$B$405,$AP2372)))</f>
        <v/>
      </c>
      <c r="Y2372" s="14">
        <f>IF($AP2372="",IF($B2372="","",$R2372),IF(INDEX(職員マスタ!$C$6:$C$405,$AP2372)="",$R2372,INDEX(職員マスタ!$C$6:$C$405,$AP2372)))</f>
        <v/>
      </c>
      <c r="Z2372" s="14">
        <f>IF($AQ2372="","","R"&amp;$C2372&amp;"."&amp;$D2372)</f>
        <v/>
      </c>
      <c r="AA2372" s="15">
        <f>IF(IF($AP2372="",FALSE,INDEX(職員マスタ!$K$6:$K$405,$AP2372)&lt;&gt;""),INDEX(職員マスタ!$K$6:$K$405,$AP2372),IF(N($W2372)&gt;0,$W2372,""))</f>
        <v/>
      </c>
      <c r="AB2372" s="14">
        <f>IF(OR($E2372="",$AA2372=""),"",IF($E2372&gt;=$AA2372,"×",IF($E2372&gt;=$AA2372*設定!$C$5,"△","○")))</f>
        <v/>
      </c>
      <c r="AC2372" s="15">
        <f>IF($AB2372="","",IF($AB2372="×",0,IF($AB2372="○",ROUNDDOWN($E2372*設定!$C$4,0),ROUNDDOWN($E2372*ROUND((9*$AA2372-9*$E2372)/(10*$E2372),4),0))))</f>
        <v/>
      </c>
      <c r="AD2372" s="13" t="n"/>
      <c r="AE2372" s="15">
        <f>IF($B2372="","",IF($AD2372&lt;&gt;"",$AD2372,IF($AC2372="","",IF($AC2372&lt;=設定!$C$3,0,$AC2372))))</f>
        <v/>
      </c>
      <c r="AF2372" s="14">
        <f>IF($B2372="","",IF(AND($AG2372&lt;&gt;"",$AI2372="",$AL2372=""),"保留中",IF($AL2372&lt;&gt;"",IF(N($AE2372)&gt;0,"支給済","不支給"),IF($AE2372="","要確認",IF($AE2372=0,"不支給","未処理")))))</f>
        <v/>
      </c>
      <c r="AG2372" s="12" t="n"/>
      <c r="AH2372" s="11" t="n"/>
      <c r="AI2372" s="11" t="n"/>
      <c r="AJ2372" s="11" t="n"/>
      <c r="AK2372" s="14">
        <f>IF(AND($AF2372="保留中",$AH2372&lt;&gt;""),TODAY()-$AH2372,"")</f>
        <v/>
      </c>
      <c r="AL2372" s="12" t="n"/>
      <c r="AM2372" s="14">
        <f>IF($B2372="","",IF($AQ2372="","対象年月が未入力／","")&amp;IF($B2372="","",IF($AP2372="","職員マスタに未登録の職員番号／",IF($AA2372="","標準報酬月額が未登録／","")&amp;IF(AND($AQ2372&lt;&gt;"",OR(AND(INDEX(職員マスタ!$G$6:$G$405,$AP2372)&lt;&gt;"",INDEX(職員マスタ!$G$6:$G$405,$AP2372)&gt;EOMONTH($AQ2372,0)),AND(INDEX(職員マスタ!$H$6:$H$405,$AP2372)&lt;&gt;"",INDEX(職員マスタ!$H$6:$H$405,$AP2372)&lt;$AQ2372))),"対象月が時短期間外／","")&amp;IF(AND(INDEX(職員マスタ!$K$6:$K$405,$AP2372)&lt;&gt;"",N($W2372)&gt;0,INDEX(職員マスタ!$K$6:$K$405,$AP2372)&lt;&gt;$W2372),"標準報酬月額が申請書と相違（台帳"&amp;TEXT(INDEX(職員マスタ!$K$6:$K$405,$AP2372),"#,##0")&amp;"円／申請書"&amp;TEXT($W2372,"#,##0")&amp;"円）／","")&amp;IF(AND(INDEX(職員マスタ!$F$6:$F$405,$AP2372)&lt;&gt;"",$AQ2372&lt;&gt;"",INDEX(職員マスタ!$F$6:$F$405,$AP2372)&lt;$AQ2372),"対象月に子が2歳到達済／","")&amp;IF(AND($H2372&lt;&gt;"",INDEX(職員マスタ!$B$6:$B$405,$AP2372)&lt;&gt;"",SUBSTITUTE(SUBSTITUTE($H2372," ","")," ","")&lt;&gt;SUBSTITUTE(SUBSTITUTE(INDEX(職員マスタ!$B$6:$B$405,$AP2372)," ","")," ","")),"氏名がマスタと相違／","")&amp;IF(AND($Q2372&lt;&gt;"",INDEX(職員マスタ!$E$6:$E$405,$AP2372)&lt;&gt;"",$Q2372&lt;&gt;INDEX(職員マスタ!$E$6:$E$405,$AP2372)),"子の生年月日がマスタと相違／","")&amp;IF(AND($L2372&lt;&gt;"",INDEX(職員マスタ!$G$6:$G$405,$AP2372)&lt;&gt;"",$L2372&lt;&gt;INDEX(職員マスタ!$G$6:$G$405,$AP2372)),"時短開始日がマスタと相違／","")&amp;IF(AND($M2372&lt;&gt;"",INDEX(職員マスタ!$H$6:$H$405,$AP2372)&lt;&gt;"",$M2372&lt;&gt;INDEX(職員マスタ!$H$6:$H$405,$AP2372)),"時短終了日がマスタと相違／","")))&amp;IF(AND($B2372&lt;&gt;"",$E2372=""),"報酬額が未入力／","")&amp;IF(N($U2372)&gt;0,"申請書に入力エラーが残っています／","")&amp;IF(AND($B2372&lt;&gt;"",$AQ2372&lt;&gt;""),IF(COUNTIFS($B$6:$B$3005,$B2372,$C$6:$C$3005,$C2372,$D$6:$D$3005,$D2372)&gt;1,"同じ月の請求が重複しています／",""),"")&amp;IF(AND(N($E2372)&gt;0,$AB2372&lt;&gt;"",$AB2372&lt;&gt;"×",$AE2372=0,$AD2372=""),"計算額が下限以下のため不支給／",""))</f>
        <v/>
      </c>
      <c r="AN2372" s="12" t="n"/>
      <c r="AO2372" s="14">
        <f>IF($AF2372="保留中",COUNTIF($AF$6:$AF2372,"保留中"),"")</f>
        <v/>
      </c>
      <c r="AP2372" s="14">
        <f>IF($AQ2372="","",IF(SUMPRODUCT(MAX((職員マスタ!$A$6:$A$405=$B2372)*(((職員マスタ!$G$6:$G$405="")+(職員マスタ!$G$6:$G$405&lt;=EOMONTH($AQ2372,0)))&gt;0)*(((職員マスタ!$H$6:$H$405="")+(職員マスタ!$H$6:$H$405&gt;=$AQ2372))&gt;0)*(ROW(職員マスタ!$A$6:$A$405)-5)))&gt;0,SUMPRODUCT(MAX((職員マスタ!$A$6:$A$405=$B2372)*(((職員マスタ!$G$6:$G$405="")+(職員マスタ!$G$6:$G$405&lt;=EOMONTH($AQ2372,0)))&gt;0)*(((職員マスタ!$H$6:$H$405="")+(職員マスタ!$H$6:$H$405&gt;=$AQ2372))&gt;0)*(ROW(職員マスタ!$A$6:$A$405)-5))),IFERROR(MATCH($B2372,職員マスタ!$A$6:$A$405,0),"")))</f>
        <v/>
      </c>
      <c r="AQ2372" s="16">
        <f>IF(OR($B2372="",$C2372="",$D2372=""),"",DATE($C2372+2018,$D2372,1))</f>
        <v/>
      </c>
    </row>
    <row r="2373">
      <c r="A2373" s="11" t="n"/>
      <c r="B2373" s="12" t="n"/>
      <c r="C2373" s="12" t="n"/>
      <c r="D2373" s="12" t="n"/>
      <c r="E2373" s="13" t="n"/>
      <c r="F2373" s="12" t="n"/>
      <c r="G2373" s="13" t="n"/>
      <c r="H2373" s="12" t="n"/>
      <c r="I2373" s="12" t="n"/>
      <c r="J2373" s="12" t="n"/>
      <c r="K2373" s="12" t="n"/>
      <c r="L2373" s="11" t="n"/>
      <c r="M2373" s="11" t="n"/>
      <c r="N2373" s="11" t="n"/>
      <c r="O2373" s="11" t="n"/>
      <c r="P2373" s="12" t="n"/>
      <c r="Q2373" s="11" t="n"/>
      <c r="R2373" s="12" t="n"/>
      <c r="S2373" s="11" t="n"/>
      <c r="T2373" s="12" t="n"/>
      <c r="U2373" s="12" t="n"/>
      <c r="V2373" s="12" t="n"/>
      <c r="W2373" s="13" t="n"/>
      <c r="X2373" s="14">
        <f>IF($AP2373="",IF($B2373="","",$H2373),IF(INDEX(職員マスタ!$B$6:$B$405,$AP2373)="",$H2373,INDEX(職員マスタ!$B$6:$B$405,$AP2373)))</f>
        <v/>
      </c>
      <c r="Y2373" s="14">
        <f>IF($AP2373="",IF($B2373="","",$R2373),IF(INDEX(職員マスタ!$C$6:$C$405,$AP2373)="",$R2373,INDEX(職員マスタ!$C$6:$C$405,$AP2373)))</f>
        <v/>
      </c>
      <c r="Z2373" s="14">
        <f>IF($AQ2373="","","R"&amp;$C2373&amp;"."&amp;$D2373)</f>
        <v/>
      </c>
      <c r="AA2373" s="15">
        <f>IF(IF($AP2373="",FALSE,INDEX(職員マスタ!$K$6:$K$405,$AP2373)&lt;&gt;""),INDEX(職員マスタ!$K$6:$K$405,$AP2373),IF(N($W2373)&gt;0,$W2373,""))</f>
        <v/>
      </c>
      <c r="AB2373" s="14">
        <f>IF(OR($E2373="",$AA2373=""),"",IF($E2373&gt;=$AA2373,"×",IF($E2373&gt;=$AA2373*設定!$C$5,"△","○")))</f>
        <v/>
      </c>
      <c r="AC2373" s="15">
        <f>IF($AB2373="","",IF($AB2373="×",0,IF($AB2373="○",ROUNDDOWN($E2373*設定!$C$4,0),ROUNDDOWN($E2373*ROUND((9*$AA2373-9*$E2373)/(10*$E2373),4),0))))</f>
        <v/>
      </c>
      <c r="AD2373" s="13" t="n"/>
      <c r="AE2373" s="15">
        <f>IF($B2373="","",IF($AD2373&lt;&gt;"",$AD2373,IF($AC2373="","",IF($AC2373&lt;=設定!$C$3,0,$AC2373))))</f>
        <v/>
      </c>
      <c r="AF2373" s="14">
        <f>IF($B2373="","",IF(AND($AG2373&lt;&gt;"",$AI2373="",$AL2373=""),"保留中",IF($AL2373&lt;&gt;"",IF(N($AE2373)&gt;0,"支給済","不支給"),IF($AE2373="","要確認",IF($AE2373=0,"不支給","未処理")))))</f>
        <v/>
      </c>
      <c r="AG2373" s="12" t="n"/>
      <c r="AH2373" s="11" t="n"/>
      <c r="AI2373" s="11" t="n"/>
      <c r="AJ2373" s="11" t="n"/>
      <c r="AK2373" s="14">
        <f>IF(AND($AF2373="保留中",$AH2373&lt;&gt;""),TODAY()-$AH2373,"")</f>
        <v/>
      </c>
      <c r="AL2373" s="12" t="n"/>
      <c r="AM2373" s="14">
        <f>IF($B2373="","",IF($AQ2373="","対象年月が未入力／","")&amp;IF($B2373="","",IF($AP2373="","職員マスタに未登録の職員番号／",IF($AA2373="","標準報酬月額が未登録／","")&amp;IF(AND($AQ2373&lt;&gt;"",OR(AND(INDEX(職員マスタ!$G$6:$G$405,$AP2373)&lt;&gt;"",INDEX(職員マスタ!$G$6:$G$405,$AP2373)&gt;EOMONTH($AQ2373,0)),AND(INDEX(職員マスタ!$H$6:$H$405,$AP2373)&lt;&gt;"",INDEX(職員マスタ!$H$6:$H$405,$AP2373)&lt;$AQ2373))),"対象月が時短期間外／","")&amp;IF(AND(INDEX(職員マスタ!$K$6:$K$405,$AP2373)&lt;&gt;"",N($W2373)&gt;0,INDEX(職員マスタ!$K$6:$K$405,$AP2373)&lt;&gt;$W2373),"標準報酬月額が申請書と相違（台帳"&amp;TEXT(INDEX(職員マスタ!$K$6:$K$405,$AP2373),"#,##0")&amp;"円／申請書"&amp;TEXT($W2373,"#,##0")&amp;"円）／","")&amp;IF(AND(INDEX(職員マスタ!$F$6:$F$405,$AP2373)&lt;&gt;"",$AQ2373&lt;&gt;"",INDEX(職員マスタ!$F$6:$F$405,$AP2373)&lt;$AQ2373),"対象月に子が2歳到達済／","")&amp;IF(AND($H2373&lt;&gt;"",INDEX(職員マスタ!$B$6:$B$405,$AP2373)&lt;&gt;"",SUBSTITUTE(SUBSTITUTE($H2373," ","")," ","")&lt;&gt;SUBSTITUTE(SUBSTITUTE(INDEX(職員マスタ!$B$6:$B$405,$AP2373)," ","")," ","")),"氏名がマスタと相違／","")&amp;IF(AND($Q2373&lt;&gt;"",INDEX(職員マスタ!$E$6:$E$405,$AP2373)&lt;&gt;"",$Q2373&lt;&gt;INDEX(職員マスタ!$E$6:$E$405,$AP2373)),"子の生年月日がマスタと相違／","")&amp;IF(AND($L2373&lt;&gt;"",INDEX(職員マスタ!$G$6:$G$405,$AP2373)&lt;&gt;"",$L2373&lt;&gt;INDEX(職員マスタ!$G$6:$G$405,$AP2373)),"時短開始日がマスタと相違／","")&amp;IF(AND($M2373&lt;&gt;"",INDEX(職員マスタ!$H$6:$H$405,$AP2373)&lt;&gt;"",$M2373&lt;&gt;INDEX(職員マスタ!$H$6:$H$405,$AP2373)),"時短終了日がマスタと相違／","")))&amp;IF(AND($B2373&lt;&gt;"",$E2373=""),"報酬額が未入力／","")&amp;IF(N($U2373)&gt;0,"申請書に入力エラーが残っています／","")&amp;IF(AND($B2373&lt;&gt;"",$AQ2373&lt;&gt;""),IF(COUNTIFS($B$6:$B$3005,$B2373,$C$6:$C$3005,$C2373,$D$6:$D$3005,$D2373)&gt;1,"同じ月の請求が重複しています／",""),"")&amp;IF(AND(N($E2373)&gt;0,$AB2373&lt;&gt;"",$AB2373&lt;&gt;"×",$AE2373=0,$AD2373=""),"計算額が下限以下のため不支給／",""))</f>
        <v/>
      </c>
      <c r="AN2373" s="12" t="n"/>
      <c r="AO2373" s="14">
        <f>IF($AF2373="保留中",COUNTIF($AF$6:$AF2373,"保留中"),"")</f>
        <v/>
      </c>
      <c r="AP2373" s="14">
        <f>IF($AQ2373="","",IF(SUMPRODUCT(MAX((職員マスタ!$A$6:$A$405=$B2373)*(((職員マスタ!$G$6:$G$405="")+(職員マスタ!$G$6:$G$405&lt;=EOMONTH($AQ2373,0)))&gt;0)*(((職員マスタ!$H$6:$H$405="")+(職員マスタ!$H$6:$H$405&gt;=$AQ2373))&gt;0)*(ROW(職員マスタ!$A$6:$A$405)-5)))&gt;0,SUMPRODUCT(MAX((職員マスタ!$A$6:$A$405=$B2373)*(((職員マスタ!$G$6:$G$405="")+(職員マスタ!$G$6:$G$405&lt;=EOMONTH($AQ2373,0)))&gt;0)*(((職員マスタ!$H$6:$H$405="")+(職員マスタ!$H$6:$H$405&gt;=$AQ2373))&gt;0)*(ROW(職員マスタ!$A$6:$A$405)-5))),IFERROR(MATCH($B2373,職員マスタ!$A$6:$A$405,0),"")))</f>
        <v/>
      </c>
      <c r="AQ2373" s="16">
        <f>IF(OR($B2373="",$C2373="",$D2373=""),"",DATE($C2373+2018,$D2373,1))</f>
        <v/>
      </c>
    </row>
    <row r="2374">
      <c r="A2374" s="11" t="n"/>
      <c r="B2374" s="12" t="n"/>
      <c r="C2374" s="12" t="n"/>
      <c r="D2374" s="12" t="n"/>
      <c r="E2374" s="13" t="n"/>
      <c r="F2374" s="12" t="n"/>
      <c r="G2374" s="13" t="n"/>
      <c r="H2374" s="12" t="n"/>
      <c r="I2374" s="12" t="n"/>
      <c r="J2374" s="12" t="n"/>
      <c r="K2374" s="12" t="n"/>
      <c r="L2374" s="11" t="n"/>
      <c r="M2374" s="11" t="n"/>
      <c r="N2374" s="11" t="n"/>
      <c r="O2374" s="11" t="n"/>
      <c r="P2374" s="12" t="n"/>
      <c r="Q2374" s="11" t="n"/>
      <c r="R2374" s="12" t="n"/>
      <c r="S2374" s="11" t="n"/>
      <c r="T2374" s="12" t="n"/>
      <c r="U2374" s="12" t="n"/>
      <c r="V2374" s="12" t="n"/>
      <c r="W2374" s="13" t="n"/>
      <c r="X2374" s="14">
        <f>IF($AP2374="",IF($B2374="","",$H2374),IF(INDEX(職員マスタ!$B$6:$B$405,$AP2374)="",$H2374,INDEX(職員マスタ!$B$6:$B$405,$AP2374)))</f>
        <v/>
      </c>
      <c r="Y2374" s="14">
        <f>IF($AP2374="",IF($B2374="","",$R2374),IF(INDEX(職員マスタ!$C$6:$C$405,$AP2374)="",$R2374,INDEX(職員マスタ!$C$6:$C$405,$AP2374)))</f>
        <v/>
      </c>
      <c r="Z2374" s="14">
        <f>IF($AQ2374="","","R"&amp;$C2374&amp;"."&amp;$D2374)</f>
        <v/>
      </c>
      <c r="AA2374" s="15">
        <f>IF(IF($AP2374="",FALSE,INDEX(職員マスタ!$K$6:$K$405,$AP2374)&lt;&gt;""),INDEX(職員マスタ!$K$6:$K$405,$AP2374),IF(N($W2374)&gt;0,$W2374,""))</f>
        <v/>
      </c>
      <c r="AB2374" s="14">
        <f>IF(OR($E2374="",$AA2374=""),"",IF($E2374&gt;=$AA2374,"×",IF($E2374&gt;=$AA2374*設定!$C$5,"△","○")))</f>
        <v/>
      </c>
      <c r="AC2374" s="15">
        <f>IF($AB2374="","",IF($AB2374="×",0,IF($AB2374="○",ROUNDDOWN($E2374*設定!$C$4,0),ROUNDDOWN($E2374*ROUND((9*$AA2374-9*$E2374)/(10*$E2374),4),0))))</f>
        <v/>
      </c>
      <c r="AD2374" s="13" t="n"/>
      <c r="AE2374" s="15">
        <f>IF($B2374="","",IF($AD2374&lt;&gt;"",$AD2374,IF($AC2374="","",IF($AC2374&lt;=設定!$C$3,0,$AC2374))))</f>
        <v/>
      </c>
      <c r="AF2374" s="14">
        <f>IF($B2374="","",IF(AND($AG2374&lt;&gt;"",$AI2374="",$AL2374=""),"保留中",IF($AL2374&lt;&gt;"",IF(N($AE2374)&gt;0,"支給済","不支給"),IF($AE2374="","要確認",IF($AE2374=0,"不支給","未処理")))))</f>
        <v/>
      </c>
      <c r="AG2374" s="12" t="n"/>
      <c r="AH2374" s="11" t="n"/>
      <c r="AI2374" s="11" t="n"/>
      <c r="AJ2374" s="11" t="n"/>
      <c r="AK2374" s="14">
        <f>IF(AND($AF2374="保留中",$AH2374&lt;&gt;""),TODAY()-$AH2374,"")</f>
        <v/>
      </c>
      <c r="AL2374" s="12" t="n"/>
      <c r="AM2374" s="14">
        <f>IF($B2374="","",IF($AQ2374="","対象年月が未入力／","")&amp;IF($B2374="","",IF($AP2374="","職員マスタに未登録の職員番号／",IF($AA2374="","標準報酬月額が未登録／","")&amp;IF(AND($AQ2374&lt;&gt;"",OR(AND(INDEX(職員マスタ!$G$6:$G$405,$AP2374)&lt;&gt;"",INDEX(職員マスタ!$G$6:$G$405,$AP2374)&gt;EOMONTH($AQ2374,0)),AND(INDEX(職員マスタ!$H$6:$H$405,$AP2374)&lt;&gt;"",INDEX(職員マスタ!$H$6:$H$405,$AP2374)&lt;$AQ2374))),"対象月が時短期間外／","")&amp;IF(AND(INDEX(職員マスタ!$K$6:$K$405,$AP2374)&lt;&gt;"",N($W2374)&gt;0,INDEX(職員マスタ!$K$6:$K$405,$AP2374)&lt;&gt;$W2374),"標準報酬月額が申請書と相違（台帳"&amp;TEXT(INDEX(職員マスタ!$K$6:$K$405,$AP2374),"#,##0")&amp;"円／申請書"&amp;TEXT($W2374,"#,##0")&amp;"円）／","")&amp;IF(AND(INDEX(職員マスタ!$F$6:$F$405,$AP2374)&lt;&gt;"",$AQ2374&lt;&gt;"",INDEX(職員マスタ!$F$6:$F$405,$AP2374)&lt;$AQ2374),"対象月に子が2歳到達済／","")&amp;IF(AND($H2374&lt;&gt;"",INDEX(職員マスタ!$B$6:$B$405,$AP2374)&lt;&gt;"",SUBSTITUTE(SUBSTITUTE($H2374," ","")," ","")&lt;&gt;SUBSTITUTE(SUBSTITUTE(INDEX(職員マスタ!$B$6:$B$405,$AP2374)," ","")," ","")),"氏名がマスタと相違／","")&amp;IF(AND($Q2374&lt;&gt;"",INDEX(職員マスタ!$E$6:$E$405,$AP2374)&lt;&gt;"",$Q2374&lt;&gt;INDEX(職員マスタ!$E$6:$E$405,$AP2374)),"子の生年月日がマスタと相違／","")&amp;IF(AND($L2374&lt;&gt;"",INDEX(職員マスタ!$G$6:$G$405,$AP2374)&lt;&gt;"",$L2374&lt;&gt;INDEX(職員マスタ!$G$6:$G$405,$AP2374)),"時短開始日がマスタと相違／","")&amp;IF(AND($M2374&lt;&gt;"",INDEX(職員マスタ!$H$6:$H$405,$AP2374)&lt;&gt;"",$M2374&lt;&gt;INDEX(職員マスタ!$H$6:$H$405,$AP2374)),"時短終了日がマスタと相違／","")))&amp;IF(AND($B2374&lt;&gt;"",$E2374=""),"報酬額が未入力／","")&amp;IF(N($U2374)&gt;0,"申請書に入力エラーが残っています／","")&amp;IF(AND($B2374&lt;&gt;"",$AQ2374&lt;&gt;""),IF(COUNTIFS($B$6:$B$3005,$B2374,$C$6:$C$3005,$C2374,$D$6:$D$3005,$D2374)&gt;1,"同じ月の請求が重複しています／",""),"")&amp;IF(AND(N($E2374)&gt;0,$AB2374&lt;&gt;"",$AB2374&lt;&gt;"×",$AE2374=0,$AD2374=""),"計算額が下限以下のため不支給／",""))</f>
        <v/>
      </c>
      <c r="AN2374" s="12" t="n"/>
      <c r="AO2374" s="14">
        <f>IF($AF2374="保留中",COUNTIF($AF$6:$AF2374,"保留中"),"")</f>
        <v/>
      </c>
      <c r="AP2374" s="14">
        <f>IF($AQ2374="","",IF(SUMPRODUCT(MAX((職員マスタ!$A$6:$A$405=$B2374)*(((職員マスタ!$G$6:$G$405="")+(職員マスタ!$G$6:$G$405&lt;=EOMONTH($AQ2374,0)))&gt;0)*(((職員マスタ!$H$6:$H$405="")+(職員マスタ!$H$6:$H$405&gt;=$AQ2374))&gt;0)*(ROW(職員マスタ!$A$6:$A$405)-5)))&gt;0,SUMPRODUCT(MAX((職員マスタ!$A$6:$A$405=$B2374)*(((職員マスタ!$G$6:$G$405="")+(職員マスタ!$G$6:$G$405&lt;=EOMONTH($AQ2374,0)))&gt;0)*(((職員マスタ!$H$6:$H$405="")+(職員マスタ!$H$6:$H$405&gt;=$AQ2374))&gt;0)*(ROW(職員マスタ!$A$6:$A$405)-5))),IFERROR(MATCH($B2374,職員マスタ!$A$6:$A$405,0),"")))</f>
        <v/>
      </c>
      <c r="AQ2374" s="16">
        <f>IF(OR($B2374="",$C2374="",$D2374=""),"",DATE($C2374+2018,$D2374,1))</f>
        <v/>
      </c>
    </row>
    <row r="2375">
      <c r="A2375" s="11" t="n"/>
      <c r="B2375" s="12" t="n"/>
      <c r="C2375" s="12" t="n"/>
      <c r="D2375" s="12" t="n"/>
      <c r="E2375" s="13" t="n"/>
      <c r="F2375" s="12" t="n"/>
      <c r="G2375" s="13" t="n"/>
      <c r="H2375" s="12" t="n"/>
      <c r="I2375" s="12" t="n"/>
      <c r="J2375" s="12" t="n"/>
      <c r="K2375" s="12" t="n"/>
      <c r="L2375" s="11" t="n"/>
      <c r="M2375" s="11" t="n"/>
      <c r="N2375" s="11" t="n"/>
      <c r="O2375" s="11" t="n"/>
      <c r="P2375" s="12" t="n"/>
      <c r="Q2375" s="11" t="n"/>
      <c r="R2375" s="12" t="n"/>
      <c r="S2375" s="11" t="n"/>
      <c r="T2375" s="12" t="n"/>
      <c r="U2375" s="12" t="n"/>
      <c r="V2375" s="12" t="n"/>
      <c r="W2375" s="13" t="n"/>
      <c r="X2375" s="14">
        <f>IF($AP2375="",IF($B2375="","",$H2375),IF(INDEX(職員マスタ!$B$6:$B$405,$AP2375)="",$H2375,INDEX(職員マスタ!$B$6:$B$405,$AP2375)))</f>
        <v/>
      </c>
      <c r="Y2375" s="14">
        <f>IF($AP2375="",IF($B2375="","",$R2375),IF(INDEX(職員マスタ!$C$6:$C$405,$AP2375)="",$R2375,INDEX(職員マスタ!$C$6:$C$405,$AP2375)))</f>
        <v/>
      </c>
      <c r="Z2375" s="14">
        <f>IF($AQ2375="","","R"&amp;$C2375&amp;"."&amp;$D2375)</f>
        <v/>
      </c>
      <c r="AA2375" s="15">
        <f>IF(IF($AP2375="",FALSE,INDEX(職員マスタ!$K$6:$K$405,$AP2375)&lt;&gt;""),INDEX(職員マスタ!$K$6:$K$405,$AP2375),IF(N($W2375)&gt;0,$W2375,""))</f>
        <v/>
      </c>
      <c r="AB2375" s="14">
        <f>IF(OR($E2375="",$AA2375=""),"",IF($E2375&gt;=$AA2375,"×",IF($E2375&gt;=$AA2375*設定!$C$5,"△","○")))</f>
        <v/>
      </c>
      <c r="AC2375" s="15">
        <f>IF($AB2375="","",IF($AB2375="×",0,IF($AB2375="○",ROUNDDOWN($E2375*設定!$C$4,0),ROUNDDOWN($E2375*ROUND((9*$AA2375-9*$E2375)/(10*$E2375),4),0))))</f>
        <v/>
      </c>
      <c r="AD2375" s="13" t="n"/>
      <c r="AE2375" s="15">
        <f>IF($B2375="","",IF($AD2375&lt;&gt;"",$AD2375,IF($AC2375="","",IF($AC2375&lt;=設定!$C$3,0,$AC2375))))</f>
        <v/>
      </c>
      <c r="AF2375" s="14">
        <f>IF($B2375="","",IF(AND($AG2375&lt;&gt;"",$AI2375="",$AL2375=""),"保留中",IF($AL2375&lt;&gt;"",IF(N($AE2375)&gt;0,"支給済","不支給"),IF($AE2375="","要確認",IF($AE2375=0,"不支給","未処理")))))</f>
        <v/>
      </c>
      <c r="AG2375" s="12" t="n"/>
      <c r="AH2375" s="11" t="n"/>
      <c r="AI2375" s="11" t="n"/>
      <c r="AJ2375" s="11" t="n"/>
      <c r="AK2375" s="14">
        <f>IF(AND($AF2375="保留中",$AH2375&lt;&gt;""),TODAY()-$AH2375,"")</f>
        <v/>
      </c>
      <c r="AL2375" s="12" t="n"/>
      <c r="AM2375" s="14">
        <f>IF($B2375="","",IF($AQ2375="","対象年月が未入力／","")&amp;IF($B2375="","",IF($AP2375="","職員マスタに未登録の職員番号／",IF($AA2375="","標準報酬月額が未登録／","")&amp;IF(AND($AQ2375&lt;&gt;"",OR(AND(INDEX(職員マスタ!$G$6:$G$405,$AP2375)&lt;&gt;"",INDEX(職員マスタ!$G$6:$G$405,$AP2375)&gt;EOMONTH($AQ2375,0)),AND(INDEX(職員マスタ!$H$6:$H$405,$AP2375)&lt;&gt;"",INDEX(職員マスタ!$H$6:$H$405,$AP2375)&lt;$AQ2375))),"対象月が時短期間外／","")&amp;IF(AND(INDEX(職員マスタ!$K$6:$K$405,$AP2375)&lt;&gt;"",N($W2375)&gt;0,INDEX(職員マスタ!$K$6:$K$405,$AP2375)&lt;&gt;$W2375),"標準報酬月額が申請書と相違（台帳"&amp;TEXT(INDEX(職員マスタ!$K$6:$K$405,$AP2375),"#,##0")&amp;"円／申請書"&amp;TEXT($W2375,"#,##0")&amp;"円）／","")&amp;IF(AND(INDEX(職員マスタ!$F$6:$F$405,$AP2375)&lt;&gt;"",$AQ2375&lt;&gt;"",INDEX(職員マスタ!$F$6:$F$405,$AP2375)&lt;$AQ2375),"対象月に子が2歳到達済／","")&amp;IF(AND($H2375&lt;&gt;"",INDEX(職員マスタ!$B$6:$B$405,$AP2375)&lt;&gt;"",SUBSTITUTE(SUBSTITUTE($H2375," ","")," ","")&lt;&gt;SUBSTITUTE(SUBSTITUTE(INDEX(職員マスタ!$B$6:$B$405,$AP2375)," ","")," ","")),"氏名がマスタと相違／","")&amp;IF(AND($Q2375&lt;&gt;"",INDEX(職員マスタ!$E$6:$E$405,$AP2375)&lt;&gt;"",$Q2375&lt;&gt;INDEX(職員マスタ!$E$6:$E$405,$AP2375)),"子の生年月日がマスタと相違／","")&amp;IF(AND($L2375&lt;&gt;"",INDEX(職員マスタ!$G$6:$G$405,$AP2375)&lt;&gt;"",$L2375&lt;&gt;INDEX(職員マスタ!$G$6:$G$405,$AP2375)),"時短開始日がマスタと相違／","")&amp;IF(AND($M2375&lt;&gt;"",INDEX(職員マスタ!$H$6:$H$405,$AP2375)&lt;&gt;"",$M2375&lt;&gt;INDEX(職員マスタ!$H$6:$H$405,$AP2375)),"時短終了日がマスタと相違／","")))&amp;IF(AND($B2375&lt;&gt;"",$E2375=""),"報酬額が未入力／","")&amp;IF(N($U2375)&gt;0,"申請書に入力エラーが残っています／","")&amp;IF(AND($B2375&lt;&gt;"",$AQ2375&lt;&gt;""),IF(COUNTIFS($B$6:$B$3005,$B2375,$C$6:$C$3005,$C2375,$D$6:$D$3005,$D2375)&gt;1,"同じ月の請求が重複しています／",""),"")&amp;IF(AND(N($E2375)&gt;0,$AB2375&lt;&gt;"",$AB2375&lt;&gt;"×",$AE2375=0,$AD2375=""),"計算額が下限以下のため不支給／",""))</f>
        <v/>
      </c>
      <c r="AN2375" s="12" t="n"/>
      <c r="AO2375" s="14">
        <f>IF($AF2375="保留中",COUNTIF($AF$6:$AF2375,"保留中"),"")</f>
        <v/>
      </c>
      <c r="AP2375" s="14">
        <f>IF($AQ2375="","",IF(SUMPRODUCT(MAX((職員マスタ!$A$6:$A$405=$B2375)*(((職員マスタ!$G$6:$G$405="")+(職員マスタ!$G$6:$G$405&lt;=EOMONTH($AQ2375,0)))&gt;0)*(((職員マスタ!$H$6:$H$405="")+(職員マスタ!$H$6:$H$405&gt;=$AQ2375))&gt;0)*(ROW(職員マスタ!$A$6:$A$405)-5)))&gt;0,SUMPRODUCT(MAX((職員マスタ!$A$6:$A$405=$B2375)*(((職員マスタ!$G$6:$G$405="")+(職員マスタ!$G$6:$G$405&lt;=EOMONTH($AQ2375,0)))&gt;0)*(((職員マスタ!$H$6:$H$405="")+(職員マスタ!$H$6:$H$405&gt;=$AQ2375))&gt;0)*(ROW(職員マスタ!$A$6:$A$405)-5))),IFERROR(MATCH($B2375,職員マスタ!$A$6:$A$405,0),"")))</f>
        <v/>
      </c>
      <c r="AQ2375" s="16">
        <f>IF(OR($B2375="",$C2375="",$D2375=""),"",DATE($C2375+2018,$D2375,1))</f>
        <v/>
      </c>
    </row>
    <row r="2376">
      <c r="A2376" s="11" t="n"/>
      <c r="B2376" s="12" t="n"/>
      <c r="C2376" s="12" t="n"/>
      <c r="D2376" s="12" t="n"/>
      <c r="E2376" s="13" t="n"/>
      <c r="F2376" s="12" t="n"/>
      <c r="G2376" s="13" t="n"/>
      <c r="H2376" s="12" t="n"/>
      <c r="I2376" s="12" t="n"/>
      <c r="J2376" s="12" t="n"/>
      <c r="K2376" s="12" t="n"/>
      <c r="L2376" s="11" t="n"/>
      <c r="M2376" s="11" t="n"/>
      <c r="N2376" s="11" t="n"/>
      <c r="O2376" s="11" t="n"/>
      <c r="P2376" s="12" t="n"/>
      <c r="Q2376" s="11" t="n"/>
      <c r="R2376" s="12" t="n"/>
      <c r="S2376" s="11" t="n"/>
      <c r="T2376" s="12" t="n"/>
      <c r="U2376" s="12" t="n"/>
      <c r="V2376" s="12" t="n"/>
      <c r="W2376" s="13" t="n"/>
      <c r="X2376" s="14">
        <f>IF($AP2376="",IF($B2376="","",$H2376),IF(INDEX(職員マスタ!$B$6:$B$405,$AP2376)="",$H2376,INDEX(職員マスタ!$B$6:$B$405,$AP2376)))</f>
        <v/>
      </c>
      <c r="Y2376" s="14">
        <f>IF($AP2376="",IF($B2376="","",$R2376),IF(INDEX(職員マスタ!$C$6:$C$405,$AP2376)="",$R2376,INDEX(職員マスタ!$C$6:$C$405,$AP2376)))</f>
        <v/>
      </c>
      <c r="Z2376" s="14">
        <f>IF($AQ2376="","","R"&amp;$C2376&amp;"."&amp;$D2376)</f>
        <v/>
      </c>
      <c r="AA2376" s="15">
        <f>IF(IF($AP2376="",FALSE,INDEX(職員マスタ!$K$6:$K$405,$AP2376)&lt;&gt;""),INDEX(職員マスタ!$K$6:$K$405,$AP2376),IF(N($W2376)&gt;0,$W2376,""))</f>
        <v/>
      </c>
      <c r="AB2376" s="14">
        <f>IF(OR($E2376="",$AA2376=""),"",IF($E2376&gt;=$AA2376,"×",IF($E2376&gt;=$AA2376*設定!$C$5,"△","○")))</f>
        <v/>
      </c>
      <c r="AC2376" s="15">
        <f>IF($AB2376="","",IF($AB2376="×",0,IF($AB2376="○",ROUNDDOWN($E2376*設定!$C$4,0),ROUNDDOWN($E2376*ROUND((9*$AA2376-9*$E2376)/(10*$E2376),4),0))))</f>
        <v/>
      </c>
      <c r="AD2376" s="13" t="n"/>
      <c r="AE2376" s="15">
        <f>IF($B2376="","",IF($AD2376&lt;&gt;"",$AD2376,IF($AC2376="","",IF($AC2376&lt;=設定!$C$3,0,$AC2376))))</f>
        <v/>
      </c>
      <c r="AF2376" s="14">
        <f>IF($B2376="","",IF(AND($AG2376&lt;&gt;"",$AI2376="",$AL2376=""),"保留中",IF($AL2376&lt;&gt;"",IF(N($AE2376)&gt;0,"支給済","不支給"),IF($AE2376="","要確認",IF($AE2376=0,"不支給","未処理")))))</f>
        <v/>
      </c>
      <c r="AG2376" s="12" t="n"/>
      <c r="AH2376" s="11" t="n"/>
      <c r="AI2376" s="11" t="n"/>
      <c r="AJ2376" s="11" t="n"/>
      <c r="AK2376" s="14">
        <f>IF(AND($AF2376="保留中",$AH2376&lt;&gt;""),TODAY()-$AH2376,"")</f>
        <v/>
      </c>
      <c r="AL2376" s="12" t="n"/>
      <c r="AM2376" s="14">
        <f>IF($B2376="","",IF($AQ2376="","対象年月が未入力／","")&amp;IF($B2376="","",IF($AP2376="","職員マスタに未登録の職員番号／",IF($AA2376="","標準報酬月額が未登録／","")&amp;IF(AND($AQ2376&lt;&gt;"",OR(AND(INDEX(職員マスタ!$G$6:$G$405,$AP2376)&lt;&gt;"",INDEX(職員マスタ!$G$6:$G$405,$AP2376)&gt;EOMONTH($AQ2376,0)),AND(INDEX(職員マスタ!$H$6:$H$405,$AP2376)&lt;&gt;"",INDEX(職員マスタ!$H$6:$H$405,$AP2376)&lt;$AQ2376))),"対象月が時短期間外／","")&amp;IF(AND(INDEX(職員マスタ!$K$6:$K$405,$AP2376)&lt;&gt;"",N($W2376)&gt;0,INDEX(職員マスタ!$K$6:$K$405,$AP2376)&lt;&gt;$W2376),"標準報酬月額が申請書と相違（台帳"&amp;TEXT(INDEX(職員マスタ!$K$6:$K$405,$AP2376),"#,##0")&amp;"円／申請書"&amp;TEXT($W2376,"#,##0")&amp;"円）／","")&amp;IF(AND(INDEX(職員マスタ!$F$6:$F$405,$AP2376)&lt;&gt;"",$AQ2376&lt;&gt;"",INDEX(職員マスタ!$F$6:$F$405,$AP2376)&lt;$AQ2376),"対象月に子が2歳到達済／","")&amp;IF(AND($H2376&lt;&gt;"",INDEX(職員マスタ!$B$6:$B$405,$AP2376)&lt;&gt;"",SUBSTITUTE(SUBSTITUTE($H2376," ","")," ","")&lt;&gt;SUBSTITUTE(SUBSTITUTE(INDEX(職員マスタ!$B$6:$B$405,$AP2376)," ","")," ","")),"氏名がマスタと相違／","")&amp;IF(AND($Q2376&lt;&gt;"",INDEX(職員マスタ!$E$6:$E$405,$AP2376)&lt;&gt;"",$Q2376&lt;&gt;INDEX(職員マスタ!$E$6:$E$405,$AP2376)),"子の生年月日がマスタと相違／","")&amp;IF(AND($L2376&lt;&gt;"",INDEX(職員マスタ!$G$6:$G$405,$AP2376)&lt;&gt;"",$L2376&lt;&gt;INDEX(職員マスタ!$G$6:$G$405,$AP2376)),"時短開始日がマスタと相違／","")&amp;IF(AND($M2376&lt;&gt;"",INDEX(職員マスタ!$H$6:$H$405,$AP2376)&lt;&gt;"",$M2376&lt;&gt;INDEX(職員マスタ!$H$6:$H$405,$AP2376)),"時短終了日がマスタと相違／","")))&amp;IF(AND($B2376&lt;&gt;"",$E2376=""),"報酬額が未入力／","")&amp;IF(N($U2376)&gt;0,"申請書に入力エラーが残っています／","")&amp;IF(AND($B2376&lt;&gt;"",$AQ2376&lt;&gt;""),IF(COUNTIFS($B$6:$B$3005,$B2376,$C$6:$C$3005,$C2376,$D$6:$D$3005,$D2376)&gt;1,"同じ月の請求が重複しています／",""),"")&amp;IF(AND(N($E2376)&gt;0,$AB2376&lt;&gt;"",$AB2376&lt;&gt;"×",$AE2376=0,$AD2376=""),"計算額が下限以下のため不支給／",""))</f>
        <v/>
      </c>
      <c r="AN2376" s="12" t="n"/>
      <c r="AO2376" s="14">
        <f>IF($AF2376="保留中",COUNTIF($AF$6:$AF2376,"保留中"),"")</f>
        <v/>
      </c>
      <c r="AP2376" s="14">
        <f>IF($AQ2376="","",IF(SUMPRODUCT(MAX((職員マスタ!$A$6:$A$405=$B2376)*(((職員マスタ!$G$6:$G$405="")+(職員マスタ!$G$6:$G$405&lt;=EOMONTH($AQ2376,0)))&gt;0)*(((職員マスタ!$H$6:$H$405="")+(職員マスタ!$H$6:$H$405&gt;=$AQ2376))&gt;0)*(ROW(職員マスタ!$A$6:$A$405)-5)))&gt;0,SUMPRODUCT(MAX((職員マスタ!$A$6:$A$405=$B2376)*(((職員マスタ!$G$6:$G$405="")+(職員マスタ!$G$6:$G$405&lt;=EOMONTH($AQ2376,0)))&gt;0)*(((職員マスタ!$H$6:$H$405="")+(職員マスタ!$H$6:$H$405&gt;=$AQ2376))&gt;0)*(ROW(職員マスタ!$A$6:$A$405)-5))),IFERROR(MATCH($B2376,職員マスタ!$A$6:$A$405,0),"")))</f>
        <v/>
      </c>
      <c r="AQ2376" s="16">
        <f>IF(OR($B2376="",$C2376="",$D2376=""),"",DATE($C2376+2018,$D2376,1))</f>
        <v/>
      </c>
    </row>
    <row r="2377">
      <c r="A2377" s="11" t="n"/>
      <c r="B2377" s="12" t="n"/>
      <c r="C2377" s="12" t="n"/>
      <c r="D2377" s="12" t="n"/>
      <c r="E2377" s="13" t="n"/>
      <c r="F2377" s="12" t="n"/>
      <c r="G2377" s="13" t="n"/>
      <c r="H2377" s="12" t="n"/>
      <c r="I2377" s="12" t="n"/>
      <c r="J2377" s="12" t="n"/>
      <c r="K2377" s="12" t="n"/>
      <c r="L2377" s="11" t="n"/>
      <c r="M2377" s="11" t="n"/>
      <c r="N2377" s="11" t="n"/>
      <c r="O2377" s="11" t="n"/>
      <c r="P2377" s="12" t="n"/>
      <c r="Q2377" s="11" t="n"/>
      <c r="R2377" s="12" t="n"/>
      <c r="S2377" s="11" t="n"/>
      <c r="T2377" s="12" t="n"/>
      <c r="U2377" s="12" t="n"/>
      <c r="V2377" s="12" t="n"/>
      <c r="W2377" s="13" t="n"/>
      <c r="X2377" s="14">
        <f>IF($AP2377="",IF($B2377="","",$H2377),IF(INDEX(職員マスタ!$B$6:$B$405,$AP2377)="",$H2377,INDEX(職員マスタ!$B$6:$B$405,$AP2377)))</f>
        <v/>
      </c>
      <c r="Y2377" s="14">
        <f>IF($AP2377="",IF($B2377="","",$R2377),IF(INDEX(職員マスタ!$C$6:$C$405,$AP2377)="",$R2377,INDEX(職員マスタ!$C$6:$C$405,$AP2377)))</f>
        <v/>
      </c>
      <c r="Z2377" s="14">
        <f>IF($AQ2377="","","R"&amp;$C2377&amp;"."&amp;$D2377)</f>
        <v/>
      </c>
      <c r="AA2377" s="15">
        <f>IF(IF($AP2377="",FALSE,INDEX(職員マスタ!$K$6:$K$405,$AP2377)&lt;&gt;""),INDEX(職員マスタ!$K$6:$K$405,$AP2377),IF(N($W2377)&gt;0,$W2377,""))</f>
        <v/>
      </c>
      <c r="AB2377" s="14">
        <f>IF(OR($E2377="",$AA2377=""),"",IF($E2377&gt;=$AA2377,"×",IF($E2377&gt;=$AA2377*設定!$C$5,"△","○")))</f>
        <v/>
      </c>
      <c r="AC2377" s="15">
        <f>IF($AB2377="","",IF($AB2377="×",0,IF($AB2377="○",ROUNDDOWN($E2377*設定!$C$4,0),ROUNDDOWN($E2377*ROUND((9*$AA2377-9*$E2377)/(10*$E2377),4),0))))</f>
        <v/>
      </c>
      <c r="AD2377" s="13" t="n"/>
      <c r="AE2377" s="15">
        <f>IF($B2377="","",IF($AD2377&lt;&gt;"",$AD2377,IF($AC2377="","",IF($AC2377&lt;=設定!$C$3,0,$AC2377))))</f>
        <v/>
      </c>
      <c r="AF2377" s="14">
        <f>IF($B2377="","",IF(AND($AG2377&lt;&gt;"",$AI2377="",$AL2377=""),"保留中",IF($AL2377&lt;&gt;"",IF(N($AE2377)&gt;0,"支給済","不支給"),IF($AE2377="","要確認",IF($AE2377=0,"不支給","未処理")))))</f>
        <v/>
      </c>
      <c r="AG2377" s="12" t="n"/>
      <c r="AH2377" s="11" t="n"/>
      <c r="AI2377" s="11" t="n"/>
      <c r="AJ2377" s="11" t="n"/>
      <c r="AK2377" s="14">
        <f>IF(AND($AF2377="保留中",$AH2377&lt;&gt;""),TODAY()-$AH2377,"")</f>
        <v/>
      </c>
      <c r="AL2377" s="12" t="n"/>
      <c r="AM2377" s="14">
        <f>IF($B2377="","",IF($AQ2377="","対象年月が未入力／","")&amp;IF($B2377="","",IF($AP2377="","職員マスタに未登録の職員番号／",IF($AA2377="","標準報酬月額が未登録／","")&amp;IF(AND($AQ2377&lt;&gt;"",OR(AND(INDEX(職員マスタ!$G$6:$G$405,$AP2377)&lt;&gt;"",INDEX(職員マスタ!$G$6:$G$405,$AP2377)&gt;EOMONTH($AQ2377,0)),AND(INDEX(職員マスタ!$H$6:$H$405,$AP2377)&lt;&gt;"",INDEX(職員マスタ!$H$6:$H$405,$AP2377)&lt;$AQ2377))),"対象月が時短期間外／","")&amp;IF(AND(INDEX(職員マスタ!$K$6:$K$405,$AP2377)&lt;&gt;"",N($W2377)&gt;0,INDEX(職員マスタ!$K$6:$K$405,$AP2377)&lt;&gt;$W2377),"標準報酬月額が申請書と相違（台帳"&amp;TEXT(INDEX(職員マスタ!$K$6:$K$405,$AP2377),"#,##0")&amp;"円／申請書"&amp;TEXT($W2377,"#,##0")&amp;"円）／","")&amp;IF(AND(INDEX(職員マスタ!$F$6:$F$405,$AP2377)&lt;&gt;"",$AQ2377&lt;&gt;"",INDEX(職員マスタ!$F$6:$F$405,$AP2377)&lt;$AQ2377),"対象月に子が2歳到達済／","")&amp;IF(AND($H2377&lt;&gt;"",INDEX(職員マスタ!$B$6:$B$405,$AP2377)&lt;&gt;"",SUBSTITUTE(SUBSTITUTE($H2377," ","")," ","")&lt;&gt;SUBSTITUTE(SUBSTITUTE(INDEX(職員マスタ!$B$6:$B$405,$AP2377)," ","")," ","")),"氏名がマスタと相違／","")&amp;IF(AND($Q2377&lt;&gt;"",INDEX(職員マスタ!$E$6:$E$405,$AP2377)&lt;&gt;"",$Q2377&lt;&gt;INDEX(職員マスタ!$E$6:$E$405,$AP2377)),"子の生年月日がマスタと相違／","")&amp;IF(AND($L2377&lt;&gt;"",INDEX(職員マスタ!$G$6:$G$405,$AP2377)&lt;&gt;"",$L2377&lt;&gt;INDEX(職員マスタ!$G$6:$G$405,$AP2377)),"時短開始日がマスタと相違／","")&amp;IF(AND($M2377&lt;&gt;"",INDEX(職員マスタ!$H$6:$H$405,$AP2377)&lt;&gt;"",$M2377&lt;&gt;INDEX(職員マスタ!$H$6:$H$405,$AP2377)),"時短終了日がマスタと相違／","")))&amp;IF(AND($B2377&lt;&gt;"",$E2377=""),"報酬額が未入力／","")&amp;IF(N($U2377)&gt;0,"申請書に入力エラーが残っています／","")&amp;IF(AND($B2377&lt;&gt;"",$AQ2377&lt;&gt;""),IF(COUNTIFS($B$6:$B$3005,$B2377,$C$6:$C$3005,$C2377,$D$6:$D$3005,$D2377)&gt;1,"同じ月の請求が重複しています／",""),"")&amp;IF(AND(N($E2377)&gt;0,$AB2377&lt;&gt;"",$AB2377&lt;&gt;"×",$AE2377=0,$AD2377=""),"計算額が下限以下のため不支給／",""))</f>
        <v/>
      </c>
      <c r="AN2377" s="12" t="n"/>
      <c r="AO2377" s="14">
        <f>IF($AF2377="保留中",COUNTIF($AF$6:$AF2377,"保留中"),"")</f>
        <v/>
      </c>
      <c r="AP2377" s="14">
        <f>IF($AQ2377="","",IF(SUMPRODUCT(MAX((職員マスタ!$A$6:$A$405=$B2377)*(((職員マスタ!$G$6:$G$405="")+(職員マスタ!$G$6:$G$405&lt;=EOMONTH($AQ2377,0)))&gt;0)*(((職員マスタ!$H$6:$H$405="")+(職員マスタ!$H$6:$H$405&gt;=$AQ2377))&gt;0)*(ROW(職員マスタ!$A$6:$A$405)-5)))&gt;0,SUMPRODUCT(MAX((職員マスタ!$A$6:$A$405=$B2377)*(((職員マスタ!$G$6:$G$405="")+(職員マスタ!$G$6:$G$405&lt;=EOMONTH($AQ2377,0)))&gt;0)*(((職員マスタ!$H$6:$H$405="")+(職員マスタ!$H$6:$H$405&gt;=$AQ2377))&gt;0)*(ROW(職員マスタ!$A$6:$A$405)-5))),IFERROR(MATCH($B2377,職員マスタ!$A$6:$A$405,0),"")))</f>
        <v/>
      </c>
      <c r="AQ2377" s="16">
        <f>IF(OR($B2377="",$C2377="",$D2377=""),"",DATE($C2377+2018,$D2377,1))</f>
        <v/>
      </c>
    </row>
    <row r="2378">
      <c r="A2378" s="11" t="n"/>
      <c r="B2378" s="12" t="n"/>
      <c r="C2378" s="12" t="n"/>
      <c r="D2378" s="12" t="n"/>
      <c r="E2378" s="13" t="n"/>
      <c r="F2378" s="12" t="n"/>
      <c r="G2378" s="13" t="n"/>
      <c r="H2378" s="12" t="n"/>
      <c r="I2378" s="12" t="n"/>
      <c r="J2378" s="12" t="n"/>
      <c r="K2378" s="12" t="n"/>
      <c r="L2378" s="11" t="n"/>
      <c r="M2378" s="11" t="n"/>
      <c r="N2378" s="11" t="n"/>
      <c r="O2378" s="11" t="n"/>
      <c r="P2378" s="12" t="n"/>
      <c r="Q2378" s="11" t="n"/>
      <c r="R2378" s="12" t="n"/>
      <c r="S2378" s="11" t="n"/>
      <c r="T2378" s="12" t="n"/>
      <c r="U2378" s="12" t="n"/>
      <c r="V2378" s="12" t="n"/>
      <c r="W2378" s="13" t="n"/>
      <c r="X2378" s="14">
        <f>IF($AP2378="",IF($B2378="","",$H2378),IF(INDEX(職員マスタ!$B$6:$B$405,$AP2378)="",$H2378,INDEX(職員マスタ!$B$6:$B$405,$AP2378)))</f>
        <v/>
      </c>
      <c r="Y2378" s="14">
        <f>IF($AP2378="",IF($B2378="","",$R2378),IF(INDEX(職員マスタ!$C$6:$C$405,$AP2378)="",$R2378,INDEX(職員マスタ!$C$6:$C$405,$AP2378)))</f>
        <v/>
      </c>
      <c r="Z2378" s="14">
        <f>IF($AQ2378="","","R"&amp;$C2378&amp;"."&amp;$D2378)</f>
        <v/>
      </c>
      <c r="AA2378" s="15">
        <f>IF(IF($AP2378="",FALSE,INDEX(職員マスタ!$K$6:$K$405,$AP2378)&lt;&gt;""),INDEX(職員マスタ!$K$6:$K$405,$AP2378),IF(N($W2378)&gt;0,$W2378,""))</f>
        <v/>
      </c>
      <c r="AB2378" s="14">
        <f>IF(OR($E2378="",$AA2378=""),"",IF($E2378&gt;=$AA2378,"×",IF($E2378&gt;=$AA2378*設定!$C$5,"△","○")))</f>
        <v/>
      </c>
      <c r="AC2378" s="15">
        <f>IF($AB2378="","",IF($AB2378="×",0,IF($AB2378="○",ROUNDDOWN($E2378*設定!$C$4,0),ROUNDDOWN($E2378*ROUND((9*$AA2378-9*$E2378)/(10*$E2378),4),0))))</f>
        <v/>
      </c>
      <c r="AD2378" s="13" t="n"/>
      <c r="AE2378" s="15">
        <f>IF($B2378="","",IF($AD2378&lt;&gt;"",$AD2378,IF($AC2378="","",IF($AC2378&lt;=設定!$C$3,0,$AC2378))))</f>
        <v/>
      </c>
      <c r="AF2378" s="14">
        <f>IF($B2378="","",IF(AND($AG2378&lt;&gt;"",$AI2378="",$AL2378=""),"保留中",IF($AL2378&lt;&gt;"",IF(N($AE2378)&gt;0,"支給済","不支給"),IF($AE2378="","要確認",IF($AE2378=0,"不支給","未処理")))))</f>
        <v/>
      </c>
      <c r="AG2378" s="12" t="n"/>
      <c r="AH2378" s="11" t="n"/>
      <c r="AI2378" s="11" t="n"/>
      <c r="AJ2378" s="11" t="n"/>
      <c r="AK2378" s="14">
        <f>IF(AND($AF2378="保留中",$AH2378&lt;&gt;""),TODAY()-$AH2378,"")</f>
        <v/>
      </c>
      <c r="AL2378" s="12" t="n"/>
      <c r="AM2378" s="14">
        <f>IF($B2378="","",IF($AQ2378="","対象年月が未入力／","")&amp;IF($B2378="","",IF($AP2378="","職員マスタに未登録の職員番号／",IF($AA2378="","標準報酬月額が未登録／","")&amp;IF(AND($AQ2378&lt;&gt;"",OR(AND(INDEX(職員マスタ!$G$6:$G$405,$AP2378)&lt;&gt;"",INDEX(職員マスタ!$G$6:$G$405,$AP2378)&gt;EOMONTH($AQ2378,0)),AND(INDEX(職員マスタ!$H$6:$H$405,$AP2378)&lt;&gt;"",INDEX(職員マスタ!$H$6:$H$405,$AP2378)&lt;$AQ2378))),"対象月が時短期間外／","")&amp;IF(AND(INDEX(職員マスタ!$K$6:$K$405,$AP2378)&lt;&gt;"",N($W2378)&gt;0,INDEX(職員マスタ!$K$6:$K$405,$AP2378)&lt;&gt;$W2378),"標準報酬月額が申請書と相違（台帳"&amp;TEXT(INDEX(職員マスタ!$K$6:$K$405,$AP2378),"#,##0")&amp;"円／申請書"&amp;TEXT($W2378,"#,##0")&amp;"円）／","")&amp;IF(AND(INDEX(職員マスタ!$F$6:$F$405,$AP2378)&lt;&gt;"",$AQ2378&lt;&gt;"",INDEX(職員マスタ!$F$6:$F$405,$AP2378)&lt;$AQ2378),"対象月に子が2歳到達済／","")&amp;IF(AND($H2378&lt;&gt;"",INDEX(職員マスタ!$B$6:$B$405,$AP2378)&lt;&gt;"",SUBSTITUTE(SUBSTITUTE($H2378," ","")," ","")&lt;&gt;SUBSTITUTE(SUBSTITUTE(INDEX(職員マスタ!$B$6:$B$405,$AP2378)," ","")," ","")),"氏名がマスタと相違／","")&amp;IF(AND($Q2378&lt;&gt;"",INDEX(職員マスタ!$E$6:$E$405,$AP2378)&lt;&gt;"",$Q2378&lt;&gt;INDEX(職員マスタ!$E$6:$E$405,$AP2378)),"子の生年月日がマスタと相違／","")&amp;IF(AND($L2378&lt;&gt;"",INDEX(職員マスタ!$G$6:$G$405,$AP2378)&lt;&gt;"",$L2378&lt;&gt;INDEX(職員マスタ!$G$6:$G$405,$AP2378)),"時短開始日がマスタと相違／","")&amp;IF(AND($M2378&lt;&gt;"",INDEX(職員マスタ!$H$6:$H$405,$AP2378)&lt;&gt;"",$M2378&lt;&gt;INDEX(職員マスタ!$H$6:$H$405,$AP2378)),"時短終了日がマスタと相違／","")))&amp;IF(AND($B2378&lt;&gt;"",$E2378=""),"報酬額が未入力／","")&amp;IF(N($U2378)&gt;0,"申請書に入力エラーが残っています／","")&amp;IF(AND($B2378&lt;&gt;"",$AQ2378&lt;&gt;""),IF(COUNTIFS($B$6:$B$3005,$B2378,$C$6:$C$3005,$C2378,$D$6:$D$3005,$D2378)&gt;1,"同じ月の請求が重複しています／",""),"")&amp;IF(AND(N($E2378)&gt;0,$AB2378&lt;&gt;"",$AB2378&lt;&gt;"×",$AE2378=0,$AD2378=""),"計算額が下限以下のため不支給／",""))</f>
        <v/>
      </c>
      <c r="AN2378" s="12" t="n"/>
      <c r="AO2378" s="14">
        <f>IF($AF2378="保留中",COUNTIF($AF$6:$AF2378,"保留中"),"")</f>
        <v/>
      </c>
      <c r="AP2378" s="14">
        <f>IF($AQ2378="","",IF(SUMPRODUCT(MAX((職員マスタ!$A$6:$A$405=$B2378)*(((職員マスタ!$G$6:$G$405="")+(職員マスタ!$G$6:$G$405&lt;=EOMONTH($AQ2378,0)))&gt;0)*(((職員マスタ!$H$6:$H$405="")+(職員マスタ!$H$6:$H$405&gt;=$AQ2378))&gt;0)*(ROW(職員マスタ!$A$6:$A$405)-5)))&gt;0,SUMPRODUCT(MAX((職員マスタ!$A$6:$A$405=$B2378)*(((職員マスタ!$G$6:$G$405="")+(職員マスタ!$G$6:$G$405&lt;=EOMONTH($AQ2378,0)))&gt;0)*(((職員マスタ!$H$6:$H$405="")+(職員マスタ!$H$6:$H$405&gt;=$AQ2378))&gt;0)*(ROW(職員マスタ!$A$6:$A$405)-5))),IFERROR(MATCH($B2378,職員マスタ!$A$6:$A$405,0),"")))</f>
        <v/>
      </c>
      <c r="AQ2378" s="16">
        <f>IF(OR($B2378="",$C2378="",$D2378=""),"",DATE($C2378+2018,$D2378,1))</f>
        <v/>
      </c>
    </row>
    <row r="2379">
      <c r="A2379" s="11" t="n"/>
      <c r="B2379" s="12" t="n"/>
      <c r="C2379" s="12" t="n"/>
      <c r="D2379" s="12" t="n"/>
      <c r="E2379" s="13" t="n"/>
      <c r="F2379" s="12" t="n"/>
      <c r="G2379" s="13" t="n"/>
      <c r="H2379" s="12" t="n"/>
      <c r="I2379" s="12" t="n"/>
      <c r="J2379" s="12" t="n"/>
      <c r="K2379" s="12" t="n"/>
      <c r="L2379" s="11" t="n"/>
      <c r="M2379" s="11" t="n"/>
      <c r="N2379" s="11" t="n"/>
      <c r="O2379" s="11" t="n"/>
      <c r="P2379" s="12" t="n"/>
      <c r="Q2379" s="11" t="n"/>
      <c r="R2379" s="12" t="n"/>
      <c r="S2379" s="11" t="n"/>
      <c r="T2379" s="12" t="n"/>
      <c r="U2379" s="12" t="n"/>
      <c r="V2379" s="12" t="n"/>
      <c r="W2379" s="13" t="n"/>
      <c r="X2379" s="14">
        <f>IF($AP2379="",IF($B2379="","",$H2379),IF(INDEX(職員マスタ!$B$6:$B$405,$AP2379)="",$H2379,INDEX(職員マスタ!$B$6:$B$405,$AP2379)))</f>
        <v/>
      </c>
      <c r="Y2379" s="14">
        <f>IF($AP2379="",IF($B2379="","",$R2379),IF(INDEX(職員マスタ!$C$6:$C$405,$AP2379)="",$R2379,INDEX(職員マスタ!$C$6:$C$405,$AP2379)))</f>
        <v/>
      </c>
      <c r="Z2379" s="14">
        <f>IF($AQ2379="","","R"&amp;$C2379&amp;"."&amp;$D2379)</f>
        <v/>
      </c>
      <c r="AA2379" s="15">
        <f>IF(IF($AP2379="",FALSE,INDEX(職員マスタ!$K$6:$K$405,$AP2379)&lt;&gt;""),INDEX(職員マスタ!$K$6:$K$405,$AP2379),IF(N($W2379)&gt;0,$W2379,""))</f>
        <v/>
      </c>
      <c r="AB2379" s="14">
        <f>IF(OR($E2379="",$AA2379=""),"",IF($E2379&gt;=$AA2379,"×",IF($E2379&gt;=$AA2379*設定!$C$5,"△","○")))</f>
        <v/>
      </c>
      <c r="AC2379" s="15">
        <f>IF($AB2379="","",IF($AB2379="×",0,IF($AB2379="○",ROUNDDOWN($E2379*設定!$C$4,0),ROUNDDOWN($E2379*ROUND((9*$AA2379-9*$E2379)/(10*$E2379),4),0))))</f>
        <v/>
      </c>
      <c r="AD2379" s="13" t="n"/>
      <c r="AE2379" s="15">
        <f>IF($B2379="","",IF($AD2379&lt;&gt;"",$AD2379,IF($AC2379="","",IF($AC2379&lt;=設定!$C$3,0,$AC2379))))</f>
        <v/>
      </c>
      <c r="AF2379" s="14">
        <f>IF($B2379="","",IF(AND($AG2379&lt;&gt;"",$AI2379="",$AL2379=""),"保留中",IF($AL2379&lt;&gt;"",IF(N($AE2379)&gt;0,"支給済","不支給"),IF($AE2379="","要確認",IF($AE2379=0,"不支給","未処理")))))</f>
        <v/>
      </c>
      <c r="AG2379" s="12" t="n"/>
      <c r="AH2379" s="11" t="n"/>
      <c r="AI2379" s="11" t="n"/>
      <c r="AJ2379" s="11" t="n"/>
      <c r="AK2379" s="14">
        <f>IF(AND($AF2379="保留中",$AH2379&lt;&gt;""),TODAY()-$AH2379,"")</f>
        <v/>
      </c>
      <c r="AL2379" s="12" t="n"/>
      <c r="AM2379" s="14">
        <f>IF($B2379="","",IF($AQ2379="","対象年月が未入力／","")&amp;IF($B2379="","",IF($AP2379="","職員マスタに未登録の職員番号／",IF($AA2379="","標準報酬月額が未登録／","")&amp;IF(AND($AQ2379&lt;&gt;"",OR(AND(INDEX(職員マスタ!$G$6:$G$405,$AP2379)&lt;&gt;"",INDEX(職員マスタ!$G$6:$G$405,$AP2379)&gt;EOMONTH($AQ2379,0)),AND(INDEX(職員マスタ!$H$6:$H$405,$AP2379)&lt;&gt;"",INDEX(職員マスタ!$H$6:$H$405,$AP2379)&lt;$AQ2379))),"対象月が時短期間外／","")&amp;IF(AND(INDEX(職員マスタ!$K$6:$K$405,$AP2379)&lt;&gt;"",N($W2379)&gt;0,INDEX(職員マスタ!$K$6:$K$405,$AP2379)&lt;&gt;$W2379),"標準報酬月額が申請書と相違（台帳"&amp;TEXT(INDEX(職員マスタ!$K$6:$K$405,$AP2379),"#,##0")&amp;"円／申請書"&amp;TEXT($W2379,"#,##0")&amp;"円）／","")&amp;IF(AND(INDEX(職員マスタ!$F$6:$F$405,$AP2379)&lt;&gt;"",$AQ2379&lt;&gt;"",INDEX(職員マスタ!$F$6:$F$405,$AP2379)&lt;$AQ2379),"対象月に子が2歳到達済／","")&amp;IF(AND($H2379&lt;&gt;"",INDEX(職員マスタ!$B$6:$B$405,$AP2379)&lt;&gt;"",SUBSTITUTE(SUBSTITUTE($H2379," ","")," ","")&lt;&gt;SUBSTITUTE(SUBSTITUTE(INDEX(職員マスタ!$B$6:$B$405,$AP2379)," ","")," ","")),"氏名がマスタと相違／","")&amp;IF(AND($Q2379&lt;&gt;"",INDEX(職員マスタ!$E$6:$E$405,$AP2379)&lt;&gt;"",$Q2379&lt;&gt;INDEX(職員マスタ!$E$6:$E$405,$AP2379)),"子の生年月日がマスタと相違／","")&amp;IF(AND($L2379&lt;&gt;"",INDEX(職員マスタ!$G$6:$G$405,$AP2379)&lt;&gt;"",$L2379&lt;&gt;INDEX(職員マスタ!$G$6:$G$405,$AP2379)),"時短開始日がマスタと相違／","")&amp;IF(AND($M2379&lt;&gt;"",INDEX(職員マスタ!$H$6:$H$405,$AP2379)&lt;&gt;"",$M2379&lt;&gt;INDEX(職員マスタ!$H$6:$H$405,$AP2379)),"時短終了日がマスタと相違／","")))&amp;IF(AND($B2379&lt;&gt;"",$E2379=""),"報酬額が未入力／","")&amp;IF(N($U2379)&gt;0,"申請書に入力エラーが残っています／","")&amp;IF(AND($B2379&lt;&gt;"",$AQ2379&lt;&gt;""),IF(COUNTIFS($B$6:$B$3005,$B2379,$C$6:$C$3005,$C2379,$D$6:$D$3005,$D2379)&gt;1,"同じ月の請求が重複しています／",""),"")&amp;IF(AND(N($E2379)&gt;0,$AB2379&lt;&gt;"",$AB2379&lt;&gt;"×",$AE2379=0,$AD2379=""),"計算額が下限以下のため不支給／",""))</f>
        <v/>
      </c>
      <c r="AN2379" s="12" t="n"/>
      <c r="AO2379" s="14">
        <f>IF($AF2379="保留中",COUNTIF($AF$6:$AF2379,"保留中"),"")</f>
        <v/>
      </c>
      <c r="AP2379" s="14">
        <f>IF($AQ2379="","",IF(SUMPRODUCT(MAX((職員マスタ!$A$6:$A$405=$B2379)*(((職員マスタ!$G$6:$G$405="")+(職員マスタ!$G$6:$G$405&lt;=EOMONTH($AQ2379,0)))&gt;0)*(((職員マスタ!$H$6:$H$405="")+(職員マスタ!$H$6:$H$405&gt;=$AQ2379))&gt;0)*(ROW(職員マスタ!$A$6:$A$405)-5)))&gt;0,SUMPRODUCT(MAX((職員マスタ!$A$6:$A$405=$B2379)*(((職員マスタ!$G$6:$G$405="")+(職員マスタ!$G$6:$G$405&lt;=EOMONTH($AQ2379,0)))&gt;0)*(((職員マスタ!$H$6:$H$405="")+(職員マスタ!$H$6:$H$405&gt;=$AQ2379))&gt;0)*(ROW(職員マスタ!$A$6:$A$405)-5))),IFERROR(MATCH($B2379,職員マスタ!$A$6:$A$405,0),"")))</f>
        <v/>
      </c>
      <c r="AQ2379" s="16">
        <f>IF(OR($B2379="",$C2379="",$D2379=""),"",DATE($C2379+2018,$D2379,1))</f>
        <v/>
      </c>
    </row>
    <row r="2380">
      <c r="A2380" s="11" t="n"/>
      <c r="B2380" s="12" t="n"/>
      <c r="C2380" s="12" t="n"/>
      <c r="D2380" s="12" t="n"/>
      <c r="E2380" s="13" t="n"/>
      <c r="F2380" s="12" t="n"/>
      <c r="G2380" s="13" t="n"/>
      <c r="H2380" s="12" t="n"/>
      <c r="I2380" s="12" t="n"/>
      <c r="J2380" s="12" t="n"/>
      <c r="K2380" s="12" t="n"/>
      <c r="L2380" s="11" t="n"/>
      <c r="M2380" s="11" t="n"/>
      <c r="N2380" s="11" t="n"/>
      <c r="O2380" s="11" t="n"/>
      <c r="P2380" s="12" t="n"/>
      <c r="Q2380" s="11" t="n"/>
      <c r="R2380" s="12" t="n"/>
      <c r="S2380" s="11" t="n"/>
      <c r="T2380" s="12" t="n"/>
      <c r="U2380" s="12" t="n"/>
      <c r="V2380" s="12" t="n"/>
      <c r="W2380" s="13" t="n"/>
      <c r="X2380" s="14">
        <f>IF($AP2380="",IF($B2380="","",$H2380),IF(INDEX(職員マスタ!$B$6:$B$405,$AP2380)="",$H2380,INDEX(職員マスタ!$B$6:$B$405,$AP2380)))</f>
        <v/>
      </c>
      <c r="Y2380" s="14">
        <f>IF($AP2380="",IF($B2380="","",$R2380),IF(INDEX(職員マスタ!$C$6:$C$405,$AP2380)="",$R2380,INDEX(職員マスタ!$C$6:$C$405,$AP2380)))</f>
        <v/>
      </c>
      <c r="Z2380" s="14">
        <f>IF($AQ2380="","","R"&amp;$C2380&amp;"."&amp;$D2380)</f>
        <v/>
      </c>
      <c r="AA2380" s="15">
        <f>IF(IF($AP2380="",FALSE,INDEX(職員マスタ!$K$6:$K$405,$AP2380)&lt;&gt;""),INDEX(職員マスタ!$K$6:$K$405,$AP2380),IF(N($W2380)&gt;0,$W2380,""))</f>
        <v/>
      </c>
      <c r="AB2380" s="14">
        <f>IF(OR($E2380="",$AA2380=""),"",IF($E2380&gt;=$AA2380,"×",IF($E2380&gt;=$AA2380*設定!$C$5,"△","○")))</f>
        <v/>
      </c>
      <c r="AC2380" s="15">
        <f>IF($AB2380="","",IF($AB2380="×",0,IF($AB2380="○",ROUNDDOWN($E2380*設定!$C$4,0),ROUNDDOWN($E2380*ROUND((9*$AA2380-9*$E2380)/(10*$E2380),4),0))))</f>
        <v/>
      </c>
      <c r="AD2380" s="13" t="n"/>
      <c r="AE2380" s="15">
        <f>IF($B2380="","",IF($AD2380&lt;&gt;"",$AD2380,IF($AC2380="","",IF($AC2380&lt;=設定!$C$3,0,$AC2380))))</f>
        <v/>
      </c>
      <c r="AF2380" s="14">
        <f>IF($B2380="","",IF(AND($AG2380&lt;&gt;"",$AI2380="",$AL2380=""),"保留中",IF($AL2380&lt;&gt;"",IF(N($AE2380)&gt;0,"支給済","不支給"),IF($AE2380="","要確認",IF($AE2380=0,"不支給","未処理")))))</f>
        <v/>
      </c>
      <c r="AG2380" s="12" t="n"/>
      <c r="AH2380" s="11" t="n"/>
      <c r="AI2380" s="11" t="n"/>
      <c r="AJ2380" s="11" t="n"/>
      <c r="AK2380" s="14">
        <f>IF(AND($AF2380="保留中",$AH2380&lt;&gt;""),TODAY()-$AH2380,"")</f>
        <v/>
      </c>
      <c r="AL2380" s="12" t="n"/>
      <c r="AM2380" s="14">
        <f>IF($B2380="","",IF($AQ2380="","対象年月が未入力／","")&amp;IF($B2380="","",IF($AP2380="","職員マスタに未登録の職員番号／",IF($AA2380="","標準報酬月額が未登録／","")&amp;IF(AND($AQ2380&lt;&gt;"",OR(AND(INDEX(職員マスタ!$G$6:$G$405,$AP2380)&lt;&gt;"",INDEX(職員マスタ!$G$6:$G$405,$AP2380)&gt;EOMONTH($AQ2380,0)),AND(INDEX(職員マスタ!$H$6:$H$405,$AP2380)&lt;&gt;"",INDEX(職員マスタ!$H$6:$H$405,$AP2380)&lt;$AQ2380))),"対象月が時短期間外／","")&amp;IF(AND(INDEX(職員マスタ!$K$6:$K$405,$AP2380)&lt;&gt;"",N($W2380)&gt;0,INDEX(職員マスタ!$K$6:$K$405,$AP2380)&lt;&gt;$W2380),"標準報酬月額が申請書と相違（台帳"&amp;TEXT(INDEX(職員マスタ!$K$6:$K$405,$AP2380),"#,##0")&amp;"円／申請書"&amp;TEXT($W2380,"#,##0")&amp;"円）／","")&amp;IF(AND(INDEX(職員マスタ!$F$6:$F$405,$AP2380)&lt;&gt;"",$AQ2380&lt;&gt;"",INDEX(職員マスタ!$F$6:$F$405,$AP2380)&lt;$AQ2380),"対象月に子が2歳到達済／","")&amp;IF(AND($H2380&lt;&gt;"",INDEX(職員マスタ!$B$6:$B$405,$AP2380)&lt;&gt;"",SUBSTITUTE(SUBSTITUTE($H2380," ","")," ","")&lt;&gt;SUBSTITUTE(SUBSTITUTE(INDEX(職員マスタ!$B$6:$B$405,$AP2380)," ","")," ","")),"氏名がマスタと相違／","")&amp;IF(AND($Q2380&lt;&gt;"",INDEX(職員マスタ!$E$6:$E$405,$AP2380)&lt;&gt;"",$Q2380&lt;&gt;INDEX(職員マスタ!$E$6:$E$405,$AP2380)),"子の生年月日がマスタと相違／","")&amp;IF(AND($L2380&lt;&gt;"",INDEX(職員マスタ!$G$6:$G$405,$AP2380)&lt;&gt;"",$L2380&lt;&gt;INDEX(職員マスタ!$G$6:$G$405,$AP2380)),"時短開始日がマスタと相違／","")&amp;IF(AND($M2380&lt;&gt;"",INDEX(職員マスタ!$H$6:$H$405,$AP2380)&lt;&gt;"",$M2380&lt;&gt;INDEX(職員マスタ!$H$6:$H$405,$AP2380)),"時短終了日がマスタと相違／","")))&amp;IF(AND($B2380&lt;&gt;"",$E2380=""),"報酬額が未入力／","")&amp;IF(N($U2380)&gt;0,"申請書に入力エラーが残っています／","")&amp;IF(AND($B2380&lt;&gt;"",$AQ2380&lt;&gt;""),IF(COUNTIFS($B$6:$B$3005,$B2380,$C$6:$C$3005,$C2380,$D$6:$D$3005,$D2380)&gt;1,"同じ月の請求が重複しています／",""),"")&amp;IF(AND(N($E2380)&gt;0,$AB2380&lt;&gt;"",$AB2380&lt;&gt;"×",$AE2380=0,$AD2380=""),"計算額が下限以下のため不支給／",""))</f>
        <v/>
      </c>
      <c r="AN2380" s="12" t="n"/>
      <c r="AO2380" s="14">
        <f>IF($AF2380="保留中",COUNTIF($AF$6:$AF2380,"保留中"),"")</f>
        <v/>
      </c>
      <c r="AP2380" s="14">
        <f>IF($AQ2380="","",IF(SUMPRODUCT(MAX((職員マスタ!$A$6:$A$405=$B2380)*(((職員マスタ!$G$6:$G$405="")+(職員マスタ!$G$6:$G$405&lt;=EOMONTH($AQ2380,0)))&gt;0)*(((職員マスタ!$H$6:$H$405="")+(職員マスタ!$H$6:$H$405&gt;=$AQ2380))&gt;0)*(ROW(職員マスタ!$A$6:$A$405)-5)))&gt;0,SUMPRODUCT(MAX((職員マスタ!$A$6:$A$405=$B2380)*(((職員マスタ!$G$6:$G$405="")+(職員マスタ!$G$6:$G$405&lt;=EOMONTH($AQ2380,0)))&gt;0)*(((職員マスタ!$H$6:$H$405="")+(職員マスタ!$H$6:$H$405&gt;=$AQ2380))&gt;0)*(ROW(職員マスタ!$A$6:$A$405)-5))),IFERROR(MATCH($B2380,職員マスタ!$A$6:$A$405,0),"")))</f>
        <v/>
      </c>
      <c r="AQ2380" s="16">
        <f>IF(OR($B2380="",$C2380="",$D2380=""),"",DATE($C2380+2018,$D2380,1))</f>
        <v/>
      </c>
    </row>
    <row r="2381">
      <c r="A2381" s="11" t="n"/>
      <c r="B2381" s="12" t="n"/>
      <c r="C2381" s="12" t="n"/>
      <c r="D2381" s="12" t="n"/>
      <c r="E2381" s="13" t="n"/>
      <c r="F2381" s="12" t="n"/>
      <c r="G2381" s="13" t="n"/>
      <c r="H2381" s="12" t="n"/>
      <c r="I2381" s="12" t="n"/>
      <c r="J2381" s="12" t="n"/>
      <c r="K2381" s="12" t="n"/>
      <c r="L2381" s="11" t="n"/>
      <c r="M2381" s="11" t="n"/>
      <c r="N2381" s="11" t="n"/>
      <c r="O2381" s="11" t="n"/>
      <c r="P2381" s="12" t="n"/>
      <c r="Q2381" s="11" t="n"/>
      <c r="R2381" s="12" t="n"/>
      <c r="S2381" s="11" t="n"/>
      <c r="T2381" s="12" t="n"/>
      <c r="U2381" s="12" t="n"/>
      <c r="V2381" s="12" t="n"/>
      <c r="W2381" s="13" t="n"/>
      <c r="X2381" s="14">
        <f>IF($AP2381="",IF($B2381="","",$H2381),IF(INDEX(職員マスタ!$B$6:$B$405,$AP2381)="",$H2381,INDEX(職員マスタ!$B$6:$B$405,$AP2381)))</f>
        <v/>
      </c>
      <c r="Y2381" s="14">
        <f>IF($AP2381="",IF($B2381="","",$R2381),IF(INDEX(職員マスタ!$C$6:$C$405,$AP2381)="",$R2381,INDEX(職員マスタ!$C$6:$C$405,$AP2381)))</f>
        <v/>
      </c>
      <c r="Z2381" s="14">
        <f>IF($AQ2381="","","R"&amp;$C2381&amp;"."&amp;$D2381)</f>
        <v/>
      </c>
      <c r="AA2381" s="15">
        <f>IF(IF($AP2381="",FALSE,INDEX(職員マスタ!$K$6:$K$405,$AP2381)&lt;&gt;""),INDEX(職員マスタ!$K$6:$K$405,$AP2381),IF(N($W2381)&gt;0,$W2381,""))</f>
        <v/>
      </c>
      <c r="AB2381" s="14">
        <f>IF(OR($E2381="",$AA2381=""),"",IF($E2381&gt;=$AA2381,"×",IF($E2381&gt;=$AA2381*設定!$C$5,"△","○")))</f>
        <v/>
      </c>
      <c r="AC2381" s="15">
        <f>IF($AB2381="","",IF($AB2381="×",0,IF($AB2381="○",ROUNDDOWN($E2381*設定!$C$4,0),ROUNDDOWN($E2381*ROUND((9*$AA2381-9*$E2381)/(10*$E2381),4),0))))</f>
        <v/>
      </c>
      <c r="AD2381" s="13" t="n"/>
      <c r="AE2381" s="15">
        <f>IF($B2381="","",IF($AD2381&lt;&gt;"",$AD2381,IF($AC2381="","",IF($AC2381&lt;=設定!$C$3,0,$AC2381))))</f>
        <v/>
      </c>
      <c r="AF2381" s="14">
        <f>IF($B2381="","",IF(AND($AG2381&lt;&gt;"",$AI2381="",$AL2381=""),"保留中",IF($AL2381&lt;&gt;"",IF(N($AE2381)&gt;0,"支給済","不支給"),IF($AE2381="","要確認",IF($AE2381=0,"不支給","未処理")))))</f>
        <v/>
      </c>
      <c r="AG2381" s="12" t="n"/>
      <c r="AH2381" s="11" t="n"/>
      <c r="AI2381" s="11" t="n"/>
      <c r="AJ2381" s="11" t="n"/>
      <c r="AK2381" s="14">
        <f>IF(AND($AF2381="保留中",$AH2381&lt;&gt;""),TODAY()-$AH2381,"")</f>
        <v/>
      </c>
      <c r="AL2381" s="12" t="n"/>
      <c r="AM2381" s="14">
        <f>IF($B2381="","",IF($AQ2381="","対象年月が未入力／","")&amp;IF($B2381="","",IF($AP2381="","職員マスタに未登録の職員番号／",IF($AA2381="","標準報酬月額が未登録／","")&amp;IF(AND($AQ2381&lt;&gt;"",OR(AND(INDEX(職員マスタ!$G$6:$G$405,$AP2381)&lt;&gt;"",INDEX(職員マスタ!$G$6:$G$405,$AP2381)&gt;EOMONTH($AQ2381,0)),AND(INDEX(職員マスタ!$H$6:$H$405,$AP2381)&lt;&gt;"",INDEX(職員マスタ!$H$6:$H$405,$AP2381)&lt;$AQ2381))),"対象月が時短期間外／","")&amp;IF(AND(INDEX(職員マスタ!$K$6:$K$405,$AP2381)&lt;&gt;"",N($W2381)&gt;0,INDEX(職員マスタ!$K$6:$K$405,$AP2381)&lt;&gt;$W2381),"標準報酬月額が申請書と相違（台帳"&amp;TEXT(INDEX(職員マスタ!$K$6:$K$405,$AP2381),"#,##0")&amp;"円／申請書"&amp;TEXT($W2381,"#,##0")&amp;"円）／","")&amp;IF(AND(INDEX(職員マスタ!$F$6:$F$405,$AP2381)&lt;&gt;"",$AQ2381&lt;&gt;"",INDEX(職員マスタ!$F$6:$F$405,$AP2381)&lt;$AQ2381),"対象月に子が2歳到達済／","")&amp;IF(AND($H2381&lt;&gt;"",INDEX(職員マスタ!$B$6:$B$405,$AP2381)&lt;&gt;"",SUBSTITUTE(SUBSTITUTE($H2381," ","")," ","")&lt;&gt;SUBSTITUTE(SUBSTITUTE(INDEX(職員マスタ!$B$6:$B$405,$AP2381)," ","")," ","")),"氏名がマスタと相違／","")&amp;IF(AND($Q2381&lt;&gt;"",INDEX(職員マスタ!$E$6:$E$405,$AP2381)&lt;&gt;"",$Q2381&lt;&gt;INDEX(職員マスタ!$E$6:$E$405,$AP2381)),"子の生年月日がマスタと相違／","")&amp;IF(AND($L2381&lt;&gt;"",INDEX(職員マスタ!$G$6:$G$405,$AP2381)&lt;&gt;"",$L2381&lt;&gt;INDEX(職員マスタ!$G$6:$G$405,$AP2381)),"時短開始日がマスタと相違／","")&amp;IF(AND($M2381&lt;&gt;"",INDEX(職員マスタ!$H$6:$H$405,$AP2381)&lt;&gt;"",$M2381&lt;&gt;INDEX(職員マスタ!$H$6:$H$405,$AP2381)),"時短終了日がマスタと相違／","")))&amp;IF(AND($B2381&lt;&gt;"",$E2381=""),"報酬額が未入力／","")&amp;IF(N($U2381)&gt;0,"申請書に入力エラーが残っています／","")&amp;IF(AND($B2381&lt;&gt;"",$AQ2381&lt;&gt;""),IF(COUNTIFS($B$6:$B$3005,$B2381,$C$6:$C$3005,$C2381,$D$6:$D$3005,$D2381)&gt;1,"同じ月の請求が重複しています／",""),"")&amp;IF(AND(N($E2381)&gt;0,$AB2381&lt;&gt;"",$AB2381&lt;&gt;"×",$AE2381=0,$AD2381=""),"計算額が下限以下のため不支給／",""))</f>
        <v/>
      </c>
      <c r="AN2381" s="12" t="n"/>
      <c r="AO2381" s="14">
        <f>IF($AF2381="保留中",COUNTIF($AF$6:$AF2381,"保留中"),"")</f>
        <v/>
      </c>
      <c r="AP2381" s="14">
        <f>IF($AQ2381="","",IF(SUMPRODUCT(MAX((職員マスタ!$A$6:$A$405=$B2381)*(((職員マスタ!$G$6:$G$405="")+(職員マスタ!$G$6:$G$405&lt;=EOMONTH($AQ2381,0)))&gt;0)*(((職員マスタ!$H$6:$H$405="")+(職員マスタ!$H$6:$H$405&gt;=$AQ2381))&gt;0)*(ROW(職員マスタ!$A$6:$A$405)-5)))&gt;0,SUMPRODUCT(MAX((職員マスタ!$A$6:$A$405=$B2381)*(((職員マスタ!$G$6:$G$405="")+(職員マスタ!$G$6:$G$405&lt;=EOMONTH($AQ2381,0)))&gt;0)*(((職員マスタ!$H$6:$H$405="")+(職員マスタ!$H$6:$H$405&gt;=$AQ2381))&gt;0)*(ROW(職員マスタ!$A$6:$A$405)-5))),IFERROR(MATCH($B2381,職員マスタ!$A$6:$A$405,0),"")))</f>
        <v/>
      </c>
      <c r="AQ2381" s="16">
        <f>IF(OR($B2381="",$C2381="",$D2381=""),"",DATE($C2381+2018,$D2381,1))</f>
        <v/>
      </c>
    </row>
    <row r="2382">
      <c r="A2382" s="11" t="n"/>
      <c r="B2382" s="12" t="n"/>
      <c r="C2382" s="12" t="n"/>
      <c r="D2382" s="12" t="n"/>
      <c r="E2382" s="13" t="n"/>
      <c r="F2382" s="12" t="n"/>
      <c r="G2382" s="13" t="n"/>
      <c r="H2382" s="12" t="n"/>
      <c r="I2382" s="12" t="n"/>
      <c r="J2382" s="12" t="n"/>
      <c r="K2382" s="12" t="n"/>
      <c r="L2382" s="11" t="n"/>
      <c r="M2382" s="11" t="n"/>
      <c r="N2382" s="11" t="n"/>
      <c r="O2382" s="11" t="n"/>
      <c r="P2382" s="12" t="n"/>
      <c r="Q2382" s="11" t="n"/>
      <c r="R2382" s="12" t="n"/>
      <c r="S2382" s="11" t="n"/>
      <c r="T2382" s="12" t="n"/>
      <c r="U2382" s="12" t="n"/>
      <c r="V2382" s="12" t="n"/>
      <c r="W2382" s="13" t="n"/>
      <c r="X2382" s="14">
        <f>IF($AP2382="",IF($B2382="","",$H2382),IF(INDEX(職員マスタ!$B$6:$B$405,$AP2382)="",$H2382,INDEX(職員マスタ!$B$6:$B$405,$AP2382)))</f>
        <v/>
      </c>
      <c r="Y2382" s="14">
        <f>IF($AP2382="",IF($B2382="","",$R2382),IF(INDEX(職員マスタ!$C$6:$C$405,$AP2382)="",$R2382,INDEX(職員マスタ!$C$6:$C$405,$AP2382)))</f>
        <v/>
      </c>
      <c r="Z2382" s="14">
        <f>IF($AQ2382="","","R"&amp;$C2382&amp;"."&amp;$D2382)</f>
        <v/>
      </c>
      <c r="AA2382" s="15">
        <f>IF(IF($AP2382="",FALSE,INDEX(職員マスタ!$K$6:$K$405,$AP2382)&lt;&gt;""),INDEX(職員マスタ!$K$6:$K$405,$AP2382),IF(N($W2382)&gt;0,$W2382,""))</f>
        <v/>
      </c>
      <c r="AB2382" s="14">
        <f>IF(OR($E2382="",$AA2382=""),"",IF($E2382&gt;=$AA2382,"×",IF($E2382&gt;=$AA2382*設定!$C$5,"△","○")))</f>
        <v/>
      </c>
      <c r="AC2382" s="15">
        <f>IF($AB2382="","",IF($AB2382="×",0,IF($AB2382="○",ROUNDDOWN($E2382*設定!$C$4,0),ROUNDDOWN($E2382*ROUND((9*$AA2382-9*$E2382)/(10*$E2382),4),0))))</f>
        <v/>
      </c>
      <c r="AD2382" s="13" t="n"/>
      <c r="AE2382" s="15">
        <f>IF($B2382="","",IF($AD2382&lt;&gt;"",$AD2382,IF($AC2382="","",IF($AC2382&lt;=設定!$C$3,0,$AC2382))))</f>
        <v/>
      </c>
      <c r="AF2382" s="14">
        <f>IF($B2382="","",IF(AND($AG2382&lt;&gt;"",$AI2382="",$AL2382=""),"保留中",IF($AL2382&lt;&gt;"",IF(N($AE2382)&gt;0,"支給済","不支給"),IF($AE2382="","要確認",IF($AE2382=0,"不支給","未処理")))))</f>
        <v/>
      </c>
      <c r="AG2382" s="12" t="n"/>
      <c r="AH2382" s="11" t="n"/>
      <c r="AI2382" s="11" t="n"/>
      <c r="AJ2382" s="11" t="n"/>
      <c r="AK2382" s="14">
        <f>IF(AND($AF2382="保留中",$AH2382&lt;&gt;""),TODAY()-$AH2382,"")</f>
        <v/>
      </c>
      <c r="AL2382" s="12" t="n"/>
      <c r="AM2382" s="14">
        <f>IF($B2382="","",IF($AQ2382="","対象年月が未入力／","")&amp;IF($B2382="","",IF($AP2382="","職員マスタに未登録の職員番号／",IF($AA2382="","標準報酬月額が未登録／","")&amp;IF(AND($AQ2382&lt;&gt;"",OR(AND(INDEX(職員マスタ!$G$6:$G$405,$AP2382)&lt;&gt;"",INDEX(職員マスタ!$G$6:$G$405,$AP2382)&gt;EOMONTH($AQ2382,0)),AND(INDEX(職員マスタ!$H$6:$H$405,$AP2382)&lt;&gt;"",INDEX(職員マスタ!$H$6:$H$405,$AP2382)&lt;$AQ2382))),"対象月が時短期間外／","")&amp;IF(AND(INDEX(職員マスタ!$K$6:$K$405,$AP2382)&lt;&gt;"",N($W2382)&gt;0,INDEX(職員マスタ!$K$6:$K$405,$AP2382)&lt;&gt;$W2382),"標準報酬月額が申請書と相違（台帳"&amp;TEXT(INDEX(職員マスタ!$K$6:$K$405,$AP2382),"#,##0")&amp;"円／申請書"&amp;TEXT($W2382,"#,##0")&amp;"円）／","")&amp;IF(AND(INDEX(職員マスタ!$F$6:$F$405,$AP2382)&lt;&gt;"",$AQ2382&lt;&gt;"",INDEX(職員マスタ!$F$6:$F$405,$AP2382)&lt;$AQ2382),"対象月に子が2歳到達済／","")&amp;IF(AND($H2382&lt;&gt;"",INDEX(職員マスタ!$B$6:$B$405,$AP2382)&lt;&gt;"",SUBSTITUTE(SUBSTITUTE($H2382," ","")," ","")&lt;&gt;SUBSTITUTE(SUBSTITUTE(INDEX(職員マスタ!$B$6:$B$405,$AP2382)," ","")," ","")),"氏名がマスタと相違／","")&amp;IF(AND($Q2382&lt;&gt;"",INDEX(職員マスタ!$E$6:$E$405,$AP2382)&lt;&gt;"",$Q2382&lt;&gt;INDEX(職員マスタ!$E$6:$E$405,$AP2382)),"子の生年月日がマスタと相違／","")&amp;IF(AND($L2382&lt;&gt;"",INDEX(職員マスタ!$G$6:$G$405,$AP2382)&lt;&gt;"",$L2382&lt;&gt;INDEX(職員マスタ!$G$6:$G$405,$AP2382)),"時短開始日がマスタと相違／","")&amp;IF(AND($M2382&lt;&gt;"",INDEX(職員マスタ!$H$6:$H$405,$AP2382)&lt;&gt;"",$M2382&lt;&gt;INDEX(職員マスタ!$H$6:$H$405,$AP2382)),"時短終了日がマスタと相違／","")))&amp;IF(AND($B2382&lt;&gt;"",$E2382=""),"報酬額が未入力／","")&amp;IF(N($U2382)&gt;0,"申請書に入力エラーが残っています／","")&amp;IF(AND($B2382&lt;&gt;"",$AQ2382&lt;&gt;""),IF(COUNTIFS($B$6:$B$3005,$B2382,$C$6:$C$3005,$C2382,$D$6:$D$3005,$D2382)&gt;1,"同じ月の請求が重複しています／",""),"")&amp;IF(AND(N($E2382)&gt;0,$AB2382&lt;&gt;"",$AB2382&lt;&gt;"×",$AE2382=0,$AD2382=""),"計算額が下限以下のため不支給／",""))</f>
        <v/>
      </c>
      <c r="AN2382" s="12" t="n"/>
      <c r="AO2382" s="14">
        <f>IF($AF2382="保留中",COUNTIF($AF$6:$AF2382,"保留中"),"")</f>
        <v/>
      </c>
      <c r="AP2382" s="14">
        <f>IF($AQ2382="","",IF(SUMPRODUCT(MAX((職員マスタ!$A$6:$A$405=$B2382)*(((職員マスタ!$G$6:$G$405="")+(職員マスタ!$G$6:$G$405&lt;=EOMONTH($AQ2382,0)))&gt;0)*(((職員マスタ!$H$6:$H$405="")+(職員マスタ!$H$6:$H$405&gt;=$AQ2382))&gt;0)*(ROW(職員マスタ!$A$6:$A$405)-5)))&gt;0,SUMPRODUCT(MAX((職員マスタ!$A$6:$A$405=$B2382)*(((職員マスタ!$G$6:$G$405="")+(職員マスタ!$G$6:$G$405&lt;=EOMONTH($AQ2382,0)))&gt;0)*(((職員マスタ!$H$6:$H$405="")+(職員マスタ!$H$6:$H$405&gt;=$AQ2382))&gt;0)*(ROW(職員マスタ!$A$6:$A$405)-5))),IFERROR(MATCH($B2382,職員マスタ!$A$6:$A$405,0),"")))</f>
        <v/>
      </c>
      <c r="AQ2382" s="16">
        <f>IF(OR($B2382="",$C2382="",$D2382=""),"",DATE($C2382+2018,$D2382,1))</f>
        <v/>
      </c>
    </row>
    <row r="2383">
      <c r="A2383" s="11" t="n"/>
      <c r="B2383" s="12" t="n"/>
      <c r="C2383" s="12" t="n"/>
      <c r="D2383" s="12" t="n"/>
      <c r="E2383" s="13" t="n"/>
      <c r="F2383" s="12" t="n"/>
      <c r="G2383" s="13" t="n"/>
      <c r="H2383" s="12" t="n"/>
      <c r="I2383" s="12" t="n"/>
      <c r="J2383" s="12" t="n"/>
      <c r="K2383" s="12" t="n"/>
      <c r="L2383" s="11" t="n"/>
      <c r="M2383" s="11" t="n"/>
      <c r="N2383" s="11" t="n"/>
      <c r="O2383" s="11" t="n"/>
      <c r="P2383" s="12" t="n"/>
      <c r="Q2383" s="11" t="n"/>
      <c r="R2383" s="12" t="n"/>
      <c r="S2383" s="11" t="n"/>
      <c r="T2383" s="12" t="n"/>
      <c r="U2383" s="12" t="n"/>
      <c r="V2383" s="12" t="n"/>
      <c r="W2383" s="13" t="n"/>
      <c r="X2383" s="14">
        <f>IF($AP2383="",IF($B2383="","",$H2383),IF(INDEX(職員マスタ!$B$6:$B$405,$AP2383)="",$H2383,INDEX(職員マスタ!$B$6:$B$405,$AP2383)))</f>
        <v/>
      </c>
      <c r="Y2383" s="14">
        <f>IF($AP2383="",IF($B2383="","",$R2383),IF(INDEX(職員マスタ!$C$6:$C$405,$AP2383)="",$R2383,INDEX(職員マスタ!$C$6:$C$405,$AP2383)))</f>
        <v/>
      </c>
      <c r="Z2383" s="14">
        <f>IF($AQ2383="","","R"&amp;$C2383&amp;"."&amp;$D2383)</f>
        <v/>
      </c>
      <c r="AA2383" s="15">
        <f>IF(IF($AP2383="",FALSE,INDEX(職員マスタ!$K$6:$K$405,$AP2383)&lt;&gt;""),INDEX(職員マスタ!$K$6:$K$405,$AP2383),IF(N($W2383)&gt;0,$W2383,""))</f>
        <v/>
      </c>
      <c r="AB2383" s="14">
        <f>IF(OR($E2383="",$AA2383=""),"",IF($E2383&gt;=$AA2383,"×",IF($E2383&gt;=$AA2383*設定!$C$5,"△","○")))</f>
        <v/>
      </c>
      <c r="AC2383" s="15">
        <f>IF($AB2383="","",IF($AB2383="×",0,IF($AB2383="○",ROUNDDOWN($E2383*設定!$C$4,0),ROUNDDOWN($E2383*ROUND((9*$AA2383-9*$E2383)/(10*$E2383),4),0))))</f>
        <v/>
      </c>
      <c r="AD2383" s="13" t="n"/>
      <c r="AE2383" s="15">
        <f>IF($B2383="","",IF($AD2383&lt;&gt;"",$AD2383,IF($AC2383="","",IF($AC2383&lt;=設定!$C$3,0,$AC2383))))</f>
        <v/>
      </c>
      <c r="AF2383" s="14">
        <f>IF($B2383="","",IF(AND($AG2383&lt;&gt;"",$AI2383="",$AL2383=""),"保留中",IF($AL2383&lt;&gt;"",IF(N($AE2383)&gt;0,"支給済","不支給"),IF($AE2383="","要確認",IF($AE2383=0,"不支給","未処理")))))</f>
        <v/>
      </c>
      <c r="AG2383" s="12" t="n"/>
      <c r="AH2383" s="11" t="n"/>
      <c r="AI2383" s="11" t="n"/>
      <c r="AJ2383" s="11" t="n"/>
      <c r="AK2383" s="14">
        <f>IF(AND($AF2383="保留中",$AH2383&lt;&gt;""),TODAY()-$AH2383,"")</f>
        <v/>
      </c>
      <c r="AL2383" s="12" t="n"/>
      <c r="AM2383" s="14">
        <f>IF($B2383="","",IF($AQ2383="","対象年月が未入力／","")&amp;IF($B2383="","",IF($AP2383="","職員マスタに未登録の職員番号／",IF($AA2383="","標準報酬月額が未登録／","")&amp;IF(AND($AQ2383&lt;&gt;"",OR(AND(INDEX(職員マスタ!$G$6:$G$405,$AP2383)&lt;&gt;"",INDEX(職員マスタ!$G$6:$G$405,$AP2383)&gt;EOMONTH($AQ2383,0)),AND(INDEX(職員マスタ!$H$6:$H$405,$AP2383)&lt;&gt;"",INDEX(職員マスタ!$H$6:$H$405,$AP2383)&lt;$AQ2383))),"対象月が時短期間外／","")&amp;IF(AND(INDEX(職員マスタ!$K$6:$K$405,$AP2383)&lt;&gt;"",N($W2383)&gt;0,INDEX(職員マスタ!$K$6:$K$405,$AP2383)&lt;&gt;$W2383),"標準報酬月額が申請書と相違（台帳"&amp;TEXT(INDEX(職員マスタ!$K$6:$K$405,$AP2383),"#,##0")&amp;"円／申請書"&amp;TEXT($W2383,"#,##0")&amp;"円）／","")&amp;IF(AND(INDEX(職員マスタ!$F$6:$F$405,$AP2383)&lt;&gt;"",$AQ2383&lt;&gt;"",INDEX(職員マスタ!$F$6:$F$405,$AP2383)&lt;$AQ2383),"対象月に子が2歳到達済／","")&amp;IF(AND($H2383&lt;&gt;"",INDEX(職員マスタ!$B$6:$B$405,$AP2383)&lt;&gt;"",SUBSTITUTE(SUBSTITUTE($H2383," ","")," ","")&lt;&gt;SUBSTITUTE(SUBSTITUTE(INDEX(職員マスタ!$B$6:$B$405,$AP2383)," ","")," ","")),"氏名がマスタと相違／","")&amp;IF(AND($Q2383&lt;&gt;"",INDEX(職員マスタ!$E$6:$E$405,$AP2383)&lt;&gt;"",$Q2383&lt;&gt;INDEX(職員マスタ!$E$6:$E$405,$AP2383)),"子の生年月日がマスタと相違／","")&amp;IF(AND($L2383&lt;&gt;"",INDEX(職員マスタ!$G$6:$G$405,$AP2383)&lt;&gt;"",$L2383&lt;&gt;INDEX(職員マスタ!$G$6:$G$405,$AP2383)),"時短開始日がマスタと相違／","")&amp;IF(AND($M2383&lt;&gt;"",INDEX(職員マスタ!$H$6:$H$405,$AP2383)&lt;&gt;"",$M2383&lt;&gt;INDEX(職員マスタ!$H$6:$H$405,$AP2383)),"時短終了日がマスタと相違／","")))&amp;IF(AND($B2383&lt;&gt;"",$E2383=""),"報酬額が未入力／","")&amp;IF(N($U2383)&gt;0,"申請書に入力エラーが残っています／","")&amp;IF(AND($B2383&lt;&gt;"",$AQ2383&lt;&gt;""),IF(COUNTIFS($B$6:$B$3005,$B2383,$C$6:$C$3005,$C2383,$D$6:$D$3005,$D2383)&gt;1,"同じ月の請求が重複しています／",""),"")&amp;IF(AND(N($E2383)&gt;0,$AB2383&lt;&gt;"",$AB2383&lt;&gt;"×",$AE2383=0,$AD2383=""),"計算額が下限以下のため不支給／",""))</f>
        <v/>
      </c>
      <c r="AN2383" s="12" t="n"/>
      <c r="AO2383" s="14">
        <f>IF($AF2383="保留中",COUNTIF($AF$6:$AF2383,"保留中"),"")</f>
        <v/>
      </c>
      <c r="AP2383" s="14">
        <f>IF($AQ2383="","",IF(SUMPRODUCT(MAX((職員マスタ!$A$6:$A$405=$B2383)*(((職員マスタ!$G$6:$G$405="")+(職員マスタ!$G$6:$G$405&lt;=EOMONTH($AQ2383,0)))&gt;0)*(((職員マスタ!$H$6:$H$405="")+(職員マスタ!$H$6:$H$405&gt;=$AQ2383))&gt;0)*(ROW(職員マスタ!$A$6:$A$405)-5)))&gt;0,SUMPRODUCT(MAX((職員マスタ!$A$6:$A$405=$B2383)*(((職員マスタ!$G$6:$G$405="")+(職員マスタ!$G$6:$G$405&lt;=EOMONTH($AQ2383,0)))&gt;0)*(((職員マスタ!$H$6:$H$405="")+(職員マスタ!$H$6:$H$405&gt;=$AQ2383))&gt;0)*(ROW(職員マスタ!$A$6:$A$405)-5))),IFERROR(MATCH($B2383,職員マスタ!$A$6:$A$405,0),"")))</f>
        <v/>
      </c>
      <c r="AQ2383" s="16">
        <f>IF(OR($B2383="",$C2383="",$D2383=""),"",DATE($C2383+2018,$D2383,1))</f>
        <v/>
      </c>
    </row>
    <row r="2384">
      <c r="A2384" s="11" t="n"/>
      <c r="B2384" s="12" t="n"/>
      <c r="C2384" s="12" t="n"/>
      <c r="D2384" s="12" t="n"/>
      <c r="E2384" s="13" t="n"/>
      <c r="F2384" s="12" t="n"/>
      <c r="G2384" s="13" t="n"/>
      <c r="H2384" s="12" t="n"/>
      <c r="I2384" s="12" t="n"/>
      <c r="J2384" s="12" t="n"/>
      <c r="K2384" s="12" t="n"/>
      <c r="L2384" s="11" t="n"/>
      <c r="M2384" s="11" t="n"/>
      <c r="N2384" s="11" t="n"/>
      <c r="O2384" s="11" t="n"/>
      <c r="P2384" s="12" t="n"/>
      <c r="Q2384" s="11" t="n"/>
      <c r="R2384" s="12" t="n"/>
      <c r="S2384" s="11" t="n"/>
      <c r="T2384" s="12" t="n"/>
      <c r="U2384" s="12" t="n"/>
      <c r="V2384" s="12" t="n"/>
      <c r="W2384" s="13" t="n"/>
      <c r="X2384" s="14">
        <f>IF($AP2384="",IF($B2384="","",$H2384),IF(INDEX(職員マスタ!$B$6:$B$405,$AP2384)="",$H2384,INDEX(職員マスタ!$B$6:$B$405,$AP2384)))</f>
        <v/>
      </c>
      <c r="Y2384" s="14">
        <f>IF($AP2384="",IF($B2384="","",$R2384),IF(INDEX(職員マスタ!$C$6:$C$405,$AP2384)="",$R2384,INDEX(職員マスタ!$C$6:$C$405,$AP2384)))</f>
        <v/>
      </c>
      <c r="Z2384" s="14">
        <f>IF($AQ2384="","","R"&amp;$C2384&amp;"."&amp;$D2384)</f>
        <v/>
      </c>
      <c r="AA2384" s="15">
        <f>IF(IF($AP2384="",FALSE,INDEX(職員マスタ!$K$6:$K$405,$AP2384)&lt;&gt;""),INDEX(職員マスタ!$K$6:$K$405,$AP2384),IF(N($W2384)&gt;0,$W2384,""))</f>
        <v/>
      </c>
      <c r="AB2384" s="14">
        <f>IF(OR($E2384="",$AA2384=""),"",IF($E2384&gt;=$AA2384,"×",IF($E2384&gt;=$AA2384*設定!$C$5,"△","○")))</f>
        <v/>
      </c>
      <c r="AC2384" s="15">
        <f>IF($AB2384="","",IF($AB2384="×",0,IF($AB2384="○",ROUNDDOWN($E2384*設定!$C$4,0),ROUNDDOWN($E2384*ROUND((9*$AA2384-9*$E2384)/(10*$E2384),4),0))))</f>
        <v/>
      </c>
      <c r="AD2384" s="13" t="n"/>
      <c r="AE2384" s="15">
        <f>IF($B2384="","",IF($AD2384&lt;&gt;"",$AD2384,IF($AC2384="","",IF($AC2384&lt;=設定!$C$3,0,$AC2384))))</f>
        <v/>
      </c>
      <c r="AF2384" s="14">
        <f>IF($B2384="","",IF(AND($AG2384&lt;&gt;"",$AI2384="",$AL2384=""),"保留中",IF($AL2384&lt;&gt;"",IF(N($AE2384)&gt;0,"支給済","不支給"),IF($AE2384="","要確認",IF($AE2384=0,"不支給","未処理")))))</f>
        <v/>
      </c>
      <c r="AG2384" s="12" t="n"/>
      <c r="AH2384" s="11" t="n"/>
      <c r="AI2384" s="11" t="n"/>
      <c r="AJ2384" s="11" t="n"/>
      <c r="AK2384" s="14">
        <f>IF(AND($AF2384="保留中",$AH2384&lt;&gt;""),TODAY()-$AH2384,"")</f>
        <v/>
      </c>
      <c r="AL2384" s="12" t="n"/>
      <c r="AM2384" s="14">
        <f>IF($B2384="","",IF($AQ2384="","対象年月が未入力／","")&amp;IF($B2384="","",IF($AP2384="","職員マスタに未登録の職員番号／",IF($AA2384="","標準報酬月額が未登録／","")&amp;IF(AND($AQ2384&lt;&gt;"",OR(AND(INDEX(職員マスタ!$G$6:$G$405,$AP2384)&lt;&gt;"",INDEX(職員マスタ!$G$6:$G$405,$AP2384)&gt;EOMONTH($AQ2384,0)),AND(INDEX(職員マスタ!$H$6:$H$405,$AP2384)&lt;&gt;"",INDEX(職員マスタ!$H$6:$H$405,$AP2384)&lt;$AQ2384))),"対象月が時短期間外／","")&amp;IF(AND(INDEX(職員マスタ!$K$6:$K$405,$AP2384)&lt;&gt;"",N($W2384)&gt;0,INDEX(職員マスタ!$K$6:$K$405,$AP2384)&lt;&gt;$W2384),"標準報酬月額が申請書と相違（台帳"&amp;TEXT(INDEX(職員マスタ!$K$6:$K$405,$AP2384),"#,##0")&amp;"円／申請書"&amp;TEXT($W2384,"#,##0")&amp;"円）／","")&amp;IF(AND(INDEX(職員マスタ!$F$6:$F$405,$AP2384)&lt;&gt;"",$AQ2384&lt;&gt;"",INDEX(職員マスタ!$F$6:$F$405,$AP2384)&lt;$AQ2384),"対象月に子が2歳到達済／","")&amp;IF(AND($H2384&lt;&gt;"",INDEX(職員マスタ!$B$6:$B$405,$AP2384)&lt;&gt;"",SUBSTITUTE(SUBSTITUTE($H2384," ","")," ","")&lt;&gt;SUBSTITUTE(SUBSTITUTE(INDEX(職員マスタ!$B$6:$B$405,$AP2384)," ","")," ","")),"氏名がマスタと相違／","")&amp;IF(AND($Q2384&lt;&gt;"",INDEX(職員マスタ!$E$6:$E$405,$AP2384)&lt;&gt;"",$Q2384&lt;&gt;INDEX(職員マスタ!$E$6:$E$405,$AP2384)),"子の生年月日がマスタと相違／","")&amp;IF(AND($L2384&lt;&gt;"",INDEX(職員マスタ!$G$6:$G$405,$AP2384)&lt;&gt;"",$L2384&lt;&gt;INDEX(職員マスタ!$G$6:$G$405,$AP2384)),"時短開始日がマスタと相違／","")&amp;IF(AND($M2384&lt;&gt;"",INDEX(職員マスタ!$H$6:$H$405,$AP2384)&lt;&gt;"",$M2384&lt;&gt;INDEX(職員マスタ!$H$6:$H$405,$AP2384)),"時短終了日がマスタと相違／","")))&amp;IF(AND($B2384&lt;&gt;"",$E2384=""),"報酬額が未入力／","")&amp;IF(N($U2384)&gt;0,"申請書に入力エラーが残っています／","")&amp;IF(AND($B2384&lt;&gt;"",$AQ2384&lt;&gt;""),IF(COUNTIFS($B$6:$B$3005,$B2384,$C$6:$C$3005,$C2384,$D$6:$D$3005,$D2384)&gt;1,"同じ月の請求が重複しています／",""),"")&amp;IF(AND(N($E2384)&gt;0,$AB2384&lt;&gt;"",$AB2384&lt;&gt;"×",$AE2384=0,$AD2384=""),"計算額が下限以下のため不支給／",""))</f>
        <v/>
      </c>
      <c r="AN2384" s="12" t="n"/>
      <c r="AO2384" s="14">
        <f>IF($AF2384="保留中",COUNTIF($AF$6:$AF2384,"保留中"),"")</f>
        <v/>
      </c>
      <c r="AP2384" s="14">
        <f>IF($AQ2384="","",IF(SUMPRODUCT(MAX((職員マスタ!$A$6:$A$405=$B2384)*(((職員マスタ!$G$6:$G$405="")+(職員マスタ!$G$6:$G$405&lt;=EOMONTH($AQ2384,0)))&gt;0)*(((職員マスタ!$H$6:$H$405="")+(職員マスタ!$H$6:$H$405&gt;=$AQ2384))&gt;0)*(ROW(職員マスタ!$A$6:$A$405)-5)))&gt;0,SUMPRODUCT(MAX((職員マスタ!$A$6:$A$405=$B2384)*(((職員マスタ!$G$6:$G$405="")+(職員マスタ!$G$6:$G$405&lt;=EOMONTH($AQ2384,0)))&gt;0)*(((職員マスタ!$H$6:$H$405="")+(職員マスタ!$H$6:$H$405&gt;=$AQ2384))&gt;0)*(ROW(職員マスタ!$A$6:$A$405)-5))),IFERROR(MATCH($B2384,職員マスタ!$A$6:$A$405,0),"")))</f>
        <v/>
      </c>
      <c r="AQ2384" s="16">
        <f>IF(OR($B2384="",$C2384="",$D2384=""),"",DATE($C2384+2018,$D2384,1))</f>
        <v/>
      </c>
    </row>
    <row r="2385">
      <c r="A2385" s="11" t="n"/>
      <c r="B2385" s="12" t="n"/>
      <c r="C2385" s="12" t="n"/>
      <c r="D2385" s="12" t="n"/>
      <c r="E2385" s="13" t="n"/>
      <c r="F2385" s="12" t="n"/>
      <c r="G2385" s="13" t="n"/>
      <c r="H2385" s="12" t="n"/>
      <c r="I2385" s="12" t="n"/>
      <c r="J2385" s="12" t="n"/>
      <c r="K2385" s="12" t="n"/>
      <c r="L2385" s="11" t="n"/>
      <c r="M2385" s="11" t="n"/>
      <c r="N2385" s="11" t="n"/>
      <c r="O2385" s="11" t="n"/>
      <c r="P2385" s="12" t="n"/>
      <c r="Q2385" s="11" t="n"/>
      <c r="R2385" s="12" t="n"/>
      <c r="S2385" s="11" t="n"/>
      <c r="T2385" s="12" t="n"/>
      <c r="U2385" s="12" t="n"/>
      <c r="V2385" s="12" t="n"/>
      <c r="W2385" s="13" t="n"/>
      <c r="X2385" s="14">
        <f>IF($AP2385="",IF($B2385="","",$H2385),IF(INDEX(職員マスタ!$B$6:$B$405,$AP2385)="",$H2385,INDEX(職員マスタ!$B$6:$B$405,$AP2385)))</f>
        <v/>
      </c>
      <c r="Y2385" s="14">
        <f>IF($AP2385="",IF($B2385="","",$R2385),IF(INDEX(職員マスタ!$C$6:$C$405,$AP2385)="",$R2385,INDEX(職員マスタ!$C$6:$C$405,$AP2385)))</f>
        <v/>
      </c>
      <c r="Z2385" s="14">
        <f>IF($AQ2385="","","R"&amp;$C2385&amp;"."&amp;$D2385)</f>
        <v/>
      </c>
      <c r="AA2385" s="15">
        <f>IF(IF($AP2385="",FALSE,INDEX(職員マスタ!$K$6:$K$405,$AP2385)&lt;&gt;""),INDEX(職員マスタ!$K$6:$K$405,$AP2385),IF(N($W2385)&gt;0,$W2385,""))</f>
        <v/>
      </c>
      <c r="AB2385" s="14">
        <f>IF(OR($E2385="",$AA2385=""),"",IF($E2385&gt;=$AA2385,"×",IF($E2385&gt;=$AA2385*設定!$C$5,"△","○")))</f>
        <v/>
      </c>
      <c r="AC2385" s="15">
        <f>IF($AB2385="","",IF($AB2385="×",0,IF($AB2385="○",ROUNDDOWN($E2385*設定!$C$4,0),ROUNDDOWN($E2385*ROUND((9*$AA2385-9*$E2385)/(10*$E2385),4),0))))</f>
        <v/>
      </c>
      <c r="AD2385" s="13" t="n"/>
      <c r="AE2385" s="15">
        <f>IF($B2385="","",IF($AD2385&lt;&gt;"",$AD2385,IF($AC2385="","",IF($AC2385&lt;=設定!$C$3,0,$AC2385))))</f>
        <v/>
      </c>
      <c r="AF2385" s="14">
        <f>IF($B2385="","",IF(AND($AG2385&lt;&gt;"",$AI2385="",$AL2385=""),"保留中",IF($AL2385&lt;&gt;"",IF(N($AE2385)&gt;0,"支給済","不支給"),IF($AE2385="","要確認",IF($AE2385=0,"不支給","未処理")))))</f>
        <v/>
      </c>
      <c r="AG2385" s="12" t="n"/>
      <c r="AH2385" s="11" t="n"/>
      <c r="AI2385" s="11" t="n"/>
      <c r="AJ2385" s="11" t="n"/>
      <c r="AK2385" s="14">
        <f>IF(AND($AF2385="保留中",$AH2385&lt;&gt;""),TODAY()-$AH2385,"")</f>
        <v/>
      </c>
      <c r="AL2385" s="12" t="n"/>
      <c r="AM2385" s="14">
        <f>IF($B2385="","",IF($AQ2385="","対象年月が未入力／","")&amp;IF($B2385="","",IF($AP2385="","職員マスタに未登録の職員番号／",IF($AA2385="","標準報酬月額が未登録／","")&amp;IF(AND($AQ2385&lt;&gt;"",OR(AND(INDEX(職員マスタ!$G$6:$G$405,$AP2385)&lt;&gt;"",INDEX(職員マスタ!$G$6:$G$405,$AP2385)&gt;EOMONTH($AQ2385,0)),AND(INDEX(職員マスタ!$H$6:$H$405,$AP2385)&lt;&gt;"",INDEX(職員マスタ!$H$6:$H$405,$AP2385)&lt;$AQ2385))),"対象月が時短期間外／","")&amp;IF(AND(INDEX(職員マスタ!$K$6:$K$405,$AP2385)&lt;&gt;"",N($W2385)&gt;0,INDEX(職員マスタ!$K$6:$K$405,$AP2385)&lt;&gt;$W2385),"標準報酬月額が申請書と相違（台帳"&amp;TEXT(INDEX(職員マスタ!$K$6:$K$405,$AP2385),"#,##0")&amp;"円／申請書"&amp;TEXT($W2385,"#,##0")&amp;"円）／","")&amp;IF(AND(INDEX(職員マスタ!$F$6:$F$405,$AP2385)&lt;&gt;"",$AQ2385&lt;&gt;"",INDEX(職員マスタ!$F$6:$F$405,$AP2385)&lt;$AQ2385),"対象月に子が2歳到達済／","")&amp;IF(AND($H2385&lt;&gt;"",INDEX(職員マスタ!$B$6:$B$405,$AP2385)&lt;&gt;"",SUBSTITUTE(SUBSTITUTE($H2385," ","")," ","")&lt;&gt;SUBSTITUTE(SUBSTITUTE(INDEX(職員マスタ!$B$6:$B$405,$AP2385)," ","")," ","")),"氏名がマスタと相違／","")&amp;IF(AND($Q2385&lt;&gt;"",INDEX(職員マスタ!$E$6:$E$405,$AP2385)&lt;&gt;"",$Q2385&lt;&gt;INDEX(職員マスタ!$E$6:$E$405,$AP2385)),"子の生年月日がマスタと相違／","")&amp;IF(AND($L2385&lt;&gt;"",INDEX(職員マスタ!$G$6:$G$405,$AP2385)&lt;&gt;"",$L2385&lt;&gt;INDEX(職員マスタ!$G$6:$G$405,$AP2385)),"時短開始日がマスタと相違／","")&amp;IF(AND($M2385&lt;&gt;"",INDEX(職員マスタ!$H$6:$H$405,$AP2385)&lt;&gt;"",$M2385&lt;&gt;INDEX(職員マスタ!$H$6:$H$405,$AP2385)),"時短終了日がマスタと相違／","")))&amp;IF(AND($B2385&lt;&gt;"",$E2385=""),"報酬額が未入力／","")&amp;IF(N($U2385)&gt;0,"申請書に入力エラーが残っています／","")&amp;IF(AND($B2385&lt;&gt;"",$AQ2385&lt;&gt;""),IF(COUNTIFS($B$6:$B$3005,$B2385,$C$6:$C$3005,$C2385,$D$6:$D$3005,$D2385)&gt;1,"同じ月の請求が重複しています／",""),"")&amp;IF(AND(N($E2385)&gt;0,$AB2385&lt;&gt;"",$AB2385&lt;&gt;"×",$AE2385=0,$AD2385=""),"計算額が下限以下のため不支給／",""))</f>
        <v/>
      </c>
      <c r="AN2385" s="12" t="n"/>
      <c r="AO2385" s="14">
        <f>IF($AF2385="保留中",COUNTIF($AF$6:$AF2385,"保留中"),"")</f>
        <v/>
      </c>
      <c r="AP2385" s="14">
        <f>IF($AQ2385="","",IF(SUMPRODUCT(MAX((職員マスタ!$A$6:$A$405=$B2385)*(((職員マスタ!$G$6:$G$405="")+(職員マスタ!$G$6:$G$405&lt;=EOMONTH($AQ2385,0)))&gt;0)*(((職員マスタ!$H$6:$H$405="")+(職員マスタ!$H$6:$H$405&gt;=$AQ2385))&gt;0)*(ROW(職員マスタ!$A$6:$A$405)-5)))&gt;0,SUMPRODUCT(MAX((職員マスタ!$A$6:$A$405=$B2385)*(((職員マスタ!$G$6:$G$405="")+(職員マスタ!$G$6:$G$405&lt;=EOMONTH($AQ2385,0)))&gt;0)*(((職員マスタ!$H$6:$H$405="")+(職員マスタ!$H$6:$H$405&gt;=$AQ2385))&gt;0)*(ROW(職員マスタ!$A$6:$A$405)-5))),IFERROR(MATCH($B2385,職員マスタ!$A$6:$A$405,0),"")))</f>
        <v/>
      </c>
      <c r="AQ2385" s="16">
        <f>IF(OR($B2385="",$C2385="",$D2385=""),"",DATE($C2385+2018,$D2385,1))</f>
        <v/>
      </c>
    </row>
    <row r="2386">
      <c r="A2386" s="11" t="n"/>
      <c r="B2386" s="12" t="n"/>
      <c r="C2386" s="12" t="n"/>
      <c r="D2386" s="12" t="n"/>
      <c r="E2386" s="13" t="n"/>
      <c r="F2386" s="12" t="n"/>
      <c r="G2386" s="13" t="n"/>
      <c r="H2386" s="12" t="n"/>
      <c r="I2386" s="12" t="n"/>
      <c r="J2386" s="12" t="n"/>
      <c r="K2386" s="12" t="n"/>
      <c r="L2386" s="11" t="n"/>
      <c r="M2386" s="11" t="n"/>
      <c r="N2386" s="11" t="n"/>
      <c r="O2386" s="11" t="n"/>
      <c r="P2386" s="12" t="n"/>
      <c r="Q2386" s="11" t="n"/>
      <c r="R2386" s="12" t="n"/>
      <c r="S2386" s="11" t="n"/>
      <c r="T2386" s="12" t="n"/>
      <c r="U2386" s="12" t="n"/>
      <c r="V2386" s="12" t="n"/>
      <c r="W2386" s="13" t="n"/>
      <c r="X2386" s="14">
        <f>IF($AP2386="",IF($B2386="","",$H2386),IF(INDEX(職員マスタ!$B$6:$B$405,$AP2386)="",$H2386,INDEX(職員マスタ!$B$6:$B$405,$AP2386)))</f>
        <v/>
      </c>
      <c r="Y2386" s="14">
        <f>IF($AP2386="",IF($B2386="","",$R2386),IF(INDEX(職員マスタ!$C$6:$C$405,$AP2386)="",$R2386,INDEX(職員マスタ!$C$6:$C$405,$AP2386)))</f>
        <v/>
      </c>
      <c r="Z2386" s="14">
        <f>IF($AQ2386="","","R"&amp;$C2386&amp;"."&amp;$D2386)</f>
        <v/>
      </c>
      <c r="AA2386" s="15">
        <f>IF(IF($AP2386="",FALSE,INDEX(職員マスタ!$K$6:$K$405,$AP2386)&lt;&gt;""),INDEX(職員マスタ!$K$6:$K$405,$AP2386),IF(N($W2386)&gt;0,$W2386,""))</f>
        <v/>
      </c>
      <c r="AB2386" s="14">
        <f>IF(OR($E2386="",$AA2386=""),"",IF($E2386&gt;=$AA2386,"×",IF($E2386&gt;=$AA2386*設定!$C$5,"△","○")))</f>
        <v/>
      </c>
      <c r="AC2386" s="15">
        <f>IF($AB2386="","",IF($AB2386="×",0,IF($AB2386="○",ROUNDDOWN($E2386*設定!$C$4,0),ROUNDDOWN($E2386*ROUND((9*$AA2386-9*$E2386)/(10*$E2386),4),0))))</f>
        <v/>
      </c>
      <c r="AD2386" s="13" t="n"/>
      <c r="AE2386" s="15">
        <f>IF($B2386="","",IF($AD2386&lt;&gt;"",$AD2386,IF($AC2386="","",IF($AC2386&lt;=設定!$C$3,0,$AC2386))))</f>
        <v/>
      </c>
      <c r="AF2386" s="14">
        <f>IF($B2386="","",IF(AND($AG2386&lt;&gt;"",$AI2386="",$AL2386=""),"保留中",IF($AL2386&lt;&gt;"",IF(N($AE2386)&gt;0,"支給済","不支給"),IF($AE2386="","要確認",IF($AE2386=0,"不支給","未処理")))))</f>
        <v/>
      </c>
      <c r="AG2386" s="12" t="n"/>
      <c r="AH2386" s="11" t="n"/>
      <c r="AI2386" s="11" t="n"/>
      <c r="AJ2386" s="11" t="n"/>
      <c r="AK2386" s="14">
        <f>IF(AND($AF2386="保留中",$AH2386&lt;&gt;""),TODAY()-$AH2386,"")</f>
        <v/>
      </c>
      <c r="AL2386" s="12" t="n"/>
      <c r="AM2386" s="14">
        <f>IF($B2386="","",IF($AQ2386="","対象年月が未入力／","")&amp;IF($B2386="","",IF($AP2386="","職員マスタに未登録の職員番号／",IF($AA2386="","標準報酬月額が未登録／","")&amp;IF(AND($AQ2386&lt;&gt;"",OR(AND(INDEX(職員マスタ!$G$6:$G$405,$AP2386)&lt;&gt;"",INDEX(職員マスタ!$G$6:$G$405,$AP2386)&gt;EOMONTH($AQ2386,0)),AND(INDEX(職員マスタ!$H$6:$H$405,$AP2386)&lt;&gt;"",INDEX(職員マスタ!$H$6:$H$405,$AP2386)&lt;$AQ2386))),"対象月が時短期間外／","")&amp;IF(AND(INDEX(職員マスタ!$K$6:$K$405,$AP2386)&lt;&gt;"",N($W2386)&gt;0,INDEX(職員マスタ!$K$6:$K$405,$AP2386)&lt;&gt;$W2386),"標準報酬月額が申請書と相違（台帳"&amp;TEXT(INDEX(職員マスタ!$K$6:$K$405,$AP2386),"#,##0")&amp;"円／申請書"&amp;TEXT($W2386,"#,##0")&amp;"円）／","")&amp;IF(AND(INDEX(職員マスタ!$F$6:$F$405,$AP2386)&lt;&gt;"",$AQ2386&lt;&gt;"",INDEX(職員マスタ!$F$6:$F$405,$AP2386)&lt;$AQ2386),"対象月に子が2歳到達済／","")&amp;IF(AND($H2386&lt;&gt;"",INDEX(職員マスタ!$B$6:$B$405,$AP2386)&lt;&gt;"",SUBSTITUTE(SUBSTITUTE($H2386," ","")," ","")&lt;&gt;SUBSTITUTE(SUBSTITUTE(INDEX(職員マスタ!$B$6:$B$405,$AP2386)," ","")," ","")),"氏名がマスタと相違／","")&amp;IF(AND($Q2386&lt;&gt;"",INDEX(職員マスタ!$E$6:$E$405,$AP2386)&lt;&gt;"",$Q2386&lt;&gt;INDEX(職員マスタ!$E$6:$E$405,$AP2386)),"子の生年月日がマスタと相違／","")&amp;IF(AND($L2386&lt;&gt;"",INDEX(職員マスタ!$G$6:$G$405,$AP2386)&lt;&gt;"",$L2386&lt;&gt;INDEX(職員マスタ!$G$6:$G$405,$AP2386)),"時短開始日がマスタと相違／","")&amp;IF(AND($M2386&lt;&gt;"",INDEX(職員マスタ!$H$6:$H$405,$AP2386)&lt;&gt;"",$M2386&lt;&gt;INDEX(職員マスタ!$H$6:$H$405,$AP2386)),"時短終了日がマスタと相違／","")))&amp;IF(AND($B2386&lt;&gt;"",$E2386=""),"報酬額が未入力／","")&amp;IF(N($U2386)&gt;0,"申請書に入力エラーが残っています／","")&amp;IF(AND($B2386&lt;&gt;"",$AQ2386&lt;&gt;""),IF(COUNTIFS($B$6:$B$3005,$B2386,$C$6:$C$3005,$C2386,$D$6:$D$3005,$D2386)&gt;1,"同じ月の請求が重複しています／",""),"")&amp;IF(AND(N($E2386)&gt;0,$AB2386&lt;&gt;"",$AB2386&lt;&gt;"×",$AE2386=0,$AD2386=""),"計算額が下限以下のため不支給／",""))</f>
        <v/>
      </c>
      <c r="AN2386" s="12" t="n"/>
      <c r="AO2386" s="14">
        <f>IF($AF2386="保留中",COUNTIF($AF$6:$AF2386,"保留中"),"")</f>
        <v/>
      </c>
      <c r="AP2386" s="14">
        <f>IF($AQ2386="","",IF(SUMPRODUCT(MAX((職員マスタ!$A$6:$A$405=$B2386)*(((職員マスタ!$G$6:$G$405="")+(職員マスタ!$G$6:$G$405&lt;=EOMONTH($AQ2386,0)))&gt;0)*(((職員マスタ!$H$6:$H$405="")+(職員マスタ!$H$6:$H$405&gt;=$AQ2386))&gt;0)*(ROW(職員マスタ!$A$6:$A$405)-5)))&gt;0,SUMPRODUCT(MAX((職員マスタ!$A$6:$A$405=$B2386)*(((職員マスタ!$G$6:$G$405="")+(職員マスタ!$G$6:$G$405&lt;=EOMONTH($AQ2386,0)))&gt;0)*(((職員マスタ!$H$6:$H$405="")+(職員マスタ!$H$6:$H$405&gt;=$AQ2386))&gt;0)*(ROW(職員マスタ!$A$6:$A$405)-5))),IFERROR(MATCH($B2386,職員マスタ!$A$6:$A$405,0),"")))</f>
        <v/>
      </c>
      <c r="AQ2386" s="16">
        <f>IF(OR($B2386="",$C2386="",$D2386=""),"",DATE($C2386+2018,$D2386,1))</f>
        <v/>
      </c>
    </row>
    <row r="2387">
      <c r="A2387" s="11" t="n"/>
      <c r="B2387" s="12" t="n"/>
      <c r="C2387" s="12" t="n"/>
      <c r="D2387" s="12" t="n"/>
      <c r="E2387" s="13" t="n"/>
      <c r="F2387" s="12" t="n"/>
      <c r="G2387" s="13" t="n"/>
      <c r="H2387" s="12" t="n"/>
      <c r="I2387" s="12" t="n"/>
      <c r="J2387" s="12" t="n"/>
      <c r="K2387" s="12" t="n"/>
      <c r="L2387" s="11" t="n"/>
      <c r="M2387" s="11" t="n"/>
      <c r="N2387" s="11" t="n"/>
      <c r="O2387" s="11" t="n"/>
      <c r="P2387" s="12" t="n"/>
      <c r="Q2387" s="11" t="n"/>
      <c r="R2387" s="12" t="n"/>
      <c r="S2387" s="11" t="n"/>
      <c r="T2387" s="12" t="n"/>
      <c r="U2387" s="12" t="n"/>
      <c r="V2387" s="12" t="n"/>
      <c r="W2387" s="13" t="n"/>
      <c r="X2387" s="14">
        <f>IF($AP2387="",IF($B2387="","",$H2387),IF(INDEX(職員マスタ!$B$6:$B$405,$AP2387)="",$H2387,INDEX(職員マスタ!$B$6:$B$405,$AP2387)))</f>
        <v/>
      </c>
      <c r="Y2387" s="14">
        <f>IF($AP2387="",IF($B2387="","",$R2387),IF(INDEX(職員マスタ!$C$6:$C$405,$AP2387)="",$R2387,INDEX(職員マスタ!$C$6:$C$405,$AP2387)))</f>
        <v/>
      </c>
      <c r="Z2387" s="14">
        <f>IF($AQ2387="","","R"&amp;$C2387&amp;"."&amp;$D2387)</f>
        <v/>
      </c>
      <c r="AA2387" s="15">
        <f>IF(IF($AP2387="",FALSE,INDEX(職員マスタ!$K$6:$K$405,$AP2387)&lt;&gt;""),INDEX(職員マスタ!$K$6:$K$405,$AP2387),IF(N($W2387)&gt;0,$W2387,""))</f>
        <v/>
      </c>
      <c r="AB2387" s="14">
        <f>IF(OR($E2387="",$AA2387=""),"",IF($E2387&gt;=$AA2387,"×",IF($E2387&gt;=$AA2387*設定!$C$5,"△","○")))</f>
        <v/>
      </c>
      <c r="AC2387" s="15">
        <f>IF($AB2387="","",IF($AB2387="×",0,IF($AB2387="○",ROUNDDOWN($E2387*設定!$C$4,0),ROUNDDOWN($E2387*ROUND((9*$AA2387-9*$E2387)/(10*$E2387),4),0))))</f>
        <v/>
      </c>
      <c r="AD2387" s="13" t="n"/>
      <c r="AE2387" s="15">
        <f>IF($B2387="","",IF($AD2387&lt;&gt;"",$AD2387,IF($AC2387="","",IF($AC2387&lt;=設定!$C$3,0,$AC2387))))</f>
        <v/>
      </c>
      <c r="AF2387" s="14">
        <f>IF($B2387="","",IF(AND($AG2387&lt;&gt;"",$AI2387="",$AL2387=""),"保留中",IF($AL2387&lt;&gt;"",IF(N($AE2387)&gt;0,"支給済","不支給"),IF($AE2387="","要確認",IF($AE2387=0,"不支給","未処理")))))</f>
        <v/>
      </c>
      <c r="AG2387" s="12" t="n"/>
      <c r="AH2387" s="11" t="n"/>
      <c r="AI2387" s="11" t="n"/>
      <c r="AJ2387" s="11" t="n"/>
      <c r="AK2387" s="14">
        <f>IF(AND($AF2387="保留中",$AH2387&lt;&gt;""),TODAY()-$AH2387,"")</f>
        <v/>
      </c>
      <c r="AL2387" s="12" t="n"/>
      <c r="AM2387" s="14">
        <f>IF($B2387="","",IF($AQ2387="","対象年月が未入力／","")&amp;IF($B2387="","",IF($AP2387="","職員マスタに未登録の職員番号／",IF($AA2387="","標準報酬月額が未登録／","")&amp;IF(AND($AQ2387&lt;&gt;"",OR(AND(INDEX(職員マスタ!$G$6:$G$405,$AP2387)&lt;&gt;"",INDEX(職員マスタ!$G$6:$G$405,$AP2387)&gt;EOMONTH($AQ2387,0)),AND(INDEX(職員マスタ!$H$6:$H$405,$AP2387)&lt;&gt;"",INDEX(職員マスタ!$H$6:$H$405,$AP2387)&lt;$AQ2387))),"対象月が時短期間外／","")&amp;IF(AND(INDEX(職員マスタ!$K$6:$K$405,$AP2387)&lt;&gt;"",N($W2387)&gt;0,INDEX(職員マスタ!$K$6:$K$405,$AP2387)&lt;&gt;$W2387),"標準報酬月額が申請書と相違（台帳"&amp;TEXT(INDEX(職員マスタ!$K$6:$K$405,$AP2387),"#,##0")&amp;"円／申請書"&amp;TEXT($W2387,"#,##0")&amp;"円）／","")&amp;IF(AND(INDEX(職員マスタ!$F$6:$F$405,$AP2387)&lt;&gt;"",$AQ2387&lt;&gt;"",INDEX(職員マスタ!$F$6:$F$405,$AP2387)&lt;$AQ2387),"対象月に子が2歳到達済／","")&amp;IF(AND($H2387&lt;&gt;"",INDEX(職員マスタ!$B$6:$B$405,$AP2387)&lt;&gt;"",SUBSTITUTE(SUBSTITUTE($H2387," ","")," ","")&lt;&gt;SUBSTITUTE(SUBSTITUTE(INDEX(職員マスタ!$B$6:$B$405,$AP2387)," ","")," ","")),"氏名がマスタと相違／","")&amp;IF(AND($Q2387&lt;&gt;"",INDEX(職員マスタ!$E$6:$E$405,$AP2387)&lt;&gt;"",$Q2387&lt;&gt;INDEX(職員マスタ!$E$6:$E$405,$AP2387)),"子の生年月日がマスタと相違／","")&amp;IF(AND($L2387&lt;&gt;"",INDEX(職員マスタ!$G$6:$G$405,$AP2387)&lt;&gt;"",$L2387&lt;&gt;INDEX(職員マスタ!$G$6:$G$405,$AP2387)),"時短開始日がマスタと相違／","")&amp;IF(AND($M2387&lt;&gt;"",INDEX(職員マスタ!$H$6:$H$405,$AP2387)&lt;&gt;"",$M2387&lt;&gt;INDEX(職員マスタ!$H$6:$H$405,$AP2387)),"時短終了日がマスタと相違／","")))&amp;IF(AND($B2387&lt;&gt;"",$E2387=""),"報酬額が未入力／","")&amp;IF(N($U2387)&gt;0,"申請書に入力エラーが残っています／","")&amp;IF(AND($B2387&lt;&gt;"",$AQ2387&lt;&gt;""),IF(COUNTIFS($B$6:$B$3005,$B2387,$C$6:$C$3005,$C2387,$D$6:$D$3005,$D2387)&gt;1,"同じ月の請求が重複しています／",""),"")&amp;IF(AND(N($E2387)&gt;0,$AB2387&lt;&gt;"",$AB2387&lt;&gt;"×",$AE2387=0,$AD2387=""),"計算額が下限以下のため不支給／",""))</f>
        <v/>
      </c>
      <c r="AN2387" s="12" t="n"/>
      <c r="AO2387" s="14">
        <f>IF($AF2387="保留中",COUNTIF($AF$6:$AF2387,"保留中"),"")</f>
        <v/>
      </c>
      <c r="AP2387" s="14">
        <f>IF($AQ2387="","",IF(SUMPRODUCT(MAX((職員マスタ!$A$6:$A$405=$B2387)*(((職員マスタ!$G$6:$G$405="")+(職員マスタ!$G$6:$G$405&lt;=EOMONTH($AQ2387,0)))&gt;0)*(((職員マスタ!$H$6:$H$405="")+(職員マスタ!$H$6:$H$405&gt;=$AQ2387))&gt;0)*(ROW(職員マスタ!$A$6:$A$405)-5)))&gt;0,SUMPRODUCT(MAX((職員マスタ!$A$6:$A$405=$B2387)*(((職員マスタ!$G$6:$G$405="")+(職員マスタ!$G$6:$G$405&lt;=EOMONTH($AQ2387,0)))&gt;0)*(((職員マスタ!$H$6:$H$405="")+(職員マスタ!$H$6:$H$405&gt;=$AQ2387))&gt;0)*(ROW(職員マスタ!$A$6:$A$405)-5))),IFERROR(MATCH($B2387,職員マスタ!$A$6:$A$405,0),"")))</f>
        <v/>
      </c>
      <c r="AQ2387" s="16">
        <f>IF(OR($B2387="",$C2387="",$D2387=""),"",DATE($C2387+2018,$D2387,1))</f>
        <v/>
      </c>
    </row>
    <row r="2388">
      <c r="A2388" s="11" t="n"/>
      <c r="B2388" s="12" t="n"/>
      <c r="C2388" s="12" t="n"/>
      <c r="D2388" s="12" t="n"/>
      <c r="E2388" s="13" t="n"/>
      <c r="F2388" s="12" t="n"/>
      <c r="G2388" s="13" t="n"/>
      <c r="H2388" s="12" t="n"/>
      <c r="I2388" s="12" t="n"/>
      <c r="J2388" s="12" t="n"/>
      <c r="K2388" s="12" t="n"/>
      <c r="L2388" s="11" t="n"/>
      <c r="M2388" s="11" t="n"/>
      <c r="N2388" s="11" t="n"/>
      <c r="O2388" s="11" t="n"/>
      <c r="P2388" s="12" t="n"/>
      <c r="Q2388" s="11" t="n"/>
      <c r="R2388" s="12" t="n"/>
      <c r="S2388" s="11" t="n"/>
      <c r="T2388" s="12" t="n"/>
      <c r="U2388" s="12" t="n"/>
      <c r="V2388" s="12" t="n"/>
      <c r="W2388" s="13" t="n"/>
      <c r="X2388" s="14">
        <f>IF($AP2388="",IF($B2388="","",$H2388),IF(INDEX(職員マスタ!$B$6:$B$405,$AP2388)="",$H2388,INDEX(職員マスタ!$B$6:$B$405,$AP2388)))</f>
        <v/>
      </c>
      <c r="Y2388" s="14">
        <f>IF($AP2388="",IF($B2388="","",$R2388),IF(INDEX(職員マスタ!$C$6:$C$405,$AP2388)="",$R2388,INDEX(職員マスタ!$C$6:$C$405,$AP2388)))</f>
        <v/>
      </c>
      <c r="Z2388" s="14">
        <f>IF($AQ2388="","","R"&amp;$C2388&amp;"."&amp;$D2388)</f>
        <v/>
      </c>
      <c r="AA2388" s="15">
        <f>IF(IF($AP2388="",FALSE,INDEX(職員マスタ!$K$6:$K$405,$AP2388)&lt;&gt;""),INDEX(職員マスタ!$K$6:$K$405,$AP2388),IF(N($W2388)&gt;0,$W2388,""))</f>
        <v/>
      </c>
      <c r="AB2388" s="14">
        <f>IF(OR($E2388="",$AA2388=""),"",IF($E2388&gt;=$AA2388,"×",IF($E2388&gt;=$AA2388*設定!$C$5,"△","○")))</f>
        <v/>
      </c>
      <c r="AC2388" s="15">
        <f>IF($AB2388="","",IF($AB2388="×",0,IF($AB2388="○",ROUNDDOWN($E2388*設定!$C$4,0),ROUNDDOWN($E2388*ROUND((9*$AA2388-9*$E2388)/(10*$E2388),4),0))))</f>
        <v/>
      </c>
      <c r="AD2388" s="13" t="n"/>
      <c r="AE2388" s="15">
        <f>IF($B2388="","",IF($AD2388&lt;&gt;"",$AD2388,IF($AC2388="","",IF($AC2388&lt;=設定!$C$3,0,$AC2388))))</f>
        <v/>
      </c>
      <c r="AF2388" s="14">
        <f>IF($B2388="","",IF(AND($AG2388&lt;&gt;"",$AI2388="",$AL2388=""),"保留中",IF($AL2388&lt;&gt;"",IF(N($AE2388)&gt;0,"支給済","不支給"),IF($AE2388="","要確認",IF($AE2388=0,"不支給","未処理")))))</f>
        <v/>
      </c>
      <c r="AG2388" s="12" t="n"/>
      <c r="AH2388" s="11" t="n"/>
      <c r="AI2388" s="11" t="n"/>
      <c r="AJ2388" s="11" t="n"/>
      <c r="AK2388" s="14">
        <f>IF(AND($AF2388="保留中",$AH2388&lt;&gt;""),TODAY()-$AH2388,"")</f>
        <v/>
      </c>
      <c r="AL2388" s="12" t="n"/>
      <c r="AM2388" s="14">
        <f>IF($B2388="","",IF($AQ2388="","対象年月が未入力／","")&amp;IF($B2388="","",IF($AP2388="","職員マスタに未登録の職員番号／",IF($AA2388="","標準報酬月額が未登録／","")&amp;IF(AND($AQ2388&lt;&gt;"",OR(AND(INDEX(職員マスタ!$G$6:$G$405,$AP2388)&lt;&gt;"",INDEX(職員マスタ!$G$6:$G$405,$AP2388)&gt;EOMONTH($AQ2388,0)),AND(INDEX(職員マスタ!$H$6:$H$405,$AP2388)&lt;&gt;"",INDEX(職員マスタ!$H$6:$H$405,$AP2388)&lt;$AQ2388))),"対象月が時短期間外／","")&amp;IF(AND(INDEX(職員マスタ!$K$6:$K$405,$AP2388)&lt;&gt;"",N($W2388)&gt;0,INDEX(職員マスタ!$K$6:$K$405,$AP2388)&lt;&gt;$W2388),"標準報酬月額が申請書と相違（台帳"&amp;TEXT(INDEX(職員マスタ!$K$6:$K$405,$AP2388),"#,##0")&amp;"円／申請書"&amp;TEXT($W2388,"#,##0")&amp;"円）／","")&amp;IF(AND(INDEX(職員マスタ!$F$6:$F$405,$AP2388)&lt;&gt;"",$AQ2388&lt;&gt;"",INDEX(職員マスタ!$F$6:$F$405,$AP2388)&lt;$AQ2388),"対象月に子が2歳到達済／","")&amp;IF(AND($H2388&lt;&gt;"",INDEX(職員マスタ!$B$6:$B$405,$AP2388)&lt;&gt;"",SUBSTITUTE(SUBSTITUTE($H2388," ","")," ","")&lt;&gt;SUBSTITUTE(SUBSTITUTE(INDEX(職員マスタ!$B$6:$B$405,$AP2388)," ","")," ","")),"氏名がマスタと相違／","")&amp;IF(AND($Q2388&lt;&gt;"",INDEX(職員マスタ!$E$6:$E$405,$AP2388)&lt;&gt;"",$Q2388&lt;&gt;INDEX(職員マスタ!$E$6:$E$405,$AP2388)),"子の生年月日がマスタと相違／","")&amp;IF(AND($L2388&lt;&gt;"",INDEX(職員マスタ!$G$6:$G$405,$AP2388)&lt;&gt;"",$L2388&lt;&gt;INDEX(職員マスタ!$G$6:$G$405,$AP2388)),"時短開始日がマスタと相違／","")&amp;IF(AND($M2388&lt;&gt;"",INDEX(職員マスタ!$H$6:$H$405,$AP2388)&lt;&gt;"",$M2388&lt;&gt;INDEX(職員マスタ!$H$6:$H$405,$AP2388)),"時短終了日がマスタと相違／","")))&amp;IF(AND($B2388&lt;&gt;"",$E2388=""),"報酬額が未入力／","")&amp;IF(N($U2388)&gt;0,"申請書に入力エラーが残っています／","")&amp;IF(AND($B2388&lt;&gt;"",$AQ2388&lt;&gt;""),IF(COUNTIFS($B$6:$B$3005,$B2388,$C$6:$C$3005,$C2388,$D$6:$D$3005,$D2388)&gt;1,"同じ月の請求が重複しています／",""),"")&amp;IF(AND(N($E2388)&gt;0,$AB2388&lt;&gt;"",$AB2388&lt;&gt;"×",$AE2388=0,$AD2388=""),"計算額が下限以下のため不支給／",""))</f>
        <v/>
      </c>
      <c r="AN2388" s="12" t="n"/>
      <c r="AO2388" s="14">
        <f>IF($AF2388="保留中",COUNTIF($AF$6:$AF2388,"保留中"),"")</f>
        <v/>
      </c>
      <c r="AP2388" s="14">
        <f>IF($AQ2388="","",IF(SUMPRODUCT(MAX((職員マスタ!$A$6:$A$405=$B2388)*(((職員マスタ!$G$6:$G$405="")+(職員マスタ!$G$6:$G$405&lt;=EOMONTH($AQ2388,0)))&gt;0)*(((職員マスタ!$H$6:$H$405="")+(職員マスタ!$H$6:$H$405&gt;=$AQ2388))&gt;0)*(ROW(職員マスタ!$A$6:$A$405)-5)))&gt;0,SUMPRODUCT(MAX((職員マスタ!$A$6:$A$405=$B2388)*(((職員マスタ!$G$6:$G$405="")+(職員マスタ!$G$6:$G$405&lt;=EOMONTH($AQ2388,0)))&gt;0)*(((職員マスタ!$H$6:$H$405="")+(職員マスタ!$H$6:$H$405&gt;=$AQ2388))&gt;0)*(ROW(職員マスタ!$A$6:$A$405)-5))),IFERROR(MATCH($B2388,職員マスタ!$A$6:$A$405,0),"")))</f>
        <v/>
      </c>
      <c r="AQ2388" s="16">
        <f>IF(OR($B2388="",$C2388="",$D2388=""),"",DATE($C2388+2018,$D2388,1))</f>
        <v/>
      </c>
    </row>
    <row r="2389">
      <c r="A2389" s="11" t="n"/>
      <c r="B2389" s="12" t="n"/>
      <c r="C2389" s="12" t="n"/>
      <c r="D2389" s="12" t="n"/>
      <c r="E2389" s="13" t="n"/>
      <c r="F2389" s="12" t="n"/>
      <c r="G2389" s="13" t="n"/>
      <c r="H2389" s="12" t="n"/>
      <c r="I2389" s="12" t="n"/>
      <c r="J2389" s="12" t="n"/>
      <c r="K2389" s="12" t="n"/>
      <c r="L2389" s="11" t="n"/>
      <c r="M2389" s="11" t="n"/>
      <c r="N2389" s="11" t="n"/>
      <c r="O2389" s="11" t="n"/>
      <c r="P2389" s="12" t="n"/>
      <c r="Q2389" s="11" t="n"/>
      <c r="R2389" s="12" t="n"/>
      <c r="S2389" s="11" t="n"/>
      <c r="T2389" s="12" t="n"/>
      <c r="U2389" s="12" t="n"/>
      <c r="V2389" s="12" t="n"/>
      <c r="W2389" s="13" t="n"/>
      <c r="X2389" s="14">
        <f>IF($AP2389="",IF($B2389="","",$H2389),IF(INDEX(職員マスタ!$B$6:$B$405,$AP2389)="",$H2389,INDEX(職員マスタ!$B$6:$B$405,$AP2389)))</f>
        <v/>
      </c>
      <c r="Y2389" s="14">
        <f>IF($AP2389="",IF($B2389="","",$R2389),IF(INDEX(職員マスタ!$C$6:$C$405,$AP2389)="",$R2389,INDEX(職員マスタ!$C$6:$C$405,$AP2389)))</f>
        <v/>
      </c>
      <c r="Z2389" s="14">
        <f>IF($AQ2389="","","R"&amp;$C2389&amp;"."&amp;$D2389)</f>
        <v/>
      </c>
      <c r="AA2389" s="15">
        <f>IF(IF($AP2389="",FALSE,INDEX(職員マスタ!$K$6:$K$405,$AP2389)&lt;&gt;""),INDEX(職員マスタ!$K$6:$K$405,$AP2389),IF(N($W2389)&gt;0,$W2389,""))</f>
        <v/>
      </c>
      <c r="AB2389" s="14">
        <f>IF(OR($E2389="",$AA2389=""),"",IF($E2389&gt;=$AA2389,"×",IF($E2389&gt;=$AA2389*設定!$C$5,"△","○")))</f>
        <v/>
      </c>
      <c r="AC2389" s="15">
        <f>IF($AB2389="","",IF($AB2389="×",0,IF($AB2389="○",ROUNDDOWN($E2389*設定!$C$4,0),ROUNDDOWN($E2389*ROUND((9*$AA2389-9*$E2389)/(10*$E2389),4),0))))</f>
        <v/>
      </c>
      <c r="AD2389" s="13" t="n"/>
      <c r="AE2389" s="15">
        <f>IF($B2389="","",IF($AD2389&lt;&gt;"",$AD2389,IF($AC2389="","",IF($AC2389&lt;=設定!$C$3,0,$AC2389))))</f>
        <v/>
      </c>
      <c r="AF2389" s="14">
        <f>IF($B2389="","",IF(AND($AG2389&lt;&gt;"",$AI2389="",$AL2389=""),"保留中",IF($AL2389&lt;&gt;"",IF(N($AE2389)&gt;0,"支給済","不支給"),IF($AE2389="","要確認",IF($AE2389=0,"不支給","未処理")))))</f>
        <v/>
      </c>
      <c r="AG2389" s="12" t="n"/>
      <c r="AH2389" s="11" t="n"/>
      <c r="AI2389" s="11" t="n"/>
      <c r="AJ2389" s="11" t="n"/>
      <c r="AK2389" s="14">
        <f>IF(AND($AF2389="保留中",$AH2389&lt;&gt;""),TODAY()-$AH2389,"")</f>
        <v/>
      </c>
      <c r="AL2389" s="12" t="n"/>
      <c r="AM2389" s="14">
        <f>IF($B2389="","",IF($AQ2389="","対象年月が未入力／","")&amp;IF($B2389="","",IF($AP2389="","職員マスタに未登録の職員番号／",IF($AA2389="","標準報酬月額が未登録／","")&amp;IF(AND($AQ2389&lt;&gt;"",OR(AND(INDEX(職員マスタ!$G$6:$G$405,$AP2389)&lt;&gt;"",INDEX(職員マスタ!$G$6:$G$405,$AP2389)&gt;EOMONTH($AQ2389,0)),AND(INDEX(職員マスタ!$H$6:$H$405,$AP2389)&lt;&gt;"",INDEX(職員マスタ!$H$6:$H$405,$AP2389)&lt;$AQ2389))),"対象月が時短期間外／","")&amp;IF(AND(INDEX(職員マスタ!$K$6:$K$405,$AP2389)&lt;&gt;"",N($W2389)&gt;0,INDEX(職員マスタ!$K$6:$K$405,$AP2389)&lt;&gt;$W2389),"標準報酬月額が申請書と相違（台帳"&amp;TEXT(INDEX(職員マスタ!$K$6:$K$405,$AP2389),"#,##0")&amp;"円／申請書"&amp;TEXT($W2389,"#,##0")&amp;"円）／","")&amp;IF(AND(INDEX(職員マスタ!$F$6:$F$405,$AP2389)&lt;&gt;"",$AQ2389&lt;&gt;"",INDEX(職員マスタ!$F$6:$F$405,$AP2389)&lt;$AQ2389),"対象月に子が2歳到達済／","")&amp;IF(AND($H2389&lt;&gt;"",INDEX(職員マスタ!$B$6:$B$405,$AP2389)&lt;&gt;"",SUBSTITUTE(SUBSTITUTE($H2389," ","")," ","")&lt;&gt;SUBSTITUTE(SUBSTITUTE(INDEX(職員マスタ!$B$6:$B$405,$AP2389)," ","")," ","")),"氏名がマスタと相違／","")&amp;IF(AND($Q2389&lt;&gt;"",INDEX(職員マスタ!$E$6:$E$405,$AP2389)&lt;&gt;"",$Q2389&lt;&gt;INDEX(職員マスタ!$E$6:$E$405,$AP2389)),"子の生年月日がマスタと相違／","")&amp;IF(AND($L2389&lt;&gt;"",INDEX(職員マスタ!$G$6:$G$405,$AP2389)&lt;&gt;"",$L2389&lt;&gt;INDEX(職員マスタ!$G$6:$G$405,$AP2389)),"時短開始日がマスタと相違／","")&amp;IF(AND($M2389&lt;&gt;"",INDEX(職員マスタ!$H$6:$H$405,$AP2389)&lt;&gt;"",$M2389&lt;&gt;INDEX(職員マスタ!$H$6:$H$405,$AP2389)),"時短終了日がマスタと相違／","")))&amp;IF(AND($B2389&lt;&gt;"",$E2389=""),"報酬額が未入力／","")&amp;IF(N($U2389)&gt;0,"申請書に入力エラーが残っています／","")&amp;IF(AND($B2389&lt;&gt;"",$AQ2389&lt;&gt;""),IF(COUNTIFS($B$6:$B$3005,$B2389,$C$6:$C$3005,$C2389,$D$6:$D$3005,$D2389)&gt;1,"同じ月の請求が重複しています／",""),"")&amp;IF(AND(N($E2389)&gt;0,$AB2389&lt;&gt;"",$AB2389&lt;&gt;"×",$AE2389=0,$AD2389=""),"計算額が下限以下のため不支給／",""))</f>
        <v/>
      </c>
      <c r="AN2389" s="12" t="n"/>
      <c r="AO2389" s="14">
        <f>IF($AF2389="保留中",COUNTIF($AF$6:$AF2389,"保留中"),"")</f>
        <v/>
      </c>
      <c r="AP2389" s="14">
        <f>IF($AQ2389="","",IF(SUMPRODUCT(MAX((職員マスタ!$A$6:$A$405=$B2389)*(((職員マスタ!$G$6:$G$405="")+(職員マスタ!$G$6:$G$405&lt;=EOMONTH($AQ2389,0)))&gt;0)*(((職員マスタ!$H$6:$H$405="")+(職員マスタ!$H$6:$H$405&gt;=$AQ2389))&gt;0)*(ROW(職員マスタ!$A$6:$A$405)-5)))&gt;0,SUMPRODUCT(MAX((職員マスタ!$A$6:$A$405=$B2389)*(((職員マスタ!$G$6:$G$405="")+(職員マスタ!$G$6:$G$405&lt;=EOMONTH($AQ2389,0)))&gt;0)*(((職員マスタ!$H$6:$H$405="")+(職員マスタ!$H$6:$H$405&gt;=$AQ2389))&gt;0)*(ROW(職員マスタ!$A$6:$A$405)-5))),IFERROR(MATCH($B2389,職員マスタ!$A$6:$A$405,0),"")))</f>
        <v/>
      </c>
      <c r="AQ2389" s="16">
        <f>IF(OR($B2389="",$C2389="",$D2389=""),"",DATE($C2389+2018,$D2389,1))</f>
        <v/>
      </c>
    </row>
    <row r="2390">
      <c r="A2390" s="11" t="n"/>
      <c r="B2390" s="12" t="n"/>
      <c r="C2390" s="12" t="n"/>
      <c r="D2390" s="12" t="n"/>
      <c r="E2390" s="13" t="n"/>
      <c r="F2390" s="12" t="n"/>
      <c r="G2390" s="13" t="n"/>
      <c r="H2390" s="12" t="n"/>
      <c r="I2390" s="12" t="n"/>
      <c r="J2390" s="12" t="n"/>
      <c r="K2390" s="12" t="n"/>
      <c r="L2390" s="11" t="n"/>
      <c r="M2390" s="11" t="n"/>
      <c r="N2390" s="11" t="n"/>
      <c r="O2390" s="11" t="n"/>
      <c r="P2390" s="12" t="n"/>
      <c r="Q2390" s="11" t="n"/>
      <c r="R2390" s="12" t="n"/>
      <c r="S2390" s="11" t="n"/>
      <c r="T2390" s="12" t="n"/>
      <c r="U2390" s="12" t="n"/>
      <c r="V2390" s="12" t="n"/>
      <c r="W2390" s="13" t="n"/>
      <c r="X2390" s="14">
        <f>IF($AP2390="",IF($B2390="","",$H2390),IF(INDEX(職員マスタ!$B$6:$B$405,$AP2390)="",$H2390,INDEX(職員マスタ!$B$6:$B$405,$AP2390)))</f>
        <v/>
      </c>
      <c r="Y2390" s="14">
        <f>IF($AP2390="",IF($B2390="","",$R2390),IF(INDEX(職員マスタ!$C$6:$C$405,$AP2390)="",$R2390,INDEX(職員マスタ!$C$6:$C$405,$AP2390)))</f>
        <v/>
      </c>
      <c r="Z2390" s="14">
        <f>IF($AQ2390="","","R"&amp;$C2390&amp;"."&amp;$D2390)</f>
        <v/>
      </c>
      <c r="AA2390" s="15">
        <f>IF(IF($AP2390="",FALSE,INDEX(職員マスタ!$K$6:$K$405,$AP2390)&lt;&gt;""),INDEX(職員マスタ!$K$6:$K$405,$AP2390),IF(N($W2390)&gt;0,$W2390,""))</f>
        <v/>
      </c>
      <c r="AB2390" s="14">
        <f>IF(OR($E2390="",$AA2390=""),"",IF($E2390&gt;=$AA2390,"×",IF($E2390&gt;=$AA2390*設定!$C$5,"△","○")))</f>
        <v/>
      </c>
      <c r="AC2390" s="15">
        <f>IF($AB2390="","",IF($AB2390="×",0,IF($AB2390="○",ROUNDDOWN($E2390*設定!$C$4,0),ROUNDDOWN($E2390*ROUND((9*$AA2390-9*$E2390)/(10*$E2390),4),0))))</f>
        <v/>
      </c>
      <c r="AD2390" s="13" t="n"/>
      <c r="AE2390" s="15">
        <f>IF($B2390="","",IF($AD2390&lt;&gt;"",$AD2390,IF($AC2390="","",IF($AC2390&lt;=設定!$C$3,0,$AC2390))))</f>
        <v/>
      </c>
      <c r="AF2390" s="14">
        <f>IF($B2390="","",IF(AND($AG2390&lt;&gt;"",$AI2390="",$AL2390=""),"保留中",IF($AL2390&lt;&gt;"",IF(N($AE2390)&gt;0,"支給済","不支給"),IF($AE2390="","要確認",IF($AE2390=0,"不支給","未処理")))))</f>
        <v/>
      </c>
      <c r="AG2390" s="12" t="n"/>
      <c r="AH2390" s="11" t="n"/>
      <c r="AI2390" s="11" t="n"/>
      <c r="AJ2390" s="11" t="n"/>
      <c r="AK2390" s="14">
        <f>IF(AND($AF2390="保留中",$AH2390&lt;&gt;""),TODAY()-$AH2390,"")</f>
        <v/>
      </c>
      <c r="AL2390" s="12" t="n"/>
      <c r="AM2390" s="14">
        <f>IF($B2390="","",IF($AQ2390="","対象年月が未入力／","")&amp;IF($B2390="","",IF($AP2390="","職員マスタに未登録の職員番号／",IF($AA2390="","標準報酬月額が未登録／","")&amp;IF(AND($AQ2390&lt;&gt;"",OR(AND(INDEX(職員マスタ!$G$6:$G$405,$AP2390)&lt;&gt;"",INDEX(職員マスタ!$G$6:$G$405,$AP2390)&gt;EOMONTH($AQ2390,0)),AND(INDEX(職員マスタ!$H$6:$H$405,$AP2390)&lt;&gt;"",INDEX(職員マスタ!$H$6:$H$405,$AP2390)&lt;$AQ2390))),"対象月が時短期間外／","")&amp;IF(AND(INDEX(職員マスタ!$K$6:$K$405,$AP2390)&lt;&gt;"",N($W2390)&gt;0,INDEX(職員マスタ!$K$6:$K$405,$AP2390)&lt;&gt;$W2390),"標準報酬月額が申請書と相違（台帳"&amp;TEXT(INDEX(職員マスタ!$K$6:$K$405,$AP2390),"#,##0")&amp;"円／申請書"&amp;TEXT($W2390,"#,##0")&amp;"円）／","")&amp;IF(AND(INDEX(職員マスタ!$F$6:$F$405,$AP2390)&lt;&gt;"",$AQ2390&lt;&gt;"",INDEX(職員マスタ!$F$6:$F$405,$AP2390)&lt;$AQ2390),"対象月に子が2歳到達済／","")&amp;IF(AND($H2390&lt;&gt;"",INDEX(職員マスタ!$B$6:$B$405,$AP2390)&lt;&gt;"",SUBSTITUTE(SUBSTITUTE($H2390," ","")," ","")&lt;&gt;SUBSTITUTE(SUBSTITUTE(INDEX(職員マスタ!$B$6:$B$405,$AP2390)," ","")," ","")),"氏名がマスタと相違／","")&amp;IF(AND($Q2390&lt;&gt;"",INDEX(職員マスタ!$E$6:$E$405,$AP2390)&lt;&gt;"",$Q2390&lt;&gt;INDEX(職員マスタ!$E$6:$E$405,$AP2390)),"子の生年月日がマスタと相違／","")&amp;IF(AND($L2390&lt;&gt;"",INDEX(職員マスタ!$G$6:$G$405,$AP2390)&lt;&gt;"",$L2390&lt;&gt;INDEX(職員マスタ!$G$6:$G$405,$AP2390)),"時短開始日がマスタと相違／","")&amp;IF(AND($M2390&lt;&gt;"",INDEX(職員マスタ!$H$6:$H$405,$AP2390)&lt;&gt;"",$M2390&lt;&gt;INDEX(職員マスタ!$H$6:$H$405,$AP2390)),"時短終了日がマスタと相違／","")))&amp;IF(AND($B2390&lt;&gt;"",$E2390=""),"報酬額が未入力／","")&amp;IF(N($U2390)&gt;0,"申請書に入力エラーが残っています／","")&amp;IF(AND($B2390&lt;&gt;"",$AQ2390&lt;&gt;""),IF(COUNTIFS($B$6:$B$3005,$B2390,$C$6:$C$3005,$C2390,$D$6:$D$3005,$D2390)&gt;1,"同じ月の請求が重複しています／",""),"")&amp;IF(AND(N($E2390)&gt;0,$AB2390&lt;&gt;"",$AB2390&lt;&gt;"×",$AE2390=0,$AD2390=""),"計算額が下限以下のため不支給／",""))</f>
        <v/>
      </c>
      <c r="AN2390" s="12" t="n"/>
      <c r="AO2390" s="14">
        <f>IF($AF2390="保留中",COUNTIF($AF$6:$AF2390,"保留中"),"")</f>
        <v/>
      </c>
      <c r="AP2390" s="14">
        <f>IF($AQ2390="","",IF(SUMPRODUCT(MAX((職員マスタ!$A$6:$A$405=$B2390)*(((職員マスタ!$G$6:$G$405="")+(職員マスタ!$G$6:$G$405&lt;=EOMONTH($AQ2390,0)))&gt;0)*(((職員マスタ!$H$6:$H$405="")+(職員マスタ!$H$6:$H$405&gt;=$AQ2390))&gt;0)*(ROW(職員マスタ!$A$6:$A$405)-5)))&gt;0,SUMPRODUCT(MAX((職員マスタ!$A$6:$A$405=$B2390)*(((職員マスタ!$G$6:$G$405="")+(職員マスタ!$G$6:$G$405&lt;=EOMONTH($AQ2390,0)))&gt;0)*(((職員マスタ!$H$6:$H$405="")+(職員マスタ!$H$6:$H$405&gt;=$AQ2390))&gt;0)*(ROW(職員マスタ!$A$6:$A$405)-5))),IFERROR(MATCH($B2390,職員マスタ!$A$6:$A$405,0),"")))</f>
        <v/>
      </c>
      <c r="AQ2390" s="16">
        <f>IF(OR($B2390="",$C2390="",$D2390=""),"",DATE($C2390+2018,$D2390,1))</f>
        <v/>
      </c>
    </row>
    <row r="2391">
      <c r="A2391" s="11" t="n"/>
      <c r="B2391" s="12" t="n"/>
      <c r="C2391" s="12" t="n"/>
      <c r="D2391" s="12" t="n"/>
      <c r="E2391" s="13" t="n"/>
      <c r="F2391" s="12" t="n"/>
      <c r="G2391" s="13" t="n"/>
      <c r="H2391" s="12" t="n"/>
      <c r="I2391" s="12" t="n"/>
      <c r="J2391" s="12" t="n"/>
      <c r="K2391" s="12" t="n"/>
      <c r="L2391" s="11" t="n"/>
      <c r="M2391" s="11" t="n"/>
      <c r="N2391" s="11" t="n"/>
      <c r="O2391" s="11" t="n"/>
      <c r="P2391" s="12" t="n"/>
      <c r="Q2391" s="11" t="n"/>
      <c r="R2391" s="12" t="n"/>
      <c r="S2391" s="11" t="n"/>
      <c r="T2391" s="12" t="n"/>
      <c r="U2391" s="12" t="n"/>
      <c r="V2391" s="12" t="n"/>
      <c r="W2391" s="13" t="n"/>
      <c r="X2391" s="14">
        <f>IF($AP2391="",IF($B2391="","",$H2391),IF(INDEX(職員マスタ!$B$6:$B$405,$AP2391)="",$H2391,INDEX(職員マスタ!$B$6:$B$405,$AP2391)))</f>
        <v/>
      </c>
      <c r="Y2391" s="14">
        <f>IF($AP2391="",IF($B2391="","",$R2391),IF(INDEX(職員マスタ!$C$6:$C$405,$AP2391)="",$R2391,INDEX(職員マスタ!$C$6:$C$405,$AP2391)))</f>
        <v/>
      </c>
      <c r="Z2391" s="14">
        <f>IF($AQ2391="","","R"&amp;$C2391&amp;"."&amp;$D2391)</f>
        <v/>
      </c>
      <c r="AA2391" s="15">
        <f>IF(IF($AP2391="",FALSE,INDEX(職員マスタ!$K$6:$K$405,$AP2391)&lt;&gt;""),INDEX(職員マスタ!$K$6:$K$405,$AP2391),IF(N($W2391)&gt;0,$W2391,""))</f>
        <v/>
      </c>
      <c r="AB2391" s="14">
        <f>IF(OR($E2391="",$AA2391=""),"",IF($E2391&gt;=$AA2391,"×",IF($E2391&gt;=$AA2391*設定!$C$5,"△","○")))</f>
        <v/>
      </c>
      <c r="AC2391" s="15">
        <f>IF($AB2391="","",IF($AB2391="×",0,IF($AB2391="○",ROUNDDOWN($E2391*設定!$C$4,0),ROUNDDOWN($E2391*ROUND((9*$AA2391-9*$E2391)/(10*$E2391),4),0))))</f>
        <v/>
      </c>
      <c r="AD2391" s="13" t="n"/>
      <c r="AE2391" s="15">
        <f>IF($B2391="","",IF($AD2391&lt;&gt;"",$AD2391,IF($AC2391="","",IF($AC2391&lt;=設定!$C$3,0,$AC2391))))</f>
        <v/>
      </c>
      <c r="AF2391" s="14">
        <f>IF($B2391="","",IF(AND($AG2391&lt;&gt;"",$AI2391="",$AL2391=""),"保留中",IF($AL2391&lt;&gt;"",IF(N($AE2391)&gt;0,"支給済","不支給"),IF($AE2391="","要確認",IF($AE2391=0,"不支給","未処理")))))</f>
        <v/>
      </c>
      <c r="AG2391" s="12" t="n"/>
      <c r="AH2391" s="11" t="n"/>
      <c r="AI2391" s="11" t="n"/>
      <c r="AJ2391" s="11" t="n"/>
      <c r="AK2391" s="14">
        <f>IF(AND($AF2391="保留中",$AH2391&lt;&gt;""),TODAY()-$AH2391,"")</f>
        <v/>
      </c>
      <c r="AL2391" s="12" t="n"/>
      <c r="AM2391" s="14">
        <f>IF($B2391="","",IF($AQ2391="","対象年月が未入力／","")&amp;IF($B2391="","",IF($AP2391="","職員マスタに未登録の職員番号／",IF($AA2391="","標準報酬月額が未登録／","")&amp;IF(AND($AQ2391&lt;&gt;"",OR(AND(INDEX(職員マスタ!$G$6:$G$405,$AP2391)&lt;&gt;"",INDEX(職員マスタ!$G$6:$G$405,$AP2391)&gt;EOMONTH($AQ2391,0)),AND(INDEX(職員マスタ!$H$6:$H$405,$AP2391)&lt;&gt;"",INDEX(職員マスタ!$H$6:$H$405,$AP2391)&lt;$AQ2391))),"対象月が時短期間外／","")&amp;IF(AND(INDEX(職員マスタ!$K$6:$K$405,$AP2391)&lt;&gt;"",N($W2391)&gt;0,INDEX(職員マスタ!$K$6:$K$405,$AP2391)&lt;&gt;$W2391),"標準報酬月額が申請書と相違（台帳"&amp;TEXT(INDEX(職員マスタ!$K$6:$K$405,$AP2391),"#,##0")&amp;"円／申請書"&amp;TEXT($W2391,"#,##0")&amp;"円）／","")&amp;IF(AND(INDEX(職員マスタ!$F$6:$F$405,$AP2391)&lt;&gt;"",$AQ2391&lt;&gt;"",INDEX(職員マスタ!$F$6:$F$405,$AP2391)&lt;$AQ2391),"対象月に子が2歳到達済／","")&amp;IF(AND($H2391&lt;&gt;"",INDEX(職員マスタ!$B$6:$B$405,$AP2391)&lt;&gt;"",SUBSTITUTE(SUBSTITUTE($H2391," ","")," ","")&lt;&gt;SUBSTITUTE(SUBSTITUTE(INDEX(職員マスタ!$B$6:$B$405,$AP2391)," ","")," ","")),"氏名がマスタと相違／","")&amp;IF(AND($Q2391&lt;&gt;"",INDEX(職員マスタ!$E$6:$E$405,$AP2391)&lt;&gt;"",$Q2391&lt;&gt;INDEX(職員マスタ!$E$6:$E$405,$AP2391)),"子の生年月日がマスタと相違／","")&amp;IF(AND($L2391&lt;&gt;"",INDEX(職員マスタ!$G$6:$G$405,$AP2391)&lt;&gt;"",$L2391&lt;&gt;INDEX(職員マスタ!$G$6:$G$405,$AP2391)),"時短開始日がマスタと相違／","")&amp;IF(AND($M2391&lt;&gt;"",INDEX(職員マスタ!$H$6:$H$405,$AP2391)&lt;&gt;"",$M2391&lt;&gt;INDEX(職員マスタ!$H$6:$H$405,$AP2391)),"時短終了日がマスタと相違／","")))&amp;IF(AND($B2391&lt;&gt;"",$E2391=""),"報酬額が未入力／","")&amp;IF(N($U2391)&gt;0,"申請書に入力エラーが残っています／","")&amp;IF(AND($B2391&lt;&gt;"",$AQ2391&lt;&gt;""),IF(COUNTIFS($B$6:$B$3005,$B2391,$C$6:$C$3005,$C2391,$D$6:$D$3005,$D2391)&gt;1,"同じ月の請求が重複しています／",""),"")&amp;IF(AND(N($E2391)&gt;0,$AB2391&lt;&gt;"",$AB2391&lt;&gt;"×",$AE2391=0,$AD2391=""),"計算額が下限以下のため不支給／",""))</f>
        <v/>
      </c>
      <c r="AN2391" s="12" t="n"/>
      <c r="AO2391" s="14">
        <f>IF($AF2391="保留中",COUNTIF($AF$6:$AF2391,"保留中"),"")</f>
        <v/>
      </c>
      <c r="AP2391" s="14">
        <f>IF($AQ2391="","",IF(SUMPRODUCT(MAX((職員マスタ!$A$6:$A$405=$B2391)*(((職員マスタ!$G$6:$G$405="")+(職員マスタ!$G$6:$G$405&lt;=EOMONTH($AQ2391,0)))&gt;0)*(((職員マスタ!$H$6:$H$405="")+(職員マスタ!$H$6:$H$405&gt;=$AQ2391))&gt;0)*(ROW(職員マスタ!$A$6:$A$405)-5)))&gt;0,SUMPRODUCT(MAX((職員マスタ!$A$6:$A$405=$B2391)*(((職員マスタ!$G$6:$G$405="")+(職員マスタ!$G$6:$G$405&lt;=EOMONTH($AQ2391,0)))&gt;0)*(((職員マスタ!$H$6:$H$405="")+(職員マスタ!$H$6:$H$405&gt;=$AQ2391))&gt;0)*(ROW(職員マスタ!$A$6:$A$405)-5))),IFERROR(MATCH($B2391,職員マスタ!$A$6:$A$405,0),"")))</f>
        <v/>
      </c>
      <c r="AQ2391" s="16">
        <f>IF(OR($B2391="",$C2391="",$D2391=""),"",DATE($C2391+2018,$D2391,1))</f>
        <v/>
      </c>
    </row>
    <row r="2392">
      <c r="A2392" s="11" t="n"/>
      <c r="B2392" s="12" t="n"/>
      <c r="C2392" s="12" t="n"/>
      <c r="D2392" s="12" t="n"/>
      <c r="E2392" s="13" t="n"/>
      <c r="F2392" s="12" t="n"/>
      <c r="G2392" s="13" t="n"/>
      <c r="H2392" s="12" t="n"/>
      <c r="I2392" s="12" t="n"/>
      <c r="J2392" s="12" t="n"/>
      <c r="K2392" s="12" t="n"/>
      <c r="L2392" s="11" t="n"/>
      <c r="M2392" s="11" t="n"/>
      <c r="N2392" s="11" t="n"/>
      <c r="O2392" s="11" t="n"/>
      <c r="P2392" s="12" t="n"/>
      <c r="Q2392" s="11" t="n"/>
      <c r="R2392" s="12" t="n"/>
      <c r="S2392" s="11" t="n"/>
      <c r="T2392" s="12" t="n"/>
      <c r="U2392" s="12" t="n"/>
      <c r="V2392" s="12" t="n"/>
      <c r="W2392" s="13" t="n"/>
      <c r="X2392" s="14">
        <f>IF($AP2392="",IF($B2392="","",$H2392),IF(INDEX(職員マスタ!$B$6:$B$405,$AP2392)="",$H2392,INDEX(職員マスタ!$B$6:$B$405,$AP2392)))</f>
        <v/>
      </c>
      <c r="Y2392" s="14">
        <f>IF($AP2392="",IF($B2392="","",$R2392),IF(INDEX(職員マスタ!$C$6:$C$405,$AP2392)="",$R2392,INDEX(職員マスタ!$C$6:$C$405,$AP2392)))</f>
        <v/>
      </c>
      <c r="Z2392" s="14">
        <f>IF($AQ2392="","","R"&amp;$C2392&amp;"."&amp;$D2392)</f>
        <v/>
      </c>
      <c r="AA2392" s="15">
        <f>IF(IF($AP2392="",FALSE,INDEX(職員マスタ!$K$6:$K$405,$AP2392)&lt;&gt;""),INDEX(職員マスタ!$K$6:$K$405,$AP2392),IF(N($W2392)&gt;0,$W2392,""))</f>
        <v/>
      </c>
      <c r="AB2392" s="14">
        <f>IF(OR($E2392="",$AA2392=""),"",IF($E2392&gt;=$AA2392,"×",IF($E2392&gt;=$AA2392*設定!$C$5,"△","○")))</f>
        <v/>
      </c>
      <c r="AC2392" s="15">
        <f>IF($AB2392="","",IF($AB2392="×",0,IF($AB2392="○",ROUNDDOWN($E2392*設定!$C$4,0),ROUNDDOWN($E2392*ROUND((9*$AA2392-9*$E2392)/(10*$E2392),4),0))))</f>
        <v/>
      </c>
      <c r="AD2392" s="13" t="n"/>
      <c r="AE2392" s="15">
        <f>IF($B2392="","",IF($AD2392&lt;&gt;"",$AD2392,IF($AC2392="","",IF($AC2392&lt;=設定!$C$3,0,$AC2392))))</f>
        <v/>
      </c>
      <c r="AF2392" s="14">
        <f>IF($B2392="","",IF(AND($AG2392&lt;&gt;"",$AI2392="",$AL2392=""),"保留中",IF($AL2392&lt;&gt;"",IF(N($AE2392)&gt;0,"支給済","不支給"),IF($AE2392="","要確認",IF($AE2392=0,"不支給","未処理")))))</f>
        <v/>
      </c>
      <c r="AG2392" s="12" t="n"/>
      <c r="AH2392" s="11" t="n"/>
      <c r="AI2392" s="11" t="n"/>
      <c r="AJ2392" s="11" t="n"/>
      <c r="AK2392" s="14">
        <f>IF(AND($AF2392="保留中",$AH2392&lt;&gt;""),TODAY()-$AH2392,"")</f>
        <v/>
      </c>
      <c r="AL2392" s="12" t="n"/>
      <c r="AM2392" s="14">
        <f>IF($B2392="","",IF($AQ2392="","対象年月が未入力／","")&amp;IF($B2392="","",IF($AP2392="","職員マスタに未登録の職員番号／",IF($AA2392="","標準報酬月額が未登録／","")&amp;IF(AND($AQ2392&lt;&gt;"",OR(AND(INDEX(職員マスタ!$G$6:$G$405,$AP2392)&lt;&gt;"",INDEX(職員マスタ!$G$6:$G$405,$AP2392)&gt;EOMONTH($AQ2392,0)),AND(INDEX(職員マスタ!$H$6:$H$405,$AP2392)&lt;&gt;"",INDEX(職員マスタ!$H$6:$H$405,$AP2392)&lt;$AQ2392))),"対象月が時短期間外／","")&amp;IF(AND(INDEX(職員マスタ!$K$6:$K$405,$AP2392)&lt;&gt;"",N($W2392)&gt;0,INDEX(職員マスタ!$K$6:$K$405,$AP2392)&lt;&gt;$W2392),"標準報酬月額が申請書と相違（台帳"&amp;TEXT(INDEX(職員マスタ!$K$6:$K$405,$AP2392),"#,##0")&amp;"円／申請書"&amp;TEXT($W2392,"#,##0")&amp;"円）／","")&amp;IF(AND(INDEX(職員マスタ!$F$6:$F$405,$AP2392)&lt;&gt;"",$AQ2392&lt;&gt;"",INDEX(職員マスタ!$F$6:$F$405,$AP2392)&lt;$AQ2392),"対象月に子が2歳到達済／","")&amp;IF(AND($H2392&lt;&gt;"",INDEX(職員マスタ!$B$6:$B$405,$AP2392)&lt;&gt;"",SUBSTITUTE(SUBSTITUTE($H2392," ","")," ","")&lt;&gt;SUBSTITUTE(SUBSTITUTE(INDEX(職員マスタ!$B$6:$B$405,$AP2392)," ","")," ","")),"氏名がマスタと相違／","")&amp;IF(AND($Q2392&lt;&gt;"",INDEX(職員マスタ!$E$6:$E$405,$AP2392)&lt;&gt;"",$Q2392&lt;&gt;INDEX(職員マスタ!$E$6:$E$405,$AP2392)),"子の生年月日がマスタと相違／","")&amp;IF(AND($L2392&lt;&gt;"",INDEX(職員マスタ!$G$6:$G$405,$AP2392)&lt;&gt;"",$L2392&lt;&gt;INDEX(職員マスタ!$G$6:$G$405,$AP2392)),"時短開始日がマスタと相違／","")&amp;IF(AND($M2392&lt;&gt;"",INDEX(職員マスタ!$H$6:$H$405,$AP2392)&lt;&gt;"",$M2392&lt;&gt;INDEX(職員マスタ!$H$6:$H$405,$AP2392)),"時短終了日がマスタと相違／","")))&amp;IF(AND($B2392&lt;&gt;"",$E2392=""),"報酬額が未入力／","")&amp;IF(N($U2392)&gt;0,"申請書に入力エラーが残っています／","")&amp;IF(AND($B2392&lt;&gt;"",$AQ2392&lt;&gt;""),IF(COUNTIFS($B$6:$B$3005,$B2392,$C$6:$C$3005,$C2392,$D$6:$D$3005,$D2392)&gt;1,"同じ月の請求が重複しています／",""),"")&amp;IF(AND(N($E2392)&gt;0,$AB2392&lt;&gt;"",$AB2392&lt;&gt;"×",$AE2392=0,$AD2392=""),"計算額が下限以下のため不支給／",""))</f>
        <v/>
      </c>
      <c r="AN2392" s="12" t="n"/>
      <c r="AO2392" s="14">
        <f>IF($AF2392="保留中",COUNTIF($AF$6:$AF2392,"保留中"),"")</f>
        <v/>
      </c>
      <c r="AP2392" s="14">
        <f>IF($AQ2392="","",IF(SUMPRODUCT(MAX((職員マスタ!$A$6:$A$405=$B2392)*(((職員マスタ!$G$6:$G$405="")+(職員マスタ!$G$6:$G$405&lt;=EOMONTH($AQ2392,0)))&gt;0)*(((職員マスタ!$H$6:$H$405="")+(職員マスタ!$H$6:$H$405&gt;=$AQ2392))&gt;0)*(ROW(職員マスタ!$A$6:$A$405)-5)))&gt;0,SUMPRODUCT(MAX((職員マスタ!$A$6:$A$405=$B2392)*(((職員マスタ!$G$6:$G$405="")+(職員マスタ!$G$6:$G$405&lt;=EOMONTH($AQ2392,0)))&gt;0)*(((職員マスタ!$H$6:$H$405="")+(職員マスタ!$H$6:$H$405&gt;=$AQ2392))&gt;0)*(ROW(職員マスタ!$A$6:$A$405)-5))),IFERROR(MATCH($B2392,職員マスタ!$A$6:$A$405,0),"")))</f>
        <v/>
      </c>
      <c r="AQ2392" s="16">
        <f>IF(OR($B2392="",$C2392="",$D2392=""),"",DATE($C2392+2018,$D2392,1))</f>
        <v/>
      </c>
    </row>
    <row r="2393">
      <c r="A2393" s="11" t="n"/>
      <c r="B2393" s="12" t="n"/>
      <c r="C2393" s="12" t="n"/>
      <c r="D2393" s="12" t="n"/>
      <c r="E2393" s="13" t="n"/>
      <c r="F2393" s="12" t="n"/>
      <c r="G2393" s="13" t="n"/>
      <c r="H2393" s="12" t="n"/>
      <c r="I2393" s="12" t="n"/>
      <c r="J2393" s="12" t="n"/>
      <c r="K2393" s="12" t="n"/>
      <c r="L2393" s="11" t="n"/>
      <c r="M2393" s="11" t="n"/>
      <c r="N2393" s="11" t="n"/>
      <c r="O2393" s="11" t="n"/>
      <c r="P2393" s="12" t="n"/>
      <c r="Q2393" s="11" t="n"/>
      <c r="R2393" s="12" t="n"/>
      <c r="S2393" s="11" t="n"/>
      <c r="T2393" s="12" t="n"/>
      <c r="U2393" s="12" t="n"/>
      <c r="V2393" s="12" t="n"/>
      <c r="W2393" s="13" t="n"/>
      <c r="X2393" s="14">
        <f>IF($AP2393="",IF($B2393="","",$H2393),IF(INDEX(職員マスタ!$B$6:$B$405,$AP2393)="",$H2393,INDEX(職員マスタ!$B$6:$B$405,$AP2393)))</f>
        <v/>
      </c>
      <c r="Y2393" s="14">
        <f>IF($AP2393="",IF($B2393="","",$R2393),IF(INDEX(職員マスタ!$C$6:$C$405,$AP2393)="",$R2393,INDEX(職員マスタ!$C$6:$C$405,$AP2393)))</f>
        <v/>
      </c>
      <c r="Z2393" s="14">
        <f>IF($AQ2393="","","R"&amp;$C2393&amp;"."&amp;$D2393)</f>
        <v/>
      </c>
      <c r="AA2393" s="15">
        <f>IF(IF($AP2393="",FALSE,INDEX(職員マスタ!$K$6:$K$405,$AP2393)&lt;&gt;""),INDEX(職員マスタ!$K$6:$K$405,$AP2393),IF(N($W2393)&gt;0,$W2393,""))</f>
        <v/>
      </c>
      <c r="AB2393" s="14">
        <f>IF(OR($E2393="",$AA2393=""),"",IF($E2393&gt;=$AA2393,"×",IF($E2393&gt;=$AA2393*設定!$C$5,"△","○")))</f>
        <v/>
      </c>
      <c r="AC2393" s="15">
        <f>IF($AB2393="","",IF($AB2393="×",0,IF($AB2393="○",ROUNDDOWN($E2393*設定!$C$4,0),ROUNDDOWN($E2393*ROUND((9*$AA2393-9*$E2393)/(10*$E2393),4),0))))</f>
        <v/>
      </c>
      <c r="AD2393" s="13" t="n"/>
      <c r="AE2393" s="15">
        <f>IF($B2393="","",IF($AD2393&lt;&gt;"",$AD2393,IF($AC2393="","",IF($AC2393&lt;=設定!$C$3,0,$AC2393))))</f>
        <v/>
      </c>
      <c r="AF2393" s="14">
        <f>IF($B2393="","",IF(AND($AG2393&lt;&gt;"",$AI2393="",$AL2393=""),"保留中",IF($AL2393&lt;&gt;"",IF(N($AE2393)&gt;0,"支給済","不支給"),IF($AE2393="","要確認",IF($AE2393=0,"不支給","未処理")))))</f>
        <v/>
      </c>
      <c r="AG2393" s="12" t="n"/>
      <c r="AH2393" s="11" t="n"/>
      <c r="AI2393" s="11" t="n"/>
      <c r="AJ2393" s="11" t="n"/>
      <c r="AK2393" s="14">
        <f>IF(AND($AF2393="保留中",$AH2393&lt;&gt;""),TODAY()-$AH2393,"")</f>
        <v/>
      </c>
      <c r="AL2393" s="12" t="n"/>
      <c r="AM2393" s="14">
        <f>IF($B2393="","",IF($AQ2393="","対象年月が未入力／","")&amp;IF($B2393="","",IF($AP2393="","職員マスタに未登録の職員番号／",IF($AA2393="","標準報酬月額が未登録／","")&amp;IF(AND($AQ2393&lt;&gt;"",OR(AND(INDEX(職員マスタ!$G$6:$G$405,$AP2393)&lt;&gt;"",INDEX(職員マスタ!$G$6:$G$405,$AP2393)&gt;EOMONTH($AQ2393,0)),AND(INDEX(職員マスタ!$H$6:$H$405,$AP2393)&lt;&gt;"",INDEX(職員マスタ!$H$6:$H$405,$AP2393)&lt;$AQ2393))),"対象月が時短期間外／","")&amp;IF(AND(INDEX(職員マスタ!$K$6:$K$405,$AP2393)&lt;&gt;"",N($W2393)&gt;0,INDEX(職員マスタ!$K$6:$K$405,$AP2393)&lt;&gt;$W2393),"標準報酬月額が申請書と相違（台帳"&amp;TEXT(INDEX(職員マスタ!$K$6:$K$405,$AP2393),"#,##0")&amp;"円／申請書"&amp;TEXT($W2393,"#,##0")&amp;"円）／","")&amp;IF(AND(INDEX(職員マスタ!$F$6:$F$405,$AP2393)&lt;&gt;"",$AQ2393&lt;&gt;"",INDEX(職員マスタ!$F$6:$F$405,$AP2393)&lt;$AQ2393),"対象月に子が2歳到達済／","")&amp;IF(AND($H2393&lt;&gt;"",INDEX(職員マスタ!$B$6:$B$405,$AP2393)&lt;&gt;"",SUBSTITUTE(SUBSTITUTE($H2393," ","")," ","")&lt;&gt;SUBSTITUTE(SUBSTITUTE(INDEX(職員マスタ!$B$6:$B$405,$AP2393)," ","")," ","")),"氏名がマスタと相違／","")&amp;IF(AND($Q2393&lt;&gt;"",INDEX(職員マスタ!$E$6:$E$405,$AP2393)&lt;&gt;"",$Q2393&lt;&gt;INDEX(職員マスタ!$E$6:$E$405,$AP2393)),"子の生年月日がマスタと相違／","")&amp;IF(AND($L2393&lt;&gt;"",INDEX(職員マスタ!$G$6:$G$405,$AP2393)&lt;&gt;"",$L2393&lt;&gt;INDEX(職員マスタ!$G$6:$G$405,$AP2393)),"時短開始日がマスタと相違／","")&amp;IF(AND($M2393&lt;&gt;"",INDEX(職員マスタ!$H$6:$H$405,$AP2393)&lt;&gt;"",$M2393&lt;&gt;INDEX(職員マスタ!$H$6:$H$405,$AP2393)),"時短終了日がマスタと相違／","")))&amp;IF(AND($B2393&lt;&gt;"",$E2393=""),"報酬額が未入力／","")&amp;IF(N($U2393)&gt;0,"申請書に入力エラーが残っています／","")&amp;IF(AND($B2393&lt;&gt;"",$AQ2393&lt;&gt;""),IF(COUNTIFS($B$6:$B$3005,$B2393,$C$6:$C$3005,$C2393,$D$6:$D$3005,$D2393)&gt;1,"同じ月の請求が重複しています／",""),"")&amp;IF(AND(N($E2393)&gt;0,$AB2393&lt;&gt;"",$AB2393&lt;&gt;"×",$AE2393=0,$AD2393=""),"計算額が下限以下のため不支給／",""))</f>
        <v/>
      </c>
      <c r="AN2393" s="12" t="n"/>
      <c r="AO2393" s="14">
        <f>IF($AF2393="保留中",COUNTIF($AF$6:$AF2393,"保留中"),"")</f>
        <v/>
      </c>
      <c r="AP2393" s="14">
        <f>IF($AQ2393="","",IF(SUMPRODUCT(MAX((職員マスタ!$A$6:$A$405=$B2393)*(((職員マスタ!$G$6:$G$405="")+(職員マスタ!$G$6:$G$405&lt;=EOMONTH($AQ2393,0)))&gt;0)*(((職員マスタ!$H$6:$H$405="")+(職員マスタ!$H$6:$H$405&gt;=$AQ2393))&gt;0)*(ROW(職員マスタ!$A$6:$A$405)-5)))&gt;0,SUMPRODUCT(MAX((職員マスタ!$A$6:$A$405=$B2393)*(((職員マスタ!$G$6:$G$405="")+(職員マスタ!$G$6:$G$405&lt;=EOMONTH($AQ2393,0)))&gt;0)*(((職員マスタ!$H$6:$H$405="")+(職員マスタ!$H$6:$H$405&gt;=$AQ2393))&gt;0)*(ROW(職員マスタ!$A$6:$A$405)-5))),IFERROR(MATCH($B2393,職員マスタ!$A$6:$A$405,0),"")))</f>
        <v/>
      </c>
      <c r="AQ2393" s="16">
        <f>IF(OR($B2393="",$C2393="",$D2393=""),"",DATE($C2393+2018,$D2393,1))</f>
        <v/>
      </c>
    </row>
    <row r="2394">
      <c r="A2394" s="11" t="n"/>
      <c r="B2394" s="12" t="n"/>
      <c r="C2394" s="12" t="n"/>
      <c r="D2394" s="12" t="n"/>
      <c r="E2394" s="13" t="n"/>
      <c r="F2394" s="12" t="n"/>
      <c r="G2394" s="13" t="n"/>
      <c r="H2394" s="12" t="n"/>
      <c r="I2394" s="12" t="n"/>
      <c r="J2394" s="12" t="n"/>
      <c r="K2394" s="12" t="n"/>
      <c r="L2394" s="11" t="n"/>
      <c r="M2394" s="11" t="n"/>
      <c r="N2394" s="11" t="n"/>
      <c r="O2394" s="11" t="n"/>
      <c r="P2394" s="12" t="n"/>
      <c r="Q2394" s="11" t="n"/>
      <c r="R2394" s="12" t="n"/>
      <c r="S2394" s="11" t="n"/>
      <c r="T2394" s="12" t="n"/>
      <c r="U2394" s="12" t="n"/>
      <c r="V2394" s="12" t="n"/>
      <c r="W2394" s="13" t="n"/>
      <c r="X2394" s="14">
        <f>IF($AP2394="",IF($B2394="","",$H2394),IF(INDEX(職員マスタ!$B$6:$B$405,$AP2394)="",$H2394,INDEX(職員マスタ!$B$6:$B$405,$AP2394)))</f>
        <v/>
      </c>
      <c r="Y2394" s="14">
        <f>IF($AP2394="",IF($B2394="","",$R2394),IF(INDEX(職員マスタ!$C$6:$C$405,$AP2394)="",$R2394,INDEX(職員マスタ!$C$6:$C$405,$AP2394)))</f>
        <v/>
      </c>
      <c r="Z2394" s="14">
        <f>IF($AQ2394="","","R"&amp;$C2394&amp;"."&amp;$D2394)</f>
        <v/>
      </c>
      <c r="AA2394" s="15">
        <f>IF(IF($AP2394="",FALSE,INDEX(職員マスタ!$K$6:$K$405,$AP2394)&lt;&gt;""),INDEX(職員マスタ!$K$6:$K$405,$AP2394),IF(N($W2394)&gt;0,$W2394,""))</f>
        <v/>
      </c>
      <c r="AB2394" s="14">
        <f>IF(OR($E2394="",$AA2394=""),"",IF($E2394&gt;=$AA2394,"×",IF($E2394&gt;=$AA2394*設定!$C$5,"△","○")))</f>
        <v/>
      </c>
      <c r="AC2394" s="15">
        <f>IF($AB2394="","",IF($AB2394="×",0,IF($AB2394="○",ROUNDDOWN($E2394*設定!$C$4,0),ROUNDDOWN($E2394*ROUND((9*$AA2394-9*$E2394)/(10*$E2394),4),0))))</f>
        <v/>
      </c>
      <c r="AD2394" s="13" t="n"/>
      <c r="AE2394" s="15">
        <f>IF($B2394="","",IF($AD2394&lt;&gt;"",$AD2394,IF($AC2394="","",IF($AC2394&lt;=設定!$C$3,0,$AC2394))))</f>
        <v/>
      </c>
      <c r="AF2394" s="14">
        <f>IF($B2394="","",IF(AND($AG2394&lt;&gt;"",$AI2394="",$AL2394=""),"保留中",IF($AL2394&lt;&gt;"",IF(N($AE2394)&gt;0,"支給済","不支給"),IF($AE2394="","要確認",IF($AE2394=0,"不支給","未処理")))))</f>
        <v/>
      </c>
      <c r="AG2394" s="12" t="n"/>
      <c r="AH2394" s="11" t="n"/>
      <c r="AI2394" s="11" t="n"/>
      <c r="AJ2394" s="11" t="n"/>
      <c r="AK2394" s="14">
        <f>IF(AND($AF2394="保留中",$AH2394&lt;&gt;""),TODAY()-$AH2394,"")</f>
        <v/>
      </c>
      <c r="AL2394" s="12" t="n"/>
      <c r="AM2394" s="14">
        <f>IF($B2394="","",IF($AQ2394="","対象年月が未入力／","")&amp;IF($B2394="","",IF($AP2394="","職員マスタに未登録の職員番号／",IF($AA2394="","標準報酬月額が未登録／","")&amp;IF(AND($AQ2394&lt;&gt;"",OR(AND(INDEX(職員マスタ!$G$6:$G$405,$AP2394)&lt;&gt;"",INDEX(職員マスタ!$G$6:$G$405,$AP2394)&gt;EOMONTH($AQ2394,0)),AND(INDEX(職員マスタ!$H$6:$H$405,$AP2394)&lt;&gt;"",INDEX(職員マスタ!$H$6:$H$405,$AP2394)&lt;$AQ2394))),"対象月が時短期間外／","")&amp;IF(AND(INDEX(職員マスタ!$K$6:$K$405,$AP2394)&lt;&gt;"",N($W2394)&gt;0,INDEX(職員マスタ!$K$6:$K$405,$AP2394)&lt;&gt;$W2394),"標準報酬月額が申請書と相違（台帳"&amp;TEXT(INDEX(職員マスタ!$K$6:$K$405,$AP2394),"#,##0")&amp;"円／申請書"&amp;TEXT($W2394,"#,##0")&amp;"円）／","")&amp;IF(AND(INDEX(職員マスタ!$F$6:$F$405,$AP2394)&lt;&gt;"",$AQ2394&lt;&gt;"",INDEX(職員マスタ!$F$6:$F$405,$AP2394)&lt;$AQ2394),"対象月に子が2歳到達済／","")&amp;IF(AND($H2394&lt;&gt;"",INDEX(職員マスタ!$B$6:$B$405,$AP2394)&lt;&gt;"",SUBSTITUTE(SUBSTITUTE($H2394," ","")," ","")&lt;&gt;SUBSTITUTE(SUBSTITUTE(INDEX(職員マスタ!$B$6:$B$405,$AP2394)," ","")," ","")),"氏名がマスタと相違／","")&amp;IF(AND($Q2394&lt;&gt;"",INDEX(職員マスタ!$E$6:$E$405,$AP2394)&lt;&gt;"",$Q2394&lt;&gt;INDEX(職員マスタ!$E$6:$E$405,$AP2394)),"子の生年月日がマスタと相違／","")&amp;IF(AND($L2394&lt;&gt;"",INDEX(職員マスタ!$G$6:$G$405,$AP2394)&lt;&gt;"",$L2394&lt;&gt;INDEX(職員マスタ!$G$6:$G$405,$AP2394)),"時短開始日がマスタと相違／","")&amp;IF(AND($M2394&lt;&gt;"",INDEX(職員マスタ!$H$6:$H$405,$AP2394)&lt;&gt;"",$M2394&lt;&gt;INDEX(職員マスタ!$H$6:$H$405,$AP2394)),"時短終了日がマスタと相違／","")))&amp;IF(AND($B2394&lt;&gt;"",$E2394=""),"報酬額が未入力／","")&amp;IF(N($U2394)&gt;0,"申請書に入力エラーが残っています／","")&amp;IF(AND($B2394&lt;&gt;"",$AQ2394&lt;&gt;""),IF(COUNTIFS($B$6:$B$3005,$B2394,$C$6:$C$3005,$C2394,$D$6:$D$3005,$D2394)&gt;1,"同じ月の請求が重複しています／",""),"")&amp;IF(AND(N($E2394)&gt;0,$AB2394&lt;&gt;"",$AB2394&lt;&gt;"×",$AE2394=0,$AD2394=""),"計算額が下限以下のため不支給／",""))</f>
        <v/>
      </c>
      <c r="AN2394" s="12" t="n"/>
      <c r="AO2394" s="14">
        <f>IF($AF2394="保留中",COUNTIF($AF$6:$AF2394,"保留中"),"")</f>
        <v/>
      </c>
      <c r="AP2394" s="14">
        <f>IF($AQ2394="","",IF(SUMPRODUCT(MAX((職員マスタ!$A$6:$A$405=$B2394)*(((職員マスタ!$G$6:$G$405="")+(職員マスタ!$G$6:$G$405&lt;=EOMONTH($AQ2394,0)))&gt;0)*(((職員マスタ!$H$6:$H$405="")+(職員マスタ!$H$6:$H$405&gt;=$AQ2394))&gt;0)*(ROW(職員マスタ!$A$6:$A$405)-5)))&gt;0,SUMPRODUCT(MAX((職員マスタ!$A$6:$A$405=$B2394)*(((職員マスタ!$G$6:$G$405="")+(職員マスタ!$G$6:$G$405&lt;=EOMONTH($AQ2394,0)))&gt;0)*(((職員マスタ!$H$6:$H$405="")+(職員マスタ!$H$6:$H$405&gt;=$AQ2394))&gt;0)*(ROW(職員マスタ!$A$6:$A$405)-5))),IFERROR(MATCH($B2394,職員マスタ!$A$6:$A$405,0),"")))</f>
        <v/>
      </c>
      <c r="AQ2394" s="16">
        <f>IF(OR($B2394="",$C2394="",$D2394=""),"",DATE($C2394+2018,$D2394,1))</f>
        <v/>
      </c>
    </row>
    <row r="2395">
      <c r="A2395" s="11" t="n"/>
      <c r="B2395" s="12" t="n"/>
      <c r="C2395" s="12" t="n"/>
      <c r="D2395" s="12" t="n"/>
      <c r="E2395" s="13" t="n"/>
      <c r="F2395" s="12" t="n"/>
      <c r="G2395" s="13" t="n"/>
      <c r="H2395" s="12" t="n"/>
      <c r="I2395" s="12" t="n"/>
      <c r="J2395" s="12" t="n"/>
      <c r="K2395" s="12" t="n"/>
      <c r="L2395" s="11" t="n"/>
      <c r="M2395" s="11" t="n"/>
      <c r="N2395" s="11" t="n"/>
      <c r="O2395" s="11" t="n"/>
      <c r="P2395" s="12" t="n"/>
      <c r="Q2395" s="11" t="n"/>
      <c r="R2395" s="12" t="n"/>
      <c r="S2395" s="11" t="n"/>
      <c r="T2395" s="12" t="n"/>
      <c r="U2395" s="12" t="n"/>
      <c r="V2395" s="12" t="n"/>
      <c r="W2395" s="13" t="n"/>
      <c r="X2395" s="14">
        <f>IF($AP2395="",IF($B2395="","",$H2395),IF(INDEX(職員マスタ!$B$6:$B$405,$AP2395)="",$H2395,INDEX(職員マスタ!$B$6:$B$405,$AP2395)))</f>
        <v/>
      </c>
      <c r="Y2395" s="14">
        <f>IF($AP2395="",IF($B2395="","",$R2395),IF(INDEX(職員マスタ!$C$6:$C$405,$AP2395)="",$R2395,INDEX(職員マスタ!$C$6:$C$405,$AP2395)))</f>
        <v/>
      </c>
      <c r="Z2395" s="14">
        <f>IF($AQ2395="","","R"&amp;$C2395&amp;"."&amp;$D2395)</f>
        <v/>
      </c>
      <c r="AA2395" s="15">
        <f>IF(IF($AP2395="",FALSE,INDEX(職員マスタ!$K$6:$K$405,$AP2395)&lt;&gt;""),INDEX(職員マスタ!$K$6:$K$405,$AP2395),IF(N($W2395)&gt;0,$W2395,""))</f>
        <v/>
      </c>
      <c r="AB2395" s="14">
        <f>IF(OR($E2395="",$AA2395=""),"",IF($E2395&gt;=$AA2395,"×",IF($E2395&gt;=$AA2395*設定!$C$5,"△","○")))</f>
        <v/>
      </c>
      <c r="AC2395" s="15">
        <f>IF($AB2395="","",IF($AB2395="×",0,IF($AB2395="○",ROUNDDOWN($E2395*設定!$C$4,0),ROUNDDOWN($E2395*ROUND((9*$AA2395-9*$E2395)/(10*$E2395),4),0))))</f>
        <v/>
      </c>
      <c r="AD2395" s="13" t="n"/>
      <c r="AE2395" s="15">
        <f>IF($B2395="","",IF($AD2395&lt;&gt;"",$AD2395,IF($AC2395="","",IF($AC2395&lt;=設定!$C$3,0,$AC2395))))</f>
        <v/>
      </c>
      <c r="AF2395" s="14">
        <f>IF($B2395="","",IF(AND($AG2395&lt;&gt;"",$AI2395="",$AL2395=""),"保留中",IF($AL2395&lt;&gt;"",IF(N($AE2395)&gt;0,"支給済","不支給"),IF($AE2395="","要確認",IF($AE2395=0,"不支給","未処理")))))</f>
        <v/>
      </c>
      <c r="AG2395" s="12" t="n"/>
      <c r="AH2395" s="11" t="n"/>
      <c r="AI2395" s="11" t="n"/>
      <c r="AJ2395" s="11" t="n"/>
      <c r="AK2395" s="14">
        <f>IF(AND($AF2395="保留中",$AH2395&lt;&gt;""),TODAY()-$AH2395,"")</f>
        <v/>
      </c>
      <c r="AL2395" s="12" t="n"/>
      <c r="AM2395" s="14">
        <f>IF($B2395="","",IF($AQ2395="","対象年月が未入力／","")&amp;IF($B2395="","",IF($AP2395="","職員マスタに未登録の職員番号／",IF($AA2395="","標準報酬月額が未登録／","")&amp;IF(AND($AQ2395&lt;&gt;"",OR(AND(INDEX(職員マスタ!$G$6:$G$405,$AP2395)&lt;&gt;"",INDEX(職員マスタ!$G$6:$G$405,$AP2395)&gt;EOMONTH($AQ2395,0)),AND(INDEX(職員マスタ!$H$6:$H$405,$AP2395)&lt;&gt;"",INDEX(職員マスタ!$H$6:$H$405,$AP2395)&lt;$AQ2395))),"対象月が時短期間外／","")&amp;IF(AND(INDEX(職員マスタ!$K$6:$K$405,$AP2395)&lt;&gt;"",N($W2395)&gt;0,INDEX(職員マスタ!$K$6:$K$405,$AP2395)&lt;&gt;$W2395),"標準報酬月額が申請書と相違（台帳"&amp;TEXT(INDEX(職員マスタ!$K$6:$K$405,$AP2395),"#,##0")&amp;"円／申請書"&amp;TEXT($W2395,"#,##0")&amp;"円）／","")&amp;IF(AND(INDEX(職員マスタ!$F$6:$F$405,$AP2395)&lt;&gt;"",$AQ2395&lt;&gt;"",INDEX(職員マスタ!$F$6:$F$405,$AP2395)&lt;$AQ2395),"対象月に子が2歳到達済／","")&amp;IF(AND($H2395&lt;&gt;"",INDEX(職員マスタ!$B$6:$B$405,$AP2395)&lt;&gt;"",SUBSTITUTE(SUBSTITUTE($H2395," ","")," ","")&lt;&gt;SUBSTITUTE(SUBSTITUTE(INDEX(職員マスタ!$B$6:$B$405,$AP2395)," ","")," ","")),"氏名がマスタと相違／","")&amp;IF(AND($Q2395&lt;&gt;"",INDEX(職員マスタ!$E$6:$E$405,$AP2395)&lt;&gt;"",$Q2395&lt;&gt;INDEX(職員マスタ!$E$6:$E$405,$AP2395)),"子の生年月日がマスタと相違／","")&amp;IF(AND($L2395&lt;&gt;"",INDEX(職員マスタ!$G$6:$G$405,$AP2395)&lt;&gt;"",$L2395&lt;&gt;INDEX(職員マスタ!$G$6:$G$405,$AP2395)),"時短開始日がマスタと相違／","")&amp;IF(AND($M2395&lt;&gt;"",INDEX(職員マスタ!$H$6:$H$405,$AP2395)&lt;&gt;"",$M2395&lt;&gt;INDEX(職員マスタ!$H$6:$H$405,$AP2395)),"時短終了日がマスタと相違／","")))&amp;IF(AND($B2395&lt;&gt;"",$E2395=""),"報酬額が未入力／","")&amp;IF(N($U2395)&gt;0,"申請書に入力エラーが残っています／","")&amp;IF(AND($B2395&lt;&gt;"",$AQ2395&lt;&gt;""),IF(COUNTIFS($B$6:$B$3005,$B2395,$C$6:$C$3005,$C2395,$D$6:$D$3005,$D2395)&gt;1,"同じ月の請求が重複しています／",""),"")&amp;IF(AND(N($E2395)&gt;0,$AB2395&lt;&gt;"",$AB2395&lt;&gt;"×",$AE2395=0,$AD2395=""),"計算額が下限以下のため不支給／",""))</f>
        <v/>
      </c>
      <c r="AN2395" s="12" t="n"/>
      <c r="AO2395" s="14">
        <f>IF($AF2395="保留中",COUNTIF($AF$6:$AF2395,"保留中"),"")</f>
        <v/>
      </c>
      <c r="AP2395" s="14">
        <f>IF($AQ2395="","",IF(SUMPRODUCT(MAX((職員マスタ!$A$6:$A$405=$B2395)*(((職員マスタ!$G$6:$G$405="")+(職員マスタ!$G$6:$G$405&lt;=EOMONTH($AQ2395,0)))&gt;0)*(((職員マスタ!$H$6:$H$405="")+(職員マスタ!$H$6:$H$405&gt;=$AQ2395))&gt;0)*(ROW(職員マスタ!$A$6:$A$405)-5)))&gt;0,SUMPRODUCT(MAX((職員マスタ!$A$6:$A$405=$B2395)*(((職員マスタ!$G$6:$G$405="")+(職員マスタ!$G$6:$G$405&lt;=EOMONTH($AQ2395,0)))&gt;0)*(((職員マスタ!$H$6:$H$405="")+(職員マスタ!$H$6:$H$405&gt;=$AQ2395))&gt;0)*(ROW(職員マスタ!$A$6:$A$405)-5))),IFERROR(MATCH($B2395,職員マスタ!$A$6:$A$405,0),"")))</f>
        <v/>
      </c>
      <c r="AQ2395" s="16">
        <f>IF(OR($B2395="",$C2395="",$D2395=""),"",DATE($C2395+2018,$D2395,1))</f>
        <v/>
      </c>
    </row>
    <row r="2396">
      <c r="A2396" s="11" t="n"/>
      <c r="B2396" s="12" t="n"/>
      <c r="C2396" s="12" t="n"/>
      <c r="D2396" s="12" t="n"/>
      <c r="E2396" s="13" t="n"/>
      <c r="F2396" s="12" t="n"/>
      <c r="G2396" s="13" t="n"/>
      <c r="H2396" s="12" t="n"/>
      <c r="I2396" s="12" t="n"/>
      <c r="J2396" s="12" t="n"/>
      <c r="K2396" s="12" t="n"/>
      <c r="L2396" s="11" t="n"/>
      <c r="M2396" s="11" t="n"/>
      <c r="N2396" s="11" t="n"/>
      <c r="O2396" s="11" t="n"/>
      <c r="P2396" s="12" t="n"/>
      <c r="Q2396" s="11" t="n"/>
      <c r="R2396" s="12" t="n"/>
      <c r="S2396" s="11" t="n"/>
      <c r="T2396" s="12" t="n"/>
      <c r="U2396" s="12" t="n"/>
      <c r="V2396" s="12" t="n"/>
      <c r="W2396" s="13" t="n"/>
      <c r="X2396" s="14">
        <f>IF($AP2396="",IF($B2396="","",$H2396),IF(INDEX(職員マスタ!$B$6:$B$405,$AP2396)="",$H2396,INDEX(職員マスタ!$B$6:$B$405,$AP2396)))</f>
        <v/>
      </c>
      <c r="Y2396" s="14">
        <f>IF($AP2396="",IF($B2396="","",$R2396),IF(INDEX(職員マスタ!$C$6:$C$405,$AP2396)="",$R2396,INDEX(職員マスタ!$C$6:$C$405,$AP2396)))</f>
        <v/>
      </c>
      <c r="Z2396" s="14">
        <f>IF($AQ2396="","","R"&amp;$C2396&amp;"."&amp;$D2396)</f>
        <v/>
      </c>
      <c r="AA2396" s="15">
        <f>IF(IF($AP2396="",FALSE,INDEX(職員マスタ!$K$6:$K$405,$AP2396)&lt;&gt;""),INDEX(職員マスタ!$K$6:$K$405,$AP2396),IF(N($W2396)&gt;0,$W2396,""))</f>
        <v/>
      </c>
      <c r="AB2396" s="14">
        <f>IF(OR($E2396="",$AA2396=""),"",IF($E2396&gt;=$AA2396,"×",IF($E2396&gt;=$AA2396*設定!$C$5,"△","○")))</f>
        <v/>
      </c>
      <c r="AC2396" s="15">
        <f>IF($AB2396="","",IF($AB2396="×",0,IF($AB2396="○",ROUNDDOWN($E2396*設定!$C$4,0),ROUNDDOWN($E2396*ROUND((9*$AA2396-9*$E2396)/(10*$E2396),4),0))))</f>
        <v/>
      </c>
      <c r="AD2396" s="13" t="n"/>
      <c r="AE2396" s="15">
        <f>IF($B2396="","",IF($AD2396&lt;&gt;"",$AD2396,IF($AC2396="","",IF($AC2396&lt;=設定!$C$3,0,$AC2396))))</f>
        <v/>
      </c>
      <c r="AF2396" s="14">
        <f>IF($B2396="","",IF(AND($AG2396&lt;&gt;"",$AI2396="",$AL2396=""),"保留中",IF($AL2396&lt;&gt;"",IF(N($AE2396)&gt;0,"支給済","不支給"),IF($AE2396="","要確認",IF($AE2396=0,"不支給","未処理")))))</f>
        <v/>
      </c>
      <c r="AG2396" s="12" t="n"/>
      <c r="AH2396" s="11" t="n"/>
      <c r="AI2396" s="11" t="n"/>
      <c r="AJ2396" s="11" t="n"/>
      <c r="AK2396" s="14">
        <f>IF(AND($AF2396="保留中",$AH2396&lt;&gt;""),TODAY()-$AH2396,"")</f>
        <v/>
      </c>
      <c r="AL2396" s="12" t="n"/>
      <c r="AM2396" s="14">
        <f>IF($B2396="","",IF($AQ2396="","対象年月が未入力／","")&amp;IF($B2396="","",IF($AP2396="","職員マスタに未登録の職員番号／",IF($AA2396="","標準報酬月額が未登録／","")&amp;IF(AND($AQ2396&lt;&gt;"",OR(AND(INDEX(職員マスタ!$G$6:$G$405,$AP2396)&lt;&gt;"",INDEX(職員マスタ!$G$6:$G$405,$AP2396)&gt;EOMONTH($AQ2396,0)),AND(INDEX(職員マスタ!$H$6:$H$405,$AP2396)&lt;&gt;"",INDEX(職員マスタ!$H$6:$H$405,$AP2396)&lt;$AQ2396))),"対象月が時短期間外／","")&amp;IF(AND(INDEX(職員マスタ!$K$6:$K$405,$AP2396)&lt;&gt;"",N($W2396)&gt;0,INDEX(職員マスタ!$K$6:$K$405,$AP2396)&lt;&gt;$W2396),"標準報酬月額が申請書と相違（台帳"&amp;TEXT(INDEX(職員マスタ!$K$6:$K$405,$AP2396),"#,##0")&amp;"円／申請書"&amp;TEXT($W2396,"#,##0")&amp;"円）／","")&amp;IF(AND(INDEX(職員マスタ!$F$6:$F$405,$AP2396)&lt;&gt;"",$AQ2396&lt;&gt;"",INDEX(職員マスタ!$F$6:$F$405,$AP2396)&lt;$AQ2396),"対象月に子が2歳到達済／","")&amp;IF(AND($H2396&lt;&gt;"",INDEX(職員マスタ!$B$6:$B$405,$AP2396)&lt;&gt;"",SUBSTITUTE(SUBSTITUTE($H2396," ","")," ","")&lt;&gt;SUBSTITUTE(SUBSTITUTE(INDEX(職員マスタ!$B$6:$B$405,$AP2396)," ","")," ","")),"氏名がマスタと相違／","")&amp;IF(AND($Q2396&lt;&gt;"",INDEX(職員マスタ!$E$6:$E$405,$AP2396)&lt;&gt;"",$Q2396&lt;&gt;INDEX(職員マスタ!$E$6:$E$405,$AP2396)),"子の生年月日がマスタと相違／","")&amp;IF(AND($L2396&lt;&gt;"",INDEX(職員マスタ!$G$6:$G$405,$AP2396)&lt;&gt;"",$L2396&lt;&gt;INDEX(職員マスタ!$G$6:$G$405,$AP2396)),"時短開始日がマスタと相違／","")&amp;IF(AND($M2396&lt;&gt;"",INDEX(職員マスタ!$H$6:$H$405,$AP2396)&lt;&gt;"",$M2396&lt;&gt;INDEX(職員マスタ!$H$6:$H$405,$AP2396)),"時短終了日がマスタと相違／","")))&amp;IF(AND($B2396&lt;&gt;"",$E2396=""),"報酬額が未入力／","")&amp;IF(N($U2396)&gt;0,"申請書に入力エラーが残っています／","")&amp;IF(AND($B2396&lt;&gt;"",$AQ2396&lt;&gt;""),IF(COUNTIFS($B$6:$B$3005,$B2396,$C$6:$C$3005,$C2396,$D$6:$D$3005,$D2396)&gt;1,"同じ月の請求が重複しています／",""),"")&amp;IF(AND(N($E2396)&gt;0,$AB2396&lt;&gt;"",$AB2396&lt;&gt;"×",$AE2396=0,$AD2396=""),"計算額が下限以下のため不支給／",""))</f>
        <v/>
      </c>
      <c r="AN2396" s="12" t="n"/>
      <c r="AO2396" s="14">
        <f>IF($AF2396="保留中",COUNTIF($AF$6:$AF2396,"保留中"),"")</f>
        <v/>
      </c>
      <c r="AP2396" s="14">
        <f>IF($AQ2396="","",IF(SUMPRODUCT(MAX((職員マスタ!$A$6:$A$405=$B2396)*(((職員マスタ!$G$6:$G$405="")+(職員マスタ!$G$6:$G$405&lt;=EOMONTH($AQ2396,0)))&gt;0)*(((職員マスタ!$H$6:$H$405="")+(職員マスタ!$H$6:$H$405&gt;=$AQ2396))&gt;0)*(ROW(職員マスタ!$A$6:$A$405)-5)))&gt;0,SUMPRODUCT(MAX((職員マスタ!$A$6:$A$405=$B2396)*(((職員マスタ!$G$6:$G$405="")+(職員マスタ!$G$6:$G$405&lt;=EOMONTH($AQ2396,0)))&gt;0)*(((職員マスタ!$H$6:$H$405="")+(職員マスタ!$H$6:$H$405&gt;=$AQ2396))&gt;0)*(ROW(職員マスタ!$A$6:$A$405)-5))),IFERROR(MATCH($B2396,職員マスタ!$A$6:$A$405,0),"")))</f>
        <v/>
      </c>
      <c r="AQ2396" s="16">
        <f>IF(OR($B2396="",$C2396="",$D2396=""),"",DATE($C2396+2018,$D2396,1))</f>
        <v/>
      </c>
    </row>
    <row r="2397">
      <c r="A2397" s="11" t="n"/>
      <c r="B2397" s="12" t="n"/>
      <c r="C2397" s="12" t="n"/>
      <c r="D2397" s="12" t="n"/>
      <c r="E2397" s="13" t="n"/>
      <c r="F2397" s="12" t="n"/>
      <c r="G2397" s="13" t="n"/>
      <c r="H2397" s="12" t="n"/>
      <c r="I2397" s="12" t="n"/>
      <c r="J2397" s="12" t="n"/>
      <c r="K2397" s="12" t="n"/>
      <c r="L2397" s="11" t="n"/>
      <c r="M2397" s="11" t="n"/>
      <c r="N2397" s="11" t="n"/>
      <c r="O2397" s="11" t="n"/>
      <c r="P2397" s="12" t="n"/>
      <c r="Q2397" s="11" t="n"/>
      <c r="R2397" s="12" t="n"/>
      <c r="S2397" s="11" t="n"/>
      <c r="T2397" s="12" t="n"/>
      <c r="U2397" s="12" t="n"/>
      <c r="V2397" s="12" t="n"/>
      <c r="W2397" s="13" t="n"/>
      <c r="X2397" s="14">
        <f>IF($AP2397="",IF($B2397="","",$H2397),IF(INDEX(職員マスタ!$B$6:$B$405,$AP2397)="",$H2397,INDEX(職員マスタ!$B$6:$B$405,$AP2397)))</f>
        <v/>
      </c>
      <c r="Y2397" s="14">
        <f>IF($AP2397="",IF($B2397="","",$R2397),IF(INDEX(職員マスタ!$C$6:$C$405,$AP2397)="",$R2397,INDEX(職員マスタ!$C$6:$C$405,$AP2397)))</f>
        <v/>
      </c>
      <c r="Z2397" s="14">
        <f>IF($AQ2397="","","R"&amp;$C2397&amp;"."&amp;$D2397)</f>
        <v/>
      </c>
      <c r="AA2397" s="15">
        <f>IF(IF($AP2397="",FALSE,INDEX(職員マスタ!$K$6:$K$405,$AP2397)&lt;&gt;""),INDEX(職員マスタ!$K$6:$K$405,$AP2397),IF(N($W2397)&gt;0,$W2397,""))</f>
        <v/>
      </c>
      <c r="AB2397" s="14">
        <f>IF(OR($E2397="",$AA2397=""),"",IF($E2397&gt;=$AA2397,"×",IF($E2397&gt;=$AA2397*設定!$C$5,"△","○")))</f>
        <v/>
      </c>
      <c r="AC2397" s="15">
        <f>IF($AB2397="","",IF($AB2397="×",0,IF($AB2397="○",ROUNDDOWN($E2397*設定!$C$4,0),ROUNDDOWN($E2397*ROUND((9*$AA2397-9*$E2397)/(10*$E2397),4),0))))</f>
        <v/>
      </c>
      <c r="AD2397" s="13" t="n"/>
      <c r="AE2397" s="15">
        <f>IF($B2397="","",IF($AD2397&lt;&gt;"",$AD2397,IF($AC2397="","",IF($AC2397&lt;=設定!$C$3,0,$AC2397))))</f>
        <v/>
      </c>
      <c r="AF2397" s="14">
        <f>IF($B2397="","",IF(AND($AG2397&lt;&gt;"",$AI2397="",$AL2397=""),"保留中",IF($AL2397&lt;&gt;"",IF(N($AE2397)&gt;0,"支給済","不支給"),IF($AE2397="","要確認",IF($AE2397=0,"不支給","未処理")))))</f>
        <v/>
      </c>
      <c r="AG2397" s="12" t="n"/>
      <c r="AH2397" s="11" t="n"/>
      <c r="AI2397" s="11" t="n"/>
      <c r="AJ2397" s="11" t="n"/>
      <c r="AK2397" s="14">
        <f>IF(AND($AF2397="保留中",$AH2397&lt;&gt;""),TODAY()-$AH2397,"")</f>
        <v/>
      </c>
      <c r="AL2397" s="12" t="n"/>
      <c r="AM2397" s="14">
        <f>IF($B2397="","",IF($AQ2397="","対象年月が未入力／","")&amp;IF($B2397="","",IF($AP2397="","職員マスタに未登録の職員番号／",IF($AA2397="","標準報酬月額が未登録／","")&amp;IF(AND($AQ2397&lt;&gt;"",OR(AND(INDEX(職員マスタ!$G$6:$G$405,$AP2397)&lt;&gt;"",INDEX(職員マスタ!$G$6:$G$405,$AP2397)&gt;EOMONTH($AQ2397,0)),AND(INDEX(職員マスタ!$H$6:$H$405,$AP2397)&lt;&gt;"",INDEX(職員マスタ!$H$6:$H$405,$AP2397)&lt;$AQ2397))),"対象月が時短期間外／","")&amp;IF(AND(INDEX(職員マスタ!$K$6:$K$405,$AP2397)&lt;&gt;"",N($W2397)&gt;0,INDEX(職員マスタ!$K$6:$K$405,$AP2397)&lt;&gt;$W2397),"標準報酬月額が申請書と相違（台帳"&amp;TEXT(INDEX(職員マスタ!$K$6:$K$405,$AP2397),"#,##0")&amp;"円／申請書"&amp;TEXT($W2397,"#,##0")&amp;"円）／","")&amp;IF(AND(INDEX(職員マスタ!$F$6:$F$405,$AP2397)&lt;&gt;"",$AQ2397&lt;&gt;"",INDEX(職員マスタ!$F$6:$F$405,$AP2397)&lt;$AQ2397),"対象月に子が2歳到達済／","")&amp;IF(AND($H2397&lt;&gt;"",INDEX(職員マスタ!$B$6:$B$405,$AP2397)&lt;&gt;"",SUBSTITUTE(SUBSTITUTE($H2397," ","")," ","")&lt;&gt;SUBSTITUTE(SUBSTITUTE(INDEX(職員マスタ!$B$6:$B$405,$AP2397)," ","")," ","")),"氏名がマスタと相違／","")&amp;IF(AND($Q2397&lt;&gt;"",INDEX(職員マスタ!$E$6:$E$405,$AP2397)&lt;&gt;"",$Q2397&lt;&gt;INDEX(職員マスタ!$E$6:$E$405,$AP2397)),"子の生年月日がマスタと相違／","")&amp;IF(AND($L2397&lt;&gt;"",INDEX(職員マスタ!$G$6:$G$405,$AP2397)&lt;&gt;"",$L2397&lt;&gt;INDEX(職員マスタ!$G$6:$G$405,$AP2397)),"時短開始日がマスタと相違／","")&amp;IF(AND($M2397&lt;&gt;"",INDEX(職員マスタ!$H$6:$H$405,$AP2397)&lt;&gt;"",$M2397&lt;&gt;INDEX(職員マスタ!$H$6:$H$405,$AP2397)),"時短終了日がマスタと相違／","")))&amp;IF(AND($B2397&lt;&gt;"",$E2397=""),"報酬額が未入力／","")&amp;IF(N($U2397)&gt;0,"申請書に入力エラーが残っています／","")&amp;IF(AND($B2397&lt;&gt;"",$AQ2397&lt;&gt;""),IF(COUNTIFS($B$6:$B$3005,$B2397,$C$6:$C$3005,$C2397,$D$6:$D$3005,$D2397)&gt;1,"同じ月の請求が重複しています／",""),"")&amp;IF(AND(N($E2397)&gt;0,$AB2397&lt;&gt;"",$AB2397&lt;&gt;"×",$AE2397=0,$AD2397=""),"計算額が下限以下のため不支給／",""))</f>
        <v/>
      </c>
      <c r="AN2397" s="12" t="n"/>
      <c r="AO2397" s="14">
        <f>IF($AF2397="保留中",COUNTIF($AF$6:$AF2397,"保留中"),"")</f>
        <v/>
      </c>
      <c r="AP2397" s="14">
        <f>IF($AQ2397="","",IF(SUMPRODUCT(MAX((職員マスタ!$A$6:$A$405=$B2397)*(((職員マスタ!$G$6:$G$405="")+(職員マスタ!$G$6:$G$405&lt;=EOMONTH($AQ2397,0)))&gt;0)*(((職員マスタ!$H$6:$H$405="")+(職員マスタ!$H$6:$H$405&gt;=$AQ2397))&gt;0)*(ROW(職員マスタ!$A$6:$A$405)-5)))&gt;0,SUMPRODUCT(MAX((職員マスタ!$A$6:$A$405=$B2397)*(((職員マスタ!$G$6:$G$405="")+(職員マスタ!$G$6:$G$405&lt;=EOMONTH($AQ2397,0)))&gt;0)*(((職員マスタ!$H$6:$H$405="")+(職員マスタ!$H$6:$H$405&gt;=$AQ2397))&gt;0)*(ROW(職員マスタ!$A$6:$A$405)-5))),IFERROR(MATCH($B2397,職員マスタ!$A$6:$A$405,0),"")))</f>
        <v/>
      </c>
      <c r="AQ2397" s="16">
        <f>IF(OR($B2397="",$C2397="",$D2397=""),"",DATE($C2397+2018,$D2397,1))</f>
        <v/>
      </c>
    </row>
    <row r="2398">
      <c r="A2398" s="11" t="n"/>
      <c r="B2398" s="12" t="n"/>
      <c r="C2398" s="12" t="n"/>
      <c r="D2398" s="12" t="n"/>
      <c r="E2398" s="13" t="n"/>
      <c r="F2398" s="12" t="n"/>
      <c r="G2398" s="13" t="n"/>
      <c r="H2398" s="12" t="n"/>
      <c r="I2398" s="12" t="n"/>
      <c r="J2398" s="12" t="n"/>
      <c r="K2398" s="12" t="n"/>
      <c r="L2398" s="11" t="n"/>
      <c r="M2398" s="11" t="n"/>
      <c r="N2398" s="11" t="n"/>
      <c r="O2398" s="11" t="n"/>
      <c r="P2398" s="12" t="n"/>
      <c r="Q2398" s="11" t="n"/>
      <c r="R2398" s="12" t="n"/>
      <c r="S2398" s="11" t="n"/>
      <c r="T2398" s="12" t="n"/>
      <c r="U2398" s="12" t="n"/>
      <c r="V2398" s="12" t="n"/>
      <c r="W2398" s="13" t="n"/>
      <c r="X2398" s="14">
        <f>IF($AP2398="",IF($B2398="","",$H2398),IF(INDEX(職員マスタ!$B$6:$B$405,$AP2398)="",$H2398,INDEX(職員マスタ!$B$6:$B$405,$AP2398)))</f>
        <v/>
      </c>
      <c r="Y2398" s="14">
        <f>IF($AP2398="",IF($B2398="","",$R2398),IF(INDEX(職員マスタ!$C$6:$C$405,$AP2398)="",$R2398,INDEX(職員マスタ!$C$6:$C$405,$AP2398)))</f>
        <v/>
      </c>
      <c r="Z2398" s="14">
        <f>IF($AQ2398="","","R"&amp;$C2398&amp;"."&amp;$D2398)</f>
        <v/>
      </c>
      <c r="AA2398" s="15">
        <f>IF(IF($AP2398="",FALSE,INDEX(職員マスタ!$K$6:$K$405,$AP2398)&lt;&gt;""),INDEX(職員マスタ!$K$6:$K$405,$AP2398),IF(N($W2398)&gt;0,$W2398,""))</f>
        <v/>
      </c>
      <c r="AB2398" s="14">
        <f>IF(OR($E2398="",$AA2398=""),"",IF($E2398&gt;=$AA2398,"×",IF($E2398&gt;=$AA2398*設定!$C$5,"△","○")))</f>
        <v/>
      </c>
      <c r="AC2398" s="15">
        <f>IF($AB2398="","",IF($AB2398="×",0,IF($AB2398="○",ROUNDDOWN($E2398*設定!$C$4,0),ROUNDDOWN($E2398*ROUND((9*$AA2398-9*$E2398)/(10*$E2398),4),0))))</f>
        <v/>
      </c>
      <c r="AD2398" s="13" t="n"/>
      <c r="AE2398" s="15">
        <f>IF($B2398="","",IF($AD2398&lt;&gt;"",$AD2398,IF($AC2398="","",IF($AC2398&lt;=設定!$C$3,0,$AC2398))))</f>
        <v/>
      </c>
      <c r="AF2398" s="14">
        <f>IF($B2398="","",IF(AND($AG2398&lt;&gt;"",$AI2398="",$AL2398=""),"保留中",IF($AL2398&lt;&gt;"",IF(N($AE2398)&gt;0,"支給済","不支給"),IF($AE2398="","要確認",IF($AE2398=0,"不支給","未処理")))))</f>
        <v/>
      </c>
      <c r="AG2398" s="12" t="n"/>
      <c r="AH2398" s="11" t="n"/>
      <c r="AI2398" s="11" t="n"/>
      <c r="AJ2398" s="11" t="n"/>
      <c r="AK2398" s="14">
        <f>IF(AND($AF2398="保留中",$AH2398&lt;&gt;""),TODAY()-$AH2398,"")</f>
        <v/>
      </c>
      <c r="AL2398" s="12" t="n"/>
      <c r="AM2398" s="14">
        <f>IF($B2398="","",IF($AQ2398="","対象年月が未入力／","")&amp;IF($B2398="","",IF($AP2398="","職員マスタに未登録の職員番号／",IF($AA2398="","標準報酬月額が未登録／","")&amp;IF(AND($AQ2398&lt;&gt;"",OR(AND(INDEX(職員マスタ!$G$6:$G$405,$AP2398)&lt;&gt;"",INDEX(職員マスタ!$G$6:$G$405,$AP2398)&gt;EOMONTH($AQ2398,0)),AND(INDEX(職員マスタ!$H$6:$H$405,$AP2398)&lt;&gt;"",INDEX(職員マスタ!$H$6:$H$405,$AP2398)&lt;$AQ2398))),"対象月が時短期間外／","")&amp;IF(AND(INDEX(職員マスタ!$K$6:$K$405,$AP2398)&lt;&gt;"",N($W2398)&gt;0,INDEX(職員マスタ!$K$6:$K$405,$AP2398)&lt;&gt;$W2398),"標準報酬月額が申請書と相違（台帳"&amp;TEXT(INDEX(職員マスタ!$K$6:$K$405,$AP2398),"#,##0")&amp;"円／申請書"&amp;TEXT($W2398,"#,##0")&amp;"円）／","")&amp;IF(AND(INDEX(職員マスタ!$F$6:$F$405,$AP2398)&lt;&gt;"",$AQ2398&lt;&gt;"",INDEX(職員マスタ!$F$6:$F$405,$AP2398)&lt;$AQ2398),"対象月に子が2歳到達済／","")&amp;IF(AND($H2398&lt;&gt;"",INDEX(職員マスタ!$B$6:$B$405,$AP2398)&lt;&gt;"",SUBSTITUTE(SUBSTITUTE($H2398," ","")," ","")&lt;&gt;SUBSTITUTE(SUBSTITUTE(INDEX(職員マスタ!$B$6:$B$405,$AP2398)," ","")," ","")),"氏名がマスタと相違／","")&amp;IF(AND($Q2398&lt;&gt;"",INDEX(職員マスタ!$E$6:$E$405,$AP2398)&lt;&gt;"",$Q2398&lt;&gt;INDEX(職員マスタ!$E$6:$E$405,$AP2398)),"子の生年月日がマスタと相違／","")&amp;IF(AND($L2398&lt;&gt;"",INDEX(職員マスタ!$G$6:$G$405,$AP2398)&lt;&gt;"",$L2398&lt;&gt;INDEX(職員マスタ!$G$6:$G$405,$AP2398)),"時短開始日がマスタと相違／","")&amp;IF(AND($M2398&lt;&gt;"",INDEX(職員マスタ!$H$6:$H$405,$AP2398)&lt;&gt;"",$M2398&lt;&gt;INDEX(職員マスタ!$H$6:$H$405,$AP2398)),"時短終了日がマスタと相違／","")))&amp;IF(AND($B2398&lt;&gt;"",$E2398=""),"報酬額が未入力／","")&amp;IF(N($U2398)&gt;0,"申請書に入力エラーが残っています／","")&amp;IF(AND($B2398&lt;&gt;"",$AQ2398&lt;&gt;""),IF(COUNTIFS($B$6:$B$3005,$B2398,$C$6:$C$3005,$C2398,$D$6:$D$3005,$D2398)&gt;1,"同じ月の請求が重複しています／",""),"")&amp;IF(AND(N($E2398)&gt;0,$AB2398&lt;&gt;"",$AB2398&lt;&gt;"×",$AE2398=0,$AD2398=""),"計算額が下限以下のため不支給／",""))</f>
        <v/>
      </c>
      <c r="AN2398" s="12" t="n"/>
      <c r="AO2398" s="14">
        <f>IF($AF2398="保留中",COUNTIF($AF$6:$AF2398,"保留中"),"")</f>
        <v/>
      </c>
      <c r="AP2398" s="14">
        <f>IF($AQ2398="","",IF(SUMPRODUCT(MAX((職員マスタ!$A$6:$A$405=$B2398)*(((職員マスタ!$G$6:$G$405="")+(職員マスタ!$G$6:$G$405&lt;=EOMONTH($AQ2398,0)))&gt;0)*(((職員マスタ!$H$6:$H$405="")+(職員マスタ!$H$6:$H$405&gt;=$AQ2398))&gt;0)*(ROW(職員マスタ!$A$6:$A$405)-5)))&gt;0,SUMPRODUCT(MAX((職員マスタ!$A$6:$A$405=$B2398)*(((職員マスタ!$G$6:$G$405="")+(職員マスタ!$G$6:$G$405&lt;=EOMONTH($AQ2398,0)))&gt;0)*(((職員マスタ!$H$6:$H$405="")+(職員マスタ!$H$6:$H$405&gt;=$AQ2398))&gt;0)*(ROW(職員マスタ!$A$6:$A$405)-5))),IFERROR(MATCH($B2398,職員マスタ!$A$6:$A$405,0),"")))</f>
        <v/>
      </c>
      <c r="AQ2398" s="16">
        <f>IF(OR($B2398="",$C2398="",$D2398=""),"",DATE($C2398+2018,$D2398,1))</f>
        <v/>
      </c>
    </row>
    <row r="2399">
      <c r="A2399" s="11" t="n"/>
      <c r="B2399" s="12" t="n"/>
      <c r="C2399" s="12" t="n"/>
      <c r="D2399" s="12" t="n"/>
      <c r="E2399" s="13" t="n"/>
      <c r="F2399" s="12" t="n"/>
      <c r="G2399" s="13" t="n"/>
      <c r="H2399" s="12" t="n"/>
      <c r="I2399" s="12" t="n"/>
      <c r="J2399" s="12" t="n"/>
      <c r="K2399" s="12" t="n"/>
      <c r="L2399" s="11" t="n"/>
      <c r="M2399" s="11" t="n"/>
      <c r="N2399" s="11" t="n"/>
      <c r="O2399" s="11" t="n"/>
      <c r="P2399" s="12" t="n"/>
      <c r="Q2399" s="11" t="n"/>
      <c r="R2399" s="12" t="n"/>
      <c r="S2399" s="11" t="n"/>
      <c r="T2399" s="12" t="n"/>
      <c r="U2399" s="12" t="n"/>
      <c r="V2399" s="12" t="n"/>
      <c r="W2399" s="13" t="n"/>
      <c r="X2399" s="14">
        <f>IF($AP2399="",IF($B2399="","",$H2399),IF(INDEX(職員マスタ!$B$6:$B$405,$AP2399)="",$H2399,INDEX(職員マスタ!$B$6:$B$405,$AP2399)))</f>
        <v/>
      </c>
      <c r="Y2399" s="14">
        <f>IF($AP2399="",IF($B2399="","",$R2399),IF(INDEX(職員マスタ!$C$6:$C$405,$AP2399)="",$R2399,INDEX(職員マスタ!$C$6:$C$405,$AP2399)))</f>
        <v/>
      </c>
      <c r="Z2399" s="14">
        <f>IF($AQ2399="","","R"&amp;$C2399&amp;"."&amp;$D2399)</f>
        <v/>
      </c>
      <c r="AA2399" s="15">
        <f>IF(IF($AP2399="",FALSE,INDEX(職員マスタ!$K$6:$K$405,$AP2399)&lt;&gt;""),INDEX(職員マスタ!$K$6:$K$405,$AP2399),IF(N($W2399)&gt;0,$W2399,""))</f>
        <v/>
      </c>
      <c r="AB2399" s="14">
        <f>IF(OR($E2399="",$AA2399=""),"",IF($E2399&gt;=$AA2399,"×",IF($E2399&gt;=$AA2399*設定!$C$5,"△","○")))</f>
        <v/>
      </c>
      <c r="AC2399" s="15">
        <f>IF($AB2399="","",IF($AB2399="×",0,IF($AB2399="○",ROUNDDOWN($E2399*設定!$C$4,0),ROUNDDOWN($E2399*ROUND((9*$AA2399-9*$E2399)/(10*$E2399),4),0))))</f>
        <v/>
      </c>
      <c r="AD2399" s="13" t="n"/>
      <c r="AE2399" s="15">
        <f>IF($B2399="","",IF($AD2399&lt;&gt;"",$AD2399,IF($AC2399="","",IF($AC2399&lt;=設定!$C$3,0,$AC2399))))</f>
        <v/>
      </c>
      <c r="AF2399" s="14">
        <f>IF($B2399="","",IF(AND($AG2399&lt;&gt;"",$AI2399="",$AL2399=""),"保留中",IF($AL2399&lt;&gt;"",IF(N($AE2399)&gt;0,"支給済","不支給"),IF($AE2399="","要確認",IF($AE2399=0,"不支給","未処理")))))</f>
        <v/>
      </c>
      <c r="AG2399" s="12" t="n"/>
      <c r="AH2399" s="11" t="n"/>
      <c r="AI2399" s="11" t="n"/>
      <c r="AJ2399" s="11" t="n"/>
      <c r="AK2399" s="14">
        <f>IF(AND($AF2399="保留中",$AH2399&lt;&gt;""),TODAY()-$AH2399,"")</f>
        <v/>
      </c>
      <c r="AL2399" s="12" t="n"/>
      <c r="AM2399" s="14">
        <f>IF($B2399="","",IF($AQ2399="","対象年月が未入力／","")&amp;IF($B2399="","",IF($AP2399="","職員マスタに未登録の職員番号／",IF($AA2399="","標準報酬月額が未登録／","")&amp;IF(AND($AQ2399&lt;&gt;"",OR(AND(INDEX(職員マスタ!$G$6:$G$405,$AP2399)&lt;&gt;"",INDEX(職員マスタ!$G$6:$G$405,$AP2399)&gt;EOMONTH($AQ2399,0)),AND(INDEX(職員マスタ!$H$6:$H$405,$AP2399)&lt;&gt;"",INDEX(職員マスタ!$H$6:$H$405,$AP2399)&lt;$AQ2399))),"対象月が時短期間外／","")&amp;IF(AND(INDEX(職員マスタ!$K$6:$K$405,$AP2399)&lt;&gt;"",N($W2399)&gt;0,INDEX(職員マスタ!$K$6:$K$405,$AP2399)&lt;&gt;$W2399),"標準報酬月額が申請書と相違（台帳"&amp;TEXT(INDEX(職員マスタ!$K$6:$K$405,$AP2399),"#,##0")&amp;"円／申請書"&amp;TEXT($W2399,"#,##0")&amp;"円）／","")&amp;IF(AND(INDEX(職員マスタ!$F$6:$F$405,$AP2399)&lt;&gt;"",$AQ2399&lt;&gt;"",INDEX(職員マスタ!$F$6:$F$405,$AP2399)&lt;$AQ2399),"対象月に子が2歳到達済／","")&amp;IF(AND($H2399&lt;&gt;"",INDEX(職員マスタ!$B$6:$B$405,$AP2399)&lt;&gt;"",SUBSTITUTE(SUBSTITUTE($H2399," ","")," ","")&lt;&gt;SUBSTITUTE(SUBSTITUTE(INDEX(職員マスタ!$B$6:$B$405,$AP2399)," ","")," ","")),"氏名がマスタと相違／","")&amp;IF(AND($Q2399&lt;&gt;"",INDEX(職員マスタ!$E$6:$E$405,$AP2399)&lt;&gt;"",$Q2399&lt;&gt;INDEX(職員マスタ!$E$6:$E$405,$AP2399)),"子の生年月日がマスタと相違／","")&amp;IF(AND($L2399&lt;&gt;"",INDEX(職員マスタ!$G$6:$G$405,$AP2399)&lt;&gt;"",$L2399&lt;&gt;INDEX(職員マスタ!$G$6:$G$405,$AP2399)),"時短開始日がマスタと相違／","")&amp;IF(AND($M2399&lt;&gt;"",INDEX(職員マスタ!$H$6:$H$405,$AP2399)&lt;&gt;"",$M2399&lt;&gt;INDEX(職員マスタ!$H$6:$H$405,$AP2399)),"時短終了日がマスタと相違／","")))&amp;IF(AND($B2399&lt;&gt;"",$E2399=""),"報酬額が未入力／","")&amp;IF(N($U2399)&gt;0,"申請書に入力エラーが残っています／","")&amp;IF(AND($B2399&lt;&gt;"",$AQ2399&lt;&gt;""),IF(COUNTIFS($B$6:$B$3005,$B2399,$C$6:$C$3005,$C2399,$D$6:$D$3005,$D2399)&gt;1,"同じ月の請求が重複しています／",""),"")&amp;IF(AND(N($E2399)&gt;0,$AB2399&lt;&gt;"",$AB2399&lt;&gt;"×",$AE2399=0,$AD2399=""),"計算額が下限以下のため不支給／",""))</f>
        <v/>
      </c>
      <c r="AN2399" s="12" t="n"/>
      <c r="AO2399" s="14">
        <f>IF($AF2399="保留中",COUNTIF($AF$6:$AF2399,"保留中"),"")</f>
        <v/>
      </c>
      <c r="AP2399" s="14">
        <f>IF($AQ2399="","",IF(SUMPRODUCT(MAX((職員マスタ!$A$6:$A$405=$B2399)*(((職員マスタ!$G$6:$G$405="")+(職員マスタ!$G$6:$G$405&lt;=EOMONTH($AQ2399,0)))&gt;0)*(((職員マスタ!$H$6:$H$405="")+(職員マスタ!$H$6:$H$405&gt;=$AQ2399))&gt;0)*(ROW(職員マスタ!$A$6:$A$405)-5)))&gt;0,SUMPRODUCT(MAX((職員マスタ!$A$6:$A$405=$B2399)*(((職員マスタ!$G$6:$G$405="")+(職員マスタ!$G$6:$G$405&lt;=EOMONTH($AQ2399,0)))&gt;0)*(((職員マスタ!$H$6:$H$405="")+(職員マスタ!$H$6:$H$405&gt;=$AQ2399))&gt;0)*(ROW(職員マスタ!$A$6:$A$405)-5))),IFERROR(MATCH($B2399,職員マスタ!$A$6:$A$405,0),"")))</f>
        <v/>
      </c>
      <c r="AQ2399" s="16">
        <f>IF(OR($B2399="",$C2399="",$D2399=""),"",DATE($C2399+2018,$D2399,1))</f>
        <v/>
      </c>
    </row>
    <row r="2400">
      <c r="A2400" s="11" t="n"/>
      <c r="B2400" s="12" t="n"/>
      <c r="C2400" s="12" t="n"/>
      <c r="D2400" s="12" t="n"/>
      <c r="E2400" s="13" t="n"/>
      <c r="F2400" s="12" t="n"/>
      <c r="G2400" s="13" t="n"/>
      <c r="H2400" s="12" t="n"/>
      <c r="I2400" s="12" t="n"/>
      <c r="J2400" s="12" t="n"/>
      <c r="K2400" s="12" t="n"/>
      <c r="L2400" s="11" t="n"/>
      <c r="M2400" s="11" t="n"/>
      <c r="N2400" s="11" t="n"/>
      <c r="O2400" s="11" t="n"/>
      <c r="P2400" s="12" t="n"/>
      <c r="Q2400" s="11" t="n"/>
      <c r="R2400" s="12" t="n"/>
      <c r="S2400" s="11" t="n"/>
      <c r="T2400" s="12" t="n"/>
      <c r="U2400" s="12" t="n"/>
      <c r="V2400" s="12" t="n"/>
      <c r="W2400" s="13" t="n"/>
      <c r="X2400" s="14">
        <f>IF($AP2400="",IF($B2400="","",$H2400),IF(INDEX(職員マスタ!$B$6:$B$405,$AP2400)="",$H2400,INDEX(職員マスタ!$B$6:$B$405,$AP2400)))</f>
        <v/>
      </c>
      <c r="Y2400" s="14">
        <f>IF($AP2400="",IF($B2400="","",$R2400),IF(INDEX(職員マスタ!$C$6:$C$405,$AP2400)="",$R2400,INDEX(職員マスタ!$C$6:$C$405,$AP2400)))</f>
        <v/>
      </c>
      <c r="Z2400" s="14">
        <f>IF($AQ2400="","","R"&amp;$C2400&amp;"."&amp;$D2400)</f>
        <v/>
      </c>
      <c r="AA2400" s="15">
        <f>IF(IF($AP2400="",FALSE,INDEX(職員マスタ!$K$6:$K$405,$AP2400)&lt;&gt;""),INDEX(職員マスタ!$K$6:$K$405,$AP2400),IF(N($W2400)&gt;0,$W2400,""))</f>
        <v/>
      </c>
      <c r="AB2400" s="14">
        <f>IF(OR($E2400="",$AA2400=""),"",IF($E2400&gt;=$AA2400,"×",IF($E2400&gt;=$AA2400*設定!$C$5,"△","○")))</f>
        <v/>
      </c>
      <c r="AC2400" s="15">
        <f>IF($AB2400="","",IF($AB2400="×",0,IF($AB2400="○",ROUNDDOWN($E2400*設定!$C$4,0),ROUNDDOWN($E2400*ROUND((9*$AA2400-9*$E2400)/(10*$E2400),4),0))))</f>
        <v/>
      </c>
      <c r="AD2400" s="13" t="n"/>
      <c r="AE2400" s="15">
        <f>IF($B2400="","",IF($AD2400&lt;&gt;"",$AD2400,IF($AC2400="","",IF($AC2400&lt;=設定!$C$3,0,$AC2400))))</f>
        <v/>
      </c>
      <c r="AF2400" s="14">
        <f>IF($B2400="","",IF(AND($AG2400&lt;&gt;"",$AI2400="",$AL2400=""),"保留中",IF($AL2400&lt;&gt;"",IF(N($AE2400)&gt;0,"支給済","不支給"),IF($AE2400="","要確認",IF($AE2400=0,"不支給","未処理")))))</f>
        <v/>
      </c>
      <c r="AG2400" s="12" t="n"/>
      <c r="AH2400" s="11" t="n"/>
      <c r="AI2400" s="11" t="n"/>
      <c r="AJ2400" s="11" t="n"/>
      <c r="AK2400" s="14">
        <f>IF(AND($AF2400="保留中",$AH2400&lt;&gt;""),TODAY()-$AH2400,"")</f>
        <v/>
      </c>
      <c r="AL2400" s="12" t="n"/>
      <c r="AM2400" s="14">
        <f>IF($B2400="","",IF($AQ2400="","対象年月が未入力／","")&amp;IF($B2400="","",IF($AP2400="","職員マスタに未登録の職員番号／",IF($AA2400="","標準報酬月額が未登録／","")&amp;IF(AND($AQ2400&lt;&gt;"",OR(AND(INDEX(職員マスタ!$G$6:$G$405,$AP2400)&lt;&gt;"",INDEX(職員マスタ!$G$6:$G$405,$AP2400)&gt;EOMONTH($AQ2400,0)),AND(INDEX(職員マスタ!$H$6:$H$405,$AP2400)&lt;&gt;"",INDEX(職員マスタ!$H$6:$H$405,$AP2400)&lt;$AQ2400))),"対象月が時短期間外／","")&amp;IF(AND(INDEX(職員マスタ!$K$6:$K$405,$AP2400)&lt;&gt;"",N($W2400)&gt;0,INDEX(職員マスタ!$K$6:$K$405,$AP2400)&lt;&gt;$W2400),"標準報酬月額が申請書と相違（台帳"&amp;TEXT(INDEX(職員マスタ!$K$6:$K$405,$AP2400),"#,##0")&amp;"円／申請書"&amp;TEXT($W2400,"#,##0")&amp;"円）／","")&amp;IF(AND(INDEX(職員マスタ!$F$6:$F$405,$AP2400)&lt;&gt;"",$AQ2400&lt;&gt;"",INDEX(職員マスタ!$F$6:$F$405,$AP2400)&lt;$AQ2400),"対象月に子が2歳到達済／","")&amp;IF(AND($H2400&lt;&gt;"",INDEX(職員マスタ!$B$6:$B$405,$AP2400)&lt;&gt;"",SUBSTITUTE(SUBSTITUTE($H2400," ","")," ","")&lt;&gt;SUBSTITUTE(SUBSTITUTE(INDEX(職員マスタ!$B$6:$B$405,$AP2400)," ","")," ","")),"氏名がマスタと相違／","")&amp;IF(AND($Q2400&lt;&gt;"",INDEX(職員マスタ!$E$6:$E$405,$AP2400)&lt;&gt;"",$Q2400&lt;&gt;INDEX(職員マスタ!$E$6:$E$405,$AP2400)),"子の生年月日がマスタと相違／","")&amp;IF(AND($L2400&lt;&gt;"",INDEX(職員マスタ!$G$6:$G$405,$AP2400)&lt;&gt;"",$L2400&lt;&gt;INDEX(職員マスタ!$G$6:$G$405,$AP2400)),"時短開始日がマスタと相違／","")&amp;IF(AND($M2400&lt;&gt;"",INDEX(職員マスタ!$H$6:$H$405,$AP2400)&lt;&gt;"",$M2400&lt;&gt;INDEX(職員マスタ!$H$6:$H$405,$AP2400)),"時短終了日がマスタと相違／","")))&amp;IF(AND($B2400&lt;&gt;"",$E2400=""),"報酬額が未入力／","")&amp;IF(N($U2400)&gt;0,"申請書に入力エラーが残っています／","")&amp;IF(AND($B2400&lt;&gt;"",$AQ2400&lt;&gt;""),IF(COUNTIFS($B$6:$B$3005,$B2400,$C$6:$C$3005,$C2400,$D$6:$D$3005,$D2400)&gt;1,"同じ月の請求が重複しています／",""),"")&amp;IF(AND(N($E2400)&gt;0,$AB2400&lt;&gt;"",$AB2400&lt;&gt;"×",$AE2400=0,$AD2400=""),"計算額が下限以下のため不支給／",""))</f>
        <v/>
      </c>
      <c r="AN2400" s="12" t="n"/>
      <c r="AO2400" s="14">
        <f>IF($AF2400="保留中",COUNTIF($AF$6:$AF2400,"保留中"),"")</f>
        <v/>
      </c>
      <c r="AP2400" s="14">
        <f>IF($AQ2400="","",IF(SUMPRODUCT(MAX((職員マスタ!$A$6:$A$405=$B2400)*(((職員マスタ!$G$6:$G$405="")+(職員マスタ!$G$6:$G$405&lt;=EOMONTH($AQ2400,0)))&gt;0)*(((職員マスタ!$H$6:$H$405="")+(職員マスタ!$H$6:$H$405&gt;=$AQ2400))&gt;0)*(ROW(職員マスタ!$A$6:$A$405)-5)))&gt;0,SUMPRODUCT(MAX((職員マスタ!$A$6:$A$405=$B2400)*(((職員マスタ!$G$6:$G$405="")+(職員マスタ!$G$6:$G$405&lt;=EOMONTH($AQ2400,0)))&gt;0)*(((職員マスタ!$H$6:$H$405="")+(職員マスタ!$H$6:$H$405&gt;=$AQ2400))&gt;0)*(ROW(職員マスタ!$A$6:$A$405)-5))),IFERROR(MATCH($B2400,職員マスタ!$A$6:$A$405,0),"")))</f>
        <v/>
      </c>
      <c r="AQ2400" s="16">
        <f>IF(OR($B2400="",$C2400="",$D2400=""),"",DATE($C2400+2018,$D2400,1))</f>
        <v/>
      </c>
    </row>
    <row r="2401">
      <c r="A2401" s="11" t="n"/>
      <c r="B2401" s="12" t="n"/>
      <c r="C2401" s="12" t="n"/>
      <c r="D2401" s="12" t="n"/>
      <c r="E2401" s="13" t="n"/>
      <c r="F2401" s="12" t="n"/>
      <c r="G2401" s="13" t="n"/>
      <c r="H2401" s="12" t="n"/>
      <c r="I2401" s="12" t="n"/>
      <c r="J2401" s="12" t="n"/>
      <c r="K2401" s="12" t="n"/>
      <c r="L2401" s="11" t="n"/>
      <c r="M2401" s="11" t="n"/>
      <c r="N2401" s="11" t="n"/>
      <c r="O2401" s="11" t="n"/>
      <c r="P2401" s="12" t="n"/>
      <c r="Q2401" s="11" t="n"/>
      <c r="R2401" s="12" t="n"/>
      <c r="S2401" s="11" t="n"/>
      <c r="T2401" s="12" t="n"/>
      <c r="U2401" s="12" t="n"/>
      <c r="V2401" s="12" t="n"/>
      <c r="W2401" s="13" t="n"/>
      <c r="X2401" s="14">
        <f>IF($AP2401="",IF($B2401="","",$H2401),IF(INDEX(職員マスタ!$B$6:$B$405,$AP2401)="",$H2401,INDEX(職員マスタ!$B$6:$B$405,$AP2401)))</f>
        <v/>
      </c>
      <c r="Y2401" s="14">
        <f>IF($AP2401="",IF($B2401="","",$R2401),IF(INDEX(職員マスタ!$C$6:$C$405,$AP2401)="",$R2401,INDEX(職員マスタ!$C$6:$C$405,$AP2401)))</f>
        <v/>
      </c>
      <c r="Z2401" s="14">
        <f>IF($AQ2401="","","R"&amp;$C2401&amp;"."&amp;$D2401)</f>
        <v/>
      </c>
      <c r="AA2401" s="15">
        <f>IF(IF($AP2401="",FALSE,INDEX(職員マスタ!$K$6:$K$405,$AP2401)&lt;&gt;""),INDEX(職員マスタ!$K$6:$K$405,$AP2401),IF(N($W2401)&gt;0,$W2401,""))</f>
        <v/>
      </c>
      <c r="AB2401" s="14">
        <f>IF(OR($E2401="",$AA2401=""),"",IF($E2401&gt;=$AA2401,"×",IF($E2401&gt;=$AA2401*設定!$C$5,"△","○")))</f>
        <v/>
      </c>
      <c r="AC2401" s="15">
        <f>IF($AB2401="","",IF($AB2401="×",0,IF($AB2401="○",ROUNDDOWN($E2401*設定!$C$4,0),ROUNDDOWN($E2401*ROUND((9*$AA2401-9*$E2401)/(10*$E2401),4),0))))</f>
        <v/>
      </c>
      <c r="AD2401" s="13" t="n"/>
      <c r="AE2401" s="15">
        <f>IF($B2401="","",IF($AD2401&lt;&gt;"",$AD2401,IF($AC2401="","",IF($AC2401&lt;=設定!$C$3,0,$AC2401))))</f>
        <v/>
      </c>
      <c r="AF2401" s="14">
        <f>IF($B2401="","",IF(AND($AG2401&lt;&gt;"",$AI2401="",$AL2401=""),"保留中",IF($AL2401&lt;&gt;"",IF(N($AE2401)&gt;0,"支給済","不支給"),IF($AE2401="","要確認",IF($AE2401=0,"不支給","未処理")))))</f>
        <v/>
      </c>
      <c r="AG2401" s="12" t="n"/>
      <c r="AH2401" s="11" t="n"/>
      <c r="AI2401" s="11" t="n"/>
      <c r="AJ2401" s="11" t="n"/>
      <c r="AK2401" s="14">
        <f>IF(AND($AF2401="保留中",$AH2401&lt;&gt;""),TODAY()-$AH2401,"")</f>
        <v/>
      </c>
      <c r="AL2401" s="12" t="n"/>
      <c r="AM2401" s="14">
        <f>IF($B2401="","",IF($AQ2401="","対象年月が未入力／","")&amp;IF($B2401="","",IF($AP2401="","職員マスタに未登録の職員番号／",IF($AA2401="","標準報酬月額が未登録／","")&amp;IF(AND($AQ2401&lt;&gt;"",OR(AND(INDEX(職員マスタ!$G$6:$G$405,$AP2401)&lt;&gt;"",INDEX(職員マスタ!$G$6:$G$405,$AP2401)&gt;EOMONTH($AQ2401,0)),AND(INDEX(職員マスタ!$H$6:$H$405,$AP2401)&lt;&gt;"",INDEX(職員マスタ!$H$6:$H$405,$AP2401)&lt;$AQ2401))),"対象月が時短期間外／","")&amp;IF(AND(INDEX(職員マスタ!$K$6:$K$405,$AP2401)&lt;&gt;"",N($W2401)&gt;0,INDEX(職員マスタ!$K$6:$K$405,$AP2401)&lt;&gt;$W2401),"標準報酬月額が申請書と相違（台帳"&amp;TEXT(INDEX(職員マスタ!$K$6:$K$405,$AP2401),"#,##0")&amp;"円／申請書"&amp;TEXT($W2401,"#,##0")&amp;"円）／","")&amp;IF(AND(INDEX(職員マスタ!$F$6:$F$405,$AP2401)&lt;&gt;"",$AQ2401&lt;&gt;"",INDEX(職員マスタ!$F$6:$F$405,$AP2401)&lt;$AQ2401),"対象月に子が2歳到達済／","")&amp;IF(AND($H2401&lt;&gt;"",INDEX(職員マスタ!$B$6:$B$405,$AP2401)&lt;&gt;"",SUBSTITUTE(SUBSTITUTE($H2401," ","")," ","")&lt;&gt;SUBSTITUTE(SUBSTITUTE(INDEX(職員マスタ!$B$6:$B$405,$AP2401)," ","")," ","")),"氏名がマスタと相違／","")&amp;IF(AND($Q2401&lt;&gt;"",INDEX(職員マスタ!$E$6:$E$405,$AP2401)&lt;&gt;"",$Q2401&lt;&gt;INDEX(職員マスタ!$E$6:$E$405,$AP2401)),"子の生年月日がマスタと相違／","")&amp;IF(AND($L2401&lt;&gt;"",INDEX(職員マスタ!$G$6:$G$405,$AP2401)&lt;&gt;"",$L2401&lt;&gt;INDEX(職員マスタ!$G$6:$G$405,$AP2401)),"時短開始日がマスタと相違／","")&amp;IF(AND($M2401&lt;&gt;"",INDEX(職員マスタ!$H$6:$H$405,$AP2401)&lt;&gt;"",$M2401&lt;&gt;INDEX(職員マスタ!$H$6:$H$405,$AP2401)),"時短終了日がマスタと相違／","")))&amp;IF(AND($B2401&lt;&gt;"",$E2401=""),"報酬額が未入力／","")&amp;IF(N($U2401)&gt;0,"申請書に入力エラーが残っています／","")&amp;IF(AND($B2401&lt;&gt;"",$AQ2401&lt;&gt;""),IF(COUNTIFS($B$6:$B$3005,$B2401,$C$6:$C$3005,$C2401,$D$6:$D$3005,$D2401)&gt;1,"同じ月の請求が重複しています／",""),"")&amp;IF(AND(N($E2401)&gt;0,$AB2401&lt;&gt;"",$AB2401&lt;&gt;"×",$AE2401=0,$AD2401=""),"計算額が下限以下のため不支給／",""))</f>
        <v/>
      </c>
      <c r="AN2401" s="12" t="n"/>
      <c r="AO2401" s="14">
        <f>IF($AF2401="保留中",COUNTIF($AF$6:$AF2401,"保留中"),"")</f>
        <v/>
      </c>
      <c r="AP2401" s="14">
        <f>IF($AQ2401="","",IF(SUMPRODUCT(MAX((職員マスタ!$A$6:$A$405=$B2401)*(((職員マスタ!$G$6:$G$405="")+(職員マスタ!$G$6:$G$405&lt;=EOMONTH($AQ2401,0)))&gt;0)*(((職員マスタ!$H$6:$H$405="")+(職員マスタ!$H$6:$H$405&gt;=$AQ2401))&gt;0)*(ROW(職員マスタ!$A$6:$A$405)-5)))&gt;0,SUMPRODUCT(MAX((職員マスタ!$A$6:$A$405=$B2401)*(((職員マスタ!$G$6:$G$405="")+(職員マスタ!$G$6:$G$405&lt;=EOMONTH($AQ2401,0)))&gt;0)*(((職員マスタ!$H$6:$H$405="")+(職員マスタ!$H$6:$H$405&gt;=$AQ2401))&gt;0)*(ROW(職員マスタ!$A$6:$A$405)-5))),IFERROR(MATCH($B2401,職員マスタ!$A$6:$A$405,0),"")))</f>
        <v/>
      </c>
      <c r="AQ2401" s="16">
        <f>IF(OR($B2401="",$C2401="",$D2401=""),"",DATE($C2401+2018,$D2401,1))</f>
        <v/>
      </c>
    </row>
    <row r="2402">
      <c r="A2402" s="11" t="n"/>
      <c r="B2402" s="12" t="n"/>
      <c r="C2402" s="12" t="n"/>
      <c r="D2402" s="12" t="n"/>
      <c r="E2402" s="13" t="n"/>
      <c r="F2402" s="12" t="n"/>
      <c r="G2402" s="13" t="n"/>
      <c r="H2402" s="12" t="n"/>
      <c r="I2402" s="12" t="n"/>
      <c r="J2402" s="12" t="n"/>
      <c r="K2402" s="12" t="n"/>
      <c r="L2402" s="11" t="n"/>
      <c r="M2402" s="11" t="n"/>
      <c r="N2402" s="11" t="n"/>
      <c r="O2402" s="11" t="n"/>
      <c r="P2402" s="12" t="n"/>
      <c r="Q2402" s="11" t="n"/>
      <c r="R2402" s="12" t="n"/>
      <c r="S2402" s="11" t="n"/>
      <c r="T2402" s="12" t="n"/>
      <c r="U2402" s="12" t="n"/>
      <c r="V2402" s="12" t="n"/>
      <c r="W2402" s="13" t="n"/>
      <c r="X2402" s="14">
        <f>IF($AP2402="",IF($B2402="","",$H2402),IF(INDEX(職員マスタ!$B$6:$B$405,$AP2402)="",$H2402,INDEX(職員マスタ!$B$6:$B$405,$AP2402)))</f>
        <v/>
      </c>
      <c r="Y2402" s="14">
        <f>IF($AP2402="",IF($B2402="","",$R2402),IF(INDEX(職員マスタ!$C$6:$C$405,$AP2402)="",$R2402,INDEX(職員マスタ!$C$6:$C$405,$AP2402)))</f>
        <v/>
      </c>
      <c r="Z2402" s="14">
        <f>IF($AQ2402="","","R"&amp;$C2402&amp;"."&amp;$D2402)</f>
        <v/>
      </c>
      <c r="AA2402" s="15">
        <f>IF(IF($AP2402="",FALSE,INDEX(職員マスタ!$K$6:$K$405,$AP2402)&lt;&gt;""),INDEX(職員マスタ!$K$6:$K$405,$AP2402),IF(N($W2402)&gt;0,$W2402,""))</f>
        <v/>
      </c>
      <c r="AB2402" s="14">
        <f>IF(OR($E2402="",$AA2402=""),"",IF($E2402&gt;=$AA2402,"×",IF($E2402&gt;=$AA2402*設定!$C$5,"△","○")))</f>
        <v/>
      </c>
      <c r="AC2402" s="15">
        <f>IF($AB2402="","",IF($AB2402="×",0,IF($AB2402="○",ROUNDDOWN($E2402*設定!$C$4,0),ROUNDDOWN($E2402*ROUND((9*$AA2402-9*$E2402)/(10*$E2402),4),0))))</f>
        <v/>
      </c>
      <c r="AD2402" s="13" t="n"/>
      <c r="AE2402" s="15">
        <f>IF($B2402="","",IF($AD2402&lt;&gt;"",$AD2402,IF($AC2402="","",IF($AC2402&lt;=設定!$C$3,0,$AC2402))))</f>
        <v/>
      </c>
      <c r="AF2402" s="14">
        <f>IF($B2402="","",IF(AND($AG2402&lt;&gt;"",$AI2402="",$AL2402=""),"保留中",IF($AL2402&lt;&gt;"",IF(N($AE2402)&gt;0,"支給済","不支給"),IF($AE2402="","要確認",IF($AE2402=0,"不支給","未処理")))))</f>
        <v/>
      </c>
      <c r="AG2402" s="12" t="n"/>
      <c r="AH2402" s="11" t="n"/>
      <c r="AI2402" s="11" t="n"/>
      <c r="AJ2402" s="11" t="n"/>
      <c r="AK2402" s="14">
        <f>IF(AND($AF2402="保留中",$AH2402&lt;&gt;""),TODAY()-$AH2402,"")</f>
        <v/>
      </c>
      <c r="AL2402" s="12" t="n"/>
      <c r="AM2402" s="14">
        <f>IF($B2402="","",IF($AQ2402="","対象年月が未入力／","")&amp;IF($B2402="","",IF($AP2402="","職員マスタに未登録の職員番号／",IF($AA2402="","標準報酬月額が未登録／","")&amp;IF(AND($AQ2402&lt;&gt;"",OR(AND(INDEX(職員マスタ!$G$6:$G$405,$AP2402)&lt;&gt;"",INDEX(職員マスタ!$G$6:$G$405,$AP2402)&gt;EOMONTH($AQ2402,0)),AND(INDEX(職員マスタ!$H$6:$H$405,$AP2402)&lt;&gt;"",INDEX(職員マスタ!$H$6:$H$405,$AP2402)&lt;$AQ2402))),"対象月が時短期間外／","")&amp;IF(AND(INDEX(職員マスタ!$K$6:$K$405,$AP2402)&lt;&gt;"",N($W2402)&gt;0,INDEX(職員マスタ!$K$6:$K$405,$AP2402)&lt;&gt;$W2402),"標準報酬月額が申請書と相違（台帳"&amp;TEXT(INDEX(職員マスタ!$K$6:$K$405,$AP2402),"#,##0")&amp;"円／申請書"&amp;TEXT($W2402,"#,##0")&amp;"円）／","")&amp;IF(AND(INDEX(職員マスタ!$F$6:$F$405,$AP2402)&lt;&gt;"",$AQ2402&lt;&gt;"",INDEX(職員マスタ!$F$6:$F$405,$AP2402)&lt;$AQ2402),"対象月に子が2歳到達済／","")&amp;IF(AND($H2402&lt;&gt;"",INDEX(職員マスタ!$B$6:$B$405,$AP2402)&lt;&gt;"",SUBSTITUTE(SUBSTITUTE($H2402," ","")," ","")&lt;&gt;SUBSTITUTE(SUBSTITUTE(INDEX(職員マスタ!$B$6:$B$405,$AP2402)," ","")," ","")),"氏名がマスタと相違／","")&amp;IF(AND($Q2402&lt;&gt;"",INDEX(職員マスタ!$E$6:$E$405,$AP2402)&lt;&gt;"",$Q2402&lt;&gt;INDEX(職員マスタ!$E$6:$E$405,$AP2402)),"子の生年月日がマスタと相違／","")&amp;IF(AND($L2402&lt;&gt;"",INDEX(職員マスタ!$G$6:$G$405,$AP2402)&lt;&gt;"",$L2402&lt;&gt;INDEX(職員マスタ!$G$6:$G$405,$AP2402)),"時短開始日がマスタと相違／","")&amp;IF(AND($M2402&lt;&gt;"",INDEX(職員マスタ!$H$6:$H$405,$AP2402)&lt;&gt;"",$M2402&lt;&gt;INDEX(職員マスタ!$H$6:$H$405,$AP2402)),"時短終了日がマスタと相違／","")))&amp;IF(AND($B2402&lt;&gt;"",$E2402=""),"報酬額が未入力／","")&amp;IF(N($U2402)&gt;0,"申請書に入力エラーが残っています／","")&amp;IF(AND($B2402&lt;&gt;"",$AQ2402&lt;&gt;""),IF(COUNTIFS($B$6:$B$3005,$B2402,$C$6:$C$3005,$C2402,$D$6:$D$3005,$D2402)&gt;1,"同じ月の請求が重複しています／",""),"")&amp;IF(AND(N($E2402)&gt;0,$AB2402&lt;&gt;"",$AB2402&lt;&gt;"×",$AE2402=0,$AD2402=""),"計算額が下限以下のため不支給／",""))</f>
        <v/>
      </c>
      <c r="AN2402" s="12" t="n"/>
      <c r="AO2402" s="14">
        <f>IF($AF2402="保留中",COUNTIF($AF$6:$AF2402,"保留中"),"")</f>
        <v/>
      </c>
      <c r="AP2402" s="14">
        <f>IF($AQ2402="","",IF(SUMPRODUCT(MAX((職員マスタ!$A$6:$A$405=$B2402)*(((職員マスタ!$G$6:$G$405="")+(職員マスタ!$G$6:$G$405&lt;=EOMONTH($AQ2402,0)))&gt;0)*(((職員マスタ!$H$6:$H$405="")+(職員マスタ!$H$6:$H$405&gt;=$AQ2402))&gt;0)*(ROW(職員マスタ!$A$6:$A$405)-5)))&gt;0,SUMPRODUCT(MAX((職員マスタ!$A$6:$A$405=$B2402)*(((職員マスタ!$G$6:$G$405="")+(職員マスタ!$G$6:$G$405&lt;=EOMONTH($AQ2402,0)))&gt;0)*(((職員マスタ!$H$6:$H$405="")+(職員マスタ!$H$6:$H$405&gt;=$AQ2402))&gt;0)*(ROW(職員マスタ!$A$6:$A$405)-5))),IFERROR(MATCH($B2402,職員マスタ!$A$6:$A$405,0),"")))</f>
        <v/>
      </c>
      <c r="AQ2402" s="16">
        <f>IF(OR($B2402="",$C2402="",$D2402=""),"",DATE($C2402+2018,$D2402,1))</f>
        <v/>
      </c>
    </row>
    <row r="2403">
      <c r="A2403" s="11" t="n"/>
      <c r="B2403" s="12" t="n"/>
      <c r="C2403" s="12" t="n"/>
      <c r="D2403" s="12" t="n"/>
      <c r="E2403" s="13" t="n"/>
      <c r="F2403" s="12" t="n"/>
      <c r="G2403" s="13" t="n"/>
      <c r="H2403" s="12" t="n"/>
      <c r="I2403" s="12" t="n"/>
      <c r="J2403" s="12" t="n"/>
      <c r="K2403" s="12" t="n"/>
      <c r="L2403" s="11" t="n"/>
      <c r="M2403" s="11" t="n"/>
      <c r="N2403" s="11" t="n"/>
      <c r="O2403" s="11" t="n"/>
      <c r="P2403" s="12" t="n"/>
      <c r="Q2403" s="11" t="n"/>
      <c r="R2403" s="12" t="n"/>
      <c r="S2403" s="11" t="n"/>
      <c r="T2403" s="12" t="n"/>
      <c r="U2403" s="12" t="n"/>
      <c r="V2403" s="12" t="n"/>
      <c r="W2403" s="13" t="n"/>
      <c r="X2403" s="14">
        <f>IF($AP2403="",IF($B2403="","",$H2403),IF(INDEX(職員マスタ!$B$6:$B$405,$AP2403)="",$H2403,INDEX(職員マスタ!$B$6:$B$405,$AP2403)))</f>
        <v/>
      </c>
      <c r="Y2403" s="14">
        <f>IF($AP2403="",IF($B2403="","",$R2403),IF(INDEX(職員マスタ!$C$6:$C$405,$AP2403)="",$R2403,INDEX(職員マスタ!$C$6:$C$405,$AP2403)))</f>
        <v/>
      </c>
      <c r="Z2403" s="14">
        <f>IF($AQ2403="","","R"&amp;$C2403&amp;"."&amp;$D2403)</f>
        <v/>
      </c>
      <c r="AA2403" s="15">
        <f>IF(IF($AP2403="",FALSE,INDEX(職員マスタ!$K$6:$K$405,$AP2403)&lt;&gt;""),INDEX(職員マスタ!$K$6:$K$405,$AP2403),IF(N($W2403)&gt;0,$W2403,""))</f>
        <v/>
      </c>
      <c r="AB2403" s="14">
        <f>IF(OR($E2403="",$AA2403=""),"",IF($E2403&gt;=$AA2403,"×",IF($E2403&gt;=$AA2403*設定!$C$5,"△","○")))</f>
        <v/>
      </c>
      <c r="AC2403" s="15">
        <f>IF($AB2403="","",IF($AB2403="×",0,IF($AB2403="○",ROUNDDOWN($E2403*設定!$C$4,0),ROUNDDOWN($E2403*ROUND((9*$AA2403-9*$E2403)/(10*$E2403),4),0))))</f>
        <v/>
      </c>
      <c r="AD2403" s="13" t="n"/>
      <c r="AE2403" s="15">
        <f>IF($B2403="","",IF($AD2403&lt;&gt;"",$AD2403,IF($AC2403="","",IF($AC2403&lt;=設定!$C$3,0,$AC2403))))</f>
        <v/>
      </c>
      <c r="AF2403" s="14">
        <f>IF($B2403="","",IF(AND($AG2403&lt;&gt;"",$AI2403="",$AL2403=""),"保留中",IF($AL2403&lt;&gt;"",IF(N($AE2403)&gt;0,"支給済","不支給"),IF($AE2403="","要確認",IF($AE2403=0,"不支給","未処理")))))</f>
        <v/>
      </c>
      <c r="AG2403" s="12" t="n"/>
      <c r="AH2403" s="11" t="n"/>
      <c r="AI2403" s="11" t="n"/>
      <c r="AJ2403" s="11" t="n"/>
      <c r="AK2403" s="14">
        <f>IF(AND($AF2403="保留中",$AH2403&lt;&gt;""),TODAY()-$AH2403,"")</f>
        <v/>
      </c>
      <c r="AL2403" s="12" t="n"/>
      <c r="AM2403" s="14">
        <f>IF($B2403="","",IF($AQ2403="","対象年月が未入力／","")&amp;IF($B2403="","",IF($AP2403="","職員マスタに未登録の職員番号／",IF($AA2403="","標準報酬月額が未登録／","")&amp;IF(AND($AQ2403&lt;&gt;"",OR(AND(INDEX(職員マスタ!$G$6:$G$405,$AP2403)&lt;&gt;"",INDEX(職員マスタ!$G$6:$G$405,$AP2403)&gt;EOMONTH($AQ2403,0)),AND(INDEX(職員マスタ!$H$6:$H$405,$AP2403)&lt;&gt;"",INDEX(職員マスタ!$H$6:$H$405,$AP2403)&lt;$AQ2403))),"対象月が時短期間外／","")&amp;IF(AND(INDEX(職員マスタ!$K$6:$K$405,$AP2403)&lt;&gt;"",N($W2403)&gt;0,INDEX(職員マスタ!$K$6:$K$405,$AP2403)&lt;&gt;$W2403),"標準報酬月額が申請書と相違（台帳"&amp;TEXT(INDEX(職員マスタ!$K$6:$K$405,$AP2403),"#,##0")&amp;"円／申請書"&amp;TEXT($W2403,"#,##0")&amp;"円）／","")&amp;IF(AND(INDEX(職員マスタ!$F$6:$F$405,$AP2403)&lt;&gt;"",$AQ2403&lt;&gt;"",INDEX(職員マスタ!$F$6:$F$405,$AP2403)&lt;$AQ2403),"対象月に子が2歳到達済／","")&amp;IF(AND($H2403&lt;&gt;"",INDEX(職員マスタ!$B$6:$B$405,$AP2403)&lt;&gt;"",SUBSTITUTE(SUBSTITUTE($H2403," ","")," ","")&lt;&gt;SUBSTITUTE(SUBSTITUTE(INDEX(職員マスタ!$B$6:$B$405,$AP2403)," ","")," ","")),"氏名がマスタと相違／","")&amp;IF(AND($Q2403&lt;&gt;"",INDEX(職員マスタ!$E$6:$E$405,$AP2403)&lt;&gt;"",$Q2403&lt;&gt;INDEX(職員マスタ!$E$6:$E$405,$AP2403)),"子の生年月日がマスタと相違／","")&amp;IF(AND($L2403&lt;&gt;"",INDEX(職員マスタ!$G$6:$G$405,$AP2403)&lt;&gt;"",$L2403&lt;&gt;INDEX(職員マスタ!$G$6:$G$405,$AP2403)),"時短開始日がマスタと相違／","")&amp;IF(AND($M2403&lt;&gt;"",INDEX(職員マスタ!$H$6:$H$405,$AP2403)&lt;&gt;"",$M2403&lt;&gt;INDEX(職員マスタ!$H$6:$H$405,$AP2403)),"時短終了日がマスタと相違／","")))&amp;IF(AND($B2403&lt;&gt;"",$E2403=""),"報酬額が未入力／","")&amp;IF(N($U2403)&gt;0,"申請書に入力エラーが残っています／","")&amp;IF(AND($B2403&lt;&gt;"",$AQ2403&lt;&gt;""),IF(COUNTIFS($B$6:$B$3005,$B2403,$C$6:$C$3005,$C2403,$D$6:$D$3005,$D2403)&gt;1,"同じ月の請求が重複しています／",""),"")&amp;IF(AND(N($E2403)&gt;0,$AB2403&lt;&gt;"",$AB2403&lt;&gt;"×",$AE2403=0,$AD2403=""),"計算額が下限以下のため不支給／",""))</f>
        <v/>
      </c>
      <c r="AN2403" s="12" t="n"/>
      <c r="AO2403" s="14">
        <f>IF($AF2403="保留中",COUNTIF($AF$6:$AF2403,"保留中"),"")</f>
        <v/>
      </c>
      <c r="AP2403" s="14">
        <f>IF($AQ2403="","",IF(SUMPRODUCT(MAX((職員マスタ!$A$6:$A$405=$B2403)*(((職員マスタ!$G$6:$G$405="")+(職員マスタ!$G$6:$G$405&lt;=EOMONTH($AQ2403,0)))&gt;0)*(((職員マスタ!$H$6:$H$405="")+(職員マスタ!$H$6:$H$405&gt;=$AQ2403))&gt;0)*(ROW(職員マスタ!$A$6:$A$405)-5)))&gt;0,SUMPRODUCT(MAX((職員マスタ!$A$6:$A$405=$B2403)*(((職員マスタ!$G$6:$G$405="")+(職員マスタ!$G$6:$G$405&lt;=EOMONTH($AQ2403,0)))&gt;0)*(((職員マスタ!$H$6:$H$405="")+(職員マスタ!$H$6:$H$405&gt;=$AQ2403))&gt;0)*(ROW(職員マスタ!$A$6:$A$405)-5))),IFERROR(MATCH($B2403,職員マスタ!$A$6:$A$405,0),"")))</f>
        <v/>
      </c>
      <c r="AQ2403" s="16">
        <f>IF(OR($B2403="",$C2403="",$D2403=""),"",DATE($C2403+2018,$D2403,1))</f>
        <v/>
      </c>
    </row>
    <row r="2404">
      <c r="A2404" s="11" t="n"/>
      <c r="B2404" s="12" t="n"/>
      <c r="C2404" s="12" t="n"/>
      <c r="D2404" s="12" t="n"/>
      <c r="E2404" s="13" t="n"/>
      <c r="F2404" s="12" t="n"/>
      <c r="G2404" s="13" t="n"/>
      <c r="H2404" s="12" t="n"/>
      <c r="I2404" s="12" t="n"/>
      <c r="J2404" s="12" t="n"/>
      <c r="K2404" s="12" t="n"/>
      <c r="L2404" s="11" t="n"/>
      <c r="M2404" s="11" t="n"/>
      <c r="N2404" s="11" t="n"/>
      <c r="O2404" s="11" t="n"/>
      <c r="P2404" s="12" t="n"/>
      <c r="Q2404" s="11" t="n"/>
      <c r="R2404" s="12" t="n"/>
      <c r="S2404" s="11" t="n"/>
      <c r="T2404" s="12" t="n"/>
      <c r="U2404" s="12" t="n"/>
      <c r="V2404" s="12" t="n"/>
      <c r="W2404" s="13" t="n"/>
      <c r="X2404" s="14">
        <f>IF($AP2404="",IF($B2404="","",$H2404),IF(INDEX(職員マスタ!$B$6:$B$405,$AP2404)="",$H2404,INDEX(職員マスタ!$B$6:$B$405,$AP2404)))</f>
        <v/>
      </c>
      <c r="Y2404" s="14">
        <f>IF($AP2404="",IF($B2404="","",$R2404),IF(INDEX(職員マスタ!$C$6:$C$405,$AP2404)="",$R2404,INDEX(職員マスタ!$C$6:$C$405,$AP2404)))</f>
        <v/>
      </c>
      <c r="Z2404" s="14">
        <f>IF($AQ2404="","","R"&amp;$C2404&amp;"."&amp;$D2404)</f>
        <v/>
      </c>
      <c r="AA2404" s="15">
        <f>IF(IF($AP2404="",FALSE,INDEX(職員マスタ!$K$6:$K$405,$AP2404)&lt;&gt;""),INDEX(職員マスタ!$K$6:$K$405,$AP2404),IF(N($W2404)&gt;0,$W2404,""))</f>
        <v/>
      </c>
      <c r="AB2404" s="14">
        <f>IF(OR($E2404="",$AA2404=""),"",IF($E2404&gt;=$AA2404,"×",IF($E2404&gt;=$AA2404*設定!$C$5,"△","○")))</f>
        <v/>
      </c>
      <c r="AC2404" s="15">
        <f>IF($AB2404="","",IF($AB2404="×",0,IF($AB2404="○",ROUNDDOWN($E2404*設定!$C$4,0),ROUNDDOWN($E2404*ROUND((9*$AA2404-9*$E2404)/(10*$E2404),4),0))))</f>
        <v/>
      </c>
      <c r="AD2404" s="13" t="n"/>
      <c r="AE2404" s="15">
        <f>IF($B2404="","",IF($AD2404&lt;&gt;"",$AD2404,IF($AC2404="","",IF($AC2404&lt;=設定!$C$3,0,$AC2404))))</f>
        <v/>
      </c>
      <c r="AF2404" s="14">
        <f>IF($B2404="","",IF(AND($AG2404&lt;&gt;"",$AI2404="",$AL2404=""),"保留中",IF($AL2404&lt;&gt;"",IF(N($AE2404)&gt;0,"支給済","不支給"),IF($AE2404="","要確認",IF($AE2404=0,"不支給","未処理")))))</f>
        <v/>
      </c>
      <c r="AG2404" s="12" t="n"/>
      <c r="AH2404" s="11" t="n"/>
      <c r="AI2404" s="11" t="n"/>
      <c r="AJ2404" s="11" t="n"/>
      <c r="AK2404" s="14">
        <f>IF(AND($AF2404="保留中",$AH2404&lt;&gt;""),TODAY()-$AH2404,"")</f>
        <v/>
      </c>
      <c r="AL2404" s="12" t="n"/>
      <c r="AM2404" s="14">
        <f>IF($B2404="","",IF($AQ2404="","対象年月が未入力／","")&amp;IF($B2404="","",IF($AP2404="","職員マスタに未登録の職員番号／",IF($AA2404="","標準報酬月額が未登録／","")&amp;IF(AND($AQ2404&lt;&gt;"",OR(AND(INDEX(職員マスタ!$G$6:$G$405,$AP2404)&lt;&gt;"",INDEX(職員マスタ!$G$6:$G$405,$AP2404)&gt;EOMONTH($AQ2404,0)),AND(INDEX(職員マスタ!$H$6:$H$405,$AP2404)&lt;&gt;"",INDEX(職員マスタ!$H$6:$H$405,$AP2404)&lt;$AQ2404))),"対象月が時短期間外／","")&amp;IF(AND(INDEX(職員マスタ!$K$6:$K$405,$AP2404)&lt;&gt;"",N($W2404)&gt;0,INDEX(職員マスタ!$K$6:$K$405,$AP2404)&lt;&gt;$W2404),"標準報酬月額が申請書と相違（台帳"&amp;TEXT(INDEX(職員マスタ!$K$6:$K$405,$AP2404),"#,##0")&amp;"円／申請書"&amp;TEXT($W2404,"#,##0")&amp;"円）／","")&amp;IF(AND(INDEX(職員マスタ!$F$6:$F$405,$AP2404)&lt;&gt;"",$AQ2404&lt;&gt;"",INDEX(職員マスタ!$F$6:$F$405,$AP2404)&lt;$AQ2404),"対象月に子が2歳到達済／","")&amp;IF(AND($H2404&lt;&gt;"",INDEX(職員マスタ!$B$6:$B$405,$AP2404)&lt;&gt;"",SUBSTITUTE(SUBSTITUTE($H2404," ","")," ","")&lt;&gt;SUBSTITUTE(SUBSTITUTE(INDEX(職員マスタ!$B$6:$B$405,$AP2404)," ","")," ","")),"氏名がマスタと相違／","")&amp;IF(AND($Q2404&lt;&gt;"",INDEX(職員マスタ!$E$6:$E$405,$AP2404)&lt;&gt;"",$Q2404&lt;&gt;INDEX(職員マスタ!$E$6:$E$405,$AP2404)),"子の生年月日がマスタと相違／","")&amp;IF(AND($L2404&lt;&gt;"",INDEX(職員マスタ!$G$6:$G$405,$AP2404)&lt;&gt;"",$L2404&lt;&gt;INDEX(職員マスタ!$G$6:$G$405,$AP2404)),"時短開始日がマスタと相違／","")&amp;IF(AND($M2404&lt;&gt;"",INDEX(職員マスタ!$H$6:$H$405,$AP2404)&lt;&gt;"",$M2404&lt;&gt;INDEX(職員マスタ!$H$6:$H$405,$AP2404)),"時短終了日がマスタと相違／","")))&amp;IF(AND($B2404&lt;&gt;"",$E2404=""),"報酬額が未入力／","")&amp;IF(N($U2404)&gt;0,"申請書に入力エラーが残っています／","")&amp;IF(AND($B2404&lt;&gt;"",$AQ2404&lt;&gt;""),IF(COUNTIFS($B$6:$B$3005,$B2404,$C$6:$C$3005,$C2404,$D$6:$D$3005,$D2404)&gt;1,"同じ月の請求が重複しています／",""),"")&amp;IF(AND(N($E2404)&gt;0,$AB2404&lt;&gt;"",$AB2404&lt;&gt;"×",$AE2404=0,$AD2404=""),"計算額が下限以下のため不支給／",""))</f>
        <v/>
      </c>
      <c r="AN2404" s="12" t="n"/>
      <c r="AO2404" s="14">
        <f>IF($AF2404="保留中",COUNTIF($AF$6:$AF2404,"保留中"),"")</f>
        <v/>
      </c>
      <c r="AP2404" s="14">
        <f>IF($AQ2404="","",IF(SUMPRODUCT(MAX((職員マスタ!$A$6:$A$405=$B2404)*(((職員マスタ!$G$6:$G$405="")+(職員マスタ!$G$6:$G$405&lt;=EOMONTH($AQ2404,0)))&gt;0)*(((職員マスタ!$H$6:$H$405="")+(職員マスタ!$H$6:$H$405&gt;=$AQ2404))&gt;0)*(ROW(職員マスタ!$A$6:$A$405)-5)))&gt;0,SUMPRODUCT(MAX((職員マスタ!$A$6:$A$405=$B2404)*(((職員マスタ!$G$6:$G$405="")+(職員マスタ!$G$6:$G$405&lt;=EOMONTH($AQ2404,0)))&gt;0)*(((職員マスタ!$H$6:$H$405="")+(職員マスタ!$H$6:$H$405&gt;=$AQ2404))&gt;0)*(ROW(職員マスタ!$A$6:$A$405)-5))),IFERROR(MATCH($B2404,職員マスタ!$A$6:$A$405,0),"")))</f>
        <v/>
      </c>
      <c r="AQ2404" s="16">
        <f>IF(OR($B2404="",$C2404="",$D2404=""),"",DATE($C2404+2018,$D2404,1))</f>
        <v/>
      </c>
    </row>
    <row r="2405">
      <c r="A2405" s="11" t="n"/>
      <c r="B2405" s="12" t="n"/>
      <c r="C2405" s="12" t="n"/>
      <c r="D2405" s="12" t="n"/>
      <c r="E2405" s="13" t="n"/>
      <c r="F2405" s="12" t="n"/>
      <c r="G2405" s="13" t="n"/>
      <c r="H2405" s="12" t="n"/>
      <c r="I2405" s="12" t="n"/>
      <c r="J2405" s="12" t="n"/>
      <c r="K2405" s="12" t="n"/>
      <c r="L2405" s="11" t="n"/>
      <c r="M2405" s="11" t="n"/>
      <c r="N2405" s="11" t="n"/>
      <c r="O2405" s="11" t="n"/>
      <c r="P2405" s="12" t="n"/>
      <c r="Q2405" s="11" t="n"/>
      <c r="R2405" s="12" t="n"/>
      <c r="S2405" s="11" t="n"/>
      <c r="T2405" s="12" t="n"/>
      <c r="U2405" s="12" t="n"/>
      <c r="V2405" s="12" t="n"/>
      <c r="W2405" s="13" t="n"/>
      <c r="X2405" s="14">
        <f>IF($AP2405="",IF($B2405="","",$H2405),IF(INDEX(職員マスタ!$B$6:$B$405,$AP2405)="",$H2405,INDEX(職員マスタ!$B$6:$B$405,$AP2405)))</f>
        <v/>
      </c>
      <c r="Y2405" s="14">
        <f>IF($AP2405="",IF($B2405="","",$R2405),IF(INDEX(職員マスタ!$C$6:$C$405,$AP2405)="",$R2405,INDEX(職員マスタ!$C$6:$C$405,$AP2405)))</f>
        <v/>
      </c>
      <c r="Z2405" s="14">
        <f>IF($AQ2405="","","R"&amp;$C2405&amp;"."&amp;$D2405)</f>
        <v/>
      </c>
      <c r="AA2405" s="15">
        <f>IF(IF($AP2405="",FALSE,INDEX(職員マスタ!$K$6:$K$405,$AP2405)&lt;&gt;""),INDEX(職員マスタ!$K$6:$K$405,$AP2405),IF(N($W2405)&gt;0,$W2405,""))</f>
        <v/>
      </c>
      <c r="AB2405" s="14">
        <f>IF(OR($E2405="",$AA2405=""),"",IF($E2405&gt;=$AA2405,"×",IF($E2405&gt;=$AA2405*設定!$C$5,"△","○")))</f>
        <v/>
      </c>
      <c r="AC2405" s="15">
        <f>IF($AB2405="","",IF($AB2405="×",0,IF($AB2405="○",ROUNDDOWN($E2405*設定!$C$4,0),ROUNDDOWN($E2405*ROUND((9*$AA2405-9*$E2405)/(10*$E2405),4),0))))</f>
        <v/>
      </c>
      <c r="AD2405" s="13" t="n"/>
      <c r="AE2405" s="15">
        <f>IF($B2405="","",IF($AD2405&lt;&gt;"",$AD2405,IF($AC2405="","",IF($AC2405&lt;=設定!$C$3,0,$AC2405))))</f>
        <v/>
      </c>
      <c r="AF2405" s="14">
        <f>IF($B2405="","",IF(AND($AG2405&lt;&gt;"",$AI2405="",$AL2405=""),"保留中",IF($AL2405&lt;&gt;"",IF(N($AE2405)&gt;0,"支給済","不支給"),IF($AE2405="","要確認",IF($AE2405=0,"不支給","未処理")))))</f>
        <v/>
      </c>
      <c r="AG2405" s="12" t="n"/>
      <c r="AH2405" s="11" t="n"/>
      <c r="AI2405" s="11" t="n"/>
      <c r="AJ2405" s="11" t="n"/>
      <c r="AK2405" s="14">
        <f>IF(AND($AF2405="保留中",$AH2405&lt;&gt;""),TODAY()-$AH2405,"")</f>
        <v/>
      </c>
      <c r="AL2405" s="12" t="n"/>
      <c r="AM2405" s="14">
        <f>IF($B2405="","",IF($AQ2405="","対象年月が未入力／","")&amp;IF($B2405="","",IF($AP2405="","職員マスタに未登録の職員番号／",IF($AA2405="","標準報酬月額が未登録／","")&amp;IF(AND($AQ2405&lt;&gt;"",OR(AND(INDEX(職員マスタ!$G$6:$G$405,$AP2405)&lt;&gt;"",INDEX(職員マスタ!$G$6:$G$405,$AP2405)&gt;EOMONTH($AQ2405,0)),AND(INDEX(職員マスタ!$H$6:$H$405,$AP2405)&lt;&gt;"",INDEX(職員マスタ!$H$6:$H$405,$AP2405)&lt;$AQ2405))),"対象月が時短期間外／","")&amp;IF(AND(INDEX(職員マスタ!$K$6:$K$405,$AP2405)&lt;&gt;"",N($W2405)&gt;0,INDEX(職員マスタ!$K$6:$K$405,$AP2405)&lt;&gt;$W2405),"標準報酬月額が申請書と相違（台帳"&amp;TEXT(INDEX(職員マスタ!$K$6:$K$405,$AP2405),"#,##0")&amp;"円／申請書"&amp;TEXT($W2405,"#,##0")&amp;"円）／","")&amp;IF(AND(INDEX(職員マスタ!$F$6:$F$405,$AP2405)&lt;&gt;"",$AQ2405&lt;&gt;"",INDEX(職員マスタ!$F$6:$F$405,$AP2405)&lt;$AQ2405),"対象月に子が2歳到達済／","")&amp;IF(AND($H2405&lt;&gt;"",INDEX(職員マスタ!$B$6:$B$405,$AP2405)&lt;&gt;"",SUBSTITUTE(SUBSTITUTE($H2405," ","")," ","")&lt;&gt;SUBSTITUTE(SUBSTITUTE(INDEX(職員マスタ!$B$6:$B$405,$AP2405)," ","")," ","")),"氏名がマスタと相違／","")&amp;IF(AND($Q2405&lt;&gt;"",INDEX(職員マスタ!$E$6:$E$405,$AP2405)&lt;&gt;"",$Q2405&lt;&gt;INDEX(職員マスタ!$E$6:$E$405,$AP2405)),"子の生年月日がマスタと相違／","")&amp;IF(AND($L2405&lt;&gt;"",INDEX(職員マスタ!$G$6:$G$405,$AP2405)&lt;&gt;"",$L2405&lt;&gt;INDEX(職員マスタ!$G$6:$G$405,$AP2405)),"時短開始日がマスタと相違／","")&amp;IF(AND($M2405&lt;&gt;"",INDEX(職員マスタ!$H$6:$H$405,$AP2405)&lt;&gt;"",$M2405&lt;&gt;INDEX(職員マスタ!$H$6:$H$405,$AP2405)),"時短終了日がマスタと相違／","")))&amp;IF(AND($B2405&lt;&gt;"",$E2405=""),"報酬額が未入力／","")&amp;IF(N($U2405)&gt;0,"申請書に入力エラーが残っています／","")&amp;IF(AND($B2405&lt;&gt;"",$AQ2405&lt;&gt;""),IF(COUNTIFS($B$6:$B$3005,$B2405,$C$6:$C$3005,$C2405,$D$6:$D$3005,$D2405)&gt;1,"同じ月の請求が重複しています／",""),"")&amp;IF(AND(N($E2405)&gt;0,$AB2405&lt;&gt;"",$AB2405&lt;&gt;"×",$AE2405=0,$AD2405=""),"計算額が下限以下のため不支給／",""))</f>
        <v/>
      </c>
      <c r="AN2405" s="12" t="n"/>
      <c r="AO2405" s="14">
        <f>IF($AF2405="保留中",COUNTIF($AF$6:$AF2405,"保留中"),"")</f>
        <v/>
      </c>
      <c r="AP2405" s="14">
        <f>IF($AQ2405="","",IF(SUMPRODUCT(MAX((職員マスタ!$A$6:$A$405=$B2405)*(((職員マスタ!$G$6:$G$405="")+(職員マスタ!$G$6:$G$405&lt;=EOMONTH($AQ2405,0)))&gt;0)*(((職員マスタ!$H$6:$H$405="")+(職員マスタ!$H$6:$H$405&gt;=$AQ2405))&gt;0)*(ROW(職員マスタ!$A$6:$A$405)-5)))&gt;0,SUMPRODUCT(MAX((職員マスタ!$A$6:$A$405=$B2405)*(((職員マスタ!$G$6:$G$405="")+(職員マスタ!$G$6:$G$405&lt;=EOMONTH($AQ2405,0)))&gt;0)*(((職員マスタ!$H$6:$H$405="")+(職員マスタ!$H$6:$H$405&gt;=$AQ2405))&gt;0)*(ROW(職員マスタ!$A$6:$A$405)-5))),IFERROR(MATCH($B2405,職員マスタ!$A$6:$A$405,0),"")))</f>
        <v/>
      </c>
      <c r="AQ2405" s="16">
        <f>IF(OR($B2405="",$C2405="",$D2405=""),"",DATE($C2405+2018,$D2405,1))</f>
        <v/>
      </c>
    </row>
    <row r="2406">
      <c r="A2406" s="11" t="n"/>
      <c r="B2406" s="12" t="n"/>
      <c r="C2406" s="12" t="n"/>
      <c r="D2406" s="12" t="n"/>
      <c r="E2406" s="13" t="n"/>
      <c r="F2406" s="12" t="n"/>
      <c r="G2406" s="13" t="n"/>
      <c r="H2406" s="12" t="n"/>
      <c r="I2406" s="12" t="n"/>
      <c r="J2406" s="12" t="n"/>
      <c r="K2406" s="12" t="n"/>
      <c r="L2406" s="11" t="n"/>
      <c r="M2406" s="11" t="n"/>
      <c r="N2406" s="11" t="n"/>
      <c r="O2406" s="11" t="n"/>
      <c r="P2406" s="12" t="n"/>
      <c r="Q2406" s="11" t="n"/>
      <c r="R2406" s="12" t="n"/>
      <c r="S2406" s="11" t="n"/>
      <c r="T2406" s="12" t="n"/>
      <c r="U2406" s="12" t="n"/>
      <c r="V2406" s="12" t="n"/>
      <c r="W2406" s="13" t="n"/>
      <c r="X2406" s="14">
        <f>IF($AP2406="",IF($B2406="","",$H2406),IF(INDEX(職員マスタ!$B$6:$B$405,$AP2406)="",$H2406,INDEX(職員マスタ!$B$6:$B$405,$AP2406)))</f>
        <v/>
      </c>
      <c r="Y2406" s="14">
        <f>IF($AP2406="",IF($B2406="","",$R2406),IF(INDEX(職員マスタ!$C$6:$C$405,$AP2406)="",$R2406,INDEX(職員マスタ!$C$6:$C$405,$AP2406)))</f>
        <v/>
      </c>
      <c r="Z2406" s="14">
        <f>IF($AQ2406="","","R"&amp;$C2406&amp;"."&amp;$D2406)</f>
        <v/>
      </c>
      <c r="AA2406" s="15">
        <f>IF(IF($AP2406="",FALSE,INDEX(職員マスタ!$K$6:$K$405,$AP2406)&lt;&gt;""),INDEX(職員マスタ!$K$6:$K$405,$AP2406),IF(N($W2406)&gt;0,$W2406,""))</f>
        <v/>
      </c>
      <c r="AB2406" s="14">
        <f>IF(OR($E2406="",$AA2406=""),"",IF($E2406&gt;=$AA2406,"×",IF($E2406&gt;=$AA2406*設定!$C$5,"△","○")))</f>
        <v/>
      </c>
      <c r="AC2406" s="15">
        <f>IF($AB2406="","",IF($AB2406="×",0,IF($AB2406="○",ROUNDDOWN($E2406*設定!$C$4,0),ROUNDDOWN($E2406*ROUND((9*$AA2406-9*$E2406)/(10*$E2406),4),0))))</f>
        <v/>
      </c>
      <c r="AD2406" s="13" t="n"/>
      <c r="AE2406" s="15">
        <f>IF($B2406="","",IF($AD2406&lt;&gt;"",$AD2406,IF($AC2406="","",IF($AC2406&lt;=設定!$C$3,0,$AC2406))))</f>
        <v/>
      </c>
      <c r="AF2406" s="14">
        <f>IF($B2406="","",IF(AND($AG2406&lt;&gt;"",$AI2406="",$AL2406=""),"保留中",IF($AL2406&lt;&gt;"",IF(N($AE2406)&gt;0,"支給済","不支給"),IF($AE2406="","要確認",IF($AE2406=0,"不支給","未処理")))))</f>
        <v/>
      </c>
      <c r="AG2406" s="12" t="n"/>
      <c r="AH2406" s="11" t="n"/>
      <c r="AI2406" s="11" t="n"/>
      <c r="AJ2406" s="11" t="n"/>
      <c r="AK2406" s="14">
        <f>IF(AND($AF2406="保留中",$AH2406&lt;&gt;""),TODAY()-$AH2406,"")</f>
        <v/>
      </c>
      <c r="AL2406" s="12" t="n"/>
      <c r="AM2406" s="14">
        <f>IF($B2406="","",IF($AQ2406="","対象年月が未入力／","")&amp;IF($B2406="","",IF($AP2406="","職員マスタに未登録の職員番号／",IF($AA2406="","標準報酬月額が未登録／","")&amp;IF(AND($AQ2406&lt;&gt;"",OR(AND(INDEX(職員マスタ!$G$6:$G$405,$AP2406)&lt;&gt;"",INDEX(職員マスタ!$G$6:$G$405,$AP2406)&gt;EOMONTH($AQ2406,0)),AND(INDEX(職員マスタ!$H$6:$H$405,$AP2406)&lt;&gt;"",INDEX(職員マスタ!$H$6:$H$405,$AP2406)&lt;$AQ2406))),"対象月が時短期間外／","")&amp;IF(AND(INDEX(職員マスタ!$K$6:$K$405,$AP2406)&lt;&gt;"",N($W2406)&gt;0,INDEX(職員マスタ!$K$6:$K$405,$AP2406)&lt;&gt;$W2406),"標準報酬月額が申請書と相違（台帳"&amp;TEXT(INDEX(職員マスタ!$K$6:$K$405,$AP2406),"#,##0")&amp;"円／申請書"&amp;TEXT($W2406,"#,##0")&amp;"円）／","")&amp;IF(AND(INDEX(職員マスタ!$F$6:$F$405,$AP2406)&lt;&gt;"",$AQ2406&lt;&gt;"",INDEX(職員マスタ!$F$6:$F$405,$AP2406)&lt;$AQ2406),"対象月に子が2歳到達済／","")&amp;IF(AND($H2406&lt;&gt;"",INDEX(職員マスタ!$B$6:$B$405,$AP2406)&lt;&gt;"",SUBSTITUTE(SUBSTITUTE($H2406," ","")," ","")&lt;&gt;SUBSTITUTE(SUBSTITUTE(INDEX(職員マスタ!$B$6:$B$405,$AP2406)," ","")," ","")),"氏名がマスタと相違／","")&amp;IF(AND($Q2406&lt;&gt;"",INDEX(職員マスタ!$E$6:$E$405,$AP2406)&lt;&gt;"",$Q2406&lt;&gt;INDEX(職員マスタ!$E$6:$E$405,$AP2406)),"子の生年月日がマスタと相違／","")&amp;IF(AND($L2406&lt;&gt;"",INDEX(職員マスタ!$G$6:$G$405,$AP2406)&lt;&gt;"",$L2406&lt;&gt;INDEX(職員マスタ!$G$6:$G$405,$AP2406)),"時短開始日がマスタと相違／","")&amp;IF(AND($M2406&lt;&gt;"",INDEX(職員マスタ!$H$6:$H$405,$AP2406)&lt;&gt;"",$M2406&lt;&gt;INDEX(職員マスタ!$H$6:$H$405,$AP2406)),"時短終了日がマスタと相違／","")))&amp;IF(AND($B2406&lt;&gt;"",$E2406=""),"報酬額が未入力／","")&amp;IF(N($U2406)&gt;0,"申請書に入力エラーが残っています／","")&amp;IF(AND($B2406&lt;&gt;"",$AQ2406&lt;&gt;""),IF(COUNTIFS($B$6:$B$3005,$B2406,$C$6:$C$3005,$C2406,$D$6:$D$3005,$D2406)&gt;1,"同じ月の請求が重複しています／",""),"")&amp;IF(AND(N($E2406)&gt;0,$AB2406&lt;&gt;"",$AB2406&lt;&gt;"×",$AE2406=0,$AD2406=""),"計算額が下限以下のため不支給／",""))</f>
        <v/>
      </c>
      <c r="AN2406" s="12" t="n"/>
      <c r="AO2406" s="14">
        <f>IF($AF2406="保留中",COUNTIF($AF$6:$AF2406,"保留中"),"")</f>
        <v/>
      </c>
      <c r="AP2406" s="14">
        <f>IF($AQ2406="","",IF(SUMPRODUCT(MAX((職員マスタ!$A$6:$A$405=$B2406)*(((職員マスタ!$G$6:$G$405="")+(職員マスタ!$G$6:$G$405&lt;=EOMONTH($AQ2406,0)))&gt;0)*(((職員マスタ!$H$6:$H$405="")+(職員マスタ!$H$6:$H$405&gt;=$AQ2406))&gt;0)*(ROW(職員マスタ!$A$6:$A$405)-5)))&gt;0,SUMPRODUCT(MAX((職員マスタ!$A$6:$A$405=$B2406)*(((職員マスタ!$G$6:$G$405="")+(職員マスタ!$G$6:$G$405&lt;=EOMONTH($AQ2406,0)))&gt;0)*(((職員マスタ!$H$6:$H$405="")+(職員マスタ!$H$6:$H$405&gt;=$AQ2406))&gt;0)*(ROW(職員マスタ!$A$6:$A$405)-5))),IFERROR(MATCH($B2406,職員マスタ!$A$6:$A$405,0),"")))</f>
        <v/>
      </c>
      <c r="AQ2406" s="16">
        <f>IF(OR($B2406="",$C2406="",$D2406=""),"",DATE($C2406+2018,$D2406,1))</f>
        <v/>
      </c>
    </row>
    <row r="2407">
      <c r="A2407" s="11" t="n"/>
      <c r="B2407" s="12" t="n"/>
      <c r="C2407" s="12" t="n"/>
      <c r="D2407" s="12" t="n"/>
      <c r="E2407" s="13" t="n"/>
      <c r="F2407" s="12" t="n"/>
      <c r="G2407" s="13" t="n"/>
      <c r="H2407" s="12" t="n"/>
      <c r="I2407" s="12" t="n"/>
      <c r="J2407" s="12" t="n"/>
      <c r="K2407" s="12" t="n"/>
      <c r="L2407" s="11" t="n"/>
      <c r="M2407" s="11" t="n"/>
      <c r="N2407" s="11" t="n"/>
      <c r="O2407" s="11" t="n"/>
      <c r="P2407" s="12" t="n"/>
      <c r="Q2407" s="11" t="n"/>
      <c r="R2407" s="12" t="n"/>
      <c r="S2407" s="11" t="n"/>
      <c r="T2407" s="12" t="n"/>
      <c r="U2407" s="12" t="n"/>
      <c r="V2407" s="12" t="n"/>
      <c r="W2407" s="13" t="n"/>
      <c r="X2407" s="14">
        <f>IF($AP2407="",IF($B2407="","",$H2407),IF(INDEX(職員マスタ!$B$6:$B$405,$AP2407)="",$H2407,INDEX(職員マスタ!$B$6:$B$405,$AP2407)))</f>
        <v/>
      </c>
      <c r="Y2407" s="14">
        <f>IF($AP2407="",IF($B2407="","",$R2407),IF(INDEX(職員マスタ!$C$6:$C$405,$AP2407)="",$R2407,INDEX(職員マスタ!$C$6:$C$405,$AP2407)))</f>
        <v/>
      </c>
      <c r="Z2407" s="14">
        <f>IF($AQ2407="","","R"&amp;$C2407&amp;"."&amp;$D2407)</f>
        <v/>
      </c>
      <c r="AA2407" s="15">
        <f>IF(IF($AP2407="",FALSE,INDEX(職員マスタ!$K$6:$K$405,$AP2407)&lt;&gt;""),INDEX(職員マスタ!$K$6:$K$405,$AP2407),IF(N($W2407)&gt;0,$W2407,""))</f>
        <v/>
      </c>
      <c r="AB2407" s="14">
        <f>IF(OR($E2407="",$AA2407=""),"",IF($E2407&gt;=$AA2407,"×",IF($E2407&gt;=$AA2407*設定!$C$5,"△","○")))</f>
        <v/>
      </c>
      <c r="AC2407" s="15">
        <f>IF($AB2407="","",IF($AB2407="×",0,IF($AB2407="○",ROUNDDOWN($E2407*設定!$C$4,0),ROUNDDOWN($E2407*ROUND((9*$AA2407-9*$E2407)/(10*$E2407),4),0))))</f>
        <v/>
      </c>
      <c r="AD2407" s="13" t="n"/>
      <c r="AE2407" s="15">
        <f>IF($B2407="","",IF($AD2407&lt;&gt;"",$AD2407,IF($AC2407="","",IF($AC2407&lt;=設定!$C$3,0,$AC2407))))</f>
        <v/>
      </c>
      <c r="AF2407" s="14">
        <f>IF($B2407="","",IF(AND($AG2407&lt;&gt;"",$AI2407="",$AL2407=""),"保留中",IF($AL2407&lt;&gt;"",IF(N($AE2407)&gt;0,"支給済","不支給"),IF($AE2407="","要確認",IF($AE2407=0,"不支給","未処理")))))</f>
        <v/>
      </c>
      <c r="AG2407" s="12" t="n"/>
      <c r="AH2407" s="11" t="n"/>
      <c r="AI2407" s="11" t="n"/>
      <c r="AJ2407" s="11" t="n"/>
      <c r="AK2407" s="14">
        <f>IF(AND($AF2407="保留中",$AH2407&lt;&gt;""),TODAY()-$AH2407,"")</f>
        <v/>
      </c>
      <c r="AL2407" s="12" t="n"/>
      <c r="AM2407" s="14">
        <f>IF($B2407="","",IF($AQ2407="","対象年月が未入力／","")&amp;IF($B2407="","",IF($AP2407="","職員マスタに未登録の職員番号／",IF($AA2407="","標準報酬月額が未登録／","")&amp;IF(AND($AQ2407&lt;&gt;"",OR(AND(INDEX(職員マスタ!$G$6:$G$405,$AP2407)&lt;&gt;"",INDEX(職員マスタ!$G$6:$G$405,$AP2407)&gt;EOMONTH($AQ2407,0)),AND(INDEX(職員マスタ!$H$6:$H$405,$AP2407)&lt;&gt;"",INDEX(職員マスタ!$H$6:$H$405,$AP2407)&lt;$AQ2407))),"対象月が時短期間外／","")&amp;IF(AND(INDEX(職員マスタ!$K$6:$K$405,$AP2407)&lt;&gt;"",N($W2407)&gt;0,INDEX(職員マスタ!$K$6:$K$405,$AP2407)&lt;&gt;$W2407),"標準報酬月額が申請書と相違（台帳"&amp;TEXT(INDEX(職員マスタ!$K$6:$K$405,$AP2407),"#,##0")&amp;"円／申請書"&amp;TEXT($W2407,"#,##0")&amp;"円）／","")&amp;IF(AND(INDEX(職員マスタ!$F$6:$F$405,$AP2407)&lt;&gt;"",$AQ2407&lt;&gt;"",INDEX(職員マスタ!$F$6:$F$405,$AP2407)&lt;$AQ2407),"対象月に子が2歳到達済／","")&amp;IF(AND($H2407&lt;&gt;"",INDEX(職員マスタ!$B$6:$B$405,$AP2407)&lt;&gt;"",SUBSTITUTE(SUBSTITUTE($H2407," ","")," ","")&lt;&gt;SUBSTITUTE(SUBSTITUTE(INDEX(職員マスタ!$B$6:$B$405,$AP2407)," ","")," ","")),"氏名がマスタと相違／","")&amp;IF(AND($Q2407&lt;&gt;"",INDEX(職員マスタ!$E$6:$E$405,$AP2407)&lt;&gt;"",$Q2407&lt;&gt;INDEX(職員マスタ!$E$6:$E$405,$AP2407)),"子の生年月日がマスタと相違／","")&amp;IF(AND($L2407&lt;&gt;"",INDEX(職員マスタ!$G$6:$G$405,$AP2407)&lt;&gt;"",$L2407&lt;&gt;INDEX(職員マスタ!$G$6:$G$405,$AP2407)),"時短開始日がマスタと相違／","")&amp;IF(AND($M2407&lt;&gt;"",INDEX(職員マスタ!$H$6:$H$405,$AP2407)&lt;&gt;"",$M2407&lt;&gt;INDEX(職員マスタ!$H$6:$H$405,$AP2407)),"時短終了日がマスタと相違／","")))&amp;IF(AND($B2407&lt;&gt;"",$E2407=""),"報酬額が未入力／","")&amp;IF(N($U2407)&gt;0,"申請書に入力エラーが残っています／","")&amp;IF(AND($B2407&lt;&gt;"",$AQ2407&lt;&gt;""),IF(COUNTIFS($B$6:$B$3005,$B2407,$C$6:$C$3005,$C2407,$D$6:$D$3005,$D2407)&gt;1,"同じ月の請求が重複しています／",""),"")&amp;IF(AND(N($E2407)&gt;0,$AB2407&lt;&gt;"",$AB2407&lt;&gt;"×",$AE2407=0,$AD2407=""),"計算額が下限以下のため不支給／",""))</f>
        <v/>
      </c>
      <c r="AN2407" s="12" t="n"/>
      <c r="AO2407" s="14">
        <f>IF($AF2407="保留中",COUNTIF($AF$6:$AF2407,"保留中"),"")</f>
        <v/>
      </c>
      <c r="AP2407" s="14">
        <f>IF($AQ2407="","",IF(SUMPRODUCT(MAX((職員マスタ!$A$6:$A$405=$B2407)*(((職員マスタ!$G$6:$G$405="")+(職員マスタ!$G$6:$G$405&lt;=EOMONTH($AQ2407,0)))&gt;0)*(((職員マスタ!$H$6:$H$405="")+(職員マスタ!$H$6:$H$405&gt;=$AQ2407))&gt;0)*(ROW(職員マスタ!$A$6:$A$405)-5)))&gt;0,SUMPRODUCT(MAX((職員マスタ!$A$6:$A$405=$B2407)*(((職員マスタ!$G$6:$G$405="")+(職員マスタ!$G$6:$G$405&lt;=EOMONTH($AQ2407,0)))&gt;0)*(((職員マスタ!$H$6:$H$405="")+(職員マスタ!$H$6:$H$405&gt;=$AQ2407))&gt;0)*(ROW(職員マスタ!$A$6:$A$405)-5))),IFERROR(MATCH($B2407,職員マスタ!$A$6:$A$405,0),"")))</f>
        <v/>
      </c>
      <c r="AQ2407" s="16">
        <f>IF(OR($B2407="",$C2407="",$D2407=""),"",DATE($C2407+2018,$D2407,1))</f>
        <v/>
      </c>
    </row>
    <row r="2408">
      <c r="A2408" s="11" t="n"/>
      <c r="B2408" s="12" t="n"/>
      <c r="C2408" s="12" t="n"/>
      <c r="D2408" s="12" t="n"/>
      <c r="E2408" s="13" t="n"/>
      <c r="F2408" s="12" t="n"/>
      <c r="G2408" s="13" t="n"/>
      <c r="H2408" s="12" t="n"/>
      <c r="I2408" s="12" t="n"/>
      <c r="J2408" s="12" t="n"/>
      <c r="K2408" s="12" t="n"/>
      <c r="L2408" s="11" t="n"/>
      <c r="M2408" s="11" t="n"/>
      <c r="N2408" s="11" t="n"/>
      <c r="O2408" s="11" t="n"/>
      <c r="P2408" s="12" t="n"/>
      <c r="Q2408" s="11" t="n"/>
      <c r="R2408" s="12" t="n"/>
      <c r="S2408" s="11" t="n"/>
      <c r="T2408" s="12" t="n"/>
      <c r="U2408" s="12" t="n"/>
      <c r="V2408" s="12" t="n"/>
      <c r="W2408" s="13" t="n"/>
      <c r="X2408" s="14">
        <f>IF($AP2408="",IF($B2408="","",$H2408),IF(INDEX(職員マスタ!$B$6:$B$405,$AP2408)="",$H2408,INDEX(職員マスタ!$B$6:$B$405,$AP2408)))</f>
        <v/>
      </c>
      <c r="Y2408" s="14">
        <f>IF($AP2408="",IF($B2408="","",$R2408),IF(INDEX(職員マスタ!$C$6:$C$405,$AP2408)="",$R2408,INDEX(職員マスタ!$C$6:$C$405,$AP2408)))</f>
        <v/>
      </c>
      <c r="Z2408" s="14">
        <f>IF($AQ2408="","","R"&amp;$C2408&amp;"."&amp;$D2408)</f>
        <v/>
      </c>
      <c r="AA2408" s="15">
        <f>IF(IF($AP2408="",FALSE,INDEX(職員マスタ!$K$6:$K$405,$AP2408)&lt;&gt;""),INDEX(職員マスタ!$K$6:$K$405,$AP2408),IF(N($W2408)&gt;0,$W2408,""))</f>
        <v/>
      </c>
      <c r="AB2408" s="14">
        <f>IF(OR($E2408="",$AA2408=""),"",IF($E2408&gt;=$AA2408,"×",IF($E2408&gt;=$AA2408*設定!$C$5,"△","○")))</f>
        <v/>
      </c>
      <c r="AC2408" s="15">
        <f>IF($AB2408="","",IF($AB2408="×",0,IF($AB2408="○",ROUNDDOWN($E2408*設定!$C$4,0),ROUNDDOWN($E2408*ROUND((9*$AA2408-9*$E2408)/(10*$E2408),4),0))))</f>
        <v/>
      </c>
      <c r="AD2408" s="13" t="n"/>
      <c r="AE2408" s="15">
        <f>IF($B2408="","",IF($AD2408&lt;&gt;"",$AD2408,IF($AC2408="","",IF($AC2408&lt;=設定!$C$3,0,$AC2408))))</f>
        <v/>
      </c>
      <c r="AF2408" s="14">
        <f>IF($B2408="","",IF(AND($AG2408&lt;&gt;"",$AI2408="",$AL2408=""),"保留中",IF($AL2408&lt;&gt;"",IF(N($AE2408)&gt;0,"支給済","不支給"),IF($AE2408="","要確認",IF($AE2408=0,"不支給","未処理")))))</f>
        <v/>
      </c>
      <c r="AG2408" s="12" t="n"/>
      <c r="AH2408" s="11" t="n"/>
      <c r="AI2408" s="11" t="n"/>
      <c r="AJ2408" s="11" t="n"/>
      <c r="AK2408" s="14">
        <f>IF(AND($AF2408="保留中",$AH2408&lt;&gt;""),TODAY()-$AH2408,"")</f>
        <v/>
      </c>
      <c r="AL2408" s="12" t="n"/>
      <c r="AM2408" s="14">
        <f>IF($B2408="","",IF($AQ2408="","対象年月が未入力／","")&amp;IF($B2408="","",IF($AP2408="","職員マスタに未登録の職員番号／",IF($AA2408="","標準報酬月額が未登録／","")&amp;IF(AND($AQ2408&lt;&gt;"",OR(AND(INDEX(職員マスタ!$G$6:$G$405,$AP2408)&lt;&gt;"",INDEX(職員マスタ!$G$6:$G$405,$AP2408)&gt;EOMONTH($AQ2408,0)),AND(INDEX(職員マスタ!$H$6:$H$405,$AP2408)&lt;&gt;"",INDEX(職員マスタ!$H$6:$H$405,$AP2408)&lt;$AQ2408))),"対象月が時短期間外／","")&amp;IF(AND(INDEX(職員マスタ!$K$6:$K$405,$AP2408)&lt;&gt;"",N($W2408)&gt;0,INDEX(職員マスタ!$K$6:$K$405,$AP2408)&lt;&gt;$W2408),"標準報酬月額が申請書と相違（台帳"&amp;TEXT(INDEX(職員マスタ!$K$6:$K$405,$AP2408),"#,##0")&amp;"円／申請書"&amp;TEXT($W2408,"#,##0")&amp;"円）／","")&amp;IF(AND(INDEX(職員マスタ!$F$6:$F$405,$AP2408)&lt;&gt;"",$AQ2408&lt;&gt;"",INDEX(職員マスタ!$F$6:$F$405,$AP2408)&lt;$AQ2408),"対象月に子が2歳到達済／","")&amp;IF(AND($H2408&lt;&gt;"",INDEX(職員マスタ!$B$6:$B$405,$AP2408)&lt;&gt;"",SUBSTITUTE(SUBSTITUTE($H2408," ","")," ","")&lt;&gt;SUBSTITUTE(SUBSTITUTE(INDEX(職員マスタ!$B$6:$B$405,$AP2408)," ","")," ","")),"氏名がマスタと相違／","")&amp;IF(AND($Q2408&lt;&gt;"",INDEX(職員マスタ!$E$6:$E$405,$AP2408)&lt;&gt;"",$Q2408&lt;&gt;INDEX(職員マスタ!$E$6:$E$405,$AP2408)),"子の生年月日がマスタと相違／","")&amp;IF(AND($L2408&lt;&gt;"",INDEX(職員マスタ!$G$6:$G$405,$AP2408)&lt;&gt;"",$L2408&lt;&gt;INDEX(職員マスタ!$G$6:$G$405,$AP2408)),"時短開始日がマスタと相違／","")&amp;IF(AND($M2408&lt;&gt;"",INDEX(職員マスタ!$H$6:$H$405,$AP2408)&lt;&gt;"",$M2408&lt;&gt;INDEX(職員マスタ!$H$6:$H$405,$AP2408)),"時短終了日がマスタと相違／","")))&amp;IF(AND($B2408&lt;&gt;"",$E2408=""),"報酬額が未入力／","")&amp;IF(N($U2408)&gt;0,"申請書に入力エラーが残っています／","")&amp;IF(AND($B2408&lt;&gt;"",$AQ2408&lt;&gt;""),IF(COUNTIFS($B$6:$B$3005,$B2408,$C$6:$C$3005,$C2408,$D$6:$D$3005,$D2408)&gt;1,"同じ月の請求が重複しています／",""),"")&amp;IF(AND(N($E2408)&gt;0,$AB2408&lt;&gt;"",$AB2408&lt;&gt;"×",$AE2408=0,$AD2408=""),"計算額が下限以下のため不支給／",""))</f>
        <v/>
      </c>
      <c r="AN2408" s="12" t="n"/>
      <c r="AO2408" s="14">
        <f>IF($AF2408="保留中",COUNTIF($AF$6:$AF2408,"保留中"),"")</f>
        <v/>
      </c>
      <c r="AP2408" s="14">
        <f>IF($AQ2408="","",IF(SUMPRODUCT(MAX((職員マスタ!$A$6:$A$405=$B2408)*(((職員マスタ!$G$6:$G$405="")+(職員マスタ!$G$6:$G$405&lt;=EOMONTH($AQ2408,0)))&gt;0)*(((職員マスタ!$H$6:$H$405="")+(職員マスタ!$H$6:$H$405&gt;=$AQ2408))&gt;0)*(ROW(職員マスタ!$A$6:$A$405)-5)))&gt;0,SUMPRODUCT(MAX((職員マスタ!$A$6:$A$405=$B2408)*(((職員マスタ!$G$6:$G$405="")+(職員マスタ!$G$6:$G$405&lt;=EOMONTH($AQ2408,0)))&gt;0)*(((職員マスタ!$H$6:$H$405="")+(職員マスタ!$H$6:$H$405&gt;=$AQ2408))&gt;0)*(ROW(職員マスタ!$A$6:$A$405)-5))),IFERROR(MATCH($B2408,職員マスタ!$A$6:$A$405,0),"")))</f>
        <v/>
      </c>
      <c r="AQ2408" s="16">
        <f>IF(OR($B2408="",$C2408="",$D2408=""),"",DATE($C2408+2018,$D2408,1))</f>
        <v/>
      </c>
    </row>
    <row r="2409">
      <c r="A2409" s="11" t="n"/>
      <c r="B2409" s="12" t="n"/>
      <c r="C2409" s="12" t="n"/>
      <c r="D2409" s="12" t="n"/>
      <c r="E2409" s="13" t="n"/>
      <c r="F2409" s="12" t="n"/>
      <c r="G2409" s="13" t="n"/>
      <c r="H2409" s="12" t="n"/>
      <c r="I2409" s="12" t="n"/>
      <c r="J2409" s="12" t="n"/>
      <c r="K2409" s="12" t="n"/>
      <c r="L2409" s="11" t="n"/>
      <c r="M2409" s="11" t="n"/>
      <c r="N2409" s="11" t="n"/>
      <c r="O2409" s="11" t="n"/>
      <c r="P2409" s="12" t="n"/>
      <c r="Q2409" s="11" t="n"/>
      <c r="R2409" s="12" t="n"/>
      <c r="S2409" s="11" t="n"/>
      <c r="T2409" s="12" t="n"/>
      <c r="U2409" s="12" t="n"/>
      <c r="V2409" s="12" t="n"/>
      <c r="W2409" s="13" t="n"/>
      <c r="X2409" s="14">
        <f>IF($AP2409="",IF($B2409="","",$H2409),IF(INDEX(職員マスタ!$B$6:$B$405,$AP2409)="",$H2409,INDEX(職員マスタ!$B$6:$B$405,$AP2409)))</f>
        <v/>
      </c>
      <c r="Y2409" s="14">
        <f>IF($AP2409="",IF($B2409="","",$R2409),IF(INDEX(職員マスタ!$C$6:$C$405,$AP2409)="",$R2409,INDEX(職員マスタ!$C$6:$C$405,$AP2409)))</f>
        <v/>
      </c>
      <c r="Z2409" s="14">
        <f>IF($AQ2409="","","R"&amp;$C2409&amp;"."&amp;$D2409)</f>
        <v/>
      </c>
      <c r="AA2409" s="15">
        <f>IF(IF($AP2409="",FALSE,INDEX(職員マスタ!$K$6:$K$405,$AP2409)&lt;&gt;""),INDEX(職員マスタ!$K$6:$K$405,$AP2409),IF(N($W2409)&gt;0,$W2409,""))</f>
        <v/>
      </c>
      <c r="AB2409" s="14">
        <f>IF(OR($E2409="",$AA2409=""),"",IF($E2409&gt;=$AA2409,"×",IF($E2409&gt;=$AA2409*設定!$C$5,"△","○")))</f>
        <v/>
      </c>
      <c r="AC2409" s="15">
        <f>IF($AB2409="","",IF($AB2409="×",0,IF($AB2409="○",ROUNDDOWN($E2409*設定!$C$4,0),ROUNDDOWN($E2409*ROUND((9*$AA2409-9*$E2409)/(10*$E2409),4),0))))</f>
        <v/>
      </c>
      <c r="AD2409" s="13" t="n"/>
      <c r="AE2409" s="15">
        <f>IF($B2409="","",IF($AD2409&lt;&gt;"",$AD2409,IF($AC2409="","",IF($AC2409&lt;=設定!$C$3,0,$AC2409))))</f>
        <v/>
      </c>
      <c r="AF2409" s="14">
        <f>IF($B2409="","",IF(AND($AG2409&lt;&gt;"",$AI2409="",$AL2409=""),"保留中",IF($AL2409&lt;&gt;"",IF(N($AE2409)&gt;0,"支給済","不支給"),IF($AE2409="","要確認",IF($AE2409=0,"不支給","未処理")))))</f>
        <v/>
      </c>
      <c r="AG2409" s="12" t="n"/>
      <c r="AH2409" s="11" t="n"/>
      <c r="AI2409" s="11" t="n"/>
      <c r="AJ2409" s="11" t="n"/>
      <c r="AK2409" s="14">
        <f>IF(AND($AF2409="保留中",$AH2409&lt;&gt;""),TODAY()-$AH2409,"")</f>
        <v/>
      </c>
      <c r="AL2409" s="12" t="n"/>
      <c r="AM2409" s="14">
        <f>IF($B2409="","",IF($AQ2409="","対象年月が未入力／","")&amp;IF($B2409="","",IF($AP2409="","職員マスタに未登録の職員番号／",IF($AA2409="","標準報酬月額が未登録／","")&amp;IF(AND($AQ2409&lt;&gt;"",OR(AND(INDEX(職員マスタ!$G$6:$G$405,$AP2409)&lt;&gt;"",INDEX(職員マスタ!$G$6:$G$405,$AP2409)&gt;EOMONTH($AQ2409,0)),AND(INDEX(職員マスタ!$H$6:$H$405,$AP2409)&lt;&gt;"",INDEX(職員マスタ!$H$6:$H$405,$AP2409)&lt;$AQ2409))),"対象月が時短期間外／","")&amp;IF(AND(INDEX(職員マスタ!$K$6:$K$405,$AP2409)&lt;&gt;"",N($W2409)&gt;0,INDEX(職員マスタ!$K$6:$K$405,$AP2409)&lt;&gt;$W2409),"標準報酬月額が申請書と相違（台帳"&amp;TEXT(INDEX(職員マスタ!$K$6:$K$405,$AP2409),"#,##0")&amp;"円／申請書"&amp;TEXT($W2409,"#,##0")&amp;"円）／","")&amp;IF(AND(INDEX(職員マスタ!$F$6:$F$405,$AP2409)&lt;&gt;"",$AQ2409&lt;&gt;"",INDEX(職員マスタ!$F$6:$F$405,$AP2409)&lt;$AQ2409),"対象月に子が2歳到達済／","")&amp;IF(AND($H2409&lt;&gt;"",INDEX(職員マスタ!$B$6:$B$405,$AP2409)&lt;&gt;"",SUBSTITUTE(SUBSTITUTE($H2409," ","")," ","")&lt;&gt;SUBSTITUTE(SUBSTITUTE(INDEX(職員マスタ!$B$6:$B$405,$AP2409)," ","")," ","")),"氏名がマスタと相違／","")&amp;IF(AND($Q2409&lt;&gt;"",INDEX(職員マスタ!$E$6:$E$405,$AP2409)&lt;&gt;"",$Q2409&lt;&gt;INDEX(職員マスタ!$E$6:$E$405,$AP2409)),"子の生年月日がマスタと相違／","")&amp;IF(AND($L2409&lt;&gt;"",INDEX(職員マスタ!$G$6:$G$405,$AP2409)&lt;&gt;"",$L2409&lt;&gt;INDEX(職員マスタ!$G$6:$G$405,$AP2409)),"時短開始日がマスタと相違／","")&amp;IF(AND($M2409&lt;&gt;"",INDEX(職員マスタ!$H$6:$H$405,$AP2409)&lt;&gt;"",$M2409&lt;&gt;INDEX(職員マスタ!$H$6:$H$405,$AP2409)),"時短終了日がマスタと相違／","")))&amp;IF(AND($B2409&lt;&gt;"",$E2409=""),"報酬額が未入力／","")&amp;IF(N($U2409)&gt;0,"申請書に入力エラーが残っています／","")&amp;IF(AND($B2409&lt;&gt;"",$AQ2409&lt;&gt;""),IF(COUNTIFS($B$6:$B$3005,$B2409,$C$6:$C$3005,$C2409,$D$6:$D$3005,$D2409)&gt;1,"同じ月の請求が重複しています／",""),"")&amp;IF(AND(N($E2409)&gt;0,$AB2409&lt;&gt;"",$AB2409&lt;&gt;"×",$AE2409=0,$AD2409=""),"計算額が下限以下のため不支給／",""))</f>
        <v/>
      </c>
      <c r="AN2409" s="12" t="n"/>
      <c r="AO2409" s="14">
        <f>IF($AF2409="保留中",COUNTIF($AF$6:$AF2409,"保留中"),"")</f>
        <v/>
      </c>
      <c r="AP2409" s="14">
        <f>IF($AQ2409="","",IF(SUMPRODUCT(MAX((職員マスタ!$A$6:$A$405=$B2409)*(((職員マスタ!$G$6:$G$405="")+(職員マスタ!$G$6:$G$405&lt;=EOMONTH($AQ2409,0)))&gt;0)*(((職員マスタ!$H$6:$H$405="")+(職員マスタ!$H$6:$H$405&gt;=$AQ2409))&gt;0)*(ROW(職員マスタ!$A$6:$A$405)-5)))&gt;0,SUMPRODUCT(MAX((職員マスタ!$A$6:$A$405=$B2409)*(((職員マスタ!$G$6:$G$405="")+(職員マスタ!$G$6:$G$405&lt;=EOMONTH($AQ2409,0)))&gt;0)*(((職員マスタ!$H$6:$H$405="")+(職員マスタ!$H$6:$H$405&gt;=$AQ2409))&gt;0)*(ROW(職員マスタ!$A$6:$A$405)-5))),IFERROR(MATCH($B2409,職員マスタ!$A$6:$A$405,0),"")))</f>
        <v/>
      </c>
      <c r="AQ2409" s="16">
        <f>IF(OR($B2409="",$C2409="",$D2409=""),"",DATE($C2409+2018,$D2409,1))</f>
        <v/>
      </c>
    </row>
    <row r="2410">
      <c r="A2410" s="11" t="n"/>
      <c r="B2410" s="12" t="n"/>
      <c r="C2410" s="12" t="n"/>
      <c r="D2410" s="12" t="n"/>
      <c r="E2410" s="13" t="n"/>
      <c r="F2410" s="12" t="n"/>
      <c r="G2410" s="13" t="n"/>
      <c r="H2410" s="12" t="n"/>
      <c r="I2410" s="12" t="n"/>
      <c r="J2410" s="12" t="n"/>
      <c r="K2410" s="12" t="n"/>
      <c r="L2410" s="11" t="n"/>
      <c r="M2410" s="11" t="n"/>
      <c r="N2410" s="11" t="n"/>
      <c r="O2410" s="11" t="n"/>
      <c r="P2410" s="12" t="n"/>
      <c r="Q2410" s="11" t="n"/>
      <c r="R2410" s="12" t="n"/>
      <c r="S2410" s="11" t="n"/>
      <c r="T2410" s="12" t="n"/>
      <c r="U2410" s="12" t="n"/>
      <c r="V2410" s="12" t="n"/>
      <c r="W2410" s="13" t="n"/>
      <c r="X2410" s="14">
        <f>IF($AP2410="",IF($B2410="","",$H2410),IF(INDEX(職員マスタ!$B$6:$B$405,$AP2410)="",$H2410,INDEX(職員マスタ!$B$6:$B$405,$AP2410)))</f>
        <v/>
      </c>
      <c r="Y2410" s="14">
        <f>IF($AP2410="",IF($B2410="","",$R2410),IF(INDEX(職員マスタ!$C$6:$C$405,$AP2410)="",$R2410,INDEX(職員マスタ!$C$6:$C$405,$AP2410)))</f>
        <v/>
      </c>
      <c r="Z2410" s="14">
        <f>IF($AQ2410="","","R"&amp;$C2410&amp;"."&amp;$D2410)</f>
        <v/>
      </c>
      <c r="AA2410" s="15">
        <f>IF(IF($AP2410="",FALSE,INDEX(職員マスタ!$K$6:$K$405,$AP2410)&lt;&gt;""),INDEX(職員マスタ!$K$6:$K$405,$AP2410),IF(N($W2410)&gt;0,$W2410,""))</f>
        <v/>
      </c>
      <c r="AB2410" s="14">
        <f>IF(OR($E2410="",$AA2410=""),"",IF($E2410&gt;=$AA2410,"×",IF($E2410&gt;=$AA2410*設定!$C$5,"△","○")))</f>
        <v/>
      </c>
      <c r="AC2410" s="15">
        <f>IF($AB2410="","",IF($AB2410="×",0,IF($AB2410="○",ROUNDDOWN($E2410*設定!$C$4,0),ROUNDDOWN($E2410*ROUND((9*$AA2410-9*$E2410)/(10*$E2410),4),0))))</f>
        <v/>
      </c>
      <c r="AD2410" s="13" t="n"/>
      <c r="AE2410" s="15">
        <f>IF($B2410="","",IF($AD2410&lt;&gt;"",$AD2410,IF($AC2410="","",IF($AC2410&lt;=設定!$C$3,0,$AC2410))))</f>
        <v/>
      </c>
      <c r="AF2410" s="14">
        <f>IF($B2410="","",IF(AND($AG2410&lt;&gt;"",$AI2410="",$AL2410=""),"保留中",IF($AL2410&lt;&gt;"",IF(N($AE2410)&gt;0,"支給済","不支給"),IF($AE2410="","要確認",IF($AE2410=0,"不支給","未処理")))))</f>
        <v/>
      </c>
      <c r="AG2410" s="12" t="n"/>
      <c r="AH2410" s="11" t="n"/>
      <c r="AI2410" s="11" t="n"/>
      <c r="AJ2410" s="11" t="n"/>
      <c r="AK2410" s="14">
        <f>IF(AND($AF2410="保留中",$AH2410&lt;&gt;""),TODAY()-$AH2410,"")</f>
        <v/>
      </c>
      <c r="AL2410" s="12" t="n"/>
      <c r="AM2410" s="14">
        <f>IF($B2410="","",IF($AQ2410="","対象年月が未入力／","")&amp;IF($B2410="","",IF($AP2410="","職員マスタに未登録の職員番号／",IF($AA2410="","標準報酬月額が未登録／","")&amp;IF(AND($AQ2410&lt;&gt;"",OR(AND(INDEX(職員マスタ!$G$6:$G$405,$AP2410)&lt;&gt;"",INDEX(職員マスタ!$G$6:$G$405,$AP2410)&gt;EOMONTH($AQ2410,0)),AND(INDEX(職員マスタ!$H$6:$H$405,$AP2410)&lt;&gt;"",INDEX(職員マスタ!$H$6:$H$405,$AP2410)&lt;$AQ2410))),"対象月が時短期間外／","")&amp;IF(AND(INDEX(職員マスタ!$K$6:$K$405,$AP2410)&lt;&gt;"",N($W2410)&gt;0,INDEX(職員マスタ!$K$6:$K$405,$AP2410)&lt;&gt;$W2410),"標準報酬月額が申請書と相違（台帳"&amp;TEXT(INDEX(職員マスタ!$K$6:$K$405,$AP2410),"#,##0")&amp;"円／申請書"&amp;TEXT($W2410,"#,##0")&amp;"円）／","")&amp;IF(AND(INDEX(職員マスタ!$F$6:$F$405,$AP2410)&lt;&gt;"",$AQ2410&lt;&gt;"",INDEX(職員マスタ!$F$6:$F$405,$AP2410)&lt;$AQ2410),"対象月に子が2歳到達済／","")&amp;IF(AND($H2410&lt;&gt;"",INDEX(職員マスタ!$B$6:$B$405,$AP2410)&lt;&gt;"",SUBSTITUTE(SUBSTITUTE($H2410," ","")," ","")&lt;&gt;SUBSTITUTE(SUBSTITUTE(INDEX(職員マスタ!$B$6:$B$405,$AP2410)," ","")," ","")),"氏名がマスタと相違／","")&amp;IF(AND($Q2410&lt;&gt;"",INDEX(職員マスタ!$E$6:$E$405,$AP2410)&lt;&gt;"",$Q2410&lt;&gt;INDEX(職員マスタ!$E$6:$E$405,$AP2410)),"子の生年月日がマスタと相違／","")&amp;IF(AND($L2410&lt;&gt;"",INDEX(職員マスタ!$G$6:$G$405,$AP2410)&lt;&gt;"",$L2410&lt;&gt;INDEX(職員マスタ!$G$6:$G$405,$AP2410)),"時短開始日がマスタと相違／","")&amp;IF(AND($M2410&lt;&gt;"",INDEX(職員マスタ!$H$6:$H$405,$AP2410)&lt;&gt;"",$M2410&lt;&gt;INDEX(職員マスタ!$H$6:$H$405,$AP2410)),"時短終了日がマスタと相違／","")))&amp;IF(AND($B2410&lt;&gt;"",$E2410=""),"報酬額が未入力／","")&amp;IF(N($U2410)&gt;0,"申請書に入力エラーが残っています／","")&amp;IF(AND($B2410&lt;&gt;"",$AQ2410&lt;&gt;""),IF(COUNTIFS($B$6:$B$3005,$B2410,$C$6:$C$3005,$C2410,$D$6:$D$3005,$D2410)&gt;1,"同じ月の請求が重複しています／",""),"")&amp;IF(AND(N($E2410)&gt;0,$AB2410&lt;&gt;"",$AB2410&lt;&gt;"×",$AE2410=0,$AD2410=""),"計算額が下限以下のため不支給／",""))</f>
        <v/>
      </c>
      <c r="AN2410" s="12" t="n"/>
      <c r="AO2410" s="14">
        <f>IF($AF2410="保留中",COUNTIF($AF$6:$AF2410,"保留中"),"")</f>
        <v/>
      </c>
      <c r="AP2410" s="14">
        <f>IF($AQ2410="","",IF(SUMPRODUCT(MAX((職員マスタ!$A$6:$A$405=$B2410)*(((職員マスタ!$G$6:$G$405="")+(職員マスタ!$G$6:$G$405&lt;=EOMONTH($AQ2410,0)))&gt;0)*(((職員マスタ!$H$6:$H$405="")+(職員マスタ!$H$6:$H$405&gt;=$AQ2410))&gt;0)*(ROW(職員マスタ!$A$6:$A$405)-5)))&gt;0,SUMPRODUCT(MAX((職員マスタ!$A$6:$A$405=$B2410)*(((職員マスタ!$G$6:$G$405="")+(職員マスタ!$G$6:$G$405&lt;=EOMONTH($AQ2410,0)))&gt;0)*(((職員マスタ!$H$6:$H$405="")+(職員マスタ!$H$6:$H$405&gt;=$AQ2410))&gt;0)*(ROW(職員マスタ!$A$6:$A$405)-5))),IFERROR(MATCH($B2410,職員マスタ!$A$6:$A$405,0),"")))</f>
        <v/>
      </c>
      <c r="AQ2410" s="16">
        <f>IF(OR($B2410="",$C2410="",$D2410=""),"",DATE($C2410+2018,$D2410,1))</f>
        <v/>
      </c>
    </row>
    <row r="2411">
      <c r="A2411" s="11" t="n"/>
      <c r="B2411" s="12" t="n"/>
      <c r="C2411" s="12" t="n"/>
      <c r="D2411" s="12" t="n"/>
      <c r="E2411" s="13" t="n"/>
      <c r="F2411" s="12" t="n"/>
      <c r="G2411" s="13" t="n"/>
      <c r="H2411" s="12" t="n"/>
      <c r="I2411" s="12" t="n"/>
      <c r="J2411" s="12" t="n"/>
      <c r="K2411" s="12" t="n"/>
      <c r="L2411" s="11" t="n"/>
      <c r="M2411" s="11" t="n"/>
      <c r="N2411" s="11" t="n"/>
      <c r="O2411" s="11" t="n"/>
      <c r="P2411" s="12" t="n"/>
      <c r="Q2411" s="11" t="n"/>
      <c r="R2411" s="12" t="n"/>
      <c r="S2411" s="11" t="n"/>
      <c r="T2411" s="12" t="n"/>
      <c r="U2411" s="12" t="n"/>
      <c r="V2411" s="12" t="n"/>
      <c r="W2411" s="13" t="n"/>
      <c r="X2411" s="14">
        <f>IF($AP2411="",IF($B2411="","",$H2411),IF(INDEX(職員マスタ!$B$6:$B$405,$AP2411)="",$H2411,INDEX(職員マスタ!$B$6:$B$405,$AP2411)))</f>
        <v/>
      </c>
      <c r="Y2411" s="14">
        <f>IF($AP2411="",IF($B2411="","",$R2411),IF(INDEX(職員マスタ!$C$6:$C$405,$AP2411)="",$R2411,INDEX(職員マスタ!$C$6:$C$405,$AP2411)))</f>
        <v/>
      </c>
      <c r="Z2411" s="14">
        <f>IF($AQ2411="","","R"&amp;$C2411&amp;"."&amp;$D2411)</f>
        <v/>
      </c>
      <c r="AA2411" s="15">
        <f>IF(IF($AP2411="",FALSE,INDEX(職員マスタ!$K$6:$K$405,$AP2411)&lt;&gt;""),INDEX(職員マスタ!$K$6:$K$405,$AP2411),IF(N($W2411)&gt;0,$W2411,""))</f>
        <v/>
      </c>
      <c r="AB2411" s="14">
        <f>IF(OR($E2411="",$AA2411=""),"",IF($E2411&gt;=$AA2411,"×",IF($E2411&gt;=$AA2411*設定!$C$5,"△","○")))</f>
        <v/>
      </c>
      <c r="AC2411" s="15">
        <f>IF($AB2411="","",IF($AB2411="×",0,IF($AB2411="○",ROUNDDOWN($E2411*設定!$C$4,0),ROUNDDOWN($E2411*ROUND((9*$AA2411-9*$E2411)/(10*$E2411),4),0))))</f>
        <v/>
      </c>
      <c r="AD2411" s="13" t="n"/>
      <c r="AE2411" s="15">
        <f>IF($B2411="","",IF($AD2411&lt;&gt;"",$AD2411,IF($AC2411="","",IF($AC2411&lt;=設定!$C$3,0,$AC2411))))</f>
        <v/>
      </c>
      <c r="AF2411" s="14">
        <f>IF($B2411="","",IF(AND($AG2411&lt;&gt;"",$AI2411="",$AL2411=""),"保留中",IF($AL2411&lt;&gt;"",IF(N($AE2411)&gt;0,"支給済","不支給"),IF($AE2411="","要確認",IF($AE2411=0,"不支給","未処理")))))</f>
        <v/>
      </c>
      <c r="AG2411" s="12" t="n"/>
      <c r="AH2411" s="11" t="n"/>
      <c r="AI2411" s="11" t="n"/>
      <c r="AJ2411" s="11" t="n"/>
      <c r="AK2411" s="14">
        <f>IF(AND($AF2411="保留中",$AH2411&lt;&gt;""),TODAY()-$AH2411,"")</f>
        <v/>
      </c>
      <c r="AL2411" s="12" t="n"/>
      <c r="AM2411" s="14">
        <f>IF($B2411="","",IF($AQ2411="","対象年月が未入力／","")&amp;IF($B2411="","",IF($AP2411="","職員マスタに未登録の職員番号／",IF($AA2411="","標準報酬月額が未登録／","")&amp;IF(AND($AQ2411&lt;&gt;"",OR(AND(INDEX(職員マスタ!$G$6:$G$405,$AP2411)&lt;&gt;"",INDEX(職員マスタ!$G$6:$G$405,$AP2411)&gt;EOMONTH($AQ2411,0)),AND(INDEX(職員マスタ!$H$6:$H$405,$AP2411)&lt;&gt;"",INDEX(職員マスタ!$H$6:$H$405,$AP2411)&lt;$AQ2411))),"対象月が時短期間外／","")&amp;IF(AND(INDEX(職員マスタ!$K$6:$K$405,$AP2411)&lt;&gt;"",N($W2411)&gt;0,INDEX(職員マスタ!$K$6:$K$405,$AP2411)&lt;&gt;$W2411),"標準報酬月額が申請書と相違（台帳"&amp;TEXT(INDEX(職員マスタ!$K$6:$K$405,$AP2411),"#,##0")&amp;"円／申請書"&amp;TEXT($W2411,"#,##0")&amp;"円）／","")&amp;IF(AND(INDEX(職員マスタ!$F$6:$F$405,$AP2411)&lt;&gt;"",$AQ2411&lt;&gt;"",INDEX(職員マスタ!$F$6:$F$405,$AP2411)&lt;$AQ2411),"対象月に子が2歳到達済／","")&amp;IF(AND($H2411&lt;&gt;"",INDEX(職員マスタ!$B$6:$B$405,$AP2411)&lt;&gt;"",SUBSTITUTE(SUBSTITUTE($H2411," ","")," ","")&lt;&gt;SUBSTITUTE(SUBSTITUTE(INDEX(職員マスタ!$B$6:$B$405,$AP2411)," ","")," ","")),"氏名がマスタと相違／","")&amp;IF(AND($Q2411&lt;&gt;"",INDEX(職員マスタ!$E$6:$E$405,$AP2411)&lt;&gt;"",$Q2411&lt;&gt;INDEX(職員マスタ!$E$6:$E$405,$AP2411)),"子の生年月日がマスタと相違／","")&amp;IF(AND($L2411&lt;&gt;"",INDEX(職員マスタ!$G$6:$G$405,$AP2411)&lt;&gt;"",$L2411&lt;&gt;INDEX(職員マスタ!$G$6:$G$405,$AP2411)),"時短開始日がマスタと相違／","")&amp;IF(AND($M2411&lt;&gt;"",INDEX(職員マスタ!$H$6:$H$405,$AP2411)&lt;&gt;"",$M2411&lt;&gt;INDEX(職員マスタ!$H$6:$H$405,$AP2411)),"時短終了日がマスタと相違／","")))&amp;IF(AND($B2411&lt;&gt;"",$E2411=""),"報酬額が未入力／","")&amp;IF(N($U2411)&gt;0,"申請書に入力エラーが残っています／","")&amp;IF(AND($B2411&lt;&gt;"",$AQ2411&lt;&gt;""),IF(COUNTIFS($B$6:$B$3005,$B2411,$C$6:$C$3005,$C2411,$D$6:$D$3005,$D2411)&gt;1,"同じ月の請求が重複しています／",""),"")&amp;IF(AND(N($E2411)&gt;0,$AB2411&lt;&gt;"",$AB2411&lt;&gt;"×",$AE2411=0,$AD2411=""),"計算額が下限以下のため不支給／",""))</f>
        <v/>
      </c>
      <c r="AN2411" s="12" t="n"/>
      <c r="AO2411" s="14">
        <f>IF($AF2411="保留中",COUNTIF($AF$6:$AF2411,"保留中"),"")</f>
        <v/>
      </c>
      <c r="AP2411" s="14">
        <f>IF($AQ2411="","",IF(SUMPRODUCT(MAX((職員マスタ!$A$6:$A$405=$B2411)*(((職員マスタ!$G$6:$G$405="")+(職員マスタ!$G$6:$G$405&lt;=EOMONTH($AQ2411,0)))&gt;0)*(((職員マスタ!$H$6:$H$405="")+(職員マスタ!$H$6:$H$405&gt;=$AQ2411))&gt;0)*(ROW(職員マスタ!$A$6:$A$405)-5)))&gt;0,SUMPRODUCT(MAX((職員マスタ!$A$6:$A$405=$B2411)*(((職員マスタ!$G$6:$G$405="")+(職員マスタ!$G$6:$G$405&lt;=EOMONTH($AQ2411,0)))&gt;0)*(((職員マスタ!$H$6:$H$405="")+(職員マスタ!$H$6:$H$405&gt;=$AQ2411))&gt;0)*(ROW(職員マスタ!$A$6:$A$405)-5))),IFERROR(MATCH($B2411,職員マスタ!$A$6:$A$405,0),"")))</f>
        <v/>
      </c>
      <c r="AQ2411" s="16">
        <f>IF(OR($B2411="",$C2411="",$D2411=""),"",DATE($C2411+2018,$D2411,1))</f>
        <v/>
      </c>
    </row>
    <row r="2412">
      <c r="A2412" s="11" t="n"/>
      <c r="B2412" s="12" t="n"/>
      <c r="C2412" s="12" t="n"/>
      <c r="D2412" s="12" t="n"/>
      <c r="E2412" s="13" t="n"/>
      <c r="F2412" s="12" t="n"/>
      <c r="G2412" s="13" t="n"/>
      <c r="H2412" s="12" t="n"/>
      <c r="I2412" s="12" t="n"/>
      <c r="J2412" s="12" t="n"/>
      <c r="K2412" s="12" t="n"/>
      <c r="L2412" s="11" t="n"/>
      <c r="M2412" s="11" t="n"/>
      <c r="N2412" s="11" t="n"/>
      <c r="O2412" s="11" t="n"/>
      <c r="P2412" s="12" t="n"/>
      <c r="Q2412" s="11" t="n"/>
      <c r="R2412" s="12" t="n"/>
      <c r="S2412" s="11" t="n"/>
      <c r="T2412" s="12" t="n"/>
      <c r="U2412" s="12" t="n"/>
      <c r="V2412" s="12" t="n"/>
      <c r="W2412" s="13" t="n"/>
      <c r="X2412" s="14">
        <f>IF($AP2412="",IF($B2412="","",$H2412),IF(INDEX(職員マスタ!$B$6:$B$405,$AP2412)="",$H2412,INDEX(職員マスタ!$B$6:$B$405,$AP2412)))</f>
        <v/>
      </c>
      <c r="Y2412" s="14">
        <f>IF($AP2412="",IF($B2412="","",$R2412),IF(INDEX(職員マスタ!$C$6:$C$405,$AP2412)="",$R2412,INDEX(職員マスタ!$C$6:$C$405,$AP2412)))</f>
        <v/>
      </c>
      <c r="Z2412" s="14">
        <f>IF($AQ2412="","","R"&amp;$C2412&amp;"."&amp;$D2412)</f>
        <v/>
      </c>
      <c r="AA2412" s="15">
        <f>IF(IF($AP2412="",FALSE,INDEX(職員マスタ!$K$6:$K$405,$AP2412)&lt;&gt;""),INDEX(職員マスタ!$K$6:$K$405,$AP2412),IF(N($W2412)&gt;0,$W2412,""))</f>
        <v/>
      </c>
      <c r="AB2412" s="14">
        <f>IF(OR($E2412="",$AA2412=""),"",IF($E2412&gt;=$AA2412,"×",IF($E2412&gt;=$AA2412*設定!$C$5,"△","○")))</f>
        <v/>
      </c>
      <c r="AC2412" s="15">
        <f>IF($AB2412="","",IF($AB2412="×",0,IF($AB2412="○",ROUNDDOWN($E2412*設定!$C$4,0),ROUNDDOWN($E2412*ROUND((9*$AA2412-9*$E2412)/(10*$E2412),4),0))))</f>
        <v/>
      </c>
      <c r="AD2412" s="13" t="n"/>
      <c r="AE2412" s="15">
        <f>IF($B2412="","",IF($AD2412&lt;&gt;"",$AD2412,IF($AC2412="","",IF($AC2412&lt;=設定!$C$3,0,$AC2412))))</f>
        <v/>
      </c>
      <c r="AF2412" s="14">
        <f>IF($B2412="","",IF(AND($AG2412&lt;&gt;"",$AI2412="",$AL2412=""),"保留中",IF($AL2412&lt;&gt;"",IF(N($AE2412)&gt;0,"支給済","不支給"),IF($AE2412="","要確認",IF($AE2412=0,"不支給","未処理")))))</f>
        <v/>
      </c>
      <c r="AG2412" s="12" t="n"/>
      <c r="AH2412" s="11" t="n"/>
      <c r="AI2412" s="11" t="n"/>
      <c r="AJ2412" s="11" t="n"/>
      <c r="AK2412" s="14">
        <f>IF(AND($AF2412="保留中",$AH2412&lt;&gt;""),TODAY()-$AH2412,"")</f>
        <v/>
      </c>
      <c r="AL2412" s="12" t="n"/>
      <c r="AM2412" s="14">
        <f>IF($B2412="","",IF($AQ2412="","対象年月が未入力／","")&amp;IF($B2412="","",IF($AP2412="","職員マスタに未登録の職員番号／",IF($AA2412="","標準報酬月額が未登録／","")&amp;IF(AND($AQ2412&lt;&gt;"",OR(AND(INDEX(職員マスタ!$G$6:$G$405,$AP2412)&lt;&gt;"",INDEX(職員マスタ!$G$6:$G$405,$AP2412)&gt;EOMONTH($AQ2412,0)),AND(INDEX(職員マスタ!$H$6:$H$405,$AP2412)&lt;&gt;"",INDEX(職員マスタ!$H$6:$H$405,$AP2412)&lt;$AQ2412))),"対象月が時短期間外／","")&amp;IF(AND(INDEX(職員マスタ!$K$6:$K$405,$AP2412)&lt;&gt;"",N($W2412)&gt;0,INDEX(職員マスタ!$K$6:$K$405,$AP2412)&lt;&gt;$W2412),"標準報酬月額が申請書と相違（台帳"&amp;TEXT(INDEX(職員マスタ!$K$6:$K$405,$AP2412),"#,##0")&amp;"円／申請書"&amp;TEXT($W2412,"#,##0")&amp;"円）／","")&amp;IF(AND(INDEX(職員マスタ!$F$6:$F$405,$AP2412)&lt;&gt;"",$AQ2412&lt;&gt;"",INDEX(職員マスタ!$F$6:$F$405,$AP2412)&lt;$AQ2412),"対象月に子が2歳到達済／","")&amp;IF(AND($H2412&lt;&gt;"",INDEX(職員マスタ!$B$6:$B$405,$AP2412)&lt;&gt;"",SUBSTITUTE(SUBSTITUTE($H2412," ","")," ","")&lt;&gt;SUBSTITUTE(SUBSTITUTE(INDEX(職員マスタ!$B$6:$B$405,$AP2412)," ","")," ","")),"氏名がマスタと相違／","")&amp;IF(AND($Q2412&lt;&gt;"",INDEX(職員マスタ!$E$6:$E$405,$AP2412)&lt;&gt;"",$Q2412&lt;&gt;INDEX(職員マスタ!$E$6:$E$405,$AP2412)),"子の生年月日がマスタと相違／","")&amp;IF(AND($L2412&lt;&gt;"",INDEX(職員マスタ!$G$6:$G$405,$AP2412)&lt;&gt;"",$L2412&lt;&gt;INDEX(職員マスタ!$G$6:$G$405,$AP2412)),"時短開始日がマスタと相違／","")&amp;IF(AND($M2412&lt;&gt;"",INDEX(職員マスタ!$H$6:$H$405,$AP2412)&lt;&gt;"",$M2412&lt;&gt;INDEX(職員マスタ!$H$6:$H$405,$AP2412)),"時短終了日がマスタと相違／","")))&amp;IF(AND($B2412&lt;&gt;"",$E2412=""),"報酬額が未入力／","")&amp;IF(N($U2412)&gt;0,"申請書に入力エラーが残っています／","")&amp;IF(AND($B2412&lt;&gt;"",$AQ2412&lt;&gt;""),IF(COUNTIFS($B$6:$B$3005,$B2412,$C$6:$C$3005,$C2412,$D$6:$D$3005,$D2412)&gt;1,"同じ月の請求が重複しています／",""),"")&amp;IF(AND(N($E2412)&gt;0,$AB2412&lt;&gt;"",$AB2412&lt;&gt;"×",$AE2412=0,$AD2412=""),"計算額が下限以下のため不支給／",""))</f>
        <v/>
      </c>
      <c r="AN2412" s="12" t="n"/>
      <c r="AO2412" s="14">
        <f>IF($AF2412="保留中",COUNTIF($AF$6:$AF2412,"保留中"),"")</f>
        <v/>
      </c>
      <c r="AP2412" s="14">
        <f>IF($AQ2412="","",IF(SUMPRODUCT(MAX((職員マスタ!$A$6:$A$405=$B2412)*(((職員マスタ!$G$6:$G$405="")+(職員マスタ!$G$6:$G$405&lt;=EOMONTH($AQ2412,0)))&gt;0)*(((職員マスタ!$H$6:$H$405="")+(職員マスタ!$H$6:$H$405&gt;=$AQ2412))&gt;0)*(ROW(職員マスタ!$A$6:$A$405)-5)))&gt;0,SUMPRODUCT(MAX((職員マスタ!$A$6:$A$405=$B2412)*(((職員マスタ!$G$6:$G$405="")+(職員マスタ!$G$6:$G$405&lt;=EOMONTH($AQ2412,0)))&gt;0)*(((職員マスタ!$H$6:$H$405="")+(職員マスタ!$H$6:$H$405&gt;=$AQ2412))&gt;0)*(ROW(職員マスタ!$A$6:$A$405)-5))),IFERROR(MATCH($B2412,職員マスタ!$A$6:$A$405,0),"")))</f>
        <v/>
      </c>
      <c r="AQ2412" s="16">
        <f>IF(OR($B2412="",$C2412="",$D2412=""),"",DATE($C2412+2018,$D2412,1))</f>
        <v/>
      </c>
    </row>
    <row r="2413">
      <c r="A2413" s="11" t="n"/>
      <c r="B2413" s="12" t="n"/>
      <c r="C2413" s="12" t="n"/>
      <c r="D2413" s="12" t="n"/>
      <c r="E2413" s="13" t="n"/>
      <c r="F2413" s="12" t="n"/>
      <c r="G2413" s="13" t="n"/>
      <c r="H2413" s="12" t="n"/>
      <c r="I2413" s="12" t="n"/>
      <c r="J2413" s="12" t="n"/>
      <c r="K2413" s="12" t="n"/>
      <c r="L2413" s="11" t="n"/>
      <c r="M2413" s="11" t="n"/>
      <c r="N2413" s="11" t="n"/>
      <c r="O2413" s="11" t="n"/>
      <c r="P2413" s="12" t="n"/>
      <c r="Q2413" s="11" t="n"/>
      <c r="R2413" s="12" t="n"/>
      <c r="S2413" s="11" t="n"/>
      <c r="T2413" s="12" t="n"/>
      <c r="U2413" s="12" t="n"/>
      <c r="V2413" s="12" t="n"/>
      <c r="W2413" s="13" t="n"/>
      <c r="X2413" s="14">
        <f>IF($AP2413="",IF($B2413="","",$H2413),IF(INDEX(職員マスタ!$B$6:$B$405,$AP2413)="",$H2413,INDEX(職員マスタ!$B$6:$B$405,$AP2413)))</f>
        <v/>
      </c>
      <c r="Y2413" s="14">
        <f>IF($AP2413="",IF($B2413="","",$R2413),IF(INDEX(職員マスタ!$C$6:$C$405,$AP2413)="",$R2413,INDEX(職員マスタ!$C$6:$C$405,$AP2413)))</f>
        <v/>
      </c>
      <c r="Z2413" s="14">
        <f>IF($AQ2413="","","R"&amp;$C2413&amp;"."&amp;$D2413)</f>
        <v/>
      </c>
      <c r="AA2413" s="15">
        <f>IF(IF($AP2413="",FALSE,INDEX(職員マスタ!$K$6:$K$405,$AP2413)&lt;&gt;""),INDEX(職員マスタ!$K$6:$K$405,$AP2413),IF(N($W2413)&gt;0,$W2413,""))</f>
        <v/>
      </c>
      <c r="AB2413" s="14">
        <f>IF(OR($E2413="",$AA2413=""),"",IF($E2413&gt;=$AA2413,"×",IF($E2413&gt;=$AA2413*設定!$C$5,"△","○")))</f>
        <v/>
      </c>
      <c r="AC2413" s="15">
        <f>IF($AB2413="","",IF($AB2413="×",0,IF($AB2413="○",ROUNDDOWN($E2413*設定!$C$4,0),ROUNDDOWN($E2413*ROUND((9*$AA2413-9*$E2413)/(10*$E2413),4),0))))</f>
        <v/>
      </c>
      <c r="AD2413" s="13" t="n"/>
      <c r="AE2413" s="15">
        <f>IF($B2413="","",IF($AD2413&lt;&gt;"",$AD2413,IF($AC2413="","",IF($AC2413&lt;=設定!$C$3,0,$AC2413))))</f>
        <v/>
      </c>
      <c r="AF2413" s="14">
        <f>IF($B2413="","",IF(AND($AG2413&lt;&gt;"",$AI2413="",$AL2413=""),"保留中",IF($AL2413&lt;&gt;"",IF(N($AE2413)&gt;0,"支給済","不支給"),IF($AE2413="","要確認",IF($AE2413=0,"不支給","未処理")))))</f>
        <v/>
      </c>
      <c r="AG2413" s="12" t="n"/>
      <c r="AH2413" s="11" t="n"/>
      <c r="AI2413" s="11" t="n"/>
      <c r="AJ2413" s="11" t="n"/>
      <c r="AK2413" s="14">
        <f>IF(AND($AF2413="保留中",$AH2413&lt;&gt;""),TODAY()-$AH2413,"")</f>
        <v/>
      </c>
      <c r="AL2413" s="12" t="n"/>
      <c r="AM2413" s="14">
        <f>IF($B2413="","",IF($AQ2413="","対象年月が未入力／","")&amp;IF($B2413="","",IF($AP2413="","職員マスタに未登録の職員番号／",IF($AA2413="","標準報酬月額が未登録／","")&amp;IF(AND($AQ2413&lt;&gt;"",OR(AND(INDEX(職員マスタ!$G$6:$G$405,$AP2413)&lt;&gt;"",INDEX(職員マスタ!$G$6:$G$405,$AP2413)&gt;EOMONTH($AQ2413,0)),AND(INDEX(職員マスタ!$H$6:$H$405,$AP2413)&lt;&gt;"",INDEX(職員マスタ!$H$6:$H$405,$AP2413)&lt;$AQ2413))),"対象月が時短期間外／","")&amp;IF(AND(INDEX(職員マスタ!$K$6:$K$405,$AP2413)&lt;&gt;"",N($W2413)&gt;0,INDEX(職員マスタ!$K$6:$K$405,$AP2413)&lt;&gt;$W2413),"標準報酬月額が申請書と相違（台帳"&amp;TEXT(INDEX(職員マスタ!$K$6:$K$405,$AP2413),"#,##0")&amp;"円／申請書"&amp;TEXT($W2413,"#,##0")&amp;"円）／","")&amp;IF(AND(INDEX(職員マスタ!$F$6:$F$405,$AP2413)&lt;&gt;"",$AQ2413&lt;&gt;"",INDEX(職員マスタ!$F$6:$F$405,$AP2413)&lt;$AQ2413),"対象月に子が2歳到達済／","")&amp;IF(AND($H2413&lt;&gt;"",INDEX(職員マスタ!$B$6:$B$405,$AP2413)&lt;&gt;"",SUBSTITUTE(SUBSTITUTE($H2413," ","")," ","")&lt;&gt;SUBSTITUTE(SUBSTITUTE(INDEX(職員マスタ!$B$6:$B$405,$AP2413)," ","")," ","")),"氏名がマスタと相違／","")&amp;IF(AND($Q2413&lt;&gt;"",INDEX(職員マスタ!$E$6:$E$405,$AP2413)&lt;&gt;"",$Q2413&lt;&gt;INDEX(職員マスタ!$E$6:$E$405,$AP2413)),"子の生年月日がマスタと相違／","")&amp;IF(AND($L2413&lt;&gt;"",INDEX(職員マスタ!$G$6:$G$405,$AP2413)&lt;&gt;"",$L2413&lt;&gt;INDEX(職員マスタ!$G$6:$G$405,$AP2413)),"時短開始日がマスタと相違／","")&amp;IF(AND($M2413&lt;&gt;"",INDEX(職員マスタ!$H$6:$H$405,$AP2413)&lt;&gt;"",$M2413&lt;&gt;INDEX(職員マスタ!$H$6:$H$405,$AP2413)),"時短終了日がマスタと相違／","")))&amp;IF(AND($B2413&lt;&gt;"",$E2413=""),"報酬額が未入力／","")&amp;IF(N($U2413)&gt;0,"申請書に入力エラーが残っています／","")&amp;IF(AND($B2413&lt;&gt;"",$AQ2413&lt;&gt;""),IF(COUNTIFS($B$6:$B$3005,$B2413,$C$6:$C$3005,$C2413,$D$6:$D$3005,$D2413)&gt;1,"同じ月の請求が重複しています／",""),"")&amp;IF(AND(N($E2413)&gt;0,$AB2413&lt;&gt;"",$AB2413&lt;&gt;"×",$AE2413=0,$AD2413=""),"計算額が下限以下のため不支給／",""))</f>
        <v/>
      </c>
      <c r="AN2413" s="12" t="n"/>
      <c r="AO2413" s="14">
        <f>IF($AF2413="保留中",COUNTIF($AF$6:$AF2413,"保留中"),"")</f>
        <v/>
      </c>
      <c r="AP2413" s="14">
        <f>IF($AQ2413="","",IF(SUMPRODUCT(MAX((職員マスタ!$A$6:$A$405=$B2413)*(((職員マスタ!$G$6:$G$405="")+(職員マスタ!$G$6:$G$405&lt;=EOMONTH($AQ2413,0)))&gt;0)*(((職員マスタ!$H$6:$H$405="")+(職員マスタ!$H$6:$H$405&gt;=$AQ2413))&gt;0)*(ROW(職員マスタ!$A$6:$A$405)-5)))&gt;0,SUMPRODUCT(MAX((職員マスタ!$A$6:$A$405=$B2413)*(((職員マスタ!$G$6:$G$405="")+(職員マスタ!$G$6:$G$405&lt;=EOMONTH($AQ2413,0)))&gt;0)*(((職員マスタ!$H$6:$H$405="")+(職員マスタ!$H$6:$H$405&gt;=$AQ2413))&gt;0)*(ROW(職員マスタ!$A$6:$A$405)-5))),IFERROR(MATCH($B2413,職員マスタ!$A$6:$A$405,0),"")))</f>
        <v/>
      </c>
      <c r="AQ2413" s="16">
        <f>IF(OR($B2413="",$C2413="",$D2413=""),"",DATE($C2413+2018,$D2413,1))</f>
        <v/>
      </c>
    </row>
    <row r="2414">
      <c r="A2414" s="11" t="n"/>
      <c r="B2414" s="12" t="n"/>
      <c r="C2414" s="12" t="n"/>
      <c r="D2414" s="12" t="n"/>
      <c r="E2414" s="13" t="n"/>
      <c r="F2414" s="12" t="n"/>
      <c r="G2414" s="13" t="n"/>
      <c r="H2414" s="12" t="n"/>
      <c r="I2414" s="12" t="n"/>
      <c r="J2414" s="12" t="n"/>
      <c r="K2414" s="12" t="n"/>
      <c r="L2414" s="11" t="n"/>
      <c r="M2414" s="11" t="n"/>
      <c r="N2414" s="11" t="n"/>
      <c r="O2414" s="11" t="n"/>
      <c r="P2414" s="12" t="n"/>
      <c r="Q2414" s="11" t="n"/>
      <c r="R2414" s="12" t="n"/>
      <c r="S2414" s="11" t="n"/>
      <c r="T2414" s="12" t="n"/>
      <c r="U2414" s="12" t="n"/>
      <c r="V2414" s="12" t="n"/>
      <c r="W2414" s="13" t="n"/>
      <c r="X2414" s="14">
        <f>IF($AP2414="",IF($B2414="","",$H2414),IF(INDEX(職員マスタ!$B$6:$B$405,$AP2414)="",$H2414,INDEX(職員マスタ!$B$6:$B$405,$AP2414)))</f>
        <v/>
      </c>
      <c r="Y2414" s="14">
        <f>IF($AP2414="",IF($B2414="","",$R2414),IF(INDEX(職員マスタ!$C$6:$C$405,$AP2414)="",$R2414,INDEX(職員マスタ!$C$6:$C$405,$AP2414)))</f>
        <v/>
      </c>
      <c r="Z2414" s="14">
        <f>IF($AQ2414="","","R"&amp;$C2414&amp;"."&amp;$D2414)</f>
        <v/>
      </c>
      <c r="AA2414" s="15">
        <f>IF(IF($AP2414="",FALSE,INDEX(職員マスタ!$K$6:$K$405,$AP2414)&lt;&gt;""),INDEX(職員マスタ!$K$6:$K$405,$AP2414),IF(N($W2414)&gt;0,$W2414,""))</f>
        <v/>
      </c>
      <c r="AB2414" s="14">
        <f>IF(OR($E2414="",$AA2414=""),"",IF($E2414&gt;=$AA2414,"×",IF($E2414&gt;=$AA2414*設定!$C$5,"△","○")))</f>
        <v/>
      </c>
      <c r="AC2414" s="15">
        <f>IF($AB2414="","",IF($AB2414="×",0,IF($AB2414="○",ROUNDDOWN($E2414*設定!$C$4,0),ROUNDDOWN($E2414*ROUND((9*$AA2414-9*$E2414)/(10*$E2414),4),0))))</f>
        <v/>
      </c>
      <c r="AD2414" s="13" t="n"/>
      <c r="AE2414" s="15">
        <f>IF($B2414="","",IF($AD2414&lt;&gt;"",$AD2414,IF($AC2414="","",IF($AC2414&lt;=設定!$C$3,0,$AC2414))))</f>
        <v/>
      </c>
      <c r="AF2414" s="14">
        <f>IF($B2414="","",IF(AND($AG2414&lt;&gt;"",$AI2414="",$AL2414=""),"保留中",IF($AL2414&lt;&gt;"",IF(N($AE2414)&gt;0,"支給済","不支給"),IF($AE2414="","要確認",IF($AE2414=0,"不支給","未処理")))))</f>
        <v/>
      </c>
      <c r="AG2414" s="12" t="n"/>
      <c r="AH2414" s="11" t="n"/>
      <c r="AI2414" s="11" t="n"/>
      <c r="AJ2414" s="11" t="n"/>
      <c r="AK2414" s="14">
        <f>IF(AND($AF2414="保留中",$AH2414&lt;&gt;""),TODAY()-$AH2414,"")</f>
        <v/>
      </c>
      <c r="AL2414" s="12" t="n"/>
      <c r="AM2414" s="14">
        <f>IF($B2414="","",IF($AQ2414="","対象年月が未入力／","")&amp;IF($B2414="","",IF($AP2414="","職員マスタに未登録の職員番号／",IF($AA2414="","標準報酬月額が未登録／","")&amp;IF(AND($AQ2414&lt;&gt;"",OR(AND(INDEX(職員マスタ!$G$6:$G$405,$AP2414)&lt;&gt;"",INDEX(職員マスタ!$G$6:$G$405,$AP2414)&gt;EOMONTH($AQ2414,0)),AND(INDEX(職員マスタ!$H$6:$H$405,$AP2414)&lt;&gt;"",INDEX(職員マスタ!$H$6:$H$405,$AP2414)&lt;$AQ2414))),"対象月が時短期間外／","")&amp;IF(AND(INDEX(職員マスタ!$K$6:$K$405,$AP2414)&lt;&gt;"",N($W2414)&gt;0,INDEX(職員マスタ!$K$6:$K$405,$AP2414)&lt;&gt;$W2414),"標準報酬月額が申請書と相違（台帳"&amp;TEXT(INDEX(職員マスタ!$K$6:$K$405,$AP2414),"#,##0")&amp;"円／申請書"&amp;TEXT($W2414,"#,##0")&amp;"円）／","")&amp;IF(AND(INDEX(職員マスタ!$F$6:$F$405,$AP2414)&lt;&gt;"",$AQ2414&lt;&gt;"",INDEX(職員マスタ!$F$6:$F$405,$AP2414)&lt;$AQ2414),"対象月に子が2歳到達済／","")&amp;IF(AND($H2414&lt;&gt;"",INDEX(職員マスタ!$B$6:$B$405,$AP2414)&lt;&gt;"",SUBSTITUTE(SUBSTITUTE($H2414," ","")," ","")&lt;&gt;SUBSTITUTE(SUBSTITUTE(INDEX(職員マスタ!$B$6:$B$405,$AP2414)," ","")," ","")),"氏名がマスタと相違／","")&amp;IF(AND($Q2414&lt;&gt;"",INDEX(職員マスタ!$E$6:$E$405,$AP2414)&lt;&gt;"",$Q2414&lt;&gt;INDEX(職員マスタ!$E$6:$E$405,$AP2414)),"子の生年月日がマスタと相違／","")&amp;IF(AND($L2414&lt;&gt;"",INDEX(職員マスタ!$G$6:$G$405,$AP2414)&lt;&gt;"",$L2414&lt;&gt;INDEX(職員マスタ!$G$6:$G$405,$AP2414)),"時短開始日がマスタと相違／","")&amp;IF(AND($M2414&lt;&gt;"",INDEX(職員マスタ!$H$6:$H$405,$AP2414)&lt;&gt;"",$M2414&lt;&gt;INDEX(職員マスタ!$H$6:$H$405,$AP2414)),"時短終了日がマスタと相違／","")))&amp;IF(AND($B2414&lt;&gt;"",$E2414=""),"報酬額が未入力／","")&amp;IF(N($U2414)&gt;0,"申請書に入力エラーが残っています／","")&amp;IF(AND($B2414&lt;&gt;"",$AQ2414&lt;&gt;""),IF(COUNTIFS($B$6:$B$3005,$B2414,$C$6:$C$3005,$C2414,$D$6:$D$3005,$D2414)&gt;1,"同じ月の請求が重複しています／",""),"")&amp;IF(AND(N($E2414)&gt;0,$AB2414&lt;&gt;"",$AB2414&lt;&gt;"×",$AE2414=0,$AD2414=""),"計算額が下限以下のため不支給／",""))</f>
        <v/>
      </c>
      <c r="AN2414" s="12" t="n"/>
      <c r="AO2414" s="14">
        <f>IF($AF2414="保留中",COUNTIF($AF$6:$AF2414,"保留中"),"")</f>
        <v/>
      </c>
      <c r="AP2414" s="14">
        <f>IF($AQ2414="","",IF(SUMPRODUCT(MAX((職員マスタ!$A$6:$A$405=$B2414)*(((職員マスタ!$G$6:$G$405="")+(職員マスタ!$G$6:$G$405&lt;=EOMONTH($AQ2414,0)))&gt;0)*(((職員マスタ!$H$6:$H$405="")+(職員マスタ!$H$6:$H$405&gt;=$AQ2414))&gt;0)*(ROW(職員マスタ!$A$6:$A$405)-5)))&gt;0,SUMPRODUCT(MAX((職員マスタ!$A$6:$A$405=$B2414)*(((職員マスタ!$G$6:$G$405="")+(職員マスタ!$G$6:$G$405&lt;=EOMONTH($AQ2414,0)))&gt;0)*(((職員マスタ!$H$6:$H$405="")+(職員マスタ!$H$6:$H$405&gt;=$AQ2414))&gt;0)*(ROW(職員マスタ!$A$6:$A$405)-5))),IFERROR(MATCH($B2414,職員マスタ!$A$6:$A$405,0),"")))</f>
        <v/>
      </c>
      <c r="AQ2414" s="16">
        <f>IF(OR($B2414="",$C2414="",$D2414=""),"",DATE($C2414+2018,$D2414,1))</f>
        <v/>
      </c>
    </row>
    <row r="2415">
      <c r="A2415" s="11" t="n"/>
      <c r="B2415" s="12" t="n"/>
      <c r="C2415" s="12" t="n"/>
      <c r="D2415" s="12" t="n"/>
      <c r="E2415" s="13" t="n"/>
      <c r="F2415" s="12" t="n"/>
      <c r="G2415" s="13" t="n"/>
      <c r="H2415" s="12" t="n"/>
      <c r="I2415" s="12" t="n"/>
      <c r="J2415" s="12" t="n"/>
      <c r="K2415" s="12" t="n"/>
      <c r="L2415" s="11" t="n"/>
      <c r="M2415" s="11" t="n"/>
      <c r="N2415" s="11" t="n"/>
      <c r="O2415" s="11" t="n"/>
      <c r="P2415" s="12" t="n"/>
      <c r="Q2415" s="11" t="n"/>
      <c r="R2415" s="12" t="n"/>
      <c r="S2415" s="11" t="n"/>
      <c r="T2415" s="12" t="n"/>
      <c r="U2415" s="12" t="n"/>
      <c r="V2415" s="12" t="n"/>
      <c r="W2415" s="13" t="n"/>
      <c r="X2415" s="14">
        <f>IF($AP2415="",IF($B2415="","",$H2415),IF(INDEX(職員マスタ!$B$6:$B$405,$AP2415)="",$H2415,INDEX(職員マスタ!$B$6:$B$405,$AP2415)))</f>
        <v/>
      </c>
      <c r="Y2415" s="14">
        <f>IF($AP2415="",IF($B2415="","",$R2415),IF(INDEX(職員マスタ!$C$6:$C$405,$AP2415)="",$R2415,INDEX(職員マスタ!$C$6:$C$405,$AP2415)))</f>
        <v/>
      </c>
      <c r="Z2415" s="14">
        <f>IF($AQ2415="","","R"&amp;$C2415&amp;"."&amp;$D2415)</f>
        <v/>
      </c>
      <c r="AA2415" s="15">
        <f>IF(IF($AP2415="",FALSE,INDEX(職員マスタ!$K$6:$K$405,$AP2415)&lt;&gt;""),INDEX(職員マスタ!$K$6:$K$405,$AP2415),IF(N($W2415)&gt;0,$W2415,""))</f>
        <v/>
      </c>
      <c r="AB2415" s="14">
        <f>IF(OR($E2415="",$AA2415=""),"",IF($E2415&gt;=$AA2415,"×",IF($E2415&gt;=$AA2415*設定!$C$5,"△","○")))</f>
        <v/>
      </c>
      <c r="AC2415" s="15">
        <f>IF($AB2415="","",IF($AB2415="×",0,IF($AB2415="○",ROUNDDOWN($E2415*設定!$C$4,0),ROUNDDOWN($E2415*ROUND((9*$AA2415-9*$E2415)/(10*$E2415),4),0))))</f>
        <v/>
      </c>
      <c r="AD2415" s="13" t="n"/>
      <c r="AE2415" s="15">
        <f>IF($B2415="","",IF($AD2415&lt;&gt;"",$AD2415,IF($AC2415="","",IF($AC2415&lt;=設定!$C$3,0,$AC2415))))</f>
        <v/>
      </c>
      <c r="AF2415" s="14">
        <f>IF($B2415="","",IF(AND($AG2415&lt;&gt;"",$AI2415="",$AL2415=""),"保留中",IF($AL2415&lt;&gt;"",IF(N($AE2415)&gt;0,"支給済","不支給"),IF($AE2415="","要確認",IF($AE2415=0,"不支給","未処理")))))</f>
        <v/>
      </c>
      <c r="AG2415" s="12" t="n"/>
      <c r="AH2415" s="11" t="n"/>
      <c r="AI2415" s="11" t="n"/>
      <c r="AJ2415" s="11" t="n"/>
      <c r="AK2415" s="14">
        <f>IF(AND($AF2415="保留中",$AH2415&lt;&gt;""),TODAY()-$AH2415,"")</f>
        <v/>
      </c>
      <c r="AL2415" s="12" t="n"/>
      <c r="AM2415" s="14">
        <f>IF($B2415="","",IF($AQ2415="","対象年月が未入力／","")&amp;IF($B2415="","",IF($AP2415="","職員マスタに未登録の職員番号／",IF($AA2415="","標準報酬月額が未登録／","")&amp;IF(AND($AQ2415&lt;&gt;"",OR(AND(INDEX(職員マスタ!$G$6:$G$405,$AP2415)&lt;&gt;"",INDEX(職員マスタ!$G$6:$G$405,$AP2415)&gt;EOMONTH($AQ2415,0)),AND(INDEX(職員マスタ!$H$6:$H$405,$AP2415)&lt;&gt;"",INDEX(職員マスタ!$H$6:$H$405,$AP2415)&lt;$AQ2415))),"対象月が時短期間外／","")&amp;IF(AND(INDEX(職員マスタ!$K$6:$K$405,$AP2415)&lt;&gt;"",N($W2415)&gt;0,INDEX(職員マスタ!$K$6:$K$405,$AP2415)&lt;&gt;$W2415),"標準報酬月額が申請書と相違（台帳"&amp;TEXT(INDEX(職員マスタ!$K$6:$K$405,$AP2415),"#,##0")&amp;"円／申請書"&amp;TEXT($W2415,"#,##0")&amp;"円）／","")&amp;IF(AND(INDEX(職員マスタ!$F$6:$F$405,$AP2415)&lt;&gt;"",$AQ2415&lt;&gt;"",INDEX(職員マスタ!$F$6:$F$405,$AP2415)&lt;$AQ2415),"対象月に子が2歳到達済／","")&amp;IF(AND($H2415&lt;&gt;"",INDEX(職員マスタ!$B$6:$B$405,$AP2415)&lt;&gt;"",SUBSTITUTE(SUBSTITUTE($H2415," ","")," ","")&lt;&gt;SUBSTITUTE(SUBSTITUTE(INDEX(職員マスタ!$B$6:$B$405,$AP2415)," ","")," ","")),"氏名がマスタと相違／","")&amp;IF(AND($Q2415&lt;&gt;"",INDEX(職員マスタ!$E$6:$E$405,$AP2415)&lt;&gt;"",$Q2415&lt;&gt;INDEX(職員マスタ!$E$6:$E$405,$AP2415)),"子の生年月日がマスタと相違／","")&amp;IF(AND($L2415&lt;&gt;"",INDEX(職員マスタ!$G$6:$G$405,$AP2415)&lt;&gt;"",$L2415&lt;&gt;INDEX(職員マスタ!$G$6:$G$405,$AP2415)),"時短開始日がマスタと相違／","")&amp;IF(AND($M2415&lt;&gt;"",INDEX(職員マスタ!$H$6:$H$405,$AP2415)&lt;&gt;"",$M2415&lt;&gt;INDEX(職員マスタ!$H$6:$H$405,$AP2415)),"時短終了日がマスタと相違／","")))&amp;IF(AND($B2415&lt;&gt;"",$E2415=""),"報酬額が未入力／","")&amp;IF(N($U2415)&gt;0,"申請書に入力エラーが残っています／","")&amp;IF(AND($B2415&lt;&gt;"",$AQ2415&lt;&gt;""),IF(COUNTIFS($B$6:$B$3005,$B2415,$C$6:$C$3005,$C2415,$D$6:$D$3005,$D2415)&gt;1,"同じ月の請求が重複しています／",""),"")&amp;IF(AND(N($E2415)&gt;0,$AB2415&lt;&gt;"",$AB2415&lt;&gt;"×",$AE2415=0,$AD2415=""),"計算額が下限以下のため不支給／",""))</f>
        <v/>
      </c>
      <c r="AN2415" s="12" t="n"/>
      <c r="AO2415" s="14">
        <f>IF($AF2415="保留中",COUNTIF($AF$6:$AF2415,"保留中"),"")</f>
        <v/>
      </c>
      <c r="AP2415" s="14">
        <f>IF($AQ2415="","",IF(SUMPRODUCT(MAX((職員マスタ!$A$6:$A$405=$B2415)*(((職員マスタ!$G$6:$G$405="")+(職員マスタ!$G$6:$G$405&lt;=EOMONTH($AQ2415,0)))&gt;0)*(((職員マスタ!$H$6:$H$405="")+(職員マスタ!$H$6:$H$405&gt;=$AQ2415))&gt;0)*(ROW(職員マスタ!$A$6:$A$405)-5)))&gt;0,SUMPRODUCT(MAX((職員マスタ!$A$6:$A$405=$B2415)*(((職員マスタ!$G$6:$G$405="")+(職員マスタ!$G$6:$G$405&lt;=EOMONTH($AQ2415,0)))&gt;0)*(((職員マスタ!$H$6:$H$405="")+(職員マスタ!$H$6:$H$405&gt;=$AQ2415))&gt;0)*(ROW(職員マスタ!$A$6:$A$405)-5))),IFERROR(MATCH($B2415,職員マスタ!$A$6:$A$405,0),"")))</f>
        <v/>
      </c>
      <c r="AQ2415" s="16">
        <f>IF(OR($B2415="",$C2415="",$D2415=""),"",DATE($C2415+2018,$D2415,1))</f>
        <v/>
      </c>
    </row>
    <row r="2416">
      <c r="A2416" s="11" t="n"/>
      <c r="B2416" s="12" t="n"/>
      <c r="C2416" s="12" t="n"/>
      <c r="D2416" s="12" t="n"/>
      <c r="E2416" s="13" t="n"/>
      <c r="F2416" s="12" t="n"/>
      <c r="G2416" s="13" t="n"/>
      <c r="H2416" s="12" t="n"/>
      <c r="I2416" s="12" t="n"/>
      <c r="J2416" s="12" t="n"/>
      <c r="K2416" s="12" t="n"/>
      <c r="L2416" s="11" t="n"/>
      <c r="M2416" s="11" t="n"/>
      <c r="N2416" s="11" t="n"/>
      <c r="O2416" s="11" t="n"/>
      <c r="P2416" s="12" t="n"/>
      <c r="Q2416" s="11" t="n"/>
      <c r="R2416" s="12" t="n"/>
      <c r="S2416" s="11" t="n"/>
      <c r="T2416" s="12" t="n"/>
      <c r="U2416" s="12" t="n"/>
      <c r="V2416" s="12" t="n"/>
      <c r="W2416" s="13" t="n"/>
      <c r="X2416" s="14">
        <f>IF($AP2416="",IF($B2416="","",$H2416),IF(INDEX(職員マスタ!$B$6:$B$405,$AP2416)="",$H2416,INDEX(職員マスタ!$B$6:$B$405,$AP2416)))</f>
        <v/>
      </c>
      <c r="Y2416" s="14">
        <f>IF($AP2416="",IF($B2416="","",$R2416),IF(INDEX(職員マスタ!$C$6:$C$405,$AP2416)="",$R2416,INDEX(職員マスタ!$C$6:$C$405,$AP2416)))</f>
        <v/>
      </c>
      <c r="Z2416" s="14">
        <f>IF($AQ2416="","","R"&amp;$C2416&amp;"."&amp;$D2416)</f>
        <v/>
      </c>
      <c r="AA2416" s="15">
        <f>IF(IF($AP2416="",FALSE,INDEX(職員マスタ!$K$6:$K$405,$AP2416)&lt;&gt;""),INDEX(職員マスタ!$K$6:$K$405,$AP2416),IF(N($W2416)&gt;0,$W2416,""))</f>
        <v/>
      </c>
      <c r="AB2416" s="14">
        <f>IF(OR($E2416="",$AA2416=""),"",IF($E2416&gt;=$AA2416,"×",IF($E2416&gt;=$AA2416*設定!$C$5,"△","○")))</f>
        <v/>
      </c>
      <c r="AC2416" s="15">
        <f>IF($AB2416="","",IF($AB2416="×",0,IF($AB2416="○",ROUNDDOWN($E2416*設定!$C$4,0),ROUNDDOWN($E2416*ROUND((9*$AA2416-9*$E2416)/(10*$E2416),4),0))))</f>
        <v/>
      </c>
      <c r="AD2416" s="13" t="n"/>
      <c r="AE2416" s="15">
        <f>IF($B2416="","",IF($AD2416&lt;&gt;"",$AD2416,IF($AC2416="","",IF($AC2416&lt;=設定!$C$3,0,$AC2416))))</f>
        <v/>
      </c>
      <c r="AF2416" s="14">
        <f>IF($B2416="","",IF(AND($AG2416&lt;&gt;"",$AI2416="",$AL2416=""),"保留中",IF($AL2416&lt;&gt;"",IF(N($AE2416)&gt;0,"支給済","不支給"),IF($AE2416="","要確認",IF($AE2416=0,"不支給","未処理")))))</f>
        <v/>
      </c>
      <c r="AG2416" s="12" t="n"/>
      <c r="AH2416" s="11" t="n"/>
      <c r="AI2416" s="11" t="n"/>
      <c r="AJ2416" s="11" t="n"/>
      <c r="AK2416" s="14">
        <f>IF(AND($AF2416="保留中",$AH2416&lt;&gt;""),TODAY()-$AH2416,"")</f>
        <v/>
      </c>
      <c r="AL2416" s="12" t="n"/>
      <c r="AM2416" s="14">
        <f>IF($B2416="","",IF($AQ2416="","対象年月が未入力／","")&amp;IF($B2416="","",IF($AP2416="","職員マスタに未登録の職員番号／",IF($AA2416="","標準報酬月額が未登録／","")&amp;IF(AND($AQ2416&lt;&gt;"",OR(AND(INDEX(職員マスタ!$G$6:$G$405,$AP2416)&lt;&gt;"",INDEX(職員マスタ!$G$6:$G$405,$AP2416)&gt;EOMONTH($AQ2416,0)),AND(INDEX(職員マスタ!$H$6:$H$405,$AP2416)&lt;&gt;"",INDEX(職員マスタ!$H$6:$H$405,$AP2416)&lt;$AQ2416))),"対象月が時短期間外／","")&amp;IF(AND(INDEX(職員マスタ!$K$6:$K$405,$AP2416)&lt;&gt;"",N($W2416)&gt;0,INDEX(職員マスタ!$K$6:$K$405,$AP2416)&lt;&gt;$W2416),"標準報酬月額が申請書と相違（台帳"&amp;TEXT(INDEX(職員マスタ!$K$6:$K$405,$AP2416),"#,##0")&amp;"円／申請書"&amp;TEXT($W2416,"#,##0")&amp;"円）／","")&amp;IF(AND(INDEX(職員マスタ!$F$6:$F$405,$AP2416)&lt;&gt;"",$AQ2416&lt;&gt;"",INDEX(職員マスタ!$F$6:$F$405,$AP2416)&lt;$AQ2416),"対象月に子が2歳到達済／","")&amp;IF(AND($H2416&lt;&gt;"",INDEX(職員マスタ!$B$6:$B$405,$AP2416)&lt;&gt;"",SUBSTITUTE(SUBSTITUTE($H2416," ","")," ","")&lt;&gt;SUBSTITUTE(SUBSTITUTE(INDEX(職員マスタ!$B$6:$B$405,$AP2416)," ","")," ","")),"氏名がマスタと相違／","")&amp;IF(AND($Q2416&lt;&gt;"",INDEX(職員マスタ!$E$6:$E$405,$AP2416)&lt;&gt;"",$Q2416&lt;&gt;INDEX(職員マスタ!$E$6:$E$405,$AP2416)),"子の生年月日がマスタと相違／","")&amp;IF(AND($L2416&lt;&gt;"",INDEX(職員マスタ!$G$6:$G$405,$AP2416)&lt;&gt;"",$L2416&lt;&gt;INDEX(職員マスタ!$G$6:$G$405,$AP2416)),"時短開始日がマスタと相違／","")&amp;IF(AND($M2416&lt;&gt;"",INDEX(職員マスタ!$H$6:$H$405,$AP2416)&lt;&gt;"",$M2416&lt;&gt;INDEX(職員マスタ!$H$6:$H$405,$AP2416)),"時短終了日がマスタと相違／","")))&amp;IF(AND($B2416&lt;&gt;"",$E2416=""),"報酬額が未入力／","")&amp;IF(N($U2416)&gt;0,"申請書に入力エラーが残っています／","")&amp;IF(AND($B2416&lt;&gt;"",$AQ2416&lt;&gt;""),IF(COUNTIFS($B$6:$B$3005,$B2416,$C$6:$C$3005,$C2416,$D$6:$D$3005,$D2416)&gt;1,"同じ月の請求が重複しています／",""),"")&amp;IF(AND(N($E2416)&gt;0,$AB2416&lt;&gt;"",$AB2416&lt;&gt;"×",$AE2416=0,$AD2416=""),"計算額が下限以下のため不支給／",""))</f>
        <v/>
      </c>
      <c r="AN2416" s="12" t="n"/>
      <c r="AO2416" s="14">
        <f>IF($AF2416="保留中",COUNTIF($AF$6:$AF2416,"保留中"),"")</f>
        <v/>
      </c>
      <c r="AP2416" s="14">
        <f>IF($AQ2416="","",IF(SUMPRODUCT(MAX((職員マスタ!$A$6:$A$405=$B2416)*(((職員マスタ!$G$6:$G$405="")+(職員マスタ!$G$6:$G$405&lt;=EOMONTH($AQ2416,0)))&gt;0)*(((職員マスタ!$H$6:$H$405="")+(職員マスタ!$H$6:$H$405&gt;=$AQ2416))&gt;0)*(ROW(職員マスタ!$A$6:$A$405)-5)))&gt;0,SUMPRODUCT(MAX((職員マスタ!$A$6:$A$405=$B2416)*(((職員マスタ!$G$6:$G$405="")+(職員マスタ!$G$6:$G$405&lt;=EOMONTH($AQ2416,0)))&gt;0)*(((職員マスタ!$H$6:$H$405="")+(職員マスタ!$H$6:$H$405&gt;=$AQ2416))&gt;0)*(ROW(職員マスタ!$A$6:$A$405)-5))),IFERROR(MATCH($B2416,職員マスタ!$A$6:$A$405,0),"")))</f>
        <v/>
      </c>
      <c r="AQ2416" s="16">
        <f>IF(OR($B2416="",$C2416="",$D2416=""),"",DATE($C2416+2018,$D2416,1))</f>
        <v/>
      </c>
    </row>
    <row r="2417">
      <c r="A2417" s="11" t="n"/>
      <c r="B2417" s="12" t="n"/>
      <c r="C2417" s="12" t="n"/>
      <c r="D2417" s="12" t="n"/>
      <c r="E2417" s="13" t="n"/>
      <c r="F2417" s="12" t="n"/>
      <c r="G2417" s="13" t="n"/>
      <c r="H2417" s="12" t="n"/>
      <c r="I2417" s="12" t="n"/>
      <c r="J2417" s="12" t="n"/>
      <c r="K2417" s="12" t="n"/>
      <c r="L2417" s="11" t="n"/>
      <c r="M2417" s="11" t="n"/>
      <c r="N2417" s="11" t="n"/>
      <c r="O2417" s="11" t="n"/>
      <c r="P2417" s="12" t="n"/>
      <c r="Q2417" s="11" t="n"/>
      <c r="R2417" s="12" t="n"/>
      <c r="S2417" s="11" t="n"/>
      <c r="T2417" s="12" t="n"/>
      <c r="U2417" s="12" t="n"/>
      <c r="V2417" s="12" t="n"/>
      <c r="W2417" s="13" t="n"/>
      <c r="X2417" s="14">
        <f>IF($AP2417="",IF($B2417="","",$H2417),IF(INDEX(職員マスタ!$B$6:$B$405,$AP2417)="",$H2417,INDEX(職員マスタ!$B$6:$B$405,$AP2417)))</f>
        <v/>
      </c>
      <c r="Y2417" s="14">
        <f>IF($AP2417="",IF($B2417="","",$R2417),IF(INDEX(職員マスタ!$C$6:$C$405,$AP2417)="",$R2417,INDEX(職員マスタ!$C$6:$C$405,$AP2417)))</f>
        <v/>
      </c>
      <c r="Z2417" s="14">
        <f>IF($AQ2417="","","R"&amp;$C2417&amp;"."&amp;$D2417)</f>
        <v/>
      </c>
      <c r="AA2417" s="15">
        <f>IF(IF($AP2417="",FALSE,INDEX(職員マスタ!$K$6:$K$405,$AP2417)&lt;&gt;""),INDEX(職員マスタ!$K$6:$K$405,$AP2417),IF(N($W2417)&gt;0,$W2417,""))</f>
        <v/>
      </c>
      <c r="AB2417" s="14">
        <f>IF(OR($E2417="",$AA2417=""),"",IF($E2417&gt;=$AA2417,"×",IF($E2417&gt;=$AA2417*設定!$C$5,"△","○")))</f>
        <v/>
      </c>
      <c r="AC2417" s="15">
        <f>IF($AB2417="","",IF($AB2417="×",0,IF($AB2417="○",ROUNDDOWN($E2417*設定!$C$4,0),ROUNDDOWN($E2417*ROUND((9*$AA2417-9*$E2417)/(10*$E2417),4),0))))</f>
        <v/>
      </c>
      <c r="AD2417" s="13" t="n"/>
      <c r="AE2417" s="15">
        <f>IF($B2417="","",IF($AD2417&lt;&gt;"",$AD2417,IF($AC2417="","",IF($AC2417&lt;=設定!$C$3,0,$AC2417))))</f>
        <v/>
      </c>
      <c r="AF2417" s="14">
        <f>IF($B2417="","",IF(AND($AG2417&lt;&gt;"",$AI2417="",$AL2417=""),"保留中",IF($AL2417&lt;&gt;"",IF(N($AE2417)&gt;0,"支給済","不支給"),IF($AE2417="","要確認",IF($AE2417=0,"不支給","未処理")))))</f>
        <v/>
      </c>
      <c r="AG2417" s="12" t="n"/>
      <c r="AH2417" s="11" t="n"/>
      <c r="AI2417" s="11" t="n"/>
      <c r="AJ2417" s="11" t="n"/>
      <c r="AK2417" s="14">
        <f>IF(AND($AF2417="保留中",$AH2417&lt;&gt;""),TODAY()-$AH2417,"")</f>
        <v/>
      </c>
      <c r="AL2417" s="12" t="n"/>
      <c r="AM2417" s="14">
        <f>IF($B2417="","",IF($AQ2417="","対象年月が未入力／","")&amp;IF($B2417="","",IF($AP2417="","職員マスタに未登録の職員番号／",IF($AA2417="","標準報酬月額が未登録／","")&amp;IF(AND($AQ2417&lt;&gt;"",OR(AND(INDEX(職員マスタ!$G$6:$G$405,$AP2417)&lt;&gt;"",INDEX(職員マスタ!$G$6:$G$405,$AP2417)&gt;EOMONTH($AQ2417,0)),AND(INDEX(職員マスタ!$H$6:$H$405,$AP2417)&lt;&gt;"",INDEX(職員マスタ!$H$6:$H$405,$AP2417)&lt;$AQ2417))),"対象月が時短期間外／","")&amp;IF(AND(INDEX(職員マスタ!$K$6:$K$405,$AP2417)&lt;&gt;"",N($W2417)&gt;0,INDEX(職員マスタ!$K$6:$K$405,$AP2417)&lt;&gt;$W2417),"標準報酬月額が申請書と相違（台帳"&amp;TEXT(INDEX(職員マスタ!$K$6:$K$405,$AP2417),"#,##0")&amp;"円／申請書"&amp;TEXT($W2417,"#,##0")&amp;"円）／","")&amp;IF(AND(INDEX(職員マスタ!$F$6:$F$405,$AP2417)&lt;&gt;"",$AQ2417&lt;&gt;"",INDEX(職員マスタ!$F$6:$F$405,$AP2417)&lt;$AQ2417),"対象月に子が2歳到達済／","")&amp;IF(AND($H2417&lt;&gt;"",INDEX(職員マスタ!$B$6:$B$405,$AP2417)&lt;&gt;"",SUBSTITUTE(SUBSTITUTE($H2417," ","")," ","")&lt;&gt;SUBSTITUTE(SUBSTITUTE(INDEX(職員マスタ!$B$6:$B$405,$AP2417)," ","")," ","")),"氏名がマスタと相違／","")&amp;IF(AND($Q2417&lt;&gt;"",INDEX(職員マスタ!$E$6:$E$405,$AP2417)&lt;&gt;"",$Q2417&lt;&gt;INDEX(職員マスタ!$E$6:$E$405,$AP2417)),"子の生年月日がマスタと相違／","")&amp;IF(AND($L2417&lt;&gt;"",INDEX(職員マスタ!$G$6:$G$405,$AP2417)&lt;&gt;"",$L2417&lt;&gt;INDEX(職員マスタ!$G$6:$G$405,$AP2417)),"時短開始日がマスタと相違／","")&amp;IF(AND($M2417&lt;&gt;"",INDEX(職員マスタ!$H$6:$H$405,$AP2417)&lt;&gt;"",$M2417&lt;&gt;INDEX(職員マスタ!$H$6:$H$405,$AP2417)),"時短終了日がマスタと相違／","")))&amp;IF(AND($B2417&lt;&gt;"",$E2417=""),"報酬額が未入力／","")&amp;IF(N($U2417)&gt;0,"申請書に入力エラーが残っています／","")&amp;IF(AND($B2417&lt;&gt;"",$AQ2417&lt;&gt;""),IF(COUNTIFS($B$6:$B$3005,$B2417,$C$6:$C$3005,$C2417,$D$6:$D$3005,$D2417)&gt;1,"同じ月の請求が重複しています／",""),"")&amp;IF(AND(N($E2417)&gt;0,$AB2417&lt;&gt;"",$AB2417&lt;&gt;"×",$AE2417=0,$AD2417=""),"計算額が下限以下のため不支給／",""))</f>
        <v/>
      </c>
      <c r="AN2417" s="12" t="n"/>
      <c r="AO2417" s="14">
        <f>IF($AF2417="保留中",COUNTIF($AF$6:$AF2417,"保留中"),"")</f>
        <v/>
      </c>
      <c r="AP2417" s="14">
        <f>IF($AQ2417="","",IF(SUMPRODUCT(MAX((職員マスタ!$A$6:$A$405=$B2417)*(((職員マスタ!$G$6:$G$405="")+(職員マスタ!$G$6:$G$405&lt;=EOMONTH($AQ2417,0)))&gt;0)*(((職員マスタ!$H$6:$H$405="")+(職員マスタ!$H$6:$H$405&gt;=$AQ2417))&gt;0)*(ROW(職員マスタ!$A$6:$A$405)-5)))&gt;0,SUMPRODUCT(MAX((職員マスタ!$A$6:$A$405=$B2417)*(((職員マスタ!$G$6:$G$405="")+(職員マスタ!$G$6:$G$405&lt;=EOMONTH($AQ2417,0)))&gt;0)*(((職員マスタ!$H$6:$H$405="")+(職員マスタ!$H$6:$H$405&gt;=$AQ2417))&gt;0)*(ROW(職員マスタ!$A$6:$A$405)-5))),IFERROR(MATCH($B2417,職員マスタ!$A$6:$A$405,0),"")))</f>
        <v/>
      </c>
      <c r="AQ2417" s="16">
        <f>IF(OR($B2417="",$C2417="",$D2417=""),"",DATE($C2417+2018,$D2417,1))</f>
        <v/>
      </c>
    </row>
    <row r="2418">
      <c r="A2418" s="11" t="n"/>
      <c r="B2418" s="12" t="n"/>
      <c r="C2418" s="12" t="n"/>
      <c r="D2418" s="12" t="n"/>
      <c r="E2418" s="13" t="n"/>
      <c r="F2418" s="12" t="n"/>
      <c r="G2418" s="13" t="n"/>
      <c r="H2418" s="12" t="n"/>
      <c r="I2418" s="12" t="n"/>
      <c r="J2418" s="12" t="n"/>
      <c r="K2418" s="12" t="n"/>
      <c r="L2418" s="11" t="n"/>
      <c r="M2418" s="11" t="n"/>
      <c r="N2418" s="11" t="n"/>
      <c r="O2418" s="11" t="n"/>
      <c r="P2418" s="12" t="n"/>
      <c r="Q2418" s="11" t="n"/>
      <c r="R2418" s="12" t="n"/>
      <c r="S2418" s="11" t="n"/>
      <c r="T2418" s="12" t="n"/>
      <c r="U2418" s="12" t="n"/>
      <c r="V2418" s="12" t="n"/>
      <c r="W2418" s="13" t="n"/>
      <c r="X2418" s="14">
        <f>IF($AP2418="",IF($B2418="","",$H2418),IF(INDEX(職員マスタ!$B$6:$B$405,$AP2418)="",$H2418,INDEX(職員マスタ!$B$6:$B$405,$AP2418)))</f>
        <v/>
      </c>
      <c r="Y2418" s="14">
        <f>IF($AP2418="",IF($B2418="","",$R2418),IF(INDEX(職員マスタ!$C$6:$C$405,$AP2418)="",$R2418,INDEX(職員マスタ!$C$6:$C$405,$AP2418)))</f>
        <v/>
      </c>
      <c r="Z2418" s="14">
        <f>IF($AQ2418="","","R"&amp;$C2418&amp;"."&amp;$D2418)</f>
        <v/>
      </c>
      <c r="AA2418" s="15">
        <f>IF(IF($AP2418="",FALSE,INDEX(職員マスタ!$K$6:$K$405,$AP2418)&lt;&gt;""),INDEX(職員マスタ!$K$6:$K$405,$AP2418),IF(N($W2418)&gt;0,$W2418,""))</f>
        <v/>
      </c>
      <c r="AB2418" s="14">
        <f>IF(OR($E2418="",$AA2418=""),"",IF($E2418&gt;=$AA2418,"×",IF($E2418&gt;=$AA2418*設定!$C$5,"△","○")))</f>
        <v/>
      </c>
      <c r="AC2418" s="15">
        <f>IF($AB2418="","",IF($AB2418="×",0,IF($AB2418="○",ROUNDDOWN($E2418*設定!$C$4,0),ROUNDDOWN($E2418*ROUND((9*$AA2418-9*$E2418)/(10*$E2418),4),0))))</f>
        <v/>
      </c>
      <c r="AD2418" s="13" t="n"/>
      <c r="AE2418" s="15">
        <f>IF($B2418="","",IF($AD2418&lt;&gt;"",$AD2418,IF($AC2418="","",IF($AC2418&lt;=設定!$C$3,0,$AC2418))))</f>
        <v/>
      </c>
      <c r="AF2418" s="14">
        <f>IF($B2418="","",IF(AND($AG2418&lt;&gt;"",$AI2418="",$AL2418=""),"保留中",IF($AL2418&lt;&gt;"",IF(N($AE2418)&gt;0,"支給済","不支給"),IF($AE2418="","要確認",IF($AE2418=0,"不支給","未処理")))))</f>
        <v/>
      </c>
      <c r="AG2418" s="12" t="n"/>
      <c r="AH2418" s="11" t="n"/>
      <c r="AI2418" s="11" t="n"/>
      <c r="AJ2418" s="11" t="n"/>
      <c r="AK2418" s="14">
        <f>IF(AND($AF2418="保留中",$AH2418&lt;&gt;""),TODAY()-$AH2418,"")</f>
        <v/>
      </c>
      <c r="AL2418" s="12" t="n"/>
      <c r="AM2418" s="14">
        <f>IF($B2418="","",IF($AQ2418="","対象年月が未入力／","")&amp;IF($B2418="","",IF($AP2418="","職員マスタに未登録の職員番号／",IF($AA2418="","標準報酬月額が未登録／","")&amp;IF(AND($AQ2418&lt;&gt;"",OR(AND(INDEX(職員マスタ!$G$6:$G$405,$AP2418)&lt;&gt;"",INDEX(職員マスタ!$G$6:$G$405,$AP2418)&gt;EOMONTH($AQ2418,0)),AND(INDEX(職員マスタ!$H$6:$H$405,$AP2418)&lt;&gt;"",INDEX(職員マスタ!$H$6:$H$405,$AP2418)&lt;$AQ2418))),"対象月が時短期間外／","")&amp;IF(AND(INDEX(職員マスタ!$K$6:$K$405,$AP2418)&lt;&gt;"",N($W2418)&gt;0,INDEX(職員マスタ!$K$6:$K$405,$AP2418)&lt;&gt;$W2418),"標準報酬月額が申請書と相違（台帳"&amp;TEXT(INDEX(職員マスタ!$K$6:$K$405,$AP2418),"#,##0")&amp;"円／申請書"&amp;TEXT($W2418,"#,##0")&amp;"円）／","")&amp;IF(AND(INDEX(職員マスタ!$F$6:$F$405,$AP2418)&lt;&gt;"",$AQ2418&lt;&gt;"",INDEX(職員マスタ!$F$6:$F$405,$AP2418)&lt;$AQ2418),"対象月に子が2歳到達済／","")&amp;IF(AND($H2418&lt;&gt;"",INDEX(職員マスタ!$B$6:$B$405,$AP2418)&lt;&gt;"",SUBSTITUTE(SUBSTITUTE($H2418," ","")," ","")&lt;&gt;SUBSTITUTE(SUBSTITUTE(INDEX(職員マスタ!$B$6:$B$405,$AP2418)," ","")," ","")),"氏名がマスタと相違／","")&amp;IF(AND($Q2418&lt;&gt;"",INDEX(職員マスタ!$E$6:$E$405,$AP2418)&lt;&gt;"",$Q2418&lt;&gt;INDEX(職員マスタ!$E$6:$E$405,$AP2418)),"子の生年月日がマスタと相違／","")&amp;IF(AND($L2418&lt;&gt;"",INDEX(職員マスタ!$G$6:$G$405,$AP2418)&lt;&gt;"",$L2418&lt;&gt;INDEX(職員マスタ!$G$6:$G$405,$AP2418)),"時短開始日がマスタと相違／","")&amp;IF(AND($M2418&lt;&gt;"",INDEX(職員マスタ!$H$6:$H$405,$AP2418)&lt;&gt;"",$M2418&lt;&gt;INDEX(職員マスタ!$H$6:$H$405,$AP2418)),"時短終了日がマスタと相違／","")))&amp;IF(AND($B2418&lt;&gt;"",$E2418=""),"報酬額が未入力／","")&amp;IF(N($U2418)&gt;0,"申請書に入力エラーが残っています／","")&amp;IF(AND($B2418&lt;&gt;"",$AQ2418&lt;&gt;""),IF(COUNTIFS($B$6:$B$3005,$B2418,$C$6:$C$3005,$C2418,$D$6:$D$3005,$D2418)&gt;1,"同じ月の請求が重複しています／",""),"")&amp;IF(AND(N($E2418)&gt;0,$AB2418&lt;&gt;"",$AB2418&lt;&gt;"×",$AE2418=0,$AD2418=""),"計算額が下限以下のため不支給／",""))</f>
        <v/>
      </c>
      <c r="AN2418" s="12" t="n"/>
      <c r="AO2418" s="14">
        <f>IF($AF2418="保留中",COUNTIF($AF$6:$AF2418,"保留中"),"")</f>
        <v/>
      </c>
      <c r="AP2418" s="14">
        <f>IF($AQ2418="","",IF(SUMPRODUCT(MAX((職員マスタ!$A$6:$A$405=$B2418)*(((職員マスタ!$G$6:$G$405="")+(職員マスタ!$G$6:$G$405&lt;=EOMONTH($AQ2418,0)))&gt;0)*(((職員マスタ!$H$6:$H$405="")+(職員マスタ!$H$6:$H$405&gt;=$AQ2418))&gt;0)*(ROW(職員マスタ!$A$6:$A$405)-5)))&gt;0,SUMPRODUCT(MAX((職員マスタ!$A$6:$A$405=$B2418)*(((職員マスタ!$G$6:$G$405="")+(職員マスタ!$G$6:$G$405&lt;=EOMONTH($AQ2418,0)))&gt;0)*(((職員マスタ!$H$6:$H$405="")+(職員マスタ!$H$6:$H$405&gt;=$AQ2418))&gt;0)*(ROW(職員マスタ!$A$6:$A$405)-5))),IFERROR(MATCH($B2418,職員マスタ!$A$6:$A$405,0),"")))</f>
        <v/>
      </c>
      <c r="AQ2418" s="16">
        <f>IF(OR($B2418="",$C2418="",$D2418=""),"",DATE($C2418+2018,$D2418,1))</f>
        <v/>
      </c>
    </row>
    <row r="2419">
      <c r="A2419" s="11" t="n"/>
      <c r="B2419" s="12" t="n"/>
      <c r="C2419" s="12" t="n"/>
      <c r="D2419" s="12" t="n"/>
      <c r="E2419" s="13" t="n"/>
      <c r="F2419" s="12" t="n"/>
      <c r="G2419" s="13" t="n"/>
      <c r="H2419" s="12" t="n"/>
      <c r="I2419" s="12" t="n"/>
      <c r="J2419" s="12" t="n"/>
      <c r="K2419" s="12" t="n"/>
      <c r="L2419" s="11" t="n"/>
      <c r="M2419" s="11" t="n"/>
      <c r="N2419" s="11" t="n"/>
      <c r="O2419" s="11" t="n"/>
      <c r="P2419" s="12" t="n"/>
      <c r="Q2419" s="11" t="n"/>
      <c r="R2419" s="12" t="n"/>
      <c r="S2419" s="11" t="n"/>
      <c r="T2419" s="12" t="n"/>
      <c r="U2419" s="12" t="n"/>
      <c r="V2419" s="12" t="n"/>
      <c r="W2419" s="13" t="n"/>
      <c r="X2419" s="14">
        <f>IF($AP2419="",IF($B2419="","",$H2419),IF(INDEX(職員マスタ!$B$6:$B$405,$AP2419)="",$H2419,INDEX(職員マスタ!$B$6:$B$405,$AP2419)))</f>
        <v/>
      </c>
      <c r="Y2419" s="14">
        <f>IF($AP2419="",IF($B2419="","",$R2419),IF(INDEX(職員マスタ!$C$6:$C$405,$AP2419)="",$R2419,INDEX(職員マスタ!$C$6:$C$405,$AP2419)))</f>
        <v/>
      </c>
      <c r="Z2419" s="14">
        <f>IF($AQ2419="","","R"&amp;$C2419&amp;"."&amp;$D2419)</f>
        <v/>
      </c>
      <c r="AA2419" s="15">
        <f>IF(IF($AP2419="",FALSE,INDEX(職員マスタ!$K$6:$K$405,$AP2419)&lt;&gt;""),INDEX(職員マスタ!$K$6:$K$405,$AP2419),IF(N($W2419)&gt;0,$W2419,""))</f>
        <v/>
      </c>
      <c r="AB2419" s="14">
        <f>IF(OR($E2419="",$AA2419=""),"",IF($E2419&gt;=$AA2419,"×",IF($E2419&gt;=$AA2419*設定!$C$5,"△","○")))</f>
        <v/>
      </c>
      <c r="AC2419" s="15">
        <f>IF($AB2419="","",IF($AB2419="×",0,IF($AB2419="○",ROUNDDOWN($E2419*設定!$C$4,0),ROUNDDOWN($E2419*ROUND((9*$AA2419-9*$E2419)/(10*$E2419),4),0))))</f>
        <v/>
      </c>
      <c r="AD2419" s="13" t="n"/>
      <c r="AE2419" s="15">
        <f>IF($B2419="","",IF($AD2419&lt;&gt;"",$AD2419,IF($AC2419="","",IF($AC2419&lt;=設定!$C$3,0,$AC2419))))</f>
        <v/>
      </c>
      <c r="AF2419" s="14">
        <f>IF($B2419="","",IF(AND($AG2419&lt;&gt;"",$AI2419="",$AL2419=""),"保留中",IF($AL2419&lt;&gt;"",IF(N($AE2419)&gt;0,"支給済","不支給"),IF($AE2419="","要確認",IF($AE2419=0,"不支給","未処理")))))</f>
        <v/>
      </c>
      <c r="AG2419" s="12" t="n"/>
      <c r="AH2419" s="11" t="n"/>
      <c r="AI2419" s="11" t="n"/>
      <c r="AJ2419" s="11" t="n"/>
      <c r="AK2419" s="14">
        <f>IF(AND($AF2419="保留中",$AH2419&lt;&gt;""),TODAY()-$AH2419,"")</f>
        <v/>
      </c>
      <c r="AL2419" s="12" t="n"/>
      <c r="AM2419" s="14">
        <f>IF($B2419="","",IF($AQ2419="","対象年月が未入力／","")&amp;IF($B2419="","",IF($AP2419="","職員マスタに未登録の職員番号／",IF($AA2419="","標準報酬月額が未登録／","")&amp;IF(AND($AQ2419&lt;&gt;"",OR(AND(INDEX(職員マスタ!$G$6:$G$405,$AP2419)&lt;&gt;"",INDEX(職員マスタ!$G$6:$G$405,$AP2419)&gt;EOMONTH($AQ2419,0)),AND(INDEX(職員マスタ!$H$6:$H$405,$AP2419)&lt;&gt;"",INDEX(職員マスタ!$H$6:$H$405,$AP2419)&lt;$AQ2419))),"対象月が時短期間外／","")&amp;IF(AND(INDEX(職員マスタ!$K$6:$K$405,$AP2419)&lt;&gt;"",N($W2419)&gt;0,INDEX(職員マスタ!$K$6:$K$405,$AP2419)&lt;&gt;$W2419),"標準報酬月額が申請書と相違（台帳"&amp;TEXT(INDEX(職員マスタ!$K$6:$K$405,$AP2419),"#,##0")&amp;"円／申請書"&amp;TEXT($W2419,"#,##0")&amp;"円）／","")&amp;IF(AND(INDEX(職員マスタ!$F$6:$F$405,$AP2419)&lt;&gt;"",$AQ2419&lt;&gt;"",INDEX(職員マスタ!$F$6:$F$405,$AP2419)&lt;$AQ2419),"対象月に子が2歳到達済／","")&amp;IF(AND($H2419&lt;&gt;"",INDEX(職員マスタ!$B$6:$B$405,$AP2419)&lt;&gt;"",SUBSTITUTE(SUBSTITUTE($H2419," ","")," ","")&lt;&gt;SUBSTITUTE(SUBSTITUTE(INDEX(職員マスタ!$B$6:$B$405,$AP2419)," ","")," ","")),"氏名がマスタと相違／","")&amp;IF(AND($Q2419&lt;&gt;"",INDEX(職員マスタ!$E$6:$E$405,$AP2419)&lt;&gt;"",$Q2419&lt;&gt;INDEX(職員マスタ!$E$6:$E$405,$AP2419)),"子の生年月日がマスタと相違／","")&amp;IF(AND($L2419&lt;&gt;"",INDEX(職員マスタ!$G$6:$G$405,$AP2419)&lt;&gt;"",$L2419&lt;&gt;INDEX(職員マスタ!$G$6:$G$405,$AP2419)),"時短開始日がマスタと相違／","")&amp;IF(AND($M2419&lt;&gt;"",INDEX(職員マスタ!$H$6:$H$405,$AP2419)&lt;&gt;"",$M2419&lt;&gt;INDEX(職員マスタ!$H$6:$H$405,$AP2419)),"時短終了日がマスタと相違／","")))&amp;IF(AND($B2419&lt;&gt;"",$E2419=""),"報酬額が未入力／","")&amp;IF(N($U2419)&gt;0,"申請書に入力エラーが残っています／","")&amp;IF(AND($B2419&lt;&gt;"",$AQ2419&lt;&gt;""),IF(COUNTIFS($B$6:$B$3005,$B2419,$C$6:$C$3005,$C2419,$D$6:$D$3005,$D2419)&gt;1,"同じ月の請求が重複しています／",""),"")&amp;IF(AND(N($E2419)&gt;0,$AB2419&lt;&gt;"",$AB2419&lt;&gt;"×",$AE2419=0,$AD2419=""),"計算額が下限以下のため不支給／",""))</f>
        <v/>
      </c>
      <c r="AN2419" s="12" t="n"/>
      <c r="AO2419" s="14">
        <f>IF($AF2419="保留中",COUNTIF($AF$6:$AF2419,"保留中"),"")</f>
        <v/>
      </c>
      <c r="AP2419" s="14">
        <f>IF($AQ2419="","",IF(SUMPRODUCT(MAX((職員マスタ!$A$6:$A$405=$B2419)*(((職員マスタ!$G$6:$G$405="")+(職員マスタ!$G$6:$G$405&lt;=EOMONTH($AQ2419,0)))&gt;0)*(((職員マスタ!$H$6:$H$405="")+(職員マスタ!$H$6:$H$405&gt;=$AQ2419))&gt;0)*(ROW(職員マスタ!$A$6:$A$405)-5)))&gt;0,SUMPRODUCT(MAX((職員マスタ!$A$6:$A$405=$B2419)*(((職員マスタ!$G$6:$G$405="")+(職員マスタ!$G$6:$G$405&lt;=EOMONTH($AQ2419,0)))&gt;0)*(((職員マスタ!$H$6:$H$405="")+(職員マスタ!$H$6:$H$405&gt;=$AQ2419))&gt;0)*(ROW(職員マスタ!$A$6:$A$405)-5))),IFERROR(MATCH($B2419,職員マスタ!$A$6:$A$405,0),"")))</f>
        <v/>
      </c>
      <c r="AQ2419" s="16">
        <f>IF(OR($B2419="",$C2419="",$D2419=""),"",DATE($C2419+2018,$D2419,1))</f>
        <v/>
      </c>
    </row>
    <row r="2420">
      <c r="A2420" s="11" t="n"/>
      <c r="B2420" s="12" t="n"/>
      <c r="C2420" s="12" t="n"/>
      <c r="D2420" s="12" t="n"/>
      <c r="E2420" s="13" t="n"/>
      <c r="F2420" s="12" t="n"/>
      <c r="G2420" s="13" t="n"/>
      <c r="H2420" s="12" t="n"/>
      <c r="I2420" s="12" t="n"/>
      <c r="J2420" s="12" t="n"/>
      <c r="K2420" s="12" t="n"/>
      <c r="L2420" s="11" t="n"/>
      <c r="M2420" s="11" t="n"/>
      <c r="N2420" s="11" t="n"/>
      <c r="O2420" s="11" t="n"/>
      <c r="P2420" s="12" t="n"/>
      <c r="Q2420" s="11" t="n"/>
      <c r="R2420" s="12" t="n"/>
      <c r="S2420" s="11" t="n"/>
      <c r="T2420" s="12" t="n"/>
      <c r="U2420" s="12" t="n"/>
      <c r="V2420" s="12" t="n"/>
      <c r="W2420" s="13" t="n"/>
      <c r="X2420" s="14">
        <f>IF($AP2420="",IF($B2420="","",$H2420),IF(INDEX(職員マスタ!$B$6:$B$405,$AP2420)="",$H2420,INDEX(職員マスタ!$B$6:$B$405,$AP2420)))</f>
        <v/>
      </c>
      <c r="Y2420" s="14">
        <f>IF($AP2420="",IF($B2420="","",$R2420),IF(INDEX(職員マスタ!$C$6:$C$405,$AP2420)="",$R2420,INDEX(職員マスタ!$C$6:$C$405,$AP2420)))</f>
        <v/>
      </c>
      <c r="Z2420" s="14">
        <f>IF($AQ2420="","","R"&amp;$C2420&amp;"."&amp;$D2420)</f>
        <v/>
      </c>
      <c r="AA2420" s="15">
        <f>IF(IF($AP2420="",FALSE,INDEX(職員マスタ!$K$6:$K$405,$AP2420)&lt;&gt;""),INDEX(職員マスタ!$K$6:$K$405,$AP2420),IF(N($W2420)&gt;0,$W2420,""))</f>
        <v/>
      </c>
      <c r="AB2420" s="14">
        <f>IF(OR($E2420="",$AA2420=""),"",IF($E2420&gt;=$AA2420,"×",IF($E2420&gt;=$AA2420*設定!$C$5,"△","○")))</f>
        <v/>
      </c>
      <c r="AC2420" s="15">
        <f>IF($AB2420="","",IF($AB2420="×",0,IF($AB2420="○",ROUNDDOWN($E2420*設定!$C$4,0),ROUNDDOWN($E2420*ROUND((9*$AA2420-9*$E2420)/(10*$E2420),4),0))))</f>
        <v/>
      </c>
      <c r="AD2420" s="13" t="n"/>
      <c r="AE2420" s="15">
        <f>IF($B2420="","",IF($AD2420&lt;&gt;"",$AD2420,IF($AC2420="","",IF($AC2420&lt;=設定!$C$3,0,$AC2420))))</f>
        <v/>
      </c>
      <c r="AF2420" s="14">
        <f>IF($B2420="","",IF(AND($AG2420&lt;&gt;"",$AI2420="",$AL2420=""),"保留中",IF($AL2420&lt;&gt;"",IF(N($AE2420)&gt;0,"支給済","不支給"),IF($AE2420="","要確認",IF($AE2420=0,"不支給","未処理")))))</f>
        <v/>
      </c>
      <c r="AG2420" s="12" t="n"/>
      <c r="AH2420" s="11" t="n"/>
      <c r="AI2420" s="11" t="n"/>
      <c r="AJ2420" s="11" t="n"/>
      <c r="AK2420" s="14">
        <f>IF(AND($AF2420="保留中",$AH2420&lt;&gt;""),TODAY()-$AH2420,"")</f>
        <v/>
      </c>
      <c r="AL2420" s="12" t="n"/>
      <c r="AM2420" s="14">
        <f>IF($B2420="","",IF($AQ2420="","対象年月が未入力／","")&amp;IF($B2420="","",IF($AP2420="","職員マスタに未登録の職員番号／",IF($AA2420="","標準報酬月額が未登録／","")&amp;IF(AND($AQ2420&lt;&gt;"",OR(AND(INDEX(職員マスタ!$G$6:$G$405,$AP2420)&lt;&gt;"",INDEX(職員マスタ!$G$6:$G$405,$AP2420)&gt;EOMONTH($AQ2420,0)),AND(INDEX(職員マスタ!$H$6:$H$405,$AP2420)&lt;&gt;"",INDEX(職員マスタ!$H$6:$H$405,$AP2420)&lt;$AQ2420))),"対象月が時短期間外／","")&amp;IF(AND(INDEX(職員マスタ!$K$6:$K$405,$AP2420)&lt;&gt;"",N($W2420)&gt;0,INDEX(職員マスタ!$K$6:$K$405,$AP2420)&lt;&gt;$W2420),"標準報酬月額が申請書と相違（台帳"&amp;TEXT(INDEX(職員マスタ!$K$6:$K$405,$AP2420),"#,##0")&amp;"円／申請書"&amp;TEXT($W2420,"#,##0")&amp;"円）／","")&amp;IF(AND(INDEX(職員マスタ!$F$6:$F$405,$AP2420)&lt;&gt;"",$AQ2420&lt;&gt;"",INDEX(職員マスタ!$F$6:$F$405,$AP2420)&lt;$AQ2420),"対象月に子が2歳到達済／","")&amp;IF(AND($H2420&lt;&gt;"",INDEX(職員マスタ!$B$6:$B$405,$AP2420)&lt;&gt;"",SUBSTITUTE(SUBSTITUTE($H2420," ","")," ","")&lt;&gt;SUBSTITUTE(SUBSTITUTE(INDEX(職員マスタ!$B$6:$B$405,$AP2420)," ","")," ","")),"氏名がマスタと相違／","")&amp;IF(AND($Q2420&lt;&gt;"",INDEX(職員マスタ!$E$6:$E$405,$AP2420)&lt;&gt;"",$Q2420&lt;&gt;INDEX(職員マスタ!$E$6:$E$405,$AP2420)),"子の生年月日がマスタと相違／","")&amp;IF(AND($L2420&lt;&gt;"",INDEX(職員マスタ!$G$6:$G$405,$AP2420)&lt;&gt;"",$L2420&lt;&gt;INDEX(職員マスタ!$G$6:$G$405,$AP2420)),"時短開始日がマスタと相違／","")&amp;IF(AND($M2420&lt;&gt;"",INDEX(職員マスタ!$H$6:$H$405,$AP2420)&lt;&gt;"",$M2420&lt;&gt;INDEX(職員マスタ!$H$6:$H$405,$AP2420)),"時短終了日がマスタと相違／","")))&amp;IF(AND($B2420&lt;&gt;"",$E2420=""),"報酬額が未入力／","")&amp;IF(N($U2420)&gt;0,"申請書に入力エラーが残っています／","")&amp;IF(AND($B2420&lt;&gt;"",$AQ2420&lt;&gt;""),IF(COUNTIFS($B$6:$B$3005,$B2420,$C$6:$C$3005,$C2420,$D$6:$D$3005,$D2420)&gt;1,"同じ月の請求が重複しています／",""),"")&amp;IF(AND(N($E2420)&gt;0,$AB2420&lt;&gt;"",$AB2420&lt;&gt;"×",$AE2420=0,$AD2420=""),"計算額が下限以下のため不支給／",""))</f>
        <v/>
      </c>
      <c r="AN2420" s="12" t="n"/>
      <c r="AO2420" s="14">
        <f>IF($AF2420="保留中",COUNTIF($AF$6:$AF2420,"保留中"),"")</f>
        <v/>
      </c>
      <c r="AP2420" s="14">
        <f>IF($AQ2420="","",IF(SUMPRODUCT(MAX((職員マスタ!$A$6:$A$405=$B2420)*(((職員マスタ!$G$6:$G$405="")+(職員マスタ!$G$6:$G$405&lt;=EOMONTH($AQ2420,0)))&gt;0)*(((職員マスタ!$H$6:$H$405="")+(職員マスタ!$H$6:$H$405&gt;=$AQ2420))&gt;0)*(ROW(職員マスタ!$A$6:$A$405)-5)))&gt;0,SUMPRODUCT(MAX((職員マスタ!$A$6:$A$405=$B2420)*(((職員マスタ!$G$6:$G$405="")+(職員マスタ!$G$6:$G$405&lt;=EOMONTH($AQ2420,0)))&gt;0)*(((職員マスタ!$H$6:$H$405="")+(職員マスタ!$H$6:$H$405&gt;=$AQ2420))&gt;0)*(ROW(職員マスタ!$A$6:$A$405)-5))),IFERROR(MATCH($B2420,職員マスタ!$A$6:$A$405,0),"")))</f>
        <v/>
      </c>
      <c r="AQ2420" s="16">
        <f>IF(OR($B2420="",$C2420="",$D2420=""),"",DATE($C2420+2018,$D2420,1))</f>
        <v/>
      </c>
    </row>
    <row r="2421">
      <c r="A2421" s="11" t="n"/>
      <c r="B2421" s="12" t="n"/>
      <c r="C2421" s="12" t="n"/>
      <c r="D2421" s="12" t="n"/>
      <c r="E2421" s="13" t="n"/>
      <c r="F2421" s="12" t="n"/>
      <c r="G2421" s="13" t="n"/>
      <c r="H2421" s="12" t="n"/>
      <c r="I2421" s="12" t="n"/>
      <c r="J2421" s="12" t="n"/>
      <c r="K2421" s="12" t="n"/>
      <c r="L2421" s="11" t="n"/>
      <c r="M2421" s="11" t="n"/>
      <c r="N2421" s="11" t="n"/>
      <c r="O2421" s="11" t="n"/>
      <c r="P2421" s="12" t="n"/>
      <c r="Q2421" s="11" t="n"/>
      <c r="R2421" s="12" t="n"/>
      <c r="S2421" s="11" t="n"/>
      <c r="T2421" s="12" t="n"/>
      <c r="U2421" s="12" t="n"/>
      <c r="V2421" s="12" t="n"/>
      <c r="W2421" s="13" t="n"/>
      <c r="X2421" s="14">
        <f>IF($AP2421="",IF($B2421="","",$H2421),IF(INDEX(職員マスタ!$B$6:$B$405,$AP2421)="",$H2421,INDEX(職員マスタ!$B$6:$B$405,$AP2421)))</f>
        <v/>
      </c>
      <c r="Y2421" s="14">
        <f>IF($AP2421="",IF($B2421="","",$R2421),IF(INDEX(職員マスタ!$C$6:$C$405,$AP2421)="",$R2421,INDEX(職員マスタ!$C$6:$C$405,$AP2421)))</f>
        <v/>
      </c>
      <c r="Z2421" s="14">
        <f>IF($AQ2421="","","R"&amp;$C2421&amp;"."&amp;$D2421)</f>
        <v/>
      </c>
      <c r="AA2421" s="15">
        <f>IF(IF($AP2421="",FALSE,INDEX(職員マスタ!$K$6:$K$405,$AP2421)&lt;&gt;""),INDEX(職員マスタ!$K$6:$K$405,$AP2421),IF(N($W2421)&gt;0,$W2421,""))</f>
        <v/>
      </c>
      <c r="AB2421" s="14">
        <f>IF(OR($E2421="",$AA2421=""),"",IF($E2421&gt;=$AA2421,"×",IF($E2421&gt;=$AA2421*設定!$C$5,"△","○")))</f>
        <v/>
      </c>
      <c r="AC2421" s="15">
        <f>IF($AB2421="","",IF($AB2421="×",0,IF($AB2421="○",ROUNDDOWN($E2421*設定!$C$4,0),ROUNDDOWN($E2421*ROUND((9*$AA2421-9*$E2421)/(10*$E2421),4),0))))</f>
        <v/>
      </c>
      <c r="AD2421" s="13" t="n"/>
      <c r="AE2421" s="15">
        <f>IF($B2421="","",IF($AD2421&lt;&gt;"",$AD2421,IF($AC2421="","",IF($AC2421&lt;=設定!$C$3,0,$AC2421))))</f>
        <v/>
      </c>
      <c r="AF2421" s="14">
        <f>IF($B2421="","",IF(AND($AG2421&lt;&gt;"",$AI2421="",$AL2421=""),"保留中",IF($AL2421&lt;&gt;"",IF(N($AE2421)&gt;0,"支給済","不支給"),IF($AE2421="","要確認",IF($AE2421=0,"不支給","未処理")))))</f>
        <v/>
      </c>
      <c r="AG2421" s="12" t="n"/>
      <c r="AH2421" s="11" t="n"/>
      <c r="AI2421" s="11" t="n"/>
      <c r="AJ2421" s="11" t="n"/>
      <c r="AK2421" s="14">
        <f>IF(AND($AF2421="保留中",$AH2421&lt;&gt;""),TODAY()-$AH2421,"")</f>
        <v/>
      </c>
      <c r="AL2421" s="12" t="n"/>
      <c r="AM2421" s="14">
        <f>IF($B2421="","",IF($AQ2421="","対象年月が未入力／","")&amp;IF($B2421="","",IF($AP2421="","職員マスタに未登録の職員番号／",IF($AA2421="","標準報酬月額が未登録／","")&amp;IF(AND($AQ2421&lt;&gt;"",OR(AND(INDEX(職員マスタ!$G$6:$G$405,$AP2421)&lt;&gt;"",INDEX(職員マスタ!$G$6:$G$405,$AP2421)&gt;EOMONTH($AQ2421,0)),AND(INDEX(職員マスタ!$H$6:$H$405,$AP2421)&lt;&gt;"",INDEX(職員マスタ!$H$6:$H$405,$AP2421)&lt;$AQ2421))),"対象月が時短期間外／","")&amp;IF(AND(INDEX(職員マスタ!$K$6:$K$405,$AP2421)&lt;&gt;"",N($W2421)&gt;0,INDEX(職員マスタ!$K$6:$K$405,$AP2421)&lt;&gt;$W2421),"標準報酬月額が申請書と相違（台帳"&amp;TEXT(INDEX(職員マスタ!$K$6:$K$405,$AP2421),"#,##0")&amp;"円／申請書"&amp;TEXT($W2421,"#,##0")&amp;"円）／","")&amp;IF(AND(INDEX(職員マスタ!$F$6:$F$405,$AP2421)&lt;&gt;"",$AQ2421&lt;&gt;"",INDEX(職員マスタ!$F$6:$F$405,$AP2421)&lt;$AQ2421),"対象月に子が2歳到達済／","")&amp;IF(AND($H2421&lt;&gt;"",INDEX(職員マスタ!$B$6:$B$405,$AP2421)&lt;&gt;"",SUBSTITUTE(SUBSTITUTE($H2421," ","")," ","")&lt;&gt;SUBSTITUTE(SUBSTITUTE(INDEX(職員マスタ!$B$6:$B$405,$AP2421)," ","")," ","")),"氏名がマスタと相違／","")&amp;IF(AND($Q2421&lt;&gt;"",INDEX(職員マスタ!$E$6:$E$405,$AP2421)&lt;&gt;"",$Q2421&lt;&gt;INDEX(職員マスタ!$E$6:$E$405,$AP2421)),"子の生年月日がマスタと相違／","")&amp;IF(AND($L2421&lt;&gt;"",INDEX(職員マスタ!$G$6:$G$405,$AP2421)&lt;&gt;"",$L2421&lt;&gt;INDEX(職員マスタ!$G$6:$G$405,$AP2421)),"時短開始日がマスタと相違／","")&amp;IF(AND($M2421&lt;&gt;"",INDEX(職員マスタ!$H$6:$H$405,$AP2421)&lt;&gt;"",$M2421&lt;&gt;INDEX(職員マスタ!$H$6:$H$405,$AP2421)),"時短終了日がマスタと相違／","")))&amp;IF(AND($B2421&lt;&gt;"",$E2421=""),"報酬額が未入力／","")&amp;IF(N($U2421)&gt;0,"申請書に入力エラーが残っています／","")&amp;IF(AND($B2421&lt;&gt;"",$AQ2421&lt;&gt;""),IF(COUNTIFS($B$6:$B$3005,$B2421,$C$6:$C$3005,$C2421,$D$6:$D$3005,$D2421)&gt;1,"同じ月の請求が重複しています／",""),"")&amp;IF(AND(N($E2421)&gt;0,$AB2421&lt;&gt;"",$AB2421&lt;&gt;"×",$AE2421=0,$AD2421=""),"計算額が下限以下のため不支給／",""))</f>
        <v/>
      </c>
      <c r="AN2421" s="12" t="n"/>
      <c r="AO2421" s="14">
        <f>IF($AF2421="保留中",COUNTIF($AF$6:$AF2421,"保留中"),"")</f>
        <v/>
      </c>
      <c r="AP2421" s="14">
        <f>IF($AQ2421="","",IF(SUMPRODUCT(MAX((職員マスタ!$A$6:$A$405=$B2421)*(((職員マスタ!$G$6:$G$405="")+(職員マスタ!$G$6:$G$405&lt;=EOMONTH($AQ2421,0)))&gt;0)*(((職員マスタ!$H$6:$H$405="")+(職員マスタ!$H$6:$H$405&gt;=$AQ2421))&gt;0)*(ROW(職員マスタ!$A$6:$A$405)-5)))&gt;0,SUMPRODUCT(MAX((職員マスタ!$A$6:$A$405=$B2421)*(((職員マスタ!$G$6:$G$405="")+(職員マスタ!$G$6:$G$405&lt;=EOMONTH($AQ2421,0)))&gt;0)*(((職員マスタ!$H$6:$H$405="")+(職員マスタ!$H$6:$H$405&gt;=$AQ2421))&gt;0)*(ROW(職員マスタ!$A$6:$A$405)-5))),IFERROR(MATCH($B2421,職員マスタ!$A$6:$A$405,0),"")))</f>
        <v/>
      </c>
      <c r="AQ2421" s="16">
        <f>IF(OR($B2421="",$C2421="",$D2421=""),"",DATE($C2421+2018,$D2421,1))</f>
        <v/>
      </c>
    </row>
    <row r="2422">
      <c r="A2422" s="11" t="n"/>
      <c r="B2422" s="12" t="n"/>
      <c r="C2422" s="12" t="n"/>
      <c r="D2422" s="12" t="n"/>
      <c r="E2422" s="13" t="n"/>
      <c r="F2422" s="12" t="n"/>
      <c r="G2422" s="13" t="n"/>
      <c r="H2422" s="12" t="n"/>
      <c r="I2422" s="12" t="n"/>
      <c r="J2422" s="12" t="n"/>
      <c r="K2422" s="12" t="n"/>
      <c r="L2422" s="11" t="n"/>
      <c r="M2422" s="11" t="n"/>
      <c r="N2422" s="11" t="n"/>
      <c r="O2422" s="11" t="n"/>
      <c r="P2422" s="12" t="n"/>
      <c r="Q2422" s="11" t="n"/>
      <c r="R2422" s="12" t="n"/>
      <c r="S2422" s="11" t="n"/>
      <c r="T2422" s="12" t="n"/>
      <c r="U2422" s="12" t="n"/>
      <c r="V2422" s="12" t="n"/>
      <c r="W2422" s="13" t="n"/>
      <c r="X2422" s="14">
        <f>IF($AP2422="",IF($B2422="","",$H2422),IF(INDEX(職員マスタ!$B$6:$B$405,$AP2422)="",$H2422,INDEX(職員マスタ!$B$6:$B$405,$AP2422)))</f>
        <v/>
      </c>
      <c r="Y2422" s="14">
        <f>IF($AP2422="",IF($B2422="","",$R2422),IF(INDEX(職員マスタ!$C$6:$C$405,$AP2422)="",$R2422,INDEX(職員マスタ!$C$6:$C$405,$AP2422)))</f>
        <v/>
      </c>
      <c r="Z2422" s="14">
        <f>IF($AQ2422="","","R"&amp;$C2422&amp;"."&amp;$D2422)</f>
        <v/>
      </c>
      <c r="AA2422" s="15">
        <f>IF(IF($AP2422="",FALSE,INDEX(職員マスタ!$K$6:$K$405,$AP2422)&lt;&gt;""),INDEX(職員マスタ!$K$6:$K$405,$AP2422),IF(N($W2422)&gt;0,$W2422,""))</f>
        <v/>
      </c>
      <c r="AB2422" s="14">
        <f>IF(OR($E2422="",$AA2422=""),"",IF($E2422&gt;=$AA2422,"×",IF($E2422&gt;=$AA2422*設定!$C$5,"△","○")))</f>
        <v/>
      </c>
      <c r="AC2422" s="15">
        <f>IF($AB2422="","",IF($AB2422="×",0,IF($AB2422="○",ROUNDDOWN($E2422*設定!$C$4,0),ROUNDDOWN($E2422*ROUND((9*$AA2422-9*$E2422)/(10*$E2422),4),0))))</f>
        <v/>
      </c>
      <c r="AD2422" s="13" t="n"/>
      <c r="AE2422" s="15">
        <f>IF($B2422="","",IF($AD2422&lt;&gt;"",$AD2422,IF($AC2422="","",IF($AC2422&lt;=設定!$C$3,0,$AC2422))))</f>
        <v/>
      </c>
      <c r="AF2422" s="14">
        <f>IF($B2422="","",IF(AND($AG2422&lt;&gt;"",$AI2422="",$AL2422=""),"保留中",IF($AL2422&lt;&gt;"",IF(N($AE2422)&gt;0,"支給済","不支給"),IF($AE2422="","要確認",IF($AE2422=0,"不支給","未処理")))))</f>
        <v/>
      </c>
      <c r="AG2422" s="12" t="n"/>
      <c r="AH2422" s="11" t="n"/>
      <c r="AI2422" s="11" t="n"/>
      <c r="AJ2422" s="11" t="n"/>
      <c r="AK2422" s="14">
        <f>IF(AND($AF2422="保留中",$AH2422&lt;&gt;""),TODAY()-$AH2422,"")</f>
        <v/>
      </c>
      <c r="AL2422" s="12" t="n"/>
      <c r="AM2422" s="14">
        <f>IF($B2422="","",IF($AQ2422="","対象年月が未入力／","")&amp;IF($B2422="","",IF($AP2422="","職員マスタに未登録の職員番号／",IF($AA2422="","標準報酬月額が未登録／","")&amp;IF(AND($AQ2422&lt;&gt;"",OR(AND(INDEX(職員マスタ!$G$6:$G$405,$AP2422)&lt;&gt;"",INDEX(職員マスタ!$G$6:$G$405,$AP2422)&gt;EOMONTH($AQ2422,0)),AND(INDEX(職員マスタ!$H$6:$H$405,$AP2422)&lt;&gt;"",INDEX(職員マスタ!$H$6:$H$405,$AP2422)&lt;$AQ2422))),"対象月が時短期間外／","")&amp;IF(AND(INDEX(職員マスタ!$K$6:$K$405,$AP2422)&lt;&gt;"",N($W2422)&gt;0,INDEX(職員マスタ!$K$6:$K$405,$AP2422)&lt;&gt;$W2422),"標準報酬月額が申請書と相違（台帳"&amp;TEXT(INDEX(職員マスタ!$K$6:$K$405,$AP2422),"#,##0")&amp;"円／申請書"&amp;TEXT($W2422,"#,##0")&amp;"円）／","")&amp;IF(AND(INDEX(職員マスタ!$F$6:$F$405,$AP2422)&lt;&gt;"",$AQ2422&lt;&gt;"",INDEX(職員マスタ!$F$6:$F$405,$AP2422)&lt;$AQ2422),"対象月に子が2歳到達済／","")&amp;IF(AND($H2422&lt;&gt;"",INDEX(職員マスタ!$B$6:$B$405,$AP2422)&lt;&gt;"",SUBSTITUTE(SUBSTITUTE($H2422," ","")," ","")&lt;&gt;SUBSTITUTE(SUBSTITUTE(INDEX(職員マスタ!$B$6:$B$405,$AP2422)," ","")," ","")),"氏名がマスタと相違／","")&amp;IF(AND($Q2422&lt;&gt;"",INDEX(職員マスタ!$E$6:$E$405,$AP2422)&lt;&gt;"",$Q2422&lt;&gt;INDEX(職員マスタ!$E$6:$E$405,$AP2422)),"子の生年月日がマスタと相違／","")&amp;IF(AND($L2422&lt;&gt;"",INDEX(職員マスタ!$G$6:$G$405,$AP2422)&lt;&gt;"",$L2422&lt;&gt;INDEX(職員マスタ!$G$6:$G$405,$AP2422)),"時短開始日がマスタと相違／","")&amp;IF(AND($M2422&lt;&gt;"",INDEX(職員マスタ!$H$6:$H$405,$AP2422)&lt;&gt;"",$M2422&lt;&gt;INDEX(職員マスタ!$H$6:$H$405,$AP2422)),"時短終了日がマスタと相違／","")))&amp;IF(AND($B2422&lt;&gt;"",$E2422=""),"報酬額が未入力／","")&amp;IF(N($U2422)&gt;0,"申請書に入力エラーが残っています／","")&amp;IF(AND($B2422&lt;&gt;"",$AQ2422&lt;&gt;""),IF(COUNTIFS($B$6:$B$3005,$B2422,$C$6:$C$3005,$C2422,$D$6:$D$3005,$D2422)&gt;1,"同じ月の請求が重複しています／",""),"")&amp;IF(AND(N($E2422)&gt;0,$AB2422&lt;&gt;"",$AB2422&lt;&gt;"×",$AE2422=0,$AD2422=""),"計算額が下限以下のため不支給／",""))</f>
        <v/>
      </c>
      <c r="AN2422" s="12" t="n"/>
      <c r="AO2422" s="14">
        <f>IF($AF2422="保留中",COUNTIF($AF$6:$AF2422,"保留中"),"")</f>
        <v/>
      </c>
      <c r="AP2422" s="14">
        <f>IF($AQ2422="","",IF(SUMPRODUCT(MAX((職員マスタ!$A$6:$A$405=$B2422)*(((職員マスタ!$G$6:$G$405="")+(職員マスタ!$G$6:$G$405&lt;=EOMONTH($AQ2422,0)))&gt;0)*(((職員マスタ!$H$6:$H$405="")+(職員マスタ!$H$6:$H$405&gt;=$AQ2422))&gt;0)*(ROW(職員マスタ!$A$6:$A$405)-5)))&gt;0,SUMPRODUCT(MAX((職員マスタ!$A$6:$A$405=$B2422)*(((職員マスタ!$G$6:$G$405="")+(職員マスタ!$G$6:$G$405&lt;=EOMONTH($AQ2422,0)))&gt;0)*(((職員マスタ!$H$6:$H$405="")+(職員マスタ!$H$6:$H$405&gt;=$AQ2422))&gt;0)*(ROW(職員マスタ!$A$6:$A$405)-5))),IFERROR(MATCH($B2422,職員マスタ!$A$6:$A$405,0),"")))</f>
        <v/>
      </c>
      <c r="AQ2422" s="16">
        <f>IF(OR($B2422="",$C2422="",$D2422=""),"",DATE($C2422+2018,$D2422,1))</f>
        <v/>
      </c>
    </row>
    <row r="2423">
      <c r="A2423" s="11" t="n"/>
      <c r="B2423" s="12" t="n"/>
      <c r="C2423" s="12" t="n"/>
      <c r="D2423" s="12" t="n"/>
      <c r="E2423" s="13" t="n"/>
      <c r="F2423" s="12" t="n"/>
      <c r="G2423" s="13" t="n"/>
      <c r="H2423" s="12" t="n"/>
      <c r="I2423" s="12" t="n"/>
      <c r="J2423" s="12" t="n"/>
      <c r="K2423" s="12" t="n"/>
      <c r="L2423" s="11" t="n"/>
      <c r="M2423" s="11" t="n"/>
      <c r="N2423" s="11" t="n"/>
      <c r="O2423" s="11" t="n"/>
      <c r="P2423" s="12" t="n"/>
      <c r="Q2423" s="11" t="n"/>
      <c r="R2423" s="12" t="n"/>
      <c r="S2423" s="11" t="n"/>
      <c r="T2423" s="12" t="n"/>
      <c r="U2423" s="12" t="n"/>
      <c r="V2423" s="12" t="n"/>
      <c r="W2423" s="13" t="n"/>
      <c r="X2423" s="14">
        <f>IF($AP2423="",IF($B2423="","",$H2423),IF(INDEX(職員マスタ!$B$6:$B$405,$AP2423)="",$H2423,INDEX(職員マスタ!$B$6:$B$405,$AP2423)))</f>
        <v/>
      </c>
      <c r="Y2423" s="14">
        <f>IF($AP2423="",IF($B2423="","",$R2423),IF(INDEX(職員マスタ!$C$6:$C$405,$AP2423)="",$R2423,INDEX(職員マスタ!$C$6:$C$405,$AP2423)))</f>
        <v/>
      </c>
      <c r="Z2423" s="14">
        <f>IF($AQ2423="","","R"&amp;$C2423&amp;"."&amp;$D2423)</f>
        <v/>
      </c>
      <c r="AA2423" s="15">
        <f>IF(IF($AP2423="",FALSE,INDEX(職員マスタ!$K$6:$K$405,$AP2423)&lt;&gt;""),INDEX(職員マスタ!$K$6:$K$405,$AP2423),IF(N($W2423)&gt;0,$W2423,""))</f>
        <v/>
      </c>
      <c r="AB2423" s="14">
        <f>IF(OR($E2423="",$AA2423=""),"",IF($E2423&gt;=$AA2423,"×",IF($E2423&gt;=$AA2423*設定!$C$5,"△","○")))</f>
        <v/>
      </c>
      <c r="AC2423" s="15">
        <f>IF($AB2423="","",IF($AB2423="×",0,IF($AB2423="○",ROUNDDOWN($E2423*設定!$C$4,0),ROUNDDOWN($E2423*ROUND((9*$AA2423-9*$E2423)/(10*$E2423),4),0))))</f>
        <v/>
      </c>
      <c r="AD2423" s="13" t="n"/>
      <c r="AE2423" s="15">
        <f>IF($B2423="","",IF($AD2423&lt;&gt;"",$AD2423,IF($AC2423="","",IF($AC2423&lt;=設定!$C$3,0,$AC2423))))</f>
        <v/>
      </c>
      <c r="AF2423" s="14">
        <f>IF($B2423="","",IF(AND($AG2423&lt;&gt;"",$AI2423="",$AL2423=""),"保留中",IF($AL2423&lt;&gt;"",IF(N($AE2423)&gt;0,"支給済","不支給"),IF($AE2423="","要確認",IF($AE2423=0,"不支給","未処理")))))</f>
        <v/>
      </c>
      <c r="AG2423" s="12" t="n"/>
      <c r="AH2423" s="11" t="n"/>
      <c r="AI2423" s="11" t="n"/>
      <c r="AJ2423" s="11" t="n"/>
      <c r="AK2423" s="14">
        <f>IF(AND($AF2423="保留中",$AH2423&lt;&gt;""),TODAY()-$AH2423,"")</f>
        <v/>
      </c>
      <c r="AL2423" s="12" t="n"/>
      <c r="AM2423" s="14">
        <f>IF($B2423="","",IF($AQ2423="","対象年月が未入力／","")&amp;IF($B2423="","",IF($AP2423="","職員マスタに未登録の職員番号／",IF($AA2423="","標準報酬月額が未登録／","")&amp;IF(AND($AQ2423&lt;&gt;"",OR(AND(INDEX(職員マスタ!$G$6:$G$405,$AP2423)&lt;&gt;"",INDEX(職員マスタ!$G$6:$G$405,$AP2423)&gt;EOMONTH($AQ2423,0)),AND(INDEX(職員マスタ!$H$6:$H$405,$AP2423)&lt;&gt;"",INDEX(職員マスタ!$H$6:$H$405,$AP2423)&lt;$AQ2423))),"対象月が時短期間外／","")&amp;IF(AND(INDEX(職員マスタ!$K$6:$K$405,$AP2423)&lt;&gt;"",N($W2423)&gt;0,INDEX(職員マスタ!$K$6:$K$405,$AP2423)&lt;&gt;$W2423),"標準報酬月額が申請書と相違（台帳"&amp;TEXT(INDEX(職員マスタ!$K$6:$K$405,$AP2423),"#,##0")&amp;"円／申請書"&amp;TEXT($W2423,"#,##0")&amp;"円）／","")&amp;IF(AND(INDEX(職員マスタ!$F$6:$F$405,$AP2423)&lt;&gt;"",$AQ2423&lt;&gt;"",INDEX(職員マスタ!$F$6:$F$405,$AP2423)&lt;$AQ2423),"対象月に子が2歳到達済／","")&amp;IF(AND($H2423&lt;&gt;"",INDEX(職員マスタ!$B$6:$B$405,$AP2423)&lt;&gt;"",SUBSTITUTE(SUBSTITUTE($H2423," ","")," ","")&lt;&gt;SUBSTITUTE(SUBSTITUTE(INDEX(職員マスタ!$B$6:$B$405,$AP2423)," ","")," ","")),"氏名がマスタと相違／","")&amp;IF(AND($Q2423&lt;&gt;"",INDEX(職員マスタ!$E$6:$E$405,$AP2423)&lt;&gt;"",$Q2423&lt;&gt;INDEX(職員マスタ!$E$6:$E$405,$AP2423)),"子の生年月日がマスタと相違／","")&amp;IF(AND($L2423&lt;&gt;"",INDEX(職員マスタ!$G$6:$G$405,$AP2423)&lt;&gt;"",$L2423&lt;&gt;INDEX(職員マスタ!$G$6:$G$405,$AP2423)),"時短開始日がマスタと相違／","")&amp;IF(AND($M2423&lt;&gt;"",INDEX(職員マスタ!$H$6:$H$405,$AP2423)&lt;&gt;"",$M2423&lt;&gt;INDEX(職員マスタ!$H$6:$H$405,$AP2423)),"時短終了日がマスタと相違／","")))&amp;IF(AND($B2423&lt;&gt;"",$E2423=""),"報酬額が未入力／","")&amp;IF(N($U2423)&gt;0,"申請書に入力エラーが残っています／","")&amp;IF(AND($B2423&lt;&gt;"",$AQ2423&lt;&gt;""),IF(COUNTIFS($B$6:$B$3005,$B2423,$C$6:$C$3005,$C2423,$D$6:$D$3005,$D2423)&gt;1,"同じ月の請求が重複しています／",""),"")&amp;IF(AND(N($E2423)&gt;0,$AB2423&lt;&gt;"",$AB2423&lt;&gt;"×",$AE2423=0,$AD2423=""),"計算額が下限以下のため不支給／",""))</f>
        <v/>
      </c>
      <c r="AN2423" s="12" t="n"/>
      <c r="AO2423" s="14">
        <f>IF($AF2423="保留中",COUNTIF($AF$6:$AF2423,"保留中"),"")</f>
        <v/>
      </c>
      <c r="AP2423" s="14">
        <f>IF($AQ2423="","",IF(SUMPRODUCT(MAX((職員マスタ!$A$6:$A$405=$B2423)*(((職員マスタ!$G$6:$G$405="")+(職員マスタ!$G$6:$G$405&lt;=EOMONTH($AQ2423,0)))&gt;0)*(((職員マスタ!$H$6:$H$405="")+(職員マスタ!$H$6:$H$405&gt;=$AQ2423))&gt;0)*(ROW(職員マスタ!$A$6:$A$405)-5)))&gt;0,SUMPRODUCT(MAX((職員マスタ!$A$6:$A$405=$B2423)*(((職員マスタ!$G$6:$G$405="")+(職員マスタ!$G$6:$G$405&lt;=EOMONTH($AQ2423,0)))&gt;0)*(((職員マスタ!$H$6:$H$405="")+(職員マスタ!$H$6:$H$405&gt;=$AQ2423))&gt;0)*(ROW(職員マスタ!$A$6:$A$405)-5))),IFERROR(MATCH($B2423,職員マスタ!$A$6:$A$405,0),"")))</f>
        <v/>
      </c>
      <c r="AQ2423" s="16">
        <f>IF(OR($B2423="",$C2423="",$D2423=""),"",DATE($C2423+2018,$D2423,1))</f>
        <v/>
      </c>
    </row>
    <row r="2424">
      <c r="A2424" s="11" t="n"/>
      <c r="B2424" s="12" t="n"/>
      <c r="C2424" s="12" t="n"/>
      <c r="D2424" s="12" t="n"/>
      <c r="E2424" s="13" t="n"/>
      <c r="F2424" s="12" t="n"/>
      <c r="G2424" s="13" t="n"/>
      <c r="H2424" s="12" t="n"/>
      <c r="I2424" s="12" t="n"/>
      <c r="J2424" s="12" t="n"/>
      <c r="K2424" s="12" t="n"/>
      <c r="L2424" s="11" t="n"/>
      <c r="M2424" s="11" t="n"/>
      <c r="N2424" s="11" t="n"/>
      <c r="O2424" s="11" t="n"/>
      <c r="P2424" s="12" t="n"/>
      <c r="Q2424" s="11" t="n"/>
      <c r="R2424" s="12" t="n"/>
      <c r="S2424" s="11" t="n"/>
      <c r="T2424" s="12" t="n"/>
      <c r="U2424" s="12" t="n"/>
      <c r="V2424" s="12" t="n"/>
      <c r="W2424" s="13" t="n"/>
      <c r="X2424" s="14">
        <f>IF($AP2424="",IF($B2424="","",$H2424),IF(INDEX(職員マスタ!$B$6:$B$405,$AP2424)="",$H2424,INDEX(職員マスタ!$B$6:$B$405,$AP2424)))</f>
        <v/>
      </c>
      <c r="Y2424" s="14">
        <f>IF($AP2424="",IF($B2424="","",$R2424),IF(INDEX(職員マスタ!$C$6:$C$405,$AP2424)="",$R2424,INDEX(職員マスタ!$C$6:$C$405,$AP2424)))</f>
        <v/>
      </c>
      <c r="Z2424" s="14">
        <f>IF($AQ2424="","","R"&amp;$C2424&amp;"."&amp;$D2424)</f>
        <v/>
      </c>
      <c r="AA2424" s="15">
        <f>IF(IF($AP2424="",FALSE,INDEX(職員マスタ!$K$6:$K$405,$AP2424)&lt;&gt;""),INDEX(職員マスタ!$K$6:$K$405,$AP2424),IF(N($W2424)&gt;0,$W2424,""))</f>
        <v/>
      </c>
      <c r="AB2424" s="14">
        <f>IF(OR($E2424="",$AA2424=""),"",IF($E2424&gt;=$AA2424,"×",IF($E2424&gt;=$AA2424*設定!$C$5,"△","○")))</f>
        <v/>
      </c>
      <c r="AC2424" s="15">
        <f>IF($AB2424="","",IF($AB2424="×",0,IF($AB2424="○",ROUNDDOWN($E2424*設定!$C$4,0),ROUNDDOWN($E2424*ROUND((9*$AA2424-9*$E2424)/(10*$E2424),4),0))))</f>
        <v/>
      </c>
      <c r="AD2424" s="13" t="n"/>
      <c r="AE2424" s="15">
        <f>IF($B2424="","",IF($AD2424&lt;&gt;"",$AD2424,IF($AC2424="","",IF($AC2424&lt;=設定!$C$3,0,$AC2424))))</f>
        <v/>
      </c>
      <c r="AF2424" s="14">
        <f>IF($B2424="","",IF(AND($AG2424&lt;&gt;"",$AI2424="",$AL2424=""),"保留中",IF($AL2424&lt;&gt;"",IF(N($AE2424)&gt;0,"支給済","不支給"),IF($AE2424="","要確認",IF($AE2424=0,"不支給","未処理")))))</f>
        <v/>
      </c>
      <c r="AG2424" s="12" t="n"/>
      <c r="AH2424" s="11" t="n"/>
      <c r="AI2424" s="11" t="n"/>
      <c r="AJ2424" s="11" t="n"/>
      <c r="AK2424" s="14">
        <f>IF(AND($AF2424="保留中",$AH2424&lt;&gt;""),TODAY()-$AH2424,"")</f>
        <v/>
      </c>
      <c r="AL2424" s="12" t="n"/>
      <c r="AM2424" s="14">
        <f>IF($B2424="","",IF($AQ2424="","対象年月が未入力／","")&amp;IF($B2424="","",IF($AP2424="","職員マスタに未登録の職員番号／",IF($AA2424="","標準報酬月額が未登録／","")&amp;IF(AND($AQ2424&lt;&gt;"",OR(AND(INDEX(職員マスタ!$G$6:$G$405,$AP2424)&lt;&gt;"",INDEX(職員マスタ!$G$6:$G$405,$AP2424)&gt;EOMONTH($AQ2424,0)),AND(INDEX(職員マスタ!$H$6:$H$405,$AP2424)&lt;&gt;"",INDEX(職員マスタ!$H$6:$H$405,$AP2424)&lt;$AQ2424))),"対象月が時短期間外／","")&amp;IF(AND(INDEX(職員マスタ!$K$6:$K$405,$AP2424)&lt;&gt;"",N($W2424)&gt;0,INDEX(職員マスタ!$K$6:$K$405,$AP2424)&lt;&gt;$W2424),"標準報酬月額が申請書と相違（台帳"&amp;TEXT(INDEX(職員マスタ!$K$6:$K$405,$AP2424),"#,##0")&amp;"円／申請書"&amp;TEXT($W2424,"#,##0")&amp;"円）／","")&amp;IF(AND(INDEX(職員マスタ!$F$6:$F$405,$AP2424)&lt;&gt;"",$AQ2424&lt;&gt;"",INDEX(職員マスタ!$F$6:$F$405,$AP2424)&lt;$AQ2424),"対象月に子が2歳到達済／","")&amp;IF(AND($H2424&lt;&gt;"",INDEX(職員マスタ!$B$6:$B$405,$AP2424)&lt;&gt;"",SUBSTITUTE(SUBSTITUTE($H2424," ","")," ","")&lt;&gt;SUBSTITUTE(SUBSTITUTE(INDEX(職員マスタ!$B$6:$B$405,$AP2424)," ","")," ","")),"氏名がマスタと相違／","")&amp;IF(AND($Q2424&lt;&gt;"",INDEX(職員マスタ!$E$6:$E$405,$AP2424)&lt;&gt;"",$Q2424&lt;&gt;INDEX(職員マスタ!$E$6:$E$405,$AP2424)),"子の生年月日がマスタと相違／","")&amp;IF(AND($L2424&lt;&gt;"",INDEX(職員マスタ!$G$6:$G$405,$AP2424)&lt;&gt;"",$L2424&lt;&gt;INDEX(職員マスタ!$G$6:$G$405,$AP2424)),"時短開始日がマスタと相違／","")&amp;IF(AND($M2424&lt;&gt;"",INDEX(職員マスタ!$H$6:$H$405,$AP2424)&lt;&gt;"",$M2424&lt;&gt;INDEX(職員マスタ!$H$6:$H$405,$AP2424)),"時短終了日がマスタと相違／","")))&amp;IF(AND($B2424&lt;&gt;"",$E2424=""),"報酬額が未入力／","")&amp;IF(N($U2424)&gt;0,"申請書に入力エラーが残っています／","")&amp;IF(AND($B2424&lt;&gt;"",$AQ2424&lt;&gt;""),IF(COUNTIFS($B$6:$B$3005,$B2424,$C$6:$C$3005,$C2424,$D$6:$D$3005,$D2424)&gt;1,"同じ月の請求が重複しています／",""),"")&amp;IF(AND(N($E2424)&gt;0,$AB2424&lt;&gt;"",$AB2424&lt;&gt;"×",$AE2424=0,$AD2424=""),"計算額が下限以下のため不支給／",""))</f>
        <v/>
      </c>
      <c r="AN2424" s="12" t="n"/>
      <c r="AO2424" s="14">
        <f>IF($AF2424="保留中",COUNTIF($AF$6:$AF2424,"保留中"),"")</f>
        <v/>
      </c>
      <c r="AP2424" s="14">
        <f>IF($AQ2424="","",IF(SUMPRODUCT(MAX((職員マスタ!$A$6:$A$405=$B2424)*(((職員マスタ!$G$6:$G$405="")+(職員マスタ!$G$6:$G$405&lt;=EOMONTH($AQ2424,0)))&gt;0)*(((職員マスタ!$H$6:$H$405="")+(職員マスタ!$H$6:$H$405&gt;=$AQ2424))&gt;0)*(ROW(職員マスタ!$A$6:$A$405)-5)))&gt;0,SUMPRODUCT(MAX((職員マスタ!$A$6:$A$405=$B2424)*(((職員マスタ!$G$6:$G$405="")+(職員マスタ!$G$6:$G$405&lt;=EOMONTH($AQ2424,0)))&gt;0)*(((職員マスタ!$H$6:$H$405="")+(職員マスタ!$H$6:$H$405&gt;=$AQ2424))&gt;0)*(ROW(職員マスタ!$A$6:$A$405)-5))),IFERROR(MATCH($B2424,職員マスタ!$A$6:$A$405,0),"")))</f>
        <v/>
      </c>
      <c r="AQ2424" s="16">
        <f>IF(OR($B2424="",$C2424="",$D2424=""),"",DATE($C2424+2018,$D2424,1))</f>
        <v/>
      </c>
    </row>
    <row r="2425">
      <c r="A2425" s="11" t="n"/>
      <c r="B2425" s="12" t="n"/>
      <c r="C2425" s="12" t="n"/>
      <c r="D2425" s="12" t="n"/>
      <c r="E2425" s="13" t="n"/>
      <c r="F2425" s="12" t="n"/>
      <c r="G2425" s="13" t="n"/>
      <c r="H2425" s="12" t="n"/>
      <c r="I2425" s="12" t="n"/>
      <c r="J2425" s="12" t="n"/>
      <c r="K2425" s="12" t="n"/>
      <c r="L2425" s="11" t="n"/>
      <c r="M2425" s="11" t="n"/>
      <c r="N2425" s="11" t="n"/>
      <c r="O2425" s="11" t="n"/>
      <c r="P2425" s="12" t="n"/>
      <c r="Q2425" s="11" t="n"/>
      <c r="R2425" s="12" t="n"/>
      <c r="S2425" s="11" t="n"/>
      <c r="T2425" s="12" t="n"/>
      <c r="U2425" s="12" t="n"/>
      <c r="V2425" s="12" t="n"/>
      <c r="W2425" s="13" t="n"/>
      <c r="X2425" s="14">
        <f>IF($AP2425="",IF($B2425="","",$H2425),IF(INDEX(職員マスタ!$B$6:$B$405,$AP2425)="",$H2425,INDEX(職員マスタ!$B$6:$B$405,$AP2425)))</f>
        <v/>
      </c>
      <c r="Y2425" s="14">
        <f>IF($AP2425="",IF($B2425="","",$R2425),IF(INDEX(職員マスタ!$C$6:$C$405,$AP2425)="",$R2425,INDEX(職員マスタ!$C$6:$C$405,$AP2425)))</f>
        <v/>
      </c>
      <c r="Z2425" s="14">
        <f>IF($AQ2425="","","R"&amp;$C2425&amp;"."&amp;$D2425)</f>
        <v/>
      </c>
      <c r="AA2425" s="15">
        <f>IF(IF($AP2425="",FALSE,INDEX(職員マスタ!$K$6:$K$405,$AP2425)&lt;&gt;""),INDEX(職員マスタ!$K$6:$K$405,$AP2425),IF(N($W2425)&gt;0,$W2425,""))</f>
        <v/>
      </c>
      <c r="AB2425" s="14">
        <f>IF(OR($E2425="",$AA2425=""),"",IF($E2425&gt;=$AA2425,"×",IF($E2425&gt;=$AA2425*設定!$C$5,"△","○")))</f>
        <v/>
      </c>
      <c r="AC2425" s="15">
        <f>IF($AB2425="","",IF($AB2425="×",0,IF($AB2425="○",ROUNDDOWN($E2425*設定!$C$4,0),ROUNDDOWN($E2425*ROUND((9*$AA2425-9*$E2425)/(10*$E2425),4),0))))</f>
        <v/>
      </c>
      <c r="AD2425" s="13" t="n"/>
      <c r="AE2425" s="15">
        <f>IF($B2425="","",IF($AD2425&lt;&gt;"",$AD2425,IF($AC2425="","",IF($AC2425&lt;=設定!$C$3,0,$AC2425))))</f>
        <v/>
      </c>
      <c r="AF2425" s="14">
        <f>IF($B2425="","",IF(AND($AG2425&lt;&gt;"",$AI2425="",$AL2425=""),"保留中",IF($AL2425&lt;&gt;"",IF(N($AE2425)&gt;0,"支給済","不支給"),IF($AE2425="","要確認",IF($AE2425=0,"不支給","未処理")))))</f>
        <v/>
      </c>
      <c r="AG2425" s="12" t="n"/>
      <c r="AH2425" s="11" t="n"/>
      <c r="AI2425" s="11" t="n"/>
      <c r="AJ2425" s="11" t="n"/>
      <c r="AK2425" s="14">
        <f>IF(AND($AF2425="保留中",$AH2425&lt;&gt;""),TODAY()-$AH2425,"")</f>
        <v/>
      </c>
      <c r="AL2425" s="12" t="n"/>
      <c r="AM2425" s="14">
        <f>IF($B2425="","",IF($AQ2425="","対象年月が未入力／","")&amp;IF($B2425="","",IF($AP2425="","職員マスタに未登録の職員番号／",IF($AA2425="","標準報酬月額が未登録／","")&amp;IF(AND($AQ2425&lt;&gt;"",OR(AND(INDEX(職員マスタ!$G$6:$G$405,$AP2425)&lt;&gt;"",INDEX(職員マスタ!$G$6:$G$405,$AP2425)&gt;EOMONTH($AQ2425,0)),AND(INDEX(職員マスタ!$H$6:$H$405,$AP2425)&lt;&gt;"",INDEX(職員マスタ!$H$6:$H$405,$AP2425)&lt;$AQ2425))),"対象月が時短期間外／","")&amp;IF(AND(INDEX(職員マスタ!$K$6:$K$405,$AP2425)&lt;&gt;"",N($W2425)&gt;0,INDEX(職員マスタ!$K$6:$K$405,$AP2425)&lt;&gt;$W2425),"標準報酬月額が申請書と相違（台帳"&amp;TEXT(INDEX(職員マスタ!$K$6:$K$405,$AP2425),"#,##0")&amp;"円／申請書"&amp;TEXT($W2425,"#,##0")&amp;"円）／","")&amp;IF(AND(INDEX(職員マスタ!$F$6:$F$405,$AP2425)&lt;&gt;"",$AQ2425&lt;&gt;"",INDEX(職員マスタ!$F$6:$F$405,$AP2425)&lt;$AQ2425),"対象月に子が2歳到達済／","")&amp;IF(AND($H2425&lt;&gt;"",INDEX(職員マスタ!$B$6:$B$405,$AP2425)&lt;&gt;"",SUBSTITUTE(SUBSTITUTE($H2425," ","")," ","")&lt;&gt;SUBSTITUTE(SUBSTITUTE(INDEX(職員マスタ!$B$6:$B$405,$AP2425)," ","")," ","")),"氏名がマスタと相違／","")&amp;IF(AND($Q2425&lt;&gt;"",INDEX(職員マスタ!$E$6:$E$405,$AP2425)&lt;&gt;"",$Q2425&lt;&gt;INDEX(職員マスタ!$E$6:$E$405,$AP2425)),"子の生年月日がマスタと相違／","")&amp;IF(AND($L2425&lt;&gt;"",INDEX(職員マスタ!$G$6:$G$405,$AP2425)&lt;&gt;"",$L2425&lt;&gt;INDEX(職員マスタ!$G$6:$G$405,$AP2425)),"時短開始日がマスタと相違／","")&amp;IF(AND($M2425&lt;&gt;"",INDEX(職員マスタ!$H$6:$H$405,$AP2425)&lt;&gt;"",$M2425&lt;&gt;INDEX(職員マスタ!$H$6:$H$405,$AP2425)),"時短終了日がマスタと相違／","")))&amp;IF(AND($B2425&lt;&gt;"",$E2425=""),"報酬額が未入力／","")&amp;IF(N($U2425)&gt;0,"申請書に入力エラーが残っています／","")&amp;IF(AND($B2425&lt;&gt;"",$AQ2425&lt;&gt;""),IF(COUNTIFS($B$6:$B$3005,$B2425,$C$6:$C$3005,$C2425,$D$6:$D$3005,$D2425)&gt;1,"同じ月の請求が重複しています／",""),"")&amp;IF(AND(N($E2425)&gt;0,$AB2425&lt;&gt;"",$AB2425&lt;&gt;"×",$AE2425=0,$AD2425=""),"計算額が下限以下のため不支給／",""))</f>
        <v/>
      </c>
      <c r="AN2425" s="12" t="n"/>
      <c r="AO2425" s="14">
        <f>IF($AF2425="保留中",COUNTIF($AF$6:$AF2425,"保留中"),"")</f>
        <v/>
      </c>
      <c r="AP2425" s="14">
        <f>IF($AQ2425="","",IF(SUMPRODUCT(MAX((職員マスタ!$A$6:$A$405=$B2425)*(((職員マスタ!$G$6:$G$405="")+(職員マスタ!$G$6:$G$405&lt;=EOMONTH($AQ2425,0)))&gt;0)*(((職員マスタ!$H$6:$H$405="")+(職員マスタ!$H$6:$H$405&gt;=$AQ2425))&gt;0)*(ROW(職員マスタ!$A$6:$A$405)-5)))&gt;0,SUMPRODUCT(MAX((職員マスタ!$A$6:$A$405=$B2425)*(((職員マスタ!$G$6:$G$405="")+(職員マスタ!$G$6:$G$405&lt;=EOMONTH($AQ2425,0)))&gt;0)*(((職員マスタ!$H$6:$H$405="")+(職員マスタ!$H$6:$H$405&gt;=$AQ2425))&gt;0)*(ROW(職員マスタ!$A$6:$A$405)-5))),IFERROR(MATCH($B2425,職員マスタ!$A$6:$A$405,0),"")))</f>
        <v/>
      </c>
      <c r="AQ2425" s="16">
        <f>IF(OR($B2425="",$C2425="",$D2425=""),"",DATE($C2425+2018,$D2425,1))</f>
        <v/>
      </c>
    </row>
    <row r="2426">
      <c r="A2426" s="11" t="n"/>
      <c r="B2426" s="12" t="n"/>
      <c r="C2426" s="12" t="n"/>
      <c r="D2426" s="12" t="n"/>
      <c r="E2426" s="13" t="n"/>
      <c r="F2426" s="12" t="n"/>
      <c r="G2426" s="13" t="n"/>
      <c r="H2426" s="12" t="n"/>
      <c r="I2426" s="12" t="n"/>
      <c r="J2426" s="12" t="n"/>
      <c r="K2426" s="12" t="n"/>
      <c r="L2426" s="11" t="n"/>
      <c r="M2426" s="11" t="n"/>
      <c r="N2426" s="11" t="n"/>
      <c r="O2426" s="11" t="n"/>
      <c r="P2426" s="12" t="n"/>
      <c r="Q2426" s="11" t="n"/>
      <c r="R2426" s="12" t="n"/>
      <c r="S2426" s="11" t="n"/>
      <c r="T2426" s="12" t="n"/>
      <c r="U2426" s="12" t="n"/>
      <c r="V2426" s="12" t="n"/>
      <c r="W2426" s="13" t="n"/>
      <c r="X2426" s="14">
        <f>IF($AP2426="",IF($B2426="","",$H2426),IF(INDEX(職員マスタ!$B$6:$B$405,$AP2426)="",$H2426,INDEX(職員マスタ!$B$6:$B$405,$AP2426)))</f>
        <v/>
      </c>
      <c r="Y2426" s="14">
        <f>IF($AP2426="",IF($B2426="","",$R2426),IF(INDEX(職員マスタ!$C$6:$C$405,$AP2426)="",$R2426,INDEX(職員マスタ!$C$6:$C$405,$AP2426)))</f>
        <v/>
      </c>
      <c r="Z2426" s="14">
        <f>IF($AQ2426="","","R"&amp;$C2426&amp;"."&amp;$D2426)</f>
        <v/>
      </c>
      <c r="AA2426" s="15">
        <f>IF(IF($AP2426="",FALSE,INDEX(職員マスタ!$K$6:$K$405,$AP2426)&lt;&gt;""),INDEX(職員マスタ!$K$6:$K$405,$AP2426),IF(N($W2426)&gt;0,$W2426,""))</f>
        <v/>
      </c>
      <c r="AB2426" s="14">
        <f>IF(OR($E2426="",$AA2426=""),"",IF($E2426&gt;=$AA2426,"×",IF($E2426&gt;=$AA2426*設定!$C$5,"△","○")))</f>
        <v/>
      </c>
      <c r="AC2426" s="15">
        <f>IF($AB2426="","",IF($AB2426="×",0,IF($AB2426="○",ROUNDDOWN($E2426*設定!$C$4,0),ROUNDDOWN($E2426*ROUND((9*$AA2426-9*$E2426)/(10*$E2426),4),0))))</f>
        <v/>
      </c>
      <c r="AD2426" s="13" t="n"/>
      <c r="AE2426" s="15">
        <f>IF($B2426="","",IF($AD2426&lt;&gt;"",$AD2426,IF($AC2426="","",IF($AC2426&lt;=設定!$C$3,0,$AC2426))))</f>
        <v/>
      </c>
      <c r="AF2426" s="14">
        <f>IF($B2426="","",IF(AND($AG2426&lt;&gt;"",$AI2426="",$AL2426=""),"保留中",IF($AL2426&lt;&gt;"",IF(N($AE2426)&gt;0,"支給済","不支給"),IF($AE2426="","要確認",IF($AE2426=0,"不支給","未処理")))))</f>
        <v/>
      </c>
      <c r="AG2426" s="12" t="n"/>
      <c r="AH2426" s="11" t="n"/>
      <c r="AI2426" s="11" t="n"/>
      <c r="AJ2426" s="11" t="n"/>
      <c r="AK2426" s="14">
        <f>IF(AND($AF2426="保留中",$AH2426&lt;&gt;""),TODAY()-$AH2426,"")</f>
        <v/>
      </c>
      <c r="AL2426" s="12" t="n"/>
      <c r="AM2426" s="14">
        <f>IF($B2426="","",IF($AQ2426="","対象年月が未入力／","")&amp;IF($B2426="","",IF($AP2426="","職員マスタに未登録の職員番号／",IF($AA2426="","標準報酬月額が未登録／","")&amp;IF(AND($AQ2426&lt;&gt;"",OR(AND(INDEX(職員マスタ!$G$6:$G$405,$AP2426)&lt;&gt;"",INDEX(職員マスタ!$G$6:$G$405,$AP2426)&gt;EOMONTH($AQ2426,0)),AND(INDEX(職員マスタ!$H$6:$H$405,$AP2426)&lt;&gt;"",INDEX(職員マスタ!$H$6:$H$405,$AP2426)&lt;$AQ2426))),"対象月が時短期間外／","")&amp;IF(AND(INDEX(職員マスタ!$K$6:$K$405,$AP2426)&lt;&gt;"",N($W2426)&gt;0,INDEX(職員マスタ!$K$6:$K$405,$AP2426)&lt;&gt;$W2426),"標準報酬月額が申請書と相違（台帳"&amp;TEXT(INDEX(職員マスタ!$K$6:$K$405,$AP2426),"#,##0")&amp;"円／申請書"&amp;TEXT($W2426,"#,##0")&amp;"円）／","")&amp;IF(AND(INDEX(職員マスタ!$F$6:$F$405,$AP2426)&lt;&gt;"",$AQ2426&lt;&gt;"",INDEX(職員マスタ!$F$6:$F$405,$AP2426)&lt;$AQ2426),"対象月に子が2歳到達済／","")&amp;IF(AND($H2426&lt;&gt;"",INDEX(職員マスタ!$B$6:$B$405,$AP2426)&lt;&gt;"",SUBSTITUTE(SUBSTITUTE($H2426," ","")," ","")&lt;&gt;SUBSTITUTE(SUBSTITUTE(INDEX(職員マスタ!$B$6:$B$405,$AP2426)," ","")," ","")),"氏名がマスタと相違／","")&amp;IF(AND($Q2426&lt;&gt;"",INDEX(職員マスタ!$E$6:$E$405,$AP2426)&lt;&gt;"",$Q2426&lt;&gt;INDEX(職員マスタ!$E$6:$E$405,$AP2426)),"子の生年月日がマスタと相違／","")&amp;IF(AND($L2426&lt;&gt;"",INDEX(職員マスタ!$G$6:$G$405,$AP2426)&lt;&gt;"",$L2426&lt;&gt;INDEX(職員マスタ!$G$6:$G$405,$AP2426)),"時短開始日がマスタと相違／","")&amp;IF(AND($M2426&lt;&gt;"",INDEX(職員マスタ!$H$6:$H$405,$AP2426)&lt;&gt;"",$M2426&lt;&gt;INDEX(職員マスタ!$H$6:$H$405,$AP2426)),"時短終了日がマスタと相違／","")))&amp;IF(AND($B2426&lt;&gt;"",$E2426=""),"報酬額が未入力／","")&amp;IF(N($U2426)&gt;0,"申請書に入力エラーが残っています／","")&amp;IF(AND($B2426&lt;&gt;"",$AQ2426&lt;&gt;""),IF(COUNTIFS($B$6:$B$3005,$B2426,$C$6:$C$3005,$C2426,$D$6:$D$3005,$D2426)&gt;1,"同じ月の請求が重複しています／",""),"")&amp;IF(AND(N($E2426)&gt;0,$AB2426&lt;&gt;"",$AB2426&lt;&gt;"×",$AE2426=0,$AD2426=""),"計算額が下限以下のため不支給／",""))</f>
        <v/>
      </c>
      <c r="AN2426" s="12" t="n"/>
      <c r="AO2426" s="14">
        <f>IF($AF2426="保留中",COUNTIF($AF$6:$AF2426,"保留中"),"")</f>
        <v/>
      </c>
      <c r="AP2426" s="14">
        <f>IF($AQ2426="","",IF(SUMPRODUCT(MAX((職員マスタ!$A$6:$A$405=$B2426)*(((職員マスタ!$G$6:$G$405="")+(職員マスタ!$G$6:$G$405&lt;=EOMONTH($AQ2426,0)))&gt;0)*(((職員マスタ!$H$6:$H$405="")+(職員マスタ!$H$6:$H$405&gt;=$AQ2426))&gt;0)*(ROW(職員マスタ!$A$6:$A$405)-5)))&gt;0,SUMPRODUCT(MAX((職員マスタ!$A$6:$A$405=$B2426)*(((職員マスタ!$G$6:$G$405="")+(職員マスタ!$G$6:$G$405&lt;=EOMONTH($AQ2426,0)))&gt;0)*(((職員マスタ!$H$6:$H$405="")+(職員マスタ!$H$6:$H$405&gt;=$AQ2426))&gt;0)*(ROW(職員マスタ!$A$6:$A$405)-5))),IFERROR(MATCH($B2426,職員マスタ!$A$6:$A$405,0),"")))</f>
        <v/>
      </c>
      <c r="AQ2426" s="16">
        <f>IF(OR($B2426="",$C2426="",$D2426=""),"",DATE($C2426+2018,$D2426,1))</f>
        <v/>
      </c>
    </row>
    <row r="2427">
      <c r="A2427" s="11" t="n"/>
      <c r="B2427" s="12" t="n"/>
      <c r="C2427" s="12" t="n"/>
      <c r="D2427" s="12" t="n"/>
      <c r="E2427" s="13" t="n"/>
      <c r="F2427" s="12" t="n"/>
      <c r="G2427" s="13" t="n"/>
      <c r="H2427" s="12" t="n"/>
      <c r="I2427" s="12" t="n"/>
      <c r="J2427" s="12" t="n"/>
      <c r="K2427" s="12" t="n"/>
      <c r="L2427" s="11" t="n"/>
      <c r="M2427" s="11" t="n"/>
      <c r="N2427" s="11" t="n"/>
      <c r="O2427" s="11" t="n"/>
      <c r="P2427" s="12" t="n"/>
      <c r="Q2427" s="11" t="n"/>
      <c r="R2427" s="12" t="n"/>
      <c r="S2427" s="11" t="n"/>
      <c r="T2427" s="12" t="n"/>
      <c r="U2427" s="12" t="n"/>
      <c r="V2427" s="12" t="n"/>
      <c r="W2427" s="13" t="n"/>
      <c r="X2427" s="14">
        <f>IF($AP2427="",IF($B2427="","",$H2427),IF(INDEX(職員マスタ!$B$6:$B$405,$AP2427)="",$H2427,INDEX(職員マスタ!$B$6:$B$405,$AP2427)))</f>
        <v/>
      </c>
      <c r="Y2427" s="14">
        <f>IF($AP2427="",IF($B2427="","",$R2427),IF(INDEX(職員マスタ!$C$6:$C$405,$AP2427)="",$R2427,INDEX(職員マスタ!$C$6:$C$405,$AP2427)))</f>
        <v/>
      </c>
      <c r="Z2427" s="14">
        <f>IF($AQ2427="","","R"&amp;$C2427&amp;"."&amp;$D2427)</f>
        <v/>
      </c>
      <c r="AA2427" s="15">
        <f>IF(IF($AP2427="",FALSE,INDEX(職員マスタ!$K$6:$K$405,$AP2427)&lt;&gt;""),INDEX(職員マスタ!$K$6:$K$405,$AP2427),IF(N($W2427)&gt;0,$W2427,""))</f>
        <v/>
      </c>
      <c r="AB2427" s="14">
        <f>IF(OR($E2427="",$AA2427=""),"",IF($E2427&gt;=$AA2427,"×",IF($E2427&gt;=$AA2427*設定!$C$5,"△","○")))</f>
        <v/>
      </c>
      <c r="AC2427" s="15">
        <f>IF($AB2427="","",IF($AB2427="×",0,IF($AB2427="○",ROUNDDOWN($E2427*設定!$C$4,0),ROUNDDOWN($E2427*ROUND((9*$AA2427-9*$E2427)/(10*$E2427),4),0))))</f>
        <v/>
      </c>
      <c r="AD2427" s="13" t="n"/>
      <c r="AE2427" s="15">
        <f>IF($B2427="","",IF($AD2427&lt;&gt;"",$AD2427,IF($AC2427="","",IF($AC2427&lt;=設定!$C$3,0,$AC2427))))</f>
        <v/>
      </c>
      <c r="AF2427" s="14">
        <f>IF($B2427="","",IF(AND($AG2427&lt;&gt;"",$AI2427="",$AL2427=""),"保留中",IF($AL2427&lt;&gt;"",IF(N($AE2427)&gt;0,"支給済","不支給"),IF($AE2427="","要確認",IF($AE2427=0,"不支給","未処理")))))</f>
        <v/>
      </c>
      <c r="AG2427" s="12" t="n"/>
      <c r="AH2427" s="11" t="n"/>
      <c r="AI2427" s="11" t="n"/>
      <c r="AJ2427" s="11" t="n"/>
      <c r="AK2427" s="14">
        <f>IF(AND($AF2427="保留中",$AH2427&lt;&gt;""),TODAY()-$AH2427,"")</f>
        <v/>
      </c>
      <c r="AL2427" s="12" t="n"/>
      <c r="AM2427" s="14">
        <f>IF($B2427="","",IF($AQ2427="","対象年月が未入力／","")&amp;IF($B2427="","",IF($AP2427="","職員マスタに未登録の職員番号／",IF($AA2427="","標準報酬月額が未登録／","")&amp;IF(AND($AQ2427&lt;&gt;"",OR(AND(INDEX(職員マスタ!$G$6:$G$405,$AP2427)&lt;&gt;"",INDEX(職員マスタ!$G$6:$G$405,$AP2427)&gt;EOMONTH($AQ2427,0)),AND(INDEX(職員マスタ!$H$6:$H$405,$AP2427)&lt;&gt;"",INDEX(職員マスタ!$H$6:$H$405,$AP2427)&lt;$AQ2427))),"対象月が時短期間外／","")&amp;IF(AND(INDEX(職員マスタ!$K$6:$K$405,$AP2427)&lt;&gt;"",N($W2427)&gt;0,INDEX(職員マスタ!$K$6:$K$405,$AP2427)&lt;&gt;$W2427),"標準報酬月額が申請書と相違（台帳"&amp;TEXT(INDEX(職員マスタ!$K$6:$K$405,$AP2427),"#,##0")&amp;"円／申請書"&amp;TEXT($W2427,"#,##0")&amp;"円）／","")&amp;IF(AND(INDEX(職員マスタ!$F$6:$F$405,$AP2427)&lt;&gt;"",$AQ2427&lt;&gt;"",INDEX(職員マスタ!$F$6:$F$405,$AP2427)&lt;$AQ2427),"対象月に子が2歳到達済／","")&amp;IF(AND($H2427&lt;&gt;"",INDEX(職員マスタ!$B$6:$B$405,$AP2427)&lt;&gt;"",SUBSTITUTE(SUBSTITUTE($H2427," ","")," ","")&lt;&gt;SUBSTITUTE(SUBSTITUTE(INDEX(職員マスタ!$B$6:$B$405,$AP2427)," ","")," ","")),"氏名がマスタと相違／","")&amp;IF(AND($Q2427&lt;&gt;"",INDEX(職員マスタ!$E$6:$E$405,$AP2427)&lt;&gt;"",$Q2427&lt;&gt;INDEX(職員マスタ!$E$6:$E$405,$AP2427)),"子の生年月日がマスタと相違／","")&amp;IF(AND($L2427&lt;&gt;"",INDEX(職員マスタ!$G$6:$G$405,$AP2427)&lt;&gt;"",$L2427&lt;&gt;INDEX(職員マスタ!$G$6:$G$405,$AP2427)),"時短開始日がマスタと相違／","")&amp;IF(AND($M2427&lt;&gt;"",INDEX(職員マスタ!$H$6:$H$405,$AP2427)&lt;&gt;"",$M2427&lt;&gt;INDEX(職員マスタ!$H$6:$H$405,$AP2427)),"時短終了日がマスタと相違／","")))&amp;IF(AND($B2427&lt;&gt;"",$E2427=""),"報酬額が未入力／","")&amp;IF(N($U2427)&gt;0,"申請書に入力エラーが残っています／","")&amp;IF(AND($B2427&lt;&gt;"",$AQ2427&lt;&gt;""),IF(COUNTIFS($B$6:$B$3005,$B2427,$C$6:$C$3005,$C2427,$D$6:$D$3005,$D2427)&gt;1,"同じ月の請求が重複しています／",""),"")&amp;IF(AND(N($E2427)&gt;0,$AB2427&lt;&gt;"",$AB2427&lt;&gt;"×",$AE2427=0,$AD2427=""),"計算額が下限以下のため不支給／",""))</f>
        <v/>
      </c>
      <c r="AN2427" s="12" t="n"/>
      <c r="AO2427" s="14">
        <f>IF($AF2427="保留中",COUNTIF($AF$6:$AF2427,"保留中"),"")</f>
        <v/>
      </c>
      <c r="AP2427" s="14">
        <f>IF($AQ2427="","",IF(SUMPRODUCT(MAX((職員マスタ!$A$6:$A$405=$B2427)*(((職員マスタ!$G$6:$G$405="")+(職員マスタ!$G$6:$G$405&lt;=EOMONTH($AQ2427,0)))&gt;0)*(((職員マスタ!$H$6:$H$405="")+(職員マスタ!$H$6:$H$405&gt;=$AQ2427))&gt;0)*(ROW(職員マスタ!$A$6:$A$405)-5)))&gt;0,SUMPRODUCT(MAX((職員マスタ!$A$6:$A$405=$B2427)*(((職員マスタ!$G$6:$G$405="")+(職員マスタ!$G$6:$G$405&lt;=EOMONTH($AQ2427,0)))&gt;0)*(((職員マスタ!$H$6:$H$405="")+(職員マスタ!$H$6:$H$405&gt;=$AQ2427))&gt;0)*(ROW(職員マスタ!$A$6:$A$405)-5))),IFERROR(MATCH($B2427,職員マスタ!$A$6:$A$405,0),"")))</f>
        <v/>
      </c>
      <c r="AQ2427" s="16">
        <f>IF(OR($B2427="",$C2427="",$D2427=""),"",DATE($C2427+2018,$D2427,1))</f>
        <v/>
      </c>
    </row>
    <row r="2428">
      <c r="A2428" s="11" t="n"/>
      <c r="B2428" s="12" t="n"/>
      <c r="C2428" s="12" t="n"/>
      <c r="D2428" s="12" t="n"/>
      <c r="E2428" s="13" t="n"/>
      <c r="F2428" s="12" t="n"/>
      <c r="G2428" s="13" t="n"/>
      <c r="H2428" s="12" t="n"/>
      <c r="I2428" s="12" t="n"/>
      <c r="J2428" s="12" t="n"/>
      <c r="K2428" s="12" t="n"/>
      <c r="L2428" s="11" t="n"/>
      <c r="M2428" s="11" t="n"/>
      <c r="N2428" s="11" t="n"/>
      <c r="O2428" s="11" t="n"/>
      <c r="P2428" s="12" t="n"/>
      <c r="Q2428" s="11" t="n"/>
      <c r="R2428" s="12" t="n"/>
      <c r="S2428" s="11" t="n"/>
      <c r="T2428" s="12" t="n"/>
      <c r="U2428" s="12" t="n"/>
      <c r="V2428" s="12" t="n"/>
      <c r="W2428" s="13" t="n"/>
      <c r="X2428" s="14">
        <f>IF($AP2428="",IF($B2428="","",$H2428),IF(INDEX(職員マスタ!$B$6:$B$405,$AP2428)="",$H2428,INDEX(職員マスタ!$B$6:$B$405,$AP2428)))</f>
        <v/>
      </c>
      <c r="Y2428" s="14">
        <f>IF($AP2428="",IF($B2428="","",$R2428),IF(INDEX(職員マスタ!$C$6:$C$405,$AP2428)="",$R2428,INDEX(職員マスタ!$C$6:$C$405,$AP2428)))</f>
        <v/>
      </c>
      <c r="Z2428" s="14">
        <f>IF($AQ2428="","","R"&amp;$C2428&amp;"."&amp;$D2428)</f>
        <v/>
      </c>
      <c r="AA2428" s="15">
        <f>IF(IF($AP2428="",FALSE,INDEX(職員マスタ!$K$6:$K$405,$AP2428)&lt;&gt;""),INDEX(職員マスタ!$K$6:$K$405,$AP2428),IF(N($W2428)&gt;0,$W2428,""))</f>
        <v/>
      </c>
      <c r="AB2428" s="14">
        <f>IF(OR($E2428="",$AA2428=""),"",IF($E2428&gt;=$AA2428,"×",IF($E2428&gt;=$AA2428*設定!$C$5,"△","○")))</f>
        <v/>
      </c>
      <c r="AC2428" s="15">
        <f>IF($AB2428="","",IF($AB2428="×",0,IF($AB2428="○",ROUNDDOWN($E2428*設定!$C$4,0),ROUNDDOWN($E2428*ROUND((9*$AA2428-9*$E2428)/(10*$E2428),4),0))))</f>
        <v/>
      </c>
      <c r="AD2428" s="13" t="n"/>
      <c r="AE2428" s="15">
        <f>IF($B2428="","",IF($AD2428&lt;&gt;"",$AD2428,IF($AC2428="","",IF($AC2428&lt;=設定!$C$3,0,$AC2428))))</f>
        <v/>
      </c>
      <c r="AF2428" s="14">
        <f>IF($B2428="","",IF(AND($AG2428&lt;&gt;"",$AI2428="",$AL2428=""),"保留中",IF($AL2428&lt;&gt;"",IF(N($AE2428)&gt;0,"支給済","不支給"),IF($AE2428="","要確認",IF($AE2428=0,"不支給","未処理")))))</f>
        <v/>
      </c>
      <c r="AG2428" s="12" t="n"/>
      <c r="AH2428" s="11" t="n"/>
      <c r="AI2428" s="11" t="n"/>
      <c r="AJ2428" s="11" t="n"/>
      <c r="AK2428" s="14">
        <f>IF(AND($AF2428="保留中",$AH2428&lt;&gt;""),TODAY()-$AH2428,"")</f>
        <v/>
      </c>
      <c r="AL2428" s="12" t="n"/>
      <c r="AM2428" s="14">
        <f>IF($B2428="","",IF($AQ2428="","対象年月が未入力／","")&amp;IF($B2428="","",IF($AP2428="","職員マスタに未登録の職員番号／",IF($AA2428="","標準報酬月額が未登録／","")&amp;IF(AND($AQ2428&lt;&gt;"",OR(AND(INDEX(職員マスタ!$G$6:$G$405,$AP2428)&lt;&gt;"",INDEX(職員マスタ!$G$6:$G$405,$AP2428)&gt;EOMONTH($AQ2428,0)),AND(INDEX(職員マスタ!$H$6:$H$405,$AP2428)&lt;&gt;"",INDEX(職員マスタ!$H$6:$H$405,$AP2428)&lt;$AQ2428))),"対象月が時短期間外／","")&amp;IF(AND(INDEX(職員マスタ!$K$6:$K$405,$AP2428)&lt;&gt;"",N($W2428)&gt;0,INDEX(職員マスタ!$K$6:$K$405,$AP2428)&lt;&gt;$W2428),"標準報酬月額が申請書と相違（台帳"&amp;TEXT(INDEX(職員マスタ!$K$6:$K$405,$AP2428),"#,##0")&amp;"円／申請書"&amp;TEXT($W2428,"#,##0")&amp;"円）／","")&amp;IF(AND(INDEX(職員マスタ!$F$6:$F$405,$AP2428)&lt;&gt;"",$AQ2428&lt;&gt;"",INDEX(職員マスタ!$F$6:$F$405,$AP2428)&lt;$AQ2428),"対象月に子が2歳到達済／","")&amp;IF(AND($H2428&lt;&gt;"",INDEX(職員マスタ!$B$6:$B$405,$AP2428)&lt;&gt;"",SUBSTITUTE(SUBSTITUTE($H2428," ","")," ","")&lt;&gt;SUBSTITUTE(SUBSTITUTE(INDEX(職員マスタ!$B$6:$B$405,$AP2428)," ","")," ","")),"氏名がマスタと相違／","")&amp;IF(AND($Q2428&lt;&gt;"",INDEX(職員マスタ!$E$6:$E$405,$AP2428)&lt;&gt;"",$Q2428&lt;&gt;INDEX(職員マスタ!$E$6:$E$405,$AP2428)),"子の生年月日がマスタと相違／","")&amp;IF(AND($L2428&lt;&gt;"",INDEX(職員マスタ!$G$6:$G$405,$AP2428)&lt;&gt;"",$L2428&lt;&gt;INDEX(職員マスタ!$G$6:$G$405,$AP2428)),"時短開始日がマスタと相違／","")&amp;IF(AND($M2428&lt;&gt;"",INDEX(職員マスタ!$H$6:$H$405,$AP2428)&lt;&gt;"",$M2428&lt;&gt;INDEX(職員マスタ!$H$6:$H$405,$AP2428)),"時短終了日がマスタと相違／","")))&amp;IF(AND($B2428&lt;&gt;"",$E2428=""),"報酬額が未入力／","")&amp;IF(N($U2428)&gt;0,"申請書に入力エラーが残っています／","")&amp;IF(AND($B2428&lt;&gt;"",$AQ2428&lt;&gt;""),IF(COUNTIFS($B$6:$B$3005,$B2428,$C$6:$C$3005,$C2428,$D$6:$D$3005,$D2428)&gt;1,"同じ月の請求が重複しています／",""),"")&amp;IF(AND(N($E2428)&gt;0,$AB2428&lt;&gt;"",$AB2428&lt;&gt;"×",$AE2428=0,$AD2428=""),"計算額が下限以下のため不支給／",""))</f>
        <v/>
      </c>
      <c r="AN2428" s="12" t="n"/>
      <c r="AO2428" s="14">
        <f>IF($AF2428="保留中",COUNTIF($AF$6:$AF2428,"保留中"),"")</f>
        <v/>
      </c>
      <c r="AP2428" s="14">
        <f>IF($AQ2428="","",IF(SUMPRODUCT(MAX((職員マスタ!$A$6:$A$405=$B2428)*(((職員マスタ!$G$6:$G$405="")+(職員マスタ!$G$6:$G$405&lt;=EOMONTH($AQ2428,0)))&gt;0)*(((職員マスタ!$H$6:$H$405="")+(職員マスタ!$H$6:$H$405&gt;=$AQ2428))&gt;0)*(ROW(職員マスタ!$A$6:$A$405)-5)))&gt;0,SUMPRODUCT(MAX((職員マスタ!$A$6:$A$405=$B2428)*(((職員マスタ!$G$6:$G$405="")+(職員マスタ!$G$6:$G$405&lt;=EOMONTH($AQ2428,0)))&gt;0)*(((職員マスタ!$H$6:$H$405="")+(職員マスタ!$H$6:$H$405&gt;=$AQ2428))&gt;0)*(ROW(職員マスタ!$A$6:$A$405)-5))),IFERROR(MATCH($B2428,職員マスタ!$A$6:$A$405,0),"")))</f>
        <v/>
      </c>
      <c r="AQ2428" s="16">
        <f>IF(OR($B2428="",$C2428="",$D2428=""),"",DATE($C2428+2018,$D2428,1))</f>
        <v/>
      </c>
    </row>
    <row r="2429">
      <c r="A2429" s="11" t="n"/>
      <c r="B2429" s="12" t="n"/>
      <c r="C2429" s="12" t="n"/>
      <c r="D2429" s="12" t="n"/>
      <c r="E2429" s="13" t="n"/>
      <c r="F2429" s="12" t="n"/>
      <c r="G2429" s="13" t="n"/>
      <c r="H2429" s="12" t="n"/>
      <c r="I2429" s="12" t="n"/>
      <c r="J2429" s="12" t="n"/>
      <c r="K2429" s="12" t="n"/>
      <c r="L2429" s="11" t="n"/>
      <c r="M2429" s="11" t="n"/>
      <c r="N2429" s="11" t="n"/>
      <c r="O2429" s="11" t="n"/>
      <c r="P2429" s="12" t="n"/>
      <c r="Q2429" s="11" t="n"/>
      <c r="R2429" s="12" t="n"/>
      <c r="S2429" s="11" t="n"/>
      <c r="T2429" s="12" t="n"/>
      <c r="U2429" s="12" t="n"/>
      <c r="V2429" s="12" t="n"/>
      <c r="W2429" s="13" t="n"/>
      <c r="X2429" s="14">
        <f>IF($AP2429="",IF($B2429="","",$H2429),IF(INDEX(職員マスタ!$B$6:$B$405,$AP2429)="",$H2429,INDEX(職員マスタ!$B$6:$B$405,$AP2429)))</f>
        <v/>
      </c>
      <c r="Y2429" s="14">
        <f>IF($AP2429="",IF($B2429="","",$R2429),IF(INDEX(職員マスタ!$C$6:$C$405,$AP2429)="",$R2429,INDEX(職員マスタ!$C$6:$C$405,$AP2429)))</f>
        <v/>
      </c>
      <c r="Z2429" s="14">
        <f>IF($AQ2429="","","R"&amp;$C2429&amp;"."&amp;$D2429)</f>
        <v/>
      </c>
      <c r="AA2429" s="15">
        <f>IF(IF($AP2429="",FALSE,INDEX(職員マスタ!$K$6:$K$405,$AP2429)&lt;&gt;""),INDEX(職員マスタ!$K$6:$K$405,$AP2429),IF(N($W2429)&gt;0,$W2429,""))</f>
        <v/>
      </c>
      <c r="AB2429" s="14">
        <f>IF(OR($E2429="",$AA2429=""),"",IF($E2429&gt;=$AA2429,"×",IF($E2429&gt;=$AA2429*設定!$C$5,"△","○")))</f>
        <v/>
      </c>
      <c r="AC2429" s="15">
        <f>IF($AB2429="","",IF($AB2429="×",0,IF($AB2429="○",ROUNDDOWN($E2429*設定!$C$4,0),ROUNDDOWN($E2429*ROUND((9*$AA2429-9*$E2429)/(10*$E2429),4),0))))</f>
        <v/>
      </c>
      <c r="AD2429" s="13" t="n"/>
      <c r="AE2429" s="15">
        <f>IF($B2429="","",IF($AD2429&lt;&gt;"",$AD2429,IF($AC2429="","",IF($AC2429&lt;=設定!$C$3,0,$AC2429))))</f>
        <v/>
      </c>
      <c r="AF2429" s="14">
        <f>IF($B2429="","",IF(AND($AG2429&lt;&gt;"",$AI2429="",$AL2429=""),"保留中",IF($AL2429&lt;&gt;"",IF(N($AE2429)&gt;0,"支給済","不支給"),IF($AE2429="","要確認",IF($AE2429=0,"不支給","未処理")))))</f>
        <v/>
      </c>
      <c r="AG2429" s="12" t="n"/>
      <c r="AH2429" s="11" t="n"/>
      <c r="AI2429" s="11" t="n"/>
      <c r="AJ2429" s="11" t="n"/>
      <c r="AK2429" s="14">
        <f>IF(AND($AF2429="保留中",$AH2429&lt;&gt;""),TODAY()-$AH2429,"")</f>
        <v/>
      </c>
      <c r="AL2429" s="12" t="n"/>
      <c r="AM2429" s="14">
        <f>IF($B2429="","",IF($AQ2429="","対象年月が未入力／","")&amp;IF($B2429="","",IF($AP2429="","職員マスタに未登録の職員番号／",IF($AA2429="","標準報酬月額が未登録／","")&amp;IF(AND($AQ2429&lt;&gt;"",OR(AND(INDEX(職員マスタ!$G$6:$G$405,$AP2429)&lt;&gt;"",INDEX(職員マスタ!$G$6:$G$405,$AP2429)&gt;EOMONTH($AQ2429,0)),AND(INDEX(職員マスタ!$H$6:$H$405,$AP2429)&lt;&gt;"",INDEX(職員マスタ!$H$6:$H$405,$AP2429)&lt;$AQ2429))),"対象月が時短期間外／","")&amp;IF(AND(INDEX(職員マスタ!$K$6:$K$405,$AP2429)&lt;&gt;"",N($W2429)&gt;0,INDEX(職員マスタ!$K$6:$K$405,$AP2429)&lt;&gt;$W2429),"標準報酬月額が申請書と相違（台帳"&amp;TEXT(INDEX(職員マスタ!$K$6:$K$405,$AP2429),"#,##0")&amp;"円／申請書"&amp;TEXT($W2429,"#,##0")&amp;"円）／","")&amp;IF(AND(INDEX(職員マスタ!$F$6:$F$405,$AP2429)&lt;&gt;"",$AQ2429&lt;&gt;"",INDEX(職員マスタ!$F$6:$F$405,$AP2429)&lt;$AQ2429),"対象月に子が2歳到達済／","")&amp;IF(AND($H2429&lt;&gt;"",INDEX(職員マスタ!$B$6:$B$405,$AP2429)&lt;&gt;"",SUBSTITUTE(SUBSTITUTE($H2429," ","")," ","")&lt;&gt;SUBSTITUTE(SUBSTITUTE(INDEX(職員マスタ!$B$6:$B$405,$AP2429)," ","")," ","")),"氏名がマスタと相違／","")&amp;IF(AND($Q2429&lt;&gt;"",INDEX(職員マスタ!$E$6:$E$405,$AP2429)&lt;&gt;"",$Q2429&lt;&gt;INDEX(職員マスタ!$E$6:$E$405,$AP2429)),"子の生年月日がマスタと相違／","")&amp;IF(AND($L2429&lt;&gt;"",INDEX(職員マスタ!$G$6:$G$405,$AP2429)&lt;&gt;"",$L2429&lt;&gt;INDEX(職員マスタ!$G$6:$G$405,$AP2429)),"時短開始日がマスタと相違／","")&amp;IF(AND($M2429&lt;&gt;"",INDEX(職員マスタ!$H$6:$H$405,$AP2429)&lt;&gt;"",$M2429&lt;&gt;INDEX(職員マスタ!$H$6:$H$405,$AP2429)),"時短終了日がマスタと相違／","")))&amp;IF(AND($B2429&lt;&gt;"",$E2429=""),"報酬額が未入力／","")&amp;IF(N($U2429)&gt;0,"申請書に入力エラーが残っています／","")&amp;IF(AND($B2429&lt;&gt;"",$AQ2429&lt;&gt;""),IF(COUNTIFS($B$6:$B$3005,$B2429,$C$6:$C$3005,$C2429,$D$6:$D$3005,$D2429)&gt;1,"同じ月の請求が重複しています／",""),"")&amp;IF(AND(N($E2429)&gt;0,$AB2429&lt;&gt;"",$AB2429&lt;&gt;"×",$AE2429=0,$AD2429=""),"計算額が下限以下のため不支給／",""))</f>
        <v/>
      </c>
      <c r="AN2429" s="12" t="n"/>
      <c r="AO2429" s="14">
        <f>IF($AF2429="保留中",COUNTIF($AF$6:$AF2429,"保留中"),"")</f>
        <v/>
      </c>
      <c r="AP2429" s="14">
        <f>IF($AQ2429="","",IF(SUMPRODUCT(MAX((職員マスタ!$A$6:$A$405=$B2429)*(((職員マスタ!$G$6:$G$405="")+(職員マスタ!$G$6:$G$405&lt;=EOMONTH($AQ2429,0)))&gt;0)*(((職員マスタ!$H$6:$H$405="")+(職員マスタ!$H$6:$H$405&gt;=$AQ2429))&gt;0)*(ROW(職員マスタ!$A$6:$A$405)-5)))&gt;0,SUMPRODUCT(MAX((職員マスタ!$A$6:$A$405=$B2429)*(((職員マスタ!$G$6:$G$405="")+(職員マスタ!$G$6:$G$405&lt;=EOMONTH($AQ2429,0)))&gt;0)*(((職員マスタ!$H$6:$H$405="")+(職員マスタ!$H$6:$H$405&gt;=$AQ2429))&gt;0)*(ROW(職員マスタ!$A$6:$A$405)-5))),IFERROR(MATCH($B2429,職員マスタ!$A$6:$A$405,0),"")))</f>
        <v/>
      </c>
      <c r="AQ2429" s="16">
        <f>IF(OR($B2429="",$C2429="",$D2429=""),"",DATE($C2429+2018,$D2429,1))</f>
        <v/>
      </c>
    </row>
    <row r="2430">
      <c r="A2430" s="11" t="n"/>
      <c r="B2430" s="12" t="n"/>
      <c r="C2430" s="12" t="n"/>
      <c r="D2430" s="12" t="n"/>
      <c r="E2430" s="13" t="n"/>
      <c r="F2430" s="12" t="n"/>
      <c r="G2430" s="13" t="n"/>
      <c r="H2430" s="12" t="n"/>
      <c r="I2430" s="12" t="n"/>
      <c r="J2430" s="12" t="n"/>
      <c r="K2430" s="12" t="n"/>
      <c r="L2430" s="11" t="n"/>
      <c r="M2430" s="11" t="n"/>
      <c r="N2430" s="11" t="n"/>
      <c r="O2430" s="11" t="n"/>
      <c r="P2430" s="12" t="n"/>
      <c r="Q2430" s="11" t="n"/>
      <c r="R2430" s="12" t="n"/>
      <c r="S2430" s="11" t="n"/>
      <c r="T2430" s="12" t="n"/>
      <c r="U2430" s="12" t="n"/>
      <c r="V2430" s="12" t="n"/>
      <c r="W2430" s="13" t="n"/>
      <c r="X2430" s="14">
        <f>IF($AP2430="",IF($B2430="","",$H2430),IF(INDEX(職員マスタ!$B$6:$B$405,$AP2430)="",$H2430,INDEX(職員マスタ!$B$6:$B$405,$AP2430)))</f>
        <v/>
      </c>
      <c r="Y2430" s="14">
        <f>IF($AP2430="",IF($B2430="","",$R2430),IF(INDEX(職員マスタ!$C$6:$C$405,$AP2430)="",$R2430,INDEX(職員マスタ!$C$6:$C$405,$AP2430)))</f>
        <v/>
      </c>
      <c r="Z2430" s="14">
        <f>IF($AQ2430="","","R"&amp;$C2430&amp;"."&amp;$D2430)</f>
        <v/>
      </c>
      <c r="AA2430" s="15">
        <f>IF(IF($AP2430="",FALSE,INDEX(職員マスタ!$K$6:$K$405,$AP2430)&lt;&gt;""),INDEX(職員マスタ!$K$6:$K$405,$AP2430),IF(N($W2430)&gt;0,$W2430,""))</f>
        <v/>
      </c>
      <c r="AB2430" s="14">
        <f>IF(OR($E2430="",$AA2430=""),"",IF($E2430&gt;=$AA2430,"×",IF($E2430&gt;=$AA2430*設定!$C$5,"△","○")))</f>
        <v/>
      </c>
      <c r="AC2430" s="15">
        <f>IF($AB2430="","",IF($AB2430="×",0,IF($AB2430="○",ROUNDDOWN($E2430*設定!$C$4,0),ROUNDDOWN($E2430*ROUND((9*$AA2430-9*$E2430)/(10*$E2430),4),0))))</f>
        <v/>
      </c>
      <c r="AD2430" s="13" t="n"/>
      <c r="AE2430" s="15">
        <f>IF($B2430="","",IF($AD2430&lt;&gt;"",$AD2430,IF($AC2430="","",IF($AC2430&lt;=設定!$C$3,0,$AC2430))))</f>
        <v/>
      </c>
      <c r="AF2430" s="14">
        <f>IF($B2430="","",IF(AND($AG2430&lt;&gt;"",$AI2430="",$AL2430=""),"保留中",IF($AL2430&lt;&gt;"",IF(N($AE2430)&gt;0,"支給済","不支給"),IF($AE2430="","要確認",IF($AE2430=0,"不支給","未処理")))))</f>
        <v/>
      </c>
      <c r="AG2430" s="12" t="n"/>
      <c r="AH2430" s="11" t="n"/>
      <c r="AI2430" s="11" t="n"/>
      <c r="AJ2430" s="11" t="n"/>
      <c r="AK2430" s="14">
        <f>IF(AND($AF2430="保留中",$AH2430&lt;&gt;""),TODAY()-$AH2430,"")</f>
        <v/>
      </c>
      <c r="AL2430" s="12" t="n"/>
      <c r="AM2430" s="14">
        <f>IF($B2430="","",IF($AQ2430="","対象年月が未入力／","")&amp;IF($B2430="","",IF($AP2430="","職員マスタに未登録の職員番号／",IF($AA2430="","標準報酬月額が未登録／","")&amp;IF(AND($AQ2430&lt;&gt;"",OR(AND(INDEX(職員マスタ!$G$6:$G$405,$AP2430)&lt;&gt;"",INDEX(職員マスタ!$G$6:$G$405,$AP2430)&gt;EOMONTH($AQ2430,0)),AND(INDEX(職員マスタ!$H$6:$H$405,$AP2430)&lt;&gt;"",INDEX(職員マスタ!$H$6:$H$405,$AP2430)&lt;$AQ2430))),"対象月が時短期間外／","")&amp;IF(AND(INDEX(職員マスタ!$K$6:$K$405,$AP2430)&lt;&gt;"",N($W2430)&gt;0,INDEX(職員マスタ!$K$6:$K$405,$AP2430)&lt;&gt;$W2430),"標準報酬月額が申請書と相違（台帳"&amp;TEXT(INDEX(職員マスタ!$K$6:$K$405,$AP2430),"#,##0")&amp;"円／申請書"&amp;TEXT($W2430,"#,##0")&amp;"円）／","")&amp;IF(AND(INDEX(職員マスタ!$F$6:$F$405,$AP2430)&lt;&gt;"",$AQ2430&lt;&gt;"",INDEX(職員マスタ!$F$6:$F$405,$AP2430)&lt;$AQ2430),"対象月に子が2歳到達済／","")&amp;IF(AND($H2430&lt;&gt;"",INDEX(職員マスタ!$B$6:$B$405,$AP2430)&lt;&gt;"",SUBSTITUTE(SUBSTITUTE($H2430," ","")," ","")&lt;&gt;SUBSTITUTE(SUBSTITUTE(INDEX(職員マスタ!$B$6:$B$405,$AP2430)," ","")," ","")),"氏名がマスタと相違／","")&amp;IF(AND($Q2430&lt;&gt;"",INDEX(職員マスタ!$E$6:$E$405,$AP2430)&lt;&gt;"",$Q2430&lt;&gt;INDEX(職員マスタ!$E$6:$E$405,$AP2430)),"子の生年月日がマスタと相違／","")&amp;IF(AND($L2430&lt;&gt;"",INDEX(職員マスタ!$G$6:$G$405,$AP2430)&lt;&gt;"",$L2430&lt;&gt;INDEX(職員マスタ!$G$6:$G$405,$AP2430)),"時短開始日がマスタと相違／","")&amp;IF(AND($M2430&lt;&gt;"",INDEX(職員マスタ!$H$6:$H$405,$AP2430)&lt;&gt;"",$M2430&lt;&gt;INDEX(職員マスタ!$H$6:$H$405,$AP2430)),"時短終了日がマスタと相違／","")))&amp;IF(AND($B2430&lt;&gt;"",$E2430=""),"報酬額が未入力／","")&amp;IF(N($U2430)&gt;0,"申請書に入力エラーが残っています／","")&amp;IF(AND($B2430&lt;&gt;"",$AQ2430&lt;&gt;""),IF(COUNTIFS($B$6:$B$3005,$B2430,$C$6:$C$3005,$C2430,$D$6:$D$3005,$D2430)&gt;1,"同じ月の請求が重複しています／",""),"")&amp;IF(AND(N($E2430)&gt;0,$AB2430&lt;&gt;"",$AB2430&lt;&gt;"×",$AE2430=0,$AD2430=""),"計算額が下限以下のため不支給／",""))</f>
        <v/>
      </c>
      <c r="AN2430" s="12" t="n"/>
      <c r="AO2430" s="14">
        <f>IF($AF2430="保留中",COUNTIF($AF$6:$AF2430,"保留中"),"")</f>
        <v/>
      </c>
      <c r="AP2430" s="14">
        <f>IF($AQ2430="","",IF(SUMPRODUCT(MAX((職員マスタ!$A$6:$A$405=$B2430)*(((職員マスタ!$G$6:$G$405="")+(職員マスタ!$G$6:$G$405&lt;=EOMONTH($AQ2430,0)))&gt;0)*(((職員マスタ!$H$6:$H$405="")+(職員マスタ!$H$6:$H$405&gt;=$AQ2430))&gt;0)*(ROW(職員マスタ!$A$6:$A$405)-5)))&gt;0,SUMPRODUCT(MAX((職員マスタ!$A$6:$A$405=$B2430)*(((職員マスタ!$G$6:$G$405="")+(職員マスタ!$G$6:$G$405&lt;=EOMONTH($AQ2430,0)))&gt;0)*(((職員マスタ!$H$6:$H$405="")+(職員マスタ!$H$6:$H$405&gt;=$AQ2430))&gt;0)*(ROW(職員マスタ!$A$6:$A$405)-5))),IFERROR(MATCH($B2430,職員マスタ!$A$6:$A$405,0),"")))</f>
        <v/>
      </c>
      <c r="AQ2430" s="16">
        <f>IF(OR($B2430="",$C2430="",$D2430=""),"",DATE($C2430+2018,$D2430,1))</f>
        <v/>
      </c>
    </row>
    <row r="2431">
      <c r="A2431" s="11" t="n"/>
      <c r="B2431" s="12" t="n"/>
      <c r="C2431" s="12" t="n"/>
      <c r="D2431" s="12" t="n"/>
      <c r="E2431" s="13" t="n"/>
      <c r="F2431" s="12" t="n"/>
      <c r="G2431" s="13" t="n"/>
      <c r="H2431" s="12" t="n"/>
      <c r="I2431" s="12" t="n"/>
      <c r="J2431" s="12" t="n"/>
      <c r="K2431" s="12" t="n"/>
      <c r="L2431" s="11" t="n"/>
      <c r="M2431" s="11" t="n"/>
      <c r="N2431" s="11" t="n"/>
      <c r="O2431" s="11" t="n"/>
      <c r="P2431" s="12" t="n"/>
      <c r="Q2431" s="11" t="n"/>
      <c r="R2431" s="12" t="n"/>
      <c r="S2431" s="11" t="n"/>
      <c r="T2431" s="12" t="n"/>
      <c r="U2431" s="12" t="n"/>
      <c r="V2431" s="12" t="n"/>
      <c r="W2431" s="13" t="n"/>
      <c r="X2431" s="14">
        <f>IF($AP2431="",IF($B2431="","",$H2431),IF(INDEX(職員マスタ!$B$6:$B$405,$AP2431)="",$H2431,INDEX(職員マスタ!$B$6:$B$405,$AP2431)))</f>
        <v/>
      </c>
      <c r="Y2431" s="14">
        <f>IF($AP2431="",IF($B2431="","",$R2431),IF(INDEX(職員マスタ!$C$6:$C$405,$AP2431)="",$R2431,INDEX(職員マスタ!$C$6:$C$405,$AP2431)))</f>
        <v/>
      </c>
      <c r="Z2431" s="14">
        <f>IF($AQ2431="","","R"&amp;$C2431&amp;"."&amp;$D2431)</f>
        <v/>
      </c>
      <c r="AA2431" s="15">
        <f>IF(IF($AP2431="",FALSE,INDEX(職員マスタ!$K$6:$K$405,$AP2431)&lt;&gt;""),INDEX(職員マスタ!$K$6:$K$405,$AP2431),IF(N($W2431)&gt;0,$W2431,""))</f>
        <v/>
      </c>
      <c r="AB2431" s="14">
        <f>IF(OR($E2431="",$AA2431=""),"",IF($E2431&gt;=$AA2431,"×",IF($E2431&gt;=$AA2431*設定!$C$5,"△","○")))</f>
        <v/>
      </c>
      <c r="AC2431" s="15">
        <f>IF($AB2431="","",IF($AB2431="×",0,IF($AB2431="○",ROUNDDOWN($E2431*設定!$C$4,0),ROUNDDOWN($E2431*ROUND((9*$AA2431-9*$E2431)/(10*$E2431),4),0))))</f>
        <v/>
      </c>
      <c r="AD2431" s="13" t="n"/>
      <c r="AE2431" s="15">
        <f>IF($B2431="","",IF($AD2431&lt;&gt;"",$AD2431,IF($AC2431="","",IF($AC2431&lt;=設定!$C$3,0,$AC2431))))</f>
        <v/>
      </c>
      <c r="AF2431" s="14">
        <f>IF($B2431="","",IF(AND($AG2431&lt;&gt;"",$AI2431="",$AL2431=""),"保留中",IF($AL2431&lt;&gt;"",IF(N($AE2431)&gt;0,"支給済","不支給"),IF($AE2431="","要確認",IF($AE2431=0,"不支給","未処理")))))</f>
        <v/>
      </c>
      <c r="AG2431" s="12" t="n"/>
      <c r="AH2431" s="11" t="n"/>
      <c r="AI2431" s="11" t="n"/>
      <c r="AJ2431" s="11" t="n"/>
      <c r="AK2431" s="14">
        <f>IF(AND($AF2431="保留中",$AH2431&lt;&gt;""),TODAY()-$AH2431,"")</f>
        <v/>
      </c>
      <c r="AL2431" s="12" t="n"/>
      <c r="AM2431" s="14">
        <f>IF($B2431="","",IF($AQ2431="","対象年月が未入力／","")&amp;IF($B2431="","",IF($AP2431="","職員マスタに未登録の職員番号／",IF($AA2431="","標準報酬月額が未登録／","")&amp;IF(AND($AQ2431&lt;&gt;"",OR(AND(INDEX(職員マスタ!$G$6:$G$405,$AP2431)&lt;&gt;"",INDEX(職員マスタ!$G$6:$G$405,$AP2431)&gt;EOMONTH($AQ2431,0)),AND(INDEX(職員マスタ!$H$6:$H$405,$AP2431)&lt;&gt;"",INDEX(職員マスタ!$H$6:$H$405,$AP2431)&lt;$AQ2431))),"対象月が時短期間外／","")&amp;IF(AND(INDEX(職員マスタ!$K$6:$K$405,$AP2431)&lt;&gt;"",N($W2431)&gt;0,INDEX(職員マスタ!$K$6:$K$405,$AP2431)&lt;&gt;$W2431),"標準報酬月額が申請書と相違（台帳"&amp;TEXT(INDEX(職員マスタ!$K$6:$K$405,$AP2431),"#,##0")&amp;"円／申請書"&amp;TEXT($W2431,"#,##0")&amp;"円）／","")&amp;IF(AND(INDEX(職員マスタ!$F$6:$F$405,$AP2431)&lt;&gt;"",$AQ2431&lt;&gt;"",INDEX(職員マスタ!$F$6:$F$405,$AP2431)&lt;$AQ2431),"対象月に子が2歳到達済／","")&amp;IF(AND($H2431&lt;&gt;"",INDEX(職員マスタ!$B$6:$B$405,$AP2431)&lt;&gt;"",SUBSTITUTE(SUBSTITUTE($H2431," ","")," ","")&lt;&gt;SUBSTITUTE(SUBSTITUTE(INDEX(職員マスタ!$B$6:$B$405,$AP2431)," ","")," ","")),"氏名がマスタと相違／","")&amp;IF(AND($Q2431&lt;&gt;"",INDEX(職員マスタ!$E$6:$E$405,$AP2431)&lt;&gt;"",$Q2431&lt;&gt;INDEX(職員マスタ!$E$6:$E$405,$AP2431)),"子の生年月日がマスタと相違／","")&amp;IF(AND($L2431&lt;&gt;"",INDEX(職員マスタ!$G$6:$G$405,$AP2431)&lt;&gt;"",$L2431&lt;&gt;INDEX(職員マスタ!$G$6:$G$405,$AP2431)),"時短開始日がマスタと相違／","")&amp;IF(AND($M2431&lt;&gt;"",INDEX(職員マスタ!$H$6:$H$405,$AP2431)&lt;&gt;"",$M2431&lt;&gt;INDEX(職員マスタ!$H$6:$H$405,$AP2431)),"時短終了日がマスタと相違／","")))&amp;IF(AND($B2431&lt;&gt;"",$E2431=""),"報酬額が未入力／","")&amp;IF(N($U2431)&gt;0,"申請書に入力エラーが残っています／","")&amp;IF(AND($B2431&lt;&gt;"",$AQ2431&lt;&gt;""),IF(COUNTIFS($B$6:$B$3005,$B2431,$C$6:$C$3005,$C2431,$D$6:$D$3005,$D2431)&gt;1,"同じ月の請求が重複しています／",""),"")&amp;IF(AND(N($E2431)&gt;0,$AB2431&lt;&gt;"",$AB2431&lt;&gt;"×",$AE2431=0,$AD2431=""),"計算額が下限以下のため不支給／",""))</f>
        <v/>
      </c>
      <c r="AN2431" s="12" t="n"/>
      <c r="AO2431" s="14">
        <f>IF($AF2431="保留中",COUNTIF($AF$6:$AF2431,"保留中"),"")</f>
        <v/>
      </c>
      <c r="AP2431" s="14">
        <f>IF($AQ2431="","",IF(SUMPRODUCT(MAX((職員マスタ!$A$6:$A$405=$B2431)*(((職員マスタ!$G$6:$G$405="")+(職員マスタ!$G$6:$G$405&lt;=EOMONTH($AQ2431,0)))&gt;0)*(((職員マスタ!$H$6:$H$405="")+(職員マスタ!$H$6:$H$405&gt;=$AQ2431))&gt;0)*(ROW(職員マスタ!$A$6:$A$405)-5)))&gt;0,SUMPRODUCT(MAX((職員マスタ!$A$6:$A$405=$B2431)*(((職員マスタ!$G$6:$G$405="")+(職員マスタ!$G$6:$G$405&lt;=EOMONTH($AQ2431,0)))&gt;0)*(((職員マスタ!$H$6:$H$405="")+(職員マスタ!$H$6:$H$405&gt;=$AQ2431))&gt;0)*(ROW(職員マスタ!$A$6:$A$405)-5))),IFERROR(MATCH($B2431,職員マスタ!$A$6:$A$405,0),"")))</f>
        <v/>
      </c>
      <c r="AQ2431" s="16">
        <f>IF(OR($B2431="",$C2431="",$D2431=""),"",DATE($C2431+2018,$D2431,1))</f>
        <v/>
      </c>
    </row>
    <row r="2432">
      <c r="A2432" s="11" t="n"/>
      <c r="B2432" s="12" t="n"/>
      <c r="C2432" s="12" t="n"/>
      <c r="D2432" s="12" t="n"/>
      <c r="E2432" s="13" t="n"/>
      <c r="F2432" s="12" t="n"/>
      <c r="G2432" s="13" t="n"/>
      <c r="H2432" s="12" t="n"/>
      <c r="I2432" s="12" t="n"/>
      <c r="J2432" s="12" t="n"/>
      <c r="K2432" s="12" t="n"/>
      <c r="L2432" s="11" t="n"/>
      <c r="M2432" s="11" t="n"/>
      <c r="N2432" s="11" t="n"/>
      <c r="O2432" s="11" t="n"/>
      <c r="P2432" s="12" t="n"/>
      <c r="Q2432" s="11" t="n"/>
      <c r="R2432" s="12" t="n"/>
      <c r="S2432" s="11" t="n"/>
      <c r="T2432" s="12" t="n"/>
      <c r="U2432" s="12" t="n"/>
      <c r="V2432" s="12" t="n"/>
      <c r="W2432" s="13" t="n"/>
      <c r="X2432" s="14">
        <f>IF($AP2432="",IF($B2432="","",$H2432),IF(INDEX(職員マスタ!$B$6:$B$405,$AP2432)="",$H2432,INDEX(職員マスタ!$B$6:$B$405,$AP2432)))</f>
        <v/>
      </c>
      <c r="Y2432" s="14">
        <f>IF($AP2432="",IF($B2432="","",$R2432),IF(INDEX(職員マスタ!$C$6:$C$405,$AP2432)="",$R2432,INDEX(職員マスタ!$C$6:$C$405,$AP2432)))</f>
        <v/>
      </c>
      <c r="Z2432" s="14">
        <f>IF($AQ2432="","","R"&amp;$C2432&amp;"."&amp;$D2432)</f>
        <v/>
      </c>
      <c r="AA2432" s="15">
        <f>IF(IF($AP2432="",FALSE,INDEX(職員マスタ!$K$6:$K$405,$AP2432)&lt;&gt;""),INDEX(職員マスタ!$K$6:$K$405,$AP2432),IF(N($W2432)&gt;0,$W2432,""))</f>
        <v/>
      </c>
      <c r="AB2432" s="14">
        <f>IF(OR($E2432="",$AA2432=""),"",IF($E2432&gt;=$AA2432,"×",IF($E2432&gt;=$AA2432*設定!$C$5,"△","○")))</f>
        <v/>
      </c>
      <c r="AC2432" s="15">
        <f>IF($AB2432="","",IF($AB2432="×",0,IF($AB2432="○",ROUNDDOWN($E2432*設定!$C$4,0),ROUNDDOWN($E2432*ROUND((9*$AA2432-9*$E2432)/(10*$E2432),4),0))))</f>
        <v/>
      </c>
      <c r="AD2432" s="13" t="n"/>
      <c r="AE2432" s="15">
        <f>IF($B2432="","",IF($AD2432&lt;&gt;"",$AD2432,IF($AC2432="","",IF($AC2432&lt;=設定!$C$3,0,$AC2432))))</f>
        <v/>
      </c>
      <c r="AF2432" s="14">
        <f>IF($B2432="","",IF(AND($AG2432&lt;&gt;"",$AI2432="",$AL2432=""),"保留中",IF($AL2432&lt;&gt;"",IF(N($AE2432)&gt;0,"支給済","不支給"),IF($AE2432="","要確認",IF($AE2432=0,"不支給","未処理")))))</f>
        <v/>
      </c>
      <c r="AG2432" s="12" t="n"/>
      <c r="AH2432" s="11" t="n"/>
      <c r="AI2432" s="11" t="n"/>
      <c r="AJ2432" s="11" t="n"/>
      <c r="AK2432" s="14">
        <f>IF(AND($AF2432="保留中",$AH2432&lt;&gt;""),TODAY()-$AH2432,"")</f>
        <v/>
      </c>
      <c r="AL2432" s="12" t="n"/>
      <c r="AM2432" s="14">
        <f>IF($B2432="","",IF($AQ2432="","対象年月が未入力／","")&amp;IF($B2432="","",IF($AP2432="","職員マスタに未登録の職員番号／",IF($AA2432="","標準報酬月額が未登録／","")&amp;IF(AND($AQ2432&lt;&gt;"",OR(AND(INDEX(職員マスタ!$G$6:$G$405,$AP2432)&lt;&gt;"",INDEX(職員マスタ!$G$6:$G$405,$AP2432)&gt;EOMONTH($AQ2432,0)),AND(INDEX(職員マスタ!$H$6:$H$405,$AP2432)&lt;&gt;"",INDEX(職員マスタ!$H$6:$H$405,$AP2432)&lt;$AQ2432))),"対象月が時短期間外／","")&amp;IF(AND(INDEX(職員マスタ!$K$6:$K$405,$AP2432)&lt;&gt;"",N($W2432)&gt;0,INDEX(職員マスタ!$K$6:$K$405,$AP2432)&lt;&gt;$W2432),"標準報酬月額が申請書と相違（台帳"&amp;TEXT(INDEX(職員マスタ!$K$6:$K$405,$AP2432),"#,##0")&amp;"円／申請書"&amp;TEXT($W2432,"#,##0")&amp;"円）／","")&amp;IF(AND(INDEX(職員マスタ!$F$6:$F$405,$AP2432)&lt;&gt;"",$AQ2432&lt;&gt;"",INDEX(職員マスタ!$F$6:$F$405,$AP2432)&lt;$AQ2432),"対象月に子が2歳到達済／","")&amp;IF(AND($H2432&lt;&gt;"",INDEX(職員マスタ!$B$6:$B$405,$AP2432)&lt;&gt;"",SUBSTITUTE(SUBSTITUTE($H2432," ","")," ","")&lt;&gt;SUBSTITUTE(SUBSTITUTE(INDEX(職員マスタ!$B$6:$B$405,$AP2432)," ","")," ","")),"氏名がマスタと相違／","")&amp;IF(AND($Q2432&lt;&gt;"",INDEX(職員マスタ!$E$6:$E$405,$AP2432)&lt;&gt;"",$Q2432&lt;&gt;INDEX(職員マスタ!$E$6:$E$405,$AP2432)),"子の生年月日がマスタと相違／","")&amp;IF(AND($L2432&lt;&gt;"",INDEX(職員マスタ!$G$6:$G$405,$AP2432)&lt;&gt;"",$L2432&lt;&gt;INDEX(職員マスタ!$G$6:$G$405,$AP2432)),"時短開始日がマスタと相違／","")&amp;IF(AND($M2432&lt;&gt;"",INDEX(職員マスタ!$H$6:$H$405,$AP2432)&lt;&gt;"",$M2432&lt;&gt;INDEX(職員マスタ!$H$6:$H$405,$AP2432)),"時短終了日がマスタと相違／","")))&amp;IF(AND($B2432&lt;&gt;"",$E2432=""),"報酬額が未入力／","")&amp;IF(N($U2432)&gt;0,"申請書に入力エラーが残っています／","")&amp;IF(AND($B2432&lt;&gt;"",$AQ2432&lt;&gt;""),IF(COUNTIFS($B$6:$B$3005,$B2432,$C$6:$C$3005,$C2432,$D$6:$D$3005,$D2432)&gt;1,"同じ月の請求が重複しています／",""),"")&amp;IF(AND(N($E2432)&gt;0,$AB2432&lt;&gt;"",$AB2432&lt;&gt;"×",$AE2432=0,$AD2432=""),"計算額が下限以下のため不支給／",""))</f>
        <v/>
      </c>
      <c r="AN2432" s="12" t="n"/>
      <c r="AO2432" s="14">
        <f>IF($AF2432="保留中",COUNTIF($AF$6:$AF2432,"保留中"),"")</f>
        <v/>
      </c>
      <c r="AP2432" s="14">
        <f>IF($AQ2432="","",IF(SUMPRODUCT(MAX((職員マスタ!$A$6:$A$405=$B2432)*(((職員マスタ!$G$6:$G$405="")+(職員マスタ!$G$6:$G$405&lt;=EOMONTH($AQ2432,0)))&gt;0)*(((職員マスタ!$H$6:$H$405="")+(職員マスタ!$H$6:$H$405&gt;=$AQ2432))&gt;0)*(ROW(職員マスタ!$A$6:$A$405)-5)))&gt;0,SUMPRODUCT(MAX((職員マスタ!$A$6:$A$405=$B2432)*(((職員マスタ!$G$6:$G$405="")+(職員マスタ!$G$6:$G$405&lt;=EOMONTH($AQ2432,0)))&gt;0)*(((職員マスタ!$H$6:$H$405="")+(職員マスタ!$H$6:$H$405&gt;=$AQ2432))&gt;0)*(ROW(職員マスタ!$A$6:$A$405)-5))),IFERROR(MATCH($B2432,職員マスタ!$A$6:$A$405,0),"")))</f>
        <v/>
      </c>
      <c r="AQ2432" s="16">
        <f>IF(OR($B2432="",$C2432="",$D2432=""),"",DATE($C2432+2018,$D2432,1))</f>
        <v/>
      </c>
    </row>
    <row r="2433">
      <c r="A2433" s="11" t="n"/>
      <c r="B2433" s="12" t="n"/>
      <c r="C2433" s="12" t="n"/>
      <c r="D2433" s="12" t="n"/>
      <c r="E2433" s="13" t="n"/>
      <c r="F2433" s="12" t="n"/>
      <c r="G2433" s="13" t="n"/>
      <c r="H2433" s="12" t="n"/>
      <c r="I2433" s="12" t="n"/>
      <c r="J2433" s="12" t="n"/>
      <c r="K2433" s="12" t="n"/>
      <c r="L2433" s="11" t="n"/>
      <c r="M2433" s="11" t="n"/>
      <c r="N2433" s="11" t="n"/>
      <c r="O2433" s="11" t="n"/>
      <c r="P2433" s="12" t="n"/>
      <c r="Q2433" s="11" t="n"/>
      <c r="R2433" s="12" t="n"/>
      <c r="S2433" s="11" t="n"/>
      <c r="T2433" s="12" t="n"/>
      <c r="U2433" s="12" t="n"/>
      <c r="V2433" s="12" t="n"/>
      <c r="W2433" s="13" t="n"/>
      <c r="X2433" s="14">
        <f>IF($AP2433="",IF($B2433="","",$H2433),IF(INDEX(職員マスタ!$B$6:$B$405,$AP2433)="",$H2433,INDEX(職員マスタ!$B$6:$B$405,$AP2433)))</f>
        <v/>
      </c>
      <c r="Y2433" s="14">
        <f>IF($AP2433="",IF($B2433="","",$R2433),IF(INDEX(職員マスタ!$C$6:$C$405,$AP2433)="",$R2433,INDEX(職員マスタ!$C$6:$C$405,$AP2433)))</f>
        <v/>
      </c>
      <c r="Z2433" s="14">
        <f>IF($AQ2433="","","R"&amp;$C2433&amp;"."&amp;$D2433)</f>
        <v/>
      </c>
      <c r="AA2433" s="15">
        <f>IF(IF($AP2433="",FALSE,INDEX(職員マスタ!$K$6:$K$405,$AP2433)&lt;&gt;""),INDEX(職員マスタ!$K$6:$K$405,$AP2433),IF(N($W2433)&gt;0,$W2433,""))</f>
        <v/>
      </c>
      <c r="AB2433" s="14">
        <f>IF(OR($E2433="",$AA2433=""),"",IF($E2433&gt;=$AA2433,"×",IF($E2433&gt;=$AA2433*設定!$C$5,"△","○")))</f>
        <v/>
      </c>
      <c r="AC2433" s="15">
        <f>IF($AB2433="","",IF($AB2433="×",0,IF($AB2433="○",ROUNDDOWN($E2433*設定!$C$4,0),ROUNDDOWN($E2433*ROUND((9*$AA2433-9*$E2433)/(10*$E2433),4),0))))</f>
        <v/>
      </c>
      <c r="AD2433" s="13" t="n"/>
      <c r="AE2433" s="15">
        <f>IF($B2433="","",IF($AD2433&lt;&gt;"",$AD2433,IF($AC2433="","",IF($AC2433&lt;=設定!$C$3,0,$AC2433))))</f>
        <v/>
      </c>
      <c r="AF2433" s="14">
        <f>IF($B2433="","",IF(AND($AG2433&lt;&gt;"",$AI2433="",$AL2433=""),"保留中",IF($AL2433&lt;&gt;"",IF(N($AE2433)&gt;0,"支給済","不支給"),IF($AE2433="","要確認",IF($AE2433=0,"不支給","未処理")))))</f>
        <v/>
      </c>
      <c r="AG2433" s="12" t="n"/>
      <c r="AH2433" s="11" t="n"/>
      <c r="AI2433" s="11" t="n"/>
      <c r="AJ2433" s="11" t="n"/>
      <c r="AK2433" s="14">
        <f>IF(AND($AF2433="保留中",$AH2433&lt;&gt;""),TODAY()-$AH2433,"")</f>
        <v/>
      </c>
      <c r="AL2433" s="12" t="n"/>
      <c r="AM2433" s="14">
        <f>IF($B2433="","",IF($AQ2433="","対象年月が未入力／","")&amp;IF($B2433="","",IF($AP2433="","職員マスタに未登録の職員番号／",IF($AA2433="","標準報酬月額が未登録／","")&amp;IF(AND($AQ2433&lt;&gt;"",OR(AND(INDEX(職員マスタ!$G$6:$G$405,$AP2433)&lt;&gt;"",INDEX(職員マスタ!$G$6:$G$405,$AP2433)&gt;EOMONTH($AQ2433,0)),AND(INDEX(職員マスタ!$H$6:$H$405,$AP2433)&lt;&gt;"",INDEX(職員マスタ!$H$6:$H$405,$AP2433)&lt;$AQ2433))),"対象月が時短期間外／","")&amp;IF(AND(INDEX(職員マスタ!$K$6:$K$405,$AP2433)&lt;&gt;"",N($W2433)&gt;0,INDEX(職員マスタ!$K$6:$K$405,$AP2433)&lt;&gt;$W2433),"標準報酬月額が申請書と相違（台帳"&amp;TEXT(INDEX(職員マスタ!$K$6:$K$405,$AP2433),"#,##0")&amp;"円／申請書"&amp;TEXT($W2433,"#,##0")&amp;"円）／","")&amp;IF(AND(INDEX(職員マスタ!$F$6:$F$405,$AP2433)&lt;&gt;"",$AQ2433&lt;&gt;"",INDEX(職員マスタ!$F$6:$F$405,$AP2433)&lt;$AQ2433),"対象月に子が2歳到達済／","")&amp;IF(AND($H2433&lt;&gt;"",INDEX(職員マスタ!$B$6:$B$405,$AP2433)&lt;&gt;"",SUBSTITUTE(SUBSTITUTE($H2433," ","")," ","")&lt;&gt;SUBSTITUTE(SUBSTITUTE(INDEX(職員マスタ!$B$6:$B$405,$AP2433)," ","")," ","")),"氏名がマスタと相違／","")&amp;IF(AND($Q2433&lt;&gt;"",INDEX(職員マスタ!$E$6:$E$405,$AP2433)&lt;&gt;"",$Q2433&lt;&gt;INDEX(職員マスタ!$E$6:$E$405,$AP2433)),"子の生年月日がマスタと相違／","")&amp;IF(AND($L2433&lt;&gt;"",INDEX(職員マスタ!$G$6:$G$405,$AP2433)&lt;&gt;"",$L2433&lt;&gt;INDEX(職員マスタ!$G$6:$G$405,$AP2433)),"時短開始日がマスタと相違／","")&amp;IF(AND($M2433&lt;&gt;"",INDEX(職員マスタ!$H$6:$H$405,$AP2433)&lt;&gt;"",$M2433&lt;&gt;INDEX(職員マスタ!$H$6:$H$405,$AP2433)),"時短終了日がマスタと相違／","")))&amp;IF(AND($B2433&lt;&gt;"",$E2433=""),"報酬額が未入力／","")&amp;IF(N($U2433)&gt;0,"申請書に入力エラーが残っています／","")&amp;IF(AND($B2433&lt;&gt;"",$AQ2433&lt;&gt;""),IF(COUNTIFS($B$6:$B$3005,$B2433,$C$6:$C$3005,$C2433,$D$6:$D$3005,$D2433)&gt;1,"同じ月の請求が重複しています／",""),"")&amp;IF(AND(N($E2433)&gt;0,$AB2433&lt;&gt;"",$AB2433&lt;&gt;"×",$AE2433=0,$AD2433=""),"計算額が下限以下のため不支給／",""))</f>
        <v/>
      </c>
      <c r="AN2433" s="12" t="n"/>
      <c r="AO2433" s="14">
        <f>IF($AF2433="保留中",COUNTIF($AF$6:$AF2433,"保留中"),"")</f>
        <v/>
      </c>
      <c r="AP2433" s="14">
        <f>IF($AQ2433="","",IF(SUMPRODUCT(MAX((職員マスタ!$A$6:$A$405=$B2433)*(((職員マスタ!$G$6:$G$405="")+(職員マスタ!$G$6:$G$405&lt;=EOMONTH($AQ2433,0)))&gt;0)*(((職員マスタ!$H$6:$H$405="")+(職員マスタ!$H$6:$H$405&gt;=$AQ2433))&gt;0)*(ROW(職員マスタ!$A$6:$A$405)-5)))&gt;0,SUMPRODUCT(MAX((職員マスタ!$A$6:$A$405=$B2433)*(((職員マスタ!$G$6:$G$405="")+(職員マスタ!$G$6:$G$405&lt;=EOMONTH($AQ2433,0)))&gt;0)*(((職員マスタ!$H$6:$H$405="")+(職員マスタ!$H$6:$H$405&gt;=$AQ2433))&gt;0)*(ROW(職員マスタ!$A$6:$A$405)-5))),IFERROR(MATCH($B2433,職員マスタ!$A$6:$A$405,0),"")))</f>
        <v/>
      </c>
      <c r="AQ2433" s="16">
        <f>IF(OR($B2433="",$C2433="",$D2433=""),"",DATE($C2433+2018,$D2433,1))</f>
        <v/>
      </c>
    </row>
    <row r="2434">
      <c r="A2434" s="11" t="n"/>
      <c r="B2434" s="12" t="n"/>
      <c r="C2434" s="12" t="n"/>
      <c r="D2434" s="12" t="n"/>
      <c r="E2434" s="13" t="n"/>
      <c r="F2434" s="12" t="n"/>
      <c r="G2434" s="13" t="n"/>
      <c r="H2434" s="12" t="n"/>
      <c r="I2434" s="12" t="n"/>
      <c r="J2434" s="12" t="n"/>
      <c r="K2434" s="12" t="n"/>
      <c r="L2434" s="11" t="n"/>
      <c r="M2434" s="11" t="n"/>
      <c r="N2434" s="11" t="n"/>
      <c r="O2434" s="11" t="n"/>
      <c r="P2434" s="12" t="n"/>
      <c r="Q2434" s="11" t="n"/>
      <c r="R2434" s="12" t="n"/>
      <c r="S2434" s="11" t="n"/>
      <c r="T2434" s="12" t="n"/>
      <c r="U2434" s="12" t="n"/>
      <c r="V2434" s="12" t="n"/>
      <c r="W2434" s="13" t="n"/>
      <c r="X2434" s="14">
        <f>IF($AP2434="",IF($B2434="","",$H2434),IF(INDEX(職員マスタ!$B$6:$B$405,$AP2434)="",$H2434,INDEX(職員マスタ!$B$6:$B$405,$AP2434)))</f>
        <v/>
      </c>
      <c r="Y2434" s="14">
        <f>IF($AP2434="",IF($B2434="","",$R2434),IF(INDEX(職員マスタ!$C$6:$C$405,$AP2434)="",$R2434,INDEX(職員マスタ!$C$6:$C$405,$AP2434)))</f>
        <v/>
      </c>
      <c r="Z2434" s="14">
        <f>IF($AQ2434="","","R"&amp;$C2434&amp;"."&amp;$D2434)</f>
        <v/>
      </c>
      <c r="AA2434" s="15">
        <f>IF(IF($AP2434="",FALSE,INDEX(職員マスタ!$K$6:$K$405,$AP2434)&lt;&gt;""),INDEX(職員マスタ!$K$6:$K$405,$AP2434),IF(N($W2434)&gt;0,$W2434,""))</f>
        <v/>
      </c>
      <c r="AB2434" s="14">
        <f>IF(OR($E2434="",$AA2434=""),"",IF($E2434&gt;=$AA2434,"×",IF($E2434&gt;=$AA2434*設定!$C$5,"△","○")))</f>
        <v/>
      </c>
      <c r="AC2434" s="15">
        <f>IF($AB2434="","",IF($AB2434="×",0,IF($AB2434="○",ROUNDDOWN($E2434*設定!$C$4,0),ROUNDDOWN($E2434*ROUND((9*$AA2434-9*$E2434)/(10*$E2434),4),0))))</f>
        <v/>
      </c>
      <c r="AD2434" s="13" t="n"/>
      <c r="AE2434" s="15">
        <f>IF($B2434="","",IF($AD2434&lt;&gt;"",$AD2434,IF($AC2434="","",IF($AC2434&lt;=設定!$C$3,0,$AC2434))))</f>
        <v/>
      </c>
      <c r="AF2434" s="14">
        <f>IF($B2434="","",IF(AND($AG2434&lt;&gt;"",$AI2434="",$AL2434=""),"保留中",IF($AL2434&lt;&gt;"",IF(N($AE2434)&gt;0,"支給済","不支給"),IF($AE2434="","要確認",IF($AE2434=0,"不支給","未処理")))))</f>
        <v/>
      </c>
      <c r="AG2434" s="12" t="n"/>
      <c r="AH2434" s="11" t="n"/>
      <c r="AI2434" s="11" t="n"/>
      <c r="AJ2434" s="11" t="n"/>
      <c r="AK2434" s="14">
        <f>IF(AND($AF2434="保留中",$AH2434&lt;&gt;""),TODAY()-$AH2434,"")</f>
        <v/>
      </c>
      <c r="AL2434" s="12" t="n"/>
      <c r="AM2434" s="14">
        <f>IF($B2434="","",IF($AQ2434="","対象年月が未入力／","")&amp;IF($B2434="","",IF($AP2434="","職員マスタに未登録の職員番号／",IF($AA2434="","標準報酬月額が未登録／","")&amp;IF(AND($AQ2434&lt;&gt;"",OR(AND(INDEX(職員マスタ!$G$6:$G$405,$AP2434)&lt;&gt;"",INDEX(職員マスタ!$G$6:$G$405,$AP2434)&gt;EOMONTH($AQ2434,0)),AND(INDEX(職員マスタ!$H$6:$H$405,$AP2434)&lt;&gt;"",INDEX(職員マスタ!$H$6:$H$405,$AP2434)&lt;$AQ2434))),"対象月が時短期間外／","")&amp;IF(AND(INDEX(職員マスタ!$K$6:$K$405,$AP2434)&lt;&gt;"",N($W2434)&gt;0,INDEX(職員マスタ!$K$6:$K$405,$AP2434)&lt;&gt;$W2434),"標準報酬月額が申請書と相違（台帳"&amp;TEXT(INDEX(職員マスタ!$K$6:$K$405,$AP2434),"#,##0")&amp;"円／申請書"&amp;TEXT($W2434,"#,##0")&amp;"円）／","")&amp;IF(AND(INDEX(職員マスタ!$F$6:$F$405,$AP2434)&lt;&gt;"",$AQ2434&lt;&gt;"",INDEX(職員マスタ!$F$6:$F$405,$AP2434)&lt;$AQ2434),"対象月に子が2歳到達済／","")&amp;IF(AND($H2434&lt;&gt;"",INDEX(職員マスタ!$B$6:$B$405,$AP2434)&lt;&gt;"",SUBSTITUTE(SUBSTITUTE($H2434," ","")," ","")&lt;&gt;SUBSTITUTE(SUBSTITUTE(INDEX(職員マスタ!$B$6:$B$405,$AP2434)," ","")," ","")),"氏名がマスタと相違／","")&amp;IF(AND($Q2434&lt;&gt;"",INDEX(職員マスタ!$E$6:$E$405,$AP2434)&lt;&gt;"",$Q2434&lt;&gt;INDEX(職員マスタ!$E$6:$E$405,$AP2434)),"子の生年月日がマスタと相違／","")&amp;IF(AND($L2434&lt;&gt;"",INDEX(職員マスタ!$G$6:$G$405,$AP2434)&lt;&gt;"",$L2434&lt;&gt;INDEX(職員マスタ!$G$6:$G$405,$AP2434)),"時短開始日がマスタと相違／","")&amp;IF(AND($M2434&lt;&gt;"",INDEX(職員マスタ!$H$6:$H$405,$AP2434)&lt;&gt;"",$M2434&lt;&gt;INDEX(職員マスタ!$H$6:$H$405,$AP2434)),"時短終了日がマスタと相違／","")))&amp;IF(AND($B2434&lt;&gt;"",$E2434=""),"報酬額が未入力／","")&amp;IF(N($U2434)&gt;0,"申請書に入力エラーが残っています／","")&amp;IF(AND($B2434&lt;&gt;"",$AQ2434&lt;&gt;""),IF(COUNTIFS($B$6:$B$3005,$B2434,$C$6:$C$3005,$C2434,$D$6:$D$3005,$D2434)&gt;1,"同じ月の請求が重複しています／",""),"")&amp;IF(AND(N($E2434)&gt;0,$AB2434&lt;&gt;"",$AB2434&lt;&gt;"×",$AE2434=0,$AD2434=""),"計算額が下限以下のため不支給／",""))</f>
        <v/>
      </c>
      <c r="AN2434" s="12" t="n"/>
      <c r="AO2434" s="14">
        <f>IF($AF2434="保留中",COUNTIF($AF$6:$AF2434,"保留中"),"")</f>
        <v/>
      </c>
      <c r="AP2434" s="14">
        <f>IF($AQ2434="","",IF(SUMPRODUCT(MAX((職員マスタ!$A$6:$A$405=$B2434)*(((職員マスタ!$G$6:$G$405="")+(職員マスタ!$G$6:$G$405&lt;=EOMONTH($AQ2434,0)))&gt;0)*(((職員マスタ!$H$6:$H$405="")+(職員マスタ!$H$6:$H$405&gt;=$AQ2434))&gt;0)*(ROW(職員マスタ!$A$6:$A$405)-5)))&gt;0,SUMPRODUCT(MAX((職員マスタ!$A$6:$A$405=$B2434)*(((職員マスタ!$G$6:$G$405="")+(職員マスタ!$G$6:$G$405&lt;=EOMONTH($AQ2434,0)))&gt;0)*(((職員マスタ!$H$6:$H$405="")+(職員マスタ!$H$6:$H$405&gt;=$AQ2434))&gt;0)*(ROW(職員マスタ!$A$6:$A$405)-5))),IFERROR(MATCH($B2434,職員マスタ!$A$6:$A$405,0),"")))</f>
        <v/>
      </c>
      <c r="AQ2434" s="16">
        <f>IF(OR($B2434="",$C2434="",$D2434=""),"",DATE($C2434+2018,$D2434,1))</f>
        <v/>
      </c>
    </row>
    <row r="2435">
      <c r="A2435" s="11" t="n"/>
      <c r="B2435" s="12" t="n"/>
      <c r="C2435" s="12" t="n"/>
      <c r="D2435" s="12" t="n"/>
      <c r="E2435" s="13" t="n"/>
      <c r="F2435" s="12" t="n"/>
      <c r="G2435" s="13" t="n"/>
      <c r="H2435" s="12" t="n"/>
      <c r="I2435" s="12" t="n"/>
      <c r="J2435" s="12" t="n"/>
      <c r="K2435" s="12" t="n"/>
      <c r="L2435" s="11" t="n"/>
      <c r="M2435" s="11" t="n"/>
      <c r="N2435" s="11" t="n"/>
      <c r="O2435" s="11" t="n"/>
      <c r="P2435" s="12" t="n"/>
      <c r="Q2435" s="11" t="n"/>
      <c r="R2435" s="12" t="n"/>
      <c r="S2435" s="11" t="n"/>
      <c r="T2435" s="12" t="n"/>
      <c r="U2435" s="12" t="n"/>
      <c r="V2435" s="12" t="n"/>
      <c r="W2435" s="13" t="n"/>
      <c r="X2435" s="14">
        <f>IF($AP2435="",IF($B2435="","",$H2435),IF(INDEX(職員マスタ!$B$6:$B$405,$AP2435)="",$H2435,INDEX(職員マスタ!$B$6:$B$405,$AP2435)))</f>
        <v/>
      </c>
      <c r="Y2435" s="14">
        <f>IF($AP2435="",IF($B2435="","",$R2435),IF(INDEX(職員マスタ!$C$6:$C$405,$AP2435)="",$R2435,INDEX(職員マスタ!$C$6:$C$405,$AP2435)))</f>
        <v/>
      </c>
      <c r="Z2435" s="14">
        <f>IF($AQ2435="","","R"&amp;$C2435&amp;"."&amp;$D2435)</f>
        <v/>
      </c>
      <c r="AA2435" s="15">
        <f>IF(IF($AP2435="",FALSE,INDEX(職員マスタ!$K$6:$K$405,$AP2435)&lt;&gt;""),INDEX(職員マスタ!$K$6:$K$405,$AP2435),IF(N($W2435)&gt;0,$W2435,""))</f>
        <v/>
      </c>
      <c r="AB2435" s="14">
        <f>IF(OR($E2435="",$AA2435=""),"",IF($E2435&gt;=$AA2435,"×",IF($E2435&gt;=$AA2435*設定!$C$5,"△","○")))</f>
        <v/>
      </c>
      <c r="AC2435" s="15">
        <f>IF($AB2435="","",IF($AB2435="×",0,IF($AB2435="○",ROUNDDOWN($E2435*設定!$C$4,0),ROUNDDOWN($E2435*ROUND((9*$AA2435-9*$E2435)/(10*$E2435),4),0))))</f>
        <v/>
      </c>
      <c r="AD2435" s="13" t="n"/>
      <c r="AE2435" s="15">
        <f>IF($B2435="","",IF($AD2435&lt;&gt;"",$AD2435,IF($AC2435="","",IF($AC2435&lt;=設定!$C$3,0,$AC2435))))</f>
        <v/>
      </c>
      <c r="AF2435" s="14">
        <f>IF($B2435="","",IF(AND($AG2435&lt;&gt;"",$AI2435="",$AL2435=""),"保留中",IF($AL2435&lt;&gt;"",IF(N($AE2435)&gt;0,"支給済","不支給"),IF($AE2435="","要確認",IF($AE2435=0,"不支給","未処理")))))</f>
        <v/>
      </c>
      <c r="AG2435" s="12" t="n"/>
      <c r="AH2435" s="11" t="n"/>
      <c r="AI2435" s="11" t="n"/>
      <c r="AJ2435" s="11" t="n"/>
      <c r="AK2435" s="14">
        <f>IF(AND($AF2435="保留中",$AH2435&lt;&gt;""),TODAY()-$AH2435,"")</f>
        <v/>
      </c>
      <c r="AL2435" s="12" t="n"/>
      <c r="AM2435" s="14">
        <f>IF($B2435="","",IF($AQ2435="","対象年月が未入力／","")&amp;IF($B2435="","",IF($AP2435="","職員マスタに未登録の職員番号／",IF($AA2435="","標準報酬月額が未登録／","")&amp;IF(AND($AQ2435&lt;&gt;"",OR(AND(INDEX(職員マスタ!$G$6:$G$405,$AP2435)&lt;&gt;"",INDEX(職員マスタ!$G$6:$G$405,$AP2435)&gt;EOMONTH($AQ2435,0)),AND(INDEX(職員マスタ!$H$6:$H$405,$AP2435)&lt;&gt;"",INDEX(職員マスタ!$H$6:$H$405,$AP2435)&lt;$AQ2435))),"対象月が時短期間外／","")&amp;IF(AND(INDEX(職員マスタ!$K$6:$K$405,$AP2435)&lt;&gt;"",N($W2435)&gt;0,INDEX(職員マスタ!$K$6:$K$405,$AP2435)&lt;&gt;$W2435),"標準報酬月額が申請書と相違（台帳"&amp;TEXT(INDEX(職員マスタ!$K$6:$K$405,$AP2435),"#,##0")&amp;"円／申請書"&amp;TEXT($W2435,"#,##0")&amp;"円）／","")&amp;IF(AND(INDEX(職員マスタ!$F$6:$F$405,$AP2435)&lt;&gt;"",$AQ2435&lt;&gt;"",INDEX(職員マスタ!$F$6:$F$405,$AP2435)&lt;$AQ2435),"対象月に子が2歳到達済／","")&amp;IF(AND($H2435&lt;&gt;"",INDEX(職員マスタ!$B$6:$B$405,$AP2435)&lt;&gt;"",SUBSTITUTE(SUBSTITUTE($H2435," ","")," ","")&lt;&gt;SUBSTITUTE(SUBSTITUTE(INDEX(職員マスタ!$B$6:$B$405,$AP2435)," ","")," ","")),"氏名がマスタと相違／","")&amp;IF(AND($Q2435&lt;&gt;"",INDEX(職員マスタ!$E$6:$E$405,$AP2435)&lt;&gt;"",$Q2435&lt;&gt;INDEX(職員マスタ!$E$6:$E$405,$AP2435)),"子の生年月日がマスタと相違／","")&amp;IF(AND($L2435&lt;&gt;"",INDEX(職員マスタ!$G$6:$G$405,$AP2435)&lt;&gt;"",$L2435&lt;&gt;INDEX(職員マスタ!$G$6:$G$405,$AP2435)),"時短開始日がマスタと相違／","")&amp;IF(AND($M2435&lt;&gt;"",INDEX(職員マスタ!$H$6:$H$405,$AP2435)&lt;&gt;"",$M2435&lt;&gt;INDEX(職員マスタ!$H$6:$H$405,$AP2435)),"時短終了日がマスタと相違／","")))&amp;IF(AND($B2435&lt;&gt;"",$E2435=""),"報酬額が未入力／","")&amp;IF(N($U2435)&gt;0,"申請書に入力エラーが残っています／","")&amp;IF(AND($B2435&lt;&gt;"",$AQ2435&lt;&gt;""),IF(COUNTIFS($B$6:$B$3005,$B2435,$C$6:$C$3005,$C2435,$D$6:$D$3005,$D2435)&gt;1,"同じ月の請求が重複しています／",""),"")&amp;IF(AND(N($E2435)&gt;0,$AB2435&lt;&gt;"",$AB2435&lt;&gt;"×",$AE2435=0,$AD2435=""),"計算額が下限以下のため不支給／",""))</f>
        <v/>
      </c>
      <c r="AN2435" s="12" t="n"/>
      <c r="AO2435" s="14">
        <f>IF($AF2435="保留中",COUNTIF($AF$6:$AF2435,"保留中"),"")</f>
        <v/>
      </c>
      <c r="AP2435" s="14">
        <f>IF($AQ2435="","",IF(SUMPRODUCT(MAX((職員マスタ!$A$6:$A$405=$B2435)*(((職員マスタ!$G$6:$G$405="")+(職員マスタ!$G$6:$G$405&lt;=EOMONTH($AQ2435,0)))&gt;0)*(((職員マスタ!$H$6:$H$405="")+(職員マスタ!$H$6:$H$405&gt;=$AQ2435))&gt;0)*(ROW(職員マスタ!$A$6:$A$405)-5)))&gt;0,SUMPRODUCT(MAX((職員マスタ!$A$6:$A$405=$B2435)*(((職員マスタ!$G$6:$G$405="")+(職員マスタ!$G$6:$G$405&lt;=EOMONTH($AQ2435,0)))&gt;0)*(((職員マスタ!$H$6:$H$405="")+(職員マスタ!$H$6:$H$405&gt;=$AQ2435))&gt;0)*(ROW(職員マスタ!$A$6:$A$405)-5))),IFERROR(MATCH($B2435,職員マスタ!$A$6:$A$405,0),"")))</f>
        <v/>
      </c>
      <c r="AQ2435" s="16">
        <f>IF(OR($B2435="",$C2435="",$D2435=""),"",DATE($C2435+2018,$D2435,1))</f>
        <v/>
      </c>
    </row>
    <row r="2436">
      <c r="A2436" s="11" t="n"/>
      <c r="B2436" s="12" t="n"/>
      <c r="C2436" s="12" t="n"/>
      <c r="D2436" s="12" t="n"/>
      <c r="E2436" s="13" t="n"/>
      <c r="F2436" s="12" t="n"/>
      <c r="G2436" s="13" t="n"/>
      <c r="H2436" s="12" t="n"/>
      <c r="I2436" s="12" t="n"/>
      <c r="J2436" s="12" t="n"/>
      <c r="K2436" s="12" t="n"/>
      <c r="L2436" s="11" t="n"/>
      <c r="M2436" s="11" t="n"/>
      <c r="N2436" s="11" t="n"/>
      <c r="O2436" s="11" t="n"/>
      <c r="P2436" s="12" t="n"/>
      <c r="Q2436" s="11" t="n"/>
      <c r="R2436" s="12" t="n"/>
      <c r="S2436" s="11" t="n"/>
      <c r="T2436" s="12" t="n"/>
      <c r="U2436" s="12" t="n"/>
      <c r="V2436" s="12" t="n"/>
      <c r="W2436" s="13" t="n"/>
      <c r="X2436" s="14">
        <f>IF($AP2436="",IF($B2436="","",$H2436),IF(INDEX(職員マスタ!$B$6:$B$405,$AP2436)="",$H2436,INDEX(職員マスタ!$B$6:$B$405,$AP2436)))</f>
        <v/>
      </c>
      <c r="Y2436" s="14">
        <f>IF($AP2436="",IF($B2436="","",$R2436),IF(INDEX(職員マスタ!$C$6:$C$405,$AP2436)="",$R2436,INDEX(職員マスタ!$C$6:$C$405,$AP2436)))</f>
        <v/>
      </c>
      <c r="Z2436" s="14">
        <f>IF($AQ2436="","","R"&amp;$C2436&amp;"."&amp;$D2436)</f>
        <v/>
      </c>
      <c r="AA2436" s="15">
        <f>IF(IF($AP2436="",FALSE,INDEX(職員マスタ!$K$6:$K$405,$AP2436)&lt;&gt;""),INDEX(職員マスタ!$K$6:$K$405,$AP2436),IF(N($W2436)&gt;0,$W2436,""))</f>
        <v/>
      </c>
      <c r="AB2436" s="14">
        <f>IF(OR($E2436="",$AA2436=""),"",IF($E2436&gt;=$AA2436,"×",IF($E2436&gt;=$AA2436*設定!$C$5,"△","○")))</f>
        <v/>
      </c>
      <c r="AC2436" s="15">
        <f>IF($AB2436="","",IF($AB2436="×",0,IF($AB2436="○",ROUNDDOWN($E2436*設定!$C$4,0),ROUNDDOWN($E2436*ROUND((9*$AA2436-9*$E2436)/(10*$E2436),4),0))))</f>
        <v/>
      </c>
      <c r="AD2436" s="13" t="n"/>
      <c r="AE2436" s="15">
        <f>IF($B2436="","",IF($AD2436&lt;&gt;"",$AD2436,IF($AC2436="","",IF($AC2436&lt;=設定!$C$3,0,$AC2436))))</f>
        <v/>
      </c>
      <c r="AF2436" s="14">
        <f>IF($B2436="","",IF(AND($AG2436&lt;&gt;"",$AI2436="",$AL2436=""),"保留中",IF($AL2436&lt;&gt;"",IF(N($AE2436)&gt;0,"支給済","不支給"),IF($AE2436="","要確認",IF($AE2436=0,"不支給","未処理")))))</f>
        <v/>
      </c>
      <c r="AG2436" s="12" t="n"/>
      <c r="AH2436" s="11" t="n"/>
      <c r="AI2436" s="11" t="n"/>
      <c r="AJ2436" s="11" t="n"/>
      <c r="AK2436" s="14">
        <f>IF(AND($AF2436="保留中",$AH2436&lt;&gt;""),TODAY()-$AH2436,"")</f>
        <v/>
      </c>
      <c r="AL2436" s="12" t="n"/>
      <c r="AM2436" s="14">
        <f>IF($B2436="","",IF($AQ2436="","対象年月が未入力／","")&amp;IF($B2436="","",IF($AP2436="","職員マスタに未登録の職員番号／",IF($AA2436="","標準報酬月額が未登録／","")&amp;IF(AND($AQ2436&lt;&gt;"",OR(AND(INDEX(職員マスタ!$G$6:$G$405,$AP2436)&lt;&gt;"",INDEX(職員マスタ!$G$6:$G$405,$AP2436)&gt;EOMONTH($AQ2436,0)),AND(INDEX(職員マスタ!$H$6:$H$405,$AP2436)&lt;&gt;"",INDEX(職員マスタ!$H$6:$H$405,$AP2436)&lt;$AQ2436))),"対象月が時短期間外／","")&amp;IF(AND(INDEX(職員マスタ!$K$6:$K$405,$AP2436)&lt;&gt;"",N($W2436)&gt;0,INDEX(職員マスタ!$K$6:$K$405,$AP2436)&lt;&gt;$W2436),"標準報酬月額が申請書と相違（台帳"&amp;TEXT(INDEX(職員マスタ!$K$6:$K$405,$AP2436),"#,##0")&amp;"円／申請書"&amp;TEXT($W2436,"#,##0")&amp;"円）／","")&amp;IF(AND(INDEX(職員マスタ!$F$6:$F$405,$AP2436)&lt;&gt;"",$AQ2436&lt;&gt;"",INDEX(職員マスタ!$F$6:$F$405,$AP2436)&lt;$AQ2436),"対象月に子が2歳到達済／","")&amp;IF(AND($H2436&lt;&gt;"",INDEX(職員マスタ!$B$6:$B$405,$AP2436)&lt;&gt;"",SUBSTITUTE(SUBSTITUTE($H2436," ","")," ","")&lt;&gt;SUBSTITUTE(SUBSTITUTE(INDEX(職員マスタ!$B$6:$B$405,$AP2436)," ","")," ","")),"氏名がマスタと相違／","")&amp;IF(AND($Q2436&lt;&gt;"",INDEX(職員マスタ!$E$6:$E$405,$AP2436)&lt;&gt;"",$Q2436&lt;&gt;INDEX(職員マスタ!$E$6:$E$405,$AP2436)),"子の生年月日がマスタと相違／","")&amp;IF(AND($L2436&lt;&gt;"",INDEX(職員マスタ!$G$6:$G$405,$AP2436)&lt;&gt;"",$L2436&lt;&gt;INDEX(職員マスタ!$G$6:$G$405,$AP2436)),"時短開始日がマスタと相違／","")&amp;IF(AND($M2436&lt;&gt;"",INDEX(職員マスタ!$H$6:$H$405,$AP2436)&lt;&gt;"",$M2436&lt;&gt;INDEX(職員マスタ!$H$6:$H$405,$AP2436)),"時短終了日がマスタと相違／","")))&amp;IF(AND($B2436&lt;&gt;"",$E2436=""),"報酬額が未入力／","")&amp;IF(N($U2436)&gt;0,"申請書に入力エラーが残っています／","")&amp;IF(AND($B2436&lt;&gt;"",$AQ2436&lt;&gt;""),IF(COUNTIFS($B$6:$B$3005,$B2436,$C$6:$C$3005,$C2436,$D$6:$D$3005,$D2436)&gt;1,"同じ月の請求が重複しています／",""),"")&amp;IF(AND(N($E2436)&gt;0,$AB2436&lt;&gt;"",$AB2436&lt;&gt;"×",$AE2436=0,$AD2436=""),"計算額が下限以下のため不支給／",""))</f>
        <v/>
      </c>
      <c r="AN2436" s="12" t="n"/>
      <c r="AO2436" s="14">
        <f>IF($AF2436="保留中",COUNTIF($AF$6:$AF2436,"保留中"),"")</f>
        <v/>
      </c>
      <c r="AP2436" s="14">
        <f>IF($AQ2436="","",IF(SUMPRODUCT(MAX((職員マスタ!$A$6:$A$405=$B2436)*(((職員マスタ!$G$6:$G$405="")+(職員マスタ!$G$6:$G$405&lt;=EOMONTH($AQ2436,0)))&gt;0)*(((職員マスタ!$H$6:$H$405="")+(職員マスタ!$H$6:$H$405&gt;=$AQ2436))&gt;0)*(ROW(職員マスタ!$A$6:$A$405)-5)))&gt;0,SUMPRODUCT(MAX((職員マスタ!$A$6:$A$405=$B2436)*(((職員マスタ!$G$6:$G$405="")+(職員マスタ!$G$6:$G$405&lt;=EOMONTH($AQ2436,0)))&gt;0)*(((職員マスタ!$H$6:$H$405="")+(職員マスタ!$H$6:$H$405&gt;=$AQ2436))&gt;0)*(ROW(職員マスタ!$A$6:$A$405)-5))),IFERROR(MATCH($B2436,職員マスタ!$A$6:$A$405,0),"")))</f>
        <v/>
      </c>
      <c r="AQ2436" s="16">
        <f>IF(OR($B2436="",$C2436="",$D2436=""),"",DATE($C2436+2018,$D2436,1))</f>
        <v/>
      </c>
    </row>
    <row r="2437">
      <c r="A2437" s="11" t="n"/>
      <c r="B2437" s="12" t="n"/>
      <c r="C2437" s="12" t="n"/>
      <c r="D2437" s="12" t="n"/>
      <c r="E2437" s="13" t="n"/>
      <c r="F2437" s="12" t="n"/>
      <c r="G2437" s="13" t="n"/>
      <c r="H2437" s="12" t="n"/>
      <c r="I2437" s="12" t="n"/>
      <c r="J2437" s="12" t="n"/>
      <c r="K2437" s="12" t="n"/>
      <c r="L2437" s="11" t="n"/>
      <c r="M2437" s="11" t="n"/>
      <c r="N2437" s="11" t="n"/>
      <c r="O2437" s="11" t="n"/>
      <c r="P2437" s="12" t="n"/>
      <c r="Q2437" s="11" t="n"/>
      <c r="R2437" s="12" t="n"/>
      <c r="S2437" s="11" t="n"/>
      <c r="T2437" s="12" t="n"/>
      <c r="U2437" s="12" t="n"/>
      <c r="V2437" s="12" t="n"/>
      <c r="W2437" s="13" t="n"/>
      <c r="X2437" s="14">
        <f>IF($AP2437="",IF($B2437="","",$H2437),IF(INDEX(職員マスタ!$B$6:$B$405,$AP2437)="",$H2437,INDEX(職員マスタ!$B$6:$B$405,$AP2437)))</f>
        <v/>
      </c>
      <c r="Y2437" s="14">
        <f>IF($AP2437="",IF($B2437="","",$R2437),IF(INDEX(職員マスタ!$C$6:$C$405,$AP2437)="",$R2437,INDEX(職員マスタ!$C$6:$C$405,$AP2437)))</f>
        <v/>
      </c>
      <c r="Z2437" s="14">
        <f>IF($AQ2437="","","R"&amp;$C2437&amp;"."&amp;$D2437)</f>
        <v/>
      </c>
      <c r="AA2437" s="15">
        <f>IF(IF($AP2437="",FALSE,INDEX(職員マスタ!$K$6:$K$405,$AP2437)&lt;&gt;""),INDEX(職員マスタ!$K$6:$K$405,$AP2437),IF(N($W2437)&gt;0,$W2437,""))</f>
        <v/>
      </c>
      <c r="AB2437" s="14">
        <f>IF(OR($E2437="",$AA2437=""),"",IF($E2437&gt;=$AA2437,"×",IF($E2437&gt;=$AA2437*設定!$C$5,"△","○")))</f>
        <v/>
      </c>
      <c r="AC2437" s="15">
        <f>IF($AB2437="","",IF($AB2437="×",0,IF($AB2437="○",ROUNDDOWN($E2437*設定!$C$4,0),ROUNDDOWN($E2437*ROUND((9*$AA2437-9*$E2437)/(10*$E2437),4),0))))</f>
        <v/>
      </c>
      <c r="AD2437" s="13" t="n"/>
      <c r="AE2437" s="15">
        <f>IF($B2437="","",IF($AD2437&lt;&gt;"",$AD2437,IF($AC2437="","",IF($AC2437&lt;=設定!$C$3,0,$AC2437))))</f>
        <v/>
      </c>
      <c r="AF2437" s="14">
        <f>IF($B2437="","",IF(AND($AG2437&lt;&gt;"",$AI2437="",$AL2437=""),"保留中",IF($AL2437&lt;&gt;"",IF(N($AE2437)&gt;0,"支給済","不支給"),IF($AE2437="","要確認",IF($AE2437=0,"不支給","未処理")))))</f>
        <v/>
      </c>
      <c r="AG2437" s="12" t="n"/>
      <c r="AH2437" s="11" t="n"/>
      <c r="AI2437" s="11" t="n"/>
      <c r="AJ2437" s="11" t="n"/>
      <c r="AK2437" s="14">
        <f>IF(AND($AF2437="保留中",$AH2437&lt;&gt;""),TODAY()-$AH2437,"")</f>
        <v/>
      </c>
      <c r="AL2437" s="12" t="n"/>
      <c r="AM2437" s="14">
        <f>IF($B2437="","",IF($AQ2437="","対象年月が未入力／","")&amp;IF($B2437="","",IF($AP2437="","職員マスタに未登録の職員番号／",IF($AA2437="","標準報酬月額が未登録／","")&amp;IF(AND($AQ2437&lt;&gt;"",OR(AND(INDEX(職員マスタ!$G$6:$G$405,$AP2437)&lt;&gt;"",INDEX(職員マスタ!$G$6:$G$405,$AP2437)&gt;EOMONTH($AQ2437,0)),AND(INDEX(職員マスタ!$H$6:$H$405,$AP2437)&lt;&gt;"",INDEX(職員マスタ!$H$6:$H$405,$AP2437)&lt;$AQ2437))),"対象月が時短期間外／","")&amp;IF(AND(INDEX(職員マスタ!$K$6:$K$405,$AP2437)&lt;&gt;"",N($W2437)&gt;0,INDEX(職員マスタ!$K$6:$K$405,$AP2437)&lt;&gt;$W2437),"標準報酬月額が申請書と相違（台帳"&amp;TEXT(INDEX(職員マスタ!$K$6:$K$405,$AP2437),"#,##0")&amp;"円／申請書"&amp;TEXT($W2437,"#,##0")&amp;"円）／","")&amp;IF(AND(INDEX(職員マスタ!$F$6:$F$405,$AP2437)&lt;&gt;"",$AQ2437&lt;&gt;"",INDEX(職員マスタ!$F$6:$F$405,$AP2437)&lt;$AQ2437),"対象月に子が2歳到達済／","")&amp;IF(AND($H2437&lt;&gt;"",INDEX(職員マスタ!$B$6:$B$405,$AP2437)&lt;&gt;"",SUBSTITUTE(SUBSTITUTE($H2437," ","")," ","")&lt;&gt;SUBSTITUTE(SUBSTITUTE(INDEX(職員マスタ!$B$6:$B$405,$AP2437)," ","")," ","")),"氏名がマスタと相違／","")&amp;IF(AND($Q2437&lt;&gt;"",INDEX(職員マスタ!$E$6:$E$405,$AP2437)&lt;&gt;"",$Q2437&lt;&gt;INDEX(職員マスタ!$E$6:$E$405,$AP2437)),"子の生年月日がマスタと相違／","")&amp;IF(AND($L2437&lt;&gt;"",INDEX(職員マスタ!$G$6:$G$405,$AP2437)&lt;&gt;"",$L2437&lt;&gt;INDEX(職員マスタ!$G$6:$G$405,$AP2437)),"時短開始日がマスタと相違／","")&amp;IF(AND($M2437&lt;&gt;"",INDEX(職員マスタ!$H$6:$H$405,$AP2437)&lt;&gt;"",$M2437&lt;&gt;INDEX(職員マスタ!$H$6:$H$405,$AP2437)),"時短終了日がマスタと相違／","")))&amp;IF(AND($B2437&lt;&gt;"",$E2437=""),"報酬額が未入力／","")&amp;IF(N($U2437)&gt;0,"申請書に入力エラーが残っています／","")&amp;IF(AND($B2437&lt;&gt;"",$AQ2437&lt;&gt;""),IF(COUNTIFS($B$6:$B$3005,$B2437,$C$6:$C$3005,$C2437,$D$6:$D$3005,$D2437)&gt;1,"同じ月の請求が重複しています／",""),"")&amp;IF(AND(N($E2437)&gt;0,$AB2437&lt;&gt;"",$AB2437&lt;&gt;"×",$AE2437=0,$AD2437=""),"計算額が下限以下のため不支給／",""))</f>
        <v/>
      </c>
      <c r="AN2437" s="12" t="n"/>
      <c r="AO2437" s="14">
        <f>IF($AF2437="保留中",COUNTIF($AF$6:$AF2437,"保留中"),"")</f>
        <v/>
      </c>
      <c r="AP2437" s="14">
        <f>IF($AQ2437="","",IF(SUMPRODUCT(MAX((職員マスタ!$A$6:$A$405=$B2437)*(((職員マスタ!$G$6:$G$405="")+(職員マスタ!$G$6:$G$405&lt;=EOMONTH($AQ2437,0)))&gt;0)*(((職員マスタ!$H$6:$H$405="")+(職員マスタ!$H$6:$H$405&gt;=$AQ2437))&gt;0)*(ROW(職員マスタ!$A$6:$A$405)-5)))&gt;0,SUMPRODUCT(MAX((職員マスタ!$A$6:$A$405=$B2437)*(((職員マスタ!$G$6:$G$405="")+(職員マスタ!$G$6:$G$405&lt;=EOMONTH($AQ2437,0)))&gt;0)*(((職員マスタ!$H$6:$H$405="")+(職員マスタ!$H$6:$H$405&gt;=$AQ2437))&gt;0)*(ROW(職員マスタ!$A$6:$A$405)-5))),IFERROR(MATCH($B2437,職員マスタ!$A$6:$A$405,0),"")))</f>
        <v/>
      </c>
      <c r="AQ2437" s="16">
        <f>IF(OR($B2437="",$C2437="",$D2437=""),"",DATE($C2437+2018,$D2437,1))</f>
        <v/>
      </c>
    </row>
    <row r="2438">
      <c r="A2438" s="11" t="n"/>
      <c r="B2438" s="12" t="n"/>
      <c r="C2438" s="12" t="n"/>
      <c r="D2438" s="12" t="n"/>
      <c r="E2438" s="13" t="n"/>
      <c r="F2438" s="12" t="n"/>
      <c r="G2438" s="13" t="n"/>
      <c r="H2438" s="12" t="n"/>
      <c r="I2438" s="12" t="n"/>
      <c r="J2438" s="12" t="n"/>
      <c r="K2438" s="12" t="n"/>
      <c r="L2438" s="11" t="n"/>
      <c r="M2438" s="11" t="n"/>
      <c r="N2438" s="11" t="n"/>
      <c r="O2438" s="11" t="n"/>
      <c r="P2438" s="12" t="n"/>
      <c r="Q2438" s="11" t="n"/>
      <c r="R2438" s="12" t="n"/>
      <c r="S2438" s="11" t="n"/>
      <c r="T2438" s="12" t="n"/>
      <c r="U2438" s="12" t="n"/>
      <c r="V2438" s="12" t="n"/>
      <c r="W2438" s="13" t="n"/>
      <c r="X2438" s="14">
        <f>IF($AP2438="",IF($B2438="","",$H2438),IF(INDEX(職員マスタ!$B$6:$B$405,$AP2438)="",$H2438,INDEX(職員マスタ!$B$6:$B$405,$AP2438)))</f>
        <v/>
      </c>
      <c r="Y2438" s="14">
        <f>IF($AP2438="",IF($B2438="","",$R2438),IF(INDEX(職員マスタ!$C$6:$C$405,$AP2438)="",$R2438,INDEX(職員マスタ!$C$6:$C$405,$AP2438)))</f>
        <v/>
      </c>
      <c r="Z2438" s="14">
        <f>IF($AQ2438="","","R"&amp;$C2438&amp;"."&amp;$D2438)</f>
        <v/>
      </c>
      <c r="AA2438" s="15">
        <f>IF(IF($AP2438="",FALSE,INDEX(職員マスタ!$K$6:$K$405,$AP2438)&lt;&gt;""),INDEX(職員マスタ!$K$6:$K$405,$AP2438),IF(N($W2438)&gt;0,$W2438,""))</f>
        <v/>
      </c>
      <c r="AB2438" s="14">
        <f>IF(OR($E2438="",$AA2438=""),"",IF($E2438&gt;=$AA2438,"×",IF($E2438&gt;=$AA2438*設定!$C$5,"△","○")))</f>
        <v/>
      </c>
      <c r="AC2438" s="15">
        <f>IF($AB2438="","",IF($AB2438="×",0,IF($AB2438="○",ROUNDDOWN($E2438*設定!$C$4,0),ROUNDDOWN($E2438*ROUND((9*$AA2438-9*$E2438)/(10*$E2438),4),0))))</f>
        <v/>
      </c>
      <c r="AD2438" s="13" t="n"/>
      <c r="AE2438" s="15">
        <f>IF($B2438="","",IF($AD2438&lt;&gt;"",$AD2438,IF($AC2438="","",IF($AC2438&lt;=設定!$C$3,0,$AC2438))))</f>
        <v/>
      </c>
      <c r="AF2438" s="14">
        <f>IF($B2438="","",IF(AND($AG2438&lt;&gt;"",$AI2438="",$AL2438=""),"保留中",IF($AL2438&lt;&gt;"",IF(N($AE2438)&gt;0,"支給済","不支給"),IF($AE2438="","要確認",IF($AE2438=0,"不支給","未処理")))))</f>
        <v/>
      </c>
      <c r="AG2438" s="12" t="n"/>
      <c r="AH2438" s="11" t="n"/>
      <c r="AI2438" s="11" t="n"/>
      <c r="AJ2438" s="11" t="n"/>
      <c r="AK2438" s="14">
        <f>IF(AND($AF2438="保留中",$AH2438&lt;&gt;""),TODAY()-$AH2438,"")</f>
        <v/>
      </c>
      <c r="AL2438" s="12" t="n"/>
      <c r="AM2438" s="14">
        <f>IF($B2438="","",IF($AQ2438="","対象年月が未入力／","")&amp;IF($B2438="","",IF($AP2438="","職員マスタに未登録の職員番号／",IF($AA2438="","標準報酬月額が未登録／","")&amp;IF(AND($AQ2438&lt;&gt;"",OR(AND(INDEX(職員マスタ!$G$6:$G$405,$AP2438)&lt;&gt;"",INDEX(職員マスタ!$G$6:$G$405,$AP2438)&gt;EOMONTH($AQ2438,0)),AND(INDEX(職員マスタ!$H$6:$H$405,$AP2438)&lt;&gt;"",INDEX(職員マスタ!$H$6:$H$405,$AP2438)&lt;$AQ2438))),"対象月が時短期間外／","")&amp;IF(AND(INDEX(職員マスタ!$K$6:$K$405,$AP2438)&lt;&gt;"",N($W2438)&gt;0,INDEX(職員マスタ!$K$6:$K$405,$AP2438)&lt;&gt;$W2438),"標準報酬月額が申請書と相違（台帳"&amp;TEXT(INDEX(職員マスタ!$K$6:$K$405,$AP2438),"#,##0")&amp;"円／申請書"&amp;TEXT($W2438,"#,##0")&amp;"円）／","")&amp;IF(AND(INDEX(職員マスタ!$F$6:$F$405,$AP2438)&lt;&gt;"",$AQ2438&lt;&gt;"",INDEX(職員マスタ!$F$6:$F$405,$AP2438)&lt;$AQ2438),"対象月に子が2歳到達済／","")&amp;IF(AND($H2438&lt;&gt;"",INDEX(職員マスタ!$B$6:$B$405,$AP2438)&lt;&gt;"",SUBSTITUTE(SUBSTITUTE($H2438," ","")," ","")&lt;&gt;SUBSTITUTE(SUBSTITUTE(INDEX(職員マスタ!$B$6:$B$405,$AP2438)," ","")," ","")),"氏名がマスタと相違／","")&amp;IF(AND($Q2438&lt;&gt;"",INDEX(職員マスタ!$E$6:$E$405,$AP2438)&lt;&gt;"",$Q2438&lt;&gt;INDEX(職員マスタ!$E$6:$E$405,$AP2438)),"子の生年月日がマスタと相違／","")&amp;IF(AND($L2438&lt;&gt;"",INDEX(職員マスタ!$G$6:$G$405,$AP2438)&lt;&gt;"",$L2438&lt;&gt;INDEX(職員マスタ!$G$6:$G$405,$AP2438)),"時短開始日がマスタと相違／","")&amp;IF(AND($M2438&lt;&gt;"",INDEX(職員マスタ!$H$6:$H$405,$AP2438)&lt;&gt;"",$M2438&lt;&gt;INDEX(職員マスタ!$H$6:$H$405,$AP2438)),"時短終了日がマスタと相違／","")))&amp;IF(AND($B2438&lt;&gt;"",$E2438=""),"報酬額が未入力／","")&amp;IF(N($U2438)&gt;0,"申請書に入力エラーが残っています／","")&amp;IF(AND($B2438&lt;&gt;"",$AQ2438&lt;&gt;""),IF(COUNTIFS($B$6:$B$3005,$B2438,$C$6:$C$3005,$C2438,$D$6:$D$3005,$D2438)&gt;1,"同じ月の請求が重複しています／",""),"")&amp;IF(AND(N($E2438)&gt;0,$AB2438&lt;&gt;"",$AB2438&lt;&gt;"×",$AE2438=0,$AD2438=""),"計算額が下限以下のため不支給／",""))</f>
        <v/>
      </c>
      <c r="AN2438" s="12" t="n"/>
      <c r="AO2438" s="14">
        <f>IF($AF2438="保留中",COUNTIF($AF$6:$AF2438,"保留中"),"")</f>
        <v/>
      </c>
      <c r="AP2438" s="14">
        <f>IF($AQ2438="","",IF(SUMPRODUCT(MAX((職員マスタ!$A$6:$A$405=$B2438)*(((職員マスタ!$G$6:$G$405="")+(職員マスタ!$G$6:$G$405&lt;=EOMONTH($AQ2438,0)))&gt;0)*(((職員マスタ!$H$6:$H$405="")+(職員マスタ!$H$6:$H$405&gt;=$AQ2438))&gt;0)*(ROW(職員マスタ!$A$6:$A$405)-5)))&gt;0,SUMPRODUCT(MAX((職員マスタ!$A$6:$A$405=$B2438)*(((職員マスタ!$G$6:$G$405="")+(職員マスタ!$G$6:$G$405&lt;=EOMONTH($AQ2438,0)))&gt;0)*(((職員マスタ!$H$6:$H$405="")+(職員マスタ!$H$6:$H$405&gt;=$AQ2438))&gt;0)*(ROW(職員マスタ!$A$6:$A$405)-5))),IFERROR(MATCH($B2438,職員マスタ!$A$6:$A$405,0),"")))</f>
        <v/>
      </c>
      <c r="AQ2438" s="16">
        <f>IF(OR($B2438="",$C2438="",$D2438=""),"",DATE($C2438+2018,$D2438,1))</f>
        <v/>
      </c>
    </row>
    <row r="2439">
      <c r="A2439" s="11" t="n"/>
      <c r="B2439" s="12" t="n"/>
      <c r="C2439" s="12" t="n"/>
      <c r="D2439" s="12" t="n"/>
      <c r="E2439" s="13" t="n"/>
      <c r="F2439" s="12" t="n"/>
      <c r="G2439" s="13" t="n"/>
      <c r="H2439" s="12" t="n"/>
      <c r="I2439" s="12" t="n"/>
      <c r="J2439" s="12" t="n"/>
      <c r="K2439" s="12" t="n"/>
      <c r="L2439" s="11" t="n"/>
      <c r="M2439" s="11" t="n"/>
      <c r="N2439" s="11" t="n"/>
      <c r="O2439" s="11" t="n"/>
      <c r="P2439" s="12" t="n"/>
      <c r="Q2439" s="11" t="n"/>
      <c r="R2439" s="12" t="n"/>
      <c r="S2439" s="11" t="n"/>
      <c r="T2439" s="12" t="n"/>
      <c r="U2439" s="12" t="n"/>
      <c r="V2439" s="12" t="n"/>
      <c r="W2439" s="13" t="n"/>
      <c r="X2439" s="14">
        <f>IF($AP2439="",IF($B2439="","",$H2439),IF(INDEX(職員マスタ!$B$6:$B$405,$AP2439)="",$H2439,INDEX(職員マスタ!$B$6:$B$405,$AP2439)))</f>
        <v/>
      </c>
      <c r="Y2439" s="14">
        <f>IF($AP2439="",IF($B2439="","",$R2439),IF(INDEX(職員マスタ!$C$6:$C$405,$AP2439)="",$R2439,INDEX(職員マスタ!$C$6:$C$405,$AP2439)))</f>
        <v/>
      </c>
      <c r="Z2439" s="14">
        <f>IF($AQ2439="","","R"&amp;$C2439&amp;"."&amp;$D2439)</f>
        <v/>
      </c>
      <c r="AA2439" s="15">
        <f>IF(IF($AP2439="",FALSE,INDEX(職員マスタ!$K$6:$K$405,$AP2439)&lt;&gt;""),INDEX(職員マスタ!$K$6:$K$405,$AP2439),IF(N($W2439)&gt;0,$W2439,""))</f>
        <v/>
      </c>
      <c r="AB2439" s="14">
        <f>IF(OR($E2439="",$AA2439=""),"",IF($E2439&gt;=$AA2439,"×",IF($E2439&gt;=$AA2439*設定!$C$5,"△","○")))</f>
        <v/>
      </c>
      <c r="AC2439" s="15">
        <f>IF($AB2439="","",IF($AB2439="×",0,IF($AB2439="○",ROUNDDOWN($E2439*設定!$C$4,0),ROUNDDOWN($E2439*ROUND((9*$AA2439-9*$E2439)/(10*$E2439),4),0))))</f>
        <v/>
      </c>
      <c r="AD2439" s="13" t="n"/>
      <c r="AE2439" s="15">
        <f>IF($B2439="","",IF($AD2439&lt;&gt;"",$AD2439,IF($AC2439="","",IF($AC2439&lt;=設定!$C$3,0,$AC2439))))</f>
        <v/>
      </c>
      <c r="AF2439" s="14">
        <f>IF($B2439="","",IF(AND($AG2439&lt;&gt;"",$AI2439="",$AL2439=""),"保留中",IF($AL2439&lt;&gt;"",IF(N($AE2439)&gt;0,"支給済","不支給"),IF($AE2439="","要確認",IF($AE2439=0,"不支給","未処理")))))</f>
        <v/>
      </c>
      <c r="AG2439" s="12" t="n"/>
      <c r="AH2439" s="11" t="n"/>
      <c r="AI2439" s="11" t="n"/>
      <c r="AJ2439" s="11" t="n"/>
      <c r="AK2439" s="14">
        <f>IF(AND($AF2439="保留中",$AH2439&lt;&gt;""),TODAY()-$AH2439,"")</f>
        <v/>
      </c>
      <c r="AL2439" s="12" t="n"/>
      <c r="AM2439" s="14">
        <f>IF($B2439="","",IF($AQ2439="","対象年月が未入力／","")&amp;IF($B2439="","",IF($AP2439="","職員マスタに未登録の職員番号／",IF($AA2439="","標準報酬月額が未登録／","")&amp;IF(AND($AQ2439&lt;&gt;"",OR(AND(INDEX(職員マスタ!$G$6:$G$405,$AP2439)&lt;&gt;"",INDEX(職員マスタ!$G$6:$G$405,$AP2439)&gt;EOMONTH($AQ2439,0)),AND(INDEX(職員マスタ!$H$6:$H$405,$AP2439)&lt;&gt;"",INDEX(職員マスタ!$H$6:$H$405,$AP2439)&lt;$AQ2439))),"対象月が時短期間外／","")&amp;IF(AND(INDEX(職員マスタ!$K$6:$K$405,$AP2439)&lt;&gt;"",N($W2439)&gt;0,INDEX(職員マスタ!$K$6:$K$405,$AP2439)&lt;&gt;$W2439),"標準報酬月額が申請書と相違（台帳"&amp;TEXT(INDEX(職員マスタ!$K$6:$K$405,$AP2439),"#,##0")&amp;"円／申請書"&amp;TEXT($W2439,"#,##0")&amp;"円）／","")&amp;IF(AND(INDEX(職員マスタ!$F$6:$F$405,$AP2439)&lt;&gt;"",$AQ2439&lt;&gt;"",INDEX(職員マスタ!$F$6:$F$405,$AP2439)&lt;$AQ2439),"対象月に子が2歳到達済／","")&amp;IF(AND($H2439&lt;&gt;"",INDEX(職員マスタ!$B$6:$B$405,$AP2439)&lt;&gt;"",SUBSTITUTE(SUBSTITUTE($H2439," ","")," ","")&lt;&gt;SUBSTITUTE(SUBSTITUTE(INDEX(職員マスタ!$B$6:$B$405,$AP2439)," ","")," ","")),"氏名がマスタと相違／","")&amp;IF(AND($Q2439&lt;&gt;"",INDEX(職員マスタ!$E$6:$E$405,$AP2439)&lt;&gt;"",$Q2439&lt;&gt;INDEX(職員マスタ!$E$6:$E$405,$AP2439)),"子の生年月日がマスタと相違／","")&amp;IF(AND($L2439&lt;&gt;"",INDEX(職員マスタ!$G$6:$G$405,$AP2439)&lt;&gt;"",$L2439&lt;&gt;INDEX(職員マスタ!$G$6:$G$405,$AP2439)),"時短開始日がマスタと相違／","")&amp;IF(AND($M2439&lt;&gt;"",INDEX(職員マスタ!$H$6:$H$405,$AP2439)&lt;&gt;"",$M2439&lt;&gt;INDEX(職員マスタ!$H$6:$H$405,$AP2439)),"時短終了日がマスタと相違／","")))&amp;IF(AND($B2439&lt;&gt;"",$E2439=""),"報酬額が未入力／","")&amp;IF(N($U2439)&gt;0,"申請書に入力エラーが残っています／","")&amp;IF(AND($B2439&lt;&gt;"",$AQ2439&lt;&gt;""),IF(COUNTIFS($B$6:$B$3005,$B2439,$C$6:$C$3005,$C2439,$D$6:$D$3005,$D2439)&gt;1,"同じ月の請求が重複しています／",""),"")&amp;IF(AND(N($E2439)&gt;0,$AB2439&lt;&gt;"",$AB2439&lt;&gt;"×",$AE2439=0,$AD2439=""),"計算額が下限以下のため不支給／",""))</f>
        <v/>
      </c>
      <c r="AN2439" s="12" t="n"/>
      <c r="AO2439" s="14">
        <f>IF($AF2439="保留中",COUNTIF($AF$6:$AF2439,"保留中"),"")</f>
        <v/>
      </c>
      <c r="AP2439" s="14">
        <f>IF($AQ2439="","",IF(SUMPRODUCT(MAX((職員マスタ!$A$6:$A$405=$B2439)*(((職員マスタ!$G$6:$G$405="")+(職員マスタ!$G$6:$G$405&lt;=EOMONTH($AQ2439,0)))&gt;0)*(((職員マスタ!$H$6:$H$405="")+(職員マスタ!$H$6:$H$405&gt;=$AQ2439))&gt;0)*(ROW(職員マスタ!$A$6:$A$405)-5)))&gt;0,SUMPRODUCT(MAX((職員マスタ!$A$6:$A$405=$B2439)*(((職員マスタ!$G$6:$G$405="")+(職員マスタ!$G$6:$G$405&lt;=EOMONTH($AQ2439,0)))&gt;0)*(((職員マスタ!$H$6:$H$405="")+(職員マスタ!$H$6:$H$405&gt;=$AQ2439))&gt;0)*(ROW(職員マスタ!$A$6:$A$405)-5))),IFERROR(MATCH($B2439,職員マスタ!$A$6:$A$405,0),"")))</f>
        <v/>
      </c>
      <c r="AQ2439" s="16">
        <f>IF(OR($B2439="",$C2439="",$D2439=""),"",DATE($C2439+2018,$D2439,1))</f>
        <v/>
      </c>
    </row>
    <row r="2440">
      <c r="A2440" s="11" t="n"/>
      <c r="B2440" s="12" t="n"/>
      <c r="C2440" s="12" t="n"/>
      <c r="D2440" s="12" t="n"/>
      <c r="E2440" s="13" t="n"/>
      <c r="F2440" s="12" t="n"/>
      <c r="G2440" s="13" t="n"/>
      <c r="H2440" s="12" t="n"/>
      <c r="I2440" s="12" t="n"/>
      <c r="J2440" s="12" t="n"/>
      <c r="K2440" s="12" t="n"/>
      <c r="L2440" s="11" t="n"/>
      <c r="M2440" s="11" t="n"/>
      <c r="N2440" s="11" t="n"/>
      <c r="O2440" s="11" t="n"/>
      <c r="P2440" s="12" t="n"/>
      <c r="Q2440" s="11" t="n"/>
      <c r="R2440" s="12" t="n"/>
      <c r="S2440" s="11" t="n"/>
      <c r="T2440" s="12" t="n"/>
      <c r="U2440" s="12" t="n"/>
      <c r="V2440" s="12" t="n"/>
      <c r="W2440" s="13" t="n"/>
      <c r="X2440" s="14">
        <f>IF($AP2440="",IF($B2440="","",$H2440),IF(INDEX(職員マスタ!$B$6:$B$405,$AP2440)="",$H2440,INDEX(職員マスタ!$B$6:$B$405,$AP2440)))</f>
        <v/>
      </c>
      <c r="Y2440" s="14">
        <f>IF($AP2440="",IF($B2440="","",$R2440),IF(INDEX(職員マスタ!$C$6:$C$405,$AP2440)="",$R2440,INDEX(職員マスタ!$C$6:$C$405,$AP2440)))</f>
        <v/>
      </c>
      <c r="Z2440" s="14">
        <f>IF($AQ2440="","","R"&amp;$C2440&amp;"."&amp;$D2440)</f>
        <v/>
      </c>
      <c r="AA2440" s="15">
        <f>IF(IF($AP2440="",FALSE,INDEX(職員マスタ!$K$6:$K$405,$AP2440)&lt;&gt;""),INDEX(職員マスタ!$K$6:$K$405,$AP2440),IF(N($W2440)&gt;0,$W2440,""))</f>
        <v/>
      </c>
      <c r="AB2440" s="14">
        <f>IF(OR($E2440="",$AA2440=""),"",IF($E2440&gt;=$AA2440,"×",IF($E2440&gt;=$AA2440*設定!$C$5,"△","○")))</f>
        <v/>
      </c>
      <c r="AC2440" s="15">
        <f>IF($AB2440="","",IF($AB2440="×",0,IF($AB2440="○",ROUNDDOWN($E2440*設定!$C$4,0),ROUNDDOWN($E2440*ROUND((9*$AA2440-9*$E2440)/(10*$E2440),4),0))))</f>
        <v/>
      </c>
      <c r="AD2440" s="13" t="n"/>
      <c r="AE2440" s="15">
        <f>IF($B2440="","",IF($AD2440&lt;&gt;"",$AD2440,IF($AC2440="","",IF($AC2440&lt;=設定!$C$3,0,$AC2440))))</f>
        <v/>
      </c>
      <c r="AF2440" s="14">
        <f>IF($B2440="","",IF(AND($AG2440&lt;&gt;"",$AI2440="",$AL2440=""),"保留中",IF($AL2440&lt;&gt;"",IF(N($AE2440)&gt;0,"支給済","不支給"),IF($AE2440="","要確認",IF($AE2440=0,"不支給","未処理")))))</f>
        <v/>
      </c>
      <c r="AG2440" s="12" t="n"/>
      <c r="AH2440" s="11" t="n"/>
      <c r="AI2440" s="11" t="n"/>
      <c r="AJ2440" s="11" t="n"/>
      <c r="AK2440" s="14">
        <f>IF(AND($AF2440="保留中",$AH2440&lt;&gt;""),TODAY()-$AH2440,"")</f>
        <v/>
      </c>
      <c r="AL2440" s="12" t="n"/>
      <c r="AM2440" s="14">
        <f>IF($B2440="","",IF($AQ2440="","対象年月が未入力／","")&amp;IF($B2440="","",IF($AP2440="","職員マスタに未登録の職員番号／",IF($AA2440="","標準報酬月額が未登録／","")&amp;IF(AND($AQ2440&lt;&gt;"",OR(AND(INDEX(職員マスタ!$G$6:$G$405,$AP2440)&lt;&gt;"",INDEX(職員マスタ!$G$6:$G$405,$AP2440)&gt;EOMONTH($AQ2440,0)),AND(INDEX(職員マスタ!$H$6:$H$405,$AP2440)&lt;&gt;"",INDEX(職員マスタ!$H$6:$H$405,$AP2440)&lt;$AQ2440))),"対象月が時短期間外／","")&amp;IF(AND(INDEX(職員マスタ!$K$6:$K$405,$AP2440)&lt;&gt;"",N($W2440)&gt;0,INDEX(職員マスタ!$K$6:$K$405,$AP2440)&lt;&gt;$W2440),"標準報酬月額が申請書と相違（台帳"&amp;TEXT(INDEX(職員マスタ!$K$6:$K$405,$AP2440),"#,##0")&amp;"円／申請書"&amp;TEXT($W2440,"#,##0")&amp;"円）／","")&amp;IF(AND(INDEX(職員マスタ!$F$6:$F$405,$AP2440)&lt;&gt;"",$AQ2440&lt;&gt;"",INDEX(職員マスタ!$F$6:$F$405,$AP2440)&lt;$AQ2440),"対象月に子が2歳到達済／","")&amp;IF(AND($H2440&lt;&gt;"",INDEX(職員マスタ!$B$6:$B$405,$AP2440)&lt;&gt;"",SUBSTITUTE(SUBSTITUTE($H2440," ","")," ","")&lt;&gt;SUBSTITUTE(SUBSTITUTE(INDEX(職員マスタ!$B$6:$B$405,$AP2440)," ","")," ","")),"氏名がマスタと相違／","")&amp;IF(AND($Q2440&lt;&gt;"",INDEX(職員マスタ!$E$6:$E$405,$AP2440)&lt;&gt;"",$Q2440&lt;&gt;INDEX(職員マスタ!$E$6:$E$405,$AP2440)),"子の生年月日がマスタと相違／","")&amp;IF(AND($L2440&lt;&gt;"",INDEX(職員マスタ!$G$6:$G$405,$AP2440)&lt;&gt;"",$L2440&lt;&gt;INDEX(職員マスタ!$G$6:$G$405,$AP2440)),"時短開始日がマスタと相違／","")&amp;IF(AND($M2440&lt;&gt;"",INDEX(職員マスタ!$H$6:$H$405,$AP2440)&lt;&gt;"",$M2440&lt;&gt;INDEX(職員マスタ!$H$6:$H$405,$AP2440)),"時短終了日がマスタと相違／","")))&amp;IF(AND($B2440&lt;&gt;"",$E2440=""),"報酬額が未入力／","")&amp;IF(N($U2440)&gt;0,"申請書に入力エラーが残っています／","")&amp;IF(AND($B2440&lt;&gt;"",$AQ2440&lt;&gt;""),IF(COUNTIFS($B$6:$B$3005,$B2440,$C$6:$C$3005,$C2440,$D$6:$D$3005,$D2440)&gt;1,"同じ月の請求が重複しています／",""),"")&amp;IF(AND(N($E2440)&gt;0,$AB2440&lt;&gt;"",$AB2440&lt;&gt;"×",$AE2440=0,$AD2440=""),"計算額が下限以下のため不支給／",""))</f>
        <v/>
      </c>
      <c r="AN2440" s="12" t="n"/>
      <c r="AO2440" s="14">
        <f>IF($AF2440="保留中",COUNTIF($AF$6:$AF2440,"保留中"),"")</f>
        <v/>
      </c>
      <c r="AP2440" s="14">
        <f>IF($AQ2440="","",IF(SUMPRODUCT(MAX((職員マスタ!$A$6:$A$405=$B2440)*(((職員マスタ!$G$6:$G$405="")+(職員マスタ!$G$6:$G$405&lt;=EOMONTH($AQ2440,0)))&gt;0)*(((職員マスタ!$H$6:$H$405="")+(職員マスタ!$H$6:$H$405&gt;=$AQ2440))&gt;0)*(ROW(職員マスタ!$A$6:$A$405)-5)))&gt;0,SUMPRODUCT(MAX((職員マスタ!$A$6:$A$405=$B2440)*(((職員マスタ!$G$6:$G$405="")+(職員マスタ!$G$6:$G$405&lt;=EOMONTH($AQ2440,0)))&gt;0)*(((職員マスタ!$H$6:$H$405="")+(職員マスタ!$H$6:$H$405&gt;=$AQ2440))&gt;0)*(ROW(職員マスタ!$A$6:$A$405)-5))),IFERROR(MATCH($B2440,職員マスタ!$A$6:$A$405,0),"")))</f>
        <v/>
      </c>
      <c r="AQ2440" s="16">
        <f>IF(OR($B2440="",$C2440="",$D2440=""),"",DATE($C2440+2018,$D2440,1))</f>
        <v/>
      </c>
    </row>
    <row r="2441">
      <c r="A2441" s="11" t="n"/>
      <c r="B2441" s="12" t="n"/>
      <c r="C2441" s="12" t="n"/>
      <c r="D2441" s="12" t="n"/>
      <c r="E2441" s="13" t="n"/>
      <c r="F2441" s="12" t="n"/>
      <c r="G2441" s="13" t="n"/>
      <c r="H2441" s="12" t="n"/>
      <c r="I2441" s="12" t="n"/>
      <c r="J2441" s="12" t="n"/>
      <c r="K2441" s="12" t="n"/>
      <c r="L2441" s="11" t="n"/>
      <c r="M2441" s="11" t="n"/>
      <c r="N2441" s="11" t="n"/>
      <c r="O2441" s="11" t="n"/>
      <c r="P2441" s="12" t="n"/>
      <c r="Q2441" s="11" t="n"/>
      <c r="R2441" s="12" t="n"/>
      <c r="S2441" s="11" t="n"/>
      <c r="T2441" s="12" t="n"/>
      <c r="U2441" s="12" t="n"/>
      <c r="V2441" s="12" t="n"/>
      <c r="W2441" s="13" t="n"/>
      <c r="X2441" s="14">
        <f>IF($AP2441="",IF($B2441="","",$H2441),IF(INDEX(職員マスタ!$B$6:$B$405,$AP2441)="",$H2441,INDEX(職員マスタ!$B$6:$B$405,$AP2441)))</f>
        <v/>
      </c>
      <c r="Y2441" s="14">
        <f>IF($AP2441="",IF($B2441="","",$R2441),IF(INDEX(職員マスタ!$C$6:$C$405,$AP2441)="",$R2441,INDEX(職員マスタ!$C$6:$C$405,$AP2441)))</f>
        <v/>
      </c>
      <c r="Z2441" s="14">
        <f>IF($AQ2441="","","R"&amp;$C2441&amp;"."&amp;$D2441)</f>
        <v/>
      </c>
      <c r="AA2441" s="15">
        <f>IF(IF($AP2441="",FALSE,INDEX(職員マスタ!$K$6:$K$405,$AP2441)&lt;&gt;""),INDEX(職員マスタ!$K$6:$K$405,$AP2441),IF(N($W2441)&gt;0,$W2441,""))</f>
        <v/>
      </c>
      <c r="AB2441" s="14">
        <f>IF(OR($E2441="",$AA2441=""),"",IF($E2441&gt;=$AA2441,"×",IF($E2441&gt;=$AA2441*設定!$C$5,"△","○")))</f>
        <v/>
      </c>
      <c r="AC2441" s="15">
        <f>IF($AB2441="","",IF($AB2441="×",0,IF($AB2441="○",ROUNDDOWN($E2441*設定!$C$4,0),ROUNDDOWN($E2441*ROUND((9*$AA2441-9*$E2441)/(10*$E2441),4),0))))</f>
        <v/>
      </c>
      <c r="AD2441" s="13" t="n"/>
      <c r="AE2441" s="15">
        <f>IF($B2441="","",IF($AD2441&lt;&gt;"",$AD2441,IF($AC2441="","",IF($AC2441&lt;=設定!$C$3,0,$AC2441))))</f>
        <v/>
      </c>
      <c r="AF2441" s="14">
        <f>IF($B2441="","",IF(AND($AG2441&lt;&gt;"",$AI2441="",$AL2441=""),"保留中",IF($AL2441&lt;&gt;"",IF(N($AE2441)&gt;0,"支給済","不支給"),IF($AE2441="","要確認",IF($AE2441=0,"不支給","未処理")))))</f>
        <v/>
      </c>
      <c r="AG2441" s="12" t="n"/>
      <c r="AH2441" s="11" t="n"/>
      <c r="AI2441" s="11" t="n"/>
      <c r="AJ2441" s="11" t="n"/>
      <c r="AK2441" s="14">
        <f>IF(AND($AF2441="保留中",$AH2441&lt;&gt;""),TODAY()-$AH2441,"")</f>
        <v/>
      </c>
      <c r="AL2441" s="12" t="n"/>
      <c r="AM2441" s="14">
        <f>IF($B2441="","",IF($AQ2441="","対象年月が未入力／","")&amp;IF($B2441="","",IF($AP2441="","職員マスタに未登録の職員番号／",IF($AA2441="","標準報酬月額が未登録／","")&amp;IF(AND($AQ2441&lt;&gt;"",OR(AND(INDEX(職員マスタ!$G$6:$G$405,$AP2441)&lt;&gt;"",INDEX(職員マスタ!$G$6:$G$405,$AP2441)&gt;EOMONTH($AQ2441,0)),AND(INDEX(職員マスタ!$H$6:$H$405,$AP2441)&lt;&gt;"",INDEX(職員マスタ!$H$6:$H$405,$AP2441)&lt;$AQ2441))),"対象月が時短期間外／","")&amp;IF(AND(INDEX(職員マスタ!$K$6:$K$405,$AP2441)&lt;&gt;"",N($W2441)&gt;0,INDEX(職員マスタ!$K$6:$K$405,$AP2441)&lt;&gt;$W2441),"標準報酬月額が申請書と相違（台帳"&amp;TEXT(INDEX(職員マスタ!$K$6:$K$405,$AP2441),"#,##0")&amp;"円／申請書"&amp;TEXT($W2441,"#,##0")&amp;"円）／","")&amp;IF(AND(INDEX(職員マスタ!$F$6:$F$405,$AP2441)&lt;&gt;"",$AQ2441&lt;&gt;"",INDEX(職員マスタ!$F$6:$F$405,$AP2441)&lt;$AQ2441),"対象月に子が2歳到達済／","")&amp;IF(AND($H2441&lt;&gt;"",INDEX(職員マスタ!$B$6:$B$405,$AP2441)&lt;&gt;"",SUBSTITUTE(SUBSTITUTE($H2441," ","")," ","")&lt;&gt;SUBSTITUTE(SUBSTITUTE(INDEX(職員マスタ!$B$6:$B$405,$AP2441)," ","")," ","")),"氏名がマスタと相違／","")&amp;IF(AND($Q2441&lt;&gt;"",INDEX(職員マスタ!$E$6:$E$405,$AP2441)&lt;&gt;"",$Q2441&lt;&gt;INDEX(職員マスタ!$E$6:$E$405,$AP2441)),"子の生年月日がマスタと相違／","")&amp;IF(AND($L2441&lt;&gt;"",INDEX(職員マスタ!$G$6:$G$405,$AP2441)&lt;&gt;"",$L2441&lt;&gt;INDEX(職員マスタ!$G$6:$G$405,$AP2441)),"時短開始日がマスタと相違／","")&amp;IF(AND($M2441&lt;&gt;"",INDEX(職員マスタ!$H$6:$H$405,$AP2441)&lt;&gt;"",$M2441&lt;&gt;INDEX(職員マスタ!$H$6:$H$405,$AP2441)),"時短終了日がマスタと相違／","")))&amp;IF(AND($B2441&lt;&gt;"",$E2441=""),"報酬額が未入力／","")&amp;IF(N($U2441)&gt;0,"申請書に入力エラーが残っています／","")&amp;IF(AND($B2441&lt;&gt;"",$AQ2441&lt;&gt;""),IF(COUNTIFS($B$6:$B$3005,$B2441,$C$6:$C$3005,$C2441,$D$6:$D$3005,$D2441)&gt;1,"同じ月の請求が重複しています／",""),"")&amp;IF(AND(N($E2441)&gt;0,$AB2441&lt;&gt;"",$AB2441&lt;&gt;"×",$AE2441=0,$AD2441=""),"計算額が下限以下のため不支給／",""))</f>
        <v/>
      </c>
      <c r="AN2441" s="12" t="n"/>
      <c r="AO2441" s="14">
        <f>IF($AF2441="保留中",COUNTIF($AF$6:$AF2441,"保留中"),"")</f>
        <v/>
      </c>
      <c r="AP2441" s="14">
        <f>IF($AQ2441="","",IF(SUMPRODUCT(MAX((職員マスタ!$A$6:$A$405=$B2441)*(((職員マスタ!$G$6:$G$405="")+(職員マスタ!$G$6:$G$405&lt;=EOMONTH($AQ2441,0)))&gt;0)*(((職員マスタ!$H$6:$H$405="")+(職員マスタ!$H$6:$H$405&gt;=$AQ2441))&gt;0)*(ROW(職員マスタ!$A$6:$A$405)-5)))&gt;0,SUMPRODUCT(MAX((職員マスタ!$A$6:$A$405=$B2441)*(((職員マスタ!$G$6:$G$405="")+(職員マスタ!$G$6:$G$405&lt;=EOMONTH($AQ2441,0)))&gt;0)*(((職員マスタ!$H$6:$H$405="")+(職員マスタ!$H$6:$H$405&gt;=$AQ2441))&gt;0)*(ROW(職員マスタ!$A$6:$A$405)-5))),IFERROR(MATCH($B2441,職員マスタ!$A$6:$A$405,0),"")))</f>
        <v/>
      </c>
      <c r="AQ2441" s="16">
        <f>IF(OR($B2441="",$C2441="",$D2441=""),"",DATE($C2441+2018,$D2441,1))</f>
        <v/>
      </c>
    </row>
    <row r="2442">
      <c r="A2442" s="11" t="n"/>
      <c r="B2442" s="12" t="n"/>
      <c r="C2442" s="12" t="n"/>
      <c r="D2442" s="12" t="n"/>
      <c r="E2442" s="13" t="n"/>
      <c r="F2442" s="12" t="n"/>
      <c r="G2442" s="13" t="n"/>
      <c r="H2442" s="12" t="n"/>
      <c r="I2442" s="12" t="n"/>
      <c r="J2442" s="12" t="n"/>
      <c r="K2442" s="12" t="n"/>
      <c r="L2442" s="11" t="n"/>
      <c r="M2442" s="11" t="n"/>
      <c r="N2442" s="11" t="n"/>
      <c r="O2442" s="11" t="n"/>
      <c r="P2442" s="12" t="n"/>
      <c r="Q2442" s="11" t="n"/>
      <c r="R2442" s="12" t="n"/>
      <c r="S2442" s="11" t="n"/>
      <c r="T2442" s="12" t="n"/>
      <c r="U2442" s="12" t="n"/>
      <c r="V2442" s="12" t="n"/>
      <c r="W2442" s="13" t="n"/>
      <c r="X2442" s="14">
        <f>IF($AP2442="",IF($B2442="","",$H2442),IF(INDEX(職員マスタ!$B$6:$B$405,$AP2442)="",$H2442,INDEX(職員マスタ!$B$6:$B$405,$AP2442)))</f>
        <v/>
      </c>
      <c r="Y2442" s="14">
        <f>IF($AP2442="",IF($B2442="","",$R2442),IF(INDEX(職員マスタ!$C$6:$C$405,$AP2442)="",$R2442,INDEX(職員マスタ!$C$6:$C$405,$AP2442)))</f>
        <v/>
      </c>
      <c r="Z2442" s="14">
        <f>IF($AQ2442="","","R"&amp;$C2442&amp;"."&amp;$D2442)</f>
        <v/>
      </c>
      <c r="AA2442" s="15">
        <f>IF(IF($AP2442="",FALSE,INDEX(職員マスタ!$K$6:$K$405,$AP2442)&lt;&gt;""),INDEX(職員マスタ!$K$6:$K$405,$AP2442),IF(N($W2442)&gt;0,$W2442,""))</f>
        <v/>
      </c>
      <c r="AB2442" s="14">
        <f>IF(OR($E2442="",$AA2442=""),"",IF($E2442&gt;=$AA2442,"×",IF($E2442&gt;=$AA2442*設定!$C$5,"△","○")))</f>
        <v/>
      </c>
      <c r="AC2442" s="15">
        <f>IF($AB2442="","",IF($AB2442="×",0,IF($AB2442="○",ROUNDDOWN($E2442*設定!$C$4,0),ROUNDDOWN($E2442*ROUND((9*$AA2442-9*$E2442)/(10*$E2442),4),0))))</f>
        <v/>
      </c>
      <c r="AD2442" s="13" t="n"/>
      <c r="AE2442" s="15">
        <f>IF($B2442="","",IF($AD2442&lt;&gt;"",$AD2442,IF($AC2442="","",IF($AC2442&lt;=設定!$C$3,0,$AC2442))))</f>
        <v/>
      </c>
      <c r="AF2442" s="14">
        <f>IF($B2442="","",IF(AND($AG2442&lt;&gt;"",$AI2442="",$AL2442=""),"保留中",IF($AL2442&lt;&gt;"",IF(N($AE2442)&gt;0,"支給済","不支給"),IF($AE2442="","要確認",IF($AE2442=0,"不支給","未処理")))))</f>
        <v/>
      </c>
      <c r="AG2442" s="12" t="n"/>
      <c r="AH2442" s="11" t="n"/>
      <c r="AI2442" s="11" t="n"/>
      <c r="AJ2442" s="11" t="n"/>
      <c r="AK2442" s="14">
        <f>IF(AND($AF2442="保留中",$AH2442&lt;&gt;""),TODAY()-$AH2442,"")</f>
        <v/>
      </c>
      <c r="AL2442" s="12" t="n"/>
      <c r="AM2442" s="14">
        <f>IF($B2442="","",IF($AQ2442="","対象年月が未入力／","")&amp;IF($B2442="","",IF($AP2442="","職員マスタに未登録の職員番号／",IF($AA2442="","標準報酬月額が未登録／","")&amp;IF(AND($AQ2442&lt;&gt;"",OR(AND(INDEX(職員マスタ!$G$6:$G$405,$AP2442)&lt;&gt;"",INDEX(職員マスタ!$G$6:$G$405,$AP2442)&gt;EOMONTH($AQ2442,0)),AND(INDEX(職員マスタ!$H$6:$H$405,$AP2442)&lt;&gt;"",INDEX(職員マスタ!$H$6:$H$405,$AP2442)&lt;$AQ2442))),"対象月が時短期間外／","")&amp;IF(AND(INDEX(職員マスタ!$K$6:$K$405,$AP2442)&lt;&gt;"",N($W2442)&gt;0,INDEX(職員マスタ!$K$6:$K$405,$AP2442)&lt;&gt;$W2442),"標準報酬月額が申請書と相違（台帳"&amp;TEXT(INDEX(職員マスタ!$K$6:$K$405,$AP2442),"#,##0")&amp;"円／申請書"&amp;TEXT($W2442,"#,##0")&amp;"円）／","")&amp;IF(AND(INDEX(職員マスタ!$F$6:$F$405,$AP2442)&lt;&gt;"",$AQ2442&lt;&gt;"",INDEX(職員マスタ!$F$6:$F$405,$AP2442)&lt;$AQ2442),"対象月に子が2歳到達済／","")&amp;IF(AND($H2442&lt;&gt;"",INDEX(職員マスタ!$B$6:$B$405,$AP2442)&lt;&gt;"",SUBSTITUTE(SUBSTITUTE($H2442," ","")," ","")&lt;&gt;SUBSTITUTE(SUBSTITUTE(INDEX(職員マスタ!$B$6:$B$405,$AP2442)," ","")," ","")),"氏名がマスタと相違／","")&amp;IF(AND($Q2442&lt;&gt;"",INDEX(職員マスタ!$E$6:$E$405,$AP2442)&lt;&gt;"",$Q2442&lt;&gt;INDEX(職員マスタ!$E$6:$E$405,$AP2442)),"子の生年月日がマスタと相違／","")&amp;IF(AND($L2442&lt;&gt;"",INDEX(職員マスタ!$G$6:$G$405,$AP2442)&lt;&gt;"",$L2442&lt;&gt;INDEX(職員マスタ!$G$6:$G$405,$AP2442)),"時短開始日がマスタと相違／","")&amp;IF(AND($M2442&lt;&gt;"",INDEX(職員マスタ!$H$6:$H$405,$AP2442)&lt;&gt;"",$M2442&lt;&gt;INDEX(職員マスタ!$H$6:$H$405,$AP2442)),"時短終了日がマスタと相違／","")))&amp;IF(AND($B2442&lt;&gt;"",$E2442=""),"報酬額が未入力／","")&amp;IF(N($U2442)&gt;0,"申請書に入力エラーが残っています／","")&amp;IF(AND($B2442&lt;&gt;"",$AQ2442&lt;&gt;""),IF(COUNTIFS($B$6:$B$3005,$B2442,$C$6:$C$3005,$C2442,$D$6:$D$3005,$D2442)&gt;1,"同じ月の請求が重複しています／",""),"")&amp;IF(AND(N($E2442)&gt;0,$AB2442&lt;&gt;"",$AB2442&lt;&gt;"×",$AE2442=0,$AD2442=""),"計算額が下限以下のため不支給／",""))</f>
        <v/>
      </c>
      <c r="AN2442" s="12" t="n"/>
      <c r="AO2442" s="14">
        <f>IF($AF2442="保留中",COUNTIF($AF$6:$AF2442,"保留中"),"")</f>
        <v/>
      </c>
      <c r="AP2442" s="14">
        <f>IF($AQ2442="","",IF(SUMPRODUCT(MAX((職員マスタ!$A$6:$A$405=$B2442)*(((職員マスタ!$G$6:$G$405="")+(職員マスタ!$G$6:$G$405&lt;=EOMONTH($AQ2442,0)))&gt;0)*(((職員マスタ!$H$6:$H$405="")+(職員マスタ!$H$6:$H$405&gt;=$AQ2442))&gt;0)*(ROW(職員マスタ!$A$6:$A$405)-5)))&gt;0,SUMPRODUCT(MAX((職員マスタ!$A$6:$A$405=$B2442)*(((職員マスタ!$G$6:$G$405="")+(職員マスタ!$G$6:$G$405&lt;=EOMONTH($AQ2442,0)))&gt;0)*(((職員マスタ!$H$6:$H$405="")+(職員マスタ!$H$6:$H$405&gt;=$AQ2442))&gt;0)*(ROW(職員マスタ!$A$6:$A$405)-5))),IFERROR(MATCH($B2442,職員マスタ!$A$6:$A$405,0),"")))</f>
        <v/>
      </c>
      <c r="AQ2442" s="16">
        <f>IF(OR($B2442="",$C2442="",$D2442=""),"",DATE($C2442+2018,$D2442,1))</f>
        <v/>
      </c>
    </row>
    <row r="2443">
      <c r="A2443" s="11" t="n"/>
      <c r="B2443" s="12" t="n"/>
      <c r="C2443" s="12" t="n"/>
      <c r="D2443" s="12" t="n"/>
      <c r="E2443" s="13" t="n"/>
      <c r="F2443" s="12" t="n"/>
      <c r="G2443" s="13" t="n"/>
      <c r="H2443" s="12" t="n"/>
      <c r="I2443" s="12" t="n"/>
      <c r="J2443" s="12" t="n"/>
      <c r="K2443" s="12" t="n"/>
      <c r="L2443" s="11" t="n"/>
      <c r="M2443" s="11" t="n"/>
      <c r="N2443" s="11" t="n"/>
      <c r="O2443" s="11" t="n"/>
      <c r="P2443" s="12" t="n"/>
      <c r="Q2443" s="11" t="n"/>
      <c r="R2443" s="12" t="n"/>
      <c r="S2443" s="11" t="n"/>
      <c r="T2443" s="12" t="n"/>
      <c r="U2443" s="12" t="n"/>
      <c r="V2443" s="12" t="n"/>
      <c r="W2443" s="13" t="n"/>
      <c r="X2443" s="14">
        <f>IF($AP2443="",IF($B2443="","",$H2443),IF(INDEX(職員マスタ!$B$6:$B$405,$AP2443)="",$H2443,INDEX(職員マスタ!$B$6:$B$405,$AP2443)))</f>
        <v/>
      </c>
      <c r="Y2443" s="14">
        <f>IF($AP2443="",IF($B2443="","",$R2443),IF(INDEX(職員マスタ!$C$6:$C$405,$AP2443)="",$R2443,INDEX(職員マスタ!$C$6:$C$405,$AP2443)))</f>
        <v/>
      </c>
      <c r="Z2443" s="14">
        <f>IF($AQ2443="","","R"&amp;$C2443&amp;"."&amp;$D2443)</f>
        <v/>
      </c>
      <c r="AA2443" s="15">
        <f>IF(IF($AP2443="",FALSE,INDEX(職員マスタ!$K$6:$K$405,$AP2443)&lt;&gt;""),INDEX(職員マスタ!$K$6:$K$405,$AP2443),IF(N($W2443)&gt;0,$W2443,""))</f>
        <v/>
      </c>
      <c r="AB2443" s="14">
        <f>IF(OR($E2443="",$AA2443=""),"",IF($E2443&gt;=$AA2443,"×",IF($E2443&gt;=$AA2443*設定!$C$5,"△","○")))</f>
        <v/>
      </c>
      <c r="AC2443" s="15">
        <f>IF($AB2443="","",IF($AB2443="×",0,IF($AB2443="○",ROUNDDOWN($E2443*設定!$C$4,0),ROUNDDOWN($E2443*ROUND((9*$AA2443-9*$E2443)/(10*$E2443),4),0))))</f>
        <v/>
      </c>
      <c r="AD2443" s="13" t="n"/>
      <c r="AE2443" s="15">
        <f>IF($B2443="","",IF($AD2443&lt;&gt;"",$AD2443,IF($AC2443="","",IF($AC2443&lt;=設定!$C$3,0,$AC2443))))</f>
        <v/>
      </c>
      <c r="AF2443" s="14">
        <f>IF($B2443="","",IF(AND($AG2443&lt;&gt;"",$AI2443="",$AL2443=""),"保留中",IF($AL2443&lt;&gt;"",IF(N($AE2443)&gt;0,"支給済","不支給"),IF($AE2443="","要確認",IF($AE2443=0,"不支給","未処理")))))</f>
        <v/>
      </c>
      <c r="AG2443" s="12" t="n"/>
      <c r="AH2443" s="11" t="n"/>
      <c r="AI2443" s="11" t="n"/>
      <c r="AJ2443" s="11" t="n"/>
      <c r="AK2443" s="14">
        <f>IF(AND($AF2443="保留中",$AH2443&lt;&gt;""),TODAY()-$AH2443,"")</f>
        <v/>
      </c>
      <c r="AL2443" s="12" t="n"/>
      <c r="AM2443" s="14">
        <f>IF($B2443="","",IF($AQ2443="","対象年月が未入力／","")&amp;IF($B2443="","",IF($AP2443="","職員マスタに未登録の職員番号／",IF($AA2443="","標準報酬月額が未登録／","")&amp;IF(AND($AQ2443&lt;&gt;"",OR(AND(INDEX(職員マスタ!$G$6:$G$405,$AP2443)&lt;&gt;"",INDEX(職員マスタ!$G$6:$G$405,$AP2443)&gt;EOMONTH($AQ2443,0)),AND(INDEX(職員マスタ!$H$6:$H$405,$AP2443)&lt;&gt;"",INDEX(職員マスタ!$H$6:$H$405,$AP2443)&lt;$AQ2443))),"対象月が時短期間外／","")&amp;IF(AND(INDEX(職員マスタ!$K$6:$K$405,$AP2443)&lt;&gt;"",N($W2443)&gt;0,INDEX(職員マスタ!$K$6:$K$405,$AP2443)&lt;&gt;$W2443),"標準報酬月額が申請書と相違（台帳"&amp;TEXT(INDEX(職員マスタ!$K$6:$K$405,$AP2443),"#,##0")&amp;"円／申請書"&amp;TEXT($W2443,"#,##0")&amp;"円）／","")&amp;IF(AND(INDEX(職員マスタ!$F$6:$F$405,$AP2443)&lt;&gt;"",$AQ2443&lt;&gt;"",INDEX(職員マスタ!$F$6:$F$405,$AP2443)&lt;$AQ2443),"対象月に子が2歳到達済／","")&amp;IF(AND($H2443&lt;&gt;"",INDEX(職員マスタ!$B$6:$B$405,$AP2443)&lt;&gt;"",SUBSTITUTE(SUBSTITUTE($H2443," ","")," ","")&lt;&gt;SUBSTITUTE(SUBSTITUTE(INDEX(職員マスタ!$B$6:$B$405,$AP2443)," ","")," ","")),"氏名がマスタと相違／","")&amp;IF(AND($Q2443&lt;&gt;"",INDEX(職員マスタ!$E$6:$E$405,$AP2443)&lt;&gt;"",$Q2443&lt;&gt;INDEX(職員マスタ!$E$6:$E$405,$AP2443)),"子の生年月日がマスタと相違／","")&amp;IF(AND($L2443&lt;&gt;"",INDEX(職員マスタ!$G$6:$G$405,$AP2443)&lt;&gt;"",$L2443&lt;&gt;INDEX(職員マスタ!$G$6:$G$405,$AP2443)),"時短開始日がマスタと相違／","")&amp;IF(AND($M2443&lt;&gt;"",INDEX(職員マスタ!$H$6:$H$405,$AP2443)&lt;&gt;"",$M2443&lt;&gt;INDEX(職員マスタ!$H$6:$H$405,$AP2443)),"時短終了日がマスタと相違／","")))&amp;IF(AND($B2443&lt;&gt;"",$E2443=""),"報酬額が未入力／","")&amp;IF(N($U2443)&gt;0,"申請書に入力エラーが残っています／","")&amp;IF(AND($B2443&lt;&gt;"",$AQ2443&lt;&gt;""),IF(COUNTIFS($B$6:$B$3005,$B2443,$C$6:$C$3005,$C2443,$D$6:$D$3005,$D2443)&gt;1,"同じ月の請求が重複しています／",""),"")&amp;IF(AND(N($E2443)&gt;0,$AB2443&lt;&gt;"",$AB2443&lt;&gt;"×",$AE2443=0,$AD2443=""),"計算額が下限以下のため不支給／",""))</f>
        <v/>
      </c>
      <c r="AN2443" s="12" t="n"/>
      <c r="AO2443" s="14">
        <f>IF($AF2443="保留中",COUNTIF($AF$6:$AF2443,"保留中"),"")</f>
        <v/>
      </c>
      <c r="AP2443" s="14">
        <f>IF($AQ2443="","",IF(SUMPRODUCT(MAX((職員マスタ!$A$6:$A$405=$B2443)*(((職員マスタ!$G$6:$G$405="")+(職員マスタ!$G$6:$G$405&lt;=EOMONTH($AQ2443,0)))&gt;0)*(((職員マスタ!$H$6:$H$405="")+(職員マスタ!$H$6:$H$405&gt;=$AQ2443))&gt;0)*(ROW(職員マスタ!$A$6:$A$405)-5)))&gt;0,SUMPRODUCT(MAX((職員マスタ!$A$6:$A$405=$B2443)*(((職員マスタ!$G$6:$G$405="")+(職員マスタ!$G$6:$G$405&lt;=EOMONTH($AQ2443,0)))&gt;0)*(((職員マスタ!$H$6:$H$405="")+(職員マスタ!$H$6:$H$405&gt;=$AQ2443))&gt;0)*(ROW(職員マスタ!$A$6:$A$405)-5))),IFERROR(MATCH($B2443,職員マスタ!$A$6:$A$405,0),"")))</f>
        <v/>
      </c>
      <c r="AQ2443" s="16">
        <f>IF(OR($B2443="",$C2443="",$D2443=""),"",DATE($C2443+2018,$D2443,1))</f>
        <v/>
      </c>
    </row>
    <row r="2444">
      <c r="A2444" s="11" t="n"/>
      <c r="B2444" s="12" t="n"/>
      <c r="C2444" s="12" t="n"/>
      <c r="D2444" s="12" t="n"/>
      <c r="E2444" s="13" t="n"/>
      <c r="F2444" s="12" t="n"/>
      <c r="G2444" s="13" t="n"/>
      <c r="H2444" s="12" t="n"/>
      <c r="I2444" s="12" t="n"/>
      <c r="J2444" s="12" t="n"/>
      <c r="K2444" s="12" t="n"/>
      <c r="L2444" s="11" t="n"/>
      <c r="M2444" s="11" t="n"/>
      <c r="N2444" s="11" t="n"/>
      <c r="O2444" s="11" t="n"/>
      <c r="P2444" s="12" t="n"/>
      <c r="Q2444" s="11" t="n"/>
      <c r="R2444" s="12" t="n"/>
      <c r="S2444" s="11" t="n"/>
      <c r="T2444" s="12" t="n"/>
      <c r="U2444" s="12" t="n"/>
      <c r="V2444" s="12" t="n"/>
      <c r="W2444" s="13" t="n"/>
      <c r="X2444" s="14">
        <f>IF($AP2444="",IF($B2444="","",$H2444),IF(INDEX(職員マスタ!$B$6:$B$405,$AP2444)="",$H2444,INDEX(職員マスタ!$B$6:$B$405,$AP2444)))</f>
        <v/>
      </c>
      <c r="Y2444" s="14">
        <f>IF($AP2444="",IF($B2444="","",$R2444),IF(INDEX(職員マスタ!$C$6:$C$405,$AP2444)="",$R2444,INDEX(職員マスタ!$C$6:$C$405,$AP2444)))</f>
        <v/>
      </c>
      <c r="Z2444" s="14">
        <f>IF($AQ2444="","","R"&amp;$C2444&amp;"."&amp;$D2444)</f>
        <v/>
      </c>
      <c r="AA2444" s="15">
        <f>IF(IF($AP2444="",FALSE,INDEX(職員マスタ!$K$6:$K$405,$AP2444)&lt;&gt;""),INDEX(職員マスタ!$K$6:$K$405,$AP2444),IF(N($W2444)&gt;0,$W2444,""))</f>
        <v/>
      </c>
      <c r="AB2444" s="14">
        <f>IF(OR($E2444="",$AA2444=""),"",IF($E2444&gt;=$AA2444,"×",IF($E2444&gt;=$AA2444*設定!$C$5,"△","○")))</f>
        <v/>
      </c>
      <c r="AC2444" s="15">
        <f>IF($AB2444="","",IF($AB2444="×",0,IF($AB2444="○",ROUNDDOWN($E2444*設定!$C$4,0),ROUNDDOWN($E2444*ROUND((9*$AA2444-9*$E2444)/(10*$E2444),4),0))))</f>
        <v/>
      </c>
      <c r="AD2444" s="13" t="n"/>
      <c r="AE2444" s="15">
        <f>IF($B2444="","",IF($AD2444&lt;&gt;"",$AD2444,IF($AC2444="","",IF($AC2444&lt;=設定!$C$3,0,$AC2444))))</f>
        <v/>
      </c>
      <c r="AF2444" s="14">
        <f>IF($B2444="","",IF(AND($AG2444&lt;&gt;"",$AI2444="",$AL2444=""),"保留中",IF($AL2444&lt;&gt;"",IF(N($AE2444)&gt;0,"支給済","不支給"),IF($AE2444="","要確認",IF($AE2444=0,"不支給","未処理")))))</f>
        <v/>
      </c>
      <c r="AG2444" s="12" t="n"/>
      <c r="AH2444" s="11" t="n"/>
      <c r="AI2444" s="11" t="n"/>
      <c r="AJ2444" s="11" t="n"/>
      <c r="AK2444" s="14">
        <f>IF(AND($AF2444="保留中",$AH2444&lt;&gt;""),TODAY()-$AH2444,"")</f>
        <v/>
      </c>
      <c r="AL2444" s="12" t="n"/>
      <c r="AM2444" s="14">
        <f>IF($B2444="","",IF($AQ2444="","対象年月が未入力／","")&amp;IF($B2444="","",IF($AP2444="","職員マスタに未登録の職員番号／",IF($AA2444="","標準報酬月額が未登録／","")&amp;IF(AND($AQ2444&lt;&gt;"",OR(AND(INDEX(職員マスタ!$G$6:$G$405,$AP2444)&lt;&gt;"",INDEX(職員マスタ!$G$6:$G$405,$AP2444)&gt;EOMONTH($AQ2444,0)),AND(INDEX(職員マスタ!$H$6:$H$405,$AP2444)&lt;&gt;"",INDEX(職員マスタ!$H$6:$H$405,$AP2444)&lt;$AQ2444))),"対象月が時短期間外／","")&amp;IF(AND(INDEX(職員マスタ!$K$6:$K$405,$AP2444)&lt;&gt;"",N($W2444)&gt;0,INDEX(職員マスタ!$K$6:$K$405,$AP2444)&lt;&gt;$W2444),"標準報酬月額が申請書と相違（台帳"&amp;TEXT(INDEX(職員マスタ!$K$6:$K$405,$AP2444),"#,##0")&amp;"円／申請書"&amp;TEXT($W2444,"#,##0")&amp;"円）／","")&amp;IF(AND(INDEX(職員マスタ!$F$6:$F$405,$AP2444)&lt;&gt;"",$AQ2444&lt;&gt;"",INDEX(職員マスタ!$F$6:$F$405,$AP2444)&lt;$AQ2444),"対象月に子が2歳到達済／","")&amp;IF(AND($H2444&lt;&gt;"",INDEX(職員マスタ!$B$6:$B$405,$AP2444)&lt;&gt;"",SUBSTITUTE(SUBSTITUTE($H2444," ","")," ","")&lt;&gt;SUBSTITUTE(SUBSTITUTE(INDEX(職員マスタ!$B$6:$B$405,$AP2444)," ","")," ","")),"氏名がマスタと相違／","")&amp;IF(AND($Q2444&lt;&gt;"",INDEX(職員マスタ!$E$6:$E$405,$AP2444)&lt;&gt;"",$Q2444&lt;&gt;INDEX(職員マスタ!$E$6:$E$405,$AP2444)),"子の生年月日がマスタと相違／","")&amp;IF(AND($L2444&lt;&gt;"",INDEX(職員マスタ!$G$6:$G$405,$AP2444)&lt;&gt;"",$L2444&lt;&gt;INDEX(職員マスタ!$G$6:$G$405,$AP2444)),"時短開始日がマスタと相違／","")&amp;IF(AND($M2444&lt;&gt;"",INDEX(職員マスタ!$H$6:$H$405,$AP2444)&lt;&gt;"",$M2444&lt;&gt;INDEX(職員マスタ!$H$6:$H$405,$AP2444)),"時短終了日がマスタと相違／","")))&amp;IF(AND($B2444&lt;&gt;"",$E2444=""),"報酬額が未入力／","")&amp;IF(N($U2444)&gt;0,"申請書に入力エラーが残っています／","")&amp;IF(AND($B2444&lt;&gt;"",$AQ2444&lt;&gt;""),IF(COUNTIFS($B$6:$B$3005,$B2444,$C$6:$C$3005,$C2444,$D$6:$D$3005,$D2444)&gt;1,"同じ月の請求が重複しています／",""),"")&amp;IF(AND(N($E2444)&gt;0,$AB2444&lt;&gt;"",$AB2444&lt;&gt;"×",$AE2444=0,$AD2444=""),"計算額が下限以下のため不支給／",""))</f>
        <v/>
      </c>
      <c r="AN2444" s="12" t="n"/>
      <c r="AO2444" s="14">
        <f>IF($AF2444="保留中",COUNTIF($AF$6:$AF2444,"保留中"),"")</f>
        <v/>
      </c>
      <c r="AP2444" s="14">
        <f>IF($AQ2444="","",IF(SUMPRODUCT(MAX((職員マスタ!$A$6:$A$405=$B2444)*(((職員マスタ!$G$6:$G$405="")+(職員マスタ!$G$6:$G$405&lt;=EOMONTH($AQ2444,0)))&gt;0)*(((職員マスタ!$H$6:$H$405="")+(職員マスタ!$H$6:$H$405&gt;=$AQ2444))&gt;0)*(ROW(職員マスタ!$A$6:$A$405)-5)))&gt;0,SUMPRODUCT(MAX((職員マスタ!$A$6:$A$405=$B2444)*(((職員マスタ!$G$6:$G$405="")+(職員マスタ!$G$6:$G$405&lt;=EOMONTH($AQ2444,0)))&gt;0)*(((職員マスタ!$H$6:$H$405="")+(職員マスタ!$H$6:$H$405&gt;=$AQ2444))&gt;0)*(ROW(職員マスタ!$A$6:$A$405)-5))),IFERROR(MATCH($B2444,職員マスタ!$A$6:$A$405,0),"")))</f>
        <v/>
      </c>
      <c r="AQ2444" s="16">
        <f>IF(OR($B2444="",$C2444="",$D2444=""),"",DATE($C2444+2018,$D2444,1))</f>
        <v/>
      </c>
    </row>
    <row r="2445">
      <c r="A2445" s="11" t="n"/>
      <c r="B2445" s="12" t="n"/>
      <c r="C2445" s="12" t="n"/>
      <c r="D2445" s="12" t="n"/>
      <c r="E2445" s="13" t="n"/>
      <c r="F2445" s="12" t="n"/>
      <c r="G2445" s="13" t="n"/>
      <c r="H2445" s="12" t="n"/>
      <c r="I2445" s="12" t="n"/>
      <c r="J2445" s="12" t="n"/>
      <c r="K2445" s="12" t="n"/>
      <c r="L2445" s="11" t="n"/>
      <c r="M2445" s="11" t="n"/>
      <c r="N2445" s="11" t="n"/>
      <c r="O2445" s="11" t="n"/>
      <c r="P2445" s="12" t="n"/>
      <c r="Q2445" s="11" t="n"/>
      <c r="R2445" s="12" t="n"/>
      <c r="S2445" s="11" t="n"/>
      <c r="T2445" s="12" t="n"/>
      <c r="U2445" s="12" t="n"/>
      <c r="V2445" s="12" t="n"/>
      <c r="W2445" s="13" t="n"/>
      <c r="X2445" s="14">
        <f>IF($AP2445="",IF($B2445="","",$H2445),IF(INDEX(職員マスタ!$B$6:$B$405,$AP2445)="",$H2445,INDEX(職員マスタ!$B$6:$B$405,$AP2445)))</f>
        <v/>
      </c>
      <c r="Y2445" s="14">
        <f>IF($AP2445="",IF($B2445="","",$R2445),IF(INDEX(職員マスタ!$C$6:$C$405,$AP2445)="",$R2445,INDEX(職員マスタ!$C$6:$C$405,$AP2445)))</f>
        <v/>
      </c>
      <c r="Z2445" s="14">
        <f>IF($AQ2445="","","R"&amp;$C2445&amp;"."&amp;$D2445)</f>
        <v/>
      </c>
      <c r="AA2445" s="15">
        <f>IF(IF($AP2445="",FALSE,INDEX(職員マスタ!$K$6:$K$405,$AP2445)&lt;&gt;""),INDEX(職員マスタ!$K$6:$K$405,$AP2445),IF(N($W2445)&gt;0,$W2445,""))</f>
        <v/>
      </c>
      <c r="AB2445" s="14">
        <f>IF(OR($E2445="",$AA2445=""),"",IF($E2445&gt;=$AA2445,"×",IF($E2445&gt;=$AA2445*設定!$C$5,"△","○")))</f>
        <v/>
      </c>
      <c r="AC2445" s="15">
        <f>IF($AB2445="","",IF($AB2445="×",0,IF($AB2445="○",ROUNDDOWN($E2445*設定!$C$4,0),ROUNDDOWN($E2445*ROUND((9*$AA2445-9*$E2445)/(10*$E2445),4),0))))</f>
        <v/>
      </c>
      <c r="AD2445" s="13" t="n"/>
      <c r="AE2445" s="15">
        <f>IF($B2445="","",IF($AD2445&lt;&gt;"",$AD2445,IF($AC2445="","",IF($AC2445&lt;=設定!$C$3,0,$AC2445))))</f>
        <v/>
      </c>
      <c r="AF2445" s="14">
        <f>IF($B2445="","",IF(AND($AG2445&lt;&gt;"",$AI2445="",$AL2445=""),"保留中",IF($AL2445&lt;&gt;"",IF(N($AE2445)&gt;0,"支給済","不支給"),IF($AE2445="","要確認",IF($AE2445=0,"不支給","未処理")))))</f>
        <v/>
      </c>
      <c r="AG2445" s="12" t="n"/>
      <c r="AH2445" s="11" t="n"/>
      <c r="AI2445" s="11" t="n"/>
      <c r="AJ2445" s="11" t="n"/>
      <c r="AK2445" s="14">
        <f>IF(AND($AF2445="保留中",$AH2445&lt;&gt;""),TODAY()-$AH2445,"")</f>
        <v/>
      </c>
      <c r="AL2445" s="12" t="n"/>
      <c r="AM2445" s="14">
        <f>IF($B2445="","",IF($AQ2445="","対象年月が未入力／","")&amp;IF($B2445="","",IF($AP2445="","職員マスタに未登録の職員番号／",IF($AA2445="","標準報酬月額が未登録／","")&amp;IF(AND($AQ2445&lt;&gt;"",OR(AND(INDEX(職員マスタ!$G$6:$G$405,$AP2445)&lt;&gt;"",INDEX(職員マスタ!$G$6:$G$405,$AP2445)&gt;EOMONTH($AQ2445,0)),AND(INDEX(職員マスタ!$H$6:$H$405,$AP2445)&lt;&gt;"",INDEX(職員マスタ!$H$6:$H$405,$AP2445)&lt;$AQ2445))),"対象月が時短期間外／","")&amp;IF(AND(INDEX(職員マスタ!$K$6:$K$405,$AP2445)&lt;&gt;"",N($W2445)&gt;0,INDEX(職員マスタ!$K$6:$K$405,$AP2445)&lt;&gt;$W2445),"標準報酬月額が申請書と相違（台帳"&amp;TEXT(INDEX(職員マスタ!$K$6:$K$405,$AP2445),"#,##0")&amp;"円／申請書"&amp;TEXT($W2445,"#,##0")&amp;"円）／","")&amp;IF(AND(INDEX(職員マスタ!$F$6:$F$405,$AP2445)&lt;&gt;"",$AQ2445&lt;&gt;"",INDEX(職員マスタ!$F$6:$F$405,$AP2445)&lt;$AQ2445),"対象月に子が2歳到達済／","")&amp;IF(AND($H2445&lt;&gt;"",INDEX(職員マスタ!$B$6:$B$405,$AP2445)&lt;&gt;"",SUBSTITUTE(SUBSTITUTE($H2445," ","")," ","")&lt;&gt;SUBSTITUTE(SUBSTITUTE(INDEX(職員マスタ!$B$6:$B$405,$AP2445)," ","")," ","")),"氏名がマスタと相違／","")&amp;IF(AND($Q2445&lt;&gt;"",INDEX(職員マスタ!$E$6:$E$405,$AP2445)&lt;&gt;"",$Q2445&lt;&gt;INDEX(職員マスタ!$E$6:$E$405,$AP2445)),"子の生年月日がマスタと相違／","")&amp;IF(AND($L2445&lt;&gt;"",INDEX(職員マスタ!$G$6:$G$405,$AP2445)&lt;&gt;"",$L2445&lt;&gt;INDEX(職員マスタ!$G$6:$G$405,$AP2445)),"時短開始日がマスタと相違／","")&amp;IF(AND($M2445&lt;&gt;"",INDEX(職員マスタ!$H$6:$H$405,$AP2445)&lt;&gt;"",$M2445&lt;&gt;INDEX(職員マスタ!$H$6:$H$405,$AP2445)),"時短終了日がマスタと相違／","")))&amp;IF(AND($B2445&lt;&gt;"",$E2445=""),"報酬額が未入力／","")&amp;IF(N($U2445)&gt;0,"申請書に入力エラーが残っています／","")&amp;IF(AND($B2445&lt;&gt;"",$AQ2445&lt;&gt;""),IF(COUNTIFS($B$6:$B$3005,$B2445,$C$6:$C$3005,$C2445,$D$6:$D$3005,$D2445)&gt;1,"同じ月の請求が重複しています／",""),"")&amp;IF(AND(N($E2445)&gt;0,$AB2445&lt;&gt;"",$AB2445&lt;&gt;"×",$AE2445=0,$AD2445=""),"計算額が下限以下のため不支給／",""))</f>
        <v/>
      </c>
      <c r="AN2445" s="12" t="n"/>
      <c r="AO2445" s="14">
        <f>IF($AF2445="保留中",COUNTIF($AF$6:$AF2445,"保留中"),"")</f>
        <v/>
      </c>
      <c r="AP2445" s="14">
        <f>IF($AQ2445="","",IF(SUMPRODUCT(MAX((職員マスタ!$A$6:$A$405=$B2445)*(((職員マスタ!$G$6:$G$405="")+(職員マスタ!$G$6:$G$405&lt;=EOMONTH($AQ2445,0)))&gt;0)*(((職員マスタ!$H$6:$H$405="")+(職員マスタ!$H$6:$H$405&gt;=$AQ2445))&gt;0)*(ROW(職員マスタ!$A$6:$A$405)-5)))&gt;0,SUMPRODUCT(MAX((職員マスタ!$A$6:$A$405=$B2445)*(((職員マスタ!$G$6:$G$405="")+(職員マスタ!$G$6:$G$405&lt;=EOMONTH($AQ2445,0)))&gt;0)*(((職員マスタ!$H$6:$H$405="")+(職員マスタ!$H$6:$H$405&gt;=$AQ2445))&gt;0)*(ROW(職員マスタ!$A$6:$A$405)-5))),IFERROR(MATCH($B2445,職員マスタ!$A$6:$A$405,0),"")))</f>
        <v/>
      </c>
      <c r="AQ2445" s="16">
        <f>IF(OR($B2445="",$C2445="",$D2445=""),"",DATE($C2445+2018,$D2445,1))</f>
        <v/>
      </c>
    </row>
    <row r="2446">
      <c r="A2446" s="11" t="n"/>
      <c r="B2446" s="12" t="n"/>
      <c r="C2446" s="12" t="n"/>
      <c r="D2446" s="12" t="n"/>
      <c r="E2446" s="13" t="n"/>
      <c r="F2446" s="12" t="n"/>
      <c r="G2446" s="13" t="n"/>
      <c r="H2446" s="12" t="n"/>
      <c r="I2446" s="12" t="n"/>
      <c r="J2446" s="12" t="n"/>
      <c r="K2446" s="12" t="n"/>
      <c r="L2446" s="11" t="n"/>
      <c r="M2446" s="11" t="n"/>
      <c r="N2446" s="11" t="n"/>
      <c r="O2446" s="11" t="n"/>
      <c r="P2446" s="12" t="n"/>
      <c r="Q2446" s="11" t="n"/>
      <c r="R2446" s="12" t="n"/>
      <c r="S2446" s="11" t="n"/>
      <c r="T2446" s="12" t="n"/>
      <c r="U2446" s="12" t="n"/>
      <c r="V2446" s="12" t="n"/>
      <c r="W2446" s="13" t="n"/>
      <c r="X2446" s="14">
        <f>IF($AP2446="",IF($B2446="","",$H2446),IF(INDEX(職員マスタ!$B$6:$B$405,$AP2446)="",$H2446,INDEX(職員マスタ!$B$6:$B$405,$AP2446)))</f>
        <v/>
      </c>
      <c r="Y2446" s="14">
        <f>IF($AP2446="",IF($B2446="","",$R2446),IF(INDEX(職員マスタ!$C$6:$C$405,$AP2446)="",$R2446,INDEX(職員マスタ!$C$6:$C$405,$AP2446)))</f>
        <v/>
      </c>
      <c r="Z2446" s="14">
        <f>IF($AQ2446="","","R"&amp;$C2446&amp;"."&amp;$D2446)</f>
        <v/>
      </c>
      <c r="AA2446" s="15">
        <f>IF(IF($AP2446="",FALSE,INDEX(職員マスタ!$K$6:$K$405,$AP2446)&lt;&gt;""),INDEX(職員マスタ!$K$6:$K$405,$AP2446),IF(N($W2446)&gt;0,$W2446,""))</f>
        <v/>
      </c>
      <c r="AB2446" s="14">
        <f>IF(OR($E2446="",$AA2446=""),"",IF($E2446&gt;=$AA2446,"×",IF($E2446&gt;=$AA2446*設定!$C$5,"△","○")))</f>
        <v/>
      </c>
      <c r="AC2446" s="15">
        <f>IF($AB2446="","",IF($AB2446="×",0,IF($AB2446="○",ROUNDDOWN($E2446*設定!$C$4,0),ROUNDDOWN($E2446*ROUND((9*$AA2446-9*$E2446)/(10*$E2446),4),0))))</f>
        <v/>
      </c>
      <c r="AD2446" s="13" t="n"/>
      <c r="AE2446" s="15">
        <f>IF($B2446="","",IF($AD2446&lt;&gt;"",$AD2446,IF($AC2446="","",IF($AC2446&lt;=設定!$C$3,0,$AC2446))))</f>
        <v/>
      </c>
      <c r="AF2446" s="14">
        <f>IF($B2446="","",IF(AND($AG2446&lt;&gt;"",$AI2446="",$AL2446=""),"保留中",IF($AL2446&lt;&gt;"",IF(N($AE2446)&gt;0,"支給済","不支給"),IF($AE2446="","要確認",IF($AE2446=0,"不支給","未処理")))))</f>
        <v/>
      </c>
      <c r="AG2446" s="12" t="n"/>
      <c r="AH2446" s="11" t="n"/>
      <c r="AI2446" s="11" t="n"/>
      <c r="AJ2446" s="11" t="n"/>
      <c r="AK2446" s="14">
        <f>IF(AND($AF2446="保留中",$AH2446&lt;&gt;""),TODAY()-$AH2446,"")</f>
        <v/>
      </c>
      <c r="AL2446" s="12" t="n"/>
      <c r="AM2446" s="14">
        <f>IF($B2446="","",IF($AQ2446="","対象年月が未入力／","")&amp;IF($B2446="","",IF($AP2446="","職員マスタに未登録の職員番号／",IF($AA2446="","標準報酬月額が未登録／","")&amp;IF(AND($AQ2446&lt;&gt;"",OR(AND(INDEX(職員マスタ!$G$6:$G$405,$AP2446)&lt;&gt;"",INDEX(職員マスタ!$G$6:$G$405,$AP2446)&gt;EOMONTH($AQ2446,0)),AND(INDEX(職員マスタ!$H$6:$H$405,$AP2446)&lt;&gt;"",INDEX(職員マスタ!$H$6:$H$405,$AP2446)&lt;$AQ2446))),"対象月が時短期間外／","")&amp;IF(AND(INDEX(職員マスタ!$K$6:$K$405,$AP2446)&lt;&gt;"",N($W2446)&gt;0,INDEX(職員マスタ!$K$6:$K$405,$AP2446)&lt;&gt;$W2446),"標準報酬月額が申請書と相違（台帳"&amp;TEXT(INDEX(職員マスタ!$K$6:$K$405,$AP2446),"#,##0")&amp;"円／申請書"&amp;TEXT($W2446,"#,##0")&amp;"円）／","")&amp;IF(AND(INDEX(職員マスタ!$F$6:$F$405,$AP2446)&lt;&gt;"",$AQ2446&lt;&gt;"",INDEX(職員マスタ!$F$6:$F$405,$AP2446)&lt;$AQ2446),"対象月に子が2歳到達済／","")&amp;IF(AND($H2446&lt;&gt;"",INDEX(職員マスタ!$B$6:$B$405,$AP2446)&lt;&gt;"",SUBSTITUTE(SUBSTITUTE($H2446," ","")," ","")&lt;&gt;SUBSTITUTE(SUBSTITUTE(INDEX(職員マスタ!$B$6:$B$405,$AP2446)," ","")," ","")),"氏名がマスタと相違／","")&amp;IF(AND($Q2446&lt;&gt;"",INDEX(職員マスタ!$E$6:$E$405,$AP2446)&lt;&gt;"",$Q2446&lt;&gt;INDEX(職員マスタ!$E$6:$E$405,$AP2446)),"子の生年月日がマスタと相違／","")&amp;IF(AND($L2446&lt;&gt;"",INDEX(職員マスタ!$G$6:$G$405,$AP2446)&lt;&gt;"",$L2446&lt;&gt;INDEX(職員マスタ!$G$6:$G$405,$AP2446)),"時短開始日がマスタと相違／","")&amp;IF(AND($M2446&lt;&gt;"",INDEX(職員マスタ!$H$6:$H$405,$AP2446)&lt;&gt;"",$M2446&lt;&gt;INDEX(職員マスタ!$H$6:$H$405,$AP2446)),"時短終了日がマスタと相違／","")))&amp;IF(AND($B2446&lt;&gt;"",$E2446=""),"報酬額が未入力／","")&amp;IF(N($U2446)&gt;0,"申請書に入力エラーが残っています／","")&amp;IF(AND($B2446&lt;&gt;"",$AQ2446&lt;&gt;""),IF(COUNTIFS($B$6:$B$3005,$B2446,$C$6:$C$3005,$C2446,$D$6:$D$3005,$D2446)&gt;1,"同じ月の請求が重複しています／",""),"")&amp;IF(AND(N($E2446)&gt;0,$AB2446&lt;&gt;"",$AB2446&lt;&gt;"×",$AE2446=0,$AD2446=""),"計算額が下限以下のため不支給／",""))</f>
        <v/>
      </c>
      <c r="AN2446" s="12" t="n"/>
      <c r="AO2446" s="14">
        <f>IF($AF2446="保留中",COUNTIF($AF$6:$AF2446,"保留中"),"")</f>
        <v/>
      </c>
      <c r="AP2446" s="14">
        <f>IF($AQ2446="","",IF(SUMPRODUCT(MAX((職員マスタ!$A$6:$A$405=$B2446)*(((職員マスタ!$G$6:$G$405="")+(職員マスタ!$G$6:$G$405&lt;=EOMONTH($AQ2446,0)))&gt;0)*(((職員マスタ!$H$6:$H$405="")+(職員マスタ!$H$6:$H$405&gt;=$AQ2446))&gt;0)*(ROW(職員マスタ!$A$6:$A$405)-5)))&gt;0,SUMPRODUCT(MAX((職員マスタ!$A$6:$A$405=$B2446)*(((職員マスタ!$G$6:$G$405="")+(職員マスタ!$G$6:$G$405&lt;=EOMONTH($AQ2446,0)))&gt;0)*(((職員マスタ!$H$6:$H$405="")+(職員マスタ!$H$6:$H$405&gt;=$AQ2446))&gt;0)*(ROW(職員マスタ!$A$6:$A$405)-5))),IFERROR(MATCH($B2446,職員マスタ!$A$6:$A$405,0),"")))</f>
        <v/>
      </c>
      <c r="AQ2446" s="16">
        <f>IF(OR($B2446="",$C2446="",$D2446=""),"",DATE($C2446+2018,$D2446,1))</f>
        <v/>
      </c>
    </row>
    <row r="2447">
      <c r="A2447" s="11" t="n"/>
      <c r="B2447" s="12" t="n"/>
      <c r="C2447" s="12" t="n"/>
      <c r="D2447" s="12" t="n"/>
      <c r="E2447" s="13" t="n"/>
      <c r="F2447" s="12" t="n"/>
      <c r="G2447" s="13" t="n"/>
      <c r="H2447" s="12" t="n"/>
      <c r="I2447" s="12" t="n"/>
      <c r="J2447" s="12" t="n"/>
      <c r="K2447" s="12" t="n"/>
      <c r="L2447" s="11" t="n"/>
      <c r="M2447" s="11" t="n"/>
      <c r="N2447" s="11" t="n"/>
      <c r="O2447" s="11" t="n"/>
      <c r="P2447" s="12" t="n"/>
      <c r="Q2447" s="11" t="n"/>
      <c r="R2447" s="12" t="n"/>
      <c r="S2447" s="11" t="n"/>
      <c r="T2447" s="12" t="n"/>
      <c r="U2447" s="12" t="n"/>
      <c r="V2447" s="12" t="n"/>
      <c r="W2447" s="13" t="n"/>
      <c r="X2447" s="14">
        <f>IF($AP2447="",IF($B2447="","",$H2447),IF(INDEX(職員マスタ!$B$6:$B$405,$AP2447)="",$H2447,INDEX(職員マスタ!$B$6:$B$405,$AP2447)))</f>
        <v/>
      </c>
      <c r="Y2447" s="14">
        <f>IF($AP2447="",IF($B2447="","",$R2447),IF(INDEX(職員マスタ!$C$6:$C$405,$AP2447)="",$R2447,INDEX(職員マスタ!$C$6:$C$405,$AP2447)))</f>
        <v/>
      </c>
      <c r="Z2447" s="14">
        <f>IF($AQ2447="","","R"&amp;$C2447&amp;"."&amp;$D2447)</f>
        <v/>
      </c>
      <c r="AA2447" s="15">
        <f>IF(IF($AP2447="",FALSE,INDEX(職員マスタ!$K$6:$K$405,$AP2447)&lt;&gt;""),INDEX(職員マスタ!$K$6:$K$405,$AP2447),IF(N($W2447)&gt;0,$W2447,""))</f>
        <v/>
      </c>
      <c r="AB2447" s="14">
        <f>IF(OR($E2447="",$AA2447=""),"",IF($E2447&gt;=$AA2447,"×",IF($E2447&gt;=$AA2447*設定!$C$5,"△","○")))</f>
        <v/>
      </c>
      <c r="AC2447" s="15">
        <f>IF($AB2447="","",IF($AB2447="×",0,IF($AB2447="○",ROUNDDOWN($E2447*設定!$C$4,0),ROUNDDOWN($E2447*ROUND((9*$AA2447-9*$E2447)/(10*$E2447),4),0))))</f>
        <v/>
      </c>
      <c r="AD2447" s="13" t="n"/>
      <c r="AE2447" s="15">
        <f>IF($B2447="","",IF($AD2447&lt;&gt;"",$AD2447,IF($AC2447="","",IF($AC2447&lt;=設定!$C$3,0,$AC2447))))</f>
        <v/>
      </c>
      <c r="AF2447" s="14">
        <f>IF($B2447="","",IF(AND($AG2447&lt;&gt;"",$AI2447="",$AL2447=""),"保留中",IF($AL2447&lt;&gt;"",IF(N($AE2447)&gt;0,"支給済","不支給"),IF($AE2447="","要確認",IF($AE2447=0,"不支給","未処理")))))</f>
        <v/>
      </c>
      <c r="AG2447" s="12" t="n"/>
      <c r="AH2447" s="11" t="n"/>
      <c r="AI2447" s="11" t="n"/>
      <c r="AJ2447" s="11" t="n"/>
      <c r="AK2447" s="14">
        <f>IF(AND($AF2447="保留中",$AH2447&lt;&gt;""),TODAY()-$AH2447,"")</f>
        <v/>
      </c>
      <c r="AL2447" s="12" t="n"/>
      <c r="AM2447" s="14">
        <f>IF($B2447="","",IF($AQ2447="","対象年月が未入力／","")&amp;IF($B2447="","",IF($AP2447="","職員マスタに未登録の職員番号／",IF($AA2447="","標準報酬月額が未登録／","")&amp;IF(AND($AQ2447&lt;&gt;"",OR(AND(INDEX(職員マスタ!$G$6:$G$405,$AP2447)&lt;&gt;"",INDEX(職員マスタ!$G$6:$G$405,$AP2447)&gt;EOMONTH($AQ2447,0)),AND(INDEX(職員マスタ!$H$6:$H$405,$AP2447)&lt;&gt;"",INDEX(職員マスタ!$H$6:$H$405,$AP2447)&lt;$AQ2447))),"対象月が時短期間外／","")&amp;IF(AND(INDEX(職員マスタ!$K$6:$K$405,$AP2447)&lt;&gt;"",N($W2447)&gt;0,INDEX(職員マスタ!$K$6:$K$405,$AP2447)&lt;&gt;$W2447),"標準報酬月額が申請書と相違（台帳"&amp;TEXT(INDEX(職員マスタ!$K$6:$K$405,$AP2447),"#,##0")&amp;"円／申請書"&amp;TEXT($W2447,"#,##0")&amp;"円）／","")&amp;IF(AND(INDEX(職員マスタ!$F$6:$F$405,$AP2447)&lt;&gt;"",$AQ2447&lt;&gt;"",INDEX(職員マスタ!$F$6:$F$405,$AP2447)&lt;$AQ2447),"対象月に子が2歳到達済／","")&amp;IF(AND($H2447&lt;&gt;"",INDEX(職員マスタ!$B$6:$B$405,$AP2447)&lt;&gt;"",SUBSTITUTE(SUBSTITUTE($H2447," ","")," ","")&lt;&gt;SUBSTITUTE(SUBSTITUTE(INDEX(職員マスタ!$B$6:$B$405,$AP2447)," ","")," ","")),"氏名がマスタと相違／","")&amp;IF(AND($Q2447&lt;&gt;"",INDEX(職員マスタ!$E$6:$E$405,$AP2447)&lt;&gt;"",$Q2447&lt;&gt;INDEX(職員マスタ!$E$6:$E$405,$AP2447)),"子の生年月日がマスタと相違／","")&amp;IF(AND($L2447&lt;&gt;"",INDEX(職員マスタ!$G$6:$G$405,$AP2447)&lt;&gt;"",$L2447&lt;&gt;INDEX(職員マスタ!$G$6:$G$405,$AP2447)),"時短開始日がマスタと相違／","")&amp;IF(AND($M2447&lt;&gt;"",INDEX(職員マスタ!$H$6:$H$405,$AP2447)&lt;&gt;"",$M2447&lt;&gt;INDEX(職員マスタ!$H$6:$H$405,$AP2447)),"時短終了日がマスタと相違／","")))&amp;IF(AND($B2447&lt;&gt;"",$E2447=""),"報酬額が未入力／","")&amp;IF(N($U2447)&gt;0,"申請書に入力エラーが残っています／","")&amp;IF(AND($B2447&lt;&gt;"",$AQ2447&lt;&gt;""),IF(COUNTIFS($B$6:$B$3005,$B2447,$C$6:$C$3005,$C2447,$D$6:$D$3005,$D2447)&gt;1,"同じ月の請求が重複しています／",""),"")&amp;IF(AND(N($E2447)&gt;0,$AB2447&lt;&gt;"",$AB2447&lt;&gt;"×",$AE2447=0,$AD2447=""),"計算額が下限以下のため不支給／",""))</f>
        <v/>
      </c>
      <c r="AN2447" s="12" t="n"/>
      <c r="AO2447" s="14">
        <f>IF($AF2447="保留中",COUNTIF($AF$6:$AF2447,"保留中"),"")</f>
        <v/>
      </c>
      <c r="AP2447" s="14">
        <f>IF($AQ2447="","",IF(SUMPRODUCT(MAX((職員マスタ!$A$6:$A$405=$B2447)*(((職員マスタ!$G$6:$G$405="")+(職員マスタ!$G$6:$G$405&lt;=EOMONTH($AQ2447,0)))&gt;0)*(((職員マスタ!$H$6:$H$405="")+(職員マスタ!$H$6:$H$405&gt;=$AQ2447))&gt;0)*(ROW(職員マスタ!$A$6:$A$405)-5)))&gt;0,SUMPRODUCT(MAX((職員マスタ!$A$6:$A$405=$B2447)*(((職員マスタ!$G$6:$G$405="")+(職員マスタ!$G$6:$G$405&lt;=EOMONTH($AQ2447,0)))&gt;0)*(((職員マスタ!$H$6:$H$405="")+(職員マスタ!$H$6:$H$405&gt;=$AQ2447))&gt;0)*(ROW(職員マスタ!$A$6:$A$405)-5))),IFERROR(MATCH($B2447,職員マスタ!$A$6:$A$405,0),"")))</f>
        <v/>
      </c>
      <c r="AQ2447" s="16">
        <f>IF(OR($B2447="",$C2447="",$D2447=""),"",DATE($C2447+2018,$D2447,1))</f>
        <v/>
      </c>
    </row>
    <row r="2448">
      <c r="A2448" s="11" t="n"/>
      <c r="B2448" s="12" t="n"/>
      <c r="C2448" s="12" t="n"/>
      <c r="D2448" s="12" t="n"/>
      <c r="E2448" s="13" t="n"/>
      <c r="F2448" s="12" t="n"/>
      <c r="G2448" s="13" t="n"/>
      <c r="H2448" s="12" t="n"/>
      <c r="I2448" s="12" t="n"/>
      <c r="J2448" s="12" t="n"/>
      <c r="K2448" s="12" t="n"/>
      <c r="L2448" s="11" t="n"/>
      <c r="M2448" s="11" t="n"/>
      <c r="N2448" s="11" t="n"/>
      <c r="O2448" s="11" t="n"/>
      <c r="P2448" s="12" t="n"/>
      <c r="Q2448" s="11" t="n"/>
      <c r="R2448" s="12" t="n"/>
      <c r="S2448" s="11" t="n"/>
      <c r="T2448" s="12" t="n"/>
      <c r="U2448" s="12" t="n"/>
      <c r="V2448" s="12" t="n"/>
      <c r="W2448" s="13" t="n"/>
      <c r="X2448" s="14">
        <f>IF($AP2448="",IF($B2448="","",$H2448),IF(INDEX(職員マスタ!$B$6:$B$405,$AP2448)="",$H2448,INDEX(職員マスタ!$B$6:$B$405,$AP2448)))</f>
        <v/>
      </c>
      <c r="Y2448" s="14">
        <f>IF($AP2448="",IF($B2448="","",$R2448),IF(INDEX(職員マスタ!$C$6:$C$405,$AP2448)="",$R2448,INDEX(職員マスタ!$C$6:$C$405,$AP2448)))</f>
        <v/>
      </c>
      <c r="Z2448" s="14">
        <f>IF($AQ2448="","","R"&amp;$C2448&amp;"."&amp;$D2448)</f>
        <v/>
      </c>
      <c r="AA2448" s="15">
        <f>IF(IF($AP2448="",FALSE,INDEX(職員マスタ!$K$6:$K$405,$AP2448)&lt;&gt;""),INDEX(職員マスタ!$K$6:$K$405,$AP2448),IF(N($W2448)&gt;0,$W2448,""))</f>
        <v/>
      </c>
      <c r="AB2448" s="14">
        <f>IF(OR($E2448="",$AA2448=""),"",IF($E2448&gt;=$AA2448,"×",IF($E2448&gt;=$AA2448*設定!$C$5,"△","○")))</f>
        <v/>
      </c>
      <c r="AC2448" s="15">
        <f>IF($AB2448="","",IF($AB2448="×",0,IF($AB2448="○",ROUNDDOWN($E2448*設定!$C$4,0),ROUNDDOWN($E2448*ROUND((9*$AA2448-9*$E2448)/(10*$E2448),4),0))))</f>
        <v/>
      </c>
      <c r="AD2448" s="13" t="n"/>
      <c r="AE2448" s="15">
        <f>IF($B2448="","",IF($AD2448&lt;&gt;"",$AD2448,IF($AC2448="","",IF($AC2448&lt;=設定!$C$3,0,$AC2448))))</f>
        <v/>
      </c>
      <c r="AF2448" s="14">
        <f>IF($B2448="","",IF(AND($AG2448&lt;&gt;"",$AI2448="",$AL2448=""),"保留中",IF($AL2448&lt;&gt;"",IF(N($AE2448)&gt;0,"支給済","不支給"),IF($AE2448="","要確認",IF($AE2448=0,"不支給","未処理")))))</f>
        <v/>
      </c>
      <c r="AG2448" s="12" t="n"/>
      <c r="AH2448" s="11" t="n"/>
      <c r="AI2448" s="11" t="n"/>
      <c r="AJ2448" s="11" t="n"/>
      <c r="AK2448" s="14">
        <f>IF(AND($AF2448="保留中",$AH2448&lt;&gt;""),TODAY()-$AH2448,"")</f>
        <v/>
      </c>
      <c r="AL2448" s="12" t="n"/>
      <c r="AM2448" s="14">
        <f>IF($B2448="","",IF($AQ2448="","対象年月が未入力／","")&amp;IF($B2448="","",IF($AP2448="","職員マスタに未登録の職員番号／",IF($AA2448="","標準報酬月額が未登録／","")&amp;IF(AND($AQ2448&lt;&gt;"",OR(AND(INDEX(職員マスタ!$G$6:$G$405,$AP2448)&lt;&gt;"",INDEX(職員マスタ!$G$6:$G$405,$AP2448)&gt;EOMONTH($AQ2448,0)),AND(INDEX(職員マスタ!$H$6:$H$405,$AP2448)&lt;&gt;"",INDEX(職員マスタ!$H$6:$H$405,$AP2448)&lt;$AQ2448))),"対象月が時短期間外／","")&amp;IF(AND(INDEX(職員マスタ!$K$6:$K$405,$AP2448)&lt;&gt;"",N($W2448)&gt;0,INDEX(職員マスタ!$K$6:$K$405,$AP2448)&lt;&gt;$W2448),"標準報酬月額が申請書と相違（台帳"&amp;TEXT(INDEX(職員マスタ!$K$6:$K$405,$AP2448),"#,##0")&amp;"円／申請書"&amp;TEXT($W2448,"#,##0")&amp;"円）／","")&amp;IF(AND(INDEX(職員マスタ!$F$6:$F$405,$AP2448)&lt;&gt;"",$AQ2448&lt;&gt;"",INDEX(職員マスタ!$F$6:$F$405,$AP2448)&lt;$AQ2448),"対象月に子が2歳到達済／","")&amp;IF(AND($H2448&lt;&gt;"",INDEX(職員マスタ!$B$6:$B$405,$AP2448)&lt;&gt;"",SUBSTITUTE(SUBSTITUTE($H2448," ","")," ","")&lt;&gt;SUBSTITUTE(SUBSTITUTE(INDEX(職員マスタ!$B$6:$B$405,$AP2448)," ","")," ","")),"氏名がマスタと相違／","")&amp;IF(AND($Q2448&lt;&gt;"",INDEX(職員マスタ!$E$6:$E$405,$AP2448)&lt;&gt;"",$Q2448&lt;&gt;INDEX(職員マスタ!$E$6:$E$405,$AP2448)),"子の生年月日がマスタと相違／","")&amp;IF(AND($L2448&lt;&gt;"",INDEX(職員マスタ!$G$6:$G$405,$AP2448)&lt;&gt;"",$L2448&lt;&gt;INDEX(職員マスタ!$G$6:$G$405,$AP2448)),"時短開始日がマスタと相違／","")&amp;IF(AND($M2448&lt;&gt;"",INDEX(職員マスタ!$H$6:$H$405,$AP2448)&lt;&gt;"",$M2448&lt;&gt;INDEX(職員マスタ!$H$6:$H$405,$AP2448)),"時短終了日がマスタと相違／","")))&amp;IF(AND($B2448&lt;&gt;"",$E2448=""),"報酬額が未入力／","")&amp;IF(N($U2448)&gt;0,"申請書に入力エラーが残っています／","")&amp;IF(AND($B2448&lt;&gt;"",$AQ2448&lt;&gt;""),IF(COUNTIFS($B$6:$B$3005,$B2448,$C$6:$C$3005,$C2448,$D$6:$D$3005,$D2448)&gt;1,"同じ月の請求が重複しています／",""),"")&amp;IF(AND(N($E2448)&gt;0,$AB2448&lt;&gt;"",$AB2448&lt;&gt;"×",$AE2448=0,$AD2448=""),"計算額が下限以下のため不支給／",""))</f>
        <v/>
      </c>
      <c r="AN2448" s="12" t="n"/>
      <c r="AO2448" s="14">
        <f>IF($AF2448="保留中",COUNTIF($AF$6:$AF2448,"保留中"),"")</f>
        <v/>
      </c>
      <c r="AP2448" s="14">
        <f>IF($AQ2448="","",IF(SUMPRODUCT(MAX((職員マスタ!$A$6:$A$405=$B2448)*(((職員マスタ!$G$6:$G$405="")+(職員マスタ!$G$6:$G$405&lt;=EOMONTH($AQ2448,0)))&gt;0)*(((職員マスタ!$H$6:$H$405="")+(職員マスタ!$H$6:$H$405&gt;=$AQ2448))&gt;0)*(ROW(職員マスタ!$A$6:$A$405)-5)))&gt;0,SUMPRODUCT(MAX((職員マスタ!$A$6:$A$405=$B2448)*(((職員マスタ!$G$6:$G$405="")+(職員マスタ!$G$6:$G$405&lt;=EOMONTH($AQ2448,0)))&gt;0)*(((職員マスタ!$H$6:$H$405="")+(職員マスタ!$H$6:$H$405&gt;=$AQ2448))&gt;0)*(ROW(職員マスタ!$A$6:$A$405)-5))),IFERROR(MATCH($B2448,職員マスタ!$A$6:$A$405,0),"")))</f>
        <v/>
      </c>
      <c r="AQ2448" s="16">
        <f>IF(OR($B2448="",$C2448="",$D2448=""),"",DATE($C2448+2018,$D2448,1))</f>
        <v/>
      </c>
    </row>
    <row r="2449">
      <c r="A2449" s="11" t="n"/>
      <c r="B2449" s="12" t="n"/>
      <c r="C2449" s="12" t="n"/>
      <c r="D2449" s="12" t="n"/>
      <c r="E2449" s="13" t="n"/>
      <c r="F2449" s="12" t="n"/>
      <c r="G2449" s="13" t="n"/>
      <c r="H2449" s="12" t="n"/>
      <c r="I2449" s="12" t="n"/>
      <c r="J2449" s="12" t="n"/>
      <c r="K2449" s="12" t="n"/>
      <c r="L2449" s="11" t="n"/>
      <c r="M2449" s="11" t="n"/>
      <c r="N2449" s="11" t="n"/>
      <c r="O2449" s="11" t="n"/>
      <c r="P2449" s="12" t="n"/>
      <c r="Q2449" s="11" t="n"/>
      <c r="R2449" s="12" t="n"/>
      <c r="S2449" s="11" t="n"/>
      <c r="T2449" s="12" t="n"/>
      <c r="U2449" s="12" t="n"/>
      <c r="V2449" s="12" t="n"/>
      <c r="W2449" s="13" t="n"/>
      <c r="X2449" s="14">
        <f>IF($AP2449="",IF($B2449="","",$H2449),IF(INDEX(職員マスタ!$B$6:$B$405,$AP2449)="",$H2449,INDEX(職員マスタ!$B$6:$B$405,$AP2449)))</f>
        <v/>
      </c>
      <c r="Y2449" s="14">
        <f>IF($AP2449="",IF($B2449="","",$R2449),IF(INDEX(職員マスタ!$C$6:$C$405,$AP2449)="",$R2449,INDEX(職員マスタ!$C$6:$C$405,$AP2449)))</f>
        <v/>
      </c>
      <c r="Z2449" s="14">
        <f>IF($AQ2449="","","R"&amp;$C2449&amp;"."&amp;$D2449)</f>
        <v/>
      </c>
      <c r="AA2449" s="15">
        <f>IF(IF($AP2449="",FALSE,INDEX(職員マスタ!$K$6:$K$405,$AP2449)&lt;&gt;""),INDEX(職員マスタ!$K$6:$K$405,$AP2449),IF(N($W2449)&gt;0,$W2449,""))</f>
        <v/>
      </c>
      <c r="AB2449" s="14">
        <f>IF(OR($E2449="",$AA2449=""),"",IF($E2449&gt;=$AA2449,"×",IF($E2449&gt;=$AA2449*設定!$C$5,"△","○")))</f>
        <v/>
      </c>
      <c r="AC2449" s="15">
        <f>IF($AB2449="","",IF($AB2449="×",0,IF($AB2449="○",ROUNDDOWN($E2449*設定!$C$4,0),ROUNDDOWN($E2449*ROUND((9*$AA2449-9*$E2449)/(10*$E2449),4),0))))</f>
        <v/>
      </c>
      <c r="AD2449" s="13" t="n"/>
      <c r="AE2449" s="15">
        <f>IF($B2449="","",IF($AD2449&lt;&gt;"",$AD2449,IF($AC2449="","",IF($AC2449&lt;=設定!$C$3,0,$AC2449))))</f>
        <v/>
      </c>
      <c r="AF2449" s="14">
        <f>IF($B2449="","",IF(AND($AG2449&lt;&gt;"",$AI2449="",$AL2449=""),"保留中",IF($AL2449&lt;&gt;"",IF(N($AE2449)&gt;0,"支給済","不支給"),IF($AE2449="","要確認",IF($AE2449=0,"不支給","未処理")))))</f>
        <v/>
      </c>
      <c r="AG2449" s="12" t="n"/>
      <c r="AH2449" s="11" t="n"/>
      <c r="AI2449" s="11" t="n"/>
      <c r="AJ2449" s="11" t="n"/>
      <c r="AK2449" s="14">
        <f>IF(AND($AF2449="保留中",$AH2449&lt;&gt;""),TODAY()-$AH2449,"")</f>
        <v/>
      </c>
      <c r="AL2449" s="12" t="n"/>
      <c r="AM2449" s="14">
        <f>IF($B2449="","",IF($AQ2449="","対象年月が未入力／","")&amp;IF($B2449="","",IF($AP2449="","職員マスタに未登録の職員番号／",IF($AA2449="","標準報酬月額が未登録／","")&amp;IF(AND($AQ2449&lt;&gt;"",OR(AND(INDEX(職員マスタ!$G$6:$G$405,$AP2449)&lt;&gt;"",INDEX(職員マスタ!$G$6:$G$405,$AP2449)&gt;EOMONTH($AQ2449,0)),AND(INDEX(職員マスタ!$H$6:$H$405,$AP2449)&lt;&gt;"",INDEX(職員マスタ!$H$6:$H$405,$AP2449)&lt;$AQ2449))),"対象月が時短期間外／","")&amp;IF(AND(INDEX(職員マスタ!$K$6:$K$405,$AP2449)&lt;&gt;"",N($W2449)&gt;0,INDEX(職員マスタ!$K$6:$K$405,$AP2449)&lt;&gt;$W2449),"標準報酬月額が申請書と相違（台帳"&amp;TEXT(INDEX(職員マスタ!$K$6:$K$405,$AP2449),"#,##0")&amp;"円／申請書"&amp;TEXT($W2449,"#,##0")&amp;"円）／","")&amp;IF(AND(INDEX(職員マスタ!$F$6:$F$405,$AP2449)&lt;&gt;"",$AQ2449&lt;&gt;"",INDEX(職員マスタ!$F$6:$F$405,$AP2449)&lt;$AQ2449),"対象月に子が2歳到達済／","")&amp;IF(AND($H2449&lt;&gt;"",INDEX(職員マスタ!$B$6:$B$405,$AP2449)&lt;&gt;"",SUBSTITUTE(SUBSTITUTE($H2449," ","")," ","")&lt;&gt;SUBSTITUTE(SUBSTITUTE(INDEX(職員マスタ!$B$6:$B$405,$AP2449)," ","")," ","")),"氏名がマスタと相違／","")&amp;IF(AND($Q2449&lt;&gt;"",INDEX(職員マスタ!$E$6:$E$405,$AP2449)&lt;&gt;"",$Q2449&lt;&gt;INDEX(職員マスタ!$E$6:$E$405,$AP2449)),"子の生年月日がマスタと相違／","")&amp;IF(AND($L2449&lt;&gt;"",INDEX(職員マスタ!$G$6:$G$405,$AP2449)&lt;&gt;"",$L2449&lt;&gt;INDEX(職員マスタ!$G$6:$G$405,$AP2449)),"時短開始日がマスタと相違／","")&amp;IF(AND($M2449&lt;&gt;"",INDEX(職員マスタ!$H$6:$H$405,$AP2449)&lt;&gt;"",$M2449&lt;&gt;INDEX(職員マスタ!$H$6:$H$405,$AP2449)),"時短終了日がマスタと相違／","")))&amp;IF(AND($B2449&lt;&gt;"",$E2449=""),"報酬額が未入力／","")&amp;IF(N($U2449)&gt;0,"申請書に入力エラーが残っています／","")&amp;IF(AND($B2449&lt;&gt;"",$AQ2449&lt;&gt;""),IF(COUNTIFS($B$6:$B$3005,$B2449,$C$6:$C$3005,$C2449,$D$6:$D$3005,$D2449)&gt;1,"同じ月の請求が重複しています／",""),"")&amp;IF(AND(N($E2449)&gt;0,$AB2449&lt;&gt;"",$AB2449&lt;&gt;"×",$AE2449=0,$AD2449=""),"計算額が下限以下のため不支給／",""))</f>
        <v/>
      </c>
      <c r="AN2449" s="12" t="n"/>
      <c r="AO2449" s="14">
        <f>IF($AF2449="保留中",COUNTIF($AF$6:$AF2449,"保留中"),"")</f>
        <v/>
      </c>
      <c r="AP2449" s="14">
        <f>IF($AQ2449="","",IF(SUMPRODUCT(MAX((職員マスタ!$A$6:$A$405=$B2449)*(((職員マスタ!$G$6:$G$405="")+(職員マスタ!$G$6:$G$405&lt;=EOMONTH($AQ2449,0)))&gt;0)*(((職員マスタ!$H$6:$H$405="")+(職員マスタ!$H$6:$H$405&gt;=$AQ2449))&gt;0)*(ROW(職員マスタ!$A$6:$A$405)-5)))&gt;0,SUMPRODUCT(MAX((職員マスタ!$A$6:$A$405=$B2449)*(((職員マスタ!$G$6:$G$405="")+(職員マスタ!$G$6:$G$405&lt;=EOMONTH($AQ2449,0)))&gt;0)*(((職員マスタ!$H$6:$H$405="")+(職員マスタ!$H$6:$H$405&gt;=$AQ2449))&gt;0)*(ROW(職員マスタ!$A$6:$A$405)-5))),IFERROR(MATCH($B2449,職員マスタ!$A$6:$A$405,0),"")))</f>
        <v/>
      </c>
      <c r="AQ2449" s="16">
        <f>IF(OR($B2449="",$C2449="",$D2449=""),"",DATE($C2449+2018,$D2449,1))</f>
        <v/>
      </c>
    </row>
    <row r="2450">
      <c r="A2450" s="11" t="n"/>
      <c r="B2450" s="12" t="n"/>
      <c r="C2450" s="12" t="n"/>
      <c r="D2450" s="12" t="n"/>
      <c r="E2450" s="13" t="n"/>
      <c r="F2450" s="12" t="n"/>
      <c r="G2450" s="13" t="n"/>
      <c r="H2450" s="12" t="n"/>
      <c r="I2450" s="12" t="n"/>
      <c r="J2450" s="12" t="n"/>
      <c r="K2450" s="12" t="n"/>
      <c r="L2450" s="11" t="n"/>
      <c r="M2450" s="11" t="n"/>
      <c r="N2450" s="11" t="n"/>
      <c r="O2450" s="11" t="n"/>
      <c r="P2450" s="12" t="n"/>
      <c r="Q2450" s="11" t="n"/>
      <c r="R2450" s="12" t="n"/>
      <c r="S2450" s="11" t="n"/>
      <c r="T2450" s="12" t="n"/>
      <c r="U2450" s="12" t="n"/>
      <c r="V2450" s="12" t="n"/>
      <c r="W2450" s="13" t="n"/>
      <c r="X2450" s="14">
        <f>IF($AP2450="",IF($B2450="","",$H2450),IF(INDEX(職員マスタ!$B$6:$B$405,$AP2450)="",$H2450,INDEX(職員マスタ!$B$6:$B$405,$AP2450)))</f>
        <v/>
      </c>
      <c r="Y2450" s="14">
        <f>IF($AP2450="",IF($B2450="","",$R2450),IF(INDEX(職員マスタ!$C$6:$C$405,$AP2450)="",$R2450,INDEX(職員マスタ!$C$6:$C$405,$AP2450)))</f>
        <v/>
      </c>
      <c r="Z2450" s="14">
        <f>IF($AQ2450="","","R"&amp;$C2450&amp;"."&amp;$D2450)</f>
        <v/>
      </c>
      <c r="AA2450" s="15">
        <f>IF(IF($AP2450="",FALSE,INDEX(職員マスタ!$K$6:$K$405,$AP2450)&lt;&gt;""),INDEX(職員マスタ!$K$6:$K$405,$AP2450),IF(N($W2450)&gt;0,$W2450,""))</f>
        <v/>
      </c>
      <c r="AB2450" s="14">
        <f>IF(OR($E2450="",$AA2450=""),"",IF($E2450&gt;=$AA2450,"×",IF($E2450&gt;=$AA2450*設定!$C$5,"△","○")))</f>
        <v/>
      </c>
      <c r="AC2450" s="15">
        <f>IF($AB2450="","",IF($AB2450="×",0,IF($AB2450="○",ROUNDDOWN($E2450*設定!$C$4,0),ROUNDDOWN($E2450*ROUND((9*$AA2450-9*$E2450)/(10*$E2450),4),0))))</f>
        <v/>
      </c>
      <c r="AD2450" s="13" t="n"/>
      <c r="AE2450" s="15">
        <f>IF($B2450="","",IF($AD2450&lt;&gt;"",$AD2450,IF($AC2450="","",IF($AC2450&lt;=設定!$C$3,0,$AC2450))))</f>
        <v/>
      </c>
      <c r="AF2450" s="14">
        <f>IF($B2450="","",IF(AND($AG2450&lt;&gt;"",$AI2450="",$AL2450=""),"保留中",IF($AL2450&lt;&gt;"",IF(N($AE2450)&gt;0,"支給済","不支給"),IF($AE2450="","要確認",IF($AE2450=0,"不支給","未処理")))))</f>
        <v/>
      </c>
      <c r="AG2450" s="12" t="n"/>
      <c r="AH2450" s="11" t="n"/>
      <c r="AI2450" s="11" t="n"/>
      <c r="AJ2450" s="11" t="n"/>
      <c r="AK2450" s="14">
        <f>IF(AND($AF2450="保留中",$AH2450&lt;&gt;""),TODAY()-$AH2450,"")</f>
        <v/>
      </c>
      <c r="AL2450" s="12" t="n"/>
      <c r="AM2450" s="14">
        <f>IF($B2450="","",IF($AQ2450="","対象年月が未入力／","")&amp;IF($B2450="","",IF($AP2450="","職員マスタに未登録の職員番号／",IF($AA2450="","標準報酬月額が未登録／","")&amp;IF(AND($AQ2450&lt;&gt;"",OR(AND(INDEX(職員マスタ!$G$6:$G$405,$AP2450)&lt;&gt;"",INDEX(職員マスタ!$G$6:$G$405,$AP2450)&gt;EOMONTH($AQ2450,0)),AND(INDEX(職員マスタ!$H$6:$H$405,$AP2450)&lt;&gt;"",INDEX(職員マスタ!$H$6:$H$405,$AP2450)&lt;$AQ2450))),"対象月が時短期間外／","")&amp;IF(AND(INDEX(職員マスタ!$K$6:$K$405,$AP2450)&lt;&gt;"",N($W2450)&gt;0,INDEX(職員マスタ!$K$6:$K$405,$AP2450)&lt;&gt;$W2450),"標準報酬月額が申請書と相違（台帳"&amp;TEXT(INDEX(職員マスタ!$K$6:$K$405,$AP2450),"#,##0")&amp;"円／申請書"&amp;TEXT($W2450,"#,##0")&amp;"円）／","")&amp;IF(AND(INDEX(職員マスタ!$F$6:$F$405,$AP2450)&lt;&gt;"",$AQ2450&lt;&gt;"",INDEX(職員マスタ!$F$6:$F$405,$AP2450)&lt;$AQ2450),"対象月に子が2歳到達済／","")&amp;IF(AND($H2450&lt;&gt;"",INDEX(職員マスタ!$B$6:$B$405,$AP2450)&lt;&gt;"",SUBSTITUTE(SUBSTITUTE($H2450," ","")," ","")&lt;&gt;SUBSTITUTE(SUBSTITUTE(INDEX(職員マスタ!$B$6:$B$405,$AP2450)," ","")," ","")),"氏名がマスタと相違／","")&amp;IF(AND($Q2450&lt;&gt;"",INDEX(職員マスタ!$E$6:$E$405,$AP2450)&lt;&gt;"",$Q2450&lt;&gt;INDEX(職員マスタ!$E$6:$E$405,$AP2450)),"子の生年月日がマスタと相違／","")&amp;IF(AND($L2450&lt;&gt;"",INDEX(職員マスタ!$G$6:$G$405,$AP2450)&lt;&gt;"",$L2450&lt;&gt;INDEX(職員マスタ!$G$6:$G$405,$AP2450)),"時短開始日がマスタと相違／","")&amp;IF(AND($M2450&lt;&gt;"",INDEX(職員マスタ!$H$6:$H$405,$AP2450)&lt;&gt;"",$M2450&lt;&gt;INDEX(職員マスタ!$H$6:$H$405,$AP2450)),"時短終了日がマスタと相違／","")))&amp;IF(AND($B2450&lt;&gt;"",$E2450=""),"報酬額が未入力／","")&amp;IF(N($U2450)&gt;0,"申請書に入力エラーが残っています／","")&amp;IF(AND($B2450&lt;&gt;"",$AQ2450&lt;&gt;""),IF(COUNTIFS($B$6:$B$3005,$B2450,$C$6:$C$3005,$C2450,$D$6:$D$3005,$D2450)&gt;1,"同じ月の請求が重複しています／",""),"")&amp;IF(AND(N($E2450)&gt;0,$AB2450&lt;&gt;"",$AB2450&lt;&gt;"×",$AE2450=0,$AD2450=""),"計算額が下限以下のため不支給／",""))</f>
        <v/>
      </c>
      <c r="AN2450" s="12" t="n"/>
      <c r="AO2450" s="14">
        <f>IF($AF2450="保留中",COUNTIF($AF$6:$AF2450,"保留中"),"")</f>
        <v/>
      </c>
      <c r="AP2450" s="14">
        <f>IF($AQ2450="","",IF(SUMPRODUCT(MAX((職員マスタ!$A$6:$A$405=$B2450)*(((職員マスタ!$G$6:$G$405="")+(職員マスタ!$G$6:$G$405&lt;=EOMONTH($AQ2450,0)))&gt;0)*(((職員マスタ!$H$6:$H$405="")+(職員マスタ!$H$6:$H$405&gt;=$AQ2450))&gt;0)*(ROW(職員マスタ!$A$6:$A$405)-5)))&gt;0,SUMPRODUCT(MAX((職員マスタ!$A$6:$A$405=$B2450)*(((職員マスタ!$G$6:$G$405="")+(職員マスタ!$G$6:$G$405&lt;=EOMONTH($AQ2450,0)))&gt;0)*(((職員マスタ!$H$6:$H$405="")+(職員マスタ!$H$6:$H$405&gt;=$AQ2450))&gt;0)*(ROW(職員マスタ!$A$6:$A$405)-5))),IFERROR(MATCH($B2450,職員マスタ!$A$6:$A$405,0),"")))</f>
        <v/>
      </c>
      <c r="AQ2450" s="16">
        <f>IF(OR($B2450="",$C2450="",$D2450=""),"",DATE($C2450+2018,$D2450,1))</f>
        <v/>
      </c>
    </row>
    <row r="2451">
      <c r="A2451" s="11" t="n"/>
      <c r="B2451" s="12" t="n"/>
      <c r="C2451" s="12" t="n"/>
      <c r="D2451" s="12" t="n"/>
      <c r="E2451" s="13" t="n"/>
      <c r="F2451" s="12" t="n"/>
      <c r="G2451" s="13" t="n"/>
      <c r="H2451" s="12" t="n"/>
      <c r="I2451" s="12" t="n"/>
      <c r="J2451" s="12" t="n"/>
      <c r="K2451" s="12" t="n"/>
      <c r="L2451" s="11" t="n"/>
      <c r="M2451" s="11" t="n"/>
      <c r="N2451" s="11" t="n"/>
      <c r="O2451" s="11" t="n"/>
      <c r="P2451" s="12" t="n"/>
      <c r="Q2451" s="11" t="n"/>
      <c r="R2451" s="12" t="n"/>
      <c r="S2451" s="11" t="n"/>
      <c r="T2451" s="12" t="n"/>
      <c r="U2451" s="12" t="n"/>
      <c r="V2451" s="12" t="n"/>
      <c r="W2451" s="13" t="n"/>
      <c r="X2451" s="14">
        <f>IF($AP2451="",IF($B2451="","",$H2451),IF(INDEX(職員マスタ!$B$6:$B$405,$AP2451)="",$H2451,INDEX(職員マスタ!$B$6:$B$405,$AP2451)))</f>
        <v/>
      </c>
      <c r="Y2451" s="14">
        <f>IF($AP2451="",IF($B2451="","",$R2451),IF(INDEX(職員マスタ!$C$6:$C$405,$AP2451)="",$R2451,INDEX(職員マスタ!$C$6:$C$405,$AP2451)))</f>
        <v/>
      </c>
      <c r="Z2451" s="14">
        <f>IF($AQ2451="","","R"&amp;$C2451&amp;"."&amp;$D2451)</f>
        <v/>
      </c>
      <c r="AA2451" s="15">
        <f>IF(IF($AP2451="",FALSE,INDEX(職員マスタ!$K$6:$K$405,$AP2451)&lt;&gt;""),INDEX(職員マスタ!$K$6:$K$405,$AP2451),IF(N($W2451)&gt;0,$W2451,""))</f>
        <v/>
      </c>
      <c r="AB2451" s="14">
        <f>IF(OR($E2451="",$AA2451=""),"",IF($E2451&gt;=$AA2451,"×",IF($E2451&gt;=$AA2451*設定!$C$5,"△","○")))</f>
        <v/>
      </c>
      <c r="AC2451" s="15">
        <f>IF($AB2451="","",IF($AB2451="×",0,IF($AB2451="○",ROUNDDOWN($E2451*設定!$C$4,0),ROUNDDOWN($E2451*ROUND((9*$AA2451-9*$E2451)/(10*$E2451),4),0))))</f>
        <v/>
      </c>
      <c r="AD2451" s="13" t="n"/>
      <c r="AE2451" s="15">
        <f>IF($B2451="","",IF($AD2451&lt;&gt;"",$AD2451,IF($AC2451="","",IF($AC2451&lt;=設定!$C$3,0,$AC2451))))</f>
        <v/>
      </c>
      <c r="AF2451" s="14">
        <f>IF($B2451="","",IF(AND($AG2451&lt;&gt;"",$AI2451="",$AL2451=""),"保留中",IF($AL2451&lt;&gt;"",IF(N($AE2451)&gt;0,"支給済","不支給"),IF($AE2451="","要確認",IF($AE2451=0,"不支給","未処理")))))</f>
        <v/>
      </c>
      <c r="AG2451" s="12" t="n"/>
      <c r="AH2451" s="11" t="n"/>
      <c r="AI2451" s="11" t="n"/>
      <c r="AJ2451" s="11" t="n"/>
      <c r="AK2451" s="14">
        <f>IF(AND($AF2451="保留中",$AH2451&lt;&gt;""),TODAY()-$AH2451,"")</f>
        <v/>
      </c>
      <c r="AL2451" s="12" t="n"/>
      <c r="AM2451" s="14">
        <f>IF($B2451="","",IF($AQ2451="","対象年月が未入力／","")&amp;IF($B2451="","",IF($AP2451="","職員マスタに未登録の職員番号／",IF($AA2451="","標準報酬月額が未登録／","")&amp;IF(AND($AQ2451&lt;&gt;"",OR(AND(INDEX(職員マスタ!$G$6:$G$405,$AP2451)&lt;&gt;"",INDEX(職員マスタ!$G$6:$G$405,$AP2451)&gt;EOMONTH($AQ2451,0)),AND(INDEX(職員マスタ!$H$6:$H$405,$AP2451)&lt;&gt;"",INDEX(職員マスタ!$H$6:$H$405,$AP2451)&lt;$AQ2451))),"対象月が時短期間外／","")&amp;IF(AND(INDEX(職員マスタ!$K$6:$K$405,$AP2451)&lt;&gt;"",N($W2451)&gt;0,INDEX(職員マスタ!$K$6:$K$405,$AP2451)&lt;&gt;$W2451),"標準報酬月額が申請書と相違（台帳"&amp;TEXT(INDEX(職員マスタ!$K$6:$K$405,$AP2451),"#,##0")&amp;"円／申請書"&amp;TEXT($W2451,"#,##0")&amp;"円）／","")&amp;IF(AND(INDEX(職員マスタ!$F$6:$F$405,$AP2451)&lt;&gt;"",$AQ2451&lt;&gt;"",INDEX(職員マスタ!$F$6:$F$405,$AP2451)&lt;$AQ2451),"対象月に子が2歳到達済／","")&amp;IF(AND($H2451&lt;&gt;"",INDEX(職員マスタ!$B$6:$B$405,$AP2451)&lt;&gt;"",SUBSTITUTE(SUBSTITUTE($H2451," ","")," ","")&lt;&gt;SUBSTITUTE(SUBSTITUTE(INDEX(職員マスタ!$B$6:$B$405,$AP2451)," ","")," ","")),"氏名がマスタと相違／","")&amp;IF(AND($Q2451&lt;&gt;"",INDEX(職員マスタ!$E$6:$E$405,$AP2451)&lt;&gt;"",$Q2451&lt;&gt;INDEX(職員マスタ!$E$6:$E$405,$AP2451)),"子の生年月日がマスタと相違／","")&amp;IF(AND($L2451&lt;&gt;"",INDEX(職員マスタ!$G$6:$G$405,$AP2451)&lt;&gt;"",$L2451&lt;&gt;INDEX(職員マスタ!$G$6:$G$405,$AP2451)),"時短開始日がマスタと相違／","")&amp;IF(AND($M2451&lt;&gt;"",INDEX(職員マスタ!$H$6:$H$405,$AP2451)&lt;&gt;"",$M2451&lt;&gt;INDEX(職員マスタ!$H$6:$H$405,$AP2451)),"時短終了日がマスタと相違／","")))&amp;IF(AND($B2451&lt;&gt;"",$E2451=""),"報酬額が未入力／","")&amp;IF(N($U2451)&gt;0,"申請書に入力エラーが残っています／","")&amp;IF(AND($B2451&lt;&gt;"",$AQ2451&lt;&gt;""),IF(COUNTIFS($B$6:$B$3005,$B2451,$C$6:$C$3005,$C2451,$D$6:$D$3005,$D2451)&gt;1,"同じ月の請求が重複しています／",""),"")&amp;IF(AND(N($E2451)&gt;0,$AB2451&lt;&gt;"",$AB2451&lt;&gt;"×",$AE2451=0,$AD2451=""),"計算額が下限以下のため不支給／",""))</f>
        <v/>
      </c>
      <c r="AN2451" s="12" t="n"/>
      <c r="AO2451" s="14">
        <f>IF($AF2451="保留中",COUNTIF($AF$6:$AF2451,"保留中"),"")</f>
        <v/>
      </c>
      <c r="AP2451" s="14">
        <f>IF($AQ2451="","",IF(SUMPRODUCT(MAX((職員マスタ!$A$6:$A$405=$B2451)*(((職員マスタ!$G$6:$G$405="")+(職員マスタ!$G$6:$G$405&lt;=EOMONTH($AQ2451,0)))&gt;0)*(((職員マスタ!$H$6:$H$405="")+(職員マスタ!$H$6:$H$405&gt;=$AQ2451))&gt;0)*(ROW(職員マスタ!$A$6:$A$405)-5)))&gt;0,SUMPRODUCT(MAX((職員マスタ!$A$6:$A$405=$B2451)*(((職員マスタ!$G$6:$G$405="")+(職員マスタ!$G$6:$G$405&lt;=EOMONTH($AQ2451,0)))&gt;0)*(((職員マスタ!$H$6:$H$405="")+(職員マスタ!$H$6:$H$405&gt;=$AQ2451))&gt;0)*(ROW(職員マスタ!$A$6:$A$405)-5))),IFERROR(MATCH($B2451,職員マスタ!$A$6:$A$405,0),"")))</f>
        <v/>
      </c>
      <c r="AQ2451" s="16">
        <f>IF(OR($B2451="",$C2451="",$D2451=""),"",DATE($C2451+2018,$D2451,1))</f>
        <v/>
      </c>
    </row>
    <row r="2452">
      <c r="A2452" s="11" t="n"/>
      <c r="B2452" s="12" t="n"/>
      <c r="C2452" s="12" t="n"/>
      <c r="D2452" s="12" t="n"/>
      <c r="E2452" s="13" t="n"/>
      <c r="F2452" s="12" t="n"/>
      <c r="G2452" s="13" t="n"/>
      <c r="H2452" s="12" t="n"/>
      <c r="I2452" s="12" t="n"/>
      <c r="J2452" s="12" t="n"/>
      <c r="K2452" s="12" t="n"/>
      <c r="L2452" s="11" t="n"/>
      <c r="M2452" s="11" t="n"/>
      <c r="N2452" s="11" t="n"/>
      <c r="O2452" s="11" t="n"/>
      <c r="P2452" s="12" t="n"/>
      <c r="Q2452" s="11" t="n"/>
      <c r="R2452" s="12" t="n"/>
      <c r="S2452" s="11" t="n"/>
      <c r="T2452" s="12" t="n"/>
      <c r="U2452" s="12" t="n"/>
      <c r="V2452" s="12" t="n"/>
      <c r="W2452" s="13" t="n"/>
      <c r="X2452" s="14">
        <f>IF($AP2452="",IF($B2452="","",$H2452),IF(INDEX(職員マスタ!$B$6:$B$405,$AP2452)="",$H2452,INDEX(職員マスタ!$B$6:$B$405,$AP2452)))</f>
        <v/>
      </c>
      <c r="Y2452" s="14">
        <f>IF($AP2452="",IF($B2452="","",$R2452),IF(INDEX(職員マスタ!$C$6:$C$405,$AP2452)="",$R2452,INDEX(職員マスタ!$C$6:$C$405,$AP2452)))</f>
        <v/>
      </c>
      <c r="Z2452" s="14">
        <f>IF($AQ2452="","","R"&amp;$C2452&amp;"."&amp;$D2452)</f>
        <v/>
      </c>
      <c r="AA2452" s="15">
        <f>IF(IF($AP2452="",FALSE,INDEX(職員マスタ!$K$6:$K$405,$AP2452)&lt;&gt;""),INDEX(職員マスタ!$K$6:$K$405,$AP2452),IF(N($W2452)&gt;0,$W2452,""))</f>
        <v/>
      </c>
      <c r="AB2452" s="14">
        <f>IF(OR($E2452="",$AA2452=""),"",IF($E2452&gt;=$AA2452,"×",IF($E2452&gt;=$AA2452*設定!$C$5,"△","○")))</f>
        <v/>
      </c>
      <c r="AC2452" s="15">
        <f>IF($AB2452="","",IF($AB2452="×",0,IF($AB2452="○",ROUNDDOWN($E2452*設定!$C$4,0),ROUNDDOWN($E2452*ROUND((9*$AA2452-9*$E2452)/(10*$E2452),4),0))))</f>
        <v/>
      </c>
      <c r="AD2452" s="13" t="n"/>
      <c r="AE2452" s="15">
        <f>IF($B2452="","",IF($AD2452&lt;&gt;"",$AD2452,IF($AC2452="","",IF($AC2452&lt;=設定!$C$3,0,$AC2452))))</f>
        <v/>
      </c>
      <c r="AF2452" s="14">
        <f>IF($B2452="","",IF(AND($AG2452&lt;&gt;"",$AI2452="",$AL2452=""),"保留中",IF($AL2452&lt;&gt;"",IF(N($AE2452)&gt;0,"支給済","不支給"),IF($AE2452="","要確認",IF($AE2452=0,"不支給","未処理")))))</f>
        <v/>
      </c>
      <c r="AG2452" s="12" t="n"/>
      <c r="AH2452" s="11" t="n"/>
      <c r="AI2452" s="11" t="n"/>
      <c r="AJ2452" s="11" t="n"/>
      <c r="AK2452" s="14">
        <f>IF(AND($AF2452="保留中",$AH2452&lt;&gt;""),TODAY()-$AH2452,"")</f>
        <v/>
      </c>
      <c r="AL2452" s="12" t="n"/>
      <c r="AM2452" s="14">
        <f>IF($B2452="","",IF($AQ2452="","対象年月が未入力／","")&amp;IF($B2452="","",IF($AP2452="","職員マスタに未登録の職員番号／",IF($AA2452="","標準報酬月額が未登録／","")&amp;IF(AND($AQ2452&lt;&gt;"",OR(AND(INDEX(職員マスタ!$G$6:$G$405,$AP2452)&lt;&gt;"",INDEX(職員マスタ!$G$6:$G$405,$AP2452)&gt;EOMONTH($AQ2452,0)),AND(INDEX(職員マスタ!$H$6:$H$405,$AP2452)&lt;&gt;"",INDEX(職員マスタ!$H$6:$H$405,$AP2452)&lt;$AQ2452))),"対象月が時短期間外／","")&amp;IF(AND(INDEX(職員マスタ!$K$6:$K$405,$AP2452)&lt;&gt;"",N($W2452)&gt;0,INDEX(職員マスタ!$K$6:$K$405,$AP2452)&lt;&gt;$W2452),"標準報酬月額が申請書と相違（台帳"&amp;TEXT(INDEX(職員マスタ!$K$6:$K$405,$AP2452),"#,##0")&amp;"円／申請書"&amp;TEXT($W2452,"#,##0")&amp;"円）／","")&amp;IF(AND(INDEX(職員マスタ!$F$6:$F$405,$AP2452)&lt;&gt;"",$AQ2452&lt;&gt;"",INDEX(職員マスタ!$F$6:$F$405,$AP2452)&lt;$AQ2452),"対象月に子が2歳到達済／","")&amp;IF(AND($H2452&lt;&gt;"",INDEX(職員マスタ!$B$6:$B$405,$AP2452)&lt;&gt;"",SUBSTITUTE(SUBSTITUTE($H2452," ","")," ","")&lt;&gt;SUBSTITUTE(SUBSTITUTE(INDEX(職員マスタ!$B$6:$B$405,$AP2452)," ","")," ","")),"氏名がマスタと相違／","")&amp;IF(AND($Q2452&lt;&gt;"",INDEX(職員マスタ!$E$6:$E$405,$AP2452)&lt;&gt;"",$Q2452&lt;&gt;INDEX(職員マスタ!$E$6:$E$405,$AP2452)),"子の生年月日がマスタと相違／","")&amp;IF(AND($L2452&lt;&gt;"",INDEX(職員マスタ!$G$6:$G$405,$AP2452)&lt;&gt;"",$L2452&lt;&gt;INDEX(職員マスタ!$G$6:$G$405,$AP2452)),"時短開始日がマスタと相違／","")&amp;IF(AND($M2452&lt;&gt;"",INDEX(職員マスタ!$H$6:$H$405,$AP2452)&lt;&gt;"",$M2452&lt;&gt;INDEX(職員マスタ!$H$6:$H$405,$AP2452)),"時短終了日がマスタと相違／","")))&amp;IF(AND($B2452&lt;&gt;"",$E2452=""),"報酬額が未入力／","")&amp;IF(N($U2452)&gt;0,"申請書に入力エラーが残っています／","")&amp;IF(AND($B2452&lt;&gt;"",$AQ2452&lt;&gt;""),IF(COUNTIFS($B$6:$B$3005,$B2452,$C$6:$C$3005,$C2452,$D$6:$D$3005,$D2452)&gt;1,"同じ月の請求が重複しています／",""),"")&amp;IF(AND(N($E2452)&gt;0,$AB2452&lt;&gt;"",$AB2452&lt;&gt;"×",$AE2452=0,$AD2452=""),"計算額が下限以下のため不支給／",""))</f>
        <v/>
      </c>
      <c r="AN2452" s="12" t="n"/>
      <c r="AO2452" s="14">
        <f>IF($AF2452="保留中",COUNTIF($AF$6:$AF2452,"保留中"),"")</f>
        <v/>
      </c>
      <c r="AP2452" s="14">
        <f>IF($AQ2452="","",IF(SUMPRODUCT(MAX((職員マスタ!$A$6:$A$405=$B2452)*(((職員マスタ!$G$6:$G$405="")+(職員マスタ!$G$6:$G$405&lt;=EOMONTH($AQ2452,0)))&gt;0)*(((職員マスタ!$H$6:$H$405="")+(職員マスタ!$H$6:$H$405&gt;=$AQ2452))&gt;0)*(ROW(職員マスタ!$A$6:$A$405)-5)))&gt;0,SUMPRODUCT(MAX((職員マスタ!$A$6:$A$405=$B2452)*(((職員マスタ!$G$6:$G$405="")+(職員マスタ!$G$6:$G$405&lt;=EOMONTH($AQ2452,0)))&gt;0)*(((職員マスタ!$H$6:$H$405="")+(職員マスタ!$H$6:$H$405&gt;=$AQ2452))&gt;0)*(ROW(職員マスタ!$A$6:$A$405)-5))),IFERROR(MATCH($B2452,職員マスタ!$A$6:$A$405,0),"")))</f>
        <v/>
      </c>
      <c r="AQ2452" s="16">
        <f>IF(OR($B2452="",$C2452="",$D2452=""),"",DATE($C2452+2018,$D2452,1))</f>
        <v/>
      </c>
    </row>
    <row r="2453">
      <c r="A2453" s="11" t="n"/>
      <c r="B2453" s="12" t="n"/>
      <c r="C2453" s="12" t="n"/>
      <c r="D2453" s="12" t="n"/>
      <c r="E2453" s="13" t="n"/>
      <c r="F2453" s="12" t="n"/>
      <c r="G2453" s="13" t="n"/>
      <c r="H2453" s="12" t="n"/>
      <c r="I2453" s="12" t="n"/>
      <c r="J2453" s="12" t="n"/>
      <c r="K2453" s="12" t="n"/>
      <c r="L2453" s="11" t="n"/>
      <c r="M2453" s="11" t="n"/>
      <c r="N2453" s="11" t="n"/>
      <c r="O2453" s="11" t="n"/>
      <c r="P2453" s="12" t="n"/>
      <c r="Q2453" s="11" t="n"/>
      <c r="R2453" s="12" t="n"/>
      <c r="S2453" s="11" t="n"/>
      <c r="T2453" s="12" t="n"/>
      <c r="U2453" s="12" t="n"/>
      <c r="V2453" s="12" t="n"/>
      <c r="W2453" s="13" t="n"/>
      <c r="X2453" s="14">
        <f>IF($AP2453="",IF($B2453="","",$H2453),IF(INDEX(職員マスタ!$B$6:$B$405,$AP2453)="",$H2453,INDEX(職員マスタ!$B$6:$B$405,$AP2453)))</f>
        <v/>
      </c>
      <c r="Y2453" s="14">
        <f>IF($AP2453="",IF($B2453="","",$R2453),IF(INDEX(職員マスタ!$C$6:$C$405,$AP2453)="",$R2453,INDEX(職員マスタ!$C$6:$C$405,$AP2453)))</f>
        <v/>
      </c>
      <c r="Z2453" s="14">
        <f>IF($AQ2453="","","R"&amp;$C2453&amp;"."&amp;$D2453)</f>
        <v/>
      </c>
      <c r="AA2453" s="15">
        <f>IF(IF($AP2453="",FALSE,INDEX(職員マスタ!$K$6:$K$405,$AP2453)&lt;&gt;""),INDEX(職員マスタ!$K$6:$K$405,$AP2453),IF(N($W2453)&gt;0,$W2453,""))</f>
        <v/>
      </c>
      <c r="AB2453" s="14">
        <f>IF(OR($E2453="",$AA2453=""),"",IF($E2453&gt;=$AA2453,"×",IF($E2453&gt;=$AA2453*設定!$C$5,"△","○")))</f>
        <v/>
      </c>
      <c r="AC2453" s="15">
        <f>IF($AB2453="","",IF($AB2453="×",0,IF($AB2453="○",ROUNDDOWN($E2453*設定!$C$4,0),ROUNDDOWN($E2453*ROUND((9*$AA2453-9*$E2453)/(10*$E2453),4),0))))</f>
        <v/>
      </c>
      <c r="AD2453" s="13" t="n"/>
      <c r="AE2453" s="15">
        <f>IF($B2453="","",IF($AD2453&lt;&gt;"",$AD2453,IF($AC2453="","",IF($AC2453&lt;=設定!$C$3,0,$AC2453))))</f>
        <v/>
      </c>
      <c r="AF2453" s="14">
        <f>IF($B2453="","",IF(AND($AG2453&lt;&gt;"",$AI2453="",$AL2453=""),"保留中",IF($AL2453&lt;&gt;"",IF(N($AE2453)&gt;0,"支給済","不支給"),IF($AE2453="","要確認",IF($AE2453=0,"不支給","未処理")))))</f>
        <v/>
      </c>
      <c r="AG2453" s="12" t="n"/>
      <c r="AH2453" s="11" t="n"/>
      <c r="AI2453" s="11" t="n"/>
      <c r="AJ2453" s="11" t="n"/>
      <c r="AK2453" s="14">
        <f>IF(AND($AF2453="保留中",$AH2453&lt;&gt;""),TODAY()-$AH2453,"")</f>
        <v/>
      </c>
      <c r="AL2453" s="12" t="n"/>
      <c r="AM2453" s="14">
        <f>IF($B2453="","",IF($AQ2453="","対象年月が未入力／","")&amp;IF($B2453="","",IF($AP2453="","職員マスタに未登録の職員番号／",IF($AA2453="","標準報酬月額が未登録／","")&amp;IF(AND($AQ2453&lt;&gt;"",OR(AND(INDEX(職員マスタ!$G$6:$G$405,$AP2453)&lt;&gt;"",INDEX(職員マスタ!$G$6:$G$405,$AP2453)&gt;EOMONTH($AQ2453,0)),AND(INDEX(職員マスタ!$H$6:$H$405,$AP2453)&lt;&gt;"",INDEX(職員マスタ!$H$6:$H$405,$AP2453)&lt;$AQ2453))),"対象月が時短期間外／","")&amp;IF(AND(INDEX(職員マスタ!$K$6:$K$405,$AP2453)&lt;&gt;"",N($W2453)&gt;0,INDEX(職員マスタ!$K$6:$K$405,$AP2453)&lt;&gt;$W2453),"標準報酬月額が申請書と相違（台帳"&amp;TEXT(INDEX(職員マスタ!$K$6:$K$405,$AP2453),"#,##0")&amp;"円／申請書"&amp;TEXT($W2453,"#,##0")&amp;"円）／","")&amp;IF(AND(INDEX(職員マスタ!$F$6:$F$405,$AP2453)&lt;&gt;"",$AQ2453&lt;&gt;"",INDEX(職員マスタ!$F$6:$F$405,$AP2453)&lt;$AQ2453),"対象月に子が2歳到達済／","")&amp;IF(AND($H2453&lt;&gt;"",INDEX(職員マスタ!$B$6:$B$405,$AP2453)&lt;&gt;"",SUBSTITUTE(SUBSTITUTE($H2453," ","")," ","")&lt;&gt;SUBSTITUTE(SUBSTITUTE(INDEX(職員マスタ!$B$6:$B$405,$AP2453)," ","")," ","")),"氏名がマスタと相違／","")&amp;IF(AND($Q2453&lt;&gt;"",INDEX(職員マスタ!$E$6:$E$405,$AP2453)&lt;&gt;"",$Q2453&lt;&gt;INDEX(職員マスタ!$E$6:$E$405,$AP2453)),"子の生年月日がマスタと相違／","")&amp;IF(AND($L2453&lt;&gt;"",INDEX(職員マスタ!$G$6:$G$405,$AP2453)&lt;&gt;"",$L2453&lt;&gt;INDEX(職員マスタ!$G$6:$G$405,$AP2453)),"時短開始日がマスタと相違／","")&amp;IF(AND($M2453&lt;&gt;"",INDEX(職員マスタ!$H$6:$H$405,$AP2453)&lt;&gt;"",$M2453&lt;&gt;INDEX(職員マスタ!$H$6:$H$405,$AP2453)),"時短終了日がマスタと相違／","")))&amp;IF(AND($B2453&lt;&gt;"",$E2453=""),"報酬額が未入力／","")&amp;IF(N($U2453)&gt;0,"申請書に入力エラーが残っています／","")&amp;IF(AND($B2453&lt;&gt;"",$AQ2453&lt;&gt;""),IF(COUNTIFS($B$6:$B$3005,$B2453,$C$6:$C$3005,$C2453,$D$6:$D$3005,$D2453)&gt;1,"同じ月の請求が重複しています／",""),"")&amp;IF(AND(N($E2453)&gt;0,$AB2453&lt;&gt;"",$AB2453&lt;&gt;"×",$AE2453=0,$AD2453=""),"計算額が下限以下のため不支給／",""))</f>
        <v/>
      </c>
      <c r="AN2453" s="12" t="n"/>
      <c r="AO2453" s="14">
        <f>IF($AF2453="保留中",COUNTIF($AF$6:$AF2453,"保留中"),"")</f>
        <v/>
      </c>
      <c r="AP2453" s="14">
        <f>IF($AQ2453="","",IF(SUMPRODUCT(MAX((職員マスタ!$A$6:$A$405=$B2453)*(((職員マスタ!$G$6:$G$405="")+(職員マスタ!$G$6:$G$405&lt;=EOMONTH($AQ2453,0)))&gt;0)*(((職員マスタ!$H$6:$H$405="")+(職員マスタ!$H$6:$H$405&gt;=$AQ2453))&gt;0)*(ROW(職員マスタ!$A$6:$A$405)-5)))&gt;0,SUMPRODUCT(MAX((職員マスタ!$A$6:$A$405=$B2453)*(((職員マスタ!$G$6:$G$405="")+(職員マスタ!$G$6:$G$405&lt;=EOMONTH($AQ2453,0)))&gt;0)*(((職員マスタ!$H$6:$H$405="")+(職員マスタ!$H$6:$H$405&gt;=$AQ2453))&gt;0)*(ROW(職員マスタ!$A$6:$A$405)-5))),IFERROR(MATCH($B2453,職員マスタ!$A$6:$A$405,0),"")))</f>
        <v/>
      </c>
      <c r="AQ2453" s="16">
        <f>IF(OR($B2453="",$C2453="",$D2453=""),"",DATE($C2453+2018,$D2453,1))</f>
        <v/>
      </c>
    </row>
    <row r="2454">
      <c r="A2454" s="11" t="n"/>
      <c r="B2454" s="12" t="n"/>
      <c r="C2454" s="12" t="n"/>
      <c r="D2454" s="12" t="n"/>
      <c r="E2454" s="13" t="n"/>
      <c r="F2454" s="12" t="n"/>
      <c r="G2454" s="13" t="n"/>
      <c r="H2454" s="12" t="n"/>
      <c r="I2454" s="12" t="n"/>
      <c r="J2454" s="12" t="n"/>
      <c r="K2454" s="12" t="n"/>
      <c r="L2454" s="11" t="n"/>
      <c r="M2454" s="11" t="n"/>
      <c r="N2454" s="11" t="n"/>
      <c r="O2454" s="11" t="n"/>
      <c r="P2454" s="12" t="n"/>
      <c r="Q2454" s="11" t="n"/>
      <c r="R2454" s="12" t="n"/>
      <c r="S2454" s="11" t="n"/>
      <c r="T2454" s="12" t="n"/>
      <c r="U2454" s="12" t="n"/>
      <c r="V2454" s="12" t="n"/>
      <c r="W2454" s="13" t="n"/>
      <c r="X2454" s="14">
        <f>IF($AP2454="",IF($B2454="","",$H2454),IF(INDEX(職員マスタ!$B$6:$B$405,$AP2454)="",$H2454,INDEX(職員マスタ!$B$6:$B$405,$AP2454)))</f>
        <v/>
      </c>
      <c r="Y2454" s="14">
        <f>IF($AP2454="",IF($B2454="","",$R2454),IF(INDEX(職員マスタ!$C$6:$C$405,$AP2454)="",$R2454,INDEX(職員マスタ!$C$6:$C$405,$AP2454)))</f>
        <v/>
      </c>
      <c r="Z2454" s="14">
        <f>IF($AQ2454="","","R"&amp;$C2454&amp;"."&amp;$D2454)</f>
        <v/>
      </c>
      <c r="AA2454" s="15">
        <f>IF(IF($AP2454="",FALSE,INDEX(職員マスタ!$K$6:$K$405,$AP2454)&lt;&gt;""),INDEX(職員マスタ!$K$6:$K$405,$AP2454),IF(N($W2454)&gt;0,$W2454,""))</f>
        <v/>
      </c>
      <c r="AB2454" s="14">
        <f>IF(OR($E2454="",$AA2454=""),"",IF($E2454&gt;=$AA2454,"×",IF($E2454&gt;=$AA2454*設定!$C$5,"△","○")))</f>
        <v/>
      </c>
      <c r="AC2454" s="15">
        <f>IF($AB2454="","",IF($AB2454="×",0,IF($AB2454="○",ROUNDDOWN($E2454*設定!$C$4,0),ROUNDDOWN($E2454*ROUND((9*$AA2454-9*$E2454)/(10*$E2454),4),0))))</f>
        <v/>
      </c>
      <c r="AD2454" s="13" t="n"/>
      <c r="AE2454" s="15">
        <f>IF($B2454="","",IF($AD2454&lt;&gt;"",$AD2454,IF($AC2454="","",IF($AC2454&lt;=設定!$C$3,0,$AC2454))))</f>
        <v/>
      </c>
      <c r="AF2454" s="14">
        <f>IF($B2454="","",IF(AND($AG2454&lt;&gt;"",$AI2454="",$AL2454=""),"保留中",IF($AL2454&lt;&gt;"",IF(N($AE2454)&gt;0,"支給済","不支給"),IF($AE2454="","要確認",IF($AE2454=0,"不支給","未処理")))))</f>
        <v/>
      </c>
      <c r="AG2454" s="12" t="n"/>
      <c r="AH2454" s="11" t="n"/>
      <c r="AI2454" s="11" t="n"/>
      <c r="AJ2454" s="11" t="n"/>
      <c r="AK2454" s="14">
        <f>IF(AND($AF2454="保留中",$AH2454&lt;&gt;""),TODAY()-$AH2454,"")</f>
        <v/>
      </c>
      <c r="AL2454" s="12" t="n"/>
      <c r="AM2454" s="14">
        <f>IF($B2454="","",IF($AQ2454="","対象年月が未入力／","")&amp;IF($B2454="","",IF($AP2454="","職員マスタに未登録の職員番号／",IF($AA2454="","標準報酬月額が未登録／","")&amp;IF(AND($AQ2454&lt;&gt;"",OR(AND(INDEX(職員マスタ!$G$6:$G$405,$AP2454)&lt;&gt;"",INDEX(職員マスタ!$G$6:$G$405,$AP2454)&gt;EOMONTH($AQ2454,0)),AND(INDEX(職員マスタ!$H$6:$H$405,$AP2454)&lt;&gt;"",INDEX(職員マスタ!$H$6:$H$405,$AP2454)&lt;$AQ2454))),"対象月が時短期間外／","")&amp;IF(AND(INDEX(職員マスタ!$K$6:$K$405,$AP2454)&lt;&gt;"",N($W2454)&gt;0,INDEX(職員マスタ!$K$6:$K$405,$AP2454)&lt;&gt;$W2454),"標準報酬月額が申請書と相違（台帳"&amp;TEXT(INDEX(職員マスタ!$K$6:$K$405,$AP2454),"#,##0")&amp;"円／申請書"&amp;TEXT($W2454,"#,##0")&amp;"円）／","")&amp;IF(AND(INDEX(職員マスタ!$F$6:$F$405,$AP2454)&lt;&gt;"",$AQ2454&lt;&gt;"",INDEX(職員マスタ!$F$6:$F$405,$AP2454)&lt;$AQ2454),"対象月に子が2歳到達済／","")&amp;IF(AND($H2454&lt;&gt;"",INDEX(職員マスタ!$B$6:$B$405,$AP2454)&lt;&gt;"",SUBSTITUTE(SUBSTITUTE($H2454," ","")," ","")&lt;&gt;SUBSTITUTE(SUBSTITUTE(INDEX(職員マスタ!$B$6:$B$405,$AP2454)," ","")," ","")),"氏名がマスタと相違／","")&amp;IF(AND($Q2454&lt;&gt;"",INDEX(職員マスタ!$E$6:$E$405,$AP2454)&lt;&gt;"",$Q2454&lt;&gt;INDEX(職員マスタ!$E$6:$E$405,$AP2454)),"子の生年月日がマスタと相違／","")&amp;IF(AND($L2454&lt;&gt;"",INDEX(職員マスタ!$G$6:$G$405,$AP2454)&lt;&gt;"",$L2454&lt;&gt;INDEX(職員マスタ!$G$6:$G$405,$AP2454)),"時短開始日がマスタと相違／","")&amp;IF(AND($M2454&lt;&gt;"",INDEX(職員マスタ!$H$6:$H$405,$AP2454)&lt;&gt;"",$M2454&lt;&gt;INDEX(職員マスタ!$H$6:$H$405,$AP2454)),"時短終了日がマスタと相違／","")))&amp;IF(AND($B2454&lt;&gt;"",$E2454=""),"報酬額が未入力／","")&amp;IF(N($U2454)&gt;0,"申請書に入力エラーが残っています／","")&amp;IF(AND($B2454&lt;&gt;"",$AQ2454&lt;&gt;""),IF(COUNTIFS($B$6:$B$3005,$B2454,$C$6:$C$3005,$C2454,$D$6:$D$3005,$D2454)&gt;1,"同じ月の請求が重複しています／",""),"")&amp;IF(AND(N($E2454)&gt;0,$AB2454&lt;&gt;"",$AB2454&lt;&gt;"×",$AE2454=0,$AD2454=""),"計算額が下限以下のため不支給／",""))</f>
        <v/>
      </c>
      <c r="AN2454" s="12" t="n"/>
      <c r="AO2454" s="14">
        <f>IF($AF2454="保留中",COUNTIF($AF$6:$AF2454,"保留中"),"")</f>
        <v/>
      </c>
      <c r="AP2454" s="14">
        <f>IF($AQ2454="","",IF(SUMPRODUCT(MAX((職員マスタ!$A$6:$A$405=$B2454)*(((職員マスタ!$G$6:$G$405="")+(職員マスタ!$G$6:$G$405&lt;=EOMONTH($AQ2454,0)))&gt;0)*(((職員マスタ!$H$6:$H$405="")+(職員マスタ!$H$6:$H$405&gt;=$AQ2454))&gt;0)*(ROW(職員マスタ!$A$6:$A$405)-5)))&gt;0,SUMPRODUCT(MAX((職員マスタ!$A$6:$A$405=$B2454)*(((職員マスタ!$G$6:$G$405="")+(職員マスタ!$G$6:$G$405&lt;=EOMONTH($AQ2454,0)))&gt;0)*(((職員マスタ!$H$6:$H$405="")+(職員マスタ!$H$6:$H$405&gt;=$AQ2454))&gt;0)*(ROW(職員マスタ!$A$6:$A$405)-5))),IFERROR(MATCH($B2454,職員マスタ!$A$6:$A$405,0),"")))</f>
        <v/>
      </c>
      <c r="AQ2454" s="16">
        <f>IF(OR($B2454="",$C2454="",$D2454=""),"",DATE($C2454+2018,$D2454,1))</f>
        <v/>
      </c>
    </row>
    <row r="2455">
      <c r="A2455" s="11" t="n"/>
      <c r="B2455" s="12" t="n"/>
      <c r="C2455" s="12" t="n"/>
      <c r="D2455" s="12" t="n"/>
      <c r="E2455" s="13" t="n"/>
      <c r="F2455" s="12" t="n"/>
      <c r="G2455" s="13" t="n"/>
      <c r="H2455" s="12" t="n"/>
      <c r="I2455" s="12" t="n"/>
      <c r="J2455" s="12" t="n"/>
      <c r="K2455" s="12" t="n"/>
      <c r="L2455" s="11" t="n"/>
      <c r="M2455" s="11" t="n"/>
      <c r="N2455" s="11" t="n"/>
      <c r="O2455" s="11" t="n"/>
      <c r="P2455" s="12" t="n"/>
      <c r="Q2455" s="11" t="n"/>
      <c r="R2455" s="12" t="n"/>
      <c r="S2455" s="11" t="n"/>
      <c r="T2455" s="12" t="n"/>
      <c r="U2455" s="12" t="n"/>
      <c r="V2455" s="12" t="n"/>
      <c r="W2455" s="13" t="n"/>
      <c r="X2455" s="14">
        <f>IF($AP2455="",IF($B2455="","",$H2455),IF(INDEX(職員マスタ!$B$6:$B$405,$AP2455)="",$H2455,INDEX(職員マスタ!$B$6:$B$405,$AP2455)))</f>
        <v/>
      </c>
      <c r="Y2455" s="14">
        <f>IF($AP2455="",IF($B2455="","",$R2455),IF(INDEX(職員マスタ!$C$6:$C$405,$AP2455)="",$R2455,INDEX(職員マスタ!$C$6:$C$405,$AP2455)))</f>
        <v/>
      </c>
      <c r="Z2455" s="14">
        <f>IF($AQ2455="","","R"&amp;$C2455&amp;"."&amp;$D2455)</f>
        <v/>
      </c>
      <c r="AA2455" s="15">
        <f>IF(IF($AP2455="",FALSE,INDEX(職員マスタ!$K$6:$K$405,$AP2455)&lt;&gt;""),INDEX(職員マスタ!$K$6:$K$405,$AP2455),IF(N($W2455)&gt;0,$W2455,""))</f>
        <v/>
      </c>
      <c r="AB2455" s="14">
        <f>IF(OR($E2455="",$AA2455=""),"",IF($E2455&gt;=$AA2455,"×",IF($E2455&gt;=$AA2455*設定!$C$5,"△","○")))</f>
        <v/>
      </c>
      <c r="AC2455" s="15">
        <f>IF($AB2455="","",IF($AB2455="×",0,IF($AB2455="○",ROUNDDOWN($E2455*設定!$C$4,0),ROUNDDOWN($E2455*ROUND((9*$AA2455-9*$E2455)/(10*$E2455),4),0))))</f>
        <v/>
      </c>
      <c r="AD2455" s="13" t="n"/>
      <c r="AE2455" s="15">
        <f>IF($B2455="","",IF($AD2455&lt;&gt;"",$AD2455,IF($AC2455="","",IF($AC2455&lt;=設定!$C$3,0,$AC2455))))</f>
        <v/>
      </c>
      <c r="AF2455" s="14">
        <f>IF($B2455="","",IF(AND($AG2455&lt;&gt;"",$AI2455="",$AL2455=""),"保留中",IF($AL2455&lt;&gt;"",IF(N($AE2455)&gt;0,"支給済","不支給"),IF($AE2455="","要確認",IF($AE2455=0,"不支給","未処理")))))</f>
        <v/>
      </c>
      <c r="AG2455" s="12" t="n"/>
      <c r="AH2455" s="11" t="n"/>
      <c r="AI2455" s="11" t="n"/>
      <c r="AJ2455" s="11" t="n"/>
      <c r="AK2455" s="14">
        <f>IF(AND($AF2455="保留中",$AH2455&lt;&gt;""),TODAY()-$AH2455,"")</f>
        <v/>
      </c>
      <c r="AL2455" s="12" t="n"/>
      <c r="AM2455" s="14">
        <f>IF($B2455="","",IF($AQ2455="","対象年月が未入力／","")&amp;IF($B2455="","",IF($AP2455="","職員マスタに未登録の職員番号／",IF($AA2455="","標準報酬月額が未登録／","")&amp;IF(AND($AQ2455&lt;&gt;"",OR(AND(INDEX(職員マスタ!$G$6:$G$405,$AP2455)&lt;&gt;"",INDEX(職員マスタ!$G$6:$G$405,$AP2455)&gt;EOMONTH($AQ2455,0)),AND(INDEX(職員マスタ!$H$6:$H$405,$AP2455)&lt;&gt;"",INDEX(職員マスタ!$H$6:$H$405,$AP2455)&lt;$AQ2455))),"対象月が時短期間外／","")&amp;IF(AND(INDEX(職員マスタ!$K$6:$K$405,$AP2455)&lt;&gt;"",N($W2455)&gt;0,INDEX(職員マスタ!$K$6:$K$405,$AP2455)&lt;&gt;$W2455),"標準報酬月額が申請書と相違（台帳"&amp;TEXT(INDEX(職員マスタ!$K$6:$K$405,$AP2455),"#,##0")&amp;"円／申請書"&amp;TEXT($W2455,"#,##0")&amp;"円）／","")&amp;IF(AND(INDEX(職員マスタ!$F$6:$F$405,$AP2455)&lt;&gt;"",$AQ2455&lt;&gt;"",INDEX(職員マスタ!$F$6:$F$405,$AP2455)&lt;$AQ2455),"対象月に子が2歳到達済／","")&amp;IF(AND($H2455&lt;&gt;"",INDEX(職員マスタ!$B$6:$B$405,$AP2455)&lt;&gt;"",SUBSTITUTE(SUBSTITUTE($H2455," ","")," ","")&lt;&gt;SUBSTITUTE(SUBSTITUTE(INDEX(職員マスタ!$B$6:$B$405,$AP2455)," ","")," ","")),"氏名がマスタと相違／","")&amp;IF(AND($Q2455&lt;&gt;"",INDEX(職員マスタ!$E$6:$E$405,$AP2455)&lt;&gt;"",$Q2455&lt;&gt;INDEX(職員マスタ!$E$6:$E$405,$AP2455)),"子の生年月日がマスタと相違／","")&amp;IF(AND($L2455&lt;&gt;"",INDEX(職員マスタ!$G$6:$G$405,$AP2455)&lt;&gt;"",$L2455&lt;&gt;INDEX(職員マスタ!$G$6:$G$405,$AP2455)),"時短開始日がマスタと相違／","")&amp;IF(AND($M2455&lt;&gt;"",INDEX(職員マスタ!$H$6:$H$405,$AP2455)&lt;&gt;"",$M2455&lt;&gt;INDEX(職員マスタ!$H$6:$H$405,$AP2455)),"時短終了日がマスタと相違／","")))&amp;IF(AND($B2455&lt;&gt;"",$E2455=""),"報酬額が未入力／","")&amp;IF(N($U2455)&gt;0,"申請書に入力エラーが残っています／","")&amp;IF(AND($B2455&lt;&gt;"",$AQ2455&lt;&gt;""),IF(COUNTIFS($B$6:$B$3005,$B2455,$C$6:$C$3005,$C2455,$D$6:$D$3005,$D2455)&gt;1,"同じ月の請求が重複しています／",""),"")&amp;IF(AND(N($E2455)&gt;0,$AB2455&lt;&gt;"",$AB2455&lt;&gt;"×",$AE2455=0,$AD2455=""),"計算額が下限以下のため不支給／",""))</f>
        <v/>
      </c>
      <c r="AN2455" s="12" t="n"/>
      <c r="AO2455" s="14">
        <f>IF($AF2455="保留中",COUNTIF($AF$6:$AF2455,"保留中"),"")</f>
        <v/>
      </c>
      <c r="AP2455" s="14">
        <f>IF($AQ2455="","",IF(SUMPRODUCT(MAX((職員マスタ!$A$6:$A$405=$B2455)*(((職員マスタ!$G$6:$G$405="")+(職員マスタ!$G$6:$G$405&lt;=EOMONTH($AQ2455,0)))&gt;0)*(((職員マスタ!$H$6:$H$405="")+(職員マスタ!$H$6:$H$405&gt;=$AQ2455))&gt;0)*(ROW(職員マスタ!$A$6:$A$405)-5)))&gt;0,SUMPRODUCT(MAX((職員マスタ!$A$6:$A$405=$B2455)*(((職員マスタ!$G$6:$G$405="")+(職員マスタ!$G$6:$G$405&lt;=EOMONTH($AQ2455,0)))&gt;0)*(((職員マスタ!$H$6:$H$405="")+(職員マスタ!$H$6:$H$405&gt;=$AQ2455))&gt;0)*(ROW(職員マスタ!$A$6:$A$405)-5))),IFERROR(MATCH($B2455,職員マスタ!$A$6:$A$405,0),"")))</f>
        <v/>
      </c>
      <c r="AQ2455" s="16">
        <f>IF(OR($B2455="",$C2455="",$D2455=""),"",DATE($C2455+2018,$D2455,1))</f>
        <v/>
      </c>
    </row>
    <row r="2456">
      <c r="A2456" s="11" t="n"/>
      <c r="B2456" s="12" t="n"/>
      <c r="C2456" s="12" t="n"/>
      <c r="D2456" s="12" t="n"/>
      <c r="E2456" s="13" t="n"/>
      <c r="F2456" s="12" t="n"/>
      <c r="G2456" s="13" t="n"/>
      <c r="H2456" s="12" t="n"/>
      <c r="I2456" s="12" t="n"/>
      <c r="J2456" s="12" t="n"/>
      <c r="K2456" s="12" t="n"/>
      <c r="L2456" s="11" t="n"/>
      <c r="M2456" s="11" t="n"/>
      <c r="N2456" s="11" t="n"/>
      <c r="O2456" s="11" t="n"/>
      <c r="P2456" s="12" t="n"/>
      <c r="Q2456" s="11" t="n"/>
      <c r="R2456" s="12" t="n"/>
      <c r="S2456" s="11" t="n"/>
      <c r="T2456" s="12" t="n"/>
      <c r="U2456" s="12" t="n"/>
      <c r="V2456" s="12" t="n"/>
      <c r="W2456" s="13" t="n"/>
      <c r="X2456" s="14">
        <f>IF($AP2456="",IF($B2456="","",$H2456),IF(INDEX(職員マスタ!$B$6:$B$405,$AP2456)="",$H2456,INDEX(職員マスタ!$B$6:$B$405,$AP2456)))</f>
        <v/>
      </c>
      <c r="Y2456" s="14">
        <f>IF($AP2456="",IF($B2456="","",$R2456),IF(INDEX(職員マスタ!$C$6:$C$405,$AP2456)="",$R2456,INDEX(職員マスタ!$C$6:$C$405,$AP2456)))</f>
        <v/>
      </c>
      <c r="Z2456" s="14">
        <f>IF($AQ2456="","","R"&amp;$C2456&amp;"."&amp;$D2456)</f>
        <v/>
      </c>
      <c r="AA2456" s="15">
        <f>IF(IF($AP2456="",FALSE,INDEX(職員マスタ!$K$6:$K$405,$AP2456)&lt;&gt;""),INDEX(職員マスタ!$K$6:$K$405,$AP2456),IF(N($W2456)&gt;0,$W2456,""))</f>
        <v/>
      </c>
      <c r="AB2456" s="14">
        <f>IF(OR($E2456="",$AA2456=""),"",IF($E2456&gt;=$AA2456,"×",IF($E2456&gt;=$AA2456*設定!$C$5,"△","○")))</f>
        <v/>
      </c>
      <c r="AC2456" s="15">
        <f>IF($AB2456="","",IF($AB2456="×",0,IF($AB2456="○",ROUNDDOWN($E2456*設定!$C$4,0),ROUNDDOWN($E2456*ROUND((9*$AA2456-9*$E2456)/(10*$E2456),4),0))))</f>
        <v/>
      </c>
      <c r="AD2456" s="13" t="n"/>
      <c r="AE2456" s="15">
        <f>IF($B2456="","",IF($AD2456&lt;&gt;"",$AD2456,IF($AC2456="","",IF($AC2456&lt;=設定!$C$3,0,$AC2456))))</f>
        <v/>
      </c>
      <c r="AF2456" s="14">
        <f>IF($B2456="","",IF(AND($AG2456&lt;&gt;"",$AI2456="",$AL2456=""),"保留中",IF($AL2456&lt;&gt;"",IF(N($AE2456)&gt;0,"支給済","不支給"),IF($AE2456="","要確認",IF($AE2456=0,"不支給","未処理")))))</f>
        <v/>
      </c>
      <c r="AG2456" s="12" t="n"/>
      <c r="AH2456" s="11" t="n"/>
      <c r="AI2456" s="11" t="n"/>
      <c r="AJ2456" s="11" t="n"/>
      <c r="AK2456" s="14">
        <f>IF(AND($AF2456="保留中",$AH2456&lt;&gt;""),TODAY()-$AH2456,"")</f>
        <v/>
      </c>
      <c r="AL2456" s="12" t="n"/>
      <c r="AM2456" s="14">
        <f>IF($B2456="","",IF($AQ2456="","対象年月が未入力／","")&amp;IF($B2456="","",IF($AP2456="","職員マスタに未登録の職員番号／",IF($AA2456="","標準報酬月額が未登録／","")&amp;IF(AND($AQ2456&lt;&gt;"",OR(AND(INDEX(職員マスタ!$G$6:$G$405,$AP2456)&lt;&gt;"",INDEX(職員マスタ!$G$6:$G$405,$AP2456)&gt;EOMONTH($AQ2456,0)),AND(INDEX(職員マスタ!$H$6:$H$405,$AP2456)&lt;&gt;"",INDEX(職員マスタ!$H$6:$H$405,$AP2456)&lt;$AQ2456))),"対象月が時短期間外／","")&amp;IF(AND(INDEX(職員マスタ!$K$6:$K$405,$AP2456)&lt;&gt;"",N($W2456)&gt;0,INDEX(職員マスタ!$K$6:$K$405,$AP2456)&lt;&gt;$W2456),"標準報酬月額が申請書と相違（台帳"&amp;TEXT(INDEX(職員マスタ!$K$6:$K$405,$AP2456),"#,##0")&amp;"円／申請書"&amp;TEXT($W2456,"#,##0")&amp;"円）／","")&amp;IF(AND(INDEX(職員マスタ!$F$6:$F$405,$AP2456)&lt;&gt;"",$AQ2456&lt;&gt;"",INDEX(職員マスタ!$F$6:$F$405,$AP2456)&lt;$AQ2456),"対象月に子が2歳到達済／","")&amp;IF(AND($H2456&lt;&gt;"",INDEX(職員マスタ!$B$6:$B$405,$AP2456)&lt;&gt;"",SUBSTITUTE(SUBSTITUTE($H2456," ","")," ","")&lt;&gt;SUBSTITUTE(SUBSTITUTE(INDEX(職員マスタ!$B$6:$B$405,$AP2456)," ","")," ","")),"氏名がマスタと相違／","")&amp;IF(AND($Q2456&lt;&gt;"",INDEX(職員マスタ!$E$6:$E$405,$AP2456)&lt;&gt;"",$Q2456&lt;&gt;INDEX(職員マスタ!$E$6:$E$405,$AP2456)),"子の生年月日がマスタと相違／","")&amp;IF(AND($L2456&lt;&gt;"",INDEX(職員マスタ!$G$6:$G$405,$AP2456)&lt;&gt;"",$L2456&lt;&gt;INDEX(職員マスタ!$G$6:$G$405,$AP2456)),"時短開始日がマスタと相違／","")&amp;IF(AND($M2456&lt;&gt;"",INDEX(職員マスタ!$H$6:$H$405,$AP2456)&lt;&gt;"",$M2456&lt;&gt;INDEX(職員マスタ!$H$6:$H$405,$AP2456)),"時短終了日がマスタと相違／","")))&amp;IF(AND($B2456&lt;&gt;"",$E2456=""),"報酬額が未入力／","")&amp;IF(N($U2456)&gt;0,"申請書に入力エラーが残っています／","")&amp;IF(AND($B2456&lt;&gt;"",$AQ2456&lt;&gt;""),IF(COUNTIFS($B$6:$B$3005,$B2456,$C$6:$C$3005,$C2456,$D$6:$D$3005,$D2456)&gt;1,"同じ月の請求が重複しています／",""),"")&amp;IF(AND(N($E2456)&gt;0,$AB2456&lt;&gt;"",$AB2456&lt;&gt;"×",$AE2456=0,$AD2456=""),"計算額が下限以下のため不支給／",""))</f>
        <v/>
      </c>
      <c r="AN2456" s="12" t="n"/>
      <c r="AO2456" s="14">
        <f>IF($AF2456="保留中",COUNTIF($AF$6:$AF2456,"保留中"),"")</f>
        <v/>
      </c>
      <c r="AP2456" s="14">
        <f>IF($AQ2456="","",IF(SUMPRODUCT(MAX((職員マスタ!$A$6:$A$405=$B2456)*(((職員マスタ!$G$6:$G$405="")+(職員マスタ!$G$6:$G$405&lt;=EOMONTH($AQ2456,0)))&gt;0)*(((職員マスタ!$H$6:$H$405="")+(職員マスタ!$H$6:$H$405&gt;=$AQ2456))&gt;0)*(ROW(職員マスタ!$A$6:$A$405)-5)))&gt;0,SUMPRODUCT(MAX((職員マスタ!$A$6:$A$405=$B2456)*(((職員マスタ!$G$6:$G$405="")+(職員マスタ!$G$6:$G$405&lt;=EOMONTH($AQ2456,0)))&gt;0)*(((職員マスタ!$H$6:$H$405="")+(職員マスタ!$H$6:$H$405&gt;=$AQ2456))&gt;0)*(ROW(職員マスタ!$A$6:$A$405)-5))),IFERROR(MATCH($B2456,職員マスタ!$A$6:$A$405,0),"")))</f>
        <v/>
      </c>
      <c r="AQ2456" s="16">
        <f>IF(OR($B2456="",$C2456="",$D2456=""),"",DATE($C2456+2018,$D2456,1))</f>
        <v/>
      </c>
    </row>
    <row r="2457">
      <c r="A2457" s="11" t="n"/>
      <c r="B2457" s="12" t="n"/>
      <c r="C2457" s="12" t="n"/>
      <c r="D2457" s="12" t="n"/>
      <c r="E2457" s="13" t="n"/>
      <c r="F2457" s="12" t="n"/>
      <c r="G2457" s="13" t="n"/>
      <c r="H2457" s="12" t="n"/>
      <c r="I2457" s="12" t="n"/>
      <c r="J2457" s="12" t="n"/>
      <c r="K2457" s="12" t="n"/>
      <c r="L2457" s="11" t="n"/>
      <c r="M2457" s="11" t="n"/>
      <c r="N2457" s="11" t="n"/>
      <c r="O2457" s="11" t="n"/>
      <c r="P2457" s="12" t="n"/>
      <c r="Q2457" s="11" t="n"/>
      <c r="R2457" s="12" t="n"/>
      <c r="S2457" s="11" t="n"/>
      <c r="T2457" s="12" t="n"/>
      <c r="U2457" s="12" t="n"/>
      <c r="V2457" s="12" t="n"/>
      <c r="W2457" s="13" t="n"/>
      <c r="X2457" s="14">
        <f>IF($AP2457="",IF($B2457="","",$H2457),IF(INDEX(職員マスタ!$B$6:$B$405,$AP2457)="",$H2457,INDEX(職員マスタ!$B$6:$B$405,$AP2457)))</f>
        <v/>
      </c>
      <c r="Y2457" s="14">
        <f>IF($AP2457="",IF($B2457="","",$R2457),IF(INDEX(職員マスタ!$C$6:$C$405,$AP2457)="",$R2457,INDEX(職員マスタ!$C$6:$C$405,$AP2457)))</f>
        <v/>
      </c>
      <c r="Z2457" s="14">
        <f>IF($AQ2457="","","R"&amp;$C2457&amp;"."&amp;$D2457)</f>
        <v/>
      </c>
      <c r="AA2457" s="15">
        <f>IF(IF($AP2457="",FALSE,INDEX(職員マスタ!$K$6:$K$405,$AP2457)&lt;&gt;""),INDEX(職員マスタ!$K$6:$K$405,$AP2457),IF(N($W2457)&gt;0,$W2457,""))</f>
        <v/>
      </c>
      <c r="AB2457" s="14">
        <f>IF(OR($E2457="",$AA2457=""),"",IF($E2457&gt;=$AA2457,"×",IF($E2457&gt;=$AA2457*設定!$C$5,"△","○")))</f>
        <v/>
      </c>
      <c r="AC2457" s="15">
        <f>IF($AB2457="","",IF($AB2457="×",0,IF($AB2457="○",ROUNDDOWN($E2457*設定!$C$4,0),ROUNDDOWN($E2457*ROUND((9*$AA2457-9*$E2457)/(10*$E2457),4),0))))</f>
        <v/>
      </c>
      <c r="AD2457" s="13" t="n"/>
      <c r="AE2457" s="15">
        <f>IF($B2457="","",IF($AD2457&lt;&gt;"",$AD2457,IF($AC2457="","",IF($AC2457&lt;=設定!$C$3,0,$AC2457))))</f>
        <v/>
      </c>
      <c r="AF2457" s="14">
        <f>IF($B2457="","",IF(AND($AG2457&lt;&gt;"",$AI2457="",$AL2457=""),"保留中",IF($AL2457&lt;&gt;"",IF(N($AE2457)&gt;0,"支給済","不支給"),IF($AE2457="","要確認",IF($AE2457=0,"不支給","未処理")))))</f>
        <v/>
      </c>
      <c r="AG2457" s="12" t="n"/>
      <c r="AH2457" s="11" t="n"/>
      <c r="AI2457" s="11" t="n"/>
      <c r="AJ2457" s="11" t="n"/>
      <c r="AK2457" s="14">
        <f>IF(AND($AF2457="保留中",$AH2457&lt;&gt;""),TODAY()-$AH2457,"")</f>
        <v/>
      </c>
      <c r="AL2457" s="12" t="n"/>
      <c r="AM2457" s="14">
        <f>IF($B2457="","",IF($AQ2457="","対象年月が未入力／","")&amp;IF($B2457="","",IF($AP2457="","職員マスタに未登録の職員番号／",IF($AA2457="","標準報酬月額が未登録／","")&amp;IF(AND($AQ2457&lt;&gt;"",OR(AND(INDEX(職員マスタ!$G$6:$G$405,$AP2457)&lt;&gt;"",INDEX(職員マスタ!$G$6:$G$405,$AP2457)&gt;EOMONTH($AQ2457,0)),AND(INDEX(職員マスタ!$H$6:$H$405,$AP2457)&lt;&gt;"",INDEX(職員マスタ!$H$6:$H$405,$AP2457)&lt;$AQ2457))),"対象月が時短期間外／","")&amp;IF(AND(INDEX(職員マスタ!$K$6:$K$405,$AP2457)&lt;&gt;"",N($W2457)&gt;0,INDEX(職員マスタ!$K$6:$K$405,$AP2457)&lt;&gt;$W2457),"標準報酬月額が申請書と相違（台帳"&amp;TEXT(INDEX(職員マスタ!$K$6:$K$405,$AP2457),"#,##0")&amp;"円／申請書"&amp;TEXT($W2457,"#,##0")&amp;"円）／","")&amp;IF(AND(INDEX(職員マスタ!$F$6:$F$405,$AP2457)&lt;&gt;"",$AQ2457&lt;&gt;"",INDEX(職員マスタ!$F$6:$F$405,$AP2457)&lt;$AQ2457),"対象月に子が2歳到達済／","")&amp;IF(AND($H2457&lt;&gt;"",INDEX(職員マスタ!$B$6:$B$405,$AP2457)&lt;&gt;"",SUBSTITUTE(SUBSTITUTE($H2457," ","")," ","")&lt;&gt;SUBSTITUTE(SUBSTITUTE(INDEX(職員マスタ!$B$6:$B$405,$AP2457)," ","")," ","")),"氏名がマスタと相違／","")&amp;IF(AND($Q2457&lt;&gt;"",INDEX(職員マスタ!$E$6:$E$405,$AP2457)&lt;&gt;"",$Q2457&lt;&gt;INDEX(職員マスタ!$E$6:$E$405,$AP2457)),"子の生年月日がマスタと相違／","")&amp;IF(AND($L2457&lt;&gt;"",INDEX(職員マスタ!$G$6:$G$405,$AP2457)&lt;&gt;"",$L2457&lt;&gt;INDEX(職員マスタ!$G$6:$G$405,$AP2457)),"時短開始日がマスタと相違／","")&amp;IF(AND($M2457&lt;&gt;"",INDEX(職員マスタ!$H$6:$H$405,$AP2457)&lt;&gt;"",$M2457&lt;&gt;INDEX(職員マスタ!$H$6:$H$405,$AP2457)),"時短終了日がマスタと相違／","")))&amp;IF(AND($B2457&lt;&gt;"",$E2457=""),"報酬額が未入力／","")&amp;IF(N($U2457)&gt;0,"申請書に入力エラーが残っています／","")&amp;IF(AND($B2457&lt;&gt;"",$AQ2457&lt;&gt;""),IF(COUNTIFS($B$6:$B$3005,$B2457,$C$6:$C$3005,$C2457,$D$6:$D$3005,$D2457)&gt;1,"同じ月の請求が重複しています／",""),"")&amp;IF(AND(N($E2457)&gt;0,$AB2457&lt;&gt;"",$AB2457&lt;&gt;"×",$AE2457=0,$AD2457=""),"計算額が下限以下のため不支給／",""))</f>
        <v/>
      </c>
      <c r="AN2457" s="12" t="n"/>
      <c r="AO2457" s="14">
        <f>IF($AF2457="保留中",COUNTIF($AF$6:$AF2457,"保留中"),"")</f>
        <v/>
      </c>
      <c r="AP2457" s="14">
        <f>IF($AQ2457="","",IF(SUMPRODUCT(MAX((職員マスタ!$A$6:$A$405=$B2457)*(((職員マスタ!$G$6:$G$405="")+(職員マスタ!$G$6:$G$405&lt;=EOMONTH($AQ2457,0)))&gt;0)*(((職員マスタ!$H$6:$H$405="")+(職員マスタ!$H$6:$H$405&gt;=$AQ2457))&gt;0)*(ROW(職員マスタ!$A$6:$A$405)-5)))&gt;0,SUMPRODUCT(MAX((職員マスタ!$A$6:$A$405=$B2457)*(((職員マスタ!$G$6:$G$405="")+(職員マスタ!$G$6:$G$405&lt;=EOMONTH($AQ2457,0)))&gt;0)*(((職員マスタ!$H$6:$H$405="")+(職員マスタ!$H$6:$H$405&gt;=$AQ2457))&gt;0)*(ROW(職員マスタ!$A$6:$A$405)-5))),IFERROR(MATCH($B2457,職員マスタ!$A$6:$A$405,0),"")))</f>
        <v/>
      </c>
      <c r="AQ2457" s="16">
        <f>IF(OR($B2457="",$C2457="",$D2457=""),"",DATE($C2457+2018,$D2457,1))</f>
        <v/>
      </c>
    </row>
    <row r="2458">
      <c r="A2458" s="11" t="n"/>
      <c r="B2458" s="12" t="n"/>
      <c r="C2458" s="12" t="n"/>
      <c r="D2458" s="12" t="n"/>
      <c r="E2458" s="13" t="n"/>
      <c r="F2458" s="12" t="n"/>
      <c r="G2458" s="13" t="n"/>
      <c r="H2458" s="12" t="n"/>
      <c r="I2458" s="12" t="n"/>
      <c r="J2458" s="12" t="n"/>
      <c r="K2458" s="12" t="n"/>
      <c r="L2458" s="11" t="n"/>
      <c r="M2458" s="11" t="n"/>
      <c r="N2458" s="11" t="n"/>
      <c r="O2458" s="11" t="n"/>
      <c r="P2458" s="12" t="n"/>
      <c r="Q2458" s="11" t="n"/>
      <c r="R2458" s="12" t="n"/>
      <c r="S2458" s="11" t="n"/>
      <c r="T2458" s="12" t="n"/>
      <c r="U2458" s="12" t="n"/>
      <c r="V2458" s="12" t="n"/>
      <c r="W2458" s="13" t="n"/>
      <c r="X2458" s="14">
        <f>IF($AP2458="",IF($B2458="","",$H2458),IF(INDEX(職員マスタ!$B$6:$B$405,$AP2458)="",$H2458,INDEX(職員マスタ!$B$6:$B$405,$AP2458)))</f>
        <v/>
      </c>
      <c r="Y2458" s="14">
        <f>IF($AP2458="",IF($B2458="","",$R2458),IF(INDEX(職員マスタ!$C$6:$C$405,$AP2458)="",$R2458,INDEX(職員マスタ!$C$6:$C$405,$AP2458)))</f>
        <v/>
      </c>
      <c r="Z2458" s="14">
        <f>IF($AQ2458="","","R"&amp;$C2458&amp;"."&amp;$D2458)</f>
        <v/>
      </c>
      <c r="AA2458" s="15">
        <f>IF(IF($AP2458="",FALSE,INDEX(職員マスタ!$K$6:$K$405,$AP2458)&lt;&gt;""),INDEX(職員マスタ!$K$6:$K$405,$AP2458),IF(N($W2458)&gt;0,$W2458,""))</f>
        <v/>
      </c>
      <c r="AB2458" s="14">
        <f>IF(OR($E2458="",$AA2458=""),"",IF($E2458&gt;=$AA2458,"×",IF($E2458&gt;=$AA2458*設定!$C$5,"△","○")))</f>
        <v/>
      </c>
      <c r="AC2458" s="15">
        <f>IF($AB2458="","",IF($AB2458="×",0,IF($AB2458="○",ROUNDDOWN($E2458*設定!$C$4,0),ROUNDDOWN($E2458*ROUND((9*$AA2458-9*$E2458)/(10*$E2458),4),0))))</f>
        <v/>
      </c>
      <c r="AD2458" s="13" t="n"/>
      <c r="AE2458" s="15">
        <f>IF($B2458="","",IF($AD2458&lt;&gt;"",$AD2458,IF($AC2458="","",IF($AC2458&lt;=設定!$C$3,0,$AC2458))))</f>
        <v/>
      </c>
      <c r="AF2458" s="14">
        <f>IF($B2458="","",IF(AND($AG2458&lt;&gt;"",$AI2458="",$AL2458=""),"保留中",IF($AL2458&lt;&gt;"",IF(N($AE2458)&gt;0,"支給済","不支給"),IF($AE2458="","要確認",IF($AE2458=0,"不支給","未処理")))))</f>
        <v/>
      </c>
      <c r="AG2458" s="12" t="n"/>
      <c r="AH2458" s="11" t="n"/>
      <c r="AI2458" s="11" t="n"/>
      <c r="AJ2458" s="11" t="n"/>
      <c r="AK2458" s="14">
        <f>IF(AND($AF2458="保留中",$AH2458&lt;&gt;""),TODAY()-$AH2458,"")</f>
        <v/>
      </c>
      <c r="AL2458" s="12" t="n"/>
      <c r="AM2458" s="14">
        <f>IF($B2458="","",IF($AQ2458="","対象年月が未入力／","")&amp;IF($B2458="","",IF($AP2458="","職員マスタに未登録の職員番号／",IF($AA2458="","標準報酬月額が未登録／","")&amp;IF(AND($AQ2458&lt;&gt;"",OR(AND(INDEX(職員マスタ!$G$6:$G$405,$AP2458)&lt;&gt;"",INDEX(職員マスタ!$G$6:$G$405,$AP2458)&gt;EOMONTH($AQ2458,0)),AND(INDEX(職員マスタ!$H$6:$H$405,$AP2458)&lt;&gt;"",INDEX(職員マスタ!$H$6:$H$405,$AP2458)&lt;$AQ2458))),"対象月が時短期間外／","")&amp;IF(AND(INDEX(職員マスタ!$K$6:$K$405,$AP2458)&lt;&gt;"",N($W2458)&gt;0,INDEX(職員マスタ!$K$6:$K$405,$AP2458)&lt;&gt;$W2458),"標準報酬月額が申請書と相違（台帳"&amp;TEXT(INDEX(職員マスタ!$K$6:$K$405,$AP2458),"#,##0")&amp;"円／申請書"&amp;TEXT($W2458,"#,##0")&amp;"円）／","")&amp;IF(AND(INDEX(職員マスタ!$F$6:$F$405,$AP2458)&lt;&gt;"",$AQ2458&lt;&gt;"",INDEX(職員マスタ!$F$6:$F$405,$AP2458)&lt;$AQ2458),"対象月に子が2歳到達済／","")&amp;IF(AND($H2458&lt;&gt;"",INDEX(職員マスタ!$B$6:$B$405,$AP2458)&lt;&gt;"",SUBSTITUTE(SUBSTITUTE($H2458," ","")," ","")&lt;&gt;SUBSTITUTE(SUBSTITUTE(INDEX(職員マスタ!$B$6:$B$405,$AP2458)," ","")," ","")),"氏名がマスタと相違／","")&amp;IF(AND($Q2458&lt;&gt;"",INDEX(職員マスタ!$E$6:$E$405,$AP2458)&lt;&gt;"",$Q2458&lt;&gt;INDEX(職員マスタ!$E$6:$E$405,$AP2458)),"子の生年月日がマスタと相違／","")&amp;IF(AND($L2458&lt;&gt;"",INDEX(職員マスタ!$G$6:$G$405,$AP2458)&lt;&gt;"",$L2458&lt;&gt;INDEX(職員マスタ!$G$6:$G$405,$AP2458)),"時短開始日がマスタと相違／","")&amp;IF(AND($M2458&lt;&gt;"",INDEX(職員マスタ!$H$6:$H$405,$AP2458)&lt;&gt;"",$M2458&lt;&gt;INDEX(職員マスタ!$H$6:$H$405,$AP2458)),"時短終了日がマスタと相違／","")))&amp;IF(AND($B2458&lt;&gt;"",$E2458=""),"報酬額が未入力／","")&amp;IF(N($U2458)&gt;0,"申請書に入力エラーが残っています／","")&amp;IF(AND($B2458&lt;&gt;"",$AQ2458&lt;&gt;""),IF(COUNTIFS($B$6:$B$3005,$B2458,$C$6:$C$3005,$C2458,$D$6:$D$3005,$D2458)&gt;1,"同じ月の請求が重複しています／",""),"")&amp;IF(AND(N($E2458)&gt;0,$AB2458&lt;&gt;"",$AB2458&lt;&gt;"×",$AE2458=0,$AD2458=""),"計算額が下限以下のため不支給／",""))</f>
        <v/>
      </c>
      <c r="AN2458" s="12" t="n"/>
      <c r="AO2458" s="14">
        <f>IF($AF2458="保留中",COUNTIF($AF$6:$AF2458,"保留中"),"")</f>
        <v/>
      </c>
      <c r="AP2458" s="14">
        <f>IF($AQ2458="","",IF(SUMPRODUCT(MAX((職員マスタ!$A$6:$A$405=$B2458)*(((職員マスタ!$G$6:$G$405="")+(職員マスタ!$G$6:$G$405&lt;=EOMONTH($AQ2458,0)))&gt;0)*(((職員マスタ!$H$6:$H$405="")+(職員マスタ!$H$6:$H$405&gt;=$AQ2458))&gt;0)*(ROW(職員マスタ!$A$6:$A$405)-5)))&gt;0,SUMPRODUCT(MAX((職員マスタ!$A$6:$A$405=$B2458)*(((職員マスタ!$G$6:$G$405="")+(職員マスタ!$G$6:$G$405&lt;=EOMONTH($AQ2458,0)))&gt;0)*(((職員マスタ!$H$6:$H$405="")+(職員マスタ!$H$6:$H$405&gt;=$AQ2458))&gt;0)*(ROW(職員マスタ!$A$6:$A$405)-5))),IFERROR(MATCH($B2458,職員マスタ!$A$6:$A$405,0),"")))</f>
        <v/>
      </c>
      <c r="AQ2458" s="16">
        <f>IF(OR($B2458="",$C2458="",$D2458=""),"",DATE($C2458+2018,$D2458,1))</f>
        <v/>
      </c>
    </row>
    <row r="2459">
      <c r="A2459" s="11" t="n"/>
      <c r="B2459" s="12" t="n"/>
      <c r="C2459" s="12" t="n"/>
      <c r="D2459" s="12" t="n"/>
      <c r="E2459" s="13" t="n"/>
      <c r="F2459" s="12" t="n"/>
      <c r="G2459" s="13" t="n"/>
      <c r="H2459" s="12" t="n"/>
      <c r="I2459" s="12" t="n"/>
      <c r="J2459" s="12" t="n"/>
      <c r="K2459" s="12" t="n"/>
      <c r="L2459" s="11" t="n"/>
      <c r="M2459" s="11" t="n"/>
      <c r="N2459" s="11" t="n"/>
      <c r="O2459" s="11" t="n"/>
      <c r="P2459" s="12" t="n"/>
      <c r="Q2459" s="11" t="n"/>
      <c r="R2459" s="12" t="n"/>
      <c r="S2459" s="11" t="n"/>
      <c r="T2459" s="12" t="n"/>
      <c r="U2459" s="12" t="n"/>
      <c r="V2459" s="12" t="n"/>
      <c r="W2459" s="13" t="n"/>
      <c r="X2459" s="14">
        <f>IF($AP2459="",IF($B2459="","",$H2459),IF(INDEX(職員マスタ!$B$6:$B$405,$AP2459)="",$H2459,INDEX(職員マスタ!$B$6:$B$405,$AP2459)))</f>
        <v/>
      </c>
      <c r="Y2459" s="14">
        <f>IF($AP2459="",IF($B2459="","",$R2459),IF(INDEX(職員マスタ!$C$6:$C$405,$AP2459)="",$R2459,INDEX(職員マスタ!$C$6:$C$405,$AP2459)))</f>
        <v/>
      </c>
      <c r="Z2459" s="14">
        <f>IF($AQ2459="","","R"&amp;$C2459&amp;"."&amp;$D2459)</f>
        <v/>
      </c>
      <c r="AA2459" s="15">
        <f>IF(IF($AP2459="",FALSE,INDEX(職員マスタ!$K$6:$K$405,$AP2459)&lt;&gt;""),INDEX(職員マスタ!$K$6:$K$405,$AP2459),IF(N($W2459)&gt;0,$W2459,""))</f>
        <v/>
      </c>
      <c r="AB2459" s="14">
        <f>IF(OR($E2459="",$AA2459=""),"",IF($E2459&gt;=$AA2459,"×",IF($E2459&gt;=$AA2459*設定!$C$5,"△","○")))</f>
        <v/>
      </c>
      <c r="AC2459" s="15">
        <f>IF($AB2459="","",IF($AB2459="×",0,IF($AB2459="○",ROUNDDOWN($E2459*設定!$C$4,0),ROUNDDOWN($E2459*ROUND((9*$AA2459-9*$E2459)/(10*$E2459),4),0))))</f>
        <v/>
      </c>
      <c r="AD2459" s="13" t="n"/>
      <c r="AE2459" s="15">
        <f>IF($B2459="","",IF($AD2459&lt;&gt;"",$AD2459,IF($AC2459="","",IF($AC2459&lt;=設定!$C$3,0,$AC2459))))</f>
        <v/>
      </c>
      <c r="AF2459" s="14">
        <f>IF($B2459="","",IF(AND($AG2459&lt;&gt;"",$AI2459="",$AL2459=""),"保留中",IF($AL2459&lt;&gt;"",IF(N($AE2459)&gt;0,"支給済","不支給"),IF($AE2459="","要確認",IF($AE2459=0,"不支給","未処理")))))</f>
        <v/>
      </c>
      <c r="AG2459" s="12" t="n"/>
      <c r="AH2459" s="11" t="n"/>
      <c r="AI2459" s="11" t="n"/>
      <c r="AJ2459" s="11" t="n"/>
      <c r="AK2459" s="14">
        <f>IF(AND($AF2459="保留中",$AH2459&lt;&gt;""),TODAY()-$AH2459,"")</f>
        <v/>
      </c>
      <c r="AL2459" s="12" t="n"/>
      <c r="AM2459" s="14">
        <f>IF($B2459="","",IF($AQ2459="","対象年月が未入力／","")&amp;IF($B2459="","",IF($AP2459="","職員マスタに未登録の職員番号／",IF($AA2459="","標準報酬月額が未登録／","")&amp;IF(AND($AQ2459&lt;&gt;"",OR(AND(INDEX(職員マスタ!$G$6:$G$405,$AP2459)&lt;&gt;"",INDEX(職員マスタ!$G$6:$G$405,$AP2459)&gt;EOMONTH($AQ2459,0)),AND(INDEX(職員マスタ!$H$6:$H$405,$AP2459)&lt;&gt;"",INDEX(職員マスタ!$H$6:$H$405,$AP2459)&lt;$AQ2459))),"対象月が時短期間外／","")&amp;IF(AND(INDEX(職員マスタ!$K$6:$K$405,$AP2459)&lt;&gt;"",N($W2459)&gt;0,INDEX(職員マスタ!$K$6:$K$405,$AP2459)&lt;&gt;$W2459),"標準報酬月額が申請書と相違（台帳"&amp;TEXT(INDEX(職員マスタ!$K$6:$K$405,$AP2459),"#,##0")&amp;"円／申請書"&amp;TEXT($W2459,"#,##0")&amp;"円）／","")&amp;IF(AND(INDEX(職員マスタ!$F$6:$F$405,$AP2459)&lt;&gt;"",$AQ2459&lt;&gt;"",INDEX(職員マスタ!$F$6:$F$405,$AP2459)&lt;$AQ2459),"対象月に子が2歳到達済／","")&amp;IF(AND($H2459&lt;&gt;"",INDEX(職員マスタ!$B$6:$B$405,$AP2459)&lt;&gt;"",SUBSTITUTE(SUBSTITUTE($H2459," ","")," ","")&lt;&gt;SUBSTITUTE(SUBSTITUTE(INDEX(職員マスタ!$B$6:$B$405,$AP2459)," ","")," ","")),"氏名がマスタと相違／","")&amp;IF(AND($Q2459&lt;&gt;"",INDEX(職員マスタ!$E$6:$E$405,$AP2459)&lt;&gt;"",$Q2459&lt;&gt;INDEX(職員マスタ!$E$6:$E$405,$AP2459)),"子の生年月日がマスタと相違／","")&amp;IF(AND($L2459&lt;&gt;"",INDEX(職員マスタ!$G$6:$G$405,$AP2459)&lt;&gt;"",$L2459&lt;&gt;INDEX(職員マスタ!$G$6:$G$405,$AP2459)),"時短開始日がマスタと相違／","")&amp;IF(AND($M2459&lt;&gt;"",INDEX(職員マスタ!$H$6:$H$405,$AP2459)&lt;&gt;"",$M2459&lt;&gt;INDEX(職員マスタ!$H$6:$H$405,$AP2459)),"時短終了日がマスタと相違／","")))&amp;IF(AND($B2459&lt;&gt;"",$E2459=""),"報酬額が未入力／","")&amp;IF(N($U2459)&gt;0,"申請書に入力エラーが残っています／","")&amp;IF(AND($B2459&lt;&gt;"",$AQ2459&lt;&gt;""),IF(COUNTIFS($B$6:$B$3005,$B2459,$C$6:$C$3005,$C2459,$D$6:$D$3005,$D2459)&gt;1,"同じ月の請求が重複しています／",""),"")&amp;IF(AND(N($E2459)&gt;0,$AB2459&lt;&gt;"",$AB2459&lt;&gt;"×",$AE2459=0,$AD2459=""),"計算額が下限以下のため不支給／",""))</f>
        <v/>
      </c>
      <c r="AN2459" s="12" t="n"/>
      <c r="AO2459" s="14">
        <f>IF($AF2459="保留中",COUNTIF($AF$6:$AF2459,"保留中"),"")</f>
        <v/>
      </c>
      <c r="AP2459" s="14">
        <f>IF($AQ2459="","",IF(SUMPRODUCT(MAX((職員マスタ!$A$6:$A$405=$B2459)*(((職員マスタ!$G$6:$G$405="")+(職員マスタ!$G$6:$G$405&lt;=EOMONTH($AQ2459,0)))&gt;0)*(((職員マスタ!$H$6:$H$405="")+(職員マスタ!$H$6:$H$405&gt;=$AQ2459))&gt;0)*(ROW(職員マスタ!$A$6:$A$405)-5)))&gt;0,SUMPRODUCT(MAX((職員マスタ!$A$6:$A$405=$B2459)*(((職員マスタ!$G$6:$G$405="")+(職員マスタ!$G$6:$G$405&lt;=EOMONTH($AQ2459,0)))&gt;0)*(((職員マスタ!$H$6:$H$405="")+(職員マスタ!$H$6:$H$405&gt;=$AQ2459))&gt;0)*(ROW(職員マスタ!$A$6:$A$405)-5))),IFERROR(MATCH($B2459,職員マスタ!$A$6:$A$405,0),"")))</f>
        <v/>
      </c>
      <c r="AQ2459" s="16">
        <f>IF(OR($B2459="",$C2459="",$D2459=""),"",DATE($C2459+2018,$D2459,1))</f>
        <v/>
      </c>
    </row>
    <row r="2460">
      <c r="A2460" s="11" t="n"/>
      <c r="B2460" s="12" t="n"/>
      <c r="C2460" s="12" t="n"/>
      <c r="D2460" s="12" t="n"/>
      <c r="E2460" s="13" t="n"/>
      <c r="F2460" s="12" t="n"/>
      <c r="G2460" s="13" t="n"/>
      <c r="H2460" s="12" t="n"/>
      <c r="I2460" s="12" t="n"/>
      <c r="J2460" s="12" t="n"/>
      <c r="K2460" s="12" t="n"/>
      <c r="L2460" s="11" t="n"/>
      <c r="M2460" s="11" t="n"/>
      <c r="N2460" s="11" t="n"/>
      <c r="O2460" s="11" t="n"/>
      <c r="P2460" s="12" t="n"/>
      <c r="Q2460" s="11" t="n"/>
      <c r="R2460" s="12" t="n"/>
      <c r="S2460" s="11" t="n"/>
      <c r="T2460" s="12" t="n"/>
      <c r="U2460" s="12" t="n"/>
      <c r="V2460" s="12" t="n"/>
      <c r="W2460" s="13" t="n"/>
      <c r="X2460" s="14">
        <f>IF($AP2460="",IF($B2460="","",$H2460),IF(INDEX(職員マスタ!$B$6:$B$405,$AP2460)="",$H2460,INDEX(職員マスタ!$B$6:$B$405,$AP2460)))</f>
        <v/>
      </c>
      <c r="Y2460" s="14">
        <f>IF($AP2460="",IF($B2460="","",$R2460),IF(INDEX(職員マスタ!$C$6:$C$405,$AP2460)="",$R2460,INDEX(職員マスタ!$C$6:$C$405,$AP2460)))</f>
        <v/>
      </c>
      <c r="Z2460" s="14">
        <f>IF($AQ2460="","","R"&amp;$C2460&amp;"."&amp;$D2460)</f>
        <v/>
      </c>
      <c r="AA2460" s="15">
        <f>IF(IF($AP2460="",FALSE,INDEX(職員マスタ!$K$6:$K$405,$AP2460)&lt;&gt;""),INDEX(職員マスタ!$K$6:$K$405,$AP2460),IF(N($W2460)&gt;0,$W2460,""))</f>
        <v/>
      </c>
      <c r="AB2460" s="14">
        <f>IF(OR($E2460="",$AA2460=""),"",IF($E2460&gt;=$AA2460,"×",IF($E2460&gt;=$AA2460*設定!$C$5,"△","○")))</f>
        <v/>
      </c>
      <c r="AC2460" s="15">
        <f>IF($AB2460="","",IF($AB2460="×",0,IF($AB2460="○",ROUNDDOWN($E2460*設定!$C$4,0),ROUNDDOWN($E2460*ROUND((9*$AA2460-9*$E2460)/(10*$E2460),4),0))))</f>
        <v/>
      </c>
      <c r="AD2460" s="13" t="n"/>
      <c r="AE2460" s="15">
        <f>IF($B2460="","",IF($AD2460&lt;&gt;"",$AD2460,IF($AC2460="","",IF($AC2460&lt;=設定!$C$3,0,$AC2460))))</f>
        <v/>
      </c>
      <c r="AF2460" s="14">
        <f>IF($B2460="","",IF(AND($AG2460&lt;&gt;"",$AI2460="",$AL2460=""),"保留中",IF($AL2460&lt;&gt;"",IF(N($AE2460)&gt;0,"支給済","不支給"),IF($AE2460="","要確認",IF($AE2460=0,"不支給","未処理")))))</f>
        <v/>
      </c>
      <c r="AG2460" s="12" t="n"/>
      <c r="AH2460" s="11" t="n"/>
      <c r="AI2460" s="11" t="n"/>
      <c r="AJ2460" s="11" t="n"/>
      <c r="AK2460" s="14">
        <f>IF(AND($AF2460="保留中",$AH2460&lt;&gt;""),TODAY()-$AH2460,"")</f>
        <v/>
      </c>
      <c r="AL2460" s="12" t="n"/>
      <c r="AM2460" s="14">
        <f>IF($B2460="","",IF($AQ2460="","対象年月が未入力／","")&amp;IF($B2460="","",IF($AP2460="","職員マスタに未登録の職員番号／",IF($AA2460="","標準報酬月額が未登録／","")&amp;IF(AND($AQ2460&lt;&gt;"",OR(AND(INDEX(職員マスタ!$G$6:$G$405,$AP2460)&lt;&gt;"",INDEX(職員マスタ!$G$6:$G$405,$AP2460)&gt;EOMONTH($AQ2460,0)),AND(INDEX(職員マスタ!$H$6:$H$405,$AP2460)&lt;&gt;"",INDEX(職員マスタ!$H$6:$H$405,$AP2460)&lt;$AQ2460))),"対象月が時短期間外／","")&amp;IF(AND(INDEX(職員マスタ!$K$6:$K$405,$AP2460)&lt;&gt;"",N($W2460)&gt;0,INDEX(職員マスタ!$K$6:$K$405,$AP2460)&lt;&gt;$W2460),"標準報酬月額が申請書と相違（台帳"&amp;TEXT(INDEX(職員マスタ!$K$6:$K$405,$AP2460),"#,##0")&amp;"円／申請書"&amp;TEXT($W2460,"#,##0")&amp;"円）／","")&amp;IF(AND(INDEX(職員マスタ!$F$6:$F$405,$AP2460)&lt;&gt;"",$AQ2460&lt;&gt;"",INDEX(職員マスタ!$F$6:$F$405,$AP2460)&lt;$AQ2460),"対象月に子が2歳到達済／","")&amp;IF(AND($H2460&lt;&gt;"",INDEX(職員マスタ!$B$6:$B$405,$AP2460)&lt;&gt;"",SUBSTITUTE(SUBSTITUTE($H2460," ","")," ","")&lt;&gt;SUBSTITUTE(SUBSTITUTE(INDEX(職員マスタ!$B$6:$B$405,$AP2460)," ","")," ","")),"氏名がマスタと相違／","")&amp;IF(AND($Q2460&lt;&gt;"",INDEX(職員マスタ!$E$6:$E$405,$AP2460)&lt;&gt;"",$Q2460&lt;&gt;INDEX(職員マスタ!$E$6:$E$405,$AP2460)),"子の生年月日がマスタと相違／","")&amp;IF(AND($L2460&lt;&gt;"",INDEX(職員マスタ!$G$6:$G$405,$AP2460)&lt;&gt;"",$L2460&lt;&gt;INDEX(職員マスタ!$G$6:$G$405,$AP2460)),"時短開始日がマスタと相違／","")&amp;IF(AND($M2460&lt;&gt;"",INDEX(職員マスタ!$H$6:$H$405,$AP2460)&lt;&gt;"",$M2460&lt;&gt;INDEX(職員マスタ!$H$6:$H$405,$AP2460)),"時短終了日がマスタと相違／","")))&amp;IF(AND($B2460&lt;&gt;"",$E2460=""),"報酬額が未入力／","")&amp;IF(N($U2460)&gt;0,"申請書に入力エラーが残っています／","")&amp;IF(AND($B2460&lt;&gt;"",$AQ2460&lt;&gt;""),IF(COUNTIFS($B$6:$B$3005,$B2460,$C$6:$C$3005,$C2460,$D$6:$D$3005,$D2460)&gt;1,"同じ月の請求が重複しています／",""),"")&amp;IF(AND(N($E2460)&gt;0,$AB2460&lt;&gt;"",$AB2460&lt;&gt;"×",$AE2460=0,$AD2460=""),"計算額が下限以下のため不支給／",""))</f>
        <v/>
      </c>
      <c r="AN2460" s="12" t="n"/>
      <c r="AO2460" s="14">
        <f>IF($AF2460="保留中",COUNTIF($AF$6:$AF2460,"保留中"),"")</f>
        <v/>
      </c>
      <c r="AP2460" s="14">
        <f>IF($AQ2460="","",IF(SUMPRODUCT(MAX((職員マスタ!$A$6:$A$405=$B2460)*(((職員マスタ!$G$6:$G$405="")+(職員マスタ!$G$6:$G$405&lt;=EOMONTH($AQ2460,0)))&gt;0)*(((職員マスタ!$H$6:$H$405="")+(職員マスタ!$H$6:$H$405&gt;=$AQ2460))&gt;0)*(ROW(職員マスタ!$A$6:$A$405)-5)))&gt;0,SUMPRODUCT(MAX((職員マスタ!$A$6:$A$405=$B2460)*(((職員マスタ!$G$6:$G$405="")+(職員マスタ!$G$6:$G$405&lt;=EOMONTH($AQ2460,0)))&gt;0)*(((職員マスタ!$H$6:$H$405="")+(職員マスタ!$H$6:$H$405&gt;=$AQ2460))&gt;0)*(ROW(職員マスタ!$A$6:$A$405)-5))),IFERROR(MATCH($B2460,職員マスタ!$A$6:$A$405,0),"")))</f>
        <v/>
      </c>
      <c r="AQ2460" s="16">
        <f>IF(OR($B2460="",$C2460="",$D2460=""),"",DATE($C2460+2018,$D2460,1))</f>
        <v/>
      </c>
    </row>
    <row r="2461">
      <c r="A2461" s="11" t="n"/>
      <c r="B2461" s="12" t="n"/>
      <c r="C2461" s="12" t="n"/>
      <c r="D2461" s="12" t="n"/>
      <c r="E2461" s="13" t="n"/>
      <c r="F2461" s="12" t="n"/>
      <c r="G2461" s="13" t="n"/>
      <c r="H2461" s="12" t="n"/>
      <c r="I2461" s="12" t="n"/>
      <c r="J2461" s="12" t="n"/>
      <c r="K2461" s="12" t="n"/>
      <c r="L2461" s="11" t="n"/>
      <c r="M2461" s="11" t="n"/>
      <c r="N2461" s="11" t="n"/>
      <c r="O2461" s="11" t="n"/>
      <c r="P2461" s="12" t="n"/>
      <c r="Q2461" s="11" t="n"/>
      <c r="R2461" s="12" t="n"/>
      <c r="S2461" s="11" t="n"/>
      <c r="T2461" s="12" t="n"/>
      <c r="U2461" s="12" t="n"/>
      <c r="V2461" s="12" t="n"/>
      <c r="W2461" s="13" t="n"/>
      <c r="X2461" s="14">
        <f>IF($AP2461="",IF($B2461="","",$H2461),IF(INDEX(職員マスタ!$B$6:$B$405,$AP2461)="",$H2461,INDEX(職員マスタ!$B$6:$B$405,$AP2461)))</f>
        <v/>
      </c>
      <c r="Y2461" s="14">
        <f>IF($AP2461="",IF($B2461="","",$R2461),IF(INDEX(職員マスタ!$C$6:$C$405,$AP2461)="",$R2461,INDEX(職員マスタ!$C$6:$C$405,$AP2461)))</f>
        <v/>
      </c>
      <c r="Z2461" s="14">
        <f>IF($AQ2461="","","R"&amp;$C2461&amp;"."&amp;$D2461)</f>
        <v/>
      </c>
      <c r="AA2461" s="15">
        <f>IF(IF($AP2461="",FALSE,INDEX(職員マスタ!$K$6:$K$405,$AP2461)&lt;&gt;""),INDEX(職員マスタ!$K$6:$K$405,$AP2461),IF(N($W2461)&gt;0,$W2461,""))</f>
        <v/>
      </c>
      <c r="AB2461" s="14">
        <f>IF(OR($E2461="",$AA2461=""),"",IF($E2461&gt;=$AA2461,"×",IF($E2461&gt;=$AA2461*設定!$C$5,"△","○")))</f>
        <v/>
      </c>
      <c r="AC2461" s="15">
        <f>IF($AB2461="","",IF($AB2461="×",0,IF($AB2461="○",ROUNDDOWN($E2461*設定!$C$4,0),ROUNDDOWN($E2461*ROUND((9*$AA2461-9*$E2461)/(10*$E2461),4),0))))</f>
        <v/>
      </c>
      <c r="AD2461" s="13" t="n"/>
      <c r="AE2461" s="15">
        <f>IF($B2461="","",IF($AD2461&lt;&gt;"",$AD2461,IF($AC2461="","",IF($AC2461&lt;=設定!$C$3,0,$AC2461))))</f>
        <v/>
      </c>
      <c r="AF2461" s="14">
        <f>IF($B2461="","",IF(AND($AG2461&lt;&gt;"",$AI2461="",$AL2461=""),"保留中",IF($AL2461&lt;&gt;"",IF(N($AE2461)&gt;0,"支給済","不支給"),IF($AE2461="","要確認",IF($AE2461=0,"不支給","未処理")))))</f>
        <v/>
      </c>
      <c r="AG2461" s="12" t="n"/>
      <c r="AH2461" s="11" t="n"/>
      <c r="AI2461" s="11" t="n"/>
      <c r="AJ2461" s="11" t="n"/>
      <c r="AK2461" s="14">
        <f>IF(AND($AF2461="保留中",$AH2461&lt;&gt;""),TODAY()-$AH2461,"")</f>
        <v/>
      </c>
      <c r="AL2461" s="12" t="n"/>
      <c r="AM2461" s="14">
        <f>IF($B2461="","",IF($AQ2461="","対象年月が未入力／","")&amp;IF($B2461="","",IF($AP2461="","職員マスタに未登録の職員番号／",IF($AA2461="","標準報酬月額が未登録／","")&amp;IF(AND($AQ2461&lt;&gt;"",OR(AND(INDEX(職員マスタ!$G$6:$G$405,$AP2461)&lt;&gt;"",INDEX(職員マスタ!$G$6:$G$405,$AP2461)&gt;EOMONTH($AQ2461,0)),AND(INDEX(職員マスタ!$H$6:$H$405,$AP2461)&lt;&gt;"",INDEX(職員マスタ!$H$6:$H$405,$AP2461)&lt;$AQ2461))),"対象月が時短期間外／","")&amp;IF(AND(INDEX(職員マスタ!$K$6:$K$405,$AP2461)&lt;&gt;"",N($W2461)&gt;0,INDEX(職員マスタ!$K$6:$K$405,$AP2461)&lt;&gt;$W2461),"標準報酬月額が申請書と相違（台帳"&amp;TEXT(INDEX(職員マスタ!$K$6:$K$405,$AP2461),"#,##0")&amp;"円／申請書"&amp;TEXT($W2461,"#,##0")&amp;"円）／","")&amp;IF(AND(INDEX(職員マスタ!$F$6:$F$405,$AP2461)&lt;&gt;"",$AQ2461&lt;&gt;"",INDEX(職員マスタ!$F$6:$F$405,$AP2461)&lt;$AQ2461),"対象月に子が2歳到達済／","")&amp;IF(AND($H2461&lt;&gt;"",INDEX(職員マスタ!$B$6:$B$405,$AP2461)&lt;&gt;"",SUBSTITUTE(SUBSTITUTE($H2461," ","")," ","")&lt;&gt;SUBSTITUTE(SUBSTITUTE(INDEX(職員マスタ!$B$6:$B$405,$AP2461)," ","")," ","")),"氏名がマスタと相違／","")&amp;IF(AND($Q2461&lt;&gt;"",INDEX(職員マスタ!$E$6:$E$405,$AP2461)&lt;&gt;"",$Q2461&lt;&gt;INDEX(職員マスタ!$E$6:$E$405,$AP2461)),"子の生年月日がマスタと相違／","")&amp;IF(AND($L2461&lt;&gt;"",INDEX(職員マスタ!$G$6:$G$405,$AP2461)&lt;&gt;"",$L2461&lt;&gt;INDEX(職員マスタ!$G$6:$G$405,$AP2461)),"時短開始日がマスタと相違／","")&amp;IF(AND($M2461&lt;&gt;"",INDEX(職員マスタ!$H$6:$H$405,$AP2461)&lt;&gt;"",$M2461&lt;&gt;INDEX(職員マスタ!$H$6:$H$405,$AP2461)),"時短終了日がマスタと相違／","")))&amp;IF(AND($B2461&lt;&gt;"",$E2461=""),"報酬額が未入力／","")&amp;IF(N($U2461)&gt;0,"申請書に入力エラーが残っています／","")&amp;IF(AND($B2461&lt;&gt;"",$AQ2461&lt;&gt;""),IF(COUNTIFS($B$6:$B$3005,$B2461,$C$6:$C$3005,$C2461,$D$6:$D$3005,$D2461)&gt;1,"同じ月の請求が重複しています／",""),"")&amp;IF(AND(N($E2461)&gt;0,$AB2461&lt;&gt;"",$AB2461&lt;&gt;"×",$AE2461=0,$AD2461=""),"計算額が下限以下のため不支給／",""))</f>
        <v/>
      </c>
      <c r="AN2461" s="12" t="n"/>
      <c r="AO2461" s="14">
        <f>IF($AF2461="保留中",COUNTIF($AF$6:$AF2461,"保留中"),"")</f>
        <v/>
      </c>
      <c r="AP2461" s="14">
        <f>IF($AQ2461="","",IF(SUMPRODUCT(MAX((職員マスタ!$A$6:$A$405=$B2461)*(((職員マスタ!$G$6:$G$405="")+(職員マスタ!$G$6:$G$405&lt;=EOMONTH($AQ2461,0)))&gt;0)*(((職員マスタ!$H$6:$H$405="")+(職員マスタ!$H$6:$H$405&gt;=$AQ2461))&gt;0)*(ROW(職員マスタ!$A$6:$A$405)-5)))&gt;0,SUMPRODUCT(MAX((職員マスタ!$A$6:$A$405=$B2461)*(((職員マスタ!$G$6:$G$405="")+(職員マスタ!$G$6:$G$405&lt;=EOMONTH($AQ2461,0)))&gt;0)*(((職員マスタ!$H$6:$H$405="")+(職員マスタ!$H$6:$H$405&gt;=$AQ2461))&gt;0)*(ROW(職員マスタ!$A$6:$A$405)-5))),IFERROR(MATCH($B2461,職員マスタ!$A$6:$A$405,0),"")))</f>
        <v/>
      </c>
      <c r="AQ2461" s="16">
        <f>IF(OR($B2461="",$C2461="",$D2461=""),"",DATE($C2461+2018,$D2461,1))</f>
        <v/>
      </c>
    </row>
    <row r="2462">
      <c r="A2462" s="11" t="n"/>
      <c r="B2462" s="12" t="n"/>
      <c r="C2462" s="12" t="n"/>
      <c r="D2462" s="12" t="n"/>
      <c r="E2462" s="13" t="n"/>
      <c r="F2462" s="12" t="n"/>
      <c r="G2462" s="13" t="n"/>
      <c r="H2462" s="12" t="n"/>
      <c r="I2462" s="12" t="n"/>
      <c r="J2462" s="12" t="n"/>
      <c r="K2462" s="12" t="n"/>
      <c r="L2462" s="11" t="n"/>
      <c r="M2462" s="11" t="n"/>
      <c r="N2462" s="11" t="n"/>
      <c r="O2462" s="11" t="n"/>
      <c r="P2462" s="12" t="n"/>
      <c r="Q2462" s="11" t="n"/>
      <c r="R2462" s="12" t="n"/>
      <c r="S2462" s="11" t="n"/>
      <c r="T2462" s="12" t="n"/>
      <c r="U2462" s="12" t="n"/>
      <c r="V2462" s="12" t="n"/>
      <c r="W2462" s="13" t="n"/>
      <c r="X2462" s="14">
        <f>IF($AP2462="",IF($B2462="","",$H2462),IF(INDEX(職員マスタ!$B$6:$B$405,$AP2462)="",$H2462,INDEX(職員マスタ!$B$6:$B$405,$AP2462)))</f>
        <v/>
      </c>
      <c r="Y2462" s="14">
        <f>IF($AP2462="",IF($B2462="","",$R2462),IF(INDEX(職員マスタ!$C$6:$C$405,$AP2462)="",$R2462,INDEX(職員マスタ!$C$6:$C$405,$AP2462)))</f>
        <v/>
      </c>
      <c r="Z2462" s="14">
        <f>IF($AQ2462="","","R"&amp;$C2462&amp;"."&amp;$D2462)</f>
        <v/>
      </c>
      <c r="AA2462" s="15">
        <f>IF(IF($AP2462="",FALSE,INDEX(職員マスタ!$K$6:$K$405,$AP2462)&lt;&gt;""),INDEX(職員マスタ!$K$6:$K$405,$AP2462),IF(N($W2462)&gt;0,$W2462,""))</f>
        <v/>
      </c>
      <c r="AB2462" s="14">
        <f>IF(OR($E2462="",$AA2462=""),"",IF($E2462&gt;=$AA2462,"×",IF($E2462&gt;=$AA2462*設定!$C$5,"△","○")))</f>
        <v/>
      </c>
      <c r="AC2462" s="15">
        <f>IF($AB2462="","",IF($AB2462="×",0,IF($AB2462="○",ROUNDDOWN($E2462*設定!$C$4,0),ROUNDDOWN($E2462*ROUND((9*$AA2462-9*$E2462)/(10*$E2462),4),0))))</f>
        <v/>
      </c>
      <c r="AD2462" s="13" t="n"/>
      <c r="AE2462" s="15">
        <f>IF($B2462="","",IF($AD2462&lt;&gt;"",$AD2462,IF($AC2462="","",IF($AC2462&lt;=設定!$C$3,0,$AC2462))))</f>
        <v/>
      </c>
      <c r="AF2462" s="14">
        <f>IF($B2462="","",IF(AND($AG2462&lt;&gt;"",$AI2462="",$AL2462=""),"保留中",IF($AL2462&lt;&gt;"",IF(N($AE2462)&gt;0,"支給済","不支給"),IF($AE2462="","要確認",IF($AE2462=0,"不支給","未処理")))))</f>
        <v/>
      </c>
      <c r="AG2462" s="12" t="n"/>
      <c r="AH2462" s="11" t="n"/>
      <c r="AI2462" s="11" t="n"/>
      <c r="AJ2462" s="11" t="n"/>
      <c r="AK2462" s="14">
        <f>IF(AND($AF2462="保留中",$AH2462&lt;&gt;""),TODAY()-$AH2462,"")</f>
        <v/>
      </c>
      <c r="AL2462" s="12" t="n"/>
      <c r="AM2462" s="14">
        <f>IF($B2462="","",IF($AQ2462="","対象年月が未入力／","")&amp;IF($B2462="","",IF($AP2462="","職員マスタに未登録の職員番号／",IF($AA2462="","標準報酬月額が未登録／","")&amp;IF(AND($AQ2462&lt;&gt;"",OR(AND(INDEX(職員マスタ!$G$6:$G$405,$AP2462)&lt;&gt;"",INDEX(職員マスタ!$G$6:$G$405,$AP2462)&gt;EOMONTH($AQ2462,0)),AND(INDEX(職員マスタ!$H$6:$H$405,$AP2462)&lt;&gt;"",INDEX(職員マスタ!$H$6:$H$405,$AP2462)&lt;$AQ2462))),"対象月が時短期間外／","")&amp;IF(AND(INDEX(職員マスタ!$K$6:$K$405,$AP2462)&lt;&gt;"",N($W2462)&gt;0,INDEX(職員マスタ!$K$6:$K$405,$AP2462)&lt;&gt;$W2462),"標準報酬月額が申請書と相違（台帳"&amp;TEXT(INDEX(職員マスタ!$K$6:$K$405,$AP2462),"#,##0")&amp;"円／申請書"&amp;TEXT($W2462,"#,##0")&amp;"円）／","")&amp;IF(AND(INDEX(職員マスタ!$F$6:$F$405,$AP2462)&lt;&gt;"",$AQ2462&lt;&gt;"",INDEX(職員マスタ!$F$6:$F$405,$AP2462)&lt;$AQ2462),"対象月に子が2歳到達済／","")&amp;IF(AND($H2462&lt;&gt;"",INDEX(職員マスタ!$B$6:$B$405,$AP2462)&lt;&gt;"",SUBSTITUTE(SUBSTITUTE($H2462," ","")," ","")&lt;&gt;SUBSTITUTE(SUBSTITUTE(INDEX(職員マスタ!$B$6:$B$405,$AP2462)," ","")," ","")),"氏名がマスタと相違／","")&amp;IF(AND($Q2462&lt;&gt;"",INDEX(職員マスタ!$E$6:$E$405,$AP2462)&lt;&gt;"",$Q2462&lt;&gt;INDEX(職員マスタ!$E$6:$E$405,$AP2462)),"子の生年月日がマスタと相違／","")&amp;IF(AND($L2462&lt;&gt;"",INDEX(職員マスタ!$G$6:$G$405,$AP2462)&lt;&gt;"",$L2462&lt;&gt;INDEX(職員マスタ!$G$6:$G$405,$AP2462)),"時短開始日がマスタと相違／","")&amp;IF(AND($M2462&lt;&gt;"",INDEX(職員マスタ!$H$6:$H$405,$AP2462)&lt;&gt;"",$M2462&lt;&gt;INDEX(職員マスタ!$H$6:$H$405,$AP2462)),"時短終了日がマスタと相違／","")))&amp;IF(AND($B2462&lt;&gt;"",$E2462=""),"報酬額が未入力／","")&amp;IF(N($U2462)&gt;0,"申請書に入力エラーが残っています／","")&amp;IF(AND($B2462&lt;&gt;"",$AQ2462&lt;&gt;""),IF(COUNTIFS($B$6:$B$3005,$B2462,$C$6:$C$3005,$C2462,$D$6:$D$3005,$D2462)&gt;1,"同じ月の請求が重複しています／",""),"")&amp;IF(AND(N($E2462)&gt;0,$AB2462&lt;&gt;"",$AB2462&lt;&gt;"×",$AE2462=0,$AD2462=""),"計算額が下限以下のため不支給／",""))</f>
        <v/>
      </c>
      <c r="AN2462" s="12" t="n"/>
      <c r="AO2462" s="14">
        <f>IF($AF2462="保留中",COUNTIF($AF$6:$AF2462,"保留中"),"")</f>
        <v/>
      </c>
      <c r="AP2462" s="14">
        <f>IF($AQ2462="","",IF(SUMPRODUCT(MAX((職員マスタ!$A$6:$A$405=$B2462)*(((職員マスタ!$G$6:$G$405="")+(職員マスタ!$G$6:$G$405&lt;=EOMONTH($AQ2462,0)))&gt;0)*(((職員マスタ!$H$6:$H$405="")+(職員マスタ!$H$6:$H$405&gt;=$AQ2462))&gt;0)*(ROW(職員マスタ!$A$6:$A$405)-5)))&gt;0,SUMPRODUCT(MAX((職員マスタ!$A$6:$A$405=$B2462)*(((職員マスタ!$G$6:$G$405="")+(職員マスタ!$G$6:$G$405&lt;=EOMONTH($AQ2462,0)))&gt;0)*(((職員マスタ!$H$6:$H$405="")+(職員マスタ!$H$6:$H$405&gt;=$AQ2462))&gt;0)*(ROW(職員マスタ!$A$6:$A$405)-5))),IFERROR(MATCH($B2462,職員マスタ!$A$6:$A$405,0),"")))</f>
        <v/>
      </c>
      <c r="AQ2462" s="16">
        <f>IF(OR($B2462="",$C2462="",$D2462=""),"",DATE($C2462+2018,$D2462,1))</f>
        <v/>
      </c>
    </row>
    <row r="2463">
      <c r="A2463" s="11" t="n"/>
      <c r="B2463" s="12" t="n"/>
      <c r="C2463" s="12" t="n"/>
      <c r="D2463" s="12" t="n"/>
      <c r="E2463" s="13" t="n"/>
      <c r="F2463" s="12" t="n"/>
      <c r="G2463" s="13" t="n"/>
      <c r="H2463" s="12" t="n"/>
      <c r="I2463" s="12" t="n"/>
      <c r="J2463" s="12" t="n"/>
      <c r="K2463" s="12" t="n"/>
      <c r="L2463" s="11" t="n"/>
      <c r="M2463" s="11" t="n"/>
      <c r="N2463" s="11" t="n"/>
      <c r="O2463" s="11" t="n"/>
      <c r="P2463" s="12" t="n"/>
      <c r="Q2463" s="11" t="n"/>
      <c r="R2463" s="12" t="n"/>
      <c r="S2463" s="11" t="n"/>
      <c r="T2463" s="12" t="n"/>
      <c r="U2463" s="12" t="n"/>
      <c r="V2463" s="12" t="n"/>
      <c r="W2463" s="13" t="n"/>
      <c r="X2463" s="14">
        <f>IF($AP2463="",IF($B2463="","",$H2463),IF(INDEX(職員マスタ!$B$6:$B$405,$AP2463)="",$H2463,INDEX(職員マスタ!$B$6:$B$405,$AP2463)))</f>
        <v/>
      </c>
      <c r="Y2463" s="14">
        <f>IF($AP2463="",IF($B2463="","",$R2463),IF(INDEX(職員マスタ!$C$6:$C$405,$AP2463)="",$R2463,INDEX(職員マスタ!$C$6:$C$405,$AP2463)))</f>
        <v/>
      </c>
      <c r="Z2463" s="14">
        <f>IF($AQ2463="","","R"&amp;$C2463&amp;"."&amp;$D2463)</f>
        <v/>
      </c>
      <c r="AA2463" s="15">
        <f>IF(IF($AP2463="",FALSE,INDEX(職員マスタ!$K$6:$K$405,$AP2463)&lt;&gt;""),INDEX(職員マスタ!$K$6:$K$405,$AP2463),IF(N($W2463)&gt;0,$W2463,""))</f>
        <v/>
      </c>
      <c r="AB2463" s="14">
        <f>IF(OR($E2463="",$AA2463=""),"",IF($E2463&gt;=$AA2463,"×",IF($E2463&gt;=$AA2463*設定!$C$5,"△","○")))</f>
        <v/>
      </c>
      <c r="AC2463" s="15">
        <f>IF($AB2463="","",IF($AB2463="×",0,IF($AB2463="○",ROUNDDOWN($E2463*設定!$C$4,0),ROUNDDOWN($E2463*ROUND((9*$AA2463-9*$E2463)/(10*$E2463),4),0))))</f>
        <v/>
      </c>
      <c r="AD2463" s="13" t="n"/>
      <c r="AE2463" s="15">
        <f>IF($B2463="","",IF($AD2463&lt;&gt;"",$AD2463,IF($AC2463="","",IF($AC2463&lt;=設定!$C$3,0,$AC2463))))</f>
        <v/>
      </c>
      <c r="AF2463" s="14">
        <f>IF($B2463="","",IF(AND($AG2463&lt;&gt;"",$AI2463="",$AL2463=""),"保留中",IF($AL2463&lt;&gt;"",IF(N($AE2463)&gt;0,"支給済","不支給"),IF($AE2463="","要確認",IF($AE2463=0,"不支給","未処理")))))</f>
        <v/>
      </c>
      <c r="AG2463" s="12" t="n"/>
      <c r="AH2463" s="11" t="n"/>
      <c r="AI2463" s="11" t="n"/>
      <c r="AJ2463" s="11" t="n"/>
      <c r="AK2463" s="14">
        <f>IF(AND($AF2463="保留中",$AH2463&lt;&gt;""),TODAY()-$AH2463,"")</f>
        <v/>
      </c>
      <c r="AL2463" s="12" t="n"/>
      <c r="AM2463" s="14">
        <f>IF($B2463="","",IF($AQ2463="","対象年月が未入力／","")&amp;IF($B2463="","",IF($AP2463="","職員マスタに未登録の職員番号／",IF($AA2463="","標準報酬月額が未登録／","")&amp;IF(AND($AQ2463&lt;&gt;"",OR(AND(INDEX(職員マスタ!$G$6:$G$405,$AP2463)&lt;&gt;"",INDEX(職員マスタ!$G$6:$G$405,$AP2463)&gt;EOMONTH($AQ2463,0)),AND(INDEX(職員マスタ!$H$6:$H$405,$AP2463)&lt;&gt;"",INDEX(職員マスタ!$H$6:$H$405,$AP2463)&lt;$AQ2463))),"対象月が時短期間外／","")&amp;IF(AND(INDEX(職員マスタ!$K$6:$K$405,$AP2463)&lt;&gt;"",N($W2463)&gt;0,INDEX(職員マスタ!$K$6:$K$405,$AP2463)&lt;&gt;$W2463),"標準報酬月額が申請書と相違（台帳"&amp;TEXT(INDEX(職員マスタ!$K$6:$K$405,$AP2463),"#,##0")&amp;"円／申請書"&amp;TEXT($W2463,"#,##0")&amp;"円）／","")&amp;IF(AND(INDEX(職員マスタ!$F$6:$F$405,$AP2463)&lt;&gt;"",$AQ2463&lt;&gt;"",INDEX(職員マスタ!$F$6:$F$405,$AP2463)&lt;$AQ2463),"対象月に子が2歳到達済／","")&amp;IF(AND($H2463&lt;&gt;"",INDEX(職員マスタ!$B$6:$B$405,$AP2463)&lt;&gt;"",SUBSTITUTE(SUBSTITUTE($H2463," ","")," ","")&lt;&gt;SUBSTITUTE(SUBSTITUTE(INDEX(職員マスタ!$B$6:$B$405,$AP2463)," ","")," ","")),"氏名がマスタと相違／","")&amp;IF(AND($Q2463&lt;&gt;"",INDEX(職員マスタ!$E$6:$E$405,$AP2463)&lt;&gt;"",$Q2463&lt;&gt;INDEX(職員マスタ!$E$6:$E$405,$AP2463)),"子の生年月日がマスタと相違／","")&amp;IF(AND($L2463&lt;&gt;"",INDEX(職員マスタ!$G$6:$G$405,$AP2463)&lt;&gt;"",$L2463&lt;&gt;INDEX(職員マスタ!$G$6:$G$405,$AP2463)),"時短開始日がマスタと相違／","")&amp;IF(AND($M2463&lt;&gt;"",INDEX(職員マスタ!$H$6:$H$405,$AP2463)&lt;&gt;"",$M2463&lt;&gt;INDEX(職員マスタ!$H$6:$H$405,$AP2463)),"時短終了日がマスタと相違／","")))&amp;IF(AND($B2463&lt;&gt;"",$E2463=""),"報酬額が未入力／","")&amp;IF(N($U2463)&gt;0,"申請書に入力エラーが残っています／","")&amp;IF(AND($B2463&lt;&gt;"",$AQ2463&lt;&gt;""),IF(COUNTIFS($B$6:$B$3005,$B2463,$C$6:$C$3005,$C2463,$D$6:$D$3005,$D2463)&gt;1,"同じ月の請求が重複しています／",""),"")&amp;IF(AND(N($E2463)&gt;0,$AB2463&lt;&gt;"",$AB2463&lt;&gt;"×",$AE2463=0,$AD2463=""),"計算額が下限以下のため不支給／",""))</f>
        <v/>
      </c>
      <c r="AN2463" s="12" t="n"/>
      <c r="AO2463" s="14">
        <f>IF($AF2463="保留中",COUNTIF($AF$6:$AF2463,"保留中"),"")</f>
        <v/>
      </c>
      <c r="AP2463" s="14">
        <f>IF($AQ2463="","",IF(SUMPRODUCT(MAX((職員マスタ!$A$6:$A$405=$B2463)*(((職員マスタ!$G$6:$G$405="")+(職員マスタ!$G$6:$G$405&lt;=EOMONTH($AQ2463,0)))&gt;0)*(((職員マスタ!$H$6:$H$405="")+(職員マスタ!$H$6:$H$405&gt;=$AQ2463))&gt;0)*(ROW(職員マスタ!$A$6:$A$405)-5)))&gt;0,SUMPRODUCT(MAX((職員マスタ!$A$6:$A$405=$B2463)*(((職員マスタ!$G$6:$G$405="")+(職員マスタ!$G$6:$G$405&lt;=EOMONTH($AQ2463,0)))&gt;0)*(((職員マスタ!$H$6:$H$405="")+(職員マスタ!$H$6:$H$405&gt;=$AQ2463))&gt;0)*(ROW(職員マスタ!$A$6:$A$405)-5))),IFERROR(MATCH($B2463,職員マスタ!$A$6:$A$405,0),"")))</f>
        <v/>
      </c>
      <c r="AQ2463" s="16">
        <f>IF(OR($B2463="",$C2463="",$D2463=""),"",DATE($C2463+2018,$D2463,1))</f>
        <v/>
      </c>
    </row>
    <row r="2464">
      <c r="A2464" s="11" t="n"/>
      <c r="B2464" s="12" t="n"/>
      <c r="C2464" s="12" t="n"/>
      <c r="D2464" s="12" t="n"/>
      <c r="E2464" s="13" t="n"/>
      <c r="F2464" s="12" t="n"/>
      <c r="G2464" s="13" t="n"/>
      <c r="H2464" s="12" t="n"/>
      <c r="I2464" s="12" t="n"/>
      <c r="J2464" s="12" t="n"/>
      <c r="K2464" s="12" t="n"/>
      <c r="L2464" s="11" t="n"/>
      <c r="M2464" s="11" t="n"/>
      <c r="N2464" s="11" t="n"/>
      <c r="O2464" s="11" t="n"/>
      <c r="P2464" s="12" t="n"/>
      <c r="Q2464" s="11" t="n"/>
      <c r="R2464" s="12" t="n"/>
      <c r="S2464" s="11" t="n"/>
      <c r="T2464" s="12" t="n"/>
      <c r="U2464" s="12" t="n"/>
      <c r="V2464" s="12" t="n"/>
      <c r="W2464" s="13" t="n"/>
      <c r="X2464" s="14">
        <f>IF($AP2464="",IF($B2464="","",$H2464),IF(INDEX(職員マスタ!$B$6:$B$405,$AP2464)="",$H2464,INDEX(職員マスタ!$B$6:$B$405,$AP2464)))</f>
        <v/>
      </c>
      <c r="Y2464" s="14">
        <f>IF($AP2464="",IF($B2464="","",$R2464),IF(INDEX(職員マスタ!$C$6:$C$405,$AP2464)="",$R2464,INDEX(職員マスタ!$C$6:$C$405,$AP2464)))</f>
        <v/>
      </c>
      <c r="Z2464" s="14">
        <f>IF($AQ2464="","","R"&amp;$C2464&amp;"."&amp;$D2464)</f>
        <v/>
      </c>
      <c r="AA2464" s="15">
        <f>IF(IF($AP2464="",FALSE,INDEX(職員マスタ!$K$6:$K$405,$AP2464)&lt;&gt;""),INDEX(職員マスタ!$K$6:$K$405,$AP2464),IF(N($W2464)&gt;0,$W2464,""))</f>
        <v/>
      </c>
      <c r="AB2464" s="14">
        <f>IF(OR($E2464="",$AA2464=""),"",IF($E2464&gt;=$AA2464,"×",IF($E2464&gt;=$AA2464*設定!$C$5,"△","○")))</f>
        <v/>
      </c>
      <c r="AC2464" s="15">
        <f>IF($AB2464="","",IF($AB2464="×",0,IF($AB2464="○",ROUNDDOWN($E2464*設定!$C$4,0),ROUNDDOWN($E2464*ROUND((9*$AA2464-9*$E2464)/(10*$E2464),4),0))))</f>
        <v/>
      </c>
      <c r="AD2464" s="13" t="n"/>
      <c r="AE2464" s="15">
        <f>IF($B2464="","",IF($AD2464&lt;&gt;"",$AD2464,IF($AC2464="","",IF($AC2464&lt;=設定!$C$3,0,$AC2464))))</f>
        <v/>
      </c>
      <c r="AF2464" s="14">
        <f>IF($B2464="","",IF(AND($AG2464&lt;&gt;"",$AI2464="",$AL2464=""),"保留中",IF($AL2464&lt;&gt;"",IF(N($AE2464)&gt;0,"支給済","不支給"),IF($AE2464="","要確認",IF($AE2464=0,"不支給","未処理")))))</f>
        <v/>
      </c>
      <c r="AG2464" s="12" t="n"/>
      <c r="AH2464" s="11" t="n"/>
      <c r="AI2464" s="11" t="n"/>
      <c r="AJ2464" s="11" t="n"/>
      <c r="AK2464" s="14">
        <f>IF(AND($AF2464="保留中",$AH2464&lt;&gt;""),TODAY()-$AH2464,"")</f>
        <v/>
      </c>
      <c r="AL2464" s="12" t="n"/>
      <c r="AM2464" s="14">
        <f>IF($B2464="","",IF($AQ2464="","対象年月が未入力／","")&amp;IF($B2464="","",IF($AP2464="","職員マスタに未登録の職員番号／",IF($AA2464="","標準報酬月額が未登録／","")&amp;IF(AND($AQ2464&lt;&gt;"",OR(AND(INDEX(職員マスタ!$G$6:$G$405,$AP2464)&lt;&gt;"",INDEX(職員マスタ!$G$6:$G$405,$AP2464)&gt;EOMONTH($AQ2464,0)),AND(INDEX(職員マスタ!$H$6:$H$405,$AP2464)&lt;&gt;"",INDEX(職員マスタ!$H$6:$H$405,$AP2464)&lt;$AQ2464))),"対象月が時短期間外／","")&amp;IF(AND(INDEX(職員マスタ!$K$6:$K$405,$AP2464)&lt;&gt;"",N($W2464)&gt;0,INDEX(職員マスタ!$K$6:$K$405,$AP2464)&lt;&gt;$W2464),"標準報酬月額が申請書と相違（台帳"&amp;TEXT(INDEX(職員マスタ!$K$6:$K$405,$AP2464),"#,##0")&amp;"円／申請書"&amp;TEXT($W2464,"#,##0")&amp;"円）／","")&amp;IF(AND(INDEX(職員マスタ!$F$6:$F$405,$AP2464)&lt;&gt;"",$AQ2464&lt;&gt;"",INDEX(職員マスタ!$F$6:$F$405,$AP2464)&lt;$AQ2464),"対象月に子が2歳到達済／","")&amp;IF(AND($H2464&lt;&gt;"",INDEX(職員マスタ!$B$6:$B$405,$AP2464)&lt;&gt;"",SUBSTITUTE(SUBSTITUTE($H2464," ","")," ","")&lt;&gt;SUBSTITUTE(SUBSTITUTE(INDEX(職員マスタ!$B$6:$B$405,$AP2464)," ","")," ","")),"氏名がマスタと相違／","")&amp;IF(AND($Q2464&lt;&gt;"",INDEX(職員マスタ!$E$6:$E$405,$AP2464)&lt;&gt;"",$Q2464&lt;&gt;INDEX(職員マスタ!$E$6:$E$405,$AP2464)),"子の生年月日がマスタと相違／","")&amp;IF(AND($L2464&lt;&gt;"",INDEX(職員マスタ!$G$6:$G$405,$AP2464)&lt;&gt;"",$L2464&lt;&gt;INDEX(職員マスタ!$G$6:$G$405,$AP2464)),"時短開始日がマスタと相違／","")&amp;IF(AND($M2464&lt;&gt;"",INDEX(職員マスタ!$H$6:$H$405,$AP2464)&lt;&gt;"",$M2464&lt;&gt;INDEX(職員マスタ!$H$6:$H$405,$AP2464)),"時短終了日がマスタと相違／","")))&amp;IF(AND($B2464&lt;&gt;"",$E2464=""),"報酬額が未入力／","")&amp;IF(N($U2464)&gt;0,"申請書に入力エラーが残っています／","")&amp;IF(AND($B2464&lt;&gt;"",$AQ2464&lt;&gt;""),IF(COUNTIFS($B$6:$B$3005,$B2464,$C$6:$C$3005,$C2464,$D$6:$D$3005,$D2464)&gt;1,"同じ月の請求が重複しています／",""),"")&amp;IF(AND(N($E2464)&gt;0,$AB2464&lt;&gt;"",$AB2464&lt;&gt;"×",$AE2464=0,$AD2464=""),"計算額が下限以下のため不支給／",""))</f>
        <v/>
      </c>
      <c r="AN2464" s="12" t="n"/>
      <c r="AO2464" s="14">
        <f>IF($AF2464="保留中",COUNTIF($AF$6:$AF2464,"保留中"),"")</f>
        <v/>
      </c>
      <c r="AP2464" s="14">
        <f>IF($AQ2464="","",IF(SUMPRODUCT(MAX((職員マスタ!$A$6:$A$405=$B2464)*(((職員マスタ!$G$6:$G$405="")+(職員マスタ!$G$6:$G$405&lt;=EOMONTH($AQ2464,0)))&gt;0)*(((職員マスタ!$H$6:$H$405="")+(職員マスタ!$H$6:$H$405&gt;=$AQ2464))&gt;0)*(ROW(職員マスタ!$A$6:$A$405)-5)))&gt;0,SUMPRODUCT(MAX((職員マスタ!$A$6:$A$405=$B2464)*(((職員マスタ!$G$6:$G$405="")+(職員マスタ!$G$6:$G$405&lt;=EOMONTH($AQ2464,0)))&gt;0)*(((職員マスタ!$H$6:$H$405="")+(職員マスタ!$H$6:$H$405&gt;=$AQ2464))&gt;0)*(ROW(職員マスタ!$A$6:$A$405)-5))),IFERROR(MATCH($B2464,職員マスタ!$A$6:$A$405,0),"")))</f>
        <v/>
      </c>
      <c r="AQ2464" s="16">
        <f>IF(OR($B2464="",$C2464="",$D2464=""),"",DATE($C2464+2018,$D2464,1))</f>
        <v/>
      </c>
    </row>
    <row r="2465">
      <c r="A2465" s="11" t="n"/>
      <c r="B2465" s="12" t="n"/>
      <c r="C2465" s="12" t="n"/>
      <c r="D2465" s="12" t="n"/>
      <c r="E2465" s="13" t="n"/>
      <c r="F2465" s="12" t="n"/>
      <c r="G2465" s="13" t="n"/>
      <c r="H2465" s="12" t="n"/>
      <c r="I2465" s="12" t="n"/>
      <c r="J2465" s="12" t="n"/>
      <c r="K2465" s="12" t="n"/>
      <c r="L2465" s="11" t="n"/>
      <c r="M2465" s="11" t="n"/>
      <c r="N2465" s="11" t="n"/>
      <c r="O2465" s="11" t="n"/>
      <c r="P2465" s="12" t="n"/>
      <c r="Q2465" s="11" t="n"/>
      <c r="R2465" s="12" t="n"/>
      <c r="S2465" s="11" t="n"/>
      <c r="T2465" s="12" t="n"/>
      <c r="U2465" s="12" t="n"/>
      <c r="V2465" s="12" t="n"/>
      <c r="W2465" s="13" t="n"/>
      <c r="X2465" s="14">
        <f>IF($AP2465="",IF($B2465="","",$H2465),IF(INDEX(職員マスタ!$B$6:$B$405,$AP2465)="",$H2465,INDEX(職員マスタ!$B$6:$B$405,$AP2465)))</f>
        <v/>
      </c>
      <c r="Y2465" s="14">
        <f>IF($AP2465="",IF($B2465="","",$R2465),IF(INDEX(職員マスタ!$C$6:$C$405,$AP2465)="",$R2465,INDEX(職員マスタ!$C$6:$C$405,$AP2465)))</f>
        <v/>
      </c>
      <c r="Z2465" s="14">
        <f>IF($AQ2465="","","R"&amp;$C2465&amp;"."&amp;$D2465)</f>
        <v/>
      </c>
      <c r="AA2465" s="15">
        <f>IF(IF($AP2465="",FALSE,INDEX(職員マスタ!$K$6:$K$405,$AP2465)&lt;&gt;""),INDEX(職員マスタ!$K$6:$K$405,$AP2465),IF(N($W2465)&gt;0,$W2465,""))</f>
        <v/>
      </c>
      <c r="AB2465" s="14">
        <f>IF(OR($E2465="",$AA2465=""),"",IF($E2465&gt;=$AA2465,"×",IF($E2465&gt;=$AA2465*設定!$C$5,"△","○")))</f>
        <v/>
      </c>
      <c r="AC2465" s="15">
        <f>IF($AB2465="","",IF($AB2465="×",0,IF($AB2465="○",ROUNDDOWN($E2465*設定!$C$4,0),ROUNDDOWN($E2465*ROUND((9*$AA2465-9*$E2465)/(10*$E2465),4),0))))</f>
        <v/>
      </c>
      <c r="AD2465" s="13" t="n"/>
      <c r="AE2465" s="15">
        <f>IF($B2465="","",IF($AD2465&lt;&gt;"",$AD2465,IF($AC2465="","",IF($AC2465&lt;=設定!$C$3,0,$AC2465))))</f>
        <v/>
      </c>
      <c r="AF2465" s="14">
        <f>IF($B2465="","",IF(AND($AG2465&lt;&gt;"",$AI2465="",$AL2465=""),"保留中",IF($AL2465&lt;&gt;"",IF(N($AE2465)&gt;0,"支給済","不支給"),IF($AE2465="","要確認",IF($AE2465=0,"不支給","未処理")))))</f>
        <v/>
      </c>
      <c r="AG2465" s="12" t="n"/>
      <c r="AH2465" s="11" t="n"/>
      <c r="AI2465" s="11" t="n"/>
      <c r="AJ2465" s="11" t="n"/>
      <c r="AK2465" s="14">
        <f>IF(AND($AF2465="保留中",$AH2465&lt;&gt;""),TODAY()-$AH2465,"")</f>
        <v/>
      </c>
      <c r="AL2465" s="12" t="n"/>
      <c r="AM2465" s="14">
        <f>IF($B2465="","",IF($AQ2465="","対象年月が未入力／","")&amp;IF($B2465="","",IF($AP2465="","職員マスタに未登録の職員番号／",IF($AA2465="","標準報酬月額が未登録／","")&amp;IF(AND($AQ2465&lt;&gt;"",OR(AND(INDEX(職員マスタ!$G$6:$G$405,$AP2465)&lt;&gt;"",INDEX(職員マスタ!$G$6:$G$405,$AP2465)&gt;EOMONTH($AQ2465,0)),AND(INDEX(職員マスタ!$H$6:$H$405,$AP2465)&lt;&gt;"",INDEX(職員マスタ!$H$6:$H$405,$AP2465)&lt;$AQ2465))),"対象月が時短期間外／","")&amp;IF(AND(INDEX(職員マスタ!$K$6:$K$405,$AP2465)&lt;&gt;"",N($W2465)&gt;0,INDEX(職員マスタ!$K$6:$K$405,$AP2465)&lt;&gt;$W2465),"標準報酬月額が申請書と相違（台帳"&amp;TEXT(INDEX(職員マスタ!$K$6:$K$405,$AP2465),"#,##0")&amp;"円／申請書"&amp;TEXT($W2465,"#,##0")&amp;"円）／","")&amp;IF(AND(INDEX(職員マスタ!$F$6:$F$405,$AP2465)&lt;&gt;"",$AQ2465&lt;&gt;"",INDEX(職員マスタ!$F$6:$F$405,$AP2465)&lt;$AQ2465),"対象月に子が2歳到達済／","")&amp;IF(AND($H2465&lt;&gt;"",INDEX(職員マスタ!$B$6:$B$405,$AP2465)&lt;&gt;"",SUBSTITUTE(SUBSTITUTE($H2465," ","")," ","")&lt;&gt;SUBSTITUTE(SUBSTITUTE(INDEX(職員マスタ!$B$6:$B$405,$AP2465)," ","")," ","")),"氏名がマスタと相違／","")&amp;IF(AND($Q2465&lt;&gt;"",INDEX(職員マスタ!$E$6:$E$405,$AP2465)&lt;&gt;"",$Q2465&lt;&gt;INDEX(職員マスタ!$E$6:$E$405,$AP2465)),"子の生年月日がマスタと相違／","")&amp;IF(AND($L2465&lt;&gt;"",INDEX(職員マスタ!$G$6:$G$405,$AP2465)&lt;&gt;"",$L2465&lt;&gt;INDEX(職員マスタ!$G$6:$G$405,$AP2465)),"時短開始日がマスタと相違／","")&amp;IF(AND($M2465&lt;&gt;"",INDEX(職員マスタ!$H$6:$H$405,$AP2465)&lt;&gt;"",$M2465&lt;&gt;INDEX(職員マスタ!$H$6:$H$405,$AP2465)),"時短終了日がマスタと相違／","")))&amp;IF(AND($B2465&lt;&gt;"",$E2465=""),"報酬額が未入力／","")&amp;IF(N($U2465)&gt;0,"申請書に入力エラーが残っています／","")&amp;IF(AND($B2465&lt;&gt;"",$AQ2465&lt;&gt;""),IF(COUNTIFS($B$6:$B$3005,$B2465,$C$6:$C$3005,$C2465,$D$6:$D$3005,$D2465)&gt;1,"同じ月の請求が重複しています／",""),"")&amp;IF(AND(N($E2465)&gt;0,$AB2465&lt;&gt;"",$AB2465&lt;&gt;"×",$AE2465=0,$AD2465=""),"計算額が下限以下のため不支給／",""))</f>
        <v/>
      </c>
      <c r="AN2465" s="12" t="n"/>
      <c r="AO2465" s="14">
        <f>IF($AF2465="保留中",COUNTIF($AF$6:$AF2465,"保留中"),"")</f>
        <v/>
      </c>
      <c r="AP2465" s="14">
        <f>IF($AQ2465="","",IF(SUMPRODUCT(MAX((職員マスタ!$A$6:$A$405=$B2465)*(((職員マスタ!$G$6:$G$405="")+(職員マスタ!$G$6:$G$405&lt;=EOMONTH($AQ2465,0)))&gt;0)*(((職員マスタ!$H$6:$H$405="")+(職員マスタ!$H$6:$H$405&gt;=$AQ2465))&gt;0)*(ROW(職員マスタ!$A$6:$A$405)-5)))&gt;0,SUMPRODUCT(MAX((職員マスタ!$A$6:$A$405=$B2465)*(((職員マスタ!$G$6:$G$405="")+(職員マスタ!$G$6:$G$405&lt;=EOMONTH($AQ2465,0)))&gt;0)*(((職員マスタ!$H$6:$H$405="")+(職員マスタ!$H$6:$H$405&gt;=$AQ2465))&gt;0)*(ROW(職員マスタ!$A$6:$A$405)-5))),IFERROR(MATCH($B2465,職員マスタ!$A$6:$A$405,0),"")))</f>
        <v/>
      </c>
      <c r="AQ2465" s="16">
        <f>IF(OR($B2465="",$C2465="",$D2465=""),"",DATE($C2465+2018,$D2465,1))</f>
        <v/>
      </c>
    </row>
    <row r="2466">
      <c r="A2466" s="11" t="n"/>
      <c r="B2466" s="12" t="n"/>
      <c r="C2466" s="12" t="n"/>
      <c r="D2466" s="12" t="n"/>
      <c r="E2466" s="13" t="n"/>
      <c r="F2466" s="12" t="n"/>
      <c r="G2466" s="13" t="n"/>
      <c r="H2466" s="12" t="n"/>
      <c r="I2466" s="12" t="n"/>
      <c r="J2466" s="12" t="n"/>
      <c r="K2466" s="12" t="n"/>
      <c r="L2466" s="11" t="n"/>
      <c r="M2466" s="11" t="n"/>
      <c r="N2466" s="11" t="n"/>
      <c r="O2466" s="11" t="n"/>
      <c r="P2466" s="12" t="n"/>
      <c r="Q2466" s="11" t="n"/>
      <c r="R2466" s="12" t="n"/>
      <c r="S2466" s="11" t="n"/>
      <c r="T2466" s="12" t="n"/>
      <c r="U2466" s="12" t="n"/>
      <c r="V2466" s="12" t="n"/>
      <c r="W2466" s="13" t="n"/>
      <c r="X2466" s="14">
        <f>IF($AP2466="",IF($B2466="","",$H2466),IF(INDEX(職員マスタ!$B$6:$B$405,$AP2466)="",$H2466,INDEX(職員マスタ!$B$6:$B$405,$AP2466)))</f>
        <v/>
      </c>
      <c r="Y2466" s="14">
        <f>IF($AP2466="",IF($B2466="","",$R2466),IF(INDEX(職員マスタ!$C$6:$C$405,$AP2466)="",$R2466,INDEX(職員マスタ!$C$6:$C$405,$AP2466)))</f>
        <v/>
      </c>
      <c r="Z2466" s="14">
        <f>IF($AQ2466="","","R"&amp;$C2466&amp;"."&amp;$D2466)</f>
        <v/>
      </c>
      <c r="AA2466" s="15">
        <f>IF(IF($AP2466="",FALSE,INDEX(職員マスタ!$K$6:$K$405,$AP2466)&lt;&gt;""),INDEX(職員マスタ!$K$6:$K$405,$AP2466),IF(N($W2466)&gt;0,$W2466,""))</f>
        <v/>
      </c>
      <c r="AB2466" s="14">
        <f>IF(OR($E2466="",$AA2466=""),"",IF($E2466&gt;=$AA2466,"×",IF($E2466&gt;=$AA2466*設定!$C$5,"△","○")))</f>
        <v/>
      </c>
      <c r="AC2466" s="15">
        <f>IF($AB2466="","",IF($AB2466="×",0,IF($AB2466="○",ROUNDDOWN($E2466*設定!$C$4,0),ROUNDDOWN($E2466*ROUND((9*$AA2466-9*$E2466)/(10*$E2466),4),0))))</f>
        <v/>
      </c>
      <c r="AD2466" s="13" t="n"/>
      <c r="AE2466" s="15">
        <f>IF($B2466="","",IF($AD2466&lt;&gt;"",$AD2466,IF($AC2466="","",IF($AC2466&lt;=設定!$C$3,0,$AC2466))))</f>
        <v/>
      </c>
      <c r="AF2466" s="14">
        <f>IF($B2466="","",IF(AND($AG2466&lt;&gt;"",$AI2466="",$AL2466=""),"保留中",IF($AL2466&lt;&gt;"",IF(N($AE2466)&gt;0,"支給済","不支給"),IF($AE2466="","要確認",IF($AE2466=0,"不支給","未処理")))))</f>
        <v/>
      </c>
      <c r="AG2466" s="12" t="n"/>
      <c r="AH2466" s="11" t="n"/>
      <c r="AI2466" s="11" t="n"/>
      <c r="AJ2466" s="11" t="n"/>
      <c r="AK2466" s="14">
        <f>IF(AND($AF2466="保留中",$AH2466&lt;&gt;""),TODAY()-$AH2466,"")</f>
        <v/>
      </c>
      <c r="AL2466" s="12" t="n"/>
      <c r="AM2466" s="14">
        <f>IF($B2466="","",IF($AQ2466="","対象年月が未入力／","")&amp;IF($B2466="","",IF($AP2466="","職員マスタに未登録の職員番号／",IF($AA2466="","標準報酬月額が未登録／","")&amp;IF(AND($AQ2466&lt;&gt;"",OR(AND(INDEX(職員マスタ!$G$6:$G$405,$AP2466)&lt;&gt;"",INDEX(職員マスタ!$G$6:$G$405,$AP2466)&gt;EOMONTH($AQ2466,0)),AND(INDEX(職員マスタ!$H$6:$H$405,$AP2466)&lt;&gt;"",INDEX(職員マスタ!$H$6:$H$405,$AP2466)&lt;$AQ2466))),"対象月が時短期間外／","")&amp;IF(AND(INDEX(職員マスタ!$K$6:$K$405,$AP2466)&lt;&gt;"",N($W2466)&gt;0,INDEX(職員マスタ!$K$6:$K$405,$AP2466)&lt;&gt;$W2466),"標準報酬月額が申請書と相違（台帳"&amp;TEXT(INDEX(職員マスタ!$K$6:$K$405,$AP2466),"#,##0")&amp;"円／申請書"&amp;TEXT($W2466,"#,##0")&amp;"円）／","")&amp;IF(AND(INDEX(職員マスタ!$F$6:$F$405,$AP2466)&lt;&gt;"",$AQ2466&lt;&gt;"",INDEX(職員マスタ!$F$6:$F$405,$AP2466)&lt;$AQ2466),"対象月に子が2歳到達済／","")&amp;IF(AND($H2466&lt;&gt;"",INDEX(職員マスタ!$B$6:$B$405,$AP2466)&lt;&gt;"",SUBSTITUTE(SUBSTITUTE($H2466," ","")," ","")&lt;&gt;SUBSTITUTE(SUBSTITUTE(INDEX(職員マスタ!$B$6:$B$405,$AP2466)," ","")," ","")),"氏名がマスタと相違／","")&amp;IF(AND($Q2466&lt;&gt;"",INDEX(職員マスタ!$E$6:$E$405,$AP2466)&lt;&gt;"",$Q2466&lt;&gt;INDEX(職員マスタ!$E$6:$E$405,$AP2466)),"子の生年月日がマスタと相違／","")&amp;IF(AND($L2466&lt;&gt;"",INDEX(職員マスタ!$G$6:$G$405,$AP2466)&lt;&gt;"",$L2466&lt;&gt;INDEX(職員マスタ!$G$6:$G$405,$AP2466)),"時短開始日がマスタと相違／","")&amp;IF(AND($M2466&lt;&gt;"",INDEX(職員マスタ!$H$6:$H$405,$AP2466)&lt;&gt;"",$M2466&lt;&gt;INDEX(職員マスタ!$H$6:$H$405,$AP2466)),"時短終了日がマスタと相違／","")))&amp;IF(AND($B2466&lt;&gt;"",$E2466=""),"報酬額が未入力／","")&amp;IF(N($U2466)&gt;0,"申請書に入力エラーが残っています／","")&amp;IF(AND($B2466&lt;&gt;"",$AQ2466&lt;&gt;""),IF(COUNTIFS($B$6:$B$3005,$B2466,$C$6:$C$3005,$C2466,$D$6:$D$3005,$D2466)&gt;1,"同じ月の請求が重複しています／",""),"")&amp;IF(AND(N($E2466)&gt;0,$AB2466&lt;&gt;"",$AB2466&lt;&gt;"×",$AE2466=0,$AD2466=""),"計算額が下限以下のため不支給／",""))</f>
        <v/>
      </c>
      <c r="AN2466" s="12" t="n"/>
      <c r="AO2466" s="14">
        <f>IF($AF2466="保留中",COUNTIF($AF$6:$AF2466,"保留中"),"")</f>
        <v/>
      </c>
      <c r="AP2466" s="14">
        <f>IF($AQ2466="","",IF(SUMPRODUCT(MAX((職員マスタ!$A$6:$A$405=$B2466)*(((職員マスタ!$G$6:$G$405="")+(職員マスタ!$G$6:$G$405&lt;=EOMONTH($AQ2466,0)))&gt;0)*(((職員マスタ!$H$6:$H$405="")+(職員マスタ!$H$6:$H$405&gt;=$AQ2466))&gt;0)*(ROW(職員マスタ!$A$6:$A$405)-5)))&gt;0,SUMPRODUCT(MAX((職員マスタ!$A$6:$A$405=$B2466)*(((職員マスタ!$G$6:$G$405="")+(職員マスタ!$G$6:$G$405&lt;=EOMONTH($AQ2466,0)))&gt;0)*(((職員マスタ!$H$6:$H$405="")+(職員マスタ!$H$6:$H$405&gt;=$AQ2466))&gt;0)*(ROW(職員マスタ!$A$6:$A$405)-5))),IFERROR(MATCH($B2466,職員マスタ!$A$6:$A$405,0),"")))</f>
        <v/>
      </c>
      <c r="AQ2466" s="16">
        <f>IF(OR($B2466="",$C2466="",$D2466=""),"",DATE($C2466+2018,$D2466,1))</f>
        <v/>
      </c>
    </row>
    <row r="2467">
      <c r="A2467" s="11" t="n"/>
      <c r="B2467" s="12" t="n"/>
      <c r="C2467" s="12" t="n"/>
      <c r="D2467" s="12" t="n"/>
      <c r="E2467" s="13" t="n"/>
      <c r="F2467" s="12" t="n"/>
      <c r="G2467" s="13" t="n"/>
      <c r="H2467" s="12" t="n"/>
      <c r="I2467" s="12" t="n"/>
      <c r="J2467" s="12" t="n"/>
      <c r="K2467" s="12" t="n"/>
      <c r="L2467" s="11" t="n"/>
      <c r="M2467" s="11" t="n"/>
      <c r="N2467" s="11" t="n"/>
      <c r="O2467" s="11" t="n"/>
      <c r="P2467" s="12" t="n"/>
      <c r="Q2467" s="11" t="n"/>
      <c r="R2467" s="12" t="n"/>
      <c r="S2467" s="11" t="n"/>
      <c r="T2467" s="12" t="n"/>
      <c r="U2467" s="12" t="n"/>
      <c r="V2467" s="12" t="n"/>
      <c r="W2467" s="13" t="n"/>
      <c r="X2467" s="14">
        <f>IF($AP2467="",IF($B2467="","",$H2467),IF(INDEX(職員マスタ!$B$6:$B$405,$AP2467)="",$H2467,INDEX(職員マスタ!$B$6:$B$405,$AP2467)))</f>
        <v/>
      </c>
      <c r="Y2467" s="14">
        <f>IF($AP2467="",IF($B2467="","",$R2467),IF(INDEX(職員マスタ!$C$6:$C$405,$AP2467)="",$R2467,INDEX(職員マスタ!$C$6:$C$405,$AP2467)))</f>
        <v/>
      </c>
      <c r="Z2467" s="14">
        <f>IF($AQ2467="","","R"&amp;$C2467&amp;"."&amp;$D2467)</f>
        <v/>
      </c>
      <c r="AA2467" s="15">
        <f>IF(IF($AP2467="",FALSE,INDEX(職員マスタ!$K$6:$K$405,$AP2467)&lt;&gt;""),INDEX(職員マスタ!$K$6:$K$405,$AP2467),IF(N($W2467)&gt;0,$W2467,""))</f>
        <v/>
      </c>
      <c r="AB2467" s="14">
        <f>IF(OR($E2467="",$AA2467=""),"",IF($E2467&gt;=$AA2467,"×",IF($E2467&gt;=$AA2467*設定!$C$5,"△","○")))</f>
        <v/>
      </c>
      <c r="AC2467" s="15">
        <f>IF($AB2467="","",IF($AB2467="×",0,IF($AB2467="○",ROUNDDOWN($E2467*設定!$C$4,0),ROUNDDOWN($E2467*ROUND((9*$AA2467-9*$E2467)/(10*$E2467),4),0))))</f>
        <v/>
      </c>
      <c r="AD2467" s="13" t="n"/>
      <c r="AE2467" s="15">
        <f>IF($B2467="","",IF($AD2467&lt;&gt;"",$AD2467,IF($AC2467="","",IF($AC2467&lt;=設定!$C$3,0,$AC2467))))</f>
        <v/>
      </c>
      <c r="AF2467" s="14">
        <f>IF($B2467="","",IF(AND($AG2467&lt;&gt;"",$AI2467="",$AL2467=""),"保留中",IF($AL2467&lt;&gt;"",IF(N($AE2467)&gt;0,"支給済","不支給"),IF($AE2467="","要確認",IF($AE2467=0,"不支給","未処理")))))</f>
        <v/>
      </c>
      <c r="AG2467" s="12" t="n"/>
      <c r="AH2467" s="11" t="n"/>
      <c r="AI2467" s="11" t="n"/>
      <c r="AJ2467" s="11" t="n"/>
      <c r="AK2467" s="14">
        <f>IF(AND($AF2467="保留中",$AH2467&lt;&gt;""),TODAY()-$AH2467,"")</f>
        <v/>
      </c>
      <c r="AL2467" s="12" t="n"/>
      <c r="AM2467" s="14">
        <f>IF($B2467="","",IF($AQ2467="","対象年月が未入力／","")&amp;IF($B2467="","",IF($AP2467="","職員マスタに未登録の職員番号／",IF($AA2467="","標準報酬月額が未登録／","")&amp;IF(AND($AQ2467&lt;&gt;"",OR(AND(INDEX(職員マスタ!$G$6:$G$405,$AP2467)&lt;&gt;"",INDEX(職員マスタ!$G$6:$G$405,$AP2467)&gt;EOMONTH($AQ2467,0)),AND(INDEX(職員マスタ!$H$6:$H$405,$AP2467)&lt;&gt;"",INDEX(職員マスタ!$H$6:$H$405,$AP2467)&lt;$AQ2467))),"対象月が時短期間外／","")&amp;IF(AND(INDEX(職員マスタ!$K$6:$K$405,$AP2467)&lt;&gt;"",N($W2467)&gt;0,INDEX(職員マスタ!$K$6:$K$405,$AP2467)&lt;&gt;$W2467),"標準報酬月額が申請書と相違（台帳"&amp;TEXT(INDEX(職員マスタ!$K$6:$K$405,$AP2467),"#,##0")&amp;"円／申請書"&amp;TEXT($W2467,"#,##0")&amp;"円）／","")&amp;IF(AND(INDEX(職員マスタ!$F$6:$F$405,$AP2467)&lt;&gt;"",$AQ2467&lt;&gt;"",INDEX(職員マスタ!$F$6:$F$405,$AP2467)&lt;$AQ2467),"対象月に子が2歳到達済／","")&amp;IF(AND($H2467&lt;&gt;"",INDEX(職員マスタ!$B$6:$B$405,$AP2467)&lt;&gt;"",SUBSTITUTE(SUBSTITUTE($H2467," ","")," ","")&lt;&gt;SUBSTITUTE(SUBSTITUTE(INDEX(職員マスタ!$B$6:$B$405,$AP2467)," ","")," ","")),"氏名がマスタと相違／","")&amp;IF(AND($Q2467&lt;&gt;"",INDEX(職員マスタ!$E$6:$E$405,$AP2467)&lt;&gt;"",$Q2467&lt;&gt;INDEX(職員マスタ!$E$6:$E$405,$AP2467)),"子の生年月日がマスタと相違／","")&amp;IF(AND($L2467&lt;&gt;"",INDEX(職員マスタ!$G$6:$G$405,$AP2467)&lt;&gt;"",$L2467&lt;&gt;INDEX(職員マスタ!$G$6:$G$405,$AP2467)),"時短開始日がマスタと相違／","")&amp;IF(AND($M2467&lt;&gt;"",INDEX(職員マスタ!$H$6:$H$405,$AP2467)&lt;&gt;"",$M2467&lt;&gt;INDEX(職員マスタ!$H$6:$H$405,$AP2467)),"時短終了日がマスタと相違／","")))&amp;IF(AND($B2467&lt;&gt;"",$E2467=""),"報酬額が未入力／","")&amp;IF(N($U2467)&gt;0,"申請書に入力エラーが残っています／","")&amp;IF(AND($B2467&lt;&gt;"",$AQ2467&lt;&gt;""),IF(COUNTIFS($B$6:$B$3005,$B2467,$C$6:$C$3005,$C2467,$D$6:$D$3005,$D2467)&gt;1,"同じ月の請求が重複しています／",""),"")&amp;IF(AND(N($E2467)&gt;0,$AB2467&lt;&gt;"",$AB2467&lt;&gt;"×",$AE2467=0,$AD2467=""),"計算額が下限以下のため不支給／",""))</f>
        <v/>
      </c>
      <c r="AN2467" s="12" t="n"/>
      <c r="AO2467" s="14">
        <f>IF($AF2467="保留中",COUNTIF($AF$6:$AF2467,"保留中"),"")</f>
        <v/>
      </c>
      <c r="AP2467" s="14">
        <f>IF($AQ2467="","",IF(SUMPRODUCT(MAX((職員マスタ!$A$6:$A$405=$B2467)*(((職員マスタ!$G$6:$G$405="")+(職員マスタ!$G$6:$G$405&lt;=EOMONTH($AQ2467,0)))&gt;0)*(((職員マスタ!$H$6:$H$405="")+(職員マスタ!$H$6:$H$405&gt;=$AQ2467))&gt;0)*(ROW(職員マスタ!$A$6:$A$405)-5)))&gt;0,SUMPRODUCT(MAX((職員マスタ!$A$6:$A$405=$B2467)*(((職員マスタ!$G$6:$G$405="")+(職員マスタ!$G$6:$G$405&lt;=EOMONTH($AQ2467,0)))&gt;0)*(((職員マスタ!$H$6:$H$405="")+(職員マスタ!$H$6:$H$405&gt;=$AQ2467))&gt;0)*(ROW(職員マスタ!$A$6:$A$405)-5))),IFERROR(MATCH($B2467,職員マスタ!$A$6:$A$405,0),"")))</f>
        <v/>
      </c>
      <c r="AQ2467" s="16">
        <f>IF(OR($B2467="",$C2467="",$D2467=""),"",DATE($C2467+2018,$D2467,1))</f>
        <v/>
      </c>
    </row>
    <row r="2468">
      <c r="A2468" s="11" t="n"/>
      <c r="B2468" s="12" t="n"/>
      <c r="C2468" s="12" t="n"/>
      <c r="D2468" s="12" t="n"/>
      <c r="E2468" s="13" t="n"/>
      <c r="F2468" s="12" t="n"/>
      <c r="G2468" s="13" t="n"/>
      <c r="H2468" s="12" t="n"/>
      <c r="I2468" s="12" t="n"/>
      <c r="J2468" s="12" t="n"/>
      <c r="K2468" s="12" t="n"/>
      <c r="L2468" s="11" t="n"/>
      <c r="M2468" s="11" t="n"/>
      <c r="N2468" s="11" t="n"/>
      <c r="O2468" s="11" t="n"/>
      <c r="P2468" s="12" t="n"/>
      <c r="Q2468" s="11" t="n"/>
      <c r="R2468" s="12" t="n"/>
      <c r="S2468" s="11" t="n"/>
      <c r="T2468" s="12" t="n"/>
      <c r="U2468" s="12" t="n"/>
      <c r="V2468" s="12" t="n"/>
      <c r="W2468" s="13" t="n"/>
      <c r="X2468" s="14">
        <f>IF($AP2468="",IF($B2468="","",$H2468),IF(INDEX(職員マスタ!$B$6:$B$405,$AP2468)="",$H2468,INDEX(職員マスタ!$B$6:$B$405,$AP2468)))</f>
        <v/>
      </c>
      <c r="Y2468" s="14">
        <f>IF($AP2468="",IF($B2468="","",$R2468),IF(INDEX(職員マスタ!$C$6:$C$405,$AP2468)="",$R2468,INDEX(職員マスタ!$C$6:$C$405,$AP2468)))</f>
        <v/>
      </c>
      <c r="Z2468" s="14">
        <f>IF($AQ2468="","","R"&amp;$C2468&amp;"."&amp;$D2468)</f>
        <v/>
      </c>
      <c r="AA2468" s="15">
        <f>IF(IF($AP2468="",FALSE,INDEX(職員マスタ!$K$6:$K$405,$AP2468)&lt;&gt;""),INDEX(職員マスタ!$K$6:$K$405,$AP2468),IF(N($W2468)&gt;0,$W2468,""))</f>
        <v/>
      </c>
      <c r="AB2468" s="14">
        <f>IF(OR($E2468="",$AA2468=""),"",IF($E2468&gt;=$AA2468,"×",IF($E2468&gt;=$AA2468*設定!$C$5,"△","○")))</f>
        <v/>
      </c>
      <c r="AC2468" s="15">
        <f>IF($AB2468="","",IF($AB2468="×",0,IF($AB2468="○",ROUNDDOWN($E2468*設定!$C$4,0),ROUNDDOWN($E2468*ROUND((9*$AA2468-9*$E2468)/(10*$E2468),4),0))))</f>
        <v/>
      </c>
      <c r="AD2468" s="13" t="n"/>
      <c r="AE2468" s="15">
        <f>IF($B2468="","",IF($AD2468&lt;&gt;"",$AD2468,IF($AC2468="","",IF($AC2468&lt;=設定!$C$3,0,$AC2468))))</f>
        <v/>
      </c>
      <c r="AF2468" s="14">
        <f>IF($B2468="","",IF(AND($AG2468&lt;&gt;"",$AI2468="",$AL2468=""),"保留中",IF($AL2468&lt;&gt;"",IF(N($AE2468)&gt;0,"支給済","不支給"),IF($AE2468="","要確認",IF($AE2468=0,"不支給","未処理")))))</f>
        <v/>
      </c>
      <c r="AG2468" s="12" t="n"/>
      <c r="AH2468" s="11" t="n"/>
      <c r="AI2468" s="11" t="n"/>
      <c r="AJ2468" s="11" t="n"/>
      <c r="AK2468" s="14">
        <f>IF(AND($AF2468="保留中",$AH2468&lt;&gt;""),TODAY()-$AH2468,"")</f>
        <v/>
      </c>
      <c r="AL2468" s="12" t="n"/>
      <c r="AM2468" s="14">
        <f>IF($B2468="","",IF($AQ2468="","対象年月が未入力／","")&amp;IF($B2468="","",IF($AP2468="","職員マスタに未登録の職員番号／",IF($AA2468="","標準報酬月額が未登録／","")&amp;IF(AND($AQ2468&lt;&gt;"",OR(AND(INDEX(職員マスタ!$G$6:$G$405,$AP2468)&lt;&gt;"",INDEX(職員マスタ!$G$6:$G$405,$AP2468)&gt;EOMONTH($AQ2468,0)),AND(INDEX(職員マスタ!$H$6:$H$405,$AP2468)&lt;&gt;"",INDEX(職員マスタ!$H$6:$H$405,$AP2468)&lt;$AQ2468))),"対象月が時短期間外／","")&amp;IF(AND(INDEX(職員マスタ!$K$6:$K$405,$AP2468)&lt;&gt;"",N($W2468)&gt;0,INDEX(職員マスタ!$K$6:$K$405,$AP2468)&lt;&gt;$W2468),"標準報酬月額が申請書と相違（台帳"&amp;TEXT(INDEX(職員マスタ!$K$6:$K$405,$AP2468),"#,##0")&amp;"円／申請書"&amp;TEXT($W2468,"#,##0")&amp;"円）／","")&amp;IF(AND(INDEX(職員マスタ!$F$6:$F$405,$AP2468)&lt;&gt;"",$AQ2468&lt;&gt;"",INDEX(職員マスタ!$F$6:$F$405,$AP2468)&lt;$AQ2468),"対象月に子が2歳到達済／","")&amp;IF(AND($H2468&lt;&gt;"",INDEX(職員マスタ!$B$6:$B$405,$AP2468)&lt;&gt;"",SUBSTITUTE(SUBSTITUTE($H2468," ","")," ","")&lt;&gt;SUBSTITUTE(SUBSTITUTE(INDEX(職員マスタ!$B$6:$B$405,$AP2468)," ","")," ","")),"氏名がマスタと相違／","")&amp;IF(AND($Q2468&lt;&gt;"",INDEX(職員マスタ!$E$6:$E$405,$AP2468)&lt;&gt;"",$Q2468&lt;&gt;INDEX(職員マスタ!$E$6:$E$405,$AP2468)),"子の生年月日がマスタと相違／","")&amp;IF(AND($L2468&lt;&gt;"",INDEX(職員マスタ!$G$6:$G$405,$AP2468)&lt;&gt;"",$L2468&lt;&gt;INDEX(職員マスタ!$G$6:$G$405,$AP2468)),"時短開始日がマスタと相違／","")&amp;IF(AND($M2468&lt;&gt;"",INDEX(職員マスタ!$H$6:$H$405,$AP2468)&lt;&gt;"",$M2468&lt;&gt;INDEX(職員マスタ!$H$6:$H$405,$AP2468)),"時短終了日がマスタと相違／","")))&amp;IF(AND($B2468&lt;&gt;"",$E2468=""),"報酬額が未入力／","")&amp;IF(N($U2468)&gt;0,"申請書に入力エラーが残っています／","")&amp;IF(AND($B2468&lt;&gt;"",$AQ2468&lt;&gt;""),IF(COUNTIFS($B$6:$B$3005,$B2468,$C$6:$C$3005,$C2468,$D$6:$D$3005,$D2468)&gt;1,"同じ月の請求が重複しています／",""),"")&amp;IF(AND(N($E2468)&gt;0,$AB2468&lt;&gt;"",$AB2468&lt;&gt;"×",$AE2468=0,$AD2468=""),"計算額が下限以下のため不支給／",""))</f>
        <v/>
      </c>
      <c r="AN2468" s="12" t="n"/>
      <c r="AO2468" s="14">
        <f>IF($AF2468="保留中",COUNTIF($AF$6:$AF2468,"保留中"),"")</f>
        <v/>
      </c>
      <c r="AP2468" s="14">
        <f>IF($AQ2468="","",IF(SUMPRODUCT(MAX((職員マスタ!$A$6:$A$405=$B2468)*(((職員マスタ!$G$6:$G$405="")+(職員マスタ!$G$6:$G$405&lt;=EOMONTH($AQ2468,0)))&gt;0)*(((職員マスタ!$H$6:$H$405="")+(職員マスタ!$H$6:$H$405&gt;=$AQ2468))&gt;0)*(ROW(職員マスタ!$A$6:$A$405)-5)))&gt;0,SUMPRODUCT(MAX((職員マスタ!$A$6:$A$405=$B2468)*(((職員マスタ!$G$6:$G$405="")+(職員マスタ!$G$6:$G$405&lt;=EOMONTH($AQ2468,0)))&gt;0)*(((職員マスタ!$H$6:$H$405="")+(職員マスタ!$H$6:$H$405&gt;=$AQ2468))&gt;0)*(ROW(職員マスタ!$A$6:$A$405)-5))),IFERROR(MATCH($B2468,職員マスタ!$A$6:$A$405,0),"")))</f>
        <v/>
      </c>
      <c r="AQ2468" s="16">
        <f>IF(OR($B2468="",$C2468="",$D2468=""),"",DATE($C2468+2018,$D2468,1))</f>
        <v/>
      </c>
    </row>
    <row r="2469">
      <c r="A2469" s="11" t="n"/>
      <c r="B2469" s="12" t="n"/>
      <c r="C2469" s="12" t="n"/>
      <c r="D2469" s="12" t="n"/>
      <c r="E2469" s="13" t="n"/>
      <c r="F2469" s="12" t="n"/>
      <c r="G2469" s="13" t="n"/>
      <c r="H2469" s="12" t="n"/>
      <c r="I2469" s="12" t="n"/>
      <c r="J2469" s="12" t="n"/>
      <c r="K2469" s="12" t="n"/>
      <c r="L2469" s="11" t="n"/>
      <c r="M2469" s="11" t="n"/>
      <c r="N2469" s="11" t="n"/>
      <c r="O2469" s="11" t="n"/>
      <c r="P2469" s="12" t="n"/>
      <c r="Q2469" s="11" t="n"/>
      <c r="R2469" s="12" t="n"/>
      <c r="S2469" s="11" t="n"/>
      <c r="T2469" s="12" t="n"/>
      <c r="U2469" s="12" t="n"/>
      <c r="V2469" s="12" t="n"/>
      <c r="W2469" s="13" t="n"/>
      <c r="X2469" s="14">
        <f>IF($AP2469="",IF($B2469="","",$H2469),IF(INDEX(職員マスタ!$B$6:$B$405,$AP2469)="",$H2469,INDEX(職員マスタ!$B$6:$B$405,$AP2469)))</f>
        <v/>
      </c>
      <c r="Y2469" s="14">
        <f>IF($AP2469="",IF($B2469="","",$R2469),IF(INDEX(職員マスタ!$C$6:$C$405,$AP2469)="",$R2469,INDEX(職員マスタ!$C$6:$C$405,$AP2469)))</f>
        <v/>
      </c>
      <c r="Z2469" s="14">
        <f>IF($AQ2469="","","R"&amp;$C2469&amp;"."&amp;$D2469)</f>
        <v/>
      </c>
      <c r="AA2469" s="15">
        <f>IF(IF($AP2469="",FALSE,INDEX(職員マスタ!$K$6:$K$405,$AP2469)&lt;&gt;""),INDEX(職員マスタ!$K$6:$K$405,$AP2469),IF(N($W2469)&gt;0,$W2469,""))</f>
        <v/>
      </c>
      <c r="AB2469" s="14">
        <f>IF(OR($E2469="",$AA2469=""),"",IF($E2469&gt;=$AA2469,"×",IF($E2469&gt;=$AA2469*設定!$C$5,"△","○")))</f>
        <v/>
      </c>
      <c r="AC2469" s="15">
        <f>IF($AB2469="","",IF($AB2469="×",0,IF($AB2469="○",ROUNDDOWN($E2469*設定!$C$4,0),ROUNDDOWN($E2469*ROUND((9*$AA2469-9*$E2469)/(10*$E2469),4),0))))</f>
        <v/>
      </c>
      <c r="AD2469" s="13" t="n"/>
      <c r="AE2469" s="15">
        <f>IF($B2469="","",IF($AD2469&lt;&gt;"",$AD2469,IF($AC2469="","",IF($AC2469&lt;=設定!$C$3,0,$AC2469))))</f>
        <v/>
      </c>
      <c r="AF2469" s="14">
        <f>IF($B2469="","",IF(AND($AG2469&lt;&gt;"",$AI2469="",$AL2469=""),"保留中",IF($AL2469&lt;&gt;"",IF(N($AE2469)&gt;0,"支給済","不支給"),IF($AE2469="","要確認",IF($AE2469=0,"不支給","未処理")))))</f>
        <v/>
      </c>
      <c r="AG2469" s="12" t="n"/>
      <c r="AH2469" s="11" t="n"/>
      <c r="AI2469" s="11" t="n"/>
      <c r="AJ2469" s="11" t="n"/>
      <c r="AK2469" s="14">
        <f>IF(AND($AF2469="保留中",$AH2469&lt;&gt;""),TODAY()-$AH2469,"")</f>
        <v/>
      </c>
      <c r="AL2469" s="12" t="n"/>
      <c r="AM2469" s="14">
        <f>IF($B2469="","",IF($AQ2469="","対象年月が未入力／","")&amp;IF($B2469="","",IF($AP2469="","職員マスタに未登録の職員番号／",IF($AA2469="","標準報酬月額が未登録／","")&amp;IF(AND($AQ2469&lt;&gt;"",OR(AND(INDEX(職員マスタ!$G$6:$G$405,$AP2469)&lt;&gt;"",INDEX(職員マスタ!$G$6:$G$405,$AP2469)&gt;EOMONTH($AQ2469,0)),AND(INDEX(職員マスタ!$H$6:$H$405,$AP2469)&lt;&gt;"",INDEX(職員マスタ!$H$6:$H$405,$AP2469)&lt;$AQ2469))),"対象月が時短期間外／","")&amp;IF(AND(INDEX(職員マスタ!$K$6:$K$405,$AP2469)&lt;&gt;"",N($W2469)&gt;0,INDEX(職員マスタ!$K$6:$K$405,$AP2469)&lt;&gt;$W2469),"標準報酬月額が申請書と相違（台帳"&amp;TEXT(INDEX(職員マスタ!$K$6:$K$405,$AP2469),"#,##0")&amp;"円／申請書"&amp;TEXT($W2469,"#,##0")&amp;"円）／","")&amp;IF(AND(INDEX(職員マスタ!$F$6:$F$405,$AP2469)&lt;&gt;"",$AQ2469&lt;&gt;"",INDEX(職員マスタ!$F$6:$F$405,$AP2469)&lt;$AQ2469),"対象月に子が2歳到達済／","")&amp;IF(AND($H2469&lt;&gt;"",INDEX(職員マスタ!$B$6:$B$405,$AP2469)&lt;&gt;"",SUBSTITUTE(SUBSTITUTE($H2469," ","")," ","")&lt;&gt;SUBSTITUTE(SUBSTITUTE(INDEX(職員マスタ!$B$6:$B$405,$AP2469)," ","")," ","")),"氏名がマスタと相違／","")&amp;IF(AND($Q2469&lt;&gt;"",INDEX(職員マスタ!$E$6:$E$405,$AP2469)&lt;&gt;"",$Q2469&lt;&gt;INDEX(職員マスタ!$E$6:$E$405,$AP2469)),"子の生年月日がマスタと相違／","")&amp;IF(AND($L2469&lt;&gt;"",INDEX(職員マスタ!$G$6:$G$405,$AP2469)&lt;&gt;"",$L2469&lt;&gt;INDEX(職員マスタ!$G$6:$G$405,$AP2469)),"時短開始日がマスタと相違／","")&amp;IF(AND($M2469&lt;&gt;"",INDEX(職員マスタ!$H$6:$H$405,$AP2469)&lt;&gt;"",$M2469&lt;&gt;INDEX(職員マスタ!$H$6:$H$405,$AP2469)),"時短終了日がマスタと相違／","")))&amp;IF(AND($B2469&lt;&gt;"",$E2469=""),"報酬額が未入力／","")&amp;IF(N($U2469)&gt;0,"申請書に入力エラーが残っています／","")&amp;IF(AND($B2469&lt;&gt;"",$AQ2469&lt;&gt;""),IF(COUNTIFS($B$6:$B$3005,$B2469,$C$6:$C$3005,$C2469,$D$6:$D$3005,$D2469)&gt;1,"同じ月の請求が重複しています／",""),"")&amp;IF(AND(N($E2469)&gt;0,$AB2469&lt;&gt;"",$AB2469&lt;&gt;"×",$AE2469=0,$AD2469=""),"計算額が下限以下のため不支給／",""))</f>
        <v/>
      </c>
      <c r="AN2469" s="12" t="n"/>
      <c r="AO2469" s="14">
        <f>IF($AF2469="保留中",COUNTIF($AF$6:$AF2469,"保留中"),"")</f>
        <v/>
      </c>
      <c r="AP2469" s="14">
        <f>IF($AQ2469="","",IF(SUMPRODUCT(MAX((職員マスタ!$A$6:$A$405=$B2469)*(((職員マスタ!$G$6:$G$405="")+(職員マスタ!$G$6:$G$405&lt;=EOMONTH($AQ2469,0)))&gt;0)*(((職員マスタ!$H$6:$H$405="")+(職員マスタ!$H$6:$H$405&gt;=$AQ2469))&gt;0)*(ROW(職員マスタ!$A$6:$A$405)-5)))&gt;0,SUMPRODUCT(MAX((職員マスタ!$A$6:$A$405=$B2469)*(((職員マスタ!$G$6:$G$405="")+(職員マスタ!$G$6:$G$405&lt;=EOMONTH($AQ2469,0)))&gt;0)*(((職員マスタ!$H$6:$H$405="")+(職員マスタ!$H$6:$H$405&gt;=$AQ2469))&gt;0)*(ROW(職員マスタ!$A$6:$A$405)-5))),IFERROR(MATCH($B2469,職員マスタ!$A$6:$A$405,0),"")))</f>
        <v/>
      </c>
      <c r="AQ2469" s="16">
        <f>IF(OR($B2469="",$C2469="",$D2469=""),"",DATE($C2469+2018,$D2469,1))</f>
        <v/>
      </c>
    </row>
    <row r="2470">
      <c r="A2470" s="11" t="n"/>
      <c r="B2470" s="12" t="n"/>
      <c r="C2470" s="12" t="n"/>
      <c r="D2470" s="12" t="n"/>
      <c r="E2470" s="13" t="n"/>
      <c r="F2470" s="12" t="n"/>
      <c r="G2470" s="13" t="n"/>
      <c r="H2470" s="12" t="n"/>
      <c r="I2470" s="12" t="n"/>
      <c r="J2470" s="12" t="n"/>
      <c r="K2470" s="12" t="n"/>
      <c r="L2470" s="11" t="n"/>
      <c r="M2470" s="11" t="n"/>
      <c r="N2470" s="11" t="n"/>
      <c r="O2470" s="11" t="n"/>
      <c r="P2470" s="12" t="n"/>
      <c r="Q2470" s="11" t="n"/>
      <c r="R2470" s="12" t="n"/>
      <c r="S2470" s="11" t="n"/>
      <c r="T2470" s="12" t="n"/>
      <c r="U2470" s="12" t="n"/>
      <c r="V2470" s="12" t="n"/>
      <c r="W2470" s="13" t="n"/>
      <c r="X2470" s="14">
        <f>IF($AP2470="",IF($B2470="","",$H2470),IF(INDEX(職員マスタ!$B$6:$B$405,$AP2470)="",$H2470,INDEX(職員マスタ!$B$6:$B$405,$AP2470)))</f>
        <v/>
      </c>
      <c r="Y2470" s="14">
        <f>IF($AP2470="",IF($B2470="","",$R2470),IF(INDEX(職員マスタ!$C$6:$C$405,$AP2470)="",$R2470,INDEX(職員マスタ!$C$6:$C$405,$AP2470)))</f>
        <v/>
      </c>
      <c r="Z2470" s="14">
        <f>IF($AQ2470="","","R"&amp;$C2470&amp;"."&amp;$D2470)</f>
        <v/>
      </c>
      <c r="AA2470" s="15">
        <f>IF(IF($AP2470="",FALSE,INDEX(職員マスタ!$K$6:$K$405,$AP2470)&lt;&gt;""),INDEX(職員マスタ!$K$6:$K$405,$AP2470),IF(N($W2470)&gt;0,$W2470,""))</f>
        <v/>
      </c>
      <c r="AB2470" s="14">
        <f>IF(OR($E2470="",$AA2470=""),"",IF($E2470&gt;=$AA2470,"×",IF($E2470&gt;=$AA2470*設定!$C$5,"△","○")))</f>
        <v/>
      </c>
      <c r="AC2470" s="15">
        <f>IF($AB2470="","",IF($AB2470="×",0,IF($AB2470="○",ROUNDDOWN($E2470*設定!$C$4,0),ROUNDDOWN($E2470*ROUND((9*$AA2470-9*$E2470)/(10*$E2470),4),0))))</f>
        <v/>
      </c>
      <c r="AD2470" s="13" t="n"/>
      <c r="AE2470" s="15">
        <f>IF($B2470="","",IF($AD2470&lt;&gt;"",$AD2470,IF($AC2470="","",IF($AC2470&lt;=設定!$C$3,0,$AC2470))))</f>
        <v/>
      </c>
      <c r="AF2470" s="14">
        <f>IF($B2470="","",IF(AND($AG2470&lt;&gt;"",$AI2470="",$AL2470=""),"保留中",IF($AL2470&lt;&gt;"",IF(N($AE2470)&gt;0,"支給済","不支給"),IF($AE2470="","要確認",IF($AE2470=0,"不支給","未処理")))))</f>
        <v/>
      </c>
      <c r="AG2470" s="12" t="n"/>
      <c r="AH2470" s="11" t="n"/>
      <c r="AI2470" s="11" t="n"/>
      <c r="AJ2470" s="11" t="n"/>
      <c r="AK2470" s="14">
        <f>IF(AND($AF2470="保留中",$AH2470&lt;&gt;""),TODAY()-$AH2470,"")</f>
        <v/>
      </c>
      <c r="AL2470" s="12" t="n"/>
      <c r="AM2470" s="14">
        <f>IF($B2470="","",IF($AQ2470="","対象年月が未入力／","")&amp;IF($B2470="","",IF($AP2470="","職員マスタに未登録の職員番号／",IF($AA2470="","標準報酬月額が未登録／","")&amp;IF(AND($AQ2470&lt;&gt;"",OR(AND(INDEX(職員マスタ!$G$6:$G$405,$AP2470)&lt;&gt;"",INDEX(職員マスタ!$G$6:$G$405,$AP2470)&gt;EOMONTH($AQ2470,0)),AND(INDEX(職員マスタ!$H$6:$H$405,$AP2470)&lt;&gt;"",INDEX(職員マスタ!$H$6:$H$405,$AP2470)&lt;$AQ2470))),"対象月が時短期間外／","")&amp;IF(AND(INDEX(職員マスタ!$K$6:$K$405,$AP2470)&lt;&gt;"",N($W2470)&gt;0,INDEX(職員マスタ!$K$6:$K$405,$AP2470)&lt;&gt;$W2470),"標準報酬月額が申請書と相違（台帳"&amp;TEXT(INDEX(職員マスタ!$K$6:$K$405,$AP2470),"#,##0")&amp;"円／申請書"&amp;TEXT($W2470,"#,##0")&amp;"円）／","")&amp;IF(AND(INDEX(職員マスタ!$F$6:$F$405,$AP2470)&lt;&gt;"",$AQ2470&lt;&gt;"",INDEX(職員マスタ!$F$6:$F$405,$AP2470)&lt;$AQ2470),"対象月に子が2歳到達済／","")&amp;IF(AND($H2470&lt;&gt;"",INDEX(職員マスタ!$B$6:$B$405,$AP2470)&lt;&gt;"",SUBSTITUTE(SUBSTITUTE($H2470," ","")," ","")&lt;&gt;SUBSTITUTE(SUBSTITUTE(INDEX(職員マスタ!$B$6:$B$405,$AP2470)," ","")," ","")),"氏名がマスタと相違／","")&amp;IF(AND($Q2470&lt;&gt;"",INDEX(職員マスタ!$E$6:$E$405,$AP2470)&lt;&gt;"",$Q2470&lt;&gt;INDEX(職員マスタ!$E$6:$E$405,$AP2470)),"子の生年月日がマスタと相違／","")&amp;IF(AND($L2470&lt;&gt;"",INDEX(職員マスタ!$G$6:$G$405,$AP2470)&lt;&gt;"",$L2470&lt;&gt;INDEX(職員マスタ!$G$6:$G$405,$AP2470)),"時短開始日がマスタと相違／","")&amp;IF(AND($M2470&lt;&gt;"",INDEX(職員マスタ!$H$6:$H$405,$AP2470)&lt;&gt;"",$M2470&lt;&gt;INDEX(職員マスタ!$H$6:$H$405,$AP2470)),"時短終了日がマスタと相違／","")))&amp;IF(AND($B2470&lt;&gt;"",$E2470=""),"報酬額が未入力／","")&amp;IF(N($U2470)&gt;0,"申請書に入力エラーが残っています／","")&amp;IF(AND($B2470&lt;&gt;"",$AQ2470&lt;&gt;""),IF(COUNTIFS($B$6:$B$3005,$B2470,$C$6:$C$3005,$C2470,$D$6:$D$3005,$D2470)&gt;1,"同じ月の請求が重複しています／",""),"")&amp;IF(AND(N($E2470)&gt;0,$AB2470&lt;&gt;"",$AB2470&lt;&gt;"×",$AE2470=0,$AD2470=""),"計算額が下限以下のため不支給／",""))</f>
        <v/>
      </c>
      <c r="AN2470" s="12" t="n"/>
      <c r="AO2470" s="14">
        <f>IF($AF2470="保留中",COUNTIF($AF$6:$AF2470,"保留中"),"")</f>
        <v/>
      </c>
      <c r="AP2470" s="14">
        <f>IF($AQ2470="","",IF(SUMPRODUCT(MAX((職員マスタ!$A$6:$A$405=$B2470)*(((職員マスタ!$G$6:$G$405="")+(職員マスタ!$G$6:$G$405&lt;=EOMONTH($AQ2470,0)))&gt;0)*(((職員マスタ!$H$6:$H$405="")+(職員マスタ!$H$6:$H$405&gt;=$AQ2470))&gt;0)*(ROW(職員マスタ!$A$6:$A$405)-5)))&gt;0,SUMPRODUCT(MAX((職員マスタ!$A$6:$A$405=$B2470)*(((職員マスタ!$G$6:$G$405="")+(職員マスタ!$G$6:$G$405&lt;=EOMONTH($AQ2470,0)))&gt;0)*(((職員マスタ!$H$6:$H$405="")+(職員マスタ!$H$6:$H$405&gt;=$AQ2470))&gt;0)*(ROW(職員マスタ!$A$6:$A$405)-5))),IFERROR(MATCH($B2470,職員マスタ!$A$6:$A$405,0),"")))</f>
        <v/>
      </c>
      <c r="AQ2470" s="16">
        <f>IF(OR($B2470="",$C2470="",$D2470=""),"",DATE($C2470+2018,$D2470,1))</f>
        <v/>
      </c>
    </row>
    <row r="2471">
      <c r="A2471" s="11" t="n"/>
      <c r="B2471" s="12" t="n"/>
      <c r="C2471" s="12" t="n"/>
      <c r="D2471" s="12" t="n"/>
      <c r="E2471" s="13" t="n"/>
      <c r="F2471" s="12" t="n"/>
      <c r="G2471" s="13" t="n"/>
      <c r="H2471" s="12" t="n"/>
      <c r="I2471" s="12" t="n"/>
      <c r="J2471" s="12" t="n"/>
      <c r="K2471" s="12" t="n"/>
      <c r="L2471" s="11" t="n"/>
      <c r="M2471" s="11" t="n"/>
      <c r="N2471" s="11" t="n"/>
      <c r="O2471" s="11" t="n"/>
      <c r="P2471" s="12" t="n"/>
      <c r="Q2471" s="11" t="n"/>
      <c r="R2471" s="12" t="n"/>
      <c r="S2471" s="11" t="n"/>
      <c r="T2471" s="12" t="n"/>
      <c r="U2471" s="12" t="n"/>
      <c r="V2471" s="12" t="n"/>
      <c r="W2471" s="13" t="n"/>
      <c r="X2471" s="14">
        <f>IF($AP2471="",IF($B2471="","",$H2471),IF(INDEX(職員マスタ!$B$6:$B$405,$AP2471)="",$H2471,INDEX(職員マスタ!$B$6:$B$405,$AP2471)))</f>
        <v/>
      </c>
      <c r="Y2471" s="14">
        <f>IF($AP2471="",IF($B2471="","",$R2471),IF(INDEX(職員マスタ!$C$6:$C$405,$AP2471)="",$R2471,INDEX(職員マスタ!$C$6:$C$405,$AP2471)))</f>
        <v/>
      </c>
      <c r="Z2471" s="14">
        <f>IF($AQ2471="","","R"&amp;$C2471&amp;"."&amp;$D2471)</f>
        <v/>
      </c>
      <c r="AA2471" s="15">
        <f>IF(IF($AP2471="",FALSE,INDEX(職員マスタ!$K$6:$K$405,$AP2471)&lt;&gt;""),INDEX(職員マスタ!$K$6:$K$405,$AP2471),IF(N($W2471)&gt;0,$W2471,""))</f>
        <v/>
      </c>
      <c r="AB2471" s="14">
        <f>IF(OR($E2471="",$AA2471=""),"",IF($E2471&gt;=$AA2471,"×",IF($E2471&gt;=$AA2471*設定!$C$5,"△","○")))</f>
        <v/>
      </c>
      <c r="AC2471" s="15">
        <f>IF($AB2471="","",IF($AB2471="×",0,IF($AB2471="○",ROUNDDOWN($E2471*設定!$C$4,0),ROUNDDOWN($E2471*ROUND((9*$AA2471-9*$E2471)/(10*$E2471),4),0))))</f>
        <v/>
      </c>
      <c r="AD2471" s="13" t="n"/>
      <c r="AE2471" s="15">
        <f>IF($B2471="","",IF($AD2471&lt;&gt;"",$AD2471,IF($AC2471="","",IF($AC2471&lt;=設定!$C$3,0,$AC2471))))</f>
        <v/>
      </c>
      <c r="AF2471" s="14">
        <f>IF($B2471="","",IF(AND($AG2471&lt;&gt;"",$AI2471="",$AL2471=""),"保留中",IF($AL2471&lt;&gt;"",IF(N($AE2471)&gt;0,"支給済","不支給"),IF($AE2471="","要確認",IF($AE2471=0,"不支給","未処理")))))</f>
        <v/>
      </c>
      <c r="AG2471" s="12" t="n"/>
      <c r="AH2471" s="11" t="n"/>
      <c r="AI2471" s="11" t="n"/>
      <c r="AJ2471" s="11" t="n"/>
      <c r="AK2471" s="14">
        <f>IF(AND($AF2471="保留中",$AH2471&lt;&gt;""),TODAY()-$AH2471,"")</f>
        <v/>
      </c>
      <c r="AL2471" s="12" t="n"/>
      <c r="AM2471" s="14">
        <f>IF($B2471="","",IF($AQ2471="","対象年月が未入力／","")&amp;IF($B2471="","",IF($AP2471="","職員マスタに未登録の職員番号／",IF($AA2471="","標準報酬月額が未登録／","")&amp;IF(AND($AQ2471&lt;&gt;"",OR(AND(INDEX(職員マスタ!$G$6:$G$405,$AP2471)&lt;&gt;"",INDEX(職員マスタ!$G$6:$G$405,$AP2471)&gt;EOMONTH($AQ2471,0)),AND(INDEX(職員マスタ!$H$6:$H$405,$AP2471)&lt;&gt;"",INDEX(職員マスタ!$H$6:$H$405,$AP2471)&lt;$AQ2471))),"対象月が時短期間外／","")&amp;IF(AND(INDEX(職員マスタ!$K$6:$K$405,$AP2471)&lt;&gt;"",N($W2471)&gt;0,INDEX(職員マスタ!$K$6:$K$405,$AP2471)&lt;&gt;$W2471),"標準報酬月額が申請書と相違（台帳"&amp;TEXT(INDEX(職員マスタ!$K$6:$K$405,$AP2471),"#,##0")&amp;"円／申請書"&amp;TEXT($W2471,"#,##0")&amp;"円）／","")&amp;IF(AND(INDEX(職員マスタ!$F$6:$F$405,$AP2471)&lt;&gt;"",$AQ2471&lt;&gt;"",INDEX(職員マスタ!$F$6:$F$405,$AP2471)&lt;$AQ2471),"対象月に子が2歳到達済／","")&amp;IF(AND($H2471&lt;&gt;"",INDEX(職員マスタ!$B$6:$B$405,$AP2471)&lt;&gt;"",SUBSTITUTE(SUBSTITUTE($H2471," ","")," ","")&lt;&gt;SUBSTITUTE(SUBSTITUTE(INDEX(職員マスタ!$B$6:$B$405,$AP2471)," ","")," ","")),"氏名がマスタと相違／","")&amp;IF(AND($Q2471&lt;&gt;"",INDEX(職員マスタ!$E$6:$E$405,$AP2471)&lt;&gt;"",$Q2471&lt;&gt;INDEX(職員マスタ!$E$6:$E$405,$AP2471)),"子の生年月日がマスタと相違／","")&amp;IF(AND($L2471&lt;&gt;"",INDEX(職員マスタ!$G$6:$G$405,$AP2471)&lt;&gt;"",$L2471&lt;&gt;INDEX(職員マスタ!$G$6:$G$405,$AP2471)),"時短開始日がマスタと相違／","")&amp;IF(AND($M2471&lt;&gt;"",INDEX(職員マスタ!$H$6:$H$405,$AP2471)&lt;&gt;"",$M2471&lt;&gt;INDEX(職員マスタ!$H$6:$H$405,$AP2471)),"時短終了日がマスタと相違／","")))&amp;IF(AND($B2471&lt;&gt;"",$E2471=""),"報酬額が未入力／","")&amp;IF(N($U2471)&gt;0,"申請書に入力エラーが残っています／","")&amp;IF(AND($B2471&lt;&gt;"",$AQ2471&lt;&gt;""),IF(COUNTIFS($B$6:$B$3005,$B2471,$C$6:$C$3005,$C2471,$D$6:$D$3005,$D2471)&gt;1,"同じ月の請求が重複しています／",""),"")&amp;IF(AND(N($E2471)&gt;0,$AB2471&lt;&gt;"",$AB2471&lt;&gt;"×",$AE2471=0,$AD2471=""),"計算額が下限以下のため不支給／",""))</f>
        <v/>
      </c>
      <c r="AN2471" s="12" t="n"/>
      <c r="AO2471" s="14">
        <f>IF($AF2471="保留中",COUNTIF($AF$6:$AF2471,"保留中"),"")</f>
        <v/>
      </c>
      <c r="AP2471" s="14">
        <f>IF($AQ2471="","",IF(SUMPRODUCT(MAX((職員マスタ!$A$6:$A$405=$B2471)*(((職員マスタ!$G$6:$G$405="")+(職員マスタ!$G$6:$G$405&lt;=EOMONTH($AQ2471,0)))&gt;0)*(((職員マスタ!$H$6:$H$405="")+(職員マスタ!$H$6:$H$405&gt;=$AQ2471))&gt;0)*(ROW(職員マスタ!$A$6:$A$405)-5)))&gt;0,SUMPRODUCT(MAX((職員マスタ!$A$6:$A$405=$B2471)*(((職員マスタ!$G$6:$G$405="")+(職員マスタ!$G$6:$G$405&lt;=EOMONTH($AQ2471,0)))&gt;0)*(((職員マスタ!$H$6:$H$405="")+(職員マスタ!$H$6:$H$405&gt;=$AQ2471))&gt;0)*(ROW(職員マスタ!$A$6:$A$405)-5))),IFERROR(MATCH($B2471,職員マスタ!$A$6:$A$405,0),"")))</f>
        <v/>
      </c>
      <c r="AQ2471" s="16">
        <f>IF(OR($B2471="",$C2471="",$D2471=""),"",DATE($C2471+2018,$D2471,1))</f>
        <v/>
      </c>
    </row>
    <row r="2472">
      <c r="A2472" s="11" t="n"/>
      <c r="B2472" s="12" t="n"/>
      <c r="C2472" s="12" t="n"/>
      <c r="D2472" s="12" t="n"/>
      <c r="E2472" s="13" t="n"/>
      <c r="F2472" s="12" t="n"/>
      <c r="G2472" s="13" t="n"/>
      <c r="H2472" s="12" t="n"/>
      <c r="I2472" s="12" t="n"/>
      <c r="J2472" s="12" t="n"/>
      <c r="K2472" s="12" t="n"/>
      <c r="L2472" s="11" t="n"/>
      <c r="M2472" s="11" t="n"/>
      <c r="N2472" s="11" t="n"/>
      <c r="O2472" s="11" t="n"/>
      <c r="P2472" s="12" t="n"/>
      <c r="Q2472" s="11" t="n"/>
      <c r="R2472" s="12" t="n"/>
      <c r="S2472" s="11" t="n"/>
      <c r="T2472" s="12" t="n"/>
      <c r="U2472" s="12" t="n"/>
      <c r="V2472" s="12" t="n"/>
      <c r="W2472" s="13" t="n"/>
      <c r="X2472" s="14">
        <f>IF($AP2472="",IF($B2472="","",$H2472),IF(INDEX(職員マスタ!$B$6:$B$405,$AP2472)="",$H2472,INDEX(職員マスタ!$B$6:$B$405,$AP2472)))</f>
        <v/>
      </c>
      <c r="Y2472" s="14">
        <f>IF($AP2472="",IF($B2472="","",$R2472),IF(INDEX(職員マスタ!$C$6:$C$405,$AP2472)="",$R2472,INDEX(職員マスタ!$C$6:$C$405,$AP2472)))</f>
        <v/>
      </c>
      <c r="Z2472" s="14">
        <f>IF($AQ2472="","","R"&amp;$C2472&amp;"."&amp;$D2472)</f>
        <v/>
      </c>
      <c r="AA2472" s="15">
        <f>IF(IF($AP2472="",FALSE,INDEX(職員マスタ!$K$6:$K$405,$AP2472)&lt;&gt;""),INDEX(職員マスタ!$K$6:$K$405,$AP2472),IF(N($W2472)&gt;0,$W2472,""))</f>
        <v/>
      </c>
      <c r="AB2472" s="14">
        <f>IF(OR($E2472="",$AA2472=""),"",IF($E2472&gt;=$AA2472,"×",IF($E2472&gt;=$AA2472*設定!$C$5,"△","○")))</f>
        <v/>
      </c>
      <c r="AC2472" s="15">
        <f>IF($AB2472="","",IF($AB2472="×",0,IF($AB2472="○",ROUNDDOWN($E2472*設定!$C$4,0),ROUNDDOWN($E2472*ROUND((9*$AA2472-9*$E2472)/(10*$E2472),4),0))))</f>
        <v/>
      </c>
      <c r="AD2472" s="13" t="n"/>
      <c r="AE2472" s="15">
        <f>IF($B2472="","",IF($AD2472&lt;&gt;"",$AD2472,IF($AC2472="","",IF($AC2472&lt;=設定!$C$3,0,$AC2472))))</f>
        <v/>
      </c>
      <c r="AF2472" s="14">
        <f>IF($B2472="","",IF(AND($AG2472&lt;&gt;"",$AI2472="",$AL2472=""),"保留中",IF($AL2472&lt;&gt;"",IF(N($AE2472)&gt;0,"支給済","不支給"),IF($AE2472="","要確認",IF($AE2472=0,"不支給","未処理")))))</f>
        <v/>
      </c>
      <c r="AG2472" s="12" t="n"/>
      <c r="AH2472" s="11" t="n"/>
      <c r="AI2472" s="11" t="n"/>
      <c r="AJ2472" s="11" t="n"/>
      <c r="AK2472" s="14">
        <f>IF(AND($AF2472="保留中",$AH2472&lt;&gt;""),TODAY()-$AH2472,"")</f>
        <v/>
      </c>
      <c r="AL2472" s="12" t="n"/>
      <c r="AM2472" s="14">
        <f>IF($B2472="","",IF($AQ2472="","対象年月が未入力／","")&amp;IF($B2472="","",IF($AP2472="","職員マスタに未登録の職員番号／",IF($AA2472="","標準報酬月額が未登録／","")&amp;IF(AND($AQ2472&lt;&gt;"",OR(AND(INDEX(職員マスタ!$G$6:$G$405,$AP2472)&lt;&gt;"",INDEX(職員マスタ!$G$6:$G$405,$AP2472)&gt;EOMONTH($AQ2472,0)),AND(INDEX(職員マスタ!$H$6:$H$405,$AP2472)&lt;&gt;"",INDEX(職員マスタ!$H$6:$H$405,$AP2472)&lt;$AQ2472))),"対象月が時短期間外／","")&amp;IF(AND(INDEX(職員マスタ!$K$6:$K$405,$AP2472)&lt;&gt;"",N($W2472)&gt;0,INDEX(職員マスタ!$K$6:$K$405,$AP2472)&lt;&gt;$W2472),"標準報酬月額が申請書と相違（台帳"&amp;TEXT(INDEX(職員マスタ!$K$6:$K$405,$AP2472),"#,##0")&amp;"円／申請書"&amp;TEXT($W2472,"#,##0")&amp;"円）／","")&amp;IF(AND(INDEX(職員マスタ!$F$6:$F$405,$AP2472)&lt;&gt;"",$AQ2472&lt;&gt;"",INDEX(職員マスタ!$F$6:$F$405,$AP2472)&lt;$AQ2472),"対象月に子が2歳到達済／","")&amp;IF(AND($H2472&lt;&gt;"",INDEX(職員マスタ!$B$6:$B$405,$AP2472)&lt;&gt;"",SUBSTITUTE(SUBSTITUTE($H2472," ","")," ","")&lt;&gt;SUBSTITUTE(SUBSTITUTE(INDEX(職員マスタ!$B$6:$B$405,$AP2472)," ","")," ","")),"氏名がマスタと相違／","")&amp;IF(AND($Q2472&lt;&gt;"",INDEX(職員マスタ!$E$6:$E$405,$AP2472)&lt;&gt;"",$Q2472&lt;&gt;INDEX(職員マスタ!$E$6:$E$405,$AP2472)),"子の生年月日がマスタと相違／","")&amp;IF(AND($L2472&lt;&gt;"",INDEX(職員マスタ!$G$6:$G$405,$AP2472)&lt;&gt;"",$L2472&lt;&gt;INDEX(職員マスタ!$G$6:$G$405,$AP2472)),"時短開始日がマスタと相違／","")&amp;IF(AND($M2472&lt;&gt;"",INDEX(職員マスタ!$H$6:$H$405,$AP2472)&lt;&gt;"",$M2472&lt;&gt;INDEX(職員マスタ!$H$6:$H$405,$AP2472)),"時短終了日がマスタと相違／","")))&amp;IF(AND($B2472&lt;&gt;"",$E2472=""),"報酬額が未入力／","")&amp;IF(N($U2472)&gt;0,"申請書に入力エラーが残っています／","")&amp;IF(AND($B2472&lt;&gt;"",$AQ2472&lt;&gt;""),IF(COUNTIFS($B$6:$B$3005,$B2472,$C$6:$C$3005,$C2472,$D$6:$D$3005,$D2472)&gt;1,"同じ月の請求が重複しています／",""),"")&amp;IF(AND(N($E2472)&gt;0,$AB2472&lt;&gt;"",$AB2472&lt;&gt;"×",$AE2472=0,$AD2472=""),"計算額が下限以下のため不支給／",""))</f>
        <v/>
      </c>
      <c r="AN2472" s="12" t="n"/>
      <c r="AO2472" s="14">
        <f>IF($AF2472="保留中",COUNTIF($AF$6:$AF2472,"保留中"),"")</f>
        <v/>
      </c>
      <c r="AP2472" s="14">
        <f>IF($AQ2472="","",IF(SUMPRODUCT(MAX((職員マスタ!$A$6:$A$405=$B2472)*(((職員マスタ!$G$6:$G$405="")+(職員マスタ!$G$6:$G$405&lt;=EOMONTH($AQ2472,0)))&gt;0)*(((職員マスタ!$H$6:$H$405="")+(職員マスタ!$H$6:$H$405&gt;=$AQ2472))&gt;0)*(ROW(職員マスタ!$A$6:$A$405)-5)))&gt;0,SUMPRODUCT(MAX((職員マスタ!$A$6:$A$405=$B2472)*(((職員マスタ!$G$6:$G$405="")+(職員マスタ!$G$6:$G$405&lt;=EOMONTH($AQ2472,0)))&gt;0)*(((職員マスタ!$H$6:$H$405="")+(職員マスタ!$H$6:$H$405&gt;=$AQ2472))&gt;0)*(ROW(職員マスタ!$A$6:$A$405)-5))),IFERROR(MATCH($B2472,職員マスタ!$A$6:$A$405,0),"")))</f>
        <v/>
      </c>
      <c r="AQ2472" s="16">
        <f>IF(OR($B2472="",$C2472="",$D2472=""),"",DATE($C2472+2018,$D2472,1))</f>
        <v/>
      </c>
    </row>
    <row r="2473">
      <c r="A2473" s="11" t="n"/>
      <c r="B2473" s="12" t="n"/>
      <c r="C2473" s="12" t="n"/>
      <c r="D2473" s="12" t="n"/>
      <c r="E2473" s="13" t="n"/>
      <c r="F2473" s="12" t="n"/>
      <c r="G2473" s="13" t="n"/>
      <c r="H2473" s="12" t="n"/>
      <c r="I2473" s="12" t="n"/>
      <c r="J2473" s="12" t="n"/>
      <c r="K2473" s="12" t="n"/>
      <c r="L2473" s="11" t="n"/>
      <c r="M2473" s="11" t="n"/>
      <c r="N2473" s="11" t="n"/>
      <c r="O2473" s="11" t="n"/>
      <c r="P2473" s="12" t="n"/>
      <c r="Q2473" s="11" t="n"/>
      <c r="R2473" s="12" t="n"/>
      <c r="S2473" s="11" t="n"/>
      <c r="T2473" s="12" t="n"/>
      <c r="U2473" s="12" t="n"/>
      <c r="V2473" s="12" t="n"/>
      <c r="W2473" s="13" t="n"/>
      <c r="X2473" s="14">
        <f>IF($AP2473="",IF($B2473="","",$H2473),IF(INDEX(職員マスタ!$B$6:$B$405,$AP2473)="",$H2473,INDEX(職員マスタ!$B$6:$B$405,$AP2473)))</f>
        <v/>
      </c>
      <c r="Y2473" s="14">
        <f>IF($AP2473="",IF($B2473="","",$R2473),IF(INDEX(職員マスタ!$C$6:$C$405,$AP2473)="",$R2473,INDEX(職員マスタ!$C$6:$C$405,$AP2473)))</f>
        <v/>
      </c>
      <c r="Z2473" s="14">
        <f>IF($AQ2473="","","R"&amp;$C2473&amp;"."&amp;$D2473)</f>
        <v/>
      </c>
      <c r="AA2473" s="15">
        <f>IF(IF($AP2473="",FALSE,INDEX(職員マスタ!$K$6:$K$405,$AP2473)&lt;&gt;""),INDEX(職員マスタ!$K$6:$K$405,$AP2473),IF(N($W2473)&gt;0,$W2473,""))</f>
        <v/>
      </c>
      <c r="AB2473" s="14">
        <f>IF(OR($E2473="",$AA2473=""),"",IF($E2473&gt;=$AA2473,"×",IF($E2473&gt;=$AA2473*設定!$C$5,"△","○")))</f>
        <v/>
      </c>
      <c r="AC2473" s="15">
        <f>IF($AB2473="","",IF($AB2473="×",0,IF($AB2473="○",ROUNDDOWN($E2473*設定!$C$4,0),ROUNDDOWN($E2473*ROUND((9*$AA2473-9*$E2473)/(10*$E2473),4),0))))</f>
        <v/>
      </c>
      <c r="AD2473" s="13" t="n"/>
      <c r="AE2473" s="15">
        <f>IF($B2473="","",IF($AD2473&lt;&gt;"",$AD2473,IF($AC2473="","",IF($AC2473&lt;=設定!$C$3,0,$AC2473))))</f>
        <v/>
      </c>
      <c r="AF2473" s="14">
        <f>IF($B2473="","",IF(AND($AG2473&lt;&gt;"",$AI2473="",$AL2473=""),"保留中",IF($AL2473&lt;&gt;"",IF(N($AE2473)&gt;0,"支給済","不支給"),IF($AE2473="","要確認",IF($AE2473=0,"不支給","未処理")))))</f>
        <v/>
      </c>
      <c r="AG2473" s="12" t="n"/>
      <c r="AH2473" s="11" t="n"/>
      <c r="AI2473" s="11" t="n"/>
      <c r="AJ2473" s="11" t="n"/>
      <c r="AK2473" s="14">
        <f>IF(AND($AF2473="保留中",$AH2473&lt;&gt;""),TODAY()-$AH2473,"")</f>
        <v/>
      </c>
      <c r="AL2473" s="12" t="n"/>
      <c r="AM2473" s="14">
        <f>IF($B2473="","",IF($AQ2473="","対象年月が未入力／","")&amp;IF($B2473="","",IF($AP2473="","職員マスタに未登録の職員番号／",IF($AA2473="","標準報酬月額が未登録／","")&amp;IF(AND($AQ2473&lt;&gt;"",OR(AND(INDEX(職員マスタ!$G$6:$G$405,$AP2473)&lt;&gt;"",INDEX(職員マスタ!$G$6:$G$405,$AP2473)&gt;EOMONTH($AQ2473,0)),AND(INDEX(職員マスタ!$H$6:$H$405,$AP2473)&lt;&gt;"",INDEX(職員マスタ!$H$6:$H$405,$AP2473)&lt;$AQ2473))),"対象月が時短期間外／","")&amp;IF(AND(INDEX(職員マスタ!$K$6:$K$405,$AP2473)&lt;&gt;"",N($W2473)&gt;0,INDEX(職員マスタ!$K$6:$K$405,$AP2473)&lt;&gt;$W2473),"標準報酬月額が申請書と相違（台帳"&amp;TEXT(INDEX(職員マスタ!$K$6:$K$405,$AP2473),"#,##0")&amp;"円／申請書"&amp;TEXT($W2473,"#,##0")&amp;"円）／","")&amp;IF(AND(INDEX(職員マスタ!$F$6:$F$405,$AP2473)&lt;&gt;"",$AQ2473&lt;&gt;"",INDEX(職員マスタ!$F$6:$F$405,$AP2473)&lt;$AQ2473),"対象月に子が2歳到達済／","")&amp;IF(AND($H2473&lt;&gt;"",INDEX(職員マスタ!$B$6:$B$405,$AP2473)&lt;&gt;"",SUBSTITUTE(SUBSTITUTE($H2473," ","")," ","")&lt;&gt;SUBSTITUTE(SUBSTITUTE(INDEX(職員マスタ!$B$6:$B$405,$AP2473)," ","")," ","")),"氏名がマスタと相違／","")&amp;IF(AND($Q2473&lt;&gt;"",INDEX(職員マスタ!$E$6:$E$405,$AP2473)&lt;&gt;"",$Q2473&lt;&gt;INDEX(職員マスタ!$E$6:$E$405,$AP2473)),"子の生年月日がマスタと相違／","")&amp;IF(AND($L2473&lt;&gt;"",INDEX(職員マスタ!$G$6:$G$405,$AP2473)&lt;&gt;"",$L2473&lt;&gt;INDEX(職員マスタ!$G$6:$G$405,$AP2473)),"時短開始日がマスタと相違／","")&amp;IF(AND($M2473&lt;&gt;"",INDEX(職員マスタ!$H$6:$H$405,$AP2473)&lt;&gt;"",$M2473&lt;&gt;INDEX(職員マスタ!$H$6:$H$405,$AP2473)),"時短終了日がマスタと相違／","")))&amp;IF(AND($B2473&lt;&gt;"",$E2473=""),"報酬額が未入力／","")&amp;IF(N($U2473)&gt;0,"申請書に入力エラーが残っています／","")&amp;IF(AND($B2473&lt;&gt;"",$AQ2473&lt;&gt;""),IF(COUNTIFS($B$6:$B$3005,$B2473,$C$6:$C$3005,$C2473,$D$6:$D$3005,$D2473)&gt;1,"同じ月の請求が重複しています／",""),"")&amp;IF(AND(N($E2473)&gt;0,$AB2473&lt;&gt;"",$AB2473&lt;&gt;"×",$AE2473=0,$AD2473=""),"計算額が下限以下のため不支給／",""))</f>
        <v/>
      </c>
      <c r="AN2473" s="12" t="n"/>
      <c r="AO2473" s="14">
        <f>IF($AF2473="保留中",COUNTIF($AF$6:$AF2473,"保留中"),"")</f>
        <v/>
      </c>
      <c r="AP2473" s="14">
        <f>IF($AQ2473="","",IF(SUMPRODUCT(MAX((職員マスタ!$A$6:$A$405=$B2473)*(((職員マスタ!$G$6:$G$405="")+(職員マスタ!$G$6:$G$405&lt;=EOMONTH($AQ2473,0)))&gt;0)*(((職員マスタ!$H$6:$H$405="")+(職員マスタ!$H$6:$H$405&gt;=$AQ2473))&gt;0)*(ROW(職員マスタ!$A$6:$A$405)-5)))&gt;0,SUMPRODUCT(MAX((職員マスタ!$A$6:$A$405=$B2473)*(((職員マスタ!$G$6:$G$405="")+(職員マスタ!$G$6:$G$405&lt;=EOMONTH($AQ2473,0)))&gt;0)*(((職員マスタ!$H$6:$H$405="")+(職員マスタ!$H$6:$H$405&gt;=$AQ2473))&gt;0)*(ROW(職員マスタ!$A$6:$A$405)-5))),IFERROR(MATCH($B2473,職員マスタ!$A$6:$A$405,0),"")))</f>
        <v/>
      </c>
      <c r="AQ2473" s="16">
        <f>IF(OR($B2473="",$C2473="",$D2473=""),"",DATE($C2473+2018,$D2473,1))</f>
        <v/>
      </c>
    </row>
    <row r="2474">
      <c r="A2474" s="11" t="n"/>
      <c r="B2474" s="12" t="n"/>
      <c r="C2474" s="12" t="n"/>
      <c r="D2474" s="12" t="n"/>
      <c r="E2474" s="13" t="n"/>
      <c r="F2474" s="12" t="n"/>
      <c r="G2474" s="13" t="n"/>
      <c r="H2474" s="12" t="n"/>
      <c r="I2474" s="12" t="n"/>
      <c r="J2474" s="12" t="n"/>
      <c r="K2474" s="12" t="n"/>
      <c r="L2474" s="11" t="n"/>
      <c r="M2474" s="11" t="n"/>
      <c r="N2474" s="11" t="n"/>
      <c r="O2474" s="11" t="n"/>
      <c r="P2474" s="12" t="n"/>
      <c r="Q2474" s="11" t="n"/>
      <c r="R2474" s="12" t="n"/>
      <c r="S2474" s="11" t="n"/>
      <c r="T2474" s="12" t="n"/>
      <c r="U2474" s="12" t="n"/>
      <c r="V2474" s="12" t="n"/>
      <c r="W2474" s="13" t="n"/>
      <c r="X2474" s="14">
        <f>IF($AP2474="",IF($B2474="","",$H2474),IF(INDEX(職員マスタ!$B$6:$B$405,$AP2474)="",$H2474,INDEX(職員マスタ!$B$6:$B$405,$AP2474)))</f>
        <v/>
      </c>
      <c r="Y2474" s="14">
        <f>IF($AP2474="",IF($B2474="","",$R2474),IF(INDEX(職員マスタ!$C$6:$C$405,$AP2474)="",$R2474,INDEX(職員マスタ!$C$6:$C$405,$AP2474)))</f>
        <v/>
      </c>
      <c r="Z2474" s="14">
        <f>IF($AQ2474="","","R"&amp;$C2474&amp;"."&amp;$D2474)</f>
        <v/>
      </c>
      <c r="AA2474" s="15">
        <f>IF(IF($AP2474="",FALSE,INDEX(職員マスタ!$K$6:$K$405,$AP2474)&lt;&gt;""),INDEX(職員マスタ!$K$6:$K$405,$AP2474),IF(N($W2474)&gt;0,$W2474,""))</f>
        <v/>
      </c>
      <c r="AB2474" s="14">
        <f>IF(OR($E2474="",$AA2474=""),"",IF($E2474&gt;=$AA2474,"×",IF($E2474&gt;=$AA2474*設定!$C$5,"△","○")))</f>
        <v/>
      </c>
      <c r="AC2474" s="15">
        <f>IF($AB2474="","",IF($AB2474="×",0,IF($AB2474="○",ROUNDDOWN($E2474*設定!$C$4,0),ROUNDDOWN($E2474*ROUND((9*$AA2474-9*$E2474)/(10*$E2474),4),0))))</f>
        <v/>
      </c>
      <c r="AD2474" s="13" t="n"/>
      <c r="AE2474" s="15">
        <f>IF($B2474="","",IF($AD2474&lt;&gt;"",$AD2474,IF($AC2474="","",IF($AC2474&lt;=設定!$C$3,0,$AC2474))))</f>
        <v/>
      </c>
      <c r="AF2474" s="14">
        <f>IF($B2474="","",IF(AND($AG2474&lt;&gt;"",$AI2474="",$AL2474=""),"保留中",IF($AL2474&lt;&gt;"",IF(N($AE2474)&gt;0,"支給済","不支給"),IF($AE2474="","要確認",IF($AE2474=0,"不支給","未処理")))))</f>
        <v/>
      </c>
      <c r="AG2474" s="12" t="n"/>
      <c r="AH2474" s="11" t="n"/>
      <c r="AI2474" s="11" t="n"/>
      <c r="AJ2474" s="11" t="n"/>
      <c r="AK2474" s="14">
        <f>IF(AND($AF2474="保留中",$AH2474&lt;&gt;""),TODAY()-$AH2474,"")</f>
        <v/>
      </c>
      <c r="AL2474" s="12" t="n"/>
      <c r="AM2474" s="14">
        <f>IF($B2474="","",IF($AQ2474="","対象年月が未入力／","")&amp;IF($B2474="","",IF($AP2474="","職員マスタに未登録の職員番号／",IF($AA2474="","標準報酬月額が未登録／","")&amp;IF(AND($AQ2474&lt;&gt;"",OR(AND(INDEX(職員マスタ!$G$6:$G$405,$AP2474)&lt;&gt;"",INDEX(職員マスタ!$G$6:$G$405,$AP2474)&gt;EOMONTH($AQ2474,0)),AND(INDEX(職員マスタ!$H$6:$H$405,$AP2474)&lt;&gt;"",INDEX(職員マスタ!$H$6:$H$405,$AP2474)&lt;$AQ2474))),"対象月が時短期間外／","")&amp;IF(AND(INDEX(職員マスタ!$K$6:$K$405,$AP2474)&lt;&gt;"",N($W2474)&gt;0,INDEX(職員マスタ!$K$6:$K$405,$AP2474)&lt;&gt;$W2474),"標準報酬月額が申請書と相違（台帳"&amp;TEXT(INDEX(職員マスタ!$K$6:$K$405,$AP2474),"#,##0")&amp;"円／申請書"&amp;TEXT($W2474,"#,##0")&amp;"円）／","")&amp;IF(AND(INDEX(職員マスタ!$F$6:$F$405,$AP2474)&lt;&gt;"",$AQ2474&lt;&gt;"",INDEX(職員マスタ!$F$6:$F$405,$AP2474)&lt;$AQ2474),"対象月に子が2歳到達済／","")&amp;IF(AND($H2474&lt;&gt;"",INDEX(職員マスタ!$B$6:$B$405,$AP2474)&lt;&gt;"",SUBSTITUTE(SUBSTITUTE($H2474," ","")," ","")&lt;&gt;SUBSTITUTE(SUBSTITUTE(INDEX(職員マスタ!$B$6:$B$405,$AP2474)," ","")," ","")),"氏名がマスタと相違／","")&amp;IF(AND($Q2474&lt;&gt;"",INDEX(職員マスタ!$E$6:$E$405,$AP2474)&lt;&gt;"",$Q2474&lt;&gt;INDEX(職員マスタ!$E$6:$E$405,$AP2474)),"子の生年月日がマスタと相違／","")&amp;IF(AND($L2474&lt;&gt;"",INDEX(職員マスタ!$G$6:$G$405,$AP2474)&lt;&gt;"",$L2474&lt;&gt;INDEX(職員マスタ!$G$6:$G$405,$AP2474)),"時短開始日がマスタと相違／","")&amp;IF(AND($M2474&lt;&gt;"",INDEX(職員マスタ!$H$6:$H$405,$AP2474)&lt;&gt;"",$M2474&lt;&gt;INDEX(職員マスタ!$H$6:$H$405,$AP2474)),"時短終了日がマスタと相違／","")))&amp;IF(AND($B2474&lt;&gt;"",$E2474=""),"報酬額が未入力／","")&amp;IF(N($U2474)&gt;0,"申請書に入力エラーが残っています／","")&amp;IF(AND($B2474&lt;&gt;"",$AQ2474&lt;&gt;""),IF(COUNTIFS($B$6:$B$3005,$B2474,$C$6:$C$3005,$C2474,$D$6:$D$3005,$D2474)&gt;1,"同じ月の請求が重複しています／",""),"")&amp;IF(AND(N($E2474)&gt;0,$AB2474&lt;&gt;"",$AB2474&lt;&gt;"×",$AE2474=0,$AD2474=""),"計算額が下限以下のため不支給／",""))</f>
        <v/>
      </c>
      <c r="AN2474" s="12" t="n"/>
      <c r="AO2474" s="14">
        <f>IF($AF2474="保留中",COUNTIF($AF$6:$AF2474,"保留中"),"")</f>
        <v/>
      </c>
      <c r="AP2474" s="14">
        <f>IF($AQ2474="","",IF(SUMPRODUCT(MAX((職員マスタ!$A$6:$A$405=$B2474)*(((職員マスタ!$G$6:$G$405="")+(職員マスタ!$G$6:$G$405&lt;=EOMONTH($AQ2474,0)))&gt;0)*(((職員マスタ!$H$6:$H$405="")+(職員マスタ!$H$6:$H$405&gt;=$AQ2474))&gt;0)*(ROW(職員マスタ!$A$6:$A$405)-5)))&gt;0,SUMPRODUCT(MAX((職員マスタ!$A$6:$A$405=$B2474)*(((職員マスタ!$G$6:$G$405="")+(職員マスタ!$G$6:$G$405&lt;=EOMONTH($AQ2474,0)))&gt;0)*(((職員マスタ!$H$6:$H$405="")+(職員マスタ!$H$6:$H$405&gt;=$AQ2474))&gt;0)*(ROW(職員マスタ!$A$6:$A$405)-5))),IFERROR(MATCH($B2474,職員マスタ!$A$6:$A$405,0),"")))</f>
        <v/>
      </c>
      <c r="AQ2474" s="16">
        <f>IF(OR($B2474="",$C2474="",$D2474=""),"",DATE($C2474+2018,$D2474,1))</f>
        <v/>
      </c>
    </row>
    <row r="2475">
      <c r="A2475" s="11" t="n"/>
      <c r="B2475" s="12" t="n"/>
      <c r="C2475" s="12" t="n"/>
      <c r="D2475" s="12" t="n"/>
      <c r="E2475" s="13" t="n"/>
      <c r="F2475" s="12" t="n"/>
      <c r="G2475" s="13" t="n"/>
      <c r="H2475" s="12" t="n"/>
      <c r="I2475" s="12" t="n"/>
      <c r="J2475" s="12" t="n"/>
      <c r="K2475" s="12" t="n"/>
      <c r="L2475" s="11" t="n"/>
      <c r="M2475" s="11" t="n"/>
      <c r="N2475" s="11" t="n"/>
      <c r="O2475" s="11" t="n"/>
      <c r="P2475" s="12" t="n"/>
      <c r="Q2475" s="11" t="n"/>
      <c r="R2475" s="12" t="n"/>
      <c r="S2475" s="11" t="n"/>
      <c r="T2475" s="12" t="n"/>
      <c r="U2475" s="12" t="n"/>
      <c r="V2475" s="12" t="n"/>
      <c r="W2475" s="13" t="n"/>
      <c r="X2475" s="14">
        <f>IF($AP2475="",IF($B2475="","",$H2475),IF(INDEX(職員マスタ!$B$6:$B$405,$AP2475)="",$H2475,INDEX(職員マスタ!$B$6:$B$405,$AP2475)))</f>
        <v/>
      </c>
      <c r="Y2475" s="14">
        <f>IF($AP2475="",IF($B2475="","",$R2475),IF(INDEX(職員マスタ!$C$6:$C$405,$AP2475)="",$R2475,INDEX(職員マスタ!$C$6:$C$405,$AP2475)))</f>
        <v/>
      </c>
      <c r="Z2475" s="14">
        <f>IF($AQ2475="","","R"&amp;$C2475&amp;"."&amp;$D2475)</f>
        <v/>
      </c>
      <c r="AA2475" s="15">
        <f>IF(IF($AP2475="",FALSE,INDEX(職員マスタ!$K$6:$K$405,$AP2475)&lt;&gt;""),INDEX(職員マスタ!$K$6:$K$405,$AP2475),IF(N($W2475)&gt;0,$W2475,""))</f>
        <v/>
      </c>
      <c r="AB2475" s="14">
        <f>IF(OR($E2475="",$AA2475=""),"",IF($E2475&gt;=$AA2475,"×",IF($E2475&gt;=$AA2475*設定!$C$5,"△","○")))</f>
        <v/>
      </c>
      <c r="AC2475" s="15">
        <f>IF($AB2475="","",IF($AB2475="×",0,IF($AB2475="○",ROUNDDOWN($E2475*設定!$C$4,0),ROUNDDOWN($E2475*ROUND((9*$AA2475-9*$E2475)/(10*$E2475),4),0))))</f>
        <v/>
      </c>
      <c r="AD2475" s="13" t="n"/>
      <c r="AE2475" s="15">
        <f>IF($B2475="","",IF($AD2475&lt;&gt;"",$AD2475,IF($AC2475="","",IF($AC2475&lt;=設定!$C$3,0,$AC2475))))</f>
        <v/>
      </c>
      <c r="AF2475" s="14">
        <f>IF($B2475="","",IF(AND($AG2475&lt;&gt;"",$AI2475="",$AL2475=""),"保留中",IF($AL2475&lt;&gt;"",IF(N($AE2475)&gt;0,"支給済","不支給"),IF($AE2475="","要確認",IF($AE2475=0,"不支給","未処理")))))</f>
        <v/>
      </c>
      <c r="AG2475" s="12" t="n"/>
      <c r="AH2475" s="11" t="n"/>
      <c r="AI2475" s="11" t="n"/>
      <c r="AJ2475" s="11" t="n"/>
      <c r="AK2475" s="14">
        <f>IF(AND($AF2475="保留中",$AH2475&lt;&gt;""),TODAY()-$AH2475,"")</f>
        <v/>
      </c>
      <c r="AL2475" s="12" t="n"/>
      <c r="AM2475" s="14">
        <f>IF($B2475="","",IF($AQ2475="","対象年月が未入力／","")&amp;IF($B2475="","",IF($AP2475="","職員マスタに未登録の職員番号／",IF($AA2475="","標準報酬月額が未登録／","")&amp;IF(AND($AQ2475&lt;&gt;"",OR(AND(INDEX(職員マスタ!$G$6:$G$405,$AP2475)&lt;&gt;"",INDEX(職員マスタ!$G$6:$G$405,$AP2475)&gt;EOMONTH($AQ2475,0)),AND(INDEX(職員マスタ!$H$6:$H$405,$AP2475)&lt;&gt;"",INDEX(職員マスタ!$H$6:$H$405,$AP2475)&lt;$AQ2475))),"対象月が時短期間外／","")&amp;IF(AND(INDEX(職員マスタ!$K$6:$K$405,$AP2475)&lt;&gt;"",N($W2475)&gt;0,INDEX(職員マスタ!$K$6:$K$405,$AP2475)&lt;&gt;$W2475),"標準報酬月額が申請書と相違（台帳"&amp;TEXT(INDEX(職員マスタ!$K$6:$K$405,$AP2475),"#,##0")&amp;"円／申請書"&amp;TEXT($W2475,"#,##0")&amp;"円）／","")&amp;IF(AND(INDEX(職員マスタ!$F$6:$F$405,$AP2475)&lt;&gt;"",$AQ2475&lt;&gt;"",INDEX(職員マスタ!$F$6:$F$405,$AP2475)&lt;$AQ2475),"対象月に子が2歳到達済／","")&amp;IF(AND($H2475&lt;&gt;"",INDEX(職員マスタ!$B$6:$B$405,$AP2475)&lt;&gt;"",SUBSTITUTE(SUBSTITUTE($H2475," ","")," ","")&lt;&gt;SUBSTITUTE(SUBSTITUTE(INDEX(職員マスタ!$B$6:$B$405,$AP2475)," ","")," ","")),"氏名がマスタと相違／","")&amp;IF(AND($Q2475&lt;&gt;"",INDEX(職員マスタ!$E$6:$E$405,$AP2475)&lt;&gt;"",$Q2475&lt;&gt;INDEX(職員マスタ!$E$6:$E$405,$AP2475)),"子の生年月日がマスタと相違／","")&amp;IF(AND($L2475&lt;&gt;"",INDEX(職員マスタ!$G$6:$G$405,$AP2475)&lt;&gt;"",$L2475&lt;&gt;INDEX(職員マスタ!$G$6:$G$405,$AP2475)),"時短開始日がマスタと相違／","")&amp;IF(AND($M2475&lt;&gt;"",INDEX(職員マスタ!$H$6:$H$405,$AP2475)&lt;&gt;"",$M2475&lt;&gt;INDEX(職員マスタ!$H$6:$H$405,$AP2475)),"時短終了日がマスタと相違／","")))&amp;IF(AND($B2475&lt;&gt;"",$E2475=""),"報酬額が未入力／","")&amp;IF(N($U2475)&gt;0,"申請書に入力エラーが残っています／","")&amp;IF(AND($B2475&lt;&gt;"",$AQ2475&lt;&gt;""),IF(COUNTIFS($B$6:$B$3005,$B2475,$C$6:$C$3005,$C2475,$D$6:$D$3005,$D2475)&gt;1,"同じ月の請求が重複しています／",""),"")&amp;IF(AND(N($E2475)&gt;0,$AB2475&lt;&gt;"",$AB2475&lt;&gt;"×",$AE2475=0,$AD2475=""),"計算額が下限以下のため不支給／",""))</f>
        <v/>
      </c>
      <c r="AN2475" s="12" t="n"/>
      <c r="AO2475" s="14">
        <f>IF($AF2475="保留中",COUNTIF($AF$6:$AF2475,"保留中"),"")</f>
        <v/>
      </c>
      <c r="AP2475" s="14">
        <f>IF($AQ2475="","",IF(SUMPRODUCT(MAX((職員マスタ!$A$6:$A$405=$B2475)*(((職員マスタ!$G$6:$G$405="")+(職員マスタ!$G$6:$G$405&lt;=EOMONTH($AQ2475,0)))&gt;0)*(((職員マスタ!$H$6:$H$405="")+(職員マスタ!$H$6:$H$405&gt;=$AQ2475))&gt;0)*(ROW(職員マスタ!$A$6:$A$405)-5)))&gt;0,SUMPRODUCT(MAX((職員マスタ!$A$6:$A$405=$B2475)*(((職員マスタ!$G$6:$G$405="")+(職員マスタ!$G$6:$G$405&lt;=EOMONTH($AQ2475,0)))&gt;0)*(((職員マスタ!$H$6:$H$405="")+(職員マスタ!$H$6:$H$405&gt;=$AQ2475))&gt;0)*(ROW(職員マスタ!$A$6:$A$405)-5))),IFERROR(MATCH($B2475,職員マスタ!$A$6:$A$405,0),"")))</f>
        <v/>
      </c>
      <c r="AQ2475" s="16">
        <f>IF(OR($B2475="",$C2475="",$D2475=""),"",DATE($C2475+2018,$D2475,1))</f>
        <v/>
      </c>
    </row>
    <row r="2476">
      <c r="A2476" s="11" t="n"/>
      <c r="B2476" s="12" t="n"/>
      <c r="C2476" s="12" t="n"/>
      <c r="D2476" s="12" t="n"/>
      <c r="E2476" s="13" t="n"/>
      <c r="F2476" s="12" t="n"/>
      <c r="G2476" s="13" t="n"/>
      <c r="H2476" s="12" t="n"/>
      <c r="I2476" s="12" t="n"/>
      <c r="J2476" s="12" t="n"/>
      <c r="K2476" s="12" t="n"/>
      <c r="L2476" s="11" t="n"/>
      <c r="M2476" s="11" t="n"/>
      <c r="N2476" s="11" t="n"/>
      <c r="O2476" s="11" t="n"/>
      <c r="P2476" s="12" t="n"/>
      <c r="Q2476" s="11" t="n"/>
      <c r="R2476" s="12" t="n"/>
      <c r="S2476" s="11" t="n"/>
      <c r="T2476" s="12" t="n"/>
      <c r="U2476" s="12" t="n"/>
      <c r="V2476" s="12" t="n"/>
      <c r="W2476" s="13" t="n"/>
      <c r="X2476" s="14">
        <f>IF($AP2476="",IF($B2476="","",$H2476),IF(INDEX(職員マスタ!$B$6:$B$405,$AP2476)="",$H2476,INDEX(職員マスタ!$B$6:$B$405,$AP2476)))</f>
        <v/>
      </c>
      <c r="Y2476" s="14">
        <f>IF($AP2476="",IF($B2476="","",$R2476),IF(INDEX(職員マスタ!$C$6:$C$405,$AP2476)="",$R2476,INDEX(職員マスタ!$C$6:$C$405,$AP2476)))</f>
        <v/>
      </c>
      <c r="Z2476" s="14">
        <f>IF($AQ2476="","","R"&amp;$C2476&amp;"."&amp;$D2476)</f>
        <v/>
      </c>
      <c r="AA2476" s="15">
        <f>IF(IF($AP2476="",FALSE,INDEX(職員マスタ!$K$6:$K$405,$AP2476)&lt;&gt;""),INDEX(職員マスタ!$K$6:$K$405,$AP2476),IF(N($W2476)&gt;0,$W2476,""))</f>
        <v/>
      </c>
      <c r="AB2476" s="14">
        <f>IF(OR($E2476="",$AA2476=""),"",IF($E2476&gt;=$AA2476,"×",IF($E2476&gt;=$AA2476*設定!$C$5,"△","○")))</f>
        <v/>
      </c>
      <c r="AC2476" s="15">
        <f>IF($AB2476="","",IF($AB2476="×",0,IF($AB2476="○",ROUNDDOWN($E2476*設定!$C$4,0),ROUNDDOWN($E2476*ROUND((9*$AA2476-9*$E2476)/(10*$E2476),4),0))))</f>
        <v/>
      </c>
      <c r="AD2476" s="13" t="n"/>
      <c r="AE2476" s="15">
        <f>IF($B2476="","",IF($AD2476&lt;&gt;"",$AD2476,IF($AC2476="","",IF($AC2476&lt;=設定!$C$3,0,$AC2476))))</f>
        <v/>
      </c>
      <c r="AF2476" s="14">
        <f>IF($B2476="","",IF(AND($AG2476&lt;&gt;"",$AI2476="",$AL2476=""),"保留中",IF($AL2476&lt;&gt;"",IF(N($AE2476)&gt;0,"支給済","不支給"),IF($AE2476="","要確認",IF($AE2476=0,"不支給","未処理")))))</f>
        <v/>
      </c>
      <c r="AG2476" s="12" t="n"/>
      <c r="AH2476" s="11" t="n"/>
      <c r="AI2476" s="11" t="n"/>
      <c r="AJ2476" s="11" t="n"/>
      <c r="AK2476" s="14">
        <f>IF(AND($AF2476="保留中",$AH2476&lt;&gt;""),TODAY()-$AH2476,"")</f>
        <v/>
      </c>
      <c r="AL2476" s="12" t="n"/>
      <c r="AM2476" s="14">
        <f>IF($B2476="","",IF($AQ2476="","対象年月が未入力／","")&amp;IF($B2476="","",IF($AP2476="","職員マスタに未登録の職員番号／",IF($AA2476="","標準報酬月額が未登録／","")&amp;IF(AND($AQ2476&lt;&gt;"",OR(AND(INDEX(職員マスタ!$G$6:$G$405,$AP2476)&lt;&gt;"",INDEX(職員マスタ!$G$6:$G$405,$AP2476)&gt;EOMONTH($AQ2476,0)),AND(INDEX(職員マスタ!$H$6:$H$405,$AP2476)&lt;&gt;"",INDEX(職員マスタ!$H$6:$H$405,$AP2476)&lt;$AQ2476))),"対象月が時短期間外／","")&amp;IF(AND(INDEX(職員マスタ!$K$6:$K$405,$AP2476)&lt;&gt;"",N($W2476)&gt;0,INDEX(職員マスタ!$K$6:$K$405,$AP2476)&lt;&gt;$W2476),"標準報酬月額が申請書と相違（台帳"&amp;TEXT(INDEX(職員マスタ!$K$6:$K$405,$AP2476),"#,##0")&amp;"円／申請書"&amp;TEXT($W2476,"#,##0")&amp;"円）／","")&amp;IF(AND(INDEX(職員マスタ!$F$6:$F$405,$AP2476)&lt;&gt;"",$AQ2476&lt;&gt;"",INDEX(職員マスタ!$F$6:$F$405,$AP2476)&lt;$AQ2476),"対象月に子が2歳到達済／","")&amp;IF(AND($H2476&lt;&gt;"",INDEX(職員マスタ!$B$6:$B$405,$AP2476)&lt;&gt;"",SUBSTITUTE(SUBSTITUTE($H2476," ","")," ","")&lt;&gt;SUBSTITUTE(SUBSTITUTE(INDEX(職員マスタ!$B$6:$B$405,$AP2476)," ","")," ","")),"氏名がマスタと相違／","")&amp;IF(AND($Q2476&lt;&gt;"",INDEX(職員マスタ!$E$6:$E$405,$AP2476)&lt;&gt;"",$Q2476&lt;&gt;INDEX(職員マスタ!$E$6:$E$405,$AP2476)),"子の生年月日がマスタと相違／","")&amp;IF(AND($L2476&lt;&gt;"",INDEX(職員マスタ!$G$6:$G$405,$AP2476)&lt;&gt;"",$L2476&lt;&gt;INDEX(職員マスタ!$G$6:$G$405,$AP2476)),"時短開始日がマスタと相違／","")&amp;IF(AND($M2476&lt;&gt;"",INDEX(職員マスタ!$H$6:$H$405,$AP2476)&lt;&gt;"",$M2476&lt;&gt;INDEX(職員マスタ!$H$6:$H$405,$AP2476)),"時短終了日がマスタと相違／","")))&amp;IF(AND($B2476&lt;&gt;"",$E2476=""),"報酬額が未入力／","")&amp;IF(N($U2476)&gt;0,"申請書に入力エラーが残っています／","")&amp;IF(AND($B2476&lt;&gt;"",$AQ2476&lt;&gt;""),IF(COUNTIFS($B$6:$B$3005,$B2476,$C$6:$C$3005,$C2476,$D$6:$D$3005,$D2476)&gt;1,"同じ月の請求が重複しています／",""),"")&amp;IF(AND(N($E2476)&gt;0,$AB2476&lt;&gt;"",$AB2476&lt;&gt;"×",$AE2476=0,$AD2476=""),"計算額が下限以下のため不支給／",""))</f>
        <v/>
      </c>
      <c r="AN2476" s="12" t="n"/>
      <c r="AO2476" s="14">
        <f>IF($AF2476="保留中",COUNTIF($AF$6:$AF2476,"保留中"),"")</f>
        <v/>
      </c>
      <c r="AP2476" s="14">
        <f>IF($AQ2476="","",IF(SUMPRODUCT(MAX((職員マスタ!$A$6:$A$405=$B2476)*(((職員マスタ!$G$6:$G$405="")+(職員マスタ!$G$6:$G$405&lt;=EOMONTH($AQ2476,0)))&gt;0)*(((職員マスタ!$H$6:$H$405="")+(職員マスタ!$H$6:$H$405&gt;=$AQ2476))&gt;0)*(ROW(職員マスタ!$A$6:$A$405)-5)))&gt;0,SUMPRODUCT(MAX((職員マスタ!$A$6:$A$405=$B2476)*(((職員マスタ!$G$6:$G$405="")+(職員マスタ!$G$6:$G$405&lt;=EOMONTH($AQ2476,0)))&gt;0)*(((職員マスタ!$H$6:$H$405="")+(職員マスタ!$H$6:$H$405&gt;=$AQ2476))&gt;0)*(ROW(職員マスタ!$A$6:$A$405)-5))),IFERROR(MATCH($B2476,職員マスタ!$A$6:$A$405,0),"")))</f>
        <v/>
      </c>
      <c r="AQ2476" s="16">
        <f>IF(OR($B2476="",$C2476="",$D2476=""),"",DATE($C2476+2018,$D2476,1))</f>
        <v/>
      </c>
    </row>
    <row r="2477">
      <c r="A2477" s="11" t="n"/>
      <c r="B2477" s="12" t="n"/>
      <c r="C2477" s="12" t="n"/>
      <c r="D2477" s="12" t="n"/>
      <c r="E2477" s="13" t="n"/>
      <c r="F2477" s="12" t="n"/>
      <c r="G2477" s="13" t="n"/>
      <c r="H2477" s="12" t="n"/>
      <c r="I2477" s="12" t="n"/>
      <c r="J2477" s="12" t="n"/>
      <c r="K2477" s="12" t="n"/>
      <c r="L2477" s="11" t="n"/>
      <c r="M2477" s="11" t="n"/>
      <c r="N2477" s="11" t="n"/>
      <c r="O2477" s="11" t="n"/>
      <c r="P2477" s="12" t="n"/>
      <c r="Q2477" s="11" t="n"/>
      <c r="R2477" s="12" t="n"/>
      <c r="S2477" s="11" t="n"/>
      <c r="T2477" s="12" t="n"/>
      <c r="U2477" s="12" t="n"/>
      <c r="V2477" s="12" t="n"/>
      <c r="W2477" s="13" t="n"/>
      <c r="X2477" s="14">
        <f>IF($AP2477="",IF($B2477="","",$H2477),IF(INDEX(職員マスタ!$B$6:$B$405,$AP2477)="",$H2477,INDEX(職員マスタ!$B$6:$B$405,$AP2477)))</f>
        <v/>
      </c>
      <c r="Y2477" s="14">
        <f>IF($AP2477="",IF($B2477="","",$R2477),IF(INDEX(職員マスタ!$C$6:$C$405,$AP2477)="",$R2477,INDEX(職員マスタ!$C$6:$C$405,$AP2477)))</f>
        <v/>
      </c>
      <c r="Z2477" s="14">
        <f>IF($AQ2477="","","R"&amp;$C2477&amp;"."&amp;$D2477)</f>
        <v/>
      </c>
      <c r="AA2477" s="15">
        <f>IF(IF($AP2477="",FALSE,INDEX(職員マスタ!$K$6:$K$405,$AP2477)&lt;&gt;""),INDEX(職員マスタ!$K$6:$K$405,$AP2477),IF(N($W2477)&gt;0,$W2477,""))</f>
        <v/>
      </c>
      <c r="AB2477" s="14">
        <f>IF(OR($E2477="",$AA2477=""),"",IF($E2477&gt;=$AA2477,"×",IF($E2477&gt;=$AA2477*設定!$C$5,"△","○")))</f>
        <v/>
      </c>
      <c r="AC2477" s="15">
        <f>IF($AB2477="","",IF($AB2477="×",0,IF($AB2477="○",ROUNDDOWN($E2477*設定!$C$4,0),ROUNDDOWN($E2477*ROUND((9*$AA2477-9*$E2477)/(10*$E2477),4),0))))</f>
        <v/>
      </c>
      <c r="AD2477" s="13" t="n"/>
      <c r="AE2477" s="15">
        <f>IF($B2477="","",IF($AD2477&lt;&gt;"",$AD2477,IF($AC2477="","",IF($AC2477&lt;=設定!$C$3,0,$AC2477))))</f>
        <v/>
      </c>
      <c r="AF2477" s="14">
        <f>IF($B2477="","",IF(AND($AG2477&lt;&gt;"",$AI2477="",$AL2477=""),"保留中",IF($AL2477&lt;&gt;"",IF(N($AE2477)&gt;0,"支給済","不支給"),IF($AE2477="","要確認",IF($AE2477=0,"不支給","未処理")))))</f>
        <v/>
      </c>
      <c r="AG2477" s="12" t="n"/>
      <c r="AH2477" s="11" t="n"/>
      <c r="AI2477" s="11" t="n"/>
      <c r="AJ2477" s="11" t="n"/>
      <c r="AK2477" s="14">
        <f>IF(AND($AF2477="保留中",$AH2477&lt;&gt;""),TODAY()-$AH2477,"")</f>
        <v/>
      </c>
      <c r="AL2477" s="12" t="n"/>
      <c r="AM2477" s="14">
        <f>IF($B2477="","",IF($AQ2477="","対象年月が未入力／","")&amp;IF($B2477="","",IF($AP2477="","職員マスタに未登録の職員番号／",IF($AA2477="","標準報酬月額が未登録／","")&amp;IF(AND($AQ2477&lt;&gt;"",OR(AND(INDEX(職員マスタ!$G$6:$G$405,$AP2477)&lt;&gt;"",INDEX(職員マスタ!$G$6:$G$405,$AP2477)&gt;EOMONTH($AQ2477,0)),AND(INDEX(職員マスタ!$H$6:$H$405,$AP2477)&lt;&gt;"",INDEX(職員マスタ!$H$6:$H$405,$AP2477)&lt;$AQ2477))),"対象月が時短期間外／","")&amp;IF(AND(INDEX(職員マスタ!$K$6:$K$405,$AP2477)&lt;&gt;"",N($W2477)&gt;0,INDEX(職員マスタ!$K$6:$K$405,$AP2477)&lt;&gt;$W2477),"標準報酬月額が申請書と相違（台帳"&amp;TEXT(INDEX(職員マスタ!$K$6:$K$405,$AP2477),"#,##0")&amp;"円／申請書"&amp;TEXT($W2477,"#,##0")&amp;"円）／","")&amp;IF(AND(INDEX(職員マスタ!$F$6:$F$405,$AP2477)&lt;&gt;"",$AQ2477&lt;&gt;"",INDEX(職員マスタ!$F$6:$F$405,$AP2477)&lt;$AQ2477),"対象月に子が2歳到達済／","")&amp;IF(AND($H2477&lt;&gt;"",INDEX(職員マスタ!$B$6:$B$405,$AP2477)&lt;&gt;"",SUBSTITUTE(SUBSTITUTE($H2477," ","")," ","")&lt;&gt;SUBSTITUTE(SUBSTITUTE(INDEX(職員マスタ!$B$6:$B$405,$AP2477)," ","")," ","")),"氏名がマスタと相違／","")&amp;IF(AND($Q2477&lt;&gt;"",INDEX(職員マスタ!$E$6:$E$405,$AP2477)&lt;&gt;"",$Q2477&lt;&gt;INDEX(職員マスタ!$E$6:$E$405,$AP2477)),"子の生年月日がマスタと相違／","")&amp;IF(AND($L2477&lt;&gt;"",INDEX(職員マスタ!$G$6:$G$405,$AP2477)&lt;&gt;"",$L2477&lt;&gt;INDEX(職員マスタ!$G$6:$G$405,$AP2477)),"時短開始日がマスタと相違／","")&amp;IF(AND($M2477&lt;&gt;"",INDEX(職員マスタ!$H$6:$H$405,$AP2477)&lt;&gt;"",$M2477&lt;&gt;INDEX(職員マスタ!$H$6:$H$405,$AP2477)),"時短終了日がマスタと相違／","")))&amp;IF(AND($B2477&lt;&gt;"",$E2477=""),"報酬額が未入力／","")&amp;IF(N($U2477)&gt;0,"申請書に入力エラーが残っています／","")&amp;IF(AND($B2477&lt;&gt;"",$AQ2477&lt;&gt;""),IF(COUNTIFS($B$6:$B$3005,$B2477,$C$6:$C$3005,$C2477,$D$6:$D$3005,$D2477)&gt;1,"同じ月の請求が重複しています／",""),"")&amp;IF(AND(N($E2477)&gt;0,$AB2477&lt;&gt;"",$AB2477&lt;&gt;"×",$AE2477=0,$AD2477=""),"計算額が下限以下のため不支給／",""))</f>
        <v/>
      </c>
      <c r="AN2477" s="12" t="n"/>
      <c r="AO2477" s="14">
        <f>IF($AF2477="保留中",COUNTIF($AF$6:$AF2477,"保留中"),"")</f>
        <v/>
      </c>
      <c r="AP2477" s="14">
        <f>IF($AQ2477="","",IF(SUMPRODUCT(MAX((職員マスタ!$A$6:$A$405=$B2477)*(((職員マスタ!$G$6:$G$405="")+(職員マスタ!$G$6:$G$405&lt;=EOMONTH($AQ2477,0)))&gt;0)*(((職員マスタ!$H$6:$H$405="")+(職員マスタ!$H$6:$H$405&gt;=$AQ2477))&gt;0)*(ROW(職員マスタ!$A$6:$A$405)-5)))&gt;0,SUMPRODUCT(MAX((職員マスタ!$A$6:$A$405=$B2477)*(((職員マスタ!$G$6:$G$405="")+(職員マスタ!$G$6:$G$405&lt;=EOMONTH($AQ2477,0)))&gt;0)*(((職員マスタ!$H$6:$H$405="")+(職員マスタ!$H$6:$H$405&gt;=$AQ2477))&gt;0)*(ROW(職員マスタ!$A$6:$A$405)-5))),IFERROR(MATCH($B2477,職員マスタ!$A$6:$A$405,0),"")))</f>
        <v/>
      </c>
      <c r="AQ2477" s="16">
        <f>IF(OR($B2477="",$C2477="",$D2477=""),"",DATE($C2477+2018,$D2477,1))</f>
        <v/>
      </c>
    </row>
    <row r="2478">
      <c r="A2478" s="11" t="n"/>
      <c r="B2478" s="12" t="n"/>
      <c r="C2478" s="12" t="n"/>
      <c r="D2478" s="12" t="n"/>
      <c r="E2478" s="13" t="n"/>
      <c r="F2478" s="12" t="n"/>
      <c r="G2478" s="13" t="n"/>
      <c r="H2478" s="12" t="n"/>
      <c r="I2478" s="12" t="n"/>
      <c r="J2478" s="12" t="n"/>
      <c r="K2478" s="12" t="n"/>
      <c r="L2478" s="11" t="n"/>
      <c r="M2478" s="11" t="n"/>
      <c r="N2478" s="11" t="n"/>
      <c r="O2478" s="11" t="n"/>
      <c r="P2478" s="12" t="n"/>
      <c r="Q2478" s="11" t="n"/>
      <c r="R2478" s="12" t="n"/>
      <c r="S2478" s="11" t="n"/>
      <c r="T2478" s="12" t="n"/>
      <c r="U2478" s="12" t="n"/>
      <c r="V2478" s="12" t="n"/>
      <c r="W2478" s="13" t="n"/>
      <c r="X2478" s="14">
        <f>IF($AP2478="",IF($B2478="","",$H2478),IF(INDEX(職員マスタ!$B$6:$B$405,$AP2478)="",$H2478,INDEX(職員マスタ!$B$6:$B$405,$AP2478)))</f>
        <v/>
      </c>
      <c r="Y2478" s="14">
        <f>IF($AP2478="",IF($B2478="","",$R2478),IF(INDEX(職員マスタ!$C$6:$C$405,$AP2478)="",$R2478,INDEX(職員マスタ!$C$6:$C$405,$AP2478)))</f>
        <v/>
      </c>
      <c r="Z2478" s="14">
        <f>IF($AQ2478="","","R"&amp;$C2478&amp;"."&amp;$D2478)</f>
        <v/>
      </c>
      <c r="AA2478" s="15">
        <f>IF(IF($AP2478="",FALSE,INDEX(職員マスタ!$K$6:$K$405,$AP2478)&lt;&gt;""),INDEX(職員マスタ!$K$6:$K$405,$AP2478),IF(N($W2478)&gt;0,$W2478,""))</f>
        <v/>
      </c>
      <c r="AB2478" s="14">
        <f>IF(OR($E2478="",$AA2478=""),"",IF($E2478&gt;=$AA2478,"×",IF($E2478&gt;=$AA2478*設定!$C$5,"△","○")))</f>
        <v/>
      </c>
      <c r="AC2478" s="15">
        <f>IF($AB2478="","",IF($AB2478="×",0,IF($AB2478="○",ROUNDDOWN($E2478*設定!$C$4,0),ROUNDDOWN($E2478*ROUND((9*$AA2478-9*$E2478)/(10*$E2478),4),0))))</f>
        <v/>
      </c>
      <c r="AD2478" s="13" t="n"/>
      <c r="AE2478" s="15">
        <f>IF($B2478="","",IF($AD2478&lt;&gt;"",$AD2478,IF($AC2478="","",IF($AC2478&lt;=設定!$C$3,0,$AC2478))))</f>
        <v/>
      </c>
      <c r="AF2478" s="14">
        <f>IF($B2478="","",IF(AND($AG2478&lt;&gt;"",$AI2478="",$AL2478=""),"保留中",IF($AL2478&lt;&gt;"",IF(N($AE2478)&gt;0,"支給済","不支給"),IF($AE2478="","要確認",IF($AE2478=0,"不支給","未処理")))))</f>
        <v/>
      </c>
      <c r="AG2478" s="12" t="n"/>
      <c r="AH2478" s="11" t="n"/>
      <c r="AI2478" s="11" t="n"/>
      <c r="AJ2478" s="11" t="n"/>
      <c r="AK2478" s="14">
        <f>IF(AND($AF2478="保留中",$AH2478&lt;&gt;""),TODAY()-$AH2478,"")</f>
        <v/>
      </c>
      <c r="AL2478" s="12" t="n"/>
      <c r="AM2478" s="14">
        <f>IF($B2478="","",IF($AQ2478="","対象年月が未入力／","")&amp;IF($B2478="","",IF($AP2478="","職員マスタに未登録の職員番号／",IF($AA2478="","標準報酬月額が未登録／","")&amp;IF(AND($AQ2478&lt;&gt;"",OR(AND(INDEX(職員マスタ!$G$6:$G$405,$AP2478)&lt;&gt;"",INDEX(職員マスタ!$G$6:$G$405,$AP2478)&gt;EOMONTH($AQ2478,0)),AND(INDEX(職員マスタ!$H$6:$H$405,$AP2478)&lt;&gt;"",INDEX(職員マスタ!$H$6:$H$405,$AP2478)&lt;$AQ2478))),"対象月が時短期間外／","")&amp;IF(AND(INDEX(職員マスタ!$K$6:$K$405,$AP2478)&lt;&gt;"",N($W2478)&gt;0,INDEX(職員マスタ!$K$6:$K$405,$AP2478)&lt;&gt;$W2478),"標準報酬月額が申請書と相違（台帳"&amp;TEXT(INDEX(職員マスタ!$K$6:$K$405,$AP2478),"#,##0")&amp;"円／申請書"&amp;TEXT($W2478,"#,##0")&amp;"円）／","")&amp;IF(AND(INDEX(職員マスタ!$F$6:$F$405,$AP2478)&lt;&gt;"",$AQ2478&lt;&gt;"",INDEX(職員マスタ!$F$6:$F$405,$AP2478)&lt;$AQ2478),"対象月に子が2歳到達済／","")&amp;IF(AND($H2478&lt;&gt;"",INDEX(職員マスタ!$B$6:$B$405,$AP2478)&lt;&gt;"",SUBSTITUTE(SUBSTITUTE($H2478," ","")," ","")&lt;&gt;SUBSTITUTE(SUBSTITUTE(INDEX(職員マスタ!$B$6:$B$405,$AP2478)," ","")," ","")),"氏名がマスタと相違／","")&amp;IF(AND($Q2478&lt;&gt;"",INDEX(職員マスタ!$E$6:$E$405,$AP2478)&lt;&gt;"",$Q2478&lt;&gt;INDEX(職員マスタ!$E$6:$E$405,$AP2478)),"子の生年月日がマスタと相違／","")&amp;IF(AND($L2478&lt;&gt;"",INDEX(職員マスタ!$G$6:$G$405,$AP2478)&lt;&gt;"",$L2478&lt;&gt;INDEX(職員マスタ!$G$6:$G$405,$AP2478)),"時短開始日がマスタと相違／","")&amp;IF(AND($M2478&lt;&gt;"",INDEX(職員マスタ!$H$6:$H$405,$AP2478)&lt;&gt;"",$M2478&lt;&gt;INDEX(職員マスタ!$H$6:$H$405,$AP2478)),"時短終了日がマスタと相違／","")))&amp;IF(AND($B2478&lt;&gt;"",$E2478=""),"報酬額が未入力／","")&amp;IF(N($U2478)&gt;0,"申請書に入力エラーが残っています／","")&amp;IF(AND($B2478&lt;&gt;"",$AQ2478&lt;&gt;""),IF(COUNTIFS($B$6:$B$3005,$B2478,$C$6:$C$3005,$C2478,$D$6:$D$3005,$D2478)&gt;1,"同じ月の請求が重複しています／",""),"")&amp;IF(AND(N($E2478)&gt;0,$AB2478&lt;&gt;"",$AB2478&lt;&gt;"×",$AE2478=0,$AD2478=""),"計算額が下限以下のため不支給／",""))</f>
        <v/>
      </c>
      <c r="AN2478" s="12" t="n"/>
      <c r="AO2478" s="14">
        <f>IF($AF2478="保留中",COUNTIF($AF$6:$AF2478,"保留中"),"")</f>
        <v/>
      </c>
      <c r="AP2478" s="14">
        <f>IF($AQ2478="","",IF(SUMPRODUCT(MAX((職員マスタ!$A$6:$A$405=$B2478)*(((職員マスタ!$G$6:$G$405="")+(職員マスタ!$G$6:$G$405&lt;=EOMONTH($AQ2478,0)))&gt;0)*(((職員マスタ!$H$6:$H$405="")+(職員マスタ!$H$6:$H$405&gt;=$AQ2478))&gt;0)*(ROW(職員マスタ!$A$6:$A$405)-5)))&gt;0,SUMPRODUCT(MAX((職員マスタ!$A$6:$A$405=$B2478)*(((職員マスタ!$G$6:$G$405="")+(職員マスタ!$G$6:$G$405&lt;=EOMONTH($AQ2478,0)))&gt;0)*(((職員マスタ!$H$6:$H$405="")+(職員マスタ!$H$6:$H$405&gt;=$AQ2478))&gt;0)*(ROW(職員マスタ!$A$6:$A$405)-5))),IFERROR(MATCH($B2478,職員マスタ!$A$6:$A$405,0),"")))</f>
        <v/>
      </c>
      <c r="AQ2478" s="16">
        <f>IF(OR($B2478="",$C2478="",$D2478=""),"",DATE($C2478+2018,$D2478,1))</f>
        <v/>
      </c>
    </row>
    <row r="2479">
      <c r="A2479" s="11" t="n"/>
      <c r="B2479" s="12" t="n"/>
      <c r="C2479" s="12" t="n"/>
      <c r="D2479" s="12" t="n"/>
      <c r="E2479" s="13" t="n"/>
      <c r="F2479" s="12" t="n"/>
      <c r="G2479" s="13" t="n"/>
      <c r="H2479" s="12" t="n"/>
      <c r="I2479" s="12" t="n"/>
      <c r="J2479" s="12" t="n"/>
      <c r="K2479" s="12" t="n"/>
      <c r="L2479" s="11" t="n"/>
      <c r="M2479" s="11" t="n"/>
      <c r="N2479" s="11" t="n"/>
      <c r="O2479" s="11" t="n"/>
      <c r="P2479" s="12" t="n"/>
      <c r="Q2479" s="11" t="n"/>
      <c r="R2479" s="12" t="n"/>
      <c r="S2479" s="11" t="n"/>
      <c r="T2479" s="12" t="n"/>
      <c r="U2479" s="12" t="n"/>
      <c r="V2479" s="12" t="n"/>
      <c r="W2479" s="13" t="n"/>
      <c r="X2479" s="14">
        <f>IF($AP2479="",IF($B2479="","",$H2479),IF(INDEX(職員マスタ!$B$6:$B$405,$AP2479)="",$H2479,INDEX(職員マスタ!$B$6:$B$405,$AP2479)))</f>
        <v/>
      </c>
      <c r="Y2479" s="14">
        <f>IF($AP2479="",IF($B2479="","",$R2479),IF(INDEX(職員マスタ!$C$6:$C$405,$AP2479)="",$R2479,INDEX(職員マスタ!$C$6:$C$405,$AP2479)))</f>
        <v/>
      </c>
      <c r="Z2479" s="14">
        <f>IF($AQ2479="","","R"&amp;$C2479&amp;"."&amp;$D2479)</f>
        <v/>
      </c>
      <c r="AA2479" s="15">
        <f>IF(IF($AP2479="",FALSE,INDEX(職員マスタ!$K$6:$K$405,$AP2479)&lt;&gt;""),INDEX(職員マスタ!$K$6:$K$405,$AP2479),IF(N($W2479)&gt;0,$W2479,""))</f>
        <v/>
      </c>
      <c r="AB2479" s="14">
        <f>IF(OR($E2479="",$AA2479=""),"",IF($E2479&gt;=$AA2479,"×",IF($E2479&gt;=$AA2479*設定!$C$5,"△","○")))</f>
        <v/>
      </c>
      <c r="AC2479" s="15">
        <f>IF($AB2479="","",IF($AB2479="×",0,IF($AB2479="○",ROUNDDOWN($E2479*設定!$C$4,0),ROUNDDOWN($E2479*ROUND((9*$AA2479-9*$E2479)/(10*$E2479),4),0))))</f>
        <v/>
      </c>
      <c r="AD2479" s="13" t="n"/>
      <c r="AE2479" s="15">
        <f>IF($B2479="","",IF($AD2479&lt;&gt;"",$AD2479,IF($AC2479="","",IF($AC2479&lt;=設定!$C$3,0,$AC2479))))</f>
        <v/>
      </c>
      <c r="AF2479" s="14">
        <f>IF($B2479="","",IF(AND($AG2479&lt;&gt;"",$AI2479="",$AL2479=""),"保留中",IF($AL2479&lt;&gt;"",IF(N($AE2479)&gt;0,"支給済","不支給"),IF($AE2479="","要確認",IF($AE2479=0,"不支給","未処理")))))</f>
        <v/>
      </c>
      <c r="AG2479" s="12" t="n"/>
      <c r="AH2479" s="11" t="n"/>
      <c r="AI2479" s="11" t="n"/>
      <c r="AJ2479" s="11" t="n"/>
      <c r="AK2479" s="14">
        <f>IF(AND($AF2479="保留中",$AH2479&lt;&gt;""),TODAY()-$AH2479,"")</f>
        <v/>
      </c>
      <c r="AL2479" s="12" t="n"/>
      <c r="AM2479" s="14">
        <f>IF($B2479="","",IF($AQ2479="","対象年月が未入力／","")&amp;IF($B2479="","",IF($AP2479="","職員マスタに未登録の職員番号／",IF($AA2479="","標準報酬月額が未登録／","")&amp;IF(AND($AQ2479&lt;&gt;"",OR(AND(INDEX(職員マスタ!$G$6:$G$405,$AP2479)&lt;&gt;"",INDEX(職員マスタ!$G$6:$G$405,$AP2479)&gt;EOMONTH($AQ2479,0)),AND(INDEX(職員マスタ!$H$6:$H$405,$AP2479)&lt;&gt;"",INDEX(職員マスタ!$H$6:$H$405,$AP2479)&lt;$AQ2479))),"対象月が時短期間外／","")&amp;IF(AND(INDEX(職員マスタ!$K$6:$K$405,$AP2479)&lt;&gt;"",N($W2479)&gt;0,INDEX(職員マスタ!$K$6:$K$405,$AP2479)&lt;&gt;$W2479),"標準報酬月額が申請書と相違（台帳"&amp;TEXT(INDEX(職員マスタ!$K$6:$K$405,$AP2479),"#,##0")&amp;"円／申請書"&amp;TEXT($W2479,"#,##0")&amp;"円）／","")&amp;IF(AND(INDEX(職員マスタ!$F$6:$F$405,$AP2479)&lt;&gt;"",$AQ2479&lt;&gt;"",INDEX(職員マスタ!$F$6:$F$405,$AP2479)&lt;$AQ2479),"対象月に子が2歳到達済／","")&amp;IF(AND($H2479&lt;&gt;"",INDEX(職員マスタ!$B$6:$B$405,$AP2479)&lt;&gt;"",SUBSTITUTE(SUBSTITUTE($H2479," ","")," ","")&lt;&gt;SUBSTITUTE(SUBSTITUTE(INDEX(職員マスタ!$B$6:$B$405,$AP2479)," ","")," ","")),"氏名がマスタと相違／","")&amp;IF(AND($Q2479&lt;&gt;"",INDEX(職員マスタ!$E$6:$E$405,$AP2479)&lt;&gt;"",$Q2479&lt;&gt;INDEX(職員マスタ!$E$6:$E$405,$AP2479)),"子の生年月日がマスタと相違／","")&amp;IF(AND($L2479&lt;&gt;"",INDEX(職員マスタ!$G$6:$G$405,$AP2479)&lt;&gt;"",$L2479&lt;&gt;INDEX(職員マスタ!$G$6:$G$405,$AP2479)),"時短開始日がマスタと相違／","")&amp;IF(AND($M2479&lt;&gt;"",INDEX(職員マスタ!$H$6:$H$405,$AP2479)&lt;&gt;"",$M2479&lt;&gt;INDEX(職員マスタ!$H$6:$H$405,$AP2479)),"時短終了日がマスタと相違／","")))&amp;IF(AND($B2479&lt;&gt;"",$E2479=""),"報酬額が未入力／","")&amp;IF(N($U2479)&gt;0,"申請書に入力エラーが残っています／","")&amp;IF(AND($B2479&lt;&gt;"",$AQ2479&lt;&gt;""),IF(COUNTIFS($B$6:$B$3005,$B2479,$C$6:$C$3005,$C2479,$D$6:$D$3005,$D2479)&gt;1,"同じ月の請求が重複しています／",""),"")&amp;IF(AND(N($E2479)&gt;0,$AB2479&lt;&gt;"",$AB2479&lt;&gt;"×",$AE2479=0,$AD2479=""),"計算額が下限以下のため不支給／",""))</f>
        <v/>
      </c>
      <c r="AN2479" s="12" t="n"/>
      <c r="AO2479" s="14">
        <f>IF($AF2479="保留中",COUNTIF($AF$6:$AF2479,"保留中"),"")</f>
        <v/>
      </c>
      <c r="AP2479" s="14">
        <f>IF($AQ2479="","",IF(SUMPRODUCT(MAX((職員マスタ!$A$6:$A$405=$B2479)*(((職員マスタ!$G$6:$G$405="")+(職員マスタ!$G$6:$G$405&lt;=EOMONTH($AQ2479,0)))&gt;0)*(((職員マスタ!$H$6:$H$405="")+(職員マスタ!$H$6:$H$405&gt;=$AQ2479))&gt;0)*(ROW(職員マスタ!$A$6:$A$405)-5)))&gt;0,SUMPRODUCT(MAX((職員マスタ!$A$6:$A$405=$B2479)*(((職員マスタ!$G$6:$G$405="")+(職員マスタ!$G$6:$G$405&lt;=EOMONTH($AQ2479,0)))&gt;0)*(((職員マスタ!$H$6:$H$405="")+(職員マスタ!$H$6:$H$405&gt;=$AQ2479))&gt;0)*(ROW(職員マスタ!$A$6:$A$405)-5))),IFERROR(MATCH($B2479,職員マスタ!$A$6:$A$405,0),"")))</f>
        <v/>
      </c>
      <c r="AQ2479" s="16">
        <f>IF(OR($B2479="",$C2479="",$D2479=""),"",DATE($C2479+2018,$D2479,1))</f>
        <v/>
      </c>
    </row>
    <row r="2480">
      <c r="A2480" s="11" t="n"/>
      <c r="B2480" s="12" t="n"/>
      <c r="C2480" s="12" t="n"/>
      <c r="D2480" s="12" t="n"/>
      <c r="E2480" s="13" t="n"/>
      <c r="F2480" s="12" t="n"/>
      <c r="G2480" s="13" t="n"/>
      <c r="H2480" s="12" t="n"/>
      <c r="I2480" s="12" t="n"/>
      <c r="J2480" s="12" t="n"/>
      <c r="K2480" s="12" t="n"/>
      <c r="L2480" s="11" t="n"/>
      <c r="M2480" s="11" t="n"/>
      <c r="N2480" s="11" t="n"/>
      <c r="O2480" s="11" t="n"/>
      <c r="P2480" s="12" t="n"/>
      <c r="Q2480" s="11" t="n"/>
      <c r="R2480" s="12" t="n"/>
      <c r="S2480" s="11" t="n"/>
      <c r="T2480" s="12" t="n"/>
      <c r="U2480" s="12" t="n"/>
      <c r="V2480" s="12" t="n"/>
      <c r="W2480" s="13" t="n"/>
      <c r="X2480" s="14">
        <f>IF($AP2480="",IF($B2480="","",$H2480),IF(INDEX(職員マスタ!$B$6:$B$405,$AP2480)="",$H2480,INDEX(職員マスタ!$B$6:$B$405,$AP2480)))</f>
        <v/>
      </c>
      <c r="Y2480" s="14">
        <f>IF($AP2480="",IF($B2480="","",$R2480),IF(INDEX(職員マスタ!$C$6:$C$405,$AP2480)="",$R2480,INDEX(職員マスタ!$C$6:$C$405,$AP2480)))</f>
        <v/>
      </c>
      <c r="Z2480" s="14">
        <f>IF($AQ2480="","","R"&amp;$C2480&amp;"."&amp;$D2480)</f>
        <v/>
      </c>
      <c r="AA2480" s="15">
        <f>IF(IF($AP2480="",FALSE,INDEX(職員マスタ!$K$6:$K$405,$AP2480)&lt;&gt;""),INDEX(職員マスタ!$K$6:$K$405,$AP2480),IF(N($W2480)&gt;0,$W2480,""))</f>
        <v/>
      </c>
      <c r="AB2480" s="14">
        <f>IF(OR($E2480="",$AA2480=""),"",IF($E2480&gt;=$AA2480,"×",IF($E2480&gt;=$AA2480*設定!$C$5,"△","○")))</f>
        <v/>
      </c>
      <c r="AC2480" s="15">
        <f>IF($AB2480="","",IF($AB2480="×",0,IF($AB2480="○",ROUNDDOWN($E2480*設定!$C$4,0),ROUNDDOWN($E2480*ROUND((9*$AA2480-9*$E2480)/(10*$E2480),4),0))))</f>
        <v/>
      </c>
      <c r="AD2480" s="13" t="n"/>
      <c r="AE2480" s="15">
        <f>IF($B2480="","",IF($AD2480&lt;&gt;"",$AD2480,IF($AC2480="","",IF($AC2480&lt;=設定!$C$3,0,$AC2480))))</f>
        <v/>
      </c>
      <c r="AF2480" s="14">
        <f>IF($B2480="","",IF(AND($AG2480&lt;&gt;"",$AI2480="",$AL2480=""),"保留中",IF($AL2480&lt;&gt;"",IF(N($AE2480)&gt;0,"支給済","不支給"),IF($AE2480="","要確認",IF($AE2480=0,"不支給","未処理")))))</f>
        <v/>
      </c>
      <c r="AG2480" s="12" t="n"/>
      <c r="AH2480" s="11" t="n"/>
      <c r="AI2480" s="11" t="n"/>
      <c r="AJ2480" s="11" t="n"/>
      <c r="AK2480" s="14">
        <f>IF(AND($AF2480="保留中",$AH2480&lt;&gt;""),TODAY()-$AH2480,"")</f>
        <v/>
      </c>
      <c r="AL2480" s="12" t="n"/>
      <c r="AM2480" s="14">
        <f>IF($B2480="","",IF($AQ2480="","対象年月が未入力／","")&amp;IF($B2480="","",IF($AP2480="","職員マスタに未登録の職員番号／",IF($AA2480="","標準報酬月額が未登録／","")&amp;IF(AND($AQ2480&lt;&gt;"",OR(AND(INDEX(職員マスタ!$G$6:$G$405,$AP2480)&lt;&gt;"",INDEX(職員マスタ!$G$6:$G$405,$AP2480)&gt;EOMONTH($AQ2480,0)),AND(INDEX(職員マスタ!$H$6:$H$405,$AP2480)&lt;&gt;"",INDEX(職員マスタ!$H$6:$H$405,$AP2480)&lt;$AQ2480))),"対象月が時短期間外／","")&amp;IF(AND(INDEX(職員マスタ!$K$6:$K$405,$AP2480)&lt;&gt;"",N($W2480)&gt;0,INDEX(職員マスタ!$K$6:$K$405,$AP2480)&lt;&gt;$W2480),"標準報酬月額が申請書と相違（台帳"&amp;TEXT(INDEX(職員マスタ!$K$6:$K$405,$AP2480),"#,##0")&amp;"円／申請書"&amp;TEXT($W2480,"#,##0")&amp;"円）／","")&amp;IF(AND(INDEX(職員マスタ!$F$6:$F$405,$AP2480)&lt;&gt;"",$AQ2480&lt;&gt;"",INDEX(職員マスタ!$F$6:$F$405,$AP2480)&lt;$AQ2480),"対象月に子が2歳到達済／","")&amp;IF(AND($H2480&lt;&gt;"",INDEX(職員マスタ!$B$6:$B$405,$AP2480)&lt;&gt;"",SUBSTITUTE(SUBSTITUTE($H2480," ","")," ","")&lt;&gt;SUBSTITUTE(SUBSTITUTE(INDEX(職員マスタ!$B$6:$B$405,$AP2480)," ","")," ","")),"氏名がマスタと相違／","")&amp;IF(AND($Q2480&lt;&gt;"",INDEX(職員マスタ!$E$6:$E$405,$AP2480)&lt;&gt;"",$Q2480&lt;&gt;INDEX(職員マスタ!$E$6:$E$405,$AP2480)),"子の生年月日がマスタと相違／","")&amp;IF(AND($L2480&lt;&gt;"",INDEX(職員マスタ!$G$6:$G$405,$AP2480)&lt;&gt;"",$L2480&lt;&gt;INDEX(職員マスタ!$G$6:$G$405,$AP2480)),"時短開始日がマスタと相違／","")&amp;IF(AND($M2480&lt;&gt;"",INDEX(職員マスタ!$H$6:$H$405,$AP2480)&lt;&gt;"",$M2480&lt;&gt;INDEX(職員マスタ!$H$6:$H$405,$AP2480)),"時短終了日がマスタと相違／","")))&amp;IF(AND($B2480&lt;&gt;"",$E2480=""),"報酬額が未入力／","")&amp;IF(N($U2480)&gt;0,"申請書に入力エラーが残っています／","")&amp;IF(AND($B2480&lt;&gt;"",$AQ2480&lt;&gt;""),IF(COUNTIFS($B$6:$B$3005,$B2480,$C$6:$C$3005,$C2480,$D$6:$D$3005,$D2480)&gt;1,"同じ月の請求が重複しています／",""),"")&amp;IF(AND(N($E2480)&gt;0,$AB2480&lt;&gt;"",$AB2480&lt;&gt;"×",$AE2480=0,$AD2480=""),"計算額が下限以下のため不支給／",""))</f>
        <v/>
      </c>
      <c r="AN2480" s="12" t="n"/>
      <c r="AO2480" s="14">
        <f>IF($AF2480="保留中",COUNTIF($AF$6:$AF2480,"保留中"),"")</f>
        <v/>
      </c>
      <c r="AP2480" s="14">
        <f>IF($AQ2480="","",IF(SUMPRODUCT(MAX((職員マスタ!$A$6:$A$405=$B2480)*(((職員マスタ!$G$6:$G$405="")+(職員マスタ!$G$6:$G$405&lt;=EOMONTH($AQ2480,0)))&gt;0)*(((職員マスタ!$H$6:$H$405="")+(職員マスタ!$H$6:$H$405&gt;=$AQ2480))&gt;0)*(ROW(職員マスタ!$A$6:$A$405)-5)))&gt;0,SUMPRODUCT(MAX((職員マスタ!$A$6:$A$405=$B2480)*(((職員マスタ!$G$6:$G$405="")+(職員マスタ!$G$6:$G$405&lt;=EOMONTH($AQ2480,0)))&gt;0)*(((職員マスタ!$H$6:$H$405="")+(職員マスタ!$H$6:$H$405&gt;=$AQ2480))&gt;0)*(ROW(職員マスタ!$A$6:$A$405)-5))),IFERROR(MATCH($B2480,職員マスタ!$A$6:$A$405,0),"")))</f>
        <v/>
      </c>
      <c r="AQ2480" s="16">
        <f>IF(OR($B2480="",$C2480="",$D2480=""),"",DATE($C2480+2018,$D2480,1))</f>
        <v/>
      </c>
    </row>
    <row r="2481">
      <c r="A2481" s="11" t="n"/>
      <c r="B2481" s="12" t="n"/>
      <c r="C2481" s="12" t="n"/>
      <c r="D2481" s="12" t="n"/>
      <c r="E2481" s="13" t="n"/>
      <c r="F2481" s="12" t="n"/>
      <c r="G2481" s="13" t="n"/>
      <c r="H2481" s="12" t="n"/>
      <c r="I2481" s="12" t="n"/>
      <c r="J2481" s="12" t="n"/>
      <c r="K2481" s="12" t="n"/>
      <c r="L2481" s="11" t="n"/>
      <c r="M2481" s="11" t="n"/>
      <c r="N2481" s="11" t="n"/>
      <c r="O2481" s="11" t="n"/>
      <c r="P2481" s="12" t="n"/>
      <c r="Q2481" s="11" t="n"/>
      <c r="R2481" s="12" t="n"/>
      <c r="S2481" s="11" t="n"/>
      <c r="T2481" s="12" t="n"/>
      <c r="U2481" s="12" t="n"/>
      <c r="V2481" s="12" t="n"/>
      <c r="W2481" s="13" t="n"/>
      <c r="X2481" s="14">
        <f>IF($AP2481="",IF($B2481="","",$H2481),IF(INDEX(職員マスタ!$B$6:$B$405,$AP2481)="",$H2481,INDEX(職員マスタ!$B$6:$B$405,$AP2481)))</f>
        <v/>
      </c>
      <c r="Y2481" s="14">
        <f>IF($AP2481="",IF($B2481="","",$R2481),IF(INDEX(職員マスタ!$C$6:$C$405,$AP2481)="",$R2481,INDEX(職員マスタ!$C$6:$C$405,$AP2481)))</f>
        <v/>
      </c>
      <c r="Z2481" s="14">
        <f>IF($AQ2481="","","R"&amp;$C2481&amp;"."&amp;$D2481)</f>
        <v/>
      </c>
      <c r="AA2481" s="15">
        <f>IF(IF($AP2481="",FALSE,INDEX(職員マスタ!$K$6:$K$405,$AP2481)&lt;&gt;""),INDEX(職員マスタ!$K$6:$K$405,$AP2481),IF(N($W2481)&gt;0,$W2481,""))</f>
        <v/>
      </c>
      <c r="AB2481" s="14">
        <f>IF(OR($E2481="",$AA2481=""),"",IF($E2481&gt;=$AA2481,"×",IF($E2481&gt;=$AA2481*設定!$C$5,"△","○")))</f>
        <v/>
      </c>
      <c r="AC2481" s="15">
        <f>IF($AB2481="","",IF($AB2481="×",0,IF($AB2481="○",ROUNDDOWN($E2481*設定!$C$4,0),ROUNDDOWN($E2481*ROUND((9*$AA2481-9*$E2481)/(10*$E2481),4),0))))</f>
        <v/>
      </c>
      <c r="AD2481" s="13" t="n"/>
      <c r="AE2481" s="15">
        <f>IF($B2481="","",IF($AD2481&lt;&gt;"",$AD2481,IF($AC2481="","",IF($AC2481&lt;=設定!$C$3,0,$AC2481))))</f>
        <v/>
      </c>
      <c r="AF2481" s="14">
        <f>IF($B2481="","",IF(AND($AG2481&lt;&gt;"",$AI2481="",$AL2481=""),"保留中",IF($AL2481&lt;&gt;"",IF(N($AE2481)&gt;0,"支給済","不支給"),IF($AE2481="","要確認",IF($AE2481=0,"不支給","未処理")))))</f>
        <v/>
      </c>
      <c r="AG2481" s="12" t="n"/>
      <c r="AH2481" s="11" t="n"/>
      <c r="AI2481" s="11" t="n"/>
      <c r="AJ2481" s="11" t="n"/>
      <c r="AK2481" s="14">
        <f>IF(AND($AF2481="保留中",$AH2481&lt;&gt;""),TODAY()-$AH2481,"")</f>
        <v/>
      </c>
      <c r="AL2481" s="12" t="n"/>
      <c r="AM2481" s="14">
        <f>IF($B2481="","",IF($AQ2481="","対象年月が未入力／","")&amp;IF($B2481="","",IF($AP2481="","職員マスタに未登録の職員番号／",IF($AA2481="","標準報酬月額が未登録／","")&amp;IF(AND($AQ2481&lt;&gt;"",OR(AND(INDEX(職員マスタ!$G$6:$G$405,$AP2481)&lt;&gt;"",INDEX(職員マスタ!$G$6:$G$405,$AP2481)&gt;EOMONTH($AQ2481,0)),AND(INDEX(職員マスタ!$H$6:$H$405,$AP2481)&lt;&gt;"",INDEX(職員マスタ!$H$6:$H$405,$AP2481)&lt;$AQ2481))),"対象月が時短期間外／","")&amp;IF(AND(INDEX(職員マスタ!$K$6:$K$405,$AP2481)&lt;&gt;"",N($W2481)&gt;0,INDEX(職員マスタ!$K$6:$K$405,$AP2481)&lt;&gt;$W2481),"標準報酬月額が申請書と相違（台帳"&amp;TEXT(INDEX(職員マスタ!$K$6:$K$405,$AP2481),"#,##0")&amp;"円／申請書"&amp;TEXT($W2481,"#,##0")&amp;"円）／","")&amp;IF(AND(INDEX(職員マスタ!$F$6:$F$405,$AP2481)&lt;&gt;"",$AQ2481&lt;&gt;"",INDEX(職員マスタ!$F$6:$F$405,$AP2481)&lt;$AQ2481),"対象月に子が2歳到達済／","")&amp;IF(AND($H2481&lt;&gt;"",INDEX(職員マスタ!$B$6:$B$405,$AP2481)&lt;&gt;"",SUBSTITUTE(SUBSTITUTE($H2481," ","")," ","")&lt;&gt;SUBSTITUTE(SUBSTITUTE(INDEX(職員マスタ!$B$6:$B$405,$AP2481)," ","")," ","")),"氏名がマスタと相違／","")&amp;IF(AND($Q2481&lt;&gt;"",INDEX(職員マスタ!$E$6:$E$405,$AP2481)&lt;&gt;"",$Q2481&lt;&gt;INDEX(職員マスタ!$E$6:$E$405,$AP2481)),"子の生年月日がマスタと相違／","")&amp;IF(AND($L2481&lt;&gt;"",INDEX(職員マスタ!$G$6:$G$405,$AP2481)&lt;&gt;"",$L2481&lt;&gt;INDEX(職員マスタ!$G$6:$G$405,$AP2481)),"時短開始日がマスタと相違／","")&amp;IF(AND($M2481&lt;&gt;"",INDEX(職員マスタ!$H$6:$H$405,$AP2481)&lt;&gt;"",$M2481&lt;&gt;INDEX(職員マスタ!$H$6:$H$405,$AP2481)),"時短終了日がマスタと相違／","")))&amp;IF(AND($B2481&lt;&gt;"",$E2481=""),"報酬額が未入力／","")&amp;IF(N($U2481)&gt;0,"申請書に入力エラーが残っています／","")&amp;IF(AND($B2481&lt;&gt;"",$AQ2481&lt;&gt;""),IF(COUNTIFS($B$6:$B$3005,$B2481,$C$6:$C$3005,$C2481,$D$6:$D$3005,$D2481)&gt;1,"同じ月の請求が重複しています／",""),"")&amp;IF(AND(N($E2481)&gt;0,$AB2481&lt;&gt;"",$AB2481&lt;&gt;"×",$AE2481=0,$AD2481=""),"計算額が下限以下のため不支給／",""))</f>
        <v/>
      </c>
      <c r="AN2481" s="12" t="n"/>
      <c r="AO2481" s="14">
        <f>IF($AF2481="保留中",COUNTIF($AF$6:$AF2481,"保留中"),"")</f>
        <v/>
      </c>
      <c r="AP2481" s="14">
        <f>IF($AQ2481="","",IF(SUMPRODUCT(MAX((職員マスタ!$A$6:$A$405=$B2481)*(((職員マスタ!$G$6:$G$405="")+(職員マスタ!$G$6:$G$405&lt;=EOMONTH($AQ2481,0)))&gt;0)*(((職員マスタ!$H$6:$H$405="")+(職員マスタ!$H$6:$H$405&gt;=$AQ2481))&gt;0)*(ROW(職員マスタ!$A$6:$A$405)-5)))&gt;0,SUMPRODUCT(MAX((職員マスタ!$A$6:$A$405=$B2481)*(((職員マスタ!$G$6:$G$405="")+(職員マスタ!$G$6:$G$405&lt;=EOMONTH($AQ2481,0)))&gt;0)*(((職員マスタ!$H$6:$H$405="")+(職員マスタ!$H$6:$H$405&gt;=$AQ2481))&gt;0)*(ROW(職員マスタ!$A$6:$A$405)-5))),IFERROR(MATCH($B2481,職員マスタ!$A$6:$A$405,0),"")))</f>
        <v/>
      </c>
      <c r="AQ2481" s="16">
        <f>IF(OR($B2481="",$C2481="",$D2481=""),"",DATE($C2481+2018,$D2481,1))</f>
        <v/>
      </c>
    </row>
    <row r="2482">
      <c r="A2482" s="11" t="n"/>
      <c r="B2482" s="12" t="n"/>
      <c r="C2482" s="12" t="n"/>
      <c r="D2482" s="12" t="n"/>
      <c r="E2482" s="13" t="n"/>
      <c r="F2482" s="12" t="n"/>
      <c r="G2482" s="13" t="n"/>
      <c r="H2482" s="12" t="n"/>
      <c r="I2482" s="12" t="n"/>
      <c r="J2482" s="12" t="n"/>
      <c r="K2482" s="12" t="n"/>
      <c r="L2482" s="11" t="n"/>
      <c r="M2482" s="11" t="n"/>
      <c r="N2482" s="11" t="n"/>
      <c r="O2482" s="11" t="n"/>
      <c r="P2482" s="12" t="n"/>
      <c r="Q2482" s="11" t="n"/>
      <c r="R2482" s="12" t="n"/>
      <c r="S2482" s="11" t="n"/>
      <c r="T2482" s="12" t="n"/>
      <c r="U2482" s="12" t="n"/>
      <c r="V2482" s="12" t="n"/>
      <c r="W2482" s="13" t="n"/>
      <c r="X2482" s="14">
        <f>IF($AP2482="",IF($B2482="","",$H2482),IF(INDEX(職員マスタ!$B$6:$B$405,$AP2482)="",$H2482,INDEX(職員マスタ!$B$6:$B$405,$AP2482)))</f>
        <v/>
      </c>
      <c r="Y2482" s="14">
        <f>IF($AP2482="",IF($B2482="","",$R2482),IF(INDEX(職員マスタ!$C$6:$C$405,$AP2482)="",$R2482,INDEX(職員マスタ!$C$6:$C$405,$AP2482)))</f>
        <v/>
      </c>
      <c r="Z2482" s="14">
        <f>IF($AQ2482="","","R"&amp;$C2482&amp;"."&amp;$D2482)</f>
        <v/>
      </c>
      <c r="AA2482" s="15">
        <f>IF(IF($AP2482="",FALSE,INDEX(職員マスタ!$K$6:$K$405,$AP2482)&lt;&gt;""),INDEX(職員マスタ!$K$6:$K$405,$AP2482),IF(N($W2482)&gt;0,$W2482,""))</f>
        <v/>
      </c>
      <c r="AB2482" s="14">
        <f>IF(OR($E2482="",$AA2482=""),"",IF($E2482&gt;=$AA2482,"×",IF($E2482&gt;=$AA2482*設定!$C$5,"△","○")))</f>
        <v/>
      </c>
      <c r="AC2482" s="15">
        <f>IF($AB2482="","",IF($AB2482="×",0,IF($AB2482="○",ROUNDDOWN($E2482*設定!$C$4,0),ROUNDDOWN($E2482*ROUND((9*$AA2482-9*$E2482)/(10*$E2482),4),0))))</f>
        <v/>
      </c>
      <c r="AD2482" s="13" t="n"/>
      <c r="AE2482" s="15">
        <f>IF($B2482="","",IF($AD2482&lt;&gt;"",$AD2482,IF($AC2482="","",IF($AC2482&lt;=設定!$C$3,0,$AC2482))))</f>
        <v/>
      </c>
      <c r="AF2482" s="14">
        <f>IF($B2482="","",IF(AND($AG2482&lt;&gt;"",$AI2482="",$AL2482=""),"保留中",IF($AL2482&lt;&gt;"",IF(N($AE2482)&gt;0,"支給済","不支給"),IF($AE2482="","要確認",IF($AE2482=0,"不支給","未処理")))))</f>
        <v/>
      </c>
      <c r="AG2482" s="12" t="n"/>
      <c r="AH2482" s="11" t="n"/>
      <c r="AI2482" s="11" t="n"/>
      <c r="AJ2482" s="11" t="n"/>
      <c r="AK2482" s="14">
        <f>IF(AND($AF2482="保留中",$AH2482&lt;&gt;""),TODAY()-$AH2482,"")</f>
        <v/>
      </c>
      <c r="AL2482" s="12" t="n"/>
      <c r="AM2482" s="14">
        <f>IF($B2482="","",IF($AQ2482="","対象年月が未入力／","")&amp;IF($B2482="","",IF($AP2482="","職員マスタに未登録の職員番号／",IF($AA2482="","標準報酬月額が未登録／","")&amp;IF(AND($AQ2482&lt;&gt;"",OR(AND(INDEX(職員マスタ!$G$6:$G$405,$AP2482)&lt;&gt;"",INDEX(職員マスタ!$G$6:$G$405,$AP2482)&gt;EOMONTH($AQ2482,0)),AND(INDEX(職員マスタ!$H$6:$H$405,$AP2482)&lt;&gt;"",INDEX(職員マスタ!$H$6:$H$405,$AP2482)&lt;$AQ2482))),"対象月が時短期間外／","")&amp;IF(AND(INDEX(職員マスタ!$K$6:$K$405,$AP2482)&lt;&gt;"",N($W2482)&gt;0,INDEX(職員マスタ!$K$6:$K$405,$AP2482)&lt;&gt;$W2482),"標準報酬月額が申請書と相違（台帳"&amp;TEXT(INDEX(職員マスタ!$K$6:$K$405,$AP2482),"#,##0")&amp;"円／申請書"&amp;TEXT($W2482,"#,##0")&amp;"円）／","")&amp;IF(AND(INDEX(職員マスタ!$F$6:$F$405,$AP2482)&lt;&gt;"",$AQ2482&lt;&gt;"",INDEX(職員マスタ!$F$6:$F$405,$AP2482)&lt;$AQ2482),"対象月に子が2歳到達済／","")&amp;IF(AND($H2482&lt;&gt;"",INDEX(職員マスタ!$B$6:$B$405,$AP2482)&lt;&gt;"",SUBSTITUTE(SUBSTITUTE($H2482," ","")," ","")&lt;&gt;SUBSTITUTE(SUBSTITUTE(INDEX(職員マスタ!$B$6:$B$405,$AP2482)," ","")," ","")),"氏名がマスタと相違／","")&amp;IF(AND($Q2482&lt;&gt;"",INDEX(職員マスタ!$E$6:$E$405,$AP2482)&lt;&gt;"",$Q2482&lt;&gt;INDEX(職員マスタ!$E$6:$E$405,$AP2482)),"子の生年月日がマスタと相違／","")&amp;IF(AND($L2482&lt;&gt;"",INDEX(職員マスタ!$G$6:$G$405,$AP2482)&lt;&gt;"",$L2482&lt;&gt;INDEX(職員マスタ!$G$6:$G$405,$AP2482)),"時短開始日がマスタと相違／","")&amp;IF(AND($M2482&lt;&gt;"",INDEX(職員マスタ!$H$6:$H$405,$AP2482)&lt;&gt;"",$M2482&lt;&gt;INDEX(職員マスタ!$H$6:$H$405,$AP2482)),"時短終了日がマスタと相違／","")))&amp;IF(AND($B2482&lt;&gt;"",$E2482=""),"報酬額が未入力／","")&amp;IF(N($U2482)&gt;0,"申請書に入力エラーが残っています／","")&amp;IF(AND($B2482&lt;&gt;"",$AQ2482&lt;&gt;""),IF(COUNTIFS($B$6:$B$3005,$B2482,$C$6:$C$3005,$C2482,$D$6:$D$3005,$D2482)&gt;1,"同じ月の請求が重複しています／",""),"")&amp;IF(AND(N($E2482)&gt;0,$AB2482&lt;&gt;"",$AB2482&lt;&gt;"×",$AE2482=0,$AD2482=""),"計算額が下限以下のため不支給／",""))</f>
        <v/>
      </c>
      <c r="AN2482" s="12" t="n"/>
      <c r="AO2482" s="14">
        <f>IF($AF2482="保留中",COUNTIF($AF$6:$AF2482,"保留中"),"")</f>
        <v/>
      </c>
      <c r="AP2482" s="14">
        <f>IF($AQ2482="","",IF(SUMPRODUCT(MAX((職員マスタ!$A$6:$A$405=$B2482)*(((職員マスタ!$G$6:$G$405="")+(職員マスタ!$G$6:$G$405&lt;=EOMONTH($AQ2482,0)))&gt;0)*(((職員マスタ!$H$6:$H$405="")+(職員マスタ!$H$6:$H$405&gt;=$AQ2482))&gt;0)*(ROW(職員マスタ!$A$6:$A$405)-5)))&gt;0,SUMPRODUCT(MAX((職員マスタ!$A$6:$A$405=$B2482)*(((職員マスタ!$G$6:$G$405="")+(職員マスタ!$G$6:$G$405&lt;=EOMONTH($AQ2482,0)))&gt;0)*(((職員マスタ!$H$6:$H$405="")+(職員マスタ!$H$6:$H$405&gt;=$AQ2482))&gt;0)*(ROW(職員マスタ!$A$6:$A$405)-5))),IFERROR(MATCH($B2482,職員マスタ!$A$6:$A$405,0),"")))</f>
        <v/>
      </c>
      <c r="AQ2482" s="16">
        <f>IF(OR($B2482="",$C2482="",$D2482=""),"",DATE($C2482+2018,$D2482,1))</f>
        <v/>
      </c>
    </row>
    <row r="2483">
      <c r="A2483" s="11" t="n"/>
      <c r="B2483" s="12" t="n"/>
      <c r="C2483" s="12" t="n"/>
      <c r="D2483" s="12" t="n"/>
      <c r="E2483" s="13" t="n"/>
      <c r="F2483" s="12" t="n"/>
      <c r="G2483" s="13" t="n"/>
      <c r="H2483" s="12" t="n"/>
      <c r="I2483" s="12" t="n"/>
      <c r="J2483" s="12" t="n"/>
      <c r="K2483" s="12" t="n"/>
      <c r="L2483" s="11" t="n"/>
      <c r="M2483" s="11" t="n"/>
      <c r="N2483" s="11" t="n"/>
      <c r="O2483" s="11" t="n"/>
      <c r="P2483" s="12" t="n"/>
      <c r="Q2483" s="11" t="n"/>
      <c r="R2483" s="12" t="n"/>
      <c r="S2483" s="11" t="n"/>
      <c r="T2483" s="12" t="n"/>
      <c r="U2483" s="12" t="n"/>
      <c r="V2483" s="12" t="n"/>
      <c r="W2483" s="13" t="n"/>
      <c r="X2483" s="14">
        <f>IF($AP2483="",IF($B2483="","",$H2483),IF(INDEX(職員マスタ!$B$6:$B$405,$AP2483)="",$H2483,INDEX(職員マスタ!$B$6:$B$405,$AP2483)))</f>
        <v/>
      </c>
      <c r="Y2483" s="14">
        <f>IF($AP2483="",IF($B2483="","",$R2483),IF(INDEX(職員マスタ!$C$6:$C$405,$AP2483)="",$R2483,INDEX(職員マスタ!$C$6:$C$405,$AP2483)))</f>
        <v/>
      </c>
      <c r="Z2483" s="14">
        <f>IF($AQ2483="","","R"&amp;$C2483&amp;"."&amp;$D2483)</f>
        <v/>
      </c>
      <c r="AA2483" s="15">
        <f>IF(IF($AP2483="",FALSE,INDEX(職員マスタ!$K$6:$K$405,$AP2483)&lt;&gt;""),INDEX(職員マスタ!$K$6:$K$405,$AP2483),IF(N($W2483)&gt;0,$W2483,""))</f>
        <v/>
      </c>
      <c r="AB2483" s="14">
        <f>IF(OR($E2483="",$AA2483=""),"",IF($E2483&gt;=$AA2483,"×",IF($E2483&gt;=$AA2483*設定!$C$5,"△","○")))</f>
        <v/>
      </c>
      <c r="AC2483" s="15">
        <f>IF($AB2483="","",IF($AB2483="×",0,IF($AB2483="○",ROUNDDOWN($E2483*設定!$C$4,0),ROUNDDOWN($E2483*ROUND((9*$AA2483-9*$E2483)/(10*$E2483),4),0))))</f>
        <v/>
      </c>
      <c r="AD2483" s="13" t="n"/>
      <c r="AE2483" s="15">
        <f>IF($B2483="","",IF($AD2483&lt;&gt;"",$AD2483,IF($AC2483="","",IF($AC2483&lt;=設定!$C$3,0,$AC2483))))</f>
        <v/>
      </c>
      <c r="AF2483" s="14">
        <f>IF($B2483="","",IF(AND($AG2483&lt;&gt;"",$AI2483="",$AL2483=""),"保留中",IF($AL2483&lt;&gt;"",IF(N($AE2483)&gt;0,"支給済","不支給"),IF($AE2483="","要確認",IF($AE2483=0,"不支給","未処理")))))</f>
        <v/>
      </c>
      <c r="AG2483" s="12" t="n"/>
      <c r="AH2483" s="11" t="n"/>
      <c r="AI2483" s="11" t="n"/>
      <c r="AJ2483" s="11" t="n"/>
      <c r="AK2483" s="14">
        <f>IF(AND($AF2483="保留中",$AH2483&lt;&gt;""),TODAY()-$AH2483,"")</f>
        <v/>
      </c>
      <c r="AL2483" s="12" t="n"/>
      <c r="AM2483" s="14">
        <f>IF($B2483="","",IF($AQ2483="","対象年月が未入力／","")&amp;IF($B2483="","",IF($AP2483="","職員マスタに未登録の職員番号／",IF($AA2483="","標準報酬月額が未登録／","")&amp;IF(AND($AQ2483&lt;&gt;"",OR(AND(INDEX(職員マスタ!$G$6:$G$405,$AP2483)&lt;&gt;"",INDEX(職員マスタ!$G$6:$G$405,$AP2483)&gt;EOMONTH($AQ2483,0)),AND(INDEX(職員マスタ!$H$6:$H$405,$AP2483)&lt;&gt;"",INDEX(職員マスタ!$H$6:$H$405,$AP2483)&lt;$AQ2483))),"対象月が時短期間外／","")&amp;IF(AND(INDEX(職員マスタ!$K$6:$K$405,$AP2483)&lt;&gt;"",N($W2483)&gt;0,INDEX(職員マスタ!$K$6:$K$405,$AP2483)&lt;&gt;$W2483),"標準報酬月額が申請書と相違（台帳"&amp;TEXT(INDEX(職員マスタ!$K$6:$K$405,$AP2483),"#,##0")&amp;"円／申請書"&amp;TEXT($W2483,"#,##0")&amp;"円）／","")&amp;IF(AND(INDEX(職員マスタ!$F$6:$F$405,$AP2483)&lt;&gt;"",$AQ2483&lt;&gt;"",INDEX(職員マスタ!$F$6:$F$405,$AP2483)&lt;$AQ2483),"対象月に子が2歳到達済／","")&amp;IF(AND($H2483&lt;&gt;"",INDEX(職員マスタ!$B$6:$B$405,$AP2483)&lt;&gt;"",SUBSTITUTE(SUBSTITUTE($H2483," ","")," ","")&lt;&gt;SUBSTITUTE(SUBSTITUTE(INDEX(職員マスタ!$B$6:$B$405,$AP2483)," ","")," ","")),"氏名がマスタと相違／","")&amp;IF(AND($Q2483&lt;&gt;"",INDEX(職員マスタ!$E$6:$E$405,$AP2483)&lt;&gt;"",$Q2483&lt;&gt;INDEX(職員マスタ!$E$6:$E$405,$AP2483)),"子の生年月日がマスタと相違／","")&amp;IF(AND($L2483&lt;&gt;"",INDEX(職員マスタ!$G$6:$G$405,$AP2483)&lt;&gt;"",$L2483&lt;&gt;INDEX(職員マスタ!$G$6:$G$405,$AP2483)),"時短開始日がマスタと相違／","")&amp;IF(AND($M2483&lt;&gt;"",INDEX(職員マスタ!$H$6:$H$405,$AP2483)&lt;&gt;"",$M2483&lt;&gt;INDEX(職員マスタ!$H$6:$H$405,$AP2483)),"時短終了日がマスタと相違／","")))&amp;IF(AND($B2483&lt;&gt;"",$E2483=""),"報酬額が未入力／","")&amp;IF(N($U2483)&gt;0,"申請書に入力エラーが残っています／","")&amp;IF(AND($B2483&lt;&gt;"",$AQ2483&lt;&gt;""),IF(COUNTIFS($B$6:$B$3005,$B2483,$C$6:$C$3005,$C2483,$D$6:$D$3005,$D2483)&gt;1,"同じ月の請求が重複しています／",""),"")&amp;IF(AND(N($E2483)&gt;0,$AB2483&lt;&gt;"",$AB2483&lt;&gt;"×",$AE2483=0,$AD2483=""),"計算額が下限以下のため不支給／",""))</f>
        <v/>
      </c>
      <c r="AN2483" s="12" t="n"/>
      <c r="AO2483" s="14">
        <f>IF($AF2483="保留中",COUNTIF($AF$6:$AF2483,"保留中"),"")</f>
        <v/>
      </c>
      <c r="AP2483" s="14">
        <f>IF($AQ2483="","",IF(SUMPRODUCT(MAX((職員マスタ!$A$6:$A$405=$B2483)*(((職員マスタ!$G$6:$G$405="")+(職員マスタ!$G$6:$G$405&lt;=EOMONTH($AQ2483,0)))&gt;0)*(((職員マスタ!$H$6:$H$405="")+(職員マスタ!$H$6:$H$405&gt;=$AQ2483))&gt;0)*(ROW(職員マスタ!$A$6:$A$405)-5)))&gt;0,SUMPRODUCT(MAX((職員マスタ!$A$6:$A$405=$B2483)*(((職員マスタ!$G$6:$G$405="")+(職員マスタ!$G$6:$G$405&lt;=EOMONTH($AQ2483,0)))&gt;0)*(((職員マスタ!$H$6:$H$405="")+(職員マスタ!$H$6:$H$405&gt;=$AQ2483))&gt;0)*(ROW(職員マスタ!$A$6:$A$405)-5))),IFERROR(MATCH($B2483,職員マスタ!$A$6:$A$405,0),"")))</f>
        <v/>
      </c>
      <c r="AQ2483" s="16">
        <f>IF(OR($B2483="",$C2483="",$D2483=""),"",DATE($C2483+2018,$D2483,1))</f>
        <v/>
      </c>
    </row>
    <row r="2484">
      <c r="A2484" s="11" t="n"/>
      <c r="B2484" s="12" t="n"/>
      <c r="C2484" s="12" t="n"/>
      <c r="D2484" s="12" t="n"/>
      <c r="E2484" s="13" t="n"/>
      <c r="F2484" s="12" t="n"/>
      <c r="G2484" s="13" t="n"/>
      <c r="H2484" s="12" t="n"/>
      <c r="I2484" s="12" t="n"/>
      <c r="J2484" s="12" t="n"/>
      <c r="K2484" s="12" t="n"/>
      <c r="L2484" s="11" t="n"/>
      <c r="M2484" s="11" t="n"/>
      <c r="N2484" s="11" t="n"/>
      <c r="O2484" s="11" t="n"/>
      <c r="P2484" s="12" t="n"/>
      <c r="Q2484" s="11" t="n"/>
      <c r="R2484" s="12" t="n"/>
      <c r="S2484" s="11" t="n"/>
      <c r="T2484" s="12" t="n"/>
      <c r="U2484" s="12" t="n"/>
      <c r="V2484" s="12" t="n"/>
      <c r="W2484" s="13" t="n"/>
      <c r="X2484" s="14">
        <f>IF($AP2484="",IF($B2484="","",$H2484),IF(INDEX(職員マスタ!$B$6:$B$405,$AP2484)="",$H2484,INDEX(職員マスタ!$B$6:$B$405,$AP2484)))</f>
        <v/>
      </c>
      <c r="Y2484" s="14">
        <f>IF($AP2484="",IF($B2484="","",$R2484),IF(INDEX(職員マスタ!$C$6:$C$405,$AP2484)="",$R2484,INDEX(職員マスタ!$C$6:$C$405,$AP2484)))</f>
        <v/>
      </c>
      <c r="Z2484" s="14">
        <f>IF($AQ2484="","","R"&amp;$C2484&amp;"."&amp;$D2484)</f>
        <v/>
      </c>
      <c r="AA2484" s="15">
        <f>IF(IF($AP2484="",FALSE,INDEX(職員マスタ!$K$6:$K$405,$AP2484)&lt;&gt;""),INDEX(職員マスタ!$K$6:$K$405,$AP2484),IF(N($W2484)&gt;0,$W2484,""))</f>
        <v/>
      </c>
      <c r="AB2484" s="14">
        <f>IF(OR($E2484="",$AA2484=""),"",IF($E2484&gt;=$AA2484,"×",IF($E2484&gt;=$AA2484*設定!$C$5,"△","○")))</f>
        <v/>
      </c>
      <c r="AC2484" s="15">
        <f>IF($AB2484="","",IF($AB2484="×",0,IF($AB2484="○",ROUNDDOWN($E2484*設定!$C$4,0),ROUNDDOWN($E2484*ROUND((9*$AA2484-9*$E2484)/(10*$E2484),4),0))))</f>
        <v/>
      </c>
      <c r="AD2484" s="13" t="n"/>
      <c r="AE2484" s="15">
        <f>IF($B2484="","",IF($AD2484&lt;&gt;"",$AD2484,IF($AC2484="","",IF($AC2484&lt;=設定!$C$3,0,$AC2484))))</f>
        <v/>
      </c>
      <c r="AF2484" s="14">
        <f>IF($B2484="","",IF(AND($AG2484&lt;&gt;"",$AI2484="",$AL2484=""),"保留中",IF($AL2484&lt;&gt;"",IF(N($AE2484)&gt;0,"支給済","不支給"),IF($AE2484="","要確認",IF($AE2484=0,"不支給","未処理")))))</f>
        <v/>
      </c>
      <c r="AG2484" s="12" t="n"/>
      <c r="AH2484" s="11" t="n"/>
      <c r="AI2484" s="11" t="n"/>
      <c r="AJ2484" s="11" t="n"/>
      <c r="AK2484" s="14">
        <f>IF(AND($AF2484="保留中",$AH2484&lt;&gt;""),TODAY()-$AH2484,"")</f>
        <v/>
      </c>
      <c r="AL2484" s="12" t="n"/>
      <c r="AM2484" s="14">
        <f>IF($B2484="","",IF($AQ2484="","対象年月が未入力／","")&amp;IF($B2484="","",IF($AP2484="","職員マスタに未登録の職員番号／",IF($AA2484="","標準報酬月額が未登録／","")&amp;IF(AND($AQ2484&lt;&gt;"",OR(AND(INDEX(職員マスタ!$G$6:$G$405,$AP2484)&lt;&gt;"",INDEX(職員マスタ!$G$6:$G$405,$AP2484)&gt;EOMONTH($AQ2484,0)),AND(INDEX(職員マスタ!$H$6:$H$405,$AP2484)&lt;&gt;"",INDEX(職員マスタ!$H$6:$H$405,$AP2484)&lt;$AQ2484))),"対象月が時短期間外／","")&amp;IF(AND(INDEX(職員マスタ!$K$6:$K$405,$AP2484)&lt;&gt;"",N($W2484)&gt;0,INDEX(職員マスタ!$K$6:$K$405,$AP2484)&lt;&gt;$W2484),"標準報酬月額が申請書と相違（台帳"&amp;TEXT(INDEX(職員マスタ!$K$6:$K$405,$AP2484),"#,##0")&amp;"円／申請書"&amp;TEXT($W2484,"#,##0")&amp;"円）／","")&amp;IF(AND(INDEX(職員マスタ!$F$6:$F$405,$AP2484)&lt;&gt;"",$AQ2484&lt;&gt;"",INDEX(職員マスタ!$F$6:$F$405,$AP2484)&lt;$AQ2484),"対象月に子が2歳到達済／","")&amp;IF(AND($H2484&lt;&gt;"",INDEX(職員マスタ!$B$6:$B$405,$AP2484)&lt;&gt;"",SUBSTITUTE(SUBSTITUTE($H2484," ","")," ","")&lt;&gt;SUBSTITUTE(SUBSTITUTE(INDEX(職員マスタ!$B$6:$B$405,$AP2484)," ","")," ","")),"氏名がマスタと相違／","")&amp;IF(AND($Q2484&lt;&gt;"",INDEX(職員マスタ!$E$6:$E$405,$AP2484)&lt;&gt;"",$Q2484&lt;&gt;INDEX(職員マスタ!$E$6:$E$405,$AP2484)),"子の生年月日がマスタと相違／","")&amp;IF(AND($L2484&lt;&gt;"",INDEX(職員マスタ!$G$6:$G$405,$AP2484)&lt;&gt;"",$L2484&lt;&gt;INDEX(職員マスタ!$G$6:$G$405,$AP2484)),"時短開始日がマスタと相違／","")&amp;IF(AND($M2484&lt;&gt;"",INDEX(職員マスタ!$H$6:$H$405,$AP2484)&lt;&gt;"",$M2484&lt;&gt;INDEX(職員マスタ!$H$6:$H$405,$AP2484)),"時短終了日がマスタと相違／","")))&amp;IF(AND($B2484&lt;&gt;"",$E2484=""),"報酬額が未入力／","")&amp;IF(N($U2484)&gt;0,"申請書に入力エラーが残っています／","")&amp;IF(AND($B2484&lt;&gt;"",$AQ2484&lt;&gt;""),IF(COUNTIFS($B$6:$B$3005,$B2484,$C$6:$C$3005,$C2484,$D$6:$D$3005,$D2484)&gt;1,"同じ月の請求が重複しています／",""),"")&amp;IF(AND(N($E2484)&gt;0,$AB2484&lt;&gt;"",$AB2484&lt;&gt;"×",$AE2484=0,$AD2484=""),"計算額が下限以下のため不支給／",""))</f>
        <v/>
      </c>
      <c r="AN2484" s="12" t="n"/>
      <c r="AO2484" s="14">
        <f>IF($AF2484="保留中",COUNTIF($AF$6:$AF2484,"保留中"),"")</f>
        <v/>
      </c>
      <c r="AP2484" s="14">
        <f>IF($AQ2484="","",IF(SUMPRODUCT(MAX((職員マスタ!$A$6:$A$405=$B2484)*(((職員マスタ!$G$6:$G$405="")+(職員マスタ!$G$6:$G$405&lt;=EOMONTH($AQ2484,0)))&gt;0)*(((職員マスタ!$H$6:$H$405="")+(職員マスタ!$H$6:$H$405&gt;=$AQ2484))&gt;0)*(ROW(職員マスタ!$A$6:$A$405)-5)))&gt;0,SUMPRODUCT(MAX((職員マスタ!$A$6:$A$405=$B2484)*(((職員マスタ!$G$6:$G$405="")+(職員マスタ!$G$6:$G$405&lt;=EOMONTH($AQ2484,0)))&gt;0)*(((職員マスタ!$H$6:$H$405="")+(職員マスタ!$H$6:$H$405&gt;=$AQ2484))&gt;0)*(ROW(職員マスタ!$A$6:$A$405)-5))),IFERROR(MATCH($B2484,職員マスタ!$A$6:$A$405,0),"")))</f>
        <v/>
      </c>
      <c r="AQ2484" s="16">
        <f>IF(OR($B2484="",$C2484="",$D2484=""),"",DATE($C2484+2018,$D2484,1))</f>
        <v/>
      </c>
    </row>
    <row r="2485">
      <c r="A2485" s="11" t="n"/>
      <c r="B2485" s="12" t="n"/>
      <c r="C2485" s="12" t="n"/>
      <c r="D2485" s="12" t="n"/>
      <c r="E2485" s="13" t="n"/>
      <c r="F2485" s="12" t="n"/>
      <c r="G2485" s="13" t="n"/>
      <c r="H2485" s="12" t="n"/>
      <c r="I2485" s="12" t="n"/>
      <c r="J2485" s="12" t="n"/>
      <c r="K2485" s="12" t="n"/>
      <c r="L2485" s="11" t="n"/>
      <c r="M2485" s="11" t="n"/>
      <c r="N2485" s="11" t="n"/>
      <c r="O2485" s="11" t="n"/>
      <c r="P2485" s="12" t="n"/>
      <c r="Q2485" s="11" t="n"/>
      <c r="R2485" s="12" t="n"/>
      <c r="S2485" s="11" t="n"/>
      <c r="T2485" s="12" t="n"/>
      <c r="U2485" s="12" t="n"/>
      <c r="V2485" s="12" t="n"/>
      <c r="W2485" s="13" t="n"/>
      <c r="X2485" s="14">
        <f>IF($AP2485="",IF($B2485="","",$H2485),IF(INDEX(職員マスタ!$B$6:$B$405,$AP2485)="",$H2485,INDEX(職員マスタ!$B$6:$B$405,$AP2485)))</f>
        <v/>
      </c>
      <c r="Y2485" s="14">
        <f>IF($AP2485="",IF($B2485="","",$R2485),IF(INDEX(職員マスタ!$C$6:$C$405,$AP2485)="",$R2485,INDEX(職員マスタ!$C$6:$C$405,$AP2485)))</f>
        <v/>
      </c>
      <c r="Z2485" s="14">
        <f>IF($AQ2485="","","R"&amp;$C2485&amp;"."&amp;$D2485)</f>
        <v/>
      </c>
      <c r="AA2485" s="15">
        <f>IF(IF($AP2485="",FALSE,INDEX(職員マスタ!$K$6:$K$405,$AP2485)&lt;&gt;""),INDEX(職員マスタ!$K$6:$K$405,$AP2485),IF(N($W2485)&gt;0,$W2485,""))</f>
        <v/>
      </c>
      <c r="AB2485" s="14">
        <f>IF(OR($E2485="",$AA2485=""),"",IF($E2485&gt;=$AA2485,"×",IF($E2485&gt;=$AA2485*設定!$C$5,"△","○")))</f>
        <v/>
      </c>
      <c r="AC2485" s="15">
        <f>IF($AB2485="","",IF($AB2485="×",0,IF($AB2485="○",ROUNDDOWN($E2485*設定!$C$4,0),ROUNDDOWN($E2485*ROUND((9*$AA2485-9*$E2485)/(10*$E2485),4),0))))</f>
        <v/>
      </c>
      <c r="AD2485" s="13" t="n"/>
      <c r="AE2485" s="15">
        <f>IF($B2485="","",IF($AD2485&lt;&gt;"",$AD2485,IF($AC2485="","",IF($AC2485&lt;=設定!$C$3,0,$AC2485))))</f>
        <v/>
      </c>
      <c r="AF2485" s="14">
        <f>IF($B2485="","",IF(AND($AG2485&lt;&gt;"",$AI2485="",$AL2485=""),"保留中",IF($AL2485&lt;&gt;"",IF(N($AE2485)&gt;0,"支給済","不支給"),IF($AE2485="","要確認",IF($AE2485=0,"不支給","未処理")))))</f>
        <v/>
      </c>
      <c r="AG2485" s="12" t="n"/>
      <c r="AH2485" s="11" t="n"/>
      <c r="AI2485" s="11" t="n"/>
      <c r="AJ2485" s="11" t="n"/>
      <c r="AK2485" s="14">
        <f>IF(AND($AF2485="保留中",$AH2485&lt;&gt;""),TODAY()-$AH2485,"")</f>
        <v/>
      </c>
      <c r="AL2485" s="12" t="n"/>
      <c r="AM2485" s="14">
        <f>IF($B2485="","",IF($AQ2485="","対象年月が未入力／","")&amp;IF($B2485="","",IF($AP2485="","職員マスタに未登録の職員番号／",IF($AA2485="","標準報酬月額が未登録／","")&amp;IF(AND($AQ2485&lt;&gt;"",OR(AND(INDEX(職員マスタ!$G$6:$G$405,$AP2485)&lt;&gt;"",INDEX(職員マスタ!$G$6:$G$405,$AP2485)&gt;EOMONTH($AQ2485,0)),AND(INDEX(職員マスタ!$H$6:$H$405,$AP2485)&lt;&gt;"",INDEX(職員マスタ!$H$6:$H$405,$AP2485)&lt;$AQ2485))),"対象月が時短期間外／","")&amp;IF(AND(INDEX(職員マスタ!$K$6:$K$405,$AP2485)&lt;&gt;"",N($W2485)&gt;0,INDEX(職員マスタ!$K$6:$K$405,$AP2485)&lt;&gt;$W2485),"標準報酬月額が申請書と相違（台帳"&amp;TEXT(INDEX(職員マスタ!$K$6:$K$405,$AP2485),"#,##0")&amp;"円／申請書"&amp;TEXT($W2485,"#,##0")&amp;"円）／","")&amp;IF(AND(INDEX(職員マスタ!$F$6:$F$405,$AP2485)&lt;&gt;"",$AQ2485&lt;&gt;"",INDEX(職員マスタ!$F$6:$F$405,$AP2485)&lt;$AQ2485),"対象月に子が2歳到達済／","")&amp;IF(AND($H2485&lt;&gt;"",INDEX(職員マスタ!$B$6:$B$405,$AP2485)&lt;&gt;"",SUBSTITUTE(SUBSTITUTE($H2485," ","")," ","")&lt;&gt;SUBSTITUTE(SUBSTITUTE(INDEX(職員マスタ!$B$6:$B$405,$AP2485)," ","")," ","")),"氏名がマスタと相違／","")&amp;IF(AND($Q2485&lt;&gt;"",INDEX(職員マスタ!$E$6:$E$405,$AP2485)&lt;&gt;"",$Q2485&lt;&gt;INDEX(職員マスタ!$E$6:$E$405,$AP2485)),"子の生年月日がマスタと相違／","")&amp;IF(AND($L2485&lt;&gt;"",INDEX(職員マスタ!$G$6:$G$405,$AP2485)&lt;&gt;"",$L2485&lt;&gt;INDEX(職員マスタ!$G$6:$G$405,$AP2485)),"時短開始日がマスタと相違／","")&amp;IF(AND($M2485&lt;&gt;"",INDEX(職員マスタ!$H$6:$H$405,$AP2485)&lt;&gt;"",$M2485&lt;&gt;INDEX(職員マスタ!$H$6:$H$405,$AP2485)),"時短終了日がマスタと相違／","")))&amp;IF(AND($B2485&lt;&gt;"",$E2485=""),"報酬額が未入力／","")&amp;IF(N($U2485)&gt;0,"申請書に入力エラーが残っています／","")&amp;IF(AND($B2485&lt;&gt;"",$AQ2485&lt;&gt;""),IF(COUNTIFS($B$6:$B$3005,$B2485,$C$6:$C$3005,$C2485,$D$6:$D$3005,$D2485)&gt;1,"同じ月の請求が重複しています／",""),"")&amp;IF(AND(N($E2485)&gt;0,$AB2485&lt;&gt;"",$AB2485&lt;&gt;"×",$AE2485=0,$AD2485=""),"計算額が下限以下のため不支給／",""))</f>
        <v/>
      </c>
      <c r="AN2485" s="12" t="n"/>
      <c r="AO2485" s="14">
        <f>IF($AF2485="保留中",COUNTIF($AF$6:$AF2485,"保留中"),"")</f>
        <v/>
      </c>
      <c r="AP2485" s="14">
        <f>IF($AQ2485="","",IF(SUMPRODUCT(MAX((職員マスタ!$A$6:$A$405=$B2485)*(((職員マスタ!$G$6:$G$405="")+(職員マスタ!$G$6:$G$405&lt;=EOMONTH($AQ2485,0)))&gt;0)*(((職員マスタ!$H$6:$H$405="")+(職員マスタ!$H$6:$H$405&gt;=$AQ2485))&gt;0)*(ROW(職員マスタ!$A$6:$A$405)-5)))&gt;0,SUMPRODUCT(MAX((職員マスタ!$A$6:$A$405=$B2485)*(((職員マスタ!$G$6:$G$405="")+(職員マスタ!$G$6:$G$405&lt;=EOMONTH($AQ2485,0)))&gt;0)*(((職員マスタ!$H$6:$H$405="")+(職員マスタ!$H$6:$H$405&gt;=$AQ2485))&gt;0)*(ROW(職員マスタ!$A$6:$A$405)-5))),IFERROR(MATCH($B2485,職員マスタ!$A$6:$A$405,0),"")))</f>
        <v/>
      </c>
      <c r="AQ2485" s="16">
        <f>IF(OR($B2485="",$C2485="",$D2485=""),"",DATE($C2485+2018,$D2485,1))</f>
        <v/>
      </c>
    </row>
    <row r="2486">
      <c r="A2486" s="11" t="n"/>
      <c r="B2486" s="12" t="n"/>
      <c r="C2486" s="12" t="n"/>
      <c r="D2486" s="12" t="n"/>
      <c r="E2486" s="13" t="n"/>
      <c r="F2486" s="12" t="n"/>
      <c r="G2486" s="13" t="n"/>
      <c r="H2486" s="12" t="n"/>
      <c r="I2486" s="12" t="n"/>
      <c r="J2486" s="12" t="n"/>
      <c r="K2486" s="12" t="n"/>
      <c r="L2486" s="11" t="n"/>
      <c r="M2486" s="11" t="n"/>
      <c r="N2486" s="11" t="n"/>
      <c r="O2486" s="11" t="n"/>
      <c r="P2486" s="12" t="n"/>
      <c r="Q2486" s="11" t="n"/>
      <c r="R2486" s="12" t="n"/>
      <c r="S2486" s="11" t="n"/>
      <c r="T2486" s="12" t="n"/>
      <c r="U2486" s="12" t="n"/>
      <c r="V2486" s="12" t="n"/>
      <c r="W2486" s="13" t="n"/>
      <c r="X2486" s="14">
        <f>IF($AP2486="",IF($B2486="","",$H2486),IF(INDEX(職員マスタ!$B$6:$B$405,$AP2486)="",$H2486,INDEX(職員マスタ!$B$6:$B$405,$AP2486)))</f>
        <v/>
      </c>
      <c r="Y2486" s="14">
        <f>IF($AP2486="",IF($B2486="","",$R2486),IF(INDEX(職員マスタ!$C$6:$C$405,$AP2486)="",$R2486,INDEX(職員マスタ!$C$6:$C$405,$AP2486)))</f>
        <v/>
      </c>
      <c r="Z2486" s="14">
        <f>IF($AQ2486="","","R"&amp;$C2486&amp;"."&amp;$D2486)</f>
        <v/>
      </c>
      <c r="AA2486" s="15">
        <f>IF(IF($AP2486="",FALSE,INDEX(職員マスタ!$K$6:$K$405,$AP2486)&lt;&gt;""),INDEX(職員マスタ!$K$6:$K$405,$AP2486),IF(N($W2486)&gt;0,$W2486,""))</f>
        <v/>
      </c>
      <c r="AB2486" s="14">
        <f>IF(OR($E2486="",$AA2486=""),"",IF($E2486&gt;=$AA2486,"×",IF($E2486&gt;=$AA2486*設定!$C$5,"△","○")))</f>
        <v/>
      </c>
      <c r="AC2486" s="15">
        <f>IF($AB2486="","",IF($AB2486="×",0,IF($AB2486="○",ROUNDDOWN($E2486*設定!$C$4,0),ROUNDDOWN($E2486*ROUND((9*$AA2486-9*$E2486)/(10*$E2486),4),0))))</f>
        <v/>
      </c>
      <c r="AD2486" s="13" t="n"/>
      <c r="AE2486" s="15">
        <f>IF($B2486="","",IF($AD2486&lt;&gt;"",$AD2486,IF($AC2486="","",IF($AC2486&lt;=設定!$C$3,0,$AC2486))))</f>
        <v/>
      </c>
      <c r="AF2486" s="14">
        <f>IF($B2486="","",IF(AND($AG2486&lt;&gt;"",$AI2486="",$AL2486=""),"保留中",IF($AL2486&lt;&gt;"",IF(N($AE2486)&gt;0,"支給済","不支給"),IF($AE2486="","要確認",IF($AE2486=0,"不支給","未処理")))))</f>
        <v/>
      </c>
      <c r="AG2486" s="12" t="n"/>
      <c r="AH2486" s="11" t="n"/>
      <c r="AI2486" s="11" t="n"/>
      <c r="AJ2486" s="11" t="n"/>
      <c r="AK2486" s="14">
        <f>IF(AND($AF2486="保留中",$AH2486&lt;&gt;""),TODAY()-$AH2486,"")</f>
        <v/>
      </c>
      <c r="AL2486" s="12" t="n"/>
      <c r="AM2486" s="14">
        <f>IF($B2486="","",IF($AQ2486="","対象年月が未入力／","")&amp;IF($B2486="","",IF($AP2486="","職員マスタに未登録の職員番号／",IF($AA2486="","標準報酬月額が未登録／","")&amp;IF(AND($AQ2486&lt;&gt;"",OR(AND(INDEX(職員マスタ!$G$6:$G$405,$AP2486)&lt;&gt;"",INDEX(職員マスタ!$G$6:$G$405,$AP2486)&gt;EOMONTH($AQ2486,0)),AND(INDEX(職員マスタ!$H$6:$H$405,$AP2486)&lt;&gt;"",INDEX(職員マスタ!$H$6:$H$405,$AP2486)&lt;$AQ2486))),"対象月が時短期間外／","")&amp;IF(AND(INDEX(職員マスタ!$K$6:$K$405,$AP2486)&lt;&gt;"",N($W2486)&gt;0,INDEX(職員マスタ!$K$6:$K$405,$AP2486)&lt;&gt;$W2486),"標準報酬月額が申請書と相違（台帳"&amp;TEXT(INDEX(職員マスタ!$K$6:$K$405,$AP2486),"#,##0")&amp;"円／申請書"&amp;TEXT($W2486,"#,##0")&amp;"円）／","")&amp;IF(AND(INDEX(職員マスタ!$F$6:$F$405,$AP2486)&lt;&gt;"",$AQ2486&lt;&gt;"",INDEX(職員マスタ!$F$6:$F$405,$AP2486)&lt;$AQ2486),"対象月に子が2歳到達済／","")&amp;IF(AND($H2486&lt;&gt;"",INDEX(職員マスタ!$B$6:$B$405,$AP2486)&lt;&gt;"",SUBSTITUTE(SUBSTITUTE($H2486," ","")," ","")&lt;&gt;SUBSTITUTE(SUBSTITUTE(INDEX(職員マスタ!$B$6:$B$405,$AP2486)," ","")," ","")),"氏名がマスタと相違／","")&amp;IF(AND($Q2486&lt;&gt;"",INDEX(職員マスタ!$E$6:$E$405,$AP2486)&lt;&gt;"",$Q2486&lt;&gt;INDEX(職員マスタ!$E$6:$E$405,$AP2486)),"子の生年月日がマスタと相違／","")&amp;IF(AND($L2486&lt;&gt;"",INDEX(職員マスタ!$G$6:$G$405,$AP2486)&lt;&gt;"",$L2486&lt;&gt;INDEX(職員マスタ!$G$6:$G$405,$AP2486)),"時短開始日がマスタと相違／","")&amp;IF(AND($M2486&lt;&gt;"",INDEX(職員マスタ!$H$6:$H$405,$AP2486)&lt;&gt;"",$M2486&lt;&gt;INDEX(職員マスタ!$H$6:$H$405,$AP2486)),"時短終了日がマスタと相違／","")))&amp;IF(AND($B2486&lt;&gt;"",$E2486=""),"報酬額が未入力／","")&amp;IF(N($U2486)&gt;0,"申請書に入力エラーが残っています／","")&amp;IF(AND($B2486&lt;&gt;"",$AQ2486&lt;&gt;""),IF(COUNTIFS($B$6:$B$3005,$B2486,$C$6:$C$3005,$C2486,$D$6:$D$3005,$D2486)&gt;1,"同じ月の請求が重複しています／",""),"")&amp;IF(AND(N($E2486)&gt;0,$AB2486&lt;&gt;"",$AB2486&lt;&gt;"×",$AE2486=0,$AD2486=""),"計算額が下限以下のため不支給／",""))</f>
        <v/>
      </c>
      <c r="AN2486" s="12" t="n"/>
      <c r="AO2486" s="14">
        <f>IF($AF2486="保留中",COUNTIF($AF$6:$AF2486,"保留中"),"")</f>
        <v/>
      </c>
      <c r="AP2486" s="14">
        <f>IF($AQ2486="","",IF(SUMPRODUCT(MAX((職員マスタ!$A$6:$A$405=$B2486)*(((職員マスタ!$G$6:$G$405="")+(職員マスタ!$G$6:$G$405&lt;=EOMONTH($AQ2486,0)))&gt;0)*(((職員マスタ!$H$6:$H$405="")+(職員マスタ!$H$6:$H$405&gt;=$AQ2486))&gt;0)*(ROW(職員マスタ!$A$6:$A$405)-5)))&gt;0,SUMPRODUCT(MAX((職員マスタ!$A$6:$A$405=$B2486)*(((職員マスタ!$G$6:$G$405="")+(職員マスタ!$G$6:$G$405&lt;=EOMONTH($AQ2486,0)))&gt;0)*(((職員マスタ!$H$6:$H$405="")+(職員マスタ!$H$6:$H$405&gt;=$AQ2486))&gt;0)*(ROW(職員マスタ!$A$6:$A$405)-5))),IFERROR(MATCH($B2486,職員マスタ!$A$6:$A$405,0),"")))</f>
        <v/>
      </c>
      <c r="AQ2486" s="16">
        <f>IF(OR($B2486="",$C2486="",$D2486=""),"",DATE($C2486+2018,$D2486,1))</f>
        <v/>
      </c>
    </row>
    <row r="2487">
      <c r="A2487" s="11" t="n"/>
      <c r="B2487" s="12" t="n"/>
      <c r="C2487" s="12" t="n"/>
      <c r="D2487" s="12" t="n"/>
      <c r="E2487" s="13" t="n"/>
      <c r="F2487" s="12" t="n"/>
      <c r="G2487" s="13" t="n"/>
      <c r="H2487" s="12" t="n"/>
      <c r="I2487" s="12" t="n"/>
      <c r="J2487" s="12" t="n"/>
      <c r="K2487" s="12" t="n"/>
      <c r="L2487" s="11" t="n"/>
      <c r="M2487" s="11" t="n"/>
      <c r="N2487" s="11" t="n"/>
      <c r="O2487" s="11" t="n"/>
      <c r="P2487" s="12" t="n"/>
      <c r="Q2487" s="11" t="n"/>
      <c r="R2487" s="12" t="n"/>
      <c r="S2487" s="11" t="n"/>
      <c r="T2487" s="12" t="n"/>
      <c r="U2487" s="12" t="n"/>
      <c r="V2487" s="12" t="n"/>
      <c r="W2487" s="13" t="n"/>
      <c r="X2487" s="14">
        <f>IF($AP2487="",IF($B2487="","",$H2487),IF(INDEX(職員マスタ!$B$6:$B$405,$AP2487)="",$H2487,INDEX(職員マスタ!$B$6:$B$405,$AP2487)))</f>
        <v/>
      </c>
      <c r="Y2487" s="14">
        <f>IF($AP2487="",IF($B2487="","",$R2487),IF(INDEX(職員マスタ!$C$6:$C$405,$AP2487)="",$R2487,INDEX(職員マスタ!$C$6:$C$405,$AP2487)))</f>
        <v/>
      </c>
      <c r="Z2487" s="14">
        <f>IF($AQ2487="","","R"&amp;$C2487&amp;"."&amp;$D2487)</f>
        <v/>
      </c>
      <c r="AA2487" s="15">
        <f>IF(IF($AP2487="",FALSE,INDEX(職員マスタ!$K$6:$K$405,$AP2487)&lt;&gt;""),INDEX(職員マスタ!$K$6:$K$405,$AP2487),IF(N($W2487)&gt;0,$W2487,""))</f>
        <v/>
      </c>
      <c r="AB2487" s="14">
        <f>IF(OR($E2487="",$AA2487=""),"",IF($E2487&gt;=$AA2487,"×",IF($E2487&gt;=$AA2487*設定!$C$5,"△","○")))</f>
        <v/>
      </c>
      <c r="AC2487" s="15">
        <f>IF($AB2487="","",IF($AB2487="×",0,IF($AB2487="○",ROUNDDOWN($E2487*設定!$C$4,0),ROUNDDOWN($E2487*ROUND((9*$AA2487-9*$E2487)/(10*$E2487),4),0))))</f>
        <v/>
      </c>
      <c r="AD2487" s="13" t="n"/>
      <c r="AE2487" s="15">
        <f>IF($B2487="","",IF($AD2487&lt;&gt;"",$AD2487,IF($AC2487="","",IF($AC2487&lt;=設定!$C$3,0,$AC2487))))</f>
        <v/>
      </c>
      <c r="AF2487" s="14">
        <f>IF($B2487="","",IF(AND($AG2487&lt;&gt;"",$AI2487="",$AL2487=""),"保留中",IF($AL2487&lt;&gt;"",IF(N($AE2487)&gt;0,"支給済","不支給"),IF($AE2487="","要確認",IF($AE2487=0,"不支給","未処理")))))</f>
        <v/>
      </c>
      <c r="AG2487" s="12" t="n"/>
      <c r="AH2487" s="11" t="n"/>
      <c r="AI2487" s="11" t="n"/>
      <c r="AJ2487" s="11" t="n"/>
      <c r="AK2487" s="14">
        <f>IF(AND($AF2487="保留中",$AH2487&lt;&gt;""),TODAY()-$AH2487,"")</f>
        <v/>
      </c>
      <c r="AL2487" s="12" t="n"/>
      <c r="AM2487" s="14">
        <f>IF($B2487="","",IF($AQ2487="","対象年月が未入力／","")&amp;IF($B2487="","",IF($AP2487="","職員マスタに未登録の職員番号／",IF($AA2487="","標準報酬月額が未登録／","")&amp;IF(AND($AQ2487&lt;&gt;"",OR(AND(INDEX(職員マスタ!$G$6:$G$405,$AP2487)&lt;&gt;"",INDEX(職員マスタ!$G$6:$G$405,$AP2487)&gt;EOMONTH($AQ2487,0)),AND(INDEX(職員マスタ!$H$6:$H$405,$AP2487)&lt;&gt;"",INDEX(職員マスタ!$H$6:$H$405,$AP2487)&lt;$AQ2487))),"対象月が時短期間外／","")&amp;IF(AND(INDEX(職員マスタ!$K$6:$K$405,$AP2487)&lt;&gt;"",N($W2487)&gt;0,INDEX(職員マスタ!$K$6:$K$405,$AP2487)&lt;&gt;$W2487),"標準報酬月額が申請書と相違（台帳"&amp;TEXT(INDEX(職員マスタ!$K$6:$K$405,$AP2487),"#,##0")&amp;"円／申請書"&amp;TEXT($W2487,"#,##0")&amp;"円）／","")&amp;IF(AND(INDEX(職員マスタ!$F$6:$F$405,$AP2487)&lt;&gt;"",$AQ2487&lt;&gt;"",INDEX(職員マスタ!$F$6:$F$405,$AP2487)&lt;$AQ2487),"対象月に子が2歳到達済／","")&amp;IF(AND($H2487&lt;&gt;"",INDEX(職員マスタ!$B$6:$B$405,$AP2487)&lt;&gt;"",SUBSTITUTE(SUBSTITUTE($H2487," ","")," ","")&lt;&gt;SUBSTITUTE(SUBSTITUTE(INDEX(職員マスタ!$B$6:$B$405,$AP2487)," ","")," ","")),"氏名がマスタと相違／","")&amp;IF(AND($Q2487&lt;&gt;"",INDEX(職員マスタ!$E$6:$E$405,$AP2487)&lt;&gt;"",$Q2487&lt;&gt;INDEX(職員マスタ!$E$6:$E$405,$AP2487)),"子の生年月日がマスタと相違／","")&amp;IF(AND($L2487&lt;&gt;"",INDEX(職員マスタ!$G$6:$G$405,$AP2487)&lt;&gt;"",$L2487&lt;&gt;INDEX(職員マスタ!$G$6:$G$405,$AP2487)),"時短開始日がマスタと相違／","")&amp;IF(AND($M2487&lt;&gt;"",INDEX(職員マスタ!$H$6:$H$405,$AP2487)&lt;&gt;"",$M2487&lt;&gt;INDEX(職員マスタ!$H$6:$H$405,$AP2487)),"時短終了日がマスタと相違／","")))&amp;IF(AND($B2487&lt;&gt;"",$E2487=""),"報酬額が未入力／","")&amp;IF(N($U2487)&gt;0,"申請書に入力エラーが残っています／","")&amp;IF(AND($B2487&lt;&gt;"",$AQ2487&lt;&gt;""),IF(COUNTIFS($B$6:$B$3005,$B2487,$C$6:$C$3005,$C2487,$D$6:$D$3005,$D2487)&gt;1,"同じ月の請求が重複しています／",""),"")&amp;IF(AND(N($E2487)&gt;0,$AB2487&lt;&gt;"",$AB2487&lt;&gt;"×",$AE2487=0,$AD2487=""),"計算額が下限以下のため不支給／",""))</f>
        <v/>
      </c>
      <c r="AN2487" s="12" t="n"/>
      <c r="AO2487" s="14">
        <f>IF($AF2487="保留中",COUNTIF($AF$6:$AF2487,"保留中"),"")</f>
        <v/>
      </c>
      <c r="AP2487" s="14">
        <f>IF($AQ2487="","",IF(SUMPRODUCT(MAX((職員マスタ!$A$6:$A$405=$B2487)*(((職員マスタ!$G$6:$G$405="")+(職員マスタ!$G$6:$G$405&lt;=EOMONTH($AQ2487,0)))&gt;0)*(((職員マスタ!$H$6:$H$405="")+(職員マスタ!$H$6:$H$405&gt;=$AQ2487))&gt;0)*(ROW(職員マスタ!$A$6:$A$405)-5)))&gt;0,SUMPRODUCT(MAX((職員マスタ!$A$6:$A$405=$B2487)*(((職員マスタ!$G$6:$G$405="")+(職員マスタ!$G$6:$G$405&lt;=EOMONTH($AQ2487,0)))&gt;0)*(((職員マスタ!$H$6:$H$405="")+(職員マスタ!$H$6:$H$405&gt;=$AQ2487))&gt;0)*(ROW(職員マスタ!$A$6:$A$405)-5))),IFERROR(MATCH($B2487,職員マスタ!$A$6:$A$405,0),"")))</f>
        <v/>
      </c>
      <c r="AQ2487" s="16">
        <f>IF(OR($B2487="",$C2487="",$D2487=""),"",DATE($C2487+2018,$D2487,1))</f>
        <v/>
      </c>
    </row>
    <row r="2488">
      <c r="A2488" s="11" t="n"/>
      <c r="B2488" s="12" t="n"/>
      <c r="C2488" s="12" t="n"/>
      <c r="D2488" s="12" t="n"/>
      <c r="E2488" s="13" t="n"/>
      <c r="F2488" s="12" t="n"/>
      <c r="G2488" s="13" t="n"/>
      <c r="H2488" s="12" t="n"/>
      <c r="I2488" s="12" t="n"/>
      <c r="J2488" s="12" t="n"/>
      <c r="K2488" s="12" t="n"/>
      <c r="L2488" s="11" t="n"/>
      <c r="M2488" s="11" t="n"/>
      <c r="N2488" s="11" t="n"/>
      <c r="O2488" s="11" t="n"/>
      <c r="P2488" s="12" t="n"/>
      <c r="Q2488" s="11" t="n"/>
      <c r="R2488" s="12" t="n"/>
      <c r="S2488" s="11" t="n"/>
      <c r="T2488" s="12" t="n"/>
      <c r="U2488" s="12" t="n"/>
      <c r="V2488" s="12" t="n"/>
      <c r="W2488" s="13" t="n"/>
      <c r="X2488" s="14">
        <f>IF($AP2488="",IF($B2488="","",$H2488),IF(INDEX(職員マスタ!$B$6:$B$405,$AP2488)="",$H2488,INDEX(職員マスタ!$B$6:$B$405,$AP2488)))</f>
        <v/>
      </c>
      <c r="Y2488" s="14">
        <f>IF($AP2488="",IF($B2488="","",$R2488),IF(INDEX(職員マスタ!$C$6:$C$405,$AP2488)="",$R2488,INDEX(職員マスタ!$C$6:$C$405,$AP2488)))</f>
        <v/>
      </c>
      <c r="Z2488" s="14">
        <f>IF($AQ2488="","","R"&amp;$C2488&amp;"."&amp;$D2488)</f>
        <v/>
      </c>
      <c r="AA2488" s="15">
        <f>IF(IF($AP2488="",FALSE,INDEX(職員マスタ!$K$6:$K$405,$AP2488)&lt;&gt;""),INDEX(職員マスタ!$K$6:$K$405,$AP2488),IF(N($W2488)&gt;0,$W2488,""))</f>
        <v/>
      </c>
      <c r="AB2488" s="14">
        <f>IF(OR($E2488="",$AA2488=""),"",IF($E2488&gt;=$AA2488,"×",IF($E2488&gt;=$AA2488*設定!$C$5,"△","○")))</f>
        <v/>
      </c>
      <c r="AC2488" s="15">
        <f>IF($AB2488="","",IF($AB2488="×",0,IF($AB2488="○",ROUNDDOWN($E2488*設定!$C$4,0),ROUNDDOWN($E2488*ROUND((9*$AA2488-9*$E2488)/(10*$E2488),4),0))))</f>
        <v/>
      </c>
      <c r="AD2488" s="13" t="n"/>
      <c r="AE2488" s="15">
        <f>IF($B2488="","",IF($AD2488&lt;&gt;"",$AD2488,IF($AC2488="","",IF($AC2488&lt;=設定!$C$3,0,$AC2488))))</f>
        <v/>
      </c>
      <c r="AF2488" s="14">
        <f>IF($B2488="","",IF(AND($AG2488&lt;&gt;"",$AI2488="",$AL2488=""),"保留中",IF($AL2488&lt;&gt;"",IF(N($AE2488)&gt;0,"支給済","不支給"),IF($AE2488="","要確認",IF($AE2488=0,"不支給","未処理")))))</f>
        <v/>
      </c>
      <c r="AG2488" s="12" t="n"/>
      <c r="AH2488" s="11" t="n"/>
      <c r="AI2488" s="11" t="n"/>
      <c r="AJ2488" s="11" t="n"/>
      <c r="AK2488" s="14">
        <f>IF(AND($AF2488="保留中",$AH2488&lt;&gt;""),TODAY()-$AH2488,"")</f>
        <v/>
      </c>
      <c r="AL2488" s="12" t="n"/>
      <c r="AM2488" s="14">
        <f>IF($B2488="","",IF($AQ2488="","対象年月が未入力／","")&amp;IF($B2488="","",IF($AP2488="","職員マスタに未登録の職員番号／",IF($AA2488="","標準報酬月額が未登録／","")&amp;IF(AND($AQ2488&lt;&gt;"",OR(AND(INDEX(職員マスタ!$G$6:$G$405,$AP2488)&lt;&gt;"",INDEX(職員マスタ!$G$6:$G$405,$AP2488)&gt;EOMONTH($AQ2488,0)),AND(INDEX(職員マスタ!$H$6:$H$405,$AP2488)&lt;&gt;"",INDEX(職員マスタ!$H$6:$H$405,$AP2488)&lt;$AQ2488))),"対象月が時短期間外／","")&amp;IF(AND(INDEX(職員マスタ!$K$6:$K$405,$AP2488)&lt;&gt;"",N($W2488)&gt;0,INDEX(職員マスタ!$K$6:$K$405,$AP2488)&lt;&gt;$W2488),"標準報酬月額が申請書と相違（台帳"&amp;TEXT(INDEX(職員マスタ!$K$6:$K$405,$AP2488),"#,##0")&amp;"円／申請書"&amp;TEXT($W2488,"#,##0")&amp;"円）／","")&amp;IF(AND(INDEX(職員マスタ!$F$6:$F$405,$AP2488)&lt;&gt;"",$AQ2488&lt;&gt;"",INDEX(職員マスタ!$F$6:$F$405,$AP2488)&lt;$AQ2488),"対象月に子が2歳到達済／","")&amp;IF(AND($H2488&lt;&gt;"",INDEX(職員マスタ!$B$6:$B$405,$AP2488)&lt;&gt;"",SUBSTITUTE(SUBSTITUTE($H2488," ","")," ","")&lt;&gt;SUBSTITUTE(SUBSTITUTE(INDEX(職員マスタ!$B$6:$B$405,$AP2488)," ","")," ","")),"氏名がマスタと相違／","")&amp;IF(AND($Q2488&lt;&gt;"",INDEX(職員マスタ!$E$6:$E$405,$AP2488)&lt;&gt;"",$Q2488&lt;&gt;INDEX(職員マスタ!$E$6:$E$405,$AP2488)),"子の生年月日がマスタと相違／","")&amp;IF(AND($L2488&lt;&gt;"",INDEX(職員マスタ!$G$6:$G$405,$AP2488)&lt;&gt;"",$L2488&lt;&gt;INDEX(職員マスタ!$G$6:$G$405,$AP2488)),"時短開始日がマスタと相違／","")&amp;IF(AND($M2488&lt;&gt;"",INDEX(職員マスタ!$H$6:$H$405,$AP2488)&lt;&gt;"",$M2488&lt;&gt;INDEX(職員マスタ!$H$6:$H$405,$AP2488)),"時短終了日がマスタと相違／","")))&amp;IF(AND($B2488&lt;&gt;"",$E2488=""),"報酬額が未入力／","")&amp;IF(N($U2488)&gt;0,"申請書に入力エラーが残っています／","")&amp;IF(AND($B2488&lt;&gt;"",$AQ2488&lt;&gt;""),IF(COUNTIFS($B$6:$B$3005,$B2488,$C$6:$C$3005,$C2488,$D$6:$D$3005,$D2488)&gt;1,"同じ月の請求が重複しています／",""),"")&amp;IF(AND(N($E2488)&gt;0,$AB2488&lt;&gt;"",$AB2488&lt;&gt;"×",$AE2488=0,$AD2488=""),"計算額が下限以下のため不支給／",""))</f>
        <v/>
      </c>
      <c r="AN2488" s="12" t="n"/>
      <c r="AO2488" s="14">
        <f>IF($AF2488="保留中",COUNTIF($AF$6:$AF2488,"保留中"),"")</f>
        <v/>
      </c>
      <c r="AP2488" s="14">
        <f>IF($AQ2488="","",IF(SUMPRODUCT(MAX((職員マスタ!$A$6:$A$405=$B2488)*(((職員マスタ!$G$6:$G$405="")+(職員マスタ!$G$6:$G$405&lt;=EOMONTH($AQ2488,0)))&gt;0)*(((職員マスタ!$H$6:$H$405="")+(職員マスタ!$H$6:$H$405&gt;=$AQ2488))&gt;0)*(ROW(職員マスタ!$A$6:$A$405)-5)))&gt;0,SUMPRODUCT(MAX((職員マスタ!$A$6:$A$405=$B2488)*(((職員マスタ!$G$6:$G$405="")+(職員マスタ!$G$6:$G$405&lt;=EOMONTH($AQ2488,0)))&gt;0)*(((職員マスタ!$H$6:$H$405="")+(職員マスタ!$H$6:$H$405&gt;=$AQ2488))&gt;0)*(ROW(職員マスタ!$A$6:$A$405)-5))),IFERROR(MATCH($B2488,職員マスタ!$A$6:$A$405,0),"")))</f>
        <v/>
      </c>
      <c r="AQ2488" s="16">
        <f>IF(OR($B2488="",$C2488="",$D2488=""),"",DATE($C2488+2018,$D2488,1))</f>
        <v/>
      </c>
    </row>
    <row r="2489">
      <c r="A2489" s="11" t="n"/>
      <c r="B2489" s="12" t="n"/>
      <c r="C2489" s="12" t="n"/>
      <c r="D2489" s="12" t="n"/>
      <c r="E2489" s="13" t="n"/>
      <c r="F2489" s="12" t="n"/>
      <c r="G2489" s="13" t="n"/>
      <c r="H2489" s="12" t="n"/>
      <c r="I2489" s="12" t="n"/>
      <c r="J2489" s="12" t="n"/>
      <c r="K2489" s="12" t="n"/>
      <c r="L2489" s="11" t="n"/>
      <c r="M2489" s="11" t="n"/>
      <c r="N2489" s="11" t="n"/>
      <c r="O2489" s="11" t="n"/>
      <c r="P2489" s="12" t="n"/>
      <c r="Q2489" s="11" t="n"/>
      <c r="R2489" s="12" t="n"/>
      <c r="S2489" s="11" t="n"/>
      <c r="T2489" s="12" t="n"/>
      <c r="U2489" s="12" t="n"/>
      <c r="V2489" s="12" t="n"/>
      <c r="W2489" s="13" t="n"/>
      <c r="X2489" s="14">
        <f>IF($AP2489="",IF($B2489="","",$H2489),IF(INDEX(職員マスタ!$B$6:$B$405,$AP2489)="",$H2489,INDEX(職員マスタ!$B$6:$B$405,$AP2489)))</f>
        <v/>
      </c>
      <c r="Y2489" s="14">
        <f>IF($AP2489="",IF($B2489="","",$R2489),IF(INDEX(職員マスタ!$C$6:$C$405,$AP2489)="",$R2489,INDEX(職員マスタ!$C$6:$C$405,$AP2489)))</f>
        <v/>
      </c>
      <c r="Z2489" s="14">
        <f>IF($AQ2489="","","R"&amp;$C2489&amp;"."&amp;$D2489)</f>
        <v/>
      </c>
      <c r="AA2489" s="15">
        <f>IF(IF($AP2489="",FALSE,INDEX(職員マスタ!$K$6:$K$405,$AP2489)&lt;&gt;""),INDEX(職員マスタ!$K$6:$K$405,$AP2489),IF(N($W2489)&gt;0,$W2489,""))</f>
        <v/>
      </c>
      <c r="AB2489" s="14">
        <f>IF(OR($E2489="",$AA2489=""),"",IF($E2489&gt;=$AA2489,"×",IF($E2489&gt;=$AA2489*設定!$C$5,"△","○")))</f>
        <v/>
      </c>
      <c r="AC2489" s="15">
        <f>IF($AB2489="","",IF($AB2489="×",0,IF($AB2489="○",ROUNDDOWN($E2489*設定!$C$4,0),ROUNDDOWN($E2489*ROUND((9*$AA2489-9*$E2489)/(10*$E2489),4),0))))</f>
        <v/>
      </c>
      <c r="AD2489" s="13" t="n"/>
      <c r="AE2489" s="15">
        <f>IF($B2489="","",IF($AD2489&lt;&gt;"",$AD2489,IF($AC2489="","",IF($AC2489&lt;=設定!$C$3,0,$AC2489))))</f>
        <v/>
      </c>
      <c r="AF2489" s="14">
        <f>IF($B2489="","",IF(AND($AG2489&lt;&gt;"",$AI2489="",$AL2489=""),"保留中",IF($AL2489&lt;&gt;"",IF(N($AE2489)&gt;0,"支給済","不支給"),IF($AE2489="","要確認",IF($AE2489=0,"不支給","未処理")))))</f>
        <v/>
      </c>
      <c r="AG2489" s="12" t="n"/>
      <c r="AH2489" s="11" t="n"/>
      <c r="AI2489" s="11" t="n"/>
      <c r="AJ2489" s="11" t="n"/>
      <c r="AK2489" s="14">
        <f>IF(AND($AF2489="保留中",$AH2489&lt;&gt;""),TODAY()-$AH2489,"")</f>
        <v/>
      </c>
      <c r="AL2489" s="12" t="n"/>
      <c r="AM2489" s="14">
        <f>IF($B2489="","",IF($AQ2489="","対象年月が未入力／","")&amp;IF($B2489="","",IF($AP2489="","職員マスタに未登録の職員番号／",IF($AA2489="","標準報酬月額が未登録／","")&amp;IF(AND($AQ2489&lt;&gt;"",OR(AND(INDEX(職員マスタ!$G$6:$G$405,$AP2489)&lt;&gt;"",INDEX(職員マスタ!$G$6:$G$405,$AP2489)&gt;EOMONTH($AQ2489,0)),AND(INDEX(職員マスタ!$H$6:$H$405,$AP2489)&lt;&gt;"",INDEX(職員マスタ!$H$6:$H$405,$AP2489)&lt;$AQ2489))),"対象月が時短期間外／","")&amp;IF(AND(INDEX(職員マスタ!$K$6:$K$405,$AP2489)&lt;&gt;"",N($W2489)&gt;0,INDEX(職員マスタ!$K$6:$K$405,$AP2489)&lt;&gt;$W2489),"標準報酬月額が申請書と相違（台帳"&amp;TEXT(INDEX(職員マスタ!$K$6:$K$405,$AP2489),"#,##0")&amp;"円／申請書"&amp;TEXT($W2489,"#,##0")&amp;"円）／","")&amp;IF(AND(INDEX(職員マスタ!$F$6:$F$405,$AP2489)&lt;&gt;"",$AQ2489&lt;&gt;"",INDEX(職員マスタ!$F$6:$F$405,$AP2489)&lt;$AQ2489),"対象月に子が2歳到達済／","")&amp;IF(AND($H2489&lt;&gt;"",INDEX(職員マスタ!$B$6:$B$405,$AP2489)&lt;&gt;"",SUBSTITUTE(SUBSTITUTE($H2489," ","")," ","")&lt;&gt;SUBSTITUTE(SUBSTITUTE(INDEX(職員マスタ!$B$6:$B$405,$AP2489)," ","")," ","")),"氏名がマスタと相違／","")&amp;IF(AND($Q2489&lt;&gt;"",INDEX(職員マスタ!$E$6:$E$405,$AP2489)&lt;&gt;"",$Q2489&lt;&gt;INDEX(職員マスタ!$E$6:$E$405,$AP2489)),"子の生年月日がマスタと相違／","")&amp;IF(AND($L2489&lt;&gt;"",INDEX(職員マスタ!$G$6:$G$405,$AP2489)&lt;&gt;"",$L2489&lt;&gt;INDEX(職員マスタ!$G$6:$G$405,$AP2489)),"時短開始日がマスタと相違／","")&amp;IF(AND($M2489&lt;&gt;"",INDEX(職員マスタ!$H$6:$H$405,$AP2489)&lt;&gt;"",$M2489&lt;&gt;INDEX(職員マスタ!$H$6:$H$405,$AP2489)),"時短終了日がマスタと相違／","")))&amp;IF(AND($B2489&lt;&gt;"",$E2489=""),"報酬額が未入力／","")&amp;IF(N($U2489)&gt;0,"申請書に入力エラーが残っています／","")&amp;IF(AND($B2489&lt;&gt;"",$AQ2489&lt;&gt;""),IF(COUNTIFS($B$6:$B$3005,$B2489,$C$6:$C$3005,$C2489,$D$6:$D$3005,$D2489)&gt;1,"同じ月の請求が重複しています／",""),"")&amp;IF(AND(N($E2489)&gt;0,$AB2489&lt;&gt;"",$AB2489&lt;&gt;"×",$AE2489=0,$AD2489=""),"計算額が下限以下のため不支給／",""))</f>
        <v/>
      </c>
      <c r="AN2489" s="12" t="n"/>
      <c r="AO2489" s="14">
        <f>IF($AF2489="保留中",COUNTIF($AF$6:$AF2489,"保留中"),"")</f>
        <v/>
      </c>
      <c r="AP2489" s="14">
        <f>IF($AQ2489="","",IF(SUMPRODUCT(MAX((職員マスタ!$A$6:$A$405=$B2489)*(((職員マスタ!$G$6:$G$405="")+(職員マスタ!$G$6:$G$405&lt;=EOMONTH($AQ2489,0)))&gt;0)*(((職員マスタ!$H$6:$H$405="")+(職員マスタ!$H$6:$H$405&gt;=$AQ2489))&gt;0)*(ROW(職員マスタ!$A$6:$A$405)-5)))&gt;0,SUMPRODUCT(MAX((職員マスタ!$A$6:$A$405=$B2489)*(((職員マスタ!$G$6:$G$405="")+(職員マスタ!$G$6:$G$405&lt;=EOMONTH($AQ2489,0)))&gt;0)*(((職員マスタ!$H$6:$H$405="")+(職員マスタ!$H$6:$H$405&gt;=$AQ2489))&gt;0)*(ROW(職員マスタ!$A$6:$A$405)-5))),IFERROR(MATCH($B2489,職員マスタ!$A$6:$A$405,0),"")))</f>
        <v/>
      </c>
      <c r="AQ2489" s="16">
        <f>IF(OR($B2489="",$C2489="",$D2489=""),"",DATE($C2489+2018,$D2489,1))</f>
        <v/>
      </c>
    </row>
    <row r="2490">
      <c r="A2490" s="11" t="n"/>
      <c r="B2490" s="12" t="n"/>
      <c r="C2490" s="12" t="n"/>
      <c r="D2490" s="12" t="n"/>
      <c r="E2490" s="13" t="n"/>
      <c r="F2490" s="12" t="n"/>
      <c r="G2490" s="13" t="n"/>
      <c r="H2490" s="12" t="n"/>
      <c r="I2490" s="12" t="n"/>
      <c r="J2490" s="12" t="n"/>
      <c r="K2490" s="12" t="n"/>
      <c r="L2490" s="11" t="n"/>
      <c r="M2490" s="11" t="n"/>
      <c r="N2490" s="11" t="n"/>
      <c r="O2490" s="11" t="n"/>
      <c r="P2490" s="12" t="n"/>
      <c r="Q2490" s="11" t="n"/>
      <c r="R2490" s="12" t="n"/>
      <c r="S2490" s="11" t="n"/>
      <c r="T2490" s="12" t="n"/>
      <c r="U2490" s="12" t="n"/>
      <c r="V2490" s="12" t="n"/>
      <c r="W2490" s="13" t="n"/>
      <c r="X2490" s="14">
        <f>IF($AP2490="",IF($B2490="","",$H2490),IF(INDEX(職員マスタ!$B$6:$B$405,$AP2490)="",$H2490,INDEX(職員マスタ!$B$6:$B$405,$AP2490)))</f>
        <v/>
      </c>
      <c r="Y2490" s="14">
        <f>IF($AP2490="",IF($B2490="","",$R2490),IF(INDEX(職員マスタ!$C$6:$C$405,$AP2490)="",$R2490,INDEX(職員マスタ!$C$6:$C$405,$AP2490)))</f>
        <v/>
      </c>
      <c r="Z2490" s="14">
        <f>IF($AQ2490="","","R"&amp;$C2490&amp;"."&amp;$D2490)</f>
        <v/>
      </c>
      <c r="AA2490" s="15">
        <f>IF(IF($AP2490="",FALSE,INDEX(職員マスタ!$K$6:$K$405,$AP2490)&lt;&gt;""),INDEX(職員マスタ!$K$6:$K$405,$AP2490),IF(N($W2490)&gt;0,$W2490,""))</f>
        <v/>
      </c>
      <c r="AB2490" s="14">
        <f>IF(OR($E2490="",$AA2490=""),"",IF($E2490&gt;=$AA2490,"×",IF($E2490&gt;=$AA2490*設定!$C$5,"△","○")))</f>
        <v/>
      </c>
      <c r="AC2490" s="15">
        <f>IF($AB2490="","",IF($AB2490="×",0,IF($AB2490="○",ROUNDDOWN($E2490*設定!$C$4,0),ROUNDDOWN($E2490*ROUND((9*$AA2490-9*$E2490)/(10*$E2490),4),0))))</f>
        <v/>
      </c>
      <c r="AD2490" s="13" t="n"/>
      <c r="AE2490" s="15">
        <f>IF($B2490="","",IF($AD2490&lt;&gt;"",$AD2490,IF($AC2490="","",IF($AC2490&lt;=設定!$C$3,0,$AC2490))))</f>
        <v/>
      </c>
      <c r="AF2490" s="14">
        <f>IF($B2490="","",IF(AND($AG2490&lt;&gt;"",$AI2490="",$AL2490=""),"保留中",IF($AL2490&lt;&gt;"",IF(N($AE2490)&gt;0,"支給済","不支給"),IF($AE2490="","要確認",IF($AE2490=0,"不支給","未処理")))))</f>
        <v/>
      </c>
      <c r="AG2490" s="12" t="n"/>
      <c r="AH2490" s="11" t="n"/>
      <c r="AI2490" s="11" t="n"/>
      <c r="AJ2490" s="11" t="n"/>
      <c r="AK2490" s="14">
        <f>IF(AND($AF2490="保留中",$AH2490&lt;&gt;""),TODAY()-$AH2490,"")</f>
        <v/>
      </c>
      <c r="AL2490" s="12" t="n"/>
      <c r="AM2490" s="14">
        <f>IF($B2490="","",IF($AQ2490="","対象年月が未入力／","")&amp;IF($B2490="","",IF($AP2490="","職員マスタに未登録の職員番号／",IF($AA2490="","標準報酬月額が未登録／","")&amp;IF(AND($AQ2490&lt;&gt;"",OR(AND(INDEX(職員マスタ!$G$6:$G$405,$AP2490)&lt;&gt;"",INDEX(職員マスタ!$G$6:$G$405,$AP2490)&gt;EOMONTH($AQ2490,0)),AND(INDEX(職員マスタ!$H$6:$H$405,$AP2490)&lt;&gt;"",INDEX(職員マスタ!$H$6:$H$405,$AP2490)&lt;$AQ2490))),"対象月が時短期間外／","")&amp;IF(AND(INDEX(職員マスタ!$K$6:$K$405,$AP2490)&lt;&gt;"",N($W2490)&gt;0,INDEX(職員マスタ!$K$6:$K$405,$AP2490)&lt;&gt;$W2490),"標準報酬月額が申請書と相違（台帳"&amp;TEXT(INDEX(職員マスタ!$K$6:$K$405,$AP2490),"#,##0")&amp;"円／申請書"&amp;TEXT($W2490,"#,##0")&amp;"円）／","")&amp;IF(AND(INDEX(職員マスタ!$F$6:$F$405,$AP2490)&lt;&gt;"",$AQ2490&lt;&gt;"",INDEX(職員マスタ!$F$6:$F$405,$AP2490)&lt;$AQ2490),"対象月に子が2歳到達済／","")&amp;IF(AND($H2490&lt;&gt;"",INDEX(職員マスタ!$B$6:$B$405,$AP2490)&lt;&gt;"",SUBSTITUTE(SUBSTITUTE($H2490," ","")," ","")&lt;&gt;SUBSTITUTE(SUBSTITUTE(INDEX(職員マスタ!$B$6:$B$405,$AP2490)," ","")," ","")),"氏名がマスタと相違／","")&amp;IF(AND($Q2490&lt;&gt;"",INDEX(職員マスタ!$E$6:$E$405,$AP2490)&lt;&gt;"",$Q2490&lt;&gt;INDEX(職員マスタ!$E$6:$E$405,$AP2490)),"子の生年月日がマスタと相違／","")&amp;IF(AND($L2490&lt;&gt;"",INDEX(職員マスタ!$G$6:$G$405,$AP2490)&lt;&gt;"",$L2490&lt;&gt;INDEX(職員マスタ!$G$6:$G$405,$AP2490)),"時短開始日がマスタと相違／","")&amp;IF(AND($M2490&lt;&gt;"",INDEX(職員マスタ!$H$6:$H$405,$AP2490)&lt;&gt;"",$M2490&lt;&gt;INDEX(職員マスタ!$H$6:$H$405,$AP2490)),"時短終了日がマスタと相違／","")))&amp;IF(AND($B2490&lt;&gt;"",$E2490=""),"報酬額が未入力／","")&amp;IF(N($U2490)&gt;0,"申請書に入力エラーが残っています／","")&amp;IF(AND($B2490&lt;&gt;"",$AQ2490&lt;&gt;""),IF(COUNTIFS($B$6:$B$3005,$B2490,$C$6:$C$3005,$C2490,$D$6:$D$3005,$D2490)&gt;1,"同じ月の請求が重複しています／",""),"")&amp;IF(AND(N($E2490)&gt;0,$AB2490&lt;&gt;"",$AB2490&lt;&gt;"×",$AE2490=0,$AD2490=""),"計算額が下限以下のため不支給／",""))</f>
        <v/>
      </c>
      <c r="AN2490" s="12" t="n"/>
      <c r="AO2490" s="14">
        <f>IF($AF2490="保留中",COUNTIF($AF$6:$AF2490,"保留中"),"")</f>
        <v/>
      </c>
      <c r="AP2490" s="14">
        <f>IF($AQ2490="","",IF(SUMPRODUCT(MAX((職員マスタ!$A$6:$A$405=$B2490)*(((職員マスタ!$G$6:$G$405="")+(職員マスタ!$G$6:$G$405&lt;=EOMONTH($AQ2490,0)))&gt;0)*(((職員マスタ!$H$6:$H$405="")+(職員マスタ!$H$6:$H$405&gt;=$AQ2490))&gt;0)*(ROW(職員マスタ!$A$6:$A$405)-5)))&gt;0,SUMPRODUCT(MAX((職員マスタ!$A$6:$A$405=$B2490)*(((職員マスタ!$G$6:$G$405="")+(職員マスタ!$G$6:$G$405&lt;=EOMONTH($AQ2490,0)))&gt;0)*(((職員マスタ!$H$6:$H$405="")+(職員マスタ!$H$6:$H$405&gt;=$AQ2490))&gt;0)*(ROW(職員マスタ!$A$6:$A$405)-5))),IFERROR(MATCH($B2490,職員マスタ!$A$6:$A$405,0),"")))</f>
        <v/>
      </c>
      <c r="AQ2490" s="16">
        <f>IF(OR($B2490="",$C2490="",$D2490=""),"",DATE($C2490+2018,$D2490,1))</f>
        <v/>
      </c>
    </row>
    <row r="2491">
      <c r="A2491" s="11" t="n"/>
      <c r="B2491" s="12" t="n"/>
      <c r="C2491" s="12" t="n"/>
      <c r="D2491" s="12" t="n"/>
      <c r="E2491" s="13" t="n"/>
      <c r="F2491" s="12" t="n"/>
      <c r="G2491" s="13" t="n"/>
      <c r="H2491" s="12" t="n"/>
      <c r="I2491" s="12" t="n"/>
      <c r="J2491" s="12" t="n"/>
      <c r="K2491" s="12" t="n"/>
      <c r="L2491" s="11" t="n"/>
      <c r="M2491" s="11" t="n"/>
      <c r="N2491" s="11" t="n"/>
      <c r="O2491" s="11" t="n"/>
      <c r="P2491" s="12" t="n"/>
      <c r="Q2491" s="11" t="n"/>
      <c r="R2491" s="12" t="n"/>
      <c r="S2491" s="11" t="n"/>
      <c r="T2491" s="12" t="n"/>
      <c r="U2491" s="12" t="n"/>
      <c r="V2491" s="12" t="n"/>
      <c r="W2491" s="13" t="n"/>
      <c r="X2491" s="14">
        <f>IF($AP2491="",IF($B2491="","",$H2491),IF(INDEX(職員マスタ!$B$6:$B$405,$AP2491)="",$H2491,INDEX(職員マスタ!$B$6:$B$405,$AP2491)))</f>
        <v/>
      </c>
      <c r="Y2491" s="14">
        <f>IF($AP2491="",IF($B2491="","",$R2491),IF(INDEX(職員マスタ!$C$6:$C$405,$AP2491)="",$R2491,INDEX(職員マスタ!$C$6:$C$405,$AP2491)))</f>
        <v/>
      </c>
      <c r="Z2491" s="14">
        <f>IF($AQ2491="","","R"&amp;$C2491&amp;"."&amp;$D2491)</f>
        <v/>
      </c>
      <c r="AA2491" s="15">
        <f>IF(IF($AP2491="",FALSE,INDEX(職員マスタ!$K$6:$K$405,$AP2491)&lt;&gt;""),INDEX(職員マスタ!$K$6:$K$405,$AP2491),IF(N($W2491)&gt;0,$W2491,""))</f>
        <v/>
      </c>
      <c r="AB2491" s="14">
        <f>IF(OR($E2491="",$AA2491=""),"",IF($E2491&gt;=$AA2491,"×",IF($E2491&gt;=$AA2491*設定!$C$5,"△","○")))</f>
        <v/>
      </c>
      <c r="AC2491" s="15">
        <f>IF($AB2491="","",IF($AB2491="×",0,IF($AB2491="○",ROUNDDOWN($E2491*設定!$C$4,0),ROUNDDOWN($E2491*ROUND((9*$AA2491-9*$E2491)/(10*$E2491),4),0))))</f>
        <v/>
      </c>
      <c r="AD2491" s="13" t="n"/>
      <c r="AE2491" s="15">
        <f>IF($B2491="","",IF($AD2491&lt;&gt;"",$AD2491,IF($AC2491="","",IF($AC2491&lt;=設定!$C$3,0,$AC2491))))</f>
        <v/>
      </c>
      <c r="AF2491" s="14">
        <f>IF($B2491="","",IF(AND($AG2491&lt;&gt;"",$AI2491="",$AL2491=""),"保留中",IF($AL2491&lt;&gt;"",IF(N($AE2491)&gt;0,"支給済","不支給"),IF($AE2491="","要確認",IF($AE2491=0,"不支給","未処理")))))</f>
        <v/>
      </c>
      <c r="AG2491" s="12" t="n"/>
      <c r="AH2491" s="11" t="n"/>
      <c r="AI2491" s="11" t="n"/>
      <c r="AJ2491" s="11" t="n"/>
      <c r="AK2491" s="14">
        <f>IF(AND($AF2491="保留中",$AH2491&lt;&gt;""),TODAY()-$AH2491,"")</f>
        <v/>
      </c>
      <c r="AL2491" s="12" t="n"/>
      <c r="AM2491" s="14">
        <f>IF($B2491="","",IF($AQ2491="","対象年月が未入力／","")&amp;IF($B2491="","",IF($AP2491="","職員マスタに未登録の職員番号／",IF($AA2491="","標準報酬月額が未登録／","")&amp;IF(AND($AQ2491&lt;&gt;"",OR(AND(INDEX(職員マスタ!$G$6:$G$405,$AP2491)&lt;&gt;"",INDEX(職員マスタ!$G$6:$G$405,$AP2491)&gt;EOMONTH($AQ2491,0)),AND(INDEX(職員マスタ!$H$6:$H$405,$AP2491)&lt;&gt;"",INDEX(職員マスタ!$H$6:$H$405,$AP2491)&lt;$AQ2491))),"対象月が時短期間外／","")&amp;IF(AND(INDEX(職員マスタ!$K$6:$K$405,$AP2491)&lt;&gt;"",N($W2491)&gt;0,INDEX(職員マスタ!$K$6:$K$405,$AP2491)&lt;&gt;$W2491),"標準報酬月額が申請書と相違（台帳"&amp;TEXT(INDEX(職員マスタ!$K$6:$K$405,$AP2491),"#,##0")&amp;"円／申請書"&amp;TEXT($W2491,"#,##0")&amp;"円）／","")&amp;IF(AND(INDEX(職員マスタ!$F$6:$F$405,$AP2491)&lt;&gt;"",$AQ2491&lt;&gt;"",INDEX(職員マスタ!$F$6:$F$405,$AP2491)&lt;$AQ2491),"対象月に子が2歳到達済／","")&amp;IF(AND($H2491&lt;&gt;"",INDEX(職員マスタ!$B$6:$B$405,$AP2491)&lt;&gt;"",SUBSTITUTE(SUBSTITUTE($H2491," ","")," ","")&lt;&gt;SUBSTITUTE(SUBSTITUTE(INDEX(職員マスタ!$B$6:$B$405,$AP2491)," ","")," ","")),"氏名がマスタと相違／","")&amp;IF(AND($Q2491&lt;&gt;"",INDEX(職員マスタ!$E$6:$E$405,$AP2491)&lt;&gt;"",$Q2491&lt;&gt;INDEX(職員マスタ!$E$6:$E$405,$AP2491)),"子の生年月日がマスタと相違／","")&amp;IF(AND($L2491&lt;&gt;"",INDEX(職員マスタ!$G$6:$G$405,$AP2491)&lt;&gt;"",$L2491&lt;&gt;INDEX(職員マスタ!$G$6:$G$405,$AP2491)),"時短開始日がマスタと相違／","")&amp;IF(AND($M2491&lt;&gt;"",INDEX(職員マスタ!$H$6:$H$405,$AP2491)&lt;&gt;"",$M2491&lt;&gt;INDEX(職員マスタ!$H$6:$H$405,$AP2491)),"時短終了日がマスタと相違／","")))&amp;IF(AND($B2491&lt;&gt;"",$E2491=""),"報酬額が未入力／","")&amp;IF(N($U2491)&gt;0,"申請書に入力エラーが残っています／","")&amp;IF(AND($B2491&lt;&gt;"",$AQ2491&lt;&gt;""),IF(COUNTIFS($B$6:$B$3005,$B2491,$C$6:$C$3005,$C2491,$D$6:$D$3005,$D2491)&gt;1,"同じ月の請求が重複しています／",""),"")&amp;IF(AND(N($E2491)&gt;0,$AB2491&lt;&gt;"",$AB2491&lt;&gt;"×",$AE2491=0,$AD2491=""),"計算額が下限以下のため不支給／",""))</f>
        <v/>
      </c>
      <c r="AN2491" s="12" t="n"/>
      <c r="AO2491" s="14">
        <f>IF($AF2491="保留中",COUNTIF($AF$6:$AF2491,"保留中"),"")</f>
        <v/>
      </c>
      <c r="AP2491" s="14">
        <f>IF($AQ2491="","",IF(SUMPRODUCT(MAX((職員マスタ!$A$6:$A$405=$B2491)*(((職員マスタ!$G$6:$G$405="")+(職員マスタ!$G$6:$G$405&lt;=EOMONTH($AQ2491,0)))&gt;0)*(((職員マスタ!$H$6:$H$405="")+(職員マスタ!$H$6:$H$405&gt;=$AQ2491))&gt;0)*(ROW(職員マスタ!$A$6:$A$405)-5)))&gt;0,SUMPRODUCT(MAX((職員マスタ!$A$6:$A$405=$B2491)*(((職員マスタ!$G$6:$G$405="")+(職員マスタ!$G$6:$G$405&lt;=EOMONTH($AQ2491,0)))&gt;0)*(((職員マスタ!$H$6:$H$405="")+(職員マスタ!$H$6:$H$405&gt;=$AQ2491))&gt;0)*(ROW(職員マスタ!$A$6:$A$405)-5))),IFERROR(MATCH($B2491,職員マスタ!$A$6:$A$405,0),"")))</f>
        <v/>
      </c>
      <c r="AQ2491" s="16">
        <f>IF(OR($B2491="",$C2491="",$D2491=""),"",DATE($C2491+2018,$D2491,1))</f>
        <v/>
      </c>
    </row>
    <row r="2492">
      <c r="A2492" s="11" t="n"/>
      <c r="B2492" s="12" t="n"/>
      <c r="C2492" s="12" t="n"/>
      <c r="D2492" s="12" t="n"/>
      <c r="E2492" s="13" t="n"/>
      <c r="F2492" s="12" t="n"/>
      <c r="G2492" s="13" t="n"/>
      <c r="H2492" s="12" t="n"/>
      <c r="I2492" s="12" t="n"/>
      <c r="J2492" s="12" t="n"/>
      <c r="K2492" s="12" t="n"/>
      <c r="L2492" s="11" t="n"/>
      <c r="M2492" s="11" t="n"/>
      <c r="N2492" s="11" t="n"/>
      <c r="O2492" s="11" t="n"/>
      <c r="P2492" s="12" t="n"/>
      <c r="Q2492" s="11" t="n"/>
      <c r="R2492" s="12" t="n"/>
      <c r="S2492" s="11" t="n"/>
      <c r="T2492" s="12" t="n"/>
      <c r="U2492" s="12" t="n"/>
      <c r="V2492" s="12" t="n"/>
      <c r="W2492" s="13" t="n"/>
      <c r="X2492" s="14">
        <f>IF($AP2492="",IF($B2492="","",$H2492),IF(INDEX(職員マスタ!$B$6:$B$405,$AP2492)="",$H2492,INDEX(職員マスタ!$B$6:$B$405,$AP2492)))</f>
        <v/>
      </c>
      <c r="Y2492" s="14">
        <f>IF($AP2492="",IF($B2492="","",$R2492),IF(INDEX(職員マスタ!$C$6:$C$405,$AP2492)="",$R2492,INDEX(職員マスタ!$C$6:$C$405,$AP2492)))</f>
        <v/>
      </c>
      <c r="Z2492" s="14">
        <f>IF($AQ2492="","","R"&amp;$C2492&amp;"."&amp;$D2492)</f>
        <v/>
      </c>
      <c r="AA2492" s="15">
        <f>IF(IF($AP2492="",FALSE,INDEX(職員マスタ!$K$6:$K$405,$AP2492)&lt;&gt;""),INDEX(職員マスタ!$K$6:$K$405,$AP2492),IF(N($W2492)&gt;0,$W2492,""))</f>
        <v/>
      </c>
      <c r="AB2492" s="14">
        <f>IF(OR($E2492="",$AA2492=""),"",IF($E2492&gt;=$AA2492,"×",IF($E2492&gt;=$AA2492*設定!$C$5,"△","○")))</f>
        <v/>
      </c>
      <c r="AC2492" s="15">
        <f>IF($AB2492="","",IF($AB2492="×",0,IF($AB2492="○",ROUNDDOWN($E2492*設定!$C$4,0),ROUNDDOWN($E2492*ROUND((9*$AA2492-9*$E2492)/(10*$E2492),4),0))))</f>
        <v/>
      </c>
      <c r="AD2492" s="13" t="n"/>
      <c r="AE2492" s="15">
        <f>IF($B2492="","",IF($AD2492&lt;&gt;"",$AD2492,IF($AC2492="","",IF($AC2492&lt;=設定!$C$3,0,$AC2492))))</f>
        <v/>
      </c>
      <c r="AF2492" s="14">
        <f>IF($B2492="","",IF(AND($AG2492&lt;&gt;"",$AI2492="",$AL2492=""),"保留中",IF($AL2492&lt;&gt;"",IF(N($AE2492)&gt;0,"支給済","不支給"),IF($AE2492="","要確認",IF($AE2492=0,"不支給","未処理")))))</f>
        <v/>
      </c>
      <c r="AG2492" s="12" t="n"/>
      <c r="AH2492" s="11" t="n"/>
      <c r="AI2492" s="11" t="n"/>
      <c r="AJ2492" s="11" t="n"/>
      <c r="AK2492" s="14">
        <f>IF(AND($AF2492="保留中",$AH2492&lt;&gt;""),TODAY()-$AH2492,"")</f>
        <v/>
      </c>
      <c r="AL2492" s="12" t="n"/>
      <c r="AM2492" s="14">
        <f>IF($B2492="","",IF($AQ2492="","対象年月が未入力／","")&amp;IF($B2492="","",IF($AP2492="","職員マスタに未登録の職員番号／",IF($AA2492="","標準報酬月額が未登録／","")&amp;IF(AND($AQ2492&lt;&gt;"",OR(AND(INDEX(職員マスタ!$G$6:$G$405,$AP2492)&lt;&gt;"",INDEX(職員マスタ!$G$6:$G$405,$AP2492)&gt;EOMONTH($AQ2492,0)),AND(INDEX(職員マスタ!$H$6:$H$405,$AP2492)&lt;&gt;"",INDEX(職員マスタ!$H$6:$H$405,$AP2492)&lt;$AQ2492))),"対象月が時短期間外／","")&amp;IF(AND(INDEX(職員マスタ!$K$6:$K$405,$AP2492)&lt;&gt;"",N($W2492)&gt;0,INDEX(職員マスタ!$K$6:$K$405,$AP2492)&lt;&gt;$W2492),"標準報酬月額が申請書と相違（台帳"&amp;TEXT(INDEX(職員マスタ!$K$6:$K$405,$AP2492),"#,##0")&amp;"円／申請書"&amp;TEXT($W2492,"#,##0")&amp;"円）／","")&amp;IF(AND(INDEX(職員マスタ!$F$6:$F$405,$AP2492)&lt;&gt;"",$AQ2492&lt;&gt;"",INDEX(職員マスタ!$F$6:$F$405,$AP2492)&lt;$AQ2492),"対象月に子が2歳到達済／","")&amp;IF(AND($H2492&lt;&gt;"",INDEX(職員マスタ!$B$6:$B$405,$AP2492)&lt;&gt;"",SUBSTITUTE(SUBSTITUTE($H2492," ","")," ","")&lt;&gt;SUBSTITUTE(SUBSTITUTE(INDEX(職員マスタ!$B$6:$B$405,$AP2492)," ","")," ","")),"氏名がマスタと相違／","")&amp;IF(AND($Q2492&lt;&gt;"",INDEX(職員マスタ!$E$6:$E$405,$AP2492)&lt;&gt;"",$Q2492&lt;&gt;INDEX(職員マスタ!$E$6:$E$405,$AP2492)),"子の生年月日がマスタと相違／","")&amp;IF(AND($L2492&lt;&gt;"",INDEX(職員マスタ!$G$6:$G$405,$AP2492)&lt;&gt;"",$L2492&lt;&gt;INDEX(職員マスタ!$G$6:$G$405,$AP2492)),"時短開始日がマスタと相違／","")&amp;IF(AND($M2492&lt;&gt;"",INDEX(職員マスタ!$H$6:$H$405,$AP2492)&lt;&gt;"",$M2492&lt;&gt;INDEX(職員マスタ!$H$6:$H$405,$AP2492)),"時短終了日がマスタと相違／","")))&amp;IF(AND($B2492&lt;&gt;"",$E2492=""),"報酬額が未入力／","")&amp;IF(N($U2492)&gt;0,"申請書に入力エラーが残っています／","")&amp;IF(AND($B2492&lt;&gt;"",$AQ2492&lt;&gt;""),IF(COUNTIFS($B$6:$B$3005,$B2492,$C$6:$C$3005,$C2492,$D$6:$D$3005,$D2492)&gt;1,"同じ月の請求が重複しています／",""),"")&amp;IF(AND(N($E2492)&gt;0,$AB2492&lt;&gt;"",$AB2492&lt;&gt;"×",$AE2492=0,$AD2492=""),"計算額が下限以下のため不支給／",""))</f>
        <v/>
      </c>
      <c r="AN2492" s="12" t="n"/>
      <c r="AO2492" s="14">
        <f>IF($AF2492="保留中",COUNTIF($AF$6:$AF2492,"保留中"),"")</f>
        <v/>
      </c>
      <c r="AP2492" s="14">
        <f>IF($AQ2492="","",IF(SUMPRODUCT(MAX((職員マスタ!$A$6:$A$405=$B2492)*(((職員マスタ!$G$6:$G$405="")+(職員マスタ!$G$6:$G$405&lt;=EOMONTH($AQ2492,0)))&gt;0)*(((職員マスタ!$H$6:$H$405="")+(職員マスタ!$H$6:$H$405&gt;=$AQ2492))&gt;0)*(ROW(職員マスタ!$A$6:$A$405)-5)))&gt;0,SUMPRODUCT(MAX((職員マスタ!$A$6:$A$405=$B2492)*(((職員マスタ!$G$6:$G$405="")+(職員マスタ!$G$6:$G$405&lt;=EOMONTH($AQ2492,0)))&gt;0)*(((職員マスタ!$H$6:$H$405="")+(職員マスタ!$H$6:$H$405&gt;=$AQ2492))&gt;0)*(ROW(職員マスタ!$A$6:$A$405)-5))),IFERROR(MATCH($B2492,職員マスタ!$A$6:$A$405,0),"")))</f>
        <v/>
      </c>
      <c r="AQ2492" s="16">
        <f>IF(OR($B2492="",$C2492="",$D2492=""),"",DATE($C2492+2018,$D2492,1))</f>
        <v/>
      </c>
    </row>
    <row r="2493">
      <c r="A2493" s="11" t="n"/>
      <c r="B2493" s="12" t="n"/>
      <c r="C2493" s="12" t="n"/>
      <c r="D2493" s="12" t="n"/>
      <c r="E2493" s="13" t="n"/>
      <c r="F2493" s="12" t="n"/>
      <c r="G2493" s="13" t="n"/>
      <c r="H2493" s="12" t="n"/>
      <c r="I2493" s="12" t="n"/>
      <c r="J2493" s="12" t="n"/>
      <c r="K2493" s="12" t="n"/>
      <c r="L2493" s="11" t="n"/>
      <c r="M2493" s="11" t="n"/>
      <c r="N2493" s="11" t="n"/>
      <c r="O2493" s="11" t="n"/>
      <c r="P2493" s="12" t="n"/>
      <c r="Q2493" s="11" t="n"/>
      <c r="R2493" s="12" t="n"/>
      <c r="S2493" s="11" t="n"/>
      <c r="T2493" s="12" t="n"/>
      <c r="U2493" s="12" t="n"/>
      <c r="V2493" s="12" t="n"/>
      <c r="W2493" s="13" t="n"/>
      <c r="X2493" s="14">
        <f>IF($AP2493="",IF($B2493="","",$H2493),IF(INDEX(職員マスタ!$B$6:$B$405,$AP2493)="",$H2493,INDEX(職員マスタ!$B$6:$B$405,$AP2493)))</f>
        <v/>
      </c>
      <c r="Y2493" s="14">
        <f>IF($AP2493="",IF($B2493="","",$R2493),IF(INDEX(職員マスタ!$C$6:$C$405,$AP2493)="",$R2493,INDEX(職員マスタ!$C$6:$C$405,$AP2493)))</f>
        <v/>
      </c>
      <c r="Z2493" s="14">
        <f>IF($AQ2493="","","R"&amp;$C2493&amp;"."&amp;$D2493)</f>
        <v/>
      </c>
      <c r="AA2493" s="15">
        <f>IF(IF($AP2493="",FALSE,INDEX(職員マスタ!$K$6:$K$405,$AP2493)&lt;&gt;""),INDEX(職員マスタ!$K$6:$K$405,$AP2493),IF(N($W2493)&gt;0,$W2493,""))</f>
        <v/>
      </c>
      <c r="AB2493" s="14">
        <f>IF(OR($E2493="",$AA2493=""),"",IF($E2493&gt;=$AA2493,"×",IF($E2493&gt;=$AA2493*設定!$C$5,"△","○")))</f>
        <v/>
      </c>
      <c r="AC2493" s="15">
        <f>IF($AB2493="","",IF($AB2493="×",0,IF($AB2493="○",ROUNDDOWN($E2493*設定!$C$4,0),ROUNDDOWN($E2493*ROUND((9*$AA2493-9*$E2493)/(10*$E2493),4),0))))</f>
        <v/>
      </c>
      <c r="AD2493" s="13" t="n"/>
      <c r="AE2493" s="15">
        <f>IF($B2493="","",IF($AD2493&lt;&gt;"",$AD2493,IF($AC2493="","",IF($AC2493&lt;=設定!$C$3,0,$AC2493))))</f>
        <v/>
      </c>
      <c r="AF2493" s="14">
        <f>IF($B2493="","",IF(AND($AG2493&lt;&gt;"",$AI2493="",$AL2493=""),"保留中",IF($AL2493&lt;&gt;"",IF(N($AE2493)&gt;0,"支給済","不支給"),IF($AE2493="","要確認",IF($AE2493=0,"不支給","未処理")))))</f>
        <v/>
      </c>
      <c r="AG2493" s="12" t="n"/>
      <c r="AH2493" s="11" t="n"/>
      <c r="AI2493" s="11" t="n"/>
      <c r="AJ2493" s="11" t="n"/>
      <c r="AK2493" s="14">
        <f>IF(AND($AF2493="保留中",$AH2493&lt;&gt;""),TODAY()-$AH2493,"")</f>
        <v/>
      </c>
      <c r="AL2493" s="12" t="n"/>
      <c r="AM2493" s="14">
        <f>IF($B2493="","",IF($AQ2493="","対象年月が未入力／","")&amp;IF($B2493="","",IF($AP2493="","職員マスタに未登録の職員番号／",IF($AA2493="","標準報酬月額が未登録／","")&amp;IF(AND($AQ2493&lt;&gt;"",OR(AND(INDEX(職員マスタ!$G$6:$G$405,$AP2493)&lt;&gt;"",INDEX(職員マスタ!$G$6:$G$405,$AP2493)&gt;EOMONTH($AQ2493,0)),AND(INDEX(職員マスタ!$H$6:$H$405,$AP2493)&lt;&gt;"",INDEX(職員マスタ!$H$6:$H$405,$AP2493)&lt;$AQ2493))),"対象月が時短期間外／","")&amp;IF(AND(INDEX(職員マスタ!$K$6:$K$405,$AP2493)&lt;&gt;"",N($W2493)&gt;0,INDEX(職員マスタ!$K$6:$K$405,$AP2493)&lt;&gt;$W2493),"標準報酬月額が申請書と相違（台帳"&amp;TEXT(INDEX(職員マスタ!$K$6:$K$405,$AP2493),"#,##0")&amp;"円／申請書"&amp;TEXT($W2493,"#,##0")&amp;"円）／","")&amp;IF(AND(INDEX(職員マスタ!$F$6:$F$405,$AP2493)&lt;&gt;"",$AQ2493&lt;&gt;"",INDEX(職員マスタ!$F$6:$F$405,$AP2493)&lt;$AQ2493),"対象月に子が2歳到達済／","")&amp;IF(AND($H2493&lt;&gt;"",INDEX(職員マスタ!$B$6:$B$405,$AP2493)&lt;&gt;"",SUBSTITUTE(SUBSTITUTE($H2493," ","")," ","")&lt;&gt;SUBSTITUTE(SUBSTITUTE(INDEX(職員マスタ!$B$6:$B$405,$AP2493)," ","")," ","")),"氏名がマスタと相違／","")&amp;IF(AND($Q2493&lt;&gt;"",INDEX(職員マスタ!$E$6:$E$405,$AP2493)&lt;&gt;"",$Q2493&lt;&gt;INDEX(職員マスタ!$E$6:$E$405,$AP2493)),"子の生年月日がマスタと相違／","")&amp;IF(AND($L2493&lt;&gt;"",INDEX(職員マスタ!$G$6:$G$405,$AP2493)&lt;&gt;"",$L2493&lt;&gt;INDEX(職員マスタ!$G$6:$G$405,$AP2493)),"時短開始日がマスタと相違／","")&amp;IF(AND($M2493&lt;&gt;"",INDEX(職員マスタ!$H$6:$H$405,$AP2493)&lt;&gt;"",$M2493&lt;&gt;INDEX(職員マスタ!$H$6:$H$405,$AP2493)),"時短終了日がマスタと相違／","")))&amp;IF(AND($B2493&lt;&gt;"",$E2493=""),"報酬額が未入力／","")&amp;IF(N($U2493)&gt;0,"申請書に入力エラーが残っています／","")&amp;IF(AND($B2493&lt;&gt;"",$AQ2493&lt;&gt;""),IF(COUNTIFS($B$6:$B$3005,$B2493,$C$6:$C$3005,$C2493,$D$6:$D$3005,$D2493)&gt;1,"同じ月の請求が重複しています／",""),"")&amp;IF(AND(N($E2493)&gt;0,$AB2493&lt;&gt;"",$AB2493&lt;&gt;"×",$AE2493=0,$AD2493=""),"計算額が下限以下のため不支給／",""))</f>
        <v/>
      </c>
      <c r="AN2493" s="12" t="n"/>
      <c r="AO2493" s="14">
        <f>IF($AF2493="保留中",COUNTIF($AF$6:$AF2493,"保留中"),"")</f>
        <v/>
      </c>
      <c r="AP2493" s="14">
        <f>IF($AQ2493="","",IF(SUMPRODUCT(MAX((職員マスタ!$A$6:$A$405=$B2493)*(((職員マスタ!$G$6:$G$405="")+(職員マスタ!$G$6:$G$405&lt;=EOMONTH($AQ2493,0)))&gt;0)*(((職員マスタ!$H$6:$H$405="")+(職員マスタ!$H$6:$H$405&gt;=$AQ2493))&gt;0)*(ROW(職員マスタ!$A$6:$A$405)-5)))&gt;0,SUMPRODUCT(MAX((職員マスタ!$A$6:$A$405=$B2493)*(((職員マスタ!$G$6:$G$405="")+(職員マスタ!$G$6:$G$405&lt;=EOMONTH($AQ2493,0)))&gt;0)*(((職員マスタ!$H$6:$H$405="")+(職員マスタ!$H$6:$H$405&gt;=$AQ2493))&gt;0)*(ROW(職員マスタ!$A$6:$A$405)-5))),IFERROR(MATCH($B2493,職員マスタ!$A$6:$A$405,0),"")))</f>
        <v/>
      </c>
      <c r="AQ2493" s="16">
        <f>IF(OR($B2493="",$C2493="",$D2493=""),"",DATE($C2493+2018,$D2493,1))</f>
        <v/>
      </c>
    </row>
    <row r="2494">
      <c r="A2494" s="11" t="n"/>
      <c r="B2494" s="12" t="n"/>
      <c r="C2494" s="12" t="n"/>
      <c r="D2494" s="12" t="n"/>
      <c r="E2494" s="13" t="n"/>
      <c r="F2494" s="12" t="n"/>
      <c r="G2494" s="13" t="n"/>
      <c r="H2494" s="12" t="n"/>
      <c r="I2494" s="12" t="n"/>
      <c r="J2494" s="12" t="n"/>
      <c r="K2494" s="12" t="n"/>
      <c r="L2494" s="11" t="n"/>
      <c r="M2494" s="11" t="n"/>
      <c r="N2494" s="11" t="n"/>
      <c r="O2494" s="11" t="n"/>
      <c r="P2494" s="12" t="n"/>
      <c r="Q2494" s="11" t="n"/>
      <c r="R2494" s="12" t="n"/>
      <c r="S2494" s="11" t="n"/>
      <c r="T2494" s="12" t="n"/>
      <c r="U2494" s="12" t="n"/>
      <c r="V2494" s="12" t="n"/>
      <c r="W2494" s="13" t="n"/>
      <c r="X2494" s="14">
        <f>IF($AP2494="",IF($B2494="","",$H2494),IF(INDEX(職員マスタ!$B$6:$B$405,$AP2494)="",$H2494,INDEX(職員マスタ!$B$6:$B$405,$AP2494)))</f>
        <v/>
      </c>
      <c r="Y2494" s="14">
        <f>IF($AP2494="",IF($B2494="","",$R2494),IF(INDEX(職員マスタ!$C$6:$C$405,$AP2494)="",$R2494,INDEX(職員マスタ!$C$6:$C$405,$AP2494)))</f>
        <v/>
      </c>
      <c r="Z2494" s="14">
        <f>IF($AQ2494="","","R"&amp;$C2494&amp;"."&amp;$D2494)</f>
        <v/>
      </c>
      <c r="AA2494" s="15">
        <f>IF(IF($AP2494="",FALSE,INDEX(職員マスタ!$K$6:$K$405,$AP2494)&lt;&gt;""),INDEX(職員マスタ!$K$6:$K$405,$AP2494),IF(N($W2494)&gt;0,$W2494,""))</f>
        <v/>
      </c>
      <c r="AB2494" s="14">
        <f>IF(OR($E2494="",$AA2494=""),"",IF($E2494&gt;=$AA2494,"×",IF($E2494&gt;=$AA2494*設定!$C$5,"△","○")))</f>
        <v/>
      </c>
      <c r="AC2494" s="15">
        <f>IF($AB2494="","",IF($AB2494="×",0,IF($AB2494="○",ROUNDDOWN($E2494*設定!$C$4,0),ROUNDDOWN($E2494*ROUND((9*$AA2494-9*$E2494)/(10*$E2494),4),0))))</f>
        <v/>
      </c>
      <c r="AD2494" s="13" t="n"/>
      <c r="AE2494" s="15">
        <f>IF($B2494="","",IF($AD2494&lt;&gt;"",$AD2494,IF($AC2494="","",IF($AC2494&lt;=設定!$C$3,0,$AC2494))))</f>
        <v/>
      </c>
      <c r="AF2494" s="14">
        <f>IF($B2494="","",IF(AND($AG2494&lt;&gt;"",$AI2494="",$AL2494=""),"保留中",IF($AL2494&lt;&gt;"",IF(N($AE2494)&gt;0,"支給済","不支給"),IF($AE2494="","要確認",IF($AE2494=0,"不支給","未処理")))))</f>
        <v/>
      </c>
      <c r="AG2494" s="12" t="n"/>
      <c r="AH2494" s="11" t="n"/>
      <c r="AI2494" s="11" t="n"/>
      <c r="AJ2494" s="11" t="n"/>
      <c r="AK2494" s="14">
        <f>IF(AND($AF2494="保留中",$AH2494&lt;&gt;""),TODAY()-$AH2494,"")</f>
        <v/>
      </c>
      <c r="AL2494" s="12" t="n"/>
      <c r="AM2494" s="14">
        <f>IF($B2494="","",IF($AQ2494="","対象年月が未入力／","")&amp;IF($B2494="","",IF($AP2494="","職員マスタに未登録の職員番号／",IF($AA2494="","標準報酬月額が未登録／","")&amp;IF(AND($AQ2494&lt;&gt;"",OR(AND(INDEX(職員マスタ!$G$6:$G$405,$AP2494)&lt;&gt;"",INDEX(職員マスタ!$G$6:$G$405,$AP2494)&gt;EOMONTH($AQ2494,0)),AND(INDEX(職員マスタ!$H$6:$H$405,$AP2494)&lt;&gt;"",INDEX(職員マスタ!$H$6:$H$405,$AP2494)&lt;$AQ2494))),"対象月が時短期間外／","")&amp;IF(AND(INDEX(職員マスタ!$K$6:$K$405,$AP2494)&lt;&gt;"",N($W2494)&gt;0,INDEX(職員マスタ!$K$6:$K$405,$AP2494)&lt;&gt;$W2494),"標準報酬月額が申請書と相違（台帳"&amp;TEXT(INDEX(職員マスタ!$K$6:$K$405,$AP2494),"#,##0")&amp;"円／申請書"&amp;TEXT($W2494,"#,##0")&amp;"円）／","")&amp;IF(AND(INDEX(職員マスタ!$F$6:$F$405,$AP2494)&lt;&gt;"",$AQ2494&lt;&gt;"",INDEX(職員マスタ!$F$6:$F$405,$AP2494)&lt;$AQ2494),"対象月に子が2歳到達済／","")&amp;IF(AND($H2494&lt;&gt;"",INDEX(職員マスタ!$B$6:$B$405,$AP2494)&lt;&gt;"",SUBSTITUTE(SUBSTITUTE($H2494," ","")," ","")&lt;&gt;SUBSTITUTE(SUBSTITUTE(INDEX(職員マスタ!$B$6:$B$405,$AP2494)," ","")," ","")),"氏名がマスタと相違／","")&amp;IF(AND($Q2494&lt;&gt;"",INDEX(職員マスタ!$E$6:$E$405,$AP2494)&lt;&gt;"",$Q2494&lt;&gt;INDEX(職員マスタ!$E$6:$E$405,$AP2494)),"子の生年月日がマスタと相違／","")&amp;IF(AND($L2494&lt;&gt;"",INDEX(職員マスタ!$G$6:$G$405,$AP2494)&lt;&gt;"",$L2494&lt;&gt;INDEX(職員マスタ!$G$6:$G$405,$AP2494)),"時短開始日がマスタと相違／","")&amp;IF(AND($M2494&lt;&gt;"",INDEX(職員マスタ!$H$6:$H$405,$AP2494)&lt;&gt;"",$M2494&lt;&gt;INDEX(職員マスタ!$H$6:$H$405,$AP2494)),"時短終了日がマスタと相違／","")))&amp;IF(AND($B2494&lt;&gt;"",$E2494=""),"報酬額が未入力／","")&amp;IF(N($U2494)&gt;0,"申請書に入力エラーが残っています／","")&amp;IF(AND($B2494&lt;&gt;"",$AQ2494&lt;&gt;""),IF(COUNTIFS($B$6:$B$3005,$B2494,$C$6:$C$3005,$C2494,$D$6:$D$3005,$D2494)&gt;1,"同じ月の請求が重複しています／",""),"")&amp;IF(AND(N($E2494)&gt;0,$AB2494&lt;&gt;"",$AB2494&lt;&gt;"×",$AE2494=0,$AD2494=""),"計算額が下限以下のため不支給／",""))</f>
        <v/>
      </c>
      <c r="AN2494" s="12" t="n"/>
      <c r="AO2494" s="14">
        <f>IF($AF2494="保留中",COUNTIF($AF$6:$AF2494,"保留中"),"")</f>
        <v/>
      </c>
      <c r="AP2494" s="14">
        <f>IF($AQ2494="","",IF(SUMPRODUCT(MAX((職員マスタ!$A$6:$A$405=$B2494)*(((職員マスタ!$G$6:$G$405="")+(職員マスタ!$G$6:$G$405&lt;=EOMONTH($AQ2494,0)))&gt;0)*(((職員マスタ!$H$6:$H$405="")+(職員マスタ!$H$6:$H$405&gt;=$AQ2494))&gt;0)*(ROW(職員マスタ!$A$6:$A$405)-5)))&gt;0,SUMPRODUCT(MAX((職員マスタ!$A$6:$A$405=$B2494)*(((職員マスタ!$G$6:$G$405="")+(職員マスタ!$G$6:$G$405&lt;=EOMONTH($AQ2494,0)))&gt;0)*(((職員マスタ!$H$6:$H$405="")+(職員マスタ!$H$6:$H$405&gt;=$AQ2494))&gt;0)*(ROW(職員マスタ!$A$6:$A$405)-5))),IFERROR(MATCH($B2494,職員マスタ!$A$6:$A$405,0),"")))</f>
        <v/>
      </c>
      <c r="AQ2494" s="16">
        <f>IF(OR($B2494="",$C2494="",$D2494=""),"",DATE($C2494+2018,$D2494,1))</f>
        <v/>
      </c>
    </row>
    <row r="2495">
      <c r="A2495" s="11" t="n"/>
      <c r="B2495" s="12" t="n"/>
      <c r="C2495" s="12" t="n"/>
      <c r="D2495" s="12" t="n"/>
      <c r="E2495" s="13" t="n"/>
      <c r="F2495" s="12" t="n"/>
      <c r="G2495" s="13" t="n"/>
      <c r="H2495" s="12" t="n"/>
      <c r="I2495" s="12" t="n"/>
      <c r="J2495" s="12" t="n"/>
      <c r="K2495" s="12" t="n"/>
      <c r="L2495" s="11" t="n"/>
      <c r="M2495" s="11" t="n"/>
      <c r="N2495" s="11" t="n"/>
      <c r="O2495" s="11" t="n"/>
      <c r="P2495" s="12" t="n"/>
      <c r="Q2495" s="11" t="n"/>
      <c r="R2495" s="12" t="n"/>
      <c r="S2495" s="11" t="n"/>
      <c r="T2495" s="12" t="n"/>
      <c r="U2495" s="12" t="n"/>
      <c r="V2495" s="12" t="n"/>
      <c r="W2495" s="13" t="n"/>
      <c r="X2495" s="14">
        <f>IF($AP2495="",IF($B2495="","",$H2495),IF(INDEX(職員マスタ!$B$6:$B$405,$AP2495)="",$H2495,INDEX(職員マスタ!$B$6:$B$405,$AP2495)))</f>
        <v/>
      </c>
      <c r="Y2495" s="14">
        <f>IF($AP2495="",IF($B2495="","",$R2495),IF(INDEX(職員マスタ!$C$6:$C$405,$AP2495)="",$R2495,INDEX(職員マスタ!$C$6:$C$405,$AP2495)))</f>
        <v/>
      </c>
      <c r="Z2495" s="14">
        <f>IF($AQ2495="","","R"&amp;$C2495&amp;"."&amp;$D2495)</f>
        <v/>
      </c>
      <c r="AA2495" s="15">
        <f>IF(IF($AP2495="",FALSE,INDEX(職員マスタ!$K$6:$K$405,$AP2495)&lt;&gt;""),INDEX(職員マスタ!$K$6:$K$405,$AP2495),IF(N($W2495)&gt;0,$W2495,""))</f>
        <v/>
      </c>
      <c r="AB2495" s="14">
        <f>IF(OR($E2495="",$AA2495=""),"",IF($E2495&gt;=$AA2495,"×",IF($E2495&gt;=$AA2495*設定!$C$5,"△","○")))</f>
        <v/>
      </c>
      <c r="AC2495" s="15">
        <f>IF($AB2495="","",IF($AB2495="×",0,IF($AB2495="○",ROUNDDOWN($E2495*設定!$C$4,0),ROUNDDOWN($E2495*ROUND((9*$AA2495-9*$E2495)/(10*$E2495),4),0))))</f>
        <v/>
      </c>
      <c r="AD2495" s="13" t="n"/>
      <c r="AE2495" s="15">
        <f>IF($B2495="","",IF($AD2495&lt;&gt;"",$AD2495,IF($AC2495="","",IF($AC2495&lt;=設定!$C$3,0,$AC2495))))</f>
        <v/>
      </c>
      <c r="AF2495" s="14">
        <f>IF($B2495="","",IF(AND($AG2495&lt;&gt;"",$AI2495="",$AL2495=""),"保留中",IF($AL2495&lt;&gt;"",IF(N($AE2495)&gt;0,"支給済","不支給"),IF($AE2495="","要確認",IF($AE2495=0,"不支給","未処理")))))</f>
        <v/>
      </c>
      <c r="AG2495" s="12" t="n"/>
      <c r="AH2495" s="11" t="n"/>
      <c r="AI2495" s="11" t="n"/>
      <c r="AJ2495" s="11" t="n"/>
      <c r="AK2495" s="14">
        <f>IF(AND($AF2495="保留中",$AH2495&lt;&gt;""),TODAY()-$AH2495,"")</f>
        <v/>
      </c>
      <c r="AL2495" s="12" t="n"/>
      <c r="AM2495" s="14">
        <f>IF($B2495="","",IF($AQ2495="","対象年月が未入力／","")&amp;IF($B2495="","",IF($AP2495="","職員マスタに未登録の職員番号／",IF($AA2495="","標準報酬月額が未登録／","")&amp;IF(AND($AQ2495&lt;&gt;"",OR(AND(INDEX(職員マスタ!$G$6:$G$405,$AP2495)&lt;&gt;"",INDEX(職員マスタ!$G$6:$G$405,$AP2495)&gt;EOMONTH($AQ2495,0)),AND(INDEX(職員マスタ!$H$6:$H$405,$AP2495)&lt;&gt;"",INDEX(職員マスタ!$H$6:$H$405,$AP2495)&lt;$AQ2495))),"対象月が時短期間外／","")&amp;IF(AND(INDEX(職員マスタ!$K$6:$K$405,$AP2495)&lt;&gt;"",N($W2495)&gt;0,INDEX(職員マスタ!$K$6:$K$405,$AP2495)&lt;&gt;$W2495),"標準報酬月額が申請書と相違（台帳"&amp;TEXT(INDEX(職員マスタ!$K$6:$K$405,$AP2495),"#,##0")&amp;"円／申請書"&amp;TEXT($W2495,"#,##0")&amp;"円）／","")&amp;IF(AND(INDEX(職員マスタ!$F$6:$F$405,$AP2495)&lt;&gt;"",$AQ2495&lt;&gt;"",INDEX(職員マスタ!$F$6:$F$405,$AP2495)&lt;$AQ2495),"対象月に子が2歳到達済／","")&amp;IF(AND($H2495&lt;&gt;"",INDEX(職員マスタ!$B$6:$B$405,$AP2495)&lt;&gt;"",SUBSTITUTE(SUBSTITUTE($H2495," ","")," ","")&lt;&gt;SUBSTITUTE(SUBSTITUTE(INDEX(職員マスタ!$B$6:$B$405,$AP2495)," ","")," ","")),"氏名がマスタと相違／","")&amp;IF(AND($Q2495&lt;&gt;"",INDEX(職員マスタ!$E$6:$E$405,$AP2495)&lt;&gt;"",$Q2495&lt;&gt;INDEX(職員マスタ!$E$6:$E$405,$AP2495)),"子の生年月日がマスタと相違／","")&amp;IF(AND($L2495&lt;&gt;"",INDEX(職員マスタ!$G$6:$G$405,$AP2495)&lt;&gt;"",$L2495&lt;&gt;INDEX(職員マスタ!$G$6:$G$405,$AP2495)),"時短開始日がマスタと相違／","")&amp;IF(AND($M2495&lt;&gt;"",INDEX(職員マスタ!$H$6:$H$405,$AP2495)&lt;&gt;"",$M2495&lt;&gt;INDEX(職員マスタ!$H$6:$H$405,$AP2495)),"時短終了日がマスタと相違／","")))&amp;IF(AND($B2495&lt;&gt;"",$E2495=""),"報酬額が未入力／","")&amp;IF(N($U2495)&gt;0,"申請書に入力エラーが残っています／","")&amp;IF(AND($B2495&lt;&gt;"",$AQ2495&lt;&gt;""),IF(COUNTIFS($B$6:$B$3005,$B2495,$C$6:$C$3005,$C2495,$D$6:$D$3005,$D2495)&gt;1,"同じ月の請求が重複しています／",""),"")&amp;IF(AND(N($E2495)&gt;0,$AB2495&lt;&gt;"",$AB2495&lt;&gt;"×",$AE2495=0,$AD2495=""),"計算額が下限以下のため不支給／",""))</f>
        <v/>
      </c>
      <c r="AN2495" s="12" t="n"/>
      <c r="AO2495" s="14">
        <f>IF($AF2495="保留中",COUNTIF($AF$6:$AF2495,"保留中"),"")</f>
        <v/>
      </c>
      <c r="AP2495" s="14">
        <f>IF($AQ2495="","",IF(SUMPRODUCT(MAX((職員マスタ!$A$6:$A$405=$B2495)*(((職員マスタ!$G$6:$G$405="")+(職員マスタ!$G$6:$G$405&lt;=EOMONTH($AQ2495,0)))&gt;0)*(((職員マスタ!$H$6:$H$405="")+(職員マスタ!$H$6:$H$405&gt;=$AQ2495))&gt;0)*(ROW(職員マスタ!$A$6:$A$405)-5)))&gt;0,SUMPRODUCT(MAX((職員マスタ!$A$6:$A$405=$B2495)*(((職員マスタ!$G$6:$G$405="")+(職員マスタ!$G$6:$G$405&lt;=EOMONTH($AQ2495,0)))&gt;0)*(((職員マスタ!$H$6:$H$405="")+(職員マスタ!$H$6:$H$405&gt;=$AQ2495))&gt;0)*(ROW(職員マスタ!$A$6:$A$405)-5))),IFERROR(MATCH($B2495,職員マスタ!$A$6:$A$405,0),"")))</f>
        <v/>
      </c>
      <c r="AQ2495" s="16">
        <f>IF(OR($B2495="",$C2495="",$D2495=""),"",DATE($C2495+2018,$D2495,1))</f>
        <v/>
      </c>
    </row>
    <row r="2496">
      <c r="A2496" s="11" t="n"/>
      <c r="B2496" s="12" t="n"/>
      <c r="C2496" s="12" t="n"/>
      <c r="D2496" s="12" t="n"/>
      <c r="E2496" s="13" t="n"/>
      <c r="F2496" s="12" t="n"/>
      <c r="G2496" s="13" t="n"/>
      <c r="H2496" s="12" t="n"/>
      <c r="I2496" s="12" t="n"/>
      <c r="J2496" s="12" t="n"/>
      <c r="K2496" s="12" t="n"/>
      <c r="L2496" s="11" t="n"/>
      <c r="M2496" s="11" t="n"/>
      <c r="N2496" s="11" t="n"/>
      <c r="O2496" s="11" t="n"/>
      <c r="P2496" s="12" t="n"/>
      <c r="Q2496" s="11" t="n"/>
      <c r="R2496" s="12" t="n"/>
      <c r="S2496" s="11" t="n"/>
      <c r="T2496" s="12" t="n"/>
      <c r="U2496" s="12" t="n"/>
      <c r="V2496" s="12" t="n"/>
      <c r="W2496" s="13" t="n"/>
      <c r="X2496" s="14">
        <f>IF($AP2496="",IF($B2496="","",$H2496),IF(INDEX(職員マスタ!$B$6:$B$405,$AP2496)="",$H2496,INDEX(職員マスタ!$B$6:$B$405,$AP2496)))</f>
        <v/>
      </c>
      <c r="Y2496" s="14">
        <f>IF($AP2496="",IF($B2496="","",$R2496),IF(INDEX(職員マスタ!$C$6:$C$405,$AP2496)="",$R2496,INDEX(職員マスタ!$C$6:$C$405,$AP2496)))</f>
        <v/>
      </c>
      <c r="Z2496" s="14">
        <f>IF($AQ2496="","","R"&amp;$C2496&amp;"."&amp;$D2496)</f>
        <v/>
      </c>
      <c r="AA2496" s="15">
        <f>IF(IF($AP2496="",FALSE,INDEX(職員マスタ!$K$6:$K$405,$AP2496)&lt;&gt;""),INDEX(職員マスタ!$K$6:$K$405,$AP2496),IF(N($W2496)&gt;0,$W2496,""))</f>
        <v/>
      </c>
      <c r="AB2496" s="14">
        <f>IF(OR($E2496="",$AA2496=""),"",IF($E2496&gt;=$AA2496,"×",IF($E2496&gt;=$AA2496*設定!$C$5,"△","○")))</f>
        <v/>
      </c>
      <c r="AC2496" s="15">
        <f>IF($AB2496="","",IF($AB2496="×",0,IF($AB2496="○",ROUNDDOWN($E2496*設定!$C$4,0),ROUNDDOWN($E2496*ROUND((9*$AA2496-9*$E2496)/(10*$E2496),4),0))))</f>
        <v/>
      </c>
      <c r="AD2496" s="13" t="n"/>
      <c r="AE2496" s="15">
        <f>IF($B2496="","",IF($AD2496&lt;&gt;"",$AD2496,IF($AC2496="","",IF($AC2496&lt;=設定!$C$3,0,$AC2496))))</f>
        <v/>
      </c>
      <c r="AF2496" s="14">
        <f>IF($B2496="","",IF(AND($AG2496&lt;&gt;"",$AI2496="",$AL2496=""),"保留中",IF($AL2496&lt;&gt;"",IF(N($AE2496)&gt;0,"支給済","不支給"),IF($AE2496="","要確認",IF($AE2496=0,"不支給","未処理")))))</f>
        <v/>
      </c>
      <c r="AG2496" s="12" t="n"/>
      <c r="AH2496" s="11" t="n"/>
      <c r="AI2496" s="11" t="n"/>
      <c r="AJ2496" s="11" t="n"/>
      <c r="AK2496" s="14">
        <f>IF(AND($AF2496="保留中",$AH2496&lt;&gt;""),TODAY()-$AH2496,"")</f>
        <v/>
      </c>
      <c r="AL2496" s="12" t="n"/>
      <c r="AM2496" s="14">
        <f>IF($B2496="","",IF($AQ2496="","対象年月が未入力／","")&amp;IF($B2496="","",IF($AP2496="","職員マスタに未登録の職員番号／",IF($AA2496="","標準報酬月額が未登録／","")&amp;IF(AND($AQ2496&lt;&gt;"",OR(AND(INDEX(職員マスタ!$G$6:$G$405,$AP2496)&lt;&gt;"",INDEX(職員マスタ!$G$6:$G$405,$AP2496)&gt;EOMONTH($AQ2496,0)),AND(INDEX(職員マスタ!$H$6:$H$405,$AP2496)&lt;&gt;"",INDEX(職員マスタ!$H$6:$H$405,$AP2496)&lt;$AQ2496))),"対象月が時短期間外／","")&amp;IF(AND(INDEX(職員マスタ!$K$6:$K$405,$AP2496)&lt;&gt;"",N($W2496)&gt;0,INDEX(職員マスタ!$K$6:$K$405,$AP2496)&lt;&gt;$W2496),"標準報酬月額が申請書と相違（台帳"&amp;TEXT(INDEX(職員マスタ!$K$6:$K$405,$AP2496),"#,##0")&amp;"円／申請書"&amp;TEXT($W2496,"#,##0")&amp;"円）／","")&amp;IF(AND(INDEX(職員マスタ!$F$6:$F$405,$AP2496)&lt;&gt;"",$AQ2496&lt;&gt;"",INDEX(職員マスタ!$F$6:$F$405,$AP2496)&lt;$AQ2496),"対象月に子が2歳到達済／","")&amp;IF(AND($H2496&lt;&gt;"",INDEX(職員マスタ!$B$6:$B$405,$AP2496)&lt;&gt;"",SUBSTITUTE(SUBSTITUTE($H2496," ","")," ","")&lt;&gt;SUBSTITUTE(SUBSTITUTE(INDEX(職員マスタ!$B$6:$B$405,$AP2496)," ","")," ","")),"氏名がマスタと相違／","")&amp;IF(AND($Q2496&lt;&gt;"",INDEX(職員マスタ!$E$6:$E$405,$AP2496)&lt;&gt;"",$Q2496&lt;&gt;INDEX(職員マスタ!$E$6:$E$405,$AP2496)),"子の生年月日がマスタと相違／","")&amp;IF(AND($L2496&lt;&gt;"",INDEX(職員マスタ!$G$6:$G$405,$AP2496)&lt;&gt;"",$L2496&lt;&gt;INDEX(職員マスタ!$G$6:$G$405,$AP2496)),"時短開始日がマスタと相違／","")&amp;IF(AND($M2496&lt;&gt;"",INDEX(職員マスタ!$H$6:$H$405,$AP2496)&lt;&gt;"",$M2496&lt;&gt;INDEX(職員マスタ!$H$6:$H$405,$AP2496)),"時短終了日がマスタと相違／","")))&amp;IF(AND($B2496&lt;&gt;"",$E2496=""),"報酬額が未入力／","")&amp;IF(N($U2496)&gt;0,"申請書に入力エラーが残っています／","")&amp;IF(AND($B2496&lt;&gt;"",$AQ2496&lt;&gt;""),IF(COUNTIFS($B$6:$B$3005,$B2496,$C$6:$C$3005,$C2496,$D$6:$D$3005,$D2496)&gt;1,"同じ月の請求が重複しています／",""),"")&amp;IF(AND(N($E2496)&gt;0,$AB2496&lt;&gt;"",$AB2496&lt;&gt;"×",$AE2496=0,$AD2496=""),"計算額が下限以下のため不支給／",""))</f>
        <v/>
      </c>
      <c r="AN2496" s="12" t="n"/>
      <c r="AO2496" s="14">
        <f>IF($AF2496="保留中",COUNTIF($AF$6:$AF2496,"保留中"),"")</f>
        <v/>
      </c>
      <c r="AP2496" s="14">
        <f>IF($AQ2496="","",IF(SUMPRODUCT(MAX((職員マスタ!$A$6:$A$405=$B2496)*(((職員マスタ!$G$6:$G$405="")+(職員マスタ!$G$6:$G$405&lt;=EOMONTH($AQ2496,0)))&gt;0)*(((職員マスタ!$H$6:$H$405="")+(職員マスタ!$H$6:$H$405&gt;=$AQ2496))&gt;0)*(ROW(職員マスタ!$A$6:$A$405)-5)))&gt;0,SUMPRODUCT(MAX((職員マスタ!$A$6:$A$405=$B2496)*(((職員マスタ!$G$6:$G$405="")+(職員マスタ!$G$6:$G$405&lt;=EOMONTH($AQ2496,0)))&gt;0)*(((職員マスタ!$H$6:$H$405="")+(職員マスタ!$H$6:$H$405&gt;=$AQ2496))&gt;0)*(ROW(職員マスタ!$A$6:$A$405)-5))),IFERROR(MATCH($B2496,職員マスタ!$A$6:$A$405,0),"")))</f>
        <v/>
      </c>
      <c r="AQ2496" s="16">
        <f>IF(OR($B2496="",$C2496="",$D2496=""),"",DATE($C2496+2018,$D2496,1))</f>
        <v/>
      </c>
    </row>
    <row r="2497">
      <c r="A2497" s="11" t="n"/>
      <c r="B2497" s="12" t="n"/>
      <c r="C2497" s="12" t="n"/>
      <c r="D2497" s="12" t="n"/>
      <c r="E2497" s="13" t="n"/>
      <c r="F2497" s="12" t="n"/>
      <c r="G2497" s="13" t="n"/>
      <c r="H2497" s="12" t="n"/>
      <c r="I2497" s="12" t="n"/>
      <c r="J2497" s="12" t="n"/>
      <c r="K2497" s="12" t="n"/>
      <c r="L2497" s="11" t="n"/>
      <c r="M2497" s="11" t="n"/>
      <c r="N2497" s="11" t="n"/>
      <c r="O2497" s="11" t="n"/>
      <c r="P2497" s="12" t="n"/>
      <c r="Q2497" s="11" t="n"/>
      <c r="R2497" s="12" t="n"/>
      <c r="S2497" s="11" t="n"/>
      <c r="T2497" s="12" t="n"/>
      <c r="U2497" s="12" t="n"/>
      <c r="V2497" s="12" t="n"/>
      <c r="W2497" s="13" t="n"/>
      <c r="X2497" s="14">
        <f>IF($AP2497="",IF($B2497="","",$H2497),IF(INDEX(職員マスタ!$B$6:$B$405,$AP2497)="",$H2497,INDEX(職員マスタ!$B$6:$B$405,$AP2497)))</f>
        <v/>
      </c>
      <c r="Y2497" s="14">
        <f>IF($AP2497="",IF($B2497="","",$R2497),IF(INDEX(職員マスタ!$C$6:$C$405,$AP2497)="",$R2497,INDEX(職員マスタ!$C$6:$C$405,$AP2497)))</f>
        <v/>
      </c>
      <c r="Z2497" s="14">
        <f>IF($AQ2497="","","R"&amp;$C2497&amp;"."&amp;$D2497)</f>
        <v/>
      </c>
      <c r="AA2497" s="15">
        <f>IF(IF($AP2497="",FALSE,INDEX(職員マスタ!$K$6:$K$405,$AP2497)&lt;&gt;""),INDEX(職員マスタ!$K$6:$K$405,$AP2497),IF(N($W2497)&gt;0,$W2497,""))</f>
        <v/>
      </c>
      <c r="AB2497" s="14">
        <f>IF(OR($E2497="",$AA2497=""),"",IF($E2497&gt;=$AA2497,"×",IF($E2497&gt;=$AA2497*設定!$C$5,"△","○")))</f>
        <v/>
      </c>
      <c r="AC2497" s="15">
        <f>IF($AB2497="","",IF($AB2497="×",0,IF($AB2497="○",ROUNDDOWN($E2497*設定!$C$4,0),ROUNDDOWN($E2497*ROUND((9*$AA2497-9*$E2497)/(10*$E2497),4),0))))</f>
        <v/>
      </c>
      <c r="AD2497" s="13" t="n"/>
      <c r="AE2497" s="15">
        <f>IF($B2497="","",IF($AD2497&lt;&gt;"",$AD2497,IF($AC2497="","",IF($AC2497&lt;=設定!$C$3,0,$AC2497))))</f>
        <v/>
      </c>
      <c r="AF2497" s="14">
        <f>IF($B2497="","",IF(AND($AG2497&lt;&gt;"",$AI2497="",$AL2497=""),"保留中",IF($AL2497&lt;&gt;"",IF(N($AE2497)&gt;0,"支給済","不支給"),IF($AE2497="","要確認",IF($AE2497=0,"不支給","未処理")))))</f>
        <v/>
      </c>
      <c r="AG2497" s="12" t="n"/>
      <c r="AH2497" s="11" t="n"/>
      <c r="AI2497" s="11" t="n"/>
      <c r="AJ2497" s="11" t="n"/>
      <c r="AK2497" s="14">
        <f>IF(AND($AF2497="保留中",$AH2497&lt;&gt;""),TODAY()-$AH2497,"")</f>
        <v/>
      </c>
      <c r="AL2497" s="12" t="n"/>
      <c r="AM2497" s="14">
        <f>IF($B2497="","",IF($AQ2497="","対象年月が未入力／","")&amp;IF($B2497="","",IF($AP2497="","職員マスタに未登録の職員番号／",IF($AA2497="","標準報酬月額が未登録／","")&amp;IF(AND($AQ2497&lt;&gt;"",OR(AND(INDEX(職員マスタ!$G$6:$G$405,$AP2497)&lt;&gt;"",INDEX(職員マスタ!$G$6:$G$405,$AP2497)&gt;EOMONTH($AQ2497,0)),AND(INDEX(職員マスタ!$H$6:$H$405,$AP2497)&lt;&gt;"",INDEX(職員マスタ!$H$6:$H$405,$AP2497)&lt;$AQ2497))),"対象月が時短期間外／","")&amp;IF(AND(INDEX(職員マスタ!$K$6:$K$405,$AP2497)&lt;&gt;"",N($W2497)&gt;0,INDEX(職員マスタ!$K$6:$K$405,$AP2497)&lt;&gt;$W2497),"標準報酬月額が申請書と相違（台帳"&amp;TEXT(INDEX(職員マスタ!$K$6:$K$405,$AP2497),"#,##0")&amp;"円／申請書"&amp;TEXT($W2497,"#,##0")&amp;"円）／","")&amp;IF(AND(INDEX(職員マスタ!$F$6:$F$405,$AP2497)&lt;&gt;"",$AQ2497&lt;&gt;"",INDEX(職員マスタ!$F$6:$F$405,$AP2497)&lt;$AQ2497),"対象月に子が2歳到達済／","")&amp;IF(AND($H2497&lt;&gt;"",INDEX(職員マスタ!$B$6:$B$405,$AP2497)&lt;&gt;"",SUBSTITUTE(SUBSTITUTE($H2497," ","")," ","")&lt;&gt;SUBSTITUTE(SUBSTITUTE(INDEX(職員マスタ!$B$6:$B$405,$AP2497)," ","")," ","")),"氏名がマスタと相違／","")&amp;IF(AND($Q2497&lt;&gt;"",INDEX(職員マスタ!$E$6:$E$405,$AP2497)&lt;&gt;"",$Q2497&lt;&gt;INDEX(職員マスタ!$E$6:$E$405,$AP2497)),"子の生年月日がマスタと相違／","")&amp;IF(AND($L2497&lt;&gt;"",INDEX(職員マスタ!$G$6:$G$405,$AP2497)&lt;&gt;"",$L2497&lt;&gt;INDEX(職員マスタ!$G$6:$G$405,$AP2497)),"時短開始日がマスタと相違／","")&amp;IF(AND($M2497&lt;&gt;"",INDEX(職員マスタ!$H$6:$H$405,$AP2497)&lt;&gt;"",$M2497&lt;&gt;INDEX(職員マスタ!$H$6:$H$405,$AP2497)),"時短終了日がマスタと相違／","")))&amp;IF(AND($B2497&lt;&gt;"",$E2497=""),"報酬額が未入力／","")&amp;IF(N($U2497)&gt;0,"申請書に入力エラーが残っています／","")&amp;IF(AND($B2497&lt;&gt;"",$AQ2497&lt;&gt;""),IF(COUNTIFS($B$6:$B$3005,$B2497,$C$6:$C$3005,$C2497,$D$6:$D$3005,$D2497)&gt;1,"同じ月の請求が重複しています／",""),"")&amp;IF(AND(N($E2497)&gt;0,$AB2497&lt;&gt;"",$AB2497&lt;&gt;"×",$AE2497=0,$AD2497=""),"計算額が下限以下のため不支給／",""))</f>
        <v/>
      </c>
      <c r="AN2497" s="12" t="n"/>
      <c r="AO2497" s="14">
        <f>IF($AF2497="保留中",COUNTIF($AF$6:$AF2497,"保留中"),"")</f>
        <v/>
      </c>
      <c r="AP2497" s="14">
        <f>IF($AQ2497="","",IF(SUMPRODUCT(MAX((職員マスタ!$A$6:$A$405=$B2497)*(((職員マスタ!$G$6:$G$405="")+(職員マスタ!$G$6:$G$405&lt;=EOMONTH($AQ2497,0)))&gt;0)*(((職員マスタ!$H$6:$H$405="")+(職員マスタ!$H$6:$H$405&gt;=$AQ2497))&gt;0)*(ROW(職員マスタ!$A$6:$A$405)-5)))&gt;0,SUMPRODUCT(MAX((職員マスタ!$A$6:$A$405=$B2497)*(((職員マスタ!$G$6:$G$405="")+(職員マスタ!$G$6:$G$405&lt;=EOMONTH($AQ2497,0)))&gt;0)*(((職員マスタ!$H$6:$H$405="")+(職員マスタ!$H$6:$H$405&gt;=$AQ2497))&gt;0)*(ROW(職員マスタ!$A$6:$A$405)-5))),IFERROR(MATCH($B2497,職員マスタ!$A$6:$A$405,0),"")))</f>
        <v/>
      </c>
      <c r="AQ2497" s="16">
        <f>IF(OR($B2497="",$C2497="",$D2497=""),"",DATE($C2497+2018,$D2497,1))</f>
        <v/>
      </c>
    </row>
    <row r="2498">
      <c r="A2498" s="11" t="n"/>
      <c r="B2498" s="12" t="n"/>
      <c r="C2498" s="12" t="n"/>
      <c r="D2498" s="12" t="n"/>
      <c r="E2498" s="13" t="n"/>
      <c r="F2498" s="12" t="n"/>
      <c r="G2498" s="13" t="n"/>
      <c r="H2498" s="12" t="n"/>
      <c r="I2498" s="12" t="n"/>
      <c r="J2498" s="12" t="n"/>
      <c r="K2498" s="12" t="n"/>
      <c r="L2498" s="11" t="n"/>
      <c r="M2498" s="11" t="n"/>
      <c r="N2498" s="11" t="n"/>
      <c r="O2498" s="11" t="n"/>
      <c r="P2498" s="12" t="n"/>
      <c r="Q2498" s="11" t="n"/>
      <c r="R2498" s="12" t="n"/>
      <c r="S2498" s="11" t="n"/>
      <c r="T2498" s="12" t="n"/>
      <c r="U2498" s="12" t="n"/>
      <c r="V2498" s="12" t="n"/>
      <c r="W2498" s="13" t="n"/>
      <c r="X2498" s="14">
        <f>IF($AP2498="",IF($B2498="","",$H2498),IF(INDEX(職員マスタ!$B$6:$B$405,$AP2498)="",$H2498,INDEX(職員マスタ!$B$6:$B$405,$AP2498)))</f>
        <v/>
      </c>
      <c r="Y2498" s="14">
        <f>IF($AP2498="",IF($B2498="","",$R2498),IF(INDEX(職員マスタ!$C$6:$C$405,$AP2498)="",$R2498,INDEX(職員マスタ!$C$6:$C$405,$AP2498)))</f>
        <v/>
      </c>
      <c r="Z2498" s="14">
        <f>IF($AQ2498="","","R"&amp;$C2498&amp;"."&amp;$D2498)</f>
        <v/>
      </c>
      <c r="AA2498" s="15">
        <f>IF(IF($AP2498="",FALSE,INDEX(職員マスタ!$K$6:$K$405,$AP2498)&lt;&gt;""),INDEX(職員マスタ!$K$6:$K$405,$AP2498),IF(N($W2498)&gt;0,$W2498,""))</f>
        <v/>
      </c>
      <c r="AB2498" s="14">
        <f>IF(OR($E2498="",$AA2498=""),"",IF($E2498&gt;=$AA2498,"×",IF($E2498&gt;=$AA2498*設定!$C$5,"△","○")))</f>
        <v/>
      </c>
      <c r="AC2498" s="15">
        <f>IF($AB2498="","",IF($AB2498="×",0,IF($AB2498="○",ROUNDDOWN($E2498*設定!$C$4,0),ROUNDDOWN($E2498*ROUND((9*$AA2498-9*$E2498)/(10*$E2498),4),0))))</f>
        <v/>
      </c>
      <c r="AD2498" s="13" t="n"/>
      <c r="AE2498" s="15">
        <f>IF($B2498="","",IF($AD2498&lt;&gt;"",$AD2498,IF($AC2498="","",IF($AC2498&lt;=設定!$C$3,0,$AC2498))))</f>
        <v/>
      </c>
      <c r="AF2498" s="14">
        <f>IF($B2498="","",IF(AND($AG2498&lt;&gt;"",$AI2498="",$AL2498=""),"保留中",IF($AL2498&lt;&gt;"",IF(N($AE2498)&gt;0,"支給済","不支給"),IF($AE2498="","要確認",IF($AE2498=0,"不支給","未処理")))))</f>
        <v/>
      </c>
      <c r="AG2498" s="12" t="n"/>
      <c r="AH2498" s="11" t="n"/>
      <c r="AI2498" s="11" t="n"/>
      <c r="AJ2498" s="11" t="n"/>
      <c r="AK2498" s="14">
        <f>IF(AND($AF2498="保留中",$AH2498&lt;&gt;""),TODAY()-$AH2498,"")</f>
        <v/>
      </c>
      <c r="AL2498" s="12" t="n"/>
      <c r="AM2498" s="14">
        <f>IF($B2498="","",IF($AQ2498="","対象年月が未入力／","")&amp;IF($B2498="","",IF($AP2498="","職員マスタに未登録の職員番号／",IF($AA2498="","標準報酬月額が未登録／","")&amp;IF(AND($AQ2498&lt;&gt;"",OR(AND(INDEX(職員マスタ!$G$6:$G$405,$AP2498)&lt;&gt;"",INDEX(職員マスタ!$G$6:$G$405,$AP2498)&gt;EOMONTH($AQ2498,0)),AND(INDEX(職員マスタ!$H$6:$H$405,$AP2498)&lt;&gt;"",INDEX(職員マスタ!$H$6:$H$405,$AP2498)&lt;$AQ2498))),"対象月が時短期間外／","")&amp;IF(AND(INDEX(職員マスタ!$K$6:$K$405,$AP2498)&lt;&gt;"",N($W2498)&gt;0,INDEX(職員マスタ!$K$6:$K$405,$AP2498)&lt;&gt;$W2498),"標準報酬月額が申請書と相違（台帳"&amp;TEXT(INDEX(職員マスタ!$K$6:$K$405,$AP2498),"#,##0")&amp;"円／申請書"&amp;TEXT($W2498,"#,##0")&amp;"円）／","")&amp;IF(AND(INDEX(職員マスタ!$F$6:$F$405,$AP2498)&lt;&gt;"",$AQ2498&lt;&gt;"",INDEX(職員マスタ!$F$6:$F$405,$AP2498)&lt;$AQ2498),"対象月に子が2歳到達済／","")&amp;IF(AND($H2498&lt;&gt;"",INDEX(職員マスタ!$B$6:$B$405,$AP2498)&lt;&gt;"",SUBSTITUTE(SUBSTITUTE($H2498," ","")," ","")&lt;&gt;SUBSTITUTE(SUBSTITUTE(INDEX(職員マスタ!$B$6:$B$405,$AP2498)," ","")," ","")),"氏名がマスタと相違／","")&amp;IF(AND($Q2498&lt;&gt;"",INDEX(職員マスタ!$E$6:$E$405,$AP2498)&lt;&gt;"",$Q2498&lt;&gt;INDEX(職員マスタ!$E$6:$E$405,$AP2498)),"子の生年月日がマスタと相違／","")&amp;IF(AND($L2498&lt;&gt;"",INDEX(職員マスタ!$G$6:$G$405,$AP2498)&lt;&gt;"",$L2498&lt;&gt;INDEX(職員マスタ!$G$6:$G$405,$AP2498)),"時短開始日がマスタと相違／","")&amp;IF(AND($M2498&lt;&gt;"",INDEX(職員マスタ!$H$6:$H$405,$AP2498)&lt;&gt;"",$M2498&lt;&gt;INDEX(職員マスタ!$H$6:$H$405,$AP2498)),"時短終了日がマスタと相違／","")))&amp;IF(AND($B2498&lt;&gt;"",$E2498=""),"報酬額が未入力／","")&amp;IF(N($U2498)&gt;0,"申請書に入力エラーが残っています／","")&amp;IF(AND($B2498&lt;&gt;"",$AQ2498&lt;&gt;""),IF(COUNTIFS($B$6:$B$3005,$B2498,$C$6:$C$3005,$C2498,$D$6:$D$3005,$D2498)&gt;1,"同じ月の請求が重複しています／",""),"")&amp;IF(AND(N($E2498)&gt;0,$AB2498&lt;&gt;"",$AB2498&lt;&gt;"×",$AE2498=0,$AD2498=""),"計算額が下限以下のため不支給／",""))</f>
        <v/>
      </c>
      <c r="AN2498" s="12" t="n"/>
      <c r="AO2498" s="14">
        <f>IF($AF2498="保留中",COUNTIF($AF$6:$AF2498,"保留中"),"")</f>
        <v/>
      </c>
      <c r="AP2498" s="14">
        <f>IF($AQ2498="","",IF(SUMPRODUCT(MAX((職員マスタ!$A$6:$A$405=$B2498)*(((職員マスタ!$G$6:$G$405="")+(職員マスタ!$G$6:$G$405&lt;=EOMONTH($AQ2498,0)))&gt;0)*(((職員マスタ!$H$6:$H$405="")+(職員マスタ!$H$6:$H$405&gt;=$AQ2498))&gt;0)*(ROW(職員マスタ!$A$6:$A$405)-5)))&gt;0,SUMPRODUCT(MAX((職員マスタ!$A$6:$A$405=$B2498)*(((職員マスタ!$G$6:$G$405="")+(職員マスタ!$G$6:$G$405&lt;=EOMONTH($AQ2498,0)))&gt;0)*(((職員マスタ!$H$6:$H$405="")+(職員マスタ!$H$6:$H$405&gt;=$AQ2498))&gt;0)*(ROW(職員マスタ!$A$6:$A$405)-5))),IFERROR(MATCH($B2498,職員マスタ!$A$6:$A$405,0),"")))</f>
        <v/>
      </c>
      <c r="AQ2498" s="16">
        <f>IF(OR($B2498="",$C2498="",$D2498=""),"",DATE($C2498+2018,$D2498,1))</f>
        <v/>
      </c>
    </row>
    <row r="2499">
      <c r="A2499" s="11" t="n"/>
      <c r="B2499" s="12" t="n"/>
      <c r="C2499" s="12" t="n"/>
      <c r="D2499" s="12" t="n"/>
      <c r="E2499" s="13" t="n"/>
      <c r="F2499" s="12" t="n"/>
      <c r="G2499" s="13" t="n"/>
      <c r="H2499" s="12" t="n"/>
      <c r="I2499" s="12" t="n"/>
      <c r="J2499" s="12" t="n"/>
      <c r="K2499" s="12" t="n"/>
      <c r="L2499" s="11" t="n"/>
      <c r="M2499" s="11" t="n"/>
      <c r="N2499" s="11" t="n"/>
      <c r="O2499" s="11" t="n"/>
      <c r="P2499" s="12" t="n"/>
      <c r="Q2499" s="11" t="n"/>
      <c r="R2499" s="12" t="n"/>
      <c r="S2499" s="11" t="n"/>
      <c r="T2499" s="12" t="n"/>
      <c r="U2499" s="12" t="n"/>
      <c r="V2499" s="12" t="n"/>
      <c r="W2499" s="13" t="n"/>
      <c r="X2499" s="14">
        <f>IF($AP2499="",IF($B2499="","",$H2499),IF(INDEX(職員マスタ!$B$6:$B$405,$AP2499)="",$H2499,INDEX(職員マスタ!$B$6:$B$405,$AP2499)))</f>
        <v/>
      </c>
      <c r="Y2499" s="14">
        <f>IF($AP2499="",IF($B2499="","",$R2499),IF(INDEX(職員マスタ!$C$6:$C$405,$AP2499)="",$R2499,INDEX(職員マスタ!$C$6:$C$405,$AP2499)))</f>
        <v/>
      </c>
      <c r="Z2499" s="14">
        <f>IF($AQ2499="","","R"&amp;$C2499&amp;"."&amp;$D2499)</f>
        <v/>
      </c>
      <c r="AA2499" s="15">
        <f>IF(IF($AP2499="",FALSE,INDEX(職員マスタ!$K$6:$K$405,$AP2499)&lt;&gt;""),INDEX(職員マスタ!$K$6:$K$405,$AP2499),IF(N($W2499)&gt;0,$W2499,""))</f>
        <v/>
      </c>
      <c r="AB2499" s="14">
        <f>IF(OR($E2499="",$AA2499=""),"",IF($E2499&gt;=$AA2499,"×",IF($E2499&gt;=$AA2499*設定!$C$5,"△","○")))</f>
        <v/>
      </c>
      <c r="AC2499" s="15">
        <f>IF($AB2499="","",IF($AB2499="×",0,IF($AB2499="○",ROUNDDOWN($E2499*設定!$C$4,0),ROUNDDOWN($E2499*ROUND((9*$AA2499-9*$E2499)/(10*$E2499),4),0))))</f>
        <v/>
      </c>
      <c r="AD2499" s="13" t="n"/>
      <c r="AE2499" s="15">
        <f>IF($B2499="","",IF($AD2499&lt;&gt;"",$AD2499,IF($AC2499="","",IF($AC2499&lt;=設定!$C$3,0,$AC2499))))</f>
        <v/>
      </c>
      <c r="AF2499" s="14">
        <f>IF($B2499="","",IF(AND($AG2499&lt;&gt;"",$AI2499="",$AL2499=""),"保留中",IF($AL2499&lt;&gt;"",IF(N($AE2499)&gt;0,"支給済","不支給"),IF($AE2499="","要確認",IF($AE2499=0,"不支給","未処理")))))</f>
        <v/>
      </c>
      <c r="AG2499" s="12" t="n"/>
      <c r="AH2499" s="11" t="n"/>
      <c r="AI2499" s="11" t="n"/>
      <c r="AJ2499" s="11" t="n"/>
      <c r="AK2499" s="14">
        <f>IF(AND($AF2499="保留中",$AH2499&lt;&gt;""),TODAY()-$AH2499,"")</f>
        <v/>
      </c>
      <c r="AL2499" s="12" t="n"/>
      <c r="AM2499" s="14">
        <f>IF($B2499="","",IF($AQ2499="","対象年月が未入力／","")&amp;IF($B2499="","",IF($AP2499="","職員マスタに未登録の職員番号／",IF($AA2499="","標準報酬月額が未登録／","")&amp;IF(AND($AQ2499&lt;&gt;"",OR(AND(INDEX(職員マスタ!$G$6:$G$405,$AP2499)&lt;&gt;"",INDEX(職員マスタ!$G$6:$G$405,$AP2499)&gt;EOMONTH($AQ2499,0)),AND(INDEX(職員マスタ!$H$6:$H$405,$AP2499)&lt;&gt;"",INDEX(職員マスタ!$H$6:$H$405,$AP2499)&lt;$AQ2499))),"対象月が時短期間外／","")&amp;IF(AND(INDEX(職員マスタ!$K$6:$K$405,$AP2499)&lt;&gt;"",N($W2499)&gt;0,INDEX(職員マスタ!$K$6:$K$405,$AP2499)&lt;&gt;$W2499),"標準報酬月額が申請書と相違（台帳"&amp;TEXT(INDEX(職員マスタ!$K$6:$K$405,$AP2499),"#,##0")&amp;"円／申請書"&amp;TEXT($W2499,"#,##0")&amp;"円）／","")&amp;IF(AND(INDEX(職員マスタ!$F$6:$F$405,$AP2499)&lt;&gt;"",$AQ2499&lt;&gt;"",INDEX(職員マスタ!$F$6:$F$405,$AP2499)&lt;$AQ2499),"対象月に子が2歳到達済／","")&amp;IF(AND($H2499&lt;&gt;"",INDEX(職員マスタ!$B$6:$B$405,$AP2499)&lt;&gt;"",SUBSTITUTE(SUBSTITUTE($H2499," ","")," ","")&lt;&gt;SUBSTITUTE(SUBSTITUTE(INDEX(職員マスタ!$B$6:$B$405,$AP2499)," ","")," ","")),"氏名がマスタと相違／","")&amp;IF(AND($Q2499&lt;&gt;"",INDEX(職員マスタ!$E$6:$E$405,$AP2499)&lt;&gt;"",$Q2499&lt;&gt;INDEX(職員マスタ!$E$6:$E$405,$AP2499)),"子の生年月日がマスタと相違／","")&amp;IF(AND($L2499&lt;&gt;"",INDEX(職員マスタ!$G$6:$G$405,$AP2499)&lt;&gt;"",$L2499&lt;&gt;INDEX(職員マスタ!$G$6:$G$405,$AP2499)),"時短開始日がマスタと相違／","")&amp;IF(AND($M2499&lt;&gt;"",INDEX(職員マスタ!$H$6:$H$405,$AP2499)&lt;&gt;"",$M2499&lt;&gt;INDEX(職員マスタ!$H$6:$H$405,$AP2499)),"時短終了日がマスタと相違／","")))&amp;IF(AND($B2499&lt;&gt;"",$E2499=""),"報酬額が未入力／","")&amp;IF(N($U2499)&gt;0,"申請書に入力エラーが残っています／","")&amp;IF(AND($B2499&lt;&gt;"",$AQ2499&lt;&gt;""),IF(COUNTIFS($B$6:$B$3005,$B2499,$C$6:$C$3005,$C2499,$D$6:$D$3005,$D2499)&gt;1,"同じ月の請求が重複しています／",""),"")&amp;IF(AND(N($E2499)&gt;0,$AB2499&lt;&gt;"",$AB2499&lt;&gt;"×",$AE2499=0,$AD2499=""),"計算額が下限以下のため不支給／",""))</f>
        <v/>
      </c>
      <c r="AN2499" s="12" t="n"/>
      <c r="AO2499" s="14">
        <f>IF($AF2499="保留中",COUNTIF($AF$6:$AF2499,"保留中"),"")</f>
        <v/>
      </c>
      <c r="AP2499" s="14">
        <f>IF($AQ2499="","",IF(SUMPRODUCT(MAX((職員マスタ!$A$6:$A$405=$B2499)*(((職員マスタ!$G$6:$G$405="")+(職員マスタ!$G$6:$G$405&lt;=EOMONTH($AQ2499,0)))&gt;0)*(((職員マスタ!$H$6:$H$405="")+(職員マスタ!$H$6:$H$405&gt;=$AQ2499))&gt;0)*(ROW(職員マスタ!$A$6:$A$405)-5)))&gt;0,SUMPRODUCT(MAX((職員マスタ!$A$6:$A$405=$B2499)*(((職員マスタ!$G$6:$G$405="")+(職員マスタ!$G$6:$G$405&lt;=EOMONTH($AQ2499,0)))&gt;0)*(((職員マスタ!$H$6:$H$405="")+(職員マスタ!$H$6:$H$405&gt;=$AQ2499))&gt;0)*(ROW(職員マスタ!$A$6:$A$405)-5))),IFERROR(MATCH($B2499,職員マスタ!$A$6:$A$405,0),"")))</f>
        <v/>
      </c>
      <c r="AQ2499" s="16">
        <f>IF(OR($B2499="",$C2499="",$D2499=""),"",DATE($C2499+2018,$D2499,1))</f>
        <v/>
      </c>
    </row>
    <row r="2500">
      <c r="A2500" s="11" t="n"/>
      <c r="B2500" s="12" t="n"/>
      <c r="C2500" s="12" t="n"/>
      <c r="D2500" s="12" t="n"/>
      <c r="E2500" s="13" t="n"/>
      <c r="F2500" s="12" t="n"/>
      <c r="G2500" s="13" t="n"/>
      <c r="H2500" s="12" t="n"/>
      <c r="I2500" s="12" t="n"/>
      <c r="J2500" s="12" t="n"/>
      <c r="K2500" s="12" t="n"/>
      <c r="L2500" s="11" t="n"/>
      <c r="M2500" s="11" t="n"/>
      <c r="N2500" s="11" t="n"/>
      <c r="O2500" s="11" t="n"/>
      <c r="P2500" s="12" t="n"/>
      <c r="Q2500" s="11" t="n"/>
      <c r="R2500" s="12" t="n"/>
      <c r="S2500" s="11" t="n"/>
      <c r="T2500" s="12" t="n"/>
      <c r="U2500" s="12" t="n"/>
      <c r="V2500" s="12" t="n"/>
      <c r="W2500" s="13" t="n"/>
      <c r="X2500" s="14">
        <f>IF($AP2500="",IF($B2500="","",$H2500),IF(INDEX(職員マスタ!$B$6:$B$405,$AP2500)="",$H2500,INDEX(職員マスタ!$B$6:$B$405,$AP2500)))</f>
        <v/>
      </c>
      <c r="Y2500" s="14">
        <f>IF($AP2500="",IF($B2500="","",$R2500),IF(INDEX(職員マスタ!$C$6:$C$405,$AP2500)="",$R2500,INDEX(職員マスタ!$C$6:$C$405,$AP2500)))</f>
        <v/>
      </c>
      <c r="Z2500" s="14">
        <f>IF($AQ2500="","","R"&amp;$C2500&amp;"."&amp;$D2500)</f>
        <v/>
      </c>
      <c r="AA2500" s="15">
        <f>IF(IF($AP2500="",FALSE,INDEX(職員マスタ!$K$6:$K$405,$AP2500)&lt;&gt;""),INDEX(職員マスタ!$K$6:$K$405,$AP2500),IF(N($W2500)&gt;0,$W2500,""))</f>
        <v/>
      </c>
      <c r="AB2500" s="14">
        <f>IF(OR($E2500="",$AA2500=""),"",IF($E2500&gt;=$AA2500,"×",IF($E2500&gt;=$AA2500*設定!$C$5,"△","○")))</f>
        <v/>
      </c>
      <c r="AC2500" s="15">
        <f>IF($AB2500="","",IF($AB2500="×",0,IF($AB2500="○",ROUNDDOWN($E2500*設定!$C$4,0),ROUNDDOWN($E2500*ROUND((9*$AA2500-9*$E2500)/(10*$E2500),4),0))))</f>
        <v/>
      </c>
      <c r="AD2500" s="13" t="n"/>
      <c r="AE2500" s="15">
        <f>IF($B2500="","",IF($AD2500&lt;&gt;"",$AD2500,IF($AC2500="","",IF($AC2500&lt;=設定!$C$3,0,$AC2500))))</f>
        <v/>
      </c>
      <c r="AF2500" s="14">
        <f>IF($B2500="","",IF(AND($AG2500&lt;&gt;"",$AI2500="",$AL2500=""),"保留中",IF($AL2500&lt;&gt;"",IF(N($AE2500)&gt;0,"支給済","不支給"),IF($AE2500="","要確認",IF($AE2500=0,"不支給","未処理")))))</f>
        <v/>
      </c>
      <c r="AG2500" s="12" t="n"/>
      <c r="AH2500" s="11" t="n"/>
      <c r="AI2500" s="11" t="n"/>
      <c r="AJ2500" s="11" t="n"/>
      <c r="AK2500" s="14">
        <f>IF(AND($AF2500="保留中",$AH2500&lt;&gt;""),TODAY()-$AH2500,"")</f>
        <v/>
      </c>
      <c r="AL2500" s="12" t="n"/>
      <c r="AM2500" s="14">
        <f>IF($B2500="","",IF($AQ2500="","対象年月が未入力／","")&amp;IF($B2500="","",IF($AP2500="","職員マスタに未登録の職員番号／",IF($AA2500="","標準報酬月額が未登録／","")&amp;IF(AND($AQ2500&lt;&gt;"",OR(AND(INDEX(職員マスタ!$G$6:$G$405,$AP2500)&lt;&gt;"",INDEX(職員マスタ!$G$6:$G$405,$AP2500)&gt;EOMONTH($AQ2500,0)),AND(INDEX(職員マスタ!$H$6:$H$405,$AP2500)&lt;&gt;"",INDEX(職員マスタ!$H$6:$H$405,$AP2500)&lt;$AQ2500))),"対象月が時短期間外／","")&amp;IF(AND(INDEX(職員マスタ!$K$6:$K$405,$AP2500)&lt;&gt;"",N($W2500)&gt;0,INDEX(職員マスタ!$K$6:$K$405,$AP2500)&lt;&gt;$W2500),"標準報酬月額が申請書と相違（台帳"&amp;TEXT(INDEX(職員マスタ!$K$6:$K$405,$AP2500),"#,##0")&amp;"円／申請書"&amp;TEXT($W2500,"#,##0")&amp;"円）／","")&amp;IF(AND(INDEX(職員マスタ!$F$6:$F$405,$AP2500)&lt;&gt;"",$AQ2500&lt;&gt;"",INDEX(職員マスタ!$F$6:$F$405,$AP2500)&lt;$AQ2500),"対象月に子が2歳到達済／","")&amp;IF(AND($H2500&lt;&gt;"",INDEX(職員マスタ!$B$6:$B$405,$AP2500)&lt;&gt;"",SUBSTITUTE(SUBSTITUTE($H2500," ","")," ","")&lt;&gt;SUBSTITUTE(SUBSTITUTE(INDEX(職員マスタ!$B$6:$B$405,$AP2500)," ","")," ","")),"氏名がマスタと相違／","")&amp;IF(AND($Q2500&lt;&gt;"",INDEX(職員マスタ!$E$6:$E$405,$AP2500)&lt;&gt;"",$Q2500&lt;&gt;INDEX(職員マスタ!$E$6:$E$405,$AP2500)),"子の生年月日がマスタと相違／","")&amp;IF(AND($L2500&lt;&gt;"",INDEX(職員マスタ!$G$6:$G$405,$AP2500)&lt;&gt;"",$L2500&lt;&gt;INDEX(職員マスタ!$G$6:$G$405,$AP2500)),"時短開始日がマスタと相違／","")&amp;IF(AND($M2500&lt;&gt;"",INDEX(職員マスタ!$H$6:$H$405,$AP2500)&lt;&gt;"",$M2500&lt;&gt;INDEX(職員マスタ!$H$6:$H$405,$AP2500)),"時短終了日がマスタと相違／","")))&amp;IF(AND($B2500&lt;&gt;"",$E2500=""),"報酬額が未入力／","")&amp;IF(N($U2500)&gt;0,"申請書に入力エラーが残っています／","")&amp;IF(AND($B2500&lt;&gt;"",$AQ2500&lt;&gt;""),IF(COUNTIFS($B$6:$B$3005,$B2500,$C$6:$C$3005,$C2500,$D$6:$D$3005,$D2500)&gt;1,"同じ月の請求が重複しています／",""),"")&amp;IF(AND(N($E2500)&gt;0,$AB2500&lt;&gt;"",$AB2500&lt;&gt;"×",$AE2500=0,$AD2500=""),"計算額が下限以下のため不支給／",""))</f>
        <v/>
      </c>
      <c r="AN2500" s="12" t="n"/>
      <c r="AO2500" s="14">
        <f>IF($AF2500="保留中",COUNTIF($AF$6:$AF2500,"保留中"),"")</f>
        <v/>
      </c>
      <c r="AP2500" s="14">
        <f>IF($AQ2500="","",IF(SUMPRODUCT(MAX((職員マスタ!$A$6:$A$405=$B2500)*(((職員マスタ!$G$6:$G$405="")+(職員マスタ!$G$6:$G$405&lt;=EOMONTH($AQ2500,0)))&gt;0)*(((職員マスタ!$H$6:$H$405="")+(職員マスタ!$H$6:$H$405&gt;=$AQ2500))&gt;0)*(ROW(職員マスタ!$A$6:$A$405)-5)))&gt;0,SUMPRODUCT(MAX((職員マスタ!$A$6:$A$405=$B2500)*(((職員マスタ!$G$6:$G$405="")+(職員マスタ!$G$6:$G$405&lt;=EOMONTH($AQ2500,0)))&gt;0)*(((職員マスタ!$H$6:$H$405="")+(職員マスタ!$H$6:$H$405&gt;=$AQ2500))&gt;0)*(ROW(職員マスタ!$A$6:$A$405)-5))),IFERROR(MATCH($B2500,職員マスタ!$A$6:$A$405,0),"")))</f>
        <v/>
      </c>
      <c r="AQ2500" s="16">
        <f>IF(OR($B2500="",$C2500="",$D2500=""),"",DATE($C2500+2018,$D2500,1))</f>
        <v/>
      </c>
    </row>
    <row r="2501">
      <c r="A2501" s="11" t="n"/>
      <c r="B2501" s="12" t="n"/>
      <c r="C2501" s="12" t="n"/>
      <c r="D2501" s="12" t="n"/>
      <c r="E2501" s="13" t="n"/>
      <c r="F2501" s="12" t="n"/>
      <c r="G2501" s="13" t="n"/>
      <c r="H2501" s="12" t="n"/>
      <c r="I2501" s="12" t="n"/>
      <c r="J2501" s="12" t="n"/>
      <c r="K2501" s="12" t="n"/>
      <c r="L2501" s="11" t="n"/>
      <c r="M2501" s="11" t="n"/>
      <c r="N2501" s="11" t="n"/>
      <c r="O2501" s="11" t="n"/>
      <c r="P2501" s="12" t="n"/>
      <c r="Q2501" s="11" t="n"/>
      <c r="R2501" s="12" t="n"/>
      <c r="S2501" s="11" t="n"/>
      <c r="T2501" s="12" t="n"/>
      <c r="U2501" s="12" t="n"/>
      <c r="V2501" s="12" t="n"/>
      <c r="W2501" s="13" t="n"/>
      <c r="X2501" s="14">
        <f>IF($AP2501="",IF($B2501="","",$H2501),IF(INDEX(職員マスタ!$B$6:$B$405,$AP2501)="",$H2501,INDEX(職員マスタ!$B$6:$B$405,$AP2501)))</f>
        <v/>
      </c>
      <c r="Y2501" s="14">
        <f>IF($AP2501="",IF($B2501="","",$R2501),IF(INDEX(職員マスタ!$C$6:$C$405,$AP2501)="",$R2501,INDEX(職員マスタ!$C$6:$C$405,$AP2501)))</f>
        <v/>
      </c>
      <c r="Z2501" s="14">
        <f>IF($AQ2501="","","R"&amp;$C2501&amp;"."&amp;$D2501)</f>
        <v/>
      </c>
      <c r="AA2501" s="15">
        <f>IF(IF($AP2501="",FALSE,INDEX(職員マスタ!$K$6:$K$405,$AP2501)&lt;&gt;""),INDEX(職員マスタ!$K$6:$K$405,$AP2501),IF(N($W2501)&gt;0,$W2501,""))</f>
        <v/>
      </c>
      <c r="AB2501" s="14">
        <f>IF(OR($E2501="",$AA2501=""),"",IF($E2501&gt;=$AA2501,"×",IF($E2501&gt;=$AA2501*設定!$C$5,"△","○")))</f>
        <v/>
      </c>
      <c r="AC2501" s="15">
        <f>IF($AB2501="","",IF($AB2501="×",0,IF($AB2501="○",ROUNDDOWN($E2501*設定!$C$4,0),ROUNDDOWN($E2501*ROUND((9*$AA2501-9*$E2501)/(10*$E2501),4),0))))</f>
        <v/>
      </c>
      <c r="AD2501" s="13" t="n"/>
      <c r="AE2501" s="15">
        <f>IF($B2501="","",IF($AD2501&lt;&gt;"",$AD2501,IF($AC2501="","",IF($AC2501&lt;=設定!$C$3,0,$AC2501))))</f>
        <v/>
      </c>
      <c r="AF2501" s="14">
        <f>IF($B2501="","",IF(AND($AG2501&lt;&gt;"",$AI2501="",$AL2501=""),"保留中",IF($AL2501&lt;&gt;"",IF(N($AE2501)&gt;0,"支給済","不支給"),IF($AE2501="","要確認",IF($AE2501=0,"不支給","未処理")))))</f>
        <v/>
      </c>
      <c r="AG2501" s="12" t="n"/>
      <c r="AH2501" s="11" t="n"/>
      <c r="AI2501" s="11" t="n"/>
      <c r="AJ2501" s="11" t="n"/>
      <c r="AK2501" s="14">
        <f>IF(AND($AF2501="保留中",$AH2501&lt;&gt;""),TODAY()-$AH2501,"")</f>
        <v/>
      </c>
      <c r="AL2501" s="12" t="n"/>
      <c r="AM2501" s="14">
        <f>IF($B2501="","",IF($AQ2501="","対象年月が未入力／","")&amp;IF($B2501="","",IF($AP2501="","職員マスタに未登録の職員番号／",IF($AA2501="","標準報酬月額が未登録／","")&amp;IF(AND($AQ2501&lt;&gt;"",OR(AND(INDEX(職員マスタ!$G$6:$G$405,$AP2501)&lt;&gt;"",INDEX(職員マスタ!$G$6:$G$405,$AP2501)&gt;EOMONTH($AQ2501,0)),AND(INDEX(職員マスタ!$H$6:$H$405,$AP2501)&lt;&gt;"",INDEX(職員マスタ!$H$6:$H$405,$AP2501)&lt;$AQ2501))),"対象月が時短期間外／","")&amp;IF(AND(INDEX(職員マスタ!$K$6:$K$405,$AP2501)&lt;&gt;"",N($W2501)&gt;0,INDEX(職員マスタ!$K$6:$K$405,$AP2501)&lt;&gt;$W2501),"標準報酬月額が申請書と相違（台帳"&amp;TEXT(INDEX(職員マスタ!$K$6:$K$405,$AP2501),"#,##0")&amp;"円／申請書"&amp;TEXT($W2501,"#,##0")&amp;"円）／","")&amp;IF(AND(INDEX(職員マスタ!$F$6:$F$405,$AP2501)&lt;&gt;"",$AQ2501&lt;&gt;"",INDEX(職員マスタ!$F$6:$F$405,$AP2501)&lt;$AQ2501),"対象月に子が2歳到達済／","")&amp;IF(AND($H2501&lt;&gt;"",INDEX(職員マスタ!$B$6:$B$405,$AP2501)&lt;&gt;"",SUBSTITUTE(SUBSTITUTE($H2501," ","")," ","")&lt;&gt;SUBSTITUTE(SUBSTITUTE(INDEX(職員マスタ!$B$6:$B$405,$AP2501)," ","")," ","")),"氏名がマスタと相違／","")&amp;IF(AND($Q2501&lt;&gt;"",INDEX(職員マスタ!$E$6:$E$405,$AP2501)&lt;&gt;"",$Q2501&lt;&gt;INDEX(職員マスタ!$E$6:$E$405,$AP2501)),"子の生年月日がマスタと相違／","")&amp;IF(AND($L2501&lt;&gt;"",INDEX(職員マスタ!$G$6:$G$405,$AP2501)&lt;&gt;"",$L2501&lt;&gt;INDEX(職員マスタ!$G$6:$G$405,$AP2501)),"時短開始日がマスタと相違／","")&amp;IF(AND($M2501&lt;&gt;"",INDEX(職員マスタ!$H$6:$H$405,$AP2501)&lt;&gt;"",$M2501&lt;&gt;INDEX(職員マスタ!$H$6:$H$405,$AP2501)),"時短終了日がマスタと相違／","")))&amp;IF(AND($B2501&lt;&gt;"",$E2501=""),"報酬額が未入力／","")&amp;IF(N($U2501)&gt;0,"申請書に入力エラーが残っています／","")&amp;IF(AND($B2501&lt;&gt;"",$AQ2501&lt;&gt;""),IF(COUNTIFS($B$6:$B$3005,$B2501,$C$6:$C$3005,$C2501,$D$6:$D$3005,$D2501)&gt;1,"同じ月の請求が重複しています／",""),"")&amp;IF(AND(N($E2501)&gt;0,$AB2501&lt;&gt;"",$AB2501&lt;&gt;"×",$AE2501=0,$AD2501=""),"計算額が下限以下のため不支給／",""))</f>
        <v/>
      </c>
      <c r="AN2501" s="12" t="n"/>
      <c r="AO2501" s="14">
        <f>IF($AF2501="保留中",COUNTIF($AF$6:$AF2501,"保留中"),"")</f>
        <v/>
      </c>
      <c r="AP2501" s="14">
        <f>IF($AQ2501="","",IF(SUMPRODUCT(MAX((職員マスタ!$A$6:$A$405=$B2501)*(((職員マスタ!$G$6:$G$405="")+(職員マスタ!$G$6:$G$405&lt;=EOMONTH($AQ2501,0)))&gt;0)*(((職員マスタ!$H$6:$H$405="")+(職員マスタ!$H$6:$H$405&gt;=$AQ2501))&gt;0)*(ROW(職員マスタ!$A$6:$A$405)-5)))&gt;0,SUMPRODUCT(MAX((職員マスタ!$A$6:$A$405=$B2501)*(((職員マスタ!$G$6:$G$405="")+(職員マスタ!$G$6:$G$405&lt;=EOMONTH($AQ2501,0)))&gt;0)*(((職員マスタ!$H$6:$H$405="")+(職員マスタ!$H$6:$H$405&gt;=$AQ2501))&gt;0)*(ROW(職員マスタ!$A$6:$A$405)-5))),IFERROR(MATCH($B2501,職員マスタ!$A$6:$A$405,0),"")))</f>
        <v/>
      </c>
      <c r="AQ2501" s="16">
        <f>IF(OR($B2501="",$C2501="",$D2501=""),"",DATE($C2501+2018,$D2501,1))</f>
        <v/>
      </c>
    </row>
    <row r="2502">
      <c r="A2502" s="11" t="n"/>
      <c r="B2502" s="12" t="n"/>
      <c r="C2502" s="12" t="n"/>
      <c r="D2502" s="12" t="n"/>
      <c r="E2502" s="13" t="n"/>
      <c r="F2502" s="12" t="n"/>
      <c r="G2502" s="13" t="n"/>
      <c r="H2502" s="12" t="n"/>
      <c r="I2502" s="12" t="n"/>
      <c r="J2502" s="12" t="n"/>
      <c r="K2502" s="12" t="n"/>
      <c r="L2502" s="11" t="n"/>
      <c r="M2502" s="11" t="n"/>
      <c r="N2502" s="11" t="n"/>
      <c r="O2502" s="11" t="n"/>
      <c r="P2502" s="12" t="n"/>
      <c r="Q2502" s="11" t="n"/>
      <c r="R2502" s="12" t="n"/>
      <c r="S2502" s="11" t="n"/>
      <c r="T2502" s="12" t="n"/>
      <c r="U2502" s="12" t="n"/>
      <c r="V2502" s="12" t="n"/>
      <c r="W2502" s="13" t="n"/>
      <c r="X2502" s="14">
        <f>IF($AP2502="",IF($B2502="","",$H2502),IF(INDEX(職員マスタ!$B$6:$B$405,$AP2502)="",$H2502,INDEX(職員マスタ!$B$6:$B$405,$AP2502)))</f>
        <v/>
      </c>
      <c r="Y2502" s="14">
        <f>IF($AP2502="",IF($B2502="","",$R2502),IF(INDEX(職員マスタ!$C$6:$C$405,$AP2502)="",$R2502,INDEX(職員マスタ!$C$6:$C$405,$AP2502)))</f>
        <v/>
      </c>
      <c r="Z2502" s="14">
        <f>IF($AQ2502="","","R"&amp;$C2502&amp;"."&amp;$D2502)</f>
        <v/>
      </c>
      <c r="AA2502" s="15">
        <f>IF(IF($AP2502="",FALSE,INDEX(職員マスタ!$K$6:$K$405,$AP2502)&lt;&gt;""),INDEX(職員マスタ!$K$6:$K$405,$AP2502),IF(N($W2502)&gt;0,$W2502,""))</f>
        <v/>
      </c>
      <c r="AB2502" s="14">
        <f>IF(OR($E2502="",$AA2502=""),"",IF($E2502&gt;=$AA2502,"×",IF($E2502&gt;=$AA2502*設定!$C$5,"△","○")))</f>
        <v/>
      </c>
      <c r="AC2502" s="15">
        <f>IF($AB2502="","",IF($AB2502="×",0,IF($AB2502="○",ROUNDDOWN($E2502*設定!$C$4,0),ROUNDDOWN($E2502*ROUND((9*$AA2502-9*$E2502)/(10*$E2502),4),0))))</f>
        <v/>
      </c>
      <c r="AD2502" s="13" t="n"/>
      <c r="AE2502" s="15">
        <f>IF($B2502="","",IF($AD2502&lt;&gt;"",$AD2502,IF($AC2502="","",IF($AC2502&lt;=設定!$C$3,0,$AC2502))))</f>
        <v/>
      </c>
      <c r="AF2502" s="14">
        <f>IF($B2502="","",IF(AND($AG2502&lt;&gt;"",$AI2502="",$AL2502=""),"保留中",IF($AL2502&lt;&gt;"",IF(N($AE2502)&gt;0,"支給済","不支給"),IF($AE2502="","要確認",IF($AE2502=0,"不支給","未処理")))))</f>
        <v/>
      </c>
      <c r="AG2502" s="12" t="n"/>
      <c r="AH2502" s="11" t="n"/>
      <c r="AI2502" s="11" t="n"/>
      <c r="AJ2502" s="11" t="n"/>
      <c r="AK2502" s="14">
        <f>IF(AND($AF2502="保留中",$AH2502&lt;&gt;""),TODAY()-$AH2502,"")</f>
        <v/>
      </c>
      <c r="AL2502" s="12" t="n"/>
      <c r="AM2502" s="14">
        <f>IF($B2502="","",IF($AQ2502="","対象年月が未入力／","")&amp;IF($B2502="","",IF($AP2502="","職員マスタに未登録の職員番号／",IF($AA2502="","標準報酬月額が未登録／","")&amp;IF(AND($AQ2502&lt;&gt;"",OR(AND(INDEX(職員マスタ!$G$6:$G$405,$AP2502)&lt;&gt;"",INDEX(職員マスタ!$G$6:$G$405,$AP2502)&gt;EOMONTH($AQ2502,0)),AND(INDEX(職員マスタ!$H$6:$H$405,$AP2502)&lt;&gt;"",INDEX(職員マスタ!$H$6:$H$405,$AP2502)&lt;$AQ2502))),"対象月が時短期間外／","")&amp;IF(AND(INDEX(職員マスタ!$K$6:$K$405,$AP2502)&lt;&gt;"",N($W2502)&gt;0,INDEX(職員マスタ!$K$6:$K$405,$AP2502)&lt;&gt;$W2502),"標準報酬月額が申請書と相違（台帳"&amp;TEXT(INDEX(職員マスタ!$K$6:$K$405,$AP2502),"#,##0")&amp;"円／申請書"&amp;TEXT($W2502,"#,##0")&amp;"円）／","")&amp;IF(AND(INDEX(職員マスタ!$F$6:$F$405,$AP2502)&lt;&gt;"",$AQ2502&lt;&gt;"",INDEX(職員マスタ!$F$6:$F$405,$AP2502)&lt;$AQ2502),"対象月に子が2歳到達済／","")&amp;IF(AND($H2502&lt;&gt;"",INDEX(職員マスタ!$B$6:$B$405,$AP2502)&lt;&gt;"",SUBSTITUTE(SUBSTITUTE($H2502," ","")," ","")&lt;&gt;SUBSTITUTE(SUBSTITUTE(INDEX(職員マスタ!$B$6:$B$405,$AP2502)," ","")," ","")),"氏名がマスタと相違／","")&amp;IF(AND($Q2502&lt;&gt;"",INDEX(職員マスタ!$E$6:$E$405,$AP2502)&lt;&gt;"",$Q2502&lt;&gt;INDEX(職員マスタ!$E$6:$E$405,$AP2502)),"子の生年月日がマスタと相違／","")&amp;IF(AND($L2502&lt;&gt;"",INDEX(職員マスタ!$G$6:$G$405,$AP2502)&lt;&gt;"",$L2502&lt;&gt;INDEX(職員マスタ!$G$6:$G$405,$AP2502)),"時短開始日がマスタと相違／","")&amp;IF(AND($M2502&lt;&gt;"",INDEX(職員マスタ!$H$6:$H$405,$AP2502)&lt;&gt;"",$M2502&lt;&gt;INDEX(職員マスタ!$H$6:$H$405,$AP2502)),"時短終了日がマスタと相違／","")))&amp;IF(AND($B2502&lt;&gt;"",$E2502=""),"報酬額が未入力／","")&amp;IF(N($U2502)&gt;0,"申請書に入力エラーが残っています／","")&amp;IF(AND($B2502&lt;&gt;"",$AQ2502&lt;&gt;""),IF(COUNTIFS($B$6:$B$3005,$B2502,$C$6:$C$3005,$C2502,$D$6:$D$3005,$D2502)&gt;1,"同じ月の請求が重複しています／",""),"")&amp;IF(AND(N($E2502)&gt;0,$AB2502&lt;&gt;"",$AB2502&lt;&gt;"×",$AE2502=0,$AD2502=""),"計算額が下限以下のため不支給／",""))</f>
        <v/>
      </c>
      <c r="AN2502" s="12" t="n"/>
      <c r="AO2502" s="14">
        <f>IF($AF2502="保留中",COUNTIF($AF$6:$AF2502,"保留中"),"")</f>
        <v/>
      </c>
      <c r="AP2502" s="14">
        <f>IF($AQ2502="","",IF(SUMPRODUCT(MAX((職員マスタ!$A$6:$A$405=$B2502)*(((職員マスタ!$G$6:$G$405="")+(職員マスタ!$G$6:$G$405&lt;=EOMONTH($AQ2502,0)))&gt;0)*(((職員マスタ!$H$6:$H$405="")+(職員マスタ!$H$6:$H$405&gt;=$AQ2502))&gt;0)*(ROW(職員マスタ!$A$6:$A$405)-5)))&gt;0,SUMPRODUCT(MAX((職員マスタ!$A$6:$A$405=$B2502)*(((職員マスタ!$G$6:$G$405="")+(職員マスタ!$G$6:$G$405&lt;=EOMONTH($AQ2502,0)))&gt;0)*(((職員マスタ!$H$6:$H$405="")+(職員マスタ!$H$6:$H$405&gt;=$AQ2502))&gt;0)*(ROW(職員マスタ!$A$6:$A$405)-5))),IFERROR(MATCH($B2502,職員マスタ!$A$6:$A$405,0),"")))</f>
        <v/>
      </c>
      <c r="AQ2502" s="16">
        <f>IF(OR($B2502="",$C2502="",$D2502=""),"",DATE($C2502+2018,$D2502,1))</f>
        <v/>
      </c>
    </row>
    <row r="2503">
      <c r="A2503" s="11" t="n"/>
      <c r="B2503" s="12" t="n"/>
      <c r="C2503" s="12" t="n"/>
      <c r="D2503" s="12" t="n"/>
      <c r="E2503" s="13" t="n"/>
      <c r="F2503" s="12" t="n"/>
      <c r="G2503" s="13" t="n"/>
      <c r="H2503" s="12" t="n"/>
      <c r="I2503" s="12" t="n"/>
      <c r="J2503" s="12" t="n"/>
      <c r="K2503" s="12" t="n"/>
      <c r="L2503" s="11" t="n"/>
      <c r="M2503" s="11" t="n"/>
      <c r="N2503" s="11" t="n"/>
      <c r="O2503" s="11" t="n"/>
      <c r="P2503" s="12" t="n"/>
      <c r="Q2503" s="11" t="n"/>
      <c r="R2503" s="12" t="n"/>
      <c r="S2503" s="11" t="n"/>
      <c r="T2503" s="12" t="n"/>
      <c r="U2503" s="12" t="n"/>
      <c r="V2503" s="12" t="n"/>
      <c r="W2503" s="13" t="n"/>
      <c r="X2503" s="14">
        <f>IF($AP2503="",IF($B2503="","",$H2503),IF(INDEX(職員マスタ!$B$6:$B$405,$AP2503)="",$H2503,INDEX(職員マスタ!$B$6:$B$405,$AP2503)))</f>
        <v/>
      </c>
      <c r="Y2503" s="14">
        <f>IF($AP2503="",IF($B2503="","",$R2503),IF(INDEX(職員マスタ!$C$6:$C$405,$AP2503)="",$R2503,INDEX(職員マスタ!$C$6:$C$405,$AP2503)))</f>
        <v/>
      </c>
      <c r="Z2503" s="14">
        <f>IF($AQ2503="","","R"&amp;$C2503&amp;"."&amp;$D2503)</f>
        <v/>
      </c>
      <c r="AA2503" s="15">
        <f>IF(IF($AP2503="",FALSE,INDEX(職員マスタ!$K$6:$K$405,$AP2503)&lt;&gt;""),INDEX(職員マスタ!$K$6:$K$405,$AP2503),IF(N($W2503)&gt;0,$W2503,""))</f>
        <v/>
      </c>
      <c r="AB2503" s="14">
        <f>IF(OR($E2503="",$AA2503=""),"",IF($E2503&gt;=$AA2503,"×",IF($E2503&gt;=$AA2503*設定!$C$5,"△","○")))</f>
        <v/>
      </c>
      <c r="AC2503" s="15">
        <f>IF($AB2503="","",IF($AB2503="×",0,IF($AB2503="○",ROUNDDOWN($E2503*設定!$C$4,0),ROUNDDOWN($E2503*ROUND((9*$AA2503-9*$E2503)/(10*$E2503),4),0))))</f>
        <v/>
      </c>
      <c r="AD2503" s="13" t="n"/>
      <c r="AE2503" s="15">
        <f>IF($B2503="","",IF($AD2503&lt;&gt;"",$AD2503,IF($AC2503="","",IF($AC2503&lt;=設定!$C$3,0,$AC2503))))</f>
        <v/>
      </c>
      <c r="AF2503" s="14">
        <f>IF($B2503="","",IF(AND($AG2503&lt;&gt;"",$AI2503="",$AL2503=""),"保留中",IF($AL2503&lt;&gt;"",IF(N($AE2503)&gt;0,"支給済","不支給"),IF($AE2503="","要確認",IF($AE2503=0,"不支給","未処理")))))</f>
        <v/>
      </c>
      <c r="AG2503" s="12" t="n"/>
      <c r="AH2503" s="11" t="n"/>
      <c r="AI2503" s="11" t="n"/>
      <c r="AJ2503" s="11" t="n"/>
      <c r="AK2503" s="14">
        <f>IF(AND($AF2503="保留中",$AH2503&lt;&gt;""),TODAY()-$AH2503,"")</f>
        <v/>
      </c>
      <c r="AL2503" s="12" t="n"/>
      <c r="AM2503" s="14">
        <f>IF($B2503="","",IF($AQ2503="","対象年月が未入力／","")&amp;IF($B2503="","",IF($AP2503="","職員マスタに未登録の職員番号／",IF($AA2503="","標準報酬月額が未登録／","")&amp;IF(AND($AQ2503&lt;&gt;"",OR(AND(INDEX(職員マスタ!$G$6:$G$405,$AP2503)&lt;&gt;"",INDEX(職員マスタ!$G$6:$G$405,$AP2503)&gt;EOMONTH($AQ2503,0)),AND(INDEX(職員マスタ!$H$6:$H$405,$AP2503)&lt;&gt;"",INDEX(職員マスタ!$H$6:$H$405,$AP2503)&lt;$AQ2503))),"対象月が時短期間外／","")&amp;IF(AND(INDEX(職員マスタ!$K$6:$K$405,$AP2503)&lt;&gt;"",N($W2503)&gt;0,INDEX(職員マスタ!$K$6:$K$405,$AP2503)&lt;&gt;$W2503),"標準報酬月額が申請書と相違（台帳"&amp;TEXT(INDEX(職員マスタ!$K$6:$K$405,$AP2503),"#,##0")&amp;"円／申請書"&amp;TEXT($W2503,"#,##0")&amp;"円）／","")&amp;IF(AND(INDEX(職員マスタ!$F$6:$F$405,$AP2503)&lt;&gt;"",$AQ2503&lt;&gt;"",INDEX(職員マスタ!$F$6:$F$405,$AP2503)&lt;$AQ2503),"対象月に子が2歳到達済／","")&amp;IF(AND($H2503&lt;&gt;"",INDEX(職員マスタ!$B$6:$B$405,$AP2503)&lt;&gt;"",SUBSTITUTE(SUBSTITUTE($H2503," ","")," ","")&lt;&gt;SUBSTITUTE(SUBSTITUTE(INDEX(職員マスタ!$B$6:$B$405,$AP2503)," ","")," ","")),"氏名がマスタと相違／","")&amp;IF(AND($Q2503&lt;&gt;"",INDEX(職員マスタ!$E$6:$E$405,$AP2503)&lt;&gt;"",$Q2503&lt;&gt;INDEX(職員マスタ!$E$6:$E$405,$AP2503)),"子の生年月日がマスタと相違／","")&amp;IF(AND($L2503&lt;&gt;"",INDEX(職員マスタ!$G$6:$G$405,$AP2503)&lt;&gt;"",$L2503&lt;&gt;INDEX(職員マスタ!$G$6:$G$405,$AP2503)),"時短開始日がマスタと相違／","")&amp;IF(AND($M2503&lt;&gt;"",INDEX(職員マスタ!$H$6:$H$405,$AP2503)&lt;&gt;"",$M2503&lt;&gt;INDEX(職員マスタ!$H$6:$H$405,$AP2503)),"時短終了日がマスタと相違／","")))&amp;IF(AND($B2503&lt;&gt;"",$E2503=""),"報酬額が未入力／","")&amp;IF(N($U2503)&gt;0,"申請書に入力エラーが残っています／","")&amp;IF(AND($B2503&lt;&gt;"",$AQ2503&lt;&gt;""),IF(COUNTIFS($B$6:$B$3005,$B2503,$C$6:$C$3005,$C2503,$D$6:$D$3005,$D2503)&gt;1,"同じ月の請求が重複しています／",""),"")&amp;IF(AND(N($E2503)&gt;0,$AB2503&lt;&gt;"",$AB2503&lt;&gt;"×",$AE2503=0,$AD2503=""),"計算額が下限以下のため不支給／",""))</f>
        <v/>
      </c>
      <c r="AN2503" s="12" t="n"/>
      <c r="AO2503" s="14">
        <f>IF($AF2503="保留中",COUNTIF($AF$6:$AF2503,"保留中"),"")</f>
        <v/>
      </c>
      <c r="AP2503" s="14">
        <f>IF($AQ2503="","",IF(SUMPRODUCT(MAX((職員マスタ!$A$6:$A$405=$B2503)*(((職員マスタ!$G$6:$G$405="")+(職員マスタ!$G$6:$G$405&lt;=EOMONTH($AQ2503,0)))&gt;0)*(((職員マスタ!$H$6:$H$405="")+(職員マスタ!$H$6:$H$405&gt;=$AQ2503))&gt;0)*(ROW(職員マスタ!$A$6:$A$405)-5)))&gt;0,SUMPRODUCT(MAX((職員マスタ!$A$6:$A$405=$B2503)*(((職員マスタ!$G$6:$G$405="")+(職員マスタ!$G$6:$G$405&lt;=EOMONTH($AQ2503,0)))&gt;0)*(((職員マスタ!$H$6:$H$405="")+(職員マスタ!$H$6:$H$405&gt;=$AQ2503))&gt;0)*(ROW(職員マスタ!$A$6:$A$405)-5))),IFERROR(MATCH($B2503,職員マスタ!$A$6:$A$405,0),"")))</f>
        <v/>
      </c>
      <c r="AQ2503" s="16">
        <f>IF(OR($B2503="",$C2503="",$D2503=""),"",DATE($C2503+2018,$D2503,1))</f>
        <v/>
      </c>
    </row>
    <row r="2504">
      <c r="A2504" s="11" t="n"/>
      <c r="B2504" s="12" t="n"/>
      <c r="C2504" s="12" t="n"/>
      <c r="D2504" s="12" t="n"/>
      <c r="E2504" s="13" t="n"/>
      <c r="F2504" s="12" t="n"/>
      <c r="G2504" s="13" t="n"/>
      <c r="H2504" s="12" t="n"/>
      <c r="I2504" s="12" t="n"/>
      <c r="J2504" s="12" t="n"/>
      <c r="K2504" s="12" t="n"/>
      <c r="L2504" s="11" t="n"/>
      <c r="M2504" s="11" t="n"/>
      <c r="N2504" s="11" t="n"/>
      <c r="O2504" s="11" t="n"/>
      <c r="P2504" s="12" t="n"/>
      <c r="Q2504" s="11" t="n"/>
      <c r="R2504" s="12" t="n"/>
      <c r="S2504" s="11" t="n"/>
      <c r="T2504" s="12" t="n"/>
      <c r="U2504" s="12" t="n"/>
      <c r="V2504" s="12" t="n"/>
      <c r="W2504" s="13" t="n"/>
      <c r="X2504" s="14">
        <f>IF($AP2504="",IF($B2504="","",$H2504),IF(INDEX(職員マスタ!$B$6:$B$405,$AP2504)="",$H2504,INDEX(職員マスタ!$B$6:$B$405,$AP2504)))</f>
        <v/>
      </c>
      <c r="Y2504" s="14">
        <f>IF($AP2504="",IF($B2504="","",$R2504),IF(INDEX(職員マスタ!$C$6:$C$405,$AP2504)="",$R2504,INDEX(職員マスタ!$C$6:$C$405,$AP2504)))</f>
        <v/>
      </c>
      <c r="Z2504" s="14">
        <f>IF($AQ2504="","","R"&amp;$C2504&amp;"."&amp;$D2504)</f>
        <v/>
      </c>
      <c r="AA2504" s="15">
        <f>IF(IF($AP2504="",FALSE,INDEX(職員マスタ!$K$6:$K$405,$AP2504)&lt;&gt;""),INDEX(職員マスタ!$K$6:$K$405,$AP2504),IF(N($W2504)&gt;0,$W2504,""))</f>
        <v/>
      </c>
      <c r="AB2504" s="14">
        <f>IF(OR($E2504="",$AA2504=""),"",IF($E2504&gt;=$AA2504,"×",IF($E2504&gt;=$AA2504*設定!$C$5,"△","○")))</f>
        <v/>
      </c>
      <c r="AC2504" s="15">
        <f>IF($AB2504="","",IF($AB2504="×",0,IF($AB2504="○",ROUNDDOWN($E2504*設定!$C$4,0),ROUNDDOWN($E2504*ROUND((9*$AA2504-9*$E2504)/(10*$E2504),4),0))))</f>
        <v/>
      </c>
      <c r="AD2504" s="13" t="n"/>
      <c r="AE2504" s="15">
        <f>IF($B2504="","",IF($AD2504&lt;&gt;"",$AD2504,IF($AC2504="","",IF($AC2504&lt;=設定!$C$3,0,$AC2504))))</f>
        <v/>
      </c>
      <c r="AF2504" s="14">
        <f>IF($B2504="","",IF(AND($AG2504&lt;&gt;"",$AI2504="",$AL2504=""),"保留中",IF($AL2504&lt;&gt;"",IF(N($AE2504)&gt;0,"支給済","不支給"),IF($AE2504="","要確認",IF($AE2504=0,"不支給","未処理")))))</f>
        <v/>
      </c>
      <c r="AG2504" s="12" t="n"/>
      <c r="AH2504" s="11" t="n"/>
      <c r="AI2504" s="11" t="n"/>
      <c r="AJ2504" s="11" t="n"/>
      <c r="AK2504" s="14">
        <f>IF(AND($AF2504="保留中",$AH2504&lt;&gt;""),TODAY()-$AH2504,"")</f>
        <v/>
      </c>
      <c r="AL2504" s="12" t="n"/>
      <c r="AM2504" s="14">
        <f>IF($B2504="","",IF($AQ2504="","対象年月が未入力／","")&amp;IF($B2504="","",IF($AP2504="","職員マスタに未登録の職員番号／",IF($AA2504="","標準報酬月額が未登録／","")&amp;IF(AND($AQ2504&lt;&gt;"",OR(AND(INDEX(職員マスタ!$G$6:$G$405,$AP2504)&lt;&gt;"",INDEX(職員マスタ!$G$6:$G$405,$AP2504)&gt;EOMONTH($AQ2504,0)),AND(INDEX(職員マスタ!$H$6:$H$405,$AP2504)&lt;&gt;"",INDEX(職員マスタ!$H$6:$H$405,$AP2504)&lt;$AQ2504))),"対象月が時短期間外／","")&amp;IF(AND(INDEX(職員マスタ!$K$6:$K$405,$AP2504)&lt;&gt;"",N($W2504)&gt;0,INDEX(職員マスタ!$K$6:$K$405,$AP2504)&lt;&gt;$W2504),"標準報酬月額が申請書と相違（台帳"&amp;TEXT(INDEX(職員マスタ!$K$6:$K$405,$AP2504),"#,##0")&amp;"円／申請書"&amp;TEXT($W2504,"#,##0")&amp;"円）／","")&amp;IF(AND(INDEX(職員マスタ!$F$6:$F$405,$AP2504)&lt;&gt;"",$AQ2504&lt;&gt;"",INDEX(職員マスタ!$F$6:$F$405,$AP2504)&lt;$AQ2504),"対象月に子が2歳到達済／","")&amp;IF(AND($H2504&lt;&gt;"",INDEX(職員マスタ!$B$6:$B$405,$AP2504)&lt;&gt;"",SUBSTITUTE(SUBSTITUTE($H2504," ","")," ","")&lt;&gt;SUBSTITUTE(SUBSTITUTE(INDEX(職員マスタ!$B$6:$B$405,$AP2504)," ","")," ","")),"氏名がマスタと相違／","")&amp;IF(AND($Q2504&lt;&gt;"",INDEX(職員マスタ!$E$6:$E$405,$AP2504)&lt;&gt;"",$Q2504&lt;&gt;INDEX(職員マスタ!$E$6:$E$405,$AP2504)),"子の生年月日がマスタと相違／","")&amp;IF(AND($L2504&lt;&gt;"",INDEX(職員マスタ!$G$6:$G$405,$AP2504)&lt;&gt;"",$L2504&lt;&gt;INDEX(職員マスタ!$G$6:$G$405,$AP2504)),"時短開始日がマスタと相違／","")&amp;IF(AND($M2504&lt;&gt;"",INDEX(職員マスタ!$H$6:$H$405,$AP2504)&lt;&gt;"",$M2504&lt;&gt;INDEX(職員マスタ!$H$6:$H$405,$AP2504)),"時短終了日がマスタと相違／","")))&amp;IF(AND($B2504&lt;&gt;"",$E2504=""),"報酬額が未入力／","")&amp;IF(N($U2504)&gt;0,"申請書に入力エラーが残っています／","")&amp;IF(AND($B2504&lt;&gt;"",$AQ2504&lt;&gt;""),IF(COUNTIFS($B$6:$B$3005,$B2504,$C$6:$C$3005,$C2504,$D$6:$D$3005,$D2504)&gt;1,"同じ月の請求が重複しています／",""),"")&amp;IF(AND(N($E2504)&gt;0,$AB2504&lt;&gt;"",$AB2504&lt;&gt;"×",$AE2504=0,$AD2504=""),"計算額が下限以下のため不支給／",""))</f>
        <v/>
      </c>
      <c r="AN2504" s="12" t="n"/>
      <c r="AO2504" s="14">
        <f>IF($AF2504="保留中",COUNTIF($AF$6:$AF2504,"保留中"),"")</f>
        <v/>
      </c>
      <c r="AP2504" s="14">
        <f>IF($AQ2504="","",IF(SUMPRODUCT(MAX((職員マスタ!$A$6:$A$405=$B2504)*(((職員マスタ!$G$6:$G$405="")+(職員マスタ!$G$6:$G$405&lt;=EOMONTH($AQ2504,0)))&gt;0)*(((職員マスタ!$H$6:$H$405="")+(職員マスタ!$H$6:$H$405&gt;=$AQ2504))&gt;0)*(ROW(職員マスタ!$A$6:$A$405)-5)))&gt;0,SUMPRODUCT(MAX((職員マスタ!$A$6:$A$405=$B2504)*(((職員マスタ!$G$6:$G$405="")+(職員マスタ!$G$6:$G$405&lt;=EOMONTH($AQ2504,0)))&gt;0)*(((職員マスタ!$H$6:$H$405="")+(職員マスタ!$H$6:$H$405&gt;=$AQ2504))&gt;0)*(ROW(職員マスタ!$A$6:$A$405)-5))),IFERROR(MATCH($B2504,職員マスタ!$A$6:$A$405,0),"")))</f>
        <v/>
      </c>
      <c r="AQ2504" s="16">
        <f>IF(OR($B2504="",$C2504="",$D2504=""),"",DATE($C2504+2018,$D2504,1))</f>
        <v/>
      </c>
    </row>
    <row r="2505">
      <c r="A2505" s="11" t="n"/>
      <c r="B2505" s="12" t="n"/>
      <c r="C2505" s="12" t="n"/>
      <c r="D2505" s="12" t="n"/>
      <c r="E2505" s="13" t="n"/>
      <c r="F2505" s="12" t="n"/>
      <c r="G2505" s="13" t="n"/>
      <c r="H2505" s="12" t="n"/>
      <c r="I2505" s="12" t="n"/>
      <c r="J2505" s="12" t="n"/>
      <c r="K2505" s="12" t="n"/>
      <c r="L2505" s="11" t="n"/>
      <c r="M2505" s="11" t="n"/>
      <c r="N2505" s="11" t="n"/>
      <c r="O2505" s="11" t="n"/>
      <c r="P2505" s="12" t="n"/>
      <c r="Q2505" s="11" t="n"/>
      <c r="R2505" s="12" t="n"/>
      <c r="S2505" s="11" t="n"/>
      <c r="T2505" s="12" t="n"/>
      <c r="U2505" s="12" t="n"/>
      <c r="V2505" s="12" t="n"/>
      <c r="W2505" s="13" t="n"/>
      <c r="X2505" s="14">
        <f>IF($AP2505="",IF($B2505="","",$H2505),IF(INDEX(職員マスタ!$B$6:$B$405,$AP2505)="",$H2505,INDEX(職員マスタ!$B$6:$B$405,$AP2505)))</f>
        <v/>
      </c>
      <c r="Y2505" s="14">
        <f>IF($AP2505="",IF($B2505="","",$R2505),IF(INDEX(職員マスタ!$C$6:$C$405,$AP2505)="",$R2505,INDEX(職員マスタ!$C$6:$C$405,$AP2505)))</f>
        <v/>
      </c>
      <c r="Z2505" s="14">
        <f>IF($AQ2505="","","R"&amp;$C2505&amp;"."&amp;$D2505)</f>
        <v/>
      </c>
      <c r="AA2505" s="15">
        <f>IF(IF($AP2505="",FALSE,INDEX(職員マスタ!$K$6:$K$405,$AP2505)&lt;&gt;""),INDEX(職員マスタ!$K$6:$K$405,$AP2505),IF(N($W2505)&gt;0,$W2505,""))</f>
        <v/>
      </c>
      <c r="AB2505" s="14">
        <f>IF(OR($E2505="",$AA2505=""),"",IF($E2505&gt;=$AA2505,"×",IF($E2505&gt;=$AA2505*設定!$C$5,"△","○")))</f>
        <v/>
      </c>
      <c r="AC2505" s="15">
        <f>IF($AB2505="","",IF($AB2505="×",0,IF($AB2505="○",ROUNDDOWN($E2505*設定!$C$4,0),ROUNDDOWN($E2505*ROUND((9*$AA2505-9*$E2505)/(10*$E2505),4),0))))</f>
        <v/>
      </c>
      <c r="AD2505" s="13" t="n"/>
      <c r="AE2505" s="15">
        <f>IF($B2505="","",IF($AD2505&lt;&gt;"",$AD2505,IF($AC2505="","",IF($AC2505&lt;=設定!$C$3,0,$AC2505))))</f>
        <v/>
      </c>
      <c r="AF2505" s="14">
        <f>IF($B2505="","",IF(AND($AG2505&lt;&gt;"",$AI2505="",$AL2505=""),"保留中",IF($AL2505&lt;&gt;"",IF(N($AE2505)&gt;0,"支給済","不支給"),IF($AE2505="","要確認",IF($AE2505=0,"不支給","未処理")))))</f>
        <v/>
      </c>
      <c r="AG2505" s="12" t="n"/>
      <c r="AH2505" s="11" t="n"/>
      <c r="AI2505" s="11" t="n"/>
      <c r="AJ2505" s="11" t="n"/>
      <c r="AK2505" s="14">
        <f>IF(AND($AF2505="保留中",$AH2505&lt;&gt;""),TODAY()-$AH2505,"")</f>
        <v/>
      </c>
      <c r="AL2505" s="12" t="n"/>
      <c r="AM2505" s="14">
        <f>IF($B2505="","",IF($AQ2505="","対象年月が未入力／","")&amp;IF($B2505="","",IF($AP2505="","職員マスタに未登録の職員番号／",IF($AA2505="","標準報酬月額が未登録／","")&amp;IF(AND($AQ2505&lt;&gt;"",OR(AND(INDEX(職員マスタ!$G$6:$G$405,$AP2505)&lt;&gt;"",INDEX(職員マスタ!$G$6:$G$405,$AP2505)&gt;EOMONTH($AQ2505,0)),AND(INDEX(職員マスタ!$H$6:$H$405,$AP2505)&lt;&gt;"",INDEX(職員マスタ!$H$6:$H$405,$AP2505)&lt;$AQ2505))),"対象月が時短期間外／","")&amp;IF(AND(INDEX(職員マスタ!$K$6:$K$405,$AP2505)&lt;&gt;"",N($W2505)&gt;0,INDEX(職員マスタ!$K$6:$K$405,$AP2505)&lt;&gt;$W2505),"標準報酬月額が申請書と相違（台帳"&amp;TEXT(INDEX(職員マスタ!$K$6:$K$405,$AP2505),"#,##0")&amp;"円／申請書"&amp;TEXT($W2505,"#,##0")&amp;"円）／","")&amp;IF(AND(INDEX(職員マスタ!$F$6:$F$405,$AP2505)&lt;&gt;"",$AQ2505&lt;&gt;"",INDEX(職員マスタ!$F$6:$F$405,$AP2505)&lt;$AQ2505),"対象月に子が2歳到達済／","")&amp;IF(AND($H2505&lt;&gt;"",INDEX(職員マスタ!$B$6:$B$405,$AP2505)&lt;&gt;"",SUBSTITUTE(SUBSTITUTE($H2505," ","")," ","")&lt;&gt;SUBSTITUTE(SUBSTITUTE(INDEX(職員マスタ!$B$6:$B$405,$AP2505)," ","")," ","")),"氏名がマスタと相違／","")&amp;IF(AND($Q2505&lt;&gt;"",INDEX(職員マスタ!$E$6:$E$405,$AP2505)&lt;&gt;"",$Q2505&lt;&gt;INDEX(職員マスタ!$E$6:$E$405,$AP2505)),"子の生年月日がマスタと相違／","")&amp;IF(AND($L2505&lt;&gt;"",INDEX(職員マスタ!$G$6:$G$405,$AP2505)&lt;&gt;"",$L2505&lt;&gt;INDEX(職員マスタ!$G$6:$G$405,$AP2505)),"時短開始日がマスタと相違／","")&amp;IF(AND($M2505&lt;&gt;"",INDEX(職員マスタ!$H$6:$H$405,$AP2505)&lt;&gt;"",$M2505&lt;&gt;INDEX(職員マスタ!$H$6:$H$405,$AP2505)),"時短終了日がマスタと相違／","")))&amp;IF(AND($B2505&lt;&gt;"",$E2505=""),"報酬額が未入力／","")&amp;IF(N($U2505)&gt;0,"申請書に入力エラーが残っています／","")&amp;IF(AND($B2505&lt;&gt;"",$AQ2505&lt;&gt;""),IF(COUNTIFS($B$6:$B$3005,$B2505,$C$6:$C$3005,$C2505,$D$6:$D$3005,$D2505)&gt;1,"同じ月の請求が重複しています／",""),"")&amp;IF(AND(N($E2505)&gt;0,$AB2505&lt;&gt;"",$AB2505&lt;&gt;"×",$AE2505=0,$AD2505=""),"計算額が下限以下のため不支給／",""))</f>
        <v/>
      </c>
      <c r="AN2505" s="12" t="n"/>
      <c r="AO2505" s="14">
        <f>IF($AF2505="保留中",COUNTIF($AF$6:$AF2505,"保留中"),"")</f>
        <v/>
      </c>
      <c r="AP2505" s="14">
        <f>IF($AQ2505="","",IF(SUMPRODUCT(MAX((職員マスタ!$A$6:$A$405=$B2505)*(((職員マスタ!$G$6:$G$405="")+(職員マスタ!$G$6:$G$405&lt;=EOMONTH($AQ2505,0)))&gt;0)*(((職員マスタ!$H$6:$H$405="")+(職員マスタ!$H$6:$H$405&gt;=$AQ2505))&gt;0)*(ROW(職員マスタ!$A$6:$A$405)-5)))&gt;0,SUMPRODUCT(MAX((職員マスタ!$A$6:$A$405=$B2505)*(((職員マスタ!$G$6:$G$405="")+(職員マスタ!$G$6:$G$405&lt;=EOMONTH($AQ2505,0)))&gt;0)*(((職員マスタ!$H$6:$H$405="")+(職員マスタ!$H$6:$H$405&gt;=$AQ2505))&gt;0)*(ROW(職員マスタ!$A$6:$A$405)-5))),IFERROR(MATCH($B2505,職員マスタ!$A$6:$A$405,0),"")))</f>
        <v/>
      </c>
      <c r="AQ2505" s="16">
        <f>IF(OR($B2505="",$C2505="",$D2505=""),"",DATE($C2505+2018,$D2505,1))</f>
        <v/>
      </c>
    </row>
    <row r="2506">
      <c r="A2506" s="11" t="n"/>
      <c r="B2506" s="12" t="n"/>
      <c r="C2506" s="12" t="n"/>
      <c r="D2506" s="12" t="n"/>
      <c r="E2506" s="13" t="n"/>
      <c r="F2506" s="12" t="n"/>
      <c r="G2506" s="13" t="n"/>
      <c r="H2506" s="12" t="n"/>
      <c r="I2506" s="12" t="n"/>
      <c r="J2506" s="12" t="n"/>
      <c r="K2506" s="12" t="n"/>
      <c r="L2506" s="11" t="n"/>
      <c r="M2506" s="11" t="n"/>
      <c r="N2506" s="11" t="n"/>
      <c r="O2506" s="11" t="n"/>
      <c r="P2506" s="12" t="n"/>
      <c r="Q2506" s="11" t="n"/>
      <c r="R2506" s="12" t="n"/>
      <c r="S2506" s="11" t="n"/>
      <c r="T2506" s="12" t="n"/>
      <c r="U2506" s="12" t="n"/>
      <c r="V2506" s="12" t="n"/>
      <c r="W2506" s="13" t="n"/>
      <c r="X2506" s="14">
        <f>IF($AP2506="",IF($B2506="","",$H2506),IF(INDEX(職員マスタ!$B$6:$B$405,$AP2506)="",$H2506,INDEX(職員マスタ!$B$6:$B$405,$AP2506)))</f>
        <v/>
      </c>
      <c r="Y2506" s="14">
        <f>IF($AP2506="",IF($B2506="","",$R2506),IF(INDEX(職員マスタ!$C$6:$C$405,$AP2506)="",$R2506,INDEX(職員マスタ!$C$6:$C$405,$AP2506)))</f>
        <v/>
      </c>
      <c r="Z2506" s="14">
        <f>IF($AQ2506="","","R"&amp;$C2506&amp;"."&amp;$D2506)</f>
        <v/>
      </c>
      <c r="AA2506" s="15">
        <f>IF(IF($AP2506="",FALSE,INDEX(職員マスタ!$K$6:$K$405,$AP2506)&lt;&gt;""),INDEX(職員マスタ!$K$6:$K$405,$AP2506),IF(N($W2506)&gt;0,$W2506,""))</f>
        <v/>
      </c>
      <c r="AB2506" s="14">
        <f>IF(OR($E2506="",$AA2506=""),"",IF($E2506&gt;=$AA2506,"×",IF($E2506&gt;=$AA2506*設定!$C$5,"△","○")))</f>
        <v/>
      </c>
      <c r="AC2506" s="15">
        <f>IF($AB2506="","",IF($AB2506="×",0,IF($AB2506="○",ROUNDDOWN($E2506*設定!$C$4,0),ROUNDDOWN($E2506*ROUND((9*$AA2506-9*$E2506)/(10*$E2506),4),0))))</f>
        <v/>
      </c>
      <c r="AD2506" s="13" t="n"/>
      <c r="AE2506" s="15">
        <f>IF($B2506="","",IF($AD2506&lt;&gt;"",$AD2506,IF($AC2506="","",IF($AC2506&lt;=設定!$C$3,0,$AC2506))))</f>
        <v/>
      </c>
      <c r="AF2506" s="14">
        <f>IF($B2506="","",IF(AND($AG2506&lt;&gt;"",$AI2506="",$AL2506=""),"保留中",IF($AL2506&lt;&gt;"",IF(N($AE2506)&gt;0,"支給済","不支給"),IF($AE2506="","要確認",IF($AE2506=0,"不支給","未処理")))))</f>
        <v/>
      </c>
      <c r="AG2506" s="12" t="n"/>
      <c r="AH2506" s="11" t="n"/>
      <c r="AI2506" s="11" t="n"/>
      <c r="AJ2506" s="11" t="n"/>
      <c r="AK2506" s="14">
        <f>IF(AND($AF2506="保留中",$AH2506&lt;&gt;""),TODAY()-$AH2506,"")</f>
        <v/>
      </c>
      <c r="AL2506" s="12" t="n"/>
      <c r="AM2506" s="14">
        <f>IF($B2506="","",IF($AQ2506="","対象年月が未入力／","")&amp;IF($B2506="","",IF($AP2506="","職員マスタに未登録の職員番号／",IF($AA2506="","標準報酬月額が未登録／","")&amp;IF(AND($AQ2506&lt;&gt;"",OR(AND(INDEX(職員マスタ!$G$6:$G$405,$AP2506)&lt;&gt;"",INDEX(職員マスタ!$G$6:$G$405,$AP2506)&gt;EOMONTH($AQ2506,0)),AND(INDEX(職員マスタ!$H$6:$H$405,$AP2506)&lt;&gt;"",INDEX(職員マスタ!$H$6:$H$405,$AP2506)&lt;$AQ2506))),"対象月が時短期間外／","")&amp;IF(AND(INDEX(職員マスタ!$K$6:$K$405,$AP2506)&lt;&gt;"",N($W2506)&gt;0,INDEX(職員マスタ!$K$6:$K$405,$AP2506)&lt;&gt;$W2506),"標準報酬月額が申請書と相違（台帳"&amp;TEXT(INDEX(職員マスタ!$K$6:$K$405,$AP2506),"#,##0")&amp;"円／申請書"&amp;TEXT($W2506,"#,##0")&amp;"円）／","")&amp;IF(AND(INDEX(職員マスタ!$F$6:$F$405,$AP2506)&lt;&gt;"",$AQ2506&lt;&gt;"",INDEX(職員マスタ!$F$6:$F$405,$AP2506)&lt;$AQ2506),"対象月に子が2歳到達済／","")&amp;IF(AND($H2506&lt;&gt;"",INDEX(職員マスタ!$B$6:$B$405,$AP2506)&lt;&gt;"",SUBSTITUTE(SUBSTITUTE($H2506," ","")," ","")&lt;&gt;SUBSTITUTE(SUBSTITUTE(INDEX(職員マスタ!$B$6:$B$405,$AP2506)," ","")," ","")),"氏名がマスタと相違／","")&amp;IF(AND($Q2506&lt;&gt;"",INDEX(職員マスタ!$E$6:$E$405,$AP2506)&lt;&gt;"",$Q2506&lt;&gt;INDEX(職員マスタ!$E$6:$E$405,$AP2506)),"子の生年月日がマスタと相違／","")&amp;IF(AND($L2506&lt;&gt;"",INDEX(職員マスタ!$G$6:$G$405,$AP2506)&lt;&gt;"",$L2506&lt;&gt;INDEX(職員マスタ!$G$6:$G$405,$AP2506)),"時短開始日がマスタと相違／","")&amp;IF(AND($M2506&lt;&gt;"",INDEX(職員マスタ!$H$6:$H$405,$AP2506)&lt;&gt;"",$M2506&lt;&gt;INDEX(職員マスタ!$H$6:$H$405,$AP2506)),"時短終了日がマスタと相違／","")))&amp;IF(AND($B2506&lt;&gt;"",$E2506=""),"報酬額が未入力／","")&amp;IF(N($U2506)&gt;0,"申請書に入力エラーが残っています／","")&amp;IF(AND($B2506&lt;&gt;"",$AQ2506&lt;&gt;""),IF(COUNTIFS($B$6:$B$3005,$B2506,$C$6:$C$3005,$C2506,$D$6:$D$3005,$D2506)&gt;1,"同じ月の請求が重複しています／",""),"")&amp;IF(AND(N($E2506)&gt;0,$AB2506&lt;&gt;"",$AB2506&lt;&gt;"×",$AE2506=0,$AD2506=""),"計算額が下限以下のため不支給／",""))</f>
        <v/>
      </c>
      <c r="AN2506" s="12" t="n"/>
      <c r="AO2506" s="14">
        <f>IF($AF2506="保留中",COUNTIF($AF$6:$AF2506,"保留中"),"")</f>
        <v/>
      </c>
      <c r="AP2506" s="14">
        <f>IF($AQ2506="","",IF(SUMPRODUCT(MAX((職員マスタ!$A$6:$A$405=$B2506)*(((職員マスタ!$G$6:$G$405="")+(職員マスタ!$G$6:$G$405&lt;=EOMONTH($AQ2506,0)))&gt;0)*(((職員マスタ!$H$6:$H$405="")+(職員マスタ!$H$6:$H$405&gt;=$AQ2506))&gt;0)*(ROW(職員マスタ!$A$6:$A$405)-5)))&gt;0,SUMPRODUCT(MAX((職員マスタ!$A$6:$A$405=$B2506)*(((職員マスタ!$G$6:$G$405="")+(職員マスタ!$G$6:$G$405&lt;=EOMONTH($AQ2506,0)))&gt;0)*(((職員マスタ!$H$6:$H$405="")+(職員マスタ!$H$6:$H$405&gt;=$AQ2506))&gt;0)*(ROW(職員マスタ!$A$6:$A$405)-5))),IFERROR(MATCH($B2506,職員マスタ!$A$6:$A$405,0),"")))</f>
        <v/>
      </c>
      <c r="AQ2506" s="16">
        <f>IF(OR($B2506="",$C2506="",$D2506=""),"",DATE($C2506+2018,$D2506,1))</f>
        <v/>
      </c>
    </row>
    <row r="2507">
      <c r="A2507" s="11" t="n"/>
      <c r="B2507" s="12" t="n"/>
      <c r="C2507" s="12" t="n"/>
      <c r="D2507" s="12" t="n"/>
      <c r="E2507" s="13" t="n"/>
      <c r="F2507" s="12" t="n"/>
      <c r="G2507" s="13" t="n"/>
      <c r="H2507" s="12" t="n"/>
      <c r="I2507" s="12" t="n"/>
      <c r="J2507" s="12" t="n"/>
      <c r="K2507" s="12" t="n"/>
      <c r="L2507" s="11" t="n"/>
      <c r="M2507" s="11" t="n"/>
      <c r="N2507" s="11" t="n"/>
      <c r="O2507" s="11" t="n"/>
      <c r="P2507" s="12" t="n"/>
      <c r="Q2507" s="11" t="n"/>
      <c r="R2507" s="12" t="n"/>
      <c r="S2507" s="11" t="n"/>
      <c r="T2507" s="12" t="n"/>
      <c r="U2507" s="12" t="n"/>
      <c r="V2507" s="12" t="n"/>
      <c r="W2507" s="13" t="n"/>
      <c r="X2507" s="14">
        <f>IF($AP2507="",IF($B2507="","",$H2507),IF(INDEX(職員マスタ!$B$6:$B$405,$AP2507)="",$H2507,INDEX(職員マスタ!$B$6:$B$405,$AP2507)))</f>
        <v/>
      </c>
      <c r="Y2507" s="14">
        <f>IF($AP2507="",IF($B2507="","",$R2507),IF(INDEX(職員マスタ!$C$6:$C$405,$AP2507)="",$R2507,INDEX(職員マスタ!$C$6:$C$405,$AP2507)))</f>
        <v/>
      </c>
      <c r="Z2507" s="14">
        <f>IF($AQ2507="","","R"&amp;$C2507&amp;"."&amp;$D2507)</f>
        <v/>
      </c>
      <c r="AA2507" s="15">
        <f>IF(IF($AP2507="",FALSE,INDEX(職員マスタ!$K$6:$K$405,$AP2507)&lt;&gt;""),INDEX(職員マスタ!$K$6:$K$405,$AP2507),IF(N($W2507)&gt;0,$W2507,""))</f>
        <v/>
      </c>
      <c r="AB2507" s="14">
        <f>IF(OR($E2507="",$AA2507=""),"",IF($E2507&gt;=$AA2507,"×",IF($E2507&gt;=$AA2507*設定!$C$5,"△","○")))</f>
        <v/>
      </c>
      <c r="AC2507" s="15">
        <f>IF($AB2507="","",IF($AB2507="×",0,IF($AB2507="○",ROUNDDOWN($E2507*設定!$C$4,0),ROUNDDOWN($E2507*ROUND((9*$AA2507-9*$E2507)/(10*$E2507),4),0))))</f>
        <v/>
      </c>
      <c r="AD2507" s="13" t="n"/>
      <c r="AE2507" s="15">
        <f>IF($B2507="","",IF($AD2507&lt;&gt;"",$AD2507,IF($AC2507="","",IF($AC2507&lt;=設定!$C$3,0,$AC2507))))</f>
        <v/>
      </c>
      <c r="AF2507" s="14">
        <f>IF($B2507="","",IF(AND($AG2507&lt;&gt;"",$AI2507="",$AL2507=""),"保留中",IF($AL2507&lt;&gt;"",IF(N($AE2507)&gt;0,"支給済","不支給"),IF($AE2507="","要確認",IF($AE2507=0,"不支給","未処理")))))</f>
        <v/>
      </c>
      <c r="AG2507" s="12" t="n"/>
      <c r="AH2507" s="11" t="n"/>
      <c r="AI2507" s="11" t="n"/>
      <c r="AJ2507" s="11" t="n"/>
      <c r="AK2507" s="14">
        <f>IF(AND($AF2507="保留中",$AH2507&lt;&gt;""),TODAY()-$AH2507,"")</f>
        <v/>
      </c>
      <c r="AL2507" s="12" t="n"/>
      <c r="AM2507" s="14">
        <f>IF($B2507="","",IF($AQ2507="","対象年月が未入力／","")&amp;IF($B2507="","",IF($AP2507="","職員マスタに未登録の職員番号／",IF($AA2507="","標準報酬月額が未登録／","")&amp;IF(AND($AQ2507&lt;&gt;"",OR(AND(INDEX(職員マスタ!$G$6:$G$405,$AP2507)&lt;&gt;"",INDEX(職員マスタ!$G$6:$G$405,$AP2507)&gt;EOMONTH($AQ2507,0)),AND(INDEX(職員マスタ!$H$6:$H$405,$AP2507)&lt;&gt;"",INDEX(職員マスタ!$H$6:$H$405,$AP2507)&lt;$AQ2507))),"対象月が時短期間外／","")&amp;IF(AND(INDEX(職員マスタ!$K$6:$K$405,$AP2507)&lt;&gt;"",N($W2507)&gt;0,INDEX(職員マスタ!$K$6:$K$405,$AP2507)&lt;&gt;$W2507),"標準報酬月額が申請書と相違（台帳"&amp;TEXT(INDEX(職員マスタ!$K$6:$K$405,$AP2507),"#,##0")&amp;"円／申請書"&amp;TEXT($W2507,"#,##0")&amp;"円）／","")&amp;IF(AND(INDEX(職員マスタ!$F$6:$F$405,$AP2507)&lt;&gt;"",$AQ2507&lt;&gt;"",INDEX(職員マスタ!$F$6:$F$405,$AP2507)&lt;$AQ2507),"対象月に子が2歳到達済／","")&amp;IF(AND($H2507&lt;&gt;"",INDEX(職員マスタ!$B$6:$B$405,$AP2507)&lt;&gt;"",SUBSTITUTE(SUBSTITUTE($H2507," ","")," ","")&lt;&gt;SUBSTITUTE(SUBSTITUTE(INDEX(職員マスタ!$B$6:$B$405,$AP2507)," ","")," ","")),"氏名がマスタと相違／","")&amp;IF(AND($Q2507&lt;&gt;"",INDEX(職員マスタ!$E$6:$E$405,$AP2507)&lt;&gt;"",$Q2507&lt;&gt;INDEX(職員マスタ!$E$6:$E$405,$AP2507)),"子の生年月日がマスタと相違／","")&amp;IF(AND($L2507&lt;&gt;"",INDEX(職員マスタ!$G$6:$G$405,$AP2507)&lt;&gt;"",$L2507&lt;&gt;INDEX(職員マスタ!$G$6:$G$405,$AP2507)),"時短開始日がマスタと相違／","")&amp;IF(AND($M2507&lt;&gt;"",INDEX(職員マスタ!$H$6:$H$405,$AP2507)&lt;&gt;"",$M2507&lt;&gt;INDEX(職員マスタ!$H$6:$H$405,$AP2507)),"時短終了日がマスタと相違／","")))&amp;IF(AND($B2507&lt;&gt;"",$E2507=""),"報酬額が未入力／","")&amp;IF(N($U2507)&gt;0,"申請書に入力エラーが残っています／","")&amp;IF(AND($B2507&lt;&gt;"",$AQ2507&lt;&gt;""),IF(COUNTIFS($B$6:$B$3005,$B2507,$C$6:$C$3005,$C2507,$D$6:$D$3005,$D2507)&gt;1,"同じ月の請求が重複しています／",""),"")&amp;IF(AND(N($E2507)&gt;0,$AB2507&lt;&gt;"",$AB2507&lt;&gt;"×",$AE2507=0,$AD2507=""),"計算額が下限以下のため不支給／",""))</f>
        <v/>
      </c>
      <c r="AN2507" s="12" t="n"/>
      <c r="AO2507" s="14">
        <f>IF($AF2507="保留中",COUNTIF($AF$6:$AF2507,"保留中"),"")</f>
        <v/>
      </c>
      <c r="AP2507" s="14">
        <f>IF($AQ2507="","",IF(SUMPRODUCT(MAX((職員マスタ!$A$6:$A$405=$B2507)*(((職員マスタ!$G$6:$G$405="")+(職員マスタ!$G$6:$G$405&lt;=EOMONTH($AQ2507,0)))&gt;0)*(((職員マスタ!$H$6:$H$405="")+(職員マスタ!$H$6:$H$405&gt;=$AQ2507))&gt;0)*(ROW(職員マスタ!$A$6:$A$405)-5)))&gt;0,SUMPRODUCT(MAX((職員マスタ!$A$6:$A$405=$B2507)*(((職員マスタ!$G$6:$G$405="")+(職員マスタ!$G$6:$G$405&lt;=EOMONTH($AQ2507,0)))&gt;0)*(((職員マスタ!$H$6:$H$405="")+(職員マスタ!$H$6:$H$405&gt;=$AQ2507))&gt;0)*(ROW(職員マスタ!$A$6:$A$405)-5))),IFERROR(MATCH($B2507,職員マスタ!$A$6:$A$405,0),"")))</f>
        <v/>
      </c>
      <c r="AQ2507" s="16">
        <f>IF(OR($B2507="",$C2507="",$D2507=""),"",DATE($C2507+2018,$D2507,1))</f>
        <v/>
      </c>
    </row>
    <row r="2508">
      <c r="A2508" s="11" t="n"/>
      <c r="B2508" s="12" t="n"/>
      <c r="C2508" s="12" t="n"/>
      <c r="D2508" s="12" t="n"/>
      <c r="E2508" s="13" t="n"/>
      <c r="F2508" s="12" t="n"/>
      <c r="G2508" s="13" t="n"/>
      <c r="H2508" s="12" t="n"/>
      <c r="I2508" s="12" t="n"/>
      <c r="J2508" s="12" t="n"/>
      <c r="K2508" s="12" t="n"/>
      <c r="L2508" s="11" t="n"/>
      <c r="M2508" s="11" t="n"/>
      <c r="N2508" s="11" t="n"/>
      <c r="O2508" s="11" t="n"/>
      <c r="P2508" s="12" t="n"/>
      <c r="Q2508" s="11" t="n"/>
      <c r="R2508" s="12" t="n"/>
      <c r="S2508" s="11" t="n"/>
      <c r="T2508" s="12" t="n"/>
      <c r="U2508" s="12" t="n"/>
      <c r="V2508" s="12" t="n"/>
      <c r="W2508" s="13" t="n"/>
      <c r="X2508" s="14">
        <f>IF($AP2508="",IF($B2508="","",$H2508),IF(INDEX(職員マスタ!$B$6:$B$405,$AP2508)="",$H2508,INDEX(職員マスタ!$B$6:$B$405,$AP2508)))</f>
        <v/>
      </c>
      <c r="Y2508" s="14">
        <f>IF($AP2508="",IF($B2508="","",$R2508),IF(INDEX(職員マスタ!$C$6:$C$405,$AP2508)="",$R2508,INDEX(職員マスタ!$C$6:$C$405,$AP2508)))</f>
        <v/>
      </c>
      <c r="Z2508" s="14">
        <f>IF($AQ2508="","","R"&amp;$C2508&amp;"."&amp;$D2508)</f>
        <v/>
      </c>
      <c r="AA2508" s="15">
        <f>IF(IF($AP2508="",FALSE,INDEX(職員マスタ!$K$6:$K$405,$AP2508)&lt;&gt;""),INDEX(職員マスタ!$K$6:$K$405,$AP2508),IF(N($W2508)&gt;0,$W2508,""))</f>
        <v/>
      </c>
      <c r="AB2508" s="14">
        <f>IF(OR($E2508="",$AA2508=""),"",IF($E2508&gt;=$AA2508,"×",IF($E2508&gt;=$AA2508*設定!$C$5,"△","○")))</f>
        <v/>
      </c>
      <c r="AC2508" s="15">
        <f>IF($AB2508="","",IF($AB2508="×",0,IF($AB2508="○",ROUNDDOWN($E2508*設定!$C$4,0),ROUNDDOWN($E2508*ROUND((9*$AA2508-9*$E2508)/(10*$E2508),4),0))))</f>
        <v/>
      </c>
      <c r="AD2508" s="13" t="n"/>
      <c r="AE2508" s="15">
        <f>IF($B2508="","",IF($AD2508&lt;&gt;"",$AD2508,IF($AC2508="","",IF($AC2508&lt;=設定!$C$3,0,$AC2508))))</f>
        <v/>
      </c>
      <c r="AF2508" s="14">
        <f>IF($B2508="","",IF(AND($AG2508&lt;&gt;"",$AI2508="",$AL2508=""),"保留中",IF($AL2508&lt;&gt;"",IF(N($AE2508)&gt;0,"支給済","不支給"),IF($AE2508="","要確認",IF($AE2508=0,"不支給","未処理")))))</f>
        <v/>
      </c>
      <c r="AG2508" s="12" t="n"/>
      <c r="AH2508" s="11" t="n"/>
      <c r="AI2508" s="11" t="n"/>
      <c r="AJ2508" s="11" t="n"/>
      <c r="AK2508" s="14">
        <f>IF(AND($AF2508="保留中",$AH2508&lt;&gt;""),TODAY()-$AH2508,"")</f>
        <v/>
      </c>
      <c r="AL2508" s="12" t="n"/>
      <c r="AM2508" s="14">
        <f>IF($B2508="","",IF($AQ2508="","対象年月が未入力／","")&amp;IF($B2508="","",IF($AP2508="","職員マスタに未登録の職員番号／",IF($AA2508="","標準報酬月額が未登録／","")&amp;IF(AND($AQ2508&lt;&gt;"",OR(AND(INDEX(職員マスタ!$G$6:$G$405,$AP2508)&lt;&gt;"",INDEX(職員マスタ!$G$6:$G$405,$AP2508)&gt;EOMONTH($AQ2508,0)),AND(INDEX(職員マスタ!$H$6:$H$405,$AP2508)&lt;&gt;"",INDEX(職員マスタ!$H$6:$H$405,$AP2508)&lt;$AQ2508))),"対象月が時短期間外／","")&amp;IF(AND(INDEX(職員マスタ!$K$6:$K$405,$AP2508)&lt;&gt;"",N($W2508)&gt;0,INDEX(職員マスタ!$K$6:$K$405,$AP2508)&lt;&gt;$W2508),"標準報酬月額が申請書と相違（台帳"&amp;TEXT(INDEX(職員マスタ!$K$6:$K$405,$AP2508),"#,##0")&amp;"円／申請書"&amp;TEXT($W2508,"#,##0")&amp;"円）／","")&amp;IF(AND(INDEX(職員マスタ!$F$6:$F$405,$AP2508)&lt;&gt;"",$AQ2508&lt;&gt;"",INDEX(職員マスタ!$F$6:$F$405,$AP2508)&lt;$AQ2508),"対象月に子が2歳到達済／","")&amp;IF(AND($H2508&lt;&gt;"",INDEX(職員マスタ!$B$6:$B$405,$AP2508)&lt;&gt;"",SUBSTITUTE(SUBSTITUTE($H2508," ","")," ","")&lt;&gt;SUBSTITUTE(SUBSTITUTE(INDEX(職員マスタ!$B$6:$B$405,$AP2508)," ","")," ","")),"氏名がマスタと相違／","")&amp;IF(AND($Q2508&lt;&gt;"",INDEX(職員マスタ!$E$6:$E$405,$AP2508)&lt;&gt;"",$Q2508&lt;&gt;INDEX(職員マスタ!$E$6:$E$405,$AP2508)),"子の生年月日がマスタと相違／","")&amp;IF(AND($L2508&lt;&gt;"",INDEX(職員マスタ!$G$6:$G$405,$AP2508)&lt;&gt;"",$L2508&lt;&gt;INDEX(職員マスタ!$G$6:$G$405,$AP2508)),"時短開始日がマスタと相違／","")&amp;IF(AND($M2508&lt;&gt;"",INDEX(職員マスタ!$H$6:$H$405,$AP2508)&lt;&gt;"",$M2508&lt;&gt;INDEX(職員マスタ!$H$6:$H$405,$AP2508)),"時短終了日がマスタと相違／","")))&amp;IF(AND($B2508&lt;&gt;"",$E2508=""),"報酬額が未入力／","")&amp;IF(N($U2508)&gt;0,"申請書に入力エラーが残っています／","")&amp;IF(AND($B2508&lt;&gt;"",$AQ2508&lt;&gt;""),IF(COUNTIFS($B$6:$B$3005,$B2508,$C$6:$C$3005,$C2508,$D$6:$D$3005,$D2508)&gt;1,"同じ月の請求が重複しています／",""),"")&amp;IF(AND(N($E2508)&gt;0,$AB2508&lt;&gt;"",$AB2508&lt;&gt;"×",$AE2508=0,$AD2508=""),"計算額が下限以下のため不支給／",""))</f>
        <v/>
      </c>
      <c r="AN2508" s="12" t="n"/>
      <c r="AO2508" s="14">
        <f>IF($AF2508="保留中",COUNTIF($AF$6:$AF2508,"保留中"),"")</f>
        <v/>
      </c>
      <c r="AP2508" s="14">
        <f>IF($AQ2508="","",IF(SUMPRODUCT(MAX((職員マスタ!$A$6:$A$405=$B2508)*(((職員マスタ!$G$6:$G$405="")+(職員マスタ!$G$6:$G$405&lt;=EOMONTH($AQ2508,0)))&gt;0)*(((職員マスタ!$H$6:$H$405="")+(職員マスタ!$H$6:$H$405&gt;=$AQ2508))&gt;0)*(ROW(職員マスタ!$A$6:$A$405)-5)))&gt;0,SUMPRODUCT(MAX((職員マスタ!$A$6:$A$405=$B2508)*(((職員マスタ!$G$6:$G$405="")+(職員マスタ!$G$6:$G$405&lt;=EOMONTH($AQ2508,0)))&gt;0)*(((職員マスタ!$H$6:$H$405="")+(職員マスタ!$H$6:$H$405&gt;=$AQ2508))&gt;0)*(ROW(職員マスタ!$A$6:$A$405)-5))),IFERROR(MATCH($B2508,職員マスタ!$A$6:$A$405,0),"")))</f>
        <v/>
      </c>
      <c r="AQ2508" s="16">
        <f>IF(OR($B2508="",$C2508="",$D2508=""),"",DATE($C2508+2018,$D2508,1))</f>
        <v/>
      </c>
    </row>
    <row r="2509">
      <c r="A2509" s="11" t="n"/>
      <c r="B2509" s="12" t="n"/>
      <c r="C2509" s="12" t="n"/>
      <c r="D2509" s="12" t="n"/>
      <c r="E2509" s="13" t="n"/>
      <c r="F2509" s="12" t="n"/>
      <c r="G2509" s="13" t="n"/>
      <c r="H2509" s="12" t="n"/>
      <c r="I2509" s="12" t="n"/>
      <c r="J2509" s="12" t="n"/>
      <c r="K2509" s="12" t="n"/>
      <c r="L2509" s="11" t="n"/>
      <c r="M2509" s="11" t="n"/>
      <c r="N2509" s="11" t="n"/>
      <c r="O2509" s="11" t="n"/>
      <c r="P2509" s="12" t="n"/>
      <c r="Q2509" s="11" t="n"/>
      <c r="R2509" s="12" t="n"/>
      <c r="S2509" s="11" t="n"/>
      <c r="T2509" s="12" t="n"/>
      <c r="U2509" s="12" t="n"/>
      <c r="V2509" s="12" t="n"/>
      <c r="W2509" s="13" t="n"/>
      <c r="X2509" s="14">
        <f>IF($AP2509="",IF($B2509="","",$H2509),IF(INDEX(職員マスタ!$B$6:$B$405,$AP2509)="",$H2509,INDEX(職員マスタ!$B$6:$B$405,$AP2509)))</f>
        <v/>
      </c>
      <c r="Y2509" s="14">
        <f>IF($AP2509="",IF($B2509="","",$R2509),IF(INDEX(職員マスタ!$C$6:$C$405,$AP2509)="",$R2509,INDEX(職員マスタ!$C$6:$C$405,$AP2509)))</f>
        <v/>
      </c>
      <c r="Z2509" s="14">
        <f>IF($AQ2509="","","R"&amp;$C2509&amp;"."&amp;$D2509)</f>
        <v/>
      </c>
      <c r="AA2509" s="15">
        <f>IF(IF($AP2509="",FALSE,INDEX(職員マスタ!$K$6:$K$405,$AP2509)&lt;&gt;""),INDEX(職員マスタ!$K$6:$K$405,$AP2509),IF(N($W2509)&gt;0,$W2509,""))</f>
        <v/>
      </c>
      <c r="AB2509" s="14">
        <f>IF(OR($E2509="",$AA2509=""),"",IF($E2509&gt;=$AA2509,"×",IF($E2509&gt;=$AA2509*設定!$C$5,"△","○")))</f>
        <v/>
      </c>
      <c r="AC2509" s="15">
        <f>IF($AB2509="","",IF($AB2509="×",0,IF($AB2509="○",ROUNDDOWN($E2509*設定!$C$4,0),ROUNDDOWN($E2509*ROUND((9*$AA2509-9*$E2509)/(10*$E2509),4),0))))</f>
        <v/>
      </c>
      <c r="AD2509" s="13" t="n"/>
      <c r="AE2509" s="15">
        <f>IF($B2509="","",IF($AD2509&lt;&gt;"",$AD2509,IF($AC2509="","",IF($AC2509&lt;=設定!$C$3,0,$AC2509))))</f>
        <v/>
      </c>
      <c r="AF2509" s="14">
        <f>IF($B2509="","",IF(AND($AG2509&lt;&gt;"",$AI2509="",$AL2509=""),"保留中",IF($AL2509&lt;&gt;"",IF(N($AE2509)&gt;0,"支給済","不支給"),IF($AE2509="","要確認",IF($AE2509=0,"不支給","未処理")))))</f>
        <v/>
      </c>
      <c r="AG2509" s="12" t="n"/>
      <c r="AH2509" s="11" t="n"/>
      <c r="AI2509" s="11" t="n"/>
      <c r="AJ2509" s="11" t="n"/>
      <c r="AK2509" s="14">
        <f>IF(AND($AF2509="保留中",$AH2509&lt;&gt;""),TODAY()-$AH2509,"")</f>
        <v/>
      </c>
      <c r="AL2509" s="12" t="n"/>
      <c r="AM2509" s="14">
        <f>IF($B2509="","",IF($AQ2509="","対象年月が未入力／","")&amp;IF($B2509="","",IF($AP2509="","職員マスタに未登録の職員番号／",IF($AA2509="","標準報酬月額が未登録／","")&amp;IF(AND($AQ2509&lt;&gt;"",OR(AND(INDEX(職員マスタ!$G$6:$G$405,$AP2509)&lt;&gt;"",INDEX(職員マスタ!$G$6:$G$405,$AP2509)&gt;EOMONTH($AQ2509,0)),AND(INDEX(職員マスタ!$H$6:$H$405,$AP2509)&lt;&gt;"",INDEX(職員マスタ!$H$6:$H$405,$AP2509)&lt;$AQ2509))),"対象月が時短期間外／","")&amp;IF(AND(INDEX(職員マスタ!$K$6:$K$405,$AP2509)&lt;&gt;"",N($W2509)&gt;0,INDEX(職員マスタ!$K$6:$K$405,$AP2509)&lt;&gt;$W2509),"標準報酬月額が申請書と相違（台帳"&amp;TEXT(INDEX(職員マスタ!$K$6:$K$405,$AP2509),"#,##0")&amp;"円／申請書"&amp;TEXT($W2509,"#,##0")&amp;"円）／","")&amp;IF(AND(INDEX(職員マスタ!$F$6:$F$405,$AP2509)&lt;&gt;"",$AQ2509&lt;&gt;"",INDEX(職員マスタ!$F$6:$F$405,$AP2509)&lt;$AQ2509),"対象月に子が2歳到達済／","")&amp;IF(AND($H2509&lt;&gt;"",INDEX(職員マスタ!$B$6:$B$405,$AP2509)&lt;&gt;"",SUBSTITUTE(SUBSTITUTE($H2509," ","")," ","")&lt;&gt;SUBSTITUTE(SUBSTITUTE(INDEX(職員マスタ!$B$6:$B$405,$AP2509)," ","")," ","")),"氏名がマスタと相違／","")&amp;IF(AND($Q2509&lt;&gt;"",INDEX(職員マスタ!$E$6:$E$405,$AP2509)&lt;&gt;"",$Q2509&lt;&gt;INDEX(職員マスタ!$E$6:$E$405,$AP2509)),"子の生年月日がマスタと相違／","")&amp;IF(AND($L2509&lt;&gt;"",INDEX(職員マスタ!$G$6:$G$405,$AP2509)&lt;&gt;"",$L2509&lt;&gt;INDEX(職員マスタ!$G$6:$G$405,$AP2509)),"時短開始日がマスタと相違／","")&amp;IF(AND($M2509&lt;&gt;"",INDEX(職員マスタ!$H$6:$H$405,$AP2509)&lt;&gt;"",$M2509&lt;&gt;INDEX(職員マスタ!$H$6:$H$405,$AP2509)),"時短終了日がマスタと相違／","")))&amp;IF(AND($B2509&lt;&gt;"",$E2509=""),"報酬額が未入力／","")&amp;IF(N($U2509)&gt;0,"申請書に入力エラーが残っています／","")&amp;IF(AND($B2509&lt;&gt;"",$AQ2509&lt;&gt;""),IF(COUNTIFS($B$6:$B$3005,$B2509,$C$6:$C$3005,$C2509,$D$6:$D$3005,$D2509)&gt;1,"同じ月の請求が重複しています／",""),"")&amp;IF(AND(N($E2509)&gt;0,$AB2509&lt;&gt;"",$AB2509&lt;&gt;"×",$AE2509=0,$AD2509=""),"計算額が下限以下のため不支給／",""))</f>
        <v/>
      </c>
      <c r="AN2509" s="12" t="n"/>
      <c r="AO2509" s="14">
        <f>IF($AF2509="保留中",COUNTIF($AF$6:$AF2509,"保留中"),"")</f>
        <v/>
      </c>
      <c r="AP2509" s="14">
        <f>IF($AQ2509="","",IF(SUMPRODUCT(MAX((職員マスタ!$A$6:$A$405=$B2509)*(((職員マスタ!$G$6:$G$405="")+(職員マスタ!$G$6:$G$405&lt;=EOMONTH($AQ2509,0)))&gt;0)*(((職員マスタ!$H$6:$H$405="")+(職員マスタ!$H$6:$H$405&gt;=$AQ2509))&gt;0)*(ROW(職員マスタ!$A$6:$A$405)-5)))&gt;0,SUMPRODUCT(MAX((職員マスタ!$A$6:$A$405=$B2509)*(((職員マスタ!$G$6:$G$405="")+(職員マスタ!$G$6:$G$405&lt;=EOMONTH($AQ2509,0)))&gt;0)*(((職員マスタ!$H$6:$H$405="")+(職員マスタ!$H$6:$H$405&gt;=$AQ2509))&gt;0)*(ROW(職員マスタ!$A$6:$A$405)-5))),IFERROR(MATCH($B2509,職員マスタ!$A$6:$A$405,0),"")))</f>
        <v/>
      </c>
      <c r="AQ2509" s="16">
        <f>IF(OR($B2509="",$C2509="",$D2509=""),"",DATE($C2509+2018,$D2509,1))</f>
        <v/>
      </c>
    </row>
    <row r="2510">
      <c r="A2510" s="11" t="n"/>
      <c r="B2510" s="12" t="n"/>
      <c r="C2510" s="12" t="n"/>
      <c r="D2510" s="12" t="n"/>
      <c r="E2510" s="13" t="n"/>
      <c r="F2510" s="12" t="n"/>
      <c r="G2510" s="13" t="n"/>
      <c r="H2510" s="12" t="n"/>
      <c r="I2510" s="12" t="n"/>
      <c r="J2510" s="12" t="n"/>
      <c r="K2510" s="12" t="n"/>
      <c r="L2510" s="11" t="n"/>
      <c r="M2510" s="11" t="n"/>
      <c r="N2510" s="11" t="n"/>
      <c r="O2510" s="11" t="n"/>
      <c r="P2510" s="12" t="n"/>
      <c r="Q2510" s="11" t="n"/>
      <c r="R2510" s="12" t="n"/>
      <c r="S2510" s="11" t="n"/>
      <c r="T2510" s="12" t="n"/>
      <c r="U2510" s="12" t="n"/>
      <c r="V2510" s="12" t="n"/>
      <c r="W2510" s="13" t="n"/>
      <c r="X2510" s="14">
        <f>IF($AP2510="",IF($B2510="","",$H2510),IF(INDEX(職員マスタ!$B$6:$B$405,$AP2510)="",$H2510,INDEX(職員マスタ!$B$6:$B$405,$AP2510)))</f>
        <v/>
      </c>
      <c r="Y2510" s="14">
        <f>IF($AP2510="",IF($B2510="","",$R2510),IF(INDEX(職員マスタ!$C$6:$C$405,$AP2510)="",$R2510,INDEX(職員マスタ!$C$6:$C$405,$AP2510)))</f>
        <v/>
      </c>
      <c r="Z2510" s="14">
        <f>IF($AQ2510="","","R"&amp;$C2510&amp;"."&amp;$D2510)</f>
        <v/>
      </c>
      <c r="AA2510" s="15">
        <f>IF(IF($AP2510="",FALSE,INDEX(職員マスタ!$K$6:$K$405,$AP2510)&lt;&gt;""),INDEX(職員マスタ!$K$6:$K$405,$AP2510),IF(N($W2510)&gt;0,$W2510,""))</f>
        <v/>
      </c>
      <c r="AB2510" s="14">
        <f>IF(OR($E2510="",$AA2510=""),"",IF($E2510&gt;=$AA2510,"×",IF($E2510&gt;=$AA2510*設定!$C$5,"△","○")))</f>
        <v/>
      </c>
      <c r="AC2510" s="15">
        <f>IF($AB2510="","",IF($AB2510="×",0,IF($AB2510="○",ROUNDDOWN($E2510*設定!$C$4,0),ROUNDDOWN($E2510*ROUND((9*$AA2510-9*$E2510)/(10*$E2510),4),0))))</f>
        <v/>
      </c>
      <c r="AD2510" s="13" t="n"/>
      <c r="AE2510" s="15">
        <f>IF($B2510="","",IF($AD2510&lt;&gt;"",$AD2510,IF($AC2510="","",IF($AC2510&lt;=設定!$C$3,0,$AC2510))))</f>
        <v/>
      </c>
      <c r="AF2510" s="14">
        <f>IF($B2510="","",IF(AND($AG2510&lt;&gt;"",$AI2510="",$AL2510=""),"保留中",IF($AL2510&lt;&gt;"",IF(N($AE2510)&gt;0,"支給済","不支給"),IF($AE2510="","要確認",IF($AE2510=0,"不支給","未処理")))))</f>
        <v/>
      </c>
      <c r="AG2510" s="12" t="n"/>
      <c r="AH2510" s="11" t="n"/>
      <c r="AI2510" s="11" t="n"/>
      <c r="AJ2510" s="11" t="n"/>
      <c r="AK2510" s="14">
        <f>IF(AND($AF2510="保留中",$AH2510&lt;&gt;""),TODAY()-$AH2510,"")</f>
        <v/>
      </c>
      <c r="AL2510" s="12" t="n"/>
      <c r="AM2510" s="14">
        <f>IF($B2510="","",IF($AQ2510="","対象年月が未入力／","")&amp;IF($B2510="","",IF($AP2510="","職員マスタに未登録の職員番号／",IF($AA2510="","標準報酬月額が未登録／","")&amp;IF(AND($AQ2510&lt;&gt;"",OR(AND(INDEX(職員マスタ!$G$6:$G$405,$AP2510)&lt;&gt;"",INDEX(職員マスタ!$G$6:$G$405,$AP2510)&gt;EOMONTH($AQ2510,0)),AND(INDEX(職員マスタ!$H$6:$H$405,$AP2510)&lt;&gt;"",INDEX(職員マスタ!$H$6:$H$405,$AP2510)&lt;$AQ2510))),"対象月が時短期間外／","")&amp;IF(AND(INDEX(職員マスタ!$K$6:$K$405,$AP2510)&lt;&gt;"",N($W2510)&gt;0,INDEX(職員マスタ!$K$6:$K$405,$AP2510)&lt;&gt;$W2510),"標準報酬月額が申請書と相違（台帳"&amp;TEXT(INDEX(職員マスタ!$K$6:$K$405,$AP2510),"#,##0")&amp;"円／申請書"&amp;TEXT($W2510,"#,##0")&amp;"円）／","")&amp;IF(AND(INDEX(職員マスタ!$F$6:$F$405,$AP2510)&lt;&gt;"",$AQ2510&lt;&gt;"",INDEX(職員マスタ!$F$6:$F$405,$AP2510)&lt;$AQ2510),"対象月に子が2歳到達済／","")&amp;IF(AND($H2510&lt;&gt;"",INDEX(職員マスタ!$B$6:$B$405,$AP2510)&lt;&gt;"",SUBSTITUTE(SUBSTITUTE($H2510," ","")," ","")&lt;&gt;SUBSTITUTE(SUBSTITUTE(INDEX(職員マスタ!$B$6:$B$405,$AP2510)," ","")," ","")),"氏名がマスタと相違／","")&amp;IF(AND($Q2510&lt;&gt;"",INDEX(職員マスタ!$E$6:$E$405,$AP2510)&lt;&gt;"",$Q2510&lt;&gt;INDEX(職員マスタ!$E$6:$E$405,$AP2510)),"子の生年月日がマスタと相違／","")&amp;IF(AND($L2510&lt;&gt;"",INDEX(職員マスタ!$G$6:$G$405,$AP2510)&lt;&gt;"",$L2510&lt;&gt;INDEX(職員マスタ!$G$6:$G$405,$AP2510)),"時短開始日がマスタと相違／","")&amp;IF(AND($M2510&lt;&gt;"",INDEX(職員マスタ!$H$6:$H$405,$AP2510)&lt;&gt;"",$M2510&lt;&gt;INDEX(職員マスタ!$H$6:$H$405,$AP2510)),"時短終了日がマスタと相違／","")))&amp;IF(AND($B2510&lt;&gt;"",$E2510=""),"報酬額が未入力／","")&amp;IF(N($U2510)&gt;0,"申請書に入力エラーが残っています／","")&amp;IF(AND($B2510&lt;&gt;"",$AQ2510&lt;&gt;""),IF(COUNTIFS($B$6:$B$3005,$B2510,$C$6:$C$3005,$C2510,$D$6:$D$3005,$D2510)&gt;1,"同じ月の請求が重複しています／",""),"")&amp;IF(AND(N($E2510)&gt;0,$AB2510&lt;&gt;"",$AB2510&lt;&gt;"×",$AE2510=0,$AD2510=""),"計算額が下限以下のため不支給／",""))</f>
        <v/>
      </c>
      <c r="AN2510" s="12" t="n"/>
      <c r="AO2510" s="14">
        <f>IF($AF2510="保留中",COUNTIF($AF$6:$AF2510,"保留中"),"")</f>
        <v/>
      </c>
      <c r="AP2510" s="14">
        <f>IF($AQ2510="","",IF(SUMPRODUCT(MAX((職員マスタ!$A$6:$A$405=$B2510)*(((職員マスタ!$G$6:$G$405="")+(職員マスタ!$G$6:$G$405&lt;=EOMONTH($AQ2510,0)))&gt;0)*(((職員マスタ!$H$6:$H$405="")+(職員マスタ!$H$6:$H$405&gt;=$AQ2510))&gt;0)*(ROW(職員マスタ!$A$6:$A$405)-5)))&gt;0,SUMPRODUCT(MAX((職員マスタ!$A$6:$A$405=$B2510)*(((職員マスタ!$G$6:$G$405="")+(職員マスタ!$G$6:$G$405&lt;=EOMONTH($AQ2510,0)))&gt;0)*(((職員マスタ!$H$6:$H$405="")+(職員マスタ!$H$6:$H$405&gt;=$AQ2510))&gt;0)*(ROW(職員マスタ!$A$6:$A$405)-5))),IFERROR(MATCH($B2510,職員マスタ!$A$6:$A$405,0),"")))</f>
        <v/>
      </c>
      <c r="AQ2510" s="16">
        <f>IF(OR($B2510="",$C2510="",$D2510=""),"",DATE($C2510+2018,$D2510,1))</f>
        <v/>
      </c>
    </row>
    <row r="2511">
      <c r="A2511" s="11" t="n"/>
      <c r="B2511" s="12" t="n"/>
      <c r="C2511" s="12" t="n"/>
      <c r="D2511" s="12" t="n"/>
      <c r="E2511" s="13" t="n"/>
      <c r="F2511" s="12" t="n"/>
      <c r="G2511" s="13" t="n"/>
      <c r="H2511" s="12" t="n"/>
      <c r="I2511" s="12" t="n"/>
      <c r="J2511" s="12" t="n"/>
      <c r="K2511" s="12" t="n"/>
      <c r="L2511" s="11" t="n"/>
      <c r="M2511" s="11" t="n"/>
      <c r="N2511" s="11" t="n"/>
      <c r="O2511" s="11" t="n"/>
      <c r="P2511" s="12" t="n"/>
      <c r="Q2511" s="11" t="n"/>
      <c r="R2511" s="12" t="n"/>
      <c r="S2511" s="11" t="n"/>
      <c r="T2511" s="12" t="n"/>
      <c r="U2511" s="12" t="n"/>
      <c r="V2511" s="12" t="n"/>
      <c r="W2511" s="13" t="n"/>
      <c r="X2511" s="14">
        <f>IF($AP2511="",IF($B2511="","",$H2511),IF(INDEX(職員マスタ!$B$6:$B$405,$AP2511)="",$H2511,INDEX(職員マスタ!$B$6:$B$405,$AP2511)))</f>
        <v/>
      </c>
      <c r="Y2511" s="14">
        <f>IF($AP2511="",IF($B2511="","",$R2511),IF(INDEX(職員マスタ!$C$6:$C$405,$AP2511)="",$R2511,INDEX(職員マスタ!$C$6:$C$405,$AP2511)))</f>
        <v/>
      </c>
      <c r="Z2511" s="14">
        <f>IF($AQ2511="","","R"&amp;$C2511&amp;"."&amp;$D2511)</f>
        <v/>
      </c>
      <c r="AA2511" s="15">
        <f>IF(IF($AP2511="",FALSE,INDEX(職員マスタ!$K$6:$K$405,$AP2511)&lt;&gt;""),INDEX(職員マスタ!$K$6:$K$405,$AP2511),IF(N($W2511)&gt;0,$W2511,""))</f>
        <v/>
      </c>
      <c r="AB2511" s="14">
        <f>IF(OR($E2511="",$AA2511=""),"",IF($E2511&gt;=$AA2511,"×",IF($E2511&gt;=$AA2511*設定!$C$5,"△","○")))</f>
        <v/>
      </c>
      <c r="AC2511" s="15">
        <f>IF($AB2511="","",IF($AB2511="×",0,IF($AB2511="○",ROUNDDOWN($E2511*設定!$C$4,0),ROUNDDOWN($E2511*ROUND((9*$AA2511-9*$E2511)/(10*$E2511),4),0))))</f>
        <v/>
      </c>
      <c r="AD2511" s="13" t="n"/>
      <c r="AE2511" s="15">
        <f>IF($B2511="","",IF($AD2511&lt;&gt;"",$AD2511,IF($AC2511="","",IF($AC2511&lt;=設定!$C$3,0,$AC2511))))</f>
        <v/>
      </c>
      <c r="AF2511" s="14">
        <f>IF($B2511="","",IF(AND($AG2511&lt;&gt;"",$AI2511="",$AL2511=""),"保留中",IF($AL2511&lt;&gt;"",IF(N($AE2511)&gt;0,"支給済","不支給"),IF($AE2511="","要確認",IF($AE2511=0,"不支給","未処理")))))</f>
        <v/>
      </c>
      <c r="AG2511" s="12" t="n"/>
      <c r="AH2511" s="11" t="n"/>
      <c r="AI2511" s="11" t="n"/>
      <c r="AJ2511" s="11" t="n"/>
      <c r="AK2511" s="14">
        <f>IF(AND($AF2511="保留中",$AH2511&lt;&gt;""),TODAY()-$AH2511,"")</f>
        <v/>
      </c>
      <c r="AL2511" s="12" t="n"/>
      <c r="AM2511" s="14">
        <f>IF($B2511="","",IF($AQ2511="","対象年月が未入力／","")&amp;IF($B2511="","",IF($AP2511="","職員マスタに未登録の職員番号／",IF($AA2511="","標準報酬月額が未登録／","")&amp;IF(AND($AQ2511&lt;&gt;"",OR(AND(INDEX(職員マスタ!$G$6:$G$405,$AP2511)&lt;&gt;"",INDEX(職員マスタ!$G$6:$G$405,$AP2511)&gt;EOMONTH($AQ2511,0)),AND(INDEX(職員マスタ!$H$6:$H$405,$AP2511)&lt;&gt;"",INDEX(職員マスタ!$H$6:$H$405,$AP2511)&lt;$AQ2511))),"対象月が時短期間外／","")&amp;IF(AND(INDEX(職員マスタ!$K$6:$K$405,$AP2511)&lt;&gt;"",N($W2511)&gt;0,INDEX(職員マスタ!$K$6:$K$405,$AP2511)&lt;&gt;$W2511),"標準報酬月額が申請書と相違（台帳"&amp;TEXT(INDEX(職員マスタ!$K$6:$K$405,$AP2511),"#,##0")&amp;"円／申請書"&amp;TEXT($W2511,"#,##0")&amp;"円）／","")&amp;IF(AND(INDEX(職員マスタ!$F$6:$F$405,$AP2511)&lt;&gt;"",$AQ2511&lt;&gt;"",INDEX(職員マスタ!$F$6:$F$405,$AP2511)&lt;$AQ2511),"対象月に子が2歳到達済／","")&amp;IF(AND($H2511&lt;&gt;"",INDEX(職員マスタ!$B$6:$B$405,$AP2511)&lt;&gt;"",SUBSTITUTE(SUBSTITUTE($H2511," ","")," ","")&lt;&gt;SUBSTITUTE(SUBSTITUTE(INDEX(職員マスタ!$B$6:$B$405,$AP2511)," ","")," ","")),"氏名がマスタと相違／","")&amp;IF(AND($Q2511&lt;&gt;"",INDEX(職員マスタ!$E$6:$E$405,$AP2511)&lt;&gt;"",$Q2511&lt;&gt;INDEX(職員マスタ!$E$6:$E$405,$AP2511)),"子の生年月日がマスタと相違／","")&amp;IF(AND($L2511&lt;&gt;"",INDEX(職員マスタ!$G$6:$G$405,$AP2511)&lt;&gt;"",$L2511&lt;&gt;INDEX(職員マスタ!$G$6:$G$405,$AP2511)),"時短開始日がマスタと相違／","")&amp;IF(AND($M2511&lt;&gt;"",INDEX(職員マスタ!$H$6:$H$405,$AP2511)&lt;&gt;"",$M2511&lt;&gt;INDEX(職員マスタ!$H$6:$H$405,$AP2511)),"時短終了日がマスタと相違／","")))&amp;IF(AND($B2511&lt;&gt;"",$E2511=""),"報酬額が未入力／","")&amp;IF(N($U2511)&gt;0,"申請書に入力エラーが残っています／","")&amp;IF(AND($B2511&lt;&gt;"",$AQ2511&lt;&gt;""),IF(COUNTIFS($B$6:$B$3005,$B2511,$C$6:$C$3005,$C2511,$D$6:$D$3005,$D2511)&gt;1,"同じ月の請求が重複しています／",""),"")&amp;IF(AND(N($E2511)&gt;0,$AB2511&lt;&gt;"",$AB2511&lt;&gt;"×",$AE2511=0,$AD2511=""),"計算額が下限以下のため不支給／",""))</f>
        <v/>
      </c>
      <c r="AN2511" s="12" t="n"/>
      <c r="AO2511" s="14">
        <f>IF($AF2511="保留中",COUNTIF($AF$6:$AF2511,"保留中"),"")</f>
        <v/>
      </c>
      <c r="AP2511" s="14">
        <f>IF($AQ2511="","",IF(SUMPRODUCT(MAX((職員マスタ!$A$6:$A$405=$B2511)*(((職員マスタ!$G$6:$G$405="")+(職員マスタ!$G$6:$G$405&lt;=EOMONTH($AQ2511,0)))&gt;0)*(((職員マスタ!$H$6:$H$405="")+(職員マスタ!$H$6:$H$405&gt;=$AQ2511))&gt;0)*(ROW(職員マスタ!$A$6:$A$405)-5)))&gt;0,SUMPRODUCT(MAX((職員マスタ!$A$6:$A$405=$B2511)*(((職員マスタ!$G$6:$G$405="")+(職員マスタ!$G$6:$G$405&lt;=EOMONTH($AQ2511,0)))&gt;0)*(((職員マスタ!$H$6:$H$405="")+(職員マスタ!$H$6:$H$405&gt;=$AQ2511))&gt;0)*(ROW(職員マスタ!$A$6:$A$405)-5))),IFERROR(MATCH($B2511,職員マスタ!$A$6:$A$405,0),"")))</f>
        <v/>
      </c>
      <c r="AQ2511" s="16">
        <f>IF(OR($B2511="",$C2511="",$D2511=""),"",DATE($C2511+2018,$D2511,1))</f>
        <v/>
      </c>
    </row>
    <row r="2512">
      <c r="A2512" s="11" t="n"/>
      <c r="B2512" s="12" t="n"/>
      <c r="C2512" s="12" t="n"/>
      <c r="D2512" s="12" t="n"/>
      <c r="E2512" s="13" t="n"/>
      <c r="F2512" s="12" t="n"/>
      <c r="G2512" s="13" t="n"/>
      <c r="H2512" s="12" t="n"/>
      <c r="I2512" s="12" t="n"/>
      <c r="J2512" s="12" t="n"/>
      <c r="K2512" s="12" t="n"/>
      <c r="L2512" s="11" t="n"/>
      <c r="M2512" s="11" t="n"/>
      <c r="N2512" s="11" t="n"/>
      <c r="O2512" s="11" t="n"/>
      <c r="P2512" s="12" t="n"/>
      <c r="Q2512" s="11" t="n"/>
      <c r="R2512" s="12" t="n"/>
      <c r="S2512" s="11" t="n"/>
      <c r="T2512" s="12" t="n"/>
      <c r="U2512" s="12" t="n"/>
      <c r="V2512" s="12" t="n"/>
      <c r="W2512" s="13" t="n"/>
      <c r="X2512" s="14">
        <f>IF($AP2512="",IF($B2512="","",$H2512),IF(INDEX(職員マスタ!$B$6:$B$405,$AP2512)="",$H2512,INDEX(職員マスタ!$B$6:$B$405,$AP2512)))</f>
        <v/>
      </c>
      <c r="Y2512" s="14">
        <f>IF($AP2512="",IF($B2512="","",$R2512),IF(INDEX(職員マスタ!$C$6:$C$405,$AP2512)="",$R2512,INDEX(職員マスタ!$C$6:$C$405,$AP2512)))</f>
        <v/>
      </c>
      <c r="Z2512" s="14">
        <f>IF($AQ2512="","","R"&amp;$C2512&amp;"."&amp;$D2512)</f>
        <v/>
      </c>
      <c r="AA2512" s="15">
        <f>IF(IF($AP2512="",FALSE,INDEX(職員マスタ!$K$6:$K$405,$AP2512)&lt;&gt;""),INDEX(職員マスタ!$K$6:$K$405,$AP2512),IF(N($W2512)&gt;0,$W2512,""))</f>
        <v/>
      </c>
      <c r="AB2512" s="14">
        <f>IF(OR($E2512="",$AA2512=""),"",IF($E2512&gt;=$AA2512,"×",IF($E2512&gt;=$AA2512*設定!$C$5,"△","○")))</f>
        <v/>
      </c>
      <c r="AC2512" s="15">
        <f>IF($AB2512="","",IF($AB2512="×",0,IF($AB2512="○",ROUNDDOWN($E2512*設定!$C$4,0),ROUNDDOWN($E2512*ROUND((9*$AA2512-9*$E2512)/(10*$E2512),4),0))))</f>
        <v/>
      </c>
      <c r="AD2512" s="13" t="n"/>
      <c r="AE2512" s="15">
        <f>IF($B2512="","",IF($AD2512&lt;&gt;"",$AD2512,IF($AC2512="","",IF($AC2512&lt;=設定!$C$3,0,$AC2512))))</f>
        <v/>
      </c>
      <c r="AF2512" s="14">
        <f>IF($B2512="","",IF(AND($AG2512&lt;&gt;"",$AI2512="",$AL2512=""),"保留中",IF($AL2512&lt;&gt;"",IF(N($AE2512)&gt;0,"支給済","不支給"),IF($AE2512="","要確認",IF($AE2512=0,"不支給","未処理")))))</f>
        <v/>
      </c>
      <c r="AG2512" s="12" t="n"/>
      <c r="AH2512" s="11" t="n"/>
      <c r="AI2512" s="11" t="n"/>
      <c r="AJ2512" s="11" t="n"/>
      <c r="AK2512" s="14">
        <f>IF(AND($AF2512="保留中",$AH2512&lt;&gt;""),TODAY()-$AH2512,"")</f>
        <v/>
      </c>
      <c r="AL2512" s="12" t="n"/>
      <c r="AM2512" s="14">
        <f>IF($B2512="","",IF($AQ2512="","対象年月が未入力／","")&amp;IF($B2512="","",IF($AP2512="","職員マスタに未登録の職員番号／",IF($AA2512="","標準報酬月額が未登録／","")&amp;IF(AND($AQ2512&lt;&gt;"",OR(AND(INDEX(職員マスタ!$G$6:$G$405,$AP2512)&lt;&gt;"",INDEX(職員マスタ!$G$6:$G$405,$AP2512)&gt;EOMONTH($AQ2512,0)),AND(INDEX(職員マスタ!$H$6:$H$405,$AP2512)&lt;&gt;"",INDEX(職員マスタ!$H$6:$H$405,$AP2512)&lt;$AQ2512))),"対象月が時短期間外／","")&amp;IF(AND(INDEX(職員マスタ!$K$6:$K$405,$AP2512)&lt;&gt;"",N($W2512)&gt;0,INDEX(職員マスタ!$K$6:$K$405,$AP2512)&lt;&gt;$W2512),"標準報酬月額が申請書と相違（台帳"&amp;TEXT(INDEX(職員マスタ!$K$6:$K$405,$AP2512),"#,##0")&amp;"円／申請書"&amp;TEXT($W2512,"#,##0")&amp;"円）／","")&amp;IF(AND(INDEX(職員マスタ!$F$6:$F$405,$AP2512)&lt;&gt;"",$AQ2512&lt;&gt;"",INDEX(職員マスタ!$F$6:$F$405,$AP2512)&lt;$AQ2512),"対象月に子が2歳到達済／","")&amp;IF(AND($H2512&lt;&gt;"",INDEX(職員マスタ!$B$6:$B$405,$AP2512)&lt;&gt;"",SUBSTITUTE(SUBSTITUTE($H2512," ","")," ","")&lt;&gt;SUBSTITUTE(SUBSTITUTE(INDEX(職員マスタ!$B$6:$B$405,$AP2512)," ","")," ","")),"氏名がマスタと相違／","")&amp;IF(AND($Q2512&lt;&gt;"",INDEX(職員マスタ!$E$6:$E$405,$AP2512)&lt;&gt;"",$Q2512&lt;&gt;INDEX(職員マスタ!$E$6:$E$405,$AP2512)),"子の生年月日がマスタと相違／","")&amp;IF(AND($L2512&lt;&gt;"",INDEX(職員マスタ!$G$6:$G$405,$AP2512)&lt;&gt;"",$L2512&lt;&gt;INDEX(職員マスタ!$G$6:$G$405,$AP2512)),"時短開始日がマスタと相違／","")&amp;IF(AND($M2512&lt;&gt;"",INDEX(職員マスタ!$H$6:$H$405,$AP2512)&lt;&gt;"",$M2512&lt;&gt;INDEX(職員マスタ!$H$6:$H$405,$AP2512)),"時短終了日がマスタと相違／","")))&amp;IF(AND($B2512&lt;&gt;"",$E2512=""),"報酬額が未入力／","")&amp;IF(N($U2512)&gt;0,"申請書に入力エラーが残っています／","")&amp;IF(AND($B2512&lt;&gt;"",$AQ2512&lt;&gt;""),IF(COUNTIFS($B$6:$B$3005,$B2512,$C$6:$C$3005,$C2512,$D$6:$D$3005,$D2512)&gt;1,"同じ月の請求が重複しています／",""),"")&amp;IF(AND(N($E2512)&gt;0,$AB2512&lt;&gt;"",$AB2512&lt;&gt;"×",$AE2512=0,$AD2512=""),"計算額が下限以下のため不支給／",""))</f>
        <v/>
      </c>
      <c r="AN2512" s="12" t="n"/>
      <c r="AO2512" s="14">
        <f>IF($AF2512="保留中",COUNTIF($AF$6:$AF2512,"保留中"),"")</f>
        <v/>
      </c>
      <c r="AP2512" s="14">
        <f>IF($AQ2512="","",IF(SUMPRODUCT(MAX((職員マスタ!$A$6:$A$405=$B2512)*(((職員マスタ!$G$6:$G$405="")+(職員マスタ!$G$6:$G$405&lt;=EOMONTH($AQ2512,0)))&gt;0)*(((職員マスタ!$H$6:$H$405="")+(職員マスタ!$H$6:$H$405&gt;=$AQ2512))&gt;0)*(ROW(職員マスタ!$A$6:$A$405)-5)))&gt;0,SUMPRODUCT(MAX((職員マスタ!$A$6:$A$405=$B2512)*(((職員マスタ!$G$6:$G$405="")+(職員マスタ!$G$6:$G$405&lt;=EOMONTH($AQ2512,0)))&gt;0)*(((職員マスタ!$H$6:$H$405="")+(職員マスタ!$H$6:$H$405&gt;=$AQ2512))&gt;0)*(ROW(職員マスタ!$A$6:$A$405)-5))),IFERROR(MATCH($B2512,職員マスタ!$A$6:$A$405,0),"")))</f>
        <v/>
      </c>
      <c r="AQ2512" s="16">
        <f>IF(OR($B2512="",$C2512="",$D2512=""),"",DATE($C2512+2018,$D2512,1))</f>
        <v/>
      </c>
    </row>
    <row r="2513">
      <c r="A2513" s="11" t="n"/>
      <c r="B2513" s="12" t="n"/>
      <c r="C2513" s="12" t="n"/>
      <c r="D2513" s="12" t="n"/>
      <c r="E2513" s="13" t="n"/>
      <c r="F2513" s="12" t="n"/>
      <c r="G2513" s="13" t="n"/>
      <c r="H2513" s="12" t="n"/>
      <c r="I2513" s="12" t="n"/>
      <c r="J2513" s="12" t="n"/>
      <c r="K2513" s="12" t="n"/>
      <c r="L2513" s="11" t="n"/>
      <c r="M2513" s="11" t="n"/>
      <c r="N2513" s="11" t="n"/>
      <c r="O2513" s="11" t="n"/>
      <c r="P2513" s="12" t="n"/>
      <c r="Q2513" s="11" t="n"/>
      <c r="R2513" s="12" t="n"/>
      <c r="S2513" s="11" t="n"/>
      <c r="T2513" s="12" t="n"/>
      <c r="U2513" s="12" t="n"/>
      <c r="V2513" s="12" t="n"/>
      <c r="W2513" s="13" t="n"/>
      <c r="X2513" s="14">
        <f>IF($AP2513="",IF($B2513="","",$H2513),IF(INDEX(職員マスタ!$B$6:$B$405,$AP2513)="",$H2513,INDEX(職員マスタ!$B$6:$B$405,$AP2513)))</f>
        <v/>
      </c>
      <c r="Y2513" s="14">
        <f>IF($AP2513="",IF($B2513="","",$R2513),IF(INDEX(職員マスタ!$C$6:$C$405,$AP2513)="",$R2513,INDEX(職員マスタ!$C$6:$C$405,$AP2513)))</f>
        <v/>
      </c>
      <c r="Z2513" s="14">
        <f>IF($AQ2513="","","R"&amp;$C2513&amp;"."&amp;$D2513)</f>
        <v/>
      </c>
      <c r="AA2513" s="15">
        <f>IF(IF($AP2513="",FALSE,INDEX(職員マスタ!$K$6:$K$405,$AP2513)&lt;&gt;""),INDEX(職員マスタ!$K$6:$K$405,$AP2513),IF(N($W2513)&gt;0,$W2513,""))</f>
        <v/>
      </c>
      <c r="AB2513" s="14">
        <f>IF(OR($E2513="",$AA2513=""),"",IF($E2513&gt;=$AA2513,"×",IF($E2513&gt;=$AA2513*設定!$C$5,"△","○")))</f>
        <v/>
      </c>
      <c r="AC2513" s="15">
        <f>IF($AB2513="","",IF($AB2513="×",0,IF($AB2513="○",ROUNDDOWN($E2513*設定!$C$4,0),ROUNDDOWN($E2513*ROUND((9*$AA2513-9*$E2513)/(10*$E2513),4),0))))</f>
        <v/>
      </c>
      <c r="AD2513" s="13" t="n"/>
      <c r="AE2513" s="15">
        <f>IF($B2513="","",IF($AD2513&lt;&gt;"",$AD2513,IF($AC2513="","",IF($AC2513&lt;=設定!$C$3,0,$AC2513))))</f>
        <v/>
      </c>
      <c r="AF2513" s="14">
        <f>IF($B2513="","",IF(AND($AG2513&lt;&gt;"",$AI2513="",$AL2513=""),"保留中",IF($AL2513&lt;&gt;"",IF(N($AE2513)&gt;0,"支給済","不支給"),IF($AE2513="","要確認",IF($AE2513=0,"不支給","未処理")))))</f>
        <v/>
      </c>
      <c r="AG2513" s="12" t="n"/>
      <c r="AH2513" s="11" t="n"/>
      <c r="AI2513" s="11" t="n"/>
      <c r="AJ2513" s="11" t="n"/>
      <c r="AK2513" s="14">
        <f>IF(AND($AF2513="保留中",$AH2513&lt;&gt;""),TODAY()-$AH2513,"")</f>
        <v/>
      </c>
      <c r="AL2513" s="12" t="n"/>
      <c r="AM2513" s="14">
        <f>IF($B2513="","",IF($AQ2513="","対象年月が未入力／","")&amp;IF($B2513="","",IF($AP2513="","職員マスタに未登録の職員番号／",IF($AA2513="","標準報酬月額が未登録／","")&amp;IF(AND($AQ2513&lt;&gt;"",OR(AND(INDEX(職員マスタ!$G$6:$G$405,$AP2513)&lt;&gt;"",INDEX(職員マスタ!$G$6:$G$405,$AP2513)&gt;EOMONTH($AQ2513,0)),AND(INDEX(職員マスタ!$H$6:$H$405,$AP2513)&lt;&gt;"",INDEX(職員マスタ!$H$6:$H$405,$AP2513)&lt;$AQ2513))),"対象月が時短期間外／","")&amp;IF(AND(INDEX(職員マスタ!$K$6:$K$405,$AP2513)&lt;&gt;"",N($W2513)&gt;0,INDEX(職員マスタ!$K$6:$K$405,$AP2513)&lt;&gt;$W2513),"標準報酬月額が申請書と相違（台帳"&amp;TEXT(INDEX(職員マスタ!$K$6:$K$405,$AP2513),"#,##0")&amp;"円／申請書"&amp;TEXT($W2513,"#,##0")&amp;"円）／","")&amp;IF(AND(INDEX(職員マスタ!$F$6:$F$405,$AP2513)&lt;&gt;"",$AQ2513&lt;&gt;"",INDEX(職員マスタ!$F$6:$F$405,$AP2513)&lt;$AQ2513),"対象月に子が2歳到達済／","")&amp;IF(AND($H2513&lt;&gt;"",INDEX(職員マスタ!$B$6:$B$405,$AP2513)&lt;&gt;"",SUBSTITUTE(SUBSTITUTE($H2513," ","")," ","")&lt;&gt;SUBSTITUTE(SUBSTITUTE(INDEX(職員マスタ!$B$6:$B$405,$AP2513)," ","")," ","")),"氏名がマスタと相違／","")&amp;IF(AND($Q2513&lt;&gt;"",INDEX(職員マスタ!$E$6:$E$405,$AP2513)&lt;&gt;"",$Q2513&lt;&gt;INDEX(職員マスタ!$E$6:$E$405,$AP2513)),"子の生年月日がマスタと相違／","")&amp;IF(AND($L2513&lt;&gt;"",INDEX(職員マスタ!$G$6:$G$405,$AP2513)&lt;&gt;"",$L2513&lt;&gt;INDEX(職員マスタ!$G$6:$G$405,$AP2513)),"時短開始日がマスタと相違／","")&amp;IF(AND($M2513&lt;&gt;"",INDEX(職員マスタ!$H$6:$H$405,$AP2513)&lt;&gt;"",$M2513&lt;&gt;INDEX(職員マスタ!$H$6:$H$405,$AP2513)),"時短終了日がマスタと相違／","")))&amp;IF(AND($B2513&lt;&gt;"",$E2513=""),"報酬額が未入力／","")&amp;IF(N($U2513)&gt;0,"申請書に入力エラーが残っています／","")&amp;IF(AND($B2513&lt;&gt;"",$AQ2513&lt;&gt;""),IF(COUNTIFS($B$6:$B$3005,$B2513,$C$6:$C$3005,$C2513,$D$6:$D$3005,$D2513)&gt;1,"同じ月の請求が重複しています／",""),"")&amp;IF(AND(N($E2513)&gt;0,$AB2513&lt;&gt;"",$AB2513&lt;&gt;"×",$AE2513=0,$AD2513=""),"計算額が下限以下のため不支給／",""))</f>
        <v/>
      </c>
      <c r="AN2513" s="12" t="n"/>
      <c r="AO2513" s="14">
        <f>IF($AF2513="保留中",COUNTIF($AF$6:$AF2513,"保留中"),"")</f>
        <v/>
      </c>
      <c r="AP2513" s="14">
        <f>IF($AQ2513="","",IF(SUMPRODUCT(MAX((職員マスタ!$A$6:$A$405=$B2513)*(((職員マスタ!$G$6:$G$405="")+(職員マスタ!$G$6:$G$405&lt;=EOMONTH($AQ2513,0)))&gt;0)*(((職員マスタ!$H$6:$H$405="")+(職員マスタ!$H$6:$H$405&gt;=$AQ2513))&gt;0)*(ROW(職員マスタ!$A$6:$A$405)-5)))&gt;0,SUMPRODUCT(MAX((職員マスタ!$A$6:$A$405=$B2513)*(((職員マスタ!$G$6:$G$405="")+(職員マスタ!$G$6:$G$405&lt;=EOMONTH($AQ2513,0)))&gt;0)*(((職員マスタ!$H$6:$H$405="")+(職員マスタ!$H$6:$H$405&gt;=$AQ2513))&gt;0)*(ROW(職員マスタ!$A$6:$A$405)-5))),IFERROR(MATCH($B2513,職員マスタ!$A$6:$A$405,0),"")))</f>
        <v/>
      </c>
      <c r="AQ2513" s="16">
        <f>IF(OR($B2513="",$C2513="",$D2513=""),"",DATE($C2513+2018,$D2513,1))</f>
        <v/>
      </c>
    </row>
    <row r="2514">
      <c r="A2514" s="11" t="n"/>
      <c r="B2514" s="12" t="n"/>
      <c r="C2514" s="12" t="n"/>
      <c r="D2514" s="12" t="n"/>
      <c r="E2514" s="13" t="n"/>
      <c r="F2514" s="12" t="n"/>
      <c r="G2514" s="13" t="n"/>
      <c r="H2514" s="12" t="n"/>
      <c r="I2514" s="12" t="n"/>
      <c r="J2514" s="12" t="n"/>
      <c r="K2514" s="12" t="n"/>
      <c r="L2514" s="11" t="n"/>
      <c r="M2514" s="11" t="n"/>
      <c r="N2514" s="11" t="n"/>
      <c r="O2514" s="11" t="n"/>
      <c r="P2514" s="12" t="n"/>
      <c r="Q2514" s="11" t="n"/>
      <c r="R2514" s="12" t="n"/>
      <c r="S2514" s="11" t="n"/>
      <c r="T2514" s="12" t="n"/>
      <c r="U2514" s="12" t="n"/>
      <c r="V2514" s="12" t="n"/>
      <c r="W2514" s="13" t="n"/>
      <c r="X2514" s="14">
        <f>IF($AP2514="",IF($B2514="","",$H2514),IF(INDEX(職員マスタ!$B$6:$B$405,$AP2514)="",$H2514,INDEX(職員マスタ!$B$6:$B$405,$AP2514)))</f>
        <v/>
      </c>
      <c r="Y2514" s="14">
        <f>IF($AP2514="",IF($B2514="","",$R2514),IF(INDEX(職員マスタ!$C$6:$C$405,$AP2514)="",$R2514,INDEX(職員マスタ!$C$6:$C$405,$AP2514)))</f>
        <v/>
      </c>
      <c r="Z2514" s="14">
        <f>IF($AQ2514="","","R"&amp;$C2514&amp;"."&amp;$D2514)</f>
        <v/>
      </c>
      <c r="AA2514" s="15">
        <f>IF(IF($AP2514="",FALSE,INDEX(職員マスタ!$K$6:$K$405,$AP2514)&lt;&gt;""),INDEX(職員マスタ!$K$6:$K$405,$AP2514),IF(N($W2514)&gt;0,$W2514,""))</f>
        <v/>
      </c>
      <c r="AB2514" s="14">
        <f>IF(OR($E2514="",$AA2514=""),"",IF($E2514&gt;=$AA2514,"×",IF($E2514&gt;=$AA2514*設定!$C$5,"△","○")))</f>
        <v/>
      </c>
      <c r="AC2514" s="15">
        <f>IF($AB2514="","",IF($AB2514="×",0,IF($AB2514="○",ROUNDDOWN($E2514*設定!$C$4,0),ROUNDDOWN($E2514*ROUND((9*$AA2514-9*$E2514)/(10*$E2514),4),0))))</f>
        <v/>
      </c>
      <c r="AD2514" s="13" t="n"/>
      <c r="AE2514" s="15">
        <f>IF($B2514="","",IF($AD2514&lt;&gt;"",$AD2514,IF($AC2514="","",IF($AC2514&lt;=設定!$C$3,0,$AC2514))))</f>
        <v/>
      </c>
      <c r="AF2514" s="14">
        <f>IF($B2514="","",IF(AND($AG2514&lt;&gt;"",$AI2514="",$AL2514=""),"保留中",IF($AL2514&lt;&gt;"",IF(N($AE2514)&gt;0,"支給済","不支給"),IF($AE2514="","要確認",IF($AE2514=0,"不支給","未処理")))))</f>
        <v/>
      </c>
      <c r="AG2514" s="12" t="n"/>
      <c r="AH2514" s="11" t="n"/>
      <c r="AI2514" s="11" t="n"/>
      <c r="AJ2514" s="11" t="n"/>
      <c r="AK2514" s="14">
        <f>IF(AND($AF2514="保留中",$AH2514&lt;&gt;""),TODAY()-$AH2514,"")</f>
        <v/>
      </c>
      <c r="AL2514" s="12" t="n"/>
      <c r="AM2514" s="14">
        <f>IF($B2514="","",IF($AQ2514="","対象年月が未入力／","")&amp;IF($B2514="","",IF($AP2514="","職員マスタに未登録の職員番号／",IF($AA2514="","標準報酬月額が未登録／","")&amp;IF(AND($AQ2514&lt;&gt;"",OR(AND(INDEX(職員マスタ!$G$6:$G$405,$AP2514)&lt;&gt;"",INDEX(職員マスタ!$G$6:$G$405,$AP2514)&gt;EOMONTH($AQ2514,0)),AND(INDEX(職員マスタ!$H$6:$H$405,$AP2514)&lt;&gt;"",INDEX(職員マスタ!$H$6:$H$405,$AP2514)&lt;$AQ2514))),"対象月が時短期間外／","")&amp;IF(AND(INDEX(職員マスタ!$K$6:$K$405,$AP2514)&lt;&gt;"",N($W2514)&gt;0,INDEX(職員マスタ!$K$6:$K$405,$AP2514)&lt;&gt;$W2514),"標準報酬月額が申請書と相違（台帳"&amp;TEXT(INDEX(職員マスタ!$K$6:$K$405,$AP2514),"#,##0")&amp;"円／申請書"&amp;TEXT($W2514,"#,##0")&amp;"円）／","")&amp;IF(AND(INDEX(職員マスタ!$F$6:$F$405,$AP2514)&lt;&gt;"",$AQ2514&lt;&gt;"",INDEX(職員マスタ!$F$6:$F$405,$AP2514)&lt;$AQ2514),"対象月に子が2歳到達済／","")&amp;IF(AND($H2514&lt;&gt;"",INDEX(職員マスタ!$B$6:$B$405,$AP2514)&lt;&gt;"",SUBSTITUTE(SUBSTITUTE($H2514," ","")," ","")&lt;&gt;SUBSTITUTE(SUBSTITUTE(INDEX(職員マスタ!$B$6:$B$405,$AP2514)," ","")," ","")),"氏名がマスタと相違／","")&amp;IF(AND($Q2514&lt;&gt;"",INDEX(職員マスタ!$E$6:$E$405,$AP2514)&lt;&gt;"",$Q2514&lt;&gt;INDEX(職員マスタ!$E$6:$E$405,$AP2514)),"子の生年月日がマスタと相違／","")&amp;IF(AND($L2514&lt;&gt;"",INDEX(職員マスタ!$G$6:$G$405,$AP2514)&lt;&gt;"",$L2514&lt;&gt;INDEX(職員マスタ!$G$6:$G$405,$AP2514)),"時短開始日がマスタと相違／","")&amp;IF(AND($M2514&lt;&gt;"",INDEX(職員マスタ!$H$6:$H$405,$AP2514)&lt;&gt;"",$M2514&lt;&gt;INDEX(職員マスタ!$H$6:$H$405,$AP2514)),"時短終了日がマスタと相違／","")))&amp;IF(AND($B2514&lt;&gt;"",$E2514=""),"報酬額が未入力／","")&amp;IF(N($U2514)&gt;0,"申請書に入力エラーが残っています／","")&amp;IF(AND($B2514&lt;&gt;"",$AQ2514&lt;&gt;""),IF(COUNTIFS($B$6:$B$3005,$B2514,$C$6:$C$3005,$C2514,$D$6:$D$3005,$D2514)&gt;1,"同じ月の請求が重複しています／",""),"")&amp;IF(AND(N($E2514)&gt;0,$AB2514&lt;&gt;"",$AB2514&lt;&gt;"×",$AE2514=0,$AD2514=""),"計算額が下限以下のため不支給／",""))</f>
        <v/>
      </c>
      <c r="AN2514" s="12" t="n"/>
      <c r="AO2514" s="14">
        <f>IF($AF2514="保留中",COUNTIF($AF$6:$AF2514,"保留中"),"")</f>
        <v/>
      </c>
      <c r="AP2514" s="14">
        <f>IF($AQ2514="","",IF(SUMPRODUCT(MAX((職員マスタ!$A$6:$A$405=$B2514)*(((職員マスタ!$G$6:$G$405="")+(職員マスタ!$G$6:$G$405&lt;=EOMONTH($AQ2514,0)))&gt;0)*(((職員マスタ!$H$6:$H$405="")+(職員マスタ!$H$6:$H$405&gt;=$AQ2514))&gt;0)*(ROW(職員マスタ!$A$6:$A$405)-5)))&gt;0,SUMPRODUCT(MAX((職員マスタ!$A$6:$A$405=$B2514)*(((職員マスタ!$G$6:$G$405="")+(職員マスタ!$G$6:$G$405&lt;=EOMONTH($AQ2514,0)))&gt;0)*(((職員マスタ!$H$6:$H$405="")+(職員マスタ!$H$6:$H$405&gt;=$AQ2514))&gt;0)*(ROW(職員マスタ!$A$6:$A$405)-5))),IFERROR(MATCH($B2514,職員マスタ!$A$6:$A$405,0),"")))</f>
        <v/>
      </c>
      <c r="AQ2514" s="16">
        <f>IF(OR($B2514="",$C2514="",$D2514=""),"",DATE($C2514+2018,$D2514,1))</f>
        <v/>
      </c>
    </row>
    <row r="2515">
      <c r="A2515" s="11" t="n"/>
      <c r="B2515" s="12" t="n"/>
      <c r="C2515" s="12" t="n"/>
      <c r="D2515" s="12" t="n"/>
      <c r="E2515" s="13" t="n"/>
      <c r="F2515" s="12" t="n"/>
      <c r="G2515" s="13" t="n"/>
      <c r="H2515" s="12" t="n"/>
      <c r="I2515" s="12" t="n"/>
      <c r="J2515" s="12" t="n"/>
      <c r="K2515" s="12" t="n"/>
      <c r="L2515" s="11" t="n"/>
      <c r="M2515" s="11" t="n"/>
      <c r="N2515" s="11" t="n"/>
      <c r="O2515" s="11" t="n"/>
      <c r="P2515" s="12" t="n"/>
      <c r="Q2515" s="11" t="n"/>
      <c r="R2515" s="12" t="n"/>
      <c r="S2515" s="11" t="n"/>
      <c r="T2515" s="12" t="n"/>
      <c r="U2515" s="12" t="n"/>
      <c r="V2515" s="12" t="n"/>
      <c r="W2515" s="13" t="n"/>
      <c r="X2515" s="14">
        <f>IF($AP2515="",IF($B2515="","",$H2515),IF(INDEX(職員マスタ!$B$6:$B$405,$AP2515)="",$H2515,INDEX(職員マスタ!$B$6:$B$405,$AP2515)))</f>
        <v/>
      </c>
      <c r="Y2515" s="14">
        <f>IF($AP2515="",IF($B2515="","",$R2515),IF(INDEX(職員マスタ!$C$6:$C$405,$AP2515)="",$R2515,INDEX(職員マスタ!$C$6:$C$405,$AP2515)))</f>
        <v/>
      </c>
      <c r="Z2515" s="14">
        <f>IF($AQ2515="","","R"&amp;$C2515&amp;"."&amp;$D2515)</f>
        <v/>
      </c>
      <c r="AA2515" s="15">
        <f>IF(IF($AP2515="",FALSE,INDEX(職員マスタ!$K$6:$K$405,$AP2515)&lt;&gt;""),INDEX(職員マスタ!$K$6:$K$405,$AP2515),IF(N($W2515)&gt;0,$W2515,""))</f>
        <v/>
      </c>
      <c r="AB2515" s="14">
        <f>IF(OR($E2515="",$AA2515=""),"",IF($E2515&gt;=$AA2515,"×",IF($E2515&gt;=$AA2515*設定!$C$5,"△","○")))</f>
        <v/>
      </c>
      <c r="AC2515" s="15">
        <f>IF($AB2515="","",IF($AB2515="×",0,IF($AB2515="○",ROUNDDOWN($E2515*設定!$C$4,0),ROUNDDOWN($E2515*ROUND((9*$AA2515-9*$E2515)/(10*$E2515),4),0))))</f>
        <v/>
      </c>
      <c r="AD2515" s="13" t="n"/>
      <c r="AE2515" s="15">
        <f>IF($B2515="","",IF($AD2515&lt;&gt;"",$AD2515,IF($AC2515="","",IF($AC2515&lt;=設定!$C$3,0,$AC2515))))</f>
        <v/>
      </c>
      <c r="AF2515" s="14">
        <f>IF($B2515="","",IF(AND($AG2515&lt;&gt;"",$AI2515="",$AL2515=""),"保留中",IF($AL2515&lt;&gt;"",IF(N($AE2515)&gt;0,"支給済","不支給"),IF($AE2515="","要確認",IF($AE2515=0,"不支給","未処理")))))</f>
        <v/>
      </c>
      <c r="AG2515" s="12" t="n"/>
      <c r="AH2515" s="11" t="n"/>
      <c r="AI2515" s="11" t="n"/>
      <c r="AJ2515" s="11" t="n"/>
      <c r="AK2515" s="14">
        <f>IF(AND($AF2515="保留中",$AH2515&lt;&gt;""),TODAY()-$AH2515,"")</f>
        <v/>
      </c>
      <c r="AL2515" s="12" t="n"/>
      <c r="AM2515" s="14">
        <f>IF($B2515="","",IF($AQ2515="","対象年月が未入力／","")&amp;IF($B2515="","",IF($AP2515="","職員マスタに未登録の職員番号／",IF($AA2515="","標準報酬月額が未登録／","")&amp;IF(AND($AQ2515&lt;&gt;"",OR(AND(INDEX(職員マスタ!$G$6:$G$405,$AP2515)&lt;&gt;"",INDEX(職員マスタ!$G$6:$G$405,$AP2515)&gt;EOMONTH($AQ2515,0)),AND(INDEX(職員マスタ!$H$6:$H$405,$AP2515)&lt;&gt;"",INDEX(職員マスタ!$H$6:$H$405,$AP2515)&lt;$AQ2515))),"対象月が時短期間外／","")&amp;IF(AND(INDEX(職員マスタ!$K$6:$K$405,$AP2515)&lt;&gt;"",N($W2515)&gt;0,INDEX(職員マスタ!$K$6:$K$405,$AP2515)&lt;&gt;$W2515),"標準報酬月額が申請書と相違（台帳"&amp;TEXT(INDEX(職員マスタ!$K$6:$K$405,$AP2515),"#,##0")&amp;"円／申請書"&amp;TEXT($W2515,"#,##0")&amp;"円）／","")&amp;IF(AND(INDEX(職員マスタ!$F$6:$F$405,$AP2515)&lt;&gt;"",$AQ2515&lt;&gt;"",INDEX(職員マスタ!$F$6:$F$405,$AP2515)&lt;$AQ2515),"対象月に子が2歳到達済／","")&amp;IF(AND($H2515&lt;&gt;"",INDEX(職員マスタ!$B$6:$B$405,$AP2515)&lt;&gt;"",SUBSTITUTE(SUBSTITUTE($H2515," ","")," ","")&lt;&gt;SUBSTITUTE(SUBSTITUTE(INDEX(職員マスタ!$B$6:$B$405,$AP2515)," ","")," ","")),"氏名がマスタと相違／","")&amp;IF(AND($Q2515&lt;&gt;"",INDEX(職員マスタ!$E$6:$E$405,$AP2515)&lt;&gt;"",$Q2515&lt;&gt;INDEX(職員マスタ!$E$6:$E$405,$AP2515)),"子の生年月日がマスタと相違／","")&amp;IF(AND($L2515&lt;&gt;"",INDEX(職員マスタ!$G$6:$G$405,$AP2515)&lt;&gt;"",$L2515&lt;&gt;INDEX(職員マスタ!$G$6:$G$405,$AP2515)),"時短開始日がマスタと相違／","")&amp;IF(AND($M2515&lt;&gt;"",INDEX(職員マスタ!$H$6:$H$405,$AP2515)&lt;&gt;"",$M2515&lt;&gt;INDEX(職員マスタ!$H$6:$H$405,$AP2515)),"時短終了日がマスタと相違／","")))&amp;IF(AND($B2515&lt;&gt;"",$E2515=""),"報酬額が未入力／","")&amp;IF(N($U2515)&gt;0,"申請書に入力エラーが残っています／","")&amp;IF(AND($B2515&lt;&gt;"",$AQ2515&lt;&gt;""),IF(COUNTIFS($B$6:$B$3005,$B2515,$C$6:$C$3005,$C2515,$D$6:$D$3005,$D2515)&gt;1,"同じ月の請求が重複しています／",""),"")&amp;IF(AND(N($E2515)&gt;0,$AB2515&lt;&gt;"",$AB2515&lt;&gt;"×",$AE2515=0,$AD2515=""),"計算額が下限以下のため不支給／",""))</f>
        <v/>
      </c>
      <c r="AN2515" s="12" t="n"/>
      <c r="AO2515" s="14">
        <f>IF($AF2515="保留中",COUNTIF($AF$6:$AF2515,"保留中"),"")</f>
        <v/>
      </c>
      <c r="AP2515" s="14">
        <f>IF($AQ2515="","",IF(SUMPRODUCT(MAX((職員マスタ!$A$6:$A$405=$B2515)*(((職員マスタ!$G$6:$G$405="")+(職員マスタ!$G$6:$G$405&lt;=EOMONTH($AQ2515,0)))&gt;0)*(((職員マスタ!$H$6:$H$405="")+(職員マスタ!$H$6:$H$405&gt;=$AQ2515))&gt;0)*(ROW(職員マスタ!$A$6:$A$405)-5)))&gt;0,SUMPRODUCT(MAX((職員マスタ!$A$6:$A$405=$B2515)*(((職員マスタ!$G$6:$G$405="")+(職員マスタ!$G$6:$G$405&lt;=EOMONTH($AQ2515,0)))&gt;0)*(((職員マスタ!$H$6:$H$405="")+(職員マスタ!$H$6:$H$405&gt;=$AQ2515))&gt;0)*(ROW(職員マスタ!$A$6:$A$405)-5))),IFERROR(MATCH($B2515,職員マスタ!$A$6:$A$405,0),"")))</f>
        <v/>
      </c>
      <c r="AQ2515" s="16">
        <f>IF(OR($B2515="",$C2515="",$D2515=""),"",DATE($C2515+2018,$D2515,1))</f>
        <v/>
      </c>
    </row>
    <row r="2516">
      <c r="A2516" s="11" t="n"/>
      <c r="B2516" s="12" t="n"/>
      <c r="C2516" s="12" t="n"/>
      <c r="D2516" s="12" t="n"/>
      <c r="E2516" s="13" t="n"/>
      <c r="F2516" s="12" t="n"/>
      <c r="G2516" s="13" t="n"/>
      <c r="H2516" s="12" t="n"/>
      <c r="I2516" s="12" t="n"/>
      <c r="J2516" s="12" t="n"/>
      <c r="K2516" s="12" t="n"/>
      <c r="L2516" s="11" t="n"/>
      <c r="M2516" s="11" t="n"/>
      <c r="N2516" s="11" t="n"/>
      <c r="O2516" s="11" t="n"/>
      <c r="P2516" s="12" t="n"/>
      <c r="Q2516" s="11" t="n"/>
      <c r="R2516" s="12" t="n"/>
      <c r="S2516" s="11" t="n"/>
      <c r="T2516" s="12" t="n"/>
      <c r="U2516" s="12" t="n"/>
      <c r="V2516" s="12" t="n"/>
      <c r="W2516" s="13" t="n"/>
      <c r="X2516" s="14">
        <f>IF($AP2516="",IF($B2516="","",$H2516),IF(INDEX(職員マスタ!$B$6:$B$405,$AP2516)="",$H2516,INDEX(職員マスタ!$B$6:$B$405,$AP2516)))</f>
        <v/>
      </c>
      <c r="Y2516" s="14">
        <f>IF($AP2516="",IF($B2516="","",$R2516),IF(INDEX(職員マスタ!$C$6:$C$405,$AP2516)="",$R2516,INDEX(職員マスタ!$C$6:$C$405,$AP2516)))</f>
        <v/>
      </c>
      <c r="Z2516" s="14">
        <f>IF($AQ2516="","","R"&amp;$C2516&amp;"."&amp;$D2516)</f>
        <v/>
      </c>
      <c r="AA2516" s="15">
        <f>IF(IF($AP2516="",FALSE,INDEX(職員マスタ!$K$6:$K$405,$AP2516)&lt;&gt;""),INDEX(職員マスタ!$K$6:$K$405,$AP2516),IF(N($W2516)&gt;0,$W2516,""))</f>
        <v/>
      </c>
      <c r="AB2516" s="14">
        <f>IF(OR($E2516="",$AA2516=""),"",IF($E2516&gt;=$AA2516,"×",IF($E2516&gt;=$AA2516*設定!$C$5,"△","○")))</f>
        <v/>
      </c>
      <c r="AC2516" s="15">
        <f>IF($AB2516="","",IF($AB2516="×",0,IF($AB2516="○",ROUNDDOWN($E2516*設定!$C$4,0),ROUNDDOWN($E2516*ROUND((9*$AA2516-9*$E2516)/(10*$E2516),4),0))))</f>
        <v/>
      </c>
      <c r="AD2516" s="13" t="n"/>
      <c r="AE2516" s="15">
        <f>IF($B2516="","",IF($AD2516&lt;&gt;"",$AD2516,IF($AC2516="","",IF($AC2516&lt;=設定!$C$3,0,$AC2516))))</f>
        <v/>
      </c>
      <c r="AF2516" s="14">
        <f>IF($B2516="","",IF(AND($AG2516&lt;&gt;"",$AI2516="",$AL2516=""),"保留中",IF($AL2516&lt;&gt;"",IF(N($AE2516)&gt;0,"支給済","不支給"),IF($AE2516="","要確認",IF($AE2516=0,"不支給","未処理")))))</f>
        <v/>
      </c>
      <c r="AG2516" s="12" t="n"/>
      <c r="AH2516" s="11" t="n"/>
      <c r="AI2516" s="11" t="n"/>
      <c r="AJ2516" s="11" t="n"/>
      <c r="AK2516" s="14">
        <f>IF(AND($AF2516="保留中",$AH2516&lt;&gt;""),TODAY()-$AH2516,"")</f>
        <v/>
      </c>
      <c r="AL2516" s="12" t="n"/>
      <c r="AM2516" s="14">
        <f>IF($B2516="","",IF($AQ2516="","対象年月が未入力／","")&amp;IF($B2516="","",IF($AP2516="","職員マスタに未登録の職員番号／",IF($AA2516="","標準報酬月額が未登録／","")&amp;IF(AND($AQ2516&lt;&gt;"",OR(AND(INDEX(職員マスタ!$G$6:$G$405,$AP2516)&lt;&gt;"",INDEX(職員マスタ!$G$6:$G$405,$AP2516)&gt;EOMONTH($AQ2516,0)),AND(INDEX(職員マスタ!$H$6:$H$405,$AP2516)&lt;&gt;"",INDEX(職員マスタ!$H$6:$H$405,$AP2516)&lt;$AQ2516))),"対象月が時短期間外／","")&amp;IF(AND(INDEX(職員マスタ!$K$6:$K$405,$AP2516)&lt;&gt;"",N($W2516)&gt;0,INDEX(職員マスタ!$K$6:$K$405,$AP2516)&lt;&gt;$W2516),"標準報酬月額が申請書と相違（台帳"&amp;TEXT(INDEX(職員マスタ!$K$6:$K$405,$AP2516),"#,##0")&amp;"円／申請書"&amp;TEXT($W2516,"#,##0")&amp;"円）／","")&amp;IF(AND(INDEX(職員マスタ!$F$6:$F$405,$AP2516)&lt;&gt;"",$AQ2516&lt;&gt;"",INDEX(職員マスタ!$F$6:$F$405,$AP2516)&lt;$AQ2516),"対象月に子が2歳到達済／","")&amp;IF(AND($H2516&lt;&gt;"",INDEX(職員マスタ!$B$6:$B$405,$AP2516)&lt;&gt;"",SUBSTITUTE(SUBSTITUTE($H2516," ","")," ","")&lt;&gt;SUBSTITUTE(SUBSTITUTE(INDEX(職員マスタ!$B$6:$B$405,$AP2516)," ","")," ","")),"氏名がマスタと相違／","")&amp;IF(AND($Q2516&lt;&gt;"",INDEX(職員マスタ!$E$6:$E$405,$AP2516)&lt;&gt;"",$Q2516&lt;&gt;INDEX(職員マスタ!$E$6:$E$405,$AP2516)),"子の生年月日がマスタと相違／","")&amp;IF(AND($L2516&lt;&gt;"",INDEX(職員マスタ!$G$6:$G$405,$AP2516)&lt;&gt;"",$L2516&lt;&gt;INDEX(職員マスタ!$G$6:$G$405,$AP2516)),"時短開始日がマスタと相違／","")&amp;IF(AND($M2516&lt;&gt;"",INDEX(職員マスタ!$H$6:$H$405,$AP2516)&lt;&gt;"",$M2516&lt;&gt;INDEX(職員マスタ!$H$6:$H$405,$AP2516)),"時短終了日がマスタと相違／","")))&amp;IF(AND($B2516&lt;&gt;"",$E2516=""),"報酬額が未入力／","")&amp;IF(N($U2516)&gt;0,"申請書に入力エラーが残っています／","")&amp;IF(AND($B2516&lt;&gt;"",$AQ2516&lt;&gt;""),IF(COUNTIFS($B$6:$B$3005,$B2516,$C$6:$C$3005,$C2516,$D$6:$D$3005,$D2516)&gt;1,"同じ月の請求が重複しています／",""),"")&amp;IF(AND(N($E2516)&gt;0,$AB2516&lt;&gt;"",$AB2516&lt;&gt;"×",$AE2516=0,$AD2516=""),"計算額が下限以下のため不支給／",""))</f>
        <v/>
      </c>
      <c r="AN2516" s="12" t="n"/>
      <c r="AO2516" s="14">
        <f>IF($AF2516="保留中",COUNTIF($AF$6:$AF2516,"保留中"),"")</f>
        <v/>
      </c>
      <c r="AP2516" s="14">
        <f>IF($AQ2516="","",IF(SUMPRODUCT(MAX((職員マスタ!$A$6:$A$405=$B2516)*(((職員マスタ!$G$6:$G$405="")+(職員マスタ!$G$6:$G$405&lt;=EOMONTH($AQ2516,0)))&gt;0)*(((職員マスタ!$H$6:$H$405="")+(職員マスタ!$H$6:$H$405&gt;=$AQ2516))&gt;0)*(ROW(職員マスタ!$A$6:$A$405)-5)))&gt;0,SUMPRODUCT(MAX((職員マスタ!$A$6:$A$405=$B2516)*(((職員マスタ!$G$6:$G$405="")+(職員マスタ!$G$6:$G$405&lt;=EOMONTH($AQ2516,0)))&gt;0)*(((職員マスタ!$H$6:$H$405="")+(職員マスタ!$H$6:$H$405&gt;=$AQ2516))&gt;0)*(ROW(職員マスタ!$A$6:$A$405)-5))),IFERROR(MATCH($B2516,職員マスタ!$A$6:$A$405,0),"")))</f>
        <v/>
      </c>
      <c r="AQ2516" s="16">
        <f>IF(OR($B2516="",$C2516="",$D2516=""),"",DATE($C2516+2018,$D2516,1))</f>
        <v/>
      </c>
    </row>
    <row r="2517">
      <c r="A2517" s="11" t="n"/>
      <c r="B2517" s="12" t="n"/>
      <c r="C2517" s="12" t="n"/>
      <c r="D2517" s="12" t="n"/>
      <c r="E2517" s="13" t="n"/>
      <c r="F2517" s="12" t="n"/>
      <c r="G2517" s="13" t="n"/>
      <c r="H2517" s="12" t="n"/>
      <c r="I2517" s="12" t="n"/>
      <c r="J2517" s="12" t="n"/>
      <c r="K2517" s="12" t="n"/>
      <c r="L2517" s="11" t="n"/>
      <c r="M2517" s="11" t="n"/>
      <c r="N2517" s="11" t="n"/>
      <c r="O2517" s="11" t="n"/>
      <c r="P2517" s="12" t="n"/>
      <c r="Q2517" s="11" t="n"/>
      <c r="R2517" s="12" t="n"/>
      <c r="S2517" s="11" t="n"/>
      <c r="T2517" s="12" t="n"/>
      <c r="U2517" s="12" t="n"/>
      <c r="V2517" s="12" t="n"/>
      <c r="W2517" s="13" t="n"/>
      <c r="X2517" s="14">
        <f>IF($AP2517="",IF($B2517="","",$H2517),IF(INDEX(職員マスタ!$B$6:$B$405,$AP2517)="",$H2517,INDEX(職員マスタ!$B$6:$B$405,$AP2517)))</f>
        <v/>
      </c>
      <c r="Y2517" s="14">
        <f>IF($AP2517="",IF($B2517="","",$R2517),IF(INDEX(職員マスタ!$C$6:$C$405,$AP2517)="",$R2517,INDEX(職員マスタ!$C$6:$C$405,$AP2517)))</f>
        <v/>
      </c>
      <c r="Z2517" s="14">
        <f>IF($AQ2517="","","R"&amp;$C2517&amp;"."&amp;$D2517)</f>
        <v/>
      </c>
      <c r="AA2517" s="15">
        <f>IF(IF($AP2517="",FALSE,INDEX(職員マスタ!$K$6:$K$405,$AP2517)&lt;&gt;""),INDEX(職員マスタ!$K$6:$K$405,$AP2517),IF(N($W2517)&gt;0,$W2517,""))</f>
        <v/>
      </c>
      <c r="AB2517" s="14">
        <f>IF(OR($E2517="",$AA2517=""),"",IF($E2517&gt;=$AA2517,"×",IF($E2517&gt;=$AA2517*設定!$C$5,"△","○")))</f>
        <v/>
      </c>
      <c r="AC2517" s="15">
        <f>IF($AB2517="","",IF($AB2517="×",0,IF($AB2517="○",ROUNDDOWN($E2517*設定!$C$4,0),ROUNDDOWN($E2517*ROUND((9*$AA2517-9*$E2517)/(10*$E2517),4),0))))</f>
        <v/>
      </c>
      <c r="AD2517" s="13" t="n"/>
      <c r="AE2517" s="15">
        <f>IF($B2517="","",IF($AD2517&lt;&gt;"",$AD2517,IF($AC2517="","",IF($AC2517&lt;=設定!$C$3,0,$AC2517))))</f>
        <v/>
      </c>
      <c r="AF2517" s="14">
        <f>IF($B2517="","",IF(AND($AG2517&lt;&gt;"",$AI2517="",$AL2517=""),"保留中",IF($AL2517&lt;&gt;"",IF(N($AE2517)&gt;0,"支給済","不支給"),IF($AE2517="","要確認",IF($AE2517=0,"不支給","未処理")))))</f>
        <v/>
      </c>
      <c r="AG2517" s="12" t="n"/>
      <c r="AH2517" s="11" t="n"/>
      <c r="AI2517" s="11" t="n"/>
      <c r="AJ2517" s="11" t="n"/>
      <c r="AK2517" s="14">
        <f>IF(AND($AF2517="保留中",$AH2517&lt;&gt;""),TODAY()-$AH2517,"")</f>
        <v/>
      </c>
      <c r="AL2517" s="12" t="n"/>
      <c r="AM2517" s="14">
        <f>IF($B2517="","",IF($AQ2517="","対象年月が未入力／","")&amp;IF($B2517="","",IF($AP2517="","職員マスタに未登録の職員番号／",IF($AA2517="","標準報酬月額が未登録／","")&amp;IF(AND($AQ2517&lt;&gt;"",OR(AND(INDEX(職員マスタ!$G$6:$G$405,$AP2517)&lt;&gt;"",INDEX(職員マスタ!$G$6:$G$405,$AP2517)&gt;EOMONTH($AQ2517,0)),AND(INDEX(職員マスタ!$H$6:$H$405,$AP2517)&lt;&gt;"",INDEX(職員マスタ!$H$6:$H$405,$AP2517)&lt;$AQ2517))),"対象月が時短期間外／","")&amp;IF(AND(INDEX(職員マスタ!$K$6:$K$405,$AP2517)&lt;&gt;"",N($W2517)&gt;0,INDEX(職員マスタ!$K$6:$K$405,$AP2517)&lt;&gt;$W2517),"標準報酬月額が申請書と相違（台帳"&amp;TEXT(INDEX(職員マスタ!$K$6:$K$405,$AP2517),"#,##0")&amp;"円／申請書"&amp;TEXT($W2517,"#,##0")&amp;"円）／","")&amp;IF(AND(INDEX(職員マスタ!$F$6:$F$405,$AP2517)&lt;&gt;"",$AQ2517&lt;&gt;"",INDEX(職員マスタ!$F$6:$F$405,$AP2517)&lt;$AQ2517),"対象月に子が2歳到達済／","")&amp;IF(AND($H2517&lt;&gt;"",INDEX(職員マスタ!$B$6:$B$405,$AP2517)&lt;&gt;"",SUBSTITUTE(SUBSTITUTE($H2517," ","")," ","")&lt;&gt;SUBSTITUTE(SUBSTITUTE(INDEX(職員マスタ!$B$6:$B$405,$AP2517)," ","")," ","")),"氏名がマスタと相違／","")&amp;IF(AND($Q2517&lt;&gt;"",INDEX(職員マスタ!$E$6:$E$405,$AP2517)&lt;&gt;"",$Q2517&lt;&gt;INDEX(職員マスタ!$E$6:$E$405,$AP2517)),"子の生年月日がマスタと相違／","")&amp;IF(AND($L2517&lt;&gt;"",INDEX(職員マスタ!$G$6:$G$405,$AP2517)&lt;&gt;"",$L2517&lt;&gt;INDEX(職員マスタ!$G$6:$G$405,$AP2517)),"時短開始日がマスタと相違／","")&amp;IF(AND($M2517&lt;&gt;"",INDEX(職員マスタ!$H$6:$H$405,$AP2517)&lt;&gt;"",$M2517&lt;&gt;INDEX(職員マスタ!$H$6:$H$405,$AP2517)),"時短終了日がマスタと相違／","")))&amp;IF(AND($B2517&lt;&gt;"",$E2517=""),"報酬額が未入力／","")&amp;IF(N($U2517)&gt;0,"申請書に入力エラーが残っています／","")&amp;IF(AND($B2517&lt;&gt;"",$AQ2517&lt;&gt;""),IF(COUNTIFS($B$6:$B$3005,$B2517,$C$6:$C$3005,$C2517,$D$6:$D$3005,$D2517)&gt;1,"同じ月の請求が重複しています／",""),"")&amp;IF(AND(N($E2517)&gt;0,$AB2517&lt;&gt;"",$AB2517&lt;&gt;"×",$AE2517=0,$AD2517=""),"計算額が下限以下のため不支給／",""))</f>
        <v/>
      </c>
      <c r="AN2517" s="12" t="n"/>
      <c r="AO2517" s="14">
        <f>IF($AF2517="保留中",COUNTIF($AF$6:$AF2517,"保留中"),"")</f>
        <v/>
      </c>
      <c r="AP2517" s="14">
        <f>IF($AQ2517="","",IF(SUMPRODUCT(MAX((職員マスタ!$A$6:$A$405=$B2517)*(((職員マスタ!$G$6:$G$405="")+(職員マスタ!$G$6:$G$405&lt;=EOMONTH($AQ2517,0)))&gt;0)*(((職員マスタ!$H$6:$H$405="")+(職員マスタ!$H$6:$H$405&gt;=$AQ2517))&gt;0)*(ROW(職員マスタ!$A$6:$A$405)-5)))&gt;0,SUMPRODUCT(MAX((職員マスタ!$A$6:$A$405=$B2517)*(((職員マスタ!$G$6:$G$405="")+(職員マスタ!$G$6:$G$405&lt;=EOMONTH($AQ2517,0)))&gt;0)*(((職員マスタ!$H$6:$H$405="")+(職員マスタ!$H$6:$H$405&gt;=$AQ2517))&gt;0)*(ROW(職員マスタ!$A$6:$A$405)-5))),IFERROR(MATCH($B2517,職員マスタ!$A$6:$A$405,0),"")))</f>
        <v/>
      </c>
      <c r="AQ2517" s="16">
        <f>IF(OR($B2517="",$C2517="",$D2517=""),"",DATE($C2517+2018,$D2517,1))</f>
        <v/>
      </c>
    </row>
    <row r="2518">
      <c r="A2518" s="11" t="n"/>
      <c r="B2518" s="12" t="n"/>
      <c r="C2518" s="12" t="n"/>
      <c r="D2518" s="12" t="n"/>
      <c r="E2518" s="13" t="n"/>
      <c r="F2518" s="12" t="n"/>
      <c r="G2518" s="13" t="n"/>
      <c r="H2518" s="12" t="n"/>
      <c r="I2518" s="12" t="n"/>
      <c r="J2518" s="12" t="n"/>
      <c r="K2518" s="12" t="n"/>
      <c r="L2518" s="11" t="n"/>
      <c r="M2518" s="11" t="n"/>
      <c r="N2518" s="11" t="n"/>
      <c r="O2518" s="11" t="n"/>
      <c r="P2518" s="12" t="n"/>
      <c r="Q2518" s="11" t="n"/>
      <c r="R2518" s="12" t="n"/>
      <c r="S2518" s="11" t="n"/>
      <c r="T2518" s="12" t="n"/>
      <c r="U2518" s="12" t="n"/>
      <c r="V2518" s="12" t="n"/>
      <c r="W2518" s="13" t="n"/>
      <c r="X2518" s="14">
        <f>IF($AP2518="",IF($B2518="","",$H2518),IF(INDEX(職員マスタ!$B$6:$B$405,$AP2518)="",$H2518,INDEX(職員マスタ!$B$6:$B$405,$AP2518)))</f>
        <v/>
      </c>
      <c r="Y2518" s="14">
        <f>IF($AP2518="",IF($B2518="","",$R2518),IF(INDEX(職員マスタ!$C$6:$C$405,$AP2518)="",$R2518,INDEX(職員マスタ!$C$6:$C$405,$AP2518)))</f>
        <v/>
      </c>
      <c r="Z2518" s="14">
        <f>IF($AQ2518="","","R"&amp;$C2518&amp;"."&amp;$D2518)</f>
        <v/>
      </c>
      <c r="AA2518" s="15">
        <f>IF(IF($AP2518="",FALSE,INDEX(職員マスタ!$K$6:$K$405,$AP2518)&lt;&gt;""),INDEX(職員マスタ!$K$6:$K$405,$AP2518),IF(N($W2518)&gt;0,$W2518,""))</f>
        <v/>
      </c>
      <c r="AB2518" s="14">
        <f>IF(OR($E2518="",$AA2518=""),"",IF($E2518&gt;=$AA2518,"×",IF($E2518&gt;=$AA2518*設定!$C$5,"△","○")))</f>
        <v/>
      </c>
      <c r="AC2518" s="15">
        <f>IF($AB2518="","",IF($AB2518="×",0,IF($AB2518="○",ROUNDDOWN($E2518*設定!$C$4,0),ROUNDDOWN($E2518*ROUND((9*$AA2518-9*$E2518)/(10*$E2518),4),0))))</f>
        <v/>
      </c>
      <c r="AD2518" s="13" t="n"/>
      <c r="AE2518" s="15">
        <f>IF($B2518="","",IF($AD2518&lt;&gt;"",$AD2518,IF($AC2518="","",IF($AC2518&lt;=設定!$C$3,0,$AC2518))))</f>
        <v/>
      </c>
      <c r="AF2518" s="14">
        <f>IF($B2518="","",IF(AND($AG2518&lt;&gt;"",$AI2518="",$AL2518=""),"保留中",IF($AL2518&lt;&gt;"",IF(N($AE2518)&gt;0,"支給済","不支給"),IF($AE2518="","要確認",IF($AE2518=0,"不支給","未処理")))))</f>
        <v/>
      </c>
      <c r="AG2518" s="12" t="n"/>
      <c r="AH2518" s="11" t="n"/>
      <c r="AI2518" s="11" t="n"/>
      <c r="AJ2518" s="11" t="n"/>
      <c r="AK2518" s="14">
        <f>IF(AND($AF2518="保留中",$AH2518&lt;&gt;""),TODAY()-$AH2518,"")</f>
        <v/>
      </c>
      <c r="AL2518" s="12" t="n"/>
      <c r="AM2518" s="14">
        <f>IF($B2518="","",IF($AQ2518="","対象年月が未入力／","")&amp;IF($B2518="","",IF($AP2518="","職員マスタに未登録の職員番号／",IF($AA2518="","標準報酬月額が未登録／","")&amp;IF(AND($AQ2518&lt;&gt;"",OR(AND(INDEX(職員マスタ!$G$6:$G$405,$AP2518)&lt;&gt;"",INDEX(職員マスタ!$G$6:$G$405,$AP2518)&gt;EOMONTH($AQ2518,0)),AND(INDEX(職員マスタ!$H$6:$H$405,$AP2518)&lt;&gt;"",INDEX(職員マスタ!$H$6:$H$405,$AP2518)&lt;$AQ2518))),"対象月が時短期間外／","")&amp;IF(AND(INDEX(職員マスタ!$K$6:$K$405,$AP2518)&lt;&gt;"",N($W2518)&gt;0,INDEX(職員マスタ!$K$6:$K$405,$AP2518)&lt;&gt;$W2518),"標準報酬月額が申請書と相違（台帳"&amp;TEXT(INDEX(職員マスタ!$K$6:$K$405,$AP2518),"#,##0")&amp;"円／申請書"&amp;TEXT($W2518,"#,##0")&amp;"円）／","")&amp;IF(AND(INDEX(職員マスタ!$F$6:$F$405,$AP2518)&lt;&gt;"",$AQ2518&lt;&gt;"",INDEX(職員マスタ!$F$6:$F$405,$AP2518)&lt;$AQ2518),"対象月に子が2歳到達済／","")&amp;IF(AND($H2518&lt;&gt;"",INDEX(職員マスタ!$B$6:$B$405,$AP2518)&lt;&gt;"",SUBSTITUTE(SUBSTITUTE($H2518," ","")," ","")&lt;&gt;SUBSTITUTE(SUBSTITUTE(INDEX(職員マスタ!$B$6:$B$405,$AP2518)," ","")," ","")),"氏名がマスタと相違／","")&amp;IF(AND($Q2518&lt;&gt;"",INDEX(職員マスタ!$E$6:$E$405,$AP2518)&lt;&gt;"",$Q2518&lt;&gt;INDEX(職員マスタ!$E$6:$E$405,$AP2518)),"子の生年月日がマスタと相違／","")&amp;IF(AND($L2518&lt;&gt;"",INDEX(職員マスタ!$G$6:$G$405,$AP2518)&lt;&gt;"",$L2518&lt;&gt;INDEX(職員マスタ!$G$6:$G$405,$AP2518)),"時短開始日がマスタと相違／","")&amp;IF(AND($M2518&lt;&gt;"",INDEX(職員マスタ!$H$6:$H$405,$AP2518)&lt;&gt;"",$M2518&lt;&gt;INDEX(職員マスタ!$H$6:$H$405,$AP2518)),"時短終了日がマスタと相違／","")))&amp;IF(AND($B2518&lt;&gt;"",$E2518=""),"報酬額が未入力／","")&amp;IF(N($U2518)&gt;0,"申請書に入力エラーが残っています／","")&amp;IF(AND($B2518&lt;&gt;"",$AQ2518&lt;&gt;""),IF(COUNTIFS($B$6:$B$3005,$B2518,$C$6:$C$3005,$C2518,$D$6:$D$3005,$D2518)&gt;1,"同じ月の請求が重複しています／",""),"")&amp;IF(AND(N($E2518)&gt;0,$AB2518&lt;&gt;"",$AB2518&lt;&gt;"×",$AE2518=0,$AD2518=""),"計算額が下限以下のため不支給／",""))</f>
        <v/>
      </c>
      <c r="AN2518" s="12" t="n"/>
      <c r="AO2518" s="14">
        <f>IF($AF2518="保留中",COUNTIF($AF$6:$AF2518,"保留中"),"")</f>
        <v/>
      </c>
      <c r="AP2518" s="14">
        <f>IF($AQ2518="","",IF(SUMPRODUCT(MAX((職員マスタ!$A$6:$A$405=$B2518)*(((職員マスタ!$G$6:$G$405="")+(職員マスタ!$G$6:$G$405&lt;=EOMONTH($AQ2518,0)))&gt;0)*(((職員マスタ!$H$6:$H$405="")+(職員マスタ!$H$6:$H$405&gt;=$AQ2518))&gt;0)*(ROW(職員マスタ!$A$6:$A$405)-5)))&gt;0,SUMPRODUCT(MAX((職員マスタ!$A$6:$A$405=$B2518)*(((職員マスタ!$G$6:$G$405="")+(職員マスタ!$G$6:$G$405&lt;=EOMONTH($AQ2518,0)))&gt;0)*(((職員マスタ!$H$6:$H$405="")+(職員マスタ!$H$6:$H$405&gt;=$AQ2518))&gt;0)*(ROW(職員マスタ!$A$6:$A$405)-5))),IFERROR(MATCH($B2518,職員マスタ!$A$6:$A$405,0),"")))</f>
        <v/>
      </c>
      <c r="AQ2518" s="16">
        <f>IF(OR($B2518="",$C2518="",$D2518=""),"",DATE($C2518+2018,$D2518,1))</f>
        <v/>
      </c>
    </row>
    <row r="2519">
      <c r="A2519" s="11" t="n"/>
      <c r="B2519" s="12" t="n"/>
      <c r="C2519" s="12" t="n"/>
      <c r="D2519" s="12" t="n"/>
      <c r="E2519" s="13" t="n"/>
      <c r="F2519" s="12" t="n"/>
      <c r="G2519" s="13" t="n"/>
      <c r="H2519" s="12" t="n"/>
      <c r="I2519" s="12" t="n"/>
      <c r="J2519" s="12" t="n"/>
      <c r="K2519" s="12" t="n"/>
      <c r="L2519" s="11" t="n"/>
      <c r="M2519" s="11" t="n"/>
      <c r="N2519" s="11" t="n"/>
      <c r="O2519" s="11" t="n"/>
      <c r="P2519" s="12" t="n"/>
      <c r="Q2519" s="11" t="n"/>
      <c r="R2519" s="12" t="n"/>
      <c r="S2519" s="11" t="n"/>
      <c r="T2519" s="12" t="n"/>
      <c r="U2519" s="12" t="n"/>
      <c r="V2519" s="12" t="n"/>
      <c r="W2519" s="13" t="n"/>
      <c r="X2519" s="14">
        <f>IF($AP2519="",IF($B2519="","",$H2519),IF(INDEX(職員マスタ!$B$6:$B$405,$AP2519)="",$H2519,INDEX(職員マスタ!$B$6:$B$405,$AP2519)))</f>
        <v/>
      </c>
      <c r="Y2519" s="14">
        <f>IF($AP2519="",IF($B2519="","",$R2519),IF(INDEX(職員マスタ!$C$6:$C$405,$AP2519)="",$R2519,INDEX(職員マスタ!$C$6:$C$405,$AP2519)))</f>
        <v/>
      </c>
      <c r="Z2519" s="14">
        <f>IF($AQ2519="","","R"&amp;$C2519&amp;"."&amp;$D2519)</f>
        <v/>
      </c>
      <c r="AA2519" s="15">
        <f>IF(IF($AP2519="",FALSE,INDEX(職員マスタ!$K$6:$K$405,$AP2519)&lt;&gt;""),INDEX(職員マスタ!$K$6:$K$405,$AP2519),IF(N($W2519)&gt;0,$W2519,""))</f>
        <v/>
      </c>
      <c r="AB2519" s="14">
        <f>IF(OR($E2519="",$AA2519=""),"",IF($E2519&gt;=$AA2519,"×",IF($E2519&gt;=$AA2519*設定!$C$5,"△","○")))</f>
        <v/>
      </c>
      <c r="AC2519" s="15">
        <f>IF($AB2519="","",IF($AB2519="×",0,IF($AB2519="○",ROUNDDOWN($E2519*設定!$C$4,0),ROUNDDOWN($E2519*ROUND((9*$AA2519-9*$E2519)/(10*$E2519),4),0))))</f>
        <v/>
      </c>
      <c r="AD2519" s="13" t="n"/>
      <c r="AE2519" s="15">
        <f>IF($B2519="","",IF($AD2519&lt;&gt;"",$AD2519,IF($AC2519="","",IF($AC2519&lt;=設定!$C$3,0,$AC2519))))</f>
        <v/>
      </c>
      <c r="AF2519" s="14">
        <f>IF($B2519="","",IF(AND($AG2519&lt;&gt;"",$AI2519="",$AL2519=""),"保留中",IF($AL2519&lt;&gt;"",IF(N($AE2519)&gt;0,"支給済","不支給"),IF($AE2519="","要確認",IF($AE2519=0,"不支給","未処理")))))</f>
        <v/>
      </c>
      <c r="AG2519" s="12" t="n"/>
      <c r="AH2519" s="11" t="n"/>
      <c r="AI2519" s="11" t="n"/>
      <c r="AJ2519" s="11" t="n"/>
      <c r="AK2519" s="14">
        <f>IF(AND($AF2519="保留中",$AH2519&lt;&gt;""),TODAY()-$AH2519,"")</f>
        <v/>
      </c>
      <c r="AL2519" s="12" t="n"/>
      <c r="AM2519" s="14">
        <f>IF($B2519="","",IF($AQ2519="","対象年月が未入力／","")&amp;IF($B2519="","",IF($AP2519="","職員マスタに未登録の職員番号／",IF($AA2519="","標準報酬月額が未登録／","")&amp;IF(AND($AQ2519&lt;&gt;"",OR(AND(INDEX(職員マスタ!$G$6:$G$405,$AP2519)&lt;&gt;"",INDEX(職員マスタ!$G$6:$G$405,$AP2519)&gt;EOMONTH($AQ2519,0)),AND(INDEX(職員マスタ!$H$6:$H$405,$AP2519)&lt;&gt;"",INDEX(職員マスタ!$H$6:$H$405,$AP2519)&lt;$AQ2519))),"対象月が時短期間外／","")&amp;IF(AND(INDEX(職員マスタ!$K$6:$K$405,$AP2519)&lt;&gt;"",N($W2519)&gt;0,INDEX(職員マスタ!$K$6:$K$405,$AP2519)&lt;&gt;$W2519),"標準報酬月額が申請書と相違（台帳"&amp;TEXT(INDEX(職員マスタ!$K$6:$K$405,$AP2519),"#,##0")&amp;"円／申請書"&amp;TEXT($W2519,"#,##0")&amp;"円）／","")&amp;IF(AND(INDEX(職員マスタ!$F$6:$F$405,$AP2519)&lt;&gt;"",$AQ2519&lt;&gt;"",INDEX(職員マスタ!$F$6:$F$405,$AP2519)&lt;$AQ2519),"対象月に子が2歳到達済／","")&amp;IF(AND($H2519&lt;&gt;"",INDEX(職員マスタ!$B$6:$B$405,$AP2519)&lt;&gt;"",SUBSTITUTE(SUBSTITUTE($H2519," ","")," ","")&lt;&gt;SUBSTITUTE(SUBSTITUTE(INDEX(職員マスタ!$B$6:$B$405,$AP2519)," ","")," ","")),"氏名がマスタと相違／","")&amp;IF(AND($Q2519&lt;&gt;"",INDEX(職員マスタ!$E$6:$E$405,$AP2519)&lt;&gt;"",$Q2519&lt;&gt;INDEX(職員マスタ!$E$6:$E$405,$AP2519)),"子の生年月日がマスタと相違／","")&amp;IF(AND($L2519&lt;&gt;"",INDEX(職員マスタ!$G$6:$G$405,$AP2519)&lt;&gt;"",$L2519&lt;&gt;INDEX(職員マスタ!$G$6:$G$405,$AP2519)),"時短開始日がマスタと相違／","")&amp;IF(AND($M2519&lt;&gt;"",INDEX(職員マスタ!$H$6:$H$405,$AP2519)&lt;&gt;"",$M2519&lt;&gt;INDEX(職員マスタ!$H$6:$H$405,$AP2519)),"時短終了日がマスタと相違／","")))&amp;IF(AND($B2519&lt;&gt;"",$E2519=""),"報酬額が未入力／","")&amp;IF(N($U2519)&gt;0,"申請書に入力エラーが残っています／","")&amp;IF(AND($B2519&lt;&gt;"",$AQ2519&lt;&gt;""),IF(COUNTIFS($B$6:$B$3005,$B2519,$C$6:$C$3005,$C2519,$D$6:$D$3005,$D2519)&gt;1,"同じ月の請求が重複しています／",""),"")&amp;IF(AND(N($E2519)&gt;0,$AB2519&lt;&gt;"",$AB2519&lt;&gt;"×",$AE2519=0,$AD2519=""),"計算額が下限以下のため不支給／",""))</f>
        <v/>
      </c>
      <c r="AN2519" s="12" t="n"/>
      <c r="AO2519" s="14">
        <f>IF($AF2519="保留中",COUNTIF($AF$6:$AF2519,"保留中"),"")</f>
        <v/>
      </c>
      <c r="AP2519" s="14">
        <f>IF($AQ2519="","",IF(SUMPRODUCT(MAX((職員マスタ!$A$6:$A$405=$B2519)*(((職員マスタ!$G$6:$G$405="")+(職員マスタ!$G$6:$G$405&lt;=EOMONTH($AQ2519,0)))&gt;0)*(((職員マスタ!$H$6:$H$405="")+(職員マスタ!$H$6:$H$405&gt;=$AQ2519))&gt;0)*(ROW(職員マスタ!$A$6:$A$405)-5)))&gt;0,SUMPRODUCT(MAX((職員マスタ!$A$6:$A$405=$B2519)*(((職員マスタ!$G$6:$G$405="")+(職員マスタ!$G$6:$G$405&lt;=EOMONTH($AQ2519,0)))&gt;0)*(((職員マスタ!$H$6:$H$405="")+(職員マスタ!$H$6:$H$405&gt;=$AQ2519))&gt;0)*(ROW(職員マスタ!$A$6:$A$405)-5))),IFERROR(MATCH($B2519,職員マスタ!$A$6:$A$405,0),"")))</f>
        <v/>
      </c>
      <c r="AQ2519" s="16">
        <f>IF(OR($B2519="",$C2519="",$D2519=""),"",DATE($C2519+2018,$D2519,1))</f>
        <v/>
      </c>
    </row>
    <row r="2520">
      <c r="A2520" s="11" t="n"/>
      <c r="B2520" s="12" t="n"/>
      <c r="C2520" s="12" t="n"/>
      <c r="D2520" s="12" t="n"/>
      <c r="E2520" s="13" t="n"/>
      <c r="F2520" s="12" t="n"/>
      <c r="G2520" s="13" t="n"/>
      <c r="H2520" s="12" t="n"/>
      <c r="I2520" s="12" t="n"/>
      <c r="J2520" s="12" t="n"/>
      <c r="K2520" s="12" t="n"/>
      <c r="L2520" s="11" t="n"/>
      <c r="M2520" s="11" t="n"/>
      <c r="N2520" s="11" t="n"/>
      <c r="O2520" s="11" t="n"/>
      <c r="P2520" s="12" t="n"/>
      <c r="Q2520" s="11" t="n"/>
      <c r="R2520" s="12" t="n"/>
      <c r="S2520" s="11" t="n"/>
      <c r="T2520" s="12" t="n"/>
      <c r="U2520" s="12" t="n"/>
      <c r="V2520" s="12" t="n"/>
      <c r="W2520" s="13" t="n"/>
      <c r="X2520" s="14">
        <f>IF($AP2520="",IF($B2520="","",$H2520),IF(INDEX(職員マスタ!$B$6:$B$405,$AP2520)="",$H2520,INDEX(職員マスタ!$B$6:$B$405,$AP2520)))</f>
        <v/>
      </c>
      <c r="Y2520" s="14">
        <f>IF($AP2520="",IF($B2520="","",$R2520),IF(INDEX(職員マスタ!$C$6:$C$405,$AP2520)="",$R2520,INDEX(職員マスタ!$C$6:$C$405,$AP2520)))</f>
        <v/>
      </c>
      <c r="Z2520" s="14">
        <f>IF($AQ2520="","","R"&amp;$C2520&amp;"."&amp;$D2520)</f>
        <v/>
      </c>
      <c r="AA2520" s="15">
        <f>IF(IF($AP2520="",FALSE,INDEX(職員マスタ!$K$6:$K$405,$AP2520)&lt;&gt;""),INDEX(職員マスタ!$K$6:$K$405,$AP2520),IF(N($W2520)&gt;0,$W2520,""))</f>
        <v/>
      </c>
      <c r="AB2520" s="14">
        <f>IF(OR($E2520="",$AA2520=""),"",IF($E2520&gt;=$AA2520,"×",IF($E2520&gt;=$AA2520*設定!$C$5,"△","○")))</f>
        <v/>
      </c>
      <c r="AC2520" s="15">
        <f>IF($AB2520="","",IF($AB2520="×",0,IF($AB2520="○",ROUNDDOWN($E2520*設定!$C$4,0),ROUNDDOWN($E2520*ROUND((9*$AA2520-9*$E2520)/(10*$E2520),4),0))))</f>
        <v/>
      </c>
      <c r="AD2520" s="13" t="n"/>
      <c r="AE2520" s="15">
        <f>IF($B2520="","",IF($AD2520&lt;&gt;"",$AD2520,IF($AC2520="","",IF($AC2520&lt;=設定!$C$3,0,$AC2520))))</f>
        <v/>
      </c>
      <c r="AF2520" s="14">
        <f>IF($B2520="","",IF(AND($AG2520&lt;&gt;"",$AI2520="",$AL2520=""),"保留中",IF($AL2520&lt;&gt;"",IF(N($AE2520)&gt;0,"支給済","不支給"),IF($AE2520="","要確認",IF($AE2520=0,"不支給","未処理")))))</f>
        <v/>
      </c>
      <c r="AG2520" s="12" t="n"/>
      <c r="AH2520" s="11" t="n"/>
      <c r="AI2520" s="11" t="n"/>
      <c r="AJ2520" s="11" t="n"/>
      <c r="AK2520" s="14">
        <f>IF(AND($AF2520="保留中",$AH2520&lt;&gt;""),TODAY()-$AH2520,"")</f>
        <v/>
      </c>
      <c r="AL2520" s="12" t="n"/>
      <c r="AM2520" s="14">
        <f>IF($B2520="","",IF($AQ2520="","対象年月が未入力／","")&amp;IF($B2520="","",IF($AP2520="","職員マスタに未登録の職員番号／",IF($AA2520="","標準報酬月額が未登録／","")&amp;IF(AND($AQ2520&lt;&gt;"",OR(AND(INDEX(職員マスタ!$G$6:$G$405,$AP2520)&lt;&gt;"",INDEX(職員マスタ!$G$6:$G$405,$AP2520)&gt;EOMONTH($AQ2520,0)),AND(INDEX(職員マスタ!$H$6:$H$405,$AP2520)&lt;&gt;"",INDEX(職員マスタ!$H$6:$H$405,$AP2520)&lt;$AQ2520))),"対象月が時短期間外／","")&amp;IF(AND(INDEX(職員マスタ!$K$6:$K$405,$AP2520)&lt;&gt;"",N($W2520)&gt;0,INDEX(職員マスタ!$K$6:$K$405,$AP2520)&lt;&gt;$W2520),"標準報酬月額が申請書と相違（台帳"&amp;TEXT(INDEX(職員マスタ!$K$6:$K$405,$AP2520),"#,##0")&amp;"円／申請書"&amp;TEXT($W2520,"#,##0")&amp;"円）／","")&amp;IF(AND(INDEX(職員マスタ!$F$6:$F$405,$AP2520)&lt;&gt;"",$AQ2520&lt;&gt;"",INDEX(職員マスタ!$F$6:$F$405,$AP2520)&lt;$AQ2520),"対象月に子が2歳到達済／","")&amp;IF(AND($H2520&lt;&gt;"",INDEX(職員マスタ!$B$6:$B$405,$AP2520)&lt;&gt;"",SUBSTITUTE(SUBSTITUTE($H2520," ","")," ","")&lt;&gt;SUBSTITUTE(SUBSTITUTE(INDEX(職員マスタ!$B$6:$B$405,$AP2520)," ","")," ","")),"氏名がマスタと相違／","")&amp;IF(AND($Q2520&lt;&gt;"",INDEX(職員マスタ!$E$6:$E$405,$AP2520)&lt;&gt;"",$Q2520&lt;&gt;INDEX(職員マスタ!$E$6:$E$405,$AP2520)),"子の生年月日がマスタと相違／","")&amp;IF(AND($L2520&lt;&gt;"",INDEX(職員マスタ!$G$6:$G$405,$AP2520)&lt;&gt;"",$L2520&lt;&gt;INDEX(職員マスタ!$G$6:$G$405,$AP2520)),"時短開始日がマスタと相違／","")&amp;IF(AND($M2520&lt;&gt;"",INDEX(職員マスタ!$H$6:$H$405,$AP2520)&lt;&gt;"",$M2520&lt;&gt;INDEX(職員マスタ!$H$6:$H$405,$AP2520)),"時短終了日がマスタと相違／","")))&amp;IF(AND($B2520&lt;&gt;"",$E2520=""),"報酬額が未入力／","")&amp;IF(N($U2520)&gt;0,"申請書に入力エラーが残っています／","")&amp;IF(AND($B2520&lt;&gt;"",$AQ2520&lt;&gt;""),IF(COUNTIFS($B$6:$B$3005,$B2520,$C$6:$C$3005,$C2520,$D$6:$D$3005,$D2520)&gt;1,"同じ月の請求が重複しています／",""),"")&amp;IF(AND(N($E2520)&gt;0,$AB2520&lt;&gt;"",$AB2520&lt;&gt;"×",$AE2520=0,$AD2520=""),"計算額が下限以下のため不支給／",""))</f>
        <v/>
      </c>
      <c r="AN2520" s="12" t="n"/>
      <c r="AO2520" s="14">
        <f>IF($AF2520="保留中",COUNTIF($AF$6:$AF2520,"保留中"),"")</f>
        <v/>
      </c>
      <c r="AP2520" s="14">
        <f>IF($AQ2520="","",IF(SUMPRODUCT(MAX((職員マスタ!$A$6:$A$405=$B2520)*(((職員マスタ!$G$6:$G$405="")+(職員マスタ!$G$6:$G$405&lt;=EOMONTH($AQ2520,0)))&gt;0)*(((職員マスタ!$H$6:$H$405="")+(職員マスタ!$H$6:$H$405&gt;=$AQ2520))&gt;0)*(ROW(職員マスタ!$A$6:$A$405)-5)))&gt;0,SUMPRODUCT(MAX((職員マスタ!$A$6:$A$405=$B2520)*(((職員マスタ!$G$6:$G$405="")+(職員マスタ!$G$6:$G$405&lt;=EOMONTH($AQ2520,0)))&gt;0)*(((職員マスタ!$H$6:$H$405="")+(職員マスタ!$H$6:$H$405&gt;=$AQ2520))&gt;0)*(ROW(職員マスタ!$A$6:$A$405)-5))),IFERROR(MATCH($B2520,職員マスタ!$A$6:$A$405,0),"")))</f>
        <v/>
      </c>
      <c r="AQ2520" s="16">
        <f>IF(OR($B2520="",$C2520="",$D2520=""),"",DATE($C2520+2018,$D2520,1))</f>
        <v/>
      </c>
    </row>
    <row r="2521">
      <c r="A2521" s="11" t="n"/>
      <c r="B2521" s="12" t="n"/>
      <c r="C2521" s="12" t="n"/>
      <c r="D2521" s="12" t="n"/>
      <c r="E2521" s="13" t="n"/>
      <c r="F2521" s="12" t="n"/>
      <c r="G2521" s="13" t="n"/>
      <c r="H2521" s="12" t="n"/>
      <c r="I2521" s="12" t="n"/>
      <c r="J2521" s="12" t="n"/>
      <c r="K2521" s="12" t="n"/>
      <c r="L2521" s="11" t="n"/>
      <c r="M2521" s="11" t="n"/>
      <c r="N2521" s="11" t="n"/>
      <c r="O2521" s="11" t="n"/>
      <c r="P2521" s="12" t="n"/>
      <c r="Q2521" s="11" t="n"/>
      <c r="R2521" s="12" t="n"/>
      <c r="S2521" s="11" t="n"/>
      <c r="T2521" s="12" t="n"/>
      <c r="U2521" s="12" t="n"/>
      <c r="V2521" s="12" t="n"/>
      <c r="W2521" s="13" t="n"/>
      <c r="X2521" s="14">
        <f>IF($AP2521="",IF($B2521="","",$H2521),IF(INDEX(職員マスタ!$B$6:$B$405,$AP2521)="",$H2521,INDEX(職員マスタ!$B$6:$B$405,$AP2521)))</f>
        <v/>
      </c>
      <c r="Y2521" s="14">
        <f>IF($AP2521="",IF($B2521="","",$R2521),IF(INDEX(職員マスタ!$C$6:$C$405,$AP2521)="",$R2521,INDEX(職員マスタ!$C$6:$C$405,$AP2521)))</f>
        <v/>
      </c>
      <c r="Z2521" s="14">
        <f>IF($AQ2521="","","R"&amp;$C2521&amp;"."&amp;$D2521)</f>
        <v/>
      </c>
      <c r="AA2521" s="15">
        <f>IF(IF($AP2521="",FALSE,INDEX(職員マスタ!$K$6:$K$405,$AP2521)&lt;&gt;""),INDEX(職員マスタ!$K$6:$K$405,$AP2521),IF(N($W2521)&gt;0,$W2521,""))</f>
        <v/>
      </c>
      <c r="AB2521" s="14">
        <f>IF(OR($E2521="",$AA2521=""),"",IF($E2521&gt;=$AA2521,"×",IF($E2521&gt;=$AA2521*設定!$C$5,"△","○")))</f>
        <v/>
      </c>
      <c r="AC2521" s="15">
        <f>IF($AB2521="","",IF($AB2521="×",0,IF($AB2521="○",ROUNDDOWN($E2521*設定!$C$4,0),ROUNDDOWN($E2521*ROUND((9*$AA2521-9*$E2521)/(10*$E2521),4),0))))</f>
        <v/>
      </c>
      <c r="AD2521" s="13" t="n"/>
      <c r="AE2521" s="15">
        <f>IF($B2521="","",IF($AD2521&lt;&gt;"",$AD2521,IF($AC2521="","",IF($AC2521&lt;=設定!$C$3,0,$AC2521))))</f>
        <v/>
      </c>
      <c r="AF2521" s="14">
        <f>IF($B2521="","",IF(AND($AG2521&lt;&gt;"",$AI2521="",$AL2521=""),"保留中",IF($AL2521&lt;&gt;"",IF(N($AE2521)&gt;0,"支給済","不支給"),IF($AE2521="","要確認",IF($AE2521=0,"不支給","未処理")))))</f>
        <v/>
      </c>
      <c r="AG2521" s="12" t="n"/>
      <c r="AH2521" s="11" t="n"/>
      <c r="AI2521" s="11" t="n"/>
      <c r="AJ2521" s="11" t="n"/>
      <c r="AK2521" s="14">
        <f>IF(AND($AF2521="保留中",$AH2521&lt;&gt;""),TODAY()-$AH2521,"")</f>
        <v/>
      </c>
      <c r="AL2521" s="12" t="n"/>
      <c r="AM2521" s="14">
        <f>IF($B2521="","",IF($AQ2521="","対象年月が未入力／","")&amp;IF($B2521="","",IF($AP2521="","職員マスタに未登録の職員番号／",IF($AA2521="","標準報酬月額が未登録／","")&amp;IF(AND($AQ2521&lt;&gt;"",OR(AND(INDEX(職員マスタ!$G$6:$G$405,$AP2521)&lt;&gt;"",INDEX(職員マスタ!$G$6:$G$405,$AP2521)&gt;EOMONTH($AQ2521,0)),AND(INDEX(職員マスタ!$H$6:$H$405,$AP2521)&lt;&gt;"",INDEX(職員マスタ!$H$6:$H$405,$AP2521)&lt;$AQ2521))),"対象月が時短期間外／","")&amp;IF(AND(INDEX(職員マスタ!$K$6:$K$405,$AP2521)&lt;&gt;"",N($W2521)&gt;0,INDEX(職員マスタ!$K$6:$K$405,$AP2521)&lt;&gt;$W2521),"標準報酬月額が申請書と相違（台帳"&amp;TEXT(INDEX(職員マスタ!$K$6:$K$405,$AP2521),"#,##0")&amp;"円／申請書"&amp;TEXT($W2521,"#,##0")&amp;"円）／","")&amp;IF(AND(INDEX(職員マスタ!$F$6:$F$405,$AP2521)&lt;&gt;"",$AQ2521&lt;&gt;"",INDEX(職員マスタ!$F$6:$F$405,$AP2521)&lt;$AQ2521),"対象月に子が2歳到達済／","")&amp;IF(AND($H2521&lt;&gt;"",INDEX(職員マスタ!$B$6:$B$405,$AP2521)&lt;&gt;"",SUBSTITUTE(SUBSTITUTE($H2521," ","")," ","")&lt;&gt;SUBSTITUTE(SUBSTITUTE(INDEX(職員マスタ!$B$6:$B$405,$AP2521)," ","")," ","")),"氏名がマスタと相違／","")&amp;IF(AND($Q2521&lt;&gt;"",INDEX(職員マスタ!$E$6:$E$405,$AP2521)&lt;&gt;"",$Q2521&lt;&gt;INDEX(職員マスタ!$E$6:$E$405,$AP2521)),"子の生年月日がマスタと相違／","")&amp;IF(AND($L2521&lt;&gt;"",INDEX(職員マスタ!$G$6:$G$405,$AP2521)&lt;&gt;"",$L2521&lt;&gt;INDEX(職員マスタ!$G$6:$G$405,$AP2521)),"時短開始日がマスタと相違／","")&amp;IF(AND($M2521&lt;&gt;"",INDEX(職員マスタ!$H$6:$H$405,$AP2521)&lt;&gt;"",$M2521&lt;&gt;INDEX(職員マスタ!$H$6:$H$405,$AP2521)),"時短終了日がマスタと相違／","")))&amp;IF(AND($B2521&lt;&gt;"",$E2521=""),"報酬額が未入力／","")&amp;IF(N($U2521)&gt;0,"申請書に入力エラーが残っています／","")&amp;IF(AND($B2521&lt;&gt;"",$AQ2521&lt;&gt;""),IF(COUNTIFS($B$6:$B$3005,$B2521,$C$6:$C$3005,$C2521,$D$6:$D$3005,$D2521)&gt;1,"同じ月の請求が重複しています／",""),"")&amp;IF(AND(N($E2521)&gt;0,$AB2521&lt;&gt;"",$AB2521&lt;&gt;"×",$AE2521=0,$AD2521=""),"計算額が下限以下のため不支給／",""))</f>
        <v/>
      </c>
      <c r="AN2521" s="12" t="n"/>
      <c r="AO2521" s="14">
        <f>IF($AF2521="保留中",COUNTIF($AF$6:$AF2521,"保留中"),"")</f>
        <v/>
      </c>
      <c r="AP2521" s="14">
        <f>IF($AQ2521="","",IF(SUMPRODUCT(MAX((職員マスタ!$A$6:$A$405=$B2521)*(((職員マスタ!$G$6:$G$405="")+(職員マスタ!$G$6:$G$405&lt;=EOMONTH($AQ2521,0)))&gt;0)*(((職員マスタ!$H$6:$H$405="")+(職員マスタ!$H$6:$H$405&gt;=$AQ2521))&gt;0)*(ROW(職員マスタ!$A$6:$A$405)-5)))&gt;0,SUMPRODUCT(MAX((職員マスタ!$A$6:$A$405=$B2521)*(((職員マスタ!$G$6:$G$405="")+(職員マスタ!$G$6:$G$405&lt;=EOMONTH($AQ2521,0)))&gt;0)*(((職員マスタ!$H$6:$H$405="")+(職員マスタ!$H$6:$H$405&gt;=$AQ2521))&gt;0)*(ROW(職員マスタ!$A$6:$A$405)-5))),IFERROR(MATCH($B2521,職員マスタ!$A$6:$A$405,0),"")))</f>
        <v/>
      </c>
      <c r="AQ2521" s="16">
        <f>IF(OR($B2521="",$C2521="",$D2521=""),"",DATE($C2521+2018,$D2521,1))</f>
        <v/>
      </c>
    </row>
    <row r="2522">
      <c r="A2522" s="11" t="n"/>
      <c r="B2522" s="12" t="n"/>
      <c r="C2522" s="12" t="n"/>
      <c r="D2522" s="12" t="n"/>
      <c r="E2522" s="13" t="n"/>
      <c r="F2522" s="12" t="n"/>
      <c r="G2522" s="13" t="n"/>
      <c r="H2522" s="12" t="n"/>
      <c r="I2522" s="12" t="n"/>
      <c r="J2522" s="12" t="n"/>
      <c r="K2522" s="12" t="n"/>
      <c r="L2522" s="11" t="n"/>
      <c r="M2522" s="11" t="n"/>
      <c r="N2522" s="11" t="n"/>
      <c r="O2522" s="11" t="n"/>
      <c r="P2522" s="12" t="n"/>
      <c r="Q2522" s="11" t="n"/>
      <c r="R2522" s="12" t="n"/>
      <c r="S2522" s="11" t="n"/>
      <c r="T2522" s="12" t="n"/>
      <c r="U2522" s="12" t="n"/>
      <c r="V2522" s="12" t="n"/>
      <c r="W2522" s="13" t="n"/>
      <c r="X2522" s="14">
        <f>IF($AP2522="",IF($B2522="","",$H2522),IF(INDEX(職員マスタ!$B$6:$B$405,$AP2522)="",$H2522,INDEX(職員マスタ!$B$6:$B$405,$AP2522)))</f>
        <v/>
      </c>
      <c r="Y2522" s="14">
        <f>IF($AP2522="",IF($B2522="","",$R2522),IF(INDEX(職員マスタ!$C$6:$C$405,$AP2522)="",$R2522,INDEX(職員マスタ!$C$6:$C$405,$AP2522)))</f>
        <v/>
      </c>
      <c r="Z2522" s="14">
        <f>IF($AQ2522="","","R"&amp;$C2522&amp;"."&amp;$D2522)</f>
        <v/>
      </c>
      <c r="AA2522" s="15">
        <f>IF(IF($AP2522="",FALSE,INDEX(職員マスタ!$K$6:$K$405,$AP2522)&lt;&gt;""),INDEX(職員マスタ!$K$6:$K$405,$AP2522),IF(N($W2522)&gt;0,$W2522,""))</f>
        <v/>
      </c>
      <c r="AB2522" s="14">
        <f>IF(OR($E2522="",$AA2522=""),"",IF($E2522&gt;=$AA2522,"×",IF($E2522&gt;=$AA2522*設定!$C$5,"△","○")))</f>
        <v/>
      </c>
      <c r="AC2522" s="15">
        <f>IF($AB2522="","",IF($AB2522="×",0,IF($AB2522="○",ROUNDDOWN($E2522*設定!$C$4,0),ROUNDDOWN($E2522*ROUND((9*$AA2522-9*$E2522)/(10*$E2522),4),0))))</f>
        <v/>
      </c>
      <c r="AD2522" s="13" t="n"/>
      <c r="AE2522" s="15">
        <f>IF($B2522="","",IF($AD2522&lt;&gt;"",$AD2522,IF($AC2522="","",IF($AC2522&lt;=設定!$C$3,0,$AC2522))))</f>
        <v/>
      </c>
      <c r="AF2522" s="14">
        <f>IF($B2522="","",IF(AND($AG2522&lt;&gt;"",$AI2522="",$AL2522=""),"保留中",IF($AL2522&lt;&gt;"",IF(N($AE2522)&gt;0,"支給済","不支給"),IF($AE2522="","要確認",IF($AE2522=0,"不支給","未処理")))))</f>
        <v/>
      </c>
      <c r="AG2522" s="12" t="n"/>
      <c r="AH2522" s="11" t="n"/>
      <c r="AI2522" s="11" t="n"/>
      <c r="AJ2522" s="11" t="n"/>
      <c r="AK2522" s="14">
        <f>IF(AND($AF2522="保留中",$AH2522&lt;&gt;""),TODAY()-$AH2522,"")</f>
        <v/>
      </c>
      <c r="AL2522" s="12" t="n"/>
      <c r="AM2522" s="14">
        <f>IF($B2522="","",IF($AQ2522="","対象年月が未入力／","")&amp;IF($B2522="","",IF($AP2522="","職員マスタに未登録の職員番号／",IF($AA2522="","標準報酬月額が未登録／","")&amp;IF(AND($AQ2522&lt;&gt;"",OR(AND(INDEX(職員マスタ!$G$6:$G$405,$AP2522)&lt;&gt;"",INDEX(職員マスタ!$G$6:$G$405,$AP2522)&gt;EOMONTH($AQ2522,0)),AND(INDEX(職員マスタ!$H$6:$H$405,$AP2522)&lt;&gt;"",INDEX(職員マスタ!$H$6:$H$405,$AP2522)&lt;$AQ2522))),"対象月が時短期間外／","")&amp;IF(AND(INDEX(職員マスタ!$K$6:$K$405,$AP2522)&lt;&gt;"",N($W2522)&gt;0,INDEX(職員マスタ!$K$6:$K$405,$AP2522)&lt;&gt;$W2522),"標準報酬月額が申請書と相違（台帳"&amp;TEXT(INDEX(職員マスタ!$K$6:$K$405,$AP2522),"#,##0")&amp;"円／申請書"&amp;TEXT($W2522,"#,##0")&amp;"円）／","")&amp;IF(AND(INDEX(職員マスタ!$F$6:$F$405,$AP2522)&lt;&gt;"",$AQ2522&lt;&gt;"",INDEX(職員マスタ!$F$6:$F$405,$AP2522)&lt;$AQ2522),"対象月に子が2歳到達済／","")&amp;IF(AND($H2522&lt;&gt;"",INDEX(職員マスタ!$B$6:$B$405,$AP2522)&lt;&gt;"",SUBSTITUTE(SUBSTITUTE($H2522," ","")," ","")&lt;&gt;SUBSTITUTE(SUBSTITUTE(INDEX(職員マスタ!$B$6:$B$405,$AP2522)," ","")," ","")),"氏名がマスタと相違／","")&amp;IF(AND($Q2522&lt;&gt;"",INDEX(職員マスタ!$E$6:$E$405,$AP2522)&lt;&gt;"",$Q2522&lt;&gt;INDEX(職員マスタ!$E$6:$E$405,$AP2522)),"子の生年月日がマスタと相違／","")&amp;IF(AND($L2522&lt;&gt;"",INDEX(職員マスタ!$G$6:$G$405,$AP2522)&lt;&gt;"",$L2522&lt;&gt;INDEX(職員マスタ!$G$6:$G$405,$AP2522)),"時短開始日がマスタと相違／","")&amp;IF(AND($M2522&lt;&gt;"",INDEX(職員マスタ!$H$6:$H$405,$AP2522)&lt;&gt;"",$M2522&lt;&gt;INDEX(職員マスタ!$H$6:$H$405,$AP2522)),"時短終了日がマスタと相違／","")))&amp;IF(AND($B2522&lt;&gt;"",$E2522=""),"報酬額が未入力／","")&amp;IF(N($U2522)&gt;0,"申請書に入力エラーが残っています／","")&amp;IF(AND($B2522&lt;&gt;"",$AQ2522&lt;&gt;""),IF(COUNTIFS($B$6:$B$3005,$B2522,$C$6:$C$3005,$C2522,$D$6:$D$3005,$D2522)&gt;1,"同じ月の請求が重複しています／",""),"")&amp;IF(AND(N($E2522)&gt;0,$AB2522&lt;&gt;"",$AB2522&lt;&gt;"×",$AE2522=0,$AD2522=""),"計算額が下限以下のため不支給／",""))</f>
        <v/>
      </c>
      <c r="AN2522" s="12" t="n"/>
      <c r="AO2522" s="14">
        <f>IF($AF2522="保留中",COUNTIF($AF$6:$AF2522,"保留中"),"")</f>
        <v/>
      </c>
      <c r="AP2522" s="14">
        <f>IF($AQ2522="","",IF(SUMPRODUCT(MAX((職員マスタ!$A$6:$A$405=$B2522)*(((職員マスタ!$G$6:$G$405="")+(職員マスタ!$G$6:$G$405&lt;=EOMONTH($AQ2522,0)))&gt;0)*(((職員マスタ!$H$6:$H$405="")+(職員マスタ!$H$6:$H$405&gt;=$AQ2522))&gt;0)*(ROW(職員マスタ!$A$6:$A$405)-5)))&gt;0,SUMPRODUCT(MAX((職員マスタ!$A$6:$A$405=$B2522)*(((職員マスタ!$G$6:$G$405="")+(職員マスタ!$G$6:$G$405&lt;=EOMONTH($AQ2522,0)))&gt;0)*(((職員マスタ!$H$6:$H$405="")+(職員マスタ!$H$6:$H$405&gt;=$AQ2522))&gt;0)*(ROW(職員マスタ!$A$6:$A$405)-5))),IFERROR(MATCH($B2522,職員マスタ!$A$6:$A$405,0),"")))</f>
        <v/>
      </c>
      <c r="AQ2522" s="16">
        <f>IF(OR($B2522="",$C2522="",$D2522=""),"",DATE($C2522+2018,$D2522,1))</f>
        <v/>
      </c>
    </row>
    <row r="2523">
      <c r="A2523" s="11" t="n"/>
      <c r="B2523" s="12" t="n"/>
      <c r="C2523" s="12" t="n"/>
      <c r="D2523" s="12" t="n"/>
      <c r="E2523" s="13" t="n"/>
      <c r="F2523" s="12" t="n"/>
      <c r="G2523" s="13" t="n"/>
      <c r="H2523" s="12" t="n"/>
      <c r="I2523" s="12" t="n"/>
      <c r="J2523" s="12" t="n"/>
      <c r="K2523" s="12" t="n"/>
      <c r="L2523" s="11" t="n"/>
      <c r="M2523" s="11" t="n"/>
      <c r="N2523" s="11" t="n"/>
      <c r="O2523" s="11" t="n"/>
      <c r="P2523" s="12" t="n"/>
      <c r="Q2523" s="11" t="n"/>
      <c r="R2523" s="12" t="n"/>
      <c r="S2523" s="11" t="n"/>
      <c r="T2523" s="12" t="n"/>
      <c r="U2523" s="12" t="n"/>
      <c r="V2523" s="12" t="n"/>
      <c r="W2523" s="13" t="n"/>
      <c r="X2523" s="14">
        <f>IF($AP2523="",IF($B2523="","",$H2523),IF(INDEX(職員マスタ!$B$6:$B$405,$AP2523)="",$H2523,INDEX(職員マスタ!$B$6:$B$405,$AP2523)))</f>
        <v/>
      </c>
      <c r="Y2523" s="14">
        <f>IF($AP2523="",IF($B2523="","",$R2523),IF(INDEX(職員マスタ!$C$6:$C$405,$AP2523)="",$R2523,INDEX(職員マスタ!$C$6:$C$405,$AP2523)))</f>
        <v/>
      </c>
      <c r="Z2523" s="14">
        <f>IF($AQ2523="","","R"&amp;$C2523&amp;"."&amp;$D2523)</f>
        <v/>
      </c>
      <c r="AA2523" s="15">
        <f>IF(IF($AP2523="",FALSE,INDEX(職員マスタ!$K$6:$K$405,$AP2523)&lt;&gt;""),INDEX(職員マスタ!$K$6:$K$405,$AP2523),IF(N($W2523)&gt;0,$W2523,""))</f>
        <v/>
      </c>
      <c r="AB2523" s="14">
        <f>IF(OR($E2523="",$AA2523=""),"",IF($E2523&gt;=$AA2523,"×",IF($E2523&gt;=$AA2523*設定!$C$5,"△","○")))</f>
        <v/>
      </c>
      <c r="AC2523" s="15">
        <f>IF($AB2523="","",IF($AB2523="×",0,IF($AB2523="○",ROUNDDOWN($E2523*設定!$C$4,0),ROUNDDOWN($E2523*ROUND((9*$AA2523-9*$E2523)/(10*$E2523),4),0))))</f>
        <v/>
      </c>
      <c r="AD2523" s="13" t="n"/>
      <c r="AE2523" s="15">
        <f>IF($B2523="","",IF($AD2523&lt;&gt;"",$AD2523,IF($AC2523="","",IF($AC2523&lt;=設定!$C$3,0,$AC2523))))</f>
        <v/>
      </c>
      <c r="AF2523" s="14">
        <f>IF($B2523="","",IF(AND($AG2523&lt;&gt;"",$AI2523="",$AL2523=""),"保留中",IF($AL2523&lt;&gt;"",IF(N($AE2523)&gt;0,"支給済","不支給"),IF($AE2523="","要確認",IF($AE2523=0,"不支給","未処理")))))</f>
        <v/>
      </c>
      <c r="AG2523" s="12" t="n"/>
      <c r="AH2523" s="11" t="n"/>
      <c r="AI2523" s="11" t="n"/>
      <c r="AJ2523" s="11" t="n"/>
      <c r="AK2523" s="14">
        <f>IF(AND($AF2523="保留中",$AH2523&lt;&gt;""),TODAY()-$AH2523,"")</f>
        <v/>
      </c>
      <c r="AL2523" s="12" t="n"/>
      <c r="AM2523" s="14">
        <f>IF($B2523="","",IF($AQ2523="","対象年月が未入力／","")&amp;IF($B2523="","",IF($AP2523="","職員マスタに未登録の職員番号／",IF($AA2523="","標準報酬月額が未登録／","")&amp;IF(AND($AQ2523&lt;&gt;"",OR(AND(INDEX(職員マスタ!$G$6:$G$405,$AP2523)&lt;&gt;"",INDEX(職員マスタ!$G$6:$G$405,$AP2523)&gt;EOMONTH($AQ2523,0)),AND(INDEX(職員マスタ!$H$6:$H$405,$AP2523)&lt;&gt;"",INDEX(職員マスタ!$H$6:$H$405,$AP2523)&lt;$AQ2523))),"対象月が時短期間外／","")&amp;IF(AND(INDEX(職員マスタ!$K$6:$K$405,$AP2523)&lt;&gt;"",N($W2523)&gt;0,INDEX(職員マスタ!$K$6:$K$405,$AP2523)&lt;&gt;$W2523),"標準報酬月額が申請書と相違（台帳"&amp;TEXT(INDEX(職員マスタ!$K$6:$K$405,$AP2523),"#,##0")&amp;"円／申請書"&amp;TEXT($W2523,"#,##0")&amp;"円）／","")&amp;IF(AND(INDEX(職員マスタ!$F$6:$F$405,$AP2523)&lt;&gt;"",$AQ2523&lt;&gt;"",INDEX(職員マスタ!$F$6:$F$405,$AP2523)&lt;$AQ2523),"対象月に子が2歳到達済／","")&amp;IF(AND($H2523&lt;&gt;"",INDEX(職員マスタ!$B$6:$B$405,$AP2523)&lt;&gt;"",SUBSTITUTE(SUBSTITUTE($H2523," ","")," ","")&lt;&gt;SUBSTITUTE(SUBSTITUTE(INDEX(職員マスタ!$B$6:$B$405,$AP2523)," ","")," ","")),"氏名がマスタと相違／","")&amp;IF(AND($Q2523&lt;&gt;"",INDEX(職員マスタ!$E$6:$E$405,$AP2523)&lt;&gt;"",$Q2523&lt;&gt;INDEX(職員マスタ!$E$6:$E$405,$AP2523)),"子の生年月日がマスタと相違／","")&amp;IF(AND($L2523&lt;&gt;"",INDEX(職員マスタ!$G$6:$G$405,$AP2523)&lt;&gt;"",$L2523&lt;&gt;INDEX(職員マスタ!$G$6:$G$405,$AP2523)),"時短開始日がマスタと相違／","")&amp;IF(AND($M2523&lt;&gt;"",INDEX(職員マスタ!$H$6:$H$405,$AP2523)&lt;&gt;"",$M2523&lt;&gt;INDEX(職員マスタ!$H$6:$H$405,$AP2523)),"時短終了日がマスタと相違／","")))&amp;IF(AND($B2523&lt;&gt;"",$E2523=""),"報酬額が未入力／","")&amp;IF(N($U2523)&gt;0,"申請書に入力エラーが残っています／","")&amp;IF(AND($B2523&lt;&gt;"",$AQ2523&lt;&gt;""),IF(COUNTIFS($B$6:$B$3005,$B2523,$C$6:$C$3005,$C2523,$D$6:$D$3005,$D2523)&gt;1,"同じ月の請求が重複しています／",""),"")&amp;IF(AND(N($E2523)&gt;0,$AB2523&lt;&gt;"",$AB2523&lt;&gt;"×",$AE2523=0,$AD2523=""),"計算額が下限以下のため不支給／",""))</f>
        <v/>
      </c>
      <c r="AN2523" s="12" t="n"/>
      <c r="AO2523" s="14">
        <f>IF($AF2523="保留中",COUNTIF($AF$6:$AF2523,"保留中"),"")</f>
        <v/>
      </c>
      <c r="AP2523" s="14">
        <f>IF($AQ2523="","",IF(SUMPRODUCT(MAX((職員マスタ!$A$6:$A$405=$B2523)*(((職員マスタ!$G$6:$G$405="")+(職員マスタ!$G$6:$G$405&lt;=EOMONTH($AQ2523,0)))&gt;0)*(((職員マスタ!$H$6:$H$405="")+(職員マスタ!$H$6:$H$405&gt;=$AQ2523))&gt;0)*(ROW(職員マスタ!$A$6:$A$405)-5)))&gt;0,SUMPRODUCT(MAX((職員マスタ!$A$6:$A$405=$B2523)*(((職員マスタ!$G$6:$G$405="")+(職員マスタ!$G$6:$G$405&lt;=EOMONTH($AQ2523,0)))&gt;0)*(((職員マスタ!$H$6:$H$405="")+(職員マスタ!$H$6:$H$405&gt;=$AQ2523))&gt;0)*(ROW(職員マスタ!$A$6:$A$405)-5))),IFERROR(MATCH($B2523,職員マスタ!$A$6:$A$405,0),"")))</f>
        <v/>
      </c>
      <c r="AQ2523" s="16">
        <f>IF(OR($B2523="",$C2523="",$D2523=""),"",DATE($C2523+2018,$D2523,1))</f>
        <v/>
      </c>
    </row>
    <row r="2524">
      <c r="A2524" s="11" t="n"/>
      <c r="B2524" s="12" t="n"/>
      <c r="C2524" s="12" t="n"/>
      <c r="D2524" s="12" t="n"/>
      <c r="E2524" s="13" t="n"/>
      <c r="F2524" s="12" t="n"/>
      <c r="G2524" s="13" t="n"/>
      <c r="H2524" s="12" t="n"/>
      <c r="I2524" s="12" t="n"/>
      <c r="J2524" s="12" t="n"/>
      <c r="K2524" s="12" t="n"/>
      <c r="L2524" s="11" t="n"/>
      <c r="M2524" s="11" t="n"/>
      <c r="N2524" s="11" t="n"/>
      <c r="O2524" s="11" t="n"/>
      <c r="P2524" s="12" t="n"/>
      <c r="Q2524" s="11" t="n"/>
      <c r="R2524" s="12" t="n"/>
      <c r="S2524" s="11" t="n"/>
      <c r="T2524" s="12" t="n"/>
      <c r="U2524" s="12" t="n"/>
      <c r="V2524" s="12" t="n"/>
      <c r="W2524" s="13" t="n"/>
      <c r="X2524" s="14">
        <f>IF($AP2524="",IF($B2524="","",$H2524),IF(INDEX(職員マスタ!$B$6:$B$405,$AP2524)="",$H2524,INDEX(職員マスタ!$B$6:$B$405,$AP2524)))</f>
        <v/>
      </c>
      <c r="Y2524" s="14">
        <f>IF($AP2524="",IF($B2524="","",$R2524),IF(INDEX(職員マスタ!$C$6:$C$405,$AP2524)="",$R2524,INDEX(職員マスタ!$C$6:$C$405,$AP2524)))</f>
        <v/>
      </c>
      <c r="Z2524" s="14">
        <f>IF($AQ2524="","","R"&amp;$C2524&amp;"."&amp;$D2524)</f>
        <v/>
      </c>
      <c r="AA2524" s="15">
        <f>IF(IF($AP2524="",FALSE,INDEX(職員マスタ!$K$6:$K$405,$AP2524)&lt;&gt;""),INDEX(職員マスタ!$K$6:$K$405,$AP2524),IF(N($W2524)&gt;0,$W2524,""))</f>
        <v/>
      </c>
      <c r="AB2524" s="14">
        <f>IF(OR($E2524="",$AA2524=""),"",IF($E2524&gt;=$AA2524,"×",IF($E2524&gt;=$AA2524*設定!$C$5,"△","○")))</f>
        <v/>
      </c>
      <c r="AC2524" s="15">
        <f>IF($AB2524="","",IF($AB2524="×",0,IF($AB2524="○",ROUNDDOWN($E2524*設定!$C$4,0),ROUNDDOWN($E2524*ROUND((9*$AA2524-9*$E2524)/(10*$E2524),4),0))))</f>
        <v/>
      </c>
      <c r="AD2524" s="13" t="n"/>
      <c r="AE2524" s="15">
        <f>IF($B2524="","",IF($AD2524&lt;&gt;"",$AD2524,IF($AC2524="","",IF($AC2524&lt;=設定!$C$3,0,$AC2524))))</f>
        <v/>
      </c>
      <c r="AF2524" s="14">
        <f>IF($B2524="","",IF(AND($AG2524&lt;&gt;"",$AI2524="",$AL2524=""),"保留中",IF($AL2524&lt;&gt;"",IF(N($AE2524)&gt;0,"支給済","不支給"),IF($AE2524="","要確認",IF($AE2524=0,"不支給","未処理")))))</f>
        <v/>
      </c>
      <c r="AG2524" s="12" t="n"/>
      <c r="AH2524" s="11" t="n"/>
      <c r="AI2524" s="11" t="n"/>
      <c r="AJ2524" s="11" t="n"/>
      <c r="AK2524" s="14">
        <f>IF(AND($AF2524="保留中",$AH2524&lt;&gt;""),TODAY()-$AH2524,"")</f>
        <v/>
      </c>
      <c r="AL2524" s="12" t="n"/>
      <c r="AM2524" s="14">
        <f>IF($B2524="","",IF($AQ2524="","対象年月が未入力／","")&amp;IF($B2524="","",IF($AP2524="","職員マスタに未登録の職員番号／",IF($AA2524="","標準報酬月額が未登録／","")&amp;IF(AND($AQ2524&lt;&gt;"",OR(AND(INDEX(職員マスタ!$G$6:$G$405,$AP2524)&lt;&gt;"",INDEX(職員マスタ!$G$6:$G$405,$AP2524)&gt;EOMONTH($AQ2524,0)),AND(INDEX(職員マスタ!$H$6:$H$405,$AP2524)&lt;&gt;"",INDEX(職員マスタ!$H$6:$H$405,$AP2524)&lt;$AQ2524))),"対象月が時短期間外／","")&amp;IF(AND(INDEX(職員マスタ!$K$6:$K$405,$AP2524)&lt;&gt;"",N($W2524)&gt;0,INDEX(職員マスタ!$K$6:$K$405,$AP2524)&lt;&gt;$W2524),"標準報酬月額が申請書と相違（台帳"&amp;TEXT(INDEX(職員マスタ!$K$6:$K$405,$AP2524),"#,##0")&amp;"円／申請書"&amp;TEXT($W2524,"#,##0")&amp;"円）／","")&amp;IF(AND(INDEX(職員マスタ!$F$6:$F$405,$AP2524)&lt;&gt;"",$AQ2524&lt;&gt;"",INDEX(職員マスタ!$F$6:$F$405,$AP2524)&lt;$AQ2524),"対象月に子が2歳到達済／","")&amp;IF(AND($H2524&lt;&gt;"",INDEX(職員マスタ!$B$6:$B$405,$AP2524)&lt;&gt;"",SUBSTITUTE(SUBSTITUTE($H2524," ","")," ","")&lt;&gt;SUBSTITUTE(SUBSTITUTE(INDEX(職員マスタ!$B$6:$B$405,$AP2524)," ","")," ","")),"氏名がマスタと相違／","")&amp;IF(AND($Q2524&lt;&gt;"",INDEX(職員マスタ!$E$6:$E$405,$AP2524)&lt;&gt;"",$Q2524&lt;&gt;INDEX(職員マスタ!$E$6:$E$405,$AP2524)),"子の生年月日がマスタと相違／","")&amp;IF(AND($L2524&lt;&gt;"",INDEX(職員マスタ!$G$6:$G$405,$AP2524)&lt;&gt;"",$L2524&lt;&gt;INDEX(職員マスタ!$G$6:$G$405,$AP2524)),"時短開始日がマスタと相違／","")&amp;IF(AND($M2524&lt;&gt;"",INDEX(職員マスタ!$H$6:$H$405,$AP2524)&lt;&gt;"",$M2524&lt;&gt;INDEX(職員マスタ!$H$6:$H$405,$AP2524)),"時短終了日がマスタと相違／","")))&amp;IF(AND($B2524&lt;&gt;"",$E2524=""),"報酬額が未入力／","")&amp;IF(N($U2524)&gt;0,"申請書に入力エラーが残っています／","")&amp;IF(AND($B2524&lt;&gt;"",$AQ2524&lt;&gt;""),IF(COUNTIFS($B$6:$B$3005,$B2524,$C$6:$C$3005,$C2524,$D$6:$D$3005,$D2524)&gt;1,"同じ月の請求が重複しています／",""),"")&amp;IF(AND(N($E2524)&gt;0,$AB2524&lt;&gt;"",$AB2524&lt;&gt;"×",$AE2524=0,$AD2524=""),"計算額が下限以下のため不支給／",""))</f>
        <v/>
      </c>
      <c r="AN2524" s="12" t="n"/>
      <c r="AO2524" s="14">
        <f>IF($AF2524="保留中",COUNTIF($AF$6:$AF2524,"保留中"),"")</f>
        <v/>
      </c>
      <c r="AP2524" s="14">
        <f>IF($AQ2524="","",IF(SUMPRODUCT(MAX((職員マスタ!$A$6:$A$405=$B2524)*(((職員マスタ!$G$6:$G$405="")+(職員マスタ!$G$6:$G$405&lt;=EOMONTH($AQ2524,0)))&gt;0)*(((職員マスタ!$H$6:$H$405="")+(職員マスタ!$H$6:$H$405&gt;=$AQ2524))&gt;0)*(ROW(職員マスタ!$A$6:$A$405)-5)))&gt;0,SUMPRODUCT(MAX((職員マスタ!$A$6:$A$405=$B2524)*(((職員マスタ!$G$6:$G$405="")+(職員マスタ!$G$6:$G$405&lt;=EOMONTH($AQ2524,0)))&gt;0)*(((職員マスタ!$H$6:$H$405="")+(職員マスタ!$H$6:$H$405&gt;=$AQ2524))&gt;0)*(ROW(職員マスタ!$A$6:$A$405)-5))),IFERROR(MATCH($B2524,職員マスタ!$A$6:$A$405,0),"")))</f>
        <v/>
      </c>
      <c r="AQ2524" s="16">
        <f>IF(OR($B2524="",$C2524="",$D2524=""),"",DATE($C2524+2018,$D2524,1))</f>
        <v/>
      </c>
    </row>
    <row r="2525">
      <c r="A2525" s="11" t="n"/>
      <c r="B2525" s="12" t="n"/>
      <c r="C2525" s="12" t="n"/>
      <c r="D2525" s="12" t="n"/>
      <c r="E2525" s="13" t="n"/>
      <c r="F2525" s="12" t="n"/>
      <c r="G2525" s="13" t="n"/>
      <c r="H2525" s="12" t="n"/>
      <c r="I2525" s="12" t="n"/>
      <c r="J2525" s="12" t="n"/>
      <c r="K2525" s="12" t="n"/>
      <c r="L2525" s="11" t="n"/>
      <c r="M2525" s="11" t="n"/>
      <c r="N2525" s="11" t="n"/>
      <c r="O2525" s="11" t="n"/>
      <c r="P2525" s="12" t="n"/>
      <c r="Q2525" s="11" t="n"/>
      <c r="R2525" s="12" t="n"/>
      <c r="S2525" s="11" t="n"/>
      <c r="T2525" s="12" t="n"/>
      <c r="U2525" s="12" t="n"/>
      <c r="V2525" s="12" t="n"/>
      <c r="W2525" s="13" t="n"/>
      <c r="X2525" s="14">
        <f>IF($AP2525="",IF($B2525="","",$H2525),IF(INDEX(職員マスタ!$B$6:$B$405,$AP2525)="",$H2525,INDEX(職員マスタ!$B$6:$B$405,$AP2525)))</f>
        <v/>
      </c>
      <c r="Y2525" s="14">
        <f>IF($AP2525="",IF($B2525="","",$R2525),IF(INDEX(職員マスタ!$C$6:$C$405,$AP2525)="",$R2525,INDEX(職員マスタ!$C$6:$C$405,$AP2525)))</f>
        <v/>
      </c>
      <c r="Z2525" s="14">
        <f>IF($AQ2525="","","R"&amp;$C2525&amp;"."&amp;$D2525)</f>
        <v/>
      </c>
      <c r="AA2525" s="15">
        <f>IF(IF($AP2525="",FALSE,INDEX(職員マスタ!$K$6:$K$405,$AP2525)&lt;&gt;""),INDEX(職員マスタ!$K$6:$K$405,$AP2525),IF(N($W2525)&gt;0,$W2525,""))</f>
        <v/>
      </c>
      <c r="AB2525" s="14">
        <f>IF(OR($E2525="",$AA2525=""),"",IF($E2525&gt;=$AA2525,"×",IF($E2525&gt;=$AA2525*設定!$C$5,"△","○")))</f>
        <v/>
      </c>
      <c r="AC2525" s="15">
        <f>IF($AB2525="","",IF($AB2525="×",0,IF($AB2525="○",ROUNDDOWN($E2525*設定!$C$4,0),ROUNDDOWN($E2525*ROUND((9*$AA2525-9*$E2525)/(10*$E2525),4),0))))</f>
        <v/>
      </c>
      <c r="AD2525" s="13" t="n"/>
      <c r="AE2525" s="15">
        <f>IF($B2525="","",IF($AD2525&lt;&gt;"",$AD2525,IF($AC2525="","",IF($AC2525&lt;=設定!$C$3,0,$AC2525))))</f>
        <v/>
      </c>
      <c r="AF2525" s="14">
        <f>IF($B2525="","",IF(AND($AG2525&lt;&gt;"",$AI2525="",$AL2525=""),"保留中",IF($AL2525&lt;&gt;"",IF(N($AE2525)&gt;0,"支給済","不支給"),IF($AE2525="","要確認",IF($AE2525=0,"不支給","未処理")))))</f>
        <v/>
      </c>
      <c r="AG2525" s="12" t="n"/>
      <c r="AH2525" s="11" t="n"/>
      <c r="AI2525" s="11" t="n"/>
      <c r="AJ2525" s="11" t="n"/>
      <c r="AK2525" s="14">
        <f>IF(AND($AF2525="保留中",$AH2525&lt;&gt;""),TODAY()-$AH2525,"")</f>
        <v/>
      </c>
      <c r="AL2525" s="12" t="n"/>
      <c r="AM2525" s="14">
        <f>IF($B2525="","",IF($AQ2525="","対象年月が未入力／","")&amp;IF($B2525="","",IF($AP2525="","職員マスタに未登録の職員番号／",IF($AA2525="","標準報酬月額が未登録／","")&amp;IF(AND($AQ2525&lt;&gt;"",OR(AND(INDEX(職員マスタ!$G$6:$G$405,$AP2525)&lt;&gt;"",INDEX(職員マスタ!$G$6:$G$405,$AP2525)&gt;EOMONTH($AQ2525,0)),AND(INDEX(職員マスタ!$H$6:$H$405,$AP2525)&lt;&gt;"",INDEX(職員マスタ!$H$6:$H$405,$AP2525)&lt;$AQ2525))),"対象月が時短期間外／","")&amp;IF(AND(INDEX(職員マスタ!$K$6:$K$405,$AP2525)&lt;&gt;"",N($W2525)&gt;0,INDEX(職員マスタ!$K$6:$K$405,$AP2525)&lt;&gt;$W2525),"標準報酬月額が申請書と相違（台帳"&amp;TEXT(INDEX(職員マスタ!$K$6:$K$405,$AP2525),"#,##0")&amp;"円／申請書"&amp;TEXT($W2525,"#,##0")&amp;"円）／","")&amp;IF(AND(INDEX(職員マスタ!$F$6:$F$405,$AP2525)&lt;&gt;"",$AQ2525&lt;&gt;"",INDEX(職員マスタ!$F$6:$F$405,$AP2525)&lt;$AQ2525),"対象月に子が2歳到達済／","")&amp;IF(AND($H2525&lt;&gt;"",INDEX(職員マスタ!$B$6:$B$405,$AP2525)&lt;&gt;"",SUBSTITUTE(SUBSTITUTE($H2525," ","")," ","")&lt;&gt;SUBSTITUTE(SUBSTITUTE(INDEX(職員マスタ!$B$6:$B$405,$AP2525)," ","")," ","")),"氏名がマスタと相違／","")&amp;IF(AND($Q2525&lt;&gt;"",INDEX(職員マスタ!$E$6:$E$405,$AP2525)&lt;&gt;"",$Q2525&lt;&gt;INDEX(職員マスタ!$E$6:$E$405,$AP2525)),"子の生年月日がマスタと相違／","")&amp;IF(AND($L2525&lt;&gt;"",INDEX(職員マスタ!$G$6:$G$405,$AP2525)&lt;&gt;"",$L2525&lt;&gt;INDEX(職員マスタ!$G$6:$G$405,$AP2525)),"時短開始日がマスタと相違／","")&amp;IF(AND($M2525&lt;&gt;"",INDEX(職員マスタ!$H$6:$H$405,$AP2525)&lt;&gt;"",$M2525&lt;&gt;INDEX(職員マスタ!$H$6:$H$405,$AP2525)),"時短終了日がマスタと相違／","")))&amp;IF(AND($B2525&lt;&gt;"",$E2525=""),"報酬額が未入力／","")&amp;IF(N($U2525)&gt;0,"申請書に入力エラーが残っています／","")&amp;IF(AND($B2525&lt;&gt;"",$AQ2525&lt;&gt;""),IF(COUNTIFS($B$6:$B$3005,$B2525,$C$6:$C$3005,$C2525,$D$6:$D$3005,$D2525)&gt;1,"同じ月の請求が重複しています／",""),"")&amp;IF(AND(N($E2525)&gt;0,$AB2525&lt;&gt;"",$AB2525&lt;&gt;"×",$AE2525=0,$AD2525=""),"計算額が下限以下のため不支給／",""))</f>
        <v/>
      </c>
      <c r="AN2525" s="12" t="n"/>
      <c r="AO2525" s="14">
        <f>IF($AF2525="保留中",COUNTIF($AF$6:$AF2525,"保留中"),"")</f>
        <v/>
      </c>
      <c r="AP2525" s="14">
        <f>IF($AQ2525="","",IF(SUMPRODUCT(MAX((職員マスタ!$A$6:$A$405=$B2525)*(((職員マスタ!$G$6:$G$405="")+(職員マスタ!$G$6:$G$405&lt;=EOMONTH($AQ2525,0)))&gt;0)*(((職員マスタ!$H$6:$H$405="")+(職員マスタ!$H$6:$H$405&gt;=$AQ2525))&gt;0)*(ROW(職員マスタ!$A$6:$A$405)-5)))&gt;0,SUMPRODUCT(MAX((職員マスタ!$A$6:$A$405=$B2525)*(((職員マスタ!$G$6:$G$405="")+(職員マスタ!$G$6:$G$405&lt;=EOMONTH($AQ2525,0)))&gt;0)*(((職員マスタ!$H$6:$H$405="")+(職員マスタ!$H$6:$H$405&gt;=$AQ2525))&gt;0)*(ROW(職員マスタ!$A$6:$A$405)-5))),IFERROR(MATCH($B2525,職員マスタ!$A$6:$A$405,0),"")))</f>
        <v/>
      </c>
      <c r="AQ2525" s="16">
        <f>IF(OR($B2525="",$C2525="",$D2525=""),"",DATE($C2525+2018,$D2525,1))</f>
        <v/>
      </c>
    </row>
    <row r="2526">
      <c r="A2526" s="11" t="n"/>
      <c r="B2526" s="12" t="n"/>
      <c r="C2526" s="12" t="n"/>
      <c r="D2526" s="12" t="n"/>
      <c r="E2526" s="13" t="n"/>
      <c r="F2526" s="12" t="n"/>
      <c r="G2526" s="13" t="n"/>
      <c r="H2526" s="12" t="n"/>
      <c r="I2526" s="12" t="n"/>
      <c r="J2526" s="12" t="n"/>
      <c r="K2526" s="12" t="n"/>
      <c r="L2526" s="11" t="n"/>
      <c r="M2526" s="11" t="n"/>
      <c r="N2526" s="11" t="n"/>
      <c r="O2526" s="11" t="n"/>
      <c r="P2526" s="12" t="n"/>
      <c r="Q2526" s="11" t="n"/>
      <c r="R2526" s="12" t="n"/>
      <c r="S2526" s="11" t="n"/>
      <c r="T2526" s="12" t="n"/>
      <c r="U2526" s="12" t="n"/>
      <c r="V2526" s="12" t="n"/>
      <c r="W2526" s="13" t="n"/>
      <c r="X2526" s="14">
        <f>IF($AP2526="",IF($B2526="","",$H2526),IF(INDEX(職員マスタ!$B$6:$B$405,$AP2526)="",$H2526,INDEX(職員マスタ!$B$6:$B$405,$AP2526)))</f>
        <v/>
      </c>
      <c r="Y2526" s="14">
        <f>IF($AP2526="",IF($B2526="","",$R2526),IF(INDEX(職員マスタ!$C$6:$C$405,$AP2526)="",$R2526,INDEX(職員マスタ!$C$6:$C$405,$AP2526)))</f>
        <v/>
      </c>
      <c r="Z2526" s="14">
        <f>IF($AQ2526="","","R"&amp;$C2526&amp;"."&amp;$D2526)</f>
        <v/>
      </c>
      <c r="AA2526" s="15">
        <f>IF(IF($AP2526="",FALSE,INDEX(職員マスタ!$K$6:$K$405,$AP2526)&lt;&gt;""),INDEX(職員マスタ!$K$6:$K$405,$AP2526),IF(N($W2526)&gt;0,$W2526,""))</f>
        <v/>
      </c>
      <c r="AB2526" s="14">
        <f>IF(OR($E2526="",$AA2526=""),"",IF($E2526&gt;=$AA2526,"×",IF($E2526&gt;=$AA2526*設定!$C$5,"△","○")))</f>
        <v/>
      </c>
      <c r="AC2526" s="15">
        <f>IF($AB2526="","",IF($AB2526="×",0,IF($AB2526="○",ROUNDDOWN($E2526*設定!$C$4,0),ROUNDDOWN($E2526*ROUND((9*$AA2526-9*$E2526)/(10*$E2526),4),0))))</f>
        <v/>
      </c>
      <c r="AD2526" s="13" t="n"/>
      <c r="AE2526" s="15">
        <f>IF($B2526="","",IF($AD2526&lt;&gt;"",$AD2526,IF($AC2526="","",IF($AC2526&lt;=設定!$C$3,0,$AC2526))))</f>
        <v/>
      </c>
      <c r="AF2526" s="14">
        <f>IF($B2526="","",IF(AND($AG2526&lt;&gt;"",$AI2526="",$AL2526=""),"保留中",IF($AL2526&lt;&gt;"",IF(N($AE2526)&gt;0,"支給済","不支給"),IF($AE2526="","要確認",IF($AE2526=0,"不支給","未処理")))))</f>
        <v/>
      </c>
      <c r="AG2526" s="12" t="n"/>
      <c r="AH2526" s="11" t="n"/>
      <c r="AI2526" s="11" t="n"/>
      <c r="AJ2526" s="11" t="n"/>
      <c r="AK2526" s="14">
        <f>IF(AND($AF2526="保留中",$AH2526&lt;&gt;""),TODAY()-$AH2526,"")</f>
        <v/>
      </c>
      <c r="AL2526" s="12" t="n"/>
      <c r="AM2526" s="14">
        <f>IF($B2526="","",IF($AQ2526="","対象年月が未入力／","")&amp;IF($B2526="","",IF($AP2526="","職員マスタに未登録の職員番号／",IF($AA2526="","標準報酬月額が未登録／","")&amp;IF(AND($AQ2526&lt;&gt;"",OR(AND(INDEX(職員マスタ!$G$6:$G$405,$AP2526)&lt;&gt;"",INDEX(職員マスタ!$G$6:$G$405,$AP2526)&gt;EOMONTH($AQ2526,0)),AND(INDEX(職員マスタ!$H$6:$H$405,$AP2526)&lt;&gt;"",INDEX(職員マスタ!$H$6:$H$405,$AP2526)&lt;$AQ2526))),"対象月が時短期間外／","")&amp;IF(AND(INDEX(職員マスタ!$K$6:$K$405,$AP2526)&lt;&gt;"",N($W2526)&gt;0,INDEX(職員マスタ!$K$6:$K$405,$AP2526)&lt;&gt;$W2526),"標準報酬月額が申請書と相違（台帳"&amp;TEXT(INDEX(職員マスタ!$K$6:$K$405,$AP2526),"#,##0")&amp;"円／申請書"&amp;TEXT($W2526,"#,##0")&amp;"円）／","")&amp;IF(AND(INDEX(職員マスタ!$F$6:$F$405,$AP2526)&lt;&gt;"",$AQ2526&lt;&gt;"",INDEX(職員マスタ!$F$6:$F$405,$AP2526)&lt;$AQ2526),"対象月に子が2歳到達済／","")&amp;IF(AND($H2526&lt;&gt;"",INDEX(職員マスタ!$B$6:$B$405,$AP2526)&lt;&gt;"",SUBSTITUTE(SUBSTITUTE($H2526," ","")," ","")&lt;&gt;SUBSTITUTE(SUBSTITUTE(INDEX(職員マスタ!$B$6:$B$405,$AP2526)," ","")," ","")),"氏名がマスタと相違／","")&amp;IF(AND($Q2526&lt;&gt;"",INDEX(職員マスタ!$E$6:$E$405,$AP2526)&lt;&gt;"",$Q2526&lt;&gt;INDEX(職員マスタ!$E$6:$E$405,$AP2526)),"子の生年月日がマスタと相違／","")&amp;IF(AND($L2526&lt;&gt;"",INDEX(職員マスタ!$G$6:$G$405,$AP2526)&lt;&gt;"",$L2526&lt;&gt;INDEX(職員マスタ!$G$6:$G$405,$AP2526)),"時短開始日がマスタと相違／","")&amp;IF(AND($M2526&lt;&gt;"",INDEX(職員マスタ!$H$6:$H$405,$AP2526)&lt;&gt;"",$M2526&lt;&gt;INDEX(職員マスタ!$H$6:$H$405,$AP2526)),"時短終了日がマスタと相違／","")))&amp;IF(AND($B2526&lt;&gt;"",$E2526=""),"報酬額が未入力／","")&amp;IF(N($U2526)&gt;0,"申請書に入力エラーが残っています／","")&amp;IF(AND($B2526&lt;&gt;"",$AQ2526&lt;&gt;""),IF(COUNTIFS($B$6:$B$3005,$B2526,$C$6:$C$3005,$C2526,$D$6:$D$3005,$D2526)&gt;1,"同じ月の請求が重複しています／",""),"")&amp;IF(AND(N($E2526)&gt;0,$AB2526&lt;&gt;"",$AB2526&lt;&gt;"×",$AE2526=0,$AD2526=""),"計算額が下限以下のため不支給／",""))</f>
        <v/>
      </c>
      <c r="AN2526" s="12" t="n"/>
      <c r="AO2526" s="14">
        <f>IF($AF2526="保留中",COUNTIF($AF$6:$AF2526,"保留中"),"")</f>
        <v/>
      </c>
      <c r="AP2526" s="14">
        <f>IF($AQ2526="","",IF(SUMPRODUCT(MAX((職員マスタ!$A$6:$A$405=$B2526)*(((職員マスタ!$G$6:$G$405="")+(職員マスタ!$G$6:$G$405&lt;=EOMONTH($AQ2526,0)))&gt;0)*(((職員マスタ!$H$6:$H$405="")+(職員マスタ!$H$6:$H$405&gt;=$AQ2526))&gt;0)*(ROW(職員マスタ!$A$6:$A$405)-5)))&gt;0,SUMPRODUCT(MAX((職員マスタ!$A$6:$A$405=$B2526)*(((職員マスタ!$G$6:$G$405="")+(職員マスタ!$G$6:$G$405&lt;=EOMONTH($AQ2526,0)))&gt;0)*(((職員マスタ!$H$6:$H$405="")+(職員マスタ!$H$6:$H$405&gt;=$AQ2526))&gt;0)*(ROW(職員マスタ!$A$6:$A$405)-5))),IFERROR(MATCH($B2526,職員マスタ!$A$6:$A$405,0),"")))</f>
        <v/>
      </c>
      <c r="AQ2526" s="16">
        <f>IF(OR($B2526="",$C2526="",$D2526=""),"",DATE($C2526+2018,$D2526,1))</f>
        <v/>
      </c>
    </row>
    <row r="2527">
      <c r="A2527" s="11" t="n"/>
      <c r="B2527" s="12" t="n"/>
      <c r="C2527" s="12" t="n"/>
      <c r="D2527" s="12" t="n"/>
      <c r="E2527" s="13" t="n"/>
      <c r="F2527" s="12" t="n"/>
      <c r="G2527" s="13" t="n"/>
      <c r="H2527" s="12" t="n"/>
      <c r="I2527" s="12" t="n"/>
      <c r="J2527" s="12" t="n"/>
      <c r="K2527" s="12" t="n"/>
      <c r="L2527" s="11" t="n"/>
      <c r="M2527" s="11" t="n"/>
      <c r="N2527" s="11" t="n"/>
      <c r="O2527" s="11" t="n"/>
      <c r="P2527" s="12" t="n"/>
      <c r="Q2527" s="11" t="n"/>
      <c r="R2527" s="12" t="n"/>
      <c r="S2527" s="11" t="n"/>
      <c r="T2527" s="12" t="n"/>
      <c r="U2527" s="12" t="n"/>
      <c r="V2527" s="12" t="n"/>
      <c r="W2527" s="13" t="n"/>
      <c r="X2527" s="14">
        <f>IF($AP2527="",IF($B2527="","",$H2527),IF(INDEX(職員マスタ!$B$6:$B$405,$AP2527)="",$H2527,INDEX(職員マスタ!$B$6:$B$405,$AP2527)))</f>
        <v/>
      </c>
      <c r="Y2527" s="14">
        <f>IF($AP2527="",IF($B2527="","",$R2527),IF(INDEX(職員マスタ!$C$6:$C$405,$AP2527)="",$R2527,INDEX(職員マスタ!$C$6:$C$405,$AP2527)))</f>
        <v/>
      </c>
      <c r="Z2527" s="14">
        <f>IF($AQ2527="","","R"&amp;$C2527&amp;"."&amp;$D2527)</f>
        <v/>
      </c>
      <c r="AA2527" s="15">
        <f>IF(IF($AP2527="",FALSE,INDEX(職員マスタ!$K$6:$K$405,$AP2527)&lt;&gt;""),INDEX(職員マスタ!$K$6:$K$405,$AP2527),IF(N($W2527)&gt;0,$W2527,""))</f>
        <v/>
      </c>
      <c r="AB2527" s="14">
        <f>IF(OR($E2527="",$AA2527=""),"",IF($E2527&gt;=$AA2527,"×",IF($E2527&gt;=$AA2527*設定!$C$5,"△","○")))</f>
        <v/>
      </c>
      <c r="AC2527" s="15">
        <f>IF($AB2527="","",IF($AB2527="×",0,IF($AB2527="○",ROUNDDOWN($E2527*設定!$C$4,0),ROUNDDOWN($E2527*ROUND((9*$AA2527-9*$E2527)/(10*$E2527),4),0))))</f>
        <v/>
      </c>
      <c r="AD2527" s="13" t="n"/>
      <c r="AE2527" s="15">
        <f>IF($B2527="","",IF($AD2527&lt;&gt;"",$AD2527,IF($AC2527="","",IF($AC2527&lt;=設定!$C$3,0,$AC2527))))</f>
        <v/>
      </c>
      <c r="AF2527" s="14">
        <f>IF($B2527="","",IF(AND($AG2527&lt;&gt;"",$AI2527="",$AL2527=""),"保留中",IF($AL2527&lt;&gt;"",IF(N($AE2527)&gt;0,"支給済","不支給"),IF($AE2527="","要確認",IF($AE2527=0,"不支給","未処理")))))</f>
        <v/>
      </c>
      <c r="AG2527" s="12" t="n"/>
      <c r="AH2527" s="11" t="n"/>
      <c r="AI2527" s="11" t="n"/>
      <c r="AJ2527" s="11" t="n"/>
      <c r="AK2527" s="14">
        <f>IF(AND($AF2527="保留中",$AH2527&lt;&gt;""),TODAY()-$AH2527,"")</f>
        <v/>
      </c>
      <c r="AL2527" s="12" t="n"/>
      <c r="AM2527" s="14">
        <f>IF($B2527="","",IF($AQ2527="","対象年月が未入力／","")&amp;IF($B2527="","",IF($AP2527="","職員マスタに未登録の職員番号／",IF($AA2527="","標準報酬月額が未登録／","")&amp;IF(AND($AQ2527&lt;&gt;"",OR(AND(INDEX(職員マスタ!$G$6:$G$405,$AP2527)&lt;&gt;"",INDEX(職員マスタ!$G$6:$G$405,$AP2527)&gt;EOMONTH($AQ2527,0)),AND(INDEX(職員マスタ!$H$6:$H$405,$AP2527)&lt;&gt;"",INDEX(職員マスタ!$H$6:$H$405,$AP2527)&lt;$AQ2527))),"対象月が時短期間外／","")&amp;IF(AND(INDEX(職員マスタ!$K$6:$K$405,$AP2527)&lt;&gt;"",N($W2527)&gt;0,INDEX(職員マスタ!$K$6:$K$405,$AP2527)&lt;&gt;$W2527),"標準報酬月額が申請書と相違（台帳"&amp;TEXT(INDEX(職員マスタ!$K$6:$K$405,$AP2527),"#,##0")&amp;"円／申請書"&amp;TEXT($W2527,"#,##0")&amp;"円）／","")&amp;IF(AND(INDEX(職員マスタ!$F$6:$F$405,$AP2527)&lt;&gt;"",$AQ2527&lt;&gt;"",INDEX(職員マスタ!$F$6:$F$405,$AP2527)&lt;$AQ2527),"対象月に子が2歳到達済／","")&amp;IF(AND($H2527&lt;&gt;"",INDEX(職員マスタ!$B$6:$B$405,$AP2527)&lt;&gt;"",SUBSTITUTE(SUBSTITUTE($H2527," ","")," ","")&lt;&gt;SUBSTITUTE(SUBSTITUTE(INDEX(職員マスタ!$B$6:$B$405,$AP2527)," ","")," ","")),"氏名がマスタと相違／","")&amp;IF(AND($Q2527&lt;&gt;"",INDEX(職員マスタ!$E$6:$E$405,$AP2527)&lt;&gt;"",$Q2527&lt;&gt;INDEX(職員マスタ!$E$6:$E$405,$AP2527)),"子の生年月日がマスタと相違／","")&amp;IF(AND($L2527&lt;&gt;"",INDEX(職員マスタ!$G$6:$G$405,$AP2527)&lt;&gt;"",$L2527&lt;&gt;INDEX(職員マスタ!$G$6:$G$405,$AP2527)),"時短開始日がマスタと相違／","")&amp;IF(AND($M2527&lt;&gt;"",INDEX(職員マスタ!$H$6:$H$405,$AP2527)&lt;&gt;"",$M2527&lt;&gt;INDEX(職員マスタ!$H$6:$H$405,$AP2527)),"時短終了日がマスタと相違／","")))&amp;IF(AND($B2527&lt;&gt;"",$E2527=""),"報酬額が未入力／","")&amp;IF(N($U2527)&gt;0,"申請書に入力エラーが残っています／","")&amp;IF(AND($B2527&lt;&gt;"",$AQ2527&lt;&gt;""),IF(COUNTIFS($B$6:$B$3005,$B2527,$C$6:$C$3005,$C2527,$D$6:$D$3005,$D2527)&gt;1,"同じ月の請求が重複しています／",""),"")&amp;IF(AND(N($E2527)&gt;0,$AB2527&lt;&gt;"",$AB2527&lt;&gt;"×",$AE2527=0,$AD2527=""),"計算額が下限以下のため不支給／",""))</f>
        <v/>
      </c>
      <c r="AN2527" s="12" t="n"/>
      <c r="AO2527" s="14">
        <f>IF($AF2527="保留中",COUNTIF($AF$6:$AF2527,"保留中"),"")</f>
        <v/>
      </c>
      <c r="AP2527" s="14">
        <f>IF($AQ2527="","",IF(SUMPRODUCT(MAX((職員マスタ!$A$6:$A$405=$B2527)*(((職員マスタ!$G$6:$G$405="")+(職員マスタ!$G$6:$G$405&lt;=EOMONTH($AQ2527,0)))&gt;0)*(((職員マスタ!$H$6:$H$405="")+(職員マスタ!$H$6:$H$405&gt;=$AQ2527))&gt;0)*(ROW(職員マスタ!$A$6:$A$405)-5)))&gt;0,SUMPRODUCT(MAX((職員マスタ!$A$6:$A$405=$B2527)*(((職員マスタ!$G$6:$G$405="")+(職員マスタ!$G$6:$G$405&lt;=EOMONTH($AQ2527,0)))&gt;0)*(((職員マスタ!$H$6:$H$405="")+(職員マスタ!$H$6:$H$405&gt;=$AQ2527))&gt;0)*(ROW(職員マスタ!$A$6:$A$405)-5))),IFERROR(MATCH($B2527,職員マスタ!$A$6:$A$405,0),"")))</f>
        <v/>
      </c>
      <c r="AQ2527" s="16">
        <f>IF(OR($B2527="",$C2527="",$D2527=""),"",DATE($C2527+2018,$D2527,1))</f>
        <v/>
      </c>
    </row>
    <row r="2528">
      <c r="A2528" s="11" t="n"/>
      <c r="B2528" s="12" t="n"/>
      <c r="C2528" s="12" t="n"/>
      <c r="D2528" s="12" t="n"/>
      <c r="E2528" s="13" t="n"/>
      <c r="F2528" s="12" t="n"/>
      <c r="G2528" s="13" t="n"/>
      <c r="H2528" s="12" t="n"/>
      <c r="I2528" s="12" t="n"/>
      <c r="J2528" s="12" t="n"/>
      <c r="K2528" s="12" t="n"/>
      <c r="L2528" s="11" t="n"/>
      <c r="M2528" s="11" t="n"/>
      <c r="N2528" s="11" t="n"/>
      <c r="O2528" s="11" t="n"/>
      <c r="P2528" s="12" t="n"/>
      <c r="Q2528" s="11" t="n"/>
      <c r="R2528" s="12" t="n"/>
      <c r="S2528" s="11" t="n"/>
      <c r="T2528" s="12" t="n"/>
      <c r="U2528" s="12" t="n"/>
      <c r="V2528" s="12" t="n"/>
      <c r="W2528" s="13" t="n"/>
      <c r="X2528" s="14">
        <f>IF($AP2528="",IF($B2528="","",$H2528),IF(INDEX(職員マスタ!$B$6:$B$405,$AP2528)="",$H2528,INDEX(職員マスタ!$B$6:$B$405,$AP2528)))</f>
        <v/>
      </c>
      <c r="Y2528" s="14">
        <f>IF($AP2528="",IF($B2528="","",$R2528),IF(INDEX(職員マスタ!$C$6:$C$405,$AP2528)="",$R2528,INDEX(職員マスタ!$C$6:$C$405,$AP2528)))</f>
        <v/>
      </c>
      <c r="Z2528" s="14">
        <f>IF($AQ2528="","","R"&amp;$C2528&amp;"."&amp;$D2528)</f>
        <v/>
      </c>
      <c r="AA2528" s="15">
        <f>IF(IF($AP2528="",FALSE,INDEX(職員マスタ!$K$6:$K$405,$AP2528)&lt;&gt;""),INDEX(職員マスタ!$K$6:$K$405,$AP2528),IF(N($W2528)&gt;0,$W2528,""))</f>
        <v/>
      </c>
      <c r="AB2528" s="14">
        <f>IF(OR($E2528="",$AA2528=""),"",IF($E2528&gt;=$AA2528,"×",IF($E2528&gt;=$AA2528*設定!$C$5,"△","○")))</f>
        <v/>
      </c>
      <c r="AC2528" s="15">
        <f>IF($AB2528="","",IF($AB2528="×",0,IF($AB2528="○",ROUNDDOWN($E2528*設定!$C$4,0),ROUNDDOWN($E2528*ROUND((9*$AA2528-9*$E2528)/(10*$E2528),4),0))))</f>
        <v/>
      </c>
      <c r="AD2528" s="13" t="n"/>
      <c r="AE2528" s="15">
        <f>IF($B2528="","",IF($AD2528&lt;&gt;"",$AD2528,IF($AC2528="","",IF($AC2528&lt;=設定!$C$3,0,$AC2528))))</f>
        <v/>
      </c>
      <c r="AF2528" s="14">
        <f>IF($B2528="","",IF(AND($AG2528&lt;&gt;"",$AI2528="",$AL2528=""),"保留中",IF($AL2528&lt;&gt;"",IF(N($AE2528)&gt;0,"支給済","不支給"),IF($AE2528="","要確認",IF($AE2528=0,"不支給","未処理")))))</f>
        <v/>
      </c>
      <c r="AG2528" s="12" t="n"/>
      <c r="AH2528" s="11" t="n"/>
      <c r="AI2528" s="11" t="n"/>
      <c r="AJ2528" s="11" t="n"/>
      <c r="AK2528" s="14">
        <f>IF(AND($AF2528="保留中",$AH2528&lt;&gt;""),TODAY()-$AH2528,"")</f>
        <v/>
      </c>
      <c r="AL2528" s="12" t="n"/>
      <c r="AM2528" s="14">
        <f>IF($B2528="","",IF($AQ2528="","対象年月が未入力／","")&amp;IF($B2528="","",IF($AP2528="","職員マスタに未登録の職員番号／",IF($AA2528="","標準報酬月額が未登録／","")&amp;IF(AND($AQ2528&lt;&gt;"",OR(AND(INDEX(職員マスタ!$G$6:$G$405,$AP2528)&lt;&gt;"",INDEX(職員マスタ!$G$6:$G$405,$AP2528)&gt;EOMONTH($AQ2528,0)),AND(INDEX(職員マスタ!$H$6:$H$405,$AP2528)&lt;&gt;"",INDEX(職員マスタ!$H$6:$H$405,$AP2528)&lt;$AQ2528))),"対象月が時短期間外／","")&amp;IF(AND(INDEX(職員マスタ!$K$6:$K$405,$AP2528)&lt;&gt;"",N($W2528)&gt;0,INDEX(職員マスタ!$K$6:$K$405,$AP2528)&lt;&gt;$W2528),"標準報酬月額が申請書と相違（台帳"&amp;TEXT(INDEX(職員マスタ!$K$6:$K$405,$AP2528),"#,##0")&amp;"円／申請書"&amp;TEXT($W2528,"#,##0")&amp;"円）／","")&amp;IF(AND(INDEX(職員マスタ!$F$6:$F$405,$AP2528)&lt;&gt;"",$AQ2528&lt;&gt;"",INDEX(職員マスタ!$F$6:$F$405,$AP2528)&lt;$AQ2528),"対象月に子が2歳到達済／","")&amp;IF(AND($H2528&lt;&gt;"",INDEX(職員マスタ!$B$6:$B$405,$AP2528)&lt;&gt;"",SUBSTITUTE(SUBSTITUTE($H2528," ","")," ","")&lt;&gt;SUBSTITUTE(SUBSTITUTE(INDEX(職員マスタ!$B$6:$B$405,$AP2528)," ","")," ","")),"氏名がマスタと相違／","")&amp;IF(AND($Q2528&lt;&gt;"",INDEX(職員マスタ!$E$6:$E$405,$AP2528)&lt;&gt;"",$Q2528&lt;&gt;INDEX(職員マスタ!$E$6:$E$405,$AP2528)),"子の生年月日がマスタと相違／","")&amp;IF(AND($L2528&lt;&gt;"",INDEX(職員マスタ!$G$6:$G$405,$AP2528)&lt;&gt;"",$L2528&lt;&gt;INDEX(職員マスタ!$G$6:$G$405,$AP2528)),"時短開始日がマスタと相違／","")&amp;IF(AND($M2528&lt;&gt;"",INDEX(職員マスタ!$H$6:$H$405,$AP2528)&lt;&gt;"",$M2528&lt;&gt;INDEX(職員マスタ!$H$6:$H$405,$AP2528)),"時短終了日がマスタと相違／","")))&amp;IF(AND($B2528&lt;&gt;"",$E2528=""),"報酬額が未入力／","")&amp;IF(N($U2528)&gt;0,"申請書に入力エラーが残っています／","")&amp;IF(AND($B2528&lt;&gt;"",$AQ2528&lt;&gt;""),IF(COUNTIFS($B$6:$B$3005,$B2528,$C$6:$C$3005,$C2528,$D$6:$D$3005,$D2528)&gt;1,"同じ月の請求が重複しています／",""),"")&amp;IF(AND(N($E2528)&gt;0,$AB2528&lt;&gt;"",$AB2528&lt;&gt;"×",$AE2528=0,$AD2528=""),"計算額が下限以下のため不支給／",""))</f>
        <v/>
      </c>
      <c r="AN2528" s="12" t="n"/>
      <c r="AO2528" s="14">
        <f>IF($AF2528="保留中",COUNTIF($AF$6:$AF2528,"保留中"),"")</f>
        <v/>
      </c>
      <c r="AP2528" s="14">
        <f>IF($AQ2528="","",IF(SUMPRODUCT(MAX((職員マスタ!$A$6:$A$405=$B2528)*(((職員マスタ!$G$6:$G$405="")+(職員マスタ!$G$6:$G$405&lt;=EOMONTH($AQ2528,0)))&gt;0)*(((職員マスタ!$H$6:$H$405="")+(職員マスタ!$H$6:$H$405&gt;=$AQ2528))&gt;0)*(ROW(職員マスタ!$A$6:$A$405)-5)))&gt;0,SUMPRODUCT(MAX((職員マスタ!$A$6:$A$405=$B2528)*(((職員マスタ!$G$6:$G$405="")+(職員マスタ!$G$6:$G$405&lt;=EOMONTH($AQ2528,0)))&gt;0)*(((職員マスタ!$H$6:$H$405="")+(職員マスタ!$H$6:$H$405&gt;=$AQ2528))&gt;0)*(ROW(職員マスタ!$A$6:$A$405)-5))),IFERROR(MATCH($B2528,職員マスタ!$A$6:$A$405,0),"")))</f>
        <v/>
      </c>
      <c r="AQ2528" s="16">
        <f>IF(OR($B2528="",$C2528="",$D2528=""),"",DATE($C2528+2018,$D2528,1))</f>
        <v/>
      </c>
    </row>
    <row r="2529">
      <c r="A2529" s="11" t="n"/>
      <c r="B2529" s="12" t="n"/>
      <c r="C2529" s="12" t="n"/>
      <c r="D2529" s="12" t="n"/>
      <c r="E2529" s="13" t="n"/>
      <c r="F2529" s="12" t="n"/>
      <c r="G2529" s="13" t="n"/>
      <c r="H2529" s="12" t="n"/>
      <c r="I2529" s="12" t="n"/>
      <c r="J2529" s="12" t="n"/>
      <c r="K2529" s="12" t="n"/>
      <c r="L2529" s="11" t="n"/>
      <c r="M2529" s="11" t="n"/>
      <c r="N2529" s="11" t="n"/>
      <c r="O2529" s="11" t="n"/>
      <c r="P2529" s="12" t="n"/>
      <c r="Q2529" s="11" t="n"/>
      <c r="R2529" s="12" t="n"/>
      <c r="S2529" s="11" t="n"/>
      <c r="T2529" s="12" t="n"/>
      <c r="U2529" s="12" t="n"/>
      <c r="V2529" s="12" t="n"/>
      <c r="W2529" s="13" t="n"/>
      <c r="X2529" s="14">
        <f>IF($AP2529="",IF($B2529="","",$H2529),IF(INDEX(職員マスタ!$B$6:$B$405,$AP2529)="",$H2529,INDEX(職員マスタ!$B$6:$B$405,$AP2529)))</f>
        <v/>
      </c>
      <c r="Y2529" s="14">
        <f>IF($AP2529="",IF($B2529="","",$R2529),IF(INDEX(職員マスタ!$C$6:$C$405,$AP2529)="",$R2529,INDEX(職員マスタ!$C$6:$C$405,$AP2529)))</f>
        <v/>
      </c>
      <c r="Z2529" s="14">
        <f>IF($AQ2529="","","R"&amp;$C2529&amp;"."&amp;$D2529)</f>
        <v/>
      </c>
      <c r="AA2529" s="15">
        <f>IF(IF($AP2529="",FALSE,INDEX(職員マスタ!$K$6:$K$405,$AP2529)&lt;&gt;""),INDEX(職員マスタ!$K$6:$K$405,$AP2529),IF(N($W2529)&gt;0,$W2529,""))</f>
        <v/>
      </c>
      <c r="AB2529" s="14">
        <f>IF(OR($E2529="",$AA2529=""),"",IF($E2529&gt;=$AA2529,"×",IF($E2529&gt;=$AA2529*設定!$C$5,"△","○")))</f>
        <v/>
      </c>
      <c r="AC2529" s="15">
        <f>IF($AB2529="","",IF($AB2529="×",0,IF($AB2529="○",ROUNDDOWN($E2529*設定!$C$4,0),ROUNDDOWN($E2529*ROUND((9*$AA2529-9*$E2529)/(10*$E2529),4),0))))</f>
        <v/>
      </c>
      <c r="AD2529" s="13" t="n"/>
      <c r="AE2529" s="15">
        <f>IF($B2529="","",IF($AD2529&lt;&gt;"",$AD2529,IF($AC2529="","",IF($AC2529&lt;=設定!$C$3,0,$AC2529))))</f>
        <v/>
      </c>
      <c r="AF2529" s="14">
        <f>IF($B2529="","",IF(AND($AG2529&lt;&gt;"",$AI2529="",$AL2529=""),"保留中",IF($AL2529&lt;&gt;"",IF(N($AE2529)&gt;0,"支給済","不支給"),IF($AE2529="","要確認",IF($AE2529=0,"不支給","未処理")))))</f>
        <v/>
      </c>
      <c r="AG2529" s="12" t="n"/>
      <c r="AH2529" s="11" t="n"/>
      <c r="AI2529" s="11" t="n"/>
      <c r="AJ2529" s="11" t="n"/>
      <c r="AK2529" s="14">
        <f>IF(AND($AF2529="保留中",$AH2529&lt;&gt;""),TODAY()-$AH2529,"")</f>
        <v/>
      </c>
      <c r="AL2529" s="12" t="n"/>
      <c r="AM2529" s="14">
        <f>IF($B2529="","",IF($AQ2529="","対象年月が未入力／","")&amp;IF($B2529="","",IF($AP2529="","職員マスタに未登録の職員番号／",IF($AA2529="","標準報酬月額が未登録／","")&amp;IF(AND($AQ2529&lt;&gt;"",OR(AND(INDEX(職員マスタ!$G$6:$G$405,$AP2529)&lt;&gt;"",INDEX(職員マスタ!$G$6:$G$405,$AP2529)&gt;EOMONTH($AQ2529,0)),AND(INDEX(職員マスタ!$H$6:$H$405,$AP2529)&lt;&gt;"",INDEX(職員マスタ!$H$6:$H$405,$AP2529)&lt;$AQ2529))),"対象月が時短期間外／","")&amp;IF(AND(INDEX(職員マスタ!$K$6:$K$405,$AP2529)&lt;&gt;"",N($W2529)&gt;0,INDEX(職員マスタ!$K$6:$K$405,$AP2529)&lt;&gt;$W2529),"標準報酬月額が申請書と相違（台帳"&amp;TEXT(INDEX(職員マスタ!$K$6:$K$405,$AP2529),"#,##0")&amp;"円／申請書"&amp;TEXT($W2529,"#,##0")&amp;"円）／","")&amp;IF(AND(INDEX(職員マスタ!$F$6:$F$405,$AP2529)&lt;&gt;"",$AQ2529&lt;&gt;"",INDEX(職員マスタ!$F$6:$F$405,$AP2529)&lt;$AQ2529),"対象月に子が2歳到達済／","")&amp;IF(AND($H2529&lt;&gt;"",INDEX(職員マスタ!$B$6:$B$405,$AP2529)&lt;&gt;"",SUBSTITUTE(SUBSTITUTE($H2529," ","")," ","")&lt;&gt;SUBSTITUTE(SUBSTITUTE(INDEX(職員マスタ!$B$6:$B$405,$AP2529)," ","")," ","")),"氏名がマスタと相違／","")&amp;IF(AND($Q2529&lt;&gt;"",INDEX(職員マスタ!$E$6:$E$405,$AP2529)&lt;&gt;"",$Q2529&lt;&gt;INDEX(職員マスタ!$E$6:$E$405,$AP2529)),"子の生年月日がマスタと相違／","")&amp;IF(AND($L2529&lt;&gt;"",INDEX(職員マスタ!$G$6:$G$405,$AP2529)&lt;&gt;"",$L2529&lt;&gt;INDEX(職員マスタ!$G$6:$G$405,$AP2529)),"時短開始日がマスタと相違／","")&amp;IF(AND($M2529&lt;&gt;"",INDEX(職員マスタ!$H$6:$H$405,$AP2529)&lt;&gt;"",$M2529&lt;&gt;INDEX(職員マスタ!$H$6:$H$405,$AP2529)),"時短終了日がマスタと相違／","")))&amp;IF(AND($B2529&lt;&gt;"",$E2529=""),"報酬額が未入力／","")&amp;IF(N($U2529)&gt;0,"申請書に入力エラーが残っています／","")&amp;IF(AND($B2529&lt;&gt;"",$AQ2529&lt;&gt;""),IF(COUNTIFS($B$6:$B$3005,$B2529,$C$6:$C$3005,$C2529,$D$6:$D$3005,$D2529)&gt;1,"同じ月の請求が重複しています／",""),"")&amp;IF(AND(N($E2529)&gt;0,$AB2529&lt;&gt;"",$AB2529&lt;&gt;"×",$AE2529=0,$AD2529=""),"計算額が下限以下のため不支給／",""))</f>
        <v/>
      </c>
      <c r="AN2529" s="12" t="n"/>
      <c r="AO2529" s="14">
        <f>IF($AF2529="保留中",COUNTIF($AF$6:$AF2529,"保留中"),"")</f>
        <v/>
      </c>
      <c r="AP2529" s="14">
        <f>IF($AQ2529="","",IF(SUMPRODUCT(MAX((職員マスタ!$A$6:$A$405=$B2529)*(((職員マスタ!$G$6:$G$405="")+(職員マスタ!$G$6:$G$405&lt;=EOMONTH($AQ2529,0)))&gt;0)*(((職員マスタ!$H$6:$H$405="")+(職員マスタ!$H$6:$H$405&gt;=$AQ2529))&gt;0)*(ROW(職員マスタ!$A$6:$A$405)-5)))&gt;0,SUMPRODUCT(MAX((職員マスタ!$A$6:$A$405=$B2529)*(((職員マスタ!$G$6:$G$405="")+(職員マスタ!$G$6:$G$405&lt;=EOMONTH($AQ2529,0)))&gt;0)*(((職員マスタ!$H$6:$H$405="")+(職員マスタ!$H$6:$H$405&gt;=$AQ2529))&gt;0)*(ROW(職員マスタ!$A$6:$A$405)-5))),IFERROR(MATCH($B2529,職員マスタ!$A$6:$A$405,0),"")))</f>
        <v/>
      </c>
      <c r="AQ2529" s="16">
        <f>IF(OR($B2529="",$C2529="",$D2529=""),"",DATE($C2529+2018,$D2529,1))</f>
        <v/>
      </c>
    </row>
    <row r="2530">
      <c r="A2530" s="11" t="n"/>
      <c r="B2530" s="12" t="n"/>
      <c r="C2530" s="12" t="n"/>
      <c r="D2530" s="12" t="n"/>
      <c r="E2530" s="13" t="n"/>
      <c r="F2530" s="12" t="n"/>
      <c r="G2530" s="13" t="n"/>
      <c r="H2530" s="12" t="n"/>
      <c r="I2530" s="12" t="n"/>
      <c r="J2530" s="12" t="n"/>
      <c r="K2530" s="12" t="n"/>
      <c r="L2530" s="11" t="n"/>
      <c r="M2530" s="11" t="n"/>
      <c r="N2530" s="11" t="n"/>
      <c r="O2530" s="11" t="n"/>
      <c r="P2530" s="12" t="n"/>
      <c r="Q2530" s="11" t="n"/>
      <c r="R2530" s="12" t="n"/>
      <c r="S2530" s="11" t="n"/>
      <c r="T2530" s="12" t="n"/>
      <c r="U2530" s="12" t="n"/>
      <c r="V2530" s="12" t="n"/>
      <c r="W2530" s="13" t="n"/>
      <c r="X2530" s="14">
        <f>IF($AP2530="",IF($B2530="","",$H2530),IF(INDEX(職員マスタ!$B$6:$B$405,$AP2530)="",$H2530,INDEX(職員マスタ!$B$6:$B$405,$AP2530)))</f>
        <v/>
      </c>
      <c r="Y2530" s="14">
        <f>IF($AP2530="",IF($B2530="","",$R2530),IF(INDEX(職員マスタ!$C$6:$C$405,$AP2530)="",$R2530,INDEX(職員マスタ!$C$6:$C$405,$AP2530)))</f>
        <v/>
      </c>
      <c r="Z2530" s="14">
        <f>IF($AQ2530="","","R"&amp;$C2530&amp;"."&amp;$D2530)</f>
        <v/>
      </c>
      <c r="AA2530" s="15">
        <f>IF(IF($AP2530="",FALSE,INDEX(職員マスタ!$K$6:$K$405,$AP2530)&lt;&gt;""),INDEX(職員マスタ!$K$6:$K$405,$AP2530),IF(N($W2530)&gt;0,$W2530,""))</f>
        <v/>
      </c>
      <c r="AB2530" s="14">
        <f>IF(OR($E2530="",$AA2530=""),"",IF($E2530&gt;=$AA2530,"×",IF($E2530&gt;=$AA2530*設定!$C$5,"△","○")))</f>
        <v/>
      </c>
      <c r="AC2530" s="15">
        <f>IF($AB2530="","",IF($AB2530="×",0,IF($AB2530="○",ROUNDDOWN($E2530*設定!$C$4,0),ROUNDDOWN($E2530*ROUND((9*$AA2530-9*$E2530)/(10*$E2530),4),0))))</f>
        <v/>
      </c>
      <c r="AD2530" s="13" t="n"/>
      <c r="AE2530" s="15">
        <f>IF($B2530="","",IF($AD2530&lt;&gt;"",$AD2530,IF($AC2530="","",IF($AC2530&lt;=設定!$C$3,0,$AC2530))))</f>
        <v/>
      </c>
      <c r="AF2530" s="14">
        <f>IF($B2530="","",IF(AND($AG2530&lt;&gt;"",$AI2530="",$AL2530=""),"保留中",IF($AL2530&lt;&gt;"",IF(N($AE2530)&gt;0,"支給済","不支給"),IF($AE2530="","要確認",IF($AE2530=0,"不支給","未処理")))))</f>
        <v/>
      </c>
      <c r="AG2530" s="12" t="n"/>
      <c r="AH2530" s="11" t="n"/>
      <c r="AI2530" s="11" t="n"/>
      <c r="AJ2530" s="11" t="n"/>
      <c r="AK2530" s="14">
        <f>IF(AND($AF2530="保留中",$AH2530&lt;&gt;""),TODAY()-$AH2530,"")</f>
        <v/>
      </c>
      <c r="AL2530" s="12" t="n"/>
      <c r="AM2530" s="14">
        <f>IF($B2530="","",IF($AQ2530="","対象年月が未入力／","")&amp;IF($B2530="","",IF($AP2530="","職員マスタに未登録の職員番号／",IF($AA2530="","標準報酬月額が未登録／","")&amp;IF(AND($AQ2530&lt;&gt;"",OR(AND(INDEX(職員マスタ!$G$6:$G$405,$AP2530)&lt;&gt;"",INDEX(職員マスタ!$G$6:$G$405,$AP2530)&gt;EOMONTH($AQ2530,0)),AND(INDEX(職員マスタ!$H$6:$H$405,$AP2530)&lt;&gt;"",INDEX(職員マスタ!$H$6:$H$405,$AP2530)&lt;$AQ2530))),"対象月が時短期間外／","")&amp;IF(AND(INDEX(職員マスタ!$K$6:$K$405,$AP2530)&lt;&gt;"",N($W2530)&gt;0,INDEX(職員マスタ!$K$6:$K$405,$AP2530)&lt;&gt;$W2530),"標準報酬月額が申請書と相違（台帳"&amp;TEXT(INDEX(職員マスタ!$K$6:$K$405,$AP2530),"#,##0")&amp;"円／申請書"&amp;TEXT($W2530,"#,##0")&amp;"円）／","")&amp;IF(AND(INDEX(職員マスタ!$F$6:$F$405,$AP2530)&lt;&gt;"",$AQ2530&lt;&gt;"",INDEX(職員マスタ!$F$6:$F$405,$AP2530)&lt;$AQ2530),"対象月に子が2歳到達済／","")&amp;IF(AND($H2530&lt;&gt;"",INDEX(職員マスタ!$B$6:$B$405,$AP2530)&lt;&gt;"",SUBSTITUTE(SUBSTITUTE($H2530," ","")," ","")&lt;&gt;SUBSTITUTE(SUBSTITUTE(INDEX(職員マスタ!$B$6:$B$405,$AP2530)," ","")," ","")),"氏名がマスタと相違／","")&amp;IF(AND($Q2530&lt;&gt;"",INDEX(職員マスタ!$E$6:$E$405,$AP2530)&lt;&gt;"",$Q2530&lt;&gt;INDEX(職員マスタ!$E$6:$E$405,$AP2530)),"子の生年月日がマスタと相違／","")&amp;IF(AND($L2530&lt;&gt;"",INDEX(職員マスタ!$G$6:$G$405,$AP2530)&lt;&gt;"",$L2530&lt;&gt;INDEX(職員マスタ!$G$6:$G$405,$AP2530)),"時短開始日がマスタと相違／","")&amp;IF(AND($M2530&lt;&gt;"",INDEX(職員マスタ!$H$6:$H$405,$AP2530)&lt;&gt;"",$M2530&lt;&gt;INDEX(職員マスタ!$H$6:$H$405,$AP2530)),"時短終了日がマスタと相違／","")))&amp;IF(AND($B2530&lt;&gt;"",$E2530=""),"報酬額が未入力／","")&amp;IF(N($U2530)&gt;0,"申請書に入力エラーが残っています／","")&amp;IF(AND($B2530&lt;&gt;"",$AQ2530&lt;&gt;""),IF(COUNTIFS($B$6:$B$3005,$B2530,$C$6:$C$3005,$C2530,$D$6:$D$3005,$D2530)&gt;1,"同じ月の請求が重複しています／",""),"")&amp;IF(AND(N($E2530)&gt;0,$AB2530&lt;&gt;"",$AB2530&lt;&gt;"×",$AE2530=0,$AD2530=""),"計算額が下限以下のため不支給／",""))</f>
        <v/>
      </c>
      <c r="AN2530" s="12" t="n"/>
      <c r="AO2530" s="14">
        <f>IF($AF2530="保留中",COUNTIF($AF$6:$AF2530,"保留中"),"")</f>
        <v/>
      </c>
      <c r="AP2530" s="14">
        <f>IF($AQ2530="","",IF(SUMPRODUCT(MAX((職員マスタ!$A$6:$A$405=$B2530)*(((職員マスタ!$G$6:$G$405="")+(職員マスタ!$G$6:$G$405&lt;=EOMONTH($AQ2530,0)))&gt;0)*(((職員マスタ!$H$6:$H$405="")+(職員マスタ!$H$6:$H$405&gt;=$AQ2530))&gt;0)*(ROW(職員マスタ!$A$6:$A$405)-5)))&gt;0,SUMPRODUCT(MAX((職員マスタ!$A$6:$A$405=$B2530)*(((職員マスタ!$G$6:$G$405="")+(職員マスタ!$G$6:$G$405&lt;=EOMONTH($AQ2530,0)))&gt;0)*(((職員マスタ!$H$6:$H$405="")+(職員マスタ!$H$6:$H$405&gt;=$AQ2530))&gt;0)*(ROW(職員マスタ!$A$6:$A$405)-5))),IFERROR(MATCH($B2530,職員マスタ!$A$6:$A$405,0),"")))</f>
        <v/>
      </c>
      <c r="AQ2530" s="16">
        <f>IF(OR($B2530="",$C2530="",$D2530=""),"",DATE($C2530+2018,$D2530,1))</f>
        <v/>
      </c>
    </row>
    <row r="2531">
      <c r="A2531" s="11" t="n"/>
      <c r="B2531" s="12" t="n"/>
      <c r="C2531" s="12" t="n"/>
      <c r="D2531" s="12" t="n"/>
      <c r="E2531" s="13" t="n"/>
      <c r="F2531" s="12" t="n"/>
      <c r="G2531" s="13" t="n"/>
      <c r="H2531" s="12" t="n"/>
      <c r="I2531" s="12" t="n"/>
      <c r="J2531" s="12" t="n"/>
      <c r="K2531" s="12" t="n"/>
      <c r="L2531" s="11" t="n"/>
      <c r="M2531" s="11" t="n"/>
      <c r="N2531" s="11" t="n"/>
      <c r="O2531" s="11" t="n"/>
      <c r="P2531" s="12" t="n"/>
      <c r="Q2531" s="11" t="n"/>
      <c r="R2531" s="12" t="n"/>
      <c r="S2531" s="11" t="n"/>
      <c r="T2531" s="12" t="n"/>
      <c r="U2531" s="12" t="n"/>
      <c r="V2531" s="12" t="n"/>
      <c r="W2531" s="13" t="n"/>
      <c r="X2531" s="14">
        <f>IF($AP2531="",IF($B2531="","",$H2531),IF(INDEX(職員マスタ!$B$6:$B$405,$AP2531)="",$H2531,INDEX(職員マスタ!$B$6:$B$405,$AP2531)))</f>
        <v/>
      </c>
      <c r="Y2531" s="14">
        <f>IF($AP2531="",IF($B2531="","",$R2531),IF(INDEX(職員マスタ!$C$6:$C$405,$AP2531)="",$R2531,INDEX(職員マスタ!$C$6:$C$405,$AP2531)))</f>
        <v/>
      </c>
      <c r="Z2531" s="14">
        <f>IF($AQ2531="","","R"&amp;$C2531&amp;"."&amp;$D2531)</f>
        <v/>
      </c>
      <c r="AA2531" s="15">
        <f>IF(IF($AP2531="",FALSE,INDEX(職員マスタ!$K$6:$K$405,$AP2531)&lt;&gt;""),INDEX(職員マスタ!$K$6:$K$405,$AP2531),IF(N($W2531)&gt;0,$W2531,""))</f>
        <v/>
      </c>
      <c r="AB2531" s="14">
        <f>IF(OR($E2531="",$AA2531=""),"",IF($E2531&gt;=$AA2531,"×",IF($E2531&gt;=$AA2531*設定!$C$5,"△","○")))</f>
        <v/>
      </c>
      <c r="AC2531" s="15">
        <f>IF($AB2531="","",IF($AB2531="×",0,IF($AB2531="○",ROUNDDOWN($E2531*設定!$C$4,0),ROUNDDOWN($E2531*ROUND((9*$AA2531-9*$E2531)/(10*$E2531),4),0))))</f>
        <v/>
      </c>
      <c r="AD2531" s="13" t="n"/>
      <c r="AE2531" s="15">
        <f>IF($B2531="","",IF($AD2531&lt;&gt;"",$AD2531,IF($AC2531="","",IF($AC2531&lt;=設定!$C$3,0,$AC2531))))</f>
        <v/>
      </c>
      <c r="AF2531" s="14">
        <f>IF($B2531="","",IF(AND($AG2531&lt;&gt;"",$AI2531="",$AL2531=""),"保留中",IF($AL2531&lt;&gt;"",IF(N($AE2531)&gt;0,"支給済","不支給"),IF($AE2531="","要確認",IF($AE2531=0,"不支給","未処理")))))</f>
        <v/>
      </c>
      <c r="AG2531" s="12" t="n"/>
      <c r="AH2531" s="11" t="n"/>
      <c r="AI2531" s="11" t="n"/>
      <c r="AJ2531" s="11" t="n"/>
      <c r="AK2531" s="14">
        <f>IF(AND($AF2531="保留中",$AH2531&lt;&gt;""),TODAY()-$AH2531,"")</f>
        <v/>
      </c>
      <c r="AL2531" s="12" t="n"/>
      <c r="AM2531" s="14">
        <f>IF($B2531="","",IF($AQ2531="","対象年月が未入力／","")&amp;IF($B2531="","",IF($AP2531="","職員マスタに未登録の職員番号／",IF($AA2531="","標準報酬月額が未登録／","")&amp;IF(AND($AQ2531&lt;&gt;"",OR(AND(INDEX(職員マスタ!$G$6:$G$405,$AP2531)&lt;&gt;"",INDEX(職員マスタ!$G$6:$G$405,$AP2531)&gt;EOMONTH($AQ2531,0)),AND(INDEX(職員マスタ!$H$6:$H$405,$AP2531)&lt;&gt;"",INDEX(職員マスタ!$H$6:$H$405,$AP2531)&lt;$AQ2531))),"対象月が時短期間外／","")&amp;IF(AND(INDEX(職員マスタ!$K$6:$K$405,$AP2531)&lt;&gt;"",N($W2531)&gt;0,INDEX(職員マスタ!$K$6:$K$405,$AP2531)&lt;&gt;$W2531),"標準報酬月額が申請書と相違（台帳"&amp;TEXT(INDEX(職員マスタ!$K$6:$K$405,$AP2531),"#,##0")&amp;"円／申請書"&amp;TEXT($W2531,"#,##0")&amp;"円）／","")&amp;IF(AND(INDEX(職員マスタ!$F$6:$F$405,$AP2531)&lt;&gt;"",$AQ2531&lt;&gt;"",INDEX(職員マスタ!$F$6:$F$405,$AP2531)&lt;$AQ2531),"対象月に子が2歳到達済／","")&amp;IF(AND($H2531&lt;&gt;"",INDEX(職員マスタ!$B$6:$B$405,$AP2531)&lt;&gt;"",SUBSTITUTE(SUBSTITUTE($H2531," ","")," ","")&lt;&gt;SUBSTITUTE(SUBSTITUTE(INDEX(職員マスタ!$B$6:$B$405,$AP2531)," ","")," ","")),"氏名がマスタと相違／","")&amp;IF(AND($Q2531&lt;&gt;"",INDEX(職員マスタ!$E$6:$E$405,$AP2531)&lt;&gt;"",$Q2531&lt;&gt;INDEX(職員マスタ!$E$6:$E$405,$AP2531)),"子の生年月日がマスタと相違／","")&amp;IF(AND($L2531&lt;&gt;"",INDEX(職員マスタ!$G$6:$G$405,$AP2531)&lt;&gt;"",$L2531&lt;&gt;INDEX(職員マスタ!$G$6:$G$405,$AP2531)),"時短開始日がマスタと相違／","")&amp;IF(AND($M2531&lt;&gt;"",INDEX(職員マスタ!$H$6:$H$405,$AP2531)&lt;&gt;"",$M2531&lt;&gt;INDEX(職員マスタ!$H$6:$H$405,$AP2531)),"時短終了日がマスタと相違／","")))&amp;IF(AND($B2531&lt;&gt;"",$E2531=""),"報酬額が未入力／","")&amp;IF(N($U2531)&gt;0,"申請書に入力エラーが残っています／","")&amp;IF(AND($B2531&lt;&gt;"",$AQ2531&lt;&gt;""),IF(COUNTIFS($B$6:$B$3005,$B2531,$C$6:$C$3005,$C2531,$D$6:$D$3005,$D2531)&gt;1,"同じ月の請求が重複しています／",""),"")&amp;IF(AND(N($E2531)&gt;0,$AB2531&lt;&gt;"",$AB2531&lt;&gt;"×",$AE2531=0,$AD2531=""),"計算額が下限以下のため不支給／",""))</f>
        <v/>
      </c>
      <c r="AN2531" s="12" t="n"/>
      <c r="AO2531" s="14">
        <f>IF($AF2531="保留中",COUNTIF($AF$6:$AF2531,"保留中"),"")</f>
        <v/>
      </c>
      <c r="AP2531" s="14">
        <f>IF($AQ2531="","",IF(SUMPRODUCT(MAX((職員マスタ!$A$6:$A$405=$B2531)*(((職員マスタ!$G$6:$G$405="")+(職員マスタ!$G$6:$G$405&lt;=EOMONTH($AQ2531,0)))&gt;0)*(((職員マスタ!$H$6:$H$405="")+(職員マスタ!$H$6:$H$405&gt;=$AQ2531))&gt;0)*(ROW(職員マスタ!$A$6:$A$405)-5)))&gt;0,SUMPRODUCT(MAX((職員マスタ!$A$6:$A$405=$B2531)*(((職員マスタ!$G$6:$G$405="")+(職員マスタ!$G$6:$G$405&lt;=EOMONTH($AQ2531,0)))&gt;0)*(((職員マスタ!$H$6:$H$405="")+(職員マスタ!$H$6:$H$405&gt;=$AQ2531))&gt;0)*(ROW(職員マスタ!$A$6:$A$405)-5))),IFERROR(MATCH($B2531,職員マスタ!$A$6:$A$405,0),"")))</f>
        <v/>
      </c>
      <c r="AQ2531" s="16">
        <f>IF(OR($B2531="",$C2531="",$D2531=""),"",DATE($C2531+2018,$D2531,1))</f>
        <v/>
      </c>
    </row>
    <row r="2532">
      <c r="A2532" s="11" t="n"/>
      <c r="B2532" s="12" t="n"/>
      <c r="C2532" s="12" t="n"/>
      <c r="D2532" s="12" t="n"/>
      <c r="E2532" s="13" t="n"/>
      <c r="F2532" s="12" t="n"/>
      <c r="G2532" s="13" t="n"/>
      <c r="H2532" s="12" t="n"/>
      <c r="I2532" s="12" t="n"/>
      <c r="J2532" s="12" t="n"/>
      <c r="K2532" s="12" t="n"/>
      <c r="L2532" s="11" t="n"/>
      <c r="M2532" s="11" t="n"/>
      <c r="N2532" s="11" t="n"/>
      <c r="O2532" s="11" t="n"/>
      <c r="P2532" s="12" t="n"/>
      <c r="Q2532" s="11" t="n"/>
      <c r="R2532" s="12" t="n"/>
      <c r="S2532" s="11" t="n"/>
      <c r="T2532" s="12" t="n"/>
      <c r="U2532" s="12" t="n"/>
      <c r="V2532" s="12" t="n"/>
      <c r="W2532" s="13" t="n"/>
      <c r="X2532" s="14">
        <f>IF($AP2532="",IF($B2532="","",$H2532),IF(INDEX(職員マスタ!$B$6:$B$405,$AP2532)="",$H2532,INDEX(職員マスタ!$B$6:$B$405,$AP2532)))</f>
        <v/>
      </c>
      <c r="Y2532" s="14">
        <f>IF($AP2532="",IF($B2532="","",$R2532),IF(INDEX(職員マスタ!$C$6:$C$405,$AP2532)="",$R2532,INDEX(職員マスタ!$C$6:$C$405,$AP2532)))</f>
        <v/>
      </c>
      <c r="Z2532" s="14">
        <f>IF($AQ2532="","","R"&amp;$C2532&amp;"."&amp;$D2532)</f>
        <v/>
      </c>
      <c r="AA2532" s="15">
        <f>IF(IF($AP2532="",FALSE,INDEX(職員マスタ!$K$6:$K$405,$AP2532)&lt;&gt;""),INDEX(職員マスタ!$K$6:$K$405,$AP2532),IF(N($W2532)&gt;0,$W2532,""))</f>
        <v/>
      </c>
      <c r="AB2532" s="14">
        <f>IF(OR($E2532="",$AA2532=""),"",IF($E2532&gt;=$AA2532,"×",IF($E2532&gt;=$AA2532*設定!$C$5,"△","○")))</f>
        <v/>
      </c>
      <c r="AC2532" s="15">
        <f>IF($AB2532="","",IF($AB2532="×",0,IF($AB2532="○",ROUNDDOWN($E2532*設定!$C$4,0),ROUNDDOWN($E2532*ROUND((9*$AA2532-9*$E2532)/(10*$E2532),4),0))))</f>
        <v/>
      </c>
      <c r="AD2532" s="13" t="n"/>
      <c r="AE2532" s="15">
        <f>IF($B2532="","",IF($AD2532&lt;&gt;"",$AD2532,IF($AC2532="","",IF($AC2532&lt;=設定!$C$3,0,$AC2532))))</f>
        <v/>
      </c>
      <c r="AF2532" s="14">
        <f>IF($B2532="","",IF(AND($AG2532&lt;&gt;"",$AI2532="",$AL2532=""),"保留中",IF($AL2532&lt;&gt;"",IF(N($AE2532)&gt;0,"支給済","不支給"),IF($AE2532="","要確認",IF($AE2532=0,"不支給","未処理")))))</f>
        <v/>
      </c>
      <c r="AG2532" s="12" t="n"/>
      <c r="AH2532" s="11" t="n"/>
      <c r="AI2532" s="11" t="n"/>
      <c r="AJ2532" s="11" t="n"/>
      <c r="AK2532" s="14">
        <f>IF(AND($AF2532="保留中",$AH2532&lt;&gt;""),TODAY()-$AH2532,"")</f>
        <v/>
      </c>
      <c r="AL2532" s="12" t="n"/>
      <c r="AM2532" s="14">
        <f>IF($B2532="","",IF($AQ2532="","対象年月が未入力／","")&amp;IF($B2532="","",IF($AP2532="","職員マスタに未登録の職員番号／",IF($AA2532="","標準報酬月額が未登録／","")&amp;IF(AND($AQ2532&lt;&gt;"",OR(AND(INDEX(職員マスタ!$G$6:$G$405,$AP2532)&lt;&gt;"",INDEX(職員マスタ!$G$6:$G$405,$AP2532)&gt;EOMONTH($AQ2532,0)),AND(INDEX(職員マスタ!$H$6:$H$405,$AP2532)&lt;&gt;"",INDEX(職員マスタ!$H$6:$H$405,$AP2532)&lt;$AQ2532))),"対象月が時短期間外／","")&amp;IF(AND(INDEX(職員マスタ!$K$6:$K$405,$AP2532)&lt;&gt;"",N($W2532)&gt;0,INDEX(職員マスタ!$K$6:$K$405,$AP2532)&lt;&gt;$W2532),"標準報酬月額が申請書と相違（台帳"&amp;TEXT(INDEX(職員マスタ!$K$6:$K$405,$AP2532),"#,##0")&amp;"円／申請書"&amp;TEXT($W2532,"#,##0")&amp;"円）／","")&amp;IF(AND(INDEX(職員マスタ!$F$6:$F$405,$AP2532)&lt;&gt;"",$AQ2532&lt;&gt;"",INDEX(職員マスタ!$F$6:$F$405,$AP2532)&lt;$AQ2532),"対象月に子が2歳到達済／","")&amp;IF(AND($H2532&lt;&gt;"",INDEX(職員マスタ!$B$6:$B$405,$AP2532)&lt;&gt;"",SUBSTITUTE(SUBSTITUTE($H2532," ","")," ","")&lt;&gt;SUBSTITUTE(SUBSTITUTE(INDEX(職員マスタ!$B$6:$B$405,$AP2532)," ","")," ","")),"氏名がマスタと相違／","")&amp;IF(AND($Q2532&lt;&gt;"",INDEX(職員マスタ!$E$6:$E$405,$AP2532)&lt;&gt;"",$Q2532&lt;&gt;INDEX(職員マスタ!$E$6:$E$405,$AP2532)),"子の生年月日がマスタと相違／","")&amp;IF(AND($L2532&lt;&gt;"",INDEX(職員マスタ!$G$6:$G$405,$AP2532)&lt;&gt;"",$L2532&lt;&gt;INDEX(職員マスタ!$G$6:$G$405,$AP2532)),"時短開始日がマスタと相違／","")&amp;IF(AND($M2532&lt;&gt;"",INDEX(職員マスタ!$H$6:$H$405,$AP2532)&lt;&gt;"",$M2532&lt;&gt;INDEX(職員マスタ!$H$6:$H$405,$AP2532)),"時短終了日がマスタと相違／","")))&amp;IF(AND($B2532&lt;&gt;"",$E2532=""),"報酬額が未入力／","")&amp;IF(N($U2532)&gt;0,"申請書に入力エラーが残っています／","")&amp;IF(AND($B2532&lt;&gt;"",$AQ2532&lt;&gt;""),IF(COUNTIFS($B$6:$B$3005,$B2532,$C$6:$C$3005,$C2532,$D$6:$D$3005,$D2532)&gt;1,"同じ月の請求が重複しています／",""),"")&amp;IF(AND(N($E2532)&gt;0,$AB2532&lt;&gt;"",$AB2532&lt;&gt;"×",$AE2532=0,$AD2532=""),"計算額が下限以下のため不支給／",""))</f>
        <v/>
      </c>
      <c r="AN2532" s="12" t="n"/>
      <c r="AO2532" s="14">
        <f>IF($AF2532="保留中",COUNTIF($AF$6:$AF2532,"保留中"),"")</f>
        <v/>
      </c>
      <c r="AP2532" s="14">
        <f>IF($AQ2532="","",IF(SUMPRODUCT(MAX((職員マスタ!$A$6:$A$405=$B2532)*(((職員マスタ!$G$6:$G$405="")+(職員マスタ!$G$6:$G$405&lt;=EOMONTH($AQ2532,0)))&gt;0)*(((職員マスタ!$H$6:$H$405="")+(職員マスタ!$H$6:$H$405&gt;=$AQ2532))&gt;0)*(ROW(職員マスタ!$A$6:$A$405)-5)))&gt;0,SUMPRODUCT(MAX((職員マスタ!$A$6:$A$405=$B2532)*(((職員マスタ!$G$6:$G$405="")+(職員マスタ!$G$6:$G$405&lt;=EOMONTH($AQ2532,0)))&gt;0)*(((職員マスタ!$H$6:$H$405="")+(職員マスタ!$H$6:$H$405&gt;=$AQ2532))&gt;0)*(ROW(職員マスタ!$A$6:$A$405)-5))),IFERROR(MATCH($B2532,職員マスタ!$A$6:$A$405,0),"")))</f>
        <v/>
      </c>
      <c r="AQ2532" s="16">
        <f>IF(OR($B2532="",$C2532="",$D2532=""),"",DATE($C2532+2018,$D2532,1))</f>
        <v/>
      </c>
    </row>
    <row r="2533">
      <c r="A2533" s="11" t="n"/>
      <c r="B2533" s="12" t="n"/>
      <c r="C2533" s="12" t="n"/>
      <c r="D2533" s="12" t="n"/>
      <c r="E2533" s="13" t="n"/>
      <c r="F2533" s="12" t="n"/>
      <c r="G2533" s="13" t="n"/>
      <c r="H2533" s="12" t="n"/>
      <c r="I2533" s="12" t="n"/>
      <c r="J2533" s="12" t="n"/>
      <c r="K2533" s="12" t="n"/>
      <c r="L2533" s="11" t="n"/>
      <c r="M2533" s="11" t="n"/>
      <c r="N2533" s="11" t="n"/>
      <c r="O2533" s="11" t="n"/>
      <c r="P2533" s="12" t="n"/>
      <c r="Q2533" s="11" t="n"/>
      <c r="R2533" s="12" t="n"/>
      <c r="S2533" s="11" t="n"/>
      <c r="T2533" s="12" t="n"/>
      <c r="U2533" s="12" t="n"/>
      <c r="V2533" s="12" t="n"/>
      <c r="W2533" s="13" t="n"/>
      <c r="X2533" s="14">
        <f>IF($AP2533="",IF($B2533="","",$H2533),IF(INDEX(職員マスタ!$B$6:$B$405,$AP2533)="",$H2533,INDEX(職員マスタ!$B$6:$B$405,$AP2533)))</f>
        <v/>
      </c>
      <c r="Y2533" s="14">
        <f>IF($AP2533="",IF($B2533="","",$R2533),IF(INDEX(職員マスタ!$C$6:$C$405,$AP2533)="",$R2533,INDEX(職員マスタ!$C$6:$C$405,$AP2533)))</f>
        <v/>
      </c>
      <c r="Z2533" s="14">
        <f>IF($AQ2533="","","R"&amp;$C2533&amp;"."&amp;$D2533)</f>
        <v/>
      </c>
      <c r="AA2533" s="15">
        <f>IF(IF($AP2533="",FALSE,INDEX(職員マスタ!$K$6:$K$405,$AP2533)&lt;&gt;""),INDEX(職員マスタ!$K$6:$K$405,$AP2533),IF(N($W2533)&gt;0,$W2533,""))</f>
        <v/>
      </c>
      <c r="AB2533" s="14">
        <f>IF(OR($E2533="",$AA2533=""),"",IF($E2533&gt;=$AA2533,"×",IF($E2533&gt;=$AA2533*設定!$C$5,"△","○")))</f>
        <v/>
      </c>
      <c r="AC2533" s="15">
        <f>IF($AB2533="","",IF($AB2533="×",0,IF($AB2533="○",ROUNDDOWN($E2533*設定!$C$4,0),ROUNDDOWN($E2533*ROUND((9*$AA2533-9*$E2533)/(10*$E2533),4),0))))</f>
        <v/>
      </c>
      <c r="AD2533" s="13" t="n"/>
      <c r="AE2533" s="15">
        <f>IF($B2533="","",IF($AD2533&lt;&gt;"",$AD2533,IF($AC2533="","",IF($AC2533&lt;=設定!$C$3,0,$AC2533))))</f>
        <v/>
      </c>
      <c r="AF2533" s="14">
        <f>IF($B2533="","",IF(AND($AG2533&lt;&gt;"",$AI2533="",$AL2533=""),"保留中",IF($AL2533&lt;&gt;"",IF(N($AE2533)&gt;0,"支給済","不支給"),IF($AE2533="","要確認",IF($AE2533=0,"不支給","未処理")))))</f>
        <v/>
      </c>
      <c r="AG2533" s="12" t="n"/>
      <c r="AH2533" s="11" t="n"/>
      <c r="AI2533" s="11" t="n"/>
      <c r="AJ2533" s="11" t="n"/>
      <c r="AK2533" s="14">
        <f>IF(AND($AF2533="保留中",$AH2533&lt;&gt;""),TODAY()-$AH2533,"")</f>
        <v/>
      </c>
      <c r="AL2533" s="12" t="n"/>
      <c r="AM2533" s="14">
        <f>IF($B2533="","",IF($AQ2533="","対象年月が未入力／","")&amp;IF($B2533="","",IF($AP2533="","職員マスタに未登録の職員番号／",IF($AA2533="","標準報酬月額が未登録／","")&amp;IF(AND($AQ2533&lt;&gt;"",OR(AND(INDEX(職員マスタ!$G$6:$G$405,$AP2533)&lt;&gt;"",INDEX(職員マスタ!$G$6:$G$405,$AP2533)&gt;EOMONTH($AQ2533,0)),AND(INDEX(職員マスタ!$H$6:$H$405,$AP2533)&lt;&gt;"",INDEX(職員マスタ!$H$6:$H$405,$AP2533)&lt;$AQ2533))),"対象月が時短期間外／","")&amp;IF(AND(INDEX(職員マスタ!$K$6:$K$405,$AP2533)&lt;&gt;"",N($W2533)&gt;0,INDEX(職員マスタ!$K$6:$K$405,$AP2533)&lt;&gt;$W2533),"標準報酬月額が申請書と相違（台帳"&amp;TEXT(INDEX(職員マスタ!$K$6:$K$405,$AP2533),"#,##0")&amp;"円／申請書"&amp;TEXT($W2533,"#,##0")&amp;"円）／","")&amp;IF(AND(INDEX(職員マスタ!$F$6:$F$405,$AP2533)&lt;&gt;"",$AQ2533&lt;&gt;"",INDEX(職員マスタ!$F$6:$F$405,$AP2533)&lt;$AQ2533),"対象月に子が2歳到達済／","")&amp;IF(AND($H2533&lt;&gt;"",INDEX(職員マスタ!$B$6:$B$405,$AP2533)&lt;&gt;"",SUBSTITUTE(SUBSTITUTE($H2533," ","")," ","")&lt;&gt;SUBSTITUTE(SUBSTITUTE(INDEX(職員マスタ!$B$6:$B$405,$AP2533)," ","")," ","")),"氏名がマスタと相違／","")&amp;IF(AND($Q2533&lt;&gt;"",INDEX(職員マスタ!$E$6:$E$405,$AP2533)&lt;&gt;"",$Q2533&lt;&gt;INDEX(職員マスタ!$E$6:$E$405,$AP2533)),"子の生年月日がマスタと相違／","")&amp;IF(AND($L2533&lt;&gt;"",INDEX(職員マスタ!$G$6:$G$405,$AP2533)&lt;&gt;"",$L2533&lt;&gt;INDEX(職員マスタ!$G$6:$G$405,$AP2533)),"時短開始日がマスタと相違／","")&amp;IF(AND($M2533&lt;&gt;"",INDEX(職員マスタ!$H$6:$H$405,$AP2533)&lt;&gt;"",$M2533&lt;&gt;INDEX(職員マスタ!$H$6:$H$405,$AP2533)),"時短終了日がマスタと相違／","")))&amp;IF(AND($B2533&lt;&gt;"",$E2533=""),"報酬額が未入力／","")&amp;IF(N($U2533)&gt;0,"申請書に入力エラーが残っています／","")&amp;IF(AND($B2533&lt;&gt;"",$AQ2533&lt;&gt;""),IF(COUNTIFS($B$6:$B$3005,$B2533,$C$6:$C$3005,$C2533,$D$6:$D$3005,$D2533)&gt;1,"同じ月の請求が重複しています／",""),"")&amp;IF(AND(N($E2533)&gt;0,$AB2533&lt;&gt;"",$AB2533&lt;&gt;"×",$AE2533=0,$AD2533=""),"計算額が下限以下のため不支給／",""))</f>
        <v/>
      </c>
      <c r="AN2533" s="12" t="n"/>
      <c r="AO2533" s="14">
        <f>IF($AF2533="保留中",COUNTIF($AF$6:$AF2533,"保留中"),"")</f>
        <v/>
      </c>
      <c r="AP2533" s="14">
        <f>IF($AQ2533="","",IF(SUMPRODUCT(MAX((職員マスタ!$A$6:$A$405=$B2533)*(((職員マスタ!$G$6:$G$405="")+(職員マスタ!$G$6:$G$405&lt;=EOMONTH($AQ2533,0)))&gt;0)*(((職員マスタ!$H$6:$H$405="")+(職員マスタ!$H$6:$H$405&gt;=$AQ2533))&gt;0)*(ROW(職員マスタ!$A$6:$A$405)-5)))&gt;0,SUMPRODUCT(MAX((職員マスタ!$A$6:$A$405=$B2533)*(((職員マスタ!$G$6:$G$405="")+(職員マスタ!$G$6:$G$405&lt;=EOMONTH($AQ2533,0)))&gt;0)*(((職員マスタ!$H$6:$H$405="")+(職員マスタ!$H$6:$H$405&gt;=$AQ2533))&gt;0)*(ROW(職員マスタ!$A$6:$A$405)-5))),IFERROR(MATCH($B2533,職員マスタ!$A$6:$A$405,0),"")))</f>
        <v/>
      </c>
      <c r="AQ2533" s="16">
        <f>IF(OR($B2533="",$C2533="",$D2533=""),"",DATE($C2533+2018,$D2533,1))</f>
        <v/>
      </c>
    </row>
    <row r="2534">
      <c r="A2534" s="11" t="n"/>
      <c r="B2534" s="12" t="n"/>
      <c r="C2534" s="12" t="n"/>
      <c r="D2534" s="12" t="n"/>
      <c r="E2534" s="13" t="n"/>
      <c r="F2534" s="12" t="n"/>
      <c r="G2534" s="13" t="n"/>
      <c r="H2534" s="12" t="n"/>
      <c r="I2534" s="12" t="n"/>
      <c r="J2534" s="12" t="n"/>
      <c r="K2534" s="12" t="n"/>
      <c r="L2534" s="11" t="n"/>
      <c r="M2534" s="11" t="n"/>
      <c r="N2534" s="11" t="n"/>
      <c r="O2534" s="11" t="n"/>
      <c r="P2534" s="12" t="n"/>
      <c r="Q2534" s="11" t="n"/>
      <c r="R2534" s="12" t="n"/>
      <c r="S2534" s="11" t="n"/>
      <c r="T2534" s="12" t="n"/>
      <c r="U2534" s="12" t="n"/>
      <c r="V2534" s="12" t="n"/>
      <c r="W2534" s="13" t="n"/>
      <c r="X2534" s="14">
        <f>IF($AP2534="",IF($B2534="","",$H2534),IF(INDEX(職員マスタ!$B$6:$B$405,$AP2534)="",$H2534,INDEX(職員マスタ!$B$6:$B$405,$AP2534)))</f>
        <v/>
      </c>
      <c r="Y2534" s="14">
        <f>IF($AP2534="",IF($B2534="","",$R2534),IF(INDEX(職員マスタ!$C$6:$C$405,$AP2534)="",$R2534,INDEX(職員マスタ!$C$6:$C$405,$AP2534)))</f>
        <v/>
      </c>
      <c r="Z2534" s="14">
        <f>IF($AQ2534="","","R"&amp;$C2534&amp;"."&amp;$D2534)</f>
        <v/>
      </c>
      <c r="AA2534" s="15">
        <f>IF(IF($AP2534="",FALSE,INDEX(職員マスタ!$K$6:$K$405,$AP2534)&lt;&gt;""),INDEX(職員マスタ!$K$6:$K$405,$AP2534),IF(N($W2534)&gt;0,$W2534,""))</f>
        <v/>
      </c>
      <c r="AB2534" s="14">
        <f>IF(OR($E2534="",$AA2534=""),"",IF($E2534&gt;=$AA2534,"×",IF($E2534&gt;=$AA2534*設定!$C$5,"△","○")))</f>
        <v/>
      </c>
      <c r="AC2534" s="15">
        <f>IF($AB2534="","",IF($AB2534="×",0,IF($AB2534="○",ROUNDDOWN($E2534*設定!$C$4,0),ROUNDDOWN($E2534*ROUND((9*$AA2534-9*$E2534)/(10*$E2534),4),0))))</f>
        <v/>
      </c>
      <c r="AD2534" s="13" t="n"/>
      <c r="AE2534" s="15">
        <f>IF($B2534="","",IF($AD2534&lt;&gt;"",$AD2534,IF($AC2534="","",IF($AC2534&lt;=設定!$C$3,0,$AC2534))))</f>
        <v/>
      </c>
      <c r="AF2534" s="14">
        <f>IF($B2534="","",IF(AND($AG2534&lt;&gt;"",$AI2534="",$AL2534=""),"保留中",IF($AL2534&lt;&gt;"",IF(N($AE2534)&gt;0,"支給済","不支給"),IF($AE2534="","要確認",IF($AE2534=0,"不支給","未処理")))))</f>
        <v/>
      </c>
      <c r="AG2534" s="12" t="n"/>
      <c r="AH2534" s="11" t="n"/>
      <c r="AI2534" s="11" t="n"/>
      <c r="AJ2534" s="11" t="n"/>
      <c r="AK2534" s="14">
        <f>IF(AND($AF2534="保留中",$AH2534&lt;&gt;""),TODAY()-$AH2534,"")</f>
        <v/>
      </c>
      <c r="AL2534" s="12" t="n"/>
      <c r="AM2534" s="14">
        <f>IF($B2534="","",IF($AQ2534="","対象年月が未入力／","")&amp;IF($B2534="","",IF($AP2534="","職員マスタに未登録の職員番号／",IF($AA2534="","標準報酬月額が未登録／","")&amp;IF(AND($AQ2534&lt;&gt;"",OR(AND(INDEX(職員マスタ!$G$6:$G$405,$AP2534)&lt;&gt;"",INDEX(職員マスタ!$G$6:$G$405,$AP2534)&gt;EOMONTH($AQ2534,0)),AND(INDEX(職員マスタ!$H$6:$H$405,$AP2534)&lt;&gt;"",INDEX(職員マスタ!$H$6:$H$405,$AP2534)&lt;$AQ2534))),"対象月が時短期間外／","")&amp;IF(AND(INDEX(職員マスタ!$K$6:$K$405,$AP2534)&lt;&gt;"",N($W2534)&gt;0,INDEX(職員マスタ!$K$6:$K$405,$AP2534)&lt;&gt;$W2534),"標準報酬月額が申請書と相違（台帳"&amp;TEXT(INDEX(職員マスタ!$K$6:$K$405,$AP2534),"#,##0")&amp;"円／申請書"&amp;TEXT($W2534,"#,##0")&amp;"円）／","")&amp;IF(AND(INDEX(職員マスタ!$F$6:$F$405,$AP2534)&lt;&gt;"",$AQ2534&lt;&gt;"",INDEX(職員マスタ!$F$6:$F$405,$AP2534)&lt;$AQ2534),"対象月に子が2歳到達済／","")&amp;IF(AND($H2534&lt;&gt;"",INDEX(職員マスタ!$B$6:$B$405,$AP2534)&lt;&gt;"",SUBSTITUTE(SUBSTITUTE($H2534," ","")," ","")&lt;&gt;SUBSTITUTE(SUBSTITUTE(INDEX(職員マスタ!$B$6:$B$405,$AP2534)," ","")," ","")),"氏名がマスタと相違／","")&amp;IF(AND($Q2534&lt;&gt;"",INDEX(職員マスタ!$E$6:$E$405,$AP2534)&lt;&gt;"",$Q2534&lt;&gt;INDEX(職員マスタ!$E$6:$E$405,$AP2534)),"子の生年月日がマスタと相違／","")&amp;IF(AND($L2534&lt;&gt;"",INDEX(職員マスタ!$G$6:$G$405,$AP2534)&lt;&gt;"",$L2534&lt;&gt;INDEX(職員マスタ!$G$6:$G$405,$AP2534)),"時短開始日がマスタと相違／","")&amp;IF(AND($M2534&lt;&gt;"",INDEX(職員マスタ!$H$6:$H$405,$AP2534)&lt;&gt;"",$M2534&lt;&gt;INDEX(職員マスタ!$H$6:$H$405,$AP2534)),"時短終了日がマスタと相違／","")))&amp;IF(AND($B2534&lt;&gt;"",$E2534=""),"報酬額が未入力／","")&amp;IF(N($U2534)&gt;0,"申請書に入力エラーが残っています／","")&amp;IF(AND($B2534&lt;&gt;"",$AQ2534&lt;&gt;""),IF(COUNTIFS($B$6:$B$3005,$B2534,$C$6:$C$3005,$C2534,$D$6:$D$3005,$D2534)&gt;1,"同じ月の請求が重複しています／",""),"")&amp;IF(AND(N($E2534)&gt;0,$AB2534&lt;&gt;"",$AB2534&lt;&gt;"×",$AE2534=0,$AD2534=""),"計算額が下限以下のため不支給／",""))</f>
        <v/>
      </c>
      <c r="AN2534" s="12" t="n"/>
      <c r="AO2534" s="14">
        <f>IF($AF2534="保留中",COUNTIF($AF$6:$AF2534,"保留中"),"")</f>
        <v/>
      </c>
      <c r="AP2534" s="14">
        <f>IF($AQ2534="","",IF(SUMPRODUCT(MAX((職員マスタ!$A$6:$A$405=$B2534)*(((職員マスタ!$G$6:$G$405="")+(職員マスタ!$G$6:$G$405&lt;=EOMONTH($AQ2534,0)))&gt;0)*(((職員マスタ!$H$6:$H$405="")+(職員マスタ!$H$6:$H$405&gt;=$AQ2534))&gt;0)*(ROW(職員マスタ!$A$6:$A$405)-5)))&gt;0,SUMPRODUCT(MAX((職員マスタ!$A$6:$A$405=$B2534)*(((職員マスタ!$G$6:$G$405="")+(職員マスタ!$G$6:$G$405&lt;=EOMONTH($AQ2534,0)))&gt;0)*(((職員マスタ!$H$6:$H$405="")+(職員マスタ!$H$6:$H$405&gt;=$AQ2534))&gt;0)*(ROW(職員マスタ!$A$6:$A$405)-5))),IFERROR(MATCH($B2534,職員マスタ!$A$6:$A$405,0),"")))</f>
        <v/>
      </c>
      <c r="AQ2534" s="16">
        <f>IF(OR($B2534="",$C2534="",$D2534=""),"",DATE($C2534+2018,$D2534,1))</f>
        <v/>
      </c>
    </row>
    <row r="2535">
      <c r="A2535" s="11" t="n"/>
      <c r="B2535" s="12" t="n"/>
      <c r="C2535" s="12" t="n"/>
      <c r="D2535" s="12" t="n"/>
      <c r="E2535" s="13" t="n"/>
      <c r="F2535" s="12" t="n"/>
      <c r="G2535" s="13" t="n"/>
      <c r="H2535" s="12" t="n"/>
      <c r="I2535" s="12" t="n"/>
      <c r="J2535" s="12" t="n"/>
      <c r="K2535" s="12" t="n"/>
      <c r="L2535" s="11" t="n"/>
      <c r="M2535" s="11" t="n"/>
      <c r="N2535" s="11" t="n"/>
      <c r="O2535" s="11" t="n"/>
      <c r="P2535" s="12" t="n"/>
      <c r="Q2535" s="11" t="n"/>
      <c r="R2535" s="12" t="n"/>
      <c r="S2535" s="11" t="n"/>
      <c r="T2535" s="12" t="n"/>
      <c r="U2535" s="12" t="n"/>
      <c r="V2535" s="12" t="n"/>
      <c r="W2535" s="13" t="n"/>
      <c r="X2535" s="14">
        <f>IF($AP2535="",IF($B2535="","",$H2535),IF(INDEX(職員マスタ!$B$6:$B$405,$AP2535)="",$H2535,INDEX(職員マスタ!$B$6:$B$405,$AP2535)))</f>
        <v/>
      </c>
      <c r="Y2535" s="14">
        <f>IF($AP2535="",IF($B2535="","",$R2535),IF(INDEX(職員マスタ!$C$6:$C$405,$AP2535)="",$R2535,INDEX(職員マスタ!$C$6:$C$405,$AP2535)))</f>
        <v/>
      </c>
      <c r="Z2535" s="14">
        <f>IF($AQ2535="","","R"&amp;$C2535&amp;"."&amp;$D2535)</f>
        <v/>
      </c>
      <c r="AA2535" s="15">
        <f>IF(IF($AP2535="",FALSE,INDEX(職員マスタ!$K$6:$K$405,$AP2535)&lt;&gt;""),INDEX(職員マスタ!$K$6:$K$405,$AP2535),IF(N($W2535)&gt;0,$W2535,""))</f>
        <v/>
      </c>
      <c r="AB2535" s="14">
        <f>IF(OR($E2535="",$AA2535=""),"",IF($E2535&gt;=$AA2535,"×",IF($E2535&gt;=$AA2535*設定!$C$5,"△","○")))</f>
        <v/>
      </c>
      <c r="AC2535" s="15">
        <f>IF($AB2535="","",IF($AB2535="×",0,IF($AB2535="○",ROUNDDOWN($E2535*設定!$C$4,0),ROUNDDOWN($E2535*ROUND((9*$AA2535-9*$E2535)/(10*$E2535),4),0))))</f>
        <v/>
      </c>
      <c r="AD2535" s="13" t="n"/>
      <c r="AE2535" s="15">
        <f>IF($B2535="","",IF($AD2535&lt;&gt;"",$AD2535,IF($AC2535="","",IF($AC2535&lt;=設定!$C$3,0,$AC2535))))</f>
        <v/>
      </c>
      <c r="AF2535" s="14">
        <f>IF($B2535="","",IF(AND($AG2535&lt;&gt;"",$AI2535="",$AL2535=""),"保留中",IF($AL2535&lt;&gt;"",IF(N($AE2535)&gt;0,"支給済","不支給"),IF($AE2535="","要確認",IF($AE2535=0,"不支給","未処理")))))</f>
        <v/>
      </c>
      <c r="AG2535" s="12" t="n"/>
      <c r="AH2535" s="11" t="n"/>
      <c r="AI2535" s="11" t="n"/>
      <c r="AJ2535" s="11" t="n"/>
      <c r="AK2535" s="14">
        <f>IF(AND($AF2535="保留中",$AH2535&lt;&gt;""),TODAY()-$AH2535,"")</f>
        <v/>
      </c>
      <c r="AL2535" s="12" t="n"/>
      <c r="AM2535" s="14">
        <f>IF($B2535="","",IF($AQ2535="","対象年月が未入力／","")&amp;IF($B2535="","",IF($AP2535="","職員マスタに未登録の職員番号／",IF($AA2535="","標準報酬月額が未登録／","")&amp;IF(AND($AQ2535&lt;&gt;"",OR(AND(INDEX(職員マスタ!$G$6:$G$405,$AP2535)&lt;&gt;"",INDEX(職員マスタ!$G$6:$G$405,$AP2535)&gt;EOMONTH($AQ2535,0)),AND(INDEX(職員マスタ!$H$6:$H$405,$AP2535)&lt;&gt;"",INDEX(職員マスタ!$H$6:$H$405,$AP2535)&lt;$AQ2535))),"対象月が時短期間外／","")&amp;IF(AND(INDEX(職員マスタ!$K$6:$K$405,$AP2535)&lt;&gt;"",N($W2535)&gt;0,INDEX(職員マスタ!$K$6:$K$405,$AP2535)&lt;&gt;$W2535),"標準報酬月額が申請書と相違（台帳"&amp;TEXT(INDEX(職員マスタ!$K$6:$K$405,$AP2535),"#,##0")&amp;"円／申請書"&amp;TEXT($W2535,"#,##0")&amp;"円）／","")&amp;IF(AND(INDEX(職員マスタ!$F$6:$F$405,$AP2535)&lt;&gt;"",$AQ2535&lt;&gt;"",INDEX(職員マスタ!$F$6:$F$405,$AP2535)&lt;$AQ2535),"対象月に子が2歳到達済／","")&amp;IF(AND($H2535&lt;&gt;"",INDEX(職員マスタ!$B$6:$B$405,$AP2535)&lt;&gt;"",SUBSTITUTE(SUBSTITUTE($H2535," ","")," ","")&lt;&gt;SUBSTITUTE(SUBSTITUTE(INDEX(職員マスタ!$B$6:$B$405,$AP2535)," ","")," ","")),"氏名がマスタと相違／","")&amp;IF(AND($Q2535&lt;&gt;"",INDEX(職員マスタ!$E$6:$E$405,$AP2535)&lt;&gt;"",$Q2535&lt;&gt;INDEX(職員マスタ!$E$6:$E$405,$AP2535)),"子の生年月日がマスタと相違／","")&amp;IF(AND($L2535&lt;&gt;"",INDEX(職員マスタ!$G$6:$G$405,$AP2535)&lt;&gt;"",$L2535&lt;&gt;INDEX(職員マスタ!$G$6:$G$405,$AP2535)),"時短開始日がマスタと相違／","")&amp;IF(AND($M2535&lt;&gt;"",INDEX(職員マスタ!$H$6:$H$405,$AP2535)&lt;&gt;"",$M2535&lt;&gt;INDEX(職員マスタ!$H$6:$H$405,$AP2535)),"時短終了日がマスタと相違／","")))&amp;IF(AND($B2535&lt;&gt;"",$E2535=""),"報酬額が未入力／","")&amp;IF(N($U2535)&gt;0,"申請書に入力エラーが残っています／","")&amp;IF(AND($B2535&lt;&gt;"",$AQ2535&lt;&gt;""),IF(COUNTIFS($B$6:$B$3005,$B2535,$C$6:$C$3005,$C2535,$D$6:$D$3005,$D2535)&gt;1,"同じ月の請求が重複しています／",""),"")&amp;IF(AND(N($E2535)&gt;0,$AB2535&lt;&gt;"",$AB2535&lt;&gt;"×",$AE2535=0,$AD2535=""),"計算額が下限以下のため不支給／",""))</f>
        <v/>
      </c>
      <c r="AN2535" s="12" t="n"/>
      <c r="AO2535" s="14">
        <f>IF($AF2535="保留中",COUNTIF($AF$6:$AF2535,"保留中"),"")</f>
        <v/>
      </c>
      <c r="AP2535" s="14">
        <f>IF($AQ2535="","",IF(SUMPRODUCT(MAX((職員マスタ!$A$6:$A$405=$B2535)*(((職員マスタ!$G$6:$G$405="")+(職員マスタ!$G$6:$G$405&lt;=EOMONTH($AQ2535,0)))&gt;0)*(((職員マスタ!$H$6:$H$405="")+(職員マスタ!$H$6:$H$405&gt;=$AQ2535))&gt;0)*(ROW(職員マスタ!$A$6:$A$405)-5)))&gt;0,SUMPRODUCT(MAX((職員マスタ!$A$6:$A$405=$B2535)*(((職員マスタ!$G$6:$G$405="")+(職員マスタ!$G$6:$G$405&lt;=EOMONTH($AQ2535,0)))&gt;0)*(((職員マスタ!$H$6:$H$405="")+(職員マスタ!$H$6:$H$405&gt;=$AQ2535))&gt;0)*(ROW(職員マスタ!$A$6:$A$405)-5))),IFERROR(MATCH($B2535,職員マスタ!$A$6:$A$405,0),"")))</f>
        <v/>
      </c>
      <c r="AQ2535" s="16">
        <f>IF(OR($B2535="",$C2535="",$D2535=""),"",DATE($C2535+2018,$D2535,1))</f>
        <v/>
      </c>
    </row>
    <row r="2536">
      <c r="A2536" s="11" t="n"/>
      <c r="B2536" s="12" t="n"/>
      <c r="C2536" s="12" t="n"/>
      <c r="D2536" s="12" t="n"/>
      <c r="E2536" s="13" t="n"/>
      <c r="F2536" s="12" t="n"/>
      <c r="G2536" s="13" t="n"/>
      <c r="H2536" s="12" t="n"/>
      <c r="I2536" s="12" t="n"/>
      <c r="J2536" s="12" t="n"/>
      <c r="K2536" s="12" t="n"/>
      <c r="L2536" s="11" t="n"/>
      <c r="M2536" s="11" t="n"/>
      <c r="N2536" s="11" t="n"/>
      <c r="O2536" s="11" t="n"/>
      <c r="P2536" s="12" t="n"/>
      <c r="Q2536" s="11" t="n"/>
      <c r="R2536" s="12" t="n"/>
      <c r="S2536" s="11" t="n"/>
      <c r="T2536" s="12" t="n"/>
      <c r="U2536" s="12" t="n"/>
      <c r="V2536" s="12" t="n"/>
      <c r="W2536" s="13" t="n"/>
      <c r="X2536" s="14">
        <f>IF($AP2536="",IF($B2536="","",$H2536),IF(INDEX(職員マスタ!$B$6:$B$405,$AP2536)="",$H2536,INDEX(職員マスタ!$B$6:$B$405,$AP2536)))</f>
        <v/>
      </c>
      <c r="Y2536" s="14">
        <f>IF($AP2536="",IF($B2536="","",$R2536),IF(INDEX(職員マスタ!$C$6:$C$405,$AP2536)="",$R2536,INDEX(職員マスタ!$C$6:$C$405,$AP2536)))</f>
        <v/>
      </c>
      <c r="Z2536" s="14">
        <f>IF($AQ2536="","","R"&amp;$C2536&amp;"."&amp;$D2536)</f>
        <v/>
      </c>
      <c r="AA2536" s="15">
        <f>IF(IF($AP2536="",FALSE,INDEX(職員マスタ!$K$6:$K$405,$AP2536)&lt;&gt;""),INDEX(職員マスタ!$K$6:$K$405,$AP2536),IF(N($W2536)&gt;0,$W2536,""))</f>
        <v/>
      </c>
      <c r="AB2536" s="14">
        <f>IF(OR($E2536="",$AA2536=""),"",IF($E2536&gt;=$AA2536,"×",IF($E2536&gt;=$AA2536*設定!$C$5,"△","○")))</f>
        <v/>
      </c>
      <c r="AC2536" s="15">
        <f>IF($AB2536="","",IF($AB2536="×",0,IF($AB2536="○",ROUNDDOWN($E2536*設定!$C$4,0),ROUNDDOWN($E2536*ROUND((9*$AA2536-9*$E2536)/(10*$E2536),4),0))))</f>
        <v/>
      </c>
      <c r="AD2536" s="13" t="n"/>
      <c r="AE2536" s="15">
        <f>IF($B2536="","",IF($AD2536&lt;&gt;"",$AD2536,IF($AC2536="","",IF($AC2536&lt;=設定!$C$3,0,$AC2536))))</f>
        <v/>
      </c>
      <c r="AF2536" s="14">
        <f>IF($B2536="","",IF(AND($AG2536&lt;&gt;"",$AI2536="",$AL2536=""),"保留中",IF($AL2536&lt;&gt;"",IF(N($AE2536)&gt;0,"支給済","不支給"),IF($AE2536="","要確認",IF($AE2536=0,"不支給","未処理")))))</f>
        <v/>
      </c>
      <c r="AG2536" s="12" t="n"/>
      <c r="AH2536" s="11" t="n"/>
      <c r="AI2536" s="11" t="n"/>
      <c r="AJ2536" s="11" t="n"/>
      <c r="AK2536" s="14">
        <f>IF(AND($AF2536="保留中",$AH2536&lt;&gt;""),TODAY()-$AH2536,"")</f>
        <v/>
      </c>
      <c r="AL2536" s="12" t="n"/>
      <c r="AM2536" s="14">
        <f>IF($B2536="","",IF($AQ2536="","対象年月が未入力／","")&amp;IF($B2536="","",IF($AP2536="","職員マスタに未登録の職員番号／",IF($AA2536="","標準報酬月額が未登録／","")&amp;IF(AND($AQ2536&lt;&gt;"",OR(AND(INDEX(職員マスタ!$G$6:$G$405,$AP2536)&lt;&gt;"",INDEX(職員マスタ!$G$6:$G$405,$AP2536)&gt;EOMONTH($AQ2536,0)),AND(INDEX(職員マスタ!$H$6:$H$405,$AP2536)&lt;&gt;"",INDEX(職員マスタ!$H$6:$H$405,$AP2536)&lt;$AQ2536))),"対象月が時短期間外／","")&amp;IF(AND(INDEX(職員マスタ!$K$6:$K$405,$AP2536)&lt;&gt;"",N($W2536)&gt;0,INDEX(職員マスタ!$K$6:$K$405,$AP2536)&lt;&gt;$W2536),"標準報酬月額が申請書と相違（台帳"&amp;TEXT(INDEX(職員マスタ!$K$6:$K$405,$AP2536),"#,##0")&amp;"円／申請書"&amp;TEXT($W2536,"#,##0")&amp;"円）／","")&amp;IF(AND(INDEX(職員マスタ!$F$6:$F$405,$AP2536)&lt;&gt;"",$AQ2536&lt;&gt;"",INDEX(職員マスタ!$F$6:$F$405,$AP2536)&lt;$AQ2536),"対象月に子が2歳到達済／","")&amp;IF(AND($H2536&lt;&gt;"",INDEX(職員マスタ!$B$6:$B$405,$AP2536)&lt;&gt;"",SUBSTITUTE(SUBSTITUTE($H2536," ","")," ","")&lt;&gt;SUBSTITUTE(SUBSTITUTE(INDEX(職員マスタ!$B$6:$B$405,$AP2536)," ","")," ","")),"氏名がマスタと相違／","")&amp;IF(AND($Q2536&lt;&gt;"",INDEX(職員マスタ!$E$6:$E$405,$AP2536)&lt;&gt;"",$Q2536&lt;&gt;INDEX(職員マスタ!$E$6:$E$405,$AP2536)),"子の生年月日がマスタと相違／","")&amp;IF(AND($L2536&lt;&gt;"",INDEX(職員マスタ!$G$6:$G$405,$AP2536)&lt;&gt;"",$L2536&lt;&gt;INDEX(職員マスタ!$G$6:$G$405,$AP2536)),"時短開始日がマスタと相違／","")&amp;IF(AND($M2536&lt;&gt;"",INDEX(職員マスタ!$H$6:$H$405,$AP2536)&lt;&gt;"",$M2536&lt;&gt;INDEX(職員マスタ!$H$6:$H$405,$AP2536)),"時短終了日がマスタと相違／","")))&amp;IF(AND($B2536&lt;&gt;"",$E2536=""),"報酬額が未入力／","")&amp;IF(N($U2536)&gt;0,"申請書に入力エラーが残っています／","")&amp;IF(AND($B2536&lt;&gt;"",$AQ2536&lt;&gt;""),IF(COUNTIFS($B$6:$B$3005,$B2536,$C$6:$C$3005,$C2536,$D$6:$D$3005,$D2536)&gt;1,"同じ月の請求が重複しています／",""),"")&amp;IF(AND(N($E2536)&gt;0,$AB2536&lt;&gt;"",$AB2536&lt;&gt;"×",$AE2536=0,$AD2536=""),"計算額が下限以下のため不支給／",""))</f>
        <v/>
      </c>
      <c r="AN2536" s="12" t="n"/>
      <c r="AO2536" s="14">
        <f>IF($AF2536="保留中",COUNTIF($AF$6:$AF2536,"保留中"),"")</f>
        <v/>
      </c>
      <c r="AP2536" s="14">
        <f>IF($AQ2536="","",IF(SUMPRODUCT(MAX((職員マスタ!$A$6:$A$405=$B2536)*(((職員マスタ!$G$6:$G$405="")+(職員マスタ!$G$6:$G$405&lt;=EOMONTH($AQ2536,0)))&gt;0)*(((職員マスタ!$H$6:$H$405="")+(職員マスタ!$H$6:$H$405&gt;=$AQ2536))&gt;0)*(ROW(職員マスタ!$A$6:$A$405)-5)))&gt;0,SUMPRODUCT(MAX((職員マスタ!$A$6:$A$405=$B2536)*(((職員マスタ!$G$6:$G$405="")+(職員マスタ!$G$6:$G$405&lt;=EOMONTH($AQ2536,0)))&gt;0)*(((職員マスタ!$H$6:$H$405="")+(職員マスタ!$H$6:$H$405&gt;=$AQ2536))&gt;0)*(ROW(職員マスタ!$A$6:$A$405)-5))),IFERROR(MATCH($B2536,職員マスタ!$A$6:$A$405,0),"")))</f>
        <v/>
      </c>
      <c r="AQ2536" s="16">
        <f>IF(OR($B2536="",$C2536="",$D2536=""),"",DATE($C2536+2018,$D2536,1))</f>
        <v/>
      </c>
    </row>
    <row r="2537">
      <c r="A2537" s="11" t="n"/>
      <c r="B2537" s="12" t="n"/>
      <c r="C2537" s="12" t="n"/>
      <c r="D2537" s="12" t="n"/>
      <c r="E2537" s="13" t="n"/>
      <c r="F2537" s="12" t="n"/>
      <c r="G2537" s="13" t="n"/>
      <c r="H2537" s="12" t="n"/>
      <c r="I2537" s="12" t="n"/>
      <c r="J2537" s="12" t="n"/>
      <c r="K2537" s="12" t="n"/>
      <c r="L2537" s="11" t="n"/>
      <c r="M2537" s="11" t="n"/>
      <c r="N2537" s="11" t="n"/>
      <c r="O2537" s="11" t="n"/>
      <c r="P2537" s="12" t="n"/>
      <c r="Q2537" s="11" t="n"/>
      <c r="R2537" s="12" t="n"/>
      <c r="S2537" s="11" t="n"/>
      <c r="T2537" s="12" t="n"/>
      <c r="U2537" s="12" t="n"/>
      <c r="V2537" s="12" t="n"/>
      <c r="W2537" s="13" t="n"/>
      <c r="X2537" s="14">
        <f>IF($AP2537="",IF($B2537="","",$H2537),IF(INDEX(職員マスタ!$B$6:$B$405,$AP2537)="",$H2537,INDEX(職員マスタ!$B$6:$B$405,$AP2537)))</f>
        <v/>
      </c>
      <c r="Y2537" s="14">
        <f>IF($AP2537="",IF($B2537="","",$R2537),IF(INDEX(職員マスタ!$C$6:$C$405,$AP2537)="",$R2537,INDEX(職員マスタ!$C$6:$C$405,$AP2537)))</f>
        <v/>
      </c>
      <c r="Z2537" s="14">
        <f>IF($AQ2537="","","R"&amp;$C2537&amp;"."&amp;$D2537)</f>
        <v/>
      </c>
      <c r="AA2537" s="15">
        <f>IF(IF($AP2537="",FALSE,INDEX(職員マスタ!$K$6:$K$405,$AP2537)&lt;&gt;""),INDEX(職員マスタ!$K$6:$K$405,$AP2537),IF(N($W2537)&gt;0,$W2537,""))</f>
        <v/>
      </c>
      <c r="AB2537" s="14">
        <f>IF(OR($E2537="",$AA2537=""),"",IF($E2537&gt;=$AA2537,"×",IF($E2537&gt;=$AA2537*設定!$C$5,"△","○")))</f>
        <v/>
      </c>
      <c r="AC2537" s="15">
        <f>IF($AB2537="","",IF($AB2537="×",0,IF($AB2537="○",ROUNDDOWN($E2537*設定!$C$4,0),ROUNDDOWN($E2537*ROUND((9*$AA2537-9*$E2537)/(10*$E2537),4),0))))</f>
        <v/>
      </c>
      <c r="AD2537" s="13" t="n"/>
      <c r="AE2537" s="15">
        <f>IF($B2537="","",IF($AD2537&lt;&gt;"",$AD2537,IF($AC2537="","",IF($AC2537&lt;=設定!$C$3,0,$AC2537))))</f>
        <v/>
      </c>
      <c r="AF2537" s="14">
        <f>IF($B2537="","",IF(AND($AG2537&lt;&gt;"",$AI2537="",$AL2537=""),"保留中",IF($AL2537&lt;&gt;"",IF(N($AE2537)&gt;0,"支給済","不支給"),IF($AE2537="","要確認",IF($AE2537=0,"不支給","未処理")))))</f>
        <v/>
      </c>
      <c r="AG2537" s="12" t="n"/>
      <c r="AH2537" s="11" t="n"/>
      <c r="AI2537" s="11" t="n"/>
      <c r="AJ2537" s="11" t="n"/>
      <c r="AK2537" s="14">
        <f>IF(AND($AF2537="保留中",$AH2537&lt;&gt;""),TODAY()-$AH2537,"")</f>
        <v/>
      </c>
      <c r="AL2537" s="12" t="n"/>
      <c r="AM2537" s="14">
        <f>IF($B2537="","",IF($AQ2537="","対象年月が未入力／","")&amp;IF($B2537="","",IF($AP2537="","職員マスタに未登録の職員番号／",IF($AA2537="","標準報酬月額が未登録／","")&amp;IF(AND($AQ2537&lt;&gt;"",OR(AND(INDEX(職員マスタ!$G$6:$G$405,$AP2537)&lt;&gt;"",INDEX(職員マスタ!$G$6:$G$405,$AP2537)&gt;EOMONTH($AQ2537,0)),AND(INDEX(職員マスタ!$H$6:$H$405,$AP2537)&lt;&gt;"",INDEX(職員マスタ!$H$6:$H$405,$AP2537)&lt;$AQ2537))),"対象月が時短期間外／","")&amp;IF(AND(INDEX(職員マスタ!$K$6:$K$405,$AP2537)&lt;&gt;"",N($W2537)&gt;0,INDEX(職員マスタ!$K$6:$K$405,$AP2537)&lt;&gt;$W2537),"標準報酬月額が申請書と相違（台帳"&amp;TEXT(INDEX(職員マスタ!$K$6:$K$405,$AP2537),"#,##0")&amp;"円／申請書"&amp;TEXT($W2537,"#,##0")&amp;"円）／","")&amp;IF(AND(INDEX(職員マスタ!$F$6:$F$405,$AP2537)&lt;&gt;"",$AQ2537&lt;&gt;"",INDEX(職員マスタ!$F$6:$F$405,$AP2537)&lt;$AQ2537),"対象月に子が2歳到達済／","")&amp;IF(AND($H2537&lt;&gt;"",INDEX(職員マスタ!$B$6:$B$405,$AP2537)&lt;&gt;"",SUBSTITUTE(SUBSTITUTE($H2537," ","")," ","")&lt;&gt;SUBSTITUTE(SUBSTITUTE(INDEX(職員マスタ!$B$6:$B$405,$AP2537)," ","")," ","")),"氏名がマスタと相違／","")&amp;IF(AND($Q2537&lt;&gt;"",INDEX(職員マスタ!$E$6:$E$405,$AP2537)&lt;&gt;"",$Q2537&lt;&gt;INDEX(職員マスタ!$E$6:$E$405,$AP2537)),"子の生年月日がマスタと相違／","")&amp;IF(AND($L2537&lt;&gt;"",INDEX(職員マスタ!$G$6:$G$405,$AP2537)&lt;&gt;"",$L2537&lt;&gt;INDEX(職員マスタ!$G$6:$G$405,$AP2537)),"時短開始日がマスタと相違／","")&amp;IF(AND($M2537&lt;&gt;"",INDEX(職員マスタ!$H$6:$H$405,$AP2537)&lt;&gt;"",$M2537&lt;&gt;INDEX(職員マスタ!$H$6:$H$405,$AP2537)),"時短終了日がマスタと相違／","")))&amp;IF(AND($B2537&lt;&gt;"",$E2537=""),"報酬額が未入力／","")&amp;IF(N($U2537)&gt;0,"申請書に入力エラーが残っています／","")&amp;IF(AND($B2537&lt;&gt;"",$AQ2537&lt;&gt;""),IF(COUNTIFS($B$6:$B$3005,$B2537,$C$6:$C$3005,$C2537,$D$6:$D$3005,$D2537)&gt;1,"同じ月の請求が重複しています／",""),"")&amp;IF(AND(N($E2537)&gt;0,$AB2537&lt;&gt;"",$AB2537&lt;&gt;"×",$AE2537=0,$AD2537=""),"計算額が下限以下のため不支給／",""))</f>
        <v/>
      </c>
      <c r="AN2537" s="12" t="n"/>
      <c r="AO2537" s="14">
        <f>IF($AF2537="保留中",COUNTIF($AF$6:$AF2537,"保留中"),"")</f>
        <v/>
      </c>
      <c r="AP2537" s="14">
        <f>IF($AQ2537="","",IF(SUMPRODUCT(MAX((職員マスタ!$A$6:$A$405=$B2537)*(((職員マスタ!$G$6:$G$405="")+(職員マスタ!$G$6:$G$405&lt;=EOMONTH($AQ2537,0)))&gt;0)*(((職員マスタ!$H$6:$H$405="")+(職員マスタ!$H$6:$H$405&gt;=$AQ2537))&gt;0)*(ROW(職員マスタ!$A$6:$A$405)-5)))&gt;0,SUMPRODUCT(MAX((職員マスタ!$A$6:$A$405=$B2537)*(((職員マスタ!$G$6:$G$405="")+(職員マスタ!$G$6:$G$405&lt;=EOMONTH($AQ2537,0)))&gt;0)*(((職員マスタ!$H$6:$H$405="")+(職員マスタ!$H$6:$H$405&gt;=$AQ2537))&gt;0)*(ROW(職員マスタ!$A$6:$A$405)-5))),IFERROR(MATCH($B2537,職員マスタ!$A$6:$A$405,0),"")))</f>
        <v/>
      </c>
      <c r="AQ2537" s="16">
        <f>IF(OR($B2537="",$C2537="",$D2537=""),"",DATE($C2537+2018,$D2537,1))</f>
        <v/>
      </c>
    </row>
    <row r="2538">
      <c r="A2538" s="11" t="n"/>
      <c r="B2538" s="12" t="n"/>
      <c r="C2538" s="12" t="n"/>
      <c r="D2538" s="12" t="n"/>
      <c r="E2538" s="13" t="n"/>
      <c r="F2538" s="12" t="n"/>
      <c r="G2538" s="13" t="n"/>
      <c r="H2538" s="12" t="n"/>
      <c r="I2538" s="12" t="n"/>
      <c r="J2538" s="12" t="n"/>
      <c r="K2538" s="12" t="n"/>
      <c r="L2538" s="11" t="n"/>
      <c r="M2538" s="11" t="n"/>
      <c r="N2538" s="11" t="n"/>
      <c r="O2538" s="11" t="n"/>
      <c r="P2538" s="12" t="n"/>
      <c r="Q2538" s="11" t="n"/>
      <c r="R2538" s="12" t="n"/>
      <c r="S2538" s="11" t="n"/>
      <c r="T2538" s="12" t="n"/>
      <c r="U2538" s="12" t="n"/>
      <c r="V2538" s="12" t="n"/>
      <c r="W2538" s="13" t="n"/>
      <c r="X2538" s="14">
        <f>IF($AP2538="",IF($B2538="","",$H2538),IF(INDEX(職員マスタ!$B$6:$B$405,$AP2538)="",$H2538,INDEX(職員マスタ!$B$6:$B$405,$AP2538)))</f>
        <v/>
      </c>
      <c r="Y2538" s="14">
        <f>IF($AP2538="",IF($B2538="","",$R2538),IF(INDEX(職員マスタ!$C$6:$C$405,$AP2538)="",$R2538,INDEX(職員マスタ!$C$6:$C$405,$AP2538)))</f>
        <v/>
      </c>
      <c r="Z2538" s="14">
        <f>IF($AQ2538="","","R"&amp;$C2538&amp;"."&amp;$D2538)</f>
        <v/>
      </c>
      <c r="AA2538" s="15">
        <f>IF(IF($AP2538="",FALSE,INDEX(職員マスタ!$K$6:$K$405,$AP2538)&lt;&gt;""),INDEX(職員マスタ!$K$6:$K$405,$AP2538),IF(N($W2538)&gt;0,$W2538,""))</f>
        <v/>
      </c>
      <c r="AB2538" s="14">
        <f>IF(OR($E2538="",$AA2538=""),"",IF($E2538&gt;=$AA2538,"×",IF($E2538&gt;=$AA2538*設定!$C$5,"△","○")))</f>
        <v/>
      </c>
      <c r="AC2538" s="15">
        <f>IF($AB2538="","",IF($AB2538="×",0,IF($AB2538="○",ROUNDDOWN($E2538*設定!$C$4,0),ROUNDDOWN($E2538*ROUND((9*$AA2538-9*$E2538)/(10*$E2538),4),0))))</f>
        <v/>
      </c>
      <c r="AD2538" s="13" t="n"/>
      <c r="AE2538" s="15">
        <f>IF($B2538="","",IF($AD2538&lt;&gt;"",$AD2538,IF($AC2538="","",IF($AC2538&lt;=設定!$C$3,0,$AC2538))))</f>
        <v/>
      </c>
      <c r="AF2538" s="14">
        <f>IF($B2538="","",IF(AND($AG2538&lt;&gt;"",$AI2538="",$AL2538=""),"保留中",IF($AL2538&lt;&gt;"",IF(N($AE2538)&gt;0,"支給済","不支給"),IF($AE2538="","要確認",IF($AE2538=0,"不支給","未処理")))))</f>
        <v/>
      </c>
      <c r="AG2538" s="12" t="n"/>
      <c r="AH2538" s="11" t="n"/>
      <c r="AI2538" s="11" t="n"/>
      <c r="AJ2538" s="11" t="n"/>
      <c r="AK2538" s="14">
        <f>IF(AND($AF2538="保留中",$AH2538&lt;&gt;""),TODAY()-$AH2538,"")</f>
        <v/>
      </c>
      <c r="AL2538" s="12" t="n"/>
      <c r="AM2538" s="14">
        <f>IF($B2538="","",IF($AQ2538="","対象年月が未入力／","")&amp;IF($B2538="","",IF($AP2538="","職員マスタに未登録の職員番号／",IF($AA2538="","標準報酬月額が未登録／","")&amp;IF(AND($AQ2538&lt;&gt;"",OR(AND(INDEX(職員マスタ!$G$6:$G$405,$AP2538)&lt;&gt;"",INDEX(職員マスタ!$G$6:$G$405,$AP2538)&gt;EOMONTH($AQ2538,0)),AND(INDEX(職員マスタ!$H$6:$H$405,$AP2538)&lt;&gt;"",INDEX(職員マスタ!$H$6:$H$405,$AP2538)&lt;$AQ2538))),"対象月が時短期間外／","")&amp;IF(AND(INDEX(職員マスタ!$K$6:$K$405,$AP2538)&lt;&gt;"",N($W2538)&gt;0,INDEX(職員マスタ!$K$6:$K$405,$AP2538)&lt;&gt;$W2538),"標準報酬月額が申請書と相違（台帳"&amp;TEXT(INDEX(職員マスタ!$K$6:$K$405,$AP2538),"#,##0")&amp;"円／申請書"&amp;TEXT($W2538,"#,##0")&amp;"円）／","")&amp;IF(AND(INDEX(職員マスタ!$F$6:$F$405,$AP2538)&lt;&gt;"",$AQ2538&lt;&gt;"",INDEX(職員マスタ!$F$6:$F$405,$AP2538)&lt;$AQ2538),"対象月に子が2歳到達済／","")&amp;IF(AND($H2538&lt;&gt;"",INDEX(職員マスタ!$B$6:$B$405,$AP2538)&lt;&gt;"",SUBSTITUTE(SUBSTITUTE($H2538," ","")," ","")&lt;&gt;SUBSTITUTE(SUBSTITUTE(INDEX(職員マスタ!$B$6:$B$405,$AP2538)," ","")," ","")),"氏名がマスタと相違／","")&amp;IF(AND($Q2538&lt;&gt;"",INDEX(職員マスタ!$E$6:$E$405,$AP2538)&lt;&gt;"",$Q2538&lt;&gt;INDEX(職員マスタ!$E$6:$E$405,$AP2538)),"子の生年月日がマスタと相違／","")&amp;IF(AND($L2538&lt;&gt;"",INDEX(職員マスタ!$G$6:$G$405,$AP2538)&lt;&gt;"",$L2538&lt;&gt;INDEX(職員マスタ!$G$6:$G$405,$AP2538)),"時短開始日がマスタと相違／","")&amp;IF(AND($M2538&lt;&gt;"",INDEX(職員マスタ!$H$6:$H$405,$AP2538)&lt;&gt;"",$M2538&lt;&gt;INDEX(職員マスタ!$H$6:$H$405,$AP2538)),"時短終了日がマスタと相違／","")))&amp;IF(AND($B2538&lt;&gt;"",$E2538=""),"報酬額が未入力／","")&amp;IF(N($U2538)&gt;0,"申請書に入力エラーが残っています／","")&amp;IF(AND($B2538&lt;&gt;"",$AQ2538&lt;&gt;""),IF(COUNTIFS($B$6:$B$3005,$B2538,$C$6:$C$3005,$C2538,$D$6:$D$3005,$D2538)&gt;1,"同じ月の請求が重複しています／",""),"")&amp;IF(AND(N($E2538)&gt;0,$AB2538&lt;&gt;"",$AB2538&lt;&gt;"×",$AE2538=0,$AD2538=""),"計算額が下限以下のため不支給／",""))</f>
        <v/>
      </c>
      <c r="AN2538" s="12" t="n"/>
      <c r="AO2538" s="14">
        <f>IF($AF2538="保留中",COUNTIF($AF$6:$AF2538,"保留中"),"")</f>
        <v/>
      </c>
      <c r="AP2538" s="14">
        <f>IF($AQ2538="","",IF(SUMPRODUCT(MAX((職員マスタ!$A$6:$A$405=$B2538)*(((職員マスタ!$G$6:$G$405="")+(職員マスタ!$G$6:$G$405&lt;=EOMONTH($AQ2538,0)))&gt;0)*(((職員マスタ!$H$6:$H$405="")+(職員マスタ!$H$6:$H$405&gt;=$AQ2538))&gt;0)*(ROW(職員マスタ!$A$6:$A$405)-5)))&gt;0,SUMPRODUCT(MAX((職員マスタ!$A$6:$A$405=$B2538)*(((職員マスタ!$G$6:$G$405="")+(職員マスタ!$G$6:$G$405&lt;=EOMONTH($AQ2538,0)))&gt;0)*(((職員マスタ!$H$6:$H$405="")+(職員マスタ!$H$6:$H$405&gt;=$AQ2538))&gt;0)*(ROW(職員マスタ!$A$6:$A$405)-5))),IFERROR(MATCH($B2538,職員マスタ!$A$6:$A$405,0),"")))</f>
        <v/>
      </c>
      <c r="AQ2538" s="16">
        <f>IF(OR($B2538="",$C2538="",$D2538=""),"",DATE($C2538+2018,$D2538,1))</f>
        <v/>
      </c>
    </row>
    <row r="2539">
      <c r="A2539" s="11" t="n"/>
      <c r="B2539" s="12" t="n"/>
      <c r="C2539" s="12" t="n"/>
      <c r="D2539" s="12" t="n"/>
      <c r="E2539" s="13" t="n"/>
      <c r="F2539" s="12" t="n"/>
      <c r="G2539" s="13" t="n"/>
      <c r="H2539" s="12" t="n"/>
      <c r="I2539" s="12" t="n"/>
      <c r="J2539" s="12" t="n"/>
      <c r="K2539" s="12" t="n"/>
      <c r="L2539" s="11" t="n"/>
      <c r="M2539" s="11" t="n"/>
      <c r="N2539" s="11" t="n"/>
      <c r="O2539" s="11" t="n"/>
      <c r="P2539" s="12" t="n"/>
      <c r="Q2539" s="11" t="n"/>
      <c r="R2539" s="12" t="n"/>
      <c r="S2539" s="11" t="n"/>
      <c r="T2539" s="12" t="n"/>
      <c r="U2539" s="12" t="n"/>
      <c r="V2539" s="12" t="n"/>
      <c r="W2539" s="13" t="n"/>
      <c r="X2539" s="14">
        <f>IF($AP2539="",IF($B2539="","",$H2539),IF(INDEX(職員マスタ!$B$6:$B$405,$AP2539)="",$H2539,INDEX(職員マスタ!$B$6:$B$405,$AP2539)))</f>
        <v/>
      </c>
      <c r="Y2539" s="14">
        <f>IF($AP2539="",IF($B2539="","",$R2539),IF(INDEX(職員マスタ!$C$6:$C$405,$AP2539)="",$R2539,INDEX(職員マスタ!$C$6:$C$405,$AP2539)))</f>
        <v/>
      </c>
      <c r="Z2539" s="14">
        <f>IF($AQ2539="","","R"&amp;$C2539&amp;"."&amp;$D2539)</f>
        <v/>
      </c>
      <c r="AA2539" s="15">
        <f>IF(IF($AP2539="",FALSE,INDEX(職員マスタ!$K$6:$K$405,$AP2539)&lt;&gt;""),INDEX(職員マスタ!$K$6:$K$405,$AP2539),IF(N($W2539)&gt;0,$W2539,""))</f>
        <v/>
      </c>
      <c r="AB2539" s="14">
        <f>IF(OR($E2539="",$AA2539=""),"",IF($E2539&gt;=$AA2539,"×",IF($E2539&gt;=$AA2539*設定!$C$5,"△","○")))</f>
        <v/>
      </c>
      <c r="AC2539" s="15">
        <f>IF($AB2539="","",IF($AB2539="×",0,IF($AB2539="○",ROUNDDOWN($E2539*設定!$C$4,0),ROUNDDOWN($E2539*ROUND((9*$AA2539-9*$E2539)/(10*$E2539),4),0))))</f>
        <v/>
      </c>
      <c r="AD2539" s="13" t="n"/>
      <c r="AE2539" s="15">
        <f>IF($B2539="","",IF($AD2539&lt;&gt;"",$AD2539,IF($AC2539="","",IF($AC2539&lt;=設定!$C$3,0,$AC2539))))</f>
        <v/>
      </c>
      <c r="AF2539" s="14">
        <f>IF($B2539="","",IF(AND($AG2539&lt;&gt;"",$AI2539="",$AL2539=""),"保留中",IF($AL2539&lt;&gt;"",IF(N($AE2539)&gt;0,"支給済","不支給"),IF($AE2539="","要確認",IF($AE2539=0,"不支給","未処理")))))</f>
        <v/>
      </c>
      <c r="AG2539" s="12" t="n"/>
      <c r="AH2539" s="11" t="n"/>
      <c r="AI2539" s="11" t="n"/>
      <c r="AJ2539" s="11" t="n"/>
      <c r="AK2539" s="14">
        <f>IF(AND($AF2539="保留中",$AH2539&lt;&gt;""),TODAY()-$AH2539,"")</f>
        <v/>
      </c>
      <c r="AL2539" s="12" t="n"/>
      <c r="AM2539" s="14">
        <f>IF($B2539="","",IF($AQ2539="","対象年月が未入力／","")&amp;IF($B2539="","",IF($AP2539="","職員マスタに未登録の職員番号／",IF($AA2539="","標準報酬月額が未登録／","")&amp;IF(AND($AQ2539&lt;&gt;"",OR(AND(INDEX(職員マスタ!$G$6:$G$405,$AP2539)&lt;&gt;"",INDEX(職員マスタ!$G$6:$G$405,$AP2539)&gt;EOMONTH($AQ2539,0)),AND(INDEX(職員マスタ!$H$6:$H$405,$AP2539)&lt;&gt;"",INDEX(職員マスタ!$H$6:$H$405,$AP2539)&lt;$AQ2539))),"対象月が時短期間外／","")&amp;IF(AND(INDEX(職員マスタ!$K$6:$K$405,$AP2539)&lt;&gt;"",N($W2539)&gt;0,INDEX(職員マスタ!$K$6:$K$405,$AP2539)&lt;&gt;$W2539),"標準報酬月額が申請書と相違（台帳"&amp;TEXT(INDEX(職員マスタ!$K$6:$K$405,$AP2539),"#,##0")&amp;"円／申請書"&amp;TEXT($W2539,"#,##0")&amp;"円）／","")&amp;IF(AND(INDEX(職員マスタ!$F$6:$F$405,$AP2539)&lt;&gt;"",$AQ2539&lt;&gt;"",INDEX(職員マスタ!$F$6:$F$405,$AP2539)&lt;$AQ2539),"対象月に子が2歳到達済／","")&amp;IF(AND($H2539&lt;&gt;"",INDEX(職員マスタ!$B$6:$B$405,$AP2539)&lt;&gt;"",SUBSTITUTE(SUBSTITUTE($H2539," ","")," ","")&lt;&gt;SUBSTITUTE(SUBSTITUTE(INDEX(職員マスタ!$B$6:$B$405,$AP2539)," ","")," ","")),"氏名がマスタと相違／","")&amp;IF(AND($Q2539&lt;&gt;"",INDEX(職員マスタ!$E$6:$E$405,$AP2539)&lt;&gt;"",$Q2539&lt;&gt;INDEX(職員マスタ!$E$6:$E$405,$AP2539)),"子の生年月日がマスタと相違／","")&amp;IF(AND($L2539&lt;&gt;"",INDEX(職員マスタ!$G$6:$G$405,$AP2539)&lt;&gt;"",$L2539&lt;&gt;INDEX(職員マスタ!$G$6:$G$405,$AP2539)),"時短開始日がマスタと相違／","")&amp;IF(AND($M2539&lt;&gt;"",INDEX(職員マスタ!$H$6:$H$405,$AP2539)&lt;&gt;"",$M2539&lt;&gt;INDEX(職員マスタ!$H$6:$H$405,$AP2539)),"時短終了日がマスタと相違／","")))&amp;IF(AND($B2539&lt;&gt;"",$E2539=""),"報酬額が未入力／","")&amp;IF(N($U2539)&gt;0,"申請書に入力エラーが残っています／","")&amp;IF(AND($B2539&lt;&gt;"",$AQ2539&lt;&gt;""),IF(COUNTIFS($B$6:$B$3005,$B2539,$C$6:$C$3005,$C2539,$D$6:$D$3005,$D2539)&gt;1,"同じ月の請求が重複しています／",""),"")&amp;IF(AND(N($E2539)&gt;0,$AB2539&lt;&gt;"",$AB2539&lt;&gt;"×",$AE2539=0,$AD2539=""),"計算額が下限以下のため不支給／",""))</f>
        <v/>
      </c>
      <c r="AN2539" s="12" t="n"/>
      <c r="AO2539" s="14">
        <f>IF($AF2539="保留中",COUNTIF($AF$6:$AF2539,"保留中"),"")</f>
        <v/>
      </c>
      <c r="AP2539" s="14">
        <f>IF($AQ2539="","",IF(SUMPRODUCT(MAX((職員マスタ!$A$6:$A$405=$B2539)*(((職員マスタ!$G$6:$G$405="")+(職員マスタ!$G$6:$G$405&lt;=EOMONTH($AQ2539,0)))&gt;0)*(((職員マスタ!$H$6:$H$405="")+(職員マスタ!$H$6:$H$405&gt;=$AQ2539))&gt;0)*(ROW(職員マスタ!$A$6:$A$405)-5)))&gt;0,SUMPRODUCT(MAX((職員マスタ!$A$6:$A$405=$B2539)*(((職員マスタ!$G$6:$G$405="")+(職員マスタ!$G$6:$G$405&lt;=EOMONTH($AQ2539,0)))&gt;0)*(((職員マスタ!$H$6:$H$405="")+(職員マスタ!$H$6:$H$405&gt;=$AQ2539))&gt;0)*(ROW(職員マスタ!$A$6:$A$405)-5))),IFERROR(MATCH($B2539,職員マスタ!$A$6:$A$405,0),"")))</f>
        <v/>
      </c>
      <c r="AQ2539" s="16">
        <f>IF(OR($B2539="",$C2539="",$D2539=""),"",DATE($C2539+2018,$D2539,1))</f>
        <v/>
      </c>
    </row>
    <row r="2540">
      <c r="A2540" s="11" t="n"/>
      <c r="B2540" s="12" t="n"/>
      <c r="C2540" s="12" t="n"/>
      <c r="D2540" s="12" t="n"/>
      <c r="E2540" s="13" t="n"/>
      <c r="F2540" s="12" t="n"/>
      <c r="G2540" s="13" t="n"/>
      <c r="H2540" s="12" t="n"/>
      <c r="I2540" s="12" t="n"/>
      <c r="J2540" s="12" t="n"/>
      <c r="K2540" s="12" t="n"/>
      <c r="L2540" s="11" t="n"/>
      <c r="M2540" s="11" t="n"/>
      <c r="N2540" s="11" t="n"/>
      <c r="O2540" s="11" t="n"/>
      <c r="P2540" s="12" t="n"/>
      <c r="Q2540" s="11" t="n"/>
      <c r="R2540" s="12" t="n"/>
      <c r="S2540" s="11" t="n"/>
      <c r="T2540" s="12" t="n"/>
      <c r="U2540" s="12" t="n"/>
      <c r="V2540" s="12" t="n"/>
      <c r="W2540" s="13" t="n"/>
      <c r="X2540" s="14">
        <f>IF($AP2540="",IF($B2540="","",$H2540),IF(INDEX(職員マスタ!$B$6:$B$405,$AP2540)="",$H2540,INDEX(職員マスタ!$B$6:$B$405,$AP2540)))</f>
        <v/>
      </c>
      <c r="Y2540" s="14">
        <f>IF($AP2540="",IF($B2540="","",$R2540),IF(INDEX(職員マスタ!$C$6:$C$405,$AP2540)="",$R2540,INDEX(職員マスタ!$C$6:$C$405,$AP2540)))</f>
        <v/>
      </c>
      <c r="Z2540" s="14">
        <f>IF($AQ2540="","","R"&amp;$C2540&amp;"."&amp;$D2540)</f>
        <v/>
      </c>
      <c r="AA2540" s="15">
        <f>IF(IF($AP2540="",FALSE,INDEX(職員マスタ!$K$6:$K$405,$AP2540)&lt;&gt;""),INDEX(職員マスタ!$K$6:$K$405,$AP2540),IF(N($W2540)&gt;0,$W2540,""))</f>
        <v/>
      </c>
      <c r="AB2540" s="14">
        <f>IF(OR($E2540="",$AA2540=""),"",IF($E2540&gt;=$AA2540,"×",IF($E2540&gt;=$AA2540*設定!$C$5,"△","○")))</f>
        <v/>
      </c>
      <c r="AC2540" s="15">
        <f>IF($AB2540="","",IF($AB2540="×",0,IF($AB2540="○",ROUNDDOWN($E2540*設定!$C$4,0),ROUNDDOWN($E2540*ROUND((9*$AA2540-9*$E2540)/(10*$E2540),4),0))))</f>
        <v/>
      </c>
      <c r="AD2540" s="13" t="n"/>
      <c r="AE2540" s="15">
        <f>IF($B2540="","",IF($AD2540&lt;&gt;"",$AD2540,IF($AC2540="","",IF($AC2540&lt;=設定!$C$3,0,$AC2540))))</f>
        <v/>
      </c>
      <c r="AF2540" s="14">
        <f>IF($B2540="","",IF(AND($AG2540&lt;&gt;"",$AI2540="",$AL2540=""),"保留中",IF($AL2540&lt;&gt;"",IF(N($AE2540)&gt;0,"支給済","不支給"),IF($AE2540="","要確認",IF($AE2540=0,"不支給","未処理")))))</f>
        <v/>
      </c>
      <c r="AG2540" s="12" t="n"/>
      <c r="AH2540" s="11" t="n"/>
      <c r="AI2540" s="11" t="n"/>
      <c r="AJ2540" s="11" t="n"/>
      <c r="AK2540" s="14">
        <f>IF(AND($AF2540="保留中",$AH2540&lt;&gt;""),TODAY()-$AH2540,"")</f>
        <v/>
      </c>
      <c r="AL2540" s="12" t="n"/>
      <c r="AM2540" s="14">
        <f>IF($B2540="","",IF($AQ2540="","対象年月が未入力／","")&amp;IF($B2540="","",IF($AP2540="","職員マスタに未登録の職員番号／",IF($AA2540="","標準報酬月額が未登録／","")&amp;IF(AND($AQ2540&lt;&gt;"",OR(AND(INDEX(職員マスタ!$G$6:$G$405,$AP2540)&lt;&gt;"",INDEX(職員マスタ!$G$6:$G$405,$AP2540)&gt;EOMONTH($AQ2540,0)),AND(INDEX(職員マスタ!$H$6:$H$405,$AP2540)&lt;&gt;"",INDEX(職員マスタ!$H$6:$H$405,$AP2540)&lt;$AQ2540))),"対象月が時短期間外／","")&amp;IF(AND(INDEX(職員マスタ!$K$6:$K$405,$AP2540)&lt;&gt;"",N($W2540)&gt;0,INDEX(職員マスタ!$K$6:$K$405,$AP2540)&lt;&gt;$W2540),"標準報酬月額が申請書と相違（台帳"&amp;TEXT(INDEX(職員マスタ!$K$6:$K$405,$AP2540),"#,##0")&amp;"円／申請書"&amp;TEXT($W2540,"#,##0")&amp;"円）／","")&amp;IF(AND(INDEX(職員マスタ!$F$6:$F$405,$AP2540)&lt;&gt;"",$AQ2540&lt;&gt;"",INDEX(職員マスタ!$F$6:$F$405,$AP2540)&lt;$AQ2540),"対象月に子が2歳到達済／","")&amp;IF(AND($H2540&lt;&gt;"",INDEX(職員マスタ!$B$6:$B$405,$AP2540)&lt;&gt;"",SUBSTITUTE(SUBSTITUTE($H2540," ","")," ","")&lt;&gt;SUBSTITUTE(SUBSTITUTE(INDEX(職員マスタ!$B$6:$B$405,$AP2540)," ","")," ","")),"氏名がマスタと相違／","")&amp;IF(AND($Q2540&lt;&gt;"",INDEX(職員マスタ!$E$6:$E$405,$AP2540)&lt;&gt;"",$Q2540&lt;&gt;INDEX(職員マスタ!$E$6:$E$405,$AP2540)),"子の生年月日がマスタと相違／","")&amp;IF(AND($L2540&lt;&gt;"",INDEX(職員マスタ!$G$6:$G$405,$AP2540)&lt;&gt;"",$L2540&lt;&gt;INDEX(職員マスタ!$G$6:$G$405,$AP2540)),"時短開始日がマスタと相違／","")&amp;IF(AND($M2540&lt;&gt;"",INDEX(職員マスタ!$H$6:$H$405,$AP2540)&lt;&gt;"",$M2540&lt;&gt;INDEX(職員マスタ!$H$6:$H$405,$AP2540)),"時短終了日がマスタと相違／","")))&amp;IF(AND($B2540&lt;&gt;"",$E2540=""),"報酬額が未入力／","")&amp;IF(N($U2540)&gt;0,"申請書に入力エラーが残っています／","")&amp;IF(AND($B2540&lt;&gt;"",$AQ2540&lt;&gt;""),IF(COUNTIFS($B$6:$B$3005,$B2540,$C$6:$C$3005,$C2540,$D$6:$D$3005,$D2540)&gt;1,"同じ月の請求が重複しています／",""),"")&amp;IF(AND(N($E2540)&gt;0,$AB2540&lt;&gt;"",$AB2540&lt;&gt;"×",$AE2540=0,$AD2540=""),"計算額が下限以下のため不支給／",""))</f>
        <v/>
      </c>
      <c r="AN2540" s="12" t="n"/>
      <c r="AO2540" s="14">
        <f>IF($AF2540="保留中",COUNTIF($AF$6:$AF2540,"保留中"),"")</f>
        <v/>
      </c>
      <c r="AP2540" s="14">
        <f>IF($AQ2540="","",IF(SUMPRODUCT(MAX((職員マスタ!$A$6:$A$405=$B2540)*(((職員マスタ!$G$6:$G$405="")+(職員マスタ!$G$6:$G$405&lt;=EOMONTH($AQ2540,0)))&gt;0)*(((職員マスタ!$H$6:$H$405="")+(職員マスタ!$H$6:$H$405&gt;=$AQ2540))&gt;0)*(ROW(職員マスタ!$A$6:$A$405)-5)))&gt;0,SUMPRODUCT(MAX((職員マスタ!$A$6:$A$405=$B2540)*(((職員マスタ!$G$6:$G$405="")+(職員マスタ!$G$6:$G$405&lt;=EOMONTH($AQ2540,0)))&gt;0)*(((職員マスタ!$H$6:$H$405="")+(職員マスタ!$H$6:$H$405&gt;=$AQ2540))&gt;0)*(ROW(職員マスタ!$A$6:$A$405)-5))),IFERROR(MATCH($B2540,職員マスタ!$A$6:$A$405,0),"")))</f>
        <v/>
      </c>
      <c r="AQ2540" s="16">
        <f>IF(OR($B2540="",$C2540="",$D2540=""),"",DATE($C2540+2018,$D2540,1))</f>
        <v/>
      </c>
    </row>
    <row r="2541">
      <c r="A2541" s="11" t="n"/>
      <c r="B2541" s="12" t="n"/>
      <c r="C2541" s="12" t="n"/>
      <c r="D2541" s="12" t="n"/>
      <c r="E2541" s="13" t="n"/>
      <c r="F2541" s="12" t="n"/>
      <c r="G2541" s="13" t="n"/>
      <c r="H2541" s="12" t="n"/>
      <c r="I2541" s="12" t="n"/>
      <c r="J2541" s="12" t="n"/>
      <c r="K2541" s="12" t="n"/>
      <c r="L2541" s="11" t="n"/>
      <c r="M2541" s="11" t="n"/>
      <c r="N2541" s="11" t="n"/>
      <c r="O2541" s="11" t="n"/>
      <c r="P2541" s="12" t="n"/>
      <c r="Q2541" s="11" t="n"/>
      <c r="R2541" s="12" t="n"/>
      <c r="S2541" s="11" t="n"/>
      <c r="T2541" s="12" t="n"/>
      <c r="U2541" s="12" t="n"/>
      <c r="V2541" s="12" t="n"/>
      <c r="W2541" s="13" t="n"/>
      <c r="X2541" s="14">
        <f>IF($AP2541="",IF($B2541="","",$H2541),IF(INDEX(職員マスタ!$B$6:$B$405,$AP2541)="",$H2541,INDEX(職員マスタ!$B$6:$B$405,$AP2541)))</f>
        <v/>
      </c>
      <c r="Y2541" s="14">
        <f>IF($AP2541="",IF($B2541="","",$R2541),IF(INDEX(職員マスタ!$C$6:$C$405,$AP2541)="",$R2541,INDEX(職員マスタ!$C$6:$C$405,$AP2541)))</f>
        <v/>
      </c>
      <c r="Z2541" s="14">
        <f>IF($AQ2541="","","R"&amp;$C2541&amp;"."&amp;$D2541)</f>
        <v/>
      </c>
      <c r="AA2541" s="15">
        <f>IF(IF($AP2541="",FALSE,INDEX(職員マスタ!$K$6:$K$405,$AP2541)&lt;&gt;""),INDEX(職員マスタ!$K$6:$K$405,$AP2541),IF(N($W2541)&gt;0,$W2541,""))</f>
        <v/>
      </c>
      <c r="AB2541" s="14">
        <f>IF(OR($E2541="",$AA2541=""),"",IF($E2541&gt;=$AA2541,"×",IF($E2541&gt;=$AA2541*設定!$C$5,"△","○")))</f>
        <v/>
      </c>
      <c r="AC2541" s="15">
        <f>IF($AB2541="","",IF($AB2541="×",0,IF($AB2541="○",ROUNDDOWN($E2541*設定!$C$4,0),ROUNDDOWN($E2541*ROUND((9*$AA2541-9*$E2541)/(10*$E2541),4),0))))</f>
        <v/>
      </c>
      <c r="AD2541" s="13" t="n"/>
      <c r="AE2541" s="15">
        <f>IF($B2541="","",IF($AD2541&lt;&gt;"",$AD2541,IF($AC2541="","",IF($AC2541&lt;=設定!$C$3,0,$AC2541))))</f>
        <v/>
      </c>
      <c r="AF2541" s="14">
        <f>IF($B2541="","",IF(AND($AG2541&lt;&gt;"",$AI2541="",$AL2541=""),"保留中",IF($AL2541&lt;&gt;"",IF(N($AE2541)&gt;0,"支給済","不支給"),IF($AE2541="","要確認",IF($AE2541=0,"不支給","未処理")))))</f>
        <v/>
      </c>
      <c r="AG2541" s="12" t="n"/>
      <c r="AH2541" s="11" t="n"/>
      <c r="AI2541" s="11" t="n"/>
      <c r="AJ2541" s="11" t="n"/>
      <c r="AK2541" s="14">
        <f>IF(AND($AF2541="保留中",$AH2541&lt;&gt;""),TODAY()-$AH2541,"")</f>
        <v/>
      </c>
      <c r="AL2541" s="12" t="n"/>
      <c r="AM2541" s="14">
        <f>IF($B2541="","",IF($AQ2541="","対象年月が未入力／","")&amp;IF($B2541="","",IF($AP2541="","職員マスタに未登録の職員番号／",IF($AA2541="","標準報酬月額が未登録／","")&amp;IF(AND($AQ2541&lt;&gt;"",OR(AND(INDEX(職員マスタ!$G$6:$G$405,$AP2541)&lt;&gt;"",INDEX(職員マスタ!$G$6:$G$405,$AP2541)&gt;EOMONTH($AQ2541,0)),AND(INDEX(職員マスタ!$H$6:$H$405,$AP2541)&lt;&gt;"",INDEX(職員マスタ!$H$6:$H$405,$AP2541)&lt;$AQ2541))),"対象月が時短期間外／","")&amp;IF(AND(INDEX(職員マスタ!$K$6:$K$405,$AP2541)&lt;&gt;"",N($W2541)&gt;0,INDEX(職員マスタ!$K$6:$K$405,$AP2541)&lt;&gt;$W2541),"標準報酬月額が申請書と相違（台帳"&amp;TEXT(INDEX(職員マスタ!$K$6:$K$405,$AP2541),"#,##0")&amp;"円／申請書"&amp;TEXT($W2541,"#,##0")&amp;"円）／","")&amp;IF(AND(INDEX(職員マスタ!$F$6:$F$405,$AP2541)&lt;&gt;"",$AQ2541&lt;&gt;"",INDEX(職員マスタ!$F$6:$F$405,$AP2541)&lt;$AQ2541),"対象月に子が2歳到達済／","")&amp;IF(AND($H2541&lt;&gt;"",INDEX(職員マスタ!$B$6:$B$405,$AP2541)&lt;&gt;"",SUBSTITUTE(SUBSTITUTE($H2541," ","")," ","")&lt;&gt;SUBSTITUTE(SUBSTITUTE(INDEX(職員マスタ!$B$6:$B$405,$AP2541)," ","")," ","")),"氏名がマスタと相違／","")&amp;IF(AND($Q2541&lt;&gt;"",INDEX(職員マスタ!$E$6:$E$405,$AP2541)&lt;&gt;"",$Q2541&lt;&gt;INDEX(職員マスタ!$E$6:$E$405,$AP2541)),"子の生年月日がマスタと相違／","")&amp;IF(AND($L2541&lt;&gt;"",INDEX(職員マスタ!$G$6:$G$405,$AP2541)&lt;&gt;"",$L2541&lt;&gt;INDEX(職員マスタ!$G$6:$G$405,$AP2541)),"時短開始日がマスタと相違／","")&amp;IF(AND($M2541&lt;&gt;"",INDEX(職員マスタ!$H$6:$H$405,$AP2541)&lt;&gt;"",$M2541&lt;&gt;INDEX(職員マスタ!$H$6:$H$405,$AP2541)),"時短終了日がマスタと相違／","")))&amp;IF(AND($B2541&lt;&gt;"",$E2541=""),"報酬額が未入力／","")&amp;IF(N($U2541)&gt;0,"申請書に入力エラーが残っています／","")&amp;IF(AND($B2541&lt;&gt;"",$AQ2541&lt;&gt;""),IF(COUNTIFS($B$6:$B$3005,$B2541,$C$6:$C$3005,$C2541,$D$6:$D$3005,$D2541)&gt;1,"同じ月の請求が重複しています／",""),"")&amp;IF(AND(N($E2541)&gt;0,$AB2541&lt;&gt;"",$AB2541&lt;&gt;"×",$AE2541=0,$AD2541=""),"計算額が下限以下のため不支給／",""))</f>
        <v/>
      </c>
      <c r="AN2541" s="12" t="n"/>
      <c r="AO2541" s="14">
        <f>IF($AF2541="保留中",COUNTIF($AF$6:$AF2541,"保留中"),"")</f>
        <v/>
      </c>
      <c r="AP2541" s="14">
        <f>IF($AQ2541="","",IF(SUMPRODUCT(MAX((職員マスタ!$A$6:$A$405=$B2541)*(((職員マスタ!$G$6:$G$405="")+(職員マスタ!$G$6:$G$405&lt;=EOMONTH($AQ2541,0)))&gt;0)*(((職員マスタ!$H$6:$H$405="")+(職員マスタ!$H$6:$H$405&gt;=$AQ2541))&gt;0)*(ROW(職員マスタ!$A$6:$A$405)-5)))&gt;0,SUMPRODUCT(MAX((職員マスタ!$A$6:$A$405=$B2541)*(((職員マスタ!$G$6:$G$405="")+(職員マスタ!$G$6:$G$405&lt;=EOMONTH($AQ2541,0)))&gt;0)*(((職員マスタ!$H$6:$H$405="")+(職員マスタ!$H$6:$H$405&gt;=$AQ2541))&gt;0)*(ROW(職員マスタ!$A$6:$A$405)-5))),IFERROR(MATCH($B2541,職員マスタ!$A$6:$A$405,0),"")))</f>
        <v/>
      </c>
      <c r="AQ2541" s="16">
        <f>IF(OR($B2541="",$C2541="",$D2541=""),"",DATE($C2541+2018,$D2541,1))</f>
        <v/>
      </c>
    </row>
    <row r="2542">
      <c r="A2542" s="11" t="n"/>
      <c r="B2542" s="12" t="n"/>
      <c r="C2542" s="12" t="n"/>
      <c r="D2542" s="12" t="n"/>
      <c r="E2542" s="13" t="n"/>
      <c r="F2542" s="12" t="n"/>
      <c r="G2542" s="13" t="n"/>
      <c r="H2542" s="12" t="n"/>
      <c r="I2542" s="12" t="n"/>
      <c r="J2542" s="12" t="n"/>
      <c r="K2542" s="12" t="n"/>
      <c r="L2542" s="11" t="n"/>
      <c r="M2542" s="11" t="n"/>
      <c r="N2542" s="11" t="n"/>
      <c r="O2542" s="11" t="n"/>
      <c r="P2542" s="12" t="n"/>
      <c r="Q2542" s="11" t="n"/>
      <c r="R2542" s="12" t="n"/>
      <c r="S2542" s="11" t="n"/>
      <c r="T2542" s="12" t="n"/>
      <c r="U2542" s="12" t="n"/>
      <c r="V2542" s="12" t="n"/>
      <c r="W2542" s="13" t="n"/>
      <c r="X2542" s="14">
        <f>IF($AP2542="",IF($B2542="","",$H2542),IF(INDEX(職員マスタ!$B$6:$B$405,$AP2542)="",$H2542,INDEX(職員マスタ!$B$6:$B$405,$AP2542)))</f>
        <v/>
      </c>
      <c r="Y2542" s="14">
        <f>IF($AP2542="",IF($B2542="","",$R2542),IF(INDEX(職員マスタ!$C$6:$C$405,$AP2542)="",$R2542,INDEX(職員マスタ!$C$6:$C$405,$AP2542)))</f>
        <v/>
      </c>
      <c r="Z2542" s="14">
        <f>IF($AQ2542="","","R"&amp;$C2542&amp;"."&amp;$D2542)</f>
        <v/>
      </c>
      <c r="AA2542" s="15">
        <f>IF(IF($AP2542="",FALSE,INDEX(職員マスタ!$K$6:$K$405,$AP2542)&lt;&gt;""),INDEX(職員マスタ!$K$6:$K$405,$AP2542),IF(N($W2542)&gt;0,$W2542,""))</f>
        <v/>
      </c>
      <c r="AB2542" s="14">
        <f>IF(OR($E2542="",$AA2542=""),"",IF($E2542&gt;=$AA2542,"×",IF($E2542&gt;=$AA2542*設定!$C$5,"△","○")))</f>
        <v/>
      </c>
      <c r="AC2542" s="15">
        <f>IF($AB2542="","",IF($AB2542="×",0,IF($AB2542="○",ROUNDDOWN($E2542*設定!$C$4,0),ROUNDDOWN($E2542*ROUND((9*$AA2542-9*$E2542)/(10*$E2542),4),0))))</f>
        <v/>
      </c>
      <c r="AD2542" s="13" t="n"/>
      <c r="AE2542" s="15">
        <f>IF($B2542="","",IF($AD2542&lt;&gt;"",$AD2542,IF($AC2542="","",IF($AC2542&lt;=設定!$C$3,0,$AC2542))))</f>
        <v/>
      </c>
      <c r="AF2542" s="14">
        <f>IF($B2542="","",IF(AND($AG2542&lt;&gt;"",$AI2542="",$AL2542=""),"保留中",IF($AL2542&lt;&gt;"",IF(N($AE2542)&gt;0,"支給済","不支給"),IF($AE2542="","要確認",IF($AE2542=0,"不支給","未処理")))))</f>
        <v/>
      </c>
      <c r="AG2542" s="12" t="n"/>
      <c r="AH2542" s="11" t="n"/>
      <c r="AI2542" s="11" t="n"/>
      <c r="AJ2542" s="11" t="n"/>
      <c r="AK2542" s="14">
        <f>IF(AND($AF2542="保留中",$AH2542&lt;&gt;""),TODAY()-$AH2542,"")</f>
        <v/>
      </c>
      <c r="AL2542" s="12" t="n"/>
      <c r="AM2542" s="14">
        <f>IF($B2542="","",IF($AQ2542="","対象年月が未入力／","")&amp;IF($B2542="","",IF($AP2542="","職員マスタに未登録の職員番号／",IF($AA2542="","標準報酬月額が未登録／","")&amp;IF(AND($AQ2542&lt;&gt;"",OR(AND(INDEX(職員マスタ!$G$6:$G$405,$AP2542)&lt;&gt;"",INDEX(職員マスタ!$G$6:$G$405,$AP2542)&gt;EOMONTH($AQ2542,0)),AND(INDEX(職員マスタ!$H$6:$H$405,$AP2542)&lt;&gt;"",INDEX(職員マスタ!$H$6:$H$405,$AP2542)&lt;$AQ2542))),"対象月が時短期間外／","")&amp;IF(AND(INDEX(職員マスタ!$K$6:$K$405,$AP2542)&lt;&gt;"",N($W2542)&gt;0,INDEX(職員マスタ!$K$6:$K$405,$AP2542)&lt;&gt;$W2542),"標準報酬月額が申請書と相違（台帳"&amp;TEXT(INDEX(職員マスタ!$K$6:$K$405,$AP2542),"#,##0")&amp;"円／申請書"&amp;TEXT($W2542,"#,##0")&amp;"円）／","")&amp;IF(AND(INDEX(職員マスタ!$F$6:$F$405,$AP2542)&lt;&gt;"",$AQ2542&lt;&gt;"",INDEX(職員マスタ!$F$6:$F$405,$AP2542)&lt;$AQ2542),"対象月に子が2歳到達済／","")&amp;IF(AND($H2542&lt;&gt;"",INDEX(職員マスタ!$B$6:$B$405,$AP2542)&lt;&gt;"",SUBSTITUTE(SUBSTITUTE($H2542," ","")," ","")&lt;&gt;SUBSTITUTE(SUBSTITUTE(INDEX(職員マスタ!$B$6:$B$405,$AP2542)," ","")," ","")),"氏名がマスタと相違／","")&amp;IF(AND($Q2542&lt;&gt;"",INDEX(職員マスタ!$E$6:$E$405,$AP2542)&lt;&gt;"",$Q2542&lt;&gt;INDEX(職員マスタ!$E$6:$E$405,$AP2542)),"子の生年月日がマスタと相違／","")&amp;IF(AND($L2542&lt;&gt;"",INDEX(職員マスタ!$G$6:$G$405,$AP2542)&lt;&gt;"",$L2542&lt;&gt;INDEX(職員マスタ!$G$6:$G$405,$AP2542)),"時短開始日がマスタと相違／","")&amp;IF(AND($M2542&lt;&gt;"",INDEX(職員マスタ!$H$6:$H$405,$AP2542)&lt;&gt;"",$M2542&lt;&gt;INDEX(職員マスタ!$H$6:$H$405,$AP2542)),"時短終了日がマスタと相違／","")))&amp;IF(AND($B2542&lt;&gt;"",$E2542=""),"報酬額が未入力／","")&amp;IF(N($U2542)&gt;0,"申請書に入力エラーが残っています／","")&amp;IF(AND($B2542&lt;&gt;"",$AQ2542&lt;&gt;""),IF(COUNTIFS($B$6:$B$3005,$B2542,$C$6:$C$3005,$C2542,$D$6:$D$3005,$D2542)&gt;1,"同じ月の請求が重複しています／",""),"")&amp;IF(AND(N($E2542)&gt;0,$AB2542&lt;&gt;"",$AB2542&lt;&gt;"×",$AE2542=0,$AD2542=""),"計算額が下限以下のため不支給／",""))</f>
        <v/>
      </c>
      <c r="AN2542" s="12" t="n"/>
      <c r="AO2542" s="14">
        <f>IF($AF2542="保留中",COUNTIF($AF$6:$AF2542,"保留中"),"")</f>
        <v/>
      </c>
      <c r="AP2542" s="14">
        <f>IF($AQ2542="","",IF(SUMPRODUCT(MAX((職員マスタ!$A$6:$A$405=$B2542)*(((職員マスタ!$G$6:$G$405="")+(職員マスタ!$G$6:$G$405&lt;=EOMONTH($AQ2542,0)))&gt;0)*(((職員マスタ!$H$6:$H$405="")+(職員マスタ!$H$6:$H$405&gt;=$AQ2542))&gt;0)*(ROW(職員マスタ!$A$6:$A$405)-5)))&gt;0,SUMPRODUCT(MAX((職員マスタ!$A$6:$A$405=$B2542)*(((職員マスタ!$G$6:$G$405="")+(職員マスタ!$G$6:$G$405&lt;=EOMONTH($AQ2542,0)))&gt;0)*(((職員マスタ!$H$6:$H$405="")+(職員マスタ!$H$6:$H$405&gt;=$AQ2542))&gt;0)*(ROW(職員マスタ!$A$6:$A$405)-5))),IFERROR(MATCH($B2542,職員マスタ!$A$6:$A$405,0),"")))</f>
        <v/>
      </c>
      <c r="AQ2542" s="16">
        <f>IF(OR($B2542="",$C2542="",$D2542=""),"",DATE($C2542+2018,$D2542,1))</f>
        <v/>
      </c>
    </row>
    <row r="2543">
      <c r="A2543" s="11" t="n"/>
      <c r="B2543" s="12" t="n"/>
      <c r="C2543" s="12" t="n"/>
      <c r="D2543" s="12" t="n"/>
      <c r="E2543" s="13" t="n"/>
      <c r="F2543" s="12" t="n"/>
      <c r="G2543" s="13" t="n"/>
      <c r="H2543" s="12" t="n"/>
      <c r="I2543" s="12" t="n"/>
      <c r="J2543" s="12" t="n"/>
      <c r="K2543" s="12" t="n"/>
      <c r="L2543" s="11" t="n"/>
      <c r="M2543" s="11" t="n"/>
      <c r="N2543" s="11" t="n"/>
      <c r="O2543" s="11" t="n"/>
      <c r="P2543" s="12" t="n"/>
      <c r="Q2543" s="11" t="n"/>
      <c r="R2543" s="12" t="n"/>
      <c r="S2543" s="11" t="n"/>
      <c r="T2543" s="12" t="n"/>
      <c r="U2543" s="12" t="n"/>
      <c r="V2543" s="12" t="n"/>
      <c r="W2543" s="13" t="n"/>
      <c r="X2543" s="14">
        <f>IF($AP2543="",IF($B2543="","",$H2543),IF(INDEX(職員マスタ!$B$6:$B$405,$AP2543)="",$H2543,INDEX(職員マスタ!$B$6:$B$405,$AP2543)))</f>
        <v/>
      </c>
      <c r="Y2543" s="14">
        <f>IF($AP2543="",IF($B2543="","",$R2543),IF(INDEX(職員マスタ!$C$6:$C$405,$AP2543)="",$R2543,INDEX(職員マスタ!$C$6:$C$405,$AP2543)))</f>
        <v/>
      </c>
      <c r="Z2543" s="14">
        <f>IF($AQ2543="","","R"&amp;$C2543&amp;"."&amp;$D2543)</f>
        <v/>
      </c>
      <c r="AA2543" s="15">
        <f>IF(IF($AP2543="",FALSE,INDEX(職員マスタ!$K$6:$K$405,$AP2543)&lt;&gt;""),INDEX(職員マスタ!$K$6:$K$405,$AP2543),IF(N($W2543)&gt;0,$W2543,""))</f>
        <v/>
      </c>
      <c r="AB2543" s="14">
        <f>IF(OR($E2543="",$AA2543=""),"",IF($E2543&gt;=$AA2543,"×",IF($E2543&gt;=$AA2543*設定!$C$5,"△","○")))</f>
        <v/>
      </c>
      <c r="AC2543" s="15">
        <f>IF($AB2543="","",IF($AB2543="×",0,IF($AB2543="○",ROUNDDOWN($E2543*設定!$C$4,0),ROUNDDOWN($E2543*ROUND((9*$AA2543-9*$E2543)/(10*$E2543),4),0))))</f>
        <v/>
      </c>
      <c r="AD2543" s="13" t="n"/>
      <c r="AE2543" s="15">
        <f>IF($B2543="","",IF($AD2543&lt;&gt;"",$AD2543,IF($AC2543="","",IF($AC2543&lt;=設定!$C$3,0,$AC2543))))</f>
        <v/>
      </c>
      <c r="AF2543" s="14">
        <f>IF($B2543="","",IF(AND($AG2543&lt;&gt;"",$AI2543="",$AL2543=""),"保留中",IF($AL2543&lt;&gt;"",IF(N($AE2543)&gt;0,"支給済","不支給"),IF($AE2543="","要確認",IF($AE2543=0,"不支給","未処理")))))</f>
        <v/>
      </c>
      <c r="AG2543" s="12" t="n"/>
      <c r="AH2543" s="11" t="n"/>
      <c r="AI2543" s="11" t="n"/>
      <c r="AJ2543" s="11" t="n"/>
      <c r="AK2543" s="14">
        <f>IF(AND($AF2543="保留中",$AH2543&lt;&gt;""),TODAY()-$AH2543,"")</f>
        <v/>
      </c>
      <c r="AL2543" s="12" t="n"/>
      <c r="AM2543" s="14">
        <f>IF($B2543="","",IF($AQ2543="","対象年月が未入力／","")&amp;IF($B2543="","",IF($AP2543="","職員マスタに未登録の職員番号／",IF($AA2543="","標準報酬月額が未登録／","")&amp;IF(AND($AQ2543&lt;&gt;"",OR(AND(INDEX(職員マスタ!$G$6:$G$405,$AP2543)&lt;&gt;"",INDEX(職員マスタ!$G$6:$G$405,$AP2543)&gt;EOMONTH($AQ2543,0)),AND(INDEX(職員マスタ!$H$6:$H$405,$AP2543)&lt;&gt;"",INDEX(職員マスタ!$H$6:$H$405,$AP2543)&lt;$AQ2543))),"対象月が時短期間外／","")&amp;IF(AND(INDEX(職員マスタ!$K$6:$K$405,$AP2543)&lt;&gt;"",N($W2543)&gt;0,INDEX(職員マスタ!$K$6:$K$405,$AP2543)&lt;&gt;$W2543),"標準報酬月額が申請書と相違（台帳"&amp;TEXT(INDEX(職員マスタ!$K$6:$K$405,$AP2543),"#,##0")&amp;"円／申請書"&amp;TEXT($W2543,"#,##0")&amp;"円）／","")&amp;IF(AND(INDEX(職員マスタ!$F$6:$F$405,$AP2543)&lt;&gt;"",$AQ2543&lt;&gt;"",INDEX(職員マスタ!$F$6:$F$405,$AP2543)&lt;$AQ2543),"対象月に子が2歳到達済／","")&amp;IF(AND($H2543&lt;&gt;"",INDEX(職員マスタ!$B$6:$B$405,$AP2543)&lt;&gt;"",SUBSTITUTE(SUBSTITUTE($H2543," ","")," ","")&lt;&gt;SUBSTITUTE(SUBSTITUTE(INDEX(職員マスタ!$B$6:$B$405,$AP2543)," ","")," ","")),"氏名がマスタと相違／","")&amp;IF(AND($Q2543&lt;&gt;"",INDEX(職員マスタ!$E$6:$E$405,$AP2543)&lt;&gt;"",$Q2543&lt;&gt;INDEX(職員マスタ!$E$6:$E$405,$AP2543)),"子の生年月日がマスタと相違／","")&amp;IF(AND($L2543&lt;&gt;"",INDEX(職員マスタ!$G$6:$G$405,$AP2543)&lt;&gt;"",$L2543&lt;&gt;INDEX(職員マスタ!$G$6:$G$405,$AP2543)),"時短開始日がマスタと相違／","")&amp;IF(AND($M2543&lt;&gt;"",INDEX(職員マスタ!$H$6:$H$405,$AP2543)&lt;&gt;"",$M2543&lt;&gt;INDEX(職員マスタ!$H$6:$H$405,$AP2543)),"時短終了日がマスタと相違／","")))&amp;IF(AND($B2543&lt;&gt;"",$E2543=""),"報酬額が未入力／","")&amp;IF(N($U2543)&gt;0,"申請書に入力エラーが残っています／","")&amp;IF(AND($B2543&lt;&gt;"",$AQ2543&lt;&gt;""),IF(COUNTIFS($B$6:$B$3005,$B2543,$C$6:$C$3005,$C2543,$D$6:$D$3005,$D2543)&gt;1,"同じ月の請求が重複しています／",""),"")&amp;IF(AND(N($E2543)&gt;0,$AB2543&lt;&gt;"",$AB2543&lt;&gt;"×",$AE2543=0,$AD2543=""),"計算額が下限以下のため不支給／",""))</f>
        <v/>
      </c>
      <c r="AN2543" s="12" t="n"/>
      <c r="AO2543" s="14">
        <f>IF($AF2543="保留中",COUNTIF($AF$6:$AF2543,"保留中"),"")</f>
        <v/>
      </c>
      <c r="AP2543" s="14">
        <f>IF($AQ2543="","",IF(SUMPRODUCT(MAX((職員マスタ!$A$6:$A$405=$B2543)*(((職員マスタ!$G$6:$G$405="")+(職員マスタ!$G$6:$G$405&lt;=EOMONTH($AQ2543,0)))&gt;0)*(((職員マスタ!$H$6:$H$405="")+(職員マスタ!$H$6:$H$405&gt;=$AQ2543))&gt;0)*(ROW(職員マスタ!$A$6:$A$405)-5)))&gt;0,SUMPRODUCT(MAX((職員マスタ!$A$6:$A$405=$B2543)*(((職員マスタ!$G$6:$G$405="")+(職員マスタ!$G$6:$G$405&lt;=EOMONTH($AQ2543,0)))&gt;0)*(((職員マスタ!$H$6:$H$405="")+(職員マスタ!$H$6:$H$405&gt;=$AQ2543))&gt;0)*(ROW(職員マスタ!$A$6:$A$405)-5))),IFERROR(MATCH($B2543,職員マスタ!$A$6:$A$405,0),"")))</f>
        <v/>
      </c>
      <c r="AQ2543" s="16">
        <f>IF(OR($B2543="",$C2543="",$D2543=""),"",DATE($C2543+2018,$D2543,1))</f>
        <v/>
      </c>
    </row>
    <row r="2544">
      <c r="A2544" s="11" t="n"/>
      <c r="B2544" s="12" t="n"/>
      <c r="C2544" s="12" t="n"/>
      <c r="D2544" s="12" t="n"/>
      <c r="E2544" s="13" t="n"/>
      <c r="F2544" s="12" t="n"/>
      <c r="G2544" s="13" t="n"/>
      <c r="H2544" s="12" t="n"/>
      <c r="I2544" s="12" t="n"/>
      <c r="J2544" s="12" t="n"/>
      <c r="K2544" s="12" t="n"/>
      <c r="L2544" s="11" t="n"/>
      <c r="M2544" s="11" t="n"/>
      <c r="N2544" s="11" t="n"/>
      <c r="O2544" s="11" t="n"/>
      <c r="P2544" s="12" t="n"/>
      <c r="Q2544" s="11" t="n"/>
      <c r="R2544" s="12" t="n"/>
      <c r="S2544" s="11" t="n"/>
      <c r="T2544" s="12" t="n"/>
      <c r="U2544" s="12" t="n"/>
      <c r="V2544" s="12" t="n"/>
      <c r="W2544" s="13" t="n"/>
      <c r="X2544" s="14">
        <f>IF($AP2544="",IF($B2544="","",$H2544),IF(INDEX(職員マスタ!$B$6:$B$405,$AP2544)="",$H2544,INDEX(職員マスタ!$B$6:$B$405,$AP2544)))</f>
        <v/>
      </c>
      <c r="Y2544" s="14">
        <f>IF($AP2544="",IF($B2544="","",$R2544),IF(INDEX(職員マスタ!$C$6:$C$405,$AP2544)="",$R2544,INDEX(職員マスタ!$C$6:$C$405,$AP2544)))</f>
        <v/>
      </c>
      <c r="Z2544" s="14">
        <f>IF($AQ2544="","","R"&amp;$C2544&amp;"."&amp;$D2544)</f>
        <v/>
      </c>
      <c r="AA2544" s="15">
        <f>IF(IF($AP2544="",FALSE,INDEX(職員マスタ!$K$6:$K$405,$AP2544)&lt;&gt;""),INDEX(職員マスタ!$K$6:$K$405,$AP2544),IF(N($W2544)&gt;0,$W2544,""))</f>
        <v/>
      </c>
      <c r="AB2544" s="14">
        <f>IF(OR($E2544="",$AA2544=""),"",IF($E2544&gt;=$AA2544,"×",IF($E2544&gt;=$AA2544*設定!$C$5,"△","○")))</f>
        <v/>
      </c>
      <c r="AC2544" s="15">
        <f>IF($AB2544="","",IF($AB2544="×",0,IF($AB2544="○",ROUNDDOWN($E2544*設定!$C$4,0),ROUNDDOWN($E2544*ROUND((9*$AA2544-9*$E2544)/(10*$E2544),4),0))))</f>
        <v/>
      </c>
      <c r="AD2544" s="13" t="n"/>
      <c r="AE2544" s="15">
        <f>IF($B2544="","",IF($AD2544&lt;&gt;"",$AD2544,IF($AC2544="","",IF($AC2544&lt;=設定!$C$3,0,$AC2544))))</f>
        <v/>
      </c>
      <c r="AF2544" s="14">
        <f>IF($B2544="","",IF(AND($AG2544&lt;&gt;"",$AI2544="",$AL2544=""),"保留中",IF($AL2544&lt;&gt;"",IF(N($AE2544)&gt;0,"支給済","不支給"),IF($AE2544="","要確認",IF($AE2544=0,"不支給","未処理")))))</f>
        <v/>
      </c>
      <c r="AG2544" s="12" t="n"/>
      <c r="AH2544" s="11" t="n"/>
      <c r="AI2544" s="11" t="n"/>
      <c r="AJ2544" s="11" t="n"/>
      <c r="AK2544" s="14">
        <f>IF(AND($AF2544="保留中",$AH2544&lt;&gt;""),TODAY()-$AH2544,"")</f>
        <v/>
      </c>
      <c r="AL2544" s="12" t="n"/>
      <c r="AM2544" s="14">
        <f>IF($B2544="","",IF($AQ2544="","対象年月が未入力／","")&amp;IF($B2544="","",IF($AP2544="","職員マスタに未登録の職員番号／",IF($AA2544="","標準報酬月額が未登録／","")&amp;IF(AND($AQ2544&lt;&gt;"",OR(AND(INDEX(職員マスタ!$G$6:$G$405,$AP2544)&lt;&gt;"",INDEX(職員マスタ!$G$6:$G$405,$AP2544)&gt;EOMONTH($AQ2544,0)),AND(INDEX(職員マスタ!$H$6:$H$405,$AP2544)&lt;&gt;"",INDEX(職員マスタ!$H$6:$H$405,$AP2544)&lt;$AQ2544))),"対象月が時短期間外／","")&amp;IF(AND(INDEX(職員マスタ!$K$6:$K$405,$AP2544)&lt;&gt;"",N($W2544)&gt;0,INDEX(職員マスタ!$K$6:$K$405,$AP2544)&lt;&gt;$W2544),"標準報酬月額が申請書と相違（台帳"&amp;TEXT(INDEX(職員マスタ!$K$6:$K$405,$AP2544),"#,##0")&amp;"円／申請書"&amp;TEXT($W2544,"#,##0")&amp;"円）／","")&amp;IF(AND(INDEX(職員マスタ!$F$6:$F$405,$AP2544)&lt;&gt;"",$AQ2544&lt;&gt;"",INDEX(職員マスタ!$F$6:$F$405,$AP2544)&lt;$AQ2544),"対象月に子が2歳到達済／","")&amp;IF(AND($H2544&lt;&gt;"",INDEX(職員マスタ!$B$6:$B$405,$AP2544)&lt;&gt;"",SUBSTITUTE(SUBSTITUTE($H2544," ","")," ","")&lt;&gt;SUBSTITUTE(SUBSTITUTE(INDEX(職員マスタ!$B$6:$B$405,$AP2544)," ","")," ","")),"氏名がマスタと相違／","")&amp;IF(AND($Q2544&lt;&gt;"",INDEX(職員マスタ!$E$6:$E$405,$AP2544)&lt;&gt;"",$Q2544&lt;&gt;INDEX(職員マスタ!$E$6:$E$405,$AP2544)),"子の生年月日がマスタと相違／","")&amp;IF(AND($L2544&lt;&gt;"",INDEX(職員マスタ!$G$6:$G$405,$AP2544)&lt;&gt;"",$L2544&lt;&gt;INDEX(職員マスタ!$G$6:$G$405,$AP2544)),"時短開始日がマスタと相違／","")&amp;IF(AND($M2544&lt;&gt;"",INDEX(職員マスタ!$H$6:$H$405,$AP2544)&lt;&gt;"",$M2544&lt;&gt;INDEX(職員マスタ!$H$6:$H$405,$AP2544)),"時短終了日がマスタと相違／","")))&amp;IF(AND($B2544&lt;&gt;"",$E2544=""),"報酬額が未入力／","")&amp;IF(N($U2544)&gt;0,"申請書に入力エラーが残っています／","")&amp;IF(AND($B2544&lt;&gt;"",$AQ2544&lt;&gt;""),IF(COUNTIFS($B$6:$B$3005,$B2544,$C$6:$C$3005,$C2544,$D$6:$D$3005,$D2544)&gt;1,"同じ月の請求が重複しています／",""),"")&amp;IF(AND(N($E2544)&gt;0,$AB2544&lt;&gt;"",$AB2544&lt;&gt;"×",$AE2544=0,$AD2544=""),"計算額が下限以下のため不支給／",""))</f>
        <v/>
      </c>
      <c r="AN2544" s="12" t="n"/>
      <c r="AO2544" s="14">
        <f>IF($AF2544="保留中",COUNTIF($AF$6:$AF2544,"保留中"),"")</f>
        <v/>
      </c>
      <c r="AP2544" s="14">
        <f>IF($AQ2544="","",IF(SUMPRODUCT(MAX((職員マスタ!$A$6:$A$405=$B2544)*(((職員マスタ!$G$6:$G$405="")+(職員マスタ!$G$6:$G$405&lt;=EOMONTH($AQ2544,0)))&gt;0)*(((職員マスタ!$H$6:$H$405="")+(職員マスタ!$H$6:$H$405&gt;=$AQ2544))&gt;0)*(ROW(職員マスタ!$A$6:$A$405)-5)))&gt;0,SUMPRODUCT(MAX((職員マスタ!$A$6:$A$405=$B2544)*(((職員マスタ!$G$6:$G$405="")+(職員マスタ!$G$6:$G$405&lt;=EOMONTH($AQ2544,0)))&gt;0)*(((職員マスタ!$H$6:$H$405="")+(職員マスタ!$H$6:$H$405&gt;=$AQ2544))&gt;0)*(ROW(職員マスタ!$A$6:$A$405)-5))),IFERROR(MATCH($B2544,職員マスタ!$A$6:$A$405,0),"")))</f>
        <v/>
      </c>
      <c r="AQ2544" s="16">
        <f>IF(OR($B2544="",$C2544="",$D2544=""),"",DATE($C2544+2018,$D2544,1))</f>
        <v/>
      </c>
    </row>
    <row r="2545">
      <c r="A2545" s="11" t="n"/>
      <c r="B2545" s="12" t="n"/>
      <c r="C2545" s="12" t="n"/>
      <c r="D2545" s="12" t="n"/>
      <c r="E2545" s="13" t="n"/>
      <c r="F2545" s="12" t="n"/>
      <c r="G2545" s="13" t="n"/>
      <c r="H2545" s="12" t="n"/>
      <c r="I2545" s="12" t="n"/>
      <c r="J2545" s="12" t="n"/>
      <c r="K2545" s="12" t="n"/>
      <c r="L2545" s="11" t="n"/>
      <c r="M2545" s="11" t="n"/>
      <c r="N2545" s="11" t="n"/>
      <c r="O2545" s="11" t="n"/>
      <c r="P2545" s="12" t="n"/>
      <c r="Q2545" s="11" t="n"/>
      <c r="R2545" s="12" t="n"/>
      <c r="S2545" s="11" t="n"/>
      <c r="T2545" s="12" t="n"/>
      <c r="U2545" s="12" t="n"/>
      <c r="V2545" s="12" t="n"/>
      <c r="W2545" s="13" t="n"/>
      <c r="X2545" s="14">
        <f>IF($AP2545="",IF($B2545="","",$H2545),IF(INDEX(職員マスタ!$B$6:$B$405,$AP2545)="",$H2545,INDEX(職員マスタ!$B$6:$B$405,$AP2545)))</f>
        <v/>
      </c>
      <c r="Y2545" s="14">
        <f>IF($AP2545="",IF($B2545="","",$R2545),IF(INDEX(職員マスタ!$C$6:$C$405,$AP2545)="",$R2545,INDEX(職員マスタ!$C$6:$C$405,$AP2545)))</f>
        <v/>
      </c>
      <c r="Z2545" s="14">
        <f>IF($AQ2545="","","R"&amp;$C2545&amp;"."&amp;$D2545)</f>
        <v/>
      </c>
      <c r="AA2545" s="15">
        <f>IF(IF($AP2545="",FALSE,INDEX(職員マスタ!$K$6:$K$405,$AP2545)&lt;&gt;""),INDEX(職員マスタ!$K$6:$K$405,$AP2545),IF(N($W2545)&gt;0,$W2545,""))</f>
        <v/>
      </c>
      <c r="AB2545" s="14">
        <f>IF(OR($E2545="",$AA2545=""),"",IF($E2545&gt;=$AA2545,"×",IF($E2545&gt;=$AA2545*設定!$C$5,"△","○")))</f>
        <v/>
      </c>
      <c r="AC2545" s="15">
        <f>IF($AB2545="","",IF($AB2545="×",0,IF($AB2545="○",ROUNDDOWN($E2545*設定!$C$4,0),ROUNDDOWN($E2545*ROUND((9*$AA2545-9*$E2545)/(10*$E2545),4),0))))</f>
        <v/>
      </c>
      <c r="AD2545" s="13" t="n"/>
      <c r="AE2545" s="15">
        <f>IF($B2545="","",IF($AD2545&lt;&gt;"",$AD2545,IF($AC2545="","",IF($AC2545&lt;=設定!$C$3,0,$AC2545))))</f>
        <v/>
      </c>
      <c r="AF2545" s="14">
        <f>IF($B2545="","",IF(AND($AG2545&lt;&gt;"",$AI2545="",$AL2545=""),"保留中",IF($AL2545&lt;&gt;"",IF(N($AE2545)&gt;0,"支給済","不支給"),IF($AE2545="","要確認",IF($AE2545=0,"不支給","未処理")))))</f>
        <v/>
      </c>
      <c r="AG2545" s="12" t="n"/>
      <c r="AH2545" s="11" t="n"/>
      <c r="AI2545" s="11" t="n"/>
      <c r="AJ2545" s="11" t="n"/>
      <c r="AK2545" s="14">
        <f>IF(AND($AF2545="保留中",$AH2545&lt;&gt;""),TODAY()-$AH2545,"")</f>
        <v/>
      </c>
      <c r="AL2545" s="12" t="n"/>
      <c r="AM2545" s="14">
        <f>IF($B2545="","",IF($AQ2545="","対象年月が未入力／","")&amp;IF($B2545="","",IF($AP2545="","職員マスタに未登録の職員番号／",IF($AA2545="","標準報酬月額が未登録／","")&amp;IF(AND($AQ2545&lt;&gt;"",OR(AND(INDEX(職員マスタ!$G$6:$G$405,$AP2545)&lt;&gt;"",INDEX(職員マスタ!$G$6:$G$405,$AP2545)&gt;EOMONTH($AQ2545,0)),AND(INDEX(職員マスタ!$H$6:$H$405,$AP2545)&lt;&gt;"",INDEX(職員マスタ!$H$6:$H$405,$AP2545)&lt;$AQ2545))),"対象月が時短期間外／","")&amp;IF(AND(INDEX(職員マスタ!$K$6:$K$405,$AP2545)&lt;&gt;"",N($W2545)&gt;0,INDEX(職員マスタ!$K$6:$K$405,$AP2545)&lt;&gt;$W2545),"標準報酬月額が申請書と相違（台帳"&amp;TEXT(INDEX(職員マスタ!$K$6:$K$405,$AP2545),"#,##0")&amp;"円／申請書"&amp;TEXT($W2545,"#,##0")&amp;"円）／","")&amp;IF(AND(INDEX(職員マスタ!$F$6:$F$405,$AP2545)&lt;&gt;"",$AQ2545&lt;&gt;"",INDEX(職員マスタ!$F$6:$F$405,$AP2545)&lt;$AQ2545),"対象月に子が2歳到達済／","")&amp;IF(AND($H2545&lt;&gt;"",INDEX(職員マスタ!$B$6:$B$405,$AP2545)&lt;&gt;"",SUBSTITUTE(SUBSTITUTE($H2545," ","")," ","")&lt;&gt;SUBSTITUTE(SUBSTITUTE(INDEX(職員マスタ!$B$6:$B$405,$AP2545)," ","")," ","")),"氏名がマスタと相違／","")&amp;IF(AND($Q2545&lt;&gt;"",INDEX(職員マスタ!$E$6:$E$405,$AP2545)&lt;&gt;"",$Q2545&lt;&gt;INDEX(職員マスタ!$E$6:$E$405,$AP2545)),"子の生年月日がマスタと相違／","")&amp;IF(AND($L2545&lt;&gt;"",INDEX(職員マスタ!$G$6:$G$405,$AP2545)&lt;&gt;"",$L2545&lt;&gt;INDEX(職員マスタ!$G$6:$G$405,$AP2545)),"時短開始日がマスタと相違／","")&amp;IF(AND($M2545&lt;&gt;"",INDEX(職員マスタ!$H$6:$H$405,$AP2545)&lt;&gt;"",$M2545&lt;&gt;INDEX(職員マスタ!$H$6:$H$405,$AP2545)),"時短終了日がマスタと相違／","")))&amp;IF(AND($B2545&lt;&gt;"",$E2545=""),"報酬額が未入力／","")&amp;IF(N($U2545)&gt;0,"申請書に入力エラーが残っています／","")&amp;IF(AND($B2545&lt;&gt;"",$AQ2545&lt;&gt;""),IF(COUNTIFS($B$6:$B$3005,$B2545,$C$6:$C$3005,$C2545,$D$6:$D$3005,$D2545)&gt;1,"同じ月の請求が重複しています／",""),"")&amp;IF(AND(N($E2545)&gt;0,$AB2545&lt;&gt;"",$AB2545&lt;&gt;"×",$AE2545=0,$AD2545=""),"計算額が下限以下のため不支給／",""))</f>
        <v/>
      </c>
      <c r="AN2545" s="12" t="n"/>
      <c r="AO2545" s="14">
        <f>IF($AF2545="保留中",COUNTIF($AF$6:$AF2545,"保留中"),"")</f>
        <v/>
      </c>
      <c r="AP2545" s="14">
        <f>IF($AQ2545="","",IF(SUMPRODUCT(MAX((職員マスタ!$A$6:$A$405=$B2545)*(((職員マスタ!$G$6:$G$405="")+(職員マスタ!$G$6:$G$405&lt;=EOMONTH($AQ2545,0)))&gt;0)*(((職員マスタ!$H$6:$H$405="")+(職員マスタ!$H$6:$H$405&gt;=$AQ2545))&gt;0)*(ROW(職員マスタ!$A$6:$A$405)-5)))&gt;0,SUMPRODUCT(MAX((職員マスタ!$A$6:$A$405=$B2545)*(((職員マスタ!$G$6:$G$405="")+(職員マスタ!$G$6:$G$405&lt;=EOMONTH($AQ2545,0)))&gt;0)*(((職員マスタ!$H$6:$H$405="")+(職員マスタ!$H$6:$H$405&gt;=$AQ2545))&gt;0)*(ROW(職員マスタ!$A$6:$A$405)-5))),IFERROR(MATCH($B2545,職員マスタ!$A$6:$A$405,0),"")))</f>
        <v/>
      </c>
      <c r="AQ2545" s="16">
        <f>IF(OR($B2545="",$C2545="",$D2545=""),"",DATE($C2545+2018,$D2545,1))</f>
        <v/>
      </c>
    </row>
    <row r="2546">
      <c r="A2546" s="11" t="n"/>
      <c r="B2546" s="12" t="n"/>
      <c r="C2546" s="12" t="n"/>
      <c r="D2546" s="12" t="n"/>
      <c r="E2546" s="13" t="n"/>
      <c r="F2546" s="12" t="n"/>
      <c r="G2546" s="13" t="n"/>
      <c r="H2546" s="12" t="n"/>
      <c r="I2546" s="12" t="n"/>
      <c r="J2546" s="12" t="n"/>
      <c r="K2546" s="12" t="n"/>
      <c r="L2546" s="11" t="n"/>
      <c r="M2546" s="11" t="n"/>
      <c r="N2546" s="11" t="n"/>
      <c r="O2546" s="11" t="n"/>
      <c r="P2546" s="12" t="n"/>
      <c r="Q2546" s="11" t="n"/>
      <c r="R2546" s="12" t="n"/>
      <c r="S2546" s="11" t="n"/>
      <c r="T2546" s="12" t="n"/>
      <c r="U2546" s="12" t="n"/>
      <c r="V2546" s="12" t="n"/>
      <c r="W2546" s="13" t="n"/>
      <c r="X2546" s="14">
        <f>IF($AP2546="",IF($B2546="","",$H2546),IF(INDEX(職員マスタ!$B$6:$B$405,$AP2546)="",$H2546,INDEX(職員マスタ!$B$6:$B$405,$AP2546)))</f>
        <v/>
      </c>
      <c r="Y2546" s="14">
        <f>IF($AP2546="",IF($B2546="","",$R2546),IF(INDEX(職員マスタ!$C$6:$C$405,$AP2546)="",$R2546,INDEX(職員マスタ!$C$6:$C$405,$AP2546)))</f>
        <v/>
      </c>
      <c r="Z2546" s="14">
        <f>IF($AQ2546="","","R"&amp;$C2546&amp;"."&amp;$D2546)</f>
        <v/>
      </c>
      <c r="AA2546" s="15">
        <f>IF(IF($AP2546="",FALSE,INDEX(職員マスタ!$K$6:$K$405,$AP2546)&lt;&gt;""),INDEX(職員マスタ!$K$6:$K$405,$AP2546),IF(N($W2546)&gt;0,$W2546,""))</f>
        <v/>
      </c>
      <c r="AB2546" s="14">
        <f>IF(OR($E2546="",$AA2546=""),"",IF($E2546&gt;=$AA2546,"×",IF($E2546&gt;=$AA2546*設定!$C$5,"△","○")))</f>
        <v/>
      </c>
      <c r="AC2546" s="15">
        <f>IF($AB2546="","",IF($AB2546="×",0,IF($AB2546="○",ROUNDDOWN($E2546*設定!$C$4,0),ROUNDDOWN($E2546*ROUND((9*$AA2546-9*$E2546)/(10*$E2546),4),0))))</f>
        <v/>
      </c>
      <c r="AD2546" s="13" t="n"/>
      <c r="AE2546" s="15">
        <f>IF($B2546="","",IF($AD2546&lt;&gt;"",$AD2546,IF($AC2546="","",IF($AC2546&lt;=設定!$C$3,0,$AC2546))))</f>
        <v/>
      </c>
      <c r="AF2546" s="14">
        <f>IF($B2546="","",IF(AND($AG2546&lt;&gt;"",$AI2546="",$AL2546=""),"保留中",IF($AL2546&lt;&gt;"",IF(N($AE2546)&gt;0,"支給済","不支給"),IF($AE2546="","要確認",IF($AE2546=0,"不支給","未処理")))))</f>
        <v/>
      </c>
      <c r="AG2546" s="12" t="n"/>
      <c r="AH2546" s="11" t="n"/>
      <c r="AI2546" s="11" t="n"/>
      <c r="AJ2546" s="11" t="n"/>
      <c r="AK2546" s="14">
        <f>IF(AND($AF2546="保留中",$AH2546&lt;&gt;""),TODAY()-$AH2546,"")</f>
        <v/>
      </c>
      <c r="AL2546" s="12" t="n"/>
      <c r="AM2546" s="14">
        <f>IF($B2546="","",IF($AQ2546="","対象年月が未入力／","")&amp;IF($B2546="","",IF($AP2546="","職員マスタに未登録の職員番号／",IF($AA2546="","標準報酬月額が未登録／","")&amp;IF(AND($AQ2546&lt;&gt;"",OR(AND(INDEX(職員マスタ!$G$6:$G$405,$AP2546)&lt;&gt;"",INDEX(職員マスタ!$G$6:$G$405,$AP2546)&gt;EOMONTH($AQ2546,0)),AND(INDEX(職員マスタ!$H$6:$H$405,$AP2546)&lt;&gt;"",INDEX(職員マスタ!$H$6:$H$405,$AP2546)&lt;$AQ2546))),"対象月が時短期間外／","")&amp;IF(AND(INDEX(職員マスタ!$K$6:$K$405,$AP2546)&lt;&gt;"",N($W2546)&gt;0,INDEX(職員マスタ!$K$6:$K$405,$AP2546)&lt;&gt;$W2546),"標準報酬月額が申請書と相違（台帳"&amp;TEXT(INDEX(職員マスタ!$K$6:$K$405,$AP2546),"#,##0")&amp;"円／申請書"&amp;TEXT($W2546,"#,##0")&amp;"円）／","")&amp;IF(AND(INDEX(職員マスタ!$F$6:$F$405,$AP2546)&lt;&gt;"",$AQ2546&lt;&gt;"",INDEX(職員マスタ!$F$6:$F$405,$AP2546)&lt;$AQ2546),"対象月に子が2歳到達済／","")&amp;IF(AND($H2546&lt;&gt;"",INDEX(職員マスタ!$B$6:$B$405,$AP2546)&lt;&gt;"",SUBSTITUTE(SUBSTITUTE($H2546," ","")," ","")&lt;&gt;SUBSTITUTE(SUBSTITUTE(INDEX(職員マスタ!$B$6:$B$405,$AP2546)," ","")," ","")),"氏名がマスタと相違／","")&amp;IF(AND($Q2546&lt;&gt;"",INDEX(職員マスタ!$E$6:$E$405,$AP2546)&lt;&gt;"",$Q2546&lt;&gt;INDEX(職員マスタ!$E$6:$E$405,$AP2546)),"子の生年月日がマスタと相違／","")&amp;IF(AND($L2546&lt;&gt;"",INDEX(職員マスタ!$G$6:$G$405,$AP2546)&lt;&gt;"",$L2546&lt;&gt;INDEX(職員マスタ!$G$6:$G$405,$AP2546)),"時短開始日がマスタと相違／","")&amp;IF(AND($M2546&lt;&gt;"",INDEX(職員マスタ!$H$6:$H$405,$AP2546)&lt;&gt;"",$M2546&lt;&gt;INDEX(職員マスタ!$H$6:$H$405,$AP2546)),"時短終了日がマスタと相違／","")))&amp;IF(AND($B2546&lt;&gt;"",$E2546=""),"報酬額が未入力／","")&amp;IF(N($U2546)&gt;0,"申請書に入力エラーが残っています／","")&amp;IF(AND($B2546&lt;&gt;"",$AQ2546&lt;&gt;""),IF(COUNTIFS($B$6:$B$3005,$B2546,$C$6:$C$3005,$C2546,$D$6:$D$3005,$D2546)&gt;1,"同じ月の請求が重複しています／",""),"")&amp;IF(AND(N($E2546)&gt;0,$AB2546&lt;&gt;"",$AB2546&lt;&gt;"×",$AE2546=0,$AD2546=""),"計算額が下限以下のため不支給／",""))</f>
        <v/>
      </c>
      <c r="AN2546" s="12" t="n"/>
      <c r="AO2546" s="14">
        <f>IF($AF2546="保留中",COUNTIF($AF$6:$AF2546,"保留中"),"")</f>
        <v/>
      </c>
      <c r="AP2546" s="14">
        <f>IF($AQ2546="","",IF(SUMPRODUCT(MAX((職員マスタ!$A$6:$A$405=$B2546)*(((職員マスタ!$G$6:$G$405="")+(職員マスタ!$G$6:$G$405&lt;=EOMONTH($AQ2546,0)))&gt;0)*(((職員マスタ!$H$6:$H$405="")+(職員マスタ!$H$6:$H$405&gt;=$AQ2546))&gt;0)*(ROW(職員マスタ!$A$6:$A$405)-5)))&gt;0,SUMPRODUCT(MAX((職員マスタ!$A$6:$A$405=$B2546)*(((職員マスタ!$G$6:$G$405="")+(職員マスタ!$G$6:$G$405&lt;=EOMONTH($AQ2546,0)))&gt;0)*(((職員マスタ!$H$6:$H$405="")+(職員マスタ!$H$6:$H$405&gt;=$AQ2546))&gt;0)*(ROW(職員マスタ!$A$6:$A$405)-5))),IFERROR(MATCH($B2546,職員マスタ!$A$6:$A$405,0),"")))</f>
        <v/>
      </c>
      <c r="AQ2546" s="16">
        <f>IF(OR($B2546="",$C2546="",$D2546=""),"",DATE($C2546+2018,$D2546,1))</f>
        <v/>
      </c>
    </row>
    <row r="2547">
      <c r="A2547" s="11" t="n"/>
      <c r="B2547" s="12" t="n"/>
      <c r="C2547" s="12" t="n"/>
      <c r="D2547" s="12" t="n"/>
      <c r="E2547" s="13" t="n"/>
      <c r="F2547" s="12" t="n"/>
      <c r="G2547" s="13" t="n"/>
      <c r="H2547" s="12" t="n"/>
      <c r="I2547" s="12" t="n"/>
      <c r="J2547" s="12" t="n"/>
      <c r="K2547" s="12" t="n"/>
      <c r="L2547" s="11" t="n"/>
      <c r="M2547" s="11" t="n"/>
      <c r="N2547" s="11" t="n"/>
      <c r="O2547" s="11" t="n"/>
      <c r="P2547" s="12" t="n"/>
      <c r="Q2547" s="11" t="n"/>
      <c r="R2547" s="12" t="n"/>
      <c r="S2547" s="11" t="n"/>
      <c r="T2547" s="12" t="n"/>
      <c r="U2547" s="12" t="n"/>
      <c r="V2547" s="12" t="n"/>
      <c r="W2547" s="13" t="n"/>
      <c r="X2547" s="14">
        <f>IF($AP2547="",IF($B2547="","",$H2547),IF(INDEX(職員マスタ!$B$6:$B$405,$AP2547)="",$H2547,INDEX(職員マスタ!$B$6:$B$405,$AP2547)))</f>
        <v/>
      </c>
      <c r="Y2547" s="14">
        <f>IF($AP2547="",IF($B2547="","",$R2547),IF(INDEX(職員マスタ!$C$6:$C$405,$AP2547)="",$R2547,INDEX(職員マスタ!$C$6:$C$405,$AP2547)))</f>
        <v/>
      </c>
      <c r="Z2547" s="14">
        <f>IF($AQ2547="","","R"&amp;$C2547&amp;"."&amp;$D2547)</f>
        <v/>
      </c>
      <c r="AA2547" s="15">
        <f>IF(IF($AP2547="",FALSE,INDEX(職員マスタ!$K$6:$K$405,$AP2547)&lt;&gt;""),INDEX(職員マスタ!$K$6:$K$405,$AP2547),IF(N($W2547)&gt;0,$W2547,""))</f>
        <v/>
      </c>
      <c r="AB2547" s="14">
        <f>IF(OR($E2547="",$AA2547=""),"",IF($E2547&gt;=$AA2547,"×",IF($E2547&gt;=$AA2547*設定!$C$5,"△","○")))</f>
        <v/>
      </c>
      <c r="AC2547" s="15">
        <f>IF($AB2547="","",IF($AB2547="×",0,IF($AB2547="○",ROUNDDOWN($E2547*設定!$C$4,0),ROUNDDOWN($E2547*ROUND((9*$AA2547-9*$E2547)/(10*$E2547),4),0))))</f>
        <v/>
      </c>
      <c r="AD2547" s="13" t="n"/>
      <c r="AE2547" s="15">
        <f>IF($B2547="","",IF($AD2547&lt;&gt;"",$AD2547,IF($AC2547="","",IF($AC2547&lt;=設定!$C$3,0,$AC2547))))</f>
        <v/>
      </c>
      <c r="AF2547" s="14">
        <f>IF($B2547="","",IF(AND($AG2547&lt;&gt;"",$AI2547="",$AL2547=""),"保留中",IF($AL2547&lt;&gt;"",IF(N($AE2547)&gt;0,"支給済","不支給"),IF($AE2547="","要確認",IF($AE2547=0,"不支給","未処理")))))</f>
        <v/>
      </c>
      <c r="AG2547" s="12" t="n"/>
      <c r="AH2547" s="11" t="n"/>
      <c r="AI2547" s="11" t="n"/>
      <c r="AJ2547" s="11" t="n"/>
      <c r="AK2547" s="14">
        <f>IF(AND($AF2547="保留中",$AH2547&lt;&gt;""),TODAY()-$AH2547,"")</f>
        <v/>
      </c>
      <c r="AL2547" s="12" t="n"/>
      <c r="AM2547" s="14">
        <f>IF($B2547="","",IF($AQ2547="","対象年月が未入力／","")&amp;IF($B2547="","",IF($AP2547="","職員マスタに未登録の職員番号／",IF($AA2547="","標準報酬月額が未登録／","")&amp;IF(AND($AQ2547&lt;&gt;"",OR(AND(INDEX(職員マスタ!$G$6:$G$405,$AP2547)&lt;&gt;"",INDEX(職員マスタ!$G$6:$G$405,$AP2547)&gt;EOMONTH($AQ2547,0)),AND(INDEX(職員マスタ!$H$6:$H$405,$AP2547)&lt;&gt;"",INDEX(職員マスタ!$H$6:$H$405,$AP2547)&lt;$AQ2547))),"対象月が時短期間外／","")&amp;IF(AND(INDEX(職員マスタ!$K$6:$K$405,$AP2547)&lt;&gt;"",N($W2547)&gt;0,INDEX(職員マスタ!$K$6:$K$405,$AP2547)&lt;&gt;$W2547),"標準報酬月額が申請書と相違（台帳"&amp;TEXT(INDEX(職員マスタ!$K$6:$K$405,$AP2547),"#,##0")&amp;"円／申請書"&amp;TEXT($W2547,"#,##0")&amp;"円）／","")&amp;IF(AND(INDEX(職員マスタ!$F$6:$F$405,$AP2547)&lt;&gt;"",$AQ2547&lt;&gt;"",INDEX(職員マスタ!$F$6:$F$405,$AP2547)&lt;$AQ2547),"対象月に子が2歳到達済／","")&amp;IF(AND($H2547&lt;&gt;"",INDEX(職員マスタ!$B$6:$B$405,$AP2547)&lt;&gt;"",SUBSTITUTE(SUBSTITUTE($H2547," ","")," ","")&lt;&gt;SUBSTITUTE(SUBSTITUTE(INDEX(職員マスタ!$B$6:$B$405,$AP2547)," ","")," ","")),"氏名がマスタと相違／","")&amp;IF(AND($Q2547&lt;&gt;"",INDEX(職員マスタ!$E$6:$E$405,$AP2547)&lt;&gt;"",$Q2547&lt;&gt;INDEX(職員マスタ!$E$6:$E$405,$AP2547)),"子の生年月日がマスタと相違／","")&amp;IF(AND($L2547&lt;&gt;"",INDEX(職員マスタ!$G$6:$G$405,$AP2547)&lt;&gt;"",$L2547&lt;&gt;INDEX(職員マスタ!$G$6:$G$405,$AP2547)),"時短開始日がマスタと相違／","")&amp;IF(AND($M2547&lt;&gt;"",INDEX(職員マスタ!$H$6:$H$405,$AP2547)&lt;&gt;"",$M2547&lt;&gt;INDEX(職員マスタ!$H$6:$H$405,$AP2547)),"時短終了日がマスタと相違／","")))&amp;IF(AND($B2547&lt;&gt;"",$E2547=""),"報酬額が未入力／","")&amp;IF(N($U2547)&gt;0,"申請書に入力エラーが残っています／","")&amp;IF(AND($B2547&lt;&gt;"",$AQ2547&lt;&gt;""),IF(COUNTIFS($B$6:$B$3005,$B2547,$C$6:$C$3005,$C2547,$D$6:$D$3005,$D2547)&gt;1,"同じ月の請求が重複しています／",""),"")&amp;IF(AND(N($E2547)&gt;0,$AB2547&lt;&gt;"",$AB2547&lt;&gt;"×",$AE2547=0,$AD2547=""),"計算額が下限以下のため不支給／",""))</f>
        <v/>
      </c>
      <c r="AN2547" s="12" t="n"/>
      <c r="AO2547" s="14">
        <f>IF($AF2547="保留中",COUNTIF($AF$6:$AF2547,"保留中"),"")</f>
        <v/>
      </c>
      <c r="AP2547" s="14">
        <f>IF($AQ2547="","",IF(SUMPRODUCT(MAX((職員マスタ!$A$6:$A$405=$B2547)*(((職員マスタ!$G$6:$G$405="")+(職員マスタ!$G$6:$G$405&lt;=EOMONTH($AQ2547,0)))&gt;0)*(((職員マスタ!$H$6:$H$405="")+(職員マスタ!$H$6:$H$405&gt;=$AQ2547))&gt;0)*(ROW(職員マスタ!$A$6:$A$405)-5)))&gt;0,SUMPRODUCT(MAX((職員マスタ!$A$6:$A$405=$B2547)*(((職員マスタ!$G$6:$G$405="")+(職員マスタ!$G$6:$G$405&lt;=EOMONTH($AQ2547,0)))&gt;0)*(((職員マスタ!$H$6:$H$405="")+(職員マスタ!$H$6:$H$405&gt;=$AQ2547))&gt;0)*(ROW(職員マスタ!$A$6:$A$405)-5))),IFERROR(MATCH($B2547,職員マスタ!$A$6:$A$405,0),"")))</f>
        <v/>
      </c>
      <c r="AQ2547" s="16">
        <f>IF(OR($B2547="",$C2547="",$D2547=""),"",DATE($C2547+2018,$D2547,1))</f>
        <v/>
      </c>
    </row>
    <row r="2548">
      <c r="A2548" s="11" t="n"/>
      <c r="B2548" s="12" t="n"/>
      <c r="C2548" s="12" t="n"/>
      <c r="D2548" s="12" t="n"/>
      <c r="E2548" s="13" t="n"/>
      <c r="F2548" s="12" t="n"/>
      <c r="G2548" s="13" t="n"/>
      <c r="H2548" s="12" t="n"/>
      <c r="I2548" s="12" t="n"/>
      <c r="J2548" s="12" t="n"/>
      <c r="K2548" s="12" t="n"/>
      <c r="L2548" s="11" t="n"/>
      <c r="M2548" s="11" t="n"/>
      <c r="N2548" s="11" t="n"/>
      <c r="O2548" s="11" t="n"/>
      <c r="P2548" s="12" t="n"/>
      <c r="Q2548" s="11" t="n"/>
      <c r="R2548" s="12" t="n"/>
      <c r="S2548" s="11" t="n"/>
      <c r="T2548" s="12" t="n"/>
      <c r="U2548" s="12" t="n"/>
      <c r="V2548" s="12" t="n"/>
      <c r="W2548" s="13" t="n"/>
      <c r="X2548" s="14">
        <f>IF($AP2548="",IF($B2548="","",$H2548),IF(INDEX(職員マスタ!$B$6:$B$405,$AP2548)="",$H2548,INDEX(職員マスタ!$B$6:$B$405,$AP2548)))</f>
        <v/>
      </c>
      <c r="Y2548" s="14">
        <f>IF($AP2548="",IF($B2548="","",$R2548),IF(INDEX(職員マスタ!$C$6:$C$405,$AP2548)="",$R2548,INDEX(職員マスタ!$C$6:$C$405,$AP2548)))</f>
        <v/>
      </c>
      <c r="Z2548" s="14">
        <f>IF($AQ2548="","","R"&amp;$C2548&amp;"."&amp;$D2548)</f>
        <v/>
      </c>
      <c r="AA2548" s="15">
        <f>IF(IF($AP2548="",FALSE,INDEX(職員マスタ!$K$6:$K$405,$AP2548)&lt;&gt;""),INDEX(職員マスタ!$K$6:$K$405,$AP2548),IF(N($W2548)&gt;0,$W2548,""))</f>
        <v/>
      </c>
      <c r="AB2548" s="14">
        <f>IF(OR($E2548="",$AA2548=""),"",IF($E2548&gt;=$AA2548,"×",IF($E2548&gt;=$AA2548*設定!$C$5,"△","○")))</f>
        <v/>
      </c>
      <c r="AC2548" s="15">
        <f>IF($AB2548="","",IF($AB2548="×",0,IF($AB2548="○",ROUNDDOWN($E2548*設定!$C$4,0),ROUNDDOWN($E2548*ROUND((9*$AA2548-9*$E2548)/(10*$E2548),4),0))))</f>
        <v/>
      </c>
      <c r="AD2548" s="13" t="n"/>
      <c r="AE2548" s="15">
        <f>IF($B2548="","",IF($AD2548&lt;&gt;"",$AD2548,IF($AC2548="","",IF($AC2548&lt;=設定!$C$3,0,$AC2548))))</f>
        <v/>
      </c>
      <c r="AF2548" s="14">
        <f>IF($B2548="","",IF(AND($AG2548&lt;&gt;"",$AI2548="",$AL2548=""),"保留中",IF($AL2548&lt;&gt;"",IF(N($AE2548)&gt;0,"支給済","不支給"),IF($AE2548="","要確認",IF($AE2548=0,"不支給","未処理")))))</f>
        <v/>
      </c>
      <c r="AG2548" s="12" t="n"/>
      <c r="AH2548" s="11" t="n"/>
      <c r="AI2548" s="11" t="n"/>
      <c r="AJ2548" s="11" t="n"/>
      <c r="AK2548" s="14">
        <f>IF(AND($AF2548="保留中",$AH2548&lt;&gt;""),TODAY()-$AH2548,"")</f>
        <v/>
      </c>
      <c r="AL2548" s="12" t="n"/>
      <c r="AM2548" s="14">
        <f>IF($B2548="","",IF($AQ2548="","対象年月が未入力／","")&amp;IF($B2548="","",IF($AP2548="","職員マスタに未登録の職員番号／",IF($AA2548="","標準報酬月額が未登録／","")&amp;IF(AND($AQ2548&lt;&gt;"",OR(AND(INDEX(職員マスタ!$G$6:$G$405,$AP2548)&lt;&gt;"",INDEX(職員マスタ!$G$6:$G$405,$AP2548)&gt;EOMONTH($AQ2548,0)),AND(INDEX(職員マスタ!$H$6:$H$405,$AP2548)&lt;&gt;"",INDEX(職員マスタ!$H$6:$H$405,$AP2548)&lt;$AQ2548))),"対象月が時短期間外／","")&amp;IF(AND(INDEX(職員マスタ!$K$6:$K$405,$AP2548)&lt;&gt;"",N($W2548)&gt;0,INDEX(職員マスタ!$K$6:$K$405,$AP2548)&lt;&gt;$W2548),"標準報酬月額が申請書と相違（台帳"&amp;TEXT(INDEX(職員マスタ!$K$6:$K$405,$AP2548),"#,##0")&amp;"円／申請書"&amp;TEXT($W2548,"#,##0")&amp;"円）／","")&amp;IF(AND(INDEX(職員マスタ!$F$6:$F$405,$AP2548)&lt;&gt;"",$AQ2548&lt;&gt;"",INDEX(職員マスタ!$F$6:$F$405,$AP2548)&lt;$AQ2548),"対象月に子が2歳到達済／","")&amp;IF(AND($H2548&lt;&gt;"",INDEX(職員マスタ!$B$6:$B$405,$AP2548)&lt;&gt;"",SUBSTITUTE(SUBSTITUTE($H2548," ","")," ","")&lt;&gt;SUBSTITUTE(SUBSTITUTE(INDEX(職員マスタ!$B$6:$B$405,$AP2548)," ","")," ","")),"氏名がマスタと相違／","")&amp;IF(AND($Q2548&lt;&gt;"",INDEX(職員マスタ!$E$6:$E$405,$AP2548)&lt;&gt;"",$Q2548&lt;&gt;INDEX(職員マスタ!$E$6:$E$405,$AP2548)),"子の生年月日がマスタと相違／","")&amp;IF(AND($L2548&lt;&gt;"",INDEX(職員マスタ!$G$6:$G$405,$AP2548)&lt;&gt;"",$L2548&lt;&gt;INDEX(職員マスタ!$G$6:$G$405,$AP2548)),"時短開始日がマスタと相違／","")&amp;IF(AND($M2548&lt;&gt;"",INDEX(職員マスタ!$H$6:$H$405,$AP2548)&lt;&gt;"",$M2548&lt;&gt;INDEX(職員マスタ!$H$6:$H$405,$AP2548)),"時短終了日がマスタと相違／","")))&amp;IF(AND($B2548&lt;&gt;"",$E2548=""),"報酬額が未入力／","")&amp;IF(N($U2548)&gt;0,"申請書に入力エラーが残っています／","")&amp;IF(AND($B2548&lt;&gt;"",$AQ2548&lt;&gt;""),IF(COUNTIFS($B$6:$B$3005,$B2548,$C$6:$C$3005,$C2548,$D$6:$D$3005,$D2548)&gt;1,"同じ月の請求が重複しています／",""),"")&amp;IF(AND(N($E2548)&gt;0,$AB2548&lt;&gt;"",$AB2548&lt;&gt;"×",$AE2548=0,$AD2548=""),"計算額が下限以下のため不支給／",""))</f>
        <v/>
      </c>
      <c r="AN2548" s="12" t="n"/>
      <c r="AO2548" s="14">
        <f>IF($AF2548="保留中",COUNTIF($AF$6:$AF2548,"保留中"),"")</f>
        <v/>
      </c>
      <c r="AP2548" s="14">
        <f>IF($AQ2548="","",IF(SUMPRODUCT(MAX((職員マスタ!$A$6:$A$405=$B2548)*(((職員マスタ!$G$6:$G$405="")+(職員マスタ!$G$6:$G$405&lt;=EOMONTH($AQ2548,0)))&gt;0)*(((職員マスタ!$H$6:$H$405="")+(職員マスタ!$H$6:$H$405&gt;=$AQ2548))&gt;0)*(ROW(職員マスタ!$A$6:$A$405)-5)))&gt;0,SUMPRODUCT(MAX((職員マスタ!$A$6:$A$405=$B2548)*(((職員マスタ!$G$6:$G$405="")+(職員マスタ!$G$6:$G$405&lt;=EOMONTH($AQ2548,0)))&gt;0)*(((職員マスタ!$H$6:$H$405="")+(職員マスタ!$H$6:$H$405&gt;=$AQ2548))&gt;0)*(ROW(職員マスタ!$A$6:$A$405)-5))),IFERROR(MATCH($B2548,職員マスタ!$A$6:$A$405,0),"")))</f>
        <v/>
      </c>
      <c r="AQ2548" s="16">
        <f>IF(OR($B2548="",$C2548="",$D2548=""),"",DATE($C2548+2018,$D2548,1))</f>
        <v/>
      </c>
    </row>
    <row r="2549">
      <c r="A2549" s="11" t="n"/>
      <c r="B2549" s="12" t="n"/>
      <c r="C2549" s="12" t="n"/>
      <c r="D2549" s="12" t="n"/>
      <c r="E2549" s="13" t="n"/>
      <c r="F2549" s="12" t="n"/>
      <c r="G2549" s="13" t="n"/>
      <c r="H2549" s="12" t="n"/>
      <c r="I2549" s="12" t="n"/>
      <c r="J2549" s="12" t="n"/>
      <c r="K2549" s="12" t="n"/>
      <c r="L2549" s="11" t="n"/>
      <c r="M2549" s="11" t="n"/>
      <c r="N2549" s="11" t="n"/>
      <c r="O2549" s="11" t="n"/>
      <c r="P2549" s="12" t="n"/>
      <c r="Q2549" s="11" t="n"/>
      <c r="R2549" s="12" t="n"/>
      <c r="S2549" s="11" t="n"/>
      <c r="T2549" s="12" t="n"/>
      <c r="U2549" s="12" t="n"/>
      <c r="V2549" s="12" t="n"/>
      <c r="W2549" s="13" t="n"/>
      <c r="X2549" s="14">
        <f>IF($AP2549="",IF($B2549="","",$H2549),IF(INDEX(職員マスタ!$B$6:$B$405,$AP2549)="",$H2549,INDEX(職員マスタ!$B$6:$B$405,$AP2549)))</f>
        <v/>
      </c>
      <c r="Y2549" s="14">
        <f>IF($AP2549="",IF($B2549="","",$R2549),IF(INDEX(職員マスタ!$C$6:$C$405,$AP2549)="",$R2549,INDEX(職員マスタ!$C$6:$C$405,$AP2549)))</f>
        <v/>
      </c>
      <c r="Z2549" s="14">
        <f>IF($AQ2549="","","R"&amp;$C2549&amp;"."&amp;$D2549)</f>
        <v/>
      </c>
      <c r="AA2549" s="15">
        <f>IF(IF($AP2549="",FALSE,INDEX(職員マスタ!$K$6:$K$405,$AP2549)&lt;&gt;""),INDEX(職員マスタ!$K$6:$K$405,$AP2549),IF(N($W2549)&gt;0,$W2549,""))</f>
        <v/>
      </c>
      <c r="AB2549" s="14">
        <f>IF(OR($E2549="",$AA2549=""),"",IF($E2549&gt;=$AA2549,"×",IF($E2549&gt;=$AA2549*設定!$C$5,"△","○")))</f>
        <v/>
      </c>
      <c r="AC2549" s="15">
        <f>IF($AB2549="","",IF($AB2549="×",0,IF($AB2549="○",ROUNDDOWN($E2549*設定!$C$4,0),ROUNDDOWN($E2549*ROUND((9*$AA2549-9*$E2549)/(10*$E2549),4),0))))</f>
        <v/>
      </c>
      <c r="AD2549" s="13" t="n"/>
      <c r="AE2549" s="15">
        <f>IF($B2549="","",IF($AD2549&lt;&gt;"",$AD2549,IF($AC2549="","",IF($AC2549&lt;=設定!$C$3,0,$AC2549))))</f>
        <v/>
      </c>
      <c r="AF2549" s="14">
        <f>IF($B2549="","",IF(AND($AG2549&lt;&gt;"",$AI2549="",$AL2549=""),"保留中",IF($AL2549&lt;&gt;"",IF(N($AE2549)&gt;0,"支給済","不支給"),IF($AE2549="","要確認",IF($AE2549=0,"不支給","未処理")))))</f>
        <v/>
      </c>
      <c r="AG2549" s="12" t="n"/>
      <c r="AH2549" s="11" t="n"/>
      <c r="AI2549" s="11" t="n"/>
      <c r="AJ2549" s="11" t="n"/>
      <c r="AK2549" s="14">
        <f>IF(AND($AF2549="保留中",$AH2549&lt;&gt;""),TODAY()-$AH2549,"")</f>
        <v/>
      </c>
      <c r="AL2549" s="12" t="n"/>
      <c r="AM2549" s="14">
        <f>IF($B2549="","",IF($AQ2549="","対象年月が未入力／","")&amp;IF($B2549="","",IF($AP2549="","職員マスタに未登録の職員番号／",IF($AA2549="","標準報酬月額が未登録／","")&amp;IF(AND($AQ2549&lt;&gt;"",OR(AND(INDEX(職員マスタ!$G$6:$G$405,$AP2549)&lt;&gt;"",INDEX(職員マスタ!$G$6:$G$405,$AP2549)&gt;EOMONTH($AQ2549,0)),AND(INDEX(職員マスタ!$H$6:$H$405,$AP2549)&lt;&gt;"",INDEX(職員マスタ!$H$6:$H$405,$AP2549)&lt;$AQ2549))),"対象月が時短期間外／","")&amp;IF(AND(INDEX(職員マスタ!$K$6:$K$405,$AP2549)&lt;&gt;"",N($W2549)&gt;0,INDEX(職員マスタ!$K$6:$K$405,$AP2549)&lt;&gt;$W2549),"標準報酬月額が申請書と相違（台帳"&amp;TEXT(INDEX(職員マスタ!$K$6:$K$405,$AP2549),"#,##0")&amp;"円／申請書"&amp;TEXT($W2549,"#,##0")&amp;"円）／","")&amp;IF(AND(INDEX(職員マスタ!$F$6:$F$405,$AP2549)&lt;&gt;"",$AQ2549&lt;&gt;"",INDEX(職員マスタ!$F$6:$F$405,$AP2549)&lt;$AQ2549),"対象月に子が2歳到達済／","")&amp;IF(AND($H2549&lt;&gt;"",INDEX(職員マスタ!$B$6:$B$405,$AP2549)&lt;&gt;"",SUBSTITUTE(SUBSTITUTE($H2549," ","")," ","")&lt;&gt;SUBSTITUTE(SUBSTITUTE(INDEX(職員マスタ!$B$6:$B$405,$AP2549)," ","")," ","")),"氏名がマスタと相違／","")&amp;IF(AND($Q2549&lt;&gt;"",INDEX(職員マスタ!$E$6:$E$405,$AP2549)&lt;&gt;"",$Q2549&lt;&gt;INDEX(職員マスタ!$E$6:$E$405,$AP2549)),"子の生年月日がマスタと相違／","")&amp;IF(AND($L2549&lt;&gt;"",INDEX(職員マスタ!$G$6:$G$405,$AP2549)&lt;&gt;"",$L2549&lt;&gt;INDEX(職員マスタ!$G$6:$G$405,$AP2549)),"時短開始日がマスタと相違／","")&amp;IF(AND($M2549&lt;&gt;"",INDEX(職員マスタ!$H$6:$H$405,$AP2549)&lt;&gt;"",$M2549&lt;&gt;INDEX(職員マスタ!$H$6:$H$405,$AP2549)),"時短終了日がマスタと相違／","")))&amp;IF(AND($B2549&lt;&gt;"",$E2549=""),"報酬額が未入力／","")&amp;IF(N($U2549)&gt;0,"申請書に入力エラーが残っています／","")&amp;IF(AND($B2549&lt;&gt;"",$AQ2549&lt;&gt;""),IF(COUNTIFS($B$6:$B$3005,$B2549,$C$6:$C$3005,$C2549,$D$6:$D$3005,$D2549)&gt;1,"同じ月の請求が重複しています／",""),"")&amp;IF(AND(N($E2549)&gt;0,$AB2549&lt;&gt;"",$AB2549&lt;&gt;"×",$AE2549=0,$AD2549=""),"計算額が下限以下のため不支給／",""))</f>
        <v/>
      </c>
      <c r="AN2549" s="12" t="n"/>
      <c r="AO2549" s="14">
        <f>IF($AF2549="保留中",COUNTIF($AF$6:$AF2549,"保留中"),"")</f>
        <v/>
      </c>
      <c r="AP2549" s="14">
        <f>IF($AQ2549="","",IF(SUMPRODUCT(MAX((職員マスタ!$A$6:$A$405=$B2549)*(((職員マスタ!$G$6:$G$405="")+(職員マスタ!$G$6:$G$405&lt;=EOMONTH($AQ2549,0)))&gt;0)*(((職員マスタ!$H$6:$H$405="")+(職員マスタ!$H$6:$H$405&gt;=$AQ2549))&gt;0)*(ROW(職員マスタ!$A$6:$A$405)-5)))&gt;0,SUMPRODUCT(MAX((職員マスタ!$A$6:$A$405=$B2549)*(((職員マスタ!$G$6:$G$405="")+(職員マスタ!$G$6:$G$405&lt;=EOMONTH($AQ2549,0)))&gt;0)*(((職員マスタ!$H$6:$H$405="")+(職員マスタ!$H$6:$H$405&gt;=$AQ2549))&gt;0)*(ROW(職員マスタ!$A$6:$A$405)-5))),IFERROR(MATCH($B2549,職員マスタ!$A$6:$A$405,0),"")))</f>
        <v/>
      </c>
      <c r="AQ2549" s="16">
        <f>IF(OR($B2549="",$C2549="",$D2549=""),"",DATE($C2549+2018,$D2549,1))</f>
        <v/>
      </c>
    </row>
    <row r="2550">
      <c r="A2550" s="11" t="n"/>
      <c r="B2550" s="12" t="n"/>
      <c r="C2550" s="12" t="n"/>
      <c r="D2550" s="12" t="n"/>
      <c r="E2550" s="13" t="n"/>
      <c r="F2550" s="12" t="n"/>
      <c r="G2550" s="13" t="n"/>
      <c r="H2550" s="12" t="n"/>
      <c r="I2550" s="12" t="n"/>
      <c r="J2550" s="12" t="n"/>
      <c r="K2550" s="12" t="n"/>
      <c r="L2550" s="11" t="n"/>
      <c r="M2550" s="11" t="n"/>
      <c r="N2550" s="11" t="n"/>
      <c r="O2550" s="11" t="n"/>
      <c r="P2550" s="12" t="n"/>
      <c r="Q2550" s="11" t="n"/>
      <c r="R2550" s="12" t="n"/>
      <c r="S2550" s="11" t="n"/>
      <c r="T2550" s="12" t="n"/>
      <c r="U2550" s="12" t="n"/>
      <c r="V2550" s="12" t="n"/>
      <c r="W2550" s="13" t="n"/>
      <c r="X2550" s="14">
        <f>IF($AP2550="",IF($B2550="","",$H2550),IF(INDEX(職員マスタ!$B$6:$B$405,$AP2550)="",$H2550,INDEX(職員マスタ!$B$6:$B$405,$AP2550)))</f>
        <v/>
      </c>
      <c r="Y2550" s="14">
        <f>IF($AP2550="",IF($B2550="","",$R2550),IF(INDEX(職員マスタ!$C$6:$C$405,$AP2550)="",$R2550,INDEX(職員マスタ!$C$6:$C$405,$AP2550)))</f>
        <v/>
      </c>
      <c r="Z2550" s="14">
        <f>IF($AQ2550="","","R"&amp;$C2550&amp;"."&amp;$D2550)</f>
        <v/>
      </c>
      <c r="AA2550" s="15">
        <f>IF(IF($AP2550="",FALSE,INDEX(職員マスタ!$K$6:$K$405,$AP2550)&lt;&gt;""),INDEX(職員マスタ!$K$6:$K$405,$AP2550),IF(N($W2550)&gt;0,$W2550,""))</f>
        <v/>
      </c>
      <c r="AB2550" s="14">
        <f>IF(OR($E2550="",$AA2550=""),"",IF($E2550&gt;=$AA2550,"×",IF($E2550&gt;=$AA2550*設定!$C$5,"△","○")))</f>
        <v/>
      </c>
      <c r="AC2550" s="15">
        <f>IF($AB2550="","",IF($AB2550="×",0,IF($AB2550="○",ROUNDDOWN($E2550*設定!$C$4,0),ROUNDDOWN($E2550*ROUND((9*$AA2550-9*$E2550)/(10*$E2550),4),0))))</f>
        <v/>
      </c>
      <c r="AD2550" s="13" t="n"/>
      <c r="AE2550" s="15">
        <f>IF($B2550="","",IF($AD2550&lt;&gt;"",$AD2550,IF($AC2550="","",IF($AC2550&lt;=設定!$C$3,0,$AC2550))))</f>
        <v/>
      </c>
      <c r="AF2550" s="14">
        <f>IF($B2550="","",IF(AND($AG2550&lt;&gt;"",$AI2550="",$AL2550=""),"保留中",IF($AL2550&lt;&gt;"",IF(N($AE2550)&gt;0,"支給済","不支給"),IF($AE2550="","要確認",IF($AE2550=0,"不支給","未処理")))))</f>
        <v/>
      </c>
      <c r="AG2550" s="12" t="n"/>
      <c r="AH2550" s="11" t="n"/>
      <c r="AI2550" s="11" t="n"/>
      <c r="AJ2550" s="11" t="n"/>
      <c r="AK2550" s="14">
        <f>IF(AND($AF2550="保留中",$AH2550&lt;&gt;""),TODAY()-$AH2550,"")</f>
        <v/>
      </c>
      <c r="AL2550" s="12" t="n"/>
      <c r="AM2550" s="14">
        <f>IF($B2550="","",IF($AQ2550="","対象年月が未入力／","")&amp;IF($B2550="","",IF($AP2550="","職員マスタに未登録の職員番号／",IF($AA2550="","標準報酬月額が未登録／","")&amp;IF(AND($AQ2550&lt;&gt;"",OR(AND(INDEX(職員マスタ!$G$6:$G$405,$AP2550)&lt;&gt;"",INDEX(職員マスタ!$G$6:$G$405,$AP2550)&gt;EOMONTH($AQ2550,0)),AND(INDEX(職員マスタ!$H$6:$H$405,$AP2550)&lt;&gt;"",INDEX(職員マスタ!$H$6:$H$405,$AP2550)&lt;$AQ2550))),"対象月が時短期間外／","")&amp;IF(AND(INDEX(職員マスタ!$K$6:$K$405,$AP2550)&lt;&gt;"",N($W2550)&gt;0,INDEX(職員マスタ!$K$6:$K$405,$AP2550)&lt;&gt;$W2550),"標準報酬月額が申請書と相違（台帳"&amp;TEXT(INDEX(職員マスタ!$K$6:$K$405,$AP2550),"#,##0")&amp;"円／申請書"&amp;TEXT($W2550,"#,##0")&amp;"円）／","")&amp;IF(AND(INDEX(職員マスタ!$F$6:$F$405,$AP2550)&lt;&gt;"",$AQ2550&lt;&gt;"",INDEX(職員マスタ!$F$6:$F$405,$AP2550)&lt;$AQ2550),"対象月に子が2歳到達済／","")&amp;IF(AND($H2550&lt;&gt;"",INDEX(職員マスタ!$B$6:$B$405,$AP2550)&lt;&gt;"",SUBSTITUTE(SUBSTITUTE($H2550," ","")," ","")&lt;&gt;SUBSTITUTE(SUBSTITUTE(INDEX(職員マスタ!$B$6:$B$405,$AP2550)," ","")," ","")),"氏名がマスタと相違／","")&amp;IF(AND($Q2550&lt;&gt;"",INDEX(職員マスタ!$E$6:$E$405,$AP2550)&lt;&gt;"",$Q2550&lt;&gt;INDEX(職員マスタ!$E$6:$E$405,$AP2550)),"子の生年月日がマスタと相違／","")&amp;IF(AND($L2550&lt;&gt;"",INDEX(職員マスタ!$G$6:$G$405,$AP2550)&lt;&gt;"",$L2550&lt;&gt;INDEX(職員マスタ!$G$6:$G$405,$AP2550)),"時短開始日がマスタと相違／","")&amp;IF(AND($M2550&lt;&gt;"",INDEX(職員マスタ!$H$6:$H$405,$AP2550)&lt;&gt;"",$M2550&lt;&gt;INDEX(職員マスタ!$H$6:$H$405,$AP2550)),"時短終了日がマスタと相違／","")))&amp;IF(AND($B2550&lt;&gt;"",$E2550=""),"報酬額が未入力／","")&amp;IF(N($U2550)&gt;0,"申請書に入力エラーが残っています／","")&amp;IF(AND($B2550&lt;&gt;"",$AQ2550&lt;&gt;""),IF(COUNTIFS($B$6:$B$3005,$B2550,$C$6:$C$3005,$C2550,$D$6:$D$3005,$D2550)&gt;1,"同じ月の請求が重複しています／",""),"")&amp;IF(AND(N($E2550)&gt;0,$AB2550&lt;&gt;"",$AB2550&lt;&gt;"×",$AE2550=0,$AD2550=""),"計算額が下限以下のため不支給／",""))</f>
        <v/>
      </c>
      <c r="AN2550" s="12" t="n"/>
      <c r="AO2550" s="14">
        <f>IF($AF2550="保留中",COUNTIF($AF$6:$AF2550,"保留中"),"")</f>
        <v/>
      </c>
      <c r="AP2550" s="14">
        <f>IF($AQ2550="","",IF(SUMPRODUCT(MAX((職員マスタ!$A$6:$A$405=$B2550)*(((職員マスタ!$G$6:$G$405="")+(職員マスタ!$G$6:$G$405&lt;=EOMONTH($AQ2550,0)))&gt;0)*(((職員マスタ!$H$6:$H$405="")+(職員マスタ!$H$6:$H$405&gt;=$AQ2550))&gt;0)*(ROW(職員マスタ!$A$6:$A$405)-5)))&gt;0,SUMPRODUCT(MAX((職員マスタ!$A$6:$A$405=$B2550)*(((職員マスタ!$G$6:$G$405="")+(職員マスタ!$G$6:$G$405&lt;=EOMONTH($AQ2550,0)))&gt;0)*(((職員マスタ!$H$6:$H$405="")+(職員マスタ!$H$6:$H$405&gt;=$AQ2550))&gt;0)*(ROW(職員マスタ!$A$6:$A$405)-5))),IFERROR(MATCH($B2550,職員マスタ!$A$6:$A$405,0),"")))</f>
        <v/>
      </c>
      <c r="AQ2550" s="16">
        <f>IF(OR($B2550="",$C2550="",$D2550=""),"",DATE($C2550+2018,$D2550,1))</f>
        <v/>
      </c>
    </row>
    <row r="2551">
      <c r="A2551" s="11" t="n"/>
      <c r="B2551" s="12" t="n"/>
      <c r="C2551" s="12" t="n"/>
      <c r="D2551" s="12" t="n"/>
      <c r="E2551" s="13" t="n"/>
      <c r="F2551" s="12" t="n"/>
      <c r="G2551" s="13" t="n"/>
      <c r="H2551" s="12" t="n"/>
      <c r="I2551" s="12" t="n"/>
      <c r="J2551" s="12" t="n"/>
      <c r="K2551" s="12" t="n"/>
      <c r="L2551" s="11" t="n"/>
      <c r="M2551" s="11" t="n"/>
      <c r="N2551" s="11" t="n"/>
      <c r="O2551" s="11" t="n"/>
      <c r="P2551" s="12" t="n"/>
      <c r="Q2551" s="11" t="n"/>
      <c r="R2551" s="12" t="n"/>
      <c r="S2551" s="11" t="n"/>
      <c r="T2551" s="12" t="n"/>
      <c r="U2551" s="12" t="n"/>
      <c r="V2551" s="12" t="n"/>
      <c r="W2551" s="13" t="n"/>
      <c r="X2551" s="14">
        <f>IF($AP2551="",IF($B2551="","",$H2551),IF(INDEX(職員マスタ!$B$6:$B$405,$AP2551)="",$H2551,INDEX(職員マスタ!$B$6:$B$405,$AP2551)))</f>
        <v/>
      </c>
      <c r="Y2551" s="14">
        <f>IF($AP2551="",IF($B2551="","",$R2551),IF(INDEX(職員マスタ!$C$6:$C$405,$AP2551)="",$R2551,INDEX(職員マスタ!$C$6:$C$405,$AP2551)))</f>
        <v/>
      </c>
      <c r="Z2551" s="14">
        <f>IF($AQ2551="","","R"&amp;$C2551&amp;"."&amp;$D2551)</f>
        <v/>
      </c>
      <c r="AA2551" s="15">
        <f>IF(IF($AP2551="",FALSE,INDEX(職員マスタ!$K$6:$K$405,$AP2551)&lt;&gt;""),INDEX(職員マスタ!$K$6:$K$405,$AP2551),IF(N($W2551)&gt;0,$W2551,""))</f>
        <v/>
      </c>
      <c r="AB2551" s="14">
        <f>IF(OR($E2551="",$AA2551=""),"",IF($E2551&gt;=$AA2551,"×",IF($E2551&gt;=$AA2551*設定!$C$5,"△","○")))</f>
        <v/>
      </c>
      <c r="AC2551" s="15">
        <f>IF($AB2551="","",IF($AB2551="×",0,IF($AB2551="○",ROUNDDOWN($E2551*設定!$C$4,0),ROUNDDOWN($E2551*ROUND((9*$AA2551-9*$E2551)/(10*$E2551),4),0))))</f>
        <v/>
      </c>
      <c r="AD2551" s="13" t="n"/>
      <c r="AE2551" s="15">
        <f>IF($B2551="","",IF($AD2551&lt;&gt;"",$AD2551,IF($AC2551="","",IF($AC2551&lt;=設定!$C$3,0,$AC2551))))</f>
        <v/>
      </c>
      <c r="AF2551" s="14">
        <f>IF($B2551="","",IF(AND($AG2551&lt;&gt;"",$AI2551="",$AL2551=""),"保留中",IF($AL2551&lt;&gt;"",IF(N($AE2551)&gt;0,"支給済","不支給"),IF($AE2551="","要確認",IF($AE2551=0,"不支給","未処理")))))</f>
        <v/>
      </c>
      <c r="AG2551" s="12" t="n"/>
      <c r="AH2551" s="11" t="n"/>
      <c r="AI2551" s="11" t="n"/>
      <c r="AJ2551" s="11" t="n"/>
      <c r="AK2551" s="14">
        <f>IF(AND($AF2551="保留中",$AH2551&lt;&gt;""),TODAY()-$AH2551,"")</f>
        <v/>
      </c>
      <c r="AL2551" s="12" t="n"/>
      <c r="AM2551" s="14">
        <f>IF($B2551="","",IF($AQ2551="","対象年月が未入力／","")&amp;IF($B2551="","",IF($AP2551="","職員マスタに未登録の職員番号／",IF($AA2551="","標準報酬月額が未登録／","")&amp;IF(AND($AQ2551&lt;&gt;"",OR(AND(INDEX(職員マスタ!$G$6:$G$405,$AP2551)&lt;&gt;"",INDEX(職員マスタ!$G$6:$G$405,$AP2551)&gt;EOMONTH($AQ2551,0)),AND(INDEX(職員マスタ!$H$6:$H$405,$AP2551)&lt;&gt;"",INDEX(職員マスタ!$H$6:$H$405,$AP2551)&lt;$AQ2551))),"対象月が時短期間外／","")&amp;IF(AND(INDEX(職員マスタ!$K$6:$K$405,$AP2551)&lt;&gt;"",N($W2551)&gt;0,INDEX(職員マスタ!$K$6:$K$405,$AP2551)&lt;&gt;$W2551),"標準報酬月額が申請書と相違（台帳"&amp;TEXT(INDEX(職員マスタ!$K$6:$K$405,$AP2551),"#,##0")&amp;"円／申請書"&amp;TEXT($W2551,"#,##0")&amp;"円）／","")&amp;IF(AND(INDEX(職員マスタ!$F$6:$F$405,$AP2551)&lt;&gt;"",$AQ2551&lt;&gt;"",INDEX(職員マスタ!$F$6:$F$405,$AP2551)&lt;$AQ2551),"対象月に子が2歳到達済／","")&amp;IF(AND($H2551&lt;&gt;"",INDEX(職員マスタ!$B$6:$B$405,$AP2551)&lt;&gt;"",SUBSTITUTE(SUBSTITUTE($H2551," ","")," ","")&lt;&gt;SUBSTITUTE(SUBSTITUTE(INDEX(職員マスタ!$B$6:$B$405,$AP2551)," ","")," ","")),"氏名がマスタと相違／","")&amp;IF(AND($Q2551&lt;&gt;"",INDEX(職員マスタ!$E$6:$E$405,$AP2551)&lt;&gt;"",$Q2551&lt;&gt;INDEX(職員マスタ!$E$6:$E$405,$AP2551)),"子の生年月日がマスタと相違／","")&amp;IF(AND($L2551&lt;&gt;"",INDEX(職員マスタ!$G$6:$G$405,$AP2551)&lt;&gt;"",$L2551&lt;&gt;INDEX(職員マスタ!$G$6:$G$405,$AP2551)),"時短開始日がマスタと相違／","")&amp;IF(AND($M2551&lt;&gt;"",INDEX(職員マスタ!$H$6:$H$405,$AP2551)&lt;&gt;"",$M2551&lt;&gt;INDEX(職員マスタ!$H$6:$H$405,$AP2551)),"時短終了日がマスタと相違／","")))&amp;IF(AND($B2551&lt;&gt;"",$E2551=""),"報酬額が未入力／","")&amp;IF(N($U2551)&gt;0,"申請書に入力エラーが残っています／","")&amp;IF(AND($B2551&lt;&gt;"",$AQ2551&lt;&gt;""),IF(COUNTIFS($B$6:$B$3005,$B2551,$C$6:$C$3005,$C2551,$D$6:$D$3005,$D2551)&gt;1,"同じ月の請求が重複しています／",""),"")&amp;IF(AND(N($E2551)&gt;0,$AB2551&lt;&gt;"",$AB2551&lt;&gt;"×",$AE2551=0,$AD2551=""),"計算額が下限以下のため不支給／",""))</f>
        <v/>
      </c>
      <c r="AN2551" s="12" t="n"/>
      <c r="AO2551" s="14">
        <f>IF($AF2551="保留中",COUNTIF($AF$6:$AF2551,"保留中"),"")</f>
        <v/>
      </c>
      <c r="AP2551" s="14">
        <f>IF($AQ2551="","",IF(SUMPRODUCT(MAX((職員マスタ!$A$6:$A$405=$B2551)*(((職員マスタ!$G$6:$G$405="")+(職員マスタ!$G$6:$G$405&lt;=EOMONTH($AQ2551,0)))&gt;0)*(((職員マスタ!$H$6:$H$405="")+(職員マスタ!$H$6:$H$405&gt;=$AQ2551))&gt;0)*(ROW(職員マスタ!$A$6:$A$405)-5)))&gt;0,SUMPRODUCT(MAX((職員マスタ!$A$6:$A$405=$B2551)*(((職員マスタ!$G$6:$G$405="")+(職員マスタ!$G$6:$G$405&lt;=EOMONTH($AQ2551,0)))&gt;0)*(((職員マスタ!$H$6:$H$405="")+(職員マスタ!$H$6:$H$405&gt;=$AQ2551))&gt;0)*(ROW(職員マスタ!$A$6:$A$405)-5))),IFERROR(MATCH($B2551,職員マスタ!$A$6:$A$405,0),"")))</f>
        <v/>
      </c>
      <c r="AQ2551" s="16">
        <f>IF(OR($B2551="",$C2551="",$D2551=""),"",DATE($C2551+2018,$D2551,1))</f>
        <v/>
      </c>
    </row>
    <row r="2552">
      <c r="A2552" s="11" t="n"/>
      <c r="B2552" s="12" t="n"/>
      <c r="C2552" s="12" t="n"/>
      <c r="D2552" s="12" t="n"/>
      <c r="E2552" s="13" t="n"/>
      <c r="F2552" s="12" t="n"/>
      <c r="G2552" s="13" t="n"/>
      <c r="H2552" s="12" t="n"/>
      <c r="I2552" s="12" t="n"/>
      <c r="J2552" s="12" t="n"/>
      <c r="K2552" s="12" t="n"/>
      <c r="L2552" s="11" t="n"/>
      <c r="M2552" s="11" t="n"/>
      <c r="N2552" s="11" t="n"/>
      <c r="O2552" s="11" t="n"/>
      <c r="P2552" s="12" t="n"/>
      <c r="Q2552" s="11" t="n"/>
      <c r="R2552" s="12" t="n"/>
      <c r="S2552" s="11" t="n"/>
      <c r="T2552" s="12" t="n"/>
      <c r="U2552" s="12" t="n"/>
      <c r="V2552" s="12" t="n"/>
      <c r="W2552" s="13" t="n"/>
      <c r="X2552" s="14">
        <f>IF($AP2552="",IF($B2552="","",$H2552),IF(INDEX(職員マスタ!$B$6:$B$405,$AP2552)="",$H2552,INDEX(職員マスタ!$B$6:$B$405,$AP2552)))</f>
        <v/>
      </c>
      <c r="Y2552" s="14">
        <f>IF($AP2552="",IF($B2552="","",$R2552),IF(INDEX(職員マスタ!$C$6:$C$405,$AP2552)="",$R2552,INDEX(職員マスタ!$C$6:$C$405,$AP2552)))</f>
        <v/>
      </c>
      <c r="Z2552" s="14">
        <f>IF($AQ2552="","","R"&amp;$C2552&amp;"."&amp;$D2552)</f>
        <v/>
      </c>
      <c r="AA2552" s="15">
        <f>IF(IF($AP2552="",FALSE,INDEX(職員マスタ!$K$6:$K$405,$AP2552)&lt;&gt;""),INDEX(職員マスタ!$K$6:$K$405,$AP2552),IF(N($W2552)&gt;0,$W2552,""))</f>
        <v/>
      </c>
      <c r="AB2552" s="14">
        <f>IF(OR($E2552="",$AA2552=""),"",IF($E2552&gt;=$AA2552,"×",IF($E2552&gt;=$AA2552*設定!$C$5,"△","○")))</f>
        <v/>
      </c>
      <c r="AC2552" s="15">
        <f>IF($AB2552="","",IF($AB2552="×",0,IF($AB2552="○",ROUNDDOWN($E2552*設定!$C$4,0),ROUNDDOWN($E2552*ROUND((9*$AA2552-9*$E2552)/(10*$E2552),4),0))))</f>
        <v/>
      </c>
      <c r="AD2552" s="13" t="n"/>
      <c r="AE2552" s="15">
        <f>IF($B2552="","",IF($AD2552&lt;&gt;"",$AD2552,IF($AC2552="","",IF($AC2552&lt;=設定!$C$3,0,$AC2552))))</f>
        <v/>
      </c>
      <c r="AF2552" s="14">
        <f>IF($B2552="","",IF(AND($AG2552&lt;&gt;"",$AI2552="",$AL2552=""),"保留中",IF($AL2552&lt;&gt;"",IF(N($AE2552)&gt;0,"支給済","不支給"),IF($AE2552="","要確認",IF($AE2552=0,"不支給","未処理")))))</f>
        <v/>
      </c>
      <c r="AG2552" s="12" t="n"/>
      <c r="AH2552" s="11" t="n"/>
      <c r="AI2552" s="11" t="n"/>
      <c r="AJ2552" s="11" t="n"/>
      <c r="AK2552" s="14">
        <f>IF(AND($AF2552="保留中",$AH2552&lt;&gt;""),TODAY()-$AH2552,"")</f>
        <v/>
      </c>
      <c r="AL2552" s="12" t="n"/>
      <c r="AM2552" s="14">
        <f>IF($B2552="","",IF($AQ2552="","対象年月が未入力／","")&amp;IF($B2552="","",IF($AP2552="","職員マスタに未登録の職員番号／",IF($AA2552="","標準報酬月額が未登録／","")&amp;IF(AND($AQ2552&lt;&gt;"",OR(AND(INDEX(職員マスタ!$G$6:$G$405,$AP2552)&lt;&gt;"",INDEX(職員マスタ!$G$6:$G$405,$AP2552)&gt;EOMONTH($AQ2552,0)),AND(INDEX(職員マスタ!$H$6:$H$405,$AP2552)&lt;&gt;"",INDEX(職員マスタ!$H$6:$H$405,$AP2552)&lt;$AQ2552))),"対象月が時短期間外／","")&amp;IF(AND(INDEX(職員マスタ!$K$6:$K$405,$AP2552)&lt;&gt;"",N($W2552)&gt;0,INDEX(職員マスタ!$K$6:$K$405,$AP2552)&lt;&gt;$W2552),"標準報酬月額が申請書と相違（台帳"&amp;TEXT(INDEX(職員マスタ!$K$6:$K$405,$AP2552),"#,##0")&amp;"円／申請書"&amp;TEXT($W2552,"#,##0")&amp;"円）／","")&amp;IF(AND(INDEX(職員マスタ!$F$6:$F$405,$AP2552)&lt;&gt;"",$AQ2552&lt;&gt;"",INDEX(職員マスタ!$F$6:$F$405,$AP2552)&lt;$AQ2552),"対象月に子が2歳到達済／","")&amp;IF(AND($H2552&lt;&gt;"",INDEX(職員マスタ!$B$6:$B$405,$AP2552)&lt;&gt;"",SUBSTITUTE(SUBSTITUTE($H2552," ","")," ","")&lt;&gt;SUBSTITUTE(SUBSTITUTE(INDEX(職員マスタ!$B$6:$B$405,$AP2552)," ","")," ","")),"氏名がマスタと相違／","")&amp;IF(AND($Q2552&lt;&gt;"",INDEX(職員マスタ!$E$6:$E$405,$AP2552)&lt;&gt;"",$Q2552&lt;&gt;INDEX(職員マスタ!$E$6:$E$405,$AP2552)),"子の生年月日がマスタと相違／","")&amp;IF(AND($L2552&lt;&gt;"",INDEX(職員マスタ!$G$6:$G$405,$AP2552)&lt;&gt;"",$L2552&lt;&gt;INDEX(職員マスタ!$G$6:$G$405,$AP2552)),"時短開始日がマスタと相違／","")&amp;IF(AND($M2552&lt;&gt;"",INDEX(職員マスタ!$H$6:$H$405,$AP2552)&lt;&gt;"",$M2552&lt;&gt;INDEX(職員マスタ!$H$6:$H$405,$AP2552)),"時短終了日がマスタと相違／","")))&amp;IF(AND($B2552&lt;&gt;"",$E2552=""),"報酬額が未入力／","")&amp;IF(N($U2552)&gt;0,"申請書に入力エラーが残っています／","")&amp;IF(AND($B2552&lt;&gt;"",$AQ2552&lt;&gt;""),IF(COUNTIFS($B$6:$B$3005,$B2552,$C$6:$C$3005,$C2552,$D$6:$D$3005,$D2552)&gt;1,"同じ月の請求が重複しています／",""),"")&amp;IF(AND(N($E2552)&gt;0,$AB2552&lt;&gt;"",$AB2552&lt;&gt;"×",$AE2552=0,$AD2552=""),"計算額が下限以下のため不支給／",""))</f>
        <v/>
      </c>
      <c r="AN2552" s="12" t="n"/>
      <c r="AO2552" s="14">
        <f>IF($AF2552="保留中",COUNTIF($AF$6:$AF2552,"保留中"),"")</f>
        <v/>
      </c>
      <c r="AP2552" s="14">
        <f>IF($AQ2552="","",IF(SUMPRODUCT(MAX((職員マスタ!$A$6:$A$405=$B2552)*(((職員マスタ!$G$6:$G$405="")+(職員マスタ!$G$6:$G$405&lt;=EOMONTH($AQ2552,0)))&gt;0)*(((職員マスタ!$H$6:$H$405="")+(職員マスタ!$H$6:$H$405&gt;=$AQ2552))&gt;0)*(ROW(職員マスタ!$A$6:$A$405)-5)))&gt;0,SUMPRODUCT(MAX((職員マスタ!$A$6:$A$405=$B2552)*(((職員マスタ!$G$6:$G$405="")+(職員マスタ!$G$6:$G$405&lt;=EOMONTH($AQ2552,0)))&gt;0)*(((職員マスタ!$H$6:$H$405="")+(職員マスタ!$H$6:$H$405&gt;=$AQ2552))&gt;0)*(ROW(職員マスタ!$A$6:$A$405)-5))),IFERROR(MATCH($B2552,職員マスタ!$A$6:$A$405,0),"")))</f>
        <v/>
      </c>
      <c r="AQ2552" s="16">
        <f>IF(OR($B2552="",$C2552="",$D2552=""),"",DATE($C2552+2018,$D2552,1))</f>
        <v/>
      </c>
    </row>
    <row r="2553">
      <c r="A2553" s="11" t="n"/>
      <c r="B2553" s="12" t="n"/>
      <c r="C2553" s="12" t="n"/>
      <c r="D2553" s="12" t="n"/>
      <c r="E2553" s="13" t="n"/>
      <c r="F2553" s="12" t="n"/>
      <c r="G2553" s="13" t="n"/>
      <c r="H2553" s="12" t="n"/>
      <c r="I2553" s="12" t="n"/>
      <c r="J2553" s="12" t="n"/>
      <c r="K2553" s="12" t="n"/>
      <c r="L2553" s="11" t="n"/>
      <c r="M2553" s="11" t="n"/>
      <c r="N2553" s="11" t="n"/>
      <c r="O2553" s="11" t="n"/>
      <c r="P2553" s="12" t="n"/>
      <c r="Q2553" s="11" t="n"/>
      <c r="R2553" s="12" t="n"/>
      <c r="S2553" s="11" t="n"/>
      <c r="T2553" s="12" t="n"/>
      <c r="U2553" s="12" t="n"/>
      <c r="V2553" s="12" t="n"/>
      <c r="W2553" s="13" t="n"/>
      <c r="X2553" s="14">
        <f>IF($AP2553="",IF($B2553="","",$H2553),IF(INDEX(職員マスタ!$B$6:$B$405,$AP2553)="",$H2553,INDEX(職員マスタ!$B$6:$B$405,$AP2553)))</f>
        <v/>
      </c>
      <c r="Y2553" s="14">
        <f>IF($AP2553="",IF($B2553="","",$R2553),IF(INDEX(職員マスタ!$C$6:$C$405,$AP2553)="",$R2553,INDEX(職員マスタ!$C$6:$C$405,$AP2553)))</f>
        <v/>
      </c>
      <c r="Z2553" s="14">
        <f>IF($AQ2553="","","R"&amp;$C2553&amp;"."&amp;$D2553)</f>
        <v/>
      </c>
      <c r="AA2553" s="15">
        <f>IF(IF($AP2553="",FALSE,INDEX(職員マスタ!$K$6:$K$405,$AP2553)&lt;&gt;""),INDEX(職員マスタ!$K$6:$K$405,$AP2553),IF(N($W2553)&gt;0,$W2553,""))</f>
        <v/>
      </c>
      <c r="AB2553" s="14">
        <f>IF(OR($E2553="",$AA2553=""),"",IF($E2553&gt;=$AA2553,"×",IF($E2553&gt;=$AA2553*設定!$C$5,"△","○")))</f>
        <v/>
      </c>
      <c r="AC2553" s="15">
        <f>IF($AB2553="","",IF($AB2553="×",0,IF($AB2553="○",ROUNDDOWN($E2553*設定!$C$4,0),ROUNDDOWN($E2553*ROUND((9*$AA2553-9*$E2553)/(10*$E2553),4),0))))</f>
        <v/>
      </c>
      <c r="AD2553" s="13" t="n"/>
      <c r="AE2553" s="15">
        <f>IF($B2553="","",IF($AD2553&lt;&gt;"",$AD2553,IF($AC2553="","",IF($AC2553&lt;=設定!$C$3,0,$AC2553))))</f>
        <v/>
      </c>
      <c r="AF2553" s="14">
        <f>IF($B2553="","",IF(AND($AG2553&lt;&gt;"",$AI2553="",$AL2553=""),"保留中",IF($AL2553&lt;&gt;"",IF(N($AE2553)&gt;0,"支給済","不支給"),IF($AE2553="","要確認",IF($AE2553=0,"不支給","未処理")))))</f>
        <v/>
      </c>
      <c r="AG2553" s="12" t="n"/>
      <c r="AH2553" s="11" t="n"/>
      <c r="AI2553" s="11" t="n"/>
      <c r="AJ2553" s="11" t="n"/>
      <c r="AK2553" s="14">
        <f>IF(AND($AF2553="保留中",$AH2553&lt;&gt;""),TODAY()-$AH2553,"")</f>
        <v/>
      </c>
      <c r="AL2553" s="12" t="n"/>
      <c r="AM2553" s="14">
        <f>IF($B2553="","",IF($AQ2553="","対象年月が未入力／","")&amp;IF($B2553="","",IF($AP2553="","職員マスタに未登録の職員番号／",IF($AA2553="","標準報酬月額が未登録／","")&amp;IF(AND($AQ2553&lt;&gt;"",OR(AND(INDEX(職員マスタ!$G$6:$G$405,$AP2553)&lt;&gt;"",INDEX(職員マスタ!$G$6:$G$405,$AP2553)&gt;EOMONTH($AQ2553,0)),AND(INDEX(職員マスタ!$H$6:$H$405,$AP2553)&lt;&gt;"",INDEX(職員マスタ!$H$6:$H$405,$AP2553)&lt;$AQ2553))),"対象月が時短期間外／","")&amp;IF(AND(INDEX(職員マスタ!$K$6:$K$405,$AP2553)&lt;&gt;"",N($W2553)&gt;0,INDEX(職員マスタ!$K$6:$K$405,$AP2553)&lt;&gt;$W2553),"標準報酬月額が申請書と相違（台帳"&amp;TEXT(INDEX(職員マスタ!$K$6:$K$405,$AP2553),"#,##0")&amp;"円／申請書"&amp;TEXT($W2553,"#,##0")&amp;"円）／","")&amp;IF(AND(INDEX(職員マスタ!$F$6:$F$405,$AP2553)&lt;&gt;"",$AQ2553&lt;&gt;"",INDEX(職員マスタ!$F$6:$F$405,$AP2553)&lt;$AQ2553),"対象月に子が2歳到達済／","")&amp;IF(AND($H2553&lt;&gt;"",INDEX(職員マスタ!$B$6:$B$405,$AP2553)&lt;&gt;"",SUBSTITUTE(SUBSTITUTE($H2553," ","")," ","")&lt;&gt;SUBSTITUTE(SUBSTITUTE(INDEX(職員マスタ!$B$6:$B$405,$AP2553)," ","")," ","")),"氏名がマスタと相違／","")&amp;IF(AND($Q2553&lt;&gt;"",INDEX(職員マスタ!$E$6:$E$405,$AP2553)&lt;&gt;"",$Q2553&lt;&gt;INDEX(職員マスタ!$E$6:$E$405,$AP2553)),"子の生年月日がマスタと相違／","")&amp;IF(AND($L2553&lt;&gt;"",INDEX(職員マスタ!$G$6:$G$405,$AP2553)&lt;&gt;"",$L2553&lt;&gt;INDEX(職員マスタ!$G$6:$G$405,$AP2553)),"時短開始日がマスタと相違／","")&amp;IF(AND($M2553&lt;&gt;"",INDEX(職員マスタ!$H$6:$H$405,$AP2553)&lt;&gt;"",$M2553&lt;&gt;INDEX(職員マスタ!$H$6:$H$405,$AP2553)),"時短終了日がマスタと相違／","")))&amp;IF(AND($B2553&lt;&gt;"",$E2553=""),"報酬額が未入力／","")&amp;IF(N($U2553)&gt;0,"申請書に入力エラーが残っています／","")&amp;IF(AND($B2553&lt;&gt;"",$AQ2553&lt;&gt;""),IF(COUNTIFS($B$6:$B$3005,$B2553,$C$6:$C$3005,$C2553,$D$6:$D$3005,$D2553)&gt;1,"同じ月の請求が重複しています／",""),"")&amp;IF(AND(N($E2553)&gt;0,$AB2553&lt;&gt;"",$AB2553&lt;&gt;"×",$AE2553=0,$AD2553=""),"計算額が下限以下のため不支給／",""))</f>
        <v/>
      </c>
      <c r="AN2553" s="12" t="n"/>
      <c r="AO2553" s="14">
        <f>IF($AF2553="保留中",COUNTIF($AF$6:$AF2553,"保留中"),"")</f>
        <v/>
      </c>
      <c r="AP2553" s="14">
        <f>IF($AQ2553="","",IF(SUMPRODUCT(MAX((職員マスタ!$A$6:$A$405=$B2553)*(((職員マスタ!$G$6:$G$405="")+(職員マスタ!$G$6:$G$405&lt;=EOMONTH($AQ2553,0)))&gt;0)*(((職員マスタ!$H$6:$H$405="")+(職員マスタ!$H$6:$H$405&gt;=$AQ2553))&gt;0)*(ROW(職員マスタ!$A$6:$A$405)-5)))&gt;0,SUMPRODUCT(MAX((職員マスタ!$A$6:$A$405=$B2553)*(((職員マスタ!$G$6:$G$405="")+(職員マスタ!$G$6:$G$405&lt;=EOMONTH($AQ2553,0)))&gt;0)*(((職員マスタ!$H$6:$H$405="")+(職員マスタ!$H$6:$H$405&gt;=$AQ2553))&gt;0)*(ROW(職員マスタ!$A$6:$A$405)-5))),IFERROR(MATCH($B2553,職員マスタ!$A$6:$A$405,0),"")))</f>
        <v/>
      </c>
      <c r="AQ2553" s="16">
        <f>IF(OR($B2553="",$C2553="",$D2553=""),"",DATE($C2553+2018,$D2553,1))</f>
        <v/>
      </c>
    </row>
    <row r="2554">
      <c r="A2554" s="11" t="n"/>
      <c r="B2554" s="12" t="n"/>
      <c r="C2554" s="12" t="n"/>
      <c r="D2554" s="12" t="n"/>
      <c r="E2554" s="13" t="n"/>
      <c r="F2554" s="12" t="n"/>
      <c r="G2554" s="13" t="n"/>
      <c r="H2554" s="12" t="n"/>
      <c r="I2554" s="12" t="n"/>
      <c r="J2554" s="12" t="n"/>
      <c r="K2554" s="12" t="n"/>
      <c r="L2554" s="11" t="n"/>
      <c r="M2554" s="11" t="n"/>
      <c r="N2554" s="11" t="n"/>
      <c r="O2554" s="11" t="n"/>
      <c r="P2554" s="12" t="n"/>
      <c r="Q2554" s="11" t="n"/>
      <c r="R2554" s="12" t="n"/>
      <c r="S2554" s="11" t="n"/>
      <c r="T2554" s="12" t="n"/>
      <c r="U2554" s="12" t="n"/>
      <c r="V2554" s="12" t="n"/>
      <c r="W2554" s="13" t="n"/>
      <c r="X2554" s="14">
        <f>IF($AP2554="",IF($B2554="","",$H2554),IF(INDEX(職員マスタ!$B$6:$B$405,$AP2554)="",$H2554,INDEX(職員マスタ!$B$6:$B$405,$AP2554)))</f>
        <v/>
      </c>
      <c r="Y2554" s="14">
        <f>IF($AP2554="",IF($B2554="","",$R2554),IF(INDEX(職員マスタ!$C$6:$C$405,$AP2554)="",$R2554,INDEX(職員マスタ!$C$6:$C$405,$AP2554)))</f>
        <v/>
      </c>
      <c r="Z2554" s="14">
        <f>IF($AQ2554="","","R"&amp;$C2554&amp;"."&amp;$D2554)</f>
        <v/>
      </c>
      <c r="AA2554" s="15">
        <f>IF(IF($AP2554="",FALSE,INDEX(職員マスタ!$K$6:$K$405,$AP2554)&lt;&gt;""),INDEX(職員マスタ!$K$6:$K$405,$AP2554),IF(N($W2554)&gt;0,$W2554,""))</f>
        <v/>
      </c>
      <c r="AB2554" s="14">
        <f>IF(OR($E2554="",$AA2554=""),"",IF($E2554&gt;=$AA2554,"×",IF($E2554&gt;=$AA2554*設定!$C$5,"△","○")))</f>
        <v/>
      </c>
      <c r="AC2554" s="15">
        <f>IF($AB2554="","",IF($AB2554="×",0,IF($AB2554="○",ROUNDDOWN($E2554*設定!$C$4,0),ROUNDDOWN($E2554*ROUND((9*$AA2554-9*$E2554)/(10*$E2554),4),0))))</f>
        <v/>
      </c>
      <c r="AD2554" s="13" t="n"/>
      <c r="AE2554" s="15">
        <f>IF($B2554="","",IF($AD2554&lt;&gt;"",$AD2554,IF($AC2554="","",IF($AC2554&lt;=設定!$C$3,0,$AC2554))))</f>
        <v/>
      </c>
      <c r="AF2554" s="14">
        <f>IF($B2554="","",IF(AND($AG2554&lt;&gt;"",$AI2554="",$AL2554=""),"保留中",IF($AL2554&lt;&gt;"",IF(N($AE2554)&gt;0,"支給済","不支給"),IF($AE2554="","要確認",IF($AE2554=0,"不支給","未処理")))))</f>
        <v/>
      </c>
      <c r="AG2554" s="12" t="n"/>
      <c r="AH2554" s="11" t="n"/>
      <c r="AI2554" s="11" t="n"/>
      <c r="AJ2554" s="11" t="n"/>
      <c r="AK2554" s="14">
        <f>IF(AND($AF2554="保留中",$AH2554&lt;&gt;""),TODAY()-$AH2554,"")</f>
        <v/>
      </c>
      <c r="AL2554" s="12" t="n"/>
      <c r="AM2554" s="14">
        <f>IF($B2554="","",IF($AQ2554="","対象年月が未入力／","")&amp;IF($B2554="","",IF($AP2554="","職員マスタに未登録の職員番号／",IF($AA2554="","標準報酬月額が未登録／","")&amp;IF(AND($AQ2554&lt;&gt;"",OR(AND(INDEX(職員マスタ!$G$6:$G$405,$AP2554)&lt;&gt;"",INDEX(職員マスタ!$G$6:$G$405,$AP2554)&gt;EOMONTH($AQ2554,0)),AND(INDEX(職員マスタ!$H$6:$H$405,$AP2554)&lt;&gt;"",INDEX(職員マスタ!$H$6:$H$405,$AP2554)&lt;$AQ2554))),"対象月が時短期間外／","")&amp;IF(AND(INDEX(職員マスタ!$K$6:$K$405,$AP2554)&lt;&gt;"",N($W2554)&gt;0,INDEX(職員マスタ!$K$6:$K$405,$AP2554)&lt;&gt;$W2554),"標準報酬月額が申請書と相違（台帳"&amp;TEXT(INDEX(職員マスタ!$K$6:$K$405,$AP2554),"#,##0")&amp;"円／申請書"&amp;TEXT($W2554,"#,##0")&amp;"円）／","")&amp;IF(AND(INDEX(職員マスタ!$F$6:$F$405,$AP2554)&lt;&gt;"",$AQ2554&lt;&gt;"",INDEX(職員マスタ!$F$6:$F$405,$AP2554)&lt;$AQ2554),"対象月に子が2歳到達済／","")&amp;IF(AND($H2554&lt;&gt;"",INDEX(職員マスタ!$B$6:$B$405,$AP2554)&lt;&gt;"",SUBSTITUTE(SUBSTITUTE($H2554," ","")," ","")&lt;&gt;SUBSTITUTE(SUBSTITUTE(INDEX(職員マスタ!$B$6:$B$405,$AP2554)," ","")," ","")),"氏名がマスタと相違／","")&amp;IF(AND($Q2554&lt;&gt;"",INDEX(職員マスタ!$E$6:$E$405,$AP2554)&lt;&gt;"",$Q2554&lt;&gt;INDEX(職員マスタ!$E$6:$E$405,$AP2554)),"子の生年月日がマスタと相違／","")&amp;IF(AND($L2554&lt;&gt;"",INDEX(職員マスタ!$G$6:$G$405,$AP2554)&lt;&gt;"",$L2554&lt;&gt;INDEX(職員マスタ!$G$6:$G$405,$AP2554)),"時短開始日がマスタと相違／","")&amp;IF(AND($M2554&lt;&gt;"",INDEX(職員マスタ!$H$6:$H$405,$AP2554)&lt;&gt;"",$M2554&lt;&gt;INDEX(職員マスタ!$H$6:$H$405,$AP2554)),"時短終了日がマスタと相違／","")))&amp;IF(AND($B2554&lt;&gt;"",$E2554=""),"報酬額が未入力／","")&amp;IF(N($U2554)&gt;0,"申請書に入力エラーが残っています／","")&amp;IF(AND($B2554&lt;&gt;"",$AQ2554&lt;&gt;""),IF(COUNTIFS($B$6:$B$3005,$B2554,$C$6:$C$3005,$C2554,$D$6:$D$3005,$D2554)&gt;1,"同じ月の請求が重複しています／",""),"")&amp;IF(AND(N($E2554)&gt;0,$AB2554&lt;&gt;"",$AB2554&lt;&gt;"×",$AE2554=0,$AD2554=""),"計算額が下限以下のため不支給／",""))</f>
        <v/>
      </c>
      <c r="AN2554" s="12" t="n"/>
      <c r="AO2554" s="14">
        <f>IF($AF2554="保留中",COUNTIF($AF$6:$AF2554,"保留中"),"")</f>
        <v/>
      </c>
      <c r="AP2554" s="14">
        <f>IF($AQ2554="","",IF(SUMPRODUCT(MAX((職員マスタ!$A$6:$A$405=$B2554)*(((職員マスタ!$G$6:$G$405="")+(職員マスタ!$G$6:$G$405&lt;=EOMONTH($AQ2554,0)))&gt;0)*(((職員マスタ!$H$6:$H$405="")+(職員マスタ!$H$6:$H$405&gt;=$AQ2554))&gt;0)*(ROW(職員マスタ!$A$6:$A$405)-5)))&gt;0,SUMPRODUCT(MAX((職員マスタ!$A$6:$A$405=$B2554)*(((職員マスタ!$G$6:$G$405="")+(職員マスタ!$G$6:$G$405&lt;=EOMONTH($AQ2554,0)))&gt;0)*(((職員マスタ!$H$6:$H$405="")+(職員マスタ!$H$6:$H$405&gt;=$AQ2554))&gt;0)*(ROW(職員マスタ!$A$6:$A$405)-5))),IFERROR(MATCH($B2554,職員マスタ!$A$6:$A$405,0),"")))</f>
        <v/>
      </c>
      <c r="AQ2554" s="16">
        <f>IF(OR($B2554="",$C2554="",$D2554=""),"",DATE($C2554+2018,$D2554,1))</f>
        <v/>
      </c>
    </row>
    <row r="2555">
      <c r="A2555" s="11" t="n"/>
      <c r="B2555" s="12" t="n"/>
      <c r="C2555" s="12" t="n"/>
      <c r="D2555" s="12" t="n"/>
      <c r="E2555" s="13" t="n"/>
      <c r="F2555" s="12" t="n"/>
      <c r="G2555" s="13" t="n"/>
      <c r="H2555" s="12" t="n"/>
      <c r="I2555" s="12" t="n"/>
      <c r="J2555" s="12" t="n"/>
      <c r="K2555" s="12" t="n"/>
      <c r="L2555" s="11" t="n"/>
      <c r="M2555" s="11" t="n"/>
      <c r="N2555" s="11" t="n"/>
      <c r="O2555" s="11" t="n"/>
      <c r="P2555" s="12" t="n"/>
      <c r="Q2555" s="11" t="n"/>
      <c r="R2555" s="12" t="n"/>
      <c r="S2555" s="11" t="n"/>
      <c r="T2555" s="12" t="n"/>
      <c r="U2555" s="12" t="n"/>
      <c r="V2555" s="12" t="n"/>
      <c r="W2555" s="13" t="n"/>
      <c r="X2555" s="14">
        <f>IF($AP2555="",IF($B2555="","",$H2555),IF(INDEX(職員マスタ!$B$6:$B$405,$AP2555)="",$H2555,INDEX(職員マスタ!$B$6:$B$405,$AP2555)))</f>
        <v/>
      </c>
      <c r="Y2555" s="14">
        <f>IF($AP2555="",IF($B2555="","",$R2555),IF(INDEX(職員マスタ!$C$6:$C$405,$AP2555)="",$R2555,INDEX(職員マスタ!$C$6:$C$405,$AP2555)))</f>
        <v/>
      </c>
      <c r="Z2555" s="14">
        <f>IF($AQ2555="","","R"&amp;$C2555&amp;"."&amp;$D2555)</f>
        <v/>
      </c>
      <c r="AA2555" s="15">
        <f>IF(IF($AP2555="",FALSE,INDEX(職員マスタ!$K$6:$K$405,$AP2555)&lt;&gt;""),INDEX(職員マスタ!$K$6:$K$405,$AP2555),IF(N($W2555)&gt;0,$W2555,""))</f>
        <v/>
      </c>
      <c r="AB2555" s="14">
        <f>IF(OR($E2555="",$AA2555=""),"",IF($E2555&gt;=$AA2555,"×",IF($E2555&gt;=$AA2555*設定!$C$5,"△","○")))</f>
        <v/>
      </c>
      <c r="AC2555" s="15">
        <f>IF($AB2555="","",IF($AB2555="×",0,IF($AB2555="○",ROUNDDOWN($E2555*設定!$C$4,0),ROUNDDOWN($E2555*ROUND((9*$AA2555-9*$E2555)/(10*$E2555),4),0))))</f>
        <v/>
      </c>
      <c r="AD2555" s="13" t="n"/>
      <c r="AE2555" s="15">
        <f>IF($B2555="","",IF($AD2555&lt;&gt;"",$AD2555,IF($AC2555="","",IF($AC2555&lt;=設定!$C$3,0,$AC2555))))</f>
        <v/>
      </c>
      <c r="AF2555" s="14">
        <f>IF($B2555="","",IF(AND($AG2555&lt;&gt;"",$AI2555="",$AL2555=""),"保留中",IF($AL2555&lt;&gt;"",IF(N($AE2555)&gt;0,"支給済","不支給"),IF($AE2555="","要確認",IF($AE2555=0,"不支給","未処理")))))</f>
        <v/>
      </c>
      <c r="AG2555" s="12" t="n"/>
      <c r="AH2555" s="11" t="n"/>
      <c r="AI2555" s="11" t="n"/>
      <c r="AJ2555" s="11" t="n"/>
      <c r="AK2555" s="14">
        <f>IF(AND($AF2555="保留中",$AH2555&lt;&gt;""),TODAY()-$AH2555,"")</f>
        <v/>
      </c>
      <c r="AL2555" s="12" t="n"/>
      <c r="AM2555" s="14">
        <f>IF($B2555="","",IF($AQ2555="","対象年月が未入力／","")&amp;IF($B2555="","",IF($AP2555="","職員マスタに未登録の職員番号／",IF($AA2555="","標準報酬月額が未登録／","")&amp;IF(AND($AQ2555&lt;&gt;"",OR(AND(INDEX(職員マスタ!$G$6:$G$405,$AP2555)&lt;&gt;"",INDEX(職員マスタ!$G$6:$G$405,$AP2555)&gt;EOMONTH($AQ2555,0)),AND(INDEX(職員マスタ!$H$6:$H$405,$AP2555)&lt;&gt;"",INDEX(職員マスタ!$H$6:$H$405,$AP2555)&lt;$AQ2555))),"対象月が時短期間外／","")&amp;IF(AND(INDEX(職員マスタ!$K$6:$K$405,$AP2555)&lt;&gt;"",N($W2555)&gt;0,INDEX(職員マスタ!$K$6:$K$405,$AP2555)&lt;&gt;$W2555),"標準報酬月額が申請書と相違（台帳"&amp;TEXT(INDEX(職員マスタ!$K$6:$K$405,$AP2555),"#,##0")&amp;"円／申請書"&amp;TEXT($W2555,"#,##0")&amp;"円）／","")&amp;IF(AND(INDEX(職員マスタ!$F$6:$F$405,$AP2555)&lt;&gt;"",$AQ2555&lt;&gt;"",INDEX(職員マスタ!$F$6:$F$405,$AP2555)&lt;$AQ2555),"対象月に子が2歳到達済／","")&amp;IF(AND($H2555&lt;&gt;"",INDEX(職員マスタ!$B$6:$B$405,$AP2555)&lt;&gt;"",SUBSTITUTE(SUBSTITUTE($H2555," ","")," ","")&lt;&gt;SUBSTITUTE(SUBSTITUTE(INDEX(職員マスタ!$B$6:$B$405,$AP2555)," ","")," ","")),"氏名がマスタと相違／","")&amp;IF(AND($Q2555&lt;&gt;"",INDEX(職員マスタ!$E$6:$E$405,$AP2555)&lt;&gt;"",$Q2555&lt;&gt;INDEX(職員マスタ!$E$6:$E$405,$AP2555)),"子の生年月日がマスタと相違／","")&amp;IF(AND($L2555&lt;&gt;"",INDEX(職員マスタ!$G$6:$G$405,$AP2555)&lt;&gt;"",$L2555&lt;&gt;INDEX(職員マスタ!$G$6:$G$405,$AP2555)),"時短開始日がマスタと相違／","")&amp;IF(AND($M2555&lt;&gt;"",INDEX(職員マスタ!$H$6:$H$405,$AP2555)&lt;&gt;"",$M2555&lt;&gt;INDEX(職員マスタ!$H$6:$H$405,$AP2555)),"時短終了日がマスタと相違／","")))&amp;IF(AND($B2555&lt;&gt;"",$E2555=""),"報酬額が未入力／","")&amp;IF(N($U2555)&gt;0,"申請書に入力エラーが残っています／","")&amp;IF(AND($B2555&lt;&gt;"",$AQ2555&lt;&gt;""),IF(COUNTIFS($B$6:$B$3005,$B2555,$C$6:$C$3005,$C2555,$D$6:$D$3005,$D2555)&gt;1,"同じ月の請求が重複しています／",""),"")&amp;IF(AND(N($E2555)&gt;0,$AB2555&lt;&gt;"",$AB2555&lt;&gt;"×",$AE2555=0,$AD2555=""),"計算額が下限以下のため不支給／",""))</f>
        <v/>
      </c>
      <c r="AN2555" s="12" t="n"/>
      <c r="AO2555" s="14">
        <f>IF($AF2555="保留中",COUNTIF($AF$6:$AF2555,"保留中"),"")</f>
        <v/>
      </c>
      <c r="AP2555" s="14">
        <f>IF($AQ2555="","",IF(SUMPRODUCT(MAX((職員マスタ!$A$6:$A$405=$B2555)*(((職員マスタ!$G$6:$G$405="")+(職員マスタ!$G$6:$G$405&lt;=EOMONTH($AQ2555,0)))&gt;0)*(((職員マスタ!$H$6:$H$405="")+(職員マスタ!$H$6:$H$405&gt;=$AQ2555))&gt;0)*(ROW(職員マスタ!$A$6:$A$405)-5)))&gt;0,SUMPRODUCT(MAX((職員マスタ!$A$6:$A$405=$B2555)*(((職員マスタ!$G$6:$G$405="")+(職員マスタ!$G$6:$G$405&lt;=EOMONTH($AQ2555,0)))&gt;0)*(((職員マスタ!$H$6:$H$405="")+(職員マスタ!$H$6:$H$405&gt;=$AQ2555))&gt;0)*(ROW(職員マスタ!$A$6:$A$405)-5))),IFERROR(MATCH($B2555,職員マスタ!$A$6:$A$405,0),"")))</f>
        <v/>
      </c>
      <c r="AQ2555" s="16">
        <f>IF(OR($B2555="",$C2555="",$D2555=""),"",DATE($C2555+2018,$D2555,1))</f>
        <v/>
      </c>
    </row>
    <row r="2556">
      <c r="A2556" s="11" t="n"/>
      <c r="B2556" s="12" t="n"/>
      <c r="C2556" s="12" t="n"/>
      <c r="D2556" s="12" t="n"/>
      <c r="E2556" s="13" t="n"/>
      <c r="F2556" s="12" t="n"/>
      <c r="G2556" s="13" t="n"/>
      <c r="H2556" s="12" t="n"/>
      <c r="I2556" s="12" t="n"/>
      <c r="J2556" s="12" t="n"/>
      <c r="K2556" s="12" t="n"/>
      <c r="L2556" s="11" t="n"/>
      <c r="M2556" s="11" t="n"/>
      <c r="N2556" s="11" t="n"/>
      <c r="O2556" s="11" t="n"/>
      <c r="P2556" s="12" t="n"/>
      <c r="Q2556" s="11" t="n"/>
      <c r="R2556" s="12" t="n"/>
      <c r="S2556" s="11" t="n"/>
      <c r="T2556" s="12" t="n"/>
      <c r="U2556" s="12" t="n"/>
      <c r="V2556" s="12" t="n"/>
      <c r="W2556" s="13" t="n"/>
      <c r="X2556" s="14">
        <f>IF($AP2556="",IF($B2556="","",$H2556),IF(INDEX(職員マスタ!$B$6:$B$405,$AP2556)="",$H2556,INDEX(職員マスタ!$B$6:$B$405,$AP2556)))</f>
        <v/>
      </c>
      <c r="Y2556" s="14">
        <f>IF($AP2556="",IF($B2556="","",$R2556),IF(INDEX(職員マスタ!$C$6:$C$405,$AP2556)="",$R2556,INDEX(職員マスタ!$C$6:$C$405,$AP2556)))</f>
        <v/>
      </c>
      <c r="Z2556" s="14">
        <f>IF($AQ2556="","","R"&amp;$C2556&amp;"."&amp;$D2556)</f>
        <v/>
      </c>
      <c r="AA2556" s="15">
        <f>IF(IF($AP2556="",FALSE,INDEX(職員マスタ!$K$6:$K$405,$AP2556)&lt;&gt;""),INDEX(職員マスタ!$K$6:$K$405,$AP2556),IF(N($W2556)&gt;0,$W2556,""))</f>
        <v/>
      </c>
      <c r="AB2556" s="14">
        <f>IF(OR($E2556="",$AA2556=""),"",IF($E2556&gt;=$AA2556,"×",IF($E2556&gt;=$AA2556*設定!$C$5,"△","○")))</f>
        <v/>
      </c>
      <c r="AC2556" s="15">
        <f>IF($AB2556="","",IF($AB2556="×",0,IF($AB2556="○",ROUNDDOWN($E2556*設定!$C$4,0),ROUNDDOWN($E2556*ROUND((9*$AA2556-9*$E2556)/(10*$E2556),4),0))))</f>
        <v/>
      </c>
      <c r="AD2556" s="13" t="n"/>
      <c r="AE2556" s="15">
        <f>IF($B2556="","",IF($AD2556&lt;&gt;"",$AD2556,IF($AC2556="","",IF($AC2556&lt;=設定!$C$3,0,$AC2556))))</f>
        <v/>
      </c>
      <c r="AF2556" s="14">
        <f>IF($B2556="","",IF(AND($AG2556&lt;&gt;"",$AI2556="",$AL2556=""),"保留中",IF($AL2556&lt;&gt;"",IF(N($AE2556)&gt;0,"支給済","不支給"),IF($AE2556="","要確認",IF($AE2556=0,"不支給","未処理")))))</f>
        <v/>
      </c>
      <c r="AG2556" s="12" t="n"/>
      <c r="AH2556" s="11" t="n"/>
      <c r="AI2556" s="11" t="n"/>
      <c r="AJ2556" s="11" t="n"/>
      <c r="AK2556" s="14">
        <f>IF(AND($AF2556="保留中",$AH2556&lt;&gt;""),TODAY()-$AH2556,"")</f>
        <v/>
      </c>
      <c r="AL2556" s="12" t="n"/>
      <c r="AM2556" s="14">
        <f>IF($B2556="","",IF($AQ2556="","対象年月が未入力／","")&amp;IF($B2556="","",IF($AP2556="","職員マスタに未登録の職員番号／",IF($AA2556="","標準報酬月額が未登録／","")&amp;IF(AND($AQ2556&lt;&gt;"",OR(AND(INDEX(職員マスタ!$G$6:$G$405,$AP2556)&lt;&gt;"",INDEX(職員マスタ!$G$6:$G$405,$AP2556)&gt;EOMONTH($AQ2556,0)),AND(INDEX(職員マスタ!$H$6:$H$405,$AP2556)&lt;&gt;"",INDEX(職員マスタ!$H$6:$H$405,$AP2556)&lt;$AQ2556))),"対象月が時短期間外／","")&amp;IF(AND(INDEX(職員マスタ!$K$6:$K$405,$AP2556)&lt;&gt;"",N($W2556)&gt;0,INDEX(職員マスタ!$K$6:$K$405,$AP2556)&lt;&gt;$W2556),"標準報酬月額が申請書と相違（台帳"&amp;TEXT(INDEX(職員マスタ!$K$6:$K$405,$AP2556),"#,##0")&amp;"円／申請書"&amp;TEXT($W2556,"#,##0")&amp;"円）／","")&amp;IF(AND(INDEX(職員マスタ!$F$6:$F$405,$AP2556)&lt;&gt;"",$AQ2556&lt;&gt;"",INDEX(職員マスタ!$F$6:$F$405,$AP2556)&lt;$AQ2556),"対象月に子が2歳到達済／","")&amp;IF(AND($H2556&lt;&gt;"",INDEX(職員マスタ!$B$6:$B$405,$AP2556)&lt;&gt;"",SUBSTITUTE(SUBSTITUTE($H2556," ","")," ","")&lt;&gt;SUBSTITUTE(SUBSTITUTE(INDEX(職員マスタ!$B$6:$B$405,$AP2556)," ","")," ","")),"氏名がマスタと相違／","")&amp;IF(AND($Q2556&lt;&gt;"",INDEX(職員マスタ!$E$6:$E$405,$AP2556)&lt;&gt;"",$Q2556&lt;&gt;INDEX(職員マスタ!$E$6:$E$405,$AP2556)),"子の生年月日がマスタと相違／","")&amp;IF(AND($L2556&lt;&gt;"",INDEX(職員マスタ!$G$6:$G$405,$AP2556)&lt;&gt;"",$L2556&lt;&gt;INDEX(職員マスタ!$G$6:$G$405,$AP2556)),"時短開始日がマスタと相違／","")&amp;IF(AND($M2556&lt;&gt;"",INDEX(職員マスタ!$H$6:$H$405,$AP2556)&lt;&gt;"",$M2556&lt;&gt;INDEX(職員マスタ!$H$6:$H$405,$AP2556)),"時短終了日がマスタと相違／","")))&amp;IF(AND($B2556&lt;&gt;"",$E2556=""),"報酬額が未入力／","")&amp;IF(N($U2556)&gt;0,"申請書に入力エラーが残っています／","")&amp;IF(AND($B2556&lt;&gt;"",$AQ2556&lt;&gt;""),IF(COUNTIFS($B$6:$B$3005,$B2556,$C$6:$C$3005,$C2556,$D$6:$D$3005,$D2556)&gt;1,"同じ月の請求が重複しています／",""),"")&amp;IF(AND(N($E2556)&gt;0,$AB2556&lt;&gt;"",$AB2556&lt;&gt;"×",$AE2556=0,$AD2556=""),"計算額が下限以下のため不支給／",""))</f>
        <v/>
      </c>
      <c r="AN2556" s="12" t="n"/>
      <c r="AO2556" s="14">
        <f>IF($AF2556="保留中",COUNTIF($AF$6:$AF2556,"保留中"),"")</f>
        <v/>
      </c>
      <c r="AP2556" s="14">
        <f>IF($AQ2556="","",IF(SUMPRODUCT(MAX((職員マスタ!$A$6:$A$405=$B2556)*(((職員マスタ!$G$6:$G$405="")+(職員マスタ!$G$6:$G$405&lt;=EOMONTH($AQ2556,0)))&gt;0)*(((職員マスタ!$H$6:$H$405="")+(職員マスタ!$H$6:$H$405&gt;=$AQ2556))&gt;0)*(ROW(職員マスタ!$A$6:$A$405)-5)))&gt;0,SUMPRODUCT(MAX((職員マスタ!$A$6:$A$405=$B2556)*(((職員マスタ!$G$6:$G$405="")+(職員マスタ!$G$6:$G$405&lt;=EOMONTH($AQ2556,0)))&gt;0)*(((職員マスタ!$H$6:$H$405="")+(職員マスタ!$H$6:$H$405&gt;=$AQ2556))&gt;0)*(ROW(職員マスタ!$A$6:$A$405)-5))),IFERROR(MATCH($B2556,職員マスタ!$A$6:$A$405,0),"")))</f>
        <v/>
      </c>
      <c r="AQ2556" s="16">
        <f>IF(OR($B2556="",$C2556="",$D2556=""),"",DATE($C2556+2018,$D2556,1))</f>
        <v/>
      </c>
    </row>
    <row r="2557">
      <c r="A2557" s="11" t="n"/>
      <c r="B2557" s="12" t="n"/>
      <c r="C2557" s="12" t="n"/>
      <c r="D2557" s="12" t="n"/>
      <c r="E2557" s="13" t="n"/>
      <c r="F2557" s="12" t="n"/>
      <c r="G2557" s="13" t="n"/>
      <c r="H2557" s="12" t="n"/>
      <c r="I2557" s="12" t="n"/>
      <c r="J2557" s="12" t="n"/>
      <c r="K2557" s="12" t="n"/>
      <c r="L2557" s="11" t="n"/>
      <c r="M2557" s="11" t="n"/>
      <c r="N2557" s="11" t="n"/>
      <c r="O2557" s="11" t="n"/>
      <c r="P2557" s="12" t="n"/>
      <c r="Q2557" s="11" t="n"/>
      <c r="R2557" s="12" t="n"/>
      <c r="S2557" s="11" t="n"/>
      <c r="T2557" s="12" t="n"/>
      <c r="U2557" s="12" t="n"/>
      <c r="V2557" s="12" t="n"/>
      <c r="W2557" s="13" t="n"/>
      <c r="X2557" s="14">
        <f>IF($AP2557="",IF($B2557="","",$H2557),IF(INDEX(職員マスタ!$B$6:$B$405,$AP2557)="",$H2557,INDEX(職員マスタ!$B$6:$B$405,$AP2557)))</f>
        <v/>
      </c>
      <c r="Y2557" s="14">
        <f>IF($AP2557="",IF($B2557="","",$R2557),IF(INDEX(職員マスタ!$C$6:$C$405,$AP2557)="",$R2557,INDEX(職員マスタ!$C$6:$C$405,$AP2557)))</f>
        <v/>
      </c>
      <c r="Z2557" s="14">
        <f>IF($AQ2557="","","R"&amp;$C2557&amp;"."&amp;$D2557)</f>
        <v/>
      </c>
      <c r="AA2557" s="15">
        <f>IF(IF($AP2557="",FALSE,INDEX(職員マスタ!$K$6:$K$405,$AP2557)&lt;&gt;""),INDEX(職員マスタ!$K$6:$K$405,$AP2557),IF(N($W2557)&gt;0,$W2557,""))</f>
        <v/>
      </c>
      <c r="AB2557" s="14">
        <f>IF(OR($E2557="",$AA2557=""),"",IF($E2557&gt;=$AA2557,"×",IF($E2557&gt;=$AA2557*設定!$C$5,"△","○")))</f>
        <v/>
      </c>
      <c r="AC2557" s="15">
        <f>IF($AB2557="","",IF($AB2557="×",0,IF($AB2557="○",ROUNDDOWN($E2557*設定!$C$4,0),ROUNDDOWN($E2557*ROUND((9*$AA2557-9*$E2557)/(10*$E2557),4),0))))</f>
        <v/>
      </c>
      <c r="AD2557" s="13" t="n"/>
      <c r="AE2557" s="15">
        <f>IF($B2557="","",IF($AD2557&lt;&gt;"",$AD2557,IF($AC2557="","",IF($AC2557&lt;=設定!$C$3,0,$AC2557))))</f>
        <v/>
      </c>
      <c r="AF2557" s="14">
        <f>IF($B2557="","",IF(AND($AG2557&lt;&gt;"",$AI2557="",$AL2557=""),"保留中",IF($AL2557&lt;&gt;"",IF(N($AE2557)&gt;0,"支給済","不支給"),IF($AE2557="","要確認",IF($AE2557=0,"不支給","未処理")))))</f>
        <v/>
      </c>
      <c r="AG2557" s="12" t="n"/>
      <c r="AH2557" s="11" t="n"/>
      <c r="AI2557" s="11" t="n"/>
      <c r="AJ2557" s="11" t="n"/>
      <c r="AK2557" s="14">
        <f>IF(AND($AF2557="保留中",$AH2557&lt;&gt;""),TODAY()-$AH2557,"")</f>
        <v/>
      </c>
      <c r="AL2557" s="12" t="n"/>
      <c r="AM2557" s="14">
        <f>IF($B2557="","",IF($AQ2557="","対象年月が未入力／","")&amp;IF($B2557="","",IF($AP2557="","職員マスタに未登録の職員番号／",IF($AA2557="","標準報酬月額が未登録／","")&amp;IF(AND($AQ2557&lt;&gt;"",OR(AND(INDEX(職員マスタ!$G$6:$G$405,$AP2557)&lt;&gt;"",INDEX(職員マスタ!$G$6:$G$405,$AP2557)&gt;EOMONTH($AQ2557,0)),AND(INDEX(職員マスタ!$H$6:$H$405,$AP2557)&lt;&gt;"",INDEX(職員マスタ!$H$6:$H$405,$AP2557)&lt;$AQ2557))),"対象月が時短期間外／","")&amp;IF(AND(INDEX(職員マスタ!$K$6:$K$405,$AP2557)&lt;&gt;"",N($W2557)&gt;0,INDEX(職員マスタ!$K$6:$K$405,$AP2557)&lt;&gt;$W2557),"標準報酬月額が申請書と相違（台帳"&amp;TEXT(INDEX(職員マスタ!$K$6:$K$405,$AP2557),"#,##0")&amp;"円／申請書"&amp;TEXT($W2557,"#,##0")&amp;"円）／","")&amp;IF(AND(INDEX(職員マスタ!$F$6:$F$405,$AP2557)&lt;&gt;"",$AQ2557&lt;&gt;"",INDEX(職員マスタ!$F$6:$F$405,$AP2557)&lt;$AQ2557),"対象月に子が2歳到達済／","")&amp;IF(AND($H2557&lt;&gt;"",INDEX(職員マスタ!$B$6:$B$405,$AP2557)&lt;&gt;"",SUBSTITUTE(SUBSTITUTE($H2557," ","")," ","")&lt;&gt;SUBSTITUTE(SUBSTITUTE(INDEX(職員マスタ!$B$6:$B$405,$AP2557)," ","")," ","")),"氏名がマスタと相違／","")&amp;IF(AND($Q2557&lt;&gt;"",INDEX(職員マスタ!$E$6:$E$405,$AP2557)&lt;&gt;"",$Q2557&lt;&gt;INDEX(職員マスタ!$E$6:$E$405,$AP2557)),"子の生年月日がマスタと相違／","")&amp;IF(AND($L2557&lt;&gt;"",INDEX(職員マスタ!$G$6:$G$405,$AP2557)&lt;&gt;"",$L2557&lt;&gt;INDEX(職員マスタ!$G$6:$G$405,$AP2557)),"時短開始日がマスタと相違／","")&amp;IF(AND($M2557&lt;&gt;"",INDEX(職員マスタ!$H$6:$H$405,$AP2557)&lt;&gt;"",$M2557&lt;&gt;INDEX(職員マスタ!$H$6:$H$405,$AP2557)),"時短終了日がマスタと相違／","")))&amp;IF(AND($B2557&lt;&gt;"",$E2557=""),"報酬額が未入力／","")&amp;IF(N($U2557)&gt;0,"申請書に入力エラーが残っています／","")&amp;IF(AND($B2557&lt;&gt;"",$AQ2557&lt;&gt;""),IF(COUNTIFS($B$6:$B$3005,$B2557,$C$6:$C$3005,$C2557,$D$6:$D$3005,$D2557)&gt;1,"同じ月の請求が重複しています／",""),"")&amp;IF(AND(N($E2557)&gt;0,$AB2557&lt;&gt;"",$AB2557&lt;&gt;"×",$AE2557=0,$AD2557=""),"計算額が下限以下のため不支給／",""))</f>
        <v/>
      </c>
      <c r="AN2557" s="12" t="n"/>
      <c r="AO2557" s="14">
        <f>IF($AF2557="保留中",COUNTIF($AF$6:$AF2557,"保留中"),"")</f>
        <v/>
      </c>
      <c r="AP2557" s="14">
        <f>IF($AQ2557="","",IF(SUMPRODUCT(MAX((職員マスタ!$A$6:$A$405=$B2557)*(((職員マスタ!$G$6:$G$405="")+(職員マスタ!$G$6:$G$405&lt;=EOMONTH($AQ2557,0)))&gt;0)*(((職員マスタ!$H$6:$H$405="")+(職員マスタ!$H$6:$H$405&gt;=$AQ2557))&gt;0)*(ROW(職員マスタ!$A$6:$A$405)-5)))&gt;0,SUMPRODUCT(MAX((職員マスタ!$A$6:$A$405=$B2557)*(((職員マスタ!$G$6:$G$405="")+(職員マスタ!$G$6:$G$405&lt;=EOMONTH($AQ2557,0)))&gt;0)*(((職員マスタ!$H$6:$H$405="")+(職員マスタ!$H$6:$H$405&gt;=$AQ2557))&gt;0)*(ROW(職員マスタ!$A$6:$A$405)-5))),IFERROR(MATCH($B2557,職員マスタ!$A$6:$A$405,0),"")))</f>
        <v/>
      </c>
      <c r="AQ2557" s="16">
        <f>IF(OR($B2557="",$C2557="",$D2557=""),"",DATE($C2557+2018,$D2557,1))</f>
        <v/>
      </c>
    </row>
    <row r="2558">
      <c r="A2558" s="11" t="n"/>
      <c r="B2558" s="12" t="n"/>
      <c r="C2558" s="12" t="n"/>
      <c r="D2558" s="12" t="n"/>
      <c r="E2558" s="13" t="n"/>
      <c r="F2558" s="12" t="n"/>
      <c r="G2558" s="13" t="n"/>
      <c r="H2558" s="12" t="n"/>
      <c r="I2558" s="12" t="n"/>
      <c r="J2558" s="12" t="n"/>
      <c r="K2558" s="12" t="n"/>
      <c r="L2558" s="11" t="n"/>
      <c r="M2558" s="11" t="n"/>
      <c r="N2558" s="11" t="n"/>
      <c r="O2558" s="11" t="n"/>
      <c r="P2558" s="12" t="n"/>
      <c r="Q2558" s="11" t="n"/>
      <c r="R2558" s="12" t="n"/>
      <c r="S2558" s="11" t="n"/>
      <c r="T2558" s="12" t="n"/>
      <c r="U2558" s="12" t="n"/>
      <c r="V2558" s="12" t="n"/>
      <c r="W2558" s="13" t="n"/>
      <c r="X2558" s="14">
        <f>IF($AP2558="",IF($B2558="","",$H2558),IF(INDEX(職員マスタ!$B$6:$B$405,$AP2558)="",$H2558,INDEX(職員マスタ!$B$6:$B$405,$AP2558)))</f>
        <v/>
      </c>
      <c r="Y2558" s="14">
        <f>IF($AP2558="",IF($B2558="","",$R2558),IF(INDEX(職員マスタ!$C$6:$C$405,$AP2558)="",$R2558,INDEX(職員マスタ!$C$6:$C$405,$AP2558)))</f>
        <v/>
      </c>
      <c r="Z2558" s="14">
        <f>IF($AQ2558="","","R"&amp;$C2558&amp;"."&amp;$D2558)</f>
        <v/>
      </c>
      <c r="AA2558" s="15">
        <f>IF(IF($AP2558="",FALSE,INDEX(職員マスタ!$K$6:$K$405,$AP2558)&lt;&gt;""),INDEX(職員マスタ!$K$6:$K$405,$AP2558),IF(N($W2558)&gt;0,$W2558,""))</f>
        <v/>
      </c>
      <c r="AB2558" s="14">
        <f>IF(OR($E2558="",$AA2558=""),"",IF($E2558&gt;=$AA2558,"×",IF($E2558&gt;=$AA2558*設定!$C$5,"△","○")))</f>
        <v/>
      </c>
      <c r="AC2558" s="15">
        <f>IF($AB2558="","",IF($AB2558="×",0,IF($AB2558="○",ROUNDDOWN($E2558*設定!$C$4,0),ROUNDDOWN($E2558*ROUND((9*$AA2558-9*$E2558)/(10*$E2558),4),0))))</f>
        <v/>
      </c>
      <c r="AD2558" s="13" t="n"/>
      <c r="AE2558" s="15">
        <f>IF($B2558="","",IF($AD2558&lt;&gt;"",$AD2558,IF($AC2558="","",IF($AC2558&lt;=設定!$C$3,0,$AC2558))))</f>
        <v/>
      </c>
      <c r="AF2558" s="14">
        <f>IF($B2558="","",IF(AND($AG2558&lt;&gt;"",$AI2558="",$AL2558=""),"保留中",IF($AL2558&lt;&gt;"",IF(N($AE2558)&gt;0,"支給済","不支給"),IF($AE2558="","要確認",IF($AE2558=0,"不支給","未処理")))))</f>
        <v/>
      </c>
      <c r="AG2558" s="12" t="n"/>
      <c r="AH2558" s="11" t="n"/>
      <c r="AI2558" s="11" t="n"/>
      <c r="AJ2558" s="11" t="n"/>
      <c r="AK2558" s="14">
        <f>IF(AND($AF2558="保留中",$AH2558&lt;&gt;""),TODAY()-$AH2558,"")</f>
        <v/>
      </c>
      <c r="AL2558" s="12" t="n"/>
      <c r="AM2558" s="14">
        <f>IF($B2558="","",IF($AQ2558="","対象年月が未入力／","")&amp;IF($B2558="","",IF($AP2558="","職員マスタに未登録の職員番号／",IF($AA2558="","標準報酬月額が未登録／","")&amp;IF(AND($AQ2558&lt;&gt;"",OR(AND(INDEX(職員マスタ!$G$6:$G$405,$AP2558)&lt;&gt;"",INDEX(職員マスタ!$G$6:$G$405,$AP2558)&gt;EOMONTH($AQ2558,0)),AND(INDEX(職員マスタ!$H$6:$H$405,$AP2558)&lt;&gt;"",INDEX(職員マスタ!$H$6:$H$405,$AP2558)&lt;$AQ2558))),"対象月が時短期間外／","")&amp;IF(AND(INDEX(職員マスタ!$K$6:$K$405,$AP2558)&lt;&gt;"",N($W2558)&gt;0,INDEX(職員マスタ!$K$6:$K$405,$AP2558)&lt;&gt;$W2558),"標準報酬月額が申請書と相違（台帳"&amp;TEXT(INDEX(職員マスタ!$K$6:$K$405,$AP2558),"#,##0")&amp;"円／申請書"&amp;TEXT($W2558,"#,##0")&amp;"円）／","")&amp;IF(AND(INDEX(職員マスタ!$F$6:$F$405,$AP2558)&lt;&gt;"",$AQ2558&lt;&gt;"",INDEX(職員マスタ!$F$6:$F$405,$AP2558)&lt;$AQ2558),"対象月に子が2歳到達済／","")&amp;IF(AND($H2558&lt;&gt;"",INDEX(職員マスタ!$B$6:$B$405,$AP2558)&lt;&gt;"",SUBSTITUTE(SUBSTITUTE($H2558," ","")," ","")&lt;&gt;SUBSTITUTE(SUBSTITUTE(INDEX(職員マスタ!$B$6:$B$405,$AP2558)," ","")," ","")),"氏名がマスタと相違／","")&amp;IF(AND($Q2558&lt;&gt;"",INDEX(職員マスタ!$E$6:$E$405,$AP2558)&lt;&gt;"",$Q2558&lt;&gt;INDEX(職員マスタ!$E$6:$E$405,$AP2558)),"子の生年月日がマスタと相違／","")&amp;IF(AND($L2558&lt;&gt;"",INDEX(職員マスタ!$G$6:$G$405,$AP2558)&lt;&gt;"",$L2558&lt;&gt;INDEX(職員マスタ!$G$6:$G$405,$AP2558)),"時短開始日がマスタと相違／","")&amp;IF(AND($M2558&lt;&gt;"",INDEX(職員マスタ!$H$6:$H$405,$AP2558)&lt;&gt;"",$M2558&lt;&gt;INDEX(職員マスタ!$H$6:$H$405,$AP2558)),"時短終了日がマスタと相違／","")))&amp;IF(AND($B2558&lt;&gt;"",$E2558=""),"報酬額が未入力／","")&amp;IF(N($U2558)&gt;0,"申請書に入力エラーが残っています／","")&amp;IF(AND($B2558&lt;&gt;"",$AQ2558&lt;&gt;""),IF(COUNTIFS($B$6:$B$3005,$B2558,$C$6:$C$3005,$C2558,$D$6:$D$3005,$D2558)&gt;1,"同じ月の請求が重複しています／",""),"")&amp;IF(AND(N($E2558)&gt;0,$AB2558&lt;&gt;"",$AB2558&lt;&gt;"×",$AE2558=0,$AD2558=""),"計算額が下限以下のため不支給／",""))</f>
        <v/>
      </c>
      <c r="AN2558" s="12" t="n"/>
      <c r="AO2558" s="14">
        <f>IF($AF2558="保留中",COUNTIF($AF$6:$AF2558,"保留中"),"")</f>
        <v/>
      </c>
      <c r="AP2558" s="14">
        <f>IF($AQ2558="","",IF(SUMPRODUCT(MAX((職員マスタ!$A$6:$A$405=$B2558)*(((職員マスタ!$G$6:$G$405="")+(職員マスタ!$G$6:$G$405&lt;=EOMONTH($AQ2558,0)))&gt;0)*(((職員マスタ!$H$6:$H$405="")+(職員マスタ!$H$6:$H$405&gt;=$AQ2558))&gt;0)*(ROW(職員マスタ!$A$6:$A$405)-5)))&gt;0,SUMPRODUCT(MAX((職員マスタ!$A$6:$A$405=$B2558)*(((職員マスタ!$G$6:$G$405="")+(職員マスタ!$G$6:$G$405&lt;=EOMONTH($AQ2558,0)))&gt;0)*(((職員マスタ!$H$6:$H$405="")+(職員マスタ!$H$6:$H$405&gt;=$AQ2558))&gt;0)*(ROW(職員マスタ!$A$6:$A$405)-5))),IFERROR(MATCH($B2558,職員マスタ!$A$6:$A$405,0),"")))</f>
        <v/>
      </c>
      <c r="AQ2558" s="16">
        <f>IF(OR($B2558="",$C2558="",$D2558=""),"",DATE($C2558+2018,$D2558,1))</f>
        <v/>
      </c>
    </row>
    <row r="2559">
      <c r="A2559" s="11" t="n"/>
      <c r="B2559" s="12" t="n"/>
      <c r="C2559" s="12" t="n"/>
      <c r="D2559" s="12" t="n"/>
      <c r="E2559" s="13" t="n"/>
      <c r="F2559" s="12" t="n"/>
      <c r="G2559" s="13" t="n"/>
      <c r="H2559" s="12" t="n"/>
      <c r="I2559" s="12" t="n"/>
      <c r="J2559" s="12" t="n"/>
      <c r="K2559" s="12" t="n"/>
      <c r="L2559" s="11" t="n"/>
      <c r="M2559" s="11" t="n"/>
      <c r="N2559" s="11" t="n"/>
      <c r="O2559" s="11" t="n"/>
      <c r="P2559" s="12" t="n"/>
      <c r="Q2559" s="11" t="n"/>
      <c r="R2559" s="12" t="n"/>
      <c r="S2559" s="11" t="n"/>
      <c r="T2559" s="12" t="n"/>
      <c r="U2559" s="12" t="n"/>
      <c r="V2559" s="12" t="n"/>
      <c r="W2559" s="13" t="n"/>
      <c r="X2559" s="14">
        <f>IF($AP2559="",IF($B2559="","",$H2559),IF(INDEX(職員マスタ!$B$6:$B$405,$AP2559)="",$H2559,INDEX(職員マスタ!$B$6:$B$405,$AP2559)))</f>
        <v/>
      </c>
      <c r="Y2559" s="14">
        <f>IF($AP2559="",IF($B2559="","",$R2559),IF(INDEX(職員マスタ!$C$6:$C$405,$AP2559)="",$R2559,INDEX(職員マスタ!$C$6:$C$405,$AP2559)))</f>
        <v/>
      </c>
      <c r="Z2559" s="14">
        <f>IF($AQ2559="","","R"&amp;$C2559&amp;"."&amp;$D2559)</f>
        <v/>
      </c>
      <c r="AA2559" s="15">
        <f>IF(IF($AP2559="",FALSE,INDEX(職員マスタ!$K$6:$K$405,$AP2559)&lt;&gt;""),INDEX(職員マスタ!$K$6:$K$405,$AP2559),IF(N($W2559)&gt;0,$W2559,""))</f>
        <v/>
      </c>
      <c r="AB2559" s="14">
        <f>IF(OR($E2559="",$AA2559=""),"",IF($E2559&gt;=$AA2559,"×",IF($E2559&gt;=$AA2559*設定!$C$5,"△","○")))</f>
        <v/>
      </c>
      <c r="AC2559" s="15">
        <f>IF($AB2559="","",IF($AB2559="×",0,IF($AB2559="○",ROUNDDOWN($E2559*設定!$C$4,0),ROUNDDOWN($E2559*ROUND((9*$AA2559-9*$E2559)/(10*$E2559),4),0))))</f>
        <v/>
      </c>
      <c r="AD2559" s="13" t="n"/>
      <c r="AE2559" s="15">
        <f>IF($B2559="","",IF($AD2559&lt;&gt;"",$AD2559,IF($AC2559="","",IF($AC2559&lt;=設定!$C$3,0,$AC2559))))</f>
        <v/>
      </c>
      <c r="AF2559" s="14">
        <f>IF($B2559="","",IF(AND($AG2559&lt;&gt;"",$AI2559="",$AL2559=""),"保留中",IF($AL2559&lt;&gt;"",IF(N($AE2559)&gt;0,"支給済","不支給"),IF($AE2559="","要確認",IF($AE2559=0,"不支給","未処理")))))</f>
        <v/>
      </c>
      <c r="AG2559" s="12" t="n"/>
      <c r="AH2559" s="11" t="n"/>
      <c r="AI2559" s="11" t="n"/>
      <c r="AJ2559" s="11" t="n"/>
      <c r="AK2559" s="14">
        <f>IF(AND($AF2559="保留中",$AH2559&lt;&gt;""),TODAY()-$AH2559,"")</f>
        <v/>
      </c>
      <c r="AL2559" s="12" t="n"/>
      <c r="AM2559" s="14">
        <f>IF($B2559="","",IF($AQ2559="","対象年月が未入力／","")&amp;IF($B2559="","",IF($AP2559="","職員マスタに未登録の職員番号／",IF($AA2559="","標準報酬月額が未登録／","")&amp;IF(AND($AQ2559&lt;&gt;"",OR(AND(INDEX(職員マスタ!$G$6:$G$405,$AP2559)&lt;&gt;"",INDEX(職員マスタ!$G$6:$G$405,$AP2559)&gt;EOMONTH($AQ2559,0)),AND(INDEX(職員マスタ!$H$6:$H$405,$AP2559)&lt;&gt;"",INDEX(職員マスタ!$H$6:$H$405,$AP2559)&lt;$AQ2559))),"対象月が時短期間外／","")&amp;IF(AND(INDEX(職員マスタ!$K$6:$K$405,$AP2559)&lt;&gt;"",N($W2559)&gt;0,INDEX(職員マスタ!$K$6:$K$405,$AP2559)&lt;&gt;$W2559),"標準報酬月額が申請書と相違（台帳"&amp;TEXT(INDEX(職員マスタ!$K$6:$K$405,$AP2559),"#,##0")&amp;"円／申請書"&amp;TEXT($W2559,"#,##0")&amp;"円）／","")&amp;IF(AND(INDEX(職員マスタ!$F$6:$F$405,$AP2559)&lt;&gt;"",$AQ2559&lt;&gt;"",INDEX(職員マスタ!$F$6:$F$405,$AP2559)&lt;$AQ2559),"対象月に子が2歳到達済／","")&amp;IF(AND($H2559&lt;&gt;"",INDEX(職員マスタ!$B$6:$B$405,$AP2559)&lt;&gt;"",SUBSTITUTE(SUBSTITUTE($H2559," ","")," ","")&lt;&gt;SUBSTITUTE(SUBSTITUTE(INDEX(職員マスタ!$B$6:$B$405,$AP2559)," ","")," ","")),"氏名がマスタと相違／","")&amp;IF(AND($Q2559&lt;&gt;"",INDEX(職員マスタ!$E$6:$E$405,$AP2559)&lt;&gt;"",$Q2559&lt;&gt;INDEX(職員マスタ!$E$6:$E$405,$AP2559)),"子の生年月日がマスタと相違／","")&amp;IF(AND($L2559&lt;&gt;"",INDEX(職員マスタ!$G$6:$G$405,$AP2559)&lt;&gt;"",$L2559&lt;&gt;INDEX(職員マスタ!$G$6:$G$405,$AP2559)),"時短開始日がマスタと相違／","")&amp;IF(AND($M2559&lt;&gt;"",INDEX(職員マスタ!$H$6:$H$405,$AP2559)&lt;&gt;"",$M2559&lt;&gt;INDEX(職員マスタ!$H$6:$H$405,$AP2559)),"時短終了日がマスタと相違／","")))&amp;IF(AND($B2559&lt;&gt;"",$E2559=""),"報酬額が未入力／","")&amp;IF(N($U2559)&gt;0,"申請書に入力エラーが残っています／","")&amp;IF(AND($B2559&lt;&gt;"",$AQ2559&lt;&gt;""),IF(COUNTIFS($B$6:$B$3005,$B2559,$C$6:$C$3005,$C2559,$D$6:$D$3005,$D2559)&gt;1,"同じ月の請求が重複しています／",""),"")&amp;IF(AND(N($E2559)&gt;0,$AB2559&lt;&gt;"",$AB2559&lt;&gt;"×",$AE2559=0,$AD2559=""),"計算額が下限以下のため不支給／",""))</f>
        <v/>
      </c>
      <c r="AN2559" s="12" t="n"/>
      <c r="AO2559" s="14">
        <f>IF($AF2559="保留中",COUNTIF($AF$6:$AF2559,"保留中"),"")</f>
        <v/>
      </c>
      <c r="AP2559" s="14">
        <f>IF($AQ2559="","",IF(SUMPRODUCT(MAX((職員マスタ!$A$6:$A$405=$B2559)*(((職員マスタ!$G$6:$G$405="")+(職員マスタ!$G$6:$G$405&lt;=EOMONTH($AQ2559,0)))&gt;0)*(((職員マスタ!$H$6:$H$405="")+(職員マスタ!$H$6:$H$405&gt;=$AQ2559))&gt;0)*(ROW(職員マスタ!$A$6:$A$405)-5)))&gt;0,SUMPRODUCT(MAX((職員マスタ!$A$6:$A$405=$B2559)*(((職員マスタ!$G$6:$G$405="")+(職員マスタ!$G$6:$G$405&lt;=EOMONTH($AQ2559,0)))&gt;0)*(((職員マスタ!$H$6:$H$405="")+(職員マスタ!$H$6:$H$405&gt;=$AQ2559))&gt;0)*(ROW(職員マスタ!$A$6:$A$405)-5))),IFERROR(MATCH($B2559,職員マスタ!$A$6:$A$405,0),"")))</f>
        <v/>
      </c>
      <c r="AQ2559" s="16">
        <f>IF(OR($B2559="",$C2559="",$D2559=""),"",DATE($C2559+2018,$D2559,1))</f>
        <v/>
      </c>
    </row>
    <row r="2560">
      <c r="A2560" s="11" t="n"/>
      <c r="B2560" s="12" t="n"/>
      <c r="C2560" s="12" t="n"/>
      <c r="D2560" s="12" t="n"/>
      <c r="E2560" s="13" t="n"/>
      <c r="F2560" s="12" t="n"/>
      <c r="G2560" s="13" t="n"/>
      <c r="H2560" s="12" t="n"/>
      <c r="I2560" s="12" t="n"/>
      <c r="J2560" s="12" t="n"/>
      <c r="K2560" s="12" t="n"/>
      <c r="L2560" s="11" t="n"/>
      <c r="M2560" s="11" t="n"/>
      <c r="N2560" s="11" t="n"/>
      <c r="O2560" s="11" t="n"/>
      <c r="P2560" s="12" t="n"/>
      <c r="Q2560" s="11" t="n"/>
      <c r="R2560" s="12" t="n"/>
      <c r="S2560" s="11" t="n"/>
      <c r="T2560" s="12" t="n"/>
      <c r="U2560" s="12" t="n"/>
      <c r="V2560" s="12" t="n"/>
      <c r="W2560" s="13" t="n"/>
      <c r="X2560" s="14">
        <f>IF($AP2560="",IF($B2560="","",$H2560),IF(INDEX(職員マスタ!$B$6:$B$405,$AP2560)="",$H2560,INDEX(職員マスタ!$B$6:$B$405,$AP2560)))</f>
        <v/>
      </c>
      <c r="Y2560" s="14">
        <f>IF($AP2560="",IF($B2560="","",$R2560),IF(INDEX(職員マスタ!$C$6:$C$405,$AP2560)="",$R2560,INDEX(職員マスタ!$C$6:$C$405,$AP2560)))</f>
        <v/>
      </c>
      <c r="Z2560" s="14">
        <f>IF($AQ2560="","","R"&amp;$C2560&amp;"."&amp;$D2560)</f>
        <v/>
      </c>
      <c r="AA2560" s="15">
        <f>IF(IF($AP2560="",FALSE,INDEX(職員マスタ!$K$6:$K$405,$AP2560)&lt;&gt;""),INDEX(職員マスタ!$K$6:$K$405,$AP2560),IF(N($W2560)&gt;0,$W2560,""))</f>
        <v/>
      </c>
      <c r="AB2560" s="14">
        <f>IF(OR($E2560="",$AA2560=""),"",IF($E2560&gt;=$AA2560,"×",IF($E2560&gt;=$AA2560*設定!$C$5,"△","○")))</f>
        <v/>
      </c>
      <c r="AC2560" s="15">
        <f>IF($AB2560="","",IF($AB2560="×",0,IF($AB2560="○",ROUNDDOWN($E2560*設定!$C$4,0),ROUNDDOWN($E2560*ROUND((9*$AA2560-9*$E2560)/(10*$E2560),4),0))))</f>
        <v/>
      </c>
      <c r="AD2560" s="13" t="n"/>
      <c r="AE2560" s="15">
        <f>IF($B2560="","",IF($AD2560&lt;&gt;"",$AD2560,IF($AC2560="","",IF($AC2560&lt;=設定!$C$3,0,$AC2560))))</f>
        <v/>
      </c>
      <c r="AF2560" s="14">
        <f>IF($B2560="","",IF(AND($AG2560&lt;&gt;"",$AI2560="",$AL2560=""),"保留中",IF($AL2560&lt;&gt;"",IF(N($AE2560)&gt;0,"支給済","不支給"),IF($AE2560="","要確認",IF($AE2560=0,"不支給","未処理")))))</f>
        <v/>
      </c>
      <c r="AG2560" s="12" t="n"/>
      <c r="AH2560" s="11" t="n"/>
      <c r="AI2560" s="11" t="n"/>
      <c r="AJ2560" s="11" t="n"/>
      <c r="AK2560" s="14">
        <f>IF(AND($AF2560="保留中",$AH2560&lt;&gt;""),TODAY()-$AH2560,"")</f>
        <v/>
      </c>
      <c r="AL2560" s="12" t="n"/>
      <c r="AM2560" s="14">
        <f>IF($B2560="","",IF($AQ2560="","対象年月が未入力／","")&amp;IF($B2560="","",IF($AP2560="","職員マスタに未登録の職員番号／",IF($AA2560="","標準報酬月額が未登録／","")&amp;IF(AND($AQ2560&lt;&gt;"",OR(AND(INDEX(職員マスタ!$G$6:$G$405,$AP2560)&lt;&gt;"",INDEX(職員マスタ!$G$6:$G$405,$AP2560)&gt;EOMONTH($AQ2560,0)),AND(INDEX(職員マスタ!$H$6:$H$405,$AP2560)&lt;&gt;"",INDEX(職員マスタ!$H$6:$H$405,$AP2560)&lt;$AQ2560))),"対象月が時短期間外／","")&amp;IF(AND(INDEX(職員マスタ!$K$6:$K$405,$AP2560)&lt;&gt;"",N($W2560)&gt;0,INDEX(職員マスタ!$K$6:$K$405,$AP2560)&lt;&gt;$W2560),"標準報酬月額が申請書と相違（台帳"&amp;TEXT(INDEX(職員マスタ!$K$6:$K$405,$AP2560),"#,##0")&amp;"円／申請書"&amp;TEXT($W2560,"#,##0")&amp;"円）／","")&amp;IF(AND(INDEX(職員マスタ!$F$6:$F$405,$AP2560)&lt;&gt;"",$AQ2560&lt;&gt;"",INDEX(職員マスタ!$F$6:$F$405,$AP2560)&lt;$AQ2560),"対象月に子が2歳到達済／","")&amp;IF(AND($H2560&lt;&gt;"",INDEX(職員マスタ!$B$6:$B$405,$AP2560)&lt;&gt;"",SUBSTITUTE(SUBSTITUTE($H2560," ","")," ","")&lt;&gt;SUBSTITUTE(SUBSTITUTE(INDEX(職員マスタ!$B$6:$B$405,$AP2560)," ","")," ","")),"氏名がマスタと相違／","")&amp;IF(AND($Q2560&lt;&gt;"",INDEX(職員マスタ!$E$6:$E$405,$AP2560)&lt;&gt;"",$Q2560&lt;&gt;INDEX(職員マスタ!$E$6:$E$405,$AP2560)),"子の生年月日がマスタと相違／","")&amp;IF(AND($L2560&lt;&gt;"",INDEX(職員マスタ!$G$6:$G$405,$AP2560)&lt;&gt;"",$L2560&lt;&gt;INDEX(職員マスタ!$G$6:$G$405,$AP2560)),"時短開始日がマスタと相違／","")&amp;IF(AND($M2560&lt;&gt;"",INDEX(職員マスタ!$H$6:$H$405,$AP2560)&lt;&gt;"",$M2560&lt;&gt;INDEX(職員マスタ!$H$6:$H$405,$AP2560)),"時短終了日がマスタと相違／","")))&amp;IF(AND($B2560&lt;&gt;"",$E2560=""),"報酬額が未入力／","")&amp;IF(N($U2560)&gt;0,"申請書に入力エラーが残っています／","")&amp;IF(AND($B2560&lt;&gt;"",$AQ2560&lt;&gt;""),IF(COUNTIFS($B$6:$B$3005,$B2560,$C$6:$C$3005,$C2560,$D$6:$D$3005,$D2560)&gt;1,"同じ月の請求が重複しています／",""),"")&amp;IF(AND(N($E2560)&gt;0,$AB2560&lt;&gt;"",$AB2560&lt;&gt;"×",$AE2560=0,$AD2560=""),"計算額が下限以下のため不支給／",""))</f>
        <v/>
      </c>
      <c r="AN2560" s="12" t="n"/>
      <c r="AO2560" s="14">
        <f>IF($AF2560="保留中",COUNTIF($AF$6:$AF2560,"保留中"),"")</f>
        <v/>
      </c>
      <c r="AP2560" s="14">
        <f>IF($AQ2560="","",IF(SUMPRODUCT(MAX((職員マスタ!$A$6:$A$405=$B2560)*(((職員マスタ!$G$6:$G$405="")+(職員マスタ!$G$6:$G$405&lt;=EOMONTH($AQ2560,0)))&gt;0)*(((職員マスタ!$H$6:$H$405="")+(職員マスタ!$H$6:$H$405&gt;=$AQ2560))&gt;0)*(ROW(職員マスタ!$A$6:$A$405)-5)))&gt;0,SUMPRODUCT(MAX((職員マスタ!$A$6:$A$405=$B2560)*(((職員マスタ!$G$6:$G$405="")+(職員マスタ!$G$6:$G$405&lt;=EOMONTH($AQ2560,0)))&gt;0)*(((職員マスタ!$H$6:$H$405="")+(職員マスタ!$H$6:$H$405&gt;=$AQ2560))&gt;0)*(ROW(職員マスタ!$A$6:$A$405)-5))),IFERROR(MATCH($B2560,職員マスタ!$A$6:$A$405,0),"")))</f>
        <v/>
      </c>
      <c r="AQ2560" s="16">
        <f>IF(OR($B2560="",$C2560="",$D2560=""),"",DATE($C2560+2018,$D2560,1))</f>
        <v/>
      </c>
    </row>
    <row r="2561">
      <c r="A2561" s="11" t="n"/>
      <c r="B2561" s="12" t="n"/>
      <c r="C2561" s="12" t="n"/>
      <c r="D2561" s="12" t="n"/>
      <c r="E2561" s="13" t="n"/>
      <c r="F2561" s="12" t="n"/>
      <c r="G2561" s="13" t="n"/>
      <c r="H2561" s="12" t="n"/>
      <c r="I2561" s="12" t="n"/>
      <c r="J2561" s="12" t="n"/>
      <c r="K2561" s="12" t="n"/>
      <c r="L2561" s="11" t="n"/>
      <c r="M2561" s="11" t="n"/>
      <c r="N2561" s="11" t="n"/>
      <c r="O2561" s="11" t="n"/>
      <c r="P2561" s="12" t="n"/>
      <c r="Q2561" s="11" t="n"/>
      <c r="R2561" s="12" t="n"/>
      <c r="S2561" s="11" t="n"/>
      <c r="T2561" s="12" t="n"/>
      <c r="U2561" s="12" t="n"/>
      <c r="V2561" s="12" t="n"/>
      <c r="W2561" s="13" t="n"/>
      <c r="X2561" s="14">
        <f>IF($AP2561="",IF($B2561="","",$H2561),IF(INDEX(職員マスタ!$B$6:$B$405,$AP2561)="",$H2561,INDEX(職員マスタ!$B$6:$B$405,$AP2561)))</f>
        <v/>
      </c>
      <c r="Y2561" s="14">
        <f>IF($AP2561="",IF($B2561="","",$R2561),IF(INDEX(職員マスタ!$C$6:$C$405,$AP2561)="",$R2561,INDEX(職員マスタ!$C$6:$C$405,$AP2561)))</f>
        <v/>
      </c>
      <c r="Z2561" s="14">
        <f>IF($AQ2561="","","R"&amp;$C2561&amp;"."&amp;$D2561)</f>
        <v/>
      </c>
      <c r="AA2561" s="15">
        <f>IF(IF($AP2561="",FALSE,INDEX(職員マスタ!$K$6:$K$405,$AP2561)&lt;&gt;""),INDEX(職員マスタ!$K$6:$K$405,$AP2561),IF(N($W2561)&gt;0,$W2561,""))</f>
        <v/>
      </c>
      <c r="AB2561" s="14">
        <f>IF(OR($E2561="",$AA2561=""),"",IF($E2561&gt;=$AA2561,"×",IF($E2561&gt;=$AA2561*設定!$C$5,"△","○")))</f>
        <v/>
      </c>
      <c r="AC2561" s="15">
        <f>IF($AB2561="","",IF($AB2561="×",0,IF($AB2561="○",ROUNDDOWN($E2561*設定!$C$4,0),ROUNDDOWN($E2561*ROUND((9*$AA2561-9*$E2561)/(10*$E2561),4),0))))</f>
        <v/>
      </c>
      <c r="AD2561" s="13" t="n"/>
      <c r="AE2561" s="15">
        <f>IF($B2561="","",IF($AD2561&lt;&gt;"",$AD2561,IF($AC2561="","",IF($AC2561&lt;=設定!$C$3,0,$AC2561))))</f>
        <v/>
      </c>
      <c r="AF2561" s="14">
        <f>IF($B2561="","",IF(AND($AG2561&lt;&gt;"",$AI2561="",$AL2561=""),"保留中",IF($AL2561&lt;&gt;"",IF(N($AE2561)&gt;0,"支給済","不支給"),IF($AE2561="","要確認",IF($AE2561=0,"不支給","未処理")))))</f>
        <v/>
      </c>
      <c r="AG2561" s="12" t="n"/>
      <c r="AH2561" s="11" t="n"/>
      <c r="AI2561" s="11" t="n"/>
      <c r="AJ2561" s="11" t="n"/>
      <c r="AK2561" s="14">
        <f>IF(AND($AF2561="保留中",$AH2561&lt;&gt;""),TODAY()-$AH2561,"")</f>
        <v/>
      </c>
      <c r="AL2561" s="12" t="n"/>
      <c r="AM2561" s="14">
        <f>IF($B2561="","",IF($AQ2561="","対象年月が未入力／","")&amp;IF($B2561="","",IF($AP2561="","職員マスタに未登録の職員番号／",IF($AA2561="","標準報酬月額が未登録／","")&amp;IF(AND($AQ2561&lt;&gt;"",OR(AND(INDEX(職員マスタ!$G$6:$G$405,$AP2561)&lt;&gt;"",INDEX(職員マスタ!$G$6:$G$405,$AP2561)&gt;EOMONTH($AQ2561,0)),AND(INDEX(職員マスタ!$H$6:$H$405,$AP2561)&lt;&gt;"",INDEX(職員マスタ!$H$6:$H$405,$AP2561)&lt;$AQ2561))),"対象月が時短期間外／","")&amp;IF(AND(INDEX(職員マスタ!$K$6:$K$405,$AP2561)&lt;&gt;"",N($W2561)&gt;0,INDEX(職員マスタ!$K$6:$K$405,$AP2561)&lt;&gt;$W2561),"標準報酬月額が申請書と相違（台帳"&amp;TEXT(INDEX(職員マスタ!$K$6:$K$405,$AP2561),"#,##0")&amp;"円／申請書"&amp;TEXT($W2561,"#,##0")&amp;"円）／","")&amp;IF(AND(INDEX(職員マスタ!$F$6:$F$405,$AP2561)&lt;&gt;"",$AQ2561&lt;&gt;"",INDEX(職員マスタ!$F$6:$F$405,$AP2561)&lt;$AQ2561),"対象月に子が2歳到達済／","")&amp;IF(AND($H2561&lt;&gt;"",INDEX(職員マスタ!$B$6:$B$405,$AP2561)&lt;&gt;"",SUBSTITUTE(SUBSTITUTE($H2561," ","")," ","")&lt;&gt;SUBSTITUTE(SUBSTITUTE(INDEX(職員マスタ!$B$6:$B$405,$AP2561)," ","")," ","")),"氏名がマスタと相違／","")&amp;IF(AND($Q2561&lt;&gt;"",INDEX(職員マスタ!$E$6:$E$405,$AP2561)&lt;&gt;"",$Q2561&lt;&gt;INDEX(職員マスタ!$E$6:$E$405,$AP2561)),"子の生年月日がマスタと相違／","")&amp;IF(AND($L2561&lt;&gt;"",INDEX(職員マスタ!$G$6:$G$405,$AP2561)&lt;&gt;"",$L2561&lt;&gt;INDEX(職員マスタ!$G$6:$G$405,$AP2561)),"時短開始日がマスタと相違／","")&amp;IF(AND($M2561&lt;&gt;"",INDEX(職員マスタ!$H$6:$H$405,$AP2561)&lt;&gt;"",$M2561&lt;&gt;INDEX(職員マスタ!$H$6:$H$405,$AP2561)),"時短終了日がマスタと相違／","")))&amp;IF(AND($B2561&lt;&gt;"",$E2561=""),"報酬額が未入力／","")&amp;IF(N($U2561)&gt;0,"申請書に入力エラーが残っています／","")&amp;IF(AND($B2561&lt;&gt;"",$AQ2561&lt;&gt;""),IF(COUNTIFS($B$6:$B$3005,$B2561,$C$6:$C$3005,$C2561,$D$6:$D$3005,$D2561)&gt;1,"同じ月の請求が重複しています／",""),"")&amp;IF(AND(N($E2561)&gt;0,$AB2561&lt;&gt;"",$AB2561&lt;&gt;"×",$AE2561=0,$AD2561=""),"計算額が下限以下のため不支給／",""))</f>
        <v/>
      </c>
      <c r="AN2561" s="12" t="n"/>
      <c r="AO2561" s="14">
        <f>IF($AF2561="保留中",COUNTIF($AF$6:$AF2561,"保留中"),"")</f>
        <v/>
      </c>
      <c r="AP2561" s="14">
        <f>IF($AQ2561="","",IF(SUMPRODUCT(MAX((職員マスタ!$A$6:$A$405=$B2561)*(((職員マスタ!$G$6:$G$405="")+(職員マスタ!$G$6:$G$405&lt;=EOMONTH($AQ2561,0)))&gt;0)*(((職員マスタ!$H$6:$H$405="")+(職員マスタ!$H$6:$H$405&gt;=$AQ2561))&gt;0)*(ROW(職員マスタ!$A$6:$A$405)-5)))&gt;0,SUMPRODUCT(MAX((職員マスタ!$A$6:$A$405=$B2561)*(((職員マスタ!$G$6:$G$405="")+(職員マスタ!$G$6:$G$405&lt;=EOMONTH($AQ2561,0)))&gt;0)*(((職員マスタ!$H$6:$H$405="")+(職員マスタ!$H$6:$H$405&gt;=$AQ2561))&gt;0)*(ROW(職員マスタ!$A$6:$A$405)-5))),IFERROR(MATCH($B2561,職員マスタ!$A$6:$A$405,0),"")))</f>
        <v/>
      </c>
      <c r="AQ2561" s="16">
        <f>IF(OR($B2561="",$C2561="",$D2561=""),"",DATE($C2561+2018,$D2561,1))</f>
        <v/>
      </c>
    </row>
    <row r="2562">
      <c r="A2562" s="11" t="n"/>
      <c r="B2562" s="12" t="n"/>
      <c r="C2562" s="12" t="n"/>
      <c r="D2562" s="12" t="n"/>
      <c r="E2562" s="13" t="n"/>
      <c r="F2562" s="12" t="n"/>
      <c r="G2562" s="13" t="n"/>
      <c r="H2562" s="12" t="n"/>
      <c r="I2562" s="12" t="n"/>
      <c r="J2562" s="12" t="n"/>
      <c r="K2562" s="12" t="n"/>
      <c r="L2562" s="11" t="n"/>
      <c r="M2562" s="11" t="n"/>
      <c r="N2562" s="11" t="n"/>
      <c r="O2562" s="11" t="n"/>
      <c r="P2562" s="12" t="n"/>
      <c r="Q2562" s="11" t="n"/>
      <c r="R2562" s="12" t="n"/>
      <c r="S2562" s="11" t="n"/>
      <c r="T2562" s="12" t="n"/>
      <c r="U2562" s="12" t="n"/>
      <c r="V2562" s="12" t="n"/>
      <c r="W2562" s="13" t="n"/>
      <c r="X2562" s="14">
        <f>IF($AP2562="",IF($B2562="","",$H2562),IF(INDEX(職員マスタ!$B$6:$B$405,$AP2562)="",$H2562,INDEX(職員マスタ!$B$6:$B$405,$AP2562)))</f>
        <v/>
      </c>
      <c r="Y2562" s="14">
        <f>IF($AP2562="",IF($B2562="","",$R2562),IF(INDEX(職員マスタ!$C$6:$C$405,$AP2562)="",$R2562,INDEX(職員マスタ!$C$6:$C$405,$AP2562)))</f>
        <v/>
      </c>
      <c r="Z2562" s="14">
        <f>IF($AQ2562="","","R"&amp;$C2562&amp;"."&amp;$D2562)</f>
        <v/>
      </c>
      <c r="AA2562" s="15">
        <f>IF(IF($AP2562="",FALSE,INDEX(職員マスタ!$K$6:$K$405,$AP2562)&lt;&gt;""),INDEX(職員マスタ!$K$6:$K$405,$AP2562),IF(N($W2562)&gt;0,$W2562,""))</f>
        <v/>
      </c>
      <c r="AB2562" s="14">
        <f>IF(OR($E2562="",$AA2562=""),"",IF($E2562&gt;=$AA2562,"×",IF($E2562&gt;=$AA2562*設定!$C$5,"△","○")))</f>
        <v/>
      </c>
      <c r="AC2562" s="15">
        <f>IF($AB2562="","",IF($AB2562="×",0,IF($AB2562="○",ROUNDDOWN($E2562*設定!$C$4,0),ROUNDDOWN($E2562*ROUND((9*$AA2562-9*$E2562)/(10*$E2562),4),0))))</f>
        <v/>
      </c>
      <c r="AD2562" s="13" t="n"/>
      <c r="AE2562" s="15">
        <f>IF($B2562="","",IF($AD2562&lt;&gt;"",$AD2562,IF($AC2562="","",IF($AC2562&lt;=設定!$C$3,0,$AC2562))))</f>
        <v/>
      </c>
      <c r="AF2562" s="14">
        <f>IF($B2562="","",IF(AND($AG2562&lt;&gt;"",$AI2562="",$AL2562=""),"保留中",IF($AL2562&lt;&gt;"",IF(N($AE2562)&gt;0,"支給済","不支給"),IF($AE2562="","要確認",IF($AE2562=0,"不支給","未処理")))))</f>
        <v/>
      </c>
      <c r="AG2562" s="12" t="n"/>
      <c r="AH2562" s="11" t="n"/>
      <c r="AI2562" s="11" t="n"/>
      <c r="AJ2562" s="11" t="n"/>
      <c r="AK2562" s="14">
        <f>IF(AND($AF2562="保留中",$AH2562&lt;&gt;""),TODAY()-$AH2562,"")</f>
        <v/>
      </c>
      <c r="AL2562" s="12" t="n"/>
      <c r="AM2562" s="14">
        <f>IF($B2562="","",IF($AQ2562="","対象年月が未入力／","")&amp;IF($B2562="","",IF($AP2562="","職員マスタに未登録の職員番号／",IF($AA2562="","標準報酬月額が未登録／","")&amp;IF(AND($AQ2562&lt;&gt;"",OR(AND(INDEX(職員マスタ!$G$6:$G$405,$AP2562)&lt;&gt;"",INDEX(職員マスタ!$G$6:$G$405,$AP2562)&gt;EOMONTH($AQ2562,0)),AND(INDEX(職員マスタ!$H$6:$H$405,$AP2562)&lt;&gt;"",INDEX(職員マスタ!$H$6:$H$405,$AP2562)&lt;$AQ2562))),"対象月が時短期間外／","")&amp;IF(AND(INDEX(職員マスタ!$K$6:$K$405,$AP2562)&lt;&gt;"",N($W2562)&gt;0,INDEX(職員マスタ!$K$6:$K$405,$AP2562)&lt;&gt;$W2562),"標準報酬月額が申請書と相違（台帳"&amp;TEXT(INDEX(職員マスタ!$K$6:$K$405,$AP2562),"#,##0")&amp;"円／申請書"&amp;TEXT($W2562,"#,##0")&amp;"円）／","")&amp;IF(AND(INDEX(職員マスタ!$F$6:$F$405,$AP2562)&lt;&gt;"",$AQ2562&lt;&gt;"",INDEX(職員マスタ!$F$6:$F$405,$AP2562)&lt;$AQ2562),"対象月に子が2歳到達済／","")&amp;IF(AND($H2562&lt;&gt;"",INDEX(職員マスタ!$B$6:$B$405,$AP2562)&lt;&gt;"",SUBSTITUTE(SUBSTITUTE($H2562," ","")," ","")&lt;&gt;SUBSTITUTE(SUBSTITUTE(INDEX(職員マスタ!$B$6:$B$405,$AP2562)," ","")," ","")),"氏名がマスタと相違／","")&amp;IF(AND($Q2562&lt;&gt;"",INDEX(職員マスタ!$E$6:$E$405,$AP2562)&lt;&gt;"",$Q2562&lt;&gt;INDEX(職員マスタ!$E$6:$E$405,$AP2562)),"子の生年月日がマスタと相違／","")&amp;IF(AND($L2562&lt;&gt;"",INDEX(職員マスタ!$G$6:$G$405,$AP2562)&lt;&gt;"",$L2562&lt;&gt;INDEX(職員マスタ!$G$6:$G$405,$AP2562)),"時短開始日がマスタと相違／","")&amp;IF(AND($M2562&lt;&gt;"",INDEX(職員マスタ!$H$6:$H$405,$AP2562)&lt;&gt;"",$M2562&lt;&gt;INDEX(職員マスタ!$H$6:$H$405,$AP2562)),"時短終了日がマスタと相違／","")))&amp;IF(AND($B2562&lt;&gt;"",$E2562=""),"報酬額が未入力／","")&amp;IF(N($U2562)&gt;0,"申請書に入力エラーが残っています／","")&amp;IF(AND($B2562&lt;&gt;"",$AQ2562&lt;&gt;""),IF(COUNTIFS($B$6:$B$3005,$B2562,$C$6:$C$3005,$C2562,$D$6:$D$3005,$D2562)&gt;1,"同じ月の請求が重複しています／",""),"")&amp;IF(AND(N($E2562)&gt;0,$AB2562&lt;&gt;"",$AB2562&lt;&gt;"×",$AE2562=0,$AD2562=""),"計算額が下限以下のため不支給／",""))</f>
        <v/>
      </c>
      <c r="AN2562" s="12" t="n"/>
      <c r="AO2562" s="14">
        <f>IF($AF2562="保留中",COUNTIF($AF$6:$AF2562,"保留中"),"")</f>
        <v/>
      </c>
      <c r="AP2562" s="14">
        <f>IF($AQ2562="","",IF(SUMPRODUCT(MAX((職員マスタ!$A$6:$A$405=$B2562)*(((職員マスタ!$G$6:$G$405="")+(職員マスタ!$G$6:$G$405&lt;=EOMONTH($AQ2562,0)))&gt;0)*(((職員マスタ!$H$6:$H$405="")+(職員マスタ!$H$6:$H$405&gt;=$AQ2562))&gt;0)*(ROW(職員マスタ!$A$6:$A$405)-5)))&gt;0,SUMPRODUCT(MAX((職員マスタ!$A$6:$A$405=$B2562)*(((職員マスタ!$G$6:$G$405="")+(職員マスタ!$G$6:$G$405&lt;=EOMONTH($AQ2562,0)))&gt;0)*(((職員マスタ!$H$6:$H$405="")+(職員マスタ!$H$6:$H$405&gt;=$AQ2562))&gt;0)*(ROW(職員マスタ!$A$6:$A$405)-5))),IFERROR(MATCH($B2562,職員マスタ!$A$6:$A$405,0),"")))</f>
        <v/>
      </c>
      <c r="AQ2562" s="16">
        <f>IF(OR($B2562="",$C2562="",$D2562=""),"",DATE($C2562+2018,$D2562,1))</f>
        <v/>
      </c>
    </row>
    <row r="2563">
      <c r="A2563" s="11" t="n"/>
      <c r="B2563" s="12" t="n"/>
      <c r="C2563" s="12" t="n"/>
      <c r="D2563" s="12" t="n"/>
      <c r="E2563" s="13" t="n"/>
      <c r="F2563" s="12" t="n"/>
      <c r="G2563" s="13" t="n"/>
      <c r="H2563" s="12" t="n"/>
      <c r="I2563" s="12" t="n"/>
      <c r="J2563" s="12" t="n"/>
      <c r="K2563" s="12" t="n"/>
      <c r="L2563" s="11" t="n"/>
      <c r="M2563" s="11" t="n"/>
      <c r="N2563" s="11" t="n"/>
      <c r="O2563" s="11" t="n"/>
      <c r="P2563" s="12" t="n"/>
      <c r="Q2563" s="11" t="n"/>
      <c r="R2563" s="12" t="n"/>
      <c r="S2563" s="11" t="n"/>
      <c r="T2563" s="12" t="n"/>
      <c r="U2563" s="12" t="n"/>
      <c r="V2563" s="12" t="n"/>
      <c r="W2563" s="13" t="n"/>
      <c r="X2563" s="14">
        <f>IF($AP2563="",IF($B2563="","",$H2563),IF(INDEX(職員マスタ!$B$6:$B$405,$AP2563)="",$H2563,INDEX(職員マスタ!$B$6:$B$405,$AP2563)))</f>
        <v/>
      </c>
      <c r="Y2563" s="14">
        <f>IF($AP2563="",IF($B2563="","",$R2563),IF(INDEX(職員マスタ!$C$6:$C$405,$AP2563)="",$R2563,INDEX(職員マスタ!$C$6:$C$405,$AP2563)))</f>
        <v/>
      </c>
      <c r="Z2563" s="14">
        <f>IF($AQ2563="","","R"&amp;$C2563&amp;"."&amp;$D2563)</f>
        <v/>
      </c>
      <c r="AA2563" s="15">
        <f>IF(IF($AP2563="",FALSE,INDEX(職員マスタ!$K$6:$K$405,$AP2563)&lt;&gt;""),INDEX(職員マスタ!$K$6:$K$405,$AP2563),IF(N($W2563)&gt;0,$W2563,""))</f>
        <v/>
      </c>
      <c r="AB2563" s="14">
        <f>IF(OR($E2563="",$AA2563=""),"",IF($E2563&gt;=$AA2563,"×",IF($E2563&gt;=$AA2563*設定!$C$5,"△","○")))</f>
        <v/>
      </c>
      <c r="AC2563" s="15">
        <f>IF($AB2563="","",IF($AB2563="×",0,IF($AB2563="○",ROUNDDOWN($E2563*設定!$C$4,0),ROUNDDOWN($E2563*ROUND((9*$AA2563-9*$E2563)/(10*$E2563),4),0))))</f>
        <v/>
      </c>
      <c r="AD2563" s="13" t="n"/>
      <c r="AE2563" s="15">
        <f>IF($B2563="","",IF($AD2563&lt;&gt;"",$AD2563,IF($AC2563="","",IF($AC2563&lt;=設定!$C$3,0,$AC2563))))</f>
        <v/>
      </c>
      <c r="AF2563" s="14">
        <f>IF($B2563="","",IF(AND($AG2563&lt;&gt;"",$AI2563="",$AL2563=""),"保留中",IF($AL2563&lt;&gt;"",IF(N($AE2563)&gt;0,"支給済","不支給"),IF($AE2563="","要確認",IF($AE2563=0,"不支給","未処理")))))</f>
        <v/>
      </c>
      <c r="AG2563" s="12" t="n"/>
      <c r="AH2563" s="11" t="n"/>
      <c r="AI2563" s="11" t="n"/>
      <c r="AJ2563" s="11" t="n"/>
      <c r="AK2563" s="14">
        <f>IF(AND($AF2563="保留中",$AH2563&lt;&gt;""),TODAY()-$AH2563,"")</f>
        <v/>
      </c>
      <c r="AL2563" s="12" t="n"/>
      <c r="AM2563" s="14">
        <f>IF($B2563="","",IF($AQ2563="","対象年月が未入力／","")&amp;IF($B2563="","",IF($AP2563="","職員マスタに未登録の職員番号／",IF($AA2563="","標準報酬月額が未登録／","")&amp;IF(AND($AQ2563&lt;&gt;"",OR(AND(INDEX(職員マスタ!$G$6:$G$405,$AP2563)&lt;&gt;"",INDEX(職員マスタ!$G$6:$G$405,$AP2563)&gt;EOMONTH($AQ2563,0)),AND(INDEX(職員マスタ!$H$6:$H$405,$AP2563)&lt;&gt;"",INDEX(職員マスタ!$H$6:$H$405,$AP2563)&lt;$AQ2563))),"対象月が時短期間外／","")&amp;IF(AND(INDEX(職員マスタ!$K$6:$K$405,$AP2563)&lt;&gt;"",N($W2563)&gt;0,INDEX(職員マスタ!$K$6:$K$405,$AP2563)&lt;&gt;$W2563),"標準報酬月額が申請書と相違（台帳"&amp;TEXT(INDEX(職員マスタ!$K$6:$K$405,$AP2563),"#,##0")&amp;"円／申請書"&amp;TEXT($W2563,"#,##0")&amp;"円）／","")&amp;IF(AND(INDEX(職員マスタ!$F$6:$F$405,$AP2563)&lt;&gt;"",$AQ2563&lt;&gt;"",INDEX(職員マスタ!$F$6:$F$405,$AP2563)&lt;$AQ2563),"対象月に子が2歳到達済／","")&amp;IF(AND($H2563&lt;&gt;"",INDEX(職員マスタ!$B$6:$B$405,$AP2563)&lt;&gt;"",SUBSTITUTE(SUBSTITUTE($H2563," ","")," ","")&lt;&gt;SUBSTITUTE(SUBSTITUTE(INDEX(職員マスタ!$B$6:$B$405,$AP2563)," ","")," ","")),"氏名がマスタと相違／","")&amp;IF(AND($Q2563&lt;&gt;"",INDEX(職員マスタ!$E$6:$E$405,$AP2563)&lt;&gt;"",$Q2563&lt;&gt;INDEX(職員マスタ!$E$6:$E$405,$AP2563)),"子の生年月日がマスタと相違／","")&amp;IF(AND($L2563&lt;&gt;"",INDEX(職員マスタ!$G$6:$G$405,$AP2563)&lt;&gt;"",$L2563&lt;&gt;INDEX(職員マスタ!$G$6:$G$405,$AP2563)),"時短開始日がマスタと相違／","")&amp;IF(AND($M2563&lt;&gt;"",INDEX(職員マスタ!$H$6:$H$405,$AP2563)&lt;&gt;"",$M2563&lt;&gt;INDEX(職員マスタ!$H$6:$H$405,$AP2563)),"時短終了日がマスタと相違／","")))&amp;IF(AND($B2563&lt;&gt;"",$E2563=""),"報酬額が未入力／","")&amp;IF(N($U2563)&gt;0,"申請書に入力エラーが残っています／","")&amp;IF(AND($B2563&lt;&gt;"",$AQ2563&lt;&gt;""),IF(COUNTIFS($B$6:$B$3005,$B2563,$C$6:$C$3005,$C2563,$D$6:$D$3005,$D2563)&gt;1,"同じ月の請求が重複しています／",""),"")&amp;IF(AND(N($E2563)&gt;0,$AB2563&lt;&gt;"",$AB2563&lt;&gt;"×",$AE2563=0,$AD2563=""),"計算額が下限以下のため不支給／",""))</f>
        <v/>
      </c>
      <c r="AN2563" s="12" t="n"/>
      <c r="AO2563" s="14">
        <f>IF($AF2563="保留中",COUNTIF($AF$6:$AF2563,"保留中"),"")</f>
        <v/>
      </c>
      <c r="AP2563" s="14">
        <f>IF($AQ2563="","",IF(SUMPRODUCT(MAX((職員マスタ!$A$6:$A$405=$B2563)*(((職員マスタ!$G$6:$G$405="")+(職員マスタ!$G$6:$G$405&lt;=EOMONTH($AQ2563,0)))&gt;0)*(((職員マスタ!$H$6:$H$405="")+(職員マスタ!$H$6:$H$405&gt;=$AQ2563))&gt;0)*(ROW(職員マスタ!$A$6:$A$405)-5)))&gt;0,SUMPRODUCT(MAX((職員マスタ!$A$6:$A$405=$B2563)*(((職員マスタ!$G$6:$G$405="")+(職員マスタ!$G$6:$G$405&lt;=EOMONTH($AQ2563,0)))&gt;0)*(((職員マスタ!$H$6:$H$405="")+(職員マスタ!$H$6:$H$405&gt;=$AQ2563))&gt;0)*(ROW(職員マスタ!$A$6:$A$405)-5))),IFERROR(MATCH($B2563,職員マスタ!$A$6:$A$405,0),"")))</f>
        <v/>
      </c>
      <c r="AQ2563" s="16">
        <f>IF(OR($B2563="",$C2563="",$D2563=""),"",DATE($C2563+2018,$D2563,1))</f>
        <v/>
      </c>
    </row>
    <row r="2564">
      <c r="A2564" s="11" t="n"/>
      <c r="B2564" s="12" t="n"/>
      <c r="C2564" s="12" t="n"/>
      <c r="D2564" s="12" t="n"/>
      <c r="E2564" s="13" t="n"/>
      <c r="F2564" s="12" t="n"/>
      <c r="G2564" s="13" t="n"/>
      <c r="H2564" s="12" t="n"/>
      <c r="I2564" s="12" t="n"/>
      <c r="J2564" s="12" t="n"/>
      <c r="K2564" s="12" t="n"/>
      <c r="L2564" s="11" t="n"/>
      <c r="M2564" s="11" t="n"/>
      <c r="N2564" s="11" t="n"/>
      <c r="O2564" s="11" t="n"/>
      <c r="P2564" s="12" t="n"/>
      <c r="Q2564" s="11" t="n"/>
      <c r="R2564" s="12" t="n"/>
      <c r="S2564" s="11" t="n"/>
      <c r="T2564" s="12" t="n"/>
      <c r="U2564" s="12" t="n"/>
      <c r="V2564" s="12" t="n"/>
      <c r="W2564" s="13" t="n"/>
      <c r="X2564" s="14">
        <f>IF($AP2564="",IF($B2564="","",$H2564),IF(INDEX(職員マスタ!$B$6:$B$405,$AP2564)="",$H2564,INDEX(職員マスタ!$B$6:$B$405,$AP2564)))</f>
        <v/>
      </c>
      <c r="Y2564" s="14">
        <f>IF($AP2564="",IF($B2564="","",$R2564),IF(INDEX(職員マスタ!$C$6:$C$405,$AP2564)="",$R2564,INDEX(職員マスタ!$C$6:$C$405,$AP2564)))</f>
        <v/>
      </c>
      <c r="Z2564" s="14">
        <f>IF($AQ2564="","","R"&amp;$C2564&amp;"."&amp;$D2564)</f>
        <v/>
      </c>
      <c r="AA2564" s="15">
        <f>IF(IF($AP2564="",FALSE,INDEX(職員マスタ!$K$6:$K$405,$AP2564)&lt;&gt;""),INDEX(職員マスタ!$K$6:$K$405,$AP2564),IF(N($W2564)&gt;0,$W2564,""))</f>
        <v/>
      </c>
      <c r="AB2564" s="14">
        <f>IF(OR($E2564="",$AA2564=""),"",IF($E2564&gt;=$AA2564,"×",IF($E2564&gt;=$AA2564*設定!$C$5,"△","○")))</f>
        <v/>
      </c>
      <c r="AC2564" s="15">
        <f>IF($AB2564="","",IF($AB2564="×",0,IF($AB2564="○",ROUNDDOWN($E2564*設定!$C$4,0),ROUNDDOWN($E2564*ROUND((9*$AA2564-9*$E2564)/(10*$E2564),4),0))))</f>
        <v/>
      </c>
      <c r="AD2564" s="13" t="n"/>
      <c r="AE2564" s="15">
        <f>IF($B2564="","",IF($AD2564&lt;&gt;"",$AD2564,IF($AC2564="","",IF($AC2564&lt;=設定!$C$3,0,$AC2564))))</f>
        <v/>
      </c>
      <c r="AF2564" s="14">
        <f>IF($B2564="","",IF(AND($AG2564&lt;&gt;"",$AI2564="",$AL2564=""),"保留中",IF($AL2564&lt;&gt;"",IF(N($AE2564)&gt;0,"支給済","不支給"),IF($AE2564="","要確認",IF($AE2564=0,"不支給","未処理")))))</f>
        <v/>
      </c>
      <c r="AG2564" s="12" t="n"/>
      <c r="AH2564" s="11" t="n"/>
      <c r="AI2564" s="11" t="n"/>
      <c r="AJ2564" s="11" t="n"/>
      <c r="AK2564" s="14">
        <f>IF(AND($AF2564="保留中",$AH2564&lt;&gt;""),TODAY()-$AH2564,"")</f>
        <v/>
      </c>
      <c r="AL2564" s="12" t="n"/>
      <c r="AM2564" s="14">
        <f>IF($B2564="","",IF($AQ2564="","対象年月が未入力／","")&amp;IF($B2564="","",IF($AP2564="","職員マスタに未登録の職員番号／",IF($AA2564="","標準報酬月額が未登録／","")&amp;IF(AND($AQ2564&lt;&gt;"",OR(AND(INDEX(職員マスタ!$G$6:$G$405,$AP2564)&lt;&gt;"",INDEX(職員マスタ!$G$6:$G$405,$AP2564)&gt;EOMONTH($AQ2564,0)),AND(INDEX(職員マスタ!$H$6:$H$405,$AP2564)&lt;&gt;"",INDEX(職員マスタ!$H$6:$H$405,$AP2564)&lt;$AQ2564))),"対象月が時短期間外／","")&amp;IF(AND(INDEX(職員マスタ!$K$6:$K$405,$AP2564)&lt;&gt;"",N($W2564)&gt;0,INDEX(職員マスタ!$K$6:$K$405,$AP2564)&lt;&gt;$W2564),"標準報酬月額が申請書と相違（台帳"&amp;TEXT(INDEX(職員マスタ!$K$6:$K$405,$AP2564),"#,##0")&amp;"円／申請書"&amp;TEXT($W2564,"#,##0")&amp;"円）／","")&amp;IF(AND(INDEX(職員マスタ!$F$6:$F$405,$AP2564)&lt;&gt;"",$AQ2564&lt;&gt;"",INDEX(職員マスタ!$F$6:$F$405,$AP2564)&lt;$AQ2564),"対象月に子が2歳到達済／","")&amp;IF(AND($H2564&lt;&gt;"",INDEX(職員マスタ!$B$6:$B$405,$AP2564)&lt;&gt;"",SUBSTITUTE(SUBSTITUTE($H2564," ","")," ","")&lt;&gt;SUBSTITUTE(SUBSTITUTE(INDEX(職員マスタ!$B$6:$B$405,$AP2564)," ","")," ","")),"氏名がマスタと相違／","")&amp;IF(AND($Q2564&lt;&gt;"",INDEX(職員マスタ!$E$6:$E$405,$AP2564)&lt;&gt;"",$Q2564&lt;&gt;INDEX(職員マスタ!$E$6:$E$405,$AP2564)),"子の生年月日がマスタと相違／","")&amp;IF(AND($L2564&lt;&gt;"",INDEX(職員マスタ!$G$6:$G$405,$AP2564)&lt;&gt;"",$L2564&lt;&gt;INDEX(職員マスタ!$G$6:$G$405,$AP2564)),"時短開始日がマスタと相違／","")&amp;IF(AND($M2564&lt;&gt;"",INDEX(職員マスタ!$H$6:$H$405,$AP2564)&lt;&gt;"",$M2564&lt;&gt;INDEX(職員マスタ!$H$6:$H$405,$AP2564)),"時短終了日がマスタと相違／","")))&amp;IF(AND($B2564&lt;&gt;"",$E2564=""),"報酬額が未入力／","")&amp;IF(N($U2564)&gt;0,"申請書に入力エラーが残っています／","")&amp;IF(AND($B2564&lt;&gt;"",$AQ2564&lt;&gt;""),IF(COUNTIFS($B$6:$B$3005,$B2564,$C$6:$C$3005,$C2564,$D$6:$D$3005,$D2564)&gt;1,"同じ月の請求が重複しています／",""),"")&amp;IF(AND(N($E2564)&gt;0,$AB2564&lt;&gt;"",$AB2564&lt;&gt;"×",$AE2564=0,$AD2564=""),"計算額が下限以下のため不支給／",""))</f>
        <v/>
      </c>
      <c r="AN2564" s="12" t="n"/>
      <c r="AO2564" s="14">
        <f>IF($AF2564="保留中",COUNTIF($AF$6:$AF2564,"保留中"),"")</f>
        <v/>
      </c>
      <c r="AP2564" s="14">
        <f>IF($AQ2564="","",IF(SUMPRODUCT(MAX((職員マスタ!$A$6:$A$405=$B2564)*(((職員マスタ!$G$6:$G$405="")+(職員マスタ!$G$6:$G$405&lt;=EOMONTH($AQ2564,0)))&gt;0)*(((職員マスタ!$H$6:$H$405="")+(職員マスタ!$H$6:$H$405&gt;=$AQ2564))&gt;0)*(ROW(職員マスタ!$A$6:$A$405)-5)))&gt;0,SUMPRODUCT(MAX((職員マスタ!$A$6:$A$405=$B2564)*(((職員マスタ!$G$6:$G$405="")+(職員マスタ!$G$6:$G$405&lt;=EOMONTH($AQ2564,0)))&gt;0)*(((職員マスタ!$H$6:$H$405="")+(職員マスタ!$H$6:$H$405&gt;=$AQ2564))&gt;0)*(ROW(職員マスタ!$A$6:$A$405)-5))),IFERROR(MATCH($B2564,職員マスタ!$A$6:$A$405,0),"")))</f>
        <v/>
      </c>
      <c r="AQ2564" s="16">
        <f>IF(OR($B2564="",$C2564="",$D2564=""),"",DATE($C2564+2018,$D2564,1))</f>
        <v/>
      </c>
    </row>
    <row r="2565">
      <c r="A2565" s="11" t="n"/>
      <c r="B2565" s="12" t="n"/>
      <c r="C2565" s="12" t="n"/>
      <c r="D2565" s="12" t="n"/>
      <c r="E2565" s="13" t="n"/>
      <c r="F2565" s="12" t="n"/>
      <c r="G2565" s="13" t="n"/>
      <c r="H2565" s="12" t="n"/>
      <c r="I2565" s="12" t="n"/>
      <c r="J2565" s="12" t="n"/>
      <c r="K2565" s="12" t="n"/>
      <c r="L2565" s="11" t="n"/>
      <c r="M2565" s="11" t="n"/>
      <c r="N2565" s="11" t="n"/>
      <c r="O2565" s="11" t="n"/>
      <c r="P2565" s="12" t="n"/>
      <c r="Q2565" s="11" t="n"/>
      <c r="R2565" s="12" t="n"/>
      <c r="S2565" s="11" t="n"/>
      <c r="T2565" s="12" t="n"/>
      <c r="U2565" s="12" t="n"/>
      <c r="V2565" s="12" t="n"/>
      <c r="W2565" s="13" t="n"/>
      <c r="X2565" s="14">
        <f>IF($AP2565="",IF($B2565="","",$H2565),IF(INDEX(職員マスタ!$B$6:$B$405,$AP2565)="",$H2565,INDEX(職員マスタ!$B$6:$B$405,$AP2565)))</f>
        <v/>
      </c>
      <c r="Y2565" s="14">
        <f>IF($AP2565="",IF($B2565="","",$R2565),IF(INDEX(職員マスタ!$C$6:$C$405,$AP2565)="",$R2565,INDEX(職員マスタ!$C$6:$C$405,$AP2565)))</f>
        <v/>
      </c>
      <c r="Z2565" s="14">
        <f>IF($AQ2565="","","R"&amp;$C2565&amp;"."&amp;$D2565)</f>
        <v/>
      </c>
      <c r="AA2565" s="15">
        <f>IF(IF($AP2565="",FALSE,INDEX(職員マスタ!$K$6:$K$405,$AP2565)&lt;&gt;""),INDEX(職員マスタ!$K$6:$K$405,$AP2565),IF(N($W2565)&gt;0,$W2565,""))</f>
        <v/>
      </c>
      <c r="AB2565" s="14">
        <f>IF(OR($E2565="",$AA2565=""),"",IF($E2565&gt;=$AA2565,"×",IF($E2565&gt;=$AA2565*設定!$C$5,"△","○")))</f>
        <v/>
      </c>
      <c r="AC2565" s="15">
        <f>IF($AB2565="","",IF($AB2565="×",0,IF($AB2565="○",ROUNDDOWN($E2565*設定!$C$4,0),ROUNDDOWN($E2565*ROUND((9*$AA2565-9*$E2565)/(10*$E2565),4),0))))</f>
        <v/>
      </c>
      <c r="AD2565" s="13" t="n"/>
      <c r="AE2565" s="15">
        <f>IF($B2565="","",IF($AD2565&lt;&gt;"",$AD2565,IF($AC2565="","",IF($AC2565&lt;=設定!$C$3,0,$AC2565))))</f>
        <v/>
      </c>
      <c r="AF2565" s="14">
        <f>IF($B2565="","",IF(AND($AG2565&lt;&gt;"",$AI2565="",$AL2565=""),"保留中",IF($AL2565&lt;&gt;"",IF(N($AE2565)&gt;0,"支給済","不支給"),IF($AE2565="","要確認",IF($AE2565=0,"不支給","未処理")))))</f>
        <v/>
      </c>
      <c r="AG2565" s="12" t="n"/>
      <c r="AH2565" s="11" t="n"/>
      <c r="AI2565" s="11" t="n"/>
      <c r="AJ2565" s="11" t="n"/>
      <c r="AK2565" s="14">
        <f>IF(AND($AF2565="保留中",$AH2565&lt;&gt;""),TODAY()-$AH2565,"")</f>
        <v/>
      </c>
      <c r="AL2565" s="12" t="n"/>
      <c r="AM2565" s="14">
        <f>IF($B2565="","",IF($AQ2565="","対象年月が未入力／","")&amp;IF($B2565="","",IF($AP2565="","職員マスタに未登録の職員番号／",IF($AA2565="","標準報酬月額が未登録／","")&amp;IF(AND($AQ2565&lt;&gt;"",OR(AND(INDEX(職員マスタ!$G$6:$G$405,$AP2565)&lt;&gt;"",INDEX(職員マスタ!$G$6:$G$405,$AP2565)&gt;EOMONTH($AQ2565,0)),AND(INDEX(職員マスタ!$H$6:$H$405,$AP2565)&lt;&gt;"",INDEX(職員マスタ!$H$6:$H$405,$AP2565)&lt;$AQ2565))),"対象月が時短期間外／","")&amp;IF(AND(INDEX(職員マスタ!$K$6:$K$405,$AP2565)&lt;&gt;"",N($W2565)&gt;0,INDEX(職員マスタ!$K$6:$K$405,$AP2565)&lt;&gt;$W2565),"標準報酬月額が申請書と相違（台帳"&amp;TEXT(INDEX(職員マスタ!$K$6:$K$405,$AP2565),"#,##0")&amp;"円／申請書"&amp;TEXT($W2565,"#,##0")&amp;"円）／","")&amp;IF(AND(INDEX(職員マスタ!$F$6:$F$405,$AP2565)&lt;&gt;"",$AQ2565&lt;&gt;"",INDEX(職員マスタ!$F$6:$F$405,$AP2565)&lt;$AQ2565),"対象月に子が2歳到達済／","")&amp;IF(AND($H2565&lt;&gt;"",INDEX(職員マスタ!$B$6:$B$405,$AP2565)&lt;&gt;"",SUBSTITUTE(SUBSTITUTE($H2565," ","")," ","")&lt;&gt;SUBSTITUTE(SUBSTITUTE(INDEX(職員マスタ!$B$6:$B$405,$AP2565)," ","")," ","")),"氏名がマスタと相違／","")&amp;IF(AND($Q2565&lt;&gt;"",INDEX(職員マスタ!$E$6:$E$405,$AP2565)&lt;&gt;"",$Q2565&lt;&gt;INDEX(職員マスタ!$E$6:$E$405,$AP2565)),"子の生年月日がマスタと相違／","")&amp;IF(AND($L2565&lt;&gt;"",INDEX(職員マスタ!$G$6:$G$405,$AP2565)&lt;&gt;"",$L2565&lt;&gt;INDEX(職員マスタ!$G$6:$G$405,$AP2565)),"時短開始日がマスタと相違／","")&amp;IF(AND($M2565&lt;&gt;"",INDEX(職員マスタ!$H$6:$H$405,$AP2565)&lt;&gt;"",$M2565&lt;&gt;INDEX(職員マスタ!$H$6:$H$405,$AP2565)),"時短終了日がマスタと相違／","")))&amp;IF(AND($B2565&lt;&gt;"",$E2565=""),"報酬額が未入力／","")&amp;IF(N($U2565)&gt;0,"申請書に入力エラーが残っています／","")&amp;IF(AND($B2565&lt;&gt;"",$AQ2565&lt;&gt;""),IF(COUNTIFS($B$6:$B$3005,$B2565,$C$6:$C$3005,$C2565,$D$6:$D$3005,$D2565)&gt;1,"同じ月の請求が重複しています／",""),"")&amp;IF(AND(N($E2565)&gt;0,$AB2565&lt;&gt;"",$AB2565&lt;&gt;"×",$AE2565=0,$AD2565=""),"計算額が下限以下のため不支給／",""))</f>
        <v/>
      </c>
      <c r="AN2565" s="12" t="n"/>
      <c r="AO2565" s="14">
        <f>IF($AF2565="保留中",COUNTIF($AF$6:$AF2565,"保留中"),"")</f>
        <v/>
      </c>
      <c r="AP2565" s="14">
        <f>IF($AQ2565="","",IF(SUMPRODUCT(MAX((職員マスタ!$A$6:$A$405=$B2565)*(((職員マスタ!$G$6:$G$405="")+(職員マスタ!$G$6:$G$405&lt;=EOMONTH($AQ2565,0)))&gt;0)*(((職員マスタ!$H$6:$H$405="")+(職員マスタ!$H$6:$H$405&gt;=$AQ2565))&gt;0)*(ROW(職員マスタ!$A$6:$A$405)-5)))&gt;0,SUMPRODUCT(MAX((職員マスタ!$A$6:$A$405=$B2565)*(((職員マスタ!$G$6:$G$405="")+(職員マスタ!$G$6:$G$405&lt;=EOMONTH($AQ2565,0)))&gt;0)*(((職員マスタ!$H$6:$H$405="")+(職員マスタ!$H$6:$H$405&gt;=$AQ2565))&gt;0)*(ROW(職員マスタ!$A$6:$A$405)-5))),IFERROR(MATCH($B2565,職員マスタ!$A$6:$A$405,0),"")))</f>
        <v/>
      </c>
      <c r="AQ2565" s="16">
        <f>IF(OR($B2565="",$C2565="",$D2565=""),"",DATE($C2565+2018,$D2565,1))</f>
        <v/>
      </c>
    </row>
    <row r="2566">
      <c r="A2566" s="11" t="n"/>
      <c r="B2566" s="12" t="n"/>
      <c r="C2566" s="12" t="n"/>
      <c r="D2566" s="12" t="n"/>
      <c r="E2566" s="13" t="n"/>
      <c r="F2566" s="12" t="n"/>
      <c r="G2566" s="13" t="n"/>
      <c r="H2566" s="12" t="n"/>
      <c r="I2566" s="12" t="n"/>
      <c r="J2566" s="12" t="n"/>
      <c r="K2566" s="12" t="n"/>
      <c r="L2566" s="11" t="n"/>
      <c r="M2566" s="11" t="n"/>
      <c r="N2566" s="11" t="n"/>
      <c r="O2566" s="11" t="n"/>
      <c r="P2566" s="12" t="n"/>
      <c r="Q2566" s="11" t="n"/>
      <c r="R2566" s="12" t="n"/>
      <c r="S2566" s="11" t="n"/>
      <c r="T2566" s="12" t="n"/>
      <c r="U2566" s="12" t="n"/>
      <c r="V2566" s="12" t="n"/>
      <c r="W2566" s="13" t="n"/>
      <c r="X2566" s="14">
        <f>IF($AP2566="",IF($B2566="","",$H2566),IF(INDEX(職員マスタ!$B$6:$B$405,$AP2566)="",$H2566,INDEX(職員マスタ!$B$6:$B$405,$AP2566)))</f>
        <v/>
      </c>
      <c r="Y2566" s="14">
        <f>IF($AP2566="",IF($B2566="","",$R2566),IF(INDEX(職員マスタ!$C$6:$C$405,$AP2566)="",$R2566,INDEX(職員マスタ!$C$6:$C$405,$AP2566)))</f>
        <v/>
      </c>
      <c r="Z2566" s="14">
        <f>IF($AQ2566="","","R"&amp;$C2566&amp;"."&amp;$D2566)</f>
        <v/>
      </c>
      <c r="AA2566" s="15">
        <f>IF(IF($AP2566="",FALSE,INDEX(職員マスタ!$K$6:$K$405,$AP2566)&lt;&gt;""),INDEX(職員マスタ!$K$6:$K$405,$AP2566),IF(N($W2566)&gt;0,$W2566,""))</f>
        <v/>
      </c>
      <c r="AB2566" s="14">
        <f>IF(OR($E2566="",$AA2566=""),"",IF($E2566&gt;=$AA2566,"×",IF($E2566&gt;=$AA2566*設定!$C$5,"△","○")))</f>
        <v/>
      </c>
      <c r="AC2566" s="15">
        <f>IF($AB2566="","",IF($AB2566="×",0,IF($AB2566="○",ROUNDDOWN($E2566*設定!$C$4,0),ROUNDDOWN($E2566*ROUND((9*$AA2566-9*$E2566)/(10*$E2566),4),0))))</f>
        <v/>
      </c>
      <c r="AD2566" s="13" t="n"/>
      <c r="AE2566" s="15">
        <f>IF($B2566="","",IF($AD2566&lt;&gt;"",$AD2566,IF($AC2566="","",IF($AC2566&lt;=設定!$C$3,0,$AC2566))))</f>
        <v/>
      </c>
      <c r="AF2566" s="14">
        <f>IF($B2566="","",IF(AND($AG2566&lt;&gt;"",$AI2566="",$AL2566=""),"保留中",IF($AL2566&lt;&gt;"",IF(N($AE2566)&gt;0,"支給済","不支給"),IF($AE2566="","要確認",IF($AE2566=0,"不支給","未処理")))))</f>
        <v/>
      </c>
      <c r="AG2566" s="12" t="n"/>
      <c r="AH2566" s="11" t="n"/>
      <c r="AI2566" s="11" t="n"/>
      <c r="AJ2566" s="11" t="n"/>
      <c r="AK2566" s="14">
        <f>IF(AND($AF2566="保留中",$AH2566&lt;&gt;""),TODAY()-$AH2566,"")</f>
        <v/>
      </c>
      <c r="AL2566" s="12" t="n"/>
      <c r="AM2566" s="14">
        <f>IF($B2566="","",IF($AQ2566="","対象年月が未入力／","")&amp;IF($B2566="","",IF($AP2566="","職員マスタに未登録の職員番号／",IF($AA2566="","標準報酬月額が未登録／","")&amp;IF(AND($AQ2566&lt;&gt;"",OR(AND(INDEX(職員マスタ!$G$6:$G$405,$AP2566)&lt;&gt;"",INDEX(職員マスタ!$G$6:$G$405,$AP2566)&gt;EOMONTH($AQ2566,0)),AND(INDEX(職員マスタ!$H$6:$H$405,$AP2566)&lt;&gt;"",INDEX(職員マスタ!$H$6:$H$405,$AP2566)&lt;$AQ2566))),"対象月が時短期間外／","")&amp;IF(AND(INDEX(職員マスタ!$K$6:$K$405,$AP2566)&lt;&gt;"",N($W2566)&gt;0,INDEX(職員マスタ!$K$6:$K$405,$AP2566)&lt;&gt;$W2566),"標準報酬月額が申請書と相違（台帳"&amp;TEXT(INDEX(職員マスタ!$K$6:$K$405,$AP2566),"#,##0")&amp;"円／申請書"&amp;TEXT($W2566,"#,##0")&amp;"円）／","")&amp;IF(AND(INDEX(職員マスタ!$F$6:$F$405,$AP2566)&lt;&gt;"",$AQ2566&lt;&gt;"",INDEX(職員マスタ!$F$6:$F$405,$AP2566)&lt;$AQ2566),"対象月に子が2歳到達済／","")&amp;IF(AND($H2566&lt;&gt;"",INDEX(職員マスタ!$B$6:$B$405,$AP2566)&lt;&gt;"",SUBSTITUTE(SUBSTITUTE($H2566," ","")," ","")&lt;&gt;SUBSTITUTE(SUBSTITUTE(INDEX(職員マスタ!$B$6:$B$405,$AP2566)," ","")," ","")),"氏名がマスタと相違／","")&amp;IF(AND($Q2566&lt;&gt;"",INDEX(職員マスタ!$E$6:$E$405,$AP2566)&lt;&gt;"",$Q2566&lt;&gt;INDEX(職員マスタ!$E$6:$E$405,$AP2566)),"子の生年月日がマスタと相違／","")&amp;IF(AND($L2566&lt;&gt;"",INDEX(職員マスタ!$G$6:$G$405,$AP2566)&lt;&gt;"",$L2566&lt;&gt;INDEX(職員マスタ!$G$6:$G$405,$AP2566)),"時短開始日がマスタと相違／","")&amp;IF(AND($M2566&lt;&gt;"",INDEX(職員マスタ!$H$6:$H$405,$AP2566)&lt;&gt;"",$M2566&lt;&gt;INDEX(職員マスタ!$H$6:$H$405,$AP2566)),"時短終了日がマスタと相違／","")))&amp;IF(AND($B2566&lt;&gt;"",$E2566=""),"報酬額が未入力／","")&amp;IF(N($U2566)&gt;0,"申請書に入力エラーが残っています／","")&amp;IF(AND($B2566&lt;&gt;"",$AQ2566&lt;&gt;""),IF(COUNTIFS($B$6:$B$3005,$B2566,$C$6:$C$3005,$C2566,$D$6:$D$3005,$D2566)&gt;1,"同じ月の請求が重複しています／",""),"")&amp;IF(AND(N($E2566)&gt;0,$AB2566&lt;&gt;"",$AB2566&lt;&gt;"×",$AE2566=0,$AD2566=""),"計算額が下限以下のため不支給／",""))</f>
        <v/>
      </c>
      <c r="AN2566" s="12" t="n"/>
      <c r="AO2566" s="14">
        <f>IF($AF2566="保留中",COUNTIF($AF$6:$AF2566,"保留中"),"")</f>
        <v/>
      </c>
      <c r="AP2566" s="14">
        <f>IF($AQ2566="","",IF(SUMPRODUCT(MAX((職員マスタ!$A$6:$A$405=$B2566)*(((職員マスタ!$G$6:$G$405="")+(職員マスタ!$G$6:$G$405&lt;=EOMONTH($AQ2566,0)))&gt;0)*(((職員マスタ!$H$6:$H$405="")+(職員マスタ!$H$6:$H$405&gt;=$AQ2566))&gt;0)*(ROW(職員マスタ!$A$6:$A$405)-5)))&gt;0,SUMPRODUCT(MAX((職員マスタ!$A$6:$A$405=$B2566)*(((職員マスタ!$G$6:$G$405="")+(職員マスタ!$G$6:$G$405&lt;=EOMONTH($AQ2566,0)))&gt;0)*(((職員マスタ!$H$6:$H$405="")+(職員マスタ!$H$6:$H$405&gt;=$AQ2566))&gt;0)*(ROW(職員マスタ!$A$6:$A$405)-5))),IFERROR(MATCH($B2566,職員マスタ!$A$6:$A$405,0),"")))</f>
        <v/>
      </c>
      <c r="AQ2566" s="16">
        <f>IF(OR($B2566="",$C2566="",$D2566=""),"",DATE($C2566+2018,$D2566,1))</f>
        <v/>
      </c>
    </row>
    <row r="2567">
      <c r="A2567" s="11" t="n"/>
      <c r="B2567" s="12" t="n"/>
      <c r="C2567" s="12" t="n"/>
      <c r="D2567" s="12" t="n"/>
      <c r="E2567" s="13" t="n"/>
      <c r="F2567" s="12" t="n"/>
      <c r="G2567" s="13" t="n"/>
      <c r="H2567" s="12" t="n"/>
      <c r="I2567" s="12" t="n"/>
      <c r="J2567" s="12" t="n"/>
      <c r="K2567" s="12" t="n"/>
      <c r="L2567" s="11" t="n"/>
      <c r="M2567" s="11" t="n"/>
      <c r="N2567" s="11" t="n"/>
      <c r="O2567" s="11" t="n"/>
      <c r="P2567" s="12" t="n"/>
      <c r="Q2567" s="11" t="n"/>
      <c r="R2567" s="12" t="n"/>
      <c r="S2567" s="11" t="n"/>
      <c r="T2567" s="12" t="n"/>
      <c r="U2567" s="12" t="n"/>
      <c r="V2567" s="12" t="n"/>
      <c r="W2567" s="13" t="n"/>
      <c r="X2567" s="14">
        <f>IF($AP2567="",IF($B2567="","",$H2567),IF(INDEX(職員マスタ!$B$6:$B$405,$AP2567)="",$H2567,INDEX(職員マスタ!$B$6:$B$405,$AP2567)))</f>
        <v/>
      </c>
      <c r="Y2567" s="14">
        <f>IF($AP2567="",IF($B2567="","",$R2567),IF(INDEX(職員マスタ!$C$6:$C$405,$AP2567)="",$R2567,INDEX(職員マスタ!$C$6:$C$405,$AP2567)))</f>
        <v/>
      </c>
      <c r="Z2567" s="14">
        <f>IF($AQ2567="","","R"&amp;$C2567&amp;"."&amp;$D2567)</f>
        <v/>
      </c>
      <c r="AA2567" s="15">
        <f>IF(IF($AP2567="",FALSE,INDEX(職員マスタ!$K$6:$K$405,$AP2567)&lt;&gt;""),INDEX(職員マスタ!$K$6:$K$405,$AP2567),IF(N($W2567)&gt;0,$W2567,""))</f>
        <v/>
      </c>
      <c r="AB2567" s="14">
        <f>IF(OR($E2567="",$AA2567=""),"",IF($E2567&gt;=$AA2567,"×",IF($E2567&gt;=$AA2567*設定!$C$5,"△","○")))</f>
        <v/>
      </c>
      <c r="AC2567" s="15">
        <f>IF($AB2567="","",IF($AB2567="×",0,IF($AB2567="○",ROUNDDOWN($E2567*設定!$C$4,0),ROUNDDOWN($E2567*ROUND((9*$AA2567-9*$E2567)/(10*$E2567),4),0))))</f>
        <v/>
      </c>
      <c r="AD2567" s="13" t="n"/>
      <c r="AE2567" s="15">
        <f>IF($B2567="","",IF($AD2567&lt;&gt;"",$AD2567,IF($AC2567="","",IF($AC2567&lt;=設定!$C$3,0,$AC2567))))</f>
        <v/>
      </c>
      <c r="AF2567" s="14">
        <f>IF($B2567="","",IF(AND($AG2567&lt;&gt;"",$AI2567="",$AL2567=""),"保留中",IF($AL2567&lt;&gt;"",IF(N($AE2567)&gt;0,"支給済","不支給"),IF($AE2567="","要確認",IF($AE2567=0,"不支給","未処理")))))</f>
        <v/>
      </c>
      <c r="AG2567" s="12" t="n"/>
      <c r="AH2567" s="11" t="n"/>
      <c r="AI2567" s="11" t="n"/>
      <c r="AJ2567" s="11" t="n"/>
      <c r="AK2567" s="14">
        <f>IF(AND($AF2567="保留中",$AH2567&lt;&gt;""),TODAY()-$AH2567,"")</f>
        <v/>
      </c>
      <c r="AL2567" s="12" t="n"/>
      <c r="AM2567" s="14">
        <f>IF($B2567="","",IF($AQ2567="","対象年月が未入力／","")&amp;IF($B2567="","",IF($AP2567="","職員マスタに未登録の職員番号／",IF($AA2567="","標準報酬月額が未登録／","")&amp;IF(AND($AQ2567&lt;&gt;"",OR(AND(INDEX(職員マスタ!$G$6:$G$405,$AP2567)&lt;&gt;"",INDEX(職員マスタ!$G$6:$G$405,$AP2567)&gt;EOMONTH($AQ2567,0)),AND(INDEX(職員マスタ!$H$6:$H$405,$AP2567)&lt;&gt;"",INDEX(職員マスタ!$H$6:$H$405,$AP2567)&lt;$AQ2567))),"対象月が時短期間外／","")&amp;IF(AND(INDEX(職員マスタ!$K$6:$K$405,$AP2567)&lt;&gt;"",N($W2567)&gt;0,INDEX(職員マスタ!$K$6:$K$405,$AP2567)&lt;&gt;$W2567),"標準報酬月額が申請書と相違（台帳"&amp;TEXT(INDEX(職員マスタ!$K$6:$K$405,$AP2567),"#,##0")&amp;"円／申請書"&amp;TEXT($W2567,"#,##0")&amp;"円）／","")&amp;IF(AND(INDEX(職員マスタ!$F$6:$F$405,$AP2567)&lt;&gt;"",$AQ2567&lt;&gt;"",INDEX(職員マスタ!$F$6:$F$405,$AP2567)&lt;$AQ2567),"対象月に子が2歳到達済／","")&amp;IF(AND($H2567&lt;&gt;"",INDEX(職員マスタ!$B$6:$B$405,$AP2567)&lt;&gt;"",SUBSTITUTE(SUBSTITUTE($H2567," ","")," ","")&lt;&gt;SUBSTITUTE(SUBSTITUTE(INDEX(職員マスタ!$B$6:$B$405,$AP2567)," ","")," ","")),"氏名がマスタと相違／","")&amp;IF(AND($Q2567&lt;&gt;"",INDEX(職員マスタ!$E$6:$E$405,$AP2567)&lt;&gt;"",$Q2567&lt;&gt;INDEX(職員マスタ!$E$6:$E$405,$AP2567)),"子の生年月日がマスタと相違／","")&amp;IF(AND($L2567&lt;&gt;"",INDEX(職員マスタ!$G$6:$G$405,$AP2567)&lt;&gt;"",$L2567&lt;&gt;INDEX(職員マスタ!$G$6:$G$405,$AP2567)),"時短開始日がマスタと相違／","")&amp;IF(AND($M2567&lt;&gt;"",INDEX(職員マスタ!$H$6:$H$405,$AP2567)&lt;&gt;"",$M2567&lt;&gt;INDEX(職員マスタ!$H$6:$H$405,$AP2567)),"時短終了日がマスタと相違／","")))&amp;IF(AND($B2567&lt;&gt;"",$E2567=""),"報酬額が未入力／","")&amp;IF(N($U2567)&gt;0,"申請書に入力エラーが残っています／","")&amp;IF(AND($B2567&lt;&gt;"",$AQ2567&lt;&gt;""),IF(COUNTIFS($B$6:$B$3005,$B2567,$C$6:$C$3005,$C2567,$D$6:$D$3005,$D2567)&gt;1,"同じ月の請求が重複しています／",""),"")&amp;IF(AND(N($E2567)&gt;0,$AB2567&lt;&gt;"",$AB2567&lt;&gt;"×",$AE2567=0,$AD2567=""),"計算額が下限以下のため不支給／",""))</f>
        <v/>
      </c>
      <c r="AN2567" s="12" t="n"/>
      <c r="AO2567" s="14">
        <f>IF($AF2567="保留中",COUNTIF($AF$6:$AF2567,"保留中"),"")</f>
        <v/>
      </c>
      <c r="AP2567" s="14">
        <f>IF($AQ2567="","",IF(SUMPRODUCT(MAX((職員マスタ!$A$6:$A$405=$B2567)*(((職員マスタ!$G$6:$G$405="")+(職員マスタ!$G$6:$G$405&lt;=EOMONTH($AQ2567,0)))&gt;0)*(((職員マスタ!$H$6:$H$405="")+(職員マスタ!$H$6:$H$405&gt;=$AQ2567))&gt;0)*(ROW(職員マスタ!$A$6:$A$405)-5)))&gt;0,SUMPRODUCT(MAX((職員マスタ!$A$6:$A$405=$B2567)*(((職員マスタ!$G$6:$G$405="")+(職員マスタ!$G$6:$G$405&lt;=EOMONTH($AQ2567,0)))&gt;0)*(((職員マスタ!$H$6:$H$405="")+(職員マスタ!$H$6:$H$405&gt;=$AQ2567))&gt;0)*(ROW(職員マスタ!$A$6:$A$405)-5))),IFERROR(MATCH($B2567,職員マスタ!$A$6:$A$405,0),"")))</f>
        <v/>
      </c>
      <c r="AQ2567" s="16">
        <f>IF(OR($B2567="",$C2567="",$D2567=""),"",DATE($C2567+2018,$D2567,1))</f>
        <v/>
      </c>
    </row>
    <row r="2568">
      <c r="A2568" s="11" t="n"/>
      <c r="B2568" s="12" t="n"/>
      <c r="C2568" s="12" t="n"/>
      <c r="D2568" s="12" t="n"/>
      <c r="E2568" s="13" t="n"/>
      <c r="F2568" s="12" t="n"/>
      <c r="G2568" s="13" t="n"/>
      <c r="H2568" s="12" t="n"/>
      <c r="I2568" s="12" t="n"/>
      <c r="J2568" s="12" t="n"/>
      <c r="K2568" s="12" t="n"/>
      <c r="L2568" s="11" t="n"/>
      <c r="M2568" s="11" t="n"/>
      <c r="N2568" s="11" t="n"/>
      <c r="O2568" s="11" t="n"/>
      <c r="P2568" s="12" t="n"/>
      <c r="Q2568" s="11" t="n"/>
      <c r="R2568" s="12" t="n"/>
      <c r="S2568" s="11" t="n"/>
      <c r="T2568" s="12" t="n"/>
      <c r="U2568" s="12" t="n"/>
      <c r="V2568" s="12" t="n"/>
      <c r="W2568" s="13" t="n"/>
      <c r="X2568" s="14">
        <f>IF($AP2568="",IF($B2568="","",$H2568),IF(INDEX(職員マスタ!$B$6:$B$405,$AP2568)="",$H2568,INDEX(職員マスタ!$B$6:$B$405,$AP2568)))</f>
        <v/>
      </c>
      <c r="Y2568" s="14">
        <f>IF($AP2568="",IF($B2568="","",$R2568),IF(INDEX(職員マスタ!$C$6:$C$405,$AP2568)="",$R2568,INDEX(職員マスタ!$C$6:$C$405,$AP2568)))</f>
        <v/>
      </c>
      <c r="Z2568" s="14">
        <f>IF($AQ2568="","","R"&amp;$C2568&amp;"."&amp;$D2568)</f>
        <v/>
      </c>
      <c r="AA2568" s="15">
        <f>IF(IF($AP2568="",FALSE,INDEX(職員マスタ!$K$6:$K$405,$AP2568)&lt;&gt;""),INDEX(職員マスタ!$K$6:$K$405,$AP2568),IF(N($W2568)&gt;0,$W2568,""))</f>
        <v/>
      </c>
      <c r="AB2568" s="14">
        <f>IF(OR($E2568="",$AA2568=""),"",IF($E2568&gt;=$AA2568,"×",IF($E2568&gt;=$AA2568*設定!$C$5,"△","○")))</f>
        <v/>
      </c>
      <c r="AC2568" s="15">
        <f>IF($AB2568="","",IF($AB2568="×",0,IF($AB2568="○",ROUNDDOWN($E2568*設定!$C$4,0),ROUNDDOWN($E2568*ROUND((9*$AA2568-9*$E2568)/(10*$E2568),4),0))))</f>
        <v/>
      </c>
      <c r="AD2568" s="13" t="n"/>
      <c r="AE2568" s="15">
        <f>IF($B2568="","",IF($AD2568&lt;&gt;"",$AD2568,IF($AC2568="","",IF($AC2568&lt;=設定!$C$3,0,$AC2568))))</f>
        <v/>
      </c>
      <c r="AF2568" s="14">
        <f>IF($B2568="","",IF(AND($AG2568&lt;&gt;"",$AI2568="",$AL2568=""),"保留中",IF($AL2568&lt;&gt;"",IF(N($AE2568)&gt;0,"支給済","不支給"),IF($AE2568="","要確認",IF($AE2568=0,"不支給","未処理")))))</f>
        <v/>
      </c>
      <c r="AG2568" s="12" t="n"/>
      <c r="AH2568" s="11" t="n"/>
      <c r="AI2568" s="11" t="n"/>
      <c r="AJ2568" s="11" t="n"/>
      <c r="AK2568" s="14">
        <f>IF(AND($AF2568="保留中",$AH2568&lt;&gt;""),TODAY()-$AH2568,"")</f>
        <v/>
      </c>
      <c r="AL2568" s="12" t="n"/>
      <c r="AM2568" s="14">
        <f>IF($B2568="","",IF($AQ2568="","対象年月が未入力／","")&amp;IF($B2568="","",IF($AP2568="","職員マスタに未登録の職員番号／",IF($AA2568="","標準報酬月額が未登録／","")&amp;IF(AND($AQ2568&lt;&gt;"",OR(AND(INDEX(職員マスタ!$G$6:$G$405,$AP2568)&lt;&gt;"",INDEX(職員マスタ!$G$6:$G$405,$AP2568)&gt;EOMONTH($AQ2568,0)),AND(INDEX(職員マスタ!$H$6:$H$405,$AP2568)&lt;&gt;"",INDEX(職員マスタ!$H$6:$H$405,$AP2568)&lt;$AQ2568))),"対象月が時短期間外／","")&amp;IF(AND(INDEX(職員マスタ!$K$6:$K$405,$AP2568)&lt;&gt;"",N($W2568)&gt;0,INDEX(職員マスタ!$K$6:$K$405,$AP2568)&lt;&gt;$W2568),"標準報酬月額が申請書と相違（台帳"&amp;TEXT(INDEX(職員マスタ!$K$6:$K$405,$AP2568),"#,##0")&amp;"円／申請書"&amp;TEXT($W2568,"#,##0")&amp;"円）／","")&amp;IF(AND(INDEX(職員マスタ!$F$6:$F$405,$AP2568)&lt;&gt;"",$AQ2568&lt;&gt;"",INDEX(職員マスタ!$F$6:$F$405,$AP2568)&lt;$AQ2568),"対象月に子が2歳到達済／","")&amp;IF(AND($H2568&lt;&gt;"",INDEX(職員マスタ!$B$6:$B$405,$AP2568)&lt;&gt;"",SUBSTITUTE(SUBSTITUTE($H2568," ","")," ","")&lt;&gt;SUBSTITUTE(SUBSTITUTE(INDEX(職員マスタ!$B$6:$B$405,$AP2568)," ","")," ","")),"氏名がマスタと相違／","")&amp;IF(AND($Q2568&lt;&gt;"",INDEX(職員マスタ!$E$6:$E$405,$AP2568)&lt;&gt;"",$Q2568&lt;&gt;INDEX(職員マスタ!$E$6:$E$405,$AP2568)),"子の生年月日がマスタと相違／","")&amp;IF(AND($L2568&lt;&gt;"",INDEX(職員マスタ!$G$6:$G$405,$AP2568)&lt;&gt;"",$L2568&lt;&gt;INDEX(職員マスタ!$G$6:$G$405,$AP2568)),"時短開始日がマスタと相違／","")&amp;IF(AND($M2568&lt;&gt;"",INDEX(職員マスタ!$H$6:$H$405,$AP2568)&lt;&gt;"",$M2568&lt;&gt;INDEX(職員マスタ!$H$6:$H$405,$AP2568)),"時短終了日がマスタと相違／","")))&amp;IF(AND($B2568&lt;&gt;"",$E2568=""),"報酬額が未入力／","")&amp;IF(N($U2568)&gt;0,"申請書に入力エラーが残っています／","")&amp;IF(AND($B2568&lt;&gt;"",$AQ2568&lt;&gt;""),IF(COUNTIFS($B$6:$B$3005,$B2568,$C$6:$C$3005,$C2568,$D$6:$D$3005,$D2568)&gt;1,"同じ月の請求が重複しています／",""),"")&amp;IF(AND(N($E2568)&gt;0,$AB2568&lt;&gt;"",$AB2568&lt;&gt;"×",$AE2568=0,$AD2568=""),"計算額が下限以下のため不支給／",""))</f>
        <v/>
      </c>
      <c r="AN2568" s="12" t="n"/>
      <c r="AO2568" s="14">
        <f>IF($AF2568="保留中",COUNTIF($AF$6:$AF2568,"保留中"),"")</f>
        <v/>
      </c>
      <c r="AP2568" s="14">
        <f>IF($AQ2568="","",IF(SUMPRODUCT(MAX((職員マスタ!$A$6:$A$405=$B2568)*(((職員マスタ!$G$6:$G$405="")+(職員マスタ!$G$6:$G$405&lt;=EOMONTH($AQ2568,0)))&gt;0)*(((職員マスタ!$H$6:$H$405="")+(職員マスタ!$H$6:$H$405&gt;=$AQ2568))&gt;0)*(ROW(職員マスタ!$A$6:$A$405)-5)))&gt;0,SUMPRODUCT(MAX((職員マスタ!$A$6:$A$405=$B2568)*(((職員マスタ!$G$6:$G$405="")+(職員マスタ!$G$6:$G$405&lt;=EOMONTH($AQ2568,0)))&gt;0)*(((職員マスタ!$H$6:$H$405="")+(職員マスタ!$H$6:$H$405&gt;=$AQ2568))&gt;0)*(ROW(職員マスタ!$A$6:$A$405)-5))),IFERROR(MATCH($B2568,職員マスタ!$A$6:$A$405,0),"")))</f>
        <v/>
      </c>
      <c r="AQ2568" s="16">
        <f>IF(OR($B2568="",$C2568="",$D2568=""),"",DATE($C2568+2018,$D2568,1))</f>
        <v/>
      </c>
    </row>
    <row r="2569">
      <c r="A2569" s="11" t="n"/>
      <c r="B2569" s="12" t="n"/>
      <c r="C2569" s="12" t="n"/>
      <c r="D2569" s="12" t="n"/>
      <c r="E2569" s="13" t="n"/>
      <c r="F2569" s="12" t="n"/>
      <c r="G2569" s="13" t="n"/>
      <c r="H2569" s="12" t="n"/>
      <c r="I2569" s="12" t="n"/>
      <c r="J2569" s="12" t="n"/>
      <c r="K2569" s="12" t="n"/>
      <c r="L2569" s="11" t="n"/>
      <c r="M2569" s="11" t="n"/>
      <c r="N2569" s="11" t="n"/>
      <c r="O2569" s="11" t="n"/>
      <c r="P2569" s="12" t="n"/>
      <c r="Q2569" s="11" t="n"/>
      <c r="R2569" s="12" t="n"/>
      <c r="S2569" s="11" t="n"/>
      <c r="T2569" s="12" t="n"/>
      <c r="U2569" s="12" t="n"/>
      <c r="V2569" s="12" t="n"/>
      <c r="W2569" s="13" t="n"/>
      <c r="X2569" s="14">
        <f>IF($AP2569="",IF($B2569="","",$H2569),IF(INDEX(職員マスタ!$B$6:$B$405,$AP2569)="",$H2569,INDEX(職員マスタ!$B$6:$B$405,$AP2569)))</f>
        <v/>
      </c>
      <c r="Y2569" s="14">
        <f>IF($AP2569="",IF($B2569="","",$R2569),IF(INDEX(職員マスタ!$C$6:$C$405,$AP2569)="",$R2569,INDEX(職員マスタ!$C$6:$C$405,$AP2569)))</f>
        <v/>
      </c>
      <c r="Z2569" s="14">
        <f>IF($AQ2569="","","R"&amp;$C2569&amp;"."&amp;$D2569)</f>
        <v/>
      </c>
      <c r="AA2569" s="15">
        <f>IF(IF($AP2569="",FALSE,INDEX(職員マスタ!$K$6:$K$405,$AP2569)&lt;&gt;""),INDEX(職員マスタ!$K$6:$K$405,$AP2569),IF(N($W2569)&gt;0,$W2569,""))</f>
        <v/>
      </c>
      <c r="AB2569" s="14">
        <f>IF(OR($E2569="",$AA2569=""),"",IF($E2569&gt;=$AA2569,"×",IF($E2569&gt;=$AA2569*設定!$C$5,"△","○")))</f>
        <v/>
      </c>
      <c r="AC2569" s="15">
        <f>IF($AB2569="","",IF($AB2569="×",0,IF($AB2569="○",ROUNDDOWN($E2569*設定!$C$4,0),ROUNDDOWN($E2569*ROUND((9*$AA2569-9*$E2569)/(10*$E2569),4),0))))</f>
        <v/>
      </c>
      <c r="AD2569" s="13" t="n"/>
      <c r="AE2569" s="15">
        <f>IF($B2569="","",IF($AD2569&lt;&gt;"",$AD2569,IF($AC2569="","",IF($AC2569&lt;=設定!$C$3,0,$AC2569))))</f>
        <v/>
      </c>
      <c r="AF2569" s="14">
        <f>IF($B2569="","",IF(AND($AG2569&lt;&gt;"",$AI2569="",$AL2569=""),"保留中",IF($AL2569&lt;&gt;"",IF(N($AE2569)&gt;0,"支給済","不支給"),IF($AE2569="","要確認",IF($AE2569=0,"不支給","未処理")))))</f>
        <v/>
      </c>
      <c r="AG2569" s="12" t="n"/>
      <c r="AH2569" s="11" t="n"/>
      <c r="AI2569" s="11" t="n"/>
      <c r="AJ2569" s="11" t="n"/>
      <c r="AK2569" s="14">
        <f>IF(AND($AF2569="保留中",$AH2569&lt;&gt;""),TODAY()-$AH2569,"")</f>
        <v/>
      </c>
      <c r="AL2569" s="12" t="n"/>
      <c r="AM2569" s="14">
        <f>IF($B2569="","",IF($AQ2569="","対象年月が未入力／","")&amp;IF($B2569="","",IF($AP2569="","職員マスタに未登録の職員番号／",IF($AA2569="","標準報酬月額が未登録／","")&amp;IF(AND($AQ2569&lt;&gt;"",OR(AND(INDEX(職員マスタ!$G$6:$G$405,$AP2569)&lt;&gt;"",INDEX(職員マスタ!$G$6:$G$405,$AP2569)&gt;EOMONTH($AQ2569,0)),AND(INDEX(職員マスタ!$H$6:$H$405,$AP2569)&lt;&gt;"",INDEX(職員マスタ!$H$6:$H$405,$AP2569)&lt;$AQ2569))),"対象月が時短期間外／","")&amp;IF(AND(INDEX(職員マスタ!$K$6:$K$405,$AP2569)&lt;&gt;"",N($W2569)&gt;0,INDEX(職員マスタ!$K$6:$K$405,$AP2569)&lt;&gt;$W2569),"標準報酬月額が申請書と相違（台帳"&amp;TEXT(INDEX(職員マスタ!$K$6:$K$405,$AP2569),"#,##0")&amp;"円／申請書"&amp;TEXT($W2569,"#,##0")&amp;"円）／","")&amp;IF(AND(INDEX(職員マスタ!$F$6:$F$405,$AP2569)&lt;&gt;"",$AQ2569&lt;&gt;"",INDEX(職員マスタ!$F$6:$F$405,$AP2569)&lt;$AQ2569),"対象月に子が2歳到達済／","")&amp;IF(AND($H2569&lt;&gt;"",INDEX(職員マスタ!$B$6:$B$405,$AP2569)&lt;&gt;"",SUBSTITUTE(SUBSTITUTE($H2569," ","")," ","")&lt;&gt;SUBSTITUTE(SUBSTITUTE(INDEX(職員マスタ!$B$6:$B$405,$AP2569)," ","")," ","")),"氏名がマスタと相違／","")&amp;IF(AND($Q2569&lt;&gt;"",INDEX(職員マスタ!$E$6:$E$405,$AP2569)&lt;&gt;"",$Q2569&lt;&gt;INDEX(職員マスタ!$E$6:$E$405,$AP2569)),"子の生年月日がマスタと相違／","")&amp;IF(AND($L2569&lt;&gt;"",INDEX(職員マスタ!$G$6:$G$405,$AP2569)&lt;&gt;"",$L2569&lt;&gt;INDEX(職員マスタ!$G$6:$G$405,$AP2569)),"時短開始日がマスタと相違／","")&amp;IF(AND($M2569&lt;&gt;"",INDEX(職員マスタ!$H$6:$H$405,$AP2569)&lt;&gt;"",$M2569&lt;&gt;INDEX(職員マスタ!$H$6:$H$405,$AP2569)),"時短終了日がマスタと相違／","")))&amp;IF(AND($B2569&lt;&gt;"",$E2569=""),"報酬額が未入力／","")&amp;IF(N($U2569)&gt;0,"申請書に入力エラーが残っています／","")&amp;IF(AND($B2569&lt;&gt;"",$AQ2569&lt;&gt;""),IF(COUNTIFS($B$6:$B$3005,$B2569,$C$6:$C$3005,$C2569,$D$6:$D$3005,$D2569)&gt;1,"同じ月の請求が重複しています／",""),"")&amp;IF(AND(N($E2569)&gt;0,$AB2569&lt;&gt;"",$AB2569&lt;&gt;"×",$AE2569=0,$AD2569=""),"計算額が下限以下のため不支給／",""))</f>
        <v/>
      </c>
      <c r="AN2569" s="12" t="n"/>
      <c r="AO2569" s="14">
        <f>IF($AF2569="保留中",COUNTIF($AF$6:$AF2569,"保留中"),"")</f>
        <v/>
      </c>
      <c r="AP2569" s="14">
        <f>IF($AQ2569="","",IF(SUMPRODUCT(MAX((職員マスタ!$A$6:$A$405=$B2569)*(((職員マスタ!$G$6:$G$405="")+(職員マスタ!$G$6:$G$405&lt;=EOMONTH($AQ2569,0)))&gt;0)*(((職員マスタ!$H$6:$H$405="")+(職員マスタ!$H$6:$H$405&gt;=$AQ2569))&gt;0)*(ROW(職員マスタ!$A$6:$A$405)-5)))&gt;0,SUMPRODUCT(MAX((職員マスタ!$A$6:$A$405=$B2569)*(((職員マスタ!$G$6:$G$405="")+(職員マスタ!$G$6:$G$405&lt;=EOMONTH($AQ2569,0)))&gt;0)*(((職員マスタ!$H$6:$H$405="")+(職員マスタ!$H$6:$H$405&gt;=$AQ2569))&gt;0)*(ROW(職員マスタ!$A$6:$A$405)-5))),IFERROR(MATCH($B2569,職員マスタ!$A$6:$A$405,0),"")))</f>
        <v/>
      </c>
      <c r="AQ2569" s="16">
        <f>IF(OR($B2569="",$C2569="",$D2569=""),"",DATE($C2569+2018,$D2569,1))</f>
        <v/>
      </c>
    </row>
    <row r="2570">
      <c r="A2570" s="11" t="n"/>
      <c r="B2570" s="12" t="n"/>
      <c r="C2570" s="12" t="n"/>
      <c r="D2570" s="12" t="n"/>
      <c r="E2570" s="13" t="n"/>
      <c r="F2570" s="12" t="n"/>
      <c r="G2570" s="13" t="n"/>
      <c r="H2570" s="12" t="n"/>
      <c r="I2570" s="12" t="n"/>
      <c r="J2570" s="12" t="n"/>
      <c r="K2570" s="12" t="n"/>
      <c r="L2570" s="11" t="n"/>
      <c r="M2570" s="11" t="n"/>
      <c r="N2570" s="11" t="n"/>
      <c r="O2570" s="11" t="n"/>
      <c r="P2570" s="12" t="n"/>
      <c r="Q2570" s="11" t="n"/>
      <c r="R2570" s="12" t="n"/>
      <c r="S2570" s="11" t="n"/>
      <c r="T2570" s="12" t="n"/>
      <c r="U2570" s="12" t="n"/>
      <c r="V2570" s="12" t="n"/>
      <c r="W2570" s="13" t="n"/>
      <c r="X2570" s="14">
        <f>IF($AP2570="",IF($B2570="","",$H2570),IF(INDEX(職員マスタ!$B$6:$B$405,$AP2570)="",$H2570,INDEX(職員マスタ!$B$6:$B$405,$AP2570)))</f>
        <v/>
      </c>
      <c r="Y2570" s="14">
        <f>IF($AP2570="",IF($B2570="","",$R2570),IF(INDEX(職員マスタ!$C$6:$C$405,$AP2570)="",$R2570,INDEX(職員マスタ!$C$6:$C$405,$AP2570)))</f>
        <v/>
      </c>
      <c r="Z2570" s="14">
        <f>IF($AQ2570="","","R"&amp;$C2570&amp;"."&amp;$D2570)</f>
        <v/>
      </c>
      <c r="AA2570" s="15">
        <f>IF(IF($AP2570="",FALSE,INDEX(職員マスタ!$K$6:$K$405,$AP2570)&lt;&gt;""),INDEX(職員マスタ!$K$6:$K$405,$AP2570),IF(N($W2570)&gt;0,$W2570,""))</f>
        <v/>
      </c>
      <c r="AB2570" s="14">
        <f>IF(OR($E2570="",$AA2570=""),"",IF($E2570&gt;=$AA2570,"×",IF($E2570&gt;=$AA2570*設定!$C$5,"△","○")))</f>
        <v/>
      </c>
      <c r="AC2570" s="15">
        <f>IF($AB2570="","",IF($AB2570="×",0,IF($AB2570="○",ROUNDDOWN($E2570*設定!$C$4,0),ROUNDDOWN($E2570*ROUND((9*$AA2570-9*$E2570)/(10*$E2570),4),0))))</f>
        <v/>
      </c>
      <c r="AD2570" s="13" t="n"/>
      <c r="AE2570" s="15">
        <f>IF($B2570="","",IF($AD2570&lt;&gt;"",$AD2570,IF($AC2570="","",IF($AC2570&lt;=設定!$C$3,0,$AC2570))))</f>
        <v/>
      </c>
      <c r="AF2570" s="14">
        <f>IF($B2570="","",IF(AND($AG2570&lt;&gt;"",$AI2570="",$AL2570=""),"保留中",IF($AL2570&lt;&gt;"",IF(N($AE2570)&gt;0,"支給済","不支給"),IF($AE2570="","要確認",IF($AE2570=0,"不支給","未処理")))))</f>
        <v/>
      </c>
      <c r="AG2570" s="12" t="n"/>
      <c r="AH2570" s="11" t="n"/>
      <c r="AI2570" s="11" t="n"/>
      <c r="AJ2570" s="11" t="n"/>
      <c r="AK2570" s="14">
        <f>IF(AND($AF2570="保留中",$AH2570&lt;&gt;""),TODAY()-$AH2570,"")</f>
        <v/>
      </c>
      <c r="AL2570" s="12" t="n"/>
      <c r="AM2570" s="14">
        <f>IF($B2570="","",IF($AQ2570="","対象年月が未入力／","")&amp;IF($B2570="","",IF($AP2570="","職員マスタに未登録の職員番号／",IF($AA2570="","標準報酬月額が未登録／","")&amp;IF(AND($AQ2570&lt;&gt;"",OR(AND(INDEX(職員マスタ!$G$6:$G$405,$AP2570)&lt;&gt;"",INDEX(職員マスタ!$G$6:$G$405,$AP2570)&gt;EOMONTH($AQ2570,0)),AND(INDEX(職員マスタ!$H$6:$H$405,$AP2570)&lt;&gt;"",INDEX(職員マスタ!$H$6:$H$405,$AP2570)&lt;$AQ2570))),"対象月が時短期間外／","")&amp;IF(AND(INDEX(職員マスタ!$K$6:$K$405,$AP2570)&lt;&gt;"",N($W2570)&gt;0,INDEX(職員マスタ!$K$6:$K$405,$AP2570)&lt;&gt;$W2570),"標準報酬月額が申請書と相違（台帳"&amp;TEXT(INDEX(職員マスタ!$K$6:$K$405,$AP2570),"#,##0")&amp;"円／申請書"&amp;TEXT($W2570,"#,##0")&amp;"円）／","")&amp;IF(AND(INDEX(職員マスタ!$F$6:$F$405,$AP2570)&lt;&gt;"",$AQ2570&lt;&gt;"",INDEX(職員マスタ!$F$6:$F$405,$AP2570)&lt;$AQ2570),"対象月に子が2歳到達済／","")&amp;IF(AND($H2570&lt;&gt;"",INDEX(職員マスタ!$B$6:$B$405,$AP2570)&lt;&gt;"",SUBSTITUTE(SUBSTITUTE($H2570," ","")," ","")&lt;&gt;SUBSTITUTE(SUBSTITUTE(INDEX(職員マスタ!$B$6:$B$405,$AP2570)," ","")," ","")),"氏名がマスタと相違／","")&amp;IF(AND($Q2570&lt;&gt;"",INDEX(職員マスタ!$E$6:$E$405,$AP2570)&lt;&gt;"",$Q2570&lt;&gt;INDEX(職員マスタ!$E$6:$E$405,$AP2570)),"子の生年月日がマスタと相違／","")&amp;IF(AND($L2570&lt;&gt;"",INDEX(職員マスタ!$G$6:$G$405,$AP2570)&lt;&gt;"",$L2570&lt;&gt;INDEX(職員マスタ!$G$6:$G$405,$AP2570)),"時短開始日がマスタと相違／","")&amp;IF(AND($M2570&lt;&gt;"",INDEX(職員マスタ!$H$6:$H$405,$AP2570)&lt;&gt;"",$M2570&lt;&gt;INDEX(職員マスタ!$H$6:$H$405,$AP2570)),"時短終了日がマスタと相違／","")))&amp;IF(AND($B2570&lt;&gt;"",$E2570=""),"報酬額が未入力／","")&amp;IF(N($U2570)&gt;0,"申請書に入力エラーが残っています／","")&amp;IF(AND($B2570&lt;&gt;"",$AQ2570&lt;&gt;""),IF(COUNTIFS($B$6:$B$3005,$B2570,$C$6:$C$3005,$C2570,$D$6:$D$3005,$D2570)&gt;1,"同じ月の請求が重複しています／",""),"")&amp;IF(AND(N($E2570)&gt;0,$AB2570&lt;&gt;"",$AB2570&lt;&gt;"×",$AE2570=0,$AD2570=""),"計算額が下限以下のため不支給／",""))</f>
        <v/>
      </c>
      <c r="AN2570" s="12" t="n"/>
      <c r="AO2570" s="14">
        <f>IF($AF2570="保留中",COUNTIF($AF$6:$AF2570,"保留中"),"")</f>
        <v/>
      </c>
      <c r="AP2570" s="14">
        <f>IF($AQ2570="","",IF(SUMPRODUCT(MAX((職員マスタ!$A$6:$A$405=$B2570)*(((職員マスタ!$G$6:$G$405="")+(職員マスタ!$G$6:$G$405&lt;=EOMONTH($AQ2570,0)))&gt;0)*(((職員マスタ!$H$6:$H$405="")+(職員マスタ!$H$6:$H$405&gt;=$AQ2570))&gt;0)*(ROW(職員マスタ!$A$6:$A$405)-5)))&gt;0,SUMPRODUCT(MAX((職員マスタ!$A$6:$A$405=$B2570)*(((職員マスタ!$G$6:$G$405="")+(職員マスタ!$G$6:$G$405&lt;=EOMONTH($AQ2570,0)))&gt;0)*(((職員マスタ!$H$6:$H$405="")+(職員マスタ!$H$6:$H$405&gt;=$AQ2570))&gt;0)*(ROW(職員マスタ!$A$6:$A$405)-5))),IFERROR(MATCH($B2570,職員マスタ!$A$6:$A$405,0),"")))</f>
        <v/>
      </c>
      <c r="AQ2570" s="16">
        <f>IF(OR($B2570="",$C2570="",$D2570=""),"",DATE($C2570+2018,$D2570,1))</f>
        <v/>
      </c>
    </row>
    <row r="2571">
      <c r="A2571" s="11" t="n"/>
      <c r="B2571" s="12" t="n"/>
      <c r="C2571" s="12" t="n"/>
      <c r="D2571" s="12" t="n"/>
      <c r="E2571" s="13" t="n"/>
      <c r="F2571" s="12" t="n"/>
      <c r="G2571" s="13" t="n"/>
      <c r="H2571" s="12" t="n"/>
      <c r="I2571" s="12" t="n"/>
      <c r="J2571" s="12" t="n"/>
      <c r="K2571" s="12" t="n"/>
      <c r="L2571" s="11" t="n"/>
      <c r="M2571" s="11" t="n"/>
      <c r="N2571" s="11" t="n"/>
      <c r="O2571" s="11" t="n"/>
      <c r="P2571" s="12" t="n"/>
      <c r="Q2571" s="11" t="n"/>
      <c r="R2571" s="12" t="n"/>
      <c r="S2571" s="11" t="n"/>
      <c r="T2571" s="12" t="n"/>
      <c r="U2571" s="12" t="n"/>
      <c r="V2571" s="12" t="n"/>
      <c r="W2571" s="13" t="n"/>
      <c r="X2571" s="14">
        <f>IF($AP2571="",IF($B2571="","",$H2571),IF(INDEX(職員マスタ!$B$6:$B$405,$AP2571)="",$H2571,INDEX(職員マスタ!$B$6:$B$405,$AP2571)))</f>
        <v/>
      </c>
      <c r="Y2571" s="14">
        <f>IF($AP2571="",IF($B2571="","",$R2571),IF(INDEX(職員マスタ!$C$6:$C$405,$AP2571)="",$R2571,INDEX(職員マスタ!$C$6:$C$405,$AP2571)))</f>
        <v/>
      </c>
      <c r="Z2571" s="14">
        <f>IF($AQ2571="","","R"&amp;$C2571&amp;"."&amp;$D2571)</f>
        <v/>
      </c>
      <c r="AA2571" s="15">
        <f>IF(IF($AP2571="",FALSE,INDEX(職員マスタ!$K$6:$K$405,$AP2571)&lt;&gt;""),INDEX(職員マスタ!$K$6:$K$405,$AP2571),IF(N($W2571)&gt;0,$W2571,""))</f>
        <v/>
      </c>
      <c r="AB2571" s="14">
        <f>IF(OR($E2571="",$AA2571=""),"",IF($E2571&gt;=$AA2571,"×",IF($E2571&gt;=$AA2571*設定!$C$5,"△","○")))</f>
        <v/>
      </c>
      <c r="AC2571" s="15">
        <f>IF($AB2571="","",IF($AB2571="×",0,IF($AB2571="○",ROUNDDOWN($E2571*設定!$C$4,0),ROUNDDOWN($E2571*ROUND((9*$AA2571-9*$E2571)/(10*$E2571),4),0))))</f>
        <v/>
      </c>
      <c r="AD2571" s="13" t="n"/>
      <c r="AE2571" s="15">
        <f>IF($B2571="","",IF($AD2571&lt;&gt;"",$AD2571,IF($AC2571="","",IF($AC2571&lt;=設定!$C$3,0,$AC2571))))</f>
        <v/>
      </c>
      <c r="AF2571" s="14">
        <f>IF($B2571="","",IF(AND($AG2571&lt;&gt;"",$AI2571="",$AL2571=""),"保留中",IF($AL2571&lt;&gt;"",IF(N($AE2571)&gt;0,"支給済","不支給"),IF($AE2571="","要確認",IF($AE2571=0,"不支給","未処理")))))</f>
        <v/>
      </c>
      <c r="AG2571" s="12" t="n"/>
      <c r="AH2571" s="11" t="n"/>
      <c r="AI2571" s="11" t="n"/>
      <c r="AJ2571" s="11" t="n"/>
      <c r="AK2571" s="14">
        <f>IF(AND($AF2571="保留中",$AH2571&lt;&gt;""),TODAY()-$AH2571,"")</f>
        <v/>
      </c>
      <c r="AL2571" s="12" t="n"/>
      <c r="AM2571" s="14">
        <f>IF($B2571="","",IF($AQ2571="","対象年月が未入力／","")&amp;IF($B2571="","",IF($AP2571="","職員マスタに未登録の職員番号／",IF($AA2571="","標準報酬月額が未登録／","")&amp;IF(AND($AQ2571&lt;&gt;"",OR(AND(INDEX(職員マスタ!$G$6:$G$405,$AP2571)&lt;&gt;"",INDEX(職員マスタ!$G$6:$G$405,$AP2571)&gt;EOMONTH($AQ2571,0)),AND(INDEX(職員マスタ!$H$6:$H$405,$AP2571)&lt;&gt;"",INDEX(職員マスタ!$H$6:$H$405,$AP2571)&lt;$AQ2571))),"対象月が時短期間外／","")&amp;IF(AND(INDEX(職員マスタ!$K$6:$K$405,$AP2571)&lt;&gt;"",N($W2571)&gt;0,INDEX(職員マスタ!$K$6:$K$405,$AP2571)&lt;&gt;$W2571),"標準報酬月額が申請書と相違（台帳"&amp;TEXT(INDEX(職員マスタ!$K$6:$K$405,$AP2571),"#,##0")&amp;"円／申請書"&amp;TEXT($W2571,"#,##0")&amp;"円）／","")&amp;IF(AND(INDEX(職員マスタ!$F$6:$F$405,$AP2571)&lt;&gt;"",$AQ2571&lt;&gt;"",INDEX(職員マスタ!$F$6:$F$405,$AP2571)&lt;$AQ2571),"対象月に子が2歳到達済／","")&amp;IF(AND($H2571&lt;&gt;"",INDEX(職員マスタ!$B$6:$B$405,$AP2571)&lt;&gt;"",SUBSTITUTE(SUBSTITUTE($H2571," ","")," ","")&lt;&gt;SUBSTITUTE(SUBSTITUTE(INDEX(職員マスタ!$B$6:$B$405,$AP2571)," ","")," ","")),"氏名がマスタと相違／","")&amp;IF(AND($Q2571&lt;&gt;"",INDEX(職員マスタ!$E$6:$E$405,$AP2571)&lt;&gt;"",$Q2571&lt;&gt;INDEX(職員マスタ!$E$6:$E$405,$AP2571)),"子の生年月日がマスタと相違／","")&amp;IF(AND($L2571&lt;&gt;"",INDEX(職員マスタ!$G$6:$G$405,$AP2571)&lt;&gt;"",$L2571&lt;&gt;INDEX(職員マスタ!$G$6:$G$405,$AP2571)),"時短開始日がマスタと相違／","")&amp;IF(AND($M2571&lt;&gt;"",INDEX(職員マスタ!$H$6:$H$405,$AP2571)&lt;&gt;"",$M2571&lt;&gt;INDEX(職員マスタ!$H$6:$H$405,$AP2571)),"時短終了日がマスタと相違／","")))&amp;IF(AND($B2571&lt;&gt;"",$E2571=""),"報酬額が未入力／","")&amp;IF(N($U2571)&gt;0,"申請書に入力エラーが残っています／","")&amp;IF(AND($B2571&lt;&gt;"",$AQ2571&lt;&gt;""),IF(COUNTIFS($B$6:$B$3005,$B2571,$C$6:$C$3005,$C2571,$D$6:$D$3005,$D2571)&gt;1,"同じ月の請求が重複しています／",""),"")&amp;IF(AND(N($E2571)&gt;0,$AB2571&lt;&gt;"",$AB2571&lt;&gt;"×",$AE2571=0,$AD2571=""),"計算額が下限以下のため不支給／",""))</f>
        <v/>
      </c>
      <c r="AN2571" s="12" t="n"/>
      <c r="AO2571" s="14">
        <f>IF($AF2571="保留中",COUNTIF($AF$6:$AF2571,"保留中"),"")</f>
        <v/>
      </c>
      <c r="AP2571" s="14">
        <f>IF($AQ2571="","",IF(SUMPRODUCT(MAX((職員マスタ!$A$6:$A$405=$B2571)*(((職員マスタ!$G$6:$G$405="")+(職員マスタ!$G$6:$G$405&lt;=EOMONTH($AQ2571,0)))&gt;0)*(((職員マスタ!$H$6:$H$405="")+(職員マスタ!$H$6:$H$405&gt;=$AQ2571))&gt;0)*(ROW(職員マスタ!$A$6:$A$405)-5)))&gt;0,SUMPRODUCT(MAX((職員マスタ!$A$6:$A$405=$B2571)*(((職員マスタ!$G$6:$G$405="")+(職員マスタ!$G$6:$G$405&lt;=EOMONTH($AQ2571,0)))&gt;0)*(((職員マスタ!$H$6:$H$405="")+(職員マスタ!$H$6:$H$405&gt;=$AQ2571))&gt;0)*(ROW(職員マスタ!$A$6:$A$405)-5))),IFERROR(MATCH($B2571,職員マスタ!$A$6:$A$405,0),"")))</f>
        <v/>
      </c>
      <c r="AQ2571" s="16">
        <f>IF(OR($B2571="",$C2571="",$D2571=""),"",DATE($C2571+2018,$D2571,1))</f>
        <v/>
      </c>
    </row>
    <row r="2572">
      <c r="A2572" s="11" t="n"/>
      <c r="B2572" s="12" t="n"/>
      <c r="C2572" s="12" t="n"/>
      <c r="D2572" s="12" t="n"/>
      <c r="E2572" s="13" t="n"/>
      <c r="F2572" s="12" t="n"/>
      <c r="G2572" s="13" t="n"/>
      <c r="H2572" s="12" t="n"/>
      <c r="I2572" s="12" t="n"/>
      <c r="J2572" s="12" t="n"/>
      <c r="K2572" s="12" t="n"/>
      <c r="L2572" s="11" t="n"/>
      <c r="M2572" s="11" t="n"/>
      <c r="N2572" s="11" t="n"/>
      <c r="O2572" s="11" t="n"/>
      <c r="P2572" s="12" t="n"/>
      <c r="Q2572" s="11" t="n"/>
      <c r="R2572" s="12" t="n"/>
      <c r="S2572" s="11" t="n"/>
      <c r="T2572" s="12" t="n"/>
      <c r="U2572" s="12" t="n"/>
      <c r="V2572" s="12" t="n"/>
      <c r="W2572" s="13" t="n"/>
      <c r="X2572" s="14">
        <f>IF($AP2572="",IF($B2572="","",$H2572),IF(INDEX(職員マスタ!$B$6:$B$405,$AP2572)="",$H2572,INDEX(職員マスタ!$B$6:$B$405,$AP2572)))</f>
        <v/>
      </c>
      <c r="Y2572" s="14">
        <f>IF($AP2572="",IF($B2572="","",$R2572),IF(INDEX(職員マスタ!$C$6:$C$405,$AP2572)="",$R2572,INDEX(職員マスタ!$C$6:$C$405,$AP2572)))</f>
        <v/>
      </c>
      <c r="Z2572" s="14">
        <f>IF($AQ2572="","","R"&amp;$C2572&amp;"."&amp;$D2572)</f>
        <v/>
      </c>
      <c r="AA2572" s="15">
        <f>IF(IF($AP2572="",FALSE,INDEX(職員マスタ!$K$6:$K$405,$AP2572)&lt;&gt;""),INDEX(職員マスタ!$K$6:$K$405,$AP2572),IF(N($W2572)&gt;0,$W2572,""))</f>
        <v/>
      </c>
      <c r="AB2572" s="14">
        <f>IF(OR($E2572="",$AA2572=""),"",IF($E2572&gt;=$AA2572,"×",IF($E2572&gt;=$AA2572*設定!$C$5,"△","○")))</f>
        <v/>
      </c>
      <c r="AC2572" s="15">
        <f>IF($AB2572="","",IF($AB2572="×",0,IF($AB2572="○",ROUNDDOWN($E2572*設定!$C$4,0),ROUNDDOWN($E2572*ROUND((9*$AA2572-9*$E2572)/(10*$E2572),4),0))))</f>
        <v/>
      </c>
      <c r="AD2572" s="13" t="n"/>
      <c r="AE2572" s="15">
        <f>IF($B2572="","",IF($AD2572&lt;&gt;"",$AD2572,IF($AC2572="","",IF($AC2572&lt;=設定!$C$3,0,$AC2572))))</f>
        <v/>
      </c>
      <c r="AF2572" s="14">
        <f>IF($B2572="","",IF(AND($AG2572&lt;&gt;"",$AI2572="",$AL2572=""),"保留中",IF($AL2572&lt;&gt;"",IF(N($AE2572)&gt;0,"支給済","不支給"),IF($AE2572="","要確認",IF($AE2572=0,"不支給","未処理")))))</f>
        <v/>
      </c>
      <c r="AG2572" s="12" t="n"/>
      <c r="AH2572" s="11" t="n"/>
      <c r="AI2572" s="11" t="n"/>
      <c r="AJ2572" s="11" t="n"/>
      <c r="AK2572" s="14">
        <f>IF(AND($AF2572="保留中",$AH2572&lt;&gt;""),TODAY()-$AH2572,"")</f>
        <v/>
      </c>
      <c r="AL2572" s="12" t="n"/>
      <c r="AM2572" s="14">
        <f>IF($B2572="","",IF($AQ2572="","対象年月が未入力／","")&amp;IF($B2572="","",IF($AP2572="","職員マスタに未登録の職員番号／",IF($AA2572="","標準報酬月額が未登録／","")&amp;IF(AND($AQ2572&lt;&gt;"",OR(AND(INDEX(職員マスタ!$G$6:$G$405,$AP2572)&lt;&gt;"",INDEX(職員マスタ!$G$6:$G$405,$AP2572)&gt;EOMONTH($AQ2572,0)),AND(INDEX(職員マスタ!$H$6:$H$405,$AP2572)&lt;&gt;"",INDEX(職員マスタ!$H$6:$H$405,$AP2572)&lt;$AQ2572))),"対象月が時短期間外／","")&amp;IF(AND(INDEX(職員マスタ!$K$6:$K$405,$AP2572)&lt;&gt;"",N($W2572)&gt;0,INDEX(職員マスタ!$K$6:$K$405,$AP2572)&lt;&gt;$W2572),"標準報酬月額が申請書と相違（台帳"&amp;TEXT(INDEX(職員マスタ!$K$6:$K$405,$AP2572),"#,##0")&amp;"円／申請書"&amp;TEXT($W2572,"#,##0")&amp;"円）／","")&amp;IF(AND(INDEX(職員マスタ!$F$6:$F$405,$AP2572)&lt;&gt;"",$AQ2572&lt;&gt;"",INDEX(職員マスタ!$F$6:$F$405,$AP2572)&lt;$AQ2572),"対象月に子が2歳到達済／","")&amp;IF(AND($H2572&lt;&gt;"",INDEX(職員マスタ!$B$6:$B$405,$AP2572)&lt;&gt;"",SUBSTITUTE(SUBSTITUTE($H2572," ","")," ","")&lt;&gt;SUBSTITUTE(SUBSTITUTE(INDEX(職員マスタ!$B$6:$B$405,$AP2572)," ","")," ","")),"氏名がマスタと相違／","")&amp;IF(AND($Q2572&lt;&gt;"",INDEX(職員マスタ!$E$6:$E$405,$AP2572)&lt;&gt;"",$Q2572&lt;&gt;INDEX(職員マスタ!$E$6:$E$405,$AP2572)),"子の生年月日がマスタと相違／","")&amp;IF(AND($L2572&lt;&gt;"",INDEX(職員マスタ!$G$6:$G$405,$AP2572)&lt;&gt;"",$L2572&lt;&gt;INDEX(職員マスタ!$G$6:$G$405,$AP2572)),"時短開始日がマスタと相違／","")&amp;IF(AND($M2572&lt;&gt;"",INDEX(職員マスタ!$H$6:$H$405,$AP2572)&lt;&gt;"",$M2572&lt;&gt;INDEX(職員マスタ!$H$6:$H$405,$AP2572)),"時短終了日がマスタと相違／","")))&amp;IF(AND($B2572&lt;&gt;"",$E2572=""),"報酬額が未入力／","")&amp;IF(N($U2572)&gt;0,"申請書に入力エラーが残っています／","")&amp;IF(AND($B2572&lt;&gt;"",$AQ2572&lt;&gt;""),IF(COUNTIFS($B$6:$B$3005,$B2572,$C$6:$C$3005,$C2572,$D$6:$D$3005,$D2572)&gt;1,"同じ月の請求が重複しています／",""),"")&amp;IF(AND(N($E2572)&gt;0,$AB2572&lt;&gt;"",$AB2572&lt;&gt;"×",$AE2572=0,$AD2572=""),"計算額が下限以下のため不支給／",""))</f>
        <v/>
      </c>
      <c r="AN2572" s="12" t="n"/>
      <c r="AO2572" s="14">
        <f>IF($AF2572="保留中",COUNTIF($AF$6:$AF2572,"保留中"),"")</f>
        <v/>
      </c>
      <c r="AP2572" s="14">
        <f>IF($AQ2572="","",IF(SUMPRODUCT(MAX((職員マスタ!$A$6:$A$405=$B2572)*(((職員マスタ!$G$6:$G$405="")+(職員マスタ!$G$6:$G$405&lt;=EOMONTH($AQ2572,0)))&gt;0)*(((職員マスタ!$H$6:$H$405="")+(職員マスタ!$H$6:$H$405&gt;=$AQ2572))&gt;0)*(ROW(職員マスタ!$A$6:$A$405)-5)))&gt;0,SUMPRODUCT(MAX((職員マスタ!$A$6:$A$405=$B2572)*(((職員マスタ!$G$6:$G$405="")+(職員マスタ!$G$6:$G$405&lt;=EOMONTH($AQ2572,0)))&gt;0)*(((職員マスタ!$H$6:$H$405="")+(職員マスタ!$H$6:$H$405&gt;=$AQ2572))&gt;0)*(ROW(職員マスタ!$A$6:$A$405)-5))),IFERROR(MATCH($B2572,職員マスタ!$A$6:$A$405,0),"")))</f>
        <v/>
      </c>
      <c r="AQ2572" s="16">
        <f>IF(OR($B2572="",$C2572="",$D2572=""),"",DATE($C2572+2018,$D2572,1))</f>
        <v/>
      </c>
    </row>
    <row r="2573">
      <c r="A2573" s="11" t="n"/>
      <c r="B2573" s="12" t="n"/>
      <c r="C2573" s="12" t="n"/>
      <c r="D2573" s="12" t="n"/>
      <c r="E2573" s="13" t="n"/>
      <c r="F2573" s="12" t="n"/>
      <c r="G2573" s="13" t="n"/>
      <c r="H2573" s="12" t="n"/>
      <c r="I2573" s="12" t="n"/>
      <c r="J2573" s="12" t="n"/>
      <c r="K2573" s="12" t="n"/>
      <c r="L2573" s="11" t="n"/>
      <c r="M2573" s="11" t="n"/>
      <c r="N2573" s="11" t="n"/>
      <c r="O2573" s="11" t="n"/>
      <c r="P2573" s="12" t="n"/>
      <c r="Q2573" s="11" t="n"/>
      <c r="R2573" s="12" t="n"/>
      <c r="S2573" s="11" t="n"/>
      <c r="T2573" s="12" t="n"/>
      <c r="U2573" s="12" t="n"/>
      <c r="V2573" s="12" t="n"/>
      <c r="W2573" s="13" t="n"/>
      <c r="X2573" s="14">
        <f>IF($AP2573="",IF($B2573="","",$H2573),IF(INDEX(職員マスタ!$B$6:$B$405,$AP2573)="",$H2573,INDEX(職員マスタ!$B$6:$B$405,$AP2573)))</f>
        <v/>
      </c>
      <c r="Y2573" s="14">
        <f>IF($AP2573="",IF($B2573="","",$R2573),IF(INDEX(職員マスタ!$C$6:$C$405,$AP2573)="",$R2573,INDEX(職員マスタ!$C$6:$C$405,$AP2573)))</f>
        <v/>
      </c>
      <c r="Z2573" s="14">
        <f>IF($AQ2573="","","R"&amp;$C2573&amp;"."&amp;$D2573)</f>
        <v/>
      </c>
      <c r="AA2573" s="15">
        <f>IF(IF($AP2573="",FALSE,INDEX(職員マスタ!$K$6:$K$405,$AP2573)&lt;&gt;""),INDEX(職員マスタ!$K$6:$K$405,$AP2573),IF(N($W2573)&gt;0,$W2573,""))</f>
        <v/>
      </c>
      <c r="AB2573" s="14">
        <f>IF(OR($E2573="",$AA2573=""),"",IF($E2573&gt;=$AA2573,"×",IF($E2573&gt;=$AA2573*設定!$C$5,"△","○")))</f>
        <v/>
      </c>
      <c r="AC2573" s="15">
        <f>IF($AB2573="","",IF($AB2573="×",0,IF($AB2573="○",ROUNDDOWN($E2573*設定!$C$4,0),ROUNDDOWN($E2573*ROUND((9*$AA2573-9*$E2573)/(10*$E2573),4),0))))</f>
        <v/>
      </c>
      <c r="AD2573" s="13" t="n"/>
      <c r="AE2573" s="15">
        <f>IF($B2573="","",IF($AD2573&lt;&gt;"",$AD2573,IF($AC2573="","",IF($AC2573&lt;=設定!$C$3,0,$AC2573))))</f>
        <v/>
      </c>
      <c r="AF2573" s="14">
        <f>IF($B2573="","",IF(AND($AG2573&lt;&gt;"",$AI2573="",$AL2573=""),"保留中",IF($AL2573&lt;&gt;"",IF(N($AE2573)&gt;0,"支給済","不支給"),IF($AE2573="","要確認",IF($AE2573=0,"不支給","未処理")))))</f>
        <v/>
      </c>
      <c r="AG2573" s="12" t="n"/>
      <c r="AH2573" s="11" t="n"/>
      <c r="AI2573" s="11" t="n"/>
      <c r="AJ2573" s="11" t="n"/>
      <c r="AK2573" s="14">
        <f>IF(AND($AF2573="保留中",$AH2573&lt;&gt;""),TODAY()-$AH2573,"")</f>
        <v/>
      </c>
      <c r="AL2573" s="12" t="n"/>
      <c r="AM2573" s="14">
        <f>IF($B2573="","",IF($AQ2573="","対象年月が未入力／","")&amp;IF($B2573="","",IF($AP2573="","職員マスタに未登録の職員番号／",IF($AA2573="","標準報酬月額が未登録／","")&amp;IF(AND($AQ2573&lt;&gt;"",OR(AND(INDEX(職員マスタ!$G$6:$G$405,$AP2573)&lt;&gt;"",INDEX(職員マスタ!$G$6:$G$405,$AP2573)&gt;EOMONTH($AQ2573,0)),AND(INDEX(職員マスタ!$H$6:$H$405,$AP2573)&lt;&gt;"",INDEX(職員マスタ!$H$6:$H$405,$AP2573)&lt;$AQ2573))),"対象月が時短期間外／","")&amp;IF(AND(INDEX(職員マスタ!$K$6:$K$405,$AP2573)&lt;&gt;"",N($W2573)&gt;0,INDEX(職員マスタ!$K$6:$K$405,$AP2573)&lt;&gt;$W2573),"標準報酬月額が申請書と相違（台帳"&amp;TEXT(INDEX(職員マスタ!$K$6:$K$405,$AP2573),"#,##0")&amp;"円／申請書"&amp;TEXT($W2573,"#,##0")&amp;"円）／","")&amp;IF(AND(INDEX(職員マスタ!$F$6:$F$405,$AP2573)&lt;&gt;"",$AQ2573&lt;&gt;"",INDEX(職員マスタ!$F$6:$F$405,$AP2573)&lt;$AQ2573),"対象月に子が2歳到達済／","")&amp;IF(AND($H2573&lt;&gt;"",INDEX(職員マスタ!$B$6:$B$405,$AP2573)&lt;&gt;"",SUBSTITUTE(SUBSTITUTE($H2573," ","")," ","")&lt;&gt;SUBSTITUTE(SUBSTITUTE(INDEX(職員マスタ!$B$6:$B$405,$AP2573)," ","")," ","")),"氏名がマスタと相違／","")&amp;IF(AND($Q2573&lt;&gt;"",INDEX(職員マスタ!$E$6:$E$405,$AP2573)&lt;&gt;"",$Q2573&lt;&gt;INDEX(職員マスタ!$E$6:$E$405,$AP2573)),"子の生年月日がマスタと相違／","")&amp;IF(AND($L2573&lt;&gt;"",INDEX(職員マスタ!$G$6:$G$405,$AP2573)&lt;&gt;"",$L2573&lt;&gt;INDEX(職員マスタ!$G$6:$G$405,$AP2573)),"時短開始日がマスタと相違／","")&amp;IF(AND($M2573&lt;&gt;"",INDEX(職員マスタ!$H$6:$H$405,$AP2573)&lt;&gt;"",$M2573&lt;&gt;INDEX(職員マスタ!$H$6:$H$405,$AP2573)),"時短終了日がマスタと相違／","")))&amp;IF(AND($B2573&lt;&gt;"",$E2573=""),"報酬額が未入力／","")&amp;IF(N($U2573)&gt;0,"申請書に入力エラーが残っています／","")&amp;IF(AND($B2573&lt;&gt;"",$AQ2573&lt;&gt;""),IF(COUNTIFS($B$6:$B$3005,$B2573,$C$6:$C$3005,$C2573,$D$6:$D$3005,$D2573)&gt;1,"同じ月の請求が重複しています／",""),"")&amp;IF(AND(N($E2573)&gt;0,$AB2573&lt;&gt;"",$AB2573&lt;&gt;"×",$AE2573=0,$AD2573=""),"計算額が下限以下のため不支給／",""))</f>
        <v/>
      </c>
      <c r="AN2573" s="12" t="n"/>
      <c r="AO2573" s="14">
        <f>IF($AF2573="保留中",COUNTIF($AF$6:$AF2573,"保留中"),"")</f>
        <v/>
      </c>
      <c r="AP2573" s="14">
        <f>IF($AQ2573="","",IF(SUMPRODUCT(MAX((職員マスタ!$A$6:$A$405=$B2573)*(((職員マスタ!$G$6:$G$405="")+(職員マスタ!$G$6:$G$405&lt;=EOMONTH($AQ2573,0)))&gt;0)*(((職員マスタ!$H$6:$H$405="")+(職員マスタ!$H$6:$H$405&gt;=$AQ2573))&gt;0)*(ROW(職員マスタ!$A$6:$A$405)-5)))&gt;0,SUMPRODUCT(MAX((職員マスタ!$A$6:$A$405=$B2573)*(((職員マスタ!$G$6:$G$405="")+(職員マスタ!$G$6:$G$405&lt;=EOMONTH($AQ2573,0)))&gt;0)*(((職員マスタ!$H$6:$H$405="")+(職員マスタ!$H$6:$H$405&gt;=$AQ2573))&gt;0)*(ROW(職員マスタ!$A$6:$A$405)-5))),IFERROR(MATCH($B2573,職員マスタ!$A$6:$A$405,0),"")))</f>
        <v/>
      </c>
      <c r="AQ2573" s="16">
        <f>IF(OR($B2573="",$C2573="",$D2573=""),"",DATE($C2573+2018,$D2573,1))</f>
        <v/>
      </c>
    </row>
    <row r="2574">
      <c r="A2574" s="11" t="n"/>
      <c r="B2574" s="12" t="n"/>
      <c r="C2574" s="12" t="n"/>
      <c r="D2574" s="12" t="n"/>
      <c r="E2574" s="13" t="n"/>
      <c r="F2574" s="12" t="n"/>
      <c r="G2574" s="13" t="n"/>
      <c r="H2574" s="12" t="n"/>
      <c r="I2574" s="12" t="n"/>
      <c r="J2574" s="12" t="n"/>
      <c r="K2574" s="12" t="n"/>
      <c r="L2574" s="11" t="n"/>
      <c r="M2574" s="11" t="n"/>
      <c r="N2574" s="11" t="n"/>
      <c r="O2574" s="11" t="n"/>
      <c r="P2574" s="12" t="n"/>
      <c r="Q2574" s="11" t="n"/>
      <c r="R2574" s="12" t="n"/>
      <c r="S2574" s="11" t="n"/>
      <c r="T2574" s="12" t="n"/>
      <c r="U2574" s="12" t="n"/>
      <c r="V2574" s="12" t="n"/>
      <c r="W2574" s="13" t="n"/>
      <c r="X2574" s="14">
        <f>IF($AP2574="",IF($B2574="","",$H2574),IF(INDEX(職員マスタ!$B$6:$B$405,$AP2574)="",$H2574,INDEX(職員マスタ!$B$6:$B$405,$AP2574)))</f>
        <v/>
      </c>
      <c r="Y2574" s="14">
        <f>IF($AP2574="",IF($B2574="","",$R2574),IF(INDEX(職員マスタ!$C$6:$C$405,$AP2574)="",$R2574,INDEX(職員マスタ!$C$6:$C$405,$AP2574)))</f>
        <v/>
      </c>
      <c r="Z2574" s="14">
        <f>IF($AQ2574="","","R"&amp;$C2574&amp;"."&amp;$D2574)</f>
        <v/>
      </c>
      <c r="AA2574" s="15">
        <f>IF(IF($AP2574="",FALSE,INDEX(職員マスタ!$K$6:$K$405,$AP2574)&lt;&gt;""),INDEX(職員マスタ!$K$6:$K$405,$AP2574),IF(N($W2574)&gt;0,$W2574,""))</f>
        <v/>
      </c>
      <c r="AB2574" s="14">
        <f>IF(OR($E2574="",$AA2574=""),"",IF($E2574&gt;=$AA2574,"×",IF($E2574&gt;=$AA2574*設定!$C$5,"△","○")))</f>
        <v/>
      </c>
      <c r="AC2574" s="15">
        <f>IF($AB2574="","",IF($AB2574="×",0,IF($AB2574="○",ROUNDDOWN($E2574*設定!$C$4,0),ROUNDDOWN($E2574*ROUND((9*$AA2574-9*$E2574)/(10*$E2574),4),0))))</f>
        <v/>
      </c>
      <c r="AD2574" s="13" t="n"/>
      <c r="AE2574" s="15">
        <f>IF($B2574="","",IF($AD2574&lt;&gt;"",$AD2574,IF($AC2574="","",IF($AC2574&lt;=設定!$C$3,0,$AC2574))))</f>
        <v/>
      </c>
      <c r="AF2574" s="14">
        <f>IF($B2574="","",IF(AND($AG2574&lt;&gt;"",$AI2574="",$AL2574=""),"保留中",IF($AL2574&lt;&gt;"",IF(N($AE2574)&gt;0,"支給済","不支給"),IF($AE2574="","要確認",IF($AE2574=0,"不支給","未処理")))))</f>
        <v/>
      </c>
      <c r="AG2574" s="12" t="n"/>
      <c r="AH2574" s="11" t="n"/>
      <c r="AI2574" s="11" t="n"/>
      <c r="AJ2574" s="11" t="n"/>
      <c r="AK2574" s="14">
        <f>IF(AND($AF2574="保留中",$AH2574&lt;&gt;""),TODAY()-$AH2574,"")</f>
        <v/>
      </c>
      <c r="AL2574" s="12" t="n"/>
      <c r="AM2574" s="14">
        <f>IF($B2574="","",IF($AQ2574="","対象年月が未入力／","")&amp;IF($B2574="","",IF($AP2574="","職員マスタに未登録の職員番号／",IF($AA2574="","標準報酬月額が未登録／","")&amp;IF(AND($AQ2574&lt;&gt;"",OR(AND(INDEX(職員マスタ!$G$6:$G$405,$AP2574)&lt;&gt;"",INDEX(職員マスタ!$G$6:$G$405,$AP2574)&gt;EOMONTH($AQ2574,0)),AND(INDEX(職員マスタ!$H$6:$H$405,$AP2574)&lt;&gt;"",INDEX(職員マスタ!$H$6:$H$405,$AP2574)&lt;$AQ2574))),"対象月が時短期間外／","")&amp;IF(AND(INDEX(職員マスタ!$K$6:$K$405,$AP2574)&lt;&gt;"",N($W2574)&gt;0,INDEX(職員マスタ!$K$6:$K$405,$AP2574)&lt;&gt;$W2574),"標準報酬月額が申請書と相違（台帳"&amp;TEXT(INDEX(職員マスタ!$K$6:$K$405,$AP2574),"#,##0")&amp;"円／申請書"&amp;TEXT($W2574,"#,##0")&amp;"円）／","")&amp;IF(AND(INDEX(職員マスタ!$F$6:$F$405,$AP2574)&lt;&gt;"",$AQ2574&lt;&gt;"",INDEX(職員マスタ!$F$6:$F$405,$AP2574)&lt;$AQ2574),"対象月に子が2歳到達済／","")&amp;IF(AND($H2574&lt;&gt;"",INDEX(職員マスタ!$B$6:$B$405,$AP2574)&lt;&gt;"",SUBSTITUTE(SUBSTITUTE($H2574," ","")," ","")&lt;&gt;SUBSTITUTE(SUBSTITUTE(INDEX(職員マスタ!$B$6:$B$405,$AP2574)," ","")," ","")),"氏名がマスタと相違／","")&amp;IF(AND($Q2574&lt;&gt;"",INDEX(職員マスタ!$E$6:$E$405,$AP2574)&lt;&gt;"",$Q2574&lt;&gt;INDEX(職員マスタ!$E$6:$E$405,$AP2574)),"子の生年月日がマスタと相違／","")&amp;IF(AND($L2574&lt;&gt;"",INDEX(職員マスタ!$G$6:$G$405,$AP2574)&lt;&gt;"",$L2574&lt;&gt;INDEX(職員マスタ!$G$6:$G$405,$AP2574)),"時短開始日がマスタと相違／","")&amp;IF(AND($M2574&lt;&gt;"",INDEX(職員マスタ!$H$6:$H$405,$AP2574)&lt;&gt;"",$M2574&lt;&gt;INDEX(職員マスタ!$H$6:$H$405,$AP2574)),"時短終了日がマスタと相違／","")))&amp;IF(AND($B2574&lt;&gt;"",$E2574=""),"報酬額が未入力／","")&amp;IF(N($U2574)&gt;0,"申請書に入力エラーが残っています／","")&amp;IF(AND($B2574&lt;&gt;"",$AQ2574&lt;&gt;""),IF(COUNTIFS($B$6:$B$3005,$B2574,$C$6:$C$3005,$C2574,$D$6:$D$3005,$D2574)&gt;1,"同じ月の請求が重複しています／",""),"")&amp;IF(AND(N($E2574)&gt;0,$AB2574&lt;&gt;"",$AB2574&lt;&gt;"×",$AE2574=0,$AD2574=""),"計算額が下限以下のため不支給／",""))</f>
        <v/>
      </c>
      <c r="AN2574" s="12" t="n"/>
      <c r="AO2574" s="14">
        <f>IF($AF2574="保留中",COUNTIF($AF$6:$AF2574,"保留中"),"")</f>
        <v/>
      </c>
      <c r="AP2574" s="14">
        <f>IF($AQ2574="","",IF(SUMPRODUCT(MAX((職員マスタ!$A$6:$A$405=$B2574)*(((職員マスタ!$G$6:$G$405="")+(職員マスタ!$G$6:$G$405&lt;=EOMONTH($AQ2574,0)))&gt;0)*(((職員マスタ!$H$6:$H$405="")+(職員マスタ!$H$6:$H$405&gt;=$AQ2574))&gt;0)*(ROW(職員マスタ!$A$6:$A$405)-5)))&gt;0,SUMPRODUCT(MAX((職員マスタ!$A$6:$A$405=$B2574)*(((職員マスタ!$G$6:$G$405="")+(職員マスタ!$G$6:$G$405&lt;=EOMONTH($AQ2574,0)))&gt;0)*(((職員マスタ!$H$6:$H$405="")+(職員マスタ!$H$6:$H$405&gt;=$AQ2574))&gt;0)*(ROW(職員マスタ!$A$6:$A$405)-5))),IFERROR(MATCH($B2574,職員マスタ!$A$6:$A$405,0),"")))</f>
        <v/>
      </c>
      <c r="AQ2574" s="16">
        <f>IF(OR($B2574="",$C2574="",$D2574=""),"",DATE($C2574+2018,$D2574,1))</f>
        <v/>
      </c>
    </row>
    <row r="2575">
      <c r="A2575" s="11" t="n"/>
      <c r="B2575" s="12" t="n"/>
      <c r="C2575" s="12" t="n"/>
      <c r="D2575" s="12" t="n"/>
      <c r="E2575" s="13" t="n"/>
      <c r="F2575" s="12" t="n"/>
      <c r="G2575" s="13" t="n"/>
      <c r="H2575" s="12" t="n"/>
      <c r="I2575" s="12" t="n"/>
      <c r="J2575" s="12" t="n"/>
      <c r="K2575" s="12" t="n"/>
      <c r="L2575" s="11" t="n"/>
      <c r="M2575" s="11" t="n"/>
      <c r="N2575" s="11" t="n"/>
      <c r="O2575" s="11" t="n"/>
      <c r="P2575" s="12" t="n"/>
      <c r="Q2575" s="11" t="n"/>
      <c r="R2575" s="12" t="n"/>
      <c r="S2575" s="11" t="n"/>
      <c r="T2575" s="12" t="n"/>
      <c r="U2575" s="12" t="n"/>
      <c r="V2575" s="12" t="n"/>
      <c r="W2575" s="13" t="n"/>
      <c r="X2575" s="14">
        <f>IF($AP2575="",IF($B2575="","",$H2575),IF(INDEX(職員マスタ!$B$6:$B$405,$AP2575)="",$H2575,INDEX(職員マスタ!$B$6:$B$405,$AP2575)))</f>
        <v/>
      </c>
      <c r="Y2575" s="14">
        <f>IF($AP2575="",IF($B2575="","",$R2575),IF(INDEX(職員マスタ!$C$6:$C$405,$AP2575)="",$R2575,INDEX(職員マスタ!$C$6:$C$405,$AP2575)))</f>
        <v/>
      </c>
      <c r="Z2575" s="14">
        <f>IF($AQ2575="","","R"&amp;$C2575&amp;"."&amp;$D2575)</f>
        <v/>
      </c>
      <c r="AA2575" s="15">
        <f>IF(IF($AP2575="",FALSE,INDEX(職員マスタ!$K$6:$K$405,$AP2575)&lt;&gt;""),INDEX(職員マスタ!$K$6:$K$405,$AP2575),IF(N($W2575)&gt;0,$W2575,""))</f>
        <v/>
      </c>
      <c r="AB2575" s="14">
        <f>IF(OR($E2575="",$AA2575=""),"",IF($E2575&gt;=$AA2575,"×",IF($E2575&gt;=$AA2575*設定!$C$5,"△","○")))</f>
        <v/>
      </c>
      <c r="AC2575" s="15">
        <f>IF($AB2575="","",IF($AB2575="×",0,IF($AB2575="○",ROUNDDOWN($E2575*設定!$C$4,0),ROUNDDOWN($E2575*ROUND((9*$AA2575-9*$E2575)/(10*$E2575),4),0))))</f>
        <v/>
      </c>
      <c r="AD2575" s="13" t="n"/>
      <c r="AE2575" s="15">
        <f>IF($B2575="","",IF($AD2575&lt;&gt;"",$AD2575,IF($AC2575="","",IF($AC2575&lt;=設定!$C$3,0,$AC2575))))</f>
        <v/>
      </c>
      <c r="AF2575" s="14">
        <f>IF($B2575="","",IF(AND($AG2575&lt;&gt;"",$AI2575="",$AL2575=""),"保留中",IF($AL2575&lt;&gt;"",IF(N($AE2575)&gt;0,"支給済","不支給"),IF($AE2575="","要確認",IF($AE2575=0,"不支給","未処理")))))</f>
        <v/>
      </c>
      <c r="AG2575" s="12" t="n"/>
      <c r="AH2575" s="11" t="n"/>
      <c r="AI2575" s="11" t="n"/>
      <c r="AJ2575" s="11" t="n"/>
      <c r="AK2575" s="14">
        <f>IF(AND($AF2575="保留中",$AH2575&lt;&gt;""),TODAY()-$AH2575,"")</f>
        <v/>
      </c>
      <c r="AL2575" s="12" t="n"/>
      <c r="AM2575" s="14">
        <f>IF($B2575="","",IF($AQ2575="","対象年月が未入力／","")&amp;IF($B2575="","",IF($AP2575="","職員マスタに未登録の職員番号／",IF($AA2575="","標準報酬月額が未登録／","")&amp;IF(AND($AQ2575&lt;&gt;"",OR(AND(INDEX(職員マスタ!$G$6:$G$405,$AP2575)&lt;&gt;"",INDEX(職員マスタ!$G$6:$G$405,$AP2575)&gt;EOMONTH($AQ2575,0)),AND(INDEX(職員マスタ!$H$6:$H$405,$AP2575)&lt;&gt;"",INDEX(職員マスタ!$H$6:$H$405,$AP2575)&lt;$AQ2575))),"対象月が時短期間外／","")&amp;IF(AND(INDEX(職員マスタ!$K$6:$K$405,$AP2575)&lt;&gt;"",N($W2575)&gt;0,INDEX(職員マスタ!$K$6:$K$405,$AP2575)&lt;&gt;$W2575),"標準報酬月額が申請書と相違（台帳"&amp;TEXT(INDEX(職員マスタ!$K$6:$K$405,$AP2575),"#,##0")&amp;"円／申請書"&amp;TEXT($W2575,"#,##0")&amp;"円）／","")&amp;IF(AND(INDEX(職員マスタ!$F$6:$F$405,$AP2575)&lt;&gt;"",$AQ2575&lt;&gt;"",INDEX(職員マスタ!$F$6:$F$405,$AP2575)&lt;$AQ2575),"対象月に子が2歳到達済／","")&amp;IF(AND($H2575&lt;&gt;"",INDEX(職員マスタ!$B$6:$B$405,$AP2575)&lt;&gt;"",SUBSTITUTE(SUBSTITUTE($H2575," ","")," ","")&lt;&gt;SUBSTITUTE(SUBSTITUTE(INDEX(職員マスタ!$B$6:$B$405,$AP2575)," ","")," ","")),"氏名がマスタと相違／","")&amp;IF(AND($Q2575&lt;&gt;"",INDEX(職員マスタ!$E$6:$E$405,$AP2575)&lt;&gt;"",$Q2575&lt;&gt;INDEX(職員マスタ!$E$6:$E$405,$AP2575)),"子の生年月日がマスタと相違／","")&amp;IF(AND($L2575&lt;&gt;"",INDEX(職員マスタ!$G$6:$G$405,$AP2575)&lt;&gt;"",$L2575&lt;&gt;INDEX(職員マスタ!$G$6:$G$405,$AP2575)),"時短開始日がマスタと相違／","")&amp;IF(AND($M2575&lt;&gt;"",INDEX(職員マスタ!$H$6:$H$405,$AP2575)&lt;&gt;"",$M2575&lt;&gt;INDEX(職員マスタ!$H$6:$H$405,$AP2575)),"時短終了日がマスタと相違／","")))&amp;IF(AND($B2575&lt;&gt;"",$E2575=""),"報酬額が未入力／","")&amp;IF(N($U2575)&gt;0,"申請書に入力エラーが残っています／","")&amp;IF(AND($B2575&lt;&gt;"",$AQ2575&lt;&gt;""),IF(COUNTIFS($B$6:$B$3005,$B2575,$C$6:$C$3005,$C2575,$D$6:$D$3005,$D2575)&gt;1,"同じ月の請求が重複しています／",""),"")&amp;IF(AND(N($E2575)&gt;0,$AB2575&lt;&gt;"",$AB2575&lt;&gt;"×",$AE2575=0,$AD2575=""),"計算額が下限以下のため不支給／",""))</f>
        <v/>
      </c>
      <c r="AN2575" s="12" t="n"/>
      <c r="AO2575" s="14">
        <f>IF($AF2575="保留中",COUNTIF($AF$6:$AF2575,"保留中"),"")</f>
        <v/>
      </c>
      <c r="AP2575" s="14">
        <f>IF($AQ2575="","",IF(SUMPRODUCT(MAX((職員マスタ!$A$6:$A$405=$B2575)*(((職員マスタ!$G$6:$G$405="")+(職員マスタ!$G$6:$G$405&lt;=EOMONTH($AQ2575,0)))&gt;0)*(((職員マスタ!$H$6:$H$405="")+(職員マスタ!$H$6:$H$405&gt;=$AQ2575))&gt;0)*(ROW(職員マスタ!$A$6:$A$405)-5)))&gt;0,SUMPRODUCT(MAX((職員マスタ!$A$6:$A$405=$B2575)*(((職員マスタ!$G$6:$G$405="")+(職員マスタ!$G$6:$G$405&lt;=EOMONTH($AQ2575,0)))&gt;0)*(((職員マスタ!$H$6:$H$405="")+(職員マスタ!$H$6:$H$405&gt;=$AQ2575))&gt;0)*(ROW(職員マスタ!$A$6:$A$405)-5))),IFERROR(MATCH($B2575,職員マスタ!$A$6:$A$405,0),"")))</f>
        <v/>
      </c>
      <c r="AQ2575" s="16">
        <f>IF(OR($B2575="",$C2575="",$D2575=""),"",DATE($C2575+2018,$D2575,1))</f>
        <v/>
      </c>
    </row>
    <row r="2576">
      <c r="A2576" s="11" t="n"/>
      <c r="B2576" s="12" t="n"/>
      <c r="C2576" s="12" t="n"/>
      <c r="D2576" s="12" t="n"/>
      <c r="E2576" s="13" t="n"/>
      <c r="F2576" s="12" t="n"/>
      <c r="G2576" s="13" t="n"/>
      <c r="H2576" s="12" t="n"/>
      <c r="I2576" s="12" t="n"/>
      <c r="J2576" s="12" t="n"/>
      <c r="K2576" s="12" t="n"/>
      <c r="L2576" s="11" t="n"/>
      <c r="M2576" s="11" t="n"/>
      <c r="N2576" s="11" t="n"/>
      <c r="O2576" s="11" t="n"/>
      <c r="P2576" s="12" t="n"/>
      <c r="Q2576" s="11" t="n"/>
      <c r="R2576" s="12" t="n"/>
      <c r="S2576" s="11" t="n"/>
      <c r="T2576" s="12" t="n"/>
      <c r="U2576" s="12" t="n"/>
      <c r="V2576" s="12" t="n"/>
      <c r="W2576" s="13" t="n"/>
      <c r="X2576" s="14">
        <f>IF($AP2576="",IF($B2576="","",$H2576),IF(INDEX(職員マスタ!$B$6:$B$405,$AP2576)="",$H2576,INDEX(職員マスタ!$B$6:$B$405,$AP2576)))</f>
        <v/>
      </c>
      <c r="Y2576" s="14">
        <f>IF($AP2576="",IF($B2576="","",$R2576),IF(INDEX(職員マスタ!$C$6:$C$405,$AP2576)="",$R2576,INDEX(職員マスタ!$C$6:$C$405,$AP2576)))</f>
        <v/>
      </c>
      <c r="Z2576" s="14">
        <f>IF($AQ2576="","","R"&amp;$C2576&amp;"."&amp;$D2576)</f>
        <v/>
      </c>
      <c r="AA2576" s="15">
        <f>IF(IF($AP2576="",FALSE,INDEX(職員マスタ!$K$6:$K$405,$AP2576)&lt;&gt;""),INDEX(職員マスタ!$K$6:$K$405,$AP2576),IF(N($W2576)&gt;0,$W2576,""))</f>
        <v/>
      </c>
      <c r="AB2576" s="14">
        <f>IF(OR($E2576="",$AA2576=""),"",IF($E2576&gt;=$AA2576,"×",IF($E2576&gt;=$AA2576*設定!$C$5,"△","○")))</f>
        <v/>
      </c>
      <c r="AC2576" s="15">
        <f>IF($AB2576="","",IF($AB2576="×",0,IF($AB2576="○",ROUNDDOWN($E2576*設定!$C$4,0),ROUNDDOWN($E2576*ROUND((9*$AA2576-9*$E2576)/(10*$E2576),4),0))))</f>
        <v/>
      </c>
      <c r="AD2576" s="13" t="n"/>
      <c r="AE2576" s="15">
        <f>IF($B2576="","",IF($AD2576&lt;&gt;"",$AD2576,IF($AC2576="","",IF($AC2576&lt;=設定!$C$3,0,$AC2576))))</f>
        <v/>
      </c>
      <c r="AF2576" s="14">
        <f>IF($B2576="","",IF(AND($AG2576&lt;&gt;"",$AI2576="",$AL2576=""),"保留中",IF($AL2576&lt;&gt;"",IF(N($AE2576)&gt;0,"支給済","不支給"),IF($AE2576="","要確認",IF($AE2576=0,"不支給","未処理")))))</f>
        <v/>
      </c>
      <c r="AG2576" s="12" t="n"/>
      <c r="AH2576" s="11" t="n"/>
      <c r="AI2576" s="11" t="n"/>
      <c r="AJ2576" s="11" t="n"/>
      <c r="AK2576" s="14">
        <f>IF(AND($AF2576="保留中",$AH2576&lt;&gt;""),TODAY()-$AH2576,"")</f>
        <v/>
      </c>
      <c r="AL2576" s="12" t="n"/>
      <c r="AM2576" s="14">
        <f>IF($B2576="","",IF($AQ2576="","対象年月が未入力／","")&amp;IF($B2576="","",IF($AP2576="","職員マスタに未登録の職員番号／",IF($AA2576="","標準報酬月額が未登録／","")&amp;IF(AND($AQ2576&lt;&gt;"",OR(AND(INDEX(職員マスタ!$G$6:$G$405,$AP2576)&lt;&gt;"",INDEX(職員マスタ!$G$6:$G$405,$AP2576)&gt;EOMONTH($AQ2576,0)),AND(INDEX(職員マスタ!$H$6:$H$405,$AP2576)&lt;&gt;"",INDEX(職員マスタ!$H$6:$H$405,$AP2576)&lt;$AQ2576))),"対象月が時短期間外／","")&amp;IF(AND(INDEX(職員マスタ!$K$6:$K$405,$AP2576)&lt;&gt;"",N($W2576)&gt;0,INDEX(職員マスタ!$K$6:$K$405,$AP2576)&lt;&gt;$W2576),"標準報酬月額が申請書と相違（台帳"&amp;TEXT(INDEX(職員マスタ!$K$6:$K$405,$AP2576),"#,##0")&amp;"円／申請書"&amp;TEXT($W2576,"#,##0")&amp;"円）／","")&amp;IF(AND(INDEX(職員マスタ!$F$6:$F$405,$AP2576)&lt;&gt;"",$AQ2576&lt;&gt;"",INDEX(職員マスタ!$F$6:$F$405,$AP2576)&lt;$AQ2576),"対象月に子が2歳到達済／","")&amp;IF(AND($H2576&lt;&gt;"",INDEX(職員マスタ!$B$6:$B$405,$AP2576)&lt;&gt;"",SUBSTITUTE(SUBSTITUTE($H2576," ","")," ","")&lt;&gt;SUBSTITUTE(SUBSTITUTE(INDEX(職員マスタ!$B$6:$B$405,$AP2576)," ","")," ","")),"氏名がマスタと相違／","")&amp;IF(AND($Q2576&lt;&gt;"",INDEX(職員マスタ!$E$6:$E$405,$AP2576)&lt;&gt;"",$Q2576&lt;&gt;INDEX(職員マスタ!$E$6:$E$405,$AP2576)),"子の生年月日がマスタと相違／","")&amp;IF(AND($L2576&lt;&gt;"",INDEX(職員マスタ!$G$6:$G$405,$AP2576)&lt;&gt;"",$L2576&lt;&gt;INDEX(職員マスタ!$G$6:$G$405,$AP2576)),"時短開始日がマスタと相違／","")&amp;IF(AND($M2576&lt;&gt;"",INDEX(職員マスタ!$H$6:$H$405,$AP2576)&lt;&gt;"",$M2576&lt;&gt;INDEX(職員マスタ!$H$6:$H$405,$AP2576)),"時短終了日がマスタと相違／","")))&amp;IF(AND($B2576&lt;&gt;"",$E2576=""),"報酬額が未入力／","")&amp;IF(N($U2576)&gt;0,"申請書に入力エラーが残っています／","")&amp;IF(AND($B2576&lt;&gt;"",$AQ2576&lt;&gt;""),IF(COUNTIFS($B$6:$B$3005,$B2576,$C$6:$C$3005,$C2576,$D$6:$D$3005,$D2576)&gt;1,"同じ月の請求が重複しています／",""),"")&amp;IF(AND(N($E2576)&gt;0,$AB2576&lt;&gt;"",$AB2576&lt;&gt;"×",$AE2576=0,$AD2576=""),"計算額が下限以下のため不支給／",""))</f>
        <v/>
      </c>
      <c r="AN2576" s="12" t="n"/>
      <c r="AO2576" s="14">
        <f>IF($AF2576="保留中",COUNTIF($AF$6:$AF2576,"保留中"),"")</f>
        <v/>
      </c>
      <c r="AP2576" s="14">
        <f>IF($AQ2576="","",IF(SUMPRODUCT(MAX((職員マスタ!$A$6:$A$405=$B2576)*(((職員マスタ!$G$6:$G$405="")+(職員マスタ!$G$6:$G$405&lt;=EOMONTH($AQ2576,0)))&gt;0)*(((職員マスタ!$H$6:$H$405="")+(職員マスタ!$H$6:$H$405&gt;=$AQ2576))&gt;0)*(ROW(職員マスタ!$A$6:$A$405)-5)))&gt;0,SUMPRODUCT(MAX((職員マスタ!$A$6:$A$405=$B2576)*(((職員マスタ!$G$6:$G$405="")+(職員マスタ!$G$6:$G$405&lt;=EOMONTH($AQ2576,0)))&gt;0)*(((職員マスタ!$H$6:$H$405="")+(職員マスタ!$H$6:$H$405&gt;=$AQ2576))&gt;0)*(ROW(職員マスタ!$A$6:$A$405)-5))),IFERROR(MATCH($B2576,職員マスタ!$A$6:$A$405,0),"")))</f>
        <v/>
      </c>
      <c r="AQ2576" s="16">
        <f>IF(OR($B2576="",$C2576="",$D2576=""),"",DATE($C2576+2018,$D2576,1))</f>
        <v/>
      </c>
    </row>
    <row r="2577">
      <c r="A2577" s="11" t="n"/>
      <c r="B2577" s="12" t="n"/>
      <c r="C2577" s="12" t="n"/>
      <c r="D2577" s="12" t="n"/>
      <c r="E2577" s="13" t="n"/>
      <c r="F2577" s="12" t="n"/>
      <c r="G2577" s="13" t="n"/>
      <c r="H2577" s="12" t="n"/>
      <c r="I2577" s="12" t="n"/>
      <c r="J2577" s="12" t="n"/>
      <c r="K2577" s="12" t="n"/>
      <c r="L2577" s="11" t="n"/>
      <c r="M2577" s="11" t="n"/>
      <c r="N2577" s="11" t="n"/>
      <c r="O2577" s="11" t="n"/>
      <c r="P2577" s="12" t="n"/>
      <c r="Q2577" s="11" t="n"/>
      <c r="R2577" s="12" t="n"/>
      <c r="S2577" s="11" t="n"/>
      <c r="T2577" s="12" t="n"/>
      <c r="U2577" s="12" t="n"/>
      <c r="V2577" s="12" t="n"/>
      <c r="W2577" s="13" t="n"/>
      <c r="X2577" s="14">
        <f>IF($AP2577="",IF($B2577="","",$H2577),IF(INDEX(職員マスタ!$B$6:$B$405,$AP2577)="",$H2577,INDEX(職員マスタ!$B$6:$B$405,$AP2577)))</f>
        <v/>
      </c>
      <c r="Y2577" s="14">
        <f>IF($AP2577="",IF($B2577="","",$R2577),IF(INDEX(職員マスタ!$C$6:$C$405,$AP2577)="",$R2577,INDEX(職員マスタ!$C$6:$C$405,$AP2577)))</f>
        <v/>
      </c>
      <c r="Z2577" s="14">
        <f>IF($AQ2577="","","R"&amp;$C2577&amp;"."&amp;$D2577)</f>
        <v/>
      </c>
      <c r="AA2577" s="15">
        <f>IF(IF($AP2577="",FALSE,INDEX(職員マスタ!$K$6:$K$405,$AP2577)&lt;&gt;""),INDEX(職員マスタ!$K$6:$K$405,$AP2577),IF(N($W2577)&gt;0,$W2577,""))</f>
        <v/>
      </c>
      <c r="AB2577" s="14">
        <f>IF(OR($E2577="",$AA2577=""),"",IF($E2577&gt;=$AA2577,"×",IF($E2577&gt;=$AA2577*設定!$C$5,"△","○")))</f>
        <v/>
      </c>
      <c r="AC2577" s="15">
        <f>IF($AB2577="","",IF($AB2577="×",0,IF($AB2577="○",ROUNDDOWN($E2577*設定!$C$4,0),ROUNDDOWN($E2577*ROUND((9*$AA2577-9*$E2577)/(10*$E2577),4),0))))</f>
        <v/>
      </c>
      <c r="AD2577" s="13" t="n"/>
      <c r="AE2577" s="15">
        <f>IF($B2577="","",IF($AD2577&lt;&gt;"",$AD2577,IF($AC2577="","",IF($AC2577&lt;=設定!$C$3,0,$AC2577))))</f>
        <v/>
      </c>
      <c r="AF2577" s="14">
        <f>IF($B2577="","",IF(AND($AG2577&lt;&gt;"",$AI2577="",$AL2577=""),"保留中",IF($AL2577&lt;&gt;"",IF(N($AE2577)&gt;0,"支給済","不支給"),IF($AE2577="","要確認",IF($AE2577=0,"不支給","未処理")))))</f>
        <v/>
      </c>
      <c r="AG2577" s="12" t="n"/>
      <c r="AH2577" s="11" t="n"/>
      <c r="AI2577" s="11" t="n"/>
      <c r="AJ2577" s="11" t="n"/>
      <c r="AK2577" s="14">
        <f>IF(AND($AF2577="保留中",$AH2577&lt;&gt;""),TODAY()-$AH2577,"")</f>
        <v/>
      </c>
      <c r="AL2577" s="12" t="n"/>
      <c r="AM2577" s="14">
        <f>IF($B2577="","",IF($AQ2577="","対象年月が未入力／","")&amp;IF($B2577="","",IF($AP2577="","職員マスタに未登録の職員番号／",IF($AA2577="","標準報酬月額が未登録／","")&amp;IF(AND($AQ2577&lt;&gt;"",OR(AND(INDEX(職員マスタ!$G$6:$G$405,$AP2577)&lt;&gt;"",INDEX(職員マスタ!$G$6:$G$405,$AP2577)&gt;EOMONTH($AQ2577,0)),AND(INDEX(職員マスタ!$H$6:$H$405,$AP2577)&lt;&gt;"",INDEX(職員マスタ!$H$6:$H$405,$AP2577)&lt;$AQ2577))),"対象月が時短期間外／","")&amp;IF(AND(INDEX(職員マスタ!$K$6:$K$405,$AP2577)&lt;&gt;"",N($W2577)&gt;0,INDEX(職員マスタ!$K$6:$K$405,$AP2577)&lt;&gt;$W2577),"標準報酬月額が申請書と相違（台帳"&amp;TEXT(INDEX(職員マスタ!$K$6:$K$405,$AP2577),"#,##0")&amp;"円／申請書"&amp;TEXT($W2577,"#,##0")&amp;"円）／","")&amp;IF(AND(INDEX(職員マスタ!$F$6:$F$405,$AP2577)&lt;&gt;"",$AQ2577&lt;&gt;"",INDEX(職員マスタ!$F$6:$F$405,$AP2577)&lt;$AQ2577),"対象月に子が2歳到達済／","")&amp;IF(AND($H2577&lt;&gt;"",INDEX(職員マスタ!$B$6:$B$405,$AP2577)&lt;&gt;"",SUBSTITUTE(SUBSTITUTE($H2577," ","")," ","")&lt;&gt;SUBSTITUTE(SUBSTITUTE(INDEX(職員マスタ!$B$6:$B$405,$AP2577)," ","")," ","")),"氏名がマスタと相違／","")&amp;IF(AND($Q2577&lt;&gt;"",INDEX(職員マスタ!$E$6:$E$405,$AP2577)&lt;&gt;"",$Q2577&lt;&gt;INDEX(職員マスタ!$E$6:$E$405,$AP2577)),"子の生年月日がマスタと相違／","")&amp;IF(AND($L2577&lt;&gt;"",INDEX(職員マスタ!$G$6:$G$405,$AP2577)&lt;&gt;"",$L2577&lt;&gt;INDEX(職員マスタ!$G$6:$G$405,$AP2577)),"時短開始日がマスタと相違／","")&amp;IF(AND($M2577&lt;&gt;"",INDEX(職員マスタ!$H$6:$H$405,$AP2577)&lt;&gt;"",$M2577&lt;&gt;INDEX(職員マスタ!$H$6:$H$405,$AP2577)),"時短終了日がマスタと相違／","")))&amp;IF(AND($B2577&lt;&gt;"",$E2577=""),"報酬額が未入力／","")&amp;IF(N($U2577)&gt;0,"申請書に入力エラーが残っています／","")&amp;IF(AND($B2577&lt;&gt;"",$AQ2577&lt;&gt;""),IF(COUNTIFS($B$6:$B$3005,$B2577,$C$6:$C$3005,$C2577,$D$6:$D$3005,$D2577)&gt;1,"同じ月の請求が重複しています／",""),"")&amp;IF(AND(N($E2577)&gt;0,$AB2577&lt;&gt;"",$AB2577&lt;&gt;"×",$AE2577=0,$AD2577=""),"計算額が下限以下のため不支給／",""))</f>
        <v/>
      </c>
      <c r="AN2577" s="12" t="n"/>
      <c r="AO2577" s="14">
        <f>IF($AF2577="保留中",COUNTIF($AF$6:$AF2577,"保留中"),"")</f>
        <v/>
      </c>
      <c r="AP2577" s="14">
        <f>IF($AQ2577="","",IF(SUMPRODUCT(MAX((職員マスタ!$A$6:$A$405=$B2577)*(((職員マスタ!$G$6:$G$405="")+(職員マスタ!$G$6:$G$405&lt;=EOMONTH($AQ2577,0)))&gt;0)*(((職員マスタ!$H$6:$H$405="")+(職員マスタ!$H$6:$H$405&gt;=$AQ2577))&gt;0)*(ROW(職員マスタ!$A$6:$A$405)-5)))&gt;0,SUMPRODUCT(MAX((職員マスタ!$A$6:$A$405=$B2577)*(((職員マスタ!$G$6:$G$405="")+(職員マスタ!$G$6:$G$405&lt;=EOMONTH($AQ2577,0)))&gt;0)*(((職員マスタ!$H$6:$H$405="")+(職員マスタ!$H$6:$H$405&gt;=$AQ2577))&gt;0)*(ROW(職員マスタ!$A$6:$A$405)-5))),IFERROR(MATCH($B2577,職員マスタ!$A$6:$A$405,0),"")))</f>
        <v/>
      </c>
      <c r="AQ2577" s="16">
        <f>IF(OR($B2577="",$C2577="",$D2577=""),"",DATE($C2577+2018,$D2577,1))</f>
        <v/>
      </c>
    </row>
    <row r="2578">
      <c r="A2578" s="11" t="n"/>
      <c r="B2578" s="12" t="n"/>
      <c r="C2578" s="12" t="n"/>
      <c r="D2578" s="12" t="n"/>
      <c r="E2578" s="13" t="n"/>
      <c r="F2578" s="12" t="n"/>
      <c r="G2578" s="13" t="n"/>
      <c r="H2578" s="12" t="n"/>
      <c r="I2578" s="12" t="n"/>
      <c r="J2578" s="12" t="n"/>
      <c r="K2578" s="12" t="n"/>
      <c r="L2578" s="11" t="n"/>
      <c r="M2578" s="11" t="n"/>
      <c r="N2578" s="11" t="n"/>
      <c r="O2578" s="11" t="n"/>
      <c r="P2578" s="12" t="n"/>
      <c r="Q2578" s="11" t="n"/>
      <c r="R2578" s="12" t="n"/>
      <c r="S2578" s="11" t="n"/>
      <c r="T2578" s="12" t="n"/>
      <c r="U2578" s="12" t="n"/>
      <c r="V2578" s="12" t="n"/>
      <c r="W2578" s="13" t="n"/>
      <c r="X2578" s="14">
        <f>IF($AP2578="",IF($B2578="","",$H2578),IF(INDEX(職員マスタ!$B$6:$B$405,$AP2578)="",$H2578,INDEX(職員マスタ!$B$6:$B$405,$AP2578)))</f>
        <v/>
      </c>
      <c r="Y2578" s="14">
        <f>IF($AP2578="",IF($B2578="","",$R2578),IF(INDEX(職員マスタ!$C$6:$C$405,$AP2578)="",$R2578,INDEX(職員マスタ!$C$6:$C$405,$AP2578)))</f>
        <v/>
      </c>
      <c r="Z2578" s="14">
        <f>IF($AQ2578="","","R"&amp;$C2578&amp;"."&amp;$D2578)</f>
        <v/>
      </c>
      <c r="AA2578" s="15">
        <f>IF(IF($AP2578="",FALSE,INDEX(職員マスタ!$K$6:$K$405,$AP2578)&lt;&gt;""),INDEX(職員マスタ!$K$6:$K$405,$AP2578),IF(N($W2578)&gt;0,$W2578,""))</f>
        <v/>
      </c>
      <c r="AB2578" s="14">
        <f>IF(OR($E2578="",$AA2578=""),"",IF($E2578&gt;=$AA2578,"×",IF($E2578&gt;=$AA2578*設定!$C$5,"△","○")))</f>
        <v/>
      </c>
      <c r="AC2578" s="15">
        <f>IF($AB2578="","",IF($AB2578="×",0,IF($AB2578="○",ROUNDDOWN($E2578*設定!$C$4,0),ROUNDDOWN($E2578*ROUND((9*$AA2578-9*$E2578)/(10*$E2578),4),0))))</f>
        <v/>
      </c>
      <c r="AD2578" s="13" t="n"/>
      <c r="AE2578" s="15">
        <f>IF($B2578="","",IF($AD2578&lt;&gt;"",$AD2578,IF($AC2578="","",IF($AC2578&lt;=設定!$C$3,0,$AC2578))))</f>
        <v/>
      </c>
      <c r="AF2578" s="14">
        <f>IF($B2578="","",IF(AND($AG2578&lt;&gt;"",$AI2578="",$AL2578=""),"保留中",IF($AL2578&lt;&gt;"",IF(N($AE2578)&gt;0,"支給済","不支給"),IF($AE2578="","要確認",IF($AE2578=0,"不支給","未処理")))))</f>
        <v/>
      </c>
      <c r="AG2578" s="12" t="n"/>
      <c r="AH2578" s="11" t="n"/>
      <c r="AI2578" s="11" t="n"/>
      <c r="AJ2578" s="11" t="n"/>
      <c r="AK2578" s="14">
        <f>IF(AND($AF2578="保留中",$AH2578&lt;&gt;""),TODAY()-$AH2578,"")</f>
        <v/>
      </c>
      <c r="AL2578" s="12" t="n"/>
      <c r="AM2578" s="14">
        <f>IF($B2578="","",IF($AQ2578="","対象年月が未入力／","")&amp;IF($B2578="","",IF($AP2578="","職員マスタに未登録の職員番号／",IF($AA2578="","標準報酬月額が未登録／","")&amp;IF(AND($AQ2578&lt;&gt;"",OR(AND(INDEX(職員マスタ!$G$6:$G$405,$AP2578)&lt;&gt;"",INDEX(職員マスタ!$G$6:$G$405,$AP2578)&gt;EOMONTH($AQ2578,0)),AND(INDEX(職員マスタ!$H$6:$H$405,$AP2578)&lt;&gt;"",INDEX(職員マスタ!$H$6:$H$405,$AP2578)&lt;$AQ2578))),"対象月が時短期間外／","")&amp;IF(AND(INDEX(職員マスタ!$K$6:$K$405,$AP2578)&lt;&gt;"",N($W2578)&gt;0,INDEX(職員マスタ!$K$6:$K$405,$AP2578)&lt;&gt;$W2578),"標準報酬月額が申請書と相違（台帳"&amp;TEXT(INDEX(職員マスタ!$K$6:$K$405,$AP2578),"#,##0")&amp;"円／申請書"&amp;TEXT($W2578,"#,##0")&amp;"円）／","")&amp;IF(AND(INDEX(職員マスタ!$F$6:$F$405,$AP2578)&lt;&gt;"",$AQ2578&lt;&gt;"",INDEX(職員マスタ!$F$6:$F$405,$AP2578)&lt;$AQ2578),"対象月に子が2歳到達済／","")&amp;IF(AND($H2578&lt;&gt;"",INDEX(職員マスタ!$B$6:$B$405,$AP2578)&lt;&gt;"",SUBSTITUTE(SUBSTITUTE($H2578," ","")," ","")&lt;&gt;SUBSTITUTE(SUBSTITUTE(INDEX(職員マスタ!$B$6:$B$405,$AP2578)," ","")," ","")),"氏名がマスタと相違／","")&amp;IF(AND($Q2578&lt;&gt;"",INDEX(職員マスタ!$E$6:$E$405,$AP2578)&lt;&gt;"",$Q2578&lt;&gt;INDEX(職員マスタ!$E$6:$E$405,$AP2578)),"子の生年月日がマスタと相違／","")&amp;IF(AND($L2578&lt;&gt;"",INDEX(職員マスタ!$G$6:$G$405,$AP2578)&lt;&gt;"",$L2578&lt;&gt;INDEX(職員マスタ!$G$6:$G$405,$AP2578)),"時短開始日がマスタと相違／","")&amp;IF(AND($M2578&lt;&gt;"",INDEX(職員マスタ!$H$6:$H$405,$AP2578)&lt;&gt;"",$M2578&lt;&gt;INDEX(職員マスタ!$H$6:$H$405,$AP2578)),"時短終了日がマスタと相違／","")))&amp;IF(AND($B2578&lt;&gt;"",$E2578=""),"報酬額が未入力／","")&amp;IF(N($U2578)&gt;0,"申請書に入力エラーが残っています／","")&amp;IF(AND($B2578&lt;&gt;"",$AQ2578&lt;&gt;""),IF(COUNTIFS($B$6:$B$3005,$B2578,$C$6:$C$3005,$C2578,$D$6:$D$3005,$D2578)&gt;1,"同じ月の請求が重複しています／",""),"")&amp;IF(AND(N($E2578)&gt;0,$AB2578&lt;&gt;"",$AB2578&lt;&gt;"×",$AE2578=0,$AD2578=""),"計算額が下限以下のため不支給／",""))</f>
        <v/>
      </c>
      <c r="AN2578" s="12" t="n"/>
      <c r="AO2578" s="14">
        <f>IF($AF2578="保留中",COUNTIF($AF$6:$AF2578,"保留中"),"")</f>
        <v/>
      </c>
      <c r="AP2578" s="14">
        <f>IF($AQ2578="","",IF(SUMPRODUCT(MAX((職員マスタ!$A$6:$A$405=$B2578)*(((職員マスタ!$G$6:$G$405="")+(職員マスタ!$G$6:$G$405&lt;=EOMONTH($AQ2578,0)))&gt;0)*(((職員マスタ!$H$6:$H$405="")+(職員マスタ!$H$6:$H$405&gt;=$AQ2578))&gt;0)*(ROW(職員マスタ!$A$6:$A$405)-5)))&gt;0,SUMPRODUCT(MAX((職員マスタ!$A$6:$A$405=$B2578)*(((職員マスタ!$G$6:$G$405="")+(職員マスタ!$G$6:$G$405&lt;=EOMONTH($AQ2578,0)))&gt;0)*(((職員マスタ!$H$6:$H$405="")+(職員マスタ!$H$6:$H$405&gt;=$AQ2578))&gt;0)*(ROW(職員マスタ!$A$6:$A$405)-5))),IFERROR(MATCH($B2578,職員マスタ!$A$6:$A$405,0),"")))</f>
        <v/>
      </c>
      <c r="AQ2578" s="16">
        <f>IF(OR($B2578="",$C2578="",$D2578=""),"",DATE($C2578+2018,$D2578,1))</f>
        <v/>
      </c>
    </row>
    <row r="2579">
      <c r="A2579" s="11" t="n"/>
      <c r="B2579" s="12" t="n"/>
      <c r="C2579" s="12" t="n"/>
      <c r="D2579" s="12" t="n"/>
      <c r="E2579" s="13" t="n"/>
      <c r="F2579" s="12" t="n"/>
      <c r="G2579" s="13" t="n"/>
      <c r="H2579" s="12" t="n"/>
      <c r="I2579" s="12" t="n"/>
      <c r="J2579" s="12" t="n"/>
      <c r="K2579" s="12" t="n"/>
      <c r="L2579" s="11" t="n"/>
      <c r="M2579" s="11" t="n"/>
      <c r="N2579" s="11" t="n"/>
      <c r="O2579" s="11" t="n"/>
      <c r="P2579" s="12" t="n"/>
      <c r="Q2579" s="11" t="n"/>
      <c r="R2579" s="12" t="n"/>
      <c r="S2579" s="11" t="n"/>
      <c r="T2579" s="12" t="n"/>
      <c r="U2579" s="12" t="n"/>
      <c r="V2579" s="12" t="n"/>
      <c r="W2579" s="13" t="n"/>
      <c r="X2579" s="14">
        <f>IF($AP2579="",IF($B2579="","",$H2579),IF(INDEX(職員マスタ!$B$6:$B$405,$AP2579)="",$H2579,INDEX(職員マスタ!$B$6:$B$405,$AP2579)))</f>
        <v/>
      </c>
      <c r="Y2579" s="14">
        <f>IF($AP2579="",IF($B2579="","",$R2579),IF(INDEX(職員マスタ!$C$6:$C$405,$AP2579)="",$R2579,INDEX(職員マスタ!$C$6:$C$405,$AP2579)))</f>
        <v/>
      </c>
      <c r="Z2579" s="14">
        <f>IF($AQ2579="","","R"&amp;$C2579&amp;"."&amp;$D2579)</f>
        <v/>
      </c>
      <c r="AA2579" s="15">
        <f>IF(IF($AP2579="",FALSE,INDEX(職員マスタ!$K$6:$K$405,$AP2579)&lt;&gt;""),INDEX(職員マスタ!$K$6:$K$405,$AP2579),IF(N($W2579)&gt;0,$W2579,""))</f>
        <v/>
      </c>
      <c r="AB2579" s="14">
        <f>IF(OR($E2579="",$AA2579=""),"",IF($E2579&gt;=$AA2579,"×",IF($E2579&gt;=$AA2579*設定!$C$5,"△","○")))</f>
        <v/>
      </c>
      <c r="AC2579" s="15">
        <f>IF($AB2579="","",IF($AB2579="×",0,IF($AB2579="○",ROUNDDOWN($E2579*設定!$C$4,0),ROUNDDOWN($E2579*ROUND((9*$AA2579-9*$E2579)/(10*$E2579),4),0))))</f>
        <v/>
      </c>
      <c r="AD2579" s="13" t="n"/>
      <c r="AE2579" s="15">
        <f>IF($B2579="","",IF($AD2579&lt;&gt;"",$AD2579,IF($AC2579="","",IF($AC2579&lt;=設定!$C$3,0,$AC2579))))</f>
        <v/>
      </c>
      <c r="AF2579" s="14">
        <f>IF($B2579="","",IF(AND($AG2579&lt;&gt;"",$AI2579="",$AL2579=""),"保留中",IF($AL2579&lt;&gt;"",IF(N($AE2579)&gt;0,"支給済","不支給"),IF($AE2579="","要確認",IF($AE2579=0,"不支給","未処理")))))</f>
        <v/>
      </c>
      <c r="AG2579" s="12" t="n"/>
      <c r="AH2579" s="11" t="n"/>
      <c r="AI2579" s="11" t="n"/>
      <c r="AJ2579" s="11" t="n"/>
      <c r="AK2579" s="14">
        <f>IF(AND($AF2579="保留中",$AH2579&lt;&gt;""),TODAY()-$AH2579,"")</f>
        <v/>
      </c>
      <c r="AL2579" s="12" t="n"/>
      <c r="AM2579" s="14">
        <f>IF($B2579="","",IF($AQ2579="","対象年月が未入力／","")&amp;IF($B2579="","",IF($AP2579="","職員マスタに未登録の職員番号／",IF($AA2579="","標準報酬月額が未登録／","")&amp;IF(AND($AQ2579&lt;&gt;"",OR(AND(INDEX(職員マスタ!$G$6:$G$405,$AP2579)&lt;&gt;"",INDEX(職員マスタ!$G$6:$G$405,$AP2579)&gt;EOMONTH($AQ2579,0)),AND(INDEX(職員マスタ!$H$6:$H$405,$AP2579)&lt;&gt;"",INDEX(職員マスタ!$H$6:$H$405,$AP2579)&lt;$AQ2579))),"対象月が時短期間外／","")&amp;IF(AND(INDEX(職員マスタ!$K$6:$K$405,$AP2579)&lt;&gt;"",N($W2579)&gt;0,INDEX(職員マスタ!$K$6:$K$405,$AP2579)&lt;&gt;$W2579),"標準報酬月額が申請書と相違（台帳"&amp;TEXT(INDEX(職員マスタ!$K$6:$K$405,$AP2579),"#,##0")&amp;"円／申請書"&amp;TEXT($W2579,"#,##0")&amp;"円）／","")&amp;IF(AND(INDEX(職員マスタ!$F$6:$F$405,$AP2579)&lt;&gt;"",$AQ2579&lt;&gt;"",INDEX(職員マスタ!$F$6:$F$405,$AP2579)&lt;$AQ2579),"対象月に子が2歳到達済／","")&amp;IF(AND($H2579&lt;&gt;"",INDEX(職員マスタ!$B$6:$B$405,$AP2579)&lt;&gt;"",SUBSTITUTE(SUBSTITUTE($H2579," ","")," ","")&lt;&gt;SUBSTITUTE(SUBSTITUTE(INDEX(職員マスタ!$B$6:$B$405,$AP2579)," ","")," ","")),"氏名がマスタと相違／","")&amp;IF(AND($Q2579&lt;&gt;"",INDEX(職員マスタ!$E$6:$E$405,$AP2579)&lt;&gt;"",$Q2579&lt;&gt;INDEX(職員マスタ!$E$6:$E$405,$AP2579)),"子の生年月日がマスタと相違／","")&amp;IF(AND($L2579&lt;&gt;"",INDEX(職員マスタ!$G$6:$G$405,$AP2579)&lt;&gt;"",$L2579&lt;&gt;INDEX(職員マスタ!$G$6:$G$405,$AP2579)),"時短開始日がマスタと相違／","")&amp;IF(AND($M2579&lt;&gt;"",INDEX(職員マスタ!$H$6:$H$405,$AP2579)&lt;&gt;"",$M2579&lt;&gt;INDEX(職員マスタ!$H$6:$H$405,$AP2579)),"時短終了日がマスタと相違／","")))&amp;IF(AND($B2579&lt;&gt;"",$E2579=""),"報酬額が未入力／","")&amp;IF(N($U2579)&gt;0,"申請書に入力エラーが残っています／","")&amp;IF(AND($B2579&lt;&gt;"",$AQ2579&lt;&gt;""),IF(COUNTIFS($B$6:$B$3005,$B2579,$C$6:$C$3005,$C2579,$D$6:$D$3005,$D2579)&gt;1,"同じ月の請求が重複しています／",""),"")&amp;IF(AND(N($E2579)&gt;0,$AB2579&lt;&gt;"",$AB2579&lt;&gt;"×",$AE2579=0,$AD2579=""),"計算額が下限以下のため不支給／",""))</f>
        <v/>
      </c>
      <c r="AN2579" s="12" t="n"/>
      <c r="AO2579" s="14">
        <f>IF($AF2579="保留中",COUNTIF($AF$6:$AF2579,"保留中"),"")</f>
        <v/>
      </c>
      <c r="AP2579" s="14">
        <f>IF($AQ2579="","",IF(SUMPRODUCT(MAX((職員マスタ!$A$6:$A$405=$B2579)*(((職員マスタ!$G$6:$G$405="")+(職員マスタ!$G$6:$G$405&lt;=EOMONTH($AQ2579,0)))&gt;0)*(((職員マスタ!$H$6:$H$405="")+(職員マスタ!$H$6:$H$405&gt;=$AQ2579))&gt;0)*(ROW(職員マスタ!$A$6:$A$405)-5)))&gt;0,SUMPRODUCT(MAX((職員マスタ!$A$6:$A$405=$B2579)*(((職員マスタ!$G$6:$G$405="")+(職員マスタ!$G$6:$G$405&lt;=EOMONTH($AQ2579,0)))&gt;0)*(((職員マスタ!$H$6:$H$405="")+(職員マスタ!$H$6:$H$405&gt;=$AQ2579))&gt;0)*(ROW(職員マスタ!$A$6:$A$405)-5))),IFERROR(MATCH($B2579,職員マスタ!$A$6:$A$405,0),"")))</f>
        <v/>
      </c>
      <c r="AQ2579" s="16">
        <f>IF(OR($B2579="",$C2579="",$D2579=""),"",DATE($C2579+2018,$D2579,1))</f>
        <v/>
      </c>
    </row>
    <row r="2580">
      <c r="A2580" s="11" t="n"/>
      <c r="B2580" s="12" t="n"/>
      <c r="C2580" s="12" t="n"/>
      <c r="D2580" s="12" t="n"/>
      <c r="E2580" s="13" t="n"/>
      <c r="F2580" s="12" t="n"/>
      <c r="G2580" s="13" t="n"/>
      <c r="H2580" s="12" t="n"/>
      <c r="I2580" s="12" t="n"/>
      <c r="J2580" s="12" t="n"/>
      <c r="K2580" s="12" t="n"/>
      <c r="L2580" s="11" t="n"/>
      <c r="M2580" s="11" t="n"/>
      <c r="N2580" s="11" t="n"/>
      <c r="O2580" s="11" t="n"/>
      <c r="P2580" s="12" t="n"/>
      <c r="Q2580" s="11" t="n"/>
      <c r="R2580" s="12" t="n"/>
      <c r="S2580" s="11" t="n"/>
      <c r="T2580" s="12" t="n"/>
      <c r="U2580" s="12" t="n"/>
      <c r="V2580" s="12" t="n"/>
      <c r="W2580" s="13" t="n"/>
      <c r="X2580" s="14">
        <f>IF($AP2580="",IF($B2580="","",$H2580),IF(INDEX(職員マスタ!$B$6:$B$405,$AP2580)="",$H2580,INDEX(職員マスタ!$B$6:$B$405,$AP2580)))</f>
        <v/>
      </c>
      <c r="Y2580" s="14">
        <f>IF($AP2580="",IF($B2580="","",$R2580),IF(INDEX(職員マスタ!$C$6:$C$405,$AP2580)="",$R2580,INDEX(職員マスタ!$C$6:$C$405,$AP2580)))</f>
        <v/>
      </c>
      <c r="Z2580" s="14">
        <f>IF($AQ2580="","","R"&amp;$C2580&amp;"."&amp;$D2580)</f>
        <v/>
      </c>
      <c r="AA2580" s="15">
        <f>IF(IF($AP2580="",FALSE,INDEX(職員マスタ!$K$6:$K$405,$AP2580)&lt;&gt;""),INDEX(職員マスタ!$K$6:$K$405,$AP2580),IF(N($W2580)&gt;0,$W2580,""))</f>
        <v/>
      </c>
      <c r="AB2580" s="14">
        <f>IF(OR($E2580="",$AA2580=""),"",IF($E2580&gt;=$AA2580,"×",IF($E2580&gt;=$AA2580*設定!$C$5,"△","○")))</f>
        <v/>
      </c>
      <c r="AC2580" s="15">
        <f>IF($AB2580="","",IF($AB2580="×",0,IF($AB2580="○",ROUNDDOWN($E2580*設定!$C$4,0),ROUNDDOWN($E2580*ROUND((9*$AA2580-9*$E2580)/(10*$E2580),4),0))))</f>
        <v/>
      </c>
      <c r="AD2580" s="13" t="n"/>
      <c r="AE2580" s="15">
        <f>IF($B2580="","",IF($AD2580&lt;&gt;"",$AD2580,IF($AC2580="","",IF($AC2580&lt;=設定!$C$3,0,$AC2580))))</f>
        <v/>
      </c>
      <c r="AF2580" s="14">
        <f>IF($B2580="","",IF(AND($AG2580&lt;&gt;"",$AI2580="",$AL2580=""),"保留中",IF($AL2580&lt;&gt;"",IF(N($AE2580)&gt;0,"支給済","不支給"),IF($AE2580="","要確認",IF($AE2580=0,"不支給","未処理")))))</f>
        <v/>
      </c>
      <c r="AG2580" s="12" t="n"/>
      <c r="AH2580" s="11" t="n"/>
      <c r="AI2580" s="11" t="n"/>
      <c r="AJ2580" s="11" t="n"/>
      <c r="AK2580" s="14">
        <f>IF(AND($AF2580="保留中",$AH2580&lt;&gt;""),TODAY()-$AH2580,"")</f>
        <v/>
      </c>
      <c r="AL2580" s="12" t="n"/>
      <c r="AM2580" s="14">
        <f>IF($B2580="","",IF($AQ2580="","対象年月が未入力／","")&amp;IF($B2580="","",IF($AP2580="","職員マスタに未登録の職員番号／",IF($AA2580="","標準報酬月額が未登録／","")&amp;IF(AND($AQ2580&lt;&gt;"",OR(AND(INDEX(職員マスタ!$G$6:$G$405,$AP2580)&lt;&gt;"",INDEX(職員マスタ!$G$6:$G$405,$AP2580)&gt;EOMONTH($AQ2580,0)),AND(INDEX(職員マスタ!$H$6:$H$405,$AP2580)&lt;&gt;"",INDEX(職員マスタ!$H$6:$H$405,$AP2580)&lt;$AQ2580))),"対象月が時短期間外／","")&amp;IF(AND(INDEX(職員マスタ!$K$6:$K$405,$AP2580)&lt;&gt;"",N($W2580)&gt;0,INDEX(職員マスタ!$K$6:$K$405,$AP2580)&lt;&gt;$W2580),"標準報酬月額が申請書と相違（台帳"&amp;TEXT(INDEX(職員マスタ!$K$6:$K$405,$AP2580),"#,##0")&amp;"円／申請書"&amp;TEXT($W2580,"#,##0")&amp;"円）／","")&amp;IF(AND(INDEX(職員マスタ!$F$6:$F$405,$AP2580)&lt;&gt;"",$AQ2580&lt;&gt;"",INDEX(職員マスタ!$F$6:$F$405,$AP2580)&lt;$AQ2580),"対象月に子が2歳到達済／","")&amp;IF(AND($H2580&lt;&gt;"",INDEX(職員マスタ!$B$6:$B$405,$AP2580)&lt;&gt;"",SUBSTITUTE(SUBSTITUTE($H2580," ","")," ","")&lt;&gt;SUBSTITUTE(SUBSTITUTE(INDEX(職員マスタ!$B$6:$B$405,$AP2580)," ","")," ","")),"氏名がマスタと相違／","")&amp;IF(AND($Q2580&lt;&gt;"",INDEX(職員マスタ!$E$6:$E$405,$AP2580)&lt;&gt;"",$Q2580&lt;&gt;INDEX(職員マスタ!$E$6:$E$405,$AP2580)),"子の生年月日がマスタと相違／","")&amp;IF(AND($L2580&lt;&gt;"",INDEX(職員マスタ!$G$6:$G$405,$AP2580)&lt;&gt;"",$L2580&lt;&gt;INDEX(職員マスタ!$G$6:$G$405,$AP2580)),"時短開始日がマスタと相違／","")&amp;IF(AND($M2580&lt;&gt;"",INDEX(職員マスタ!$H$6:$H$405,$AP2580)&lt;&gt;"",$M2580&lt;&gt;INDEX(職員マスタ!$H$6:$H$405,$AP2580)),"時短終了日がマスタと相違／","")))&amp;IF(AND($B2580&lt;&gt;"",$E2580=""),"報酬額が未入力／","")&amp;IF(N($U2580)&gt;0,"申請書に入力エラーが残っています／","")&amp;IF(AND($B2580&lt;&gt;"",$AQ2580&lt;&gt;""),IF(COUNTIFS($B$6:$B$3005,$B2580,$C$6:$C$3005,$C2580,$D$6:$D$3005,$D2580)&gt;1,"同じ月の請求が重複しています／",""),"")&amp;IF(AND(N($E2580)&gt;0,$AB2580&lt;&gt;"",$AB2580&lt;&gt;"×",$AE2580=0,$AD2580=""),"計算額が下限以下のため不支給／",""))</f>
        <v/>
      </c>
      <c r="AN2580" s="12" t="n"/>
      <c r="AO2580" s="14">
        <f>IF($AF2580="保留中",COUNTIF($AF$6:$AF2580,"保留中"),"")</f>
        <v/>
      </c>
      <c r="AP2580" s="14">
        <f>IF($AQ2580="","",IF(SUMPRODUCT(MAX((職員マスタ!$A$6:$A$405=$B2580)*(((職員マスタ!$G$6:$G$405="")+(職員マスタ!$G$6:$G$405&lt;=EOMONTH($AQ2580,0)))&gt;0)*(((職員マスタ!$H$6:$H$405="")+(職員マスタ!$H$6:$H$405&gt;=$AQ2580))&gt;0)*(ROW(職員マスタ!$A$6:$A$405)-5)))&gt;0,SUMPRODUCT(MAX((職員マスタ!$A$6:$A$405=$B2580)*(((職員マスタ!$G$6:$G$405="")+(職員マスタ!$G$6:$G$405&lt;=EOMONTH($AQ2580,0)))&gt;0)*(((職員マスタ!$H$6:$H$405="")+(職員マスタ!$H$6:$H$405&gt;=$AQ2580))&gt;0)*(ROW(職員マスタ!$A$6:$A$405)-5))),IFERROR(MATCH($B2580,職員マスタ!$A$6:$A$405,0),"")))</f>
        <v/>
      </c>
      <c r="AQ2580" s="16">
        <f>IF(OR($B2580="",$C2580="",$D2580=""),"",DATE($C2580+2018,$D2580,1))</f>
        <v/>
      </c>
    </row>
    <row r="2581">
      <c r="A2581" s="11" t="n"/>
      <c r="B2581" s="12" t="n"/>
      <c r="C2581" s="12" t="n"/>
      <c r="D2581" s="12" t="n"/>
      <c r="E2581" s="13" t="n"/>
      <c r="F2581" s="12" t="n"/>
      <c r="G2581" s="13" t="n"/>
      <c r="H2581" s="12" t="n"/>
      <c r="I2581" s="12" t="n"/>
      <c r="J2581" s="12" t="n"/>
      <c r="K2581" s="12" t="n"/>
      <c r="L2581" s="11" t="n"/>
      <c r="M2581" s="11" t="n"/>
      <c r="N2581" s="11" t="n"/>
      <c r="O2581" s="11" t="n"/>
      <c r="P2581" s="12" t="n"/>
      <c r="Q2581" s="11" t="n"/>
      <c r="R2581" s="12" t="n"/>
      <c r="S2581" s="11" t="n"/>
      <c r="T2581" s="12" t="n"/>
      <c r="U2581" s="12" t="n"/>
      <c r="V2581" s="12" t="n"/>
      <c r="W2581" s="13" t="n"/>
      <c r="X2581" s="14">
        <f>IF($AP2581="",IF($B2581="","",$H2581),IF(INDEX(職員マスタ!$B$6:$B$405,$AP2581)="",$H2581,INDEX(職員マスタ!$B$6:$B$405,$AP2581)))</f>
        <v/>
      </c>
      <c r="Y2581" s="14">
        <f>IF($AP2581="",IF($B2581="","",$R2581),IF(INDEX(職員マスタ!$C$6:$C$405,$AP2581)="",$R2581,INDEX(職員マスタ!$C$6:$C$405,$AP2581)))</f>
        <v/>
      </c>
      <c r="Z2581" s="14">
        <f>IF($AQ2581="","","R"&amp;$C2581&amp;"."&amp;$D2581)</f>
        <v/>
      </c>
      <c r="AA2581" s="15">
        <f>IF(IF($AP2581="",FALSE,INDEX(職員マスタ!$K$6:$K$405,$AP2581)&lt;&gt;""),INDEX(職員マスタ!$K$6:$K$405,$AP2581),IF(N($W2581)&gt;0,$W2581,""))</f>
        <v/>
      </c>
      <c r="AB2581" s="14">
        <f>IF(OR($E2581="",$AA2581=""),"",IF($E2581&gt;=$AA2581,"×",IF($E2581&gt;=$AA2581*設定!$C$5,"△","○")))</f>
        <v/>
      </c>
      <c r="AC2581" s="15">
        <f>IF($AB2581="","",IF($AB2581="×",0,IF($AB2581="○",ROUNDDOWN($E2581*設定!$C$4,0),ROUNDDOWN($E2581*ROUND((9*$AA2581-9*$E2581)/(10*$E2581),4),0))))</f>
        <v/>
      </c>
      <c r="AD2581" s="13" t="n"/>
      <c r="AE2581" s="15">
        <f>IF($B2581="","",IF($AD2581&lt;&gt;"",$AD2581,IF($AC2581="","",IF($AC2581&lt;=設定!$C$3,0,$AC2581))))</f>
        <v/>
      </c>
      <c r="AF2581" s="14">
        <f>IF($B2581="","",IF(AND($AG2581&lt;&gt;"",$AI2581="",$AL2581=""),"保留中",IF($AL2581&lt;&gt;"",IF(N($AE2581)&gt;0,"支給済","不支給"),IF($AE2581="","要確認",IF($AE2581=0,"不支給","未処理")))))</f>
        <v/>
      </c>
      <c r="AG2581" s="12" t="n"/>
      <c r="AH2581" s="11" t="n"/>
      <c r="AI2581" s="11" t="n"/>
      <c r="AJ2581" s="11" t="n"/>
      <c r="AK2581" s="14">
        <f>IF(AND($AF2581="保留中",$AH2581&lt;&gt;""),TODAY()-$AH2581,"")</f>
        <v/>
      </c>
      <c r="AL2581" s="12" t="n"/>
      <c r="AM2581" s="14">
        <f>IF($B2581="","",IF($AQ2581="","対象年月が未入力／","")&amp;IF($B2581="","",IF($AP2581="","職員マスタに未登録の職員番号／",IF($AA2581="","標準報酬月額が未登録／","")&amp;IF(AND($AQ2581&lt;&gt;"",OR(AND(INDEX(職員マスタ!$G$6:$G$405,$AP2581)&lt;&gt;"",INDEX(職員マスタ!$G$6:$G$405,$AP2581)&gt;EOMONTH($AQ2581,0)),AND(INDEX(職員マスタ!$H$6:$H$405,$AP2581)&lt;&gt;"",INDEX(職員マスタ!$H$6:$H$405,$AP2581)&lt;$AQ2581))),"対象月が時短期間外／","")&amp;IF(AND(INDEX(職員マスタ!$K$6:$K$405,$AP2581)&lt;&gt;"",N($W2581)&gt;0,INDEX(職員マスタ!$K$6:$K$405,$AP2581)&lt;&gt;$W2581),"標準報酬月額が申請書と相違（台帳"&amp;TEXT(INDEX(職員マスタ!$K$6:$K$405,$AP2581),"#,##0")&amp;"円／申請書"&amp;TEXT($W2581,"#,##0")&amp;"円）／","")&amp;IF(AND(INDEX(職員マスタ!$F$6:$F$405,$AP2581)&lt;&gt;"",$AQ2581&lt;&gt;"",INDEX(職員マスタ!$F$6:$F$405,$AP2581)&lt;$AQ2581),"対象月に子が2歳到達済／","")&amp;IF(AND($H2581&lt;&gt;"",INDEX(職員マスタ!$B$6:$B$405,$AP2581)&lt;&gt;"",SUBSTITUTE(SUBSTITUTE($H2581," ","")," ","")&lt;&gt;SUBSTITUTE(SUBSTITUTE(INDEX(職員マスタ!$B$6:$B$405,$AP2581)," ","")," ","")),"氏名がマスタと相違／","")&amp;IF(AND($Q2581&lt;&gt;"",INDEX(職員マスタ!$E$6:$E$405,$AP2581)&lt;&gt;"",$Q2581&lt;&gt;INDEX(職員マスタ!$E$6:$E$405,$AP2581)),"子の生年月日がマスタと相違／","")&amp;IF(AND($L2581&lt;&gt;"",INDEX(職員マスタ!$G$6:$G$405,$AP2581)&lt;&gt;"",$L2581&lt;&gt;INDEX(職員マスタ!$G$6:$G$405,$AP2581)),"時短開始日がマスタと相違／","")&amp;IF(AND($M2581&lt;&gt;"",INDEX(職員マスタ!$H$6:$H$405,$AP2581)&lt;&gt;"",$M2581&lt;&gt;INDEX(職員マスタ!$H$6:$H$405,$AP2581)),"時短終了日がマスタと相違／","")))&amp;IF(AND($B2581&lt;&gt;"",$E2581=""),"報酬額が未入力／","")&amp;IF(N($U2581)&gt;0,"申請書に入力エラーが残っています／","")&amp;IF(AND($B2581&lt;&gt;"",$AQ2581&lt;&gt;""),IF(COUNTIFS($B$6:$B$3005,$B2581,$C$6:$C$3005,$C2581,$D$6:$D$3005,$D2581)&gt;1,"同じ月の請求が重複しています／",""),"")&amp;IF(AND(N($E2581)&gt;0,$AB2581&lt;&gt;"",$AB2581&lt;&gt;"×",$AE2581=0,$AD2581=""),"計算額が下限以下のため不支給／",""))</f>
        <v/>
      </c>
      <c r="AN2581" s="12" t="n"/>
      <c r="AO2581" s="14">
        <f>IF($AF2581="保留中",COUNTIF($AF$6:$AF2581,"保留中"),"")</f>
        <v/>
      </c>
      <c r="AP2581" s="14">
        <f>IF($AQ2581="","",IF(SUMPRODUCT(MAX((職員マスタ!$A$6:$A$405=$B2581)*(((職員マスタ!$G$6:$G$405="")+(職員マスタ!$G$6:$G$405&lt;=EOMONTH($AQ2581,0)))&gt;0)*(((職員マスタ!$H$6:$H$405="")+(職員マスタ!$H$6:$H$405&gt;=$AQ2581))&gt;0)*(ROW(職員マスタ!$A$6:$A$405)-5)))&gt;0,SUMPRODUCT(MAX((職員マスタ!$A$6:$A$405=$B2581)*(((職員マスタ!$G$6:$G$405="")+(職員マスタ!$G$6:$G$405&lt;=EOMONTH($AQ2581,0)))&gt;0)*(((職員マスタ!$H$6:$H$405="")+(職員マスタ!$H$6:$H$405&gt;=$AQ2581))&gt;0)*(ROW(職員マスタ!$A$6:$A$405)-5))),IFERROR(MATCH($B2581,職員マスタ!$A$6:$A$405,0),"")))</f>
        <v/>
      </c>
      <c r="AQ2581" s="16">
        <f>IF(OR($B2581="",$C2581="",$D2581=""),"",DATE($C2581+2018,$D2581,1))</f>
        <v/>
      </c>
    </row>
    <row r="2582">
      <c r="A2582" s="11" t="n"/>
      <c r="B2582" s="12" t="n"/>
      <c r="C2582" s="12" t="n"/>
      <c r="D2582" s="12" t="n"/>
      <c r="E2582" s="13" t="n"/>
      <c r="F2582" s="12" t="n"/>
      <c r="G2582" s="13" t="n"/>
      <c r="H2582" s="12" t="n"/>
      <c r="I2582" s="12" t="n"/>
      <c r="J2582" s="12" t="n"/>
      <c r="K2582" s="12" t="n"/>
      <c r="L2582" s="11" t="n"/>
      <c r="M2582" s="11" t="n"/>
      <c r="N2582" s="11" t="n"/>
      <c r="O2582" s="11" t="n"/>
      <c r="P2582" s="12" t="n"/>
      <c r="Q2582" s="11" t="n"/>
      <c r="R2582" s="12" t="n"/>
      <c r="S2582" s="11" t="n"/>
      <c r="T2582" s="12" t="n"/>
      <c r="U2582" s="12" t="n"/>
      <c r="V2582" s="12" t="n"/>
      <c r="W2582" s="13" t="n"/>
      <c r="X2582" s="14">
        <f>IF($AP2582="",IF($B2582="","",$H2582),IF(INDEX(職員マスタ!$B$6:$B$405,$AP2582)="",$H2582,INDEX(職員マスタ!$B$6:$B$405,$AP2582)))</f>
        <v/>
      </c>
      <c r="Y2582" s="14">
        <f>IF($AP2582="",IF($B2582="","",$R2582),IF(INDEX(職員マスタ!$C$6:$C$405,$AP2582)="",$R2582,INDEX(職員マスタ!$C$6:$C$405,$AP2582)))</f>
        <v/>
      </c>
      <c r="Z2582" s="14">
        <f>IF($AQ2582="","","R"&amp;$C2582&amp;"."&amp;$D2582)</f>
        <v/>
      </c>
      <c r="AA2582" s="15">
        <f>IF(IF($AP2582="",FALSE,INDEX(職員マスタ!$K$6:$K$405,$AP2582)&lt;&gt;""),INDEX(職員マスタ!$K$6:$K$405,$AP2582),IF(N($W2582)&gt;0,$W2582,""))</f>
        <v/>
      </c>
      <c r="AB2582" s="14">
        <f>IF(OR($E2582="",$AA2582=""),"",IF($E2582&gt;=$AA2582,"×",IF($E2582&gt;=$AA2582*設定!$C$5,"△","○")))</f>
        <v/>
      </c>
      <c r="AC2582" s="15">
        <f>IF($AB2582="","",IF($AB2582="×",0,IF($AB2582="○",ROUNDDOWN($E2582*設定!$C$4,0),ROUNDDOWN($E2582*ROUND((9*$AA2582-9*$E2582)/(10*$E2582),4),0))))</f>
        <v/>
      </c>
      <c r="AD2582" s="13" t="n"/>
      <c r="AE2582" s="15">
        <f>IF($B2582="","",IF($AD2582&lt;&gt;"",$AD2582,IF($AC2582="","",IF($AC2582&lt;=設定!$C$3,0,$AC2582))))</f>
        <v/>
      </c>
      <c r="AF2582" s="14">
        <f>IF($B2582="","",IF(AND($AG2582&lt;&gt;"",$AI2582="",$AL2582=""),"保留中",IF($AL2582&lt;&gt;"",IF(N($AE2582)&gt;0,"支給済","不支給"),IF($AE2582="","要確認",IF($AE2582=0,"不支給","未処理")))))</f>
        <v/>
      </c>
      <c r="AG2582" s="12" t="n"/>
      <c r="AH2582" s="11" t="n"/>
      <c r="AI2582" s="11" t="n"/>
      <c r="AJ2582" s="11" t="n"/>
      <c r="AK2582" s="14">
        <f>IF(AND($AF2582="保留中",$AH2582&lt;&gt;""),TODAY()-$AH2582,"")</f>
        <v/>
      </c>
      <c r="AL2582" s="12" t="n"/>
      <c r="AM2582" s="14">
        <f>IF($B2582="","",IF($AQ2582="","対象年月が未入力／","")&amp;IF($B2582="","",IF($AP2582="","職員マスタに未登録の職員番号／",IF($AA2582="","標準報酬月額が未登録／","")&amp;IF(AND($AQ2582&lt;&gt;"",OR(AND(INDEX(職員マスタ!$G$6:$G$405,$AP2582)&lt;&gt;"",INDEX(職員マスタ!$G$6:$G$405,$AP2582)&gt;EOMONTH($AQ2582,0)),AND(INDEX(職員マスタ!$H$6:$H$405,$AP2582)&lt;&gt;"",INDEX(職員マスタ!$H$6:$H$405,$AP2582)&lt;$AQ2582))),"対象月が時短期間外／","")&amp;IF(AND(INDEX(職員マスタ!$K$6:$K$405,$AP2582)&lt;&gt;"",N($W2582)&gt;0,INDEX(職員マスタ!$K$6:$K$405,$AP2582)&lt;&gt;$W2582),"標準報酬月額が申請書と相違（台帳"&amp;TEXT(INDEX(職員マスタ!$K$6:$K$405,$AP2582),"#,##0")&amp;"円／申請書"&amp;TEXT($W2582,"#,##0")&amp;"円）／","")&amp;IF(AND(INDEX(職員マスタ!$F$6:$F$405,$AP2582)&lt;&gt;"",$AQ2582&lt;&gt;"",INDEX(職員マスタ!$F$6:$F$405,$AP2582)&lt;$AQ2582),"対象月に子が2歳到達済／","")&amp;IF(AND($H2582&lt;&gt;"",INDEX(職員マスタ!$B$6:$B$405,$AP2582)&lt;&gt;"",SUBSTITUTE(SUBSTITUTE($H2582," ","")," ","")&lt;&gt;SUBSTITUTE(SUBSTITUTE(INDEX(職員マスタ!$B$6:$B$405,$AP2582)," ","")," ","")),"氏名がマスタと相違／","")&amp;IF(AND($Q2582&lt;&gt;"",INDEX(職員マスタ!$E$6:$E$405,$AP2582)&lt;&gt;"",$Q2582&lt;&gt;INDEX(職員マスタ!$E$6:$E$405,$AP2582)),"子の生年月日がマスタと相違／","")&amp;IF(AND($L2582&lt;&gt;"",INDEX(職員マスタ!$G$6:$G$405,$AP2582)&lt;&gt;"",$L2582&lt;&gt;INDEX(職員マスタ!$G$6:$G$405,$AP2582)),"時短開始日がマスタと相違／","")&amp;IF(AND($M2582&lt;&gt;"",INDEX(職員マスタ!$H$6:$H$405,$AP2582)&lt;&gt;"",$M2582&lt;&gt;INDEX(職員マスタ!$H$6:$H$405,$AP2582)),"時短終了日がマスタと相違／","")))&amp;IF(AND($B2582&lt;&gt;"",$E2582=""),"報酬額が未入力／","")&amp;IF(N($U2582)&gt;0,"申請書に入力エラーが残っています／","")&amp;IF(AND($B2582&lt;&gt;"",$AQ2582&lt;&gt;""),IF(COUNTIFS($B$6:$B$3005,$B2582,$C$6:$C$3005,$C2582,$D$6:$D$3005,$D2582)&gt;1,"同じ月の請求が重複しています／",""),"")&amp;IF(AND(N($E2582)&gt;0,$AB2582&lt;&gt;"",$AB2582&lt;&gt;"×",$AE2582=0,$AD2582=""),"計算額が下限以下のため不支給／",""))</f>
        <v/>
      </c>
      <c r="AN2582" s="12" t="n"/>
      <c r="AO2582" s="14">
        <f>IF($AF2582="保留中",COUNTIF($AF$6:$AF2582,"保留中"),"")</f>
        <v/>
      </c>
      <c r="AP2582" s="14">
        <f>IF($AQ2582="","",IF(SUMPRODUCT(MAX((職員マスタ!$A$6:$A$405=$B2582)*(((職員マスタ!$G$6:$G$405="")+(職員マスタ!$G$6:$G$405&lt;=EOMONTH($AQ2582,0)))&gt;0)*(((職員マスタ!$H$6:$H$405="")+(職員マスタ!$H$6:$H$405&gt;=$AQ2582))&gt;0)*(ROW(職員マスタ!$A$6:$A$405)-5)))&gt;0,SUMPRODUCT(MAX((職員マスタ!$A$6:$A$405=$B2582)*(((職員マスタ!$G$6:$G$405="")+(職員マスタ!$G$6:$G$405&lt;=EOMONTH($AQ2582,0)))&gt;0)*(((職員マスタ!$H$6:$H$405="")+(職員マスタ!$H$6:$H$405&gt;=$AQ2582))&gt;0)*(ROW(職員マスタ!$A$6:$A$405)-5))),IFERROR(MATCH($B2582,職員マスタ!$A$6:$A$405,0),"")))</f>
        <v/>
      </c>
      <c r="AQ2582" s="16">
        <f>IF(OR($B2582="",$C2582="",$D2582=""),"",DATE($C2582+2018,$D2582,1))</f>
        <v/>
      </c>
    </row>
    <row r="2583">
      <c r="A2583" s="11" t="n"/>
      <c r="B2583" s="12" t="n"/>
      <c r="C2583" s="12" t="n"/>
      <c r="D2583" s="12" t="n"/>
      <c r="E2583" s="13" t="n"/>
      <c r="F2583" s="12" t="n"/>
      <c r="G2583" s="13" t="n"/>
      <c r="H2583" s="12" t="n"/>
      <c r="I2583" s="12" t="n"/>
      <c r="J2583" s="12" t="n"/>
      <c r="K2583" s="12" t="n"/>
      <c r="L2583" s="11" t="n"/>
      <c r="M2583" s="11" t="n"/>
      <c r="N2583" s="11" t="n"/>
      <c r="O2583" s="11" t="n"/>
      <c r="P2583" s="12" t="n"/>
      <c r="Q2583" s="11" t="n"/>
      <c r="R2583" s="12" t="n"/>
      <c r="S2583" s="11" t="n"/>
      <c r="T2583" s="12" t="n"/>
      <c r="U2583" s="12" t="n"/>
      <c r="V2583" s="12" t="n"/>
      <c r="W2583" s="13" t="n"/>
      <c r="X2583" s="14">
        <f>IF($AP2583="",IF($B2583="","",$H2583),IF(INDEX(職員マスタ!$B$6:$B$405,$AP2583)="",$H2583,INDEX(職員マスタ!$B$6:$B$405,$AP2583)))</f>
        <v/>
      </c>
      <c r="Y2583" s="14">
        <f>IF($AP2583="",IF($B2583="","",$R2583),IF(INDEX(職員マスタ!$C$6:$C$405,$AP2583)="",$R2583,INDEX(職員マスタ!$C$6:$C$405,$AP2583)))</f>
        <v/>
      </c>
      <c r="Z2583" s="14">
        <f>IF($AQ2583="","","R"&amp;$C2583&amp;"."&amp;$D2583)</f>
        <v/>
      </c>
      <c r="AA2583" s="15">
        <f>IF(IF($AP2583="",FALSE,INDEX(職員マスタ!$K$6:$K$405,$AP2583)&lt;&gt;""),INDEX(職員マスタ!$K$6:$K$405,$AP2583),IF(N($W2583)&gt;0,$W2583,""))</f>
        <v/>
      </c>
      <c r="AB2583" s="14">
        <f>IF(OR($E2583="",$AA2583=""),"",IF($E2583&gt;=$AA2583,"×",IF($E2583&gt;=$AA2583*設定!$C$5,"△","○")))</f>
        <v/>
      </c>
      <c r="AC2583" s="15">
        <f>IF($AB2583="","",IF($AB2583="×",0,IF($AB2583="○",ROUNDDOWN($E2583*設定!$C$4,0),ROUNDDOWN($E2583*ROUND((9*$AA2583-9*$E2583)/(10*$E2583),4),0))))</f>
        <v/>
      </c>
      <c r="AD2583" s="13" t="n"/>
      <c r="AE2583" s="15">
        <f>IF($B2583="","",IF($AD2583&lt;&gt;"",$AD2583,IF($AC2583="","",IF($AC2583&lt;=設定!$C$3,0,$AC2583))))</f>
        <v/>
      </c>
      <c r="AF2583" s="14">
        <f>IF($B2583="","",IF(AND($AG2583&lt;&gt;"",$AI2583="",$AL2583=""),"保留中",IF($AL2583&lt;&gt;"",IF(N($AE2583)&gt;0,"支給済","不支給"),IF($AE2583="","要確認",IF($AE2583=0,"不支給","未処理")))))</f>
        <v/>
      </c>
      <c r="AG2583" s="12" t="n"/>
      <c r="AH2583" s="11" t="n"/>
      <c r="AI2583" s="11" t="n"/>
      <c r="AJ2583" s="11" t="n"/>
      <c r="AK2583" s="14">
        <f>IF(AND($AF2583="保留中",$AH2583&lt;&gt;""),TODAY()-$AH2583,"")</f>
        <v/>
      </c>
      <c r="AL2583" s="12" t="n"/>
      <c r="AM2583" s="14">
        <f>IF($B2583="","",IF($AQ2583="","対象年月が未入力／","")&amp;IF($B2583="","",IF($AP2583="","職員マスタに未登録の職員番号／",IF($AA2583="","標準報酬月額が未登録／","")&amp;IF(AND($AQ2583&lt;&gt;"",OR(AND(INDEX(職員マスタ!$G$6:$G$405,$AP2583)&lt;&gt;"",INDEX(職員マスタ!$G$6:$G$405,$AP2583)&gt;EOMONTH($AQ2583,0)),AND(INDEX(職員マスタ!$H$6:$H$405,$AP2583)&lt;&gt;"",INDEX(職員マスタ!$H$6:$H$405,$AP2583)&lt;$AQ2583))),"対象月が時短期間外／","")&amp;IF(AND(INDEX(職員マスタ!$K$6:$K$405,$AP2583)&lt;&gt;"",N($W2583)&gt;0,INDEX(職員マスタ!$K$6:$K$405,$AP2583)&lt;&gt;$W2583),"標準報酬月額が申請書と相違（台帳"&amp;TEXT(INDEX(職員マスタ!$K$6:$K$405,$AP2583),"#,##0")&amp;"円／申請書"&amp;TEXT($W2583,"#,##0")&amp;"円）／","")&amp;IF(AND(INDEX(職員マスタ!$F$6:$F$405,$AP2583)&lt;&gt;"",$AQ2583&lt;&gt;"",INDEX(職員マスタ!$F$6:$F$405,$AP2583)&lt;$AQ2583),"対象月に子が2歳到達済／","")&amp;IF(AND($H2583&lt;&gt;"",INDEX(職員マスタ!$B$6:$B$405,$AP2583)&lt;&gt;"",SUBSTITUTE(SUBSTITUTE($H2583," ","")," ","")&lt;&gt;SUBSTITUTE(SUBSTITUTE(INDEX(職員マスタ!$B$6:$B$405,$AP2583)," ","")," ","")),"氏名がマスタと相違／","")&amp;IF(AND($Q2583&lt;&gt;"",INDEX(職員マスタ!$E$6:$E$405,$AP2583)&lt;&gt;"",$Q2583&lt;&gt;INDEX(職員マスタ!$E$6:$E$405,$AP2583)),"子の生年月日がマスタと相違／","")&amp;IF(AND($L2583&lt;&gt;"",INDEX(職員マスタ!$G$6:$G$405,$AP2583)&lt;&gt;"",$L2583&lt;&gt;INDEX(職員マスタ!$G$6:$G$405,$AP2583)),"時短開始日がマスタと相違／","")&amp;IF(AND($M2583&lt;&gt;"",INDEX(職員マスタ!$H$6:$H$405,$AP2583)&lt;&gt;"",$M2583&lt;&gt;INDEX(職員マスタ!$H$6:$H$405,$AP2583)),"時短終了日がマスタと相違／","")))&amp;IF(AND($B2583&lt;&gt;"",$E2583=""),"報酬額が未入力／","")&amp;IF(N($U2583)&gt;0,"申請書に入力エラーが残っています／","")&amp;IF(AND($B2583&lt;&gt;"",$AQ2583&lt;&gt;""),IF(COUNTIFS($B$6:$B$3005,$B2583,$C$6:$C$3005,$C2583,$D$6:$D$3005,$D2583)&gt;1,"同じ月の請求が重複しています／",""),"")&amp;IF(AND(N($E2583)&gt;0,$AB2583&lt;&gt;"",$AB2583&lt;&gt;"×",$AE2583=0,$AD2583=""),"計算額が下限以下のため不支給／",""))</f>
        <v/>
      </c>
      <c r="AN2583" s="12" t="n"/>
      <c r="AO2583" s="14">
        <f>IF($AF2583="保留中",COUNTIF($AF$6:$AF2583,"保留中"),"")</f>
        <v/>
      </c>
      <c r="AP2583" s="14">
        <f>IF($AQ2583="","",IF(SUMPRODUCT(MAX((職員マスタ!$A$6:$A$405=$B2583)*(((職員マスタ!$G$6:$G$405="")+(職員マスタ!$G$6:$G$405&lt;=EOMONTH($AQ2583,0)))&gt;0)*(((職員マスタ!$H$6:$H$405="")+(職員マスタ!$H$6:$H$405&gt;=$AQ2583))&gt;0)*(ROW(職員マスタ!$A$6:$A$405)-5)))&gt;0,SUMPRODUCT(MAX((職員マスタ!$A$6:$A$405=$B2583)*(((職員マスタ!$G$6:$G$405="")+(職員マスタ!$G$6:$G$405&lt;=EOMONTH($AQ2583,0)))&gt;0)*(((職員マスタ!$H$6:$H$405="")+(職員マスタ!$H$6:$H$405&gt;=$AQ2583))&gt;0)*(ROW(職員マスタ!$A$6:$A$405)-5))),IFERROR(MATCH($B2583,職員マスタ!$A$6:$A$405,0),"")))</f>
        <v/>
      </c>
      <c r="AQ2583" s="16">
        <f>IF(OR($B2583="",$C2583="",$D2583=""),"",DATE($C2583+2018,$D2583,1))</f>
        <v/>
      </c>
    </row>
    <row r="2584">
      <c r="A2584" s="11" t="n"/>
      <c r="B2584" s="12" t="n"/>
      <c r="C2584" s="12" t="n"/>
      <c r="D2584" s="12" t="n"/>
      <c r="E2584" s="13" t="n"/>
      <c r="F2584" s="12" t="n"/>
      <c r="G2584" s="13" t="n"/>
      <c r="H2584" s="12" t="n"/>
      <c r="I2584" s="12" t="n"/>
      <c r="J2584" s="12" t="n"/>
      <c r="K2584" s="12" t="n"/>
      <c r="L2584" s="11" t="n"/>
      <c r="M2584" s="11" t="n"/>
      <c r="N2584" s="11" t="n"/>
      <c r="O2584" s="11" t="n"/>
      <c r="P2584" s="12" t="n"/>
      <c r="Q2584" s="11" t="n"/>
      <c r="R2584" s="12" t="n"/>
      <c r="S2584" s="11" t="n"/>
      <c r="T2584" s="12" t="n"/>
      <c r="U2584" s="12" t="n"/>
      <c r="V2584" s="12" t="n"/>
      <c r="W2584" s="13" t="n"/>
      <c r="X2584" s="14">
        <f>IF($AP2584="",IF($B2584="","",$H2584),IF(INDEX(職員マスタ!$B$6:$B$405,$AP2584)="",$H2584,INDEX(職員マスタ!$B$6:$B$405,$AP2584)))</f>
        <v/>
      </c>
      <c r="Y2584" s="14">
        <f>IF($AP2584="",IF($B2584="","",$R2584),IF(INDEX(職員マスタ!$C$6:$C$405,$AP2584)="",$R2584,INDEX(職員マスタ!$C$6:$C$405,$AP2584)))</f>
        <v/>
      </c>
      <c r="Z2584" s="14">
        <f>IF($AQ2584="","","R"&amp;$C2584&amp;"."&amp;$D2584)</f>
        <v/>
      </c>
      <c r="AA2584" s="15">
        <f>IF(IF($AP2584="",FALSE,INDEX(職員マスタ!$K$6:$K$405,$AP2584)&lt;&gt;""),INDEX(職員マスタ!$K$6:$K$405,$AP2584),IF(N($W2584)&gt;0,$W2584,""))</f>
        <v/>
      </c>
      <c r="AB2584" s="14">
        <f>IF(OR($E2584="",$AA2584=""),"",IF($E2584&gt;=$AA2584,"×",IF($E2584&gt;=$AA2584*設定!$C$5,"△","○")))</f>
        <v/>
      </c>
      <c r="AC2584" s="15">
        <f>IF($AB2584="","",IF($AB2584="×",0,IF($AB2584="○",ROUNDDOWN($E2584*設定!$C$4,0),ROUNDDOWN($E2584*ROUND((9*$AA2584-9*$E2584)/(10*$E2584),4),0))))</f>
        <v/>
      </c>
      <c r="AD2584" s="13" t="n"/>
      <c r="AE2584" s="15">
        <f>IF($B2584="","",IF($AD2584&lt;&gt;"",$AD2584,IF($AC2584="","",IF($AC2584&lt;=設定!$C$3,0,$AC2584))))</f>
        <v/>
      </c>
      <c r="AF2584" s="14">
        <f>IF($B2584="","",IF(AND($AG2584&lt;&gt;"",$AI2584="",$AL2584=""),"保留中",IF($AL2584&lt;&gt;"",IF(N($AE2584)&gt;0,"支給済","不支給"),IF($AE2584="","要確認",IF($AE2584=0,"不支給","未処理")))))</f>
        <v/>
      </c>
      <c r="AG2584" s="12" t="n"/>
      <c r="AH2584" s="11" t="n"/>
      <c r="AI2584" s="11" t="n"/>
      <c r="AJ2584" s="11" t="n"/>
      <c r="AK2584" s="14">
        <f>IF(AND($AF2584="保留中",$AH2584&lt;&gt;""),TODAY()-$AH2584,"")</f>
        <v/>
      </c>
      <c r="AL2584" s="12" t="n"/>
      <c r="AM2584" s="14">
        <f>IF($B2584="","",IF($AQ2584="","対象年月が未入力／","")&amp;IF($B2584="","",IF($AP2584="","職員マスタに未登録の職員番号／",IF($AA2584="","標準報酬月額が未登録／","")&amp;IF(AND($AQ2584&lt;&gt;"",OR(AND(INDEX(職員マスタ!$G$6:$G$405,$AP2584)&lt;&gt;"",INDEX(職員マスタ!$G$6:$G$405,$AP2584)&gt;EOMONTH($AQ2584,0)),AND(INDEX(職員マスタ!$H$6:$H$405,$AP2584)&lt;&gt;"",INDEX(職員マスタ!$H$6:$H$405,$AP2584)&lt;$AQ2584))),"対象月が時短期間外／","")&amp;IF(AND(INDEX(職員マスタ!$K$6:$K$405,$AP2584)&lt;&gt;"",N($W2584)&gt;0,INDEX(職員マスタ!$K$6:$K$405,$AP2584)&lt;&gt;$W2584),"標準報酬月額が申請書と相違（台帳"&amp;TEXT(INDEX(職員マスタ!$K$6:$K$405,$AP2584),"#,##0")&amp;"円／申請書"&amp;TEXT($W2584,"#,##0")&amp;"円）／","")&amp;IF(AND(INDEX(職員マスタ!$F$6:$F$405,$AP2584)&lt;&gt;"",$AQ2584&lt;&gt;"",INDEX(職員マスタ!$F$6:$F$405,$AP2584)&lt;$AQ2584),"対象月に子が2歳到達済／","")&amp;IF(AND($H2584&lt;&gt;"",INDEX(職員マスタ!$B$6:$B$405,$AP2584)&lt;&gt;"",SUBSTITUTE(SUBSTITUTE($H2584," ","")," ","")&lt;&gt;SUBSTITUTE(SUBSTITUTE(INDEX(職員マスタ!$B$6:$B$405,$AP2584)," ","")," ","")),"氏名がマスタと相違／","")&amp;IF(AND($Q2584&lt;&gt;"",INDEX(職員マスタ!$E$6:$E$405,$AP2584)&lt;&gt;"",$Q2584&lt;&gt;INDEX(職員マスタ!$E$6:$E$405,$AP2584)),"子の生年月日がマスタと相違／","")&amp;IF(AND($L2584&lt;&gt;"",INDEX(職員マスタ!$G$6:$G$405,$AP2584)&lt;&gt;"",$L2584&lt;&gt;INDEX(職員マスタ!$G$6:$G$405,$AP2584)),"時短開始日がマスタと相違／","")&amp;IF(AND($M2584&lt;&gt;"",INDEX(職員マスタ!$H$6:$H$405,$AP2584)&lt;&gt;"",$M2584&lt;&gt;INDEX(職員マスタ!$H$6:$H$405,$AP2584)),"時短終了日がマスタと相違／","")))&amp;IF(AND($B2584&lt;&gt;"",$E2584=""),"報酬額が未入力／","")&amp;IF(N($U2584)&gt;0,"申請書に入力エラーが残っています／","")&amp;IF(AND($B2584&lt;&gt;"",$AQ2584&lt;&gt;""),IF(COUNTIFS($B$6:$B$3005,$B2584,$C$6:$C$3005,$C2584,$D$6:$D$3005,$D2584)&gt;1,"同じ月の請求が重複しています／",""),"")&amp;IF(AND(N($E2584)&gt;0,$AB2584&lt;&gt;"",$AB2584&lt;&gt;"×",$AE2584=0,$AD2584=""),"計算額が下限以下のため不支給／",""))</f>
        <v/>
      </c>
      <c r="AN2584" s="12" t="n"/>
      <c r="AO2584" s="14">
        <f>IF($AF2584="保留中",COUNTIF($AF$6:$AF2584,"保留中"),"")</f>
        <v/>
      </c>
      <c r="AP2584" s="14">
        <f>IF($AQ2584="","",IF(SUMPRODUCT(MAX((職員マスタ!$A$6:$A$405=$B2584)*(((職員マスタ!$G$6:$G$405="")+(職員マスタ!$G$6:$G$405&lt;=EOMONTH($AQ2584,0)))&gt;0)*(((職員マスタ!$H$6:$H$405="")+(職員マスタ!$H$6:$H$405&gt;=$AQ2584))&gt;0)*(ROW(職員マスタ!$A$6:$A$405)-5)))&gt;0,SUMPRODUCT(MAX((職員マスタ!$A$6:$A$405=$B2584)*(((職員マスタ!$G$6:$G$405="")+(職員マスタ!$G$6:$G$405&lt;=EOMONTH($AQ2584,0)))&gt;0)*(((職員マスタ!$H$6:$H$405="")+(職員マスタ!$H$6:$H$405&gt;=$AQ2584))&gt;0)*(ROW(職員マスタ!$A$6:$A$405)-5))),IFERROR(MATCH($B2584,職員マスタ!$A$6:$A$405,0),"")))</f>
        <v/>
      </c>
      <c r="AQ2584" s="16">
        <f>IF(OR($B2584="",$C2584="",$D2584=""),"",DATE($C2584+2018,$D2584,1))</f>
        <v/>
      </c>
    </row>
    <row r="2585">
      <c r="A2585" s="11" t="n"/>
      <c r="B2585" s="12" t="n"/>
      <c r="C2585" s="12" t="n"/>
      <c r="D2585" s="12" t="n"/>
      <c r="E2585" s="13" t="n"/>
      <c r="F2585" s="12" t="n"/>
      <c r="G2585" s="13" t="n"/>
      <c r="H2585" s="12" t="n"/>
      <c r="I2585" s="12" t="n"/>
      <c r="J2585" s="12" t="n"/>
      <c r="K2585" s="12" t="n"/>
      <c r="L2585" s="11" t="n"/>
      <c r="M2585" s="11" t="n"/>
      <c r="N2585" s="11" t="n"/>
      <c r="O2585" s="11" t="n"/>
      <c r="P2585" s="12" t="n"/>
      <c r="Q2585" s="11" t="n"/>
      <c r="R2585" s="12" t="n"/>
      <c r="S2585" s="11" t="n"/>
      <c r="T2585" s="12" t="n"/>
      <c r="U2585" s="12" t="n"/>
      <c r="V2585" s="12" t="n"/>
      <c r="W2585" s="13" t="n"/>
      <c r="X2585" s="14">
        <f>IF($AP2585="",IF($B2585="","",$H2585),IF(INDEX(職員マスタ!$B$6:$B$405,$AP2585)="",$H2585,INDEX(職員マスタ!$B$6:$B$405,$AP2585)))</f>
        <v/>
      </c>
      <c r="Y2585" s="14">
        <f>IF($AP2585="",IF($B2585="","",$R2585),IF(INDEX(職員マスタ!$C$6:$C$405,$AP2585)="",$R2585,INDEX(職員マスタ!$C$6:$C$405,$AP2585)))</f>
        <v/>
      </c>
      <c r="Z2585" s="14">
        <f>IF($AQ2585="","","R"&amp;$C2585&amp;"."&amp;$D2585)</f>
        <v/>
      </c>
      <c r="AA2585" s="15">
        <f>IF(IF($AP2585="",FALSE,INDEX(職員マスタ!$K$6:$K$405,$AP2585)&lt;&gt;""),INDEX(職員マスタ!$K$6:$K$405,$AP2585),IF(N($W2585)&gt;0,$W2585,""))</f>
        <v/>
      </c>
      <c r="AB2585" s="14">
        <f>IF(OR($E2585="",$AA2585=""),"",IF($E2585&gt;=$AA2585,"×",IF($E2585&gt;=$AA2585*設定!$C$5,"△","○")))</f>
        <v/>
      </c>
      <c r="AC2585" s="15">
        <f>IF($AB2585="","",IF($AB2585="×",0,IF($AB2585="○",ROUNDDOWN($E2585*設定!$C$4,0),ROUNDDOWN($E2585*ROUND((9*$AA2585-9*$E2585)/(10*$E2585),4),0))))</f>
        <v/>
      </c>
      <c r="AD2585" s="13" t="n"/>
      <c r="AE2585" s="15">
        <f>IF($B2585="","",IF($AD2585&lt;&gt;"",$AD2585,IF($AC2585="","",IF($AC2585&lt;=設定!$C$3,0,$AC2585))))</f>
        <v/>
      </c>
      <c r="AF2585" s="14">
        <f>IF($B2585="","",IF(AND($AG2585&lt;&gt;"",$AI2585="",$AL2585=""),"保留中",IF($AL2585&lt;&gt;"",IF(N($AE2585)&gt;0,"支給済","不支給"),IF($AE2585="","要確認",IF($AE2585=0,"不支給","未処理")))))</f>
        <v/>
      </c>
      <c r="AG2585" s="12" t="n"/>
      <c r="AH2585" s="11" t="n"/>
      <c r="AI2585" s="11" t="n"/>
      <c r="AJ2585" s="11" t="n"/>
      <c r="AK2585" s="14">
        <f>IF(AND($AF2585="保留中",$AH2585&lt;&gt;""),TODAY()-$AH2585,"")</f>
        <v/>
      </c>
      <c r="AL2585" s="12" t="n"/>
      <c r="AM2585" s="14">
        <f>IF($B2585="","",IF($AQ2585="","対象年月が未入力／","")&amp;IF($B2585="","",IF($AP2585="","職員マスタに未登録の職員番号／",IF($AA2585="","標準報酬月額が未登録／","")&amp;IF(AND($AQ2585&lt;&gt;"",OR(AND(INDEX(職員マスタ!$G$6:$G$405,$AP2585)&lt;&gt;"",INDEX(職員マスタ!$G$6:$G$405,$AP2585)&gt;EOMONTH($AQ2585,0)),AND(INDEX(職員マスタ!$H$6:$H$405,$AP2585)&lt;&gt;"",INDEX(職員マスタ!$H$6:$H$405,$AP2585)&lt;$AQ2585))),"対象月が時短期間外／","")&amp;IF(AND(INDEX(職員マスタ!$K$6:$K$405,$AP2585)&lt;&gt;"",N($W2585)&gt;0,INDEX(職員マスタ!$K$6:$K$405,$AP2585)&lt;&gt;$W2585),"標準報酬月額が申請書と相違（台帳"&amp;TEXT(INDEX(職員マスタ!$K$6:$K$405,$AP2585),"#,##0")&amp;"円／申請書"&amp;TEXT($W2585,"#,##0")&amp;"円）／","")&amp;IF(AND(INDEX(職員マスタ!$F$6:$F$405,$AP2585)&lt;&gt;"",$AQ2585&lt;&gt;"",INDEX(職員マスタ!$F$6:$F$405,$AP2585)&lt;$AQ2585),"対象月に子が2歳到達済／","")&amp;IF(AND($H2585&lt;&gt;"",INDEX(職員マスタ!$B$6:$B$405,$AP2585)&lt;&gt;"",SUBSTITUTE(SUBSTITUTE($H2585," ","")," ","")&lt;&gt;SUBSTITUTE(SUBSTITUTE(INDEX(職員マスタ!$B$6:$B$405,$AP2585)," ","")," ","")),"氏名がマスタと相違／","")&amp;IF(AND($Q2585&lt;&gt;"",INDEX(職員マスタ!$E$6:$E$405,$AP2585)&lt;&gt;"",$Q2585&lt;&gt;INDEX(職員マスタ!$E$6:$E$405,$AP2585)),"子の生年月日がマスタと相違／","")&amp;IF(AND($L2585&lt;&gt;"",INDEX(職員マスタ!$G$6:$G$405,$AP2585)&lt;&gt;"",$L2585&lt;&gt;INDEX(職員マスタ!$G$6:$G$405,$AP2585)),"時短開始日がマスタと相違／","")&amp;IF(AND($M2585&lt;&gt;"",INDEX(職員マスタ!$H$6:$H$405,$AP2585)&lt;&gt;"",$M2585&lt;&gt;INDEX(職員マスタ!$H$6:$H$405,$AP2585)),"時短終了日がマスタと相違／","")))&amp;IF(AND($B2585&lt;&gt;"",$E2585=""),"報酬額が未入力／","")&amp;IF(N($U2585)&gt;0,"申請書に入力エラーが残っています／","")&amp;IF(AND($B2585&lt;&gt;"",$AQ2585&lt;&gt;""),IF(COUNTIFS($B$6:$B$3005,$B2585,$C$6:$C$3005,$C2585,$D$6:$D$3005,$D2585)&gt;1,"同じ月の請求が重複しています／",""),"")&amp;IF(AND(N($E2585)&gt;0,$AB2585&lt;&gt;"",$AB2585&lt;&gt;"×",$AE2585=0,$AD2585=""),"計算額が下限以下のため不支給／",""))</f>
        <v/>
      </c>
      <c r="AN2585" s="12" t="n"/>
      <c r="AO2585" s="14">
        <f>IF($AF2585="保留中",COUNTIF($AF$6:$AF2585,"保留中"),"")</f>
        <v/>
      </c>
      <c r="AP2585" s="14">
        <f>IF($AQ2585="","",IF(SUMPRODUCT(MAX((職員マスタ!$A$6:$A$405=$B2585)*(((職員マスタ!$G$6:$G$405="")+(職員マスタ!$G$6:$G$405&lt;=EOMONTH($AQ2585,0)))&gt;0)*(((職員マスタ!$H$6:$H$405="")+(職員マスタ!$H$6:$H$405&gt;=$AQ2585))&gt;0)*(ROW(職員マスタ!$A$6:$A$405)-5)))&gt;0,SUMPRODUCT(MAX((職員マスタ!$A$6:$A$405=$B2585)*(((職員マスタ!$G$6:$G$405="")+(職員マスタ!$G$6:$G$405&lt;=EOMONTH($AQ2585,0)))&gt;0)*(((職員マスタ!$H$6:$H$405="")+(職員マスタ!$H$6:$H$405&gt;=$AQ2585))&gt;0)*(ROW(職員マスタ!$A$6:$A$405)-5))),IFERROR(MATCH($B2585,職員マスタ!$A$6:$A$405,0),"")))</f>
        <v/>
      </c>
      <c r="AQ2585" s="16">
        <f>IF(OR($B2585="",$C2585="",$D2585=""),"",DATE($C2585+2018,$D2585,1))</f>
        <v/>
      </c>
    </row>
    <row r="2586">
      <c r="A2586" s="11" t="n"/>
      <c r="B2586" s="12" t="n"/>
      <c r="C2586" s="12" t="n"/>
      <c r="D2586" s="12" t="n"/>
      <c r="E2586" s="13" t="n"/>
      <c r="F2586" s="12" t="n"/>
      <c r="G2586" s="13" t="n"/>
      <c r="H2586" s="12" t="n"/>
      <c r="I2586" s="12" t="n"/>
      <c r="J2586" s="12" t="n"/>
      <c r="K2586" s="12" t="n"/>
      <c r="L2586" s="11" t="n"/>
      <c r="M2586" s="11" t="n"/>
      <c r="N2586" s="11" t="n"/>
      <c r="O2586" s="11" t="n"/>
      <c r="P2586" s="12" t="n"/>
      <c r="Q2586" s="11" t="n"/>
      <c r="R2586" s="12" t="n"/>
      <c r="S2586" s="11" t="n"/>
      <c r="T2586" s="12" t="n"/>
      <c r="U2586" s="12" t="n"/>
      <c r="V2586" s="12" t="n"/>
      <c r="W2586" s="13" t="n"/>
      <c r="X2586" s="14">
        <f>IF($AP2586="",IF($B2586="","",$H2586),IF(INDEX(職員マスタ!$B$6:$B$405,$AP2586)="",$H2586,INDEX(職員マスタ!$B$6:$B$405,$AP2586)))</f>
        <v/>
      </c>
      <c r="Y2586" s="14">
        <f>IF($AP2586="",IF($B2586="","",$R2586),IF(INDEX(職員マスタ!$C$6:$C$405,$AP2586)="",$R2586,INDEX(職員マスタ!$C$6:$C$405,$AP2586)))</f>
        <v/>
      </c>
      <c r="Z2586" s="14">
        <f>IF($AQ2586="","","R"&amp;$C2586&amp;"."&amp;$D2586)</f>
        <v/>
      </c>
      <c r="AA2586" s="15">
        <f>IF(IF($AP2586="",FALSE,INDEX(職員マスタ!$K$6:$K$405,$AP2586)&lt;&gt;""),INDEX(職員マスタ!$K$6:$K$405,$AP2586),IF(N($W2586)&gt;0,$W2586,""))</f>
        <v/>
      </c>
      <c r="AB2586" s="14">
        <f>IF(OR($E2586="",$AA2586=""),"",IF($E2586&gt;=$AA2586,"×",IF($E2586&gt;=$AA2586*設定!$C$5,"△","○")))</f>
        <v/>
      </c>
      <c r="AC2586" s="15">
        <f>IF($AB2586="","",IF($AB2586="×",0,IF($AB2586="○",ROUNDDOWN($E2586*設定!$C$4,0),ROUNDDOWN($E2586*ROUND((9*$AA2586-9*$E2586)/(10*$E2586),4),0))))</f>
        <v/>
      </c>
      <c r="AD2586" s="13" t="n"/>
      <c r="AE2586" s="15">
        <f>IF($B2586="","",IF($AD2586&lt;&gt;"",$AD2586,IF($AC2586="","",IF($AC2586&lt;=設定!$C$3,0,$AC2586))))</f>
        <v/>
      </c>
      <c r="AF2586" s="14">
        <f>IF($B2586="","",IF(AND($AG2586&lt;&gt;"",$AI2586="",$AL2586=""),"保留中",IF($AL2586&lt;&gt;"",IF(N($AE2586)&gt;0,"支給済","不支給"),IF($AE2586="","要確認",IF($AE2586=0,"不支給","未処理")))))</f>
        <v/>
      </c>
      <c r="AG2586" s="12" t="n"/>
      <c r="AH2586" s="11" t="n"/>
      <c r="AI2586" s="11" t="n"/>
      <c r="AJ2586" s="11" t="n"/>
      <c r="AK2586" s="14">
        <f>IF(AND($AF2586="保留中",$AH2586&lt;&gt;""),TODAY()-$AH2586,"")</f>
        <v/>
      </c>
      <c r="AL2586" s="12" t="n"/>
      <c r="AM2586" s="14">
        <f>IF($B2586="","",IF($AQ2586="","対象年月が未入力／","")&amp;IF($B2586="","",IF($AP2586="","職員マスタに未登録の職員番号／",IF($AA2586="","標準報酬月額が未登録／","")&amp;IF(AND($AQ2586&lt;&gt;"",OR(AND(INDEX(職員マスタ!$G$6:$G$405,$AP2586)&lt;&gt;"",INDEX(職員マスタ!$G$6:$G$405,$AP2586)&gt;EOMONTH($AQ2586,0)),AND(INDEX(職員マスタ!$H$6:$H$405,$AP2586)&lt;&gt;"",INDEX(職員マスタ!$H$6:$H$405,$AP2586)&lt;$AQ2586))),"対象月が時短期間外／","")&amp;IF(AND(INDEX(職員マスタ!$K$6:$K$405,$AP2586)&lt;&gt;"",N($W2586)&gt;0,INDEX(職員マスタ!$K$6:$K$405,$AP2586)&lt;&gt;$W2586),"標準報酬月額が申請書と相違（台帳"&amp;TEXT(INDEX(職員マスタ!$K$6:$K$405,$AP2586),"#,##0")&amp;"円／申請書"&amp;TEXT($W2586,"#,##0")&amp;"円）／","")&amp;IF(AND(INDEX(職員マスタ!$F$6:$F$405,$AP2586)&lt;&gt;"",$AQ2586&lt;&gt;"",INDEX(職員マスタ!$F$6:$F$405,$AP2586)&lt;$AQ2586),"対象月に子が2歳到達済／","")&amp;IF(AND($H2586&lt;&gt;"",INDEX(職員マスタ!$B$6:$B$405,$AP2586)&lt;&gt;"",SUBSTITUTE(SUBSTITUTE($H2586," ","")," ","")&lt;&gt;SUBSTITUTE(SUBSTITUTE(INDEX(職員マスタ!$B$6:$B$405,$AP2586)," ","")," ","")),"氏名がマスタと相違／","")&amp;IF(AND($Q2586&lt;&gt;"",INDEX(職員マスタ!$E$6:$E$405,$AP2586)&lt;&gt;"",$Q2586&lt;&gt;INDEX(職員マスタ!$E$6:$E$405,$AP2586)),"子の生年月日がマスタと相違／","")&amp;IF(AND($L2586&lt;&gt;"",INDEX(職員マスタ!$G$6:$G$405,$AP2586)&lt;&gt;"",$L2586&lt;&gt;INDEX(職員マスタ!$G$6:$G$405,$AP2586)),"時短開始日がマスタと相違／","")&amp;IF(AND($M2586&lt;&gt;"",INDEX(職員マスタ!$H$6:$H$405,$AP2586)&lt;&gt;"",$M2586&lt;&gt;INDEX(職員マスタ!$H$6:$H$405,$AP2586)),"時短終了日がマスタと相違／","")))&amp;IF(AND($B2586&lt;&gt;"",$E2586=""),"報酬額が未入力／","")&amp;IF(N($U2586)&gt;0,"申請書に入力エラーが残っています／","")&amp;IF(AND($B2586&lt;&gt;"",$AQ2586&lt;&gt;""),IF(COUNTIFS($B$6:$B$3005,$B2586,$C$6:$C$3005,$C2586,$D$6:$D$3005,$D2586)&gt;1,"同じ月の請求が重複しています／",""),"")&amp;IF(AND(N($E2586)&gt;0,$AB2586&lt;&gt;"",$AB2586&lt;&gt;"×",$AE2586=0,$AD2586=""),"計算額が下限以下のため不支給／",""))</f>
        <v/>
      </c>
      <c r="AN2586" s="12" t="n"/>
      <c r="AO2586" s="14">
        <f>IF($AF2586="保留中",COUNTIF($AF$6:$AF2586,"保留中"),"")</f>
        <v/>
      </c>
      <c r="AP2586" s="14">
        <f>IF($AQ2586="","",IF(SUMPRODUCT(MAX((職員マスタ!$A$6:$A$405=$B2586)*(((職員マスタ!$G$6:$G$405="")+(職員マスタ!$G$6:$G$405&lt;=EOMONTH($AQ2586,0)))&gt;0)*(((職員マスタ!$H$6:$H$405="")+(職員マスタ!$H$6:$H$405&gt;=$AQ2586))&gt;0)*(ROW(職員マスタ!$A$6:$A$405)-5)))&gt;0,SUMPRODUCT(MAX((職員マスタ!$A$6:$A$405=$B2586)*(((職員マスタ!$G$6:$G$405="")+(職員マスタ!$G$6:$G$405&lt;=EOMONTH($AQ2586,0)))&gt;0)*(((職員マスタ!$H$6:$H$405="")+(職員マスタ!$H$6:$H$405&gt;=$AQ2586))&gt;0)*(ROW(職員マスタ!$A$6:$A$405)-5))),IFERROR(MATCH($B2586,職員マスタ!$A$6:$A$405,0),"")))</f>
        <v/>
      </c>
      <c r="AQ2586" s="16">
        <f>IF(OR($B2586="",$C2586="",$D2586=""),"",DATE($C2586+2018,$D2586,1))</f>
        <v/>
      </c>
    </row>
    <row r="2587">
      <c r="A2587" s="11" t="n"/>
      <c r="B2587" s="12" t="n"/>
      <c r="C2587" s="12" t="n"/>
      <c r="D2587" s="12" t="n"/>
      <c r="E2587" s="13" t="n"/>
      <c r="F2587" s="12" t="n"/>
      <c r="G2587" s="13" t="n"/>
      <c r="H2587" s="12" t="n"/>
      <c r="I2587" s="12" t="n"/>
      <c r="J2587" s="12" t="n"/>
      <c r="K2587" s="12" t="n"/>
      <c r="L2587" s="11" t="n"/>
      <c r="M2587" s="11" t="n"/>
      <c r="N2587" s="11" t="n"/>
      <c r="O2587" s="11" t="n"/>
      <c r="P2587" s="12" t="n"/>
      <c r="Q2587" s="11" t="n"/>
      <c r="R2587" s="12" t="n"/>
      <c r="S2587" s="11" t="n"/>
      <c r="T2587" s="12" t="n"/>
      <c r="U2587" s="12" t="n"/>
      <c r="V2587" s="12" t="n"/>
      <c r="W2587" s="13" t="n"/>
      <c r="X2587" s="14">
        <f>IF($AP2587="",IF($B2587="","",$H2587),IF(INDEX(職員マスタ!$B$6:$B$405,$AP2587)="",$H2587,INDEX(職員マスタ!$B$6:$B$405,$AP2587)))</f>
        <v/>
      </c>
      <c r="Y2587" s="14">
        <f>IF($AP2587="",IF($B2587="","",$R2587),IF(INDEX(職員マスタ!$C$6:$C$405,$AP2587)="",$R2587,INDEX(職員マスタ!$C$6:$C$405,$AP2587)))</f>
        <v/>
      </c>
      <c r="Z2587" s="14">
        <f>IF($AQ2587="","","R"&amp;$C2587&amp;"."&amp;$D2587)</f>
        <v/>
      </c>
      <c r="AA2587" s="15">
        <f>IF(IF($AP2587="",FALSE,INDEX(職員マスタ!$K$6:$K$405,$AP2587)&lt;&gt;""),INDEX(職員マスタ!$K$6:$K$405,$AP2587),IF(N($W2587)&gt;0,$W2587,""))</f>
        <v/>
      </c>
      <c r="AB2587" s="14">
        <f>IF(OR($E2587="",$AA2587=""),"",IF($E2587&gt;=$AA2587,"×",IF($E2587&gt;=$AA2587*設定!$C$5,"△","○")))</f>
        <v/>
      </c>
      <c r="AC2587" s="15">
        <f>IF($AB2587="","",IF($AB2587="×",0,IF($AB2587="○",ROUNDDOWN($E2587*設定!$C$4,0),ROUNDDOWN($E2587*ROUND((9*$AA2587-9*$E2587)/(10*$E2587),4),0))))</f>
        <v/>
      </c>
      <c r="AD2587" s="13" t="n"/>
      <c r="AE2587" s="15">
        <f>IF($B2587="","",IF($AD2587&lt;&gt;"",$AD2587,IF($AC2587="","",IF($AC2587&lt;=設定!$C$3,0,$AC2587))))</f>
        <v/>
      </c>
      <c r="AF2587" s="14">
        <f>IF($B2587="","",IF(AND($AG2587&lt;&gt;"",$AI2587="",$AL2587=""),"保留中",IF($AL2587&lt;&gt;"",IF(N($AE2587)&gt;0,"支給済","不支給"),IF($AE2587="","要確認",IF($AE2587=0,"不支給","未処理")))))</f>
        <v/>
      </c>
      <c r="AG2587" s="12" t="n"/>
      <c r="AH2587" s="11" t="n"/>
      <c r="AI2587" s="11" t="n"/>
      <c r="AJ2587" s="11" t="n"/>
      <c r="AK2587" s="14">
        <f>IF(AND($AF2587="保留中",$AH2587&lt;&gt;""),TODAY()-$AH2587,"")</f>
        <v/>
      </c>
      <c r="AL2587" s="12" t="n"/>
      <c r="AM2587" s="14">
        <f>IF($B2587="","",IF($AQ2587="","対象年月が未入力／","")&amp;IF($B2587="","",IF($AP2587="","職員マスタに未登録の職員番号／",IF($AA2587="","標準報酬月額が未登録／","")&amp;IF(AND($AQ2587&lt;&gt;"",OR(AND(INDEX(職員マスタ!$G$6:$G$405,$AP2587)&lt;&gt;"",INDEX(職員マスタ!$G$6:$G$405,$AP2587)&gt;EOMONTH($AQ2587,0)),AND(INDEX(職員マスタ!$H$6:$H$405,$AP2587)&lt;&gt;"",INDEX(職員マスタ!$H$6:$H$405,$AP2587)&lt;$AQ2587))),"対象月が時短期間外／","")&amp;IF(AND(INDEX(職員マスタ!$K$6:$K$405,$AP2587)&lt;&gt;"",N($W2587)&gt;0,INDEX(職員マスタ!$K$6:$K$405,$AP2587)&lt;&gt;$W2587),"標準報酬月額が申請書と相違（台帳"&amp;TEXT(INDEX(職員マスタ!$K$6:$K$405,$AP2587),"#,##0")&amp;"円／申請書"&amp;TEXT($W2587,"#,##0")&amp;"円）／","")&amp;IF(AND(INDEX(職員マスタ!$F$6:$F$405,$AP2587)&lt;&gt;"",$AQ2587&lt;&gt;"",INDEX(職員マスタ!$F$6:$F$405,$AP2587)&lt;$AQ2587),"対象月に子が2歳到達済／","")&amp;IF(AND($H2587&lt;&gt;"",INDEX(職員マスタ!$B$6:$B$405,$AP2587)&lt;&gt;"",SUBSTITUTE(SUBSTITUTE($H2587," ","")," ","")&lt;&gt;SUBSTITUTE(SUBSTITUTE(INDEX(職員マスタ!$B$6:$B$405,$AP2587)," ","")," ","")),"氏名がマスタと相違／","")&amp;IF(AND($Q2587&lt;&gt;"",INDEX(職員マスタ!$E$6:$E$405,$AP2587)&lt;&gt;"",$Q2587&lt;&gt;INDEX(職員マスタ!$E$6:$E$405,$AP2587)),"子の生年月日がマスタと相違／","")&amp;IF(AND($L2587&lt;&gt;"",INDEX(職員マスタ!$G$6:$G$405,$AP2587)&lt;&gt;"",$L2587&lt;&gt;INDEX(職員マスタ!$G$6:$G$405,$AP2587)),"時短開始日がマスタと相違／","")&amp;IF(AND($M2587&lt;&gt;"",INDEX(職員マスタ!$H$6:$H$405,$AP2587)&lt;&gt;"",$M2587&lt;&gt;INDEX(職員マスタ!$H$6:$H$405,$AP2587)),"時短終了日がマスタと相違／","")))&amp;IF(AND($B2587&lt;&gt;"",$E2587=""),"報酬額が未入力／","")&amp;IF(N($U2587)&gt;0,"申請書に入力エラーが残っています／","")&amp;IF(AND($B2587&lt;&gt;"",$AQ2587&lt;&gt;""),IF(COUNTIFS($B$6:$B$3005,$B2587,$C$6:$C$3005,$C2587,$D$6:$D$3005,$D2587)&gt;1,"同じ月の請求が重複しています／",""),"")&amp;IF(AND(N($E2587)&gt;0,$AB2587&lt;&gt;"",$AB2587&lt;&gt;"×",$AE2587=0,$AD2587=""),"計算額が下限以下のため不支給／",""))</f>
        <v/>
      </c>
      <c r="AN2587" s="12" t="n"/>
      <c r="AO2587" s="14">
        <f>IF($AF2587="保留中",COUNTIF($AF$6:$AF2587,"保留中"),"")</f>
        <v/>
      </c>
      <c r="AP2587" s="14">
        <f>IF($AQ2587="","",IF(SUMPRODUCT(MAX((職員マスタ!$A$6:$A$405=$B2587)*(((職員マスタ!$G$6:$G$405="")+(職員マスタ!$G$6:$G$405&lt;=EOMONTH($AQ2587,0)))&gt;0)*(((職員マスタ!$H$6:$H$405="")+(職員マスタ!$H$6:$H$405&gt;=$AQ2587))&gt;0)*(ROW(職員マスタ!$A$6:$A$405)-5)))&gt;0,SUMPRODUCT(MAX((職員マスタ!$A$6:$A$405=$B2587)*(((職員マスタ!$G$6:$G$405="")+(職員マスタ!$G$6:$G$405&lt;=EOMONTH($AQ2587,0)))&gt;0)*(((職員マスタ!$H$6:$H$405="")+(職員マスタ!$H$6:$H$405&gt;=$AQ2587))&gt;0)*(ROW(職員マスタ!$A$6:$A$405)-5))),IFERROR(MATCH($B2587,職員マスタ!$A$6:$A$405,0),"")))</f>
        <v/>
      </c>
      <c r="AQ2587" s="16">
        <f>IF(OR($B2587="",$C2587="",$D2587=""),"",DATE($C2587+2018,$D2587,1))</f>
        <v/>
      </c>
    </row>
    <row r="2588">
      <c r="A2588" s="11" t="n"/>
      <c r="B2588" s="12" t="n"/>
      <c r="C2588" s="12" t="n"/>
      <c r="D2588" s="12" t="n"/>
      <c r="E2588" s="13" t="n"/>
      <c r="F2588" s="12" t="n"/>
      <c r="G2588" s="13" t="n"/>
      <c r="H2588" s="12" t="n"/>
      <c r="I2588" s="12" t="n"/>
      <c r="J2588" s="12" t="n"/>
      <c r="K2588" s="12" t="n"/>
      <c r="L2588" s="11" t="n"/>
      <c r="M2588" s="11" t="n"/>
      <c r="N2588" s="11" t="n"/>
      <c r="O2588" s="11" t="n"/>
      <c r="P2588" s="12" t="n"/>
      <c r="Q2588" s="11" t="n"/>
      <c r="R2588" s="12" t="n"/>
      <c r="S2588" s="11" t="n"/>
      <c r="T2588" s="12" t="n"/>
      <c r="U2588" s="12" t="n"/>
      <c r="V2588" s="12" t="n"/>
      <c r="W2588" s="13" t="n"/>
      <c r="X2588" s="14">
        <f>IF($AP2588="",IF($B2588="","",$H2588),IF(INDEX(職員マスタ!$B$6:$B$405,$AP2588)="",$H2588,INDEX(職員マスタ!$B$6:$B$405,$AP2588)))</f>
        <v/>
      </c>
      <c r="Y2588" s="14">
        <f>IF($AP2588="",IF($B2588="","",$R2588),IF(INDEX(職員マスタ!$C$6:$C$405,$AP2588)="",$R2588,INDEX(職員マスタ!$C$6:$C$405,$AP2588)))</f>
        <v/>
      </c>
      <c r="Z2588" s="14">
        <f>IF($AQ2588="","","R"&amp;$C2588&amp;"."&amp;$D2588)</f>
        <v/>
      </c>
      <c r="AA2588" s="15">
        <f>IF(IF($AP2588="",FALSE,INDEX(職員マスタ!$K$6:$K$405,$AP2588)&lt;&gt;""),INDEX(職員マスタ!$K$6:$K$405,$AP2588),IF(N($W2588)&gt;0,$W2588,""))</f>
        <v/>
      </c>
      <c r="AB2588" s="14">
        <f>IF(OR($E2588="",$AA2588=""),"",IF($E2588&gt;=$AA2588,"×",IF($E2588&gt;=$AA2588*設定!$C$5,"△","○")))</f>
        <v/>
      </c>
      <c r="AC2588" s="15">
        <f>IF($AB2588="","",IF($AB2588="×",0,IF($AB2588="○",ROUNDDOWN($E2588*設定!$C$4,0),ROUNDDOWN($E2588*ROUND((9*$AA2588-9*$E2588)/(10*$E2588),4),0))))</f>
        <v/>
      </c>
      <c r="AD2588" s="13" t="n"/>
      <c r="AE2588" s="15">
        <f>IF($B2588="","",IF($AD2588&lt;&gt;"",$AD2588,IF($AC2588="","",IF($AC2588&lt;=設定!$C$3,0,$AC2588))))</f>
        <v/>
      </c>
      <c r="AF2588" s="14">
        <f>IF($B2588="","",IF(AND($AG2588&lt;&gt;"",$AI2588="",$AL2588=""),"保留中",IF($AL2588&lt;&gt;"",IF(N($AE2588)&gt;0,"支給済","不支給"),IF($AE2588="","要確認",IF($AE2588=0,"不支給","未処理")))))</f>
        <v/>
      </c>
      <c r="AG2588" s="12" t="n"/>
      <c r="AH2588" s="11" t="n"/>
      <c r="AI2588" s="11" t="n"/>
      <c r="AJ2588" s="11" t="n"/>
      <c r="AK2588" s="14">
        <f>IF(AND($AF2588="保留中",$AH2588&lt;&gt;""),TODAY()-$AH2588,"")</f>
        <v/>
      </c>
      <c r="AL2588" s="12" t="n"/>
      <c r="AM2588" s="14">
        <f>IF($B2588="","",IF($AQ2588="","対象年月が未入力／","")&amp;IF($B2588="","",IF($AP2588="","職員マスタに未登録の職員番号／",IF($AA2588="","標準報酬月額が未登録／","")&amp;IF(AND($AQ2588&lt;&gt;"",OR(AND(INDEX(職員マスタ!$G$6:$G$405,$AP2588)&lt;&gt;"",INDEX(職員マスタ!$G$6:$G$405,$AP2588)&gt;EOMONTH($AQ2588,0)),AND(INDEX(職員マスタ!$H$6:$H$405,$AP2588)&lt;&gt;"",INDEX(職員マスタ!$H$6:$H$405,$AP2588)&lt;$AQ2588))),"対象月が時短期間外／","")&amp;IF(AND(INDEX(職員マスタ!$K$6:$K$405,$AP2588)&lt;&gt;"",N($W2588)&gt;0,INDEX(職員マスタ!$K$6:$K$405,$AP2588)&lt;&gt;$W2588),"標準報酬月額が申請書と相違（台帳"&amp;TEXT(INDEX(職員マスタ!$K$6:$K$405,$AP2588),"#,##0")&amp;"円／申請書"&amp;TEXT($W2588,"#,##0")&amp;"円）／","")&amp;IF(AND(INDEX(職員マスタ!$F$6:$F$405,$AP2588)&lt;&gt;"",$AQ2588&lt;&gt;"",INDEX(職員マスタ!$F$6:$F$405,$AP2588)&lt;$AQ2588),"対象月に子が2歳到達済／","")&amp;IF(AND($H2588&lt;&gt;"",INDEX(職員マスタ!$B$6:$B$405,$AP2588)&lt;&gt;"",SUBSTITUTE(SUBSTITUTE($H2588," ","")," ","")&lt;&gt;SUBSTITUTE(SUBSTITUTE(INDEX(職員マスタ!$B$6:$B$405,$AP2588)," ","")," ","")),"氏名がマスタと相違／","")&amp;IF(AND($Q2588&lt;&gt;"",INDEX(職員マスタ!$E$6:$E$405,$AP2588)&lt;&gt;"",$Q2588&lt;&gt;INDEX(職員マスタ!$E$6:$E$405,$AP2588)),"子の生年月日がマスタと相違／","")&amp;IF(AND($L2588&lt;&gt;"",INDEX(職員マスタ!$G$6:$G$405,$AP2588)&lt;&gt;"",$L2588&lt;&gt;INDEX(職員マスタ!$G$6:$G$405,$AP2588)),"時短開始日がマスタと相違／","")&amp;IF(AND($M2588&lt;&gt;"",INDEX(職員マスタ!$H$6:$H$405,$AP2588)&lt;&gt;"",$M2588&lt;&gt;INDEX(職員マスタ!$H$6:$H$405,$AP2588)),"時短終了日がマスタと相違／","")))&amp;IF(AND($B2588&lt;&gt;"",$E2588=""),"報酬額が未入力／","")&amp;IF(N($U2588)&gt;0,"申請書に入力エラーが残っています／","")&amp;IF(AND($B2588&lt;&gt;"",$AQ2588&lt;&gt;""),IF(COUNTIFS($B$6:$B$3005,$B2588,$C$6:$C$3005,$C2588,$D$6:$D$3005,$D2588)&gt;1,"同じ月の請求が重複しています／",""),"")&amp;IF(AND(N($E2588)&gt;0,$AB2588&lt;&gt;"",$AB2588&lt;&gt;"×",$AE2588=0,$AD2588=""),"計算額が下限以下のため不支給／",""))</f>
        <v/>
      </c>
      <c r="AN2588" s="12" t="n"/>
      <c r="AO2588" s="14">
        <f>IF($AF2588="保留中",COUNTIF($AF$6:$AF2588,"保留中"),"")</f>
        <v/>
      </c>
      <c r="AP2588" s="14">
        <f>IF($AQ2588="","",IF(SUMPRODUCT(MAX((職員マスタ!$A$6:$A$405=$B2588)*(((職員マスタ!$G$6:$G$405="")+(職員マスタ!$G$6:$G$405&lt;=EOMONTH($AQ2588,0)))&gt;0)*(((職員マスタ!$H$6:$H$405="")+(職員マスタ!$H$6:$H$405&gt;=$AQ2588))&gt;0)*(ROW(職員マスタ!$A$6:$A$405)-5)))&gt;0,SUMPRODUCT(MAX((職員マスタ!$A$6:$A$405=$B2588)*(((職員マスタ!$G$6:$G$405="")+(職員マスタ!$G$6:$G$405&lt;=EOMONTH($AQ2588,0)))&gt;0)*(((職員マスタ!$H$6:$H$405="")+(職員マスタ!$H$6:$H$405&gt;=$AQ2588))&gt;0)*(ROW(職員マスタ!$A$6:$A$405)-5))),IFERROR(MATCH($B2588,職員マスタ!$A$6:$A$405,0),"")))</f>
        <v/>
      </c>
      <c r="AQ2588" s="16">
        <f>IF(OR($B2588="",$C2588="",$D2588=""),"",DATE($C2588+2018,$D2588,1))</f>
        <v/>
      </c>
    </row>
    <row r="2589">
      <c r="A2589" s="11" t="n"/>
      <c r="B2589" s="12" t="n"/>
      <c r="C2589" s="12" t="n"/>
      <c r="D2589" s="12" t="n"/>
      <c r="E2589" s="13" t="n"/>
      <c r="F2589" s="12" t="n"/>
      <c r="G2589" s="13" t="n"/>
      <c r="H2589" s="12" t="n"/>
      <c r="I2589" s="12" t="n"/>
      <c r="J2589" s="12" t="n"/>
      <c r="K2589" s="12" t="n"/>
      <c r="L2589" s="11" t="n"/>
      <c r="M2589" s="11" t="n"/>
      <c r="N2589" s="11" t="n"/>
      <c r="O2589" s="11" t="n"/>
      <c r="P2589" s="12" t="n"/>
      <c r="Q2589" s="11" t="n"/>
      <c r="R2589" s="12" t="n"/>
      <c r="S2589" s="11" t="n"/>
      <c r="T2589" s="12" t="n"/>
      <c r="U2589" s="12" t="n"/>
      <c r="V2589" s="12" t="n"/>
      <c r="W2589" s="13" t="n"/>
      <c r="X2589" s="14">
        <f>IF($AP2589="",IF($B2589="","",$H2589),IF(INDEX(職員マスタ!$B$6:$B$405,$AP2589)="",$H2589,INDEX(職員マスタ!$B$6:$B$405,$AP2589)))</f>
        <v/>
      </c>
      <c r="Y2589" s="14">
        <f>IF($AP2589="",IF($B2589="","",$R2589),IF(INDEX(職員マスタ!$C$6:$C$405,$AP2589)="",$R2589,INDEX(職員マスタ!$C$6:$C$405,$AP2589)))</f>
        <v/>
      </c>
      <c r="Z2589" s="14">
        <f>IF($AQ2589="","","R"&amp;$C2589&amp;"."&amp;$D2589)</f>
        <v/>
      </c>
      <c r="AA2589" s="15">
        <f>IF(IF($AP2589="",FALSE,INDEX(職員マスタ!$K$6:$K$405,$AP2589)&lt;&gt;""),INDEX(職員マスタ!$K$6:$K$405,$AP2589),IF(N($W2589)&gt;0,$W2589,""))</f>
        <v/>
      </c>
      <c r="AB2589" s="14">
        <f>IF(OR($E2589="",$AA2589=""),"",IF($E2589&gt;=$AA2589,"×",IF($E2589&gt;=$AA2589*設定!$C$5,"△","○")))</f>
        <v/>
      </c>
      <c r="AC2589" s="15">
        <f>IF($AB2589="","",IF($AB2589="×",0,IF($AB2589="○",ROUNDDOWN($E2589*設定!$C$4,0),ROUNDDOWN($E2589*ROUND((9*$AA2589-9*$E2589)/(10*$E2589),4),0))))</f>
        <v/>
      </c>
      <c r="AD2589" s="13" t="n"/>
      <c r="AE2589" s="15">
        <f>IF($B2589="","",IF($AD2589&lt;&gt;"",$AD2589,IF($AC2589="","",IF($AC2589&lt;=設定!$C$3,0,$AC2589))))</f>
        <v/>
      </c>
      <c r="AF2589" s="14">
        <f>IF($B2589="","",IF(AND($AG2589&lt;&gt;"",$AI2589="",$AL2589=""),"保留中",IF($AL2589&lt;&gt;"",IF(N($AE2589)&gt;0,"支給済","不支給"),IF($AE2589="","要確認",IF($AE2589=0,"不支給","未処理")))))</f>
        <v/>
      </c>
      <c r="AG2589" s="12" t="n"/>
      <c r="AH2589" s="11" t="n"/>
      <c r="AI2589" s="11" t="n"/>
      <c r="AJ2589" s="11" t="n"/>
      <c r="AK2589" s="14">
        <f>IF(AND($AF2589="保留中",$AH2589&lt;&gt;""),TODAY()-$AH2589,"")</f>
        <v/>
      </c>
      <c r="AL2589" s="12" t="n"/>
      <c r="AM2589" s="14">
        <f>IF($B2589="","",IF($AQ2589="","対象年月が未入力／","")&amp;IF($B2589="","",IF($AP2589="","職員マスタに未登録の職員番号／",IF($AA2589="","標準報酬月額が未登録／","")&amp;IF(AND($AQ2589&lt;&gt;"",OR(AND(INDEX(職員マスタ!$G$6:$G$405,$AP2589)&lt;&gt;"",INDEX(職員マスタ!$G$6:$G$405,$AP2589)&gt;EOMONTH($AQ2589,0)),AND(INDEX(職員マスタ!$H$6:$H$405,$AP2589)&lt;&gt;"",INDEX(職員マスタ!$H$6:$H$405,$AP2589)&lt;$AQ2589))),"対象月が時短期間外／","")&amp;IF(AND(INDEX(職員マスタ!$K$6:$K$405,$AP2589)&lt;&gt;"",N($W2589)&gt;0,INDEX(職員マスタ!$K$6:$K$405,$AP2589)&lt;&gt;$W2589),"標準報酬月額が申請書と相違（台帳"&amp;TEXT(INDEX(職員マスタ!$K$6:$K$405,$AP2589),"#,##0")&amp;"円／申請書"&amp;TEXT($W2589,"#,##0")&amp;"円）／","")&amp;IF(AND(INDEX(職員マスタ!$F$6:$F$405,$AP2589)&lt;&gt;"",$AQ2589&lt;&gt;"",INDEX(職員マスタ!$F$6:$F$405,$AP2589)&lt;$AQ2589),"対象月に子が2歳到達済／","")&amp;IF(AND($H2589&lt;&gt;"",INDEX(職員マスタ!$B$6:$B$405,$AP2589)&lt;&gt;"",SUBSTITUTE(SUBSTITUTE($H2589," ","")," ","")&lt;&gt;SUBSTITUTE(SUBSTITUTE(INDEX(職員マスタ!$B$6:$B$405,$AP2589)," ","")," ","")),"氏名がマスタと相違／","")&amp;IF(AND($Q2589&lt;&gt;"",INDEX(職員マスタ!$E$6:$E$405,$AP2589)&lt;&gt;"",$Q2589&lt;&gt;INDEX(職員マスタ!$E$6:$E$405,$AP2589)),"子の生年月日がマスタと相違／","")&amp;IF(AND($L2589&lt;&gt;"",INDEX(職員マスタ!$G$6:$G$405,$AP2589)&lt;&gt;"",$L2589&lt;&gt;INDEX(職員マスタ!$G$6:$G$405,$AP2589)),"時短開始日がマスタと相違／","")&amp;IF(AND($M2589&lt;&gt;"",INDEX(職員マスタ!$H$6:$H$405,$AP2589)&lt;&gt;"",$M2589&lt;&gt;INDEX(職員マスタ!$H$6:$H$405,$AP2589)),"時短終了日がマスタと相違／","")))&amp;IF(AND($B2589&lt;&gt;"",$E2589=""),"報酬額が未入力／","")&amp;IF(N($U2589)&gt;0,"申請書に入力エラーが残っています／","")&amp;IF(AND($B2589&lt;&gt;"",$AQ2589&lt;&gt;""),IF(COUNTIFS($B$6:$B$3005,$B2589,$C$6:$C$3005,$C2589,$D$6:$D$3005,$D2589)&gt;1,"同じ月の請求が重複しています／",""),"")&amp;IF(AND(N($E2589)&gt;0,$AB2589&lt;&gt;"",$AB2589&lt;&gt;"×",$AE2589=0,$AD2589=""),"計算額が下限以下のため不支給／",""))</f>
        <v/>
      </c>
      <c r="AN2589" s="12" t="n"/>
      <c r="AO2589" s="14">
        <f>IF($AF2589="保留中",COUNTIF($AF$6:$AF2589,"保留中"),"")</f>
        <v/>
      </c>
      <c r="AP2589" s="14">
        <f>IF($AQ2589="","",IF(SUMPRODUCT(MAX((職員マスタ!$A$6:$A$405=$B2589)*(((職員マスタ!$G$6:$G$405="")+(職員マスタ!$G$6:$G$405&lt;=EOMONTH($AQ2589,0)))&gt;0)*(((職員マスタ!$H$6:$H$405="")+(職員マスタ!$H$6:$H$405&gt;=$AQ2589))&gt;0)*(ROW(職員マスタ!$A$6:$A$405)-5)))&gt;0,SUMPRODUCT(MAX((職員マスタ!$A$6:$A$405=$B2589)*(((職員マスタ!$G$6:$G$405="")+(職員マスタ!$G$6:$G$405&lt;=EOMONTH($AQ2589,0)))&gt;0)*(((職員マスタ!$H$6:$H$405="")+(職員マスタ!$H$6:$H$405&gt;=$AQ2589))&gt;0)*(ROW(職員マスタ!$A$6:$A$405)-5))),IFERROR(MATCH($B2589,職員マスタ!$A$6:$A$405,0),"")))</f>
        <v/>
      </c>
      <c r="AQ2589" s="16">
        <f>IF(OR($B2589="",$C2589="",$D2589=""),"",DATE($C2589+2018,$D2589,1))</f>
        <v/>
      </c>
    </row>
    <row r="2590">
      <c r="A2590" s="11" t="n"/>
      <c r="B2590" s="12" t="n"/>
      <c r="C2590" s="12" t="n"/>
      <c r="D2590" s="12" t="n"/>
      <c r="E2590" s="13" t="n"/>
      <c r="F2590" s="12" t="n"/>
      <c r="G2590" s="13" t="n"/>
      <c r="H2590" s="12" t="n"/>
      <c r="I2590" s="12" t="n"/>
      <c r="J2590" s="12" t="n"/>
      <c r="K2590" s="12" t="n"/>
      <c r="L2590" s="11" t="n"/>
      <c r="M2590" s="11" t="n"/>
      <c r="N2590" s="11" t="n"/>
      <c r="O2590" s="11" t="n"/>
      <c r="P2590" s="12" t="n"/>
      <c r="Q2590" s="11" t="n"/>
      <c r="R2590" s="12" t="n"/>
      <c r="S2590" s="11" t="n"/>
      <c r="T2590" s="12" t="n"/>
      <c r="U2590" s="12" t="n"/>
      <c r="V2590" s="12" t="n"/>
      <c r="W2590" s="13" t="n"/>
      <c r="X2590" s="14">
        <f>IF($AP2590="",IF($B2590="","",$H2590),IF(INDEX(職員マスタ!$B$6:$B$405,$AP2590)="",$H2590,INDEX(職員マスタ!$B$6:$B$405,$AP2590)))</f>
        <v/>
      </c>
      <c r="Y2590" s="14">
        <f>IF($AP2590="",IF($B2590="","",$R2590),IF(INDEX(職員マスタ!$C$6:$C$405,$AP2590)="",$R2590,INDEX(職員マスタ!$C$6:$C$405,$AP2590)))</f>
        <v/>
      </c>
      <c r="Z2590" s="14">
        <f>IF($AQ2590="","","R"&amp;$C2590&amp;"."&amp;$D2590)</f>
        <v/>
      </c>
      <c r="AA2590" s="15">
        <f>IF(IF($AP2590="",FALSE,INDEX(職員マスタ!$K$6:$K$405,$AP2590)&lt;&gt;""),INDEX(職員マスタ!$K$6:$K$405,$AP2590),IF(N($W2590)&gt;0,$W2590,""))</f>
        <v/>
      </c>
      <c r="AB2590" s="14">
        <f>IF(OR($E2590="",$AA2590=""),"",IF($E2590&gt;=$AA2590,"×",IF($E2590&gt;=$AA2590*設定!$C$5,"△","○")))</f>
        <v/>
      </c>
      <c r="AC2590" s="15">
        <f>IF($AB2590="","",IF($AB2590="×",0,IF($AB2590="○",ROUNDDOWN($E2590*設定!$C$4,0),ROUNDDOWN($E2590*ROUND((9*$AA2590-9*$E2590)/(10*$E2590),4),0))))</f>
        <v/>
      </c>
      <c r="AD2590" s="13" t="n"/>
      <c r="AE2590" s="15">
        <f>IF($B2590="","",IF($AD2590&lt;&gt;"",$AD2590,IF($AC2590="","",IF($AC2590&lt;=設定!$C$3,0,$AC2590))))</f>
        <v/>
      </c>
      <c r="AF2590" s="14">
        <f>IF($B2590="","",IF(AND($AG2590&lt;&gt;"",$AI2590="",$AL2590=""),"保留中",IF($AL2590&lt;&gt;"",IF(N($AE2590)&gt;0,"支給済","不支給"),IF($AE2590="","要確認",IF($AE2590=0,"不支給","未処理")))))</f>
        <v/>
      </c>
      <c r="AG2590" s="12" t="n"/>
      <c r="AH2590" s="11" t="n"/>
      <c r="AI2590" s="11" t="n"/>
      <c r="AJ2590" s="11" t="n"/>
      <c r="AK2590" s="14">
        <f>IF(AND($AF2590="保留中",$AH2590&lt;&gt;""),TODAY()-$AH2590,"")</f>
        <v/>
      </c>
      <c r="AL2590" s="12" t="n"/>
      <c r="AM2590" s="14">
        <f>IF($B2590="","",IF($AQ2590="","対象年月が未入力／","")&amp;IF($B2590="","",IF($AP2590="","職員マスタに未登録の職員番号／",IF($AA2590="","標準報酬月額が未登録／","")&amp;IF(AND($AQ2590&lt;&gt;"",OR(AND(INDEX(職員マスタ!$G$6:$G$405,$AP2590)&lt;&gt;"",INDEX(職員マスタ!$G$6:$G$405,$AP2590)&gt;EOMONTH($AQ2590,0)),AND(INDEX(職員マスタ!$H$6:$H$405,$AP2590)&lt;&gt;"",INDEX(職員マスタ!$H$6:$H$405,$AP2590)&lt;$AQ2590))),"対象月が時短期間外／","")&amp;IF(AND(INDEX(職員マスタ!$K$6:$K$405,$AP2590)&lt;&gt;"",N($W2590)&gt;0,INDEX(職員マスタ!$K$6:$K$405,$AP2590)&lt;&gt;$W2590),"標準報酬月額が申請書と相違（台帳"&amp;TEXT(INDEX(職員マスタ!$K$6:$K$405,$AP2590),"#,##0")&amp;"円／申請書"&amp;TEXT($W2590,"#,##0")&amp;"円）／","")&amp;IF(AND(INDEX(職員マスタ!$F$6:$F$405,$AP2590)&lt;&gt;"",$AQ2590&lt;&gt;"",INDEX(職員マスタ!$F$6:$F$405,$AP2590)&lt;$AQ2590),"対象月に子が2歳到達済／","")&amp;IF(AND($H2590&lt;&gt;"",INDEX(職員マスタ!$B$6:$B$405,$AP2590)&lt;&gt;"",SUBSTITUTE(SUBSTITUTE($H2590," ","")," ","")&lt;&gt;SUBSTITUTE(SUBSTITUTE(INDEX(職員マスタ!$B$6:$B$405,$AP2590)," ","")," ","")),"氏名がマスタと相違／","")&amp;IF(AND($Q2590&lt;&gt;"",INDEX(職員マスタ!$E$6:$E$405,$AP2590)&lt;&gt;"",$Q2590&lt;&gt;INDEX(職員マスタ!$E$6:$E$405,$AP2590)),"子の生年月日がマスタと相違／","")&amp;IF(AND($L2590&lt;&gt;"",INDEX(職員マスタ!$G$6:$G$405,$AP2590)&lt;&gt;"",$L2590&lt;&gt;INDEX(職員マスタ!$G$6:$G$405,$AP2590)),"時短開始日がマスタと相違／","")&amp;IF(AND($M2590&lt;&gt;"",INDEX(職員マスタ!$H$6:$H$405,$AP2590)&lt;&gt;"",$M2590&lt;&gt;INDEX(職員マスタ!$H$6:$H$405,$AP2590)),"時短終了日がマスタと相違／","")))&amp;IF(AND($B2590&lt;&gt;"",$E2590=""),"報酬額が未入力／","")&amp;IF(N($U2590)&gt;0,"申請書に入力エラーが残っています／","")&amp;IF(AND($B2590&lt;&gt;"",$AQ2590&lt;&gt;""),IF(COUNTIFS($B$6:$B$3005,$B2590,$C$6:$C$3005,$C2590,$D$6:$D$3005,$D2590)&gt;1,"同じ月の請求が重複しています／",""),"")&amp;IF(AND(N($E2590)&gt;0,$AB2590&lt;&gt;"",$AB2590&lt;&gt;"×",$AE2590=0,$AD2590=""),"計算額が下限以下のため不支給／",""))</f>
        <v/>
      </c>
      <c r="AN2590" s="12" t="n"/>
      <c r="AO2590" s="14">
        <f>IF($AF2590="保留中",COUNTIF($AF$6:$AF2590,"保留中"),"")</f>
        <v/>
      </c>
      <c r="AP2590" s="14">
        <f>IF($AQ2590="","",IF(SUMPRODUCT(MAX((職員マスタ!$A$6:$A$405=$B2590)*(((職員マスタ!$G$6:$G$405="")+(職員マスタ!$G$6:$G$405&lt;=EOMONTH($AQ2590,0)))&gt;0)*(((職員マスタ!$H$6:$H$405="")+(職員マスタ!$H$6:$H$405&gt;=$AQ2590))&gt;0)*(ROW(職員マスタ!$A$6:$A$405)-5)))&gt;0,SUMPRODUCT(MAX((職員マスタ!$A$6:$A$405=$B2590)*(((職員マスタ!$G$6:$G$405="")+(職員マスタ!$G$6:$G$405&lt;=EOMONTH($AQ2590,0)))&gt;0)*(((職員マスタ!$H$6:$H$405="")+(職員マスタ!$H$6:$H$405&gt;=$AQ2590))&gt;0)*(ROW(職員マスタ!$A$6:$A$405)-5))),IFERROR(MATCH($B2590,職員マスタ!$A$6:$A$405,0),"")))</f>
        <v/>
      </c>
      <c r="AQ2590" s="16">
        <f>IF(OR($B2590="",$C2590="",$D2590=""),"",DATE($C2590+2018,$D2590,1))</f>
        <v/>
      </c>
    </row>
    <row r="2591">
      <c r="A2591" s="11" t="n"/>
      <c r="B2591" s="12" t="n"/>
      <c r="C2591" s="12" t="n"/>
      <c r="D2591" s="12" t="n"/>
      <c r="E2591" s="13" t="n"/>
      <c r="F2591" s="12" t="n"/>
      <c r="G2591" s="13" t="n"/>
      <c r="H2591" s="12" t="n"/>
      <c r="I2591" s="12" t="n"/>
      <c r="J2591" s="12" t="n"/>
      <c r="K2591" s="12" t="n"/>
      <c r="L2591" s="11" t="n"/>
      <c r="M2591" s="11" t="n"/>
      <c r="N2591" s="11" t="n"/>
      <c r="O2591" s="11" t="n"/>
      <c r="P2591" s="12" t="n"/>
      <c r="Q2591" s="11" t="n"/>
      <c r="R2591" s="12" t="n"/>
      <c r="S2591" s="11" t="n"/>
      <c r="T2591" s="12" t="n"/>
      <c r="U2591" s="12" t="n"/>
      <c r="V2591" s="12" t="n"/>
      <c r="W2591" s="13" t="n"/>
      <c r="X2591" s="14">
        <f>IF($AP2591="",IF($B2591="","",$H2591),IF(INDEX(職員マスタ!$B$6:$B$405,$AP2591)="",$H2591,INDEX(職員マスタ!$B$6:$B$405,$AP2591)))</f>
        <v/>
      </c>
      <c r="Y2591" s="14">
        <f>IF($AP2591="",IF($B2591="","",$R2591),IF(INDEX(職員マスタ!$C$6:$C$405,$AP2591)="",$R2591,INDEX(職員マスタ!$C$6:$C$405,$AP2591)))</f>
        <v/>
      </c>
      <c r="Z2591" s="14">
        <f>IF($AQ2591="","","R"&amp;$C2591&amp;"."&amp;$D2591)</f>
        <v/>
      </c>
      <c r="AA2591" s="15">
        <f>IF(IF($AP2591="",FALSE,INDEX(職員マスタ!$K$6:$K$405,$AP2591)&lt;&gt;""),INDEX(職員マスタ!$K$6:$K$405,$AP2591),IF(N($W2591)&gt;0,$W2591,""))</f>
        <v/>
      </c>
      <c r="AB2591" s="14">
        <f>IF(OR($E2591="",$AA2591=""),"",IF($E2591&gt;=$AA2591,"×",IF($E2591&gt;=$AA2591*設定!$C$5,"△","○")))</f>
        <v/>
      </c>
      <c r="AC2591" s="15">
        <f>IF($AB2591="","",IF($AB2591="×",0,IF($AB2591="○",ROUNDDOWN($E2591*設定!$C$4,0),ROUNDDOWN($E2591*ROUND((9*$AA2591-9*$E2591)/(10*$E2591),4),0))))</f>
        <v/>
      </c>
      <c r="AD2591" s="13" t="n"/>
      <c r="AE2591" s="15">
        <f>IF($B2591="","",IF($AD2591&lt;&gt;"",$AD2591,IF($AC2591="","",IF($AC2591&lt;=設定!$C$3,0,$AC2591))))</f>
        <v/>
      </c>
      <c r="AF2591" s="14">
        <f>IF($B2591="","",IF(AND($AG2591&lt;&gt;"",$AI2591="",$AL2591=""),"保留中",IF($AL2591&lt;&gt;"",IF(N($AE2591)&gt;0,"支給済","不支給"),IF($AE2591="","要確認",IF($AE2591=0,"不支給","未処理")))))</f>
        <v/>
      </c>
      <c r="AG2591" s="12" t="n"/>
      <c r="AH2591" s="11" t="n"/>
      <c r="AI2591" s="11" t="n"/>
      <c r="AJ2591" s="11" t="n"/>
      <c r="AK2591" s="14">
        <f>IF(AND($AF2591="保留中",$AH2591&lt;&gt;""),TODAY()-$AH2591,"")</f>
        <v/>
      </c>
      <c r="AL2591" s="12" t="n"/>
      <c r="AM2591" s="14">
        <f>IF($B2591="","",IF($AQ2591="","対象年月が未入力／","")&amp;IF($B2591="","",IF($AP2591="","職員マスタに未登録の職員番号／",IF($AA2591="","標準報酬月額が未登録／","")&amp;IF(AND($AQ2591&lt;&gt;"",OR(AND(INDEX(職員マスタ!$G$6:$G$405,$AP2591)&lt;&gt;"",INDEX(職員マスタ!$G$6:$G$405,$AP2591)&gt;EOMONTH($AQ2591,0)),AND(INDEX(職員マスタ!$H$6:$H$405,$AP2591)&lt;&gt;"",INDEX(職員マスタ!$H$6:$H$405,$AP2591)&lt;$AQ2591))),"対象月が時短期間外／","")&amp;IF(AND(INDEX(職員マスタ!$K$6:$K$405,$AP2591)&lt;&gt;"",N($W2591)&gt;0,INDEX(職員マスタ!$K$6:$K$405,$AP2591)&lt;&gt;$W2591),"標準報酬月額が申請書と相違（台帳"&amp;TEXT(INDEX(職員マスタ!$K$6:$K$405,$AP2591),"#,##0")&amp;"円／申請書"&amp;TEXT($W2591,"#,##0")&amp;"円）／","")&amp;IF(AND(INDEX(職員マスタ!$F$6:$F$405,$AP2591)&lt;&gt;"",$AQ2591&lt;&gt;"",INDEX(職員マスタ!$F$6:$F$405,$AP2591)&lt;$AQ2591),"対象月に子が2歳到達済／","")&amp;IF(AND($H2591&lt;&gt;"",INDEX(職員マスタ!$B$6:$B$405,$AP2591)&lt;&gt;"",SUBSTITUTE(SUBSTITUTE($H2591," ","")," ","")&lt;&gt;SUBSTITUTE(SUBSTITUTE(INDEX(職員マスタ!$B$6:$B$405,$AP2591)," ","")," ","")),"氏名がマスタと相違／","")&amp;IF(AND($Q2591&lt;&gt;"",INDEX(職員マスタ!$E$6:$E$405,$AP2591)&lt;&gt;"",$Q2591&lt;&gt;INDEX(職員マスタ!$E$6:$E$405,$AP2591)),"子の生年月日がマスタと相違／","")&amp;IF(AND($L2591&lt;&gt;"",INDEX(職員マスタ!$G$6:$G$405,$AP2591)&lt;&gt;"",$L2591&lt;&gt;INDEX(職員マスタ!$G$6:$G$405,$AP2591)),"時短開始日がマスタと相違／","")&amp;IF(AND($M2591&lt;&gt;"",INDEX(職員マスタ!$H$6:$H$405,$AP2591)&lt;&gt;"",$M2591&lt;&gt;INDEX(職員マスタ!$H$6:$H$405,$AP2591)),"時短終了日がマスタと相違／","")))&amp;IF(AND($B2591&lt;&gt;"",$E2591=""),"報酬額が未入力／","")&amp;IF(N($U2591)&gt;0,"申請書に入力エラーが残っています／","")&amp;IF(AND($B2591&lt;&gt;"",$AQ2591&lt;&gt;""),IF(COUNTIFS($B$6:$B$3005,$B2591,$C$6:$C$3005,$C2591,$D$6:$D$3005,$D2591)&gt;1,"同じ月の請求が重複しています／",""),"")&amp;IF(AND(N($E2591)&gt;0,$AB2591&lt;&gt;"",$AB2591&lt;&gt;"×",$AE2591=0,$AD2591=""),"計算額が下限以下のため不支給／",""))</f>
        <v/>
      </c>
      <c r="AN2591" s="12" t="n"/>
      <c r="AO2591" s="14">
        <f>IF($AF2591="保留中",COUNTIF($AF$6:$AF2591,"保留中"),"")</f>
        <v/>
      </c>
      <c r="AP2591" s="14">
        <f>IF($AQ2591="","",IF(SUMPRODUCT(MAX((職員マスタ!$A$6:$A$405=$B2591)*(((職員マスタ!$G$6:$G$405="")+(職員マスタ!$G$6:$G$405&lt;=EOMONTH($AQ2591,0)))&gt;0)*(((職員マスタ!$H$6:$H$405="")+(職員マスタ!$H$6:$H$405&gt;=$AQ2591))&gt;0)*(ROW(職員マスタ!$A$6:$A$405)-5)))&gt;0,SUMPRODUCT(MAX((職員マスタ!$A$6:$A$405=$B2591)*(((職員マスタ!$G$6:$G$405="")+(職員マスタ!$G$6:$G$405&lt;=EOMONTH($AQ2591,0)))&gt;0)*(((職員マスタ!$H$6:$H$405="")+(職員マスタ!$H$6:$H$405&gt;=$AQ2591))&gt;0)*(ROW(職員マスタ!$A$6:$A$405)-5))),IFERROR(MATCH($B2591,職員マスタ!$A$6:$A$405,0),"")))</f>
        <v/>
      </c>
      <c r="AQ2591" s="16">
        <f>IF(OR($B2591="",$C2591="",$D2591=""),"",DATE($C2591+2018,$D2591,1))</f>
        <v/>
      </c>
    </row>
    <row r="2592">
      <c r="A2592" s="11" t="n"/>
      <c r="B2592" s="12" t="n"/>
      <c r="C2592" s="12" t="n"/>
      <c r="D2592" s="12" t="n"/>
      <c r="E2592" s="13" t="n"/>
      <c r="F2592" s="12" t="n"/>
      <c r="G2592" s="13" t="n"/>
      <c r="H2592" s="12" t="n"/>
      <c r="I2592" s="12" t="n"/>
      <c r="J2592" s="12" t="n"/>
      <c r="K2592" s="12" t="n"/>
      <c r="L2592" s="11" t="n"/>
      <c r="M2592" s="11" t="n"/>
      <c r="N2592" s="11" t="n"/>
      <c r="O2592" s="11" t="n"/>
      <c r="P2592" s="12" t="n"/>
      <c r="Q2592" s="11" t="n"/>
      <c r="R2592" s="12" t="n"/>
      <c r="S2592" s="11" t="n"/>
      <c r="T2592" s="12" t="n"/>
      <c r="U2592" s="12" t="n"/>
      <c r="V2592" s="12" t="n"/>
      <c r="W2592" s="13" t="n"/>
      <c r="X2592" s="14">
        <f>IF($AP2592="",IF($B2592="","",$H2592),IF(INDEX(職員マスタ!$B$6:$B$405,$AP2592)="",$H2592,INDEX(職員マスタ!$B$6:$B$405,$AP2592)))</f>
        <v/>
      </c>
      <c r="Y2592" s="14">
        <f>IF($AP2592="",IF($B2592="","",$R2592),IF(INDEX(職員マスタ!$C$6:$C$405,$AP2592)="",$R2592,INDEX(職員マスタ!$C$6:$C$405,$AP2592)))</f>
        <v/>
      </c>
      <c r="Z2592" s="14">
        <f>IF($AQ2592="","","R"&amp;$C2592&amp;"."&amp;$D2592)</f>
        <v/>
      </c>
      <c r="AA2592" s="15">
        <f>IF(IF($AP2592="",FALSE,INDEX(職員マスタ!$K$6:$K$405,$AP2592)&lt;&gt;""),INDEX(職員マスタ!$K$6:$K$405,$AP2592),IF(N($W2592)&gt;0,$W2592,""))</f>
        <v/>
      </c>
      <c r="AB2592" s="14">
        <f>IF(OR($E2592="",$AA2592=""),"",IF($E2592&gt;=$AA2592,"×",IF($E2592&gt;=$AA2592*設定!$C$5,"△","○")))</f>
        <v/>
      </c>
      <c r="AC2592" s="15">
        <f>IF($AB2592="","",IF($AB2592="×",0,IF($AB2592="○",ROUNDDOWN($E2592*設定!$C$4,0),ROUNDDOWN($E2592*ROUND((9*$AA2592-9*$E2592)/(10*$E2592),4),0))))</f>
        <v/>
      </c>
      <c r="AD2592" s="13" t="n"/>
      <c r="AE2592" s="15">
        <f>IF($B2592="","",IF($AD2592&lt;&gt;"",$AD2592,IF($AC2592="","",IF($AC2592&lt;=設定!$C$3,0,$AC2592))))</f>
        <v/>
      </c>
      <c r="AF2592" s="14">
        <f>IF($B2592="","",IF(AND($AG2592&lt;&gt;"",$AI2592="",$AL2592=""),"保留中",IF($AL2592&lt;&gt;"",IF(N($AE2592)&gt;0,"支給済","不支給"),IF($AE2592="","要確認",IF($AE2592=0,"不支給","未処理")))))</f>
        <v/>
      </c>
      <c r="AG2592" s="12" t="n"/>
      <c r="AH2592" s="11" t="n"/>
      <c r="AI2592" s="11" t="n"/>
      <c r="AJ2592" s="11" t="n"/>
      <c r="AK2592" s="14">
        <f>IF(AND($AF2592="保留中",$AH2592&lt;&gt;""),TODAY()-$AH2592,"")</f>
        <v/>
      </c>
      <c r="AL2592" s="12" t="n"/>
      <c r="AM2592" s="14">
        <f>IF($B2592="","",IF($AQ2592="","対象年月が未入力／","")&amp;IF($B2592="","",IF($AP2592="","職員マスタに未登録の職員番号／",IF($AA2592="","標準報酬月額が未登録／","")&amp;IF(AND($AQ2592&lt;&gt;"",OR(AND(INDEX(職員マスタ!$G$6:$G$405,$AP2592)&lt;&gt;"",INDEX(職員マスタ!$G$6:$G$405,$AP2592)&gt;EOMONTH($AQ2592,0)),AND(INDEX(職員マスタ!$H$6:$H$405,$AP2592)&lt;&gt;"",INDEX(職員マスタ!$H$6:$H$405,$AP2592)&lt;$AQ2592))),"対象月が時短期間外／","")&amp;IF(AND(INDEX(職員マスタ!$K$6:$K$405,$AP2592)&lt;&gt;"",N($W2592)&gt;0,INDEX(職員マスタ!$K$6:$K$405,$AP2592)&lt;&gt;$W2592),"標準報酬月額が申請書と相違（台帳"&amp;TEXT(INDEX(職員マスタ!$K$6:$K$405,$AP2592),"#,##0")&amp;"円／申請書"&amp;TEXT($W2592,"#,##0")&amp;"円）／","")&amp;IF(AND(INDEX(職員マスタ!$F$6:$F$405,$AP2592)&lt;&gt;"",$AQ2592&lt;&gt;"",INDEX(職員マスタ!$F$6:$F$405,$AP2592)&lt;$AQ2592),"対象月に子が2歳到達済／","")&amp;IF(AND($H2592&lt;&gt;"",INDEX(職員マスタ!$B$6:$B$405,$AP2592)&lt;&gt;"",SUBSTITUTE(SUBSTITUTE($H2592," ","")," ","")&lt;&gt;SUBSTITUTE(SUBSTITUTE(INDEX(職員マスタ!$B$6:$B$405,$AP2592)," ","")," ","")),"氏名がマスタと相違／","")&amp;IF(AND($Q2592&lt;&gt;"",INDEX(職員マスタ!$E$6:$E$405,$AP2592)&lt;&gt;"",$Q2592&lt;&gt;INDEX(職員マスタ!$E$6:$E$405,$AP2592)),"子の生年月日がマスタと相違／","")&amp;IF(AND($L2592&lt;&gt;"",INDEX(職員マスタ!$G$6:$G$405,$AP2592)&lt;&gt;"",$L2592&lt;&gt;INDEX(職員マスタ!$G$6:$G$405,$AP2592)),"時短開始日がマスタと相違／","")&amp;IF(AND($M2592&lt;&gt;"",INDEX(職員マスタ!$H$6:$H$405,$AP2592)&lt;&gt;"",$M2592&lt;&gt;INDEX(職員マスタ!$H$6:$H$405,$AP2592)),"時短終了日がマスタと相違／","")))&amp;IF(AND($B2592&lt;&gt;"",$E2592=""),"報酬額が未入力／","")&amp;IF(N($U2592)&gt;0,"申請書に入力エラーが残っています／","")&amp;IF(AND($B2592&lt;&gt;"",$AQ2592&lt;&gt;""),IF(COUNTIFS($B$6:$B$3005,$B2592,$C$6:$C$3005,$C2592,$D$6:$D$3005,$D2592)&gt;1,"同じ月の請求が重複しています／",""),"")&amp;IF(AND(N($E2592)&gt;0,$AB2592&lt;&gt;"",$AB2592&lt;&gt;"×",$AE2592=0,$AD2592=""),"計算額が下限以下のため不支給／",""))</f>
        <v/>
      </c>
      <c r="AN2592" s="12" t="n"/>
      <c r="AO2592" s="14">
        <f>IF($AF2592="保留中",COUNTIF($AF$6:$AF2592,"保留中"),"")</f>
        <v/>
      </c>
      <c r="AP2592" s="14">
        <f>IF($AQ2592="","",IF(SUMPRODUCT(MAX((職員マスタ!$A$6:$A$405=$B2592)*(((職員マスタ!$G$6:$G$405="")+(職員マスタ!$G$6:$G$405&lt;=EOMONTH($AQ2592,0)))&gt;0)*(((職員マスタ!$H$6:$H$405="")+(職員マスタ!$H$6:$H$405&gt;=$AQ2592))&gt;0)*(ROW(職員マスタ!$A$6:$A$405)-5)))&gt;0,SUMPRODUCT(MAX((職員マスタ!$A$6:$A$405=$B2592)*(((職員マスタ!$G$6:$G$405="")+(職員マスタ!$G$6:$G$405&lt;=EOMONTH($AQ2592,0)))&gt;0)*(((職員マスタ!$H$6:$H$405="")+(職員マスタ!$H$6:$H$405&gt;=$AQ2592))&gt;0)*(ROW(職員マスタ!$A$6:$A$405)-5))),IFERROR(MATCH($B2592,職員マスタ!$A$6:$A$405,0),"")))</f>
        <v/>
      </c>
      <c r="AQ2592" s="16">
        <f>IF(OR($B2592="",$C2592="",$D2592=""),"",DATE($C2592+2018,$D2592,1))</f>
        <v/>
      </c>
    </row>
    <row r="2593">
      <c r="A2593" s="11" t="n"/>
      <c r="B2593" s="12" t="n"/>
      <c r="C2593" s="12" t="n"/>
      <c r="D2593" s="12" t="n"/>
      <c r="E2593" s="13" t="n"/>
      <c r="F2593" s="12" t="n"/>
      <c r="G2593" s="13" t="n"/>
      <c r="H2593" s="12" t="n"/>
      <c r="I2593" s="12" t="n"/>
      <c r="J2593" s="12" t="n"/>
      <c r="K2593" s="12" t="n"/>
      <c r="L2593" s="11" t="n"/>
      <c r="M2593" s="11" t="n"/>
      <c r="N2593" s="11" t="n"/>
      <c r="O2593" s="11" t="n"/>
      <c r="P2593" s="12" t="n"/>
      <c r="Q2593" s="11" t="n"/>
      <c r="R2593" s="12" t="n"/>
      <c r="S2593" s="11" t="n"/>
      <c r="T2593" s="12" t="n"/>
      <c r="U2593" s="12" t="n"/>
      <c r="V2593" s="12" t="n"/>
      <c r="W2593" s="13" t="n"/>
      <c r="X2593" s="14">
        <f>IF($AP2593="",IF($B2593="","",$H2593),IF(INDEX(職員マスタ!$B$6:$B$405,$AP2593)="",$H2593,INDEX(職員マスタ!$B$6:$B$405,$AP2593)))</f>
        <v/>
      </c>
      <c r="Y2593" s="14">
        <f>IF($AP2593="",IF($B2593="","",$R2593),IF(INDEX(職員マスタ!$C$6:$C$405,$AP2593)="",$R2593,INDEX(職員マスタ!$C$6:$C$405,$AP2593)))</f>
        <v/>
      </c>
      <c r="Z2593" s="14">
        <f>IF($AQ2593="","","R"&amp;$C2593&amp;"."&amp;$D2593)</f>
        <v/>
      </c>
      <c r="AA2593" s="15">
        <f>IF(IF($AP2593="",FALSE,INDEX(職員マスタ!$K$6:$K$405,$AP2593)&lt;&gt;""),INDEX(職員マスタ!$K$6:$K$405,$AP2593),IF(N($W2593)&gt;0,$W2593,""))</f>
        <v/>
      </c>
      <c r="AB2593" s="14">
        <f>IF(OR($E2593="",$AA2593=""),"",IF($E2593&gt;=$AA2593,"×",IF($E2593&gt;=$AA2593*設定!$C$5,"△","○")))</f>
        <v/>
      </c>
      <c r="AC2593" s="15">
        <f>IF($AB2593="","",IF($AB2593="×",0,IF($AB2593="○",ROUNDDOWN($E2593*設定!$C$4,0),ROUNDDOWN($E2593*ROUND((9*$AA2593-9*$E2593)/(10*$E2593),4),0))))</f>
        <v/>
      </c>
      <c r="AD2593" s="13" t="n"/>
      <c r="AE2593" s="15">
        <f>IF($B2593="","",IF($AD2593&lt;&gt;"",$AD2593,IF($AC2593="","",IF($AC2593&lt;=設定!$C$3,0,$AC2593))))</f>
        <v/>
      </c>
      <c r="AF2593" s="14">
        <f>IF($B2593="","",IF(AND($AG2593&lt;&gt;"",$AI2593="",$AL2593=""),"保留中",IF($AL2593&lt;&gt;"",IF(N($AE2593)&gt;0,"支給済","不支給"),IF($AE2593="","要確認",IF($AE2593=0,"不支給","未処理")))))</f>
        <v/>
      </c>
      <c r="AG2593" s="12" t="n"/>
      <c r="AH2593" s="11" t="n"/>
      <c r="AI2593" s="11" t="n"/>
      <c r="AJ2593" s="11" t="n"/>
      <c r="AK2593" s="14">
        <f>IF(AND($AF2593="保留中",$AH2593&lt;&gt;""),TODAY()-$AH2593,"")</f>
        <v/>
      </c>
      <c r="AL2593" s="12" t="n"/>
      <c r="AM2593" s="14">
        <f>IF($B2593="","",IF($AQ2593="","対象年月が未入力／","")&amp;IF($B2593="","",IF($AP2593="","職員マスタに未登録の職員番号／",IF($AA2593="","標準報酬月額が未登録／","")&amp;IF(AND($AQ2593&lt;&gt;"",OR(AND(INDEX(職員マスタ!$G$6:$G$405,$AP2593)&lt;&gt;"",INDEX(職員マスタ!$G$6:$G$405,$AP2593)&gt;EOMONTH($AQ2593,0)),AND(INDEX(職員マスタ!$H$6:$H$405,$AP2593)&lt;&gt;"",INDEX(職員マスタ!$H$6:$H$405,$AP2593)&lt;$AQ2593))),"対象月が時短期間外／","")&amp;IF(AND(INDEX(職員マスタ!$K$6:$K$405,$AP2593)&lt;&gt;"",N($W2593)&gt;0,INDEX(職員マスタ!$K$6:$K$405,$AP2593)&lt;&gt;$W2593),"標準報酬月額が申請書と相違（台帳"&amp;TEXT(INDEX(職員マスタ!$K$6:$K$405,$AP2593),"#,##0")&amp;"円／申請書"&amp;TEXT($W2593,"#,##0")&amp;"円）／","")&amp;IF(AND(INDEX(職員マスタ!$F$6:$F$405,$AP2593)&lt;&gt;"",$AQ2593&lt;&gt;"",INDEX(職員マスタ!$F$6:$F$405,$AP2593)&lt;$AQ2593),"対象月に子が2歳到達済／","")&amp;IF(AND($H2593&lt;&gt;"",INDEX(職員マスタ!$B$6:$B$405,$AP2593)&lt;&gt;"",SUBSTITUTE(SUBSTITUTE($H2593," ","")," ","")&lt;&gt;SUBSTITUTE(SUBSTITUTE(INDEX(職員マスタ!$B$6:$B$405,$AP2593)," ","")," ","")),"氏名がマスタと相違／","")&amp;IF(AND($Q2593&lt;&gt;"",INDEX(職員マスタ!$E$6:$E$405,$AP2593)&lt;&gt;"",$Q2593&lt;&gt;INDEX(職員マスタ!$E$6:$E$405,$AP2593)),"子の生年月日がマスタと相違／","")&amp;IF(AND($L2593&lt;&gt;"",INDEX(職員マスタ!$G$6:$G$405,$AP2593)&lt;&gt;"",$L2593&lt;&gt;INDEX(職員マスタ!$G$6:$G$405,$AP2593)),"時短開始日がマスタと相違／","")&amp;IF(AND($M2593&lt;&gt;"",INDEX(職員マスタ!$H$6:$H$405,$AP2593)&lt;&gt;"",$M2593&lt;&gt;INDEX(職員マスタ!$H$6:$H$405,$AP2593)),"時短終了日がマスタと相違／","")))&amp;IF(AND($B2593&lt;&gt;"",$E2593=""),"報酬額が未入力／","")&amp;IF(N($U2593)&gt;0,"申請書に入力エラーが残っています／","")&amp;IF(AND($B2593&lt;&gt;"",$AQ2593&lt;&gt;""),IF(COUNTIFS($B$6:$B$3005,$B2593,$C$6:$C$3005,$C2593,$D$6:$D$3005,$D2593)&gt;1,"同じ月の請求が重複しています／",""),"")&amp;IF(AND(N($E2593)&gt;0,$AB2593&lt;&gt;"",$AB2593&lt;&gt;"×",$AE2593=0,$AD2593=""),"計算額が下限以下のため不支給／",""))</f>
        <v/>
      </c>
      <c r="AN2593" s="12" t="n"/>
      <c r="AO2593" s="14">
        <f>IF($AF2593="保留中",COUNTIF($AF$6:$AF2593,"保留中"),"")</f>
        <v/>
      </c>
      <c r="AP2593" s="14">
        <f>IF($AQ2593="","",IF(SUMPRODUCT(MAX((職員マスタ!$A$6:$A$405=$B2593)*(((職員マスタ!$G$6:$G$405="")+(職員マスタ!$G$6:$G$405&lt;=EOMONTH($AQ2593,0)))&gt;0)*(((職員マスタ!$H$6:$H$405="")+(職員マスタ!$H$6:$H$405&gt;=$AQ2593))&gt;0)*(ROW(職員マスタ!$A$6:$A$405)-5)))&gt;0,SUMPRODUCT(MAX((職員マスタ!$A$6:$A$405=$B2593)*(((職員マスタ!$G$6:$G$405="")+(職員マスタ!$G$6:$G$405&lt;=EOMONTH($AQ2593,0)))&gt;0)*(((職員マスタ!$H$6:$H$405="")+(職員マスタ!$H$6:$H$405&gt;=$AQ2593))&gt;0)*(ROW(職員マスタ!$A$6:$A$405)-5))),IFERROR(MATCH($B2593,職員マスタ!$A$6:$A$405,0),"")))</f>
        <v/>
      </c>
      <c r="AQ2593" s="16">
        <f>IF(OR($B2593="",$C2593="",$D2593=""),"",DATE($C2593+2018,$D2593,1))</f>
        <v/>
      </c>
    </row>
    <row r="2594">
      <c r="A2594" s="11" t="n"/>
      <c r="B2594" s="12" t="n"/>
      <c r="C2594" s="12" t="n"/>
      <c r="D2594" s="12" t="n"/>
      <c r="E2594" s="13" t="n"/>
      <c r="F2594" s="12" t="n"/>
      <c r="G2594" s="13" t="n"/>
      <c r="H2594" s="12" t="n"/>
      <c r="I2594" s="12" t="n"/>
      <c r="J2594" s="12" t="n"/>
      <c r="K2594" s="12" t="n"/>
      <c r="L2594" s="11" t="n"/>
      <c r="M2594" s="11" t="n"/>
      <c r="N2594" s="11" t="n"/>
      <c r="O2594" s="11" t="n"/>
      <c r="P2594" s="12" t="n"/>
      <c r="Q2594" s="11" t="n"/>
      <c r="R2594" s="12" t="n"/>
      <c r="S2594" s="11" t="n"/>
      <c r="T2594" s="12" t="n"/>
      <c r="U2594" s="12" t="n"/>
      <c r="V2594" s="12" t="n"/>
      <c r="W2594" s="13" t="n"/>
      <c r="X2594" s="14">
        <f>IF($AP2594="",IF($B2594="","",$H2594),IF(INDEX(職員マスタ!$B$6:$B$405,$AP2594)="",$H2594,INDEX(職員マスタ!$B$6:$B$405,$AP2594)))</f>
        <v/>
      </c>
      <c r="Y2594" s="14">
        <f>IF($AP2594="",IF($B2594="","",$R2594),IF(INDEX(職員マスタ!$C$6:$C$405,$AP2594)="",$R2594,INDEX(職員マスタ!$C$6:$C$405,$AP2594)))</f>
        <v/>
      </c>
      <c r="Z2594" s="14">
        <f>IF($AQ2594="","","R"&amp;$C2594&amp;"."&amp;$D2594)</f>
        <v/>
      </c>
      <c r="AA2594" s="15">
        <f>IF(IF($AP2594="",FALSE,INDEX(職員マスタ!$K$6:$K$405,$AP2594)&lt;&gt;""),INDEX(職員マスタ!$K$6:$K$405,$AP2594),IF(N($W2594)&gt;0,$W2594,""))</f>
        <v/>
      </c>
      <c r="AB2594" s="14">
        <f>IF(OR($E2594="",$AA2594=""),"",IF($E2594&gt;=$AA2594,"×",IF($E2594&gt;=$AA2594*設定!$C$5,"△","○")))</f>
        <v/>
      </c>
      <c r="AC2594" s="15">
        <f>IF($AB2594="","",IF($AB2594="×",0,IF($AB2594="○",ROUNDDOWN($E2594*設定!$C$4,0),ROUNDDOWN($E2594*ROUND((9*$AA2594-9*$E2594)/(10*$E2594),4),0))))</f>
        <v/>
      </c>
      <c r="AD2594" s="13" t="n"/>
      <c r="AE2594" s="15">
        <f>IF($B2594="","",IF($AD2594&lt;&gt;"",$AD2594,IF($AC2594="","",IF($AC2594&lt;=設定!$C$3,0,$AC2594))))</f>
        <v/>
      </c>
      <c r="AF2594" s="14">
        <f>IF($B2594="","",IF(AND($AG2594&lt;&gt;"",$AI2594="",$AL2594=""),"保留中",IF($AL2594&lt;&gt;"",IF(N($AE2594)&gt;0,"支給済","不支給"),IF($AE2594="","要確認",IF($AE2594=0,"不支給","未処理")))))</f>
        <v/>
      </c>
      <c r="AG2594" s="12" t="n"/>
      <c r="AH2594" s="11" t="n"/>
      <c r="AI2594" s="11" t="n"/>
      <c r="AJ2594" s="11" t="n"/>
      <c r="AK2594" s="14">
        <f>IF(AND($AF2594="保留中",$AH2594&lt;&gt;""),TODAY()-$AH2594,"")</f>
        <v/>
      </c>
      <c r="AL2594" s="12" t="n"/>
      <c r="AM2594" s="14">
        <f>IF($B2594="","",IF($AQ2594="","対象年月が未入力／","")&amp;IF($B2594="","",IF($AP2594="","職員マスタに未登録の職員番号／",IF($AA2594="","標準報酬月額が未登録／","")&amp;IF(AND($AQ2594&lt;&gt;"",OR(AND(INDEX(職員マスタ!$G$6:$G$405,$AP2594)&lt;&gt;"",INDEX(職員マスタ!$G$6:$G$405,$AP2594)&gt;EOMONTH($AQ2594,0)),AND(INDEX(職員マスタ!$H$6:$H$405,$AP2594)&lt;&gt;"",INDEX(職員マスタ!$H$6:$H$405,$AP2594)&lt;$AQ2594))),"対象月が時短期間外／","")&amp;IF(AND(INDEX(職員マスタ!$K$6:$K$405,$AP2594)&lt;&gt;"",N($W2594)&gt;0,INDEX(職員マスタ!$K$6:$K$405,$AP2594)&lt;&gt;$W2594),"標準報酬月額が申請書と相違（台帳"&amp;TEXT(INDEX(職員マスタ!$K$6:$K$405,$AP2594),"#,##0")&amp;"円／申請書"&amp;TEXT($W2594,"#,##0")&amp;"円）／","")&amp;IF(AND(INDEX(職員マスタ!$F$6:$F$405,$AP2594)&lt;&gt;"",$AQ2594&lt;&gt;"",INDEX(職員マスタ!$F$6:$F$405,$AP2594)&lt;$AQ2594),"対象月に子が2歳到達済／","")&amp;IF(AND($H2594&lt;&gt;"",INDEX(職員マスタ!$B$6:$B$405,$AP2594)&lt;&gt;"",SUBSTITUTE(SUBSTITUTE($H2594," ","")," ","")&lt;&gt;SUBSTITUTE(SUBSTITUTE(INDEX(職員マスタ!$B$6:$B$405,$AP2594)," ","")," ","")),"氏名がマスタと相違／","")&amp;IF(AND($Q2594&lt;&gt;"",INDEX(職員マスタ!$E$6:$E$405,$AP2594)&lt;&gt;"",$Q2594&lt;&gt;INDEX(職員マスタ!$E$6:$E$405,$AP2594)),"子の生年月日がマスタと相違／","")&amp;IF(AND($L2594&lt;&gt;"",INDEX(職員マスタ!$G$6:$G$405,$AP2594)&lt;&gt;"",$L2594&lt;&gt;INDEX(職員マスタ!$G$6:$G$405,$AP2594)),"時短開始日がマスタと相違／","")&amp;IF(AND($M2594&lt;&gt;"",INDEX(職員マスタ!$H$6:$H$405,$AP2594)&lt;&gt;"",$M2594&lt;&gt;INDEX(職員マスタ!$H$6:$H$405,$AP2594)),"時短終了日がマスタと相違／","")))&amp;IF(AND($B2594&lt;&gt;"",$E2594=""),"報酬額が未入力／","")&amp;IF(N($U2594)&gt;0,"申請書に入力エラーが残っています／","")&amp;IF(AND($B2594&lt;&gt;"",$AQ2594&lt;&gt;""),IF(COUNTIFS($B$6:$B$3005,$B2594,$C$6:$C$3005,$C2594,$D$6:$D$3005,$D2594)&gt;1,"同じ月の請求が重複しています／",""),"")&amp;IF(AND(N($E2594)&gt;0,$AB2594&lt;&gt;"",$AB2594&lt;&gt;"×",$AE2594=0,$AD2594=""),"計算額が下限以下のため不支給／",""))</f>
        <v/>
      </c>
      <c r="AN2594" s="12" t="n"/>
      <c r="AO2594" s="14">
        <f>IF($AF2594="保留中",COUNTIF($AF$6:$AF2594,"保留中"),"")</f>
        <v/>
      </c>
      <c r="AP2594" s="14">
        <f>IF($AQ2594="","",IF(SUMPRODUCT(MAX((職員マスタ!$A$6:$A$405=$B2594)*(((職員マスタ!$G$6:$G$405="")+(職員マスタ!$G$6:$G$405&lt;=EOMONTH($AQ2594,0)))&gt;0)*(((職員マスタ!$H$6:$H$405="")+(職員マスタ!$H$6:$H$405&gt;=$AQ2594))&gt;0)*(ROW(職員マスタ!$A$6:$A$405)-5)))&gt;0,SUMPRODUCT(MAX((職員マスタ!$A$6:$A$405=$B2594)*(((職員マスタ!$G$6:$G$405="")+(職員マスタ!$G$6:$G$405&lt;=EOMONTH($AQ2594,0)))&gt;0)*(((職員マスタ!$H$6:$H$405="")+(職員マスタ!$H$6:$H$405&gt;=$AQ2594))&gt;0)*(ROW(職員マスタ!$A$6:$A$405)-5))),IFERROR(MATCH($B2594,職員マスタ!$A$6:$A$405,0),"")))</f>
        <v/>
      </c>
      <c r="AQ2594" s="16">
        <f>IF(OR($B2594="",$C2594="",$D2594=""),"",DATE($C2594+2018,$D2594,1))</f>
        <v/>
      </c>
    </row>
    <row r="2595">
      <c r="A2595" s="11" t="n"/>
      <c r="B2595" s="12" t="n"/>
      <c r="C2595" s="12" t="n"/>
      <c r="D2595" s="12" t="n"/>
      <c r="E2595" s="13" t="n"/>
      <c r="F2595" s="12" t="n"/>
      <c r="G2595" s="13" t="n"/>
      <c r="H2595" s="12" t="n"/>
      <c r="I2595" s="12" t="n"/>
      <c r="J2595" s="12" t="n"/>
      <c r="K2595" s="12" t="n"/>
      <c r="L2595" s="11" t="n"/>
      <c r="M2595" s="11" t="n"/>
      <c r="N2595" s="11" t="n"/>
      <c r="O2595" s="11" t="n"/>
      <c r="P2595" s="12" t="n"/>
      <c r="Q2595" s="11" t="n"/>
      <c r="R2595" s="12" t="n"/>
      <c r="S2595" s="11" t="n"/>
      <c r="T2595" s="12" t="n"/>
      <c r="U2595" s="12" t="n"/>
      <c r="V2595" s="12" t="n"/>
      <c r="W2595" s="13" t="n"/>
      <c r="X2595" s="14">
        <f>IF($AP2595="",IF($B2595="","",$H2595),IF(INDEX(職員マスタ!$B$6:$B$405,$AP2595)="",$H2595,INDEX(職員マスタ!$B$6:$B$405,$AP2595)))</f>
        <v/>
      </c>
      <c r="Y2595" s="14">
        <f>IF($AP2595="",IF($B2595="","",$R2595),IF(INDEX(職員マスタ!$C$6:$C$405,$AP2595)="",$R2595,INDEX(職員マスタ!$C$6:$C$405,$AP2595)))</f>
        <v/>
      </c>
      <c r="Z2595" s="14">
        <f>IF($AQ2595="","","R"&amp;$C2595&amp;"."&amp;$D2595)</f>
        <v/>
      </c>
      <c r="AA2595" s="15">
        <f>IF(IF($AP2595="",FALSE,INDEX(職員マスタ!$K$6:$K$405,$AP2595)&lt;&gt;""),INDEX(職員マスタ!$K$6:$K$405,$AP2595),IF(N($W2595)&gt;0,$W2595,""))</f>
        <v/>
      </c>
      <c r="AB2595" s="14">
        <f>IF(OR($E2595="",$AA2595=""),"",IF($E2595&gt;=$AA2595,"×",IF($E2595&gt;=$AA2595*設定!$C$5,"△","○")))</f>
        <v/>
      </c>
      <c r="AC2595" s="15">
        <f>IF($AB2595="","",IF($AB2595="×",0,IF($AB2595="○",ROUNDDOWN($E2595*設定!$C$4,0),ROUNDDOWN($E2595*ROUND((9*$AA2595-9*$E2595)/(10*$E2595),4),0))))</f>
        <v/>
      </c>
      <c r="AD2595" s="13" t="n"/>
      <c r="AE2595" s="15">
        <f>IF($B2595="","",IF($AD2595&lt;&gt;"",$AD2595,IF($AC2595="","",IF($AC2595&lt;=設定!$C$3,0,$AC2595))))</f>
        <v/>
      </c>
      <c r="AF2595" s="14">
        <f>IF($B2595="","",IF(AND($AG2595&lt;&gt;"",$AI2595="",$AL2595=""),"保留中",IF($AL2595&lt;&gt;"",IF(N($AE2595)&gt;0,"支給済","不支給"),IF($AE2595="","要確認",IF($AE2595=0,"不支給","未処理")))))</f>
        <v/>
      </c>
      <c r="AG2595" s="12" t="n"/>
      <c r="AH2595" s="11" t="n"/>
      <c r="AI2595" s="11" t="n"/>
      <c r="AJ2595" s="11" t="n"/>
      <c r="AK2595" s="14">
        <f>IF(AND($AF2595="保留中",$AH2595&lt;&gt;""),TODAY()-$AH2595,"")</f>
        <v/>
      </c>
      <c r="AL2595" s="12" t="n"/>
      <c r="AM2595" s="14">
        <f>IF($B2595="","",IF($AQ2595="","対象年月が未入力／","")&amp;IF($B2595="","",IF($AP2595="","職員マスタに未登録の職員番号／",IF($AA2595="","標準報酬月額が未登録／","")&amp;IF(AND($AQ2595&lt;&gt;"",OR(AND(INDEX(職員マスタ!$G$6:$G$405,$AP2595)&lt;&gt;"",INDEX(職員マスタ!$G$6:$G$405,$AP2595)&gt;EOMONTH($AQ2595,0)),AND(INDEX(職員マスタ!$H$6:$H$405,$AP2595)&lt;&gt;"",INDEX(職員マスタ!$H$6:$H$405,$AP2595)&lt;$AQ2595))),"対象月が時短期間外／","")&amp;IF(AND(INDEX(職員マスタ!$K$6:$K$405,$AP2595)&lt;&gt;"",N($W2595)&gt;0,INDEX(職員マスタ!$K$6:$K$405,$AP2595)&lt;&gt;$W2595),"標準報酬月額が申請書と相違（台帳"&amp;TEXT(INDEX(職員マスタ!$K$6:$K$405,$AP2595),"#,##0")&amp;"円／申請書"&amp;TEXT($W2595,"#,##0")&amp;"円）／","")&amp;IF(AND(INDEX(職員マスタ!$F$6:$F$405,$AP2595)&lt;&gt;"",$AQ2595&lt;&gt;"",INDEX(職員マスタ!$F$6:$F$405,$AP2595)&lt;$AQ2595),"対象月に子が2歳到達済／","")&amp;IF(AND($H2595&lt;&gt;"",INDEX(職員マスタ!$B$6:$B$405,$AP2595)&lt;&gt;"",SUBSTITUTE(SUBSTITUTE($H2595," ","")," ","")&lt;&gt;SUBSTITUTE(SUBSTITUTE(INDEX(職員マスタ!$B$6:$B$405,$AP2595)," ","")," ","")),"氏名がマスタと相違／","")&amp;IF(AND($Q2595&lt;&gt;"",INDEX(職員マスタ!$E$6:$E$405,$AP2595)&lt;&gt;"",$Q2595&lt;&gt;INDEX(職員マスタ!$E$6:$E$405,$AP2595)),"子の生年月日がマスタと相違／","")&amp;IF(AND($L2595&lt;&gt;"",INDEX(職員マスタ!$G$6:$G$405,$AP2595)&lt;&gt;"",$L2595&lt;&gt;INDEX(職員マスタ!$G$6:$G$405,$AP2595)),"時短開始日がマスタと相違／","")&amp;IF(AND($M2595&lt;&gt;"",INDEX(職員マスタ!$H$6:$H$405,$AP2595)&lt;&gt;"",$M2595&lt;&gt;INDEX(職員マスタ!$H$6:$H$405,$AP2595)),"時短終了日がマスタと相違／","")))&amp;IF(AND($B2595&lt;&gt;"",$E2595=""),"報酬額が未入力／","")&amp;IF(N($U2595)&gt;0,"申請書に入力エラーが残っています／","")&amp;IF(AND($B2595&lt;&gt;"",$AQ2595&lt;&gt;""),IF(COUNTIFS($B$6:$B$3005,$B2595,$C$6:$C$3005,$C2595,$D$6:$D$3005,$D2595)&gt;1,"同じ月の請求が重複しています／",""),"")&amp;IF(AND(N($E2595)&gt;0,$AB2595&lt;&gt;"",$AB2595&lt;&gt;"×",$AE2595=0,$AD2595=""),"計算額が下限以下のため不支給／",""))</f>
        <v/>
      </c>
      <c r="AN2595" s="12" t="n"/>
      <c r="AO2595" s="14">
        <f>IF($AF2595="保留中",COUNTIF($AF$6:$AF2595,"保留中"),"")</f>
        <v/>
      </c>
      <c r="AP2595" s="14">
        <f>IF($AQ2595="","",IF(SUMPRODUCT(MAX((職員マスタ!$A$6:$A$405=$B2595)*(((職員マスタ!$G$6:$G$405="")+(職員マスタ!$G$6:$G$405&lt;=EOMONTH($AQ2595,0)))&gt;0)*(((職員マスタ!$H$6:$H$405="")+(職員マスタ!$H$6:$H$405&gt;=$AQ2595))&gt;0)*(ROW(職員マスタ!$A$6:$A$405)-5)))&gt;0,SUMPRODUCT(MAX((職員マスタ!$A$6:$A$405=$B2595)*(((職員マスタ!$G$6:$G$405="")+(職員マスタ!$G$6:$G$405&lt;=EOMONTH($AQ2595,0)))&gt;0)*(((職員マスタ!$H$6:$H$405="")+(職員マスタ!$H$6:$H$405&gt;=$AQ2595))&gt;0)*(ROW(職員マスタ!$A$6:$A$405)-5))),IFERROR(MATCH($B2595,職員マスタ!$A$6:$A$405,0),"")))</f>
        <v/>
      </c>
      <c r="AQ2595" s="16">
        <f>IF(OR($B2595="",$C2595="",$D2595=""),"",DATE($C2595+2018,$D2595,1))</f>
        <v/>
      </c>
    </row>
    <row r="2596">
      <c r="A2596" s="11" t="n"/>
      <c r="B2596" s="12" t="n"/>
      <c r="C2596" s="12" t="n"/>
      <c r="D2596" s="12" t="n"/>
      <c r="E2596" s="13" t="n"/>
      <c r="F2596" s="12" t="n"/>
      <c r="G2596" s="13" t="n"/>
      <c r="H2596" s="12" t="n"/>
      <c r="I2596" s="12" t="n"/>
      <c r="J2596" s="12" t="n"/>
      <c r="K2596" s="12" t="n"/>
      <c r="L2596" s="11" t="n"/>
      <c r="M2596" s="11" t="n"/>
      <c r="N2596" s="11" t="n"/>
      <c r="O2596" s="11" t="n"/>
      <c r="P2596" s="12" t="n"/>
      <c r="Q2596" s="11" t="n"/>
      <c r="R2596" s="12" t="n"/>
      <c r="S2596" s="11" t="n"/>
      <c r="T2596" s="12" t="n"/>
      <c r="U2596" s="12" t="n"/>
      <c r="V2596" s="12" t="n"/>
      <c r="W2596" s="13" t="n"/>
      <c r="X2596" s="14">
        <f>IF($AP2596="",IF($B2596="","",$H2596),IF(INDEX(職員マスタ!$B$6:$B$405,$AP2596)="",$H2596,INDEX(職員マスタ!$B$6:$B$405,$AP2596)))</f>
        <v/>
      </c>
      <c r="Y2596" s="14">
        <f>IF($AP2596="",IF($B2596="","",$R2596),IF(INDEX(職員マスタ!$C$6:$C$405,$AP2596)="",$R2596,INDEX(職員マスタ!$C$6:$C$405,$AP2596)))</f>
        <v/>
      </c>
      <c r="Z2596" s="14">
        <f>IF($AQ2596="","","R"&amp;$C2596&amp;"."&amp;$D2596)</f>
        <v/>
      </c>
      <c r="AA2596" s="15">
        <f>IF(IF($AP2596="",FALSE,INDEX(職員マスタ!$K$6:$K$405,$AP2596)&lt;&gt;""),INDEX(職員マスタ!$K$6:$K$405,$AP2596),IF(N($W2596)&gt;0,$W2596,""))</f>
        <v/>
      </c>
      <c r="AB2596" s="14">
        <f>IF(OR($E2596="",$AA2596=""),"",IF($E2596&gt;=$AA2596,"×",IF($E2596&gt;=$AA2596*設定!$C$5,"△","○")))</f>
        <v/>
      </c>
      <c r="AC2596" s="15">
        <f>IF($AB2596="","",IF($AB2596="×",0,IF($AB2596="○",ROUNDDOWN($E2596*設定!$C$4,0),ROUNDDOWN($E2596*ROUND((9*$AA2596-9*$E2596)/(10*$E2596),4),0))))</f>
        <v/>
      </c>
      <c r="AD2596" s="13" t="n"/>
      <c r="AE2596" s="15">
        <f>IF($B2596="","",IF($AD2596&lt;&gt;"",$AD2596,IF($AC2596="","",IF($AC2596&lt;=設定!$C$3,0,$AC2596))))</f>
        <v/>
      </c>
      <c r="AF2596" s="14">
        <f>IF($B2596="","",IF(AND($AG2596&lt;&gt;"",$AI2596="",$AL2596=""),"保留中",IF($AL2596&lt;&gt;"",IF(N($AE2596)&gt;0,"支給済","不支給"),IF($AE2596="","要確認",IF($AE2596=0,"不支給","未処理")))))</f>
        <v/>
      </c>
      <c r="AG2596" s="12" t="n"/>
      <c r="AH2596" s="11" t="n"/>
      <c r="AI2596" s="11" t="n"/>
      <c r="AJ2596" s="11" t="n"/>
      <c r="AK2596" s="14">
        <f>IF(AND($AF2596="保留中",$AH2596&lt;&gt;""),TODAY()-$AH2596,"")</f>
        <v/>
      </c>
      <c r="AL2596" s="12" t="n"/>
      <c r="AM2596" s="14">
        <f>IF($B2596="","",IF($AQ2596="","対象年月が未入力／","")&amp;IF($B2596="","",IF($AP2596="","職員マスタに未登録の職員番号／",IF($AA2596="","標準報酬月額が未登録／","")&amp;IF(AND($AQ2596&lt;&gt;"",OR(AND(INDEX(職員マスタ!$G$6:$G$405,$AP2596)&lt;&gt;"",INDEX(職員マスタ!$G$6:$G$405,$AP2596)&gt;EOMONTH($AQ2596,0)),AND(INDEX(職員マスタ!$H$6:$H$405,$AP2596)&lt;&gt;"",INDEX(職員マスタ!$H$6:$H$405,$AP2596)&lt;$AQ2596))),"対象月が時短期間外／","")&amp;IF(AND(INDEX(職員マスタ!$K$6:$K$405,$AP2596)&lt;&gt;"",N($W2596)&gt;0,INDEX(職員マスタ!$K$6:$K$405,$AP2596)&lt;&gt;$W2596),"標準報酬月額が申請書と相違（台帳"&amp;TEXT(INDEX(職員マスタ!$K$6:$K$405,$AP2596),"#,##0")&amp;"円／申請書"&amp;TEXT($W2596,"#,##0")&amp;"円）／","")&amp;IF(AND(INDEX(職員マスタ!$F$6:$F$405,$AP2596)&lt;&gt;"",$AQ2596&lt;&gt;"",INDEX(職員マスタ!$F$6:$F$405,$AP2596)&lt;$AQ2596),"対象月に子が2歳到達済／","")&amp;IF(AND($H2596&lt;&gt;"",INDEX(職員マスタ!$B$6:$B$405,$AP2596)&lt;&gt;"",SUBSTITUTE(SUBSTITUTE($H2596," ","")," ","")&lt;&gt;SUBSTITUTE(SUBSTITUTE(INDEX(職員マスタ!$B$6:$B$405,$AP2596)," ","")," ","")),"氏名がマスタと相違／","")&amp;IF(AND($Q2596&lt;&gt;"",INDEX(職員マスタ!$E$6:$E$405,$AP2596)&lt;&gt;"",$Q2596&lt;&gt;INDEX(職員マスタ!$E$6:$E$405,$AP2596)),"子の生年月日がマスタと相違／","")&amp;IF(AND($L2596&lt;&gt;"",INDEX(職員マスタ!$G$6:$G$405,$AP2596)&lt;&gt;"",$L2596&lt;&gt;INDEX(職員マスタ!$G$6:$G$405,$AP2596)),"時短開始日がマスタと相違／","")&amp;IF(AND($M2596&lt;&gt;"",INDEX(職員マスタ!$H$6:$H$405,$AP2596)&lt;&gt;"",$M2596&lt;&gt;INDEX(職員マスタ!$H$6:$H$405,$AP2596)),"時短終了日がマスタと相違／","")))&amp;IF(AND($B2596&lt;&gt;"",$E2596=""),"報酬額が未入力／","")&amp;IF(N($U2596)&gt;0,"申請書に入力エラーが残っています／","")&amp;IF(AND($B2596&lt;&gt;"",$AQ2596&lt;&gt;""),IF(COUNTIFS($B$6:$B$3005,$B2596,$C$6:$C$3005,$C2596,$D$6:$D$3005,$D2596)&gt;1,"同じ月の請求が重複しています／",""),"")&amp;IF(AND(N($E2596)&gt;0,$AB2596&lt;&gt;"",$AB2596&lt;&gt;"×",$AE2596=0,$AD2596=""),"計算額が下限以下のため不支給／",""))</f>
        <v/>
      </c>
      <c r="AN2596" s="12" t="n"/>
      <c r="AO2596" s="14">
        <f>IF($AF2596="保留中",COUNTIF($AF$6:$AF2596,"保留中"),"")</f>
        <v/>
      </c>
      <c r="AP2596" s="14">
        <f>IF($AQ2596="","",IF(SUMPRODUCT(MAX((職員マスタ!$A$6:$A$405=$B2596)*(((職員マスタ!$G$6:$G$405="")+(職員マスタ!$G$6:$G$405&lt;=EOMONTH($AQ2596,0)))&gt;0)*(((職員マスタ!$H$6:$H$405="")+(職員マスタ!$H$6:$H$405&gt;=$AQ2596))&gt;0)*(ROW(職員マスタ!$A$6:$A$405)-5)))&gt;0,SUMPRODUCT(MAX((職員マスタ!$A$6:$A$405=$B2596)*(((職員マスタ!$G$6:$G$405="")+(職員マスタ!$G$6:$G$405&lt;=EOMONTH($AQ2596,0)))&gt;0)*(((職員マスタ!$H$6:$H$405="")+(職員マスタ!$H$6:$H$405&gt;=$AQ2596))&gt;0)*(ROW(職員マスタ!$A$6:$A$405)-5))),IFERROR(MATCH($B2596,職員マスタ!$A$6:$A$405,0),"")))</f>
        <v/>
      </c>
      <c r="AQ2596" s="16">
        <f>IF(OR($B2596="",$C2596="",$D2596=""),"",DATE($C2596+2018,$D2596,1))</f>
        <v/>
      </c>
    </row>
    <row r="2597">
      <c r="A2597" s="11" t="n"/>
      <c r="B2597" s="12" t="n"/>
      <c r="C2597" s="12" t="n"/>
      <c r="D2597" s="12" t="n"/>
      <c r="E2597" s="13" t="n"/>
      <c r="F2597" s="12" t="n"/>
      <c r="G2597" s="13" t="n"/>
      <c r="H2597" s="12" t="n"/>
      <c r="I2597" s="12" t="n"/>
      <c r="J2597" s="12" t="n"/>
      <c r="K2597" s="12" t="n"/>
      <c r="L2597" s="11" t="n"/>
      <c r="M2597" s="11" t="n"/>
      <c r="N2597" s="11" t="n"/>
      <c r="O2597" s="11" t="n"/>
      <c r="P2597" s="12" t="n"/>
      <c r="Q2597" s="11" t="n"/>
      <c r="R2597" s="12" t="n"/>
      <c r="S2597" s="11" t="n"/>
      <c r="T2597" s="12" t="n"/>
      <c r="U2597" s="12" t="n"/>
      <c r="V2597" s="12" t="n"/>
      <c r="W2597" s="13" t="n"/>
      <c r="X2597" s="14">
        <f>IF($AP2597="",IF($B2597="","",$H2597),IF(INDEX(職員マスタ!$B$6:$B$405,$AP2597)="",$H2597,INDEX(職員マスタ!$B$6:$B$405,$AP2597)))</f>
        <v/>
      </c>
      <c r="Y2597" s="14">
        <f>IF($AP2597="",IF($B2597="","",$R2597),IF(INDEX(職員マスタ!$C$6:$C$405,$AP2597)="",$R2597,INDEX(職員マスタ!$C$6:$C$405,$AP2597)))</f>
        <v/>
      </c>
      <c r="Z2597" s="14">
        <f>IF($AQ2597="","","R"&amp;$C2597&amp;"."&amp;$D2597)</f>
        <v/>
      </c>
      <c r="AA2597" s="15">
        <f>IF(IF($AP2597="",FALSE,INDEX(職員マスタ!$K$6:$K$405,$AP2597)&lt;&gt;""),INDEX(職員マスタ!$K$6:$K$405,$AP2597),IF(N($W2597)&gt;0,$W2597,""))</f>
        <v/>
      </c>
      <c r="AB2597" s="14">
        <f>IF(OR($E2597="",$AA2597=""),"",IF($E2597&gt;=$AA2597,"×",IF($E2597&gt;=$AA2597*設定!$C$5,"△","○")))</f>
        <v/>
      </c>
      <c r="AC2597" s="15">
        <f>IF($AB2597="","",IF($AB2597="×",0,IF($AB2597="○",ROUNDDOWN($E2597*設定!$C$4,0),ROUNDDOWN($E2597*ROUND((9*$AA2597-9*$E2597)/(10*$E2597),4),0))))</f>
        <v/>
      </c>
      <c r="AD2597" s="13" t="n"/>
      <c r="AE2597" s="15">
        <f>IF($B2597="","",IF($AD2597&lt;&gt;"",$AD2597,IF($AC2597="","",IF($AC2597&lt;=設定!$C$3,0,$AC2597))))</f>
        <v/>
      </c>
      <c r="AF2597" s="14">
        <f>IF($B2597="","",IF(AND($AG2597&lt;&gt;"",$AI2597="",$AL2597=""),"保留中",IF($AL2597&lt;&gt;"",IF(N($AE2597)&gt;0,"支給済","不支給"),IF($AE2597="","要確認",IF($AE2597=0,"不支給","未処理")))))</f>
        <v/>
      </c>
      <c r="AG2597" s="12" t="n"/>
      <c r="AH2597" s="11" t="n"/>
      <c r="AI2597" s="11" t="n"/>
      <c r="AJ2597" s="11" t="n"/>
      <c r="AK2597" s="14">
        <f>IF(AND($AF2597="保留中",$AH2597&lt;&gt;""),TODAY()-$AH2597,"")</f>
        <v/>
      </c>
      <c r="AL2597" s="12" t="n"/>
      <c r="AM2597" s="14">
        <f>IF($B2597="","",IF($AQ2597="","対象年月が未入力／","")&amp;IF($B2597="","",IF($AP2597="","職員マスタに未登録の職員番号／",IF($AA2597="","標準報酬月額が未登録／","")&amp;IF(AND($AQ2597&lt;&gt;"",OR(AND(INDEX(職員マスタ!$G$6:$G$405,$AP2597)&lt;&gt;"",INDEX(職員マスタ!$G$6:$G$405,$AP2597)&gt;EOMONTH($AQ2597,0)),AND(INDEX(職員マスタ!$H$6:$H$405,$AP2597)&lt;&gt;"",INDEX(職員マスタ!$H$6:$H$405,$AP2597)&lt;$AQ2597))),"対象月が時短期間外／","")&amp;IF(AND(INDEX(職員マスタ!$K$6:$K$405,$AP2597)&lt;&gt;"",N($W2597)&gt;0,INDEX(職員マスタ!$K$6:$K$405,$AP2597)&lt;&gt;$W2597),"標準報酬月額が申請書と相違（台帳"&amp;TEXT(INDEX(職員マスタ!$K$6:$K$405,$AP2597),"#,##0")&amp;"円／申請書"&amp;TEXT($W2597,"#,##0")&amp;"円）／","")&amp;IF(AND(INDEX(職員マスタ!$F$6:$F$405,$AP2597)&lt;&gt;"",$AQ2597&lt;&gt;"",INDEX(職員マスタ!$F$6:$F$405,$AP2597)&lt;$AQ2597),"対象月に子が2歳到達済／","")&amp;IF(AND($H2597&lt;&gt;"",INDEX(職員マスタ!$B$6:$B$405,$AP2597)&lt;&gt;"",SUBSTITUTE(SUBSTITUTE($H2597," ","")," ","")&lt;&gt;SUBSTITUTE(SUBSTITUTE(INDEX(職員マスタ!$B$6:$B$405,$AP2597)," ","")," ","")),"氏名がマスタと相違／","")&amp;IF(AND($Q2597&lt;&gt;"",INDEX(職員マスタ!$E$6:$E$405,$AP2597)&lt;&gt;"",$Q2597&lt;&gt;INDEX(職員マスタ!$E$6:$E$405,$AP2597)),"子の生年月日がマスタと相違／","")&amp;IF(AND($L2597&lt;&gt;"",INDEX(職員マスタ!$G$6:$G$405,$AP2597)&lt;&gt;"",$L2597&lt;&gt;INDEX(職員マスタ!$G$6:$G$405,$AP2597)),"時短開始日がマスタと相違／","")&amp;IF(AND($M2597&lt;&gt;"",INDEX(職員マスタ!$H$6:$H$405,$AP2597)&lt;&gt;"",$M2597&lt;&gt;INDEX(職員マスタ!$H$6:$H$405,$AP2597)),"時短終了日がマスタと相違／","")))&amp;IF(AND($B2597&lt;&gt;"",$E2597=""),"報酬額が未入力／","")&amp;IF(N($U2597)&gt;0,"申請書に入力エラーが残っています／","")&amp;IF(AND($B2597&lt;&gt;"",$AQ2597&lt;&gt;""),IF(COUNTIFS($B$6:$B$3005,$B2597,$C$6:$C$3005,$C2597,$D$6:$D$3005,$D2597)&gt;1,"同じ月の請求が重複しています／",""),"")&amp;IF(AND(N($E2597)&gt;0,$AB2597&lt;&gt;"",$AB2597&lt;&gt;"×",$AE2597=0,$AD2597=""),"計算額が下限以下のため不支給／",""))</f>
        <v/>
      </c>
      <c r="AN2597" s="12" t="n"/>
      <c r="AO2597" s="14">
        <f>IF($AF2597="保留中",COUNTIF($AF$6:$AF2597,"保留中"),"")</f>
        <v/>
      </c>
      <c r="AP2597" s="14">
        <f>IF($AQ2597="","",IF(SUMPRODUCT(MAX((職員マスタ!$A$6:$A$405=$B2597)*(((職員マスタ!$G$6:$G$405="")+(職員マスタ!$G$6:$G$405&lt;=EOMONTH($AQ2597,0)))&gt;0)*(((職員マスタ!$H$6:$H$405="")+(職員マスタ!$H$6:$H$405&gt;=$AQ2597))&gt;0)*(ROW(職員マスタ!$A$6:$A$405)-5)))&gt;0,SUMPRODUCT(MAX((職員マスタ!$A$6:$A$405=$B2597)*(((職員マスタ!$G$6:$G$405="")+(職員マスタ!$G$6:$G$405&lt;=EOMONTH($AQ2597,0)))&gt;0)*(((職員マスタ!$H$6:$H$405="")+(職員マスタ!$H$6:$H$405&gt;=$AQ2597))&gt;0)*(ROW(職員マスタ!$A$6:$A$405)-5))),IFERROR(MATCH($B2597,職員マスタ!$A$6:$A$405,0),"")))</f>
        <v/>
      </c>
      <c r="AQ2597" s="16">
        <f>IF(OR($B2597="",$C2597="",$D2597=""),"",DATE($C2597+2018,$D2597,1))</f>
        <v/>
      </c>
    </row>
    <row r="2598">
      <c r="A2598" s="11" t="n"/>
      <c r="B2598" s="12" t="n"/>
      <c r="C2598" s="12" t="n"/>
      <c r="D2598" s="12" t="n"/>
      <c r="E2598" s="13" t="n"/>
      <c r="F2598" s="12" t="n"/>
      <c r="G2598" s="13" t="n"/>
      <c r="H2598" s="12" t="n"/>
      <c r="I2598" s="12" t="n"/>
      <c r="J2598" s="12" t="n"/>
      <c r="K2598" s="12" t="n"/>
      <c r="L2598" s="11" t="n"/>
      <c r="M2598" s="11" t="n"/>
      <c r="N2598" s="11" t="n"/>
      <c r="O2598" s="11" t="n"/>
      <c r="P2598" s="12" t="n"/>
      <c r="Q2598" s="11" t="n"/>
      <c r="R2598" s="12" t="n"/>
      <c r="S2598" s="11" t="n"/>
      <c r="T2598" s="12" t="n"/>
      <c r="U2598" s="12" t="n"/>
      <c r="V2598" s="12" t="n"/>
      <c r="W2598" s="13" t="n"/>
      <c r="X2598" s="14">
        <f>IF($AP2598="",IF($B2598="","",$H2598),IF(INDEX(職員マスタ!$B$6:$B$405,$AP2598)="",$H2598,INDEX(職員マスタ!$B$6:$B$405,$AP2598)))</f>
        <v/>
      </c>
      <c r="Y2598" s="14">
        <f>IF($AP2598="",IF($B2598="","",$R2598),IF(INDEX(職員マスタ!$C$6:$C$405,$AP2598)="",$R2598,INDEX(職員マスタ!$C$6:$C$405,$AP2598)))</f>
        <v/>
      </c>
      <c r="Z2598" s="14">
        <f>IF($AQ2598="","","R"&amp;$C2598&amp;"."&amp;$D2598)</f>
        <v/>
      </c>
      <c r="AA2598" s="15">
        <f>IF(IF($AP2598="",FALSE,INDEX(職員マスタ!$K$6:$K$405,$AP2598)&lt;&gt;""),INDEX(職員マスタ!$K$6:$K$405,$AP2598),IF(N($W2598)&gt;0,$W2598,""))</f>
        <v/>
      </c>
      <c r="AB2598" s="14">
        <f>IF(OR($E2598="",$AA2598=""),"",IF($E2598&gt;=$AA2598,"×",IF($E2598&gt;=$AA2598*設定!$C$5,"△","○")))</f>
        <v/>
      </c>
      <c r="AC2598" s="15">
        <f>IF($AB2598="","",IF($AB2598="×",0,IF($AB2598="○",ROUNDDOWN($E2598*設定!$C$4,0),ROUNDDOWN($E2598*ROUND((9*$AA2598-9*$E2598)/(10*$E2598),4),0))))</f>
        <v/>
      </c>
      <c r="AD2598" s="13" t="n"/>
      <c r="AE2598" s="15">
        <f>IF($B2598="","",IF($AD2598&lt;&gt;"",$AD2598,IF($AC2598="","",IF($AC2598&lt;=設定!$C$3,0,$AC2598))))</f>
        <v/>
      </c>
      <c r="AF2598" s="14">
        <f>IF($B2598="","",IF(AND($AG2598&lt;&gt;"",$AI2598="",$AL2598=""),"保留中",IF($AL2598&lt;&gt;"",IF(N($AE2598)&gt;0,"支給済","不支給"),IF($AE2598="","要確認",IF($AE2598=0,"不支給","未処理")))))</f>
        <v/>
      </c>
      <c r="AG2598" s="12" t="n"/>
      <c r="AH2598" s="11" t="n"/>
      <c r="AI2598" s="11" t="n"/>
      <c r="AJ2598" s="11" t="n"/>
      <c r="AK2598" s="14">
        <f>IF(AND($AF2598="保留中",$AH2598&lt;&gt;""),TODAY()-$AH2598,"")</f>
        <v/>
      </c>
      <c r="AL2598" s="12" t="n"/>
      <c r="AM2598" s="14">
        <f>IF($B2598="","",IF($AQ2598="","対象年月が未入力／","")&amp;IF($B2598="","",IF($AP2598="","職員マスタに未登録の職員番号／",IF($AA2598="","標準報酬月額が未登録／","")&amp;IF(AND($AQ2598&lt;&gt;"",OR(AND(INDEX(職員マスタ!$G$6:$G$405,$AP2598)&lt;&gt;"",INDEX(職員マスタ!$G$6:$G$405,$AP2598)&gt;EOMONTH($AQ2598,0)),AND(INDEX(職員マスタ!$H$6:$H$405,$AP2598)&lt;&gt;"",INDEX(職員マスタ!$H$6:$H$405,$AP2598)&lt;$AQ2598))),"対象月が時短期間外／","")&amp;IF(AND(INDEX(職員マスタ!$K$6:$K$405,$AP2598)&lt;&gt;"",N($W2598)&gt;0,INDEX(職員マスタ!$K$6:$K$405,$AP2598)&lt;&gt;$W2598),"標準報酬月額が申請書と相違（台帳"&amp;TEXT(INDEX(職員マスタ!$K$6:$K$405,$AP2598),"#,##0")&amp;"円／申請書"&amp;TEXT($W2598,"#,##0")&amp;"円）／","")&amp;IF(AND(INDEX(職員マスタ!$F$6:$F$405,$AP2598)&lt;&gt;"",$AQ2598&lt;&gt;"",INDEX(職員マスタ!$F$6:$F$405,$AP2598)&lt;$AQ2598),"対象月に子が2歳到達済／","")&amp;IF(AND($H2598&lt;&gt;"",INDEX(職員マスタ!$B$6:$B$405,$AP2598)&lt;&gt;"",SUBSTITUTE(SUBSTITUTE($H2598," ","")," ","")&lt;&gt;SUBSTITUTE(SUBSTITUTE(INDEX(職員マスタ!$B$6:$B$405,$AP2598)," ","")," ","")),"氏名がマスタと相違／","")&amp;IF(AND($Q2598&lt;&gt;"",INDEX(職員マスタ!$E$6:$E$405,$AP2598)&lt;&gt;"",$Q2598&lt;&gt;INDEX(職員マスタ!$E$6:$E$405,$AP2598)),"子の生年月日がマスタと相違／","")&amp;IF(AND($L2598&lt;&gt;"",INDEX(職員マスタ!$G$6:$G$405,$AP2598)&lt;&gt;"",$L2598&lt;&gt;INDEX(職員マスタ!$G$6:$G$405,$AP2598)),"時短開始日がマスタと相違／","")&amp;IF(AND($M2598&lt;&gt;"",INDEX(職員マスタ!$H$6:$H$405,$AP2598)&lt;&gt;"",$M2598&lt;&gt;INDEX(職員マスタ!$H$6:$H$405,$AP2598)),"時短終了日がマスタと相違／","")))&amp;IF(AND($B2598&lt;&gt;"",$E2598=""),"報酬額が未入力／","")&amp;IF(N($U2598)&gt;0,"申請書に入力エラーが残っています／","")&amp;IF(AND($B2598&lt;&gt;"",$AQ2598&lt;&gt;""),IF(COUNTIFS($B$6:$B$3005,$B2598,$C$6:$C$3005,$C2598,$D$6:$D$3005,$D2598)&gt;1,"同じ月の請求が重複しています／",""),"")&amp;IF(AND(N($E2598)&gt;0,$AB2598&lt;&gt;"",$AB2598&lt;&gt;"×",$AE2598=0,$AD2598=""),"計算額が下限以下のため不支給／",""))</f>
        <v/>
      </c>
      <c r="AN2598" s="12" t="n"/>
      <c r="AO2598" s="14">
        <f>IF($AF2598="保留中",COUNTIF($AF$6:$AF2598,"保留中"),"")</f>
        <v/>
      </c>
      <c r="AP2598" s="14">
        <f>IF($AQ2598="","",IF(SUMPRODUCT(MAX((職員マスタ!$A$6:$A$405=$B2598)*(((職員マスタ!$G$6:$G$405="")+(職員マスタ!$G$6:$G$405&lt;=EOMONTH($AQ2598,0)))&gt;0)*(((職員マスタ!$H$6:$H$405="")+(職員マスタ!$H$6:$H$405&gt;=$AQ2598))&gt;0)*(ROW(職員マスタ!$A$6:$A$405)-5)))&gt;0,SUMPRODUCT(MAX((職員マスタ!$A$6:$A$405=$B2598)*(((職員マスタ!$G$6:$G$405="")+(職員マスタ!$G$6:$G$405&lt;=EOMONTH($AQ2598,0)))&gt;0)*(((職員マスタ!$H$6:$H$405="")+(職員マスタ!$H$6:$H$405&gt;=$AQ2598))&gt;0)*(ROW(職員マスタ!$A$6:$A$405)-5))),IFERROR(MATCH($B2598,職員マスタ!$A$6:$A$405,0),"")))</f>
        <v/>
      </c>
      <c r="AQ2598" s="16">
        <f>IF(OR($B2598="",$C2598="",$D2598=""),"",DATE($C2598+2018,$D2598,1))</f>
        <v/>
      </c>
    </row>
    <row r="2599">
      <c r="A2599" s="11" t="n"/>
      <c r="B2599" s="12" t="n"/>
      <c r="C2599" s="12" t="n"/>
      <c r="D2599" s="12" t="n"/>
      <c r="E2599" s="13" t="n"/>
      <c r="F2599" s="12" t="n"/>
      <c r="G2599" s="13" t="n"/>
      <c r="H2599" s="12" t="n"/>
      <c r="I2599" s="12" t="n"/>
      <c r="J2599" s="12" t="n"/>
      <c r="K2599" s="12" t="n"/>
      <c r="L2599" s="11" t="n"/>
      <c r="M2599" s="11" t="n"/>
      <c r="N2599" s="11" t="n"/>
      <c r="O2599" s="11" t="n"/>
      <c r="P2599" s="12" t="n"/>
      <c r="Q2599" s="11" t="n"/>
      <c r="R2599" s="12" t="n"/>
      <c r="S2599" s="11" t="n"/>
      <c r="T2599" s="12" t="n"/>
      <c r="U2599" s="12" t="n"/>
      <c r="V2599" s="12" t="n"/>
      <c r="W2599" s="13" t="n"/>
      <c r="X2599" s="14">
        <f>IF($AP2599="",IF($B2599="","",$H2599),IF(INDEX(職員マスタ!$B$6:$B$405,$AP2599)="",$H2599,INDEX(職員マスタ!$B$6:$B$405,$AP2599)))</f>
        <v/>
      </c>
      <c r="Y2599" s="14">
        <f>IF($AP2599="",IF($B2599="","",$R2599),IF(INDEX(職員マスタ!$C$6:$C$405,$AP2599)="",$R2599,INDEX(職員マスタ!$C$6:$C$405,$AP2599)))</f>
        <v/>
      </c>
      <c r="Z2599" s="14">
        <f>IF($AQ2599="","","R"&amp;$C2599&amp;"."&amp;$D2599)</f>
        <v/>
      </c>
      <c r="AA2599" s="15">
        <f>IF(IF($AP2599="",FALSE,INDEX(職員マスタ!$K$6:$K$405,$AP2599)&lt;&gt;""),INDEX(職員マスタ!$K$6:$K$405,$AP2599),IF(N($W2599)&gt;0,$W2599,""))</f>
        <v/>
      </c>
      <c r="AB2599" s="14">
        <f>IF(OR($E2599="",$AA2599=""),"",IF($E2599&gt;=$AA2599,"×",IF($E2599&gt;=$AA2599*設定!$C$5,"△","○")))</f>
        <v/>
      </c>
      <c r="AC2599" s="15">
        <f>IF($AB2599="","",IF($AB2599="×",0,IF($AB2599="○",ROUNDDOWN($E2599*設定!$C$4,0),ROUNDDOWN($E2599*ROUND((9*$AA2599-9*$E2599)/(10*$E2599),4),0))))</f>
        <v/>
      </c>
      <c r="AD2599" s="13" t="n"/>
      <c r="AE2599" s="15">
        <f>IF($B2599="","",IF($AD2599&lt;&gt;"",$AD2599,IF($AC2599="","",IF($AC2599&lt;=設定!$C$3,0,$AC2599))))</f>
        <v/>
      </c>
      <c r="AF2599" s="14">
        <f>IF($B2599="","",IF(AND($AG2599&lt;&gt;"",$AI2599="",$AL2599=""),"保留中",IF($AL2599&lt;&gt;"",IF(N($AE2599)&gt;0,"支給済","不支給"),IF($AE2599="","要確認",IF($AE2599=0,"不支給","未処理")))))</f>
        <v/>
      </c>
      <c r="AG2599" s="12" t="n"/>
      <c r="AH2599" s="11" t="n"/>
      <c r="AI2599" s="11" t="n"/>
      <c r="AJ2599" s="11" t="n"/>
      <c r="AK2599" s="14">
        <f>IF(AND($AF2599="保留中",$AH2599&lt;&gt;""),TODAY()-$AH2599,"")</f>
        <v/>
      </c>
      <c r="AL2599" s="12" t="n"/>
      <c r="AM2599" s="14">
        <f>IF($B2599="","",IF($AQ2599="","対象年月が未入力／","")&amp;IF($B2599="","",IF($AP2599="","職員マスタに未登録の職員番号／",IF($AA2599="","標準報酬月額が未登録／","")&amp;IF(AND($AQ2599&lt;&gt;"",OR(AND(INDEX(職員マスタ!$G$6:$G$405,$AP2599)&lt;&gt;"",INDEX(職員マスタ!$G$6:$G$405,$AP2599)&gt;EOMONTH($AQ2599,0)),AND(INDEX(職員マスタ!$H$6:$H$405,$AP2599)&lt;&gt;"",INDEX(職員マスタ!$H$6:$H$405,$AP2599)&lt;$AQ2599))),"対象月が時短期間外／","")&amp;IF(AND(INDEX(職員マスタ!$K$6:$K$405,$AP2599)&lt;&gt;"",N($W2599)&gt;0,INDEX(職員マスタ!$K$6:$K$405,$AP2599)&lt;&gt;$W2599),"標準報酬月額が申請書と相違（台帳"&amp;TEXT(INDEX(職員マスタ!$K$6:$K$405,$AP2599),"#,##0")&amp;"円／申請書"&amp;TEXT($W2599,"#,##0")&amp;"円）／","")&amp;IF(AND(INDEX(職員マスタ!$F$6:$F$405,$AP2599)&lt;&gt;"",$AQ2599&lt;&gt;"",INDEX(職員マスタ!$F$6:$F$405,$AP2599)&lt;$AQ2599),"対象月に子が2歳到達済／","")&amp;IF(AND($H2599&lt;&gt;"",INDEX(職員マスタ!$B$6:$B$405,$AP2599)&lt;&gt;"",SUBSTITUTE(SUBSTITUTE($H2599," ","")," ","")&lt;&gt;SUBSTITUTE(SUBSTITUTE(INDEX(職員マスタ!$B$6:$B$405,$AP2599)," ","")," ","")),"氏名がマスタと相違／","")&amp;IF(AND($Q2599&lt;&gt;"",INDEX(職員マスタ!$E$6:$E$405,$AP2599)&lt;&gt;"",$Q2599&lt;&gt;INDEX(職員マスタ!$E$6:$E$405,$AP2599)),"子の生年月日がマスタと相違／","")&amp;IF(AND($L2599&lt;&gt;"",INDEX(職員マスタ!$G$6:$G$405,$AP2599)&lt;&gt;"",$L2599&lt;&gt;INDEX(職員マスタ!$G$6:$G$405,$AP2599)),"時短開始日がマスタと相違／","")&amp;IF(AND($M2599&lt;&gt;"",INDEX(職員マスタ!$H$6:$H$405,$AP2599)&lt;&gt;"",$M2599&lt;&gt;INDEX(職員マスタ!$H$6:$H$405,$AP2599)),"時短終了日がマスタと相違／","")))&amp;IF(AND($B2599&lt;&gt;"",$E2599=""),"報酬額が未入力／","")&amp;IF(N($U2599)&gt;0,"申請書に入力エラーが残っています／","")&amp;IF(AND($B2599&lt;&gt;"",$AQ2599&lt;&gt;""),IF(COUNTIFS($B$6:$B$3005,$B2599,$C$6:$C$3005,$C2599,$D$6:$D$3005,$D2599)&gt;1,"同じ月の請求が重複しています／",""),"")&amp;IF(AND(N($E2599)&gt;0,$AB2599&lt;&gt;"",$AB2599&lt;&gt;"×",$AE2599=0,$AD2599=""),"計算額が下限以下のため不支給／",""))</f>
        <v/>
      </c>
      <c r="AN2599" s="12" t="n"/>
      <c r="AO2599" s="14">
        <f>IF($AF2599="保留中",COUNTIF($AF$6:$AF2599,"保留中"),"")</f>
        <v/>
      </c>
      <c r="AP2599" s="14">
        <f>IF($AQ2599="","",IF(SUMPRODUCT(MAX((職員マスタ!$A$6:$A$405=$B2599)*(((職員マスタ!$G$6:$G$405="")+(職員マスタ!$G$6:$G$405&lt;=EOMONTH($AQ2599,0)))&gt;0)*(((職員マスタ!$H$6:$H$405="")+(職員マスタ!$H$6:$H$405&gt;=$AQ2599))&gt;0)*(ROW(職員マスタ!$A$6:$A$405)-5)))&gt;0,SUMPRODUCT(MAX((職員マスタ!$A$6:$A$405=$B2599)*(((職員マスタ!$G$6:$G$405="")+(職員マスタ!$G$6:$G$405&lt;=EOMONTH($AQ2599,0)))&gt;0)*(((職員マスタ!$H$6:$H$405="")+(職員マスタ!$H$6:$H$405&gt;=$AQ2599))&gt;0)*(ROW(職員マスタ!$A$6:$A$405)-5))),IFERROR(MATCH($B2599,職員マスタ!$A$6:$A$405,0),"")))</f>
        <v/>
      </c>
      <c r="AQ2599" s="16">
        <f>IF(OR($B2599="",$C2599="",$D2599=""),"",DATE($C2599+2018,$D2599,1))</f>
        <v/>
      </c>
    </row>
    <row r="2600">
      <c r="A2600" s="11" t="n"/>
      <c r="B2600" s="12" t="n"/>
      <c r="C2600" s="12" t="n"/>
      <c r="D2600" s="12" t="n"/>
      <c r="E2600" s="13" t="n"/>
      <c r="F2600" s="12" t="n"/>
      <c r="G2600" s="13" t="n"/>
      <c r="H2600" s="12" t="n"/>
      <c r="I2600" s="12" t="n"/>
      <c r="J2600" s="12" t="n"/>
      <c r="K2600" s="12" t="n"/>
      <c r="L2600" s="11" t="n"/>
      <c r="M2600" s="11" t="n"/>
      <c r="N2600" s="11" t="n"/>
      <c r="O2600" s="11" t="n"/>
      <c r="P2600" s="12" t="n"/>
      <c r="Q2600" s="11" t="n"/>
      <c r="R2600" s="12" t="n"/>
      <c r="S2600" s="11" t="n"/>
      <c r="T2600" s="12" t="n"/>
      <c r="U2600" s="12" t="n"/>
      <c r="V2600" s="12" t="n"/>
      <c r="W2600" s="13" t="n"/>
      <c r="X2600" s="14">
        <f>IF($AP2600="",IF($B2600="","",$H2600),IF(INDEX(職員マスタ!$B$6:$B$405,$AP2600)="",$H2600,INDEX(職員マスタ!$B$6:$B$405,$AP2600)))</f>
        <v/>
      </c>
      <c r="Y2600" s="14">
        <f>IF($AP2600="",IF($B2600="","",$R2600),IF(INDEX(職員マスタ!$C$6:$C$405,$AP2600)="",$R2600,INDEX(職員マスタ!$C$6:$C$405,$AP2600)))</f>
        <v/>
      </c>
      <c r="Z2600" s="14">
        <f>IF($AQ2600="","","R"&amp;$C2600&amp;"."&amp;$D2600)</f>
        <v/>
      </c>
      <c r="AA2600" s="15">
        <f>IF(IF($AP2600="",FALSE,INDEX(職員マスタ!$K$6:$K$405,$AP2600)&lt;&gt;""),INDEX(職員マスタ!$K$6:$K$405,$AP2600),IF(N($W2600)&gt;0,$W2600,""))</f>
        <v/>
      </c>
      <c r="AB2600" s="14">
        <f>IF(OR($E2600="",$AA2600=""),"",IF($E2600&gt;=$AA2600,"×",IF($E2600&gt;=$AA2600*設定!$C$5,"△","○")))</f>
        <v/>
      </c>
      <c r="AC2600" s="15">
        <f>IF($AB2600="","",IF($AB2600="×",0,IF($AB2600="○",ROUNDDOWN($E2600*設定!$C$4,0),ROUNDDOWN($E2600*ROUND((9*$AA2600-9*$E2600)/(10*$E2600),4),0))))</f>
        <v/>
      </c>
      <c r="AD2600" s="13" t="n"/>
      <c r="AE2600" s="15">
        <f>IF($B2600="","",IF($AD2600&lt;&gt;"",$AD2600,IF($AC2600="","",IF($AC2600&lt;=設定!$C$3,0,$AC2600))))</f>
        <v/>
      </c>
      <c r="AF2600" s="14">
        <f>IF($B2600="","",IF(AND($AG2600&lt;&gt;"",$AI2600="",$AL2600=""),"保留中",IF($AL2600&lt;&gt;"",IF(N($AE2600)&gt;0,"支給済","不支給"),IF($AE2600="","要確認",IF($AE2600=0,"不支給","未処理")))))</f>
        <v/>
      </c>
      <c r="AG2600" s="12" t="n"/>
      <c r="AH2600" s="11" t="n"/>
      <c r="AI2600" s="11" t="n"/>
      <c r="AJ2600" s="11" t="n"/>
      <c r="AK2600" s="14">
        <f>IF(AND($AF2600="保留中",$AH2600&lt;&gt;""),TODAY()-$AH2600,"")</f>
        <v/>
      </c>
      <c r="AL2600" s="12" t="n"/>
      <c r="AM2600" s="14">
        <f>IF($B2600="","",IF($AQ2600="","対象年月が未入力／","")&amp;IF($B2600="","",IF($AP2600="","職員マスタに未登録の職員番号／",IF($AA2600="","標準報酬月額が未登録／","")&amp;IF(AND($AQ2600&lt;&gt;"",OR(AND(INDEX(職員マスタ!$G$6:$G$405,$AP2600)&lt;&gt;"",INDEX(職員マスタ!$G$6:$G$405,$AP2600)&gt;EOMONTH($AQ2600,0)),AND(INDEX(職員マスタ!$H$6:$H$405,$AP2600)&lt;&gt;"",INDEX(職員マスタ!$H$6:$H$405,$AP2600)&lt;$AQ2600))),"対象月が時短期間外／","")&amp;IF(AND(INDEX(職員マスタ!$K$6:$K$405,$AP2600)&lt;&gt;"",N($W2600)&gt;0,INDEX(職員マスタ!$K$6:$K$405,$AP2600)&lt;&gt;$W2600),"標準報酬月額が申請書と相違（台帳"&amp;TEXT(INDEX(職員マスタ!$K$6:$K$405,$AP2600),"#,##0")&amp;"円／申請書"&amp;TEXT($W2600,"#,##0")&amp;"円）／","")&amp;IF(AND(INDEX(職員マスタ!$F$6:$F$405,$AP2600)&lt;&gt;"",$AQ2600&lt;&gt;"",INDEX(職員マスタ!$F$6:$F$405,$AP2600)&lt;$AQ2600),"対象月に子が2歳到達済／","")&amp;IF(AND($H2600&lt;&gt;"",INDEX(職員マスタ!$B$6:$B$405,$AP2600)&lt;&gt;"",SUBSTITUTE(SUBSTITUTE($H2600," ","")," ","")&lt;&gt;SUBSTITUTE(SUBSTITUTE(INDEX(職員マスタ!$B$6:$B$405,$AP2600)," ","")," ","")),"氏名がマスタと相違／","")&amp;IF(AND($Q2600&lt;&gt;"",INDEX(職員マスタ!$E$6:$E$405,$AP2600)&lt;&gt;"",$Q2600&lt;&gt;INDEX(職員マスタ!$E$6:$E$405,$AP2600)),"子の生年月日がマスタと相違／","")&amp;IF(AND($L2600&lt;&gt;"",INDEX(職員マスタ!$G$6:$G$405,$AP2600)&lt;&gt;"",$L2600&lt;&gt;INDEX(職員マスタ!$G$6:$G$405,$AP2600)),"時短開始日がマスタと相違／","")&amp;IF(AND($M2600&lt;&gt;"",INDEX(職員マスタ!$H$6:$H$405,$AP2600)&lt;&gt;"",$M2600&lt;&gt;INDEX(職員マスタ!$H$6:$H$405,$AP2600)),"時短終了日がマスタと相違／","")))&amp;IF(AND($B2600&lt;&gt;"",$E2600=""),"報酬額が未入力／","")&amp;IF(N($U2600)&gt;0,"申請書に入力エラーが残っています／","")&amp;IF(AND($B2600&lt;&gt;"",$AQ2600&lt;&gt;""),IF(COUNTIFS($B$6:$B$3005,$B2600,$C$6:$C$3005,$C2600,$D$6:$D$3005,$D2600)&gt;1,"同じ月の請求が重複しています／",""),"")&amp;IF(AND(N($E2600)&gt;0,$AB2600&lt;&gt;"",$AB2600&lt;&gt;"×",$AE2600=0,$AD2600=""),"計算額が下限以下のため不支給／",""))</f>
        <v/>
      </c>
      <c r="AN2600" s="12" t="n"/>
      <c r="AO2600" s="14">
        <f>IF($AF2600="保留中",COUNTIF($AF$6:$AF2600,"保留中"),"")</f>
        <v/>
      </c>
      <c r="AP2600" s="14">
        <f>IF($AQ2600="","",IF(SUMPRODUCT(MAX((職員マスタ!$A$6:$A$405=$B2600)*(((職員マスタ!$G$6:$G$405="")+(職員マスタ!$G$6:$G$405&lt;=EOMONTH($AQ2600,0)))&gt;0)*(((職員マスタ!$H$6:$H$405="")+(職員マスタ!$H$6:$H$405&gt;=$AQ2600))&gt;0)*(ROW(職員マスタ!$A$6:$A$405)-5)))&gt;0,SUMPRODUCT(MAX((職員マスタ!$A$6:$A$405=$B2600)*(((職員マスタ!$G$6:$G$405="")+(職員マスタ!$G$6:$G$405&lt;=EOMONTH($AQ2600,0)))&gt;0)*(((職員マスタ!$H$6:$H$405="")+(職員マスタ!$H$6:$H$405&gt;=$AQ2600))&gt;0)*(ROW(職員マスタ!$A$6:$A$405)-5))),IFERROR(MATCH($B2600,職員マスタ!$A$6:$A$405,0),"")))</f>
        <v/>
      </c>
      <c r="AQ2600" s="16">
        <f>IF(OR($B2600="",$C2600="",$D2600=""),"",DATE($C2600+2018,$D2600,1))</f>
        <v/>
      </c>
    </row>
    <row r="2601">
      <c r="A2601" s="11" t="n"/>
      <c r="B2601" s="12" t="n"/>
      <c r="C2601" s="12" t="n"/>
      <c r="D2601" s="12" t="n"/>
      <c r="E2601" s="13" t="n"/>
      <c r="F2601" s="12" t="n"/>
      <c r="G2601" s="13" t="n"/>
      <c r="H2601" s="12" t="n"/>
      <c r="I2601" s="12" t="n"/>
      <c r="J2601" s="12" t="n"/>
      <c r="K2601" s="12" t="n"/>
      <c r="L2601" s="11" t="n"/>
      <c r="M2601" s="11" t="n"/>
      <c r="N2601" s="11" t="n"/>
      <c r="O2601" s="11" t="n"/>
      <c r="P2601" s="12" t="n"/>
      <c r="Q2601" s="11" t="n"/>
      <c r="R2601" s="12" t="n"/>
      <c r="S2601" s="11" t="n"/>
      <c r="T2601" s="12" t="n"/>
      <c r="U2601" s="12" t="n"/>
      <c r="V2601" s="12" t="n"/>
      <c r="W2601" s="13" t="n"/>
      <c r="X2601" s="14">
        <f>IF($AP2601="",IF($B2601="","",$H2601),IF(INDEX(職員マスタ!$B$6:$B$405,$AP2601)="",$H2601,INDEX(職員マスタ!$B$6:$B$405,$AP2601)))</f>
        <v/>
      </c>
      <c r="Y2601" s="14">
        <f>IF($AP2601="",IF($B2601="","",$R2601),IF(INDEX(職員マスタ!$C$6:$C$405,$AP2601)="",$R2601,INDEX(職員マスタ!$C$6:$C$405,$AP2601)))</f>
        <v/>
      </c>
      <c r="Z2601" s="14">
        <f>IF($AQ2601="","","R"&amp;$C2601&amp;"."&amp;$D2601)</f>
        <v/>
      </c>
      <c r="AA2601" s="15">
        <f>IF(IF($AP2601="",FALSE,INDEX(職員マスタ!$K$6:$K$405,$AP2601)&lt;&gt;""),INDEX(職員マスタ!$K$6:$K$405,$AP2601),IF(N($W2601)&gt;0,$W2601,""))</f>
        <v/>
      </c>
      <c r="AB2601" s="14">
        <f>IF(OR($E2601="",$AA2601=""),"",IF($E2601&gt;=$AA2601,"×",IF($E2601&gt;=$AA2601*設定!$C$5,"△","○")))</f>
        <v/>
      </c>
      <c r="AC2601" s="15">
        <f>IF($AB2601="","",IF($AB2601="×",0,IF($AB2601="○",ROUNDDOWN($E2601*設定!$C$4,0),ROUNDDOWN($E2601*ROUND((9*$AA2601-9*$E2601)/(10*$E2601),4),0))))</f>
        <v/>
      </c>
      <c r="AD2601" s="13" t="n"/>
      <c r="AE2601" s="15">
        <f>IF($B2601="","",IF($AD2601&lt;&gt;"",$AD2601,IF($AC2601="","",IF($AC2601&lt;=設定!$C$3,0,$AC2601))))</f>
        <v/>
      </c>
      <c r="AF2601" s="14">
        <f>IF($B2601="","",IF(AND($AG2601&lt;&gt;"",$AI2601="",$AL2601=""),"保留中",IF($AL2601&lt;&gt;"",IF(N($AE2601)&gt;0,"支給済","不支給"),IF($AE2601="","要確認",IF($AE2601=0,"不支給","未処理")))))</f>
        <v/>
      </c>
      <c r="AG2601" s="12" t="n"/>
      <c r="AH2601" s="11" t="n"/>
      <c r="AI2601" s="11" t="n"/>
      <c r="AJ2601" s="11" t="n"/>
      <c r="AK2601" s="14">
        <f>IF(AND($AF2601="保留中",$AH2601&lt;&gt;""),TODAY()-$AH2601,"")</f>
        <v/>
      </c>
      <c r="AL2601" s="12" t="n"/>
      <c r="AM2601" s="14">
        <f>IF($B2601="","",IF($AQ2601="","対象年月が未入力／","")&amp;IF($B2601="","",IF($AP2601="","職員マスタに未登録の職員番号／",IF($AA2601="","標準報酬月額が未登録／","")&amp;IF(AND($AQ2601&lt;&gt;"",OR(AND(INDEX(職員マスタ!$G$6:$G$405,$AP2601)&lt;&gt;"",INDEX(職員マスタ!$G$6:$G$405,$AP2601)&gt;EOMONTH($AQ2601,0)),AND(INDEX(職員マスタ!$H$6:$H$405,$AP2601)&lt;&gt;"",INDEX(職員マスタ!$H$6:$H$405,$AP2601)&lt;$AQ2601))),"対象月が時短期間外／","")&amp;IF(AND(INDEX(職員マスタ!$K$6:$K$405,$AP2601)&lt;&gt;"",N($W2601)&gt;0,INDEX(職員マスタ!$K$6:$K$405,$AP2601)&lt;&gt;$W2601),"標準報酬月額が申請書と相違（台帳"&amp;TEXT(INDEX(職員マスタ!$K$6:$K$405,$AP2601),"#,##0")&amp;"円／申請書"&amp;TEXT($W2601,"#,##0")&amp;"円）／","")&amp;IF(AND(INDEX(職員マスタ!$F$6:$F$405,$AP2601)&lt;&gt;"",$AQ2601&lt;&gt;"",INDEX(職員マスタ!$F$6:$F$405,$AP2601)&lt;$AQ2601),"対象月に子が2歳到達済／","")&amp;IF(AND($H2601&lt;&gt;"",INDEX(職員マスタ!$B$6:$B$405,$AP2601)&lt;&gt;"",SUBSTITUTE(SUBSTITUTE($H2601," ","")," ","")&lt;&gt;SUBSTITUTE(SUBSTITUTE(INDEX(職員マスタ!$B$6:$B$405,$AP2601)," ","")," ","")),"氏名がマスタと相違／","")&amp;IF(AND($Q2601&lt;&gt;"",INDEX(職員マスタ!$E$6:$E$405,$AP2601)&lt;&gt;"",$Q2601&lt;&gt;INDEX(職員マスタ!$E$6:$E$405,$AP2601)),"子の生年月日がマスタと相違／","")&amp;IF(AND($L2601&lt;&gt;"",INDEX(職員マスタ!$G$6:$G$405,$AP2601)&lt;&gt;"",$L2601&lt;&gt;INDEX(職員マスタ!$G$6:$G$405,$AP2601)),"時短開始日がマスタと相違／","")&amp;IF(AND($M2601&lt;&gt;"",INDEX(職員マスタ!$H$6:$H$405,$AP2601)&lt;&gt;"",$M2601&lt;&gt;INDEX(職員マスタ!$H$6:$H$405,$AP2601)),"時短終了日がマスタと相違／","")))&amp;IF(AND($B2601&lt;&gt;"",$E2601=""),"報酬額が未入力／","")&amp;IF(N($U2601)&gt;0,"申請書に入力エラーが残っています／","")&amp;IF(AND($B2601&lt;&gt;"",$AQ2601&lt;&gt;""),IF(COUNTIFS($B$6:$B$3005,$B2601,$C$6:$C$3005,$C2601,$D$6:$D$3005,$D2601)&gt;1,"同じ月の請求が重複しています／",""),"")&amp;IF(AND(N($E2601)&gt;0,$AB2601&lt;&gt;"",$AB2601&lt;&gt;"×",$AE2601=0,$AD2601=""),"計算額が下限以下のため不支給／",""))</f>
        <v/>
      </c>
      <c r="AN2601" s="12" t="n"/>
      <c r="AO2601" s="14">
        <f>IF($AF2601="保留中",COUNTIF($AF$6:$AF2601,"保留中"),"")</f>
        <v/>
      </c>
      <c r="AP2601" s="14">
        <f>IF($AQ2601="","",IF(SUMPRODUCT(MAX((職員マスタ!$A$6:$A$405=$B2601)*(((職員マスタ!$G$6:$G$405="")+(職員マスタ!$G$6:$G$405&lt;=EOMONTH($AQ2601,0)))&gt;0)*(((職員マスタ!$H$6:$H$405="")+(職員マスタ!$H$6:$H$405&gt;=$AQ2601))&gt;0)*(ROW(職員マスタ!$A$6:$A$405)-5)))&gt;0,SUMPRODUCT(MAX((職員マスタ!$A$6:$A$405=$B2601)*(((職員マスタ!$G$6:$G$405="")+(職員マスタ!$G$6:$G$405&lt;=EOMONTH($AQ2601,0)))&gt;0)*(((職員マスタ!$H$6:$H$405="")+(職員マスタ!$H$6:$H$405&gt;=$AQ2601))&gt;0)*(ROW(職員マスタ!$A$6:$A$405)-5))),IFERROR(MATCH($B2601,職員マスタ!$A$6:$A$405,0),"")))</f>
        <v/>
      </c>
      <c r="AQ2601" s="16">
        <f>IF(OR($B2601="",$C2601="",$D2601=""),"",DATE($C2601+2018,$D2601,1))</f>
        <v/>
      </c>
    </row>
    <row r="2602">
      <c r="A2602" s="11" t="n"/>
      <c r="B2602" s="12" t="n"/>
      <c r="C2602" s="12" t="n"/>
      <c r="D2602" s="12" t="n"/>
      <c r="E2602" s="13" t="n"/>
      <c r="F2602" s="12" t="n"/>
      <c r="G2602" s="13" t="n"/>
      <c r="H2602" s="12" t="n"/>
      <c r="I2602" s="12" t="n"/>
      <c r="J2602" s="12" t="n"/>
      <c r="K2602" s="12" t="n"/>
      <c r="L2602" s="11" t="n"/>
      <c r="M2602" s="11" t="n"/>
      <c r="N2602" s="11" t="n"/>
      <c r="O2602" s="11" t="n"/>
      <c r="P2602" s="12" t="n"/>
      <c r="Q2602" s="11" t="n"/>
      <c r="R2602" s="12" t="n"/>
      <c r="S2602" s="11" t="n"/>
      <c r="T2602" s="12" t="n"/>
      <c r="U2602" s="12" t="n"/>
      <c r="V2602" s="12" t="n"/>
      <c r="W2602" s="13" t="n"/>
      <c r="X2602" s="14">
        <f>IF($AP2602="",IF($B2602="","",$H2602),IF(INDEX(職員マスタ!$B$6:$B$405,$AP2602)="",$H2602,INDEX(職員マスタ!$B$6:$B$405,$AP2602)))</f>
        <v/>
      </c>
      <c r="Y2602" s="14">
        <f>IF($AP2602="",IF($B2602="","",$R2602),IF(INDEX(職員マスタ!$C$6:$C$405,$AP2602)="",$R2602,INDEX(職員マスタ!$C$6:$C$405,$AP2602)))</f>
        <v/>
      </c>
      <c r="Z2602" s="14">
        <f>IF($AQ2602="","","R"&amp;$C2602&amp;"."&amp;$D2602)</f>
        <v/>
      </c>
      <c r="AA2602" s="15">
        <f>IF(IF($AP2602="",FALSE,INDEX(職員マスタ!$K$6:$K$405,$AP2602)&lt;&gt;""),INDEX(職員マスタ!$K$6:$K$405,$AP2602),IF(N($W2602)&gt;0,$W2602,""))</f>
        <v/>
      </c>
      <c r="AB2602" s="14">
        <f>IF(OR($E2602="",$AA2602=""),"",IF($E2602&gt;=$AA2602,"×",IF($E2602&gt;=$AA2602*設定!$C$5,"△","○")))</f>
        <v/>
      </c>
      <c r="AC2602" s="15">
        <f>IF($AB2602="","",IF($AB2602="×",0,IF($AB2602="○",ROUNDDOWN($E2602*設定!$C$4,0),ROUNDDOWN($E2602*ROUND((9*$AA2602-9*$E2602)/(10*$E2602),4),0))))</f>
        <v/>
      </c>
      <c r="AD2602" s="13" t="n"/>
      <c r="AE2602" s="15">
        <f>IF($B2602="","",IF($AD2602&lt;&gt;"",$AD2602,IF($AC2602="","",IF($AC2602&lt;=設定!$C$3,0,$AC2602))))</f>
        <v/>
      </c>
      <c r="AF2602" s="14">
        <f>IF($B2602="","",IF(AND($AG2602&lt;&gt;"",$AI2602="",$AL2602=""),"保留中",IF($AL2602&lt;&gt;"",IF(N($AE2602)&gt;0,"支給済","不支給"),IF($AE2602="","要確認",IF($AE2602=0,"不支給","未処理")))))</f>
        <v/>
      </c>
      <c r="AG2602" s="12" t="n"/>
      <c r="AH2602" s="11" t="n"/>
      <c r="AI2602" s="11" t="n"/>
      <c r="AJ2602" s="11" t="n"/>
      <c r="AK2602" s="14">
        <f>IF(AND($AF2602="保留中",$AH2602&lt;&gt;""),TODAY()-$AH2602,"")</f>
        <v/>
      </c>
      <c r="AL2602" s="12" t="n"/>
      <c r="AM2602" s="14">
        <f>IF($B2602="","",IF($AQ2602="","対象年月が未入力／","")&amp;IF($B2602="","",IF($AP2602="","職員マスタに未登録の職員番号／",IF($AA2602="","標準報酬月額が未登録／","")&amp;IF(AND($AQ2602&lt;&gt;"",OR(AND(INDEX(職員マスタ!$G$6:$G$405,$AP2602)&lt;&gt;"",INDEX(職員マスタ!$G$6:$G$405,$AP2602)&gt;EOMONTH($AQ2602,0)),AND(INDEX(職員マスタ!$H$6:$H$405,$AP2602)&lt;&gt;"",INDEX(職員マスタ!$H$6:$H$405,$AP2602)&lt;$AQ2602))),"対象月が時短期間外／","")&amp;IF(AND(INDEX(職員マスタ!$K$6:$K$405,$AP2602)&lt;&gt;"",N($W2602)&gt;0,INDEX(職員マスタ!$K$6:$K$405,$AP2602)&lt;&gt;$W2602),"標準報酬月額が申請書と相違（台帳"&amp;TEXT(INDEX(職員マスタ!$K$6:$K$405,$AP2602),"#,##0")&amp;"円／申請書"&amp;TEXT($W2602,"#,##0")&amp;"円）／","")&amp;IF(AND(INDEX(職員マスタ!$F$6:$F$405,$AP2602)&lt;&gt;"",$AQ2602&lt;&gt;"",INDEX(職員マスタ!$F$6:$F$405,$AP2602)&lt;$AQ2602),"対象月に子が2歳到達済／","")&amp;IF(AND($H2602&lt;&gt;"",INDEX(職員マスタ!$B$6:$B$405,$AP2602)&lt;&gt;"",SUBSTITUTE(SUBSTITUTE($H2602," ","")," ","")&lt;&gt;SUBSTITUTE(SUBSTITUTE(INDEX(職員マスタ!$B$6:$B$405,$AP2602)," ","")," ","")),"氏名がマスタと相違／","")&amp;IF(AND($Q2602&lt;&gt;"",INDEX(職員マスタ!$E$6:$E$405,$AP2602)&lt;&gt;"",$Q2602&lt;&gt;INDEX(職員マスタ!$E$6:$E$405,$AP2602)),"子の生年月日がマスタと相違／","")&amp;IF(AND($L2602&lt;&gt;"",INDEX(職員マスタ!$G$6:$G$405,$AP2602)&lt;&gt;"",$L2602&lt;&gt;INDEX(職員マスタ!$G$6:$G$405,$AP2602)),"時短開始日がマスタと相違／","")&amp;IF(AND($M2602&lt;&gt;"",INDEX(職員マスタ!$H$6:$H$405,$AP2602)&lt;&gt;"",$M2602&lt;&gt;INDEX(職員マスタ!$H$6:$H$405,$AP2602)),"時短終了日がマスタと相違／","")))&amp;IF(AND($B2602&lt;&gt;"",$E2602=""),"報酬額が未入力／","")&amp;IF(N($U2602)&gt;0,"申請書に入力エラーが残っています／","")&amp;IF(AND($B2602&lt;&gt;"",$AQ2602&lt;&gt;""),IF(COUNTIFS($B$6:$B$3005,$B2602,$C$6:$C$3005,$C2602,$D$6:$D$3005,$D2602)&gt;1,"同じ月の請求が重複しています／",""),"")&amp;IF(AND(N($E2602)&gt;0,$AB2602&lt;&gt;"",$AB2602&lt;&gt;"×",$AE2602=0,$AD2602=""),"計算額が下限以下のため不支給／",""))</f>
        <v/>
      </c>
      <c r="AN2602" s="12" t="n"/>
      <c r="AO2602" s="14">
        <f>IF($AF2602="保留中",COUNTIF($AF$6:$AF2602,"保留中"),"")</f>
        <v/>
      </c>
      <c r="AP2602" s="14">
        <f>IF($AQ2602="","",IF(SUMPRODUCT(MAX((職員マスタ!$A$6:$A$405=$B2602)*(((職員マスタ!$G$6:$G$405="")+(職員マスタ!$G$6:$G$405&lt;=EOMONTH($AQ2602,0)))&gt;0)*(((職員マスタ!$H$6:$H$405="")+(職員マスタ!$H$6:$H$405&gt;=$AQ2602))&gt;0)*(ROW(職員マスタ!$A$6:$A$405)-5)))&gt;0,SUMPRODUCT(MAX((職員マスタ!$A$6:$A$405=$B2602)*(((職員マスタ!$G$6:$G$405="")+(職員マスタ!$G$6:$G$405&lt;=EOMONTH($AQ2602,0)))&gt;0)*(((職員マスタ!$H$6:$H$405="")+(職員マスタ!$H$6:$H$405&gt;=$AQ2602))&gt;0)*(ROW(職員マスタ!$A$6:$A$405)-5))),IFERROR(MATCH($B2602,職員マスタ!$A$6:$A$405,0),"")))</f>
        <v/>
      </c>
      <c r="AQ2602" s="16">
        <f>IF(OR($B2602="",$C2602="",$D2602=""),"",DATE($C2602+2018,$D2602,1))</f>
        <v/>
      </c>
    </row>
    <row r="2603">
      <c r="A2603" s="11" t="n"/>
      <c r="B2603" s="12" t="n"/>
      <c r="C2603" s="12" t="n"/>
      <c r="D2603" s="12" t="n"/>
      <c r="E2603" s="13" t="n"/>
      <c r="F2603" s="12" t="n"/>
      <c r="G2603" s="13" t="n"/>
      <c r="H2603" s="12" t="n"/>
      <c r="I2603" s="12" t="n"/>
      <c r="J2603" s="12" t="n"/>
      <c r="K2603" s="12" t="n"/>
      <c r="L2603" s="11" t="n"/>
      <c r="M2603" s="11" t="n"/>
      <c r="N2603" s="11" t="n"/>
      <c r="O2603" s="11" t="n"/>
      <c r="P2603" s="12" t="n"/>
      <c r="Q2603" s="11" t="n"/>
      <c r="R2603" s="12" t="n"/>
      <c r="S2603" s="11" t="n"/>
      <c r="T2603" s="12" t="n"/>
      <c r="U2603" s="12" t="n"/>
      <c r="V2603" s="12" t="n"/>
      <c r="W2603" s="13" t="n"/>
      <c r="X2603" s="14">
        <f>IF($AP2603="",IF($B2603="","",$H2603),IF(INDEX(職員マスタ!$B$6:$B$405,$AP2603)="",$H2603,INDEX(職員マスタ!$B$6:$B$405,$AP2603)))</f>
        <v/>
      </c>
      <c r="Y2603" s="14">
        <f>IF($AP2603="",IF($B2603="","",$R2603),IF(INDEX(職員マスタ!$C$6:$C$405,$AP2603)="",$R2603,INDEX(職員マスタ!$C$6:$C$405,$AP2603)))</f>
        <v/>
      </c>
      <c r="Z2603" s="14">
        <f>IF($AQ2603="","","R"&amp;$C2603&amp;"."&amp;$D2603)</f>
        <v/>
      </c>
      <c r="AA2603" s="15">
        <f>IF(IF($AP2603="",FALSE,INDEX(職員マスタ!$K$6:$K$405,$AP2603)&lt;&gt;""),INDEX(職員マスタ!$K$6:$K$405,$AP2603),IF(N($W2603)&gt;0,$W2603,""))</f>
        <v/>
      </c>
      <c r="AB2603" s="14">
        <f>IF(OR($E2603="",$AA2603=""),"",IF($E2603&gt;=$AA2603,"×",IF($E2603&gt;=$AA2603*設定!$C$5,"△","○")))</f>
        <v/>
      </c>
      <c r="AC2603" s="15">
        <f>IF($AB2603="","",IF($AB2603="×",0,IF($AB2603="○",ROUNDDOWN($E2603*設定!$C$4,0),ROUNDDOWN($E2603*ROUND((9*$AA2603-9*$E2603)/(10*$E2603),4),0))))</f>
        <v/>
      </c>
      <c r="AD2603" s="13" t="n"/>
      <c r="AE2603" s="15">
        <f>IF($B2603="","",IF($AD2603&lt;&gt;"",$AD2603,IF($AC2603="","",IF($AC2603&lt;=設定!$C$3,0,$AC2603))))</f>
        <v/>
      </c>
      <c r="AF2603" s="14">
        <f>IF($B2603="","",IF(AND($AG2603&lt;&gt;"",$AI2603="",$AL2603=""),"保留中",IF($AL2603&lt;&gt;"",IF(N($AE2603)&gt;0,"支給済","不支給"),IF($AE2603="","要確認",IF($AE2603=0,"不支給","未処理")))))</f>
        <v/>
      </c>
      <c r="AG2603" s="12" t="n"/>
      <c r="AH2603" s="11" t="n"/>
      <c r="AI2603" s="11" t="n"/>
      <c r="AJ2603" s="11" t="n"/>
      <c r="AK2603" s="14">
        <f>IF(AND($AF2603="保留中",$AH2603&lt;&gt;""),TODAY()-$AH2603,"")</f>
        <v/>
      </c>
      <c r="AL2603" s="12" t="n"/>
      <c r="AM2603" s="14">
        <f>IF($B2603="","",IF($AQ2603="","対象年月が未入力／","")&amp;IF($B2603="","",IF($AP2603="","職員マスタに未登録の職員番号／",IF($AA2603="","標準報酬月額が未登録／","")&amp;IF(AND($AQ2603&lt;&gt;"",OR(AND(INDEX(職員マスタ!$G$6:$G$405,$AP2603)&lt;&gt;"",INDEX(職員マスタ!$G$6:$G$405,$AP2603)&gt;EOMONTH($AQ2603,0)),AND(INDEX(職員マスタ!$H$6:$H$405,$AP2603)&lt;&gt;"",INDEX(職員マスタ!$H$6:$H$405,$AP2603)&lt;$AQ2603))),"対象月が時短期間外／","")&amp;IF(AND(INDEX(職員マスタ!$K$6:$K$405,$AP2603)&lt;&gt;"",N($W2603)&gt;0,INDEX(職員マスタ!$K$6:$K$405,$AP2603)&lt;&gt;$W2603),"標準報酬月額が申請書と相違（台帳"&amp;TEXT(INDEX(職員マスタ!$K$6:$K$405,$AP2603),"#,##0")&amp;"円／申請書"&amp;TEXT($W2603,"#,##0")&amp;"円）／","")&amp;IF(AND(INDEX(職員マスタ!$F$6:$F$405,$AP2603)&lt;&gt;"",$AQ2603&lt;&gt;"",INDEX(職員マスタ!$F$6:$F$405,$AP2603)&lt;$AQ2603),"対象月に子が2歳到達済／","")&amp;IF(AND($H2603&lt;&gt;"",INDEX(職員マスタ!$B$6:$B$405,$AP2603)&lt;&gt;"",SUBSTITUTE(SUBSTITUTE($H2603," ","")," ","")&lt;&gt;SUBSTITUTE(SUBSTITUTE(INDEX(職員マスタ!$B$6:$B$405,$AP2603)," ","")," ","")),"氏名がマスタと相違／","")&amp;IF(AND($Q2603&lt;&gt;"",INDEX(職員マスタ!$E$6:$E$405,$AP2603)&lt;&gt;"",$Q2603&lt;&gt;INDEX(職員マスタ!$E$6:$E$405,$AP2603)),"子の生年月日がマスタと相違／","")&amp;IF(AND($L2603&lt;&gt;"",INDEX(職員マスタ!$G$6:$G$405,$AP2603)&lt;&gt;"",$L2603&lt;&gt;INDEX(職員マスタ!$G$6:$G$405,$AP2603)),"時短開始日がマスタと相違／","")&amp;IF(AND($M2603&lt;&gt;"",INDEX(職員マスタ!$H$6:$H$405,$AP2603)&lt;&gt;"",$M2603&lt;&gt;INDEX(職員マスタ!$H$6:$H$405,$AP2603)),"時短終了日がマスタと相違／","")))&amp;IF(AND($B2603&lt;&gt;"",$E2603=""),"報酬額が未入力／","")&amp;IF(N($U2603)&gt;0,"申請書に入力エラーが残っています／","")&amp;IF(AND($B2603&lt;&gt;"",$AQ2603&lt;&gt;""),IF(COUNTIFS($B$6:$B$3005,$B2603,$C$6:$C$3005,$C2603,$D$6:$D$3005,$D2603)&gt;1,"同じ月の請求が重複しています／",""),"")&amp;IF(AND(N($E2603)&gt;0,$AB2603&lt;&gt;"",$AB2603&lt;&gt;"×",$AE2603=0,$AD2603=""),"計算額が下限以下のため不支給／",""))</f>
        <v/>
      </c>
      <c r="AN2603" s="12" t="n"/>
      <c r="AO2603" s="14">
        <f>IF($AF2603="保留中",COUNTIF($AF$6:$AF2603,"保留中"),"")</f>
        <v/>
      </c>
      <c r="AP2603" s="14">
        <f>IF($AQ2603="","",IF(SUMPRODUCT(MAX((職員マスタ!$A$6:$A$405=$B2603)*(((職員マスタ!$G$6:$G$405="")+(職員マスタ!$G$6:$G$405&lt;=EOMONTH($AQ2603,0)))&gt;0)*(((職員マスタ!$H$6:$H$405="")+(職員マスタ!$H$6:$H$405&gt;=$AQ2603))&gt;0)*(ROW(職員マスタ!$A$6:$A$405)-5)))&gt;0,SUMPRODUCT(MAX((職員マスタ!$A$6:$A$405=$B2603)*(((職員マスタ!$G$6:$G$405="")+(職員マスタ!$G$6:$G$405&lt;=EOMONTH($AQ2603,0)))&gt;0)*(((職員マスタ!$H$6:$H$405="")+(職員マスタ!$H$6:$H$405&gt;=$AQ2603))&gt;0)*(ROW(職員マスタ!$A$6:$A$405)-5))),IFERROR(MATCH($B2603,職員マスタ!$A$6:$A$405,0),"")))</f>
        <v/>
      </c>
      <c r="AQ2603" s="16">
        <f>IF(OR($B2603="",$C2603="",$D2603=""),"",DATE($C2603+2018,$D2603,1))</f>
        <v/>
      </c>
    </row>
    <row r="2604">
      <c r="A2604" s="11" t="n"/>
      <c r="B2604" s="12" t="n"/>
      <c r="C2604" s="12" t="n"/>
      <c r="D2604" s="12" t="n"/>
      <c r="E2604" s="13" t="n"/>
      <c r="F2604" s="12" t="n"/>
      <c r="G2604" s="13" t="n"/>
      <c r="H2604" s="12" t="n"/>
      <c r="I2604" s="12" t="n"/>
      <c r="J2604" s="12" t="n"/>
      <c r="K2604" s="12" t="n"/>
      <c r="L2604" s="11" t="n"/>
      <c r="M2604" s="11" t="n"/>
      <c r="N2604" s="11" t="n"/>
      <c r="O2604" s="11" t="n"/>
      <c r="P2604" s="12" t="n"/>
      <c r="Q2604" s="11" t="n"/>
      <c r="R2604" s="12" t="n"/>
      <c r="S2604" s="11" t="n"/>
      <c r="T2604" s="12" t="n"/>
      <c r="U2604" s="12" t="n"/>
      <c r="V2604" s="12" t="n"/>
      <c r="W2604" s="13" t="n"/>
      <c r="X2604" s="14">
        <f>IF($AP2604="",IF($B2604="","",$H2604),IF(INDEX(職員マスタ!$B$6:$B$405,$AP2604)="",$H2604,INDEX(職員マスタ!$B$6:$B$405,$AP2604)))</f>
        <v/>
      </c>
      <c r="Y2604" s="14">
        <f>IF($AP2604="",IF($B2604="","",$R2604),IF(INDEX(職員マスタ!$C$6:$C$405,$AP2604)="",$R2604,INDEX(職員マスタ!$C$6:$C$405,$AP2604)))</f>
        <v/>
      </c>
      <c r="Z2604" s="14">
        <f>IF($AQ2604="","","R"&amp;$C2604&amp;"."&amp;$D2604)</f>
        <v/>
      </c>
      <c r="AA2604" s="15">
        <f>IF(IF($AP2604="",FALSE,INDEX(職員マスタ!$K$6:$K$405,$AP2604)&lt;&gt;""),INDEX(職員マスタ!$K$6:$K$405,$AP2604),IF(N($W2604)&gt;0,$W2604,""))</f>
        <v/>
      </c>
      <c r="AB2604" s="14">
        <f>IF(OR($E2604="",$AA2604=""),"",IF($E2604&gt;=$AA2604,"×",IF($E2604&gt;=$AA2604*設定!$C$5,"△","○")))</f>
        <v/>
      </c>
      <c r="AC2604" s="15">
        <f>IF($AB2604="","",IF($AB2604="×",0,IF($AB2604="○",ROUNDDOWN($E2604*設定!$C$4,0),ROUNDDOWN($E2604*ROUND((9*$AA2604-9*$E2604)/(10*$E2604),4),0))))</f>
        <v/>
      </c>
      <c r="AD2604" s="13" t="n"/>
      <c r="AE2604" s="15">
        <f>IF($B2604="","",IF($AD2604&lt;&gt;"",$AD2604,IF($AC2604="","",IF($AC2604&lt;=設定!$C$3,0,$AC2604))))</f>
        <v/>
      </c>
      <c r="AF2604" s="14">
        <f>IF($B2604="","",IF(AND($AG2604&lt;&gt;"",$AI2604="",$AL2604=""),"保留中",IF($AL2604&lt;&gt;"",IF(N($AE2604)&gt;0,"支給済","不支給"),IF($AE2604="","要確認",IF($AE2604=0,"不支給","未処理")))))</f>
        <v/>
      </c>
      <c r="AG2604" s="12" t="n"/>
      <c r="AH2604" s="11" t="n"/>
      <c r="AI2604" s="11" t="n"/>
      <c r="AJ2604" s="11" t="n"/>
      <c r="AK2604" s="14">
        <f>IF(AND($AF2604="保留中",$AH2604&lt;&gt;""),TODAY()-$AH2604,"")</f>
        <v/>
      </c>
      <c r="AL2604" s="12" t="n"/>
      <c r="AM2604" s="14">
        <f>IF($B2604="","",IF($AQ2604="","対象年月が未入力／","")&amp;IF($B2604="","",IF($AP2604="","職員マスタに未登録の職員番号／",IF($AA2604="","標準報酬月額が未登録／","")&amp;IF(AND($AQ2604&lt;&gt;"",OR(AND(INDEX(職員マスタ!$G$6:$G$405,$AP2604)&lt;&gt;"",INDEX(職員マスタ!$G$6:$G$405,$AP2604)&gt;EOMONTH($AQ2604,0)),AND(INDEX(職員マスタ!$H$6:$H$405,$AP2604)&lt;&gt;"",INDEX(職員マスタ!$H$6:$H$405,$AP2604)&lt;$AQ2604))),"対象月が時短期間外／","")&amp;IF(AND(INDEX(職員マスタ!$K$6:$K$405,$AP2604)&lt;&gt;"",N($W2604)&gt;0,INDEX(職員マスタ!$K$6:$K$405,$AP2604)&lt;&gt;$W2604),"標準報酬月額が申請書と相違（台帳"&amp;TEXT(INDEX(職員マスタ!$K$6:$K$405,$AP2604),"#,##0")&amp;"円／申請書"&amp;TEXT($W2604,"#,##0")&amp;"円）／","")&amp;IF(AND(INDEX(職員マスタ!$F$6:$F$405,$AP2604)&lt;&gt;"",$AQ2604&lt;&gt;"",INDEX(職員マスタ!$F$6:$F$405,$AP2604)&lt;$AQ2604),"対象月に子が2歳到達済／","")&amp;IF(AND($H2604&lt;&gt;"",INDEX(職員マスタ!$B$6:$B$405,$AP2604)&lt;&gt;"",SUBSTITUTE(SUBSTITUTE($H2604," ","")," ","")&lt;&gt;SUBSTITUTE(SUBSTITUTE(INDEX(職員マスタ!$B$6:$B$405,$AP2604)," ","")," ","")),"氏名がマスタと相違／","")&amp;IF(AND($Q2604&lt;&gt;"",INDEX(職員マスタ!$E$6:$E$405,$AP2604)&lt;&gt;"",$Q2604&lt;&gt;INDEX(職員マスタ!$E$6:$E$405,$AP2604)),"子の生年月日がマスタと相違／","")&amp;IF(AND($L2604&lt;&gt;"",INDEX(職員マスタ!$G$6:$G$405,$AP2604)&lt;&gt;"",$L2604&lt;&gt;INDEX(職員マスタ!$G$6:$G$405,$AP2604)),"時短開始日がマスタと相違／","")&amp;IF(AND($M2604&lt;&gt;"",INDEX(職員マスタ!$H$6:$H$405,$AP2604)&lt;&gt;"",$M2604&lt;&gt;INDEX(職員マスタ!$H$6:$H$405,$AP2604)),"時短終了日がマスタと相違／","")))&amp;IF(AND($B2604&lt;&gt;"",$E2604=""),"報酬額が未入力／","")&amp;IF(N($U2604)&gt;0,"申請書に入力エラーが残っています／","")&amp;IF(AND($B2604&lt;&gt;"",$AQ2604&lt;&gt;""),IF(COUNTIFS($B$6:$B$3005,$B2604,$C$6:$C$3005,$C2604,$D$6:$D$3005,$D2604)&gt;1,"同じ月の請求が重複しています／",""),"")&amp;IF(AND(N($E2604)&gt;0,$AB2604&lt;&gt;"",$AB2604&lt;&gt;"×",$AE2604=0,$AD2604=""),"計算額が下限以下のため不支給／",""))</f>
        <v/>
      </c>
      <c r="AN2604" s="12" t="n"/>
      <c r="AO2604" s="14">
        <f>IF($AF2604="保留中",COUNTIF($AF$6:$AF2604,"保留中"),"")</f>
        <v/>
      </c>
      <c r="AP2604" s="14">
        <f>IF($AQ2604="","",IF(SUMPRODUCT(MAX((職員マスタ!$A$6:$A$405=$B2604)*(((職員マスタ!$G$6:$G$405="")+(職員マスタ!$G$6:$G$405&lt;=EOMONTH($AQ2604,0)))&gt;0)*(((職員マスタ!$H$6:$H$405="")+(職員マスタ!$H$6:$H$405&gt;=$AQ2604))&gt;0)*(ROW(職員マスタ!$A$6:$A$405)-5)))&gt;0,SUMPRODUCT(MAX((職員マスタ!$A$6:$A$405=$B2604)*(((職員マスタ!$G$6:$G$405="")+(職員マスタ!$G$6:$G$405&lt;=EOMONTH($AQ2604,0)))&gt;0)*(((職員マスタ!$H$6:$H$405="")+(職員マスタ!$H$6:$H$405&gt;=$AQ2604))&gt;0)*(ROW(職員マスタ!$A$6:$A$405)-5))),IFERROR(MATCH($B2604,職員マスタ!$A$6:$A$405,0),"")))</f>
        <v/>
      </c>
      <c r="AQ2604" s="16">
        <f>IF(OR($B2604="",$C2604="",$D2604=""),"",DATE($C2604+2018,$D2604,1))</f>
        <v/>
      </c>
    </row>
    <row r="2605">
      <c r="A2605" s="11" t="n"/>
      <c r="B2605" s="12" t="n"/>
      <c r="C2605" s="12" t="n"/>
      <c r="D2605" s="12" t="n"/>
      <c r="E2605" s="13" t="n"/>
      <c r="F2605" s="12" t="n"/>
      <c r="G2605" s="13" t="n"/>
      <c r="H2605" s="12" t="n"/>
      <c r="I2605" s="12" t="n"/>
      <c r="J2605" s="12" t="n"/>
      <c r="K2605" s="12" t="n"/>
      <c r="L2605" s="11" t="n"/>
      <c r="M2605" s="11" t="n"/>
      <c r="N2605" s="11" t="n"/>
      <c r="O2605" s="11" t="n"/>
      <c r="P2605" s="12" t="n"/>
      <c r="Q2605" s="11" t="n"/>
      <c r="R2605" s="12" t="n"/>
      <c r="S2605" s="11" t="n"/>
      <c r="T2605" s="12" t="n"/>
      <c r="U2605" s="12" t="n"/>
      <c r="V2605" s="12" t="n"/>
      <c r="W2605" s="13" t="n"/>
      <c r="X2605" s="14">
        <f>IF($AP2605="",IF($B2605="","",$H2605),IF(INDEX(職員マスタ!$B$6:$B$405,$AP2605)="",$H2605,INDEX(職員マスタ!$B$6:$B$405,$AP2605)))</f>
        <v/>
      </c>
      <c r="Y2605" s="14">
        <f>IF($AP2605="",IF($B2605="","",$R2605),IF(INDEX(職員マスタ!$C$6:$C$405,$AP2605)="",$R2605,INDEX(職員マスタ!$C$6:$C$405,$AP2605)))</f>
        <v/>
      </c>
      <c r="Z2605" s="14">
        <f>IF($AQ2605="","","R"&amp;$C2605&amp;"."&amp;$D2605)</f>
        <v/>
      </c>
      <c r="AA2605" s="15">
        <f>IF(IF($AP2605="",FALSE,INDEX(職員マスタ!$K$6:$K$405,$AP2605)&lt;&gt;""),INDEX(職員マスタ!$K$6:$K$405,$AP2605),IF(N($W2605)&gt;0,$W2605,""))</f>
        <v/>
      </c>
      <c r="AB2605" s="14">
        <f>IF(OR($E2605="",$AA2605=""),"",IF($E2605&gt;=$AA2605,"×",IF($E2605&gt;=$AA2605*設定!$C$5,"△","○")))</f>
        <v/>
      </c>
      <c r="AC2605" s="15">
        <f>IF($AB2605="","",IF($AB2605="×",0,IF($AB2605="○",ROUNDDOWN($E2605*設定!$C$4,0),ROUNDDOWN($E2605*ROUND((9*$AA2605-9*$E2605)/(10*$E2605),4),0))))</f>
        <v/>
      </c>
      <c r="AD2605" s="13" t="n"/>
      <c r="AE2605" s="15">
        <f>IF($B2605="","",IF($AD2605&lt;&gt;"",$AD2605,IF($AC2605="","",IF($AC2605&lt;=設定!$C$3,0,$AC2605))))</f>
        <v/>
      </c>
      <c r="AF2605" s="14">
        <f>IF($B2605="","",IF(AND($AG2605&lt;&gt;"",$AI2605="",$AL2605=""),"保留中",IF($AL2605&lt;&gt;"",IF(N($AE2605)&gt;0,"支給済","不支給"),IF($AE2605="","要確認",IF($AE2605=0,"不支給","未処理")))))</f>
        <v/>
      </c>
      <c r="AG2605" s="12" t="n"/>
      <c r="AH2605" s="11" t="n"/>
      <c r="AI2605" s="11" t="n"/>
      <c r="AJ2605" s="11" t="n"/>
      <c r="AK2605" s="14">
        <f>IF(AND($AF2605="保留中",$AH2605&lt;&gt;""),TODAY()-$AH2605,"")</f>
        <v/>
      </c>
      <c r="AL2605" s="12" t="n"/>
      <c r="AM2605" s="14">
        <f>IF($B2605="","",IF($AQ2605="","対象年月が未入力／","")&amp;IF($B2605="","",IF($AP2605="","職員マスタに未登録の職員番号／",IF($AA2605="","標準報酬月額が未登録／","")&amp;IF(AND($AQ2605&lt;&gt;"",OR(AND(INDEX(職員マスタ!$G$6:$G$405,$AP2605)&lt;&gt;"",INDEX(職員マスタ!$G$6:$G$405,$AP2605)&gt;EOMONTH($AQ2605,0)),AND(INDEX(職員マスタ!$H$6:$H$405,$AP2605)&lt;&gt;"",INDEX(職員マスタ!$H$6:$H$405,$AP2605)&lt;$AQ2605))),"対象月が時短期間外／","")&amp;IF(AND(INDEX(職員マスタ!$K$6:$K$405,$AP2605)&lt;&gt;"",N($W2605)&gt;0,INDEX(職員マスタ!$K$6:$K$405,$AP2605)&lt;&gt;$W2605),"標準報酬月額が申請書と相違（台帳"&amp;TEXT(INDEX(職員マスタ!$K$6:$K$405,$AP2605),"#,##0")&amp;"円／申請書"&amp;TEXT($W2605,"#,##0")&amp;"円）／","")&amp;IF(AND(INDEX(職員マスタ!$F$6:$F$405,$AP2605)&lt;&gt;"",$AQ2605&lt;&gt;"",INDEX(職員マスタ!$F$6:$F$405,$AP2605)&lt;$AQ2605),"対象月に子が2歳到達済／","")&amp;IF(AND($H2605&lt;&gt;"",INDEX(職員マスタ!$B$6:$B$405,$AP2605)&lt;&gt;"",SUBSTITUTE(SUBSTITUTE($H2605," ","")," ","")&lt;&gt;SUBSTITUTE(SUBSTITUTE(INDEX(職員マスタ!$B$6:$B$405,$AP2605)," ","")," ","")),"氏名がマスタと相違／","")&amp;IF(AND($Q2605&lt;&gt;"",INDEX(職員マスタ!$E$6:$E$405,$AP2605)&lt;&gt;"",$Q2605&lt;&gt;INDEX(職員マスタ!$E$6:$E$405,$AP2605)),"子の生年月日がマスタと相違／","")&amp;IF(AND($L2605&lt;&gt;"",INDEX(職員マスタ!$G$6:$G$405,$AP2605)&lt;&gt;"",$L2605&lt;&gt;INDEX(職員マスタ!$G$6:$G$405,$AP2605)),"時短開始日がマスタと相違／","")&amp;IF(AND($M2605&lt;&gt;"",INDEX(職員マスタ!$H$6:$H$405,$AP2605)&lt;&gt;"",$M2605&lt;&gt;INDEX(職員マスタ!$H$6:$H$405,$AP2605)),"時短終了日がマスタと相違／","")))&amp;IF(AND($B2605&lt;&gt;"",$E2605=""),"報酬額が未入力／","")&amp;IF(N($U2605)&gt;0,"申請書に入力エラーが残っています／","")&amp;IF(AND($B2605&lt;&gt;"",$AQ2605&lt;&gt;""),IF(COUNTIFS($B$6:$B$3005,$B2605,$C$6:$C$3005,$C2605,$D$6:$D$3005,$D2605)&gt;1,"同じ月の請求が重複しています／",""),"")&amp;IF(AND(N($E2605)&gt;0,$AB2605&lt;&gt;"",$AB2605&lt;&gt;"×",$AE2605=0,$AD2605=""),"計算額が下限以下のため不支給／",""))</f>
        <v/>
      </c>
      <c r="AN2605" s="12" t="n"/>
      <c r="AO2605" s="14">
        <f>IF($AF2605="保留中",COUNTIF($AF$6:$AF2605,"保留中"),"")</f>
        <v/>
      </c>
      <c r="AP2605" s="14">
        <f>IF($AQ2605="","",IF(SUMPRODUCT(MAX((職員マスタ!$A$6:$A$405=$B2605)*(((職員マスタ!$G$6:$G$405="")+(職員マスタ!$G$6:$G$405&lt;=EOMONTH($AQ2605,0)))&gt;0)*(((職員マスタ!$H$6:$H$405="")+(職員マスタ!$H$6:$H$405&gt;=$AQ2605))&gt;0)*(ROW(職員マスタ!$A$6:$A$405)-5)))&gt;0,SUMPRODUCT(MAX((職員マスタ!$A$6:$A$405=$B2605)*(((職員マスタ!$G$6:$G$405="")+(職員マスタ!$G$6:$G$405&lt;=EOMONTH($AQ2605,0)))&gt;0)*(((職員マスタ!$H$6:$H$405="")+(職員マスタ!$H$6:$H$405&gt;=$AQ2605))&gt;0)*(ROW(職員マスタ!$A$6:$A$405)-5))),IFERROR(MATCH($B2605,職員マスタ!$A$6:$A$405,0),"")))</f>
        <v/>
      </c>
      <c r="AQ2605" s="16">
        <f>IF(OR($B2605="",$C2605="",$D2605=""),"",DATE($C2605+2018,$D2605,1))</f>
        <v/>
      </c>
    </row>
    <row r="2606">
      <c r="A2606" s="11" t="n"/>
      <c r="B2606" s="12" t="n"/>
      <c r="C2606" s="12" t="n"/>
      <c r="D2606" s="12" t="n"/>
      <c r="E2606" s="13" t="n"/>
      <c r="F2606" s="12" t="n"/>
      <c r="G2606" s="13" t="n"/>
      <c r="H2606" s="12" t="n"/>
      <c r="I2606" s="12" t="n"/>
      <c r="J2606" s="12" t="n"/>
      <c r="K2606" s="12" t="n"/>
      <c r="L2606" s="11" t="n"/>
      <c r="M2606" s="11" t="n"/>
      <c r="N2606" s="11" t="n"/>
      <c r="O2606" s="11" t="n"/>
      <c r="P2606" s="12" t="n"/>
      <c r="Q2606" s="11" t="n"/>
      <c r="R2606" s="12" t="n"/>
      <c r="S2606" s="11" t="n"/>
      <c r="T2606" s="12" t="n"/>
      <c r="U2606" s="12" t="n"/>
      <c r="V2606" s="12" t="n"/>
      <c r="W2606" s="13" t="n"/>
      <c r="X2606" s="14">
        <f>IF($AP2606="",IF($B2606="","",$H2606),IF(INDEX(職員マスタ!$B$6:$B$405,$AP2606)="",$H2606,INDEX(職員マスタ!$B$6:$B$405,$AP2606)))</f>
        <v/>
      </c>
      <c r="Y2606" s="14">
        <f>IF($AP2606="",IF($B2606="","",$R2606),IF(INDEX(職員マスタ!$C$6:$C$405,$AP2606)="",$R2606,INDEX(職員マスタ!$C$6:$C$405,$AP2606)))</f>
        <v/>
      </c>
      <c r="Z2606" s="14">
        <f>IF($AQ2606="","","R"&amp;$C2606&amp;"."&amp;$D2606)</f>
        <v/>
      </c>
      <c r="AA2606" s="15">
        <f>IF(IF($AP2606="",FALSE,INDEX(職員マスタ!$K$6:$K$405,$AP2606)&lt;&gt;""),INDEX(職員マスタ!$K$6:$K$405,$AP2606),IF(N($W2606)&gt;0,$W2606,""))</f>
        <v/>
      </c>
      <c r="AB2606" s="14">
        <f>IF(OR($E2606="",$AA2606=""),"",IF($E2606&gt;=$AA2606,"×",IF($E2606&gt;=$AA2606*設定!$C$5,"△","○")))</f>
        <v/>
      </c>
      <c r="AC2606" s="15">
        <f>IF($AB2606="","",IF($AB2606="×",0,IF($AB2606="○",ROUNDDOWN($E2606*設定!$C$4,0),ROUNDDOWN($E2606*ROUND((9*$AA2606-9*$E2606)/(10*$E2606),4),0))))</f>
        <v/>
      </c>
      <c r="AD2606" s="13" t="n"/>
      <c r="AE2606" s="15">
        <f>IF($B2606="","",IF($AD2606&lt;&gt;"",$AD2606,IF($AC2606="","",IF($AC2606&lt;=設定!$C$3,0,$AC2606))))</f>
        <v/>
      </c>
      <c r="AF2606" s="14">
        <f>IF($B2606="","",IF(AND($AG2606&lt;&gt;"",$AI2606="",$AL2606=""),"保留中",IF($AL2606&lt;&gt;"",IF(N($AE2606)&gt;0,"支給済","不支給"),IF($AE2606="","要確認",IF($AE2606=0,"不支給","未処理")))))</f>
        <v/>
      </c>
      <c r="AG2606" s="12" t="n"/>
      <c r="AH2606" s="11" t="n"/>
      <c r="AI2606" s="11" t="n"/>
      <c r="AJ2606" s="11" t="n"/>
      <c r="AK2606" s="14">
        <f>IF(AND($AF2606="保留中",$AH2606&lt;&gt;""),TODAY()-$AH2606,"")</f>
        <v/>
      </c>
      <c r="AL2606" s="12" t="n"/>
      <c r="AM2606" s="14">
        <f>IF($B2606="","",IF($AQ2606="","対象年月が未入力／","")&amp;IF($B2606="","",IF($AP2606="","職員マスタに未登録の職員番号／",IF($AA2606="","標準報酬月額が未登録／","")&amp;IF(AND($AQ2606&lt;&gt;"",OR(AND(INDEX(職員マスタ!$G$6:$G$405,$AP2606)&lt;&gt;"",INDEX(職員マスタ!$G$6:$G$405,$AP2606)&gt;EOMONTH($AQ2606,0)),AND(INDEX(職員マスタ!$H$6:$H$405,$AP2606)&lt;&gt;"",INDEX(職員マスタ!$H$6:$H$405,$AP2606)&lt;$AQ2606))),"対象月が時短期間外／","")&amp;IF(AND(INDEX(職員マスタ!$K$6:$K$405,$AP2606)&lt;&gt;"",N($W2606)&gt;0,INDEX(職員マスタ!$K$6:$K$405,$AP2606)&lt;&gt;$W2606),"標準報酬月額が申請書と相違（台帳"&amp;TEXT(INDEX(職員マスタ!$K$6:$K$405,$AP2606),"#,##0")&amp;"円／申請書"&amp;TEXT($W2606,"#,##0")&amp;"円）／","")&amp;IF(AND(INDEX(職員マスタ!$F$6:$F$405,$AP2606)&lt;&gt;"",$AQ2606&lt;&gt;"",INDEX(職員マスタ!$F$6:$F$405,$AP2606)&lt;$AQ2606),"対象月に子が2歳到達済／","")&amp;IF(AND($H2606&lt;&gt;"",INDEX(職員マスタ!$B$6:$B$405,$AP2606)&lt;&gt;"",SUBSTITUTE(SUBSTITUTE($H2606," ","")," ","")&lt;&gt;SUBSTITUTE(SUBSTITUTE(INDEX(職員マスタ!$B$6:$B$405,$AP2606)," ","")," ","")),"氏名がマスタと相違／","")&amp;IF(AND($Q2606&lt;&gt;"",INDEX(職員マスタ!$E$6:$E$405,$AP2606)&lt;&gt;"",$Q2606&lt;&gt;INDEX(職員マスタ!$E$6:$E$405,$AP2606)),"子の生年月日がマスタと相違／","")&amp;IF(AND($L2606&lt;&gt;"",INDEX(職員マスタ!$G$6:$G$405,$AP2606)&lt;&gt;"",$L2606&lt;&gt;INDEX(職員マスタ!$G$6:$G$405,$AP2606)),"時短開始日がマスタと相違／","")&amp;IF(AND($M2606&lt;&gt;"",INDEX(職員マスタ!$H$6:$H$405,$AP2606)&lt;&gt;"",$M2606&lt;&gt;INDEX(職員マスタ!$H$6:$H$405,$AP2606)),"時短終了日がマスタと相違／","")))&amp;IF(AND($B2606&lt;&gt;"",$E2606=""),"報酬額が未入力／","")&amp;IF(N($U2606)&gt;0,"申請書に入力エラーが残っています／","")&amp;IF(AND($B2606&lt;&gt;"",$AQ2606&lt;&gt;""),IF(COUNTIFS($B$6:$B$3005,$B2606,$C$6:$C$3005,$C2606,$D$6:$D$3005,$D2606)&gt;1,"同じ月の請求が重複しています／",""),"")&amp;IF(AND(N($E2606)&gt;0,$AB2606&lt;&gt;"",$AB2606&lt;&gt;"×",$AE2606=0,$AD2606=""),"計算額が下限以下のため不支給／",""))</f>
        <v/>
      </c>
      <c r="AN2606" s="12" t="n"/>
      <c r="AO2606" s="14">
        <f>IF($AF2606="保留中",COUNTIF($AF$6:$AF2606,"保留中"),"")</f>
        <v/>
      </c>
      <c r="AP2606" s="14">
        <f>IF($AQ2606="","",IF(SUMPRODUCT(MAX((職員マスタ!$A$6:$A$405=$B2606)*(((職員マスタ!$G$6:$G$405="")+(職員マスタ!$G$6:$G$405&lt;=EOMONTH($AQ2606,0)))&gt;0)*(((職員マスタ!$H$6:$H$405="")+(職員マスタ!$H$6:$H$405&gt;=$AQ2606))&gt;0)*(ROW(職員マスタ!$A$6:$A$405)-5)))&gt;0,SUMPRODUCT(MAX((職員マスタ!$A$6:$A$405=$B2606)*(((職員マスタ!$G$6:$G$405="")+(職員マスタ!$G$6:$G$405&lt;=EOMONTH($AQ2606,0)))&gt;0)*(((職員マスタ!$H$6:$H$405="")+(職員マスタ!$H$6:$H$405&gt;=$AQ2606))&gt;0)*(ROW(職員マスタ!$A$6:$A$405)-5))),IFERROR(MATCH($B2606,職員マスタ!$A$6:$A$405,0),"")))</f>
        <v/>
      </c>
      <c r="AQ2606" s="16">
        <f>IF(OR($B2606="",$C2606="",$D2606=""),"",DATE($C2606+2018,$D2606,1))</f>
        <v/>
      </c>
    </row>
    <row r="2607">
      <c r="A2607" s="11" t="n"/>
      <c r="B2607" s="12" t="n"/>
      <c r="C2607" s="12" t="n"/>
      <c r="D2607" s="12" t="n"/>
      <c r="E2607" s="13" t="n"/>
      <c r="F2607" s="12" t="n"/>
      <c r="G2607" s="13" t="n"/>
      <c r="H2607" s="12" t="n"/>
      <c r="I2607" s="12" t="n"/>
      <c r="J2607" s="12" t="n"/>
      <c r="K2607" s="12" t="n"/>
      <c r="L2607" s="11" t="n"/>
      <c r="M2607" s="11" t="n"/>
      <c r="N2607" s="11" t="n"/>
      <c r="O2607" s="11" t="n"/>
      <c r="P2607" s="12" t="n"/>
      <c r="Q2607" s="11" t="n"/>
      <c r="R2607" s="12" t="n"/>
      <c r="S2607" s="11" t="n"/>
      <c r="T2607" s="12" t="n"/>
      <c r="U2607" s="12" t="n"/>
      <c r="V2607" s="12" t="n"/>
      <c r="W2607" s="13" t="n"/>
      <c r="X2607" s="14">
        <f>IF($AP2607="",IF($B2607="","",$H2607),IF(INDEX(職員マスタ!$B$6:$B$405,$AP2607)="",$H2607,INDEX(職員マスタ!$B$6:$B$405,$AP2607)))</f>
        <v/>
      </c>
      <c r="Y2607" s="14">
        <f>IF($AP2607="",IF($B2607="","",$R2607),IF(INDEX(職員マスタ!$C$6:$C$405,$AP2607)="",$R2607,INDEX(職員マスタ!$C$6:$C$405,$AP2607)))</f>
        <v/>
      </c>
      <c r="Z2607" s="14">
        <f>IF($AQ2607="","","R"&amp;$C2607&amp;"."&amp;$D2607)</f>
        <v/>
      </c>
      <c r="AA2607" s="15">
        <f>IF(IF($AP2607="",FALSE,INDEX(職員マスタ!$K$6:$K$405,$AP2607)&lt;&gt;""),INDEX(職員マスタ!$K$6:$K$405,$AP2607),IF(N($W2607)&gt;0,$W2607,""))</f>
        <v/>
      </c>
      <c r="AB2607" s="14">
        <f>IF(OR($E2607="",$AA2607=""),"",IF($E2607&gt;=$AA2607,"×",IF($E2607&gt;=$AA2607*設定!$C$5,"△","○")))</f>
        <v/>
      </c>
      <c r="AC2607" s="15">
        <f>IF($AB2607="","",IF($AB2607="×",0,IF($AB2607="○",ROUNDDOWN($E2607*設定!$C$4,0),ROUNDDOWN($E2607*ROUND((9*$AA2607-9*$E2607)/(10*$E2607),4),0))))</f>
        <v/>
      </c>
      <c r="AD2607" s="13" t="n"/>
      <c r="AE2607" s="15">
        <f>IF($B2607="","",IF($AD2607&lt;&gt;"",$AD2607,IF($AC2607="","",IF($AC2607&lt;=設定!$C$3,0,$AC2607))))</f>
        <v/>
      </c>
      <c r="AF2607" s="14">
        <f>IF($B2607="","",IF(AND($AG2607&lt;&gt;"",$AI2607="",$AL2607=""),"保留中",IF($AL2607&lt;&gt;"",IF(N($AE2607)&gt;0,"支給済","不支給"),IF($AE2607="","要確認",IF($AE2607=0,"不支給","未処理")))))</f>
        <v/>
      </c>
      <c r="AG2607" s="12" t="n"/>
      <c r="AH2607" s="11" t="n"/>
      <c r="AI2607" s="11" t="n"/>
      <c r="AJ2607" s="11" t="n"/>
      <c r="AK2607" s="14">
        <f>IF(AND($AF2607="保留中",$AH2607&lt;&gt;""),TODAY()-$AH2607,"")</f>
        <v/>
      </c>
      <c r="AL2607" s="12" t="n"/>
      <c r="AM2607" s="14">
        <f>IF($B2607="","",IF($AQ2607="","対象年月が未入力／","")&amp;IF($B2607="","",IF($AP2607="","職員マスタに未登録の職員番号／",IF($AA2607="","標準報酬月額が未登録／","")&amp;IF(AND($AQ2607&lt;&gt;"",OR(AND(INDEX(職員マスタ!$G$6:$G$405,$AP2607)&lt;&gt;"",INDEX(職員マスタ!$G$6:$G$405,$AP2607)&gt;EOMONTH($AQ2607,0)),AND(INDEX(職員マスタ!$H$6:$H$405,$AP2607)&lt;&gt;"",INDEX(職員マスタ!$H$6:$H$405,$AP2607)&lt;$AQ2607))),"対象月が時短期間外／","")&amp;IF(AND(INDEX(職員マスタ!$K$6:$K$405,$AP2607)&lt;&gt;"",N($W2607)&gt;0,INDEX(職員マスタ!$K$6:$K$405,$AP2607)&lt;&gt;$W2607),"標準報酬月額が申請書と相違（台帳"&amp;TEXT(INDEX(職員マスタ!$K$6:$K$405,$AP2607),"#,##0")&amp;"円／申請書"&amp;TEXT($W2607,"#,##0")&amp;"円）／","")&amp;IF(AND(INDEX(職員マスタ!$F$6:$F$405,$AP2607)&lt;&gt;"",$AQ2607&lt;&gt;"",INDEX(職員マスタ!$F$6:$F$405,$AP2607)&lt;$AQ2607),"対象月に子が2歳到達済／","")&amp;IF(AND($H2607&lt;&gt;"",INDEX(職員マスタ!$B$6:$B$405,$AP2607)&lt;&gt;"",SUBSTITUTE(SUBSTITUTE($H2607," ","")," ","")&lt;&gt;SUBSTITUTE(SUBSTITUTE(INDEX(職員マスタ!$B$6:$B$405,$AP2607)," ","")," ","")),"氏名がマスタと相違／","")&amp;IF(AND($Q2607&lt;&gt;"",INDEX(職員マスタ!$E$6:$E$405,$AP2607)&lt;&gt;"",$Q2607&lt;&gt;INDEX(職員マスタ!$E$6:$E$405,$AP2607)),"子の生年月日がマスタと相違／","")&amp;IF(AND($L2607&lt;&gt;"",INDEX(職員マスタ!$G$6:$G$405,$AP2607)&lt;&gt;"",$L2607&lt;&gt;INDEX(職員マスタ!$G$6:$G$405,$AP2607)),"時短開始日がマスタと相違／","")&amp;IF(AND($M2607&lt;&gt;"",INDEX(職員マスタ!$H$6:$H$405,$AP2607)&lt;&gt;"",$M2607&lt;&gt;INDEX(職員マスタ!$H$6:$H$405,$AP2607)),"時短終了日がマスタと相違／","")))&amp;IF(AND($B2607&lt;&gt;"",$E2607=""),"報酬額が未入力／","")&amp;IF(N($U2607)&gt;0,"申請書に入力エラーが残っています／","")&amp;IF(AND($B2607&lt;&gt;"",$AQ2607&lt;&gt;""),IF(COUNTIFS($B$6:$B$3005,$B2607,$C$6:$C$3005,$C2607,$D$6:$D$3005,$D2607)&gt;1,"同じ月の請求が重複しています／",""),"")&amp;IF(AND(N($E2607)&gt;0,$AB2607&lt;&gt;"",$AB2607&lt;&gt;"×",$AE2607=0,$AD2607=""),"計算額が下限以下のため不支給／",""))</f>
        <v/>
      </c>
      <c r="AN2607" s="12" t="n"/>
      <c r="AO2607" s="14">
        <f>IF($AF2607="保留中",COUNTIF($AF$6:$AF2607,"保留中"),"")</f>
        <v/>
      </c>
      <c r="AP2607" s="14">
        <f>IF($AQ2607="","",IF(SUMPRODUCT(MAX((職員マスタ!$A$6:$A$405=$B2607)*(((職員マスタ!$G$6:$G$405="")+(職員マスタ!$G$6:$G$405&lt;=EOMONTH($AQ2607,0)))&gt;0)*(((職員マスタ!$H$6:$H$405="")+(職員マスタ!$H$6:$H$405&gt;=$AQ2607))&gt;0)*(ROW(職員マスタ!$A$6:$A$405)-5)))&gt;0,SUMPRODUCT(MAX((職員マスタ!$A$6:$A$405=$B2607)*(((職員マスタ!$G$6:$G$405="")+(職員マスタ!$G$6:$G$405&lt;=EOMONTH($AQ2607,0)))&gt;0)*(((職員マスタ!$H$6:$H$405="")+(職員マスタ!$H$6:$H$405&gt;=$AQ2607))&gt;0)*(ROW(職員マスタ!$A$6:$A$405)-5))),IFERROR(MATCH($B2607,職員マスタ!$A$6:$A$405,0),"")))</f>
        <v/>
      </c>
      <c r="AQ2607" s="16">
        <f>IF(OR($B2607="",$C2607="",$D2607=""),"",DATE($C2607+2018,$D2607,1))</f>
        <v/>
      </c>
    </row>
    <row r="2608">
      <c r="A2608" s="11" t="n"/>
      <c r="B2608" s="12" t="n"/>
      <c r="C2608" s="12" t="n"/>
      <c r="D2608" s="12" t="n"/>
      <c r="E2608" s="13" t="n"/>
      <c r="F2608" s="12" t="n"/>
      <c r="G2608" s="13" t="n"/>
      <c r="H2608" s="12" t="n"/>
      <c r="I2608" s="12" t="n"/>
      <c r="J2608" s="12" t="n"/>
      <c r="K2608" s="12" t="n"/>
      <c r="L2608" s="11" t="n"/>
      <c r="M2608" s="11" t="n"/>
      <c r="N2608" s="11" t="n"/>
      <c r="O2608" s="11" t="n"/>
      <c r="P2608" s="12" t="n"/>
      <c r="Q2608" s="11" t="n"/>
      <c r="R2608" s="12" t="n"/>
      <c r="S2608" s="11" t="n"/>
      <c r="T2608" s="12" t="n"/>
      <c r="U2608" s="12" t="n"/>
      <c r="V2608" s="12" t="n"/>
      <c r="W2608" s="13" t="n"/>
      <c r="X2608" s="14">
        <f>IF($AP2608="",IF($B2608="","",$H2608),IF(INDEX(職員マスタ!$B$6:$B$405,$AP2608)="",$H2608,INDEX(職員マスタ!$B$6:$B$405,$AP2608)))</f>
        <v/>
      </c>
      <c r="Y2608" s="14">
        <f>IF($AP2608="",IF($B2608="","",$R2608),IF(INDEX(職員マスタ!$C$6:$C$405,$AP2608)="",$R2608,INDEX(職員マスタ!$C$6:$C$405,$AP2608)))</f>
        <v/>
      </c>
      <c r="Z2608" s="14">
        <f>IF($AQ2608="","","R"&amp;$C2608&amp;"."&amp;$D2608)</f>
        <v/>
      </c>
      <c r="AA2608" s="15">
        <f>IF(IF($AP2608="",FALSE,INDEX(職員マスタ!$K$6:$K$405,$AP2608)&lt;&gt;""),INDEX(職員マスタ!$K$6:$K$405,$AP2608),IF(N($W2608)&gt;0,$W2608,""))</f>
        <v/>
      </c>
      <c r="AB2608" s="14">
        <f>IF(OR($E2608="",$AA2608=""),"",IF($E2608&gt;=$AA2608,"×",IF($E2608&gt;=$AA2608*設定!$C$5,"△","○")))</f>
        <v/>
      </c>
      <c r="AC2608" s="15">
        <f>IF($AB2608="","",IF($AB2608="×",0,IF($AB2608="○",ROUNDDOWN($E2608*設定!$C$4,0),ROUNDDOWN($E2608*ROUND((9*$AA2608-9*$E2608)/(10*$E2608),4),0))))</f>
        <v/>
      </c>
      <c r="AD2608" s="13" t="n"/>
      <c r="AE2608" s="15">
        <f>IF($B2608="","",IF($AD2608&lt;&gt;"",$AD2608,IF($AC2608="","",IF($AC2608&lt;=設定!$C$3,0,$AC2608))))</f>
        <v/>
      </c>
      <c r="AF2608" s="14">
        <f>IF($B2608="","",IF(AND($AG2608&lt;&gt;"",$AI2608="",$AL2608=""),"保留中",IF($AL2608&lt;&gt;"",IF(N($AE2608)&gt;0,"支給済","不支給"),IF($AE2608="","要確認",IF($AE2608=0,"不支給","未処理")))))</f>
        <v/>
      </c>
      <c r="AG2608" s="12" t="n"/>
      <c r="AH2608" s="11" t="n"/>
      <c r="AI2608" s="11" t="n"/>
      <c r="AJ2608" s="11" t="n"/>
      <c r="AK2608" s="14">
        <f>IF(AND($AF2608="保留中",$AH2608&lt;&gt;""),TODAY()-$AH2608,"")</f>
        <v/>
      </c>
      <c r="AL2608" s="12" t="n"/>
      <c r="AM2608" s="14">
        <f>IF($B2608="","",IF($AQ2608="","対象年月が未入力／","")&amp;IF($B2608="","",IF($AP2608="","職員マスタに未登録の職員番号／",IF($AA2608="","標準報酬月額が未登録／","")&amp;IF(AND($AQ2608&lt;&gt;"",OR(AND(INDEX(職員マスタ!$G$6:$G$405,$AP2608)&lt;&gt;"",INDEX(職員マスタ!$G$6:$G$405,$AP2608)&gt;EOMONTH($AQ2608,0)),AND(INDEX(職員マスタ!$H$6:$H$405,$AP2608)&lt;&gt;"",INDEX(職員マスタ!$H$6:$H$405,$AP2608)&lt;$AQ2608))),"対象月が時短期間外／","")&amp;IF(AND(INDEX(職員マスタ!$K$6:$K$405,$AP2608)&lt;&gt;"",N($W2608)&gt;0,INDEX(職員マスタ!$K$6:$K$405,$AP2608)&lt;&gt;$W2608),"標準報酬月額が申請書と相違（台帳"&amp;TEXT(INDEX(職員マスタ!$K$6:$K$405,$AP2608),"#,##0")&amp;"円／申請書"&amp;TEXT($W2608,"#,##0")&amp;"円）／","")&amp;IF(AND(INDEX(職員マスタ!$F$6:$F$405,$AP2608)&lt;&gt;"",$AQ2608&lt;&gt;"",INDEX(職員マスタ!$F$6:$F$405,$AP2608)&lt;$AQ2608),"対象月に子が2歳到達済／","")&amp;IF(AND($H2608&lt;&gt;"",INDEX(職員マスタ!$B$6:$B$405,$AP2608)&lt;&gt;"",SUBSTITUTE(SUBSTITUTE($H2608," ","")," ","")&lt;&gt;SUBSTITUTE(SUBSTITUTE(INDEX(職員マスタ!$B$6:$B$405,$AP2608)," ","")," ","")),"氏名がマスタと相違／","")&amp;IF(AND($Q2608&lt;&gt;"",INDEX(職員マスタ!$E$6:$E$405,$AP2608)&lt;&gt;"",$Q2608&lt;&gt;INDEX(職員マスタ!$E$6:$E$405,$AP2608)),"子の生年月日がマスタと相違／","")&amp;IF(AND($L2608&lt;&gt;"",INDEX(職員マスタ!$G$6:$G$405,$AP2608)&lt;&gt;"",$L2608&lt;&gt;INDEX(職員マスタ!$G$6:$G$405,$AP2608)),"時短開始日がマスタと相違／","")&amp;IF(AND($M2608&lt;&gt;"",INDEX(職員マスタ!$H$6:$H$405,$AP2608)&lt;&gt;"",$M2608&lt;&gt;INDEX(職員マスタ!$H$6:$H$405,$AP2608)),"時短終了日がマスタと相違／","")))&amp;IF(AND($B2608&lt;&gt;"",$E2608=""),"報酬額が未入力／","")&amp;IF(N($U2608)&gt;0,"申請書に入力エラーが残っています／","")&amp;IF(AND($B2608&lt;&gt;"",$AQ2608&lt;&gt;""),IF(COUNTIFS($B$6:$B$3005,$B2608,$C$6:$C$3005,$C2608,$D$6:$D$3005,$D2608)&gt;1,"同じ月の請求が重複しています／",""),"")&amp;IF(AND(N($E2608)&gt;0,$AB2608&lt;&gt;"",$AB2608&lt;&gt;"×",$AE2608=0,$AD2608=""),"計算額が下限以下のため不支給／",""))</f>
        <v/>
      </c>
      <c r="AN2608" s="12" t="n"/>
      <c r="AO2608" s="14">
        <f>IF($AF2608="保留中",COUNTIF($AF$6:$AF2608,"保留中"),"")</f>
        <v/>
      </c>
      <c r="AP2608" s="14">
        <f>IF($AQ2608="","",IF(SUMPRODUCT(MAX((職員マスタ!$A$6:$A$405=$B2608)*(((職員マスタ!$G$6:$G$405="")+(職員マスタ!$G$6:$G$405&lt;=EOMONTH($AQ2608,0)))&gt;0)*(((職員マスタ!$H$6:$H$405="")+(職員マスタ!$H$6:$H$405&gt;=$AQ2608))&gt;0)*(ROW(職員マスタ!$A$6:$A$405)-5)))&gt;0,SUMPRODUCT(MAX((職員マスタ!$A$6:$A$405=$B2608)*(((職員マスタ!$G$6:$G$405="")+(職員マスタ!$G$6:$G$405&lt;=EOMONTH($AQ2608,0)))&gt;0)*(((職員マスタ!$H$6:$H$405="")+(職員マスタ!$H$6:$H$405&gt;=$AQ2608))&gt;0)*(ROW(職員マスタ!$A$6:$A$405)-5))),IFERROR(MATCH($B2608,職員マスタ!$A$6:$A$405,0),"")))</f>
        <v/>
      </c>
      <c r="AQ2608" s="16">
        <f>IF(OR($B2608="",$C2608="",$D2608=""),"",DATE($C2608+2018,$D2608,1))</f>
        <v/>
      </c>
    </row>
    <row r="2609">
      <c r="A2609" s="11" t="n"/>
      <c r="B2609" s="12" t="n"/>
      <c r="C2609" s="12" t="n"/>
      <c r="D2609" s="12" t="n"/>
      <c r="E2609" s="13" t="n"/>
      <c r="F2609" s="12" t="n"/>
      <c r="G2609" s="13" t="n"/>
      <c r="H2609" s="12" t="n"/>
      <c r="I2609" s="12" t="n"/>
      <c r="J2609" s="12" t="n"/>
      <c r="K2609" s="12" t="n"/>
      <c r="L2609" s="11" t="n"/>
      <c r="M2609" s="11" t="n"/>
      <c r="N2609" s="11" t="n"/>
      <c r="O2609" s="11" t="n"/>
      <c r="P2609" s="12" t="n"/>
      <c r="Q2609" s="11" t="n"/>
      <c r="R2609" s="12" t="n"/>
      <c r="S2609" s="11" t="n"/>
      <c r="T2609" s="12" t="n"/>
      <c r="U2609" s="12" t="n"/>
      <c r="V2609" s="12" t="n"/>
      <c r="W2609" s="13" t="n"/>
      <c r="X2609" s="14">
        <f>IF($AP2609="",IF($B2609="","",$H2609),IF(INDEX(職員マスタ!$B$6:$B$405,$AP2609)="",$H2609,INDEX(職員マスタ!$B$6:$B$405,$AP2609)))</f>
        <v/>
      </c>
      <c r="Y2609" s="14">
        <f>IF($AP2609="",IF($B2609="","",$R2609),IF(INDEX(職員マスタ!$C$6:$C$405,$AP2609)="",$R2609,INDEX(職員マスタ!$C$6:$C$405,$AP2609)))</f>
        <v/>
      </c>
      <c r="Z2609" s="14">
        <f>IF($AQ2609="","","R"&amp;$C2609&amp;"."&amp;$D2609)</f>
        <v/>
      </c>
      <c r="AA2609" s="15">
        <f>IF(IF($AP2609="",FALSE,INDEX(職員マスタ!$K$6:$K$405,$AP2609)&lt;&gt;""),INDEX(職員マスタ!$K$6:$K$405,$AP2609),IF(N($W2609)&gt;0,$W2609,""))</f>
        <v/>
      </c>
      <c r="AB2609" s="14">
        <f>IF(OR($E2609="",$AA2609=""),"",IF($E2609&gt;=$AA2609,"×",IF($E2609&gt;=$AA2609*設定!$C$5,"△","○")))</f>
        <v/>
      </c>
      <c r="AC2609" s="15">
        <f>IF($AB2609="","",IF($AB2609="×",0,IF($AB2609="○",ROUNDDOWN($E2609*設定!$C$4,0),ROUNDDOWN($E2609*ROUND((9*$AA2609-9*$E2609)/(10*$E2609),4),0))))</f>
        <v/>
      </c>
      <c r="AD2609" s="13" t="n"/>
      <c r="AE2609" s="15">
        <f>IF($B2609="","",IF($AD2609&lt;&gt;"",$AD2609,IF($AC2609="","",IF($AC2609&lt;=設定!$C$3,0,$AC2609))))</f>
        <v/>
      </c>
      <c r="AF2609" s="14">
        <f>IF($B2609="","",IF(AND($AG2609&lt;&gt;"",$AI2609="",$AL2609=""),"保留中",IF($AL2609&lt;&gt;"",IF(N($AE2609)&gt;0,"支給済","不支給"),IF($AE2609="","要確認",IF($AE2609=0,"不支給","未処理")))))</f>
        <v/>
      </c>
      <c r="AG2609" s="12" t="n"/>
      <c r="AH2609" s="11" t="n"/>
      <c r="AI2609" s="11" t="n"/>
      <c r="AJ2609" s="11" t="n"/>
      <c r="AK2609" s="14">
        <f>IF(AND($AF2609="保留中",$AH2609&lt;&gt;""),TODAY()-$AH2609,"")</f>
        <v/>
      </c>
      <c r="AL2609" s="12" t="n"/>
      <c r="AM2609" s="14">
        <f>IF($B2609="","",IF($AQ2609="","対象年月が未入力／","")&amp;IF($B2609="","",IF($AP2609="","職員マスタに未登録の職員番号／",IF($AA2609="","標準報酬月額が未登録／","")&amp;IF(AND($AQ2609&lt;&gt;"",OR(AND(INDEX(職員マスタ!$G$6:$G$405,$AP2609)&lt;&gt;"",INDEX(職員マスタ!$G$6:$G$405,$AP2609)&gt;EOMONTH($AQ2609,0)),AND(INDEX(職員マスタ!$H$6:$H$405,$AP2609)&lt;&gt;"",INDEX(職員マスタ!$H$6:$H$405,$AP2609)&lt;$AQ2609))),"対象月が時短期間外／","")&amp;IF(AND(INDEX(職員マスタ!$K$6:$K$405,$AP2609)&lt;&gt;"",N($W2609)&gt;0,INDEX(職員マスタ!$K$6:$K$405,$AP2609)&lt;&gt;$W2609),"標準報酬月額が申請書と相違（台帳"&amp;TEXT(INDEX(職員マスタ!$K$6:$K$405,$AP2609),"#,##0")&amp;"円／申請書"&amp;TEXT($W2609,"#,##0")&amp;"円）／","")&amp;IF(AND(INDEX(職員マスタ!$F$6:$F$405,$AP2609)&lt;&gt;"",$AQ2609&lt;&gt;"",INDEX(職員マスタ!$F$6:$F$405,$AP2609)&lt;$AQ2609),"対象月に子が2歳到達済／","")&amp;IF(AND($H2609&lt;&gt;"",INDEX(職員マスタ!$B$6:$B$405,$AP2609)&lt;&gt;"",SUBSTITUTE(SUBSTITUTE($H2609," ","")," ","")&lt;&gt;SUBSTITUTE(SUBSTITUTE(INDEX(職員マスタ!$B$6:$B$405,$AP2609)," ","")," ","")),"氏名がマスタと相違／","")&amp;IF(AND($Q2609&lt;&gt;"",INDEX(職員マスタ!$E$6:$E$405,$AP2609)&lt;&gt;"",$Q2609&lt;&gt;INDEX(職員マスタ!$E$6:$E$405,$AP2609)),"子の生年月日がマスタと相違／","")&amp;IF(AND($L2609&lt;&gt;"",INDEX(職員マスタ!$G$6:$G$405,$AP2609)&lt;&gt;"",$L2609&lt;&gt;INDEX(職員マスタ!$G$6:$G$405,$AP2609)),"時短開始日がマスタと相違／","")&amp;IF(AND($M2609&lt;&gt;"",INDEX(職員マスタ!$H$6:$H$405,$AP2609)&lt;&gt;"",$M2609&lt;&gt;INDEX(職員マスタ!$H$6:$H$405,$AP2609)),"時短終了日がマスタと相違／","")))&amp;IF(AND($B2609&lt;&gt;"",$E2609=""),"報酬額が未入力／","")&amp;IF(N($U2609)&gt;0,"申請書に入力エラーが残っています／","")&amp;IF(AND($B2609&lt;&gt;"",$AQ2609&lt;&gt;""),IF(COUNTIFS($B$6:$B$3005,$B2609,$C$6:$C$3005,$C2609,$D$6:$D$3005,$D2609)&gt;1,"同じ月の請求が重複しています／",""),"")&amp;IF(AND(N($E2609)&gt;0,$AB2609&lt;&gt;"",$AB2609&lt;&gt;"×",$AE2609=0,$AD2609=""),"計算額が下限以下のため不支給／",""))</f>
        <v/>
      </c>
      <c r="AN2609" s="12" t="n"/>
      <c r="AO2609" s="14">
        <f>IF($AF2609="保留中",COUNTIF($AF$6:$AF2609,"保留中"),"")</f>
        <v/>
      </c>
      <c r="AP2609" s="14">
        <f>IF($AQ2609="","",IF(SUMPRODUCT(MAX((職員マスタ!$A$6:$A$405=$B2609)*(((職員マスタ!$G$6:$G$405="")+(職員マスタ!$G$6:$G$405&lt;=EOMONTH($AQ2609,0)))&gt;0)*(((職員マスタ!$H$6:$H$405="")+(職員マスタ!$H$6:$H$405&gt;=$AQ2609))&gt;0)*(ROW(職員マスタ!$A$6:$A$405)-5)))&gt;0,SUMPRODUCT(MAX((職員マスタ!$A$6:$A$405=$B2609)*(((職員マスタ!$G$6:$G$405="")+(職員マスタ!$G$6:$G$405&lt;=EOMONTH($AQ2609,0)))&gt;0)*(((職員マスタ!$H$6:$H$405="")+(職員マスタ!$H$6:$H$405&gt;=$AQ2609))&gt;0)*(ROW(職員マスタ!$A$6:$A$405)-5))),IFERROR(MATCH($B2609,職員マスタ!$A$6:$A$405,0),"")))</f>
        <v/>
      </c>
      <c r="AQ2609" s="16">
        <f>IF(OR($B2609="",$C2609="",$D2609=""),"",DATE($C2609+2018,$D2609,1))</f>
        <v/>
      </c>
    </row>
    <row r="2610">
      <c r="A2610" s="11" t="n"/>
      <c r="B2610" s="12" t="n"/>
      <c r="C2610" s="12" t="n"/>
      <c r="D2610" s="12" t="n"/>
      <c r="E2610" s="13" t="n"/>
      <c r="F2610" s="12" t="n"/>
      <c r="G2610" s="13" t="n"/>
      <c r="H2610" s="12" t="n"/>
      <c r="I2610" s="12" t="n"/>
      <c r="J2610" s="12" t="n"/>
      <c r="K2610" s="12" t="n"/>
      <c r="L2610" s="11" t="n"/>
      <c r="M2610" s="11" t="n"/>
      <c r="N2610" s="11" t="n"/>
      <c r="O2610" s="11" t="n"/>
      <c r="P2610" s="12" t="n"/>
      <c r="Q2610" s="11" t="n"/>
      <c r="R2610" s="12" t="n"/>
      <c r="S2610" s="11" t="n"/>
      <c r="T2610" s="12" t="n"/>
      <c r="U2610" s="12" t="n"/>
      <c r="V2610" s="12" t="n"/>
      <c r="W2610" s="13" t="n"/>
      <c r="X2610" s="14">
        <f>IF($AP2610="",IF($B2610="","",$H2610),IF(INDEX(職員マスタ!$B$6:$B$405,$AP2610)="",$H2610,INDEX(職員マスタ!$B$6:$B$405,$AP2610)))</f>
        <v/>
      </c>
      <c r="Y2610" s="14">
        <f>IF($AP2610="",IF($B2610="","",$R2610),IF(INDEX(職員マスタ!$C$6:$C$405,$AP2610)="",$R2610,INDEX(職員マスタ!$C$6:$C$405,$AP2610)))</f>
        <v/>
      </c>
      <c r="Z2610" s="14">
        <f>IF($AQ2610="","","R"&amp;$C2610&amp;"."&amp;$D2610)</f>
        <v/>
      </c>
      <c r="AA2610" s="15">
        <f>IF(IF($AP2610="",FALSE,INDEX(職員マスタ!$K$6:$K$405,$AP2610)&lt;&gt;""),INDEX(職員マスタ!$K$6:$K$405,$AP2610),IF(N($W2610)&gt;0,$W2610,""))</f>
        <v/>
      </c>
      <c r="AB2610" s="14">
        <f>IF(OR($E2610="",$AA2610=""),"",IF($E2610&gt;=$AA2610,"×",IF($E2610&gt;=$AA2610*設定!$C$5,"△","○")))</f>
        <v/>
      </c>
      <c r="AC2610" s="15">
        <f>IF($AB2610="","",IF($AB2610="×",0,IF($AB2610="○",ROUNDDOWN($E2610*設定!$C$4,0),ROUNDDOWN($E2610*ROUND((9*$AA2610-9*$E2610)/(10*$E2610),4),0))))</f>
        <v/>
      </c>
      <c r="AD2610" s="13" t="n"/>
      <c r="AE2610" s="15">
        <f>IF($B2610="","",IF($AD2610&lt;&gt;"",$AD2610,IF($AC2610="","",IF($AC2610&lt;=設定!$C$3,0,$AC2610))))</f>
        <v/>
      </c>
      <c r="AF2610" s="14">
        <f>IF($B2610="","",IF(AND($AG2610&lt;&gt;"",$AI2610="",$AL2610=""),"保留中",IF($AL2610&lt;&gt;"",IF(N($AE2610)&gt;0,"支給済","不支給"),IF($AE2610="","要確認",IF($AE2610=0,"不支給","未処理")))))</f>
        <v/>
      </c>
      <c r="AG2610" s="12" t="n"/>
      <c r="AH2610" s="11" t="n"/>
      <c r="AI2610" s="11" t="n"/>
      <c r="AJ2610" s="11" t="n"/>
      <c r="AK2610" s="14">
        <f>IF(AND($AF2610="保留中",$AH2610&lt;&gt;""),TODAY()-$AH2610,"")</f>
        <v/>
      </c>
      <c r="AL2610" s="12" t="n"/>
      <c r="AM2610" s="14">
        <f>IF($B2610="","",IF($AQ2610="","対象年月が未入力／","")&amp;IF($B2610="","",IF($AP2610="","職員マスタに未登録の職員番号／",IF($AA2610="","標準報酬月額が未登録／","")&amp;IF(AND($AQ2610&lt;&gt;"",OR(AND(INDEX(職員マスタ!$G$6:$G$405,$AP2610)&lt;&gt;"",INDEX(職員マスタ!$G$6:$G$405,$AP2610)&gt;EOMONTH($AQ2610,0)),AND(INDEX(職員マスタ!$H$6:$H$405,$AP2610)&lt;&gt;"",INDEX(職員マスタ!$H$6:$H$405,$AP2610)&lt;$AQ2610))),"対象月が時短期間外／","")&amp;IF(AND(INDEX(職員マスタ!$K$6:$K$405,$AP2610)&lt;&gt;"",N($W2610)&gt;0,INDEX(職員マスタ!$K$6:$K$405,$AP2610)&lt;&gt;$W2610),"標準報酬月額が申請書と相違（台帳"&amp;TEXT(INDEX(職員マスタ!$K$6:$K$405,$AP2610),"#,##0")&amp;"円／申請書"&amp;TEXT($W2610,"#,##0")&amp;"円）／","")&amp;IF(AND(INDEX(職員マスタ!$F$6:$F$405,$AP2610)&lt;&gt;"",$AQ2610&lt;&gt;"",INDEX(職員マスタ!$F$6:$F$405,$AP2610)&lt;$AQ2610),"対象月に子が2歳到達済／","")&amp;IF(AND($H2610&lt;&gt;"",INDEX(職員マスタ!$B$6:$B$405,$AP2610)&lt;&gt;"",SUBSTITUTE(SUBSTITUTE($H2610," ","")," ","")&lt;&gt;SUBSTITUTE(SUBSTITUTE(INDEX(職員マスタ!$B$6:$B$405,$AP2610)," ","")," ","")),"氏名がマスタと相違／","")&amp;IF(AND($Q2610&lt;&gt;"",INDEX(職員マスタ!$E$6:$E$405,$AP2610)&lt;&gt;"",$Q2610&lt;&gt;INDEX(職員マスタ!$E$6:$E$405,$AP2610)),"子の生年月日がマスタと相違／","")&amp;IF(AND($L2610&lt;&gt;"",INDEX(職員マスタ!$G$6:$G$405,$AP2610)&lt;&gt;"",$L2610&lt;&gt;INDEX(職員マスタ!$G$6:$G$405,$AP2610)),"時短開始日がマスタと相違／","")&amp;IF(AND($M2610&lt;&gt;"",INDEX(職員マスタ!$H$6:$H$405,$AP2610)&lt;&gt;"",$M2610&lt;&gt;INDEX(職員マスタ!$H$6:$H$405,$AP2610)),"時短終了日がマスタと相違／","")))&amp;IF(AND($B2610&lt;&gt;"",$E2610=""),"報酬額が未入力／","")&amp;IF(N($U2610)&gt;0,"申請書に入力エラーが残っています／","")&amp;IF(AND($B2610&lt;&gt;"",$AQ2610&lt;&gt;""),IF(COUNTIFS($B$6:$B$3005,$B2610,$C$6:$C$3005,$C2610,$D$6:$D$3005,$D2610)&gt;1,"同じ月の請求が重複しています／",""),"")&amp;IF(AND(N($E2610)&gt;0,$AB2610&lt;&gt;"",$AB2610&lt;&gt;"×",$AE2610=0,$AD2610=""),"計算額が下限以下のため不支給／",""))</f>
        <v/>
      </c>
      <c r="AN2610" s="12" t="n"/>
      <c r="AO2610" s="14">
        <f>IF($AF2610="保留中",COUNTIF($AF$6:$AF2610,"保留中"),"")</f>
        <v/>
      </c>
      <c r="AP2610" s="14">
        <f>IF($AQ2610="","",IF(SUMPRODUCT(MAX((職員マスタ!$A$6:$A$405=$B2610)*(((職員マスタ!$G$6:$G$405="")+(職員マスタ!$G$6:$G$405&lt;=EOMONTH($AQ2610,0)))&gt;0)*(((職員マスタ!$H$6:$H$405="")+(職員マスタ!$H$6:$H$405&gt;=$AQ2610))&gt;0)*(ROW(職員マスタ!$A$6:$A$405)-5)))&gt;0,SUMPRODUCT(MAX((職員マスタ!$A$6:$A$405=$B2610)*(((職員マスタ!$G$6:$G$405="")+(職員マスタ!$G$6:$G$405&lt;=EOMONTH($AQ2610,0)))&gt;0)*(((職員マスタ!$H$6:$H$405="")+(職員マスタ!$H$6:$H$405&gt;=$AQ2610))&gt;0)*(ROW(職員マスタ!$A$6:$A$405)-5))),IFERROR(MATCH($B2610,職員マスタ!$A$6:$A$405,0),"")))</f>
        <v/>
      </c>
      <c r="AQ2610" s="16">
        <f>IF(OR($B2610="",$C2610="",$D2610=""),"",DATE($C2610+2018,$D2610,1))</f>
        <v/>
      </c>
    </row>
    <row r="2611">
      <c r="A2611" s="11" t="n"/>
      <c r="B2611" s="12" t="n"/>
      <c r="C2611" s="12" t="n"/>
      <c r="D2611" s="12" t="n"/>
      <c r="E2611" s="13" t="n"/>
      <c r="F2611" s="12" t="n"/>
      <c r="G2611" s="13" t="n"/>
      <c r="H2611" s="12" t="n"/>
      <c r="I2611" s="12" t="n"/>
      <c r="J2611" s="12" t="n"/>
      <c r="K2611" s="12" t="n"/>
      <c r="L2611" s="11" t="n"/>
      <c r="M2611" s="11" t="n"/>
      <c r="N2611" s="11" t="n"/>
      <c r="O2611" s="11" t="n"/>
      <c r="P2611" s="12" t="n"/>
      <c r="Q2611" s="11" t="n"/>
      <c r="R2611" s="12" t="n"/>
      <c r="S2611" s="11" t="n"/>
      <c r="T2611" s="12" t="n"/>
      <c r="U2611" s="12" t="n"/>
      <c r="V2611" s="12" t="n"/>
      <c r="W2611" s="13" t="n"/>
      <c r="X2611" s="14">
        <f>IF($AP2611="",IF($B2611="","",$H2611),IF(INDEX(職員マスタ!$B$6:$B$405,$AP2611)="",$H2611,INDEX(職員マスタ!$B$6:$B$405,$AP2611)))</f>
        <v/>
      </c>
      <c r="Y2611" s="14">
        <f>IF($AP2611="",IF($B2611="","",$R2611),IF(INDEX(職員マスタ!$C$6:$C$405,$AP2611)="",$R2611,INDEX(職員マスタ!$C$6:$C$405,$AP2611)))</f>
        <v/>
      </c>
      <c r="Z2611" s="14">
        <f>IF($AQ2611="","","R"&amp;$C2611&amp;"."&amp;$D2611)</f>
        <v/>
      </c>
      <c r="AA2611" s="15">
        <f>IF(IF($AP2611="",FALSE,INDEX(職員マスタ!$K$6:$K$405,$AP2611)&lt;&gt;""),INDEX(職員マスタ!$K$6:$K$405,$AP2611),IF(N($W2611)&gt;0,$W2611,""))</f>
        <v/>
      </c>
      <c r="AB2611" s="14">
        <f>IF(OR($E2611="",$AA2611=""),"",IF($E2611&gt;=$AA2611,"×",IF($E2611&gt;=$AA2611*設定!$C$5,"△","○")))</f>
        <v/>
      </c>
      <c r="AC2611" s="15">
        <f>IF($AB2611="","",IF($AB2611="×",0,IF($AB2611="○",ROUNDDOWN($E2611*設定!$C$4,0),ROUNDDOWN($E2611*ROUND((9*$AA2611-9*$E2611)/(10*$E2611),4),0))))</f>
        <v/>
      </c>
      <c r="AD2611" s="13" t="n"/>
      <c r="AE2611" s="15">
        <f>IF($B2611="","",IF($AD2611&lt;&gt;"",$AD2611,IF($AC2611="","",IF($AC2611&lt;=設定!$C$3,0,$AC2611))))</f>
        <v/>
      </c>
      <c r="AF2611" s="14">
        <f>IF($B2611="","",IF(AND($AG2611&lt;&gt;"",$AI2611="",$AL2611=""),"保留中",IF($AL2611&lt;&gt;"",IF(N($AE2611)&gt;0,"支給済","不支給"),IF($AE2611="","要確認",IF($AE2611=0,"不支給","未処理")))))</f>
        <v/>
      </c>
      <c r="AG2611" s="12" t="n"/>
      <c r="AH2611" s="11" t="n"/>
      <c r="AI2611" s="11" t="n"/>
      <c r="AJ2611" s="11" t="n"/>
      <c r="AK2611" s="14">
        <f>IF(AND($AF2611="保留中",$AH2611&lt;&gt;""),TODAY()-$AH2611,"")</f>
        <v/>
      </c>
      <c r="AL2611" s="12" t="n"/>
      <c r="AM2611" s="14">
        <f>IF($B2611="","",IF($AQ2611="","対象年月が未入力／","")&amp;IF($B2611="","",IF($AP2611="","職員マスタに未登録の職員番号／",IF($AA2611="","標準報酬月額が未登録／","")&amp;IF(AND($AQ2611&lt;&gt;"",OR(AND(INDEX(職員マスタ!$G$6:$G$405,$AP2611)&lt;&gt;"",INDEX(職員マスタ!$G$6:$G$405,$AP2611)&gt;EOMONTH($AQ2611,0)),AND(INDEX(職員マスタ!$H$6:$H$405,$AP2611)&lt;&gt;"",INDEX(職員マスタ!$H$6:$H$405,$AP2611)&lt;$AQ2611))),"対象月が時短期間外／","")&amp;IF(AND(INDEX(職員マスタ!$K$6:$K$405,$AP2611)&lt;&gt;"",N($W2611)&gt;0,INDEX(職員マスタ!$K$6:$K$405,$AP2611)&lt;&gt;$W2611),"標準報酬月額が申請書と相違（台帳"&amp;TEXT(INDEX(職員マスタ!$K$6:$K$405,$AP2611),"#,##0")&amp;"円／申請書"&amp;TEXT($W2611,"#,##0")&amp;"円）／","")&amp;IF(AND(INDEX(職員マスタ!$F$6:$F$405,$AP2611)&lt;&gt;"",$AQ2611&lt;&gt;"",INDEX(職員マスタ!$F$6:$F$405,$AP2611)&lt;$AQ2611),"対象月に子が2歳到達済／","")&amp;IF(AND($H2611&lt;&gt;"",INDEX(職員マスタ!$B$6:$B$405,$AP2611)&lt;&gt;"",SUBSTITUTE(SUBSTITUTE($H2611," ","")," ","")&lt;&gt;SUBSTITUTE(SUBSTITUTE(INDEX(職員マスタ!$B$6:$B$405,$AP2611)," ","")," ","")),"氏名がマスタと相違／","")&amp;IF(AND($Q2611&lt;&gt;"",INDEX(職員マスタ!$E$6:$E$405,$AP2611)&lt;&gt;"",$Q2611&lt;&gt;INDEX(職員マスタ!$E$6:$E$405,$AP2611)),"子の生年月日がマスタと相違／","")&amp;IF(AND($L2611&lt;&gt;"",INDEX(職員マスタ!$G$6:$G$405,$AP2611)&lt;&gt;"",$L2611&lt;&gt;INDEX(職員マスタ!$G$6:$G$405,$AP2611)),"時短開始日がマスタと相違／","")&amp;IF(AND($M2611&lt;&gt;"",INDEX(職員マスタ!$H$6:$H$405,$AP2611)&lt;&gt;"",$M2611&lt;&gt;INDEX(職員マスタ!$H$6:$H$405,$AP2611)),"時短終了日がマスタと相違／","")))&amp;IF(AND($B2611&lt;&gt;"",$E2611=""),"報酬額が未入力／","")&amp;IF(N($U2611)&gt;0,"申請書に入力エラーが残っています／","")&amp;IF(AND($B2611&lt;&gt;"",$AQ2611&lt;&gt;""),IF(COUNTIFS($B$6:$B$3005,$B2611,$C$6:$C$3005,$C2611,$D$6:$D$3005,$D2611)&gt;1,"同じ月の請求が重複しています／",""),"")&amp;IF(AND(N($E2611)&gt;0,$AB2611&lt;&gt;"",$AB2611&lt;&gt;"×",$AE2611=0,$AD2611=""),"計算額が下限以下のため不支給／",""))</f>
        <v/>
      </c>
      <c r="AN2611" s="12" t="n"/>
      <c r="AO2611" s="14">
        <f>IF($AF2611="保留中",COUNTIF($AF$6:$AF2611,"保留中"),"")</f>
        <v/>
      </c>
      <c r="AP2611" s="14">
        <f>IF($AQ2611="","",IF(SUMPRODUCT(MAX((職員マスタ!$A$6:$A$405=$B2611)*(((職員マスタ!$G$6:$G$405="")+(職員マスタ!$G$6:$G$405&lt;=EOMONTH($AQ2611,0)))&gt;0)*(((職員マスタ!$H$6:$H$405="")+(職員マスタ!$H$6:$H$405&gt;=$AQ2611))&gt;0)*(ROW(職員マスタ!$A$6:$A$405)-5)))&gt;0,SUMPRODUCT(MAX((職員マスタ!$A$6:$A$405=$B2611)*(((職員マスタ!$G$6:$G$405="")+(職員マスタ!$G$6:$G$405&lt;=EOMONTH($AQ2611,0)))&gt;0)*(((職員マスタ!$H$6:$H$405="")+(職員マスタ!$H$6:$H$405&gt;=$AQ2611))&gt;0)*(ROW(職員マスタ!$A$6:$A$405)-5))),IFERROR(MATCH($B2611,職員マスタ!$A$6:$A$405,0),"")))</f>
        <v/>
      </c>
      <c r="AQ2611" s="16">
        <f>IF(OR($B2611="",$C2611="",$D2611=""),"",DATE($C2611+2018,$D2611,1))</f>
        <v/>
      </c>
    </row>
    <row r="2612">
      <c r="A2612" s="11" t="n"/>
      <c r="B2612" s="12" t="n"/>
      <c r="C2612" s="12" t="n"/>
      <c r="D2612" s="12" t="n"/>
      <c r="E2612" s="13" t="n"/>
      <c r="F2612" s="12" t="n"/>
      <c r="G2612" s="13" t="n"/>
      <c r="H2612" s="12" t="n"/>
      <c r="I2612" s="12" t="n"/>
      <c r="J2612" s="12" t="n"/>
      <c r="K2612" s="12" t="n"/>
      <c r="L2612" s="11" t="n"/>
      <c r="M2612" s="11" t="n"/>
      <c r="N2612" s="11" t="n"/>
      <c r="O2612" s="11" t="n"/>
      <c r="P2612" s="12" t="n"/>
      <c r="Q2612" s="11" t="n"/>
      <c r="R2612" s="12" t="n"/>
      <c r="S2612" s="11" t="n"/>
      <c r="T2612" s="12" t="n"/>
      <c r="U2612" s="12" t="n"/>
      <c r="V2612" s="12" t="n"/>
      <c r="W2612" s="13" t="n"/>
      <c r="X2612" s="14">
        <f>IF($AP2612="",IF($B2612="","",$H2612),IF(INDEX(職員マスタ!$B$6:$B$405,$AP2612)="",$H2612,INDEX(職員マスタ!$B$6:$B$405,$AP2612)))</f>
        <v/>
      </c>
      <c r="Y2612" s="14">
        <f>IF($AP2612="",IF($B2612="","",$R2612),IF(INDEX(職員マスタ!$C$6:$C$405,$AP2612)="",$R2612,INDEX(職員マスタ!$C$6:$C$405,$AP2612)))</f>
        <v/>
      </c>
      <c r="Z2612" s="14">
        <f>IF($AQ2612="","","R"&amp;$C2612&amp;"."&amp;$D2612)</f>
        <v/>
      </c>
      <c r="AA2612" s="15">
        <f>IF(IF($AP2612="",FALSE,INDEX(職員マスタ!$K$6:$K$405,$AP2612)&lt;&gt;""),INDEX(職員マスタ!$K$6:$K$405,$AP2612),IF(N($W2612)&gt;0,$W2612,""))</f>
        <v/>
      </c>
      <c r="AB2612" s="14">
        <f>IF(OR($E2612="",$AA2612=""),"",IF($E2612&gt;=$AA2612,"×",IF($E2612&gt;=$AA2612*設定!$C$5,"△","○")))</f>
        <v/>
      </c>
      <c r="AC2612" s="15">
        <f>IF($AB2612="","",IF($AB2612="×",0,IF($AB2612="○",ROUNDDOWN($E2612*設定!$C$4,0),ROUNDDOWN($E2612*ROUND((9*$AA2612-9*$E2612)/(10*$E2612),4),0))))</f>
        <v/>
      </c>
      <c r="AD2612" s="13" t="n"/>
      <c r="AE2612" s="15">
        <f>IF($B2612="","",IF($AD2612&lt;&gt;"",$AD2612,IF($AC2612="","",IF($AC2612&lt;=設定!$C$3,0,$AC2612))))</f>
        <v/>
      </c>
      <c r="AF2612" s="14">
        <f>IF($B2612="","",IF(AND($AG2612&lt;&gt;"",$AI2612="",$AL2612=""),"保留中",IF($AL2612&lt;&gt;"",IF(N($AE2612)&gt;0,"支給済","不支給"),IF($AE2612="","要確認",IF($AE2612=0,"不支給","未処理")))))</f>
        <v/>
      </c>
      <c r="AG2612" s="12" t="n"/>
      <c r="AH2612" s="11" t="n"/>
      <c r="AI2612" s="11" t="n"/>
      <c r="AJ2612" s="11" t="n"/>
      <c r="AK2612" s="14">
        <f>IF(AND($AF2612="保留中",$AH2612&lt;&gt;""),TODAY()-$AH2612,"")</f>
        <v/>
      </c>
      <c r="AL2612" s="12" t="n"/>
      <c r="AM2612" s="14">
        <f>IF($B2612="","",IF($AQ2612="","対象年月が未入力／","")&amp;IF($B2612="","",IF($AP2612="","職員マスタに未登録の職員番号／",IF($AA2612="","標準報酬月額が未登録／","")&amp;IF(AND($AQ2612&lt;&gt;"",OR(AND(INDEX(職員マスタ!$G$6:$G$405,$AP2612)&lt;&gt;"",INDEX(職員マスタ!$G$6:$G$405,$AP2612)&gt;EOMONTH($AQ2612,0)),AND(INDEX(職員マスタ!$H$6:$H$405,$AP2612)&lt;&gt;"",INDEX(職員マスタ!$H$6:$H$405,$AP2612)&lt;$AQ2612))),"対象月が時短期間外／","")&amp;IF(AND(INDEX(職員マスタ!$K$6:$K$405,$AP2612)&lt;&gt;"",N($W2612)&gt;0,INDEX(職員マスタ!$K$6:$K$405,$AP2612)&lt;&gt;$W2612),"標準報酬月額が申請書と相違（台帳"&amp;TEXT(INDEX(職員マスタ!$K$6:$K$405,$AP2612),"#,##0")&amp;"円／申請書"&amp;TEXT($W2612,"#,##0")&amp;"円）／","")&amp;IF(AND(INDEX(職員マスタ!$F$6:$F$405,$AP2612)&lt;&gt;"",$AQ2612&lt;&gt;"",INDEX(職員マスタ!$F$6:$F$405,$AP2612)&lt;$AQ2612),"対象月に子が2歳到達済／","")&amp;IF(AND($H2612&lt;&gt;"",INDEX(職員マスタ!$B$6:$B$405,$AP2612)&lt;&gt;"",SUBSTITUTE(SUBSTITUTE($H2612," ","")," ","")&lt;&gt;SUBSTITUTE(SUBSTITUTE(INDEX(職員マスタ!$B$6:$B$405,$AP2612)," ","")," ","")),"氏名がマスタと相違／","")&amp;IF(AND($Q2612&lt;&gt;"",INDEX(職員マスタ!$E$6:$E$405,$AP2612)&lt;&gt;"",$Q2612&lt;&gt;INDEX(職員マスタ!$E$6:$E$405,$AP2612)),"子の生年月日がマスタと相違／","")&amp;IF(AND($L2612&lt;&gt;"",INDEX(職員マスタ!$G$6:$G$405,$AP2612)&lt;&gt;"",$L2612&lt;&gt;INDEX(職員マスタ!$G$6:$G$405,$AP2612)),"時短開始日がマスタと相違／","")&amp;IF(AND($M2612&lt;&gt;"",INDEX(職員マスタ!$H$6:$H$405,$AP2612)&lt;&gt;"",$M2612&lt;&gt;INDEX(職員マスタ!$H$6:$H$405,$AP2612)),"時短終了日がマスタと相違／","")))&amp;IF(AND($B2612&lt;&gt;"",$E2612=""),"報酬額が未入力／","")&amp;IF(N($U2612)&gt;0,"申請書に入力エラーが残っています／","")&amp;IF(AND($B2612&lt;&gt;"",$AQ2612&lt;&gt;""),IF(COUNTIFS($B$6:$B$3005,$B2612,$C$6:$C$3005,$C2612,$D$6:$D$3005,$D2612)&gt;1,"同じ月の請求が重複しています／",""),"")&amp;IF(AND(N($E2612)&gt;0,$AB2612&lt;&gt;"",$AB2612&lt;&gt;"×",$AE2612=0,$AD2612=""),"計算額が下限以下のため不支給／",""))</f>
        <v/>
      </c>
      <c r="AN2612" s="12" t="n"/>
      <c r="AO2612" s="14">
        <f>IF($AF2612="保留中",COUNTIF($AF$6:$AF2612,"保留中"),"")</f>
        <v/>
      </c>
      <c r="AP2612" s="14">
        <f>IF($AQ2612="","",IF(SUMPRODUCT(MAX((職員マスタ!$A$6:$A$405=$B2612)*(((職員マスタ!$G$6:$G$405="")+(職員マスタ!$G$6:$G$405&lt;=EOMONTH($AQ2612,0)))&gt;0)*(((職員マスタ!$H$6:$H$405="")+(職員マスタ!$H$6:$H$405&gt;=$AQ2612))&gt;0)*(ROW(職員マスタ!$A$6:$A$405)-5)))&gt;0,SUMPRODUCT(MAX((職員マスタ!$A$6:$A$405=$B2612)*(((職員マスタ!$G$6:$G$405="")+(職員マスタ!$G$6:$G$405&lt;=EOMONTH($AQ2612,0)))&gt;0)*(((職員マスタ!$H$6:$H$405="")+(職員マスタ!$H$6:$H$405&gt;=$AQ2612))&gt;0)*(ROW(職員マスタ!$A$6:$A$405)-5))),IFERROR(MATCH($B2612,職員マスタ!$A$6:$A$405,0),"")))</f>
        <v/>
      </c>
      <c r="AQ2612" s="16">
        <f>IF(OR($B2612="",$C2612="",$D2612=""),"",DATE($C2612+2018,$D2612,1))</f>
        <v/>
      </c>
    </row>
    <row r="2613">
      <c r="A2613" s="11" t="n"/>
      <c r="B2613" s="12" t="n"/>
      <c r="C2613" s="12" t="n"/>
      <c r="D2613" s="12" t="n"/>
      <c r="E2613" s="13" t="n"/>
      <c r="F2613" s="12" t="n"/>
      <c r="G2613" s="13" t="n"/>
      <c r="H2613" s="12" t="n"/>
      <c r="I2613" s="12" t="n"/>
      <c r="J2613" s="12" t="n"/>
      <c r="K2613" s="12" t="n"/>
      <c r="L2613" s="11" t="n"/>
      <c r="M2613" s="11" t="n"/>
      <c r="N2613" s="11" t="n"/>
      <c r="O2613" s="11" t="n"/>
      <c r="P2613" s="12" t="n"/>
      <c r="Q2613" s="11" t="n"/>
      <c r="R2613" s="12" t="n"/>
      <c r="S2613" s="11" t="n"/>
      <c r="T2613" s="12" t="n"/>
      <c r="U2613" s="12" t="n"/>
      <c r="V2613" s="12" t="n"/>
      <c r="W2613" s="13" t="n"/>
      <c r="X2613" s="14">
        <f>IF($AP2613="",IF($B2613="","",$H2613),IF(INDEX(職員マスタ!$B$6:$B$405,$AP2613)="",$H2613,INDEX(職員マスタ!$B$6:$B$405,$AP2613)))</f>
        <v/>
      </c>
      <c r="Y2613" s="14">
        <f>IF($AP2613="",IF($B2613="","",$R2613),IF(INDEX(職員マスタ!$C$6:$C$405,$AP2613)="",$R2613,INDEX(職員マスタ!$C$6:$C$405,$AP2613)))</f>
        <v/>
      </c>
      <c r="Z2613" s="14">
        <f>IF($AQ2613="","","R"&amp;$C2613&amp;"."&amp;$D2613)</f>
        <v/>
      </c>
      <c r="AA2613" s="15">
        <f>IF(IF($AP2613="",FALSE,INDEX(職員マスタ!$K$6:$K$405,$AP2613)&lt;&gt;""),INDEX(職員マスタ!$K$6:$K$405,$AP2613),IF(N($W2613)&gt;0,$W2613,""))</f>
        <v/>
      </c>
      <c r="AB2613" s="14">
        <f>IF(OR($E2613="",$AA2613=""),"",IF($E2613&gt;=$AA2613,"×",IF($E2613&gt;=$AA2613*設定!$C$5,"△","○")))</f>
        <v/>
      </c>
      <c r="AC2613" s="15">
        <f>IF($AB2613="","",IF($AB2613="×",0,IF($AB2613="○",ROUNDDOWN($E2613*設定!$C$4,0),ROUNDDOWN($E2613*ROUND((9*$AA2613-9*$E2613)/(10*$E2613),4),0))))</f>
        <v/>
      </c>
      <c r="AD2613" s="13" t="n"/>
      <c r="AE2613" s="15">
        <f>IF($B2613="","",IF($AD2613&lt;&gt;"",$AD2613,IF($AC2613="","",IF($AC2613&lt;=設定!$C$3,0,$AC2613))))</f>
        <v/>
      </c>
      <c r="AF2613" s="14">
        <f>IF($B2613="","",IF(AND($AG2613&lt;&gt;"",$AI2613="",$AL2613=""),"保留中",IF($AL2613&lt;&gt;"",IF(N($AE2613)&gt;0,"支給済","不支給"),IF($AE2613="","要確認",IF($AE2613=0,"不支給","未処理")))))</f>
        <v/>
      </c>
      <c r="AG2613" s="12" t="n"/>
      <c r="AH2613" s="11" t="n"/>
      <c r="AI2613" s="11" t="n"/>
      <c r="AJ2613" s="11" t="n"/>
      <c r="AK2613" s="14">
        <f>IF(AND($AF2613="保留中",$AH2613&lt;&gt;""),TODAY()-$AH2613,"")</f>
        <v/>
      </c>
      <c r="AL2613" s="12" t="n"/>
      <c r="AM2613" s="14">
        <f>IF($B2613="","",IF($AQ2613="","対象年月が未入力／","")&amp;IF($B2613="","",IF($AP2613="","職員マスタに未登録の職員番号／",IF($AA2613="","標準報酬月額が未登録／","")&amp;IF(AND($AQ2613&lt;&gt;"",OR(AND(INDEX(職員マスタ!$G$6:$G$405,$AP2613)&lt;&gt;"",INDEX(職員マスタ!$G$6:$G$405,$AP2613)&gt;EOMONTH($AQ2613,0)),AND(INDEX(職員マスタ!$H$6:$H$405,$AP2613)&lt;&gt;"",INDEX(職員マスタ!$H$6:$H$405,$AP2613)&lt;$AQ2613))),"対象月が時短期間外／","")&amp;IF(AND(INDEX(職員マスタ!$K$6:$K$405,$AP2613)&lt;&gt;"",N($W2613)&gt;0,INDEX(職員マスタ!$K$6:$K$405,$AP2613)&lt;&gt;$W2613),"標準報酬月額が申請書と相違（台帳"&amp;TEXT(INDEX(職員マスタ!$K$6:$K$405,$AP2613),"#,##0")&amp;"円／申請書"&amp;TEXT($W2613,"#,##0")&amp;"円）／","")&amp;IF(AND(INDEX(職員マスタ!$F$6:$F$405,$AP2613)&lt;&gt;"",$AQ2613&lt;&gt;"",INDEX(職員マスタ!$F$6:$F$405,$AP2613)&lt;$AQ2613),"対象月に子が2歳到達済／","")&amp;IF(AND($H2613&lt;&gt;"",INDEX(職員マスタ!$B$6:$B$405,$AP2613)&lt;&gt;"",SUBSTITUTE(SUBSTITUTE($H2613," ","")," ","")&lt;&gt;SUBSTITUTE(SUBSTITUTE(INDEX(職員マスタ!$B$6:$B$405,$AP2613)," ","")," ","")),"氏名がマスタと相違／","")&amp;IF(AND($Q2613&lt;&gt;"",INDEX(職員マスタ!$E$6:$E$405,$AP2613)&lt;&gt;"",$Q2613&lt;&gt;INDEX(職員マスタ!$E$6:$E$405,$AP2613)),"子の生年月日がマスタと相違／","")&amp;IF(AND($L2613&lt;&gt;"",INDEX(職員マスタ!$G$6:$G$405,$AP2613)&lt;&gt;"",$L2613&lt;&gt;INDEX(職員マスタ!$G$6:$G$405,$AP2613)),"時短開始日がマスタと相違／","")&amp;IF(AND($M2613&lt;&gt;"",INDEX(職員マスタ!$H$6:$H$405,$AP2613)&lt;&gt;"",$M2613&lt;&gt;INDEX(職員マスタ!$H$6:$H$405,$AP2613)),"時短終了日がマスタと相違／","")))&amp;IF(AND($B2613&lt;&gt;"",$E2613=""),"報酬額が未入力／","")&amp;IF(N($U2613)&gt;0,"申請書に入力エラーが残っています／","")&amp;IF(AND($B2613&lt;&gt;"",$AQ2613&lt;&gt;""),IF(COUNTIFS($B$6:$B$3005,$B2613,$C$6:$C$3005,$C2613,$D$6:$D$3005,$D2613)&gt;1,"同じ月の請求が重複しています／",""),"")&amp;IF(AND(N($E2613)&gt;0,$AB2613&lt;&gt;"",$AB2613&lt;&gt;"×",$AE2613=0,$AD2613=""),"計算額が下限以下のため不支給／",""))</f>
        <v/>
      </c>
      <c r="AN2613" s="12" t="n"/>
      <c r="AO2613" s="14">
        <f>IF($AF2613="保留中",COUNTIF($AF$6:$AF2613,"保留中"),"")</f>
        <v/>
      </c>
      <c r="AP2613" s="14">
        <f>IF($AQ2613="","",IF(SUMPRODUCT(MAX((職員マスタ!$A$6:$A$405=$B2613)*(((職員マスタ!$G$6:$G$405="")+(職員マスタ!$G$6:$G$405&lt;=EOMONTH($AQ2613,0)))&gt;0)*(((職員マスタ!$H$6:$H$405="")+(職員マスタ!$H$6:$H$405&gt;=$AQ2613))&gt;0)*(ROW(職員マスタ!$A$6:$A$405)-5)))&gt;0,SUMPRODUCT(MAX((職員マスタ!$A$6:$A$405=$B2613)*(((職員マスタ!$G$6:$G$405="")+(職員マスタ!$G$6:$G$405&lt;=EOMONTH($AQ2613,0)))&gt;0)*(((職員マスタ!$H$6:$H$405="")+(職員マスタ!$H$6:$H$405&gt;=$AQ2613))&gt;0)*(ROW(職員マスタ!$A$6:$A$405)-5))),IFERROR(MATCH($B2613,職員マスタ!$A$6:$A$405,0),"")))</f>
        <v/>
      </c>
      <c r="AQ2613" s="16">
        <f>IF(OR($B2613="",$C2613="",$D2613=""),"",DATE($C2613+2018,$D2613,1))</f>
        <v/>
      </c>
    </row>
    <row r="2614">
      <c r="A2614" s="11" t="n"/>
      <c r="B2614" s="12" t="n"/>
      <c r="C2614" s="12" t="n"/>
      <c r="D2614" s="12" t="n"/>
      <c r="E2614" s="13" t="n"/>
      <c r="F2614" s="12" t="n"/>
      <c r="G2614" s="13" t="n"/>
      <c r="H2614" s="12" t="n"/>
      <c r="I2614" s="12" t="n"/>
      <c r="J2614" s="12" t="n"/>
      <c r="K2614" s="12" t="n"/>
      <c r="L2614" s="11" t="n"/>
      <c r="M2614" s="11" t="n"/>
      <c r="N2614" s="11" t="n"/>
      <c r="O2614" s="11" t="n"/>
      <c r="P2614" s="12" t="n"/>
      <c r="Q2614" s="11" t="n"/>
      <c r="R2614" s="12" t="n"/>
      <c r="S2614" s="11" t="n"/>
      <c r="T2614" s="12" t="n"/>
      <c r="U2614" s="12" t="n"/>
      <c r="V2614" s="12" t="n"/>
      <c r="W2614" s="13" t="n"/>
      <c r="X2614" s="14">
        <f>IF($AP2614="",IF($B2614="","",$H2614),IF(INDEX(職員マスタ!$B$6:$B$405,$AP2614)="",$H2614,INDEX(職員マスタ!$B$6:$B$405,$AP2614)))</f>
        <v/>
      </c>
      <c r="Y2614" s="14">
        <f>IF($AP2614="",IF($B2614="","",$R2614),IF(INDEX(職員マスタ!$C$6:$C$405,$AP2614)="",$R2614,INDEX(職員マスタ!$C$6:$C$405,$AP2614)))</f>
        <v/>
      </c>
      <c r="Z2614" s="14">
        <f>IF($AQ2614="","","R"&amp;$C2614&amp;"."&amp;$D2614)</f>
        <v/>
      </c>
      <c r="AA2614" s="15">
        <f>IF(IF($AP2614="",FALSE,INDEX(職員マスタ!$K$6:$K$405,$AP2614)&lt;&gt;""),INDEX(職員マスタ!$K$6:$K$405,$AP2614),IF(N($W2614)&gt;0,$W2614,""))</f>
        <v/>
      </c>
      <c r="AB2614" s="14">
        <f>IF(OR($E2614="",$AA2614=""),"",IF($E2614&gt;=$AA2614,"×",IF($E2614&gt;=$AA2614*設定!$C$5,"△","○")))</f>
        <v/>
      </c>
      <c r="AC2614" s="15">
        <f>IF($AB2614="","",IF($AB2614="×",0,IF($AB2614="○",ROUNDDOWN($E2614*設定!$C$4,0),ROUNDDOWN($E2614*ROUND((9*$AA2614-9*$E2614)/(10*$E2614),4),0))))</f>
        <v/>
      </c>
      <c r="AD2614" s="13" t="n"/>
      <c r="AE2614" s="15">
        <f>IF($B2614="","",IF($AD2614&lt;&gt;"",$AD2614,IF($AC2614="","",IF($AC2614&lt;=設定!$C$3,0,$AC2614))))</f>
        <v/>
      </c>
      <c r="AF2614" s="14">
        <f>IF($B2614="","",IF(AND($AG2614&lt;&gt;"",$AI2614="",$AL2614=""),"保留中",IF($AL2614&lt;&gt;"",IF(N($AE2614)&gt;0,"支給済","不支給"),IF($AE2614="","要確認",IF($AE2614=0,"不支給","未処理")))))</f>
        <v/>
      </c>
      <c r="AG2614" s="12" t="n"/>
      <c r="AH2614" s="11" t="n"/>
      <c r="AI2614" s="11" t="n"/>
      <c r="AJ2614" s="11" t="n"/>
      <c r="AK2614" s="14">
        <f>IF(AND($AF2614="保留中",$AH2614&lt;&gt;""),TODAY()-$AH2614,"")</f>
        <v/>
      </c>
      <c r="AL2614" s="12" t="n"/>
      <c r="AM2614" s="14">
        <f>IF($B2614="","",IF($AQ2614="","対象年月が未入力／","")&amp;IF($B2614="","",IF($AP2614="","職員マスタに未登録の職員番号／",IF($AA2614="","標準報酬月額が未登録／","")&amp;IF(AND($AQ2614&lt;&gt;"",OR(AND(INDEX(職員マスタ!$G$6:$G$405,$AP2614)&lt;&gt;"",INDEX(職員マスタ!$G$6:$G$405,$AP2614)&gt;EOMONTH($AQ2614,0)),AND(INDEX(職員マスタ!$H$6:$H$405,$AP2614)&lt;&gt;"",INDEX(職員マスタ!$H$6:$H$405,$AP2614)&lt;$AQ2614))),"対象月が時短期間外／","")&amp;IF(AND(INDEX(職員マスタ!$K$6:$K$405,$AP2614)&lt;&gt;"",N($W2614)&gt;0,INDEX(職員マスタ!$K$6:$K$405,$AP2614)&lt;&gt;$W2614),"標準報酬月額が申請書と相違（台帳"&amp;TEXT(INDEX(職員マスタ!$K$6:$K$405,$AP2614),"#,##0")&amp;"円／申請書"&amp;TEXT($W2614,"#,##0")&amp;"円）／","")&amp;IF(AND(INDEX(職員マスタ!$F$6:$F$405,$AP2614)&lt;&gt;"",$AQ2614&lt;&gt;"",INDEX(職員マスタ!$F$6:$F$405,$AP2614)&lt;$AQ2614),"対象月に子が2歳到達済／","")&amp;IF(AND($H2614&lt;&gt;"",INDEX(職員マスタ!$B$6:$B$405,$AP2614)&lt;&gt;"",SUBSTITUTE(SUBSTITUTE($H2614," ","")," ","")&lt;&gt;SUBSTITUTE(SUBSTITUTE(INDEX(職員マスタ!$B$6:$B$405,$AP2614)," ","")," ","")),"氏名がマスタと相違／","")&amp;IF(AND($Q2614&lt;&gt;"",INDEX(職員マスタ!$E$6:$E$405,$AP2614)&lt;&gt;"",$Q2614&lt;&gt;INDEX(職員マスタ!$E$6:$E$405,$AP2614)),"子の生年月日がマスタと相違／","")&amp;IF(AND($L2614&lt;&gt;"",INDEX(職員マスタ!$G$6:$G$405,$AP2614)&lt;&gt;"",$L2614&lt;&gt;INDEX(職員マスタ!$G$6:$G$405,$AP2614)),"時短開始日がマスタと相違／","")&amp;IF(AND($M2614&lt;&gt;"",INDEX(職員マスタ!$H$6:$H$405,$AP2614)&lt;&gt;"",$M2614&lt;&gt;INDEX(職員マスタ!$H$6:$H$405,$AP2614)),"時短終了日がマスタと相違／","")))&amp;IF(AND($B2614&lt;&gt;"",$E2614=""),"報酬額が未入力／","")&amp;IF(N($U2614)&gt;0,"申請書に入力エラーが残っています／","")&amp;IF(AND($B2614&lt;&gt;"",$AQ2614&lt;&gt;""),IF(COUNTIFS($B$6:$B$3005,$B2614,$C$6:$C$3005,$C2614,$D$6:$D$3005,$D2614)&gt;1,"同じ月の請求が重複しています／",""),"")&amp;IF(AND(N($E2614)&gt;0,$AB2614&lt;&gt;"",$AB2614&lt;&gt;"×",$AE2614=0,$AD2614=""),"計算額が下限以下のため不支給／",""))</f>
        <v/>
      </c>
      <c r="AN2614" s="12" t="n"/>
      <c r="AO2614" s="14">
        <f>IF($AF2614="保留中",COUNTIF($AF$6:$AF2614,"保留中"),"")</f>
        <v/>
      </c>
      <c r="AP2614" s="14">
        <f>IF($AQ2614="","",IF(SUMPRODUCT(MAX((職員マスタ!$A$6:$A$405=$B2614)*(((職員マスタ!$G$6:$G$405="")+(職員マスタ!$G$6:$G$405&lt;=EOMONTH($AQ2614,0)))&gt;0)*(((職員マスタ!$H$6:$H$405="")+(職員マスタ!$H$6:$H$405&gt;=$AQ2614))&gt;0)*(ROW(職員マスタ!$A$6:$A$405)-5)))&gt;0,SUMPRODUCT(MAX((職員マスタ!$A$6:$A$405=$B2614)*(((職員マスタ!$G$6:$G$405="")+(職員マスタ!$G$6:$G$405&lt;=EOMONTH($AQ2614,0)))&gt;0)*(((職員マスタ!$H$6:$H$405="")+(職員マスタ!$H$6:$H$405&gt;=$AQ2614))&gt;0)*(ROW(職員マスタ!$A$6:$A$405)-5))),IFERROR(MATCH($B2614,職員マスタ!$A$6:$A$405,0),"")))</f>
        <v/>
      </c>
      <c r="AQ2614" s="16">
        <f>IF(OR($B2614="",$C2614="",$D2614=""),"",DATE($C2614+2018,$D2614,1))</f>
        <v/>
      </c>
    </row>
    <row r="2615">
      <c r="A2615" s="11" t="n"/>
      <c r="B2615" s="12" t="n"/>
      <c r="C2615" s="12" t="n"/>
      <c r="D2615" s="12" t="n"/>
      <c r="E2615" s="13" t="n"/>
      <c r="F2615" s="12" t="n"/>
      <c r="G2615" s="13" t="n"/>
      <c r="H2615" s="12" t="n"/>
      <c r="I2615" s="12" t="n"/>
      <c r="J2615" s="12" t="n"/>
      <c r="K2615" s="12" t="n"/>
      <c r="L2615" s="11" t="n"/>
      <c r="M2615" s="11" t="n"/>
      <c r="N2615" s="11" t="n"/>
      <c r="O2615" s="11" t="n"/>
      <c r="P2615" s="12" t="n"/>
      <c r="Q2615" s="11" t="n"/>
      <c r="R2615" s="12" t="n"/>
      <c r="S2615" s="11" t="n"/>
      <c r="T2615" s="12" t="n"/>
      <c r="U2615" s="12" t="n"/>
      <c r="V2615" s="12" t="n"/>
      <c r="W2615" s="13" t="n"/>
      <c r="X2615" s="14">
        <f>IF($AP2615="",IF($B2615="","",$H2615),IF(INDEX(職員マスタ!$B$6:$B$405,$AP2615)="",$H2615,INDEX(職員マスタ!$B$6:$B$405,$AP2615)))</f>
        <v/>
      </c>
      <c r="Y2615" s="14">
        <f>IF($AP2615="",IF($B2615="","",$R2615),IF(INDEX(職員マスタ!$C$6:$C$405,$AP2615)="",$R2615,INDEX(職員マスタ!$C$6:$C$405,$AP2615)))</f>
        <v/>
      </c>
      <c r="Z2615" s="14">
        <f>IF($AQ2615="","","R"&amp;$C2615&amp;"."&amp;$D2615)</f>
        <v/>
      </c>
      <c r="AA2615" s="15">
        <f>IF(IF($AP2615="",FALSE,INDEX(職員マスタ!$K$6:$K$405,$AP2615)&lt;&gt;""),INDEX(職員マスタ!$K$6:$K$405,$AP2615),IF(N($W2615)&gt;0,$W2615,""))</f>
        <v/>
      </c>
      <c r="AB2615" s="14">
        <f>IF(OR($E2615="",$AA2615=""),"",IF($E2615&gt;=$AA2615,"×",IF($E2615&gt;=$AA2615*設定!$C$5,"△","○")))</f>
        <v/>
      </c>
      <c r="AC2615" s="15">
        <f>IF($AB2615="","",IF($AB2615="×",0,IF($AB2615="○",ROUNDDOWN($E2615*設定!$C$4,0),ROUNDDOWN($E2615*ROUND((9*$AA2615-9*$E2615)/(10*$E2615),4),0))))</f>
        <v/>
      </c>
      <c r="AD2615" s="13" t="n"/>
      <c r="AE2615" s="15">
        <f>IF($B2615="","",IF($AD2615&lt;&gt;"",$AD2615,IF($AC2615="","",IF($AC2615&lt;=設定!$C$3,0,$AC2615))))</f>
        <v/>
      </c>
      <c r="AF2615" s="14">
        <f>IF($B2615="","",IF(AND($AG2615&lt;&gt;"",$AI2615="",$AL2615=""),"保留中",IF($AL2615&lt;&gt;"",IF(N($AE2615)&gt;0,"支給済","不支給"),IF($AE2615="","要確認",IF($AE2615=0,"不支給","未処理")))))</f>
        <v/>
      </c>
      <c r="AG2615" s="12" t="n"/>
      <c r="AH2615" s="11" t="n"/>
      <c r="AI2615" s="11" t="n"/>
      <c r="AJ2615" s="11" t="n"/>
      <c r="AK2615" s="14">
        <f>IF(AND($AF2615="保留中",$AH2615&lt;&gt;""),TODAY()-$AH2615,"")</f>
        <v/>
      </c>
      <c r="AL2615" s="12" t="n"/>
      <c r="AM2615" s="14">
        <f>IF($B2615="","",IF($AQ2615="","対象年月が未入力／","")&amp;IF($B2615="","",IF($AP2615="","職員マスタに未登録の職員番号／",IF($AA2615="","標準報酬月額が未登録／","")&amp;IF(AND($AQ2615&lt;&gt;"",OR(AND(INDEX(職員マスタ!$G$6:$G$405,$AP2615)&lt;&gt;"",INDEX(職員マスタ!$G$6:$G$405,$AP2615)&gt;EOMONTH($AQ2615,0)),AND(INDEX(職員マスタ!$H$6:$H$405,$AP2615)&lt;&gt;"",INDEX(職員マスタ!$H$6:$H$405,$AP2615)&lt;$AQ2615))),"対象月が時短期間外／","")&amp;IF(AND(INDEX(職員マスタ!$K$6:$K$405,$AP2615)&lt;&gt;"",N($W2615)&gt;0,INDEX(職員マスタ!$K$6:$K$405,$AP2615)&lt;&gt;$W2615),"標準報酬月額が申請書と相違（台帳"&amp;TEXT(INDEX(職員マスタ!$K$6:$K$405,$AP2615),"#,##0")&amp;"円／申請書"&amp;TEXT($W2615,"#,##0")&amp;"円）／","")&amp;IF(AND(INDEX(職員マスタ!$F$6:$F$405,$AP2615)&lt;&gt;"",$AQ2615&lt;&gt;"",INDEX(職員マスタ!$F$6:$F$405,$AP2615)&lt;$AQ2615),"対象月に子が2歳到達済／","")&amp;IF(AND($H2615&lt;&gt;"",INDEX(職員マスタ!$B$6:$B$405,$AP2615)&lt;&gt;"",SUBSTITUTE(SUBSTITUTE($H2615," ","")," ","")&lt;&gt;SUBSTITUTE(SUBSTITUTE(INDEX(職員マスタ!$B$6:$B$405,$AP2615)," ","")," ","")),"氏名がマスタと相違／","")&amp;IF(AND($Q2615&lt;&gt;"",INDEX(職員マスタ!$E$6:$E$405,$AP2615)&lt;&gt;"",$Q2615&lt;&gt;INDEX(職員マスタ!$E$6:$E$405,$AP2615)),"子の生年月日がマスタと相違／","")&amp;IF(AND($L2615&lt;&gt;"",INDEX(職員マスタ!$G$6:$G$405,$AP2615)&lt;&gt;"",$L2615&lt;&gt;INDEX(職員マスタ!$G$6:$G$405,$AP2615)),"時短開始日がマスタと相違／","")&amp;IF(AND($M2615&lt;&gt;"",INDEX(職員マスタ!$H$6:$H$405,$AP2615)&lt;&gt;"",$M2615&lt;&gt;INDEX(職員マスタ!$H$6:$H$405,$AP2615)),"時短終了日がマスタと相違／","")))&amp;IF(AND($B2615&lt;&gt;"",$E2615=""),"報酬額が未入力／","")&amp;IF(N($U2615)&gt;0,"申請書に入力エラーが残っています／","")&amp;IF(AND($B2615&lt;&gt;"",$AQ2615&lt;&gt;""),IF(COUNTIFS($B$6:$B$3005,$B2615,$C$6:$C$3005,$C2615,$D$6:$D$3005,$D2615)&gt;1,"同じ月の請求が重複しています／",""),"")&amp;IF(AND(N($E2615)&gt;0,$AB2615&lt;&gt;"",$AB2615&lt;&gt;"×",$AE2615=0,$AD2615=""),"計算額が下限以下のため不支給／",""))</f>
        <v/>
      </c>
      <c r="AN2615" s="12" t="n"/>
      <c r="AO2615" s="14">
        <f>IF($AF2615="保留中",COUNTIF($AF$6:$AF2615,"保留中"),"")</f>
        <v/>
      </c>
      <c r="AP2615" s="14">
        <f>IF($AQ2615="","",IF(SUMPRODUCT(MAX((職員マスタ!$A$6:$A$405=$B2615)*(((職員マスタ!$G$6:$G$405="")+(職員マスタ!$G$6:$G$405&lt;=EOMONTH($AQ2615,0)))&gt;0)*(((職員マスタ!$H$6:$H$405="")+(職員マスタ!$H$6:$H$405&gt;=$AQ2615))&gt;0)*(ROW(職員マスタ!$A$6:$A$405)-5)))&gt;0,SUMPRODUCT(MAX((職員マスタ!$A$6:$A$405=$B2615)*(((職員マスタ!$G$6:$G$405="")+(職員マスタ!$G$6:$G$405&lt;=EOMONTH($AQ2615,0)))&gt;0)*(((職員マスタ!$H$6:$H$405="")+(職員マスタ!$H$6:$H$405&gt;=$AQ2615))&gt;0)*(ROW(職員マスタ!$A$6:$A$405)-5))),IFERROR(MATCH($B2615,職員マスタ!$A$6:$A$405,0),"")))</f>
        <v/>
      </c>
      <c r="AQ2615" s="16">
        <f>IF(OR($B2615="",$C2615="",$D2615=""),"",DATE($C2615+2018,$D2615,1))</f>
        <v/>
      </c>
    </row>
    <row r="2616">
      <c r="A2616" s="11" t="n"/>
      <c r="B2616" s="12" t="n"/>
      <c r="C2616" s="12" t="n"/>
      <c r="D2616" s="12" t="n"/>
      <c r="E2616" s="13" t="n"/>
      <c r="F2616" s="12" t="n"/>
      <c r="G2616" s="13" t="n"/>
      <c r="H2616" s="12" t="n"/>
      <c r="I2616" s="12" t="n"/>
      <c r="J2616" s="12" t="n"/>
      <c r="K2616" s="12" t="n"/>
      <c r="L2616" s="11" t="n"/>
      <c r="M2616" s="11" t="n"/>
      <c r="N2616" s="11" t="n"/>
      <c r="O2616" s="11" t="n"/>
      <c r="P2616" s="12" t="n"/>
      <c r="Q2616" s="11" t="n"/>
      <c r="R2616" s="12" t="n"/>
      <c r="S2616" s="11" t="n"/>
      <c r="T2616" s="12" t="n"/>
      <c r="U2616" s="12" t="n"/>
      <c r="V2616" s="12" t="n"/>
      <c r="W2616" s="13" t="n"/>
      <c r="X2616" s="14">
        <f>IF($AP2616="",IF($B2616="","",$H2616),IF(INDEX(職員マスタ!$B$6:$B$405,$AP2616)="",$H2616,INDEX(職員マスタ!$B$6:$B$405,$AP2616)))</f>
        <v/>
      </c>
      <c r="Y2616" s="14">
        <f>IF($AP2616="",IF($B2616="","",$R2616),IF(INDEX(職員マスタ!$C$6:$C$405,$AP2616)="",$R2616,INDEX(職員マスタ!$C$6:$C$405,$AP2616)))</f>
        <v/>
      </c>
      <c r="Z2616" s="14">
        <f>IF($AQ2616="","","R"&amp;$C2616&amp;"."&amp;$D2616)</f>
        <v/>
      </c>
      <c r="AA2616" s="15">
        <f>IF(IF($AP2616="",FALSE,INDEX(職員マスタ!$K$6:$K$405,$AP2616)&lt;&gt;""),INDEX(職員マスタ!$K$6:$K$405,$AP2616),IF(N($W2616)&gt;0,$W2616,""))</f>
        <v/>
      </c>
      <c r="AB2616" s="14">
        <f>IF(OR($E2616="",$AA2616=""),"",IF($E2616&gt;=$AA2616,"×",IF($E2616&gt;=$AA2616*設定!$C$5,"△","○")))</f>
        <v/>
      </c>
      <c r="AC2616" s="15">
        <f>IF($AB2616="","",IF($AB2616="×",0,IF($AB2616="○",ROUNDDOWN($E2616*設定!$C$4,0),ROUNDDOWN($E2616*ROUND((9*$AA2616-9*$E2616)/(10*$E2616),4),0))))</f>
        <v/>
      </c>
      <c r="AD2616" s="13" t="n"/>
      <c r="AE2616" s="15">
        <f>IF($B2616="","",IF($AD2616&lt;&gt;"",$AD2616,IF($AC2616="","",IF($AC2616&lt;=設定!$C$3,0,$AC2616))))</f>
        <v/>
      </c>
      <c r="AF2616" s="14">
        <f>IF($B2616="","",IF(AND($AG2616&lt;&gt;"",$AI2616="",$AL2616=""),"保留中",IF($AL2616&lt;&gt;"",IF(N($AE2616)&gt;0,"支給済","不支給"),IF($AE2616="","要確認",IF($AE2616=0,"不支給","未処理")))))</f>
        <v/>
      </c>
      <c r="AG2616" s="12" t="n"/>
      <c r="AH2616" s="11" t="n"/>
      <c r="AI2616" s="11" t="n"/>
      <c r="AJ2616" s="11" t="n"/>
      <c r="AK2616" s="14">
        <f>IF(AND($AF2616="保留中",$AH2616&lt;&gt;""),TODAY()-$AH2616,"")</f>
        <v/>
      </c>
      <c r="AL2616" s="12" t="n"/>
      <c r="AM2616" s="14">
        <f>IF($B2616="","",IF($AQ2616="","対象年月が未入力／","")&amp;IF($B2616="","",IF($AP2616="","職員マスタに未登録の職員番号／",IF($AA2616="","標準報酬月額が未登録／","")&amp;IF(AND($AQ2616&lt;&gt;"",OR(AND(INDEX(職員マスタ!$G$6:$G$405,$AP2616)&lt;&gt;"",INDEX(職員マスタ!$G$6:$G$405,$AP2616)&gt;EOMONTH($AQ2616,0)),AND(INDEX(職員マスタ!$H$6:$H$405,$AP2616)&lt;&gt;"",INDEX(職員マスタ!$H$6:$H$405,$AP2616)&lt;$AQ2616))),"対象月が時短期間外／","")&amp;IF(AND(INDEX(職員マスタ!$K$6:$K$405,$AP2616)&lt;&gt;"",N($W2616)&gt;0,INDEX(職員マスタ!$K$6:$K$405,$AP2616)&lt;&gt;$W2616),"標準報酬月額が申請書と相違（台帳"&amp;TEXT(INDEX(職員マスタ!$K$6:$K$405,$AP2616),"#,##0")&amp;"円／申請書"&amp;TEXT($W2616,"#,##0")&amp;"円）／","")&amp;IF(AND(INDEX(職員マスタ!$F$6:$F$405,$AP2616)&lt;&gt;"",$AQ2616&lt;&gt;"",INDEX(職員マスタ!$F$6:$F$405,$AP2616)&lt;$AQ2616),"対象月に子が2歳到達済／","")&amp;IF(AND($H2616&lt;&gt;"",INDEX(職員マスタ!$B$6:$B$405,$AP2616)&lt;&gt;"",SUBSTITUTE(SUBSTITUTE($H2616," ","")," ","")&lt;&gt;SUBSTITUTE(SUBSTITUTE(INDEX(職員マスタ!$B$6:$B$405,$AP2616)," ","")," ","")),"氏名がマスタと相違／","")&amp;IF(AND($Q2616&lt;&gt;"",INDEX(職員マスタ!$E$6:$E$405,$AP2616)&lt;&gt;"",$Q2616&lt;&gt;INDEX(職員マスタ!$E$6:$E$405,$AP2616)),"子の生年月日がマスタと相違／","")&amp;IF(AND($L2616&lt;&gt;"",INDEX(職員マスタ!$G$6:$G$405,$AP2616)&lt;&gt;"",$L2616&lt;&gt;INDEX(職員マスタ!$G$6:$G$405,$AP2616)),"時短開始日がマスタと相違／","")&amp;IF(AND($M2616&lt;&gt;"",INDEX(職員マスタ!$H$6:$H$405,$AP2616)&lt;&gt;"",$M2616&lt;&gt;INDEX(職員マスタ!$H$6:$H$405,$AP2616)),"時短終了日がマスタと相違／","")))&amp;IF(AND($B2616&lt;&gt;"",$E2616=""),"報酬額が未入力／","")&amp;IF(N($U2616)&gt;0,"申請書に入力エラーが残っています／","")&amp;IF(AND($B2616&lt;&gt;"",$AQ2616&lt;&gt;""),IF(COUNTIFS($B$6:$B$3005,$B2616,$C$6:$C$3005,$C2616,$D$6:$D$3005,$D2616)&gt;1,"同じ月の請求が重複しています／",""),"")&amp;IF(AND(N($E2616)&gt;0,$AB2616&lt;&gt;"",$AB2616&lt;&gt;"×",$AE2616=0,$AD2616=""),"計算額が下限以下のため不支給／",""))</f>
        <v/>
      </c>
      <c r="AN2616" s="12" t="n"/>
      <c r="AO2616" s="14">
        <f>IF($AF2616="保留中",COUNTIF($AF$6:$AF2616,"保留中"),"")</f>
        <v/>
      </c>
      <c r="AP2616" s="14">
        <f>IF($AQ2616="","",IF(SUMPRODUCT(MAX((職員マスタ!$A$6:$A$405=$B2616)*(((職員マスタ!$G$6:$G$405="")+(職員マスタ!$G$6:$G$405&lt;=EOMONTH($AQ2616,0)))&gt;0)*(((職員マスタ!$H$6:$H$405="")+(職員マスタ!$H$6:$H$405&gt;=$AQ2616))&gt;0)*(ROW(職員マスタ!$A$6:$A$405)-5)))&gt;0,SUMPRODUCT(MAX((職員マスタ!$A$6:$A$405=$B2616)*(((職員マスタ!$G$6:$G$405="")+(職員マスタ!$G$6:$G$405&lt;=EOMONTH($AQ2616,0)))&gt;0)*(((職員マスタ!$H$6:$H$405="")+(職員マスタ!$H$6:$H$405&gt;=$AQ2616))&gt;0)*(ROW(職員マスタ!$A$6:$A$405)-5))),IFERROR(MATCH($B2616,職員マスタ!$A$6:$A$405,0),"")))</f>
        <v/>
      </c>
      <c r="AQ2616" s="16">
        <f>IF(OR($B2616="",$C2616="",$D2616=""),"",DATE($C2616+2018,$D2616,1))</f>
        <v/>
      </c>
    </row>
    <row r="2617">
      <c r="A2617" s="11" t="n"/>
      <c r="B2617" s="12" t="n"/>
      <c r="C2617" s="12" t="n"/>
      <c r="D2617" s="12" t="n"/>
      <c r="E2617" s="13" t="n"/>
      <c r="F2617" s="12" t="n"/>
      <c r="G2617" s="13" t="n"/>
      <c r="H2617" s="12" t="n"/>
      <c r="I2617" s="12" t="n"/>
      <c r="J2617" s="12" t="n"/>
      <c r="K2617" s="12" t="n"/>
      <c r="L2617" s="11" t="n"/>
      <c r="M2617" s="11" t="n"/>
      <c r="N2617" s="11" t="n"/>
      <c r="O2617" s="11" t="n"/>
      <c r="P2617" s="12" t="n"/>
      <c r="Q2617" s="11" t="n"/>
      <c r="R2617" s="12" t="n"/>
      <c r="S2617" s="11" t="n"/>
      <c r="T2617" s="12" t="n"/>
      <c r="U2617" s="12" t="n"/>
      <c r="V2617" s="12" t="n"/>
      <c r="W2617" s="13" t="n"/>
      <c r="X2617" s="14">
        <f>IF($AP2617="",IF($B2617="","",$H2617),IF(INDEX(職員マスタ!$B$6:$B$405,$AP2617)="",$H2617,INDEX(職員マスタ!$B$6:$B$405,$AP2617)))</f>
        <v/>
      </c>
      <c r="Y2617" s="14">
        <f>IF($AP2617="",IF($B2617="","",$R2617),IF(INDEX(職員マスタ!$C$6:$C$405,$AP2617)="",$R2617,INDEX(職員マスタ!$C$6:$C$405,$AP2617)))</f>
        <v/>
      </c>
      <c r="Z2617" s="14">
        <f>IF($AQ2617="","","R"&amp;$C2617&amp;"."&amp;$D2617)</f>
        <v/>
      </c>
      <c r="AA2617" s="15">
        <f>IF(IF($AP2617="",FALSE,INDEX(職員マスタ!$K$6:$K$405,$AP2617)&lt;&gt;""),INDEX(職員マスタ!$K$6:$K$405,$AP2617),IF(N($W2617)&gt;0,$W2617,""))</f>
        <v/>
      </c>
      <c r="AB2617" s="14">
        <f>IF(OR($E2617="",$AA2617=""),"",IF($E2617&gt;=$AA2617,"×",IF($E2617&gt;=$AA2617*設定!$C$5,"△","○")))</f>
        <v/>
      </c>
      <c r="AC2617" s="15">
        <f>IF($AB2617="","",IF($AB2617="×",0,IF($AB2617="○",ROUNDDOWN($E2617*設定!$C$4,0),ROUNDDOWN($E2617*ROUND((9*$AA2617-9*$E2617)/(10*$E2617),4),0))))</f>
        <v/>
      </c>
      <c r="AD2617" s="13" t="n"/>
      <c r="AE2617" s="15">
        <f>IF($B2617="","",IF($AD2617&lt;&gt;"",$AD2617,IF($AC2617="","",IF($AC2617&lt;=設定!$C$3,0,$AC2617))))</f>
        <v/>
      </c>
      <c r="AF2617" s="14">
        <f>IF($B2617="","",IF(AND($AG2617&lt;&gt;"",$AI2617="",$AL2617=""),"保留中",IF($AL2617&lt;&gt;"",IF(N($AE2617)&gt;0,"支給済","不支給"),IF($AE2617="","要確認",IF($AE2617=0,"不支給","未処理")))))</f>
        <v/>
      </c>
      <c r="AG2617" s="12" t="n"/>
      <c r="AH2617" s="11" t="n"/>
      <c r="AI2617" s="11" t="n"/>
      <c r="AJ2617" s="11" t="n"/>
      <c r="AK2617" s="14">
        <f>IF(AND($AF2617="保留中",$AH2617&lt;&gt;""),TODAY()-$AH2617,"")</f>
        <v/>
      </c>
      <c r="AL2617" s="12" t="n"/>
      <c r="AM2617" s="14">
        <f>IF($B2617="","",IF($AQ2617="","対象年月が未入力／","")&amp;IF($B2617="","",IF($AP2617="","職員マスタに未登録の職員番号／",IF($AA2617="","標準報酬月額が未登録／","")&amp;IF(AND($AQ2617&lt;&gt;"",OR(AND(INDEX(職員マスタ!$G$6:$G$405,$AP2617)&lt;&gt;"",INDEX(職員マスタ!$G$6:$G$405,$AP2617)&gt;EOMONTH($AQ2617,0)),AND(INDEX(職員マスタ!$H$6:$H$405,$AP2617)&lt;&gt;"",INDEX(職員マスタ!$H$6:$H$405,$AP2617)&lt;$AQ2617))),"対象月が時短期間外／","")&amp;IF(AND(INDEX(職員マスタ!$K$6:$K$405,$AP2617)&lt;&gt;"",N($W2617)&gt;0,INDEX(職員マスタ!$K$6:$K$405,$AP2617)&lt;&gt;$W2617),"標準報酬月額が申請書と相違（台帳"&amp;TEXT(INDEX(職員マスタ!$K$6:$K$405,$AP2617),"#,##0")&amp;"円／申請書"&amp;TEXT($W2617,"#,##0")&amp;"円）／","")&amp;IF(AND(INDEX(職員マスタ!$F$6:$F$405,$AP2617)&lt;&gt;"",$AQ2617&lt;&gt;"",INDEX(職員マスタ!$F$6:$F$405,$AP2617)&lt;$AQ2617),"対象月に子が2歳到達済／","")&amp;IF(AND($H2617&lt;&gt;"",INDEX(職員マスタ!$B$6:$B$405,$AP2617)&lt;&gt;"",SUBSTITUTE(SUBSTITUTE($H2617," ","")," ","")&lt;&gt;SUBSTITUTE(SUBSTITUTE(INDEX(職員マスタ!$B$6:$B$405,$AP2617)," ","")," ","")),"氏名がマスタと相違／","")&amp;IF(AND($Q2617&lt;&gt;"",INDEX(職員マスタ!$E$6:$E$405,$AP2617)&lt;&gt;"",$Q2617&lt;&gt;INDEX(職員マスタ!$E$6:$E$405,$AP2617)),"子の生年月日がマスタと相違／","")&amp;IF(AND($L2617&lt;&gt;"",INDEX(職員マスタ!$G$6:$G$405,$AP2617)&lt;&gt;"",$L2617&lt;&gt;INDEX(職員マスタ!$G$6:$G$405,$AP2617)),"時短開始日がマスタと相違／","")&amp;IF(AND($M2617&lt;&gt;"",INDEX(職員マスタ!$H$6:$H$405,$AP2617)&lt;&gt;"",$M2617&lt;&gt;INDEX(職員マスタ!$H$6:$H$405,$AP2617)),"時短終了日がマスタと相違／","")))&amp;IF(AND($B2617&lt;&gt;"",$E2617=""),"報酬額が未入力／","")&amp;IF(N($U2617)&gt;0,"申請書に入力エラーが残っています／","")&amp;IF(AND($B2617&lt;&gt;"",$AQ2617&lt;&gt;""),IF(COUNTIFS($B$6:$B$3005,$B2617,$C$6:$C$3005,$C2617,$D$6:$D$3005,$D2617)&gt;1,"同じ月の請求が重複しています／",""),"")&amp;IF(AND(N($E2617)&gt;0,$AB2617&lt;&gt;"",$AB2617&lt;&gt;"×",$AE2617=0,$AD2617=""),"計算額が下限以下のため不支給／",""))</f>
        <v/>
      </c>
      <c r="AN2617" s="12" t="n"/>
      <c r="AO2617" s="14">
        <f>IF($AF2617="保留中",COUNTIF($AF$6:$AF2617,"保留中"),"")</f>
        <v/>
      </c>
      <c r="AP2617" s="14">
        <f>IF($AQ2617="","",IF(SUMPRODUCT(MAX((職員マスタ!$A$6:$A$405=$B2617)*(((職員マスタ!$G$6:$G$405="")+(職員マスタ!$G$6:$G$405&lt;=EOMONTH($AQ2617,0)))&gt;0)*(((職員マスタ!$H$6:$H$405="")+(職員マスタ!$H$6:$H$405&gt;=$AQ2617))&gt;0)*(ROW(職員マスタ!$A$6:$A$405)-5)))&gt;0,SUMPRODUCT(MAX((職員マスタ!$A$6:$A$405=$B2617)*(((職員マスタ!$G$6:$G$405="")+(職員マスタ!$G$6:$G$405&lt;=EOMONTH($AQ2617,0)))&gt;0)*(((職員マスタ!$H$6:$H$405="")+(職員マスタ!$H$6:$H$405&gt;=$AQ2617))&gt;0)*(ROW(職員マスタ!$A$6:$A$405)-5))),IFERROR(MATCH($B2617,職員マスタ!$A$6:$A$405,0),"")))</f>
        <v/>
      </c>
      <c r="AQ2617" s="16">
        <f>IF(OR($B2617="",$C2617="",$D2617=""),"",DATE($C2617+2018,$D2617,1))</f>
        <v/>
      </c>
    </row>
    <row r="2618">
      <c r="A2618" s="11" t="n"/>
      <c r="B2618" s="12" t="n"/>
      <c r="C2618" s="12" t="n"/>
      <c r="D2618" s="12" t="n"/>
      <c r="E2618" s="13" t="n"/>
      <c r="F2618" s="12" t="n"/>
      <c r="G2618" s="13" t="n"/>
      <c r="H2618" s="12" t="n"/>
      <c r="I2618" s="12" t="n"/>
      <c r="J2618" s="12" t="n"/>
      <c r="K2618" s="12" t="n"/>
      <c r="L2618" s="11" t="n"/>
      <c r="M2618" s="11" t="n"/>
      <c r="N2618" s="11" t="n"/>
      <c r="O2618" s="11" t="n"/>
      <c r="P2618" s="12" t="n"/>
      <c r="Q2618" s="11" t="n"/>
      <c r="R2618" s="12" t="n"/>
      <c r="S2618" s="11" t="n"/>
      <c r="T2618" s="12" t="n"/>
      <c r="U2618" s="12" t="n"/>
      <c r="V2618" s="12" t="n"/>
      <c r="W2618" s="13" t="n"/>
      <c r="X2618" s="14">
        <f>IF($AP2618="",IF($B2618="","",$H2618),IF(INDEX(職員マスタ!$B$6:$B$405,$AP2618)="",$H2618,INDEX(職員マスタ!$B$6:$B$405,$AP2618)))</f>
        <v/>
      </c>
      <c r="Y2618" s="14">
        <f>IF($AP2618="",IF($B2618="","",$R2618),IF(INDEX(職員マスタ!$C$6:$C$405,$AP2618)="",$R2618,INDEX(職員マスタ!$C$6:$C$405,$AP2618)))</f>
        <v/>
      </c>
      <c r="Z2618" s="14">
        <f>IF($AQ2618="","","R"&amp;$C2618&amp;"."&amp;$D2618)</f>
        <v/>
      </c>
      <c r="AA2618" s="15">
        <f>IF(IF($AP2618="",FALSE,INDEX(職員マスタ!$K$6:$K$405,$AP2618)&lt;&gt;""),INDEX(職員マスタ!$K$6:$K$405,$AP2618),IF(N($W2618)&gt;0,$W2618,""))</f>
        <v/>
      </c>
      <c r="AB2618" s="14">
        <f>IF(OR($E2618="",$AA2618=""),"",IF($E2618&gt;=$AA2618,"×",IF($E2618&gt;=$AA2618*設定!$C$5,"△","○")))</f>
        <v/>
      </c>
      <c r="AC2618" s="15">
        <f>IF($AB2618="","",IF($AB2618="×",0,IF($AB2618="○",ROUNDDOWN($E2618*設定!$C$4,0),ROUNDDOWN($E2618*ROUND((9*$AA2618-9*$E2618)/(10*$E2618),4),0))))</f>
        <v/>
      </c>
      <c r="AD2618" s="13" t="n"/>
      <c r="AE2618" s="15">
        <f>IF($B2618="","",IF($AD2618&lt;&gt;"",$AD2618,IF($AC2618="","",IF($AC2618&lt;=設定!$C$3,0,$AC2618))))</f>
        <v/>
      </c>
      <c r="AF2618" s="14">
        <f>IF($B2618="","",IF(AND($AG2618&lt;&gt;"",$AI2618="",$AL2618=""),"保留中",IF($AL2618&lt;&gt;"",IF(N($AE2618)&gt;0,"支給済","不支給"),IF($AE2618="","要確認",IF($AE2618=0,"不支給","未処理")))))</f>
        <v/>
      </c>
      <c r="AG2618" s="12" t="n"/>
      <c r="AH2618" s="11" t="n"/>
      <c r="AI2618" s="11" t="n"/>
      <c r="AJ2618" s="11" t="n"/>
      <c r="AK2618" s="14">
        <f>IF(AND($AF2618="保留中",$AH2618&lt;&gt;""),TODAY()-$AH2618,"")</f>
        <v/>
      </c>
      <c r="AL2618" s="12" t="n"/>
      <c r="AM2618" s="14">
        <f>IF($B2618="","",IF($AQ2618="","対象年月が未入力／","")&amp;IF($B2618="","",IF($AP2618="","職員マスタに未登録の職員番号／",IF($AA2618="","標準報酬月額が未登録／","")&amp;IF(AND($AQ2618&lt;&gt;"",OR(AND(INDEX(職員マスタ!$G$6:$G$405,$AP2618)&lt;&gt;"",INDEX(職員マスタ!$G$6:$G$405,$AP2618)&gt;EOMONTH($AQ2618,0)),AND(INDEX(職員マスタ!$H$6:$H$405,$AP2618)&lt;&gt;"",INDEX(職員マスタ!$H$6:$H$405,$AP2618)&lt;$AQ2618))),"対象月が時短期間外／","")&amp;IF(AND(INDEX(職員マスタ!$K$6:$K$405,$AP2618)&lt;&gt;"",N($W2618)&gt;0,INDEX(職員マスタ!$K$6:$K$405,$AP2618)&lt;&gt;$W2618),"標準報酬月額が申請書と相違（台帳"&amp;TEXT(INDEX(職員マスタ!$K$6:$K$405,$AP2618),"#,##0")&amp;"円／申請書"&amp;TEXT($W2618,"#,##0")&amp;"円）／","")&amp;IF(AND(INDEX(職員マスタ!$F$6:$F$405,$AP2618)&lt;&gt;"",$AQ2618&lt;&gt;"",INDEX(職員マスタ!$F$6:$F$405,$AP2618)&lt;$AQ2618),"対象月に子が2歳到達済／","")&amp;IF(AND($H2618&lt;&gt;"",INDEX(職員マスタ!$B$6:$B$405,$AP2618)&lt;&gt;"",SUBSTITUTE(SUBSTITUTE($H2618," ","")," ","")&lt;&gt;SUBSTITUTE(SUBSTITUTE(INDEX(職員マスタ!$B$6:$B$405,$AP2618)," ","")," ","")),"氏名がマスタと相違／","")&amp;IF(AND($Q2618&lt;&gt;"",INDEX(職員マスタ!$E$6:$E$405,$AP2618)&lt;&gt;"",$Q2618&lt;&gt;INDEX(職員マスタ!$E$6:$E$405,$AP2618)),"子の生年月日がマスタと相違／","")&amp;IF(AND($L2618&lt;&gt;"",INDEX(職員マスタ!$G$6:$G$405,$AP2618)&lt;&gt;"",$L2618&lt;&gt;INDEX(職員マスタ!$G$6:$G$405,$AP2618)),"時短開始日がマスタと相違／","")&amp;IF(AND($M2618&lt;&gt;"",INDEX(職員マスタ!$H$6:$H$405,$AP2618)&lt;&gt;"",$M2618&lt;&gt;INDEX(職員マスタ!$H$6:$H$405,$AP2618)),"時短終了日がマスタと相違／","")))&amp;IF(AND($B2618&lt;&gt;"",$E2618=""),"報酬額が未入力／","")&amp;IF(N($U2618)&gt;0,"申請書に入力エラーが残っています／","")&amp;IF(AND($B2618&lt;&gt;"",$AQ2618&lt;&gt;""),IF(COUNTIFS($B$6:$B$3005,$B2618,$C$6:$C$3005,$C2618,$D$6:$D$3005,$D2618)&gt;1,"同じ月の請求が重複しています／",""),"")&amp;IF(AND(N($E2618)&gt;0,$AB2618&lt;&gt;"",$AB2618&lt;&gt;"×",$AE2618=0,$AD2618=""),"計算額が下限以下のため不支給／",""))</f>
        <v/>
      </c>
      <c r="AN2618" s="12" t="n"/>
      <c r="AO2618" s="14">
        <f>IF($AF2618="保留中",COUNTIF($AF$6:$AF2618,"保留中"),"")</f>
        <v/>
      </c>
      <c r="AP2618" s="14">
        <f>IF($AQ2618="","",IF(SUMPRODUCT(MAX((職員マスタ!$A$6:$A$405=$B2618)*(((職員マスタ!$G$6:$G$405="")+(職員マスタ!$G$6:$G$405&lt;=EOMONTH($AQ2618,0)))&gt;0)*(((職員マスタ!$H$6:$H$405="")+(職員マスタ!$H$6:$H$405&gt;=$AQ2618))&gt;0)*(ROW(職員マスタ!$A$6:$A$405)-5)))&gt;0,SUMPRODUCT(MAX((職員マスタ!$A$6:$A$405=$B2618)*(((職員マスタ!$G$6:$G$405="")+(職員マスタ!$G$6:$G$405&lt;=EOMONTH($AQ2618,0)))&gt;0)*(((職員マスタ!$H$6:$H$405="")+(職員マスタ!$H$6:$H$405&gt;=$AQ2618))&gt;0)*(ROW(職員マスタ!$A$6:$A$405)-5))),IFERROR(MATCH($B2618,職員マスタ!$A$6:$A$405,0),"")))</f>
        <v/>
      </c>
      <c r="AQ2618" s="16">
        <f>IF(OR($B2618="",$C2618="",$D2618=""),"",DATE($C2618+2018,$D2618,1))</f>
        <v/>
      </c>
    </row>
    <row r="2619">
      <c r="A2619" s="11" t="n"/>
      <c r="B2619" s="12" t="n"/>
      <c r="C2619" s="12" t="n"/>
      <c r="D2619" s="12" t="n"/>
      <c r="E2619" s="13" t="n"/>
      <c r="F2619" s="12" t="n"/>
      <c r="G2619" s="13" t="n"/>
      <c r="H2619" s="12" t="n"/>
      <c r="I2619" s="12" t="n"/>
      <c r="J2619" s="12" t="n"/>
      <c r="K2619" s="12" t="n"/>
      <c r="L2619" s="11" t="n"/>
      <c r="M2619" s="11" t="n"/>
      <c r="N2619" s="11" t="n"/>
      <c r="O2619" s="11" t="n"/>
      <c r="P2619" s="12" t="n"/>
      <c r="Q2619" s="11" t="n"/>
      <c r="R2619" s="12" t="n"/>
      <c r="S2619" s="11" t="n"/>
      <c r="T2619" s="12" t="n"/>
      <c r="U2619" s="12" t="n"/>
      <c r="V2619" s="12" t="n"/>
      <c r="W2619" s="13" t="n"/>
      <c r="X2619" s="14">
        <f>IF($AP2619="",IF($B2619="","",$H2619),IF(INDEX(職員マスタ!$B$6:$B$405,$AP2619)="",$H2619,INDEX(職員マスタ!$B$6:$B$405,$AP2619)))</f>
        <v/>
      </c>
      <c r="Y2619" s="14">
        <f>IF($AP2619="",IF($B2619="","",$R2619),IF(INDEX(職員マスタ!$C$6:$C$405,$AP2619)="",$R2619,INDEX(職員マスタ!$C$6:$C$405,$AP2619)))</f>
        <v/>
      </c>
      <c r="Z2619" s="14">
        <f>IF($AQ2619="","","R"&amp;$C2619&amp;"."&amp;$D2619)</f>
        <v/>
      </c>
      <c r="AA2619" s="15">
        <f>IF(IF($AP2619="",FALSE,INDEX(職員マスタ!$K$6:$K$405,$AP2619)&lt;&gt;""),INDEX(職員マスタ!$K$6:$K$405,$AP2619),IF(N($W2619)&gt;0,$W2619,""))</f>
        <v/>
      </c>
      <c r="AB2619" s="14">
        <f>IF(OR($E2619="",$AA2619=""),"",IF($E2619&gt;=$AA2619,"×",IF($E2619&gt;=$AA2619*設定!$C$5,"△","○")))</f>
        <v/>
      </c>
      <c r="AC2619" s="15">
        <f>IF($AB2619="","",IF($AB2619="×",0,IF($AB2619="○",ROUNDDOWN($E2619*設定!$C$4,0),ROUNDDOWN($E2619*ROUND((9*$AA2619-9*$E2619)/(10*$E2619),4),0))))</f>
        <v/>
      </c>
      <c r="AD2619" s="13" t="n"/>
      <c r="AE2619" s="15">
        <f>IF($B2619="","",IF($AD2619&lt;&gt;"",$AD2619,IF($AC2619="","",IF($AC2619&lt;=設定!$C$3,0,$AC2619))))</f>
        <v/>
      </c>
      <c r="AF2619" s="14">
        <f>IF($B2619="","",IF(AND($AG2619&lt;&gt;"",$AI2619="",$AL2619=""),"保留中",IF($AL2619&lt;&gt;"",IF(N($AE2619)&gt;0,"支給済","不支給"),IF($AE2619="","要確認",IF($AE2619=0,"不支給","未処理")))))</f>
        <v/>
      </c>
      <c r="AG2619" s="12" t="n"/>
      <c r="AH2619" s="11" t="n"/>
      <c r="AI2619" s="11" t="n"/>
      <c r="AJ2619" s="11" t="n"/>
      <c r="AK2619" s="14">
        <f>IF(AND($AF2619="保留中",$AH2619&lt;&gt;""),TODAY()-$AH2619,"")</f>
        <v/>
      </c>
      <c r="AL2619" s="12" t="n"/>
      <c r="AM2619" s="14">
        <f>IF($B2619="","",IF($AQ2619="","対象年月が未入力／","")&amp;IF($B2619="","",IF($AP2619="","職員マスタに未登録の職員番号／",IF($AA2619="","標準報酬月額が未登録／","")&amp;IF(AND($AQ2619&lt;&gt;"",OR(AND(INDEX(職員マスタ!$G$6:$G$405,$AP2619)&lt;&gt;"",INDEX(職員マスタ!$G$6:$G$405,$AP2619)&gt;EOMONTH($AQ2619,0)),AND(INDEX(職員マスタ!$H$6:$H$405,$AP2619)&lt;&gt;"",INDEX(職員マスタ!$H$6:$H$405,$AP2619)&lt;$AQ2619))),"対象月が時短期間外／","")&amp;IF(AND(INDEX(職員マスタ!$K$6:$K$405,$AP2619)&lt;&gt;"",N($W2619)&gt;0,INDEX(職員マスタ!$K$6:$K$405,$AP2619)&lt;&gt;$W2619),"標準報酬月額が申請書と相違（台帳"&amp;TEXT(INDEX(職員マスタ!$K$6:$K$405,$AP2619),"#,##0")&amp;"円／申請書"&amp;TEXT($W2619,"#,##0")&amp;"円）／","")&amp;IF(AND(INDEX(職員マスタ!$F$6:$F$405,$AP2619)&lt;&gt;"",$AQ2619&lt;&gt;"",INDEX(職員マスタ!$F$6:$F$405,$AP2619)&lt;$AQ2619),"対象月に子が2歳到達済／","")&amp;IF(AND($H2619&lt;&gt;"",INDEX(職員マスタ!$B$6:$B$405,$AP2619)&lt;&gt;"",SUBSTITUTE(SUBSTITUTE($H2619," ","")," ","")&lt;&gt;SUBSTITUTE(SUBSTITUTE(INDEX(職員マスタ!$B$6:$B$405,$AP2619)," ","")," ","")),"氏名がマスタと相違／","")&amp;IF(AND($Q2619&lt;&gt;"",INDEX(職員マスタ!$E$6:$E$405,$AP2619)&lt;&gt;"",$Q2619&lt;&gt;INDEX(職員マスタ!$E$6:$E$405,$AP2619)),"子の生年月日がマスタと相違／","")&amp;IF(AND($L2619&lt;&gt;"",INDEX(職員マスタ!$G$6:$G$405,$AP2619)&lt;&gt;"",$L2619&lt;&gt;INDEX(職員マスタ!$G$6:$G$405,$AP2619)),"時短開始日がマスタと相違／","")&amp;IF(AND($M2619&lt;&gt;"",INDEX(職員マスタ!$H$6:$H$405,$AP2619)&lt;&gt;"",$M2619&lt;&gt;INDEX(職員マスタ!$H$6:$H$405,$AP2619)),"時短終了日がマスタと相違／","")))&amp;IF(AND($B2619&lt;&gt;"",$E2619=""),"報酬額が未入力／","")&amp;IF(N($U2619)&gt;0,"申請書に入力エラーが残っています／","")&amp;IF(AND($B2619&lt;&gt;"",$AQ2619&lt;&gt;""),IF(COUNTIFS($B$6:$B$3005,$B2619,$C$6:$C$3005,$C2619,$D$6:$D$3005,$D2619)&gt;1,"同じ月の請求が重複しています／",""),"")&amp;IF(AND(N($E2619)&gt;0,$AB2619&lt;&gt;"",$AB2619&lt;&gt;"×",$AE2619=0,$AD2619=""),"計算額が下限以下のため不支給／",""))</f>
        <v/>
      </c>
      <c r="AN2619" s="12" t="n"/>
      <c r="AO2619" s="14">
        <f>IF($AF2619="保留中",COUNTIF($AF$6:$AF2619,"保留中"),"")</f>
        <v/>
      </c>
      <c r="AP2619" s="14">
        <f>IF($AQ2619="","",IF(SUMPRODUCT(MAX((職員マスタ!$A$6:$A$405=$B2619)*(((職員マスタ!$G$6:$G$405="")+(職員マスタ!$G$6:$G$405&lt;=EOMONTH($AQ2619,0)))&gt;0)*(((職員マスタ!$H$6:$H$405="")+(職員マスタ!$H$6:$H$405&gt;=$AQ2619))&gt;0)*(ROW(職員マスタ!$A$6:$A$405)-5)))&gt;0,SUMPRODUCT(MAX((職員マスタ!$A$6:$A$405=$B2619)*(((職員マスタ!$G$6:$G$405="")+(職員マスタ!$G$6:$G$405&lt;=EOMONTH($AQ2619,0)))&gt;0)*(((職員マスタ!$H$6:$H$405="")+(職員マスタ!$H$6:$H$405&gt;=$AQ2619))&gt;0)*(ROW(職員マスタ!$A$6:$A$405)-5))),IFERROR(MATCH($B2619,職員マスタ!$A$6:$A$405,0),"")))</f>
        <v/>
      </c>
      <c r="AQ2619" s="16">
        <f>IF(OR($B2619="",$C2619="",$D2619=""),"",DATE($C2619+2018,$D2619,1))</f>
        <v/>
      </c>
    </row>
    <row r="2620">
      <c r="A2620" s="11" t="n"/>
      <c r="B2620" s="12" t="n"/>
      <c r="C2620" s="12" t="n"/>
      <c r="D2620" s="12" t="n"/>
      <c r="E2620" s="13" t="n"/>
      <c r="F2620" s="12" t="n"/>
      <c r="G2620" s="13" t="n"/>
      <c r="H2620" s="12" t="n"/>
      <c r="I2620" s="12" t="n"/>
      <c r="J2620" s="12" t="n"/>
      <c r="K2620" s="12" t="n"/>
      <c r="L2620" s="11" t="n"/>
      <c r="M2620" s="11" t="n"/>
      <c r="N2620" s="11" t="n"/>
      <c r="O2620" s="11" t="n"/>
      <c r="P2620" s="12" t="n"/>
      <c r="Q2620" s="11" t="n"/>
      <c r="R2620" s="12" t="n"/>
      <c r="S2620" s="11" t="n"/>
      <c r="T2620" s="12" t="n"/>
      <c r="U2620" s="12" t="n"/>
      <c r="V2620" s="12" t="n"/>
      <c r="W2620" s="13" t="n"/>
      <c r="X2620" s="14">
        <f>IF($AP2620="",IF($B2620="","",$H2620),IF(INDEX(職員マスタ!$B$6:$B$405,$AP2620)="",$H2620,INDEX(職員マスタ!$B$6:$B$405,$AP2620)))</f>
        <v/>
      </c>
      <c r="Y2620" s="14">
        <f>IF($AP2620="",IF($B2620="","",$R2620),IF(INDEX(職員マスタ!$C$6:$C$405,$AP2620)="",$R2620,INDEX(職員マスタ!$C$6:$C$405,$AP2620)))</f>
        <v/>
      </c>
      <c r="Z2620" s="14">
        <f>IF($AQ2620="","","R"&amp;$C2620&amp;"."&amp;$D2620)</f>
        <v/>
      </c>
      <c r="AA2620" s="15">
        <f>IF(IF($AP2620="",FALSE,INDEX(職員マスタ!$K$6:$K$405,$AP2620)&lt;&gt;""),INDEX(職員マスタ!$K$6:$K$405,$AP2620),IF(N($W2620)&gt;0,$W2620,""))</f>
        <v/>
      </c>
      <c r="AB2620" s="14">
        <f>IF(OR($E2620="",$AA2620=""),"",IF($E2620&gt;=$AA2620,"×",IF($E2620&gt;=$AA2620*設定!$C$5,"△","○")))</f>
        <v/>
      </c>
      <c r="AC2620" s="15">
        <f>IF($AB2620="","",IF($AB2620="×",0,IF($AB2620="○",ROUNDDOWN($E2620*設定!$C$4,0),ROUNDDOWN($E2620*ROUND((9*$AA2620-9*$E2620)/(10*$E2620),4),0))))</f>
        <v/>
      </c>
      <c r="AD2620" s="13" t="n"/>
      <c r="AE2620" s="15">
        <f>IF($B2620="","",IF($AD2620&lt;&gt;"",$AD2620,IF($AC2620="","",IF($AC2620&lt;=設定!$C$3,0,$AC2620))))</f>
        <v/>
      </c>
      <c r="AF2620" s="14">
        <f>IF($B2620="","",IF(AND($AG2620&lt;&gt;"",$AI2620="",$AL2620=""),"保留中",IF($AL2620&lt;&gt;"",IF(N($AE2620)&gt;0,"支給済","不支給"),IF($AE2620="","要確認",IF($AE2620=0,"不支給","未処理")))))</f>
        <v/>
      </c>
      <c r="AG2620" s="12" t="n"/>
      <c r="AH2620" s="11" t="n"/>
      <c r="AI2620" s="11" t="n"/>
      <c r="AJ2620" s="11" t="n"/>
      <c r="AK2620" s="14">
        <f>IF(AND($AF2620="保留中",$AH2620&lt;&gt;""),TODAY()-$AH2620,"")</f>
        <v/>
      </c>
      <c r="AL2620" s="12" t="n"/>
      <c r="AM2620" s="14">
        <f>IF($B2620="","",IF($AQ2620="","対象年月が未入力／","")&amp;IF($B2620="","",IF($AP2620="","職員マスタに未登録の職員番号／",IF($AA2620="","標準報酬月額が未登録／","")&amp;IF(AND($AQ2620&lt;&gt;"",OR(AND(INDEX(職員マスタ!$G$6:$G$405,$AP2620)&lt;&gt;"",INDEX(職員マスタ!$G$6:$G$405,$AP2620)&gt;EOMONTH($AQ2620,0)),AND(INDEX(職員マスタ!$H$6:$H$405,$AP2620)&lt;&gt;"",INDEX(職員マスタ!$H$6:$H$405,$AP2620)&lt;$AQ2620))),"対象月が時短期間外／","")&amp;IF(AND(INDEX(職員マスタ!$K$6:$K$405,$AP2620)&lt;&gt;"",N($W2620)&gt;0,INDEX(職員マスタ!$K$6:$K$405,$AP2620)&lt;&gt;$W2620),"標準報酬月額が申請書と相違（台帳"&amp;TEXT(INDEX(職員マスタ!$K$6:$K$405,$AP2620),"#,##0")&amp;"円／申請書"&amp;TEXT($W2620,"#,##0")&amp;"円）／","")&amp;IF(AND(INDEX(職員マスタ!$F$6:$F$405,$AP2620)&lt;&gt;"",$AQ2620&lt;&gt;"",INDEX(職員マスタ!$F$6:$F$405,$AP2620)&lt;$AQ2620),"対象月に子が2歳到達済／","")&amp;IF(AND($H2620&lt;&gt;"",INDEX(職員マスタ!$B$6:$B$405,$AP2620)&lt;&gt;"",SUBSTITUTE(SUBSTITUTE($H2620," ","")," ","")&lt;&gt;SUBSTITUTE(SUBSTITUTE(INDEX(職員マスタ!$B$6:$B$405,$AP2620)," ","")," ","")),"氏名がマスタと相違／","")&amp;IF(AND($Q2620&lt;&gt;"",INDEX(職員マスタ!$E$6:$E$405,$AP2620)&lt;&gt;"",$Q2620&lt;&gt;INDEX(職員マスタ!$E$6:$E$405,$AP2620)),"子の生年月日がマスタと相違／","")&amp;IF(AND($L2620&lt;&gt;"",INDEX(職員マスタ!$G$6:$G$405,$AP2620)&lt;&gt;"",$L2620&lt;&gt;INDEX(職員マスタ!$G$6:$G$405,$AP2620)),"時短開始日がマスタと相違／","")&amp;IF(AND($M2620&lt;&gt;"",INDEX(職員マスタ!$H$6:$H$405,$AP2620)&lt;&gt;"",$M2620&lt;&gt;INDEX(職員マスタ!$H$6:$H$405,$AP2620)),"時短終了日がマスタと相違／","")))&amp;IF(AND($B2620&lt;&gt;"",$E2620=""),"報酬額が未入力／","")&amp;IF(N($U2620)&gt;0,"申請書に入力エラーが残っています／","")&amp;IF(AND($B2620&lt;&gt;"",$AQ2620&lt;&gt;""),IF(COUNTIFS($B$6:$B$3005,$B2620,$C$6:$C$3005,$C2620,$D$6:$D$3005,$D2620)&gt;1,"同じ月の請求が重複しています／",""),"")&amp;IF(AND(N($E2620)&gt;0,$AB2620&lt;&gt;"",$AB2620&lt;&gt;"×",$AE2620=0,$AD2620=""),"計算額が下限以下のため不支給／",""))</f>
        <v/>
      </c>
      <c r="AN2620" s="12" t="n"/>
      <c r="AO2620" s="14">
        <f>IF($AF2620="保留中",COUNTIF($AF$6:$AF2620,"保留中"),"")</f>
        <v/>
      </c>
      <c r="AP2620" s="14">
        <f>IF($AQ2620="","",IF(SUMPRODUCT(MAX((職員マスタ!$A$6:$A$405=$B2620)*(((職員マスタ!$G$6:$G$405="")+(職員マスタ!$G$6:$G$405&lt;=EOMONTH($AQ2620,0)))&gt;0)*(((職員マスタ!$H$6:$H$405="")+(職員マスタ!$H$6:$H$405&gt;=$AQ2620))&gt;0)*(ROW(職員マスタ!$A$6:$A$405)-5)))&gt;0,SUMPRODUCT(MAX((職員マスタ!$A$6:$A$405=$B2620)*(((職員マスタ!$G$6:$G$405="")+(職員マスタ!$G$6:$G$405&lt;=EOMONTH($AQ2620,0)))&gt;0)*(((職員マスタ!$H$6:$H$405="")+(職員マスタ!$H$6:$H$405&gt;=$AQ2620))&gt;0)*(ROW(職員マスタ!$A$6:$A$405)-5))),IFERROR(MATCH($B2620,職員マスタ!$A$6:$A$405,0),"")))</f>
        <v/>
      </c>
      <c r="AQ2620" s="16">
        <f>IF(OR($B2620="",$C2620="",$D2620=""),"",DATE($C2620+2018,$D2620,1))</f>
        <v/>
      </c>
    </row>
    <row r="2621">
      <c r="A2621" s="11" t="n"/>
      <c r="B2621" s="12" t="n"/>
      <c r="C2621" s="12" t="n"/>
      <c r="D2621" s="12" t="n"/>
      <c r="E2621" s="13" t="n"/>
      <c r="F2621" s="12" t="n"/>
      <c r="G2621" s="13" t="n"/>
      <c r="H2621" s="12" t="n"/>
      <c r="I2621" s="12" t="n"/>
      <c r="J2621" s="12" t="n"/>
      <c r="K2621" s="12" t="n"/>
      <c r="L2621" s="11" t="n"/>
      <c r="M2621" s="11" t="n"/>
      <c r="N2621" s="11" t="n"/>
      <c r="O2621" s="11" t="n"/>
      <c r="P2621" s="12" t="n"/>
      <c r="Q2621" s="11" t="n"/>
      <c r="R2621" s="12" t="n"/>
      <c r="S2621" s="11" t="n"/>
      <c r="T2621" s="12" t="n"/>
      <c r="U2621" s="12" t="n"/>
      <c r="V2621" s="12" t="n"/>
      <c r="W2621" s="13" t="n"/>
      <c r="X2621" s="14">
        <f>IF($AP2621="",IF($B2621="","",$H2621),IF(INDEX(職員マスタ!$B$6:$B$405,$AP2621)="",$H2621,INDEX(職員マスタ!$B$6:$B$405,$AP2621)))</f>
        <v/>
      </c>
      <c r="Y2621" s="14">
        <f>IF($AP2621="",IF($B2621="","",$R2621),IF(INDEX(職員マスタ!$C$6:$C$405,$AP2621)="",$R2621,INDEX(職員マスタ!$C$6:$C$405,$AP2621)))</f>
        <v/>
      </c>
      <c r="Z2621" s="14">
        <f>IF($AQ2621="","","R"&amp;$C2621&amp;"."&amp;$D2621)</f>
        <v/>
      </c>
      <c r="AA2621" s="15">
        <f>IF(IF($AP2621="",FALSE,INDEX(職員マスタ!$K$6:$K$405,$AP2621)&lt;&gt;""),INDEX(職員マスタ!$K$6:$K$405,$AP2621),IF(N($W2621)&gt;0,$W2621,""))</f>
        <v/>
      </c>
      <c r="AB2621" s="14">
        <f>IF(OR($E2621="",$AA2621=""),"",IF($E2621&gt;=$AA2621,"×",IF($E2621&gt;=$AA2621*設定!$C$5,"△","○")))</f>
        <v/>
      </c>
      <c r="AC2621" s="15">
        <f>IF($AB2621="","",IF($AB2621="×",0,IF($AB2621="○",ROUNDDOWN($E2621*設定!$C$4,0),ROUNDDOWN($E2621*ROUND((9*$AA2621-9*$E2621)/(10*$E2621),4),0))))</f>
        <v/>
      </c>
      <c r="AD2621" s="13" t="n"/>
      <c r="AE2621" s="15">
        <f>IF($B2621="","",IF($AD2621&lt;&gt;"",$AD2621,IF($AC2621="","",IF($AC2621&lt;=設定!$C$3,0,$AC2621))))</f>
        <v/>
      </c>
      <c r="AF2621" s="14">
        <f>IF($B2621="","",IF(AND($AG2621&lt;&gt;"",$AI2621="",$AL2621=""),"保留中",IF($AL2621&lt;&gt;"",IF(N($AE2621)&gt;0,"支給済","不支給"),IF($AE2621="","要確認",IF($AE2621=0,"不支給","未処理")))))</f>
        <v/>
      </c>
      <c r="AG2621" s="12" t="n"/>
      <c r="AH2621" s="11" t="n"/>
      <c r="AI2621" s="11" t="n"/>
      <c r="AJ2621" s="11" t="n"/>
      <c r="AK2621" s="14">
        <f>IF(AND($AF2621="保留中",$AH2621&lt;&gt;""),TODAY()-$AH2621,"")</f>
        <v/>
      </c>
      <c r="AL2621" s="12" t="n"/>
      <c r="AM2621" s="14">
        <f>IF($B2621="","",IF($AQ2621="","対象年月が未入力／","")&amp;IF($B2621="","",IF($AP2621="","職員マスタに未登録の職員番号／",IF($AA2621="","標準報酬月額が未登録／","")&amp;IF(AND($AQ2621&lt;&gt;"",OR(AND(INDEX(職員マスタ!$G$6:$G$405,$AP2621)&lt;&gt;"",INDEX(職員マスタ!$G$6:$G$405,$AP2621)&gt;EOMONTH($AQ2621,0)),AND(INDEX(職員マスタ!$H$6:$H$405,$AP2621)&lt;&gt;"",INDEX(職員マスタ!$H$6:$H$405,$AP2621)&lt;$AQ2621))),"対象月が時短期間外／","")&amp;IF(AND(INDEX(職員マスタ!$K$6:$K$405,$AP2621)&lt;&gt;"",N($W2621)&gt;0,INDEX(職員マスタ!$K$6:$K$405,$AP2621)&lt;&gt;$W2621),"標準報酬月額が申請書と相違（台帳"&amp;TEXT(INDEX(職員マスタ!$K$6:$K$405,$AP2621),"#,##0")&amp;"円／申請書"&amp;TEXT($W2621,"#,##0")&amp;"円）／","")&amp;IF(AND(INDEX(職員マスタ!$F$6:$F$405,$AP2621)&lt;&gt;"",$AQ2621&lt;&gt;"",INDEX(職員マスタ!$F$6:$F$405,$AP2621)&lt;$AQ2621),"対象月に子が2歳到達済／","")&amp;IF(AND($H2621&lt;&gt;"",INDEX(職員マスタ!$B$6:$B$405,$AP2621)&lt;&gt;"",SUBSTITUTE(SUBSTITUTE($H2621," ","")," ","")&lt;&gt;SUBSTITUTE(SUBSTITUTE(INDEX(職員マスタ!$B$6:$B$405,$AP2621)," ","")," ","")),"氏名がマスタと相違／","")&amp;IF(AND($Q2621&lt;&gt;"",INDEX(職員マスタ!$E$6:$E$405,$AP2621)&lt;&gt;"",$Q2621&lt;&gt;INDEX(職員マスタ!$E$6:$E$405,$AP2621)),"子の生年月日がマスタと相違／","")&amp;IF(AND($L2621&lt;&gt;"",INDEX(職員マスタ!$G$6:$G$405,$AP2621)&lt;&gt;"",$L2621&lt;&gt;INDEX(職員マスタ!$G$6:$G$405,$AP2621)),"時短開始日がマスタと相違／","")&amp;IF(AND($M2621&lt;&gt;"",INDEX(職員マスタ!$H$6:$H$405,$AP2621)&lt;&gt;"",$M2621&lt;&gt;INDEX(職員マスタ!$H$6:$H$405,$AP2621)),"時短終了日がマスタと相違／","")))&amp;IF(AND($B2621&lt;&gt;"",$E2621=""),"報酬額が未入力／","")&amp;IF(N($U2621)&gt;0,"申請書に入力エラーが残っています／","")&amp;IF(AND($B2621&lt;&gt;"",$AQ2621&lt;&gt;""),IF(COUNTIFS($B$6:$B$3005,$B2621,$C$6:$C$3005,$C2621,$D$6:$D$3005,$D2621)&gt;1,"同じ月の請求が重複しています／",""),"")&amp;IF(AND(N($E2621)&gt;0,$AB2621&lt;&gt;"",$AB2621&lt;&gt;"×",$AE2621=0,$AD2621=""),"計算額が下限以下のため不支給／",""))</f>
        <v/>
      </c>
      <c r="AN2621" s="12" t="n"/>
      <c r="AO2621" s="14">
        <f>IF($AF2621="保留中",COUNTIF($AF$6:$AF2621,"保留中"),"")</f>
        <v/>
      </c>
      <c r="AP2621" s="14">
        <f>IF($AQ2621="","",IF(SUMPRODUCT(MAX((職員マスタ!$A$6:$A$405=$B2621)*(((職員マスタ!$G$6:$G$405="")+(職員マスタ!$G$6:$G$405&lt;=EOMONTH($AQ2621,0)))&gt;0)*(((職員マスタ!$H$6:$H$405="")+(職員マスタ!$H$6:$H$405&gt;=$AQ2621))&gt;0)*(ROW(職員マスタ!$A$6:$A$405)-5)))&gt;0,SUMPRODUCT(MAX((職員マスタ!$A$6:$A$405=$B2621)*(((職員マスタ!$G$6:$G$405="")+(職員マスタ!$G$6:$G$405&lt;=EOMONTH($AQ2621,0)))&gt;0)*(((職員マスタ!$H$6:$H$405="")+(職員マスタ!$H$6:$H$405&gt;=$AQ2621))&gt;0)*(ROW(職員マスタ!$A$6:$A$405)-5))),IFERROR(MATCH($B2621,職員マスタ!$A$6:$A$405,0),"")))</f>
        <v/>
      </c>
      <c r="AQ2621" s="16">
        <f>IF(OR($B2621="",$C2621="",$D2621=""),"",DATE($C2621+2018,$D2621,1))</f>
        <v/>
      </c>
    </row>
    <row r="2622">
      <c r="A2622" s="11" t="n"/>
      <c r="B2622" s="12" t="n"/>
      <c r="C2622" s="12" t="n"/>
      <c r="D2622" s="12" t="n"/>
      <c r="E2622" s="13" t="n"/>
      <c r="F2622" s="12" t="n"/>
      <c r="G2622" s="13" t="n"/>
      <c r="H2622" s="12" t="n"/>
      <c r="I2622" s="12" t="n"/>
      <c r="J2622" s="12" t="n"/>
      <c r="K2622" s="12" t="n"/>
      <c r="L2622" s="11" t="n"/>
      <c r="M2622" s="11" t="n"/>
      <c r="N2622" s="11" t="n"/>
      <c r="O2622" s="11" t="n"/>
      <c r="P2622" s="12" t="n"/>
      <c r="Q2622" s="11" t="n"/>
      <c r="R2622" s="12" t="n"/>
      <c r="S2622" s="11" t="n"/>
      <c r="T2622" s="12" t="n"/>
      <c r="U2622" s="12" t="n"/>
      <c r="V2622" s="12" t="n"/>
      <c r="W2622" s="13" t="n"/>
      <c r="X2622" s="14">
        <f>IF($AP2622="",IF($B2622="","",$H2622),IF(INDEX(職員マスタ!$B$6:$B$405,$AP2622)="",$H2622,INDEX(職員マスタ!$B$6:$B$405,$AP2622)))</f>
        <v/>
      </c>
      <c r="Y2622" s="14">
        <f>IF($AP2622="",IF($B2622="","",$R2622),IF(INDEX(職員マスタ!$C$6:$C$405,$AP2622)="",$R2622,INDEX(職員マスタ!$C$6:$C$405,$AP2622)))</f>
        <v/>
      </c>
      <c r="Z2622" s="14">
        <f>IF($AQ2622="","","R"&amp;$C2622&amp;"."&amp;$D2622)</f>
        <v/>
      </c>
      <c r="AA2622" s="15">
        <f>IF(IF($AP2622="",FALSE,INDEX(職員マスタ!$K$6:$K$405,$AP2622)&lt;&gt;""),INDEX(職員マスタ!$K$6:$K$405,$AP2622),IF(N($W2622)&gt;0,$W2622,""))</f>
        <v/>
      </c>
      <c r="AB2622" s="14">
        <f>IF(OR($E2622="",$AA2622=""),"",IF($E2622&gt;=$AA2622,"×",IF($E2622&gt;=$AA2622*設定!$C$5,"△","○")))</f>
        <v/>
      </c>
      <c r="AC2622" s="15">
        <f>IF($AB2622="","",IF($AB2622="×",0,IF($AB2622="○",ROUNDDOWN($E2622*設定!$C$4,0),ROUNDDOWN($E2622*ROUND((9*$AA2622-9*$E2622)/(10*$E2622),4),0))))</f>
        <v/>
      </c>
      <c r="AD2622" s="13" t="n"/>
      <c r="AE2622" s="15">
        <f>IF($B2622="","",IF($AD2622&lt;&gt;"",$AD2622,IF($AC2622="","",IF($AC2622&lt;=設定!$C$3,0,$AC2622))))</f>
        <v/>
      </c>
      <c r="AF2622" s="14">
        <f>IF($B2622="","",IF(AND($AG2622&lt;&gt;"",$AI2622="",$AL2622=""),"保留中",IF($AL2622&lt;&gt;"",IF(N($AE2622)&gt;0,"支給済","不支給"),IF($AE2622="","要確認",IF($AE2622=0,"不支給","未処理")))))</f>
        <v/>
      </c>
      <c r="AG2622" s="12" t="n"/>
      <c r="AH2622" s="11" t="n"/>
      <c r="AI2622" s="11" t="n"/>
      <c r="AJ2622" s="11" t="n"/>
      <c r="AK2622" s="14">
        <f>IF(AND($AF2622="保留中",$AH2622&lt;&gt;""),TODAY()-$AH2622,"")</f>
        <v/>
      </c>
      <c r="AL2622" s="12" t="n"/>
      <c r="AM2622" s="14">
        <f>IF($B2622="","",IF($AQ2622="","対象年月が未入力／","")&amp;IF($B2622="","",IF($AP2622="","職員マスタに未登録の職員番号／",IF($AA2622="","標準報酬月額が未登録／","")&amp;IF(AND($AQ2622&lt;&gt;"",OR(AND(INDEX(職員マスタ!$G$6:$G$405,$AP2622)&lt;&gt;"",INDEX(職員マスタ!$G$6:$G$405,$AP2622)&gt;EOMONTH($AQ2622,0)),AND(INDEX(職員マスタ!$H$6:$H$405,$AP2622)&lt;&gt;"",INDEX(職員マスタ!$H$6:$H$405,$AP2622)&lt;$AQ2622))),"対象月が時短期間外／","")&amp;IF(AND(INDEX(職員マスタ!$K$6:$K$405,$AP2622)&lt;&gt;"",N($W2622)&gt;0,INDEX(職員マスタ!$K$6:$K$405,$AP2622)&lt;&gt;$W2622),"標準報酬月額が申請書と相違（台帳"&amp;TEXT(INDEX(職員マスタ!$K$6:$K$405,$AP2622),"#,##0")&amp;"円／申請書"&amp;TEXT($W2622,"#,##0")&amp;"円）／","")&amp;IF(AND(INDEX(職員マスタ!$F$6:$F$405,$AP2622)&lt;&gt;"",$AQ2622&lt;&gt;"",INDEX(職員マスタ!$F$6:$F$405,$AP2622)&lt;$AQ2622),"対象月に子が2歳到達済／","")&amp;IF(AND($H2622&lt;&gt;"",INDEX(職員マスタ!$B$6:$B$405,$AP2622)&lt;&gt;"",SUBSTITUTE(SUBSTITUTE($H2622," ","")," ","")&lt;&gt;SUBSTITUTE(SUBSTITUTE(INDEX(職員マスタ!$B$6:$B$405,$AP2622)," ","")," ","")),"氏名がマスタと相違／","")&amp;IF(AND($Q2622&lt;&gt;"",INDEX(職員マスタ!$E$6:$E$405,$AP2622)&lt;&gt;"",$Q2622&lt;&gt;INDEX(職員マスタ!$E$6:$E$405,$AP2622)),"子の生年月日がマスタと相違／","")&amp;IF(AND($L2622&lt;&gt;"",INDEX(職員マスタ!$G$6:$G$405,$AP2622)&lt;&gt;"",$L2622&lt;&gt;INDEX(職員マスタ!$G$6:$G$405,$AP2622)),"時短開始日がマスタと相違／","")&amp;IF(AND($M2622&lt;&gt;"",INDEX(職員マスタ!$H$6:$H$405,$AP2622)&lt;&gt;"",$M2622&lt;&gt;INDEX(職員マスタ!$H$6:$H$405,$AP2622)),"時短終了日がマスタと相違／","")))&amp;IF(AND($B2622&lt;&gt;"",$E2622=""),"報酬額が未入力／","")&amp;IF(N($U2622)&gt;0,"申請書に入力エラーが残っています／","")&amp;IF(AND($B2622&lt;&gt;"",$AQ2622&lt;&gt;""),IF(COUNTIFS($B$6:$B$3005,$B2622,$C$6:$C$3005,$C2622,$D$6:$D$3005,$D2622)&gt;1,"同じ月の請求が重複しています／",""),"")&amp;IF(AND(N($E2622)&gt;0,$AB2622&lt;&gt;"",$AB2622&lt;&gt;"×",$AE2622=0,$AD2622=""),"計算額が下限以下のため不支給／",""))</f>
        <v/>
      </c>
      <c r="AN2622" s="12" t="n"/>
      <c r="AO2622" s="14">
        <f>IF($AF2622="保留中",COUNTIF($AF$6:$AF2622,"保留中"),"")</f>
        <v/>
      </c>
      <c r="AP2622" s="14">
        <f>IF($AQ2622="","",IF(SUMPRODUCT(MAX((職員マスタ!$A$6:$A$405=$B2622)*(((職員マスタ!$G$6:$G$405="")+(職員マスタ!$G$6:$G$405&lt;=EOMONTH($AQ2622,0)))&gt;0)*(((職員マスタ!$H$6:$H$405="")+(職員マスタ!$H$6:$H$405&gt;=$AQ2622))&gt;0)*(ROW(職員マスタ!$A$6:$A$405)-5)))&gt;0,SUMPRODUCT(MAX((職員マスタ!$A$6:$A$405=$B2622)*(((職員マスタ!$G$6:$G$405="")+(職員マスタ!$G$6:$G$405&lt;=EOMONTH($AQ2622,0)))&gt;0)*(((職員マスタ!$H$6:$H$405="")+(職員マスタ!$H$6:$H$405&gt;=$AQ2622))&gt;0)*(ROW(職員マスタ!$A$6:$A$405)-5))),IFERROR(MATCH($B2622,職員マスタ!$A$6:$A$405,0),"")))</f>
        <v/>
      </c>
      <c r="AQ2622" s="16">
        <f>IF(OR($B2622="",$C2622="",$D2622=""),"",DATE($C2622+2018,$D2622,1))</f>
        <v/>
      </c>
    </row>
    <row r="2623">
      <c r="A2623" s="11" t="n"/>
      <c r="B2623" s="12" t="n"/>
      <c r="C2623" s="12" t="n"/>
      <c r="D2623" s="12" t="n"/>
      <c r="E2623" s="13" t="n"/>
      <c r="F2623" s="12" t="n"/>
      <c r="G2623" s="13" t="n"/>
      <c r="H2623" s="12" t="n"/>
      <c r="I2623" s="12" t="n"/>
      <c r="J2623" s="12" t="n"/>
      <c r="K2623" s="12" t="n"/>
      <c r="L2623" s="11" t="n"/>
      <c r="M2623" s="11" t="n"/>
      <c r="N2623" s="11" t="n"/>
      <c r="O2623" s="11" t="n"/>
      <c r="P2623" s="12" t="n"/>
      <c r="Q2623" s="11" t="n"/>
      <c r="R2623" s="12" t="n"/>
      <c r="S2623" s="11" t="n"/>
      <c r="T2623" s="12" t="n"/>
      <c r="U2623" s="12" t="n"/>
      <c r="V2623" s="12" t="n"/>
      <c r="W2623" s="13" t="n"/>
      <c r="X2623" s="14">
        <f>IF($AP2623="",IF($B2623="","",$H2623),IF(INDEX(職員マスタ!$B$6:$B$405,$AP2623)="",$H2623,INDEX(職員マスタ!$B$6:$B$405,$AP2623)))</f>
        <v/>
      </c>
      <c r="Y2623" s="14">
        <f>IF($AP2623="",IF($B2623="","",$R2623),IF(INDEX(職員マスタ!$C$6:$C$405,$AP2623)="",$R2623,INDEX(職員マスタ!$C$6:$C$405,$AP2623)))</f>
        <v/>
      </c>
      <c r="Z2623" s="14">
        <f>IF($AQ2623="","","R"&amp;$C2623&amp;"."&amp;$D2623)</f>
        <v/>
      </c>
      <c r="AA2623" s="15">
        <f>IF(IF($AP2623="",FALSE,INDEX(職員マスタ!$K$6:$K$405,$AP2623)&lt;&gt;""),INDEX(職員マスタ!$K$6:$K$405,$AP2623),IF(N($W2623)&gt;0,$W2623,""))</f>
        <v/>
      </c>
      <c r="AB2623" s="14">
        <f>IF(OR($E2623="",$AA2623=""),"",IF($E2623&gt;=$AA2623,"×",IF($E2623&gt;=$AA2623*設定!$C$5,"△","○")))</f>
        <v/>
      </c>
      <c r="AC2623" s="15">
        <f>IF($AB2623="","",IF($AB2623="×",0,IF($AB2623="○",ROUNDDOWN($E2623*設定!$C$4,0),ROUNDDOWN($E2623*ROUND((9*$AA2623-9*$E2623)/(10*$E2623),4),0))))</f>
        <v/>
      </c>
      <c r="AD2623" s="13" t="n"/>
      <c r="AE2623" s="15">
        <f>IF($B2623="","",IF($AD2623&lt;&gt;"",$AD2623,IF($AC2623="","",IF($AC2623&lt;=設定!$C$3,0,$AC2623))))</f>
        <v/>
      </c>
      <c r="AF2623" s="14">
        <f>IF($B2623="","",IF(AND($AG2623&lt;&gt;"",$AI2623="",$AL2623=""),"保留中",IF($AL2623&lt;&gt;"",IF(N($AE2623)&gt;0,"支給済","不支給"),IF($AE2623="","要確認",IF($AE2623=0,"不支給","未処理")))))</f>
        <v/>
      </c>
      <c r="AG2623" s="12" t="n"/>
      <c r="AH2623" s="11" t="n"/>
      <c r="AI2623" s="11" t="n"/>
      <c r="AJ2623" s="11" t="n"/>
      <c r="AK2623" s="14">
        <f>IF(AND($AF2623="保留中",$AH2623&lt;&gt;""),TODAY()-$AH2623,"")</f>
        <v/>
      </c>
      <c r="AL2623" s="12" t="n"/>
      <c r="AM2623" s="14">
        <f>IF($B2623="","",IF($AQ2623="","対象年月が未入力／","")&amp;IF($B2623="","",IF($AP2623="","職員マスタに未登録の職員番号／",IF($AA2623="","標準報酬月額が未登録／","")&amp;IF(AND($AQ2623&lt;&gt;"",OR(AND(INDEX(職員マスタ!$G$6:$G$405,$AP2623)&lt;&gt;"",INDEX(職員マスタ!$G$6:$G$405,$AP2623)&gt;EOMONTH($AQ2623,0)),AND(INDEX(職員マスタ!$H$6:$H$405,$AP2623)&lt;&gt;"",INDEX(職員マスタ!$H$6:$H$405,$AP2623)&lt;$AQ2623))),"対象月が時短期間外／","")&amp;IF(AND(INDEX(職員マスタ!$K$6:$K$405,$AP2623)&lt;&gt;"",N($W2623)&gt;0,INDEX(職員マスタ!$K$6:$K$405,$AP2623)&lt;&gt;$W2623),"標準報酬月額が申請書と相違（台帳"&amp;TEXT(INDEX(職員マスタ!$K$6:$K$405,$AP2623),"#,##0")&amp;"円／申請書"&amp;TEXT($W2623,"#,##0")&amp;"円）／","")&amp;IF(AND(INDEX(職員マスタ!$F$6:$F$405,$AP2623)&lt;&gt;"",$AQ2623&lt;&gt;"",INDEX(職員マスタ!$F$6:$F$405,$AP2623)&lt;$AQ2623),"対象月に子が2歳到達済／","")&amp;IF(AND($H2623&lt;&gt;"",INDEX(職員マスタ!$B$6:$B$405,$AP2623)&lt;&gt;"",SUBSTITUTE(SUBSTITUTE($H2623," ","")," ","")&lt;&gt;SUBSTITUTE(SUBSTITUTE(INDEX(職員マスタ!$B$6:$B$405,$AP2623)," ","")," ","")),"氏名がマスタと相違／","")&amp;IF(AND($Q2623&lt;&gt;"",INDEX(職員マスタ!$E$6:$E$405,$AP2623)&lt;&gt;"",$Q2623&lt;&gt;INDEX(職員マスタ!$E$6:$E$405,$AP2623)),"子の生年月日がマスタと相違／","")&amp;IF(AND($L2623&lt;&gt;"",INDEX(職員マスタ!$G$6:$G$405,$AP2623)&lt;&gt;"",$L2623&lt;&gt;INDEX(職員マスタ!$G$6:$G$405,$AP2623)),"時短開始日がマスタと相違／","")&amp;IF(AND($M2623&lt;&gt;"",INDEX(職員マスタ!$H$6:$H$405,$AP2623)&lt;&gt;"",$M2623&lt;&gt;INDEX(職員マスタ!$H$6:$H$405,$AP2623)),"時短終了日がマスタと相違／","")))&amp;IF(AND($B2623&lt;&gt;"",$E2623=""),"報酬額が未入力／","")&amp;IF(N($U2623)&gt;0,"申請書に入力エラーが残っています／","")&amp;IF(AND($B2623&lt;&gt;"",$AQ2623&lt;&gt;""),IF(COUNTIFS($B$6:$B$3005,$B2623,$C$6:$C$3005,$C2623,$D$6:$D$3005,$D2623)&gt;1,"同じ月の請求が重複しています／",""),"")&amp;IF(AND(N($E2623)&gt;0,$AB2623&lt;&gt;"",$AB2623&lt;&gt;"×",$AE2623=0,$AD2623=""),"計算額が下限以下のため不支給／",""))</f>
        <v/>
      </c>
      <c r="AN2623" s="12" t="n"/>
      <c r="AO2623" s="14">
        <f>IF($AF2623="保留中",COUNTIF($AF$6:$AF2623,"保留中"),"")</f>
        <v/>
      </c>
      <c r="AP2623" s="14">
        <f>IF($AQ2623="","",IF(SUMPRODUCT(MAX((職員マスタ!$A$6:$A$405=$B2623)*(((職員マスタ!$G$6:$G$405="")+(職員マスタ!$G$6:$G$405&lt;=EOMONTH($AQ2623,0)))&gt;0)*(((職員マスタ!$H$6:$H$405="")+(職員マスタ!$H$6:$H$405&gt;=$AQ2623))&gt;0)*(ROW(職員マスタ!$A$6:$A$405)-5)))&gt;0,SUMPRODUCT(MAX((職員マスタ!$A$6:$A$405=$B2623)*(((職員マスタ!$G$6:$G$405="")+(職員マスタ!$G$6:$G$405&lt;=EOMONTH($AQ2623,0)))&gt;0)*(((職員マスタ!$H$6:$H$405="")+(職員マスタ!$H$6:$H$405&gt;=$AQ2623))&gt;0)*(ROW(職員マスタ!$A$6:$A$405)-5))),IFERROR(MATCH($B2623,職員マスタ!$A$6:$A$405,0),"")))</f>
        <v/>
      </c>
      <c r="AQ2623" s="16">
        <f>IF(OR($B2623="",$C2623="",$D2623=""),"",DATE($C2623+2018,$D2623,1))</f>
        <v/>
      </c>
    </row>
    <row r="2624">
      <c r="A2624" s="11" t="n"/>
      <c r="B2624" s="12" t="n"/>
      <c r="C2624" s="12" t="n"/>
      <c r="D2624" s="12" t="n"/>
      <c r="E2624" s="13" t="n"/>
      <c r="F2624" s="12" t="n"/>
      <c r="G2624" s="13" t="n"/>
      <c r="H2624" s="12" t="n"/>
      <c r="I2624" s="12" t="n"/>
      <c r="J2624" s="12" t="n"/>
      <c r="K2624" s="12" t="n"/>
      <c r="L2624" s="11" t="n"/>
      <c r="M2624" s="11" t="n"/>
      <c r="N2624" s="11" t="n"/>
      <c r="O2624" s="11" t="n"/>
      <c r="P2624" s="12" t="n"/>
      <c r="Q2624" s="11" t="n"/>
      <c r="R2624" s="12" t="n"/>
      <c r="S2624" s="11" t="n"/>
      <c r="T2624" s="12" t="n"/>
      <c r="U2624" s="12" t="n"/>
      <c r="V2624" s="12" t="n"/>
      <c r="W2624" s="13" t="n"/>
      <c r="X2624" s="14">
        <f>IF($AP2624="",IF($B2624="","",$H2624),IF(INDEX(職員マスタ!$B$6:$B$405,$AP2624)="",$H2624,INDEX(職員マスタ!$B$6:$B$405,$AP2624)))</f>
        <v/>
      </c>
      <c r="Y2624" s="14">
        <f>IF($AP2624="",IF($B2624="","",$R2624),IF(INDEX(職員マスタ!$C$6:$C$405,$AP2624)="",$R2624,INDEX(職員マスタ!$C$6:$C$405,$AP2624)))</f>
        <v/>
      </c>
      <c r="Z2624" s="14">
        <f>IF($AQ2624="","","R"&amp;$C2624&amp;"."&amp;$D2624)</f>
        <v/>
      </c>
      <c r="AA2624" s="15">
        <f>IF(IF($AP2624="",FALSE,INDEX(職員マスタ!$K$6:$K$405,$AP2624)&lt;&gt;""),INDEX(職員マスタ!$K$6:$K$405,$AP2624),IF(N($W2624)&gt;0,$W2624,""))</f>
        <v/>
      </c>
      <c r="AB2624" s="14">
        <f>IF(OR($E2624="",$AA2624=""),"",IF($E2624&gt;=$AA2624,"×",IF($E2624&gt;=$AA2624*設定!$C$5,"△","○")))</f>
        <v/>
      </c>
      <c r="AC2624" s="15">
        <f>IF($AB2624="","",IF($AB2624="×",0,IF($AB2624="○",ROUNDDOWN($E2624*設定!$C$4,0),ROUNDDOWN($E2624*ROUND((9*$AA2624-9*$E2624)/(10*$E2624),4),0))))</f>
        <v/>
      </c>
      <c r="AD2624" s="13" t="n"/>
      <c r="AE2624" s="15">
        <f>IF($B2624="","",IF($AD2624&lt;&gt;"",$AD2624,IF($AC2624="","",IF($AC2624&lt;=設定!$C$3,0,$AC2624))))</f>
        <v/>
      </c>
      <c r="AF2624" s="14">
        <f>IF($B2624="","",IF(AND($AG2624&lt;&gt;"",$AI2624="",$AL2624=""),"保留中",IF($AL2624&lt;&gt;"",IF(N($AE2624)&gt;0,"支給済","不支給"),IF($AE2624="","要確認",IF($AE2624=0,"不支給","未処理")))))</f>
        <v/>
      </c>
      <c r="AG2624" s="12" t="n"/>
      <c r="AH2624" s="11" t="n"/>
      <c r="AI2624" s="11" t="n"/>
      <c r="AJ2624" s="11" t="n"/>
      <c r="AK2624" s="14">
        <f>IF(AND($AF2624="保留中",$AH2624&lt;&gt;""),TODAY()-$AH2624,"")</f>
        <v/>
      </c>
      <c r="AL2624" s="12" t="n"/>
      <c r="AM2624" s="14">
        <f>IF($B2624="","",IF($AQ2624="","対象年月が未入力／","")&amp;IF($B2624="","",IF($AP2624="","職員マスタに未登録の職員番号／",IF($AA2624="","標準報酬月額が未登録／","")&amp;IF(AND($AQ2624&lt;&gt;"",OR(AND(INDEX(職員マスタ!$G$6:$G$405,$AP2624)&lt;&gt;"",INDEX(職員マスタ!$G$6:$G$405,$AP2624)&gt;EOMONTH($AQ2624,0)),AND(INDEX(職員マスタ!$H$6:$H$405,$AP2624)&lt;&gt;"",INDEX(職員マスタ!$H$6:$H$405,$AP2624)&lt;$AQ2624))),"対象月が時短期間外／","")&amp;IF(AND(INDEX(職員マスタ!$K$6:$K$405,$AP2624)&lt;&gt;"",N($W2624)&gt;0,INDEX(職員マスタ!$K$6:$K$405,$AP2624)&lt;&gt;$W2624),"標準報酬月額が申請書と相違（台帳"&amp;TEXT(INDEX(職員マスタ!$K$6:$K$405,$AP2624),"#,##0")&amp;"円／申請書"&amp;TEXT($W2624,"#,##0")&amp;"円）／","")&amp;IF(AND(INDEX(職員マスタ!$F$6:$F$405,$AP2624)&lt;&gt;"",$AQ2624&lt;&gt;"",INDEX(職員マスタ!$F$6:$F$405,$AP2624)&lt;$AQ2624),"対象月に子が2歳到達済／","")&amp;IF(AND($H2624&lt;&gt;"",INDEX(職員マスタ!$B$6:$B$405,$AP2624)&lt;&gt;"",SUBSTITUTE(SUBSTITUTE($H2624," ","")," ","")&lt;&gt;SUBSTITUTE(SUBSTITUTE(INDEX(職員マスタ!$B$6:$B$405,$AP2624)," ","")," ","")),"氏名がマスタと相違／","")&amp;IF(AND($Q2624&lt;&gt;"",INDEX(職員マスタ!$E$6:$E$405,$AP2624)&lt;&gt;"",$Q2624&lt;&gt;INDEX(職員マスタ!$E$6:$E$405,$AP2624)),"子の生年月日がマスタと相違／","")&amp;IF(AND($L2624&lt;&gt;"",INDEX(職員マスタ!$G$6:$G$405,$AP2624)&lt;&gt;"",$L2624&lt;&gt;INDEX(職員マスタ!$G$6:$G$405,$AP2624)),"時短開始日がマスタと相違／","")&amp;IF(AND($M2624&lt;&gt;"",INDEX(職員マスタ!$H$6:$H$405,$AP2624)&lt;&gt;"",$M2624&lt;&gt;INDEX(職員マスタ!$H$6:$H$405,$AP2624)),"時短終了日がマスタと相違／","")))&amp;IF(AND($B2624&lt;&gt;"",$E2624=""),"報酬額が未入力／","")&amp;IF(N($U2624)&gt;0,"申請書に入力エラーが残っています／","")&amp;IF(AND($B2624&lt;&gt;"",$AQ2624&lt;&gt;""),IF(COUNTIFS($B$6:$B$3005,$B2624,$C$6:$C$3005,$C2624,$D$6:$D$3005,$D2624)&gt;1,"同じ月の請求が重複しています／",""),"")&amp;IF(AND(N($E2624)&gt;0,$AB2624&lt;&gt;"",$AB2624&lt;&gt;"×",$AE2624=0,$AD2624=""),"計算額が下限以下のため不支給／",""))</f>
        <v/>
      </c>
      <c r="AN2624" s="12" t="n"/>
      <c r="AO2624" s="14">
        <f>IF($AF2624="保留中",COUNTIF($AF$6:$AF2624,"保留中"),"")</f>
        <v/>
      </c>
      <c r="AP2624" s="14">
        <f>IF($AQ2624="","",IF(SUMPRODUCT(MAX((職員マスタ!$A$6:$A$405=$B2624)*(((職員マスタ!$G$6:$G$405="")+(職員マスタ!$G$6:$G$405&lt;=EOMONTH($AQ2624,0)))&gt;0)*(((職員マスタ!$H$6:$H$405="")+(職員マスタ!$H$6:$H$405&gt;=$AQ2624))&gt;0)*(ROW(職員マスタ!$A$6:$A$405)-5)))&gt;0,SUMPRODUCT(MAX((職員マスタ!$A$6:$A$405=$B2624)*(((職員マスタ!$G$6:$G$405="")+(職員マスタ!$G$6:$G$405&lt;=EOMONTH($AQ2624,0)))&gt;0)*(((職員マスタ!$H$6:$H$405="")+(職員マスタ!$H$6:$H$405&gt;=$AQ2624))&gt;0)*(ROW(職員マスタ!$A$6:$A$405)-5))),IFERROR(MATCH($B2624,職員マスタ!$A$6:$A$405,0),"")))</f>
        <v/>
      </c>
      <c r="AQ2624" s="16">
        <f>IF(OR($B2624="",$C2624="",$D2624=""),"",DATE($C2624+2018,$D2624,1))</f>
        <v/>
      </c>
    </row>
    <row r="2625">
      <c r="A2625" s="11" t="n"/>
      <c r="B2625" s="12" t="n"/>
      <c r="C2625" s="12" t="n"/>
      <c r="D2625" s="12" t="n"/>
      <c r="E2625" s="13" t="n"/>
      <c r="F2625" s="12" t="n"/>
      <c r="G2625" s="13" t="n"/>
      <c r="H2625" s="12" t="n"/>
      <c r="I2625" s="12" t="n"/>
      <c r="J2625" s="12" t="n"/>
      <c r="K2625" s="12" t="n"/>
      <c r="L2625" s="11" t="n"/>
      <c r="M2625" s="11" t="n"/>
      <c r="N2625" s="11" t="n"/>
      <c r="O2625" s="11" t="n"/>
      <c r="P2625" s="12" t="n"/>
      <c r="Q2625" s="11" t="n"/>
      <c r="R2625" s="12" t="n"/>
      <c r="S2625" s="11" t="n"/>
      <c r="T2625" s="12" t="n"/>
      <c r="U2625" s="12" t="n"/>
      <c r="V2625" s="12" t="n"/>
      <c r="W2625" s="13" t="n"/>
      <c r="X2625" s="14">
        <f>IF($AP2625="",IF($B2625="","",$H2625),IF(INDEX(職員マスタ!$B$6:$B$405,$AP2625)="",$H2625,INDEX(職員マスタ!$B$6:$B$405,$AP2625)))</f>
        <v/>
      </c>
      <c r="Y2625" s="14">
        <f>IF($AP2625="",IF($B2625="","",$R2625),IF(INDEX(職員マスタ!$C$6:$C$405,$AP2625)="",$R2625,INDEX(職員マスタ!$C$6:$C$405,$AP2625)))</f>
        <v/>
      </c>
      <c r="Z2625" s="14">
        <f>IF($AQ2625="","","R"&amp;$C2625&amp;"."&amp;$D2625)</f>
        <v/>
      </c>
      <c r="AA2625" s="15">
        <f>IF(IF($AP2625="",FALSE,INDEX(職員マスタ!$K$6:$K$405,$AP2625)&lt;&gt;""),INDEX(職員マスタ!$K$6:$K$405,$AP2625),IF(N($W2625)&gt;0,$W2625,""))</f>
        <v/>
      </c>
      <c r="AB2625" s="14">
        <f>IF(OR($E2625="",$AA2625=""),"",IF($E2625&gt;=$AA2625,"×",IF($E2625&gt;=$AA2625*設定!$C$5,"△","○")))</f>
        <v/>
      </c>
      <c r="AC2625" s="15">
        <f>IF($AB2625="","",IF($AB2625="×",0,IF($AB2625="○",ROUNDDOWN($E2625*設定!$C$4,0),ROUNDDOWN($E2625*ROUND((9*$AA2625-9*$E2625)/(10*$E2625),4),0))))</f>
        <v/>
      </c>
      <c r="AD2625" s="13" t="n"/>
      <c r="AE2625" s="15">
        <f>IF($B2625="","",IF($AD2625&lt;&gt;"",$AD2625,IF($AC2625="","",IF($AC2625&lt;=設定!$C$3,0,$AC2625))))</f>
        <v/>
      </c>
      <c r="AF2625" s="14">
        <f>IF($B2625="","",IF(AND($AG2625&lt;&gt;"",$AI2625="",$AL2625=""),"保留中",IF($AL2625&lt;&gt;"",IF(N($AE2625)&gt;0,"支給済","不支給"),IF($AE2625="","要確認",IF($AE2625=0,"不支給","未処理")))))</f>
        <v/>
      </c>
      <c r="AG2625" s="12" t="n"/>
      <c r="AH2625" s="11" t="n"/>
      <c r="AI2625" s="11" t="n"/>
      <c r="AJ2625" s="11" t="n"/>
      <c r="AK2625" s="14">
        <f>IF(AND($AF2625="保留中",$AH2625&lt;&gt;""),TODAY()-$AH2625,"")</f>
        <v/>
      </c>
      <c r="AL2625" s="12" t="n"/>
      <c r="AM2625" s="14">
        <f>IF($B2625="","",IF($AQ2625="","対象年月が未入力／","")&amp;IF($B2625="","",IF($AP2625="","職員マスタに未登録の職員番号／",IF($AA2625="","標準報酬月額が未登録／","")&amp;IF(AND($AQ2625&lt;&gt;"",OR(AND(INDEX(職員マスタ!$G$6:$G$405,$AP2625)&lt;&gt;"",INDEX(職員マスタ!$G$6:$G$405,$AP2625)&gt;EOMONTH($AQ2625,0)),AND(INDEX(職員マスタ!$H$6:$H$405,$AP2625)&lt;&gt;"",INDEX(職員マスタ!$H$6:$H$405,$AP2625)&lt;$AQ2625))),"対象月が時短期間外／","")&amp;IF(AND(INDEX(職員マスタ!$K$6:$K$405,$AP2625)&lt;&gt;"",N($W2625)&gt;0,INDEX(職員マスタ!$K$6:$K$405,$AP2625)&lt;&gt;$W2625),"標準報酬月額が申請書と相違（台帳"&amp;TEXT(INDEX(職員マスタ!$K$6:$K$405,$AP2625),"#,##0")&amp;"円／申請書"&amp;TEXT($W2625,"#,##0")&amp;"円）／","")&amp;IF(AND(INDEX(職員マスタ!$F$6:$F$405,$AP2625)&lt;&gt;"",$AQ2625&lt;&gt;"",INDEX(職員マスタ!$F$6:$F$405,$AP2625)&lt;$AQ2625),"対象月に子が2歳到達済／","")&amp;IF(AND($H2625&lt;&gt;"",INDEX(職員マスタ!$B$6:$B$405,$AP2625)&lt;&gt;"",SUBSTITUTE(SUBSTITUTE($H2625," ","")," ","")&lt;&gt;SUBSTITUTE(SUBSTITUTE(INDEX(職員マスタ!$B$6:$B$405,$AP2625)," ","")," ","")),"氏名がマスタと相違／","")&amp;IF(AND($Q2625&lt;&gt;"",INDEX(職員マスタ!$E$6:$E$405,$AP2625)&lt;&gt;"",$Q2625&lt;&gt;INDEX(職員マスタ!$E$6:$E$405,$AP2625)),"子の生年月日がマスタと相違／","")&amp;IF(AND($L2625&lt;&gt;"",INDEX(職員マスタ!$G$6:$G$405,$AP2625)&lt;&gt;"",$L2625&lt;&gt;INDEX(職員マスタ!$G$6:$G$405,$AP2625)),"時短開始日がマスタと相違／","")&amp;IF(AND($M2625&lt;&gt;"",INDEX(職員マスタ!$H$6:$H$405,$AP2625)&lt;&gt;"",$M2625&lt;&gt;INDEX(職員マスタ!$H$6:$H$405,$AP2625)),"時短終了日がマスタと相違／","")))&amp;IF(AND($B2625&lt;&gt;"",$E2625=""),"報酬額が未入力／","")&amp;IF(N($U2625)&gt;0,"申請書に入力エラーが残っています／","")&amp;IF(AND($B2625&lt;&gt;"",$AQ2625&lt;&gt;""),IF(COUNTIFS($B$6:$B$3005,$B2625,$C$6:$C$3005,$C2625,$D$6:$D$3005,$D2625)&gt;1,"同じ月の請求が重複しています／",""),"")&amp;IF(AND(N($E2625)&gt;0,$AB2625&lt;&gt;"",$AB2625&lt;&gt;"×",$AE2625=0,$AD2625=""),"計算額が下限以下のため不支給／",""))</f>
        <v/>
      </c>
      <c r="AN2625" s="12" t="n"/>
      <c r="AO2625" s="14">
        <f>IF($AF2625="保留中",COUNTIF($AF$6:$AF2625,"保留中"),"")</f>
        <v/>
      </c>
      <c r="AP2625" s="14">
        <f>IF($AQ2625="","",IF(SUMPRODUCT(MAX((職員マスタ!$A$6:$A$405=$B2625)*(((職員マスタ!$G$6:$G$405="")+(職員マスタ!$G$6:$G$405&lt;=EOMONTH($AQ2625,0)))&gt;0)*(((職員マスタ!$H$6:$H$405="")+(職員マスタ!$H$6:$H$405&gt;=$AQ2625))&gt;0)*(ROW(職員マスタ!$A$6:$A$405)-5)))&gt;0,SUMPRODUCT(MAX((職員マスタ!$A$6:$A$405=$B2625)*(((職員マスタ!$G$6:$G$405="")+(職員マスタ!$G$6:$G$405&lt;=EOMONTH($AQ2625,0)))&gt;0)*(((職員マスタ!$H$6:$H$405="")+(職員マスタ!$H$6:$H$405&gt;=$AQ2625))&gt;0)*(ROW(職員マスタ!$A$6:$A$405)-5))),IFERROR(MATCH($B2625,職員マスタ!$A$6:$A$405,0),"")))</f>
        <v/>
      </c>
      <c r="AQ2625" s="16">
        <f>IF(OR($B2625="",$C2625="",$D2625=""),"",DATE($C2625+2018,$D2625,1))</f>
        <v/>
      </c>
    </row>
    <row r="2626">
      <c r="A2626" s="11" t="n"/>
      <c r="B2626" s="12" t="n"/>
      <c r="C2626" s="12" t="n"/>
      <c r="D2626" s="12" t="n"/>
      <c r="E2626" s="13" t="n"/>
      <c r="F2626" s="12" t="n"/>
      <c r="G2626" s="13" t="n"/>
      <c r="H2626" s="12" t="n"/>
      <c r="I2626" s="12" t="n"/>
      <c r="J2626" s="12" t="n"/>
      <c r="K2626" s="12" t="n"/>
      <c r="L2626" s="11" t="n"/>
      <c r="M2626" s="11" t="n"/>
      <c r="N2626" s="11" t="n"/>
      <c r="O2626" s="11" t="n"/>
      <c r="P2626" s="12" t="n"/>
      <c r="Q2626" s="11" t="n"/>
      <c r="R2626" s="12" t="n"/>
      <c r="S2626" s="11" t="n"/>
      <c r="T2626" s="12" t="n"/>
      <c r="U2626" s="12" t="n"/>
      <c r="V2626" s="12" t="n"/>
      <c r="W2626" s="13" t="n"/>
      <c r="X2626" s="14">
        <f>IF($AP2626="",IF($B2626="","",$H2626),IF(INDEX(職員マスタ!$B$6:$B$405,$AP2626)="",$H2626,INDEX(職員マスタ!$B$6:$B$405,$AP2626)))</f>
        <v/>
      </c>
      <c r="Y2626" s="14">
        <f>IF($AP2626="",IF($B2626="","",$R2626),IF(INDEX(職員マスタ!$C$6:$C$405,$AP2626)="",$R2626,INDEX(職員マスタ!$C$6:$C$405,$AP2626)))</f>
        <v/>
      </c>
      <c r="Z2626" s="14">
        <f>IF($AQ2626="","","R"&amp;$C2626&amp;"."&amp;$D2626)</f>
        <v/>
      </c>
      <c r="AA2626" s="15">
        <f>IF(IF($AP2626="",FALSE,INDEX(職員マスタ!$K$6:$K$405,$AP2626)&lt;&gt;""),INDEX(職員マスタ!$K$6:$K$405,$AP2626),IF(N($W2626)&gt;0,$W2626,""))</f>
        <v/>
      </c>
      <c r="AB2626" s="14">
        <f>IF(OR($E2626="",$AA2626=""),"",IF($E2626&gt;=$AA2626,"×",IF($E2626&gt;=$AA2626*設定!$C$5,"△","○")))</f>
        <v/>
      </c>
      <c r="AC2626" s="15">
        <f>IF($AB2626="","",IF($AB2626="×",0,IF($AB2626="○",ROUNDDOWN($E2626*設定!$C$4,0),ROUNDDOWN($E2626*ROUND((9*$AA2626-9*$E2626)/(10*$E2626),4),0))))</f>
        <v/>
      </c>
      <c r="AD2626" s="13" t="n"/>
      <c r="AE2626" s="15">
        <f>IF($B2626="","",IF($AD2626&lt;&gt;"",$AD2626,IF($AC2626="","",IF($AC2626&lt;=設定!$C$3,0,$AC2626))))</f>
        <v/>
      </c>
      <c r="AF2626" s="14">
        <f>IF($B2626="","",IF(AND($AG2626&lt;&gt;"",$AI2626="",$AL2626=""),"保留中",IF($AL2626&lt;&gt;"",IF(N($AE2626)&gt;0,"支給済","不支給"),IF($AE2626="","要確認",IF($AE2626=0,"不支給","未処理")))))</f>
        <v/>
      </c>
      <c r="AG2626" s="12" t="n"/>
      <c r="AH2626" s="11" t="n"/>
      <c r="AI2626" s="11" t="n"/>
      <c r="AJ2626" s="11" t="n"/>
      <c r="AK2626" s="14">
        <f>IF(AND($AF2626="保留中",$AH2626&lt;&gt;""),TODAY()-$AH2626,"")</f>
        <v/>
      </c>
      <c r="AL2626" s="12" t="n"/>
      <c r="AM2626" s="14">
        <f>IF($B2626="","",IF($AQ2626="","対象年月が未入力／","")&amp;IF($B2626="","",IF($AP2626="","職員マスタに未登録の職員番号／",IF($AA2626="","標準報酬月額が未登録／","")&amp;IF(AND($AQ2626&lt;&gt;"",OR(AND(INDEX(職員マスタ!$G$6:$G$405,$AP2626)&lt;&gt;"",INDEX(職員マスタ!$G$6:$G$405,$AP2626)&gt;EOMONTH($AQ2626,0)),AND(INDEX(職員マスタ!$H$6:$H$405,$AP2626)&lt;&gt;"",INDEX(職員マスタ!$H$6:$H$405,$AP2626)&lt;$AQ2626))),"対象月が時短期間外／","")&amp;IF(AND(INDEX(職員マスタ!$K$6:$K$405,$AP2626)&lt;&gt;"",N($W2626)&gt;0,INDEX(職員マスタ!$K$6:$K$405,$AP2626)&lt;&gt;$W2626),"標準報酬月額が申請書と相違（台帳"&amp;TEXT(INDEX(職員マスタ!$K$6:$K$405,$AP2626),"#,##0")&amp;"円／申請書"&amp;TEXT($W2626,"#,##0")&amp;"円）／","")&amp;IF(AND(INDEX(職員マスタ!$F$6:$F$405,$AP2626)&lt;&gt;"",$AQ2626&lt;&gt;"",INDEX(職員マスタ!$F$6:$F$405,$AP2626)&lt;$AQ2626),"対象月に子が2歳到達済／","")&amp;IF(AND($H2626&lt;&gt;"",INDEX(職員マスタ!$B$6:$B$405,$AP2626)&lt;&gt;"",SUBSTITUTE(SUBSTITUTE($H2626," ","")," ","")&lt;&gt;SUBSTITUTE(SUBSTITUTE(INDEX(職員マスタ!$B$6:$B$405,$AP2626)," ","")," ","")),"氏名がマスタと相違／","")&amp;IF(AND($Q2626&lt;&gt;"",INDEX(職員マスタ!$E$6:$E$405,$AP2626)&lt;&gt;"",$Q2626&lt;&gt;INDEX(職員マスタ!$E$6:$E$405,$AP2626)),"子の生年月日がマスタと相違／","")&amp;IF(AND($L2626&lt;&gt;"",INDEX(職員マスタ!$G$6:$G$405,$AP2626)&lt;&gt;"",$L2626&lt;&gt;INDEX(職員マスタ!$G$6:$G$405,$AP2626)),"時短開始日がマスタと相違／","")&amp;IF(AND($M2626&lt;&gt;"",INDEX(職員マスタ!$H$6:$H$405,$AP2626)&lt;&gt;"",$M2626&lt;&gt;INDEX(職員マスタ!$H$6:$H$405,$AP2626)),"時短終了日がマスタと相違／","")))&amp;IF(AND($B2626&lt;&gt;"",$E2626=""),"報酬額が未入力／","")&amp;IF(N($U2626)&gt;0,"申請書に入力エラーが残っています／","")&amp;IF(AND($B2626&lt;&gt;"",$AQ2626&lt;&gt;""),IF(COUNTIFS($B$6:$B$3005,$B2626,$C$6:$C$3005,$C2626,$D$6:$D$3005,$D2626)&gt;1,"同じ月の請求が重複しています／",""),"")&amp;IF(AND(N($E2626)&gt;0,$AB2626&lt;&gt;"",$AB2626&lt;&gt;"×",$AE2626=0,$AD2626=""),"計算額が下限以下のため不支給／",""))</f>
        <v/>
      </c>
      <c r="AN2626" s="12" t="n"/>
      <c r="AO2626" s="14">
        <f>IF($AF2626="保留中",COUNTIF($AF$6:$AF2626,"保留中"),"")</f>
        <v/>
      </c>
      <c r="AP2626" s="14">
        <f>IF($AQ2626="","",IF(SUMPRODUCT(MAX((職員マスタ!$A$6:$A$405=$B2626)*(((職員マスタ!$G$6:$G$405="")+(職員マスタ!$G$6:$G$405&lt;=EOMONTH($AQ2626,0)))&gt;0)*(((職員マスタ!$H$6:$H$405="")+(職員マスタ!$H$6:$H$405&gt;=$AQ2626))&gt;0)*(ROW(職員マスタ!$A$6:$A$405)-5)))&gt;0,SUMPRODUCT(MAX((職員マスタ!$A$6:$A$405=$B2626)*(((職員マスタ!$G$6:$G$405="")+(職員マスタ!$G$6:$G$405&lt;=EOMONTH($AQ2626,0)))&gt;0)*(((職員マスタ!$H$6:$H$405="")+(職員マスタ!$H$6:$H$405&gt;=$AQ2626))&gt;0)*(ROW(職員マスタ!$A$6:$A$405)-5))),IFERROR(MATCH($B2626,職員マスタ!$A$6:$A$405,0),"")))</f>
        <v/>
      </c>
      <c r="AQ2626" s="16">
        <f>IF(OR($B2626="",$C2626="",$D2626=""),"",DATE($C2626+2018,$D2626,1))</f>
        <v/>
      </c>
    </row>
    <row r="2627">
      <c r="A2627" s="11" t="n"/>
      <c r="B2627" s="12" t="n"/>
      <c r="C2627" s="12" t="n"/>
      <c r="D2627" s="12" t="n"/>
      <c r="E2627" s="13" t="n"/>
      <c r="F2627" s="12" t="n"/>
      <c r="G2627" s="13" t="n"/>
      <c r="H2627" s="12" t="n"/>
      <c r="I2627" s="12" t="n"/>
      <c r="J2627" s="12" t="n"/>
      <c r="K2627" s="12" t="n"/>
      <c r="L2627" s="11" t="n"/>
      <c r="M2627" s="11" t="n"/>
      <c r="N2627" s="11" t="n"/>
      <c r="O2627" s="11" t="n"/>
      <c r="P2627" s="12" t="n"/>
      <c r="Q2627" s="11" t="n"/>
      <c r="R2627" s="12" t="n"/>
      <c r="S2627" s="11" t="n"/>
      <c r="T2627" s="12" t="n"/>
      <c r="U2627" s="12" t="n"/>
      <c r="V2627" s="12" t="n"/>
      <c r="W2627" s="13" t="n"/>
      <c r="X2627" s="14">
        <f>IF($AP2627="",IF($B2627="","",$H2627),IF(INDEX(職員マスタ!$B$6:$B$405,$AP2627)="",$H2627,INDEX(職員マスタ!$B$6:$B$405,$AP2627)))</f>
        <v/>
      </c>
      <c r="Y2627" s="14">
        <f>IF($AP2627="",IF($B2627="","",$R2627),IF(INDEX(職員マスタ!$C$6:$C$405,$AP2627)="",$R2627,INDEX(職員マスタ!$C$6:$C$405,$AP2627)))</f>
        <v/>
      </c>
      <c r="Z2627" s="14">
        <f>IF($AQ2627="","","R"&amp;$C2627&amp;"."&amp;$D2627)</f>
        <v/>
      </c>
      <c r="AA2627" s="15">
        <f>IF(IF($AP2627="",FALSE,INDEX(職員マスタ!$K$6:$K$405,$AP2627)&lt;&gt;""),INDEX(職員マスタ!$K$6:$K$405,$AP2627),IF(N($W2627)&gt;0,$W2627,""))</f>
        <v/>
      </c>
      <c r="AB2627" s="14">
        <f>IF(OR($E2627="",$AA2627=""),"",IF($E2627&gt;=$AA2627,"×",IF($E2627&gt;=$AA2627*設定!$C$5,"△","○")))</f>
        <v/>
      </c>
      <c r="AC2627" s="15">
        <f>IF($AB2627="","",IF($AB2627="×",0,IF($AB2627="○",ROUNDDOWN($E2627*設定!$C$4,0),ROUNDDOWN($E2627*ROUND((9*$AA2627-9*$E2627)/(10*$E2627),4),0))))</f>
        <v/>
      </c>
      <c r="AD2627" s="13" t="n"/>
      <c r="AE2627" s="15">
        <f>IF($B2627="","",IF($AD2627&lt;&gt;"",$AD2627,IF($AC2627="","",IF($AC2627&lt;=設定!$C$3,0,$AC2627))))</f>
        <v/>
      </c>
      <c r="AF2627" s="14">
        <f>IF($B2627="","",IF(AND($AG2627&lt;&gt;"",$AI2627="",$AL2627=""),"保留中",IF($AL2627&lt;&gt;"",IF(N($AE2627)&gt;0,"支給済","不支給"),IF($AE2627="","要確認",IF($AE2627=0,"不支給","未処理")))))</f>
        <v/>
      </c>
      <c r="AG2627" s="12" t="n"/>
      <c r="AH2627" s="11" t="n"/>
      <c r="AI2627" s="11" t="n"/>
      <c r="AJ2627" s="11" t="n"/>
      <c r="AK2627" s="14">
        <f>IF(AND($AF2627="保留中",$AH2627&lt;&gt;""),TODAY()-$AH2627,"")</f>
        <v/>
      </c>
      <c r="AL2627" s="12" t="n"/>
      <c r="AM2627" s="14">
        <f>IF($B2627="","",IF($AQ2627="","対象年月が未入力／","")&amp;IF($B2627="","",IF($AP2627="","職員マスタに未登録の職員番号／",IF($AA2627="","標準報酬月額が未登録／","")&amp;IF(AND($AQ2627&lt;&gt;"",OR(AND(INDEX(職員マスタ!$G$6:$G$405,$AP2627)&lt;&gt;"",INDEX(職員マスタ!$G$6:$G$405,$AP2627)&gt;EOMONTH($AQ2627,0)),AND(INDEX(職員マスタ!$H$6:$H$405,$AP2627)&lt;&gt;"",INDEX(職員マスタ!$H$6:$H$405,$AP2627)&lt;$AQ2627))),"対象月が時短期間外／","")&amp;IF(AND(INDEX(職員マスタ!$K$6:$K$405,$AP2627)&lt;&gt;"",N($W2627)&gt;0,INDEX(職員マスタ!$K$6:$K$405,$AP2627)&lt;&gt;$W2627),"標準報酬月額が申請書と相違（台帳"&amp;TEXT(INDEX(職員マスタ!$K$6:$K$405,$AP2627),"#,##0")&amp;"円／申請書"&amp;TEXT($W2627,"#,##0")&amp;"円）／","")&amp;IF(AND(INDEX(職員マスタ!$F$6:$F$405,$AP2627)&lt;&gt;"",$AQ2627&lt;&gt;"",INDEX(職員マスタ!$F$6:$F$405,$AP2627)&lt;$AQ2627),"対象月に子が2歳到達済／","")&amp;IF(AND($H2627&lt;&gt;"",INDEX(職員マスタ!$B$6:$B$405,$AP2627)&lt;&gt;"",SUBSTITUTE(SUBSTITUTE($H2627," ","")," ","")&lt;&gt;SUBSTITUTE(SUBSTITUTE(INDEX(職員マスタ!$B$6:$B$405,$AP2627)," ","")," ","")),"氏名がマスタと相違／","")&amp;IF(AND($Q2627&lt;&gt;"",INDEX(職員マスタ!$E$6:$E$405,$AP2627)&lt;&gt;"",$Q2627&lt;&gt;INDEX(職員マスタ!$E$6:$E$405,$AP2627)),"子の生年月日がマスタと相違／","")&amp;IF(AND($L2627&lt;&gt;"",INDEX(職員マスタ!$G$6:$G$405,$AP2627)&lt;&gt;"",$L2627&lt;&gt;INDEX(職員マスタ!$G$6:$G$405,$AP2627)),"時短開始日がマスタと相違／","")&amp;IF(AND($M2627&lt;&gt;"",INDEX(職員マスタ!$H$6:$H$405,$AP2627)&lt;&gt;"",$M2627&lt;&gt;INDEX(職員マスタ!$H$6:$H$405,$AP2627)),"時短終了日がマスタと相違／","")))&amp;IF(AND($B2627&lt;&gt;"",$E2627=""),"報酬額が未入力／","")&amp;IF(N($U2627)&gt;0,"申請書に入力エラーが残っています／","")&amp;IF(AND($B2627&lt;&gt;"",$AQ2627&lt;&gt;""),IF(COUNTIFS($B$6:$B$3005,$B2627,$C$6:$C$3005,$C2627,$D$6:$D$3005,$D2627)&gt;1,"同じ月の請求が重複しています／",""),"")&amp;IF(AND(N($E2627)&gt;0,$AB2627&lt;&gt;"",$AB2627&lt;&gt;"×",$AE2627=0,$AD2627=""),"計算額が下限以下のため不支給／",""))</f>
        <v/>
      </c>
      <c r="AN2627" s="12" t="n"/>
      <c r="AO2627" s="14">
        <f>IF($AF2627="保留中",COUNTIF($AF$6:$AF2627,"保留中"),"")</f>
        <v/>
      </c>
      <c r="AP2627" s="14">
        <f>IF($AQ2627="","",IF(SUMPRODUCT(MAX((職員マスタ!$A$6:$A$405=$B2627)*(((職員マスタ!$G$6:$G$405="")+(職員マスタ!$G$6:$G$405&lt;=EOMONTH($AQ2627,0)))&gt;0)*(((職員マスタ!$H$6:$H$405="")+(職員マスタ!$H$6:$H$405&gt;=$AQ2627))&gt;0)*(ROW(職員マスタ!$A$6:$A$405)-5)))&gt;0,SUMPRODUCT(MAX((職員マスタ!$A$6:$A$405=$B2627)*(((職員マスタ!$G$6:$G$405="")+(職員マスタ!$G$6:$G$405&lt;=EOMONTH($AQ2627,0)))&gt;0)*(((職員マスタ!$H$6:$H$405="")+(職員マスタ!$H$6:$H$405&gt;=$AQ2627))&gt;0)*(ROW(職員マスタ!$A$6:$A$405)-5))),IFERROR(MATCH($B2627,職員マスタ!$A$6:$A$405,0),"")))</f>
        <v/>
      </c>
      <c r="AQ2627" s="16">
        <f>IF(OR($B2627="",$C2627="",$D2627=""),"",DATE($C2627+2018,$D2627,1))</f>
        <v/>
      </c>
    </row>
    <row r="2628">
      <c r="A2628" s="11" t="n"/>
      <c r="B2628" s="12" t="n"/>
      <c r="C2628" s="12" t="n"/>
      <c r="D2628" s="12" t="n"/>
      <c r="E2628" s="13" t="n"/>
      <c r="F2628" s="12" t="n"/>
      <c r="G2628" s="13" t="n"/>
      <c r="H2628" s="12" t="n"/>
      <c r="I2628" s="12" t="n"/>
      <c r="J2628" s="12" t="n"/>
      <c r="K2628" s="12" t="n"/>
      <c r="L2628" s="11" t="n"/>
      <c r="M2628" s="11" t="n"/>
      <c r="N2628" s="11" t="n"/>
      <c r="O2628" s="11" t="n"/>
      <c r="P2628" s="12" t="n"/>
      <c r="Q2628" s="11" t="n"/>
      <c r="R2628" s="12" t="n"/>
      <c r="S2628" s="11" t="n"/>
      <c r="T2628" s="12" t="n"/>
      <c r="U2628" s="12" t="n"/>
      <c r="V2628" s="12" t="n"/>
      <c r="W2628" s="13" t="n"/>
      <c r="X2628" s="14">
        <f>IF($AP2628="",IF($B2628="","",$H2628),IF(INDEX(職員マスタ!$B$6:$B$405,$AP2628)="",$H2628,INDEX(職員マスタ!$B$6:$B$405,$AP2628)))</f>
        <v/>
      </c>
      <c r="Y2628" s="14">
        <f>IF($AP2628="",IF($B2628="","",$R2628),IF(INDEX(職員マスタ!$C$6:$C$405,$AP2628)="",$R2628,INDEX(職員マスタ!$C$6:$C$405,$AP2628)))</f>
        <v/>
      </c>
      <c r="Z2628" s="14">
        <f>IF($AQ2628="","","R"&amp;$C2628&amp;"."&amp;$D2628)</f>
        <v/>
      </c>
      <c r="AA2628" s="15">
        <f>IF(IF($AP2628="",FALSE,INDEX(職員マスタ!$K$6:$K$405,$AP2628)&lt;&gt;""),INDEX(職員マスタ!$K$6:$K$405,$AP2628),IF(N($W2628)&gt;0,$W2628,""))</f>
        <v/>
      </c>
      <c r="AB2628" s="14">
        <f>IF(OR($E2628="",$AA2628=""),"",IF($E2628&gt;=$AA2628,"×",IF($E2628&gt;=$AA2628*設定!$C$5,"△","○")))</f>
        <v/>
      </c>
      <c r="AC2628" s="15">
        <f>IF($AB2628="","",IF($AB2628="×",0,IF($AB2628="○",ROUNDDOWN($E2628*設定!$C$4,0),ROUNDDOWN($E2628*ROUND((9*$AA2628-9*$E2628)/(10*$E2628),4),0))))</f>
        <v/>
      </c>
      <c r="AD2628" s="13" t="n"/>
      <c r="AE2628" s="15">
        <f>IF($B2628="","",IF($AD2628&lt;&gt;"",$AD2628,IF($AC2628="","",IF($AC2628&lt;=設定!$C$3,0,$AC2628))))</f>
        <v/>
      </c>
      <c r="AF2628" s="14">
        <f>IF($B2628="","",IF(AND($AG2628&lt;&gt;"",$AI2628="",$AL2628=""),"保留中",IF($AL2628&lt;&gt;"",IF(N($AE2628)&gt;0,"支給済","不支給"),IF($AE2628="","要確認",IF($AE2628=0,"不支給","未処理")))))</f>
        <v/>
      </c>
      <c r="AG2628" s="12" t="n"/>
      <c r="AH2628" s="11" t="n"/>
      <c r="AI2628" s="11" t="n"/>
      <c r="AJ2628" s="11" t="n"/>
      <c r="AK2628" s="14">
        <f>IF(AND($AF2628="保留中",$AH2628&lt;&gt;""),TODAY()-$AH2628,"")</f>
        <v/>
      </c>
      <c r="AL2628" s="12" t="n"/>
      <c r="AM2628" s="14">
        <f>IF($B2628="","",IF($AQ2628="","対象年月が未入力／","")&amp;IF($B2628="","",IF($AP2628="","職員マスタに未登録の職員番号／",IF($AA2628="","標準報酬月額が未登録／","")&amp;IF(AND($AQ2628&lt;&gt;"",OR(AND(INDEX(職員マスタ!$G$6:$G$405,$AP2628)&lt;&gt;"",INDEX(職員マスタ!$G$6:$G$405,$AP2628)&gt;EOMONTH($AQ2628,0)),AND(INDEX(職員マスタ!$H$6:$H$405,$AP2628)&lt;&gt;"",INDEX(職員マスタ!$H$6:$H$405,$AP2628)&lt;$AQ2628))),"対象月が時短期間外／","")&amp;IF(AND(INDEX(職員マスタ!$K$6:$K$405,$AP2628)&lt;&gt;"",N($W2628)&gt;0,INDEX(職員マスタ!$K$6:$K$405,$AP2628)&lt;&gt;$W2628),"標準報酬月額が申請書と相違（台帳"&amp;TEXT(INDEX(職員マスタ!$K$6:$K$405,$AP2628),"#,##0")&amp;"円／申請書"&amp;TEXT($W2628,"#,##0")&amp;"円）／","")&amp;IF(AND(INDEX(職員マスタ!$F$6:$F$405,$AP2628)&lt;&gt;"",$AQ2628&lt;&gt;"",INDEX(職員マスタ!$F$6:$F$405,$AP2628)&lt;$AQ2628),"対象月に子が2歳到達済／","")&amp;IF(AND($H2628&lt;&gt;"",INDEX(職員マスタ!$B$6:$B$405,$AP2628)&lt;&gt;"",SUBSTITUTE(SUBSTITUTE($H2628," ","")," ","")&lt;&gt;SUBSTITUTE(SUBSTITUTE(INDEX(職員マスタ!$B$6:$B$405,$AP2628)," ","")," ","")),"氏名がマスタと相違／","")&amp;IF(AND($Q2628&lt;&gt;"",INDEX(職員マスタ!$E$6:$E$405,$AP2628)&lt;&gt;"",$Q2628&lt;&gt;INDEX(職員マスタ!$E$6:$E$405,$AP2628)),"子の生年月日がマスタと相違／","")&amp;IF(AND($L2628&lt;&gt;"",INDEX(職員マスタ!$G$6:$G$405,$AP2628)&lt;&gt;"",$L2628&lt;&gt;INDEX(職員マスタ!$G$6:$G$405,$AP2628)),"時短開始日がマスタと相違／","")&amp;IF(AND($M2628&lt;&gt;"",INDEX(職員マスタ!$H$6:$H$405,$AP2628)&lt;&gt;"",$M2628&lt;&gt;INDEX(職員マスタ!$H$6:$H$405,$AP2628)),"時短終了日がマスタと相違／","")))&amp;IF(AND($B2628&lt;&gt;"",$E2628=""),"報酬額が未入力／","")&amp;IF(N($U2628)&gt;0,"申請書に入力エラーが残っています／","")&amp;IF(AND($B2628&lt;&gt;"",$AQ2628&lt;&gt;""),IF(COUNTIFS($B$6:$B$3005,$B2628,$C$6:$C$3005,$C2628,$D$6:$D$3005,$D2628)&gt;1,"同じ月の請求が重複しています／",""),"")&amp;IF(AND(N($E2628)&gt;0,$AB2628&lt;&gt;"",$AB2628&lt;&gt;"×",$AE2628=0,$AD2628=""),"計算額が下限以下のため不支給／",""))</f>
        <v/>
      </c>
      <c r="AN2628" s="12" t="n"/>
      <c r="AO2628" s="14">
        <f>IF($AF2628="保留中",COUNTIF($AF$6:$AF2628,"保留中"),"")</f>
        <v/>
      </c>
      <c r="AP2628" s="14">
        <f>IF($AQ2628="","",IF(SUMPRODUCT(MAX((職員マスタ!$A$6:$A$405=$B2628)*(((職員マスタ!$G$6:$G$405="")+(職員マスタ!$G$6:$G$405&lt;=EOMONTH($AQ2628,0)))&gt;0)*(((職員マスタ!$H$6:$H$405="")+(職員マスタ!$H$6:$H$405&gt;=$AQ2628))&gt;0)*(ROW(職員マスタ!$A$6:$A$405)-5)))&gt;0,SUMPRODUCT(MAX((職員マスタ!$A$6:$A$405=$B2628)*(((職員マスタ!$G$6:$G$405="")+(職員マスタ!$G$6:$G$405&lt;=EOMONTH($AQ2628,0)))&gt;0)*(((職員マスタ!$H$6:$H$405="")+(職員マスタ!$H$6:$H$405&gt;=$AQ2628))&gt;0)*(ROW(職員マスタ!$A$6:$A$405)-5))),IFERROR(MATCH($B2628,職員マスタ!$A$6:$A$405,0),"")))</f>
        <v/>
      </c>
      <c r="AQ2628" s="16">
        <f>IF(OR($B2628="",$C2628="",$D2628=""),"",DATE($C2628+2018,$D2628,1))</f>
        <v/>
      </c>
    </row>
    <row r="2629">
      <c r="A2629" s="11" t="n"/>
      <c r="B2629" s="12" t="n"/>
      <c r="C2629" s="12" t="n"/>
      <c r="D2629" s="12" t="n"/>
      <c r="E2629" s="13" t="n"/>
      <c r="F2629" s="12" t="n"/>
      <c r="G2629" s="13" t="n"/>
      <c r="H2629" s="12" t="n"/>
      <c r="I2629" s="12" t="n"/>
      <c r="J2629" s="12" t="n"/>
      <c r="K2629" s="12" t="n"/>
      <c r="L2629" s="11" t="n"/>
      <c r="M2629" s="11" t="n"/>
      <c r="N2629" s="11" t="n"/>
      <c r="O2629" s="11" t="n"/>
      <c r="P2629" s="12" t="n"/>
      <c r="Q2629" s="11" t="n"/>
      <c r="R2629" s="12" t="n"/>
      <c r="S2629" s="11" t="n"/>
      <c r="T2629" s="12" t="n"/>
      <c r="U2629" s="12" t="n"/>
      <c r="V2629" s="12" t="n"/>
      <c r="W2629" s="13" t="n"/>
      <c r="X2629" s="14">
        <f>IF($AP2629="",IF($B2629="","",$H2629),IF(INDEX(職員マスタ!$B$6:$B$405,$AP2629)="",$H2629,INDEX(職員マスタ!$B$6:$B$405,$AP2629)))</f>
        <v/>
      </c>
      <c r="Y2629" s="14">
        <f>IF($AP2629="",IF($B2629="","",$R2629),IF(INDEX(職員マスタ!$C$6:$C$405,$AP2629)="",$R2629,INDEX(職員マスタ!$C$6:$C$405,$AP2629)))</f>
        <v/>
      </c>
      <c r="Z2629" s="14">
        <f>IF($AQ2629="","","R"&amp;$C2629&amp;"."&amp;$D2629)</f>
        <v/>
      </c>
      <c r="AA2629" s="15">
        <f>IF(IF($AP2629="",FALSE,INDEX(職員マスタ!$K$6:$K$405,$AP2629)&lt;&gt;""),INDEX(職員マスタ!$K$6:$K$405,$AP2629),IF(N($W2629)&gt;0,$W2629,""))</f>
        <v/>
      </c>
      <c r="AB2629" s="14">
        <f>IF(OR($E2629="",$AA2629=""),"",IF($E2629&gt;=$AA2629,"×",IF($E2629&gt;=$AA2629*設定!$C$5,"△","○")))</f>
        <v/>
      </c>
      <c r="AC2629" s="15">
        <f>IF($AB2629="","",IF($AB2629="×",0,IF($AB2629="○",ROUNDDOWN($E2629*設定!$C$4,0),ROUNDDOWN($E2629*ROUND((9*$AA2629-9*$E2629)/(10*$E2629),4),0))))</f>
        <v/>
      </c>
      <c r="AD2629" s="13" t="n"/>
      <c r="AE2629" s="15">
        <f>IF($B2629="","",IF($AD2629&lt;&gt;"",$AD2629,IF($AC2629="","",IF($AC2629&lt;=設定!$C$3,0,$AC2629))))</f>
        <v/>
      </c>
      <c r="AF2629" s="14">
        <f>IF($B2629="","",IF(AND($AG2629&lt;&gt;"",$AI2629="",$AL2629=""),"保留中",IF($AL2629&lt;&gt;"",IF(N($AE2629)&gt;0,"支給済","不支給"),IF($AE2629="","要確認",IF($AE2629=0,"不支給","未処理")))))</f>
        <v/>
      </c>
      <c r="AG2629" s="12" t="n"/>
      <c r="AH2629" s="11" t="n"/>
      <c r="AI2629" s="11" t="n"/>
      <c r="AJ2629" s="11" t="n"/>
      <c r="AK2629" s="14">
        <f>IF(AND($AF2629="保留中",$AH2629&lt;&gt;""),TODAY()-$AH2629,"")</f>
        <v/>
      </c>
      <c r="AL2629" s="12" t="n"/>
      <c r="AM2629" s="14">
        <f>IF($B2629="","",IF($AQ2629="","対象年月が未入力／","")&amp;IF($B2629="","",IF($AP2629="","職員マスタに未登録の職員番号／",IF($AA2629="","標準報酬月額が未登録／","")&amp;IF(AND($AQ2629&lt;&gt;"",OR(AND(INDEX(職員マスタ!$G$6:$G$405,$AP2629)&lt;&gt;"",INDEX(職員マスタ!$G$6:$G$405,$AP2629)&gt;EOMONTH($AQ2629,0)),AND(INDEX(職員マスタ!$H$6:$H$405,$AP2629)&lt;&gt;"",INDEX(職員マスタ!$H$6:$H$405,$AP2629)&lt;$AQ2629))),"対象月が時短期間外／","")&amp;IF(AND(INDEX(職員マスタ!$K$6:$K$405,$AP2629)&lt;&gt;"",N($W2629)&gt;0,INDEX(職員マスタ!$K$6:$K$405,$AP2629)&lt;&gt;$W2629),"標準報酬月額が申請書と相違（台帳"&amp;TEXT(INDEX(職員マスタ!$K$6:$K$405,$AP2629),"#,##0")&amp;"円／申請書"&amp;TEXT($W2629,"#,##0")&amp;"円）／","")&amp;IF(AND(INDEX(職員マスタ!$F$6:$F$405,$AP2629)&lt;&gt;"",$AQ2629&lt;&gt;"",INDEX(職員マスタ!$F$6:$F$405,$AP2629)&lt;$AQ2629),"対象月に子が2歳到達済／","")&amp;IF(AND($H2629&lt;&gt;"",INDEX(職員マスタ!$B$6:$B$405,$AP2629)&lt;&gt;"",SUBSTITUTE(SUBSTITUTE($H2629," ","")," ","")&lt;&gt;SUBSTITUTE(SUBSTITUTE(INDEX(職員マスタ!$B$6:$B$405,$AP2629)," ","")," ","")),"氏名がマスタと相違／","")&amp;IF(AND($Q2629&lt;&gt;"",INDEX(職員マスタ!$E$6:$E$405,$AP2629)&lt;&gt;"",$Q2629&lt;&gt;INDEX(職員マスタ!$E$6:$E$405,$AP2629)),"子の生年月日がマスタと相違／","")&amp;IF(AND($L2629&lt;&gt;"",INDEX(職員マスタ!$G$6:$G$405,$AP2629)&lt;&gt;"",$L2629&lt;&gt;INDEX(職員マスタ!$G$6:$G$405,$AP2629)),"時短開始日がマスタと相違／","")&amp;IF(AND($M2629&lt;&gt;"",INDEX(職員マスタ!$H$6:$H$405,$AP2629)&lt;&gt;"",$M2629&lt;&gt;INDEX(職員マスタ!$H$6:$H$405,$AP2629)),"時短終了日がマスタと相違／","")))&amp;IF(AND($B2629&lt;&gt;"",$E2629=""),"報酬額が未入力／","")&amp;IF(N($U2629)&gt;0,"申請書に入力エラーが残っています／","")&amp;IF(AND($B2629&lt;&gt;"",$AQ2629&lt;&gt;""),IF(COUNTIFS($B$6:$B$3005,$B2629,$C$6:$C$3005,$C2629,$D$6:$D$3005,$D2629)&gt;1,"同じ月の請求が重複しています／",""),"")&amp;IF(AND(N($E2629)&gt;0,$AB2629&lt;&gt;"",$AB2629&lt;&gt;"×",$AE2629=0,$AD2629=""),"計算額が下限以下のため不支給／",""))</f>
        <v/>
      </c>
      <c r="AN2629" s="12" t="n"/>
      <c r="AO2629" s="14">
        <f>IF($AF2629="保留中",COUNTIF($AF$6:$AF2629,"保留中"),"")</f>
        <v/>
      </c>
      <c r="AP2629" s="14">
        <f>IF($AQ2629="","",IF(SUMPRODUCT(MAX((職員マスタ!$A$6:$A$405=$B2629)*(((職員マスタ!$G$6:$G$405="")+(職員マスタ!$G$6:$G$405&lt;=EOMONTH($AQ2629,0)))&gt;0)*(((職員マスタ!$H$6:$H$405="")+(職員マスタ!$H$6:$H$405&gt;=$AQ2629))&gt;0)*(ROW(職員マスタ!$A$6:$A$405)-5)))&gt;0,SUMPRODUCT(MAX((職員マスタ!$A$6:$A$405=$B2629)*(((職員マスタ!$G$6:$G$405="")+(職員マスタ!$G$6:$G$405&lt;=EOMONTH($AQ2629,0)))&gt;0)*(((職員マスタ!$H$6:$H$405="")+(職員マスタ!$H$6:$H$405&gt;=$AQ2629))&gt;0)*(ROW(職員マスタ!$A$6:$A$405)-5))),IFERROR(MATCH($B2629,職員マスタ!$A$6:$A$405,0),"")))</f>
        <v/>
      </c>
      <c r="AQ2629" s="16">
        <f>IF(OR($B2629="",$C2629="",$D2629=""),"",DATE($C2629+2018,$D2629,1))</f>
        <v/>
      </c>
    </row>
    <row r="2630">
      <c r="A2630" s="11" t="n"/>
      <c r="B2630" s="12" t="n"/>
      <c r="C2630" s="12" t="n"/>
      <c r="D2630" s="12" t="n"/>
      <c r="E2630" s="13" t="n"/>
      <c r="F2630" s="12" t="n"/>
      <c r="G2630" s="13" t="n"/>
      <c r="H2630" s="12" t="n"/>
      <c r="I2630" s="12" t="n"/>
      <c r="J2630" s="12" t="n"/>
      <c r="K2630" s="12" t="n"/>
      <c r="L2630" s="11" t="n"/>
      <c r="M2630" s="11" t="n"/>
      <c r="N2630" s="11" t="n"/>
      <c r="O2630" s="11" t="n"/>
      <c r="P2630" s="12" t="n"/>
      <c r="Q2630" s="11" t="n"/>
      <c r="R2630" s="12" t="n"/>
      <c r="S2630" s="11" t="n"/>
      <c r="T2630" s="12" t="n"/>
      <c r="U2630" s="12" t="n"/>
      <c r="V2630" s="12" t="n"/>
      <c r="W2630" s="13" t="n"/>
      <c r="X2630" s="14">
        <f>IF($AP2630="",IF($B2630="","",$H2630),IF(INDEX(職員マスタ!$B$6:$B$405,$AP2630)="",$H2630,INDEX(職員マスタ!$B$6:$B$405,$AP2630)))</f>
        <v/>
      </c>
      <c r="Y2630" s="14">
        <f>IF($AP2630="",IF($B2630="","",$R2630),IF(INDEX(職員マスタ!$C$6:$C$405,$AP2630)="",$R2630,INDEX(職員マスタ!$C$6:$C$405,$AP2630)))</f>
        <v/>
      </c>
      <c r="Z2630" s="14">
        <f>IF($AQ2630="","","R"&amp;$C2630&amp;"."&amp;$D2630)</f>
        <v/>
      </c>
      <c r="AA2630" s="15">
        <f>IF(IF($AP2630="",FALSE,INDEX(職員マスタ!$K$6:$K$405,$AP2630)&lt;&gt;""),INDEX(職員マスタ!$K$6:$K$405,$AP2630),IF(N($W2630)&gt;0,$W2630,""))</f>
        <v/>
      </c>
      <c r="AB2630" s="14">
        <f>IF(OR($E2630="",$AA2630=""),"",IF($E2630&gt;=$AA2630,"×",IF($E2630&gt;=$AA2630*設定!$C$5,"△","○")))</f>
        <v/>
      </c>
      <c r="AC2630" s="15">
        <f>IF($AB2630="","",IF($AB2630="×",0,IF($AB2630="○",ROUNDDOWN($E2630*設定!$C$4,0),ROUNDDOWN($E2630*ROUND((9*$AA2630-9*$E2630)/(10*$E2630),4),0))))</f>
        <v/>
      </c>
      <c r="AD2630" s="13" t="n"/>
      <c r="AE2630" s="15">
        <f>IF($B2630="","",IF($AD2630&lt;&gt;"",$AD2630,IF($AC2630="","",IF($AC2630&lt;=設定!$C$3,0,$AC2630))))</f>
        <v/>
      </c>
      <c r="AF2630" s="14">
        <f>IF($B2630="","",IF(AND($AG2630&lt;&gt;"",$AI2630="",$AL2630=""),"保留中",IF($AL2630&lt;&gt;"",IF(N($AE2630)&gt;0,"支給済","不支給"),IF($AE2630="","要確認",IF($AE2630=0,"不支給","未処理")))))</f>
        <v/>
      </c>
      <c r="AG2630" s="12" t="n"/>
      <c r="AH2630" s="11" t="n"/>
      <c r="AI2630" s="11" t="n"/>
      <c r="AJ2630" s="11" t="n"/>
      <c r="AK2630" s="14">
        <f>IF(AND($AF2630="保留中",$AH2630&lt;&gt;""),TODAY()-$AH2630,"")</f>
        <v/>
      </c>
      <c r="AL2630" s="12" t="n"/>
      <c r="AM2630" s="14">
        <f>IF($B2630="","",IF($AQ2630="","対象年月が未入力／","")&amp;IF($B2630="","",IF($AP2630="","職員マスタに未登録の職員番号／",IF($AA2630="","標準報酬月額が未登録／","")&amp;IF(AND($AQ2630&lt;&gt;"",OR(AND(INDEX(職員マスタ!$G$6:$G$405,$AP2630)&lt;&gt;"",INDEX(職員マスタ!$G$6:$G$405,$AP2630)&gt;EOMONTH($AQ2630,0)),AND(INDEX(職員マスタ!$H$6:$H$405,$AP2630)&lt;&gt;"",INDEX(職員マスタ!$H$6:$H$405,$AP2630)&lt;$AQ2630))),"対象月が時短期間外／","")&amp;IF(AND(INDEX(職員マスタ!$K$6:$K$405,$AP2630)&lt;&gt;"",N($W2630)&gt;0,INDEX(職員マスタ!$K$6:$K$405,$AP2630)&lt;&gt;$W2630),"標準報酬月額が申請書と相違（台帳"&amp;TEXT(INDEX(職員マスタ!$K$6:$K$405,$AP2630),"#,##0")&amp;"円／申請書"&amp;TEXT($W2630,"#,##0")&amp;"円）／","")&amp;IF(AND(INDEX(職員マスタ!$F$6:$F$405,$AP2630)&lt;&gt;"",$AQ2630&lt;&gt;"",INDEX(職員マスタ!$F$6:$F$405,$AP2630)&lt;$AQ2630),"対象月に子が2歳到達済／","")&amp;IF(AND($H2630&lt;&gt;"",INDEX(職員マスタ!$B$6:$B$405,$AP2630)&lt;&gt;"",SUBSTITUTE(SUBSTITUTE($H2630," ","")," ","")&lt;&gt;SUBSTITUTE(SUBSTITUTE(INDEX(職員マスタ!$B$6:$B$405,$AP2630)," ","")," ","")),"氏名がマスタと相違／","")&amp;IF(AND($Q2630&lt;&gt;"",INDEX(職員マスタ!$E$6:$E$405,$AP2630)&lt;&gt;"",$Q2630&lt;&gt;INDEX(職員マスタ!$E$6:$E$405,$AP2630)),"子の生年月日がマスタと相違／","")&amp;IF(AND($L2630&lt;&gt;"",INDEX(職員マスタ!$G$6:$G$405,$AP2630)&lt;&gt;"",$L2630&lt;&gt;INDEX(職員マスタ!$G$6:$G$405,$AP2630)),"時短開始日がマスタと相違／","")&amp;IF(AND($M2630&lt;&gt;"",INDEX(職員マスタ!$H$6:$H$405,$AP2630)&lt;&gt;"",$M2630&lt;&gt;INDEX(職員マスタ!$H$6:$H$405,$AP2630)),"時短終了日がマスタと相違／","")))&amp;IF(AND($B2630&lt;&gt;"",$E2630=""),"報酬額が未入力／","")&amp;IF(N($U2630)&gt;0,"申請書に入力エラーが残っています／","")&amp;IF(AND($B2630&lt;&gt;"",$AQ2630&lt;&gt;""),IF(COUNTIFS($B$6:$B$3005,$B2630,$C$6:$C$3005,$C2630,$D$6:$D$3005,$D2630)&gt;1,"同じ月の請求が重複しています／",""),"")&amp;IF(AND(N($E2630)&gt;0,$AB2630&lt;&gt;"",$AB2630&lt;&gt;"×",$AE2630=0,$AD2630=""),"計算額が下限以下のため不支給／",""))</f>
        <v/>
      </c>
      <c r="AN2630" s="12" t="n"/>
      <c r="AO2630" s="14">
        <f>IF($AF2630="保留中",COUNTIF($AF$6:$AF2630,"保留中"),"")</f>
        <v/>
      </c>
      <c r="AP2630" s="14">
        <f>IF($AQ2630="","",IF(SUMPRODUCT(MAX((職員マスタ!$A$6:$A$405=$B2630)*(((職員マスタ!$G$6:$G$405="")+(職員マスタ!$G$6:$G$405&lt;=EOMONTH($AQ2630,0)))&gt;0)*(((職員マスタ!$H$6:$H$405="")+(職員マスタ!$H$6:$H$405&gt;=$AQ2630))&gt;0)*(ROW(職員マスタ!$A$6:$A$405)-5)))&gt;0,SUMPRODUCT(MAX((職員マスタ!$A$6:$A$405=$B2630)*(((職員マスタ!$G$6:$G$405="")+(職員マスタ!$G$6:$G$405&lt;=EOMONTH($AQ2630,0)))&gt;0)*(((職員マスタ!$H$6:$H$405="")+(職員マスタ!$H$6:$H$405&gt;=$AQ2630))&gt;0)*(ROW(職員マスタ!$A$6:$A$405)-5))),IFERROR(MATCH($B2630,職員マスタ!$A$6:$A$405,0),"")))</f>
        <v/>
      </c>
      <c r="AQ2630" s="16">
        <f>IF(OR($B2630="",$C2630="",$D2630=""),"",DATE($C2630+2018,$D2630,1))</f>
        <v/>
      </c>
    </row>
    <row r="2631">
      <c r="A2631" s="11" t="n"/>
      <c r="B2631" s="12" t="n"/>
      <c r="C2631" s="12" t="n"/>
      <c r="D2631" s="12" t="n"/>
      <c r="E2631" s="13" t="n"/>
      <c r="F2631" s="12" t="n"/>
      <c r="G2631" s="13" t="n"/>
      <c r="H2631" s="12" t="n"/>
      <c r="I2631" s="12" t="n"/>
      <c r="J2631" s="12" t="n"/>
      <c r="K2631" s="12" t="n"/>
      <c r="L2631" s="11" t="n"/>
      <c r="M2631" s="11" t="n"/>
      <c r="N2631" s="11" t="n"/>
      <c r="O2631" s="11" t="n"/>
      <c r="P2631" s="12" t="n"/>
      <c r="Q2631" s="11" t="n"/>
      <c r="R2631" s="12" t="n"/>
      <c r="S2631" s="11" t="n"/>
      <c r="T2631" s="12" t="n"/>
      <c r="U2631" s="12" t="n"/>
      <c r="V2631" s="12" t="n"/>
      <c r="W2631" s="13" t="n"/>
      <c r="X2631" s="14">
        <f>IF($AP2631="",IF($B2631="","",$H2631),IF(INDEX(職員マスタ!$B$6:$B$405,$AP2631)="",$H2631,INDEX(職員マスタ!$B$6:$B$405,$AP2631)))</f>
        <v/>
      </c>
      <c r="Y2631" s="14">
        <f>IF($AP2631="",IF($B2631="","",$R2631),IF(INDEX(職員マスタ!$C$6:$C$405,$AP2631)="",$R2631,INDEX(職員マスタ!$C$6:$C$405,$AP2631)))</f>
        <v/>
      </c>
      <c r="Z2631" s="14">
        <f>IF($AQ2631="","","R"&amp;$C2631&amp;"."&amp;$D2631)</f>
        <v/>
      </c>
      <c r="AA2631" s="15">
        <f>IF(IF($AP2631="",FALSE,INDEX(職員マスタ!$K$6:$K$405,$AP2631)&lt;&gt;""),INDEX(職員マスタ!$K$6:$K$405,$AP2631),IF(N($W2631)&gt;0,$W2631,""))</f>
        <v/>
      </c>
      <c r="AB2631" s="14">
        <f>IF(OR($E2631="",$AA2631=""),"",IF($E2631&gt;=$AA2631,"×",IF($E2631&gt;=$AA2631*設定!$C$5,"△","○")))</f>
        <v/>
      </c>
      <c r="AC2631" s="15">
        <f>IF($AB2631="","",IF($AB2631="×",0,IF($AB2631="○",ROUNDDOWN($E2631*設定!$C$4,0),ROUNDDOWN($E2631*ROUND((9*$AA2631-9*$E2631)/(10*$E2631),4),0))))</f>
        <v/>
      </c>
      <c r="AD2631" s="13" t="n"/>
      <c r="AE2631" s="15">
        <f>IF($B2631="","",IF($AD2631&lt;&gt;"",$AD2631,IF($AC2631="","",IF($AC2631&lt;=設定!$C$3,0,$AC2631))))</f>
        <v/>
      </c>
      <c r="AF2631" s="14">
        <f>IF($B2631="","",IF(AND($AG2631&lt;&gt;"",$AI2631="",$AL2631=""),"保留中",IF($AL2631&lt;&gt;"",IF(N($AE2631)&gt;0,"支給済","不支給"),IF($AE2631="","要確認",IF($AE2631=0,"不支給","未処理")))))</f>
        <v/>
      </c>
      <c r="AG2631" s="12" t="n"/>
      <c r="AH2631" s="11" t="n"/>
      <c r="AI2631" s="11" t="n"/>
      <c r="AJ2631" s="11" t="n"/>
      <c r="AK2631" s="14">
        <f>IF(AND($AF2631="保留中",$AH2631&lt;&gt;""),TODAY()-$AH2631,"")</f>
        <v/>
      </c>
      <c r="AL2631" s="12" t="n"/>
      <c r="AM2631" s="14">
        <f>IF($B2631="","",IF($AQ2631="","対象年月が未入力／","")&amp;IF($B2631="","",IF($AP2631="","職員マスタに未登録の職員番号／",IF($AA2631="","標準報酬月額が未登録／","")&amp;IF(AND($AQ2631&lt;&gt;"",OR(AND(INDEX(職員マスタ!$G$6:$G$405,$AP2631)&lt;&gt;"",INDEX(職員マスタ!$G$6:$G$405,$AP2631)&gt;EOMONTH($AQ2631,0)),AND(INDEX(職員マスタ!$H$6:$H$405,$AP2631)&lt;&gt;"",INDEX(職員マスタ!$H$6:$H$405,$AP2631)&lt;$AQ2631))),"対象月が時短期間外／","")&amp;IF(AND(INDEX(職員マスタ!$K$6:$K$405,$AP2631)&lt;&gt;"",N($W2631)&gt;0,INDEX(職員マスタ!$K$6:$K$405,$AP2631)&lt;&gt;$W2631),"標準報酬月額が申請書と相違（台帳"&amp;TEXT(INDEX(職員マスタ!$K$6:$K$405,$AP2631),"#,##0")&amp;"円／申請書"&amp;TEXT($W2631,"#,##0")&amp;"円）／","")&amp;IF(AND(INDEX(職員マスタ!$F$6:$F$405,$AP2631)&lt;&gt;"",$AQ2631&lt;&gt;"",INDEX(職員マスタ!$F$6:$F$405,$AP2631)&lt;$AQ2631),"対象月に子が2歳到達済／","")&amp;IF(AND($H2631&lt;&gt;"",INDEX(職員マスタ!$B$6:$B$405,$AP2631)&lt;&gt;"",SUBSTITUTE(SUBSTITUTE($H2631," ","")," ","")&lt;&gt;SUBSTITUTE(SUBSTITUTE(INDEX(職員マスタ!$B$6:$B$405,$AP2631)," ","")," ","")),"氏名がマスタと相違／","")&amp;IF(AND($Q2631&lt;&gt;"",INDEX(職員マスタ!$E$6:$E$405,$AP2631)&lt;&gt;"",$Q2631&lt;&gt;INDEX(職員マスタ!$E$6:$E$405,$AP2631)),"子の生年月日がマスタと相違／","")&amp;IF(AND($L2631&lt;&gt;"",INDEX(職員マスタ!$G$6:$G$405,$AP2631)&lt;&gt;"",$L2631&lt;&gt;INDEX(職員マスタ!$G$6:$G$405,$AP2631)),"時短開始日がマスタと相違／","")&amp;IF(AND($M2631&lt;&gt;"",INDEX(職員マスタ!$H$6:$H$405,$AP2631)&lt;&gt;"",$M2631&lt;&gt;INDEX(職員マスタ!$H$6:$H$405,$AP2631)),"時短終了日がマスタと相違／","")))&amp;IF(AND($B2631&lt;&gt;"",$E2631=""),"報酬額が未入力／","")&amp;IF(N($U2631)&gt;0,"申請書に入力エラーが残っています／","")&amp;IF(AND($B2631&lt;&gt;"",$AQ2631&lt;&gt;""),IF(COUNTIFS($B$6:$B$3005,$B2631,$C$6:$C$3005,$C2631,$D$6:$D$3005,$D2631)&gt;1,"同じ月の請求が重複しています／",""),"")&amp;IF(AND(N($E2631)&gt;0,$AB2631&lt;&gt;"",$AB2631&lt;&gt;"×",$AE2631=0,$AD2631=""),"計算額が下限以下のため不支給／",""))</f>
        <v/>
      </c>
      <c r="AN2631" s="12" t="n"/>
      <c r="AO2631" s="14">
        <f>IF($AF2631="保留中",COUNTIF($AF$6:$AF2631,"保留中"),"")</f>
        <v/>
      </c>
      <c r="AP2631" s="14">
        <f>IF($AQ2631="","",IF(SUMPRODUCT(MAX((職員マスタ!$A$6:$A$405=$B2631)*(((職員マスタ!$G$6:$G$405="")+(職員マスタ!$G$6:$G$405&lt;=EOMONTH($AQ2631,0)))&gt;0)*(((職員マスタ!$H$6:$H$405="")+(職員マスタ!$H$6:$H$405&gt;=$AQ2631))&gt;0)*(ROW(職員マスタ!$A$6:$A$405)-5)))&gt;0,SUMPRODUCT(MAX((職員マスタ!$A$6:$A$405=$B2631)*(((職員マスタ!$G$6:$G$405="")+(職員マスタ!$G$6:$G$405&lt;=EOMONTH($AQ2631,0)))&gt;0)*(((職員マスタ!$H$6:$H$405="")+(職員マスタ!$H$6:$H$405&gt;=$AQ2631))&gt;0)*(ROW(職員マスタ!$A$6:$A$405)-5))),IFERROR(MATCH($B2631,職員マスタ!$A$6:$A$405,0),"")))</f>
        <v/>
      </c>
      <c r="AQ2631" s="16">
        <f>IF(OR($B2631="",$C2631="",$D2631=""),"",DATE($C2631+2018,$D2631,1))</f>
        <v/>
      </c>
    </row>
    <row r="2632">
      <c r="A2632" s="11" t="n"/>
      <c r="B2632" s="12" t="n"/>
      <c r="C2632" s="12" t="n"/>
      <c r="D2632" s="12" t="n"/>
      <c r="E2632" s="13" t="n"/>
      <c r="F2632" s="12" t="n"/>
      <c r="G2632" s="13" t="n"/>
      <c r="H2632" s="12" t="n"/>
      <c r="I2632" s="12" t="n"/>
      <c r="J2632" s="12" t="n"/>
      <c r="K2632" s="12" t="n"/>
      <c r="L2632" s="11" t="n"/>
      <c r="M2632" s="11" t="n"/>
      <c r="N2632" s="11" t="n"/>
      <c r="O2632" s="11" t="n"/>
      <c r="P2632" s="12" t="n"/>
      <c r="Q2632" s="11" t="n"/>
      <c r="R2632" s="12" t="n"/>
      <c r="S2632" s="11" t="n"/>
      <c r="T2632" s="12" t="n"/>
      <c r="U2632" s="12" t="n"/>
      <c r="V2632" s="12" t="n"/>
      <c r="W2632" s="13" t="n"/>
      <c r="X2632" s="14">
        <f>IF($AP2632="",IF($B2632="","",$H2632),IF(INDEX(職員マスタ!$B$6:$B$405,$AP2632)="",$H2632,INDEX(職員マスタ!$B$6:$B$405,$AP2632)))</f>
        <v/>
      </c>
      <c r="Y2632" s="14">
        <f>IF($AP2632="",IF($B2632="","",$R2632),IF(INDEX(職員マスタ!$C$6:$C$405,$AP2632)="",$R2632,INDEX(職員マスタ!$C$6:$C$405,$AP2632)))</f>
        <v/>
      </c>
      <c r="Z2632" s="14">
        <f>IF($AQ2632="","","R"&amp;$C2632&amp;"."&amp;$D2632)</f>
        <v/>
      </c>
      <c r="AA2632" s="15">
        <f>IF(IF($AP2632="",FALSE,INDEX(職員マスタ!$K$6:$K$405,$AP2632)&lt;&gt;""),INDEX(職員マスタ!$K$6:$K$405,$AP2632),IF(N($W2632)&gt;0,$W2632,""))</f>
        <v/>
      </c>
      <c r="AB2632" s="14">
        <f>IF(OR($E2632="",$AA2632=""),"",IF($E2632&gt;=$AA2632,"×",IF($E2632&gt;=$AA2632*設定!$C$5,"△","○")))</f>
        <v/>
      </c>
      <c r="AC2632" s="15">
        <f>IF($AB2632="","",IF($AB2632="×",0,IF($AB2632="○",ROUNDDOWN($E2632*設定!$C$4,0),ROUNDDOWN($E2632*ROUND((9*$AA2632-9*$E2632)/(10*$E2632),4),0))))</f>
        <v/>
      </c>
      <c r="AD2632" s="13" t="n"/>
      <c r="AE2632" s="15">
        <f>IF($B2632="","",IF($AD2632&lt;&gt;"",$AD2632,IF($AC2632="","",IF($AC2632&lt;=設定!$C$3,0,$AC2632))))</f>
        <v/>
      </c>
      <c r="AF2632" s="14">
        <f>IF($B2632="","",IF(AND($AG2632&lt;&gt;"",$AI2632="",$AL2632=""),"保留中",IF($AL2632&lt;&gt;"",IF(N($AE2632)&gt;0,"支給済","不支給"),IF($AE2632="","要確認",IF($AE2632=0,"不支給","未処理")))))</f>
        <v/>
      </c>
      <c r="AG2632" s="12" t="n"/>
      <c r="AH2632" s="11" t="n"/>
      <c r="AI2632" s="11" t="n"/>
      <c r="AJ2632" s="11" t="n"/>
      <c r="AK2632" s="14">
        <f>IF(AND($AF2632="保留中",$AH2632&lt;&gt;""),TODAY()-$AH2632,"")</f>
        <v/>
      </c>
      <c r="AL2632" s="12" t="n"/>
      <c r="AM2632" s="14">
        <f>IF($B2632="","",IF($AQ2632="","対象年月が未入力／","")&amp;IF($B2632="","",IF($AP2632="","職員マスタに未登録の職員番号／",IF($AA2632="","標準報酬月額が未登録／","")&amp;IF(AND($AQ2632&lt;&gt;"",OR(AND(INDEX(職員マスタ!$G$6:$G$405,$AP2632)&lt;&gt;"",INDEX(職員マスタ!$G$6:$G$405,$AP2632)&gt;EOMONTH($AQ2632,0)),AND(INDEX(職員マスタ!$H$6:$H$405,$AP2632)&lt;&gt;"",INDEX(職員マスタ!$H$6:$H$405,$AP2632)&lt;$AQ2632))),"対象月が時短期間外／","")&amp;IF(AND(INDEX(職員マスタ!$K$6:$K$405,$AP2632)&lt;&gt;"",N($W2632)&gt;0,INDEX(職員マスタ!$K$6:$K$405,$AP2632)&lt;&gt;$W2632),"標準報酬月額が申請書と相違（台帳"&amp;TEXT(INDEX(職員マスタ!$K$6:$K$405,$AP2632),"#,##0")&amp;"円／申請書"&amp;TEXT($W2632,"#,##0")&amp;"円）／","")&amp;IF(AND(INDEX(職員マスタ!$F$6:$F$405,$AP2632)&lt;&gt;"",$AQ2632&lt;&gt;"",INDEX(職員マスタ!$F$6:$F$405,$AP2632)&lt;$AQ2632),"対象月に子が2歳到達済／","")&amp;IF(AND($H2632&lt;&gt;"",INDEX(職員マスタ!$B$6:$B$405,$AP2632)&lt;&gt;"",SUBSTITUTE(SUBSTITUTE($H2632," ","")," ","")&lt;&gt;SUBSTITUTE(SUBSTITUTE(INDEX(職員マスタ!$B$6:$B$405,$AP2632)," ","")," ","")),"氏名がマスタと相違／","")&amp;IF(AND($Q2632&lt;&gt;"",INDEX(職員マスタ!$E$6:$E$405,$AP2632)&lt;&gt;"",$Q2632&lt;&gt;INDEX(職員マスタ!$E$6:$E$405,$AP2632)),"子の生年月日がマスタと相違／","")&amp;IF(AND($L2632&lt;&gt;"",INDEX(職員マスタ!$G$6:$G$405,$AP2632)&lt;&gt;"",$L2632&lt;&gt;INDEX(職員マスタ!$G$6:$G$405,$AP2632)),"時短開始日がマスタと相違／","")&amp;IF(AND($M2632&lt;&gt;"",INDEX(職員マスタ!$H$6:$H$405,$AP2632)&lt;&gt;"",$M2632&lt;&gt;INDEX(職員マスタ!$H$6:$H$405,$AP2632)),"時短終了日がマスタと相違／","")))&amp;IF(AND($B2632&lt;&gt;"",$E2632=""),"報酬額が未入力／","")&amp;IF(N($U2632)&gt;0,"申請書に入力エラーが残っています／","")&amp;IF(AND($B2632&lt;&gt;"",$AQ2632&lt;&gt;""),IF(COUNTIFS($B$6:$B$3005,$B2632,$C$6:$C$3005,$C2632,$D$6:$D$3005,$D2632)&gt;1,"同じ月の請求が重複しています／",""),"")&amp;IF(AND(N($E2632)&gt;0,$AB2632&lt;&gt;"",$AB2632&lt;&gt;"×",$AE2632=0,$AD2632=""),"計算額が下限以下のため不支給／",""))</f>
        <v/>
      </c>
      <c r="AN2632" s="12" t="n"/>
      <c r="AO2632" s="14">
        <f>IF($AF2632="保留中",COUNTIF($AF$6:$AF2632,"保留中"),"")</f>
        <v/>
      </c>
      <c r="AP2632" s="14">
        <f>IF($AQ2632="","",IF(SUMPRODUCT(MAX((職員マスタ!$A$6:$A$405=$B2632)*(((職員マスタ!$G$6:$G$405="")+(職員マスタ!$G$6:$G$405&lt;=EOMONTH($AQ2632,0)))&gt;0)*(((職員マスタ!$H$6:$H$405="")+(職員マスタ!$H$6:$H$405&gt;=$AQ2632))&gt;0)*(ROW(職員マスタ!$A$6:$A$405)-5)))&gt;0,SUMPRODUCT(MAX((職員マスタ!$A$6:$A$405=$B2632)*(((職員マスタ!$G$6:$G$405="")+(職員マスタ!$G$6:$G$405&lt;=EOMONTH($AQ2632,0)))&gt;0)*(((職員マスタ!$H$6:$H$405="")+(職員マスタ!$H$6:$H$405&gt;=$AQ2632))&gt;0)*(ROW(職員マスタ!$A$6:$A$405)-5))),IFERROR(MATCH($B2632,職員マスタ!$A$6:$A$405,0),"")))</f>
        <v/>
      </c>
      <c r="AQ2632" s="16">
        <f>IF(OR($B2632="",$C2632="",$D2632=""),"",DATE($C2632+2018,$D2632,1))</f>
        <v/>
      </c>
    </row>
    <row r="2633">
      <c r="A2633" s="11" t="n"/>
      <c r="B2633" s="12" t="n"/>
      <c r="C2633" s="12" t="n"/>
      <c r="D2633" s="12" t="n"/>
      <c r="E2633" s="13" t="n"/>
      <c r="F2633" s="12" t="n"/>
      <c r="G2633" s="13" t="n"/>
      <c r="H2633" s="12" t="n"/>
      <c r="I2633" s="12" t="n"/>
      <c r="J2633" s="12" t="n"/>
      <c r="K2633" s="12" t="n"/>
      <c r="L2633" s="11" t="n"/>
      <c r="M2633" s="11" t="n"/>
      <c r="N2633" s="11" t="n"/>
      <c r="O2633" s="11" t="n"/>
      <c r="P2633" s="12" t="n"/>
      <c r="Q2633" s="11" t="n"/>
      <c r="R2633" s="12" t="n"/>
      <c r="S2633" s="11" t="n"/>
      <c r="T2633" s="12" t="n"/>
      <c r="U2633" s="12" t="n"/>
      <c r="V2633" s="12" t="n"/>
      <c r="W2633" s="13" t="n"/>
      <c r="X2633" s="14">
        <f>IF($AP2633="",IF($B2633="","",$H2633),IF(INDEX(職員マスタ!$B$6:$B$405,$AP2633)="",$H2633,INDEX(職員マスタ!$B$6:$B$405,$AP2633)))</f>
        <v/>
      </c>
      <c r="Y2633" s="14">
        <f>IF($AP2633="",IF($B2633="","",$R2633),IF(INDEX(職員マスタ!$C$6:$C$405,$AP2633)="",$R2633,INDEX(職員マスタ!$C$6:$C$405,$AP2633)))</f>
        <v/>
      </c>
      <c r="Z2633" s="14">
        <f>IF($AQ2633="","","R"&amp;$C2633&amp;"."&amp;$D2633)</f>
        <v/>
      </c>
      <c r="AA2633" s="15">
        <f>IF(IF($AP2633="",FALSE,INDEX(職員マスタ!$K$6:$K$405,$AP2633)&lt;&gt;""),INDEX(職員マスタ!$K$6:$K$405,$AP2633),IF(N($W2633)&gt;0,$W2633,""))</f>
        <v/>
      </c>
      <c r="AB2633" s="14">
        <f>IF(OR($E2633="",$AA2633=""),"",IF($E2633&gt;=$AA2633,"×",IF($E2633&gt;=$AA2633*設定!$C$5,"△","○")))</f>
        <v/>
      </c>
      <c r="AC2633" s="15">
        <f>IF($AB2633="","",IF($AB2633="×",0,IF($AB2633="○",ROUNDDOWN($E2633*設定!$C$4,0),ROUNDDOWN($E2633*ROUND((9*$AA2633-9*$E2633)/(10*$E2633),4),0))))</f>
        <v/>
      </c>
      <c r="AD2633" s="13" t="n"/>
      <c r="AE2633" s="15">
        <f>IF($B2633="","",IF($AD2633&lt;&gt;"",$AD2633,IF($AC2633="","",IF($AC2633&lt;=設定!$C$3,0,$AC2633))))</f>
        <v/>
      </c>
      <c r="AF2633" s="14">
        <f>IF($B2633="","",IF(AND($AG2633&lt;&gt;"",$AI2633="",$AL2633=""),"保留中",IF($AL2633&lt;&gt;"",IF(N($AE2633)&gt;0,"支給済","不支給"),IF($AE2633="","要確認",IF($AE2633=0,"不支給","未処理")))))</f>
        <v/>
      </c>
      <c r="AG2633" s="12" t="n"/>
      <c r="AH2633" s="11" t="n"/>
      <c r="AI2633" s="11" t="n"/>
      <c r="AJ2633" s="11" t="n"/>
      <c r="AK2633" s="14">
        <f>IF(AND($AF2633="保留中",$AH2633&lt;&gt;""),TODAY()-$AH2633,"")</f>
        <v/>
      </c>
      <c r="AL2633" s="12" t="n"/>
      <c r="AM2633" s="14">
        <f>IF($B2633="","",IF($AQ2633="","対象年月が未入力／","")&amp;IF($B2633="","",IF($AP2633="","職員マスタに未登録の職員番号／",IF($AA2633="","標準報酬月額が未登録／","")&amp;IF(AND($AQ2633&lt;&gt;"",OR(AND(INDEX(職員マスタ!$G$6:$G$405,$AP2633)&lt;&gt;"",INDEX(職員マスタ!$G$6:$G$405,$AP2633)&gt;EOMONTH($AQ2633,0)),AND(INDEX(職員マスタ!$H$6:$H$405,$AP2633)&lt;&gt;"",INDEX(職員マスタ!$H$6:$H$405,$AP2633)&lt;$AQ2633))),"対象月が時短期間外／","")&amp;IF(AND(INDEX(職員マスタ!$K$6:$K$405,$AP2633)&lt;&gt;"",N($W2633)&gt;0,INDEX(職員マスタ!$K$6:$K$405,$AP2633)&lt;&gt;$W2633),"標準報酬月額が申請書と相違（台帳"&amp;TEXT(INDEX(職員マスタ!$K$6:$K$405,$AP2633),"#,##0")&amp;"円／申請書"&amp;TEXT($W2633,"#,##0")&amp;"円）／","")&amp;IF(AND(INDEX(職員マスタ!$F$6:$F$405,$AP2633)&lt;&gt;"",$AQ2633&lt;&gt;"",INDEX(職員マスタ!$F$6:$F$405,$AP2633)&lt;$AQ2633),"対象月に子が2歳到達済／","")&amp;IF(AND($H2633&lt;&gt;"",INDEX(職員マスタ!$B$6:$B$405,$AP2633)&lt;&gt;"",SUBSTITUTE(SUBSTITUTE($H2633," ","")," ","")&lt;&gt;SUBSTITUTE(SUBSTITUTE(INDEX(職員マスタ!$B$6:$B$405,$AP2633)," ","")," ","")),"氏名がマスタと相違／","")&amp;IF(AND($Q2633&lt;&gt;"",INDEX(職員マスタ!$E$6:$E$405,$AP2633)&lt;&gt;"",$Q2633&lt;&gt;INDEX(職員マスタ!$E$6:$E$405,$AP2633)),"子の生年月日がマスタと相違／","")&amp;IF(AND($L2633&lt;&gt;"",INDEX(職員マスタ!$G$6:$G$405,$AP2633)&lt;&gt;"",$L2633&lt;&gt;INDEX(職員マスタ!$G$6:$G$405,$AP2633)),"時短開始日がマスタと相違／","")&amp;IF(AND($M2633&lt;&gt;"",INDEX(職員マスタ!$H$6:$H$405,$AP2633)&lt;&gt;"",$M2633&lt;&gt;INDEX(職員マスタ!$H$6:$H$405,$AP2633)),"時短終了日がマスタと相違／","")))&amp;IF(AND($B2633&lt;&gt;"",$E2633=""),"報酬額が未入力／","")&amp;IF(N($U2633)&gt;0,"申請書に入力エラーが残っています／","")&amp;IF(AND($B2633&lt;&gt;"",$AQ2633&lt;&gt;""),IF(COUNTIFS($B$6:$B$3005,$B2633,$C$6:$C$3005,$C2633,$D$6:$D$3005,$D2633)&gt;1,"同じ月の請求が重複しています／",""),"")&amp;IF(AND(N($E2633)&gt;0,$AB2633&lt;&gt;"",$AB2633&lt;&gt;"×",$AE2633=0,$AD2633=""),"計算額が下限以下のため不支給／",""))</f>
        <v/>
      </c>
      <c r="AN2633" s="12" t="n"/>
      <c r="AO2633" s="14">
        <f>IF($AF2633="保留中",COUNTIF($AF$6:$AF2633,"保留中"),"")</f>
        <v/>
      </c>
      <c r="AP2633" s="14">
        <f>IF($AQ2633="","",IF(SUMPRODUCT(MAX((職員マスタ!$A$6:$A$405=$B2633)*(((職員マスタ!$G$6:$G$405="")+(職員マスタ!$G$6:$G$405&lt;=EOMONTH($AQ2633,0)))&gt;0)*(((職員マスタ!$H$6:$H$405="")+(職員マスタ!$H$6:$H$405&gt;=$AQ2633))&gt;0)*(ROW(職員マスタ!$A$6:$A$405)-5)))&gt;0,SUMPRODUCT(MAX((職員マスタ!$A$6:$A$405=$B2633)*(((職員マスタ!$G$6:$G$405="")+(職員マスタ!$G$6:$G$405&lt;=EOMONTH($AQ2633,0)))&gt;0)*(((職員マスタ!$H$6:$H$405="")+(職員マスタ!$H$6:$H$405&gt;=$AQ2633))&gt;0)*(ROW(職員マスタ!$A$6:$A$405)-5))),IFERROR(MATCH($B2633,職員マスタ!$A$6:$A$405,0),"")))</f>
        <v/>
      </c>
      <c r="AQ2633" s="16">
        <f>IF(OR($B2633="",$C2633="",$D2633=""),"",DATE($C2633+2018,$D2633,1))</f>
        <v/>
      </c>
    </row>
    <row r="2634">
      <c r="A2634" s="11" t="n"/>
      <c r="B2634" s="12" t="n"/>
      <c r="C2634" s="12" t="n"/>
      <c r="D2634" s="12" t="n"/>
      <c r="E2634" s="13" t="n"/>
      <c r="F2634" s="12" t="n"/>
      <c r="G2634" s="13" t="n"/>
      <c r="H2634" s="12" t="n"/>
      <c r="I2634" s="12" t="n"/>
      <c r="J2634" s="12" t="n"/>
      <c r="K2634" s="12" t="n"/>
      <c r="L2634" s="11" t="n"/>
      <c r="M2634" s="11" t="n"/>
      <c r="N2634" s="11" t="n"/>
      <c r="O2634" s="11" t="n"/>
      <c r="P2634" s="12" t="n"/>
      <c r="Q2634" s="11" t="n"/>
      <c r="R2634" s="12" t="n"/>
      <c r="S2634" s="11" t="n"/>
      <c r="T2634" s="12" t="n"/>
      <c r="U2634" s="12" t="n"/>
      <c r="V2634" s="12" t="n"/>
      <c r="W2634" s="13" t="n"/>
      <c r="X2634" s="14">
        <f>IF($AP2634="",IF($B2634="","",$H2634),IF(INDEX(職員マスタ!$B$6:$B$405,$AP2634)="",$H2634,INDEX(職員マスタ!$B$6:$B$405,$AP2634)))</f>
        <v/>
      </c>
      <c r="Y2634" s="14">
        <f>IF($AP2634="",IF($B2634="","",$R2634),IF(INDEX(職員マスタ!$C$6:$C$405,$AP2634)="",$R2634,INDEX(職員マスタ!$C$6:$C$405,$AP2634)))</f>
        <v/>
      </c>
      <c r="Z2634" s="14">
        <f>IF($AQ2634="","","R"&amp;$C2634&amp;"."&amp;$D2634)</f>
        <v/>
      </c>
      <c r="AA2634" s="15">
        <f>IF(IF($AP2634="",FALSE,INDEX(職員マスタ!$K$6:$K$405,$AP2634)&lt;&gt;""),INDEX(職員マスタ!$K$6:$K$405,$AP2634),IF(N($W2634)&gt;0,$W2634,""))</f>
        <v/>
      </c>
      <c r="AB2634" s="14">
        <f>IF(OR($E2634="",$AA2634=""),"",IF($E2634&gt;=$AA2634,"×",IF($E2634&gt;=$AA2634*設定!$C$5,"△","○")))</f>
        <v/>
      </c>
      <c r="AC2634" s="15">
        <f>IF($AB2634="","",IF($AB2634="×",0,IF($AB2634="○",ROUNDDOWN($E2634*設定!$C$4,0),ROUNDDOWN($E2634*ROUND((9*$AA2634-9*$E2634)/(10*$E2634),4),0))))</f>
        <v/>
      </c>
      <c r="AD2634" s="13" t="n"/>
      <c r="AE2634" s="15">
        <f>IF($B2634="","",IF($AD2634&lt;&gt;"",$AD2634,IF($AC2634="","",IF($AC2634&lt;=設定!$C$3,0,$AC2634))))</f>
        <v/>
      </c>
      <c r="AF2634" s="14">
        <f>IF($B2634="","",IF(AND($AG2634&lt;&gt;"",$AI2634="",$AL2634=""),"保留中",IF($AL2634&lt;&gt;"",IF(N($AE2634)&gt;0,"支給済","不支給"),IF($AE2634="","要確認",IF($AE2634=0,"不支給","未処理")))))</f>
        <v/>
      </c>
      <c r="AG2634" s="12" t="n"/>
      <c r="AH2634" s="11" t="n"/>
      <c r="AI2634" s="11" t="n"/>
      <c r="AJ2634" s="11" t="n"/>
      <c r="AK2634" s="14">
        <f>IF(AND($AF2634="保留中",$AH2634&lt;&gt;""),TODAY()-$AH2634,"")</f>
        <v/>
      </c>
      <c r="AL2634" s="12" t="n"/>
      <c r="AM2634" s="14">
        <f>IF($B2634="","",IF($AQ2634="","対象年月が未入力／","")&amp;IF($B2634="","",IF($AP2634="","職員マスタに未登録の職員番号／",IF($AA2634="","標準報酬月額が未登録／","")&amp;IF(AND($AQ2634&lt;&gt;"",OR(AND(INDEX(職員マスタ!$G$6:$G$405,$AP2634)&lt;&gt;"",INDEX(職員マスタ!$G$6:$G$405,$AP2634)&gt;EOMONTH($AQ2634,0)),AND(INDEX(職員マスタ!$H$6:$H$405,$AP2634)&lt;&gt;"",INDEX(職員マスタ!$H$6:$H$405,$AP2634)&lt;$AQ2634))),"対象月が時短期間外／","")&amp;IF(AND(INDEX(職員マスタ!$K$6:$K$405,$AP2634)&lt;&gt;"",N($W2634)&gt;0,INDEX(職員マスタ!$K$6:$K$405,$AP2634)&lt;&gt;$W2634),"標準報酬月額が申請書と相違（台帳"&amp;TEXT(INDEX(職員マスタ!$K$6:$K$405,$AP2634),"#,##0")&amp;"円／申請書"&amp;TEXT($W2634,"#,##0")&amp;"円）／","")&amp;IF(AND(INDEX(職員マスタ!$F$6:$F$405,$AP2634)&lt;&gt;"",$AQ2634&lt;&gt;"",INDEX(職員マスタ!$F$6:$F$405,$AP2634)&lt;$AQ2634),"対象月に子が2歳到達済／","")&amp;IF(AND($H2634&lt;&gt;"",INDEX(職員マスタ!$B$6:$B$405,$AP2634)&lt;&gt;"",SUBSTITUTE(SUBSTITUTE($H2634," ","")," ","")&lt;&gt;SUBSTITUTE(SUBSTITUTE(INDEX(職員マスタ!$B$6:$B$405,$AP2634)," ","")," ","")),"氏名がマスタと相違／","")&amp;IF(AND($Q2634&lt;&gt;"",INDEX(職員マスタ!$E$6:$E$405,$AP2634)&lt;&gt;"",$Q2634&lt;&gt;INDEX(職員マスタ!$E$6:$E$405,$AP2634)),"子の生年月日がマスタと相違／","")&amp;IF(AND($L2634&lt;&gt;"",INDEX(職員マスタ!$G$6:$G$405,$AP2634)&lt;&gt;"",$L2634&lt;&gt;INDEX(職員マスタ!$G$6:$G$405,$AP2634)),"時短開始日がマスタと相違／","")&amp;IF(AND($M2634&lt;&gt;"",INDEX(職員マスタ!$H$6:$H$405,$AP2634)&lt;&gt;"",$M2634&lt;&gt;INDEX(職員マスタ!$H$6:$H$405,$AP2634)),"時短終了日がマスタと相違／","")))&amp;IF(AND($B2634&lt;&gt;"",$E2634=""),"報酬額が未入力／","")&amp;IF(N($U2634)&gt;0,"申請書に入力エラーが残っています／","")&amp;IF(AND($B2634&lt;&gt;"",$AQ2634&lt;&gt;""),IF(COUNTIFS($B$6:$B$3005,$B2634,$C$6:$C$3005,$C2634,$D$6:$D$3005,$D2634)&gt;1,"同じ月の請求が重複しています／",""),"")&amp;IF(AND(N($E2634)&gt;0,$AB2634&lt;&gt;"",$AB2634&lt;&gt;"×",$AE2634=0,$AD2634=""),"計算額が下限以下のため不支給／",""))</f>
        <v/>
      </c>
      <c r="AN2634" s="12" t="n"/>
      <c r="AO2634" s="14">
        <f>IF($AF2634="保留中",COUNTIF($AF$6:$AF2634,"保留中"),"")</f>
        <v/>
      </c>
      <c r="AP2634" s="14">
        <f>IF($AQ2634="","",IF(SUMPRODUCT(MAX((職員マスタ!$A$6:$A$405=$B2634)*(((職員マスタ!$G$6:$G$405="")+(職員マスタ!$G$6:$G$405&lt;=EOMONTH($AQ2634,0)))&gt;0)*(((職員マスタ!$H$6:$H$405="")+(職員マスタ!$H$6:$H$405&gt;=$AQ2634))&gt;0)*(ROW(職員マスタ!$A$6:$A$405)-5)))&gt;0,SUMPRODUCT(MAX((職員マスタ!$A$6:$A$405=$B2634)*(((職員マスタ!$G$6:$G$405="")+(職員マスタ!$G$6:$G$405&lt;=EOMONTH($AQ2634,0)))&gt;0)*(((職員マスタ!$H$6:$H$405="")+(職員マスタ!$H$6:$H$405&gt;=$AQ2634))&gt;0)*(ROW(職員マスタ!$A$6:$A$405)-5))),IFERROR(MATCH($B2634,職員マスタ!$A$6:$A$405,0),"")))</f>
        <v/>
      </c>
      <c r="AQ2634" s="16">
        <f>IF(OR($B2634="",$C2634="",$D2634=""),"",DATE($C2634+2018,$D2634,1))</f>
        <v/>
      </c>
    </row>
    <row r="2635">
      <c r="A2635" s="11" t="n"/>
      <c r="B2635" s="12" t="n"/>
      <c r="C2635" s="12" t="n"/>
      <c r="D2635" s="12" t="n"/>
      <c r="E2635" s="13" t="n"/>
      <c r="F2635" s="12" t="n"/>
      <c r="G2635" s="13" t="n"/>
      <c r="H2635" s="12" t="n"/>
      <c r="I2635" s="12" t="n"/>
      <c r="J2635" s="12" t="n"/>
      <c r="K2635" s="12" t="n"/>
      <c r="L2635" s="11" t="n"/>
      <c r="M2635" s="11" t="n"/>
      <c r="N2635" s="11" t="n"/>
      <c r="O2635" s="11" t="n"/>
      <c r="P2635" s="12" t="n"/>
      <c r="Q2635" s="11" t="n"/>
      <c r="R2635" s="12" t="n"/>
      <c r="S2635" s="11" t="n"/>
      <c r="T2635" s="12" t="n"/>
      <c r="U2635" s="12" t="n"/>
      <c r="V2635" s="12" t="n"/>
      <c r="W2635" s="13" t="n"/>
      <c r="X2635" s="14">
        <f>IF($AP2635="",IF($B2635="","",$H2635),IF(INDEX(職員マスタ!$B$6:$B$405,$AP2635)="",$H2635,INDEX(職員マスタ!$B$6:$B$405,$AP2635)))</f>
        <v/>
      </c>
      <c r="Y2635" s="14">
        <f>IF($AP2635="",IF($B2635="","",$R2635),IF(INDEX(職員マスタ!$C$6:$C$405,$AP2635)="",$R2635,INDEX(職員マスタ!$C$6:$C$405,$AP2635)))</f>
        <v/>
      </c>
      <c r="Z2635" s="14">
        <f>IF($AQ2635="","","R"&amp;$C2635&amp;"."&amp;$D2635)</f>
        <v/>
      </c>
      <c r="AA2635" s="15">
        <f>IF(IF($AP2635="",FALSE,INDEX(職員マスタ!$K$6:$K$405,$AP2635)&lt;&gt;""),INDEX(職員マスタ!$K$6:$K$405,$AP2635),IF(N($W2635)&gt;0,$W2635,""))</f>
        <v/>
      </c>
      <c r="AB2635" s="14">
        <f>IF(OR($E2635="",$AA2635=""),"",IF($E2635&gt;=$AA2635,"×",IF($E2635&gt;=$AA2635*設定!$C$5,"△","○")))</f>
        <v/>
      </c>
      <c r="AC2635" s="15">
        <f>IF($AB2635="","",IF($AB2635="×",0,IF($AB2635="○",ROUNDDOWN($E2635*設定!$C$4,0),ROUNDDOWN($E2635*ROUND((9*$AA2635-9*$E2635)/(10*$E2635),4),0))))</f>
        <v/>
      </c>
      <c r="AD2635" s="13" t="n"/>
      <c r="AE2635" s="15">
        <f>IF($B2635="","",IF($AD2635&lt;&gt;"",$AD2635,IF($AC2635="","",IF($AC2635&lt;=設定!$C$3,0,$AC2635))))</f>
        <v/>
      </c>
      <c r="AF2635" s="14">
        <f>IF($B2635="","",IF(AND($AG2635&lt;&gt;"",$AI2635="",$AL2635=""),"保留中",IF($AL2635&lt;&gt;"",IF(N($AE2635)&gt;0,"支給済","不支給"),IF($AE2635="","要確認",IF($AE2635=0,"不支給","未処理")))))</f>
        <v/>
      </c>
      <c r="AG2635" s="12" t="n"/>
      <c r="AH2635" s="11" t="n"/>
      <c r="AI2635" s="11" t="n"/>
      <c r="AJ2635" s="11" t="n"/>
      <c r="AK2635" s="14">
        <f>IF(AND($AF2635="保留中",$AH2635&lt;&gt;""),TODAY()-$AH2635,"")</f>
        <v/>
      </c>
      <c r="AL2635" s="12" t="n"/>
      <c r="AM2635" s="14">
        <f>IF($B2635="","",IF($AQ2635="","対象年月が未入力／","")&amp;IF($B2635="","",IF($AP2635="","職員マスタに未登録の職員番号／",IF($AA2635="","標準報酬月額が未登録／","")&amp;IF(AND($AQ2635&lt;&gt;"",OR(AND(INDEX(職員マスタ!$G$6:$G$405,$AP2635)&lt;&gt;"",INDEX(職員マスタ!$G$6:$G$405,$AP2635)&gt;EOMONTH($AQ2635,0)),AND(INDEX(職員マスタ!$H$6:$H$405,$AP2635)&lt;&gt;"",INDEX(職員マスタ!$H$6:$H$405,$AP2635)&lt;$AQ2635))),"対象月が時短期間外／","")&amp;IF(AND(INDEX(職員マスタ!$K$6:$K$405,$AP2635)&lt;&gt;"",N($W2635)&gt;0,INDEX(職員マスタ!$K$6:$K$405,$AP2635)&lt;&gt;$W2635),"標準報酬月額が申請書と相違（台帳"&amp;TEXT(INDEX(職員マスタ!$K$6:$K$405,$AP2635),"#,##0")&amp;"円／申請書"&amp;TEXT($W2635,"#,##0")&amp;"円）／","")&amp;IF(AND(INDEX(職員マスタ!$F$6:$F$405,$AP2635)&lt;&gt;"",$AQ2635&lt;&gt;"",INDEX(職員マスタ!$F$6:$F$405,$AP2635)&lt;$AQ2635),"対象月に子が2歳到達済／","")&amp;IF(AND($H2635&lt;&gt;"",INDEX(職員マスタ!$B$6:$B$405,$AP2635)&lt;&gt;"",SUBSTITUTE(SUBSTITUTE($H2635," ","")," ","")&lt;&gt;SUBSTITUTE(SUBSTITUTE(INDEX(職員マスタ!$B$6:$B$405,$AP2635)," ","")," ","")),"氏名がマスタと相違／","")&amp;IF(AND($Q2635&lt;&gt;"",INDEX(職員マスタ!$E$6:$E$405,$AP2635)&lt;&gt;"",$Q2635&lt;&gt;INDEX(職員マスタ!$E$6:$E$405,$AP2635)),"子の生年月日がマスタと相違／","")&amp;IF(AND($L2635&lt;&gt;"",INDEX(職員マスタ!$G$6:$G$405,$AP2635)&lt;&gt;"",$L2635&lt;&gt;INDEX(職員マスタ!$G$6:$G$405,$AP2635)),"時短開始日がマスタと相違／","")&amp;IF(AND($M2635&lt;&gt;"",INDEX(職員マスタ!$H$6:$H$405,$AP2635)&lt;&gt;"",$M2635&lt;&gt;INDEX(職員マスタ!$H$6:$H$405,$AP2635)),"時短終了日がマスタと相違／","")))&amp;IF(AND($B2635&lt;&gt;"",$E2635=""),"報酬額が未入力／","")&amp;IF(N($U2635)&gt;0,"申請書に入力エラーが残っています／","")&amp;IF(AND($B2635&lt;&gt;"",$AQ2635&lt;&gt;""),IF(COUNTIFS($B$6:$B$3005,$B2635,$C$6:$C$3005,$C2635,$D$6:$D$3005,$D2635)&gt;1,"同じ月の請求が重複しています／",""),"")&amp;IF(AND(N($E2635)&gt;0,$AB2635&lt;&gt;"",$AB2635&lt;&gt;"×",$AE2635=0,$AD2635=""),"計算額が下限以下のため不支給／",""))</f>
        <v/>
      </c>
      <c r="AN2635" s="12" t="n"/>
      <c r="AO2635" s="14">
        <f>IF($AF2635="保留中",COUNTIF($AF$6:$AF2635,"保留中"),"")</f>
        <v/>
      </c>
      <c r="AP2635" s="14">
        <f>IF($AQ2635="","",IF(SUMPRODUCT(MAX((職員マスタ!$A$6:$A$405=$B2635)*(((職員マスタ!$G$6:$G$405="")+(職員マスタ!$G$6:$G$405&lt;=EOMONTH($AQ2635,0)))&gt;0)*(((職員マスタ!$H$6:$H$405="")+(職員マスタ!$H$6:$H$405&gt;=$AQ2635))&gt;0)*(ROW(職員マスタ!$A$6:$A$405)-5)))&gt;0,SUMPRODUCT(MAX((職員マスタ!$A$6:$A$405=$B2635)*(((職員マスタ!$G$6:$G$405="")+(職員マスタ!$G$6:$G$405&lt;=EOMONTH($AQ2635,0)))&gt;0)*(((職員マスタ!$H$6:$H$405="")+(職員マスタ!$H$6:$H$405&gt;=$AQ2635))&gt;0)*(ROW(職員マスタ!$A$6:$A$405)-5))),IFERROR(MATCH($B2635,職員マスタ!$A$6:$A$405,0),"")))</f>
        <v/>
      </c>
      <c r="AQ2635" s="16">
        <f>IF(OR($B2635="",$C2635="",$D2635=""),"",DATE($C2635+2018,$D2635,1))</f>
        <v/>
      </c>
    </row>
    <row r="2636">
      <c r="A2636" s="11" t="n"/>
      <c r="B2636" s="12" t="n"/>
      <c r="C2636" s="12" t="n"/>
      <c r="D2636" s="12" t="n"/>
      <c r="E2636" s="13" t="n"/>
      <c r="F2636" s="12" t="n"/>
      <c r="G2636" s="13" t="n"/>
      <c r="H2636" s="12" t="n"/>
      <c r="I2636" s="12" t="n"/>
      <c r="J2636" s="12" t="n"/>
      <c r="K2636" s="12" t="n"/>
      <c r="L2636" s="11" t="n"/>
      <c r="M2636" s="11" t="n"/>
      <c r="N2636" s="11" t="n"/>
      <c r="O2636" s="11" t="n"/>
      <c r="P2636" s="12" t="n"/>
      <c r="Q2636" s="11" t="n"/>
      <c r="R2636" s="12" t="n"/>
      <c r="S2636" s="11" t="n"/>
      <c r="T2636" s="12" t="n"/>
      <c r="U2636" s="12" t="n"/>
      <c r="V2636" s="12" t="n"/>
      <c r="W2636" s="13" t="n"/>
      <c r="X2636" s="14">
        <f>IF($AP2636="",IF($B2636="","",$H2636),IF(INDEX(職員マスタ!$B$6:$B$405,$AP2636)="",$H2636,INDEX(職員マスタ!$B$6:$B$405,$AP2636)))</f>
        <v/>
      </c>
      <c r="Y2636" s="14">
        <f>IF($AP2636="",IF($B2636="","",$R2636),IF(INDEX(職員マスタ!$C$6:$C$405,$AP2636)="",$R2636,INDEX(職員マスタ!$C$6:$C$405,$AP2636)))</f>
        <v/>
      </c>
      <c r="Z2636" s="14">
        <f>IF($AQ2636="","","R"&amp;$C2636&amp;"."&amp;$D2636)</f>
        <v/>
      </c>
      <c r="AA2636" s="15">
        <f>IF(IF($AP2636="",FALSE,INDEX(職員マスタ!$K$6:$K$405,$AP2636)&lt;&gt;""),INDEX(職員マスタ!$K$6:$K$405,$AP2636),IF(N($W2636)&gt;0,$W2636,""))</f>
        <v/>
      </c>
      <c r="AB2636" s="14">
        <f>IF(OR($E2636="",$AA2636=""),"",IF($E2636&gt;=$AA2636,"×",IF($E2636&gt;=$AA2636*設定!$C$5,"△","○")))</f>
        <v/>
      </c>
      <c r="AC2636" s="15">
        <f>IF($AB2636="","",IF($AB2636="×",0,IF($AB2636="○",ROUNDDOWN($E2636*設定!$C$4,0),ROUNDDOWN($E2636*ROUND((9*$AA2636-9*$E2636)/(10*$E2636),4),0))))</f>
        <v/>
      </c>
      <c r="AD2636" s="13" t="n"/>
      <c r="AE2636" s="15">
        <f>IF($B2636="","",IF($AD2636&lt;&gt;"",$AD2636,IF($AC2636="","",IF($AC2636&lt;=設定!$C$3,0,$AC2636))))</f>
        <v/>
      </c>
      <c r="AF2636" s="14">
        <f>IF($B2636="","",IF(AND($AG2636&lt;&gt;"",$AI2636="",$AL2636=""),"保留中",IF($AL2636&lt;&gt;"",IF(N($AE2636)&gt;0,"支給済","不支給"),IF($AE2636="","要確認",IF($AE2636=0,"不支給","未処理")))))</f>
        <v/>
      </c>
      <c r="AG2636" s="12" t="n"/>
      <c r="AH2636" s="11" t="n"/>
      <c r="AI2636" s="11" t="n"/>
      <c r="AJ2636" s="11" t="n"/>
      <c r="AK2636" s="14">
        <f>IF(AND($AF2636="保留中",$AH2636&lt;&gt;""),TODAY()-$AH2636,"")</f>
        <v/>
      </c>
      <c r="AL2636" s="12" t="n"/>
      <c r="AM2636" s="14">
        <f>IF($B2636="","",IF($AQ2636="","対象年月が未入力／","")&amp;IF($B2636="","",IF($AP2636="","職員マスタに未登録の職員番号／",IF($AA2636="","標準報酬月額が未登録／","")&amp;IF(AND($AQ2636&lt;&gt;"",OR(AND(INDEX(職員マスタ!$G$6:$G$405,$AP2636)&lt;&gt;"",INDEX(職員マスタ!$G$6:$G$405,$AP2636)&gt;EOMONTH($AQ2636,0)),AND(INDEX(職員マスタ!$H$6:$H$405,$AP2636)&lt;&gt;"",INDEX(職員マスタ!$H$6:$H$405,$AP2636)&lt;$AQ2636))),"対象月が時短期間外／","")&amp;IF(AND(INDEX(職員マスタ!$K$6:$K$405,$AP2636)&lt;&gt;"",N($W2636)&gt;0,INDEX(職員マスタ!$K$6:$K$405,$AP2636)&lt;&gt;$W2636),"標準報酬月額が申請書と相違（台帳"&amp;TEXT(INDEX(職員マスタ!$K$6:$K$405,$AP2636),"#,##0")&amp;"円／申請書"&amp;TEXT($W2636,"#,##0")&amp;"円）／","")&amp;IF(AND(INDEX(職員マスタ!$F$6:$F$405,$AP2636)&lt;&gt;"",$AQ2636&lt;&gt;"",INDEX(職員マスタ!$F$6:$F$405,$AP2636)&lt;$AQ2636),"対象月に子が2歳到達済／","")&amp;IF(AND($H2636&lt;&gt;"",INDEX(職員マスタ!$B$6:$B$405,$AP2636)&lt;&gt;"",SUBSTITUTE(SUBSTITUTE($H2636," ","")," ","")&lt;&gt;SUBSTITUTE(SUBSTITUTE(INDEX(職員マスタ!$B$6:$B$405,$AP2636)," ","")," ","")),"氏名がマスタと相違／","")&amp;IF(AND($Q2636&lt;&gt;"",INDEX(職員マスタ!$E$6:$E$405,$AP2636)&lt;&gt;"",$Q2636&lt;&gt;INDEX(職員マスタ!$E$6:$E$405,$AP2636)),"子の生年月日がマスタと相違／","")&amp;IF(AND($L2636&lt;&gt;"",INDEX(職員マスタ!$G$6:$G$405,$AP2636)&lt;&gt;"",$L2636&lt;&gt;INDEX(職員マスタ!$G$6:$G$405,$AP2636)),"時短開始日がマスタと相違／","")&amp;IF(AND($M2636&lt;&gt;"",INDEX(職員マスタ!$H$6:$H$405,$AP2636)&lt;&gt;"",$M2636&lt;&gt;INDEX(職員マスタ!$H$6:$H$405,$AP2636)),"時短終了日がマスタと相違／","")))&amp;IF(AND($B2636&lt;&gt;"",$E2636=""),"報酬額が未入力／","")&amp;IF(N($U2636)&gt;0,"申請書に入力エラーが残っています／","")&amp;IF(AND($B2636&lt;&gt;"",$AQ2636&lt;&gt;""),IF(COUNTIFS($B$6:$B$3005,$B2636,$C$6:$C$3005,$C2636,$D$6:$D$3005,$D2636)&gt;1,"同じ月の請求が重複しています／",""),"")&amp;IF(AND(N($E2636)&gt;0,$AB2636&lt;&gt;"",$AB2636&lt;&gt;"×",$AE2636=0,$AD2636=""),"計算額が下限以下のため不支給／",""))</f>
        <v/>
      </c>
      <c r="AN2636" s="12" t="n"/>
      <c r="AO2636" s="14">
        <f>IF($AF2636="保留中",COUNTIF($AF$6:$AF2636,"保留中"),"")</f>
        <v/>
      </c>
      <c r="AP2636" s="14">
        <f>IF($AQ2636="","",IF(SUMPRODUCT(MAX((職員マスタ!$A$6:$A$405=$B2636)*(((職員マスタ!$G$6:$G$405="")+(職員マスタ!$G$6:$G$405&lt;=EOMONTH($AQ2636,0)))&gt;0)*(((職員マスタ!$H$6:$H$405="")+(職員マスタ!$H$6:$H$405&gt;=$AQ2636))&gt;0)*(ROW(職員マスタ!$A$6:$A$405)-5)))&gt;0,SUMPRODUCT(MAX((職員マスタ!$A$6:$A$405=$B2636)*(((職員マスタ!$G$6:$G$405="")+(職員マスタ!$G$6:$G$405&lt;=EOMONTH($AQ2636,0)))&gt;0)*(((職員マスタ!$H$6:$H$405="")+(職員マスタ!$H$6:$H$405&gt;=$AQ2636))&gt;0)*(ROW(職員マスタ!$A$6:$A$405)-5))),IFERROR(MATCH($B2636,職員マスタ!$A$6:$A$405,0),"")))</f>
        <v/>
      </c>
      <c r="AQ2636" s="16">
        <f>IF(OR($B2636="",$C2636="",$D2636=""),"",DATE($C2636+2018,$D2636,1))</f>
        <v/>
      </c>
    </row>
    <row r="2637">
      <c r="A2637" s="11" t="n"/>
      <c r="B2637" s="12" t="n"/>
      <c r="C2637" s="12" t="n"/>
      <c r="D2637" s="12" t="n"/>
      <c r="E2637" s="13" t="n"/>
      <c r="F2637" s="12" t="n"/>
      <c r="G2637" s="13" t="n"/>
      <c r="H2637" s="12" t="n"/>
      <c r="I2637" s="12" t="n"/>
      <c r="J2637" s="12" t="n"/>
      <c r="K2637" s="12" t="n"/>
      <c r="L2637" s="11" t="n"/>
      <c r="M2637" s="11" t="n"/>
      <c r="N2637" s="11" t="n"/>
      <c r="O2637" s="11" t="n"/>
      <c r="P2637" s="12" t="n"/>
      <c r="Q2637" s="11" t="n"/>
      <c r="R2637" s="12" t="n"/>
      <c r="S2637" s="11" t="n"/>
      <c r="T2637" s="12" t="n"/>
      <c r="U2637" s="12" t="n"/>
      <c r="V2637" s="12" t="n"/>
      <c r="W2637" s="13" t="n"/>
      <c r="X2637" s="14">
        <f>IF($AP2637="",IF($B2637="","",$H2637),IF(INDEX(職員マスタ!$B$6:$B$405,$AP2637)="",$H2637,INDEX(職員マスタ!$B$6:$B$405,$AP2637)))</f>
        <v/>
      </c>
      <c r="Y2637" s="14">
        <f>IF($AP2637="",IF($B2637="","",$R2637),IF(INDEX(職員マスタ!$C$6:$C$405,$AP2637)="",$R2637,INDEX(職員マスタ!$C$6:$C$405,$AP2637)))</f>
        <v/>
      </c>
      <c r="Z2637" s="14">
        <f>IF($AQ2637="","","R"&amp;$C2637&amp;"."&amp;$D2637)</f>
        <v/>
      </c>
      <c r="AA2637" s="15">
        <f>IF(IF($AP2637="",FALSE,INDEX(職員マスタ!$K$6:$K$405,$AP2637)&lt;&gt;""),INDEX(職員マスタ!$K$6:$K$405,$AP2637),IF(N($W2637)&gt;0,$W2637,""))</f>
        <v/>
      </c>
      <c r="AB2637" s="14">
        <f>IF(OR($E2637="",$AA2637=""),"",IF($E2637&gt;=$AA2637,"×",IF($E2637&gt;=$AA2637*設定!$C$5,"△","○")))</f>
        <v/>
      </c>
      <c r="AC2637" s="15">
        <f>IF($AB2637="","",IF($AB2637="×",0,IF($AB2637="○",ROUNDDOWN($E2637*設定!$C$4,0),ROUNDDOWN($E2637*ROUND((9*$AA2637-9*$E2637)/(10*$E2637),4),0))))</f>
        <v/>
      </c>
      <c r="AD2637" s="13" t="n"/>
      <c r="AE2637" s="15">
        <f>IF($B2637="","",IF($AD2637&lt;&gt;"",$AD2637,IF($AC2637="","",IF($AC2637&lt;=設定!$C$3,0,$AC2637))))</f>
        <v/>
      </c>
      <c r="AF2637" s="14">
        <f>IF($B2637="","",IF(AND($AG2637&lt;&gt;"",$AI2637="",$AL2637=""),"保留中",IF($AL2637&lt;&gt;"",IF(N($AE2637)&gt;0,"支給済","不支給"),IF($AE2637="","要確認",IF($AE2637=0,"不支給","未処理")))))</f>
        <v/>
      </c>
      <c r="AG2637" s="12" t="n"/>
      <c r="AH2637" s="11" t="n"/>
      <c r="AI2637" s="11" t="n"/>
      <c r="AJ2637" s="11" t="n"/>
      <c r="AK2637" s="14">
        <f>IF(AND($AF2637="保留中",$AH2637&lt;&gt;""),TODAY()-$AH2637,"")</f>
        <v/>
      </c>
      <c r="AL2637" s="12" t="n"/>
      <c r="AM2637" s="14">
        <f>IF($B2637="","",IF($AQ2637="","対象年月が未入力／","")&amp;IF($B2637="","",IF($AP2637="","職員マスタに未登録の職員番号／",IF($AA2637="","標準報酬月額が未登録／","")&amp;IF(AND($AQ2637&lt;&gt;"",OR(AND(INDEX(職員マスタ!$G$6:$G$405,$AP2637)&lt;&gt;"",INDEX(職員マスタ!$G$6:$G$405,$AP2637)&gt;EOMONTH($AQ2637,0)),AND(INDEX(職員マスタ!$H$6:$H$405,$AP2637)&lt;&gt;"",INDEX(職員マスタ!$H$6:$H$405,$AP2637)&lt;$AQ2637))),"対象月が時短期間外／","")&amp;IF(AND(INDEX(職員マスタ!$K$6:$K$405,$AP2637)&lt;&gt;"",N($W2637)&gt;0,INDEX(職員マスタ!$K$6:$K$405,$AP2637)&lt;&gt;$W2637),"標準報酬月額が申請書と相違（台帳"&amp;TEXT(INDEX(職員マスタ!$K$6:$K$405,$AP2637),"#,##0")&amp;"円／申請書"&amp;TEXT($W2637,"#,##0")&amp;"円）／","")&amp;IF(AND(INDEX(職員マスタ!$F$6:$F$405,$AP2637)&lt;&gt;"",$AQ2637&lt;&gt;"",INDEX(職員マスタ!$F$6:$F$405,$AP2637)&lt;$AQ2637),"対象月に子が2歳到達済／","")&amp;IF(AND($H2637&lt;&gt;"",INDEX(職員マスタ!$B$6:$B$405,$AP2637)&lt;&gt;"",SUBSTITUTE(SUBSTITUTE($H2637," ","")," ","")&lt;&gt;SUBSTITUTE(SUBSTITUTE(INDEX(職員マスタ!$B$6:$B$405,$AP2637)," ","")," ","")),"氏名がマスタと相違／","")&amp;IF(AND($Q2637&lt;&gt;"",INDEX(職員マスタ!$E$6:$E$405,$AP2637)&lt;&gt;"",$Q2637&lt;&gt;INDEX(職員マスタ!$E$6:$E$405,$AP2637)),"子の生年月日がマスタと相違／","")&amp;IF(AND($L2637&lt;&gt;"",INDEX(職員マスタ!$G$6:$G$405,$AP2637)&lt;&gt;"",$L2637&lt;&gt;INDEX(職員マスタ!$G$6:$G$405,$AP2637)),"時短開始日がマスタと相違／","")&amp;IF(AND($M2637&lt;&gt;"",INDEX(職員マスタ!$H$6:$H$405,$AP2637)&lt;&gt;"",$M2637&lt;&gt;INDEX(職員マスタ!$H$6:$H$405,$AP2637)),"時短終了日がマスタと相違／","")))&amp;IF(AND($B2637&lt;&gt;"",$E2637=""),"報酬額が未入力／","")&amp;IF(N($U2637)&gt;0,"申請書に入力エラーが残っています／","")&amp;IF(AND($B2637&lt;&gt;"",$AQ2637&lt;&gt;""),IF(COUNTIFS($B$6:$B$3005,$B2637,$C$6:$C$3005,$C2637,$D$6:$D$3005,$D2637)&gt;1,"同じ月の請求が重複しています／",""),"")&amp;IF(AND(N($E2637)&gt;0,$AB2637&lt;&gt;"",$AB2637&lt;&gt;"×",$AE2637=0,$AD2637=""),"計算額が下限以下のため不支給／",""))</f>
        <v/>
      </c>
      <c r="AN2637" s="12" t="n"/>
      <c r="AO2637" s="14">
        <f>IF($AF2637="保留中",COUNTIF($AF$6:$AF2637,"保留中"),"")</f>
        <v/>
      </c>
      <c r="AP2637" s="14">
        <f>IF($AQ2637="","",IF(SUMPRODUCT(MAX((職員マスタ!$A$6:$A$405=$B2637)*(((職員マスタ!$G$6:$G$405="")+(職員マスタ!$G$6:$G$405&lt;=EOMONTH($AQ2637,0)))&gt;0)*(((職員マスタ!$H$6:$H$405="")+(職員マスタ!$H$6:$H$405&gt;=$AQ2637))&gt;0)*(ROW(職員マスタ!$A$6:$A$405)-5)))&gt;0,SUMPRODUCT(MAX((職員マスタ!$A$6:$A$405=$B2637)*(((職員マスタ!$G$6:$G$405="")+(職員マスタ!$G$6:$G$405&lt;=EOMONTH($AQ2637,0)))&gt;0)*(((職員マスタ!$H$6:$H$405="")+(職員マスタ!$H$6:$H$405&gt;=$AQ2637))&gt;0)*(ROW(職員マスタ!$A$6:$A$405)-5))),IFERROR(MATCH($B2637,職員マスタ!$A$6:$A$405,0),"")))</f>
        <v/>
      </c>
      <c r="AQ2637" s="16">
        <f>IF(OR($B2637="",$C2637="",$D2637=""),"",DATE($C2637+2018,$D2637,1))</f>
        <v/>
      </c>
    </row>
    <row r="2638">
      <c r="A2638" s="11" t="n"/>
      <c r="B2638" s="12" t="n"/>
      <c r="C2638" s="12" t="n"/>
      <c r="D2638" s="12" t="n"/>
      <c r="E2638" s="13" t="n"/>
      <c r="F2638" s="12" t="n"/>
      <c r="G2638" s="13" t="n"/>
      <c r="H2638" s="12" t="n"/>
      <c r="I2638" s="12" t="n"/>
      <c r="J2638" s="12" t="n"/>
      <c r="K2638" s="12" t="n"/>
      <c r="L2638" s="11" t="n"/>
      <c r="M2638" s="11" t="n"/>
      <c r="N2638" s="11" t="n"/>
      <c r="O2638" s="11" t="n"/>
      <c r="P2638" s="12" t="n"/>
      <c r="Q2638" s="11" t="n"/>
      <c r="R2638" s="12" t="n"/>
      <c r="S2638" s="11" t="n"/>
      <c r="T2638" s="12" t="n"/>
      <c r="U2638" s="12" t="n"/>
      <c r="V2638" s="12" t="n"/>
      <c r="W2638" s="13" t="n"/>
      <c r="X2638" s="14">
        <f>IF($AP2638="",IF($B2638="","",$H2638),IF(INDEX(職員マスタ!$B$6:$B$405,$AP2638)="",$H2638,INDEX(職員マスタ!$B$6:$B$405,$AP2638)))</f>
        <v/>
      </c>
      <c r="Y2638" s="14">
        <f>IF($AP2638="",IF($B2638="","",$R2638),IF(INDEX(職員マスタ!$C$6:$C$405,$AP2638)="",$R2638,INDEX(職員マスタ!$C$6:$C$405,$AP2638)))</f>
        <v/>
      </c>
      <c r="Z2638" s="14">
        <f>IF($AQ2638="","","R"&amp;$C2638&amp;"."&amp;$D2638)</f>
        <v/>
      </c>
      <c r="AA2638" s="15">
        <f>IF(IF($AP2638="",FALSE,INDEX(職員マスタ!$K$6:$K$405,$AP2638)&lt;&gt;""),INDEX(職員マスタ!$K$6:$K$405,$AP2638),IF(N($W2638)&gt;0,$W2638,""))</f>
        <v/>
      </c>
      <c r="AB2638" s="14">
        <f>IF(OR($E2638="",$AA2638=""),"",IF($E2638&gt;=$AA2638,"×",IF($E2638&gt;=$AA2638*設定!$C$5,"△","○")))</f>
        <v/>
      </c>
      <c r="AC2638" s="15">
        <f>IF($AB2638="","",IF($AB2638="×",0,IF($AB2638="○",ROUNDDOWN($E2638*設定!$C$4,0),ROUNDDOWN($E2638*ROUND((9*$AA2638-9*$E2638)/(10*$E2638),4),0))))</f>
        <v/>
      </c>
      <c r="AD2638" s="13" t="n"/>
      <c r="AE2638" s="15">
        <f>IF($B2638="","",IF($AD2638&lt;&gt;"",$AD2638,IF($AC2638="","",IF($AC2638&lt;=設定!$C$3,0,$AC2638))))</f>
        <v/>
      </c>
      <c r="AF2638" s="14">
        <f>IF($B2638="","",IF(AND($AG2638&lt;&gt;"",$AI2638="",$AL2638=""),"保留中",IF($AL2638&lt;&gt;"",IF(N($AE2638)&gt;0,"支給済","不支給"),IF($AE2638="","要確認",IF($AE2638=0,"不支給","未処理")))))</f>
        <v/>
      </c>
      <c r="AG2638" s="12" t="n"/>
      <c r="AH2638" s="11" t="n"/>
      <c r="AI2638" s="11" t="n"/>
      <c r="AJ2638" s="11" t="n"/>
      <c r="AK2638" s="14">
        <f>IF(AND($AF2638="保留中",$AH2638&lt;&gt;""),TODAY()-$AH2638,"")</f>
        <v/>
      </c>
      <c r="AL2638" s="12" t="n"/>
      <c r="AM2638" s="14">
        <f>IF($B2638="","",IF($AQ2638="","対象年月が未入力／","")&amp;IF($B2638="","",IF($AP2638="","職員マスタに未登録の職員番号／",IF($AA2638="","標準報酬月額が未登録／","")&amp;IF(AND($AQ2638&lt;&gt;"",OR(AND(INDEX(職員マスタ!$G$6:$G$405,$AP2638)&lt;&gt;"",INDEX(職員マスタ!$G$6:$G$405,$AP2638)&gt;EOMONTH($AQ2638,0)),AND(INDEX(職員マスタ!$H$6:$H$405,$AP2638)&lt;&gt;"",INDEX(職員マスタ!$H$6:$H$405,$AP2638)&lt;$AQ2638))),"対象月が時短期間外／","")&amp;IF(AND(INDEX(職員マスタ!$K$6:$K$405,$AP2638)&lt;&gt;"",N($W2638)&gt;0,INDEX(職員マスタ!$K$6:$K$405,$AP2638)&lt;&gt;$W2638),"標準報酬月額が申請書と相違（台帳"&amp;TEXT(INDEX(職員マスタ!$K$6:$K$405,$AP2638),"#,##0")&amp;"円／申請書"&amp;TEXT($W2638,"#,##0")&amp;"円）／","")&amp;IF(AND(INDEX(職員マスタ!$F$6:$F$405,$AP2638)&lt;&gt;"",$AQ2638&lt;&gt;"",INDEX(職員マスタ!$F$6:$F$405,$AP2638)&lt;$AQ2638),"対象月に子が2歳到達済／","")&amp;IF(AND($H2638&lt;&gt;"",INDEX(職員マスタ!$B$6:$B$405,$AP2638)&lt;&gt;"",SUBSTITUTE(SUBSTITUTE($H2638," ","")," ","")&lt;&gt;SUBSTITUTE(SUBSTITUTE(INDEX(職員マスタ!$B$6:$B$405,$AP2638)," ","")," ","")),"氏名がマスタと相違／","")&amp;IF(AND($Q2638&lt;&gt;"",INDEX(職員マスタ!$E$6:$E$405,$AP2638)&lt;&gt;"",$Q2638&lt;&gt;INDEX(職員マスタ!$E$6:$E$405,$AP2638)),"子の生年月日がマスタと相違／","")&amp;IF(AND($L2638&lt;&gt;"",INDEX(職員マスタ!$G$6:$G$405,$AP2638)&lt;&gt;"",$L2638&lt;&gt;INDEX(職員マスタ!$G$6:$G$405,$AP2638)),"時短開始日がマスタと相違／","")&amp;IF(AND($M2638&lt;&gt;"",INDEX(職員マスタ!$H$6:$H$405,$AP2638)&lt;&gt;"",$M2638&lt;&gt;INDEX(職員マスタ!$H$6:$H$405,$AP2638)),"時短終了日がマスタと相違／","")))&amp;IF(AND($B2638&lt;&gt;"",$E2638=""),"報酬額が未入力／","")&amp;IF(N($U2638)&gt;0,"申請書に入力エラーが残っています／","")&amp;IF(AND($B2638&lt;&gt;"",$AQ2638&lt;&gt;""),IF(COUNTIFS($B$6:$B$3005,$B2638,$C$6:$C$3005,$C2638,$D$6:$D$3005,$D2638)&gt;1,"同じ月の請求が重複しています／",""),"")&amp;IF(AND(N($E2638)&gt;0,$AB2638&lt;&gt;"",$AB2638&lt;&gt;"×",$AE2638=0,$AD2638=""),"計算額が下限以下のため不支給／",""))</f>
        <v/>
      </c>
      <c r="AN2638" s="12" t="n"/>
      <c r="AO2638" s="14">
        <f>IF($AF2638="保留中",COUNTIF($AF$6:$AF2638,"保留中"),"")</f>
        <v/>
      </c>
      <c r="AP2638" s="14">
        <f>IF($AQ2638="","",IF(SUMPRODUCT(MAX((職員マスタ!$A$6:$A$405=$B2638)*(((職員マスタ!$G$6:$G$405="")+(職員マスタ!$G$6:$G$405&lt;=EOMONTH($AQ2638,0)))&gt;0)*(((職員マスタ!$H$6:$H$405="")+(職員マスタ!$H$6:$H$405&gt;=$AQ2638))&gt;0)*(ROW(職員マスタ!$A$6:$A$405)-5)))&gt;0,SUMPRODUCT(MAX((職員マスタ!$A$6:$A$405=$B2638)*(((職員マスタ!$G$6:$G$405="")+(職員マスタ!$G$6:$G$405&lt;=EOMONTH($AQ2638,0)))&gt;0)*(((職員マスタ!$H$6:$H$405="")+(職員マスタ!$H$6:$H$405&gt;=$AQ2638))&gt;0)*(ROW(職員マスタ!$A$6:$A$405)-5))),IFERROR(MATCH($B2638,職員マスタ!$A$6:$A$405,0),"")))</f>
        <v/>
      </c>
      <c r="AQ2638" s="16">
        <f>IF(OR($B2638="",$C2638="",$D2638=""),"",DATE($C2638+2018,$D2638,1))</f>
        <v/>
      </c>
    </row>
    <row r="2639">
      <c r="A2639" s="11" t="n"/>
      <c r="B2639" s="12" t="n"/>
      <c r="C2639" s="12" t="n"/>
      <c r="D2639" s="12" t="n"/>
      <c r="E2639" s="13" t="n"/>
      <c r="F2639" s="12" t="n"/>
      <c r="G2639" s="13" t="n"/>
      <c r="H2639" s="12" t="n"/>
      <c r="I2639" s="12" t="n"/>
      <c r="J2639" s="12" t="n"/>
      <c r="K2639" s="12" t="n"/>
      <c r="L2639" s="11" t="n"/>
      <c r="M2639" s="11" t="n"/>
      <c r="N2639" s="11" t="n"/>
      <c r="O2639" s="11" t="n"/>
      <c r="P2639" s="12" t="n"/>
      <c r="Q2639" s="11" t="n"/>
      <c r="R2639" s="12" t="n"/>
      <c r="S2639" s="11" t="n"/>
      <c r="T2639" s="12" t="n"/>
      <c r="U2639" s="12" t="n"/>
      <c r="V2639" s="12" t="n"/>
      <c r="W2639" s="13" t="n"/>
      <c r="X2639" s="14">
        <f>IF($AP2639="",IF($B2639="","",$H2639),IF(INDEX(職員マスタ!$B$6:$B$405,$AP2639)="",$H2639,INDEX(職員マスタ!$B$6:$B$405,$AP2639)))</f>
        <v/>
      </c>
      <c r="Y2639" s="14">
        <f>IF($AP2639="",IF($B2639="","",$R2639),IF(INDEX(職員マスタ!$C$6:$C$405,$AP2639)="",$R2639,INDEX(職員マスタ!$C$6:$C$405,$AP2639)))</f>
        <v/>
      </c>
      <c r="Z2639" s="14">
        <f>IF($AQ2639="","","R"&amp;$C2639&amp;"."&amp;$D2639)</f>
        <v/>
      </c>
      <c r="AA2639" s="15">
        <f>IF(IF($AP2639="",FALSE,INDEX(職員マスタ!$K$6:$K$405,$AP2639)&lt;&gt;""),INDEX(職員マスタ!$K$6:$K$405,$AP2639),IF(N($W2639)&gt;0,$W2639,""))</f>
        <v/>
      </c>
      <c r="AB2639" s="14">
        <f>IF(OR($E2639="",$AA2639=""),"",IF($E2639&gt;=$AA2639,"×",IF($E2639&gt;=$AA2639*設定!$C$5,"△","○")))</f>
        <v/>
      </c>
      <c r="AC2639" s="15">
        <f>IF($AB2639="","",IF($AB2639="×",0,IF($AB2639="○",ROUNDDOWN($E2639*設定!$C$4,0),ROUNDDOWN($E2639*ROUND((9*$AA2639-9*$E2639)/(10*$E2639),4),0))))</f>
        <v/>
      </c>
      <c r="AD2639" s="13" t="n"/>
      <c r="AE2639" s="15">
        <f>IF($B2639="","",IF($AD2639&lt;&gt;"",$AD2639,IF($AC2639="","",IF($AC2639&lt;=設定!$C$3,0,$AC2639))))</f>
        <v/>
      </c>
      <c r="AF2639" s="14">
        <f>IF($B2639="","",IF(AND($AG2639&lt;&gt;"",$AI2639="",$AL2639=""),"保留中",IF($AL2639&lt;&gt;"",IF(N($AE2639)&gt;0,"支給済","不支給"),IF($AE2639="","要確認",IF($AE2639=0,"不支給","未処理")))))</f>
        <v/>
      </c>
      <c r="AG2639" s="12" t="n"/>
      <c r="AH2639" s="11" t="n"/>
      <c r="AI2639" s="11" t="n"/>
      <c r="AJ2639" s="11" t="n"/>
      <c r="AK2639" s="14">
        <f>IF(AND($AF2639="保留中",$AH2639&lt;&gt;""),TODAY()-$AH2639,"")</f>
        <v/>
      </c>
      <c r="AL2639" s="12" t="n"/>
      <c r="AM2639" s="14">
        <f>IF($B2639="","",IF($AQ2639="","対象年月が未入力／","")&amp;IF($B2639="","",IF($AP2639="","職員マスタに未登録の職員番号／",IF($AA2639="","標準報酬月額が未登録／","")&amp;IF(AND($AQ2639&lt;&gt;"",OR(AND(INDEX(職員マスタ!$G$6:$G$405,$AP2639)&lt;&gt;"",INDEX(職員マスタ!$G$6:$G$405,$AP2639)&gt;EOMONTH($AQ2639,0)),AND(INDEX(職員マスタ!$H$6:$H$405,$AP2639)&lt;&gt;"",INDEX(職員マスタ!$H$6:$H$405,$AP2639)&lt;$AQ2639))),"対象月が時短期間外／","")&amp;IF(AND(INDEX(職員マスタ!$K$6:$K$405,$AP2639)&lt;&gt;"",N($W2639)&gt;0,INDEX(職員マスタ!$K$6:$K$405,$AP2639)&lt;&gt;$W2639),"標準報酬月額が申請書と相違（台帳"&amp;TEXT(INDEX(職員マスタ!$K$6:$K$405,$AP2639),"#,##0")&amp;"円／申請書"&amp;TEXT($W2639,"#,##0")&amp;"円）／","")&amp;IF(AND(INDEX(職員マスタ!$F$6:$F$405,$AP2639)&lt;&gt;"",$AQ2639&lt;&gt;"",INDEX(職員マスタ!$F$6:$F$405,$AP2639)&lt;$AQ2639),"対象月に子が2歳到達済／","")&amp;IF(AND($H2639&lt;&gt;"",INDEX(職員マスタ!$B$6:$B$405,$AP2639)&lt;&gt;"",SUBSTITUTE(SUBSTITUTE($H2639," ","")," ","")&lt;&gt;SUBSTITUTE(SUBSTITUTE(INDEX(職員マスタ!$B$6:$B$405,$AP2639)," ","")," ","")),"氏名がマスタと相違／","")&amp;IF(AND($Q2639&lt;&gt;"",INDEX(職員マスタ!$E$6:$E$405,$AP2639)&lt;&gt;"",$Q2639&lt;&gt;INDEX(職員マスタ!$E$6:$E$405,$AP2639)),"子の生年月日がマスタと相違／","")&amp;IF(AND($L2639&lt;&gt;"",INDEX(職員マスタ!$G$6:$G$405,$AP2639)&lt;&gt;"",$L2639&lt;&gt;INDEX(職員マスタ!$G$6:$G$405,$AP2639)),"時短開始日がマスタと相違／","")&amp;IF(AND($M2639&lt;&gt;"",INDEX(職員マスタ!$H$6:$H$405,$AP2639)&lt;&gt;"",$M2639&lt;&gt;INDEX(職員マスタ!$H$6:$H$405,$AP2639)),"時短終了日がマスタと相違／","")))&amp;IF(AND($B2639&lt;&gt;"",$E2639=""),"報酬額が未入力／","")&amp;IF(N($U2639)&gt;0,"申請書に入力エラーが残っています／","")&amp;IF(AND($B2639&lt;&gt;"",$AQ2639&lt;&gt;""),IF(COUNTIFS($B$6:$B$3005,$B2639,$C$6:$C$3005,$C2639,$D$6:$D$3005,$D2639)&gt;1,"同じ月の請求が重複しています／",""),"")&amp;IF(AND(N($E2639)&gt;0,$AB2639&lt;&gt;"",$AB2639&lt;&gt;"×",$AE2639=0,$AD2639=""),"計算額が下限以下のため不支給／",""))</f>
        <v/>
      </c>
      <c r="AN2639" s="12" t="n"/>
      <c r="AO2639" s="14">
        <f>IF($AF2639="保留中",COUNTIF($AF$6:$AF2639,"保留中"),"")</f>
        <v/>
      </c>
      <c r="AP2639" s="14">
        <f>IF($AQ2639="","",IF(SUMPRODUCT(MAX((職員マスタ!$A$6:$A$405=$B2639)*(((職員マスタ!$G$6:$G$405="")+(職員マスタ!$G$6:$G$405&lt;=EOMONTH($AQ2639,0)))&gt;0)*(((職員マスタ!$H$6:$H$405="")+(職員マスタ!$H$6:$H$405&gt;=$AQ2639))&gt;0)*(ROW(職員マスタ!$A$6:$A$405)-5)))&gt;0,SUMPRODUCT(MAX((職員マスタ!$A$6:$A$405=$B2639)*(((職員マスタ!$G$6:$G$405="")+(職員マスタ!$G$6:$G$405&lt;=EOMONTH($AQ2639,0)))&gt;0)*(((職員マスタ!$H$6:$H$405="")+(職員マスタ!$H$6:$H$405&gt;=$AQ2639))&gt;0)*(ROW(職員マスタ!$A$6:$A$405)-5))),IFERROR(MATCH($B2639,職員マスタ!$A$6:$A$405,0),"")))</f>
        <v/>
      </c>
      <c r="AQ2639" s="16">
        <f>IF(OR($B2639="",$C2639="",$D2639=""),"",DATE($C2639+2018,$D2639,1))</f>
        <v/>
      </c>
    </row>
    <row r="2640">
      <c r="A2640" s="11" t="n"/>
      <c r="B2640" s="12" t="n"/>
      <c r="C2640" s="12" t="n"/>
      <c r="D2640" s="12" t="n"/>
      <c r="E2640" s="13" t="n"/>
      <c r="F2640" s="12" t="n"/>
      <c r="G2640" s="13" t="n"/>
      <c r="H2640" s="12" t="n"/>
      <c r="I2640" s="12" t="n"/>
      <c r="J2640" s="12" t="n"/>
      <c r="K2640" s="12" t="n"/>
      <c r="L2640" s="11" t="n"/>
      <c r="M2640" s="11" t="n"/>
      <c r="N2640" s="11" t="n"/>
      <c r="O2640" s="11" t="n"/>
      <c r="P2640" s="12" t="n"/>
      <c r="Q2640" s="11" t="n"/>
      <c r="R2640" s="12" t="n"/>
      <c r="S2640" s="11" t="n"/>
      <c r="T2640" s="12" t="n"/>
      <c r="U2640" s="12" t="n"/>
      <c r="V2640" s="12" t="n"/>
      <c r="W2640" s="13" t="n"/>
      <c r="X2640" s="14">
        <f>IF($AP2640="",IF($B2640="","",$H2640),IF(INDEX(職員マスタ!$B$6:$B$405,$AP2640)="",$H2640,INDEX(職員マスタ!$B$6:$B$405,$AP2640)))</f>
        <v/>
      </c>
      <c r="Y2640" s="14">
        <f>IF($AP2640="",IF($B2640="","",$R2640),IF(INDEX(職員マスタ!$C$6:$C$405,$AP2640)="",$R2640,INDEX(職員マスタ!$C$6:$C$405,$AP2640)))</f>
        <v/>
      </c>
      <c r="Z2640" s="14">
        <f>IF($AQ2640="","","R"&amp;$C2640&amp;"."&amp;$D2640)</f>
        <v/>
      </c>
      <c r="AA2640" s="15">
        <f>IF(IF($AP2640="",FALSE,INDEX(職員マスタ!$K$6:$K$405,$AP2640)&lt;&gt;""),INDEX(職員マスタ!$K$6:$K$405,$AP2640),IF(N($W2640)&gt;0,$W2640,""))</f>
        <v/>
      </c>
      <c r="AB2640" s="14">
        <f>IF(OR($E2640="",$AA2640=""),"",IF($E2640&gt;=$AA2640,"×",IF($E2640&gt;=$AA2640*設定!$C$5,"△","○")))</f>
        <v/>
      </c>
      <c r="AC2640" s="15">
        <f>IF($AB2640="","",IF($AB2640="×",0,IF($AB2640="○",ROUNDDOWN($E2640*設定!$C$4,0),ROUNDDOWN($E2640*ROUND((9*$AA2640-9*$E2640)/(10*$E2640),4),0))))</f>
        <v/>
      </c>
      <c r="AD2640" s="13" t="n"/>
      <c r="AE2640" s="15">
        <f>IF($B2640="","",IF($AD2640&lt;&gt;"",$AD2640,IF($AC2640="","",IF($AC2640&lt;=設定!$C$3,0,$AC2640))))</f>
        <v/>
      </c>
      <c r="AF2640" s="14">
        <f>IF($B2640="","",IF(AND($AG2640&lt;&gt;"",$AI2640="",$AL2640=""),"保留中",IF($AL2640&lt;&gt;"",IF(N($AE2640)&gt;0,"支給済","不支給"),IF($AE2640="","要確認",IF($AE2640=0,"不支給","未処理")))))</f>
        <v/>
      </c>
      <c r="AG2640" s="12" t="n"/>
      <c r="AH2640" s="11" t="n"/>
      <c r="AI2640" s="11" t="n"/>
      <c r="AJ2640" s="11" t="n"/>
      <c r="AK2640" s="14">
        <f>IF(AND($AF2640="保留中",$AH2640&lt;&gt;""),TODAY()-$AH2640,"")</f>
        <v/>
      </c>
      <c r="AL2640" s="12" t="n"/>
      <c r="AM2640" s="14">
        <f>IF($B2640="","",IF($AQ2640="","対象年月が未入力／","")&amp;IF($B2640="","",IF($AP2640="","職員マスタに未登録の職員番号／",IF($AA2640="","標準報酬月額が未登録／","")&amp;IF(AND($AQ2640&lt;&gt;"",OR(AND(INDEX(職員マスタ!$G$6:$G$405,$AP2640)&lt;&gt;"",INDEX(職員マスタ!$G$6:$G$405,$AP2640)&gt;EOMONTH($AQ2640,0)),AND(INDEX(職員マスタ!$H$6:$H$405,$AP2640)&lt;&gt;"",INDEX(職員マスタ!$H$6:$H$405,$AP2640)&lt;$AQ2640))),"対象月が時短期間外／","")&amp;IF(AND(INDEX(職員マスタ!$K$6:$K$405,$AP2640)&lt;&gt;"",N($W2640)&gt;0,INDEX(職員マスタ!$K$6:$K$405,$AP2640)&lt;&gt;$W2640),"標準報酬月額が申請書と相違（台帳"&amp;TEXT(INDEX(職員マスタ!$K$6:$K$405,$AP2640),"#,##0")&amp;"円／申請書"&amp;TEXT($W2640,"#,##0")&amp;"円）／","")&amp;IF(AND(INDEX(職員マスタ!$F$6:$F$405,$AP2640)&lt;&gt;"",$AQ2640&lt;&gt;"",INDEX(職員マスタ!$F$6:$F$405,$AP2640)&lt;$AQ2640),"対象月に子が2歳到達済／","")&amp;IF(AND($H2640&lt;&gt;"",INDEX(職員マスタ!$B$6:$B$405,$AP2640)&lt;&gt;"",SUBSTITUTE(SUBSTITUTE($H2640," ","")," ","")&lt;&gt;SUBSTITUTE(SUBSTITUTE(INDEX(職員マスタ!$B$6:$B$405,$AP2640)," ","")," ","")),"氏名がマスタと相違／","")&amp;IF(AND($Q2640&lt;&gt;"",INDEX(職員マスタ!$E$6:$E$405,$AP2640)&lt;&gt;"",$Q2640&lt;&gt;INDEX(職員マスタ!$E$6:$E$405,$AP2640)),"子の生年月日がマスタと相違／","")&amp;IF(AND($L2640&lt;&gt;"",INDEX(職員マスタ!$G$6:$G$405,$AP2640)&lt;&gt;"",$L2640&lt;&gt;INDEX(職員マスタ!$G$6:$G$405,$AP2640)),"時短開始日がマスタと相違／","")&amp;IF(AND($M2640&lt;&gt;"",INDEX(職員マスタ!$H$6:$H$405,$AP2640)&lt;&gt;"",$M2640&lt;&gt;INDEX(職員マスタ!$H$6:$H$405,$AP2640)),"時短終了日がマスタと相違／","")))&amp;IF(AND($B2640&lt;&gt;"",$E2640=""),"報酬額が未入力／","")&amp;IF(N($U2640)&gt;0,"申請書に入力エラーが残っています／","")&amp;IF(AND($B2640&lt;&gt;"",$AQ2640&lt;&gt;""),IF(COUNTIFS($B$6:$B$3005,$B2640,$C$6:$C$3005,$C2640,$D$6:$D$3005,$D2640)&gt;1,"同じ月の請求が重複しています／",""),"")&amp;IF(AND(N($E2640)&gt;0,$AB2640&lt;&gt;"",$AB2640&lt;&gt;"×",$AE2640=0,$AD2640=""),"計算額が下限以下のため不支給／",""))</f>
        <v/>
      </c>
      <c r="AN2640" s="12" t="n"/>
      <c r="AO2640" s="14">
        <f>IF($AF2640="保留中",COUNTIF($AF$6:$AF2640,"保留中"),"")</f>
        <v/>
      </c>
      <c r="AP2640" s="14">
        <f>IF($AQ2640="","",IF(SUMPRODUCT(MAX((職員マスタ!$A$6:$A$405=$B2640)*(((職員マスタ!$G$6:$G$405="")+(職員マスタ!$G$6:$G$405&lt;=EOMONTH($AQ2640,0)))&gt;0)*(((職員マスタ!$H$6:$H$405="")+(職員マスタ!$H$6:$H$405&gt;=$AQ2640))&gt;0)*(ROW(職員マスタ!$A$6:$A$405)-5)))&gt;0,SUMPRODUCT(MAX((職員マスタ!$A$6:$A$405=$B2640)*(((職員マスタ!$G$6:$G$405="")+(職員マスタ!$G$6:$G$405&lt;=EOMONTH($AQ2640,0)))&gt;0)*(((職員マスタ!$H$6:$H$405="")+(職員マスタ!$H$6:$H$405&gt;=$AQ2640))&gt;0)*(ROW(職員マスタ!$A$6:$A$405)-5))),IFERROR(MATCH($B2640,職員マスタ!$A$6:$A$405,0),"")))</f>
        <v/>
      </c>
      <c r="AQ2640" s="16">
        <f>IF(OR($B2640="",$C2640="",$D2640=""),"",DATE($C2640+2018,$D2640,1))</f>
        <v/>
      </c>
    </row>
    <row r="2641">
      <c r="A2641" s="11" t="n"/>
      <c r="B2641" s="12" t="n"/>
      <c r="C2641" s="12" t="n"/>
      <c r="D2641" s="12" t="n"/>
      <c r="E2641" s="13" t="n"/>
      <c r="F2641" s="12" t="n"/>
      <c r="G2641" s="13" t="n"/>
      <c r="H2641" s="12" t="n"/>
      <c r="I2641" s="12" t="n"/>
      <c r="J2641" s="12" t="n"/>
      <c r="K2641" s="12" t="n"/>
      <c r="L2641" s="11" t="n"/>
      <c r="M2641" s="11" t="n"/>
      <c r="N2641" s="11" t="n"/>
      <c r="O2641" s="11" t="n"/>
      <c r="P2641" s="12" t="n"/>
      <c r="Q2641" s="11" t="n"/>
      <c r="R2641" s="12" t="n"/>
      <c r="S2641" s="11" t="n"/>
      <c r="T2641" s="12" t="n"/>
      <c r="U2641" s="12" t="n"/>
      <c r="V2641" s="12" t="n"/>
      <c r="W2641" s="13" t="n"/>
      <c r="X2641" s="14">
        <f>IF($AP2641="",IF($B2641="","",$H2641),IF(INDEX(職員マスタ!$B$6:$B$405,$AP2641)="",$H2641,INDEX(職員マスタ!$B$6:$B$405,$AP2641)))</f>
        <v/>
      </c>
      <c r="Y2641" s="14">
        <f>IF($AP2641="",IF($B2641="","",$R2641),IF(INDEX(職員マスタ!$C$6:$C$405,$AP2641)="",$R2641,INDEX(職員マスタ!$C$6:$C$405,$AP2641)))</f>
        <v/>
      </c>
      <c r="Z2641" s="14">
        <f>IF($AQ2641="","","R"&amp;$C2641&amp;"."&amp;$D2641)</f>
        <v/>
      </c>
      <c r="AA2641" s="15">
        <f>IF(IF($AP2641="",FALSE,INDEX(職員マスタ!$K$6:$K$405,$AP2641)&lt;&gt;""),INDEX(職員マスタ!$K$6:$K$405,$AP2641),IF(N($W2641)&gt;0,$W2641,""))</f>
        <v/>
      </c>
      <c r="AB2641" s="14">
        <f>IF(OR($E2641="",$AA2641=""),"",IF($E2641&gt;=$AA2641,"×",IF($E2641&gt;=$AA2641*設定!$C$5,"△","○")))</f>
        <v/>
      </c>
      <c r="AC2641" s="15">
        <f>IF($AB2641="","",IF($AB2641="×",0,IF($AB2641="○",ROUNDDOWN($E2641*設定!$C$4,0),ROUNDDOWN($E2641*ROUND((9*$AA2641-9*$E2641)/(10*$E2641),4),0))))</f>
        <v/>
      </c>
      <c r="AD2641" s="13" t="n"/>
      <c r="AE2641" s="15">
        <f>IF($B2641="","",IF($AD2641&lt;&gt;"",$AD2641,IF($AC2641="","",IF($AC2641&lt;=設定!$C$3,0,$AC2641))))</f>
        <v/>
      </c>
      <c r="AF2641" s="14">
        <f>IF($B2641="","",IF(AND($AG2641&lt;&gt;"",$AI2641="",$AL2641=""),"保留中",IF($AL2641&lt;&gt;"",IF(N($AE2641)&gt;0,"支給済","不支給"),IF($AE2641="","要確認",IF($AE2641=0,"不支給","未処理")))))</f>
        <v/>
      </c>
      <c r="AG2641" s="12" t="n"/>
      <c r="AH2641" s="11" t="n"/>
      <c r="AI2641" s="11" t="n"/>
      <c r="AJ2641" s="11" t="n"/>
      <c r="AK2641" s="14">
        <f>IF(AND($AF2641="保留中",$AH2641&lt;&gt;""),TODAY()-$AH2641,"")</f>
        <v/>
      </c>
      <c r="AL2641" s="12" t="n"/>
      <c r="AM2641" s="14">
        <f>IF($B2641="","",IF($AQ2641="","対象年月が未入力／","")&amp;IF($B2641="","",IF($AP2641="","職員マスタに未登録の職員番号／",IF($AA2641="","標準報酬月額が未登録／","")&amp;IF(AND($AQ2641&lt;&gt;"",OR(AND(INDEX(職員マスタ!$G$6:$G$405,$AP2641)&lt;&gt;"",INDEX(職員マスタ!$G$6:$G$405,$AP2641)&gt;EOMONTH($AQ2641,0)),AND(INDEX(職員マスタ!$H$6:$H$405,$AP2641)&lt;&gt;"",INDEX(職員マスタ!$H$6:$H$405,$AP2641)&lt;$AQ2641))),"対象月が時短期間外／","")&amp;IF(AND(INDEX(職員マスタ!$K$6:$K$405,$AP2641)&lt;&gt;"",N($W2641)&gt;0,INDEX(職員マスタ!$K$6:$K$405,$AP2641)&lt;&gt;$W2641),"標準報酬月額が申請書と相違（台帳"&amp;TEXT(INDEX(職員マスタ!$K$6:$K$405,$AP2641),"#,##0")&amp;"円／申請書"&amp;TEXT($W2641,"#,##0")&amp;"円）／","")&amp;IF(AND(INDEX(職員マスタ!$F$6:$F$405,$AP2641)&lt;&gt;"",$AQ2641&lt;&gt;"",INDEX(職員マスタ!$F$6:$F$405,$AP2641)&lt;$AQ2641),"対象月に子が2歳到達済／","")&amp;IF(AND($H2641&lt;&gt;"",INDEX(職員マスタ!$B$6:$B$405,$AP2641)&lt;&gt;"",SUBSTITUTE(SUBSTITUTE($H2641," ","")," ","")&lt;&gt;SUBSTITUTE(SUBSTITUTE(INDEX(職員マスタ!$B$6:$B$405,$AP2641)," ","")," ","")),"氏名がマスタと相違／","")&amp;IF(AND($Q2641&lt;&gt;"",INDEX(職員マスタ!$E$6:$E$405,$AP2641)&lt;&gt;"",$Q2641&lt;&gt;INDEX(職員マスタ!$E$6:$E$405,$AP2641)),"子の生年月日がマスタと相違／","")&amp;IF(AND($L2641&lt;&gt;"",INDEX(職員マスタ!$G$6:$G$405,$AP2641)&lt;&gt;"",$L2641&lt;&gt;INDEX(職員マスタ!$G$6:$G$405,$AP2641)),"時短開始日がマスタと相違／","")&amp;IF(AND($M2641&lt;&gt;"",INDEX(職員マスタ!$H$6:$H$405,$AP2641)&lt;&gt;"",$M2641&lt;&gt;INDEX(職員マスタ!$H$6:$H$405,$AP2641)),"時短終了日がマスタと相違／","")))&amp;IF(AND($B2641&lt;&gt;"",$E2641=""),"報酬額が未入力／","")&amp;IF(N($U2641)&gt;0,"申請書に入力エラーが残っています／","")&amp;IF(AND($B2641&lt;&gt;"",$AQ2641&lt;&gt;""),IF(COUNTIFS($B$6:$B$3005,$B2641,$C$6:$C$3005,$C2641,$D$6:$D$3005,$D2641)&gt;1,"同じ月の請求が重複しています／",""),"")&amp;IF(AND(N($E2641)&gt;0,$AB2641&lt;&gt;"",$AB2641&lt;&gt;"×",$AE2641=0,$AD2641=""),"計算額が下限以下のため不支給／",""))</f>
        <v/>
      </c>
      <c r="AN2641" s="12" t="n"/>
      <c r="AO2641" s="14">
        <f>IF($AF2641="保留中",COUNTIF($AF$6:$AF2641,"保留中"),"")</f>
        <v/>
      </c>
      <c r="AP2641" s="14">
        <f>IF($AQ2641="","",IF(SUMPRODUCT(MAX((職員マスタ!$A$6:$A$405=$B2641)*(((職員マスタ!$G$6:$G$405="")+(職員マスタ!$G$6:$G$405&lt;=EOMONTH($AQ2641,0)))&gt;0)*(((職員マスタ!$H$6:$H$405="")+(職員マスタ!$H$6:$H$405&gt;=$AQ2641))&gt;0)*(ROW(職員マスタ!$A$6:$A$405)-5)))&gt;0,SUMPRODUCT(MAX((職員マスタ!$A$6:$A$405=$B2641)*(((職員マスタ!$G$6:$G$405="")+(職員マスタ!$G$6:$G$405&lt;=EOMONTH($AQ2641,0)))&gt;0)*(((職員マスタ!$H$6:$H$405="")+(職員マスタ!$H$6:$H$405&gt;=$AQ2641))&gt;0)*(ROW(職員マスタ!$A$6:$A$405)-5))),IFERROR(MATCH($B2641,職員マスタ!$A$6:$A$405,0),"")))</f>
        <v/>
      </c>
      <c r="AQ2641" s="16">
        <f>IF(OR($B2641="",$C2641="",$D2641=""),"",DATE($C2641+2018,$D2641,1))</f>
        <v/>
      </c>
    </row>
    <row r="2642">
      <c r="A2642" s="11" t="n"/>
      <c r="B2642" s="12" t="n"/>
      <c r="C2642" s="12" t="n"/>
      <c r="D2642" s="12" t="n"/>
      <c r="E2642" s="13" t="n"/>
      <c r="F2642" s="12" t="n"/>
      <c r="G2642" s="13" t="n"/>
      <c r="H2642" s="12" t="n"/>
      <c r="I2642" s="12" t="n"/>
      <c r="J2642" s="12" t="n"/>
      <c r="K2642" s="12" t="n"/>
      <c r="L2642" s="11" t="n"/>
      <c r="M2642" s="11" t="n"/>
      <c r="N2642" s="11" t="n"/>
      <c r="O2642" s="11" t="n"/>
      <c r="P2642" s="12" t="n"/>
      <c r="Q2642" s="11" t="n"/>
      <c r="R2642" s="12" t="n"/>
      <c r="S2642" s="11" t="n"/>
      <c r="T2642" s="12" t="n"/>
      <c r="U2642" s="12" t="n"/>
      <c r="V2642" s="12" t="n"/>
      <c r="W2642" s="13" t="n"/>
      <c r="X2642" s="14">
        <f>IF($AP2642="",IF($B2642="","",$H2642),IF(INDEX(職員マスタ!$B$6:$B$405,$AP2642)="",$H2642,INDEX(職員マスタ!$B$6:$B$405,$AP2642)))</f>
        <v/>
      </c>
      <c r="Y2642" s="14">
        <f>IF($AP2642="",IF($B2642="","",$R2642),IF(INDEX(職員マスタ!$C$6:$C$405,$AP2642)="",$R2642,INDEX(職員マスタ!$C$6:$C$405,$AP2642)))</f>
        <v/>
      </c>
      <c r="Z2642" s="14">
        <f>IF($AQ2642="","","R"&amp;$C2642&amp;"."&amp;$D2642)</f>
        <v/>
      </c>
      <c r="AA2642" s="15">
        <f>IF(IF($AP2642="",FALSE,INDEX(職員マスタ!$K$6:$K$405,$AP2642)&lt;&gt;""),INDEX(職員マスタ!$K$6:$K$405,$AP2642),IF(N($W2642)&gt;0,$W2642,""))</f>
        <v/>
      </c>
      <c r="AB2642" s="14">
        <f>IF(OR($E2642="",$AA2642=""),"",IF($E2642&gt;=$AA2642,"×",IF($E2642&gt;=$AA2642*設定!$C$5,"△","○")))</f>
        <v/>
      </c>
      <c r="AC2642" s="15">
        <f>IF($AB2642="","",IF($AB2642="×",0,IF($AB2642="○",ROUNDDOWN($E2642*設定!$C$4,0),ROUNDDOWN($E2642*ROUND((9*$AA2642-9*$E2642)/(10*$E2642),4),0))))</f>
        <v/>
      </c>
      <c r="AD2642" s="13" t="n"/>
      <c r="AE2642" s="15">
        <f>IF($B2642="","",IF($AD2642&lt;&gt;"",$AD2642,IF($AC2642="","",IF($AC2642&lt;=設定!$C$3,0,$AC2642))))</f>
        <v/>
      </c>
      <c r="AF2642" s="14">
        <f>IF($B2642="","",IF(AND($AG2642&lt;&gt;"",$AI2642="",$AL2642=""),"保留中",IF($AL2642&lt;&gt;"",IF(N($AE2642)&gt;0,"支給済","不支給"),IF($AE2642="","要確認",IF($AE2642=0,"不支給","未処理")))))</f>
        <v/>
      </c>
      <c r="AG2642" s="12" t="n"/>
      <c r="AH2642" s="11" t="n"/>
      <c r="AI2642" s="11" t="n"/>
      <c r="AJ2642" s="11" t="n"/>
      <c r="AK2642" s="14">
        <f>IF(AND($AF2642="保留中",$AH2642&lt;&gt;""),TODAY()-$AH2642,"")</f>
        <v/>
      </c>
      <c r="AL2642" s="12" t="n"/>
      <c r="AM2642" s="14">
        <f>IF($B2642="","",IF($AQ2642="","対象年月が未入力／","")&amp;IF($B2642="","",IF($AP2642="","職員マスタに未登録の職員番号／",IF($AA2642="","標準報酬月額が未登録／","")&amp;IF(AND($AQ2642&lt;&gt;"",OR(AND(INDEX(職員マスタ!$G$6:$G$405,$AP2642)&lt;&gt;"",INDEX(職員マスタ!$G$6:$G$405,$AP2642)&gt;EOMONTH($AQ2642,0)),AND(INDEX(職員マスタ!$H$6:$H$405,$AP2642)&lt;&gt;"",INDEX(職員マスタ!$H$6:$H$405,$AP2642)&lt;$AQ2642))),"対象月が時短期間外／","")&amp;IF(AND(INDEX(職員マスタ!$K$6:$K$405,$AP2642)&lt;&gt;"",N($W2642)&gt;0,INDEX(職員マスタ!$K$6:$K$405,$AP2642)&lt;&gt;$W2642),"標準報酬月額が申請書と相違（台帳"&amp;TEXT(INDEX(職員マスタ!$K$6:$K$405,$AP2642),"#,##0")&amp;"円／申請書"&amp;TEXT($W2642,"#,##0")&amp;"円）／","")&amp;IF(AND(INDEX(職員マスタ!$F$6:$F$405,$AP2642)&lt;&gt;"",$AQ2642&lt;&gt;"",INDEX(職員マスタ!$F$6:$F$405,$AP2642)&lt;$AQ2642),"対象月に子が2歳到達済／","")&amp;IF(AND($H2642&lt;&gt;"",INDEX(職員マスタ!$B$6:$B$405,$AP2642)&lt;&gt;"",SUBSTITUTE(SUBSTITUTE($H2642," ","")," ","")&lt;&gt;SUBSTITUTE(SUBSTITUTE(INDEX(職員マスタ!$B$6:$B$405,$AP2642)," ","")," ","")),"氏名がマスタと相違／","")&amp;IF(AND($Q2642&lt;&gt;"",INDEX(職員マスタ!$E$6:$E$405,$AP2642)&lt;&gt;"",$Q2642&lt;&gt;INDEX(職員マスタ!$E$6:$E$405,$AP2642)),"子の生年月日がマスタと相違／","")&amp;IF(AND($L2642&lt;&gt;"",INDEX(職員マスタ!$G$6:$G$405,$AP2642)&lt;&gt;"",$L2642&lt;&gt;INDEX(職員マスタ!$G$6:$G$405,$AP2642)),"時短開始日がマスタと相違／","")&amp;IF(AND($M2642&lt;&gt;"",INDEX(職員マスタ!$H$6:$H$405,$AP2642)&lt;&gt;"",$M2642&lt;&gt;INDEX(職員マスタ!$H$6:$H$405,$AP2642)),"時短終了日がマスタと相違／","")))&amp;IF(AND($B2642&lt;&gt;"",$E2642=""),"報酬額が未入力／","")&amp;IF(N($U2642)&gt;0,"申請書に入力エラーが残っています／","")&amp;IF(AND($B2642&lt;&gt;"",$AQ2642&lt;&gt;""),IF(COUNTIFS($B$6:$B$3005,$B2642,$C$6:$C$3005,$C2642,$D$6:$D$3005,$D2642)&gt;1,"同じ月の請求が重複しています／",""),"")&amp;IF(AND(N($E2642)&gt;0,$AB2642&lt;&gt;"",$AB2642&lt;&gt;"×",$AE2642=0,$AD2642=""),"計算額が下限以下のため不支給／",""))</f>
        <v/>
      </c>
      <c r="AN2642" s="12" t="n"/>
      <c r="AO2642" s="14">
        <f>IF($AF2642="保留中",COUNTIF($AF$6:$AF2642,"保留中"),"")</f>
        <v/>
      </c>
      <c r="AP2642" s="14">
        <f>IF($AQ2642="","",IF(SUMPRODUCT(MAX((職員マスタ!$A$6:$A$405=$B2642)*(((職員マスタ!$G$6:$G$405="")+(職員マスタ!$G$6:$G$405&lt;=EOMONTH($AQ2642,0)))&gt;0)*(((職員マスタ!$H$6:$H$405="")+(職員マスタ!$H$6:$H$405&gt;=$AQ2642))&gt;0)*(ROW(職員マスタ!$A$6:$A$405)-5)))&gt;0,SUMPRODUCT(MAX((職員マスタ!$A$6:$A$405=$B2642)*(((職員マスタ!$G$6:$G$405="")+(職員マスタ!$G$6:$G$405&lt;=EOMONTH($AQ2642,0)))&gt;0)*(((職員マスタ!$H$6:$H$405="")+(職員マスタ!$H$6:$H$405&gt;=$AQ2642))&gt;0)*(ROW(職員マスタ!$A$6:$A$405)-5))),IFERROR(MATCH($B2642,職員マスタ!$A$6:$A$405,0),"")))</f>
        <v/>
      </c>
      <c r="AQ2642" s="16">
        <f>IF(OR($B2642="",$C2642="",$D2642=""),"",DATE($C2642+2018,$D2642,1))</f>
        <v/>
      </c>
    </row>
    <row r="2643">
      <c r="A2643" s="11" t="n"/>
      <c r="B2643" s="12" t="n"/>
      <c r="C2643" s="12" t="n"/>
      <c r="D2643" s="12" t="n"/>
      <c r="E2643" s="13" t="n"/>
      <c r="F2643" s="12" t="n"/>
      <c r="G2643" s="13" t="n"/>
      <c r="H2643" s="12" t="n"/>
      <c r="I2643" s="12" t="n"/>
      <c r="J2643" s="12" t="n"/>
      <c r="K2643" s="12" t="n"/>
      <c r="L2643" s="11" t="n"/>
      <c r="M2643" s="11" t="n"/>
      <c r="N2643" s="11" t="n"/>
      <c r="O2643" s="11" t="n"/>
      <c r="P2643" s="12" t="n"/>
      <c r="Q2643" s="11" t="n"/>
      <c r="R2643" s="12" t="n"/>
      <c r="S2643" s="11" t="n"/>
      <c r="T2643" s="12" t="n"/>
      <c r="U2643" s="12" t="n"/>
      <c r="V2643" s="12" t="n"/>
      <c r="W2643" s="13" t="n"/>
      <c r="X2643" s="14">
        <f>IF($AP2643="",IF($B2643="","",$H2643),IF(INDEX(職員マスタ!$B$6:$B$405,$AP2643)="",$H2643,INDEX(職員マスタ!$B$6:$B$405,$AP2643)))</f>
        <v/>
      </c>
      <c r="Y2643" s="14">
        <f>IF($AP2643="",IF($B2643="","",$R2643),IF(INDEX(職員マスタ!$C$6:$C$405,$AP2643)="",$R2643,INDEX(職員マスタ!$C$6:$C$405,$AP2643)))</f>
        <v/>
      </c>
      <c r="Z2643" s="14">
        <f>IF($AQ2643="","","R"&amp;$C2643&amp;"."&amp;$D2643)</f>
        <v/>
      </c>
      <c r="AA2643" s="15">
        <f>IF(IF($AP2643="",FALSE,INDEX(職員マスタ!$K$6:$K$405,$AP2643)&lt;&gt;""),INDEX(職員マスタ!$K$6:$K$405,$AP2643),IF(N($W2643)&gt;0,$W2643,""))</f>
        <v/>
      </c>
      <c r="AB2643" s="14">
        <f>IF(OR($E2643="",$AA2643=""),"",IF($E2643&gt;=$AA2643,"×",IF($E2643&gt;=$AA2643*設定!$C$5,"△","○")))</f>
        <v/>
      </c>
      <c r="AC2643" s="15">
        <f>IF($AB2643="","",IF($AB2643="×",0,IF($AB2643="○",ROUNDDOWN($E2643*設定!$C$4,0),ROUNDDOWN($E2643*ROUND((9*$AA2643-9*$E2643)/(10*$E2643),4),0))))</f>
        <v/>
      </c>
      <c r="AD2643" s="13" t="n"/>
      <c r="AE2643" s="15">
        <f>IF($B2643="","",IF($AD2643&lt;&gt;"",$AD2643,IF($AC2643="","",IF($AC2643&lt;=設定!$C$3,0,$AC2643))))</f>
        <v/>
      </c>
      <c r="AF2643" s="14">
        <f>IF($B2643="","",IF(AND($AG2643&lt;&gt;"",$AI2643="",$AL2643=""),"保留中",IF($AL2643&lt;&gt;"",IF(N($AE2643)&gt;0,"支給済","不支給"),IF($AE2643="","要確認",IF($AE2643=0,"不支給","未処理")))))</f>
        <v/>
      </c>
      <c r="AG2643" s="12" t="n"/>
      <c r="AH2643" s="11" t="n"/>
      <c r="AI2643" s="11" t="n"/>
      <c r="AJ2643" s="11" t="n"/>
      <c r="AK2643" s="14">
        <f>IF(AND($AF2643="保留中",$AH2643&lt;&gt;""),TODAY()-$AH2643,"")</f>
        <v/>
      </c>
      <c r="AL2643" s="12" t="n"/>
      <c r="AM2643" s="14">
        <f>IF($B2643="","",IF($AQ2643="","対象年月が未入力／","")&amp;IF($B2643="","",IF($AP2643="","職員マスタに未登録の職員番号／",IF($AA2643="","標準報酬月額が未登録／","")&amp;IF(AND($AQ2643&lt;&gt;"",OR(AND(INDEX(職員マスタ!$G$6:$G$405,$AP2643)&lt;&gt;"",INDEX(職員マスタ!$G$6:$G$405,$AP2643)&gt;EOMONTH($AQ2643,0)),AND(INDEX(職員マスタ!$H$6:$H$405,$AP2643)&lt;&gt;"",INDEX(職員マスタ!$H$6:$H$405,$AP2643)&lt;$AQ2643))),"対象月が時短期間外／","")&amp;IF(AND(INDEX(職員マスタ!$K$6:$K$405,$AP2643)&lt;&gt;"",N($W2643)&gt;0,INDEX(職員マスタ!$K$6:$K$405,$AP2643)&lt;&gt;$W2643),"標準報酬月額が申請書と相違（台帳"&amp;TEXT(INDEX(職員マスタ!$K$6:$K$405,$AP2643),"#,##0")&amp;"円／申請書"&amp;TEXT($W2643,"#,##0")&amp;"円）／","")&amp;IF(AND(INDEX(職員マスタ!$F$6:$F$405,$AP2643)&lt;&gt;"",$AQ2643&lt;&gt;"",INDEX(職員マスタ!$F$6:$F$405,$AP2643)&lt;$AQ2643),"対象月に子が2歳到達済／","")&amp;IF(AND($H2643&lt;&gt;"",INDEX(職員マスタ!$B$6:$B$405,$AP2643)&lt;&gt;"",SUBSTITUTE(SUBSTITUTE($H2643," ","")," ","")&lt;&gt;SUBSTITUTE(SUBSTITUTE(INDEX(職員マスタ!$B$6:$B$405,$AP2643)," ","")," ","")),"氏名がマスタと相違／","")&amp;IF(AND($Q2643&lt;&gt;"",INDEX(職員マスタ!$E$6:$E$405,$AP2643)&lt;&gt;"",$Q2643&lt;&gt;INDEX(職員マスタ!$E$6:$E$405,$AP2643)),"子の生年月日がマスタと相違／","")&amp;IF(AND($L2643&lt;&gt;"",INDEX(職員マスタ!$G$6:$G$405,$AP2643)&lt;&gt;"",$L2643&lt;&gt;INDEX(職員マスタ!$G$6:$G$405,$AP2643)),"時短開始日がマスタと相違／","")&amp;IF(AND($M2643&lt;&gt;"",INDEX(職員マスタ!$H$6:$H$405,$AP2643)&lt;&gt;"",$M2643&lt;&gt;INDEX(職員マスタ!$H$6:$H$405,$AP2643)),"時短終了日がマスタと相違／","")))&amp;IF(AND($B2643&lt;&gt;"",$E2643=""),"報酬額が未入力／","")&amp;IF(N($U2643)&gt;0,"申請書に入力エラーが残っています／","")&amp;IF(AND($B2643&lt;&gt;"",$AQ2643&lt;&gt;""),IF(COUNTIFS($B$6:$B$3005,$B2643,$C$6:$C$3005,$C2643,$D$6:$D$3005,$D2643)&gt;1,"同じ月の請求が重複しています／",""),"")&amp;IF(AND(N($E2643)&gt;0,$AB2643&lt;&gt;"",$AB2643&lt;&gt;"×",$AE2643=0,$AD2643=""),"計算額が下限以下のため不支給／",""))</f>
        <v/>
      </c>
      <c r="AN2643" s="12" t="n"/>
      <c r="AO2643" s="14">
        <f>IF($AF2643="保留中",COUNTIF($AF$6:$AF2643,"保留中"),"")</f>
        <v/>
      </c>
      <c r="AP2643" s="14">
        <f>IF($AQ2643="","",IF(SUMPRODUCT(MAX((職員マスタ!$A$6:$A$405=$B2643)*(((職員マスタ!$G$6:$G$405="")+(職員マスタ!$G$6:$G$405&lt;=EOMONTH($AQ2643,0)))&gt;0)*(((職員マスタ!$H$6:$H$405="")+(職員マスタ!$H$6:$H$405&gt;=$AQ2643))&gt;0)*(ROW(職員マスタ!$A$6:$A$405)-5)))&gt;0,SUMPRODUCT(MAX((職員マスタ!$A$6:$A$405=$B2643)*(((職員マスタ!$G$6:$G$405="")+(職員マスタ!$G$6:$G$405&lt;=EOMONTH($AQ2643,0)))&gt;0)*(((職員マスタ!$H$6:$H$405="")+(職員マスタ!$H$6:$H$405&gt;=$AQ2643))&gt;0)*(ROW(職員マスタ!$A$6:$A$405)-5))),IFERROR(MATCH($B2643,職員マスタ!$A$6:$A$405,0),"")))</f>
        <v/>
      </c>
      <c r="AQ2643" s="16">
        <f>IF(OR($B2643="",$C2643="",$D2643=""),"",DATE($C2643+2018,$D2643,1))</f>
        <v/>
      </c>
    </row>
    <row r="2644">
      <c r="A2644" s="11" t="n"/>
      <c r="B2644" s="12" t="n"/>
      <c r="C2644" s="12" t="n"/>
      <c r="D2644" s="12" t="n"/>
      <c r="E2644" s="13" t="n"/>
      <c r="F2644" s="12" t="n"/>
      <c r="G2644" s="13" t="n"/>
      <c r="H2644" s="12" t="n"/>
      <c r="I2644" s="12" t="n"/>
      <c r="J2644" s="12" t="n"/>
      <c r="K2644" s="12" t="n"/>
      <c r="L2644" s="11" t="n"/>
      <c r="M2644" s="11" t="n"/>
      <c r="N2644" s="11" t="n"/>
      <c r="O2644" s="11" t="n"/>
      <c r="P2644" s="12" t="n"/>
      <c r="Q2644" s="11" t="n"/>
      <c r="R2644" s="12" t="n"/>
      <c r="S2644" s="11" t="n"/>
      <c r="T2644" s="12" t="n"/>
      <c r="U2644" s="12" t="n"/>
      <c r="V2644" s="12" t="n"/>
      <c r="W2644" s="13" t="n"/>
      <c r="X2644" s="14">
        <f>IF($AP2644="",IF($B2644="","",$H2644),IF(INDEX(職員マスタ!$B$6:$B$405,$AP2644)="",$H2644,INDEX(職員マスタ!$B$6:$B$405,$AP2644)))</f>
        <v/>
      </c>
      <c r="Y2644" s="14">
        <f>IF($AP2644="",IF($B2644="","",$R2644),IF(INDEX(職員マスタ!$C$6:$C$405,$AP2644)="",$R2644,INDEX(職員マスタ!$C$6:$C$405,$AP2644)))</f>
        <v/>
      </c>
      <c r="Z2644" s="14">
        <f>IF($AQ2644="","","R"&amp;$C2644&amp;"."&amp;$D2644)</f>
        <v/>
      </c>
      <c r="AA2644" s="15">
        <f>IF(IF($AP2644="",FALSE,INDEX(職員マスタ!$K$6:$K$405,$AP2644)&lt;&gt;""),INDEX(職員マスタ!$K$6:$K$405,$AP2644),IF(N($W2644)&gt;0,$W2644,""))</f>
        <v/>
      </c>
      <c r="AB2644" s="14">
        <f>IF(OR($E2644="",$AA2644=""),"",IF($E2644&gt;=$AA2644,"×",IF($E2644&gt;=$AA2644*設定!$C$5,"△","○")))</f>
        <v/>
      </c>
      <c r="AC2644" s="15">
        <f>IF($AB2644="","",IF($AB2644="×",0,IF($AB2644="○",ROUNDDOWN($E2644*設定!$C$4,0),ROUNDDOWN($E2644*ROUND((9*$AA2644-9*$E2644)/(10*$E2644),4),0))))</f>
        <v/>
      </c>
      <c r="AD2644" s="13" t="n"/>
      <c r="AE2644" s="15">
        <f>IF($B2644="","",IF($AD2644&lt;&gt;"",$AD2644,IF($AC2644="","",IF($AC2644&lt;=設定!$C$3,0,$AC2644))))</f>
        <v/>
      </c>
      <c r="AF2644" s="14">
        <f>IF($B2644="","",IF(AND($AG2644&lt;&gt;"",$AI2644="",$AL2644=""),"保留中",IF($AL2644&lt;&gt;"",IF(N($AE2644)&gt;0,"支給済","不支給"),IF($AE2644="","要確認",IF($AE2644=0,"不支給","未処理")))))</f>
        <v/>
      </c>
      <c r="AG2644" s="12" t="n"/>
      <c r="AH2644" s="11" t="n"/>
      <c r="AI2644" s="11" t="n"/>
      <c r="AJ2644" s="11" t="n"/>
      <c r="AK2644" s="14">
        <f>IF(AND($AF2644="保留中",$AH2644&lt;&gt;""),TODAY()-$AH2644,"")</f>
        <v/>
      </c>
      <c r="AL2644" s="12" t="n"/>
      <c r="AM2644" s="14">
        <f>IF($B2644="","",IF($AQ2644="","対象年月が未入力／","")&amp;IF($B2644="","",IF($AP2644="","職員マスタに未登録の職員番号／",IF($AA2644="","標準報酬月額が未登録／","")&amp;IF(AND($AQ2644&lt;&gt;"",OR(AND(INDEX(職員マスタ!$G$6:$G$405,$AP2644)&lt;&gt;"",INDEX(職員マスタ!$G$6:$G$405,$AP2644)&gt;EOMONTH($AQ2644,0)),AND(INDEX(職員マスタ!$H$6:$H$405,$AP2644)&lt;&gt;"",INDEX(職員マスタ!$H$6:$H$405,$AP2644)&lt;$AQ2644))),"対象月が時短期間外／","")&amp;IF(AND(INDEX(職員マスタ!$K$6:$K$405,$AP2644)&lt;&gt;"",N($W2644)&gt;0,INDEX(職員マスタ!$K$6:$K$405,$AP2644)&lt;&gt;$W2644),"標準報酬月額が申請書と相違（台帳"&amp;TEXT(INDEX(職員マスタ!$K$6:$K$405,$AP2644),"#,##0")&amp;"円／申請書"&amp;TEXT($W2644,"#,##0")&amp;"円）／","")&amp;IF(AND(INDEX(職員マスタ!$F$6:$F$405,$AP2644)&lt;&gt;"",$AQ2644&lt;&gt;"",INDEX(職員マスタ!$F$6:$F$405,$AP2644)&lt;$AQ2644),"対象月に子が2歳到達済／","")&amp;IF(AND($H2644&lt;&gt;"",INDEX(職員マスタ!$B$6:$B$405,$AP2644)&lt;&gt;"",SUBSTITUTE(SUBSTITUTE($H2644," ","")," ","")&lt;&gt;SUBSTITUTE(SUBSTITUTE(INDEX(職員マスタ!$B$6:$B$405,$AP2644)," ","")," ","")),"氏名がマスタと相違／","")&amp;IF(AND($Q2644&lt;&gt;"",INDEX(職員マスタ!$E$6:$E$405,$AP2644)&lt;&gt;"",$Q2644&lt;&gt;INDEX(職員マスタ!$E$6:$E$405,$AP2644)),"子の生年月日がマスタと相違／","")&amp;IF(AND($L2644&lt;&gt;"",INDEX(職員マスタ!$G$6:$G$405,$AP2644)&lt;&gt;"",$L2644&lt;&gt;INDEX(職員マスタ!$G$6:$G$405,$AP2644)),"時短開始日がマスタと相違／","")&amp;IF(AND($M2644&lt;&gt;"",INDEX(職員マスタ!$H$6:$H$405,$AP2644)&lt;&gt;"",$M2644&lt;&gt;INDEX(職員マスタ!$H$6:$H$405,$AP2644)),"時短終了日がマスタと相違／","")))&amp;IF(AND($B2644&lt;&gt;"",$E2644=""),"報酬額が未入力／","")&amp;IF(N($U2644)&gt;0,"申請書に入力エラーが残っています／","")&amp;IF(AND($B2644&lt;&gt;"",$AQ2644&lt;&gt;""),IF(COUNTIFS($B$6:$B$3005,$B2644,$C$6:$C$3005,$C2644,$D$6:$D$3005,$D2644)&gt;1,"同じ月の請求が重複しています／",""),"")&amp;IF(AND(N($E2644)&gt;0,$AB2644&lt;&gt;"",$AB2644&lt;&gt;"×",$AE2644=0,$AD2644=""),"計算額が下限以下のため不支給／",""))</f>
        <v/>
      </c>
      <c r="AN2644" s="12" t="n"/>
      <c r="AO2644" s="14">
        <f>IF($AF2644="保留中",COUNTIF($AF$6:$AF2644,"保留中"),"")</f>
        <v/>
      </c>
      <c r="AP2644" s="14">
        <f>IF($AQ2644="","",IF(SUMPRODUCT(MAX((職員マスタ!$A$6:$A$405=$B2644)*(((職員マスタ!$G$6:$G$405="")+(職員マスタ!$G$6:$G$405&lt;=EOMONTH($AQ2644,0)))&gt;0)*(((職員マスタ!$H$6:$H$405="")+(職員マスタ!$H$6:$H$405&gt;=$AQ2644))&gt;0)*(ROW(職員マスタ!$A$6:$A$405)-5)))&gt;0,SUMPRODUCT(MAX((職員マスタ!$A$6:$A$405=$B2644)*(((職員マスタ!$G$6:$G$405="")+(職員マスタ!$G$6:$G$405&lt;=EOMONTH($AQ2644,0)))&gt;0)*(((職員マスタ!$H$6:$H$405="")+(職員マスタ!$H$6:$H$405&gt;=$AQ2644))&gt;0)*(ROW(職員マスタ!$A$6:$A$405)-5))),IFERROR(MATCH($B2644,職員マスタ!$A$6:$A$405,0),"")))</f>
        <v/>
      </c>
      <c r="AQ2644" s="16">
        <f>IF(OR($B2644="",$C2644="",$D2644=""),"",DATE($C2644+2018,$D2644,1))</f>
        <v/>
      </c>
    </row>
    <row r="2645">
      <c r="A2645" s="11" t="n"/>
      <c r="B2645" s="12" t="n"/>
      <c r="C2645" s="12" t="n"/>
      <c r="D2645" s="12" t="n"/>
      <c r="E2645" s="13" t="n"/>
      <c r="F2645" s="12" t="n"/>
      <c r="G2645" s="13" t="n"/>
      <c r="H2645" s="12" t="n"/>
      <c r="I2645" s="12" t="n"/>
      <c r="J2645" s="12" t="n"/>
      <c r="K2645" s="12" t="n"/>
      <c r="L2645" s="11" t="n"/>
      <c r="M2645" s="11" t="n"/>
      <c r="N2645" s="11" t="n"/>
      <c r="O2645" s="11" t="n"/>
      <c r="P2645" s="12" t="n"/>
      <c r="Q2645" s="11" t="n"/>
      <c r="R2645" s="12" t="n"/>
      <c r="S2645" s="11" t="n"/>
      <c r="T2645" s="12" t="n"/>
      <c r="U2645" s="12" t="n"/>
      <c r="V2645" s="12" t="n"/>
      <c r="W2645" s="13" t="n"/>
      <c r="X2645" s="14">
        <f>IF($AP2645="",IF($B2645="","",$H2645),IF(INDEX(職員マスタ!$B$6:$B$405,$AP2645)="",$H2645,INDEX(職員マスタ!$B$6:$B$405,$AP2645)))</f>
        <v/>
      </c>
      <c r="Y2645" s="14">
        <f>IF($AP2645="",IF($B2645="","",$R2645),IF(INDEX(職員マスタ!$C$6:$C$405,$AP2645)="",$R2645,INDEX(職員マスタ!$C$6:$C$405,$AP2645)))</f>
        <v/>
      </c>
      <c r="Z2645" s="14">
        <f>IF($AQ2645="","","R"&amp;$C2645&amp;"."&amp;$D2645)</f>
        <v/>
      </c>
      <c r="AA2645" s="15">
        <f>IF(IF($AP2645="",FALSE,INDEX(職員マスタ!$K$6:$K$405,$AP2645)&lt;&gt;""),INDEX(職員マスタ!$K$6:$K$405,$AP2645),IF(N($W2645)&gt;0,$W2645,""))</f>
        <v/>
      </c>
      <c r="AB2645" s="14">
        <f>IF(OR($E2645="",$AA2645=""),"",IF($E2645&gt;=$AA2645,"×",IF($E2645&gt;=$AA2645*設定!$C$5,"△","○")))</f>
        <v/>
      </c>
      <c r="AC2645" s="15">
        <f>IF($AB2645="","",IF($AB2645="×",0,IF($AB2645="○",ROUNDDOWN($E2645*設定!$C$4,0),ROUNDDOWN($E2645*ROUND((9*$AA2645-9*$E2645)/(10*$E2645),4),0))))</f>
        <v/>
      </c>
      <c r="AD2645" s="13" t="n"/>
      <c r="AE2645" s="15">
        <f>IF($B2645="","",IF($AD2645&lt;&gt;"",$AD2645,IF($AC2645="","",IF($AC2645&lt;=設定!$C$3,0,$AC2645))))</f>
        <v/>
      </c>
      <c r="AF2645" s="14">
        <f>IF($B2645="","",IF(AND($AG2645&lt;&gt;"",$AI2645="",$AL2645=""),"保留中",IF($AL2645&lt;&gt;"",IF(N($AE2645)&gt;0,"支給済","不支給"),IF($AE2645="","要確認",IF($AE2645=0,"不支給","未処理")))))</f>
        <v/>
      </c>
      <c r="AG2645" s="12" t="n"/>
      <c r="AH2645" s="11" t="n"/>
      <c r="AI2645" s="11" t="n"/>
      <c r="AJ2645" s="11" t="n"/>
      <c r="AK2645" s="14">
        <f>IF(AND($AF2645="保留中",$AH2645&lt;&gt;""),TODAY()-$AH2645,"")</f>
        <v/>
      </c>
      <c r="AL2645" s="12" t="n"/>
      <c r="AM2645" s="14">
        <f>IF($B2645="","",IF($AQ2645="","対象年月が未入力／","")&amp;IF($B2645="","",IF($AP2645="","職員マスタに未登録の職員番号／",IF($AA2645="","標準報酬月額が未登録／","")&amp;IF(AND($AQ2645&lt;&gt;"",OR(AND(INDEX(職員マスタ!$G$6:$G$405,$AP2645)&lt;&gt;"",INDEX(職員マスタ!$G$6:$G$405,$AP2645)&gt;EOMONTH($AQ2645,0)),AND(INDEX(職員マスタ!$H$6:$H$405,$AP2645)&lt;&gt;"",INDEX(職員マスタ!$H$6:$H$405,$AP2645)&lt;$AQ2645))),"対象月が時短期間外／","")&amp;IF(AND(INDEX(職員マスタ!$K$6:$K$405,$AP2645)&lt;&gt;"",N($W2645)&gt;0,INDEX(職員マスタ!$K$6:$K$405,$AP2645)&lt;&gt;$W2645),"標準報酬月額が申請書と相違（台帳"&amp;TEXT(INDEX(職員マスタ!$K$6:$K$405,$AP2645),"#,##0")&amp;"円／申請書"&amp;TEXT($W2645,"#,##0")&amp;"円）／","")&amp;IF(AND(INDEX(職員マスタ!$F$6:$F$405,$AP2645)&lt;&gt;"",$AQ2645&lt;&gt;"",INDEX(職員マスタ!$F$6:$F$405,$AP2645)&lt;$AQ2645),"対象月に子が2歳到達済／","")&amp;IF(AND($H2645&lt;&gt;"",INDEX(職員マスタ!$B$6:$B$405,$AP2645)&lt;&gt;"",SUBSTITUTE(SUBSTITUTE($H2645," ","")," ","")&lt;&gt;SUBSTITUTE(SUBSTITUTE(INDEX(職員マスタ!$B$6:$B$405,$AP2645)," ","")," ","")),"氏名がマスタと相違／","")&amp;IF(AND($Q2645&lt;&gt;"",INDEX(職員マスタ!$E$6:$E$405,$AP2645)&lt;&gt;"",$Q2645&lt;&gt;INDEX(職員マスタ!$E$6:$E$405,$AP2645)),"子の生年月日がマスタと相違／","")&amp;IF(AND($L2645&lt;&gt;"",INDEX(職員マスタ!$G$6:$G$405,$AP2645)&lt;&gt;"",$L2645&lt;&gt;INDEX(職員マスタ!$G$6:$G$405,$AP2645)),"時短開始日がマスタと相違／","")&amp;IF(AND($M2645&lt;&gt;"",INDEX(職員マスタ!$H$6:$H$405,$AP2645)&lt;&gt;"",$M2645&lt;&gt;INDEX(職員マスタ!$H$6:$H$405,$AP2645)),"時短終了日がマスタと相違／","")))&amp;IF(AND($B2645&lt;&gt;"",$E2645=""),"報酬額が未入力／","")&amp;IF(N($U2645)&gt;0,"申請書に入力エラーが残っています／","")&amp;IF(AND($B2645&lt;&gt;"",$AQ2645&lt;&gt;""),IF(COUNTIFS($B$6:$B$3005,$B2645,$C$6:$C$3005,$C2645,$D$6:$D$3005,$D2645)&gt;1,"同じ月の請求が重複しています／",""),"")&amp;IF(AND(N($E2645)&gt;0,$AB2645&lt;&gt;"",$AB2645&lt;&gt;"×",$AE2645=0,$AD2645=""),"計算額が下限以下のため不支給／",""))</f>
        <v/>
      </c>
      <c r="AN2645" s="12" t="n"/>
      <c r="AO2645" s="14">
        <f>IF($AF2645="保留中",COUNTIF($AF$6:$AF2645,"保留中"),"")</f>
        <v/>
      </c>
      <c r="AP2645" s="14">
        <f>IF($AQ2645="","",IF(SUMPRODUCT(MAX((職員マスタ!$A$6:$A$405=$B2645)*(((職員マスタ!$G$6:$G$405="")+(職員マスタ!$G$6:$G$405&lt;=EOMONTH($AQ2645,0)))&gt;0)*(((職員マスタ!$H$6:$H$405="")+(職員マスタ!$H$6:$H$405&gt;=$AQ2645))&gt;0)*(ROW(職員マスタ!$A$6:$A$405)-5)))&gt;0,SUMPRODUCT(MAX((職員マスタ!$A$6:$A$405=$B2645)*(((職員マスタ!$G$6:$G$405="")+(職員マスタ!$G$6:$G$405&lt;=EOMONTH($AQ2645,0)))&gt;0)*(((職員マスタ!$H$6:$H$405="")+(職員マスタ!$H$6:$H$405&gt;=$AQ2645))&gt;0)*(ROW(職員マスタ!$A$6:$A$405)-5))),IFERROR(MATCH($B2645,職員マスタ!$A$6:$A$405,0),"")))</f>
        <v/>
      </c>
      <c r="AQ2645" s="16">
        <f>IF(OR($B2645="",$C2645="",$D2645=""),"",DATE($C2645+2018,$D2645,1))</f>
        <v/>
      </c>
    </row>
    <row r="2646">
      <c r="A2646" s="11" t="n"/>
      <c r="B2646" s="12" t="n"/>
      <c r="C2646" s="12" t="n"/>
      <c r="D2646" s="12" t="n"/>
      <c r="E2646" s="13" t="n"/>
      <c r="F2646" s="12" t="n"/>
      <c r="G2646" s="13" t="n"/>
      <c r="H2646" s="12" t="n"/>
      <c r="I2646" s="12" t="n"/>
      <c r="J2646" s="12" t="n"/>
      <c r="K2646" s="12" t="n"/>
      <c r="L2646" s="11" t="n"/>
      <c r="M2646" s="11" t="n"/>
      <c r="N2646" s="11" t="n"/>
      <c r="O2646" s="11" t="n"/>
      <c r="P2646" s="12" t="n"/>
      <c r="Q2646" s="11" t="n"/>
      <c r="R2646" s="12" t="n"/>
      <c r="S2646" s="11" t="n"/>
      <c r="T2646" s="12" t="n"/>
      <c r="U2646" s="12" t="n"/>
      <c r="V2646" s="12" t="n"/>
      <c r="W2646" s="13" t="n"/>
      <c r="X2646" s="14">
        <f>IF($AP2646="",IF($B2646="","",$H2646),IF(INDEX(職員マスタ!$B$6:$B$405,$AP2646)="",$H2646,INDEX(職員マスタ!$B$6:$B$405,$AP2646)))</f>
        <v/>
      </c>
      <c r="Y2646" s="14">
        <f>IF($AP2646="",IF($B2646="","",$R2646),IF(INDEX(職員マスタ!$C$6:$C$405,$AP2646)="",$R2646,INDEX(職員マスタ!$C$6:$C$405,$AP2646)))</f>
        <v/>
      </c>
      <c r="Z2646" s="14">
        <f>IF($AQ2646="","","R"&amp;$C2646&amp;"."&amp;$D2646)</f>
        <v/>
      </c>
      <c r="AA2646" s="15">
        <f>IF(IF($AP2646="",FALSE,INDEX(職員マスタ!$K$6:$K$405,$AP2646)&lt;&gt;""),INDEX(職員マスタ!$K$6:$K$405,$AP2646),IF(N($W2646)&gt;0,$W2646,""))</f>
        <v/>
      </c>
      <c r="AB2646" s="14">
        <f>IF(OR($E2646="",$AA2646=""),"",IF($E2646&gt;=$AA2646,"×",IF($E2646&gt;=$AA2646*設定!$C$5,"△","○")))</f>
        <v/>
      </c>
      <c r="AC2646" s="15">
        <f>IF($AB2646="","",IF($AB2646="×",0,IF($AB2646="○",ROUNDDOWN($E2646*設定!$C$4,0),ROUNDDOWN($E2646*ROUND((9*$AA2646-9*$E2646)/(10*$E2646),4),0))))</f>
        <v/>
      </c>
      <c r="AD2646" s="13" t="n"/>
      <c r="AE2646" s="15">
        <f>IF($B2646="","",IF($AD2646&lt;&gt;"",$AD2646,IF($AC2646="","",IF($AC2646&lt;=設定!$C$3,0,$AC2646))))</f>
        <v/>
      </c>
      <c r="AF2646" s="14">
        <f>IF($B2646="","",IF(AND($AG2646&lt;&gt;"",$AI2646="",$AL2646=""),"保留中",IF($AL2646&lt;&gt;"",IF(N($AE2646)&gt;0,"支給済","不支給"),IF($AE2646="","要確認",IF($AE2646=0,"不支給","未処理")))))</f>
        <v/>
      </c>
      <c r="AG2646" s="12" t="n"/>
      <c r="AH2646" s="11" t="n"/>
      <c r="AI2646" s="11" t="n"/>
      <c r="AJ2646" s="11" t="n"/>
      <c r="AK2646" s="14">
        <f>IF(AND($AF2646="保留中",$AH2646&lt;&gt;""),TODAY()-$AH2646,"")</f>
        <v/>
      </c>
      <c r="AL2646" s="12" t="n"/>
      <c r="AM2646" s="14">
        <f>IF($B2646="","",IF($AQ2646="","対象年月が未入力／","")&amp;IF($B2646="","",IF($AP2646="","職員マスタに未登録の職員番号／",IF($AA2646="","標準報酬月額が未登録／","")&amp;IF(AND($AQ2646&lt;&gt;"",OR(AND(INDEX(職員マスタ!$G$6:$G$405,$AP2646)&lt;&gt;"",INDEX(職員マスタ!$G$6:$G$405,$AP2646)&gt;EOMONTH($AQ2646,0)),AND(INDEX(職員マスタ!$H$6:$H$405,$AP2646)&lt;&gt;"",INDEX(職員マスタ!$H$6:$H$405,$AP2646)&lt;$AQ2646))),"対象月が時短期間外／","")&amp;IF(AND(INDEX(職員マスタ!$K$6:$K$405,$AP2646)&lt;&gt;"",N($W2646)&gt;0,INDEX(職員マスタ!$K$6:$K$405,$AP2646)&lt;&gt;$W2646),"標準報酬月額が申請書と相違（台帳"&amp;TEXT(INDEX(職員マスタ!$K$6:$K$405,$AP2646),"#,##0")&amp;"円／申請書"&amp;TEXT($W2646,"#,##0")&amp;"円）／","")&amp;IF(AND(INDEX(職員マスタ!$F$6:$F$405,$AP2646)&lt;&gt;"",$AQ2646&lt;&gt;"",INDEX(職員マスタ!$F$6:$F$405,$AP2646)&lt;$AQ2646),"対象月に子が2歳到達済／","")&amp;IF(AND($H2646&lt;&gt;"",INDEX(職員マスタ!$B$6:$B$405,$AP2646)&lt;&gt;"",SUBSTITUTE(SUBSTITUTE($H2646," ","")," ","")&lt;&gt;SUBSTITUTE(SUBSTITUTE(INDEX(職員マスタ!$B$6:$B$405,$AP2646)," ","")," ","")),"氏名がマスタと相違／","")&amp;IF(AND($Q2646&lt;&gt;"",INDEX(職員マスタ!$E$6:$E$405,$AP2646)&lt;&gt;"",$Q2646&lt;&gt;INDEX(職員マスタ!$E$6:$E$405,$AP2646)),"子の生年月日がマスタと相違／","")&amp;IF(AND($L2646&lt;&gt;"",INDEX(職員マスタ!$G$6:$G$405,$AP2646)&lt;&gt;"",$L2646&lt;&gt;INDEX(職員マスタ!$G$6:$G$405,$AP2646)),"時短開始日がマスタと相違／","")&amp;IF(AND($M2646&lt;&gt;"",INDEX(職員マスタ!$H$6:$H$405,$AP2646)&lt;&gt;"",$M2646&lt;&gt;INDEX(職員マスタ!$H$6:$H$405,$AP2646)),"時短終了日がマスタと相違／","")))&amp;IF(AND($B2646&lt;&gt;"",$E2646=""),"報酬額が未入力／","")&amp;IF(N($U2646)&gt;0,"申請書に入力エラーが残っています／","")&amp;IF(AND($B2646&lt;&gt;"",$AQ2646&lt;&gt;""),IF(COUNTIFS($B$6:$B$3005,$B2646,$C$6:$C$3005,$C2646,$D$6:$D$3005,$D2646)&gt;1,"同じ月の請求が重複しています／",""),"")&amp;IF(AND(N($E2646)&gt;0,$AB2646&lt;&gt;"",$AB2646&lt;&gt;"×",$AE2646=0,$AD2646=""),"計算額が下限以下のため不支給／",""))</f>
        <v/>
      </c>
      <c r="AN2646" s="12" t="n"/>
      <c r="AO2646" s="14">
        <f>IF($AF2646="保留中",COUNTIF($AF$6:$AF2646,"保留中"),"")</f>
        <v/>
      </c>
      <c r="AP2646" s="14">
        <f>IF($AQ2646="","",IF(SUMPRODUCT(MAX((職員マスタ!$A$6:$A$405=$B2646)*(((職員マスタ!$G$6:$G$405="")+(職員マスタ!$G$6:$G$405&lt;=EOMONTH($AQ2646,0)))&gt;0)*(((職員マスタ!$H$6:$H$405="")+(職員マスタ!$H$6:$H$405&gt;=$AQ2646))&gt;0)*(ROW(職員マスタ!$A$6:$A$405)-5)))&gt;0,SUMPRODUCT(MAX((職員マスタ!$A$6:$A$405=$B2646)*(((職員マスタ!$G$6:$G$405="")+(職員マスタ!$G$6:$G$405&lt;=EOMONTH($AQ2646,0)))&gt;0)*(((職員マスタ!$H$6:$H$405="")+(職員マスタ!$H$6:$H$405&gt;=$AQ2646))&gt;0)*(ROW(職員マスタ!$A$6:$A$405)-5))),IFERROR(MATCH($B2646,職員マスタ!$A$6:$A$405,0),"")))</f>
        <v/>
      </c>
      <c r="AQ2646" s="16">
        <f>IF(OR($B2646="",$C2646="",$D2646=""),"",DATE($C2646+2018,$D2646,1))</f>
        <v/>
      </c>
    </row>
    <row r="2647">
      <c r="A2647" s="11" t="n"/>
      <c r="B2647" s="12" t="n"/>
      <c r="C2647" s="12" t="n"/>
      <c r="D2647" s="12" t="n"/>
      <c r="E2647" s="13" t="n"/>
      <c r="F2647" s="12" t="n"/>
      <c r="G2647" s="13" t="n"/>
      <c r="H2647" s="12" t="n"/>
      <c r="I2647" s="12" t="n"/>
      <c r="J2647" s="12" t="n"/>
      <c r="K2647" s="12" t="n"/>
      <c r="L2647" s="11" t="n"/>
      <c r="M2647" s="11" t="n"/>
      <c r="N2647" s="11" t="n"/>
      <c r="O2647" s="11" t="n"/>
      <c r="P2647" s="12" t="n"/>
      <c r="Q2647" s="11" t="n"/>
      <c r="R2647" s="12" t="n"/>
      <c r="S2647" s="11" t="n"/>
      <c r="T2647" s="12" t="n"/>
      <c r="U2647" s="12" t="n"/>
      <c r="V2647" s="12" t="n"/>
      <c r="W2647" s="13" t="n"/>
      <c r="X2647" s="14">
        <f>IF($AP2647="",IF($B2647="","",$H2647),IF(INDEX(職員マスタ!$B$6:$B$405,$AP2647)="",$H2647,INDEX(職員マスタ!$B$6:$B$405,$AP2647)))</f>
        <v/>
      </c>
      <c r="Y2647" s="14">
        <f>IF($AP2647="",IF($B2647="","",$R2647),IF(INDEX(職員マスタ!$C$6:$C$405,$AP2647)="",$R2647,INDEX(職員マスタ!$C$6:$C$405,$AP2647)))</f>
        <v/>
      </c>
      <c r="Z2647" s="14">
        <f>IF($AQ2647="","","R"&amp;$C2647&amp;"."&amp;$D2647)</f>
        <v/>
      </c>
      <c r="AA2647" s="15">
        <f>IF(IF($AP2647="",FALSE,INDEX(職員マスタ!$K$6:$K$405,$AP2647)&lt;&gt;""),INDEX(職員マスタ!$K$6:$K$405,$AP2647),IF(N($W2647)&gt;0,$W2647,""))</f>
        <v/>
      </c>
      <c r="AB2647" s="14">
        <f>IF(OR($E2647="",$AA2647=""),"",IF($E2647&gt;=$AA2647,"×",IF($E2647&gt;=$AA2647*設定!$C$5,"△","○")))</f>
        <v/>
      </c>
      <c r="AC2647" s="15">
        <f>IF($AB2647="","",IF($AB2647="×",0,IF($AB2647="○",ROUNDDOWN($E2647*設定!$C$4,0),ROUNDDOWN($E2647*ROUND((9*$AA2647-9*$E2647)/(10*$E2647),4),0))))</f>
        <v/>
      </c>
      <c r="AD2647" s="13" t="n"/>
      <c r="AE2647" s="15">
        <f>IF($B2647="","",IF($AD2647&lt;&gt;"",$AD2647,IF($AC2647="","",IF($AC2647&lt;=設定!$C$3,0,$AC2647))))</f>
        <v/>
      </c>
      <c r="AF2647" s="14">
        <f>IF($B2647="","",IF(AND($AG2647&lt;&gt;"",$AI2647="",$AL2647=""),"保留中",IF($AL2647&lt;&gt;"",IF(N($AE2647)&gt;0,"支給済","不支給"),IF($AE2647="","要確認",IF($AE2647=0,"不支給","未処理")))))</f>
        <v/>
      </c>
      <c r="AG2647" s="12" t="n"/>
      <c r="AH2647" s="11" t="n"/>
      <c r="AI2647" s="11" t="n"/>
      <c r="AJ2647" s="11" t="n"/>
      <c r="AK2647" s="14">
        <f>IF(AND($AF2647="保留中",$AH2647&lt;&gt;""),TODAY()-$AH2647,"")</f>
        <v/>
      </c>
      <c r="AL2647" s="12" t="n"/>
      <c r="AM2647" s="14">
        <f>IF($B2647="","",IF($AQ2647="","対象年月が未入力／","")&amp;IF($B2647="","",IF($AP2647="","職員マスタに未登録の職員番号／",IF($AA2647="","標準報酬月額が未登録／","")&amp;IF(AND($AQ2647&lt;&gt;"",OR(AND(INDEX(職員マスタ!$G$6:$G$405,$AP2647)&lt;&gt;"",INDEX(職員マスタ!$G$6:$G$405,$AP2647)&gt;EOMONTH($AQ2647,0)),AND(INDEX(職員マスタ!$H$6:$H$405,$AP2647)&lt;&gt;"",INDEX(職員マスタ!$H$6:$H$405,$AP2647)&lt;$AQ2647))),"対象月が時短期間外／","")&amp;IF(AND(INDEX(職員マスタ!$K$6:$K$405,$AP2647)&lt;&gt;"",N($W2647)&gt;0,INDEX(職員マスタ!$K$6:$K$405,$AP2647)&lt;&gt;$W2647),"標準報酬月額が申請書と相違（台帳"&amp;TEXT(INDEX(職員マスタ!$K$6:$K$405,$AP2647),"#,##0")&amp;"円／申請書"&amp;TEXT($W2647,"#,##0")&amp;"円）／","")&amp;IF(AND(INDEX(職員マスタ!$F$6:$F$405,$AP2647)&lt;&gt;"",$AQ2647&lt;&gt;"",INDEX(職員マスタ!$F$6:$F$405,$AP2647)&lt;$AQ2647),"対象月に子が2歳到達済／","")&amp;IF(AND($H2647&lt;&gt;"",INDEX(職員マスタ!$B$6:$B$405,$AP2647)&lt;&gt;"",SUBSTITUTE(SUBSTITUTE($H2647," ","")," ","")&lt;&gt;SUBSTITUTE(SUBSTITUTE(INDEX(職員マスタ!$B$6:$B$405,$AP2647)," ","")," ","")),"氏名がマスタと相違／","")&amp;IF(AND($Q2647&lt;&gt;"",INDEX(職員マスタ!$E$6:$E$405,$AP2647)&lt;&gt;"",$Q2647&lt;&gt;INDEX(職員マスタ!$E$6:$E$405,$AP2647)),"子の生年月日がマスタと相違／","")&amp;IF(AND($L2647&lt;&gt;"",INDEX(職員マスタ!$G$6:$G$405,$AP2647)&lt;&gt;"",$L2647&lt;&gt;INDEX(職員マスタ!$G$6:$G$405,$AP2647)),"時短開始日がマスタと相違／","")&amp;IF(AND($M2647&lt;&gt;"",INDEX(職員マスタ!$H$6:$H$405,$AP2647)&lt;&gt;"",$M2647&lt;&gt;INDEX(職員マスタ!$H$6:$H$405,$AP2647)),"時短終了日がマスタと相違／","")))&amp;IF(AND($B2647&lt;&gt;"",$E2647=""),"報酬額が未入力／","")&amp;IF(N($U2647)&gt;0,"申請書に入力エラーが残っています／","")&amp;IF(AND($B2647&lt;&gt;"",$AQ2647&lt;&gt;""),IF(COUNTIFS($B$6:$B$3005,$B2647,$C$6:$C$3005,$C2647,$D$6:$D$3005,$D2647)&gt;1,"同じ月の請求が重複しています／",""),"")&amp;IF(AND(N($E2647)&gt;0,$AB2647&lt;&gt;"",$AB2647&lt;&gt;"×",$AE2647=0,$AD2647=""),"計算額が下限以下のため不支給／",""))</f>
        <v/>
      </c>
      <c r="AN2647" s="12" t="n"/>
      <c r="AO2647" s="14">
        <f>IF($AF2647="保留中",COUNTIF($AF$6:$AF2647,"保留中"),"")</f>
        <v/>
      </c>
      <c r="AP2647" s="14">
        <f>IF($AQ2647="","",IF(SUMPRODUCT(MAX((職員マスタ!$A$6:$A$405=$B2647)*(((職員マスタ!$G$6:$G$405="")+(職員マスタ!$G$6:$G$405&lt;=EOMONTH($AQ2647,0)))&gt;0)*(((職員マスタ!$H$6:$H$405="")+(職員マスタ!$H$6:$H$405&gt;=$AQ2647))&gt;0)*(ROW(職員マスタ!$A$6:$A$405)-5)))&gt;0,SUMPRODUCT(MAX((職員マスタ!$A$6:$A$405=$B2647)*(((職員マスタ!$G$6:$G$405="")+(職員マスタ!$G$6:$G$405&lt;=EOMONTH($AQ2647,0)))&gt;0)*(((職員マスタ!$H$6:$H$405="")+(職員マスタ!$H$6:$H$405&gt;=$AQ2647))&gt;0)*(ROW(職員マスタ!$A$6:$A$405)-5))),IFERROR(MATCH($B2647,職員マスタ!$A$6:$A$405,0),"")))</f>
        <v/>
      </c>
      <c r="AQ2647" s="16">
        <f>IF(OR($B2647="",$C2647="",$D2647=""),"",DATE($C2647+2018,$D2647,1))</f>
        <v/>
      </c>
    </row>
    <row r="2648">
      <c r="A2648" s="11" t="n"/>
      <c r="B2648" s="12" t="n"/>
      <c r="C2648" s="12" t="n"/>
      <c r="D2648" s="12" t="n"/>
      <c r="E2648" s="13" t="n"/>
      <c r="F2648" s="12" t="n"/>
      <c r="G2648" s="13" t="n"/>
      <c r="H2648" s="12" t="n"/>
      <c r="I2648" s="12" t="n"/>
      <c r="J2648" s="12" t="n"/>
      <c r="K2648" s="12" t="n"/>
      <c r="L2648" s="11" t="n"/>
      <c r="M2648" s="11" t="n"/>
      <c r="N2648" s="11" t="n"/>
      <c r="O2648" s="11" t="n"/>
      <c r="P2648" s="12" t="n"/>
      <c r="Q2648" s="11" t="n"/>
      <c r="R2648" s="12" t="n"/>
      <c r="S2648" s="11" t="n"/>
      <c r="T2648" s="12" t="n"/>
      <c r="U2648" s="12" t="n"/>
      <c r="V2648" s="12" t="n"/>
      <c r="W2648" s="13" t="n"/>
      <c r="X2648" s="14">
        <f>IF($AP2648="",IF($B2648="","",$H2648),IF(INDEX(職員マスタ!$B$6:$B$405,$AP2648)="",$H2648,INDEX(職員マスタ!$B$6:$B$405,$AP2648)))</f>
        <v/>
      </c>
      <c r="Y2648" s="14">
        <f>IF($AP2648="",IF($B2648="","",$R2648),IF(INDEX(職員マスタ!$C$6:$C$405,$AP2648)="",$R2648,INDEX(職員マスタ!$C$6:$C$405,$AP2648)))</f>
        <v/>
      </c>
      <c r="Z2648" s="14">
        <f>IF($AQ2648="","","R"&amp;$C2648&amp;"."&amp;$D2648)</f>
        <v/>
      </c>
      <c r="AA2648" s="15">
        <f>IF(IF($AP2648="",FALSE,INDEX(職員マスタ!$K$6:$K$405,$AP2648)&lt;&gt;""),INDEX(職員マスタ!$K$6:$K$405,$AP2648),IF(N($W2648)&gt;0,$W2648,""))</f>
        <v/>
      </c>
      <c r="AB2648" s="14">
        <f>IF(OR($E2648="",$AA2648=""),"",IF($E2648&gt;=$AA2648,"×",IF($E2648&gt;=$AA2648*設定!$C$5,"△","○")))</f>
        <v/>
      </c>
      <c r="AC2648" s="15">
        <f>IF($AB2648="","",IF($AB2648="×",0,IF($AB2648="○",ROUNDDOWN($E2648*設定!$C$4,0),ROUNDDOWN($E2648*ROUND((9*$AA2648-9*$E2648)/(10*$E2648),4),0))))</f>
        <v/>
      </c>
      <c r="AD2648" s="13" t="n"/>
      <c r="AE2648" s="15">
        <f>IF($B2648="","",IF($AD2648&lt;&gt;"",$AD2648,IF($AC2648="","",IF($AC2648&lt;=設定!$C$3,0,$AC2648))))</f>
        <v/>
      </c>
      <c r="AF2648" s="14">
        <f>IF($B2648="","",IF(AND($AG2648&lt;&gt;"",$AI2648="",$AL2648=""),"保留中",IF($AL2648&lt;&gt;"",IF(N($AE2648)&gt;0,"支給済","不支給"),IF($AE2648="","要確認",IF($AE2648=0,"不支給","未処理")))))</f>
        <v/>
      </c>
      <c r="AG2648" s="12" t="n"/>
      <c r="AH2648" s="11" t="n"/>
      <c r="AI2648" s="11" t="n"/>
      <c r="AJ2648" s="11" t="n"/>
      <c r="AK2648" s="14">
        <f>IF(AND($AF2648="保留中",$AH2648&lt;&gt;""),TODAY()-$AH2648,"")</f>
        <v/>
      </c>
      <c r="AL2648" s="12" t="n"/>
      <c r="AM2648" s="14">
        <f>IF($B2648="","",IF($AQ2648="","対象年月が未入力／","")&amp;IF($B2648="","",IF($AP2648="","職員マスタに未登録の職員番号／",IF($AA2648="","標準報酬月額が未登録／","")&amp;IF(AND($AQ2648&lt;&gt;"",OR(AND(INDEX(職員マスタ!$G$6:$G$405,$AP2648)&lt;&gt;"",INDEX(職員マスタ!$G$6:$G$405,$AP2648)&gt;EOMONTH($AQ2648,0)),AND(INDEX(職員マスタ!$H$6:$H$405,$AP2648)&lt;&gt;"",INDEX(職員マスタ!$H$6:$H$405,$AP2648)&lt;$AQ2648))),"対象月が時短期間外／","")&amp;IF(AND(INDEX(職員マスタ!$K$6:$K$405,$AP2648)&lt;&gt;"",N($W2648)&gt;0,INDEX(職員マスタ!$K$6:$K$405,$AP2648)&lt;&gt;$W2648),"標準報酬月額が申請書と相違（台帳"&amp;TEXT(INDEX(職員マスタ!$K$6:$K$405,$AP2648),"#,##0")&amp;"円／申請書"&amp;TEXT($W2648,"#,##0")&amp;"円）／","")&amp;IF(AND(INDEX(職員マスタ!$F$6:$F$405,$AP2648)&lt;&gt;"",$AQ2648&lt;&gt;"",INDEX(職員マスタ!$F$6:$F$405,$AP2648)&lt;$AQ2648),"対象月に子が2歳到達済／","")&amp;IF(AND($H2648&lt;&gt;"",INDEX(職員マスタ!$B$6:$B$405,$AP2648)&lt;&gt;"",SUBSTITUTE(SUBSTITUTE($H2648," ","")," ","")&lt;&gt;SUBSTITUTE(SUBSTITUTE(INDEX(職員マスタ!$B$6:$B$405,$AP2648)," ","")," ","")),"氏名がマスタと相違／","")&amp;IF(AND($Q2648&lt;&gt;"",INDEX(職員マスタ!$E$6:$E$405,$AP2648)&lt;&gt;"",$Q2648&lt;&gt;INDEX(職員マスタ!$E$6:$E$405,$AP2648)),"子の生年月日がマスタと相違／","")&amp;IF(AND($L2648&lt;&gt;"",INDEX(職員マスタ!$G$6:$G$405,$AP2648)&lt;&gt;"",$L2648&lt;&gt;INDEX(職員マスタ!$G$6:$G$405,$AP2648)),"時短開始日がマスタと相違／","")&amp;IF(AND($M2648&lt;&gt;"",INDEX(職員マスタ!$H$6:$H$405,$AP2648)&lt;&gt;"",$M2648&lt;&gt;INDEX(職員マスタ!$H$6:$H$405,$AP2648)),"時短終了日がマスタと相違／","")))&amp;IF(AND($B2648&lt;&gt;"",$E2648=""),"報酬額が未入力／","")&amp;IF(N($U2648)&gt;0,"申請書に入力エラーが残っています／","")&amp;IF(AND($B2648&lt;&gt;"",$AQ2648&lt;&gt;""),IF(COUNTIFS($B$6:$B$3005,$B2648,$C$6:$C$3005,$C2648,$D$6:$D$3005,$D2648)&gt;1,"同じ月の請求が重複しています／",""),"")&amp;IF(AND(N($E2648)&gt;0,$AB2648&lt;&gt;"",$AB2648&lt;&gt;"×",$AE2648=0,$AD2648=""),"計算額が下限以下のため不支給／",""))</f>
        <v/>
      </c>
      <c r="AN2648" s="12" t="n"/>
      <c r="AO2648" s="14">
        <f>IF($AF2648="保留中",COUNTIF($AF$6:$AF2648,"保留中"),"")</f>
        <v/>
      </c>
      <c r="AP2648" s="14">
        <f>IF($AQ2648="","",IF(SUMPRODUCT(MAX((職員マスタ!$A$6:$A$405=$B2648)*(((職員マスタ!$G$6:$G$405="")+(職員マスタ!$G$6:$G$405&lt;=EOMONTH($AQ2648,0)))&gt;0)*(((職員マスタ!$H$6:$H$405="")+(職員マスタ!$H$6:$H$405&gt;=$AQ2648))&gt;0)*(ROW(職員マスタ!$A$6:$A$405)-5)))&gt;0,SUMPRODUCT(MAX((職員マスタ!$A$6:$A$405=$B2648)*(((職員マスタ!$G$6:$G$405="")+(職員マスタ!$G$6:$G$405&lt;=EOMONTH($AQ2648,0)))&gt;0)*(((職員マスタ!$H$6:$H$405="")+(職員マスタ!$H$6:$H$405&gt;=$AQ2648))&gt;0)*(ROW(職員マスタ!$A$6:$A$405)-5))),IFERROR(MATCH($B2648,職員マスタ!$A$6:$A$405,0),"")))</f>
        <v/>
      </c>
      <c r="AQ2648" s="16">
        <f>IF(OR($B2648="",$C2648="",$D2648=""),"",DATE($C2648+2018,$D2648,1))</f>
        <v/>
      </c>
    </row>
    <row r="2649">
      <c r="A2649" s="11" t="n"/>
      <c r="B2649" s="12" t="n"/>
      <c r="C2649" s="12" t="n"/>
      <c r="D2649" s="12" t="n"/>
      <c r="E2649" s="13" t="n"/>
      <c r="F2649" s="12" t="n"/>
      <c r="G2649" s="13" t="n"/>
      <c r="H2649" s="12" t="n"/>
      <c r="I2649" s="12" t="n"/>
      <c r="J2649" s="12" t="n"/>
      <c r="K2649" s="12" t="n"/>
      <c r="L2649" s="11" t="n"/>
      <c r="M2649" s="11" t="n"/>
      <c r="N2649" s="11" t="n"/>
      <c r="O2649" s="11" t="n"/>
      <c r="P2649" s="12" t="n"/>
      <c r="Q2649" s="11" t="n"/>
      <c r="R2649" s="12" t="n"/>
      <c r="S2649" s="11" t="n"/>
      <c r="T2649" s="12" t="n"/>
      <c r="U2649" s="12" t="n"/>
      <c r="V2649" s="12" t="n"/>
      <c r="W2649" s="13" t="n"/>
      <c r="X2649" s="14">
        <f>IF($AP2649="",IF($B2649="","",$H2649),IF(INDEX(職員マスタ!$B$6:$B$405,$AP2649)="",$H2649,INDEX(職員マスタ!$B$6:$B$405,$AP2649)))</f>
        <v/>
      </c>
      <c r="Y2649" s="14">
        <f>IF($AP2649="",IF($B2649="","",$R2649),IF(INDEX(職員マスタ!$C$6:$C$405,$AP2649)="",$R2649,INDEX(職員マスタ!$C$6:$C$405,$AP2649)))</f>
        <v/>
      </c>
      <c r="Z2649" s="14">
        <f>IF($AQ2649="","","R"&amp;$C2649&amp;"."&amp;$D2649)</f>
        <v/>
      </c>
      <c r="AA2649" s="15">
        <f>IF(IF($AP2649="",FALSE,INDEX(職員マスタ!$K$6:$K$405,$AP2649)&lt;&gt;""),INDEX(職員マスタ!$K$6:$K$405,$AP2649),IF(N($W2649)&gt;0,$W2649,""))</f>
        <v/>
      </c>
      <c r="AB2649" s="14">
        <f>IF(OR($E2649="",$AA2649=""),"",IF($E2649&gt;=$AA2649,"×",IF($E2649&gt;=$AA2649*設定!$C$5,"△","○")))</f>
        <v/>
      </c>
      <c r="AC2649" s="15">
        <f>IF($AB2649="","",IF($AB2649="×",0,IF($AB2649="○",ROUNDDOWN($E2649*設定!$C$4,0),ROUNDDOWN($E2649*ROUND((9*$AA2649-9*$E2649)/(10*$E2649),4),0))))</f>
        <v/>
      </c>
      <c r="AD2649" s="13" t="n"/>
      <c r="AE2649" s="15">
        <f>IF($B2649="","",IF($AD2649&lt;&gt;"",$AD2649,IF($AC2649="","",IF($AC2649&lt;=設定!$C$3,0,$AC2649))))</f>
        <v/>
      </c>
      <c r="AF2649" s="14">
        <f>IF($B2649="","",IF(AND($AG2649&lt;&gt;"",$AI2649="",$AL2649=""),"保留中",IF($AL2649&lt;&gt;"",IF(N($AE2649)&gt;0,"支給済","不支給"),IF($AE2649="","要確認",IF($AE2649=0,"不支給","未処理")))))</f>
        <v/>
      </c>
      <c r="AG2649" s="12" t="n"/>
      <c r="AH2649" s="11" t="n"/>
      <c r="AI2649" s="11" t="n"/>
      <c r="AJ2649" s="11" t="n"/>
      <c r="AK2649" s="14">
        <f>IF(AND($AF2649="保留中",$AH2649&lt;&gt;""),TODAY()-$AH2649,"")</f>
        <v/>
      </c>
      <c r="AL2649" s="12" t="n"/>
      <c r="AM2649" s="14">
        <f>IF($B2649="","",IF($AQ2649="","対象年月が未入力／","")&amp;IF($B2649="","",IF($AP2649="","職員マスタに未登録の職員番号／",IF($AA2649="","標準報酬月額が未登録／","")&amp;IF(AND($AQ2649&lt;&gt;"",OR(AND(INDEX(職員マスタ!$G$6:$G$405,$AP2649)&lt;&gt;"",INDEX(職員マスタ!$G$6:$G$405,$AP2649)&gt;EOMONTH($AQ2649,0)),AND(INDEX(職員マスタ!$H$6:$H$405,$AP2649)&lt;&gt;"",INDEX(職員マスタ!$H$6:$H$405,$AP2649)&lt;$AQ2649))),"対象月が時短期間外／","")&amp;IF(AND(INDEX(職員マスタ!$K$6:$K$405,$AP2649)&lt;&gt;"",N($W2649)&gt;0,INDEX(職員マスタ!$K$6:$K$405,$AP2649)&lt;&gt;$W2649),"標準報酬月額が申請書と相違（台帳"&amp;TEXT(INDEX(職員マスタ!$K$6:$K$405,$AP2649),"#,##0")&amp;"円／申請書"&amp;TEXT($W2649,"#,##0")&amp;"円）／","")&amp;IF(AND(INDEX(職員マスタ!$F$6:$F$405,$AP2649)&lt;&gt;"",$AQ2649&lt;&gt;"",INDEX(職員マスタ!$F$6:$F$405,$AP2649)&lt;$AQ2649),"対象月に子が2歳到達済／","")&amp;IF(AND($H2649&lt;&gt;"",INDEX(職員マスタ!$B$6:$B$405,$AP2649)&lt;&gt;"",SUBSTITUTE(SUBSTITUTE($H2649," ","")," ","")&lt;&gt;SUBSTITUTE(SUBSTITUTE(INDEX(職員マスタ!$B$6:$B$405,$AP2649)," ","")," ","")),"氏名がマスタと相違／","")&amp;IF(AND($Q2649&lt;&gt;"",INDEX(職員マスタ!$E$6:$E$405,$AP2649)&lt;&gt;"",$Q2649&lt;&gt;INDEX(職員マスタ!$E$6:$E$405,$AP2649)),"子の生年月日がマスタと相違／","")&amp;IF(AND($L2649&lt;&gt;"",INDEX(職員マスタ!$G$6:$G$405,$AP2649)&lt;&gt;"",$L2649&lt;&gt;INDEX(職員マスタ!$G$6:$G$405,$AP2649)),"時短開始日がマスタと相違／","")&amp;IF(AND($M2649&lt;&gt;"",INDEX(職員マスタ!$H$6:$H$405,$AP2649)&lt;&gt;"",$M2649&lt;&gt;INDEX(職員マスタ!$H$6:$H$405,$AP2649)),"時短終了日がマスタと相違／","")))&amp;IF(AND($B2649&lt;&gt;"",$E2649=""),"報酬額が未入力／","")&amp;IF(N($U2649)&gt;0,"申請書に入力エラーが残っています／","")&amp;IF(AND($B2649&lt;&gt;"",$AQ2649&lt;&gt;""),IF(COUNTIFS($B$6:$B$3005,$B2649,$C$6:$C$3005,$C2649,$D$6:$D$3005,$D2649)&gt;1,"同じ月の請求が重複しています／",""),"")&amp;IF(AND(N($E2649)&gt;0,$AB2649&lt;&gt;"",$AB2649&lt;&gt;"×",$AE2649=0,$AD2649=""),"計算額が下限以下のため不支給／",""))</f>
        <v/>
      </c>
      <c r="AN2649" s="12" t="n"/>
      <c r="AO2649" s="14">
        <f>IF($AF2649="保留中",COUNTIF($AF$6:$AF2649,"保留中"),"")</f>
        <v/>
      </c>
      <c r="AP2649" s="14">
        <f>IF($AQ2649="","",IF(SUMPRODUCT(MAX((職員マスタ!$A$6:$A$405=$B2649)*(((職員マスタ!$G$6:$G$405="")+(職員マスタ!$G$6:$G$405&lt;=EOMONTH($AQ2649,0)))&gt;0)*(((職員マスタ!$H$6:$H$405="")+(職員マスタ!$H$6:$H$405&gt;=$AQ2649))&gt;0)*(ROW(職員マスタ!$A$6:$A$405)-5)))&gt;0,SUMPRODUCT(MAX((職員マスタ!$A$6:$A$405=$B2649)*(((職員マスタ!$G$6:$G$405="")+(職員マスタ!$G$6:$G$405&lt;=EOMONTH($AQ2649,0)))&gt;0)*(((職員マスタ!$H$6:$H$405="")+(職員マスタ!$H$6:$H$405&gt;=$AQ2649))&gt;0)*(ROW(職員マスタ!$A$6:$A$405)-5))),IFERROR(MATCH($B2649,職員マスタ!$A$6:$A$405,0),"")))</f>
        <v/>
      </c>
      <c r="AQ2649" s="16">
        <f>IF(OR($B2649="",$C2649="",$D2649=""),"",DATE($C2649+2018,$D2649,1))</f>
        <v/>
      </c>
    </row>
    <row r="2650">
      <c r="A2650" s="11" t="n"/>
      <c r="B2650" s="12" t="n"/>
      <c r="C2650" s="12" t="n"/>
      <c r="D2650" s="12" t="n"/>
      <c r="E2650" s="13" t="n"/>
      <c r="F2650" s="12" t="n"/>
      <c r="G2650" s="13" t="n"/>
      <c r="H2650" s="12" t="n"/>
      <c r="I2650" s="12" t="n"/>
      <c r="J2650" s="12" t="n"/>
      <c r="K2650" s="12" t="n"/>
      <c r="L2650" s="11" t="n"/>
      <c r="M2650" s="11" t="n"/>
      <c r="N2650" s="11" t="n"/>
      <c r="O2650" s="11" t="n"/>
      <c r="P2650" s="12" t="n"/>
      <c r="Q2650" s="11" t="n"/>
      <c r="R2650" s="12" t="n"/>
      <c r="S2650" s="11" t="n"/>
      <c r="T2650" s="12" t="n"/>
      <c r="U2650" s="12" t="n"/>
      <c r="V2650" s="12" t="n"/>
      <c r="W2650" s="13" t="n"/>
      <c r="X2650" s="14">
        <f>IF($AP2650="",IF($B2650="","",$H2650),IF(INDEX(職員マスタ!$B$6:$B$405,$AP2650)="",$H2650,INDEX(職員マスタ!$B$6:$B$405,$AP2650)))</f>
        <v/>
      </c>
      <c r="Y2650" s="14">
        <f>IF($AP2650="",IF($B2650="","",$R2650),IF(INDEX(職員マスタ!$C$6:$C$405,$AP2650)="",$R2650,INDEX(職員マスタ!$C$6:$C$405,$AP2650)))</f>
        <v/>
      </c>
      <c r="Z2650" s="14">
        <f>IF($AQ2650="","","R"&amp;$C2650&amp;"."&amp;$D2650)</f>
        <v/>
      </c>
      <c r="AA2650" s="15">
        <f>IF(IF($AP2650="",FALSE,INDEX(職員マスタ!$K$6:$K$405,$AP2650)&lt;&gt;""),INDEX(職員マスタ!$K$6:$K$405,$AP2650),IF(N($W2650)&gt;0,$W2650,""))</f>
        <v/>
      </c>
      <c r="AB2650" s="14">
        <f>IF(OR($E2650="",$AA2650=""),"",IF($E2650&gt;=$AA2650,"×",IF($E2650&gt;=$AA2650*設定!$C$5,"△","○")))</f>
        <v/>
      </c>
      <c r="AC2650" s="15">
        <f>IF($AB2650="","",IF($AB2650="×",0,IF($AB2650="○",ROUNDDOWN($E2650*設定!$C$4,0),ROUNDDOWN($E2650*ROUND((9*$AA2650-9*$E2650)/(10*$E2650),4),0))))</f>
        <v/>
      </c>
      <c r="AD2650" s="13" t="n"/>
      <c r="AE2650" s="15">
        <f>IF($B2650="","",IF($AD2650&lt;&gt;"",$AD2650,IF($AC2650="","",IF($AC2650&lt;=設定!$C$3,0,$AC2650))))</f>
        <v/>
      </c>
      <c r="AF2650" s="14">
        <f>IF($B2650="","",IF(AND($AG2650&lt;&gt;"",$AI2650="",$AL2650=""),"保留中",IF($AL2650&lt;&gt;"",IF(N($AE2650)&gt;0,"支給済","不支給"),IF($AE2650="","要確認",IF($AE2650=0,"不支給","未処理")))))</f>
        <v/>
      </c>
      <c r="AG2650" s="12" t="n"/>
      <c r="AH2650" s="11" t="n"/>
      <c r="AI2650" s="11" t="n"/>
      <c r="AJ2650" s="11" t="n"/>
      <c r="AK2650" s="14">
        <f>IF(AND($AF2650="保留中",$AH2650&lt;&gt;""),TODAY()-$AH2650,"")</f>
        <v/>
      </c>
      <c r="AL2650" s="12" t="n"/>
      <c r="AM2650" s="14">
        <f>IF($B2650="","",IF($AQ2650="","対象年月が未入力／","")&amp;IF($B2650="","",IF($AP2650="","職員マスタに未登録の職員番号／",IF($AA2650="","標準報酬月額が未登録／","")&amp;IF(AND($AQ2650&lt;&gt;"",OR(AND(INDEX(職員マスタ!$G$6:$G$405,$AP2650)&lt;&gt;"",INDEX(職員マスタ!$G$6:$G$405,$AP2650)&gt;EOMONTH($AQ2650,0)),AND(INDEX(職員マスタ!$H$6:$H$405,$AP2650)&lt;&gt;"",INDEX(職員マスタ!$H$6:$H$405,$AP2650)&lt;$AQ2650))),"対象月が時短期間外／","")&amp;IF(AND(INDEX(職員マスタ!$K$6:$K$405,$AP2650)&lt;&gt;"",N($W2650)&gt;0,INDEX(職員マスタ!$K$6:$K$405,$AP2650)&lt;&gt;$W2650),"標準報酬月額が申請書と相違（台帳"&amp;TEXT(INDEX(職員マスタ!$K$6:$K$405,$AP2650),"#,##0")&amp;"円／申請書"&amp;TEXT($W2650,"#,##0")&amp;"円）／","")&amp;IF(AND(INDEX(職員マスタ!$F$6:$F$405,$AP2650)&lt;&gt;"",$AQ2650&lt;&gt;"",INDEX(職員マスタ!$F$6:$F$405,$AP2650)&lt;$AQ2650),"対象月に子が2歳到達済／","")&amp;IF(AND($H2650&lt;&gt;"",INDEX(職員マスタ!$B$6:$B$405,$AP2650)&lt;&gt;"",SUBSTITUTE(SUBSTITUTE($H2650," ","")," ","")&lt;&gt;SUBSTITUTE(SUBSTITUTE(INDEX(職員マスタ!$B$6:$B$405,$AP2650)," ","")," ","")),"氏名がマスタと相違／","")&amp;IF(AND($Q2650&lt;&gt;"",INDEX(職員マスタ!$E$6:$E$405,$AP2650)&lt;&gt;"",$Q2650&lt;&gt;INDEX(職員マスタ!$E$6:$E$405,$AP2650)),"子の生年月日がマスタと相違／","")&amp;IF(AND($L2650&lt;&gt;"",INDEX(職員マスタ!$G$6:$G$405,$AP2650)&lt;&gt;"",$L2650&lt;&gt;INDEX(職員マスタ!$G$6:$G$405,$AP2650)),"時短開始日がマスタと相違／","")&amp;IF(AND($M2650&lt;&gt;"",INDEX(職員マスタ!$H$6:$H$405,$AP2650)&lt;&gt;"",$M2650&lt;&gt;INDEX(職員マスタ!$H$6:$H$405,$AP2650)),"時短終了日がマスタと相違／","")))&amp;IF(AND($B2650&lt;&gt;"",$E2650=""),"報酬額が未入力／","")&amp;IF(N($U2650)&gt;0,"申請書に入力エラーが残っています／","")&amp;IF(AND($B2650&lt;&gt;"",$AQ2650&lt;&gt;""),IF(COUNTIFS($B$6:$B$3005,$B2650,$C$6:$C$3005,$C2650,$D$6:$D$3005,$D2650)&gt;1,"同じ月の請求が重複しています／",""),"")&amp;IF(AND(N($E2650)&gt;0,$AB2650&lt;&gt;"",$AB2650&lt;&gt;"×",$AE2650=0,$AD2650=""),"計算額が下限以下のため不支給／",""))</f>
        <v/>
      </c>
      <c r="AN2650" s="12" t="n"/>
      <c r="AO2650" s="14">
        <f>IF($AF2650="保留中",COUNTIF($AF$6:$AF2650,"保留中"),"")</f>
        <v/>
      </c>
      <c r="AP2650" s="14">
        <f>IF($AQ2650="","",IF(SUMPRODUCT(MAX((職員マスタ!$A$6:$A$405=$B2650)*(((職員マスタ!$G$6:$G$405="")+(職員マスタ!$G$6:$G$405&lt;=EOMONTH($AQ2650,0)))&gt;0)*(((職員マスタ!$H$6:$H$405="")+(職員マスタ!$H$6:$H$405&gt;=$AQ2650))&gt;0)*(ROW(職員マスタ!$A$6:$A$405)-5)))&gt;0,SUMPRODUCT(MAX((職員マスタ!$A$6:$A$405=$B2650)*(((職員マスタ!$G$6:$G$405="")+(職員マスタ!$G$6:$G$405&lt;=EOMONTH($AQ2650,0)))&gt;0)*(((職員マスタ!$H$6:$H$405="")+(職員マスタ!$H$6:$H$405&gt;=$AQ2650))&gt;0)*(ROW(職員マスタ!$A$6:$A$405)-5))),IFERROR(MATCH($B2650,職員マスタ!$A$6:$A$405,0),"")))</f>
        <v/>
      </c>
      <c r="AQ2650" s="16">
        <f>IF(OR($B2650="",$C2650="",$D2650=""),"",DATE($C2650+2018,$D2650,1))</f>
        <v/>
      </c>
    </row>
    <row r="2651">
      <c r="A2651" s="11" t="n"/>
      <c r="B2651" s="12" t="n"/>
      <c r="C2651" s="12" t="n"/>
      <c r="D2651" s="12" t="n"/>
      <c r="E2651" s="13" t="n"/>
      <c r="F2651" s="12" t="n"/>
      <c r="G2651" s="13" t="n"/>
      <c r="H2651" s="12" t="n"/>
      <c r="I2651" s="12" t="n"/>
      <c r="J2651" s="12" t="n"/>
      <c r="K2651" s="12" t="n"/>
      <c r="L2651" s="11" t="n"/>
      <c r="M2651" s="11" t="n"/>
      <c r="N2651" s="11" t="n"/>
      <c r="O2651" s="11" t="n"/>
      <c r="P2651" s="12" t="n"/>
      <c r="Q2651" s="11" t="n"/>
      <c r="R2651" s="12" t="n"/>
      <c r="S2651" s="11" t="n"/>
      <c r="T2651" s="12" t="n"/>
      <c r="U2651" s="12" t="n"/>
      <c r="V2651" s="12" t="n"/>
      <c r="W2651" s="13" t="n"/>
      <c r="X2651" s="14">
        <f>IF($AP2651="",IF($B2651="","",$H2651),IF(INDEX(職員マスタ!$B$6:$B$405,$AP2651)="",$H2651,INDEX(職員マスタ!$B$6:$B$405,$AP2651)))</f>
        <v/>
      </c>
      <c r="Y2651" s="14">
        <f>IF($AP2651="",IF($B2651="","",$R2651),IF(INDEX(職員マスタ!$C$6:$C$405,$AP2651)="",$R2651,INDEX(職員マスタ!$C$6:$C$405,$AP2651)))</f>
        <v/>
      </c>
      <c r="Z2651" s="14">
        <f>IF($AQ2651="","","R"&amp;$C2651&amp;"."&amp;$D2651)</f>
        <v/>
      </c>
      <c r="AA2651" s="15">
        <f>IF(IF($AP2651="",FALSE,INDEX(職員マスタ!$K$6:$K$405,$AP2651)&lt;&gt;""),INDEX(職員マスタ!$K$6:$K$405,$AP2651),IF(N($W2651)&gt;0,$W2651,""))</f>
        <v/>
      </c>
      <c r="AB2651" s="14">
        <f>IF(OR($E2651="",$AA2651=""),"",IF($E2651&gt;=$AA2651,"×",IF($E2651&gt;=$AA2651*設定!$C$5,"△","○")))</f>
        <v/>
      </c>
      <c r="AC2651" s="15">
        <f>IF($AB2651="","",IF($AB2651="×",0,IF($AB2651="○",ROUNDDOWN($E2651*設定!$C$4,0),ROUNDDOWN($E2651*ROUND((9*$AA2651-9*$E2651)/(10*$E2651),4),0))))</f>
        <v/>
      </c>
      <c r="AD2651" s="13" t="n"/>
      <c r="AE2651" s="15">
        <f>IF($B2651="","",IF($AD2651&lt;&gt;"",$AD2651,IF($AC2651="","",IF($AC2651&lt;=設定!$C$3,0,$AC2651))))</f>
        <v/>
      </c>
      <c r="AF2651" s="14">
        <f>IF($B2651="","",IF(AND($AG2651&lt;&gt;"",$AI2651="",$AL2651=""),"保留中",IF($AL2651&lt;&gt;"",IF(N($AE2651)&gt;0,"支給済","不支給"),IF($AE2651="","要確認",IF($AE2651=0,"不支給","未処理")))))</f>
        <v/>
      </c>
      <c r="AG2651" s="12" t="n"/>
      <c r="AH2651" s="11" t="n"/>
      <c r="AI2651" s="11" t="n"/>
      <c r="AJ2651" s="11" t="n"/>
      <c r="AK2651" s="14">
        <f>IF(AND($AF2651="保留中",$AH2651&lt;&gt;""),TODAY()-$AH2651,"")</f>
        <v/>
      </c>
      <c r="AL2651" s="12" t="n"/>
      <c r="AM2651" s="14">
        <f>IF($B2651="","",IF($AQ2651="","対象年月が未入力／","")&amp;IF($B2651="","",IF($AP2651="","職員マスタに未登録の職員番号／",IF($AA2651="","標準報酬月額が未登録／","")&amp;IF(AND($AQ2651&lt;&gt;"",OR(AND(INDEX(職員マスタ!$G$6:$G$405,$AP2651)&lt;&gt;"",INDEX(職員マスタ!$G$6:$G$405,$AP2651)&gt;EOMONTH($AQ2651,0)),AND(INDEX(職員マスタ!$H$6:$H$405,$AP2651)&lt;&gt;"",INDEX(職員マスタ!$H$6:$H$405,$AP2651)&lt;$AQ2651))),"対象月が時短期間外／","")&amp;IF(AND(INDEX(職員マスタ!$K$6:$K$405,$AP2651)&lt;&gt;"",N($W2651)&gt;0,INDEX(職員マスタ!$K$6:$K$405,$AP2651)&lt;&gt;$W2651),"標準報酬月額が申請書と相違（台帳"&amp;TEXT(INDEX(職員マスタ!$K$6:$K$405,$AP2651),"#,##0")&amp;"円／申請書"&amp;TEXT($W2651,"#,##0")&amp;"円）／","")&amp;IF(AND(INDEX(職員マスタ!$F$6:$F$405,$AP2651)&lt;&gt;"",$AQ2651&lt;&gt;"",INDEX(職員マスタ!$F$6:$F$405,$AP2651)&lt;$AQ2651),"対象月に子が2歳到達済／","")&amp;IF(AND($H2651&lt;&gt;"",INDEX(職員マスタ!$B$6:$B$405,$AP2651)&lt;&gt;"",SUBSTITUTE(SUBSTITUTE($H2651," ","")," ","")&lt;&gt;SUBSTITUTE(SUBSTITUTE(INDEX(職員マスタ!$B$6:$B$405,$AP2651)," ","")," ","")),"氏名がマスタと相違／","")&amp;IF(AND($Q2651&lt;&gt;"",INDEX(職員マスタ!$E$6:$E$405,$AP2651)&lt;&gt;"",$Q2651&lt;&gt;INDEX(職員マスタ!$E$6:$E$405,$AP2651)),"子の生年月日がマスタと相違／","")&amp;IF(AND($L2651&lt;&gt;"",INDEX(職員マスタ!$G$6:$G$405,$AP2651)&lt;&gt;"",$L2651&lt;&gt;INDEX(職員マスタ!$G$6:$G$405,$AP2651)),"時短開始日がマスタと相違／","")&amp;IF(AND($M2651&lt;&gt;"",INDEX(職員マスタ!$H$6:$H$405,$AP2651)&lt;&gt;"",$M2651&lt;&gt;INDEX(職員マスタ!$H$6:$H$405,$AP2651)),"時短終了日がマスタと相違／","")))&amp;IF(AND($B2651&lt;&gt;"",$E2651=""),"報酬額が未入力／","")&amp;IF(N($U2651)&gt;0,"申請書に入力エラーが残っています／","")&amp;IF(AND($B2651&lt;&gt;"",$AQ2651&lt;&gt;""),IF(COUNTIFS($B$6:$B$3005,$B2651,$C$6:$C$3005,$C2651,$D$6:$D$3005,$D2651)&gt;1,"同じ月の請求が重複しています／",""),"")&amp;IF(AND(N($E2651)&gt;0,$AB2651&lt;&gt;"",$AB2651&lt;&gt;"×",$AE2651=0,$AD2651=""),"計算額が下限以下のため不支給／",""))</f>
        <v/>
      </c>
      <c r="AN2651" s="12" t="n"/>
      <c r="AO2651" s="14">
        <f>IF($AF2651="保留中",COUNTIF($AF$6:$AF2651,"保留中"),"")</f>
        <v/>
      </c>
      <c r="AP2651" s="14">
        <f>IF($AQ2651="","",IF(SUMPRODUCT(MAX((職員マスタ!$A$6:$A$405=$B2651)*(((職員マスタ!$G$6:$G$405="")+(職員マスタ!$G$6:$G$405&lt;=EOMONTH($AQ2651,0)))&gt;0)*(((職員マスタ!$H$6:$H$405="")+(職員マスタ!$H$6:$H$405&gt;=$AQ2651))&gt;0)*(ROW(職員マスタ!$A$6:$A$405)-5)))&gt;0,SUMPRODUCT(MAX((職員マスタ!$A$6:$A$405=$B2651)*(((職員マスタ!$G$6:$G$405="")+(職員マスタ!$G$6:$G$405&lt;=EOMONTH($AQ2651,0)))&gt;0)*(((職員マスタ!$H$6:$H$405="")+(職員マスタ!$H$6:$H$405&gt;=$AQ2651))&gt;0)*(ROW(職員マスタ!$A$6:$A$405)-5))),IFERROR(MATCH($B2651,職員マスタ!$A$6:$A$405,0),"")))</f>
        <v/>
      </c>
      <c r="AQ2651" s="16">
        <f>IF(OR($B2651="",$C2651="",$D2651=""),"",DATE($C2651+2018,$D2651,1))</f>
        <v/>
      </c>
    </row>
    <row r="2652">
      <c r="A2652" s="11" t="n"/>
      <c r="B2652" s="12" t="n"/>
      <c r="C2652" s="12" t="n"/>
      <c r="D2652" s="12" t="n"/>
      <c r="E2652" s="13" t="n"/>
      <c r="F2652" s="12" t="n"/>
      <c r="G2652" s="13" t="n"/>
      <c r="H2652" s="12" t="n"/>
      <c r="I2652" s="12" t="n"/>
      <c r="J2652" s="12" t="n"/>
      <c r="K2652" s="12" t="n"/>
      <c r="L2652" s="11" t="n"/>
      <c r="M2652" s="11" t="n"/>
      <c r="N2652" s="11" t="n"/>
      <c r="O2652" s="11" t="n"/>
      <c r="P2652" s="12" t="n"/>
      <c r="Q2652" s="11" t="n"/>
      <c r="R2652" s="12" t="n"/>
      <c r="S2652" s="11" t="n"/>
      <c r="T2652" s="12" t="n"/>
      <c r="U2652" s="12" t="n"/>
      <c r="V2652" s="12" t="n"/>
      <c r="W2652" s="13" t="n"/>
      <c r="X2652" s="14">
        <f>IF($AP2652="",IF($B2652="","",$H2652),IF(INDEX(職員マスタ!$B$6:$B$405,$AP2652)="",$H2652,INDEX(職員マスタ!$B$6:$B$405,$AP2652)))</f>
        <v/>
      </c>
      <c r="Y2652" s="14">
        <f>IF($AP2652="",IF($B2652="","",$R2652),IF(INDEX(職員マスタ!$C$6:$C$405,$AP2652)="",$R2652,INDEX(職員マスタ!$C$6:$C$405,$AP2652)))</f>
        <v/>
      </c>
      <c r="Z2652" s="14">
        <f>IF($AQ2652="","","R"&amp;$C2652&amp;"."&amp;$D2652)</f>
        <v/>
      </c>
      <c r="AA2652" s="15">
        <f>IF(IF($AP2652="",FALSE,INDEX(職員マスタ!$K$6:$K$405,$AP2652)&lt;&gt;""),INDEX(職員マスタ!$K$6:$K$405,$AP2652),IF(N($W2652)&gt;0,$W2652,""))</f>
        <v/>
      </c>
      <c r="AB2652" s="14">
        <f>IF(OR($E2652="",$AA2652=""),"",IF($E2652&gt;=$AA2652,"×",IF($E2652&gt;=$AA2652*設定!$C$5,"△","○")))</f>
        <v/>
      </c>
      <c r="AC2652" s="15">
        <f>IF($AB2652="","",IF($AB2652="×",0,IF($AB2652="○",ROUNDDOWN($E2652*設定!$C$4,0),ROUNDDOWN($E2652*ROUND((9*$AA2652-9*$E2652)/(10*$E2652),4),0))))</f>
        <v/>
      </c>
      <c r="AD2652" s="13" t="n"/>
      <c r="AE2652" s="15">
        <f>IF($B2652="","",IF($AD2652&lt;&gt;"",$AD2652,IF($AC2652="","",IF($AC2652&lt;=設定!$C$3,0,$AC2652))))</f>
        <v/>
      </c>
      <c r="AF2652" s="14">
        <f>IF($B2652="","",IF(AND($AG2652&lt;&gt;"",$AI2652="",$AL2652=""),"保留中",IF($AL2652&lt;&gt;"",IF(N($AE2652)&gt;0,"支給済","不支給"),IF($AE2652="","要確認",IF($AE2652=0,"不支給","未処理")))))</f>
        <v/>
      </c>
      <c r="AG2652" s="12" t="n"/>
      <c r="AH2652" s="11" t="n"/>
      <c r="AI2652" s="11" t="n"/>
      <c r="AJ2652" s="11" t="n"/>
      <c r="AK2652" s="14">
        <f>IF(AND($AF2652="保留中",$AH2652&lt;&gt;""),TODAY()-$AH2652,"")</f>
        <v/>
      </c>
      <c r="AL2652" s="12" t="n"/>
      <c r="AM2652" s="14">
        <f>IF($B2652="","",IF($AQ2652="","対象年月が未入力／","")&amp;IF($B2652="","",IF($AP2652="","職員マスタに未登録の職員番号／",IF($AA2652="","標準報酬月額が未登録／","")&amp;IF(AND($AQ2652&lt;&gt;"",OR(AND(INDEX(職員マスタ!$G$6:$G$405,$AP2652)&lt;&gt;"",INDEX(職員マスタ!$G$6:$G$405,$AP2652)&gt;EOMONTH($AQ2652,0)),AND(INDEX(職員マスタ!$H$6:$H$405,$AP2652)&lt;&gt;"",INDEX(職員マスタ!$H$6:$H$405,$AP2652)&lt;$AQ2652))),"対象月が時短期間外／","")&amp;IF(AND(INDEX(職員マスタ!$K$6:$K$405,$AP2652)&lt;&gt;"",N($W2652)&gt;0,INDEX(職員マスタ!$K$6:$K$405,$AP2652)&lt;&gt;$W2652),"標準報酬月額が申請書と相違（台帳"&amp;TEXT(INDEX(職員マスタ!$K$6:$K$405,$AP2652),"#,##0")&amp;"円／申請書"&amp;TEXT($W2652,"#,##0")&amp;"円）／","")&amp;IF(AND(INDEX(職員マスタ!$F$6:$F$405,$AP2652)&lt;&gt;"",$AQ2652&lt;&gt;"",INDEX(職員マスタ!$F$6:$F$405,$AP2652)&lt;$AQ2652),"対象月に子が2歳到達済／","")&amp;IF(AND($H2652&lt;&gt;"",INDEX(職員マスタ!$B$6:$B$405,$AP2652)&lt;&gt;"",SUBSTITUTE(SUBSTITUTE($H2652," ","")," ","")&lt;&gt;SUBSTITUTE(SUBSTITUTE(INDEX(職員マスタ!$B$6:$B$405,$AP2652)," ","")," ","")),"氏名がマスタと相違／","")&amp;IF(AND($Q2652&lt;&gt;"",INDEX(職員マスタ!$E$6:$E$405,$AP2652)&lt;&gt;"",$Q2652&lt;&gt;INDEX(職員マスタ!$E$6:$E$405,$AP2652)),"子の生年月日がマスタと相違／","")&amp;IF(AND($L2652&lt;&gt;"",INDEX(職員マスタ!$G$6:$G$405,$AP2652)&lt;&gt;"",$L2652&lt;&gt;INDEX(職員マスタ!$G$6:$G$405,$AP2652)),"時短開始日がマスタと相違／","")&amp;IF(AND($M2652&lt;&gt;"",INDEX(職員マスタ!$H$6:$H$405,$AP2652)&lt;&gt;"",$M2652&lt;&gt;INDEX(職員マスタ!$H$6:$H$405,$AP2652)),"時短終了日がマスタと相違／","")))&amp;IF(AND($B2652&lt;&gt;"",$E2652=""),"報酬額が未入力／","")&amp;IF(N($U2652)&gt;0,"申請書に入力エラーが残っています／","")&amp;IF(AND($B2652&lt;&gt;"",$AQ2652&lt;&gt;""),IF(COUNTIFS($B$6:$B$3005,$B2652,$C$6:$C$3005,$C2652,$D$6:$D$3005,$D2652)&gt;1,"同じ月の請求が重複しています／",""),"")&amp;IF(AND(N($E2652)&gt;0,$AB2652&lt;&gt;"",$AB2652&lt;&gt;"×",$AE2652=0,$AD2652=""),"計算額が下限以下のため不支給／",""))</f>
        <v/>
      </c>
      <c r="AN2652" s="12" t="n"/>
      <c r="AO2652" s="14">
        <f>IF($AF2652="保留中",COUNTIF($AF$6:$AF2652,"保留中"),"")</f>
        <v/>
      </c>
      <c r="AP2652" s="14">
        <f>IF($AQ2652="","",IF(SUMPRODUCT(MAX((職員マスタ!$A$6:$A$405=$B2652)*(((職員マスタ!$G$6:$G$405="")+(職員マスタ!$G$6:$G$405&lt;=EOMONTH($AQ2652,0)))&gt;0)*(((職員マスタ!$H$6:$H$405="")+(職員マスタ!$H$6:$H$405&gt;=$AQ2652))&gt;0)*(ROW(職員マスタ!$A$6:$A$405)-5)))&gt;0,SUMPRODUCT(MAX((職員マスタ!$A$6:$A$405=$B2652)*(((職員マスタ!$G$6:$G$405="")+(職員マスタ!$G$6:$G$405&lt;=EOMONTH($AQ2652,0)))&gt;0)*(((職員マスタ!$H$6:$H$405="")+(職員マスタ!$H$6:$H$405&gt;=$AQ2652))&gt;0)*(ROW(職員マスタ!$A$6:$A$405)-5))),IFERROR(MATCH($B2652,職員マスタ!$A$6:$A$405,0),"")))</f>
        <v/>
      </c>
      <c r="AQ2652" s="16">
        <f>IF(OR($B2652="",$C2652="",$D2652=""),"",DATE($C2652+2018,$D2652,1))</f>
        <v/>
      </c>
    </row>
    <row r="2653">
      <c r="A2653" s="11" t="n"/>
      <c r="B2653" s="12" t="n"/>
      <c r="C2653" s="12" t="n"/>
      <c r="D2653" s="12" t="n"/>
      <c r="E2653" s="13" t="n"/>
      <c r="F2653" s="12" t="n"/>
      <c r="G2653" s="13" t="n"/>
      <c r="H2653" s="12" t="n"/>
      <c r="I2653" s="12" t="n"/>
      <c r="J2653" s="12" t="n"/>
      <c r="K2653" s="12" t="n"/>
      <c r="L2653" s="11" t="n"/>
      <c r="M2653" s="11" t="n"/>
      <c r="N2653" s="11" t="n"/>
      <c r="O2653" s="11" t="n"/>
      <c r="P2653" s="12" t="n"/>
      <c r="Q2653" s="11" t="n"/>
      <c r="R2653" s="12" t="n"/>
      <c r="S2653" s="11" t="n"/>
      <c r="T2653" s="12" t="n"/>
      <c r="U2653" s="12" t="n"/>
      <c r="V2653" s="12" t="n"/>
      <c r="W2653" s="13" t="n"/>
      <c r="X2653" s="14">
        <f>IF($AP2653="",IF($B2653="","",$H2653),IF(INDEX(職員マスタ!$B$6:$B$405,$AP2653)="",$H2653,INDEX(職員マスタ!$B$6:$B$405,$AP2653)))</f>
        <v/>
      </c>
      <c r="Y2653" s="14">
        <f>IF($AP2653="",IF($B2653="","",$R2653),IF(INDEX(職員マスタ!$C$6:$C$405,$AP2653)="",$R2653,INDEX(職員マスタ!$C$6:$C$405,$AP2653)))</f>
        <v/>
      </c>
      <c r="Z2653" s="14">
        <f>IF($AQ2653="","","R"&amp;$C2653&amp;"."&amp;$D2653)</f>
        <v/>
      </c>
      <c r="AA2653" s="15">
        <f>IF(IF($AP2653="",FALSE,INDEX(職員マスタ!$K$6:$K$405,$AP2653)&lt;&gt;""),INDEX(職員マスタ!$K$6:$K$405,$AP2653),IF(N($W2653)&gt;0,$W2653,""))</f>
        <v/>
      </c>
      <c r="AB2653" s="14">
        <f>IF(OR($E2653="",$AA2653=""),"",IF($E2653&gt;=$AA2653,"×",IF($E2653&gt;=$AA2653*設定!$C$5,"△","○")))</f>
        <v/>
      </c>
      <c r="AC2653" s="15">
        <f>IF($AB2653="","",IF($AB2653="×",0,IF($AB2653="○",ROUNDDOWN($E2653*設定!$C$4,0),ROUNDDOWN($E2653*ROUND((9*$AA2653-9*$E2653)/(10*$E2653),4),0))))</f>
        <v/>
      </c>
      <c r="AD2653" s="13" t="n"/>
      <c r="AE2653" s="15">
        <f>IF($B2653="","",IF($AD2653&lt;&gt;"",$AD2653,IF($AC2653="","",IF($AC2653&lt;=設定!$C$3,0,$AC2653))))</f>
        <v/>
      </c>
      <c r="AF2653" s="14">
        <f>IF($B2653="","",IF(AND($AG2653&lt;&gt;"",$AI2653="",$AL2653=""),"保留中",IF($AL2653&lt;&gt;"",IF(N($AE2653)&gt;0,"支給済","不支給"),IF($AE2653="","要確認",IF($AE2653=0,"不支給","未処理")))))</f>
        <v/>
      </c>
      <c r="AG2653" s="12" t="n"/>
      <c r="AH2653" s="11" t="n"/>
      <c r="AI2653" s="11" t="n"/>
      <c r="AJ2653" s="11" t="n"/>
      <c r="AK2653" s="14">
        <f>IF(AND($AF2653="保留中",$AH2653&lt;&gt;""),TODAY()-$AH2653,"")</f>
        <v/>
      </c>
      <c r="AL2653" s="12" t="n"/>
      <c r="AM2653" s="14">
        <f>IF($B2653="","",IF($AQ2653="","対象年月が未入力／","")&amp;IF($B2653="","",IF($AP2653="","職員マスタに未登録の職員番号／",IF($AA2653="","標準報酬月額が未登録／","")&amp;IF(AND($AQ2653&lt;&gt;"",OR(AND(INDEX(職員マスタ!$G$6:$G$405,$AP2653)&lt;&gt;"",INDEX(職員マスタ!$G$6:$G$405,$AP2653)&gt;EOMONTH($AQ2653,0)),AND(INDEX(職員マスタ!$H$6:$H$405,$AP2653)&lt;&gt;"",INDEX(職員マスタ!$H$6:$H$405,$AP2653)&lt;$AQ2653))),"対象月が時短期間外／","")&amp;IF(AND(INDEX(職員マスタ!$K$6:$K$405,$AP2653)&lt;&gt;"",N($W2653)&gt;0,INDEX(職員マスタ!$K$6:$K$405,$AP2653)&lt;&gt;$W2653),"標準報酬月額が申請書と相違（台帳"&amp;TEXT(INDEX(職員マスタ!$K$6:$K$405,$AP2653),"#,##0")&amp;"円／申請書"&amp;TEXT($W2653,"#,##0")&amp;"円）／","")&amp;IF(AND(INDEX(職員マスタ!$F$6:$F$405,$AP2653)&lt;&gt;"",$AQ2653&lt;&gt;"",INDEX(職員マスタ!$F$6:$F$405,$AP2653)&lt;$AQ2653),"対象月に子が2歳到達済／","")&amp;IF(AND($H2653&lt;&gt;"",INDEX(職員マスタ!$B$6:$B$405,$AP2653)&lt;&gt;"",SUBSTITUTE(SUBSTITUTE($H2653," ","")," ","")&lt;&gt;SUBSTITUTE(SUBSTITUTE(INDEX(職員マスタ!$B$6:$B$405,$AP2653)," ","")," ","")),"氏名がマスタと相違／","")&amp;IF(AND($Q2653&lt;&gt;"",INDEX(職員マスタ!$E$6:$E$405,$AP2653)&lt;&gt;"",$Q2653&lt;&gt;INDEX(職員マスタ!$E$6:$E$405,$AP2653)),"子の生年月日がマスタと相違／","")&amp;IF(AND($L2653&lt;&gt;"",INDEX(職員マスタ!$G$6:$G$405,$AP2653)&lt;&gt;"",$L2653&lt;&gt;INDEX(職員マスタ!$G$6:$G$405,$AP2653)),"時短開始日がマスタと相違／","")&amp;IF(AND($M2653&lt;&gt;"",INDEX(職員マスタ!$H$6:$H$405,$AP2653)&lt;&gt;"",$M2653&lt;&gt;INDEX(職員マスタ!$H$6:$H$405,$AP2653)),"時短終了日がマスタと相違／","")))&amp;IF(AND($B2653&lt;&gt;"",$E2653=""),"報酬額が未入力／","")&amp;IF(N($U2653)&gt;0,"申請書に入力エラーが残っています／","")&amp;IF(AND($B2653&lt;&gt;"",$AQ2653&lt;&gt;""),IF(COUNTIFS($B$6:$B$3005,$B2653,$C$6:$C$3005,$C2653,$D$6:$D$3005,$D2653)&gt;1,"同じ月の請求が重複しています／",""),"")&amp;IF(AND(N($E2653)&gt;0,$AB2653&lt;&gt;"",$AB2653&lt;&gt;"×",$AE2653=0,$AD2653=""),"計算額が下限以下のため不支給／",""))</f>
        <v/>
      </c>
      <c r="AN2653" s="12" t="n"/>
      <c r="AO2653" s="14">
        <f>IF($AF2653="保留中",COUNTIF($AF$6:$AF2653,"保留中"),"")</f>
        <v/>
      </c>
      <c r="AP2653" s="14">
        <f>IF($AQ2653="","",IF(SUMPRODUCT(MAX((職員マスタ!$A$6:$A$405=$B2653)*(((職員マスタ!$G$6:$G$405="")+(職員マスタ!$G$6:$G$405&lt;=EOMONTH($AQ2653,0)))&gt;0)*(((職員マスタ!$H$6:$H$405="")+(職員マスタ!$H$6:$H$405&gt;=$AQ2653))&gt;0)*(ROW(職員マスタ!$A$6:$A$405)-5)))&gt;0,SUMPRODUCT(MAX((職員マスタ!$A$6:$A$405=$B2653)*(((職員マスタ!$G$6:$G$405="")+(職員マスタ!$G$6:$G$405&lt;=EOMONTH($AQ2653,0)))&gt;0)*(((職員マスタ!$H$6:$H$405="")+(職員マスタ!$H$6:$H$405&gt;=$AQ2653))&gt;0)*(ROW(職員マスタ!$A$6:$A$405)-5))),IFERROR(MATCH($B2653,職員マスタ!$A$6:$A$405,0),"")))</f>
        <v/>
      </c>
      <c r="AQ2653" s="16">
        <f>IF(OR($B2653="",$C2653="",$D2653=""),"",DATE($C2653+2018,$D2653,1))</f>
        <v/>
      </c>
    </row>
    <row r="2654">
      <c r="A2654" s="11" t="n"/>
      <c r="B2654" s="12" t="n"/>
      <c r="C2654" s="12" t="n"/>
      <c r="D2654" s="12" t="n"/>
      <c r="E2654" s="13" t="n"/>
      <c r="F2654" s="12" t="n"/>
      <c r="G2654" s="13" t="n"/>
      <c r="H2654" s="12" t="n"/>
      <c r="I2654" s="12" t="n"/>
      <c r="J2654" s="12" t="n"/>
      <c r="K2654" s="12" t="n"/>
      <c r="L2654" s="11" t="n"/>
      <c r="M2654" s="11" t="n"/>
      <c r="N2654" s="11" t="n"/>
      <c r="O2654" s="11" t="n"/>
      <c r="P2654" s="12" t="n"/>
      <c r="Q2654" s="11" t="n"/>
      <c r="R2654" s="12" t="n"/>
      <c r="S2654" s="11" t="n"/>
      <c r="T2654" s="12" t="n"/>
      <c r="U2654" s="12" t="n"/>
      <c r="V2654" s="12" t="n"/>
      <c r="W2654" s="13" t="n"/>
      <c r="X2654" s="14">
        <f>IF($AP2654="",IF($B2654="","",$H2654),IF(INDEX(職員マスタ!$B$6:$B$405,$AP2654)="",$H2654,INDEX(職員マスタ!$B$6:$B$405,$AP2654)))</f>
        <v/>
      </c>
      <c r="Y2654" s="14">
        <f>IF($AP2654="",IF($B2654="","",$R2654),IF(INDEX(職員マスタ!$C$6:$C$405,$AP2654)="",$R2654,INDEX(職員マスタ!$C$6:$C$405,$AP2654)))</f>
        <v/>
      </c>
      <c r="Z2654" s="14">
        <f>IF($AQ2654="","","R"&amp;$C2654&amp;"."&amp;$D2654)</f>
        <v/>
      </c>
      <c r="AA2654" s="15">
        <f>IF(IF($AP2654="",FALSE,INDEX(職員マスタ!$K$6:$K$405,$AP2654)&lt;&gt;""),INDEX(職員マスタ!$K$6:$K$405,$AP2654),IF(N($W2654)&gt;0,$W2654,""))</f>
        <v/>
      </c>
      <c r="AB2654" s="14">
        <f>IF(OR($E2654="",$AA2654=""),"",IF($E2654&gt;=$AA2654,"×",IF($E2654&gt;=$AA2654*設定!$C$5,"△","○")))</f>
        <v/>
      </c>
      <c r="AC2654" s="15">
        <f>IF($AB2654="","",IF($AB2654="×",0,IF($AB2654="○",ROUNDDOWN($E2654*設定!$C$4,0),ROUNDDOWN($E2654*ROUND((9*$AA2654-9*$E2654)/(10*$E2654),4),0))))</f>
        <v/>
      </c>
      <c r="AD2654" s="13" t="n"/>
      <c r="AE2654" s="15">
        <f>IF($B2654="","",IF($AD2654&lt;&gt;"",$AD2654,IF($AC2654="","",IF($AC2654&lt;=設定!$C$3,0,$AC2654))))</f>
        <v/>
      </c>
      <c r="AF2654" s="14">
        <f>IF($B2654="","",IF(AND($AG2654&lt;&gt;"",$AI2654="",$AL2654=""),"保留中",IF($AL2654&lt;&gt;"",IF(N($AE2654)&gt;0,"支給済","不支給"),IF($AE2654="","要確認",IF($AE2654=0,"不支給","未処理")))))</f>
        <v/>
      </c>
      <c r="AG2654" s="12" t="n"/>
      <c r="AH2654" s="11" t="n"/>
      <c r="AI2654" s="11" t="n"/>
      <c r="AJ2654" s="11" t="n"/>
      <c r="AK2654" s="14">
        <f>IF(AND($AF2654="保留中",$AH2654&lt;&gt;""),TODAY()-$AH2654,"")</f>
        <v/>
      </c>
      <c r="AL2654" s="12" t="n"/>
      <c r="AM2654" s="14">
        <f>IF($B2654="","",IF($AQ2654="","対象年月が未入力／","")&amp;IF($B2654="","",IF($AP2654="","職員マスタに未登録の職員番号／",IF($AA2654="","標準報酬月額が未登録／","")&amp;IF(AND($AQ2654&lt;&gt;"",OR(AND(INDEX(職員マスタ!$G$6:$G$405,$AP2654)&lt;&gt;"",INDEX(職員マスタ!$G$6:$G$405,$AP2654)&gt;EOMONTH($AQ2654,0)),AND(INDEX(職員マスタ!$H$6:$H$405,$AP2654)&lt;&gt;"",INDEX(職員マスタ!$H$6:$H$405,$AP2654)&lt;$AQ2654))),"対象月が時短期間外／","")&amp;IF(AND(INDEX(職員マスタ!$K$6:$K$405,$AP2654)&lt;&gt;"",N($W2654)&gt;0,INDEX(職員マスタ!$K$6:$K$405,$AP2654)&lt;&gt;$W2654),"標準報酬月額が申請書と相違（台帳"&amp;TEXT(INDEX(職員マスタ!$K$6:$K$405,$AP2654),"#,##0")&amp;"円／申請書"&amp;TEXT($W2654,"#,##0")&amp;"円）／","")&amp;IF(AND(INDEX(職員マスタ!$F$6:$F$405,$AP2654)&lt;&gt;"",$AQ2654&lt;&gt;"",INDEX(職員マスタ!$F$6:$F$405,$AP2654)&lt;$AQ2654),"対象月に子が2歳到達済／","")&amp;IF(AND($H2654&lt;&gt;"",INDEX(職員マスタ!$B$6:$B$405,$AP2654)&lt;&gt;"",SUBSTITUTE(SUBSTITUTE($H2654," ","")," ","")&lt;&gt;SUBSTITUTE(SUBSTITUTE(INDEX(職員マスタ!$B$6:$B$405,$AP2654)," ","")," ","")),"氏名がマスタと相違／","")&amp;IF(AND($Q2654&lt;&gt;"",INDEX(職員マスタ!$E$6:$E$405,$AP2654)&lt;&gt;"",$Q2654&lt;&gt;INDEX(職員マスタ!$E$6:$E$405,$AP2654)),"子の生年月日がマスタと相違／","")&amp;IF(AND($L2654&lt;&gt;"",INDEX(職員マスタ!$G$6:$G$405,$AP2654)&lt;&gt;"",$L2654&lt;&gt;INDEX(職員マスタ!$G$6:$G$405,$AP2654)),"時短開始日がマスタと相違／","")&amp;IF(AND($M2654&lt;&gt;"",INDEX(職員マスタ!$H$6:$H$405,$AP2654)&lt;&gt;"",$M2654&lt;&gt;INDEX(職員マスタ!$H$6:$H$405,$AP2654)),"時短終了日がマスタと相違／","")))&amp;IF(AND($B2654&lt;&gt;"",$E2654=""),"報酬額が未入力／","")&amp;IF(N($U2654)&gt;0,"申請書に入力エラーが残っています／","")&amp;IF(AND($B2654&lt;&gt;"",$AQ2654&lt;&gt;""),IF(COUNTIFS($B$6:$B$3005,$B2654,$C$6:$C$3005,$C2654,$D$6:$D$3005,$D2654)&gt;1,"同じ月の請求が重複しています／",""),"")&amp;IF(AND(N($E2654)&gt;0,$AB2654&lt;&gt;"",$AB2654&lt;&gt;"×",$AE2654=0,$AD2654=""),"計算額が下限以下のため不支給／",""))</f>
        <v/>
      </c>
      <c r="AN2654" s="12" t="n"/>
      <c r="AO2654" s="14">
        <f>IF($AF2654="保留中",COUNTIF($AF$6:$AF2654,"保留中"),"")</f>
        <v/>
      </c>
      <c r="AP2654" s="14">
        <f>IF($AQ2654="","",IF(SUMPRODUCT(MAX((職員マスタ!$A$6:$A$405=$B2654)*(((職員マスタ!$G$6:$G$405="")+(職員マスタ!$G$6:$G$405&lt;=EOMONTH($AQ2654,0)))&gt;0)*(((職員マスタ!$H$6:$H$405="")+(職員マスタ!$H$6:$H$405&gt;=$AQ2654))&gt;0)*(ROW(職員マスタ!$A$6:$A$405)-5)))&gt;0,SUMPRODUCT(MAX((職員マスタ!$A$6:$A$405=$B2654)*(((職員マスタ!$G$6:$G$405="")+(職員マスタ!$G$6:$G$405&lt;=EOMONTH($AQ2654,0)))&gt;0)*(((職員マスタ!$H$6:$H$405="")+(職員マスタ!$H$6:$H$405&gt;=$AQ2654))&gt;0)*(ROW(職員マスタ!$A$6:$A$405)-5))),IFERROR(MATCH($B2654,職員マスタ!$A$6:$A$405,0),"")))</f>
        <v/>
      </c>
      <c r="AQ2654" s="16">
        <f>IF(OR($B2654="",$C2654="",$D2654=""),"",DATE($C2654+2018,$D2654,1))</f>
        <v/>
      </c>
    </row>
    <row r="2655">
      <c r="A2655" s="11" t="n"/>
      <c r="B2655" s="12" t="n"/>
      <c r="C2655" s="12" t="n"/>
      <c r="D2655" s="12" t="n"/>
      <c r="E2655" s="13" t="n"/>
      <c r="F2655" s="12" t="n"/>
      <c r="G2655" s="13" t="n"/>
      <c r="H2655" s="12" t="n"/>
      <c r="I2655" s="12" t="n"/>
      <c r="J2655" s="12" t="n"/>
      <c r="K2655" s="12" t="n"/>
      <c r="L2655" s="11" t="n"/>
      <c r="M2655" s="11" t="n"/>
      <c r="N2655" s="11" t="n"/>
      <c r="O2655" s="11" t="n"/>
      <c r="P2655" s="12" t="n"/>
      <c r="Q2655" s="11" t="n"/>
      <c r="R2655" s="12" t="n"/>
      <c r="S2655" s="11" t="n"/>
      <c r="T2655" s="12" t="n"/>
      <c r="U2655" s="12" t="n"/>
      <c r="V2655" s="12" t="n"/>
      <c r="W2655" s="13" t="n"/>
      <c r="X2655" s="14">
        <f>IF($AP2655="",IF($B2655="","",$H2655),IF(INDEX(職員マスタ!$B$6:$B$405,$AP2655)="",$H2655,INDEX(職員マスタ!$B$6:$B$405,$AP2655)))</f>
        <v/>
      </c>
      <c r="Y2655" s="14">
        <f>IF($AP2655="",IF($B2655="","",$R2655),IF(INDEX(職員マスタ!$C$6:$C$405,$AP2655)="",$R2655,INDEX(職員マスタ!$C$6:$C$405,$AP2655)))</f>
        <v/>
      </c>
      <c r="Z2655" s="14">
        <f>IF($AQ2655="","","R"&amp;$C2655&amp;"."&amp;$D2655)</f>
        <v/>
      </c>
      <c r="AA2655" s="15">
        <f>IF(IF($AP2655="",FALSE,INDEX(職員マスタ!$K$6:$K$405,$AP2655)&lt;&gt;""),INDEX(職員マスタ!$K$6:$K$405,$AP2655),IF(N($W2655)&gt;0,$W2655,""))</f>
        <v/>
      </c>
      <c r="AB2655" s="14">
        <f>IF(OR($E2655="",$AA2655=""),"",IF($E2655&gt;=$AA2655,"×",IF($E2655&gt;=$AA2655*設定!$C$5,"△","○")))</f>
        <v/>
      </c>
      <c r="AC2655" s="15">
        <f>IF($AB2655="","",IF($AB2655="×",0,IF($AB2655="○",ROUNDDOWN($E2655*設定!$C$4,0),ROUNDDOWN($E2655*ROUND((9*$AA2655-9*$E2655)/(10*$E2655),4),0))))</f>
        <v/>
      </c>
      <c r="AD2655" s="13" t="n"/>
      <c r="AE2655" s="15">
        <f>IF($B2655="","",IF($AD2655&lt;&gt;"",$AD2655,IF($AC2655="","",IF($AC2655&lt;=設定!$C$3,0,$AC2655))))</f>
        <v/>
      </c>
      <c r="AF2655" s="14">
        <f>IF($B2655="","",IF(AND($AG2655&lt;&gt;"",$AI2655="",$AL2655=""),"保留中",IF($AL2655&lt;&gt;"",IF(N($AE2655)&gt;0,"支給済","不支給"),IF($AE2655="","要確認",IF($AE2655=0,"不支給","未処理")))))</f>
        <v/>
      </c>
      <c r="AG2655" s="12" t="n"/>
      <c r="AH2655" s="11" t="n"/>
      <c r="AI2655" s="11" t="n"/>
      <c r="AJ2655" s="11" t="n"/>
      <c r="AK2655" s="14">
        <f>IF(AND($AF2655="保留中",$AH2655&lt;&gt;""),TODAY()-$AH2655,"")</f>
        <v/>
      </c>
      <c r="AL2655" s="12" t="n"/>
      <c r="AM2655" s="14">
        <f>IF($B2655="","",IF($AQ2655="","対象年月が未入力／","")&amp;IF($B2655="","",IF($AP2655="","職員マスタに未登録の職員番号／",IF($AA2655="","標準報酬月額が未登録／","")&amp;IF(AND($AQ2655&lt;&gt;"",OR(AND(INDEX(職員マスタ!$G$6:$G$405,$AP2655)&lt;&gt;"",INDEX(職員マスタ!$G$6:$G$405,$AP2655)&gt;EOMONTH($AQ2655,0)),AND(INDEX(職員マスタ!$H$6:$H$405,$AP2655)&lt;&gt;"",INDEX(職員マスタ!$H$6:$H$405,$AP2655)&lt;$AQ2655))),"対象月が時短期間外／","")&amp;IF(AND(INDEX(職員マスタ!$K$6:$K$405,$AP2655)&lt;&gt;"",N($W2655)&gt;0,INDEX(職員マスタ!$K$6:$K$405,$AP2655)&lt;&gt;$W2655),"標準報酬月額が申請書と相違（台帳"&amp;TEXT(INDEX(職員マスタ!$K$6:$K$405,$AP2655),"#,##0")&amp;"円／申請書"&amp;TEXT($W2655,"#,##0")&amp;"円）／","")&amp;IF(AND(INDEX(職員マスタ!$F$6:$F$405,$AP2655)&lt;&gt;"",$AQ2655&lt;&gt;"",INDEX(職員マスタ!$F$6:$F$405,$AP2655)&lt;$AQ2655),"対象月に子が2歳到達済／","")&amp;IF(AND($H2655&lt;&gt;"",INDEX(職員マスタ!$B$6:$B$405,$AP2655)&lt;&gt;"",SUBSTITUTE(SUBSTITUTE($H2655," ","")," ","")&lt;&gt;SUBSTITUTE(SUBSTITUTE(INDEX(職員マスタ!$B$6:$B$405,$AP2655)," ","")," ","")),"氏名がマスタと相違／","")&amp;IF(AND($Q2655&lt;&gt;"",INDEX(職員マスタ!$E$6:$E$405,$AP2655)&lt;&gt;"",$Q2655&lt;&gt;INDEX(職員マスタ!$E$6:$E$405,$AP2655)),"子の生年月日がマスタと相違／","")&amp;IF(AND($L2655&lt;&gt;"",INDEX(職員マスタ!$G$6:$G$405,$AP2655)&lt;&gt;"",$L2655&lt;&gt;INDEX(職員マスタ!$G$6:$G$405,$AP2655)),"時短開始日がマスタと相違／","")&amp;IF(AND($M2655&lt;&gt;"",INDEX(職員マスタ!$H$6:$H$405,$AP2655)&lt;&gt;"",$M2655&lt;&gt;INDEX(職員マスタ!$H$6:$H$405,$AP2655)),"時短終了日がマスタと相違／","")))&amp;IF(AND($B2655&lt;&gt;"",$E2655=""),"報酬額が未入力／","")&amp;IF(N($U2655)&gt;0,"申請書に入力エラーが残っています／","")&amp;IF(AND($B2655&lt;&gt;"",$AQ2655&lt;&gt;""),IF(COUNTIFS($B$6:$B$3005,$B2655,$C$6:$C$3005,$C2655,$D$6:$D$3005,$D2655)&gt;1,"同じ月の請求が重複しています／",""),"")&amp;IF(AND(N($E2655)&gt;0,$AB2655&lt;&gt;"",$AB2655&lt;&gt;"×",$AE2655=0,$AD2655=""),"計算額が下限以下のため不支給／",""))</f>
        <v/>
      </c>
      <c r="AN2655" s="12" t="n"/>
      <c r="AO2655" s="14">
        <f>IF($AF2655="保留中",COUNTIF($AF$6:$AF2655,"保留中"),"")</f>
        <v/>
      </c>
      <c r="AP2655" s="14">
        <f>IF($AQ2655="","",IF(SUMPRODUCT(MAX((職員マスタ!$A$6:$A$405=$B2655)*(((職員マスタ!$G$6:$G$405="")+(職員マスタ!$G$6:$G$405&lt;=EOMONTH($AQ2655,0)))&gt;0)*(((職員マスタ!$H$6:$H$405="")+(職員マスタ!$H$6:$H$405&gt;=$AQ2655))&gt;0)*(ROW(職員マスタ!$A$6:$A$405)-5)))&gt;0,SUMPRODUCT(MAX((職員マスタ!$A$6:$A$405=$B2655)*(((職員マスタ!$G$6:$G$405="")+(職員マスタ!$G$6:$G$405&lt;=EOMONTH($AQ2655,0)))&gt;0)*(((職員マスタ!$H$6:$H$405="")+(職員マスタ!$H$6:$H$405&gt;=$AQ2655))&gt;0)*(ROW(職員マスタ!$A$6:$A$405)-5))),IFERROR(MATCH($B2655,職員マスタ!$A$6:$A$405,0),"")))</f>
        <v/>
      </c>
      <c r="AQ2655" s="16">
        <f>IF(OR($B2655="",$C2655="",$D2655=""),"",DATE($C2655+2018,$D2655,1))</f>
        <v/>
      </c>
    </row>
    <row r="2656">
      <c r="A2656" s="11" t="n"/>
      <c r="B2656" s="12" t="n"/>
      <c r="C2656" s="12" t="n"/>
      <c r="D2656" s="12" t="n"/>
      <c r="E2656" s="13" t="n"/>
      <c r="F2656" s="12" t="n"/>
      <c r="G2656" s="13" t="n"/>
      <c r="H2656" s="12" t="n"/>
      <c r="I2656" s="12" t="n"/>
      <c r="J2656" s="12" t="n"/>
      <c r="K2656" s="12" t="n"/>
      <c r="L2656" s="11" t="n"/>
      <c r="M2656" s="11" t="n"/>
      <c r="N2656" s="11" t="n"/>
      <c r="O2656" s="11" t="n"/>
      <c r="P2656" s="12" t="n"/>
      <c r="Q2656" s="11" t="n"/>
      <c r="R2656" s="12" t="n"/>
      <c r="S2656" s="11" t="n"/>
      <c r="T2656" s="12" t="n"/>
      <c r="U2656" s="12" t="n"/>
      <c r="V2656" s="12" t="n"/>
      <c r="W2656" s="13" t="n"/>
      <c r="X2656" s="14">
        <f>IF($AP2656="",IF($B2656="","",$H2656),IF(INDEX(職員マスタ!$B$6:$B$405,$AP2656)="",$H2656,INDEX(職員マスタ!$B$6:$B$405,$AP2656)))</f>
        <v/>
      </c>
      <c r="Y2656" s="14">
        <f>IF($AP2656="",IF($B2656="","",$R2656),IF(INDEX(職員マスタ!$C$6:$C$405,$AP2656)="",$R2656,INDEX(職員マスタ!$C$6:$C$405,$AP2656)))</f>
        <v/>
      </c>
      <c r="Z2656" s="14">
        <f>IF($AQ2656="","","R"&amp;$C2656&amp;"."&amp;$D2656)</f>
        <v/>
      </c>
      <c r="AA2656" s="15">
        <f>IF(IF($AP2656="",FALSE,INDEX(職員マスタ!$K$6:$K$405,$AP2656)&lt;&gt;""),INDEX(職員マスタ!$K$6:$K$405,$AP2656),IF(N($W2656)&gt;0,$W2656,""))</f>
        <v/>
      </c>
      <c r="AB2656" s="14">
        <f>IF(OR($E2656="",$AA2656=""),"",IF($E2656&gt;=$AA2656,"×",IF($E2656&gt;=$AA2656*設定!$C$5,"△","○")))</f>
        <v/>
      </c>
      <c r="AC2656" s="15">
        <f>IF($AB2656="","",IF($AB2656="×",0,IF($AB2656="○",ROUNDDOWN($E2656*設定!$C$4,0),ROUNDDOWN($E2656*ROUND((9*$AA2656-9*$E2656)/(10*$E2656),4),0))))</f>
        <v/>
      </c>
      <c r="AD2656" s="13" t="n"/>
      <c r="AE2656" s="15">
        <f>IF($B2656="","",IF($AD2656&lt;&gt;"",$AD2656,IF($AC2656="","",IF($AC2656&lt;=設定!$C$3,0,$AC2656))))</f>
        <v/>
      </c>
      <c r="AF2656" s="14">
        <f>IF($B2656="","",IF(AND($AG2656&lt;&gt;"",$AI2656="",$AL2656=""),"保留中",IF($AL2656&lt;&gt;"",IF(N($AE2656)&gt;0,"支給済","不支給"),IF($AE2656="","要確認",IF($AE2656=0,"不支給","未処理")))))</f>
        <v/>
      </c>
      <c r="AG2656" s="12" t="n"/>
      <c r="AH2656" s="11" t="n"/>
      <c r="AI2656" s="11" t="n"/>
      <c r="AJ2656" s="11" t="n"/>
      <c r="AK2656" s="14">
        <f>IF(AND($AF2656="保留中",$AH2656&lt;&gt;""),TODAY()-$AH2656,"")</f>
        <v/>
      </c>
      <c r="AL2656" s="12" t="n"/>
      <c r="AM2656" s="14">
        <f>IF($B2656="","",IF($AQ2656="","対象年月が未入力／","")&amp;IF($B2656="","",IF($AP2656="","職員マスタに未登録の職員番号／",IF($AA2656="","標準報酬月額が未登録／","")&amp;IF(AND($AQ2656&lt;&gt;"",OR(AND(INDEX(職員マスタ!$G$6:$G$405,$AP2656)&lt;&gt;"",INDEX(職員マスタ!$G$6:$G$405,$AP2656)&gt;EOMONTH($AQ2656,0)),AND(INDEX(職員マスタ!$H$6:$H$405,$AP2656)&lt;&gt;"",INDEX(職員マスタ!$H$6:$H$405,$AP2656)&lt;$AQ2656))),"対象月が時短期間外／","")&amp;IF(AND(INDEX(職員マスタ!$K$6:$K$405,$AP2656)&lt;&gt;"",N($W2656)&gt;0,INDEX(職員マスタ!$K$6:$K$405,$AP2656)&lt;&gt;$W2656),"標準報酬月額が申請書と相違（台帳"&amp;TEXT(INDEX(職員マスタ!$K$6:$K$405,$AP2656),"#,##0")&amp;"円／申請書"&amp;TEXT($W2656,"#,##0")&amp;"円）／","")&amp;IF(AND(INDEX(職員マスタ!$F$6:$F$405,$AP2656)&lt;&gt;"",$AQ2656&lt;&gt;"",INDEX(職員マスタ!$F$6:$F$405,$AP2656)&lt;$AQ2656),"対象月に子が2歳到達済／","")&amp;IF(AND($H2656&lt;&gt;"",INDEX(職員マスタ!$B$6:$B$405,$AP2656)&lt;&gt;"",SUBSTITUTE(SUBSTITUTE($H2656," ","")," ","")&lt;&gt;SUBSTITUTE(SUBSTITUTE(INDEX(職員マスタ!$B$6:$B$405,$AP2656)," ","")," ","")),"氏名がマスタと相違／","")&amp;IF(AND($Q2656&lt;&gt;"",INDEX(職員マスタ!$E$6:$E$405,$AP2656)&lt;&gt;"",$Q2656&lt;&gt;INDEX(職員マスタ!$E$6:$E$405,$AP2656)),"子の生年月日がマスタと相違／","")&amp;IF(AND($L2656&lt;&gt;"",INDEX(職員マスタ!$G$6:$G$405,$AP2656)&lt;&gt;"",$L2656&lt;&gt;INDEX(職員マスタ!$G$6:$G$405,$AP2656)),"時短開始日がマスタと相違／","")&amp;IF(AND($M2656&lt;&gt;"",INDEX(職員マスタ!$H$6:$H$405,$AP2656)&lt;&gt;"",$M2656&lt;&gt;INDEX(職員マスタ!$H$6:$H$405,$AP2656)),"時短終了日がマスタと相違／","")))&amp;IF(AND($B2656&lt;&gt;"",$E2656=""),"報酬額が未入力／","")&amp;IF(N($U2656)&gt;0,"申請書に入力エラーが残っています／","")&amp;IF(AND($B2656&lt;&gt;"",$AQ2656&lt;&gt;""),IF(COUNTIFS($B$6:$B$3005,$B2656,$C$6:$C$3005,$C2656,$D$6:$D$3005,$D2656)&gt;1,"同じ月の請求が重複しています／",""),"")&amp;IF(AND(N($E2656)&gt;0,$AB2656&lt;&gt;"",$AB2656&lt;&gt;"×",$AE2656=0,$AD2656=""),"計算額が下限以下のため不支給／",""))</f>
        <v/>
      </c>
      <c r="AN2656" s="12" t="n"/>
      <c r="AO2656" s="14">
        <f>IF($AF2656="保留中",COUNTIF($AF$6:$AF2656,"保留中"),"")</f>
        <v/>
      </c>
      <c r="AP2656" s="14">
        <f>IF($AQ2656="","",IF(SUMPRODUCT(MAX((職員マスタ!$A$6:$A$405=$B2656)*(((職員マスタ!$G$6:$G$405="")+(職員マスタ!$G$6:$G$405&lt;=EOMONTH($AQ2656,0)))&gt;0)*(((職員マスタ!$H$6:$H$405="")+(職員マスタ!$H$6:$H$405&gt;=$AQ2656))&gt;0)*(ROW(職員マスタ!$A$6:$A$405)-5)))&gt;0,SUMPRODUCT(MAX((職員マスタ!$A$6:$A$405=$B2656)*(((職員マスタ!$G$6:$G$405="")+(職員マスタ!$G$6:$G$405&lt;=EOMONTH($AQ2656,0)))&gt;0)*(((職員マスタ!$H$6:$H$405="")+(職員マスタ!$H$6:$H$405&gt;=$AQ2656))&gt;0)*(ROW(職員マスタ!$A$6:$A$405)-5))),IFERROR(MATCH($B2656,職員マスタ!$A$6:$A$405,0),"")))</f>
        <v/>
      </c>
      <c r="AQ2656" s="16">
        <f>IF(OR($B2656="",$C2656="",$D2656=""),"",DATE($C2656+2018,$D2656,1))</f>
        <v/>
      </c>
    </row>
    <row r="2657">
      <c r="A2657" s="11" t="n"/>
      <c r="B2657" s="12" t="n"/>
      <c r="C2657" s="12" t="n"/>
      <c r="D2657" s="12" t="n"/>
      <c r="E2657" s="13" t="n"/>
      <c r="F2657" s="12" t="n"/>
      <c r="G2657" s="13" t="n"/>
      <c r="H2657" s="12" t="n"/>
      <c r="I2657" s="12" t="n"/>
      <c r="J2657" s="12" t="n"/>
      <c r="K2657" s="12" t="n"/>
      <c r="L2657" s="11" t="n"/>
      <c r="M2657" s="11" t="n"/>
      <c r="N2657" s="11" t="n"/>
      <c r="O2657" s="11" t="n"/>
      <c r="P2657" s="12" t="n"/>
      <c r="Q2657" s="11" t="n"/>
      <c r="R2657" s="12" t="n"/>
      <c r="S2657" s="11" t="n"/>
      <c r="T2657" s="12" t="n"/>
      <c r="U2657" s="12" t="n"/>
      <c r="V2657" s="12" t="n"/>
      <c r="W2657" s="13" t="n"/>
      <c r="X2657" s="14">
        <f>IF($AP2657="",IF($B2657="","",$H2657),IF(INDEX(職員マスタ!$B$6:$B$405,$AP2657)="",$H2657,INDEX(職員マスタ!$B$6:$B$405,$AP2657)))</f>
        <v/>
      </c>
      <c r="Y2657" s="14">
        <f>IF($AP2657="",IF($B2657="","",$R2657),IF(INDEX(職員マスタ!$C$6:$C$405,$AP2657)="",$R2657,INDEX(職員マスタ!$C$6:$C$405,$AP2657)))</f>
        <v/>
      </c>
      <c r="Z2657" s="14">
        <f>IF($AQ2657="","","R"&amp;$C2657&amp;"."&amp;$D2657)</f>
        <v/>
      </c>
      <c r="AA2657" s="15">
        <f>IF(IF($AP2657="",FALSE,INDEX(職員マスタ!$K$6:$K$405,$AP2657)&lt;&gt;""),INDEX(職員マスタ!$K$6:$K$405,$AP2657),IF(N($W2657)&gt;0,$W2657,""))</f>
        <v/>
      </c>
      <c r="AB2657" s="14">
        <f>IF(OR($E2657="",$AA2657=""),"",IF($E2657&gt;=$AA2657,"×",IF($E2657&gt;=$AA2657*設定!$C$5,"△","○")))</f>
        <v/>
      </c>
      <c r="AC2657" s="15">
        <f>IF($AB2657="","",IF($AB2657="×",0,IF($AB2657="○",ROUNDDOWN($E2657*設定!$C$4,0),ROUNDDOWN($E2657*ROUND((9*$AA2657-9*$E2657)/(10*$E2657),4),0))))</f>
        <v/>
      </c>
      <c r="AD2657" s="13" t="n"/>
      <c r="AE2657" s="15">
        <f>IF($B2657="","",IF($AD2657&lt;&gt;"",$AD2657,IF($AC2657="","",IF($AC2657&lt;=設定!$C$3,0,$AC2657))))</f>
        <v/>
      </c>
      <c r="AF2657" s="14">
        <f>IF($B2657="","",IF(AND($AG2657&lt;&gt;"",$AI2657="",$AL2657=""),"保留中",IF($AL2657&lt;&gt;"",IF(N($AE2657)&gt;0,"支給済","不支給"),IF($AE2657="","要確認",IF($AE2657=0,"不支給","未処理")))))</f>
        <v/>
      </c>
      <c r="AG2657" s="12" t="n"/>
      <c r="AH2657" s="11" t="n"/>
      <c r="AI2657" s="11" t="n"/>
      <c r="AJ2657" s="11" t="n"/>
      <c r="AK2657" s="14">
        <f>IF(AND($AF2657="保留中",$AH2657&lt;&gt;""),TODAY()-$AH2657,"")</f>
        <v/>
      </c>
      <c r="AL2657" s="12" t="n"/>
      <c r="AM2657" s="14">
        <f>IF($B2657="","",IF($AQ2657="","対象年月が未入力／","")&amp;IF($B2657="","",IF($AP2657="","職員マスタに未登録の職員番号／",IF($AA2657="","標準報酬月額が未登録／","")&amp;IF(AND($AQ2657&lt;&gt;"",OR(AND(INDEX(職員マスタ!$G$6:$G$405,$AP2657)&lt;&gt;"",INDEX(職員マスタ!$G$6:$G$405,$AP2657)&gt;EOMONTH($AQ2657,0)),AND(INDEX(職員マスタ!$H$6:$H$405,$AP2657)&lt;&gt;"",INDEX(職員マスタ!$H$6:$H$405,$AP2657)&lt;$AQ2657))),"対象月が時短期間外／","")&amp;IF(AND(INDEX(職員マスタ!$K$6:$K$405,$AP2657)&lt;&gt;"",N($W2657)&gt;0,INDEX(職員マスタ!$K$6:$K$405,$AP2657)&lt;&gt;$W2657),"標準報酬月額が申請書と相違（台帳"&amp;TEXT(INDEX(職員マスタ!$K$6:$K$405,$AP2657),"#,##0")&amp;"円／申請書"&amp;TEXT($W2657,"#,##0")&amp;"円）／","")&amp;IF(AND(INDEX(職員マスタ!$F$6:$F$405,$AP2657)&lt;&gt;"",$AQ2657&lt;&gt;"",INDEX(職員マスタ!$F$6:$F$405,$AP2657)&lt;$AQ2657),"対象月に子が2歳到達済／","")&amp;IF(AND($H2657&lt;&gt;"",INDEX(職員マスタ!$B$6:$B$405,$AP2657)&lt;&gt;"",SUBSTITUTE(SUBSTITUTE($H2657," ","")," ","")&lt;&gt;SUBSTITUTE(SUBSTITUTE(INDEX(職員マスタ!$B$6:$B$405,$AP2657)," ","")," ","")),"氏名がマスタと相違／","")&amp;IF(AND($Q2657&lt;&gt;"",INDEX(職員マスタ!$E$6:$E$405,$AP2657)&lt;&gt;"",$Q2657&lt;&gt;INDEX(職員マスタ!$E$6:$E$405,$AP2657)),"子の生年月日がマスタと相違／","")&amp;IF(AND($L2657&lt;&gt;"",INDEX(職員マスタ!$G$6:$G$405,$AP2657)&lt;&gt;"",$L2657&lt;&gt;INDEX(職員マスタ!$G$6:$G$405,$AP2657)),"時短開始日がマスタと相違／","")&amp;IF(AND($M2657&lt;&gt;"",INDEX(職員マスタ!$H$6:$H$405,$AP2657)&lt;&gt;"",$M2657&lt;&gt;INDEX(職員マスタ!$H$6:$H$405,$AP2657)),"時短終了日がマスタと相違／","")))&amp;IF(AND($B2657&lt;&gt;"",$E2657=""),"報酬額が未入力／","")&amp;IF(N($U2657)&gt;0,"申請書に入力エラーが残っています／","")&amp;IF(AND($B2657&lt;&gt;"",$AQ2657&lt;&gt;""),IF(COUNTIFS($B$6:$B$3005,$B2657,$C$6:$C$3005,$C2657,$D$6:$D$3005,$D2657)&gt;1,"同じ月の請求が重複しています／",""),"")&amp;IF(AND(N($E2657)&gt;0,$AB2657&lt;&gt;"",$AB2657&lt;&gt;"×",$AE2657=0,$AD2657=""),"計算額が下限以下のため不支給／",""))</f>
        <v/>
      </c>
      <c r="AN2657" s="12" t="n"/>
      <c r="AO2657" s="14">
        <f>IF($AF2657="保留中",COUNTIF($AF$6:$AF2657,"保留中"),"")</f>
        <v/>
      </c>
      <c r="AP2657" s="14">
        <f>IF($AQ2657="","",IF(SUMPRODUCT(MAX((職員マスタ!$A$6:$A$405=$B2657)*(((職員マスタ!$G$6:$G$405="")+(職員マスタ!$G$6:$G$405&lt;=EOMONTH($AQ2657,0)))&gt;0)*(((職員マスタ!$H$6:$H$405="")+(職員マスタ!$H$6:$H$405&gt;=$AQ2657))&gt;0)*(ROW(職員マスタ!$A$6:$A$405)-5)))&gt;0,SUMPRODUCT(MAX((職員マスタ!$A$6:$A$405=$B2657)*(((職員マスタ!$G$6:$G$405="")+(職員マスタ!$G$6:$G$405&lt;=EOMONTH($AQ2657,0)))&gt;0)*(((職員マスタ!$H$6:$H$405="")+(職員マスタ!$H$6:$H$405&gt;=$AQ2657))&gt;0)*(ROW(職員マスタ!$A$6:$A$405)-5))),IFERROR(MATCH($B2657,職員マスタ!$A$6:$A$405,0),"")))</f>
        <v/>
      </c>
      <c r="AQ2657" s="16">
        <f>IF(OR($B2657="",$C2657="",$D2657=""),"",DATE($C2657+2018,$D2657,1))</f>
        <v/>
      </c>
    </row>
    <row r="2658">
      <c r="A2658" s="11" t="n"/>
      <c r="B2658" s="12" t="n"/>
      <c r="C2658" s="12" t="n"/>
      <c r="D2658" s="12" t="n"/>
      <c r="E2658" s="13" t="n"/>
      <c r="F2658" s="12" t="n"/>
      <c r="G2658" s="13" t="n"/>
      <c r="H2658" s="12" t="n"/>
      <c r="I2658" s="12" t="n"/>
      <c r="J2658" s="12" t="n"/>
      <c r="K2658" s="12" t="n"/>
      <c r="L2658" s="11" t="n"/>
      <c r="M2658" s="11" t="n"/>
      <c r="N2658" s="11" t="n"/>
      <c r="O2658" s="11" t="n"/>
      <c r="P2658" s="12" t="n"/>
      <c r="Q2658" s="11" t="n"/>
      <c r="R2658" s="12" t="n"/>
      <c r="S2658" s="11" t="n"/>
      <c r="T2658" s="12" t="n"/>
      <c r="U2658" s="12" t="n"/>
      <c r="V2658" s="12" t="n"/>
      <c r="W2658" s="13" t="n"/>
      <c r="X2658" s="14">
        <f>IF($AP2658="",IF($B2658="","",$H2658),IF(INDEX(職員マスタ!$B$6:$B$405,$AP2658)="",$H2658,INDEX(職員マスタ!$B$6:$B$405,$AP2658)))</f>
        <v/>
      </c>
      <c r="Y2658" s="14">
        <f>IF($AP2658="",IF($B2658="","",$R2658),IF(INDEX(職員マスタ!$C$6:$C$405,$AP2658)="",$R2658,INDEX(職員マスタ!$C$6:$C$405,$AP2658)))</f>
        <v/>
      </c>
      <c r="Z2658" s="14">
        <f>IF($AQ2658="","","R"&amp;$C2658&amp;"."&amp;$D2658)</f>
        <v/>
      </c>
      <c r="AA2658" s="15">
        <f>IF(IF($AP2658="",FALSE,INDEX(職員マスタ!$K$6:$K$405,$AP2658)&lt;&gt;""),INDEX(職員マスタ!$K$6:$K$405,$AP2658),IF(N($W2658)&gt;0,$W2658,""))</f>
        <v/>
      </c>
      <c r="AB2658" s="14">
        <f>IF(OR($E2658="",$AA2658=""),"",IF($E2658&gt;=$AA2658,"×",IF($E2658&gt;=$AA2658*設定!$C$5,"△","○")))</f>
        <v/>
      </c>
      <c r="AC2658" s="15">
        <f>IF($AB2658="","",IF($AB2658="×",0,IF($AB2658="○",ROUNDDOWN($E2658*設定!$C$4,0),ROUNDDOWN($E2658*ROUND((9*$AA2658-9*$E2658)/(10*$E2658),4),0))))</f>
        <v/>
      </c>
      <c r="AD2658" s="13" t="n"/>
      <c r="AE2658" s="15">
        <f>IF($B2658="","",IF($AD2658&lt;&gt;"",$AD2658,IF($AC2658="","",IF($AC2658&lt;=設定!$C$3,0,$AC2658))))</f>
        <v/>
      </c>
      <c r="AF2658" s="14">
        <f>IF($B2658="","",IF(AND($AG2658&lt;&gt;"",$AI2658="",$AL2658=""),"保留中",IF($AL2658&lt;&gt;"",IF(N($AE2658)&gt;0,"支給済","不支給"),IF($AE2658="","要確認",IF($AE2658=0,"不支給","未処理")))))</f>
        <v/>
      </c>
      <c r="AG2658" s="12" t="n"/>
      <c r="AH2658" s="11" t="n"/>
      <c r="AI2658" s="11" t="n"/>
      <c r="AJ2658" s="11" t="n"/>
      <c r="AK2658" s="14">
        <f>IF(AND($AF2658="保留中",$AH2658&lt;&gt;""),TODAY()-$AH2658,"")</f>
        <v/>
      </c>
      <c r="AL2658" s="12" t="n"/>
      <c r="AM2658" s="14">
        <f>IF($B2658="","",IF($AQ2658="","対象年月が未入力／","")&amp;IF($B2658="","",IF($AP2658="","職員マスタに未登録の職員番号／",IF($AA2658="","標準報酬月額が未登録／","")&amp;IF(AND($AQ2658&lt;&gt;"",OR(AND(INDEX(職員マスタ!$G$6:$G$405,$AP2658)&lt;&gt;"",INDEX(職員マスタ!$G$6:$G$405,$AP2658)&gt;EOMONTH($AQ2658,0)),AND(INDEX(職員マスタ!$H$6:$H$405,$AP2658)&lt;&gt;"",INDEX(職員マスタ!$H$6:$H$405,$AP2658)&lt;$AQ2658))),"対象月が時短期間外／","")&amp;IF(AND(INDEX(職員マスタ!$K$6:$K$405,$AP2658)&lt;&gt;"",N($W2658)&gt;0,INDEX(職員マスタ!$K$6:$K$405,$AP2658)&lt;&gt;$W2658),"標準報酬月額が申請書と相違（台帳"&amp;TEXT(INDEX(職員マスタ!$K$6:$K$405,$AP2658),"#,##0")&amp;"円／申請書"&amp;TEXT($W2658,"#,##0")&amp;"円）／","")&amp;IF(AND(INDEX(職員マスタ!$F$6:$F$405,$AP2658)&lt;&gt;"",$AQ2658&lt;&gt;"",INDEX(職員マスタ!$F$6:$F$405,$AP2658)&lt;$AQ2658),"対象月に子が2歳到達済／","")&amp;IF(AND($H2658&lt;&gt;"",INDEX(職員マスタ!$B$6:$B$405,$AP2658)&lt;&gt;"",SUBSTITUTE(SUBSTITUTE($H2658," ","")," ","")&lt;&gt;SUBSTITUTE(SUBSTITUTE(INDEX(職員マスタ!$B$6:$B$405,$AP2658)," ","")," ","")),"氏名がマスタと相違／","")&amp;IF(AND($Q2658&lt;&gt;"",INDEX(職員マスタ!$E$6:$E$405,$AP2658)&lt;&gt;"",$Q2658&lt;&gt;INDEX(職員マスタ!$E$6:$E$405,$AP2658)),"子の生年月日がマスタと相違／","")&amp;IF(AND($L2658&lt;&gt;"",INDEX(職員マスタ!$G$6:$G$405,$AP2658)&lt;&gt;"",$L2658&lt;&gt;INDEX(職員マスタ!$G$6:$G$405,$AP2658)),"時短開始日がマスタと相違／","")&amp;IF(AND($M2658&lt;&gt;"",INDEX(職員マスタ!$H$6:$H$405,$AP2658)&lt;&gt;"",$M2658&lt;&gt;INDEX(職員マスタ!$H$6:$H$405,$AP2658)),"時短終了日がマスタと相違／","")))&amp;IF(AND($B2658&lt;&gt;"",$E2658=""),"報酬額が未入力／","")&amp;IF(N($U2658)&gt;0,"申請書に入力エラーが残っています／","")&amp;IF(AND($B2658&lt;&gt;"",$AQ2658&lt;&gt;""),IF(COUNTIFS($B$6:$B$3005,$B2658,$C$6:$C$3005,$C2658,$D$6:$D$3005,$D2658)&gt;1,"同じ月の請求が重複しています／",""),"")&amp;IF(AND(N($E2658)&gt;0,$AB2658&lt;&gt;"",$AB2658&lt;&gt;"×",$AE2658=0,$AD2658=""),"計算額が下限以下のため不支給／",""))</f>
        <v/>
      </c>
      <c r="AN2658" s="12" t="n"/>
      <c r="AO2658" s="14">
        <f>IF($AF2658="保留中",COUNTIF($AF$6:$AF2658,"保留中"),"")</f>
        <v/>
      </c>
      <c r="AP2658" s="14">
        <f>IF($AQ2658="","",IF(SUMPRODUCT(MAX((職員マスタ!$A$6:$A$405=$B2658)*(((職員マスタ!$G$6:$G$405="")+(職員マスタ!$G$6:$G$405&lt;=EOMONTH($AQ2658,0)))&gt;0)*(((職員マスタ!$H$6:$H$405="")+(職員マスタ!$H$6:$H$405&gt;=$AQ2658))&gt;0)*(ROW(職員マスタ!$A$6:$A$405)-5)))&gt;0,SUMPRODUCT(MAX((職員マスタ!$A$6:$A$405=$B2658)*(((職員マスタ!$G$6:$G$405="")+(職員マスタ!$G$6:$G$405&lt;=EOMONTH($AQ2658,0)))&gt;0)*(((職員マスタ!$H$6:$H$405="")+(職員マスタ!$H$6:$H$405&gt;=$AQ2658))&gt;0)*(ROW(職員マスタ!$A$6:$A$405)-5))),IFERROR(MATCH($B2658,職員マスタ!$A$6:$A$405,0),"")))</f>
        <v/>
      </c>
      <c r="AQ2658" s="16">
        <f>IF(OR($B2658="",$C2658="",$D2658=""),"",DATE($C2658+2018,$D2658,1))</f>
        <v/>
      </c>
    </row>
    <row r="2659">
      <c r="A2659" s="11" t="n"/>
      <c r="B2659" s="12" t="n"/>
      <c r="C2659" s="12" t="n"/>
      <c r="D2659" s="12" t="n"/>
      <c r="E2659" s="13" t="n"/>
      <c r="F2659" s="12" t="n"/>
      <c r="G2659" s="13" t="n"/>
      <c r="H2659" s="12" t="n"/>
      <c r="I2659" s="12" t="n"/>
      <c r="J2659" s="12" t="n"/>
      <c r="K2659" s="12" t="n"/>
      <c r="L2659" s="11" t="n"/>
      <c r="M2659" s="11" t="n"/>
      <c r="N2659" s="11" t="n"/>
      <c r="O2659" s="11" t="n"/>
      <c r="P2659" s="12" t="n"/>
      <c r="Q2659" s="11" t="n"/>
      <c r="R2659" s="12" t="n"/>
      <c r="S2659" s="11" t="n"/>
      <c r="T2659" s="12" t="n"/>
      <c r="U2659" s="12" t="n"/>
      <c r="V2659" s="12" t="n"/>
      <c r="W2659" s="13" t="n"/>
      <c r="X2659" s="14">
        <f>IF($AP2659="",IF($B2659="","",$H2659),IF(INDEX(職員マスタ!$B$6:$B$405,$AP2659)="",$H2659,INDEX(職員マスタ!$B$6:$B$405,$AP2659)))</f>
        <v/>
      </c>
      <c r="Y2659" s="14">
        <f>IF($AP2659="",IF($B2659="","",$R2659),IF(INDEX(職員マスタ!$C$6:$C$405,$AP2659)="",$R2659,INDEX(職員マスタ!$C$6:$C$405,$AP2659)))</f>
        <v/>
      </c>
      <c r="Z2659" s="14">
        <f>IF($AQ2659="","","R"&amp;$C2659&amp;"."&amp;$D2659)</f>
        <v/>
      </c>
      <c r="AA2659" s="15">
        <f>IF(IF($AP2659="",FALSE,INDEX(職員マスタ!$K$6:$K$405,$AP2659)&lt;&gt;""),INDEX(職員マスタ!$K$6:$K$405,$AP2659),IF(N($W2659)&gt;0,$W2659,""))</f>
        <v/>
      </c>
      <c r="AB2659" s="14">
        <f>IF(OR($E2659="",$AA2659=""),"",IF($E2659&gt;=$AA2659,"×",IF($E2659&gt;=$AA2659*設定!$C$5,"△","○")))</f>
        <v/>
      </c>
      <c r="AC2659" s="15">
        <f>IF($AB2659="","",IF($AB2659="×",0,IF($AB2659="○",ROUNDDOWN($E2659*設定!$C$4,0),ROUNDDOWN($E2659*ROUND((9*$AA2659-9*$E2659)/(10*$E2659),4),0))))</f>
        <v/>
      </c>
      <c r="AD2659" s="13" t="n"/>
      <c r="AE2659" s="15">
        <f>IF($B2659="","",IF($AD2659&lt;&gt;"",$AD2659,IF($AC2659="","",IF($AC2659&lt;=設定!$C$3,0,$AC2659))))</f>
        <v/>
      </c>
      <c r="AF2659" s="14">
        <f>IF($B2659="","",IF(AND($AG2659&lt;&gt;"",$AI2659="",$AL2659=""),"保留中",IF($AL2659&lt;&gt;"",IF(N($AE2659)&gt;0,"支給済","不支給"),IF($AE2659="","要確認",IF($AE2659=0,"不支給","未処理")))))</f>
        <v/>
      </c>
      <c r="AG2659" s="12" t="n"/>
      <c r="AH2659" s="11" t="n"/>
      <c r="AI2659" s="11" t="n"/>
      <c r="AJ2659" s="11" t="n"/>
      <c r="AK2659" s="14">
        <f>IF(AND($AF2659="保留中",$AH2659&lt;&gt;""),TODAY()-$AH2659,"")</f>
        <v/>
      </c>
      <c r="AL2659" s="12" t="n"/>
      <c r="AM2659" s="14">
        <f>IF($B2659="","",IF($AQ2659="","対象年月が未入力／","")&amp;IF($B2659="","",IF($AP2659="","職員マスタに未登録の職員番号／",IF($AA2659="","標準報酬月額が未登録／","")&amp;IF(AND($AQ2659&lt;&gt;"",OR(AND(INDEX(職員マスタ!$G$6:$G$405,$AP2659)&lt;&gt;"",INDEX(職員マスタ!$G$6:$G$405,$AP2659)&gt;EOMONTH($AQ2659,0)),AND(INDEX(職員マスタ!$H$6:$H$405,$AP2659)&lt;&gt;"",INDEX(職員マスタ!$H$6:$H$405,$AP2659)&lt;$AQ2659))),"対象月が時短期間外／","")&amp;IF(AND(INDEX(職員マスタ!$K$6:$K$405,$AP2659)&lt;&gt;"",N($W2659)&gt;0,INDEX(職員マスタ!$K$6:$K$405,$AP2659)&lt;&gt;$W2659),"標準報酬月額が申請書と相違（台帳"&amp;TEXT(INDEX(職員マスタ!$K$6:$K$405,$AP2659),"#,##0")&amp;"円／申請書"&amp;TEXT($W2659,"#,##0")&amp;"円）／","")&amp;IF(AND(INDEX(職員マスタ!$F$6:$F$405,$AP2659)&lt;&gt;"",$AQ2659&lt;&gt;"",INDEX(職員マスタ!$F$6:$F$405,$AP2659)&lt;$AQ2659),"対象月に子が2歳到達済／","")&amp;IF(AND($H2659&lt;&gt;"",INDEX(職員マスタ!$B$6:$B$405,$AP2659)&lt;&gt;"",SUBSTITUTE(SUBSTITUTE($H2659," ","")," ","")&lt;&gt;SUBSTITUTE(SUBSTITUTE(INDEX(職員マスタ!$B$6:$B$405,$AP2659)," ","")," ","")),"氏名がマスタと相違／","")&amp;IF(AND($Q2659&lt;&gt;"",INDEX(職員マスタ!$E$6:$E$405,$AP2659)&lt;&gt;"",$Q2659&lt;&gt;INDEX(職員マスタ!$E$6:$E$405,$AP2659)),"子の生年月日がマスタと相違／","")&amp;IF(AND($L2659&lt;&gt;"",INDEX(職員マスタ!$G$6:$G$405,$AP2659)&lt;&gt;"",$L2659&lt;&gt;INDEX(職員マスタ!$G$6:$G$405,$AP2659)),"時短開始日がマスタと相違／","")&amp;IF(AND($M2659&lt;&gt;"",INDEX(職員マスタ!$H$6:$H$405,$AP2659)&lt;&gt;"",$M2659&lt;&gt;INDEX(職員マスタ!$H$6:$H$405,$AP2659)),"時短終了日がマスタと相違／","")))&amp;IF(AND($B2659&lt;&gt;"",$E2659=""),"報酬額が未入力／","")&amp;IF(N($U2659)&gt;0,"申請書に入力エラーが残っています／","")&amp;IF(AND($B2659&lt;&gt;"",$AQ2659&lt;&gt;""),IF(COUNTIFS($B$6:$B$3005,$B2659,$C$6:$C$3005,$C2659,$D$6:$D$3005,$D2659)&gt;1,"同じ月の請求が重複しています／",""),"")&amp;IF(AND(N($E2659)&gt;0,$AB2659&lt;&gt;"",$AB2659&lt;&gt;"×",$AE2659=0,$AD2659=""),"計算額が下限以下のため不支給／",""))</f>
        <v/>
      </c>
      <c r="AN2659" s="12" t="n"/>
      <c r="AO2659" s="14">
        <f>IF($AF2659="保留中",COUNTIF($AF$6:$AF2659,"保留中"),"")</f>
        <v/>
      </c>
      <c r="AP2659" s="14">
        <f>IF($AQ2659="","",IF(SUMPRODUCT(MAX((職員マスタ!$A$6:$A$405=$B2659)*(((職員マスタ!$G$6:$G$405="")+(職員マスタ!$G$6:$G$405&lt;=EOMONTH($AQ2659,0)))&gt;0)*(((職員マスタ!$H$6:$H$405="")+(職員マスタ!$H$6:$H$405&gt;=$AQ2659))&gt;0)*(ROW(職員マスタ!$A$6:$A$405)-5)))&gt;0,SUMPRODUCT(MAX((職員マスタ!$A$6:$A$405=$B2659)*(((職員マスタ!$G$6:$G$405="")+(職員マスタ!$G$6:$G$405&lt;=EOMONTH($AQ2659,0)))&gt;0)*(((職員マスタ!$H$6:$H$405="")+(職員マスタ!$H$6:$H$405&gt;=$AQ2659))&gt;0)*(ROW(職員マスタ!$A$6:$A$405)-5))),IFERROR(MATCH($B2659,職員マスタ!$A$6:$A$405,0),"")))</f>
        <v/>
      </c>
      <c r="AQ2659" s="16">
        <f>IF(OR($B2659="",$C2659="",$D2659=""),"",DATE($C2659+2018,$D2659,1))</f>
        <v/>
      </c>
    </row>
    <row r="2660">
      <c r="A2660" s="11" t="n"/>
      <c r="B2660" s="12" t="n"/>
      <c r="C2660" s="12" t="n"/>
      <c r="D2660" s="12" t="n"/>
      <c r="E2660" s="13" t="n"/>
      <c r="F2660" s="12" t="n"/>
      <c r="G2660" s="13" t="n"/>
      <c r="H2660" s="12" t="n"/>
      <c r="I2660" s="12" t="n"/>
      <c r="J2660" s="12" t="n"/>
      <c r="K2660" s="12" t="n"/>
      <c r="L2660" s="11" t="n"/>
      <c r="M2660" s="11" t="n"/>
      <c r="N2660" s="11" t="n"/>
      <c r="O2660" s="11" t="n"/>
      <c r="P2660" s="12" t="n"/>
      <c r="Q2660" s="11" t="n"/>
      <c r="R2660" s="12" t="n"/>
      <c r="S2660" s="11" t="n"/>
      <c r="T2660" s="12" t="n"/>
      <c r="U2660" s="12" t="n"/>
      <c r="V2660" s="12" t="n"/>
      <c r="W2660" s="13" t="n"/>
      <c r="X2660" s="14">
        <f>IF($AP2660="",IF($B2660="","",$H2660),IF(INDEX(職員マスタ!$B$6:$B$405,$AP2660)="",$H2660,INDEX(職員マスタ!$B$6:$B$405,$AP2660)))</f>
        <v/>
      </c>
      <c r="Y2660" s="14">
        <f>IF($AP2660="",IF($B2660="","",$R2660),IF(INDEX(職員マスタ!$C$6:$C$405,$AP2660)="",$R2660,INDEX(職員マスタ!$C$6:$C$405,$AP2660)))</f>
        <v/>
      </c>
      <c r="Z2660" s="14">
        <f>IF($AQ2660="","","R"&amp;$C2660&amp;"."&amp;$D2660)</f>
        <v/>
      </c>
      <c r="AA2660" s="15">
        <f>IF(IF($AP2660="",FALSE,INDEX(職員マスタ!$K$6:$K$405,$AP2660)&lt;&gt;""),INDEX(職員マスタ!$K$6:$K$405,$AP2660),IF(N($W2660)&gt;0,$W2660,""))</f>
        <v/>
      </c>
      <c r="AB2660" s="14">
        <f>IF(OR($E2660="",$AA2660=""),"",IF($E2660&gt;=$AA2660,"×",IF($E2660&gt;=$AA2660*設定!$C$5,"△","○")))</f>
        <v/>
      </c>
      <c r="AC2660" s="15">
        <f>IF($AB2660="","",IF($AB2660="×",0,IF($AB2660="○",ROUNDDOWN($E2660*設定!$C$4,0),ROUNDDOWN($E2660*ROUND((9*$AA2660-9*$E2660)/(10*$E2660),4),0))))</f>
        <v/>
      </c>
      <c r="AD2660" s="13" t="n"/>
      <c r="AE2660" s="15">
        <f>IF($B2660="","",IF($AD2660&lt;&gt;"",$AD2660,IF($AC2660="","",IF($AC2660&lt;=設定!$C$3,0,$AC2660))))</f>
        <v/>
      </c>
      <c r="AF2660" s="14">
        <f>IF($B2660="","",IF(AND($AG2660&lt;&gt;"",$AI2660="",$AL2660=""),"保留中",IF($AL2660&lt;&gt;"",IF(N($AE2660)&gt;0,"支給済","不支給"),IF($AE2660="","要確認",IF($AE2660=0,"不支給","未処理")))))</f>
        <v/>
      </c>
      <c r="AG2660" s="12" t="n"/>
      <c r="AH2660" s="11" t="n"/>
      <c r="AI2660" s="11" t="n"/>
      <c r="AJ2660" s="11" t="n"/>
      <c r="AK2660" s="14">
        <f>IF(AND($AF2660="保留中",$AH2660&lt;&gt;""),TODAY()-$AH2660,"")</f>
        <v/>
      </c>
      <c r="AL2660" s="12" t="n"/>
      <c r="AM2660" s="14">
        <f>IF($B2660="","",IF($AQ2660="","対象年月が未入力／","")&amp;IF($B2660="","",IF($AP2660="","職員マスタに未登録の職員番号／",IF($AA2660="","標準報酬月額が未登録／","")&amp;IF(AND($AQ2660&lt;&gt;"",OR(AND(INDEX(職員マスタ!$G$6:$G$405,$AP2660)&lt;&gt;"",INDEX(職員マスタ!$G$6:$G$405,$AP2660)&gt;EOMONTH($AQ2660,0)),AND(INDEX(職員マスタ!$H$6:$H$405,$AP2660)&lt;&gt;"",INDEX(職員マスタ!$H$6:$H$405,$AP2660)&lt;$AQ2660))),"対象月が時短期間外／","")&amp;IF(AND(INDEX(職員マスタ!$K$6:$K$405,$AP2660)&lt;&gt;"",N($W2660)&gt;0,INDEX(職員マスタ!$K$6:$K$405,$AP2660)&lt;&gt;$W2660),"標準報酬月額が申請書と相違（台帳"&amp;TEXT(INDEX(職員マスタ!$K$6:$K$405,$AP2660),"#,##0")&amp;"円／申請書"&amp;TEXT($W2660,"#,##0")&amp;"円）／","")&amp;IF(AND(INDEX(職員マスタ!$F$6:$F$405,$AP2660)&lt;&gt;"",$AQ2660&lt;&gt;"",INDEX(職員マスタ!$F$6:$F$405,$AP2660)&lt;$AQ2660),"対象月に子が2歳到達済／","")&amp;IF(AND($H2660&lt;&gt;"",INDEX(職員マスタ!$B$6:$B$405,$AP2660)&lt;&gt;"",SUBSTITUTE(SUBSTITUTE($H2660," ","")," ","")&lt;&gt;SUBSTITUTE(SUBSTITUTE(INDEX(職員マスタ!$B$6:$B$405,$AP2660)," ","")," ","")),"氏名がマスタと相違／","")&amp;IF(AND($Q2660&lt;&gt;"",INDEX(職員マスタ!$E$6:$E$405,$AP2660)&lt;&gt;"",$Q2660&lt;&gt;INDEX(職員マスタ!$E$6:$E$405,$AP2660)),"子の生年月日がマスタと相違／","")&amp;IF(AND($L2660&lt;&gt;"",INDEX(職員マスタ!$G$6:$G$405,$AP2660)&lt;&gt;"",$L2660&lt;&gt;INDEX(職員マスタ!$G$6:$G$405,$AP2660)),"時短開始日がマスタと相違／","")&amp;IF(AND($M2660&lt;&gt;"",INDEX(職員マスタ!$H$6:$H$405,$AP2660)&lt;&gt;"",$M2660&lt;&gt;INDEX(職員マスタ!$H$6:$H$405,$AP2660)),"時短終了日がマスタと相違／","")))&amp;IF(AND($B2660&lt;&gt;"",$E2660=""),"報酬額が未入力／","")&amp;IF(N($U2660)&gt;0,"申請書に入力エラーが残っています／","")&amp;IF(AND($B2660&lt;&gt;"",$AQ2660&lt;&gt;""),IF(COUNTIFS($B$6:$B$3005,$B2660,$C$6:$C$3005,$C2660,$D$6:$D$3005,$D2660)&gt;1,"同じ月の請求が重複しています／",""),"")&amp;IF(AND(N($E2660)&gt;0,$AB2660&lt;&gt;"",$AB2660&lt;&gt;"×",$AE2660=0,$AD2660=""),"計算額が下限以下のため不支給／",""))</f>
        <v/>
      </c>
      <c r="AN2660" s="12" t="n"/>
      <c r="AO2660" s="14">
        <f>IF($AF2660="保留中",COUNTIF($AF$6:$AF2660,"保留中"),"")</f>
        <v/>
      </c>
      <c r="AP2660" s="14">
        <f>IF($AQ2660="","",IF(SUMPRODUCT(MAX((職員マスタ!$A$6:$A$405=$B2660)*(((職員マスタ!$G$6:$G$405="")+(職員マスタ!$G$6:$G$405&lt;=EOMONTH($AQ2660,0)))&gt;0)*(((職員マスタ!$H$6:$H$405="")+(職員マスタ!$H$6:$H$405&gt;=$AQ2660))&gt;0)*(ROW(職員マスタ!$A$6:$A$405)-5)))&gt;0,SUMPRODUCT(MAX((職員マスタ!$A$6:$A$405=$B2660)*(((職員マスタ!$G$6:$G$405="")+(職員マスタ!$G$6:$G$405&lt;=EOMONTH($AQ2660,0)))&gt;0)*(((職員マスタ!$H$6:$H$405="")+(職員マスタ!$H$6:$H$405&gt;=$AQ2660))&gt;0)*(ROW(職員マスタ!$A$6:$A$405)-5))),IFERROR(MATCH($B2660,職員マスタ!$A$6:$A$405,0),"")))</f>
        <v/>
      </c>
      <c r="AQ2660" s="16">
        <f>IF(OR($B2660="",$C2660="",$D2660=""),"",DATE($C2660+2018,$D2660,1))</f>
        <v/>
      </c>
    </row>
    <row r="2661">
      <c r="A2661" s="11" t="n"/>
      <c r="B2661" s="12" t="n"/>
      <c r="C2661" s="12" t="n"/>
      <c r="D2661" s="12" t="n"/>
      <c r="E2661" s="13" t="n"/>
      <c r="F2661" s="12" t="n"/>
      <c r="G2661" s="13" t="n"/>
      <c r="H2661" s="12" t="n"/>
      <c r="I2661" s="12" t="n"/>
      <c r="J2661" s="12" t="n"/>
      <c r="K2661" s="12" t="n"/>
      <c r="L2661" s="11" t="n"/>
      <c r="M2661" s="11" t="n"/>
      <c r="N2661" s="11" t="n"/>
      <c r="O2661" s="11" t="n"/>
      <c r="P2661" s="12" t="n"/>
      <c r="Q2661" s="11" t="n"/>
      <c r="R2661" s="12" t="n"/>
      <c r="S2661" s="11" t="n"/>
      <c r="T2661" s="12" t="n"/>
      <c r="U2661" s="12" t="n"/>
      <c r="V2661" s="12" t="n"/>
      <c r="W2661" s="13" t="n"/>
      <c r="X2661" s="14">
        <f>IF($AP2661="",IF($B2661="","",$H2661),IF(INDEX(職員マスタ!$B$6:$B$405,$AP2661)="",$H2661,INDEX(職員マスタ!$B$6:$B$405,$AP2661)))</f>
        <v/>
      </c>
      <c r="Y2661" s="14">
        <f>IF($AP2661="",IF($B2661="","",$R2661),IF(INDEX(職員マスタ!$C$6:$C$405,$AP2661)="",$R2661,INDEX(職員マスタ!$C$6:$C$405,$AP2661)))</f>
        <v/>
      </c>
      <c r="Z2661" s="14">
        <f>IF($AQ2661="","","R"&amp;$C2661&amp;"."&amp;$D2661)</f>
        <v/>
      </c>
      <c r="AA2661" s="15">
        <f>IF(IF($AP2661="",FALSE,INDEX(職員マスタ!$K$6:$K$405,$AP2661)&lt;&gt;""),INDEX(職員マスタ!$K$6:$K$405,$AP2661),IF(N($W2661)&gt;0,$W2661,""))</f>
        <v/>
      </c>
      <c r="AB2661" s="14">
        <f>IF(OR($E2661="",$AA2661=""),"",IF($E2661&gt;=$AA2661,"×",IF($E2661&gt;=$AA2661*設定!$C$5,"△","○")))</f>
        <v/>
      </c>
      <c r="AC2661" s="15">
        <f>IF($AB2661="","",IF($AB2661="×",0,IF($AB2661="○",ROUNDDOWN($E2661*設定!$C$4,0),ROUNDDOWN($E2661*ROUND((9*$AA2661-9*$E2661)/(10*$E2661),4),0))))</f>
        <v/>
      </c>
      <c r="AD2661" s="13" t="n"/>
      <c r="AE2661" s="15">
        <f>IF($B2661="","",IF($AD2661&lt;&gt;"",$AD2661,IF($AC2661="","",IF($AC2661&lt;=設定!$C$3,0,$AC2661))))</f>
        <v/>
      </c>
      <c r="AF2661" s="14">
        <f>IF($B2661="","",IF(AND($AG2661&lt;&gt;"",$AI2661="",$AL2661=""),"保留中",IF($AL2661&lt;&gt;"",IF(N($AE2661)&gt;0,"支給済","不支給"),IF($AE2661="","要確認",IF($AE2661=0,"不支給","未処理")))))</f>
        <v/>
      </c>
      <c r="AG2661" s="12" t="n"/>
      <c r="AH2661" s="11" t="n"/>
      <c r="AI2661" s="11" t="n"/>
      <c r="AJ2661" s="11" t="n"/>
      <c r="AK2661" s="14">
        <f>IF(AND($AF2661="保留中",$AH2661&lt;&gt;""),TODAY()-$AH2661,"")</f>
        <v/>
      </c>
      <c r="AL2661" s="12" t="n"/>
      <c r="AM2661" s="14">
        <f>IF($B2661="","",IF($AQ2661="","対象年月が未入力／","")&amp;IF($B2661="","",IF($AP2661="","職員マスタに未登録の職員番号／",IF($AA2661="","標準報酬月額が未登録／","")&amp;IF(AND($AQ2661&lt;&gt;"",OR(AND(INDEX(職員マスタ!$G$6:$G$405,$AP2661)&lt;&gt;"",INDEX(職員マスタ!$G$6:$G$405,$AP2661)&gt;EOMONTH($AQ2661,0)),AND(INDEX(職員マスタ!$H$6:$H$405,$AP2661)&lt;&gt;"",INDEX(職員マスタ!$H$6:$H$405,$AP2661)&lt;$AQ2661))),"対象月が時短期間外／","")&amp;IF(AND(INDEX(職員マスタ!$K$6:$K$405,$AP2661)&lt;&gt;"",N($W2661)&gt;0,INDEX(職員マスタ!$K$6:$K$405,$AP2661)&lt;&gt;$W2661),"標準報酬月額が申請書と相違（台帳"&amp;TEXT(INDEX(職員マスタ!$K$6:$K$405,$AP2661),"#,##0")&amp;"円／申請書"&amp;TEXT($W2661,"#,##0")&amp;"円）／","")&amp;IF(AND(INDEX(職員マスタ!$F$6:$F$405,$AP2661)&lt;&gt;"",$AQ2661&lt;&gt;"",INDEX(職員マスタ!$F$6:$F$405,$AP2661)&lt;$AQ2661),"対象月に子が2歳到達済／","")&amp;IF(AND($H2661&lt;&gt;"",INDEX(職員マスタ!$B$6:$B$405,$AP2661)&lt;&gt;"",SUBSTITUTE(SUBSTITUTE($H2661," ","")," ","")&lt;&gt;SUBSTITUTE(SUBSTITUTE(INDEX(職員マスタ!$B$6:$B$405,$AP2661)," ","")," ","")),"氏名がマスタと相違／","")&amp;IF(AND($Q2661&lt;&gt;"",INDEX(職員マスタ!$E$6:$E$405,$AP2661)&lt;&gt;"",$Q2661&lt;&gt;INDEX(職員マスタ!$E$6:$E$405,$AP2661)),"子の生年月日がマスタと相違／","")&amp;IF(AND($L2661&lt;&gt;"",INDEX(職員マスタ!$G$6:$G$405,$AP2661)&lt;&gt;"",$L2661&lt;&gt;INDEX(職員マスタ!$G$6:$G$405,$AP2661)),"時短開始日がマスタと相違／","")&amp;IF(AND($M2661&lt;&gt;"",INDEX(職員マスタ!$H$6:$H$405,$AP2661)&lt;&gt;"",$M2661&lt;&gt;INDEX(職員マスタ!$H$6:$H$405,$AP2661)),"時短終了日がマスタと相違／","")))&amp;IF(AND($B2661&lt;&gt;"",$E2661=""),"報酬額が未入力／","")&amp;IF(N($U2661)&gt;0,"申請書に入力エラーが残っています／","")&amp;IF(AND($B2661&lt;&gt;"",$AQ2661&lt;&gt;""),IF(COUNTIFS($B$6:$B$3005,$B2661,$C$6:$C$3005,$C2661,$D$6:$D$3005,$D2661)&gt;1,"同じ月の請求が重複しています／",""),"")&amp;IF(AND(N($E2661)&gt;0,$AB2661&lt;&gt;"",$AB2661&lt;&gt;"×",$AE2661=0,$AD2661=""),"計算額が下限以下のため不支給／",""))</f>
        <v/>
      </c>
      <c r="AN2661" s="12" t="n"/>
      <c r="AO2661" s="14">
        <f>IF($AF2661="保留中",COUNTIF($AF$6:$AF2661,"保留中"),"")</f>
        <v/>
      </c>
      <c r="AP2661" s="14">
        <f>IF($AQ2661="","",IF(SUMPRODUCT(MAX((職員マスタ!$A$6:$A$405=$B2661)*(((職員マスタ!$G$6:$G$405="")+(職員マスタ!$G$6:$G$405&lt;=EOMONTH($AQ2661,0)))&gt;0)*(((職員マスタ!$H$6:$H$405="")+(職員マスタ!$H$6:$H$405&gt;=$AQ2661))&gt;0)*(ROW(職員マスタ!$A$6:$A$405)-5)))&gt;0,SUMPRODUCT(MAX((職員マスタ!$A$6:$A$405=$B2661)*(((職員マスタ!$G$6:$G$405="")+(職員マスタ!$G$6:$G$405&lt;=EOMONTH($AQ2661,0)))&gt;0)*(((職員マスタ!$H$6:$H$405="")+(職員マスタ!$H$6:$H$405&gt;=$AQ2661))&gt;0)*(ROW(職員マスタ!$A$6:$A$405)-5))),IFERROR(MATCH($B2661,職員マスタ!$A$6:$A$405,0),"")))</f>
        <v/>
      </c>
      <c r="AQ2661" s="16">
        <f>IF(OR($B2661="",$C2661="",$D2661=""),"",DATE($C2661+2018,$D2661,1))</f>
        <v/>
      </c>
    </row>
    <row r="2662">
      <c r="A2662" s="11" t="n"/>
      <c r="B2662" s="12" t="n"/>
      <c r="C2662" s="12" t="n"/>
      <c r="D2662" s="12" t="n"/>
      <c r="E2662" s="13" t="n"/>
      <c r="F2662" s="12" t="n"/>
      <c r="G2662" s="13" t="n"/>
      <c r="H2662" s="12" t="n"/>
      <c r="I2662" s="12" t="n"/>
      <c r="J2662" s="12" t="n"/>
      <c r="K2662" s="12" t="n"/>
      <c r="L2662" s="11" t="n"/>
      <c r="M2662" s="11" t="n"/>
      <c r="N2662" s="11" t="n"/>
      <c r="O2662" s="11" t="n"/>
      <c r="P2662" s="12" t="n"/>
      <c r="Q2662" s="11" t="n"/>
      <c r="R2662" s="12" t="n"/>
      <c r="S2662" s="11" t="n"/>
      <c r="T2662" s="12" t="n"/>
      <c r="U2662" s="12" t="n"/>
      <c r="V2662" s="12" t="n"/>
      <c r="W2662" s="13" t="n"/>
      <c r="X2662" s="14">
        <f>IF($AP2662="",IF($B2662="","",$H2662),IF(INDEX(職員マスタ!$B$6:$B$405,$AP2662)="",$H2662,INDEX(職員マスタ!$B$6:$B$405,$AP2662)))</f>
        <v/>
      </c>
      <c r="Y2662" s="14">
        <f>IF($AP2662="",IF($B2662="","",$R2662),IF(INDEX(職員マスタ!$C$6:$C$405,$AP2662)="",$R2662,INDEX(職員マスタ!$C$6:$C$405,$AP2662)))</f>
        <v/>
      </c>
      <c r="Z2662" s="14">
        <f>IF($AQ2662="","","R"&amp;$C2662&amp;"."&amp;$D2662)</f>
        <v/>
      </c>
      <c r="AA2662" s="15">
        <f>IF(IF($AP2662="",FALSE,INDEX(職員マスタ!$K$6:$K$405,$AP2662)&lt;&gt;""),INDEX(職員マスタ!$K$6:$K$405,$AP2662),IF(N($W2662)&gt;0,$W2662,""))</f>
        <v/>
      </c>
      <c r="AB2662" s="14">
        <f>IF(OR($E2662="",$AA2662=""),"",IF($E2662&gt;=$AA2662,"×",IF($E2662&gt;=$AA2662*設定!$C$5,"△","○")))</f>
        <v/>
      </c>
      <c r="AC2662" s="15">
        <f>IF($AB2662="","",IF($AB2662="×",0,IF($AB2662="○",ROUNDDOWN($E2662*設定!$C$4,0),ROUNDDOWN($E2662*ROUND((9*$AA2662-9*$E2662)/(10*$E2662),4),0))))</f>
        <v/>
      </c>
      <c r="AD2662" s="13" t="n"/>
      <c r="AE2662" s="15">
        <f>IF($B2662="","",IF($AD2662&lt;&gt;"",$AD2662,IF($AC2662="","",IF($AC2662&lt;=設定!$C$3,0,$AC2662))))</f>
        <v/>
      </c>
      <c r="AF2662" s="14">
        <f>IF($B2662="","",IF(AND($AG2662&lt;&gt;"",$AI2662="",$AL2662=""),"保留中",IF($AL2662&lt;&gt;"",IF(N($AE2662)&gt;0,"支給済","不支給"),IF($AE2662="","要確認",IF($AE2662=0,"不支給","未処理")))))</f>
        <v/>
      </c>
      <c r="AG2662" s="12" t="n"/>
      <c r="AH2662" s="11" t="n"/>
      <c r="AI2662" s="11" t="n"/>
      <c r="AJ2662" s="11" t="n"/>
      <c r="AK2662" s="14">
        <f>IF(AND($AF2662="保留中",$AH2662&lt;&gt;""),TODAY()-$AH2662,"")</f>
        <v/>
      </c>
      <c r="AL2662" s="12" t="n"/>
      <c r="AM2662" s="14">
        <f>IF($B2662="","",IF($AQ2662="","対象年月が未入力／","")&amp;IF($B2662="","",IF($AP2662="","職員マスタに未登録の職員番号／",IF($AA2662="","標準報酬月額が未登録／","")&amp;IF(AND($AQ2662&lt;&gt;"",OR(AND(INDEX(職員マスタ!$G$6:$G$405,$AP2662)&lt;&gt;"",INDEX(職員マスタ!$G$6:$G$405,$AP2662)&gt;EOMONTH($AQ2662,0)),AND(INDEX(職員マスタ!$H$6:$H$405,$AP2662)&lt;&gt;"",INDEX(職員マスタ!$H$6:$H$405,$AP2662)&lt;$AQ2662))),"対象月が時短期間外／","")&amp;IF(AND(INDEX(職員マスタ!$K$6:$K$405,$AP2662)&lt;&gt;"",N($W2662)&gt;0,INDEX(職員マスタ!$K$6:$K$405,$AP2662)&lt;&gt;$W2662),"標準報酬月額が申請書と相違（台帳"&amp;TEXT(INDEX(職員マスタ!$K$6:$K$405,$AP2662),"#,##0")&amp;"円／申請書"&amp;TEXT($W2662,"#,##0")&amp;"円）／","")&amp;IF(AND(INDEX(職員マスタ!$F$6:$F$405,$AP2662)&lt;&gt;"",$AQ2662&lt;&gt;"",INDEX(職員マスタ!$F$6:$F$405,$AP2662)&lt;$AQ2662),"対象月に子が2歳到達済／","")&amp;IF(AND($H2662&lt;&gt;"",INDEX(職員マスタ!$B$6:$B$405,$AP2662)&lt;&gt;"",SUBSTITUTE(SUBSTITUTE($H2662," ","")," ","")&lt;&gt;SUBSTITUTE(SUBSTITUTE(INDEX(職員マスタ!$B$6:$B$405,$AP2662)," ","")," ","")),"氏名がマスタと相違／","")&amp;IF(AND($Q2662&lt;&gt;"",INDEX(職員マスタ!$E$6:$E$405,$AP2662)&lt;&gt;"",$Q2662&lt;&gt;INDEX(職員マスタ!$E$6:$E$405,$AP2662)),"子の生年月日がマスタと相違／","")&amp;IF(AND($L2662&lt;&gt;"",INDEX(職員マスタ!$G$6:$G$405,$AP2662)&lt;&gt;"",$L2662&lt;&gt;INDEX(職員マスタ!$G$6:$G$405,$AP2662)),"時短開始日がマスタと相違／","")&amp;IF(AND($M2662&lt;&gt;"",INDEX(職員マスタ!$H$6:$H$405,$AP2662)&lt;&gt;"",$M2662&lt;&gt;INDEX(職員マスタ!$H$6:$H$405,$AP2662)),"時短終了日がマスタと相違／","")))&amp;IF(AND($B2662&lt;&gt;"",$E2662=""),"報酬額が未入力／","")&amp;IF(N($U2662)&gt;0,"申請書に入力エラーが残っています／","")&amp;IF(AND($B2662&lt;&gt;"",$AQ2662&lt;&gt;""),IF(COUNTIFS($B$6:$B$3005,$B2662,$C$6:$C$3005,$C2662,$D$6:$D$3005,$D2662)&gt;1,"同じ月の請求が重複しています／",""),"")&amp;IF(AND(N($E2662)&gt;0,$AB2662&lt;&gt;"",$AB2662&lt;&gt;"×",$AE2662=0,$AD2662=""),"計算額が下限以下のため不支給／",""))</f>
        <v/>
      </c>
      <c r="AN2662" s="12" t="n"/>
      <c r="AO2662" s="14">
        <f>IF($AF2662="保留中",COUNTIF($AF$6:$AF2662,"保留中"),"")</f>
        <v/>
      </c>
      <c r="AP2662" s="14">
        <f>IF($AQ2662="","",IF(SUMPRODUCT(MAX((職員マスタ!$A$6:$A$405=$B2662)*(((職員マスタ!$G$6:$G$405="")+(職員マスタ!$G$6:$G$405&lt;=EOMONTH($AQ2662,0)))&gt;0)*(((職員マスタ!$H$6:$H$405="")+(職員マスタ!$H$6:$H$405&gt;=$AQ2662))&gt;0)*(ROW(職員マスタ!$A$6:$A$405)-5)))&gt;0,SUMPRODUCT(MAX((職員マスタ!$A$6:$A$405=$B2662)*(((職員マスタ!$G$6:$G$405="")+(職員マスタ!$G$6:$G$405&lt;=EOMONTH($AQ2662,0)))&gt;0)*(((職員マスタ!$H$6:$H$405="")+(職員マスタ!$H$6:$H$405&gt;=$AQ2662))&gt;0)*(ROW(職員マスタ!$A$6:$A$405)-5))),IFERROR(MATCH($B2662,職員マスタ!$A$6:$A$405,0),"")))</f>
        <v/>
      </c>
      <c r="AQ2662" s="16">
        <f>IF(OR($B2662="",$C2662="",$D2662=""),"",DATE($C2662+2018,$D2662,1))</f>
        <v/>
      </c>
    </row>
    <row r="2663">
      <c r="A2663" s="11" t="n"/>
      <c r="B2663" s="12" t="n"/>
      <c r="C2663" s="12" t="n"/>
      <c r="D2663" s="12" t="n"/>
      <c r="E2663" s="13" t="n"/>
      <c r="F2663" s="12" t="n"/>
      <c r="G2663" s="13" t="n"/>
      <c r="H2663" s="12" t="n"/>
      <c r="I2663" s="12" t="n"/>
      <c r="J2663" s="12" t="n"/>
      <c r="K2663" s="12" t="n"/>
      <c r="L2663" s="11" t="n"/>
      <c r="M2663" s="11" t="n"/>
      <c r="N2663" s="11" t="n"/>
      <c r="O2663" s="11" t="n"/>
      <c r="P2663" s="12" t="n"/>
      <c r="Q2663" s="11" t="n"/>
      <c r="R2663" s="12" t="n"/>
      <c r="S2663" s="11" t="n"/>
      <c r="T2663" s="12" t="n"/>
      <c r="U2663" s="12" t="n"/>
      <c r="V2663" s="12" t="n"/>
      <c r="W2663" s="13" t="n"/>
      <c r="X2663" s="14">
        <f>IF($AP2663="",IF($B2663="","",$H2663),IF(INDEX(職員マスタ!$B$6:$B$405,$AP2663)="",$H2663,INDEX(職員マスタ!$B$6:$B$405,$AP2663)))</f>
        <v/>
      </c>
      <c r="Y2663" s="14">
        <f>IF($AP2663="",IF($B2663="","",$R2663),IF(INDEX(職員マスタ!$C$6:$C$405,$AP2663)="",$R2663,INDEX(職員マスタ!$C$6:$C$405,$AP2663)))</f>
        <v/>
      </c>
      <c r="Z2663" s="14">
        <f>IF($AQ2663="","","R"&amp;$C2663&amp;"."&amp;$D2663)</f>
        <v/>
      </c>
      <c r="AA2663" s="15">
        <f>IF(IF($AP2663="",FALSE,INDEX(職員マスタ!$K$6:$K$405,$AP2663)&lt;&gt;""),INDEX(職員マスタ!$K$6:$K$405,$AP2663),IF(N($W2663)&gt;0,$W2663,""))</f>
        <v/>
      </c>
      <c r="AB2663" s="14">
        <f>IF(OR($E2663="",$AA2663=""),"",IF($E2663&gt;=$AA2663,"×",IF($E2663&gt;=$AA2663*設定!$C$5,"△","○")))</f>
        <v/>
      </c>
      <c r="AC2663" s="15">
        <f>IF($AB2663="","",IF($AB2663="×",0,IF($AB2663="○",ROUNDDOWN($E2663*設定!$C$4,0),ROUNDDOWN($E2663*ROUND((9*$AA2663-9*$E2663)/(10*$E2663),4),0))))</f>
        <v/>
      </c>
      <c r="AD2663" s="13" t="n"/>
      <c r="AE2663" s="15">
        <f>IF($B2663="","",IF($AD2663&lt;&gt;"",$AD2663,IF($AC2663="","",IF($AC2663&lt;=設定!$C$3,0,$AC2663))))</f>
        <v/>
      </c>
      <c r="AF2663" s="14">
        <f>IF($B2663="","",IF(AND($AG2663&lt;&gt;"",$AI2663="",$AL2663=""),"保留中",IF($AL2663&lt;&gt;"",IF(N($AE2663)&gt;0,"支給済","不支給"),IF($AE2663="","要確認",IF($AE2663=0,"不支給","未処理")))))</f>
        <v/>
      </c>
      <c r="AG2663" s="12" t="n"/>
      <c r="AH2663" s="11" t="n"/>
      <c r="AI2663" s="11" t="n"/>
      <c r="AJ2663" s="11" t="n"/>
      <c r="AK2663" s="14">
        <f>IF(AND($AF2663="保留中",$AH2663&lt;&gt;""),TODAY()-$AH2663,"")</f>
        <v/>
      </c>
      <c r="AL2663" s="12" t="n"/>
      <c r="AM2663" s="14">
        <f>IF($B2663="","",IF($AQ2663="","対象年月が未入力／","")&amp;IF($B2663="","",IF($AP2663="","職員マスタに未登録の職員番号／",IF($AA2663="","標準報酬月額が未登録／","")&amp;IF(AND($AQ2663&lt;&gt;"",OR(AND(INDEX(職員マスタ!$G$6:$G$405,$AP2663)&lt;&gt;"",INDEX(職員マスタ!$G$6:$G$405,$AP2663)&gt;EOMONTH($AQ2663,0)),AND(INDEX(職員マスタ!$H$6:$H$405,$AP2663)&lt;&gt;"",INDEX(職員マスタ!$H$6:$H$405,$AP2663)&lt;$AQ2663))),"対象月が時短期間外／","")&amp;IF(AND(INDEX(職員マスタ!$K$6:$K$405,$AP2663)&lt;&gt;"",N($W2663)&gt;0,INDEX(職員マスタ!$K$6:$K$405,$AP2663)&lt;&gt;$W2663),"標準報酬月額が申請書と相違（台帳"&amp;TEXT(INDEX(職員マスタ!$K$6:$K$405,$AP2663),"#,##0")&amp;"円／申請書"&amp;TEXT($W2663,"#,##0")&amp;"円）／","")&amp;IF(AND(INDEX(職員マスタ!$F$6:$F$405,$AP2663)&lt;&gt;"",$AQ2663&lt;&gt;"",INDEX(職員マスタ!$F$6:$F$405,$AP2663)&lt;$AQ2663),"対象月に子が2歳到達済／","")&amp;IF(AND($H2663&lt;&gt;"",INDEX(職員マスタ!$B$6:$B$405,$AP2663)&lt;&gt;"",SUBSTITUTE(SUBSTITUTE($H2663," ","")," ","")&lt;&gt;SUBSTITUTE(SUBSTITUTE(INDEX(職員マスタ!$B$6:$B$405,$AP2663)," ","")," ","")),"氏名がマスタと相違／","")&amp;IF(AND($Q2663&lt;&gt;"",INDEX(職員マスタ!$E$6:$E$405,$AP2663)&lt;&gt;"",$Q2663&lt;&gt;INDEX(職員マスタ!$E$6:$E$405,$AP2663)),"子の生年月日がマスタと相違／","")&amp;IF(AND($L2663&lt;&gt;"",INDEX(職員マスタ!$G$6:$G$405,$AP2663)&lt;&gt;"",$L2663&lt;&gt;INDEX(職員マスタ!$G$6:$G$405,$AP2663)),"時短開始日がマスタと相違／","")&amp;IF(AND($M2663&lt;&gt;"",INDEX(職員マスタ!$H$6:$H$405,$AP2663)&lt;&gt;"",$M2663&lt;&gt;INDEX(職員マスタ!$H$6:$H$405,$AP2663)),"時短終了日がマスタと相違／","")))&amp;IF(AND($B2663&lt;&gt;"",$E2663=""),"報酬額が未入力／","")&amp;IF(N($U2663)&gt;0,"申請書に入力エラーが残っています／","")&amp;IF(AND($B2663&lt;&gt;"",$AQ2663&lt;&gt;""),IF(COUNTIFS($B$6:$B$3005,$B2663,$C$6:$C$3005,$C2663,$D$6:$D$3005,$D2663)&gt;1,"同じ月の請求が重複しています／",""),"")&amp;IF(AND(N($E2663)&gt;0,$AB2663&lt;&gt;"",$AB2663&lt;&gt;"×",$AE2663=0,$AD2663=""),"計算額が下限以下のため不支給／",""))</f>
        <v/>
      </c>
      <c r="AN2663" s="12" t="n"/>
      <c r="AO2663" s="14">
        <f>IF($AF2663="保留中",COUNTIF($AF$6:$AF2663,"保留中"),"")</f>
        <v/>
      </c>
      <c r="AP2663" s="14">
        <f>IF($AQ2663="","",IF(SUMPRODUCT(MAX((職員マスタ!$A$6:$A$405=$B2663)*(((職員マスタ!$G$6:$G$405="")+(職員マスタ!$G$6:$G$405&lt;=EOMONTH($AQ2663,0)))&gt;0)*(((職員マスタ!$H$6:$H$405="")+(職員マスタ!$H$6:$H$405&gt;=$AQ2663))&gt;0)*(ROW(職員マスタ!$A$6:$A$405)-5)))&gt;0,SUMPRODUCT(MAX((職員マスタ!$A$6:$A$405=$B2663)*(((職員マスタ!$G$6:$G$405="")+(職員マスタ!$G$6:$G$405&lt;=EOMONTH($AQ2663,0)))&gt;0)*(((職員マスタ!$H$6:$H$405="")+(職員マスタ!$H$6:$H$405&gt;=$AQ2663))&gt;0)*(ROW(職員マスタ!$A$6:$A$405)-5))),IFERROR(MATCH($B2663,職員マスタ!$A$6:$A$405,0),"")))</f>
        <v/>
      </c>
      <c r="AQ2663" s="16">
        <f>IF(OR($B2663="",$C2663="",$D2663=""),"",DATE($C2663+2018,$D2663,1))</f>
        <v/>
      </c>
    </row>
    <row r="2664">
      <c r="A2664" s="11" t="n"/>
      <c r="B2664" s="12" t="n"/>
      <c r="C2664" s="12" t="n"/>
      <c r="D2664" s="12" t="n"/>
      <c r="E2664" s="13" t="n"/>
      <c r="F2664" s="12" t="n"/>
      <c r="G2664" s="13" t="n"/>
      <c r="H2664" s="12" t="n"/>
      <c r="I2664" s="12" t="n"/>
      <c r="J2664" s="12" t="n"/>
      <c r="K2664" s="12" t="n"/>
      <c r="L2664" s="11" t="n"/>
      <c r="M2664" s="11" t="n"/>
      <c r="N2664" s="11" t="n"/>
      <c r="O2664" s="11" t="n"/>
      <c r="P2664" s="12" t="n"/>
      <c r="Q2664" s="11" t="n"/>
      <c r="R2664" s="12" t="n"/>
      <c r="S2664" s="11" t="n"/>
      <c r="T2664" s="12" t="n"/>
      <c r="U2664" s="12" t="n"/>
      <c r="V2664" s="12" t="n"/>
      <c r="W2664" s="13" t="n"/>
      <c r="X2664" s="14">
        <f>IF($AP2664="",IF($B2664="","",$H2664),IF(INDEX(職員マスタ!$B$6:$B$405,$AP2664)="",$H2664,INDEX(職員マスタ!$B$6:$B$405,$AP2664)))</f>
        <v/>
      </c>
      <c r="Y2664" s="14">
        <f>IF($AP2664="",IF($B2664="","",$R2664),IF(INDEX(職員マスタ!$C$6:$C$405,$AP2664)="",$R2664,INDEX(職員マスタ!$C$6:$C$405,$AP2664)))</f>
        <v/>
      </c>
      <c r="Z2664" s="14">
        <f>IF($AQ2664="","","R"&amp;$C2664&amp;"."&amp;$D2664)</f>
        <v/>
      </c>
      <c r="AA2664" s="15">
        <f>IF(IF($AP2664="",FALSE,INDEX(職員マスタ!$K$6:$K$405,$AP2664)&lt;&gt;""),INDEX(職員マスタ!$K$6:$K$405,$AP2664),IF(N($W2664)&gt;0,$W2664,""))</f>
        <v/>
      </c>
      <c r="AB2664" s="14">
        <f>IF(OR($E2664="",$AA2664=""),"",IF($E2664&gt;=$AA2664,"×",IF($E2664&gt;=$AA2664*設定!$C$5,"△","○")))</f>
        <v/>
      </c>
      <c r="AC2664" s="15">
        <f>IF($AB2664="","",IF($AB2664="×",0,IF($AB2664="○",ROUNDDOWN($E2664*設定!$C$4,0),ROUNDDOWN($E2664*ROUND((9*$AA2664-9*$E2664)/(10*$E2664),4),0))))</f>
        <v/>
      </c>
      <c r="AD2664" s="13" t="n"/>
      <c r="AE2664" s="15">
        <f>IF($B2664="","",IF($AD2664&lt;&gt;"",$AD2664,IF($AC2664="","",IF($AC2664&lt;=設定!$C$3,0,$AC2664))))</f>
        <v/>
      </c>
      <c r="AF2664" s="14">
        <f>IF($B2664="","",IF(AND($AG2664&lt;&gt;"",$AI2664="",$AL2664=""),"保留中",IF($AL2664&lt;&gt;"",IF(N($AE2664)&gt;0,"支給済","不支給"),IF($AE2664="","要確認",IF($AE2664=0,"不支給","未処理")))))</f>
        <v/>
      </c>
      <c r="AG2664" s="12" t="n"/>
      <c r="AH2664" s="11" t="n"/>
      <c r="AI2664" s="11" t="n"/>
      <c r="AJ2664" s="11" t="n"/>
      <c r="AK2664" s="14">
        <f>IF(AND($AF2664="保留中",$AH2664&lt;&gt;""),TODAY()-$AH2664,"")</f>
        <v/>
      </c>
      <c r="AL2664" s="12" t="n"/>
      <c r="AM2664" s="14">
        <f>IF($B2664="","",IF($AQ2664="","対象年月が未入力／","")&amp;IF($B2664="","",IF($AP2664="","職員マスタに未登録の職員番号／",IF($AA2664="","標準報酬月額が未登録／","")&amp;IF(AND($AQ2664&lt;&gt;"",OR(AND(INDEX(職員マスタ!$G$6:$G$405,$AP2664)&lt;&gt;"",INDEX(職員マスタ!$G$6:$G$405,$AP2664)&gt;EOMONTH($AQ2664,0)),AND(INDEX(職員マスタ!$H$6:$H$405,$AP2664)&lt;&gt;"",INDEX(職員マスタ!$H$6:$H$405,$AP2664)&lt;$AQ2664))),"対象月が時短期間外／","")&amp;IF(AND(INDEX(職員マスタ!$K$6:$K$405,$AP2664)&lt;&gt;"",N($W2664)&gt;0,INDEX(職員マスタ!$K$6:$K$405,$AP2664)&lt;&gt;$W2664),"標準報酬月額が申請書と相違（台帳"&amp;TEXT(INDEX(職員マスタ!$K$6:$K$405,$AP2664),"#,##0")&amp;"円／申請書"&amp;TEXT($W2664,"#,##0")&amp;"円）／","")&amp;IF(AND(INDEX(職員マスタ!$F$6:$F$405,$AP2664)&lt;&gt;"",$AQ2664&lt;&gt;"",INDEX(職員マスタ!$F$6:$F$405,$AP2664)&lt;$AQ2664),"対象月に子が2歳到達済／","")&amp;IF(AND($H2664&lt;&gt;"",INDEX(職員マスタ!$B$6:$B$405,$AP2664)&lt;&gt;"",SUBSTITUTE(SUBSTITUTE($H2664," ","")," ","")&lt;&gt;SUBSTITUTE(SUBSTITUTE(INDEX(職員マスタ!$B$6:$B$405,$AP2664)," ","")," ","")),"氏名がマスタと相違／","")&amp;IF(AND($Q2664&lt;&gt;"",INDEX(職員マスタ!$E$6:$E$405,$AP2664)&lt;&gt;"",$Q2664&lt;&gt;INDEX(職員マスタ!$E$6:$E$405,$AP2664)),"子の生年月日がマスタと相違／","")&amp;IF(AND($L2664&lt;&gt;"",INDEX(職員マスタ!$G$6:$G$405,$AP2664)&lt;&gt;"",$L2664&lt;&gt;INDEX(職員マスタ!$G$6:$G$405,$AP2664)),"時短開始日がマスタと相違／","")&amp;IF(AND($M2664&lt;&gt;"",INDEX(職員マスタ!$H$6:$H$405,$AP2664)&lt;&gt;"",$M2664&lt;&gt;INDEX(職員マスタ!$H$6:$H$405,$AP2664)),"時短終了日がマスタと相違／","")))&amp;IF(AND($B2664&lt;&gt;"",$E2664=""),"報酬額が未入力／","")&amp;IF(N($U2664)&gt;0,"申請書に入力エラーが残っています／","")&amp;IF(AND($B2664&lt;&gt;"",$AQ2664&lt;&gt;""),IF(COUNTIFS($B$6:$B$3005,$B2664,$C$6:$C$3005,$C2664,$D$6:$D$3005,$D2664)&gt;1,"同じ月の請求が重複しています／",""),"")&amp;IF(AND(N($E2664)&gt;0,$AB2664&lt;&gt;"",$AB2664&lt;&gt;"×",$AE2664=0,$AD2664=""),"計算額が下限以下のため不支給／",""))</f>
        <v/>
      </c>
      <c r="AN2664" s="12" t="n"/>
      <c r="AO2664" s="14">
        <f>IF($AF2664="保留中",COUNTIF($AF$6:$AF2664,"保留中"),"")</f>
        <v/>
      </c>
      <c r="AP2664" s="14">
        <f>IF($AQ2664="","",IF(SUMPRODUCT(MAX((職員マスタ!$A$6:$A$405=$B2664)*(((職員マスタ!$G$6:$G$405="")+(職員マスタ!$G$6:$G$405&lt;=EOMONTH($AQ2664,0)))&gt;0)*(((職員マスタ!$H$6:$H$405="")+(職員マスタ!$H$6:$H$405&gt;=$AQ2664))&gt;0)*(ROW(職員マスタ!$A$6:$A$405)-5)))&gt;0,SUMPRODUCT(MAX((職員マスタ!$A$6:$A$405=$B2664)*(((職員マスタ!$G$6:$G$405="")+(職員マスタ!$G$6:$G$405&lt;=EOMONTH($AQ2664,0)))&gt;0)*(((職員マスタ!$H$6:$H$405="")+(職員マスタ!$H$6:$H$405&gt;=$AQ2664))&gt;0)*(ROW(職員マスタ!$A$6:$A$405)-5))),IFERROR(MATCH($B2664,職員マスタ!$A$6:$A$405,0),"")))</f>
        <v/>
      </c>
      <c r="AQ2664" s="16">
        <f>IF(OR($B2664="",$C2664="",$D2664=""),"",DATE($C2664+2018,$D2664,1))</f>
        <v/>
      </c>
    </row>
    <row r="2665">
      <c r="A2665" s="11" t="n"/>
      <c r="B2665" s="12" t="n"/>
      <c r="C2665" s="12" t="n"/>
      <c r="D2665" s="12" t="n"/>
      <c r="E2665" s="13" t="n"/>
      <c r="F2665" s="12" t="n"/>
      <c r="G2665" s="13" t="n"/>
      <c r="H2665" s="12" t="n"/>
      <c r="I2665" s="12" t="n"/>
      <c r="J2665" s="12" t="n"/>
      <c r="K2665" s="12" t="n"/>
      <c r="L2665" s="11" t="n"/>
      <c r="M2665" s="11" t="n"/>
      <c r="N2665" s="11" t="n"/>
      <c r="O2665" s="11" t="n"/>
      <c r="P2665" s="12" t="n"/>
      <c r="Q2665" s="11" t="n"/>
      <c r="R2665" s="12" t="n"/>
      <c r="S2665" s="11" t="n"/>
      <c r="T2665" s="12" t="n"/>
      <c r="U2665" s="12" t="n"/>
      <c r="V2665" s="12" t="n"/>
      <c r="W2665" s="13" t="n"/>
      <c r="X2665" s="14">
        <f>IF($AP2665="",IF($B2665="","",$H2665),IF(INDEX(職員マスタ!$B$6:$B$405,$AP2665)="",$H2665,INDEX(職員マスタ!$B$6:$B$405,$AP2665)))</f>
        <v/>
      </c>
      <c r="Y2665" s="14">
        <f>IF($AP2665="",IF($B2665="","",$R2665),IF(INDEX(職員マスタ!$C$6:$C$405,$AP2665)="",$R2665,INDEX(職員マスタ!$C$6:$C$405,$AP2665)))</f>
        <v/>
      </c>
      <c r="Z2665" s="14">
        <f>IF($AQ2665="","","R"&amp;$C2665&amp;"."&amp;$D2665)</f>
        <v/>
      </c>
      <c r="AA2665" s="15">
        <f>IF(IF($AP2665="",FALSE,INDEX(職員マスタ!$K$6:$K$405,$AP2665)&lt;&gt;""),INDEX(職員マスタ!$K$6:$K$405,$AP2665),IF(N($W2665)&gt;0,$W2665,""))</f>
        <v/>
      </c>
      <c r="AB2665" s="14">
        <f>IF(OR($E2665="",$AA2665=""),"",IF($E2665&gt;=$AA2665,"×",IF($E2665&gt;=$AA2665*設定!$C$5,"△","○")))</f>
        <v/>
      </c>
      <c r="AC2665" s="15">
        <f>IF($AB2665="","",IF($AB2665="×",0,IF($AB2665="○",ROUNDDOWN($E2665*設定!$C$4,0),ROUNDDOWN($E2665*ROUND((9*$AA2665-9*$E2665)/(10*$E2665),4),0))))</f>
        <v/>
      </c>
      <c r="AD2665" s="13" t="n"/>
      <c r="AE2665" s="15">
        <f>IF($B2665="","",IF($AD2665&lt;&gt;"",$AD2665,IF($AC2665="","",IF($AC2665&lt;=設定!$C$3,0,$AC2665))))</f>
        <v/>
      </c>
      <c r="AF2665" s="14">
        <f>IF($B2665="","",IF(AND($AG2665&lt;&gt;"",$AI2665="",$AL2665=""),"保留中",IF($AL2665&lt;&gt;"",IF(N($AE2665)&gt;0,"支給済","不支給"),IF($AE2665="","要確認",IF($AE2665=0,"不支給","未処理")))))</f>
        <v/>
      </c>
      <c r="AG2665" s="12" t="n"/>
      <c r="AH2665" s="11" t="n"/>
      <c r="AI2665" s="11" t="n"/>
      <c r="AJ2665" s="11" t="n"/>
      <c r="AK2665" s="14">
        <f>IF(AND($AF2665="保留中",$AH2665&lt;&gt;""),TODAY()-$AH2665,"")</f>
        <v/>
      </c>
      <c r="AL2665" s="12" t="n"/>
      <c r="AM2665" s="14">
        <f>IF($B2665="","",IF($AQ2665="","対象年月が未入力／","")&amp;IF($B2665="","",IF($AP2665="","職員マスタに未登録の職員番号／",IF($AA2665="","標準報酬月額が未登録／","")&amp;IF(AND($AQ2665&lt;&gt;"",OR(AND(INDEX(職員マスタ!$G$6:$G$405,$AP2665)&lt;&gt;"",INDEX(職員マスタ!$G$6:$G$405,$AP2665)&gt;EOMONTH($AQ2665,0)),AND(INDEX(職員マスタ!$H$6:$H$405,$AP2665)&lt;&gt;"",INDEX(職員マスタ!$H$6:$H$405,$AP2665)&lt;$AQ2665))),"対象月が時短期間外／","")&amp;IF(AND(INDEX(職員マスタ!$K$6:$K$405,$AP2665)&lt;&gt;"",N($W2665)&gt;0,INDEX(職員マスタ!$K$6:$K$405,$AP2665)&lt;&gt;$W2665),"標準報酬月額が申請書と相違（台帳"&amp;TEXT(INDEX(職員マスタ!$K$6:$K$405,$AP2665),"#,##0")&amp;"円／申請書"&amp;TEXT($W2665,"#,##0")&amp;"円）／","")&amp;IF(AND(INDEX(職員マスタ!$F$6:$F$405,$AP2665)&lt;&gt;"",$AQ2665&lt;&gt;"",INDEX(職員マスタ!$F$6:$F$405,$AP2665)&lt;$AQ2665),"対象月に子が2歳到達済／","")&amp;IF(AND($H2665&lt;&gt;"",INDEX(職員マスタ!$B$6:$B$405,$AP2665)&lt;&gt;"",SUBSTITUTE(SUBSTITUTE($H2665," ","")," ","")&lt;&gt;SUBSTITUTE(SUBSTITUTE(INDEX(職員マスタ!$B$6:$B$405,$AP2665)," ","")," ","")),"氏名がマスタと相違／","")&amp;IF(AND($Q2665&lt;&gt;"",INDEX(職員マスタ!$E$6:$E$405,$AP2665)&lt;&gt;"",$Q2665&lt;&gt;INDEX(職員マスタ!$E$6:$E$405,$AP2665)),"子の生年月日がマスタと相違／","")&amp;IF(AND($L2665&lt;&gt;"",INDEX(職員マスタ!$G$6:$G$405,$AP2665)&lt;&gt;"",$L2665&lt;&gt;INDEX(職員マスタ!$G$6:$G$405,$AP2665)),"時短開始日がマスタと相違／","")&amp;IF(AND($M2665&lt;&gt;"",INDEX(職員マスタ!$H$6:$H$405,$AP2665)&lt;&gt;"",$M2665&lt;&gt;INDEX(職員マスタ!$H$6:$H$405,$AP2665)),"時短終了日がマスタと相違／","")))&amp;IF(AND($B2665&lt;&gt;"",$E2665=""),"報酬額が未入力／","")&amp;IF(N($U2665)&gt;0,"申請書に入力エラーが残っています／","")&amp;IF(AND($B2665&lt;&gt;"",$AQ2665&lt;&gt;""),IF(COUNTIFS($B$6:$B$3005,$B2665,$C$6:$C$3005,$C2665,$D$6:$D$3005,$D2665)&gt;1,"同じ月の請求が重複しています／",""),"")&amp;IF(AND(N($E2665)&gt;0,$AB2665&lt;&gt;"",$AB2665&lt;&gt;"×",$AE2665=0,$AD2665=""),"計算額が下限以下のため不支給／",""))</f>
        <v/>
      </c>
      <c r="AN2665" s="12" t="n"/>
      <c r="AO2665" s="14">
        <f>IF($AF2665="保留中",COUNTIF($AF$6:$AF2665,"保留中"),"")</f>
        <v/>
      </c>
      <c r="AP2665" s="14">
        <f>IF($AQ2665="","",IF(SUMPRODUCT(MAX((職員マスタ!$A$6:$A$405=$B2665)*(((職員マスタ!$G$6:$G$405="")+(職員マスタ!$G$6:$G$405&lt;=EOMONTH($AQ2665,0)))&gt;0)*(((職員マスタ!$H$6:$H$405="")+(職員マスタ!$H$6:$H$405&gt;=$AQ2665))&gt;0)*(ROW(職員マスタ!$A$6:$A$405)-5)))&gt;0,SUMPRODUCT(MAX((職員マスタ!$A$6:$A$405=$B2665)*(((職員マスタ!$G$6:$G$405="")+(職員マスタ!$G$6:$G$405&lt;=EOMONTH($AQ2665,0)))&gt;0)*(((職員マスタ!$H$6:$H$405="")+(職員マスタ!$H$6:$H$405&gt;=$AQ2665))&gt;0)*(ROW(職員マスタ!$A$6:$A$405)-5))),IFERROR(MATCH($B2665,職員マスタ!$A$6:$A$405,0),"")))</f>
        <v/>
      </c>
      <c r="AQ2665" s="16">
        <f>IF(OR($B2665="",$C2665="",$D2665=""),"",DATE($C2665+2018,$D2665,1))</f>
        <v/>
      </c>
    </row>
    <row r="2666">
      <c r="A2666" s="11" t="n"/>
      <c r="B2666" s="12" t="n"/>
      <c r="C2666" s="12" t="n"/>
      <c r="D2666" s="12" t="n"/>
      <c r="E2666" s="13" t="n"/>
      <c r="F2666" s="12" t="n"/>
      <c r="G2666" s="13" t="n"/>
      <c r="H2666" s="12" t="n"/>
      <c r="I2666" s="12" t="n"/>
      <c r="J2666" s="12" t="n"/>
      <c r="K2666" s="12" t="n"/>
      <c r="L2666" s="11" t="n"/>
      <c r="M2666" s="11" t="n"/>
      <c r="N2666" s="11" t="n"/>
      <c r="O2666" s="11" t="n"/>
      <c r="P2666" s="12" t="n"/>
      <c r="Q2666" s="11" t="n"/>
      <c r="R2666" s="12" t="n"/>
      <c r="S2666" s="11" t="n"/>
      <c r="T2666" s="12" t="n"/>
      <c r="U2666" s="12" t="n"/>
      <c r="V2666" s="12" t="n"/>
      <c r="W2666" s="13" t="n"/>
      <c r="X2666" s="14">
        <f>IF($AP2666="",IF($B2666="","",$H2666),IF(INDEX(職員マスタ!$B$6:$B$405,$AP2666)="",$H2666,INDEX(職員マスタ!$B$6:$B$405,$AP2666)))</f>
        <v/>
      </c>
      <c r="Y2666" s="14">
        <f>IF($AP2666="",IF($B2666="","",$R2666),IF(INDEX(職員マスタ!$C$6:$C$405,$AP2666)="",$R2666,INDEX(職員マスタ!$C$6:$C$405,$AP2666)))</f>
        <v/>
      </c>
      <c r="Z2666" s="14">
        <f>IF($AQ2666="","","R"&amp;$C2666&amp;"."&amp;$D2666)</f>
        <v/>
      </c>
      <c r="AA2666" s="15">
        <f>IF(IF($AP2666="",FALSE,INDEX(職員マスタ!$K$6:$K$405,$AP2666)&lt;&gt;""),INDEX(職員マスタ!$K$6:$K$405,$AP2666),IF(N($W2666)&gt;0,$W2666,""))</f>
        <v/>
      </c>
      <c r="AB2666" s="14">
        <f>IF(OR($E2666="",$AA2666=""),"",IF($E2666&gt;=$AA2666,"×",IF($E2666&gt;=$AA2666*設定!$C$5,"△","○")))</f>
        <v/>
      </c>
      <c r="AC2666" s="15">
        <f>IF($AB2666="","",IF($AB2666="×",0,IF($AB2666="○",ROUNDDOWN($E2666*設定!$C$4,0),ROUNDDOWN($E2666*ROUND((9*$AA2666-9*$E2666)/(10*$E2666),4),0))))</f>
        <v/>
      </c>
      <c r="AD2666" s="13" t="n"/>
      <c r="AE2666" s="15">
        <f>IF($B2666="","",IF($AD2666&lt;&gt;"",$AD2666,IF($AC2666="","",IF($AC2666&lt;=設定!$C$3,0,$AC2666))))</f>
        <v/>
      </c>
      <c r="AF2666" s="14">
        <f>IF($B2666="","",IF(AND($AG2666&lt;&gt;"",$AI2666="",$AL2666=""),"保留中",IF($AL2666&lt;&gt;"",IF(N($AE2666)&gt;0,"支給済","不支給"),IF($AE2666="","要確認",IF($AE2666=0,"不支給","未処理")))))</f>
        <v/>
      </c>
      <c r="AG2666" s="12" t="n"/>
      <c r="AH2666" s="11" t="n"/>
      <c r="AI2666" s="11" t="n"/>
      <c r="AJ2666" s="11" t="n"/>
      <c r="AK2666" s="14">
        <f>IF(AND($AF2666="保留中",$AH2666&lt;&gt;""),TODAY()-$AH2666,"")</f>
        <v/>
      </c>
      <c r="AL2666" s="12" t="n"/>
      <c r="AM2666" s="14">
        <f>IF($B2666="","",IF($AQ2666="","対象年月が未入力／","")&amp;IF($B2666="","",IF($AP2666="","職員マスタに未登録の職員番号／",IF($AA2666="","標準報酬月額が未登録／","")&amp;IF(AND($AQ2666&lt;&gt;"",OR(AND(INDEX(職員マスタ!$G$6:$G$405,$AP2666)&lt;&gt;"",INDEX(職員マスタ!$G$6:$G$405,$AP2666)&gt;EOMONTH($AQ2666,0)),AND(INDEX(職員マスタ!$H$6:$H$405,$AP2666)&lt;&gt;"",INDEX(職員マスタ!$H$6:$H$405,$AP2666)&lt;$AQ2666))),"対象月が時短期間外／","")&amp;IF(AND(INDEX(職員マスタ!$K$6:$K$405,$AP2666)&lt;&gt;"",N($W2666)&gt;0,INDEX(職員マスタ!$K$6:$K$405,$AP2666)&lt;&gt;$W2666),"標準報酬月額が申請書と相違（台帳"&amp;TEXT(INDEX(職員マスタ!$K$6:$K$405,$AP2666),"#,##0")&amp;"円／申請書"&amp;TEXT($W2666,"#,##0")&amp;"円）／","")&amp;IF(AND(INDEX(職員マスタ!$F$6:$F$405,$AP2666)&lt;&gt;"",$AQ2666&lt;&gt;"",INDEX(職員マスタ!$F$6:$F$405,$AP2666)&lt;$AQ2666),"対象月に子が2歳到達済／","")&amp;IF(AND($H2666&lt;&gt;"",INDEX(職員マスタ!$B$6:$B$405,$AP2666)&lt;&gt;"",SUBSTITUTE(SUBSTITUTE($H2666," ","")," ","")&lt;&gt;SUBSTITUTE(SUBSTITUTE(INDEX(職員マスタ!$B$6:$B$405,$AP2666)," ","")," ","")),"氏名がマスタと相違／","")&amp;IF(AND($Q2666&lt;&gt;"",INDEX(職員マスタ!$E$6:$E$405,$AP2666)&lt;&gt;"",$Q2666&lt;&gt;INDEX(職員マスタ!$E$6:$E$405,$AP2666)),"子の生年月日がマスタと相違／","")&amp;IF(AND($L2666&lt;&gt;"",INDEX(職員マスタ!$G$6:$G$405,$AP2666)&lt;&gt;"",$L2666&lt;&gt;INDEX(職員マスタ!$G$6:$G$405,$AP2666)),"時短開始日がマスタと相違／","")&amp;IF(AND($M2666&lt;&gt;"",INDEX(職員マスタ!$H$6:$H$405,$AP2666)&lt;&gt;"",$M2666&lt;&gt;INDEX(職員マスタ!$H$6:$H$405,$AP2666)),"時短終了日がマスタと相違／","")))&amp;IF(AND($B2666&lt;&gt;"",$E2666=""),"報酬額が未入力／","")&amp;IF(N($U2666)&gt;0,"申請書に入力エラーが残っています／","")&amp;IF(AND($B2666&lt;&gt;"",$AQ2666&lt;&gt;""),IF(COUNTIFS($B$6:$B$3005,$B2666,$C$6:$C$3005,$C2666,$D$6:$D$3005,$D2666)&gt;1,"同じ月の請求が重複しています／",""),"")&amp;IF(AND(N($E2666)&gt;0,$AB2666&lt;&gt;"",$AB2666&lt;&gt;"×",$AE2666=0,$AD2666=""),"計算額が下限以下のため不支給／",""))</f>
        <v/>
      </c>
      <c r="AN2666" s="12" t="n"/>
      <c r="AO2666" s="14">
        <f>IF($AF2666="保留中",COUNTIF($AF$6:$AF2666,"保留中"),"")</f>
        <v/>
      </c>
      <c r="AP2666" s="14">
        <f>IF($AQ2666="","",IF(SUMPRODUCT(MAX((職員マスタ!$A$6:$A$405=$B2666)*(((職員マスタ!$G$6:$G$405="")+(職員マスタ!$G$6:$G$405&lt;=EOMONTH($AQ2666,0)))&gt;0)*(((職員マスタ!$H$6:$H$405="")+(職員マスタ!$H$6:$H$405&gt;=$AQ2666))&gt;0)*(ROW(職員マスタ!$A$6:$A$405)-5)))&gt;0,SUMPRODUCT(MAX((職員マスタ!$A$6:$A$405=$B2666)*(((職員マスタ!$G$6:$G$405="")+(職員マスタ!$G$6:$G$405&lt;=EOMONTH($AQ2666,0)))&gt;0)*(((職員マスタ!$H$6:$H$405="")+(職員マスタ!$H$6:$H$405&gt;=$AQ2666))&gt;0)*(ROW(職員マスタ!$A$6:$A$405)-5))),IFERROR(MATCH($B2666,職員マスタ!$A$6:$A$405,0),"")))</f>
        <v/>
      </c>
      <c r="AQ2666" s="16">
        <f>IF(OR($B2666="",$C2666="",$D2666=""),"",DATE($C2666+2018,$D2666,1))</f>
        <v/>
      </c>
    </row>
    <row r="2667">
      <c r="A2667" s="11" t="n"/>
      <c r="B2667" s="12" t="n"/>
      <c r="C2667" s="12" t="n"/>
      <c r="D2667" s="12" t="n"/>
      <c r="E2667" s="13" t="n"/>
      <c r="F2667" s="12" t="n"/>
      <c r="G2667" s="13" t="n"/>
      <c r="H2667" s="12" t="n"/>
      <c r="I2667" s="12" t="n"/>
      <c r="J2667" s="12" t="n"/>
      <c r="K2667" s="12" t="n"/>
      <c r="L2667" s="11" t="n"/>
      <c r="M2667" s="11" t="n"/>
      <c r="N2667" s="11" t="n"/>
      <c r="O2667" s="11" t="n"/>
      <c r="P2667" s="12" t="n"/>
      <c r="Q2667" s="11" t="n"/>
      <c r="R2667" s="12" t="n"/>
      <c r="S2667" s="11" t="n"/>
      <c r="T2667" s="12" t="n"/>
      <c r="U2667" s="12" t="n"/>
      <c r="V2667" s="12" t="n"/>
      <c r="W2667" s="13" t="n"/>
      <c r="X2667" s="14">
        <f>IF($AP2667="",IF($B2667="","",$H2667),IF(INDEX(職員マスタ!$B$6:$B$405,$AP2667)="",$H2667,INDEX(職員マスタ!$B$6:$B$405,$AP2667)))</f>
        <v/>
      </c>
      <c r="Y2667" s="14">
        <f>IF($AP2667="",IF($B2667="","",$R2667),IF(INDEX(職員マスタ!$C$6:$C$405,$AP2667)="",$R2667,INDEX(職員マスタ!$C$6:$C$405,$AP2667)))</f>
        <v/>
      </c>
      <c r="Z2667" s="14">
        <f>IF($AQ2667="","","R"&amp;$C2667&amp;"."&amp;$D2667)</f>
        <v/>
      </c>
      <c r="AA2667" s="15">
        <f>IF(IF($AP2667="",FALSE,INDEX(職員マスタ!$K$6:$K$405,$AP2667)&lt;&gt;""),INDEX(職員マスタ!$K$6:$K$405,$AP2667),IF(N($W2667)&gt;0,$W2667,""))</f>
        <v/>
      </c>
      <c r="AB2667" s="14">
        <f>IF(OR($E2667="",$AA2667=""),"",IF($E2667&gt;=$AA2667,"×",IF($E2667&gt;=$AA2667*設定!$C$5,"△","○")))</f>
        <v/>
      </c>
      <c r="AC2667" s="15">
        <f>IF($AB2667="","",IF($AB2667="×",0,IF($AB2667="○",ROUNDDOWN($E2667*設定!$C$4,0),ROUNDDOWN($E2667*ROUND((9*$AA2667-9*$E2667)/(10*$E2667),4),0))))</f>
        <v/>
      </c>
      <c r="AD2667" s="13" t="n"/>
      <c r="AE2667" s="15">
        <f>IF($B2667="","",IF($AD2667&lt;&gt;"",$AD2667,IF($AC2667="","",IF($AC2667&lt;=設定!$C$3,0,$AC2667))))</f>
        <v/>
      </c>
      <c r="AF2667" s="14">
        <f>IF($B2667="","",IF(AND($AG2667&lt;&gt;"",$AI2667="",$AL2667=""),"保留中",IF($AL2667&lt;&gt;"",IF(N($AE2667)&gt;0,"支給済","不支給"),IF($AE2667="","要確認",IF($AE2667=0,"不支給","未処理")))))</f>
        <v/>
      </c>
      <c r="AG2667" s="12" t="n"/>
      <c r="AH2667" s="11" t="n"/>
      <c r="AI2667" s="11" t="n"/>
      <c r="AJ2667" s="11" t="n"/>
      <c r="AK2667" s="14">
        <f>IF(AND($AF2667="保留中",$AH2667&lt;&gt;""),TODAY()-$AH2667,"")</f>
        <v/>
      </c>
      <c r="AL2667" s="12" t="n"/>
      <c r="AM2667" s="14">
        <f>IF($B2667="","",IF($AQ2667="","対象年月が未入力／","")&amp;IF($B2667="","",IF($AP2667="","職員マスタに未登録の職員番号／",IF($AA2667="","標準報酬月額が未登録／","")&amp;IF(AND($AQ2667&lt;&gt;"",OR(AND(INDEX(職員マスタ!$G$6:$G$405,$AP2667)&lt;&gt;"",INDEX(職員マスタ!$G$6:$G$405,$AP2667)&gt;EOMONTH($AQ2667,0)),AND(INDEX(職員マスタ!$H$6:$H$405,$AP2667)&lt;&gt;"",INDEX(職員マスタ!$H$6:$H$405,$AP2667)&lt;$AQ2667))),"対象月が時短期間外／","")&amp;IF(AND(INDEX(職員マスタ!$K$6:$K$405,$AP2667)&lt;&gt;"",N($W2667)&gt;0,INDEX(職員マスタ!$K$6:$K$405,$AP2667)&lt;&gt;$W2667),"標準報酬月額が申請書と相違（台帳"&amp;TEXT(INDEX(職員マスタ!$K$6:$K$405,$AP2667),"#,##0")&amp;"円／申請書"&amp;TEXT($W2667,"#,##0")&amp;"円）／","")&amp;IF(AND(INDEX(職員マスタ!$F$6:$F$405,$AP2667)&lt;&gt;"",$AQ2667&lt;&gt;"",INDEX(職員マスタ!$F$6:$F$405,$AP2667)&lt;$AQ2667),"対象月に子が2歳到達済／","")&amp;IF(AND($H2667&lt;&gt;"",INDEX(職員マスタ!$B$6:$B$405,$AP2667)&lt;&gt;"",SUBSTITUTE(SUBSTITUTE($H2667," ","")," ","")&lt;&gt;SUBSTITUTE(SUBSTITUTE(INDEX(職員マスタ!$B$6:$B$405,$AP2667)," ","")," ","")),"氏名がマスタと相違／","")&amp;IF(AND($Q2667&lt;&gt;"",INDEX(職員マスタ!$E$6:$E$405,$AP2667)&lt;&gt;"",$Q2667&lt;&gt;INDEX(職員マスタ!$E$6:$E$405,$AP2667)),"子の生年月日がマスタと相違／","")&amp;IF(AND($L2667&lt;&gt;"",INDEX(職員マスタ!$G$6:$G$405,$AP2667)&lt;&gt;"",$L2667&lt;&gt;INDEX(職員マスタ!$G$6:$G$405,$AP2667)),"時短開始日がマスタと相違／","")&amp;IF(AND($M2667&lt;&gt;"",INDEX(職員マスタ!$H$6:$H$405,$AP2667)&lt;&gt;"",$M2667&lt;&gt;INDEX(職員マスタ!$H$6:$H$405,$AP2667)),"時短終了日がマスタと相違／","")))&amp;IF(AND($B2667&lt;&gt;"",$E2667=""),"報酬額が未入力／","")&amp;IF(N($U2667)&gt;0,"申請書に入力エラーが残っています／","")&amp;IF(AND($B2667&lt;&gt;"",$AQ2667&lt;&gt;""),IF(COUNTIFS($B$6:$B$3005,$B2667,$C$6:$C$3005,$C2667,$D$6:$D$3005,$D2667)&gt;1,"同じ月の請求が重複しています／",""),"")&amp;IF(AND(N($E2667)&gt;0,$AB2667&lt;&gt;"",$AB2667&lt;&gt;"×",$AE2667=0,$AD2667=""),"計算額が下限以下のため不支給／",""))</f>
        <v/>
      </c>
      <c r="AN2667" s="12" t="n"/>
      <c r="AO2667" s="14">
        <f>IF($AF2667="保留中",COUNTIF($AF$6:$AF2667,"保留中"),"")</f>
        <v/>
      </c>
      <c r="AP2667" s="14">
        <f>IF($AQ2667="","",IF(SUMPRODUCT(MAX((職員マスタ!$A$6:$A$405=$B2667)*(((職員マスタ!$G$6:$G$405="")+(職員マスタ!$G$6:$G$405&lt;=EOMONTH($AQ2667,0)))&gt;0)*(((職員マスタ!$H$6:$H$405="")+(職員マスタ!$H$6:$H$405&gt;=$AQ2667))&gt;0)*(ROW(職員マスタ!$A$6:$A$405)-5)))&gt;0,SUMPRODUCT(MAX((職員マスタ!$A$6:$A$405=$B2667)*(((職員マスタ!$G$6:$G$405="")+(職員マスタ!$G$6:$G$405&lt;=EOMONTH($AQ2667,0)))&gt;0)*(((職員マスタ!$H$6:$H$405="")+(職員マスタ!$H$6:$H$405&gt;=$AQ2667))&gt;0)*(ROW(職員マスタ!$A$6:$A$405)-5))),IFERROR(MATCH($B2667,職員マスタ!$A$6:$A$405,0),"")))</f>
        <v/>
      </c>
      <c r="AQ2667" s="16">
        <f>IF(OR($B2667="",$C2667="",$D2667=""),"",DATE($C2667+2018,$D2667,1))</f>
        <v/>
      </c>
    </row>
    <row r="2668">
      <c r="A2668" s="11" t="n"/>
      <c r="B2668" s="12" t="n"/>
      <c r="C2668" s="12" t="n"/>
      <c r="D2668" s="12" t="n"/>
      <c r="E2668" s="13" t="n"/>
      <c r="F2668" s="12" t="n"/>
      <c r="G2668" s="13" t="n"/>
      <c r="H2668" s="12" t="n"/>
      <c r="I2668" s="12" t="n"/>
      <c r="J2668" s="12" t="n"/>
      <c r="K2668" s="12" t="n"/>
      <c r="L2668" s="11" t="n"/>
      <c r="M2668" s="11" t="n"/>
      <c r="N2668" s="11" t="n"/>
      <c r="O2668" s="11" t="n"/>
      <c r="P2668" s="12" t="n"/>
      <c r="Q2668" s="11" t="n"/>
      <c r="R2668" s="12" t="n"/>
      <c r="S2668" s="11" t="n"/>
      <c r="T2668" s="12" t="n"/>
      <c r="U2668" s="12" t="n"/>
      <c r="V2668" s="12" t="n"/>
      <c r="W2668" s="13" t="n"/>
      <c r="X2668" s="14">
        <f>IF($AP2668="",IF($B2668="","",$H2668),IF(INDEX(職員マスタ!$B$6:$B$405,$AP2668)="",$H2668,INDEX(職員マスタ!$B$6:$B$405,$AP2668)))</f>
        <v/>
      </c>
      <c r="Y2668" s="14">
        <f>IF($AP2668="",IF($B2668="","",$R2668),IF(INDEX(職員マスタ!$C$6:$C$405,$AP2668)="",$R2668,INDEX(職員マスタ!$C$6:$C$405,$AP2668)))</f>
        <v/>
      </c>
      <c r="Z2668" s="14">
        <f>IF($AQ2668="","","R"&amp;$C2668&amp;"."&amp;$D2668)</f>
        <v/>
      </c>
      <c r="AA2668" s="15">
        <f>IF(IF($AP2668="",FALSE,INDEX(職員マスタ!$K$6:$K$405,$AP2668)&lt;&gt;""),INDEX(職員マスタ!$K$6:$K$405,$AP2668),IF(N($W2668)&gt;0,$W2668,""))</f>
        <v/>
      </c>
      <c r="AB2668" s="14">
        <f>IF(OR($E2668="",$AA2668=""),"",IF($E2668&gt;=$AA2668,"×",IF($E2668&gt;=$AA2668*設定!$C$5,"△","○")))</f>
        <v/>
      </c>
      <c r="AC2668" s="15">
        <f>IF($AB2668="","",IF($AB2668="×",0,IF($AB2668="○",ROUNDDOWN($E2668*設定!$C$4,0),ROUNDDOWN($E2668*ROUND((9*$AA2668-9*$E2668)/(10*$E2668),4),0))))</f>
        <v/>
      </c>
      <c r="AD2668" s="13" t="n"/>
      <c r="AE2668" s="15">
        <f>IF($B2668="","",IF($AD2668&lt;&gt;"",$AD2668,IF($AC2668="","",IF($AC2668&lt;=設定!$C$3,0,$AC2668))))</f>
        <v/>
      </c>
      <c r="AF2668" s="14">
        <f>IF($B2668="","",IF(AND($AG2668&lt;&gt;"",$AI2668="",$AL2668=""),"保留中",IF($AL2668&lt;&gt;"",IF(N($AE2668)&gt;0,"支給済","不支給"),IF($AE2668="","要確認",IF($AE2668=0,"不支給","未処理")))))</f>
        <v/>
      </c>
      <c r="AG2668" s="12" t="n"/>
      <c r="AH2668" s="11" t="n"/>
      <c r="AI2668" s="11" t="n"/>
      <c r="AJ2668" s="11" t="n"/>
      <c r="AK2668" s="14">
        <f>IF(AND($AF2668="保留中",$AH2668&lt;&gt;""),TODAY()-$AH2668,"")</f>
        <v/>
      </c>
      <c r="AL2668" s="12" t="n"/>
      <c r="AM2668" s="14">
        <f>IF($B2668="","",IF($AQ2668="","対象年月が未入力／","")&amp;IF($B2668="","",IF($AP2668="","職員マスタに未登録の職員番号／",IF($AA2668="","標準報酬月額が未登録／","")&amp;IF(AND($AQ2668&lt;&gt;"",OR(AND(INDEX(職員マスタ!$G$6:$G$405,$AP2668)&lt;&gt;"",INDEX(職員マスタ!$G$6:$G$405,$AP2668)&gt;EOMONTH($AQ2668,0)),AND(INDEX(職員マスタ!$H$6:$H$405,$AP2668)&lt;&gt;"",INDEX(職員マスタ!$H$6:$H$405,$AP2668)&lt;$AQ2668))),"対象月が時短期間外／","")&amp;IF(AND(INDEX(職員マスタ!$K$6:$K$405,$AP2668)&lt;&gt;"",N($W2668)&gt;0,INDEX(職員マスタ!$K$6:$K$405,$AP2668)&lt;&gt;$W2668),"標準報酬月額が申請書と相違（台帳"&amp;TEXT(INDEX(職員マスタ!$K$6:$K$405,$AP2668),"#,##0")&amp;"円／申請書"&amp;TEXT($W2668,"#,##0")&amp;"円）／","")&amp;IF(AND(INDEX(職員マスタ!$F$6:$F$405,$AP2668)&lt;&gt;"",$AQ2668&lt;&gt;"",INDEX(職員マスタ!$F$6:$F$405,$AP2668)&lt;$AQ2668),"対象月に子が2歳到達済／","")&amp;IF(AND($H2668&lt;&gt;"",INDEX(職員マスタ!$B$6:$B$405,$AP2668)&lt;&gt;"",SUBSTITUTE(SUBSTITUTE($H2668," ","")," ","")&lt;&gt;SUBSTITUTE(SUBSTITUTE(INDEX(職員マスタ!$B$6:$B$405,$AP2668)," ","")," ","")),"氏名がマスタと相違／","")&amp;IF(AND($Q2668&lt;&gt;"",INDEX(職員マスタ!$E$6:$E$405,$AP2668)&lt;&gt;"",$Q2668&lt;&gt;INDEX(職員マスタ!$E$6:$E$405,$AP2668)),"子の生年月日がマスタと相違／","")&amp;IF(AND($L2668&lt;&gt;"",INDEX(職員マスタ!$G$6:$G$405,$AP2668)&lt;&gt;"",$L2668&lt;&gt;INDEX(職員マスタ!$G$6:$G$405,$AP2668)),"時短開始日がマスタと相違／","")&amp;IF(AND($M2668&lt;&gt;"",INDEX(職員マスタ!$H$6:$H$405,$AP2668)&lt;&gt;"",$M2668&lt;&gt;INDEX(職員マスタ!$H$6:$H$405,$AP2668)),"時短終了日がマスタと相違／","")))&amp;IF(AND($B2668&lt;&gt;"",$E2668=""),"報酬額が未入力／","")&amp;IF(N($U2668)&gt;0,"申請書に入力エラーが残っています／","")&amp;IF(AND($B2668&lt;&gt;"",$AQ2668&lt;&gt;""),IF(COUNTIFS($B$6:$B$3005,$B2668,$C$6:$C$3005,$C2668,$D$6:$D$3005,$D2668)&gt;1,"同じ月の請求が重複しています／",""),"")&amp;IF(AND(N($E2668)&gt;0,$AB2668&lt;&gt;"",$AB2668&lt;&gt;"×",$AE2668=0,$AD2668=""),"計算額が下限以下のため不支給／",""))</f>
        <v/>
      </c>
      <c r="AN2668" s="12" t="n"/>
      <c r="AO2668" s="14">
        <f>IF($AF2668="保留中",COUNTIF($AF$6:$AF2668,"保留中"),"")</f>
        <v/>
      </c>
      <c r="AP2668" s="14">
        <f>IF($AQ2668="","",IF(SUMPRODUCT(MAX((職員マスタ!$A$6:$A$405=$B2668)*(((職員マスタ!$G$6:$G$405="")+(職員マスタ!$G$6:$G$405&lt;=EOMONTH($AQ2668,0)))&gt;0)*(((職員マスタ!$H$6:$H$405="")+(職員マスタ!$H$6:$H$405&gt;=$AQ2668))&gt;0)*(ROW(職員マスタ!$A$6:$A$405)-5)))&gt;0,SUMPRODUCT(MAX((職員マスタ!$A$6:$A$405=$B2668)*(((職員マスタ!$G$6:$G$405="")+(職員マスタ!$G$6:$G$405&lt;=EOMONTH($AQ2668,0)))&gt;0)*(((職員マスタ!$H$6:$H$405="")+(職員マスタ!$H$6:$H$405&gt;=$AQ2668))&gt;0)*(ROW(職員マスタ!$A$6:$A$405)-5))),IFERROR(MATCH($B2668,職員マスタ!$A$6:$A$405,0),"")))</f>
        <v/>
      </c>
      <c r="AQ2668" s="16">
        <f>IF(OR($B2668="",$C2668="",$D2668=""),"",DATE($C2668+2018,$D2668,1))</f>
        <v/>
      </c>
    </row>
    <row r="2669">
      <c r="A2669" s="11" t="n"/>
      <c r="B2669" s="12" t="n"/>
      <c r="C2669" s="12" t="n"/>
      <c r="D2669" s="12" t="n"/>
      <c r="E2669" s="13" t="n"/>
      <c r="F2669" s="12" t="n"/>
      <c r="G2669" s="13" t="n"/>
      <c r="H2669" s="12" t="n"/>
      <c r="I2669" s="12" t="n"/>
      <c r="J2669" s="12" t="n"/>
      <c r="K2669" s="12" t="n"/>
      <c r="L2669" s="11" t="n"/>
      <c r="M2669" s="11" t="n"/>
      <c r="N2669" s="11" t="n"/>
      <c r="O2669" s="11" t="n"/>
      <c r="P2669" s="12" t="n"/>
      <c r="Q2669" s="11" t="n"/>
      <c r="R2669" s="12" t="n"/>
      <c r="S2669" s="11" t="n"/>
      <c r="T2669" s="12" t="n"/>
      <c r="U2669" s="12" t="n"/>
      <c r="V2669" s="12" t="n"/>
      <c r="W2669" s="13" t="n"/>
      <c r="X2669" s="14">
        <f>IF($AP2669="",IF($B2669="","",$H2669),IF(INDEX(職員マスタ!$B$6:$B$405,$AP2669)="",$H2669,INDEX(職員マスタ!$B$6:$B$405,$AP2669)))</f>
        <v/>
      </c>
      <c r="Y2669" s="14">
        <f>IF($AP2669="",IF($B2669="","",$R2669),IF(INDEX(職員マスタ!$C$6:$C$405,$AP2669)="",$R2669,INDEX(職員マスタ!$C$6:$C$405,$AP2669)))</f>
        <v/>
      </c>
      <c r="Z2669" s="14">
        <f>IF($AQ2669="","","R"&amp;$C2669&amp;"."&amp;$D2669)</f>
        <v/>
      </c>
      <c r="AA2669" s="15">
        <f>IF(IF($AP2669="",FALSE,INDEX(職員マスタ!$K$6:$K$405,$AP2669)&lt;&gt;""),INDEX(職員マスタ!$K$6:$K$405,$AP2669),IF(N($W2669)&gt;0,$W2669,""))</f>
        <v/>
      </c>
      <c r="AB2669" s="14">
        <f>IF(OR($E2669="",$AA2669=""),"",IF($E2669&gt;=$AA2669,"×",IF($E2669&gt;=$AA2669*設定!$C$5,"△","○")))</f>
        <v/>
      </c>
      <c r="AC2669" s="15">
        <f>IF($AB2669="","",IF($AB2669="×",0,IF($AB2669="○",ROUNDDOWN($E2669*設定!$C$4,0),ROUNDDOWN($E2669*ROUND((9*$AA2669-9*$E2669)/(10*$E2669),4),0))))</f>
        <v/>
      </c>
      <c r="AD2669" s="13" t="n"/>
      <c r="AE2669" s="15">
        <f>IF($B2669="","",IF($AD2669&lt;&gt;"",$AD2669,IF($AC2669="","",IF($AC2669&lt;=設定!$C$3,0,$AC2669))))</f>
        <v/>
      </c>
      <c r="AF2669" s="14">
        <f>IF($B2669="","",IF(AND($AG2669&lt;&gt;"",$AI2669="",$AL2669=""),"保留中",IF($AL2669&lt;&gt;"",IF(N($AE2669)&gt;0,"支給済","不支給"),IF($AE2669="","要確認",IF($AE2669=0,"不支給","未処理")))))</f>
        <v/>
      </c>
      <c r="AG2669" s="12" t="n"/>
      <c r="AH2669" s="11" t="n"/>
      <c r="AI2669" s="11" t="n"/>
      <c r="AJ2669" s="11" t="n"/>
      <c r="AK2669" s="14">
        <f>IF(AND($AF2669="保留中",$AH2669&lt;&gt;""),TODAY()-$AH2669,"")</f>
        <v/>
      </c>
      <c r="AL2669" s="12" t="n"/>
      <c r="AM2669" s="14">
        <f>IF($B2669="","",IF($AQ2669="","対象年月が未入力／","")&amp;IF($B2669="","",IF($AP2669="","職員マスタに未登録の職員番号／",IF($AA2669="","標準報酬月額が未登録／","")&amp;IF(AND($AQ2669&lt;&gt;"",OR(AND(INDEX(職員マスタ!$G$6:$G$405,$AP2669)&lt;&gt;"",INDEX(職員マスタ!$G$6:$G$405,$AP2669)&gt;EOMONTH($AQ2669,0)),AND(INDEX(職員マスタ!$H$6:$H$405,$AP2669)&lt;&gt;"",INDEX(職員マスタ!$H$6:$H$405,$AP2669)&lt;$AQ2669))),"対象月が時短期間外／","")&amp;IF(AND(INDEX(職員マスタ!$K$6:$K$405,$AP2669)&lt;&gt;"",N($W2669)&gt;0,INDEX(職員マスタ!$K$6:$K$405,$AP2669)&lt;&gt;$W2669),"標準報酬月額が申請書と相違（台帳"&amp;TEXT(INDEX(職員マスタ!$K$6:$K$405,$AP2669),"#,##0")&amp;"円／申請書"&amp;TEXT($W2669,"#,##0")&amp;"円）／","")&amp;IF(AND(INDEX(職員マスタ!$F$6:$F$405,$AP2669)&lt;&gt;"",$AQ2669&lt;&gt;"",INDEX(職員マスタ!$F$6:$F$405,$AP2669)&lt;$AQ2669),"対象月に子が2歳到達済／","")&amp;IF(AND($H2669&lt;&gt;"",INDEX(職員マスタ!$B$6:$B$405,$AP2669)&lt;&gt;"",SUBSTITUTE(SUBSTITUTE($H2669," ","")," ","")&lt;&gt;SUBSTITUTE(SUBSTITUTE(INDEX(職員マスタ!$B$6:$B$405,$AP2669)," ","")," ","")),"氏名がマスタと相違／","")&amp;IF(AND($Q2669&lt;&gt;"",INDEX(職員マスタ!$E$6:$E$405,$AP2669)&lt;&gt;"",$Q2669&lt;&gt;INDEX(職員マスタ!$E$6:$E$405,$AP2669)),"子の生年月日がマスタと相違／","")&amp;IF(AND($L2669&lt;&gt;"",INDEX(職員マスタ!$G$6:$G$405,$AP2669)&lt;&gt;"",$L2669&lt;&gt;INDEX(職員マスタ!$G$6:$G$405,$AP2669)),"時短開始日がマスタと相違／","")&amp;IF(AND($M2669&lt;&gt;"",INDEX(職員マスタ!$H$6:$H$405,$AP2669)&lt;&gt;"",$M2669&lt;&gt;INDEX(職員マスタ!$H$6:$H$405,$AP2669)),"時短終了日がマスタと相違／","")))&amp;IF(AND($B2669&lt;&gt;"",$E2669=""),"報酬額が未入力／","")&amp;IF(N($U2669)&gt;0,"申請書に入力エラーが残っています／","")&amp;IF(AND($B2669&lt;&gt;"",$AQ2669&lt;&gt;""),IF(COUNTIFS($B$6:$B$3005,$B2669,$C$6:$C$3005,$C2669,$D$6:$D$3005,$D2669)&gt;1,"同じ月の請求が重複しています／",""),"")&amp;IF(AND(N($E2669)&gt;0,$AB2669&lt;&gt;"",$AB2669&lt;&gt;"×",$AE2669=0,$AD2669=""),"計算額が下限以下のため不支給／",""))</f>
        <v/>
      </c>
      <c r="AN2669" s="12" t="n"/>
      <c r="AO2669" s="14">
        <f>IF($AF2669="保留中",COUNTIF($AF$6:$AF2669,"保留中"),"")</f>
        <v/>
      </c>
      <c r="AP2669" s="14">
        <f>IF($AQ2669="","",IF(SUMPRODUCT(MAX((職員マスタ!$A$6:$A$405=$B2669)*(((職員マスタ!$G$6:$G$405="")+(職員マスタ!$G$6:$G$405&lt;=EOMONTH($AQ2669,0)))&gt;0)*(((職員マスタ!$H$6:$H$405="")+(職員マスタ!$H$6:$H$405&gt;=$AQ2669))&gt;0)*(ROW(職員マスタ!$A$6:$A$405)-5)))&gt;0,SUMPRODUCT(MAX((職員マスタ!$A$6:$A$405=$B2669)*(((職員マスタ!$G$6:$G$405="")+(職員マスタ!$G$6:$G$405&lt;=EOMONTH($AQ2669,0)))&gt;0)*(((職員マスタ!$H$6:$H$405="")+(職員マスタ!$H$6:$H$405&gt;=$AQ2669))&gt;0)*(ROW(職員マスタ!$A$6:$A$405)-5))),IFERROR(MATCH($B2669,職員マスタ!$A$6:$A$405,0),"")))</f>
        <v/>
      </c>
      <c r="AQ2669" s="16">
        <f>IF(OR($B2669="",$C2669="",$D2669=""),"",DATE($C2669+2018,$D2669,1))</f>
        <v/>
      </c>
    </row>
    <row r="2670">
      <c r="A2670" s="11" t="n"/>
      <c r="B2670" s="12" t="n"/>
      <c r="C2670" s="12" t="n"/>
      <c r="D2670" s="12" t="n"/>
      <c r="E2670" s="13" t="n"/>
      <c r="F2670" s="12" t="n"/>
      <c r="G2670" s="13" t="n"/>
      <c r="H2670" s="12" t="n"/>
      <c r="I2670" s="12" t="n"/>
      <c r="J2670" s="12" t="n"/>
      <c r="K2670" s="12" t="n"/>
      <c r="L2670" s="11" t="n"/>
      <c r="M2670" s="11" t="n"/>
      <c r="N2670" s="11" t="n"/>
      <c r="O2670" s="11" t="n"/>
      <c r="P2670" s="12" t="n"/>
      <c r="Q2670" s="11" t="n"/>
      <c r="R2670" s="12" t="n"/>
      <c r="S2670" s="11" t="n"/>
      <c r="T2670" s="12" t="n"/>
      <c r="U2670" s="12" t="n"/>
      <c r="V2670" s="12" t="n"/>
      <c r="W2670" s="13" t="n"/>
      <c r="X2670" s="14">
        <f>IF($AP2670="",IF($B2670="","",$H2670),IF(INDEX(職員マスタ!$B$6:$B$405,$AP2670)="",$H2670,INDEX(職員マスタ!$B$6:$B$405,$AP2670)))</f>
        <v/>
      </c>
      <c r="Y2670" s="14">
        <f>IF($AP2670="",IF($B2670="","",$R2670),IF(INDEX(職員マスタ!$C$6:$C$405,$AP2670)="",$R2670,INDEX(職員マスタ!$C$6:$C$405,$AP2670)))</f>
        <v/>
      </c>
      <c r="Z2670" s="14">
        <f>IF($AQ2670="","","R"&amp;$C2670&amp;"."&amp;$D2670)</f>
        <v/>
      </c>
      <c r="AA2670" s="15">
        <f>IF(IF($AP2670="",FALSE,INDEX(職員マスタ!$K$6:$K$405,$AP2670)&lt;&gt;""),INDEX(職員マスタ!$K$6:$K$405,$AP2670),IF(N($W2670)&gt;0,$W2670,""))</f>
        <v/>
      </c>
      <c r="AB2670" s="14">
        <f>IF(OR($E2670="",$AA2670=""),"",IF($E2670&gt;=$AA2670,"×",IF($E2670&gt;=$AA2670*設定!$C$5,"△","○")))</f>
        <v/>
      </c>
      <c r="AC2670" s="15">
        <f>IF($AB2670="","",IF($AB2670="×",0,IF($AB2670="○",ROUNDDOWN($E2670*設定!$C$4,0),ROUNDDOWN($E2670*ROUND((9*$AA2670-9*$E2670)/(10*$E2670),4),0))))</f>
        <v/>
      </c>
      <c r="AD2670" s="13" t="n"/>
      <c r="AE2670" s="15">
        <f>IF($B2670="","",IF($AD2670&lt;&gt;"",$AD2670,IF($AC2670="","",IF($AC2670&lt;=設定!$C$3,0,$AC2670))))</f>
        <v/>
      </c>
      <c r="AF2670" s="14">
        <f>IF($B2670="","",IF(AND($AG2670&lt;&gt;"",$AI2670="",$AL2670=""),"保留中",IF($AL2670&lt;&gt;"",IF(N($AE2670)&gt;0,"支給済","不支給"),IF($AE2670="","要確認",IF($AE2670=0,"不支給","未処理")))))</f>
        <v/>
      </c>
      <c r="AG2670" s="12" t="n"/>
      <c r="AH2670" s="11" t="n"/>
      <c r="AI2670" s="11" t="n"/>
      <c r="AJ2670" s="11" t="n"/>
      <c r="AK2670" s="14">
        <f>IF(AND($AF2670="保留中",$AH2670&lt;&gt;""),TODAY()-$AH2670,"")</f>
        <v/>
      </c>
      <c r="AL2670" s="12" t="n"/>
      <c r="AM2670" s="14">
        <f>IF($B2670="","",IF($AQ2670="","対象年月が未入力／","")&amp;IF($B2670="","",IF($AP2670="","職員マスタに未登録の職員番号／",IF($AA2670="","標準報酬月額が未登録／","")&amp;IF(AND($AQ2670&lt;&gt;"",OR(AND(INDEX(職員マスタ!$G$6:$G$405,$AP2670)&lt;&gt;"",INDEX(職員マスタ!$G$6:$G$405,$AP2670)&gt;EOMONTH($AQ2670,0)),AND(INDEX(職員マスタ!$H$6:$H$405,$AP2670)&lt;&gt;"",INDEX(職員マスタ!$H$6:$H$405,$AP2670)&lt;$AQ2670))),"対象月が時短期間外／","")&amp;IF(AND(INDEX(職員マスタ!$K$6:$K$405,$AP2670)&lt;&gt;"",N($W2670)&gt;0,INDEX(職員マスタ!$K$6:$K$405,$AP2670)&lt;&gt;$W2670),"標準報酬月額が申請書と相違（台帳"&amp;TEXT(INDEX(職員マスタ!$K$6:$K$405,$AP2670),"#,##0")&amp;"円／申請書"&amp;TEXT($W2670,"#,##0")&amp;"円）／","")&amp;IF(AND(INDEX(職員マスタ!$F$6:$F$405,$AP2670)&lt;&gt;"",$AQ2670&lt;&gt;"",INDEX(職員マスタ!$F$6:$F$405,$AP2670)&lt;$AQ2670),"対象月に子が2歳到達済／","")&amp;IF(AND($H2670&lt;&gt;"",INDEX(職員マスタ!$B$6:$B$405,$AP2670)&lt;&gt;"",SUBSTITUTE(SUBSTITUTE($H2670," ","")," ","")&lt;&gt;SUBSTITUTE(SUBSTITUTE(INDEX(職員マスタ!$B$6:$B$405,$AP2670)," ","")," ","")),"氏名がマスタと相違／","")&amp;IF(AND($Q2670&lt;&gt;"",INDEX(職員マスタ!$E$6:$E$405,$AP2670)&lt;&gt;"",$Q2670&lt;&gt;INDEX(職員マスタ!$E$6:$E$405,$AP2670)),"子の生年月日がマスタと相違／","")&amp;IF(AND($L2670&lt;&gt;"",INDEX(職員マスタ!$G$6:$G$405,$AP2670)&lt;&gt;"",$L2670&lt;&gt;INDEX(職員マスタ!$G$6:$G$405,$AP2670)),"時短開始日がマスタと相違／","")&amp;IF(AND($M2670&lt;&gt;"",INDEX(職員マスタ!$H$6:$H$405,$AP2670)&lt;&gt;"",$M2670&lt;&gt;INDEX(職員マスタ!$H$6:$H$405,$AP2670)),"時短終了日がマスタと相違／","")))&amp;IF(AND($B2670&lt;&gt;"",$E2670=""),"報酬額が未入力／","")&amp;IF(N($U2670)&gt;0,"申請書に入力エラーが残っています／","")&amp;IF(AND($B2670&lt;&gt;"",$AQ2670&lt;&gt;""),IF(COUNTIFS($B$6:$B$3005,$B2670,$C$6:$C$3005,$C2670,$D$6:$D$3005,$D2670)&gt;1,"同じ月の請求が重複しています／",""),"")&amp;IF(AND(N($E2670)&gt;0,$AB2670&lt;&gt;"",$AB2670&lt;&gt;"×",$AE2670=0,$AD2670=""),"計算額が下限以下のため不支給／",""))</f>
        <v/>
      </c>
      <c r="AN2670" s="12" t="n"/>
      <c r="AO2670" s="14">
        <f>IF($AF2670="保留中",COUNTIF($AF$6:$AF2670,"保留中"),"")</f>
        <v/>
      </c>
      <c r="AP2670" s="14">
        <f>IF($AQ2670="","",IF(SUMPRODUCT(MAX((職員マスタ!$A$6:$A$405=$B2670)*(((職員マスタ!$G$6:$G$405="")+(職員マスタ!$G$6:$G$405&lt;=EOMONTH($AQ2670,0)))&gt;0)*(((職員マスタ!$H$6:$H$405="")+(職員マスタ!$H$6:$H$405&gt;=$AQ2670))&gt;0)*(ROW(職員マスタ!$A$6:$A$405)-5)))&gt;0,SUMPRODUCT(MAX((職員マスタ!$A$6:$A$405=$B2670)*(((職員マスタ!$G$6:$G$405="")+(職員マスタ!$G$6:$G$405&lt;=EOMONTH($AQ2670,0)))&gt;0)*(((職員マスタ!$H$6:$H$405="")+(職員マスタ!$H$6:$H$405&gt;=$AQ2670))&gt;0)*(ROW(職員マスタ!$A$6:$A$405)-5))),IFERROR(MATCH($B2670,職員マスタ!$A$6:$A$405,0),"")))</f>
        <v/>
      </c>
      <c r="AQ2670" s="16">
        <f>IF(OR($B2670="",$C2670="",$D2670=""),"",DATE($C2670+2018,$D2670,1))</f>
        <v/>
      </c>
    </row>
    <row r="2671">
      <c r="A2671" s="11" t="n"/>
      <c r="B2671" s="12" t="n"/>
      <c r="C2671" s="12" t="n"/>
      <c r="D2671" s="12" t="n"/>
      <c r="E2671" s="13" t="n"/>
      <c r="F2671" s="12" t="n"/>
      <c r="G2671" s="13" t="n"/>
      <c r="H2671" s="12" t="n"/>
      <c r="I2671" s="12" t="n"/>
      <c r="J2671" s="12" t="n"/>
      <c r="K2671" s="12" t="n"/>
      <c r="L2671" s="11" t="n"/>
      <c r="M2671" s="11" t="n"/>
      <c r="N2671" s="11" t="n"/>
      <c r="O2671" s="11" t="n"/>
      <c r="P2671" s="12" t="n"/>
      <c r="Q2671" s="11" t="n"/>
      <c r="R2671" s="12" t="n"/>
      <c r="S2671" s="11" t="n"/>
      <c r="T2671" s="12" t="n"/>
      <c r="U2671" s="12" t="n"/>
      <c r="V2671" s="12" t="n"/>
      <c r="W2671" s="13" t="n"/>
      <c r="X2671" s="14">
        <f>IF($AP2671="",IF($B2671="","",$H2671),IF(INDEX(職員マスタ!$B$6:$B$405,$AP2671)="",$H2671,INDEX(職員マスタ!$B$6:$B$405,$AP2671)))</f>
        <v/>
      </c>
      <c r="Y2671" s="14">
        <f>IF($AP2671="",IF($B2671="","",$R2671),IF(INDEX(職員マスタ!$C$6:$C$405,$AP2671)="",$R2671,INDEX(職員マスタ!$C$6:$C$405,$AP2671)))</f>
        <v/>
      </c>
      <c r="Z2671" s="14">
        <f>IF($AQ2671="","","R"&amp;$C2671&amp;"."&amp;$D2671)</f>
        <v/>
      </c>
      <c r="AA2671" s="15">
        <f>IF(IF($AP2671="",FALSE,INDEX(職員マスタ!$K$6:$K$405,$AP2671)&lt;&gt;""),INDEX(職員マスタ!$K$6:$K$405,$AP2671),IF(N($W2671)&gt;0,$W2671,""))</f>
        <v/>
      </c>
      <c r="AB2671" s="14">
        <f>IF(OR($E2671="",$AA2671=""),"",IF($E2671&gt;=$AA2671,"×",IF($E2671&gt;=$AA2671*設定!$C$5,"△","○")))</f>
        <v/>
      </c>
      <c r="AC2671" s="15">
        <f>IF($AB2671="","",IF($AB2671="×",0,IF($AB2671="○",ROUNDDOWN($E2671*設定!$C$4,0),ROUNDDOWN($E2671*ROUND((9*$AA2671-9*$E2671)/(10*$E2671),4),0))))</f>
        <v/>
      </c>
      <c r="AD2671" s="13" t="n"/>
      <c r="AE2671" s="15">
        <f>IF($B2671="","",IF($AD2671&lt;&gt;"",$AD2671,IF($AC2671="","",IF($AC2671&lt;=設定!$C$3,0,$AC2671))))</f>
        <v/>
      </c>
      <c r="AF2671" s="14">
        <f>IF($B2671="","",IF(AND($AG2671&lt;&gt;"",$AI2671="",$AL2671=""),"保留中",IF($AL2671&lt;&gt;"",IF(N($AE2671)&gt;0,"支給済","不支給"),IF($AE2671="","要確認",IF($AE2671=0,"不支給","未処理")))))</f>
        <v/>
      </c>
      <c r="AG2671" s="12" t="n"/>
      <c r="AH2671" s="11" t="n"/>
      <c r="AI2671" s="11" t="n"/>
      <c r="AJ2671" s="11" t="n"/>
      <c r="AK2671" s="14">
        <f>IF(AND($AF2671="保留中",$AH2671&lt;&gt;""),TODAY()-$AH2671,"")</f>
        <v/>
      </c>
      <c r="AL2671" s="12" t="n"/>
      <c r="AM2671" s="14">
        <f>IF($B2671="","",IF($AQ2671="","対象年月が未入力／","")&amp;IF($B2671="","",IF($AP2671="","職員マスタに未登録の職員番号／",IF($AA2671="","標準報酬月額が未登録／","")&amp;IF(AND($AQ2671&lt;&gt;"",OR(AND(INDEX(職員マスタ!$G$6:$G$405,$AP2671)&lt;&gt;"",INDEX(職員マスタ!$G$6:$G$405,$AP2671)&gt;EOMONTH($AQ2671,0)),AND(INDEX(職員マスタ!$H$6:$H$405,$AP2671)&lt;&gt;"",INDEX(職員マスタ!$H$6:$H$405,$AP2671)&lt;$AQ2671))),"対象月が時短期間外／","")&amp;IF(AND(INDEX(職員マスタ!$K$6:$K$405,$AP2671)&lt;&gt;"",N($W2671)&gt;0,INDEX(職員マスタ!$K$6:$K$405,$AP2671)&lt;&gt;$W2671),"標準報酬月額が申請書と相違（台帳"&amp;TEXT(INDEX(職員マスタ!$K$6:$K$405,$AP2671),"#,##0")&amp;"円／申請書"&amp;TEXT($W2671,"#,##0")&amp;"円）／","")&amp;IF(AND(INDEX(職員マスタ!$F$6:$F$405,$AP2671)&lt;&gt;"",$AQ2671&lt;&gt;"",INDEX(職員マスタ!$F$6:$F$405,$AP2671)&lt;$AQ2671),"対象月に子が2歳到達済／","")&amp;IF(AND($H2671&lt;&gt;"",INDEX(職員マスタ!$B$6:$B$405,$AP2671)&lt;&gt;"",SUBSTITUTE(SUBSTITUTE($H2671," ","")," ","")&lt;&gt;SUBSTITUTE(SUBSTITUTE(INDEX(職員マスタ!$B$6:$B$405,$AP2671)," ","")," ","")),"氏名がマスタと相違／","")&amp;IF(AND($Q2671&lt;&gt;"",INDEX(職員マスタ!$E$6:$E$405,$AP2671)&lt;&gt;"",$Q2671&lt;&gt;INDEX(職員マスタ!$E$6:$E$405,$AP2671)),"子の生年月日がマスタと相違／","")&amp;IF(AND($L2671&lt;&gt;"",INDEX(職員マスタ!$G$6:$G$405,$AP2671)&lt;&gt;"",$L2671&lt;&gt;INDEX(職員マスタ!$G$6:$G$405,$AP2671)),"時短開始日がマスタと相違／","")&amp;IF(AND($M2671&lt;&gt;"",INDEX(職員マスタ!$H$6:$H$405,$AP2671)&lt;&gt;"",$M2671&lt;&gt;INDEX(職員マスタ!$H$6:$H$405,$AP2671)),"時短終了日がマスタと相違／","")))&amp;IF(AND($B2671&lt;&gt;"",$E2671=""),"報酬額が未入力／","")&amp;IF(N($U2671)&gt;0,"申請書に入力エラーが残っています／","")&amp;IF(AND($B2671&lt;&gt;"",$AQ2671&lt;&gt;""),IF(COUNTIFS($B$6:$B$3005,$B2671,$C$6:$C$3005,$C2671,$D$6:$D$3005,$D2671)&gt;1,"同じ月の請求が重複しています／",""),"")&amp;IF(AND(N($E2671)&gt;0,$AB2671&lt;&gt;"",$AB2671&lt;&gt;"×",$AE2671=0,$AD2671=""),"計算額が下限以下のため不支給／",""))</f>
        <v/>
      </c>
      <c r="AN2671" s="12" t="n"/>
      <c r="AO2671" s="14">
        <f>IF($AF2671="保留中",COUNTIF($AF$6:$AF2671,"保留中"),"")</f>
        <v/>
      </c>
      <c r="AP2671" s="14">
        <f>IF($AQ2671="","",IF(SUMPRODUCT(MAX((職員マスタ!$A$6:$A$405=$B2671)*(((職員マスタ!$G$6:$G$405="")+(職員マスタ!$G$6:$G$405&lt;=EOMONTH($AQ2671,0)))&gt;0)*(((職員マスタ!$H$6:$H$405="")+(職員マスタ!$H$6:$H$405&gt;=$AQ2671))&gt;0)*(ROW(職員マスタ!$A$6:$A$405)-5)))&gt;0,SUMPRODUCT(MAX((職員マスタ!$A$6:$A$405=$B2671)*(((職員マスタ!$G$6:$G$405="")+(職員マスタ!$G$6:$G$405&lt;=EOMONTH($AQ2671,0)))&gt;0)*(((職員マスタ!$H$6:$H$405="")+(職員マスタ!$H$6:$H$405&gt;=$AQ2671))&gt;0)*(ROW(職員マスタ!$A$6:$A$405)-5))),IFERROR(MATCH($B2671,職員マスタ!$A$6:$A$405,0),"")))</f>
        <v/>
      </c>
      <c r="AQ2671" s="16">
        <f>IF(OR($B2671="",$C2671="",$D2671=""),"",DATE($C2671+2018,$D2671,1))</f>
        <v/>
      </c>
    </row>
    <row r="2672">
      <c r="A2672" s="11" t="n"/>
      <c r="B2672" s="12" t="n"/>
      <c r="C2672" s="12" t="n"/>
      <c r="D2672" s="12" t="n"/>
      <c r="E2672" s="13" t="n"/>
      <c r="F2672" s="12" t="n"/>
      <c r="G2672" s="13" t="n"/>
      <c r="H2672" s="12" t="n"/>
      <c r="I2672" s="12" t="n"/>
      <c r="J2672" s="12" t="n"/>
      <c r="K2672" s="12" t="n"/>
      <c r="L2672" s="11" t="n"/>
      <c r="M2672" s="11" t="n"/>
      <c r="N2672" s="11" t="n"/>
      <c r="O2672" s="11" t="n"/>
      <c r="P2672" s="12" t="n"/>
      <c r="Q2672" s="11" t="n"/>
      <c r="R2672" s="12" t="n"/>
      <c r="S2672" s="11" t="n"/>
      <c r="T2672" s="12" t="n"/>
      <c r="U2672" s="12" t="n"/>
      <c r="V2672" s="12" t="n"/>
      <c r="W2672" s="13" t="n"/>
      <c r="X2672" s="14">
        <f>IF($AP2672="",IF($B2672="","",$H2672),IF(INDEX(職員マスタ!$B$6:$B$405,$AP2672)="",$H2672,INDEX(職員マスタ!$B$6:$B$405,$AP2672)))</f>
        <v/>
      </c>
      <c r="Y2672" s="14">
        <f>IF($AP2672="",IF($B2672="","",$R2672),IF(INDEX(職員マスタ!$C$6:$C$405,$AP2672)="",$R2672,INDEX(職員マスタ!$C$6:$C$405,$AP2672)))</f>
        <v/>
      </c>
      <c r="Z2672" s="14">
        <f>IF($AQ2672="","","R"&amp;$C2672&amp;"."&amp;$D2672)</f>
        <v/>
      </c>
      <c r="AA2672" s="15">
        <f>IF(IF($AP2672="",FALSE,INDEX(職員マスタ!$K$6:$K$405,$AP2672)&lt;&gt;""),INDEX(職員マスタ!$K$6:$K$405,$AP2672),IF(N($W2672)&gt;0,$W2672,""))</f>
        <v/>
      </c>
      <c r="AB2672" s="14">
        <f>IF(OR($E2672="",$AA2672=""),"",IF($E2672&gt;=$AA2672,"×",IF($E2672&gt;=$AA2672*設定!$C$5,"△","○")))</f>
        <v/>
      </c>
      <c r="AC2672" s="15">
        <f>IF($AB2672="","",IF($AB2672="×",0,IF($AB2672="○",ROUNDDOWN($E2672*設定!$C$4,0),ROUNDDOWN($E2672*ROUND((9*$AA2672-9*$E2672)/(10*$E2672),4),0))))</f>
        <v/>
      </c>
      <c r="AD2672" s="13" t="n"/>
      <c r="AE2672" s="15">
        <f>IF($B2672="","",IF($AD2672&lt;&gt;"",$AD2672,IF($AC2672="","",IF($AC2672&lt;=設定!$C$3,0,$AC2672))))</f>
        <v/>
      </c>
      <c r="AF2672" s="14">
        <f>IF($B2672="","",IF(AND($AG2672&lt;&gt;"",$AI2672="",$AL2672=""),"保留中",IF($AL2672&lt;&gt;"",IF(N($AE2672)&gt;0,"支給済","不支給"),IF($AE2672="","要確認",IF($AE2672=0,"不支給","未処理")))))</f>
        <v/>
      </c>
      <c r="AG2672" s="12" t="n"/>
      <c r="AH2672" s="11" t="n"/>
      <c r="AI2672" s="11" t="n"/>
      <c r="AJ2672" s="11" t="n"/>
      <c r="AK2672" s="14">
        <f>IF(AND($AF2672="保留中",$AH2672&lt;&gt;""),TODAY()-$AH2672,"")</f>
        <v/>
      </c>
      <c r="AL2672" s="12" t="n"/>
      <c r="AM2672" s="14">
        <f>IF($B2672="","",IF($AQ2672="","対象年月が未入力／","")&amp;IF($B2672="","",IF($AP2672="","職員マスタに未登録の職員番号／",IF($AA2672="","標準報酬月額が未登録／","")&amp;IF(AND($AQ2672&lt;&gt;"",OR(AND(INDEX(職員マスタ!$G$6:$G$405,$AP2672)&lt;&gt;"",INDEX(職員マスタ!$G$6:$G$405,$AP2672)&gt;EOMONTH($AQ2672,0)),AND(INDEX(職員マスタ!$H$6:$H$405,$AP2672)&lt;&gt;"",INDEX(職員マスタ!$H$6:$H$405,$AP2672)&lt;$AQ2672))),"対象月が時短期間外／","")&amp;IF(AND(INDEX(職員マスタ!$K$6:$K$405,$AP2672)&lt;&gt;"",N($W2672)&gt;0,INDEX(職員マスタ!$K$6:$K$405,$AP2672)&lt;&gt;$W2672),"標準報酬月額が申請書と相違（台帳"&amp;TEXT(INDEX(職員マスタ!$K$6:$K$405,$AP2672),"#,##0")&amp;"円／申請書"&amp;TEXT($W2672,"#,##0")&amp;"円）／","")&amp;IF(AND(INDEX(職員マスタ!$F$6:$F$405,$AP2672)&lt;&gt;"",$AQ2672&lt;&gt;"",INDEX(職員マスタ!$F$6:$F$405,$AP2672)&lt;$AQ2672),"対象月に子が2歳到達済／","")&amp;IF(AND($H2672&lt;&gt;"",INDEX(職員マスタ!$B$6:$B$405,$AP2672)&lt;&gt;"",SUBSTITUTE(SUBSTITUTE($H2672," ","")," ","")&lt;&gt;SUBSTITUTE(SUBSTITUTE(INDEX(職員マスタ!$B$6:$B$405,$AP2672)," ","")," ","")),"氏名がマスタと相違／","")&amp;IF(AND($Q2672&lt;&gt;"",INDEX(職員マスタ!$E$6:$E$405,$AP2672)&lt;&gt;"",$Q2672&lt;&gt;INDEX(職員マスタ!$E$6:$E$405,$AP2672)),"子の生年月日がマスタと相違／","")&amp;IF(AND($L2672&lt;&gt;"",INDEX(職員マスタ!$G$6:$G$405,$AP2672)&lt;&gt;"",$L2672&lt;&gt;INDEX(職員マスタ!$G$6:$G$405,$AP2672)),"時短開始日がマスタと相違／","")&amp;IF(AND($M2672&lt;&gt;"",INDEX(職員マスタ!$H$6:$H$405,$AP2672)&lt;&gt;"",$M2672&lt;&gt;INDEX(職員マスタ!$H$6:$H$405,$AP2672)),"時短終了日がマスタと相違／","")))&amp;IF(AND($B2672&lt;&gt;"",$E2672=""),"報酬額が未入力／","")&amp;IF(N($U2672)&gt;0,"申請書に入力エラーが残っています／","")&amp;IF(AND($B2672&lt;&gt;"",$AQ2672&lt;&gt;""),IF(COUNTIFS($B$6:$B$3005,$B2672,$C$6:$C$3005,$C2672,$D$6:$D$3005,$D2672)&gt;1,"同じ月の請求が重複しています／",""),"")&amp;IF(AND(N($E2672)&gt;0,$AB2672&lt;&gt;"",$AB2672&lt;&gt;"×",$AE2672=0,$AD2672=""),"計算額が下限以下のため不支給／",""))</f>
        <v/>
      </c>
      <c r="AN2672" s="12" t="n"/>
      <c r="AO2672" s="14">
        <f>IF($AF2672="保留中",COUNTIF($AF$6:$AF2672,"保留中"),"")</f>
        <v/>
      </c>
      <c r="AP2672" s="14">
        <f>IF($AQ2672="","",IF(SUMPRODUCT(MAX((職員マスタ!$A$6:$A$405=$B2672)*(((職員マスタ!$G$6:$G$405="")+(職員マスタ!$G$6:$G$405&lt;=EOMONTH($AQ2672,0)))&gt;0)*(((職員マスタ!$H$6:$H$405="")+(職員マスタ!$H$6:$H$405&gt;=$AQ2672))&gt;0)*(ROW(職員マスタ!$A$6:$A$405)-5)))&gt;0,SUMPRODUCT(MAX((職員マスタ!$A$6:$A$405=$B2672)*(((職員マスタ!$G$6:$G$405="")+(職員マスタ!$G$6:$G$405&lt;=EOMONTH($AQ2672,0)))&gt;0)*(((職員マスタ!$H$6:$H$405="")+(職員マスタ!$H$6:$H$405&gt;=$AQ2672))&gt;0)*(ROW(職員マスタ!$A$6:$A$405)-5))),IFERROR(MATCH($B2672,職員マスタ!$A$6:$A$405,0),"")))</f>
        <v/>
      </c>
      <c r="AQ2672" s="16">
        <f>IF(OR($B2672="",$C2672="",$D2672=""),"",DATE($C2672+2018,$D2672,1))</f>
        <v/>
      </c>
    </row>
    <row r="2673">
      <c r="A2673" s="11" t="n"/>
      <c r="B2673" s="12" t="n"/>
      <c r="C2673" s="12" t="n"/>
      <c r="D2673" s="12" t="n"/>
      <c r="E2673" s="13" t="n"/>
      <c r="F2673" s="12" t="n"/>
      <c r="G2673" s="13" t="n"/>
      <c r="H2673" s="12" t="n"/>
      <c r="I2673" s="12" t="n"/>
      <c r="J2673" s="12" t="n"/>
      <c r="K2673" s="12" t="n"/>
      <c r="L2673" s="11" t="n"/>
      <c r="M2673" s="11" t="n"/>
      <c r="N2673" s="11" t="n"/>
      <c r="O2673" s="11" t="n"/>
      <c r="P2673" s="12" t="n"/>
      <c r="Q2673" s="11" t="n"/>
      <c r="R2673" s="12" t="n"/>
      <c r="S2673" s="11" t="n"/>
      <c r="T2673" s="12" t="n"/>
      <c r="U2673" s="12" t="n"/>
      <c r="V2673" s="12" t="n"/>
      <c r="W2673" s="13" t="n"/>
      <c r="X2673" s="14">
        <f>IF($AP2673="",IF($B2673="","",$H2673),IF(INDEX(職員マスタ!$B$6:$B$405,$AP2673)="",$H2673,INDEX(職員マスタ!$B$6:$B$405,$AP2673)))</f>
        <v/>
      </c>
      <c r="Y2673" s="14">
        <f>IF($AP2673="",IF($B2673="","",$R2673),IF(INDEX(職員マスタ!$C$6:$C$405,$AP2673)="",$R2673,INDEX(職員マスタ!$C$6:$C$405,$AP2673)))</f>
        <v/>
      </c>
      <c r="Z2673" s="14">
        <f>IF($AQ2673="","","R"&amp;$C2673&amp;"."&amp;$D2673)</f>
        <v/>
      </c>
      <c r="AA2673" s="15">
        <f>IF(IF($AP2673="",FALSE,INDEX(職員マスタ!$K$6:$K$405,$AP2673)&lt;&gt;""),INDEX(職員マスタ!$K$6:$K$405,$AP2673),IF(N($W2673)&gt;0,$W2673,""))</f>
        <v/>
      </c>
      <c r="AB2673" s="14">
        <f>IF(OR($E2673="",$AA2673=""),"",IF($E2673&gt;=$AA2673,"×",IF($E2673&gt;=$AA2673*設定!$C$5,"△","○")))</f>
        <v/>
      </c>
      <c r="AC2673" s="15">
        <f>IF($AB2673="","",IF($AB2673="×",0,IF($AB2673="○",ROUNDDOWN($E2673*設定!$C$4,0),ROUNDDOWN($E2673*ROUND((9*$AA2673-9*$E2673)/(10*$E2673),4),0))))</f>
        <v/>
      </c>
      <c r="AD2673" s="13" t="n"/>
      <c r="AE2673" s="15">
        <f>IF($B2673="","",IF($AD2673&lt;&gt;"",$AD2673,IF($AC2673="","",IF($AC2673&lt;=設定!$C$3,0,$AC2673))))</f>
        <v/>
      </c>
      <c r="AF2673" s="14">
        <f>IF($B2673="","",IF(AND($AG2673&lt;&gt;"",$AI2673="",$AL2673=""),"保留中",IF($AL2673&lt;&gt;"",IF(N($AE2673)&gt;0,"支給済","不支給"),IF($AE2673="","要確認",IF($AE2673=0,"不支給","未処理")))))</f>
        <v/>
      </c>
      <c r="AG2673" s="12" t="n"/>
      <c r="AH2673" s="11" t="n"/>
      <c r="AI2673" s="11" t="n"/>
      <c r="AJ2673" s="11" t="n"/>
      <c r="AK2673" s="14">
        <f>IF(AND($AF2673="保留中",$AH2673&lt;&gt;""),TODAY()-$AH2673,"")</f>
        <v/>
      </c>
      <c r="AL2673" s="12" t="n"/>
      <c r="AM2673" s="14">
        <f>IF($B2673="","",IF($AQ2673="","対象年月が未入力／","")&amp;IF($B2673="","",IF($AP2673="","職員マスタに未登録の職員番号／",IF($AA2673="","標準報酬月額が未登録／","")&amp;IF(AND($AQ2673&lt;&gt;"",OR(AND(INDEX(職員マスタ!$G$6:$G$405,$AP2673)&lt;&gt;"",INDEX(職員マスタ!$G$6:$G$405,$AP2673)&gt;EOMONTH($AQ2673,0)),AND(INDEX(職員マスタ!$H$6:$H$405,$AP2673)&lt;&gt;"",INDEX(職員マスタ!$H$6:$H$405,$AP2673)&lt;$AQ2673))),"対象月が時短期間外／","")&amp;IF(AND(INDEX(職員マスタ!$K$6:$K$405,$AP2673)&lt;&gt;"",N($W2673)&gt;0,INDEX(職員マスタ!$K$6:$K$405,$AP2673)&lt;&gt;$W2673),"標準報酬月額が申請書と相違（台帳"&amp;TEXT(INDEX(職員マスタ!$K$6:$K$405,$AP2673),"#,##0")&amp;"円／申請書"&amp;TEXT($W2673,"#,##0")&amp;"円）／","")&amp;IF(AND(INDEX(職員マスタ!$F$6:$F$405,$AP2673)&lt;&gt;"",$AQ2673&lt;&gt;"",INDEX(職員マスタ!$F$6:$F$405,$AP2673)&lt;$AQ2673),"対象月に子が2歳到達済／","")&amp;IF(AND($H2673&lt;&gt;"",INDEX(職員マスタ!$B$6:$B$405,$AP2673)&lt;&gt;"",SUBSTITUTE(SUBSTITUTE($H2673," ","")," ","")&lt;&gt;SUBSTITUTE(SUBSTITUTE(INDEX(職員マスタ!$B$6:$B$405,$AP2673)," ","")," ","")),"氏名がマスタと相違／","")&amp;IF(AND($Q2673&lt;&gt;"",INDEX(職員マスタ!$E$6:$E$405,$AP2673)&lt;&gt;"",$Q2673&lt;&gt;INDEX(職員マスタ!$E$6:$E$405,$AP2673)),"子の生年月日がマスタと相違／","")&amp;IF(AND($L2673&lt;&gt;"",INDEX(職員マスタ!$G$6:$G$405,$AP2673)&lt;&gt;"",$L2673&lt;&gt;INDEX(職員マスタ!$G$6:$G$405,$AP2673)),"時短開始日がマスタと相違／","")&amp;IF(AND($M2673&lt;&gt;"",INDEX(職員マスタ!$H$6:$H$405,$AP2673)&lt;&gt;"",$M2673&lt;&gt;INDEX(職員マスタ!$H$6:$H$405,$AP2673)),"時短終了日がマスタと相違／","")))&amp;IF(AND($B2673&lt;&gt;"",$E2673=""),"報酬額が未入力／","")&amp;IF(N($U2673)&gt;0,"申請書に入力エラーが残っています／","")&amp;IF(AND($B2673&lt;&gt;"",$AQ2673&lt;&gt;""),IF(COUNTIFS($B$6:$B$3005,$B2673,$C$6:$C$3005,$C2673,$D$6:$D$3005,$D2673)&gt;1,"同じ月の請求が重複しています／",""),"")&amp;IF(AND(N($E2673)&gt;0,$AB2673&lt;&gt;"",$AB2673&lt;&gt;"×",$AE2673=0,$AD2673=""),"計算額が下限以下のため不支給／",""))</f>
        <v/>
      </c>
      <c r="AN2673" s="12" t="n"/>
      <c r="AO2673" s="14">
        <f>IF($AF2673="保留中",COUNTIF($AF$6:$AF2673,"保留中"),"")</f>
        <v/>
      </c>
      <c r="AP2673" s="14">
        <f>IF($AQ2673="","",IF(SUMPRODUCT(MAX((職員マスタ!$A$6:$A$405=$B2673)*(((職員マスタ!$G$6:$G$405="")+(職員マスタ!$G$6:$G$405&lt;=EOMONTH($AQ2673,0)))&gt;0)*(((職員マスタ!$H$6:$H$405="")+(職員マスタ!$H$6:$H$405&gt;=$AQ2673))&gt;0)*(ROW(職員マスタ!$A$6:$A$405)-5)))&gt;0,SUMPRODUCT(MAX((職員マスタ!$A$6:$A$405=$B2673)*(((職員マスタ!$G$6:$G$405="")+(職員マスタ!$G$6:$G$405&lt;=EOMONTH($AQ2673,0)))&gt;0)*(((職員マスタ!$H$6:$H$405="")+(職員マスタ!$H$6:$H$405&gt;=$AQ2673))&gt;0)*(ROW(職員マスタ!$A$6:$A$405)-5))),IFERROR(MATCH($B2673,職員マスタ!$A$6:$A$405,0),"")))</f>
        <v/>
      </c>
      <c r="AQ2673" s="16">
        <f>IF(OR($B2673="",$C2673="",$D2673=""),"",DATE($C2673+2018,$D2673,1))</f>
        <v/>
      </c>
    </row>
    <row r="2674">
      <c r="A2674" s="11" t="n"/>
      <c r="B2674" s="12" t="n"/>
      <c r="C2674" s="12" t="n"/>
      <c r="D2674" s="12" t="n"/>
      <c r="E2674" s="13" t="n"/>
      <c r="F2674" s="12" t="n"/>
      <c r="G2674" s="13" t="n"/>
      <c r="H2674" s="12" t="n"/>
      <c r="I2674" s="12" t="n"/>
      <c r="J2674" s="12" t="n"/>
      <c r="K2674" s="12" t="n"/>
      <c r="L2674" s="11" t="n"/>
      <c r="M2674" s="11" t="n"/>
      <c r="N2674" s="11" t="n"/>
      <c r="O2674" s="11" t="n"/>
      <c r="P2674" s="12" t="n"/>
      <c r="Q2674" s="11" t="n"/>
      <c r="R2674" s="12" t="n"/>
      <c r="S2674" s="11" t="n"/>
      <c r="T2674" s="12" t="n"/>
      <c r="U2674" s="12" t="n"/>
      <c r="V2674" s="12" t="n"/>
      <c r="W2674" s="13" t="n"/>
      <c r="X2674" s="14">
        <f>IF($AP2674="",IF($B2674="","",$H2674),IF(INDEX(職員マスタ!$B$6:$B$405,$AP2674)="",$H2674,INDEX(職員マスタ!$B$6:$B$405,$AP2674)))</f>
        <v/>
      </c>
      <c r="Y2674" s="14">
        <f>IF($AP2674="",IF($B2674="","",$R2674),IF(INDEX(職員マスタ!$C$6:$C$405,$AP2674)="",$R2674,INDEX(職員マスタ!$C$6:$C$405,$AP2674)))</f>
        <v/>
      </c>
      <c r="Z2674" s="14">
        <f>IF($AQ2674="","","R"&amp;$C2674&amp;"."&amp;$D2674)</f>
        <v/>
      </c>
      <c r="AA2674" s="15">
        <f>IF(IF($AP2674="",FALSE,INDEX(職員マスタ!$K$6:$K$405,$AP2674)&lt;&gt;""),INDEX(職員マスタ!$K$6:$K$405,$AP2674),IF(N($W2674)&gt;0,$W2674,""))</f>
        <v/>
      </c>
      <c r="AB2674" s="14">
        <f>IF(OR($E2674="",$AA2674=""),"",IF($E2674&gt;=$AA2674,"×",IF($E2674&gt;=$AA2674*設定!$C$5,"△","○")))</f>
        <v/>
      </c>
      <c r="AC2674" s="15">
        <f>IF($AB2674="","",IF($AB2674="×",0,IF($AB2674="○",ROUNDDOWN($E2674*設定!$C$4,0),ROUNDDOWN($E2674*ROUND((9*$AA2674-9*$E2674)/(10*$E2674),4),0))))</f>
        <v/>
      </c>
      <c r="AD2674" s="13" t="n"/>
      <c r="AE2674" s="15">
        <f>IF($B2674="","",IF($AD2674&lt;&gt;"",$AD2674,IF($AC2674="","",IF($AC2674&lt;=設定!$C$3,0,$AC2674))))</f>
        <v/>
      </c>
      <c r="AF2674" s="14">
        <f>IF($B2674="","",IF(AND($AG2674&lt;&gt;"",$AI2674="",$AL2674=""),"保留中",IF($AL2674&lt;&gt;"",IF(N($AE2674)&gt;0,"支給済","不支給"),IF($AE2674="","要確認",IF($AE2674=0,"不支給","未処理")))))</f>
        <v/>
      </c>
      <c r="AG2674" s="12" t="n"/>
      <c r="AH2674" s="11" t="n"/>
      <c r="AI2674" s="11" t="n"/>
      <c r="AJ2674" s="11" t="n"/>
      <c r="AK2674" s="14">
        <f>IF(AND($AF2674="保留中",$AH2674&lt;&gt;""),TODAY()-$AH2674,"")</f>
        <v/>
      </c>
      <c r="AL2674" s="12" t="n"/>
      <c r="AM2674" s="14">
        <f>IF($B2674="","",IF($AQ2674="","対象年月が未入力／","")&amp;IF($B2674="","",IF($AP2674="","職員マスタに未登録の職員番号／",IF($AA2674="","標準報酬月額が未登録／","")&amp;IF(AND($AQ2674&lt;&gt;"",OR(AND(INDEX(職員マスタ!$G$6:$G$405,$AP2674)&lt;&gt;"",INDEX(職員マスタ!$G$6:$G$405,$AP2674)&gt;EOMONTH($AQ2674,0)),AND(INDEX(職員マスタ!$H$6:$H$405,$AP2674)&lt;&gt;"",INDEX(職員マスタ!$H$6:$H$405,$AP2674)&lt;$AQ2674))),"対象月が時短期間外／","")&amp;IF(AND(INDEX(職員マスタ!$K$6:$K$405,$AP2674)&lt;&gt;"",N($W2674)&gt;0,INDEX(職員マスタ!$K$6:$K$405,$AP2674)&lt;&gt;$W2674),"標準報酬月額が申請書と相違（台帳"&amp;TEXT(INDEX(職員マスタ!$K$6:$K$405,$AP2674),"#,##0")&amp;"円／申請書"&amp;TEXT($W2674,"#,##0")&amp;"円）／","")&amp;IF(AND(INDEX(職員マスタ!$F$6:$F$405,$AP2674)&lt;&gt;"",$AQ2674&lt;&gt;"",INDEX(職員マスタ!$F$6:$F$405,$AP2674)&lt;$AQ2674),"対象月に子が2歳到達済／","")&amp;IF(AND($H2674&lt;&gt;"",INDEX(職員マスタ!$B$6:$B$405,$AP2674)&lt;&gt;"",SUBSTITUTE(SUBSTITUTE($H2674," ","")," ","")&lt;&gt;SUBSTITUTE(SUBSTITUTE(INDEX(職員マスタ!$B$6:$B$405,$AP2674)," ","")," ","")),"氏名がマスタと相違／","")&amp;IF(AND($Q2674&lt;&gt;"",INDEX(職員マスタ!$E$6:$E$405,$AP2674)&lt;&gt;"",$Q2674&lt;&gt;INDEX(職員マスタ!$E$6:$E$405,$AP2674)),"子の生年月日がマスタと相違／","")&amp;IF(AND($L2674&lt;&gt;"",INDEX(職員マスタ!$G$6:$G$405,$AP2674)&lt;&gt;"",$L2674&lt;&gt;INDEX(職員マスタ!$G$6:$G$405,$AP2674)),"時短開始日がマスタと相違／","")&amp;IF(AND($M2674&lt;&gt;"",INDEX(職員マスタ!$H$6:$H$405,$AP2674)&lt;&gt;"",$M2674&lt;&gt;INDEX(職員マスタ!$H$6:$H$405,$AP2674)),"時短終了日がマスタと相違／","")))&amp;IF(AND($B2674&lt;&gt;"",$E2674=""),"報酬額が未入力／","")&amp;IF(N($U2674)&gt;0,"申請書に入力エラーが残っています／","")&amp;IF(AND($B2674&lt;&gt;"",$AQ2674&lt;&gt;""),IF(COUNTIFS($B$6:$B$3005,$B2674,$C$6:$C$3005,$C2674,$D$6:$D$3005,$D2674)&gt;1,"同じ月の請求が重複しています／",""),"")&amp;IF(AND(N($E2674)&gt;0,$AB2674&lt;&gt;"",$AB2674&lt;&gt;"×",$AE2674=0,$AD2674=""),"計算額が下限以下のため不支給／",""))</f>
        <v/>
      </c>
      <c r="AN2674" s="12" t="n"/>
      <c r="AO2674" s="14">
        <f>IF($AF2674="保留中",COUNTIF($AF$6:$AF2674,"保留中"),"")</f>
        <v/>
      </c>
      <c r="AP2674" s="14">
        <f>IF($AQ2674="","",IF(SUMPRODUCT(MAX((職員マスタ!$A$6:$A$405=$B2674)*(((職員マスタ!$G$6:$G$405="")+(職員マスタ!$G$6:$G$405&lt;=EOMONTH($AQ2674,0)))&gt;0)*(((職員マスタ!$H$6:$H$405="")+(職員マスタ!$H$6:$H$405&gt;=$AQ2674))&gt;0)*(ROW(職員マスタ!$A$6:$A$405)-5)))&gt;0,SUMPRODUCT(MAX((職員マスタ!$A$6:$A$405=$B2674)*(((職員マスタ!$G$6:$G$405="")+(職員マスタ!$G$6:$G$405&lt;=EOMONTH($AQ2674,0)))&gt;0)*(((職員マスタ!$H$6:$H$405="")+(職員マスタ!$H$6:$H$405&gt;=$AQ2674))&gt;0)*(ROW(職員マスタ!$A$6:$A$405)-5))),IFERROR(MATCH($B2674,職員マスタ!$A$6:$A$405,0),"")))</f>
        <v/>
      </c>
      <c r="AQ2674" s="16">
        <f>IF(OR($B2674="",$C2674="",$D2674=""),"",DATE($C2674+2018,$D2674,1))</f>
        <v/>
      </c>
    </row>
    <row r="2675">
      <c r="A2675" s="11" t="n"/>
      <c r="B2675" s="12" t="n"/>
      <c r="C2675" s="12" t="n"/>
      <c r="D2675" s="12" t="n"/>
      <c r="E2675" s="13" t="n"/>
      <c r="F2675" s="12" t="n"/>
      <c r="G2675" s="13" t="n"/>
      <c r="H2675" s="12" t="n"/>
      <c r="I2675" s="12" t="n"/>
      <c r="J2675" s="12" t="n"/>
      <c r="K2675" s="12" t="n"/>
      <c r="L2675" s="11" t="n"/>
      <c r="M2675" s="11" t="n"/>
      <c r="N2675" s="11" t="n"/>
      <c r="O2675" s="11" t="n"/>
      <c r="P2675" s="12" t="n"/>
      <c r="Q2675" s="11" t="n"/>
      <c r="R2675" s="12" t="n"/>
      <c r="S2675" s="11" t="n"/>
      <c r="T2675" s="12" t="n"/>
      <c r="U2675" s="12" t="n"/>
      <c r="V2675" s="12" t="n"/>
      <c r="W2675" s="13" t="n"/>
      <c r="X2675" s="14">
        <f>IF($AP2675="",IF($B2675="","",$H2675),IF(INDEX(職員マスタ!$B$6:$B$405,$AP2675)="",$H2675,INDEX(職員マスタ!$B$6:$B$405,$AP2675)))</f>
        <v/>
      </c>
      <c r="Y2675" s="14">
        <f>IF($AP2675="",IF($B2675="","",$R2675),IF(INDEX(職員マスタ!$C$6:$C$405,$AP2675)="",$R2675,INDEX(職員マスタ!$C$6:$C$405,$AP2675)))</f>
        <v/>
      </c>
      <c r="Z2675" s="14">
        <f>IF($AQ2675="","","R"&amp;$C2675&amp;"."&amp;$D2675)</f>
        <v/>
      </c>
      <c r="AA2675" s="15">
        <f>IF(IF($AP2675="",FALSE,INDEX(職員マスタ!$K$6:$K$405,$AP2675)&lt;&gt;""),INDEX(職員マスタ!$K$6:$K$405,$AP2675),IF(N($W2675)&gt;0,$W2675,""))</f>
        <v/>
      </c>
      <c r="AB2675" s="14">
        <f>IF(OR($E2675="",$AA2675=""),"",IF($E2675&gt;=$AA2675,"×",IF($E2675&gt;=$AA2675*設定!$C$5,"△","○")))</f>
        <v/>
      </c>
      <c r="AC2675" s="15">
        <f>IF($AB2675="","",IF($AB2675="×",0,IF($AB2675="○",ROUNDDOWN($E2675*設定!$C$4,0),ROUNDDOWN($E2675*ROUND((9*$AA2675-9*$E2675)/(10*$E2675),4),0))))</f>
        <v/>
      </c>
      <c r="AD2675" s="13" t="n"/>
      <c r="AE2675" s="15">
        <f>IF($B2675="","",IF($AD2675&lt;&gt;"",$AD2675,IF($AC2675="","",IF($AC2675&lt;=設定!$C$3,0,$AC2675))))</f>
        <v/>
      </c>
      <c r="AF2675" s="14">
        <f>IF($B2675="","",IF(AND($AG2675&lt;&gt;"",$AI2675="",$AL2675=""),"保留中",IF($AL2675&lt;&gt;"",IF(N($AE2675)&gt;0,"支給済","不支給"),IF($AE2675="","要確認",IF($AE2675=0,"不支給","未処理")))))</f>
        <v/>
      </c>
      <c r="AG2675" s="12" t="n"/>
      <c r="AH2675" s="11" t="n"/>
      <c r="AI2675" s="11" t="n"/>
      <c r="AJ2675" s="11" t="n"/>
      <c r="AK2675" s="14">
        <f>IF(AND($AF2675="保留中",$AH2675&lt;&gt;""),TODAY()-$AH2675,"")</f>
        <v/>
      </c>
      <c r="AL2675" s="12" t="n"/>
      <c r="AM2675" s="14">
        <f>IF($B2675="","",IF($AQ2675="","対象年月が未入力／","")&amp;IF($B2675="","",IF($AP2675="","職員マスタに未登録の職員番号／",IF($AA2675="","標準報酬月額が未登録／","")&amp;IF(AND($AQ2675&lt;&gt;"",OR(AND(INDEX(職員マスタ!$G$6:$G$405,$AP2675)&lt;&gt;"",INDEX(職員マスタ!$G$6:$G$405,$AP2675)&gt;EOMONTH($AQ2675,0)),AND(INDEX(職員マスタ!$H$6:$H$405,$AP2675)&lt;&gt;"",INDEX(職員マスタ!$H$6:$H$405,$AP2675)&lt;$AQ2675))),"対象月が時短期間外／","")&amp;IF(AND(INDEX(職員マスタ!$K$6:$K$405,$AP2675)&lt;&gt;"",N($W2675)&gt;0,INDEX(職員マスタ!$K$6:$K$405,$AP2675)&lt;&gt;$W2675),"標準報酬月額が申請書と相違（台帳"&amp;TEXT(INDEX(職員マスタ!$K$6:$K$405,$AP2675),"#,##0")&amp;"円／申請書"&amp;TEXT($W2675,"#,##0")&amp;"円）／","")&amp;IF(AND(INDEX(職員マスタ!$F$6:$F$405,$AP2675)&lt;&gt;"",$AQ2675&lt;&gt;"",INDEX(職員マスタ!$F$6:$F$405,$AP2675)&lt;$AQ2675),"対象月に子が2歳到達済／","")&amp;IF(AND($H2675&lt;&gt;"",INDEX(職員マスタ!$B$6:$B$405,$AP2675)&lt;&gt;"",SUBSTITUTE(SUBSTITUTE($H2675," ","")," ","")&lt;&gt;SUBSTITUTE(SUBSTITUTE(INDEX(職員マスタ!$B$6:$B$405,$AP2675)," ","")," ","")),"氏名がマスタと相違／","")&amp;IF(AND($Q2675&lt;&gt;"",INDEX(職員マスタ!$E$6:$E$405,$AP2675)&lt;&gt;"",$Q2675&lt;&gt;INDEX(職員マスタ!$E$6:$E$405,$AP2675)),"子の生年月日がマスタと相違／","")&amp;IF(AND($L2675&lt;&gt;"",INDEX(職員マスタ!$G$6:$G$405,$AP2675)&lt;&gt;"",$L2675&lt;&gt;INDEX(職員マスタ!$G$6:$G$405,$AP2675)),"時短開始日がマスタと相違／","")&amp;IF(AND($M2675&lt;&gt;"",INDEX(職員マスタ!$H$6:$H$405,$AP2675)&lt;&gt;"",$M2675&lt;&gt;INDEX(職員マスタ!$H$6:$H$405,$AP2675)),"時短終了日がマスタと相違／","")))&amp;IF(AND($B2675&lt;&gt;"",$E2675=""),"報酬額が未入力／","")&amp;IF(N($U2675)&gt;0,"申請書に入力エラーが残っています／","")&amp;IF(AND($B2675&lt;&gt;"",$AQ2675&lt;&gt;""),IF(COUNTIFS($B$6:$B$3005,$B2675,$C$6:$C$3005,$C2675,$D$6:$D$3005,$D2675)&gt;1,"同じ月の請求が重複しています／",""),"")&amp;IF(AND(N($E2675)&gt;0,$AB2675&lt;&gt;"",$AB2675&lt;&gt;"×",$AE2675=0,$AD2675=""),"計算額が下限以下のため不支給／",""))</f>
        <v/>
      </c>
      <c r="AN2675" s="12" t="n"/>
      <c r="AO2675" s="14">
        <f>IF($AF2675="保留中",COUNTIF($AF$6:$AF2675,"保留中"),"")</f>
        <v/>
      </c>
      <c r="AP2675" s="14">
        <f>IF($AQ2675="","",IF(SUMPRODUCT(MAX((職員マスタ!$A$6:$A$405=$B2675)*(((職員マスタ!$G$6:$G$405="")+(職員マスタ!$G$6:$G$405&lt;=EOMONTH($AQ2675,0)))&gt;0)*(((職員マスタ!$H$6:$H$405="")+(職員マスタ!$H$6:$H$405&gt;=$AQ2675))&gt;0)*(ROW(職員マスタ!$A$6:$A$405)-5)))&gt;0,SUMPRODUCT(MAX((職員マスタ!$A$6:$A$405=$B2675)*(((職員マスタ!$G$6:$G$405="")+(職員マスタ!$G$6:$G$405&lt;=EOMONTH($AQ2675,0)))&gt;0)*(((職員マスタ!$H$6:$H$405="")+(職員マスタ!$H$6:$H$405&gt;=$AQ2675))&gt;0)*(ROW(職員マスタ!$A$6:$A$405)-5))),IFERROR(MATCH($B2675,職員マスタ!$A$6:$A$405,0),"")))</f>
        <v/>
      </c>
      <c r="AQ2675" s="16">
        <f>IF(OR($B2675="",$C2675="",$D2675=""),"",DATE($C2675+2018,$D2675,1))</f>
        <v/>
      </c>
    </row>
    <row r="2676">
      <c r="A2676" s="11" t="n"/>
      <c r="B2676" s="12" t="n"/>
      <c r="C2676" s="12" t="n"/>
      <c r="D2676" s="12" t="n"/>
      <c r="E2676" s="13" t="n"/>
      <c r="F2676" s="12" t="n"/>
      <c r="G2676" s="13" t="n"/>
      <c r="H2676" s="12" t="n"/>
      <c r="I2676" s="12" t="n"/>
      <c r="J2676" s="12" t="n"/>
      <c r="K2676" s="12" t="n"/>
      <c r="L2676" s="11" t="n"/>
      <c r="M2676" s="11" t="n"/>
      <c r="N2676" s="11" t="n"/>
      <c r="O2676" s="11" t="n"/>
      <c r="P2676" s="12" t="n"/>
      <c r="Q2676" s="11" t="n"/>
      <c r="R2676" s="12" t="n"/>
      <c r="S2676" s="11" t="n"/>
      <c r="T2676" s="12" t="n"/>
      <c r="U2676" s="12" t="n"/>
      <c r="V2676" s="12" t="n"/>
      <c r="W2676" s="13" t="n"/>
      <c r="X2676" s="14">
        <f>IF($AP2676="",IF($B2676="","",$H2676),IF(INDEX(職員マスタ!$B$6:$B$405,$AP2676)="",$H2676,INDEX(職員マスタ!$B$6:$B$405,$AP2676)))</f>
        <v/>
      </c>
      <c r="Y2676" s="14">
        <f>IF($AP2676="",IF($B2676="","",$R2676),IF(INDEX(職員マスタ!$C$6:$C$405,$AP2676)="",$R2676,INDEX(職員マスタ!$C$6:$C$405,$AP2676)))</f>
        <v/>
      </c>
      <c r="Z2676" s="14">
        <f>IF($AQ2676="","","R"&amp;$C2676&amp;"."&amp;$D2676)</f>
        <v/>
      </c>
      <c r="AA2676" s="15">
        <f>IF(IF($AP2676="",FALSE,INDEX(職員マスタ!$K$6:$K$405,$AP2676)&lt;&gt;""),INDEX(職員マスタ!$K$6:$K$405,$AP2676),IF(N($W2676)&gt;0,$W2676,""))</f>
        <v/>
      </c>
      <c r="AB2676" s="14">
        <f>IF(OR($E2676="",$AA2676=""),"",IF($E2676&gt;=$AA2676,"×",IF($E2676&gt;=$AA2676*設定!$C$5,"△","○")))</f>
        <v/>
      </c>
      <c r="AC2676" s="15">
        <f>IF($AB2676="","",IF($AB2676="×",0,IF($AB2676="○",ROUNDDOWN($E2676*設定!$C$4,0),ROUNDDOWN($E2676*ROUND((9*$AA2676-9*$E2676)/(10*$E2676),4),0))))</f>
        <v/>
      </c>
      <c r="AD2676" s="13" t="n"/>
      <c r="AE2676" s="15">
        <f>IF($B2676="","",IF($AD2676&lt;&gt;"",$AD2676,IF($AC2676="","",IF($AC2676&lt;=設定!$C$3,0,$AC2676))))</f>
        <v/>
      </c>
      <c r="AF2676" s="14">
        <f>IF($B2676="","",IF(AND($AG2676&lt;&gt;"",$AI2676="",$AL2676=""),"保留中",IF($AL2676&lt;&gt;"",IF(N($AE2676)&gt;0,"支給済","不支給"),IF($AE2676="","要確認",IF($AE2676=0,"不支給","未処理")))))</f>
        <v/>
      </c>
      <c r="AG2676" s="12" t="n"/>
      <c r="AH2676" s="11" t="n"/>
      <c r="AI2676" s="11" t="n"/>
      <c r="AJ2676" s="11" t="n"/>
      <c r="AK2676" s="14">
        <f>IF(AND($AF2676="保留中",$AH2676&lt;&gt;""),TODAY()-$AH2676,"")</f>
        <v/>
      </c>
      <c r="AL2676" s="12" t="n"/>
      <c r="AM2676" s="14">
        <f>IF($B2676="","",IF($AQ2676="","対象年月が未入力／","")&amp;IF($B2676="","",IF($AP2676="","職員マスタに未登録の職員番号／",IF($AA2676="","標準報酬月額が未登録／","")&amp;IF(AND($AQ2676&lt;&gt;"",OR(AND(INDEX(職員マスタ!$G$6:$G$405,$AP2676)&lt;&gt;"",INDEX(職員マスタ!$G$6:$G$405,$AP2676)&gt;EOMONTH($AQ2676,0)),AND(INDEX(職員マスタ!$H$6:$H$405,$AP2676)&lt;&gt;"",INDEX(職員マスタ!$H$6:$H$405,$AP2676)&lt;$AQ2676))),"対象月が時短期間外／","")&amp;IF(AND(INDEX(職員マスタ!$K$6:$K$405,$AP2676)&lt;&gt;"",N($W2676)&gt;0,INDEX(職員マスタ!$K$6:$K$405,$AP2676)&lt;&gt;$W2676),"標準報酬月額が申請書と相違（台帳"&amp;TEXT(INDEX(職員マスタ!$K$6:$K$405,$AP2676),"#,##0")&amp;"円／申請書"&amp;TEXT($W2676,"#,##0")&amp;"円）／","")&amp;IF(AND(INDEX(職員マスタ!$F$6:$F$405,$AP2676)&lt;&gt;"",$AQ2676&lt;&gt;"",INDEX(職員マスタ!$F$6:$F$405,$AP2676)&lt;$AQ2676),"対象月に子が2歳到達済／","")&amp;IF(AND($H2676&lt;&gt;"",INDEX(職員マスタ!$B$6:$B$405,$AP2676)&lt;&gt;"",SUBSTITUTE(SUBSTITUTE($H2676," ","")," ","")&lt;&gt;SUBSTITUTE(SUBSTITUTE(INDEX(職員マスタ!$B$6:$B$405,$AP2676)," ","")," ","")),"氏名がマスタと相違／","")&amp;IF(AND($Q2676&lt;&gt;"",INDEX(職員マスタ!$E$6:$E$405,$AP2676)&lt;&gt;"",$Q2676&lt;&gt;INDEX(職員マスタ!$E$6:$E$405,$AP2676)),"子の生年月日がマスタと相違／","")&amp;IF(AND($L2676&lt;&gt;"",INDEX(職員マスタ!$G$6:$G$405,$AP2676)&lt;&gt;"",$L2676&lt;&gt;INDEX(職員マスタ!$G$6:$G$405,$AP2676)),"時短開始日がマスタと相違／","")&amp;IF(AND($M2676&lt;&gt;"",INDEX(職員マスタ!$H$6:$H$405,$AP2676)&lt;&gt;"",$M2676&lt;&gt;INDEX(職員マスタ!$H$6:$H$405,$AP2676)),"時短終了日がマスタと相違／","")))&amp;IF(AND($B2676&lt;&gt;"",$E2676=""),"報酬額が未入力／","")&amp;IF(N($U2676)&gt;0,"申請書に入力エラーが残っています／","")&amp;IF(AND($B2676&lt;&gt;"",$AQ2676&lt;&gt;""),IF(COUNTIFS($B$6:$B$3005,$B2676,$C$6:$C$3005,$C2676,$D$6:$D$3005,$D2676)&gt;1,"同じ月の請求が重複しています／",""),"")&amp;IF(AND(N($E2676)&gt;0,$AB2676&lt;&gt;"",$AB2676&lt;&gt;"×",$AE2676=0,$AD2676=""),"計算額が下限以下のため不支給／",""))</f>
        <v/>
      </c>
      <c r="AN2676" s="12" t="n"/>
      <c r="AO2676" s="14">
        <f>IF($AF2676="保留中",COUNTIF($AF$6:$AF2676,"保留中"),"")</f>
        <v/>
      </c>
      <c r="AP2676" s="14">
        <f>IF($AQ2676="","",IF(SUMPRODUCT(MAX((職員マスタ!$A$6:$A$405=$B2676)*(((職員マスタ!$G$6:$G$405="")+(職員マスタ!$G$6:$G$405&lt;=EOMONTH($AQ2676,0)))&gt;0)*(((職員マスタ!$H$6:$H$405="")+(職員マスタ!$H$6:$H$405&gt;=$AQ2676))&gt;0)*(ROW(職員マスタ!$A$6:$A$405)-5)))&gt;0,SUMPRODUCT(MAX((職員マスタ!$A$6:$A$405=$B2676)*(((職員マスタ!$G$6:$G$405="")+(職員マスタ!$G$6:$G$405&lt;=EOMONTH($AQ2676,0)))&gt;0)*(((職員マスタ!$H$6:$H$405="")+(職員マスタ!$H$6:$H$405&gt;=$AQ2676))&gt;0)*(ROW(職員マスタ!$A$6:$A$405)-5))),IFERROR(MATCH($B2676,職員マスタ!$A$6:$A$405,0),"")))</f>
        <v/>
      </c>
      <c r="AQ2676" s="16">
        <f>IF(OR($B2676="",$C2676="",$D2676=""),"",DATE($C2676+2018,$D2676,1))</f>
        <v/>
      </c>
    </row>
    <row r="2677">
      <c r="A2677" s="11" t="n"/>
      <c r="B2677" s="12" t="n"/>
      <c r="C2677" s="12" t="n"/>
      <c r="D2677" s="12" t="n"/>
      <c r="E2677" s="13" t="n"/>
      <c r="F2677" s="12" t="n"/>
      <c r="G2677" s="13" t="n"/>
      <c r="H2677" s="12" t="n"/>
      <c r="I2677" s="12" t="n"/>
      <c r="J2677" s="12" t="n"/>
      <c r="K2677" s="12" t="n"/>
      <c r="L2677" s="11" t="n"/>
      <c r="M2677" s="11" t="n"/>
      <c r="N2677" s="11" t="n"/>
      <c r="O2677" s="11" t="n"/>
      <c r="P2677" s="12" t="n"/>
      <c r="Q2677" s="11" t="n"/>
      <c r="R2677" s="12" t="n"/>
      <c r="S2677" s="11" t="n"/>
      <c r="T2677" s="12" t="n"/>
      <c r="U2677" s="12" t="n"/>
      <c r="V2677" s="12" t="n"/>
      <c r="W2677" s="13" t="n"/>
      <c r="X2677" s="14">
        <f>IF($AP2677="",IF($B2677="","",$H2677),IF(INDEX(職員マスタ!$B$6:$B$405,$AP2677)="",$H2677,INDEX(職員マスタ!$B$6:$B$405,$AP2677)))</f>
        <v/>
      </c>
      <c r="Y2677" s="14">
        <f>IF($AP2677="",IF($B2677="","",$R2677),IF(INDEX(職員マスタ!$C$6:$C$405,$AP2677)="",$R2677,INDEX(職員マスタ!$C$6:$C$405,$AP2677)))</f>
        <v/>
      </c>
      <c r="Z2677" s="14">
        <f>IF($AQ2677="","","R"&amp;$C2677&amp;"."&amp;$D2677)</f>
        <v/>
      </c>
      <c r="AA2677" s="15">
        <f>IF(IF($AP2677="",FALSE,INDEX(職員マスタ!$K$6:$K$405,$AP2677)&lt;&gt;""),INDEX(職員マスタ!$K$6:$K$405,$AP2677),IF(N($W2677)&gt;0,$W2677,""))</f>
        <v/>
      </c>
      <c r="AB2677" s="14">
        <f>IF(OR($E2677="",$AA2677=""),"",IF($E2677&gt;=$AA2677,"×",IF($E2677&gt;=$AA2677*設定!$C$5,"△","○")))</f>
        <v/>
      </c>
      <c r="AC2677" s="15">
        <f>IF($AB2677="","",IF($AB2677="×",0,IF($AB2677="○",ROUNDDOWN($E2677*設定!$C$4,0),ROUNDDOWN($E2677*ROUND((9*$AA2677-9*$E2677)/(10*$E2677),4),0))))</f>
        <v/>
      </c>
      <c r="AD2677" s="13" t="n"/>
      <c r="AE2677" s="15">
        <f>IF($B2677="","",IF($AD2677&lt;&gt;"",$AD2677,IF($AC2677="","",IF($AC2677&lt;=設定!$C$3,0,$AC2677))))</f>
        <v/>
      </c>
      <c r="AF2677" s="14">
        <f>IF($B2677="","",IF(AND($AG2677&lt;&gt;"",$AI2677="",$AL2677=""),"保留中",IF($AL2677&lt;&gt;"",IF(N($AE2677)&gt;0,"支給済","不支給"),IF($AE2677="","要確認",IF($AE2677=0,"不支給","未処理")))))</f>
        <v/>
      </c>
      <c r="AG2677" s="12" t="n"/>
      <c r="AH2677" s="11" t="n"/>
      <c r="AI2677" s="11" t="n"/>
      <c r="AJ2677" s="11" t="n"/>
      <c r="AK2677" s="14">
        <f>IF(AND($AF2677="保留中",$AH2677&lt;&gt;""),TODAY()-$AH2677,"")</f>
        <v/>
      </c>
      <c r="AL2677" s="12" t="n"/>
      <c r="AM2677" s="14">
        <f>IF($B2677="","",IF($AQ2677="","対象年月が未入力／","")&amp;IF($B2677="","",IF($AP2677="","職員マスタに未登録の職員番号／",IF($AA2677="","標準報酬月額が未登録／","")&amp;IF(AND($AQ2677&lt;&gt;"",OR(AND(INDEX(職員マスタ!$G$6:$G$405,$AP2677)&lt;&gt;"",INDEX(職員マスタ!$G$6:$G$405,$AP2677)&gt;EOMONTH($AQ2677,0)),AND(INDEX(職員マスタ!$H$6:$H$405,$AP2677)&lt;&gt;"",INDEX(職員マスタ!$H$6:$H$405,$AP2677)&lt;$AQ2677))),"対象月が時短期間外／","")&amp;IF(AND(INDEX(職員マスタ!$K$6:$K$405,$AP2677)&lt;&gt;"",N($W2677)&gt;0,INDEX(職員マスタ!$K$6:$K$405,$AP2677)&lt;&gt;$W2677),"標準報酬月額が申請書と相違（台帳"&amp;TEXT(INDEX(職員マスタ!$K$6:$K$405,$AP2677),"#,##0")&amp;"円／申請書"&amp;TEXT($W2677,"#,##0")&amp;"円）／","")&amp;IF(AND(INDEX(職員マスタ!$F$6:$F$405,$AP2677)&lt;&gt;"",$AQ2677&lt;&gt;"",INDEX(職員マスタ!$F$6:$F$405,$AP2677)&lt;$AQ2677),"対象月に子が2歳到達済／","")&amp;IF(AND($H2677&lt;&gt;"",INDEX(職員マスタ!$B$6:$B$405,$AP2677)&lt;&gt;"",SUBSTITUTE(SUBSTITUTE($H2677," ","")," ","")&lt;&gt;SUBSTITUTE(SUBSTITUTE(INDEX(職員マスタ!$B$6:$B$405,$AP2677)," ","")," ","")),"氏名がマスタと相違／","")&amp;IF(AND($Q2677&lt;&gt;"",INDEX(職員マスタ!$E$6:$E$405,$AP2677)&lt;&gt;"",$Q2677&lt;&gt;INDEX(職員マスタ!$E$6:$E$405,$AP2677)),"子の生年月日がマスタと相違／","")&amp;IF(AND($L2677&lt;&gt;"",INDEX(職員マスタ!$G$6:$G$405,$AP2677)&lt;&gt;"",$L2677&lt;&gt;INDEX(職員マスタ!$G$6:$G$405,$AP2677)),"時短開始日がマスタと相違／","")&amp;IF(AND($M2677&lt;&gt;"",INDEX(職員マスタ!$H$6:$H$405,$AP2677)&lt;&gt;"",$M2677&lt;&gt;INDEX(職員マスタ!$H$6:$H$405,$AP2677)),"時短終了日がマスタと相違／","")))&amp;IF(AND($B2677&lt;&gt;"",$E2677=""),"報酬額が未入力／","")&amp;IF(N($U2677)&gt;0,"申請書に入力エラーが残っています／","")&amp;IF(AND($B2677&lt;&gt;"",$AQ2677&lt;&gt;""),IF(COUNTIFS($B$6:$B$3005,$B2677,$C$6:$C$3005,$C2677,$D$6:$D$3005,$D2677)&gt;1,"同じ月の請求が重複しています／",""),"")&amp;IF(AND(N($E2677)&gt;0,$AB2677&lt;&gt;"",$AB2677&lt;&gt;"×",$AE2677=0,$AD2677=""),"計算額が下限以下のため不支給／",""))</f>
        <v/>
      </c>
      <c r="AN2677" s="12" t="n"/>
      <c r="AO2677" s="14">
        <f>IF($AF2677="保留中",COUNTIF($AF$6:$AF2677,"保留中"),"")</f>
        <v/>
      </c>
      <c r="AP2677" s="14">
        <f>IF($AQ2677="","",IF(SUMPRODUCT(MAX((職員マスタ!$A$6:$A$405=$B2677)*(((職員マスタ!$G$6:$G$405="")+(職員マスタ!$G$6:$G$405&lt;=EOMONTH($AQ2677,0)))&gt;0)*(((職員マスタ!$H$6:$H$405="")+(職員マスタ!$H$6:$H$405&gt;=$AQ2677))&gt;0)*(ROW(職員マスタ!$A$6:$A$405)-5)))&gt;0,SUMPRODUCT(MAX((職員マスタ!$A$6:$A$405=$B2677)*(((職員マスタ!$G$6:$G$405="")+(職員マスタ!$G$6:$G$405&lt;=EOMONTH($AQ2677,0)))&gt;0)*(((職員マスタ!$H$6:$H$405="")+(職員マスタ!$H$6:$H$405&gt;=$AQ2677))&gt;0)*(ROW(職員マスタ!$A$6:$A$405)-5))),IFERROR(MATCH($B2677,職員マスタ!$A$6:$A$405,0),"")))</f>
        <v/>
      </c>
      <c r="AQ2677" s="16">
        <f>IF(OR($B2677="",$C2677="",$D2677=""),"",DATE($C2677+2018,$D2677,1))</f>
        <v/>
      </c>
    </row>
    <row r="2678">
      <c r="A2678" s="11" t="n"/>
      <c r="B2678" s="12" t="n"/>
      <c r="C2678" s="12" t="n"/>
      <c r="D2678" s="12" t="n"/>
      <c r="E2678" s="13" t="n"/>
      <c r="F2678" s="12" t="n"/>
      <c r="G2678" s="13" t="n"/>
      <c r="H2678" s="12" t="n"/>
      <c r="I2678" s="12" t="n"/>
      <c r="J2678" s="12" t="n"/>
      <c r="K2678" s="12" t="n"/>
      <c r="L2678" s="11" t="n"/>
      <c r="M2678" s="11" t="n"/>
      <c r="N2678" s="11" t="n"/>
      <c r="O2678" s="11" t="n"/>
      <c r="P2678" s="12" t="n"/>
      <c r="Q2678" s="11" t="n"/>
      <c r="R2678" s="12" t="n"/>
      <c r="S2678" s="11" t="n"/>
      <c r="T2678" s="12" t="n"/>
      <c r="U2678" s="12" t="n"/>
      <c r="V2678" s="12" t="n"/>
      <c r="W2678" s="13" t="n"/>
      <c r="X2678" s="14">
        <f>IF($AP2678="",IF($B2678="","",$H2678),IF(INDEX(職員マスタ!$B$6:$B$405,$AP2678)="",$H2678,INDEX(職員マスタ!$B$6:$B$405,$AP2678)))</f>
        <v/>
      </c>
      <c r="Y2678" s="14">
        <f>IF($AP2678="",IF($B2678="","",$R2678),IF(INDEX(職員マスタ!$C$6:$C$405,$AP2678)="",$R2678,INDEX(職員マスタ!$C$6:$C$405,$AP2678)))</f>
        <v/>
      </c>
      <c r="Z2678" s="14">
        <f>IF($AQ2678="","","R"&amp;$C2678&amp;"."&amp;$D2678)</f>
        <v/>
      </c>
      <c r="AA2678" s="15">
        <f>IF(IF($AP2678="",FALSE,INDEX(職員マスタ!$K$6:$K$405,$AP2678)&lt;&gt;""),INDEX(職員マスタ!$K$6:$K$405,$AP2678),IF(N($W2678)&gt;0,$W2678,""))</f>
        <v/>
      </c>
      <c r="AB2678" s="14">
        <f>IF(OR($E2678="",$AA2678=""),"",IF($E2678&gt;=$AA2678,"×",IF($E2678&gt;=$AA2678*設定!$C$5,"△","○")))</f>
        <v/>
      </c>
      <c r="AC2678" s="15">
        <f>IF($AB2678="","",IF($AB2678="×",0,IF($AB2678="○",ROUNDDOWN($E2678*設定!$C$4,0),ROUNDDOWN($E2678*ROUND((9*$AA2678-9*$E2678)/(10*$E2678),4),0))))</f>
        <v/>
      </c>
      <c r="AD2678" s="13" t="n"/>
      <c r="AE2678" s="15">
        <f>IF($B2678="","",IF($AD2678&lt;&gt;"",$AD2678,IF($AC2678="","",IF($AC2678&lt;=設定!$C$3,0,$AC2678))))</f>
        <v/>
      </c>
      <c r="AF2678" s="14">
        <f>IF($B2678="","",IF(AND($AG2678&lt;&gt;"",$AI2678="",$AL2678=""),"保留中",IF($AL2678&lt;&gt;"",IF(N($AE2678)&gt;0,"支給済","不支給"),IF($AE2678="","要確認",IF($AE2678=0,"不支給","未処理")))))</f>
        <v/>
      </c>
      <c r="AG2678" s="12" t="n"/>
      <c r="AH2678" s="11" t="n"/>
      <c r="AI2678" s="11" t="n"/>
      <c r="AJ2678" s="11" t="n"/>
      <c r="AK2678" s="14">
        <f>IF(AND($AF2678="保留中",$AH2678&lt;&gt;""),TODAY()-$AH2678,"")</f>
        <v/>
      </c>
      <c r="AL2678" s="12" t="n"/>
      <c r="AM2678" s="14">
        <f>IF($B2678="","",IF($AQ2678="","対象年月が未入力／","")&amp;IF($B2678="","",IF($AP2678="","職員マスタに未登録の職員番号／",IF($AA2678="","標準報酬月額が未登録／","")&amp;IF(AND($AQ2678&lt;&gt;"",OR(AND(INDEX(職員マスタ!$G$6:$G$405,$AP2678)&lt;&gt;"",INDEX(職員マスタ!$G$6:$G$405,$AP2678)&gt;EOMONTH($AQ2678,0)),AND(INDEX(職員マスタ!$H$6:$H$405,$AP2678)&lt;&gt;"",INDEX(職員マスタ!$H$6:$H$405,$AP2678)&lt;$AQ2678))),"対象月が時短期間外／","")&amp;IF(AND(INDEX(職員マスタ!$K$6:$K$405,$AP2678)&lt;&gt;"",N($W2678)&gt;0,INDEX(職員マスタ!$K$6:$K$405,$AP2678)&lt;&gt;$W2678),"標準報酬月額が申請書と相違（台帳"&amp;TEXT(INDEX(職員マスタ!$K$6:$K$405,$AP2678),"#,##0")&amp;"円／申請書"&amp;TEXT($W2678,"#,##0")&amp;"円）／","")&amp;IF(AND(INDEX(職員マスタ!$F$6:$F$405,$AP2678)&lt;&gt;"",$AQ2678&lt;&gt;"",INDEX(職員マスタ!$F$6:$F$405,$AP2678)&lt;$AQ2678),"対象月に子が2歳到達済／","")&amp;IF(AND($H2678&lt;&gt;"",INDEX(職員マスタ!$B$6:$B$405,$AP2678)&lt;&gt;"",SUBSTITUTE(SUBSTITUTE($H2678," ","")," ","")&lt;&gt;SUBSTITUTE(SUBSTITUTE(INDEX(職員マスタ!$B$6:$B$405,$AP2678)," ","")," ","")),"氏名がマスタと相違／","")&amp;IF(AND($Q2678&lt;&gt;"",INDEX(職員マスタ!$E$6:$E$405,$AP2678)&lt;&gt;"",$Q2678&lt;&gt;INDEX(職員マスタ!$E$6:$E$405,$AP2678)),"子の生年月日がマスタと相違／","")&amp;IF(AND($L2678&lt;&gt;"",INDEX(職員マスタ!$G$6:$G$405,$AP2678)&lt;&gt;"",$L2678&lt;&gt;INDEX(職員マスタ!$G$6:$G$405,$AP2678)),"時短開始日がマスタと相違／","")&amp;IF(AND($M2678&lt;&gt;"",INDEX(職員マスタ!$H$6:$H$405,$AP2678)&lt;&gt;"",$M2678&lt;&gt;INDEX(職員マスタ!$H$6:$H$405,$AP2678)),"時短終了日がマスタと相違／","")))&amp;IF(AND($B2678&lt;&gt;"",$E2678=""),"報酬額が未入力／","")&amp;IF(N($U2678)&gt;0,"申請書に入力エラーが残っています／","")&amp;IF(AND($B2678&lt;&gt;"",$AQ2678&lt;&gt;""),IF(COUNTIFS($B$6:$B$3005,$B2678,$C$6:$C$3005,$C2678,$D$6:$D$3005,$D2678)&gt;1,"同じ月の請求が重複しています／",""),"")&amp;IF(AND(N($E2678)&gt;0,$AB2678&lt;&gt;"",$AB2678&lt;&gt;"×",$AE2678=0,$AD2678=""),"計算額が下限以下のため不支給／",""))</f>
        <v/>
      </c>
      <c r="AN2678" s="12" t="n"/>
      <c r="AO2678" s="14">
        <f>IF($AF2678="保留中",COUNTIF($AF$6:$AF2678,"保留中"),"")</f>
        <v/>
      </c>
      <c r="AP2678" s="14">
        <f>IF($AQ2678="","",IF(SUMPRODUCT(MAX((職員マスタ!$A$6:$A$405=$B2678)*(((職員マスタ!$G$6:$G$405="")+(職員マスタ!$G$6:$G$405&lt;=EOMONTH($AQ2678,0)))&gt;0)*(((職員マスタ!$H$6:$H$405="")+(職員マスタ!$H$6:$H$405&gt;=$AQ2678))&gt;0)*(ROW(職員マスタ!$A$6:$A$405)-5)))&gt;0,SUMPRODUCT(MAX((職員マスタ!$A$6:$A$405=$B2678)*(((職員マスタ!$G$6:$G$405="")+(職員マスタ!$G$6:$G$405&lt;=EOMONTH($AQ2678,0)))&gt;0)*(((職員マスタ!$H$6:$H$405="")+(職員マスタ!$H$6:$H$405&gt;=$AQ2678))&gt;0)*(ROW(職員マスタ!$A$6:$A$405)-5))),IFERROR(MATCH($B2678,職員マスタ!$A$6:$A$405,0),"")))</f>
        <v/>
      </c>
      <c r="AQ2678" s="16">
        <f>IF(OR($B2678="",$C2678="",$D2678=""),"",DATE($C2678+2018,$D2678,1))</f>
        <v/>
      </c>
    </row>
    <row r="2679">
      <c r="A2679" s="11" t="n"/>
      <c r="B2679" s="12" t="n"/>
      <c r="C2679" s="12" t="n"/>
      <c r="D2679" s="12" t="n"/>
      <c r="E2679" s="13" t="n"/>
      <c r="F2679" s="12" t="n"/>
      <c r="G2679" s="13" t="n"/>
      <c r="H2679" s="12" t="n"/>
      <c r="I2679" s="12" t="n"/>
      <c r="J2679" s="12" t="n"/>
      <c r="K2679" s="12" t="n"/>
      <c r="L2679" s="11" t="n"/>
      <c r="M2679" s="11" t="n"/>
      <c r="N2679" s="11" t="n"/>
      <c r="O2679" s="11" t="n"/>
      <c r="P2679" s="12" t="n"/>
      <c r="Q2679" s="11" t="n"/>
      <c r="R2679" s="12" t="n"/>
      <c r="S2679" s="11" t="n"/>
      <c r="T2679" s="12" t="n"/>
      <c r="U2679" s="12" t="n"/>
      <c r="V2679" s="12" t="n"/>
      <c r="W2679" s="13" t="n"/>
      <c r="X2679" s="14">
        <f>IF($AP2679="",IF($B2679="","",$H2679),IF(INDEX(職員マスタ!$B$6:$B$405,$AP2679)="",$H2679,INDEX(職員マスタ!$B$6:$B$405,$AP2679)))</f>
        <v/>
      </c>
      <c r="Y2679" s="14">
        <f>IF($AP2679="",IF($B2679="","",$R2679),IF(INDEX(職員マスタ!$C$6:$C$405,$AP2679)="",$R2679,INDEX(職員マスタ!$C$6:$C$405,$AP2679)))</f>
        <v/>
      </c>
      <c r="Z2679" s="14">
        <f>IF($AQ2679="","","R"&amp;$C2679&amp;"."&amp;$D2679)</f>
        <v/>
      </c>
      <c r="AA2679" s="15">
        <f>IF(IF($AP2679="",FALSE,INDEX(職員マスタ!$K$6:$K$405,$AP2679)&lt;&gt;""),INDEX(職員マスタ!$K$6:$K$405,$AP2679),IF(N($W2679)&gt;0,$W2679,""))</f>
        <v/>
      </c>
      <c r="AB2679" s="14">
        <f>IF(OR($E2679="",$AA2679=""),"",IF($E2679&gt;=$AA2679,"×",IF($E2679&gt;=$AA2679*設定!$C$5,"△","○")))</f>
        <v/>
      </c>
      <c r="AC2679" s="15">
        <f>IF($AB2679="","",IF($AB2679="×",0,IF($AB2679="○",ROUNDDOWN($E2679*設定!$C$4,0),ROUNDDOWN($E2679*ROUND((9*$AA2679-9*$E2679)/(10*$E2679),4),0))))</f>
        <v/>
      </c>
      <c r="AD2679" s="13" t="n"/>
      <c r="AE2679" s="15">
        <f>IF($B2679="","",IF($AD2679&lt;&gt;"",$AD2679,IF($AC2679="","",IF($AC2679&lt;=設定!$C$3,0,$AC2679))))</f>
        <v/>
      </c>
      <c r="AF2679" s="14">
        <f>IF($B2679="","",IF(AND($AG2679&lt;&gt;"",$AI2679="",$AL2679=""),"保留中",IF($AL2679&lt;&gt;"",IF(N($AE2679)&gt;0,"支給済","不支給"),IF($AE2679="","要確認",IF($AE2679=0,"不支給","未処理")))))</f>
        <v/>
      </c>
      <c r="AG2679" s="12" t="n"/>
      <c r="AH2679" s="11" t="n"/>
      <c r="AI2679" s="11" t="n"/>
      <c r="AJ2679" s="11" t="n"/>
      <c r="AK2679" s="14">
        <f>IF(AND($AF2679="保留中",$AH2679&lt;&gt;""),TODAY()-$AH2679,"")</f>
        <v/>
      </c>
      <c r="AL2679" s="12" t="n"/>
      <c r="AM2679" s="14">
        <f>IF($B2679="","",IF($AQ2679="","対象年月が未入力／","")&amp;IF($B2679="","",IF($AP2679="","職員マスタに未登録の職員番号／",IF($AA2679="","標準報酬月額が未登録／","")&amp;IF(AND($AQ2679&lt;&gt;"",OR(AND(INDEX(職員マスタ!$G$6:$G$405,$AP2679)&lt;&gt;"",INDEX(職員マスタ!$G$6:$G$405,$AP2679)&gt;EOMONTH($AQ2679,0)),AND(INDEX(職員マスタ!$H$6:$H$405,$AP2679)&lt;&gt;"",INDEX(職員マスタ!$H$6:$H$405,$AP2679)&lt;$AQ2679))),"対象月が時短期間外／","")&amp;IF(AND(INDEX(職員マスタ!$K$6:$K$405,$AP2679)&lt;&gt;"",N($W2679)&gt;0,INDEX(職員マスタ!$K$6:$K$405,$AP2679)&lt;&gt;$W2679),"標準報酬月額が申請書と相違（台帳"&amp;TEXT(INDEX(職員マスタ!$K$6:$K$405,$AP2679),"#,##0")&amp;"円／申請書"&amp;TEXT($W2679,"#,##0")&amp;"円）／","")&amp;IF(AND(INDEX(職員マスタ!$F$6:$F$405,$AP2679)&lt;&gt;"",$AQ2679&lt;&gt;"",INDEX(職員マスタ!$F$6:$F$405,$AP2679)&lt;$AQ2679),"対象月に子が2歳到達済／","")&amp;IF(AND($H2679&lt;&gt;"",INDEX(職員マスタ!$B$6:$B$405,$AP2679)&lt;&gt;"",SUBSTITUTE(SUBSTITUTE($H2679," ","")," ","")&lt;&gt;SUBSTITUTE(SUBSTITUTE(INDEX(職員マスタ!$B$6:$B$405,$AP2679)," ","")," ","")),"氏名がマスタと相違／","")&amp;IF(AND($Q2679&lt;&gt;"",INDEX(職員マスタ!$E$6:$E$405,$AP2679)&lt;&gt;"",$Q2679&lt;&gt;INDEX(職員マスタ!$E$6:$E$405,$AP2679)),"子の生年月日がマスタと相違／","")&amp;IF(AND($L2679&lt;&gt;"",INDEX(職員マスタ!$G$6:$G$405,$AP2679)&lt;&gt;"",$L2679&lt;&gt;INDEX(職員マスタ!$G$6:$G$405,$AP2679)),"時短開始日がマスタと相違／","")&amp;IF(AND($M2679&lt;&gt;"",INDEX(職員マスタ!$H$6:$H$405,$AP2679)&lt;&gt;"",$M2679&lt;&gt;INDEX(職員マスタ!$H$6:$H$405,$AP2679)),"時短終了日がマスタと相違／","")))&amp;IF(AND($B2679&lt;&gt;"",$E2679=""),"報酬額が未入力／","")&amp;IF(N($U2679)&gt;0,"申請書に入力エラーが残っています／","")&amp;IF(AND($B2679&lt;&gt;"",$AQ2679&lt;&gt;""),IF(COUNTIFS($B$6:$B$3005,$B2679,$C$6:$C$3005,$C2679,$D$6:$D$3005,$D2679)&gt;1,"同じ月の請求が重複しています／",""),"")&amp;IF(AND(N($E2679)&gt;0,$AB2679&lt;&gt;"",$AB2679&lt;&gt;"×",$AE2679=0,$AD2679=""),"計算額が下限以下のため不支給／",""))</f>
        <v/>
      </c>
      <c r="AN2679" s="12" t="n"/>
      <c r="AO2679" s="14">
        <f>IF($AF2679="保留中",COUNTIF($AF$6:$AF2679,"保留中"),"")</f>
        <v/>
      </c>
      <c r="AP2679" s="14">
        <f>IF($AQ2679="","",IF(SUMPRODUCT(MAX((職員マスタ!$A$6:$A$405=$B2679)*(((職員マスタ!$G$6:$G$405="")+(職員マスタ!$G$6:$G$405&lt;=EOMONTH($AQ2679,0)))&gt;0)*(((職員マスタ!$H$6:$H$405="")+(職員マスタ!$H$6:$H$405&gt;=$AQ2679))&gt;0)*(ROW(職員マスタ!$A$6:$A$405)-5)))&gt;0,SUMPRODUCT(MAX((職員マスタ!$A$6:$A$405=$B2679)*(((職員マスタ!$G$6:$G$405="")+(職員マスタ!$G$6:$G$405&lt;=EOMONTH($AQ2679,0)))&gt;0)*(((職員マスタ!$H$6:$H$405="")+(職員マスタ!$H$6:$H$405&gt;=$AQ2679))&gt;0)*(ROW(職員マスタ!$A$6:$A$405)-5))),IFERROR(MATCH($B2679,職員マスタ!$A$6:$A$405,0),"")))</f>
        <v/>
      </c>
      <c r="AQ2679" s="16">
        <f>IF(OR($B2679="",$C2679="",$D2679=""),"",DATE($C2679+2018,$D2679,1))</f>
        <v/>
      </c>
    </row>
    <row r="2680">
      <c r="A2680" s="11" t="n"/>
      <c r="B2680" s="12" t="n"/>
      <c r="C2680" s="12" t="n"/>
      <c r="D2680" s="12" t="n"/>
      <c r="E2680" s="13" t="n"/>
      <c r="F2680" s="12" t="n"/>
      <c r="G2680" s="13" t="n"/>
      <c r="H2680" s="12" t="n"/>
      <c r="I2680" s="12" t="n"/>
      <c r="J2680" s="12" t="n"/>
      <c r="K2680" s="12" t="n"/>
      <c r="L2680" s="11" t="n"/>
      <c r="M2680" s="11" t="n"/>
      <c r="N2680" s="11" t="n"/>
      <c r="O2680" s="11" t="n"/>
      <c r="P2680" s="12" t="n"/>
      <c r="Q2680" s="11" t="n"/>
      <c r="R2680" s="12" t="n"/>
      <c r="S2680" s="11" t="n"/>
      <c r="T2680" s="12" t="n"/>
      <c r="U2680" s="12" t="n"/>
      <c r="V2680" s="12" t="n"/>
      <c r="W2680" s="13" t="n"/>
      <c r="X2680" s="14">
        <f>IF($AP2680="",IF($B2680="","",$H2680),IF(INDEX(職員マスタ!$B$6:$B$405,$AP2680)="",$H2680,INDEX(職員マスタ!$B$6:$B$405,$AP2680)))</f>
        <v/>
      </c>
      <c r="Y2680" s="14">
        <f>IF($AP2680="",IF($B2680="","",$R2680),IF(INDEX(職員マスタ!$C$6:$C$405,$AP2680)="",$R2680,INDEX(職員マスタ!$C$6:$C$405,$AP2680)))</f>
        <v/>
      </c>
      <c r="Z2680" s="14">
        <f>IF($AQ2680="","","R"&amp;$C2680&amp;"."&amp;$D2680)</f>
        <v/>
      </c>
      <c r="AA2680" s="15">
        <f>IF(IF($AP2680="",FALSE,INDEX(職員マスタ!$K$6:$K$405,$AP2680)&lt;&gt;""),INDEX(職員マスタ!$K$6:$K$405,$AP2680),IF(N($W2680)&gt;0,$W2680,""))</f>
        <v/>
      </c>
      <c r="AB2680" s="14">
        <f>IF(OR($E2680="",$AA2680=""),"",IF($E2680&gt;=$AA2680,"×",IF($E2680&gt;=$AA2680*設定!$C$5,"△","○")))</f>
        <v/>
      </c>
      <c r="AC2680" s="15">
        <f>IF($AB2680="","",IF($AB2680="×",0,IF($AB2680="○",ROUNDDOWN($E2680*設定!$C$4,0),ROUNDDOWN($E2680*ROUND((9*$AA2680-9*$E2680)/(10*$E2680),4),0))))</f>
        <v/>
      </c>
      <c r="AD2680" s="13" t="n"/>
      <c r="AE2680" s="15">
        <f>IF($B2680="","",IF($AD2680&lt;&gt;"",$AD2680,IF($AC2680="","",IF($AC2680&lt;=設定!$C$3,0,$AC2680))))</f>
        <v/>
      </c>
      <c r="AF2680" s="14">
        <f>IF($B2680="","",IF(AND($AG2680&lt;&gt;"",$AI2680="",$AL2680=""),"保留中",IF($AL2680&lt;&gt;"",IF(N($AE2680)&gt;0,"支給済","不支給"),IF($AE2680="","要確認",IF($AE2680=0,"不支給","未処理")))))</f>
        <v/>
      </c>
      <c r="AG2680" s="12" t="n"/>
      <c r="AH2680" s="11" t="n"/>
      <c r="AI2680" s="11" t="n"/>
      <c r="AJ2680" s="11" t="n"/>
      <c r="AK2680" s="14">
        <f>IF(AND($AF2680="保留中",$AH2680&lt;&gt;""),TODAY()-$AH2680,"")</f>
        <v/>
      </c>
      <c r="AL2680" s="12" t="n"/>
      <c r="AM2680" s="14">
        <f>IF($B2680="","",IF($AQ2680="","対象年月が未入力／","")&amp;IF($B2680="","",IF($AP2680="","職員マスタに未登録の職員番号／",IF($AA2680="","標準報酬月額が未登録／","")&amp;IF(AND($AQ2680&lt;&gt;"",OR(AND(INDEX(職員マスタ!$G$6:$G$405,$AP2680)&lt;&gt;"",INDEX(職員マスタ!$G$6:$G$405,$AP2680)&gt;EOMONTH($AQ2680,0)),AND(INDEX(職員マスタ!$H$6:$H$405,$AP2680)&lt;&gt;"",INDEX(職員マスタ!$H$6:$H$405,$AP2680)&lt;$AQ2680))),"対象月が時短期間外／","")&amp;IF(AND(INDEX(職員マスタ!$K$6:$K$405,$AP2680)&lt;&gt;"",N($W2680)&gt;0,INDEX(職員マスタ!$K$6:$K$405,$AP2680)&lt;&gt;$W2680),"標準報酬月額が申請書と相違（台帳"&amp;TEXT(INDEX(職員マスタ!$K$6:$K$405,$AP2680),"#,##0")&amp;"円／申請書"&amp;TEXT($W2680,"#,##0")&amp;"円）／","")&amp;IF(AND(INDEX(職員マスタ!$F$6:$F$405,$AP2680)&lt;&gt;"",$AQ2680&lt;&gt;"",INDEX(職員マスタ!$F$6:$F$405,$AP2680)&lt;$AQ2680),"対象月に子が2歳到達済／","")&amp;IF(AND($H2680&lt;&gt;"",INDEX(職員マスタ!$B$6:$B$405,$AP2680)&lt;&gt;"",SUBSTITUTE(SUBSTITUTE($H2680," ","")," ","")&lt;&gt;SUBSTITUTE(SUBSTITUTE(INDEX(職員マスタ!$B$6:$B$405,$AP2680)," ","")," ","")),"氏名がマスタと相違／","")&amp;IF(AND($Q2680&lt;&gt;"",INDEX(職員マスタ!$E$6:$E$405,$AP2680)&lt;&gt;"",$Q2680&lt;&gt;INDEX(職員マスタ!$E$6:$E$405,$AP2680)),"子の生年月日がマスタと相違／","")&amp;IF(AND($L2680&lt;&gt;"",INDEX(職員マスタ!$G$6:$G$405,$AP2680)&lt;&gt;"",$L2680&lt;&gt;INDEX(職員マスタ!$G$6:$G$405,$AP2680)),"時短開始日がマスタと相違／","")&amp;IF(AND($M2680&lt;&gt;"",INDEX(職員マスタ!$H$6:$H$405,$AP2680)&lt;&gt;"",$M2680&lt;&gt;INDEX(職員マスタ!$H$6:$H$405,$AP2680)),"時短終了日がマスタと相違／","")))&amp;IF(AND($B2680&lt;&gt;"",$E2680=""),"報酬額が未入力／","")&amp;IF(N($U2680)&gt;0,"申請書に入力エラーが残っています／","")&amp;IF(AND($B2680&lt;&gt;"",$AQ2680&lt;&gt;""),IF(COUNTIFS($B$6:$B$3005,$B2680,$C$6:$C$3005,$C2680,$D$6:$D$3005,$D2680)&gt;1,"同じ月の請求が重複しています／",""),"")&amp;IF(AND(N($E2680)&gt;0,$AB2680&lt;&gt;"",$AB2680&lt;&gt;"×",$AE2680=0,$AD2680=""),"計算額が下限以下のため不支給／",""))</f>
        <v/>
      </c>
      <c r="AN2680" s="12" t="n"/>
      <c r="AO2680" s="14">
        <f>IF($AF2680="保留中",COUNTIF($AF$6:$AF2680,"保留中"),"")</f>
        <v/>
      </c>
      <c r="AP2680" s="14">
        <f>IF($AQ2680="","",IF(SUMPRODUCT(MAX((職員マスタ!$A$6:$A$405=$B2680)*(((職員マスタ!$G$6:$G$405="")+(職員マスタ!$G$6:$G$405&lt;=EOMONTH($AQ2680,0)))&gt;0)*(((職員マスタ!$H$6:$H$405="")+(職員マスタ!$H$6:$H$405&gt;=$AQ2680))&gt;0)*(ROW(職員マスタ!$A$6:$A$405)-5)))&gt;0,SUMPRODUCT(MAX((職員マスタ!$A$6:$A$405=$B2680)*(((職員マスタ!$G$6:$G$405="")+(職員マスタ!$G$6:$G$405&lt;=EOMONTH($AQ2680,0)))&gt;0)*(((職員マスタ!$H$6:$H$405="")+(職員マスタ!$H$6:$H$405&gt;=$AQ2680))&gt;0)*(ROW(職員マスタ!$A$6:$A$405)-5))),IFERROR(MATCH($B2680,職員マスタ!$A$6:$A$405,0),"")))</f>
        <v/>
      </c>
      <c r="AQ2680" s="16">
        <f>IF(OR($B2680="",$C2680="",$D2680=""),"",DATE($C2680+2018,$D2680,1))</f>
        <v/>
      </c>
    </row>
    <row r="2681">
      <c r="A2681" s="11" t="n"/>
      <c r="B2681" s="12" t="n"/>
      <c r="C2681" s="12" t="n"/>
      <c r="D2681" s="12" t="n"/>
      <c r="E2681" s="13" t="n"/>
      <c r="F2681" s="12" t="n"/>
      <c r="G2681" s="13" t="n"/>
      <c r="H2681" s="12" t="n"/>
      <c r="I2681" s="12" t="n"/>
      <c r="J2681" s="12" t="n"/>
      <c r="K2681" s="12" t="n"/>
      <c r="L2681" s="11" t="n"/>
      <c r="M2681" s="11" t="n"/>
      <c r="N2681" s="11" t="n"/>
      <c r="O2681" s="11" t="n"/>
      <c r="P2681" s="12" t="n"/>
      <c r="Q2681" s="11" t="n"/>
      <c r="R2681" s="12" t="n"/>
      <c r="S2681" s="11" t="n"/>
      <c r="T2681" s="12" t="n"/>
      <c r="U2681" s="12" t="n"/>
      <c r="V2681" s="12" t="n"/>
      <c r="W2681" s="13" t="n"/>
      <c r="X2681" s="14">
        <f>IF($AP2681="",IF($B2681="","",$H2681),IF(INDEX(職員マスタ!$B$6:$B$405,$AP2681)="",$H2681,INDEX(職員マスタ!$B$6:$B$405,$AP2681)))</f>
        <v/>
      </c>
      <c r="Y2681" s="14">
        <f>IF($AP2681="",IF($B2681="","",$R2681),IF(INDEX(職員マスタ!$C$6:$C$405,$AP2681)="",$R2681,INDEX(職員マスタ!$C$6:$C$405,$AP2681)))</f>
        <v/>
      </c>
      <c r="Z2681" s="14">
        <f>IF($AQ2681="","","R"&amp;$C2681&amp;"."&amp;$D2681)</f>
        <v/>
      </c>
      <c r="AA2681" s="15">
        <f>IF(IF($AP2681="",FALSE,INDEX(職員マスタ!$K$6:$K$405,$AP2681)&lt;&gt;""),INDEX(職員マスタ!$K$6:$K$405,$AP2681),IF(N($W2681)&gt;0,$W2681,""))</f>
        <v/>
      </c>
      <c r="AB2681" s="14">
        <f>IF(OR($E2681="",$AA2681=""),"",IF($E2681&gt;=$AA2681,"×",IF($E2681&gt;=$AA2681*設定!$C$5,"△","○")))</f>
        <v/>
      </c>
      <c r="AC2681" s="15">
        <f>IF($AB2681="","",IF($AB2681="×",0,IF($AB2681="○",ROUNDDOWN($E2681*設定!$C$4,0),ROUNDDOWN($E2681*ROUND((9*$AA2681-9*$E2681)/(10*$E2681),4),0))))</f>
        <v/>
      </c>
      <c r="AD2681" s="13" t="n"/>
      <c r="AE2681" s="15">
        <f>IF($B2681="","",IF($AD2681&lt;&gt;"",$AD2681,IF($AC2681="","",IF($AC2681&lt;=設定!$C$3,0,$AC2681))))</f>
        <v/>
      </c>
      <c r="AF2681" s="14">
        <f>IF($B2681="","",IF(AND($AG2681&lt;&gt;"",$AI2681="",$AL2681=""),"保留中",IF($AL2681&lt;&gt;"",IF(N($AE2681)&gt;0,"支給済","不支給"),IF($AE2681="","要確認",IF($AE2681=0,"不支給","未処理")))))</f>
        <v/>
      </c>
      <c r="AG2681" s="12" t="n"/>
      <c r="AH2681" s="11" t="n"/>
      <c r="AI2681" s="11" t="n"/>
      <c r="AJ2681" s="11" t="n"/>
      <c r="AK2681" s="14">
        <f>IF(AND($AF2681="保留中",$AH2681&lt;&gt;""),TODAY()-$AH2681,"")</f>
        <v/>
      </c>
      <c r="AL2681" s="12" t="n"/>
      <c r="AM2681" s="14">
        <f>IF($B2681="","",IF($AQ2681="","対象年月が未入力／","")&amp;IF($B2681="","",IF($AP2681="","職員マスタに未登録の職員番号／",IF($AA2681="","標準報酬月額が未登録／","")&amp;IF(AND($AQ2681&lt;&gt;"",OR(AND(INDEX(職員マスタ!$G$6:$G$405,$AP2681)&lt;&gt;"",INDEX(職員マスタ!$G$6:$G$405,$AP2681)&gt;EOMONTH($AQ2681,0)),AND(INDEX(職員マスタ!$H$6:$H$405,$AP2681)&lt;&gt;"",INDEX(職員マスタ!$H$6:$H$405,$AP2681)&lt;$AQ2681))),"対象月が時短期間外／","")&amp;IF(AND(INDEX(職員マスタ!$K$6:$K$405,$AP2681)&lt;&gt;"",N($W2681)&gt;0,INDEX(職員マスタ!$K$6:$K$405,$AP2681)&lt;&gt;$W2681),"標準報酬月額が申請書と相違（台帳"&amp;TEXT(INDEX(職員マスタ!$K$6:$K$405,$AP2681),"#,##0")&amp;"円／申請書"&amp;TEXT($W2681,"#,##0")&amp;"円）／","")&amp;IF(AND(INDEX(職員マスタ!$F$6:$F$405,$AP2681)&lt;&gt;"",$AQ2681&lt;&gt;"",INDEX(職員マスタ!$F$6:$F$405,$AP2681)&lt;$AQ2681),"対象月に子が2歳到達済／","")&amp;IF(AND($H2681&lt;&gt;"",INDEX(職員マスタ!$B$6:$B$405,$AP2681)&lt;&gt;"",SUBSTITUTE(SUBSTITUTE($H2681," ","")," ","")&lt;&gt;SUBSTITUTE(SUBSTITUTE(INDEX(職員マスタ!$B$6:$B$405,$AP2681)," ","")," ","")),"氏名がマスタと相違／","")&amp;IF(AND($Q2681&lt;&gt;"",INDEX(職員マスタ!$E$6:$E$405,$AP2681)&lt;&gt;"",$Q2681&lt;&gt;INDEX(職員マスタ!$E$6:$E$405,$AP2681)),"子の生年月日がマスタと相違／","")&amp;IF(AND($L2681&lt;&gt;"",INDEX(職員マスタ!$G$6:$G$405,$AP2681)&lt;&gt;"",$L2681&lt;&gt;INDEX(職員マスタ!$G$6:$G$405,$AP2681)),"時短開始日がマスタと相違／","")&amp;IF(AND($M2681&lt;&gt;"",INDEX(職員マスタ!$H$6:$H$405,$AP2681)&lt;&gt;"",$M2681&lt;&gt;INDEX(職員マスタ!$H$6:$H$405,$AP2681)),"時短終了日がマスタと相違／","")))&amp;IF(AND($B2681&lt;&gt;"",$E2681=""),"報酬額が未入力／","")&amp;IF(N($U2681)&gt;0,"申請書に入力エラーが残っています／","")&amp;IF(AND($B2681&lt;&gt;"",$AQ2681&lt;&gt;""),IF(COUNTIFS($B$6:$B$3005,$B2681,$C$6:$C$3005,$C2681,$D$6:$D$3005,$D2681)&gt;1,"同じ月の請求が重複しています／",""),"")&amp;IF(AND(N($E2681)&gt;0,$AB2681&lt;&gt;"",$AB2681&lt;&gt;"×",$AE2681=0,$AD2681=""),"計算額が下限以下のため不支給／",""))</f>
        <v/>
      </c>
      <c r="AN2681" s="12" t="n"/>
      <c r="AO2681" s="14">
        <f>IF($AF2681="保留中",COUNTIF($AF$6:$AF2681,"保留中"),"")</f>
        <v/>
      </c>
      <c r="AP2681" s="14">
        <f>IF($AQ2681="","",IF(SUMPRODUCT(MAX((職員マスタ!$A$6:$A$405=$B2681)*(((職員マスタ!$G$6:$G$405="")+(職員マスタ!$G$6:$G$405&lt;=EOMONTH($AQ2681,0)))&gt;0)*(((職員マスタ!$H$6:$H$405="")+(職員マスタ!$H$6:$H$405&gt;=$AQ2681))&gt;0)*(ROW(職員マスタ!$A$6:$A$405)-5)))&gt;0,SUMPRODUCT(MAX((職員マスタ!$A$6:$A$405=$B2681)*(((職員マスタ!$G$6:$G$405="")+(職員マスタ!$G$6:$G$405&lt;=EOMONTH($AQ2681,0)))&gt;0)*(((職員マスタ!$H$6:$H$405="")+(職員マスタ!$H$6:$H$405&gt;=$AQ2681))&gt;0)*(ROW(職員マスタ!$A$6:$A$405)-5))),IFERROR(MATCH($B2681,職員マスタ!$A$6:$A$405,0),"")))</f>
        <v/>
      </c>
      <c r="AQ2681" s="16">
        <f>IF(OR($B2681="",$C2681="",$D2681=""),"",DATE($C2681+2018,$D2681,1))</f>
        <v/>
      </c>
    </row>
    <row r="2682">
      <c r="A2682" s="11" t="n"/>
      <c r="B2682" s="12" t="n"/>
      <c r="C2682" s="12" t="n"/>
      <c r="D2682" s="12" t="n"/>
      <c r="E2682" s="13" t="n"/>
      <c r="F2682" s="12" t="n"/>
      <c r="G2682" s="13" t="n"/>
      <c r="H2682" s="12" t="n"/>
      <c r="I2682" s="12" t="n"/>
      <c r="J2682" s="12" t="n"/>
      <c r="K2682" s="12" t="n"/>
      <c r="L2682" s="11" t="n"/>
      <c r="M2682" s="11" t="n"/>
      <c r="N2682" s="11" t="n"/>
      <c r="O2682" s="11" t="n"/>
      <c r="P2682" s="12" t="n"/>
      <c r="Q2682" s="11" t="n"/>
      <c r="R2682" s="12" t="n"/>
      <c r="S2682" s="11" t="n"/>
      <c r="T2682" s="12" t="n"/>
      <c r="U2682" s="12" t="n"/>
      <c r="V2682" s="12" t="n"/>
      <c r="W2682" s="13" t="n"/>
      <c r="X2682" s="14">
        <f>IF($AP2682="",IF($B2682="","",$H2682),IF(INDEX(職員マスタ!$B$6:$B$405,$AP2682)="",$H2682,INDEX(職員マスタ!$B$6:$B$405,$AP2682)))</f>
        <v/>
      </c>
      <c r="Y2682" s="14">
        <f>IF($AP2682="",IF($B2682="","",$R2682),IF(INDEX(職員マスタ!$C$6:$C$405,$AP2682)="",$R2682,INDEX(職員マスタ!$C$6:$C$405,$AP2682)))</f>
        <v/>
      </c>
      <c r="Z2682" s="14">
        <f>IF($AQ2682="","","R"&amp;$C2682&amp;"."&amp;$D2682)</f>
        <v/>
      </c>
      <c r="AA2682" s="15">
        <f>IF(IF($AP2682="",FALSE,INDEX(職員マスタ!$K$6:$K$405,$AP2682)&lt;&gt;""),INDEX(職員マスタ!$K$6:$K$405,$AP2682),IF(N($W2682)&gt;0,$W2682,""))</f>
        <v/>
      </c>
      <c r="AB2682" s="14">
        <f>IF(OR($E2682="",$AA2682=""),"",IF($E2682&gt;=$AA2682,"×",IF($E2682&gt;=$AA2682*設定!$C$5,"△","○")))</f>
        <v/>
      </c>
      <c r="AC2682" s="15">
        <f>IF($AB2682="","",IF($AB2682="×",0,IF($AB2682="○",ROUNDDOWN($E2682*設定!$C$4,0),ROUNDDOWN($E2682*ROUND((9*$AA2682-9*$E2682)/(10*$E2682),4),0))))</f>
        <v/>
      </c>
      <c r="AD2682" s="13" t="n"/>
      <c r="AE2682" s="15">
        <f>IF($B2682="","",IF($AD2682&lt;&gt;"",$AD2682,IF($AC2682="","",IF($AC2682&lt;=設定!$C$3,0,$AC2682))))</f>
        <v/>
      </c>
      <c r="AF2682" s="14">
        <f>IF($B2682="","",IF(AND($AG2682&lt;&gt;"",$AI2682="",$AL2682=""),"保留中",IF($AL2682&lt;&gt;"",IF(N($AE2682)&gt;0,"支給済","不支給"),IF($AE2682="","要確認",IF($AE2682=0,"不支給","未処理")))))</f>
        <v/>
      </c>
      <c r="AG2682" s="12" t="n"/>
      <c r="AH2682" s="11" t="n"/>
      <c r="AI2682" s="11" t="n"/>
      <c r="AJ2682" s="11" t="n"/>
      <c r="AK2682" s="14">
        <f>IF(AND($AF2682="保留中",$AH2682&lt;&gt;""),TODAY()-$AH2682,"")</f>
        <v/>
      </c>
      <c r="AL2682" s="12" t="n"/>
      <c r="AM2682" s="14">
        <f>IF($B2682="","",IF($AQ2682="","対象年月が未入力／","")&amp;IF($B2682="","",IF($AP2682="","職員マスタに未登録の職員番号／",IF($AA2682="","標準報酬月額が未登録／","")&amp;IF(AND($AQ2682&lt;&gt;"",OR(AND(INDEX(職員マスタ!$G$6:$G$405,$AP2682)&lt;&gt;"",INDEX(職員マスタ!$G$6:$G$405,$AP2682)&gt;EOMONTH($AQ2682,0)),AND(INDEX(職員マスタ!$H$6:$H$405,$AP2682)&lt;&gt;"",INDEX(職員マスタ!$H$6:$H$405,$AP2682)&lt;$AQ2682))),"対象月が時短期間外／","")&amp;IF(AND(INDEX(職員マスタ!$K$6:$K$405,$AP2682)&lt;&gt;"",N($W2682)&gt;0,INDEX(職員マスタ!$K$6:$K$405,$AP2682)&lt;&gt;$W2682),"標準報酬月額が申請書と相違（台帳"&amp;TEXT(INDEX(職員マスタ!$K$6:$K$405,$AP2682),"#,##0")&amp;"円／申請書"&amp;TEXT($W2682,"#,##0")&amp;"円）／","")&amp;IF(AND(INDEX(職員マスタ!$F$6:$F$405,$AP2682)&lt;&gt;"",$AQ2682&lt;&gt;"",INDEX(職員マスタ!$F$6:$F$405,$AP2682)&lt;$AQ2682),"対象月に子が2歳到達済／","")&amp;IF(AND($H2682&lt;&gt;"",INDEX(職員マスタ!$B$6:$B$405,$AP2682)&lt;&gt;"",SUBSTITUTE(SUBSTITUTE($H2682," ","")," ","")&lt;&gt;SUBSTITUTE(SUBSTITUTE(INDEX(職員マスタ!$B$6:$B$405,$AP2682)," ","")," ","")),"氏名がマスタと相違／","")&amp;IF(AND($Q2682&lt;&gt;"",INDEX(職員マスタ!$E$6:$E$405,$AP2682)&lt;&gt;"",$Q2682&lt;&gt;INDEX(職員マスタ!$E$6:$E$405,$AP2682)),"子の生年月日がマスタと相違／","")&amp;IF(AND($L2682&lt;&gt;"",INDEX(職員マスタ!$G$6:$G$405,$AP2682)&lt;&gt;"",$L2682&lt;&gt;INDEX(職員マスタ!$G$6:$G$405,$AP2682)),"時短開始日がマスタと相違／","")&amp;IF(AND($M2682&lt;&gt;"",INDEX(職員マスタ!$H$6:$H$405,$AP2682)&lt;&gt;"",$M2682&lt;&gt;INDEX(職員マスタ!$H$6:$H$405,$AP2682)),"時短終了日がマスタと相違／","")))&amp;IF(AND($B2682&lt;&gt;"",$E2682=""),"報酬額が未入力／","")&amp;IF(N($U2682)&gt;0,"申請書に入力エラーが残っています／","")&amp;IF(AND($B2682&lt;&gt;"",$AQ2682&lt;&gt;""),IF(COUNTIFS($B$6:$B$3005,$B2682,$C$6:$C$3005,$C2682,$D$6:$D$3005,$D2682)&gt;1,"同じ月の請求が重複しています／",""),"")&amp;IF(AND(N($E2682)&gt;0,$AB2682&lt;&gt;"",$AB2682&lt;&gt;"×",$AE2682=0,$AD2682=""),"計算額が下限以下のため不支給／",""))</f>
        <v/>
      </c>
      <c r="AN2682" s="12" t="n"/>
      <c r="AO2682" s="14">
        <f>IF($AF2682="保留中",COUNTIF($AF$6:$AF2682,"保留中"),"")</f>
        <v/>
      </c>
      <c r="AP2682" s="14">
        <f>IF($AQ2682="","",IF(SUMPRODUCT(MAX((職員マスタ!$A$6:$A$405=$B2682)*(((職員マスタ!$G$6:$G$405="")+(職員マスタ!$G$6:$G$405&lt;=EOMONTH($AQ2682,0)))&gt;0)*(((職員マスタ!$H$6:$H$405="")+(職員マスタ!$H$6:$H$405&gt;=$AQ2682))&gt;0)*(ROW(職員マスタ!$A$6:$A$405)-5)))&gt;0,SUMPRODUCT(MAX((職員マスタ!$A$6:$A$405=$B2682)*(((職員マスタ!$G$6:$G$405="")+(職員マスタ!$G$6:$G$405&lt;=EOMONTH($AQ2682,0)))&gt;0)*(((職員マスタ!$H$6:$H$405="")+(職員マスタ!$H$6:$H$405&gt;=$AQ2682))&gt;0)*(ROW(職員マスタ!$A$6:$A$405)-5))),IFERROR(MATCH($B2682,職員マスタ!$A$6:$A$405,0),"")))</f>
        <v/>
      </c>
      <c r="AQ2682" s="16">
        <f>IF(OR($B2682="",$C2682="",$D2682=""),"",DATE($C2682+2018,$D2682,1))</f>
        <v/>
      </c>
    </row>
    <row r="2683">
      <c r="A2683" s="11" t="n"/>
      <c r="B2683" s="12" t="n"/>
      <c r="C2683" s="12" t="n"/>
      <c r="D2683" s="12" t="n"/>
      <c r="E2683" s="13" t="n"/>
      <c r="F2683" s="12" t="n"/>
      <c r="G2683" s="13" t="n"/>
      <c r="H2683" s="12" t="n"/>
      <c r="I2683" s="12" t="n"/>
      <c r="J2683" s="12" t="n"/>
      <c r="K2683" s="12" t="n"/>
      <c r="L2683" s="11" t="n"/>
      <c r="M2683" s="11" t="n"/>
      <c r="N2683" s="11" t="n"/>
      <c r="O2683" s="11" t="n"/>
      <c r="P2683" s="12" t="n"/>
      <c r="Q2683" s="11" t="n"/>
      <c r="R2683" s="12" t="n"/>
      <c r="S2683" s="11" t="n"/>
      <c r="T2683" s="12" t="n"/>
      <c r="U2683" s="12" t="n"/>
      <c r="V2683" s="12" t="n"/>
      <c r="W2683" s="13" t="n"/>
      <c r="X2683" s="14">
        <f>IF($AP2683="",IF($B2683="","",$H2683),IF(INDEX(職員マスタ!$B$6:$B$405,$AP2683)="",$H2683,INDEX(職員マスタ!$B$6:$B$405,$AP2683)))</f>
        <v/>
      </c>
      <c r="Y2683" s="14">
        <f>IF($AP2683="",IF($B2683="","",$R2683),IF(INDEX(職員マスタ!$C$6:$C$405,$AP2683)="",$R2683,INDEX(職員マスタ!$C$6:$C$405,$AP2683)))</f>
        <v/>
      </c>
      <c r="Z2683" s="14">
        <f>IF($AQ2683="","","R"&amp;$C2683&amp;"."&amp;$D2683)</f>
        <v/>
      </c>
      <c r="AA2683" s="15">
        <f>IF(IF($AP2683="",FALSE,INDEX(職員マスタ!$K$6:$K$405,$AP2683)&lt;&gt;""),INDEX(職員マスタ!$K$6:$K$405,$AP2683),IF(N($W2683)&gt;0,$W2683,""))</f>
        <v/>
      </c>
      <c r="AB2683" s="14">
        <f>IF(OR($E2683="",$AA2683=""),"",IF($E2683&gt;=$AA2683,"×",IF($E2683&gt;=$AA2683*設定!$C$5,"△","○")))</f>
        <v/>
      </c>
      <c r="AC2683" s="15">
        <f>IF($AB2683="","",IF($AB2683="×",0,IF($AB2683="○",ROUNDDOWN($E2683*設定!$C$4,0),ROUNDDOWN($E2683*ROUND((9*$AA2683-9*$E2683)/(10*$E2683),4),0))))</f>
        <v/>
      </c>
      <c r="AD2683" s="13" t="n"/>
      <c r="AE2683" s="15">
        <f>IF($B2683="","",IF($AD2683&lt;&gt;"",$AD2683,IF($AC2683="","",IF($AC2683&lt;=設定!$C$3,0,$AC2683))))</f>
        <v/>
      </c>
      <c r="AF2683" s="14">
        <f>IF($B2683="","",IF(AND($AG2683&lt;&gt;"",$AI2683="",$AL2683=""),"保留中",IF($AL2683&lt;&gt;"",IF(N($AE2683)&gt;0,"支給済","不支給"),IF($AE2683="","要確認",IF($AE2683=0,"不支給","未処理")))))</f>
        <v/>
      </c>
      <c r="AG2683" s="12" t="n"/>
      <c r="AH2683" s="11" t="n"/>
      <c r="AI2683" s="11" t="n"/>
      <c r="AJ2683" s="11" t="n"/>
      <c r="AK2683" s="14">
        <f>IF(AND($AF2683="保留中",$AH2683&lt;&gt;""),TODAY()-$AH2683,"")</f>
        <v/>
      </c>
      <c r="AL2683" s="12" t="n"/>
      <c r="AM2683" s="14">
        <f>IF($B2683="","",IF($AQ2683="","対象年月が未入力／","")&amp;IF($B2683="","",IF($AP2683="","職員マスタに未登録の職員番号／",IF($AA2683="","標準報酬月額が未登録／","")&amp;IF(AND($AQ2683&lt;&gt;"",OR(AND(INDEX(職員マスタ!$G$6:$G$405,$AP2683)&lt;&gt;"",INDEX(職員マスタ!$G$6:$G$405,$AP2683)&gt;EOMONTH($AQ2683,0)),AND(INDEX(職員マスタ!$H$6:$H$405,$AP2683)&lt;&gt;"",INDEX(職員マスタ!$H$6:$H$405,$AP2683)&lt;$AQ2683))),"対象月が時短期間外／","")&amp;IF(AND(INDEX(職員マスタ!$K$6:$K$405,$AP2683)&lt;&gt;"",N($W2683)&gt;0,INDEX(職員マスタ!$K$6:$K$405,$AP2683)&lt;&gt;$W2683),"標準報酬月額が申請書と相違（台帳"&amp;TEXT(INDEX(職員マスタ!$K$6:$K$405,$AP2683),"#,##0")&amp;"円／申請書"&amp;TEXT($W2683,"#,##0")&amp;"円）／","")&amp;IF(AND(INDEX(職員マスタ!$F$6:$F$405,$AP2683)&lt;&gt;"",$AQ2683&lt;&gt;"",INDEX(職員マスタ!$F$6:$F$405,$AP2683)&lt;$AQ2683),"対象月に子が2歳到達済／","")&amp;IF(AND($H2683&lt;&gt;"",INDEX(職員マスタ!$B$6:$B$405,$AP2683)&lt;&gt;"",SUBSTITUTE(SUBSTITUTE($H2683," ","")," ","")&lt;&gt;SUBSTITUTE(SUBSTITUTE(INDEX(職員マスタ!$B$6:$B$405,$AP2683)," ","")," ","")),"氏名がマスタと相違／","")&amp;IF(AND($Q2683&lt;&gt;"",INDEX(職員マスタ!$E$6:$E$405,$AP2683)&lt;&gt;"",$Q2683&lt;&gt;INDEX(職員マスタ!$E$6:$E$405,$AP2683)),"子の生年月日がマスタと相違／","")&amp;IF(AND($L2683&lt;&gt;"",INDEX(職員マスタ!$G$6:$G$405,$AP2683)&lt;&gt;"",$L2683&lt;&gt;INDEX(職員マスタ!$G$6:$G$405,$AP2683)),"時短開始日がマスタと相違／","")&amp;IF(AND($M2683&lt;&gt;"",INDEX(職員マスタ!$H$6:$H$405,$AP2683)&lt;&gt;"",$M2683&lt;&gt;INDEX(職員マスタ!$H$6:$H$405,$AP2683)),"時短終了日がマスタと相違／","")))&amp;IF(AND($B2683&lt;&gt;"",$E2683=""),"報酬額が未入力／","")&amp;IF(N($U2683)&gt;0,"申請書に入力エラーが残っています／","")&amp;IF(AND($B2683&lt;&gt;"",$AQ2683&lt;&gt;""),IF(COUNTIFS($B$6:$B$3005,$B2683,$C$6:$C$3005,$C2683,$D$6:$D$3005,$D2683)&gt;1,"同じ月の請求が重複しています／",""),"")&amp;IF(AND(N($E2683)&gt;0,$AB2683&lt;&gt;"",$AB2683&lt;&gt;"×",$AE2683=0,$AD2683=""),"計算額が下限以下のため不支給／",""))</f>
        <v/>
      </c>
      <c r="AN2683" s="12" t="n"/>
      <c r="AO2683" s="14">
        <f>IF($AF2683="保留中",COUNTIF($AF$6:$AF2683,"保留中"),"")</f>
        <v/>
      </c>
      <c r="AP2683" s="14">
        <f>IF($AQ2683="","",IF(SUMPRODUCT(MAX((職員マスタ!$A$6:$A$405=$B2683)*(((職員マスタ!$G$6:$G$405="")+(職員マスタ!$G$6:$G$405&lt;=EOMONTH($AQ2683,0)))&gt;0)*(((職員マスタ!$H$6:$H$405="")+(職員マスタ!$H$6:$H$405&gt;=$AQ2683))&gt;0)*(ROW(職員マスタ!$A$6:$A$405)-5)))&gt;0,SUMPRODUCT(MAX((職員マスタ!$A$6:$A$405=$B2683)*(((職員マスタ!$G$6:$G$405="")+(職員マスタ!$G$6:$G$405&lt;=EOMONTH($AQ2683,0)))&gt;0)*(((職員マスタ!$H$6:$H$405="")+(職員マスタ!$H$6:$H$405&gt;=$AQ2683))&gt;0)*(ROW(職員マスタ!$A$6:$A$405)-5))),IFERROR(MATCH($B2683,職員マスタ!$A$6:$A$405,0),"")))</f>
        <v/>
      </c>
      <c r="AQ2683" s="16">
        <f>IF(OR($B2683="",$C2683="",$D2683=""),"",DATE($C2683+2018,$D2683,1))</f>
        <v/>
      </c>
    </row>
    <row r="2684">
      <c r="A2684" s="11" t="n"/>
      <c r="B2684" s="12" t="n"/>
      <c r="C2684" s="12" t="n"/>
      <c r="D2684" s="12" t="n"/>
      <c r="E2684" s="13" t="n"/>
      <c r="F2684" s="12" t="n"/>
      <c r="G2684" s="13" t="n"/>
      <c r="H2684" s="12" t="n"/>
      <c r="I2684" s="12" t="n"/>
      <c r="J2684" s="12" t="n"/>
      <c r="K2684" s="12" t="n"/>
      <c r="L2684" s="11" t="n"/>
      <c r="M2684" s="11" t="n"/>
      <c r="N2684" s="11" t="n"/>
      <c r="O2684" s="11" t="n"/>
      <c r="P2684" s="12" t="n"/>
      <c r="Q2684" s="11" t="n"/>
      <c r="R2684" s="12" t="n"/>
      <c r="S2684" s="11" t="n"/>
      <c r="T2684" s="12" t="n"/>
      <c r="U2684" s="12" t="n"/>
      <c r="V2684" s="12" t="n"/>
      <c r="W2684" s="13" t="n"/>
      <c r="X2684" s="14">
        <f>IF($AP2684="",IF($B2684="","",$H2684),IF(INDEX(職員マスタ!$B$6:$B$405,$AP2684)="",$H2684,INDEX(職員マスタ!$B$6:$B$405,$AP2684)))</f>
        <v/>
      </c>
      <c r="Y2684" s="14">
        <f>IF($AP2684="",IF($B2684="","",$R2684),IF(INDEX(職員マスタ!$C$6:$C$405,$AP2684)="",$R2684,INDEX(職員マスタ!$C$6:$C$405,$AP2684)))</f>
        <v/>
      </c>
      <c r="Z2684" s="14">
        <f>IF($AQ2684="","","R"&amp;$C2684&amp;"."&amp;$D2684)</f>
        <v/>
      </c>
      <c r="AA2684" s="15">
        <f>IF(IF($AP2684="",FALSE,INDEX(職員マスタ!$K$6:$K$405,$AP2684)&lt;&gt;""),INDEX(職員マスタ!$K$6:$K$405,$AP2684),IF(N($W2684)&gt;0,$W2684,""))</f>
        <v/>
      </c>
      <c r="AB2684" s="14">
        <f>IF(OR($E2684="",$AA2684=""),"",IF($E2684&gt;=$AA2684,"×",IF($E2684&gt;=$AA2684*設定!$C$5,"△","○")))</f>
        <v/>
      </c>
      <c r="AC2684" s="15">
        <f>IF($AB2684="","",IF($AB2684="×",0,IF($AB2684="○",ROUNDDOWN($E2684*設定!$C$4,0),ROUNDDOWN($E2684*ROUND((9*$AA2684-9*$E2684)/(10*$E2684),4),0))))</f>
        <v/>
      </c>
      <c r="AD2684" s="13" t="n"/>
      <c r="AE2684" s="15">
        <f>IF($B2684="","",IF($AD2684&lt;&gt;"",$AD2684,IF($AC2684="","",IF($AC2684&lt;=設定!$C$3,0,$AC2684))))</f>
        <v/>
      </c>
      <c r="AF2684" s="14">
        <f>IF($B2684="","",IF(AND($AG2684&lt;&gt;"",$AI2684="",$AL2684=""),"保留中",IF($AL2684&lt;&gt;"",IF(N($AE2684)&gt;0,"支給済","不支給"),IF($AE2684="","要確認",IF($AE2684=0,"不支給","未処理")))))</f>
        <v/>
      </c>
      <c r="AG2684" s="12" t="n"/>
      <c r="AH2684" s="11" t="n"/>
      <c r="AI2684" s="11" t="n"/>
      <c r="AJ2684" s="11" t="n"/>
      <c r="AK2684" s="14">
        <f>IF(AND($AF2684="保留中",$AH2684&lt;&gt;""),TODAY()-$AH2684,"")</f>
        <v/>
      </c>
      <c r="AL2684" s="12" t="n"/>
      <c r="AM2684" s="14">
        <f>IF($B2684="","",IF($AQ2684="","対象年月が未入力／","")&amp;IF($B2684="","",IF($AP2684="","職員マスタに未登録の職員番号／",IF($AA2684="","標準報酬月額が未登録／","")&amp;IF(AND($AQ2684&lt;&gt;"",OR(AND(INDEX(職員マスタ!$G$6:$G$405,$AP2684)&lt;&gt;"",INDEX(職員マスタ!$G$6:$G$405,$AP2684)&gt;EOMONTH($AQ2684,0)),AND(INDEX(職員マスタ!$H$6:$H$405,$AP2684)&lt;&gt;"",INDEX(職員マスタ!$H$6:$H$405,$AP2684)&lt;$AQ2684))),"対象月が時短期間外／","")&amp;IF(AND(INDEX(職員マスタ!$K$6:$K$405,$AP2684)&lt;&gt;"",N($W2684)&gt;0,INDEX(職員マスタ!$K$6:$K$405,$AP2684)&lt;&gt;$W2684),"標準報酬月額が申請書と相違（台帳"&amp;TEXT(INDEX(職員マスタ!$K$6:$K$405,$AP2684),"#,##0")&amp;"円／申請書"&amp;TEXT($W2684,"#,##0")&amp;"円）／","")&amp;IF(AND(INDEX(職員マスタ!$F$6:$F$405,$AP2684)&lt;&gt;"",$AQ2684&lt;&gt;"",INDEX(職員マスタ!$F$6:$F$405,$AP2684)&lt;$AQ2684),"対象月に子が2歳到達済／","")&amp;IF(AND($H2684&lt;&gt;"",INDEX(職員マスタ!$B$6:$B$405,$AP2684)&lt;&gt;"",SUBSTITUTE(SUBSTITUTE($H2684," ","")," ","")&lt;&gt;SUBSTITUTE(SUBSTITUTE(INDEX(職員マスタ!$B$6:$B$405,$AP2684)," ","")," ","")),"氏名がマスタと相違／","")&amp;IF(AND($Q2684&lt;&gt;"",INDEX(職員マスタ!$E$6:$E$405,$AP2684)&lt;&gt;"",$Q2684&lt;&gt;INDEX(職員マスタ!$E$6:$E$405,$AP2684)),"子の生年月日がマスタと相違／","")&amp;IF(AND($L2684&lt;&gt;"",INDEX(職員マスタ!$G$6:$G$405,$AP2684)&lt;&gt;"",$L2684&lt;&gt;INDEX(職員マスタ!$G$6:$G$405,$AP2684)),"時短開始日がマスタと相違／","")&amp;IF(AND($M2684&lt;&gt;"",INDEX(職員マスタ!$H$6:$H$405,$AP2684)&lt;&gt;"",$M2684&lt;&gt;INDEX(職員マスタ!$H$6:$H$405,$AP2684)),"時短終了日がマスタと相違／","")))&amp;IF(AND($B2684&lt;&gt;"",$E2684=""),"報酬額が未入力／","")&amp;IF(N($U2684)&gt;0,"申請書に入力エラーが残っています／","")&amp;IF(AND($B2684&lt;&gt;"",$AQ2684&lt;&gt;""),IF(COUNTIFS($B$6:$B$3005,$B2684,$C$6:$C$3005,$C2684,$D$6:$D$3005,$D2684)&gt;1,"同じ月の請求が重複しています／",""),"")&amp;IF(AND(N($E2684)&gt;0,$AB2684&lt;&gt;"",$AB2684&lt;&gt;"×",$AE2684=0,$AD2684=""),"計算額が下限以下のため不支給／",""))</f>
        <v/>
      </c>
      <c r="AN2684" s="12" t="n"/>
      <c r="AO2684" s="14">
        <f>IF($AF2684="保留中",COUNTIF($AF$6:$AF2684,"保留中"),"")</f>
        <v/>
      </c>
      <c r="AP2684" s="14">
        <f>IF($AQ2684="","",IF(SUMPRODUCT(MAX((職員マスタ!$A$6:$A$405=$B2684)*(((職員マスタ!$G$6:$G$405="")+(職員マスタ!$G$6:$G$405&lt;=EOMONTH($AQ2684,0)))&gt;0)*(((職員マスタ!$H$6:$H$405="")+(職員マスタ!$H$6:$H$405&gt;=$AQ2684))&gt;0)*(ROW(職員マスタ!$A$6:$A$405)-5)))&gt;0,SUMPRODUCT(MAX((職員マスタ!$A$6:$A$405=$B2684)*(((職員マスタ!$G$6:$G$405="")+(職員マスタ!$G$6:$G$405&lt;=EOMONTH($AQ2684,0)))&gt;0)*(((職員マスタ!$H$6:$H$405="")+(職員マスタ!$H$6:$H$405&gt;=$AQ2684))&gt;0)*(ROW(職員マスタ!$A$6:$A$405)-5))),IFERROR(MATCH($B2684,職員マスタ!$A$6:$A$405,0),"")))</f>
        <v/>
      </c>
      <c r="AQ2684" s="16">
        <f>IF(OR($B2684="",$C2684="",$D2684=""),"",DATE($C2684+2018,$D2684,1))</f>
        <v/>
      </c>
    </row>
    <row r="2685">
      <c r="A2685" s="11" t="n"/>
      <c r="B2685" s="12" t="n"/>
      <c r="C2685" s="12" t="n"/>
      <c r="D2685" s="12" t="n"/>
      <c r="E2685" s="13" t="n"/>
      <c r="F2685" s="12" t="n"/>
      <c r="G2685" s="13" t="n"/>
      <c r="H2685" s="12" t="n"/>
      <c r="I2685" s="12" t="n"/>
      <c r="J2685" s="12" t="n"/>
      <c r="K2685" s="12" t="n"/>
      <c r="L2685" s="11" t="n"/>
      <c r="M2685" s="11" t="n"/>
      <c r="N2685" s="11" t="n"/>
      <c r="O2685" s="11" t="n"/>
      <c r="P2685" s="12" t="n"/>
      <c r="Q2685" s="11" t="n"/>
      <c r="R2685" s="12" t="n"/>
      <c r="S2685" s="11" t="n"/>
      <c r="T2685" s="12" t="n"/>
      <c r="U2685" s="12" t="n"/>
      <c r="V2685" s="12" t="n"/>
      <c r="W2685" s="13" t="n"/>
      <c r="X2685" s="14">
        <f>IF($AP2685="",IF($B2685="","",$H2685),IF(INDEX(職員マスタ!$B$6:$B$405,$AP2685)="",$H2685,INDEX(職員マスタ!$B$6:$B$405,$AP2685)))</f>
        <v/>
      </c>
      <c r="Y2685" s="14">
        <f>IF($AP2685="",IF($B2685="","",$R2685),IF(INDEX(職員マスタ!$C$6:$C$405,$AP2685)="",$R2685,INDEX(職員マスタ!$C$6:$C$405,$AP2685)))</f>
        <v/>
      </c>
      <c r="Z2685" s="14">
        <f>IF($AQ2685="","","R"&amp;$C2685&amp;"."&amp;$D2685)</f>
        <v/>
      </c>
      <c r="AA2685" s="15">
        <f>IF(IF($AP2685="",FALSE,INDEX(職員マスタ!$K$6:$K$405,$AP2685)&lt;&gt;""),INDEX(職員マスタ!$K$6:$K$405,$AP2685),IF(N($W2685)&gt;0,$W2685,""))</f>
        <v/>
      </c>
      <c r="AB2685" s="14">
        <f>IF(OR($E2685="",$AA2685=""),"",IF($E2685&gt;=$AA2685,"×",IF($E2685&gt;=$AA2685*設定!$C$5,"△","○")))</f>
        <v/>
      </c>
      <c r="AC2685" s="15">
        <f>IF($AB2685="","",IF($AB2685="×",0,IF($AB2685="○",ROUNDDOWN($E2685*設定!$C$4,0),ROUNDDOWN($E2685*ROUND((9*$AA2685-9*$E2685)/(10*$E2685),4),0))))</f>
        <v/>
      </c>
      <c r="AD2685" s="13" t="n"/>
      <c r="AE2685" s="15">
        <f>IF($B2685="","",IF($AD2685&lt;&gt;"",$AD2685,IF($AC2685="","",IF($AC2685&lt;=設定!$C$3,0,$AC2685))))</f>
        <v/>
      </c>
      <c r="AF2685" s="14">
        <f>IF($B2685="","",IF(AND($AG2685&lt;&gt;"",$AI2685="",$AL2685=""),"保留中",IF($AL2685&lt;&gt;"",IF(N($AE2685)&gt;0,"支給済","不支給"),IF($AE2685="","要確認",IF($AE2685=0,"不支給","未処理")))))</f>
        <v/>
      </c>
      <c r="AG2685" s="12" t="n"/>
      <c r="AH2685" s="11" t="n"/>
      <c r="AI2685" s="11" t="n"/>
      <c r="AJ2685" s="11" t="n"/>
      <c r="AK2685" s="14">
        <f>IF(AND($AF2685="保留中",$AH2685&lt;&gt;""),TODAY()-$AH2685,"")</f>
        <v/>
      </c>
      <c r="AL2685" s="12" t="n"/>
      <c r="AM2685" s="14">
        <f>IF($B2685="","",IF($AQ2685="","対象年月が未入力／","")&amp;IF($B2685="","",IF($AP2685="","職員マスタに未登録の職員番号／",IF($AA2685="","標準報酬月額が未登録／","")&amp;IF(AND($AQ2685&lt;&gt;"",OR(AND(INDEX(職員マスタ!$G$6:$G$405,$AP2685)&lt;&gt;"",INDEX(職員マスタ!$G$6:$G$405,$AP2685)&gt;EOMONTH($AQ2685,0)),AND(INDEX(職員マスタ!$H$6:$H$405,$AP2685)&lt;&gt;"",INDEX(職員マスタ!$H$6:$H$405,$AP2685)&lt;$AQ2685))),"対象月が時短期間外／","")&amp;IF(AND(INDEX(職員マスタ!$K$6:$K$405,$AP2685)&lt;&gt;"",N($W2685)&gt;0,INDEX(職員マスタ!$K$6:$K$405,$AP2685)&lt;&gt;$W2685),"標準報酬月額が申請書と相違（台帳"&amp;TEXT(INDEX(職員マスタ!$K$6:$K$405,$AP2685),"#,##0")&amp;"円／申請書"&amp;TEXT($W2685,"#,##0")&amp;"円）／","")&amp;IF(AND(INDEX(職員マスタ!$F$6:$F$405,$AP2685)&lt;&gt;"",$AQ2685&lt;&gt;"",INDEX(職員マスタ!$F$6:$F$405,$AP2685)&lt;$AQ2685),"対象月に子が2歳到達済／","")&amp;IF(AND($H2685&lt;&gt;"",INDEX(職員マスタ!$B$6:$B$405,$AP2685)&lt;&gt;"",SUBSTITUTE(SUBSTITUTE($H2685," ","")," ","")&lt;&gt;SUBSTITUTE(SUBSTITUTE(INDEX(職員マスタ!$B$6:$B$405,$AP2685)," ","")," ","")),"氏名がマスタと相違／","")&amp;IF(AND($Q2685&lt;&gt;"",INDEX(職員マスタ!$E$6:$E$405,$AP2685)&lt;&gt;"",$Q2685&lt;&gt;INDEX(職員マスタ!$E$6:$E$405,$AP2685)),"子の生年月日がマスタと相違／","")&amp;IF(AND($L2685&lt;&gt;"",INDEX(職員マスタ!$G$6:$G$405,$AP2685)&lt;&gt;"",$L2685&lt;&gt;INDEX(職員マスタ!$G$6:$G$405,$AP2685)),"時短開始日がマスタと相違／","")&amp;IF(AND($M2685&lt;&gt;"",INDEX(職員マスタ!$H$6:$H$405,$AP2685)&lt;&gt;"",$M2685&lt;&gt;INDEX(職員マスタ!$H$6:$H$405,$AP2685)),"時短終了日がマスタと相違／","")))&amp;IF(AND($B2685&lt;&gt;"",$E2685=""),"報酬額が未入力／","")&amp;IF(N($U2685)&gt;0,"申請書に入力エラーが残っています／","")&amp;IF(AND($B2685&lt;&gt;"",$AQ2685&lt;&gt;""),IF(COUNTIFS($B$6:$B$3005,$B2685,$C$6:$C$3005,$C2685,$D$6:$D$3005,$D2685)&gt;1,"同じ月の請求が重複しています／",""),"")&amp;IF(AND(N($E2685)&gt;0,$AB2685&lt;&gt;"",$AB2685&lt;&gt;"×",$AE2685=0,$AD2685=""),"計算額が下限以下のため不支給／",""))</f>
        <v/>
      </c>
      <c r="AN2685" s="12" t="n"/>
      <c r="AO2685" s="14">
        <f>IF($AF2685="保留中",COUNTIF($AF$6:$AF2685,"保留中"),"")</f>
        <v/>
      </c>
      <c r="AP2685" s="14">
        <f>IF($AQ2685="","",IF(SUMPRODUCT(MAX((職員マスタ!$A$6:$A$405=$B2685)*(((職員マスタ!$G$6:$G$405="")+(職員マスタ!$G$6:$G$405&lt;=EOMONTH($AQ2685,0)))&gt;0)*(((職員マスタ!$H$6:$H$405="")+(職員マスタ!$H$6:$H$405&gt;=$AQ2685))&gt;0)*(ROW(職員マスタ!$A$6:$A$405)-5)))&gt;0,SUMPRODUCT(MAX((職員マスタ!$A$6:$A$405=$B2685)*(((職員マスタ!$G$6:$G$405="")+(職員マスタ!$G$6:$G$405&lt;=EOMONTH($AQ2685,0)))&gt;0)*(((職員マスタ!$H$6:$H$405="")+(職員マスタ!$H$6:$H$405&gt;=$AQ2685))&gt;0)*(ROW(職員マスタ!$A$6:$A$405)-5))),IFERROR(MATCH($B2685,職員マスタ!$A$6:$A$405,0),"")))</f>
        <v/>
      </c>
      <c r="AQ2685" s="16">
        <f>IF(OR($B2685="",$C2685="",$D2685=""),"",DATE($C2685+2018,$D2685,1))</f>
        <v/>
      </c>
    </row>
    <row r="2686">
      <c r="A2686" s="11" t="n"/>
      <c r="B2686" s="12" t="n"/>
      <c r="C2686" s="12" t="n"/>
      <c r="D2686" s="12" t="n"/>
      <c r="E2686" s="13" t="n"/>
      <c r="F2686" s="12" t="n"/>
      <c r="G2686" s="13" t="n"/>
      <c r="H2686" s="12" t="n"/>
      <c r="I2686" s="12" t="n"/>
      <c r="J2686" s="12" t="n"/>
      <c r="K2686" s="12" t="n"/>
      <c r="L2686" s="11" t="n"/>
      <c r="M2686" s="11" t="n"/>
      <c r="N2686" s="11" t="n"/>
      <c r="O2686" s="11" t="n"/>
      <c r="P2686" s="12" t="n"/>
      <c r="Q2686" s="11" t="n"/>
      <c r="R2686" s="12" t="n"/>
      <c r="S2686" s="11" t="n"/>
      <c r="T2686" s="12" t="n"/>
      <c r="U2686" s="12" t="n"/>
      <c r="V2686" s="12" t="n"/>
      <c r="W2686" s="13" t="n"/>
      <c r="X2686" s="14">
        <f>IF($AP2686="",IF($B2686="","",$H2686),IF(INDEX(職員マスタ!$B$6:$B$405,$AP2686)="",$H2686,INDEX(職員マスタ!$B$6:$B$405,$AP2686)))</f>
        <v/>
      </c>
      <c r="Y2686" s="14">
        <f>IF($AP2686="",IF($B2686="","",$R2686),IF(INDEX(職員マスタ!$C$6:$C$405,$AP2686)="",$R2686,INDEX(職員マスタ!$C$6:$C$405,$AP2686)))</f>
        <v/>
      </c>
      <c r="Z2686" s="14">
        <f>IF($AQ2686="","","R"&amp;$C2686&amp;"."&amp;$D2686)</f>
        <v/>
      </c>
      <c r="AA2686" s="15">
        <f>IF(IF($AP2686="",FALSE,INDEX(職員マスタ!$K$6:$K$405,$AP2686)&lt;&gt;""),INDEX(職員マスタ!$K$6:$K$405,$AP2686),IF(N($W2686)&gt;0,$W2686,""))</f>
        <v/>
      </c>
      <c r="AB2686" s="14">
        <f>IF(OR($E2686="",$AA2686=""),"",IF($E2686&gt;=$AA2686,"×",IF($E2686&gt;=$AA2686*設定!$C$5,"△","○")))</f>
        <v/>
      </c>
      <c r="AC2686" s="15">
        <f>IF($AB2686="","",IF($AB2686="×",0,IF($AB2686="○",ROUNDDOWN($E2686*設定!$C$4,0),ROUNDDOWN($E2686*ROUND((9*$AA2686-9*$E2686)/(10*$E2686),4),0))))</f>
        <v/>
      </c>
      <c r="AD2686" s="13" t="n"/>
      <c r="AE2686" s="15">
        <f>IF($B2686="","",IF($AD2686&lt;&gt;"",$AD2686,IF($AC2686="","",IF($AC2686&lt;=設定!$C$3,0,$AC2686))))</f>
        <v/>
      </c>
      <c r="AF2686" s="14">
        <f>IF($B2686="","",IF(AND($AG2686&lt;&gt;"",$AI2686="",$AL2686=""),"保留中",IF($AL2686&lt;&gt;"",IF(N($AE2686)&gt;0,"支給済","不支給"),IF($AE2686="","要確認",IF($AE2686=0,"不支給","未処理")))))</f>
        <v/>
      </c>
      <c r="AG2686" s="12" t="n"/>
      <c r="AH2686" s="11" t="n"/>
      <c r="AI2686" s="11" t="n"/>
      <c r="AJ2686" s="11" t="n"/>
      <c r="AK2686" s="14">
        <f>IF(AND($AF2686="保留中",$AH2686&lt;&gt;""),TODAY()-$AH2686,"")</f>
        <v/>
      </c>
      <c r="AL2686" s="12" t="n"/>
      <c r="AM2686" s="14">
        <f>IF($B2686="","",IF($AQ2686="","対象年月が未入力／","")&amp;IF($B2686="","",IF($AP2686="","職員マスタに未登録の職員番号／",IF($AA2686="","標準報酬月額が未登録／","")&amp;IF(AND($AQ2686&lt;&gt;"",OR(AND(INDEX(職員マスタ!$G$6:$G$405,$AP2686)&lt;&gt;"",INDEX(職員マスタ!$G$6:$G$405,$AP2686)&gt;EOMONTH($AQ2686,0)),AND(INDEX(職員マスタ!$H$6:$H$405,$AP2686)&lt;&gt;"",INDEX(職員マスタ!$H$6:$H$405,$AP2686)&lt;$AQ2686))),"対象月が時短期間外／","")&amp;IF(AND(INDEX(職員マスタ!$K$6:$K$405,$AP2686)&lt;&gt;"",N($W2686)&gt;0,INDEX(職員マスタ!$K$6:$K$405,$AP2686)&lt;&gt;$W2686),"標準報酬月額が申請書と相違（台帳"&amp;TEXT(INDEX(職員マスタ!$K$6:$K$405,$AP2686),"#,##0")&amp;"円／申請書"&amp;TEXT($W2686,"#,##0")&amp;"円）／","")&amp;IF(AND(INDEX(職員マスタ!$F$6:$F$405,$AP2686)&lt;&gt;"",$AQ2686&lt;&gt;"",INDEX(職員マスタ!$F$6:$F$405,$AP2686)&lt;$AQ2686),"対象月に子が2歳到達済／","")&amp;IF(AND($H2686&lt;&gt;"",INDEX(職員マスタ!$B$6:$B$405,$AP2686)&lt;&gt;"",SUBSTITUTE(SUBSTITUTE($H2686," ","")," ","")&lt;&gt;SUBSTITUTE(SUBSTITUTE(INDEX(職員マスタ!$B$6:$B$405,$AP2686)," ","")," ","")),"氏名がマスタと相違／","")&amp;IF(AND($Q2686&lt;&gt;"",INDEX(職員マスタ!$E$6:$E$405,$AP2686)&lt;&gt;"",$Q2686&lt;&gt;INDEX(職員マスタ!$E$6:$E$405,$AP2686)),"子の生年月日がマスタと相違／","")&amp;IF(AND($L2686&lt;&gt;"",INDEX(職員マスタ!$G$6:$G$405,$AP2686)&lt;&gt;"",$L2686&lt;&gt;INDEX(職員マスタ!$G$6:$G$405,$AP2686)),"時短開始日がマスタと相違／","")&amp;IF(AND($M2686&lt;&gt;"",INDEX(職員マスタ!$H$6:$H$405,$AP2686)&lt;&gt;"",$M2686&lt;&gt;INDEX(職員マスタ!$H$6:$H$405,$AP2686)),"時短終了日がマスタと相違／","")))&amp;IF(AND($B2686&lt;&gt;"",$E2686=""),"報酬額が未入力／","")&amp;IF(N($U2686)&gt;0,"申請書に入力エラーが残っています／","")&amp;IF(AND($B2686&lt;&gt;"",$AQ2686&lt;&gt;""),IF(COUNTIFS($B$6:$B$3005,$B2686,$C$6:$C$3005,$C2686,$D$6:$D$3005,$D2686)&gt;1,"同じ月の請求が重複しています／",""),"")&amp;IF(AND(N($E2686)&gt;0,$AB2686&lt;&gt;"",$AB2686&lt;&gt;"×",$AE2686=0,$AD2686=""),"計算額が下限以下のため不支給／",""))</f>
        <v/>
      </c>
      <c r="AN2686" s="12" t="n"/>
      <c r="AO2686" s="14">
        <f>IF($AF2686="保留中",COUNTIF($AF$6:$AF2686,"保留中"),"")</f>
        <v/>
      </c>
      <c r="AP2686" s="14">
        <f>IF($AQ2686="","",IF(SUMPRODUCT(MAX((職員マスタ!$A$6:$A$405=$B2686)*(((職員マスタ!$G$6:$G$405="")+(職員マスタ!$G$6:$G$405&lt;=EOMONTH($AQ2686,0)))&gt;0)*(((職員マスタ!$H$6:$H$405="")+(職員マスタ!$H$6:$H$405&gt;=$AQ2686))&gt;0)*(ROW(職員マスタ!$A$6:$A$405)-5)))&gt;0,SUMPRODUCT(MAX((職員マスタ!$A$6:$A$405=$B2686)*(((職員マスタ!$G$6:$G$405="")+(職員マスタ!$G$6:$G$405&lt;=EOMONTH($AQ2686,0)))&gt;0)*(((職員マスタ!$H$6:$H$405="")+(職員マスタ!$H$6:$H$405&gt;=$AQ2686))&gt;0)*(ROW(職員マスタ!$A$6:$A$405)-5))),IFERROR(MATCH($B2686,職員マスタ!$A$6:$A$405,0),"")))</f>
        <v/>
      </c>
      <c r="AQ2686" s="16">
        <f>IF(OR($B2686="",$C2686="",$D2686=""),"",DATE($C2686+2018,$D2686,1))</f>
        <v/>
      </c>
    </row>
    <row r="2687">
      <c r="A2687" s="11" t="n"/>
      <c r="B2687" s="12" t="n"/>
      <c r="C2687" s="12" t="n"/>
      <c r="D2687" s="12" t="n"/>
      <c r="E2687" s="13" t="n"/>
      <c r="F2687" s="12" t="n"/>
      <c r="G2687" s="13" t="n"/>
      <c r="H2687" s="12" t="n"/>
      <c r="I2687" s="12" t="n"/>
      <c r="J2687" s="12" t="n"/>
      <c r="K2687" s="12" t="n"/>
      <c r="L2687" s="11" t="n"/>
      <c r="M2687" s="11" t="n"/>
      <c r="N2687" s="11" t="n"/>
      <c r="O2687" s="11" t="n"/>
      <c r="P2687" s="12" t="n"/>
      <c r="Q2687" s="11" t="n"/>
      <c r="R2687" s="12" t="n"/>
      <c r="S2687" s="11" t="n"/>
      <c r="T2687" s="12" t="n"/>
      <c r="U2687" s="12" t="n"/>
      <c r="V2687" s="12" t="n"/>
      <c r="W2687" s="13" t="n"/>
      <c r="X2687" s="14">
        <f>IF($AP2687="",IF($B2687="","",$H2687),IF(INDEX(職員マスタ!$B$6:$B$405,$AP2687)="",$H2687,INDEX(職員マスタ!$B$6:$B$405,$AP2687)))</f>
        <v/>
      </c>
      <c r="Y2687" s="14">
        <f>IF($AP2687="",IF($B2687="","",$R2687),IF(INDEX(職員マスタ!$C$6:$C$405,$AP2687)="",$R2687,INDEX(職員マスタ!$C$6:$C$405,$AP2687)))</f>
        <v/>
      </c>
      <c r="Z2687" s="14">
        <f>IF($AQ2687="","","R"&amp;$C2687&amp;"."&amp;$D2687)</f>
        <v/>
      </c>
      <c r="AA2687" s="15">
        <f>IF(IF($AP2687="",FALSE,INDEX(職員マスタ!$K$6:$K$405,$AP2687)&lt;&gt;""),INDEX(職員マスタ!$K$6:$K$405,$AP2687),IF(N($W2687)&gt;0,$W2687,""))</f>
        <v/>
      </c>
      <c r="AB2687" s="14">
        <f>IF(OR($E2687="",$AA2687=""),"",IF($E2687&gt;=$AA2687,"×",IF($E2687&gt;=$AA2687*設定!$C$5,"△","○")))</f>
        <v/>
      </c>
      <c r="AC2687" s="15">
        <f>IF($AB2687="","",IF($AB2687="×",0,IF($AB2687="○",ROUNDDOWN($E2687*設定!$C$4,0),ROUNDDOWN($E2687*ROUND((9*$AA2687-9*$E2687)/(10*$E2687),4),0))))</f>
        <v/>
      </c>
      <c r="AD2687" s="13" t="n"/>
      <c r="AE2687" s="15">
        <f>IF($B2687="","",IF($AD2687&lt;&gt;"",$AD2687,IF($AC2687="","",IF($AC2687&lt;=設定!$C$3,0,$AC2687))))</f>
        <v/>
      </c>
      <c r="AF2687" s="14">
        <f>IF($B2687="","",IF(AND($AG2687&lt;&gt;"",$AI2687="",$AL2687=""),"保留中",IF($AL2687&lt;&gt;"",IF(N($AE2687)&gt;0,"支給済","不支給"),IF($AE2687="","要確認",IF($AE2687=0,"不支給","未処理")))))</f>
        <v/>
      </c>
      <c r="AG2687" s="12" t="n"/>
      <c r="AH2687" s="11" t="n"/>
      <c r="AI2687" s="11" t="n"/>
      <c r="AJ2687" s="11" t="n"/>
      <c r="AK2687" s="14">
        <f>IF(AND($AF2687="保留中",$AH2687&lt;&gt;""),TODAY()-$AH2687,"")</f>
        <v/>
      </c>
      <c r="AL2687" s="12" t="n"/>
      <c r="AM2687" s="14">
        <f>IF($B2687="","",IF($AQ2687="","対象年月が未入力／","")&amp;IF($B2687="","",IF($AP2687="","職員マスタに未登録の職員番号／",IF($AA2687="","標準報酬月額が未登録／","")&amp;IF(AND($AQ2687&lt;&gt;"",OR(AND(INDEX(職員マスタ!$G$6:$G$405,$AP2687)&lt;&gt;"",INDEX(職員マスタ!$G$6:$G$405,$AP2687)&gt;EOMONTH($AQ2687,0)),AND(INDEX(職員マスタ!$H$6:$H$405,$AP2687)&lt;&gt;"",INDEX(職員マスタ!$H$6:$H$405,$AP2687)&lt;$AQ2687))),"対象月が時短期間外／","")&amp;IF(AND(INDEX(職員マスタ!$K$6:$K$405,$AP2687)&lt;&gt;"",N($W2687)&gt;0,INDEX(職員マスタ!$K$6:$K$405,$AP2687)&lt;&gt;$W2687),"標準報酬月額が申請書と相違（台帳"&amp;TEXT(INDEX(職員マスタ!$K$6:$K$405,$AP2687),"#,##0")&amp;"円／申請書"&amp;TEXT($W2687,"#,##0")&amp;"円）／","")&amp;IF(AND(INDEX(職員マスタ!$F$6:$F$405,$AP2687)&lt;&gt;"",$AQ2687&lt;&gt;"",INDEX(職員マスタ!$F$6:$F$405,$AP2687)&lt;$AQ2687),"対象月に子が2歳到達済／","")&amp;IF(AND($H2687&lt;&gt;"",INDEX(職員マスタ!$B$6:$B$405,$AP2687)&lt;&gt;"",SUBSTITUTE(SUBSTITUTE($H2687," ","")," ","")&lt;&gt;SUBSTITUTE(SUBSTITUTE(INDEX(職員マスタ!$B$6:$B$405,$AP2687)," ","")," ","")),"氏名がマスタと相違／","")&amp;IF(AND($Q2687&lt;&gt;"",INDEX(職員マスタ!$E$6:$E$405,$AP2687)&lt;&gt;"",$Q2687&lt;&gt;INDEX(職員マスタ!$E$6:$E$405,$AP2687)),"子の生年月日がマスタと相違／","")&amp;IF(AND($L2687&lt;&gt;"",INDEX(職員マスタ!$G$6:$G$405,$AP2687)&lt;&gt;"",$L2687&lt;&gt;INDEX(職員マスタ!$G$6:$G$405,$AP2687)),"時短開始日がマスタと相違／","")&amp;IF(AND($M2687&lt;&gt;"",INDEX(職員マスタ!$H$6:$H$405,$AP2687)&lt;&gt;"",$M2687&lt;&gt;INDEX(職員マスタ!$H$6:$H$405,$AP2687)),"時短終了日がマスタと相違／","")))&amp;IF(AND($B2687&lt;&gt;"",$E2687=""),"報酬額が未入力／","")&amp;IF(N($U2687)&gt;0,"申請書に入力エラーが残っています／","")&amp;IF(AND($B2687&lt;&gt;"",$AQ2687&lt;&gt;""),IF(COUNTIFS($B$6:$B$3005,$B2687,$C$6:$C$3005,$C2687,$D$6:$D$3005,$D2687)&gt;1,"同じ月の請求が重複しています／",""),"")&amp;IF(AND(N($E2687)&gt;0,$AB2687&lt;&gt;"",$AB2687&lt;&gt;"×",$AE2687=0,$AD2687=""),"計算額が下限以下のため不支給／",""))</f>
        <v/>
      </c>
      <c r="AN2687" s="12" t="n"/>
      <c r="AO2687" s="14">
        <f>IF($AF2687="保留中",COUNTIF($AF$6:$AF2687,"保留中"),"")</f>
        <v/>
      </c>
      <c r="AP2687" s="14">
        <f>IF($AQ2687="","",IF(SUMPRODUCT(MAX((職員マスタ!$A$6:$A$405=$B2687)*(((職員マスタ!$G$6:$G$405="")+(職員マスタ!$G$6:$G$405&lt;=EOMONTH($AQ2687,0)))&gt;0)*(((職員マスタ!$H$6:$H$405="")+(職員マスタ!$H$6:$H$405&gt;=$AQ2687))&gt;0)*(ROW(職員マスタ!$A$6:$A$405)-5)))&gt;0,SUMPRODUCT(MAX((職員マスタ!$A$6:$A$405=$B2687)*(((職員マスタ!$G$6:$G$405="")+(職員マスタ!$G$6:$G$405&lt;=EOMONTH($AQ2687,0)))&gt;0)*(((職員マスタ!$H$6:$H$405="")+(職員マスタ!$H$6:$H$405&gt;=$AQ2687))&gt;0)*(ROW(職員マスタ!$A$6:$A$405)-5))),IFERROR(MATCH($B2687,職員マスタ!$A$6:$A$405,0),"")))</f>
        <v/>
      </c>
      <c r="AQ2687" s="16">
        <f>IF(OR($B2687="",$C2687="",$D2687=""),"",DATE($C2687+2018,$D2687,1))</f>
        <v/>
      </c>
    </row>
    <row r="2688">
      <c r="A2688" s="11" t="n"/>
      <c r="B2688" s="12" t="n"/>
      <c r="C2688" s="12" t="n"/>
      <c r="D2688" s="12" t="n"/>
      <c r="E2688" s="13" t="n"/>
      <c r="F2688" s="12" t="n"/>
      <c r="G2688" s="13" t="n"/>
      <c r="H2688" s="12" t="n"/>
      <c r="I2688" s="12" t="n"/>
      <c r="J2688" s="12" t="n"/>
      <c r="K2688" s="12" t="n"/>
      <c r="L2688" s="11" t="n"/>
      <c r="M2688" s="11" t="n"/>
      <c r="N2688" s="11" t="n"/>
      <c r="O2688" s="11" t="n"/>
      <c r="P2688" s="12" t="n"/>
      <c r="Q2688" s="11" t="n"/>
      <c r="R2688" s="12" t="n"/>
      <c r="S2688" s="11" t="n"/>
      <c r="T2688" s="12" t="n"/>
      <c r="U2688" s="12" t="n"/>
      <c r="V2688" s="12" t="n"/>
      <c r="W2688" s="13" t="n"/>
      <c r="X2688" s="14">
        <f>IF($AP2688="",IF($B2688="","",$H2688),IF(INDEX(職員マスタ!$B$6:$B$405,$AP2688)="",$H2688,INDEX(職員マスタ!$B$6:$B$405,$AP2688)))</f>
        <v/>
      </c>
      <c r="Y2688" s="14">
        <f>IF($AP2688="",IF($B2688="","",$R2688),IF(INDEX(職員マスタ!$C$6:$C$405,$AP2688)="",$R2688,INDEX(職員マスタ!$C$6:$C$405,$AP2688)))</f>
        <v/>
      </c>
      <c r="Z2688" s="14">
        <f>IF($AQ2688="","","R"&amp;$C2688&amp;"."&amp;$D2688)</f>
        <v/>
      </c>
      <c r="AA2688" s="15">
        <f>IF(IF($AP2688="",FALSE,INDEX(職員マスタ!$K$6:$K$405,$AP2688)&lt;&gt;""),INDEX(職員マスタ!$K$6:$K$405,$AP2688),IF(N($W2688)&gt;0,$W2688,""))</f>
        <v/>
      </c>
      <c r="AB2688" s="14">
        <f>IF(OR($E2688="",$AA2688=""),"",IF($E2688&gt;=$AA2688,"×",IF($E2688&gt;=$AA2688*設定!$C$5,"△","○")))</f>
        <v/>
      </c>
      <c r="AC2688" s="15">
        <f>IF($AB2688="","",IF($AB2688="×",0,IF($AB2688="○",ROUNDDOWN($E2688*設定!$C$4,0),ROUNDDOWN($E2688*ROUND((9*$AA2688-9*$E2688)/(10*$E2688),4),0))))</f>
        <v/>
      </c>
      <c r="AD2688" s="13" t="n"/>
      <c r="AE2688" s="15">
        <f>IF($B2688="","",IF($AD2688&lt;&gt;"",$AD2688,IF($AC2688="","",IF($AC2688&lt;=設定!$C$3,0,$AC2688))))</f>
        <v/>
      </c>
      <c r="AF2688" s="14">
        <f>IF($B2688="","",IF(AND($AG2688&lt;&gt;"",$AI2688="",$AL2688=""),"保留中",IF($AL2688&lt;&gt;"",IF(N($AE2688)&gt;0,"支給済","不支給"),IF($AE2688="","要確認",IF($AE2688=0,"不支給","未処理")))))</f>
        <v/>
      </c>
      <c r="AG2688" s="12" t="n"/>
      <c r="AH2688" s="11" t="n"/>
      <c r="AI2688" s="11" t="n"/>
      <c r="AJ2688" s="11" t="n"/>
      <c r="AK2688" s="14">
        <f>IF(AND($AF2688="保留中",$AH2688&lt;&gt;""),TODAY()-$AH2688,"")</f>
        <v/>
      </c>
      <c r="AL2688" s="12" t="n"/>
      <c r="AM2688" s="14">
        <f>IF($B2688="","",IF($AQ2688="","対象年月が未入力／","")&amp;IF($B2688="","",IF($AP2688="","職員マスタに未登録の職員番号／",IF($AA2688="","標準報酬月額が未登録／","")&amp;IF(AND($AQ2688&lt;&gt;"",OR(AND(INDEX(職員マスタ!$G$6:$G$405,$AP2688)&lt;&gt;"",INDEX(職員マスタ!$G$6:$G$405,$AP2688)&gt;EOMONTH($AQ2688,0)),AND(INDEX(職員マスタ!$H$6:$H$405,$AP2688)&lt;&gt;"",INDEX(職員マスタ!$H$6:$H$405,$AP2688)&lt;$AQ2688))),"対象月が時短期間外／","")&amp;IF(AND(INDEX(職員マスタ!$K$6:$K$405,$AP2688)&lt;&gt;"",N($W2688)&gt;0,INDEX(職員マスタ!$K$6:$K$405,$AP2688)&lt;&gt;$W2688),"標準報酬月額が申請書と相違（台帳"&amp;TEXT(INDEX(職員マスタ!$K$6:$K$405,$AP2688),"#,##0")&amp;"円／申請書"&amp;TEXT($W2688,"#,##0")&amp;"円）／","")&amp;IF(AND(INDEX(職員マスタ!$F$6:$F$405,$AP2688)&lt;&gt;"",$AQ2688&lt;&gt;"",INDEX(職員マスタ!$F$6:$F$405,$AP2688)&lt;$AQ2688),"対象月に子が2歳到達済／","")&amp;IF(AND($H2688&lt;&gt;"",INDEX(職員マスタ!$B$6:$B$405,$AP2688)&lt;&gt;"",SUBSTITUTE(SUBSTITUTE($H2688," ","")," ","")&lt;&gt;SUBSTITUTE(SUBSTITUTE(INDEX(職員マスタ!$B$6:$B$405,$AP2688)," ","")," ","")),"氏名がマスタと相違／","")&amp;IF(AND($Q2688&lt;&gt;"",INDEX(職員マスタ!$E$6:$E$405,$AP2688)&lt;&gt;"",$Q2688&lt;&gt;INDEX(職員マスタ!$E$6:$E$405,$AP2688)),"子の生年月日がマスタと相違／","")&amp;IF(AND($L2688&lt;&gt;"",INDEX(職員マスタ!$G$6:$G$405,$AP2688)&lt;&gt;"",$L2688&lt;&gt;INDEX(職員マスタ!$G$6:$G$405,$AP2688)),"時短開始日がマスタと相違／","")&amp;IF(AND($M2688&lt;&gt;"",INDEX(職員マスタ!$H$6:$H$405,$AP2688)&lt;&gt;"",$M2688&lt;&gt;INDEX(職員マスタ!$H$6:$H$405,$AP2688)),"時短終了日がマスタと相違／","")))&amp;IF(AND($B2688&lt;&gt;"",$E2688=""),"報酬額が未入力／","")&amp;IF(N($U2688)&gt;0,"申請書に入力エラーが残っています／","")&amp;IF(AND($B2688&lt;&gt;"",$AQ2688&lt;&gt;""),IF(COUNTIFS($B$6:$B$3005,$B2688,$C$6:$C$3005,$C2688,$D$6:$D$3005,$D2688)&gt;1,"同じ月の請求が重複しています／",""),"")&amp;IF(AND(N($E2688)&gt;0,$AB2688&lt;&gt;"",$AB2688&lt;&gt;"×",$AE2688=0,$AD2688=""),"計算額が下限以下のため不支給／",""))</f>
        <v/>
      </c>
      <c r="AN2688" s="12" t="n"/>
      <c r="AO2688" s="14">
        <f>IF($AF2688="保留中",COUNTIF($AF$6:$AF2688,"保留中"),"")</f>
        <v/>
      </c>
      <c r="AP2688" s="14">
        <f>IF($AQ2688="","",IF(SUMPRODUCT(MAX((職員マスタ!$A$6:$A$405=$B2688)*(((職員マスタ!$G$6:$G$405="")+(職員マスタ!$G$6:$G$405&lt;=EOMONTH($AQ2688,0)))&gt;0)*(((職員マスタ!$H$6:$H$405="")+(職員マスタ!$H$6:$H$405&gt;=$AQ2688))&gt;0)*(ROW(職員マスタ!$A$6:$A$405)-5)))&gt;0,SUMPRODUCT(MAX((職員マスタ!$A$6:$A$405=$B2688)*(((職員マスタ!$G$6:$G$405="")+(職員マスタ!$G$6:$G$405&lt;=EOMONTH($AQ2688,0)))&gt;0)*(((職員マスタ!$H$6:$H$405="")+(職員マスタ!$H$6:$H$405&gt;=$AQ2688))&gt;0)*(ROW(職員マスタ!$A$6:$A$405)-5))),IFERROR(MATCH($B2688,職員マスタ!$A$6:$A$405,0),"")))</f>
        <v/>
      </c>
      <c r="AQ2688" s="16">
        <f>IF(OR($B2688="",$C2688="",$D2688=""),"",DATE($C2688+2018,$D2688,1))</f>
        <v/>
      </c>
    </row>
    <row r="2689">
      <c r="A2689" s="11" t="n"/>
      <c r="B2689" s="12" t="n"/>
      <c r="C2689" s="12" t="n"/>
      <c r="D2689" s="12" t="n"/>
      <c r="E2689" s="13" t="n"/>
      <c r="F2689" s="12" t="n"/>
      <c r="G2689" s="13" t="n"/>
      <c r="H2689" s="12" t="n"/>
      <c r="I2689" s="12" t="n"/>
      <c r="J2689" s="12" t="n"/>
      <c r="K2689" s="12" t="n"/>
      <c r="L2689" s="11" t="n"/>
      <c r="M2689" s="11" t="n"/>
      <c r="N2689" s="11" t="n"/>
      <c r="O2689" s="11" t="n"/>
      <c r="P2689" s="12" t="n"/>
      <c r="Q2689" s="11" t="n"/>
      <c r="R2689" s="12" t="n"/>
      <c r="S2689" s="11" t="n"/>
      <c r="T2689" s="12" t="n"/>
      <c r="U2689" s="12" t="n"/>
      <c r="V2689" s="12" t="n"/>
      <c r="W2689" s="13" t="n"/>
      <c r="X2689" s="14">
        <f>IF($AP2689="",IF($B2689="","",$H2689),IF(INDEX(職員マスタ!$B$6:$B$405,$AP2689)="",$H2689,INDEX(職員マスタ!$B$6:$B$405,$AP2689)))</f>
        <v/>
      </c>
      <c r="Y2689" s="14">
        <f>IF($AP2689="",IF($B2689="","",$R2689),IF(INDEX(職員マスタ!$C$6:$C$405,$AP2689)="",$R2689,INDEX(職員マスタ!$C$6:$C$405,$AP2689)))</f>
        <v/>
      </c>
      <c r="Z2689" s="14">
        <f>IF($AQ2689="","","R"&amp;$C2689&amp;"."&amp;$D2689)</f>
        <v/>
      </c>
      <c r="AA2689" s="15">
        <f>IF(IF($AP2689="",FALSE,INDEX(職員マスタ!$K$6:$K$405,$AP2689)&lt;&gt;""),INDEX(職員マスタ!$K$6:$K$405,$AP2689),IF(N($W2689)&gt;0,$W2689,""))</f>
        <v/>
      </c>
      <c r="AB2689" s="14">
        <f>IF(OR($E2689="",$AA2689=""),"",IF($E2689&gt;=$AA2689,"×",IF($E2689&gt;=$AA2689*設定!$C$5,"△","○")))</f>
        <v/>
      </c>
      <c r="AC2689" s="15">
        <f>IF($AB2689="","",IF($AB2689="×",0,IF($AB2689="○",ROUNDDOWN($E2689*設定!$C$4,0),ROUNDDOWN($E2689*ROUND((9*$AA2689-9*$E2689)/(10*$E2689),4),0))))</f>
        <v/>
      </c>
      <c r="AD2689" s="13" t="n"/>
      <c r="AE2689" s="15">
        <f>IF($B2689="","",IF($AD2689&lt;&gt;"",$AD2689,IF($AC2689="","",IF($AC2689&lt;=設定!$C$3,0,$AC2689))))</f>
        <v/>
      </c>
      <c r="AF2689" s="14">
        <f>IF($B2689="","",IF(AND($AG2689&lt;&gt;"",$AI2689="",$AL2689=""),"保留中",IF($AL2689&lt;&gt;"",IF(N($AE2689)&gt;0,"支給済","不支給"),IF($AE2689="","要確認",IF($AE2689=0,"不支給","未処理")))))</f>
        <v/>
      </c>
      <c r="AG2689" s="12" t="n"/>
      <c r="AH2689" s="11" t="n"/>
      <c r="AI2689" s="11" t="n"/>
      <c r="AJ2689" s="11" t="n"/>
      <c r="AK2689" s="14">
        <f>IF(AND($AF2689="保留中",$AH2689&lt;&gt;""),TODAY()-$AH2689,"")</f>
        <v/>
      </c>
      <c r="AL2689" s="12" t="n"/>
      <c r="AM2689" s="14">
        <f>IF($B2689="","",IF($AQ2689="","対象年月が未入力／","")&amp;IF($B2689="","",IF($AP2689="","職員マスタに未登録の職員番号／",IF($AA2689="","標準報酬月額が未登録／","")&amp;IF(AND($AQ2689&lt;&gt;"",OR(AND(INDEX(職員マスタ!$G$6:$G$405,$AP2689)&lt;&gt;"",INDEX(職員マスタ!$G$6:$G$405,$AP2689)&gt;EOMONTH($AQ2689,0)),AND(INDEX(職員マスタ!$H$6:$H$405,$AP2689)&lt;&gt;"",INDEX(職員マスタ!$H$6:$H$405,$AP2689)&lt;$AQ2689))),"対象月が時短期間外／","")&amp;IF(AND(INDEX(職員マスタ!$K$6:$K$405,$AP2689)&lt;&gt;"",N($W2689)&gt;0,INDEX(職員マスタ!$K$6:$K$405,$AP2689)&lt;&gt;$W2689),"標準報酬月額が申請書と相違（台帳"&amp;TEXT(INDEX(職員マスタ!$K$6:$K$405,$AP2689),"#,##0")&amp;"円／申請書"&amp;TEXT($W2689,"#,##0")&amp;"円）／","")&amp;IF(AND(INDEX(職員マスタ!$F$6:$F$405,$AP2689)&lt;&gt;"",$AQ2689&lt;&gt;"",INDEX(職員マスタ!$F$6:$F$405,$AP2689)&lt;$AQ2689),"対象月に子が2歳到達済／","")&amp;IF(AND($H2689&lt;&gt;"",INDEX(職員マスタ!$B$6:$B$405,$AP2689)&lt;&gt;"",SUBSTITUTE(SUBSTITUTE($H2689," ","")," ","")&lt;&gt;SUBSTITUTE(SUBSTITUTE(INDEX(職員マスタ!$B$6:$B$405,$AP2689)," ","")," ","")),"氏名がマスタと相違／","")&amp;IF(AND($Q2689&lt;&gt;"",INDEX(職員マスタ!$E$6:$E$405,$AP2689)&lt;&gt;"",$Q2689&lt;&gt;INDEX(職員マスタ!$E$6:$E$405,$AP2689)),"子の生年月日がマスタと相違／","")&amp;IF(AND($L2689&lt;&gt;"",INDEX(職員マスタ!$G$6:$G$405,$AP2689)&lt;&gt;"",$L2689&lt;&gt;INDEX(職員マスタ!$G$6:$G$405,$AP2689)),"時短開始日がマスタと相違／","")&amp;IF(AND($M2689&lt;&gt;"",INDEX(職員マスタ!$H$6:$H$405,$AP2689)&lt;&gt;"",$M2689&lt;&gt;INDEX(職員マスタ!$H$6:$H$405,$AP2689)),"時短終了日がマスタと相違／","")))&amp;IF(AND($B2689&lt;&gt;"",$E2689=""),"報酬額が未入力／","")&amp;IF(N($U2689)&gt;0,"申請書に入力エラーが残っています／","")&amp;IF(AND($B2689&lt;&gt;"",$AQ2689&lt;&gt;""),IF(COUNTIFS($B$6:$B$3005,$B2689,$C$6:$C$3005,$C2689,$D$6:$D$3005,$D2689)&gt;1,"同じ月の請求が重複しています／",""),"")&amp;IF(AND(N($E2689)&gt;0,$AB2689&lt;&gt;"",$AB2689&lt;&gt;"×",$AE2689=0,$AD2689=""),"計算額が下限以下のため不支給／",""))</f>
        <v/>
      </c>
      <c r="AN2689" s="12" t="n"/>
      <c r="AO2689" s="14">
        <f>IF($AF2689="保留中",COUNTIF($AF$6:$AF2689,"保留中"),"")</f>
        <v/>
      </c>
      <c r="AP2689" s="14">
        <f>IF($AQ2689="","",IF(SUMPRODUCT(MAX((職員マスタ!$A$6:$A$405=$B2689)*(((職員マスタ!$G$6:$G$405="")+(職員マスタ!$G$6:$G$405&lt;=EOMONTH($AQ2689,0)))&gt;0)*(((職員マスタ!$H$6:$H$405="")+(職員マスタ!$H$6:$H$405&gt;=$AQ2689))&gt;0)*(ROW(職員マスタ!$A$6:$A$405)-5)))&gt;0,SUMPRODUCT(MAX((職員マスタ!$A$6:$A$405=$B2689)*(((職員マスタ!$G$6:$G$405="")+(職員マスタ!$G$6:$G$405&lt;=EOMONTH($AQ2689,0)))&gt;0)*(((職員マスタ!$H$6:$H$405="")+(職員マスタ!$H$6:$H$405&gt;=$AQ2689))&gt;0)*(ROW(職員マスタ!$A$6:$A$405)-5))),IFERROR(MATCH($B2689,職員マスタ!$A$6:$A$405,0),"")))</f>
        <v/>
      </c>
      <c r="AQ2689" s="16">
        <f>IF(OR($B2689="",$C2689="",$D2689=""),"",DATE($C2689+2018,$D2689,1))</f>
        <v/>
      </c>
    </row>
    <row r="2690">
      <c r="A2690" s="11" t="n"/>
      <c r="B2690" s="12" t="n"/>
      <c r="C2690" s="12" t="n"/>
      <c r="D2690" s="12" t="n"/>
      <c r="E2690" s="13" t="n"/>
      <c r="F2690" s="12" t="n"/>
      <c r="G2690" s="13" t="n"/>
      <c r="H2690" s="12" t="n"/>
      <c r="I2690" s="12" t="n"/>
      <c r="J2690" s="12" t="n"/>
      <c r="K2690" s="12" t="n"/>
      <c r="L2690" s="11" t="n"/>
      <c r="M2690" s="11" t="n"/>
      <c r="N2690" s="11" t="n"/>
      <c r="O2690" s="11" t="n"/>
      <c r="P2690" s="12" t="n"/>
      <c r="Q2690" s="11" t="n"/>
      <c r="R2690" s="12" t="n"/>
      <c r="S2690" s="11" t="n"/>
      <c r="T2690" s="12" t="n"/>
      <c r="U2690" s="12" t="n"/>
      <c r="V2690" s="12" t="n"/>
      <c r="W2690" s="13" t="n"/>
      <c r="X2690" s="14">
        <f>IF($AP2690="",IF($B2690="","",$H2690),IF(INDEX(職員マスタ!$B$6:$B$405,$AP2690)="",$H2690,INDEX(職員マスタ!$B$6:$B$405,$AP2690)))</f>
        <v/>
      </c>
      <c r="Y2690" s="14">
        <f>IF($AP2690="",IF($B2690="","",$R2690),IF(INDEX(職員マスタ!$C$6:$C$405,$AP2690)="",$R2690,INDEX(職員マスタ!$C$6:$C$405,$AP2690)))</f>
        <v/>
      </c>
      <c r="Z2690" s="14">
        <f>IF($AQ2690="","","R"&amp;$C2690&amp;"."&amp;$D2690)</f>
        <v/>
      </c>
      <c r="AA2690" s="15">
        <f>IF(IF($AP2690="",FALSE,INDEX(職員マスタ!$K$6:$K$405,$AP2690)&lt;&gt;""),INDEX(職員マスタ!$K$6:$K$405,$AP2690),IF(N($W2690)&gt;0,$W2690,""))</f>
        <v/>
      </c>
      <c r="AB2690" s="14">
        <f>IF(OR($E2690="",$AA2690=""),"",IF($E2690&gt;=$AA2690,"×",IF($E2690&gt;=$AA2690*設定!$C$5,"△","○")))</f>
        <v/>
      </c>
      <c r="AC2690" s="15">
        <f>IF($AB2690="","",IF($AB2690="×",0,IF($AB2690="○",ROUNDDOWN($E2690*設定!$C$4,0),ROUNDDOWN($E2690*ROUND((9*$AA2690-9*$E2690)/(10*$E2690),4),0))))</f>
        <v/>
      </c>
      <c r="AD2690" s="13" t="n"/>
      <c r="AE2690" s="15">
        <f>IF($B2690="","",IF($AD2690&lt;&gt;"",$AD2690,IF($AC2690="","",IF($AC2690&lt;=設定!$C$3,0,$AC2690))))</f>
        <v/>
      </c>
      <c r="AF2690" s="14">
        <f>IF($B2690="","",IF(AND($AG2690&lt;&gt;"",$AI2690="",$AL2690=""),"保留中",IF($AL2690&lt;&gt;"",IF(N($AE2690)&gt;0,"支給済","不支給"),IF($AE2690="","要確認",IF($AE2690=0,"不支給","未処理")))))</f>
        <v/>
      </c>
      <c r="AG2690" s="12" t="n"/>
      <c r="AH2690" s="11" t="n"/>
      <c r="AI2690" s="11" t="n"/>
      <c r="AJ2690" s="11" t="n"/>
      <c r="AK2690" s="14">
        <f>IF(AND($AF2690="保留中",$AH2690&lt;&gt;""),TODAY()-$AH2690,"")</f>
        <v/>
      </c>
      <c r="AL2690" s="12" t="n"/>
      <c r="AM2690" s="14">
        <f>IF($B2690="","",IF($AQ2690="","対象年月が未入力／","")&amp;IF($B2690="","",IF($AP2690="","職員マスタに未登録の職員番号／",IF($AA2690="","標準報酬月額が未登録／","")&amp;IF(AND($AQ2690&lt;&gt;"",OR(AND(INDEX(職員マスタ!$G$6:$G$405,$AP2690)&lt;&gt;"",INDEX(職員マスタ!$G$6:$G$405,$AP2690)&gt;EOMONTH($AQ2690,0)),AND(INDEX(職員マスタ!$H$6:$H$405,$AP2690)&lt;&gt;"",INDEX(職員マスタ!$H$6:$H$405,$AP2690)&lt;$AQ2690))),"対象月が時短期間外／","")&amp;IF(AND(INDEX(職員マスタ!$K$6:$K$405,$AP2690)&lt;&gt;"",N($W2690)&gt;0,INDEX(職員マスタ!$K$6:$K$405,$AP2690)&lt;&gt;$W2690),"標準報酬月額が申請書と相違（台帳"&amp;TEXT(INDEX(職員マスタ!$K$6:$K$405,$AP2690),"#,##0")&amp;"円／申請書"&amp;TEXT($W2690,"#,##0")&amp;"円）／","")&amp;IF(AND(INDEX(職員マスタ!$F$6:$F$405,$AP2690)&lt;&gt;"",$AQ2690&lt;&gt;"",INDEX(職員マスタ!$F$6:$F$405,$AP2690)&lt;$AQ2690),"対象月に子が2歳到達済／","")&amp;IF(AND($H2690&lt;&gt;"",INDEX(職員マスタ!$B$6:$B$405,$AP2690)&lt;&gt;"",SUBSTITUTE(SUBSTITUTE($H2690," ","")," ","")&lt;&gt;SUBSTITUTE(SUBSTITUTE(INDEX(職員マスタ!$B$6:$B$405,$AP2690)," ","")," ","")),"氏名がマスタと相違／","")&amp;IF(AND($Q2690&lt;&gt;"",INDEX(職員マスタ!$E$6:$E$405,$AP2690)&lt;&gt;"",$Q2690&lt;&gt;INDEX(職員マスタ!$E$6:$E$405,$AP2690)),"子の生年月日がマスタと相違／","")&amp;IF(AND($L2690&lt;&gt;"",INDEX(職員マスタ!$G$6:$G$405,$AP2690)&lt;&gt;"",$L2690&lt;&gt;INDEX(職員マスタ!$G$6:$G$405,$AP2690)),"時短開始日がマスタと相違／","")&amp;IF(AND($M2690&lt;&gt;"",INDEX(職員マスタ!$H$6:$H$405,$AP2690)&lt;&gt;"",$M2690&lt;&gt;INDEX(職員マスタ!$H$6:$H$405,$AP2690)),"時短終了日がマスタと相違／","")))&amp;IF(AND($B2690&lt;&gt;"",$E2690=""),"報酬額が未入力／","")&amp;IF(N($U2690)&gt;0,"申請書に入力エラーが残っています／","")&amp;IF(AND($B2690&lt;&gt;"",$AQ2690&lt;&gt;""),IF(COUNTIFS($B$6:$B$3005,$B2690,$C$6:$C$3005,$C2690,$D$6:$D$3005,$D2690)&gt;1,"同じ月の請求が重複しています／",""),"")&amp;IF(AND(N($E2690)&gt;0,$AB2690&lt;&gt;"",$AB2690&lt;&gt;"×",$AE2690=0,$AD2690=""),"計算額が下限以下のため不支給／",""))</f>
        <v/>
      </c>
      <c r="AN2690" s="12" t="n"/>
      <c r="AO2690" s="14">
        <f>IF($AF2690="保留中",COUNTIF($AF$6:$AF2690,"保留中"),"")</f>
        <v/>
      </c>
      <c r="AP2690" s="14">
        <f>IF($AQ2690="","",IF(SUMPRODUCT(MAX((職員マスタ!$A$6:$A$405=$B2690)*(((職員マスタ!$G$6:$G$405="")+(職員マスタ!$G$6:$G$405&lt;=EOMONTH($AQ2690,0)))&gt;0)*(((職員マスタ!$H$6:$H$405="")+(職員マスタ!$H$6:$H$405&gt;=$AQ2690))&gt;0)*(ROW(職員マスタ!$A$6:$A$405)-5)))&gt;0,SUMPRODUCT(MAX((職員マスタ!$A$6:$A$405=$B2690)*(((職員マスタ!$G$6:$G$405="")+(職員マスタ!$G$6:$G$405&lt;=EOMONTH($AQ2690,0)))&gt;0)*(((職員マスタ!$H$6:$H$405="")+(職員マスタ!$H$6:$H$405&gt;=$AQ2690))&gt;0)*(ROW(職員マスタ!$A$6:$A$405)-5))),IFERROR(MATCH($B2690,職員マスタ!$A$6:$A$405,0),"")))</f>
        <v/>
      </c>
      <c r="AQ2690" s="16">
        <f>IF(OR($B2690="",$C2690="",$D2690=""),"",DATE($C2690+2018,$D2690,1))</f>
        <v/>
      </c>
    </row>
    <row r="2691">
      <c r="A2691" s="11" t="n"/>
      <c r="B2691" s="12" t="n"/>
      <c r="C2691" s="12" t="n"/>
      <c r="D2691" s="12" t="n"/>
      <c r="E2691" s="13" t="n"/>
      <c r="F2691" s="12" t="n"/>
      <c r="G2691" s="13" t="n"/>
      <c r="H2691" s="12" t="n"/>
      <c r="I2691" s="12" t="n"/>
      <c r="J2691" s="12" t="n"/>
      <c r="K2691" s="12" t="n"/>
      <c r="L2691" s="11" t="n"/>
      <c r="M2691" s="11" t="n"/>
      <c r="N2691" s="11" t="n"/>
      <c r="O2691" s="11" t="n"/>
      <c r="P2691" s="12" t="n"/>
      <c r="Q2691" s="11" t="n"/>
      <c r="R2691" s="12" t="n"/>
      <c r="S2691" s="11" t="n"/>
      <c r="T2691" s="12" t="n"/>
      <c r="U2691" s="12" t="n"/>
      <c r="V2691" s="12" t="n"/>
      <c r="W2691" s="13" t="n"/>
      <c r="X2691" s="14">
        <f>IF($AP2691="",IF($B2691="","",$H2691),IF(INDEX(職員マスタ!$B$6:$B$405,$AP2691)="",$H2691,INDEX(職員マスタ!$B$6:$B$405,$AP2691)))</f>
        <v/>
      </c>
      <c r="Y2691" s="14">
        <f>IF($AP2691="",IF($B2691="","",$R2691),IF(INDEX(職員マスタ!$C$6:$C$405,$AP2691)="",$R2691,INDEX(職員マスタ!$C$6:$C$405,$AP2691)))</f>
        <v/>
      </c>
      <c r="Z2691" s="14">
        <f>IF($AQ2691="","","R"&amp;$C2691&amp;"."&amp;$D2691)</f>
        <v/>
      </c>
      <c r="AA2691" s="15">
        <f>IF(IF($AP2691="",FALSE,INDEX(職員マスタ!$K$6:$K$405,$AP2691)&lt;&gt;""),INDEX(職員マスタ!$K$6:$K$405,$AP2691),IF(N($W2691)&gt;0,$W2691,""))</f>
        <v/>
      </c>
      <c r="AB2691" s="14">
        <f>IF(OR($E2691="",$AA2691=""),"",IF($E2691&gt;=$AA2691,"×",IF($E2691&gt;=$AA2691*設定!$C$5,"△","○")))</f>
        <v/>
      </c>
      <c r="AC2691" s="15">
        <f>IF($AB2691="","",IF($AB2691="×",0,IF($AB2691="○",ROUNDDOWN($E2691*設定!$C$4,0),ROUNDDOWN($E2691*ROUND((9*$AA2691-9*$E2691)/(10*$E2691),4),0))))</f>
        <v/>
      </c>
      <c r="AD2691" s="13" t="n"/>
      <c r="AE2691" s="15">
        <f>IF($B2691="","",IF($AD2691&lt;&gt;"",$AD2691,IF($AC2691="","",IF($AC2691&lt;=設定!$C$3,0,$AC2691))))</f>
        <v/>
      </c>
      <c r="AF2691" s="14">
        <f>IF($B2691="","",IF(AND($AG2691&lt;&gt;"",$AI2691="",$AL2691=""),"保留中",IF($AL2691&lt;&gt;"",IF(N($AE2691)&gt;0,"支給済","不支給"),IF($AE2691="","要確認",IF($AE2691=0,"不支給","未処理")))))</f>
        <v/>
      </c>
      <c r="AG2691" s="12" t="n"/>
      <c r="AH2691" s="11" t="n"/>
      <c r="AI2691" s="11" t="n"/>
      <c r="AJ2691" s="11" t="n"/>
      <c r="AK2691" s="14">
        <f>IF(AND($AF2691="保留中",$AH2691&lt;&gt;""),TODAY()-$AH2691,"")</f>
        <v/>
      </c>
      <c r="AL2691" s="12" t="n"/>
      <c r="AM2691" s="14">
        <f>IF($B2691="","",IF($AQ2691="","対象年月が未入力／","")&amp;IF($B2691="","",IF($AP2691="","職員マスタに未登録の職員番号／",IF($AA2691="","標準報酬月額が未登録／","")&amp;IF(AND($AQ2691&lt;&gt;"",OR(AND(INDEX(職員マスタ!$G$6:$G$405,$AP2691)&lt;&gt;"",INDEX(職員マスタ!$G$6:$G$405,$AP2691)&gt;EOMONTH($AQ2691,0)),AND(INDEX(職員マスタ!$H$6:$H$405,$AP2691)&lt;&gt;"",INDEX(職員マスタ!$H$6:$H$405,$AP2691)&lt;$AQ2691))),"対象月が時短期間外／","")&amp;IF(AND(INDEX(職員マスタ!$K$6:$K$405,$AP2691)&lt;&gt;"",N($W2691)&gt;0,INDEX(職員マスタ!$K$6:$K$405,$AP2691)&lt;&gt;$W2691),"標準報酬月額が申請書と相違（台帳"&amp;TEXT(INDEX(職員マスタ!$K$6:$K$405,$AP2691),"#,##0")&amp;"円／申請書"&amp;TEXT($W2691,"#,##0")&amp;"円）／","")&amp;IF(AND(INDEX(職員マスタ!$F$6:$F$405,$AP2691)&lt;&gt;"",$AQ2691&lt;&gt;"",INDEX(職員マスタ!$F$6:$F$405,$AP2691)&lt;$AQ2691),"対象月に子が2歳到達済／","")&amp;IF(AND($H2691&lt;&gt;"",INDEX(職員マスタ!$B$6:$B$405,$AP2691)&lt;&gt;"",SUBSTITUTE(SUBSTITUTE($H2691," ","")," ","")&lt;&gt;SUBSTITUTE(SUBSTITUTE(INDEX(職員マスタ!$B$6:$B$405,$AP2691)," ","")," ","")),"氏名がマスタと相違／","")&amp;IF(AND($Q2691&lt;&gt;"",INDEX(職員マスタ!$E$6:$E$405,$AP2691)&lt;&gt;"",$Q2691&lt;&gt;INDEX(職員マスタ!$E$6:$E$405,$AP2691)),"子の生年月日がマスタと相違／","")&amp;IF(AND($L2691&lt;&gt;"",INDEX(職員マスタ!$G$6:$G$405,$AP2691)&lt;&gt;"",$L2691&lt;&gt;INDEX(職員マスタ!$G$6:$G$405,$AP2691)),"時短開始日がマスタと相違／","")&amp;IF(AND($M2691&lt;&gt;"",INDEX(職員マスタ!$H$6:$H$405,$AP2691)&lt;&gt;"",$M2691&lt;&gt;INDEX(職員マスタ!$H$6:$H$405,$AP2691)),"時短終了日がマスタと相違／","")))&amp;IF(AND($B2691&lt;&gt;"",$E2691=""),"報酬額が未入力／","")&amp;IF(N($U2691)&gt;0,"申請書に入力エラーが残っています／","")&amp;IF(AND($B2691&lt;&gt;"",$AQ2691&lt;&gt;""),IF(COUNTIFS($B$6:$B$3005,$B2691,$C$6:$C$3005,$C2691,$D$6:$D$3005,$D2691)&gt;1,"同じ月の請求が重複しています／",""),"")&amp;IF(AND(N($E2691)&gt;0,$AB2691&lt;&gt;"",$AB2691&lt;&gt;"×",$AE2691=0,$AD2691=""),"計算額が下限以下のため不支給／",""))</f>
        <v/>
      </c>
      <c r="AN2691" s="12" t="n"/>
      <c r="AO2691" s="14">
        <f>IF($AF2691="保留中",COUNTIF($AF$6:$AF2691,"保留中"),"")</f>
        <v/>
      </c>
      <c r="AP2691" s="14">
        <f>IF($AQ2691="","",IF(SUMPRODUCT(MAX((職員マスタ!$A$6:$A$405=$B2691)*(((職員マスタ!$G$6:$G$405="")+(職員マスタ!$G$6:$G$405&lt;=EOMONTH($AQ2691,0)))&gt;0)*(((職員マスタ!$H$6:$H$405="")+(職員マスタ!$H$6:$H$405&gt;=$AQ2691))&gt;0)*(ROW(職員マスタ!$A$6:$A$405)-5)))&gt;0,SUMPRODUCT(MAX((職員マスタ!$A$6:$A$405=$B2691)*(((職員マスタ!$G$6:$G$405="")+(職員マスタ!$G$6:$G$405&lt;=EOMONTH($AQ2691,0)))&gt;0)*(((職員マスタ!$H$6:$H$405="")+(職員マスタ!$H$6:$H$405&gt;=$AQ2691))&gt;0)*(ROW(職員マスタ!$A$6:$A$405)-5))),IFERROR(MATCH($B2691,職員マスタ!$A$6:$A$405,0),"")))</f>
        <v/>
      </c>
      <c r="AQ2691" s="16">
        <f>IF(OR($B2691="",$C2691="",$D2691=""),"",DATE($C2691+2018,$D2691,1))</f>
        <v/>
      </c>
    </row>
    <row r="2692">
      <c r="A2692" s="11" t="n"/>
      <c r="B2692" s="12" t="n"/>
      <c r="C2692" s="12" t="n"/>
      <c r="D2692" s="12" t="n"/>
      <c r="E2692" s="13" t="n"/>
      <c r="F2692" s="12" t="n"/>
      <c r="G2692" s="13" t="n"/>
      <c r="H2692" s="12" t="n"/>
      <c r="I2692" s="12" t="n"/>
      <c r="J2692" s="12" t="n"/>
      <c r="K2692" s="12" t="n"/>
      <c r="L2692" s="11" t="n"/>
      <c r="M2692" s="11" t="n"/>
      <c r="N2692" s="11" t="n"/>
      <c r="O2692" s="11" t="n"/>
      <c r="P2692" s="12" t="n"/>
      <c r="Q2692" s="11" t="n"/>
      <c r="R2692" s="12" t="n"/>
      <c r="S2692" s="11" t="n"/>
      <c r="T2692" s="12" t="n"/>
      <c r="U2692" s="12" t="n"/>
      <c r="V2692" s="12" t="n"/>
      <c r="W2692" s="13" t="n"/>
      <c r="X2692" s="14">
        <f>IF($AP2692="",IF($B2692="","",$H2692),IF(INDEX(職員マスタ!$B$6:$B$405,$AP2692)="",$H2692,INDEX(職員マスタ!$B$6:$B$405,$AP2692)))</f>
        <v/>
      </c>
      <c r="Y2692" s="14">
        <f>IF($AP2692="",IF($B2692="","",$R2692),IF(INDEX(職員マスタ!$C$6:$C$405,$AP2692)="",$R2692,INDEX(職員マスタ!$C$6:$C$405,$AP2692)))</f>
        <v/>
      </c>
      <c r="Z2692" s="14">
        <f>IF($AQ2692="","","R"&amp;$C2692&amp;"."&amp;$D2692)</f>
        <v/>
      </c>
      <c r="AA2692" s="15">
        <f>IF(IF($AP2692="",FALSE,INDEX(職員マスタ!$K$6:$K$405,$AP2692)&lt;&gt;""),INDEX(職員マスタ!$K$6:$K$405,$AP2692),IF(N($W2692)&gt;0,$W2692,""))</f>
        <v/>
      </c>
      <c r="AB2692" s="14">
        <f>IF(OR($E2692="",$AA2692=""),"",IF($E2692&gt;=$AA2692,"×",IF($E2692&gt;=$AA2692*設定!$C$5,"△","○")))</f>
        <v/>
      </c>
      <c r="AC2692" s="15">
        <f>IF($AB2692="","",IF($AB2692="×",0,IF($AB2692="○",ROUNDDOWN($E2692*設定!$C$4,0),ROUNDDOWN($E2692*ROUND((9*$AA2692-9*$E2692)/(10*$E2692),4),0))))</f>
        <v/>
      </c>
      <c r="AD2692" s="13" t="n"/>
      <c r="AE2692" s="15">
        <f>IF($B2692="","",IF($AD2692&lt;&gt;"",$AD2692,IF($AC2692="","",IF($AC2692&lt;=設定!$C$3,0,$AC2692))))</f>
        <v/>
      </c>
      <c r="AF2692" s="14">
        <f>IF($B2692="","",IF(AND($AG2692&lt;&gt;"",$AI2692="",$AL2692=""),"保留中",IF($AL2692&lt;&gt;"",IF(N($AE2692)&gt;0,"支給済","不支給"),IF($AE2692="","要確認",IF($AE2692=0,"不支給","未処理")))))</f>
        <v/>
      </c>
      <c r="AG2692" s="12" t="n"/>
      <c r="AH2692" s="11" t="n"/>
      <c r="AI2692" s="11" t="n"/>
      <c r="AJ2692" s="11" t="n"/>
      <c r="AK2692" s="14">
        <f>IF(AND($AF2692="保留中",$AH2692&lt;&gt;""),TODAY()-$AH2692,"")</f>
        <v/>
      </c>
      <c r="AL2692" s="12" t="n"/>
      <c r="AM2692" s="14">
        <f>IF($B2692="","",IF($AQ2692="","対象年月が未入力／","")&amp;IF($B2692="","",IF($AP2692="","職員マスタに未登録の職員番号／",IF($AA2692="","標準報酬月額が未登録／","")&amp;IF(AND($AQ2692&lt;&gt;"",OR(AND(INDEX(職員マスタ!$G$6:$G$405,$AP2692)&lt;&gt;"",INDEX(職員マスタ!$G$6:$G$405,$AP2692)&gt;EOMONTH($AQ2692,0)),AND(INDEX(職員マスタ!$H$6:$H$405,$AP2692)&lt;&gt;"",INDEX(職員マスタ!$H$6:$H$405,$AP2692)&lt;$AQ2692))),"対象月が時短期間外／","")&amp;IF(AND(INDEX(職員マスタ!$K$6:$K$405,$AP2692)&lt;&gt;"",N($W2692)&gt;0,INDEX(職員マスタ!$K$6:$K$405,$AP2692)&lt;&gt;$W2692),"標準報酬月額が申請書と相違（台帳"&amp;TEXT(INDEX(職員マスタ!$K$6:$K$405,$AP2692),"#,##0")&amp;"円／申請書"&amp;TEXT($W2692,"#,##0")&amp;"円）／","")&amp;IF(AND(INDEX(職員マスタ!$F$6:$F$405,$AP2692)&lt;&gt;"",$AQ2692&lt;&gt;"",INDEX(職員マスタ!$F$6:$F$405,$AP2692)&lt;$AQ2692),"対象月に子が2歳到達済／","")&amp;IF(AND($H2692&lt;&gt;"",INDEX(職員マスタ!$B$6:$B$405,$AP2692)&lt;&gt;"",SUBSTITUTE(SUBSTITUTE($H2692," ","")," ","")&lt;&gt;SUBSTITUTE(SUBSTITUTE(INDEX(職員マスタ!$B$6:$B$405,$AP2692)," ","")," ","")),"氏名がマスタと相違／","")&amp;IF(AND($Q2692&lt;&gt;"",INDEX(職員マスタ!$E$6:$E$405,$AP2692)&lt;&gt;"",$Q2692&lt;&gt;INDEX(職員マスタ!$E$6:$E$405,$AP2692)),"子の生年月日がマスタと相違／","")&amp;IF(AND($L2692&lt;&gt;"",INDEX(職員マスタ!$G$6:$G$405,$AP2692)&lt;&gt;"",$L2692&lt;&gt;INDEX(職員マスタ!$G$6:$G$405,$AP2692)),"時短開始日がマスタと相違／","")&amp;IF(AND($M2692&lt;&gt;"",INDEX(職員マスタ!$H$6:$H$405,$AP2692)&lt;&gt;"",$M2692&lt;&gt;INDEX(職員マスタ!$H$6:$H$405,$AP2692)),"時短終了日がマスタと相違／","")))&amp;IF(AND($B2692&lt;&gt;"",$E2692=""),"報酬額が未入力／","")&amp;IF(N($U2692)&gt;0,"申請書に入力エラーが残っています／","")&amp;IF(AND($B2692&lt;&gt;"",$AQ2692&lt;&gt;""),IF(COUNTIFS($B$6:$B$3005,$B2692,$C$6:$C$3005,$C2692,$D$6:$D$3005,$D2692)&gt;1,"同じ月の請求が重複しています／",""),"")&amp;IF(AND(N($E2692)&gt;0,$AB2692&lt;&gt;"",$AB2692&lt;&gt;"×",$AE2692=0,$AD2692=""),"計算額が下限以下のため不支給／",""))</f>
        <v/>
      </c>
      <c r="AN2692" s="12" t="n"/>
      <c r="AO2692" s="14">
        <f>IF($AF2692="保留中",COUNTIF($AF$6:$AF2692,"保留中"),"")</f>
        <v/>
      </c>
      <c r="AP2692" s="14">
        <f>IF($AQ2692="","",IF(SUMPRODUCT(MAX((職員マスタ!$A$6:$A$405=$B2692)*(((職員マスタ!$G$6:$G$405="")+(職員マスタ!$G$6:$G$405&lt;=EOMONTH($AQ2692,0)))&gt;0)*(((職員マスタ!$H$6:$H$405="")+(職員マスタ!$H$6:$H$405&gt;=$AQ2692))&gt;0)*(ROW(職員マスタ!$A$6:$A$405)-5)))&gt;0,SUMPRODUCT(MAX((職員マスタ!$A$6:$A$405=$B2692)*(((職員マスタ!$G$6:$G$405="")+(職員マスタ!$G$6:$G$405&lt;=EOMONTH($AQ2692,0)))&gt;0)*(((職員マスタ!$H$6:$H$405="")+(職員マスタ!$H$6:$H$405&gt;=$AQ2692))&gt;0)*(ROW(職員マスタ!$A$6:$A$405)-5))),IFERROR(MATCH($B2692,職員マスタ!$A$6:$A$405,0),"")))</f>
        <v/>
      </c>
      <c r="AQ2692" s="16">
        <f>IF(OR($B2692="",$C2692="",$D2692=""),"",DATE($C2692+2018,$D2692,1))</f>
        <v/>
      </c>
    </row>
    <row r="2693">
      <c r="A2693" s="11" t="n"/>
      <c r="B2693" s="12" t="n"/>
      <c r="C2693" s="12" t="n"/>
      <c r="D2693" s="12" t="n"/>
      <c r="E2693" s="13" t="n"/>
      <c r="F2693" s="12" t="n"/>
      <c r="G2693" s="13" t="n"/>
      <c r="H2693" s="12" t="n"/>
      <c r="I2693" s="12" t="n"/>
      <c r="J2693" s="12" t="n"/>
      <c r="K2693" s="12" t="n"/>
      <c r="L2693" s="11" t="n"/>
      <c r="M2693" s="11" t="n"/>
      <c r="N2693" s="11" t="n"/>
      <c r="O2693" s="11" t="n"/>
      <c r="P2693" s="12" t="n"/>
      <c r="Q2693" s="11" t="n"/>
      <c r="R2693" s="12" t="n"/>
      <c r="S2693" s="11" t="n"/>
      <c r="T2693" s="12" t="n"/>
      <c r="U2693" s="12" t="n"/>
      <c r="V2693" s="12" t="n"/>
      <c r="W2693" s="13" t="n"/>
      <c r="X2693" s="14">
        <f>IF($AP2693="",IF($B2693="","",$H2693),IF(INDEX(職員マスタ!$B$6:$B$405,$AP2693)="",$H2693,INDEX(職員マスタ!$B$6:$B$405,$AP2693)))</f>
        <v/>
      </c>
      <c r="Y2693" s="14">
        <f>IF($AP2693="",IF($B2693="","",$R2693),IF(INDEX(職員マスタ!$C$6:$C$405,$AP2693)="",$R2693,INDEX(職員マスタ!$C$6:$C$405,$AP2693)))</f>
        <v/>
      </c>
      <c r="Z2693" s="14">
        <f>IF($AQ2693="","","R"&amp;$C2693&amp;"."&amp;$D2693)</f>
        <v/>
      </c>
      <c r="AA2693" s="15">
        <f>IF(IF($AP2693="",FALSE,INDEX(職員マスタ!$K$6:$K$405,$AP2693)&lt;&gt;""),INDEX(職員マスタ!$K$6:$K$405,$AP2693),IF(N($W2693)&gt;0,$W2693,""))</f>
        <v/>
      </c>
      <c r="AB2693" s="14">
        <f>IF(OR($E2693="",$AA2693=""),"",IF($E2693&gt;=$AA2693,"×",IF($E2693&gt;=$AA2693*設定!$C$5,"△","○")))</f>
        <v/>
      </c>
      <c r="AC2693" s="15">
        <f>IF($AB2693="","",IF($AB2693="×",0,IF($AB2693="○",ROUNDDOWN($E2693*設定!$C$4,0),ROUNDDOWN($E2693*ROUND((9*$AA2693-9*$E2693)/(10*$E2693),4),0))))</f>
        <v/>
      </c>
      <c r="AD2693" s="13" t="n"/>
      <c r="AE2693" s="15">
        <f>IF($B2693="","",IF($AD2693&lt;&gt;"",$AD2693,IF($AC2693="","",IF($AC2693&lt;=設定!$C$3,0,$AC2693))))</f>
        <v/>
      </c>
      <c r="AF2693" s="14">
        <f>IF($B2693="","",IF(AND($AG2693&lt;&gt;"",$AI2693="",$AL2693=""),"保留中",IF($AL2693&lt;&gt;"",IF(N($AE2693)&gt;0,"支給済","不支給"),IF($AE2693="","要確認",IF($AE2693=0,"不支給","未処理")))))</f>
        <v/>
      </c>
      <c r="AG2693" s="12" t="n"/>
      <c r="AH2693" s="11" t="n"/>
      <c r="AI2693" s="11" t="n"/>
      <c r="AJ2693" s="11" t="n"/>
      <c r="AK2693" s="14">
        <f>IF(AND($AF2693="保留中",$AH2693&lt;&gt;""),TODAY()-$AH2693,"")</f>
        <v/>
      </c>
      <c r="AL2693" s="12" t="n"/>
      <c r="AM2693" s="14">
        <f>IF($B2693="","",IF($AQ2693="","対象年月が未入力／","")&amp;IF($B2693="","",IF($AP2693="","職員マスタに未登録の職員番号／",IF($AA2693="","標準報酬月額が未登録／","")&amp;IF(AND($AQ2693&lt;&gt;"",OR(AND(INDEX(職員マスタ!$G$6:$G$405,$AP2693)&lt;&gt;"",INDEX(職員マスタ!$G$6:$G$405,$AP2693)&gt;EOMONTH($AQ2693,0)),AND(INDEX(職員マスタ!$H$6:$H$405,$AP2693)&lt;&gt;"",INDEX(職員マスタ!$H$6:$H$405,$AP2693)&lt;$AQ2693))),"対象月が時短期間外／","")&amp;IF(AND(INDEX(職員マスタ!$K$6:$K$405,$AP2693)&lt;&gt;"",N($W2693)&gt;0,INDEX(職員マスタ!$K$6:$K$405,$AP2693)&lt;&gt;$W2693),"標準報酬月額が申請書と相違（台帳"&amp;TEXT(INDEX(職員マスタ!$K$6:$K$405,$AP2693),"#,##0")&amp;"円／申請書"&amp;TEXT($W2693,"#,##0")&amp;"円）／","")&amp;IF(AND(INDEX(職員マスタ!$F$6:$F$405,$AP2693)&lt;&gt;"",$AQ2693&lt;&gt;"",INDEX(職員マスタ!$F$6:$F$405,$AP2693)&lt;$AQ2693),"対象月に子が2歳到達済／","")&amp;IF(AND($H2693&lt;&gt;"",INDEX(職員マスタ!$B$6:$B$405,$AP2693)&lt;&gt;"",SUBSTITUTE(SUBSTITUTE($H2693," ","")," ","")&lt;&gt;SUBSTITUTE(SUBSTITUTE(INDEX(職員マスタ!$B$6:$B$405,$AP2693)," ","")," ","")),"氏名がマスタと相違／","")&amp;IF(AND($Q2693&lt;&gt;"",INDEX(職員マスタ!$E$6:$E$405,$AP2693)&lt;&gt;"",$Q2693&lt;&gt;INDEX(職員マスタ!$E$6:$E$405,$AP2693)),"子の生年月日がマスタと相違／","")&amp;IF(AND($L2693&lt;&gt;"",INDEX(職員マスタ!$G$6:$G$405,$AP2693)&lt;&gt;"",$L2693&lt;&gt;INDEX(職員マスタ!$G$6:$G$405,$AP2693)),"時短開始日がマスタと相違／","")&amp;IF(AND($M2693&lt;&gt;"",INDEX(職員マスタ!$H$6:$H$405,$AP2693)&lt;&gt;"",$M2693&lt;&gt;INDEX(職員マスタ!$H$6:$H$405,$AP2693)),"時短終了日がマスタと相違／","")))&amp;IF(AND($B2693&lt;&gt;"",$E2693=""),"報酬額が未入力／","")&amp;IF(N($U2693)&gt;0,"申請書に入力エラーが残っています／","")&amp;IF(AND($B2693&lt;&gt;"",$AQ2693&lt;&gt;""),IF(COUNTIFS($B$6:$B$3005,$B2693,$C$6:$C$3005,$C2693,$D$6:$D$3005,$D2693)&gt;1,"同じ月の請求が重複しています／",""),"")&amp;IF(AND(N($E2693)&gt;0,$AB2693&lt;&gt;"",$AB2693&lt;&gt;"×",$AE2693=0,$AD2693=""),"計算額が下限以下のため不支給／",""))</f>
        <v/>
      </c>
      <c r="AN2693" s="12" t="n"/>
      <c r="AO2693" s="14">
        <f>IF($AF2693="保留中",COUNTIF($AF$6:$AF2693,"保留中"),"")</f>
        <v/>
      </c>
      <c r="AP2693" s="14">
        <f>IF($AQ2693="","",IF(SUMPRODUCT(MAX((職員マスタ!$A$6:$A$405=$B2693)*(((職員マスタ!$G$6:$G$405="")+(職員マスタ!$G$6:$G$405&lt;=EOMONTH($AQ2693,0)))&gt;0)*(((職員マスタ!$H$6:$H$405="")+(職員マスタ!$H$6:$H$405&gt;=$AQ2693))&gt;0)*(ROW(職員マスタ!$A$6:$A$405)-5)))&gt;0,SUMPRODUCT(MAX((職員マスタ!$A$6:$A$405=$B2693)*(((職員マスタ!$G$6:$G$405="")+(職員マスタ!$G$6:$G$405&lt;=EOMONTH($AQ2693,0)))&gt;0)*(((職員マスタ!$H$6:$H$405="")+(職員マスタ!$H$6:$H$405&gt;=$AQ2693))&gt;0)*(ROW(職員マスタ!$A$6:$A$405)-5))),IFERROR(MATCH($B2693,職員マスタ!$A$6:$A$405,0),"")))</f>
        <v/>
      </c>
      <c r="AQ2693" s="16">
        <f>IF(OR($B2693="",$C2693="",$D2693=""),"",DATE($C2693+2018,$D2693,1))</f>
        <v/>
      </c>
    </row>
    <row r="2694">
      <c r="A2694" s="11" t="n"/>
      <c r="B2694" s="12" t="n"/>
      <c r="C2694" s="12" t="n"/>
      <c r="D2694" s="12" t="n"/>
      <c r="E2694" s="13" t="n"/>
      <c r="F2694" s="12" t="n"/>
      <c r="G2694" s="13" t="n"/>
      <c r="H2694" s="12" t="n"/>
      <c r="I2694" s="12" t="n"/>
      <c r="J2694" s="12" t="n"/>
      <c r="K2694" s="12" t="n"/>
      <c r="L2694" s="11" t="n"/>
      <c r="M2694" s="11" t="n"/>
      <c r="N2694" s="11" t="n"/>
      <c r="O2694" s="11" t="n"/>
      <c r="P2694" s="12" t="n"/>
      <c r="Q2694" s="11" t="n"/>
      <c r="R2694" s="12" t="n"/>
      <c r="S2694" s="11" t="n"/>
      <c r="T2694" s="12" t="n"/>
      <c r="U2694" s="12" t="n"/>
      <c r="V2694" s="12" t="n"/>
      <c r="W2694" s="13" t="n"/>
      <c r="X2694" s="14">
        <f>IF($AP2694="",IF($B2694="","",$H2694),IF(INDEX(職員マスタ!$B$6:$B$405,$AP2694)="",$H2694,INDEX(職員マスタ!$B$6:$B$405,$AP2694)))</f>
        <v/>
      </c>
      <c r="Y2694" s="14">
        <f>IF($AP2694="",IF($B2694="","",$R2694),IF(INDEX(職員マスタ!$C$6:$C$405,$AP2694)="",$R2694,INDEX(職員マスタ!$C$6:$C$405,$AP2694)))</f>
        <v/>
      </c>
      <c r="Z2694" s="14">
        <f>IF($AQ2694="","","R"&amp;$C2694&amp;"."&amp;$D2694)</f>
        <v/>
      </c>
      <c r="AA2694" s="15">
        <f>IF(IF($AP2694="",FALSE,INDEX(職員マスタ!$K$6:$K$405,$AP2694)&lt;&gt;""),INDEX(職員マスタ!$K$6:$K$405,$AP2694),IF(N($W2694)&gt;0,$W2694,""))</f>
        <v/>
      </c>
      <c r="AB2694" s="14">
        <f>IF(OR($E2694="",$AA2694=""),"",IF($E2694&gt;=$AA2694,"×",IF($E2694&gt;=$AA2694*設定!$C$5,"△","○")))</f>
        <v/>
      </c>
      <c r="AC2694" s="15">
        <f>IF($AB2694="","",IF($AB2694="×",0,IF($AB2694="○",ROUNDDOWN($E2694*設定!$C$4,0),ROUNDDOWN($E2694*ROUND((9*$AA2694-9*$E2694)/(10*$E2694),4),0))))</f>
        <v/>
      </c>
      <c r="AD2694" s="13" t="n"/>
      <c r="AE2694" s="15">
        <f>IF($B2694="","",IF($AD2694&lt;&gt;"",$AD2694,IF($AC2694="","",IF($AC2694&lt;=設定!$C$3,0,$AC2694))))</f>
        <v/>
      </c>
      <c r="AF2694" s="14">
        <f>IF($B2694="","",IF(AND($AG2694&lt;&gt;"",$AI2694="",$AL2694=""),"保留中",IF($AL2694&lt;&gt;"",IF(N($AE2694)&gt;0,"支給済","不支給"),IF($AE2694="","要確認",IF($AE2694=0,"不支給","未処理")))))</f>
        <v/>
      </c>
      <c r="AG2694" s="12" t="n"/>
      <c r="AH2694" s="11" t="n"/>
      <c r="AI2694" s="11" t="n"/>
      <c r="AJ2694" s="11" t="n"/>
      <c r="AK2694" s="14">
        <f>IF(AND($AF2694="保留中",$AH2694&lt;&gt;""),TODAY()-$AH2694,"")</f>
        <v/>
      </c>
      <c r="AL2694" s="12" t="n"/>
      <c r="AM2694" s="14">
        <f>IF($B2694="","",IF($AQ2694="","対象年月が未入力／","")&amp;IF($B2694="","",IF($AP2694="","職員マスタに未登録の職員番号／",IF($AA2694="","標準報酬月額が未登録／","")&amp;IF(AND($AQ2694&lt;&gt;"",OR(AND(INDEX(職員マスタ!$G$6:$G$405,$AP2694)&lt;&gt;"",INDEX(職員マスタ!$G$6:$G$405,$AP2694)&gt;EOMONTH($AQ2694,0)),AND(INDEX(職員マスタ!$H$6:$H$405,$AP2694)&lt;&gt;"",INDEX(職員マスタ!$H$6:$H$405,$AP2694)&lt;$AQ2694))),"対象月が時短期間外／","")&amp;IF(AND(INDEX(職員マスタ!$K$6:$K$405,$AP2694)&lt;&gt;"",N($W2694)&gt;0,INDEX(職員マスタ!$K$6:$K$405,$AP2694)&lt;&gt;$W2694),"標準報酬月額が申請書と相違（台帳"&amp;TEXT(INDEX(職員マスタ!$K$6:$K$405,$AP2694),"#,##0")&amp;"円／申請書"&amp;TEXT($W2694,"#,##0")&amp;"円）／","")&amp;IF(AND(INDEX(職員マスタ!$F$6:$F$405,$AP2694)&lt;&gt;"",$AQ2694&lt;&gt;"",INDEX(職員マスタ!$F$6:$F$405,$AP2694)&lt;$AQ2694),"対象月に子が2歳到達済／","")&amp;IF(AND($H2694&lt;&gt;"",INDEX(職員マスタ!$B$6:$B$405,$AP2694)&lt;&gt;"",SUBSTITUTE(SUBSTITUTE($H2694," ","")," ","")&lt;&gt;SUBSTITUTE(SUBSTITUTE(INDEX(職員マスタ!$B$6:$B$405,$AP2694)," ","")," ","")),"氏名がマスタと相違／","")&amp;IF(AND($Q2694&lt;&gt;"",INDEX(職員マスタ!$E$6:$E$405,$AP2694)&lt;&gt;"",$Q2694&lt;&gt;INDEX(職員マスタ!$E$6:$E$405,$AP2694)),"子の生年月日がマスタと相違／","")&amp;IF(AND($L2694&lt;&gt;"",INDEX(職員マスタ!$G$6:$G$405,$AP2694)&lt;&gt;"",$L2694&lt;&gt;INDEX(職員マスタ!$G$6:$G$405,$AP2694)),"時短開始日がマスタと相違／","")&amp;IF(AND($M2694&lt;&gt;"",INDEX(職員マスタ!$H$6:$H$405,$AP2694)&lt;&gt;"",$M2694&lt;&gt;INDEX(職員マスタ!$H$6:$H$405,$AP2694)),"時短終了日がマスタと相違／","")))&amp;IF(AND($B2694&lt;&gt;"",$E2694=""),"報酬額が未入力／","")&amp;IF(N($U2694)&gt;0,"申請書に入力エラーが残っています／","")&amp;IF(AND($B2694&lt;&gt;"",$AQ2694&lt;&gt;""),IF(COUNTIFS($B$6:$B$3005,$B2694,$C$6:$C$3005,$C2694,$D$6:$D$3005,$D2694)&gt;1,"同じ月の請求が重複しています／",""),"")&amp;IF(AND(N($E2694)&gt;0,$AB2694&lt;&gt;"",$AB2694&lt;&gt;"×",$AE2694=0,$AD2694=""),"計算額が下限以下のため不支給／",""))</f>
        <v/>
      </c>
      <c r="AN2694" s="12" t="n"/>
      <c r="AO2694" s="14">
        <f>IF($AF2694="保留中",COUNTIF($AF$6:$AF2694,"保留中"),"")</f>
        <v/>
      </c>
      <c r="AP2694" s="14">
        <f>IF($AQ2694="","",IF(SUMPRODUCT(MAX((職員マスタ!$A$6:$A$405=$B2694)*(((職員マスタ!$G$6:$G$405="")+(職員マスタ!$G$6:$G$405&lt;=EOMONTH($AQ2694,0)))&gt;0)*(((職員マスタ!$H$6:$H$405="")+(職員マスタ!$H$6:$H$405&gt;=$AQ2694))&gt;0)*(ROW(職員マスタ!$A$6:$A$405)-5)))&gt;0,SUMPRODUCT(MAX((職員マスタ!$A$6:$A$405=$B2694)*(((職員マスタ!$G$6:$G$405="")+(職員マスタ!$G$6:$G$405&lt;=EOMONTH($AQ2694,0)))&gt;0)*(((職員マスタ!$H$6:$H$405="")+(職員マスタ!$H$6:$H$405&gt;=$AQ2694))&gt;0)*(ROW(職員マスタ!$A$6:$A$405)-5))),IFERROR(MATCH($B2694,職員マスタ!$A$6:$A$405,0),"")))</f>
        <v/>
      </c>
      <c r="AQ2694" s="16">
        <f>IF(OR($B2694="",$C2694="",$D2694=""),"",DATE($C2694+2018,$D2694,1))</f>
        <v/>
      </c>
    </row>
    <row r="2695">
      <c r="A2695" s="11" t="n"/>
      <c r="B2695" s="12" t="n"/>
      <c r="C2695" s="12" t="n"/>
      <c r="D2695" s="12" t="n"/>
      <c r="E2695" s="13" t="n"/>
      <c r="F2695" s="12" t="n"/>
      <c r="G2695" s="13" t="n"/>
      <c r="H2695" s="12" t="n"/>
      <c r="I2695" s="12" t="n"/>
      <c r="J2695" s="12" t="n"/>
      <c r="K2695" s="12" t="n"/>
      <c r="L2695" s="11" t="n"/>
      <c r="M2695" s="11" t="n"/>
      <c r="N2695" s="11" t="n"/>
      <c r="O2695" s="11" t="n"/>
      <c r="P2695" s="12" t="n"/>
      <c r="Q2695" s="11" t="n"/>
      <c r="R2695" s="12" t="n"/>
      <c r="S2695" s="11" t="n"/>
      <c r="T2695" s="12" t="n"/>
      <c r="U2695" s="12" t="n"/>
      <c r="V2695" s="12" t="n"/>
      <c r="W2695" s="13" t="n"/>
      <c r="X2695" s="14">
        <f>IF($AP2695="",IF($B2695="","",$H2695),IF(INDEX(職員マスタ!$B$6:$B$405,$AP2695)="",$H2695,INDEX(職員マスタ!$B$6:$B$405,$AP2695)))</f>
        <v/>
      </c>
      <c r="Y2695" s="14">
        <f>IF($AP2695="",IF($B2695="","",$R2695),IF(INDEX(職員マスタ!$C$6:$C$405,$AP2695)="",$R2695,INDEX(職員マスタ!$C$6:$C$405,$AP2695)))</f>
        <v/>
      </c>
      <c r="Z2695" s="14">
        <f>IF($AQ2695="","","R"&amp;$C2695&amp;"."&amp;$D2695)</f>
        <v/>
      </c>
      <c r="AA2695" s="15">
        <f>IF(IF($AP2695="",FALSE,INDEX(職員マスタ!$K$6:$K$405,$AP2695)&lt;&gt;""),INDEX(職員マスタ!$K$6:$K$405,$AP2695),IF(N($W2695)&gt;0,$W2695,""))</f>
        <v/>
      </c>
      <c r="AB2695" s="14">
        <f>IF(OR($E2695="",$AA2695=""),"",IF($E2695&gt;=$AA2695,"×",IF($E2695&gt;=$AA2695*設定!$C$5,"△","○")))</f>
        <v/>
      </c>
      <c r="AC2695" s="15">
        <f>IF($AB2695="","",IF($AB2695="×",0,IF($AB2695="○",ROUNDDOWN($E2695*設定!$C$4,0),ROUNDDOWN($E2695*ROUND((9*$AA2695-9*$E2695)/(10*$E2695),4),0))))</f>
        <v/>
      </c>
      <c r="AD2695" s="13" t="n"/>
      <c r="AE2695" s="15">
        <f>IF($B2695="","",IF($AD2695&lt;&gt;"",$AD2695,IF($AC2695="","",IF($AC2695&lt;=設定!$C$3,0,$AC2695))))</f>
        <v/>
      </c>
      <c r="AF2695" s="14">
        <f>IF($B2695="","",IF(AND($AG2695&lt;&gt;"",$AI2695="",$AL2695=""),"保留中",IF($AL2695&lt;&gt;"",IF(N($AE2695)&gt;0,"支給済","不支給"),IF($AE2695="","要確認",IF($AE2695=0,"不支給","未処理")))))</f>
        <v/>
      </c>
      <c r="AG2695" s="12" t="n"/>
      <c r="AH2695" s="11" t="n"/>
      <c r="AI2695" s="11" t="n"/>
      <c r="AJ2695" s="11" t="n"/>
      <c r="AK2695" s="14">
        <f>IF(AND($AF2695="保留中",$AH2695&lt;&gt;""),TODAY()-$AH2695,"")</f>
        <v/>
      </c>
      <c r="AL2695" s="12" t="n"/>
      <c r="AM2695" s="14">
        <f>IF($B2695="","",IF($AQ2695="","対象年月が未入力／","")&amp;IF($B2695="","",IF($AP2695="","職員マスタに未登録の職員番号／",IF($AA2695="","標準報酬月額が未登録／","")&amp;IF(AND($AQ2695&lt;&gt;"",OR(AND(INDEX(職員マスタ!$G$6:$G$405,$AP2695)&lt;&gt;"",INDEX(職員マスタ!$G$6:$G$405,$AP2695)&gt;EOMONTH($AQ2695,0)),AND(INDEX(職員マスタ!$H$6:$H$405,$AP2695)&lt;&gt;"",INDEX(職員マスタ!$H$6:$H$405,$AP2695)&lt;$AQ2695))),"対象月が時短期間外／","")&amp;IF(AND(INDEX(職員マスタ!$K$6:$K$405,$AP2695)&lt;&gt;"",N($W2695)&gt;0,INDEX(職員マスタ!$K$6:$K$405,$AP2695)&lt;&gt;$W2695),"標準報酬月額が申請書と相違（台帳"&amp;TEXT(INDEX(職員マスタ!$K$6:$K$405,$AP2695),"#,##0")&amp;"円／申請書"&amp;TEXT($W2695,"#,##0")&amp;"円）／","")&amp;IF(AND(INDEX(職員マスタ!$F$6:$F$405,$AP2695)&lt;&gt;"",$AQ2695&lt;&gt;"",INDEX(職員マスタ!$F$6:$F$405,$AP2695)&lt;$AQ2695),"対象月に子が2歳到達済／","")&amp;IF(AND($H2695&lt;&gt;"",INDEX(職員マスタ!$B$6:$B$405,$AP2695)&lt;&gt;"",SUBSTITUTE(SUBSTITUTE($H2695," ","")," ","")&lt;&gt;SUBSTITUTE(SUBSTITUTE(INDEX(職員マスタ!$B$6:$B$405,$AP2695)," ","")," ","")),"氏名がマスタと相違／","")&amp;IF(AND($Q2695&lt;&gt;"",INDEX(職員マスタ!$E$6:$E$405,$AP2695)&lt;&gt;"",$Q2695&lt;&gt;INDEX(職員マスタ!$E$6:$E$405,$AP2695)),"子の生年月日がマスタと相違／","")&amp;IF(AND($L2695&lt;&gt;"",INDEX(職員マスタ!$G$6:$G$405,$AP2695)&lt;&gt;"",$L2695&lt;&gt;INDEX(職員マスタ!$G$6:$G$405,$AP2695)),"時短開始日がマスタと相違／","")&amp;IF(AND($M2695&lt;&gt;"",INDEX(職員マスタ!$H$6:$H$405,$AP2695)&lt;&gt;"",$M2695&lt;&gt;INDEX(職員マスタ!$H$6:$H$405,$AP2695)),"時短終了日がマスタと相違／","")))&amp;IF(AND($B2695&lt;&gt;"",$E2695=""),"報酬額が未入力／","")&amp;IF(N($U2695)&gt;0,"申請書に入力エラーが残っています／","")&amp;IF(AND($B2695&lt;&gt;"",$AQ2695&lt;&gt;""),IF(COUNTIFS($B$6:$B$3005,$B2695,$C$6:$C$3005,$C2695,$D$6:$D$3005,$D2695)&gt;1,"同じ月の請求が重複しています／",""),"")&amp;IF(AND(N($E2695)&gt;0,$AB2695&lt;&gt;"",$AB2695&lt;&gt;"×",$AE2695=0,$AD2695=""),"計算額が下限以下のため不支給／",""))</f>
        <v/>
      </c>
      <c r="AN2695" s="12" t="n"/>
      <c r="AO2695" s="14">
        <f>IF($AF2695="保留中",COUNTIF($AF$6:$AF2695,"保留中"),"")</f>
        <v/>
      </c>
      <c r="AP2695" s="14">
        <f>IF($AQ2695="","",IF(SUMPRODUCT(MAX((職員マスタ!$A$6:$A$405=$B2695)*(((職員マスタ!$G$6:$G$405="")+(職員マスタ!$G$6:$G$405&lt;=EOMONTH($AQ2695,0)))&gt;0)*(((職員マスタ!$H$6:$H$405="")+(職員マスタ!$H$6:$H$405&gt;=$AQ2695))&gt;0)*(ROW(職員マスタ!$A$6:$A$405)-5)))&gt;0,SUMPRODUCT(MAX((職員マスタ!$A$6:$A$405=$B2695)*(((職員マスタ!$G$6:$G$405="")+(職員マスタ!$G$6:$G$405&lt;=EOMONTH($AQ2695,0)))&gt;0)*(((職員マスタ!$H$6:$H$405="")+(職員マスタ!$H$6:$H$405&gt;=$AQ2695))&gt;0)*(ROW(職員マスタ!$A$6:$A$405)-5))),IFERROR(MATCH($B2695,職員マスタ!$A$6:$A$405,0),"")))</f>
        <v/>
      </c>
      <c r="AQ2695" s="16">
        <f>IF(OR($B2695="",$C2695="",$D2695=""),"",DATE($C2695+2018,$D2695,1))</f>
        <v/>
      </c>
    </row>
    <row r="2696">
      <c r="A2696" s="11" t="n"/>
      <c r="B2696" s="12" t="n"/>
      <c r="C2696" s="12" t="n"/>
      <c r="D2696" s="12" t="n"/>
      <c r="E2696" s="13" t="n"/>
      <c r="F2696" s="12" t="n"/>
      <c r="G2696" s="13" t="n"/>
      <c r="H2696" s="12" t="n"/>
      <c r="I2696" s="12" t="n"/>
      <c r="J2696" s="12" t="n"/>
      <c r="K2696" s="12" t="n"/>
      <c r="L2696" s="11" t="n"/>
      <c r="M2696" s="11" t="n"/>
      <c r="N2696" s="11" t="n"/>
      <c r="O2696" s="11" t="n"/>
      <c r="P2696" s="12" t="n"/>
      <c r="Q2696" s="11" t="n"/>
      <c r="R2696" s="12" t="n"/>
      <c r="S2696" s="11" t="n"/>
      <c r="T2696" s="12" t="n"/>
      <c r="U2696" s="12" t="n"/>
      <c r="V2696" s="12" t="n"/>
      <c r="W2696" s="13" t="n"/>
      <c r="X2696" s="14">
        <f>IF($AP2696="",IF($B2696="","",$H2696),IF(INDEX(職員マスタ!$B$6:$B$405,$AP2696)="",$H2696,INDEX(職員マスタ!$B$6:$B$405,$AP2696)))</f>
        <v/>
      </c>
      <c r="Y2696" s="14">
        <f>IF($AP2696="",IF($B2696="","",$R2696),IF(INDEX(職員マスタ!$C$6:$C$405,$AP2696)="",$R2696,INDEX(職員マスタ!$C$6:$C$405,$AP2696)))</f>
        <v/>
      </c>
      <c r="Z2696" s="14">
        <f>IF($AQ2696="","","R"&amp;$C2696&amp;"."&amp;$D2696)</f>
        <v/>
      </c>
      <c r="AA2696" s="15">
        <f>IF(IF($AP2696="",FALSE,INDEX(職員マスタ!$K$6:$K$405,$AP2696)&lt;&gt;""),INDEX(職員マスタ!$K$6:$K$405,$AP2696),IF(N($W2696)&gt;0,$W2696,""))</f>
        <v/>
      </c>
      <c r="AB2696" s="14">
        <f>IF(OR($E2696="",$AA2696=""),"",IF($E2696&gt;=$AA2696,"×",IF($E2696&gt;=$AA2696*設定!$C$5,"△","○")))</f>
        <v/>
      </c>
      <c r="AC2696" s="15">
        <f>IF($AB2696="","",IF($AB2696="×",0,IF($AB2696="○",ROUNDDOWN($E2696*設定!$C$4,0),ROUNDDOWN($E2696*ROUND((9*$AA2696-9*$E2696)/(10*$E2696),4),0))))</f>
        <v/>
      </c>
      <c r="AD2696" s="13" t="n"/>
      <c r="AE2696" s="15">
        <f>IF($B2696="","",IF($AD2696&lt;&gt;"",$AD2696,IF($AC2696="","",IF($AC2696&lt;=設定!$C$3,0,$AC2696))))</f>
        <v/>
      </c>
      <c r="AF2696" s="14">
        <f>IF($B2696="","",IF(AND($AG2696&lt;&gt;"",$AI2696="",$AL2696=""),"保留中",IF($AL2696&lt;&gt;"",IF(N($AE2696)&gt;0,"支給済","不支給"),IF($AE2696="","要確認",IF($AE2696=0,"不支給","未処理")))))</f>
        <v/>
      </c>
      <c r="AG2696" s="12" t="n"/>
      <c r="AH2696" s="11" t="n"/>
      <c r="AI2696" s="11" t="n"/>
      <c r="AJ2696" s="11" t="n"/>
      <c r="AK2696" s="14">
        <f>IF(AND($AF2696="保留中",$AH2696&lt;&gt;""),TODAY()-$AH2696,"")</f>
        <v/>
      </c>
      <c r="AL2696" s="12" t="n"/>
      <c r="AM2696" s="14">
        <f>IF($B2696="","",IF($AQ2696="","対象年月が未入力／","")&amp;IF($B2696="","",IF($AP2696="","職員マスタに未登録の職員番号／",IF($AA2696="","標準報酬月額が未登録／","")&amp;IF(AND($AQ2696&lt;&gt;"",OR(AND(INDEX(職員マスタ!$G$6:$G$405,$AP2696)&lt;&gt;"",INDEX(職員マスタ!$G$6:$G$405,$AP2696)&gt;EOMONTH($AQ2696,0)),AND(INDEX(職員マスタ!$H$6:$H$405,$AP2696)&lt;&gt;"",INDEX(職員マスタ!$H$6:$H$405,$AP2696)&lt;$AQ2696))),"対象月が時短期間外／","")&amp;IF(AND(INDEX(職員マスタ!$K$6:$K$405,$AP2696)&lt;&gt;"",N($W2696)&gt;0,INDEX(職員マスタ!$K$6:$K$405,$AP2696)&lt;&gt;$W2696),"標準報酬月額が申請書と相違（台帳"&amp;TEXT(INDEX(職員マスタ!$K$6:$K$405,$AP2696),"#,##0")&amp;"円／申請書"&amp;TEXT($W2696,"#,##0")&amp;"円）／","")&amp;IF(AND(INDEX(職員マスタ!$F$6:$F$405,$AP2696)&lt;&gt;"",$AQ2696&lt;&gt;"",INDEX(職員マスタ!$F$6:$F$405,$AP2696)&lt;$AQ2696),"対象月に子が2歳到達済／","")&amp;IF(AND($H2696&lt;&gt;"",INDEX(職員マスタ!$B$6:$B$405,$AP2696)&lt;&gt;"",SUBSTITUTE(SUBSTITUTE($H2696," ","")," ","")&lt;&gt;SUBSTITUTE(SUBSTITUTE(INDEX(職員マスタ!$B$6:$B$405,$AP2696)," ","")," ","")),"氏名がマスタと相違／","")&amp;IF(AND($Q2696&lt;&gt;"",INDEX(職員マスタ!$E$6:$E$405,$AP2696)&lt;&gt;"",$Q2696&lt;&gt;INDEX(職員マスタ!$E$6:$E$405,$AP2696)),"子の生年月日がマスタと相違／","")&amp;IF(AND($L2696&lt;&gt;"",INDEX(職員マスタ!$G$6:$G$405,$AP2696)&lt;&gt;"",$L2696&lt;&gt;INDEX(職員マスタ!$G$6:$G$405,$AP2696)),"時短開始日がマスタと相違／","")&amp;IF(AND($M2696&lt;&gt;"",INDEX(職員マスタ!$H$6:$H$405,$AP2696)&lt;&gt;"",$M2696&lt;&gt;INDEX(職員マスタ!$H$6:$H$405,$AP2696)),"時短終了日がマスタと相違／","")))&amp;IF(AND($B2696&lt;&gt;"",$E2696=""),"報酬額が未入力／","")&amp;IF(N($U2696)&gt;0,"申請書に入力エラーが残っています／","")&amp;IF(AND($B2696&lt;&gt;"",$AQ2696&lt;&gt;""),IF(COUNTIFS($B$6:$B$3005,$B2696,$C$6:$C$3005,$C2696,$D$6:$D$3005,$D2696)&gt;1,"同じ月の請求が重複しています／",""),"")&amp;IF(AND(N($E2696)&gt;0,$AB2696&lt;&gt;"",$AB2696&lt;&gt;"×",$AE2696=0,$AD2696=""),"計算額が下限以下のため不支給／",""))</f>
        <v/>
      </c>
      <c r="AN2696" s="12" t="n"/>
      <c r="AO2696" s="14">
        <f>IF($AF2696="保留中",COUNTIF($AF$6:$AF2696,"保留中"),"")</f>
        <v/>
      </c>
      <c r="AP2696" s="14">
        <f>IF($AQ2696="","",IF(SUMPRODUCT(MAX((職員マスタ!$A$6:$A$405=$B2696)*(((職員マスタ!$G$6:$G$405="")+(職員マスタ!$G$6:$G$405&lt;=EOMONTH($AQ2696,0)))&gt;0)*(((職員マスタ!$H$6:$H$405="")+(職員マスタ!$H$6:$H$405&gt;=$AQ2696))&gt;0)*(ROW(職員マスタ!$A$6:$A$405)-5)))&gt;0,SUMPRODUCT(MAX((職員マスタ!$A$6:$A$405=$B2696)*(((職員マスタ!$G$6:$G$405="")+(職員マスタ!$G$6:$G$405&lt;=EOMONTH($AQ2696,0)))&gt;0)*(((職員マスタ!$H$6:$H$405="")+(職員マスタ!$H$6:$H$405&gt;=$AQ2696))&gt;0)*(ROW(職員マスタ!$A$6:$A$405)-5))),IFERROR(MATCH($B2696,職員マスタ!$A$6:$A$405,0),"")))</f>
        <v/>
      </c>
      <c r="AQ2696" s="16">
        <f>IF(OR($B2696="",$C2696="",$D2696=""),"",DATE($C2696+2018,$D2696,1))</f>
        <v/>
      </c>
    </row>
    <row r="2697">
      <c r="A2697" s="11" t="n"/>
      <c r="B2697" s="12" t="n"/>
      <c r="C2697" s="12" t="n"/>
      <c r="D2697" s="12" t="n"/>
      <c r="E2697" s="13" t="n"/>
      <c r="F2697" s="12" t="n"/>
      <c r="G2697" s="13" t="n"/>
      <c r="H2697" s="12" t="n"/>
      <c r="I2697" s="12" t="n"/>
      <c r="J2697" s="12" t="n"/>
      <c r="K2697" s="12" t="n"/>
      <c r="L2697" s="11" t="n"/>
      <c r="M2697" s="11" t="n"/>
      <c r="N2697" s="11" t="n"/>
      <c r="O2697" s="11" t="n"/>
      <c r="P2697" s="12" t="n"/>
      <c r="Q2697" s="11" t="n"/>
      <c r="R2697" s="12" t="n"/>
      <c r="S2697" s="11" t="n"/>
      <c r="T2697" s="12" t="n"/>
      <c r="U2697" s="12" t="n"/>
      <c r="V2697" s="12" t="n"/>
      <c r="W2697" s="13" t="n"/>
      <c r="X2697" s="14">
        <f>IF($AP2697="",IF($B2697="","",$H2697),IF(INDEX(職員マスタ!$B$6:$B$405,$AP2697)="",$H2697,INDEX(職員マスタ!$B$6:$B$405,$AP2697)))</f>
        <v/>
      </c>
      <c r="Y2697" s="14">
        <f>IF($AP2697="",IF($B2697="","",$R2697),IF(INDEX(職員マスタ!$C$6:$C$405,$AP2697)="",$R2697,INDEX(職員マスタ!$C$6:$C$405,$AP2697)))</f>
        <v/>
      </c>
      <c r="Z2697" s="14">
        <f>IF($AQ2697="","","R"&amp;$C2697&amp;"."&amp;$D2697)</f>
        <v/>
      </c>
      <c r="AA2697" s="15">
        <f>IF(IF($AP2697="",FALSE,INDEX(職員マスタ!$K$6:$K$405,$AP2697)&lt;&gt;""),INDEX(職員マスタ!$K$6:$K$405,$AP2697),IF(N($W2697)&gt;0,$W2697,""))</f>
        <v/>
      </c>
      <c r="AB2697" s="14">
        <f>IF(OR($E2697="",$AA2697=""),"",IF($E2697&gt;=$AA2697,"×",IF($E2697&gt;=$AA2697*設定!$C$5,"△","○")))</f>
        <v/>
      </c>
      <c r="AC2697" s="15">
        <f>IF($AB2697="","",IF($AB2697="×",0,IF($AB2697="○",ROUNDDOWN($E2697*設定!$C$4,0),ROUNDDOWN($E2697*ROUND((9*$AA2697-9*$E2697)/(10*$E2697),4),0))))</f>
        <v/>
      </c>
      <c r="AD2697" s="13" t="n"/>
      <c r="AE2697" s="15">
        <f>IF($B2697="","",IF($AD2697&lt;&gt;"",$AD2697,IF($AC2697="","",IF($AC2697&lt;=設定!$C$3,0,$AC2697))))</f>
        <v/>
      </c>
      <c r="AF2697" s="14">
        <f>IF($B2697="","",IF(AND($AG2697&lt;&gt;"",$AI2697="",$AL2697=""),"保留中",IF($AL2697&lt;&gt;"",IF(N($AE2697)&gt;0,"支給済","不支給"),IF($AE2697="","要確認",IF($AE2697=0,"不支給","未処理")))))</f>
        <v/>
      </c>
      <c r="AG2697" s="12" t="n"/>
      <c r="AH2697" s="11" t="n"/>
      <c r="AI2697" s="11" t="n"/>
      <c r="AJ2697" s="11" t="n"/>
      <c r="AK2697" s="14">
        <f>IF(AND($AF2697="保留中",$AH2697&lt;&gt;""),TODAY()-$AH2697,"")</f>
        <v/>
      </c>
      <c r="AL2697" s="12" t="n"/>
      <c r="AM2697" s="14">
        <f>IF($B2697="","",IF($AQ2697="","対象年月が未入力／","")&amp;IF($B2697="","",IF($AP2697="","職員マスタに未登録の職員番号／",IF($AA2697="","標準報酬月額が未登録／","")&amp;IF(AND($AQ2697&lt;&gt;"",OR(AND(INDEX(職員マスタ!$G$6:$G$405,$AP2697)&lt;&gt;"",INDEX(職員マスタ!$G$6:$G$405,$AP2697)&gt;EOMONTH($AQ2697,0)),AND(INDEX(職員マスタ!$H$6:$H$405,$AP2697)&lt;&gt;"",INDEX(職員マスタ!$H$6:$H$405,$AP2697)&lt;$AQ2697))),"対象月が時短期間外／","")&amp;IF(AND(INDEX(職員マスタ!$K$6:$K$405,$AP2697)&lt;&gt;"",N($W2697)&gt;0,INDEX(職員マスタ!$K$6:$K$405,$AP2697)&lt;&gt;$W2697),"標準報酬月額が申請書と相違（台帳"&amp;TEXT(INDEX(職員マスタ!$K$6:$K$405,$AP2697),"#,##0")&amp;"円／申請書"&amp;TEXT($W2697,"#,##0")&amp;"円）／","")&amp;IF(AND(INDEX(職員マスタ!$F$6:$F$405,$AP2697)&lt;&gt;"",$AQ2697&lt;&gt;"",INDEX(職員マスタ!$F$6:$F$405,$AP2697)&lt;$AQ2697),"対象月に子が2歳到達済／","")&amp;IF(AND($H2697&lt;&gt;"",INDEX(職員マスタ!$B$6:$B$405,$AP2697)&lt;&gt;"",SUBSTITUTE(SUBSTITUTE($H2697," ","")," ","")&lt;&gt;SUBSTITUTE(SUBSTITUTE(INDEX(職員マスタ!$B$6:$B$405,$AP2697)," ","")," ","")),"氏名がマスタと相違／","")&amp;IF(AND($Q2697&lt;&gt;"",INDEX(職員マスタ!$E$6:$E$405,$AP2697)&lt;&gt;"",$Q2697&lt;&gt;INDEX(職員マスタ!$E$6:$E$405,$AP2697)),"子の生年月日がマスタと相違／","")&amp;IF(AND($L2697&lt;&gt;"",INDEX(職員マスタ!$G$6:$G$405,$AP2697)&lt;&gt;"",$L2697&lt;&gt;INDEX(職員マスタ!$G$6:$G$405,$AP2697)),"時短開始日がマスタと相違／","")&amp;IF(AND($M2697&lt;&gt;"",INDEX(職員マスタ!$H$6:$H$405,$AP2697)&lt;&gt;"",$M2697&lt;&gt;INDEX(職員マスタ!$H$6:$H$405,$AP2697)),"時短終了日がマスタと相違／","")))&amp;IF(AND($B2697&lt;&gt;"",$E2697=""),"報酬額が未入力／","")&amp;IF(N($U2697)&gt;0,"申請書に入力エラーが残っています／","")&amp;IF(AND($B2697&lt;&gt;"",$AQ2697&lt;&gt;""),IF(COUNTIFS($B$6:$B$3005,$B2697,$C$6:$C$3005,$C2697,$D$6:$D$3005,$D2697)&gt;1,"同じ月の請求が重複しています／",""),"")&amp;IF(AND(N($E2697)&gt;0,$AB2697&lt;&gt;"",$AB2697&lt;&gt;"×",$AE2697=0,$AD2697=""),"計算額が下限以下のため不支給／",""))</f>
        <v/>
      </c>
      <c r="AN2697" s="12" t="n"/>
      <c r="AO2697" s="14">
        <f>IF($AF2697="保留中",COUNTIF($AF$6:$AF2697,"保留中"),"")</f>
        <v/>
      </c>
      <c r="AP2697" s="14">
        <f>IF($AQ2697="","",IF(SUMPRODUCT(MAX((職員マスタ!$A$6:$A$405=$B2697)*(((職員マスタ!$G$6:$G$405="")+(職員マスタ!$G$6:$G$405&lt;=EOMONTH($AQ2697,0)))&gt;0)*(((職員マスタ!$H$6:$H$405="")+(職員マスタ!$H$6:$H$405&gt;=$AQ2697))&gt;0)*(ROW(職員マスタ!$A$6:$A$405)-5)))&gt;0,SUMPRODUCT(MAX((職員マスタ!$A$6:$A$405=$B2697)*(((職員マスタ!$G$6:$G$405="")+(職員マスタ!$G$6:$G$405&lt;=EOMONTH($AQ2697,0)))&gt;0)*(((職員マスタ!$H$6:$H$405="")+(職員マスタ!$H$6:$H$405&gt;=$AQ2697))&gt;0)*(ROW(職員マスタ!$A$6:$A$405)-5))),IFERROR(MATCH($B2697,職員マスタ!$A$6:$A$405,0),"")))</f>
        <v/>
      </c>
      <c r="AQ2697" s="16">
        <f>IF(OR($B2697="",$C2697="",$D2697=""),"",DATE($C2697+2018,$D2697,1))</f>
        <v/>
      </c>
    </row>
    <row r="2698">
      <c r="A2698" s="11" t="n"/>
      <c r="B2698" s="12" t="n"/>
      <c r="C2698" s="12" t="n"/>
      <c r="D2698" s="12" t="n"/>
      <c r="E2698" s="13" t="n"/>
      <c r="F2698" s="12" t="n"/>
      <c r="G2698" s="13" t="n"/>
      <c r="H2698" s="12" t="n"/>
      <c r="I2698" s="12" t="n"/>
      <c r="J2698" s="12" t="n"/>
      <c r="K2698" s="12" t="n"/>
      <c r="L2698" s="11" t="n"/>
      <c r="M2698" s="11" t="n"/>
      <c r="N2698" s="11" t="n"/>
      <c r="O2698" s="11" t="n"/>
      <c r="P2698" s="12" t="n"/>
      <c r="Q2698" s="11" t="n"/>
      <c r="R2698" s="12" t="n"/>
      <c r="S2698" s="11" t="n"/>
      <c r="T2698" s="12" t="n"/>
      <c r="U2698" s="12" t="n"/>
      <c r="V2698" s="12" t="n"/>
      <c r="W2698" s="13" t="n"/>
      <c r="X2698" s="14">
        <f>IF($AP2698="",IF($B2698="","",$H2698),IF(INDEX(職員マスタ!$B$6:$B$405,$AP2698)="",$H2698,INDEX(職員マスタ!$B$6:$B$405,$AP2698)))</f>
        <v/>
      </c>
      <c r="Y2698" s="14">
        <f>IF($AP2698="",IF($B2698="","",$R2698),IF(INDEX(職員マスタ!$C$6:$C$405,$AP2698)="",$R2698,INDEX(職員マスタ!$C$6:$C$405,$AP2698)))</f>
        <v/>
      </c>
      <c r="Z2698" s="14">
        <f>IF($AQ2698="","","R"&amp;$C2698&amp;"."&amp;$D2698)</f>
        <v/>
      </c>
      <c r="AA2698" s="15">
        <f>IF(IF($AP2698="",FALSE,INDEX(職員マスタ!$K$6:$K$405,$AP2698)&lt;&gt;""),INDEX(職員マスタ!$K$6:$K$405,$AP2698),IF(N($W2698)&gt;0,$W2698,""))</f>
        <v/>
      </c>
      <c r="AB2698" s="14">
        <f>IF(OR($E2698="",$AA2698=""),"",IF($E2698&gt;=$AA2698,"×",IF($E2698&gt;=$AA2698*設定!$C$5,"△","○")))</f>
        <v/>
      </c>
      <c r="AC2698" s="15">
        <f>IF($AB2698="","",IF($AB2698="×",0,IF($AB2698="○",ROUNDDOWN($E2698*設定!$C$4,0),ROUNDDOWN($E2698*ROUND((9*$AA2698-9*$E2698)/(10*$E2698),4),0))))</f>
        <v/>
      </c>
      <c r="AD2698" s="13" t="n"/>
      <c r="AE2698" s="15">
        <f>IF($B2698="","",IF($AD2698&lt;&gt;"",$AD2698,IF($AC2698="","",IF($AC2698&lt;=設定!$C$3,0,$AC2698))))</f>
        <v/>
      </c>
      <c r="AF2698" s="14">
        <f>IF($B2698="","",IF(AND($AG2698&lt;&gt;"",$AI2698="",$AL2698=""),"保留中",IF($AL2698&lt;&gt;"",IF(N($AE2698)&gt;0,"支給済","不支給"),IF($AE2698="","要確認",IF($AE2698=0,"不支給","未処理")))))</f>
        <v/>
      </c>
      <c r="AG2698" s="12" t="n"/>
      <c r="AH2698" s="11" t="n"/>
      <c r="AI2698" s="11" t="n"/>
      <c r="AJ2698" s="11" t="n"/>
      <c r="AK2698" s="14">
        <f>IF(AND($AF2698="保留中",$AH2698&lt;&gt;""),TODAY()-$AH2698,"")</f>
        <v/>
      </c>
      <c r="AL2698" s="12" t="n"/>
      <c r="AM2698" s="14">
        <f>IF($B2698="","",IF($AQ2698="","対象年月が未入力／","")&amp;IF($B2698="","",IF($AP2698="","職員マスタに未登録の職員番号／",IF($AA2698="","標準報酬月額が未登録／","")&amp;IF(AND($AQ2698&lt;&gt;"",OR(AND(INDEX(職員マスタ!$G$6:$G$405,$AP2698)&lt;&gt;"",INDEX(職員マスタ!$G$6:$G$405,$AP2698)&gt;EOMONTH($AQ2698,0)),AND(INDEX(職員マスタ!$H$6:$H$405,$AP2698)&lt;&gt;"",INDEX(職員マスタ!$H$6:$H$405,$AP2698)&lt;$AQ2698))),"対象月が時短期間外／","")&amp;IF(AND(INDEX(職員マスタ!$K$6:$K$405,$AP2698)&lt;&gt;"",N($W2698)&gt;0,INDEX(職員マスタ!$K$6:$K$405,$AP2698)&lt;&gt;$W2698),"標準報酬月額が申請書と相違（台帳"&amp;TEXT(INDEX(職員マスタ!$K$6:$K$405,$AP2698),"#,##0")&amp;"円／申請書"&amp;TEXT($W2698,"#,##0")&amp;"円）／","")&amp;IF(AND(INDEX(職員マスタ!$F$6:$F$405,$AP2698)&lt;&gt;"",$AQ2698&lt;&gt;"",INDEX(職員マスタ!$F$6:$F$405,$AP2698)&lt;$AQ2698),"対象月に子が2歳到達済／","")&amp;IF(AND($H2698&lt;&gt;"",INDEX(職員マスタ!$B$6:$B$405,$AP2698)&lt;&gt;"",SUBSTITUTE(SUBSTITUTE($H2698," ","")," ","")&lt;&gt;SUBSTITUTE(SUBSTITUTE(INDEX(職員マスタ!$B$6:$B$405,$AP2698)," ","")," ","")),"氏名がマスタと相違／","")&amp;IF(AND($Q2698&lt;&gt;"",INDEX(職員マスタ!$E$6:$E$405,$AP2698)&lt;&gt;"",$Q2698&lt;&gt;INDEX(職員マスタ!$E$6:$E$405,$AP2698)),"子の生年月日がマスタと相違／","")&amp;IF(AND($L2698&lt;&gt;"",INDEX(職員マスタ!$G$6:$G$405,$AP2698)&lt;&gt;"",$L2698&lt;&gt;INDEX(職員マスタ!$G$6:$G$405,$AP2698)),"時短開始日がマスタと相違／","")&amp;IF(AND($M2698&lt;&gt;"",INDEX(職員マスタ!$H$6:$H$405,$AP2698)&lt;&gt;"",$M2698&lt;&gt;INDEX(職員マスタ!$H$6:$H$405,$AP2698)),"時短終了日がマスタと相違／","")))&amp;IF(AND($B2698&lt;&gt;"",$E2698=""),"報酬額が未入力／","")&amp;IF(N($U2698)&gt;0,"申請書に入力エラーが残っています／","")&amp;IF(AND($B2698&lt;&gt;"",$AQ2698&lt;&gt;""),IF(COUNTIFS($B$6:$B$3005,$B2698,$C$6:$C$3005,$C2698,$D$6:$D$3005,$D2698)&gt;1,"同じ月の請求が重複しています／",""),"")&amp;IF(AND(N($E2698)&gt;0,$AB2698&lt;&gt;"",$AB2698&lt;&gt;"×",$AE2698=0,$AD2698=""),"計算額が下限以下のため不支給／",""))</f>
        <v/>
      </c>
      <c r="AN2698" s="12" t="n"/>
      <c r="AO2698" s="14">
        <f>IF($AF2698="保留中",COUNTIF($AF$6:$AF2698,"保留中"),"")</f>
        <v/>
      </c>
      <c r="AP2698" s="14">
        <f>IF($AQ2698="","",IF(SUMPRODUCT(MAX((職員マスタ!$A$6:$A$405=$B2698)*(((職員マスタ!$G$6:$G$405="")+(職員マスタ!$G$6:$G$405&lt;=EOMONTH($AQ2698,0)))&gt;0)*(((職員マスタ!$H$6:$H$405="")+(職員マスタ!$H$6:$H$405&gt;=$AQ2698))&gt;0)*(ROW(職員マスタ!$A$6:$A$405)-5)))&gt;0,SUMPRODUCT(MAX((職員マスタ!$A$6:$A$405=$B2698)*(((職員マスタ!$G$6:$G$405="")+(職員マスタ!$G$6:$G$405&lt;=EOMONTH($AQ2698,0)))&gt;0)*(((職員マスタ!$H$6:$H$405="")+(職員マスタ!$H$6:$H$405&gt;=$AQ2698))&gt;0)*(ROW(職員マスタ!$A$6:$A$405)-5))),IFERROR(MATCH($B2698,職員マスタ!$A$6:$A$405,0),"")))</f>
        <v/>
      </c>
      <c r="AQ2698" s="16">
        <f>IF(OR($B2698="",$C2698="",$D2698=""),"",DATE($C2698+2018,$D2698,1))</f>
        <v/>
      </c>
    </row>
    <row r="2699">
      <c r="A2699" s="11" t="n"/>
      <c r="B2699" s="12" t="n"/>
      <c r="C2699" s="12" t="n"/>
      <c r="D2699" s="12" t="n"/>
      <c r="E2699" s="13" t="n"/>
      <c r="F2699" s="12" t="n"/>
      <c r="G2699" s="13" t="n"/>
      <c r="H2699" s="12" t="n"/>
      <c r="I2699" s="12" t="n"/>
      <c r="J2699" s="12" t="n"/>
      <c r="K2699" s="12" t="n"/>
      <c r="L2699" s="11" t="n"/>
      <c r="M2699" s="11" t="n"/>
      <c r="N2699" s="11" t="n"/>
      <c r="O2699" s="11" t="n"/>
      <c r="P2699" s="12" t="n"/>
      <c r="Q2699" s="11" t="n"/>
      <c r="R2699" s="12" t="n"/>
      <c r="S2699" s="11" t="n"/>
      <c r="T2699" s="12" t="n"/>
      <c r="U2699" s="12" t="n"/>
      <c r="V2699" s="12" t="n"/>
      <c r="W2699" s="13" t="n"/>
      <c r="X2699" s="14">
        <f>IF($AP2699="",IF($B2699="","",$H2699),IF(INDEX(職員マスタ!$B$6:$B$405,$AP2699)="",$H2699,INDEX(職員マスタ!$B$6:$B$405,$AP2699)))</f>
        <v/>
      </c>
      <c r="Y2699" s="14">
        <f>IF($AP2699="",IF($B2699="","",$R2699),IF(INDEX(職員マスタ!$C$6:$C$405,$AP2699)="",$R2699,INDEX(職員マスタ!$C$6:$C$405,$AP2699)))</f>
        <v/>
      </c>
      <c r="Z2699" s="14">
        <f>IF($AQ2699="","","R"&amp;$C2699&amp;"."&amp;$D2699)</f>
        <v/>
      </c>
      <c r="AA2699" s="15">
        <f>IF(IF($AP2699="",FALSE,INDEX(職員マスタ!$K$6:$K$405,$AP2699)&lt;&gt;""),INDEX(職員マスタ!$K$6:$K$405,$AP2699),IF(N($W2699)&gt;0,$W2699,""))</f>
        <v/>
      </c>
      <c r="AB2699" s="14">
        <f>IF(OR($E2699="",$AA2699=""),"",IF($E2699&gt;=$AA2699,"×",IF($E2699&gt;=$AA2699*設定!$C$5,"△","○")))</f>
        <v/>
      </c>
      <c r="AC2699" s="15">
        <f>IF($AB2699="","",IF($AB2699="×",0,IF($AB2699="○",ROUNDDOWN($E2699*設定!$C$4,0),ROUNDDOWN($E2699*ROUND((9*$AA2699-9*$E2699)/(10*$E2699),4),0))))</f>
        <v/>
      </c>
      <c r="AD2699" s="13" t="n"/>
      <c r="AE2699" s="15">
        <f>IF($B2699="","",IF($AD2699&lt;&gt;"",$AD2699,IF($AC2699="","",IF($AC2699&lt;=設定!$C$3,0,$AC2699))))</f>
        <v/>
      </c>
      <c r="AF2699" s="14">
        <f>IF($B2699="","",IF(AND($AG2699&lt;&gt;"",$AI2699="",$AL2699=""),"保留中",IF($AL2699&lt;&gt;"",IF(N($AE2699)&gt;0,"支給済","不支給"),IF($AE2699="","要確認",IF($AE2699=0,"不支給","未処理")))))</f>
        <v/>
      </c>
      <c r="AG2699" s="12" t="n"/>
      <c r="AH2699" s="11" t="n"/>
      <c r="AI2699" s="11" t="n"/>
      <c r="AJ2699" s="11" t="n"/>
      <c r="AK2699" s="14">
        <f>IF(AND($AF2699="保留中",$AH2699&lt;&gt;""),TODAY()-$AH2699,"")</f>
        <v/>
      </c>
      <c r="AL2699" s="12" t="n"/>
      <c r="AM2699" s="14">
        <f>IF($B2699="","",IF($AQ2699="","対象年月が未入力／","")&amp;IF($B2699="","",IF($AP2699="","職員マスタに未登録の職員番号／",IF($AA2699="","標準報酬月額が未登録／","")&amp;IF(AND($AQ2699&lt;&gt;"",OR(AND(INDEX(職員マスタ!$G$6:$G$405,$AP2699)&lt;&gt;"",INDEX(職員マスタ!$G$6:$G$405,$AP2699)&gt;EOMONTH($AQ2699,0)),AND(INDEX(職員マスタ!$H$6:$H$405,$AP2699)&lt;&gt;"",INDEX(職員マスタ!$H$6:$H$405,$AP2699)&lt;$AQ2699))),"対象月が時短期間外／","")&amp;IF(AND(INDEX(職員マスタ!$K$6:$K$405,$AP2699)&lt;&gt;"",N($W2699)&gt;0,INDEX(職員マスタ!$K$6:$K$405,$AP2699)&lt;&gt;$W2699),"標準報酬月額が申請書と相違（台帳"&amp;TEXT(INDEX(職員マスタ!$K$6:$K$405,$AP2699),"#,##0")&amp;"円／申請書"&amp;TEXT($W2699,"#,##0")&amp;"円）／","")&amp;IF(AND(INDEX(職員マスタ!$F$6:$F$405,$AP2699)&lt;&gt;"",$AQ2699&lt;&gt;"",INDEX(職員マスタ!$F$6:$F$405,$AP2699)&lt;$AQ2699),"対象月に子が2歳到達済／","")&amp;IF(AND($H2699&lt;&gt;"",INDEX(職員マスタ!$B$6:$B$405,$AP2699)&lt;&gt;"",SUBSTITUTE(SUBSTITUTE($H2699," ","")," ","")&lt;&gt;SUBSTITUTE(SUBSTITUTE(INDEX(職員マスタ!$B$6:$B$405,$AP2699)," ","")," ","")),"氏名がマスタと相違／","")&amp;IF(AND($Q2699&lt;&gt;"",INDEX(職員マスタ!$E$6:$E$405,$AP2699)&lt;&gt;"",$Q2699&lt;&gt;INDEX(職員マスタ!$E$6:$E$405,$AP2699)),"子の生年月日がマスタと相違／","")&amp;IF(AND($L2699&lt;&gt;"",INDEX(職員マスタ!$G$6:$G$405,$AP2699)&lt;&gt;"",$L2699&lt;&gt;INDEX(職員マスタ!$G$6:$G$405,$AP2699)),"時短開始日がマスタと相違／","")&amp;IF(AND($M2699&lt;&gt;"",INDEX(職員マスタ!$H$6:$H$405,$AP2699)&lt;&gt;"",$M2699&lt;&gt;INDEX(職員マスタ!$H$6:$H$405,$AP2699)),"時短終了日がマスタと相違／","")))&amp;IF(AND($B2699&lt;&gt;"",$E2699=""),"報酬額が未入力／","")&amp;IF(N($U2699)&gt;0,"申請書に入力エラーが残っています／","")&amp;IF(AND($B2699&lt;&gt;"",$AQ2699&lt;&gt;""),IF(COUNTIFS($B$6:$B$3005,$B2699,$C$6:$C$3005,$C2699,$D$6:$D$3005,$D2699)&gt;1,"同じ月の請求が重複しています／",""),"")&amp;IF(AND(N($E2699)&gt;0,$AB2699&lt;&gt;"",$AB2699&lt;&gt;"×",$AE2699=0,$AD2699=""),"計算額が下限以下のため不支給／",""))</f>
        <v/>
      </c>
      <c r="AN2699" s="12" t="n"/>
      <c r="AO2699" s="14">
        <f>IF($AF2699="保留中",COUNTIF($AF$6:$AF2699,"保留中"),"")</f>
        <v/>
      </c>
      <c r="AP2699" s="14">
        <f>IF($AQ2699="","",IF(SUMPRODUCT(MAX((職員マスタ!$A$6:$A$405=$B2699)*(((職員マスタ!$G$6:$G$405="")+(職員マスタ!$G$6:$G$405&lt;=EOMONTH($AQ2699,0)))&gt;0)*(((職員マスタ!$H$6:$H$405="")+(職員マスタ!$H$6:$H$405&gt;=$AQ2699))&gt;0)*(ROW(職員マスタ!$A$6:$A$405)-5)))&gt;0,SUMPRODUCT(MAX((職員マスタ!$A$6:$A$405=$B2699)*(((職員マスタ!$G$6:$G$405="")+(職員マスタ!$G$6:$G$405&lt;=EOMONTH($AQ2699,0)))&gt;0)*(((職員マスタ!$H$6:$H$405="")+(職員マスタ!$H$6:$H$405&gt;=$AQ2699))&gt;0)*(ROW(職員マスタ!$A$6:$A$405)-5))),IFERROR(MATCH($B2699,職員マスタ!$A$6:$A$405,0),"")))</f>
        <v/>
      </c>
      <c r="AQ2699" s="16">
        <f>IF(OR($B2699="",$C2699="",$D2699=""),"",DATE($C2699+2018,$D2699,1))</f>
        <v/>
      </c>
    </row>
    <row r="2700">
      <c r="A2700" s="11" t="n"/>
      <c r="B2700" s="12" t="n"/>
      <c r="C2700" s="12" t="n"/>
      <c r="D2700" s="12" t="n"/>
      <c r="E2700" s="13" t="n"/>
      <c r="F2700" s="12" t="n"/>
      <c r="G2700" s="13" t="n"/>
      <c r="H2700" s="12" t="n"/>
      <c r="I2700" s="12" t="n"/>
      <c r="J2700" s="12" t="n"/>
      <c r="K2700" s="12" t="n"/>
      <c r="L2700" s="11" t="n"/>
      <c r="M2700" s="11" t="n"/>
      <c r="N2700" s="11" t="n"/>
      <c r="O2700" s="11" t="n"/>
      <c r="P2700" s="12" t="n"/>
      <c r="Q2700" s="11" t="n"/>
      <c r="R2700" s="12" t="n"/>
      <c r="S2700" s="11" t="n"/>
      <c r="T2700" s="12" t="n"/>
      <c r="U2700" s="12" t="n"/>
      <c r="V2700" s="12" t="n"/>
      <c r="W2700" s="13" t="n"/>
      <c r="X2700" s="14">
        <f>IF($AP2700="",IF($B2700="","",$H2700),IF(INDEX(職員マスタ!$B$6:$B$405,$AP2700)="",$H2700,INDEX(職員マスタ!$B$6:$B$405,$AP2700)))</f>
        <v/>
      </c>
      <c r="Y2700" s="14">
        <f>IF($AP2700="",IF($B2700="","",$R2700),IF(INDEX(職員マスタ!$C$6:$C$405,$AP2700)="",$R2700,INDEX(職員マスタ!$C$6:$C$405,$AP2700)))</f>
        <v/>
      </c>
      <c r="Z2700" s="14">
        <f>IF($AQ2700="","","R"&amp;$C2700&amp;"."&amp;$D2700)</f>
        <v/>
      </c>
      <c r="AA2700" s="15">
        <f>IF(IF($AP2700="",FALSE,INDEX(職員マスタ!$K$6:$K$405,$AP2700)&lt;&gt;""),INDEX(職員マスタ!$K$6:$K$405,$AP2700),IF(N($W2700)&gt;0,$W2700,""))</f>
        <v/>
      </c>
      <c r="AB2700" s="14">
        <f>IF(OR($E2700="",$AA2700=""),"",IF($E2700&gt;=$AA2700,"×",IF($E2700&gt;=$AA2700*設定!$C$5,"△","○")))</f>
        <v/>
      </c>
      <c r="AC2700" s="15">
        <f>IF($AB2700="","",IF($AB2700="×",0,IF($AB2700="○",ROUNDDOWN($E2700*設定!$C$4,0),ROUNDDOWN($E2700*ROUND((9*$AA2700-9*$E2700)/(10*$E2700),4),0))))</f>
        <v/>
      </c>
      <c r="AD2700" s="13" t="n"/>
      <c r="AE2700" s="15">
        <f>IF($B2700="","",IF($AD2700&lt;&gt;"",$AD2700,IF($AC2700="","",IF($AC2700&lt;=設定!$C$3,0,$AC2700))))</f>
        <v/>
      </c>
      <c r="AF2700" s="14">
        <f>IF($B2700="","",IF(AND($AG2700&lt;&gt;"",$AI2700="",$AL2700=""),"保留中",IF($AL2700&lt;&gt;"",IF(N($AE2700)&gt;0,"支給済","不支給"),IF($AE2700="","要確認",IF($AE2700=0,"不支給","未処理")))))</f>
        <v/>
      </c>
      <c r="AG2700" s="12" t="n"/>
      <c r="AH2700" s="11" t="n"/>
      <c r="AI2700" s="11" t="n"/>
      <c r="AJ2700" s="11" t="n"/>
      <c r="AK2700" s="14">
        <f>IF(AND($AF2700="保留中",$AH2700&lt;&gt;""),TODAY()-$AH2700,"")</f>
        <v/>
      </c>
      <c r="AL2700" s="12" t="n"/>
      <c r="AM2700" s="14">
        <f>IF($B2700="","",IF($AQ2700="","対象年月が未入力／","")&amp;IF($B2700="","",IF($AP2700="","職員マスタに未登録の職員番号／",IF($AA2700="","標準報酬月額が未登録／","")&amp;IF(AND($AQ2700&lt;&gt;"",OR(AND(INDEX(職員マスタ!$G$6:$G$405,$AP2700)&lt;&gt;"",INDEX(職員マスタ!$G$6:$G$405,$AP2700)&gt;EOMONTH($AQ2700,0)),AND(INDEX(職員マスタ!$H$6:$H$405,$AP2700)&lt;&gt;"",INDEX(職員マスタ!$H$6:$H$405,$AP2700)&lt;$AQ2700))),"対象月が時短期間外／","")&amp;IF(AND(INDEX(職員マスタ!$K$6:$K$405,$AP2700)&lt;&gt;"",N($W2700)&gt;0,INDEX(職員マスタ!$K$6:$K$405,$AP2700)&lt;&gt;$W2700),"標準報酬月額が申請書と相違（台帳"&amp;TEXT(INDEX(職員マスタ!$K$6:$K$405,$AP2700),"#,##0")&amp;"円／申請書"&amp;TEXT($W2700,"#,##0")&amp;"円）／","")&amp;IF(AND(INDEX(職員マスタ!$F$6:$F$405,$AP2700)&lt;&gt;"",$AQ2700&lt;&gt;"",INDEX(職員マスタ!$F$6:$F$405,$AP2700)&lt;$AQ2700),"対象月に子が2歳到達済／","")&amp;IF(AND($H2700&lt;&gt;"",INDEX(職員マスタ!$B$6:$B$405,$AP2700)&lt;&gt;"",SUBSTITUTE(SUBSTITUTE($H2700," ","")," ","")&lt;&gt;SUBSTITUTE(SUBSTITUTE(INDEX(職員マスタ!$B$6:$B$405,$AP2700)," ","")," ","")),"氏名がマスタと相違／","")&amp;IF(AND($Q2700&lt;&gt;"",INDEX(職員マスタ!$E$6:$E$405,$AP2700)&lt;&gt;"",$Q2700&lt;&gt;INDEX(職員マスタ!$E$6:$E$405,$AP2700)),"子の生年月日がマスタと相違／","")&amp;IF(AND($L2700&lt;&gt;"",INDEX(職員マスタ!$G$6:$G$405,$AP2700)&lt;&gt;"",$L2700&lt;&gt;INDEX(職員マスタ!$G$6:$G$405,$AP2700)),"時短開始日がマスタと相違／","")&amp;IF(AND($M2700&lt;&gt;"",INDEX(職員マスタ!$H$6:$H$405,$AP2700)&lt;&gt;"",$M2700&lt;&gt;INDEX(職員マスタ!$H$6:$H$405,$AP2700)),"時短終了日がマスタと相違／","")))&amp;IF(AND($B2700&lt;&gt;"",$E2700=""),"報酬額が未入力／","")&amp;IF(N($U2700)&gt;0,"申請書に入力エラーが残っています／","")&amp;IF(AND($B2700&lt;&gt;"",$AQ2700&lt;&gt;""),IF(COUNTIFS($B$6:$B$3005,$B2700,$C$6:$C$3005,$C2700,$D$6:$D$3005,$D2700)&gt;1,"同じ月の請求が重複しています／",""),"")&amp;IF(AND(N($E2700)&gt;0,$AB2700&lt;&gt;"",$AB2700&lt;&gt;"×",$AE2700=0,$AD2700=""),"計算額が下限以下のため不支給／",""))</f>
        <v/>
      </c>
      <c r="AN2700" s="12" t="n"/>
      <c r="AO2700" s="14">
        <f>IF($AF2700="保留中",COUNTIF($AF$6:$AF2700,"保留中"),"")</f>
        <v/>
      </c>
      <c r="AP2700" s="14">
        <f>IF($AQ2700="","",IF(SUMPRODUCT(MAX((職員マスタ!$A$6:$A$405=$B2700)*(((職員マスタ!$G$6:$G$405="")+(職員マスタ!$G$6:$G$405&lt;=EOMONTH($AQ2700,0)))&gt;0)*(((職員マスタ!$H$6:$H$405="")+(職員マスタ!$H$6:$H$405&gt;=$AQ2700))&gt;0)*(ROW(職員マスタ!$A$6:$A$405)-5)))&gt;0,SUMPRODUCT(MAX((職員マスタ!$A$6:$A$405=$B2700)*(((職員マスタ!$G$6:$G$405="")+(職員マスタ!$G$6:$G$405&lt;=EOMONTH($AQ2700,0)))&gt;0)*(((職員マスタ!$H$6:$H$405="")+(職員マスタ!$H$6:$H$405&gt;=$AQ2700))&gt;0)*(ROW(職員マスタ!$A$6:$A$405)-5))),IFERROR(MATCH($B2700,職員マスタ!$A$6:$A$405,0),"")))</f>
        <v/>
      </c>
      <c r="AQ2700" s="16">
        <f>IF(OR($B2700="",$C2700="",$D2700=""),"",DATE($C2700+2018,$D2700,1))</f>
        <v/>
      </c>
    </row>
    <row r="2701">
      <c r="A2701" s="11" t="n"/>
      <c r="B2701" s="12" t="n"/>
      <c r="C2701" s="12" t="n"/>
      <c r="D2701" s="12" t="n"/>
      <c r="E2701" s="13" t="n"/>
      <c r="F2701" s="12" t="n"/>
      <c r="G2701" s="13" t="n"/>
      <c r="H2701" s="12" t="n"/>
      <c r="I2701" s="12" t="n"/>
      <c r="J2701" s="12" t="n"/>
      <c r="K2701" s="12" t="n"/>
      <c r="L2701" s="11" t="n"/>
      <c r="M2701" s="11" t="n"/>
      <c r="N2701" s="11" t="n"/>
      <c r="O2701" s="11" t="n"/>
      <c r="P2701" s="12" t="n"/>
      <c r="Q2701" s="11" t="n"/>
      <c r="R2701" s="12" t="n"/>
      <c r="S2701" s="11" t="n"/>
      <c r="T2701" s="12" t="n"/>
      <c r="U2701" s="12" t="n"/>
      <c r="V2701" s="12" t="n"/>
      <c r="W2701" s="13" t="n"/>
      <c r="X2701" s="14">
        <f>IF($AP2701="",IF($B2701="","",$H2701),IF(INDEX(職員マスタ!$B$6:$B$405,$AP2701)="",$H2701,INDEX(職員マスタ!$B$6:$B$405,$AP2701)))</f>
        <v/>
      </c>
      <c r="Y2701" s="14">
        <f>IF($AP2701="",IF($B2701="","",$R2701),IF(INDEX(職員マスタ!$C$6:$C$405,$AP2701)="",$R2701,INDEX(職員マスタ!$C$6:$C$405,$AP2701)))</f>
        <v/>
      </c>
      <c r="Z2701" s="14">
        <f>IF($AQ2701="","","R"&amp;$C2701&amp;"."&amp;$D2701)</f>
        <v/>
      </c>
      <c r="AA2701" s="15">
        <f>IF(IF($AP2701="",FALSE,INDEX(職員マスタ!$K$6:$K$405,$AP2701)&lt;&gt;""),INDEX(職員マスタ!$K$6:$K$405,$AP2701),IF(N($W2701)&gt;0,$W2701,""))</f>
        <v/>
      </c>
      <c r="AB2701" s="14">
        <f>IF(OR($E2701="",$AA2701=""),"",IF($E2701&gt;=$AA2701,"×",IF($E2701&gt;=$AA2701*設定!$C$5,"△","○")))</f>
        <v/>
      </c>
      <c r="AC2701" s="15">
        <f>IF($AB2701="","",IF($AB2701="×",0,IF($AB2701="○",ROUNDDOWN($E2701*設定!$C$4,0),ROUNDDOWN($E2701*ROUND((9*$AA2701-9*$E2701)/(10*$E2701),4),0))))</f>
        <v/>
      </c>
      <c r="AD2701" s="13" t="n"/>
      <c r="AE2701" s="15">
        <f>IF($B2701="","",IF($AD2701&lt;&gt;"",$AD2701,IF($AC2701="","",IF($AC2701&lt;=設定!$C$3,0,$AC2701))))</f>
        <v/>
      </c>
      <c r="AF2701" s="14">
        <f>IF($B2701="","",IF(AND($AG2701&lt;&gt;"",$AI2701="",$AL2701=""),"保留中",IF($AL2701&lt;&gt;"",IF(N($AE2701)&gt;0,"支給済","不支給"),IF($AE2701="","要確認",IF($AE2701=0,"不支給","未処理")))))</f>
        <v/>
      </c>
      <c r="AG2701" s="12" t="n"/>
      <c r="AH2701" s="11" t="n"/>
      <c r="AI2701" s="11" t="n"/>
      <c r="AJ2701" s="11" t="n"/>
      <c r="AK2701" s="14">
        <f>IF(AND($AF2701="保留中",$AH2701&lt;&gt;""),TODAY()-$AH2701,"")</f>
        <v/>
      </c>
      <c r="AL2701" s="12" t="n"/>
      <c r="AM2701" s="14">
        <f>IF($B2701="","",IF($AQ2701="","対象年月が未入力／","")&amp;IF($B2701="","",IF($AP2701="","職員マスタに未登録の職員番号／",IF($AA2701="","標準報酬月額が未登録／","")&amp;IF(AND($AQ2701&lt;&gt;"",OR(AND(INDEX(職員マスタ!$G$6:$G$405,$AP2701)&lt;&gt;"",INDEX(職員マスタ!$G$6:$G$405,$AP2701)&gt;EOMONTH($AQ2701,0)),AND(INDEX(職員マスタ!$H$6:$H$405,$AP2701)&lt;&gt;"",INDEX(職員マスタ!$H$6:$H$405,$AP2701)&lt;$AQ2701))),"対象月が時短期間外／","")&amp;IF(AND(INDEX(職員マスタ!$K$6:$K$405,$AP2701)&lt;&gt;"",N($W2701)&gt;0,INDEX(職員マスタ!$K$6:$K$405,$AP2701)&lt;&gt;$W2701),"標準報酬月額が申請書と相違（台帳"&amp;TEXT(INDEX(職員マスタ!$K$6:$K$405,$AP2701),"#,##0")&amp;"円／申請書"&amp;TEXT($W2701,"#,##0")&amp;"円）／","")&amp;IF(AND(INDEX(職員マスタ!$F$6:$F$405,$AP2701)&lt;&gt;"",$AQ2701&lt;&gt;"",INDEX(職員マスタ!$F$6:$F$405,$AP2701)&lt;$AQ2701),"対象月に子が2歳到達済／","")&amp;IF(AND($H2701&lt;&gt;"",INDEX(職員マスタ!$B$6:$B$405,$AP2701)&lt;&gt;"",SUBSTITUTE(SUBSTITUTE($H2701," ","")," ","")&lt;&gt;SUBSTITUTE(SUBSTITUTE(INDEX(職員マスタ!$B$6:$B$405,$AP2701)," ","")," ","")),"氏名がマスタと相違／","")&amp;IF(AND($Q2701&lt;&gt;"",INDEX(職員マスタ!$E$6:$E$405,$AP2701)&lt;&gt;"",$Q2701&lt;&gt;INDEX(職員マスタ!$E$6:$E$405,$AP2701)),"子の生年月日がマスタと相違／","")&amp;IF(AND($L2701&lt;&gt;"",INDEX(職員マスタ!$G$6:$G$405,$AP2701)&lt;&gt;"",$L2701&lt;&gt;INDEX(職員マスタ!$G$6:$G$405,$AP2701)),"時短開始日がマスタと相違／","")&amp;IF(AND($M2701&lt;&gt;"",INDEX(職員マスタ!$H$6:$H$405,$AP2701)&lt;&gt;"",$M2701&lt;&gt;INDEX(職員マスタ!$H$6:$H$405,$AP2701)),"時短終了日がマスタと相違／","")))&amp;IF(AND($B2701&lt;&gt;"",$E2701=""),"報酬額が未入力／","")&amp;IF(N($U2701)&gt;0,"申請書に入力エラーが残っています／","")&amp;IF(AND($B2701&lt;&gt;"",$AQ2701&lt;&gt;""),IF(COUNTIFS($B$6:$B$3005,$B2701,$C$6:$C$3005,$C2701,$D$6:$D$3005,$D2701)&gt;1,"同じ月の請求が重複しています／",""),"")&amp;IF(AND(N($E2701)&gt;0,$AB2701&lt;&gt;"",$AB2701&lt;&gt;"×",$AE2701=0,$AD2701=""),"計算額が下限以下のため不支給／",""))</f>
        <v/>
      </c>
      <c r="AN2701" s="12" t="n"/>
      <c r="AO2701" s="14">
        <f>IF($AF2701="保留中",COUNTIF($AF$6:$AF2701,"保留中"),"")</f>
        <v/>
      </c>
      <c r="AP2701" s="14">
        <f>IF($AQ2701="","",IF(SUMPRODUCT(MAX((職員マスタ!$A$6:$A$405=$B2701)*(((職員マスタ!$G$6:$G$405="")+(職員マスタ!$G$6:$G$405&lt;=EOMONTH($AQ2701,0)))&gt;0)*(((職員マスタ!$H$6:$H$405="")+(職員マスタ!$H$6:$H$405&gt;=$AQ2701))&gt;0)*(ROW(職員マスタ!$A$6:$A$405)-5)))&gt;0,SUMPRODUCT(MAX((職員マスタ!$A$6:$A$405=$B2701)*(((職員マスタ!$G$6:$G$405="")+(職員マスタ!$G$6:$G$405&lt;=EOMONTH($AQ2701,0)))&gt;0)*(((職員マスタ!$H$6:$H$405="")+(職員マスタ!$H$6:$H$405&gt;=$AQ2701))&gt;0)*(ROW(職員マスタ!$A$6:$A$405)-5))),IFERROR(MATCH($B2701,職員マスタ!$A$6:$A$405,0),"")))</f>
        <v/>
      </c>
      <c r="AQ2701" s="16">
        <f>IF(OR($B2701="",$C2701="",$D2701=""),"",DATE($C2701+2018,$D2701,1))</f>
        <v/>
      </c>
    </row>
    <row r="2702">
      <c r="A2702" s="11" t="n"/>
      <c r="B2702" s="12" t="n"/>
      <c r="C2702" s="12" t="n"/>
      <c r="D2702" s="12" t="n"/>
      <c r="E2702" s="13" t="n"/>
      <c r="F2702" s="12" t="n"/>
      <c r="G2702" s="13" t="n"/>
      <c r="H2702" s="12" t="n"/>
      <c r="I2702" s="12" t="n"/>
      <c r="J2702" s="12" t="n"/>
      <c r="K2702" s="12" t="n"/>
      <c r="L2702" s="11" t="n"/>
      <c r="M2702" s="11" t="n"/>
      <c r="N2702" s="11" t="n"/>
      <c r="O2702" s="11" t="n"/>
      <c r="P2702" s="12" t="n"/>
      <c r="Q2702" s="11" t="n"/>
      <c r="R2702" s="12" t="n"/>
      <c r="S2702" s="11" t="n"/>
      <c r="T2702" s="12" t="n"/>
      <c r="U2702" s="12" t="n"/>
      <c r="V2702" s="12" t="n"/>
      <c r="W2702" s="13" t="n"/>
      <c r="X2702" s="14">
        <f>IF($AP2702="",IF($B2702="","",$H2702),IF(INDEX(職員マスタ!$B$6:$B$405,$AP2702)="",$H2702,INDEX(職員マスタ!$B$6:$B$405,$AP2702)))</f>
        <v/>
      </c>
      <c r="Y2702" s="14">
        <f>IF($AP2702="",IF($B2702="","",$R2702),IF(INDEX(職員マスタ!$C$6:$C$405,$AP2702)="",$R2702,INDEX(職員マスタ!$C$6:$C$405,$AP2702)))</f>
        <v/>
      </c>
      <c r="Z2702" s="14">
        <f>IF($AQ2702="","","R"&amp;$C2702&amp;"."&amp;$D2702)</f>
        <v/>
      </c>
      <c r="AA2702" s="15">
        <f>IF(IF($AP2702="",FALSE,INDEX(職員マスタ!$K$6:$K$405,$AP2702)&lt;&gt;""),INDEX(職員マスタ!$K$6:$K$405,$AP2702),IF(N($W2702)&gt;0,$W2702,""))</f>
        <v/>
      </c>
      <c r="AB2702" s="14">
        <f>IF(OR($E2702="",$AA2702=""),"",IF($E2702&gt;=$AA2702,"×",IF($E2702&gt;=$AA2702*設定!$C$5,"△","○")))</f>
        <v/>
      </c>
      <c r="AC2702" s="15">
        <f>IF($AB2702="","",IF($AB2702="×",0,IF($AB2702="○",ROUNDDOWN($E2702*設定!$C$4,0),ROUNDDOWN($E2702*ROUND((9*$AA2702-9*$E2702)/(10*$E2702),4),0))))</f>
        <v/>
      </c>
      <c r="AD2702" s="13" t="n"/>
      <c r="AE2702" s="15">
        <f>IF($B2702="","",IF($AD2702&lt;&gt;"",$AD2702,IF($AC2702="","",IF($AC2702&lt;=設定!$C$3,0,$AC2702))))</f>
        <v/>
      </c>
      <c r="AF2702" s="14">
        <f>IF($B2702="","",IF(AND($AG2702&lt;&gt;"",$AI2702="",$AL2702=""),"保留中",IF($AL2702&lt;&gt;"",IF(N($AE2702)&gt;0,"支給済","不支給"),IF($AE2702="","要確認",IF($AE2702=0,"不支給","未処理")))))</f>
        <v/>
      </c>
      <c r="AG2702" s="12" t="n"/>
      <c r="AH2702" s="11" t="n"/>
      <c r="AI2702" s="11" t="n"/>
      <c r="AJ2702" s="11" t="n"/>
      <c r="AK2702" s="14">
        <f>IF(AND($AF2702="保留中",$AH2702&lt;&gt;""),TODAY()-$AH2702,"")</f>
        <v/>
      </c>
      <c r="AL2702" s="12" t="n"/>
      <c r="AM2702" s="14">
        <f>IF($B2702="","",IF($AQ2702="","対象年月が未入力／","")&amp;IF($B2702="","",IF($AP2702="","職員マスタに未登録の職員番号／",IF($AA2702="","標準報酬月額が未登録／","")&amp;IF(AND($AQ2702&lt;&gt;"",OR(AND(INDEX(職員マスタ!$G$6:$G$405,$AP2702)&lt;&gt;"",INDEX(職員マスタ!$G$6:$G$405,$AP2702)&gt;EOMONTH($AQ2702,0)),AND(INDEX(職員マスタ!$H$6:$H$405,$AP2702)&lt;&gt;"",INDEX(職員マスタ!$H$6:$H$405,$AP2702)&lt;$AQ2702))),"対象月が時短期間外／","")&amp;IF(AND(INDEX(職員マスタ!$K$6:$K$405,$AP2702)&lt;&gt;"",N($W2702)&gt;0,INDEX(職員マスタ!$K$6:$K$405,$AP2702)&lt;&gt;$W2702),"標準報酬月額が申請書と相違（台帳"&amp;TEXT(INDEX(職員マスタ!$K$6:$K$405,$AP2702),"#,##0")&amp;"円／申請書"&amp;TEXT($W2702,"#,##0")&amp;"円）／","")&amp;IF(AND(INDEX(職員マスタ!$F$6:$F$405,$AP2702)&lt;&gt;"",$AQ2702&lt;&gt;"",INDEX(職員マスタ!$F$6:$F$405,$AP2702)&lt;$AQ2702),"対象月に子が2歳到達済／","")&amp;IF(AND($H2702&lt;&gt;"",INDEX(職員マスタ!$B$6:$B$405,$AP2702)&lt;&gt;"",SUBSTITUTE(SUBSTITUTE($H2702," ","")," ","")&lt;&gt;SUBSTITUTE(SUBSTITUTE(INDEX(職員マスタ!$B$6:$B$405,$AP2702)," ","")," ","")),"氏名がマスタと相違／","")&amp;IF(AND($Q2702&lt;&gt;"",INDEX(職員マスタ!$E$6:$E$405,$AP2702)&lt;&gt;"",$Q2702&lt;&gt;INDEX(職員マスタ!$E$6:$E$405,$AP2702)),"子の生年月日がマスタと相違／","")&amp;IF(AND($L2702&lt;&gt;"",INDEX(職員マスタ!$G$6:$G$405,$AP2702)&lt;&gt;"",$L2702&lt;&gt;INDEX(職員マスタ!$G$6:$G$405,$AP2702)),"時短開始日がマスタと相違／","")&amp;IF(AND($M2702&lt;&gt;"",INDEX(職員マスタ!$H$6:$H$405,$AP2702)&lt;&gt;"",$M2702&lt;&gt;INDEX(職員マスタ!$H$6:$H$405,$AP2702)),"時短終了日がマスタと相違／","")))&amp;IF(AND($B2702&lt;&gt;"",$E2702=""),"報酬額が未入力／","")&amp;IF(N($U2702)&gt;0,"申請書に入力エラーが残っています／","")&amp;IF(AND($B2702&lt;&gt;"",$AQ2702&lt;&gt;""),IF(COUNTIFS($B$6:$B$3005,$B2702,$C$6:$C$3005,$C2702,$D$6:$D$3005,$D2702)&gt;1,"同じ月の請求が重複しています／",""),"")&amp;IF(AND(N($E2702)&gt;0,$AB2702&lt;&gt;"",$AB2702&lt;&gt;"×",$AE2702=0,$AD2702=""),"計算額が下限以下のため不支給／",""))</f>
        <v/>
      </c>
      <c r="AN2702" s="12" t="n"/>
      <c r="AO2702" s="14">
        <f>IF($AF2702="保留中",COUNTIF($AF$6:$AF2702,"保留中"),"")</f>
        <v/>
      </c>
      <c r="AP2702" s="14">
        <f>IF($AQ2702="","",IF(SUMPRODUCT(MAX((職員マスタ!$A$6:$A$405=$B2702)*(((職員マスタ!$G$6:$G$405="")+(職員マスタ!$G$6:$G$405&lt;=EOMONTH($AQ2702,0)))&gt;0)*(((職員マスタ!$H$6:$H$405="")+(職員マスタ!$H$6:$H$405&gt;=$AQ2702))&gt;0)*(ROW(職員マスタ!$A$6:$A$405)-5)))&gt;0,SUMPRODUCT(MAX((職員マスタ!$A$6:$A$405=$B2702)*(((職員マスタ!$G$6:$G$405="")+(職員マスタ!$G$6:$G$405&lt;=EOMONTH($AQ2702,0)))&gt;0)*(((職員マスタ!$H$6:$H$405="")+(職員マスタ!$H$6:$H$405&gt;=$AQ2702))&gt;0)*(ROW(職員マスタ!$A$6:$A$405)-5))),IFERROR(MATCH($B2702,職員マスタ!$A$6:$A$405,0),"")))</f>
        <v/>
      </c>
      <c r="AQ2702" s="16">
        <f>IF(OR($B2702="",$C2702="",$D2702=""),"",DATE($C2702+2018,$D2702,1))</f>
        <v/>
      </c>
    </row>
    <row r="2703">
      <c r="A2703" s="11" t="n"/>
      <c r="B2703" s="12" t="n"/>
      <c r="C2703" s="12" t="n"/>
      <c r="D2703" s="12" t="n"/>
      <c r="E2703" s="13" t="n"/>
      <c r="F2703" s="12" t="n"/>
      <c r="G2703" s="13" t="n"/>
      <c r="H2703" s="12" t="n"/>
      <c r="I2703" s="12" t="n"/>
      <c r="J2703" s="12" t="n"/>
      <c r="K2703" s="12" t="n"/>
      <c r="L2703" s="11" t="n"/>
      <c r="M2703" s="11" t="n"/>
      <c r="N2703" s="11" t="n"/>
      <c r="O2703" s="11" t="n"/>
      <c r="P2703" s="12" t="n"/>
      <c r="Q2703" s="11" t="n"/>
      <c r="R2703" s="12" t="n"/>
      <c r="S2703" s="11" t="n"/>
      <c r="T2703" s="12" t="n"/>
      <c r="U2703" s="12" t="n"/>
      <c r="V2703" s="12" t="n"/>
      <c r="W2703" s="13" t="n"/>
      <c r="X2703" s="14">
        <f>IF($AP2703="",IF($B2703="","",$H2703),IF(INDEX(職員マスタ!$B$6:$B$405,$AP2703)="",$H2703,INDEX(職員マスタ!$B$6:$B$405,$AP2703)))</f>
        <v/>
      </c>
      <c r="Y2703" s="14">
        <f>IF($AP2703="",IF($B2703="","",$R2703),IF(INDEX(職員マスタ!$C$6:$C$405,$AP2703)="",$R2703,INDEX(職員マスタ!$C$6:$C$405,$AP2703)))</f>
        <v/>
      </c>
      <c r="Z2703" s="14">
        <f>IF($AQ2703="","","R"&amp;$C2703&amp;"."&amp;$D2703)</f>
        <v/>
      </c>
      <c r="AA2703" s="15">
        <f>IF(IF($AP2703="",FALSE,INDEX(職員マスタ!$K$6:$K$405,$AP2703)&lt;&gt;""),INDEX(職員マスタ!$K$6:$K$405,$AP2703),IF(N($W2703)&gt;0,$W2703,""))</f>
        <v/>
      </c>
      <c r="AB2703" s="14">
        <f>IF(OR($E2703="",$AA2703=""),"",IF($E2703&gt;=$AA2703,"×",IF($E2703&gt;=$AA2703*設定!$C$5,"△","○")))</f>
        <v/>
      </c>
      <c r="AC2703" s="15">
        <f>IF($AB2703="","",IF($AB2703="×",0,IF($AB2703="○",ROUNDDOWN($E2703*設定!$C$4,0),ROUNDDOWN($E2703*ROUND((9*$AA2703-9*$E2703)/(10*$E2703),4),0))))</f>
        <v/>
      </c>
      <c r="AD2703" s="13" t="n"/>
      <c r="AE2703" s="15">
        <f>IF($B2703="","",IF($AD2703&lt;&gt;"",$AD2703,IF($AC2703="","",IF($AC2703&lt;=設定!$C$3,0,$AC2703))))</f>
        <v/>
      </c>
      <c r="AF2703" s="14">
        <f>IF($B2703="","",IF(AND($AG2703&lt;&gt;"",$AI2703="",$AL2703=""),"保留中",IF($AL2703&lt;&gt;"",IF(N($AE2703)&gt;0,"支給済","不支給"),IF($AE2703="","要確認",IF($AE2703=0,"不支給","未処理")))))</f>
        <v/>
      </c>
      <c r="AG2703" s="12" t="n"/>
      <c r="AH2703" s="11" t="n"/>
      <c r="AI2703" s="11" t="n"/>
      <c r="AJ2703" s="11" t="n"/>
      <c r="AK2703" s="14">
        <f>IF(AND($AF2703="保留中",$AH2703&lt;&gt;""),TODAY()-$AH2703,"")</f>
        <v/>
      </c>
      <c r="AL2703" s="12" t="n"/>
      <c r="AM2703" s="14">
        <f>IF($B2703="","",IF($AQ2703="","対象年月が未入力／","")&amp;IF($B2703="","",IF($AP2703="","職員マスタに未登録の職員番号／",IF($AA2703="","標準報酬月額が未登録／","")&amp;IF(AND($AQ2703&lt;&gt;"",OR(AND(INDEX(職員マスタ!$G$6:$G$405,$AP2703)&lt;&gt;"",INDEX(職員マスタ!$G$6:$G$405,$AP2703)&gt;EOMONTH($AQ2703,0)),AND(INDEX(職員マスタ!$H$6:$H$405,$AP2703)&lt;&gt;"",INDEX(職員マスタ!$H$6:$H$405,$AP2703)&lt;$AQ2703))),"対象月が時短期間外／","")&amp;IF(AND(INDEX(職員マスタ!$K$6:$K$405,$AP2703)&lt;&gt;"",N($W2703)&gt;0,INDEX(職員マスタ!$K$6:$K$405,$AP2703)&lt;&gt;$W2703),"標準報酬月額が申請書と相違（台帳"&amp;TEXT(INDEX(職員マスタ!$K$6:$K$405,$AP2703),"#,##0")&amp;"円／申請書"&amp;TEXT($W2703,"#,##0")&amp;"円）／","")&amp;IF(AND(INDEX(職員マスタ!$F$6:$F$405,$AP2703)&lt;&gt;"",$AQ2703&lt;&gt;"",INDEX(職員マスタ!$F$6:$F$405,$AP2703)&lt;$AQ2703),"対象月に子が2歳到達済／","")&amp;IF(AND($H2703&lt;&gt;"",INDEX(職員マスタ!$B$6:$B$405,$AP2703)&lt;&gt;"",SUBSTITUTE(SUBSTITUTE($H2703," ","")," ","")&lt;&gt;SUBSTITUTE(SUBSTITUTE(INDEX(職員マスタ!$B$6:$B$405,$AP2703)," ","")," ","")),"氏名がマスタと相違／","")&amp;IF(AND($Q2703&lt;&gt;"",INDEX(職員マスタ!$E$6:$E$405,$AP2703)&lt;&gt;"",$Q2703&lt;&gt;INDEX(職員マスタ!$E$6:$E$405,$AP2703)),"子の生年月日がマスタと相違／","")&amp;IF(AND($L2703&lt;&gt;"",INDEX(職員マスタ!$G$6:$G$405,$AP2703)&lt;&gt;"",$L2703&lt;&gt;INDEX(職員マスタ!$G$6:$G$405,$AP2703)),"時短開始日がマスタと相違／","")&amp;IF(AND($M2703&lt;&gt;"",INDEX(職員マスタ!$H$6:$H$405,$AP2703)&lt;&gt;"",$M2703&lt;&gt;INDEX(職員マスタ!$H$6:$H$405,$AP2703)),"時短終了日がマスタと相違／","")))&amp;IF(AND($B2703&lt;&gt;"",$E2703=""),"報酬額が未入力／","")&amp;IF(N($U2703)&gt;0,"申請書に入力エラーが残っています／","")&amp;IF(AND($B2703&lt;&gt;"",$AQ2703&lt;&gt;""),IF(COUNTIFS($B$6:$B$3005,$B2703,$C$6:$C$3005,$C2703,$D$6:$D$3005,$D2703)&gt;1,"同じ月の請求が重複しています／",""),"")&amp;IF(AND(N($E2703)&gt;0,$AB2703&lt;&gt;"",$AB2703&lt;&gt;"×",$AE2703=0,$AD2703=""),"計算額が下限以下のため不支給／",""))</f>
        <v/>
      </c>
      <c r="AN2703" s="12" t="n"/>
      <c r="AO2703" s="14">
        <f>IF($AF2703="保留中",COUNTIF($AF$6:$AF2703,"保留中"),"")</f>
        <v/>
      </c>
      <c r="AP2703" s="14">
        <f>IF($AQ2703="","",IF(SUMPRODUCT(MAX((職員マスタ!$A$6:$A$405=$B2703)*(((職員マスタ!$G$6:$G$405="")+(職員マスタ!$G$6:$G$405&lt;=EOMONTH($AQ2703,0)))&gt;0)*(((職員マスタ!$H$6:$H$405="")+(職員マスタ!$H$6:$H$405&gt;=$AQ2703))&gt;0)*(ROW(職員マスタ!$A$6:$A$405)-5)))&gt;0,SUMPRODUCT(MAX((職員マスタ!$A$6:$A$405=$B2703)*(((職員マスタ!$G$6:$G$405="")+(職員マスタ!$G$6:$G$405&lt;=EOMONTH($AQ2703,0)))&gt;0)*(((職員マスタ!$H$6:$H$405="")+(職員マスタ!$H$6:$H$405&gt;=$AQ2703))&gt;0)*(ROW(職員マスタ!$A$6:$A$405)-5))),IFERROR(MATCH($B2703,職員マスタ!$A$6:$A$405,0),"")))</f>
        <v/>
      </c>
      <c r="AQ2703" s="16">
        <f>IF(OR($B2703="",$C2703="",$D2703=""),"",DATE($C2703+2018,$D2703,1))</f>
        <v/>
      </c>
    </row>
    <row r="2704">
      <c r="A2704" s="11" t="n"/>
      <c r="B2704" s="12" t="n"/>
      <c r="C2704" s="12" t="n"/>
      <c r="D2704" s="12" t="n"/>
      <c r="E2704" s="13" t="n"/>
      <c r="F2704" s="12" t="n"/>
      <c r="G2704" s="13" t="n"/>
      <c r="H2704" s="12" t="n"/>
      <c r="I2704" s="12" t="n"/>
      <c r="J2704" s="12" t="n"/>
      <c r="K2704" s="12" t="n"/>
      <c r="L2704" s="11" t="n"/>
      <c r="M2704" s="11" t="n"/>
      <c r="N2704" s="11" t="n"/>
      <c r="O2704" s="11" t="n"/>
      <c r="P2704" s="12" t="n"/>
      <c r="Q2704" s="11" t="n"/>
      <c r="R2704" s="12" t="n"/>
      <c r="S2704" s="11" t="n"/>
      <c r="T2704" s="12" t="n"/>
      <c r="U2704" s="12" t="n"/>
      <c r="V2704" s="12" t="n"/>
      <c r="W2704" s="13" t="n"/>
      <c r="X2704" s="14">
        <f>IF($AP2704="",IF($B2704="","",$H2704),IF(INDEX(職員マスタ!$B$6:$B$405,$AP2704)="",$H2704,INDEX(職員マスタ!$B$6:$B$405,$AP2704)))</f>
        <v/>
      </c>
      <c r="Y2704" s="14">
        <f>IF($AP2704="",IF($B2704="","",$R2704),IF(INDEX(職員マスタ!$C$6:$C$405,$AP2704)="",$R2704,INDEX(職員マスタ!$C$6:$C$405,$AP2704)))</f>
        <v/>
      </c>
      <c r="Z2704" s="14">
        <f>IF($AQ2704="","","R"&amp;$C2704&amp;"."&amp;$D2704)</f>
        <v/>
      </c>
      <c r="AA2704" s="15">
        <f>IF(IF($AP2704="",FALSE,INDEX(職員マスタ!$K$6:$K$405,$AP2704)&lt;&gt;""),INDEX(職員マスタ!$K$6:$K$405,$AP2704),IF(N($W2704)&gt;0,$W2704,""))</f>
        <v/>
      </c>
      <c r="AB2704" s="14">
        <f>IF(OR($E2704="",$AA2704=""),"",IF($E2704&gt;=$AA2704,"×",IF($E2704&gt;=$AA2704*設定!$C$5,"△","○")))</f>
        <v/>
      </c>
      <c r="AC2704" s="15">
        <f>IF($AB2704="","",IF($AB2704="×",0,IF($AB2704="○",ROUNDDOWN($E2704*設定!$C$4,0),ROUNDDOWN($E2704*ROUND((9*$AA2704-9*$E2704)/(10*$E2704),4),0))))</f>
        <v/>
      </c>
      <c r="AD2704" s="13" t="n"/>
      <c r="AE2704" s="15">
        <f>IF($B2704="","",IF($AD2704&lt;&gt;"",$AD2704,IF($AC2704="","",IF($AC2704&lt;=設定!$C$3,0,$AC2704))))</f>
        <v/>
      </c>
      <c r="AF2704" s="14">
        <f>IF($B2704="","",IF(AND($AG2704&lt;&gt;"",$AI2704="",$AL2704=""),"保留中",IF($AL2704&lt;&gt;"",IF(N($AE2704)&gt;0,"支給済","不支給"),IF($AE2704="","要確認",IF($AE2704=0,"不支給","未処理")))))</f>
        <v/>
      </c>
      <c r="AG2704" s="12" t="n"/>
      <c r="AH2704" s="11" t="n"/>
      <c r="AI2704" s="11" t="n"/>
      <c r="AJ2704" s="11" t="n"/>
      <c r="AK2704" s="14">
        <f>IF(AND($AF2704="保留中",$AH2704&lt;&gt;""),TODAY()-$AH2704,"")</f>
        <v/>
      </c>
      <c r="AL2704" s="12" t="n"/>
      <c r="AM2704" s="14">
        <f>IF($B2704="","",IF($AQ2704="","対象年月が未入力／","")&amp;IF($B2704="","",IF($AP2704="","職員マスタに未登録の職員番号／",IF($AA2704="","標準報酬月額が未登録／","")&amp;IF(AND($AQ2704&lt;&gt;"",OR(AND(INDEX(職員マスタ!$G$6:$G$405,$AP2704)&lt;&gt;"",INDEX(職員マスタ!$G$6:$G$405,$AP2704)&gt;EOMONTH($AQ2704,0)),AND(INDEX(職員マスタ!$H$6:$H$405,$AP2704)&lt;&gt;"",INDEX(職員マスタ!$H$6:$H$405,$AP2704)&lt;$AQ2704))),"対象月が時短期間外／","")&amp;IF(AND(INDEX(職員マスタ!$K$6:$K$405,$AP2704)&lt;&gt;"",N($W2704)&gt;0,INDEX(職員マスタ!$K$6:$K$405,$AP2704)&lt;&gt;$W2704),"標準報酬月額が申請書と相違（台帳"&amp;TEXT(INDEX(職員マスタ!$K$6:$K$405,$AP2704),"#,##0")&amp;"円／申請書"&amp;TEXT($W2704,"#,##0")&amp;"円）／","")&amp;IF(AND(INDEX(職員マスタ!$F$6:$F$405,$AP2704)&lt;&gt;"",$AQ2704&lt;&gt;"",INDEX(職員マスタ!$F$6:$F$405,$AP2704)&lt;$AQ2704),"対象月に子が2歳到達済／","")&amp;IF(AND($H2704&lt;&gt;"",INDEX(職員マスタ!$B$6:$B$405,$AP2704)&lt;&gt;"",SUBSTITUTE(SUBSTITUTE($H2704," ","")," ","")&lt;&gt;SUBSTITUTE(SUBSTITUTE(INDEX(職員マスタ!$B$6:$B$405,$AP2704)," ","")," ","")),"氏名がマスタと相違／","")&amp;IF(AND($Q2704&lt;&gt;"",INDEX(職員マスタ!$E$6:$E$405,$AP2704)&lt;&gt;"",$Q2704&lt;&gt;INDEX(職員マスタ!$E$6:$E$405,$AP2704)),"子の生年月日がマスタと相違／","")&amp;IF(AND($L2704&lt;&gt;"",INDEX(職員マスタ!$G$6:$G$405,$AP2704)&lt;&gt;"",$L2704&lt;&gt;INDEX(職員マスタ!$G$6:$G$405,$AP2704)),"時短開始日がマスタと相違／","")&amp;IF(AND($M2704&lt;&gt;"",INDEX(職員マスタ!$H$6:$H$405,$AP2704)&lt;&gt;"",$M2704&lt;&gt;INDEX(職員マスタ!$H$6:$H$405,$AP2704)),"時短終了日がマスタと相違／","")))&amp;IF(AND($B2704&lt;&gt;"",$E2704=""),"報酬額が未入力／","")&amp;IF(N($U2704)&gt;0,"申請書に入力エラーが残っています／","")&amp;IF(AND($B2704&lt;&gt;"",$AQ2704&lt;&gt;""),IF(COUNTIFS($B$6:$B$3005,$B2704,$C$6:$C$3005,$C2704,$D$6:$D$3005,$D2704)&gt;1,"同じ月の請求が重複しています／",""),"")&amp;IF(AND(N($E2704)&gt;0,$AB2704&lt;&gt;"",$AB2704&lt;&gt;"×",$AE2704=0,$AD2704=""),"計算額が下限以下のため不支給／",""))</f>
        <v/>
      </c>
      <c r="AN2704" s="12" t="n"/>
      <c r="AO2704" s="14">
        <f>IF($AF2704="保留中",COUNTIF($AF$6:$AF2704,"保留中"),"")</f>
        <v/>
      </c>
      <c r="AP2704" s="14">
        <f>IF($AQ2704="","",IF(SUMPRODUCT(MAX((職員マスタ!$A$6:$A$405=$B2704)*(((職員マスタ!$G$6:$G$405="")+(職員マスタ!$G$6:$G$405&lt;=EOMONTH($AQ2704,0)))&gt;0)*(((職員マスタ!$H$6:$H$405="")+(職員マスタ!$H$6:$H$405&gt;=$AQ2704))&gt;0)*(ROW(職員マスタ!$A$6:$A$405)-5)))&gt;0,SUMPRODUCT(MAX((職員マスタ!$A$6:$A$405=$B2704)*(((職員マスタ!$G$6:$G$405="")+(職員マスタ!$G$6:$G$405&lt;=EOMONTH($AQ2704,0)))&gt;0)*(((職員マスタ!$H$6:$H$405="")+(職員マスタ!$H$6:$H$405&gt;=$AQ2704))&gt;0)*(ROW(職員マスタ!$A$6:$A$405)-5))),IFERROR(MATCH($B2704,職員マスタ!$A$6:$A$405,0),"")))</f>
        <v/>
      </c>
      <c r="AQ2704" s="16">
        <f>IF(OR($B2704="",$C2704="",$D2704=""),"",DATE($C2704+2018,$D2704,1))</f>
        <v/>
      </c>
    </row>
    <row r="2705">
      <c r="A2705" s="11" t="n"/>
      <c r="B2705" s="12" t="n"/>
      <c r="C2705" s="12" t="n"/>
      <c r="D2705" s="12" t="n"/>
      <c r="E2705" s="13" t="n"/>
      <c r="F2705" s="12" t="n"/>
      <c r="G2705" s="13" t="n"/>
      <c r="H2705" s="12" t="n"/>
      <c r="I2705" s="12" t="n"/>
      <c r="J2705" s="12" t="n"/>
      <c r="K2705" s="12" t="n"/>
      <c r="L2705" s="11" t="n"/>
      <c r="M2705" s="11" t="n"/>
      <c r="N2705" s="11" t="n"/>
      <c r="O2705" s="11" t="n"/>
      <c r="P2705" s="12" t="n"/>
      <c r="Q2705" s="11" t="n"/>
      <c r="R2705" s="12" t="n"/>
      <c r="S2705" s="11" t="n"/>
      <c r="T2705" s="12" t="n"/>
      <c r="U2705" s="12" t="n"/>
      <c r="V2705" s="12" t="n"/>
      <c r="W2705" s="13" t="n"/>
      <c r="X2705" s="14">
        <f>IF($AP2705="",IF($B2705="","",$H2705),IF(INDEX(職員マスタ!$B$6:$B$405,$AP2705)="",$H2705,INDEX(職員マスタ!$B$6:$B$405,$AP2705)))</f>
        <v/>
      </c>
      <c r="Y2705" s="14">
        <f>IF($AP2705="",IF($B2705="","",$R2705),IF(INDEX(職員マスタ!$C$6:$C$405,$AP2705)="",$R2705,INDEX(職員マスタ!$C$6:$C$405,$AP2705)))</f>
        <v/>
      </c>
      <c r="Z2705" s="14">
        <f>IF($AQ2705="","","R"&amp;$C2705&amp;"."&amp;$D2705)</f>
        <v/>
      </c>
      <c r="AA2705" s="15">
        <f>IF(IF($AP2705="",FALSE,INDEX(職員マスタ!$K$6:$K$405,$AP2705)&lt;&gt;""),INDEX(職員マスタ!$K$6:$K$405,$AP2705),IF(N($W2705)&gt;0,$W2705,""))</f>
        <v/>
      </c>
      <c r="AB2705" s="14">
        <f>IF(OR($E2705="",$AA2705=""),"",IF($E2705&gt;=$AA2705,"×",IF($E2705&gt;=$AA2705*設定!$C$5,"△","○")))</f>
        <v/>
      </c>
      <c r="AC2705" s="15">
        <f>IF($AB2705="","",IF($AB2705="×",0,IF($AB2705="○",ROUNDDOWN($E2705*設定!$C$4,0),ROUNDDOWN($E2705*ROUND((9*$AA2705-9*$E2705)/(10*$E2705),4),0))))</f>
        <v/>
      </c>
      <c r="AD2705" s="13" t="n"/>
      <c r="AE2705" s="15">
        <f>IF($B2705="","",IF($AD2705&lt;&gt;"",$AD2705,IF($AC2705="","",IF($AC2705&lt;=設定!$C$3,0,$AC2705))))</f>
        <v/>
      </c>
      <c r="AF2705" s="14">
        <f>IF($B2705="","",IF(AND($AG2705&lt;&gt;"",$AI2705="",$AL2705=""),"保留中",IF($AL2705&lt;&gt;"",IF(N($AE2705)&gt;0,"支給済","不支給"),IF($AE2705="","要確認",IF($AE2705=0,"不支給","未処理")))))</f>
        <v/>
      </c>
      <c r="AG2705" s="12" t="n"/>
      <c r="AH2705" s="11" t="n"/>
      <c r="AI2705" s="11" t="n"/>
      <c r="AJ2705" s="11" t="n"/>
      <c r="AK2705" s="14">
        <f>IF(AND($AF2705="保留中",$AH2705&lt;&gt;""),TODAY()-$AH2705,"")</f>
        <v/>
      </c>
      <c r="AL2705" s="12" t="n"/>
      <c r="AM2705" s="14">
        <f>IF($B2705="","",IF($AQ2705="","対象年月が未入力／","")&amp;IF($B2705="","",IF($AP2705="","職員マスタに未登録の職員番号／",IF($AA2705="","標準報酬月額が未登録／","")&amp;IF(AND($AQ2705&lt;&gt;"",OR(AND(INDEX(職員マスタ!$G$6:$G$405,$AP2705)&lt;&gt;"",INDEX(職員マスタ!$G$6:$G$405,$AP2705)&gt;EOMONTH($AQ2705,0)),AND(INDEX(職員マスタ!$H$6:$H$405,$AP2705)&lt;&gt;"",INDEX(職員マスタ!$H$6:$H$405,$AP2705)&lt;$AQ2705))),"対象月が時短期間外／","")&amp;IF(AND(INDEX(職員マスタ!$K$6:$K$405,$AP2705)&lt;&gt;"",N($W2705)&gt;0,INDEX(職員マスタ!$K$6:$K$405,$AP2705)&lt;&gt;$W2705),"標準報酬月額が申請書と相違（台帳"&amp;TEXT(INDEX(職員マスタ!$K$6:$K$405,$AP2705),"#,##0")&amp;"円／申請書"&amp;TEXT($W2705,"#,##0")&amp;"円）／","")&amp;IF(AND(INDEX(職員マスタ!$F$6:$F$405,$AP2705)&lt;&gt;"",$AQ2705&lt;&gt;"",INDEX(職員マスタ!$F$6:$F$405,$AP2705)&lt;$AQ2705),"対象月に子が2歳到達済／","")&amp;IF(AND($H2705&lt;&gt;"",INDEX(職員マスタ!$B$6:$B$405,$AP2705)&lt;&gt;"",SUBSTITUTE(SUBSTITUTE($H2705," ","")," ","")&lt;&gt;SUBSTITUTE(SUBSTITUTE(INDEX(職員マスタ!$B$6:$B$405,$AP2705)," ","")," ","")),"氏名がマスタと相違／","")&amp;IF(AND($Q2705&lt;&gt;"",INDEX(職員マスタ!$E$6:$E$405,$AP2705)&lt;&gt;"",$Q2705&lt;&gt;INDEX(職員マスタ!$E$6:$E$405,$AP2705)),"子の生年月日がマスタと相違／","")&amp;IF(AND($L2705&lt;&gt;"",INDEX(職員マスタ!$G$6:$G$405,$AP2705)&lt;&gt;"",$L2705&lt;&gt;INDEX(職員マスタ!$G$6:$G$405,$AP2705)),"時短開始日がマスタと相違／","")&amp;IF(AND($M2705&lt;&gt;"",INDEX(職員マスタ!$H$6:$H$405,$AP2705)&lt;&gt;"",$M2705&lt;&gt;INDEX(職員マスタ!$H$6:$H$405,$AP2705)),"時短終了日がマスタと相違／","")))&amp;IF(AND($B2705&lt;&gt;"",$E2705=""),"報酬額が未入力／","")&amp;IF(N($U2705)&gt;0,"申請書に入力エラーが残っています／","")&amp;IF(AND($B2705&lt;&gt;"",$AQ2705&lt;&gt;""),IF(COUNTIFS($B$6:$B$3005,$B2705,$C$6:$C$3005,$C2705,$D$6:$D$3005,$D2705)&gt;1,"同じ月の請求が重複しています／",""),"")&amp;IF(AND(N($E2705)&gt;0,$AB2705&lt;&gt;"",$AB2705&lt;&gt;"×",$AE2705=0,$AD2705=""),"計算額が下限以下のため不支給／",""))</f>
        <v/>
      </c>
      <c r="AN2705" s="12" t="n"/>
      <c r="AO2705" s="14">
        <f>IF($AF2705="保留中",COUNTIF($AF$6:$AF2705,"保留中"),"")</f>
        <v/>
      </c>
      <c r="AP2705" s="14">
        <f>IF($AQ2705="","",IF(SUMPRODUCT(MAX((職員マスタ!$A$6:$A$405=$B2705)*(((職員マスタ!$G$6:$G$405="")+(職員マスタ!$G$6:$G$405&lt;=EOMONTH($AQ2705,0)))&gt;0)*(((職員マスタ!$H$6:$H$405="")+(職員マスタ!$H$6:$H$405&gt;=$AQ2705))&gt;0)*(ROW(職員マスタ!$A$6:$A$405)-5)))&gt;0,SUMPRODUCT(MAX((職員マスタ!$A$6:$A$405=$B2705)*(((職員マスタ!$G$6:$G$405="")+(職員マスタ!$G$6:$G$405&lt;=EOMONTH($AQ2705,0)))&gt;0)*(((職員マスタ!$H$6:$H$405="")+(職員マスタ!$H$6:$H$405&gt;=$AQ2705))&gt;0)*(ROW(職員マスタ!$A$6:$A$405)-5))),IFERROR(MATCH($B2705,職員マスタ!$A$6:$A$405,0),"")))</f>
        <v/>
      </c>
      <c r="AQ2705" s="16">
        <f>IF(OR($B2705="",$C2705="",$D2705=""),"",DATE($C2705+2018,$D2705,1))</f>
        <v/>
      </c>
    </row>
    <row r="2706">
      <c r="A2706" s="11" t="n"/>
      <c r="B2706" s="12" t="n"/>
      <c r="C2706" s="12" t="n"/>
      <c r="D2706" s="12" t="n"/>
      <c r="E2706" s="13" t="n"/>
      <c r="F2706" s="12" t="n"/>
      <c r="G2706" s="13" t="n"/>
      <c r="H2706" s="12" t="n"/>
      <c r="I2706" s="12" t="n"/>
      <c r="J2706" s="12" t="n"/>
      <c r="K2706" s="12" t="n"/>
      <c r="L2706" s="11" t="n"/>
      <c r="M2706" s="11" t="n"/>
      <c r="N2706" s="11" t="n"/>
      <c r="O2706" s="11" t="n"/>
      <c r="P2706" s="12" t="n"/>
      <c r="Q2706" s="11" t="n"/>
      <c r="R2706" s="12" t="n"/>
      <c r="S2706" s="11" t="n"/>
      <c r="T2706" s="12" t="n"/>
      <c r="U2706" s="12" t="n"/>
      <c r="V2706" s="12" t="n"/>
      <c r="W2706" s="13" t="n"/>
      <c r="X2706" s="14">
        <f>IF($AP2706="",IF($B2706="","",$H2706),IF(INDEX(職員マスタ!$B$6:$B$405,$AP2706)="",$H2706,INDEX(職員マスタ!$B$6:$B$405,$AP2706)))</f>
        <v/>
      </c>
      <c r="Y2706" s="14">
        <f>IF($AP2706="",IF($B2706="","",$R2706),IF(INDEX(職員マスタ!$C$6:$C$405,$AP2706)="",$R2706,INDEX(職員マスタ!$C$6:$C$405,$AP2706)))</f>
        <v/>
      </c>
      <c r="Z2706" s="14">
        <f>IF($AQ2706="","","R"&amp;$C2706&amp;"."&amp;$D2706)</f>
        <v/>
      </c>
      <c r="AA2706" s="15">
        <f>IF(IF($AP2706="",FALSE,INDEX(職員マスタ!$K$6:$K$405,$AP2706)&lt;&gt;""),INDEX(職員マスタ!$K$6:$K$405,$AP2706),IF(N($W2706)&gt;0,$W2706,""))</f>
        <v/>
      </c>
      <c r="AB2706" s="14">
        <f>IF(OR($E2706="",$AA2706=""),"",IF($E2706&gt;=$AA2706,"×",IF($E2706&gt;=$AA2706*設定!$C$5,"△","○")))</f>
        <v/>
      </c>
      <c r="AC2706" s="15">
        <f>IF($AB2706="","",IF($AB2706="×",0,IF($AB2706="○",ROUNDDOWN($E2706*設定!$C$4,0),ROUNDDOWN($E2706*ROUND((9*$AA2706-9*$E2706)/(10*$E2706),4),0))))</f>
        <v/>
      </c>
      <c r="AD2706" s="13" t="n"/>
      <c r="AE2706" s="15">
        <f>IF($B2706="","",IF($AD2706&lt;&gt;"",$AD2706,IF($AC2706="","",IF($AC2706&lt;=設定!$C$3,0,$AC2706))))</f>
        <v/>
      </c>
      <c r="AF2706" s="14">
        <f>IF($B2706="","",IF(AND($AG2706&lt;&gt;"",$AI2706="",$AL2706=""),"保留中",IF($AL2706&lt;&gt;"",IF(N($AE2706)&gt;0,"支給済","不支給"),IF($AE2706="","要確認",IF($AE2706=0,"不支給","未処理")))))</f>
        <v/>
      </c>
      <c r="AG2706" s="12" t="n"/>
      <c r="AH2706" s="11" t="n"/>
      <c r="AI2706" s="11" t="n"/>
      <c r="AJ2706" s="11" t="n"/>
      <c r="AK2706" s="14">
        <f>IF(AND($AF2706="保留中",$AH2706&lt;&gt;""),TODAY()-$AH2706,"")</f>
        <v/>
      </c>
      <c r="AL2706" s="12" t="n"/>
      <c r="AM2706" s="14">
        <f>IF($B2706="","",IF($AQ2706="","対象年月が未入力／","")&amp;IF($B2706="","",IF($AP2706="","職員マスタに未登録の職員番号／",IF($AA2706="","標準報酬月額が未登録／","")&amp;IF(AND($AQ2706&lt;&gt;"",OR(AND(INDEX(職員マスタ!$G$6:$G$405,$AP2706)&lt;&gt;"",INDEX(職員マスタ!$G$6:$G$405,$AP2706)&gt;EOMONTH($AQ2706,0)),AND(INDEX(職員マスタ!$H$6:$H$405,$AP2706)&lt;&gt;"",INDEX(職員マスタ!$H$6:$H$405,$AP2706)&lt;$AQ2706))),"対象月が時短期間外／","")&amp;IF(AND(INDEX(職員マスタ!$K$6:$K$405,$AP2706)&lt;&gt;"",N($W2706)&gt;0,INDEX(職員マスタ!$K$6:$K$405,$AP2706)&lt;&gt;$W2706),"標準報酬月額が申請書と相違（台帳"&amp;TEXT(INDEX(職員マスタ!$K$6:$K$405,$AP2706),"#,##0")&amp;"円／申請書"&amp;TEXT($W2706,"#,##0")&amp;"円）／","")&amp;IF(AND(INDEX(職員マスタ!$F$6:$F$405,$AP2706)&lt;&gt;"",$AQ2706&lt;&gt;"",INDEX(職員マスタ!$F$6:$F$405,$AP2706)&lt;$AQ2706),"対象月に子が2歳到達済／","")&amp;IF(AND($H2706&lt;&gt;"",INDEX(職員マスタ!$B$6:$B$405,$AP2706)&lt;&gt;"",SUBSTITUTE(SUBSTITUTE($H2706," ","")," ","")&lt;&gt;SUBSTITUTE(SUBSTITUTE(INDEX(職員マスタ!$B$6:$B$405,$AP2706)," ","")," ","")),"氏名がマスタと相違／","")&amp;IF(AND($Q2706&lt;&gt;"",INDEX(職員マスタ!$E$6:$E$405,$AP2706)&lt;&gt;"",$Q2706&lt;&gt;INDEX(職員マスタ!$E$6:$E$405,$AP2706)),"子の生年月日がマスタと相違／","")&amp;IF(AND($L2706&lt;&gt;"",INDEX(職員マスタ!$G$6:$G$405,$AP2706)&lt;&gt;"",$L2706&lt;&gt;INDEX(職員マスタ!$G$6:$G$405,$AP2706)),"時短開始日がマスタと相違／","")&amp;IF(AND($M2706&lt;&gt;"",INDEX(職員マスタ!$H$6:$H$405,$AP2706)&lt;&gt;"",$M2706&lt;&gt;INDEX(職員マスタ!$H$6:$H$405,$AP2706)),"時短終了日がマスタと相違／","")))&amp;IF(AND($B2706&lt;&gt;"",$E2706=""),"報酬額が未入力／","")&amp;IF(N($U2706)&gt;0,"申請書に入力エラーが残っています／","")&amp;IF(AND($B2706&lt;&gt;"",$AQ2706&lt;&gt;""),IF(COUNTIFS($B$6:$B$3005,$B2706,$C$6:$C$3005,$C2706,$D$6:$D$3005,$D2706)&gt;1,"同じ月の請求が重複しています／",""),"")&amp;IF(AND(N($E2706)&gt;0,$AB2706&lt;&gt;"",$AB2706&lt;&gt;"×",$AE2706=0,$AD2706=""),"計算額が下限以下のため不支給／",""))</f>
        <v/>
      </c>
      <c r="AN2706" s="12" t="n"/>
      <c r="AO2706" s="14">
        <f>IF($AF2706="保留中",COUNTIF($AF$6:$AF2706,"保留中"),"")</f>
        <v/>
      </c>
      <c r="AP2706" s="14">
        <f>IF($AQ2706="","",IF(SUMPRODUCT(MAX((職員マスタ!$A$6:$A$405=$B2706)*(((職員マスタ!$G$6:$G$405="")+(職員マスタ!$G$6:$G$405&lt;=EOMONTH($AQ2706,0)))&gt;0)*(((職員マスタ!$H$6:$H$405="")+(職員マスタ!$H$6:$H$405&gt;=$AQ2706))&gt;0)*(ROW(職員マスタ!$A$6:$A$405)-5)))&gt;0,SUMPRODUCT(MAX((職員マスタ!$A$6:$A$405=$B2706)*(((職員マスタ!$G$6:$G$405="")+(職員マスタ!$G$6:$G$405&lt;=EOMONTH($AQ2706,0)))&gt;0)*(((職員マスタ!$H$6:$H$405="")+(職員マスタ!$H$6:$H$405&gt;=$AQ2706))&gt;0)*(ROW(職員マスタ!$A$6:$A$405)-5))),IFERROR(MATCH($B2706,職員マスタ!$A$6:$A$405,0),"")))</f>
        <v/>
      </c>
      <c r="AQ2706" s="16">
        <f>IF(OR($B2706="",$C2706="",$D2706=""),"",DATE($C2706+2018,$D2706,1))</f>
        <v/>
      </c>
    </row>
    <row r="2707">
      <c r="A2707" s="11" t="n"/>
      <c r="B2707" s="12" t="n"/>
      <c r="C2707" s="12" t="n"/>
      <c r="D2707" s="12" t="n"/>
      <c r="E2707" s="13" t="n"/>
      <c r="F2707" s="12" t="n"/>
      <c r="G2707" s="13" t="n"/>
      <c r="H2707" s="12" t="n"/>
      <c r="I2707" s="12" t="n"/>
      <c r="J2707" s="12" t="n"/>
      <c r="K2707" s="12" t="n"/>
      <c r="L2707" s="11" t="n"/>
      <c r="M2707" s="11" t="n"/>
      <c r="N2707" s="11" t="n"/>
      <c r="O2707" s="11" t="n"/>
      <c r="P2707" s="12" t="n"/>
      <c r="Q2707" s="11" t="n"/>
      <c r="R2707" s="12" t="n"/>
      <c r="S2707" s="11" t="n"/>
      <c r="T2707" s="12" t="n"/>
      <c r="U2707" s="12" t="n"/>
      <c r="V2707" s="12" t="n"/>
      <c r="W2707" s="13" t="n"/>
      <c r="X2707" s="14">
        <f>IF($AP2707="",IF($B2707="","",$H2707),IF(INDEX(職員マスタ!$B$6:$B$405,$AP2707)="",$H2707,INDEX(職員マスタ!$B$6:$B$405,$AP2707)))</f>
        <v/>
      </c>
      <c r="Y2707" s="14">
        <f>IF($AP2707="",IF($B2707="","",$R2707),IF(INDEX(職員マスタ!$C$6:$C$405,$AP2707)="",$R2707,INDEX(職員マスタ!$C$6:$C$405,$AP2707)))</f>
        <v/>
      </c>
      <c r="Z2707" s="14">
        <f>IF($AQ2707="","","R"&amp;$C2707&amp;"."&amp;$D2707)</f>
        <v/>
      </c>
      <c r="AA2707" s="15">
        <f>IF(IF($AP2707="",FALSE,INDEX(職員マスタ!$K$6:$K$405,$AP2707)&lt;&gt;""),INDEX(職員マスタ!$K$6:$K$405,$AP2707),IF(N($W2707)&gt;0,$W2707,""))</f>
        <v/>
      </c>
      <c r="AB2707" s="14">
        <f>IF(OR($E2707="",$AA2707=""),"",IF($E2707&gt;=$AA2707,"×",IF($E2707&gt;=$AA2707*設定!$C$5,"△","○")))</f>
        <v/>
      </c>
      <c r="AC2707" s="15">
        <f>IF($AB2707="","",IF($AB2707="×",0,IF($AB2707="○",ROUNDDOWN($E2707*設定!$C$4,0),ROUNDDOWN($E2707*ROUND((9*$AA2707-9*$E2707)/(10*$E2707),4),0))))</f>
        <v/>
      </c>
      <c r="AD2707" s="13" t="n"/>
      <c r="AE2707" s="15">
        <f>IF($B2707="","",IF($AD2707&lt;&gt;"",$AD2707,IF($AC2707="","",IF($AC2707&lt;=設定!$C$3,0,$AC2707))))</f>
        <v/>
      </c>
      <c r="AF2707" s="14">
        <f>IF($B2707="","",IF(AND($AG2707&lt;&gt;"",$AI2707="",$AL2707=""),"保留中",IF($AL2707&lt;&gt;"",IF(N($AE2707)&gt;0,"支給済","不支給"),IF($AE2707="","要確認",IF($AE2707=0,"不支給","未処理")))))</f>
        <v/>
      </c>
      <c r="AG2707" s="12" t="n"/>
      <c r="AH2707" s="11" t="n"/>
      <c r="AI2707" s="11" t="n"/>
      <c r="AJ2707" s="11" t="n"/>
      <c r="AK2707" s="14">
        <f>IF(AND($AF2707="保留中",$AH2707&lt;&gt;""),TODAY()-$AH2707,"")</f>
        <v/>
      </c>
      <c r="AL2707" s="12" t="n"/>
      <c r="AM2707" s="14">
        <f>IF($B2707="","",IF($AQ2707="","対象年月が未入力／","")&amp;IF($B2707="","",IF($AP2707="","職員マスタに未登録の職員番号／",IF($AA2707="","標準報酬月額が未登録／","")&amp;IF(AND($AQ2707&lt;&gt;"",OR(AND(INDEX(職員マスタ!$G$6:$G$405,$AP2707)&lt;&gt;"",INDEX(職員マスタ!$G$6:$G$405,$AP2707)&gt;EOMONTH($AQ2707,0)),AND(INDEX(職員マスタ!$H$6:$H$405,$AP2707)&lt;&gt;"",INDEX(職員マスタ!$H$6:$H$405,$AP2707)&lt;$AQ2707))),"対象月が時短期間外／","")&amp;IF(AND(INDEX(職員マスタ!$K$6:$K$405,$AP2707)&lt;&gt;"",N($W2707)&gt;0,INDEX(職員マスタ!$K$6:$K$405,$AP2707)&lt;&gt;$W2707),"標準報酬月額が申請書と相違（台帳"&amp;TEXT(INDEX(職員マスタ!$K$6:$K$405,$AP2707),"#,##0")&amp;"円／申請書"&amp;TEXT($W2707,"#,##0")&amp;"円）／","")&amp;IF(AND(INDEX(職員マスタ!$F$6:$F$405,$AP2707)&lt;&gt;"",$AQ2707&lt;&gt;"",INDEX(職員マスタ!$F$6:$F$405,$AP2707)&lt;$AQ2707),"対象月に子が2歳到達済／","")&amp;IF(AND($H2707&lt;&gt;"",INDEX(職員マスタ!$B$6:$B$405,$AP2707)&lt;&gt;"",SUBSTITUTE(SUBSTITUTE($H2707," ","")," ","")&lt;&gt;SUBSTITUTE(SUBSTITUTE(INDEX(職員マスタ!$B$6:$B$405,$AP2707)," ","")," ","")),"氏名がマスタと相違／","")&amp;IF(AND($Q2707&lt;&gt;"",INDEX(職員マスタ!$E$6:$E$405,$AP2707)&lt;&gt;"",$Q2707&lt;&gt;INDEX(職員マスタ!$E$6:$E$405,$AP2707)),"子の生年月日がマスタと相違／","")&amp;IF(AND($L2707&lt;&gt;"",INDEX(職員マスタ!$G$6:$G$405,$AP2707)&lt;&gt;"",$L2707&lt;&gt;INDEX(職員マスタ!$G$6:$G$405,$AP2707)),"時短開始日がマスタと相違／","")&amp;IF(AND($M2707&lt;&gt;"",INDEX(職員マスタ!$H$6:$H$405,$AP2707)&lt;&gt;"",$M2707&lt;&gt;INDEX(職員マスタ!$H$6:$H$405,$AP2707)),"時短終了日がマスタと相違／","")))&amp;IF(AND($B2707&lt;&gt;"",$E2707=""),"報酬額が未入力／","")&amp;IF(N($U2707)&gt;0,"申請書に入力エラーが残っています／","")&amp;IF(AND($B2707&lt;&gt;"",$AQ2707&lt;&gt;""),IF(COUNTIFS($B$6:$B$3005,$B2707,$C$6:$C$3005,$C2707,$D$6:$D$3005,$D2707)&gt;1,"同じ月の請求が重複しています／",""),"")&amp;IF(AND(N($E2707)&gt;0,$AB2707&lt;&gt;"",$AB2707&lt;&gt;"×",$AE2707=0,$AD2707=""),"計算額が下限以下のため不支給／",""))</f>
        <v/>
      </c>
      <c r="AN2707" s="12" t="n"/>
      <c r="AO2707" s="14">
        <f>IF($AF2707="保留中",COUNTIF($AF$6:$AF2707,"保留中"),"")</f>
        <v/>
      </c>
      <c r="AP2707" s="14">
        <f>IF($AQ2707="","",IF(SUMPRODUCT(MAX((職員マスタ!$A$6:$A$405=$B2707)*(((職員マスタ!$G$6:$G$405="")+(職員マスタ!$G$6:$G$405&lt;=EOMONTH($AQ2707,0)))&gt;0)*(((職員マスタ!$H$6:$H$405="")+(職員マスタ!$H$6:$H$405&gt;=$AQ2707))&gt;0)*(ROW(職員マスタ!$A$6:$A$405)-5)))&gt;0,SUMPRODUCT(MAX((職員マスタ!$A$6:$A$405=$B2707)*(((職員マスタ!$G$6:$G$405="")+(職員マスタ!$G$6:$G$405&lt;=EOMONTH($AQ2707,0)))&gt;0)*(((職員マスタ!$H$6:$H$405="")+(職員マスタ!$H$6:$H$405&gt;=$AQ2707))&gt;0)*(ROW(職員マスタ!$A$6:$A$405)-5))),IFERROR(MATCH($B2707,職員マスタ!$A$6:$A$405,0),"")))</f>
        <v/>
      </c>
      <c r="AQ2707" s="16">
        <f>IF(OR($B2707="",$C2707="",$D2707=""),"",DATE($C2707+2018,$D2707,1))</f>
        <v/>
      </c>
    </row>
    <row r="2708">
      <c r="A2708" s="11" t="n"/>
      <c r="B2708" s="12" t="n"/>
      <c r="C2708" s="12" t="n"/>
      <c r="D2708" s="12" t="n"/>
      <c r="E2708" s="13" t="n"/>
      <c r="F2708" s="12" t="n"/>
      <c r="G2708" s="13" t="n"/>
      <c r="H2708" s="12" t="n"/>
      <c r="I2708" s="12" t="n"/>
      <c r="J2708" s="12" t="n"/>
      <c r="K2708" s="12" t="n"/>
      <c r="L2708" s="11" t="n"/>
      <c r="M2708" s="11" t="n"/>
      <c r="N2708" s="11" t="n"/>
      <c r="O2708" s="11" t="n"/>
      <c r="P2708" s="12" t="n"/>
      <c r="Q2708" s="11" t="n"/>
      <c r="R2708" s="12" t="n"/>
      <c r="S2708" s="11" t="n"/>
      <c r="T2708" s="12" t="n"/>
      <c r="U2708" s="12" t="n"/>
      <c r="V2708" s="12" t="n"/>
      <c r="W2708" s="13" t="n"/>
      <c r="X2708" s="14">
        <f>IF($AP2708="",IF($B2708="","",$H2708),IF(INDEX(職員マスタ!$B$6:$B$405,$AP2708)="",$H2708,INDEX(職員マスタ!$B$6:$B$405,$AP2708)))</f>
        <v/>
      </c>
      <c r="Y2708" s="14">
        <f>IF($AP2708="",IF($B2708="","",$R2708),IF(INDEX(職員マスタ!$C$6:$C$405,$AP2708)="",$R2708,INDEX(職員マスタ!$C$6:$C$405,$AP2708)))</f>
        <v/>
      </c>
      <c r="Z2708" s="14">
        <f>IF($AQ2708="","","R"&amp;$C2708&amp;"."&amp;$D2708)</f>
        <v/>
      </c>
      <c r="AA2708" s="15">
        <f>IF(IF($AP2708="",FALSE,INDEX(職員マスタ!$K$6:$K$405,$AP2708)&lt;&gt;""),INDEX(職員マスタ!$K$6:$K$405,$AP2708),IF(N($W2708)&gt;0,$W2708,""))</f>
        <v/>
      </c>
      <c r="AB2708" s="14">
        <f>IF(OR($E2708="",$AA2708=""),"",IF($E2708&gt;=$AA2708,"×",IF($E2708&gt;=$AA2708*設定!$C$5,"△","○")))</f>
        <v/>
      </c>
      <c r="AC2708" s="15">
        <f>IF($AB2708="","",IF($AB2708="×",0,IF($AB2708="○",ROUNDDOWN($E2708*設定!$C$4,0),ROUNDDOWN($E2708*ROUND((9*$AA2708-9*$E2708)/(10*$E2708),4),0))))</f>
        <v/>
      </c>
      <c r="AD2708" s="13" t="n"/>
      <c r="AE2708" s="15">
        <f>IF($B2708="","",IF($AD2708&lt;&gt;"",$AD2708,IF($AC2708="","",IF($AC2708&lt;=設定!$C$3,0,$AC2708))))</f>
        <v/>
      </c>
      <c r="AF2708" s="14">
        <f>IF($B2708="","",IF(AND($AG2708&lt;&gt;"",$AI2708="",$AL2708=""),"保留中",IF($AL2708&lt;&gt;"",IF(N($AE2708)&gt;0,"支給済","不支給"),IF($AE2708="","要確認",IF($AE2708=0,"不支給","未処理")))))</f>
        <v/>
      </c>
      <c r="AG2708" s="12" t="n"/>
      <c r="AH2708" s="11" t="n"/>
      <c r="AI2708" s="11" t="n"/>
      <c r="AJ2708" s="11" t="n"/>
      <c r="AK2708" s="14">
        <f>IF(AND($AF2708="保留中",$AH2708&lt;&gt;""),TODAY()-$AH2708,"")</f>
        <v/>
      </c>
      <c r="AL2708" s="12" t="n"/>
      <c r="AM2708" s="14">
        <f>IF($B2708="","",IF($AQ2708="","対象年月が未入力／","")&amp;IF($B2708="","",IF($AP2708="","職員マスタに未登録の職員番号／",IF($AA2708="","標準報酬月額が未登録／","")&amp;IF(AND($AQ2708&lt;&gt;"",OR(AND(INDEX(職員マスタ!$G$6:$G$405,$AP2708)&lt;&gt;"",INDEX(職員マスタ!$G$6:$G$405,$AP2708)&gt;EOMONTH($AQ2708,0)),AND(INDEX(職員マスタ!$H$6:$H$405,$AP2708)&lt;&gt;"",INDEX(職員マスタ!$H$6:$H$405,$AP2708)&lt;$AQ2708))),"対象月が時短期間外／","")&amp;IF(AND(INDEX(職員マスタ!$K$6:$K$405,$AP2708)&lt;&gt;"",N($W2708)&gt;0,INDEX(職員マスタ!$K$6:$K$405,$AP2708)&lt;&gt;$W2708),"標準報酬月額が申請書と相違（台帳"&amp;TEXT(INDEX(職員マスタ!$K$6:$K$405,$AP2708),"#,##0")&amp;"円／申請書"&amp;TEXT($W2708,"#,##0")&amp;"円）／","")&amp;IF(AND(INDEX(職員マスタ!$F$6:$F$405,$AP2708)&lt;&gt;"",$AQ2708&lt;&gt;"",INDEX(職員マスタ!$F$6:$F$405,$AP2708)&lt;$AQ2708),"対象月に子が2歳到達済／","")&amp;IF(AND($H2708&lt;&gt;"",INDEX(職員マスタ!$B$6:$B$405,$AP2708)&lt;&gt;"",SUBSTITUTE(SUBSTITUTE($H2708," ","")," ","")&lt;&gt;SUBSTITUTE(SUBSTITUTE(INDEX(職員マスタ!$B$6:$B$405,$AP2708)," ","")," ","")),"氏名がマスタと相違／","")&amp;IF(AND($Q2708&lt;&gt;"",INDEX(職員マスタ!$E$6:$E$405,$AP2708)&lt;&gt;"",$Q2708&lt;&gt;INDEX(職員マスタ!$E$6:$E$405,$AP2708)),"子の生年月日がマスタと相違／","")&amp;IF(AND($L2708&lt;&gt;"",INDEX(職員マスタ!$G$6:$G$405,$AP2708)&lt;&gt;"",$L2708&lt;&gt;INDEX(職員マスタ!$G$6:$G$405,$AP2708)),"時短開始日がマスタと相違／","")&amp;IF(AND($M2708&lt;&gt;"",INDEX(職員マスタ!$H$6:$H$405,$AP2708)&lt;&gt;"",$M2708&lt;&gt;INDEX(職員マスタ!$H$6:$H$405,$AP2708)),"時短終了日がマスタと相違／","")))&amp;IF(AND($B2708&lt;&gt;"",$E2708=""),"報酬額が未入力／","")&amp;IF(N($U2708)&gt;0,"申請書に入力エラーが残っています／","")&amp;IF(AND($B2708&lt;&gt;"",$AQ2708&lt;&gt;""),IF(COUNTIFS($B$6:$B$3005,$B2708,$C$6:$C$3005,$C2708,$D$6:$D$3005,$D2708)&gt;1,"同じ月の請求が重複しています／",""),"")&amp;IF(AND(N($E2708)&gt;0,$AB2708&lt;&gt;"",$AB2708&lt;&gt;"×",$AE2708=0,$AD2708=""),"計算額が下限以下のため不支給／",""))</f>
        <v/>
      </c>
      <c r="AN2708" s="12" t="n"/>
      <c r="AO2708" s="14">
        <f>IF($AF2708="保留中",COUNTIF($AF$6:$AF2708,"保留中"),"")</f>
        <v/>
      </c>
      <c r="AP2708" s="14">
        <f>IF($AQ2708="","",IF(SUMPRODUCT(MAX((職員マスタ!$A$6:$A$405=$B2708)*(((職員マスタ!$G$6:$G$405="")+(職員マスタ!$G$6:$G$405&lt;=EOMONTH($AQ2708,0)))&gt;0)*(((職員マスタ!$H$6:$H$405="")+(職員マスタ!$H$6:$H$405&gt;=$AQ2708))&gt;0)*(ROW(職員マスタ!$A$6:$A$405)-5)))&gt;0,SUMPRODUCT(MAX((職員マスタ!$A$6:$A$405=$B2708)*(((職員マスタ!$G$6:$G$405="")+(職員マスタ!$G$6:$G$405&lt;=EOMONTH($AQ2708,0)))&gt;0)*(((職員マスタ!$H$6:$H$405="")+(職員マスタ!$H$6:$H$405&gt;=$AQ2708))&gt;0)*(ROW(職員マスタ!$A$6:$A$405)-5))),IFERROR(MATCH($B2708,職員マスタ!$A$6:$A$405,0),"")))</f>
        <v/>
      </c>
      <c r="AQ2708" s="16">
        <f>IF(OR($B2708="",$C2708="",$D2708=""),"",DATE($C2708+2018,$D2708,1))</f>
        <v/>
      </c>
    </row>
    <row r="2709">
      <c r="A2709" s="11" t="n"/>
      <c r="B2709" s="12" t="n"/>
      <c r="C2709" s="12" t="n"/>
      <c r="D2709" s="12" t="n"/>
      <c r="E2709" s="13" t="n"/>
      <c r="F2709" s="12" t="n"/>
      <c r="G2709" s="13" t="n"/>
      <c r="H2709" s="12" t="n"/>
      <c r="I2709" s="12" t="n"/>
      <c r="J2709" s="12" t="n"/>
      <c r="K2709" s="12" t="n"/>
      <c r="L2709" s="11" t="n"/>
      <c r="M2709" s="11" t="n"/>
      <c r="N2709" s="11" t="n"/>
      <c r="O2709" s="11" t="n"/>
      <c r="P2709" s="12" t="n"/>
      <c r="Q2709" s="11" t="n"/>
      <c r="R2709" s="12" t="n"/>
      <c r="S2709" s="11" t="n"/>
      <c r="T2709" s="12" t="n"/>
      <c r="U2709" s="12" t="n"/>
      <c r="V2709" s="12" t="n"/>
      <c r="W2709" s="13" t="n"/>
      <c r="X2709" s="14">
        <f>IF($AP2709="",IF($B2709="","",$H2709),IF(INDEX(職員マスタ!$B$6:$B$405,$AP2709)="",$H2709,INDEX(職員マスタ!$B$6:$B$405,$AP2709)))</f>
        <v/>
      </c>
      <c r="Y2709" s="14">
        <f>IF($AP2709="",IF($B2709="","",$R2709),IF(INDEX(職員マスタ!$C$6:$C$405,$AP2709)="",$R2709,INDEX(職員マスタ!$C$6:$C$405,$AP2709)))</f>
        <v/>
      </c>
      <c r="Z2709" s="14">
        <f>IF($AQ2709="","","R"&amp;$C2709&amp;"."&amp;$D2709)</f>
        <v/>
      </c>
      <c r="AA2709" s="15">
        <f>IF(IF($AP2709="",FALSE,INDEX(職員マスタ!$K$6:$K$405,$AP2709)&lt;&gt;""),INDEX(職員マスタ!$K$6:$K$405,$AP2709),IF(N($W2709)&gt;0,$W2709,""))</f>
        <v/>
      </c>
      <c r="AB2709" s="14">
        <f>IF(OR($E2709="",$AA2709=""),"",IF($E2709&gt;=$AA2709,"×",IF($E2709&gt;=$AA2709*設定!$C$5,"△","○")))</f>
        <v/>
      </c>
      <c r="AC2709" s="15">
        <f>IF($AB2709="","",IF($AB2709="×",0,IF($AB2709="○",ROUNDDOWN($E2709*設定!$C$4,0),ROUNDDOWN($E2709*ROUND((9*$AA2709-9*$E2709)/(10*$E2709),4),0))))</f>
        <v/>
      </c>
      <c r="AD2709" s="13" t="n"/>
      <c r="AE2709" s="15">
        <f>IF($B2709="","",IF($AD2709&lt;&gt;"",$AD2709,IF($AC2709="","",IF($AC2709&lt;=設定!$C$3,0,$AC2709))))</f>
        <v/>
      </c>
      <c r="AF2709" s="14">
        <f>IF($B2709="","",IF(AND($AG2709&lt;&gt;"",$AI2709="",$AL2709=""),"保留中",IF($AL2709&lt;&gt;"",IF(N($AE2709)&gt;0,"支給済","不支給"),IF($AE2709="","要確認",IF($AE2709=0,"不支給","未処理")))))</f>
        <v/>
      </c>
      <c r="AG2709" s="12" t="n"/>
      <c r="AH2709" s="11" t="n"/>
      <c r="AI2709" s="11" t="n"/>
      <c r="AJ2709" s="11" t="n"/>
      <c r="AK2709" s="14">
        <f>IF(AND($AF2709="保留中",$AH2709&lt;&gt;""),TODAY()-$AH2709,"")</f>
        <v/>
      </c>
      <c r="AL2709" s="12" t="n"/>
      <c r="AM2709" s="14">
        <f>IF($B2709="","",IF($AQ2709="","対象年月が未入力／","")&amp;IF($B2709="","",IF($AP2709="","職員マスタに未登録の職員番号／",IF($AA2709="","標準報酬月額が未登録／","")&amp;IF(AND($AQ2709&lt;&gt;"",OR(AND(INDEX(職員マスタ!$G$6:$G$405,$AP2709)&lt;&gt;"",INDEX(職員マスタ!$G$6:$G$405,$AP2709)&gt;EOMONTH($AQ2709,0)),AND(INDEX(職員マスタ!$H$6:$H$405,$AP2709)&lt;&gt;"",INDEX(職員マスタ!$H$6:$H$405,$AP2709)&lt;$AQ2709))),"対象月が時短期間外／","")&amp;IF(AND(INDEX(職員マスタ!$K$6:$K$405,$AP2709)&lt;&gt;"",N($W2709)&gt;0,INDEX(職員マスタ!$K$6:$K$405,$AP2709)&lt;&gt;$W2709),"標準報酬月額が申請書と相違（台帳"&amp;TEXT(INDEX(職員マスタ!$K$6:$K$405,$AP2709),"#,##0")&amp;"円／申請書"&amp;TEXT($W2709,"#,##0")&amp;"円）／","")&amp;IF(AND(INDEX(職員マスタ!$F$6:$F$405,$AP2709)&lt;&gt;"",$AQ2709&lt;&gt;"",INDEX(職員マスタ!$F$6:$F$405,$AP2709)&lt;$AQ2709),"対象月に子が2歳到達済／","")&amp;IF(AND($H2709&lt;&gt;"",INDEX(職員マスタ!$B$6:$B$405,$AP2709)&lt;&gt;"",SUBSTITUTE(SUBSTITUTE($H2709," ","")," ","")&lt;&gt;SUBSTITUTE(SUBSTITUTE(INDEX(職員マスタ!$B$6:$B$405,$AP2709)," ","")," ","")),"氏名がマスタと相違／","")&amp;IF(AND($Q2709&lt;&gt;"",INDEX(職員マスタ!$E$6:$E$405,$AP2709)&lt;&gt;"",$Q2709&lt;&gt;INDEX(職員マスタ!$E$6:$E$405,$AP2709)),"子の生年月日がマスタと相違／","")&amp;IF(AND($L2709&lt;&gt;"",INDEX(職員マスタ!$G$6:$G$405,$AP2709)&lt;&gt;"",$L2709&lt;&gt;INDEX(職員マスタ!$G$6:$G$405,$AP2709)),"時短開始日がマスタと相違／","")&amp;IF(AND($M2709&lt;&gt;"",INDEX(職員マスタ!$H$6:$H$405,$AP2709)&lt;&gt;"",$M2709&lt;&gt;INDEX(職員マスタ!$H$6:$H$405,$AP2709)),"時短終了日がマスタと相違／","")))&amp;IF(AND($B2709&lt;&gt;"",$E2709=""),"報酬額が未入力／","")&amp;IF(N($U2709)&gt;0,"申請書に入力エラーが残っています／","")&amp;IF(AND($B2709&lt;&gt;"",$AQ2709&lt;&gt;""),IF(COUNTIFS($B$6:$B$3005,$B2709,$C$6:$C$3005,$C2709,$D$6:$D$3005,$D2709)&gt;1,"同じ月の請求が重複しています／",""),"")&amp;IF(AND(N($E2709)&gt;0,$AB2709&lt;&gt;"",$AB2709&lt;&gt;"×",$AE2709=0,$AD2709=""),"計算額が下限以下のため不支給／",""))</f>
        <v/>
      </c>
      <c r="AN2709" s="12" t="n"/>
      <c r="AO2709" s="14">
        <f>IF($AF2709="保留中",COUNTIF($AF$6:$AF2709,"保留中"),"")</f>
        <v/>
      </c>
      <c r="AP2709" s="14">
        <f>IF($AQ2709="","",IF(SUMPRODUCT(MAX((職員マスタ!$A$6:$A$405=$B2709)*(((職員マスタ!$G$6:$G$405="")+(職員マスタ!$G$6:$G$405&lt;=EOMONTH($AQ2709,0)))&gt;0)*(((職員マスタ!$H$6:$H$405="")+(職員マスタ!$H$6:$H$405&gt;=$AQ2709))&gt;0)*(ROW(職員マスタ!$A$6:$A$405)-5)))&gt;0,SUMPRODUCT(MAX((職員マスタ!$A$6:$A$405=$B2709)*(((職員マスタ!$G$6:$G$405="")+(職員マスタ!$G$6:$G$405&lt;=EOMONTH($AQ2709,0)))&gt;0)*(((職員マスタ!$H$6:$H$405="")+(職員マスタ!$H$6:$H$405&gt;=$AQ2709))&gt;0)*(ROW(職員マスタ!$A$6:$A$405)-5))),IFERROR(MATCH($B2709,職員マスタ!$A$6:$A$405,0),"")))</f>
        <v/>
      </c>
      <c r="AQ2709" s="16">
        <f>IF(OR($B2709="",$C2709="",$D2709=""),"",DATE($C2709+2018,$D2709,1))</f>
        <v/>
      </c>
    </row>
    <row r="2710">
      <c r="A2710" s="11" t="n"/>
      <c r="B2710" s="12" t="n"/>
      <c r="C2710" s="12" t="n"/>
      <c r="D2710" s="12" t="n"/>
      <c r="E2710" s="13" t="n"/>
      <c r="F2710" s="12" t="n"/>
      <c r="G2710" s="13" t="n"/>
      <c r="H2710" s="12" t="n"/>
      <c r="I2710" s="12" t="n"/>
      <c r="J2710" s="12" t="n"/>
      <c r="K2710" s="12" t="n"/>
      <c r="L2710" s="11" t="n"/>
      <c r="M2710" s="11" t="n"/>
      <c r="N2710" s="11" t="n"/>
      <c r="O2710" s="11" t="n"/>
      <c r="P2710" s="12" t="n"/>
      <c r="Q2710" s="11" t="n"/>
      <c r="R2710" s="12" t="n"/>
      <c r="S2710" s="11" t="n"/>
      <c r="T2710" s="12" t="n"/>
      <c r="U2710" s="12" t="n"/>
      <c r="V2710" s="12" t="n"/>
      <c r="W2710" s="13" t="n"/>
      <c r="X2710" s="14">
        <f>IF($AP2710="",IF($B2710="","",$H2710),IF(INDEX(職員マスタ!$B$6:$B$405,$AP2710)="",$H2710,INDEX(職員マスタ!$B$6:$B$405,$AP2710)))</f>
        <v/>
      </c>
      <c r="Y2710" s="14">
        <f>IF($AP2710="",IF($B2710="","",$R2710),IF(INDEX(職員マスタ!$C$6:$C$405,$AP2710)="",$R2710,INDEX(職員マスタ!$C$6:$C$405,$AP2710)))</f>
        <v/>
      </c>
      <c r="Z2710" s="14">
        <f>IF($AQ2710="","","R"&amp;$C2710&amp;"."&amp;$D2710)</f>
        <v/>
      </c>
      <c r="AA2710" s="15">
        <f>IF(IF($AP2710="",FALSE,INDEX(職員マスタ!$K$6:$K$405,$AP2710)&lt;&gt;""),INDEX(職員マスタ!$K$6:$K$405,$AP2710),IF(N($W2710)&gt;0,$W2710,""))</f>
        <v/>
      </c>
      <c r="AB2710" s="14">
        <f>IF(OR($E2710="",$AA2710=""),"",IF($E2710&gt;=$AA2710,"×",IF($E2710&gt;=$AA2710*設定!$C$5,"△","○")))</f>
        <v/>
      </c>
      <c r="AC2710" s="15">
        <f>IF($AB2710="","",IF($AB2710="×",0,IF($AB2710="○",ROUNDDOWN($E2710*設定!$C$4,0),ROUNDDOWN($E2710*ROUND((9*$AA2710-9*$E2710)/(10*$E2710),4),0))))</f>
        <v/>
      </c>
      <c r="AD2710" s="13" t="n"/>
      <c r="AE2710" s="15">
        <f>IF($B2710="","",IF($AD2710&lt;&gt;"",$AD2710,IF($AC2710="","",IF($AC2710&lt;=設定!$C$3,0,$AC2710))))</f>
        <v/>
      </c>
      <c r="AF2710" s="14">
        <f>IF($B2710="","",IF(AND($AG2710&lt;&gt;"",$AI2710="",$AL2710=""),"保留中",IF($AL2710&lt;&gt;"",IF(N($AE2710)&gt;0,"支給済","不支給"),IF($AE2710="","要確認",IF($AE2710=0,"不支給","未処理")))))</f>
        <v/>
      </c>
      <c r="AG2710" s="12" t="n"/>
      <c r="AH2710" s="11" t="n"/>
      <c r="AI2710" s="11" t="n"/>
      <c r="AJ2710" s="11" t="n"/>
      <c r="AK2710" s="14">
        <f>IF(AND($AF2710="保留中",$AH2710&lt;&gt;""),TODAY()-$AH2710,"")</f>
        <v/>
      </c>
      <c r="AL2710" s="12" t="n"/>
      <c r="AM2710" s="14">
        <f>IF($B2710="","",IF($AQ2710="","対象年月が未入力／","")&amp;IF($B2710="","",IF($AP2710="","職員マスタに未登録の職員番号／",IF($AA2710="","標準報酬月額が未登録／","")&amp;IF(AND($AQ2710&lt;&gt;"",OR(AND(INDEX(職員マスタ!$G$6:$G$405,$AP2710)&lt;&gt;"",INDEX(職員マスタ!$G$6:$G$405,$AP2710)&gt;EOMONTH($AQ2710,0)),AND(INDEX(職員マスタ!$H$6:$H$405,$AP2710)&lt;&gt;"",INDEX(職員マスタ!$H$6:$H$405,$AP2710)&lt;$AQ2710))),"対象月が時短期間外／","")&amp;IF(AND(INDEX(職員マスタ!$K$6:$K$405,$AP2710)&lt;&gt;"",N($W2710)&gt;0,INDEX(職員マスタ!$K$6:$K$405,$AP2710)&lt;&gt;$W2710),"標準報酬月額が申請書と相違（台帳"&amp;TEXT(INDEX(職員マスタ!$K$6:$K$405,$AP2710),"#,##0")&amp;"円／申請書"&amp;TEXT($W2710,"#,##0")&amp;"円）／","")&amp;IF(AND(INDEX(職員マスタ!$F$6:$F$405,$AP2710)&lt;&gt;"",$AQ2710&lt;&gt;"",INDEX(職員マスタ!$F$6:$F$405,$AP2710)&lt;$AQ2710),"対象月に子が2歳到達済／","")&amp;IF(AND($H2710&lt;&gt;"",INDEX(職員マスタ!$B$6:$B$405,$AP2710)&lt;&gt;"",SUBSTITUTE(SUBSTITUTE($H2710," ","")," ","")&lt;&gt;SUBSTITUTE(SUBSTITUTE(INDEX(職員マスタ!$B$6:$B$405,$AP2710)," ","")," ","")),"氏名がマスタと相違／","")&amp;IF(AND($Q2710&lt;&gt;"",INDEX(職員マスタ!$E$6:$E$405,$AP2710)&lt;&gt;"",$Q2710&lt;&gt;INDEX(職員マスタ!$E$6:$E$405,$AP2710)),"子の生年月日がマスタと相違／","")&amp;IF(AND($L2710&lt;&gt;"",INDEX(職員マスタ!$G$6:$G$405,$AP2710)&lt;&gt;"",$L2710&lt;&gt;INDEX(職員マスタ!$G$6:$G$405,$AP2710)),"時短開始日がマスタと相違／","")&amp;IF(AND($M2710&lt;&gt;"",INDEX(職員マスタ!$H$6:$H$405,$AP2710)&lt;&gt;"",$M2710&lt;&gt;INDEX(職員マスタ!$H$6:$H$405,$AP2710)),"時短終了日がマスタと相違／","")))&amp;IF(AND($B2710&lt;&gt;"",$E2710=""),"報酬額が未入力／","")&amp;IF(N($U2710)&gt;0,"申請書に入力エラーが残っています／","")&amp;IF(AND($B2710&lt;&gt;"",$AQ2710&lt;&gt;""),IF(COUNTIFS($B$6:$B$3005,$B2710,$C$6:$C$3005,$C2710,$D$6:$D$3005,$D2710)&gt;1,"同じ月の請求が重複しています／",""),"")&amp;IF(AND(N($E2710)&gt;0,$AB2710&lt;&gt;"",$AB2710&lt;&gt;"×",$AE2710=0,$AD2710=""),"計算額が下限以下のため不支給／",""))</f>
        <v/>
      </c>
      <c r="AN2710" s="12" t="n"/>
      <c r="AO2710" s="14">
        <f>IF($AF2710="保留中",COUNTIF($AF$6:$AF2710,"保留中"),"")</f>
        <v/>
      </c>
      <c r="AP2710" s="14">
        <f>IF($AQ2710="","",IF(SUMPRODUCT(MAX((職員マスタ!$A$6:$A$405=$B2710)*(((職員マスタ!$G$6:$G$405="")+(職員マスタ!$G$6:$G$405&lt;=EOMONTH($AQ2710,0)))&gt;0)*(((職員マスタ!$H$6:$H$405="")+(職員マスタ!$H$6:$H$405&gt;=$AQ2710))&gt;0)*(ROW(職員マスタ!$A$6:$A$405)-5)))&gt;0,SUMPRODUCT(MAX((職員マスタ!$A$6:$A$405=$B2710)*(((職員マスタ!$G$6:$G$405="")+(職員マスタ!$G$6:$G$405&lt;=EOMONTH($AQ2710,0)))&gt;0)*(((職員マスタ!$H$6:$H$405="")+(職員マスタ!$H$6:$H$405&gt;=$AQ2710))&gt;0)*(ROW(職員マスタ!$A$6:$A$405)-5))),IFERROR(MATCH($B2710,職員マスタ!$A$6:$A$405,0),"")))</f>
        <v/>
      </c>
      <c r="AQ2710" s="16">
        <f>IF(OR($B2710="",$C2710="",$D2710=""),"",DATE($C2710+2018,$D2710,1))</f>
        <v/>
      </c>
    </row>
    <row r="2711">
      <c r="A2711" s="11" t="n"/>
      <c r="B2711" s="12" t="n"/>
      <c r="C2711" s="12" t="n"/>
      <c r="D2711" s="12" t="n"/>
      <c r="E2711" s="13" t="n"/>
      <c r="F2711" s="12" t="n"/>
      <c r="G2711" s="13" t="n"/>
      <c r="H2711" s="12" t="n"/>
      <c r="I2711" s="12" t="n"/>
      <c r="J2711" s="12" t="n"/>
      <c r="K2711" s="12" t="n"/>
      <c r="L2711" s="11" t="n"/>
      <c r="M2711" s="11" t="n"/>
      <c r="N2711" s="11" t="n"/>
      <c r="O2711" s="11" t="n"/>
      <c r="P2711" s="12" t="n"/>
      <c r="Q2711" s="11" t="n"/>
      <c r="R2711" s="12" t="n"/>
      <c r="S2711" s="11" t="n"/>
      <c r="T2711" s="12" t="n"/>
      <c r="U2711" s="12" t="n"/>
      <c r="V2711" s="12" t="n"/>
      <c r="W2711" s="13" t="n"/>
      <c r="X2711" s="14">
        <f>IF($AP2711="",IF($B2711="","",$H2711),IF(INDEX(職員マスタ!$B$6:$B$405,$AP2711)="",$H2711,INDEX(職員マスタ!$B$6:$B$405,$AP2711)))</f>
        <v/>
      </c>
      <c r="Y2711" s="14">
        <f>IF($AP2711="",IF($B2711="","",$R2711),IF(INDEX(職員マスタ!$C$6:$C$405,$AP2711)="",$R2711,INDEX(職員マスタ!$C$6:$C$405,$AP2711)))</f>
        <v/>
      </c>
      <c r="Z2711" s="14">
        <f>IF($AQ2711="","","R"&amp;$C2711&amp;"."&amp;$D2711)</f>
        <v/>
      </c>
      <c r="AA2711" s="15">
        <f>IF(IF($AP2711="",FALSE,INDEX(職員マスタ!$K$6:$K$405,$AP2711)&lt;&gt;""),INDEX(職員マスタ!$K$6:$K$405,$AP2711),IF(N($W2711)&gt;0,$W2711,""))</f>
        <v/>
      </c>
      <c r="AB2711" s="14">
        <f>IF(OR($E2711="",$AA2711=""),"",IF($E2711&gt;=$AA2711,"×",IF($E2711&gt;=$AA2711*設定!$C$5,"△","○")))</f>
        <v/>
      </c>
      <c r="AC2711" s="15">
        <f>IF($AB2711="","",IF($AB2711="×",0,IF($AB2711="○",ROUNDDOWN($E2711*設定!$C$4,0),ROUNDDOWN($E2711*ROUND((9*$AA2711-9*$E2711)/(10*$E2711),4),0))))</f>
        <v/>
      </c>
      <c r="AD2711" s="13" t="n"/>
      <c r="AE2711" s="15">
        <f>IF($B2711="","",IF($AD2711&lt;&gt;"",$AD2711,IF($AC2711="","",IF($AC2711&lt;=設定!$C$3,0,$AC2711))))</f>
        <v/>
      </c>
      <c r="AF2711" s="14">
        <f>IF($B2711="","",IF(AND($AG2711&lt;&gt;"",$AI2711="",$AL2711=""),"保留中",IF($AL2711&lt;&gt;"",IF(N($AE2711)&gt;0,"支給済","不支給"),IF($AE2711="","要確認",IF($AE2711=0,"不支給","未処理")))))</f>
        <v/>
      </c>
      <c r="AG2711" s="12" t="n"/>
      <c r="AH2711" s="11" t="n"/>
      <c r="AI2711" s="11" t="n"/>
      <c r="AJ2711" s="11" t="n"/>
      <c r="AK2711" s="14">
        <f>IF(AND($AF2711="保留中",$AH2711&lt;&gt;""),TODAY()-$AH2711,"")</f>
        <v/>
      </c>
      <c r="AL2711" s="12" t="n"/>
      <c r="AM2711" s="14">
        <f>IF($B2711="","",IF($AQ2711="","対象年月が未入力／","")&amp;IF($B2711="","",IF($AP2711="","職員マスタに未登録の職員番号／",IF($AA2711="","標準報酬月額が未登録／","")&amp;IF(AND($AQ2711&lt;&gt;"",OR(AND(INDEX(職員マスタ!$G$6:$G$405,$AP2711)&lt;&gt;"",INDEX(職員マスタ!$G$6:$G$405,$AP2711)&gt;EOMONTH($AQ2711,0)),AND(INDEX(職員マスタ!$H$6:$H$405,$AP2711)&lt;&gt;"",INDEX(職員マスタ!$H$6:$H$405,$AP2711)&lt;$AQ2711))),"対象月が時短期間外／","")&amp;IF(AND(INDEX(職員マスタ!$K$6:$K$405,$AP2711)&lt;&gt;"",N($W2711)&gt;0,INDEX(職員マスタ!$K$6:$K$405,$AP2711)&lt;&gt;$W2711),"標準報酬月額が申請書と相違（台帳"&amp;TEXT(INDEX(職員マスタ!$K$6:$K$405,$AP2711),"#,##0")&amp;"円／申請書"&amp;TEXT($W2711,"#,##0")&amp;"円）／","")&amp;IF(AND(INDEX(職員マスタ!$F$6:$F$405,$AP2711)&lt;&gt;"",$AQ2711&lt;&gt;"",INDEX(職員マスタ!$F$6:$F$405,$AP2711)&lt;$AQ2711),"対象月に子が2歳到達済／","")&amp;IF(AND($H2711&lt;&gt;"",INDEX(職員マスタ!$B$6:$B$405,$AP2711)&lt;&gt;"",SUBSTITUTE(SUBSTITUTE($H2711," ","")," ","")&lt;&gt;SUBSTITUTE(SUBSTITUTE(INDEX(職員マスタ!$B$6:$B$405,$AP2711)," ","")," ","")),"氏名がマスタと相違／","")&amp;IF(AND($Q2711&lt;&gt;"",INDEX(職員マスタ!$E$6:$E$405,$AP2711)&lt;&gt;"",$Q2711&lt;&gt;INDEX(職員マスタ!$E$6:$E$405,$AP2711)),"子の生年月日がマスタと相違／","")&amp;IF(AND($L2711&lt;&gt;"",INDEX(職員マスタ!$G$6:$G$405,$AP2711)&lt;&gt;"",$L2711&lt;&gt;INDEX(職員マスタ!$G$6:$G$405,$AP2711)),"時短開始日がマスタと相違／","")&amp;IF(AND($M2711&lt;&gt;"",INDEX(職員マスタ!$H$6:$H$405,$AP2711)&lt;&gt;"",$M2711&lt;&gt;INDEX(職員マスタ!$H$6:$H$405,$AP2711)),"時短終了日がマスタと相違／","")))&amp;IF(AND($B2711&lt;&gt;"",$E2711=""),"報酬額が未入力／","")&amp;IF(N($U2711)&gt;0,"申請書に入力エラーが残っています／","")&amp;IF(AND($B2711&lt;&gt;"",$AQ2711&lt;&gt;""),IF(COUNTIFS($B$6:$B$3005,$B2711,$C$6:$C$3005,$C2711,$D$6:$D$3005,$D2711)&gt;1,"同じ月の請求が重複しています／",""),"")&amp;IF(AND(N($E2711)&gt;0,$AB2711&lt;&gt;"",$AB2711&lt;&gt;"×",$AE2711=0,$AD2711=""),"計算額が下限以下のため不支給／",""))</f>
        <v/>
      </c>
      <c r="AN2711" s="12" t="n"/>
      <c r="AO2711" s="14">
        <f>IF($AF2711="保留中",COUNTIF($AF$6:$AF2711,"保留中"),"")</f>
        <v/>
      </c>
      <c r="AP2711" s="14">
        <f>IF($AQ2711="","",IF(SUMPRODUCT(MAX((職員マスタ!$A$6:$A$405=$B2711)*(((職員マスタ!$G$6:$G$405="")+(職員マスタ!$G$6:$G$405&lt;=EOMONTH($AQ2711,0)))&gt;0)*(((職員マスタ!$H$6:$H$405="")+(職員マスタ!$H$6:$H$405&gt;=$AQ2711))&gt;0)*(ROW(職員マスタ!$A$6:$A$405)-5)))&gt;0,SUMPRODUCT(MAX((職員マスタ!$A$6:$A$405=$B2711)*(((職員マスタ!$G$6:$G$405="")+(職員マスタ!$G$6:$G$405&lt;=EOMONTH($AQ2711,0)))&gt;0)*(((職員マスタ!$H$6:$H$405="")+(職員マスタ!$H$6:$H$405&gt;=$AQ2711))&gt;0)*(ROW(職員マスタ!$A$6:$A$405)-5))),IFERROR(MATCH($B2711,職員マスタ!$A$6:$A$405,0),"")))</f>
        <v/>
      </c>
      <c r="AQ2711" s="16">
        <f>IF(OR($B2711="",$C2711="",$D2711=""),"",DATE($C2711+2018,$D2711,1))</f>
        <v/>
      </c>
    </row>
    <row r="2712">
      <c r="A2712" s="11" t="n"/>
      <c r="B2712" s="12" t="n"/>
      <c r="C2712" s="12" t="n"/>
      <c r="D2712" s="12" t="n"/>
      <c r="E2712" s="13" t="n"/>
      <c r="F2712" s="12" t="n"/>
      <c r="G2712" s="13" t="n"/>
      <c r="H2712" s="12" t="n"/>
      <c r="I2712" s="12" t="n"/>
      <c r="J2712" s="12" t="n"/>
      <c r="K2712" s="12" t="n"/>
      <c r="L2712" s="11" t="n"/>
      <c r="M2712" s="11" t="n"/>
      <c r="N2712" s="11" t="n"/>
      <c r="O2712" s="11" t="n"/>
      <c r="P2712" s="12" t="n"/>
      <c r="Q2712" s="11" t="n"/>
      <c r="R2712" s="12" t="n"/>
      <c r="S2712" s="11" t="n"/>
      <c r="T2712" s="12" t="n"/>
      <c r="U2712" s="12" t="n"/>
      <c r="V2712" s="12" t="n"/>
      <c r="W2712" s="13" t="n"/>
      <c r="X2712" s="14">
        <f>IF($AP2712="",IF($B2712="","",$H2712),IF(INDEX(職員マスタ!$B$6:$B$405,$AP2712)="",$H2712,INDEX(職員マスタ!$B$6:$B$405,$AP2712)))</f>
        <v/>
      </c>
      <c r="Y2712" s="14">
        <f>IF($AP2712="",IF($B2712="","",$R2712),IF(INDEX(職員マスタ!$C$6:$C$405,$AP2712)="",$R2712,INDEX(職員マスタ!$C$6:$C$405,$AP2712)))</f>
        <v/>
      </c>
      <c r="Z2712" s="14">
        <f>IF($AQ2712="","","R"&amp;$C2712&amp;"."&amp;$D2712)</f>
        <v/>
      </c>
      <c r="AA2712" s="15">
        <f>IF(IF($AP2712="",FALSE,INDEX(職員マスタ!$K$6:$K$405,$AP2712)&lt;&gt;""),INDEX(職員マスタ!$K$6:$K$405,$AP2712),IF(N($W2712)&gt;0,$W2712,""))</f>
        <v/>
      </c>
      <c r="AB2712" s="14">
        <f>IF(OR($E2712="",$AA2712=""),"",IF($E2712&gt;=$AA2712,"×",IF($E2712&gt;=$AA2712*設定!$C$5,"△","○")))</f>
        <v/>
      </c>
      <c r="AC2712" s="15">
        <f>IF($AB2712="","",IF($AB2712="×",0,IF($AB2712="○",ROUNDDOWN($E2712*設定!$C$4,0),ROUNDDOWN($E2712*ROUND((9*$AA2712-9*$E2712)/(10*$E2712),4),0))))</f>
        <v/>
      </c>
      <c r="AD2712" s="13" t="n"/>
      <c r="AE2712" s="15">
        <f>IF($B2712="","",IF($AD2712&lt;&gt;"",$AD2712,IF($AC2712="","",IF($AC2712&lt;=設定!$C$3,0,$AC2712))))</f>
        <v/>
      </c>
      <c r="AF2712" s="14">
        <f>IF($B2712="","",IF(AND($AG2712&lt;&gt;"",$AI2712="",$AL2712=""),"保留中",IF($AL2712&lt;&gt;"",IF(N($AE2712)&gt;0,"支給済","不支給"),IF($AE2712="","要確認",IF($AE2712=0,"不支給","未処理")))))</f>
        <v/>
      </c>
      <c r="AG2712" s="12" t="n"/>
      <c r="AH2712" s="11" t="n"/>
      <c r="AI2712" s="11" t="n"/>
      <c r="AJ2712" s="11" t="n"/>
      <c r="AK2712" s="14">
        <f>IF(AND($AF2712="保留中",$AH2712&lt;&gt;""),TODAY()-$AH2712,"")</f>
        <v/>
      </c>
      <c r="AL2712" s="12" t="n"/>
      <c r="AM2712" s="14">
        <f>IF($B2712="","",IF($AQ2712="","対象年月が未入力／","")&amp;IF($B2712="","",IF($AP2712="","職員マスタに未登録の職員番号／",IF($AA2712="","標準報酬月額が未登録／","")&amp;IF(AND($AQ2712&lt;&gt;"",OR(AND(INDEX(職員マスタ!$G$6:$G$405,$AP2712)&lt;&gt;"",INDEX(職員マスタ!$G$6:$G$405,$AP2712)&gt;EOMONTH($AQ2712,0)),AND(INDEX(職員マスタ!$H$6:$H$405,$AP2712)&lt;&gt;"",INDEX(職員マスタ!$H$6:$H$405,$AP2712)&lt;$AQ2712))),"対象月が時短期間外／","")&amp;IF(AND(INDEX(職員マスタ!$K$6:$K$405,$AP2712)&lt;&gt;"",N($W2712)&gt;0,INDEX(職員マスタ!$K$6:$K$405,$AP2712)&lt;&gt;$W2712),"標準報酬月額が申請書と相違（台帳"&amp;TEXT(INDEX(職員マスタ!$K$6:$K$405,$AP2712),"#,##0")&amp;"円／申請書"&amp;TEXT($W2712,"#,##0")&amp;"円）／","")&amp;IF(AND(INDEX(職員マスタ!$F$6:$F$405,$AP2712)&lt;&gt;"",$AQ2712&lt;&gt;"",INDEX(職員マスタ!$F$6:$F$405,$AP2712)&lt;$AQ2712),"対象月に子が2歳到達済／","")&amp;IF(AND($H2712&lt;&gt;"",INDEX(職員マスタ!$B$6:$B$405,$AP2712)&lt;&gt;"",SUBSTITUTE(SUBSTITUTE($H2712," ","")," ","")&lt;&gt;SUBSTITUTE(SUBSTITUTE(INDEX(職員マスタ!$B$6:$B$405,$AP2712)," ","")," ","")),"氏名がマスタと相違／","")&amp;IF(AND($Q2712&lt;&gt;"",INDEX(職員マスタ!$E$6:$E$405,$AP2712)&lt;&gt;"",$Q2712&lt;&gt;INDEX(職員マスタ!$E$6:$E$405,$AP2712)),"子の生年月日がマスタと相違／","")&amp;IF(AND($L2712&lt;&gt;"",INDEX(職員マスタ!$G$6:$G$405,$AP2712)&lt;&gt;"",$L2712&lt;&gt;INDEX(職員マスタ!$G$6:$G$405,$AP2712)),"時短開始日がマスタと相違／","")&amp;IF(AND($M2712&lt;&gt;"",INDEX(職員マスタ!$H$6:$H$405,$AP2712)&lt;&gt;"",$M2712&lt;&gt;INDEX(職員マスタ!$H$6:$H$405,$AP2712)),"時短終了日がマスタと相違／","")))&amp;IF(AND($B2712&lt;&gt;"",$E2712=""),"報酬額が未入力／","")&amp;IF(N($U2712)&gt;0,"申請書に入力エラーが残っています／","")&amp;IF(AND($B2712&lt;&gt;"",$AQ2712&lt;&gt;""),IF(COUNTIFS($B$6:$B$3005,$B2712,$C$6:$C$3005,$C2712,$D$6:$D$3005,$D2712)&gt;1,"同じ月の請求が重複しています／",""),"")&amp;IF(AND(N($E2712)&gt;0,$AB2712&lt;&gt;"",$AB2712&lt;&gt;"×",$AE2712=0,$AD2712=""),"計算額が下限以下のため不支給／",""))</f>
        <v/>
      </c>
      <c r="AN2712" s="12" t="n"/>
      <c r="AO2712" s="14">
        <f>IF($AF2712="保留中",COUNTIF($AF$6:$AF2712,"保留中"),"")</f>
        <v/>
      </c>
      <c r="AP2712" s="14">
        <f>IF($AQ2712="","",IF(SUMPRODUCT(MAX((職員マスタ!$A$6:$A$405=$B2712)*(((職員マスタ!$G$6:$G$405="")+(職員マスタ!$G$6:$G$405&lt;=EOMONTH($AQ2712,0)))&gt;0)*(((職員マスタ!$H$6:$H$405="")+(職員マスタ!$H$6:$H$405&gt;=$AQ2712))&gt;0)*(ROW(職員マスタ!$A$6:$A$405)-5)))&gt;0,SUMPRODUCT(MAX((職員マスタ!$A$6:$A$405=$B2712)*(((職員マスタ!$G$6:$G$405="")+(職員マスタ!$G$6:$G$405&lt;=EOMONTH($AQ2712,0)))&gt;0)*(((職員マスタ!$H$6:$H$405="")+(職員マスタ!$H$6:$H$405&gt;=$AQ2712))&gt;0)*(ROW(職員マスタ!$A$6:$A$405)-5))),IFERROR(MATCH($B2712,職員マスタ!$A$6:$A$405,0),"")))</f>
        <v/>
      </c>
      <c r="AQ2712" s="16">
        <f>IF(OR($B2712="",$C2712="",$D2712=""),"",DATE($C2712+2018,$D2712,1))</f>
        <v/>
      </c>
    </row>
    <row r="2713">
      <c r="A2713" s="11" t="n"/>
      <c r="B2713" s="12" t="n"/>
      <c r="C2713" s="12" t="n"/>
      <c r="D2713" s="12" t="n"/>
      <c r="E2713" s="13" t="n"/>
      <c r="F2713" s="12" t="n"/>
      <c r="G2713" s="13" t="n"/>
      <c r="H2713" s="12" t="n"/>
      <c r="I2713" s="12" t="n"/>
      <c r="J2713" s="12" t="n"/>
      <c r="K2713" s="12" t="n"/>
      <c r="L2713" s="11" t="n"/>
      <c r="M2713" s="11" t="n"/>
      <c r="N2713" s="11" t="n"/>
      <c r="O2713" s="11" t="n"/>
      <c r="P2713" s="12" t="n"/>
      <c r="Q2713" s="11" t="n"/>
      <c r="R2713" s="12" t="n"/>
      <c r="S2713" s="11" t="n"/>
      <c r="T2713" s="12" t="n"/>
      <c r="U2713" s="12" t="n"/>
      <c r="V2713" s="12" t="n"/>
      <c r="W2713" s="13" t="n"/>
      <c r="X2713" s="14">
        <f>IF($AP2713="",IF($B2713="","",$H2713),IF(INDEX(職員マスタ!$B$6:$B$405,$AP2713)="",$H2713,INDEX(職員マスタ!$B$6:$B$405,$AP2713)))</f>
        <v/>
      </c>
      <c r="Y2713" s="14">
        <f>IF($AP2713="",IF($B2713="","",$R2713),IF(INDEX(職員マスタ!$C$6:$C$405,$AP2713)="",$R2713,INDEX(職員マスタ!$C$6:$C$405,$AP2713)))</f>
        <v/>
      </c>
      <c r="Z2713" s="14">
        <f>IF($AQ2713="","","R"&amp;$C2713&amp;"."&amp;$D2713)</f>
        <v/>
      </c>
      <c r="AA2713" s="15">
        <f>IF(IF($AP2713="",FALSE,INDEX(職員マスタ!$K$6:$K$405,$AP2713)&lt;&gt;""),INDEX(職員マスタ!$K$6:$K$405,$AP2713),IF(N($W2713)&gt;0,$W2713,""))</f>
        <v/>
      </c>
      <c r="AB2713" s="14">
        <f>IF(OR($E2713="",$AA2713=""),"",IF($E2713&gt;=$AA2713,"×",IF($E2713&gt;=$AA2713*設定!$C$5,"△","○")))</f>
        <v/>
      </c>
      <c r="AC2713" s="15">
        <f>IF($AB2713="","",IF($AB2713="×",0,IF($AB2713="○",ROUNDDOWN($E2713*設定!$C$4,0),ROUNDDOWN($E2713*ROUND((9*$AA2713-9*$E2713)/(10*$E2713),4),0))))</f>
        <v/>
      </c>
      <c r="AD2713" s="13" t="n"/>
      <c r="AE2713" s="15">
        <f>IF($B2713="","",IF($AD2713&lt;&gt;"",$AD2713,IF($AC2713="","",IF($AC2713&lt;=設定!$C$3,0,$AC2713))))</f>
        <v/>
      </c>
      <c r="AF2713" s="14">
        <f>IF($B2713="","",IF(AND($AG2713&lt;&gt;"",$AI2713="",$AL2713=""),"保留中",IF($AL2713&lt;&gt;"",IF(N($AE2713)&gt;0,"支給済","不支給"),IF($AE2713="","要確認",IF($AE2713=0,"不支給","未処理")))))</f>
        <v/>
      </c>
      <c r="AG2713" s="12" t="n"/>
      <c r="AH2713" s="11" t="n"/>
      <c r="AI2713" s="11" t="n"/>
      <c r="AJ2713" s="11" t="n"/>
      <c r="AK2713" s="14">
        <f>IF(AND($AF2713="保留中",$AH2713&lt;&gt;""),TODAY()-$AH2713,"")</f>
        <v/>
      </c>
      <c r="AL2713" s="12" t="n"/>
      <c r="AM2713" s="14">
        <f>IF($B2713="","",IF($AQ2713="","対象年月が未入力／","")&amp;IF($B2713="","",IF($AP2713="","職員マスタに未登録の職員番号／",IF($AA2713="","標準報酬月額が未登録／","")&amp;IF(AND($AQ2713&lt;&gt;"",OR(AND(INDEX(職員マスタ!$G$6:$G$405,$AP2713)&lt;&gt;"",INDEX(職員マスタ!$G$6:$G$405,$AP2713)&gt;EOMONTH($AQ2713,0)),AND(INDEX(職員マスタ!$H$6:$H$405,$AP2713)&lt;&gt;"",INDEX(職員マスタ!$H$6:$H$405,$AP2713)&lt;$AQ2713))),"対象月が時短期間外／","")&amp;IF(AND(INDEX(職員マスタ!$K$6:$K$405,$AP2713)&lt;&gt;"",N($W2713)&gt;0,INDEX(職員マスタ!$K$6:$K$405,$AP2713)&lt;&gt;$W2713),"標準報酬月額が申請書と相違（台帳"&amp;TEXT(INDEX(職員マスタ!$K$6:$K$405,$AP2713),"#,##0")&amp;"円／申請書"&amp;TEXT($W2713,"#,##0")&amp;"円）／","")&amp;IF(AND(INDEX(職員マスタ!$F$6:$F$405,$AP2713)&lt;&gt;"",$AQ2713&lt;&gt;"",INDEX(職員マスタ!$F$6:$F$405,$AP2713)&lt;$AQ2713),"対象月に子が2歳到達済／","")&amp;IF(AND($H2713&lt;&gt;"",INDEX(職員マスタ!$B$6:$B$405,$AP2713)&lt;&gt;"",SUBSTITUTE(SUBSTITUTE($H2713," ","")," ","")&lt;&gt;SUBSTITUTE(SUBSTITUTE(INDEX(職員マスタ!$B$6:$B$405,$AP2713)," ","")," ","")),"氏名がマスタと相違／","")&amp;IF(AND($Q2713&lt;&gt;"",INDEX(職員マスタ!$E$6:$E$405,$AP2713)&lt;&gt;"",$Q2713&lt;&gt;INDEX(職員マスタ!$E$6:$E$405,$AP2713)),"子の生年月日がマスタと相違／","")&amp;IF(AND($L2713&lt;&gt;"",INDEX(職員マスタ!$G$6:$G$405,$AP2713)&lt;&gt;"",$L2713&lt;&gt;INDEX(職員マスタ!$G$6:$G$405,$AP2713)),"時短開始日がマスタと相違／","")&amp;IF(AND($M2713&lt;&gt;"",INDEX(職員マスタ!$H$6:$H$405,$AP2713)&lt;&gt;"",$M2713&lt;&gt;INDEX(職員マスタ!$H$6:$H$405,$AP2713)),"時短終了日がマスタと相違／","")))&amp;IF(AND($B2713&lt;&gt;"",$E2713=""),"報酬額が未入力／","")&amp;IF(N($U2713)&gt;0,"申請書に入力エラーが残っています／","")&amp;IF(AND($B2713&lt;&gt;"",$AQ2713&lt;&gt;""),IF(COUNTIFS($B$6:$B$3005,$B2713,$C$6:$C$3005,$C2713,$D$6:$D$3005,$D2713)&gt;1,"同じ月の請求が重複しています／",""),"")&amp;IF(AND(N($E2713)&gt;0,$AB2713&lt;&gt;"",$AB2713&lt;&gt;"×",$AE2713=0,$AD2713=""),"計算額が下限以下のため不支給／",""))</f>
        <v/>
      </c>
      <c r="AN2713" s="12" t="n"/>
      <c r="AO2713" s="14">
        <f>IF($AF2713="保留中",COUNTIF($AF$6:$AF2713,"保留中"),"")</f>
        <v/>
      </c>
      <c r="AP2713" s="14">
        <f>IF($AQ2713="","",IF(SUMPRODUCT(MAX((職員マスタ!$A$6:$A$405=$B2713)*(((職員マスタ!$G$6:$G$405="")+(職員マスタ!$G$6:$G$405&lt;=EOMONTH($AQ2713,0)))&gt;0)*(((職員マスタ!$H$6:$H$405="")+(職員マスタ!$H$6:$H$405&gt;=$AQ2713))&gt;0)*(ROW(職員マスタ!$A$6:$A$405)-5)))&gt;0,SUMPRODUCT(MAX((職員マスタ!$A$6:$A$405=$B2713)*(((職員マスタ!$G$6:$G$405="")+(職員マスタ!$G$6:$G$405&lt;=EOMONTH($AQ2713,0)))&gt;0)*(((職員マスタ!$H$6:$H$405="")+(職員マスタ!$H$6:$H$405&gt;=$AQ2713))&gt;0)*(ROW(職員マスタ!$A$6:$A$405)-5))),IFERROR(MATCH($B2713,職員マスタ!$A$6:$A$405,0),"")))</f>
        <v/>
      </c>
      <c r="AQ2713" s="16">
        <f>IF(OR($B2713="",$C2713="",$D2713=""),"",DATE($C2713+2018,$D2713,1))</f>
        <v/>
      </c>
    </row>
    <row r="2714">
      <c r="A2714" s="11" t="n"/>
      <c r="B2714" s="12" t="n"/>
      <c r="C2714" s="12" t="n"/>
      <c r="D2714" s="12" t="n"/>
      <c r="E2714" s="13" t="n"/>
      <c r="F2714" s="12" t="n"/>
      <c r="G2714" s="13" t="n"/>
      <c r="H2714" s="12" t="n"/>
      <c r="I2714" s="12" t="n"/>
      <c r="J2714" s="12" t="n"/>
      <c r="K2714" s="12" t="n"/>
      <c r="L2714" s="11" t="n"/>
      <c r="M2714" s="11" t="n"/>
      <c r="N2714" s="11" t="n"/>
      <c r="O2714" s="11" t="n"/>
      <c r="P2714" s="12" t="n"/>
      <c r="Q2714" s="11" t="n"/>
      <c r="R2714" s="12" t="n"/>
      <c r="S2714" s="11" t="n"/>
      <c r="T2714" s="12" t="n"/>
      <c r="U2714" s="12" t="n"/>
      <c r="V2714" s="12" t="n"/>
      <c r="W2714" s="13" t="n"/>
      <c r="X2714" s="14">
        <f>IF($AP2714="",IF($B2714="","",$H2714),IF(INDEX(職員マスタ!$B$6:$B$405,$AP2714)="",$H2714,INDEX(職員マスタ!$B$6:$B$405,$AP2714)))</f>
        <v/>
      </c>
      <c r="Y2714" s="14">
        <f>IF($AP2714="",IF($B2714="","",$R2714),IF(INDEX(職員マスタ!$C$6:$C$405,$AP2714)="",$R2714,INDEX(職員マスタ!$C$6:$C$405,$AP2714)))</f>
        <v/>
      </c>
      <c r="Z2714" s="14">
        <f>IF($AQ2714="","","R"&amp;$C2714&amp;"."&amp;$D2714)</f>
        <v/>
      </c>
      <c r="AA2714" s="15">
        <f>IF(IF($AP2714="",FALSE,INDEX(職員マスタ!$K$6:$K$405,$AP2714)&lt;&gt;""),INDEX(職員マスタ!$K$6:$K$405,$AP2714),IF(N($W2714)&gt;0,$W2714,""))</f>
        <v/>
      </c>
      <c r="AB2714" s="14">
        <f>IF(OR($E2714="",$AA2714=""),"",IF($E2714&gt;=$AA2714,"×",IF($E2714&gt;=$AA2714*設定!$C$5,"△","○")))</f>
        <v/>
      </c>
      <c r="AC2714" s="15">
        <f>IF($AB2714="","",IF($AB2714="×",0,IF($AB2714="○",ROUNDDOWN($E2714*設定!$C$4,0),ROUNDDOWN($E2714*ROUND((9*$AA2714-9*$E2714)/(10*$E2714),4),0))))</f>
        <v/>
      </c>
      <c r="AD2714" s="13" t="n"/>
      <c r="AE2714" s="15">
        <f>IF($B2714="","",IF($AD2714&lt;&gt;"",$AD2714,IF($AC2714="","",IF($AC2714&lt;=設定!$C$3,0,$AC2714))))</f>
        <v/>
      </c>
      <c r="AF2714" s="14">
        <f>IF($B2714="","",IF(AND($AG2714&lt;&gt;"",$AI2714="",$AL2714=""),"保留中",IF($AL2714&lt;&gt;"",IF(N($AE2714)&gt;0,"支給済","不支給"),IF($AE2714="","要確認",IF($AE2714=0,"不支給","未処理")))))</f>
        <v/>
      </c>
      <c r="AG2714" s="12" t="n"/>
      <c r="AH2714" s="11" t="n"/>
      <c r="AI2714" s="11" t="n"/>
      <c r="AJ2714" s="11" t="n"/>
      <c r="AK2714" s="14">
        <f>IF(AND($AF2714="保留中",$AH2714&lt;&gt;""),TODAY()-$AH2714,"")</f>
        <v/>
      </c>
      <c r="AL2714" s="12" t="n"/>
      <c r="AM2714" s="14">
        <f>IF($B2714="","",IF($AQ2714="","対象年月が未入力／","")&amp;IF($B2714="","",IF($AP2714="","職員マスタに未登録の職員番号／",IF($AA2714="","標準報酬月額が未登録／","")&amp;IF(AND($AQ2714&lt;&gt;"",OR(AND(INDEX(職員マスタ!$G$6:$G$405,$AP2714)&lt;&gt;"",INDEX(職員マスタ!$G$6:$G$405,$AP2714)&gt;EOMONTH($AQ2714,0)),AND(INDEX(職員マスタ!$H$6:$H$405,$AP2714)&lt;&gt;"",INDEX(職員マスタ!$H$6:$H$405,$AP2714)&lt;$AQ2714))),"対象月が時短期間外／","")&amp;IF(AND(INDEX(職員マスタ!$K$6:$K$405,$AP2714)&lt;&gt;"",N($W2714)&gt;0,INDEX(職員マスタ!$K$6:$K$405,$AP2714)&lt;&gt;$W2714),"標準報酬月額が申請書と相違（台帳"&amp;TEXT(INDEX(職員マスタ!$K$6:$K$405,$AP2714),"#,##0")&amp;"円／申請書"&amp;TEXT($W2714,"#,##0")&amp;"円）／","")&amp;IF(AND(INDEX(職員マスタ!$F$6:$F$405,$AP2714)&lt;&gt;"",$AQ2714&lt;&gt;"",INDEX(職員マスタ!$F$6:$F$405,$AP2714)&lt;$AQ2714),"対象月に子が2歳到達済／","")&amp;IF(AND($H2714&lt;&gt;"",INDEX(職員マスタ!$B$6:$B$405,$AP2714)&lt;&gt;"",SUBSTITUTE(SUBSTITUTE($H2714," ","")," ","")&lt;&gt;SUBSTITUTE(SUBSTITUTE(INDEX(職員マスタ!$B$6:$B$405,$AP2714)," ","")," ","")),"氏名がマスタと相違／","")&amp;IF(AND($Q2714&lt;&gt;"",INDEX(職員マスタ!$E$6:$E$405,$AP2714)&lt;&gt;"",$Q2714&lt;&gt;INDEX(職員マスタ!$E$6:$E$405,$AP2714)),"子の生年月日がマスタと相違／","")&amp;IF(AND($L2714&lt;&gt;"",INDEX(職員マスタ!$G$6:$G$405,$AP2714)&lt;&gt;"",$L2714&lt;&gt;INDEX(職員マスタ!$G$6:$G$405,$AP2714)),"時短開始日がマスタと相違／","")&amp;IF(AND($M2714&lt;&gt;"",INDEX(職員マスタ!$H$6:$H$405,$AP2714)&lt;&gt;"",$M2714&lt;&gt;INDEX(職員マスタ!$H$6:$H$405,$AP2714)),"時短終了日がマスタと相違／","")))&amp;IF(AND($B2714&lt;&gt;"",$E2714=""),"報酬額が未入力／","")&amp;IF(N($U2714)&gt;0,"申請書に入力エラーが残っています／","")&amp;IF(AND($B2714&lt;&gt;"",$AQ2714&lt;&gt;""),IF(COUNTIFS($B$6:$B$3005,$B2714,$C$6:$C$3005,$C2714,$D$6:$D$3005,$D2714)&gt;1,"同じ月の請求が重複しています／",""),"")&amp;IF(AND(N($E2714)&gt;0,$AB2714&lt;&gt;"",$AB2714&lt;&gt;"×",$AE2714=0,$AD2714=""),"計算額が下限以下のため不支給／",""))</f>
        <v/>
      </c>
      <c r="AN2714" s="12" t="n"/>
      <c r="AO2714" s="14">
        <f>IF($AF2714="保留中",COUNTIF($AF$6:$AF2714,"保留中"),"")</f>
        <v/>
      </c>
      <c r="AP2714" s="14">
        <f>IF($AQ2714="","",IF(SUMPRODUCT(MAX((職員マスタ!$A$6:$A$405=$B2714)*(((職員マスタ!$G$6:$G$405="")+(職員マスタ!$G$6:$G$405&lt;=EOMONTH($AQ2714,0)))&gt;0)*(((職員マスタ!$H$6:$H$405="")+(職員マスタ!$H$6:$H$405&gt;=$AQ2714))&gt;0)*(ROW(職員マスタ!$A$6:$A$405)-5)))&gt;0,SUMPRODUCT(MAX((職員マスタ!$A$6:$A$405=$B2714)*(((職員マスタ!$G$6:$G$405="")+(職員マスタ!$G$6:$G$405&lt;=EOMONTH($AQ2714,0)))&gt;0)*(((職員マスタ!$H$6:$H$405="")+(職員マスタ!$H$6:$H$405&gt;=$AQ2714))&gt;0)*(ROW(職員マスタ!$A$6:$A$405)-5))),IFERROR(MATCH($B2714,職員マスタ!$A$6:$A$405,0),"")))</f>
        <v/>
      </c>
      <c r="AQ2714" s="16">
        <f>IF(OR($B2714="",$C2714="",$D2714=""),"",DATE($C2714+2018,$D2714,1))</f>
        <v/>
      </c>
    </row>
    <row r="2715">
      <c r="A2715" s="11" t="n"/>
      <c r="B2715" s="12" t="n"/>
      <c r="C2715" s="12" t="n"/>
      <c r="D2715" s="12" t="n"/>
      <c r="E2715" s="13" t="n"/>
      <c r="F2715" s="12" t="n"/>
      <c r="G2715" s="13" t="n"/>
      <c r="H2715" s="12" t="n"/>
      <c r="I2715" s="12" t="n"/>
      <c r="J2715" s="12" t="n"/>
      <c r="K2715" s="12" t="n"/>
      <c r="L2715" s="11" t="n"/>
      <c r="M2715" s="11" t="n"/>
      <c r="N2715" s="11" t="n"/>
      <c r="O2715" s="11" t="n"/>
      <c r="P2715" s="12" t="n"/>
      <c r="Q2715" s="11" t="n"/>
      <c r="R2715" s="12" t="n"/>
      <c r="S2715" s="11" t="n"/>
      <c r="T2715" s="12" t="n"/>
      <c r="U2715" s="12" t="n"/>
      <c r="V2715" s="12" t="n"/>
      <c r="W2715" s="13" t="n"/>
      <c r="X2715" s="14">
        <f>IF($AP2715="",IF($B2715="","",$H2715),IF(INDEX(職員マスタ!$B$6:$B$405,$AP2715)="",$H2715,INDEX(職員マスタ!$B$6:$B$405,$AP2715)))</f>
        <v/>
      </c>
      <c r="Y2715" s="14">
        <f>IF($AP2715="",IF($B2715="","",$R2715),IF(INDEX(職員マスタ!$C$6:$C$405,$AP2715)="",$R2715,INDEX(職員マスタ!$C$6:$C$405,$AP2715)))</f>
        <v/>
      </c>
      <c r="Z2715" s="14">
        <f>IF($AQ2715="","","R"&amp;$C2715&amp;"."&amp;$D2715)</f>
        <v/>
      </c>
      <c r="AA2715" s="15">
        <f>IF(IF($AP2715="",FALSE,INDEX(職員マスタ!$K$6:$K$405,$AP2715)&lt;&gt;""),INDEX(職員マスタ!$K$6:$K$405,$AP2715),IF(N($W2715)&gt;0,$W2715,""))</f>
        <v/>
      </c>
      <c r="AB2715" s="14">
        <f>IF(OR($E2715="",$AA2715=""),"",IF($E2715&gt;=$AA2715,"×",IF($E2715&gt;=$AA2715*設定!$C$5,"△","○")))</f>
        <v/>
      </c>
      <c r="AC2715" s="15">
        <f>IF($AB2715="","",IF($AB2715="×",0,IF($AB2715="○",ROUNDDOWN($E2715*設定!$C$4,0),ROUNDDOWN($E2715*ROUND((9*$AA2715-9*$E2715)/(10*$E2715),4),0))))</f>
        <v/>
      </c>
      <c r="AD2715" s="13" t="n"/>
      <c r="AE2715" s="15">
        <f>IF($B2715="","",IF($AD2715&lt;&gt;"",$AD2715,IF($AC2715="","",IF($AC2715&lt;=設定!$C$3,0,$AC2715))))</f>
        <v/>
      </c>
      <c r="AF2715" s="14">
        <f>IF($B2715="","",IF(AND($AG2715&lt;&gt;"",$AI2715="",$AL2715=""),"保留中",IF($AL2715&lt;&gt;"",IF(N($AE2715)&gt;0,"支給済","不支給"),IF($AE2715="","要確認",IF($AE2715=0,"不支給","未処理")))))</f>
        <v/>
      </c>
      <c r="AG2715" s="12" t="n"/>
      <c r="AH2715" s="11" t="n"/>
      <c r="AI2715" s="11" t="n"/>
      <c r="AJ2715" s="11" t="n"/>
      <c r="AK2715" s="14">
        <f>IF(AND($AF2715="保留中",$AH2715&lt;&gt;""),TODAY()-$AH2715,"")</f>
        <v/>
      </c>
      <c r="AL2715" s="12" t="n"/>
      <c r="AM2715" s="14">
        <f>IF($B2715="","",IF($AQ2715="","対象年月が未入力／","")&amp;IF($B2715="","",IF($AP2715="","職員マスタに未登録の職員番号／",IF($AA2715="","標準報酬月額が未登録／","")&amp;IF(AND($AQ2715&lt;&gt;"",OR(AND(INDEX(職員マスタ!$G$6:$G$405,$AP2715)&lt;&gt;"",INDEX(職員マスタ!$G$6:$G$405,$AP2715)&gt;EOMONTH($AQ2715,0)),AND(INDEX(職員マスタ!$H$6:$H$405,$AP2715)&lt;&gt;"",INDEX(職員マスタ!$H$6:$H$405,$AP2715)&lt;$AQ2715))),"対象月が時短期間外／","")&amp;IF(AND(INDEX(職員マスタ!$K$6:$K$405,$AP2715)&lt;&gt;"",N($W2715)&gt;0,INDEX(職員マスタ!$K$6:$K$405,$AP2715)&lt;&gt;$W2715),"標準報酬月額が申請書と相違（台帳"&amp;TEXT(INDEX(職員マスタ!$K$6:$K$405,$AP2715),"#,##0")&amp;"円／申請書"&amp;TEXT($W2715,"#,##0")&amp;"円）／","")&amp;IF(AND(INDEX(職員マスタ!$F$6:$F$405,$AP2715)&lt;&gt;"",$AQ2715&lt;&gt;"",INDEX(職員マスタ!$F$6:$F$405,$AP2715)&lt;$AQ2715),"対象月に子が2歳到達済／","")&amp;IF(AND($H2715&lt;&gt;"",INDEX(職員マスタ!$B$6:$B$405,$AP2715)&lt;&gt;"",SUBSTITUTE(SUBSTITUTE($H2715," ","")," ","")&lt;&gt;SUBSTITUTE(SUBSTITUTE(INDEX(職員マスタ!$B$6:$B$405,$AP2715)," ","")," ","")),"氏名がマスタと相違／","")&amp;IF(AND($Q2715&lt;&gt;"",INDEX(職員マスタ!$E$6:$E$405,$AP2715)&lt;&gt;"",$Q2715&lt;&gt;INDEX(職員マスタ!$E$6:$E$405,$AP2715)),"子の生年月日がマスタと相違／","")&amp;IF(AND($L2715&lt;&gt;"",INDEX(職員マスタ!$G$6:$G$405,$AP2715)&lt;&gt;"",$L2715&lt;&gt;INDEX(職員マスタ!$G$6:$G$405,$AP2715)),"時短開始日がマスタと相違／","")&amp;IF(AND($M2715&lt;&gt;"",INDEX(職員マスタ!$H$6:$H$405,$AP2715)&lt;&gt;"",$M2715&lt;&gt;INDEX(職員マスタ!$H$6:$H$405,$AP2715)),"時短終了日がマスタと相違／","")))&amp;IF(AND($B2715&lt;&gt;"",$E2715=""),"報酬額が未入力／","")&amp;IF(N($U2715)&gt;0,"申請書に入力エラーが残っています／","")&amp;IF(AND($B2715&lt;&gt;"",$AQ2715&lt;&gt;""),IF(COUNTIFS($B$6:$B$3005,$B2715,$C$6:$C$3005,$C2715,$D$6:$D$3005,$D2715)&gt;1,"同じ月の請求が重複しています／",""),"")&amp;IF(AND(N($E2715)&gt;0,$AB2715&lt;&gt;"",$AB2715&lt;&gt;"×",$AE2715=0,$AD2715=""),"計算額が下限以下のため不支給／",""))</f>
        <v/>
      </c>
      <c r="AN2715" s="12" t="n"/>
      <c r="AO2715" s="14">
        <f>IF($AF2715="保留中",COUNTIF($AF$6:$AF2715,"保留中"),"")</f>
        <v/>
      </c>
      <c r="AP2715" s="14">
        <f>IF($AQ2715="","",IF(SUMPRODUCT(MAX((職員マスタ!$A$6:$A$405=$B2715)*(((職員マスタ!$G$6:$G$405="")+(職員マスタ!$G$6:$G$405&lt;=EOMONTH($AQ2715,0)))&gt;0)*(((職員マスタ!$H$6:$H$405="")+(職員マスタ!$H$6:$H$405&gt;=$AQ2715))&gt;0)*(ROW(職員マスタ!$A$6:$A$405)-5)))&gt;0,SUMPRODUCT(MAX((職員マスタ!$A$6:$A$405=$B2715)*(((職員マスタ!$G$6:$G$405="")+(職員マスタ!$G$6:$G$405&lt;=EOMONTH($AQ2715,0)))&gt;0)*(((職員マスタ!$H$6:$H$405="")+(職員マスタ!$H$6:$H$405&gt;=$AQ2715))&gt;0)*(ROW(職員マスタ!$A$6:$A$405)-5))),IFERROR(MATCH($B2715,職員マスタ!$A$6:$A$405,0),"")))</f>
        <v/>
      </c>
      <c r="AQ2715" s="16">
        <f>IF(OR($B2715="",$C2715="",$D2715=""),"",DATE($C2715+2018,$D2715,1))</f>
        <v/>
      </c>
    </row>
    <row r="2716">
      <c r="A2716" s="11" t="n"/>
      <c r="B2716" s="12" t="n"/>
      <c r="C2716" s="12" t="n"/>
      <c r="D2716" s="12" t="n"/>
      <c r="E2716" s="13" t="n"/>
      <c r="F2716" s="12" t="n"/>
      <c r="G2716" s="13" t="n"/>
      <c r="H2716" s="12" t="n"/>
      <c r="I2716" s="12" t="n"/>
      <c r="J2716" s="12" t="n"/>
      <c r="K2716" s="12" t="n"/>
      <c r="L2716" s="11" t="n"/>
      <c r="M2716" s="11" t="n"/>
      <c r="N2716" s="11" t="n"/>
      <c r="O2716" s="11" t="n"/>
      <c r="P2716" s="12" t="n"/>
      <c r="Q2716" s="11" t="n"/>
      <c r="R2716" s="12" t="n"/>
      <c r="S2716" s="11" t="n"/>
      <c r="T2716" s="12" t="n"/>
      <c r="U2716" s="12" t="n"/>
      <c r="V2716" s="12" t="n"/>
      <c r="W2716" s="13" t="n"/>
      <c r="X2716" s="14">
        <f>IF($AP2716="",IF($B2716="","",$H2716),IF(INDEX(職員マスタ!$B$6:$B$405,$AP2716)="",$H2716,INDEX(職員マスタ!$B$6:$B$405,$AP2716)))</f>
        <v/>
      </c>
      <c r="Y2716" s="14">
        <f>IF($AP2716="",IF($B2716="","",$R2716),IF(INDEX(職員マスタ!$C$6:$C$405,$AP2716)="",$R2716,INDEX(職員マスタ!$C$6:$C$405,$AP2716)))</f>
        <v/>
      </c>
      <c r="Z2716" s="14">
        <f>IF($AQ2716="","","R"&amp;$C2716&amp;"."&amp;$D2716)</f>
        <v/>
      </c>
      <c r="AA2716" s="15">
        <f>IF(IF($AP2716="",FALSE,INDEX(職員マスタ!$K$6:$K$405,$AP2716)&lt;&gt;""),INDEX(職員マスタ!$K$6:$K$405,$AP2716),IF(N($W2716)&gt;0,$W2716,""))</f>
        <v/>
      </c>
      <c r="AB2716" s="14">
        <f>IF(OR($E2716="",$AA2716=""),"",IF($E2716&gt;=$AA2716,"×",IF($E2716&gt;=$AA2716*設定!$C$5,"△","○")))</f>
        <v/>
      </c>
      <c r="AC2716" s="15">
        <f>IF($AB2716="","",IF($AB2716="×",0,IF($AB2716="○",ROUNDDOWN($E2716*設定!$C$4,0),ROUNDDOWN($E2716*ROUND((9*$AA2716-9*$E2716)/(10*$E2716),4),0))))</f>
        <v/>
      </c>
      <c r="AD2716" s="13" t="n"/>
      <c r="AE2716" s="15">
        <f>IF($B2716="","",IF($AD2716&lt;&gt;"",$AD2716,IF($AC2716="","",IF($AC2716&lt;=設定!$C$3,0,$AC2716))))</f>
        <v/>
      </c>
      <c r="AF2716" s="14">
        <f>IF($B2716="","",IF(AND($AG2716&lt;&gt;"",$AI2716="",$AL2716=""),"保留中",IF($AL2716&lt;&gt;"",IF(N($AE2716)&gt;0,"支給済","不支給"),IF($AE2716="","要確認",IF($AE2716=0,"不支給","未処理")))))</f>
        <v/>
      </c>
      <c r="AG2716" s="12" t="n"/>
      <c r="AH2716" s="11" t="n"/>
      <c r="AI2716" s="11" t="n"/>
      <c r="AJ2716" s="11" t="n"/>
      <c r="AK2716" s="14">
        <f>IF(AND($AF2716="保留中",$AH2716&lt;&gt;""),TODAY()-$AH2716,"")</f>
        <v/>
      </c>
      <c r="AL2716" s="12" t="n"/>
      <c r="AM2716" s="14">
        <f>IF($B2716="","",IF($AQ2716="","対象年月が未入力／","")&amp;IF($B2716="","",IF($AP2716="","職員マスタに未登録の職員番号／",IF($AA2716="","標準報酬月額が未登録／","")&amp;IF(AND($AQ2716&lt;&gt;"",OR(AND(INDEX(職員マスタ!$G$6:$G$405,$AP2716)&lt;&gt;"",INDEX(職員マスタ!$G$6:$G$405,$AP2716)&gt;EOMONTH($AQ2716,0)),AND(INDEX(職員マスタ!$H$6:$H$405,$AP2716)&lt;&gt;"",INDEX(職員マスタ!$H$6:$H$405,$AP2716)&lt;$AQ2716))),"対象月が時短期間外／","")&amp;IF(AND(INDEX(職員マスタ!$K$6:$K$405,$AP2716)&lt;&gt;"",N($W2716)&gt;0,INDEX(職員マスタ!$K$6:$K$405,$AP2716)&lt;&gt;$W2716),"標準報酬月額が申請書と相違（台帳"&amp;TEXT(INDEX(職員マスタ!$K$6:$K$405,$AP2716),"#,##0")&amp;"円／申請書"&amp;TEXT($W2716,"#,##0")&amp;"円）／","")&amp;IF(AND(INDEX(職員マスタ!$F$6:$F$405,$AP2716)&lt;&gt;"",$AQ2716&lt;&gt;"",INDEX(職員マスタ!$F$6:$F$405,$AP2716)&lt;$AQ2716),"対象月に子が2歳到達済／","")&amp;IF(AND($H2716&lt;&gt;"",INDEX(職員マスタ!$B$6:$B$405,$AP2716)&lt;&gt;"",SUBSTITUTE(SUBSTITUTE($H2716," ","")," ","")&lt;&gt;SUBSTITUTE(SUBSTITUTE(INDEX(職員マスタ!$B$6:$B$405,$AP2716)," ","")," ","")),"氏名がマスタと相違／","")&amp;IF(AND($Q2716&lt;&gt;"",INDEX(職員マスタ!$E$6:$E$405,$AP2716)&lt;&gt;"",$Q2716&lt;&gt;INDEX(職員マスタ!$E$6:$E$405,$AP2716)),"子の生年月日がマスタと相違／","")&amp;IF(AND($L2716&lt;&gt;"",INDEX(職員マスタ!$G$6:$G$405,$AP2716)&lt;&gt;"",$L2716&lt;&gt;INDEX(職員マスタ!$G$6:$G$405,$AP2716)),"時短開始日がマスタと相違／","")&amp;IF(AND($M2716&lt;&gt;"",INDEX(職員マスタ!$H$6:$H$405,$AP2716)&lt;&gt;"",$M2716&lt;&gt;INDEX(職員マスタ!$H$6:$H$405,$AP2716)),"時短終了日がマスタと相違／","")))&amp;IF(AND($B2716&lt;&gt;"",$E2716=""),"報酬額が未入力／","")&amp;IF(N($U2716)&gt;0,"申請書に入力エラーが残っています／","")&amp;IF(AND($B2716&lt;&gt;"",$AQ2716&lt;&gt;""),IF(COUNTIFS($B$6:$B$3005,$B2716,$C$6:$C$3005,$C2716,$D$6:$D$3005,$D2716)&gt;1,"同じ月の請求が重複しています／",""),"")&amp;IF(AND(N($E2716)&gt;0,$AB2716&lt;&gt;"",$AB2716&lt;&gt;"×",$AE2716=0,$AD2716=""),"計算額が下限以下のため不支給／",""))</f>
        <v/>
      </c>
      <c r="AN2716" s="12" t="n"/>
      <c r="AO2716" s="14">
        <f>IF($AF2716="保留中",COUNTIF($AF$6:$AF2716,"保留中"),"")</f>
        <v/>
      </c>
      <c r="AP2716" s="14">
        <f>IF($AQ2716="","",IF(SUMPRODUCT(MAX((職員マスタ!$A$6:$A$405=$B2716)*(((職員マスタ!$G$6:$G$405="")+(職員マスタ!$G$6:$G$405&lt;=EOMONTH($AQ2716,0)))&gt;0)*(((職員マスタ!$H$6:$H$405="")+(職員マスタ!$H$6:$H$405&gt;=$AQ2716))&gt;0)*(ROW(職員マスタ!$A$6:$A$405)-5)))&gt;0,SUMPRODUCT(MAX((職員マスタ!$A$6:$A$405=$B2716)*(((職員マスタ!$G$6:$G$405="")+(職員マスタ!$G$6:$G$405&lt;=EOMONTH($AQ2716,0)))&gt;0)*(((職員マスタ!$H$6:$H$405="")+(職員マスタ!$H$6:$H$405&gt;=$AQ2716))&gt;0)*(ROW(職員マスタ!$A$6:$A$405)-5))),IFERROR(MATCH($B2716,職員マスタ!$A$6:$A$405,0),"")))</f>
        <v/>
      </c>
      <c r="AQ2716" s="16">
        <f>IF(OR($B2716="",$C2716="",$D2716=""),"",DATE($C2716+2018,$D2716,1))</f>
        <v/>
      </c>
    </row>
    <row r="2717">
      <c r="A2717" s="11" t="n"/>
      <c r="B2717" s="12" t="n"/>
      <c r="C2717" s="12" t="n"/>
      <c r="D2717" s="12" t="n"/>
      <c r="E2717" s="13" t="n"/>
      <c r="F2717" s="12" t="n"/>
      <c r="G2717" s="13" t="n"/>
      <c r="H2717" s="12" t="n"/>
      <c r="I2717" s="12" t="n"/>
      <c r="J2717" s="12" t="n"/>
      <c r="K2717" s="12" t="n"/>
      <c r="L2717" s="11" t="n"/>
      <c r="M2717" s="11" t="n"/>
      <c r="N2717" s="11" t="n"/>
      <c r="O2717" s="11" t="n"/>
      <c r="P2717" s="12" t="n"/>
      <c r="Q2717" s="11" t="n"/>
      <c r="R2717" s="12" t="n"/>
      <c r="S2717" s="11" t="n"/>
      <c r="T2717" s="12" t="n"/>
      <c r="U2717" s="12" t="n"/>
      <c r="V2717" s="12" t="n"/>
      <c r="W2717" s="13" t="n"/>
      <c r="X2717" s="14">
        <f>IF($AP2717="",IF($B2717="","",$H2717),IF(INDEX(職員マスタ!$B$6:$B$405,$AP2717)="",$H2717,INDEX(職員マスタ!$B$6:$B$405,$AP2717)))</f>
        <v/>
      </c>
      <c r="Y2717" s="14">
        <f>IF($AP2717="",IF($B2717="","",$R2717),IF(INDEX(職員マスタ!$C$6:$C$405,$AP2717)="",$R2717,INDEX(職員マスタ!$C$6:$C$405,$AP2717)))</f>
        <v/>
      </c>
      <c r="Z2717" s="14">
        <f>IF($AQ2717="","","R"&amp;$C2717&amp;"."&amp;$D2717)</f>
        <v/>
      </c>
      <c r="AA2717" s="15">
        <f>IF(IF($AP2717="",FALSE,INDEX(職員マスタ!$K$6:$K$405,$AP2717)&lt;&gt;""),INDEX(職員マスタ!$K$6:$K$405,$AP2717),IF(N($W2717)&gt;0,$W2717,""))</f>
        <v/>
      </c>
      <c r="AB2717" s="14">
        <f>IF(OR($E2717="",$AA2717=""),"",IF($E2717&gt;=$AA2717,"×",IF($E2717&gt;=$AA2717*設定!$C$5,"△","○")))</f>
        <v/>
      </c>
      <c r="AC2717" s="15">
        <f>IF($AB2717="","",IF($AB2717="×",0,IF($AB2717="○",ROUNDDOWN($E2717*設定!$C$4,0),ROUNDDOWN($E2717*ROUND((9*$AA2717-9*$E2717)/(10*$E2717),4),0))))</f>
        <v/>
      </c>
      <c r="AD2717" s="13" t="n"/>
      <c r="AE2717" s="15">
        <f>IF($B2717="","",IF($AD2717&lt;&gt;"",$AD2717,IF($AC2717="","",IF($AC2717&lt;=設定!$C$3,0,$AC2717))))</f>
        <v/>
      </c>
      <c r="AF2717" s="14">
        <f>IF($B2717="","",IF(AND($AG2717&lt;&gt;"",$AI2717="",$AL2717=""),"保留中",IF($AL2717&lt;&gt;"",IF(N($AE2717)&gt;0,"支給済","不支給"),IF($AE2717="","要確認",IF($AE2717=0,"不支給","未処理")))))</f>
        <v/>
      </c>
      <c r="AG2717" s="12" t="n"/>
      <c r="AH2717" s="11" t="n"/>
      <c r="AI2717" s="11" t="n"/>
      <c r="AJ2717" s="11" t="n"/>
      <c r="AK2717" s="14">
        <f>IF(AND($AF2717="保留中",$AH2717&lt;&gt;""),TODAY()-$AH2717,"")</f>
        <v/>
      </c>
      <c r="AL2717" s="12" t="n"/>
      <c r="AM2717" s="14">
        <f>IF($B2717="","",IF($AQ2717="","対象年月が未入力／","")&amp;IF($B2717="","",IF($AP2717="","職員マスタに未登録の職員番号／",IF($AA2717="","標準報酬月額が未登録／","")&amp;IF(AND($AQ2717&lt;&gt;"",OR(AND(INDEX(職員マスタ!$G$6:$G$405,$AP2717)&lt;&gt;"",INDEX(職員マスタ!$G$6:$G$405,$AP2717)&gt;EOMONTH($AQ2717,0)),AND(INDEX(職員マスタ!$H$6:$H$405,$AP2717)&lt;&gt;"",INDEX(職員マスタ!$H$6:$H$405,$AP2717)&lt;$AQ2717))),"対象月が時短期間外／","")&amp;IF(AND(INDEX(職員マスタ!$K$6:$K$405,$AP2717)&lt;&gt;"",N($W2717)&gt;0,INDEX(職員マスタ!$K$6:$K$405,$AP2717)&lt;&gt;$W2717),"標準報酬月額が申請書と相違（台帳"&amp;TEXT(INDEX(職員マスタ!$K$6:$K$405,$AP2717),"#,##0")&amp;"円／申請書"&amp;TEXT($W2717,"#,##0")&amp;"円）／","")&amp;IF(AND(INDEX(職員マスタ!$F$6:$F$405,$AP2717)&lt;&gt;"",$AQ2717&lt;&gt;"",INDEX(職員マスタ!$F$6:$F$405,$AP2717)&lt;$AQ2717),"対象月に子が2歳到達済／","")&amp;IF(AND($H2717&lt;&gt;"",INDEX(職員マスタ!$B$6:$B$405,$AP2717)&lt;&gt;"",SUBSTITUTE(SUBSTITUTE($H2717," ","")," ","")&lt;&gt;SUBSTITUTE(SUBSTITUTE(INDEX(職員マスタ!$B$6:$B$405,$AP2717)," ","")," ","")),"氏名がマスタと相違／","")&amp;IF(AND($Q2717&lt;&gt;"",INDEX(職員マスタ!$E$6:$E$405,$AP2717)&lt;&gt;"",$Q2717&lt;&gt;INDEX(職員マスタ!$E$6:$E$405,$AP2717)),"子の生年月日がマスタと相違／","")&amp;IF(AND($L2717&lt;&gt;"",INDEX(職員マスタ!$G$6:$G$405,$AP2717)&lt;&gt;"",$L2717&lt;&gt;INDEX(職員マスタ!$G$6:$G$405,$AP2717)),"時短開始日がマスタと相違／","")&amp;IF(AND($M2717&lt;&gt;"",INDEX(職員マスタ!$H$6:$H$405,$AP2717)&lt;&gt;"",$M2717&lt;&gt;INDEX(職員マスタ!$H$6:$H$405,$AP2717)),"時短終了日がマスタと相違／","")))&amp;IF(AND($B2717&lt;&gt;"",$E2717=""),"報酬額が未入力／","")&amp;IF(N($U2717)&gt;0,"申請書に入力エラーが残っています／","")&amp;IF(AND($B2717&lt;&gt;"",$AQ2717&lt;&gt;""),IF(COUNTIFS($B$6:$B$3005,$B2717,$C$6:$C$3005,$C2717,$D$6:$D$3005,$D2717)&gt;1,"同じ月の請求が重複しています／",""),"")&amp;IF(AND(N($E2717)&gt;0,$AB2717&lt;&gt;"",$AB2717&lt;&gt;"×",$AE2717=0,$AD2717=""),"計算額が下限以下のため不支給／",""))</f>
        <v/>
      </c>
      <c r="AN2717" s="12" t="n"/>
      <c r="AO2717" s="14">
        <f>IF($AF2717="保留中",COUNTIF($AF$6:$AF2717,"保留中"),"")</f>
        <v/>
      </c>
      <c r="AP2717" s="14">
        <f>IF($AQ2717="","",IF(SUMPRODUCT(MAX((職員マスタ!$A$6:$A$405=$B2717)*(((職員マスタ!$G$6:$G$405="")+(職員マスタ!$G$6:$G$405&lt;=EOMONTH($AQ2717,0)))&gt;0)*(((職員マスタ!$H$6:$H$405="")+(職員マスタ!$H$6:$H$405&gt;=$AQ2717))&gt;0)*(ROW(職員マスタ!$A$6:$A$405)-5)))&gt;0,SUMPRODUCT(MAX((職員マスタ!$A$6:$A$405=$B2717)*(((職員マスタ!$G$6:$G$405="")+(職員マスタ!$G$6:$G$405&lt;=EOMONTH($AQ2717,0)))&gt;0)*(((職員マスタ!$H$6:$H$405="")+(職員マスタ!$H$6:$H$405&gt;=$AQ2717))&gt;0)*(ROW(職員マスタ!$A$6:$A$405)-5))),IFERROR(MATCH($B2717,職員マスタ!$A$6:$A$405,0),"")))</f>
        <v/>
      </c>
      <c r="AQ2717" s="16">
        <f>IF(OR($B2717="",$C2717="",$D2717=""),"",DATE($C2717+2018,$D2717,1))</f>
        <v/>
      </c>
    </row>
    <row r="2718">
      <c r="A2718" s="11" t="n"/>
      <c r="B2718" s="12" t="n"/>
      <c r="C2718" s="12" t="n"/>
      <c r="D2718" s="12" t="n"/>
      <c r="E2718" s="13" t="n"/>
      <c r="F2718" s="12" t="n"/>
      <c r="G2718" s="13" t="n"/>
      <c r="H2718" s="12" t="n"/>
      <c r="I2718" s="12" t="n"/>
      <c r="J2718" s="12" t="n"/>
      <c r="K2718" s="12" t="n"/>
      <c r="L2718" s="11" t="n"/>
      <c r="M2718" s="11" t="n"/>
      <c r="N2718" s="11" t="n"/>
      <c r="O2718" s="11" t="n"/>
      <c r="P2718" s="12" t="n"/>
      <c r="Q2718" s="11" t="n"/>
      <c r="R2718" s="12" t="n"/>
      <c r="S2718" s="11" t="n"/>
      <c r="T2718" s="12" t="n"/>
      <c r="U2718" s="12" t="n"/>
      <c r="V2718" s="12" t="n"/>
      <c r="W2718" s="13" t="n"/>
      <c r="X2718" s="14">
        <f>IF($AP2718="",IF($B2718="","",$H2718),IF(INDEX(職員マスタ!$B$6:$B$405,$AP2718)="",$H2718,INDEX(職員マスタ!$B$6:$B$405,$AP2718)))</f>
        <v/>
      </c>
      <c r="Y2718" s="14">
        <f>IF($AP2718="",IF($B2718="","",$R2718),IF(INDEX(職員マスタ!$C$6:$C$405,$AP2718)="",$R2718,INDEX(職員マスタ!$C$6:$C$405,$AP2718)))</f>
        <v/>
      </c>
      <c r="Z2718" s="14">
        <f>IF($AQ2718="","","R"&amp;$C2718&amp;"."&amp;$D2718)</f>
        <v/>
      </c>
      <c r="AA2718" s="15">
        <f>IF(IF($AP2718="",FALSE,INDEX(職員マスタ!$K$6:$K$405,$AP2718)&lt;&gt;""),INDEX(職員マスタ!$K$6:$K$405,$AP2718),IF(N($W2718)&gt;0,$W2718,""))</f>
        <v/>
      </c>
      <c r="AB2718" s="14">
        <f>IF(OR($E2718="",$AA2718=""),"",IF($E2718&gt;=$AA2718,"×",IF($E2718&gt;=$AA2718*設定!$C$5,"△","○")))</f>
        <v/>
      </c>
      <c r="AC2718" s="15">
        <f>IF($AB2718="","",IF($AB2718="×",0,IF($AB2718="○",ROUNDDOWN($E2718*設定!$C$4,0),ROUNDDOWN($E2718*ROUND((9*$AA2718-9*$E2718)/(10*$E2718),4),0))))</f>
        <v/>
      </c>
      <c r="AD2718" s="13" t="n"/>
      <c r="AE2718" s="15">
        <f>IF($B2718="","",IF($AD2718&lt;&gt;"",$AD2718,IF($AC2718="","",IF($AC2718&lt;=設定!$C$3,0,$AC2718))))</f>
        <v/>
      </c>
      <c r="AF2718" s="14">
        <f>IF($B2718="","",IF(AND($AG2718&lt;&gt;"",$AI2718="",$AL2718=""),"保留中",IF($AL2718&lt;&gt;"",IF(N($AE2718)&gt;0,"支給済","不支給"),IF($AE2718="","要確認",IF($AE2718=0,"不支給","未処理")))))</f>
        <v/>
      </c>
      <c r="AG2718" s="12" t="n"/>
      <c r="AH2718" s="11" t="n"/>
      <c r="AI2718" s="11" t="n"/>
      <c r="AJ2718" s="11" t="n"/>
      <c r="AK2718" s="14">
        <f>IF(AND($AF2718="保留中",$AH2718&lt;&gt;""),TODAY()-$AH2718,"")</f>
        <v/>
      </c>
      <c r="AL2718" s="12" t="n"/>
      <c r="AM2718" s="14">
        <f>IF($B2718="","",IF($AQ2718="","対象年月が未入力／","")&amp;IF($B2718="","",IF($AP2718="","職員マスタに未登録の職員番号／",IF($AA2718="","標準報酬月額が未登録／","")&amp;IF(AND($AQ2718&lt;&gt;"",OR(AND(INDEX(職員マスタ!$G$6:$G$405,$AP2718)&lt;&gt;"",INDEX(職員マスタ!$G$6:$G$405,$AP2718)&gt;EOMONTH($AQ2718,0)),AND(INDEX(職員マスタ!$H$6:$H$405,$AP2718)&lt;&gt;"",INDEX(職員マスタ!$H$6:$H$405,$AP2718)&lt;$AQ2718))),"対象月が時短期間外／","")&amp;IF(AND(INDEX(職員マスタ!$K$6:$K$405,$AP2718)&lt;&gt;"",N($W2718)&gt;0,INDEX(職員マスタ!$K$6:$K$405,$AP2718)&lt;&gt;$W2718),"標準報酬月額が申請書と相違（台帳"&amp;TEXT(INDEX(職員マスタ!$K$6:$K$405,$AP2718),"#,##0")&amp;"円／申請書"&amp;TEXT($W2718,"#,##0")&amp;"円）／","")&amp;IF(AND(INDEX(職員マスタ!$F$6:$F$405,$AP2718)&lt;&gt;"",$AQ2718&lt;&gt;"",INDEX(職員マスタ!$F$6:$F$405,$AP2718)&lt;$AQ2718),"対象月に子が2歳到達済／","")&amp;IF(AND($H2718&lt;&gt;"",INDEX(職員マスタ!$B$6:$B$405,$AP2718)&lt;&gt;"",SUBSTITUTE(SUBSTITUTE($H2718," ","")," ","")&lt;&gt;SUBSTITUTE(SUBSTITUTE(INDEX(職員マスタ!$B$6:$B$405,$AP2718)," ","")," ","")),"氏名がマスタと相違／","")&amp;IF(AND($Q2718&lt;&gt;"",INDEX(職員マスタ!$E$6:$E$405,$AP2718)&lt;&gt;"",$Q2718&lt;&gt;INDEX(職員マスタ!$E$6:$E$405,$AP2718)),"子の生年月日がマスタと相違／","")&amp;IF(AND($L2718&lt;&gt;"",INDEX(職員マスタ!$G$6:$G$405,$AP2718)&lt;&gt;"",$L2718&lt;&gt;INDEX(職員マスタ!$G$6:$G$405,$AP2718)),"時短開始日がマスタと相違／","")&amp;IF(AND($M2718&lt;&gt;"",INDEX(職員マスタ!$H$6:$H$405,$AP2718)&lt;&gt;"",$M2718&lt;&gt;INDEX(職員マスタ!$H$6:$H$405,$AP2718)),"時短終了日がマスタと相違／","")))&amp;IF(AND($B2718&lt;&gt;"",$E2718=""),"報酬額が未入力／","")&amp;IF(N($U2718)&gt;0,"申請書に入力エラーが残っています／","")&amp;IF(AND($B2718&lt;&gt;"",$AQ2718&lt;&gt;""),IF(COUNTIFS($B$6:$B$3005,$B2718,$C$6:$C$3005,$C2718,$D$6:$D$3005,$D2718)&gt;1,"同じ月の請求が重複しています／",""),"")&amp;IF(AND(N($E2718)&gt;0,$AB2718&lt;&gt;"",$AB2718&lt;&gt;"×",$AE2718=0,$AD2718=""),"計算額が下限以下のため不支給／",""))</f>
        <v/>
      </c>
      <c r="AN2718" s="12" t="n"/>
      <c r="AO2718" s="14">
        <f>IF($AF2718="保留中",COUNTIF($AF$6:$AF2718,"保留中"),"")</f>
        <v/>
      </c>
      <c r="AP2718" s="14">
        <f>IF($AQ2718="","",IF(SUMPRODUCT(MAX((職員マスタ!$A$6:$A$405=$B2718)*(((職員マスタ!$G$6:$G$405="")+(職員マスタ!$G$6:$G$405&lt;=EOMONTH($AQ2718,0)))&gt;0)*(((職員マスタ!$H$6:$H$405="")+(職員マスタ!$H$6:$H$405&gt;=$AQ2718))&gt;0)*(ROW(職員マスタ!$A$6:$A$405)-5)))&gt;0,SUMPRODUCT(MAX((職員マスタ!$A$6:$A$405=$B2718)*(((職員マスタ!$G$6:$G$405="")+(職員マスタ!$G$6:$G$405&lt;=EOMONTH($AQ2718,0)))&gt;0)*(((職員マスタ!$H$6:$H$405="")+(職員マスタ!$H$6:$H$405&gt;=$AQ2718))&gt;0)*(ROW(職員マスタ!$A$6:$A$405)-5))),IFERROR(MATCH($B2718,職員マスタ!$A$6:$A$405,0),"")))</f>
        <v/>
      </c>
      <c r="AQ2718" s="16">
        <f>IF(OR($B2718="",$C2718="",$D2718=""),"",DATE($C2718+2018,$D2718,1))</f>
        <v/>
      </c>
    </row>
    <row r="2719">
      <c r="A2719" s="11" t="n"/>
      <c r="B2719" s="12" t="n"/>
      <c r="C2719" s="12" t="n"/>
      <c r="D2719" s="12" t="n"/>
      <c r="E2719" s="13" t="n"/>
      <c r="F2719" s="12" t="n"/>
      <c r="G2719" s="13" t="n"/>
      <c r="H2719" s="12" t="n"/>
      <c r="I2719" s="12" t="n"/>
      <c r="J2719" s="12" t="n"/>
      <c r="K2719" s="12" t="n"/>
      <c r="L2719" s="11" t="n"/>
      <c r="M2719" s="11" t="n"/>
      <c r="N2719" s="11" t="n"/>
      <c r="O2719" s="11" t="n"/>
      <c r="P2719" s="12" t="n"/>
      <c r="Q2719" s="11" t="n"/>
      <c r="R2719" s="12" t="n"/>
      <c r="S2719" s="11" t="n"/>
      <c r="T2719" s="12" t="n"/>
      <c r="U2719" s="12" t="n"/>
      <c r="V2719" s="12" t="n"/>
      <c r="W2719" s="13" t="n"/>
      <c r="X2719" s="14">
        <f>IF($AP2719="",IF($B2719="","",$H2719),IF(INDEX(職員マスタ!$B$6:$B$405,$AP2719)="",$H2719,INDEX(職員マスタ!$B$6:$B$405,$AP2719)))</f>
        <v/>
      </c>
      <c r="Y2719" s="14">
        <f>IF($AP2719="",IF($B2719="","",$R2719),IF(INDEX(職員マスタ!$C$6:$C$405,$AP2719)="",$R2719,INDEX(職員マスタ!$C$6:$C$405,$AP2719)))</f>
        <v/>
      </c>
      <c r="Z2719" s="14">
        <f>IF($AQ2719="","","R"&amp;$C2719&amp;"."&amp;$D2719)</f>
        <v/>
      </c>
      <c r="AA2719" s="15">
        <f>IF(IF($AP2719="",FALSE,INDEX(職員マスタ!$K$6:$K$405,$AP2719)&lt;&gt;""),INDEX(職員マスタ!$K$6:$K$405,$AP2719),IF(N($W2719)&gt;0,$W2719,""))</f>
        <v/>
      </c>
      <c r="AB2719" s="14">
        <f>IF(OR($E2719="",$AA2719=""),"",IF($E2719&gt;=$AA2719,"×",IF($E2719&gt;=$AA2719*設定!$C$5,"△","○")))</f>
        <v/>
      </c>
      <c r="AC2719" s="15">
        <f>IF($AB2719="","",IF($AB2719="×",0,IF($AB2719="○",ROUNDDOWN($E2719*設定!$C$4,0),ROUNDDOWN($E2719*ROUND((9*$AA2719-9*$E2719)/(10*$E2719),4),0))))</f>
        <v/>
      </c>
      <c r="AD2719" s="13" t="n"/>
      <c r="AE2719" s="15">
        <f>IF($B2719="","",IF($AD2719&lt;&gt;"",$AD2719,IF($AC2719="","",IF($AC2719&lt;=設定!$C$3,0,$AC2719))))</f>
        <v/>
      </c>
      <c r="AF2719" s="14">
        <f>IF($B2719="","",IF(AND($AG2719&lt;&gt;"",$AI2719="",$AL2719=""),"保留中",IF($AL2719&lt;&gt;"",IF(N($AE2719)&gt;0,"支給済","不支給"),IF($AE2719="","要確認",IF($AE2719=0,"不支給","未処理")))))</f>
        <v/>
      </c>
      <c r="AG2719" s="12" t="n"/>
      <c r="AH2719" s="11" t="n"/>
      <c r="AI2719" s="11" t="n"/>
      <c r="AJ2719" s="11" t="n"/>
      <c r="AK2719" s="14">
        <f>IF(AND($AF2719="保留中",$AH2719&lt;&gt;""),TODAY()-$AH2719,"")</f>
        <v/>
      </c>
      <c r="AL2719" s="12" t="n"/>
      <c r="AM2719" s="14">
        <f>IF($B2719="","",IF($AQ2719="","対象年月が未入力／","")&amp;IF($B2719="","",IF($AP2719="","職員マスタに未登録の職員番号／",IF($AA2719="","標準報酬月額が未登録／","")&amp;IF(AND($AQ2719&lt;&gt;"",OR(AND(INDEX(職員マスタ!$G$6:$G$405,$AP2719)&lt;&gt;"",INDEX(職員マスタ!$G$6:$G$405,$AP2719)&gt;EOMONTH($AQ2719,0)),AND(INDEX(職員マスタ!$H$6:$H$405,$AP2719)&lt;&gt;"",INDEX(職員マスタ!$H$6:$H$405,$AP2719)&lt;$AQ2719))),"対象月が時短期間外／","")&amp;IF(AND(INDEX(職員マスタ!$K$6:$K$405,$AP2719)&lt;&gt;"",N($W2719)&gt;0,INDEX(職員マスタ!$K$6:$K$405,$AP2719)&lt;&gt;$W2719),"標準報酬月額が申請書と相違（台帳"&amp;TEXT(INDEX(職員マスタ!$K$6:$K$405,$AP2719),"#,##0")&amp;"円／申請書"&amp;TEXT($W2719,"#,##0")&amp;"円）／","")&amp;IF(AND(INDEX(職員マスタ!$F$6:$F$405,$AP2719)&lt;&gt;"",$AQ2719&lt;&gt;"",INDEX(職員マスタ!$F$6:$F$405,$AP2719)&lt;$AQ2719),"対象月に子が2歳到達済／","")&amp;IF(AND($H2719&lt;&gt;"",INDEX(職員マスタ!$B$6:$B$405,$AP2719)&lt;&gt;"",SUBSTITUTE(SUBSTITUTE($H2719," ","")," ","")&lt;&gt;SUBSTITUTE(SUBSTITUTE(INDEX(職員マスタ!$B$6:$B$405,$AP2719)," ","")," ","")),"氏名がマスタと相違／","")&amp;IF(AND($Q2719&lt;&gt;"",INDEX(職員マスタ!$E$6:$E$405,$AP2719)&lt;&gt;"",$Q2719&lt;&gt;INDEX(職員マスタ!$E$6:$E$405,$AP2719)),"子の生年月日がマスタと相違／","")&amp;IF(AND($L2719&lt;&gt;"",INDEX(職員マスタ!$G$6:$G$405,$AP2719)&lt;&gt;"",$L2719&lt;&gt;INDEX(職員マスタ!$G$6:$G$405,$AP2719)),"時短開始日がマスタと相違／","")&amp;IF(AND($M2719&lt;&gt;"",INDEX(職員マスタ!$H$6:$H$405,$AP2719)&lt;&gt;"",$M2719&lt;&gt;INDEX(職員マスタ!$H$6:$H$405,$AP2719)),"時短終了日がマスタと相違／","")))&amp;IF(AND($B2719&lt;&gt;"",$E2719=""),"報酬額が未入力／","")&amp;IF(N($U2719)&gt;0,"申請書に入力エラーが残っています／","")&amp;IF(AND($B2719&lt;&gt;"",$AQ2719&lt;&gt;""),IF(COUNTIFS($B$6:$B$3005,$B2719,$C$6:$C$3005,$C2719,$D$6:$D$3005,$D2719)&gt;1,"同じ月の請求が重複しています／",""),"")&amp;IF(AND(N($E2719)&gt;0,$AB2719&lt;&gt;"",$AB2719&lt;&gt;"×",$AE2719=0,$AD2719=""),"計算額が下限以下のため不支給／",""))</f>
        <v/>
      </c>
      <c r="AN2719" s="12" t="n"/>
      <c r="AO2719" s="14">
        <f>IF($AF2719="保留中",COUNTIF($AF$6:$AF2719,"保留中"),"")</f>
        <v/>
      </c>
      <c r="AP2719" s="14">
        <f>IF($AQ2719="","",IF(SUMPRODUCT(MAX((職員マスタ!$A$6:$A$405=$B2719)*(((職員マスタ!$G$6:$G$405="")+(職員マスタ!$G$6:$G$405&lt;=EOMONTH($AQ2719,0)))&gt;0)*(((職員マスタ!$H$6:$H$405="")+(職員マスタ!$H$6:$H$405&gt;=$AQ2719))&gt;0)*(ROW(職員マスタ!$A$6:$A$405)-5)))&gt;0,SUMPRODUCT(MAX((職員マスタ!$A$6:$A$405=$B2719)*(((職員マスタ!$G$6:$G$405="")+(職員マスタ!$G$6:$G$405&lt;=EOMONTH($AQ2719,0)))&gt;0)*(((職員マスタ!$H$6:$H$405="")+(職員マスタ!$H$6:$H$405&gt;=$AQ2719))&gt;0)*(ROW(職員マスタ!$A$6:$A$405)-5))),IFERROR(MATCH($B2719,職員マスタ!$A$6:$A$405,0),"")))</f>
        <v/>
      </c>
      <c r="AQ2719" s="16">
        <f>IF(OR($B2719="",$C2719="",$D2719=""),"",DATE($C2719+2018,$D2719,1))</f>
        <v/>
      </c>
    </row>
    <row r="2720">
      <c r="A2720" s="11" t="n"/>
      <c r="B2720" s="12" t="n"/>
      <c r="C2720" s="12" t="n"/>
      <c r="D2720" s="12" t="n"/>
      <c r="E2720" s="13" t="n"/>
      <c r="F2720" s="12" t="n"/>
      <c r="G2720" s="13" t="n"/>
      <c r="H2720" s="12" t="n"/>
      <c r="I2720" s="12" t="n"/>
      <c r="J2720" s="12" t="n"/>
      <c r="K2720" s="12" t="n"/>
      <c r="L2720" s="11" t="n"/>
      <c r="M2720" s="11" t="n"/>
      <c r="N2720" s="11" t="n"/>
      <c r="O2720" s="11" t="n"/>
      <c r="P2720" s="12" t="n"/>
      <c r="Q2720" s="11" t="n"/>
      <c r="R2720" s="12" t="n"/>
      <c r="S2720" s="11" t="n"/>
      <c r="T2720" s="12" t="n"/>
      <c r="U2720" s="12" t="n"/>
      <c r="V2720" s="12" t="n"/>
      <c r="W2720" s="13" t="n"/>
      <c r="X2720" s="14">
        <f>IF($AP2720="",IF($B2720="","",$H2720),IF(INDEX(職員マスタ!$B$6:$B$405,$AP2720)="",$H2720,INDEX(職員マスタ!$B$6:$B$405,$AP2720)))</f>
        <v/>
      </c>
      <c r="Y2720" s="14">
        <f>IF($AP2720="",IF($B2720="","",$R2720),IF(INDEX(職員マスタ!$C$6:$C$405,$AP2720)="",$R2720,INDEX(職員マスタ!$C$6:$C$405,$AP2720)))</f>
        <v/>
      </c>
      <c r="Z2720" s="14">
        <f>IF($AQ2720="","","R"&amp;$C2720&amp;"."&amp;$D2720)</f>
        <v/>
      </c>
      <c r="AA2720" s="15">
        <f>IF(IF($AP2720="",FALSE,INDEX(職員マスタ!$K$6:$K$405,$AP2720)&lt;&gt;""),INDEX(職員マスタ!$K$6:$K$405,$AP2720),IF(N($W2720)&gt;0,$W2720,""))</f>
        <v/>
      </c>
      <c r="AB2720" s="14">
        <f>IF(OR($E2720="",$AA2720=""),"",IF($E2720&gt;=$AA2720,"×",IF($E2720&gt;=$AA2720*設定!$C$5,"△","○")))</f>
        <v/>
      </c>
      <c r="AC2720" s="15">
        <f>IF($AB2720="","",IF($AB2720="×",0,IF($AB2720="○",ROUNDDOWN($E2720*設定!$C$4,0),ROUNDDOWN($E2720*ROUND((9*$AA2720-9*$E2720)/(10*$E2720),4),0))))</f>
        <v/>
      </c>
      <c r="AD2720" s="13" t="n"/>
      <c r="AE2720" s="15">
        <f>IF($B2720="","",IF($AD2720&lt;&gt;"",$AD2720,IF($AC2720="","",IF($AC2720&lt;=設定!$C$3,0,$AC2720))))</f>
        <v/>
      </c>
      <c r="AF2720" s="14">
        <f>IF($B2720="","",IF(AND($AG2720&lt;&gt;"",$AI2720="",$AL2720=""),"保留中",IF($AL2720&lt;&gt;"",IF(N($AE2720)&gt;0,"支給済","不支給"),IF($AE2720="","要確認",IF($AE2720=0,"不支給","未処理")))))</f>
        <v/>
      </c>
      <c r="AG2720" s="12" t="n"/>
      <c r="AH2720" s="11" t="n"/>
      <c r="AI2720" s="11" t="n"/>
      <c r="AJ2720" s="11" t="n"/>
      <c r="AK2720" s="14">
        <f>IF(AND($AF2720="保留中",$AH2720&lt;&gt;""),TODAY()-$AH2720,"")</f>
        <v/>
      </c>
      <c r="AL2720" s="12" t="n"/>
      <c r="AM2720" s="14">
        <f>IF($B2720="","",IF($AQ2720="","対象年月が未入力／","")&amp;IF($B2720="","",IF($AP2720="","職員マスタに未登録の職員番号／",IF($AA2720="","標準報酬月額が未登録／","")&amp;IF(AND($AQ2720&lt;&gt;"",OR(AND(INDEX(職員マスタ!$G$6:$G$405,$AP2720)&lt;&gt;"",INDEX(職員マスタ!$G$6:$G$405,$AP2720)&gt;EOMONTH($AQ2720,0)),AND(INDEX(職員マスタ!$H$6:$H$405,$AP2720)&lt;&gt;"",INDEX(職員マスタ!$H$6:$H$405,$AP2720)&lt;$AQ2720))),"対象月が時短期間外／","")&amp;IF(AND(INDEX(職員マスタ!$K$6:$K$405,$AP2720)&lt;&gt;"",N($W2720)&gt;0,INDEX(職員マスタ!$K$6:$K$405,$AP2720)&lt;&gt;$W2720),"標準報酬月額が申請書と相違（台帳"&amp;TEXT(INDEX(職員マスタ!$K$6:$K$405,$AP2720),"#,##0")&amp;"円／申請書"&amp;TEXT($W2720,"#,##0")&amp;"円）／","")&amp;IF(AND(INDEX(職員マスタ!$F$6:$F$405,$AP2720)&lt;&gt;"",$AQ2720&lt;&gt;"",INDEX(職員マスタ!$F$6:$F$405,$AP2720)&lt;$AQ2720),"対象月に子が2歳到達済／","")&amp;IF(AND($H2720&lt;&gt;"",INDEX(職員マスタ!$B$6:$B$405,$AP2720)&lt;&gt;"",SUBSTITUTE(SUBSTITUTE($H2720," ","")," ","")&lt;&gt;SUBSTITUTE(SUBSTITUTE(INDEX(職員マスタ!$B$6:$B$405,$AP2720)," ","")," ","")),"氏名がマスタと相違／","")&amp;IF(AND($Q2720&lt;&gt;"",INDEX(職員マスタ!$E$6:$E$405,$AP2720)&lt;&gt;"",$Q2720&lt;&gt;INDEX(職員マスタ!$E$6:$E$405,$AP2720)),"子の生年月日がマスタと相違／","")&amp;IF(AND($L2720&lt;&gt;"",INDEX(職員マスタ!$G$6:$G$405,$AP2720)&lt;&gt;"",$L2720&lt;&gt;INDEX(職員マスタ!$G$6:$G$405,$AP2720)),"時短開始日がマスタと相違／","")&amp;IF(AND($M2720&lt;&gt;"",INDEX(職員マスタ!$H$6:$H$405,$AP2720)&lt;&gt;"",$M2720&lt;&gt;INDEX(職員マスタ!$H$6:$H$405,$AP2720)),"時短終了日がマスタと相違／","")))&amp;IF(AND($B2720&lt;&gt;"",$E2720=""),"報酬額が未入力／","")&amp;IF(N($U2720)&gt;0,"申請書に入力エラーが残っています／","")&amp;IF(AND($B2720&lt;&gt;"",$AQ2720&lt;&gt;""),IF(COUNTIFS($B$6:$B$3005,$B2720,$C$6:$C$3005,$C2720,$D$6:$D$3005,$D2720)&gt;1,"同じ月の請求が重複しています／",""),"")&amp;IF(AND(N($E2720)&gt;0,$AB2720&lt;&gt;"",$AB2720&lt;&gt;"×",$AE2720=0,$AD2720=""),"計算額が下限以下のため不支給／",""))</f>
        <v/>
      </c>
      <c r="AN2720" s="12" t="n"/>
      <c r="AO2720" s="14">
        <f>IF($AF2720="保留中",COUNTIF($AF$6:$AF2720,"保留中"),"")</f>
        <v/>
      </c>
      <c r="AP2720" s="14">
        <f>IF($AQ2720="","",IF(SUMPRODUCT(MAX((職員マスタ!$A$6:$A$405=$B2720)*(((職員マスタ!$G$6:$G$405="")+(職員マスタ!$G$6:$G$405&lt;=EOMONTH($AQ2720,0)))&gt;0)*(((職員マスタ!$H$6:$H$405="")+(職員マスタ!$H$6:$H$405&gt;=$AQ2720))&gt;0)*(ROW(職員マスタ!$A$6:$A$405)-5)))&gt;0,SUMPRODUCT(MAX((職員マスタ!$A$6:$A$405=$B2720)*(((職員マスタ!$G$6:$G$405="")+(職員マスタ!$G$6:$G$405&lt;=EOMONTH($AQ2720,0)))&gt;0)*(((職員マスタ!$H$6:$H$405="")+(職員マスタ!$H$6:$H$405&gt;=$AQ2720))&gt;0)*(ROW(職員マスタ!$A$6:$A$405)-5))),IFERROR(MATCH($B2720,職員マスタ!$A$6:$A$405,0),"")))</f>
        <v/>
      </c>
      <c r="AQ2720" s="16">
        <f>IF(OR($B2720="",$C2720="",$D2720=""),"",DATE($C2720+2018,$D2720,1))</f>
        <v/>
      </c>
    </row>
    <row r="2721">
      <c r="A2721" s="11" t="n"/>
      <c r="B2721" s="12" t="n"/>
      <c r="C2721" s="12" t="n"/>
      <c r="D2721" s="12" t="n"/>
      <c r="E2721" s="13" t="n"/>
      <c r="F2721" s="12" t="n"/>
      <c r="G2721" s="13" t="n"/>
      <c r="H2721" s="12" t="n"/>
      <c r="I2721" s="12" t="n"/>
      <c r="J2721" s="12" t="n"/>
      <c r="K2721" s="12" t="n"/>
      <c r="L2721" s="11" t="n"/>
      <c r="M2721" s="11" t="n"/>
      <c r="N2721" s="11" t="n"/>
      <c r="O2721" s="11" t="n"/>
      <c r="P2721" s="12" t="n"/>
      <c r="Q2721" s="11" t="n"/>
      <c r="R2721" s="12" t="n"/>
      <c r="S2721" s="11" t="n"/>
      <c r="T2721" s="12" t="n"/>
      <c r="U2721" s="12" t="n"/>
      <c r="V2721" s="12" t="n"/>
      <c r="W2721" s="13" t="n"/>
      <c r="X2721" s="14">
        <f>IF($AP2721="",IF($B2721="","",$H2721),IF(INDEX(職員マスタ!$B$6:$B$405,$AP2721)="",$H2721,INDEX(職員マスタ!$B$6:$B$405,$AP2721)))</f>
        <v/>
      </c>
      <c r="Y2721" s="14">
        <f>IF($AP2721="",IF($B2721="","",$R2721),IF(INDEX(職員マスタ!$C$6:$C$405,$AP2721)="",$R2721,INDEX(職員マスタ!$C$6:$C$405,$AP2721)))</f>
        <v/>
      </c>
      <c r="Z2721" s="14">
        <f>IF($AQ2721="","","R"&amp;$C2721&amp;"."&amp;$D2721)</f>
        <v/>
      </c>
      <c r="AA2721" s="15">
        <f>IF(IF($AP2721="",FALSE,INDEX(職員マスタ!$K$6:$K$405,$AP2721)&lt;&gt;""),INDEX(職員マスタ!$K$6:$K$405,$AP2721),IF(N($W2721)&gt;0,$W2721,""))</f>
        <v/>
      </c>
      <c r="AB2721" s="14">
        <f>IF(OR($E2721="",$AA2721=""),"",IF($E2721&gt;=$AA2721,"×",IF($E2721&gt;=$AA2721*設定!$C$5,"△","○")))</f>
        <v/>
      </c>
      <c r="AC2721" s="15">
        <f>IF($AB2721="","",IF($AB2721="×",0,IF($AB2721="○",ROUNDDOWN($E2721*設定!$C$4,0),ROUNDDOWN($E2721*ROUND((9*$AA2721-9*$E2721)/(10*$E2721),4),0))))</f>
        <v/>
      </c>
      <c r="AD2721" s="13" t="n"/>
      <c r="AE2721" s="15">
        <f>IF($B2721="","",IF($AD2721&lt;&gt;"",$AD2721,IF($AC2721="","",IF($AC2721&lt;=設定!$C$3,0,$AC2721))))</f>
        <v/>
      </c>
      <c r="AF2721" s="14">
        <f>IF($B2721="","",IF(AND($AG2721&lt;&gt;"",$AI2721="",$AL2721=""),"保留中",IF($AL2721&lt;&gt;"",IF(N($AE2721)&gt;0,"支給済","不支給"),IF($AE2721="","要確認",IF($AE2721=0,"不支給","未処理")))))</f>
        <v/>
      </c>
      <c r="AG2721" s="12" t="n"/>
      <c r="AH2721" s="11" t="n"/>
      <c r="AI2721" s="11" t="n"/>
      <c r="AJ2721" s="11" t="n"/>
      <c r="AK2721" s="14">
        <f>IF(AND($AF2721="保留中",$AH2721&lt;&gt;""),TODAY()-$AH2721,"")</f>
        <v/>
      </c>
      <c r="AL2721" s="12" t="n"/>
      <c r="AM2721" s="14">
        <f>IF($B2721="","",IF($AQ2721="","対象年月が未入力／","")&amp;IF($B2721="","",IF($AP2721="","職員マスタに未登録の職員番号／",IF($AA2721="","標準報酬月額が未登録／","")&amp;IF(AND($AQ2721&lt;&gt;"",OR(AND(INDEX(職員マスタ!$G$6:$G$405,$AP2721)&lt;&gt;"",INDEX(職員マスタ!$G$6:$G$405,$AP2721)&gt;EOMONTH($AQ2721,0)),AND(INDEX(職員マスタ!$H$6:$H$405,$AP2721)&lt;&gt;"",INDEX(職員マスタ!$H$6:$H$405,$AP2721)&lt;$AQ2721))),"対象月が時短期間外／","")&amp;IF(AND(INDEX(職員マスタ!$K$6:$K$405,$AP2721)&lt;&gt;"",N($W2721)&gt;0,INDEX(職員マスタ!$K$6:$K$405,$AP2721)&lt;&gt;$W2721),"標準報酬月額が申請書と相違（台帳"&amp;TEXT(INDEX(職員マスタ!$K$6:$K$405,$AP2721),"#,##0")&amp;"円／申請書"&amp;TEXT($W2721,"#,##0")&amp;"円）／","")&amp;IF(AND(INDEX(職員マスタ!$F$6:$F$405,$AP2721)&lt;&gt;"",$AQ2721&lt;&gt;"",INDEX(職員マスタ!$F$6:$F$405,$AP2721)&lt;$AQ2721),"対象月に子が2歳到達済／","")&amp;IF(AND($H2721&lt;&gt;"",INDEX(職員マスタ!$B$6:$B$405,$AP2721)&lt;&gt;"",SUBSTITUTE(SUBSTITUTE($H2721," ","")," ","")&lt;&gt;SUBSTITUTE(SUBSTITUTE(INDEX(職員マスタ!$B$6:$B$405,$AP2721)," ","")," ","")),"氏名がマスタと相違／","")&amp;IF(AND($Q2721&lt;&gt;"",INDEX(職員マスタ!$E$6:$E$405,$AP2721)&lt;&gt;"",$Q2721&lt;&gt;INDEX(職員マスタ!$E$6:$E$405,$AP2721)),"子の生年月日がマスタと相違／","")&amp;IF(AND($L2721&lt;&gt;"",INDEX(職員マスタ!$G$6:$G$405,$AP2721)&lt;&gt;"",$L2721&lt;&gt;INDEX(職員マスタ!$G$6:$G$405,$AP2721)),"時短開始日がマスタと相違／","")&amp;IF(AND($M2721&lt;&gt;"",INDEX(職員マスタ!$H$6:$H$405,$AP2721)&lt;&gt;"",$M2721&lt;&gt;INDEX(職員マスタ!$H$6:$H$405,$AP2721)),"時短終了日がマスタと相違／","")))&amp;IF(AND($B2721&lt;&gt;"",$E2721=""),"報酬額が未入力／","")&amp;IF(N($U2721)&gt;0,"申請書に入力エラーが残っています／","")&amp;IF(AND($B2721&lt;&gt;"",$AQ2721&lt;&gt;""),IF(COUNTIFS($B$6:$B$3005,$B2721,$C$6:$C$3005,$C2721,$D$6:$D$3005,$D2721)&gt;1,"同じ月の請求が重複しています／",""),"")&amp;IF(AND(N($E2721)&gt;0,$AB2721&lt;&gt;"",$AB2721&lt;&gt;"×",$AE2721=0,$AD2721=""),"計算額が下限以下のため不支給／",""))</f>
        <v/>
      </c>
      <c r="AN2721" s="12" t="n"/>
      <c r="AO2721" s="14">
        <f>IF($AF2721="保留中",COUNTIF($AF$6:$AF2721,"保留中"),"")</f>
        <v/>
      </c>
      <c r="AP2721" s="14">
        <f>IF($AQ2721="","",IF(SUMPRODUCT(MAX((職員マスタ!$A$6:$A$405=$B2721)*(((職員マスタ!$G$6:$G$405="")+(職員マスタ!$G$6:$G$405&lt;=EOMONTH($AQ2721,0)))&gt;0)*(((職員マスタ!$H$6:$H$405="")+(職員マスタ!$H$6:$H$405&gt;=$AQ2721))&gt;0)*(ROW(職員マスタ!$A$6:$A$405)-5)))&gt;0,SUMPRODUCT(MAX((職員マスタ!$A$6:$A$405=$B2721)*(((職員マスタ!$G$6:$G$405="")+(職員マスタ!$G$6:$G$405&lt;=EOMONTH($AQ2721,0)))&gt;0)*(((職員マスタ!$H$6:$H$405="")+(職員マスタ!$H$6:$H$405&gt;=$AQ2721))&gt;0)*(ROW(職員マスタ!$A$6:$A$405)-5))),IFERROR(MATCH($B2721,職員マスタ!$A$6:$A$405,0),"")))</f>
        <v/>
      </c>
      <c r="AQ2721" s="16">
        <f>IF(OR($B2721="",$C2721="",$D2721=""),"",DATE($C2721+2018,$D2721,1))</f>
        <v/>
      </c>
    </row>
    <row r="2722">
      <c r="A2722" s="11" t="n"/>
      <c r="B2722" s="12" t="n"/>
      <c r="C2722" s="12" t="n"/>
      <c r="D2722" s="12" t="n"/>
      <c r="E2722" s="13" t="n"/>
      <c r="F2722" s="12" t="n"/>
      <c r="G2722" s="13" t="n"/>
      <c r="H2722" s="12" t="n"/>
      <c r="I2722" s="12" t="n"/>
      <c r="J2722" s="12" t="n"/>
      <c r="K2722" s="12" t="n"/>
      <c r="L2722" s="11" t="n"/>
      <c r="M2722" s="11" t="n"/>
      <c r="N2722" s="11" t="n"/>
      <c r="O2722" s="11" t="n"/>
      <c r="P2722" s="12" t="n"/>
      <c r="Q2722" s="11" t="n"/>
      <c r="R2722" s="12" t="n"/>
      <c r="S2722" s="11" t="n"/>
      <c r="T2722" s="12" t="n"/>
      <c r="U2722" s="12" t="n"/>
      <c r="V2722" s="12" t="n"/>
      <c r="W2722" s="13" t="n"/>
      <c r="X2722" s="14">
        <f>IF($AP2722="",IF($B2722="","",$H2722),IF(INDEX(職員マスタ!$B$6:$B$405,$AP2722)="",$H2722,INDEX(職員マスタ!$B$6:$B$405,$AP2722)))</f>
        <v/>
      </c>
      <c r="Y2722" s="14">
        <f>IF($AP2722="",IF($B2722="","",$R2722),IF(INDEX(職員マスタ!$C$6:$C$405,$AP2722)="",$R2722,INDEX(職員マスタ!$C$6:$C$405,$AP2722)))</f>
        <v/>
      </c>
      <c r="Z2722" s="14">
        <f>IF($AQ2722="","","R"&amp;$C2722&amp;"."&amp;$D2722)</f>
        <v/>
      </c>
      <c r="AA2722" s="15">
        <f>IF(IF($AP2722="",FALSE,INDEX(職員マスタ!$K$6:$K$405,$AP2722)&lt;&gt;""),INDEX(職員マスタ!$K$6:$K$405,$AP2722),IF(N($W2722)&gt;0,$W2722,""))</f>
        <v/>
      </c>
      <c r="AB2722" s="14">
        <f>IF(OR($E2722="",$AA2722=""),"",IF($E2722&gt;=$AA2722,"×",IF($E2722&gt;=$AA2722*設定!$C$5,"△","○")))</f>
        <v/>
      </c>
      <c r="AC2722" s="15">
        <f>IF($AB2722="","",IF($AB2722="×",0,IF($AB2722="○",ROUNDDOWN($E2722*設定!$C$4,0),ROUNDDOWN($E2722*ROUND((9*$AA2722-9*$E2722)/(10*$E2722),4),0))))</f>
        <v/>
      </c>
      <c r="AD2722" s="13" t="n"/>
      <c r="AE2722" s="15">
        <f>IF($B2722="","",IF($AD2722&lt;&gt;"",$AD2722,IF($AC2722="","",IF($AC2722&lt;=設定!$C$3,0,$AC2722))))</f>
        <v/>
      </c>
      <c r="AF2722" s="14">
        <f>IF($B2722="","",IF(AND($AG2722&lt;&gt;"",$AI2722="",$AL2722=""),"保留中",IF($AL2722&lt;&gt;"",IF(N($AE2722)&gt;0,"支給済","不支給"),IF($AE2722="","要確認",IF($AE2722=0,"不支給","未処理")))))</f>
        <v/>
      </c>
      <c r="AG2722" s="12" t="n"/>
      <c r="AH2722" s="11" t="n"/>
      <c r="AI2722" s="11" t="n"/>
      <c r="AJ2722" s="11" t="n"/>
      <c r="AK2722" s="14">
        <f>IF(AND($AF2722="保留中",$AH2722&lt;&gt;""),TODAY()-$AH2722,"")</f>
        <v/>
      </c>
      <c r="AL2722" s="12" t="n"/>
      <c r="AM2722" s="14">
        <f>IF($B2722="","",IF($AQ2722="","対象年月が未入力／","")&amp;IF($B2722="","",IF($AP2722="","職員マスタに未登録の職員番号／",IF($AA2722="","標準報酬月額が未登録／","")&amp;IF(AND($AQ2722&lt;&gt;"",OR(AND(INDEX(職員マスタ!$G$6:$G$405,$AP2722)&lt;&gt;"",INDEX(職員マスタ!$G$6:$G$405,$AP2722)&gt;EOMONTH($AQ2722,0)),AND(INDEX(職員マスタ!$H$6:$H$405,$AP2722)&lt;&gt;"",INDEX(職員マスタ!$H$6:$H$405,$AP2722)&lt;$AQ2722))),"対象月が時短期間外／","")&amp;IF(AND(INDEX(職員マスタ!$K$6:$K$405,$AP2722)&lt;&gt;"",N($W2722)&gt;0,INDEX(職員マスタ!$K$6:$K$405,$AP2722)&lt;&gt;$W2722),"標準報酬月額が申請書と相違（台帳"&amp;TEXT(INDEX(職員マスタ!$K$6:$K$405,$AP2722),"#,##0")&amp;"円／申請書"&amp;TEXT($W2722,"#,##0")&amp;"円）／","")&amp;IF(AND(INDEX(職員マスタ!$F$6:$F$405,$AP2722)&lt;&gt;"",$AQ2722&lt;&gt;"",INDEX(職員マスタ!$F$6:$F$405,$AP2722)&lt;$AQ2722),"対象月に子が2歳到達済／","")&amp;IF(AND($H2722&lt;&gt;"",INDEX(職員マスタ!$B$6:$B$405,$AP2722)&lt;&gt;"",SUBSTITUTE(SUBSTITUTE($H2722," ","")," ","")&lt;&gt;SUBSTITUTE(SUBSTITUTE(INDEX(職員マスタ!$B$6:$B$405,$AP2722)," ","")," ","")),"氏名がマスタと相違／","")&amp;IF(AND($Q2722&lt;&gt;"",INDEX(職員マスタ!$E$6:$E$405,$AP2722)&lt;&gt;"",$Q2722&lt;&gt;INDEX(職員マスタ!$E$6:$E$405,$AP2722)),"子の生年月日がマスタと相違／","")&amp;IF(AND($L2722&lt;&gt;"",INDEX(職員マスタ!$G$6:$G$405,$AP2722)&lt;&gt;"",$L2722&lt;&gt;INDEX(職員マスタ!$G$6:$G$405,$AP2722)),"時短開始日がマスタと相違／","")&amp;IF(AND($M2722&lt;&gt;"",INDEX(職員マスタ!$H$6:$H$405,$AP2722)&lt;&gt;"",$M2722&lt;&gt;INDEX(職員マスタ!$H$6:$H$405,$AP2722)),"時短終了日がマスタと相違／","")))&amp;IF(AND($B2722&lt;&gt;"",$E2722=""),"報酬額が未入力／","")&amp;IF(N($U2722)&gt;0,"申請書に入力エラーが残っています／","")&amp;IF(AND($B2722&lt;&gt;"",$AQ2722&lt;&gt;""),IF(COUNTIFS($B$6:$B$3005,$B2722,$C$6:$C$3005,$C2722,$D$6:$D$3005,$D2722)&gt;1,"同じ月の請求が重複しています／",""),"")&amp;IF(AND(N($E2722)&gt;0,$AB2722&lt;&gt;"",$AB2722&lt;&gt;"×",$AE2722=0,$AD2722=""),"計算額が下限以下のため不支給／",""))</f>
        <v/>
      </c>
      <c r="AN2722" s="12" t="n"/>
      <c r="AO2722" s="14">
        <f>IF($AF2722="保留中",COUNTIF($AF$6:$AF2722,"保留中"),"")</f>
        <v/>
      </c>
      <c r="AP2722" s="14">
        <f>IF($AQ2722="","",IF(SUMPRODUCT(MAX((職員マスタ!$A$6:$A$405=$B2722)*(((職員マスタ!$G$6:$G$405="")+(職員マスタ!$G$6:$G$405&lt;=EOMONTH($AQ2722,0)))&gt;0)*(((職員マスタ!$H$6:$H$405="")+(職員マスタ!$H$6:$H$405&gt;=$AQ2722))&gt;0)*(ROW(職員マスタ!$A$6:$A$405)-5)))&gt;0,SUMPRODUCT(MAX((職員マスタ!$A$6:$A$405=$B2722)*(((職員マスタ!$G$6:$G$405="")+(職員マスタ!$G$6:$G$405&lt;=EOMONTH($AQ2722,0)))&gt;0)*(((職員マスタ!$H$6:$H$405="")+(職員マスタ!$H$6:$H$405&gt;=$AQ2722))&gt;0)*(ROW(職員マスタ!$A$6:$A$405)-5))),IFERROR(MATCH($B2722,職員マスタ!$A$6:$A$405,0),"")))</f>
        <v/>
      </c>
      <c r="AQ2722" s="16">
        <f>IF(OR($B2722="",$C2722="",$D2722=""),"",DATE($C2722+2018,$D2722,1))</f>
        <v/>
      </c>
    </row>
    <row r="2723">
      <c r="A2723" s="11" t="n"/>
      <c r="B2723" s="12" t="n"/>
      <c r="C2723" s="12" t="n"/>
      <c r="D2723" s="12" t="n"/>
      <c r="E2723" s="13" t="n"/>
      <c r="F2723" s="12" t="n"/>
      <c r="G2723" s="13" t="n"/>
      <c r="H2723" s="12" t="n"/>
      <c r="I2723" s="12" t="n"/>
      <c r="J2723" s="12" t="n"/>
      <c r="K2723" s="12" t="n"/>
      <c r="L2723" s="11" t="n"/>
      <c r="M2723" s="11" t="n"/>
      <c r="N2723" s="11" t="n"/>
      <c r="O2723" s="11" t="n"/>
      <c r="P2723" s="12" t="n"/>
      <c r="Q2723" s="11" t="n"/>
      <c r="R2723" s="12" t="n"/>
      <c r="S2723" s="11" t="n"/>
      <c r="T2723" s="12" t="n"/>
      <c r="U2723" s="12" t="n"/>
      <c r="V2723" s="12" t="n"/>
      <c r="W2723" s="13" t="n"/>
      <c r="X2723" s="14">
        <f>IF($AP2723="",IF($B2723="","",$H2723),IF(INDEX(職員マスタ!$B$6:$B$405,$AP2723)="",$H2723,INDEX(職員マスタ!$B$6:$B$405,$AP2723)))</f>
        <v/>
      </c>
      <c r="Y2723" s="14">
        <f>IF($AP2723="",IF($B2723="","",$R2723),IF(INDEX(職員マスタ!$C$6:$C$405,$AP2723)="",$R2723,INDEX(職員マスタ!$C$6:$C$405,$AP2723)))</f>
        <v/>
      </c>
      <c r="Z2723" s="14">
        <f>IF($AQ2723="","","R"&amp;$C2723&amp;"."&amp;$D2723)</f>
        <v/>
      </c>
      <c r="AA2723" s="15">
        <f>IF(IF($AP2723="",FALSE,INDEX(職員マスタ!$K$6:$K$405,$AP2723)&lt;&gt;""),INDEX(職員マスタ!$K$6:$K$405,$AP2723),IF(N($W2723)&gt;0,$W2723,""))</f>
        <v/>
      </c>
      <c r="AB2723" s="14">
        <f>IF(OR($E2723="",$AA2723=""),"",IF($E2723&gt;=$AA2723,"×",IF($E2723&gt;=$AA2723*設定!$C$5,"△","○")))</f>
        <v/>
      </c>
      <c r="AC2723" s="15">
        <f>IF($AB2723="","",IF($AB2723="×",0,IF($AB2723="○",ROUNDDOWN($E2723*設定!$C$4,0),ROUNDDOWN($E2723*ROUND((9*$AA2723-9*$E2723)/(10*$E2723),4),0))))</f>
        <v/>
      </c>
      <c r="AD2723" s="13" t="n"/>
      <c r="AE2723" s="15">
        <f>IF($B2723="","",IF($AD2723&lt;&gt;"",$AD2723,IF($AC2723="","",IF($AC2723&lt;=設定!$C$3,0,$AC2723))))</f>
        <v/>
      </c>
      <c r="AF2723" s="14">
        <f>IF($B2723="","",IF(AND($AG2723&lt;&gt;"",$AI2723="",$AL2723=""),"保留中",IF($AL2723&lt;&gt;"",IF(N($AE2723)&gt;0,"支給済","不支給"),IF($AE2723="","要確認",IF($AE2723=0,"不支給","未処理")))))</f>
        <v/>
      </c>
      <c r="AG2723" s="12" t="n"/>
      <c r="AH2723" s="11" t="n"/>
      <c r="AI2723" s="11" t="n"/>
      <c r="AJ2723" s="11" t="n"/>
      <c r="AK2723" s="14">
        <f>IF(AND($AF2723="保留中",$AH2723&lt;&gt;""),TODAY()-$AH2723,"")</f>
        <v/>
      </c>
      <c r="AL2723" s="12" t="n"/>
      <c r="AM2723" s="14">
        <f>IF($B2723="","",IF($AQ2723="","対象年月が未入力／","")&amp;IF($B2723="","",IF($AP2723="","職員マスタに未登録の職員番号／",IF($AA2723="","標準報酬月額が未登録／","")&amp;IF(AND($AQ2723&lt;&gt;"",OR(AND(INDEX(職員マスタ!$G$6:$G$405,$AP2723)&lt;&gt;"",INDEX(職員マスタ!$G$6:$G$405,$AP2723)&gt;EOMONTH($AQ2723,0)),AND(INDEX(職員マスタ!$H$6:$H$405,$AP2723)&lt;&gt;"",INDEX(職員マスタ!$H$6:$H$405,$AP2723)&lt;$AQ2723))),"対象月が時短期間外／","")&amp;IF(AND(INDEX(職員マスタ!$K$6:$K$405,$AP2723)&lt;&gt;"",N($W2723)&gt;0,INDEX(職員マスタ!$K$6:$K$405,$AP2723)&lt;&gt;$W2723),"標準報酬月額が申請書と相違（台帳"&amp;TEXT(INDEX(職員マスタ!$K$6:$K$405,$AP2723),"#,##0")&amp;"円／申請書"&amp;TEXT($W2723,"#,##0")&amp;"円）／","")&amp;IF(AND(INDEX(職員マスタ!$F$6:$F$405,$AP2723)&lt;&gt;"",$AQ2723&lt;&gt;"",INDEX(職員マスタ!$F$6:$F$405,$AP2723)&lt;$AQ2723),"対象月に子が2歳到達済／","")&amp;IF(AND($H2723&lt;&gt;"",INDEX(職員マスタ!$B$6:$B$405,$AP2723)&lt;&gt;"",SUBSTITUTE(SUBSTITUTE($H2723," ","")," ","")&lt;&gt;SUBSTITUTE(SUBSTITUTE(INDEX(職員マスタ!$B$6:$B$405,$AP2723)," ","")," ","")),"氏名がマスタと相違／","")&amp;IF(AND($Q2723&lt;&gt;"",INDEX(職員マスタ!$E$6:$E$405,$AP2723)&lt;&gt;"",$Q2723&lt;&gt;INDEX(職員マスタ!$E$6:$E$405,$AP2723)),"子の生年月日がマスタと相違／","")&amp;IF(AND($L2723&lt;&gt;"",INDEX(職員マスタ!$G$6:$G$405,$AP2723)&lt;&gt;"",$L2723&lt;&gt;INDEX(職員マスタ!$G$6:$G$405,$AP2723)),"時短開始日がマスタと相違／","")&amp;IF(AND($M2723&lt;&gt;"",INDEX(職員マスタ!$H$6:$H$405,$AP2723)&lt;&gt;"",$M2723&lt;&gt;INDEX(職員マスタ!$H$6:$H$405,$AP2723)),"時短終了日がマスタと相違／","")))&amp;IF(AND($B2723&lt;&gt;"",$E2723=""),"報酬額が未入力／","")&amp;IF(N($U2723)&gt;0,"申請書に入力エラーが残っています／","")&amp;IF(AND($B2723&lt;&gt;"",$AQ2723&lt;&gt;""),IF(COUNTIFS($B$6:$B$3005,$B2723,$C$6:$C$3005,$C2723,$D$6:$D$3005,$D2723)&gt;1,"同じ月の請求が重複しています／",""),"")&amp;IF(AND(N($E2723)&gt;0,$AB2723&lt;&gt;"",$AB2723&lt;&gt;"×",$AE2723=0,$AD2723=""),"計算額が下限以下のため不支給／",""))</f>
        <v/>
      </c>
      <c r="AN2723" s="12" t="n"/>
      <c r="AO2723" s="14">
        <f>IF($AF2723="保留中",COUNTIF($AF$6:$AF2723,"保留中"),"")</f>
        <v/>
      </c>
      <c r="AP2723" s="14">
        <f>IF($AQ2723="","",IF(SUMPRODUCT(MAX((職員マスタ!$A$6:$A$405=$B2723)*(((職員マスタ!$G$6:$G$405="")+(職員マスタ!$G$6:$G$405&lt;=EOMONTH($AQ2723,0)))&gt;0)*(((職員マスタ!$H$6:$H$405="")+(職員マスタ!$H$6:$H$405&gt;=$AQ2723))&gt;0)*(ROW(職員マスタ!$A$6:$A$405)-5)))&gt;0,SUMPRODUCT(MAX((職員マスタ!$A$6:$A$405=$B2723)*(((職員マスタ!$G$6:$G$405="")+(職員マスタ!$G$6:$G$405&lt;=EOMONTH($AQ2723,0)))&gt;0)*(((職員マスタ!$H$6:$H$405="")+(職員マスタ!$H$6:$H$405&gt;=$AQ2723))&gt;0)*(ROW(職員マスタ!$A$6:$A$405)-5))),IFERROR(MATCH($B2723,職員マスタ!$A$6:$A$405,0),"")))</f>
        <v/>
      </c>
      <c r="AQ2723" s="16">
        <f>IF(OR($B2723="",$C2723="",$D2723=""),"",DATE($C2723+2018,$D2723,1))</f>
        <v/>
      </c>
    </row>
    <row r="2724">
      <c r="A2724" s="11" t="n"/>
      <c r="B2724" s="12" t="n"/>
      <c r="C2724" s="12" t="n"/>
      <c r="D2724" s="12" t="n"/>
      <c r="E2724" s="13" t="n"/>
      <c r="F2724" s="12" t="n"/>
      <c r="G2724" s="13" t="n"/>
      <c r="H2724" s="12" t="n"/>
      <c r="I2724" s="12" t="n"/>
      <c r="J2724" s="12" t="n"/>
      <c r="K2724" s="12" t="n"/>
      <c r="L2724" s="11" t="n"/>
      <c r="M2724" s="11" t="n"/>
      <c r="N2724" s="11" t="n"/>
      <c r="O2724" s="11" t="n"/>
      <c r="P2724" s="12" t="n"/>
      <c r="Q2724" s="11" t="n"/>
      <c r="R2724" s="12" t="n"/>
      <c r="S2724" s="11" t="n"/>
      <c r="T2724" s="12" t="n"/>
      <c r="U2724" s="12" t="n"/>
      <c r="V2724" s="12" t="n"/>
      <c r="W2724" s="13" t="n"/>
      <c r="X2724" s="14">
        <f>IF($AP2724="",IF($B2724="","",$H2724),IF(INDEX(職員マスタ!$B$6:$B$405,$AP2724)="",$H2724,INDEX(職員マスタ!$B$6:$B$405,$AP2724)))</f>
        <v/>
      </c>
      <c r="Y2724" s="14">
        <f>IF($AP2724="",IF($B2724="","",$R2724),IF(INDEX(職員マスタ!$C$6:$C$405,$AP2724)="",$R2724,INDEX(職員マスタ!$C$6:$C$405,$AP2724)))</f>
        <v/>
      </c>
      <c r="Z2724" s="14">
        <f>IF($AQ2724="","","R"&amp;$C2724&amp;"."&amp;$D2724)</f>
        <v/>
      </c>
      <c r="AA2724" s="15">
        <f>IF(IF($AP2724="",FALSE,INDEX(職員マスタ!$K$6:$K$405,$AP2724)&lt;&gt;""),INDEX(職員マスタ!$K$6:$K$405,$AP2724),IF(N($W2724)&gt;0,$W2724,""))</f>
        <v/>
      </c>
      <c r="AB2724" s="14">
        <f>IF(OR($E2724="",$AA2724=""),"",IF($E2724&gt;=$AA2724,"×",IF($E2724&gt;=$AA2724*設定!$C$5,"△","○")))</f>
        <v/>
      </c>
      <c r="AC2724" s="15">
        <f>IF($AB2724="","",IF($AB2724="×",0,IF($AB2724="○",ROUNDDOWN($E2724*設定!$C$4,0),ROUNDDOWN($E2724*ROUND((9*$AA2724-9*$E2724)/(10*$E2724),4),0))))</f>
        <v/>
      </c>
      <c r="AD2724" s="13" t="n"/>
      <c r="AE2724" s="15">
        <f>IF($B2724="","",IF($AD2724&lt;&gt;"",$AD2724,IF($AC2724="","",IF($AC2724&lt;=設定!$C$3,0,$AC2724))))</f>
        <v/>
      </c>
      <c r="AF2724" s="14">
        <f>IF($B2724="","",IF(AND($AG2724&lt;&gt;"",$AI2724="",$AL2724=""),"保留中",IF($AL2724&lt;&gt;"",IF(N($AE2724)&gt;0,"支給済","不支給"),IF($AE2724="","要確認",IF($AE2724=0,"不支給","未処理")))))</f>
        <v/>
      </c>
      <c r="AG2724" s="12" t="n"/>
      <c r="AH2724" s="11" t="n"/>
      <c r="AI2724" s="11" t="n"/>
      <c r="AJ2724" s="11" t="n"/>
      <c r="AK2724" s="14">
        <f>IF(AND($AF2724="保留中",$AH2724&lt;&gt;""),TODAY()-$AH2724,"")</f>
        <v/>
      </c>
      <c r="AL2724" s="12" t="n"/>
      <c r="AM2724" s="14">
        <f>IF($B2724="","",IF($AQ2724="","対象年月が未入力／","")&amp;IF($B2724="","",IF($AP2724="","職員マスタに未登録の職員番号／",IF($AA2724="","標準報酬月額が未登録／","")&amp;IF(AND($AQ2724&lt;&gt;"",OR(AND(INDEX(職員マスタ!$G$6:$G$405,$AP2724)&lt;&gt;"",INDEX(職員マスタ!$G$6:$G$405,$AP2724)&gt;EOMONTH($AQ2724,0)),AND(INDEX(職員マスタ!$H$6:$H$405,$AP2724)&lt;&gt;"",INDEX(職員マスタ!$H$6:$H$405,$AP2724)&lt;$AQ2724))),"対象月が時短期間外／","")&amp;IF(AND(INDEX(職員マスタ!$K$6:$K$405,$AP2724)&lt;&gt;"",N($W2724)&gt;0,INDEX(職員マスタ!$K$6:$K$405,$AP2724)&lt;&gt;$W2724),"標準報酬月額が申請書と相違（台帳"&amp;TEXT(INDEX(職員マスタ!$K$6:$K$405,$AP2724),"#,##0")&amp;"円／申請書"&amp;TEXT($W2724,"#,##0")&amp;"円）／","")&amp;IF(AND(INDEX(職員マスタ!$F$6:$F$405,$AP2724)&lt;&gt;"",$AQ2724&lt;&gt;"",INDEX(職員マスタ!$F$6:$F$405,$AP2724)&lt;$AQ2724),"対象月に子が2歳到達済／","")&amp;IF(AND($H2724&lt;&gt;"",INDEX(職員マスタ!$B$6:$B$405,$AP2724)&lt;&gt;"",SUBSTITUTE(SUBSTITUTE($H2724," ","")," ","")&lt;&gt;SUBSTITUTE(SUBSTITUTE(INDEX(職員マスタ!$B$6:$B$405,$AP2724)," ","")," ","")),"氏名がマスタと相違／","")&amp;IF(AND($Q2724&lt;&gt;"",INDEX(職員マスタ!$E$6:$E$405,$AP2724)&lt;&gt;"",$Q2724&lt;&gt;INDEX(職員マスタ!$E$6:$E$405,$AP2724)),"子の生年月日がマスタと相違／","")&amp;IF(AND($L2724&lt;&gt;"",INDEX(職員マスタ!$G$6:$G$405,$AP2724)&lt;&gt;"",$L2724&lt;&gt;INDEX(職員マスタ!$G$6:$G$405,$AP2724)),"時短開始日がマスタと相違／","")&amp;IF(AND($M2724&lt;&gt;"",INDEX(職員マスタ!$H$6:$H$405,$AP2724)&lt;&gt;"",$M2724&lt;&gt;INDEX(職員マスタ!$H$6:$H$405,$AP2724)),"時短終了日がマスタと相違／","")))&amp;IF(AND($B2724&lt;&gt;"",$E2724=""),"報酬額が未入力／","")&amp;IF(N($U2724)&gt;0,"申請書に入力エラーが残っています／","")&amp;IF(AND($B2724&lt;&gt;"",$AQ2724&lt;&gt;""),IF(COUNTIFS($B$6:$B$3005,$B2724,$C$6:$C$3005,$C2724,$D$6:$D$3005,$D2724)&gt;1,"同じ月の請求が重複しています／",""),"")&amp;IF(AND(N($E2724)&gt;0,$AB2724&lt;&gt;"",$AB2724&lt;&gt;"×",$AE2724=0,$AD2724=""),"計算額が下限以下のため不支給／",""))</f>
        <v/>
      </c>
      <c r="AN2724" s="12" t="n"/>
      <c r="AO2724" s="14">
        <f>IF($AF2724="保留中",COUNTIF($AF$6:$AF2724,"保留中"),"")</f>
        <v/>
      </c>
      <c r="AP2724" s="14">
        <f>IF($AQ2724="","",IF(SUMPRODUCT(MAX((職員マスタ!$A$6:$A$405=$B2724)*(((職員マスタ!$G$6:$G$405="")+(職員マスタ!$G$6:$G$405&lt;=EOMONTH($AQ2724,0)))&gt;0)*(((職員マスタ!$H$6:$H$405="")+(職員マスタ!$H$6:$H$405&gt;=$AQ2724))&gt;0)*(ROW(職員マスタ!$A$6:$A$405)-5)))&gt;0,SUMPRODUCT(MAX((職員マスタ!$A$6:$A$405=$B2724)*(((職員マスタ!$G$6:$G$405="")+(職員マスタ!$G$6:$G$405&lt;=EOMONTH($AQ2724,0)))&gt;0)*(((職員マスタ!$H$6:$H$405="")+(職員マスタ!$H$6:$H$405&gt;=$AQ2724))&gt;0)*(ROW(職員マスタ!$A$6:$A$405)-5))),IFERROR(MATCH($B2724,職員マスタ!$A$6:$A$405,0),"")))</f>
        <v/>
      </c>
      <c r="AQ2724" s="16">
        <f>IF(OR($B2724="",$C2724="",$D2724=""),"",DATE($C2724+2018,$D2724,1))</f>
        <v/>
      </c>
    </row>
    <row r="2725">
      <c r="A2725" s="11" t="n"/>
      <c r="B2725" s="12" t="n"/>
      <c r="C2725" s="12" t="n"/>
      <c r="D2725" s="12" t="n"/>
      <c r="E2725" s="13" t="n"/>
      <c r="F2725" s="12" t="n"/>
      <c r="G2725" s="13" t="n"/>
      <c r="H2725" s="12" t="n"/>
      <c r="I2725" s="12" t="n"/>
      <c r="J2725" s="12" t="n"/>
      <c r="K2725" s="12" t="n"/>
      <c r="L2725" s="11" t="n"/>
      <c r="M2725" s="11" t="n"/>
      <c r="N2725" s="11" t="n"/>
      <c r="O2725" s="11" t="n"/>
      <c r="P2725" s="12" t="n"/>
      <c r="Q2725" s="11" t="n"/>
      <c r="R2725" s="12" t="n"/>
      <c r="S2725" s="11" t="n"/>
      <c r="T2725" s="12" t="n"/>
      <c r="U2725" s="12" t="n"/>
      <c r="V2725" s="12" t="n"/>
      <c r="W2725" s="13" t="n"/>
      <c r="X2725" s="14">
        <f>IF($AP2725="",IF($B2725="","",$H2725),IF(INDEX(職員マスタ!$B$6:$B$405,$AP2725)="",$H2725,INDEX(職員マスタ!$B$6:$B$405,$AP2725)))</f>
        <v/>
      </c>
      <c r="Y2725" s="14">
        <f>IF($AP2725="",IF($B2725="","",$R2725),IF(INDEX(職員マスタ!$C$6:$C$405,$AP2725)="",$R2725,INDEX(職員マスタ!$C$6:$C$405,$AP2725)))</f>
        <v/>
      </c>
      <c r="Z2725" s="14">
        <f>IF($AQ2725="","","R"&amp;$C2725&amp;"."&amp;$D2725)</f>
        <v/>
      </c>
      <c r="AA2725" s="15">
        <f>IF(IF($AP2725="",FALSE,INDEX(職員マスタ!$K$6:$K$405,$AP2725)&lt;&gt;""),INDEX(職員マスタ!$K$6:$K$405,$AP2725),IF(N($W2725)&gt;0,$W2725,""))</f>
        <v/>
      </c>
      <c r="AB2725" s="14">
        <f>IF(OR($E2725="",$AA2725=""),"",IF($E2725&gt;=$AA2725,"×",IF($E2725&gt;=$AA2725*設定!$C$5,"△","○")))</f>
        <v/>
      </c>
      <c r="AC2725" s="15">
        <f>IF($AB2725="","",IF($AB2725="×",0,IF($AB2725="○",ROUNDDOWN($E2725*設定!$C$4,0),ROUNDDOWN($E2725*ROUND((9*$AA2725-9*$E2725)/(10*$E2725),4),0))))</f>
        <v/>
      </c>
      <c r="AD2725" s="13" t="n"/>
      <c r="AE2725" s="15">
        <f>IF($B2725="","",IF($AD2725&lt;&gt;"",$AD2725,IF($AC2725="","",IF($AC2725&lt;=設定!$C$3,0,$AC2725))))</f>
        <v/>
      </c>
      <c r="AF2725" s="14">
        <f>IF($B2725="","",IF(AND($AG2725&lt;&gt;"",$AI2725="",$AL2725=""),"保留中",IF($AL2725&lt;&gt;"",IF(N($AE2725)&gt;0,"支給済","不支給"),IF($AE2725="","要確認",IF($AE2725=0,"不支給","未処理")))))</f>
        <v/>
      </c>
      <c r="AG2725" s="12" t="n"/>
      <c r="AH2725" s="11" t="n"/>
      <c r="AI2725" s="11" t="n"/>
      <c r="AJ2725" s="11" t="n"/>
      <c r="AK2725" s="14">
        <f>IF(AND($AF2725="保留中",$AH2725&lt;&gt;""),TODAY()-$AH2725,"")</f>
        <v/>
      </c>
      <c r="AL2725" s="12" t="n"/>
      <c r="AM2725" s="14">
        <f>IF($B2725="","",IF($AQ2725="","対象年月が未入力／","")&amp;IF($B2725="","",IF($AP2725="","職員マスタに未登録の職員番号／",IF($AA2725="","標準報酬月額が未登録／","")&amp;IF(AND($AQ2725&lt;&gt;"",OR(AND(INDEX(職員マスタ!$G$6:$G$405,$AP2725)&lt;&gt;"",INDEX(職員マスタ!$G$6:$G$405,$AP2725)&gt;EOMONTH($AQ2725,0)),AND(INDEX(職員マスタ!$H$6:$H$405,$AP2725)&lt;&gt;"",INDEX(職員マスタ!$H$6:$H$405,$AP2725)&lt;$AQ2725))),"対象月が時短期間外／","")&amp;IF(AND(INDEX(職員マスタ!$K$6:$K$405,$AP2725)&lt;&gt;"",N($W2725)&gt;0,INDEX(職員マスタ!$K$6:$K$405,$AP2725)&lt;&gt;$W2725),"標準報酬月額が申請書と相違（台帳"&amp;TEXT(INDEX(職員マスタ!$K$6:$K$405,$AP2725),"#,##0")&amp;"円／申請書"&amp;TEXT($W2725,"#,##0")&amp;"円）／","")&amp;IF(AND(INDEX(職員マスタ!$F$6:$F$405,$AP2725)&lt;&gt;"",$AQ2725&lt;&gt;"",INDEX(職員マスタ!$F$6:$F$405,$AP2725)&lt;$AQ2725),"対象月に子が2歳到達済／","")&amp;IF(AND($H2725&lt;&gt;"",INDEX(職員マスタ!$B$6:$B$405,$AP2725)&lt;&gt;"",SUBSTITUTE(SUBSTITUTE($H2725," ","")," ","")&lt;&gt;SUBSTITUTE(SUBSTITUTE(INDEX(職員マスタ!$B$6:$B$405,$AP2725)," ","")," ","")),"氏名がマスタと相違／","")&amp;IF(AND($Q2725&lt;&gt;"",INDEX(職員マスタ!$E$6:$E$405,$AP2725)&lt;&gt;"",$Q2725&lt;&gt;INDEX(職員マスタ!$E$6:$E$405,$AP2725)),"子の生年月日がマスタと相違／","")&amp;IF(AND($L2725&lt;&gt;"",INDEX(職員マスタ!$G$6:$G$405,$AP2725)&lt;&gt;"",$L2725&lt;&gt;INDEX(職員マスタ!$G$6:$G$405,$AP2725)),"時短開始日がマスタと相違／","")&amp;IF(AND($M2725&lt;&gt;"",INDEX(職員マスタ!$H$6:$H$405,$AP2725)&lt;&gt;"",$M2725&lt;&gt;INDEX(職員マスタ!$H$6:$H$405,$AP2725)),"時短終了日がマスタと相違／","")))&amp;IF(AND($B2725&lt;&gt;"",$E2725=""),"報酬額が未入力／","")&amp;IF(N($U2725)&gt;0,"申請書に入力エラーが残っています／","")&amp;IF(AND($B2725&lt;&gt;"",$AQ2725&lt;&gt;""),IF(COUNTIFS($B$6:$B$3005,$B2725,$C$6:$C$3005,$C2725,$D$6:$D$3005,$D2725)&gt;1,"同じ月の請求が重複しています／",""),"")&amp;IF(AND(N($E2725)&gt;0,$AB2725&lt;&gt;"",$AB2725&lt;&gt;"×",$AE2725=0,$AD2725=""),"計算額が下限以下のため不支給／",""))</f>
        <v/>
      </c>
      <c r="AN2725" s="12" t="n"/>
      <c r="AO2725" s="14">
        <f>IF($AF2725="保留中",COUNTIF($AF$6:$AF2725,"保留中"),"")</f>
        <v/>
      </c>
      <c r="AP2725" s="14">
        <f>IF($AQ2725="","",IF(SUMPRODUCT(MAX((職員マスタ!$A$6:$A$405=$B2725)*(((職員マスタ!$G$6:$G$405="")+(職員マスタ!$G$6:$G$405&lt;=EOMONTH($AQ2725,0)))&gt;0)*(((職員マスタ!$H$6:$H$405="")+(職員マスタ!$H$6:$H$405&gt;=$AQ2725))&gt;0)*(ROW(職員マスタ!$A$6:$A$405)-5)))&gt;0,SUMPRODUCT(MAX((職員マスタ!$A$6:$A$405=$B2725)*(((職員マスタ!$G$6:$G$405="")+(職員マスタ!$G$6:$G$405&lt;=EOMONTH($AQ2725,0)))&gt;0)*(((職員マスタ!$H$6:$H$405="")+(職員マスタ!$H$6:$H$405&gt;=$AQ2725))&gt;0)*(ROW(職員マスタ!$A$6:$A$405)-5))),IFERROR(MATCH($B2725,職員マスタ!$A$6:$A$405,0),"")))</f>
        <v/>
      </c>
      <c r="AQ2725" s="16">
        <f>IF(OR($B2725="",$C2725="",$D2725=""),"",DATE($C2725+2018,$D2725,1))</f>
        <v/>
      </c>
    </row>
    <row r="2726">
      <c r="A2726" s="11" t="n"/>
      <c r="B2726" s="12" t="n"/>
      <c r="C2726" s="12" t="n"/>
      <c r="D2726" s="12" t="n"/>
      <c r="E2726" s="13" t="n"/>
      <c r="F2726" s="12" t="n"/>
      <c r="G2726" s="13" t="n"/>
      <c r="H2726" s="12" t="n"/>
      <c r="I2726" s="12" t="n"/>
      <c r="J2726" s="12" t="n"/>
      <c r="K2726" s="12" t="n"/>
      <c r="L2726" s="11" t="n"/>
      <c r="M2726" s="11" t="n"/>
      <c r="N2726" s="11" t="n"/>
      <c r="O2726" s="11" t="n"/>
      <c r="P2726" s="12" t="n"/>
      <c r="Q2726" s="11" t="n"/>
      <c r="R2726" s="12" t="n"/>
      <c r="S2726" s="11" t="n"/>
      <c r="T2726" s="12" t="n"/>
      <c r="U2726" s="12" t="n"/>
      <c r="V2726" s="12" t="n"/>
      <c r="W2726" s="13" t="n"/>
      <c r="X2726" s="14">
        <f>IF($AP2726="",IF($B2726="","",$H2726),IF(INDEX(職員マスタ!$B$6:$B$405,$AP2726)="",$H2726,INDEX(職員マスタ!$B$6:$B$405,$AP2726)))</f>
        <v/>
      </c>
      <c r="Y2726" s="14">
        <f>IF($AP2726="",IF($B2726="","",$R2726),IF(INDEX(職員マスタ!$C$6:$C$405,$AP2726)="",$R2726,INDEX(職員マスタ!$C$6:$C$405,$AP2726)))</f>
        <v/>
      </c>
      <c r="Z2726" s="14">
        <f>IF($AQ2726="","","R"&amp;$C2726&amp;"."&amp;$D2726)</f>
        <v/>
      </c>
      <c r="AA2726" s="15">
        <f>IF(IF($AP2726="",FALSE,INDEX(職員マスタ!$K$6:$K$405,$AP2726)&lt;&gt;""),INDEX(職員マスタ!$K$6:$K$405,$AP2726),IF(N($W2726)&gt;0,$W2726,""))</f>
        <v/>
      </c>
      <c r="AB2726" s="14">
        <f>IF(OR($E2726="",$AA2726=""),"",IF($E2726&gt;=$AA2726,"×",IF($E2726&gt;=$AA2726*設定!$C$5,"△","○")))</f>
        <v/>
      </c>
      <c r="AC2726" s="15">
        <f>IF($AB2726="","",IF($AB2726="×",0,IF($AB2726="○",ROUNDDOWN($E2726*設定!$C$4,0),ROUNDDOWN($E2726*ROUND((9*$AA2726-9*$E2726)/(10*$E2726),4),0))))</f>
        <v/>
      </c>
      <c r="AD2726" s="13" t="n"/>
      <c r="AE2726" s="15">
        <f>IF($B2726="","",IF($AD2726&lt;&gt;"",$AD2726,IF($AC2726="","",IF($AC2726&lt;=設定!$C$3,0,$AC2726))))</f>
        <v/>
      </c>
      <c r="AF2726" s="14">
        <f>IF($B2726="","",IF(AND($AG2726&lt;&gt;"",$AI2726="",$AL2726=""),"保留中",IF($AL2726&lt;&gt;"",IF(N($AE2726)&gt;0,"支給済","不支給"),IF($AE2726="","要確認",IF($AE2726=0,"不支給","未処理")))))</f>
        <v/>
      </c>
      <c r="AG2726" s="12" t="n"/>
      <c r="AH2726" s="11" t="n"/>
      <c r="AI2726" s="11" t="n"/>
      <c r="AJ2726" s="11" t="n"/>
      <c r="AK2726" s="14">
        <f>IF(AND($AF2726="保留中",$AH2726&lt;&gt;""),TODAY()-$AH2726,"")</f>
        <v/>
      </c>
      <c r="AL2726" s="12" t="n"/>
      <c r="AM2726" s="14">
        <f>IF($B2726="","",IF($AQ2726="","対象年月が未入力／","")&amp;IF($B2726="","",IF($AP2726="","職員マスタに未登録の職員番号／",IF($AA2726="","標準報酬月額が未登録／","")&amp;IF(AND($AQ2726&lt;&gt;"",OR(AND(INDEX(職員マスタ!$G$6:$G$405,$AP2726)&lt;&gt;"",INDEX(職員マスタ!$G$6:$G$405,$AP2726)&gt;EOMONTH($AQ2726,0)),AND(INDEX(職員マスタ!$H$6:$H$405,$AP2726)&lt;&gt;"",INDEX(職員マスタ!$H$6:$H$405,$AP2726)&lt;$AQ2726))),"対象月が時短期間外／","")&amp;IF(AND(INDEX(職員マスタ!$K$6:$K$405,$AP2726)&lt;&gt;"",N($W2726)&gt;0,INDEX(職員マスタ!$K$6:$K$405,$AP2726)&lt;&gt;$W2726),"標準報酬月額が申請書と相違（台帳"&amp;TEXT(INDEX(職員マスタ!$K$6:$K$405,$AP2726),"#,##0")&amp;"円／申請書"&amp;TEXT($W2726,"#,##0")&amp;"円）／","")&amp;IF(AND(INDEX(職員マスタ!$F$6:$F$405,$AP2726)&lt;&gt;"",$AQ2726&lt;&gt;"",INDEX(職員マスタ!$F$6:$F$405,$AP2726)&lt;$AQ2726),"対象月に子が2歳到達済／","")&amp;IF(AND($H2726&lt;&gt;"",INDEX(職員マスタ!$B$6:$B$405,$AP2726)&lt;&gt;"",SUBSTITUTE(SUBSTITUTE($H2726," ","")," ","")&lt;&gt;SUBSTITUTE(SUBSTITUTE(INDEX(職員マスタ!$B$6:$B$405,$AP2726)," ","")," ","")),"氏名がマスタと相違／","")&amp;IF(AND($Q2726&lt;&gt;"",INDEX(職員マスタ!$E$6:$E$405,$AP2726)&lt;&gt;"",$Q2726&lt;&gt;INDEX(職員マスタ!$E$6:$E$405,$AP2726)),"子の生年月日がマスタと相違／","")&amp;IF(AND($L2726&lt;&gt;"",INDEX(職員マスタ!$G$6:$G$405,$AP2726)&lt;&gt;"",$L2726&lt;&gt;INDEX(職員マスタ!$G$6:$G$405,$AP2726)),"時短開始日がマスタと相違／","")&amp;IF(AND($M2726&lt;&gt;"",INDEX(職員マスタ!$H$6:$H$405,$AP2726)&lt;&gt;"",$M2726&lt;&gt;INDEX(職員マスタ!$H$6:$H$405,$AP2726)),"時短終了日がマスタと相違／","")))&amp;IF(AND($B2726&lt;&gt;"",$E2726=""),"報酬額が未入力／","")&amp;IF(N($U2726)&gt;0,"申請書に入力エラーが残っています／","")&amp;IF(AND($B2726&lt;&gt;"",$AQ2726&lt;&gt;""),IF(COUNTIFS($B$6:$B$3005,$B2726,$C$6:$C$3005,$C2726,$D$6:$D$3005,$D2726)&gt;1,"同じ月の請求が重複しています／",""),"")&amp;IF(AND(N($E2726)&gt;0,$AB2726&lt;&gt;"",$AB2726&lt;&gt;"×",$AE2726=0,$AD2726=""),"計算額が下限以下のため不支給／",""))</f>
        <v/>
      </c>
      <c r="AN2726" s="12" t="n"/>
      <c r="AO2726" s="14">
        <f>IF($AF2726="保留中",COUNTIF($AF$6:$AF2726,"保留中"),"")</f>
        <v/>
      </c>
      <c r="AP2726" s="14">
        <f>IF($AQ2726="","",IF(SUMPRODUCT(MAX((職員マスタ!$A$6:$A$405=$B2726)*(((職員マスタ!$G$6:$G$405="")+(職員マスタ!$G$6:$G$405&lt;=EOMONTH($AQ2726,0)))&gt;0)*(((職員マスタ!$H$6:$H$405="")+(職員マスタ!$H$6:$H$405&gt;=$AQ2726))&gt;0)*(ROW(職員マスタ!$A$6:$A$405)-5)))&gt;0,SUMPRODUCT(MAX((職員マスタ!$A$6:$A$405=$B2726)*(((職員マスタ!$G$6:$G$405="")+(職員マスタ!$G$6:$G$405&lt;=EOMONTH($AQ2726,0)))&gt;0)*(((職員マスタ!$H$6:$H$405="")+(職員マスタ!$H$6:$H$405&gt;=$AQ2726))&gt;0)*(ROW(職員マスタ!$A$6:$A$405)-5))),IFERROR(MATCH($B2726,職員マスタ!$A$6:$A$405,0),"")))</f>
        <v/>
      </c>
      <c r="AQ2726" s="16">
        <f>IF(OR($B2726="",$C2726="",$D2726=""),"",DATE($C2726+2018,$D2726,1))</f>
        <v/>
      </c>
    </row>
    <row r="2727">
      <c r="A2727" s="11" t="n"/>
      <c r="B2727" s="12" t="n"/>
      <c r="C2727" s="12" t="n"/>
      <c r="D2727" s="12" t="n"/>
      <c r="E2727" s="13" t="n"/>
      <c r="F2727" s="12" t="n"/>
      <c r="G2727" s="13" t="n"/>
      <c r="H2727" s="12" t="n"/>
      <c r="I2727" s="12" t="n"/>
      <c r="J2727" s="12" t="n"/>
      <c r="K2727" s="12" t="n"/>
      <c r="L2727" s="11" t="n"/>
      <c r="M2727" s="11" t="n"/>
      <c r="N2727" s="11" t="n"/>
      <c r="O2727" s="11" t="n"/>
      <c r="P2727" s="12" t="n"/>
      <c r="Q2727" s="11" t="n"/>
      <c r="R2727" s="12" t="n"/>
      <c r="S2727" s="11" t="n"/>
      <c r="T2727" s="12" t="n"/>
      <c r="U2727" s="12" t="n"/>
      <c r="V2727" s="12" t="n"/>
      <c r="W2727" s="13" t="n"/>
      <c r="X2727" s="14">
        <f>IF($AP2727="",IF($B2727="","",$H2727),IF(INDEX(職員マスタ!$B$6:$B$405,$AP2727)="",$H2727,INDEX(職員マスタ!$B$6:$B$405,$AP2727)))</f>
        <v/>
      </c>
      <c r="Y2727" s="14">
        <f>IF($AP2727="",IF($B2727="","",$R2727),IF(INDEX(職員マスタ!$C$6:$C$405,$AP2727)="",$R2727,INDEX(職員マスタ!$C$6:$C$405,$AP2727)))</f>
        <v/>
      </c>
      <c r="Z2727" s="14">
        <f>IF($AQ2727="","","R"&amp;$C2727&amp;"."&amp;$D2727)</f>
        <v/>
      </c>
      <c r="AA2727" s="15">
        <f>IF(IF($AP2727="",FALSE,INDEX(職員マスタ!$K$6:$K$405,$AP2727)&lt;&gt;""),INDEX(職員マスタ!$K$6:$K$405,$AP2727),IF(N($W2727)&gt;0,$W2727,""))</f>
        <v/>
      </c>
      <c r="AB2727" s="14">
        <f>IF(OR($E2727="",$AA2727=""),"",IF($E2727&gt;=$AA2727,"×",IF($E2727&gt;=$AA2727*設定!$C$5,"△","○")))</f>
        <v/>
      </c>
      <c r="AC2727" s="15">
        <f>IF($AB2727="","",IF($AB2727="×",0,IF($AB2727="○",ROUNDDOWN($E2727*設定!$C$4,0),ROUNDDOWN($E2727*ROUND((9*$AA2727-9*$E2727)/(10*$E2727),4),0))))</f>
        <v/>
      </c>
      <c r="AD2727" s="13" t="n"/>
      <c r="AE2727" s="15">
        <f>IF($B2727="","",IF($AD2727&lt;&gt;"",$AD2727,IF($AC2727="","",IF($AC2727&lt;=設定!$C$3,0,$AC2727))))</f>
        <v/>
      </c>
      <c r="AF2727" s="14">
        <f>IF($B2727="","",IF(AND($AG2727&lt;&gt;"",$AI2727="",$AL2727=""),"保留中",IF($AL2727&lt;&gt;"",IF(N($AE2727)&gt;0,"支給済","不支給"),IF($AE2727="","要確認",IF($AE2727=0,"不支給","未処理")))))</f>
        <v/>
      </c>
      <c r="AG2727" s="12" t="n"/>
      <c r="AH2727" s="11" t="n"/>
      <c r="AI2727" s="11" t="n"/>
      <c r="AJ2727" s="11" t="n"/>
      <c r="AK2727" s="14">
        <f>IF(AND($AF2727="保留中",$AH2727&lt;&gt;""),TODAY()-$AH2727,"")</f>
        <v/>
      </c>
      <c r="AL2727" s="12" t="n"/>
      <c r="AM2727" s="14">
        <f>IF($B2727="","",IF($AQ2727="","対象年月が未入力／","")&amp;IF($B2727="","",IF($AP2727="","職員マスタに未登録の職員番号／",IF($AA2727="","標準報酬月額が未登録／","")&amp;IF(AND($AQ2727&lt;&gt;"",OR(AND(INDEX(職員マスタ!$G$6:$G$405,$AP2727)&lt;&gt;"",INDEX(職員マスタ!$G$6:$G$405,$AP2727)&gt;EOMONTH($AQ2727,0)),AND(INDEX(職員マスタ!$H$6:$H$405,$AP2727)&lt;&gt;"",INDEX(職員マスタ!$H$6:$H$405,$AP2727)&lt;$AQ2727))),"対象月が時短期間外／","")&amp;IF(AND(INDEX(職員マスタ!$K$6:$K$405,$AP2727)&lt;&gt;"",N($W2727)&gt;0,INDEX(職員マスタ!$K$6:$K$405,$AP2727)&lt;&gt;$W2727),"標準報酬月額が申請書と相違（台帳"&amp;TEXT(INDEX(職員マスタ!$K$6:$K$405,$AP2727),"#,##0")&amp;"円／申請書"&amp;TEXT($W2727,"#,##0")&amp;"円）／","")&amp;IF(AND(INDEX(職員マスタ!$F$6:$F$405,$AP2727)&lt;&gt;"",$AQ2727&lt;&gt;"",INDEX(職員マスタ!$F$6:$F$405,$AP2727)&lt;$AQ2727),"対象月に子が2歳到達済／","")&amp;IF(AND($H2727&lt;&gt;"",INDEX(職員マスタ!$B$6:$B$405,$AP2727)&lt;&gt;"",SUBSTITUTE(SUBSTITUTE($H2727," ","")," ","")&lt;&gt;SUBSTITUTE(SUBSTITUTE(INDEX(職員マスタ!$B$6:$B$405,$AP2727)," ","")," ","")),"氏名がマスタと相違／","")&amp;IF(AND($Q2727&lt;&gt;"",INDEX(職員マスタ!$E$6:$E$405,$AP2727)&lt;&gt;"",$Q2727&lt;&gt;INDEX(職員マスタ!$E$6:$E$405,$AP2727)),"子の生年月日がマスタと相違／","")&amp;IF(AND($L2727&lt;&gt;"",INDEX(職員マスタ!$G$6:$G$405,$AP2727)&lt;&gt;"",$L2727&lt;&gt;INDEX(職員マスタ!$G$6:$G$405,$AP2727)),"時短開始日がマスタと相違／","")&amp;IF(AND($M2727&lt;&gt;"",INDEX(職員マスタ!$H$6:$H$405,$AP2727)&lt;&gt;"",$M2727&lt;&gt;INDEX(職員マスタ!$H$6:$H$405,$AP2727)),"時短終了日がマスタと相違／","")))&amp;IF(AND($B2727&lt;&gt;"",$E2727=""),"報酬額が未入力／","")&amp;IF(N($U2727)&gt;0,"申請書に入力エラーが残っています／","")&amp;IF(AND($B2727&lt;&gt;"",$AQ2727&lt;&gt;""),IF(COUNTIFS($B$6:$B$3005,$B2727,$C$6:$C$3005,$C2727,$D$6:$D$3005,$D2727)&gt;1,"同じ月の請求が重複しています／",""),"")&amp;IF(AND(N($E2727)&gt;0,$AB2727&lt;&gt;"",$AB2727&lt;&gt;"×",$AE2727=0,$AD2727=""),"計算額が下限以下のため不支給／",""))</f>
        <v/>
      </c>
      <c r="AN2727" s="12" t="n"/>
      <c r="AO2727" s="14">
        <f>IF($AF2727="保留中",COUNTIF($AF$6:$AF2727,"保留中"),"")</f>
        <v/>
      </c>
      <c r="AP2727" s="14">
        <f>IF($AQ2727="","",IF(SUMPRODUCT(MAX((職員マスタ!$A$6:$A$405=$B2727)*(((職員マスタ!$G$6:$G$405="")+(職員マスタ!$G$6:$G$405&lt;=EOMONTH($AQ2727,0)))&gt;0)*(((職員マスタ!$H$6:$H$405="")+(職員マスタ!$H$6:$H$405&gt;=$AQ2727))&gt;0)*(ROW(職員マスタ!$A$6:$A$405)-5)))&gt;0,SUMPRODUCT(MAX((職員マスタ!$A$6:$A$405=$B2727)*(((職員マスタ!$G$6:$G$405="")+(職員マスタ!$G$6:$G$405&lt;=EOMONTH($AQ2727,0)))&gt;0)*(((職員マスタ!$H$6:$H$405="")+(職員マスタ!$H$6:$H$405&gt;=$AQ2727))&gt;0)*(ROW(職員マスタ!$A$6:$A$405)-5))),IFERROR(MATCH($B2727,職員マスタ!$A$6:$A$405,0),"")))</f>
        <v/>
      </c>
      <c r="AQ2727" s="16">
        <f>IF(OR($B2727="",$C2727="",$D2727=""),"",DATE($C2727+2018,$D2727,1))</f>
        <v/>
      </c>
    </row>
    <row r="2728">
      <c r="A2728" s="11" t="n"/>
      <c r="B2728" s="12" t="n"/>
      <c r="C2728" s="12" t="n"/>
      <c r="D2728" s="12" t="n"/>
      <c r="E2728" s="13" t="n"/>
      <c r="F2728" s="12" t="n"/>
      <c r="G2728" s="13" t="n"/>
      <c r="H2728" s="12" t="n"/>
      <c r="I2728" s="12" t="n"/>
      <c r="J2728" s="12" t="n"/>
      <c r="K2728" s="12" t="n"/>
      <c r="L2728" s="11" t="n"/>
      <c r="M2728" s="11" t="n"/>
      <c r="N2728" s="11" t="n"/>
      <c r="O2728" s="11" t="n"/>
      <c r="P2728" s="12" t="n"/>
      <c r="Q2728" s="11" t="n"/>
      <c r="R2728" s="12" t="n"/>
      <c r="S2728" s="11" t="n"/>
      <c r="T2728" s="12" t="n"/>
      <c r="U2728" s="12" t="n"/>
      <c r="V2728" s="12" t="n"/>
      <c r="W2728" s="13" t="n"/>
      <c r="X2728" s="14">
        <f>IF($AP2728="",IF($B2728="","",$H2728),IF(INDEX(職員マスタ!$B$6:$B$405,$AP2728)="",$H2728,INDEX(職員マスタ!$B$6:$B$405,$AP2728)))</f>
        <v/>
      </c>
      <c r="Y2728" s="14">
        <f>IF($AP2728="",IF($B2728="","",$R2728),IF(INDEX(職員マスタ!$C$6:$C$405,$AP2728)="",$R2728,INDEX(職員マスタ!$C$6:$C$405,$AP2728)))</f>
        <v/>
      </c>
      <c r="Z2728" s="14">
        <f>IF($AQ2728="","","R"&amp;$C2728&amp;"."&amp;$D2728)</f>
        <v/>
      </c>
      <c r="AA2728" s="15">
        <f>IF(IF($AP2728="",FALSE,INDEX(職員マスタ!$K$6:$K$405,$AP2728)&lt;&gt;""),INDEX(職員マスタ!$K$6:$K$405,$AP2728),IF(N($W2728)&gt;0,$W2728,""))</f>
        <v/>
      </c>
      <c r="AB2728" s="14">
        <f>IF(OR($E2728="",$AA2728=""),"",IF($E2728&gt;=$AA2728,"×",IF($E2728&gt;=$AA2728*設定!$C$5,"△","○")))</f>
        <v/>
      </c>
      <c r="AC2728" s="15">
        <f>IF($AB2728="","",IF($AB2728="×",0,IF($AB2728="○",ROUNDDOWN($E2728*設定!$C$4,0),ROUNDDOWN($E2728*ROUND((9*$AA2728-9*$E2728)/(10*$E2728),4),0))))</f>
        <v/>
      </c>
      <c r="AD2728" s="13" t="n"/>
      <c r="AE2728" s="15">
        <f>IF($B2728="","",IF($AD2728&lt;&gt;"",$AD2728,IF($AC2728="","",IF($AC2728&lt;=設定!$C$3,0,$AC2728))))</f>
        <v/>
      </c>
      <c r="AF2728" s="14">
        <f>IF($B2728="","",IF(AND($AG2728&lt;&gt;"",$AI2728="",$AL2728=""),"保留中",IF($AL2728&lt;&gt;"",IF(N($AE2728)&gt;0,"支給済","不支給"),IF($AE2728="","要確認",IF($AE2728=0,"不支給","未処理")))))</f>
        <v/>
      </c>
      <c r="AG2728" s="12" t="n"/>
      <c r="AH2728" s="11" t="n"/>
      <c r="AI2728" s="11" t="n"/>
      <c r="AJ2728" s="11" t="n"/>
      <c r="AK2728" s="14">
        <f>IF(AND($AF2728="保留中",$AH2728&lt;&gt;""),TODAY()-$AH2728,"")</f>
        <v/>
      </c>
      <c r="AL2728" s="12" t="n"/>
      <c r="AM2728" s="14">
        <f>IF($B2728="","",IF($AQ2728="","対象年月が未入力／","")&amp;IF($B2728="","",IF($AP2728="","職員マスタに未登録の職員番号／",IF($AA2728="","標準報酬月額が未登録／","")&amp;IF(AND($AQ2728&lt;&gt;"",OR(AND(INDEX(職員マスタ!$G$6:$G$405,$AP2728)&lt;&gt;"",INDEX(職員マスタ!$G$6:$G$405,$AP2728)&gt;EOMONTH($AQ2728,0)),AND(INDEX(職員マスタ!$H$6:$H$405,$AP2728)&lt;&gt;"",INDEX(職員マスタ!$H$6:$H$405,$AP2728)&lt;$AQ2728))),"対象月が時短期間外／","")&amp;IF(AND(INDEX(職員マスタ!$K$6:$K$405,$AP2728)&lt;&gt;"",N($W2728)&gt;0,INDEX(職員マスタ!$K$6:$K$405,$AP2728)&lt;&gt;$W2728),"標準報酬月額が申請書と相違（台帳"&amp;TEXT(INDEX(職員マスタ!$K$6:$K$405,$AP2728),"#,##0")&amp;"円／申請書"&amp;TEXT($W2728,"#,##0")&amp;"円）／","")&amp;IF(AND(INDEX(職員マスタ!$F$6:$F$405,$AP2728)&lt;&gt;"",$AQ2728&lt;&gt;"",INDEX(職員マスタ!$F$6:$F$405,$AP2728)&lt;$AQ2728),"対象月に子が2歳到達済／","")&amp;IF(AND($H2728&lt;&gt;"",INDEX(職員マスタ!$B$6:$B$405,$AP2728)&lt;&gt;"",SUBSTITUTE(SUBSTITUTE($H2728," ","")," ","")&lt;&gt;SUBSTITUTE(SUBSTITUTE(INDEX(職員マスタ!$B$6:$B$405,$AP2728)," ","")," ","")),"氏名がマスタと相違／","")&amp;IF(AND($Q2728&lt;&gt;"",INDEX(職員マスタ!$E$6:$E$405,$AP2728)&lt;&gt;"",$Q2728&lt;&gt;INDEX(職員マスタ!$E$6:$E$405,$AP2728)),"子の生年月日がマスタと相違／","")&amp;IF(AND($L2728&lt;&gt;"",INDEX(職員マスタ!$G$6:$G$405,$AP2728)&lt;&gt;"",$L2728&lt;&gt;INDEX(職員マスタ!$G$6:$G$405,$AP2728)),"時短開始日がマスタと相違／","")&amp;IF(AND($M2728&lt;&gt;"",INDEX(職員マスタ!$H$6:$H$405,$AP2728)&lt;&gt;"",$M2728&lt;&gt;INDEX(職員マスタ!$H$6:$H$405,$AP2728)),"時短終了日がマスタと相違／","")))&amp;IF(AND($B2728&lt;&gt;"",$E2728=""),"報酬額が未入力／","")&amp;IF(N($U2728)&gt;0,"申請書に入力エラーが残っています／","")&amp;IF(AND($B2728&lt;&gt;"",$AQ2728&lt;&gt;""),IF(COUNTIFS($B$6:$B$3005,$B2728,$C$6:$C$3005,$C2728,$D$6:$D$3005,$D2728)&gt;1,"同じ月の請求が重複しています／",""),"")&amp;IF(AND(N($E2728)&gt;0,$AB2728&lt;&gt;"",$AB2728&lt;&gt;"×",$AE2728=0,$AD2728=""),"計算額が下限以下のため不支給／",""))</f>
        <v/>
      </c>
      <c r="AN2728" s="12" t="n"/>
      <c r="AO2728" s="14">
        <f>IF($AF2728="保留中",COUNTIF($AF$6:$AF2728,"保留中"),"")</f>
        <v/>
      </c>
      <c r="AP2728" s="14">
        <f>IF($AQ2728="","",IF(SUMPRODUCT(MAX((職員マスタ!$A$6:$A$405=$B2728)*(((職員マスタ!$G$6:$G$405="")+(職員マスタ!$G$6:$G$405&lt;=EOMONTH($AQ2728,0)))&gt;0)*(((職員マスタ!$H$6:$H$405="")+(職員マスタ!$H$6:$H$405&gt;=$AQ2728))&gt;0)*(ROW(職員マスタ!$A$6:$A$405)-5)))&gt;0,SUMPRODUCT(MAX((職員マスタ!$A$6:$A$405=$B2728)*(((職員マスタ!$G$6:$G$405="")+(職員マスタ!$G$6:$G$405&lt;=EOMONTH($AQ2728,0)))&gt;0)*(((職員マスタ!$H$6:$H$405="")+(職員マスタ!$H$6:$H$405&gt;=$AQ2728))&gt;0)*(ROW(職員マスタ!$A$6:$A$405)-5))),IFERROR(MATCH($B2728,職員マスタ!$A$6:$A$405,0),"")))</f>
        <v/>
      </c>
      <c r="AQ2728" s="16">
        <f>IF(OR($B2728="",$C2728="",$D2728=""),"",DATE($C2728+2018,$D2728,1))</f>
        <v/>
      </c>
    </row>
    <row r="2729">
      <c r="A2729" s="11" t="n"/>
      <c r="B2729" s="12" t="n"/>
      <c r="C2729" s="12" t="n"/>
      <c r="D2729" s="12" t="n"/>
      <c r="E2729" s="13" t="n"/>
      <c r="F2729" s="12" t="n"/>
      <c r="G2729" s="13" t="n"/>
      <c r="H2729" s="12" t="n"/>
      <c r="I2729" s="12" t="n"/>
      <c r="J2729" s="12" t="n"/>
      <c r="K2729" s="12" t="n"/>
      <c r="L2729" s="11" t="n"/>
      <c r="M2729" s="11" t="n"/>
      <c r="N2729" s="11" t="n"/>
      <c r="O2729" s="11" t="n"/>
      <c r="P2729" s="12" t="n"/>
      <c r="Q2729" s="11" t="n"/>
      <c r="R2729" s="12" t="n"/>
      <c r="S2729" s="11" t="n"/>
      <c r="T2729" s="12" t="n"/>
      <c r="U2729" s="12" t="n"/>
      <c r="V2729" s="12" t="n"/>
      <c r="W2729" s="13" t="n"/>
      <c r="X2729" s="14">
        <f>IF($AP2729="",IF($B2729="","",$H2729),IF(INDEX(職員マスタ!$B$6:$B$405,$AP2729)="",$H2729,INDEX(職員マスタ!$B$6:$B$405,$AP2729)))</f>
        <v/>
      </c>
      <c r="Y2729" s="14">
        <f>IF($AP2729="",IF($B2729="","",$R2729),IF(INDEX(職員マスタ!$C$6:$C$405,$AP2729)="",$R2729,INDEX(職員マスタ!$C$6:$C$405,$AP2729)))</f>
        <v/>
      </c>
      <c r="Z2729" s="14">
        <f>IF($AQ2729="","","R"&amp;$C2729&amp;"."&amp;$D2729)</f>
        <v/>
      </c>
      <c r="AA2729" s="15">
        <f>IF(IF($AP2729="",FALSE,INDEX(職員マスタ!$K$6:$K$405,$AP2729)&lt;&gt;""),INDEX(職員マスタ!$K$6:$K$405,$AP2729),IF(N($W2729)&gt;0,$W2729,""))</f>
        <v/>
      </c>
      <c r="AB2729" s="14">
        <f>IF(OR($E2729="",$AA2729=""),"",IF($E2729&gt;=$AA2729,"×",IF($E2729&gt;=$AA2729*設定!$C$5,"△","○")))</f>
        <v/>
      </c>
      <c r="AC2729" s="15">
        <f>IF($AB2729="","",IF($AB2729="×",0,IF($AB2729="○",ROUNDDOWN($E2729*設定!$C$4,0),ROUNDDOWN($E2729*ROUND((9*$AA2729-9*$E2729)/(10*$E2729),4),0))))</f>
        <v/>
      </c>
      <c r="AD2729" s="13" t="n"/>
      <c r="AE2729" s="15">
        <f>IF($B2729="","",IF($AD2729&lt;&gt;"",$AD2729,IF($AC2729="","",IF($AC2729&lt;=設定!$C$3,0,$AC2729))))</f>
        <v/>
      </c>
      <c r="AF2729" s="14">
        <f>IF($B2729="","",IF(AND($AG2729&lt;&gt;"",$AI2729="",$AL2729=""),"保留中",IF($AL2729&lt;&gt;"",IF(N($AE2729)&gt;0,"支給済","不支給"),IF($AE2729="","要確認",IF($AE2729=0,"不支給","未処理")))))</f>
        <v/>
      </c>
      <c r="AG2729" s="12" t="n"/>
      <c r="AH2729" s="11" t="n"/>
      <c r="AI2729" s="11" t="n"/>
      <c r="AJ2729" s="11" t="n"/>
      <c r="AK2729" s="14">
        <f>IF(AND($AF2729="保留中",$AH2729&lt;&gt;""),TODAY()-$AH2729,"")</f>
        <v/>
      </c>
      <c r="AL2729" s="12" t="n"/>
      <c r="AM2729" s="14">
        <f>IF($B2729="","",IF($AQ2729="","対象年月が未入力／","")&amp;IF($B2729="","",IF($AP2729="","職員マスタに未登録の職員番号／",IF($AA2729="","標準報酬月額が未登録／","")&amp;IF(AND($AQ2729&lt;&gt;"",OR(AND(INDEX(職員マスタ!$G$6:$G$405,$AP2729)&lt;&gt;"",INDEX(職員マスタ!$G$6:$G$405,$AP2729)&gt;EOMONTH($AQ2729,0)),AND(INDEX(職員マスタ!$H$6:$H$405,$AP2729)&lt;&gt;"",INDEX(職員マスタ!$H$6:$H$405,$AP2729)&lt;$AQ2729))),"対象月が時短期間外／","")&amp;IF(AND(INDEX(職員マスタ!$K$6:$K$405,$AP2729)&lt;&gt;"",N($W2729)&gt;0,INDEX(職員マスタ!$K$6:$K$405,$AP2729)&lt;&gt;$W2729),"標準報酬月額が申請書と相違（台帳"&amp;TEXT(INDEX(職員マスタ!$K$6:$K$405,$AP2729),"#,##0")&amp;"円／申請書"&amp;TEXT($W2729,"#,##0")&amp;"円）／","")&amp;IF(AND(INDEX(職員マスタ!$F$6:$F$405,$AP2729)&lt;&gt;"",$AQ2729&lt;&gt;"",INDEX(職員マスタ!$F$6:$F$405,$AP2729)&lt;$AQ2729),"対象月に子が2歳到達済／","")&amp;IF(AND($H2729&lt;&gt;"",INDEX(職員マスタ!$B$6:$B$405,$AP2729)&lt;&gt;"",SUBSTITUTE(SUBSTITUTE($H2729," ","")," ","")&lt;&gt;SUBSTITUTE(SUBSTITUTE(INDEX(職員マスタ!$B$6:$B$405,$AP2729)," ","")," ","")),"氏名がマスタと相違／","")&amp;IF(AND($Q2729&lt;&gt;"",INDEX(職員マスタ!$E$6:$E$405,$AP2729)&lt;&gt;"",$Q2729&lt;&gt;INDEX(職員マスタ!$E$6:$E$405,$AP2729)),"子の生年月日がマスタと相違／","")&amp;IF(AND($L2729&lt;&gt;"",INDEX(職員マスタ!$G$6:$G$405,$AP2729)&lt;&gt;"",$L2729&lt;&gt;INDEX(職員マスタ!$G$6:$G$405,$AP2729)),"時短開始日がマスタと相違／","")&amp;IF(AND($M2729&lt;&gt;"",INDEX(職員マスタ!$H$6:$H$405,$AP2729)&lt;&gt;"",$M2729&lt;&gt;INDEX(職員マスタ!$H$6:$H$405,$AP2729)),"時短終了日がマスタと相違／","")))&amp;IF(AND($B2729&lt;&gt;"",$E2729=""),"報酬額が未入力／","")&amp;IF(N($U2729)&gt;0,"申請書に入力エラーが残っています／","")&amp;IF(AND($B2729&lt;&gt;"",$AQ2729&lt;&gt;""),IF(COUNTIFS($B$6:$B$3005,$B2729,$C$6:$C$3005,$C2729,$D$6:$D$3005,$D2729)&gt;1,"同じ月の請求が重複しています／",""),"")&amp;IF(AND(N($E2729)&gt;0,$AB2729&lt;&gt;"",$AB2729&lt;&gt;"×",$AE2729=0,$AD2729=""),"計算額が下限以下のため不支給／",""))</f>
        <v/>
      </c>
      <c r="AN2729" s="12" t="n"/>
      <c r="AO2729" s="14">
        <f>IF($AF2729="保留中",COUNTIF($AF$6:$AF2729,"保留中"),"")</f>
        <v/>
      </c>
      <c r="AP2729" s="14">
        <f>IF($AQ2729="","",IF(SUMPRODUCT(MAX((職員マスタ!$A$6:$A$405=$B2729)*(((職員マスタ!$G$6:$G$405="")+(職員マスタ!$G$6:$G$405&lt;=EOMONTH($AQ2729,0)))&gt;0)*(((職員マスタ!$H$6:$H$405="")+(職員マスタ!$H$6:$H$405&gt;=$AQ2729))&gt;0)*(ROW(職員マスタ!$A$6:$A$405)-5)))&gt;0,SUMPRODUCT(MAX((職員マスタ!$A$6:$A$405=$B2729)*(((職員マスタ!$G$6:$G$405="")+(職員マスタ!$G$6:$G$405&lt;=EOMONTH($AQ2729,0)))&gt;0)*(((職員マスタ!$H$6:$H$405="")+(職員マスタ!$H$6:$H$405&gt;=$AQ2729))&gt;0)*(ROW(職員マスタ!$A$6:$A$405)-5))),IFERROR(MATCH($B2729,職員マスタ!$A$6:$A$405,0),"")))</f>
        <v/>
      </c>
      <c r="AQ2729" s="16">
        <f>IF(OR($B2729="",$C2729="",$D2729=""),"",DATE($C2729+2018,$D2729,1))</f>
        <v/>
      </c>
    </row>
    <row r="2730">
      <c r="A2730" s="11" t="n"/>
      <c r="B2730" s="12" t="n"/>
      <c r="C2730" s="12" t="n"/>
      <c r="D2730" s="12" t="n"/>
      <c r="E2730" s="13" t="n"/>
      <c r="F2730" s="12" t="n"/>
      <c r="G2730" s="13" t="n"/>
      <c r="H2730" s="12" t="n"/>
      <c r="I2730" s="12" t="n"/>
      <c r="J2730" s="12" t="n"/>
      <c r="K2730" s="12" t="n"/>
      <c r="L2730" s="11" t="n"/>
      <c r="M2730" s="11" t="n"/>
      <c r="N2730" s="11" t="n"/>
      <c r="O2730" s="11" t="n"/>
      <c r="P2730" s="12" t="n"/>
      <c r="Q2730" s="11" t="n"/>
      <c r="R2730" s="12" t="n"/>
      <c r="S2730" s="11" t="n"/>
      <c r="T2730" s="12" t="n"/>
      <c r="U2730" s="12" t="n"/>
      <c r="V2730" s="12" t="n"/>
      <c r="W2730" s="13" t="n"/>
      <c r="X2730" s="14">
        <f>IF($AP2730="",IF($B2730="","",$H2730),IF(INDEX(職員マスタ!$B$6:$B$405,$AP2730)="",$H2730,INDEX(職員マスタ!$B$6:$B$405,$AP2730)))</f>
        <v/>
      </c>
      <c r="Y2730" s="14">
        <f>IF($AP2730="",IF($B2730="","",$R2730),IF(INDEX(職員マスタ!$C$6:$C$405,$AP2730)="",$R2730,INDEX(職員マスタ!$C$6:$C$405,$AP2730)))</f>
        <v/>
      </c>
      <c r="Z2730" s="14">
        <f>IF($AQ2730="","","R"&amp;$C2730&amp;"."&amp;$D2730)</f>
        <v/>
      </c>
      <c r="AA2730" s="15">
        <f>IF(IF($AP2730="",FALSE,INDEX(職員マスタ!$K$6:$K$405,$AP2730)&lt;&gt;""),INDEX(職員マスタ!$K$6:$K$405,$AP2730),IF(N($W2730)&gt;0,$W2730,""))</f>
        <v/>
      </c>
      <c r="AB2730" s="14">
        <f>IF(OR($E2730="",$AA2730=""),"",IF($E2730&gt;=$AA2730,"×",IF($E2730&gt;=$AA2730*設定!$C$5,"△","○")))</f>
        <v/>
      </c>
      <c r="AC2730" s="15">
        <f>IF($AB2730="","",IF($AB2730="×",0,IF($AB2730="○",ROUNDDOWN($E2730*設定!$C$4,0),ROUNDDOWN($E2730*ROUND((9*$AA2730-9*$E2730)/(10*$E2730),4),0))))</f>
        <v/>
      </c>
      <c r="AD2730" s="13" t="n"/>
      <c r="AE2730" s="15">
        <f>IF($B2730="","",IF($AD2730&lt;&gt;"",$AD2730,IF($AC2730="","",IF($AC2730&lt;=設定!$C$3,0,$AC2730))))</f>
        <v/>
      </c>
      <c r="AF2730" s="14">
        <f>IF($B2730="","",IF(AND($AG2730&lt;&gt;"",$AI2730="",$AL2730=""),"保留中",IF($AL2730&lt;&gt;"",IF(N($AE2730)&gt;0,"支給済","不支給"),IF($AE2730="","要確認",IF($AE2730=0,"不支給","未処理")))))</f>
        <v/>
      </c>
      <c r="AG2730" s="12" t="n"/>
      <c r="AH2730" s="11" t="n"/>
      <c r="AI2730" s="11" t="n"/>
      <c r="AJ2730" s="11" t="n"/>
      <c r="AK2730" s="14">
        <f>IF(AND($AF2730="保留中",$AH2730&lt;&gt;""),TODAY()-$AH2730,"")</f>
        <v/>
      </c>
      <c r="AL2730" s="12" t="n"/>
      <c r="AM2730" s="14">
        <f>IF($B2730="","",IF($AQ2730="","対象年月が未入力／","")&amp;IF($B2730="","",IF($AP2730="","職員マスタに未登録の職員番号／",IF($AA2730="","標準報酬月額が未登録／","")&amp;IF(AND($AQ2730&lt;&gt;"",OR(AND(INDEX(職員マスタ!$G$6:$G$405,$AP2730)&lt;&gt;"",INDEX(職員マスタ!$G$6:$G$405,$AP2730)&gt;EOMONTH($AQ2730,0)),AND(INDEX(職員マスタ!$H$6:$H$405,$AP2730)&lt;&gt;"",INDEX(職員マスタ!$H$6:$H$405,$AP2730)&lt;$AQ2730))),"対象月が時短期間外／","")&amp;IF(AND(INDEX(職員マスタ!$K$6:$K$405,$AP2730)&lt;&gt;"",N($W2730)&gt;0,INDEX(職員マスタ!$K$6:$K$405,$AP2730)&lt;&gt;$W2730),"標準報酬月額が申請書と相違（台帳"&amp;TEXT(INDEX(職員マスタ!$K$6:$K$405,$AP2730),"#,##0")&amp;"円／申請書"&amp;TEXT($W2730,"#,##0")&amp;"円）／","")&amp;IF(AND(INDEX(職員マスタ!$F$6:$F$405,$AP2730)&lt;&gt;"",$AQ2730&lt;&gt;"",INDEX(職員マスタ!$F$6:$F$405,$AP2730)&lt;$AQ2730),"対象月に子が2歳到達済／","")&amp;IF(AND($H2730&lt;&gt;"",INDEX(職員マスタ!$B$6:$B$405,$AP2730)&lt;&gt;"",SUBSTITUTE(SUBSTITUTE($H2730," ","")," ","")&lt;&gt;SUBSTITUTE(SUBSTITUTE(INDEX(職員マスタ!$B$6:$B$405,$AP2730)," ","")," ","")),"氏名がマスタと相違／","")&amp;IF(AND($Q2730&lt;&gt;"",INDEX(職員マスタ!$E$6:$E$405,$AP2730)&lt;&gt;"",$Q2730&lt;&gt;INDEX(職員マスタ!$E$6:$E$405,$AP2730)),"子の生年月日がマスタと相違／","")&amp;IF(AND($L2730&lt;&gt;"",INDEX(職員マスタ!$G$6:$G$405,$AP2730)&lt;&gt;"",$L2730&lt;&gt;INDEX(職員マスタ!$G$6:$G$405,$AP2730)),"時短開始日がマスタと相違／","")&amp;IF(AND($M2730&lt;&gt;"",INDEX(職員マスタ!$H$6:$H$405,$AP2730)&lt;&gt;"",$M2730&lt;&gt;INDEX(職員マスタ!$H$6:$H$405,$AP2730)),"時短終了日がマスタと相違／","")))&amp;IF(AND($B2730&lt;&gt;"",$E2730=""),"報酬額が未入力／","")&amp;IF(N($U2730)&gt;0,"申請書に入力エラーが残っています／","")&amp;IF(AND($B2730&lt;&gt;"",$AQ2730&lt;&gt;""),IF(COUNTIFS($B$6:$B$3005,$B2730,$C$6:$C$3005,$C2730,$D$6:$D$3005,$D2730)&gt;1,"同じ月の請求が重複しています／",""),"")&amp;IF(AND(N($E2730)&gt;0,$AB2730&lt;&gt;"",$AB2730&lt;&gt;"×",$AE2730=0,$AD2730=""),"計算額が下限以下のため不支給／",""))</f>
        <v/>
      </c>
      <c r="AN2730" s="12" t="n"/>
      <c r="AO2730" s="14">
        <f>IF($AF2730="保留中",COUNTIF($AF$6:$AF2730,"保留中"),"")</f>
        <v/>
      </c>
      <c r="AP2730" s="14">
        <f>IF($AQ2730="","",IF(SUMPRODUCT(MAX((職員マスタ!$A$6:$A$405=$B2730)*(((職員マスタ!$G$6:$G$405="")+(職員マスタ!$G$6:$G$405&lt;=EOMONTH($AQ2730,0)))&gt;0)*(((職員マスタ!$H$6:$H$405="")+(職員マスタ!$H$6:$H$405&gt;=$AQ2730))&gt;0)*(ROW(職員マスタ!$A$6:$A$405)-5)))&gt;0,SUMPRODUCT(MAX((職員マスタ!$A$6:$A$405=$B2730)*(((職員マスタ!$G$6:$G$405="")+(職員マスタ!$G$6:$G$405&lt;=EOMONTH($AQ2730,0)))&gt;0)*(((職員マスタ!$H$6:$H$405="")+(職員マスタ!$H$6:$H$405&gt;=$AQ2730))&gt;0)*(ROW(職員マスタ!$A$6:$A$405)-5))),IFERROR(MATCH($B2730,職員マスタ!$A$6:$A$405,0),"")))</f>
        <v/>
      </c>
      <c r="AQ2730" s="16">
        <f>IF(OR($B2730="",$C2730="",$D2730=""),"",DATE($C2730+2018,$D2730,1))</f>
        <v/>
      </c>
    </row>
    <row r="2731">
      <c r="A2731" s="11" t="n"/>
      <c r="B2731" s="12" t="n"/>
      <c r="C2731" s="12" t="n"/>
      <c r="D2731" s="12" t="n"/>
      <c r="E2731" s="13" t="n"/>
      <c r="F2731" s="12" t="n"/>
      <c r="G2731" s="13" t="n"/>
      <c r="H2731" s="12" t="n"/>
      <c r="I2731" s="12" t="n"/>
      <c r="J2731" s="12" t="n"/>
      <c r="K2731" s="12" t="n"/>
      <c r="L2731" s="11" t="n"/>
      <c r="M2731" s="11" t="n"/>
      <c r="N2731" s="11" t="n"/>
      <c r="O2731" s="11" t="n"/>
      <c r="P2731" s="12" t="n"/>
      <c r="Q2731" s="11" t="n"/>
      <c r="R2731" s="12" t="n"/>
      <c r="S2731" s="11" t="n"/>
      <c r="T2731" s="12" t="n"/>
      <c r="U2731" s="12" t="n"/>
      <c r="V2731" s="12" t="n"/>
      <c r="W2731" s="13" t="n"/>
      <c r="X2731" s="14">
        <f>IF($AP2731="",IF($B2731="","",$H2731),IF(INDEX(職員マスタ!$B$6:$B$405,$AP2731)="",$H2731,INDEX(職員マスタ!$B$6:$B$405,$AP2731)))</f>
        <v/>
      </c>
      <c r="Y2731" s="14">
        <f>IF($AP2731="",IF($B2731="","",$R2731),IF(INDEX(職員マスタ!$C$6:$C$405,$AP2731)="",$R2731,INDEX(職員マスタ!$C$6:$C$405,$AP2731)))</f>
        <v/>
      </c>
      <c r="Z2731" s="14">
        <f>IF($AQ2731="","","R"&amp;$C2731&amp;"."&amp;$D2731)</f>
        <v/>
      </c>
      <c r="AA2731" s="15">
        <f>IF(IF($AP2731="",FALSE,INDEX(職員マスタ!$K$6:$K$405,$AP2731)&lt;&gt;""),INDEX(職員マスタ!$K$6:$K$405,$AP2731),IF(N($W2731)&gt;0,$W2731,""))</f>
        <v/>
      </c>
      <c r="AB2731" s="14">
        <f>IF(OR($E2731="",$AA2731=""),"",IF($E2731&gt;=$AA2731,"×",IF($E2731&gt;=$AA2731*設定!$C$5,"△","○")))</f>
        <v/>
      </c>
      <c r="AC2731" s="15">
        <f>IF($AB2731="","",IF($AB2731="×",0,IF($AB2731="○",ROUNDDOWN($E2731*設定!$C$4,0),ROUNDDOWN($E2731*ROUND((9*$AA2731-9*$E2731)/(10*$E2731),4),0))))</f>
        <v/>
      </c>
      <c r="AD2731" s="13" t="n"/>
      <c r="AE2731" s="15">
        <f>IF($B2731="","",IF($AD2731&lt;&gt;"",$AD2731,IF($AC2731="","",IF($AC2731&lt;=設定!$C$3,0,$AC2731))))</f>
        <v/>
      </c>
      <c r="AF2731" s="14">
        <f>IF($B2731="","",IF(AND($AG2731&lt;&gt;"",$AI2731="",$AL2731=""),"保留中",IF($AL2731&lt;&gt;"",IF(N($AE2731)&gt;0,"支給済","不支給"),IF($AE2731="","要確認",IF($AE2731=0,"不支給","未処理")))))</f>
        <v/>
      </c>
      <c r="AG2731" s="12" t="n"/>
      <c r="AH2731" s="11" t="n"/>
      <c r="AI2731" s="11" t="n"/>
      <c r="AJ2731" s="11" t="n"/>
      <c r="AK2731" s="14">
        <f>IF(AND($AF2731="保留中",$AH2731&lt;&gt;""),TODAY()-$AH2731,"")</f>
        <v/>
      </c>
      <c r="AL2731" s="12" t="n"/>
      <c r="AM2731" s="14">
        <f>IF($B2731="","",IF($AQ2731="","対象年月が未入力／","")&amp;IF($B2731="","",IF($AP2731="","職員マスタに未登録の職員番号／",IF($AA2731="","標準報酬月額が未登録／","")&amp;IF(AND($AQ2731&lt;&gt;"",OR(AND(INDEX(職員マスタ!$G$6:$G$405,$AP2731)&lt;&gt;"",INDEX(職員マスタ!$G$6:$G$405,$AP2731)&gt;EOMONTH($AQ2731,0)),AND(INDEX(職員マスタ!$H$6:$H$405,$AP2731)&lt;&gt;"",INDEX(職員マスタ!$H$6:$H$405,$AP2731)&lt;$AQ2731))),"対象月が時短期間外／","")&amp;IF(AND(INDEX(職員マスタ!$K$6:$K$405,$AP2731)&lt;&gt;"",N($W2731)&gt;0,INDEX(職員マスタ!$K$6:$K$405,$AP2731)&lt;&gt;$W2731),"標準報酬月額が申請書と相違（台帳"&amp;TEXT(INDEX(職員マスタ!$K$6:$K$405,$AP2731),"#,##0")&amp;"円／申請書"&amp;TEXT($W2731,"#,##0")&amp;"円）／","")&amp;IF(AND(INDEX(職員マスタ!$F$6:$F$405,$AP2731)&lt;&gt;"",$AQ2731&lt;&gt;"",INDEX(職員マスタ!$F$6:$F$405,$AP2731)&lt;$AQ2731),"対象月に子が2歳到達済／","")&amp;IF(AND($H2731&lt;&gt;"",INDEX(職員マスタ!$B$6:$B$405,$AP2731)&lt;&gt;"",SUBSTITUTE(SUBSTITUTE($H2731," ","")," ","")&lt;&gt;SUBSTITUTE(SUBSTITUTE(INDEX(職員マスタ!$B$6:$B$405,$AP2731)," ","")," ","")),"氏名がマスタと相違／","")&amp;IF(AND($Q2731&lt;&gt;"",INDEX(職員マスタ!$E$6:$E$405,$AP2731)&lt;&gt;"",$Q2731&lt;&gt;INDEX(職員マスタ!$E$6:$E$405,$AP2731)),"子の生年月日がマスタと相違／","")&amp;IF(AND($L2731&lt;&gt;"",INDEX(職員マスタ!$G$6:$G$405,$AP2731)&lt;&gt;"",$L2731&lt;&gt;INDEX(職員マスタ!$G$6:$G$405,$AP2731)),"時短開始日がマスタと相違／","")&amp;IF(AND($M2731&lt;&gt;"",INDEX(職員マスタ!$H$6:$H$405,$AP2731)&lt;&gt;"",$M2731&lt;&gt;INDEX(職員マスタ!$H$6:$H$405,$AP2731)),"時短終了日がマスタと相違／","")))&amp;IF(AND($B2731&lt;&gt;"",$E2731=""),"報酬額が未入力／","")&amp;IF(N($U2731)&gt;0,"申請書に入力エラーが残っています／","")&amp;IF(AND($B2731&lt;&gt;"",$AQ2731&lt;&gt;""),IF(COUNTIFS($B$6:$B$3005,$B2731,$C$6:$C$3005,$C2731,$D$6:$D$3005,$D2731)&gt;1,"同じ月の請求が重複しています／",""),"")&amp;IF(AND(N($E2731)&gt;0,$AB2731&lt;&gt;"",$AB2731&lt;&gt;"×",$AE2731=0,$AD2731=""),"計算額が下限以下のため不支給／",""))</f>
        <v/>
      </c>
      <c r="AN2731" s="12" t="n"/>
      <c r="AO2731" s="14">
        <f>IF($AF2731="保留中",COUNTIF($AF$6:$AF2731,"保留中"),"")</f>
        <v/>
      </c>
      <c r="AP2731" s="14">
        <f>IF($AQ2731="","",IF(SUMPRODUCT(MAX((職員マスタ!$A$6:$A$405=$B2731)*(((職員マスタ!$G$6:$G$405="")+(職員マスタ!$G$6:$G$405&lt;=EOMONTH($AQ2731,0)))&gt;0)*(((職員マスタ!$H$6:$H$405="")+(職員マスタ!$H$6:$H$405&gt;=$AQ2731))&gt;0)*(ROW(職員マスタ!$A$6:$A$405)-5)))&gt;0,SUMPRODUCT(MAX((職員マスタ!$A$6:$A$405=$B2731)*(((職員マスタ!$G$6:$G$405="")+(職員マスタ!$G$6:$G$405&lt;=EOMONTH($AQ2731,0)))&gt;0)*(((職員マスタ!$H$6:$H$405="")+(職員マスタ!$H$6:$H$405&gt;=$AQ2731))&gt;0)*(ROW(職員マスタ!$A$6:$A$405)-5))),IFERROR(MATCH($B2731,職員マスタ!$A$6:$A$405,0),"")))</f>
        <v/>
      </c>
      <c r="AQ2731" s="16">
        <f>IF(OR($B2731="",$C2731="",$D2731=""),"",DATE($C2731+2018,$D2731,1))</f>
        <v/>
      </c>
    </row>
    <row r="2732">
      <c r="A2732" s="11" t="n"/>
      <c r="B2732" s="12" t="n"/>
      <c r="C2732" s="12" t="n"/>
      <c r="D2732" s="12" t="n"/>
      <c r="E2732" s="13" t="n"/>
      <c r="F2732" s="12" t="n"/>
      <c r="G2732" s="13" t="n"/>
      <c r="H2732" s="12" t="n"/>
      <c r="I2732" s="12" t="n"/>
      <c r="J2732" s="12" t="n"/>
      <c r="K2732" s="12" t="n"/>
      <c r="L2732" s="11" t="n"/>
      <c r="M2732" s="11" t="n"/>
      <c r="N2732" s="11" t="n"/>
      <c r="O2732" s="11" t="n"/>
      <c r="P2732" s="12" t="n"/>
      <c r="Q2732" s="11" t="n"/>
      <c r="R2732" s="12" t="n"/>
      <c r="S2732" s="11" t="n"/>
      <c r="T2732" s="12" t="n"/>
      <c r="U2732" s="12" t="n"/>
      <c r="V2732" s="12" t="n"/>
      <c r="W2732" s="13" t="n"/>
      <c r="X2732" s="14">
        <f>IF($AP2732="",IF($B2732="","",$H2732),IF(INDEX(職員マスタ!$B$6:$B$405,$AP2732)="",$H2732,INDEX(職員マスタ!$B$6:$B$405,$AP2732)))</f>
        <v/>
      </c>
      <c r="Y2732" s="14">
        <f>IF($AP2732="",IF($B2732="","",$R2732),IF(INDEX(職員マスタ!$C$6:$C$405,$AP2732)="",$R2732,INDEX(職員マスタ!$C$6:$C$405,$AP2732)))</f>
        <v/>
      </c>
      <c r="Z2732" s="14">
        <f>IF($AQ2732="","","R"&amp;$C2732&amp;"."&amp;$D2732)</f>
        <v/>
      </c>
      <c r="AA2732" s="15">
        <f>IF(IF($AP2732="",FALSE,INDEX(職員マスタ!$K$6:$K$405,$AP2732)&lt;&gt;""),INDEX(職員マスタ!$K$6:$K$405,$AP2732),IF(N($W2732)&gt;0,$W2732,""))</f>
        <v/>
      </c>
      <c r="AB2732" s="14">
        <f>IF(OR($E2732="",$AA2732=""),"",IF($E2732&gt;=$AA2732,"×",IF($E2732&gt;=$AA2732*設定!$C$5,"△","○")))</f>
        <v/>
      </c>
      <c r="AC2732" s="15">
        <f>IF($AB2732="","",IF($AB2732="×",0,IF($AB2732="○",ROUNDDOWN($E2732*設定!$C$4,0),ROUNDDOWN($E2732*ROUND((9*$AA2732-9*$E2732)/(10*$E2732),4),0))))</f>
        <v/>
      </c>
      <c r="AD2732" s="13" t="n"/>
      <c r="AE2732" s="15">
        <f>IF($B2732="","",IF($AD2732&lt;&gt;"",$AD2732,IF($AC2732="","",IF($AC2732&lt;=設定!$C$3,0,$AC2732))))</f>
        <v/>
      </c>
      <c r="AF2732" s="14">
        <f>IF($B2732="","",IF(AND($AG2732&lt;&gt;"",$AI2732="",$AL2732=""),"保留中",IF($AL2732&lt;&gt;"",IF(N($AE2732)&gt;0,"支給済","不支給"),IF($AE2732="","要確認",IF($AE2732=0,"不支給","未処理")))))</f>
        <v/>
      </c>
      <c r="AG2732" s="12" t="n"/>
      <c r="AH2732" s="11" t="n"/>
      <c r="AI2732" s="11" t="n"/>
      <c r="AJ2732" s="11" t="n"/>
      <c r="AK2732" s="14">
        <f>IF(AND($AF2732="保留中",$AH2732&lt;&gt;""),TODAY()-$AH2732,"")</f>
        <v/>
      </c>
      <c r="AL2732" s="12" t="n"/>
      <c r="AM2732" s="14">
        <f>IF($B2732="","",IF($AQ2732="","対象年月が未入力／","")&amp;IF($B2732="","",IF($AP2732="","職員マスタに未登録の職員番号／",IF($AA2732="","標準報酬月額が未登録／","")&amp;IF(AND($AQ2732&lt;&gt;"",OR(AND(INDEX(職員マスタ!$G$6:$G$405,$AP2732)&lt;&gt;"",INDEX(職員マスタ!$G$6:$G$405,$AP2732)&gt;EOMONTH($AQ2732,0)),AND(INDEX(職員マスタ!$H$6:$H$405,$AP2732)&lt;&gt;"",INDEX(職員マスタ!$H$6:$H$405,$AP2732)&lt;$AQ2732))),"対象月が時短期間外／","")&amp;IF(AND(INDEX(職員マスタ!$K$6:$K$405,$AP2732)&lt;&gt;"",N($W2732)&gt;0,INDEX(職員マスタ!$K$6:$K$405,$AP2732)&lt;&gt;$W2732),"標準報酬月額が申請書と相違（台帳"&amp;TEXT(INDEX(職員マスタ!$K$6:$K$405,$AP2732),"#,##0")&amp;"円／申請書"&amp;TEXT($W2732,"#,##0")&amp;"円）／","")&amp;IF(AND(INDEX(職員マスタ!$F$6:$F$405,$AP2732)&lt;&gt;"",$AQ2732&lt;&gt;"",INDEX(職員マスタ!$F$6:$F$405,$AP2732)&lt;$AQ2732),"対象月に子が2歳到達済／","")&amp;IF(AND($H2732&lt;&gt;"",INDEX(職員マスタ!$B$6:$B$405,$AP2732)&lt;&gt;"",SUBSTITUTE(SUBSTITUTE($H2732," ","")," ","")&lt;&gt;SUBSTITUTE(SUBSTITUTE(INDEX(職員マスタ!$B$6:$B$405,$AP2732)," ","")," ","")),"氏名がマスタと相違／","")&amp;IF(AND($Q2732&lt;&gt;"",INDEX(職員マスタ!$E$6:$E$405,$AP2732)&lt;&gt;"",$Q2732&lt;&gt;INDEX(職員マスタ!$E$6:$E$405,$AP2732)),"子の生年月日がマスタと相違／","")&amp;IF(AND($L2732&lt;&gt;"",INDEX(職員マスタ!$G$6:$G$405,$AP2732)&lt;&gt;"",$L2732&lt;&gt;INDEX(職員マスタ!$G$6:$G$405,$AP2732)),"時短開始日がマスタと相違／","")&amp;IF(AND($M2732&lt;&gt;"",INDEX(職員マスタ!$H$6:$H$405,$AP2732)&lt;&gt;"",$M2732&lt;&gt;INDEX(職員マスタ!$H$6:$H$405,$AP2732)),"時短終了日がマスタと相違／","")))&amp;IF(AND($B2732&lt;&gt;"",$E2732=""),"報酬額が未入力／","")&amp;IF(N($U2732)&gt;0,"申請書に入力エラーが残っています／","")&amp;IF(AND($B2732&lt;&gt;"",$AQ2732&lt;&gt;""),IF(COUNTIFS($B$6:$B$3005,$B2732,$C$6:$C$3005,$C2732,$D$6:$D$3005,$D2732)&gt;1,"同じ月の請求が重複しています／",""),"")&amp;IF(AND(N($E2732)&gt;0,$AB2732&lt;&gt;"",$AB2732&lt;&gt;"×",$AE2732=0,$AD2732=""),"計算額が下限以下のため不支給／",""))</f>
        <v/>
      </c>
      <c r="AN2732" s="12" t="n"/>
      <c r="AO2732" s="14">
        <f>IF($AF2732="保留中",COUNTIF($AF$6:$AF2732,"保留中"),"")</f>
        <v/>
      </c>
      <c r="AP2732" s="14">
        <f>IF($AQ2732="","",IF(SUMPRODUCT(MAX((職員マスタ!$A$6:$A$405=$B2732)*(((職員マスタ!$G$6:$G$405="")+(職員マスタ!$G$6:$G$405&lt;=EOMONTH($AQ2732,0)))&gt;0)*(((職員マスタ!$H$6:$H$405="")+(職員マスタ!$H$6:$H$405&gt;=$AQ2732))&gt;0)*(ROW(職員マスタ!$A$6:$A$405)-5)))&gt;0,SUMPRODUCT(MAX((職員マスタ!$A$6:$A$405=$B2732)*(((職員マスタ!$G$6:$G$405="")+(職員マスタ!$G$6:$G$405&lt;=EOMONTH($AQ2732,0)))&gt;0)*(((職員マスタ!$H$6:$H$405="")+(職員マスタ!$H$6:$H$405&gt;=$AQ2732))&gt;0)*(ROW(職員マスタ!$A$6:$A$405)-5))),IFERROR(MATCH($B2732,職員マスタ!$A$6:$A$405,0),"")))</f>
        <v/>
      </c>
      <c r="AQ2732" s="16">
        <f>IF(OR($B2732="",$C2732="",$D2732=""),"",DATE($C2732+2018,$D2732,1))</f>
        <v/>
      </c>
    </row>
    <row r="2733">
      <c r="A2733" s="11" t="n"/>
      <c r="B2733" s="12" t="n"/>
      <c r="C2733" s="12" t="n"/>
      <c r="D2733" s="12" t="n"/>
      <c r="E2733" s="13" t="n"/>
      <c r="F2733" s="12" t="n"/>
      <c r="G2733" s="13" t="n"/>
      <c r="H2733" s="12" t="n"/>
      <c r="I2733" s="12" t="n"/>
      <c r="J2733" s="12" t="n"/>
      <c r="K2733" s="12" t="n"/>
      <c r="L2733" s="11" t="n"/>
      <c r="M2733" s="11" t="n"/>
      <c r="N2733" s="11" t="n"/>
      <c r="O2733" s="11" t="n"/>
      <c r="P2733" s="12" t="n"/>
      <c r="Q2733" s="11" t="n"/>
      <c r="R2733" s="12" t="n"/>
      <c r="S2733" s="11" t="n"/>
      <c r="T2733" s="12" t="n"/>
      <c r="U2733" s="12" t="n"/>
      <c r="V2733" s="12" t="n"/>
      <c r="W2733" s="13" t="n"/>
      <c r="X2733" s="14">
        <f>IF($AP2733="",IF($B2733="","",$H2733),IF(INDEX(職員マスタ!$B$6:$B$405,$AP2733)="",$H2733,INDEX(職員マスタ!$B$6:$B$405,$AP2733)))</f>
        <v/>
      </c>
      <c r="Y2733" s="14">
        <f>IF($AP2733="",IF($B2733="","",$R2733),IF(INDEX(職員マスタ!$C$6:$C$405,$AP2733)="",$R2733,INDEX(職員マスタ!$C$6:$C$405,$AP2733)))</f>
        <v/>
      </c>
      <c r="Z2733" s="14">
        <f>IF($AQ2733="","","R"&amp;$C2733&amp;"."&amp;$D2733)</f>
        <v/>
      </c>
      <c r="AA2733" s="15">
        <f>IF(IF($AP2733="",FALSE,INDEX(職員マスタ!$K$6:$K$405,$AP2733)&lt;&gt;""),INDEX(職員マスタ!$K$6:$K$405,$AP2733),IF(N($W2733)&gt;0,$W2733,""))</f>
        <v/>
      </c>
      <c r="AB2733" s="14">
        <f>IF(OR($E2733="",$AA2733=""),"",IF($E2733&gt;=$AA2733,"×",IF($E2733&gt;=$AA2733*設定!$C$5,"△","○")))</f>
        <v/>
      </c>
      <c r="AC2733" s="15">
        <f>IF($AB2733="","",IF($AB2733="×",0,IF($AB2733="○",ROUNDDOWN($E2733*設定!$C$4,0),ROUNDDOWN($E2733*ROUND((9*$AA2733-9*$E2733)/(10*$E2733),4),0))))</f>
        <v/>
      </c>
      <c r="AD2733" s="13" t="n"/>
      <c r="AE2733" s="15">
        <f>IF($B2733="","",IF($AD2733&lt;&gt;"",$AD2733,IF($AC2733="","",IF($AC2733&lt;=設定!$C$3,0,$AC2733))))</f>
        <v/>
      </c>
      <c r="AF2733" s="14">
        <f>IF($B2733="","",IF(AND($AG2733&lt;&gt;"",$AI2733="",$AL2733=""),"保留中",IF($AL2733&lt;&gt;"",IF(N($AE2733)&gt;0,"支給済","不支給"),IF($AE2733="","要確認",IF($AE2733=0,"不支給","未処理")))))</f>
        <v/>
      </c>
      <c r="AG2733" s="12" t="n"/>
      <c r="AH2733" s="11" t="n"/>
      <c r="AI2733" s="11" t="n"/>
      <c r="AJ2733" s="11" t="n"/>
      <c r="AK2733" s="14">
        <f>IF(AND($AF2733="保留中",$AH2733&lt;&gt;""),TODAY()-$AH2733,"")</f>
        <v/>
      </c>
      <c r="AL2733" s="12" t="n"/>
      <c r="AM2733" s="14">
        <f>IF($B2733="","",IF($AQ2733="","対象年月が未入力／","")&amp;IF($B2733="","",IF($AP2733="","職員マスタに未登録の職員番号／",IF($AA2733="","標準報酬月額が未登録／","")&amp;IF(AND($AQ2733&lt;&gt;"",OR(AND(INDEX(職員マスタ!$G$6:$G$405,$AP2733)&lt;&gt;"",INDEX(職員マスタ!$G$6:$G$405,$AP2733)&gt;EOMONTH($AQ2733,0)),AND(INDEX(職員マスタ!$H$6:$H$405,$AP2733)&lt;&gt;"",INDEX(職員マスタ!$H$6:$H$405,$AP2733)&lt;$AQ2733))),"対象月が時短期間外／","")&amp;IF(AND(INDEX(職員マスタ!$K$6:$K$405,$AP2733)&lt;&gt;"",N($W2733)&gt;0,INDEX(職員マスタ!$K$6:$K$405,$AP2733)&lt;&gt;$W2733),"標準報酬月額が申請書と相違（台帳"&amp;TEXT(INDEX(職員マスタ!$K$6:$K$405,$AP2733),"#,##0")&amp;"円／申請書"&amp;TEXT($W2733,"#,##0")&amp;"円）／","")&amp;IF(AND(INDEX(職員マスタ!$F$6:$F$405,$AP2733)&lt;&gt;"",$AQ2733&lt;&gt;"",INDEX(職員マスタ!$F$6:$F$405,$AP2733)&lt;$AQ2733),"対象月に子が2歳到達済／","")&amp;IF(AND($H2733&lt;&gt;"",INDEX(職員マスタ!$B$6:$B$405,$AP2733)&lt;&gt;"",SUBSTITUTE(SUBSTITUTE($H2733," ","")," ","")&lt;&gt;SUBSTITUTE(SUBSTITUTE(INDEX(職員マスタ!$B$6:$B$405,$AP2733)," ","")," ","")),"氏名がマスタと相違／","")&amp;IF(AND($Q2733&lt;&gt;"",INDEX(職員マスタ!$E$6:$E$405,$AP2733)&lt;&gt;"",$Q2733&lt;&gt;INDEX(職員マスタ!$E$6:$E$405,$AP2733)),"子の生年月日がマスタと相違／","")&amp;IF(AND($L2733&lt;&gt;"",INDEX(職員マスタ!$G$6:$G$405,$AP2733)&lt;&gt;"",$L2733&lt;&gt;INDEX(職員マスタ!$G$6:$G$405,$AP2733)),"時短開始日がマスタと相違／","")&amp;IF(AND($M2733&lt;&gt;"",INDEX(職員マスタ!$H$6:$H$405,$AP2733)&lt;&gt;"",$M2733&lt;&gt;INDEX(職員マスタ!$H$6:$H$405,$AP2733)),"時短終了日がマスタと相違／","")))&amp;IF(AND($B2733&lt;&gt;"",$E2733=""),"報酬額が未入力／","")&amp;IF(N($U2733)&gt;0,"申請書に入力エラーが残っています／","")&amp;IF(AND($B2733&lt;&gt;"",$AQ2733&lt;&gt;""),IF(COUNTIFS($B$6:$B$3005,$B2733,$C$6:$C$3005,$C2733,$D$6:$D$3005,$D2733)&gt;1,"同じ月の請求が重複しています／",""),"")&amp;IF(AND(N($E2733)&gt;0,$AB2733&lt;&gt;"",$AB2733&lt;&gt;"×",$AE2733=0,$AD2733=""),"計算額が下限以下のため不支給／",""))</f>
        <v/>
      </c>
      <c r="AN2733" s="12" t="n"/>
      <c r="AO2733" s="14">
        <f>IF($AF2733="保留中",COUNTIF($AF$6:$AF2733,"保留中"),"")</f>
        <v/>
      </c>
      <c r="AP2733" s="14">
        <f>IF($AQ2733="","",IF(SUMPRODUCT(MAX((職員マスタ!$A$6:$A$405=$B2733)*(((職員マスタ!$G$6:$G$405="")+(職員マスタ!$G$6:$G$405&lt;=EOMONTH($AQ2733,0)))&gt;0)*(((職員マスタ!$H$6:$H$405="")+(職員マスタ!$H$6:$H$405&gt;=$AQ2733))&gt;0)*(ROW(職員マスタ!$A$6:$A$405)-5)))&gt;0,SUMPRODUCT(MAX((職員マスタ!$A$6:$A$405=$B2733)*(((職員マスタ!$G$6:$G$405="")+(職員マスタ!$G$6:$G$405&lt;=EOMONTH($AQ2733,0)))&gt;0)*(((職員マスタ!$H$6:$H$405="")+(職員マスタ!$H$6:$H$405&gt;=$AQ2733))&gt;0)*(ROW(職員マスタ!$A$6:$A$405)-5))),IFERROR(MATCH($B2733,職員マスタ!$A$6:$A$405,0),"")))</f>
        <v/>
      </c>
      <c r="AQ2733" s="16">
        <f>IF(OR($B2733="",$C2733="",$D2733=""),"",DATE($C2733+2018,$D2733,1))</f>
        <v/>
      </c>
    </row>
    <row r="2734">
      <c r="A2734" s="11" t="n"/>
      <c r="B2734" s="12" t="n"/>
      <c r="C2734" s="12" t="n"/>
      <c r="D2734" s="12" t="n"/>
      <c r="E2734" s="13" t="n"/>
      <c r="F2734" s="12" t="n"/>
      <c r="G2734" s="13" t="n"/>
      <c r="H2734" s="12" t="n"/>
      <c r="I2734" s="12" t="n"/>
      <c r="J2734" s="12" t="n"/>
      <c r="K2734" s="12" t="n"/>
      <c r="L2734" s="11" t="n"/>
      <c r="M2734" s="11" t="n"/>
      <c r="N2734" s="11" t="n"/>
      <c r="O2734" s="11" t="n"/>
      <c r="P2734" s="12" t="n"/>
      <c r="Q2734" s="11" t="n"/>
      <c r="R2734" s="12" t="n"/>
      <c r="S2734" s="11" t="n"/>
      <c r="T2734" s="12" t="n"/>
      <c r="U2734" s="12" t="n"/>
      <c r="V2734" s="12" t="n"/>
      <c r="W2734" s="13" t="n"/>
      <c r="X2734" s="14">
        <f>IF($AP2734="",IF($B2734="","",$H2734),IF(INDEX(職員マスタ!$B$6:$B$405,$AP2734)="",$H2734,INDEX(職員マスタ!$B$6:$B$405,$AP2734)))</f>
        <v/>
      </c>
      <c r="Y2734" s="14">
        <f>IF($AP2734="",IF($B2734="","",$R2734),IF(INDEX(職員マスタ!$C$6:$C$405,$AP2734)="",$R2734,INDEX(職員マスタ!$C$6:$C$405,$AP2734)))</f>
        <v/>
      </c>
      <c r="Z2734" s="14">
        <f>IF($AQ2734="","","R"&amp;$C2734&amp;"."&amp;$D2734)</f>
        <v/>
      </c>
      <c r="AA2734" s="15">
        <f>IF(IF($AP2734="",FALSE,INDEX(職員マスタ!$K$6:$K$405,$AP2734)&lt;&gt;""),INDEX(職員マスタ!$K$6:$K$405,$AP2734),IF(N($W2734)&gt;0,$W2734,""))</f>
        <v/>
      </c>
      <c r="AB2734" s="14">
        <f>IF(OR($E2734="",$AA2734=""),"",IF($E2734&gt;=$AA2734,"×",IF($E2734&gt;=$AA2734*設定!$C$5,"△","○")))</f>
        <v/>
      </c>
      <c r="AC2734" s="15">
        <f>IF($AB2734="","",IF($AB2734="×",0,IF($AB2734="○",ROUNDDOWN($E2734*設定!$C$4,0),ROUNDDOWN($E2734*ROUND((9*$AA2734-9*$E2734)/(10*$E2734),4),0))))</f>
        <v/>
      </c>
      <c r="AD2734" s="13" t="n"/>
      <c r="AE2734" s="15">
        <f>IF($B2734="","",IF($AD2734&lt;&gt;"",$AD2734,IF($AC2734="","",IF($AC2734&lt;=設定!$C$3,0,$AC2734))))</f>
        <v/>
      </c>
      <c r="AF2734" s="14">
        <f>IF($B2734="","",IF(AND($AG2734&lt;&gt;"",$AI2734="",$AL2734=""),"保留中",IF($AL2734&lt;&gt;"",IF(N($AE2734)&gt;0,"支給済","不支給"),IF($AE2734="","要確認",IF($AE2734=0,"不支給","未処理")))))</f>
        <v/>
      </c>
      <c r="AG2734" s="12" t="n"/>
      <c r="AH2734" s="11" t="n"/>
      <c r="AI2734" s="11" t="n"/>
      <c r="AJ2734" s="11" t="n"/>
      <c r="AK2734" s="14">
        <f>IF(AND($AF2734="保留中",$AH2734&lt;&gt;""),TODAY()-$AH2734,"")</f>
        <v/>
      </c>
      <c r="AL2734" s="12" t="n"/>
      <c r="AM2734" s="14">
        <f>IF($B2734="","",IF($AQ2734="","対象年月が未入力／","")&amp;IF($B2734="","",IF($AP2734="","職員マスタに未登録の職員番号／",IF($AA2734="","標準報酬月額が未登録／","")&amp;IF(AND($AQ2734&lt;&gt;"",OR(AND(INDEX(職員マスタ!$G$6:$G$405,$AP2734)&lt;&gt;"",INDEX(職員マスタ!$G$6:$G$405,$AP2734)&gt;EOMONTH($AQ2734,0)),AND(INDEX(職員マスタ!$H$6:$H$405,$AP2734)&lt;&gt;"",INDEX(職員マスタ!$H$6:$H$405,$AP2734)&lt;$AQ2734))),"対象月が時短期間外／","")&amp;IF(AND(INDEX(職員マスタ!$K$6:$K$405,$AP2734)&lt;&gt;"",N($W2734)&gt;0,INDEX(職員マスタ!$K$6:$K$405,$AP2734)&lt;&gt;$W2734),"標準報酬月額が申請書と相違（台帳"&amp;TEXT(INDEX(職員マスタ!$K$6:$K$405,$AP2734),"#,##0")&amp;"円／申請書"&amp;TEXT($W2734,"#,##0")&amp;"円）／","")&amp;IF(AND(INDEX(職員マスタ!$F$6:$F$405,$AP2734)&lt;&gt;"",$AQ2734&lt;&gt;"",INDEX(職員マスタ!$F$6:$F$405,$AP2734)&lt;$AQ2734),"対象月に子が2歳到達済／","")&amp;IF(AND($H2734&lt;&gt;"",INDEX(職員マスタ!$B$6:$B$405,$AP2734)&lt;&gt;"",SUBSTITUTE(SUBSTITUTE($H2734," ","")," ","")&lt;&gt;SUBSTITUTE(SUBSTITUTE(INDEX(職員マスタ!$B$6:$B$405,$AP2734)," ","")," ","")),"氏名がマスタと相違／","")&amp;IF(AND($Q2734&lt;&gt;"",INDEX(職員マスタ!$E$6:$E$405,$AP2734)&lt;&gt;"",$Q2734&lt;&gt;INDEX(職員マスタ!$E$6:$E$405,$AP2734)),"子の生年月日がマスタと相違／","")&amp;IF(AND($L2734&lt;&gt;"",INDEX(職員マスタ!$G$6:$G$405,$AP2734)&lt;&gt;"",$L2734&lt;&gt;INDEX(職員マスタ!$G$6:$G$405,$AP2734)),"時短開始日がマスタと相違／","")&amp;IF(AND($M2734&lt;&gt;"",INDEX(職員マスタ!$H$6:$H$405,$AP2734)&lt;&gt;"",$M2734&lt;&gt;INDEX(職員マスタ!$H$6:$H$405,$AP2734)),"時短終了日がマスタと相違／","")))&amp;IF(AND($B2734&lt;&gt;"",$E2734=""),"報酬額が未入力／","")&amp;IF(N($U2734)&gt;0,"申請書に入力エラーが残っています／","")&amp;IF(AND($B2734&lt;&gt;"",$AQ2734&lt;&gt;""),IF(COUNTIFS($B$6:$B$3005,$B2734,$C$6:$C$3005,$C2734,$D$6:$D$3005,$D2734)&gt;1,"同じ月の請求が重複しています／",""),"")&amp;IF(AND(N($E2734)&gt;0,$AB2734&lt;&gt;"",$AB2734&lt;&gt;"×",$AE2734=0,$AD2734=""),"計算額が下限以下のため不支給／",""))</f>
        <v/>
      </c>
      <c r="AN2734" s="12" t="n"/>
      <c r="AO2734" s="14">
        <f>IF($AF2734="保留中",COUNTIF($AF$6:$AF2734,"保留中"),"")</f>
        <v/>
      </c>
      <c r="AP2734" s="14">
        <f>IF($AQ2734="","",IF(SUMPRODUCT(MAX((職員マスタ!$A$6:$A$405=$B2734)*(((職員マスタ!$G$6:$G$405="")+(職員マスタ!$G$6:$G$405&lt;=EOMONTH($AQ2734,0)))&gt;0)*(((職員マスタ!$H$6:$H$405="")+(職員マスタ!$H$6:$H$405&gt;=$AQ2734))&gt;0)*(ROW(職員マスタ!$A$6:$A$405)-5)))&gt;0,SUMPRODUCT(MAX((職員マスタ!$A$6:$A$405=$B2734)*(((職員マスタ!$G$6:$G$405="")+(職員マスタ!$G$6:$G$405&lt;=EOMONTH($AQ2734,0)))&gt;0)*(((職員マスタ!$H$6:$H$405="")+(職員マスタ!$H$6:$H$405&gt;=$AQ2734))&gt;0)*(ROW(職員マスタ!$A$6:$A$405)-5))),IFERROR(MATCH($B2734,職員マスタ!$A$6:$A$405,0),"")))</f>
        <v/>
      </c>
      <c r="AQ2734" s="16">
        <f>IF(OR($B2734="",$C2734="",$D2734=""),"",DATE($C2734+2018,$D2734,1))</f>
        <v/>
      </c>
    </row>
    <row r="2735">
      <c r="A2735" s="11" t="n"/>
      <c r="B2735" s="12" t="n"/>
      <c r="C2735" s="12" t="n"/>
      <c r="D2735" s="12" t="n"/>
      <c r="E2735" s="13" t="n"/>
      <c r="F2735" s="12" t="n"/>
      <c r="G2735" s="13" t="n"/>
      <c r="H2735" s="12" t="n"/>
      <c r="I2735" s="12" t="n"/>
      <c r="J2735" s="12" t="n"/>
      <c r="K2735" s="12" t="n"/>
      <c r="L2735" s="11" t="n"/>
      <c r="M2735" s="11" t="n"/>
      <c r="N2735" s="11" t="n"/>
      <c r="O2735" s="11" t="n"/>
      <c r="P2735" s="12" t="n"/>
      <c r="Q2735" s="11" t="n"/>
      <c r="R2735" s="12" t="n"/>
      <c r="S2735" s="11" t="n"/>
      <c r="T2735" s="12" t="n"/>
      <c r="U2735" s="12" t="n"/>
      <c r="V2735" s="12" t="n"/>
      <c r="W2735" s="13" t="n"/>
      <c r="X2735" s="14">
        <f>IF($AP2735="",IF($B2735="","",$H2735),IF(INDEX(職員マスタ!$B$6:$B$405,$AP2735)="",$H2735,INDEX(職員マスタ!$B$6:$B$405,$AP2735)))</f>
        <v/>
      </c>
      <c r="Y2735" s="14">
        <f>IF($AP2735="",IF($B2735="","",$R2735),IF(INDEX(職員マスタ!$C$6:$C$405,$AP2735)="",$R2735,INDEX(職員マスタ!$C$6:$C$405,$AP2735)))</f>
        <v/>
      </c>
      <c r="Z2735" s="14">
        <f>IF($AQ2735="","","R"&amp;$C2735&amp;"."&amp;$D2735)</f>
        <v/>
      </c>
      <c r="AA2735" s="15">
        <f>IF(IF($AP2735="",FALSE,INDEX(職員マスタ!$K$6:$K$405,$AP2735)&lt;&gt;""),INDEX(職員マスタ!$K$6:$K$405,$AP2735),IF(N($W2735)&gt;0,$W2735,""))</f>
        <v/>
      </c>
      <c r="AB2735" s="14">
        <f>IF(OR($E2735="",$AA2735=""),"",IF($E2735&gt;=$AA2735,"×",IF($E2735&gt;=$AA2735*設定!$C$5,"△","○")))</f>
        <v/>
      </c>
      <c r="AC2735" s="15">
        <f>IF($AB2735="","",IF($AB2735="×",0,IF($AB2735="○",ROUNDDOWN($E2735*設定!$C$4,0),ROUNDDOWN($E2735*ROUND((9*$AA2735-9*$E2735)/(10*$E2735),4),0))))</f>
        <v/>
      </c>
      <c r="AD2735" s="13" t="n"/>
      <c r="AE2735" s="15">
        <f>IF($B2735="","",IF($AD2735&lt;&gt;"",$AD2735,IF($AC2735="","",IF($AC2735&lt;=設定!$C$3,0,$AC2735))))</f>
        <v/>
      </c>
      <c r="AF2735" s="14">
        <f>IF($B2735="","",IF(AND($AG2735&lt;&gt;"",$AI2735="",$AL2735=""),"保留中",IF($AL2735&lt;&gt;"",IF(N($AE2735)&gt;0,"支給済","不支給"),IF($AE2735="","要確認",IF($AE2735=0,"不支給","未処理")))))</f>
        <v/>
      </c>
      <c r="AG2735" s="12" t="n"/>
      <c r="AH2735" s="11" t="n"/>
      <c r="AI2735" s="11" t="n"/>
      <c r="AJ2735" s="11" t="n"/>
      <c r="AK2735" s="14">
        <f>IF(AND($AF2735="保留中",$AH2735&lt;&gt;""),TODAY()-$AH2735,"")</f>
        <v/>
      </c>
      <c r="AL2735" s="12" t="n"/>
      <c r="AM2735" s="14">
        <f>IF($B2735="","",IF($AQ2735="","対象年月が未入力／","")&amp;IF($B2735="","",IF($AP2735="","職員マスタに未登録の職員番号／",IF($AA2735="","標準報酬月額が未登録／","")&amp;IF(AND($AQ2735&lt;&gt;"",OR(AND(INDEX(職員マスタ!$G$6:$G$405,$AP2735)&lt;&gt;"",INDEX(職員マスタ!$G$6:$G$405,$AP2735)&gt;EOMONTH($AQ2735,0)),AND(INDEX(職員マスタ!$H$6:$H$405,$AP2735)&lt;&gt;"",INDEX(職員マスタ!$H$6:$H$405,$AP2735)&lt;$AQ2735))),"対象月が時短期間外／","")&amp;IF(AND(INDEX(職員マスタ!$K$6:$K$405,$AP2735)&lt;&gt;"",N($W2735)&gt;0,INDEX(職員マスタ!$K$6:$K$405,$AP2735)&lt;&gt;$W2735),"標準報酬月額が申請書と相違（台帳"&amp;TEXT(INDEX(職員マスタ!$K$6:$K$405,$AP2735),"#,##0")&amp;"円／申請書"&amp;TEXT($W2735,"#,##0")&amp;"円）／","")&amp;IF(AND(INDEX(職員マスタ!$F$6:$F$405,$AP2735)&lt;&gt;"",$AQ2735&lt;&gt;"",INDEX(職員マスタ!$F$6:$F$405,$AP2735)&lt;$AQ2735),"対象月に子が2歳到達済／","")&amp;IF(AND($H2735&lt;&gt;"",INDEX(職員マスタ!$B$6:$B$405,$AP2735)&lt;&gt;"",SUBSTITUTE(SUBSTITUTE($H2735," ","")," ","")&lt;&gt;SUBSTITUTE(SUBSTITUTE(INDEX(職員マスタ!$B$6:$B$405,$AP2735)," ","")," ","")),"氏名がマスタと相違／","")&amp;IF(AND($Q2735&lt;&gt;"",INDEX(職員マスタ!$E$6:$E$405,$AP2735)&lt;&gt;"",$Q2735&lt;&gt;INDEX(職員マスタ!$E$6:$E$405,$AP2735)),"子の生年月日がマスタと相違／","")&amp;IF(AND($L2735&lt;&gt;"",INDEX(職員マスタ!$G$6:$G$405,$AP2735)&lt;&gt;"",$L2735&lt;&gt;INDEX(職員マスタ!$G$6:$G$405,$AP2735)),"時短開始日がマスタと相違／","")&amp;IF(AND($M2735&lt;&gt;"",INDEX(職員マスタ!$H$6:$H$405,$AP2735)&lt;&gt;"",$M2735&lt;&gt;INDEX(職員マスタ!$H$6:$H$405,$AP2735)),"時短終了日がマスタと相違／","")))&amp;IF(AND($B2735&lt;&gt;"",$E2735=""),"報酬額が未入力／","")&amp;IF(N($U2735)&gt;0,"申請書に入力エラーが残っています／","")&amp;IF(AND($B2735&lt;&gt;"",$AQ2735&lt;&gt;""),IF(COUNTIFS($B$6:$B$3005,$B2735,$C$6:$C$3005,$C2735,$D$6:$D$3005,$D2735)&gt;1,"同じ月の請求が重複しています／",""),"")&amp;IF(AND(N($E2735)&gt;0,$AB2735&lt;&gt;"",$AB2735&lt;&gt;"×",$AE2735=0,$AD2735=""),"計算額が下限以下のため不支給／",""))</f>
        <v/>
      </c>
      <c r="AN2735" s="12" t="n"/>
      <c r="AO2735" s="14">
        <f>IF($AF2735="保留中",COUNTIF($AF$6:$AF2735,"保留中"),"")</f>
        <v/>
      </c>
      <c r="AP2735" s="14">
        <f>IF($AQ2735="","",IF(SUMPRODUCT(MAX((職員マスタ!$A$6:$A$405=$B2735)*(((職員マスタ!$G$6:$G$405="")+(職員マスタ!$G$6:$G$405&lt;=EOMONTH($AQ2735,0)))&gt;0)*(((職員マスタ!$H$6:$H$405="")+(職員マスタ!$H$6:$H$405&gt;=$AQ2735))&gt;0)*(ROW(職員マスタ!$A$6:$A$405)-5)))&gt;0,SUMPRODUCT(MAX((職員マスタ!$A$6:$A$405=$B2735)*(((職員マスタ!$G$6:$G$405="")+(職員マスタ!$G$6:$G$405&lt;=EOMONTH($AQ2735,0)))&gt;0)*(((職員マスタ!$H$6:$H$405="")+(職員マスタ!$H$6:$H$405&gt;=$AQ2735))&gt;0)*(ROW(職員マスタ!$A$6:$A$405)-5))),IFERROR(MATCH($B2735,職員マスタ!$A$6:$A$405,0),"")))</f>
        <v/>
      </c>
      <c r="AQ2735" s="16">
        <f>IF(OR($B2735="",$C2735="",$D2735=""),"",DATE($C2735+2018,$D2735,1))</f>
        <v/>
      </c>
    </row>
    <row r="2736">
      <c r="A2736" s="11" t="n"/>
      <c r="B2736" s="12" t="n"/>
      <c r="C2736" s="12" t="n"/>
      <c r="D2736" s="12" t="n"/>
      <c r="E2736" s="13" t="n"/>
      <c r="F2736" s="12" t="n"/>
      <c r="G2736" s="13" t="n"/>
      <c r="H2736" s="12" t="n"/>
      <c r="I2736" s="12" t="n"/>
      <c r="J2736" s="12" t="n"/>
      <c r="K2736" s="12" t="n"/>
      <c r="L2736" s="11" t="n"/>
      <c r="M2736" s="11" t="n"/>
      <c r="N2736" s="11" t="n"/>
      <c r="O2736" s="11" t="n"/>
      <c r="P2736" s="12" t="n"/>
      <c r="Q2736" s="11" t="n"/>
      <c r="R2736" s="12" t="n"/>
      <c r="S2736" s="11" t="n"/>
      <c r="T2736" s="12" t="n"/>
      <c r="U2736" s="12" t="n"/>
      <c r="V2736" s="12" t="n"/>
      <c r="W2736" s="13" t="n"/>
      <c r="X2736" s="14">
        <f>IF($AP2736="",IF($B2736="","",$H2736),IF(INDEX(職員マスタ!$B$6:$B$405,$AP2736)="",$H2736,INDEX(職員マスタ!$B$6:$B$405,$AP2736)))</f>
        <v/>
      </c>
      <c r="Y2736" s="14">
        <f>IF($AP2736="",IF($B2736="","",$R2736),IF(INDEX(職員マスタ!$C$6:$C$405,$AP2736)="",$R2736,INDEX(職員マスタ!$C$6:$C$405,$AP2736)))</f>
        <v/>
      </c>
      <c r="Z2736" s="14">
        <f>IF($AQ2736="","","R"&amp;$C2736&amp;"."&amp;$D2736)</f>
        <v/>
      </c>
      <c r="AA2736" s="15">
        <f>IF(IF($AP2736="",FALSE,INDEX(職員マスタ!$K$6:$K$405,$AP2736)&lt;&gt;""),INDEX(職員マスタ!$K$6:$K$405,$AP2736),IF(N($W2736)&gt;0,$W2736,""))</f>
        <v/>
      </c>
      <c r="AB2736" s="14">
        <f>IF(OR($E2736="",$AA2736=""),"",IF($E2736&gt;=$AA2736,"×",IF($E2736&gt;=$AA2736*設定!$C$5,"△","○")))</f>
        <v/>
      </c>
      <c r="AC2736" s="15">
        <f>IF($AB2736="","",IF($AB2736="×",0,IF($AB2736="○",ROUNDDOWN($E2736*設定!$C$4,0),ROUNDDOWN($E2736*ROUND((9*$AA2736-9*$E2736)/(10*$E2736),4),0))))</f>
        <v/>
      </c>
      <c r="AD2736" s="13" t="n"/>
      <c r="AE2736" s="15">
        <f>IF($B2736="","",IF($AD2736&lt;&gt;"",$AD2736,IF($AC2736="","",IF($AC2736&lt;=設定!$C$3,0,$AC2736))))</f>
        <v/>
      </c>
      <c r="AF2736" s="14">
        <f>IF($B2736="","",IF(AND($AG2736&lt;&gt;"",$AI2736="",$AL2736=""),"保留中",IF($AL2736&lt;&gt;"",IF(N($AE2736)&gt;0,"支給済","不支給"),IF($AE2736="","要確認",IF($AE2736=0,"不支給","未処理")))))</f>
        <v/>
      </c>
      <c r="AG2736" s="12" t="n"/>
      <c r="AH2736" s="11" t="n"/>
      <c r="AI2736" s="11" t="n"/>
      <c r="AJ2736" s="11" t="n"/>
      <c r="AK2736" s="14">
        <f>IF(AND($AF2736="保留中",$AH2736&lt;&gt;""),TODAY()-$AH2736,"")</f>
        <v/>
      </c>
      <c r="AL2736" s="12" t="n"/>
      <c r="AM2736" s="14">
        <f>IF($B2736="","",IF($AQ2736="","対象年月が未入力／","")&amp;IF($B2736="","",IF($AP2736="","職員マスタに未登録の職員番号／",IF($AA2736="","標準報酬月額が未登録／","")&amp;IF(AND($AQ2736&lt;&gt;"",OR(AND(INDEX(職員マスタ!$G$6:$G$405,$AP2736)&lt;&gt;"",INDEX(職員マスタ!$G$6:$G$405,$AP2736)&gt;EOMONTH($AQ2736,0)),AND(INDEX(職員マスタ!$H$6:$H$405,$AP2736)&lt;&gt;"",INDEX(職員マスタ!$H$6:$H$405,$AP2736)&lt;$AQ2736))),"対象月が時短期間外／","")&amp;IF(AND(INDEX(職員マスタ!$K$6:$K$405,$AP2736)&lt;&gt;"",N($W2736)&gt;0,INDEX(職員マスタ!$K$6:$K$405,$AP2736)&lt;&gt;$W2736),"標準報酬月額が申請書と相違（台帳"&amp;TEXT(INDEX(職員マスタ!$K$6:$K$405,$AP2736),"#,##0")&amp;"円／申請書"&amp;TEXT($W2736,"#,##0")&amp;"円）／","")&amp;IF(AND(INDEX(職員マスタ!$F$6:$F$405,$AP2736)&lt;&gt;"",$AQ2736&lt;&gt;"",INDEX(職員マスタ!$F$6:$F$405,$AP2736)&lt;$AQ2736),"対象月に子が2歳到達済／","")&amp;IF(AND($H2736&lt;&gt;"",INDEX(職員マスタ!$B$6:$B$405,$AP2736)&lt;&gt;"",SUBSTITUTE(SUBSTITUTE($H2736," ","")," ","")&lt;&gt;SUBSTITUTE(SUBSTITUTE(INDEX(職員マスタ!$B$6:$B$405,$AP2736)," ","")," ","")),"氏名がマスタと相違／","")&amp;IF(AND($Q2736&lt;&gt;"",INDEX(職員マスタ!$E$6:$E$405,$AP2736)&lt;&gt;"",$Q2736&lt;&gt;INDEX(職員マスタ!$E$6:$E$405,$AP2736)),"子の生年月日がマスタと相違／","")&amp;IF(AND($L2736&lt;&gt;"",INDEX(職員マスタ!$G$6:$G$405,$AP2736)&lt;&gt;"",$L2736&lt;&gt;INDEX(職員マスタ!$G$6:$G$405,$AP2736)),"時短開始日がマスタと相違／","")&amp;IF(AND($M2736&lt;&gt;"",INDEX(職員マスタ!$H$6:$H$405,$AP2736)&lt;&gt;"",$M2736&lt;&gt;INDEX(職員マスタ!$H$6:$H$405,$AP2736)),"時短終了日がマスタと相違／","")))&amp;IF(AND($B2736&lt;&gt;"",$E2736=""),"報酬額が未入力／","")&amp;IF(N($U2736)&gt;0,"申請書に入力エラーが残っています／","")&amp;IF(AND($B2736&lt;&gt;"",$AQ2736&lt;&gt;""),IF(COUNTIFS($B$6:$B$3005,$B2736,$C$6:$C$3005,$C2736,$D$6:$D$3005,$D2736)&gt;1,"同じ月の請求が重複しています／",""),"")&amp;IF(AND(N($E2736)&gt;0,$AB2736&lt;&gt;"",$AB2736&lt;&gt;"×",$AE2736=0,$AD2736=""),"計算額が下限以下のため不支給／",""))</f>
        <v/>
      </c>
      <c r="AN2736" s="12" t="n"/>
      <c r="AO2736" s="14">
        <f>IF($AF2736="保留中",COUNTIF($AF$6:$AF2736,"保留中"),"")</f>
        <v/>
      </c>
      <c r="AP2736" s="14">
        <f>IF($AQ2736="","",IF(SUMPRODUCT(MAX((職員マスタ!$A$6:$A$405=$B2736)*(((職員マスタ!$G$6:$G$405="")+(職員マスタ!$G$6:$G$405&lt;=EOMONTH($AQ2736,0)))&gt;0)*(((職員マスタ!$H$6:$H$405="")+(職員マスタ!$H$6:$H$405&gt;=$AQ2736))&gt;0)*(ROW(職員マスタ!$A$6:$A$405)-5)))&gt;0,SUMPRODUCT(MAX((職員マスタ!$A$6:$A$405=$B2736)*(((職員マスタ!$G$6:$G$405="")+(職員マスタ!$G$6:$G$405&lt;=EOMONTH($AQ2736,0)))&gt;0)*(((職員マスタ!$H$6:$H$405="")+(職員マスタ!$H$6:$H$405&gt;=$AQ2736))&gt;0)*(ROW(職員マスタ!$A$6:$A$405)-5))),IFERROR(MATCH($B2736,職員マスタ!$A$6:$A$405,0),"")))</f>
        <v/>
      </c>
      <c r="AQ2736" s="16">
        <f>IF(OR($B2736="",$C2736="",$D2736=""),"",DATE($C2736+2018,$D2736,1))</f>
        <v/>
      </c>
    </row>
    <row r="2737">
      <c r="A2737" s="11" t="n"/>
      <c r="B2737" s="12" t="n"/>
      <c r="C2737" s="12" t="n"/>
      <c r="D2737" s="12" t="n"/>
      <c r="E2737" s="13" t="n"/>
      <c r="F2737" s="12" t="n"/>
      <c r="G2737" s="13" t="n"/>
      <c r="H2737" s="12" t="n"/>
      <c r="I2737" s="12" t="n"/>
      <c r="J2737" s="12" t="n"/>
      <c r="K2737" s="12" t="n"/>
      <c r="L2737" s="11" t="n"/>
      <c r="M2737" s="11" t="n"/>
      <c r="N2737" s="11" t="n"/>
      <c r="O2737" s="11" t="n"/>
      <c r="P2737" s="12" t="n"/>
      <c r="Q2737" s="11" t="n"/>
      <c r="R2737" s="12" t="n"/>
      <c r="S2737" s="11" t="n"/>
      <c r="T2737" s="12" t="n"/>
      <c r="U2737" s="12" t="n"/>
      <c r="V2737" s="12" t="n"/>
      <c r="W2737" s="13" t="n"/>
      <c r="X2737" s="14">
        <f>IF($AP2737="",IF($B2737="","",$H2737),IF(INDEX(職員マスタ!$B$6:$B$405,$AP2737)="",$H2737,INDEX(職員マスタ!$B$6:$B$405,$AP2737)))</f>
        <v/>
      </c>
      <c r="Y2737" s="14">
        <f>IF($AP2737="",IF($B2737="","",$R2737),IF(INDEX(職員マスタ!$C$6:$C$405,$AP2737)="",$R2737,INDEX(職員マスタ!$C$6:$C$405,$AP2737)))</f>
        <v/>
      </c>
      <c r="Z2737" s="14">
        <f>IF($AQ2737="","","R"&amp;$C2737&amp;"."&amp;$D2737)</f>
        <v/>
      </c>
      <c r="AA2737" s="15">
        <f>IF(IF($AP2737="",FALSE,INDEX(職員マスタ!$K$6:$K$405,$AP2737)&lt;&gt;""),INDEX(職員マスタ!$K$6:$K$405,$AP2737),IF(N($W2737)&gt;0,$W2737,""))</f>
        <v/>
      </c>
      <c r="AB2737" s="14">
        <f>IF(OR($E2737="",$AA2737=""),"",IF($E2737&gt;=$AA2737,"×",IF($E2737&gt;=$AA2737*設定!$C$5,"△","○")))</f>
        <v/>
      </c>
      <c r="AC2737" s="15">
        <f>IF($AB2737="","",IF($AB2737="×",0,IF($AB2737="○",ROUNDDOWN($E2737*設定!$C$4,0),ROUNDDOWN($E2737*ROUND((9*$AA2737-9*$E2737)/(10*$E2737),4),0))))</f>
        <v/>
      </c>
      <c r="AD2737" s="13" t="n"/>
      <c r="AE2737" s="15">
        <f>IF($B2737="","",IF($AD2737&lt;&gt;"",$AD2737,IF($AC2737="","",IF($AC2737&lt;=設定!$C$3,0,$AC2737))))</f>
        <v/>
      </c>
      <c r="AF2737" s="14">
        <f>IF($B2737="","",IF(AND($AG2737&lt;&gt;"",$AI2737="",$AL2737=""),"保留中",IF($AL2737&lt;&gt;"",IF(N($AE2737)&gt;0,"支給済","不支給"),IF($AE2737="","要確認",IF($AE2737=0,"不支給","未処理")))))</f>
        <v/>
      </c>
      <c r="AG2737" s="12" t="n"/>
      <c r="AH2737" s="11" t="n"/>
      <c r="AI2737" s="11" t="n"/>
      <c r="AJ2737" s="11" t="n"/>
      <c r="AK2737" s="14">
        <f>IF(AND($AF2737="保留中",$AH2737&lt;&gt;""),TODAY()-$AH2737,"")</f>
        <v/>
      </c>
      <c r="AL2737" s="12" t="n"/>
      <c r="AM2737" s="14">
        <f>IF($B2737="","",IF($AQ2737="","対象年月が未入力／","")&amp;IF($B2737="","",IF($AP2737="","職員マスタに未登録の職員番号／",IF($AA2737="","標準報酬月額が未登録／","")&amp;IF(AND($AQ2737&lt;&gt;"",OR(AND(INDEX(職員マスタ!$G$6:$G$405,$AP2737)&lt;&gt;"",INDEX(職員マスタ!$G$6:$G$405,$AP2737)&gt;EOMONTH($AQ2737,0)),AND(INDEX(職員マスタ!$H$6:$H$405,$AP2737)&lt;&gt;"",INDEX(職員マスタ!$H$6:$H$405,$AP2737)&lt;$AQ2737))),"対象月が時短期間外／","")&amp;IF(AND(INDEX(職員マスタ!$K$6:$K$405,$AP2737)&lt;&gt;"",N($W2737)&gt;0,INDEX(職員マスタ!$K$6:$K$405,$AP2737)&lt;&gt;$W2737),"標準報酬月額が申請書と相違（台帳"&amp;TEXT(INDEX(職員マスタ!$K$6:$K$405,$AP2737),"#,##0")&amp;"円／申請書"&amp;TEXT($W2737,"#,##0")&amp;"円）／","")&amp;IF(AND(INDEX(職員マスタ!$F$6:$F$405,$AP2737)&lt;&gt;"",$AQ2737&lt;&gt;"",INDEX(職員マスタ!$F$6:$F$405,$AP2737)&lt;$AQ2737),"対象月に子が2歳到達済／","")&amp;IF(AND($H2737&lt;&gt;"",INDEX(職員マスタ!$B$6:$B$405,$AP2737)&lt;&gt;"",SUBSTITUTE(SUBSTITUTE($H2737," ","")," ","")&lt;&gt;SUBSTITUTE(SUBSTITUTE(INDEX(職員マスタ!$B$6:$B$405,$AP2737)," ","")," ","")),"氏名がマスタと相違／","")&amp;IF(AND($Q2737&lt;&gt;"",INDEX(職員マスタ!$E$6:$E$405,$AP2737)&lt;&gt;"",$Q2737&lt;&gt;INDEX(職員マスタ!$E$6:$E$405,$AP2737)),"子の生年月日がマスタと相違／","")&amp;IF(AND($L2737&lt;&gt;"",INDEX(職員マスタ!$G$6:$G$405,$AP2737)&lt;&gt;"",$L2737&lt;&gt;INDEX(職員マスタ!$G$6:$G$405,$AP2737)),"時短開始日がマスタと相違／","")&amp;IF(AND($M2737&lt;&gt;"",INDEX(職員マスタ!$H$6:$H$405,$AP2737)&lt;&gt;"",$M2737&lt;&gt;INDEX(職員マスタ!$H$6:$H$405,$AP2737)),"時短終了日がマスタと相違／","")))&amp;IF(AND($B2737&lt;&gt;"",$E2737=""),"報酬額が未入力／","")&amp;IF(N($U2737)&gt;0,"申請書に入力エラーが残っています／","")&amp;IF(AND($B2737&lt;&gt;"",$AQ2737&lt;&gt;""),IF(COUNTIFS($B$6:$B$3005,$B2737,$C$6:$C$3005,$C2737,$D$6:$D$3005,$D2737)&gt;1,"同じ月の請求が重複しています／",""),"")&amp;IF(AND(N($E2737)&gt;0,$AB2737&lt;&gt;"",$AB2737&lt;&gt;"×",$AE2737=0,$AD2737=""),"計算額が下限以下のため不支給／",""))</f>
        <v/>
      </c>
      <c r="AN2737" s="12" t="n"/>
      <c r="AO2737" s="14">
        <f>IF($AF2737="保留中",COUNTIF($AF$6:$AF2737,"保留中"),"")</f>
        <v/>
      </c>
      <c r="AP2737" s="14">
        <f>IF($AQ2737="","",IF(SUMPRODUCT(MAX((職員マスタ!$A$6:$A$405=$B2737)*(((職員マスタ!$G$6:$G$405="")+(職員マスタ!$G$6:$G$405&lt;=EOMONTH($AQ2737,0)))&gt;0)*(((職員マスタ!$H$6:$H$405="")+(職員マスタ!$H$6:$H$405&gt;=$AQ2737))&gt;0)*(ROW(職員マスタ!$A$6:$A$405)-5)))&gt;0,SUMPRODUCT(MAX((職員マスタ!$A$6:$A$405=$B2737)*(((職員マスタ!$G$6:$G$405="")+(職員マスタ!$G$6:$G$405&lt;=EOMONTH($AQ2737,0)))&gt;0)*(((職員マスタ!$H$6:$H$405="")+(職員マスタ!$H$6:$H$405&gt;=$AQ2737))&gt;0)*(ROW(職員マスタ!$A$6:$A$405)-5))),IFERROR(MATCH($B2737,職員マスタ!$A$6:$A$405,0),"")))</f>
        <v/>
      </c>
      <c r="AQ2737" s="16">
        <f>IF(OR($B2737="",$C2737="",$D2737=""),"",DATE($C2737+2018,$D2737,1))</f>
        <v/>
      </c>
    </row>
    <row r="2738">
      <c r="A2738" s="11" t="n"/>
      <c r="B2738" s="12" t="n"/>
      <c r="C2738" s="12" t="n"/>
      <c r="D2738" s="12" t="n"/>
      <c r="E2738" s="13" t="n"/>
      <c r="F2738" s="12" t="n"/>
      <c r="G2738" s="13" t="n"/>
      <c r="H2738" s="12" t="n"/>
      <c r="I2738" s="12" t="n"/>
      <c r="J2738" s="12" t="n"/>
      <c r="K2738" s="12" t="n"/>
      <c r="L2738" s="11" t="n"/>
      <c r="M2738" s="11" t="n"/>
      <c r="N2738" s="11" t="n"/>
      <c r="O2738" s="11" t="n"/>
      <c r="P2738" s="12" t="n"/>
      <c r="Q2738" s="11" t="n"/>
      <c r="R2738" s="12" t="n"/>
      <c r="S2738" s="11" t="n"/>
      <c r="T2738" s="12" t="n"/>
      <c r="U2738" s="12" t="n"/>
      <c r="V2738" s="12" t="n"/>
      <c r="W2738" s="13" t="n"/>
      <c r="X2738" s="14">
        <f>IF($AP2738="",IF($B2738="","",$H2738),IF(INDEX(職員マスタ!$B$6:$B$405,$AP2738)="",$H2738,INDEX(職員マスタ!$B$6:$B$405,$AP2738)))</f>
        <v/>
      </c>
      <c r="Y2738" s="14">
        <f>IF($AP2738="",IF($B2738="","",$R2738),IF(INDEX(職員マスタ!$C$6:$C$405,$AP2738)="",$R2738,INDEX(職員マスタ!$C$6:$C$405,$AP2738)))</f>
        <v/>
      </c>
      <c r="Z2738" s="14">
        <f>IF($AQ2738="","","R"&amp;$C2738&amp;"."&amp;$D2738)</f>
        <v/>
      </c>
      <c r="AA2738" s="15">
        <f>IF(IF($AP2738="",FALSE,INDEX(職員マスタ!$K$6:$K$405,$AP2738)&lt;&gt;""),INDEX(職員マスタ!$K$6:$K$405,$AP2738),IF(N($W2738)&gt;0,$W2738,""))</f>
        <v/>
      </c>
      <c r="AB2738" s="14">
        <f>IF(OR($E2738="",$AA2738=""),"",IF($E2738&gt;=$AA2738,"×",IF($E2738&gt;=$AA2738*設定!$C$5,"△","○")))</f>
        <v/>
      </c>
      <c r="AC2738" s="15">
        <f>IF($AB2738="","",IF($AB2738="×",0,IF($AB2738="○",ROUNDDOWN($E2738*設定!$C$4,0),ROUNDDOWN($E2738*ROUND((9*$AA2738-9*$E2738)/(10*$E2738),4),0))))</f>
        <v/>
      </c>
      <c r="AD2738" s="13" t="n"/>
      <c r="AE2738" s="15">
        <f>IF($B2738="","",IF($AD2738&lt;&gt;"",$AD2738,IF($AC2738="","",IF($AC2738&lt;=設定!$C$3,0,$AC2738))))</f>
        <v/>
      </c>
      <c r="AF2738" s="14">
        <f>IF($B2738="","",IF(AND($AG2738&lt;&gt;"",$AI2738="",$AL2738=""),"保留中",IF($AL2738&lt;&gt;"",IF(N($AE2738)&gt;0,"支給済","不支給"),IF($AE2738="","要確認",IF($AE2738=0,"不支給","未処理")))))</f>
        <v/>
      </c>
      <c r="AG2738" s="12" t="n"/>
      <c r="AH2738" s="11" t="n"/>
      <c r="AI2738" s="11" t="n"/>
      <c r="AJ2738" s="11" t="n"/>
      <c r="AK2738" s="14">
        <f>IF(AND($AF2738="保留中",$AH2738&lt;&gt;""),TODAY()-$AH2738,"")</f>
        <v/>
      </c>
      <c r="AL2738" s="12" t="n"/>
      <c r="AM2738" s="14">
        <f>IF($B2738="","",IF($AQ2738="","対象年月が未入力／","")&amp;IF($B2738="","",IF($AP2738="","職員マスタに未登録の職員番号／",IF($AA2738="","標準報酬月額が未登録／","")&amp;IF(AND($AQ2738&lt;&gt;"",OR(AND(INDEX(職員マスタ!$G$6:$G$405,$AP2738)&lt;&gt;"",INDEX(職員マスタ!$G$6:$G$405,$AP2738)&gt;EOMONTH($AQ2738,0)),AND(INDEX(職員マスタ!$H$6:$H$405,$AP2738)&lt;&gt;"",INDEX(職員マスタ!$H$6:$H$405,$AP2738)&lt;$AQ2738))),"対象月が時短期間外／","")&amp;IF(AND(INDEX(職員マスタ!$K$6:$K$405,$AP2738)&lt;&gt;"",N($W2738)&gt;0,INDEX(職員マスタ!$K$6:$K$405,$AP2738)&lt;&gt;$W2738),"標準報酬月額が申請書と相違（台帳"&amp;TEXT(INDEX(職員マスタ!$K$6:$K$405,$AP2738),"#,##0")&amp;"円／申請書"&amp;TEXT($W2738,"#,##0")&amp;"円）／","")&amp;IF(AND(INDEX(職員マスタ!$F$6:$F$405,$AP2738)&lt;&gt;"",$AQ2738&lt;&gt;"",INDEX(職員マスタ!$F$6:$F$405,$AP2738)&lt;$AQ2738),"対象月に子が2歳到達済／","")&amp;IF(AND($H2738&lt;&gt;"",INDEX(職員マスタ!$B$6:$B$405,$AP2738)&lt;&gt;"",SUBSTITUTE(SUBSTITUTE($H2738," ","")," ","")&lt;&gt;SUBSTITUTE(SUBSTITUTE(INDEX(職員マスタ!$B$6:$B$405,$AP2738)," ","")," ","")),"氏名がマスタと相違／","")&amp;IF(AND($Q2738&lt;&gt;"",INDEX(職員マスタ!$E$6:$E$405,$AP2738)&lt;&gt;"",$Q2738&lt;&gt;INDEX(職員マスタ!$E$6:$E$405,$AP2738)),"子の生年月日がマスタと相違／","")&amp;IF(AND($L2738&lt;&gt;"",INDEX(職員マスタ!$G$6:$G$405,$AP2738)&lt;&gt;"",$L2738&lt;&gt;INDEX(職員マスタ!$G$6:$G$405,$AP2738)),"時短開始日がマスタと相違／","")&amp;IF(AND($M2738&lt;&gt;"",INDEX(職員マスタ!$H$6:$H$405,$AP2738)&lt;&gt;"",$M2738&lt;&gt;INDEX(職員マスタ!$H$6:$H$405,$AP2738)),"時短終了日がマスタと相違／","")))&amp;IF(AND($B2738&lt;&gt;"",$E2738=""),"報酬額が未入力／","")&amp;IF(N($U2738)&gt;0,"申請書に入力エラーが残っています／","")&amp;IF(AND($B2738&lt;&gt;"",$AQ2738&lt;&gt;""),IF(COUNTIFS($B$6:$B$3005,$B2738,$C$6:$C$3005,$C2738,$D$6:$D$3005,$D2738)&gt;1,"同じ月の請求が重複しています／",""),"")&amp;IF(AND(N($E2738)&gt;0,$AB2738&lt;&gt;"",$AB2738&lt;&gt;"×",$AE2738=0,$AD2738=""),"計算額が下限以下のため不支給／",""))</f>
        <v/>
      </c>
      <c r="AN2738" s="12" t="n"/>
      <c r="AO2738" s="14">
        <f>IF($AF2738="保留中",COUNTIF($AF$6:$AF2738,"保留中"),"")</f>
        <v/>
      </c>
      <c r="AP2738" s="14">
        <f>IF($AQ2738="","",IF(SUMPRODUCT(MAX((職員マスタ!$A$6:$A$405=$B2738)*(((職員マスタ!$G$6:$G$405="")+(職員マスタ!$G$6:$G$405&lt;=EOMONTH($AQ2738,0)))&gt;0)*(((職員マスタ!$H$6:$H$405="")+(職員マスタ!$H$6:$H$405&gt;=$AQ2738))&gt;0)*(ROW(職員マスタ!$A$6:$A$405)-5)))&gt;0,SUMPRODUCT(MAX((職員マスタ!$A$6:$A$405=$B2738)*(((職員マスタ!$G$6:$G$405="")+(職員マスタ!$G$6:$G$405&lt;=EOMONTH($AQ2738,0)))&gt;0)*(((職員マスタ!$H$6:$H$405="")+(職員マスタ!$H$6:$H$405&gt;=$AQ2738))&gt;0)*(ROW(職員マスタ!$A$6:$A$405)-5))),IFERROR(MATCH($B2738,職員マスタ!$A$6:$A$405,0),"")))</f>
        <v/>
      </c>
      <c r="AQ2738" s="16">
        <f>IF(OR($B2738="",$C2738="",$D2738=""),"",DATE($C2738+2018,$D2738,1))</f>
        <v/>
      </c>
    </row>
    <row r="2739">
      <c r="A2739" s="11" t="n"/>
      <c r="B2739" s="12" t="n"/>
      <c r="C2739" s="12" t="n"/>
      <c r="D2739" s="12" t="n"/>
      <c r="E2739" s="13" t="n"/>
      <c r="F2739" s="12" t="n"/>
      <c r="G2739" s="13" t="n"/>
      <c r="H2739" s="12" t="n"/>
      <c r="I2739" s="12" t="n"/>
      <c r="J2739" s="12" t="n"/>
      <c r="K2739" s="12" t="n"/>
      <c r="L2739" s="11" t="n"/>
      <c r="M2739" s="11" t="n"/>
      <c r="N2739" s="11" t="n"/>
      <c r="O2739" s="11" t="n"/>
      <c r="P2739" s="12" t="n"/>
      <c r="Q2739" s="11" t="n"/>
      <c r="R2739" s="12" t="n"/>
      <c r="S2739" s="11" t="n"/>
      <c r="T2739" s="12" t="n"/>
      <c r="U2739" s="12" t="n"/>
      <c r="V2739" s="12" t="n"/>
      <c r="W2739" s="13" t="n"/>
      <c r="X2739" s="14">
        <f>IF($AP2739="",IF($B2739="","",$H2739),IF(INDEX(職員マスタ!$B$6:$B$405,$AP2739)="",$H2739,INDEX(職員マスタ!$B$6:$B$405,$AP2739)))</f>
        <v/>
      </c>
      <c r="Y2739" s="14">
        <f>IF($AP2739="",IF($B2739="","",$R2739),IF(INDEX(職員マスタ!$C$6:$C$405,$AP2739)="",$R2739,INDEX(職員マスタ!$C$6:$C$405,$AP2739)))</f>
        <v/>
      </c>
      <c r="Z2739" s="14">
        <f>IF($AQ2739="","","R"&amp;$C2739&amp;"."&amp;$D2739)</f>
        <v/>
      </c>
      <c r="AA2739" s="15">
        <f>IF(IF($AP2739="",FALSE,INDEX(職員マスタ!$K$6:$K$405,$AP2739)&lt;&gt;""),INDEX(職員マスタ!$K$6:$K$405,$AP2739),IF(N($W2739)&gt;0,$W2739,""))</f>
        <v/>
      </c>
      <c r="AB2739" s="14">
        <f>IF(OR($E2739="",$AA2739=""),"",IF($E2739&gt;=$AA2739,"×",IF($E2739&gt;=$AA2739*設定!$C$5,"△","○")))</f>
        <v/>
      </c>
      <c r="AC2739" s="15">
        <f>IF($AB2739="","",IF($AB2739="×",0,IF($AB2739="○",ROUNDDOWN($E2739*設定!$C$4,0),ROUNDDOWN($E2739*ROUND((9*$AA2739-9*$E2739)/(10*$E2739),4),0))))</f>
        <v/>
      </c>
      <c r="AD2739" s="13" t="n"/>
      <c r="AE2739" s="15">
        <f>IF($B2739="","",IF($AD2739&lt;&gt;"",$AD2739,IF($AC2739="","",IF($AC2739&lt;=設定!$C$3,0,$AC2739))))</f>
        <v/>
      </c>
      <c r="AF2739" s="14">
        <f>IF($B2739="","",IF(AND($AG2739&lt;&gt;"",$AI2739="",$AL2739=""),"保留中",IF($AL2739&lt;&gt;"",IF(N($AE2739)&gt;0,"支給済","不支給"),IF($AE2739="","要確認",IF($AE2739=0,"不支給","未処理")))))</f>
        <v/>
      </c>
      <c r="AG2739" s="12" t="n"/>
      <c r="AH2739" s="11" t="n"/>
      <c r="AI2739" s="11" t="n"/>
      <c r="AJ2739" s="11" t="n"/>
      <c r="AK2739" s="14">
        <f>IF(AND($AF2739="保留中",$AH2739&lt;&gt;""),TODAY()-$AH2739,"")</f>
        <v/>
      </c>
      <c r="AL2739" s="12" t="n"/>
      <c r="AM2739" s="14">
        <f>IF($B2739="","",IF($AQ2739="","対象年月が未入力／","")&amp;IF($B2739="","",IF($AP2739="","職員マスタに未登録の職員番号／",IF($AA2739="","標準報酬月額が未登録／","")&amp;IF(AND($AQ2739&lt;&gt;"",OR(AND(INDEX(職員マスタ!$G$6:$G$405,$AP2739)&lt;&gt;"",INDEX(職員マスタ!$G$6:$G$405,$AP2739)&gt;EOMONTH($AQ2739,0)),AND(INDEX(職員マスタ!$H$6:$H$405,$AP2739)&lt;&gt;"",INDEX(職員マスタ!$H$6:$H$405,$AP2739)&lt;$AQ2739))),"対象月が時短期間外／","")&amp;IF(AND(INDEX(職員マスタ!$K$6:$K$405,$AP2739)&lt;&gt;"",N($W2739)&gt;0,INDEX(職員マスタ!$K$6:$K$405,$AP2739)&lt;&gt;$W2739),"標準報酬月額が申請書と相違（台帳"&amp;TEXT(INDEX(職員マスタ!$K$6:$K$405,$AP2739),"#,##0")&amp;"円／申請書"&amp;TEXT($W2739,"#,##0")&amp;"円）／","")&amp;IF(AND(INDEX(職員マスタ!$F$6:$F$405,$AP2739)&lt;&gt;"",$AQ2739&lt;&gt;"",INDEX(職員マスタ!$F$6:$F$405,$AP2739)&lt;$AQ2739),"対象月に子が2歳到達済／","")&amp;IF(AND($H2739&lt;&gt;"",INDEX(職員マスタ!$B$6:$B$405,$AP2739)&lt;&gt;"",SUBSTITUTE(SUBSTITUTE($H2739," ","")," ","")&lt;&gt;SUBSTITUTE(SUBSTITUTE(INDEX(職員マスタ!$B$6:$B$405,$AP2739)," ","")," ","")),"氏名がマスタと相違／","")&amp;IF(AND($Q2739&lt;&gt;"",INDEX(職員マスタ!$E$6:$E$405,$AP2739)&lt;&gt;"",$Q2739&lt;&gt;INDEX(職員マスタ!$E$6:$E$405,$AP2739)),"子の生年月日がマスタと相違／","")&amp;IF(AND($L2739&lt;&gt;"",INDEX(職員マスタ!$G$6:$G$405,$AP2739)&lt;&gt;"",$L2739&lt;&gt;INDEX(職員マスタ!$G$6:$G$405,$AP2739)),"時短開始日がマスタと相違／","")&amp;IF(AND($M2739&lt;&gt;"",INDEX(職員マスタ!$H$6:$H$405,$AP2739)&lt;&gt;"",$M2739&lt;&gt;INDEX(職員マスタ!$H$6:$H$405,$AP2739)),"時短終了日がマスタと相違／","")))&amp;IF(AND($B2739&lt;&gt;"",$E2739=""),"報酬額が未入力／","")&amp;IF(N($U2739)&gt;0,"申請書に入力エラーが残っています／","")&amp;IF(AND($B2739&lt;&gt;"",$AQ2739&lt;&gt;""),IF(COUNTIFS($B$6:$B$3005,$B2739,$C$6:$C$3005,$C2739,$D$6:$D$3005,$D2739)&gt;1,"同じ月の請求が重複しています／",""),"")&amp;IF(AND(N($E2739)&gt;0,$AB2739&lt;&gt;"",$AB2739&lt;&gt;"×",$AE2739=0,$AD2739=""),"計算額が下限以下のため不支給／",""))</f>
        <v/>
      </c>
      <c r="AN2739" s="12" t="n"/>
      <c r="AO2739" s="14">
        <f>IF($AF2739="保留中",COUNTIF($AF$6:$AF2739,"保留中"),"")</f>
        <v/>
      </c>
      <c r="AP2739" s="14">
        <f>IF($AQ2739="","",IF(SUMPRODUCT(MAX((職員マスタ!$A$6:$A$405=$B2739)*(((職員マスタ!$G$6:$G$405="")+(職員マスタ!$G$6:$G$405&lt;=EOMONTH($AQ2739,0)))&gt;0)*(((職員マスタ!$H$6:$H$405="")+(職員マスタ!$H$6:$H$405&gt;=$AQ2739))&gt;0)*(ROW(職員マスタ!$A$6:$A$405)-5)))&gt;0,SUMPRODUCT(MAX((職員マスタ!$A$6:$A$405=$B2739)*(((職員マスタ!$G$6:$G$405="")+(職員マスタ!$G$6:$G$405&lt;=EOMONTH($AQ2739,0)))&gt;0)*(((職員マスタ!$H$6:$H$405="")+(職員マスタ!$H$6:$H$405&gt;=$AQ2739))&gt;0)*(ROW(職員マスタ!$A$6:$A$405)-5))),IFERROR(MATCH($B2739,職員マスタ!$A$6:$A$405,0),"")))</f>
        <v/>
      </c>
      <c r="AQ2739" s="16">
        <f>IF(OR($B2739="",$C2739="",$D2739=""),"",DATE($C2739+2018,$D2739,1))</f>
        <v/>
      </c>
    </row>
    <row r="2740">
      <c r="A2740" s="11" t="n"/>
      <c r="B2740" s="12" t="n"/>
      <c r="C2740" s="12" t="n"/>
      <c r="D2740" s="12" t="n"/>
      <c r="E2740" s="13" t="n"/>
      <c r="F2740" s="12" t="n"/>
      <c r="G2740" s="13" t="n"/>
      <c r="H2740" s="12" t="n"/>
      <c r="I2740" s="12" t="n"/>
      <c r="J2740" s="12" t="n"/>
      <c r="K2740" s="12" t="n"/>
      <c r="L2740" s="11" t="n"/>
      <c r="M2740" s="11" t="n"/>
      <c r="N2740" s="11" t="n"/>
      <c r="O2740" s="11" t="n"/>
      <c r="P2740" s="12" t="n"/>
      <c r="Q2740" s="11" t="n"/>
      <c r="R2740" s="12" t="n"/>
      <c r="S2740" s="11" t="n"/>
      <c r="T2740" s="12" t="n"/>
      <c r="U2740" s="12" t="n"/>
      <c r="V2740" s="12" t="n"/>
      <c r="W2740" s="13" t="n"/>
      <c r="X2740" s="14">
        <f>IF($AP2740="",IF($B2740="","",$H2740),IF(INDEX(職員マスタ!$B$6:$B$405,$AP2740)="",$H2740,INDEX(職員マスタ!$B$6:$B$405,$AP2740)))</f>
        <v/>
      </c>
      <c r="Y2740" s="14">
        <f>IF($AP2740="",IF($B2740="","",$R2740),IF(INDEX(職員マスタ!$C$6:$C$405,$AP2740)="",$R2740,INDEX(職員マスタ!$C$6:$C$405,$AP2740)))</f>
        <v/>
      </c>
      <c r="Z2740" s="14">
        <f>IF($AQ2740="","","R"&amp;$C2740&amp;"."&amp;$D2740)</f>
        <v/>
      </c>
      <c r="AA2740" s="15">
        <f>IF(IF($AP2740="",FALSE,INDEX(職員マスタ!$K$6:$K$405,$AP2740)&lt;&gt;""),INDEX(職員マスタ!$K$6:$K$405,$AP2740),IF(N($W2740)&gt;0,$W2740,""))</f>
        <v/>
      </c>
      <c r="AB2740" s="14">
        <f>IF(OR($E2740="",$AA2740=""),"",IF($E2740&gt;=$AA2740,"×",IF($E2740&gt;=$AA2740*設定!$C$5,"△","○")))</f>
        <v/>
      </c>
      <c r="AC2740" s="15">
        <f>IF($AB2740="","",IF($AB2740="×",0,IF($AB2740="○",ROUNDDOWN($E2740*設定!$C$4,0),ROUNDDOWN($E2740*ROUND((9*$AA2740-9*$E2740)/(10*$E2740),4),0))))</f>
        <v/>
      </c>
      <c r="AD2740" s="13" t="n"/>
      <c r="AE2740" s="15">
        <f>IF($B2740="","",IF($AD2740&lt;&gt;"",$AD2740,IF($AC2740="","",IF($AC2740&lt;=設定!$C$3,0,$AC2740))))</f>
        <v/>
      </c>
      <c r="AF2740" s="14">
        <f>IF($B2740="","",IF(AND($AG2740&lt;&gt;"",$AI2740="",$AL2740=""),"保留中",IF($AL2740&lt;&gt;"",IF(N($AE2740)&gt;0,"支給済","不支給"),IF($AE2740="","要確認",IF($AE2740=0,"不支給","未処理")))))</f>
        <v/>
      </c>
      <c r="AG2740" s="12" t="n"/>
      <c r="AH2740" s="11" t="n"/>
      <c r="AI2740" s="11" t="n"/>
      <c r="AJ2740" s="11" t="n"/>
      <c r="AK2740" s="14">
        <f>IF(AND($AF2740="保留中",$AH2740&lt;&gt;""),TODAY()-$AH2740,"")</f>
        <v/>
      </c>
      <c r="AL2740" s="12" t="n"/>
      <c r="AM2740" s="14">
        <f>IF($B2740="","",IF($AQ2740="","対象年月が未入力／","")&amp;IF($B2740="","",IF($AP2740="","職員マスタに未登録の職員番号／",IF($AA2740="","標準報酬月額が未登録／","")&amp;IF(AND($AQ2740&lt;&gt;"",OR(AND(INDEX(職員マスタ!$G$6:$G$405,$AP2740)&lt;&gt;"",INDEX(職員マスタ!$G$6:$G$405,$AP2740)&gt;EOMONTH($AQ2740,0)),AND(INDEX(職員マスタ!$H$6:$H$405,$AP2740)&lt;&gt;"",INDEX(職員マスタ!$H$6:$H$405,$AP2740)&lt;$AQ2740))),"対象月が時短期間外／","")&amp;IF(AND(INDEX(職員マスタ!$K$6:$K$405,$AP2740)&lt;&gt;"",N($W2740)&gt;0,INDEX(職員マスタ!$K$6:$K$405,$AP2740)&lt;&gt;$W2740),"標準報酬月額が申請書と相違（台帳"&amp;TEXT(INDEX(職員マスタ!$K$6:$K$405,$AP2740),"#,##0")&amp;"円／申請書"&amp;TEXT($W2740,"#,##0")&amp;"円）／","")&amp;IF(AND(INDEX(職員マスタ!$F$6:$F$405,$AP2740)&lt;&gt;"",$AQ2740&lt;&gt;"",INDEX(職員マスタ!$F$6:$F$405,$AP2740)&lt;$AQ2740),"対象月に子が2歳到達済／","")&amp;IF(AND($H2740&lt;&gt;"",INDEX(職員マスタ!$B$6:$B$405,$AP2740)&lt;&gt;"",SUBSTITUTE(SUBSTITUTE($H2740," ","")," ","")&lt;&gt;SUBSTITUTE(SUBSTITUTE(INDEX(職員マスタ!$B$6:$B$405,$AP2740)," ","")," ","")),"氏名がマスタと相違／","")&amp;IF(AND($Q2740&lt;&gt;"",INDEX(職員マスタ!$E$6:$E$405,$AP2740)&lt;&gt;"",$Q2740&lt;&gt;INDEX(職員マスタ!$E$6:$E$405,$AP2740)),"子の生年月日がマスタと相違／","")&amp;IF(AND($L2740&lt;&gt;"",INDEX(職員マスタ!$G$6:$G$405,$AP2740)&lt;&gt;"",$L2740&lt;&gt;INDEX(職員マスタ!$G$6:$G$405,$AP2740)),"時短開始日がマスタと相違／","")&amp;IF(AND($M2740&lt;&gt;"",INDEX(職員マスタ!$H$6:$H$405,$AP2740)&lt;&gt;"",$M2740&lt;&gt;INDEX(職員マスタ!$H$6:$H$405,$AP2740)),"時短終了日がマスタと相違／","")))&amp;IF(AND($B2740&lt;&gt;"",$E2740=""),"報酬額が未入力／","")&amp;IF(N($U2740)&gt;0,"申請書に入力エラーが残っています／","")&amp;IF(AND($B2740&lt;&gt;"",$AQ2740&lt;&gt;""),IF(COUNTIFS($B$6:$B$3005,$B2740,$C$6:$C$3005,$C2740,$D$6:$D$3005,$D2740)&gt;1,"同じ月の請求が重複しています／",""),"")&amp;IF(AND(N($E2740)&gt;0,$AB2740&lt;&gt;"",$AB2740&lt;&gt;"×",$AE2740=0,$AD2740=""),"計算額が下限以下のため不支給／",""))</f>
        <v/>
      </c>
      <c r="AN2740" s="12" t="n"/>
      <c r="AO2740" s="14">
        <f>IF($AF2740="保留中",COUNTIF($AF$6:$AF2740,"保留中"),"")</f>
        <v/>
      </c>
      <c r="AP2740" s="14">
        <f>IF($AQ2740="","",IF(SUMPRODUCT(MAX((職員マスタ!$A$6:$A$405=$B2740)*(((職員マスタ!$G$6:$G$405="")+(職員マスタ!$G$6:$G$405&lt;=EOMONTH($AQ2740,0)))&gt;0)*(((職員マスタ!$H$6:$H$405="")+(職員マスタ!$H$6:$H$405&gt;=$AQ2740))&gt;0)*(ROW(職員マスタ!$A$6:$A$405)-5)))&gt;0,SUMPRODUCT(MAX((職員マスタ!$A$6:$A$405=$B2740)*(((職員マスタ!$G$6:$G$405="")+(職員マスタ!$G$6:$G$405&lt;=EOMONTH($AQ2740,0)))&gt;0)*(((職員マスタ!$H$6:$H$405="")+(職員マスタ!$H$6:$H$405&gt;=$AQ2740))&gt;0)*(ROW(職員マスタ!$A$6:$A$405)-5))),IFERROR(MATCH($B2740,職員マスタ!$A$6:$A$405,0),"")))</f>
        <v/>
      </c>
      <c r="AQ2740" s="16">
        <f>IF(OR($B2740="",$C2740="",$D2740=""),"",DATE($C2740+2018,$D2740,1))</f>
        <v/>
      </c>
    </row>
    <row r="2741">
      <c r="A2741" s="11" t="n"/>
      <c r="B2741" s="12" t="n"/>
      <c r="C2741" s="12" t="n"/>
      <c r="D2741" s="12" t="n"/>
      <c r="E2741" s="13" t="n"/>
      <c r="F2741" s="12" t="n"/>
      <c r="G2741" s="13" t="n"/>
      <c r="H2741" s="12" t="n"/>
      <c r="I2741" s="12" t="n"/>
      <c r="J2741" s="12" t="n"/>
      <c r="K2741" s="12" t="n"/>
      <c r="L2741" s="11" t="n"/>
      <c r="M2741" s="11" t="n"/>
      <c r="N2741" s="11" t="n"/>
      <c r="O2741" s="11" t="n"/>
      <c r="P2741" s="12" t="n"/>
      <c r="Q2741" s="11" t="n"/>
      <c r="R2741" s="12" t="n"/>
      <c r="S2741" s="11" t="n"/>
      <c r="T2741" s="12" t="n"/>
      <c r="U2741" s="12" t="n"/>
      <c r="V2741" s="12" t="n"/>
      <c r="W2741" s="13" t="n"/>
      <c r="X2741" s="14">
        <f>IF($AP2741="",IF($B2741="","",$H2741),IF(INDEX(職員マスタ!$B$6:$B$405,$AP2741)="",$H2741,INDEX(職員マスタ!$B$6:$B$405,$AP2741)))</f>
        <v/>
      </c>
      <c r="Y2741" s="14">
        <f>IF($AP2741="",IF($B2741="","",$R2741),IF(INDEX(職員マスタ!$C$6:$C$405,$AP2741)="",$R2741,INDEX(職員マスタ!$C$6:$C$405,$AP2741)))</f>
        <v/>
      </c>
      <c r="Z2741" s="14">
        <f>IF($AQ2741="","","R"&amp;$C2741&amp;"."&amp;$D2741)</f>
        <v/>
      </c>
      <c r="AA2741" s="15">
        <f>IF(IF($AP2741="",FALSE,INDEX(職員マスタ!$K$6:$K$405,$AP2741)&lt;&gt;""),INDEX(職員マスタ!$K$6:$K$405,$AP2741),IF(N($W2741)&gt;0,$W2741,""))</f>
        <v/>
      </c>
      <c r="AB2741" s="14">
        <f>IF(OR($E2741="",$AA2741=""),"",IF($E2741&gt;=$AA2741,"×",IF($E2741&gt;=$AA2741*設定!$C$5,"△","○")))</f>
        <v/>
      </c>
      <c r="AC2741" s="15">
        <f>IF($AB2741="","",IF($AB2741="×",0,IF($AB2741="○",ROUNDDOWN($E2741*設定!$C$4,0),ROUNDDOWN($E2741*ROUND((9*$AA2741-9*$E2741)/(10*$E2741),4),0))))</f>
        <v/>
      </c>
      <c r="AD2741" s="13" t="n"/>
      <c r="AE2741" s="15">
        <f>IF($B2741="","",IF($AD2741&lt;&gt;"",$AD2741,IF($AC2741="","",IF($AC2741&lt;=設定!$C$3,0,$AC2741))))</f>
        <v/>
      </c>
      <c r="AF2741" s="14">
        <f>IF($B2741="","",IF(AND($AG2741&lt;&gt;"",$AI2741="",$AL2741=""),"保留中",IF($AL2741&lt;&gt;"",IF(N($AE2741)&gt;0,"支給済","不支給"),IF($AE2741="","要確認",IF($AE2741=0,"不支給","未処理")))))</f>
        <v/>
      </c>
      <c r="AG2741" s="12" t="n"/>
      <c r="AH2741" s="11" t="n"/>
      <c r="AI2741" s="11" t="n"/>
      <c r="AJ2741" s="11" t="n"/>
      <c r="AK2741" s="14">
        <f>IF(AND($AF2741="保留中",$AH2741&lt;&gt;""),TODAY()-$AH2741,"")</f>
        <v/>
      </c>
      <c r="AL2741" s="12" t="n"/>
      <c r="AM2741" s="14">
        <f>IF($B2741="","",IF($AQ2741="","対象年月が未入力／","")&amp;IF($B2741="","",IF($AP2741="","職員マスタに未登録の職員番号／",IF($AA2741="","標準報酬月額が未登録／","")&amp;IF(AND($AQ2741&lt;&gt;"",OR(AND(INDEX(職員マスタ!$G$6:$G$405,$AP2741)&lt;&gt;"",INDEX(職員マスタ!$G$6:$G$405,$AP2741)&gt;EOMONTH($AQ2741,0)),AND(INDEX(職員マスタ!$H$6:$H$405,$AP2741)&lt;&gt;"",INDEX(職員マスタ!$H$6:$H$405,$AP2741)&lt;$AQ2741))),"対象月が時短期間外／","")&amp;IF(AND(INDEX(職員マスタ!$K$6:$K$405,$AP2741)&lt;&gt;"",N($W2741)&gt;0,INDEX(職員マスタ!$K$6:$K$405,$AP2741)&lt;&gt;$W2741),"標準報酬月額が申請書と相違（台帳"&amp;TEXT(INDEX(職員マスタ!$K$6:$K$405,$AP2741),"#,##0")&amp;"円／申請書"&amp;TEXT($W2741,"#,##0")&amp;"円）／","")&amp;IF(AND(INDEX(職員マスタ!$F$6:$F$405,$AP2741)&lt;&gt;"",$AQ2741&lt;&gt;"",INDEX(職員マスタ!$F$6:$F$405,$AP2741)&lt;$AQ2741),"対象月に子が2歳到達済／","")&amp;IF(AND($H2741&lt;&gt;"",INDEX(職員マスタ!$B$6:$B$405,$AP2741)&lt;&gt;"",SUBSTITUTE(SUBSTITUTE($H2741," ","")," ","")&lt;&gt;SUBSTITUTE(SUBSTITUTE(INDEX(職員マスタ!$B$6:$B$405,$AP2741)," ","")," ","")),"氏名がマスタと相違／","")&amp;IF(AND($Q2741&lt;&gt;"",INDEX(職員マスタ!$E$6:$E$405,$AP2741)&lt;&gt;"",$Q2741&lt;&gt;INDEX(職員マスタ!$E$6:$E$405,$AP2741)),"子の生年月日がマスタと相違／","")&amp;IF(AND($L2741&lt;&gt;"",INDEX(職員マスタ!$G$6:$G$405,$AP2741)&lt;&gt;"",$L2741&lt;&gt;INDEX(職員マスタ!$G$6:$G$405,$AP2741)),"時短開始日がマスタと相違／","")&amp;IF(AND($M2741&lt;&gt;"",INDEX(職員マスタ!$H$6:$H$405,$AP2741)&lt;&gt;"",$M2741&lt;&gt;INDEX(職員マスタ!$H$6:$H$405,$AP2741)),"時短終了日がマスタと相違／","")))&amp;IF(AND($B2741&lt;&gt;"",$E2741=""),"報酬額が未入力／","")&amp;IF(N($U2741)&gt;0,"申請書に入力エラーが残っています／","")&amp;IF(AND($B2741&lt;&gt;"",$AQ2741&lt;&gt;""),IF(COUNTIFS($B$6:$B$3005,$B2741,$C$6:$C$3005,$C2741,$D$6:$D$3005,$D2741)&gt;1,"同じ月の請求が重複しています／",""),"")&amp;IF(AND(N($E2741)&gt;0,$AB2741&lt;&gt;"",$AB2741&lt;&gt;"×",$AE2741=0,$AD2741=""),"計算額が下限以下のため不支給／",""))</f>
        <v/>
      </c>
      <c r="AN2741" s="12" t="n"/>
      <c r="AO2741" s="14">
        <f>IF($AF2741="保留中",COUNTIF($AF$6:$AF2741,"保留中"),"")</f>
        <v/>
      </c>
      <c r="AP2741" s="14">
        <f>IF($AQ2741="","",IF(SUMPRODUCT(MAX((職員マスタ!$A$6:$A$405=$B2741)*(((職員マスタ!$G$6:$G$405="")+(職員マスタ!$G$6:$G$405&lt;=EOMONTH($AQ2741,0)))&gt;0)*(((職員マスタ!$H$6:$H$405="")+(職員マスタ!$H$6:$H$405&gt;=$AQ2741))&gt;0)*(ROW(職員マスタ!$A$6:$A$405)-5)))&gt;0,SUMPRODUCT(MAX((職員マスタ!$A$6:$A$405=$B2741)*(((職員マスタ!$G$6:$G$405="")+(職員マスタ!$G$6:$G$405&lt;=EOMONTH($AQ2741,0)))&gt;0)*(((職員マスタ!$H$6:$H$405="")+(職員マスタ!$H$6:$H$405&gt;=$AQ2741))&gt;0)*(ROW(職員マスタ!$A$6:$A$405)-5))),IFERROR(MATCH($B2741,職員マスタ!$A$6:$A$405,0),"")))</f>
        <v/>
      </c>
      <c r="AQ2741" s="16">
        <f>IF(OR($B2741="",$C2741="",$D2741=""),"",DATE($C2741+2018,$D2741,1))</f>
        <v/>
      </c>
    </row>
    <row r="2742">
      <c r="A2742" s="11" t="n"/>
      <c r="B2742" s="12" t="n"/>
      <c r="C2742" s="12" t="n"/>
      <c r="D2742" s="12" t="n"/>
      <c r="E2742" s="13" t="n"/>
      <c r="F2742" s="12" t="n"/>
      <c r="G2742" s="13" t="n"/>
      <c r="H2742" s="12" t="n"/>
      <c r="I2742" s="12" t="n"/>
      <c r="J2742" s="12" t="n"/>
      <c r="K2742" s="12" t="n"/>
      <c r="L2742" s="11" t="n"/>
      <c r="M2742" s="11" t="n"/>
      <c r="N2742" s="11" t="n"/>
      <c r="O2742" s="11" t="n"/>
      <c r="P2742" s="12" t="n"/>
      <c r="Q2742" s="11" t="n"/>
      <c r="R2742" s="12" t="n"/>
      <c r="S2742" s="11" t="n"/>
      <c r="T2742" s="12" t="n"/>
      <c r="U2742" s="12" t="n"/>
      <c r="V2742" s="12" t="n"/>
      <c r="W2742" s="13" t="n"/>
      <c r="X2742" s="14">
        <f>IF($AP2742="",IF($B2742="","",$H2742),IF(INDEX(職員マスタ!$B$6:$B$405,$AP2742)="",$H2742,INDEX(職員マスタ!$B$6:$B$405,$AP2742)))</f>
        <v/>
      </c>
      <c r="Y2742" s="14">
        <f>IF($AP2742="",IF($B2742="","",$R2742),IF(INDEX(職員マスタ!$C$6:$C$405,$AP2742)="",$R2742,INDEX(職員マスタ!$C$6:$C$405,$AP2742)))</f>
        <v/>
      </c>
      <c r="Z2742" s="14">
        <f>IF($AQ2742="","","R"&amp;$C2742&amp;"."&amp;$D2742)</f>
        <v/>
      </c>
      <c r="AA2742" s="15">
        <f>IF(IF($AP2742="",FALSE,INDEX(職員マスタ!$K$6:$K$405,$AP2742)&lt;&gt;""),INDEX(職員マスタ!$K$6:$K$405,$AP2742),IF(N($W2742)&gt;0,$W2742,""))</f>
        <v/>
      </c>
      <c r="AB2742" s="14">
        <f>IF(OR($E2742="",$AA2742=""),"",IF($E2742&gt;=$AA2742,"×",IF($E2742&gt;=$AA2742*設定!$C$5,"△","○")))</f>
        <v/>
      </c>
      <c r="AC2742" s="15">
        <f>IF($AB2742="","",IF($AB2742="×",0,IF($AB2742="○",ROUNDDOWN($E2742*設定!$C$4,0),ROUNDDOWN($E2742*ROUND((9*$AA2742-9*$E2742)/(10*$E2742),4),0))))</f>
        <v/>
      </c>
      <c r="AD2742" s="13" t="n"/>
      <c r="AE2742" s="15">
        <f>IF($B2742="","",IF($AD2742&lt;&gt;"",$AD2742,IF($AC2742="","",IF($AC2742&lt;=設定!$C$3,0,$AC2742))))</f>
        <v/>
      </c>
      <c r="AF2742" s="14">
        <f>IF($B2742="","",IF(AND($AG2742&lt;&gt;"",$AI2742="",$AL2742=""),"保留中",IF($AL2742&lt;&gt;"",IF(N($AE2742)&gt;0,"支給済","不支給"),IF($AE2742="","要確認",IF($AE2742=0,"不支給","未処理")))))</f>
        <v/>
      </c>
      <c r="AG2742" s="12" t="n"/>
      <c r="AH2742" s="11" t="n"/>
      <c r="AI2742" s="11" t="n"/>
      <c r="AJ2742" s="11" t="n"/>
      <c r="AK2742" s="14">
        <f>IF(AND($AF2742="保留中",$AH2742&lt;&gt;""),TODAY()-$AH2742,"")</f>
        <v/>
      </c>
      <c r="AL2742" s="12" t="n"/>
      <c r="AM2742" s="14">
        <f>IF($B2742="","",IF($AQ2742="","対象年月が未入力／","")&amp;IF($B2742="","",IF($AP2742="","職員マスタに未登録の職員番号／",IF($AA2742="","標準報酬月額が未登録／","")&amp;IF(AND($AQ2742&lt;&gt;"",OR(AND(INDEX(職員マスタ!$G$6:$G$405,$AP2742)&lt;&gt;"",INDEX(職員マスタ!$G$6:$G$405,$AP2742)&gt;EOMONTH($AQ2742,0)),AND(INDEX(職員マスタ!$H$6:$H$405,$AP2742)&lt;&gt;"",INDEX(職員マスタ!$H$6:$H$405,$AP2742)&lt;$AQ2742))),"対象月が時短期間外／","")&amp;IF(AND(INDEX(職員マスタ!$K$6:$K$405,$AP2742)&lt;&gt;"",N($W2742)&gt;0,INDEX(職員マスタ!$K$6:$K$405,$AP2742)&lt;&gt;$W2742),"標準報酬月額が申請書と相違（台帳"&amp;TEXT(INDEX(職員マスタ!$K$6:$K$405,$AP2742),"#,##0")&amp;"円／申請書"&amp;TEXT($W2742,"#,##0")&amp;"円）／","")&amp;IF(AND(INDEX(職員マスタ!$F$6:$F$405,$AP2742)&lt;&gt;"",$AQ2742&lt;&gt;"",INDEX(職員マスタ!$F$6:$F$405,$AP2742)&lt;$AQ2742),"対象月に子が2歳到達済／","")&amp;IF(AND($H2742&lt;&gt;"",INDEX(職員マスタ!$B$6:$B$405,$AP2742)&lt;&gt;"",SUBSTITUTE(SUBSTITUTE($H2742," ","")," ","")&lt;&gt;SUBSTITUTE(SUBSTITUTE(INDEX(職員マスタ!$B$6:$B$405,$AP2742)," ","")," ","")),"氏名がマスタと相違／","")&amp;IF(AND($Q2742&lt;&gt;"",INDEX(職員マスタ!$E$6:$E$405,$AP2742)&lt;&gt;"",$Q2742&lt;&gt;INDEX(職員マスタ!$E$6:$E$405,$AP2742)),"子の生年月日がマスタと相違／","")&amp;IF(AND($L2742&lt;&gt;"",INDEX(職員マスタ!$G$6:$G$405,$AP2742)&lt;&gt;"",$L2742&lt;&gt;INDEX(職員マスタ!$G$6:$G$405,$AP2742)),"時短開始日がマスタと相違／","")&amp;IF(AND($M2742&lt;&gt;"",INDEX(職員マスタ!$H$6:$H$405,$AP2742)&lt;&gt;"",$M2742&lt;&gt;INDEX(職員マスタ!$H$6:$H$405,$AP2742)),"時短終了日がマスタと相違／","")))&amp;IF(AND($B2742&lt;&gt;"",$E2742=""),"報酬額が未入力／","")&amp;IF(N($U2742)&gt;0,"申請書に入力エラーが残っています／","")&amp;IF(AND($B2742&lt;&gt;"",$AQ2742&lt;&gt;""),IF(COUNTIFS($B$6:$B$3005,$B2742,$C$6:$C$3005,$C2742,$D$6:$D$3005,$D2742)&gt;1,"同じ月の請求が重複しています／",""),"")&amp;IF(AND(N($E2742)&gt;0,$AB2742&lt;&gt;"",$AB2742&lt;&gt;"×",$AE2742=0,$AD2742=""),"計算額が下限以下のため不支給／",""))</f>
        <v/>
      </c>
      <c r="AN2742" s="12" t="n"/>
      <c r="AO2742" s="14">
        <f>IF($AF2742="保留中",COUNTIF($AF$6:$AF2742,"保留中"),"")</f>
        <v/>
      </c>
      <c r="AP2742" s="14">
        <f>IF($AQ2742="","",IF(SUMPRODUCT(MAX((職員マスタ!$A$6:$A$405=$B2742)*(((職員マスタ!$G$6:$G$405="")+(職員マスタ!$G$6:$G$405&lt;=EOMONTH($AQ2742,0)))&gt;0)*(((職員マスタ!$H$6:$H$405="")+(職員マスタ!$H$6:$H$405&gt;=$AQ2742))&gt;0)*(ROW(職員マスタ!$A$6:$A$405)-5)))&gt;0,SUMPRODUCT(MAX((職員マスタ!$A$6:$A$405=$B2742)*(((職員マスタ!$G$6:$G$405="")+(職員マスタ!$G$6:$G$405&lt;=EOMONTH($AQ2742,0)))&gt;0)*(((職員マスタ!$H$6:$H$405="")+(職員マスタ!$H$6:$H$405&gt;=$AQ2742))&gt;0)*(ROW(職員マスタ!$A$6:$A$405)-5))),IFERROR(MATCH($B2742,職員マスタ!$A$6:$A$405,0),"")))</f>
        <v/>
      </c>
      <c r="AQ2742" s="16">
        <f>IF(OR($B2742="",$C2742="",$D2742=""),"",DATE($C2742+2018,$D2742,1))</f>
        <v/>
      </c>
    </row>
    <row r="2743">
      <c r="A2743" s="11" t="n"/>
      <c r="B2743" s="12" t="n"/>
      <c r="C2743" s="12" t="n"/>
      <c r="D2743" s="12" t="n"/>
      <c r="E2743" s="13" t="n"/>
      <c r="F2743" s="12" t="n"/>
      <c r="G2743" s="13" t="n"/>
      <c r="H2743" s="12" t="n"/>
      <c r="I2743" s="12" t="n"/>
      <c r="J2743" s="12" t="n"/>
      <c r="K2743" s="12" t="n"/>
      <c r="L2743" s="11" t="n"/>
      <c r="M2743" s="11" t="n"/>
      <c r="N2743" s="11" t="n"/>
      <c r="O2743" s="11" t="n"/>
      <c r="P2743" s="12" t="n"/>
      <c r="Q2743" s="11" t="n"/>
      <c r="R2743" s="12" t="n"/>
      <c r="S2743" s="11" t="n"/>
      <c r="T2743" s="12" t="n"/>
      <c r="U2743" s="12" t="n"/>
      <c r="V2743" s="12" t="n"/>
      <c r="W2743" s="13" t="n"/>
      <c r="X2743" s="14">
        <f>IF($AP2743="",IF($B2743="","",$H2743),IF(INDEX(職員マスタ!$B$6:$B$405,$AP2743)="",$H2743,INDEX(職員マスタ!$B$6:$B$405,$AP2743)))</f>
        <v/>
      </c>
      <c r="Y2743" s="14">
        <f>IF($AP2743="",IF($B2743="","",$R2743),IF(INDEX(職員マスタ!$C$6:$C$405,$AP2743)="",$R2743,INDEX(職員マスタ!$C$6:$C$405,$AP2743)))</f>
        <v/>
      </c>
      <c r="Z2743" s="14">
        <f>IF($AQ2743="","","R"&amp;$C2743&amp;"."&amp;$D2743)</f>
        <v/>
      </c>
      <c r="AA2743" s="15">
        <f>IF(IF($AP2743="",FALSE,INDEX(職員マスタ!$K$6:$K$405,$AP2743)&lt;&gt;""),INDEX(職員マスタ!$K$6:$K$405,$AP2743),IF(N($W2743)&gt;0,$W2743,""))</f>
        <v/>
      </c>
      <c r="AB2743" s="14">
        <f>IF(OR($E2743="",$AA2743=""),"",IF($E2743&gt;=$AA2743,"×",IF($E2743&gt;=$AA2743*設定!$C$5,"△","○")))</f>
        <v/>
      </c>
      <c r="AC2743" s="15">
        <f>IF($AB2743="","",IF($AB2743="×",0,IF($AB2743="○",ROUNDDOWN($E2743*設定!$C$4,0),ROUNDDOWN($E2743*ROUND((9*$AA2743-9*$E2743)/(10*$E2743),4),0))))</f>
        <v/>
      </c>
      <c r="AD2743" s="13" t="n"/>
      <c r="AE2743" s="15">
        <f>IF($B2743="","",IF($AD2743&lt;&gt;"",$AD2743,IF($AC2743="","",IF($AC2743&lt;=設定!$C$3,0,$AC2743))))</f>
        <v/>
      </c>
      <c r="AF2743" s="14">
        <f>IF($B2743="","",IF(AND($AG2743&lt;&gt;"",$AI2743="",$AL2743=""),"保留中",IF($AL2743&lt;&gt;"",IF(N($AE2743)&gt;0,"支給済","不支給"),IF($AE2743="","要確認",IF($AE2743=0,"不支給","未処理")))))</f>
        <v/>
      </c>
      <c r="AG2743" s="12" t="n"/>
      <c r="AH2743" s="11" t="n"/>
      <c r="AI2743" s="11" t="n"/>
      <c r="AJ2743" s="11" t="n"/>
      <c r="AK2743" s="14">
        <f>IF(AND($AF2743="保留中",$AH2743&lt;&gt;""),TODAY()-$AH2743,"")</f>
        <v/>
      </c>
      <c r="AL2743" s="12" t="n"/>
      <c r="AM2743" s="14">
        <f>IF($B2743="","",IF($AQ2743="","対象年月が未入力／","")&amp;IF($B2743="","",IF($AP2743="","職員マスタに未登録の職員番号／",IF($AA2743="","標準報酬月額が未登録／","")&amp;IF(AND($AQ2743&lt;&gt;"",OR(AND(INDEX(職員マスタ!$G$6:$G$405,$AP2743)&lt;&gt;"",INDEX(職員マスタ!$G$6:$G$405,$AP2743)&gt;EOMONTH($AQ2743,0)),AND(INDEX(職員マスタ!$H$6:$H$405,$AP2743)&lt;&gt;"",INDEX(職員マスタ!$H$6:$H$405,$AP2743)&lt;$AQ2743))),"対象月が時短期間外／","")&amp;IF(AND(INDEX(職員マスタ!$K$6:$K$405,$AP2743)&lt;&gt;"",N($W2743)&gt;0,INDEX(職員マスタ!$K$6:$K$405,$AP2743)&lt;&gt;$W2743),"標準報酬月額が申請書と相違（台帳"&amp;TEXT(INDEX(職員マスタ!$K$6:$K$405,$AP2743),"#,##0")&amp;"円／申請書"&amp;TEXT($W2743,"#,##0")&amp;"円）／","")&amp;IF(AND(INDEX(職員マスタ!$F$6:$F$405,$AP2743)&lt;&gt;"",$AQ2743&lt;&gt;"",INDEX(職員マスタ!$F$6:$F$405,$AP2743)&lt;$AQ2743),"対象月に子が2歳到達済／","")&amp;IF(AND($H2743&lt;&gt;"",INDEX(職員マスタ!$B$6:$B$405,$AP2743)&lt;&gt;"",SUBSTITUTE(SUBSTITUTE($H2743," ","")," ","")&lt;&gt;SUBSTITUTE(SUBSTITUTE(INDEX(職員マスタ!$B$6:$B$405,$AP2743)," ","")," ","")),"氏名がマスタと相違／","")&amp;IF(AND($Q2743&lt;&gt;"",INDEX(職員マスタ!$E$6:$E$405,$AP2743)&lt;&gt;"",$Q2743&lt;&gt;INDEX(職員マスタ!$E$6:$E$405,$AP2743)),"子の生年月日がマスタと相違／","")&amp;IF(AND($L2743&lt;&gt;"",INDEX(職員マスタ!$G$6:$G$405,$AP2743)&lt;&gt;"",$L2743&lt;&gt;INDEX(職員マスタ!$G$6:$G$405,$AP2743)),"時短開始日がマスタと相違／","")&amp;IF(AND($M2743&lt;&gt;"",INDEX(職員マスタ!$H$6:$H$405,$AP2743)&lt;&gt;"",$M2743&lt;&gt;INDEX(職員マスタ!$H$6:$H$405,$AP2743)),"時短終了日がマスタと相違／","")))&amp;IF(AND($B2743&lt;&gt;"",$E2743=""),"報酬額が未入力／","")&amp;IF(N($U2743)&gt;0,"申請書に入力エラーが残っています／","")&amp;IF(AND($B2743&lt;&gt;"",$AQ2743&lt;&gt;""),IF(COUNTIFS($B$6:$B$3005,$B2743,$C$6:$C$3005,$C2743,$D$6:$D$3005,$D2743)&gt;1,"同じ月の請求が重複しています／",""),"")&amp;IF(AND(N($E2743)&gt;0,$AB2743&lt;&gt;"",$AB2743&lt;&gt;"×",$AE2743=0,$AD2743=""),"計算額が下限以下のため不支給／",""))</f>
        <v/>
      </c>
      <c r="AN2743" s="12" t="n"/>
      <c r="AO2743" s="14">
        <f>IF($AF2743="保留中",COUNTIF($AF$6:$AF2743,"保留中"),"")</f>
        <v/>
      </c>
      <c r="AP2743" s="14">
        <f>IF($AQ2743="","",IF(SUMPRODUCT(MAX((職員マスタ!$A$6:$A$405=$B2743)*(((職員マスタ!$G$6:$G$405="")+(職員マスタ!$G$6:$G$405&lt;=EOMONTH($AQ2743,0)))&gt;0)*(((職員マスタ!$H$6:$H$405="")+(職員マスタ!$H$6:$H$405&gt;=$AQ2743))&gt;0)*(ROW(職員マスタ!$A$6:$A$405)-5)))&gt;0,SUMPRODUCT(MAX((職員マスタ!$A$6:$A$405=$B2743)*(((職員マスタ!$G$6:$G$405="")+(職員マスタ!$G$6:$G$405&lt;=EOMONTH($AQ2743,0)))&gt;0)*(((職員マスタ!$H$6:$H$405="")+(職員マスタ!$H$6:$H$405&gt;=$AQ2743))&gt;0)*(ROW(職員マスタ!$A$6:$A$405)-5))),IFERROR(MATCH($B2743,職員マスタ!$A$6:$A$405,0),"")))</f>
        <v/>
      </c>
      <c r="AQ2743" s="16">
        <f>IF(OR($B2743="",$C2743="",$D2743=""),"",DATE($C2743+2018,$D2743,1))</f>
        <v/>
      </c>
    </row>
    <row r="2744">
      <c r="A2744" s="11" t="n"/>
      <c r="B2744" s="12" t="n"/>
      <c r="C2744" s="12" t="n"/>
      <c r="D2744" s="12" t="n"/>
      <c r="E2744" s="13" t="n"/>
      <c r="F2744" s="12" t="n"/>
      <c r="G2744" s="13" t="n"/>
      <c r="H2744" s="12" t="n"/>
      <c r="I2744" s="12" t="n"/>
      <c r="J2744" s="12" t="n"/>
      <c r="K2744" s="12" t="n"/>
      <c r="L2744" s="11" t="n"/>
      <c r="M2744" s="11" t="n"/>
      <c r="N2744" s="11" t="n"/>
      <c r="O2744" s="11" t="n"/>
      <c r="P2744" s="12" t="n"/>
      <c r="Q2744" s="11" t="n"/>
      <c r="R2744" s="12" t="n"/>
      <c r="S2744" s="11" t="n"/>
      <c r="T2744" s="12" t="n"/>
      <c r="U2744" s="12" t="n"/>
      <c r="V2744" s="12" t="n"/>
      <c r="W2744" s="13" t="n"/>
      <c r="X2744" s="14">
        <f>IF($AP2744="",IF($B2744="","",$H2744),IF(INDEX(職員マスタ!$B$6:$B$405,$AP2744)="",$H2744,INDEX(職員マスタ!$B$6:$B$405,$AP2744)))</f>
        <v/>
      </c>
      <c r="Y2744" s="14">
        <f>IF($AP2744="",IF($B2744="","",$R2744),IF(INDEX(職員マスタ!$C$6:$C$405,$AP2744)="",$R2744,INDEX(職員マスタ!$C$6:$C$405,$AP2744)))</f>
        <v/>
      </c>
      <c r="Z2744" s="14">
        <f>IF($AQ2744="","","R"&amp;$C2744&amp;"."&amp;$D2744)</f>
        <v/>
      </c>
      <c r="AA2744" s="15">
        <f>IF(IF($AP2744="",FALSE,INDEX(職員マスタ!$K$6:$K$405,$AP2744)&lt;&gt;""),INDEX(職員マスタ!$K$6:$K$405,$AP2744),IF(N($W2744)&gt;0,$W2744,""))</f>
        <v/>
      </c>
      <c r="AB2744" s="14">
        <f>IF(OR($E2744="",$AA2744=""),"",IF($E2744&gt;=$AA2744,"×",IF($E2744&gt;=$AA2744*設定!$C$5,"△","○")))</f>
        <v/>
      </c>
      <c r="AC2744" s="15">
        <f>IF($AB2744="","",IF($AB2744="×",0,IF($AB2744="○",ROUNDDOWN($E2744*設定!$C$4,0),ROUNDDOWN($E2744*ROUND((9*$AA2744-9*$E2744)/(10*$E2744),4),0))))</f>
        <v/>
      </c>
      <c r="AD2744" s="13" t="n"/>
      <c r="AE2744" s="15">
        <f>IF($B2744="","",IF($AD2744&lt;&gt;"",$AD2744,IF($AC2744="","",IF($AC2744&lt;=設定!$C$3,0,$AC2744))))</f>
        <v/>
      </c>
      <c r="AF2744" s="14">
        <f>IF($B2744="","",IF(AND($AG2744&lt;&gt;"",$AI2744="",$AL2744=""),"保留中",IF($AL2744&lt;&gt;"",IF(N($AE2744)&gt;0,"支給済","不支給"),IF($AE2744="","要確認",IF($AE2744=0,"不支給","未処理")))))</f>
        <v/>
      </c>
      <c r="AG2744" s="12" t="n"/>
      <c r="AH2744" s="11" t="n"/>
      <c r="AI2744" s="11" t="n"/>
      <c r="AJ2744" s="11" t="n"/>
      <c r="AK2744" s="14">
        <f>IF(AND($AF2744="保留中",$AH2744&lt;&gt;""),TODAY()-$AH2744,"")</f>
        <v/>
      </c>
      <c r="AL2744" s="12" t="n"/>
      <c r="AM2744" s="14">
        <f>IF($B2744="","",IF($AQ2744="","対象年月が未入力／","")&amp;IF($B2744="","",IF($AP2744="","職員マスタに未登録の職員番号／",IF($AA2744="","標準報酬月額が未登録／","")&amp;IF(AND($AQ2744&lt;&gt;"",OR(AND(INDEX(職員マスタ!$G$6:$G$405,$AP2744)&lt;&gt;"",INDEX(職員マスタ!$G$6:$G$405,$AP2744)&gt;EOMONTH($AQ2744,0)),AND(INDEX(職員マスタ!$H$6:$H$405,$AP2744)&lt;&gt;"",INDEX(職員マスタ!$H$6:$H$405,$AP2744)&lt;$AQ2744))),"対象月が時短期間外／","")&amp;IF(AND(INDEX(職員マスタ!$K$6:$K$405,$AP2744)&lt;&gt;"",N($W2744)&gt;0,INDEX(職員マスタ!$K$6:$K$405,$AP2744)&lt;&gt;$W2744),"標準報酬月額が申請書と相違（台帳"&amp;TEXT(INDEX(職員マスタ!$K$6:$K$405,$AP2744),"#,##0")&amp;"円／申請書"&amp;TEXT($W2744,"#,##0")&amp;"円）／","")&amp;IF(AND(INDEX(職員マスタ!$F$6:$F$405,$AP2744)&lt;&gt;"",$AQ2744&lt;&gt;"",INDEX(職員マスタ!$F$6:$F$405,$AP2744)&lt;$AQ2744),"対象月に子が2歳到達済／","")&amp;IF(AND($H2744&lt;&gt;"",INDEX(職員マスタ!$B$6:$B$405,$AP2744)&lt;&gt;"",SUBSTITUTE(SUBSTITUTE($H2744," ","")," ","")&lt;&gt;SUBSTITUTE(SUBSTITUTE(INDEX(職員マスタ!$B$6:$B$405,$AP2744)," ","")," ","")),"氏名がマスタと相違／","")&amp;IF(AND($Q2744&lt;&gt;"",INDEX(職員マスタ!$E$6:$E$405,$AP2744)&lt;&gt;"",$Q2744&lt;&gt;INDEX(職員マスタ!$E$6:$E$405,$AP2744)),"子の生年月日がマスタと相違／","")&amp;IF(AND($L2744&lt;&gt;"",INDEX(職員マスタ!$G$6:$G$405,$AP2744)&lt;&gt;"",$L2744&lt;&gt;INDEX(職員マスタ!$G$6:$G$405,$AP2744)),"時短開始日がマスタと相違／","")&amp;IF(AND($M2744&lt;&gt;"",INDEX(職員マスタ!$H$6:$H$405,$AP2744)&lt;&gt;"",$M2744&lt;&gt;INDEX(職員マスタ!$H$6:$H$405,$AP2744)),"時短終了日がマスタと相違／","")))&amp;IF(AND($B2744&lt;&gt;"",$E2744=""),"報酬額が未入力／","")&amp;IF(N($U2744)&gt;0,"申請書に入力エラーが残っています／","")&amp;IF(AND($B2744&lt;&gt;"",$AQ2744&lt;&gt;""),IF(COUNTIFS($B$6:$B$3005,$B2744,$C$6:$C$3005,$C2744,$D$6:$D$3005,$D2744)&gt;1,"同じ月の請求が重複しています／",""),"")&amp;IF(AND(N($E2744)&gt;0,$AB2744&lt;&gt;"",$AB2744&lt;&gt;"×",$AE2744=0,$AD2744=""),"計算額が下限以下のため不支給／",""))</f>
        <v/>
      </c>
      <c r="AN2744" s="12" t="n"/>
      <c r="AO2744" s="14">
        <f>IF($AF2744="保留中",COUNTIF($AF$6:$AF2744,"保留中"),"")</f>
        <v/>
      </c>
      <c r="AP2744" s="14">
        <f>IF($AQ2744="","",IF(SUMPRODUCT(MAX((職員マスタ!$A$6:$A$405=$B2744)*(((職員マスタ!$G$6:$G$405="")+(職員マスタ!$G$6:$G$405&lt;=EOMONTH($AQ2744,0)))&gt;0)*(((職員マスタ!$H$6:$H$405="")+(職員マスタ!$H$6:$H$405&gt;=$AQ2744))&gt;0)*(ROW(職員マスタ!$A$6:$A$405)-5)))&gt;0,SUMPRODUCT(MAX((職員マスタ!$A$6:$A$405=$B2744)*(((職員マスタ!$G$6:$G$405="")+(職員マスタ!$G$6:$G$405&lt;=EOMONTH($AQ2744,0)))&gt;0)*(((職員マスタ!$H$6:$H$405="")+(職員マスタ!$H$6:$H$405&gt;=$AQ2744))&gt;0)*(ROW(職員マスタ!$A$6:$A$405)-5))),IFERROR(MATCH($B2744,職員マスタ!$A$6:$A$405,0),"")))</f>
        <v/>
      </c>
      <c r="AQ2744" s="16">
        <f>IF(OR($B2744="",$C2744="",$D2744=""),"",DATE($C2744+2018,$D2744,1))</f>
        <v/>
      </c>
    </row>
    <row r="2745">
      <c r="A2745" s="11" t="n"/>
      <c r="B2745" s="12" t="n"/>
      <c r="C2745" s="12" t="n"/>
      <c r="D2745" s="12" t="n"/>
      <c r="E2745" s="13" t="n"/>
      <c r="F2745" s="12" t="n"/>
      <c r="G2745" s="13" t="n"/>
      <c r="H2745" s="12" t="n"/>
      <c r="I2745" s="12" t="n"/>
      <c r="J2745" s="12" t="n"/>
      <c r="K2745" s="12" t="n"/>
      <c r="L2745" s="11" t="n"/>
      <c r="M2745" s="11" t="n"/>
      <c r="N2745" s="11" t="n"/>
      <c r="O2745" s="11" t="n"/>
      <c r="P2745" s="12" t="n"/>
      <c r="Q2745" s="11" t="n"/>
      <c r="R2745" s="12" t="n"/>
      <c r="S2745" s="11" t="n"/>
      <c r="T2745" s="12" t="n"/>
      <c r="U2745" s="12" t="n"/>
      <c r="V2745" s="12" t="n"/>
      <c r="W2745" s="13" t="n"/>
      <c r="X2745" s="14">
        <f>IF($AP2745="",IF($B2745="","",$H2745),IF(INDEX(職員マスタ!$B$6:$B$405,$AP2745)="",$H2745,INDEX(職員マスタ!$B$6:$B$405,$AP2745)))</f>
        <v/>
      </c>
      <c r="Y2745" s="14">
        <f>IF($AP2745="",IF($B2745="","",$R2745),IF(INDEX(職員マスタ!$C$6:$C$405,$AP2745)="",$R2745,INDEX(職員マスタ!$C$6:$C$405,$AP2745)))</f>
        <v/>
      </c>
      <c r="Z2745" s="14">
        <f>IF($AQ2745="","","R"&amp;$C2745&amp;"."&amp;$D2745)</f>
        <v/>
      </c>
      <c r="AA2745" s="15">
        <f>IF(IF($AP2745="",FALSE,INDEX(職員マスタ!$K$6:$K$405,$AP2745)&lt;&gt;""),INDEX(職員マスタ!$K$6:$K$405,$AP2745),IF(N($W2745)&gt;0,$W2745,""))</f>
        <v/>
      </c>
      <c r="AB2745" s="14">
        <f>IF(OR($E2745="",$AA2745=""),"",IF($E2745&gt;=$AA2745,"×",IF($E2745&gt;=$AA2745*設定!$C$5,"△","○")))</f>
        <v/>
      </c>
      <c r="AC2745" s="15">
        <f>IF($AB2745="","",IF($AB2745="×",0,IF($AB2745="○",ROUNDDOWN($E2745*設定!$C$4,0),ROUNDDOWN($E2745*ROUND((9*$AA2745-9*$E2745)/(10*$E2745),4),0))))</f>
        <v/>
      </c>
      <c r="AD2745" s="13" t="n"/>
      <c r="AE2745" s="15">
        <f>IF($B2745="","",IF($AD2745&lt;&gt;"",$AD2745,IF($AC2745="","",IF($AC2745&lt;=設定!$C$3,0,$AC2745))))</f>
        <v/>
      </c>
      <c r="AF2745" s="14">
        <f>IF($B2745="","",IF(AND($AG2745&lt;&gt;"",$AI2745="",$AL2745=""),"保留中",IF($AL2745&lt;&gt;"",IF(N($AE2745)&gt;0,"支給済","不支給"),IF($AE2745="","要確認",IF($AE2745=0,"不支給","未処理")))))</f>
        <v/>
      </c>
      <c r="AG2745" s="12" t="n"/>
      <c r="AH2745" s="11" t="n"/>
      <c r="AI2745" s="11" t="n"/>
      <c r="AJ2745" s="11" t="n"/>
      <c r="AK2745" s="14">
        <f>IF(AND($AF2745="保留中",$AH2745&lt;&gt;""),TODAY()-$AH2745,"")</f>
        <v/>
      </c>
      <c r="AL2745" s="12" t="n"/>
      <c r="AM2745" s="14">
        <f>IF($B2745="","",IF($AQ2745="","対象年月が未入力／","")&amp;IF($B2745="","",IF($AP2745="","職員マスタに未登録の職員番号／",IF($AA2745="","標準報酬月額が未登録／","")&amp;IF(AND($AQ2745&lt;&gt;"",OR(AND(INDEX(職員マスタ!$G$6:$G$405,$AP2745)&lt;&gt;"",INDEX(職員マスタ!$G$6:$G$405,$AP2745)&gt;EOMONTH($AQ2745,0)),AND(INDEX(職員マスタ!$H$6:$H$405,$AP2745)&lt;&gt;"",INDEX(職員マスタ!$H$6:$H$405,$AP2745)&lt;$AQ2745))),"対象月が時短期間外／","")&amp;IF(AND(INDEX(職員マスタ!$K$6:$K$405,$AP2745)&lt;&gt;"",N($W2745)&gt;0,INDEX(職員マスタ!$K$6:$K$405,$AP2745)&lt;&gt;$W2745),"標準報酬月額が申請書と相違（台帳"&amp;TEXT(INDEX(職員マスタ!$K$6:$K$405,$AP2745),"#,##0")&amp;"円／申請書"&amp;TEXT($W2745,"#,##0")&amp;"円）／","")&amp;IF(AND(INDEX(職員マスタ!$F$6:$F$405,$AP2745)&lt;&gt;"",$AQ2745&lt;&gt;"",INDEX(職員マスタ!$F$6:$F$405,$AP2745)&lt;$AQ2745),"対象月に子が2歳到達済／","")&amp;IF(AND($H2745&lt;&gt;"",INDEX(職員マスタ!$B$6:$B$405,$AP2745)&lt;&gt;"",SUBSTITUTE(SUBSTITUTE($H2745," ","")," ","")&lt;&gt;SUBSTITUTE(SUBSTITUTE(INDEX(職員マスタ!$B$6:$B$405,$AP2745)," ","")," ","")),"氏名がマスタと相違／","")&amp;IF(AND($Q2745&lt;&gt;"",INDEX(職員マスタ!$E$6:$E$405,$AP2745)&lt;&gt;"",$Q2745&lt;&gt;INDEX(職員マスタ!$E$6:$E$405,$AP2745)),"子の生年月日がマスタと相違／","")&amp;IF(AND($L2745&lt;&gt;"",INDEX(職員マスタ!$G$6:$G$405,$AP2745)&lt;&gt;"",$L2745&lt;&gt;INDEX(職員マスタ!$G$6:$G$405,$AP2745)),"時短開始日がマスタと相違／","")&amp;IF(AND($M2745&lt;&gt;"",INDEX(職員マスタ!$H$6:$H$405,$AP2745)&lt;&gt;"",$M2745&lt;&gt;INDEX(職員マスタ!$H$6:$H$405,$AP2745)),"時短終了日がマスタと相違／","")))&amp;IF(AND($B2745&lt;&gt;"",$E2745=""),"報酬額が未入力／","")&amp;IF(N($U2745)&gt;0,"申請書に入力エラーが残っています／","")&amp;IF(AND($B2745&lt;&gt;"",$AQ2745&lt;&gt;""),IF(COUNTIFS($B$6:$B$3005,$B2745,$C$6:$C$3005,$C2745,$D$6:$D$3005,$D2745)&gt;1,"同じ月の請求が重複しています／",""),"")&amp;IF(AND(N($E2745)&gt;0,$AB2745&lt;&gt;"",$AB2745&lt;&gt;"×",$AE2745=0,$AD2745=""),"計算額が下限以下のため不支給／",""))</f>
        <v/>
      </c>
      <c r="AN2745" s="12" t="n"/>
      <c r="AO2745" s="14">
        <f>IF($AF2745="保留中",COUNTIF($AF$6:$AF2745,"保留中"),"")</f>
        <v/>
      </c>
      <c r="AP2745" s="14">
        <f>IF($AQ2745="","",IF(SUMPRODUCT(MAX((職員マスタ!$A$6:$A$405=$B2745)*(((職員マスタ!$G$6:$G$405="")+(職員マスタ!$G$6:$G$405&lt;=EOMONTH($AQ2745,0)))&gt;0)*(((職員マスタ!$H$6:$H$405="")+(職員マスタ!$H$6:$H$405&gt;=$AQ2745))&gt;0)*(ROW(職員マスタ!$A$6:$A$405)-5)))&gt;0,SUMPRODUCT(MAX((職員マスタ!$A$6:$A$405=$B2745)*(((職員マスタ!$G$6:$G$405="")+(職員マスタ!$G$6:$G$405&lt;=EOMONTH($AQ2745,0)))&gt;0)*(((職員マスタ!$H$6:$H$405="")+(職員マスタ!$H$6:$H$405&gt;=$AQ2745))&gt;0)*(ROW(職員マスタ!$A$6:$A$405)-5))),IFERROR(MATCH($B2745,職員マスタ!$A$6:$A$405,0),"")))</f>
        <v/>
      </c>
      <c r="AQ2745" s="16">
        <f>IF(OR($B2745="",$C2745="",$D2745=""),"",DATE($C2745+2018,$D2745,1))</f>
        <v/>
      </c>
    </row>
    <row r="2746">
      <c r="A2746" s="11" t="n"/>
      <c r="B2746" s="12" t="n"/>
      <c r="C2746" s="12" t="n"/>
      <c r="D2746" s="12" t="n"/>
      <c r="E2746" s="13" t="n"/>
      <c r="F2746" s="12" t="n"/>
      <c r="G2746" s="13" t="n"/>
      <c r="H2746" s="12" t="n"/>
      <c r="I2746" s="12" t="n"/>
      <c r="J2746" s="12" t="n"/>
      <c r="K2746" s="12" t="n"/>
      <c r="L2746" s="11" t="n"/>
      <c r="M2746" s="11" t="n"/>
      <c r="N2746" s="11" t="n"/>
      <c r="O2746" s="11" t="n"/>
      <c r="P2746" s="12" t="n"/>
      <c r="Q2746" s="11" t="n"/>
      <c r="R2746" s="12" t="n"/>
      <c r="S2746" s="11" t="n"/>
      <c r="T2746" s="12" t="n"/>
      <c r="U2746" s="12" t="n"/>
      <c r="V2746" s="12" t="n"/>
      <c r="W2746" s="13" t="n"/>
      <c r="X2746" s="14">
        <f>IF($AP2746="",IF($B2746="","",$H2746),IF(INDEX(職員マスタ!$B$6:$B$405,$AP2746)="",$H2746,INDEX(職員マスタ!$B$6:$B$405,$AP2746)))</f>
        <v/>
      </c>
      <c r="Y2746" s="14">
        <f>IF($AP2746="",IF($B2746="","",$R2746),IF(INDEX(職員マスタ!$C$6:$C$405,$AP2746)="",$R2746,INDEX(職員マスタ!$C$6:$C$405,$AP2746)))</f>
        <v/>
      </c>
      <c r="Z2746" s="14">
        <f>IF($AQ2746="","","R"&amp;$C2746&amp;"."&amp;$D2746)</f>
        <v/>
      </c>
      <c r="AA2746" s="15">
        <f>IF(IF($AP2746="",FALSE,INDEX(職員マスタ!$K$6:$K$405,$AP2746)&lt;&gt;""),INDEX(職員マスタ!$K$6:$K$405,$AP2746),IF(N($W2746)&gt;0,$W2746,""))</f>
        <v/>
      </c>
      <c r="AB2746" s="14">
        <f>IF(OR($E2746="",$AA2746=""),"",IF($E2746&gt;=$AA2746,"×",IF($E2746&gt;=$AA2746*設定!$C$5,"△","○")))</f>
        <v/>
      </c>
      <c r="AC2746" s="15">
        <f>IF($AB2746="","",IF($AB2746="×",0,IF($AB2746="○",ROUNDDOWN($E2746*設定!$C$4,0),ROUNDDOWN($E2746*ROUND((9*$AA2746-9*$E2746)/(10*$E2746),4),0))))</f>
        <v/>
      </c>
      <c r="AD2746" s="13" t="n"/>
      <c r="AE2746" s="15">
        <f>IF($B2746="","",IF($AD2746&lt;&gt;"",$AD2746,IF($AC2746="","",IF($AC2746&lt;=設定!$C$3,0,$AC2746))))</f>
        <v/>
      </c>
      <c r="AF2746" s="14">
        <f>IF($B2746="","",IF(AND($AG2746&lt;&gt;"",$AI2746="",$AL2746=""),"保留中",IF($AL2746&lt;&gt;"",IF(N($AE2746)&gt;0,"支給済","不支給"),IF($AE2746="","要確認",IF($AE2746=0,"不支給","未処理")))))</f>
        <v/>
      </c>
      <c r="AG2746" s="12" t="n"/>
      <c r="AH2746" s="11" t="n"/>
      <c r="AI2746" s="11" t="n"/>
      <c r="AJ2746" s="11" t="n"/>
      <c r="AK2746" s="14">
        <f>IF(AND($AF2746="保留中",$AH2746&lt;&gt;""),TODAY()-$AH2746,"")</f>
        <v/>
      </c>
      <c r="AL2746" s="12" t="n"/>
      <c r="AM2746" s="14">
        <f>IF($B2746="","",IF($AQ2746="","対象年月が未入力／","")&amp;IF($B2746="","",IF($AP2746="","職員マスタに未登録の職員番号／",IF($AA2746="","標準報酬月額が未登録／","")&amp;IF(AND($AQ2746&lt;&gt;"",OR(AND(INDEX(職員マスタ!$G$6:$G$405,$AP2746)&lt;&gt;"",INDEX(職員マスタ!$G$6:$G$405,$AP2746)&gt;EOMONTH($AQ2746,0)),AND(INDEX(職員マスタ!$H$6:$H$405,$AP2746)&lt;&gt;"",INDEX(職員マスタ!$H$6:$H$405,$AP2746)&lt;$AQ2746))),"対象月が時短期間外／","")&amp;IF(AND(INDEX(職員マスタ!$K$6:$K$405,$AP2746)&lt;&gt;"",N($W2746)&gt;0,INDEX(職員マスタ!$K$6:$K$405,$AP2746)&lt;&gt;$W2746),"標準報酬月額が申請書と相違（台帳"&amp;TEXT(INDEX(職員マスタ!$K$6:$K$405,$AP2746),"#,##0")&amp;"円／申請書"&amp;TEXT($W2746,"#,##0")&amp;"円）／","")&amp;IF(AND(INDEX(職員マスタ!$F$6:$F$405,$AP2746)&lt;&gt;"",$AQ2746&lt;&gt;"",INDEX(職員マスタ!$F$6:$F$405,$AP2746)&lt;$AQ2746),"対象月に子が2歳到達済／","")&amp;IF(AND($H2746&lt;&gt;"",INDEX(職員マスタ!$B$6:$B$405,$AP2746)&lt;&gt;"",SUBSTITUTE(SUBSTITUTE($H2746," ","")," ","")&lt;&gt;SUBSTITUTE(SUBSTITUTE(INDEX(職員マスタ!$B$6:$B$405,$AP2746)," ","")," ","")),"氏名がマスタと相違／","")&amp;IF(AND($Q2746&lt;&gt;"",INDEX(職員マスタ!$E$6:$E$405,$AP2746)&lt;&gt;"",$Q2746&lt;&gt;INDEX(職員マスタ!$E$6:$E$405,$AP2746)),"子の生年月日がマスタと相違／","")&amp;IF(AND($L2746&lt;&gt;"",INDEX(職員マスタ!$G$6:$G$405,$AP2746)&lt;&gt;"",$L2746&lt;&gt;INDEX(職員マスタ!$G$6:$G$405,$AP2746)),"時短開始日がマスタと相違／","")&amp;IF(AND($M2746&lt;&gt;"",INDEX(職員マスタ!$H$6:$H$405,$AP2746)&lt;&gt;"",$M2746&lt;&gt;INDEX(職員マスタ!$H$6:$H$405,$AP2746)),"時短終了日がマスタと相違／","")))&amp;IF(AND($B2746&lt;&gt;"",$E2746=""),"報酬額が未入力／","")&amp;IF(N($U2746)&gt;0,"申請書に入力エラーが残っています／","")&amp;IF(AND($B2746&lt;&gt;"",$AQ2746&lt;&gt;""),IF(COUNTIFS($B$6:$B$3005,$B2746,$C$6:$C$3005,$C2746,$D$6:$D$3005,$D2746)&gt;1,"同じ月の請求が重複しています／",""),"")&amp;IF(AND(N($E2746)&gt;0,$AB2746&lt;&gt;"",$AB2746&lt;&gt;"×",$AE2746=0,$AD2746=""),"計算額が下限以下のため不支給／",""))</f>
        <v/>
      </c>
      <c r="AN2746" s="12" t="n"/>
      <c r="AO2746" s="14">
        <f>IF($AF2746="保留中",COUNTIF($AF$6:$AF2746,"保留中"),"")</f>
        <v/>
      </c>
      <c r="AP2746" s="14">
        <f>IF($AQ2746="","",IF(SUMPRODUCT(MAX((職員マスタ!$A$6:$A$405=$B2746)*(((職員マスタ!$G$6:$G$405="")+(職員マスタ!$G$6:$G$405&lt;=EOMONTH($AQ2746,0)))&gt;0)*(((職員マスタ!$H$6:$H$405="")+(職員マスタ!$H$6:$H$405&gt;=$AQ2746))&gt;0)*(ROW(職員マスタ!$A$6:$A$405)-5)))&gt;0,SUMPRODUCT(MAX((職員マスタ!$A$6:$A$405=$B2746)*(((職員マスタ!$G$6:$G$405="")+(職員マスタ!$G$6:$G$405&lt;=EOMONTH($AQ2746,0)))&gt;0)*(((職員マスタ!$H$6:$H$405="")+(職員マスタ!$H$6:$H$405&gt;=$AQ2746))&gt;0)*(ROW(職員マスタ!$A$6:$A$405)-5))),IFERROR(MATCH($B2746,職員マスタ!$A$6:$A$405,0),"")))</f>
        <v/>
      </c>
      <c r="AQ2746" s="16">
        <f>IF(OR($B2746="",$C2746="",$D2746=""),"",DATE($C2746+2018,$D2746,1))</f>
        <v/>
      </c>
    </row>
    <row r="2747">
      <c r="A2747" s="11" t="n"/>
      <c r="B2747" s="12" t="n"/>
      <c r="C2747" s="12" t="n"/>
      <c r="D2747" s="12" t="n"/>
      <c r="E2747" s="13" t="n"/>
      <c r="F2747" s="12" t="n"/>
      <c r="G2747" s="13" t="n"/>
      <c r="H2747" s="12" t="n"/>
      <c r="I2747" s="12" t="n"/>
      <c r="J2747" s="12" t="n"/>
      <c r="K2747" s="12" t="n"/>
      <c r="L2747" s="11" t="n"/>
      <c r="M2747" s="11" t="n"/>
      <c r="N2747" s="11" t="n"/>
      <c r="O2747" s="11" t="n"/>
      <c r="P2747" s="12" t="n"/>
      <c r="Q2747" s="11" t="n"/>
      <c r="R2747" s="12" t="n"/>
      <c r="S2747" s="11" t="n"/>
      <c r="T2747" s="12" t="n"/>
      <c r="U2747" s="12" t="n"/>
      <c r="V2747" s="12" t="n"/>
      <c r="W2747" s="13" t="n"/>
      <c r="X2747" s="14">
        <f>IF($AP2747="",IF($B2747="","",$H2747),IF(INDEX(職員マスタ!$B$6:$B$405,$AP2747)="",$H2747,INDEX(職員マスタ!$B$6:$B$405,$AP2747)))</f>
        <v/>
      </c>
      <c r="Y2747" s="14">
        <f>IF($AP2747="",IF($B2747="","",$R2747),IF(INDEX(職員マスタ!$C$6:$C$405,$AP2747)="",$R2747,INDEX(職員マスタ!$C$6:$C$405,$AP2747)))</f>
        <v/>
      </c>
      <c r="Z2747" s="14">
        <f>IF($AQ2747="","","R"&amp;$C2747&amp;"."&amp;$D2747)</f>
        <v/>
      </c>
      <c r="AA2747" s="15">
        <f>IF(IF($AP2747="",FALSE,INDEX(職員マスタ!$K$6:$K$405,$AP2747)&lt;&gt;""),INDEX(職員マスタ!$K$6:$K$405,$AP2747),IF(N($W2747)&gt;0,$W2747,""))</f>
        <v/>
      </c>
      <c r="AB2747" s="14">
        <f>IF(OR($E2747="",$AA2747=""),"",IF($E2747&gt;=$AA2747,"×",IF($E2747&gt;=$AA2747*設定!$C$5,"△","○")))</f>
        <v/>
      </c>
      <c r="AC2747" s="15">
        <f>IF($AB2747="","",IF($AB2747="×",0,IF($AB2747="○",ROUNDDOWN($E2747*設定!$C$4,0),ROUNDDOWN($E2747*ROUND((9*$AA2747-9*$E2747)/(10*$E2747),4),0))))</f>
        <v/>
      </c>
      <c r="AD2747" s="13" t="n"/>
      <c r="AE2747" s="15">
        <f>IF($B2747="","",IF($AD2747&lt;&gt;"",$AD2747,IF($AC2747="","",IF($AC2747&lt;=設定!$C$3,0,$AC2747))))</f>
        <v/>
      </c>
      <c r="AF2747" s="14">
        <f>IF($B2747="","",IF(AND($AG2747&lt;&gt;"",$AI2747="",$AL2747=""),"保留中",IF($AL2747&lt;&gt;"",IF(N($AE2747)&gt;0,"支給済","不支給"),IF($AE2747="","要確認",IF($AE2747=0,"不支給","未処理")))))</f>
        <v/>
      </c>
      <c r="AG2747" s="12" t="n"/>
      <c r="AH2747" s="11" t="n"/>
      <c r="AI2747" s="11" t="n"/>
      <c r="AJ2747" s="11" t="n"/>
      <c r="AK2747" s="14">
        <f>IF(AND($AF2747="保留中",$AH2747&lt;&gt;""),TODAY()-$AH2747,"")</f>
        <v/>
      </c>
      <c r="AL2747" s="12" t="n"/>
      <c r="AM2747" s="14">
        <f>IF($B2747="","",IF($AQ2747="","対象年月が未入力／","")&amp;IF($B2747="","",IF($AP2747="","職員マスタに未登録の職員番号／",IF($AA2747="","標準報酬月額が未登録／","")&amp;IF(AND($AQ2747&lt;&gt;"",OR(AND(INDEX(職員マスタ!$G$6:$G$405,$AP2747)&lt;&gt;"",INDEX(職員マスタ!$G$6:$G$405,$AP2747)&gt;EOMONTH($AQ2747,0)),AND(INDEX(職員マスタ!$H$6:$H$405,$AP2747)&lt;&gt;"",INDEX(職員マスタ!$H$6:$H$405,$AP2747)&lt;$AQ2747))),"対象月が時短期間外／","")&amp;IF(AND(INDEX(職員マスタ!$K$6:$K$405,$AP2747)&lt;&gt;"",N($W2747)&gt;0,INDEX(職員マスタ!$K$6:$K$405,$AP2747)&lt;&gt;$W2747),"標準報酬月額が申請書と相違（台帳"&amp;TEXT(INDEX(職員マスタ!$K$6:$K$405,$AP2747),"#,##0")&amp;"円／申請書"&amp;TEXT($W2747,"#,##0")&amp;"円）／","")&amp;IF(AND(INDEX(職員マスタ!$F$6:$F$405,$AP2747)&lt;&gt;"",$AQ2747&lt;&gt;"",INDEX(職員マスタ!$F$6:$F$405,$AP2747)&lt;$AQ2747),"対象月に子が2歳到達済／","")&amp;IF(AND($H2747&lt;&gt;"",INDEX(職員マスタ!$B$6:$B$405,$AP2747)&lt;&gt;"",SUBSTITUTE(SUBSTITUTE($H2747," ","")," ","")&lt;&gt;SUBSTITUTE(SUBSTITUTE(INDEX(職員マスタ!$B$6:$B$405,$AP2747)," ","")," ","")),"氏名がマスタと相違／","")&amp;IF(AND($Q2747&lt;&gt;"",INDEX(職員マスタ!$E$6:$E$405,$AP2747)&lt;&gt;"",$Q2747&lt;&gt;INDEX(職員マスタ!$E$6:$E$405,$AP2747)),"子の生年月日がマスタと相違／","")&amp;IF(AND($L2747&lt;&gt;"",INDEX(職員マスタ!$G$6:$G$405,$AP2747)&lt;&gt;"",$L2747&lt;&gt;INDEX(職員マスタ!$G$6:$G$405,$AP2747)),"時短開始日がマスタと相違／","")&amp;IF(AND($M2747&lt;&gt;"",INDEX(職員マスタ!$H$6:$H$405,$AP2747)&lt;&gt;"",$M2747&lt;&gt;INDEX(職員マスタ!$H$6:$H$405,$AP2747)),"時短終了日がマスタと相違／","")))&amp;IF(AND($B2747&lt;&gt;"",$E2747=""),"報酬額が未入力／","")&amp;IF(N($U2747)&gt;0,"申請書に入力エラーが残っています／","")&amp;IF(AND($B2747&lt;&gt;"",$AQ2747&lt;&gt;""),IF(COUNTIFS($B$6:$B$3005,$B2747,$C$6:$C$3005,$C2747,$D$6:$D$3005,$D2747)&gt;1,"同じ月の請求が重複しています／",""),"")&amp;IF(AND(N($E2747)&gt;0,$AB2747&lt;&gt;"",$AB2747&lt;&gt;"×",$AE2747=0,$AD2747=""),"計算額が下限以下のため不支給／",""))</f>
        <v/>
      </c>
      <c r="AN2747" s="12" t="n"/>
      <c r="AO2747" s="14">
        <f>IF($AF2747="保留中",COUNTIF($AF$6:$AF2747,"保留中"),"")</f>
        <v/>
      </c>
      <c r="AP2747" s="14">
        <f>IF($AQ2747="","",IF(SUMPRODUCT(MAX((職員マスタ!$A$6:$A$405=$B2747)*(((職員マスタ!$G$6:$G$405="")+(職員マスタ!$G$6:$G$405&lt;=EOMONTH($AQ2747,0)))&gt;0)*(((職員マスタ!$H$6:$H$405="")+(職員マスタ!$H$6:$H$405&gt;=$AQ2747))&gt;0)*(ROW(職員マスタ!$A$6:$A$405)-5)))&gt;0,SUMPRODUCT(MAX((職員マスタ!$A$6:$A$405=$B2747)*(((職員マスタ!$G$6:$G$405="")+(職員マスタ!$G$6:$G$405&lt;=EOMONTH($AQ2747,0)))&gt;0)*(((職員マスタ!$H$6:$H$405="")+(職員マスタ!$H$6:$H$405&gt;=$AQ2747))&gt;0)*(ROW(職員マスタ!$A$6:$A$405)-5))),IFERROR(MATCH($B2747,職員マスタ!$A$6:$A$405,0),"")))</f>
        <v/>
      </c>
      <c r="AQ2747" s="16">
        <f>IF(OR($B2747="",$C2747="",$D2747=""),"",DATE($C2747+2018,$D2747,1))</f>
        <v/>
      </c>
    </row>
    <row r="2748">
      <c r="A2748" s="11" t="n"/>
      <c r="B2748" s="12" t="n"/>
      <c r="C2748" s="12" t="n"/>
      <c r="D2748" s="12" t="n"/>
      <c r="E2748" s="13" t="n"/>
      <c r="F2748" s="12" t="n"/>
      <c r="G2748" s="13" t="n"/>
      <c r="H2748" s="12" t="n"/>
      <c r="I2748" s="12" t="n"/>
      <c r="J2748" s="12" t="n"/>
      <c r="K2748" s="12" t="n"/>
      <c r="L2748" s="11" t="n"/>
      <c r="M2748" s="11" t="n"/>
      <c r="N2748" s="11" t="n"/>
      <c r="O2748" s="11" t="n"/>
      <c r="P2748" s="12" t="n"/>
      <c r="Q2748" s="11" t="n"/>
      <c r="R2748" s="12" t="n"/>
      <c r="S2748" s="11" t="n"/>
      <c r="T2748" s="12" t="n"/>
      <c r="U2748" s="12" t="n"/>
      <c r="V2748" s="12" t="n"/>
      <c r="W2748" s="13" t="n"/>
      <c r="X2748" s="14">
        <f>IF($AP2748="",IF($B2748="","",$H2748),IF(INDEX(職員マスタ!$B$6:$B$405,$AP2748)="",$H2748,INDEX(職員マスタ!$B$6:$B$405,$AP2748)))</f>
        <v/>
      </c>
      <c r="Y2748" s="14">
        <f>IF($AP2748="",IF($B2748="","",$R2748),IF(INDEX(職員マスタ!$C$6:$C$405,$AP2748)="",$R2748,INDEX(職員マスタ!$C$6:$C$405,$AP2748)))</f>
        <v/>
      </c>
      <c r="Z2748" s="14">
        <f>IF($AQ2748="","","R"&amp;$C2748&amp;"."&amp;$D2748)</f>
        <v/>
      </c>
      <c r="AA2748" s="15">
        <f>IF(IF($AP2748="",FALSE,INDEX(職員マスタ!$K$6:$K$405,$AP2748)&lt;&gt;""),INDEX(職員マスタ!$K$6:$K$405,$AP2748),IF(N($W2748)&gt;0,$W2748,""))</f>
        <v/>
      </c>
      <c r="AB2748" s="14">
        <f>IF(OR($E2748="",$AA2748=""),"",IF($E2748&gt;=$AA2748,"×",IF($E2748&gt;=$AA2748*設定!$C$5,"△","○")))</f>
        <v/>
      </c>
      <c r="AC2748" s="15">
        <f>IF($AB2748="","",IF($AB2748="×",0,IF($AB2748="○",ROUNDDOWN($E2748*設定!$C$4,0),ROUNDDOWN($E2748*ROUND((9*$AA2748-9*$E2748)/(10*$E2748),4),0))))</f>
        <v/>
      </c>
      <c r="AD2748" s="13" t="n"/>
      <c r="AE2748" s="15">
        <f>IF($B2748="","",IF($AD2748&lt;&gt;"",$AD2748,IF($AC2748="","",IF($AC2748&lt;=設定!$C$3,0,$AC2748))))</f>
        <v/>
      </c>
      <c r="AF2748" s="14">
        <f>IF($B2748="","",IF(AND($AG2748&lt;&gt;"",$AI2748="",$AL2748=""),"保留中",IF($AL2748&lt;&gt;"",IF(N($AE2748)&gt;0,"支給済","不支給"),IF($AE2748="","要確認",IF($AE2748=0,"不支給","未処理")))))</f>
        <v/>
      </c>
      <c r="AG2748" s="12" t="n"/>
      <c r="AH2748" s="11" t="n"/>
      <c r="AI2748" s="11" t="n"/>
      <c r="AJ2748" s="11" t="n"/>
      <c r="AK2748" s="14">
        <f>IF(AND($AF2748="保留中",$AH2748&lt;&gt;""),TODAY()-$AH2748,"")</f>
        <v/>
      </c>
      <c r="AL2748" s="12" t="n"/>
      <c r="AM2748" s="14">
        <f>IF($B2748="","",IF($AQ2748="","対象年月が未入力／","")&amp;IF($B2748="","",IF($AP2748="","職員マスタに未登録の職員番号／",IF($AA2748="","標準報酬月額が未登録／","")&amp;IF(AND($AQ2748&lt;&gt;"",OR(AND(INDEX(職員マスタ!$G$6:$G$405,$AP2748)&lt;&gt;"",INDEX(職員マスタ!$G$6:$G$405,$AP2748)&gt;EOMONTH($AQ2748,0)),AND(INDEX(職員マスタ!$H$6:$H$405,$AP2748)&lt;&gt;"",INDEX(職員マスタ!$H$6:$H$405,$AP2748)&lt;$AQ2748))),"対象月が時短期間外／","")&amp;IF(AND(INDEX(職員マスタ!$K$6:$K$405,$AP2748)&lt;&gt;"",N($W2748)&gt;0,INDEX(職員マスタ!$K$6:$K$405,$AP2748)&lt;&gt;$W2748),"標準報酬月額が申請書と相違（台帳"&amp;TEXT(INDEX(職員マスタ!$K$6:$K$405,$AP2748),"#,##0")&amp;"円／申請書"&amp;TEXT($W2748,"#,##0")&amp;"円）／","")&amp;IF(AND(INDEX(職員マスタ!$F$6:$F$405,$AP2748)&lt;&gt;"",$AQ2748&lt;&gt;"",INDEX(職員マスタ!$F$6:$F$405,$AP2748)&lt;$AQ2748),"対象月に子が2歳到達済／","")&amp;IF(AND($H2748&lt;&gt;"",INDEX(職員マスタ!$B$6:$B$405,$AP2748)&lt;&gt;"",SUBSTITUTE(SUBSTITUTE($H2748," ","")," ","")&lt;&gt;SUBSTITUTE(SUBSTITUTE(INDEX(職員マスタ!$B$6:$B$405,$AP2748)," ","")," ","")),"氏名がマスタと相違／","")&amp;IF(AND($Q2748&lt;&gt;"",INDEX(職員マスタ!$E$6:$E$405,$AP2748)&lt;&gt;"",$Q2748&lt;&gt;INDEX(職員マスタ!$E$6:$E$405,$AP2748)),"子の生年月日がマスタと相違／","")&amp;IF(AND($L2748&lt;&gt;"",INDEX(職員マスタ!$G$6:$G$405,$AP2748)&lt;&gt;"",$L2748&lt;&gt;INDEX(職員マスタ!$G$6:$G$405,$AP2748)),"時短開始日がマスタと相違／","")&amp;IF(AND($M2748&lt;&gt;"",INDEX(職員マスタ!$H$6:$H$405,$AP2748)&lt;&gt;"",$M2748&lt;&gt;INDEX(職員マスタ!$H$6:$H$405,$AP2748)),"時短終了日がマスタと相違／","")))&amp;IF(AND($B2748&lt;&gt;"",$E2748=""),"報酬額が未入力／","")&amp;IF(N($U2748)&gt;0,"申請書に入力エラーが残っています／","")&amp;IF(AND($B2748&lt;&gt;"",$AQ2748&lt;&gt;""),IF(COUNTIFS($B$6:$B$3005,$B2748,$C$6:$C$3005,$C2748,$D$6:$D$3005,$D2748)&gt;1,"同じ月の請求が重複しています／",""),"")&amp;IF(AND(N($E2748)&gt;0,$AB2748&lt;&gt;"",$AB2748&lt;&gt;"×",$AE2748=0,$AD2748=""),"計算額が下限以下のため不支給／",""))</f>
        <v/>
      </c>
      <c r="AN2748" s="12" t="n"/>
      <c r="AO2748" s="14">
        <f>IF($AF2748="保留中",COUNTIF($AF$6:$AF2748,"保留中"),"")</f>
        <v/>
      </c>
      <c r="AP2748" s="14">
        <f>IF($AQ2748="","",IF(SUMPRODUCT(MAX((職員マスタ!$A$6:$A$405=$B2748)*(((職員マスタ!$G$6:$G$405="")+(職員マスタ!$G$6:$G$405&lt;=EOMONTH($AQ2748,0)))&gt;0)*(((職員マスタ!$H$6:$H$405="")+(職員マスタ!$H$6:$H$405&gt;=$AQ2748))&gt;0)*(ROW(職員マスタ!$A$6:$A$405)-5)))&gt;0,SUMPRODUCT(MAX((職員マスタ!$A$6:$A$405=$B2748)*(((職員マスタ!$G$6:$G$405="")+(職員マスタ!$G$6:$G$405&lt;=EOMONTH($AQ2748,0)))&gt;0)*(((職員マスタ!$H$6:$H$405="")+(職員マスタ!$H$6:$H$405&gt;=$AQ2748))&gt;0)*(ROW(職員マスタ!$A$6:$A$405)-5))),IFERROR(MATCH($B2748,職員マスタ!$A$6:$A$405,0),"")))</f>
        <v/>
      </c>
      <c r="AQ2748" s="16">
        <f>IF(OR($B2748="",$C2748="",$D2748=""),"",DATE($C2748+2018,$D2748,1))</f>
        <v/>
      </c>
    </row>
    <row r="2749">
      <c r="A2749" s="11" t="n"/>
      <c r="B2749" s="12" t="n"/>
      <c r="C2749" s="12" t="n"/>
      <c r="D2749" s="12" t="n"/>
      <c r="E2749" s="13" t="n"/>
      <c r="F2749" s="12" t="n"/>
      <c r="G2749" s="13" t="n"/>
      <c r="H2749" s="12" t="n"/>
      <c r="I2749" s="12" t="n"/>
      <c r="J2749" s="12" t="n"/>
      <c r="K2749" s="12" t="n"/>
      <c r="L2749" s="11" t="n"/>
      <c r="M2749" s="11" t="n"/>
      <c r="N2749" s="11" t="n"/>
      <c r="O2749" s="11" t="n"/>
      <c r="P2749" s="12" t="n"/>
      <c r="Q2749" s="11" t="n"/>
      <c r="R2749" s="12" t="n"/>
      <c r="S2749" s="11" t="n"/>
      <c r="T2749" s="12" t="n"/>
      <c r="U2749" s="12" t="n"/>
      <c r="V2749" s="12" t="n"/>
      <c r="W2749" s="13" t="n"/>
      <c r="X2749" s="14">
        <f>IF($AP2749="",IF($B2749="","",$H2749),IF(INDEX(職員マスタ!$B$6:$B$405,$AP2749)="",$H2749,INDEX(職員マスタ!$B$6:$B$405,$AP2749)))</f>
        <v/>
      </c>
      <c r="Y2749" s="14">
        <f>IF($AP2749="",IF($B2749="","",$R2749),IF(INDEX(職員マスタ!$C$6:$C$405,$AP2749)="",$R2749,INDEX(職員マスタ!$C$6:$C$405,$AP2749)))</f>
        <v/>
      </c>
      <c r="Z2749" s="14">
        <f>IF($AQ2749="","","R"&amp;$C2749&amp;"."&amp;$D2749)</f>
        <v/>
      </c>
      <c r="AA2749" s="15">
        <f>IF(IF($AP2749="",FALSE,INDEX(職員マスタ!$K$6:$K$405,$AP2749)&lt;&gt;""),INDEX(職員マスタ!$K$6:$K$405,$AP2749),IF(N($W2749)&gt;0,$W2749,""))</f>
        <v/>
      </c>
      <c r="AB2749" s="14">
        <f>IF(OR($E2749="",$AA2749=""),"",IF($E2749&gt;=$AA2749,"×",IF($E2749&gt;=$AA2749*設定!$C$5,"△","○")))</f>
        <v/>
      </c>
      <c r="AC2749" s="15">
        <f>IF($AB2749="","",IF($AB2749="×",0,IF($AB2749="○",ROUNDDOWN($E2749*設定!$C$4,0),ROUNDDOWN($E2749*ROUND((9*$AA2749-9*$E2749)/(10*$E2749),4),0))))</f>
        <v/>
      </c>
      <c r="AD2749" s="13" t="n"/>
      <c r="AE2749" s="15">
        <f>IF($B2749="","",IF($AD2749&lt;&gt;"",$AD2749,IF($AC2749="","",IF($AC2749&lt;=設定!$C$3,0,$AC2749))))</f>
        <v/>
      </c>
      <c r="AF2749" s="14">
        <f>IF($B2749="","",IF(AND($AG2749&lt;&gt;"",$AI2749="",$AL2749=""),"保留中",IF($AL2749&lt;&gt;"",IF(N($AE2749)&gt;0,"支給済","不支給"),IF($AE2749="","要確認",IF($AE2749=0,"不支給","未処理")))))</f>
        <v/>
      </c>
      <c r="AG2749" s="12" t="n"/>
      <c r="AH2749" s="11" t="n"/>
      <c r="AI2749" s="11" t="n"/>
      <c r="AJ2749" s="11" t="n"/>
      <c r="AK2749" s="14">
        <f>IF(AND($AF2749="保留中",$AH2749&lt;&gt;""),TODAY()-$AH2749,"")</f>
        <v/>
      </c>
      <c r="AL2749" s="12" t="n"/>
      <c r="AM2749" s="14">
        <f>IF($B2749="","",IF($AQ2749="","対象年月が未入力／","")&amp;IF($B2749="","",IF($AP2749="","職員マスタに未登録の職員番号／",IF($AA2749="","標準報酬月額が未登録／","")&amp;IF(AND($AQ2749&lt;&gt;"",OR(AND(INDEX(職員マスタ!$G$6:$G$405,$AP2749)&lt;&gt;"",INDEX(職員マスタ!$G$6:$G$405,$AP2749)&gt;EOMONTH($AQ2749,0)),AND(INDEX(職員マスタ!$H$6:$H$405,$AP2749)&lt;&gt;"",INDEX(職員マスタ!$H$6:$H$405,$AP2749)&lt;$AQ2749))),"対象月が時短期間外／","")&amp;IF(AND(INDEX(職員マスタ!$K$6:$K$405,$AP2749)&lt;&gt;"",N($W2749)&gt;0,INDEX(職員マスタ!$K$6:$K$405,$AP2749)&lt;&gt;$W2749),"標準報酬月額が申請書と相違（台帳"&amp;TEXT(INDEX(職員マスタ!$K$6:$K$405,$AP2749),"#,##0")&amp;"円／申請書"&amp;TEXT($W2749,"#,##0")&amp;"円）／","")&amp;IF(AND(INDEX(職員マスタ!$F$6:$F$405,$AP2749)&lt;&gt;"",$AQ2749&lt;&gt;"",INDEX(職員マスタ!$F$6:$F$405,$AP2749)&lt;$AQ2749),"対象月に子が2歳到達済／","")&amp;IF(AND($H2749&lt;&gt;"",INDEX(職員マスタ!$B$6:$B$405,$AP2749)&lt;&gt;"",SUBSTITUTE(SUBSTITUTE($H2749," ","")," ","")&lt;&gt;SUBSTITUTE(SUBSTITUTE(INDEX(職員マスタ!$B$6:$B$405,$AP2749)," ","")," ","")),"氏名がマスタと相違／","")&amp;IF(AND($Q2749&lt;&gt;"",INDEX(職員マスタ!$E$6:$E$405,$AP2749)&lt;&gt;"",$Q2749&lt;&gt;INDEX(職員マスタ!$E$6:$E$405,$AP2749)),"子の生年月日がマスタと相違／","")&amp;IF(AND($L2749&lt;&gt;"",INDEX(職員マスタ!$G$6:$G$405,$AP2749)&lt;&gt;"",$L2749&lt;&gt;INDEX(職員マスタ!$G$6:$G$405,$AP2749)),"時短開始日がマスタと相違／","")&amp;IF(AND($M2749&lt;&gt;"",INDEX(職員マスタ!$H$6:$H$405,$AP2749)&lt;&gt;"",$M2749&lt;&gt;INDEX(職員マスタ!$H$6:$H$405,$AP2749)),"時短終了日がマスタと相違／","")))&amp;IF(AND($B2749&lt;&gt;"",$E2749=""),"報酬額が未入力／","")&amp;IF(N($U2749)&gt;0,"申請書に入力エラーが残っています／","")&amp;IF(AND($B2749&lt;&gt;"",$AQ2749&lt;&gt;""),IF(COUNTIFS($B$6:$B$3005,$B2749,$C$6:$C$3005,$C2749,$D$6:$D$3005,$D2749)&gt;1,"同じ月の請求が重複しています／",""),"")&amp;IF(AND(N($E2749)&gt;0,$AB2749&lt;&gt;"",$AB2749&lt;&gt;"×",$AE2749=0,$AD2749=""),"計算額が下限以下のため不支給／",""))</f>
        <v/>
      </c>
      <c r="AN2749" s="12" t="n"/>
      <c r="AO2749" s="14">
        <f>IF($AF2749="保留中",COUNTIF($AF$6:$AF2749,"保留中"),"")</f>
        <v/>
      </c>
      <c r="AP2749" s="14">
        <f>IF($AQ2749="","",IF(SUMPRODUCT(MAX((職員マスタ!$A$6:$A$405=$B2749)*(((職員マスタ!$G$6:$G$405="")+(職員マスタ!$G$6:$G$405&lt;=EOMONTH($AQ2749,0)))&gt;0)*(((職員マスタ!$H$6:$H$405="")+(職員マスタ!$H$6:$H$405&gt;=$AQ2749))&gt;0)*(ROW(職員マスタ!$A$6:$A$405)-5)))&gt;0,SUMPRODUCT(MAX((職員マスタ!$A$6:$A$405=$B2749)*(((職員マスタ!$G$6:$G$405="")+(職員マスタ!$G$6:$G$405&lt;=EOMONTH($AQ2749,0)))&gt;0)*(((職員マスタ!$H$6:$H$405="")+(職員マスタ!$H$6:$H$405&gt;=$AQ2749))&gt;0)*(ROW(職員マスタ!$A$6:$A$405)-5))),IFERROR(MATCH($B2749,職員マスタ!$A$6:$A$405,0),"")))</f>
        <v/>
      </c>
      <c r="AQ2749" s="16">
        <f>IF(OR($B2749="",$C2749="",$D2749=""),"",DATE($C2749+2018,$D2749,1))</f>
        <v/>
      </c>
    </row>
    <row r="2750">
      <c r="A2750" s="11" t="n"/>
      <c r="B2750" s="12" t="n"/>
      <c r="C2750" s="12" t="n"/>
      <c r="D2750" s="12" t="n"/>
      <c r="E2750" s="13" t="n"/>
      <c r="F2750" s="12" t="n"/>
      <c r="G2750" s="13" t="n"/>
      <c r="H2750" s="12" t="n"/>
      <c r="I2750" s="12" t="n"/>
      <c r="J2750" s="12" t="n"/>
      <c r="K2750" s="12" t="n"/>
      <c r="L2750" s="11" t="n"/>
      <c r="M2750" s="11" t="n"/>
      <c r="N2750" s="11" t="n"/>
      <c r="O2750" s="11" t="n"/>
      <c r="P2750" s="12" t="n"/>
      <c r="Q2750" s="11" t="n"/>
      <c r="R2750" s="12" t="n"/>
      <c r="S2750" s="11" t="n"/>
      <c r="T2750" s="12" t="n"/>
      <c r="U2750" s="12" t="n"/>
      <c r="V2750" s="12" t="n"/>
      <c r="W2750" s="13" t="n"/>
      <c r="X2750" s="14">
        <f>IF($AP2750="",IF($B2750="","",$H2750),IF(INDEX(職員マスタ!$B$6:$B$405,$AP2750)="",$H2750,INDEX(職員マスタ!$B$6:$B$405,$AP2750)))</f>
        <v/>
      </c>
      <c r="Y2750" s="14">
        <f>IF($AP2750="",IF($B2750="","",$R2750),IF(INDEX(職員マスタ!$C$6:$C$405,$AP2750)="",$R2750,INDEX(職員マスタ!$C$6:$C$405,$AP2750)))</f>
        <v/>
      </c>
      <c r="Z2750" s="14">
        <f>IF($AQ2750="","","R"&amp;$C2750&amp;"."&amp;$D2750)</f>
        <v/>
      </c>
      <c r="AA2750" s="15">
        <f>IF(IF($AP2750="",FALSE,INDEX(職員マスタ!$K$6:$K$405,$AP2750)&lt;&gt;""),INDEX(職員マスタ!$K$6:$K$405,$AP2750),IF(N($W2750)&gt;0,$W2750,""))</f>
        <v/>
      </c>
      <c r="AB2750" s="14">
        <f>IF(OR($E2750="",$AA2750=""),"",IF($E2750&gt;=$AA2750,"×",IF($E2750&gt;=$AA2750*設定!$C$5,"△","○")))</f>
        <v/>
      </c>
      <c r="AC2750" s="15">
        <f>IF($AB2750="","",IF($AB2750="×",0,IF($AB2750="○",ROUNDDOWN($E2750*設定!$C$4,0),ROUNDDOWN($E2750*ROUND((9*$AA2750-9*$E2750)/(10*$E2750),4),0))))</f>
        <v/>
      </c>
      <c r="AD2750" s="13" t="n"/>
      <c r="AE2750" s="15">
        <f>IF($B2750="","",IF($AD2750&lt;&gt;"",$AD2750,IF($AC2750="","",IF($AC2750&lt;=設定!$C$3,0,$AC2750))))</f>
        <v/>
      </c>
      <c r="AF2750" s="14">
        <f>IF($B2750="","",IF(AND($AG2750&lt;&gt;"",$AI2750="",$AL2750=""),"保留中",IF($AL2750&lt;&gt;"",IF(N($AE2750)&gt;0,"支給済","不支給"),IF($AE2750="","要確認",IF($AE2750=0,"不支給","未処理")))))</f>
        <v/>
      </c>
      <c r="AG2750" s="12" t="n"/>
      <c r="AH2750" s="11" t="n"/>
      <c r="AI2750" s="11" t="n"/>
      <c r="AJ2750" s="11" t="n"/>
      <c r="AK2750" s="14">
        <f>IF(AND($AF2750="保留中",$AH2750&lt;&gt;""),TODAY()-$AH2750,"")</f>
        <v/>
      </c>
      <c r="AL2750" s="12" t="n"/>
      <c r="AM2750" s="14">
        <f>IF($B2750="","",IF($AQ2750="","対象年月が未入力／","")&amp;IF($B2750="","",IF($AP2750="","職員マスタに未登録の職員番号／",IF($AA2750="","標準報酬月額が未登録／","")&amp;IF(AND($AQ2750&lt;&gt;"",OR(AND(INDEX(職員マスタ!$G$6:$G$405,$AP2750)&lt;&gt;"",INDEX(職員マスタ!$G$6:$G$405,$AP2750)&gt;EOMONTH($AQ2750,0)),AND(INDEX(職員マスタ!$H$6:$H$405,$AP2750)&lt;&gt;"",INDEX(職員マスタ!$H$6:$H$405,$AP2750)&lt;$AQ2750))),"対象月が時短期間外／","")&amp;IF(AND(INDEX(職員マスタ!$K$6:$K$405,$AP2750)&lt;&gt;"",N($W2750)&gt;0,INDEX(職員マスタ!$K$6:$K$405,$AP2750)&lt;&gt;$W2750),"標準報酬月額が申請書と相違（台帳"&amp;TEXT(INDEX(職員マスタ!$K$6:$K$405,$AP2750),"#,##0")&amp;"円／申請書"&amp;TEXT($W2750,"#,##0")&amp;"円）／","")&amp;IF(AND(INDEX(職員マスタ!$F$6:$F$405,$AP2750)&lt;&gt;"",$AQ2750&lt;&gt;"",INDEX(職員マスタ!$F$6:$F$405,$AP2750)&lt;$AQ2750),"対象月に子が2歳到達済／","")&amp;IF(AND($H2750&lt;&gt;"",INDEX(職員マスタ!$B$6:$B$405,$AP2750)&lt;&gt;"",SUBSTITUTE(SUBSTITUTE($H2750," ","")," ","")&lt;&gt;SUBSTITUTE(SUBSTITUTE(INDEX(職員マスタ!$B$6:$B$405,$AP2750)," ","")," ","")),"氏名がマスタと相違／","")&amp;IF(AND($Q2750&lt;&gt;"",INDEX(職員マスタ!$E$6:$E$405,$AP2750)&lt;&gt;"",$Q2750&lt;&gt;INDEX(職員マスタ!$E$6:$E$405,$AP2750)),"子の生年月日がマスタと相違／","")&amp;IF(AND($L2750&lt;&gt;"",INDEX(職員マスタ!$G$6:$G$405,$AP2750)&lt;&gt;"",$L2750&lt;&gt;INDEX(職員マスタ!$G$6:$G$405,$AP2750)),"時短開始日がマスタと相違／","")&amp;IF(AND($M2750&lt;&gt;"",INDEX(職員マスタ!$H$6:$H$405,$AP2750)&lt;&gt;"",$M2750&lt;&gt;INDEX(職員マスタ!$H$6:$H$405,$AP2750)),"時短終了日がマスタと相違／","")))&amp;IF(AND($B2750&lt;&gt;"",$E2750=""),"報酬額が未入力／","")&amp;IF(N($U2750)&gt;0,"申請書に入力エラーが残っています／","")&amp;IF(AND($B2750&lt;&gt;"",$AQ2750&lt;&gt;""),IF(COUNTIFS($B$6:$B$3005,$B2750,$C$6:$C$3005,$C2750,$D$6:$D$3005,$D2750)&gt;1,"同じ月の請求が重複しています／",""),"")&amp;IF(AND(N($E2750)&gt;0,$AB2750&lt;&gt;"",$AB2750&lt;&gt;"×",$AE2750=0,$AD2750=""),"計算額が下限以下のため不支給／",""))</f>
        <v/>
      </c>
      <c r="AN2750" s="12" t="n"/>
      <c r="AO2750" s="14">
        <f>IF($AF2750="保留中",COUNTIF($AF$6:$AF2750,"保留中"),"")</f>
        <v/>
      </c>
      <c r="AP2750" s="14">
        <f>IF($AQ2750="","",IF(SUMPRODUCT(MAX((職員マスタ!$A$6:$A$405=$B2750)*(((職員マスタ!$G$6:$G$405="")+(職員マスタ!$G$6:$G$405&lt;=EOMONTH($AQ2750,0)))&gt;0)*(((職員マスタ!$H$6:$H$405="")+(職員マスタ!$H$6:$H$405&gt;=$AQ2750))&gt;0)*(ROW(職員マスタ!$A$6:$A$405)-5)))&gt;0,SUMPRODUCT(MAX((職員マスタ!$A$6:$A$405=$B2750)*(((職員マスタ!$G$6:$G$405="")+(職員マスタ!$G$6:$G$405&lt;=EOMONTH($AQ2750,0)))&gt;0)*(((職員マスタ!$H$6:$H$405="")+(職員マスタ!$H$6:$H$405&gt;=$AQ2750))&gt;0)*(ROW(職員マスタ!$A$6:$A$405)-5))),IFERROR(MATCH($B2750,職員マスタ!$A$6:$A$405,0),"")))</f>
        <v/>
      </c>
      <c r="AQ2750" s="16">
        <f>IF(OR($B2750="",$C2750="",$D2750=""),"",DATE($C2750+2018,$D2750,1))</f>
        <v/>
      </c>
    </row>
    <row r="2751">
      <c r="A2751" s="11" t="n"/>
      <c r="B2751" s="12" t="n"/>
      <c r="C2751" s="12" t="n"/>
      <c r="D2751" s="12" t="n"/>
      <c r="E2751" s="13" t="n"/>
      <c r="F2751" s="12" t="n"/>
      <c r="G2751" s="13" t="n"/>
      <c r="H2751" s="12" t="n"/>
      <c r="I2751" s="12" t="n"/>
      <c r="J2751" s="12" t="n"/>
      <c r="K2751" s="12" t="n"/>
      <c r="L2751" s="11" t="n"/>
      <c r="M2751" s="11" t="n"/>
      <c r="N2751" s="11" t="n"/>
      <c r="O2751" s="11" t="n"/>
      <c r="P2751" s="12" t="n"/>
      <c r="Q2751" s="11" t="n"/>
      <c r="R2751" s="12" t="n"/>
      <c r="S2751" s="11" t="n"/>
      <c r="T2751" s="12" t="n"/>
      <c r="U2751" s="12" t="n"/>
      <c r="V2751" s="12" t="n"/>
      <c r="W2751" s="13" t="n"/>
      <c r="X2751" s="14">
        <f>IF($AP2751="",IF($B2751="","",$H2751),IF(INDEX(職員マスタ!$B$6:$B$405,$AP2751)="",$H2751,INDEX(職員マスタ!$B$6:$B$405,$AP2751)))</f>
        <v/>
      </c>
      <c r="Y2751" s="14">
        <f>IF($AP2751="",IF($B2751="","",$R2751),IF(INDEX(職員マスタ!$C$6:$C$405,$AP2751)="",$R2751,INDEX(職員マスタ!$C$6:$C$405,$AP2751)))</f>
        <v/>
      </c>
      <c r="Z2751" s="14">
        <f>IF($AQ2751="","","R"&amp;$C2751&amp;"."&amp;$D2751)</f>
        <v/>
      </c>
      <c r="AA2751" s="15">
        <f>IF(IF($AP2751="",FALSE,INDEX(職員マスタ!$K$6:$K$405,$AP2751)&lt;&gt;""),INDEX(職員マスタ!$K$6:$K$405,$AP2751),IF(N($W2751)&gt;0,$W2751,""))</f>
        <v/>
      </c>
      <c r="AB2751" s="14">
        <f>IF(OR($E2751="",$AA2751=""),"",IF($E2751&gt;=$AA2751,"×",IF($E2751&gt;=$AA2751*設定!$C$5,"△","○")))</f>
        <v/>
      </c>
      <c r="AC2751" s="15">
        <f>IF($AB2751="","",IF($AB2751="×",0,IF($AB2751="○",ROUNDDOWN($E2751*設定!$C$4,0),ROUNDDOWN($E2751*ROUND((9*$AA2751-9*$E2751)/(10*$E2751),4),0))))</f>
        <v/>
      </c>
      <c r="AD2751" s="13" t="n"/>
      <c r="AE2751" s="15">
        <f>IF($B2751="","",IF($AD2751&lt;&gt;"",$AD2751,IF($AC2751="","",IF($AC2751&lt;=設定!$C$3,0,$AC2751))))</f>
        <v/>
      </c>
      <c r="AF2751" s="14">
        <f>IF($B2751="","",IF(AND($AG2751&lt;&gt;"",$AI2751="",$AL2751=""),"保留中",IF($AL2751&lt;&gt;"",IF(N($AE2751)&gt;0,"支給済","不支給"),IF($AE2751="","要確認",IF($AE2751=0,"不支給","未処理")))))</f>
        <v/>
      </c>
      <c r="AG2751" s="12" t="n"/>
      <c r="AH2751" s="11" t="n"/>
      <c r="AI2751" s="11" t="n"/>
      <c r="AJ2751" s="11" t="n"/>
      <c r="AK2751" s="14">
        <f>IF(AND($AF2751="保留中",$AH2751&lt;&gt;""),TODAY()-$AH2751,"")</f>
        <v/>
      </c>
      <c r="AL2751" s="12" t="n"/>
      <c r="AM2751" s="14">
        <f>IF($B2751="","",IF($AQ2751="","対象年月が未入力／","")&amp;IF($B2751="","",IF($AP2751="","職員マスタに未登録の職員番号／",IF($AA2751="","標準報酬月額が未登録／","")&amp;IF(AND($AQ2751&lt;&gt;"",OR(AND(INDEX(職員マスタ!$G$6:$G$405,$AP2751)&lt;&gt;"",INDEX(職員マスタ!$G$6:$G$405,$AP2751)&gt;EOMONTH($AQ2751,0)),AND(INDEX(職員マスタ!$H$6:$H$405,$AP2751)&lt;&gt;"",INDEX(職員マスタ!$H$6:$H$405,$AP2751)&lt;$AQ2751))),"対象月が時短期間外／","")&amp;IF(AND(INDEX(職員マスタ!$K$6:$K$405,$AP2751)&lt;&gt;"",N($W2751)&gt;0,INDEX(職員マスタ!$K$6:$K$405,$AP2751)&lt;&gt;$W2751),"標準報酬月額が申請書と相違（台帳"&amp;TEXT(INDEX(職員マスタ!$K$6:$K$405,$AP2751),"#,##0")&amp;"円／申請書"&amp;TEXT($W2751,"#,##0")&amp;"円）／","")&amp;IF(AND(INDEX(職員マスタ!$F$6:$F$405,$AP2751)&lt;&gt;"",$AQ2751&lt;&gt;"",INDEX(職員マスタ!$F$6:$F$405,$AP2751)&lt;$AQ2751),"対象月に子が2歳到達済／","")&amp;IF(AND($H2751&lt;&gt;"",INDEX(職員マスタ!$B$6:$B$405,$AP2751)&lt;&gt;"",SUBSTITUTE(SUBSTITUTE($H2751," ","")," ","")&lt;&gt;SUBSTITUTE(SUBSTITUTE(INDEX(職員マスタ!$B$6:$B$405,$AP2751)," ","")," ","")),"氏名がマスタと相違／","")&amp;IF(AND($Q2751&lt;&gt;"",INDEX(職員マスタ!$E$6:$E$405,$AP2751)&lt;&gt;"",$Q2751&lt;&gt;INDEX(職員マスタ!$E$6:$E$405,$AP2751)),"子の生年月日がマスタと相違／","")&amp;IF(AND($L2751&lt;&gt;"",INDEX(職員マスタ!$G$6:$G$405,$AP2751)&lt;&gt;"",$L2751&lt;&gt;INDEX(職員マスタ!$G$6:$G$405,$AP2751)),"時短開始日がマスタと相違／","")&amp;IF(AND($M2751&lt;&gt;"",INDEX(職員マスタ!$H$6:$H$405,$AP2751)&lt;&gt;"",$M2751&lt;&gt;INDEX(職員マスタ!$H$6:$H$405,$AP2751)),"時短終了日がマスタと相違／","")))&amp;IF(AND($B2751&lt;&gt;"",$E2751=""),"報酬額が未入力／","")&amp;IF(N($U2751)&gt;0,"申請書に入力エラーが残っています／","")&amp;IF(AND($B2751&lt;&gt;"",$AQ2751&lt;&gt;""),IF(COUNTIFS($B$6:$B$3005,$B2751,$C$6:$C$3005,$C2751,$D$6:$D$3005,$D2751)&gt;1,"同じ月の請求が重複しています／",""),"")&amp;IF(AND(N($E2751)&gt;0,$AB2751&lt;&gt;"",$AB2751&lt;&gt;"×",$AE2751=0,$AD2751=""),"計算額が下限以下のため不支給／",""))</f>
        <v/>
      </c>
      <c r="AN2751" s="12" t="n"/>
      <c r="AO2751" s="14">
        <f>IF($AF2751="保留中",COUNTIF($AF$6:$AF2751,"保留中"),"")</f>
        <v/>
      </c>
      <c r="AP2751" s="14">
        <f>IF($AQ2751="","",IF(SUMPRODUCT(MAX((職員マスタ!$A$6:$A$405=$B2751)*(((職員マスタ!$G$6:$G$405="")+(職員マスタ!$G$6:$G$405&lt;=EOMONTH($AQ2751,0)))&gt;0)*(((職員マスタ!$H$6:$H$405="")+(職員マスタ!$H$6:$H$405&gt;=$AQ2751))&gt;0)*(ROW(職員マスタ!$A$6:$A$405)-5)))&gt;0,SUMPRODUCT(MAX((職員マスタ!$A$6:$A$405=$B2751)*(((職員マスタ!$G$6:$G$405="")+(職員マスタ!$G$6:$G$405&lt;=EOMONTH($AQ2751,0)))&gt;0)*(((職員マスタ!$H$6:$H$405="")+(職員マスタ!$H$6:$H$405&gt;=$AQ2751))&gt;0)*(ROW(職員マスタ!$A$6:$A$405)-5))),IFERROR(MATCH($B2751,職員マスタ!$A$6:$A$405,0),"")))</f>
        <v/>
      </c>
      <c r="AQ2751" s="16">
        <f>IF(OR($B2751="",$C2751="",$D2751=""),"",DATE($C2751+2018,$D2751,1))</f>
        <v/>
      </c>
    </row>
    <row r="2752">
      <c r="A2752" s="11" t="n"/>
      <c r="B2752" s="12" t="n"/>
      <c r="C2752" s="12" t="n"/>
      <c r="D2752" s="12" t="n"/>
      <c r="E2752" s="13" t="n"/>
      <c r="F2752" s="12" t="n"/>
      <c r="G2752" s="13" t="n"/>
      <c r="H2752" s="12" t="n"/>
      <c r="I2752" s="12" t="n"/>
      <c r="J2752" s="12" t="n"/>
      <c r="K2752" s="12" t="n"/>
      <c r="L2752" s="11" t="n"/>
      <c r="M2752" s="11" t="n"/>
      <c r="N2752" s="11" t="n"/>
      <c r="O2752" s="11" t="n"/>
      <c r="P2752" s="12" t="n"/>
      <c r="Q2752" s="11" t="n"/>
      <c r="R2752" s="12" t="n"/>
      <c r="S2752" s="11" t="n"/>
      <c r="T2752" s="12" t="n"/>
      <c r="U2752" s="12" t="n"/>
      <c r="V2752" s="12" t="n"/>
      <c r="W2752" s="13" t="n"/>
      <c r="X2752" s="14">
        <f>IF($AP2752="",IF($B2752="","",$H2752),IF(INDEX(職員マスタ!$B$6:$B$405,$AP2752)="",$H2752,INDEX(職員マスタ!$B$6:$B$405,$AP2752)))</f>
        <v/>
      </c>
      <c r="Y2752" s="14">
        <f>IF($AP2752="",IF($B2752="","",$R2752),IF(INDEX(職員マスタ!$C$6:$C$405,$AP2752)="",$R2752,INDEX(職員マスタ!$C$6:$C$405,$AP2752)))</f>
        <v/>
      </c>
      <c r="Z2752" s="14">
        <f>IF($AQ2752="","","R"&amp;$C2752&amp;"."&amp;$D2752)</f>
        <v/>
      </c>
      <c r="AA2752" s="15">
        <f>IF(IF($AP2752="",FALSE,INDEX(職員マスタ!$K$6:$K$405,$AP2752)&lt;&gt;""),INDEX(職員マスタ!$K$6:$K$405,$AP2752),IF(N($W2752)&gt;0,$W2752,""))</f>
        <v/>
      </c>
      <c r="AB2752" s="14">
        <f>IF(OR($E2752="",$AA2752=""),"",IF($E2752&gt;=$AA2752,"×",IF($E2752&gt;=$AA2752*設定!$C$5,"△","○")))</f>
        <v/>
      </c>
      <c r="AC2752" s="15">
        <f>IF($AB2752="","",IF($AB2752="×",0,IF($AB2752="○",ROUNDDOWN($E2752*設定!$C$4,0),ROUNDDOWN($E2752*ROUND((9*$AA2752-9*$E2752)/(10*$E2752),4),0))))</f>
        <v/>
      </c>
      <c r="AD2752" s="13" t="n"/>
      <c r="AE2752" s="15">
        <f>IF($B2752="","",IF($AD2752&lt;&gt;"",$AD2752,IF($AC2752="","",IF($AC2752&lt;=設定!$C$3,0,$AC2752))))</f>
        <v/>
      </c>
      <c r="AF2752" s="14">
        <f>IF($B2752="","",IF(AND($AG2752&lt;&gt;"",$AI2752="",$AL2752=""),"保留中",IF($AL2752&lt;&gt;"",IF(N($AE2752)&gt;0,"支給済","不支給"),IF($AE2752="","要確認",IF($AE2752=0,"不支給","未処理")))))</f>
        <v/>
      </c>
      <c r="AG2752" s="12" t="n"/>
      <c r="AH2752" s="11" t="n"/>
      <c r="AI2752" s="11" t="n"/>
      <c r="AJ2752" s="11" t="n"/>
      <c r="AK2752" s="14">
        <f>IF(AND($AF2752="保留中",$AH2752&lt;&gt;""),TODAY()-$AH2752,"")</f>
        <v/>
      </c>
      <c r="AL2752" s="12" t="n"/>
      <c r="AM2752" s="14">
        <f>IF($B2752="","",IF($AQ2752="","対象年月が未入力／","")&amp;IF($B2752="","",IF($AP2752="","職員マスタに未登録の職員番号／",IF($AA2752="","標準報酬月額が未登録／","")&amp;IF(AND($AQ2752&lt;&gt;"",OR(AND(INDEX(職員マスタ!$G$6:$G$405,$AP2752)&lt;&gt;"",INDEX(職員マスタ!$G$6:$G$405,$AP2752)&gt;EOMONTH($AQ2752,0)),AND(INDEX(職員マスタ!$H$6:$H$405,$AP2752)&lt;&gt;"",INDEX(職員マスタ!$H$6:$H$405,$AP2752)&lt;$AQ2752))),"対象月が時短期間外／","")&amp;IF(AND(INDEX(職員マスタ!$K$6:$K$405,$AP2752)&lt;&gt;"",N($W2752)&gt;0,INDEX(職員マスタ!$K$6:$K$405,$AP2752)&lt;&gt;$W2752),"標準報酬月額が申請書と相違（台帳"&amp;TEXT(INDEX(職員マスタ!$K$6:$K$405,$AP2752),"#,##0")&amp;"円／申請書"&amp;TEXT($W2752,"#,##0")&amp;"円）／","")&amp;IF(AND(INDEX(職員マスタ!$F$6:$F$405,$AP2752)&lt;&gt;"",$AQ2752&lt;&gt;"",INDEX(職員マスタ!$F$6:$F$405,$AP2752)&lt;$AQ2752),"対象月に子が2歳到達済／","")&amp;IF(AND($H2752&lt;&gt;"",INDEX(職員マスタ!$B$6:$B$405,$AP2752)&lt;&gt;"",SUBSTITUTE(SUBSTITUTE($H2752," ","")," ","")&lt;&gt;SUBSTITUTE(SUBSTITUTE(INDEX(職員マスタ!$B$6:$B$405,$AP2752)," ","")," ","")),"氏名がマスタと相違／","")&amp;IF(AND($Q2752&lt;&gt;"",INDEX(職員マスタ!$E$6:$E$405,$AP2752)&lt;&gt;"",$Q2752&lt;&gt;INDEX(職員マスタ!$E$6:$E$405,$AP2752)),"子の生年月日がマスタと相違／","")&amp;IF(AND($L2752&lt;&gt;"",INDEX(職員マスタ!$G$6:$G$405,$AP2752)&lt;&gt;"",$L2752&lt;&gt;INDEX(職員マスタ!$G$6:$G$405,$AP2752)),"時短開始日がマスタと相違／","")&amp;IF(AND($M2752&lt;&gt;"",INDEX(職員マスタ!$H$6:$H$405,$AP2752)&lt;&gt;"",$M2752&lt;&gt;INDEX(職員マスタ!$H$6:$H$405,$AP2752)),"時短終了日がマスタと相違／","")))&amp;IF(AND($B2752&lt;&gt;"",$E2752=""),"報酬額が未入力／","")&amp;IF(N($U2752)&gt;0,"申請書に入力エラーが残っています／","")&amp;IF(AND($B2752&lt;&gt;"",$AQ2752&lt;&gt;""),IF(COUNTIFS($B$6:$B$3005,$B2752,$C$6:$C$3005,$C2752,$D$6:$D$3005,$D2752)&gt;1,"同じ月の請求が重複しています／",""),"")&amp;IF(AND(N($E2752)&gt;0,$AB2752&lt;&gt;"",$AB2752&lt;&gt;"×",$AE2752=0,$AD2752=""),"計算額が下限以下のため不支給／",""))</f>
        <v/>
      </c>
      <c r="AN2752" s="12" t="n"/>
      <c r="AO2752" s="14">
        <f>IF($AF2752="保留中",COUNTIF($AF$6:$AF2752,"保留中"),"")</f>
        <v/>
      </c>
      <c r="AP2752" s="14">
        <f>IF($AQ2752="","",IF(SUMPRODUCT(MAX((職員マスタ!$A$6:$A$405=$B2752)*(((職員マスタ!$G$6:$G$405="")+(職員マスタ!$G$6:$G$405&lt;=EOMONTH($AQ2752,0)))&gt;0)*(((職員マスタ!$H$6:$H$405="")+(職員マスタ!$H$6:$H$405&gt;=$AQ2752))&gt;0)*(ROW(職員マスタ!$A$6:$A$405)-5)))&gt;0,SUMPRODUCT(MAX((職員マスタ!$A$6:$A$405=$B2752)*(((職員マスタ!$G$6:$G$405="")+(職員マスタ!$G$6:$G$405&lt;=EOMONTH($AQ2752,0)))&gt;0)*(((職員マスタ!$H$6:$H$405="")+(職員マスタ!$H$6:$H$405&gt;=$AQ2752))&gt;0)*(ROW(職員マスタ!$A$6:$A$405)-5))),IFERROR(MATCH($B2752,職員マスタ!$A$6:$A$405,0),"")))</f>
        <v/>
      </c>
      <c r="AQ2752" s="16">
        <f>IF(OR($B2752="",$C2752="",$D2752=""),"",DATE($C2752+2018,$D2752,1))</f>
        <v/>
      </c>
    </row>
    <row r="2753">
      <c r="A2753" s="11" t="n"/>
      <c r="B2753" s="12" t="n"/>
      <c r="C2753" s="12" t="n"/>
      <c r="D2753" s="12" t="n"/>
      <c r="E2753" s="13" t="n"/>
      <c r="F2753" s="12" t="n"/>
      <c r="G2753" s="13" t="n"/>
      <c r="H2753" s="12" t="n"/>
      <c r="I2753" s="12" t="n"/>
      <c r="J2753" s="12" t="n"/>
      <c r="K2753" s="12" t="n"/>
      <c r="L2753" s="11" t="n"/>
      <c r="M2753" s="11" t="n"/>
      <c r="N2753" s="11" t="n"/>
      <c r="O2753" s="11" t="n"/>
      <c r="P2753" s="12" t="n"/>
      <c r="Q2753" s="11" t="n"/>
      <c r="R2753" s="12" t="n"/>
      <c r="S2753" s="11" t="n"/>
      <c r="T2753" s="12" t="n"/>
      <c r="U2753" s="12" t="n"/>
      <c r="V2753" s="12" t="n"/>
      <c r="W2753" s="13" t="n"/>
      <c r="X2753" s="14">
        <f>IF($AP2753="",IF($B2753="","",$H2753),IF(INDEX(職員マスタ!$B$6:$B$405,$AP2753)="",$H2753,INDEX(職員マスタ!$B$6:$B$405,$AP2753)))</f>
        <v/>
      </c>
      <c r="Y2753" s="14">
        <f>IF($AP2753="",IF($B2753="","",$R2753),IF(INDEX(職員マスタ!$C$6:$C$405,$AP2753)="",$R2753,INDEX(職員マスタ!$C$6:$C$405,$AP2753)))</f>
        <v/>
      </c>
      <c r="Z2753" s="14">
        <f>IF($AQ2753="","","R"&amp;$C2753&amp;"."&amp;$D2753)</f>
        <v/>
      </c>
      <c r="AA2753" s="15">
        <f>IF(IF($AP2753="",FALSE,INDEX(職員マスタ!$K$6:$K$405,$AP2753)&lt;&gt;""),INDEX(職員マスタ!$K$6:$K$405,$AP2753),IF(N($W2753)&gt;0,$W2753,""))</f>
        <v/>
      </c>
      <c r="AB2753" s="14">
        <f>IF(OR($E2753="",$AA2753=""),"",IF($E2753&gt;=$AA2753,"×",IF($E2753&gt;=$AA2753*設定!$C$5,"△","○")))</f>
        <v/>
      </c>
      <c r="AC2753" s="15">
        <f>IF($AB2753="","",IF($AB2753="×",0,IF($AB2753="○",ROUNDDOWN($E2753*設定!$C$4,0),ROUNDDOWN($E2753*ROUND((9*$AA2753-9*$E2753)/(10*$E2753),4),0))))</f>
        <v/>
      </c>
      <c r="AD2753" s="13" t="n"/>
      <c r="AE2753" s="15">
        <f>IF($B2753="","",IF($AD2753&lt;&gt;"",$AD2753,IF($AC2753="","",IF($AC2753&lt;=設定!$C$3,0,$AC2753))))</f>
        <v/>
      </c>
      <c r="AF2753" s="14">
        <f>IF($B2753="","",IF(AND($AG2753&lt;&gt;"",$AI2753="",$AL2753=""),"保留中",IF($AL2753&lt;&gt;"",IF(N($AE2753)&gt;0,"支給済","不支給"),IF($AE2753="","要確認",IF($AE2753=0,"不支給","未処理")))))</f>
        <v/>
      </c>
      <c r="AG2753" s="12" t="n"/>
      <c r="AH2753" s="11" t="n"/>
      <c r="AI2753" s="11" t="n"/>
      <c r="AJ2753" s="11" t="n"/>
      <c r="AK2753" s="14">
        <f>IF(AND($AF2753="保留中",$AH2753&lt;&gt;""),TODAY()-$AH2753,"")</f>
        <v/>
      </c>
      <c r="AL2753" s="12" t="n"/>
      <c r="AM2753" s="14">
        <f>IF($B2753="","",IF($AQ2753="","対象年月が未入力／","")&amp;IF($B2753="","",IF($AP2753="","職員マスタに未登録の職員番号／",IF($AA2753="","標準報酬月額が未登録／","")&amp;IF(AND($AQ2753&lt;&gt;"",OR(AND(INDEX(職員マスタ!$G$6:$G$405,$AP2753)&lt;&gt;"",INDEX(職員マスタ!$G$6:$G$405,$AP2753)&gt;EOMONTH($AQ2753,0)),AND(INDEX(職員マスタ!$H$6:$H$405,$AP2753)&lt;&gt;"",INDEX(職員マスタ!$H$6:$H$405,$AP2753)&lt;$AQ2753))),"対象月が時短期間外／","")&amp;IF(AND(INDEX(職員マスタ!$K$6:$K$405,$AP2753)&lt;&gt;"",N($W2753)&gt;0,INDEX(職員マスタ!$K$6:$K$405,$AP2753)&lt;&gt;$W2753),"標準報酬月額が申請書と相違（台帳"&amp;TEXT(INDEX(職員マスタ!$K$6:$K$405,$AP2753),"#,##0")&amp;"円／申請書"&amp;TEXT($W2753,"#,##0")&amp;"円）／","")&amp;IF(AND(INDEX(職員マスタ!$F$6:$F$405,$AP2753)&lt;&gt;"",$AQ2753&lt;&gt;"",INDEX(職員マスタ!$F$6:$F$405,$AP2753)&lt;$AQ2753),"対象月に子が2歳到達済／","")&amp;IF(AND($H2753&lt;&gt;"",INDEX(職員マスタ!$B$6:$B$405,$AP2753)&lt;&gt;"",SUBSTITUTE(SUBSTITUTE($H2753," ","")," ","")&lt;&gt;SUBSTITUTE(SUBSTITUTE(INDEX(職員マスタ!$B$6:$B$405,$AP2753)," ","")," ","")),"氏名がマスタと相違／","")&amp;IF(AND($Q2753&lt;&gt;"",INDEX(職員マスタ!$E$6:$E$405,$AP2753)&lt;&gt;"",$Q2753&lt;&gt;INDEX(職員マスタ!$E$6:$E$405,$AP2753)),"子の生年月日がマスタと相違／","")&amp;IF(AND($L2753&lt;&gt;"",INDEX(職員マスタ!$G$6:$G$405,$AP2753)&lt;&gt;"",$L2753&lt;&gt;INDEX(職員マスタ!$G$6:$G$405,$AP2753)),"時短開始日がマスタと相違／","")&amp;IF(AND($M2753&lt;&gt;"",INDEX(職員マスタ!$H$6:$H$405,$AP2753)&lt;&gt;"",$M2753&lt;&gt;INDEX(職員マスタ!$H$6:$H$405,$AP2753)),"時短終了日がマスタと相違／","")))&amp;IF(AND($B2753&lt;&gt;"",$E2753=""),"報酬額が未入力／","")&amp;IF(N($U2753)&gt;0,"申請書に入力エラーが残っています／","")&amp;IF(AND($B2753&lt;&gt;"",$AQ2753&lt;&gt;""),IF(COUNTIFS($B$6:$B$3005,$B2753,$C$6:$C$3005,$C2753,$D$6:$D$3005,$D2753)&gt;1,"同じ月の請求が重複しています／",""),"")&amp;IF(AND(N($E2753)&gt;0,$AB2753&lt;&gt;"",$AB2753&lt;&gt;"×",$AE2753=0,$AD2753=""),"計算額が下限以下のため不支給／",""))</f>
        <v/>
      </c>
      <c r="AN2753" s="12" t="n"/>
      <c r="AO2753" s="14">
        <f>IF($AF2753="保留中",COUNTIF($AF$6:$AF2753,"保留中"),"")</f>
        <v/>
      </c>
      <c r="AP2753" s="14">
        <f>IF($AQ2753="","",IF(SUMPRODUCT(MAX((職員マスタ!$A$6:$A$405=$B2753)*(((職員マスタ!$G$6:$G$405="")+(職員マスタ!$G$6:$G$405&lt;=EOMONTH($AQ2753,0)))&gt;0)*(((職員マスタ!$H$6:$H$405="")+(職員マスタ!$H$6:$H$405&gt;=$AQ2753))&gt;0)*(ROW(職員マスタ!$A$6:$A$405)-5)))&gt;0,SUMPRODUCT(MAX((職員マスタ!$A$6:$A$405=$B2753)*(((職員マスタ!$G$6:$G$405="")+(職員マスタ!$G$6:$G$405&lt;=EOMONTH($AQ2753,0)))&gt;0)*(((職員マスタ!$H$6:$H$405="")+(職員マスタ!$H$6:$H$405&gt;=$AQ2753))&gt;0)*(ROW(職員マスタ!$A$6:$A$405)-5))),IFERROR(MATCH($B2753,職員マスタ!$A$6:$A$405,0),"")))</f>
        <v/>
      </c>
      <c r="AQ2753" s="16">
        <f>IF(OR($B2753="",$C2753="",$D2753=""),"",DATE($C2753+2018,$D2753,1))</f>
        <v/>
      </c>
    </row>
    <row r="2754">
      <c r="A2754" s="11" t="n"/>
      <c r="B2754" s="12" t="n"/>
      <c r="C2754" s="12" t="n"/>
      <c r="D2754" s="12" t="n"/>
      <c r="E2754" s="13" t="n"/>
      <c r="F2754" s="12" t="n"/>
      <c r="G2754" s="13" t="n"/>
      <c r="H2754" s="12" t="n"/>
      <c r="I2754" s="12" t="n"/>
      <c r="J2754" s="12" t="n"/>
      <c r="K2754" s="12" t="n"/>
      <c r="L2754" s="11" t="n"/>
      <c r="M2754" s="11" t="n"/>
      <c r="N2754" s="11" t="n"/>
      <c r="O2754" s="11" t="n"/>
      <c r="P2754" s="12" t="n"/>
      <c r="Q2754" s="11" t="n"/>
      <c r="R2754" s="12" t="n"/>
      <c r="S2754" s="11" t="n"/>
      <c r="T2754" s="12" t="n"/>
      <c r="U2754" s="12" t="n"/>
      <c r="V2754" s="12" t="n"/>
      <c r="W2754" s="13" t="n"/>
      <c r="X2754" s="14">
        <f>IF($AP2754="",IF($B2754="","",$H2754),IF(INDEX(職員マスタ!$B$6:$B$405,$AP2754)="",$H2754,INDEX(職員マスタ!$B$6:$B$405,$AP2754)))</f>
        <v/>
      </c>
      <c r="Y2754" s="14">
        <f>IF($AP2754="",IF($B2754="","",$R2754),IF(INDEX(職員マスタ!$C$6:$C$405,$AP2754)="",$R2754,INDEX(職員マスタ!$C$6:$C$405,$AP2754)))</f>
        <v/>
      </c>
      <c r="Z2754" s="14">
        <f>IF($AQ2754="","","R"&amp;$C2754&amp;"."&amp;$D2754)</f>
        <v/>
      </c>
      <c r="AA2754" s="15">
        <f>IF(IF($AP2754="",FALSE,INDEX(職員マスタ!$K$6:$K$405,$AP2754)&lt;&gt;""),INDEX(職員マスタ!$K$6:$K$405,$AP2754),IF(N($W2754)&gt;0,$W2754,""))</f>
        <v/>
      </c>
      <c r="AB2754" s="14">
        <f>IF(OR($E2754="",$AA2754=""),"",IF($E2754&gt;=$AA2754,"×",IF($E2754&gt;=$AA2754*設定!$C$5,"△","○")))</f>
        <v/>
      </c>
      <c r="AC2754" s="15">
        <f>IF($AB2754="","",IF($AB2754="×",0,IF($AB2754="○",ROUNDDOWN($E2754*設定!$C$4,0),ROUNDDOWN($E2754*ROUND((9*$AA2754-9*$E2754)/(10*$E2754),4),0))))</f>
        <v/>
      </c>
      <c r="AD2754" s="13" t="n"/>
      <c r="AE2754" s="15">
        <f>IF($B2754="","",IF($AD2754&lt;&gt;"",$AD2754,IF($AC2754="","",IF($AC2754&lt;=設定!$C$3,0,$AC2754))))</f>
        <v/>
      </c>
      <c r="AF2754" s="14">
        <f>IF($B2754="","",IF(AND($AG2754&lt;&gt;"",$AI2754="",$AL2754=""),"保留中",IF($AL2754&lt;&gt;"",IF(N($AE2754)&gt;0,"支給済","不支給"),IF($AE2754="","要確認",IF($AE2754=0,"不支給","未処理")))))</f>
        <v/>
      </c>
      <c r="AG2754" s="12" t="n"/>
      <c r="AH2754" s="11" t="n"/>
      <c r="AI2754" s="11" t="n"/>
      <c r="AJ2754" s="11" t="n"/>
      <c r="AK2754" s="14">
        <f>IF(AND($AF2754="保留中",$AH2754&lt;&gt;""),TODAY()-$AH2754,"")</f>
        <v/>
      </c>
      <c r="AL2754" s="12" t="n"/>
      <c r="AM2754" s="14">
        <f>IF($B2754="","",IF($AQ2754="","対象年月が未入力／","")&amp;IF($B2754="","",IF($AP2754="","職員マスタに未登録の職員番号／",IF($AA2754="","標準報酬月額が未登録／","")&amp;IF(AND($AQ2754&lt;&gt;"",OR(AND(INDEX(職員マスタ!$G$6:$G$405,$AP2754)&lt;&gt;"",INDEX(職員マスタ!$G$6:$G$405,$AP2754)&gt;EOMONTH($AQ2754,0)),AND(INDEX(職員マスタ!$H$6:$H$405,$AP2754)&lt;&gt;"",INDEX(職員マスタ!$H$6:$H$405,$AP2754)&lt;$AQ2754))),"対象月が時短期間外／","")&amp;IF(AND(INDEX(職員マスタ!$K$6:$K$405,$AP2754)&lt;&gt;"",N($W2754)&gt;0,INDEX(職員マスタ!$K$6:$K$405,$AP2754)&lt;&gt;$W2754),"標準報酬月額が申請書と相違（台帳"&amp;TEXT(INDEX(職員マスタ!$K$6:$K$405,$AP2754),"#,##0")&amp;"円／申請書"&amp;TEXT($W2754,"#,##0")&amp;"円）／","")&amp;IF(AND(INDEX(職員マスタ!$F$6:$F$405,$AP2754)&lt;&gt;"",$AQ2754&lt;&gt;"",INDEX(職員マスタ!$F$6:$F$405,$AP2754)&lt;$AQ2754),"対象月に子が2歳到達済／","")&amp;IF(AND($H2754&lt;&gt;"",INDEX(職員マスタ!$B$6:$B$405,$AP2754)&lt;&gt;"",SUBSTITUTE(SUBSTITUTE($H2754," ","")," ","")&lt;&gt;SUBSTITUTE(SUBSTITUTE(INDEX(職員マスタ!$B$6:$B$405,$AP2754)," ","")," ","")),"氏名がマスタと相違／","")&amp;IF(AND($Q2754&lt;&gt;"",INDEX(職員マスタ!$E$6:$E$405,$AP2754)&lt;&gt;"",$Q2754&lt;&gt;INDEX(職員マスタ!$E$6:$E$405,$AP2754)),"子の生年月日がマスタと相違／","")&amp;IF(AND($L2754&lt;&gt;"",INDEX(職員マスタ!$G$6:$G$405,$AP2754)&lt;&gt;"",$L2754&lt;&gt;INDEX(職員マスタ!$G$6:$G$405,$AP2754)),"時短開始日がマスタと相違／","")&amp;IF(AND($M2754&lt;&gt;"",INDEX(職員マスタ!$H$6:$H$405,$AP2754)&lt;&gt;"",$M2754&lt;&gt;INDEX(職員マスタ!$H$6:$H$405,$AP2754)),"時短終了日がマスタと相違／","")))&amp;IF(AND($B2754&lt;&gt;"",$E2754=""),"報酬額が未入力／","")&amp;IF(N($U2754)&gt;0,"申請書に入力エラーが残っています／","")&amp;IF(AND($B2754&lt;&gt;"",$AQ2754&lt;&gt;""),IF(COUNTIFS($B$6:$B$3005,$B2754,$C$6:$C$3005,$C2754,$D$6:$D$3005,$D2754)&gt;1,"同じ月の請求が重複しています／",""),"")&amp;IF(AND(N($E2754)&gt;0,$AB2754&lt;&gt;"",$AB2754&lt;&gt;"×",$AE2754=0,$AD2754=""),"計算額が下限以下のため不支給／",""))</f>
        <v/>
      </c>
      <c r="AN2754" s="12" t="n"/>
      <c r="AO2754" s="14">
        <f>IF($AF2754="保留中",COUNTIF($AF$6:$AF2754,"保留中"),"")</f>
        <v/>
      </c>
      <c r="AP2754" s="14">
        <f>IF($AQ2754="","",IF(SUMPRODUCT(MAX((職員マスタ!$A$6:$A$405=$B2754)*(((職員マスタ!$G$6:$G$405="")+(職員マスタ!$G$6:$G$405&lt;=EOMONTH($AQ2754,0)))&gt;0)*(((職員マスタ!$H$6:$H$405="")+(職員マスタ!$H$6:$H$405&gt;=$AQ2754))&gt;0)*(ROW(職員マスタ!$A$6:$A$405)-5)))&gt;0,SUMPRODUCT(MAX((職員マスタ!$A$6:$A$405=$B2754)*(((職員マスタ!$G$6:$G$405="")+(職員マスタ!$G$6:$G$405&lt;=EOMONTH($AQ2754,0)))&gt;0)*(((職員マスタ!$H$6:$H$405="")+(職員マスタ!$H$6:$H$405&gt;=$AQ2754))&gt;0)*(ROW(職員マスタ!$A$6:$A$405)-5))),IFERROR(MATCH($B2754,職員マスタ!$A$6:$A$405,0),"")))</f>
        <v/>
      </c>
      <c r="AQ2754" s="16">
        <f>IF(OR($B2754="",$C2754="",$D2754=""),"",DATE($C2754+2018,$D2754,1))</f>
        <v/>
      </c>
    </row>
    <row r="2755">
      <c r="A2755" s="11" t="n"/>
      <c r="B2755" s="12" t="n"/>
      <c r="C2755" s="12" t="n"/>
      <c r="D2755" s="12" t="n"/>
      <c r="E2755" s="13" t="n"/>
      <c r="F2755" s="12" t="n"/>
      <c r="G2755" s="13" t="n"/>
      <c r="H2755" s="12" t="n"/>
      <c r="I2755" s="12" t="n"/>
      <c r="J2755" s="12" t="n"/>
      <c r="K2755" s="12" t="n"/>
      <c r="L2755" s="11" t="n"/>
      <c r="M2755" s="11" t="n"/>
      <c r="N2755" s="11" t="n"/>
      <c r="O2755" s="11" t="n"/>
      <c r="P2755" s="12" t="n"/>
      <c r="Q2755" s="11" t="n"/>
      <c r="R2755" s="12" t="n"/>
      <c r="S2755" s="11" t="n"/>
      <c r="T2755" s="12" t="n"/>
      <c r="U2755" s="12" t="n"/>
      <c r="V2755" s="12" t="n"/>
      <c r="W2755" s="13" t="n"/>
      <c r="X2755" s="14">
        <f>IF($AP2755="",IF($B2755="","",$H2755),IF(INDEX(職員マスタ!$B$6:$B$405,$AP2755)="",$H2755,INDEX(職員マスタ!$B$6:$B$405,$AP2755)))</f>
        <v/>
      </c>
      <c r="Y2755" s="14">
        <f>IF($AP2755="",IF($B2755="","",$R2755),IF(INDEX(職員マスタ!$C$6:$C$405,$AP2755)="",$R2755,INDEX(職員マスタ!$C$6:$C$405,$AP2755)))</f>
        <v/>
      </c>
      <c r="Z2755" s="14">
        <f>IF($AQ2755="","","R"&amp;$C2755&amp;"."&amp;$D2755)</f>
        <v/>
      </c>
      <c r="AA2755" s="15">
        <f>IF(IF($AP2755="",FALSE,INDEX(職員マスタ!$K$6:$K$405,$AP2755)&lt;&gt;""),INDEX(職員マスタ!$K$6:$K$405,$AP2755),IF(N($W2755)&gt;0,$W2755,""))</f>
        <v/>
      </c>
      <c r="AB2755" s="14">
        <f>IF(OR($E2755="",$AA2755=""),"",IF($E2755&gt;=$AA2755,"×",IF($E2755&gt;=$AA2755*設定!$C$5,"△","○")))</f>
        <v/>
      </c>
      <c r="AC2755" s="15">
        <f>IF($AB2755="","",IF($AB2755="×",0,IF($AB2755="○",ROUNDDOWN($E2755*設定!$C$4,0),ROUNDDOWN($E2755*ROUND((9*$AA2755-9*$E2755)/(10*$E2755),4),0))))</f>
        <v/>
      </c>
      <c r="AD2755" s="13" t="n"/>
      <c r="AE2755" s="15">
        <f>IF($B2755="","",IF($AD2755&lt;&gt;"",$AD2755,IF($AC2755="","",IF($AC2755&lt;=設定!$C$3,0,$AC2755))))</f>
        <v/>
      </c>
      <c r="AF2755" s="14">
        <f>IF($B2755="","",IF(AND($AG2755&lt;&gt;"",$AI2755="",$AL2755=""),"保留中",IF($AL2755&lt;&gt;"",IF(N($AE2755)&gt;0,"支給済","不支給"),IF($AE2755="","要確認",IF($AE2755=0,"不支給","未処理")))))</f>
        <v/>
      </c>
      <c r="AG2755" s="12" t="n"/>
      <c r="AH2755" s="11" t="n"/>
      <c r="AI2755" s="11" t="n"/>
      <c r="AJ2755" s="11" t="n"/>
      <c r="AK2755" s="14">
        <f>IF(AND($AF2755="保留中",$AH2755&lt;&gt;""),TODAY()-$AH2755,"")</f>
        <v/>
      </c>
      <c r="AL2755" s="12" t="n"/>
      <c r="AM2755" s="14">
        <f>IF($B2755="","",IF($AQ2755="","対象年月が未入力／","")&amp;IF($B2755="","",IF($AP2755="","職員マスタに未登録の職員番号／",IF($AA2755="","標準報酬月額が未登録／","")&amp;IF(AND($AQ2755&lt;&gt;"",OR(AND(INDEX(職員マスタ!$G$6:$G$405,$AP2755)&lt;&gt;"",INDEX(職員マスタ!$G$6:$G$405,$AP2755)&gt;EOMONTH($AQ2755,0)),AND(INDEX(職員マスタ!$H$6:$H$405,$AP2755)&lt;&gt;"",INDEX(職員マスタ!$H$6:$H$405,$AP2755)&lt;$AQ2755))),"対象月が時短期間外／","")&amp;IF(AND(INDEX(職員マスタ!$K$6:$K$405,$AP2755)&lt;&gt;"",N($W2755)&gt;0,INDEX(職員マスタ!$K$6:$K$405,$AP2755)&lt;&gt;$W2755),"標準報酬月額が申請書と相違（台帳"&amp;TEXT(INDEX(職員マスタ!$K$6:$K$405,$AP2755),"#,##0")&amp;"円／申請書"&amp;TEXT($W2755,"#,##0")&amp;"円）／","")&amp;IF(AND(INDEX(職員マスタ!$F$6:$F$405,$AP2755)&lt;&gt;"",$AQ2755&lt;&gt;"",INDEX(職員マスタ!$F$6:$F$405,$AP2755)&lt;$AQ2755),"対象月に子が2歳到達済／","")&amp;IF(AND($H2755&lt;&gt;"",INDEX(職員マスタ!$B$6:$B$405,$AP2755)&lt;&gt;"",SUBSTITUTE(SUBSTITUTE($H2755," ","")," ","")&lt;&gt;SUBSTITUTE(SUBSTITUTE(INDEX(職員マスタ!$B$6:$B$405,$AP2755)," ","")," ","")),"氏名がマスタと相違／","")&amp;IF(AND($Q2755&lt;&gt;"",INDEX(職員マスタ!$E$6:$E$405,$AP2755)&lt;&gt;"",$Q2755&lt;&gt;INDEX(職員マスタ!$E$6:$E$405,$AP2755)),"子の生年月日がマスタと相違／","")&amp;IF(AND($L2755&lt;&gt;"",INDEX(職員マスタ!$G$6:$G$405,$AP2755)&lt;&gt;"",$L2755&lt;&gt;INDEX(職員マスタ!$G$6:$G$405,$AP2755)),"時短開始日がマスタと相違／","")&amp;IF(AND($M2755&lt;&gt;"",INDEX(職員マスタ!$H$6:$H$405,$AP2755)&lt;&gt;"",$M2755&lt;&gt;INDEX(職員マスタ!$H$6:$H$405,$AP2755)),"時短終了日がマスタと相違／","")))&amp;IF(AND($B2755&lt;&gt;"",$E2755=""),"報酬額が未入力／","")&amp;IF(N($U2755)&gt;0,"申請書に入力エラーが残っています／","")&amp;IF(AND($B2755&lt;&gt;"",$AQ2755&lt;&gt;""),IF(COUNTIFS($B$6:$B$3005,$B2755,$C$6:$C$3005,$C2755,$D$6:$D$3005,$D2755)&gt;1,"同じ月の請求が重複しています／",""),"")&amp;IF(AND(N($E2755)&gt;0,$AB2755&lt;&gt;"",$AB2755&lt;&gt;"×",$AE2755=0,$AD2755=""),"計算額が下限以下のため不支給／",""))</f>
        <v/>
      </c>
      <c r="AN2755" s="12" t="n"/>
      <c r="AO2755" s="14">
        <f>IF($AF2755="保留中",COUNTIF($AF$6:$AF2755,"保留中"),"")</f>
        <v/>
      </c>
      <c r="AP2755" s="14">
        <f>IF($AQ2755="","",IF(SUMPRODUCT(MAX((職員マスタ!$A$6:$A$405=$B2755)*(((職員マスタ!$G$6:$G$405="")+(職員マスタ!$G$6:$G$405&lt;=EOMONTH($AQ2755,0)))&gt;0)*(((職員マスタ!$H$6:$H$405="")+(職員マスタ!$H$6:$H$405&gt;=$AQ2755))&gt;0)*(ROW(職員マスタ!$A$6:$A$405)-5)))&gt;0,SUMPRODUCT(MAX((職員マスタ!$A$6:$A$405=$B2755)*(((職員マスタ!$G$6:$G$405="")+(職員マスタ!$G$6:$G$405&lt;=EOMONTH($AQ2755,0)))&gt;0)*(((職員マスタ!$H$6:$H$405="")+(職員マスタ!$H$6:$H$405&gt;=$AQ2755))&gt;0)*(ROW(職員マスタ!$A$6:$A$405)-5))),IFERROR(MATCH($B2755,職員マスタ!$A$6:$A$405,0),"")))</f>
        <v/>
      </c>
      <c r="AQ2755" s="16">
        <f>IF(OR($B2755="",$C2755="",$D2755=""),"",DATE($C2755+2018,$D2755,1))</f>
        <v/>
      </c>
    </row>
    <row r="2756">
      <c r="A2756" s="11" t="n"/>
      <c r="B2756" s="12" t="n"/>
      <c r="C2756" s="12" t="n"/>
      <c r="D2756" s="12" t="n"/>
      <c r="E2756" s="13" t="n"/>
      <c r="F2756" s="12" t="n"/>
      <c r="G2756" s="13" t="n"/>
      <c r="H2756" s="12" t="n"/>
      <c r="I2756" s="12" t="n"/>
      <c r="J2756" s="12" t="n"/>
      <c r="K2756" s="12" t="n"/>
      <c r="L2756" s="11" t="n"/>
      <c r="M2756" s="11" t="n"/>
      <c r="N2756" s="11" t="n"/>
      <c r="O2756" s="11" t="n"/>
      <c r="P2756" s="12" t="n"/>
      <c r="Q2756" s="11" t="n"/>
      <c r="R2756" s="12" t="n"/>
      <c r="S2756" s="11" t="n"/>
      <c r="T2756" s="12" t="n"/>
      <c r="U2756" s="12" t="n"/>
      <c r="V2756" s="12" t="n"/>
      <c r="W2756" s="13" t="n"/>
      <c r="X2756" s="14">
        <f>IF($AP2756="",IF($B2756="","",$H2756),IF(INDEX(職員マスタ!$B$6:$B$405,$AP2756)="",$H2756,INDEX(職員マスタ!$B$6:$B$405,$AP2756)))</f>
        <v/>
      </c>
      <c r="Y2756" s="14">
        <f>IF($AP2756="",IF($B2756="","",$R2756),IF(INDEX(職員マスタ!$C$6:$C$405,$AP2756)="",$R2756,INDEX(職員マスタ!$C$6:$C$405,$AP2756)))</f>
        <v/>
      </c>
      <c r="Z2756" s="14">
        <f>IF($AQ2756="","","R"&amp;$C2756&amp;"."&amp;$D2756)</f>
        <v/>
      </c>
      <c r="AA2756" s="15">
        <f>IF(IF($AP2756="",FALSE,INDEX(職員マスタ!$K$6:$K$405,$AP2756)&lt;&gt;""),INDEX(職員マスタ!$K$6:$K$405,$AP2756),IF(N($W2756)&gt;0,$W2756,""))</f>
        <v/>
      </c>
      <c r="AB2756" s="14">
        <f>IF(OR($E2756="",$AA2756=""),"",IF($E2756&gt;=$AA2756,"×",IF($E2756&gt;=$AA2756*設定!$C$5,"△","○")))</f>
        <v/>
      </c>
      <c r="AC2756" s="15">
        <f>IF($AB2756="","",IF($AB2756="×",0,IF($AB2756="○",ROUNDDOWN($E2756*設定!$C$4,0),ROUNDDOWN($E2756*ROUND((9*$AA2756-9*$E2756)/(10*$E2756),4),0))))</f>
        <v/>
      </c>
      <c r="AD2756" s="13" t="n"/>
      <c r="AE2756" s="15">
        <f>IF($B2756="","",IF($AD2756&lt;&gt;"",$AD2756,IF($AC2756="","",IF($AC2756&lt;=設定!$C$3,0,$AC2756))))</f>
        <v/>
      </c>
      <c r="AF2756" s="14">
        <f>IF($B2756="","",IF(AND($AG2756&lt;&gt;"",$AI2756="",$AL2756=""),"保留中",IF($AL2756&lt;&gt;"",IF(N($AE2756)&gt;0,"支給済","不支給"),IF($AE2756="","要確認",IF($AE2756=0,"不支給","未処理")))))</f>
        <v/>
      </c>
      <c r="AG2756" s="12" t="n"/>
      <c r="AH2756" s="11" t="n"/>
      <c r="AI2756" s="11" t="n"/>
      <c r="AJ2756" s="11" t="n"/>
      <c r="AK2756" s="14">
        <f>IF(AND($AF2756="保留中",$AH2756&lt;&gt;""),TODAY()-$AH2756,"")</f>
        <v/>
      </c>
      <c r="AL2756" s="12" t="n"/>
      <c r="AM2756" s="14">
        <f>IF($B2756="","",IF($AQ2756="","対象年月が未入力／","")&amp;IF($B2756="","",IF($AP2756="","職員マスタに未登録の職員番号／",IF($AA2756="","標準報酬月額が未登録／","")&amp;IF(AND($AQ2756&lt;&gt;"",OR(AND(INDEX(職員マスタ!$G$6:$G$405,$AP2756)&lt;&gt;"",INDEX(職員マスタ!$G$6:$G$405,$AP2756)&gt;EOMONTH($AQ2756,0)),AND(INDEX(職員マスタ!$H$6:$H$405,$AP2756)&lt;&gt;"",INDEX(職員マスタ!$H$6:$H$405,$AP2756)&lt;$AQ2756))),"対象月が時短期間外／","")&amp;IF(AND(INDEX(職員マスタ!$K$6:$K$405,$AP2756)&lt;&gt;"",N($W2756)&gt;0,INDEX(職員マスタ!$K$6:$K$405,$AP2756)&lt;&gt;$W2756),"標準報酬月額が申請書と相違（台帳"&amp;TEXT(INDEX(職員マスタ!$K$6:$K$405,$AP2756),"#,##0")&amp;"円／申請書"&amp;TEXT($W2756,"#,##0")&amp;"円）／","")&amp;IF(AND(INDEX(職員マスタ!$F$6:$F$405,$AP2756)&lt;&gt;"",$AQ2756&lt;&gt;"",INDEX(職員マスタ!$F$6:$F$405,$AP2756)&lt;$AQ2756),"対象月に子が2歳到達済／","")&amp;IF(AND($H2756&lt;&gt;"",INDEX(職員マスタ!$B$6:$B$405,$AP2756)&lt;&gt;"",SUBSTITUTE(SUBSTITUTE($H2756," ","")," ","")&lt;&gt;SUBSTITUTE(SUBSTITUTE(INDEX(職員マスタ!$B$6:$B$405,$AP2756)," ","")," ","")),"氏名がマスタと相違／","")&amp;IF(AND($Q2756&lt;&gt;"",INDEX(職員マスタ!$E$6:$E$405,$AP2756)&lt;&gt;"",$Q2756&lt;&gt;INDEX(職員マスタ!$E$6:$E$405,$AP2756)),"子の生年月日がマスタと相違／","")&amp;IF(AND($L2756&lt;&gt;"",INDEX(職員マスタ!$G$6:$G$405,$AP2756)&lt;&gt;"",$L2756&lt;&gt;INDEX(職員マスタ!$G$6:$G$405,$AP2756)),"時短開始日がマスタと相違／","")&amp;IF(AND($M2756&lt;&gt;"",INDEX(職員マスタ!$H$6:$H$405,$AP2756)&lt;&gt;"",$M2756&lt;&gt;INDEX(職員マスタ!$H$6:$H$405,$AP2756)),"時短終了日がマスタと相違／","")))&amp;IF(AND($B2756&lt;&gt;"",$E2756=""),"報酬額が未入力／","")&amp;IF(N($U2756)&gt;0,"申請書に入力エラーが残っています／","")&amp;IF(AND($B2756&lt;&gt;"",$AQ2756&lt;&gt;""),IF(COUNTIFS($B$6:$B$3005,$B2756,$C$6:$C$3005,$C2756,$D$6:$D$3005,$D2756)&gt;1,"同じ月の請求が重複しています／",""),"")&amp;IF(AND(N($E2756)&gt;0,$AB2756&lt;&gt;"",$AB2756&lt;&gt;"×",$AE2756=0,$AD2756=""),"計算額が下限以下のため不支給／",""))</f>
        <v/>
      </c>
      <c r="AN2756" s="12" t="n"/>
      <c r="AO2756" s="14">
        <f>IF($AF2756="保留中",COUNTIF($AF$6:$AF2756,"保留中"),"")</f>
        <v/>
      </c>
      <c r="AP2756" s="14">
        <f>IF($AQ2756="","",IF(SUMPRODUCT(MAX((職員マスタ!$A$6:$A$405=$B2756)*(((職員マスタ!$G$6:$G$405="")+(職員マスタ!$G$6:$G$405&lt;=EOMONTH($AQ2756,0)))&gt;0)*(((職員マスタ!$H$6:$H$405="")+(職員マスタ!$H$6:$H$405&gt;=$AQ2756))&gt;0)*(ROW(職員マスタ!$A$6:$A$405)-5)))&gt;0,SUMPRODUCT(MAX((職員マスタ!$A$6:$A$405=$B2756)*(((職員マスタ!$G$6:$G$405="")+(職員マスタ!$G$6:$G$405&lt;=EOMONTH($AQ2756,0)))&gt;0)*(((職員マスタ!$H$6:$H$405="")+(職員マスタ!$H$6:$H$405&gt;=$AQ2756))&gt;0)*(ROW(職員マスタ!$A$6:$A$405)-5))),IFERROR(MATCH($B2756,職員マスタ!$A$6:$A$405,0),"")))</f>
        <v/>
      </c>
      <c r="AQ2756" s="16">
        <f>IF(OR($B2756="",$C2756="",$D2756=""),"",DATE($C2756+2018,$D2756,1))</f>
        <v/>
      </c>
    </row>
    <row r="2757">
      <c r="A2757" s="11" t="n"/>
      <c r="B2757" s="12" t="n"/>
      <c r="C2757" s="12" t="n"/>
      <c r="D2757" s="12" t="n"/>
      <c r="E2757" s="13" t="n"/>
      <c r="F2757" s="12" t="n"/>
      <c r="G2757" s="13" t="n"/>
      <c r="H2757" s="12" t="n"/>
      <c r="I2757" s="12" t="n"/>
      <c r="J2757" s="12" t="n"/>
      <c r="K2757" s="12" t="n"/>
      <c r="L2757" s="11" t="n"/>
      <c r="M2757" s="11" t="n"/>
      <c r="N2757" s="11" t="n"/>
      <c r="O2757" s="11" t="n"/>
      <c r="P2757" s="12" t="n"/>
      <c r="Q2757" s="11" t="n"/>
      <c r="R2757" s="12" t="n"/>
      <c r="S2757" s="11" t="n"/>
      <c r="T2757" s="12" t="n"/>
      <c r="U2757" s="12" t="n"/>
      <c r="V2757" s="12" t="n"/>
      <c r="W2757" s="13" t="n"/>
      <c r="X2757" s="14">
        <f>IF($AP2757="",IF($B2757="","",$H2757),IF(INDEX(職員マスタ!$B$6:$B$405,$AP2757)="",$H2757,INDEX(職員マスタ!$B$6:$B$405,$AP2757)))</f>
        <v/>
      </c>
      <c r="Y2757" s="14">
        <f>IF($AP2757="",IF($B2757="","",$R2757),IF(INDEX(職員マスタ!$C$6:$C$405,$AP2757)="",$R2757,INDEX(職員マスタ!$C$6:$C$405,$AP2757)))</f>
        <v/>
      </c>
      <c r="Z2757" s="14">
        <f>IF($AQ2757="","","R"&amp;$C2757&amp;"."&amp;$D2757)</f>
        <v/>
      </c>
      <c r="AA2757" s="15">
        <f>IF(IF($AP2757="",FALSE,INDEX(職員マスタ!$K$6:$K$405,$AP2757)&lt;&gt;""),INDEX(職員マスタ!$K$6:$K$405,$AP2757),IF(N($W2757)&gt;0,$W2757,""))</f>
        <v/>
      </c>
      <c r="AB2757" s="14">
        <f>IF(OR($E2757="",$AA2757=""),"",IF($E2757&gt;=$AA2757,"×",IF($E2757&gt;=$AA2757*設定!$C$5,"△","○")))</f>
        <v/>
      </c>
      <c r="AC2757" s="15">
        <f>IF($AB2757="","",IF($AB2757="×",0,IF($AB2757="○",ROUNDDOWN($E2757*設定!$C$4,0),ROUNDDOWN($E2757*ROUND((9*$AA2757-9*$E2757)/(10*$E2757),4),0))))</f>
        <v/>
      </c>
      <c r="AD2757" s="13" t="n"/>
      <c r="AE2757" s="15">
        <f>IF($B2757="","",IF($AD2757&lt;&gt;"",$AD2757,IF($AC2757="","",IF($AC2757&lt;=設定!$C$3,0,$AC2757))))</f>
        <v/>
      </c>
      <c r="AF2757" s="14">
        <f>IF($B2757="","",IF(AND($AG2757&lt;&gt;"",$AI2757="",$AL2757=""),"保留中",IF($AL2757&lt;&gt;"",IF(N($AE2757)&gt;0,"支給済","不支給"),IF($AE2757="","要確認",IF($AE2757=0,"不支給","未処理")))))</f>
        <v/>
      </c>
      <c r="AG2757" s="12" t="n"/>
      <c r="AH2757" s="11" t="n"/>
      <c r="AI2757" s="11" t="n"/>
      <c r="AJ2757" s="11" t="n"/>
      <c r="AK2757" s="14">
        <f>IF(AND($AF2757="保留中",$AH2757&lt;&gt;""),TODAY()-$AH2757,"")</f>
        <v/>
      </c>
      <c r="AL2757" s="12" t="n"/>
      <c r="AM2757" s="14">
        <f>IF($B2757="","",IF($AQ2757="","対象年月が未入力／","")&amp;IF($B2757="","",IF($AP2757="","職員マスタに未登録の職員番号／",IF($AA2757="","標準報酬月額が未登録／","")&amp;IF(AND($AQ2757&lt;&gt;"",OR(AND(INDEX(職員マスタ!$G$6:$G$405,$AP2757)&lt;&gt;"",INDEX(職員マスタ!$G$6:$G$405,$AP2757)&gt;EOMONTH($AQ2757,0)),AND(INDEX(職員マスタ!$H$6:$H$405,$AP2757)&lt;&gt;"",INDEX(職員マスタ!$H$6:$H$405,$AP2757)&lt;$AQ2757))),"対象月が時短期間外／","")&amp;IF(AND(INDEX(職員マスタ!$K$6:$K$405,$AP2757)&lt;&gt;"",N($W2757)&gt;0,INDEX(職員マスタ!$K$6:$K$405,$AP2757)&lt;&gt;$W2757),"標準報酬月額が申請書と相違（台帳"&amp;TEXT(INDEX(職員マスタ!$K$6:$K$405,$AP2757),"#,##0")&amp;"円／申請書"&amp;TEXT($W2757,"#,##0")&amp;"円）／","")&amp;IF(AND(INDEX(職員マスタ!$F$6:$F$405,$AP2757)&lt;&gt;"",$AQ2757&lt;&gt;"",INDEX(職員マスタ!$F$6:$F$405,$AP2757)&lt;$AQ2757),"対象月に子が2歳到達済／","")&amp;IF(AND($H2757&lt;&gt;"",INDEX(職員マスタ!$B$6:$B$405,$AP2757)&lt;&gt;"",SUBSTITUTE(SUBSTITUTE($H2757," ","")," ","")&lt;&gt;SUBSTITUTE(SUBSTITUTE(INDEX(職員マスタ!$B$6:$B$405,$AP2757)," ","")," ","")),"氏名がマスタと相違／","")&amp;IF(AND($Q2757&lt;&gt;"",INDEX(職員マスタ!$E$6:$E$405,$AP2757)&lt;&gt;"",$Q2757&lt;&gt;INDEX(職員マスタ!$E$6:$E$405,$AP2757)),"子の生年月日がマスタと相違／","")&amp;IF(AND($L2757&lt;&gt;"",INDEX(職員マスタ!$G$6:$G$405,$AP2757)&lt;&gt;"",$L2757&lt;&gt;INDEX(職員マスタ!$G$6:$G$405,$AP2757)),"時短開始日がマスタと相違／","")&amp;IF(AND($M2757&lt;&gt;"",INDEX(職員マスタ!$H$6:$H$405,$AP2757)&lt;&gt;"",$M2757&lt;&gt;INDEX(職員マスタ!$H$6:$H$405,$AP2757)),"時短終了日がマスタと相違／","")))&amp;IF(AND($B2757&lt;&gt;"",$E2757=""),"報酬額が未入力／","")&amp;IF(N($U2757)&gt;0,"申請書に入力エラーが残っています／","")&amp;IF(AND($B2757&lt;&gt;"",$AQ2757&lt;&gt;""),IF(COUNTIFS($B$6:$B$3005,$B2757,$C$6:$C$3005,$C2757,$D$6:$D$3005,$D2757)&gt;1,"同じ月の請求が重複しています／",""),"")&amp;IF(AND(N($E2757)&gt;0,$AB2757&lt;&gt;"",$AB2757&lt;&gt;"×",$AE2757=0,$AD2757=""),"計算額が下限以下のため不支給／",""))</f>
        <v/>
      </c>
      <c r="AN2757" s="12" t="n"/>
      <c r="AO2757" s="14">
        <f>IF($AF2757="保留中",COUNTIF($AF$6:$AF2757,"保留中"),"")</f>
        <v/>
      </c>
      <c r="AP2757" s="14">
        <f>IF($AQ2757="","",IF(SUMPRODUCT(MAX((職員マスタ!$A$6:$A$405=$B2757)*(((職員マスタ!$G$6:$G$405="")+(職員マスタ!$G$6:$G$405&lt;=EOMONTH($AQ2757,0)))&gt;0)*(((職員マスタ!$H$6:$H$405="")+(職員マスタ!$H$6:$H$405&gt;=$AQ2757))&gt;0)*(ROW(職員マスタ!$A$6:$A$405)-5)))&gt;0,SUMPRODUCT(MAX((職員マスタ!$A$6:$A$405=$B2757)*(((職員マスタ!$G$6:$G$405="")+(職員マスタ!$G$6:$G$405&lt;=EOMONTH($AQ2757,0)))&gt;0)*(((職員マスタ!$H$6:$H$405="")+(職員マスタ!$H$6:$H$405&gt;=$AQ2757))&gt;0)*(ROW(職員マスタ!$A$6:$A$405)-5))),IFERROR(MATCH($B2757,職員マスタ!$A$6:$A$405,0),"")))</f>
        <v/>
      </c>
      <c r="AQ2757" s="16">
        <f>IF(OR($B2757="",$C2757="",$D2757=""),"",DATE($C2757+2018,$D2757,1))</f>
        <v/>
      </c>
    </row>
    <row r="2758">
      <c r="A2758" s="11" t="n"/>
      <c r="B2758" s="12" t="n"/>
      <c r="C2758" s="12" t="n"/>
      <c r="D2758" s="12" t="n"/>
      <c r="E2758" s="13" t="n"/>
      <c r="F2758" s="12" t="n"/>
      <c r="G2758" s="13" t="n"/>
      <c r="H2758" s="12" t="n"/>
      <c r="I2758" s="12" t="n"/>
      <c r="J2758" s="12" t="n"/>
      <c r="K2758" s="12" t="n"/>
      <c r="L2758" s="11" t="n"/>
      <c r="M2758" s="11" t="n"/>
      <c r="N2758" s="11" t="n"/>
      <c r="O2758" s="11" t="n"/>
      <c r="P2758" s="12" t="n"/>
      <c r="Q2758" s="11" t="n"/>
      <c r="R2758" s="12" t="n"/>
      <c r="S2758" s="11" t="n"/>
      <c r="T2758" s="12" t="n"/>
      <c r="U2758" s="12" t="n"/>
      <c r="V2758" s="12" t="n"/>
      <c r="W2758" s="13" t="n"/>
      <c r="X2758" s="14">
        <f>IF($AP2758="",IF($B2758="","",$H2758),IF(INDEX(職員マスタ!$B$6:$B$405,$AP2758)="",$H2758,INDEX(職員マスタ!$B$6:$B$405,$AP2758)))</f>
        <v/>
      </c>
      <c r="Y2758" s="14">
        <f>IF($AP2758="",IF($B2758="","",$R2758),IF(INDEX(職員マスタ!$C$6:$C$405,$AP2758)="",$R2758,INDEX(職員マスタ!$C$6:$C$405,$AP2758)))</f>
        <v/>
      </c>
      <c r="Z2758" s="14">
        <f>IF($AQ2758="","","R"&amp;$C2758&amp;"."&amp;$D2758)</f>
        <v/>
      </c>
      <c r="AA2758" s="15">
        <f>IF(IF($AP2758="",FALSE,INDEX(職員マスタ!$K$6:$K$405,$AP2758)&lt;&gt;""),INDEX(職員マスタ!$K$6:$K$405,$AP2758),IF(N($W2758)&gt;0,$W2758,""))</f>
        <v/>
      </c>
      <c r="AB2758" s="14">
        <f>IF(OR($E2758="",$AA2758=""),"",IF($E2758&gt;=$AA2758,"×",IF($E2758&gt;=$AA2758*設定!$C$5,"△","○")))</f>
        <v/>
      </c>
      <c r="AC2758" s="15">
        <f>IF($AB2758="","",IF($AB2758="×",0,IF($AB2758="○",ROUNDDOWN($E2758*設定!$C$4,0),ROUNDDOWN($E2758*ROUND((9*$AA2758-9*$E2758)/(10*$E2758),4),0))))</f>
        <v/>
      </c>
      <c r="AD2758" s="13" t="n"/>
      <c r="AE2758" s="15">
        <f>IF($B2758="","",IF($AD2758&lt;&gt;"",$AD2758,IF($AC2758="","",IF($AC2758&lt;=設定!$C$3,0,$AC2758))))</f>
        <v/>
      </c>
      <c r="AF2758" s="14">
        <f>IF($B2758="","",IF(AND($AG2758&lt;&gt;"",$AI2758="",$AL2758=""),"保留中",IF($AL2758&lt;&gt;"",IF(N($AE2758)&gt;0,"支給済","不支給"),IF($AE2758="","要確認",IF($AE2758=0,"不支給","未処理")))))</f>
        <v/>
      </c>
      <c r="AG2758" s="12" t="n"/>
      <c r="AH2758" s="11" t="n"/>
      <c r="AI2758" s="11" t="n"/>
      <c r="AJ2758" s="11" t="n"/>
      <c r="AK2758" s="14">
        <f>IF(AND($AF2758="保留中",$AH2758&lt;&gt;""),TODAY()-$AH2758,"")</f>
        <v/>
      </c>
      <c r="AL2758" s="12" t="n"/>
      <c r="AM2758" s="14">
        <f>IF($B2758="","",IF($AQ2758="","対象年月が未入力／","")&amp;IF($B2758="","",IF($AP2758="","職員マスタに未登録の職員番号／",IF($AA2758="","標準報酬月額が未登録／","")&amp;IF(AND($AQ2758&lt;&gt;"",OR(AND(INDEX(職員マスタ!$G$6:$G$405,$AP2758)&lt;&gt;"",INDEX(職員マスタ!$G$6:$G$405,$AP2758)&gt;EOMONTH($AQ2758,0)),AND(INDEX(職員マスタ!$H$6:$H$405,$AP2758)&lt;&gt;"",INDEX(職員マスタ!$H$6:$H$405,$AP2758)&lt;$AQ2758))),"対象月が時短期間外／","")&amp;IF(AND(INDEX(職員マスタ!$K$6:$K$405,$AP2758)&lt;&gt;"",N($W2758)&gt;0,INDEX(職員マスタ!$K$6:$K$405,$AP2758)&lt;&gt;$W2758),"標準報酬月額が申請書と相違（台帳"&amp;TEXT(INDEX(職員マスタ!$K$6:$K$405,$AP2758),"#,##0")&amp;"円／申請書"&amp;TEXT($W2758,"#,##0")&amp;"円）／","")&amp;IF(AND(INDEX(職員マスタ!$F$6:$F$405,$AP2758)&lt;&gt;"",$AQ2758&lt;&gt;"",INDEX(職員マスタ!$F$6:$F$405,$AP2758)&lt;$AQ2758),"対象月に子が2歳到達済／","")&amp;IF(AND($H2758&lt;&gt;"",INDEX(職員マスタ!$B$6:$B$405,$AP2758)&lt;&gt;"",SUBSTITUTE(SUBSTITUTE($H2758," ","")," ","")&lt;&gt;SUBSTITUTE(SUBSTITUTE(INDEX(職員マスタ!$B$6:$B$405,$AP2758)," ","")," ","")),"氏名がマスタと相違／","")&amp;IF(AND($Q2758&lt;&gt;"",INDEX(職員マスタ!$E$6:$E$405,$AP2758)&lt;&gt;"",$Q2758&lt;&gt;INDEX(職員マスタ!$E$6:$E$405,$AP2758)),"子の生年月日がマスタと相違／","")&amp;IF(AND($L2758&lt;&gt;"",INDEX(職員マスタ!$G$6:$G$405,$AP2758)&lt;&gt;"",$L2758&lt;&gt;INDEX(職員マスタ!$G$6:$G$405,$AP2758)),"時短開始日がマスタと相違／","")&amp;IF(AND($M2758&lt;&gt;"",INDEX(職員マスタ!$H$6:$H$405,$AP2758)&lt;&gt;"",$M2758&lt;&gt;INDEX(職員マスタ!$H$6:$H$405,$AP2758)),"時短終了日がマスタと相違／","")))&amp;IF(AND($B2758&lt;&gt;"",$E2758=""),"報酬額が未入力／","")&amp;IF(N($U2758)&gt;0,"申請書に入力エラーが残っています／","")&amp;IF(AND($B2758&lt;&gt;"",$AQ2758&lt;&gt;""),IF(COUNTIFS($B$6:$B$3005,$B2758,$C$6:$C$3005,$C2758,$D$6:$D$3005,$D2758)&gt;1,"同じ月の請求が重複しています／",""),"")&amp;IF(AND(N($E2758)&gt;0,$AB2758&lt;&gt;"",$AB2758&lt;&gt;"×",$AE2758=0,$AD2758=""),"計算額が下限以下のため不支給／",""))</f>
        <v/>
      </c>
      <c r="AN2758" s="12" t="n"/>
      <c r="AO2758" s="14">
        <f>IF($AF2758="保留中",COUNTIF($AF$6:$AF2758,"保留中"),"")</f>
        <v/>
      </c>
      <c r="AP2758" s="14">
        <f>IF($AQ2758="","",IF(SUMPRODUCT(MAX((職員マスタ!$A$6:$A$405=$B2758)*(((職員マスタ!$G$6:$G$405="")+(職員マスタ!$G$6:$G$405&lt;=EOMONTH($AQ2758,0)))&gt;0)*(((職員マスタ!$H$6:$H$405="")+(職員マスタ!$H$6:$H$405&gt;=$AQ2758))&gt;0)*(ROW(職員マスタ!$A$6:$A$405)-5)))&gt;0,SUMPRODUCT(MAX((職員マスタ!$A$6:$A$405=$B2758)*(((職員マスタ!$G$6:$G$405="")+(職員マスタ!$G$6:$G$405&lt;=EOMONTH($AQ2758,0)))&gt;0)*(((職員マスタ!$H$6:$H$405="")+(職員マスタ!$H$6:$H$405&gt;=$AQ2758))&gt;0)*(ROW(職員マスタ!$A$6:$A$405)-5))),IFERROR(MATCH($B2758,職員マスタ!$A$6:$A$405,0),"")))</f>
        <v/>
      </c>
      <c r="AQ2758" s="16">
        <f>IF(OR($B2758="",$C2758="",$D2758=""),"",DATE($C2758+2018,$D2758,1))</f>
        <v/>
      </c>
    </row>
    <row r="2759">
      <c r="A2759" s="11" t="n"/>
      <c r="B2759" s="12" t="n"/>
      <c r="C2759" s="12" t="n"/>
      <c r="D2759" s="12" t="n"/>
      <c r="E2759" s="13" t="n"/>
      <c r="F2759" s="12" t="n"/>
      <c r="G2759" s="13" t="n"/>
      <c r="H2759" s="12" t="n"/>
      <c r="I2759" s="12" t="n"/>
      <c r="J2759" s="12" t="n"/>
      <c r="K2759" s="12" t="n"/>
      <c r="L2759" s="11" t="n"/>
      <c r="M2759" s="11" t="n"/>
      <c r="N2759" s="11" t="n"/>
      <c r="O2759" s="11" t="n"/>
      <c r="P2759" s="12" t="n"/>
      <c r="Q2759" s="11" t="n"/>
      <c r="R2759" s="12" t="n"/>
      <c r="S2759" s="11" t="n"/>
      <c r="T2759" s="12" t="n"/>
      <c r="U2759" s="12" t="n"/>
      <c r="V2759" s="12" t="n"/>
      <c r="W2759" s="13" t="n"/>
      <c r="X2759" s="14">
        <f>IF($AP2759="",IF($B2759="","",$H2759),IF(INDEX(職員マスタ!$B$6:$B$405,$AP2759)="",$H2759,INDEX(職員マスタ!$B$6:$B$405,$AP2759)))</f>
        <v/>
      </c>
      <c r="Y2759" s="14">
        <f>IF($AP2759="",IF($B2759="","",$R2759),IF(INDEX(職員マスタ!$C$6:$C$405,$AP2759)="",$R2759,INDEX(職員マスタ!$C$6:$C$405,$AP2759)))</f>
        <v/>
      </c>
      <c r="Z2759" s="14">
        <f>IF($AQ2759="","","R"&amp;$C2759&amp;"."&amp;$D2759)</f>
        <v/>
      </c>
      <c r="AA2759" s="15">
        <f>IF(IF($AP2759="",FALSE,INDEX(職員マスタ!$K$6:$K$405,$AP2759)&lt;&gt;""),INDEX(職員マスタ!$K$6:$K$405,$AP2759),IF(N($W2759)&gt;0,$W2759,""))</f>
        <v/>
      </c>
      <c r="AB2759" s="14">
        <f>IF(OR($E2759="",$AA2759=""),"",IF($E2759&gt;=$AA2759,"×",IF($E2759&gt;=$AA2759*設定!$C$5,"△","○")))</f>
        <v/>
      </c>
      <c r="AC2759" s="15">
        <f>IF($AB2759="","",IF($AB2759="×",0,IF($AB2759="○",ROUNDDOWN($E2759*設定!$C$4,0),ROUNDDOWN($E2759*ROUND((9*$AA2759-9*$E2759)/(10*$E2759),4),0))))</f>
        <v/>
      </c>
      <c r="AD2759" s="13" t="n"/>
      <c r="AE2759" s="15">
        <f>IF($B2759="","",IF($AD2759&lt;&gt;"",$AD2759,IF($AC2759="","",IF($AC2759&lt;=設定!$C$3,0,$AC2759))))</f>
        <v/>
      </c>
      <c r="AF2759" s="14">
        <f>IF($B2759="","",IF(AND($AG2759&lt;&gt;"",$AI2759="",$AL2759=""),"保留中",IF($AL2759&lt;&gt;"",IF(N($AE2759)&gt;0,"支給済","不支給"),IF($AE2759="","要確認",IF($AE2759=0,"不支給","未処理")))))</f>
        <v/>
      </c>
      <c r="AG2759" s="12" t="n"/>
      <c r="AH2759" s="11" t="n"/>
      <c r="AI2759" s="11" t="n"/>
      <c r="AJ2759" s="11" t="n"/>
      <c r="AK2759" s="14">
        <f>IF(AND($AF2759="保留中",$AH2759&lt;&gt;""),TODAY()-$AH2759,"")</f>
        <v/>
      </c>
      <c r="AL2759" s="12" t="n"/>
      <c r="AM2759" s="14">
        <f>IF($B2759="","",IF($AQ2759="","対象年月が未入力／","")&amp;IF($B2759="","",IF($AP2759="","職員マスタに未登録の職員番号／",IF($AA2759="","標準報酬月額が未登録／","")&amp;IF(AND($AQ2759&lt;&gt;"",OR(AND(INDEX(職員マスタ!$G$6:$G$405,$AP2759)&lt;&gt;"",INDEX(職員マスタ!$G$6:$G$405,$AP2759)&gt;EOMONTH($AQ2759,0)),AND(INDEX(職員マスタ!$H$6:$H$405,$AP2759)&lt;&gt;"",INDEX(職員マスタ!$H$6:$H$405,$AP2759)&lt;$AQ2759))),"対象月が時短期間外／","")&amp;IF(AND(INDEX(職員マスタ!$K$6:$K$405,$AP2759)&lt;&gt;"",N($W2759)&gt;0,INDEX(職員マスタ!$K$6:$K$405,$AP2759)&lt;&gt;$W2759),"標準報酬月額が申請書と相違（台帳"&amp;TEXT(INDEX(職員マスタ!$K$6:$K$405,$AP2759),"#,##0")&amp;"円／申請書"&amp;TEXT($W2759,"#,##0")&amp;"円）／","")&amp;IF(AND(INDEX(職員マスタ!$F$6:$F$405,$AP2759)&lt;&gt;"",$AQ2759&lt;&gt;"",INDEX(職員マスタ!$F$6:$F$405,$AP2759)&lt;$AQ2759),"対象月に子が2歳到達済／","")&amp;IF(AND($H2759&lt;&gt;"",INDEX(職員マスタ!$B$6:$B$405,$AP2759)&lt;&gt;"",SUBSTITUTE(SUBSTITUTE($H2759," ","")," ","")&lt;&gt;SUBSTITUTE(SUBSTITUTE(INDEX(職員マスタ!$B$6:$B$405,$AP2759)," ","")," ","")),"氏名がマスタと相違／","")&amp;IF(AND($Q2759&lt;&gt;"",INDEX(職員マスタ!$E$6:$E$405,$AP2759)&lt;&gt;"",$Q2759&lt;&gt;INDEX(職員マスタ!$E$6:$E$405,$AP2759)),"子の生年月日がマスタと相違／","")&amp;IF(AND($L2759&lt;&gt;"",INDEX(職員マスタ!$G$6:$G$405,$AP2759)&lt;&gt;"",$L2759&lt;&gt;INDEX(職員マスタ!$G$6:$G$405,$AP2759)),"時短開始日がマスタと相違／","")&amp;IF(AND($M2759&lt;&gt;"",INDEX(職員マスタ!$H$6:$H$405,$AP2759)&lt;&gt;"",$M2759&lt;&gt;INDEX(職員マスタ!$H$6:$H$405,$AP2759)),"時短終了日がマスタと相違／","")))&amp;IF(AND($B2759&lt;&gt;"",$E2759=""),"報酬額が未入力／","")&amp;IF(N($U2759)&gt;0,"申請書に入力エラーが残っています／","")&amp;IF(AND($B2759&lt;&gt;"",$AQ2759&lt;&gt;""),IF(COUNTIFS($B$6:$B$3005,$B2759,$C$6:$C$3005,$C2759,$D$6:$D$3005,$D2759)&gt;1,"同じ月の請求が重複しています／",""),"")&amp;IF(AND(N($E2759)&gt;0,$AB2759&lt;&gt;"",$AB2759&lt;&gt;"×",$AE2759=0,$AD2759=""),"計算額が下限以下のため不支給／",""))</f>
        <v/>
      </c>
      <c r="AN2759" s="12" t="n"/>
      <c r="AO2759" s="14">
        <f>IF($AF2759="保留中",COUNTIF($AF$6:$AF2759,"保留中"),"")</f>
        <v/>
      </c>
      <c r="AP2759" s="14">
        <f>IF($AQ2759="","",IF(SUMPRODUCT(MAX((職員マスタ!$A$6:$A$405=$B2759)*(((職員マスタ!$G$6:$G$405="")+(職員マスタ!$G$6:$G$405&lt;=EOMONTH($AQ2759,0)))&gt;0)*(((職員マスタ!$H$6:$H$405="")+(職員マスタ!$H$6:$H$405&gt;=$AQ2759))&gt;0)*(ROW(職員マスタ!$A$6:$A$405)-5)))&gt;0,SUMPRODUCT(MAX((職員マスタ!$A$6:$A$405=$B2759)*(((職員マスタ!$G$6:$G$405="")+(職員マスタ!$G$6:$G$405&lt;=EOMONTH($AQ2759,0)))&gt;0)*(((職員マスタ!$H$6:$H$405="")+(職員マスタ!$H$6:$H$405&gt;=$AQ2759))&gt;0)*(ROW(職員マスタ!$A$6:$A$405)-5))),IFERROR(MATCH($B2759,職員マスタ!$A$6:$A$405,0),"")))</f>
        <v/>
      </c>
      <c r="AQ2759" s="16">
        <f>IF(OR($B2759="",$C2759="",$D2759=""),"",DATE($C2759+2018,$D2759,1))</f>
        <v/>
      </c>
    </row>
    <row r="2760">
      <c r="A2760" s="11" t="n"/>
      <c r="B2760" s="12" t="n"/>
      <c r="C2760" s="12" t="n"/>
      <c r="D2760" s="12" t="n"/>
      <c r="E2760" s="13" t="n"/>
      <c r="F2760" s="12" t="n"/>
      <c r="G2760" s="13" t="n"/>
      <c r="H2760" s="12" t="n"/>
      <c r="I2760" s="12" t="n"/>
      <c r="J2760" s="12" t="n"/>
      <c r="K2760" s="12" t="n"/>
      <c r="L2760" s="11" t="n"/>
      <c r="M2760" s="11" t="n"/>
      <c r="N2760" s="11" t="n"/>
      <c r="O2760" s="11" t="n"/>
      <c r="P2760" s="12" t="n"/>
      <c r="Q2760" s="11" t="n"/>
      <c r="R2760" s="12" t="n"/>
      <c r="S2760" s="11" t="n"/>
      <c r="T2760" s="12" t="n"/>
      <c r="U2760" s="12" t="n"/>
      <c r="V2760" s="12" t="n"/>
      <c r="W2760" s="13" t="n"/>
      <c r="X2760" s="14">
        <f>IF($AP2760="",IF($B2760="","",$H2760),IF(INDEX(職員マスタ!$B$6:$B$405,$AP2760)="",$H2760,INDEX(職員マスタ!$B$6:$B$405,$AP2760)))</f>
        <v/>
      </c>
      <c r="Y2760" s="14">
        <f>IF($AP2760="",IF($B2760="","",$R2760),IF(INDEX(職員マスタ!$C$6:$C$405,$AP2760)="",$R2760,INDEX(職員マスタ!$C$6:$C$405,$AP2760)))</f>
        <v/>
      </c>
      <c r="Z2760" s="14">
        <f>IF($AQ2760="","","R"&amp;$C2760&amp;"."&amp;$D2760)</f>
        <v/>
      </c>
      <c r="AA2760" s="15">
        <f>IF(IF($AP2760="",FALSE,INDEX(職員マスタ!$K$6:$K$405,$AP2760)&lt;&gt;""),INDEX(職員マスタ!$K$6:$K$405,$AP2760),IF(N($W2760)&gt;0,$W2760,""))</f>
        <v/>
      </c>
      <c r="AB2760" s="14">
        <f>IF(OR($E2760="",$AA2760=""),"",IF($E2760&gt;=$AA2760,"×",IF($E2760&gt;=$AA2760*設定!$C$5,"△","○")))</f>
        <v/>
      </c>
      <c r="AC2760" s="15">
        <f>IF($AB2760="","",IF($AB2760="×",0,IF($AB2760="○",ROUNDDOWN($E2760*設定!$C$4,0),ROUNDDOWN($E2760*ROUND((9*$AA2760-9*$E2760)/(10*$E2760),4),0))))</f>
        <v/>
      </c>
      <c r="AD2760" s="13" t="n"/>
      <c r="AE2760" s="15">
        <f>IF($B2760="","",IF($AD2760&lt;&gt;"",$AD2760,IF($AC2760="","",IF($AC2760&lt;=設定!$C$3,0,$AC2760))))</f>
        <v/>
      </c>
      <c r="AF2760" s="14">
        <f>IF($B2760="","",IF(AND($AG2760&lt;&gt;"",$AI2760="",$AL2760=""),"保留中",IF($AL2760&lt;&gt;"",IF(N($AE2760)&gt;0,"支給済","不支給"),IF($AE2760="","要確認",IF($AE2760=0,"不支給","未処理")))))</f>
        <v/>
      </c>
      <c r="AG2760" s="12" t="n"/>
      <c r="AH2760" s="11" t="n"/>
      <c r="AI2760" s="11" t="n"/>
      <c r="AJ2760" s="11" t="n"/>
      <c r="AK2760" s="14">
        <f>IF(AND($AF2760="保留中",$AH2760&lt;&gt;""),TODAY()-$AH2760,"")</f>
        <v/>
      </c>
      <c r="AL2760" s="12" t="n"/>
      <c r="AM2760" s="14">
        <f>IF($B2760="","",IF($AQ2760="","対象年月が未入力／","")&amp;IF($B2760="","",IF($AP2760="","職員マスタに未登録の職員番号／",IF($AA2760="","標準報酬月額が未登録／","")&amp;IF(AND($AQ2760&lt;&gt;"",OR(AND(INDEX(職員マスタ!$G$6:$G$405,$AP2760)&lt;&gt;"",INDEX(職員マスタ!$G$6:$G$405,$AP2760)&gt;EOMONTH($AQ2760,0)),AND(INDEX(職員マスタ!$H$6:$H$405,$AP2760)&lt;&gt;"",INDEX(職員マスタ!$H$6:$H$405,$AP2760)&lt;$AQ2760))),"対象月が時短期間外／","")&amp;IF(AND(INDEX(職員マスタ!$K$6:$K$405,$AP2760)&lt;&gt;"",N($W2760)&gt;0,INDEX(職員マスタ!$K$6:$K$405,$AP2760)&lt;&gt;$W2760),"標準報酬月額が申請書と相違（台帳"&amp;TEXT(INDEX(職員マスタ!$K$6:$K$405,$AP2760),"#,##0")&amp;"円／申請書"&amp;TEXT($W2760,"#,##0")&amp;"円）／","")&amp;IF(AND(INDEX(職員マスタ!$F$6:$F$405,$AP2760)&lt;&gt;"",$AQ2760&lt;&gt;"",INDEX(職員マスタ!$F$6:$F$405,$AP2760)&lt;$AQ2760),"対象月に子が2歳到達済／","")&amp;IF(AND($H2760&lt;&gt;"",INDEX(職員マスタ!$B$6:$B$405,$AP2760)&lt;&gt;"",SUBSTITUTE(SUBSTITUTE($H2760," ","")," ","")&lt;&gt;SUBSTITUTE(SUBSTITUTE(INDEX(職員マスタ!$B$6:$B$405,$AP2760)," ","")," ","")),"氏名がマスタと相違／","")&amp;IF(AND($Q2760&lt;&gt;"",INDEX(職員マスタ!$E$6:$E$405,$AP2760)&lt;&gt;"",$Q2760&lt;&gt;INDEX(職員マスタ!$E$6:$E$405,$AP2760)),"子の生年月日がマスタと相違／","")&amp;IF(AND($L2760&lt;&gt;"",INDEX(職員マスタ!$G$6:$G$405,$AP2760)&lt;&gt;"",$L2760&lt;&gt;INDEX(職員マスタ!$G$6:$G$405,$AP2760)),"時短開始日がマスタと相違／","")&amp;IF(AND($M2760&lt;&gt;"",INDEX(職員マスタ!$H$6:$H$405,$AP2760)&lt;&gt;"",$M2760&lt;&gt;INDEX(職員マスタ!$H$6:$H$405,$AP2760)),"時短終了日がマスタと相違／","")))&amp;IF(AND($B2760&lt;&gt;"",$E2760=""),"報酬額が未入力／","")&amp;IF(N($U2760)&gt;0,"申請書に入力エラーが残っています／","")&amp;IF(AND($B2760&lt;&gt;"",$AQ2760&lt;&gt;""),IF(COUNTIFS($B$6:$B$3005,$B2760,$C$6:$C$3005,$C2760,$D$6:$D$3005,$D2760)&gt;1,"同じ月の請求が重複しています／",""),"")&amp;IF(AND(N($E2760)&gt;0,$AB2760&lt;&gt;"",$AB2760&lt;&gt;"×",$AE2760=0,$AD2760=""),"計算額が下限以下のため不支給／",""))</f>
        <v/>
      </c>
      <c r="AN2760" s="12" t="n"/>
      <c r="AO2760" s="14">
        <f>IF($AF2760="保留中",COUNTIF($AF$6:$AF2760,"保留中"),"")</f>
        <v/>
      </c>
      <c r="AP2760" s="14">
        <f>IF($AQ2760="","",IF(SUMPRODUCT(MAX((職員マスタ!$A$6:$A$405=$B2760)*(((職員マスタ!$G$6:$G$405="")+(職員マスタ!$G$6:$G$405&lt;=EOMONTH($AQ2760,0)))&gt;0)*(((職員マスタ!$H$6:$H$405="")+(職員マスタ!$H$6:$H$405&gt;=$AQ2760))&gt;0)*(ROW(職員マスタ!$A$6:$A$405)-5)))&gt;0,SUMPRODUCT(MAX((職員マスタ!$A$6:$A$405=$B2760)*(((職員マスタ!$G$6:$G$405="")+(職員マスタ!$G$6:$G$405&lt;=EOMONTH($AQ2760,0)))&gt;0)*(((職員マスタ!$H$6:$H$405="")+(職員マスタ!$H$6:$H$405&gt;=$AQ2760))&gt;0)*(ROW(職員マスタ!$A$6:$A$405)-5))),IFERROR(MATCH($B2760,職員マスタ!$A$6:$A$405,0),"")))</f>
        <v/>
      </c>
      <c r="AQ2760" s="16">
        <f>IF(OR($B2760="",$C2760="",$D2760=""),"",DATE($C2760+2018,$D2760,1))</f>
        <v/>
      </c>
    </row>
    <row r="2761">
      <c r="A2761" s="11" t="n"/>
      <c r="B2761" s="12" t="n"/>
      <c r="C2761" s="12" t="n"/>
      <c r="D2761" s="12" t="n"/>
      <c r="E2761" s="13" t="n"/>
      <c r="F2761" s="12" t="n"/>
      <c r="G2761" s="13" t="n"/>
      <c r="H2761" s="12" t="n"/>
      <c r="I2761" s="12" t="n"/>
      <c r="J2761" s="12" t="n"/>
      <c r="K2761" s="12" t="n"/>
      <c r="L2761" s="11" t="n"/>
      <c r="M2761" s="11" t="n"/>
      <c r="N2761" s="11" t="n"/>
      <c r="O2761" s="11" t="n"/>
      <c r="P2761" s="12" t="n"/>
      <c r="Q2761" s="11" t="n"/>
      <c r="R2761" s="12" t="n"/>
      <c r="S2761" s="11" t="n"/>
      <c r="T2761" s="12" t="n"/>
      <c r="U2761" s="12" t="n"/>
      <c r="V2761" s="12" t="n"/>
      <c r="W2761" s="13" t="n"/>
      <c r="X2761" s="14">
        <f>IF($AP2761="",IF($B2761="","",$H2761),IF(INDEX(職員マスタ!$B$6:$B$405,$AP2761)="",$H2761,INDEX(職員マスタ!$B$6:$B$405,$AP2761)))</f>
        <v/>
      </c>
      <c r="Y2761" s="14">
        <f>IF($AP2761="",IF($B2761="","",$R2761),IF(INDEX(職員マスタ!$C$6:$C$405,$AP2761)="",$R2761,INDEX(職員マスタ!$C$6:$C$405,$AP2761)))</f>
        <v/>
      </c>
      <c r="Z2761" s="14">
        <f>IF($AQ2761="","","R"&amp;$C2761&amp;"."&amp;$D2761)</f>
        <v/>
      </c>
      <c r="AA2761" s="15">
        <f>IF(IF($AP2761="",FALSE,INDEX(職員マスタ!$K$6:$K$405,$AP2761)&lt;&gt;""),INDEX(職員マスタ!$K$6:$K$405,$AP2761),IF(N($W2761)&gt;0,$W2761,""))</f>
        <v/>
      </c>
      <c r="AB2761" s="14">
        <f>IF(OR($E2761="",$AA2761=""),"",IF($E2761&gt;=$AA2761,"×",IF($E2761&gt;=$AA2761*設定!$C$5,"△","○")))</f>
        <v/>
      </c>
      <c r="AC2761" s="15">
        <f>IF($AB2761="","",IF($AB2761="×",0,IF($AB2761="○",ROUNDDOWN($E2761*設定!$C$4,0),ROUNDDOWN($E2761*ROUND((9*$AA2761-9*$E2761)/(10*$E2761),4),0))))</f>
        <v/>
      </c>
      <c r="AD2761" s="13" t="n"/>
      <c r="AE2761" s="15">
        <f>IF($B2761="","",IF($AD2761&lt;&gt;"",$AD2761,IF($AC2761="","",IF($AC2761&lt;=設定!$C$3,0,$AC2761))))</f>
        <v/>
      </c>
      <c r="AF2761" s="14">
        <f>IF($B2761="","",IF(AND($AG2761&lt;&gt;"",$AI2761="",$AL2761=""),"保留中",IF($AL2761&lt;&gt;"",IF(N($AE2761)&gt;0,"支給済","不支給"),IF($AE2761="","要確認",IF($AE2761=0,"不支給","未処理")))))</f>
        <v/>
      </c>
      <c r="AG2761" s="12" t="n"/>
      <c r="AH2761" s="11" t="n"/>
      <c r="AI2761" s="11" t="n"/>
      <c r="AJ2761" s="11" t="n"/>
      <c r="AK2761" s="14">
        <f>IF(AND($AF2761="保留中",$AH2761&lt;&gt;""),TODAY()-$AH2761,"")</f>
        <v/>
      </c>
      <c r="AL2761" s="12" t="n"/>
      <c r="AM2761" s="14">
        <f>IF($B2761="","",IF($AQ2761="","対象年月が未入力／","")&amp;IF($B2761="","",IF($AP2761="","職員マスタに未登録の職員番号／",IF($AA2761="","標準報酬月額が未登録／","")&amp;IF(AND($AQ2761&lt;&gt;"",OR(AND(INDEX(職員マスタ!$G$6:$G$405,$AP2761)&lt;&gt;"",INDEX(職員マスタ!$G$6:$G$405,$AP2761)&gt;EOMONTH($AQ2761,0)),AND(INDEX(職員マスタ!$H$6:$H$405,$AP2761)&lt;&gt;"",INDEX(職員マスタ!$H$6:$H$405,$AP2761)&lt;$AQ2761))),"対象月が時短期間外／","")&amp;IF(AND(INDEX(職員マスタ!$K$6:$K$405,$AP2761)&lt;&gt;"",N($W2761)&gt;0,INDEX(職員マスタ!$K$6:$K$405,$AP2761)&lt;&gt;$W2761),"標準報酬月額が申請書と相違（台帳"&amp;TEXT(INDEX(職員マスタ!$K$6:$K$405,$AP2761),"#,##0")&amp;"円／申請書"&amp;TEXT($W2761,"#,##0")&amp;"円）／","")&amp;IF(AND(INDEX(職員マスタ!$F$6:$F$405,$AP2761)&lt;&gt;"",$AQ2761&lt;&gt;"",INDEX(職員マスタ!$F$6:$F$405,$AP2761)&lt;$AQ2761),"対象月に子が2歳到達済／","")&amp;IF(AND($H2761&lt;&gt;"",INDEX(職員マスタ!$B$6:$B$405,$AP2761)&lt;&gt;"",SUBSTITUTE(SUBSTITUTE($H2761," ","")," ","")&lt;&gt;SUBSTITUTE(SUBSTITUTE(INDEX(職員マスタ!$B$6:$B$405,$AP2761)," ","")," ","")),"氏名がマスタと相違／","")&amp;IF(AND($Q2761&lt;&gt;"",INDEX(職員マスタ!$E$6:$E$405,$AP2761)&lt;&gt;"",$Q2761&lt;&gt;INDEX(職員マスタ!$E$6:$E$405,$AP2761)),"子の生年月日がマスタと相違／","")&amp;IF(AND($L2761&lt;&gt;"",INDEX(職員マスタ!$G$6:$G$405,$AP2761)&lt;&gt;"",$L2761&lt;&gt;INDEX(職員マスタ!$G$6:$G$405,$AP2761)),"時短開始日がマスタと相違／","")&amp;IF(AND($M2761&lt;&gt;"",INDEX(職員マスタ!$H$6:$H$405,$AP2761)&lt;&gt;"",$M2761&lt;&gt;INDEX(職員マスタ!$H$6:$H$405,$AP2761)),"時短終了日がマスタと相違／","")))&amp;IF(AND($B2761&lt;&gt;"",$E2761=""),"報酬額が未入力／","")&amp;IF(N($U2761)&gt;0,"申請書に入力エラーが残っています／","")&amp;IF(AND($B2761&lt;&gt;"",$AQ2761&lt;&gt;""),IF(COUNTIFS($B$6:$B$3005,$B2761,$C$6:$C$3005,$C2761,$D$6:$D$3005,$D2761)&gt;1,"同じ月の請求が重複しています／",""),"")&amp;IF(AND(N($E2761)&gt;0,$AB2761&lt;&gt;"",$AB2761&lt;&gt;"×",$AE2761=0,$AD2761=""),"計算額が下限以下のため不支給／",""))</f>
        <v/>
      </c>
      <c r="AN2761" s="12" t="n"/>
      <c r="AO2761" s="14">
        <f>IF($AF2761="保留中",COUNTIF($AF$6:$AF2761,"保留中"),"")</f>
        <v/>
      </c>
      <c r="AP2761" s="14">
        <f>IF($AQ2761="","",IF(SUMPRODUCT(MAX((職員マスタ!$A$6:$A$405=$B2761)*(((職員マスタ!$G$6:$G$405="")+(職員マスタ!$G$6:$G$405&lt;=EOMONTH($AQ2761,0)))&gt;0)*(((職員マスタ!$H$6:$H$405="")+(職員マスタ!$H$6:$H$405&gt;=$AQ2761))&gt;0)*(ROW(職員マスタ!$A$6:$A$405)-5)))&gt;0,SUMPRODUCT(MAX((職員マスタ!$A$6:$A$405=$B2761)*(((職員マスタ!$G$6:$G$405="")+(職員マスタ!$G$6:$G$405&lt;=EOMONTH($AQ2761,0)))&gt;0)*(((職員マスタ!$H$6:$H$405="")+(職員マスタ!$H$6:$H$405&gt;=$AQ2761))&gt;0)*(ROW(職員マスタ!$A$6:$A$405)-5))),IFERROR(MATCH($B2761,職員マスタ!$A$6:$A$405,0),"")))</f>
        <v/>
      </c>
      <c r="AQ2761" s="16">
        <f>IF(OR($B2761="",$C2761="",$D2761=""),"",DATE($C2761+2018,$D2761,1))</f>
        <v/>
      </c>
    </row>
    <row r="2762">
      <c r="A2762" s="11" t="n"/>
      <c r="B2762" s="12" t="n"/>
      <c r="C2762" s="12" t="n"/>
      <c r="D2762" s="12" t="n"/>
      <c r="E2762" s="13" t="n"/>
      <c r="F2762" s="12" t="n"/>
      <c r="G2762" s="13" t="n"/>
      <c r="H2762" s="12" t="n"/>
      <c r="I2762" s="12" t="n"/>
      <c r="J2762" s="12" t="n"/>
      <c r="K2762" s="12" t="n"/>
      <c r="L2762" s="11" t="n"/>
      <c r="M2762" s="11" t="n"/>
      <c r="N2762" s="11" t="n"/>
      <c r="O2762" s="11" t="n"/>
      <c r="P2762" s="12" t="n"/>
      <c r="Q2762" s="11" t="n"/>
      <c r="R2762" s="12" t="n"/>
      <c r="S2762" s="11" t="n"/>
      <c r="T2762" s="12" t="n"/>
      <c r="U2762" s="12" t="n"/>
      <c r="V2762" s="12" t="n"/>
      <c r="W2762" s="13" t="n"/>
      <c r="X2762" s="14">
        <f>IF($AP2762="",IF($B2762="","",$H2762),IF(INDEX(職員マスタ!$B$6:$B$405,$AP2762)="",$H2762,INDEX(職員マスタ!$B$6:$B$405,$AP2762)))</f>
        <v/>
      </c>
      <c r="Y2762" s="14">
        <f>IF($AP2762="",IF($B2762="","",$R2762),IF(INDEX(職員マスタ!$C$6:$C$405,$AP2762)="",$R2762,INDEX(職員マスタ!$C$6:$C$405,$AP2762)))</f>
        <v/>
      </c>
      <c r="Z2762" s="14">
        <f>IF($AQ2762="","","R"&amp;$C2762&amp;"."&amp;$D2762)</f>
        <v/>
      </c>
      <c r="AA2762" s="15">
        <f>IF(IF($AP2762="",FALSE,INDEX(職員マスタ!$K$6:$K$405,$AP2762)&lt;&gt;""),INDEX(職員マスタ!$K$6:$K$405,$AP2762),IF(N($W2762)&gt;0,$W2762,""))</f>
        <v/>
      </c>
      <c r="AB2762" s="14">
        <f>IF(OR($E2762="",$AA2762=""),"",IF($E2762&gt;=$AA2762,"×",IF($E2762&gt;=$AA2762*設定!$C$5,"△","○")))</f>
        <v/>
      </c>
      <c r="AC2762" s="15">
        <f>IF($AB2762="","",IF($AB2762="×",0,IF($AB2762="○",ROUNDDOWN($E2762*設定!$C$4,0),ROUNDDOWN($E2762*ROUND((9*$AA2762-9*$E2762)/(10*$E2762),4),0))))</f>
        <v/>
      </c>
      <c r="AD2762" s="13" t="n"/>
      <c r="AE2762" s="15">
        <f>IF($B2762="","",IF($AD2762&lt;&gt;"",$AD2762,IF($AC2762="","",IF($AC2762&lt;=設定!$C$3,0,$AC2762))))</f>
        <v/>
      </c>
      <c r="AF2762" s="14">
        <f>IF($B2762="","",IF(AND($AG2762&lt;&gt;"",$AI2762="",$AL2762=""),"保留中",IF($AL2762&lt;&gt;"",IF(N($AE2762)&gt;0,"支給済","不支給"),IF($AE2762="","要確認",IF($AE2762=0,"不支給","未処理")))))</f>
        <v/>
      </c>
      <c r="AG2762" s="12" t="n"/>
      <c r="AH2762" s="11" t="n"/>
      <c r="AI2762" s="11" t="n"/>
      <c r="AJ2762" s="11" t="n"/>
      <c r="AK2762" s="14">
        <f>IF(AND($AF2762="保留中",$AH2762&lt;&gt;""),TODAY()-$AH2762,"")</f>
        <v/>
      </c>
      <c r="AL2762" s="12" t="n"/>
      <c r="AM2762" s="14">
        <f>IF($B2762="","",IF($AQ2762="","対象年月が未入力／","")&amp;IF($B2762="","",IF($AP2762="","職員マスタに未登録の職員番号／",IF($AA2762="","標準報酬月額が未登録／","")&amp;IF(AND($AQ2762&lt;&gt;"",OR(AND(INDEX(職員マスタ!$G$6:$G$405,$AP2762)&lt;&gt;"",INDEX(職員マスタ!$G$6:$G$405,$AP2762)&gt;EOMONTH($AQ2762,0)),AND(INDEX(職員マスタ!$H$6:$H$405,$AP2762)&lt;&gt;"",INDEX(職員マスタ!$H$6:$H$405,$AP2762)&lt;$AQ2762))),"対象月が時短期間外／","")&amp;IF(AND(INDEX(職員マスタ!$K$6:$K$405,$AP2762)&lt;&gt;"",N($W2762)&gt;0,INDEX(職員マスタ!$K$6:$K$405,$AP2762)&lt;&gt;$W2762),"標準報酬月額が申請書と相違（台帳"&amp;TEXT(INDEX(職員マスタ!$K$6:$K$405,$AP2762),"#,##0")&amp;"円／申請書"&amp;TEXT($W2762,"#,##0")&amp;"円）／","")&amp;IF(AND(INDEX(職員マスタ!$F$6:$F$405,$AP2762)&lt;&gt;"",$AQ2762&lt;&gt;"",INDEX(職員マスタ!$F$6:$F$405,$AP2762)&lt;$AQ2762),"対象月に子が2歳到達済／","")&amp;IF(AND($H2762&lt;&gt;"",INDEX(職員マスタ!$B$6:$B$405,$AP2762)&lt;&gt;"",SUBSTITUTE(SUBSTITUTE($H2762," ","")," ","")&lt;&gt;SUBSTITUTE(SUBSTITUTE(INDEX(職員マスタ!$B$6:$B$405,$AP2762)," ","")," ","")),"氏名がマスタと相違／","")&amp;IF(AND($Q2762&lt;&gt;"",INDEX(職員マスタ!$E$6:$E$405,$AP2762)&lt;&gt;"",$Q2762&lt;&gt;INDEX(職員マスタ!$E$6:$E$405,$AP2762)),"子の生年月日がマスタと相違／","")&amp;IF(AND($L2762&lt;&gt;"",INDEX(職員マスタ!$G$6:$G$405,$AP2762)&lt;&gt;"",$L2762&lt;&gt;INDEX(職員マスタ!$G$6:$G$405,$AP2762)),"時短開始日がマスタと相違／","")&amp;IF(AND($M2762&lt;&gt;"",INDEX(職員マスタ!$H$6:$H$405,$AP2762)&lt;&gt;"",$M2762&lt;&gt;INDEX(職員マスタ!$H$6:$H$405,$AP2762)),"時短終了日がマスタと相違／","")))&amp;IF(AND($B2762&lt;&gt;"",$E2762=""),"報酬額が未入力／","")&amp;IF(N($U2762)&gt;0,"申請書に入力エラーが残っています／","")&amp;IF(AND($B2762&lt;&gt;"",$AQ2762&lt;&gt;""),IF(COUNTIFS($B$6:$B$3005,$B2762,$C$6:$C$3005,$C2762,$D$6:$D$3005,$D2762)&gt;1,"同じ月の請求が重複しています／",""),"")&amp;IF(AND(N($E2762)&gt;0,$AB2762&lt;&gt;"",$AB2762&lt;&gt;"×",$AE2762=0,$AD2762=""),"計算額が下限以下のため不支給／",""))</f>
        <v/>
      </c>
      <c r="AN2762" s="12" t="n"/>
      <c r="AO2762" s="14">
        <f>IF($AF2762="保留中",COUNTIF($AF$6:$AF2762,"保留中"),"")</f>
        <v/>
      </c>
      <c r="AP2762" s="14">
        <f>IF($AQ2762="","",IF(SUMPRODUCT(MAX((職員マスタ!$A$6:$A$405=$B2762)*(((職員マスタ!$G$6:$G$405="")+(職員マスタ!$G$6:$G$405&lt;=EOMONTH($AQ2762,0)))&gt;0)*(((職員マスタ!$H$6:$H$405="")+(職員マスタ!$H$6:$H$405&gt;=$AQ2762))&gt;0)*(ROW(職員マスタ!$A$6:$A$405)-5)))&gt;0,SUMPRODUCT(MAX((職員マスタ!$A$6:$A$405=$B2762)*(((職員マスタ!$G$6:$G$405="")+(職員マスタ!$G$6:$G$405&lt;=EOMONTH($AQ2762,0)))&gt;0)*(((職員マスタ!$H$6:$H$405="")+(職員マスタ!$H$6:$H$405&gt;=$AQ2762))&gt;0)*(ROW(職員マスタ!$A$6:$A$405)-5))),IFERROR(MATCH($B2762,職員マスタ!$A$6:$A$405,0),"")))</f>
        <v/>
      </c>
      <c r="AQ2762" s="16">
        <f>IF(OR($B2762="",$C2762="",$D2762=""),"",DATE($C2762+2018,$D2762,1))</f>
        <v/>
      </c>
    </row>
    <row r="2763">
      <c r="A2763" s="11" t="n"/>
      <c r="B2763" s="12" t="n"/>
      <c r="C2763" s="12" t="n"/>
      <c r="D2763" s="12" t="n"/>
      <c r="E2763" s="13" t="n"/>
      <c r="F2763" s="12" t="n"/>
      <c r="G2763" s="13" t="n"/>
      <c r="H2763" s="12" t="n"/>
      <c r="I2763" s="12" t="n"/>
      <c r="J2763" s="12" t="n"/>
      <c r="K2763" s="12" t="n"/>
      <c r="L2763" s="11" t="n"/>
      <c r="M2763" s="11" t="n"/>
      <c r="N2763" s="11" t="n"/>
      <c r="O2763" s="11" t="n"/>
      <c r="P2763" s="12" t="n"/>
      <c r="Q2763" s="11" t="n"/>
      <c r="R2763" s="12" t="n"/>
      <c r="S2763" s="11" t="n"/>
      <c r="T2763" s="12" t="n"/>
      <c r="U2763" s="12" t="n"/>
      <c r="V2763" s="12" t="n"/>
      <c r="W2763" s="13" t="n"/>
      <c r="X2763" s="14">
        <f>IF($AP2763="",IF($B2763="","",$H2763),IF(INDEX(職員マスタ!$B$6:$B$405,$AP2763)="",$H2763,INDEX(職員マスタ!$B$6:$B$405,$AP2763)))</f>
        <v/>
      </c>
      <c r="Y2763" s="14">
        <f>IF($AP2763="",IF($B2763="","",$R2763),IF(INDEX(職員マスタ!$C$6:$C$405,$AP2763)="",$R2763,INDEX(職員マスタ!$C$6:$C$405,$AP2763)))</f>
        <v/>
      </c>
      <c r="Z2763" s="14">
        <f>IF($AQ2763="","","R"&amp;$C2763&amp;"."&amp;$D2763)</f>
        <v/>
      </c>
      <c r="AA2763" s="15">
        <f>IF(IF($AP2763="",FALSE,INDEX(職員マスタ!$K$6:$K$405,$AP2763)&lt;&gt;""),INDEX(職員マスタ!$K$6:$K$405,$AP2763),IF(N($W2763)&gt;0,$W2763,""))</f>
        <v/>
      </c>
      <c r="AB2763" s="14">
        <f>IF(OR($E2763="",$AA2763=""),"",IF($E2763&gt;=$AA2763,"×",IF($E2763&gt;=$AA2763*設定!$C$5,"△","○")))</f>
        <v/>
      </c>
      <c r="AC2763" s="15">
        <f>IF($AB2763="","",IF($AB2763="×",0,IF($AB2763="○",ROUNDDOWN($E2763*設定!$C$4,0),ROUNDDOWN($E2763*ROUND((9*$AA2763-9*$E2763)/(10*$E2763),4),0))))</f>
        <v/>
      </c>
      <c r="AD2763" s="13" t="n"/>
      <c r="AE2763" s="15">
        <f>IF($B2763="","",IF($AD2763&lt;&gt;"",$AD2763,IF($AC2763="","",IF($AC2763&lt;=設定!$C$3,0,$AC2763))))</f>
        <v/>
      </c>
      <c r="AF2763" s="14">
        <f>IF($B2763="","",IF(AND($AG2763&lt;&gt;"",$AI2763="",$AL2763=""),"保留中",IF($AL2763&lt;&gt;"",IF(N($AE2763)&gt;0,"支給済","不支給"),IF($AE2763="","要確認",IF($AE2763=0,"不支給","未処理")))))</f>
        <v/>
      </c>
      <c r="AG2763" s="12" t="n"/>
      <c r="AH2763" s="11" t="n"/>
      <c r="AI2763" s="11" t="n"/>
      <c r="AJ2763" s="11" t="n"/>
      <c r="AK2763" s="14">
        <f>IF(AND($AF2763="保留中",$AH2763&lt;&gt;""),TODAY()-$AH2763,"")</f>
        <v/>
      </c>
      <c r="AL2763" s="12" t="n"/>
      <c r="AM2763" s="14">
        <f>IF($B2763="","",IF($AQ2763="","対象年月が未入力／","")&amp;IF($B2763="","",IF($AP2763="","職員マスタに未登録の職員番号／",IF($AA2763="","標準報酬月額が未登録／","")&amp;IF(AND($AQ2763&lt;&gt;"",OR(AND(INDEX(職員マスタ!$G$6:$G$405,$AP2763)&lt;&gt;"",INDEX(職員マスタ!$G$6:$G$405,$AP2763)&gt;EOMONTH($AQ2763,0)),AND(INDEX(職員マスタ!$H$6:$H$405,$AP2763)&lt;&gt;"",INDEX(職員マスタ!$H$6:$H$405,$AP2763)&lt;$AQ2763))),"対象月が時短期間外／","")&amp;IF(AND(INDEX(職員マスタ!$K$6:$K$405,$AP2763)&lt;&gt;"",N($W2763)&gt;0,INDEX(職員マスタ!$K$6:$K$405,$AP2763)&lt;&gt;$W2763),"標準報酬月額が申請書と相違（台帳"&amp;TEXT(INDEX(職員マスタ!$K$6:$K$405,$AP2763),"#,##0")&amp;"円／申請書"&amp;TEXT($W2763,"#,##0")&amp;"円）／","")&amp;IF(AND(INDEX(職員マスタ!$F$6:$F$405,$AP2763)&lt;&gt;"",$AQ2763&lt;&gt;"",INDEX(職員マスタ!$F$6:$F$405,$AP2763)&lt;$AQ2763),"対象月に子が2歳到達済／","")&amp;IF(AND($H2763&lt;&gt;"",INDEX(職員マスタ!$B$6:$B$405,$AP2763)&lt;&gt;"",SUBSTITUTE(SUBSTITUTE($H2763," ","")," ","")&lt;&gt;SUBSTITUTE(SUBSTITUTE(INDEX(職員マスタ!$B$6:$B$405,$AP2763)," ","")," ","")),"氏名がマスタと相違／","")&amp;IF(AND($Q2763&lt;&gt;"",INDEX(職員マスタ!$E$6:$E$405,$AP2763)&lt;&gt;"",$Q2763&lt;&gt;INDEX(職員マスタ!$E$6:$E$405,$AP2763)),"子の生年月日がマスタと相違／","")&amp;IF(AND($L2763&lt;&gt;"",INDEX(職員マスタ!$G$6:$G$405,$AP2763)&lt;&gt;"",$L2763&lt;&gt;INDEX(職員マスタ!$G$6:$G$405,$AP2763)),"時短開始日がマスタと相違／","")&amp;IF(AND($M2763&lt;&gt;"",INDEX(職員マスタ!$H$6:$H$405,$AP2763)&lt;&gt;"",$M2763&lt;&gt;INDEX(職員マスタ!$H$6:$H$405,$AP2763)),"時短終了日がマスタと相違／","")))&amp;IF(AND($B2763&lt;&gt;"",$E2763=""),"報酬額が未入力／","")&amp;IF(N($U2763)&gt;0,"申請書に入力エラーが残っています／","")&amp;IF(AND($B2763&lt;&gt;"",$AQ2763&lt;&gt;""),IF(COUNTIFS($B$6:$B$3005,$B2763,$C$6:$C$3005,$C2763,$D$6:$D$3005,$D2763)&gt;1,"同じ月の請求が重複しています／",""),"")&amp;IF(AND(N($E2763)&gt;0,$AB2763&lt;&gt;"",$AB2763&lt;&gt;"×",$AE2763=0,$AD2763=""),"計算額が下限以下のため不支給／",""))</f>
        <v/>
      </c>
      <c r="AN2763" s="12" t="n"/>
      <c r="AO2763" s="14">
        <f>IF($AF2763="保留中",COUNTIF($AF$6:$AF2763,"保留中"),"")</f>
        <v/>
      </c>
      <c r="AP2763" s="14">
        <f>IF($AQ2763="","",IF(SUMPRODUCT(MAX((職員マスタ!$A$6:$A$405=$B2763)*(((職員マスタ!$G$6:$G$405="")+(職員マスタ!$G$6:$G$405&lt;=EOMONTH($AQ2763,0)))&gt;0)*(((職員マスタ!$H$6:$H$405="")+(職員マスタ!$H$6:$H$405&gt;=$AQ2763))&gt;0)*(ROW(職員マスタ!$A$6:$A$405)-5)))&gt;0,SUMPRODUCT(MAX((職員マスタ!$A$6:$A$405=$B2763)*(((職員マスタ!$G$6:$G$405="")+(職員マスタ!$G$6:$G$405&lt;=EOMONTH($AQ2763,0)))&gt;0)*(((職員マスタ!$H$6:$H$405="")+(職員マスタ!$H$6:$H$405&gt;=$AQ2763))&gt;0)*(ROW(職員マスタ!$A$6:$A$405)-5))),IFERROR(MATCH($B2763,職員マスタ!$A$6:$A$405,0),"")))</f>
        <v/>
      </c>
      <c r="AQ2763" s="16">
        <f>IF(OR($B2763="",$C2763="",$D2763=""),"",DATE($C2763+2018,$D2763,1))</f>
        <v/>
      </c>
    </row>
    <row r="2764">
      <c r="A2764" s="11" t="n"/>
      <c r="B2764" s="12" t="n"/>
      <c r="C2764" s="12" t="n"/>
      <c r="D2764" s="12" t="n"/>
      <c r="E2764" s="13" t="n"/>
      <c r="F2764" s="12" t="n"/>
      <c r="G2764" s="13" t="n"/>
      <c r="H2764" s="12" t="n"/>
      <c r="I2764" s="12" t="n"/>
      <c r="J2764" s="12" t="n"/>
      <c r="K2764" s="12" t="n"/>
      <c r="L2764" s="11" t="n"/>
      <c r="M2764" s="11" t="n"/>
      <c r="N2764" s="11" t="n"/>
      <c r="O2764" s="11" t="n"/>
      <c r="P2764" s="12" t="n"/>
      <c r="Q2764" s="11" t="n"/>
      <c r="R2764" s="12" t="n"/>
      <c r="S2764" s="11" t="n"/>
      <c r="T2764" s="12" t="n"/>
      <c r="U2764" s="12" t="n"/>
      <c r="V2764" s="12" t="n"/>
      <c r="W2764" s="13" t="n"/>
      <c r="X2764" s="14">
        <f>IF($AP2764="",IF($B2764="","",$H2764),IF(INDEX(職員マスタ!$B$6:$B$405,$AP2764)="",$H2764,INDEX(職員マスタ!$B$6:$B$405,$AP2764)))</f>
        <v/>
      </c>
      <c r="Y2764" s="14">
        <f>IF($AP2764="",IF($B2764="","",$R2764),IF(INDEX(職員マスタ!$C$6:$C$405,$AP2764)="",$R2764,INDEX(職員マスタ!$C$6:$C$405,$AP2764)))</f>
        <v/>
      </c>
      <c r="Z2764" s="14">
        <f>IF($AQ2764="","","R"&amp;$C2764&amp;"."&amp;$D2764)</f>
        <v/>
      </c>
      <c r="AA2764" s="15">
        <f>IF(IF($AP2764="",FALSE,INDEX(職員マスタ!$K$6:$K$405,$AP2764)&lt;&gt;""),INDEX(職員マスタ!$K$6:$K$405,$AP2764),IF(N($W2764)&gt;0,$W2764,""))</f>
        <v/>
      </c>
      <c r="AB2764" s="14">
        <f>IF(OR($E2764="",$AA2764=""),"",IF($E2764&gt;=$AA2764,"×",IF($E2764&gt;=$AA2764*設定!$C$5,"△","○")))</f>
        <v/>
      </c>
      <c r="AC2764" s="15">
        <f>IF($AB2764="","",IF($AB2764="×",0,IF($AB2764="○",ROUNDDOWN($E2764*設定!$C$4,0),ROUNDDOWN($E2764*ROUND((9*$AA2764-9*$E2764)/(10*$E2764),4),0))))</f>
        <v/>
      </c>
      <c r="AD2764" s="13" t="n"/>
      <c r="AE2764" s="15">
        <f>IF($B2764="","",IF($AD2764&lt;&gt;"",$AD2764,IF($AC2764="","",IF($AC2764&lt;=設定!$C$3,0,$AC2764))))</f>
        <v/>
      </c>
      <c r="AF2764" s="14">
        <f>IF($B2764="","",IF(AND($AG2764&lt;&gt;"",$AI2764="",$AL2764=""),"保留中",IF($AL2764&lt;&gt;"",IF(N($AE2764)&gt;0,"支給済","不支給"),IF($AE2764="","要確認",IF($AE2764=0,"不支給","未処理")))))</f>
        <v/>
      </c>
      <c r="AG2764" s="12" t="n"/>
      <c r="AH2764" s="11" t="n"/>
      <c r="AI2764" s="11" t="n"/>
      <c r="AJ2764" s="11" t="n"/>
      <c r="AK2764" s="14">
        <f>IF(AND($AF2764="保留中",$AH2764&lt;&gt;""),TODAY()-$AH2764,"")</f>
        <v/>
      </c>
      <c r="AL2764" s="12" t="n"/>
      <c r="AM2764" s="14">
        <f>IF($B2764="","",IF($AQ2764="","対象年月が未入力／","")&amp;IF($B2764="","",IF($AP2764="","職員マスタに未登録の職員番号／",IF($AA2764="","標準報酬月額が未登録／","")&amp;IF(AND($AQ2764&lt;&gt;"",OR(AND(INDEX(職員マスタ!$G$6:$G$405,$AP2764)&lt;&gt;"",INDEX(職員マスタ!$G$6:$G$405,$AP2764)&gt;EOMONTH($AQ2764,0)),AND(INDEX(職員マスタ!$H$6:$H$405,$AP2764)&lt;&gt;"",INDEX(職員マスタ!$H$6:$H$405,$AP2764)&lt;$AQ2764))),"対象月が時短期間外／","")&amp;IF(AND(INDEX(職員マスタ!$K$6:$K$405,$AP2764)&lt;&gt;"",N($W2764)&gt;0,INDEX(職員マスタ!$K$6:$K$405,$AP2764)&lt;&gt;$W2764),"標準報酬月額が申請書と相違（台帳"&amp;TEXT(INDEX(職員マスタ!$K$6:$K$405,$AP2764),"#,##0")&amp;"円／申請書"&amp;TEXT($W2764,"#,##0")&amp;"円）／","")&amp;IF(AND(INDEX(職員マスタ!$F$6:$F$405,$AP2764)&lt;&gt;"",$AQ2764&lt;&gt;"",INDEX(職員マスタ!$F$6:$F$405,$AP2764)&lt;$AQ2764),"対象月に子が2歳到達済／","")&amp;IF(AND($H2764&lt;&gt;"",INDEX(職員マスタ!$B$6:$B$405,$AP2764)&lt;&gt;"",SUBSTITUTE(SUBSTITUTE($H2764," ","")," ","")&lt;&gt;SUBSTITUTE(SUBSTITUTE(INDEX(職員マスタ!$B$6:$B$405,$AP2764)," ","")," ","")),"氏名がマスタと相違／","")&amp;IF(AND($Q2764&lt;&gt;"",INDEX(職員マスタ!$E$6:$E$405,$AP2764)&lt;&gt;"",$Q2764&lt;&gt;INDEX(職員マスタ!$E$6:$E$405,$AP2764)),"子の生年月日がマスタと相違／","")&amp;IF(AND($L2764&lt;&gt;"",INDEX(職員マスタ!$G$6:$G$405,$AP2764)&lt;&gt;"",$L2764&lt;&gt;INDEX(職員マスタ!$G$6:$G$405,$AP2764)),"時短開始日がマスタと相違／","")&amp;IF(AND($M2764&lt;&gt;"",INDEX(職員マスタ!$H$6:$H$405,$AP2764)&lt;&gt;"",$M2764&lt;&gt;INDEX(職員マスタ!$H$6:$H$405,$AP2764)),"時短終了日がマスタと相違／","")))&amp;IF(AND($B2764&lt;&gt;"",$E2764=""),"報酬額が未入力／","")&amp;IF(N($U2764)&gt;0,"申請書に入力エラーが残っています／","")&amp;IF(AND($B2764&lt;&gt;"",$AQ2764&lt;&gt;""),IF(COUNTIFS($B$6:$B$3005,$B2764,$C$6:$C$3005,$C2764,$D$6:$D$3005,$D2764)&gt;1,"同じ月の請求が重複しています／",""),"")&amp;IF(AND(N($E2764)&gt;0,$AB2764&lt;&gt;"",$AB2764&lt;&gt;"×",$AE2764=0,$AD2764=""),"計算額が下限以下のため不支給／",""))</f>
        <v/>
      </c>
      <c r="AN2764" s="12" t="n"/>
      <c r="AO2764" s="14">
        <f>IF($AF2764="保留中",COUNTIF($AF$6:$AF2764,"保留中"),"")</f>
        <v/>
      </c>
      <c r="AP2764" s="14">
        <f>IF($AQ2764="","",IF(SUMPRODUCT(MAX((職員マスタ!$A$6:$A$405=$B2764)*(((職員マスタ!$G$6:$G$405="")+(職員マスタ!$G$6:$G$405&lt;=EOMONTH($AQ2764,0)))&gt;0)*(((職員マスタ!$H$6:$H$405="")+(職員マスタ!$H$6:$H$405&gt;=$AQ2764))&gt;0)*(ROW(職員マスタ!$A$6:$A$405)-5)))&gt;0,SUMPRODUCT(MAX((職員マスタ!$A$6:$A$405=$B2764)*(((職員マスタ!$G$6:$G$405="")+(職員マスタ!$G$6:$G$405&lt;=EOMONTH($AQ2764,0)))&gt;0)*(((職員マスタ!$H$6:$H$405="")+(職員マスタ!$H$6:$H$405&gt;=$AQ2764))&gt;0)*(ROW(職員マスタ!$A$6:$A$405)-5))),IFERROR(MATCH($B2764,職員マスタ!$A$6:$A$405,0),"")))</f>
        <v/>
      </c>
      <c r="AQ2764" s="16">
        <f>IF(OR($B2764="",$C2764="",$D2764=""),"",DATE($C2764+2018,$D2764,1))</f>
        <v/>
      </c>
    </row>
    <row r="2765">
      <c r="A2765" s="11" t="n"/>
      <c r="B2765" s="12" t="n"/>
      <c r="C2765" s="12" t="n"/>
      <c r="D2765" s="12" t="n"/>
      <c r="E2765" s="13" t="n"/>
      <c r="F2765" s="12" t="n"/>
      <c r="G2765" s="13" t="n"/>
      <c r="H2765" s="12" t="n"/>
      <c r="I2765" s="12" t="n"/>
      <c r="J2765" s="12" t="n"/>
      <c r="K2765" s="12" t="n"/>
      <c r="L2765" s="11" t="n"/>
      <c r="M2765" s="11" t="n"/>
      <c r="N2765" s="11" t="n"/>
      <c r="O2765" s="11" t="n"/>
      <c r="P2765" s="12" t="n"/>
      <c r="Q2765" s="11" t="n"/>
      <c r="R2765" s="12" t="n"/>
      <c r="S2765" s="11" t="n"/>
      <c r="T2765" s="12" t="n"/>
      <c r="U2765" s="12" t="n"/>
      <c r="V2765" s="12" t="n"/>
      <c r="W2765" s="13" t="n"/>
      <c r="X2765" s="14">
        <f>IF($AP2765="",IF($B2765="","",$H2765),IF(INDEX(職員マスタ!$B$6:$B$405,$AP2765)="",$H2765,INDEX(職員マスタ!$B$6:$B$405,$AP2765)))</f>
        <v/>
      </c>
      <c r="Y2765" s="14">
        <f>IF($AP2765="",IF($B2765="","",$R2765),IF(INDEX(職員マスタ!$C$6:$C$405,$AP2765)="",$R2765,INDEX(職員マスタ!$C$6:$C$405,$AP2765)))</f>
        <v/>
      </c>
      <c r="Z2765" s="14">
        <f>IF($AQ2765="","","R"&amp;$C2765&amp;"."&amp;$D2765)</f>
        <v/>
      </c>
      <c r="AA2765" s="15">
        <f>IF(IF($AP2765="",FALSE,INDEX(職員マスタ!$K$6:$K$405,$AP2765)&lt;&gt;""),INDEX(職員マスタ!$K$6:$K$405,$AP2765),IF(N($W2765)&gt;0,$W2765,""))</f>
        <v/>
      </c>
      <c r="AB2765" s="14">
        <f>IF(OR($E2765="",$AA2765=""),"",IF($E2765&gt;=$AA2765,"×",IF($E2765&gt;=$AA2765*設定!$C$5,"△","○")))</f>
        <v/>
      </c>
      <c r="AC2765" s="15">
        <f>IF($AB2765="","",IF($AB2765="×",0,IF($AB2765="○",ROUNDDOWN($E2765*設定!$C$4,0),ROUNDDOWN($E2765*ROUND((9*$AA2765-9*$E2765)/(10*$E2765),4),0))))</f>
        <v/>
      </c>
      <c r="AD2765" s="13" t="n"/>
      <c r="AE2765" s="15">
        <f>IF($B2765="","",IF($AD2765&lt;&gt;"",$AD2765,IF($AC2765="","",IF($AC2765&lt;=設定!$C$3,0,$AC2765))))</f>
        <v/>
      </c>
      <c r="AF2765" s="14">
        <f>IF($B2765="","",IF(AND($AG2765&lt;&gt;"",$AI2765="",$AL2765=""),"保留中",IF($AL2765&lt;&gt;"",IF(N($AE2765)&gt;0,"支給済","不支給"),IF($AE2765="","要確認",IF($AE2765=0,"不支給","未処理")))))</f>
        <v/>
      </c>
      <c r="AG2765" s="12" t="n"/>
      <c r="AH2765" s="11" t="n"/>
      <c r="AI2765" s="11" t="n"/>
      <c r="AJ2765" s="11" t="n"/>
      <c r="AK2765" s="14">
        <f>IF(AND($AF2765="保留中",$AH2765&lt;&gt;""),TODAY()-$AH2765,"")</f>
        <v/>
      </c>
      <c r="AL2765" s="12" t="n"/>
      <c r="AM2765" s="14">
        <f>IF($B2765="","",IF($AQ2765="","対象年月が未入力／","")&amp;IF($B2765="","",IF($AP2765="","職員マスタに未登録の職員番号／",IF($AA2765="","標準報酬月額が未登録／","")&amp;IF(AND($AQ2765&lt;&gt;"",OR(AND(INDEX(職員マスタ!$G$6:$G$405,$AP2765)&lt;&gt;"",INDEX(職員マスタ!$G$6:$G$405,$AP2765)&gt;EOMONTH($AQ2765,0)),AND(INDEX(職員マスタ!$H$6:$H$405,$AP2765)&lt;&gt;"",INDEX(職員マスタ!$H$6:$H$405,$AP2765)&lt;$AQ2765))),"対象月が時短期間外／","")&amp;IF(AND(INDEX(職員マスタ!$K$6:$K$405,$AP2765)&lt;&gt;"",N($W2765)&gt;0,INDEX(職員マスタ!$K$6:$K$405,$AP2765)&lt;&gt;$W2765),"標準報酬月額が申請書と相違（台帳"&amp;TEXT(INDEX(職員マスタ!$K$6:$K$405,$AP2765),"#,##0")&amp;"円／申請書"&amp;TEXT($W2765,"#,##0")&amp;"円）／","")&amp;IF(AND(INDEX(職員マスタ!$F$6:$F$405,$AP2765)&lt;&gt;"",$AQ2765&lt;&gt;"",INDEX(職員マスタ!$F$6:$F$405,$AP2765)&lt;$AQ2765),"対象月に子が2歳到達済／","")&amp;IF(AND($H2765&lt;&gt;"",INDEX(職員マスタ!$B$6:$B$405,$AP2765)&lt;&gt;"",SUBSTITUTE(SUBSTITUTE($H2765," ","")," ","")&lt;&gt;SUBSTITUTE(SUBSTITUTE(INDEX(職員マスタ!$B$6:$B$405,$AP2765)," ","")," ","")),"氏名がマスタと相違／","")&amp;IF(AND($Q2765&lt;&gt;"",INDEX(職員マスタ!$E$6:$E$405,$AP2765)&lt;&gt;"",$Q2765&lt;&gt;INDEX(職員マスタ!$E$6:$E$405,$AP2765)),"子の生年月日がマスタと相違／","")&amp;IF(AND($L2765&lt;&gt;"",INDEX(職員マスタ!$G$6:$G$405,$AP2765)&lt;&gt;"",$L2765&lt;&gt;INDEX(職員マスタ!$G$6:$G$405,$AP2765)),"時短開始日がマスタと相違／","")&amp;IF(AND($M2765&lt;&gt;"",INDEX(職員マスタ!$H$6:$H$405,$AP2765)&lt;&gt;"",$M2765&lt;&gt;INDEX(職員マスタ!$H$6:$H$405,$AP2765)),"時短終了日がマスタと相違／","")))&amp;IF(AND($B2765&lt;&gt;"",$E2765=""),"報酬額が未入力／","")&amp;IF(N($U2765)&gt;0,"申請書に入力エラーが残っています／","")&amp;IF(AND($B2765&lt;&gt;"",$AQ2765&lt;&gt;""),IF(COUNTIFS($B$6:$B$3005,$B2765,$C$6:$C$3005,$C2765,$D$6:$D$3005,$D2765)&gt;1,"同じ月の請求が重複しています／",""),"")&amp;IF(AND(N($E2765)&gt;0,$AB2765&lt;&gt;"",$AB2765&lt;&gt;"×",$AE2765=0,$AD2765=""),"計算額が下限以下のため不支給／",""))</f>
        <v/>
      </c>
      <c r="AN2765" s="12" t="n"/>
      <c r="AO2765" s="14">
        <f>IF($AF2765="保留中",COUNTIF($AF$6:$AF2765,"保留中"),"")</f>
        <v/>
      </c>
      <c r="AP2765" s="14">
        <f>IF($AQ2765="","",IF(SUMPRODUCT(MAX((職員マスタ!$A$6:$A$405=$B2765)*(((職員マスタ!$G$6:$G$405="")+(職員マスタ!$G$6:$G$405&lt;=EOMONTH($AQ2765,0)))&gt;0)*(((職員マスタ!$H$6:$H$405="")+(職員マスタ!$H$6:$H$405&gt;=$AQ2765))&gt;0)*(ROW(職員マスタ!$A$6:$A$405)-5)))&gt;0,SUMPRODUCT(MAX((職員マスタ!$A$6:$A$405=$B2765)*(((職員マスタ!$G$6:$G$405="")+(職員マスタ!$G$6:$G$405&lt;=EOMONTH($AQ2765,0)))&gt;0)*(((職員マスタ!$H$6:$H$405="")+(職員マスタ!$H$6:$H$405&gt;=$AQ2765))&gt;0)*(ROW(職員マスタ!$A$6:$A$405)-5))),IFERROR(MATCH($B2765,職員マスタ!$A$6:$A$405,0),"")))</f>
        <v/>
      </c>
      <c r="AQ2765" s="16">
        <f>IF(OR($B2765="",$C2765="",$D2765=""),"",DATE($C2765+2018,$D2765,1))</f>
        <v/>
      </c>
    </row>
    <row r="2766">
      <c r="A2766" s="11" t="n"/>
      <c r="B2766" s="12" t="n"/>
      <c r="C2766" s="12" t="n"/>
      <c r="D2766" s="12" t="n"/>
      <c r="E2766" s="13" t="n"/>
      <c r="F2766" s="12" t="n"/>
      <c r="G2766" s="13" t="n"/>
      <c r="H2766" s="12" t="n"/>
      <c r="I2766" s="12" t="n"/>
      <c r="J2766" s="12" t="n"/>
      <c r="K2766" s="12" t="n"/>
      <c r="L2766" s="11" t="n"/>
      <c r="M2766" s="11" t="n"/>
      <c r="N2766" s="11" t="n"/>
      <c r="O2766" s="11" t="n"/>
      <c r="P2766" s="12" t="n"/>
      <c r="Q2766" s="11" t="n"/>
      <c r="R2766" s="12" t="n"/>
      <c r="S2766" s="11" t="n"/>
      <c r="T2766" s="12" t="n"/>
      <c r="U2766" s="12" t="n"/>
      <c r="V2766" s="12" t="n"/>
      <c r="W2766" s="13" t="n"/>
      <c r="X2766" s="14">
        <f>IF($AP2766="",IF($B2766="","",$H2766),IF(INDEX(職員マスタ!$B$6:$B$405,$AP2766)="",$H2766,INDEX(職員マスタ!$B$6:$B$405,$AP2766)))</f>
        <v/>
      </c>
      <c r="Y2766" s="14">
        <f>IF($AP2766="",IF($B2766="","",$R2766),IF(INDEX(職員マスタ!$C$6:$C$405,$AP2766)="",$R2766,INDEX(職員マスタ!$C$6:$C$405,$AP2766)))</f>
        <v/>
      </c>
      <c r="Z2766" s="14">
        <f>IF($AQ2766="","","R"&amp;$C2766&amp;"."&amp;$D2766)</f>
        <v/>
      </c>
      <c r="AA2766" s="15">
        <f>IF(IF($AP2766="",FALSE,INDEX(職員マスタ!$K$6:$K$405,$AP2766)&lt;&gt;""),INDEX(職員マスタ!$K$6:$K$405,$AP2766),IF(N($W2766)&gt;0,$W2766,""))</f>
        <v/>
      </c>
      <c r="AB2766" s="14">
        <f>IF(OR($E2766="",$AA2766=""),"",IF($E2766&gt;=$AA2766,"×",IF($E2766&gt;=$AA2766*設定!$C$5,"△","○")))</f>
        <v/>
      </c>
      <c r="AC2766" s="15">
        <f>IF($AB2766="","",IF($AB2766="×",0,IF($AB2766="○",ROUNDDOWN($E2766*設定!$C$4,0),ROUNDDOWN($E2766*ROUND((9*$AA2766-9*$E2766)/(10*$E2766),4),0))))</f>
        <v/>
      </c>
      <c r="AD2766" s="13" t="n"/>
      <c r="AE2766" s="15">
        <f>IF($B2766="","",IF($AD2766&lt;&gt;"",$AD2766,IF($AC2766="","",IF($AC2766&lt;=設定!$C$3,0,$AC2766))))</f>
        <v/>
      </c>
      <c r="AF2766" s="14">
        <f>IF($B2766="","",IF(AND($AG2766&lt;&gt;"",$AI2766="",$AL2766=""),"保留中",IF($AL2766&lt;&gt;"",IF(N($AE2766)&gt;0,"支給済","不支給"),IF($AE2766="","要確認",IF($AE2766=0,"不支給","未処理")))))</f>
        <v/>
      </c>
      <c r="AG2766" s="12" t="n"/>
      <c r="AH2766" s="11" t="n"/>
      <c r="AI2766" s="11" t="n"/>
      <c r="AJ2766" s="11" t="n"/>
      <c r="AK2766" s="14">
        <f>IF(AND($AF2766="保留中",$AH2766&lt;&gt;""),TODAY()-$AH2766,"")</f>
        <v/>
      </c>
      <c r="AL2766" s="12" t="n"/>
      <c r="AM2766" s="14">
        <f>IF($B2766="","",IF($AQ2766="","対象年月が未入力／","")&amp;IF($B2766="","",IF($AP2766="","職員マスタに未登録の職員番号／",IF($AA2766="","標準報酬月額が未登録／","")&amp;IF(AND($AQ2766&lt;&gt;"",OR(AND(INDEX(職員マスタ!$G$6:$G$405,$AP2766)&lt;&gt;"",INDEX(職員マスタ!$G$6:$G$405,$AP2766)&gt;EOMONTH($AQ2766,0)),AND(INDEX(職員マスタ!$H$6:$H$405,$AP2766)&lt;&gt;"",INDEX(職員マスタ!$H$6:$H$405,$AP2766)&lt;$AQ2766))),"対象月が時短期間外／","")&amp;IF(AND(INDEX(職員マスタ!$K$6:$K$405,$AP2766)&lt;&gt;"",N($W2766)&gt;0,INDEX(職員マスタ!$K$6:$K$405,$AP2766)&lt;&gt;$W2766),"標準報酬月額が申請書と相違（台帳"&amp;TEXT(INDEX(職員マスタ!$K$6:$K$405,$AP2766),"#,##0")&amp;"円／申請書"&amp;TEXT($W2766,"#,##0")&amp;"円）／","")&amp;IF(AND(INDEX(職員マスタ!$F$6:$F$405,$AP2766)&lt;&gt;"",$AQ2766&lt;&gt;"",INDEX(職員マスタ!$F$6:$F$405,$AP2766)&lt;$AQ2766),"対象月に子が2歳到達済／","")&amp;IF(AND($H2766&lt;&gt;"",INDEX(職員マスタ!$B$6:$B$405,$AP2766)&lt;&gt;"",SUBSTITUTE(SUBSTITUTE($H2766," ","")," ","")&lt;&gt;SUBSTITUTE(SUBSTITUTE(INDEX(職員マスタ!$B$6:$B$405,$AP2766)," ","")," ","")),"氏名がマスタと相違／","")&amp;IF(AND($Q2766&lt;&gt;"",INDEX(職員マスタ!$E$6:$E$405,$AP2766)&lt;&gt;"",$Q2766&lt;&gt;INDEX(職員マスタ!$E$6:$E$405,$AP2766)),"子の生年月日がマスタと相違／","")&amp;IF(AND($L2766&lt;&gt;"",INDEX(職員マスタ!$G$6:$G$405,$AP2766)&lt;&gt;"",$L2766&lt;&gt;INDEX(職員マスタ!$G$6:$G$405,$AP2766)),"時短開始日がマスタと相違／","")&amp;IF(AND($M2766&lt;&gt;"",INDEX(職員マスタ!$H$6:$H$405,$AP2766)&lt;&gt;"",$M2766&lt;&gt;INDEX(職員マスタ!$H$6:$H$405,$AP2766)),"時短終了日がマスタと相違／","")))&amp;IF(AND($B2766&lt;&gt;"",$E2766=""),"報酬額が未入力／","")&amp;IF(N($U2766)&gt;0,"申請書に入力エラーが残っています／","")&amp;IF(AND($B2766&lt;&gt;"",$AQ2766&lt;&gt;""),IF(COUNTIFS($B$6:$B$3005,$B2766,$C$6:$C$3005,$C2766,$D$6:$D$3005,$D2766)&gt;1,"同じ月の請求が重複しています／",""),"")&amp;IF(AND(N($E2766)&gt;0,$AB2766&lt;&gt;"",$AB2766&lt;&gt;"×",$AE2766=0,$AD2766=""),"計算額が下限以下のため不支給／",""))</f>
        <v/>
      </c>
      <c r="AN2766" s="12" t="n"/>
      <c r="AO2766" s="14">
        <f>IF($AF2766="保留中",COUNTIF($AF$6:$AF2766,"保留中"),"")</f>
        <v/>
      </c>
      <c r="AP2766" s="14">
        <f>IF($AQ2766="","",IF(SUMPRODUCT(MAX((職員マスタ!$A$6:$A$405=$B2766)*(((職員マスタ!$G$6:$G$405="")+(職員マスタ!$G$6:$G$405&lt;=EOMONTH($AQ2766,0)))&gt;0)*(((職員マスタ!$H$6:$H$405="")+(職員マスタ!$H$6:$H$405&gt;=$AQ2766))&gt;0)*(ROW(職員マスタ!$A$6:$A$405)-5)))&gt;0,SUMPRODUCT(MAX((職員マスタ!$A$6:$A$405=$B2766)*(((職員マスタ!$G$6:$G$405="")+(職員マスタ!$G$6:$G$405&lt;=EOMONTH($AQ2766,0)))&gt;0)*(((職員マスタ!$H$6:$H$405="")+(職員マスタ!$H$6:$H$405&gt;=$AQ2766))&gt;0)*(ROW(職員マスタ!$A$6:$A$405)-5))),IFERROR(MATCH($B2766,職員マスタ!$A$6:$A$405,0),"")))</f>
        <v/>
      </c>
      <c r="AQ2766" s="16">
        <f>IF(OR($B2766="",$C2766="",$D2766=""),"",DATE($C2766+2018,$D2766,1))</f>
        <v/>
      </c>
    </row>
    <row r="2767">
      <c r="A2767" s="11" t="n"/>
      <c r="B2767" s="12" t="n"/>
      <c r="C2767" s="12" t="n"/>
      <c r="D2767" s="12" t="n"/>
      <c r="E2767" s="13" t="n"/>
      <c r="F2767" s="12" t="n"/>
      <c r="G2767" s="13" t="n"/>
      <c r="H2767" s="12" t="n"/>
      <c r="I2767" s="12" t="n"/>
      <c r="J2767" s="12" t="n"/>
      <c r="K2767" s="12" t="n"/>
      <c r="L2767" s="11" t="n"/>
      <c r="M2767" s="11" t="n"/>
      <c r="N2767" s="11" t="n"/>
      <c r="O2767" s="11" t="n"/>
      <c r="P2767" s="12" t="n"/>
      <c r="Q2767" s="11" t="n"/>
      <c r="R2767" s="12" t="n"/>
      <c r="S2767" s="11" t="n"/>
      <c r="T2767" s="12" t="n"/>
      <c r="U2767" s="12" t="n"/>
      <c r="V2767" s="12" t="n"/>
      <c r="W2767" s="13" t="n"/>
      <c r="X2767" s="14">
        <f>IF($AP2767="",IF($B2767="","",$H2767),IF(INDEX(職員マスタ!$B$6:$B$405,$AP2767)="",$H2767,INDEX(職員マスタ!$B$6:$B$405,$AP2767)))</f>
        <v/>
      </c>
      <c r="Y2767" s="14">
        <f>IF($AP2767="",IF($B2767="","",$R2767),IF(INDEX(職員マスタ!$C$6:$C$405,$AP2767)="",$R2767,INDEX(職員マスタ!$C$6:$C$405,$AP2767)))</f>
        <v/>
      </c>
      <c r="Z2767" s="14">
        <f>IF($AQ2767="","","R"&amp;$C2767&amp;"."&amp;$D2767)</f>
        <v/>
      </c>
      <c r="AA2767" s="15">
        <f>IF(IF($AP2767="",FALSE,INDEX(職員マスタ!$K$6:$K$405,$AP2767)&lt;&gt;""),INDEX(職員マスタ!$K$6:$K$405,$AP2767),IF(N($W2767)&gt;0,$W2767,""))</f>
        <v/>
      </c>
      <c r="AB2767" s="14">
        <f>IF(OR($E2767="",$AA2767=""),"",IF($E2767&gt;=$AA2767,"×",IF($E2767&gt;=$AA2767*設定!$C$5,"△","○")))</f>
        <v/>
      </c>
      <c r="AC2767" s="15">
        <f>IF($AB2767="","",IF($AB2767="×",0,IF($AB2767="○",ROUNDDOWN($E2767*設定!$C$4,0),ROUNDDOWN($E2767*ROUND((9*$AA2767-9*$E2767)/(10*$E2767),4),0))))</f>
        <v/>
      </c>
      <c r="AD2767" s="13" t="n"/>
      <c r="AE2767" s="15">
        <f>IF($B2767="","",IF($AD2767&lt;&gt;"",$AD2767,IF($AC2767="","",IF($AC2767&lt;=設定!$C$3,0,$AC2767))))</f>
        <v/>
      </c>
      <c r="AF2767" s="14">
        <f>IF($B2767="","",IF(AND($AG2767&lt;&gt;"",$AI2767="",$AL2767=""),"保留中",IF($AL2767&lt;&gt;"",IF(N($AE2767)&gt;0,"支給済","不支給"),IF($AE2767="","要確認",IF($AE2767=0,"不支給","未処理")))))</f>
        <v/>
      </c>
      <c r="AG2767" s="12" t="n"/>
      <c r="AH2767" s="11" t="n"/>
      <c r="AI2767" s="11" t="n"/>
      <c r="AJ2767" s="11" t="n"/>
      <c r="AK2767" s="14">
        <f>IF(AND($AF2767="保留中",$AH2767&lt;&gt;""),TODAY()-$AH2767,"")</f>
        <v/>
      </c>
      <c r="AL2767" s="12" t="n"/>
      <c r="AM2767" s="14">
        <f>IF($B2767="","",IF($AQ2767="","対象年月が未入力／","")&amp;IF($B2767="","",IF($AP2767="","職員マスタに未登録の職員番号／",IF($AA2767="","標準報酬月額が未登録／","")&amp;IF(AND($AQ2767&lt;&gt;"",OR(AND(INDEX(職員マスタ!$G$6:$G$405,$AP2767)&lt;&gt;"",INDEX(職員マスタ!$G$6:$G$405,$AP2767)&gt;EOMONTH($AQ2767,0)),AND(INDEX(職員マスタ!$H$6:$H$405,$AP2767)&lt;&gt;"",INDEX(職員マスタ!$H$6:$H$405,$AP2767)&lt;$AQ2767))),"対象月が時短期間外／","")&amp;IF(AND(INDEX(職員マスタ!$K$6:$K$405,$AP2767)&lt;&gt;"",N($W2767)&gt;0,INDEX(職員マスタ!$K$6:$K$405,$AP2767)&lt;&gt;$W2767),"標準報酬月額が申請書と相違（台帳"&amp;TEXT(INDEX(職員マスタ!$K$6:$K$405,$AP2767),"#,##0")&amp;"円／申請書"&amp;TEXT($W2767,"#,##0")&amp;"円）／","")&amp;IF(AND(INDEX(職員マスタ!$F$6:$F$405,$AP2767)&lt;&gt;"",$AQ2767&lt;&gt;"",INDEX(職員マスタ!$F$6:$F$405,$AP2767)&lt;$AQ2767),"対象月に子が2歳到達済／","")&amp;IF(AND($H2767&lt;&gt;"",INDEX(職員マスタ!$B$6:$B$405,$AP2767)&lt;&gt;"",SUBSTITUTE(SUBSTITUTE($H2767," ","")," ","")&lt;&gt;SUBSTITUTE(SUBSTITUTE(INDEX(職員マスタ!$B$6:$B$405,$AP2767)," ","")," ","")),"氏名がマスタと相違／","")&amp;IF(AND($Q2767&lt;&gt;"",INDEX(職員マスタ!$E$6:$E$405,$AP2767)&lt;&gt;"",$Q2767&lt;&gt;INDEX(職員マスタ!$E$6:$E$405,$AP2767)),"子の生年月日がマスタと相違／","")&amp;IF(AND($L2767&lt;&gt;"",INDEX(職員マスタ!$G$6:$G$405,$AP2767)&lt;&gt;"",$L2767&lt;&gt;INDEX(職員マスタ!$G$6:$G$405,$AP2767)),"時短開始日がマスタと相違／","")&amp;IF(AND($M2767&lt;&gt;"",INDEX(職員マスタ!$H$6:$H$405,$AP2767)&lt;&gt;"",$M2767&lt;&gt;INDEX(職員マスタ!$H$6:$H$405,$AP2767)),"時短終了日がマスタと相違／","")))&amp;IF(AND($B2767&lt;&gt;"",$E2767=""),"報酬額が未入力／","")&amp;IF(N($U2767)&gt;0,"申請書に入力エラーが残っています／","")&amp;IF(AND($B2767&lt;&gt;"",$AQ2767&lt;&gt;""),IF(COUNTIFS($B$6:$B$3005,$B2767,$C$6:$C$3005,$C2767,$D$6:$D$3005,$D2767)&gt;1,"同じ月の請求が重複しています／",""),"")&amp;IF(AND(N($E2767)&gt;0,$AB2767&lt;&gt;"",$AB2767&lt;&gt;"×",$AE2767=0,$AD2767=""),"計算額が下限以下のため不支給／",""))</f>
        <v/>
      </c>
      <c r="AN2767" s="12" t="n"/>
      <c r="AO2767" s="14">
        <f>IF($AF2767="保留中",COUNTIF($AF$6:$AF2767,"保留中"),"")</f>
        <v/>
      </c>
      <c r="AP2767" s="14">
        <f>IF($AQ2767="","",IF(SUMPRODUCT(MAX((職員マスタ!$A$6:$A$405=$B2767)*(((職員マスタ!$G$6:$G$405="")+(職員マスタ!$G$6:$G$405&lt;=EOMONTH($AQ2767,0)))&gt;0)*(((職員マスタ!$H$6:$H$405="")+(職員マスタ!$H$6:$H$405&gt;=$AQ2767))&gt;0)*(ROW(職員マスタ!$A$6:$A$405)-5)))&gt;0,SUMPRODUCT(MAX((職員マスタ!$A$6:$A$405=$B2767)*(((職員マスタ!$G$6:$G$405="")+(職員マスタ!$G$6:$G$405&lt;=EOMONTH($AQ2767,0)))&gt;0)*(((職員マスタ!$H$6:$H$405="")+(職員マスタ!$H$6:$H$405&gt;=$AQ2767))&gt;0)*(ROW(職員マスタ!$A$6:$A$405)-5))),IFERROR(MATCH($B2767,職員マスタ!$A$6:$A$405,0),"")))</f>
        <v/>
      </c>
      <c r="AQ2767" s="16">
        <f>IF(OR($B2767="",$C2767="",$D2767=""),"",DATE($C2767+2018,$D2767,1))</f>
        <v/>
      </c>
    </row>
    <row r="2768">
      <c r="A2768" s="11" t="n"/>
      <c r="B2768" s="12" t="n"/>
      <c r="C2768" s="12" t="n"/>
      <c r="D2768" s="12" t="n"/>
      <c r="E2768" s="13" t="n"/>
      <c r="F2768" s="12" t="n"/>
      <c r="G2768" s="13" t="n"/>
      <c r="H2768" s="12" t="n"/>
      <c r="I2768" s="12" t="n"/>
      <c r="J2768" s="12" t="n"/>
      <c r="K2768" s="12" t="n"/>
      <c r="L2768" s="11" t="n"/>
      <c r="M2768" s="11" t="n"/>
      <c r="N2768" s="11" t="n"/>
      <c r="O2768" s="11" t="n"/>
      <c r="P2768" s="12" t="n"/>
      <c r="Q2768" s="11" t="n"/>
      <c r="R2768" s="12" t="n"/>
      <c r="S2768" s="11" t="n"/>
      <c r="T2768" s="12" t="n"/>
      <c r="U2768" s="12" t="n"/>
      <c r="V2768" s="12" t="n"/>
      <c r="W2768" s="13" t="n"/>
      <c r="X2768" s="14">
        <f>IF($AP2768="",IF($B2768="","",$H2768),IF(INDEX(職員マスタ!$B$6:$B$405,$AP2768)="",$H2768,INDEX(職員マスタ!$B$6:$B$405,$AP2768)))</f>
        <v/>
      </c>
      <c r="Y2768" s="14">
        <f>IF($AP2768="",IF($B2768="","",$R2768),IF(INDEX(職員マスタ!$C$6:$C$405,$AP2768)="",$R2768,INDEX(職員マスタ!$C$6:$C$405,$AP2768)))</f>
        <v/>
      </c>
      <c r="Z2768" s="14">
        <f>IF($AQ2768="","","R"&amp;$C2768&amp;"."&amp;$D2768)</f>
        <v/>
      </c>
      <c r="AA2768" s="15">
        <f>IF(IF($AP2768="",FALSE,INDEX(職員マスタ!$K$6:$K$405,$AP2768)&lt;&gt;""),INDEX(職員マスタ!$K$6:$K$405,$AP2768),IF(N($W2768)&gt;0,$W2768,""))</f>
        <v/>
      </c>
      <c r="AB2768" s="14">
        <f>IF(OR($E2768="",$AA2768=""),"",IF($E2768&gt;=$AA2768,"×",IF($E2768&gt;=$AA2768*設定!$C$5,"△","○")))</f>
        <v/>
      </c>
      <c r="AC2768" s="15">
        <f>IF($AB2768="","",IF($AB2768="×",0,IF($AB2768="○",ROUNDDOWN($E2768*設定!$C$4,0),ROUNDDOWN($E2768*ROUND((9*$AA2768-9*$E2768)/(10*$E2768),4),0))))</f>
        <v/>
      </c>
      <c r="AD2768" s="13" t="n"/>
      <c r="AE2768" s="15">
        <f>IF($B2768="","",IF($AD2768&lt;&gt;"",$AD2768,IF($AC2768="","",IF($AC2768&lt;=設定!$C$3,0,$AC2768))))</f>
        <v/>
      </c>
      <c r="AF2768" s="14">
        <f>IF($B2768="","",IF(AND($AG2768&lt;&gt;"",$AI2768="",$AL2768=""),"保留中",IF($AL2768&lt;&gt;"",IF(N($AE2768)&gt;0,"支給済","不支給"),IF($AE2768="","要確認",IF($AE2768=0,"不支給","未処理")))))</f>
        <v/>
      </c>
      <c r="AG2768" s="12" t="n"/>
      <c r="AH2768" s="11" t="n"/>
      <c r="AI2768" s="11" t="n"/>
      <c r="AJ2768" s="11" t="n"/>
      <c r="AK2768" s="14">
        <f>IF(AND($AF2768="保留中",$AH2768&lt;&gt;""),TODAY()-$AH2768,"")</f>
        <v/>
      </c>
      <c r="AL2768" s="12" t="n"/>
      <c r="AM2768" s="14">
        <f>IF($B2768="","",IF($AQ2768="","対象年月が未入力／","")&amp;IF($B2768="","",IF($AP2768="","職員マスタに未登録の職員番号／",IF($AA2768="","標準報酬月額が未登録／","")&amp;IF(AND($AQ2768&lt;&gt;"",OR(AND(INDEX(職員マスタ!$G$6:$G$405,$AP2768)&lt;&gt;"",INDEX(職員マスタ!$G$6:$G$405,$AP2768)&gt;EOMONTH($AQ2768,0)),AND(INDEX(職員マスタ!$H$6:$H$405,$AP2768)&lt;&gt;"",INDEX(職員マスタ!$H$6:$H$405,$AP2768)&lt;$AQ2768))),"対象月が時短期間外／","")&amp;IF(AND(INDEX(職員マスタ!$K$6:$K$405,$AP2768)&lt;&gt;"",N($W2768)&gt;0,INDEX(職員マスタ!$K$6:$K$405,$AP2768)&lt;&gt;$W2768),"標準報酬月額が申請書と相違（台帳"&amp;TEXT(INDEX(職員マスタ!$K$6:$K$405,$AP2768),"#,##0")&amp;"円／申請書"&amp;TEXT($W2768,"#,##0")&amp;"円）／","")&amp;IF(AND(INDEX(職員マスタ!$F$6:$F$405,$AP2768)&lt;&gt;"",$AQ2768&lt;&gt;"",INDEX(職員マスタ!$F$6:$F$405,$AP2768)&lt;$AQ2768),"対象月に子が2歳到達済／","")&amp;IF(AND($H2768&lt;&gt;"",INDEX(職員マスタ!$B$6:$B$405,$AP2768)&lt;&gt;"",SUBSTITUTE(SUBSTITUTE($H2768," ","")," ","")&lt;&gt;SUBSTITUTE(SUBSTITUTE(INDEX(職員マスタ!$B$6:$B$405,$AP2768)," ","")," ","")),"氏名がマスタと相違／","")&amp;IF(AND($Q2768&lt;&gt;"",INDEX(職員マスタ!$E$6:$E$405,$AP2768)&lt;&gt;"",$Q2768&lt;&gt;INDEX(職員マスタ!$E$6:$E$405,$AP2768)),"子の生年月日がマスタと相違／","")&amp;IF(AND($L2768&lt;&gt;"",INDEX(職員マスタ!$G$6:$G$405,$AP2768)&lt;&gt;"",$L2768&lt;&gt;INDEX(職員マスタ!$G$6:$G$405,$AP2768)),"時短開始日がマスタと相違／","")&amp;IF(AND($M2768&lt;&gt;"",INDEX(職員マスタ!$H$6:$H$405,$AP2768)&lt;&gt;"",$M2768&lt;&gt;INDEX(職員マスタ!$H$6:$H$405,$AP2768)),"時短終了日がマスタと相違／","")))&amp;IF(AND($B2768&lt;&gt;"",$E2768=""),"報酬額が未入力／","")&amp;IF(N($U2768)&gt;0,"申請書に入力エラーが残っています／","")&amp;IF(AND($B2768&lt;&gt;"",$AQ2768&lt;&gt;""),IF(COUNTIFS($B$6:$B$3005,$B2768,$C$6:$C$3005,$C2768,$D$6:$D$3005,$D2768)&gt;1,"同じ月の請求が重複しています／",""),"")&amp;IF(AND(N($E2768)&gt;0,$AB2768&lt;&gt;"",$AB2768&lt;&gt;"×",$AE2768=0,$AD2768=""),"計算額が下限以下のため不支給／",""))</f>
        <v/>
      </c>
      <c r="AN2768" s="12" t="n"/>
      <c r="AO2768" s="14">
        <f>IF($AF2768="保留中",COUNTIF($AF$6:$AF2768,"保留中"),"")</f>
        <v/>
      </c>
      <c r="AP2768" s="14">
        <f>IF($AQ2768="","",IF(SUMPRODUCT(MAX((職員マスタ!$A$6:$A$405=$B2768)*(((職員マスタ!$G$6:$G$405="")+(職員マスタ!$G$6:$G$405&lt;=EOMONTH($AQ2768,0)))&gt;0)*(((職員マスタ!$H$6:$H$405="")+(職員マスタ!$H$6:$H$405&gt;=$AQ2768))&gt;0)*(ROW(職員マスタ!$A$6:$A$405)-5)))&gt;0,SUMPRODUCT(MAX((職員マスタ!$A$6:$A$405=$B2768)*(((職員マスタ!$G$6:$G$405="")+(職員マスタ!$G$6:$G$405&lt;=EOMONTH($AQ2768,0)))&gt;0)*(((職員マスタ!$H$6:$H$405="")+(職員マスタ!$H$6:$H$405&gt;=$AQ2768))&gt;0)*(ROW(職員マスタ!$A$6:$A$405)-5))),IFERROR(MATCH($B2768,職員マスタ!$A$6:$A$405,0),"")))</f>
        <v/>
      </c>
      <c r="AQ2768" s="16">
        <f>IF(OR($B2768="",$C2768="",$D2768=""),"",DATE($C2768+2018,$D2768,1))</f>
        <v/>
      </c>
    </row>
    <row r="2769">
      <c r="A2769" s="11" t="n"/>
      <c r="B2769" s="12" t="n"/>
      <c r="C2769" s="12" t="n"/>
      <c r="D2769" s="12" t="n"/>
      <c r="E2769" s="13" t="n"/>
      <c r="F2769" s="12" t="n"/>
      <c r="G2769" s="13" t="n"/>
      <c r="H2769" s="12" t="n"/>
      <c r="I2769" s="12" t="n"/>
      <c r="J2769" s="12" t="n"/>
      <c r="K2769" s="12" t="n"/>
      <c r="L2769" s="11" t="n"/>
      <c r="M2769" s="11" t="n"/>
      <c r="N2769" s="11" t="n"/>
      <c r="O2769" s="11" t="n"/>
      <c r="P2769" s="12" t="n"/>
      <c r="Q2769" s="11" t="n"/>
      <c r="R2769" s="12" t="n"/>
      <c r="S2769" s="11" t="n"/>
      <c r="T2769" s="12" t="n"/>
      <c r="U2769" s="12" t="n"/>
      <c r="V2769" s="12" t="n"/>
      <c r="W2769" s="13" t="n"/>
      <c r="X2769" s="14">
        <f>IF($AP2769="",IF($B2769="","",$H2769),IF(INDEX(職員マスタ!$B$6:$B$405,$AP2769)="",$H2769,INDEX(職員マスタ!$B$6:$B$405,$AP2769)))</f>
        <v/>
      </c>
      <c r="Y2769" s="14">
        <f>IF($AP2769="",IF($B2769="","",$R2769),IF(INDEX(職員マスタ!$C$6:$C$405,$AP2769)="",$R2769,INDEX(職員マスタ!$C$6:$C$405,$AP2769)))</f>
        <v/>
      </c>
      <c r="Z2769" s="14">
        <f>IF($AQ2769="","","R"&amp;$C2769&amp;"."&amp;$D2769)</f>
        <v/>
      </c>
      <c r="AA2769" s="15">
        <f>IF(IF($AP2769="",FALSE,INDEX(職員マスタ!$K$6:$K$405,$AP2769)&lt;&gt;""),INDEX(職員マスタ!$K$6:$K$405,$AP2769),IF(N($W2769)&gt;0,$W2769,""))</f>
        <v/>
      </c>
      <c r="AB2769" s="14">
        <f>IF(OR($E2769="",$AA2769=""),"",IF($E2769&gt;=$AA2769,"×",IF($E2769&gt;=$AA2769*設定!$C$5,"△","○")))</f>
        <v/>
      </c>
      <c r="AC2769" s="15">
        <f>IF($AB2769="","",IF($AB2769="×",0,IF($AB2769="○",ROUNDDOWN($E2769*設定!$C$4,0),ROUNDDOWN($E2769*ROUND((9*$AA2769-9*$E2769)/(10*$E2769),4),0))))</f>
        <v/>
      </c>
      <c r="AD2769" s="13" t="n"/>
      <c r="AE2769" s="15">
        <f>IF($B2769="","",IF($AD2769&lt;&gt;"",$AD2769,IF($AC2769="","",IF($AC2769&lt;=設定!$C$3,0,$AC2769))))</f>
        <v/>
      </c>
      <c r="AF2769" s="14">
        <f>IF($B2769="","",IF(AND($AG2769&lt;&gt;"",$AI2769="",$AL2769=""),"保留中",IF($AL2769&lt;&gt;"",IF(N($AE2769)&gt;0,"支給済","不支給"),IF($AE2769="","要確認",IF($AE2769=0,"不支給","未処理")))))</f>
        <v/>
      </c>
      <c r="AG2769" s="12" t="n"/>
      <c r="AH2769" s="11" t="n"/>
      <c r="AI2769" s="11" t="n"/>
      <c r="AJ2769" s="11" t="n"/>
      <c r="AK2769" s="14">
        <f>IF(AND($AF2769="保留中",$AH2769&lt;&gt;""),TODAY()-$AH2769,"")</f>
        <v/>
      </c>
      <c r="AL2769" s="12" t="n"/>
      <c r="AM2769" s="14">
        <f>IF($B2769="","",IF($AQ2769="","対象年月が未入力／","")&amp;IF($B2769="","",IF($AP2769="","職員マスタに未登録の職員番号／",IF($AA2769="","標準報酬月額が未登録／","")&amp;IF(AND($AQ2769&lt;&gt;"",OR(AND(INDEX(職員マスタ!$G$6:$G$405,$AP2769)&lt;&gt;"",INDEX(職員マスタ!$G$6:$G$405,$AP2769)&gt;EOMONTH($AQ2769,0)),AND(INDEX(職員マスタ!$H$6:$H$405,$AP2769)&lt;&gt;"",INDEX(職員マスタ!$H$6:$H$405,$AP2769)&lt;$AQ2769))),"対象月が時短期間外／","")&amp;IF(AND(INDEX(職員マスタ!$K$6:$K$405,$AP2769)&lt;&gt;"",N($W2769)&gt;0,INDEX(職員マスタ!$K$6:$K$405,$AP2769)&lt;&gt;$W2769),"標準報酬月額が申請書と相違（台帳"&amp;TEXT(INDEX(職員マスタ!$K$6:$K$405,$AP2769),"#,##0")&amp;"円／申請書"&amp;TEXT($W2769,"#,##0")&amp;"円）／","")&amp;IF(AND(INDEX(職員マスタ!$F$6:$F$405,$AP2769)&lt;&gt;"",$AQ2769&lt;&gt;"",INDEX(職員マスタ!$F$6:$F$405,$AP2769)&lt;$AQ2769),"対象月に子が2歳到達済／","")&amp;IF(AND($H2769&lt;&gt;"",INDEX(職員マスタ!$B$6:$B$405,$AP2769)&lt;&gt;"",SUBSTITUTE(SUBSTITUTE($H2769," ","")," ","")&lt;&gt;SUBSTITUTE(SUBSTITUTE(INDEX(職員マスタ!$B$6:$B$405,$AP2769)," ","")," ","")),"氏名がマスタと相違／","")&amp;IF(AND($Q2769&lt;&gt;"",INDEX(職員マスタ!$E$6:$E$405,$AP2769)&lt;&gt;"",$Q2769&lt;&gt;INDEX(職員マスタ!$E$6:$E$405,$AP2769)),"子の生年月日がマスタと相違／","")&amp;IF(AND($L2769&lt;&gt;"",INDEX(職員マスタ!$G$6:$G$405,$AP2769)&lt;&gt;"",$L2769&lt;&gt;INDEX(職員マスタ!$G$6:$G$405,$AP2769)),"時短開始日がマスタと相違／","")&amp;IF(AND($M2769&lt;&gt;"",INDEX(職員マスタ!$H$6:$H$405,$AP2769)&lt;&gt;"",$M2769&lt;&gt;INDEX(職員マスタ!$H$6:$H$405,$AP2769)),"時短終了日がマスタと相違／","")))&amp;IF(AND($B2769&lt;&gt;"",$E2769=""),"報酬額が未入力／","")&amp;IF(N($U2769)&gt;0,"申請書に入力エラーが残っています／","")&amp;IF(AND($B2769&lt;&gt;"",$AQ2769&lt;&gt;""),IF(COUNTIFS($B$6:$B$3005,$B2769,$C$6:$C$3005,$C2769,$D$6:$D$3005,$D2769)&gt;1,"同じ月の請求が重複しています／",""),"")&amp;IF(AND(N($E2769)&gt;0,$AB2769&lt;&gt;"",$AB2769&lt;&gt;"×",$AE2769=0,$AD2769=""),"計算額が下限以下のため不支給／",""))</f>
        <v/>
      </c>
      <c r="AN2769" s="12" t="n"/>
      <c r="AO2769" s="14">
        <f>IF($AF2769="保留中",COUNTIF($AF$6:$AF2769,"保留中"),"")</f>
        <v/>
      </c>
      <c r="AP2769" s="14">
        <f>IF($AQ2769="","",IF(SUMPRODUCT(MAX((職員マスタ!$A$6:$A$405=$B2769)*(((職員マスタ!$G$6:$G$405="")+(職員マスタ!$G$6:$G$405&lt;=EOMONTH($AQ2769,0)))&gt;0)*(((職員マスタ!$H$6:$H$405="")+(職員マスタ!$H$6:$H$405&gt;=$AQ2769))&gt;0)*(ROW(職員マスタ!$A$6:$A$405)-5)))&gt;0,SUMPRODUCT(MAX((職員マスタ!$A$6:$A$405=$B2769)*(((職員マスタ!$G$6:$G$405="")+(職員マスタ!$G$6:$G$405&lt;=EOMONTH($AQ2769,0)))&gt;0)*(((職員マスタ!$H$6:$H$405="")+(職員マスタ!$H$6:$H$405&gt;=$AQ2769))&gt;0)*(ROW(職員マスタ!$A$6:$A$405)-5))),IFERROR(MATCH($B2769,職員マスタ!$A$6:$A$405,0),"")))</f>
        <v/>
      </c>
      <c r="AQ2769" s="16">
        <f>IF(OR($B2769="",$C2769="",$D2769=""),"",DATE($C2769+2018,$D2769,1))</f>
        <v/>
      </c>
    </row>
    <row r="2770">
      <c r="A2770" s="11" t="n"/>
      <c r="B2770" s="12" t="n"/>
      <c r="C2770" s="12" t="n"/>
      <c r="D2770" s="12" t="n"/>
      <c r="E2770" s="13" t="n"/>
      <c r="F2770" s="12" t="n"/>
      <c r="G2770" s="13" t="n"/>
      <c r="H2770" s="12" t="n"/>
      <c r="I2770" s="12" t="n"/>
      <c r="J2770" s="12" t="n"/>
      <c r="K2770" s="12" t="n"/>
      <c r="L2770" s="11" t="n"/>
      <c r="M2770" s="11" t="n"/>
      <c r="N2770" s="11" t="n"/>
      <c r="O2770" s="11" t="n"/>
      <c r="P2770" s="12" t="n"/>
      <c r="Q2770" s="11" t="n"/>
      <c r="R2770" s="12" t="n"/>
      <c r="S2770" s="11" t="n"/>
      <c r="T2770" s="12" t="n"/>
      <c r="U2770" s="12" t="n"/>
      <c r="V2770" s="12" t="n"/>
      <c r="W2770" s="13" t="n"/>
      <c r="X2770" s="14">
        <f>IF($AP2770="",IF($B2770="","",$H2770),IF(INDEX(職員マスタ!$B$6:$B$405,$AP2770)="",$H2770,INDEX(職員マスタ!$B$6:$B$405,$AP2770)))</f>
        <v/>
      </c>
      <c r="Y2770" s="14">
        <f>IF($AP2770="",IF($B2770="","",$R2770),IF(INDEX(職員マスタ!$C$6:$C$405,$AP2770)="",$R2770,INDEX(職員マスタ!$C$6:$C$405,$AP2770)))</f>
        <v/>
      </c>
      <c r="Z2770" s="14">
        <f>IF($AQ2770="","","R"&amp;$C2770&amp;"."&amp;$D2770)</f>
        <v/>
      </c>
      <c r="AA2770" s="15">
        <f>IF(IF($AP2770="",FALSE,INDEX(職員マスタ!$K$6:$K$405,$AP2770)&lt;&gt;""),INDEX(職員マスタ!$K$6:$K$405,$AP2770),IF(N($W2770)&gt;0,$W2770,""))</f>
        <v/>
      </c>
      <c r="AB2770" s="14">
        <f>IF(OR($E2770="",$AA2770=""),"",IF($E2770&gt;=$AA2770,"×",IF($E2770&gt;=$AA2770*設定!$C$5,"△","○")))</f>
        <v/>
      </c>
      <c r="AC2770" s="15">
        <f>IF($AB2770="","",IF($AB2770="×",0,IF($AB2770="○",ROUNDDOWN($E2770*設定!$C$4,0),ROUNDDOWN($E2770*ROUND((9*$AA2770-9*$E2770)/(10*$E2770),4),0))))</f>
        <v/>
      </c>
      <c r="AD2770" s="13" t="n"/>
      <c r="AE2770" s="15">
        <f>IF($B2770="","",IF($AD2770&lt;&gt;"",$AD2770,IF($AC2770="","",IF($AC2770&lt;=設定!$C$3,0,$AC2770))))</f>
        <v/>
      </c>
      <c r="AF2770" s="14">
        <f>IF($B2770="","",IF(AND($AG2770&lt;&gt;"",$AI2770="",$AL2770=""),"保留中",IF($AL2770&lt;&gt;"",IF(N($AE2770)&gt;0,"支給済","不支給"),IF($AE2770="","要確認",IF($AE2770=0,"不支給","未処理")))))</f>
        <v/>
      </c>
      <c r="AG2770" s="12" t="n"/>
      <c r="AH2770" s="11" t="n"/>
      <c r="AI2770" s="11" t="n"/>
      <c r="AJ2770" s="11" t="n"/>
      <c r="AK2770" s="14">
        <f>IF(AND($AF2770="保留中",$AH2770&lt;&gt;""),TODAY()-$AH2770,"")</f>
        <v/>
      </c>
      <c r="AL2770" s="12" t="n"/>
      <c r="AM2770" s="14">
        <f>IF($B2770="","",IF($AQ2770="","対象年月が未入力／","")&amp;IF($B2770="","",IF($AP2770="","職員マスタに未登録の職員番号／",IF($AA2770="","標準報酬月額が未登録／","")&amp;IF(AND($AQ2770&lt;&gt;"",OR(AND(INDEX(職員マスタ!$G$6:$G$405,$AP2770)&lt;&gt;"",INDEX(職員マスタ!$G$6:$G$405,$AP2770)&gt;EOMONTH($AQ2770,0)),AND(INDEX(職員マスタ!$H$6:$H$405,$AP2770)&lt;&gt;"",INDEX(職員マスタ!$H$6:$H$405,$AP2770)&lt;$AQ2770))),"対象月が時短期間外／","")&amp;IF(AND(INDEX(職員マスタ!$K$6:$K$405,$AP2770)&lt;&gt;"",N($W2770)&gt;0,INDEX(職員マスタ!$K$6:$K$405,$AP2770)&lt;&gt;$W2770),"標準報酬月額が申請書と相違（台帳"&amp;TEXT(INDEX(職員マスタ!$K$6:$K$405,$AP2770),"#,##0")&amp;"円／申請書"&amp;TEXT($W2770,"#,##0")&amp;"円）／","")&amp;IF(AND(INDEX(職員マスタ!$F$6:$F$405,$AP2770)&lt;&gt;"",$AQ2770&lt;&gt;"",INDEX(職員マスタ!$F$6:$F$405,$AP2770)&lt;$AQ2770),"対象月に子が2歳到達済／","")&amp;IF(AND($H2770&lt;&gt;"",INDEX(職員マスタ!$B$6:$B$405,$AP2770)&lt;&gt;"",SUBSTITUTE(SUBSTITUTE($H2770," ","")," ","")&lt;&gt;SUBSTITUTE(SUBSTITUTE(INDEX(職員マスタ!$B$6:$B$405,$AP2770)," ","")," ","")),"氏名がマスタと相違／","")&amp;IF(AND($Q2770&lt;&gt;"",INDEX(職員マスタ!$E$6:$E$405,$AP2770)&lt;&gt;"",$Q2770&lt;&gt;INDEX(職員マスタ!$E$6:$E$405,$AP2770)),"子の生年月日がマスタと相違／","")&amp;IF(AND($L2770&lt;&gt;"",INDEX(職員マスタ!$G$6:$G$405,$AP2770)&lt;&gt;"",$L2770&lt;&gt;INDEX(職員マスタ!$G$6:$G$405,$AP2770)),"時短開始日がマスタと相違／","")&amp;IF(AND($M2770&lt;&gt;"",INDEX(職員マスタ!$H$6:$H$405,$AP2770)&lt;&gt;"",$M2770&lt;&gt;INDEX(職員マスタ!$H$6:$H$405,$AP2770)),"時短終了日がマスタと相違／","")))&amp;IF(AND($B2770&lt;&gt;"",$E2770=""),"報酬額が未入力／","")&amp;IF(N($U2770)&gt;0,"申請書に入力エラーが残っています／","")&amp;IF(AND($B2770&lt;&gt;"",$AQ2770&lt;&gt;""),IF(COUNTIFS($B$6:$B$3005,$B2770,$C$6:$C$3005,$C2770,$D$6:$D$3005,$D2770)&gt;1,"同じ月の請求が重複しています／",""),"")&amp;IF(AND(N($E2770)&gt;0,$AB2770&lt;&gt;"",$AB2770&lt;&gt;"×",$AE2770=0,$AD2770=""),"計算額が下限以下のため不支給／",""))</f>
        <v/>
      </c>
      <c r="AN2770" s="12" t="n"/>
      <c r="AO2770" s="14">
        <f>IF($AF2770="保留中",COUNTIF($AF$6:$AF2770,"保留中"),"")</f>
        <v/>
      </c>
      <c r="AP2770" s="14">
        <f>IF($AQ2770="","",IF(SUMPRODUCT(MAX((職員マスタ!$A$6:$A$405=$B2770)*(((職員マスタ!$G$6:$G$405="")+(職員マスタ!$G$6:$G$405&lt;=EOMONTH($AQ2770,0)))&gt;0)*(((職員マスタ!$H$6:$H$405="")+(職員マスタ!$H$6:$H$405&gt;=$AQ2770))&gt;0)*(ROW(職員マスタ!$A$6:$A$405)-5)))&gt;0,SUMPRODUCT(MAX((職員マスタ!$A$6:$A$405=$B2770)*(((職員マスタ!$G$6:$G$405="")+(職員マスタ!$G$6:$G$405&lt;=EOMONTH($AQ2770,0)))&gt;0)*(((職員マスタ!$H$6:$H$405="")+(職員マスタ!$H$6:$H$405&gt;=$AQ2770))&gt;0)*(ROW(職員マスタ!$A$6:$A$405)-5))),IFERROR(MATCH($B2770,職員マスタ!$A$6:$A$405,0),"")))</f>
        <v/>
      </c>
      <c r="AQ2770" s="16">
        <f>IF(OR($B2770="",$C2770="",$D2770=""),"",DATE($C2770+2018,$D2770,1))</f>
        <v/>
      </c>
    </row>
    <row r="2771">
      <c r="A2771" s="11" t="n"/>
      <c r="B2771" s="12" t="n"/>
      <c r="C2771" s="12" t="n"/>
      <c r="D2771" s="12" t="n"/>
      <c r="E2771" s="13" t="n"/>
      <c r="F2771" s="12" t="n"/>
      <c r="G2771" s="13" t="n"/>
      <c r="H2771" s="12" t="n"/>
      <c r="I2771" s="12" t="n"/>
      <c r="J2771" s="12" t="n"/>
      <c r="K2771" s="12" t="n"/>
      <c r="L2771" s="11" t="n"/>
      <c r="M2771" s="11" t="n"/>
      <c r="N2771" s="11" t="n"/>
      <c r="O2771" s="11" t="n"/>
      <c r="P2771" s="12" t="n"/>
      <c r="Q2771" s="11" t="n"/>
      <c r="R2771" s="12" t="n"/>
      <c r="S2771" s="11" t="n"/>
      <c r="T2771" s="12" t="n"/>
      <c r="U2771" s="12" t="n"/>
      <c r="V2771" s="12" t="n"/>
      <c r="W2771" s="13" t="n"/>
      <c r="X2771" s="14">
        <f>IF($AP2771="",IF($B2771="","",$H2771),IF(INDEX(職員マスタ!$B$6:$B$405,$AP2771)="",$H2771,INDEX(職員マスタ!$B$6:$B$405,$AP2771)))</f>
        <v/>
      </c>
      <c r="Y2771" s="14">
        <f>IF($AP2771="",IF($B2771="","",$R2771),IF(INDEX(職員マスタ!$C$6:$C$405,$AP2771)="",$R2771,INDEX(職員マスタ!$C$6:$C$405,$AP2771)))</f>
        <v/>
      </c>
      <c r="Z2771" s="14">
        <f>IF($AQ2771="","","R"&amp;$C2771&amp;"."&amp;$D2771)</f>
        <v/>
      </c>
      <c r="AA2771" s="15">
        <f>IF(IF($AP2771="",FALSE,INDEX(職員マスタ!$K$6:$K$405,$AP2771)&lt;&gt;""),INDEX(職員マスタ!$K$6:$K$405,$AP2771),IF(N($W2771)&gt;0,$W2771,""))</f>
        <v/>
      </c>
      <c r="AB2771" s="14">
        <f>IF(OR($E2771="",$AA2771=""),"",IF($E2771&gt;=$AA2771,"×",IF($E2771&gt;=$AA2771*設定!$C$5,"△","○")))</f>
        <v/>
      </c>
      <c r="AC2771" s="15">
        <f>IF($AB2771="","",IF($AB2771="×",0,IF($AB2771="○",ROUNDDOWN($E2771*設定!$C$4,0),ROUNDDOWN($E2771*ROUND((9*$AA2771-9*$E2771)/(10*$E2771),4),0))))</f>
        <v/>
      </c>
      <c r="AD2771" s="13" t="n"/>
      <c r="AE2771" s="15">
        <f>IF($B2771="","",IF($AD2771&lt;&gt;"",$AD2771,IF($AC2771="","",IF($AC2771&lt;=設定!$C$3,0,$AC2771))))</f>
        <v/>
      </c>
      <c r="AF2771" s="14">
        <f>IF($B2771="","",IF(AND($AG2771&lt;&gt;"",$AI2771="",$AL2771=""),"保留中",IF($AL2771&lt;&gt;"",IF(N($AE2771)&gt;0,"支給済","不支給"),IF($AE2771="","要確認",IF($AE2771=0,"不支給","未処理")))))</f>
        <v/>
      </c>
      <c r="AG2771" s="12" t="n"/>
      <c r="AH2771" s="11" t="n"/>
      <c r="AI2771" s="11" t="n"/>
      <c r="AJ2771" s="11" t="n"/>
      <c r="AK2771" s="14">
        <f>IF(AND($AF2771="保留中",$AH2771&lt;&gt;""),TODAY()-$AH2771,"")</f>
        <v/>
      </c>
      <c r="AL2771" s="12" t="n"/>
      <c r="AM2771" s="14">
        <f>IF($B2771="","",IF($AQ2771="","対象年月が未入力／","")&amp;IF($B2771="","",IF($AP2771="","職員マスタに未登録の職員番号／",IF($AA2771="","標準報酬月額が未登録／","")&amp;IF(AND($AQ2771&lt;&gt;"",OR(AND(INDEX(職員マスタ!$G$6:$G$405,$AP2771)&lt;&gt;"",INDEX(職員マスタ!$G$6:$G$405,$AP2771)&gt;EOMONTH($AQ2771,0)),AND(INDEX(職員マスタ!$H$6:$H$405,$AP2771)&lt;&gt;"",INDEX(職員マスタ!$H$6:$H$405,$AP2771)&lt;$AQ2771))),"対象月が時短期間外／","")&amp;IF(AND(INDEX(職員マスタ!$K$6:$K$405,$AP2771)&lt;&gt;"",N($W2771)&gt;0,INDEX(職員マスタ!$K$6:$K$405,$AP2771)&lt;&gt;$W2771),"標準報酬月額が申請書と相違（台帳"&amp;TEXT(INDEX(職員マスタ!$K$6:$K$405,$AP2771),"#,##0")&amp;"円／申請書"&amp;TEXT($W2771,"#,##0")&amp;"円）／","")&amp;IF(AND(INDEX(職員マスタ!$F$6:$F$405,$AP2771)&lt;&gt;"",$AQ2771&lt;&gt;"",INDEX(職員マスタ!$F$6:$F$405,$AP2771)&lt;$AQ2771),"対象月に子が2歳到達済／","")&amp;IF(AND($H2771&lt;&gt;"",INDEX(職員マスタ!$B$6:$B$405,$AP2771)&lt;&gt;"",SUBSTITUTE(SUBSTITUTE($H2771," ","")," ","")&lt;&gt;SUBSTITUTE(SUBSTITUTE(INDEX(職員マスタ!$B$6:$B$405,$AP2771)," ","")," ","")),"氏名がマスタと相違／","")&amp;IF(AND($Q2771&lt;&gt;"",INDEX(職員マスタ!$E$6:$E$405,$AP2771)&lt;&gt;"",$Q2771&lt;&gt;INDEX(職員マスタ!$E$6:$E$405,$AP2771)),"子の生年月日がマスタと相違／","")&amp;IF(AND($L2771&lt;&gt;"",INDEX(職員マスタ!$G$6:$G$405,$AP2771)&lt;&gt;"",$L2771&lt;&gt;INDEX(職員マスタ!$G$6:$G$405,$AP2771)),"時短開始日がマスタと相違／","")&amp;IF(AND($M2771&lt;&gt;"",INDEX(職員マスタ!$H$6:$H$405,$AP2771)&lt;&gt;"",$M2771&lt;&gt;INDEX(職員マスタ!$H$6:$H$405,$AP2771)),"時短終了日がマスタと相違／","")))&amp;IF(AND($B2771&lt;&gt;"",$E2771=""),"報酬額が未入力／","")&amp;IF(N($U2771)&gt;0,"申請書に入力エラーが残っています／","")&amp;IF(AND($B2771&lt;&gt;"",$AQ2771&lt;&gt;""),IF(COUNTIFS($B$6:$B$3005,$B2771,$C$6:$C$3005,$C2771,$D$6:$D$3005,$D2771)&gt;1,"同じ月の請求が重複しています／",""),"")&amp;IF(AND(N($E2771)&gt;0,$AB2771&lt;&gt;"",$AB2771&lt;&gt;"×",$AE2771=0,$AD2771=""),"計算額が下限以下のため不支給／",""))</f>
        <v/>
      </c>
      <c r="AN2771" s="12" t="n"/>
      <c r="AO2771" s="14">
        <f>IF($AF2771="保留中",COUNTIF($AF$6:$AF2771,"保留中"),"")</f>
        <v/>
      </c>
      <c r="AP2771" s="14">
        <f>IF($AQ2771="","",IF(SUMPRODUCT(MAX((職員マスタ!$A$6:$A$405=$B2771)*(((職員マスタ!$G$6:$G$405="")+(職員マスタ!$G$6:$G$405&lt;=EOMONTH($AQ2771,0)))&gt;0)*(((職員マスタ!$H$6:$H$405="")+(職員マスタ!$H$6:$H$405&gt;=$AQ2771))&gt;0)*(ROW(職員マスタ!$A$6:$A$405)-5)))&gt;0,SUMPRODUCT(MAX((職員マスタ!$A$6:$A$405=$B2771)*(((職員マスタ!$G$6:$G$405="")+(職員マスタ!$G$6:$G$405&lt;=EOMONTH($AQ2771,0)))&gt;0)*(((職員マスタ!$H$6:$H$405="")+(職員マスタ!$H$6:$H$405&gt;=$AQ2771))&gt;0)*(ROW(職員マスタ!$A$6:$A$405)-5))),IFERROR(MATCH($B2771,職員マスタ!$A$6:$A$405,0),"")))</f>
        <v/>
      </c>
      <c r="AQ2771" s="16">
        <f>IF(OR($B2771="",$C2771="",$D2771=""),"",DATE($C2771+2018,$D2771,1))</f>
        <v/>
      </c>
    </row>
    <row r="2772">
      <c r="A2772" s="11" t="n"/>
      <c r="B2772" s="12" t="n"/>
      <c r="C2772" s="12" t="n"/>
      <c r="D2772" s="12" t="n"/>
      <c r="E2772" s="13" t="n"/>
      <c r="F2772" s="12" t="n"/>
      <c r="G2772" s="13" t="n"/>
      <c r="H2772" s="12" t="n"/>
      <c r="I2772" s="12" t="n"/>
      <c r="J2772" s="12" t="n"/>
      <c r="K2772" s="12" t="n"/>
      <c r="L2772" s="11" t="n"/>
      <c r="M2772" s="11" t="n"/>
      <c r="N2772" s="11" t="n"/>
      <c r="O2772" s="11" t="n"/>
      <c r="P2772" s="12" t="n"/>
      <c r="Q2772" s="11" t="n"/>
      <c r="R2772" s="12" t="n"/>
      <c r="S2772" s="11" t="n"/>
      <c r="T2772" s="12" t="n"/>
      <c r="U2772" s="12" t="n"/>
      <c r="V2772" s="12" t="n"/>
      <c r="W2772" s="13" t="n"/>
      <c r="X2772" s="14">
        <f>IF($AP2772="",IF($B2772="","",$H2772),IF(INDEX(職員マスタ!$B$6:$B$405,$AP2772)="",$H2772,INDEX(職員マスタ!$B$6:$B$405,$AP2772)))</f>
        <v/>
      </c>
      <c r="Y2772" s="14">
        <f>IF($AP2772="",IF($B2772="","",$R2772),IF(INDEX(職員マスタ!$C$6:$C$405,$AP2772)="",$R2772,INDEX(職員マスタ!$C$6:$C$405,$AP2772)))</f>
        <v/>
      </c>
      <c r="Z2772" s="14">
        <f>IF($AQ2772="","","R"&amp;$C2772&amp;"."&amp;$D2772)</f>
        <v/>
      </c>
      <c r="AA2772" s="15">
        <f>IF(IF($AP2772="",FALSE,INDEX(職員マスタ!$K$6:$K$405,$AP2772)&lt;&gt;""),INDEX(職員マスタ!$K$6:$K$405,$AP2772),IF(N($W2772)&gt;0,$W2772,""))</f>
        <v/>
      </c>
      <c r="AB2772" s="14">
        <f>IF(OR($E2772="",$AA2772=""),"",IF($E2772&gt;=$AA2772,"×",IF($E2772&gt;=$AA2772*設定!$C$5,"△","○")))</f>
        <v/>
      </c>
      <c r="AC2772" s="15">
        <f>IF($AB2772="","",IF($AB2772="×",0,IF($AB2772="○",ROUNDDOWN($E2772*設定!$C$4,0),ROUNDDOWN($E2772*ROUND((9*$AA2772-9*$E2772)/(10*$E2772),4),0))))</f>
        <v/>
      </c>
      <c r="AD2772" s="13" t="n"/>
      <c r="AE2772" s="15">
        <f>IF($B2772="","",IF($AD2772&lt;&gt;"",$AD2772,IF($AC2772="","",IF($AC2772&lt;=設定!$C$3,0,$AC2772))))</f>
        <v/>
      </c>
      <c r="AF2772" s="14">
        <f>IF($B2772="","",IF(AND($AG2772&lt;&gt;"",$AI2772="",$AL2772=""),"保留中",IF($AL2772&lt;&gt;"",IF(N($AE2772)&gt;0,"支給済","不支給"),IF($AE2772="","要確認",IF($AE2772=0,"不支給","未処理")))))</f>
        <v/>
      </c>
      <c r="AG2772" s="12" t="n"/>
      <c r="AH2772" s="11" t="n"/>
      <c r="AI2772" s="11" t="n"/>
      <c r="AJ2772" s="11" t="n"/>
      <c r="AK2772" s="14">
        <f>IF(AND($AF2772="保留中",$AH2772&lt;&gt;""),TODAY()-$AH2772,"")</f>
        <v/>
      </c>
      <c r="AL2772" s="12" t="n"/>
      <c r="AM2772" s="14">
        <f>IF($B2772="","",IF($AQ2772="","対象年月が未入力／","")&amp;IF($B2772="","",IF($AP2772="","職員マスタに未登録の職員番号／",IF($AA2772="","標準報酬月額が未登録／","")&amp;IF(AND($AQ2772&lt;&gt;"",OR(AND(INDEX(職員マスタ!$G$6:$G$405,$AP2772)&lt;&gt;"",INDEX(職員マスタ!$G$6:$G$405,$AP2772)&gt;EOMONTH($AQ2772,0)),AND(INDEX(職員マスタ!$H$6:$H$405,$AP2772)&lt;&gt;"",INDEX(職員マスタ!$H$6:$H$405,$AP2772)&lt;$AQ2772))),"対象月が時短期間外／","")&amp;IF(AND(INDEX(職員マスタ!$K$6:$K$405,$AP2772)&lt;&gt;"",N($W2772)&gt;0,INDEX(職員マスタ!$K$6:$K$405,$AP2772)&lt;&gt;$W2772),"標準報酬月額が申請書と相違（台帳"&amp;TEXT(INDEX(職員マスタ!$K$6:$K$405,$AP2772),"#,##0")&amp;"円／申請書"&amp;TEXT($W2772,"#,##0")&amp;"円）／","")&amp;IF(AND(INDEX(職員マスタ!$F$6:$F$405,$AP2772)&lt;&gt;"",$AQ2772&lt;&gt;"",INDEX(職員マスタ!$F$6:$F$405,$AP2772)&lt;$AQ2772),"対象月に子が2歳到達済／","")&amp;IF(AND($H2772&lt;&gt;"",INDEX(職員マスタ!$B$6:$B$405,$AP2772)&lt;&gt;"",SUBSTITUTE(SUBSTITUTE($H2772," ","")," ","")&lt;&gt;SUBSTITUTE(SUBSTITUTE(INDEX(職員マスタ!$B$6:$B$405,$AP2772)," ","")," ","")),"氏名がマスタと相違／","")&amp;IF(AND($Q2772&lt;&gt;"",INDEX(職員マスタ!$E$6:$E$405,$AP2772)&lt;&gt;"",$Q2772&lt;&gt;INDEX(職員マスタ!$E$6:$E$405,$AP2772)),"子の生年月日がマスタと相違／","")&amp;IF(AND($L2772&lt;&gt;"",INDEX(職員マスタ!$G$6:$G$405,$AP2772)&lt;&gt;"",$L2772&lt;&gt;INDEX(職員マスタ!$G$6:$G$405,$AP2772)),"時短開始日がマスタと相違／","")&amp;IF(AND($M2772&lt;&gt;"",INDEX(職員マスタ!$H$6:$H$405,$AP2772)&lt;&gt;"",$M2772&lt;&gt;INDEX(職員マスタ!$H$6:$H$405,$AP2772)),"時短終了日がマスタと相違／","")))&amp;IF(AND($B2772&lt;&gt;"",$E2772=""),"報酬額が未入力／","")&amp;IF(N($U2772)&gt;0,"申請書に入力エラーが残っています／","")&amp;IF(AND($B2772&lt;&gt;"",$AQ2772&lt;&gt;""),IF(COUNTIFS($B$6:$B$3005,$B2772,$C$6:$C$3005,$C2772,$D$6:$D$3005,$D2772)&gt;1,"同じ月の請求が重複しています／",""),"")&amp;IF(AND(N($E2772)&gt;0,$AB2772&lt;&gt;"",$AB2772&lt;&gt;"×",$AE2772=0,$AD2772=""),"計算額が下限以下のため不支給／",""))</f>
        <v/>
      </c>
      <c r="AN2772" s="12" t="n"/>
      <c r="AO2772" s="14">
        <f>IF($AF2772="保留中",COUNTIF($AF$6:$AF2772,"保留中"),"")</f>
        <v/>
      </c>
      <c r="AP2772" s="14">
        <f>IF($AQ2772="","",IF(SUMPRODUCT(MAX((職員マスタ!$A$6:$A$405=$B2772)*(((職員マスタ!$G$6:$G$405="")+(職員マスタ!$G$6:$G$405&lt;=EOMONTH($AQ2772,0)))&gt;0)*(((職員マスタ!$H$6:$H$405="")+(職員マスタ!$H$6:$H$405&gt;=$AQ2772))&gt;0)*(ROW(職員マスタ!$A$6:$A$405)-5)))&gt;0,SUMPRODUCT(MAX((職員マスタ!$A$6:$A$405=$B2772)*(((職員マスタ!$G$6:$G$405="")+(職員マスタ!$G$6:$G$405&lt;=EOMONTH($AQ2772,0)))&gt;0)*(((職員マスタ!$H$6:$H$405="")+(職員マスタ!$H$6:$H$405&gt;=$AQ2772))&gt;0)*(ROW(職員マスタ!$A$6:$A$405)-5))),IFERROR(MATCH($B2772,職員マスタ!$A$6:$A$405,0),"")))</f>
        <v/>
      </c>
      <c r="AQ2772" s="16">
        <f>IF(OR($B2772="",$C2772="",$D2772=""),"",DATE($C2772+2018,$D2772,1))</f>
        <v/>
      </c>
    </row>
    <row r="2773">
      <c r="A2773" s="11" t="n"/>
      <c r="B2773" s="12" t="n"/>
      <c r="C2773" s="12" t="n"/>
      <c r="D2773" s="12" t="n"/>
      <c r="E2773" s="13" t="n"/>
      <c r="F2773" s="12" t="n"/>
      <c r="G2773" s="13" t="n"/>
      <c r="H2773" s="12" t="n"/>
      <c r="I2773" s="12" t="n"/>
      <c r="J2773" s="12" t="n"/>
      <c r="K2773" s="12" t="n"/>
      <c r="L2773" s="11" t="n"/>
      <c r="M2773" s="11" t="n"/>
      <c r="N2773" s="11" t="n"/>
      <c r="O2773" s="11" t="n"/>
      <c r="P2773" s="12" t="n"/>
      <c r="Q2773" s="11" t="n"/>
      <c r="R2773" s="12" t="n"/>
      <c r="S2773" s="11" t="n"/>
      <c r="T2773" s="12" t="n"/>
      <c r="U2773" s="12" t="n"/>
      <c r="V2773" s="12" t="n"/>
      <c r="W2773" s="13" t="n"/>
      <c r="X2773" s="14">
        <f>IF($AP2773="",IF($B2773="","",$H2773),IF(INDEX(職員マスタ!$B$6:$B$405,$AP2773)="",$H2773,INDEX(職員マスタ!$B$6:$B$405,$AP2773)))</f>
        <v/>
      </c>
      <c r="Y2773" s="14">
        <f>IF($AP2773="",IF($B2773="","",$R2773),IF(INDEX(職員マスタ!$C$6:$C$405,$AP2773)="",$R2773,INDEX(職員マスタ!$C$6:$C$405,$AP2773)))</f>
        <v/>
      </c>
      <c r="Z2773" s="14">
        <f>IF($AQ2773="","","R"&amp;$C2773&amp;"."&amp;$D2773)</f>
        <v/>
      </c>
      <c r="AA2773" s="15">
        <f>IF(IF($AP2773="",FALSE,INDEX(職員マスタ!$K$6:$K$405,$AP2773)&lt;&gt;""),INDEX(職員マスタ!$K$6:$K$405,$AP2773),IF(N($W2773)&gt;0,$W2773,""))</f>
        <v/>
      </c>
      <c r="AB2773" s="14">
        <f>IF(OR($E2773="",$AA2773=""),"",IF($E2773&gt;=$AA2773,"×",IF($E2773&gt;=$AA2773*設定!$C$5,"△","○")))</f>
        <v/>
      </c>
      <c r="AC2773" s="15">
        <f>IF($AB2773="","",IF($AB2773="×",0,IF($AB2773="○",ROUNDDOWN($E2773*設定!$C$4,0),ROUNDDOWN($E2773*ROUND((9*$AA2773-9*$E2773)/(10*$E2773),4),0))))</f>
        <v/>
      </c>
      <c r="AD2773" s="13" t="n"/>
      <c r="AE2773" s="15">
        <f>IF($B2773="","",IF($AD2773&lt;&gt;"",$AD2773,IF($AC2773="","",IF($AC2773&lt;=設定!$C$3,0,$AC2773))))</f>
        <v/>
      </c>
      <c r="AF2773" s="14">
        <f>IF($B2773="","",IF(AND($AG2773&lt;&gt;"",$AI2773="",$AL2773=""),"保留中",IF($AL2773&lt;&gt;"",IF(N($AE2773)&gt;0,"支給済","不支給"),IF($AE2773="","要確認",IF($AE2773=0,"不支給","未処理")))))</f>
        <v/>
      </c>
      <c r="AG2773" s="12" t="n"/>
      <c r="AH2773" s="11" t="n"/>
      <c r="AI2773" s="11" t="n"/>
      <c r="AJ2773" s="11" t="n"/>
      <c r="AK2773" s="14">
        <f>IF(AND($AF2773="保留中",$AH2773&lt;&gt;""),TODAY()-$AH2773,"")</f>
        <v/>
      </c>
      <c r="AL2773" s="12" t="n"/>
      <c r="AM2773" s="14">
        <f>IF($B2773="","",IF($AQ2773="","対象年月が未入力／","")&amp;IF($B2773="","",IF($AP2773="","職員マスタに未登録の職員番号／",IF($AA2773="","標準報酬月額が未登録／","")&amp;IF(AND($AQ2773&lt;&gt;"",OR(AND(INDEX(職員マスタ!$G$6:$G$405,$AP2773)&lt;&gt;"",INDEX(職員マスタ!$G$6:$G$405,$AP2773)&gt;EOMONTH($AQ2773,0)),AND(INDEX(職員マスタ!$H$6:$H$405,$AP2773)&lt;&gt;"",INDEX(職員マスタ!$H$6:$H$405,$AP2773)&lt;$AQ2773))),"対象月が時短期間外／","")&amp;IF(AND(INDEX(職員マスタ!$K$6:$K$405,$AP2773)&lt;&gt;"",N($W2773)&gt;0,INDEX(職員マスタ!$K$6:$K$405,$AP2773)&lt;&gt;$W2773),"標準報酬月額が申請書と相違（台帳"&amp;TEXT(INDEX(職員マスタ!$K$6:$K$405,$AP2773),"#,##0")&amp;"円／申請書"&amp;TEXT($W2773,"#,##0")&amp;"円）／","")&amp;IF(AND(INDEX(職員マスタ!$F$6:$F$405,$AP2773)&lt;&gt;"",$AQ2773&lt;&gt;"",INDEX(職員マスタ!$F$6:$F$405,$AP2773)&lt;$AQ2773),"対象月に子が2歳到達済／","")&amp;IF(AND($H2773&lt;&gt;"",INDEX(職員マスタ!$B$6:$B$405,$AP2773)&lt;&gt;"",SUBSTITUTE(SUBSTITUTE($H2773," ","")," ","")&lt;&gt;SUBSTITUTE(SUBSTITUTE(INDEX(職員マスタ!$B$6:$B$405,$AP2773)," ","")," ","")),"氏名がマスタと相違／","")&amp;IF(AND($Q2773&lt;&gt;"",INDEX(職員マスタ!$E$6:$E$405,$AP2773)&lt;&gt;"",$Q2773&lt;&gt;INDEX(職員マスタ!$E$6:$E$405,$AP2773)),"子の生年月日がマスタと相違／","")&amp;IF(AND($L2773&lt;&gt;"",INDEX(職員マスタ!$G$6:$G$405,$AP2773)&lt;&gt;"",$L2773&lt;&gt;INDEX(職員マスタ!$G$6:$G$405,$AP2773)),"時短開始日がマスタと相違／","")&amp;IF(AND($M2773&lt;&gt;"",INDEX(職員マスタ!$H$6:$H$405,$AP2773)&lt;&gt;"",$M2773&lt;&gt;INDEX(職員マスタ!$H$6:$H$405,$AP2773)),"時短終了日がマスタと相違／","")))&amp;IF(AND($B2773&lt;&gt;"",$E2773=""),"報酬額が未入力／","")&amp;IF(N($U2773)&gt;0,"申請書に入力エラーが残っています／","")&amp;IF(AND($B2773&lt;&gt;"",$AQ2773&lt;&gt;""),IF(COUNTIFS($B$6:$B$3005,$B2773,$C$6:$C$3005,$C2773,$D$6:$D$3005,$D2773)&gt;1,"同じ月の請求が重複しています／",""),"")&amp;IF(AND(N($E2773)&gt;0,$AB2773&lt;&gt;"",$AB2773&lt;&gt;"×",$AE2773=0,$AD2773=""),"計算額が下限以下のため不支給／",""))</f>
        <v/>
      </c>
      <c r="AN2773" s="12" t="n"/>
      <c r="AO2773" s="14">
        <f>IF($AF2773="保留中",COUNTIF($AF$6:$AF2773,"保留中"),"")</f>
        <v/>
      </c>
      <c r="AP2773" s="14">
        <f>IF($AQ2773="","",IF(SUMPRODUCT(MAX((職員マスタ!$A$6:$A$405=$B2773)*(((職員マスタ!$G$6:$G$405="")+(職員マスタ!$G$6:$G$405&lt;=EOMONTH($AQ2773,0)))&gt;0)*(((職員マスタ!$H$6:$H$405="")+(職員マスタ!$H$6:$H$405&gt;=$AQ2773))&gt;0)*(ROW(職員マスタ!$A$6:$A$405)-5)))&gt;0,SUMPRODUCT(MAX((職員マスタ!$A$6:$A$405=$B2773)*(((職員マスタ!$G$6:$G$405="")+(職員マスタ!$G$6:$G$405&lt;=EOMONTH($AQ2773,0)))&gt;0)*(((職員マスタ!$H$6:$H$405="")+(職員マスタ!$H$6:$H$405&gt;=$AQ2773))&gt;0)*(ROW(職員マスタ!$A$6:$A$405)-5))),IFERROR(MATCH($B2773,職員マスタ!$A$6:$A$405,0),"")))</f>
        <v/>
      </c>
      <c r="AQ2773" s="16">
        <f>IF(OR($B2773="",$C2773="",$D2773=""),"",DATE($C2773+2018,$D2773,1))</f>
        <v/>
      </c>
    </row>
    <row r="2774">
      <c r="A2774" s="11" t="n"/>
      <c r="B2774" s="12" t="n"/>
      <c r="C2774" s="12" t="n"/>
      <c r="D2774" s="12" t="n"/>
      <c r="E2774" s="13" t="n"/>
      <c r="F2774" s="12" t="n"/>
      <c r="G2774" s="13" t="n"/>
      <c r="H2774" s="12" t="n"/>
      <c r="I2774" s="12" t="n"/>
      <c r="J2774" s="12" t="n"/>
      <c r="K2774" s="12" t="n"/>
      <c r="L2774" s="11" t="n"/>
      <c r="M2774" s="11" t="n"/>
      <c r="N2774" s="11" t="n"/>
      <c r="O2774" s="11" t="n"/>
      <c r="P2774" s="12" t="n"/>
      <c r="Q2774" s="11" t="n"/>
      <c r="R2774" s="12" t="n"/>
      <c r="S2774" s="11" t="n"/>
      <c r="T2774" s="12" t="n"/>
      <c r="U2774" s="12" t="n"/>
      <c r="V2774" s="12" t="n"/>
      <c r="W2774" s="13" t="n"/>
      <c r="X2774" s="14">
        <f>IF($AP2774="",IF($B2774="","",$H2774),IF(INDEX(職員マスタ!$B$6:$B$405,$AP2774)="",$H2774,INDEX(職員マスタ!$B$6:$B$405,$AP2774)))</f>
        <v/>
      </c>
      <c r="Y2774" s="14">
        <f>IF($AP2774="",IF($B2774="","",$R2774),IF(INDEX(職員マスタ!$C$6:$C$405,$AP2774)="",$R2774,INDEX(職員マスタ!$C$6:$C$405,$AP2774)))</f>
        <v/>
      </c>
      <c r="Z2774" s="14">
        <f>IF($AQ2774="","","R"&amp;$C2774&amp;"."&amp;$D2774)</f>
        <v/>
      </c>
      <c r="AA2774" s="15">
        <f>IF(IF($AP2774="",FALSE,INDEX(職員マスタ!$K$6:$K$405,$AP2774)&lt;&gt;""),INDEX(職員マスタ!$K$6:$K$405,$AP2774),IF(N($W2774)&gt;0,$W2774,""))</f>
        <v/>
      </c>
      <c r="AB2774" s="14">
        <f>IF(OR($E2774="",$AA2774=""),"",IF($E2774&gt;=$AA2774,"×",IF($E2774&gt;=$AA2774*設定!$C$5,"△","○")))</f>
        <v/>
      </c>
      <c r="AC2774" s="15">
        <f>IF($AB2774="","",IF($AB2774="×",0,IF($AB2774="○",ROUNDDOWN($E2774*設定!$C$4,0),ROUNDDOWN($E2774*ROUND((9*$AA2774-9*$E2774)/(10*$E2774),4),0))))</f>
        <v/>
      </c>
      <c r="AD2774" s="13" t="n"/>
      <c r="AE2774" s="15">
        <f>IF($B2774="","",IF($AD2774&lt;&gt;"",$AD2774,IF($AC2774="","",IF($AC2774&lt;=設定!$C$3,0,$AC2774))))</f>
        <v/>
      </c>
      <c r="AF2774" s="14">
        <f>IF($B2774="","",IF(AND($AG2774&lt;&gt;"",$AI2774="",$AL2774=""),"保留中",IF($AL2774&lt;&gt;"",IF(N($AE2774)&gt;0,"支給済","不支給"),IF($AE2774="","要確認",IF($AE2774=0,"不支給","未処理")))))</f>
        <v/>
      </c>
      <c r="AG2774" s="12" t="n"/>
      <c r="AH2774" s="11" t="n"/>
      <c r="AI2774" s="11" t="n"/>
      <c r="AJ2774" s="11" t="n"/>
      <c r="AK2774" s="14">
        <f>IF(AND($AF2774="保留中",$AH2774&lt;&gt;""),TODAY()-$AH2774,"")</f>
        <v/>
      </c>
      <c r="AL2774" s="12" t="n"/>
      <c r="AM2774" s="14">
        <f>IF($B2774="","",IF($AQ2774="","対象年月が未入力／","")&amp;IF($B2774="","",IF($AP2774="","職員マスタに未登録の職員番号／",IF($AA2774="","標準報酬月額が未登録／","")&amp;IF(AND($AQ2774&lt;&gt;"",OR(AND(INDEX(職員マスタ!$G$6:$G$405,$AP2774)&lt;&gt;"",INDEX(職員マスタ!$G$6:$G$405,$AP2774)&gt;EOMONTH($AQ2774,0)),AND(INDEX(職員マスタ!$H$6:$H$405,$AP2774)&lt;&gt;"",INDEX(職員マスタ!$H$6:$H$405,$AP2774)&lt;$AQ2774))),"対象月が時短期間外／","")&amp;IF(AND(INDEX(職員マスタ!$K$6:$K$405,$AP2774)&lt;&gt;"",N($W2774)&gt;0,INDEX(職員マスタ!$K$6:$K$405,$AP2774)&lt;&gt;$W2774),"標準報酬月額が申請書と相違（台帳"&amp;TEXT(INDEX(職員マスタ!$K$6:$K$405,$AP2774),"#,##0")&amp;"円／申請書"&amp;TEXT($W2774,"#,##0")&amp;"円）／","")&amp;IF(AND(INDEX(職員マスタ!$F$6:$F$405,$AP2774)&lt;&gt;"",$AQ2774&lt;&gt;"",INDEX(職員マスタ!$F$6:$F$405,$AP2774)&lt;$AQ2774),"対象月に子が2歳到達済／","")&amp;IF(AND($H2774&lt;&gt;"",INDEX(職員マスタ!$B$6:$B$405,$AP2774)&lt;&gt;"",SUBSTITUTE(SUBSTITUTE($H2774," ","")," ","")&lt;&gt;SUBSTITUTE(SUBSTITUTE(INDEX(職員マスタ!$B$6:$B$405,$AP2774)," ","")," ","")),"氏名がマスタと相違／","")&amp;IF(AND($Q2774&lt;&gt;"",INDEX(職員マスタ!$E$6:$E$405,$AP2774)&lt;&gt;"",$Q2774&lt;&gt;INDEX(職員マスタ!$E$6:$E$405,$AP2774)),"子の生年月日がマスタと相違／","")&amp;IF(AND($L2774&lt;&gt;"",INDEX(職員マスタ!$G$6:$G$405,$AP2774)&lt;&gt;"",$L2774&lt;&gt;INDEX(職員マスタ!$G$6:$G$405,$AP2774)),"時短開始日がマスタと相違／","")&amp;IF(AND($M2774&lt;&gt;"",INDEX(職員マスタ!$H$6:$H$405,$AP2774)&lt;&gt;"",$M2774&lt;&gt;INDEX(職員マスタ!$H$6:$H$405,$AP2774)),"時短終了日がマスタと相違／","")))&amp;IF(AND($B2774&lt;&gt;"",$E2774=""),"報酬額が未入力／","")&amp;IF(N($U2774)&gt;0,"申請書に入力エラーが残っています／","")&amp;IF(AND($B2774&lt;&gt;"",$AQ2774&lt;&gt;""),IF(COUNTIFS($B$6:$B$3005,$B2774,$C$6:$C$3005,$C2774,$D$6:$D$3005,$D2774)&gt;1,"同じ月の請求が重複しています／",""),"")&amp;IF(AND(N($E2774)&gt;0,$AB2774&lt;&gt;"",$AB2774&lt;&gt;"×",$AE2774=0,$AD2774=""),"計算額が下限以下のため不支給／",""))</f>
        <v/>
      </c>
      <c r="AN2774" s="12" t="n"/>
      <c r="AO2774" s="14">
        <f>IF($AF2774="保留中",COUNTIF($AF$6:$AF2774,"保留中"),"")</f>
        <v/>
      </c>
      <c r="AP2774" s="14">
        <f>IF($AQ2774="","",IF(SUMPRODUCT(MAX((職員マスタ!$A$6:$A$405=$B2774)*(((職員マスタ!$G$6:$G$405="")+(職員マスタ!$G$6:$G$405&lt;=EOMONTH($AQ2774,0)))&gt;0)*(((職員マスタ!$H$6:$H$405="")+(職員マスタ!$H$6:$H$405&gt;=$AQ2774))&gt;0)*(ROW(職員マスタ!$A$6:$A$405)-5)))&gt;0,SUMPRODUCT(MAX((職員マスタ!$A$6:$A$405=$B2774)*(((職員マスタ!$G$6:$G$405="")+(職員マスタ!$G$6:$G$405&lt;=EOMONTH($AQ2774,0)))&gt;0)*(((職員マスタ!$H$6:$H$405="")+(職員マスタ!$H$6:$H$405&gt;=$AQ2774))&gt;0)*(ROW(職員マスタ!$A$6:$A$405)-5))),IFERROR(MATCH($B2774,職員マスタ!$A$6:$A$405,0),"")))</f>
        <v/>
      </c>
      <c r="AQ2774" s="16">
        <f>IF(OR($B2774="",$C2774="",$D2774=""),"",DATE($C2774+2018,$D2774,1))</f>
        <v/>
      </c>
    </row>
    <row r="2775">
      <c r="A2775" s="11" t="n"/>
      <c r="B2775" s="12" t="n"/>
      <c r="C2775" s="12" t="n"/>
      <c r="D2775" s="12" t="n"/>
      <c r="E2775" s="13" t="n"/>
      <c r="F2775" s="12" t="n"/>
      <c r="G2775" s="13" t="n"/>
      <c r="H2775" s="12" t="n"/>
      <c r="I2775" s="12" t="n"/>
      <c r="J2775" s="12" t="n"/>
      <c r="K2775" s="12" t="n"/>
      <c r="L2775" s="11" t="n"/>
      <c r="M2775" s="11" t="n"/>
      <c r="N2775" s="11" t="n"/>
      <c r="O2775" s="11" t="n"/>
      <c r="P2775" s="12" t="n"/>
      <c r="Q2775" s="11" t="n"/>
      <c r="R2775" s="12" t="n"/>
      <c r="S2775" s="11" t="n"/>
      <c r="T2775" s="12" t="n"/>
      <c r="U2775" s="12" t="n"/>
      <c r="V2775" s="12" t="n"/>
      <c r="W2775" s="13" t="n"/>
      <c r="X2775" s="14">
        <f>IF($AP2775="",IF($B2775="","",$H2775),IF(INDEX(職員マスタ!$B$6:$B$405,$AP2775)="",$H2775,INDEX(職員マスタ!$B$6:$B$405,$AP2775)))</f>
        <v/>
      </c>
      <c r="Y2775" s="14">
        <f>IF($AP2775="",IF($B2775="","",$R2775),IF(INDEX(職員マスタ!$C$6:$C$405,$AP2775)="",$R2775,INDEX(職員マスタ!$C$6:$C$405,$AP2775)))</f>
        <v/>
      </c>
      <c r="Z2775" s="14">
        <f>IF($AQ2775="","","R"&amp;$C2775&amp;"."&amp;$D2775)</f>
        <v/>
      </c>
      <c r="AA2775" s="15">
        <f>IF(IF($AP2775="",FALSE,INDEX(職員マスタ!$K$6:$K$405,$AP2775)&lt;&gt;""),INDEX(職員マスタ!$K$6:$K$405,$AP2775),IF(N($W2775)&gt;0,$W2775,""))</f>
        <v/>
      </c>
      <c r="AB2775" s="14">
        <f>IF(OR($E2775="",$AA2775=""),"",IF($E2775&gt;=$AA2775,"×",IF($E2775&gt;=$AA2775*設定!$C$5,"△","○")))</f>
        <v/>
      </c>
      <c r="AC2775" s="15">
        <f>IF($AB2775="","",IF($AB2775="×",0,IF($AB2775="○",ROUNDDOWN($E2775*設定!$C$4,0),ROUNDDOWN($E2775*ROUND((9*$AA2775-9*$E2775)/(10*$E2775),4),0))))</f>
        <v/>
      </c>
      <c r="AD2775" s="13" t="n"/>
      <c r="AE2775" s="15">
        <f>IF($B2775="","",IF($AD2775&lt;&gt;"",$AD2775,IF($AC2775="","",IF($AC2775&lt;=設定!$C$3,0,$AC2775))))</f>
        <v/>
      </c>
      <c r="AF2775" s="14">
        <f>IF($B2775="","",IF(AND($AG2775&lt;&gt;"",$AI2775="",$AL2775=""),"保留中",IF($AL2775&lt;&gt;"",IF(N($AE2775)&gt;0,"支給済","不支給"),IF($AE2775="","要確認",IF($AE2775=0,"不支給","未処理")))))</f>
        <v/>
      </c>
      <c r="AG2775" s="12" t="n"/>
      <c r="AH2775" s="11" t="n"/>
      <c r="AI2775" s="11" t="n"/>
      <c r="AJ2775" s="11" t="n"/>
      <c r="AK2775" s="14">
        <f>IF(AND($AF2775="保留中",$AH2775&lt;&gt;""),TODAY()-$AH2775,"")</f>
        <v/>
      </c>
      <c r="AL2775" s="12" t="n"/>
      <c r="AM2775" s="14">
        <f>IF($B2775="","",IF($AQ2775="","対象年月が未入力／","")&amp;IF($B2775="","",IF($AP2775="","職員マスタに未登録の職員番号／",IF($AA2775="","標準報酬月額が未登録／","")&amp;IF(AND($AQ2775&lt;&gt;"",OR(AND(INDEX(職員マスタ!$G$6:$G$405,$AP2775)&lt;&gt;"",INDEX(職員マスタ!$G$6:$G$405,$AP2775)&gt;EOMONTH($AQ2775,0)),AND(INDEX(職員マスタ!$H$6:$H$405,$AP2775)&lt;&gt;"",INDEX(職員マスタ!$H$6:$H$405,$AP2775)&lt;$AQ2775))),"対象月が時短期間外／","")&amp;IF(AND(INDEX(職員マスタ!$K$6:$K$405,$AP2775)&lt;&gt;"",N($W2775)&gt;0,INDEX(職員マスタ!$K$6:$K$405,$AP2775)&lt;&gt;$W2775),"標準報酬月額が申請書と相違（台帳"&amp;TEXT(INDEX(職員マスタ!$K$6:$K$405,$AP2775),"#,##0")&amp;"円／申請書"&amp;TEXT($W2775,"#,##0")&amp;"円）／","")&amp;IF(AND(INDEX(職員マスタ!$F$6:$F$405,$AP2775)&lt;&gt;"",$AQ2775&lt;&gt;"",INDEX(職員マスタ!$F$6:$F$405,$AP2775)&lt;$AQ2775),"対象月に子が2歳到達済／","")&amp;IF(AND($H2775&lt;&gt;"",INDEX(職員マスタ!$B$6:$B$405,$AP2775)&lt;&gt;"",SUBSTITUTE(SUBSTITUTE($H2775," ","")," ","")&lt;&gt;SUBSTITUTE(SUBSTITUTE(INDEX(職員マスタ!$B$6:$B$405,$AP2775)," ","")," ","")),"氏名がマスタと相違／","")&amp;IF(AND($Q2775&lt;&gt;"",INDEX(職員マスタ!$E$6:$E$405,$AP2775)&lt;&gt;"",$Q2775&lt;&gt;INDEX(職員マスタ!$E$6:$E$405,$AP2775)),"子の生年月日がマスタと相違／","")&amp;IF(AND($L2775&lt;&gt;"",INDEX(職員マスタ!$G$6:$G$405,$AP2775)&lt;&gt;"",$L2775&lt;&gt;INDEX(職員マスタ!$G$6:$G$405,$AP2775)),"時短開始日がマスタと相違／","")&amp;IF(AND($M2775&lt;&gt;"",INDEX(職員マスタ!$H$6:$H$405,$AP2775)&lt;&gt;"",$M2775&lt;&gt;INDEX(職員マスタ!$H$6:$H$405,$AP2775)),"時短終了日がマスタと相違／","")))&amp;IF(AND($B2775&lt;&gt;"",$E2775=""),"報酬額が未入力／","")&amp;IF(N($U2775)&gt;0,"申請書に入力エラーが残っています／","")&amp;IF(AND($B2775&lt;&gt;"",$AQ2775&lt;&gt;""),IF(COUNTIFS($B$6:$B$3005,$B2775,$C$6:$C$3005,$C2775,$D$6:$D$3005,$D2775)&gt;1,"同じ月の請求が重複しています／",""),"")&amp;IF(AND(N($E2775)&gt;0,$AB2775&lt;&gt;"",$AB2775&lt;&gt;"×",$AE2775=0,$AD2775=""),"計算額が下限以下のため不支給／",""))</f>
        <v/>
      </c>
      <c r="AN2775" s="12" t="n"/>
      <c r="AO2775" s="14">
        <f>IF($AF2775="保留中",COUNTIF($AF$6:$AF2775,"保留中"),"")</f>
        <v/>
      </c>
      <c r="AP2775" s="14">
        <f>IF($AQ2775="","",IF(SUMPRODUCT(MAX((職員マスタ!$A$6:$A$405=$B2775)*(((職員マスタ!$G$6:$G$405="")+(職員マスタ!$G$6:$G$405&lt;=EOMONTH($AQ2775,0)))&gt;0)*(((職員マスタ!$H$6:$H$405="")+(職員マスタ!$H$6:$H$405&gt;=$AQ2775))&gt;0)*(ROW(職員マスタ!$A$6:$A$405)-5)))&gt;0,SUMPRODUCT(MAX((職員マスタ!$A$6:$A$405=$B2775)*(((職員マスタ!$G$6:$G$405="")+(職員マスタ!$G$6:$G$405&lt;=EOMONTH($AQ2775,0)))&gt;0)*(((職員マスタ!$H$6:$H$405="")+(職員マスタ!$H$6:$H$405&gt;=$AQ2775))&gt;0)*(ROW(職員マスタ!$A$6:$A$405)-5))),IFERROR(MATCH($B2775,職員マスタ!$A$6:$A$405,0),"")))</f>
        <v/>
      </c>
      <c r="AQ2775" s="16">
        <f>IF(OR($B2775="",$C2775="",$D2775=""),"",DATE($C2775+2018,$D2775,1))</f>
        <v/>
      </c>
    </row>
    <row r="2776">
      <c r="A2776" s="11" t="n"/>
      <c r="B2776" s="12" t="n"/>
      <c r="C2776" s="12" t="n"/>
      <c r="D2776" s="12" t="n"/>
      <c r="E2776" s="13" t="n"/>
      <c r="F2776" s="12" t="n"/>
      <c r="G2776" s="13" t="n"/>
      <c r="H2776" s="12" t="n"/>
      <c r="I2776" s="12" t="n"/>
      <c r="J2776" s="12" t="n"/>
      <c r="K2776" s="12" t="n"/>
      <c r="L2776" s="11" t="n"/>
      <c r="M2776" s="11" t="n"/>
      <c r="N2776" s="11" t="n"/>
      <c r="O2776" s="11" t="n"/>
      <c r="P2776" s="12" t="n"/>
      <c r="Q2776" s="11" t="n"/>
      <c r="R2776" s="12" t="n"/>
      <c r="S2776" s="11" t="n"/>
      <c r="T2776" s="12" t="n"/>
      <c r="U2776" s="12" t="n"/>
      <c r="V2776" s="12" t="n"/>
      <c r="W2776" s="13" t="n"/>
      <c r="X2776" s="14">
        <f>IF($AP2776="",IF($B2776="","",$H2776),IF(INDEX(職員マスタ!$B$6:$B$405,$AP2776)="",$H2776,INDEX(職員マスタ!$B$6:$B$405,$AP2776)))</f>
        <v/>
      </c>
      <c r="Y2776" s="14">
        <f>IF($AP2776="",IF($B2776="","",$R2776),IF(INDEX(職員マスタ!$C$6:$C$405,$AP2776)="",$R2776,INDEX(職員マスタ!$C$6:$C$405,$AP2776)))</f>
        <v/>
      </c>
      <c r="Z2776" s="14">
        <f>IF($AQ2776="","","R"&amp;$C2776&amp;"."&amp;$D2776)</f>
        <v/>
      </c>
      <c r="AA2776" s="15">
        <f>IF(IF($AP2776="",FALSE,INDEX(職員マスタ!$K$6:$K$405,$AP2776)&lt;&gt;""),INDEX(職員マスタ!$K$6:$K$405,$AP2776),IF(N($W2776)&gt;0,$W2776,""))</f>
        <v/>
      </c>
      <c r="AB2776" s="14">
        <f>IF(OR($E2776="",$AA2776=""),"",IF($E2776&gt;=$AA2776,"×",IF($E2776&gt;=$AA2776*設定!$C$5,"△","○")))</f>
        <v/>
      </c>
      <c r="AC2776" s="15">
        <f>IF($AB2776="","",IF($AB2776="×",0,IF($AB2776="○",ROUNDDOWN($E2776*設定!$C$4,0),ROUNDDOWN($E2776*ROUND((9*$AA2776-9*$E2776)/(10*$E2776),4),0))))</f>
        <v/>
      </c>
      <c r="AD2776" s="13" t="n"/>
      <c r="AE2776" s="15">
        <f>IF($B2776="","",IF($AD2776&lt;&gt;"",$AD2776,IF($AC2776="","",IF($AC2776&lt;=設定!$C$3,0,$AC2776))))</f>
        <v/>
      </c>
      <c r="AF2776" s="14">
        <f>IF($B2776="","",IF(AND($AG2776&lt;&gt;"",$AI2776="",$AL2776=""),"保留中",IF($AL2776&lt;&gt;"",IF(N($AE2776)&gt;0,"支給済","不支給"),IF($AE2776="","要確認",IF($AE2776=0,"不支給","未処理")))))</f>
        <v/>
      </c>
      <c r="AG2776" s="12" t="n"/>
      <c r="AH2776" s="11" t="n"/>
      <c r="AI2776" s="11" t="n"/>
      <c r="AJ2776" s="11" t="n"/>
      <c r="AK2776" s="14">
        <f>IF(AND($AF2776="保留中",$AH2776&lt;&gt;""),TODAY()-$AH2776,"")</f>
        <v/>
      </c>
      <c r="AL2776" s="12" t="n"/>
      <c r="AM2776" s="14">
        <f>IF($B2776="","",IF($AQ2776="","対象年月が未入力／","")&amp;IF($B2776="","",IF($AP2776="","職員マスタに未登録の職員番号／",IF($AA2776="","標準報酬月額が未登録／","")&amp;IF(AND($AQ2776&lt;&gt;"",OR(AND(INDEX(職員マスタ!$G$6:$G$405,$AP2776)&lt;&gt;"",INDEX(職員マスタ!$G$6:$G$405,$AP2776)&gt;EOMONTH($AQ2776,0)),AND(INDEX(職員マスタ!$H$6:$H$405,$AP2776)&lt;&gt;"",INDEX(職員マスタ!$H$6:$H$405,$AP2776)&lt;$AQ2776))),"対象月が時短期間外／","")&amp;IF(AND(INDEX(職員マスタ!$K$6:$K$405,$AP2776)&lt;&gt;"",N($W2776)&gt;0,INDEX(職員マスタ!$K$6:$K$405,$AP2776)&lt;&gt;$W2776),"標準報酬月額が申請書と相違（台帳"&amp;TEXT(INDEX(職員マスタ!$K$6:$K$405,$AP2776),"#,##0")&amp;"円／申請書"&amp;TEXT($W2776,"#,##0")&amp;"円）／","")&amp;IF(AND(INDEX(職員マスタ!$F$6:$F$405,$AP2776)&lt;&gt;"",$AQ2776&lt;&gt;"",INDEX(職員マスタ!$F$6:$F$405,$AP2776)&lt;$AQ2776),"対象月に子が2歳到達済／","")&amp;IF(AND($H2776&lt;&gt;"",INDEX(職員マスタ!$B$6:$B$405,$AP2776)&lt;&gt;"",SUBSTITUTE(SUBSTITUTE($H2776," ","")," ","")&lt;&gt;SUBSTITUTE(SUBSTITUTE(INDEX(職員マスタ!$B$6:$B$405,$AP2776)," ","")," ","")),"氏名がマスタと相違／","")&amp;IF(AND($Q2776&lt;&gt;"",INDEX(職員マスタ!$E$6:$E$405,$AP2776)&lt;&gt;"",$Q2776&lt;&gt;INDEX(職員マスタ!$E$6:$E$405,$AP2776)),"子の生年月日がマスタと相違／","")&amp;IF(AND($L2776&lt;&gt;"",INDEX(職員マスタ!$G$6:$G$405,$AP2776)&lt;&gt;"",$L2776&lt;&gt;INDEX(職員マスタ!$G$6:$G$405,$AP2776)),"時短開始日がマスタと相違／","")&amp;IF(AND($M2776&lt;&gt;"",INDEX(職員マスタ!$H$6:$H$405,$AP2776)&lt;&gt;"",$M2776&lt;&gt;INDEX(職員マスタ!$H$6:$H$405,$AP2776)),"時短終了日がマスタと相違／","")))&amp;IF(AND($B2776&lt;&gt;"",$E2776=""),"報酬額が未入力／","")&amp;IF(N($U2776)&gt;0,"申請書に入力エラーが残っています／","")&amp;IF(AND($B2776&lt;&gt;"",$AQ2776&lt;&gt;""),IF(COUNTIFS($B$6:$B$3005,$B2776,$C$6:$C$3005,$C2776,$D$6:$D$3005,$D2776)&gt;1,"同じ月の請求が重複しています／",""),"")&amp;IF(AND(N($E2776)&gt;0,$AB2776&lt;&gt;"",$AB2776&lt;&gt;"×",$AE2776=0,$AD2776=""),"計算額が下限以下のため不支給／",""))</f>
        <v/>
      </c>
      <c r="AN2776" s="12" t="n"/>
      <c r="AO2776" s="14">
        <f>IF($AF2776="保留中",COUNTIF($AF$6:$AF2776,"保留中"),"")</f>
        <v/>
      </c>
      <c r="AP2776" s="14">
        <f>IF($AQ2776="","",IF(SUMPRODUCT(MAX((職員マスタ!$A$6:$A$405=$B2776)*(((職員マスタ!$G$6:$G$405="")+(職員マスタ!$G$6:$G$405&lt;=EOMONTH($AQ2776,0)))&gt;0)*(((職員マスタ!$H$6:$H$405="")+(職員マスタ!$H$6:$H$405&gt;=$AQ2776))&gt;0)*(ROW(職員マスタ!$A$6:$A$405)-5)))&gt;0,SUMPRODUCT(MAX((職員マスタ!$A$6:$A$405=$B2776)*(((職員マスタ!$G$6:$G$405="")+(職員マスタ!$G$6:$G$405&lt;=EOMONTH($AQ2776,0)))&gt;0)*(((職員マスタ!$H$6:$H$405="")+(職員マスタ!$H$6:$H$405&gt;=$AQ2776))&gt;0)*(ROW(職員マスタ!$A$6:$A$405)-5))),IFERROR(MATCH($B2776,職員マスタ!$A$6:$A$405,0),"")))</f>
        <v/>
      </c>
      <c r="AQ2776" s="16">
        <f>IF(OR($B2776="",$C2776="",$D2776=""),"",DATE($C2776+2018,$D2776,1))</f>
        <v/>
      </c>
    </row>
    <row r="2777">
      <c r="A2777" s="11" t="n"/>
      <c r="B2777" s="12" t="n"/>
      <c r="C2777" s="12" t="n"/>
      <c r="D2777" s="12" t="n"/>
      <c r="E2777" s="13" t="n"/>
      <c r="F2777" s="12" t="n"/>
      <c r="G2777" s="13" t="n"/>
      <c r="H2777" s="12" t="n"/>
      <c r="I2777" s="12" t="n"/>
      <c r="J2777" s="12" t="n"/>
      <c r="K2777" s="12" t="n"/>
      <c r="L2777" s="11" t="n"/>
      <c r="M2777" s="11" t="n"/>
      <c r="N2777" s="11" t="n"/>
      <c r="O2777" s="11" t="n"/>
      <c r="P2777" s="12" t="n"/>
      <c r="Q2777" s="11" t="n"/>
      <c r="R2777" s="12" t="n"/>
      <c r="S2777" s="11" t="n"/>
      <c r="T2777" s="12" t="n"/>
      <c r="U2777" s="12" t="n"/>
      <c r="V2777" s="12" t="n"/>
      <c r="W2777" s="13" t="n"/>
      <c r="X2777" s="14">
        <f>IF($AP2777="",IF($B2777="","",$H2777),IF(INDEX(職員マスタ!$B$6:$B$405,$AP2777)="",$H2777,INDEX(職員マスタ!$B$6:$B$405,$AP2777)))</f>
        <v/>
      </c>
      <c r="Y2777" s="14">
        <f>IF($AP2777="",IF($B2777="","",$R2777),IF(INDEX(職員マスタ!$C$6:$C$405,$AP2777)="",$R2777,INDEX(職員マスタ!$C$6:$C$405,$AP2777)))</f>
        <v/>
      </c>
      <c r="Z2777" s="14">
        <f>IF($AQ2777="","","R"&amp;$C2777&amp;"."&amp;$D2777)</f>
        <v/>
      </c>
      <c r="AA2777" s="15">
        <f>IF(IF($AP2777="",FALSE,INDEX(職員マスタ!$K$6:$K$405,$AP2777)&lt;&gt;""),INDEX(職員マスタ!$K$6:$K$405,$AP2777),IF(N($W2777)&gt;0,$W2777,""))</f>
        <v/>
      </c>
      <c r="AB2777" s="14">
        <f>IF(OR($E2777="",$AA2777=""),"",IF($E2777&gt;=$AA2777,"×",IF($E2777&gt;=$AA2777*設定!$C$5,"△","○")))</f>
        <v/>
      </c>
      <c r="AC2777" s="15">
        <f>IF($AB2777="","",IF($AB2777="×",0,IF($AB2777="○",ROUNDDOWN($E2777*設定!$C$4,0),ROUNDDOWN($E2777*ROUND((9*$AA2777-9*$E2777)/(10*$E2777),4),0))))</f>
        <v/>
      </c>
      <c r="AD2777" s="13" t="n"/>
      <c r="AE2777" s="15">
        <f>IF($B2777="","",IF($AD2777&lt;&gt;"",$AD2777,IF($AC2777="","",IF($AC2777&lt;=設定!$C$3,0,$AC2777))))</f>
        <v/>
      </c>
      <c r="AF2777" s="14">
        <f>IF($B2777="","",IF(AND($AG2777&lt;&gt;"",$AI2777="",$AL2777=""),"保留中",IF($AL2777&lt;&gt;"",IF(N($AE2777)&gt;0,"支給済","不支給"),IF($AE2777="","要確認",IF($AE2777=0,"不支給","未処理")))))</f>
        <v/>
      </c>
      <c r="AG2777" s="12" t="n"/>
      <c r="AH2777" s="11" t="n"/>
      <c r="AI2777" s="11" t="n"/>
      <c r="AJ2777" s="11" t="n"/>
      <c r="AK2777" s="14">
        <f>IF(AND($AF2777="保留中",$AH2777&lt;&gt;""),TODAY()-$AH2777,"")</f>
        <v/>
      </c>
      <c r="AL2777" s="12" t="n"/>
      <c r="AM2777" s="14">
        <f>IF($B2777="","",IF($AQ2777="","対象年月が未入力／","")&amp;IF($B2777="","",IF($AP2777="","職員マスタに未登録の職員番号／",IF($AA2777="","標準報酬月額が未登録／","")&amp;IF(AND($AQ2777&lt;&gt;"",OR(AND(INDEX(職員マスタ!$G$6:$G$405,$AP2777)&lt;&gt;"",INDEX(職員マスタ!$G$6:$G$405,$AP2777)&gt;EOMONTH($AQ2777,0)),AND(INDEX(職員マスタ!$H$6:$H$405,$AP2777)&lt;&gt;"",INDEX(職員マスタ!$H$6:$H$405,$AP2777)&lt;$AQ2777))),"対象月が時短期間外／","")&amp;IF(AND(INDEX(職員マスタ!$K$6:$K$405,$AP2777)&lt;&gt;"",N($W2777)&gt;0,INDEX(職員マスタ!$K$6:$K$405,$AP2777)&lt;&gt;$W2777),"標準報酬月額が申請書と相違（台帳"&amp;TEXT(INDEX(職員マスタ!$K$6:$K$405,$AP2777),"#,##0")&amp;"円／申請書"&amp;TEXT($W2777,"#,##0")&amp;"円）／","")&amp;IF(AND(INDEX(職員マスタ!$F$6:$F$405,$AP2777)&lt;&gt;"",$AQ2777&lt;&gt;"",INDEX(職員マスタ!$F$6:$F$405,$AP2777)&lt;$AQ2777),"対象月に子が2歳到達済／","")&amp;IF(AND($H2777&lt;&gt;"",INDEX(職員マスタ!$B$6:$B$405,$AP2777)&lt;&gt;"",SUBSTITUTE(SUBSTITUTE($H2777," ","")," ","")&lt;&gt;SUBSTITUTE(SUBSTITUTE(INDEX(職員マスタ!$B$6:$B$405,$AP2777)," ","")," ","")),"氏名がマスタと相違／","")&amp;IF(AND($Q2777&lt;&gt;"",INDEX(職員マスタ!$E$6:$E$405,$AP2777)&lt;&gt;"",$Q2777&lt;&gt;INDEX(職員マスタ!$E$6:$E$405,$AP2777)),"子の生年月日がマスタと相違／","")&amp;IF(AND($L2777&lt;&gt;"",INDEX(職員マスタ!$G$6:$G$405,$AP2777)&lt;&gt;"",$L2777&lt;&gt;INDEX(職員マスタ!$G$6:$G$405,$AP2777)),"時短開始日がマスタと相違／","")&amp;IF(AND($M2777&lt;&gt;"",INDEX(職員マスタ!$H$6:$H$405,$AP2777)&lt;&gt;"",$M2777&lt;&gt;INDEX(職員マスタ!$H$6:$H$405,$AP2777)),"時短終了日がマスタと相違／","")))&amp;IF(AND($B2777&lt;&gt;"",$E2777=""),"報酬額が未入力／","")&amp;IF(N($U2777)&gt;0,"申請書に入力エラーが残っています／","")&amp;IF(AND($B2777&lt;&gt;"",$AQ2777&lt;&gt;""),IF(COUNTIFS($B$6:$B$3005,$B2777,$C$6:$C$3005,$C2777,$D$6:$D$3005,$D2777)&gt;1,"同じ月の請求が重複しています／",""),"")&amp;IF(AND(N($E2777)&gt;0,$AB2777&lt;&gt;"",$AB2777&lt;&gt;"×",$AE2777=0,$AD2777=""),"計算額が下限以下のため不支給／",""))</f>
        <v/>
      </c>
      <c r="AN2777" s="12" t="n"/>
      <c r="AO2777" s="14">
        <f>IF($AF2777="保留中",COUNTIF($AF$6:$AF2777,"保留中"),"")</f>
        <v/>
      </c>
      <c r="AP2777" s="14">
        <f>IF($AQ2777="","",IF(SUMPRODUCT(MAX((職員マスタ!$A$6:$A$405=$B2777)*(((職員マスタ!$G$6:$G$405="")+(職員マスタ!$G$6:$G$405&lt;=EOMONTH($AQ2777,0)))&gt;0)*(((職員マスタ!$H$6:$H$405="")+(職員マスタ!$H$6:$H$405&gt;=$AQ2777))&gt;0)*(ROW(職員マスタ!$A$6:$A$405)-5)))&gt;0,SUMPRODUCT(MAX((職員マスタ!$A$6:$A$405=$B2777)*(((職員マスタ!$G$6:$G$405="")+(職員マスタ!$G$6:$G$405&lt;=EOMONTH($AQ2777,0)))&gt;0)*(((職員マスタ!$H$6:$H$405="")+(職員マスタ!$H$6:$H$405&gt;=$AQ2777))&gt;0)*(ROW(職員マスタ!$A$6:$A$405)-5))),IFERROR(MATCH($B2777,職員マスタ!$A$6:$A$405,0),"")))</f>
        <v/>
      </c>
      <c r="AQ2777" s="16">
        <f>IF(OR($B2777="",$C2777="",$D2777=""),"",DATE($C2777+2018,$D2777,1))</f>
        <v/>
      </c>
    </row>
    <row r="2778">
      <c r="A2778" s="11" t="n"/>
      <c r="B2778" s="12" t="n"/>
      <c r="C2778" s="12" t="n"/>
      <c r="D2778" s="12" t="n"/>
      <c r="E2778" s="13" t="n"/>
      <c r="F2778" s="12" t="n"/>
      <c r="G2778" s="13" t="n"/>
      <c r="H2778" s="12" t="n"/>
      <c r="I2778" s="12" t="n"/>
      <c r="J2778" s="12" t="n"/>
      <c r="K2778" s="12" t="n"/>
      <c r="L2778" s="11" t="n"/>
      <c r="M2778" s="11" t="n"/>
      <c r="N2778" s="11" t="n"/>
      <c r="O2778" s="11" t="n"/>
      <c r="P2778" s="12" t="n"/>
      <c r="Q2778" s="11" t="n"/>
      <c r="R2778" s="12" t="n"/>
      <c r="S2778" s="11" t="n"/>
      <c r="T2778" s="12" t="n"/>
      <c r="U2778" s="12" t="n"/>
      <c r="V2778" s="12" t="n"/>
      <c r="W2778" s="13" t="n"/>
      <c r="X2778" s="14">
        <f>IF($AP2778="",IF($B2778="","",$H2778),IF(INDEX(職員マスタ!$B$6:$B$405,$AP2778)="",$H2778,INDEX(職員マスタ!$B$6:$B$405,$AP2778)))</f>
        <v/>
      </c>
      <c r="Y2778" s="14">
        <f>IF($AP2778="",IF($B2778="","",$R2778),IF(INDEX(職員マスタ!$C$6:$C$405,$AP2778)="",$R2778,INDEX(職員マスタ!$C$6:$C$405,$AP2778)))</f>
        <v/>
      </c>
      <c r="Z2778" s="14">
        <f>IF($AQ2778="","","R"&amp;$C2778&amp;"."&amp;$D2778)</f>
        <v/>
      </c>
      <c r="AA2778" s="15">
        <f>IF(IF($AP2778="",FALSE,INDEX(職員マスタ!$K$6:$K$405,$AP2778)&lt;&gt;""),INDEX(職員マスタ!$K$6:$K$405,$AP2778),IF(N($W2778)&gt;0,$W2778,""))</f>
        <v/>
      </c>
      <c r="AB2778" s="14">
        <f>IF(OR($E2778="",$AA2778=""),"",IF($E2778&gt;=$AA2778,"×",IF($E2778&gt;=$AA2778*設定!$C$5,"△","○")))</f>
        <v/>
      </c>
      <c r="AC2778" s="15">
        <f>IF($AB2778="","",IF($AB2778="×",0,IF($AB2778="○",ROUNDDOWN($E2778*設定!$C$4,0),ROUNDDOWN($E2778*ROUND((9*$AA2778-9*$E2778)/(10*$E2778),4),0))))</f>
        <v/>
      </c>
      <c r="AD2778" s="13" t="n"/>
      <c r="AE2778" s="15">
        <f>IF($B2778="","",IF($AD2778&lt;&gt;"",$AD2778,IF($AC2778="","",IF($AC2778&lt;=設定!$C$3,0,$AC2778))))</f>
        <v/>
      </c>
      <c r="AF2778" s="14">
        <f>IF($B2778="","",IF(AND($AG2778&lt;&gt;"",$AI2778="",$AL2778=""),"保留中",IF($AL2778&lt;&gt;"",IF(N($AE2778)&gt;0,"支給済","不支給"),IF($AE2778="","要確認",IF($AE2778=0,"不支給","未処理")))))</f>
        <v/>
      </c>
      <c r="AG2778" s="12" t="n"/>
      <c r="AH2778" s="11" t="n"/>
      <c r="AI2778" s="11" t="n"/>
      <c r="AJ2778" s="11" t="n"/>
      <c r="AK2778" s="14">
        <f>IF(AND($AF2778="保留中",$AH2778&lt;&gt;""),TODAY()-$AH2778,"")</f>
        <v/>
      </c>
      <c r="AL2778" s="12" t="n"/>
      <c r="AM2778" s="14">
        <f>IF($B2778="","",IF($AQ2778="","対象年月が未入力／","")&amp;IF($B2778="","",IF($AP2778="","職員マスタに未登録の職員番号／",IF($AA2778="","標準報酬月額が未登録／","")&amp;IF(AND($AQ2778&lt;&gt;"",OR(AND(INDEX(職員マスタ!$G$6:$G$405,$AP2778)&lt;&gt;"",INDEX(職員マスタ!$G$6:$G$405,$AP2778)&gt;EOMONTH($AQ2778,0)),AND(INDEX(職員マスタ!$H$6:$H$405,$AP2778)&lt;&gt;"",INDEX(職員マスタ!$H$6:$H$405,$AP2778)&lt;$AQ2778))),"対象月が時短期間外／","")&amp;IF(AND(INDEX(職員マスタ!$K$6:$K$405,$AP2778)&lt;&gt;"",N($W2778)&gt;0,INDEX(職員マスタ!$K$6:$K$405,$AP2778)&lt;&gt;$W2778),"標準報酬月額が申請書と相違（台帳"&amp;TEXT(INDEX(職員マスタ!$K$6:$K$405,$AP2778),"#,##0")&amp;"円／申請書"&amp;TEXT($W2778,"#,##0")&amp;"円）／","")&amp;IF(AND(INDEX(職員マスタ!$F$6:$F$405,$AP2778)&lt;&gt;"",$AQ2778&lt;&gt;"",INDEX(職員マスタ!$F$6:$F$405,$AP2778)&lt;$AQ2778),"対象月に子が2歳到達済／","")&amp;IF(AND($H2778&lt;&gt;"",INDEX(職員マスタ!$B$6:$B$405,$AP2778)&lt;&gt;"",SUBSTITUTE(SUBSTITUTE($H2778," ","")," ","")&lt;&gt;SUBSTITUTE(SUBSTITUTE(INDEX(職員マスタ!$B$6:$B$405,$AP2778)," ","")," ","")),"氏名がマスタと相違／","")&amp;IF(AND($Q2778&lt;&gt;"",INDEX(職員マスタ!$E$6:$E$405,$AP2778)&lt;&gt;"",$Q2778&lt;&gt;INDEX(職員マスタ!$E$6:$E$405,$AP2778)),"子の生年月日がマスタと相違／","")&amp;IF(AND($L2778&lt;&gt;"",INDEX(職員マスタ!$G$6:$G$405,$AP2778)&lt;&gt;"",$L2778&lt;&gt;INDEX(職員マスタ!$G$6:$G$405,$AP2778)),"時短開始日がマスタと相違／","")&amp;IF(AND($M2778&lt;&gt;"",INDEX(職員マスタ!$H$6:$H$405,$AP2778)&lt;&gt;"",$M2778&lt;&gt;INDEX(職員マスタ!$H$6:$H$405,$AP2778)),"時短終了日がマスタと相違／","")))&amp;IF(AND($B2778&lt;&gt;"",$E2778=""),"報酬額が未入力／","")&amp;IF(N($U2778)&gt;0,"申請書に入力エラーが残っています／","")&amp;IF(AND($B2778&lt;&gt;"",$AQ2778&lt;&gt;""),IF(COUNTIFS($B$6:$B$3005,$B2778,$C$6:$C$3005,$C2778,$D$6:$D$3005,$D2778)&gt;1,"同じ月の請求が重複しています／",""),"")&amp;IF(AND(N($E2778)&gt;0,$AB2778&lt;&gt;"",$AB2778&lt;&gt;"×",$AE2778=0,$AD2778=""),"計算額が下限以下のため不支給／",""))</f>
        <v/>
      </c>
      <c r="AN2778" s="12" t="n"/>
      <c r="AO2778" s="14">
        <f>IF($AF2778="保留中",COUNTIF($AF$6:$AF2778,"保留中"),"")</f>
        <v/>
      </c>
      <c r="AP2778" s="14">
        <f>IF($AQ2778="","",IF(SUMPRODUCT(MAX((職員マスタ!$A$6:$A$405=$B2778)*(((職員マスタ!$G$6:$G$405="")+(職員マスタ!$G$6:$G$405&lt;=EOMONTH($AQ2778,0)))&gt;0)*(((職員マスタ!$H$6:$H$405="")+(職員マスタ!$H$6:$H$405&gt;=$AQ2778))&gt;0)*(ROW(職員マスタ!$A$6:$A$405)-5)))&gt;0,SUMPRODUCT(MAX((職員マスタ!$A$6:$A$405=$B2778)*(((職員マスタ!$G$6:$G$405="")+(職員マスタ!$G$6:$G$405&lt;=EOMONTH($AQ2778,0)))&gt;0)*(((職員マスタ!$H$6:$H$405="")+(職員マスタ!$H$6:$H$405&gt;=$AQ2778))&gt;0)*(ROW(職員マスタ!$A$6:$A$405)-5))),IFERROR(MATCH($B2778,職員マスタ!$A$6:$A$405,0),"")))</f>
        <v/>
      </c>
      <c r="AQ2778" s="16">
        <f>IF(OR($B2778="",$C2778="",$D2778=""),"",DATE($C2778+2018,$D2778,1))</f>
        <v/>
      </c>
    </row>
    <row r="2779">
      <c r="A2779" s="11" t="n"/>
      <c r="B2779" s="12" t="n"/>
      <c r="C2779" s="12" t="n"/>
      <c r="D2779" s="12" t="n"/>
      <c r="E2779" s="13" t="n"/>
      <c r="F2779" s="12" t="n"/>
      <c r="G2779" s="13" t="n"/>
      <c r="H2779" s="12" t="n"/>
      <c r="I2779" s="12" t="n"/>
      <c r="J2779" s="12" t="n"/>
      <c r="K2779" s="12" t="n"/>
      <c r="L2779" s="11" t="n"/>
      <c r="M2779" s="11" t="n"/>
      <c r="N2779" s="11" t="n"/>
      <c r="O2779" s="11" t="n"/>
      <c r="P2779" s="12" t="n"/>
      <c r="Q2779" s="11" t="n"/>
      <c r="R2779" s="12" t="n"/>
      <c r="S2779" s="11" t="n"/>
      <c r="T2779" s="12" t="n"/>
      <c r="U2779" s="12" t="n"/>
      <c r="V2779" s="12" t="n"/>
      <c r="W2779" s="13" t="n"/>
      <c r="X2779" s="14">
        <f>IF($AP2779="",IF($B2779="","",$H2779),IF(INDEX(職員マスタ!$B$6:$B$405,$AP2779)="",$H2779,INDEX(職員マスタ!$B$6:$B$405,$AP2779)))</f>
        <v/>
      </c>
      <c r="Y2779" s="14">
        <f>IF($AP2779="",IF($B2779="","",$R2779),IF(INDEX(職員マスタ!$C$6:$C$405,$AP2779)="",$R2779,INDEX(職員マスタ!$C$6:$C$405,$AP2779)))</f>
        <v/>
      </c>
      <c r="Z2779" s="14">
        <f>IF($AQ2779="","","R"&amp;$C2779&amp;"."&amp;$D2779)</f>
        <v/>
      </c>
      <c r="AA2779" s="15">
        <f>IF(IF($AP2779="",FALSE,INDEX(職員マスタ!$K$6:$K$405,$AP2779)&lt;&gt;""),INDEX(職員マスタ!$K$6:$K$405,$AP2779),IF(N($W2779)&gt;0,$W2779,""))</f>
        <v/>
      </c>
      <c r="AB2779" s="14">
        <f>IF(OR($E2779="",$AA2779=""),"",IF($E2779&gt;=$AA2779,"×",IF($E2779&gt;=$AA2779*設定!$C$5,"△","○")))</f>
        <v/>
      </c>
      <c r="AC2779" s="15">
        <f>IF($AB2779="","",IF($AB2779="×",0,IF($AB2779="○",ROUNDDOWN($E2779*設定!$C$4,0),ROUNDDOWN($E2779*ROUND((9*$AA2779-9*$E2779)/(10*$E2779),4),0))))</f>
        <v/>
      </c>
      <c r="AD2779" s="13" t="n"/>
      <c r="AE2779" s="15">
        <f>IF($B2779="","",IF($AD2779&lt;&gt;"",$AD2779,IF($AC2779="","",IF($AC2779&lt;=設定!$C$3,0,$AC2779))))</f>
        <v/>
      </c>
      <c r="AF2779" s="14">
        <f>IF($B2779="","",IF(AND($AG2779&lt;&gt;"",$AI2779="",$AL2779=""),"保留中",IF($AL2779&lt;&gt;"",IF(N($AE2779)&gt;0,"支給済","不支給"),IF($AE2779="","要確認",IF($AE2779=0,"不支給","未処理")))))</f>
        <v/>
      </c>
      <c r="AG2779" s="12" t="n"/>
      <c r="AH2779" s="11" t="n"/>
      <c r="AI2779" s="11" t="n"/>
      <c r="AJ2779" s="11" t="n"/>
      <c r="AK2779" s="14">
        <f>IF(AND($AF2779="保留中",$AH2779&lt;&gt;""),TODAY()-$AH2779,"")</f>
        <v/>
      </c>
      <c r="AL2779" s="12" t="n"/>
      <c r="AM2779" s="14">
        <f>IF($B2779="","",IF($AQ2779="","対象年月が未入力／","")&amp;IF($B2779="","",IF($AP2779="","職員マスタに未登録の職員番号／",IF($AA2779="","標準報酬月額が未登録／","")&amp;IF(AND($AQ2779&lt;&gt;"",OR(AND(INDEX(職員マスタ!$G$6:$G$405,$AP2779)&lt;&gt;"",INDEX(職員マスタ!$G$6:$G$405,$AP2779)&gt;EOMONTH($AQ2779,0)),AND(INDEX(職員マスタ!$H$6:$H$405,$AP2779)&lt;&gt;"",INDEX(職員マスタ!$H$6:$H$405,$AP2779)&lt;$AQ2779))),"対象月が時短期間外／","")&amp;IF(AND(INDEX(職員マスタ!$K$6:$K$405,$AP2779)&lt;&gt;"",N($W2779)&gt;0,INDEX(職員マスタ!$K$6:$K$405,$AP2779)&lt;&gt;$W2779),"標準報酬月額が申請書と相違（台帳"&amp;TEXT(INDEX(職員マスタ!$K$6:$K$405,$AP2779),"#,##0")&amp;"円／申請書"&amp;TEXT($W2779,"#,##0")&amp;"円）／","")&amp;IF(AND(INDEX(職員マスタ!$F$6:$F$405,$AP2779)&lt;&gt;"",$AQ2779&lt;&gt;"",INDEX(職員マスタ!$F$6:$F$405,$AP2779)&lt;$AQ2779),"対象月に子が2歳到達済／","")&amp;IF(AND($H2779&lt;&gt;"",INDEX(職員マスタ!$B$6:$B$405,$AP2779)&lt;&gt;"",SUBSTITUTE(SUBSTITUTE($H2779," ","")," ","")&lt;&gt;SUBSTITUTE(SUBSTITUTE(INDEX(職員マスタ!$B$6:$B$405,$AP2779)," ","")," ","")),"氏名がマスタと相違／","")&amp;IF(AND($Q2779&lt;&gt;"",INDEX(職員マスタ!$E$6:$E$405,$AP2779)&lt;&gt;"",$Q2779&lt;&gt;INDEX(職員マスタ!$E$6:$E$405,$AP2779)),"子の生年月日がマスタと相違／","")&amp;IF(AND($L2779&lt;&gt;"",INDEX(職員マスタ!$G$6:$G$405,$AP2779)&lt;&gt;"",$L2779&lt;&gt;INDEX(職員マスタ!$G$6:$G$405,$AP2779)),"時短開始日がマスタと相違／","")&amp;IF(AND($M2779&lt;&gt;"",INDEX(職員マスタ!$H$6:$H$405,$AP2779)&lt;&gt;"",$M2779&lt;&gt;INDEX(職員マスタ!$H$6:$H$405,$AP2779)),"時短終了日がマスタと相違／","")))&amp;IF(AND($B2779&lt;&gt;"",$E2779=""),"報酬額が未入力／","")&amp;IF(N($U2779)&gt;0,"申請書に入力エラーが残っています／","")&amp;IF(AND($B2779&lt;&gt;"",$AQ2779&lt;&gt;""),IF(COUNTIFS($B$6:$B$3005,$B2779,$C$6:$C$3005,$C2779,$D$6:$D$3005,$D2779)&gt;1,"同じ月の請求が重複しています／",""),"")&amp;IF(AND(N($E2779)&gt;0,$AB2779&lt;&gt;"",$AB2779&lt;&gt;"×",$AE2779=0,$AD2779=""),"計算額が下限以下のため不支給／",""))</f>
        <v/>
      </c>
      <c r="AN2779" s="12" t="n"/>
      <c r="AO2779" s="14">
        <f>IF($AF2779="保留中",COUNTIF($AF$6:$AF2779,"保留中"),"")</f>
        <v/>
      </c>
      <c r="AP2779" s="14">
        <f>IF($AQ2779="","",IF(SUMPRODUCT(MAX((職員マスタ!$A$6:$A$405=$B2779)*(((職員マスタ!$G$6:$G$405="")+(職員マスタ!$G$6:$G$405&lt;=EOMONTH($AQ2779,0)))&gt;0)*(((職員マスタ!$H$6:$H$405="")+(職員マスタ!$H$6:$H$405&gt;=$AQ2779))&gt;0)*(ROW(職員マスタ!$A$6:$A$405)-5)))&gt;0,SUMPRODUCT(MAX((職員マスタ!$A$6:$A$405=$B2779)*(((職員マスタ!$G$6:$G$405="")+(職員マスタ!$G$6:$G$405&lt;=EOMONTH($AQ2779,0)))&gt;0)*(((職員マスタ!$H$6:$H$405="")+(職員マスタ!$H$6:$H$405&gt;=$AQ2779))&gt;0)*(ROW(職員マスタ!$A$6:$A$405)-5))),IFERROR(MATCH($B2779,職員マスタ!$A$6:$A$405,0),"")))</f>
        <v/>
      </c>
      <c r="AQ2779" s="16">
        <f>IF(OR($B2779="",$C2779="",$D2779=""),"",DATE($C2779+2018,$D2779,1))</f>
        <v/>
      </c>
    </row>
    <row r="2780">
      <c r="A2780" s="11" t="n"/>
      <c r="B2780" s="12" t="n"/>
      <c r="C2780" s="12" t="n"/>
      <c r="D2780" s="12" t="n"/>
      <c r="E2780" s="13" t="n"/>
      <c r="F2780" s="12" t="n"/>
      <c r="G2780" s="13" t="n"/>
      <c r="H2780" s="12" t="n"/>
      <c r="I2780" s="12" t="n"/>
      <c r="J2780" s="12" t="n"/>
      <c r="K2780" s="12" t="n"/>
      <c r="L2780" s="11" t="n"/>
      <c r="M2780" s="11" t="n"/>
      <c r="N2780" s="11" t="n"/>
      <c r="O2780" s="11" t="n"/>
      <c r="P2780" s="12" t="n"/>
      <c r="Q2780" s="11" t="n"/>
      <c r="R2780" s="12" t="n"/>
      <c r="S2780" s="11" t="n"/>
      <c r="T2780" s="12" t="n"/>
      <c r="U2780" s="12" t="n"/>
      <c r="V2780" s="12" t="n"/>
      <c r="W2780" s="13" t="n"/>
      <c r="X2780" s="14">
        <f>IF($AP2780="",IF($B2780="","",$H2780),IF(INDEX(職員マスタ!$B$6:$B$405,$AP2780)="",$H2780,INDEX(職員マスタ!$B$6:$B$405,$AP2780)))</f>
        <v/>
      </c>
      <c r="Y2780" s="14">
        <f>IF($AP2780="",IF($B2780="","",$R2780),IF(INDEX(職員マスタ!$C$6:$C$405,$AP2780)="",$R2780,INDEX(職員マスタ!$C$6:$C$405,$AP2780)))</f>
        <v/>
      </c>
      <c r="Z2780" s="14">
        <f>IF($AQ2780="","","R"&amp;$C2780&amp;"."&amp;$D2780)</f>
        <v/>
      </c>
      <c r="AA2780" s="15">
        <f>IF(IF($AP2780="",FALSE,INDEX(職員マスタ!$K$6:$K$405,$AP2780)&lt;&gt;""),INDEX(職員マスタ!$K$6:$K$405,$AP2780),IF(N($W2780)&gt;0,$W2780,""))</f>
        <v/>
      </c>
      <c r="AB2780" s="14">
        <f>IF(OR($E2780="",$AA2780=""),"",IF($E2780&gt;=$AA2780,"×",IF($E2780&gt;=$AA2780*設定!$C$5,"△","○")))</f>
        <v/>
      </c>
      <c r="AC2780" s="15">
        <f>IF($AB2780="","",IF($AB2780="×",0,IF($AB2780="○",ROUNDDOWN($E2780*設定!$C$4,0),ROUNDDOWN($E2780*ROUND((9*$AA2780-9*$E2780)/(10*$E2780),4),0))))</f>
        <v/>
      </c>
      <c r="AD2780" s="13" t="n"/>
      <c r="AE2780" s="15">
        <f>IF($B2780="","",IF($AD2780&lt;&gt;"",$AD2780,IF($AC2780="","",IF($AC2780&lt;=設定!$C$3,0,$AC2780))))</f>
        <v/>
      </c>
      <c r="AF2780" s="14">
        <f>IF($B2780="","",IF(AND($AG2780&lt;&gt;"",$AI2780="",$AL2780=""),"保留中",IF($AL2780&lt;&gt;"",IF(N($AE2780)&gt;0,"支給済","不支給"),IF($AE2780="","要確認",IF($AE2780=0,"不支給","未処理")))))</f>
        <v/>
      </c>
      <c r="AG2780" s="12" t="n"/>
      <c r="AH2780" s="11" t="n"/>
      <c r="AI2780" s="11" t="n"/>
      <c r="AJ2780" s="11" t="n"/>
      <c r="AK2780" s="14">
        <f>IF(AND($AF2780="保留中",$AH2780&lt;&gt;""),TODAY()-$AH2780,"")</f>
        <v/>
      </c>
      <c r="AL2780" s="12" t="n"/>
      <c r="AM2780" s="14">
        <f>IF($B2780="","",IF($AQ2780="","対象年月が未入力／","")&amp;IF($B2780="","",IF($AP2780="","職員マスタに未登録の職員番号／",IF($AA2780="","標準報酬月額が未登録／","")&amp;IF(AND($AQ2780&lt;&gt;"",OR(AND(INDEX(職員マスタ!$G$6:$G$405,$AP2780)&lt;&gt;"",INDEX(職員マスタ!$G$6:$G$405,$AP2780)&gt;EOMONTH($AQ2780,0)),AND(INDEX(職員マスタ!$H$6:$H$405,$AP2780)&lt;&gt;"",INDEX(職員マスタ!$H$6:$H$405,$AP2780)&lt;$AQ2780))),"対象月が時短期間外／","")&amp;IF(AND(INDEX(職員マスタ!$K$6:$K$405,$AP2780)&lt;&gt;"",N($W2780)&gt;0,INDEX(職員マスタ!$K$6:$K$405,$AP2780)&lt;&gt;$W2780),"標準報酬月額が申請書と相違（台帳"&amp;TEXT(INDEX(職員マスタ!$K$6:$K$405,$AP2780),"#,##0")&amp;"円／申請書"&amp;TEXT($W2780,"#,##0")&amp;"円）／","")&amp;IF(AND(INDEX(職員マスタ!$F$6:$F$405,$AP2780)&lt;&gt;"",$AQ2780&lt;&gt;"",INDEX(職員マスタ!$F$6:$F$405,$AP2780)&lt;$AQ2780),"対象月に子が2歳到達済／","")&amp;IF(AND($H2780&lt;&gt;"",INDEX(職員マスタ!$B$6:$B$405,$AP2780)&lt;&gt;"",SUBSTITUTE(SUBSTITUTE($H2780," ","")," ","")&lt;&gt;SUBSTITUTE(SUBSTITUTE(INDEX(職員マスタ!$B$6:$B$405,$AP2780)," ","")," ","")),"氏名がマスタと相違／","")&amp;IF(AND($Q2780&lt;&gt;"",INDEX(職員マスタ!$E$6:$E$405,$AP2780)&lt;&gt;"",$Q2780&lt;&gt;INDEX(職員マスタ!$E$6:$E$405,$AP2780)),"子の生年月日がマスタと相違／","")&amp;IF(AND($L2780&lt;&gt;"",INDEX(職員マスタ!$G$6:$G$405,$AP2780)&lt;&gt;"",$L2780&lt;&gt;INDEX(職員マスタ!$G$6:$G$405,$AP2780)),"時短開始日がマスタと相違／","")&amp;IF(AND($M2780&lt;&gt;"",INDEX(職員マスタ!$H$6:$H$405,$AP2780)&lt;&gt;"",$M2780&lt;&gt;INDEX(職員マスタ!$H$6:$H$405,$AP2780)),"時短終了日がマスタと相違／","")))&amp;IF(AND($B2780&lt;&gt;"",$E2780=""),"報酬額が未入力／","")&amp;IF(N($U2780)&gt;0,"申請書に入力エラーが残っています／","")&amp;IF(AND($B2780&lt;&gt;"",$AQ2780&lt;&gt;""),IF(COUNTIFS($B$6:$B$3005,$B2780,$C$6:$C$3005,$C2780,$D$6:$D$3005,$D2780)&gt;1,"同じ月の請求が重複しています／",""),"")&amp;IF(AND(N($E2780)&gt;0,$AB2780&lt;&gt;"",$AB2780&lt;&gt;"×",$AE2780=0,$AD2780=""),"計算額が下限以下のため不支給／",""))</f>
        <v/>
      </c>
      <c r="AN2780" s="12" t="n"/>
      <c r="AO2780" s="14">
        <f>IF($AF2780="保留中",COUNTIF($AF$6:$AF2780,"保留中"),"")</f>
        <v/>
      </c>
      <c r="AP2780" s="14">
        <f>IF($AQ2780="","",IF(SUMPRODUCT(MAX((職員マスタ!$A$6:$A$405=$B2780)*(((職員マスタ!$G$6:$G$405="")+(職員マスタ!$G$6:$G$405&lt;=EOMONTH($AQ2780,0)))&gt;0)*(((職員マスタ!$H$6:$H$405="")+(職員マスタ!$H$6:$H$405&gt;=$AQ2780))&gt;0)*(ROW(職員マスタ!$A$6:$A$405)-5)))&gt;0,SUMPRODUCT(MAX((職員マスタ!$A$6:$A$405=$B2780)*(((職員マスタ!$G$6:$G$405="")+(職員マスタ!$G$6:$G$405&lt;=EOMONTH($AQ2780,0)))&gt;0)*(((職員マスタ!$H$6:$H$405="")+(職員マスタ!$H$6:$H$405&gt;=$AQ2780))&gt;0)*(ROW(職員マスタ!$A$6:$A$405)-5))),IFERROR(MATCH($B2780,職員マスタ!$A$6:$A$405,0),"")))</f>
        <v/>
      </c>
      <c r="AQ2780" s="16">
        <f>IF(OR($B2780="",$C2780="",$D2780=""),"",DATE($C2780+2018,$D2780,1))</f>
        <v/>
      </c>
    </row>
    <row r="2781">
      <c r="A2781" s="11" t="n"/>
      <c r="B2781" s="12" t="n"/>
      <c r="C2781" s="12" t="n"/>
      <c r="D2781" s="12" t="n"/>
      <c r="E2781" s="13" t="n"/>
      <c r="F2781" s="12" t="n"/>
      <c r="G2781" s="13" t="n"/>
      <c r="H2781" s="12" t="n"/>
      <c r="I2781" s="12" t="n"/>
      <c r="J2781" s="12" t="n"/>
      <c r="K2781" s="12" t="n"/>
      <c r="L2781" s="11" t="n"/>
      <c r="M2781" s="11" t="n"/>
      <c r="N2781" s="11" t="n"/>
      <c r="O2781" s="11" t="n"/>
      <c r="P2781" s="12" t="n"/>
      <c r="Q2781" s="11" t="n"/>
      <c r="R2781" s="12" t="n"/>
      <c r="S2781" s="11" t="n"/>
      <c r="T2781" s="12" t="n"/>
      <c r="U2781" s="12" t="n"/>
      <c r="V2781" s="12" t="n"/>
      <c r="W2781" s="13" t="n"/>
      <c r="X2781" s="14">
        <f>IF($AP2781="",IF($B2781="","",$H2781),IF(INDEX(職員マスタ!$B$6:$B$405,$AP2781)="",$H2781,INDEX(職員マスタ!$B$6:$B$405,$AP2781)))</f>
        <v/>
      </c>
      <c r="Y2781" s="14">
        <f>IF($AP2781="",IF($B2781="","",$R2781),IF(INDEX(職員マスタ!$C$6:$C$405,$AP2781)="",$R2781,INDEX(職員マスタ!$C$6:$C$405,$AP2781)))</f>
        <v/>
      </c>
      <c r="Z2781" s="14">
        <f>IF($AQ2781="","","R"&amp;$C2781&amp;"."&amp;$D2781)</f>
        <v/>
      </c>
      <c r="AA2781" s="15">
        <f>IF(IF($AP2781="",FALSE,INDEX(職員マスタ!$K$6:$K$405,$AP2781)&lt;&gt;""),INDEX(職員マスタ!$K$6:$K$405,$AP2781),IF(N($W2781)&gt;0,$W2781,""))</f>
        <v/>
      </c>
      <c r="AB2781" s="14">
        <f>IF(OR($E2781="",$AA2781=""),"",IF($E2781&gt;=$AA2781,"×",IF($E2781&gt;=$AA2781*設定!$C$5,"△","○")))</f>
        <v/>
      </c>
      <c r="AC2781" s="15">
        <f>IF($AB2781="","",IF($AB2781="×",0,IF($AB2781="○",ROUNDDOWN($E2781*設定!$C$4,0),ROUNDDOWN($E2781*ROUND((9*$AA2781-9*$E2781)/(10*$E2781),4),0))))</f>
        <v/>
      </c>
      <c r="AD2781" s="13" t="n"/>
      <c r="AE2781" s="15">
        <f>IF($B2781="","",IF($AD2781&lt;&gt;"",$AD2781,IF($AC2781="","",IF($AC2781&lt;=設定!$C$3,0,$AC2781))))</f>
        <v/>
      </c>
      <c r="AF2781" s="14">
        <f>IF($B2781="","",IF(AND($AG2781&lt;&gt;"",$AI2781="",$AL2781=""),"保留中",IF($AL2781&lt;&gt;"",IF(N($AE2781)&gt;0,"支給済","不支給"),IF($AE2781="","要確認",IF($AE2781=0,"不支給","未処理")))))</f>
        <v/>
      </c>
      <c r="AG2781" s="12" t="n"/>
      <c r="AH2781" s="11" t="n"/>
      <c r="AI2781" s="11" t="n"/>
      <c r="AJ2781" s="11" t="n"/>
      <c r="AK2781" s="14">
        <f>IF(AND($AF2781="保留中",$AH2781&lt;&gt;""),TODAY()-$AH2781,"")</f>
        <v/>
      </c>
      <c r="AL2781" s="12" t="n"/>
      <c r="AM2781" s="14">
        <f>IF($B2781="","",IF($AQ2781="","対象年月が未入力／","")&amp;IF($B2781="","",IF($AP2781="","職員マスタに未登録の職員番号／",IF($AA2781="","標準報酬月額が未登録／","")&amp;IF(AND($AQ2781&lt;&gt;"",OR(AND(INDEX(職員マスタ!$G$6:$G$405,$AP2781)&lt;&gt;"",INDEX(職員マスタ!$G$6:$G$405,$AP2781)&gt;EOMONTH($AQ2781,0)),AND(INDEX(職員マスタ!$H$6:$H$405,$AP2781)&lt;&gt;"",INDEX(職員マスタ!$H$6:$H$405,$AP2781)&lt;$AQ2781))),"対象月が時短期間外／","")&amp;IF(AND(INDEX(職員マスタ!$K$6:$K$405,$AP2781)&lt;&gt;"",N($W2781)&gt;0,INDEX(職員マスタ!$K$6:$K$405,$AP2781)&lt;&gt;$W2781),"標準報酬月額が申請書と相違（台帳"&amp;TEXT(INDEX(職員マスタ!$K$6:$K$405,$AP2781),"#,##0")&amp;"円／申請書"&amp;TEXT($W2781,"#,##0")&amp;"円）／","")&amp;IF(AND(INDEX(職員マスタ!$F$6:$F$405,$AP2781)&lt;&gt;"",$AQ2781&lt;&gt;"",INDEX(職員マスタ!$F$6:$F$405,$AP2781)&lt;$AQ2781),"対象月に子が2歳到達済／","")&amp;IF(AND($H2781&lt;&gt;"",INDEX(職員マスタ!$B$6:$B$405,$AP2781)&lt;&gt;"",SUBSTITUTE(SUBSTITUTE($H2781," ","")," ","")&lt;&gt;SUBSTITUTE(SUBSTITUTE(INDEX(職員マスタ!$B$6:$B$405,$AP2781)," ","")," ","")),"氏名がマスタと相違／","")&amp;IF(AND($Q2781&lt;&gt;"",INDEX(職員マスタ!$E$6:$E$405,$AP2781)&lt;&gt;"",$Q2781&lt;&gt;INDEX(職員マスタ!$E$6:$E$405,$AP2781)),"子の生年月日がマスタと相違／","")&amp;IF(AND($L2781&lt;&gt;"",INDEX(職員マスタ!$G$6:$G$405,$AP2781)&lt;&gt;"",$L2781&lt;&gt;INDEX(職員マスタ!$G$6:$G$405,$AP2781)),"時短開始日がマスタと相違／","")&amp;IF(AND($M2781&lt;&gt;"",INDEX(職員マスタ!$H$6:$H$405,$AP2781)&lt;&gt;"",$M2781&lt;&gt;INDEX(職員マスタ!$H$6:$H$405,$AP2781)),"時短終了日がマスタと相違／","")))&amp;IF(AND($B2781&lt;&gt;"",$E2781=""),"報酬額が未入力／","")&amp;IF(N($U2781)&gt;0,"申請書に入力エラーが残っています／","")&amp;IF(AND($B2781&lt;&gt;"",$AQ2781&lt;&gt;""),IF(COUNTIFS($B$6:$B$3005,$B2781,$C$6:$C$3005,$C2781,$D$6:$D$3005,$D2781)&gt;1,"同じ月の請求が重複しています／",""),"")&amp;IF(AND(N($E2781)&gt;0,$AB2781&lt;&gt;"",$AB2781&lt;&gt;"×",$AE2781=0,$AD2781=""),"計算額が下限以下のため不支給／",""))</f>
        <v/>
      </c>
      <c r="AN2781" s="12" t="n"/>
      <c r="AO2781" s="14">
        <f>IF($AF2781="保留中",COUNTIF($AF$6:$AF2781,"保留中"),"")</f>
        <v/>
      </c>
      <c r="AP2781" s="14">
        <f>IF($AQ2781="","",IF(SUMPRODUCT(MAX((職員マスタ!$A$6:$A$405=$B2781)*(((職員マスタ!$G$6:$G$405="")+(職員マスタ!$G$6:$G$405&lt;=EOMONTH($AQ2781,0)))&gt;0)*(((職員マスタ!$H$6:$H$405="")+(職員マスタ!$H$6:$H$405&gt;=$AQ2781))&gt;0)*(ROW(職員マスタ!$A$6:$A$405)-5)))&gt;0,SUMPRODUCT(MAX((職員マスタ!$A$6:$A$405=$B2781)*(((職員マスタ!$G$6:$G$405="")+(職員マスタ!$G$6:$G$405&lt;=EOMONTH($AQ2781,0)))&gt;0)*(((職員マスタ!$H$6:$H$405="")+(職員マスタ!$H$6:$H$405&gt;=$AQ2781))&gt;0)*(ROW(職員マスタ!$A$6:$A$405)-5))),IFERROR(MATCH($B2781,職員マスタ!$A$6:$A$405,0),"")))</f>
        <v/>
      </c>
      <c r="AQ2781" s="16">
        <f>IF(OR($B2781="",$C2781="",$D2781=""),"",DATE($C2781+2018,$D2781,1))</f>
        <v/>
      </c>
    </row>
    <row r="2782">
      <c r="A2782" s="11" t="n"/>
      <c r="B2782" s="12" t="n"/>
      <c r="C2782" s="12" t="n"/>
      <c r="D2782" s="12" t="n"/>
      <c r="E2782" s="13" t="n"/>
      <c r="F2782" s="12" t="n"/>
      <c r="G2782" s="13" t="n"/>
      <c r="H2782" s="12" t="n"/>
      <c r="I2782" s="12" t="n"/>
      <c r="J2782" s="12" t="n"/>
      <c r="K2782" s="12" t="n"/>
      <c r="L2782" s="11" t="n"/>
      <c r="M2782" s="11" t="n"/>
      <c r="N2782" s="11" t="n"/>
      <c r="O2782" s="11" t="n"/>
      <c r="P2782" s="12" t="n"/>
      <c r="Q2782" s="11" t="n"/>
      <c r="R2782" s="12" t="n"/>
      <c r="S2782" s="11" t="n"/>
      <c r="T2782" s="12" t="n"/>
      <c r="U2782" s="12" t="n"/>
      <c r="V2782" s="12" t="n"/>
      <c r="W2782" s="13" t="n"/>
      <c r="X2782" s="14">
        <f>IF($AP2782="",IF($B2782="","",$H2782),IF(INDEX(職員マスタ!$B$6:$B$405,$AP2782)="",$H2782,INDEX(職員マスタ!$B$6:$B$405,$AP2782)))</f>
        <v/>
      </c>
      <c r="Y2782" s="14">
        <f>IF($AP2782="",IF($B2782="","",$R2782),IF(INDEX(職員マスタ!$C$6:$C$405,$AP2782)="",$R2782,INDEX(職員マスタ!$C$6:$C$405,$AP2782)))</f>
        <v/>
      </c>
      <c r="Z2782" s="14">
        <f>IF($AQ2782="","","R"&amp;$C2782&amp;"."&amp;$D2782)</f>
        <v/>
      </c>
      <c r="AA2782" s="15">
        <f>IF(IF($AP2782="",FALSE,INDEX(職員マスタ!$K$6:$K$405,$AP2782)&lt;&gt;""),INDEX(職員マスタ!$K$6:$K$405,$AP2782),IF(N($W2782)&gt;0,$W2782,""))</f>
        <v/>
      </c>
      <c r="AB2782" s="14">
        <f>IF(OR($E2782="",$AA2782=""),"",IF($E2782&gt;=$AA2782,"×",IF($E2782&gt;=$AA2782*設定!$C$5,"△","○")))</f>
        <v/>
      </c>
      <c r="AC2782" s="15">
        <f>IF($AB2782="","",IF($AB2782="×",0,IF($AB2782="○",ROUNDDOWN($E2782*設定!$C$4,0),ROUNDDOWN($E2782*ROUND((9*$AA2782-9*$E2782)/(10*$E2782),4),0))))</f>
        <v/>
      </c>
      <c r="AD2782" s="13" t="n"/>
      <c r="AE2782" s="15">
        <f>IF($B2782="","",IF($AD2782&lt;&gt;"",$AD2782,IF($AC2782="","",IF($AC2782&lt;=設定!$C$3,0,$AC2782))))</f>
        <v/>
      </c>
      <c r="AF2782" s="14">
        <f>IF($B2782="","",IF(AND($AG2782&lt;&gt;"",$AI2782="",$AL2782=""),"保留中",IF($AL2782&lt;&gt;"",IF(N($AE2782)&gt;0,"支給済","不支給"),IF($AE2782="","要確認",IF($AE2782=0,"不支給","未処理")))))</f>
        <v/>
      </c>
      <c r="AG2782" s="12" t="n"/>
      <c r="AH2782" s="11" t="n"/>
      <c r="AI2782" s="11" t="n"/>
      <c r="AJ2782" s="11" t="n"/>
      <c r="AK2782" s="14">
        <f>IF(AND($AF2782="保留中",$AH2782&lt;&gt;""),TODAY()-$AH2782,"")</f>
        <v/>
      </c>
      <c r="AL2782" s="12" t="n"/>
      <c r="AM2782" s="14">
        <f>IF($B2782="","",IF($AQ2782="","対象年月が未入力／","")&amp;IF($B2782="","",IF($AP2782="","職員マスタに未登録の職員番号／",IF($AA2782="","標準報酬月額が未登録／","")&amp;IF(AND($AQ2782&lt;&gt;"",OR(AND(INDEX(職員マスタ!$G$6:$G$405,$AP2782)&lt;&gt;"",INDEX(職員マスタ!$G$6:$G$405,$AP2782)&gt;EOMONTH($AQ2782,0)),AND(INDEX(職員マスタ!$H$6:$H$405,$AP2782)&lt;&gt;"",INDEX(職員マスタ!$H$6:$H$405,$AP2782)&lt;$AQ2782))),"対象月が時短期間外／","")&amp;IF(AND(INDEX(職員マスタ!$K$6:$K$405,$AP2782)&lt;&gt;"",N($W2782)&gt;0,INDEX(職員マスタ!$K$6:$K$405,$AP2782)&lt;&gt;$W2782),"標準報酬月額が申請書と相違（台帳"&amp;TEXT(INDEX(職員マスタ!$K$6:$K$405,$AP2782),"#,##0")&amp;"円／申請書"&amp;TEXT($W2782,"#,##0")&amp;"円）／","")&amp;IF(AND(INDEX(職員マスタ!$F$6:$F$405,$AP2782)&lt;&gt;"",$AQ2782&lt;&gt;"",INDEX(職員マスタ!$F$6:$F$405,$AP2782)&lt;$AQ2782),"対象月に子が2歳到達済／","")&amp;IF(AND($H2782&lt;&gt;"",INDEX(職員マスタ!$B$6:$B$405,$AP2782)&lt;&gt;"",SUBSTITUTE(SUBSTITUTE($H2782," ","")," ","")&lt;&gt;SUBSTITUTE(SUBSTITUTE(INDEX(職員マスタ!$B$6:$B$405,$AP2782)," ","")," ","")),"氏名がマスタと相違／","")&amp;IF(AND($Q2782&lt;&gt;"",INDEX(職員マスタ!$E$6:$E$405,$AP2782)&lt;&gt;"",$Q2782&lt;&gt;INDEX(職員マスタ!$E$6:$E$405,$AP2782)),"子の生年月日がマスタと相違／","")&amp;IF(AND($L2782&lt;&gt;"",INDEX(職員マスタ!$G$6:$G$405,$AP2782)&lt;&gt;"",$L2782&lt;&gt;INDEX(職員マスタ!$G$6:$G$405,$AP2782)),"時短開始日がマスタと相違／","")&amp;IF(AND($M2782&lt;&gt;"",INDEX(職員マスタ!$H$6:$H$405,$AP2782)&lt;&gt;"",$M2782&lt;&gt;INDEX(職員マスタ!$H$6:$H$405,$AP2782)),"時短終了日がマスタと相違／","")))&amp;IF(AND($B2782&lt;&gt;"",$E2782=""),"報酬額が未入力／","")&amp;IF(N($U2782)&gt;0,"申請書に入力エラーが残っています／","")&amp;IF(AND($B2782&lt;&gt;"",$AQ2782&lt;&gt;""),IF(COUNTIFS($B$6:$B$3005,$B2782,$C$6:$C$3005,$C2782,$D$6:$D$3005,$D2782)&gt;1,"同じ月の請求が重複しています／",""),"")&amp;IF(AND(N($E2782)&gt;0,$AB2782&lt;&gt;"",$AB2782&lt;&gt;"×",$AE2782=0,$AD2782=""),"計算額が下限以下のため不支給／",""))</f>
        <v/>
      </c>
      <c r="AN2782" s="12" t="n"/>
      <c r="AO2782" s="14">
        <f>IF($AF2782="保留中",COUNTIF($AF$6:$AF2782,"保留中"),"")</f>
        <v/>
      </c>
      <c r="AP2782" s="14">
        <f>IF($AQ2782="","",IF(SUMPRODUCT(MAX((職員マスタ!$A$6:$A$405=$B2782)*(((職員マスタ!$G$6:$G$405="")+(職員マスタ!$G$6:$G$405&lt;=EOMONTH($AQ2782,0)))&gt;0)*(((職員マスタ!$H$6:$H$405="")+(職員マスタ!$H$6:$H$405&gt;=$AQ2782))&gt;0)*(ROW(職員マスタ!$A$6:$A$405)-5)))&gt;0,SUMPRODUCT(MAX((職員マスタ!$A$6:$A$405=$B2782)*(((職員マスタ!$G$6:$G$405="")+(職員マスタ!$G$6:$G$405&lt;=EOMONTH($AQ2782,0)))&gt;0)*(((職員マスタ!$H$6:$H$405="")+(職員マスタ!$H$6:$H$405&gt;=$AQ2782))&gt;0)*(ROW(職員マスタ!$A$6:$A$405)-5))),IFERROR(MATCH($B2782,職員マスタ!$A$6:$A$405,0),"")))</f>
        <v/>
      </c>
      <c r="AQ2782" s="16">
        <f>IF(OR($B2782="",$C2782="",$D2782=""),"",DATE($C2782+2018,$D2782,1))</f>
        <v/>
      </c>
    </row>
    <row r="2783">
      <c r="A2783" s="11" t="n"/>
      <c r="B2783" s="12" t="n"/>
      <c r="C2783" s="12" t="n"/>
      <c r="D2783" s="12" t="n"/>
      <c r="E2783" s="13" t="n"/>
      <c r="F2783" s="12" t="n"/>
      <c r="G2783" s="13" t="n"/>
      <c r="H2783" s="12" t="n"/>
      <c r="I2783" s="12" t="n"/>
      <c r="J2783" s="12" t="n"/>
      <c r="K2783" s="12" t="n"/>
      <c r="L2783" s="11" t="n"/>
      <c r="M2783" s="11" t="n"/>
      <c r="N2783" s="11" t="n"/>
      <c r="O2783" s="11" t="n"/>
      <c r="P2783" s="12" t="n"/>
      <c r="Q2783" s="11" t="n"/>
      <c r="R2783" s="12" t="n"/>
      <c r="S2783" s="11" t="n"/>
      <c r="T2783" s="12" t="n"/>
      <c r="U2783" s="12" t="n"/>
      <c r="V2783" s="12" t="n"/>
      <c r="W2783" s="13" t="n"/>
      <c r="X2783" s="14">
        <f>IF($AP2783="",IF($B2783="","",$H2783),IF(INDEX(職員マスタ!$B$6:$B$405,$AP2783)="",$H2783,INDEX(職員マスタ!$B$6:$B$405,$AP2783)))</f>
        <v/>
      </c>
      <c r="Y2783" s="14">
        <f>IF($AP2783="",IF($B2783="","",$R2783),IF(INDEX(職員マスタ!$C$6:$C$405,$AP2783)="",$R2783,INDEX(職員マスタ!$C$6:$C$405,$AP2783)))</f>
        <v/>
      </c>
      <c r="Z2783" s="14">
        <f>IF($AQ2783="","","R"&amp;$C2783&amp;"."&amp;$D2783)</f>
        <v/>
      </c>
      <c r="AA2783" s="15">
        <f>IF(IF($AP2783="",FALSE,INDEX(職員マスタ!$K$6:$K$405,$AP2783)&lt;&gt;""),INDEX(職員マスタ!$K$6:$K$405,$AP2783),IF(N($W2783)&gt;0,$W2783,""))</f>
        <v/>
      </c>
      <c r="AB2783" s="14">
        <f>IF(OR($E2783="",$AA2783=""),"",IF($E2783&gt;=$AA2783,"×",IF($E2783&gt;=$AA2783*設定!$C$5,"△","○")))</f>
        <v/>
      </c>
      <c r="AC2783" s="15">
        <f>IF($AB2783="","",IF($AB2783="×",0,IF($AB2783="○",ROUNDDOWN($E2783*設定!$C$4,0),ROUNDDOWN($E2783*ROUND((9*$AA2783-9*$E2783)/(10*$E2783),4),0))))</f>
        <v/>
      </c>
      <c r="AD2783" s="13" t="n"/>
      <c r="AE2783" s="15">
        <f>IF($B2783="","",IF($AD2783&lt;&gt;"",$AD2783,IF($AC2783="","",IF($AC2783&lt;=設定!$C$3,0,$AC2783))))</f>
        <v/>
      </c>
      <c r="AF2783" s="14">
        <f>IF($B2783="","",IF(AND($AG2783&lt;&gt;"",$AI2783="",$AL2783=""),"保留中",IF($AL2783&lt;&gt;"",IF(N($AE2783)&gt;0,"支給済","不支給"),IF($AE2783="","要確認",IF($AE2783=0,"不支給","未処理")))))</f>
        <v/>
      </c>
      <c r="AG2783" s="12" t="n"/>
      <c r="AH2783" s="11" t="n"/>
      <c r="AI2783" s="11" t="n"/>
      <c r="AJ2783" s="11" t="n"/>
      <c r="AK2783" s="14">
        <f>IF(AND($AF2783="保留中",$AH2783&lt;&gt;""),TODAY()-$AH2783,"")</f>
        <v/>
      </c>
      <c r="AL2783" s="12" t="n"/>
      <c r="AM2783" s="14">
        <f>IF($B2783="","",IF($AQ2783="","対象年月が未入力／","")&amp;IF($B2783="","",IF($AP2783="","職員マスタに未登録の職員番号／",IF($AA2783="","標準報酬月額が未登録／","")&amp;IF(AND($AQ2783&lt;&gt;"",OR(AND(INDEX(職員マスタ!$G$6:$G$405,$AP2783)&lt;&gt;"",INDEX(職員マスタ!$G$6:$G$405,$AP2783)&gt;EOMONTH($AQ2783,0)),AND(INDEX(職員マスタ!$H$6:$H$405,$AP2783)&lt;&gt;"",INDEX(職員マスタ!$H$6:$H$405,$AP2783)&lt;$AQ2783))),"対象月が時短期間外／","")&amp;IF(AND(INDEX(職員マスタ!$K$6:$K$405,$AP2783)&lt;&gt;"",N($W2783)&gt;0,INDEX(職員マスタ!$K$6:$K$405,$AP2783)&lt;&gt;$W2783),"標準報酬月額が申請書と相違（台帳"&amp;TEXT(INDEX(職員マスタ!$K$6:$K$405,$AP2783),"#,##0")&amp;"円／申請書"&amp;TEXT($W2783,"#,##0")&amp;"円）／","")&amp;IF(AND(INDEX(職員マスタ!$F$6:$F$405,$AP2783)&lt;&gt;"",$AQ2783&lt;&gt;"",INDEX(職員マスタ!$F$6:$F$405,$AP2783)&lt;$AQ2783),"対象月に子が2歳到達済／","")&amp;IF(AND($H2783&lt;&gt;"",INDEX(職員マスタ!$B$6:$B$405,$AP2783)&lt;&gt;"",SUBSTITUTE(SUBSTITUTE($H2783," ","")," ","")&lt;&gt;SUBSTITUTE(SUBSTITUTE(INDEX(職員マスタ!$B$6:$B$405,$AP2783)," ","")," ","")),"氏名がマスタと相違／","")&amp;IF(AND($Q2783&lt;&gt;"",INDEX(職員マスタ!$E$6:$E$405,$AP2783)&lt;&gt;"",$Q2783&lt;&gt;INDEX(職員マスタ!$E$6:$E$405,$AP2783)),"子の生年月日がマスタと相違／","")&amp;IF(AND($L2783&lt;&gt;"",INDEX(職員マスタ!$G$6:$G$405,$AP2783)&lt;&gt;"",$L2783&lt;&gt;INDEX(職員マスタ!$G$6:$G$405,$AP2783)),"時短開始日がマスタと相違／","")&amp;IF(AND($M2783&lt;&gt;"",INDEX(職員マスタ!$H$6:$H$405,$AP2783)&lt;&gt;"",$M2783&lt;&gt;INDEX(職員マスタ!$H$6:$H$405,$AP2783)),"時短終了日がマスタと相違／","")))&amp;IF(AND($B2783&lt;&gt;"",$E2783=""),"報酬額が未入力／","")&amp;IF(N($U2783)&gt;0,"申請書に入力エラーが残っています／","")&amp;IF(AND($B2783&lt;&gt;"",$AQ2783&lt;&gt;""),IF(COUNTIFS($B$6:$B$3005,$B2783,$C$6:$C$3005,$C2783,$D$6:$D$3005,$D2783)&gt;1,"同じ月の請求が重複しています／",""),"")&amp;IF(AND(N($E2783)&gt;0,$AB2783&lt;&gt;"",$AB2783&lt;&gt;"×",$AE2783=0,$AD2783=""),"計算額が下限以下のため不支給／",""))</f>
        <v/>
      </c>
      <c r="AN2783" s="12" t="n"/>
      <c r="AO2783" s="14">
        <f>IF($AF2783="保留中",COUNTIF($AF$6:$AF2783,"保留中"),"")</f>
        <v/>
      </c>
      <c r="AP2783" s="14">
        <f>IF($AQ2783="","",IF(SUMPRODUCT(MAX((職員マスタ!$A$6:$A$405=$B2783)*(((職員マスタ!$G$6:$G$405="")+(職員マスタ!$G$6:$G$405&lt;=EOMONTH($AQ2783,0)))&gt;0)*(((職員マスタ!$H$6:$H$405="")+(職員マスタ!$H$6:$H$405&gt;=$AQ2783))&gt;0)*(ROW(職員マスタ!$A$6:$A$405)-5)))&gt;0,SUMPRODUCT(MAX((職員マスタ!$A$6:$A$405=$B2783)*(((職員マスタ!$G$6:$G$405="")+(職員マスタ!$G$6:$G$405&lt;=EOMONTH($AQ2783,0)))&gt;0)*(((職員マスタ!$H$6:$H$405="")+(職員マスタ!$H$6:$H$405&gt;=$AQ2783))&gt;0)*(ROW(職員マスタ!$A$6:$A$405)-5))),IFERROR(MATCH($B2783,職員マスタ!$A$6:$A$405,0),"")))</f>
        <v/>
      </c>
      <c r="AQ2783" s="16">
        <f>IF(OR($B2783="",$C2783="",$D2783=""),"",DATE($C2783+2018,$D2783,1))</f>
        <v/>
      </c>
    </row>
    <row r="2784">
      <c r="A2784" s="11" t="n"/>
      <c r="B2784" s="12" t="n"/>
      <c r="C2784" s="12" t="n"/>
      <c r="D2784" s="12" t="n"/>
      <c r="E2784" s="13" t="n"/>
      <c r="F2784" s="12" t="n"/>
      <c r="G2784" s="13" t="n"/>
      <c r="H2784" s="12" t="n"/>
      <c r="I2784" s="12" t="n"/>
      <c r="J2784" s="12" t="n"/>
      <c r="K2784" s="12" t="n"/>
      <c r="L2784" s="11" t="n"/>
      <c r="M2784" s="11" t="n"/>
      <c r="N2784" s="11" t="n"/>
      <c r="O2784" s="11" t="n"/>
      <c r="P2784" s="12" t="n"/>
      <c r="Q2784" s="11" t="n"/>
      <c r="R2784" s="12" t="n"/>
      <c r="S2784" s="11" t="n"/>
      <c r="T2784" s="12" t="n"/>
      <c r="U2784" s="12" t="n"/>
      <c r="V2784" s="12" t="n"/>
      <c r="W2784" s="13" t="n"/>
      <c r="X2784" s="14">
        <f>IF($AP2784="",IF($B2784="","",$H2784),IF(INDEX(職員マスタ!$B$6:$B$405,$AP2784)="",$H2784,INDEX(職員マスタ!$B$6:$B$405,$AP2784)))</f>
        <v/>
      </c>
      <c r="Y2784" s="14">
        <f>IF($AP2784="",IF($B2784="","",$R2784),IF(INDEX(職員マスタ!$C$6:$C$405,$AP2784)="",$R2784,INDEX(職員マスタ!$C$6:$C$405,$AP2784)))</f>
        <v/>
      </c>
      <c r="Z2784" s="14">
        <f>IF($AQ2784="","","R"&amp;$C2784&amp;"."&amp;$D2784)</f>
        <v/>
      </c>
      <c r="AA2784" s="15">
        <f>IF(IF($AP2784="",FALSE,INDEX(職員マスタ!$K$6:$K$405,$AP2784)&lt;&gt;""),INDEX(職員マスタ!$K$6:$K$405,$AP2784),IF(N($W2784)&gt;0,$W2784,""))</f>
        <v/>
      </c>
      <c r="AB2784" s="14">
        <f>IF(OR($E2784="",$AA2784=""),"",IF($E2784&gt;=$AA2784,"×",IF($E2784&gt;=$AA2784*設定!$C$5,"△","○")))</f>
        <v/>
      </c>
      <c r="AC2784" s="15">
        <f>IF($AB2784="","",IF($AB2784="×",0,IF($AB2784="○",ROUNDDOWN($E2784*設定!$C$4,0),ROUNDDOWN($E2784*ROUND((9*$AA2784-9*$E2784)/(10*$E2784),4),0))))</f>
        <v/>
      </c>
      <c r="AD2784" s="13" t="n"/>
      <c r="AE2784" s="15">
        <f>IF($B2784="","",IF($AD2784&lt;&gt;"",$AD2784,IF($AC2784="","",IF($AC2784&lt;=設定!$C$3,0,$AC2784))))</f>
        <v/>
      </c>
      <c r="AF2784" s="14">
        <f>IF($B2784="","",IF(AND($AG2784&lt;&gt;"",$AI2784="",$AL2784=""),"保留中",IF($AL2784&lt;&gt;"",IF(N($AE2784)&gt;0,"支給済","不支給"),IF($AE2784="","要確認",IF($AE2784=0,"不支給","未処理")))))</f>
        <v/>
      </c>
      <c r="AG2784" s="12" t="n"/>
      <c r="AH2784" s="11" t="n"/>
      <c r="AI2784" s="11" t="n"/>
      <c r="AJ2784" s="11" t="n"/>
      <c r="AK2784" s="14">
        <f>IF(AND($AF2784="保留中",$AH2784&lt;&gt;""),TODAY()-$AH2784,"")</f>
        <v/>
      </c>
      <c r="AL2784" s="12" t="n"/>
      <c r="AM2784" s="14">
        <f>IF($B2784="","",IF($AQ2784="","対象年月が未入力／","")&amp;IF($B2784="","",IF($AP2784="","職員マスタに未登録の職員番号／",IF($AA2784="","標準報酬月額が未登録／","")&amp;IF(AND($AQ2784&lt;&gt;"",OR(AND(INDEX(職員マスタ!$G$6:$G$405,$AP2784)&lt;&gt;"",INDEX(職員マスタ!$G$6:$G$405,$AP2784)&gt;EOMONTH($AQ2784,0)),AND(INDEX(職員マスタ!$H$6:$H$405,$AP2784)&lt;&gt;"",INDEX(職員マスタ!$H$6:$H$405,$AP2784)&lt;$AQ2784))),"対象月が時短期間外／","")&amp;IF(AND(INDEX(職員マスタ!$K$6:$K$405,$AP2784)&lt;&gt;"",N($W2784)&gt;0,INDEX(職員マスタ!$K$6:$K$405,$AP2784)&lt;&gt;$W2784),"標準報酬月額が申請書と相違（台帳"&amp;TEXT(INDEX(職員マスタ!$K$6:$K$405,$AP2784),"#,##0")&amp;"円／申請書"&amp;TEXT($W2784,"#,##0")&amp;"円）／","")&amp;IF(AND(INDEX(職員マスタ!$F$6:$F$405,$AP2784)&lt;&gt;"",$AQ2784&lt;&gt;"",INDEX(職員マスタ!$F$6:$F$405,$AP2784)&lt;$AQ2784),"対象月に子が2歳到達済／","")&amp;IF(AND($H2784&lt;&gt;"",INDEX(職員マスタ!$B$6:$B$405,$AP2784)&lt;&gt;"",SUBSTITUTE(SUBSTITUTE($H2784," ","")," ","")&lt;&gt;SUBSTITUTE(SUBSTITUTE(INDEX(職員マスタ!$B$6:$B$405,$AP2784)," ","")," ","")),"氏名がマスタと相違／","")&amp;IF(AND($Q2784&lt;&gt;"",INDEX(職員マスタ!$E$6:$E$405,$AP2784)&lt;&gt;"",$Q2784&lt;&gt;INDEX(職員マスタ!$E$6:$E$405,$AP2784)),"子の生年月日がマスタと相違／","")&amp;IF(AND($L2784&lt;&gt;"",INDEX(職員マスタ!$G$6:$G$405,$AP2784)&lt;&gt;"",$L2784&lt;&gt;INDEX(職員マスタ!$G$6:$G$405,$AP2784)),"時短開始日がマスタと相違／","")&amp;IF(AND($M2784&lt;&gt;"",INDEX(職員マスタ!$H$6:$H$405,$AP2784)&lt;&gt;"",$M2784&lt;&gt;INDEX(職員マスタ!$H$6:$H$405,$AP2784)),"時短終了日がマスタと相違／","")))&amp;IF(AND($B2784&lt;&gt;"",$E2784=""),"報酬額が未入力／","")&amp;IF(N($U2784)&gt;0,"申請書に入力エラーが残っています／","")&amp;IF(AND($B2784&lt;&gt;"",$AQ2784&lt;&gt;""),IF(COUNTIFS($B$6:$B$3005,$B2784,$C$6:$C$3005,$C2784,$D$6:$D$3005,$D2784)&gt;1,"同じ月の請求が重複しています／",""),"")&amp;IF(AND(N($E2784)&gt;0,$AB2784&lt;&gt;"",$AB2784&lt;&gt;"×",$AE2784=0,$AD2784=""),"計算額が下限以下のため不支給／",""))</f>
        <v/>
      </c>
      <c r="AN2784" s="12" t="n"/>
      <c r="AO2784" s="14">
        <f>IF($AF2784="保留中",COUNTIF($AF$6:$AF2784,"保留中"),"")</f>
        <v/>
      </c>
      <c r="AP2784" s="14">
        <f>IF($AQ2784="","",IF(SUMPRODUCT(MAX((職員マスタ!$A$6:$A$405=$B2784)*(((職員マスタ!$G$6:$G$405="")+(職員マスタ!$G$6:$G$405&lt;=EOMONTH($AQ2784,0)))&gt;0)*(((職員マスタ!$H$6:$H$405="")+(職員マスタ!$H$6:$H$405&gt;=$AQ2784))&gt;0)*(ROW(職員マスタ!$A$6:$A$405)-5)))&gt;0,SUMPRODUCT(MAX((職員マスタ!$A$6:$A$405=$B2784)*(((職員マスタ!$G$6:$G$405="")+(職員マスタ!$G$6:$G$405&lt;=EOMONTH($AQ2784,0)))&gt;0)*(((職員マスタ!$H$6:$H$405="")+(職員マスタ!$H$6:$H$405&gt;=$AQ2784))&gt;0)*(ROW(職員マスタ!$A$6:$A$405)-5))),IFERROR(MATCH($B2784,職員マスタ!$A$6:$A$405,0),"")))</f>
        <v/>
      </c>
      <c r="AQ2784" s="16">
        <f>IF(OR($B2784="",$C2784="",$D2784=""),"",DATE($C2784+2018,$D2784,1))</f>
        <v/>
      </c>
    </row>
    <row r="2785">
      <c r="A2785" s="11" t="n"/>
      <c r="B2785" s="12" t="n"/>
      <c r="C2785" s="12" t="n"/>
      <c r="D2785" s="12" t="n"/>
      <c r="E2785" s="13" t="n"/>
      <c r="F2785" s="12" t="n"/>
      <c r="G2785" s="13" t="n"/>
      <c r="H2785" s="12" t="n"/>
      <c r="I2785" s="12" t="n"/>
      <c r="J2785" s="12" t="n"/>
      <c r="K2785" s="12" t="n"/>
      <c r="L2785" s="11" t="n"/>
      <c r="M2785" s="11" t="n"/>
      <c r="N2785" s="11" t="n"/>
      <c r="O2785" s="11" t="n"/>
      <c r="P2785" s="12" t="n"/>
      <c r="Q2785" s="11" t="n"/>
      <c r="R2785" s="12" t="n"/>
      <c r="S2785" s="11" t="n"/>
      <c r="T2785" s="12" t="n"/>
      <c r="U2785" s="12" t="n"/>
      <c r="V2785" s="12" t="n"/>
      <c r="W2785" s="13" t="n"/>
      <c r="X2785" s="14">
        <f>IF($AP2785="",IF($B2785="","",$H2785),IF(INDEX(職員マスタ!$B$6:$B$405,$AP2785)="",$H2785,INDEX(職員マスタ!$B$6:$B$405,$AP2785)))</f>
        <v/>
      </c>
      <c r="Y2785" s="14">
        <f>IF($AP2785="",IF($B2785="","",$R2785),IF(INDEX(職員マスタ!$C$6:$C$405,$AP2785)="",$R2785,INDEX(職員マスタ!$C$6:$C$405,$AP2785)))</f>
        <v/>
      </c>
      <c r="Z2785" s="14">
        <f>IF($AQ2785="","","R"&amp;$C2785&amp;"."&amp;$D2785)</f>
        <v/>
      </c>
      <c r="AA2785" s="15">
        <f>IF(IF($AP2785="",FALSE,INDEX(職員マスタ!$K$6:$K$405,$AP2785)&lt;&gt;""),INDEX(職員マスタ!$K$6:$K$405,$AP2785),IF(N($W2785)&gt;0,$W2785,""))</f>
        <v/>
      </c>
      <c r="AB2785" s="14">
        <f>IF(OR($E2785="",$AA2785=""),"",IF($E2785&gt;=$AA2785,"×",IF($E2785&gt;=$AA2785*設定!$C$5,"△","○")))</f>
        <v/>
      </c>
      <c r="AC2785" s="15">
        <f>IF($AB2785="","",IF($AB2785="×",0,IF($AB2785="○",ROUNDDOWN($E2785*設定!$C$4,0),ROUNDDOWN($E2785*ROUND((9*$AA2785-9*$E2785)/(10*$E2785),4),0))))</f>
        <v/>
      </c>
      <c r="AD2785" s="13" t="n"/>
      <c r="AE2785" s="15">
        <f>IF($B2785="","",IF($AD2785&lt;&gt;"",$AD2785,IF($AC2785="","",IF($AC2785&lt;=設定!$C$3,0,$AC2785))))</f>
        <v/>
      </c>
      <c r="AF2785" s="14">
        <f>IF($B2785="","",IF(AND($AG2785&lt;&gt;"",$AI2785="",$AL2785=""),"保留中",IF($AL2785&lt;&gt;"",IF(N($AE2785)&gt;0,"支給済","不支給"),IF($AE2785="","要確認",IF($AE2785=0,"不支給","未処理")))))</f>
        <v/>
      </c>
      <c r="AG2785" s="12" t="n"/>
      <c r="AH2785" s="11" t="n"/>
      <c r="AI2785" s="11" t="n"/>
      <c r="AJ2785" s="11" t="n"/>
      <c r="AK2785" s="14">
        <f>IF(AND($AF2785="保留中",$AH2785&lt;&gt;""),TODAY()-$AH2785,"")</f>
        <v/>
      </c>
      <c r="AL2785" s="12" t="n"/>
      <c r="AM2785" s="14">
        <f>IF($B2785="","",IF($AQ2785="","対象年月が未入力／","")&amp;IF($B2785="","",IF($AP2785="","職員マスタに未登録の職員番号／",IF($AA2785="","標準報酬月額が未登録／","")&amp;IF(AND($AQ2785&lt;&gt;"",OR(AND(INDEX(職員マスタ!$G$6:$G$405,$AP2785)&lt;&gt;"",INDEX(職員マスタ!$G$6:$G$405,$AP2785)&gt;EOMONTH($AQ2785,0)),AND(INDEX(職員マスタ!$H$6:$H$405,$AP2785)&lt;&gt;"",INDEX(職員マスタ!$H$6:$H$405,$AP2785)&lt;$AQ2785))),"対象月が時短期間外／","")&amp;IF(AND(INDEX(職員マスタ!$K$6:$K$405,$AP2785)&lt;&gt;"",N($W2785)&gt;0,INDEX(職員マスタ!$K$6:$K$405,$AP2785)&lt;&gt;$W2785),"標準報酬月額が申請書と相違（台帳"&amp;TEXT(INDEX(職員マスタ!$K$6:$K$405,$AP2785),"#,##0")&amp;"円／申請書"&amp;TEXT($W2785,"#,##0")&amp;"円）／","")&amp;IF(AND(INDEX(職員マスタ!$F$6:$F$405,$AP2785)&lt;&gt;"",$AQ2785&lt;&gt;"",INDEX(職員マスタ!$F$6:$F$405,$AP2785)&lt;$AQ2785),"対象月に子が2歳到達済／","")&amp;IF(AND($H2785&lt;&gt;"",INDEX(職員マスタ!$B$6:$B$405,$AP2785)&lt;&gt;"",SUBSTITUTE(SUBSTITUTE($H2785," ","")," ","")&lt;&gt;SUBSTITUTE(SUBSTITUTE(INDEX(職員マスタ!$B$6:$B$405,$AP2785)," ","")," ","")),"氏名がマスタと相違／","")&amp;IF(AND($Q2785&lt;&gt;"",INDEX(職員マスタ!$E$6:$E$405,$AP2785)&lt;&gt;"",$Q2785&lt;&gt;INDEX(職員マスタ!$E$6:$E$405,$AP2785)),"子の生年月日がマスタと相違／","")&amp;IF(AND($L2785&lt;&gt;"",INDEX(職員マスタ!$G$6:$G$405,$AP2785)&lt;&gt;"",$L2785&lt;&gt;INDEX(職員マスタ!$G$6:$G$405,$AP2785)),"時短開始日がマスタと相違／","")&amp;IF(AND($M2785&lt;&gt;"",INDEX(職員マスタ!$H$6:$H$405,$AP2785)&lt;&gt;"",$M2785&lt;&gt;INDEX(職員マスタ!$H$6:$H$405,$AP2785)),"時短終了日がマスタと相違／","")))&amp;IF(AND($B2785&lt;&gt;"",$E2785=""),"報酬額が未入力／","")&amp;IF(N($U2785)&gt;0,"申請書に入力エラーが残っています／","")&amp;IF(AND($B2785&lt;&gt;"",$AQ2785&lt;&gt;""),IF(COUNTIFS($B$6:$B$3005,$B2785,$C$6:$C$3005,$C2785,$D$6:$D$3005,$D2785)&gt;1,"同じ月の請求が重複しています／",""),"")&amp;IF(AND(N($E2785)&gt;0,$AB2785&lt;&gt;"",$AB2785&lt;&gt;"×",$AE2785=0,$AD2785=""),"計算額が下限以下のため不支給／",""))</f>
        <v/>
      </c>
      <c r="AN2785" s="12" t="n"/>
      <c r="AO2785" s="14">
        <f>IF($AF2785="保留中",COUNTIF($AF$6:$AF2785,"保留中"),"")</f>
        <v/>
      </c>
      <c r="AP2785" s="14">
        <f>IF($AQ2785="","",IF(SUMPRODUCT(MAX((職員マスタ!$A$6:$A$405=$B2785)*(((職員マスタ!$G$6:$G$405="")+(職員マスタ!$G$6:$G$405&lt;=EOMONTH($AQ2785,0)))&gt;0)*(((職員マスタ!$H$6:$H$405="")+(職員マスタ!$H$6:$H$405&gt;=$AQ2785))&gt;0)*(ROW(職員マスタ!$A$6:$A$405)-5)))&gt;0,SUMPRODUCT(MAX((職員マスタ!$A$6:$A$405=$B2785)*(((職員マスタ!$G$6:$G$405="")+(職員マスタ!$G$6:$G$405&lt;=EOMONTH($AQ2785,0)))&gt;0)*(((職員マスタ!$H$6:$H$405="")+(職員マスタ!$H$6:$H$405&gt;=$AQ2785))&gt;0)*(ROW(職員マスタ!$A$6:$A$405)-5))),IFERROR(MATCH($B2785,職員マスタ!$A$6:$A$405,0),"")))</f>
        <v/>
      </c>
      <c r="AQ2785" s="16">
        <f>IF(OR($B2785="",$C2785="",$D2785=""),"",DATE($C2785+2018,$D2785,1))</f>
        <v/>
      </c>
    </row>
    <row r="2786">
      <c r="A2786" s="11" t="n"/>
      <c r="B2786" s="12" t="n"/>
      <c r="C2786" s="12" t="n"/>
      <c r="D2786" s="12" t="n"/>
      <c r="E2786" s="13" t="n"/>
      <c r="F2786" s="12" t="n"/>
      <c r="G2786" s="13" t="n"/>
      <c r="H2786" s="12" t="n"/>
      <c r="I2786" s="12" t="n"/>
      <c r="J2786" s="12" t="n"/>
      <c r="K2786" s="12" t="n"/>
      <c r="L2786" s="11" t="n"/>
      <c r="M2786" s="11" t="n"/>
      <c r="N2786" s="11" t="n"/>
      <c r="O2786" s="11" t="n"/>
      <c r="P2786" s="12" t="n"/>
      <c r="Q2786" s="11" t="n"/>
      <c r="R2786" s="12" t="n"/>
      <c r="S2786" s="11" t="n"/>
      <c r="T2786" s="12" t="n"/>
      <c r="U2786" s="12" t="n"/>
      <c r="V2786" s="12" t="n"/>
      <c r="W2786" s="13" t="n"/>
      <c r="X2786" s="14">
        <f>IF($AP2786="",IF($B2786="","",$H2786),IF(INDEX(職員マスタ!$B$6:$B$405,$AP2786)="",$H2786,INDEX(職員マスタ!$B$6:$B$405,$AP2786)))</f>
        <v/>
      </c>
      <c r="Y2786" s="14">
        <f>IF($AP2786="",IF($B2786="","",$R2786),IF(INDEX(職員マスタ!$C$6:$C$405,$AP2786)="",$R2786,INDEX(職員マスタ!$C$6:$C$405,$AP2786)))</f>
        <v/>
      </c>
      <c r="Z2786" s="14">
        <f>IF($AQ2786="","","R"&amp;$C2786&amp;"."&amp;$D2786)</f>
        <v/>
      </c>
      <c r="AA2786" s="15">
        <f>IF(IF($AP2786="",FALSE,INDEX(職員マスタ!$K$6:$K$405,$AP2786)&lt;&gt;""),INDEX(職員マスタ!$K$6:$K$405,$AP2786),IF(N($W2786)&gt;0,$W2786,""))</f>
        <v/>
      </c>
      <c r="AB2786" s="14">
        <f>IF(OR($E2786="",$AA2786=""),"",IF($E2786&gt;=$AA2786,"×",IF($E2786&gt;=$AA2786*設定!$C$5,"△","○")))</f>
        <v/>
      </c>
      <c r="AC2786" s="15">
        <f>IF($AB2786="","",IF($AB2786="×",0,IF($AB2786="○",ROUNDDOWN($E2786*設定!$C$4,0),ROUNDDOWN($E2786*ROUND((9*$AA2786-9*$E2786)/(10*$E2786),4),0))))</f>
        <v/>
      </c>
      <c r="AD2786" s="13" t="n"/>
      <c r="AE2786" s="15">
        <f>IF($B2786="","",IF($AD2786&lt;&gt;"",$AD2786,IF($AC2786="","",IF($AC2786&lt;=設定!$C$3,0,$AC2786))))</f>
        <v/>
      </c>
      <c r="AF2786" s="14">
        <f>IF($B2786="","",IF(AND($AG2786&lt;&gt;"",$AI2786="",$AL2786=""),"保留中",IF($AL2786&lt;&gt;"",IF(N($AE2786)&gt;0,"支給済","不支給"),IF($AE2786="","要確認",IF($AE2786=0,"不支給","未処理")))))</f>
        <v/>
      </c>
      <c r="AG2786" s="12" t="n"/>
      <c r="AH2786" s="11" t="n"/>
      <c r="AI2786" s="11" t="n"/>
      <c r="AJ2786" s="11" t="n"/>
      <c r="AK2786" s="14">
        <f>IF(AND($AF2786="保留中",$AH2786&lt;&gt;""),TODAY()-$AH2786,"")</f>
        <v/>
      </c>
      <c r="AL2786" s="12" t="n"/>
      <c r="AM2786" s="14">
        <f>IF($B2786="","",IF($AQ2786="","対象年月が未入力／","")&amp;IF($B2786="","",IF($AP2786="","職員マスタに未登録の職員番号／",IF($AA2786="","標準報酬月額が未登録／","")&amp;IF(AND($AQ2786&lt;&gt;"",OR(AND(INDEX(職員マスタ!$G$6:$G$405,$AP2786)&lt;&gt;"",INDEX(職員マスタ!$G$6:$G$405,$AP2786)&gt;EOMONTH($AQ2786,0)),AND(INDEX(職員マスタ!$H$6:$H$405,$AP2786)&lt;&gt;"",INDEX(職員マスタ!$H$6:$H$405,$AP2786)&lt;$AQ2786))),"対象月が時短期間外／","")&amp;IF(AND(INDEX(職員マスタ!$K$6:$K$405,$AP2786)&lt;&gt;"",N($W2786)&gt;0,INDEX(職員マスタ!$K$6:$K$405,$AP2786)&lt;&gt;$W2786),"標準報酬月額が申請書と相違（台帳"&amp;TEXT(INDEX(職員マスタ!$K$6:$K$405,$AP2786),"#,##0")&amp;"円／申請書"&amp;TEXT($W2786,"#,##0")&amp;"円）／","")&amp;IF(AND(INDEX(職員マスタ!$F$6:$F$405,$AP2786)&lt;&gt;"",$AQ2786&lt;&gt;"",INDEX(職員マスタ!$F$6:$F$405,$AP2786)&lt;$AQ2786),"対象月に子が2歳到達済／","")&amp;IF(AND($H2786&lt;&gt;"",INDEX(職員マスタ!$B$6:$B$405,$AP2786)&lt;&gt;"",SUBSTITUTE(SUBSTITUTE($H2786," ","")," ","")&lt;&gt;SUBSTITUTE(SUBSTITUTE(INDEX(職員マスタ!$B$6:$B$405,$AP2786)," ","")," ","")),"氏名がマスタと相違／","")&amp;IF(AND($Q2786&lt;&gt;"",INDEX(職員マスタ!$E$6:$E$405,$AP2786)&lt;&gt;"",$Q2786&lt;&gt;INDEX(職員マスタ!$E$6:$E$405,$AP2786)),"子の生年月日がマスタと相違／","")&amp;IF(AND($L2786&lt;&gt;"",INDEX(職員マスタ!$G$6:$G$405,$AP2786)&lt;&gt;"",$L2786&lt;&gt;INDEX(職員マスタ!$G$6:$G$405,$AP2786)),"時短開始日がマスタと相違／","")&amp;IF(AND($M2786&lt;&gt;"",INDEX(職員マスタ!$H$6:$H$405,$AP2786)&lt;&gt;"",$M2786&lt;&gt;INDEX(職員マスタ!$H$6:$H$405,$AP2786)),"時短終了日がマスタと相違／","")))&amp;IF(AND($B2786&lt;&gt;"",$E2786=""),"報酬額が未入力／","")&amp;IF(N($U2786)&gt;0,"申請書に入力エラーが残っています／","")&amp;IF(AND($B2786&lt;&gt;"",$AQ2786&lt;&gt;""),IF(COUNTIFS($B$6:$B$3005,$B2786,$C$6:$C$3005,$C2786,$D$6:$D$3005,$D2786)&gt;1,"同じ月の請求が重複しています／",""),"")&amp;IF(AND(N($E2786)&gt;0,$AB2786&lt;&gt;"",$AB2786&lt;&gt;"×",$AE2786=0,$AD2786=""),"計算額が下限以下のため不支給／",""))</f>
        <v/>
      </c>
      <c r="AN2786" s="12" t="n"/>
      <c r="AO2786" s="14">
        <f>IF($AF2786="保留中",COUNTIF($AF$6:$AF2786,"保留中"),"")</f>
        <v/>
      </c>
      <c r="AP2786" s="14">
        <f>IF($AQ2786="","",IF(SUMPRODUCT(MAX((職員マスタ!$A$6:$A$405=$B2786)*(((職員マスタ!$G$6:$G$405="")+(職員マスタ!$G$6:$G$405&lt;=EOMONTH($AQ2786,0)))&gt;0)*(((職員マスタ!$H$6:$H$405="")+(職員マスタ!$H$6:$H$405&gt;=$AQ2786))&gt;0)*(ROW(職員マスタ!$A$6:$A$405)-5)))&gt;0,SUMPRODUCT(MAX((職員マスタ!$A$6:$A$405=$B2786)*(((職員マスタ!$G$6:$G$405="")+(職員マスタ!$G$6:$G$405&lt;=EOMONTH($AQ2786,0)))&gt;0)*(((職員マスタ!$H$6:$H$405="")+(職員マスタ!$H$6:$H$405&gt;=$AQ2786))&gt;0)*(ROW(職員マスタ!$A$6:$A$405)-5))),IFERROR(MATCH($B2786,職員マスタ!$A$6:$A$405,0),"")))</f>
        <v/>
      </c>
      <c r="AQ2786" s="16">
        <f>IF(OR($B2786="",$C2786="",$D2786=""),"",DATE($C2786+2018,$D2786,1))</f>
        <v/>
      </c>
    </row>
    <row r="2787">
      <c r="A2787" s="11" t="n"/>
      <c r="B2787" s="12" t="n"/>
      <c r="C2787" s="12" t="n"/>
      <c r="D2787" s="12" t="n"/>
      <c r="E2787" s="13" t="n"/>
      <c r="F2787" s="12" t="n"/>
      <c r="G2787" s="13" t="n"/>
      <c r="H2787" s="12" t="n"/>
      <c r="I2787" s="12" t="n"/>
      <c r="J2787" s="12" t="n"/>
      <c r="K2787" s="12" t="n"/>
      <c r="L2787" s="11" t="n"/>
      <c r="M2787" s="11" t="n"/>
      <c r="N2787" s="11" t="n"/>
      <c r="O2787" s="11" t="n"/>
      <c r="P2787" s="12" t="n"/>
      <c r="Q2787" s="11" t="n"/>
      <c r="R2787" s="12" t="n"/>
      <c r="S2787" s="11" t="n"/>
      <c r="T2787" s="12" t="n"/>
      <c r="U2787" s="12" t="n"/>
      <c r="V2787" s="12" t="n"/>
      <c r="W2787" s="13" t="n"/>
      <c r="X2787" s="14">
        <f>IF($AP2787="",IF($B2787="","",$H2787),IF(INDEX(職員マスタ!$B$6:$B$405,$AP2787)="",$H2787,INDEX(職員マスタ!$B$6:$B$405,$AP2787)))</f>
        <v/>
      </c>
      <c r="Y2787" s="14">
        <f>IF($AP2787="",IF($B2787="","",$R2787),IF(INDEX(職員マスタ!$C$6:$C$405,$AP2787)="",$R2787,INDEX(職員マスタ!$C$6:$C$405,$AP2787)))</f>
        <v/>
      </c>
      <c r="Z2787" s="14">
        <f>IF($AQ2787="","","R"&amp;$C2787&amp;"."&amp;$D2787)</f>
        <v/>
      </c>
      <c r="AA2787" s="15">
        <f>IF(IF($AP2787="",FALSE,INDEX(職員マスタ!$K$6:$K$405,$AP2787)&lt;&gt;""),INDEX(職員マスタ!$K$6:$K$405,$AP2787),IF(N($W2787)&gt;0,$W2787,""))</f>
        <v/>
      </c>
      <c r="AB2787" s="14">
        <f>IF(OR($E2787="",$AA2787=""),"",IF($E2787&gt;=$AA2787,"×",IF($E2787&gt;=$AA2787*設定!$C$5,"△","○")))</f>
        <v/>
      </c>
      <c r="AC2787" s="15">
        <f>IF($AB2787="","",IF($AB2787="×",0,IF($AB2787="○",ROUNDDOWN($E2787*設定!$C$4,0),ROUNDDOWN($E2787*ROUND((9*$AA2787-9*$E2787)/(10*$E2787),4),0))))</f>
        <v/>
      </c>
      <c r="AD2787" s="13" t="n"/>
      <c r="AE2787" s="15">
        <f>IF($B2787="","",IF($AD2787&lt;&gt;"",$AD2787,IF($AC2787="","",IF($AC2787&lt;=設定!$C$3,0,$AC2787))))</f>
        <v/>
      </c>
      <c r="AF2787" s="14">
        <f>IF($B2787="","",IF(AND($AG2787&lt;&gt;"",$AI2787="",$AL2787=""),"保留中",IF($AL2787&lt;&gt;"",IF(N($AE2787)&gt;0,"支給済","不支給"),IF($AE2787="","要確認",IF($AE2787=0,"不支給","未処理")))))</f>
        <v/>
      </c>
      <c r="AG2787" s="12" t="n"/>
      <c r="AH2787" s="11" t="n"/>
      <c r="AI2787" s="11" t="n"/>
      <c r="AJ2787" s="11" t="n"/>
      <c r="AK2787" s="14">
        <f>IF(AND($AF2787="保留中",$AH2787&lt;&gt;""),TODAY()-$AH2787,"")</f>
        <v/>
      </c>
      <c r="AL2787" s="12" t="n"/>
      <c r="AM2787" s="14">
        <f>IF($B2787="","",IF($AQ2787="","対象年月が未入力／","")&amp;IF($B2787="","",IF($AP2787="","職員マスタに未登録の職員番号／",IF($AA2787="","標準報酬月額が未登録／","")&amp;IF(AND($AQ2787&lt;&gt;"",OR(AND(INDEX(職員マスタ!$G$6:$G$405,$AP2787)&lt;&gt;"",INDEX(職員マスタ!$G$6:$G$405,$AP2787)&gt;EOMONTH($AQ2787,0)),AND(INDEX(職員マスタ!$H$6:$H$405,$AP2787)&lt;&gt;"",INDEX(職員マスタ!$H$6:$H$405,$AP2787)&lt;$AQ2787))),"対象月が時短期間外／","")&amp;IF(AND(INDEX(職員マスタ!$K$6:$K$405,$AP2787)&lt;&gt;"",N($W2787)&gt;0,INDEX(職員マスタ!$K$6:$K$405,$AP2787)&lt;&gt;$W2787),"標準報酬月額が申請書と相違（台帳"&amp;TEXT(INDEX(職員マスタ!$K$6:$K$405,$AP2787),"#,##0")&amp;"円／申請書"&amp;TEXT($W2787,"#,##0")&amp;"円）／","")&amp;IF(AND(INDEX(職員マスタ!$F$6:$F$405,$AP2787)&lt;&gt;"",$AQ2787&lt;&gt;"",INDEX(職員マスタ!$F$6:$F$405,$AP2787)&lt;$AQ2787),"対象月に子が2歳到達済／","")&amp;IF(AND($H2787&lt;&gt;"",INDEX(職員マスタ!$B$6:$B$405,$AP2787)&lt;&gt;"",SUBSTITUTE(SUBSTITUTE($H2787," ","")," ","")&lt;&gt;SUBSTITUTE(SUBSTITUTE(INDEX(職員マスタ!$B$6:$B$405,$AP2787)," ","")," ","")),"氏名がマスタと相違／","")&amp;IF(AND($Q2787&lt;&gt;"",INDEX(職員マスタ!$E$6:$E$405,$AP2787)&lt;&gt;"",$Q2787&lt;&gt;INDEX(職員マスタ!$E$6:$E$405,$AP2787)),"子の生年月日がマスタと相違／","")&amp;IF(AND($L2787&lt;&gt;"",INDEX(職員マスタ!$G$6:$G$405,$AP2787)&lt;&gt;"",$L2787&lt;&gt;INDEX(職員マスタ!$G$6:$G$405,$AP2787)),"時短開始日がマスタと相違／","")&amp;IF(AND($M2787&lt;&gt;"",INDEX(職員マスタ!$H$6:$H$405,$AP2787)&lt;&gt;"",$M2787&lt;&gt;INDEX(職員マスタ!$H$6:$H$405,$AP2787)),"時短終了日がマスタと相違／","")))&amp;IF(AND($B2787&lt;&gt;"",$E2787=""),"報酬額が未入力／","")&amp;IF(N($U2787)&gt;0,"申請書に入力エラーが残っています／","")&amp;IF(AND($B2787&lt;&gt;"",$AQ2787&lt;&gt;""),IF(COUNTIFS($B$6:$B$3005,$B2787,$C$6:$C$3005,$C2787,$D$6:$D$3005,$D2787)&gt;1,"同じ月の請求が重複しています／",""),"")&amp;IF(AND(N($E2787)&gt;0,$AB2787&lt;&gt;"",$AB2787&lt;&gt;"×",$AE2787=0,$AD2787=""),"計算額が下限以下のため不支給／",""))</f>
        <v/>
      </c>
      <c r="AN2787" s="12" t="n"/>
      <c r="AO2787" s="14">
        <f>IF($AF2787="保留中",COUNTIF($AF$6:$AF2787,"保留中"),"")</f>
        <v/>
      </c>
      <c r="AP2787" s="14">
        <f>IF($AQ2787="","",IF(SUMPRODUCT(MAX((職員マスタ!$A$6:$A$405=$B2787)*(((職員マスタ!$G$6:$G$405="")+(職員マスタ!$G$6:$G$405&lt;=EOMONTH($AQ2787,0)))&gt;0)*(((職員マスタ!$H$6:$H$405="")+(職員マスタ!$H$6:$H$405&gt;=$AQ2787))&gt;0)*(ROW(職員マスタ!$A$6:$A$405)-5)))&gt;0,SUMPRODUCT(MAX((職員マスタ!$A$6:$A$405=$B2787)*(((職員マスタ!$G$6:$G$405="")+(職員マスタ!$G$6:$G$405&lt;=EOMONTH($AQ2787,0)))&gt;0)*(((職員マスタ!$H$6:$H$405="")+(職員マスタ!$H$6:$H$405&gt;=$AQ2787))&gt;0)*(ROW(職員マスタ!$A$6:$A$405)-5))),IFERROR(MATCH($B2787,職員マスタ!$A$6:$A$405,0),"")))</f>
        <v/>
      </c>
      <c r="AQ2787" s="16">
        <f>IF(OR($B2787="",$C2787="",$D2787=""),"",DATE($C2787+2018,$D2787,1))</f>
        <v/>
      </c>
    </row>
    <row r="2788">
      <c r="A2788" s="11" t="n"/>
      <c r="B2788" s="12" t="n"/>
      <c r="C2788" s="12" t="n"/>
      <c r="D2788" s="12" t="n"/>
      <c r="E2788" s="13" t="n"/>
      <c r="F2788" s="12" t="n"/>
      <c r="G2788" s="13" t="n"/>
      <c r="H2788" s="12" t="n"/>
      <c r="I2788" s="12" t="n"/>
      <c r="J2788" s="12" t="n"/>
      <c r="K2788" s="12" t="n"/>
      <c r="L2788" s="11" t="n"/>
      <c r="M2788" s="11" t="n"/>
      <c r="N2788" s="11" t="n"/>
      <c r="O2788" s="11" t="n"/>
      <c r="P2788" s="12" t="n"/>
      <c r="Q2788" s="11" t="n"/>
      <c r="R2788" s="12" t="n"/>
      <c r="S2788" s="11" t="n"/>
      <c r="T2788" s="12" t="n"/>
      <c r="U2788" s="12" t="n"/>
      <c r="V2788" s="12" t="n"/>
      <c r="W2788" s="13" t="n"/>
      <c r="X2788" s="14">
        <f>IF($AP2788="",IF($B2788="","",$H2788),IF(INDEX(職員マスタ!$B$6:$B$405,$AP2788)="",$H2788,INDEX(職員マスタ!$B$6:$B$405,$AP2788)))</f>
        <v/>
      </c>
      <c r="Y2788" s="14">
        <f>IF($AP2788="",IF($B2788="","",$R2788),IF(INDEX(職員マスタ!$C$6:$C$405,$AP2788)="",$R2788,INDEX(職員マスタ!$C$6:$C$405,$AP2788)))</f>
        <v/>
      </c>
      <c r="Z2788" s="14">
        <f>IF($AQ2788="","","R"&amp;$C2788&amp;"."&amp;$D2788)</f>
        <v/>
      </c>
      <c r="AA2788" s="15">
        <f>IF(IF($AP2788="",FALSE,INDEX(職員マスタ!$K$6:$K$405,$AP2788)&lt;&gt;""),INDEX(職員マスタ!$K$6:$K$405,$AP2788),IF(N($W2788)&gt;0,$W2788,""))</f>
        <v/>
      </c>
      <c r="AB2788" s="14">
        <f>IF(OR($E2788="",$AA2788=""),"",IF($E2788&gt;=$AA2788,"×",IF($E2788&gt;=$AA2788*設定!$C$5,"△","○")))</f>
        <v/>
      </c>
      <c r="AC2788" s="15">
        <f>IF($AB2788="","",IF($AB2788="×",0,IF($AB2788="○",ROUNDDOWN($E2788*設定!$C$4,0),ROUNDDOWN($E2788*ROUND((9*$AA2788-9*$E2788)/(10*$E2788),4),0))))</f>
        <v/>
      </c>
      <c r="AD2788" s="13" t="n"/>
      <c r="AE2788" s="15">
        <f>IF($B2788="","",IF($AD2788&lt;&gt;"",$AD2788,IF($AC2788="","",IF($AC2788&lt;=設定!$C$3,0,$AC2788))))</f>
        <v/>
      </c>
      <c r="AF2788" s="14">
        <f>IF($B2788="","",IF(AND($AG2788&lt;&gt;"",$AI2788="",$AL2788=""),"保留中",IF($AL2788&lt;&gt;"",IF(N($AE2788)&gt;0,"支給済","不支給"),IF($AE2788="","要確認",IF($AE2788=0,"不支給","未処理")))))</f>
        <v/>
      </c>
      <c r="AG2788" s="12" t="n"/>
      <c r="AH2788" s="11" t="n"/>
      <c r="AI2788" s="11" t="n"/>
      <c r="AJ2788" s="11" t="n"/>
      <c r="AK2788" s="14">
        <f>IF(AND($AF2788="保留中",$AH2788&lt;&gt;""),TODAY()-$AH2788,"")</f>
        <v/>
      </c>
      <c r="AL2788" s="12" t="n"/>
      <c r="AM2788" s="14">
        <f>IF($B2788="","",IF($AQ2788="","対象年月が未入力／","")&amp;IF($B2788="","",IF($AP2788="","職員マスタに未登録の職員番号／",IF($AA2788="","標準報酬月額が未登録／","")&amp;IF(AND($AQ2788&lt;&gt;"",OR(AND(INDEX(職員マスタ!$G$6:$G$405,$AP2788)&lt;&gt;"",INDEX(職員マスタ!$G$6:$G$405,$AP2788)&gt;EOMONTH($AQ2788,0)),AND(INDEX(職員マスタ!$H$6:$H$405,$AP2788)&lt;&gt;"",INDEX(職員マスタ!$H$6:$H$405,$AP2788)&lt;$AQ2788))),"対象月が時短期間外／","")&amp;IF(AND(INDEX(職員マスタ!$K$6:$K$405,$AP2788)&lt;&gt;"",N($W2788)&gt;0,INDEX(職員マスタ!$K$6:$K$405,$AP2788)&lt;&gt;$W2788),"標準報酬月額が申請書と相違（台帳"&amp;TEXT(INDEX(職員マスタ!$K$6:$K$405,$AP2788),"#,##0")&amp;"円／申請書"&amp;TEXT($W2788,"#,##0")&amp;"円）／","")&amp;IF(AND(INDEX(職員マスタ!$F$6:$F$405,$AP2788)&lt;&gt;"",$AQ2788&lt;&gt;"",INDEX(職員マスタ!$F$6:$F$405,$AP2788)&lt;$AQ2788),"対象月に子が2歳到達済／","")&amp;IF(AND($H2788&lt;&gt;"",INDEX(職員マスタ!$B$6:$B$405,$AP2788)&lt;&gt;"",SUBSTITUTE(SUBSTITUTE($H2788," ","")," ","")&lt;&gt;SUBSTITUTE(SUBSTITUTE(INDEX(職員マスタ!$B$6:$B$405,$AP2788)," ","")," ","")),"氏名がマスタと相違／","")&amp;IF(AND($Q2788&lt;&gt;"",INDEX(職員マスタ!$E$6:$E$405,$AP2788)&lt;&gt;"",$Q2788&lt;&gt;INDEX(職員マスタ!$E$6:$E$405,$AP2788)),"子の生年月日がマスタと相違／","")&amp;IF(AND($L2788&lt;&gt;"",INDEX(職員マスタ!$G$6:$G$405,$AP2788)&lt;&gt;"",$L2788&lt;&gt;INDEX(職員マスタ!$G$6:$G$405,$AP2788)),"時短開始日がマスタと相違／","")&amp;IF(AND($M2788&lt;&gt;"",INDEX(職員マスタ!$H$6:$H$405,$AP2788)&lt;&gt;"",$M2788&lt;&gt;INDEX(職員マスタ!$H$6:$H$405,$AP2788)),"時短終了日がマスタと相違／","")))&amp;IF(AND($B2788&lt;&gt;"",$E2788=""),"報酬額が未入力／","")&amp;IF(N($U2788)&gt;0,"申請書に入力エラーが残っています／","")&amp;IF(AND($B2788&lt;&gt;"",$AQ2788&lt;&gt;""),IF(COUNTIFS($B$6:$B$3005,$B2788,$C$6:$C$3005,$C2788,$D$6:$D$3005,$D2788)&gt;1,"同じ月の請求が重複しています／",""),"")&amp;IF(AND(N($E2788)&gt;0,$AB2788&lt;&gt;"",$AB2788&lt;&gt;"×",$AE2788=0,$AD2788=""),"計算額が下限以下のため不支給／",""))</f>
        <v/>
      </c>
      <c r="AN2788" s="12" t="n"/>
      <c r="AO2788" s="14">
        <f>IF($AF2788="保留中",COUNTIF($AF$6:$AF2788,"保留中"),"")</f>
        <v/>
      </c>
      <c r="AP2788" s="14">
        <f>IF($AQ2788="","",IF(SUMPRODUCT(MAX((職員マスタ!$A$6:$A$405=$B2788)*(((職員マスタ!$G$6:$G$405="")+(職員マスタ!$G$6:$G$405&lt;=EOMONTH($AQ2788,0)))&gt;0)*(((職員マスタ!$H$6:$H$405="")+(職員マスタ!$H$6:$H$405&gt;=$AQ2788))&gt;0)*(ROW(職員マスタ!$A$6:$A$405)-5)))&gt;0,SUMPRODUCT(MAX((職員マスタ!$A$6:$A$405=$B2788)*(((職員マスタ!$G$6:$G$405="")+(職員マスタ!$G$6:$G$405&lt;=EOMONTH($AQ2788,0)))&gt;0)*(((職員マスタ!$H$6:$H$405="")+(職員マスタ!$H$6:$H$405&gt;=$AQ2788))&gt;0)*(ROW(職員マスタ!$A$6:$A$405)-5))),IFERROR(MATCH($B2788,職員マスタ!$A$6:$A$405,0),"")))</f>
        <v/>
      </c>
      <c r="AQ2788" s="16">
        <f>IF(OR($B2788="",$C2788="",$D2788=""),"",DATE($C2788+2018,$D2788,1))</f>
        <v/>
      </c>
    </row>
    <row r="2789">
      <c r="A2789" s="11" t="n"/>
      <c r="B2789" s="12" t="n"/>
      <c r="C2789" s="12" t="n"/>
      <c r="D2789" s="12" t="n"/>
      <c r="E2789" s="13" t="n"/>
      <c r="F2789" s="12" t="n"/>
      <c r="G2789" s="13" t="n"/>
      <c r="H2789" s="12" t="n"/>
      <c r="I2789" s="12" t="n"/>
      <c r="J2789" s="12" t="n"/>
      <c r="K2789" s="12" t="n"/>
      <c r="L2789" s="11" t="n"/>
      <c r="M2789" s="11" t="n"/>
      <c r="N2789" s="11" t="n"/>
      <c r="O2789" s="11" t="n"/>
      <c r="P2789" s="12" t="n"/>
      <c r="Q2789" s="11" t="n"/>
      <c r="R2789" s="12" t="n"/>
      <c r="S2789" s="11" t="n"/>
      <c r="T2789" s="12" t="n"/>
      <c r="U2789" s="12" t="n"/>
      <c r="V2789" s="12" t="n"/>
      <c r="W2789" s="13" t="n"/>
      <c r="X2789" s="14">
        <f>IF($AP2789="",IF($B2789="","",$H2789),IF(INDEX(職員マスタ!$B$6:$B$405,$AP2789)="",$H2789,INDEX(職員マスタ!$B$6:$B$405,$AP2789)))</f>
        <v/>
      </c>
      <c r="Y2789" s="14">
        <f>IF($AP2789="",IF($B2789="","",$R2789),IF(INDEX(職員マスタ!$C$6:$C$405,$AP2789)="",$R2789,INDEX(職員マスタ!$C$6:$C$405,$AP2789)))</f>
        <v/>
      </c>
      <c r="Z2789" s="14">
        <f>IF($AQ2789="","","R"&amp;$C2789&amp;"."&amp;$D2789)</f>
        <v/>
      </c>
      <c r="AA2789" s="15">
        <f>IF(IF($AP2789="",FALSE,INDEX(職員マスタ!$K$6:$K$405,$AP2789)&lt;&gt;""),INDEX(職員マスタ!$K$6:$K$405,$AP2789),IF(N($W2789)&gt;0,$W2789,""))</f>
        <v/>
      </c>
      <c r="AB2789" s="14">
        <f>IF(OR($E2789="",$AA2789=""),"",IF($E2789&gt;=$AA2789,"×",IF($E2789&gt;=$AA2789*設定!$C$5,"△","○")))</f>
        <v/>
      </c>
      <c r="AC2789" s="15">
        <f>IF($AB2789="","",IF($AB2789="×",0,IF($AB2789="○",ROUNDDOWN($E2789*設定!$C$4,0),ROUNDDOWN($E2789*ROUND((9*$AA2789-9*$E2789)/(10*$E2789),4),0))))</f>
        <v/>
      </c>
      <c r="AD2789" s="13" t="n"/>
      <c r="AE2789" s="15">
        <f>IF($B2789="","",IF($AD2789&lt;&gt;"",$AD2789,IF($AC2789="","",IF($AC2789&lt;=設定!$C$3,0,$AC2789))))</f>
        <v/>
      </c>
      <c r="AF2789" s="14">
        <f>IF($B2789="","",IF(AND($AG2789&lt;&gt;"",$AI2789="",$AL2789=""),"保留中",IF($AL2789&lt;&gt;"",IF(N($AE2789)&gt;0,"支給済","不支給"),IF($AE2789="","要確認",IF($AE2789=0,"不支給","未処理")))))</f>
        <v/>
      </c>
      <c r="AG2789" s="12" t="n"/>
      <c r="AH2789" s="11" t="n"/>
      <c r="AI2789" s="11" t="n"/>
      <c r="AJ2789" s="11" t="n"/>
      <c r="AK2789" s="14">
        <f>IF(AND($AF2789="保留中",$AH2789&lt;&gt;""),TODAY()-$AH2789,"")</f>
        <v/>
      </c>
      <c r="AL2789" s="12" t="n"/>
      <c r="AM2789" s="14">
        <f>IF($B2789="","",IF($AQ2789="","対象年月が未入力／","")&amp;IF($B2789="","",IF($AP2789="","職員マスタに未登録の職員番号／",IF($AA2789="","標準報酬月額が未登録／","")&amp;IF(AND($AQ2789&lt;&gt;"",OR(AND(INDEX(職員マスタ!$G$6:$G$405,$AP2789)&lt;&gt;"",INDEX(職員マスタ!$G$6:$G$405,$AP2789)&gt;EOMONTH($AQ2789,0)),AND(INDEX(職員マスタ!$H$6:$H$405,$AP2789)&lt;&gt;"",INDEX(職員マスタ!$H$6:$H$405,$AP2789)&lt;$AQ2789))),"対象月が時短期間外／","")&amp;IF(AND(INDEX(職員マスタ!$K$6:$K$405,$AP2789)&lt;&gt;"",N($W2789)&gt;0,INDEX(職員マスタ!$K$6:$K$405,$AP2789)&lt;&gt;$W2789),"標準報酬月額が申請書と相違（台帳"&amp;TEXT(INDEX(職員マスタ!$K$6:$K$405,$AP2789),"#,##0")&amp;"円／申請書"&amp;TEXT($W2789,"#,##0")&amp;"円）／","")&amp;IF(AND(INDEX(職員マスタ!$F$6:$F$405,$AP2789)&lt;&gt;"",$AQ2789&lt;&gt;"",INDEX(職員マスタ!$F$6:$F$405,$AP2789)&lt;$AQ2789),"対象月に子が2歳到達済／","")&amp;IF(AND($H2789&lt;&gt;"",INDEX(職員マスタ!$B$6:$B$405,$AP2789)&lt;&gt;"",SUBSTITUTE(SUBSTITUTE($H2789," ","")," ","")&lt;&gt;SUBSTITUTE(SUBSTITUTE(INDEX(職員マスタ!$B$6:$B$405,$AP2789)," ","")," ","")),"氏名がマスタと相違／","")&amp;IF(AND($Q2789&lt;&gt;"",INDEX(職員マスタ!$E$6:$E$405,$AP2789)&lt;&gt;"",$Q2789&lt;&gt;INDEX(職員マスタ!$E$6:$E$405,$AP2789)),"子の生年月日がマスタと相違／","")&amp;IF(AND($L2789&lt;&gt;"",INDEX(職員マスタ!$G$6:$G$405,$AP2789)&lt;&gt;"",$L2789&lt;&gt;INDEX(職員マスタ!$G$6:$G$405,$AP2789)),"時短開始日がマスタと相違／","")&amp;IF(AND($M2789&lt;&gt;"",INDEX(職員マスタ!$H$6:$H$405,$AP2789)&lt;&gt;"",$M2789&lt;&gt;INDEX(職員マスタ!$H$6:$H$405,$AP2789)),"時短終了日がマスタと相違／","")))&amp;IF(AND($B2789&lt;&gt;"",$E2789=""),"報酬額が未入力／","")&amp;IF(N($U2789)&gt;0,"申請書に入力エラーが残っています／","")&amp;IF(AND($B2789&lt;&gt;"",$AQ2789&lt;&gt;""),IF(COUNTIFS($B$6:$B$3005,$B2789,$C$6:$C$3005,$C2789,$D$6:$D$3005,$D2789)&gt;1,"同じ月の請求が重複しています／",""),"")&amp;IF(AND(N($E2789)&gt;0,$AB2789&lt;&gt;"",$AB2789&lt;&gt;"×",$AE2789=0,$AD2789=""),"計算額が下限以下のため不支給／",""))</f>
        <v/>
      </c>
      <c r="AN2789" s="12" t="n"/>
      <c r="AO2789" s="14">
        <f>IF($AF2789="保留中",COUNTIF($AF$6:$AF2789,"保留中"),"")</f>
        <v/>
      </c>
      <c r="AP2789" s="14">
        <f>IF($AQ2789="","",IF(SUMPRODUCT(MAX((職員マスタ!$A$6:$A$405=$B2789)*(((職員マスタ!$G$6:$G$405="")+(職員マスタ!$G$6:$G$405&lt;=EOMONTH($AQ2789,0)))&gt;0)*(((職員マスタ!$H$6:$H$405="")+(職員マスタ!$H$6:$H$405&gt;=$AQ2789))&gt;0)*(ROW(職員マスタ!$A$6:$A$405)-5)))&gt;0,SUMPRODUCT(MAX((職員マスタ!$A$6:$A$405=$B2789)*(((職員マスタ!$G$6:$G$405="")+(職員マスタ!$G$6:$G$405&lt;=EOMONTH($AQ2789,0)))&gt;0)*(((職員マスタ!$H$6:$H$405="")+(職員マスタ!$H$6:$H$405&gt;=$AQ2789))&gt;0)*(ROW(職員マスタ!$A$6:$A$405)-5))),IFERROR(MATCH($B2789,職員マスタ!$A$6:$A$405,0),"")))</f>
        <v/>
      </c>
      <c r="AQ2789" s="16">
        <f>IF(OR($B2789="",$C2789="",$D2789=""),"",DATE($C2789+2018,$D2789,1))</f>
        <v/>
      </c>
    </row>
    <row r="2790">
      <c r="A2790" s="11" t="n"/>
      <c r="B2790" s="12" t="n"/>
      <c r="C2790" s="12" t="n"/>
      <c r="D2790" s="12" t="n"/>
      <c r="E2790" s="13" t="n"/>
      <c r="F2790" s="12" t="n"/>
      <c r="G2790" s="13" t="n"/>
      <c r="H2790" s="12" t="n"/>
      <c r="I2790" s="12" t="n"/>
      <c r="J2790" s="12" t="n"/>
      <c r="K2790" s="12" t="n"/>
      <c r="L2790" s="11" t="n"/>
      <c r="M2790" s="11" t="n"/>
      <c r="N2790" s="11" t="n"/>
      <c r="O2790" s="11" t="n"/>
      <c r="P2790" s="12" t="n"/>
      <c r="Q2790" s="11" t="n"/>
      <c r="R2790" s="12" t="n"/>
      <c r="S2790" s="11" t="n"/>
      <c r="T2790" s="12" t="n"/>
      <c r="U2790" s="12" t="n"/>
      <c r="V2790" s="12" t="n"/>
      <c r="W2790" s="13" t="n"/>
      <c r="X2790" s="14">
        <f>IF($AP2790="",IF($B2790="","",$H2790),IF(INDEX(職員マスタ!$B$6:$B$405,$AP2790)="",$H2790,INDEX(職員マスタ!$B$6:$B$405,$AP2790)))</f>
        <v/>
      </c>
      <c r="Y2790" s="14">
        <f>IF($AP2790="",IF($B2790="","",$R2790),IF(INDEX(職員マスタ!$C$6:$C$405,$AP2790)="",$R2790,INDEX(職員マスタ!$C$6:$C$405,$AP2790)))</f>
        <v/>
      </c>
      <c r="Z2790" s="14">
        <f>IF($AQ2790="","","R"&amp;$C2790&amp;"."&amp;$D2790)</f>
        <v/>
      </c>
      <c r="AA2790" s="15">
        <f>IF(IF($AP2790="",FALSE,INDEX(職員マスタ!$K$6:$K$405,$AP2790)&lt;&gt;""),INDEX(職員マスタ!$K$6:$K$405,$AP2790),IF(N($W2790)&gt;0,$W2790,""))</f>
        <v/>
      </c>
      <c r="AB2790" s="14">
        <f>IF(OR($E2790="",$AA2790=""),"",IF($E2790&gt;=$AA2790,"×",IF($E2790&gt;=$AA2790*設定!$C$5,"△","○")))</f>
        <v/>
      </c>
      <c r="AC2790" s="15">
        <f>IF($AB2790="","",IF($AB2790="×",0,IF($AB2790="○",ROUNDDOWN($E2790*設定!$C$4,0),ROUNDDOWN($E2790*ROUND((9*$AA2790-9*$E2790)/(10*$E2790),4),0))))</f>
        <v/>
      </c>
      <c r="AD2790" s="13" t="n"/>
      <c r="AE2790" s="15">
        <f>IF($B2790="","",IF($AD2790&lt;&gt;"",$AD2790,IF($AC2790="","",IF($AC2790&lt;=設定!$C$3,0,$AC2790))))</f>
        <v/>
      </c>
      <c r="AF2790" s="14">
        <f>IF($B2790="","",IF(AND($AG2790&lt;&gt;"",$AI2790="",$AL2790=""),"保留中",IF($AL2790&lt;&gt;"",IF(N($AE2790)&gt;0,"支給済","不支給"),IF($AE2790="","要確認",IF($AE2790=0,"不支給","未処理")))))</f>
        <v/>
      </c>
      <c r="AG2790" s="12" t="n"/>
      <c r="AH2790" s="11" t="n"/>
      <c r="AI2790" s="11" t="n"/>
      <c r="AJ2790" s="11" t="n"/>
      <c r="AK2790" s="14">
        <f>IF(AND($AF2790="保留中",$AH2790&lt;&gt;""),TODAY()-$AH2790,"")</f>
        <v/>
      </c>
      <c r="AL2790" s="12" t="n"/>
      <c r="AM2790" s="14">
        <f>IF($B2790="","",IF($AQ2790="","対象年月が未入力／","")&amp;IF($B2790="","",IF($AP2790="","職員マスタに未登録の職員番号／",IF($AA2790="","標準報酬月額が未登録／","")&amp;IF(AND($AQ2790&lt;&gt;"",OR(AND(INDEX(職員マスタ!$G$6:$G$405,$AP2790)&lt;&gt;"",INDEX(職員マスタ!$G$6:$G$405,$AP2790)&gt;EOMONTH($AQ2790,0)),AND(INDEX(職員マスタ!$H$6:$H$405,$AP2790)&lt;&gt;"",INDEX(職員マスタ!$H$6:$H$405,$AP2790)&lt;$AQ2790))),"対象月が時短期間外／","")&amp;IF(AND(INDEX(職員マスタ!$K$6:$K$405,$AP2790)&lt;&gt;"",N($W2790)&gt;0,INDEX(職員マスタ!$K$6:$K$405,$AP2790)&lt;&gt;$W2790),"標準報酬月額が申請書と相違（台帳"&amp;TEXT(INDEX(職員マスタ!$K$6:$K$405,$AP2790),"#,##0")&amp;"円／申請書"&amp;TEXT($W2790,"#,##0")&amp;"円）／","")&amp;IF(AND(INDEX(職員マスタ!$F$6:$F$405,$AP2790)&lt;&gt;"",$AQ2790&lt;&gt;"",INDEX(職員マスタ!$F$6:$F$405,$AP2790)&lt;$AQ2790),"対象月に子が2歳到達済／","")&amp;IF(AND($H2790&lt;&gt;"",INDEX(職員マスタ!$B$6:$B$405,$AP2790)&lt;&gt;"",SUBSTITUTE(SUBSTITUTE($H2790," ","")," ","")&lt;&gt;SUBSTITUTE(SUBSTITUTE(INDEX(職員マスタ!$B$6:$B$405,$AP2790)," ","")," ","")),"氏名がマスタと相違／","")&amp;IF(AND($Q2790&lt;&gt;"",INDEX(職員マスタ!$E$6:$E$405,$AP2790)&lt;&gt;"",$Q2790&lt;&gt;INDEX(職員マスタ!$E$6:$E$405,$AP2790)),"子の生年月日がマスタと相違／","")&amp;IF(AND($L2790&lt;&gt;"",INDEX(職員マスタ!$G$6:$G$405,$AP2790)&lt;&gt;"",$L2790&lt;&gt;INDEX(職員マスタ!$G$6:$G$405,$AP2790)),"時短開始日がマスタと相違／","")&amp;IF(AND($M2790&lt;&gt;"",INDEX(職員マスタ!$H$6:$H$405,$AP2790)&lt;&gt;"",$M2790&lt;&gt;INDEX(職員マスタ!$H$6:$H$405,$AP2790)),"時短終了日がマスタと相違／","")))&amp;IF(AND($B2790&lt;&gt;"",$E2790=""),"報酬額が未入力／","")&amp;IF(N($U2790)&gt;0,"申請書に入力エラーが残っています／","")&amp;IF(AND($B2790&lt;&gt;"",$AQ2790&lt;&gt;""),IF(COUNTIFS($B$6:$B$3005,$B2790,$C$6:$C$3005,$C2790,$D$6:$D$3005,$D2790)&gt;1,"同じ月の請求が重複しています／",""),"")&amp;IF(AND(N($E2790)&gt;0,$AB2790&lt;&gt;"",$AB2790&lt;&gt;"×",$AE2790=0,$AD2790=""),"計算額が下限以下のため不支給／",""))</f>
        <v/>
      </c>
      <c r="AN2790" s="12" t="n"/>
      <c r="AO2790" s="14">
        <f>IF($AF2790="保留中",COUNTIF($AF$6:$AF2790,"保留中"),"")</f>
        <v/>
      </c>
      <c r="AP2790" s="14">
        <f>IF($AQ2790="","",IF(SUMPRODUCT(MAX((職員マスタ!$A$6:$A$405=$B2790)*(((職員マスタ!$G$6:$G$405="")+(職員マスタ!$G$6:$G$405&lt;=EOMONTH($AQ2790,0)))&gt;0)*(((職員マスタ!$H$6:$H$405="")+(職員マスタ!$H$6:$H$405&gt;=$AQ2790))&gt;0)*(ROW(職員マスタ!$A$6:$A$405)-5)))&gt;0,SUMPRODUCT(MAX((職員マスタ!$A$6:$A$405=$B2790)*(((職員マスタ!$G$6:$G$405="")+(職員マスタ!$G$6:$G$405&lt;=EOMONTH($AQ2790,0)))&gt;0)*(((職員マスタ!$H$6:$H$405="")+(職員マスタ!$H$6:$H$405&gt;=$AQ2790))&gt;0)*(ROW(職員マスタ!$A$6:$A$405)-5))),IFERROR(MATCH($B2790,職員マスタ!$A$6:$A$405,0),"")))</f>
        <v/>
      </c>
      <c r="AQ2790" s="16">
        <f>IF(OR($B2790="",$C2790="",$D2790=""),"",DATE($C2790+2018,$D2790,1))</f>
        <v/>
      </c>
    </row>
    <row r="2791">
      <c r="A2791" s="11" t="n"/>
      <c r="B2791" s="12" t="n"/>
      <c r="C2791" s="12" t="n"/>
      <c r="D2791" s="12" t="n"/>
      <c r="E2791" s="13" t="n"/>
      <c r="F2791" s="12" t="n"/>
      <c r="G2791" s="13" t="n"/>
      <c r="H2791" s="12" t="n"/>
      <c r="I2791" s="12" t="n"/>
      <c r="J2791" s="12" t="n"/>
      <c r="K2791" s="12" t="n"/>
      <c r="L2791" s="11" t="n"/>
      <c r="M2791" s="11" t="n"/>
      <c r="N2791" s="11" t="n"/>
      <c r="O2791" s="11" t="n"/>
      <c r="P2791" s="12" t="n"/>
      <c r="Q2791" s="11" t="n"/>
      <c r="R2791" s="12" t="n"/>
      <c r="S2791" s="11" t="n"/>
      <c r="T2791" s="12" t="n"/>
      <c r="U2791" s="12" t="n"/>
      <c r="V2791" s="12" t="n"/>
      <c r="W2791" s="13" t="n"/>
      <c r="X2791" s="14">
        <f>IF($AP2791="",IF($B2791="","",$H2791),IF(INDEX(職員マスタ!$B$6:$B$405,$AP2791)="",$H2791,INDEX(職員マスタ!$B$6:$B$405,$AP2791)))</f>
        <v/>
      </c>
      <c r="Y2791" s="14">
        <f>IF($AP2791="",IF($B2791="","",$R2791),IF(INDEX(職員マスタ!$C$6:$C$405,$AP2791)="",$R2791,INDEX(職員マスタ!$C$6:$C$405,$AP2791)))</f>
        <v/>
      </c>
      <c r="Z2791" s="14">
        <f>IF($AQ2791="","","R"&amp;$C2791&amp;"."&amp;$D2791)</f>
        <v/>
      </c>
      <c r="AA2791" s="15">
        <f>IF(IF($AP2791="",FALSE,INDEX(職員マスタ!$K$6:$K$405,$AP2791)&lt;&gt;""),INDEX(職員マスタ!$K$6:$K$405,$AP2791),IF(N($W2791)&gt;0,$W2791,""))</f>
        <v/>
      </c>
      <c r="AB2791" s="14">
        <f>IF(OR($E2791="",$AA2791=""),"",IF($E2791&gt;=$AA2791,"×",IF($E2791&gt;=$AA2791*設定!$C$5,"△","○")))</f>
        <v/>
      </c>
      <c r="AC2791" s="15">
        <f>IF($AB2791="","",IF($AB2791="×",0,IF($AB2791="○",ROUNDDOWN($E2791*設定!$C$4,0),ROUNDDOWN($E2791*ROUND((9*$AA2791-9*$E2791)/(10*$E2791),4),0))))</f>
        <v/>
      </c>
      <c r="AD2791" s="13" t="n"/>
      <c r="AE2791" s="15">
        <f>IF($B2791="","",IF($AD2791&lt;&gt;"",$AD2791,IF($AC2791="","",IF($AC2791&lt;=設定!$C$3,0,$AC2791))))</f>
        <v/>
      </c>
      <c r="AF2791" s="14">
        <f>IF($B2791="","",IF(AND($AG2791&lt;&gt;"",$AI2791="",$AL2791=""),"保留中",IF($AL2791&lt;&gt;"",IF(N($AE2791)&gt;0,"支給済","不支給"),IF($AE2791="","要確認",IF($AE2791=0,"不支給","未処理")))))</f>
        <v/>
      </c>
      <c r="AG2791" s="12" t="n"/>
      <c r="AH2791" s="11" t="n"/>
      <c r="AI2791" s="11" t="n"/>
      <c r="AJ2791" s="11" t="n"/>
      <c r="AK2791" s="14">
        <f>IF(AND($AF2791="保留中",$AH2791&lt;&gt;""),TODAY()-$AH2791,"")</f>
        <v/>
      </c>
      <c r="AL2791" s="12" t="n"/>
      <c r="AM2791" s="14">
        <f>IF($B2791="","",IF($AQ2791="","対象年月が未入力／","")&amp;IF($B2791="","",IF($AP2791="","職員マスタに未登録の職員番号／",IF($AA2791="","標準報酬月額が未登録／","")&amp;IF(AND($AQ2791&lt;&gt;"",OR(AND(INDEX(職員マスタ!$G$6:$G$405,$AP2791)&lt;&gt;"",INDEX(職員マスタ!$G$6:$G$405,$AP2791)&gt;EOMONTH($AQ2791,0)),AND(INDEX(職員マスタ!$H$6:$H$405,$AP2791)&lt;&gt;"",INDEX(職員マスタ!$H$6:$H$405,$AP2791)&lt;$AQ2791))),"対象月が時短期間外／","")&amp;IF(AND(INDEX(職員マスタ!$K$6:$K$405,$AP2791)&lt;&gt;"",N($W2791)&gt;0,INDEX(職員マスタ!$K$6:$K$405,$AP2791)&lt;&gt;$W2791),"標準報酬月額が申請書と相違（台帳"&amp;TEXT(INDEX(職員マスタ!$K$6:$K$405,$AP2791),"#,##0")&amp;"円／申請書"&amp;TEXT($W2791,"#,##0")&amp;"円）／","")&amp;IF(AND(INDEX(職員マスタ!$F$6:$F$405,$AP2791)&lt;&gt;"",$AQ2791&lt;&gt;"",INDEX(職員マスタ!$F$6:$F$405,$AP2791)&lt;$AQ2791),"対象月に子が2歳到達済／","")&amp;IF(AND($H2791&lt;&gt;"",INDEX(職員マスタ!$B$6:$B$405,$AP2791)&lt;&gt;"",SUBSTITUTE(SUBSTITUTE($H2791," ","")," ","")&lt;&gt;SUBSTITUTE(SUBSTITUTE(INDEX(職員マスタ!$B$6:$B$405,$AP2791)," ","")," ","")),"氏名がマスタと相違／","")&amp;IF(AND($Q2791&lt;&gt;"",INDEX(職員マスタ!$E$6:$E$405,$AP2791)&lt;&gt;"",$Q2791&lt;&gt;INDEX(職員マスタ!$E$6:$E$405,$AP2791)),"子の生年月日がマスタと相違／","")&amp;IF(AND($L2791&lt;&gt;"",INDEX(職員マスタ!$G$6:$G$405,$AP2791)&lt;&gt;"",$L2791&lt;&gt;INDEX(職員マスタ!$G$6:$G$405,$AP2791)),"時短開始日がマスタと相違／","")&amp;IF(AND($M2791&lt;&gt;"",INDEX(職員マスタ!$H$6:$H$405,$AP2791)&lt;&gt;"",$M2791&lt;&gt;INDEX(職員マスタ!$H$6:$H$405,$AP2791)),"時短終了日がマスタと相違／","")))&amp;IF(AND($B2791&lt;&gt;"",$E2791=""),"報酬額が未入力／","")&amp;IF(N($U2791)&gt;0,"申請書に入力エラーが残っています／","")&amp;IF(AND($B2791&lt;&gt;"",$AQ2791&lt;&gt;""),IF(COUNTIFS($B$6:$B$3005,$B2791,$C$6:$C$3005,$C2791,$D$6:$D$3005,$D2791)&gt;1,"同じ月の請求が重複しています／",""),"")&amp;IF(AND(N($E2791)&gt;0,$AB2791&lt;&gt;"",$AB2791&lt;&gt;"×",$AE2791=0,$AD2791=""),"計算額が下限以下のため不支給／",""))</f>
        <v/>
      </c>
      <c r="AN2791" s="12" t="n"/>
      <c r="AO2791" s="14">
        <f>IF($AF2791="保留中",COUNTIF($AF$6:$AF2791,"保留中"),"")</f>
        <v/>
      </c>
      <c r="AP2791" s="14">
        <f>IF($AQ2791="","",IF(SUMPRODUCT(MAX((職員マスタ!$A$6:$A$405=$B2791)*(((職員マスタ!$G$6:$G$405="")+(職員マスタ!$G$6:$G$405&lt;=EOMONTH($AQ2791,0)))&gt;0)*(((職員マスタ!$H$6:$H$405="")+(職員マスタ!$H$6:$H$405&gt;=$AQ2791))&gt;0)*(ROW(職員マスタ!$A$6:$A$405)-5)))&gt;0,SUMPRODUCT(MAX((職員マスタ!$A$6:$A$405=$B2791)*(((職員マスタ!$G$6:$G$405="")+(職員マスタ!$G$6:$G$405&lt;=EOMONTH($AQ2791,0)))&gt;0)*(((職員マスタ!$H$6:$H$405="")+(職員マスタ!$H$6:$H$405&gt;=$AQ2791))&gt;0)*(ROW(職員マスタ!$A$6:$A$405)-5))),IFERROR(MATCH($B2791,職員マスタ!$A$6:$A$405,0),"")))</f>
        <v/>
      </c>
      <c r="AQ2791" s="16">
        <f>IF(OR($B2791="",$C2791="",$D2791=""),"",DATE($C2791+2018,$D2791,1))</f>
        <v/>
      </c>
    </row>
    <row r="2792">
      <c r="A2792" s="11" t="n"/>
      <c r="B2792" s="12" t="n"/>
      <c r="C2792" s="12" t="n"/>
      <c r="D2792" s="12" t="n"/>
      <c r="E2792" s="13" t="n"/>
      <c r="F2792" s="12" t="n"/>
      <c r="G2792" s="13" t="n"/>
      <c r="H2792" s="12" t="n"/>
      <c r="I2792" s="12" t="n"/>
      <c r="J2792" s="12" t="n"/>
      <c r="K2792" s="12" t="n"/>
      <c r="L2792" s="11" t="n"/>
      <c r="M2792" s="11" t="n"/>
      <c r="N2792" s="11" t="n"/>
      <c r="O2792" s="11" t="n"/>
      <c r="P2792" s="12" t="n"/>
      <c r="Q2792" s="11" t="n"/>
      <c r="R2792" s="12" t="n"/>
      <c r="S2792" s="11" t="n"/>
      <c r="T2792" s="12" t="n"/>
      <c r="U2792" s="12" t="n"/>
      <c r="V2792" s="12" t="n"/>
      <c r="W2792" s="13" t="n"/>
      <c r="X2792" s="14">
        <f>IF($AP2792="",IF($B2792="","",$H2792),IF(INDEX(職員マスタ!$B$6:$B$405,$AP2792)="",$H2792,INDEX(職員マスタ!$B$6:$B$405,$AP2792)))</f>
        <v/>
      </c>
      <c r="Y2792" s="14">
        <f>IF($AP2792="",IF($B2792="","",$R2792),IF(INDEX(職員マスタ!$C$6:$C$405,$AP2792)="",$R2792,INDEX(職員マスタ!$C$6:$C$405,$AP2792)))</f>
        <v/>
      </c>
      <c r="Z2792" s="14">
        <f>IF($AQ2792="","","R"&amp;$C2792&amp;"."&amp;$D2792)</f>
        <v/>
      </c>
      <c r="AA2792" s="15">
        <f>IF(IF($AP2792="",FALSE,INDEX(職員マスタ!$K$6:$K$405,$AP2792)&lt;&gt;""),INDEX(職員マスタ!$K$6:$K$405,$AP2792),IF(N($W2792)&gt;0,$W2792,""))</f>
        <v/>
      </c>
      <c r="AB2792" s="14">
        <f>IF(OR($E2792="",$AA2792=""),"",IF($E2792&gt;=$AA2792,"×",IF($E2792&gt;=$AA2792*設定!$C$5,"△","○")))</f>
        <v/>
      </c>
      <c r="AC2792" s="15">
        <f>IF($AB2792="","",IF($AB2792="×",0,IF($AB2792="○",ROUNDDOWN($E2792*設定!$C$4,0),ROUNDDOWN($E2792*ROUND((9*$AA2792-9*$E2792)/(10*$E2792),4),0))))</f>
        <v/>
      </c>
      <c r="AD2792" s="13" t="n"/>
      <c r="AE2792" s="15">
        <f>IF($B2792="","",IF($AD2792&lt;&gt;"",$AD2792,IF($AC2792="","",IF($AC2792&lt;=設定!$C$3,0,$AC2792))))</f>
        <v/>
      </c>
      <c r="AF2792" s="14">
        <f>IF($B2792="","",IF(AND($AG2792&lt;&gt;"",$AI2792="",$AL2792=""),"保留中",IF($AL2792&lt;&gt;"",IF(N($AE2792)&gt;0,"支給済","不支給"),IF($AE2792="","要確認",IF($AE2792=0,"不支給","未処理")))))</f>
        <v/>
      </c>
      <c r="AG2792" s="12" t="n"/>
      <c r="AH2792" s="11" t="n"/>
      <c r="AI2792" s="11" t="n"/>
      <c r="AJ2792" s="11" t="n"/>
      <c r="AK2792" s="14">
        <f>IF(AND($AF2792="保留中",$AH2792&lt;&gt;""),TODAY()-$AH2792,"")</f>
        <v/>
      </c>
      <c r="AL2792" s="12" t="n"/>
      <c r="AM2792" s="14">
        <f>IF($B2792="","",IF($AQ2792="","対象年月が未入力／","")&amp;IF($B2792="","",IF($AP2792="","職員マスタに未登録の職員番号／",IF($AA2792="","標準報酬月額が未登録／","")&amp;IF(AND($AQ2792&lt;&gt;"",OR(AND(INDEX(職員マスタ!$G$6:$G$405,$AP2792)&lt;&gt;"",INDEX(職員マスタ!$G$6:$G$405,$AP2792)&gt;EOMONTH($AQ2792,0)),AND(INDEX(職員マスタ!$H$6:$H$405,$AP2792)&lt;&gt;"",INDEX(職員マスタ!$H$6:$H$405,$AP2792)&lt;$AQ2792))),"対象月が時短期間外／","")&amp;IF(AND(INDEX(職員マスタ!$K$6:$K$405,$AP2792)&lt;&gt;"",N($W2792)&gt;0,INDEX(職員マスタ!$K$6:$K$405,$AP2792)&lt;&gt;$W2792),"標準報酬月額が申請書と相違（台帳"&amp;TEXT(INDEX(職員マスタ!$K$6:$K$405,$AP2792),"#,##0")&amp;"円／申請書"&amp;TEXT($W2792,"#,##0")&amp;"円）／","")&amp;IF(AND(INDEX(職員マスタ!$F$6:$F$405,$AP2792)&lt;&gt;"",$AQ2792&lt;&gt;"",INDEX(職員マスタ!$F$6:$F$405,$AP2792)&lt;$AQ2792),"対象月に子が2歳到達済／","")&amp;IF(AND($H2792&lt;&gt;"",INDEX(職員マスタ!$B$6:$B$405,$AP2792)&lt;&gt;"",SUBSTITUTE(SUBSTITUTE($H2792," ","")," ","")&lt;&gt;SUBSTITUTE(SUBSTITUTE(INDEX(職員マスタ!$B$6:$B$405,$AP2792)," ","")," ","")),"氏名がマスタと相違／","")&amp;IF(AND($Q2792&lt;&gt;"",INDEX(職員マスタ!$E$6:$E$405,$AP2792)&lt;&gt;"",$Q2792&lt;&gt;INDEX(職員マスタ!$E$6:$E$405,$AP2792)),"子の生年月日がマスタと相違／","")&amp;IF(AND($L2792&lt;&gt;"",INDEX(職員マスタ!$G$6:$G$405,$AP2792)&lt;&gt;"",$L2792&lt;&gt;INDEX(職員マスタ!$G$6:$G$405,$AP2792)),"時短開始日がマスタと相違／","")&amp;IF(AND($M2792&lt;&gt;"",INDEX(職員マスタ!$H$6:$H$405,$AP2792)&lt;&gt;"",$M2792&lt;&gt;INDEX(職員マスタ!$H$6:$H$405,$AP2792)),"時短終了日がマスタと相違／","")))&amp;IF(AND($B2792&lt;&gt;"",$E2792=""),"報酬額が未入力／","")&amp;IF(N($U2792)&gt;0,"申請書に入力エラーが残っています／","")&amp;IF(AND($B2792&lt;&gt;"",$AQ2792&lt;&gt;""),IF(COUNTIFS($B$6:$B$3005,$B2792,$C$6:$C$3005,$C2792,$D$6:$D$3005,$D2792)&gt;1,"同じ月の請求が重複しています／",""),"")&amp;IF(AND(N($E2792)&gt;0,$AB2792&lt;&gt;"",$AB2792&lt;&gt;"×",$AE2792=0,$AD2792=""),"計算額が下限以下のため不支給／",""))</f>
        <v/>
      </c>
      <c r="AN2792" s="12" t="n"/>
      <c r="AO2792" s="14">
        <f>IF($AF2792="保留中",COUNTIF($AF$6:$AF2792,"保留中"),"")</f>
        <v/>
      </c>
      <c r="AP2792" s="14">
        <f>IF($AQ2792="","",IF(SUMPRODUCT(MAX((職員マスタ!$A$6:$A$405=$B2792)*(((職員マスタ!$G$6:$G$405="")+(職員マスタ!$G$6:$G$405&lt;=EOMONTH($AQ2792,0)))&gt;0)*(((職員マスタ!$H$6:$H$405="")+(職員マスタ!$H$6:$H$405&gt;=$AQ2792))&gt;0)*(ROW(職員マスタ!$A$6:$A$405)-5)))&gt;0,SUMPRODUCT(MAX((職員マスタ!$A$6:$A$405=$B2792)*(((職員マスタ!$G$6:$G$405="")+(職員マスタ!$G$6:$G$405&lt;=EOMONTH($AQ2792,0)))&gt;0)*(((職員マスタ!$H$6:$H$405="")+(職員マスタ!$H$6:$H$405&gt;=$AQ2792))&gt;0)*(ROW(職員マスタ!$A$6:$A$405)-5))),IFERROR(MATCH($B2792,職員マスタ!$A$6:$A$405,0),"")))</f>
        <v/>
      </c>
      <c r="AQ2792" s="16">
        <f>IF(OR($B2792="",$C2792="",$D2792=""),"",DATE($C2792+2018,$D2792,1))</f>
        <v/>
      </c>
    </row>
    <row r="2793">
      <c r="A2793" s="11" t="n"/>
      <c r="B2793" s="12" t="n"/>
      <c r="C2793" s="12" t="n"/>
      <c r="D2793" s="12" t="n"/>
      <c r="E2793" s="13" t="n"/>
      <c r="F2793" s="12" t="n"/>
      <c r="G2793" s="13" t="n"/>
      <c r="H2793" s="12" t="n"/>
      <c r="I2793" s="12" t="n"/>
      <c r="J2793" s="12" t="n"/>
      <c r="K2793" s="12" t="n"/>
      <c r="L2793" s="11" t="n"/>
      <c r="M2793" s="11" t="n"/>
      <c r="N2793" s="11" t="n"/>
      <c r="O2793" s="11" t="n"/>
      <c r="P2793" s="12" t="n"/>
      <c r="Q2793" s="11" t="n"/>
      <c r="R2793" s="12" t="n"/>
      <c r="S2793" s="11" t="n"/>
      <c r="T2793" s="12" t="n"/>
      <c r="U2793" s="12" t="n"/>
      <c r="V2793" s="12" t="n"/>
      <c r="W2793" s="13" t="n"/>
      <c r="X2793" s="14">
        <f>IF($AP2793="",IF($B2793="","",$H2793),IF(INDEX(職員マスタ!$B$6:$B$405,$AP2793)="",$H2793,INDEX(職員マスタ!$B$6:$B$405,$AP2793)))</f>
        <v/>
      </c>
      <c r="Y2793" s="14">
        <f>IF($AP2793="",IF($B2793="","",$R2793),IF(INDEX(職員マスタ!$C$6:$C$405,$AP2793)="",$R2793,INDEX(職員マスタ!$C$6:$C$405,$AP2793)))</f>
        <v/>
      </c>
      <c r="Z2793" s="14">
        <f>IF($AQ2793="","","R"&amp;$C2793&amp;"."&amp;$D2793)</f>
        <v/>
      </c>
      <c r="AA2793" s="15">
        <f>IF(IF($AP2793="",FALSE,INDEX(職員マスタ!$K$6:$K$405,$AP2793)&lt;&gt;""),INDEX(職員マスタ!$K$6:$K$405,$AP2793),IF(N($W2793)&gt;0,$W2793,""))</f>
        <v/>
      </c>
      <c r="AB2793" s="14">
        <f>IF(OR($E2793="",$AA2793=""),"",IF($E2793&gt;=$AA2793,"×",IF($E2793&gt;=$AA2793*設定!$C$5,"△","○")))</f>
        <v/>
      </c>
      <c r="AC2793" s="15">
        <f>IF($AB2793="","",IF($AB2793="×",0,IF($AB2793="○",ROUNDDOWN($E2793*設定!$C$4,0),ROUNDDOWN($E2793*ROUND((9*$AA2793-9*$E2793)/(10*$E2793),4),0))))</f>
        <v/>
      </c>
      <c r="AD2793" s="13" t="n"/>
      <c r="AE2793" s="15">
        <f>IF($B2793="","",IF($AD2793&lt;&gt;"",$AD2793,IF($AC2793="","",IF($AC2793&lt;=設定!$C$3,0,$AC2793))))</f>
        <v/>
      </c>
      <c r="AF2793" s="14">
        <f>IF($B2793="","",IF(AND($AG2793&lt;&gt;"",$AI2793="",$AL2793=""),"保留中",IF($AL2793&lt;&gt;"",IF(N($AE2793)&gt;0,"支給済","不支給"),IF($AE2793="","要確認",IF($AE2793=0,"不支給","未処理")))))</f>
        <v/>
      </c>
      <c r="AG2793" s="12" t="n"/>
      <c r="AH2793" s="11" t="n"/>
      <c r="AI2793" s="11" t="n"/>
      <c r="AJ2793" s="11" t="n"/>
      <c r="AK2793" s="14">
        <f>IF(AND($AF2793="保留中",$AH2793&lt;&gt;""),TODAY()-$AH2793,"")</f>
        <v/>
      </c>
      <c r="AL2793" s="12" t="n"/>
      <c r="AM2793" s="14">
        <f>IF($B2793="","",IF($AQ2793="","対象年月が未入力／","")&amp;IF($B2793="","",IF($AP2793="","職員マスタに未登録の職員番号／",IF($AA2793="","標準報酬月額が未登録／","")&amp;IF(AND($AQ2793&lt;&gt;"",OR(AND(INDEX(職員マスタ!$G$6:$G$405,$AP2793)&lt;&gt;"",INDEX(職員マスタ!$G$6:$G$405,$AP2793)&gt;EOMONTH($AQ2793,0)),AND(INDEX(職員マスタ!$H$6:$H$405,$AP2793)&lt;&gt;"",INDEX(職員マスタ!$H$6:$H$405,$AP2793)&lt;$AQ2793))),"対象月が時短期間外／","")&amp;IF(AND(INDEX(職員マスタ!$K$6:$K$405,$AP2793)&lt;&gt;"",N($W2793)&gt;0,INDEX(職員マスタ!$K$6:$K$405,$AP2793)&lt;&gt;$W2793),"標準報酬月額が申請書と相違（台帳"&amp;TEXT(INDEX(職員マスタ!$K$6:$K$405,$AP2793),"#,##0")&amp;"円／申請書"&amp;TEXT($W2793,"#,##0")&amp;"円）／","")&amp;IF(AND(INDEX(職員マスタ!$F$6:$F$405,$AP2793)&lt;&gt;"",$AQ2793&lt;&gt;"",INDEX(職員マスタ!$F$6:$F$405,$AP2793)&lt;$AQ2793),"対象月に子が2歳到達済／","")&amp;IF(AND($H2793&lt;&gt;"",INDEX(職員マスタ!$B$6:$B$405,$AP2793)&lt;&gt;"",SUBSTITUTE(SUBSTITUTE($H2793," ","")," ","")&lt;&gt;SUBSTITUTE(SUBSTITUTE(INDEX(職員マスタ!$B$6:$B$405,$AP2793)," ","")," ","")),"氏名がマスタと相違／","")&amp;IF(AND($Q2793&lt;&gt;"",INDEX(職員マスタ!$E$6:$E$405,$AP2793)&lt;&gt;"",$Q2793&lt;&gt;INDEX(職員マスタ!$E$6:$E$405,$AP2793)),"子の生年月日がマスタと相違／","")&amp;IF(AND($L2793&lt;&gt;"",INDEX(職員マスタ!$G$6:$G$405,$AP2793)&lt;&gt;"",$L2793&lt;&gt;INDEX(職員マスタ!$G$6:$G$405,$AP2793)),"時短開始日がマスタと相違／","")&amp;IF(AND($M2793&lt;&gt;"",INDEX(職員マスタ!$H$6:$H$405,$AP2793)&lt;&gt;"",$M2793&lt;&gt;INDEX(職員マスタ!$H$6:$H$405,$AP2793)),"時短終了日がマスタと相違／","")))&amp;IF(AND($B2793&lt;&gt;"",$E2793=""),"報酬額が未入力／","")&amp;IF(N($U2793)&gt;0,"申請書に入力エラーが残っています／","")&amp;IF(AND($B2793&lt;&gt;"",$AQ2793&lt;&gt;""),IF(COUNTIFS($B$6:$B$3005,$B2793,$C$6:$C$3005,$C2793,$D$6:$D$3005,$D2793)&gt;1,"同じ月の請求が重複しています／",""),"")&amp;IF(AND(N($E2793)&gt;0,$AB2793&lt;&gt;"",$AB2793&lt;&gt;"×",$AE2793=0,$AD2793=""),"計算額が下限以下のため不支給／",""))</f>
        <v/>
      </c>
      <c r="AN2793" s="12" t="n"/>
      <c r="AO2793" s="14">
        <f>IF($AF2793="保留中",COUNTIF($AF$6:$AF2793,"保留中"),"")</f>
        <v/>
      </c>
      <c r="AP2793" s="14">
        <f>IF($AQ2793="","",IF(SUMPRODUCT(MAX((職員マスタ!$A$6:$A$405=$B2793)*(((職員マスタ!$G$6:$G$405="")+(職員マスタ!$G$6:$G$405&lt;=EOMONTH($AQ2793,0)))&gt;0)*(((職員マスタ!$H$6:$H$405="")+(職員マスタ!$H$6:$H$405&gt;=$AQ2793))&gt;0)*(ROW(職員マスタ!$A$6:$A$405)-5)))&gt;0,SUMPRODUCT(MAX((職員マスタ!$A$6:$A$405=$B2793)*(((職員マスタ!$G$6:$G$405="")+(職員マスタ!$G$6:$G$405&lt;=EOMONTH($AQ2793,0)))&gt;0)*(((職員マスタ!$H$6:$H$405="")+(職員マスタ!$H$6:$H$405&gt;=$AQ2793))&gt;0)*(ROW(職員マスタ!$A$6:$A$405)-5))),IFERROR(MATCH($B2793,職員マスタ!$A$6:$A$405,0),"")))</f>
        <v/>
      </c>
      <c r="AQ2793" s="16">
        <f>IF(OR($B2793="",$C2793="",$D2793=""),"",DATE($C2793+2018,$D2793,1))</f>
        <v/>
      </c>
    </row>
    <row r="2794">
      <c r="A2794" s="11" t="n"/>
      <c r="B2794" s="12" t="n"/>
      <c r="C2794" s="12" t="n"/>
      <c r="D2794" s="12" t="n"/>
      <c r="E2794" s="13" t="n"/>
      <c r="F2794" s="12" t="n"/>
      <c r="G2794" s="13" t="n"/>
      <c r="H2794" s="12" t="n"/>
      <c r="I2794" s="12" t="n"/>
      <c r="J2794" s="12" t="n"/>
      <c r="K2794" s="12" t="n"/>
      <c r="L2794" s="11" t="n"/>
      <c r="M2794" s="11" t="n"/>
      <c r="N2794" s="11" t="n"/>
      <c r="O2794" s="11" t="n"/>
      <c r="P2794" s="12" t="n"/>
      <c r="Q2794" s="11" t="n"/>
      <c r="R2794" s="12" t="n"/>
      <c r="S2794" s="11" t="n"/>
      <c r="T2794" s="12" t="n"/>
      <c r="U2794" s="12" t="n"/>
      <c r="V2794" s="12" t="n"/>
      <c r="W2794" s="13" t="n"/>
      <c r="X2794" s="14">
        <f>IF($AP2794="",IF($B2794="","",$H2794),IF(INDEX(職員マスタ!$B$6:$B$405,$AP2794)="",$H2794,INDEX(職員マスタ!$B$6:$B$405,$AP2794)))</f>
        <v/>
      </c>
      <c r="Y2794" s="14">
        <f>IF($AP2794="",IF($B2794="","",$R2794),IF(INDEX(職員マスタ!$C$6:$C$405,$AP2794)="",$R2794,INDEX(職員マスタ!$C$6:$C$405,$AP2794)))</f>
        <v/>
      </c>
      <c r="Z2794" s="14">
        <f>IF($AQ2794="","","R"&amp;$C2794&amp;"."&amp;$D2794)</f>
        <v/>
      </c>
      <c r="AA2794" s="15">
        <f>IF(IF($AP2794="",FALSE,INDEX(職員マスタ!$K$6:$K$405,$AP2794)&lt;&gt;""),INDEX(職員マスタ!$K$6:$K$405,$AP2794),IF(N($W2794)&gt;0,$W2794,""))</f>
        <v/>
      </c>
      <c r="AB2794" s="14">
        <f>IF(OR($E2794="",$AA2794=""),"",IF($E2794&gt;=$AA2794,"×",IF($E2794&gt;=$AA2794*設定!$C$5,"△","○")))</f>
        <v/>
      </c>
      <c r="AC2794" s="15">
        <f>IF($AB2794="","",IF($AB2794="×",0,IF($AB2794="○",ROUNDDOWN($E2794*設定!$C$4,0),ROUNDDOWN($E2794*ROUND((9*$AA2794-9*$E2794)/(10*$E2794),4),0))))</f>
        <v/>
      </c>
      <c r="AD2794" s="13" t="n"/>
      <c r="AE2794" s="15">
        <f>IF($B2794="","",IF($AD2794&lt;&gt;"",$AD2794,IF($AC2794="","",IF($AC2794&lt;=設定!$C$3,0,$AC2794))))</f>
        <v/>
      </c>
      <c r="AF2794" s="14">
        <f>IF($B2794="","",IF(AND($AG2794&lt;&gt;"",$AI2794="",$AL2794=""),"保留中",IF($AL2794&lt;&gt;"",IF(N($AE2794)&gt;0,"支給済","不支給"),IF($AE2794="","要確認",IF($AE2794=0,"不支給","未処理")))))</f>
        <v/>
      </c>
      <c r="AG2794" s="12" t="n"/>
      <c r="AH2794" s="11" t="n"/>
      <c r="AI2794" s="11" t="n"/>
      <c r="AJ2794" s="11" t="n"/>
      <c r="AK2794" s="14">
        <f>IF(AND($AF2794="保留中",$AH2794&lt;&gt;""),TODAY()-$AH2794,"")</f>
        <v/>
      </c>
      <c r="AL2794" s="12" t="n"/>
      <c r="AM2794" s="14">
        <f>IF($B2794="","",IF($AQ2794="","対象年月が未入力／","")&amp;IF($B2794="","",IF($AP2794="","職員マスタに未登録の職員番号／",IF($AA2794="","標準報酬月額が未登録／","")&amp;IF(AND($AQ2794&lt;&gt;"",OR(AND(INDEX(職員マスタ!$G$6:$G$405,$AP2794)&lt;&gt;"",INDEX(職員マスタ!$G$6:$G$405,$AP2794)&gt;EOMONTH($AQ2794,0)),AND(INDEX(職員マスタ!$H$6:$H$405,$AP2794)&lt;&gt;"",INDEX(職員マスタ!$H$6:$H$405,$AP2794)&lt;$AQ2794))),"対象月が時短期間外／","")&amp;IF(AND(INDEX(職員マスタ!$K$6:$K$405,$AP2794)&lt;&gt;"",N($W2794)&gt;0,INDEX(職員マスタ!$K$6:$K$405,$AP2794)&lt;&gt;$W2794),"標準報酬月額が申請書と相違（台帳"&amp;TEXT(INDEX(職員マスタ!$K$6:$K$405,$AP2794),"#,##0")&amp;"円／申請書"&amp;TEXT($W2794,"#,##0")&amp;"円）／","")&amp;IF(AND(INDEX(職員マスタ!$F$6:$F$405,$AP2794)&lt;&gt;"",$AQ2794&lt;&gt;"",INDEX(職員マスタ!$F$6:$F$405,$AP2794)&lt;$AQ2794),"対象月に子が2歳到達済／","")&amp;IF(AND($H2794&lt;&gt;"",INDEX(職員マスタ!$B$6:$B$405,$AP2794)&lt;&gt;"",SUBSTITUTE(SUBSTITUTE($H2794," ","")," ","")&lt;&gt;SUBSTITUTE(SUBSTITUTE(INDEX(職員マスタ!$B$6:$B$405,$AP2794)," ","")," ","")),"氏名がマスタと相違／","")&amp;IF(AND($Q2794&lt;&gt;"",INDEX(職員マスタ!$E$6:$E$405,$AP2794)&lt;&gt;"",$Q2794&lt;&gt;INDEX(職員マスタ!$E$6:$E$405,$AP2794)),"子の生年月日がマスタと相違／","")&amp;IF(AND($L2794&lt;&gt;"",INDEX(職員マスタ!$G$6:$G$405,$AP2794)&lt;&gt;"",$L2794&lt;&gt;INDEX(職員マスタ!$G$6:$G$405,$AP2794)),"時短開始日がマスタと相違／","")&amp;IF(AND($M2794&lt;&gt;"",INDEX(職員マスタ!$H$6:$H$405,$AP2794)&lt;&gt;"",$M2794&lt;&gt;INDEX(職員マスタ!$H$6:$H$405,$AP2794)),"時短終了日がマスタと相違／","")))&amp;IF(AND($B2794&lt;&gt;"",$E2794=""),"報酬額が未入力／","")&amp;IF(N($U2794)&gt;0,"申請書に入力エラーが残っています／","")&amp;IF(AND($B2794&lt;&gt;"",$AQ2794&lt;&gt;""),IF(COUNTIFS($B$6:$B$3005,$B2794,$C$6:$C$3005,$C2794,$D$6:$D$3005,$D2794)&gt;1,"同じ月の請求が重複しています／",""),"")&amp;IF(AND(N($E2794)&gt;0,$AB2794&lt;&gt;"",$AB2794&lt;&gt;"×",$AE2794=0,$AD2794=""),"計算額が下限以下のため不支給／",""))</f>
        <v/>
      </c>
      <c r="AN2794" s="12" t="n"/>
      <c r="AO2794" s="14">
        <f>IF($AF2794="保留中",COUNTIF($AF$6:$AF2794,"保留中"),"")</f>
        <v/>
      </c>
      <c r="AP2794" s="14">
        <f>IF($AQ2794="","",IF(SUMPRODUCT(MAX((職員マスタ!$A$6:$A$405=$B2794)*(((職員マスタ!$G$6:$G$405="")+(職員マスタ!$G$6:$G$405&lt;=EOMONTH($AQ2794,0)))&gt;0)*(((職員マスタ!$H$6:$H$405="")+(職員マスタ!$H$6:$H$405&gt;=$AQ2794))&gt;0)*(ROW(職員マスタ!$A$6:$A$405)-5)))&gt;0,SUMPRODUCT(MAX((職員マスタ!$A$6:$A$405=$B2794)*(((職員マスタ!$G$6:$G$405="")+(職員マスタ!$G$6:$G$405&lt;=EOMONTH($AQ2794,0)))&gt;0)*(((職員マスタ!$H$6:$H$405="")+(職員マスタ!$H$6:$H$405&gt;=$AQ2794))&gt;0)*(ROW(職員マスタ!$A$6:$A$405)-5))),IFERROR(MATCH($B2794,職員マスタ!$A$6:$A$405,0),"")))</f>
        <v/>
      </c>
      <c r="AQ2794" s="16">
        <f>IF(OR($B2794="",$C2794="",$D2794=""),"",DATE($C2794+2018,$D2794,1))</f>
        <v/>
      </c>
    </row>
    <row r="2795">
      <c r="A2795" s="11" t="n"/>
      <c r="B2795" s="12" t="n"/>
      <c r="C2795" s="12" t="n"/>
      <c r="D2795" s="12" t="n"/>
      <c r="E2795" s="13" t="n"/>
      <c r="F2795" s="12" t="n"/>
      <c r="G2795" s="13" t="n"/>
      <c r="H2795" s="12" t="n"/>
      <c r="I2795" s="12" t="n"/>
      <c r="J2795" s="12" t="n"/>
      <c r="K2795" s="12" t="n"/>
      <c r="L2795" s="11" t="n"/>
      <c r="M2795" s="11" t="n"/>
      <c r="N2795" s="11" t="n"/>
      <c r="O2795" s="11" t="n"/>
      <c r="P2795" s="12" t="n"/>
      <c r="Q2795" s="11" t="n"/>
      <c r="R2795" s="12" t="n"/>
      <c r="S2795" s="11" t="n"/>
      <c r="T2795" s="12" t="n"/>
      <c r="U2795" s="12" t="n"/>
      <c r="V2795" s="12" t="n"/>
      <c r="W2795" s="13" t="n"/>
      <c r="X2795" s="14">
        <f>IF($AP2795="",IF($B2795="","",$H2795),IF(INDEX(職員マスタ!$B$6:$B$405,$AP2795)="",$H2795,INDEX(職員マスタ!$B$6:$B$405,$AP2795)))</f>
        <v/>
      </c>
      <c r="Y2795" s="14">
        <f>IF($AP2795="",IF($B2795="","",$R2795),IF(INDEX(職員マスタ!$C$6:$C$405,$AP2795)="",$R2795,INDEX(職員マスタ!$C$6:$C$405,$AP2795)))</f>
        <v/>
      </c>
      <c r="Z2795" s="14">
        <f>IF($AQ2795="","","R"&amp;$C2795&amp;"."&amp;$D2795)</f>
        <v/>
      </c>
      <c r="AA2795" s="15">
        <f>IF(IF($AP2795="",FALSE,INDEX(職員マスタ!$K$6:$K$405,$AP2795)&lt;&gt;""),INDEX(職員マスタ!$K$6:$K$405,$AP2795),IF(N($W2795)&gt;0,$W2795,""))</f>
        <v/>
      </c>
      <c r="AB2795" s="14">
        <f>IF(OR($E2795="",$AA2795=""),"",IF($E2795&gt;=$AA2795,"×",IF($E2795&gt;=$AA2795*設定!$C$5,"△","○")))</f>
        <v/>
      </c>
      <c r="AC2795" s="15">
        <f>IF($AB2795="","",IF($AB2795="×",0,IF($AB2795="○",ROUNDDOWN($E2795*設定!$C$4,0),ROUNDDOWN($E2795*ROUND((9*$AA2795-9*$E2795)/(10*$E2795),4),0))))</f>
        <v/>
      </c>
      <c r="AD2795" s="13" t="n"/>
      <c r="AE2795" s="15">
        <f>IF($B2795="","",IF($AD2795&lt;&gt;"",$AD2795,IF($AC2795="","",IF($AC2795&lt;=設定!$C$3,0,$AC2795))))</f>
        <v/>
      </c>
      <c r="AF2795" s="14">
        <f>IF($B2795="","",IF(AND($AG2795&lt;&gt;"",$AI2795="",$AL2795=""),"保留中",IF($AL2795&lt;&gt;"",IF(N($AE2795)&gt;0,"支給済","不支給"),IF($AE2795="","要確認",IF($AE2795=0,"不支給","未処理")))))</f>
        <v/>
      </c>
      <c r="AG2795" s="12" t="n"/>
      <c r="AH2795" s="11" t="n"/>
      <c r="AI2795" s="11" t="n"/>
      <c r="AJ2795" s="11" t="n"/>
      <c r="AK2795" s="14">
        <f>IF(AND($AF2795="保留中",$AH2795&lt;&gt;""),TODAY()-$AH2795,"")</f>
        <v/>
      </c>
      <c r="AL2795" s="12" t="n"/>
      <c r="AM2795" s="14">
        <f>IF($B2795="","",IF($AQ2795="","対象年月が未入力／","")&amp;IF($B2795="","",IF($AP2795="","職員マスタに未登録の職員番号／",IF($AA2795="","標準報酬月額が未登録／","")&amp;IF(AND($AQ2795&lt;&gt;"",OR(AND(INDEX(職員マスタ!$G$6:$G$405,$AP2795)&lt;&gt;"",INDEX(職員マスタ!$G$6:$G$405,$AP2795)&gt;EOMONTH($AQ2795,0)),AND(INDEX(職員マスタ!$H$6:$H$405,$AP2795)&lt;&gt;"",INDEX(職員マスタ!$H$6:$H$405,$AP2795)&lt;$AQ2795))),"対象月が時短期間外／","")&amp;IF(AND(INDEX(職員マスタ!$K$6:$K$405,$AP2795)&lt;&gt;"",N($W2795)&gt;0,INDEX(職員マスタ!$K$6:$K$405,$AP2795)&lt;&gt;$W2795),"標準報酬月額が申請書と相違（台帳"&amp;TEXT(INDEX(職員マスタ!$K$6:$K$405,$AP2795),"#,##0")&amp;"円／申請書"&amp;TEXT($W2795,"#,##0")&amp;"円）／","")&amp;IF(AND(INDEX(職員マスタ!$F$6:$F$405,$AP2795)&lt;&gt;"",$AQ2795&lt;&gt;"",INDEX(職員マスタ!$F$6:$F$405,$AP2795)&lt;$AQ2795),"対象月に子が2歳到達済／","")&amp;IF(AND($H2795&lt;&gt;"",INDEX(職員マスタ!$B$6:$B$405,$AP2795)&lt;&gt;"",SUBSTITUTE(SUBSTITUTE($H2795," ","")," ","")&lt;&gt;SUBSTITUTE(SUBSTITUTE(INDEX(職員マスタ!$B$6:$B$405,$AP2795)," ","")," ","")),"氏名がマスタと相違／","")&amp;IF(AND($Q2795&lt;&gt;"",INDEX(職員マスタ!$E$6:$E$405,$AP2795)&lt;&gt;"",$Q2795&lt;&gt;INDEX(職員マスタ!$E$6:$E$405,$AP2795)),"子の生年月日がマスタと相違／","")&amp;IF(AND($L2795&lt;&gt;"",INDEX(職員マスタ!$G$6:$G$405,$AP2795)&lt;&gt;"",$L2795&lt;&gt;INDEX(職員マスタ!$G$6:$G$405,$AP2795)),"時短開始日がマスタと相違／","")&amp;IF(AND($M2795&lt;&gt;"",INDEX(職員マスタ!$H$6:$H$405,$AP2795)&lt;&gt;"",$M2795&lt;&gt;INDEX(職員マスタ!$H$6:$H$405,$AP2795)),"時短終了日がマスタと相違／","")))&amp;IF(AND($B2795&lt;&gt;"",$E2795=""),"報酬額が未入力／","")&amp;IF(N($U2795)&gt;0,"申請書に入力エラーが残っています／","")&amp;IF(AND($B2795&lt;&gt;"",$AQ2795&lt;&gt;""),IF(COUNTIFS($B$6:$B$3005,$B2795,$C$6:$C$3005,$C2795,$D$6:$D$3005,$D2795)&gt;1,"同じ月の請求が重複しています／",""),"")&amp;IF(AND(N($E2795)&gt;0,$AB2795&lt;&gt;"",$AB2795&lt;&gt;"×",$AE2795=0,$AD2795=""),"計算額が下限以下のため不支給／",""))</f>
        <v/>
      </c>
      <c r="AN2795" s="12" t="n"/>
      <c r="AO2795" s="14">
        <f>IF($AF2795="保留中",COUNTIF($AF$6:$AF2795,"保留中"),"")</f>
        <v/>
      </c>
      <c r="AP2795" s="14">
        <f>IF($AQ2795="","",IF(SUMPRODUCT(MAX((職員マスタ!$A$6:$A$405=$B2795)*(((職員マスタ!$G$6:$G$405="")+(職員マスタ!$G$6:$G$405&lt;=EOMONTH($AQ2795,0)))&gt;0)*(((職員マスタ!$H$6:$H$405="")+(職員マスタ!$H$6:$H$405&gt;=$AQ2795))&gt;0)*(ROW(職員マスタ!$A$6:$A$405)-5)))&gt;0,SUMPRODUCT(MAX((職員マスタ!$A$6:$A$405=$B2795)*(((職員マスタ!$G$6:$G$405="")+(職員マスタ!$G$6:$G$405&lt;=EOMONTH($AQ2795,0)))&gt;0)*(((職員マスタ!$H$6:$H$405="")+(職員マスタ!$H$6:$H$405&gt;=$AQ2795))&gt;0)*(ROW(職員マスタ!$A$6:$A$405)-5))),IFERROR(MATCH($B2795,職員マスタ!$A$6:$A$405,0),"")))</f>
        <v/>
      </c>
      <c r="AQ2795" s="16">
        <f>IF(OR($B2795="",$C2795="",$D2795=""),"",DATE($C2795+2018,$D2795,1))</f>
        <v/>
      </c>
    </row>
    <row r="2796">
      <c r="A2796" s="11" t="n"/>
      <c r="B2796" s="12" t="n"/>
      <c r="C2796" s="12" t="n"/>
      <c r="D2796" s="12" t="n"/>
      <c r="E2796" s="13" t="n"/>
      <c r="F2796" s="12" t="n"/>
      <c r="G2796" s="13" t="n"/>
      <c r="H2796" s="12" t="n"/>
      <c r="I2796" s="12" t="n"/>
      <c r="J2796" s="12" t="n"/>
      <c r="K2796" s="12" t="n"/>
      <c r="L2796" s="11" t="n"/>
      <c r="M2796" s="11" t="n"/>
      <c r="N2796" s="11" t="n"/>
      <c r="O2796" s="11" t="n"/>
      <c r="P2796" s="12" t="n"/>
      <c r="Q2796" s="11" t="n"/>
      <c r="R2796" s="12" t="n"/>
      <c r="S2796" s="11" t="n"/>
      <c r="T2796" s="12" t="n"/>
      <c r="U2796" s="12" t="n"/>
      <c r="V2796" s="12" t="n"/>
      <c r="W2796" s="13" t="n"/>
      <c r="X2796" s="14">
        <f>IF($AP2796="",IF($B2796="","",$H2796),IF(INDEX(職員マスタ!$B$6:$B$405,$AP2796)="",$H2796,INDEX(職員マスタ!$B$6:$B$405,$AP2796)))</f>
        <v/>
      </c>
      <c r="Y2796" s="14">
        <f>IF($AP2796="",IF($B2796="","",$R2796),IF(INDEX(職員マスタ!$C$6:$C$405,$AP2796)="",$R2796,INDEX(職員マスタ!$C$6:$C$405,$AP2796)))</f>
        <v/>
      </c>
      <c r="Z2796" s="14">
        <f>IF($AQ2796="","","R"&amp;$C2796&amp;"."&amp;$D2796)</f>
        <v/>
      </c>
      <c r="AA2796" s="15">
        <f>IF(IF($AP2796="",FALSE,INDEX(職員マスタ!$K$6:$K$405,$AP2796)&lt;&gt;""),INDEX(職員マスタ!$K$6:$K$405,$AP2796),IF(N($W2796)&gt;0,$W2796,""))</f>
        <v/>
      </c>
      <c r="AB2796" s="14">
        <f>IF(OR($E2796="",$AA2796=""),"",IF($E2796&gt;=$AA2796,"×",IF($E2796&gt;=$AA2796*設定!$C$5,"△","○")))</f>
        <v/>
      </c>
      <c r="AC2796" s="15">
        <f>IF($AB2796="","",IF($AB2796="×",0,IF($AB2796="○",ROUNDDOWN($E2796*設定!$C$4,0),ROUNDDOWN($E2796*ROUND((9*$AA2796-9*$E2796)/(10*$E2796),4),0))))</f>
        <v/>
      </c>
      <c r="AD2796" s="13" t="n"/>
      <c r="AE2796" s="15">
        <f>IF($B2796="","",IF($AD2796&lt;&gt;"",$AD2796,IF($AC2796="","",IF($AC2796&lt;=設定!$C$3,0,$AC2796))))</f>
        <v/>
      </c>
      <c r="AF2796" s="14">
        <f>IF($B2796="","",IF(AND($AG2796&lt;&gt;"",$AI2796="",$AL2796=""),"保留中",IF($AL2796&lt;&gt;"",IF(N($AE2796)&gt;0,"支給済","不支給"),IF($AE2796="","要確認",IF($AE2796=0,"不支給","未処理")))))</f>
        <v/>
      </c>
      <c r="AG2796" s="12" t="n"/>
      <c r="AH2796" s="11" t="n"/>
      <c r="AI2796" s="11" t="n"/>
      <c r="AJ2796" s="11" t="n"/>
      <c r="AK2796" s="14">
        <f>IF(AND($AF2796="保留中",$AH2796&lt;&gt;""),TODAY()-$AH2796,"")</f>
        <v/>
      </c>
      <c r="AL2796" s="12" t="n"/>
      <c r="AM2796" s="14">
        <f>IF($B2796="","",IF($AQ2796="","対象年月が未入力／","")&amp;IF($B2796="","",IF($AP2796="","職員マスタに未登録の職員番号／",IF($AA2796="","標準報酬月額が未登録／","")&amp;IF(AND($AQ2796&lt;&gt;"",OR(AND(INDEX(職員マスタ!$G$6:$G$405,$AP2796)&lt;&gt;"",INDEX(職員マスタ!$G$6:$G$405,$AP2796)&gt;EOMONTH($AQ2796,0)),AND(INDEX(職員マスタ!$H$6:$H$405,$AP2796)&lt;&gt;"",INDEX(職員マスタ!$H$6:$H$405,$AP2796)&lt;$AQ2796))),"対象月が時短期間外／","")&amp;IF(AND(INDEX(職員マスタ!$K$6:$K$405,$AP2796)&lt;&gt;"",N($W2796)&gt;0,INDEX(職員マスタ!$K$6:$K$405,$AP2796)&lt;&gt;$W2796),"標準報酬月額が申請書と相違（台帳"&amp;TEXT(INDEX(職員マスタ!$K$6:$K$405,$AP2796),"#,##0")&amp;"円／申請書"&amp;TEXT($W2796,"#,##0")&amp;"円）／","")&amp;IF(AND(INDEX(職員マスタ!$F$6:$F$405,$AP2796)&lt;&gt;"",$AQ2796&lt;&gt;"",INDEX(職員マスタ!$F$6:$F$405,$AP2796)&lt;$AQ2796),"対象月に子が2歳到達済／","")&amp;IF(AND($H2796&lt;&gt;"",INDEX(職員マスタ!$B$6:$B$405,$AP2796)&lt;&gt;"",SUBSTITUTE(SUBSTITUTE($H2796," ","")," ","")&lt;&gt;SUBSTITUTE(SUBSTITUTE(INDEX(職員マスタ!$B$6:$B$405,$AP2796)," ","")," ","")),"氏名がマスタと相違／","")&amp;IF(AND($Q2796&lt;&gt;"",INDEX(職員マスタ!$E$6:$E$405,$AP2796)&lt;&gt;"",$Q2796&lt;&gt;INDEX(職員マスタ!$E$6:$E$405,$AP2796)),"子の生年月日がマスタと相違／","")&amp;IF(AND($L2796&lt;&gt;"",INDEX(職員マスタ!$G$6:$G$405,$AP2796)&lt;&gt;"",$L2796&lt;&gt;INDEX(職員マスタ!$G$6:$G$405,$AP2796)),"時短開始日がマスタと相違／","")&amp;IF(AND($M2796&lt;&gt;"",INDEX(職員マスタ!$H$6:$H$405,$AP2796)&lt;&gt;"",$M2796&lt;&gt;INDEX(職員マスタ!$H$6:$H$405,$AP2796)),"時短終了日がマスタと相違／","")))&amp;IF(AND($B2796&lt;&gt;"",$E2796=""),"報酬額が未入力／","")&amp;IF(N($U2796)&gt;0,"申請書に入力エラーが残っています／","")&amp;IF(AND($B2796&lt;&gt;"",$AQ2796&lt;&gt;""),IF(COUNTIFS($B$6:$B$3005,$B2796,$C$6:$C$3005,$C2796,$D$6:$D$3005,$D2796)&gt;1,"同じ月の請求が重複しています／",""),"")&amp;IF(AND(N($E2796)&gt;0,$AB2796&lt;&gt;"",$AB2796&lt;&gt;"×",$AE2796=0,$AD2796=""),"計算額が下限以下のため不支給／",""))</f>
        <v/>
      </c>
      <c r="AN2796" s="12" t="n"/>
      <c r="AO2796" s="14">
        <f>IF($AF2796="保留中",COUNTIF($AF$6:$AF2796,"保留中"),"")</f>
        <v/>
      </c>
      <c r="AP2796" s="14">
        <f>IF($AQ2796="","",IF(SUMPRODUCT(MAX((職員マスタ!$A$6:$A$405=$B2796)*(((職員マスタ!$G$6:$G$405="")+(職員マスタ!$G$6:$G$405&lt;=EOMONTH($AQ2796,0)))&gt;0)*(((職員マスタ!$H$6:$H$405="")+(職員マスタ!$H$6:$H$405&gt;=$AQ2796))&gt;0)*(ROW(職員マスタ!$A$6:$A$405)-5)))&gt;0,SUMPRODUCT(MAX((職員マスタ!$A$6:$A$405=$B2796)*(((職員マスタ!$G$6:$G$405="")+(職員マスタ!$G$6:$G$405&lt;=EOMONTH($AQ2796,0)))&gt;0)*(((職員マスタ!$H$6:$H$405="")+(職員マスタ!$H$6:$H$405&gt;=$AQ2796))&gt;0)*(ROW(職員マスタ!$A$6:$A$405)-5))),IFERROR(MATCH($B2796,職員マスタ!$A$6:$A$405,0),"")))</f>
        <v/>
      </c>
      <c r="AQ2796" s="16">
        <f>IF(OR($B2796="",$C2796="",$D2796=""),"",DATE($C2796+2018,$D2796,1))</f>
        <v/>
      </c>
    </row>
    <row r="2797">
      <c r="A2797" s="11" t="n"/>
      <c r="B2797" s="12" t="n"/>
      <c r="C2797" s="12" t="n"/>
      <c r="D2797" s="12" t="n"/>
      <c r="E2797" s="13" t="n"/>
      <c r="F2797" s="12" t="n"/>
      <c r="G2797" s="13" t="n"/>
      <c r="H2797" s="12" t="n"/>
      <c r="I2797" s="12" t="n"/>
      <c r="J2797" s="12" t="n"/>
      <c r="K2797" s="12" t="n"/>
      <c r="L2797" s="11" t="n"/>
      <c r="M2797" s="11" t="n"/>
      <c r="N2797" s="11" t="n"/>
      <c r="O2797" s="11" t="n"/>
      <c r="P2797" s="12" t="n"/>
      <c r="Q2797" s="11" t="n"/>
      <c r="R2797" s="12" t="n"/>
      <c r="S2797" s="11" t="n"/>
      <c r="T2797" s="12" t="n"/>
      <c r="U2797" s="12" t="n"/>
      <c r="V2797" s="12" t="n"/>
      <c r="W2797" s="13" t="n"/>
      <c r="X2797" s="14">
        <f>IF($AP2797="",IF($B2797="","",$H2797),IF(INDEX(職員マスタ!$B$6:$B$405,$AP2797)="",$H2797,INDEX(職員マスタ!$B$6:$B$405,$AP2797)))</f>
        <v/>
      </c>
      <c r="Y2797" s="14">
        <f>IF($AP2797="",IF($B2797="","",$R2797),IF(INDEX(職員マスタ!$C$6:$C$405,$AP2797)="",$R2797,INDEX(職員マスタ!$C$6:$C$405,$AP2797)))</f>
        <v/>
      </c>
      <c r="Z2797" s="14">
        <f>IF($AQ2797="","","R"&amp;$C2797&amp;"."&amp;$D2797)</f>
        <v/>
      </c>
      <c r="AA2797" s="15">
        <f>IF(IF($AP2797="",FALSE,INDEX(職員マスタ!$K$6:$K$405,$AP2797)&lt;&gt;""),INDEX(職員マスタ!$K$6:$K$405,$AP2797),IF(N($W2797)&gt;0,$W2797,""))</f>
        <v/>
      </c>
      <c r="AB2797" s="14">
        <f>IF(OR($E2797="",$AA2797=""),"",IF($E2797&gt;=$AA2797,"×",IF($E2797&gt;=$AA2797*設定!$C$5,"△","○")))</f>
        <v/>
      </c>
      <c r="AC2797" s="15">
        <f>IF($AB2797="","",IF($AB2797="×",0,IF($AB2797="○",ROUNDDOWN($E2797*設定!$C$4,0),ROUNDDOWN($E2797*ROUND((9*$AA2797-9*$E2797)/(10*$E2797),4),0))))</f>
        <v/>
      </c>
      <c r="AD2797" s="13" t="n"/>
      <c r="AE2797" s="15">
        <f>IF($B2797="","",IF($AD2797&lt;&gt;"",$AD2797,IF($AC2797="","",IF($AC2797&lt;=設定!$C$3,0,$AC2797))))</f>
        <v/>
      </c>
      <c r="AF2797" s="14">
        <f>IF($B2797="","",IF(AND($AG2797&lt;&gt;"",$AI2797="",$AL2797=""),"保留中",IF($AL2797&lt;&gt;"",IF(N($AE2797)&gt;0,"支給済","不支給"),IF($AE2797="","要確認",IF($AE2797=0,"不支給","未処理")))))</f>
        <v/>
      </c>
      <c r="AG2797" s="12" t="n"/>
      <c r="AH2797" s="11" t="n"/>
      <c r="AI2797" s="11" t="n"/>
      <c r="AJ2797" s="11" t="n"/>
      <c r="AK2797" s="14">
        <f>IF(AND($AF2797="保留中",$AH2797&lt;&gt;""),TODAY()-$AH2797,"")</f>
        <v/>
      </c>
      <c r="AL2797" s="12" t="n"/>
      <c r="AM2797" s="14">
        <f>IF($B2797="","",IF($AQ2797="","対象年月が未入力／","")&amp;IF($B2797="","",IF($AP2797="","職員マスタに未登録の職員番号／",IF($AA2797="","標準報酬月額が未登録／","")&amp;IF(AND($AQ2797&lt;&gt;"",OR(AND(INDEX(職員マスタ!$G$6:$G$405,$AP2797)&lt;&gt;"",INDEX(職員マスタ!$G$6:$G$405,$AP2797)&gt;EOMONTH($AQ2797,0)),AND(INDEX(職員マスタ!$H$6:$H$405,$AP2797)&lt;&gt;"",INDEX(職員マスタ!$H$6:$H$405,$AP2797)&lt;$AQ2797))),"対象月が時短期間外／","")&amp;IF(AND(INDEX(職員マスタ!$K$6:$K$405,$AP2797)&lt;&gt;"",N($W2797)&gt;0,INDEX(職員マスタ!$K$6:$K$405,$AP2797)&lt;&gt;$W2797),"標準報酬月額が申請書と相違（台帳"&amp;TEXT(INDEX(職員マスタ!$K$6:$K$405,$AP2797),"#,##0")&amp;"円／申請書"&amp;TEXT($W2797,"#,##0")&amp;"円）／","")&amp;IF(AND(INDEX(職員マスタ!$F$6:$F$405,$AP2797)&lt;&gt;"",$AQ2797&lt;&gt;"",INDEX(職員マスタ!$F$6:$F$405,$AP2797)&lt;$AQ2797),"対象月に子が2歳到達済／","")&amp;IF(AND($H2797&lt;&gt;"",INDEX(職員マスタ!$B$6:$B$405,$AP2797)&lt;&gt;"",SUBSTITUTE(SUBSTITUTE($H2797," ","")," ","")&lt;&gt;SUBSTITUTE(SUBSTITUTE(INDEX(職員マスタ!$B$6:$B$405,$AP2797)," ","")," ","")),"氏名がマスタと相違／","")&amp;IF(AND($Q2797&lt;&gt;"",INDEX(職員マスタ!$E$6:$E$405,$AP2797)&lt;&gt;"",$Q2797&lt;&gt;INDEX(職員マスタ!$E$6:$E$405,$AP2797)),"子の生年月日がマスタと相違／","")&amp;IF(AND($L2797&lt;&gt;"",INDEX(職員マスタ!$G$6:$G$405,$AP2797)&lt;&gt;"",$L2797&lt;&gt;INDEX(職員マスタ!$G$6:$G$405,$AP2797)),"時短開始日がマスタと相違／","")&amp;IF(AND($M2797&lt;&gt;"",INDEX(職員マスタ!$H$6:$H$405,$AP2797)&lt;&gt;"",$M2797&lt;&gt;INDEX(職員マスタ!$H$6:$H$405,$AP2797)),"時短終了日がマスタと相違／","")))&amp;IF(AND($B2797&lt;&gt;"",$E2797=""),"報酬額が未入力／","")&amp;IF(N($U2797)&gt;0,"申請書に入力エラーが残っています／","")&amp;IF(AND($B2797&lt;&gt;"",$AQ2797&lt;&gt;""),IF(COUNTIFS($B$6:$B$3005,$B2797,$C$6:$C$3005,$C2797,$D$6:$D$3005,$D2797)&gt;1,"同じ月の請求が重複しています／",""),"")&amp;IF(AND(N($E2797)&gt;0,$AB2797&lt;&gt;"",$AB2797&lt;&gt;"×",$AE2797=0,$AD2797=""),"計算額が下限以下のため不支給／",""))</f>
        <v/>
      </c>
      <c r="AN2797" s="12" t="n"/>
      <c r="AO2797" s="14">
        <f>IF($AF2797="保留中",COUNTIF($AF$6:$AF2797,"保留中"),"")</f>
        <v/>
      </c>
      <c r="AP2797" s="14">
        <f>IF($AQ2797="","",IF(SUMPRODUCT(MAX((職員マスタ!$A$6:$A$405=$B2797)*(((職員マスタ!$G$6:$G$405="")+(職員マスタ!$G$6:$G$405&lt;=EOMONTH($AQ2797,0)))&gt;0)*(((職員マスタ!$H$6:$H$405="")+(職員マスタ!$H$6:$H$405&gt;=$AQ2797))&gt;0)*(ROW(職員マスタ!$A$6:$A$405)-5)))&gt;0,SUMPRODUCT(MAX((職員マスタ!$A$6:$A$405=$B2797)*(((職員マスタ!$G$6:$G$405="")+(職員マスタ!$G$6:$G$405&lt;=EOMONTH($AQ2797,0)))&gt;0)*(((職員マスタ!$H$6:$H$405="")+(職員マスタ!$H$6:$H$405&gt;=$AQ2797))&gt;0)*(ROW(職員マスタ!$A$6:$A$405)-5))),IFERROR(MATCH($B2797,職員マスタ!$A$6:$A$405,0),"")))</f>
        <v/>
      </c>
      <c r="AQ2797" s="16">
        <f>IF(OR($B2797="",$C2797="",$D2797=""),"",DATE($C2797+2018,$D2797,1))</f>
        <v/>
      </c>
    </row>
    <row r="2798">
      <c r="A2798" s="11" t="n"/>
      <c r="B2798" s="12" t="n"/>
      <c r="C2798" s="12" t="n"/>
      <c r="D2798" s="12" t="n"/>
      <c r="E2798" s="13" t="n"/>
      <c r="F2798" s="12" t="n"/>
      <c r="G2798" s="13" t="n"/>
      <c r="H2798" s="12" t="n"/>
      <c r="I2798" s="12" t="n"/>
      <c r="J2798" s="12" t="n"/>
      <c r="K2798" s="12" t="n"/>
      <c r="L2798" s="11" t="n"/>
      <c r="M2798" s="11" t="n"/>
      <c r="N2798" s="11" t="n"/>
      <c r="O2798" s="11" t="n"/>
      <c r="P2798" s="12" t="n"/>
      <c r="Q2798" s="11" t="n"/>
      <c r="R2798" s="12" t="n"/>
      <c r="S2798" s="11" t="n"/>
      <c r="T2798" s="12" t="n"/>
      <c r="U2798" s="12" t="n"/>
      <c r="V2798" s="12" t="n"/>
      <c r="W2798" s="13" t="n"/>
      <c r="X2798" s="14">
        <f>IF($AP2798="",IF($B2798="","",$H2798),IF(INDEX(職員マスタ!$B$6:$B$405,$AP2798)="",$H2798,INDEX(職員マスタ!$B$6:$B$405,$AP2798)))</f>
        <v/>
      </c>
      <c r="Y2798" s="14">
        <f>IF($AP2798="",IF($B2798="","",$R2798),IF(INDEX(職員マスタ!$C$6:$C$405,$AP2798)="",$R2798,INDEX(職員マスタ!$C$6:$C$405,$AP2798)))</f>
        <v/>
      </c>
      <c r="Z2798" s="14">
        <f>IF($AQ2798="","","R"&amp;$C2798&amp;"."&amp;$D2798)</f>
        <v/>
      </c>
      <c r="AA2798" s="15">
        <f>IF(IF($AP2798="",FALSE,INDEX(職員マスタ!$K$6:$K$405,$AP2798)&lt;&gt;""),INDEX(職員マスタ!$K$6:$K$405,$AP2798),IF(N($W2798)&gt;0,$W2798,""))</f>
        <v/>
      </c>
      <c r="AB2798" s="14">
        <f>IF(OR($E2798="",$AA2798=""),"",IF($E2798&gt;=$AA2798,"×",IF($E2798&gt;=$AA2798*設定!$C$5,"△","○")))</f>
        <v/>
      </c>
      <c r="AC2798" s="15">
        <f>IF($AB2798="","",IF($AB2798="×",0,IF($AB2798="○",ROUNDDOWN($E2798*設定!$C$4,0),ROUNDDOWN($E2798*ROUND((9*$AA2798-9*$E2798)/(10*$E2798),4),0))))</f>
        <v/>
      </c>
      <c r="AD2798" s="13" t="n"/>
      <c r="AE2798" s="15">
        <f>IF($B2798="","",IF($AD2798&lt;&gt;"",$AD2798,IF($AC2798="","",IF($AC2798&lt;=設定!$C$3,0,$AC2798))))</f>
        <v/>
      </c>
      <c r="AF2798" s="14">
        <f>IF($B2798="","",IF(AND($AG2798&lt;&gt;"",$AI2798="",$AL2798=""),"保留中",IF($AL2798&lt;&gt;"",IF(N($AE2798)&gt;0,"支給済","不支給"),IF($AE2798="","要確認",IF($AE2798=0,"不支給","未処理")))))</f>
        <v/>
      </c>
      <c r="AG2798" s="12" t="n"/>
      <c r="AH2798" s="11" t="n"/>
      <c r="AI2798" s="11" t="n"/>
      <c r="AJ2798" s="11" t="n"/>
      <c r="AK2798" s="14">
        <f>IF(AND($AF2798="保留中",$AH2798&lt;&gt;""),TODAY()-$AH2798,"")</f>
        <v/>
      </c>
      <c r="AL2798" s="12" t="n"/>
      <c r="AM2798" s="14">
        <f>IF($B2798="","",IF($AQ2798="","対象年月が未入力／","")&amp;IF($B2798="","",IF($AP2798="","職員マスタに未登録の職員番号／",IF($AA2798="","標準報酬月額が未登録／","")&amp;IF(AND($AQ2798&lt;&gt;"",OR(AND(INDEX(職員マスタ!$G$6:$G$405,$AP2798)&lt;&gt;"",INDEX(職員マスタ!$G$6:$G$405,$AP2798)&gt;EOMONTH($AQ2798,0)),AND(INDEX(職員マスタ!$H$6:$H$405,$AP2798)&lt;&gt;"",INDEX(職員マスタ!$H$6:$H$405,$AP2798)&lt;$AQ2798))),"対象月が時短期間外／","")&amp;IF(AND(INDEX(職員マスタ!$K$6:$K$405,$AP2798)&lt;&gt;"",N($W2798)&gt;0,INDEX(職員マスタ!$K$6:$K$405,$AP2798)&lt;&gt;$W2798),"標準報酬月額が申請書と相違（台帳"&amp;TEXT(INDEX(職員マスタ!$K$6:$K$405,$AP2798),"#,##0")&amp;"円／申請書"&amp;TEXT($W2798,"#,##0")&amp;"円）／","")&amp;IF(AND(INDEX(職員マスタ!$F$6:$F$405,$AP2798)&lt;&gt;"",$AQ2798&lt;&gt;"",INDEX(職員マスタ!$F$6:$F$405,$AP2798)&lt;$AQ2798),"対象月に子が2歳到達済／","")&amp;IF(AND($H2798&lt;&gt;"",INDEX(職員マスタ!$B$6:$B$405,$AP2798)&lt;&gt;"",SUBSTITUTE(SUBSTITUTE($H2798," ","")," ","")&lt;&gt;SUBSTITUTE(SUBSTITUTE(INDEX(職員マスタ!$B$6:$B$405,$AP2798)," ","")," ","")),"氏名がマスタと相違／","")&amp;IF(AND($Q2798&lt;&gt;"",INDEX(職員マスタ!$E$6:$E$405,$AP2798)&lt;&gt;"",$Q2798&lt;&gt;INDEX(職員マスタ!$E$6:$E$405,$AP2798)),"子の生年月日がマスタと相違／","")&amp;IF(AND($L2798&lt;&gt;"",INDEX(職員マスタ!$G$6:$G$405,$AP2798)&lt;&gt;"",$L2798&lt;&gt;INDEX(職員マスタ!$G$6:$G$405,$AP2798)),"時短開始日がマスタと相違／","")&amp;IF(AND($M2798&lt;&gt;"",INDEX(職員マスタ!$H$6:$H$405,$AP2798)&lt;&gt;"",$M2798&lt;&gt;INDEX(職員マスタ!$H$6:$H$405,$AP2798)),"時短終了日がマスタと相違／","")))&amp;IF(AND($B2798&lt;&gt;"",$E2798=""),"報酬額が未入力／","")&amp;IF(N($U2798)&gt;0,"申請書に入力エラーが残っています／","")&amp;IF(AND($B2798&lt;&gt;"",$AQ2798&lt;&gt;""),IF(COUNTIFS($B$6:$B$3005,$B2798,$C$6:$C$3005,$C2798,$D$6:$D$3005,$D2798)&gt;1,"同じ月の請求が重複しています／",""),"")&amp;IF(AND(N($E2798)&gt;0,$AB2798&lt;&gt;"",$AB2798&lt;&gt;"×",$AE2798=0,$AD2798=""),"計算額が下限以下のため不支給／",""))</f>
        <v/>
      </c>
      <c r="AN2798" s="12" t="n"/>
      <c r="AO2798" s="14">
        <f>IF($AF2798="保留中",COUNTIF($AF$6:$AF2798,"保留中"),"")</f>
        <v/>
      </c>
      <c r="AP2798" s="14">
        <f>IF($AQ2798="","",IF(SUMPRODUCT(MAX((職員マスタ!$A$6:$A$405=$B2798)*(((職員マスタ!$G$6:$G$405="")+(職員マスタ!$G$6:$G$405&lt;=EOMONTH($AQ2798,0)))&gt;0)*(((職員マスタ!$H$6:$H$405="")+(職員マスタ!$H$6:$H$405&gt;=$AQ2798))&gt;0)*(ROW(職員マスタ!$A$6:$A$405)-5)))&gt;0,SUMPRODUCT(MAX((職員マスタ!$A$6:$A$405=$B2798)*(((職員マスタ!$G$6:$G$405="")+(職員マスタ!$G$6:$G$405&lt;=EOMONTH($AQ2798,0)))&gt;0)*(((職員マスタ!$H$6:$H$405="")+(職員マスタ!$H$6:$H$405&gt;=$AQ2798))&gt;0)*(ROW(職員マスタ!$A$6:$A$405)-5))),IFERROR(MATCH($B2798,職員マスタ!$A$6:$A$405,0),"")))</f>
        <v/>
      </c>
      <c r="AQ2798" s="16">
        <f>IF(OR($B2798="",$C2798="",$D2798=""),"",DATE($C2798+2018,$D2798,1))</f>
        <v/>
      </c>
    </row>
    <row r="2799">
      <c r="A2799" s="11" t="n"/>
      <c r="B2799" s="12" t="n"/>
      <c r="C2799" s="12" t="n"/>
      <c r="D2799" s="12" t="n"/>
      <c r="E2799" s="13" t="n"/>
      <c r="F2799" s="12" t="n"/>
      <c r="G2799" s="13" t="n"/>
      <c r="H2799" s="12" t="n"/>
      <c r="I2799" s="12" t="n"/>
      <c r="J2799" s="12" t="n"/>
      <c r="K2799" s="12" t="n"/>
      <c r="L2799" s="11" t="n"/>
      <c r="M2799" s="11" t="n"/>
      <c r="N2799" s="11" t="n"/>
      <c r="O2799" s="11" t="n"/>
      <c r="P2799" s="12" t="n"/>
      <c r="Q2799" s="11" t="n"/>
      <c r="R2799" s="12" t="n"/>
      <c r="S2799" s="11" t="n"/>
      <c r="T2799" s="12" t="n"/>
      <c r="U2799" s="12" t="n"/>
      <c r="V2799" s="12" t="n"/>
      <c r="W2799" s="13" t="n"/>
      <c r="X2799" s="14">
        <f>IF($AP2799="",IF($B2799="","",$H2799),IF(INDEX(職員マスタ!$B$6:$B$405,$AP2799)="",$H2799,INDEX(職員マスタ!$B$6:$B$405,$AP2799)))</f>
        <v/>
      </c>
      <c r="Y2799" s="14">
        <f>IF($AP2799="",IF($B2799="","",$R2799),IF(INDEX(職員マスタ!$C$6:$C$405,$AP2799)="",$R2799,INDEX(職員マスタ!$C$6:$C$405,$AP2799)))</f>
        <v/>
      </c>
      <c r="Z2799" s="14">
        <f>IF($AQ2799="","","R"&amp;$C2799&amp;"."&amp;$D2799)</f>
        <v/>
      </c>
      <c r="AA2799" s="15">
        <f>IF(IF($AP2799="",FALSE,INDEX(職員マスタ!$K$6:$K$405,$AP2799)&lt;&gt;""),INDEX(職員マスタ!$K$6:$K$405,$AP2799),IF(N($W2799)&gt;0,$W2799,""))</f>
        <v/>
      </c>
      <c r="AB2799" s="14">
        <f>IF(OR($E2799="",$AA2799=""),"",IF($E2799&gt;=$AA2799,"×",IF($E2799&gt;=$AA2799*設定!$C$5,"△","○")))</f>
        <v/>
      </c>
      <c r="AC2799" s="15">
        <f>IF($AB2799="","",IF($AB2799="×",0,IF($AB2799="○",ROUNDDOWN($E2799*設定!$C$4,0),ROUNDDOWN($E2799*ROUND((9*$AA2799-9*$E2799)/(10*$E2799),4),0))))</f>
        <v/>
      </c>
      <c r="AD2799" s="13" t="n"/>
      <c r="AE2799" s="15">
        <f>IF($B2799="","",IF($AD2799&lt;&gt;"",$AD2799,IF($AC2799="","",IF($AC2799&lt;=設定!$C$3,0,$AC2799))))</f>
        <v/>
      </c>
      <c r="AF2799" s="14">
        <f>IF($B2799="","",IF(AND($AG2799&lt;&gt;"",$AI2799="",$AL2799=""),"保留中",IF($AL2799&lt;&gt;"",IF(N($AE2799)&gt;0,"支給済","不支給"),IF($AE2799="","要確認",IF($AE2799=0,"不支給","未処理")))))</f>
        <v/>
      </c>
      <c r="AG2799" s="12" t="n"/>
      <c r="AH2799" s="11" t="n"/>
      <c r="AI2799" s="11" t="n"/>
      <c r="AJ2799" s="11" t="n"/>
      <c r="AK2799" s="14">
        <f>IF(AND($AF2799="保留中",$AH2799&lt;&gt;""),TODAY()-$AH2799,"")</f>
        <v/>
      </c>
      <c r="AL2799" s="12" t="n"/>
      <c r="AM2799" s="14">
        <f>IF($B2799="","",IF($AQ2799="","対象年月が未入力／","")&amp;IF($B2799="","",IF($AP2799="","職員マスタに未登録の職員番号／",IF($AA2799="","標準報酬月額が未登録／","")&amp;IF(AND($AQ2799&lt;&gt;"",OR(AND(INDEX(職員マスタ!$G$6:$G$405,$AP2799)&lt;&gt;"",INDEX(職員マスタ!$G$6:$G$405,$AP2799)&gt;EOMONTH($AQ2799,0)),AND(INDEX(職員マスタ!$H$6:$H$405,$AP2799)&lt;&gt;"",INDEX(職員マスタ!$H$6:$H$405,$AP2799)&lt;$AQ2799))),"対象月が時短期間外／","")&amp;IF(AND(INDEX(職員マスタ!$K$6:$K$405,$AP2799)&lt;&gt;"",N($W2799)&gt;0,INDEX(職員マスタ!$K$6:$K$405,$AP2799)&lt;&gt;$W2799),"標準報酬月額が申請書と相違（台帳"&amp;TEXT(INDEX(職員マスタ!$K$6:$K$405,$AP2799),"#,##0")&amp;"円／申請書"&amp;TEXT($W2799,"#,##0")&amp;"円）／","")&amp;IF(AND(INDEX(職員マスタ!$F$6:$F$405,$AP2799)&lt;&gt;"",$AQ2799&lt;&gt;"",INDEX(職員マスタ!$F$6:$F$405,$AP2799)&lt;$AQ2799),"対象月に子が2歳到達済／","")&amp;IF(AND($H2799&lt;&gt;"",INDEX(職員マスタ!$B$6:$B$405,$AP2799)&lt;&gt;"",SUBSTITUTE(SUBSTITUTE($H2799," ","")," ","")&lt;&gt;SUBSTITUTE(SUBSTITUTE(INDEX(職員マスタ!$B$6:$B$405,$AP2799)," ","")," ","")),"氏名がマスタと相違／","")&amp;IF(AND($Q2799&lt;&gt;"",INDEX(職員マスタ!$E$6:$E$405,$AP2799)&lt;&gt;"",$Q2799&lt;&gt;INDEX(職員マスタ!$E$6:$E$405,$AP2799)),"子の生年月日がマスタと相違／","")&amp;IF(AND($L2799&lt;&gt;"",INDEX(職員マスタ!$G$6:$G$405,$AP2799)&lt;&gt;"",$L2799&lt;&gt;INDEX(職員マスタ!$G$6:$G$405,$AP2799)),"時短開始日がマスタと相違／","")&amp;IF(AND($M2799&lt;&gt;"",INDEX(職員マスタ!$H$6:$H$405,$AP2799)&lt;&gt;"",$M2799&lt;&gt;INDEX(職員マスタ!$H$6:$H$405,$AP2799)),"時短終了日がマスタと相違／","")))&amp;IF(AND($B2799&lt;&gt;"",$E2799=""),"報酬額が未入力／","")&amp;IF(N($U2799)&gt;0,"申請書に入力エラーが残っています／","")&amp;IF(AND($B2799&lt;&gt;"",$AQ2799&lt;&gt;""),IF(COUNTIFS($B$6:$B$3005,$B2799,$C$6:$C$3005,$C2799,$D$6:$D$3005,$D2799)&gt;1,"同じ月の請求が重複しています／",""),"")&amp;IF(AND(N($E2799)&gt;0,$AB2799&lt;&gt;"",$AB2799&lt;&gt;"×",$AE2799=0,$AD2799=""),"計算額が下限以下のため不支給／",""))</f>
        <v/>
      </c>
      <c r="AN2799" s="12" t="n"/>
      <c r="AO2799" s="14">
        <f>IF($AF2799="保留中",COUNTIF($AF$6:$AF2799,"保留中"),"")</f>
        <v/>
      </c>
      <c r="AP2799" s="14">
        <f>IF($AQ2799="","",IF(SUMPRODUCT(MAX((職員マスタ!$A$6:$A$405=$B2799)*(((職員マスタ!$G$6:$G$405="")+(職員マスタ!$G$6:$G$405&lt;=EOMONTH($AQ2799,0)))&gt;0)*(((職員マスタ!$H$6:$H$405="")+(職員マスタ!$H$6:$H$405&gt;=$AQ2799))&gt;0)*(ROW(職員マスタ!$A$6:$A$405)-5)))&gt;0,SUMPRODUCT(MAX((職員マスタ!$A$6:$A$405=$B2799)*(((職員マスタ!$G$6:$G$405="")+(職員マスタ!$G$6:$G$405&lt;=EOMONTH($AQ2799,0)))&gt;0)*(((職員マスタ!$H$6:$H$405="")+(職員マスタ!$H$6:$H$405&gt;=$AQ2799))&gt;0)*(ROW(職員マスタ!$A$6:$A$405)-5))),IFERROR(MATCH($B2799,職員マスタ!$A$6:$A$405,0),"")))</f>
        <v/>
      </c>
      <c r="AQ2799" s="16">
        <f>IF(OR($B2799="",$C2799="",$D2799=""),"",DATE($C2799+2018,$D2799,1))</f>
        <v/>
      </c>
    </row>
    <row r="2800">
      <c r="A2800" s="11" t="n"/>
      <c r="B2800" s="12" t="n"/>
      <c r="C2800" s="12" t="n"/>
      <c r="D2800" s="12" t="n"/>
      <c r="E2800" s="13" t="n"/>
      <c r="F2800" s="12" t="n"/>
      <c r="G2800" s="13" t="n"/>
      <c r="H2800" s="12" t="n"/>
      <c r="I2800" s="12" t="n"/>
      <c r="J2800" s="12" t="n"/>
      <c r="K2800" s="12" t="n"/>
      <c r="L2800" s="11" t="n"/>
      <c r="M2800" s="11" t="n"/>
      <c r="N2800" s="11" t="n"/>
      <c r="O2800" s="11" t="n"/>
      <c r="P2800" s="12" t="n"/>
      <c r="Q2800" s="11" t="n"/>
      <c r="R2800" s="12" t="n"/>
      <c r="S2800" s="11" t="n"/>
      <c r="T2800" s="12" t="n"/>
      <c r="U2800" s="12" t="n"/>
      <c r="V2800" s="12" t="n"/>
      <c r="W2800" s="13" t="n"/>
      <c r="X2800" s="14">
        <f>IF($AP2800="",IF($B2800="","",$H2800),IF(INDEX(職員マスタ!$B$6:$B$405,$AP2800)="",$H2800,INDEX(職員マスタ!$B$6:$B$405,$AP2800)))</f>
        <v/>
      </c>
      <c r="Y2800" s="14">
        <f>IF($AP2800="",IF($B2800="","",$R2800),IF(INDEX(職員マスタ!$C$6:$C$405,$AP2800)="",$R2800,INDEX(職員マスタ!$C$6:$C$405,$AP2800)))</f>
        <v/>
      </c>
      <c r="Z2800" s="14">
        <f>IF($AQ2800="","","R"&amp;$C2800&amp;"."&amp;$D2800)</f>
        <v/>
      </c>
      <c r="AA2800" s="15">
        <f>IF(IF($AP2800="",FALSE,INDEX(職員マスタ!$K$6:$K$405,$AP2800)&lt;&gt;""),INDEX(職員マスタ!$K$6:$K$405,$AP2800),IF(N($W2800)&gt;0,$W2800,""))</f>
        <v/>
      </c>
      <c r="AB2800" s="14">
        <f>IF(OR($E2800="",$AA2800=""),"",IF($E2800&gt;=$AA2800,"×",IF($E2800&gt;=$AA2800*設定!$C$5,"△","○")))</f>
        <v/>
      </c>
      <c r="AC2800" s="15">
        <f>IF($AB2800="","",IF($AB2800="×",0,IF($AB2800="○",ROUNDDOWN($E2800*設定!$C$4,0),ROUNDDOWN($E2800*ROUND((9*$AA2800-9*$E2800)/(10*$E2800),4),0))))</f>
        <v/>
      </c>
      <c r="AD2800" s="13" t="n"/>
      <c r="AE2800" s="15">
        <f>IF($B2800="","",IF($AD2800&lt;&gt;"",$AD2800,IF($AC2800="","",IF($AC2800&lt;=設定!$C$3,0,$AC2800))))</f>
        <v/>
      </c>
      <c r="AF2800" s="14">
        <f>IF($B2800="","",IF(AND($AG2800&lt;&gt;"",$AI2800="",$AL2800=""),"保留中",IF($AL2800&lt;&gt;"",IF(N($AE2800)&gt;0,"支給済","不支給"),IF($AE2800="","要確認",IF($AE2800=0,"不支給","未処理")))))</f>
        <v/>
      </c>
      <c r="AG2800" s="12" t="n"/>
      <c r="AH2800" s="11" t="n"/>
      <c r="AI2800" s="11" t="n"/>
      <c r="AJ2800" s="11" t="n"/>
      <c r="AK2800" s="14">
        <f>IF(AND($AF2800="保留中",$AH2800&lt;&gt;""),TODAY()-$AH2800,"")</f>
        <v/>
      </c>
      <c r="AL2800" s="12" t="n"/>
      <c r="AM2800" s="14">
        <f>IF($B2800="","",IF($AQ2800="","対象年月が未入力／","")&amp;IF($B2800="","",IF($AP2800="","職員マスタに未登録の職員番号／",IF($AA2800="","標準報酬月額が未登録／","")&amp;IF(AND($AQ2800&lt;&gt;"",OR(AND(INDEX(職員マスタ!$G$6:$G$405,$AP2800)&lt;&gt;"",INDEX(職員マスタ!$G$6:$G$405,$AP2800)&gt;EOMONTH($AQ2800,0)),AND(INDEX(職員マスタ!$H$6:$H$405,$AP2800)&lt;&gt;"",INDEX(職員マスタ!$H$6:$H$405,$AP2800)&lt;$AQ2800))),"対象月が時短期間外／","")&amp;IF(AND(INDEX(職員マスタ!$K$6:$K$405,$AP2800)&lt;&gt;"",N($W2800)&gt;0,INDEX(職員マスタ!$K$6:$K$405,$AP2800)&lt;&gt;$W2800),"標準報酬月額が申請書と相違（台帳"&amp;TEXT(INDEX(職員マスタ!$K$6:$K$405,$AP2800),"#,##0")&amp;"円／申請書"&amp;TEXT($W2800,"#,##0")&amp;"円）／","")&amp;IF(AND(INDEX(職員マスタ!$F$6:$F$405,$AP2800)&lt;&gt;"",$AQ2800&lt;&gt;"",INDEX(職員マスタ!$F$6:$F$405,$AP2800)&lt;$AQ2800),"対象月に子が2歳到達済／","")&amp;IF(AND($H2800&lt;&gt;"",INDEX(職員マスタ!$B$6:$B$405,$AP2800)&lt;&gt;"",SUBSTITUTE(SUBSTITUTE($H2800," ","")," ","")&lt;&gt;SUBSTITUTE(SUBSTITUTE(INDEX(職員マスタ!$B$6:$B$405,$AP2800)," ","")," ","")),"氏名がマスタと相違／","")&amp;IF(AND($Q2800&lt;&gt;"",INDEX(職員マスタ!$E$6:$E$405,$AP2800)&lt;&gt;"",$Q2800&lt;&gt;INDEX(職員マスタ!$E$6:$E$405,$AP2800)),"子の生年月日がマスタと相違／","")&amp;IF(AND($L2800&lt;&gt;"",INDEX(職員マスタ!$G$6:$G$405,$AP2800)&lt;&gt;"",$L2800&lt;&gt;INDEX(職員マスタ!$G$6:$G$405,$AP2800)),"時短開始日がマスタと相違／","")&amp;IF(AND($M2800&lt;&gt;"",INDEX(職員マスタ!$H$6:$H$405,$AP2800)&lt;&gt;"",$M2800&lt;&gt;INDEX(職員マスタ!$H$6:$H$405,$AP2800)),"時短終了日がマスタと相違／","")))&amp;IF(AND($B2800&lt;&gt;"",$E2800=""),"報酬額が未入力／","")&amp;IF(N($U2800)&gt;0,"申請書に入力エラーが残っています／","")&amp;IF(AND($B2800&lt;&gt;"",$AQ2800&lt;&gt;""),IF(COUNTIFS($B$6:$B$3005,$B2800,$C$6:$C$3005,$C2800,$D$6:$D$3005,$D2800)&gt;1,"同じ月の請求が重複しています／",""),"")&amp;IF(AND(N($E2800)&gt;0,$AB2800&lt;&gt;"",$AB2800&lt;&gt;"×",$AE2800=0,$AD2800=""),"計算額が下限以下のため不支給／",""))</f>
        <v/>
      </c>
      <c r="AN2800" s="12" t="n"/>
      <c r="AO2800" s="14">
        <f>IF($AF2800="保留中",COUNTIF($AF$6:$AF2800,"保留中"),"")</f>
        <v/>
      </c>
      <c r="AP2800" s="14">
        <f>IF($AQ2800="","",IF(SUMPRODUCT(MAX((職員マスタ!$A$6:$A$405=$B2800)*(((職員マスタ!$G$6:$G$405="")+(職員マスタ!$G$6:$G$405&lt;=EOMONTH($AQ2800,0)))&gt;0)*(((職員マスタ!$H$6:$H$405="")+(職員マスタ!$H$6:$H$405&gt;=$AQ2800))&gt;0)*(ROW(職員マスタ!$A$6:$A$405)-5)))&gt;0,SUMPRODUCT(MAX((職員マスタ!$A$6:$A$405=$B2800)*(((職員マスタ!$G$6:$G$405="")+(職員マスタ!$G$6:$G$405&lt;=EOMONTH($AQ2800,0)))&gt;0)*(((職員マスタ!$H$6:$H$405="")+(職員マスタ!$H$6:$H$405&gt;=$AQ2800))&gt;0)*(ROW(職員マスタ!$A$6:$A$405)-5))),IFERROR(MATCH($B2800,職員マスタ!$A$6:$A$405,0),"")))</f>
        <v/>
      </c>
      <c r="AQ2800" s="16">
        <f>IF(OR($B2800="",$C2800="",$D2800=""),"",DATE($C2800+2018,$D2800,1))</f>
        <v/>
      </c>
    </row>
    <row r="2801">
      <c r="A2801" s="11" t="n"/>
      <c r="B2801" s="12" t="n"/>
      <c r="C2801" s="12" t="n"/>
      <c r="D2801" s="12" t="n"/>
      <c r="E2801" s="13" t="n"/>
      <c r="F2801" s="12" t="n"/>
      <c r="G2801" s="13" t="n"/>
      <c r="H2801" s="12" t="n"/>
      <c r="I2801" s="12" t="n"/>
      <c r="J2801" s="12" t="n"/>
      <c r="K2801" s="12" t="n"/>
      <c r="L2801" s="11" t="n"/>
      <c r="M2801" s="11" t="n"/>
      <c r="N2801" s="11" t="n"/>
      <c r="O2801" s="11" t="n"/>
      <c r="P2801" s="12" t="n"/>
      <c r="Q2801" s="11" t="n"/>
      <c r="R2801" s="12" t="n"/>
      <c r="S2801" s="11" t="n"/>
      <c r="T2801" s="12" t="n"/>
      <c r="U2801" s="12" t="n"/>
      <c r="V2801" s="12" t="n"/>
      <c r="W2801" s="13" t="n"/>
      <c r="X2801" s="14">
        <f>IF($AP2801="",IF($B2801="","",$H2801),IF(INDEX(職員マスタ!$B$6:$B$405,$AP2801)="",$H2801,INDEX(職員マスタ!$B$6:$B$405,$AP2801)))</f>
        <v/>
      </c>
      <c r="Y2801" s="14">
        <f>IF($AP2801="",IF($B2801="","",$R2801),IF(INDEX(職員マスタ!$C$6:$C$405,$AP2801)="",$R2801,INDEX(職員マスタ!$C$6:$C$405,$AP2801)))</f>
        <v/>
      </c>
      <c r="Z2801" s="14">
        <f>IF($AQ2801="","","R"&amp;$C2801&amp;"."&amp;$D2801)</f>
        <v/>
      </c>
      <c r="AA2801" s="15">
        <f>IF(IF($AP2801="",FALSE,INDEX(職員マスタ!$K$6:$K$405,$AP2801)&lt;&gt;""),INDEX(職員マスタ!$K$6:$K$405,$AP2801),IF(N($W2801)&gt;0,$W2801,""))</f>
        <v/>
      </c>
      <c r="AB2801" s="14">
        <f>IF(OR($E2801="",$AA2801=""),"",IF($E2801&gt;=$AA2801,"×",IF($E2801&gt;=$AA2801*設定!$C$5,"△","○")))</f>
        <v/>
      </c>
      <c r="AC2801" s="15">
        <f>IF($AB2801="","",IF($AB2801="×",0,IF($AB2801="○",ROUNDDOWN($E2801*設定!$C$4,0),ROUNDDOWN($E2801*ROUND((9*$AA2801-9*$E2801)/(10*$E2801),4),0))))</f>
        <v/>
      </c>
      <c r="AD2801" s="13" t="n"/>
      <c r="AE2801" s="15">
        <f>IF($B2801="","",IF($AD2801&lt;&gt;"",$AD2801,IF($AC2801="","",IF($AC2801&lt;=設定!$C$3,0,$AC2801))))</f>
        <v/>
      </c>
      <c r="AF2801" s="14">
        <f>IF($B2801="","",IF(AND($AG2801&lt;&gt;"",$AI2801="",$AL2801=""),"保留中",IF($AL2801&lt;&gt;"",IF(N($AE2801)&gt;0,"支給済","不支給"),IF($AE2801="","要確認",IF($AE2801=0,"不支給","未処理")))))</f>
        <v/>
      </c>
      <c r="AG2801" s="12" t="n"/>
      <c r="AH2801" s="11" t="n"/>
      <c r="AI2801" s="11" t="n"/>
      <c r="AJ2801" s="11" t="n"/>
      <c r="AK2801" s="14">
        <f>IF(AND($AF2801="保留中",$AH2801&lt;&gt;""),TODAY()-$AH2801,"")</f>
        <v/>
      </c>
      <c r="AL2801" s="12" t="n"/>
      <c r="AM2801" s="14">
        <f>IF($B2801="","",IF($AQ2801="","対象年月が未入力／","")&amp;IF($B2801="","",IF($AP2801="","職員マスタに未登録の職員番号／",IF($AA2801="","標準報酬月額が未登録／","")&amp;IF(AND($AQ2801&lt;&gt;"",OR(AND(INDEX(職員マスタ!$G$6:$G$405,$AP2801)&lt;&gt;"",INDEX(職員マスタ!$G$6:$G$405,$AP2801)&gt;EOMONTH($AQ2801,0)),AND(INDEX(職員マスタ!$H$6:$H$405,$AP2801)&lt;&gt;"",INDEX(職員マスタ!$H$6:$H$405,$AP2801)&lt;$AQ2801))),"対象月が時短期間外／","")&amp;IF(AND(INDEX(職員マスタ!$K$6:$K$405,$AP2801)&lt;&gt;"",N($W2801)&gt;0,INDEX(職員マスタ!$K$6:$K$405,$AP2801)&lt;&gt;$W2801),"標準報酬月額が申請書と相違（台帳"&amp;TEXT(INDEX(職員マスタ!$K$6:$K$405,$AP2801),"#,##0")&amp;"円／申請書"&amp;TEXT($W2801,"#,##0")&amp;"円）／","")&amp;IF(AND(INDEX(職員マスタ!$F$6:$F$405,$AP2801)&lt;&gt;"",$AQ2801&lt;&gt;"",INDEX(職員マスタ!$F$6:$F$405,$AP2801)&lt;$AQ2801),"対象月に子が2歳到達済／","")&amp;IF(AND($H2801&lt;&gt;"",INDEX(職員マスタ!$B$6:$B$405,$AP2801)&lt;&gt;"",SUBSTITUTE(SUBSTITUTE($H2801," ","")," ","")&lt;&gt;SUBSTITUTE(SUBSTITUTE(INDEX(職員マスタ!$B$6:$B$405,$AP2801)," ","")," ","")),"氏名がマスタと相違／","")&amp;IF(AND($Q2801&lt;&gt;"",INDEX(職員マスタ!$E$6:$E$405,$AP2801)&lt;&gt;"",$Q2801&lt;&gt;INDEX(職員マスタ!$E$6:$E$405,$AP2801)),"子の生年月日がマスタと相違／","")&amp;IF(AND($L2801&lt;&gt;"",INDEX(職員マスタ!$G$6:$G$405,$AP2801)&lt;&gt;"",$L2801&lt;&gt;INDEX(職員マスタ!$G$6:$G$405,$AP2801)),"時短開始日がマスタと相違／","")&amp;IF(AND($M2801&lt;&gt;"",INDEX(職員マスタ!$H$6:$H$405,$AP2801)&lt;&gt;"",$M2801&lt;&gt;INDEX(職員マスタ!$H$6:$H$405,$AP2801)),"時短終了日がマスタと相違／","")))&amp;IF(AND($B2801&lt;&gt;"",$E2801=""),"報酬額が未入力／","")&amp;IF(N($U2801)&gt;0,"申請書に入力エラーが残っています／","")&amp;IF(AND($B2801&lt;&gt;"",$AQ2801&lt;&gt;""),IF(COUNTIFS($B$6:$B$3005,$B2801,$C$6:$C$3005,$C2801,$D$6:$D$3005,$D2801)&gt;1,"同じ月の請求が重複しています／",""),"")&amp;IF(AND(N($E2801)&gt;0,$AB2801&lt;&gt;"",$AB2801&lt;&gt;"×",$AE2801=0,$AD2801=""),"計算額が下限以下のため不支給／",""))</f>
        <v/>
      </c>
      <c r="AN2801" s="12" t="n"/>
      <c r="AO2801" s="14">
        <f>IF($AF2801="保留中",COUNTIF($AF$6:$AF2801,"保留中"),"")</f>
        <v/>
      </c>
      <c r="AP2801" s="14">
        <f>IF($AQ2801="","",IF(SUMPRODUCT(MAX((職員マスタ!$A$6:$A$405=$B2801)*(((職員マスタ!$G$6:$G$405="")+(職員マスタ!$G$6:$G$405&lt;=EOMONTH($AQ2801,0)))&gt;0)*(((職員マスタ!$H$6:$H$405="")+(職員マスタ!$H$6:$H$405&gt;=$AQ2801))&gt;0)*(ROW(職員マスタ!$A$6:$A$405)-5)))&gt;0,SUMPRODUCT(MAX((職員マスタ!$A$6:$A$405=$B2801)*(((職員マスタ!$G$6:$G$405="")+(職員マスタ!$G$6:$G$405&lt;=EOMONTH($AQ2801,0)))&gt;0)*(((職員マスタ!$H$6:$H$405="")+(職員マスタ!$H$6:$H$405&gt;=$AQ2801))&gt;0)*(ROW(職員マスタ!$A$6:$A$405)-5))),IFERROR(MATCH($B2801,職員マスタ!$A$6:$A$405,0),"")))</f>
        <v/>
      </c>
      <c r="AQ2801" s="16">
        <f>IF(OR($B2801="",$C2801="",$D2801=""),"",DATE($C2801+2018,$D2801,1))</f>
        <v/>
      </c>
    </row>
    <row r="2802">
      <c r="A2802" s="11" t="n"/>
      <c r="B2802" s="12" t="n"/>
      <c r="C2802" s="12" t="n"/>
      <c r="D2802" s="12" t="n"/>
      <c r="E2802" s="13" t="n"/>
      <c r="F2802" s="12" t="n"/>
      <c r="G2802" s="13" t="n"/>
      <c r="H2802" s="12" t="n"/>
      <c r="I2802" s="12" t="n"/>
      <c r="J2802" s="12" t="n"/>
      <c r="K2802" s="12" t="n"/>
      <c r="L2802" s="11" t="n"/>
      <c r="M2802" s="11" t="n"/>
      <c r="N2802" s="11" t="n"/>
      <c r="O2802" s="11" t="n"/>
      <c r="P2802" s="12" t="n"/>
      <c r="Q2802" s="11" t="n"/>
      <c r="R2802" s="12" t="n"/>
      <c r="S2802" s="11" t="n"/>
      <c r="T2802" s="12" t="n"/>
      <c r="U2802" s="12" t="n"/>
      <c r="V2802" s="12" t="n"/>
      <c r="W2802" s="13" t="n"/>
      <c r="X2802" s="14">
        <f>IF($AP2802="",IF($B2802="","",$H2802),IF(INDEX(職員マスタ!$B$6:$B$405,$AP2802)="",$H2802,INDEX(職員マスタ!$B$6:$B$405,$AP2802)))</f>
        <v/>
      </c>
      <c r="Y2802" s="14">
        <f>IF($AP2802="",IF($B2802="","",$R2802),IF(INDEX(職員マスタ!$C$6:$C$405,$AP2802)="",$R2802,INDEX(職員マスタ!$C$6:$C$405,$AP2802)))</f>
        <v/>
      </c>
      <c r="Z2802" s="14">
        <f>IF($AQ2802="","","R"&amp;$C2802&amp;"."&amp;$D2802)</f>
        <v/>
      </c>
      <c r="AA2802" s="15">
        <f>IF(IF($AP2802="",FALSE,INDEX(職員マスタ!$K$6:$K$405,$AP2802)&lt;&gt;""),INDEX(職員マスタ!$K$6:$K$405,$AP2802),IF(N($W2802)&gt;0,$W2802,""))</f>
        <v/>
      </c>
      <c r="AB2802" s="14">
        <f>IF(OR($E2802="",$AA2802=""),"",IF($E2802&gt;=$AA2802,"×",IF($E2802&gt;=$AA2802*設定!$C$5,"△","○")))</f>
        <v/>
      </c>
      <c r="AC2802" s="15">
        <f>IF($AB2802="","",IF($AB2802="×",0,IF($AB2802="○",ROUNDDOWN($E2802*設定!$C$4,0),ROUNDDOWN($E2802*ROUND((9*$AA2802-9*$E2802)/(10*$E2802),4),0))))</f>
        <v/>
      </c>
      <c r="AD2802" s="13" t="n"/>
      <c r="AE2802" s="15">
        <f>IF($B2802="","",IF($AD2802&lt;&gt;"",$AD2802,IF($AC2802="","",IF($AC2802&lt;=設定!$C$3,0,$AC2802))))</f>
        <v/>
      </c>
      <c r="AF2802" s="14">
        <f>IF($B2802="","",IF(AND($AG2802&lt;&gt;"",$AI2802="",$AL2802=""),"保留中",IF($AL2802&lt;&gt;"",IF(N($AE2802)&gt;0,"支給済","不支給"),IF($AE2802="","要確認",IF($AE2802=0,"不支給","未処理")))))</f>
        <v/>
      </c>
      <c r="AG2802" s="12" t="n"/>
      <c r="AH2802" s="11" t="n"/>
      <c r="AI2802" s="11" t="n"/>
      <c r="AJ2802" s="11" t="n"/>
      <c r="AK2802" s="14">
        <f>IF(AND($AF2802="保留中",$AH2802&lt;&gt;""),TODAY()-$AH2802,"")</f>
        <v/>
      </c>
      <c r="AL2802" s="12" t="n"/>
      <c r="AM2802" s="14">
        <f>IF($B2802="","",IF($AQ2802="","対象年月が未入力／","")&amp;IF($B2802="","",IF($AP2802="","職員マスタに未登録の職員番号／",IF($AA2802="","標準報酬月額が未登録／","")&amp;IF(AND($AQ2802&lt;&gt;"",OR(AND(INDEX(職員マスタ!$G$6:$G$405,$AP2802)&lt;&gt;"",INDEX(職員マスタ!$G$6:$G$405,$AP2802)&gt;EOMONTH($AQ2802,0)),AND(INDEX(職員マスタ!$H$6:$H$405,$AP2802)&lt;&gt;"",INDEX(職員マスタ!$H$6:$H$405,$AP2802)&lt;$AQ2802))),"対象月が時短期間外／","")&amp;IF(AND(INDEX(職員マスタ!$K$6:$K$405,$AP2802)&lt;&gt;"",N($W2802)&gt;0,INDEX(職員マスタ!$K$6:$K$405,$AP2802)&lt;&gt;$W2802),"標準報酬月額が申請書と相違（台帳"&amp;TEXT(INDEX(職員マスタ!$K$6:$K$405,$AP2802),"#,##0")&amp;"円／申請書"&amp;TEXT($W2802,"#,##0")&amp;"円）／","")&amp;IF(AND(INDEX(職員マスタ!$F$6:$F$405,$AP2802)&lt;&gt;"",$AQ2802&lt;&gt;"",INDEX(職員マスタ!$F$6:$F$405,$AP2802)&lt;$AQ2802),"対象月に子が2歳到達済／","")&amp;IF(AND($H2802&lt;&gt;"",INDEX(職員マスタ!$B$6:$B$405,$AP2802)&lt;&gt;"",SUBSTITUTE(SUBSTITUTE($H2802," ","")," ","")&lt;&gt;SUBSTITUTE(SUBSTITUTE(INDEX(職員マスタ!$B$6:$B$405,$AP2802)," ","")," ","")),"氏名がマスタと相違／","")&amp;IF(AND($Q2802&lt;&gt;"",INDEX(職員マスタ!$E$6:$E$405,$AP2802)&lt;&gt;"",$Q2802&lt;&gt;INDEX(職員マスタ!$E$6:$E$405,$AP2802)),"子の生年月日がマスタと相違／","")&amp;IF(AND($L2802&lt;&gt;"",INDEX(職員マスタ!$G$6:$G$405,$AP2802)&lt;&gt;"",$L2802&lt;&gt;INDEX(職員マスタ!$G$6:$G$405,$AP2802)),"時短開始日がマスタと相違／","")&amp;IF(AND($M2802&lt;&gt;"",INDEX(職員マスタ!$H$6:$H$405,$AP2802)&lt;&gt;"",$M2802&lt;&gt;INDEX(職員マスタ!$H$6:$H$405,$AP2802)),"時短終了日がマスタと相違／","")))&amp;IF(AND($B2802&lt;&gt;"",$E2802=""),"報酬額が未入力／","")&amp;IF(N($U2802)&gt;0,"申請書に入力エラーが残っています／","")&amp;IF(AND($B2802&lt;&gt;"",$AQ2802&lt;&gt;""),IF(COUNTIFS($B$6:$B$3005,$B2802,$C$6:$C$3005,$C2802,$D$6:$D$3005,$D2802)&gt;1,"同じ月の請求が重複しています／",""),"")&amp;IF(AND(N($E2802)&gt;0,$AB2802&lt;&gt;"",$AB2802&lt;&gt;"×",$AE2802=0,$AD2802=""),"計算額が下限以下のため不支給／",""))</f>
        <v/>
      </c>
      <c r="AN2802" s="12" t="n"/>
      <c r="AO2802" s="14">
        <f>IF($AF2802="保留中",COUNTIF($AF$6:$AF2802,"保留中"),"")</f>
        <v/>
      </c>
      <c r="AP2802" s="14">
        <f>IF($AQ2802="","",IF(SUMPRODUCT(MAX((職員マスタ!$A$6:$A$405=$B2802)*(((職員マスタ!$G$6:$G$405="")+(職員マスタ!$G$6:$G$405&lt;=EOMONTH($AQ2802,0)))&gt;0)*(((職員マスタ!$H$6:$H$405="")+(職員マスタ!$H$6:$H$405&gt;=$AQ2802))&gt;0)*(ROW(職員マスタ!$A$6:$A$405)-5)))&gt;0,SUMPRODUCT(MAX((職員マスタ!$A$6:$A$405=$B2802)*(((職員マスタ!$G$6:$G$405="")+(職員マスタ!$G$6:$G$405&lt;=EOMONTH($AQ2802,0)))&gt;0)*(((職員マスタ!$H$6:$H$405="")+(職員マスタ!$H$6:$H$405&gt;=$AQ2802))&gt;0)*(ROW(職員マスタ!$A$6:$A$405)-5))),IFERROR(MATCH($B2802,職員マスタ!$A$6:$A$405,0),"")))</f>
        <v/>
      </c>
      <c r="AQ2802" s="16">
        <f>IF(OR($B2802="",$C2802="",$D2802=""),"",DATE($C2802+2018,$D2802,1))</f>
        <v/>
      </c>
    </row>
    <row r="2803">
      <c r="A2803" s="11" t="n"/>
      <c r="B2803" s="12" t="n"/>
      <c r="C2803" s="12" t="n"/>
      <c r="D2803" s="12" t="n"/>
      <c r="E2803" s="13" t="n"/>
      <c r="F2803" s="12" t="n"/>
      <c r="G2803" s="13" t="n"/>
      <c r="H2803" s="12" t="n"/>
      <c r="I2803" s="12" t="n"/>
      <c r="J2803" s="12" t="n"/>
      <c r="K2803" s="12" t="n"/>
      <c r="L2803" s="11" t="n"/>
      <c r="M2803" s="11" t="n"/>
      <c r="N2803" s="11" t="n"/>
      <c r="O2803" s="11" t="n"/>
      <c r="P2803" s="12" t="n"/>
      <c r="Q2803" s="11" t="n"/>
      <c r="R2803" s="12" t="n"/>
      <c r="S2803" s="11" t="n"/>
      <c r="T2803" s="12" t="n"/>
      <c r="U2803" s="12" t="n"/>
      <c r="V2803" s="12" t="n"/>
      <c r="W2803" s="13" t="n"/>
      <c r="X2803" s="14">
        <f>IF($AP2803="",IF($B2803="","",$H2803),IF(INDEX(職員マスタ!$B$6:$B$405,$AP2803)="",$H2803,INDEX(職員マスタ!$B$6:$B$405,$AP2803)))</f>
        <v/>
      </c>
      <c r="Y2803" s="14">
        <f>IF($AP2803="",IF($B2803="","",$R2803),IF(INDEX(職員マスタ!$C$6:$C$405,$AP2803)="",$R2803,INDEX(職員マスタ!$C$6:$C$405,$AP2803)))</f>
        <v/>
      </c>
      <c r="Z2803" s="14">
        <f>IF($AQ2803="","","R"&amp;$C2803&amp;"."&amp;$D2803)</f>
        <v/>
      </c>
      <c r="AA2803" s="15">
        <f>IF(IF($AP2803="",FALSE,INDEX(職員マスタ!$K$6:$K$405,$AP2803)&lt;&gt;""),INDEX(職員マスタ!$K$6:$K$405,$AP2803),IF(N($W2803)&gt;0,$W2803,""))</f>
        <v/>
      </c>
      <c r="AB2803" s="14">
        <f>IF(OR($E2803="",$AA2803=""),"",IF($E2803&gt;=$AA2803,"×",IF($E2803&gt;=$AA2803*設定!$C$5,"△","○")))</f>
        <v/>
      </c>
      <c r="AC2803" s="15">
        <f>IF($AB2803="","",IF($AB2803="×",0,IF($AB2803="○",ROUNDDOWN($E2803*設定!$C$4,0),ROUNDDOWN($E2803*ROUND((9*$AA2803-9*$E2803)/(10*$E2803),4),0))))</f>
        <v/>
      </c>
      <c r="AD2803" s="13" t="n"/>
      <c r="AE2803" s="15">
        <f>IF($B2803="","",IF($AD2803&lt;&gt;"",$AD2803,IF($AC2803="","",IF($AC2803&lt;=設定!$C$3,0,$AC2803))))</f>
        <v/>
      </c>
      <c r="AF2803" s="14">
        <f>IF($B2803="","",IF(AND($AG2803&lt;&gt;"",$AI2803="",$AL2803=""),"保留中",IF($AL2803&lt;&gt;"",IF(N($AE2803)&gt;0,"支給済","不支給"),IF($AE2803="","要確認",IF($AE2803=0,"不支給","未処理")))))</f>
        <v/>
      </c>
      <c r="AG2803" s="12" t="n"/>
      <c r="AH2803" s="11" t="n"/>
      <c r="AI2803" s="11" t="n"/>
      <c r="AJ2803" s="11" t="n"/>
      <c r="AK2803" s="14">
        <f>IF(AND($AF2803="保留中",$AH2803&lt;&gt;""),TODAY()-$AH2803,"")</f>
        <v/>
      </c>
      <c r="AL2803" s="12" t="n"/>
      <c r="AM2803" s="14">
        <f>IF($B2803="","",IF($AQ2803="","対象年月が未入力／","")&amp;IF($B2803="","",IF($AP2803="","職員マスタに未登録の職員番号／",IF($AA2803="","標準報酬月額が未登録／","")&amp;IF(AND($AQ2803&lt;&gt;"",OR(AND(INDEX(職員マスタ!$G$6:$G$405,$AP2803)&lt;&gt;"",INDEX(職員マスタ!$G$6:$G$405,$AP2803)&gt;EOMONTH($AQ2803,0)),AND(INDEX(職員マスタ!$H$6:$H$405,$AP2803)&lt;&gt;"",INDEX(職員マスタ!$H$6:$H$405,$AP2803)&lt;$AQ2803))),"対象月が時短期間外／","")&amp;IF(AND(INDEX(職員マスタ!$K$6:$K$405,$AP2803)&lt;&gt;"",N($W2803)&gt;0,INDEX(職員マスタ!$K$6:$K$405,$AP2803)&lt;&gt;$W2803),"標準報酬月額が申請書と相違（台帳"&amp;TEXT(INDEX(職員マスタ!$K$6:$K$405,$AP2803),"#,##0")&amp;"円／申請書"&amp;TEXT($W2803,"#,##0")&amp;"円）／","")&amp;IF(AND(INDEX(職員マスタ!$F$6:$F$405,$AP2803)&lt;&gt;"",$AQ2803&lt;&gt;"",INDEX(職員マスタ!$F$6:$F$405,$AP2803)&lt;$AQ2803),"対象月に子が2歳到達済／","")&amp;IF(AND($H2803&lt;&gt;"",INDEX(職員マスタ!$B$6:$B$405,$AP2803)&lt;&gt;"",SUBSTITUTE(SUBSTITUTE($H2803," ","")," ","")&lt;&gt;SUBSTITUTE(SUBSTITUTE(INDEX(職員マスタ!$B$6:$B$405,$AP2803)," ","")," ","")),"氏名がマスタと相違／","")&amp;IF(AND($Q2803&lt;&gt;"",INDEX(職員マスタ!$E$6:$E$405,$AP2803)&lt;&gt;"",$Q2803&lt;&gt;INDEX(職員マスタ!$E$6:$E$405,$AP2803)),"子の生年月日がマスタと相違／","")&amp;IF(AND($L2803&lt;&gt;"",INDEX(職員マスタ!$G$6:$G$405,$AP2803)&lt;&gt;"",$L2803&lt;&gt;INDEX(職員マスタ!$G$6:$G$405,$AP2803)),"時短開始日がマスタと相違／","")&amp;IF(AND($M2803&lt;&gt;"",INDEX(職員マスタ!$H$6:$H$405,$AP2803)&lt;&gt;"",$M2803&lt;&gt;INDEX(職員マスタ!$H$6:$H$405,$AP2803)),"時短終了日がマスタと相違／","")))&amp;IF(AND($B2803&lt;&gt;"",$E2803=""),"報酬額が未入力／","")&amp;IF(N($U2803)&gt;0,"申請書に入力エラーが残っています／","")&amp;IF(AND($B2803&lt;&gt;"",$AQ2803&lt;&gt;""),IF(COUNTIFS($B$6:$B$3005,$B2803,$C$6:$C$3005,$C2803,$D$6:$D$3005,$D2803)&gt;1,"同じ月の請求が重複しています／",""),"")&amp;IF(AND(N($E2803)&gt;0,$AB2803&lt;&gt;"",$AB2803&lt;&gt;"×",$AE2803=0,$AD2803=""),"計算額が下限以下のため不支給／",""))</f>
        <v/>
      </c>
      <c r="AN2803" s="12" t="n"/>
      <c r="AO2803" s="14">
        <f>IF($AF2803="保留中",COUNTIF($AF$6:$AF2803,"保留中"),"")</f>
        <v/>
      </c>
      <c r="AP2803" s="14">
        <f>IF($AQ2803="","",IF(SUMPRODUCT(MAX((職員マスタ!$A$6:$A$405=$B2803)*(((職員マスタ!$G$6:$G$405="")+(職員マスタ!$G$6:$G$405&lt;=EOMONTH($AQ2803,0)))&gt;0)*(((職員マスタ!$H$6:$H$405="")+(職員マスタ!$H$6:$H$405&gt;=$AQ2803))&gt;0)*(ROW(職員マスタ!$A$6:$A$405)-5)))&gt;0,SUMPRODUCT(MAX((職員マスタ!$A$6:$A$405=$B2803)*(((職員マスタ!$G$6:$G$405="")+(職員マスタ!$G$6:$G$405&lt;=EOMONTH($AQ2803,0)))&gt;0)*(((職員マスタ!$H$6:$H$405="")+(職員マスタ!$H$6:$H$405&gt;=$AQ2803))&gt;0)*(ROW(職員マスタ!$A$6:$A$405)-5))),IFERROR(MATCH($B2803,職員マスタ!$A$6:$A$405,0),"")))</f>
        <v/>
      </c>
      <c r="AQ2803" s="16">
        <f>IF(OR($B2803="",$C2803="",$D2803=""),"",DATE($C2803+2018,$D2803,1))</f>
        <v/>
      </c>
    </row>
    <row r="2804">
      <c r="A2804" s="11" t="n"/>
      <c r="B2804" s="12" t="n"/>
      <c r="C2804" s="12" t="n"/>
      <c r="D2804" s="12" t="n"/>
      <c r="E2804" s="13" t="n"/>
      <c r="F2804" s="12" t="n"/>
      <c r="G2804" s="13" t="n"/>
      <c r="H2804" s="12" t="n"/>
      <c r="I2804" s="12" t="n"/>
      <c r="J2804" s="12" t="n"/>
      <c r="K2804" s="12" t="n"/>
      <c r="L2804" s="11" t="n"/>
      <c r="M2804" s="11" t="n"/>
      <c r="N2804" s="11" t="n"/>
      <c r="O2804" s="11" t="n"/>
      <c r="P2804" s="12" t="n"/>
      <c r="Q2804" s="11" t="n"/>
      <c r="R2804" s="12" t="n"/>
      <c r="S2804" s="11" t="n"/>
      <c r="T2804" s="12" t="n"/>
      <c r="U2804" s="12" t="n"/>
      <c r="V2804" s="12" t="n"/>
      <c r="W2804" s="13" t="n"/>
      <c r="X2804" s="14">
        <f>IF($AP2804="",IF($B2804="","",$H2804),IF(INDEX(職員マスタ!$B$6:$B$405,$AP2804)="",$H2804,INDEX(職員マスタ!$B$6:$B$405,$AP2804)))</f>
        <v/>
      </c>
      <c r="Y2804" s="14">
        <f>IF($AP2804="",IF($B2804="","",$R2804),IF(INDEX(職員マスタ!$C$6:$C$405,$AP2804)="",$R2804,INDEX(職員マスタ!$C$6:$C$405,$AP2804)))</f>
        <v/>
      </c>
      <c r="Z2804" s="14">
        <f>IF($AQ2804="","","R"&amp;$C2804&amp;"."&amp;$D2804)</f>
        <v/>
      </c>
      <c r="AA2804" s="15">
        <f>IF(IF($AP2804="",FALSE,INDEX(職員マスタ!$K$6:$K$405,$AP2804)&lt;&gt;""),INDEX(職員マスタ!$K$6:$K$405,$AP2804),IF(N($W2804)&gt;0,$W2804,""))</f>
        <v/>
      </c>
      <c r="AB2804" s="14">
        <f>IF(OR($E2804="",$AA2804=""),"",IF($E2804&gt;=$AA2804,"×",IF($E2804&gt;=$AA2804*設定!$C$5,"△","○")))</f>
        <v/>
      </c>
      <c r="AC2804" s="15">
        <f>IF($AB2804="","",IF($AB2804="×",0,IF($AB2804="○",ROUNDDOWN($E2804*設定!$C$4,0),ROUNDDOWN($E2804*ROUND((9*$AA2804-9*$E2804)/(10*$E2804),4),0))))</f>
        <v/>
      </c>
      <c r="AD2804" s="13" t="n"/>
      <c r="AE2804" s="15">
        <f>IF($B2804="","",IF($AD2804&lt;&gt;"",$AD2804,IF($AC2804="","",IF($AC2804&lt;=設定!$C$3,0,$AC2804))))</f>
        <v/>
      </c>
      <c r="AF2804" s="14">
        <f>IF($B2804="","",IF(AND($AG2804&lt;&gt;"",$AI2804="",$AL2804=""),"保留中",IF($AL2804&lt;&gt;"",IF(N($AE2804)&gt;0,"支給済","不支給"),IF($AE2804="","要確認",IF($AE2804=0,"不支給","未処理")))))</f>
        <v/>
      </c>
      <c r="AG2804" s="12" t="n"/>
      <c r="AH2804" s="11" t="n"/>
      <c r="AI2804" s="11" t="n"/>
      <c r="AJ2804" s="11" t="n"/>
      <c r="AK2804" s="14">
        <f>IF(AND($AF2804="保留中",$AH2804&lt;&gt;""),TODAY()-$AH2804,"")</f>
        <v/>
      </c>
      <c r="AL2804" s="12" t="n"/>
      <c r="AM2804" s="14">
        <f>IF($B2804="","",IF($AQ2804="","対象年月が未入力／","")&amp;IF($B2804="","",IF($AP2804="","職員マスタに未登録の職員番号／",IF($AA2804="","標準報酬月額が未登録／","")&amp;IF(AND($AQ2804&lt;&gt;"",OR(AND(INDEX(職員マスタ!$G$6:$G$405,$AP2804)&lt;&gt;"",INDEX(職員マスタ!$G$6:$G$405,$AP2804)&gt;EOMONTH($AQ2804,0)),AND(INDEX(職員マスタ!$H$6:$H$405,$AP2804)&lt;&gt;"",INDEX(職員マスタ!$H$6:$H$405,$AP2804)&lt;$AQ2804))),"対象月が時短期間外／","")&amp;IF(AND(INDEX(職員マスタ!$K$6:$K$405,$AP2804)&lt;&gt;"",N($W2804)&gt;0,INDEX(職員マスタ!$K$6:$K$405,$AP2804)&lt;&gt;$W2804),"標準報酬月額が申請書と相違（台帳"&amp;TEXT(INDEX(職員マスタ!$K$6:$K$405,$AP2804),"#,##0")&amp;"円／申請書"&amp;TEXT($W2804,"#,##0")&amp;"円）／","")&amp;IF(AND(INDEX(職員マスタ!$F$6:$F$405,$AP2804)&lt;&gt;"",$AQ2804&lt;&gt;"",INDEX(職員マスタ!$F$6:$F$405,$AP2804)&lt;$AQ2804),"対象月に子が2歳到達済／","")&amp;IF(AND($H2804&lt;&gt;"",INDEX(職員マスタ!$B$6:$B$405,$AP2804)&lt;&gt;"",SUBSTITUTE(SUBSTITUTE($H2804," ","")," ","")&lt;&gt;SUBSTITUTE(SUBSTITUTE(INDEX(職員マスタ!$B$6:$B$405,$AP2804)," ","")," ","")),"氏名がマスタと相違／","")&amp;IF(AND($Q2804&lt;&gt;"",INDEX(職員マスタ!$E$6:$E$405,$AP2804)&lt;&gt;"",$Q2804&lt;&gt;INDEX(職員マスタ!$E$6:$E$405,$AP2804)),"子の生年月日がマスタと相違／","")&amp;IF(AND($L2804&lt;&gt;"",INDEX(職員マスタ!$G$6:$G$405,$AP2804)&lt;&gt;"",$L2804&lt;&gt;INDEX(職員マスタ!$G$6:$G$405,$AP2804)),"時短開始日がマスタと相違／","")&amp;IF(AND($M2804&lt;&gt;"",INDEX(職員マスタ!$H$6:$H$405,$AP2804)&lt;&gt;"",$M2804&lt;&gt;INDEX(職員マスタ!$H$6:$H$405,$AP2804)),"時短終了日がマスタと相違／","")))&amp;IF(AND($B2804&lt;&gt;"",$E2804=""),"報酬額が未入力／","")&amp;IF(N($U2804)&gt;0,"申請書に入力エラーが残っています／","")&amp;IF(AND($B2804&lt;&gt;"",$AQ2804&lt;&gt;""),IF(COUNTIFS($B$6:$B$3005,$B2804,$C$6:$C$3005,$C2804,$D$6:$D$3005,$D2804)&gt;1,"同じ月の請求が重複しています／",""),"")&amp;IF(AND(N($E2804)&gt;0,$AB2804&lt;&gt;"",$AB2804&lt;&gt;"×",$AE2804=0,$AD2804=""),"計算額が下限以下のため不支給／",""))</f>
        <v/>
      </c>
      <c r="AN2804" s="12" t="n"/>
      <c r="AO2804" s="14">
        <f>IF($AF2804="保留中",COUNTIF($AF$6:$AF2804,"保留中"),"")</f>
        <v/>
      </c>
      <c r="AP2804" s="14">
        <f>IF($AQ2804="","",IF(SUMPRODUCT(MAX((職員マスタ!$A$6:$A$405=$B2804)*(((職員マスタ!$G$6:$G$405="")+(職員マスタ!$G$6:$G$405&lt;=EOMONTH($AQ2804,0)))&gt;0)*(((職員マスタ!$H$6:$H$405="")+(職員マスタ!$H$6:$H$405&gt;=$AQ2804))&gt;0)*(ROW(職員マスタ!$A$6:$A$405)-5)))&gt;0,SUMPRODUCT(MAX((職員マスタ!$A$6:$A$405=$B2804)*(((職員マスタ!$G$6:$G$405="")+(職員マスタ!$G$6:$G$405&lt;=EOMONTH($AQ2804,0)))&gt;0)*(((職員マスタ!$H$6:$H$405="")+(職員マスタ!$H$6:$H$405&gt;=$AQ2804))&gt;0)*(ROW(職員マスタ!$A$6:$A$405)-5))),IFERROR(MATCH($B2804,職員マスタ!$A$6:$A$405,0),"")))</f>
        <v/>
      </c>
      <c r="AQ2804" s="16">
        <f>IF(OR($B2804="",$C2804="",$D2804=""),"",DATE($C2804+2018,$D2804,1))</f>
        <v/>
      </c>
    </row>
    <row r="2805">
      <c r="A2805" s="11" t="n"/>
      <c r="B2805" s="12" t="n"/>
      <c r="C2805" s="12" t="n"/>
      <c r="D2805" s="12" t="n"/>
      <c r="E2805" s="13" t="n"/>
      <c r="F2805" s="12" t="n"/>
      <c r="G2805" s="13" t="n"/>
      <c r="H2805" s="12" t="n"/>
      <c r="I2805" s="12" t="n"/>
      <c r="J2805" s="12" t="n"/>
      <c r="K2805" s="12" t="n"/>
      <c r="L2805" s="11" t="n"/>
      <c r="M2805" s="11" t="n"/>
      <c r="N2805" s="11" t="n"/>
      <c r="O2805" s="11" t="n"/>
      <c r="P2805" s="12" t="n"/>
      <c r="Q2805" s="11" t="n"/>
      <c r="R2805" s="12" t="n"/>
      <c r="S2805" s="11" t="n"/>
      <c r="T2805" s="12" t="n"/>
      <c r="U2805" s="12" t="n"/>
      <c r="V2805" s="12" t="n"/>
      <c r="W2805" s="13" t="n"/>
      <c r="X2805" s="14">
        <f>IF($AP2805="",IF($B2805="","",$H2805),IF(INDEX(職員マスタ!$B$6:$B$405,$AP2805)="",$H2805,INDEX(職員マスタ!$B$6:$B$405,$AP2805)))</f>
        <v/>
      </c>
      <c r="Y2805" s="14">
        <f>IF($AP2805="",IF($B2805="","",$R2805),IF(INDEX(職員マスタ!$C$6:$C$405,$AP2805)="",$R2805,INDEX(職員マスタ!$C$6:$C$405,$AP2805)))</f>
        <v/>
      </c>
      <c r="Z2805" s="14">
        <f>IF($AQ2805="","","R"&amp;$C2805&amp;"."&amp;$D2805)</f>
        <v/>
      </c>
      <c r="AA2805" s="15">
        <f>IF(IF($AP2805="",FALSE,INDEX(職員マスタ!$K$6:$K$405,$AP2805)&lt;&gt;""),INDEX(職員マスタ!$K$6:$K$405,$AP2805),IF(N($W2805)&gt;0,$W2805,""))</f>
        <v/>
      </c>
      <c r="AB2805" s="14">
        <f>IF(OR($E2805="",$AA2805=""),"",IF($E2805&gt;=$AA2805,"×",IF($E2805&gt;=$AA2805*設定!$C$5,"△","○")))</f>
        <v/>
      </c>
      <c r="AC2805" s="15">
        <f>IF($AB2805="","",IF($AB2805="×",0,IF($AB2805="○",ROUNDDOWN($E2805*設定!$C$4,0),ROUNDDOWN($E2805*ROUND((9*$AA2805-9*$E2805)/(10*$E2805),4),0))))</f>
        <v/>
      </c>
      <c r="AD2805" s="13" t="n"/>
      <c r="AE2805" s="15">
        <f>IF($B2805="","",IF($AD2805&lt;&gt;"",$AD2805,IF($AC2805="","",IF($AC2805&lt;=設定!$C$3,0,$AC2805))))</f>
        <v/>
      </c>
      <c r="AF2805" s="14">
        <f>IF($B2805="","",IF(AND($AG2805&lt;&gt;"",$AI2805="",$AL2805=""),"保留中",IF($AL2805&lt;&gt;"",IF(N($AE2805)&gt;0,"支給済","不支給"),IF($AE2805="","要確認",IF($AE2805=0,"不支給","未処理")))))</f>
        <v/>
      </c>
      <c r="AG2805" s="12" t="n"/>
      <c r="AH2805" s="11" t="n"/>
      <c r="AI2805" s="11" t="n"/>
      <c r="AJ2805" s="11" t="n"/>
      <c r="AK2805" s="14">
        <f>IF(AND($AF2805="保留中",$AH2805&lt;&gt;""),TODAY()-$AH2805,"")</f>
        <v/>
      </c>
      <c r="AL2805" s="12" t="n"/>
      <c r="AM2805" s="14">
        <f>IF($B2805="","",IF($AQ2805="","対象年月が未入力／","")&amp;IF($B2805="","",IF($AP2805="","職員マスタに未登録の職員番号／",IF($AA2805="","標準報酬月額が未登録／","")&amp;IF(AND($AQ2805&lt;&gt;"",OR(AND(INDEX(職員マスタ!$G$6:$G$405,$AP2805)&lt;&gt;"",INDEX(職員マスタ!$G$6:$G$405,$AP2805)&gt;EOMONTH($AQ2805,0)),AND(INDEX(職員マスタ!$H$6:$H$405,$AP2805)&lt;&gt;"",INDEX(職員マスタ!$H$6:$H$405,$AP2805)&lt;$AQ2805))),"対象月が時短期間外／","")&amp;IF(AND(INDEX(職員マスタ!$K$6:$K$405,$AP2805)&lt;&gt;"",N($W2805)&gt;0,INDEX(職員マスタ!$K$6:$K$405,$AP2805)&lt;&gt;$W2805),"標準報酬月額が申請書と相違（台帳"&amp;TEXT(INDEX(職員マスタ!$K$6:$K$405,$AP2805),"#,##0")&amp;"円／申請書"&amp;TEXT($W2805,"#,##0")&amp;"円）／","")&amp;IF(AND(INDEX(職員マスタ!$F$6:$F$405,$AP2805)&lt;&gt;"",$AQ2805&lt;&gt;"",INDEX(職員マスタ!$F$6:$F$405,$AP2805)&lt;$AQ2805),"対象月に子が2歳到達済／","")&amp;IF(AND($H2805&lt;&gt;"",INDEX(職員マスタ!$B$6:$B$405,$AP2805)&lt;&gt;"",SUBSTITUTE(SUBSTITUTE($H2805," ","")," ","")&lt;&gt;SUBSTITUTE(SUBSTITUTE(INDEX(職員マスタ!$B$6:$B$405,$AP2805)," ","")," ","")),"氏名がマスタと相違／","")&amp;IF(AND($Q2805&lt;&gt;"",INDEX(職員マスタ!$E$6:$E$405,$AP2805)&lt;&gt;"",$Q2805&lt;&gt;INDEX(職員マスタ!$E$6:$E$405,$AP2805)),"子の生年月日がマスタと相違／","")&amp;IF(AND($L2805&lt;&gt;"",INDEX(職員マスタ!$G$6:$G$405,$AP2805)&lt;&gt;"",$L2805&lt;&gt;INDEX(職員マスタ!$G$6:$G$405,$AP2805)),"時短開始日がマスタと相違／","")&amp;IF(AND($M2805&lt;&gt;"",INDEX(職員マスタ!$H$6:$H$405,$AP2805)&lt;&gt;"",$M2805&lt;&gt;INDEX(職員マスタ!$H$6:$H$405,$AP2805)),"時短終了日がマスタと相違／","")))&amp;IF(AND($B2805&lt;&gt;"",$E2805=""),"報酬額が未入力／","")&amp;IF(N($U2805)&gt;0,"申請書に入力エラーが残っています／","")&amp;IF(AND($B2805&lt;&gt;"",$AQ2805&lt;&gt;""),IF(COUNTIFS($B$6:$B$3005,$B2805,$C$6:$C$3005,$C2805,$D$6:$D$3005,$D2805)&gt;1,"同じ月の請求が重複しています／",""),"")&amp;IF(AND(N($E2805)&gt;0,$AB2805&lt;&gt;"",$AB2805&lt;&gt;"×",$AE2805=0,$AD2805=""),"計算額が下限以下のため不支給／",""))</f>
        <v/>
      </c>
      <c r="AN2805" s="12" t="n"/>
      <c r="AO2805" s="14">
        <f>IF($AF2805="保留中",COUNTIF($AF$6:$AF2805,"保留中"),"")</f>
        <v/>
      </c>
      <c r="AP2805" s="14">
        <f>IF($AQ2805="","",IF(SUMPRODUCT(MAX((職員マスタ!$A$6:$A$405=$B2805)*(((職員マスタ!$G$6:$G$405="")+(職員マスタ!$G$6:$G$405&lt;=EOMONTH($AQ2805,0)))&gt;0)*(((職員マスタ!$H$6:$H$405="")+(職員マスタ!$H$6:$H$405&gt;=$AQ2805))&gt;0)*(ROW(職員マスタ!$A$6:$A$405)-5)))&gt;0,SUMPRODUCT(MAX((職員マスタ!$A$6:$A$405=$B2805)*(((職員マスタ!$G$6:$G$405="")+(職員マスタ!$G$6:$G$405&lt;=EOMONTH($AQ2805,0)))&gt;0)*(((職員マスタ!$H$6:$H$405="")+(職員マスタ!$H$6:$H$405&gt;=$AQ2805))&gt;0)*(ROW(職員マスタ!$A$6:$A$405)-5))),IFERROR(MATCH($B2805,職員マスタ!$A$6:$A$405,0),"")))</f>
        <v/>
      </c>
      <c r="AQ2805" s="16">
        <f>IF(OR($B2805="",$C2805="",$D2805=""),"",DATE($C2805+2018,$D2805,1))</f>
        <v/>
      </c>
    </row>
    <row r="2806">
      <c r="A2806" s="11" t="n"/>
      <c r="B2806" s="12" t="n"/>
      <c r="C2806" s="12" t="n"/>
      <c r="D2806" s="12" t="n"/>
      <c r="E2806" s="13" t="n"/>
      <c r="F2806" s="12" t="n"/>
      <c r="G2806" s="13" t="n"/>
      <c r="H2806" s="12" t="n"/>
      <c r="I2806" s="12" t="n"/>
      <c r="J2806" s="12" t="n"/>
      <c r="K2806" s="12" t="n"/>
      <c r="L2806" s="11" t="n"/>
      <c r="M2806" s="11" t="n"/>
      <c r="N2806" s="11" t="n"/>
      <c r="O2806" s="11" t="n"/>
      <c r="P2806" s="12" t="n"/>
      <c r="Q2806" s="11" t="n"/>
      <c r="R2806" s="12" t="n"/>
      <c r="S2806" s="11" t="n"/>
      <c r="T2806" s="12" t="n"/>
      <c r="U2806" s="12" t="n"/>
      <c r="V2806" s="12" t="n"/>
      <c r="W2806" s="13" t="n"/>
      <c r="X2806" s="14">
        <f>IF($AP2806="",IF($B2806="","",$H2806),IF(INDEX(職員マスタ!$B$6:$B$405,$AP2806)="",$H2806,INDEX(職員マスタ!$B$6:$B$405,$AP2806)))</f>
        <v/>
      </c>
      <c r="Y2806" s="14">
        <f>IF($AP2806="",IF($B2806="","",$R2806),IF(INDEX(職員マスタ!$C$6:$C$405,$AP2806)="",$R2806,INDEX(職員マスタ!$C$6:$C$405,$AP2806)))</f>
        <v/>
      </c>
      <c r="Z2806" s="14">
        <f>IF($AQ2806="","","R"&amp;$C2806&amp;"."&amp;$D2806)</f>
        <v/>
      </c>
      <c r="AA2806" s="15">
        <f>IF(IF($AP2806="",FALSE,INDEX(職員マスタ!$K$6:$K$405,$AP2806)&lt;&gt;""),INDEX(職員マスタ!$K$6:$K$405,$AP2806),IF(N($W2806)&gt;0,$W2806,""))</f>
        <v/>
      </c>
      <c r="AB2806" s="14">
        <f>IF(OR($E2806="",$AA2806=""),"",IF($E2806&gt;=$AA2806,"×",IF($E2806&gt;=$AA2806*設定!$C$5,"△","○")))</f>
        <v/>
      </c>
      <c r="AC2806" s="15">
        <f>IF($AB2806="","",IF($AB2806="×",0,IF($AB2806="○",ROUNDDOWN($E2806*設定!$C$4,0),ROUNDDOWN($E2806*ROUND((9*$AA2806-9*$E2806)/(10*$E2806),4),0))))</f>
        <v/>
      </c>
      <c r="AD2806" s="13" t="n"/>
      <c r="AE2806" s="15">
        <f>IF($B2806="","",IF($AD2806&lt;&gt;"",$AD2806,IF($AC2806="","",IF($AC2806&lt;=設定!$C$3,0,$AC2806))))</f>
        <v/>
      </c>
      <c r="AF2806" s="14">
        <f>IF($B2806="","",IF(AND($AG2806&lt;&gt;"",$AI2806="",$AL2806=""),"保留中",IF($AL2806&lt;&gt;"",IF(N($AE2806)&gt;0,"支給済","不支給"),IF($AE2806="","要確認",IF($AE2806=0,"不支給","未処理")))))</f>
        <v/>
      </c>
      <c r="AG2806" s="12" t="n"/>
      <c r="AH2806" s="11" t="n"/>
      <c r="AI2806" s="11" t="n"/>
      <c r="AJ2806" s="11" t="n"/>
      <c r="AK2806" s="14">
        <f>IF(AND($AF2806="保留中",$AH2806&lt;&gt;""),TODAY()-$AH2806,"")</f>
        <v/>
      </c>
      <c r="AL2806" s="12" t="n"/>
      <c r="AM2806" s="14">
        <f>IF($B2806="","",IF($AQ2806="","対象年月が未入力／","")&amp;IF($B2806="","",IF($AP2806="","職員マスタに未登録の職員番号／",IF($AA2806="","標準報酬月額が未登録／","")&amp;IF(AND($AQ2806&lt;&gt;"",OR(AND(INDEX(職員マスタ!$G$6:$G$405,$AP2806)&lt;&gt;"",INDEX(職員マスタ!$G$6:$G$405,$AP2806)&gt;EOMONTH($AQ2806,0)),AND(INDEX(職員マスタ!$H$6:$H$405,$AP2806)&lt;&gt;"",INDEX(職員マスタ!$H$6:$H$405,$AP2806)&lt;$AQ2806))),"対象月が時短期間外／","")&amp;IF(AND(INDEX(職員マスタ!$K$6:$K$405,$AP2806)&lt;&gt;"",N($W2806)&gt;0,INDEX(職員マスタ!$K$6:$K$405,$AP2806)&lt;&gt;$W2806),"標準報酬月額が申請書と相違（台帳"&amp;TEXT(INDEX(職員マスタ!$K$6:$K$405,$AP2806),"#,##0")&amp;"円／申請書"&amp;TEXT($W2806,"#,##0")&amp;"円）／","")&amp;IF(AND(INDEX(職員マスタ!$F$6:$F$405,$AP2806)&lt;&gt;"",$AQ2806&lt;&gt;"",INDEX(職員マスタ!$F$6:$F$405,$AP2806)&lt;$AQ2806),"対象月に子が2歳到達済／","")&amp;IF(AND($H2806&lt;&gt;"",INDEX(職員マスタ!$B$6:$B$405,$AP2806)&lt;&gt;"",SUBSTITUTE(SUBSTITUTE($H2806," ","")," ","")&lt;&gt;SUBSTITUTE(SUBSTITUTE(INDEX(職員マスタ!$B$6:$B$405,$AP2806)," ","")," ","")),"氏名がマスタと相違／","")&amp;IF(AND($Q2806&lt;&gt;"",INDEX(職員マスタ!$E$6:$E$405,$AP2806)&lt;&gt;"",$Q2806&lt;&gt;INDEX(職員マスタ!$E$6:$E$405,$AP2806)),"子の生年月日がマスタと相違／","")&amp;IF(AND($L2806&lt;&gt;"",INDEX(職員マスタ!$G$6:$G$405,$AP2806)&lt;&gt;"",$L2806&lt;&gt;INDEX(職員マスタ!$G$6:$G$405,$AP2806)),"時短開始日がマスタと相違／","")&amp;IF(AND($M2806&lt;&gt;"",INDEX(職員マスタ!$H$6:$H$405,$AP2806)&lt;&gt;"",$M2806&lt;&gt;INDEX(職員マスタ!$H$6:$H$405,$AP2806)),"時短終了日がマスタと相違／","")))&amp;IF(AND($B2806&lt;&gt;"",$E2806=""),"報酬額が未入力／","")&amp;IF(N($U2806)&gt;0,"申請書に入力エラーが残っています／","")&amp;IF(AND($B2806&lt;&gt;"",$AQ2806&lt;&gt;""),IF(COUNTIFS($B$6:$B$3005,$B2806,$C$6:$C$3005,$C2806,$D$6:$D$3005,$D2806)&gt;1,"同じ月の請求が重複しています／",""),"")&amp;IF(AND(N($E2806)&gt;0,$AB2806&lt;&gt;"",$AB2806&lt;&gt;"×",$AE2806=0,$AD2806=""),"計算額が下限以下のため不支給／",""))</f>
        <v/>
      </c>
      <c r="AN2806" s="12" t="n"/>
      <c r="AO2806" s="14">
        <f>IF($AF2806="保留中",COUNTIF($AF$6:$AF2806,"保留中"),"")</f>
        <v/>
      </c>
      <c r="AP2806" s="14">
        <f>IF($AQ2806="","",IF(SUMPRODUCT(MAX((職員マスタ!$A$6:$A$405=$B2806)*(((職員マスタ!$G$6:$G$405="")+(職員マスタ!$G$6:$G$405&lt;=EOMONTH($AQ2806,0)))&gt;0)*(((職員マスタ!$H$6:$H$405="")+(職員マスタ!$H$6:$H$405&gt;=$AQ2806))&gt;0)*(ROW(職員マスタ!$A$6:$A$405)-5)))&gt;0,SUMPRODUCT(MAX((職員マスタ!$A$6:$A$405=$B2806)*(((職員マスタ!$G$6:$G$405="")+(職員マスタ!$G$6:$G$405&lt;=EOMONTH($AQ2806,0)))&gt;0)*(((職員マスタ!$H$6:$H$405="")+(職員マスタ!$H$6:$H$405&gt;=$AQ2806))&gt;0)*(ROW(職員マスタ!$A$6:$A$405)-5))),IFERROR(MATCH($B2806,職員マスタ!$A$6:$A$405,0),"")))</f>
        <v/>
      </c>
      <c r="AQ2806" s="16">
        <f>IF(OR($B2806="",$C2806="",$D2806=""),"",DATE($C2806+2018,$D2806,1))</f>
        <v/>
      </c>
    </row>
    <row r="2807">
      <c r="A2807" s="11" t="n"/>
      <c r="B2807" s="12" t="n"/>
      <c r="C2807" s="12" t="n"/>
      <c r="D2807" s="12" t="n"/>
      <c r="E2807" s="13" t="n"/>
      <c r="F2807" s="12" t="n"/>
      <c r="G2807" s="13" t="n"/>
      <c r="H2807" s="12" t="n"/>
      <c r="I2807" s="12" t="n"/>
      <c r="J2807" s="12" t="n"/>
      <c r="K2807" s="12" t="n"/>
      <c r="L2807" s="11" t="n"/>
      <c r="M2807" s="11" t="n"/>
      <c r="N2807" s="11" t="n"/>
      <c r="O2807" s="11" t="n"/>
      <c r="P2807" s="12" t="n"/>
      <c r="Q2807" s="11" t="n"/>
      <c r="R2807" s="12" t="n"/>
      <c r="S2807" s="11" t="n"/>
      <c r="T2807" s="12" t="n"/>
      <c r="U2807" s="12" t="n"/>
      <c r="V2807" s="12" t="n"/>
      <c r="W2807" s="13" t="n"/>
      <c r="X2807" s="14">
        <f>IF($AP2807="",IF($B2807="","",$H2807),IF(INDEX(職員マスタ!$B$6:$B$405,$AP2807)="",$H2807,INDEX(職員マスタ!$B$6:$B$405,$AP2807)))</f>
        <v/>
      </c>
      <c r="Y2807" s="14">
        <f>IF($AP2807="",IF($B2807="","",$R2807),IF(INDEX(職員マスタ!$C$6:$C$405,$AP2807)="",$R2807,INDEX(職員マスタ!$C$6:$C$405,$AP2807)))</f>
        <v/>
      </c>
      <c r="Z2807" s="14">
        <f>IF($AQ2807="","","R"&amp;$C2807&amp;"."&amp;$D2807)</f>
        <v/>
      </c>
      <c r="AA2807" s="15">
        <f>IF(IF($AP2807="",FALSE,INDEX(職員マスタ!$K$6:$K$405,$AP2807)&lt;&gt;""),INDEX(職員マスタ!$K$6:$K$405,$AP2807),IF(N($W2807)&gt;0,$W2807,""))</f>
        <v/>
      </c>
      <c r="AB2807" s="14">
        <f>IF(OR($E2807="",$AA2807=""),"",IF($E2807&gt;=$AA2807,"×",IF($E2807&gt;=$AA2807*設定!$C$5,"△","○")))</f>
        <v/>
      </c>
      <c r="AC2807" s="15">
        <f>IF($AB2807="","",IF($AB2807="×",0,IF($AB2807="○",ROUNDDOWN($E2807*設定!$C$4,0),ROUNDDOWN($E2807*ROUND((9*$AA2807-9*$E2807)/(10*$E2807),4),0))))</f>
        <v/>
      </c>
      <c r="AD2807" s="13" t="n"/>
      <c r="AE2807" s="15">
        <f>IF($B2807="","",IF($AD2807&lt;&gt;"",$AD2807,IF($AC2807="","",IF($AC2807&lt;=設定!$C$3,0,$AC2807))))</f>
        <v/>
      </c>
      <c r="AF2807" s="14">
        <f>IF($B2807="","",IF(AND($AG2807&lt;&gt;"",$AI2807="",$AL2807=""),"保留中",IF($AL2807&lt;&gt;"",IF(N($AE2807)&gt;0,"支給済","不支給"),IF($AE2807="","要確認",IF($AE2807=0,"不支給","未処理")))))</f>
        <v/>
      </c>
      <c r="AG2807" s="12" t="n"/>
      <c r="AH2807" s="11" t="n"/>
      <c r="AI2807" s="11" t="n"/>
      <c r="AJ2807" s="11" t="n"/>
      <c r="AK2807" s="14">
        <f>IF(AND($AF2807="保留中",$AH2807&lt;&gt;""),TODAY()-$AH2807,"")</f>
        <v/>
      </c>
      <c r="AL2807" s="12" t="n"/>
      <c r="AM2807" s="14">
        <f>IF($B2807="","",IF($AQ2807="","対象年月が未入力／","")&amp;IF($B2807="","",IF($AP2807="","職員マスタに未登録の職員番号／",IF($AA2807="","標準報酬月額が未登録／","")&amp;IF(AND($AQ2807&lt;&gt;"",OR(AND(INDEX(職員マスタ!$G$6:$G$405,$AP2807)&lt;&gt;"",INDEX(職員マスタ!$G$6:$G$405,$AP2807)&gt;EOMONTH($AQ2807,0)),AND(INDEX(職員マスタ!$H$6:$H$405,$AP2807)&lt;&gt;"",INDEX(職員マスタ!$H$6:$H$405,$AP2807)&lt;$AQ2807))),"対象月が時短期間外／","")&amp;IF(AND(INDEX(職員マスタ!$K$6:$K$405,$AP2807)&lt;&gt;"",N($W2807)&gt;0,INDEX(職員マスタ!$K$6:$K$405,$AP2807)&lt;&gt;$W2807),"標準報酬月額が申請書と相違（台帳"&amp;TEXT(INDEX(職員マスタ!$K$6:$K$405,$AP2807),"#,##0")&amp;"円／申請書"&amp;TEXT($W2807,"#,##0")&amp;"円）／","")&amp;IF(AND(INDEX(職員マスタ!$F$6:$F$405,$AP2807)&lt;&gt;"",$AQ2807&lt;&gt;"",INDEX(職員マスタ!$F$6:$F$405,$AP2807)&lt;$AQ2807),"対象月に子が2歳到達済／","")&amp;IF(AND($H2807&lt;&gt;"",INDEX(職員マスタ!$B$6:$B$405,$AP2807)&lt;&gt;"",SUBSTITUTE(SUBSTITUTE($H2807," ","")," ","")&lt;&gt;SUBSTITUTE(SUBSTITUTE(INDEX(職員マスタ!$B$6:$B$405,$AP2807)," ","")," ","")),"氏名がマスタと相違／","")&amp;IF(AND($Q2807&lt;&gt;"",INDEX(職員マスタ!$E$6:$E$405,$AP2807)&lt;&gt;"",$Q2807&lt;&gt;INDEX(職員マスタ!$E$6:$E$405,$AP2807)),"子の生年月日がマスタと相違／","")&amp;IF(AND($L2807&lt;&gt;"",INDEX(職員マスタ!$G$6:$G$405,$AP2807)&lt;&gt;"",$L2807&lt;&gt;INDEX(職員マスタ!$G$6:$G$405,$AP2807)),"時短開始日がマスタと相違／","")&amp;IF(AND($M2807&lt;&gt;"",INDEX(職員マスタ!$H$6:$H$405,$AP2807)&lt;&gt;"",$M2807&lt;&gt;INDEX(職員マスタ!$H$6:$H$405,$AP2807)),"時短終了日がマスタと相違／","")))&amp;IF(AND($B2807&lt;&gt;"",$E2807=""),"報酬額が未入力／","")&amp;IF(N($U2807)&gt;0,"申請書に入力エラーが残っています／","")&amp;IF(AND($B2807&lt;&gt;"",$AQ2807&lt;&gt;""),IF(COUNTIFS($B$6:$B$3005,$B2807,$C$6:$C$3005,$C2807,$D$6:$D$3005,$D2807)&gt;1,"同じ月の請求が重複しています／",""),"")&amp;IF(AND(N($E2807)&gt;0,$AB2807&lt;&gt;"",$AB2807&lt;&gt;"×",$AE2807=0,$AD2807=""),"計算額が下限以下のため不支給／",""))</f>
        <v/>
      </c>
      <c r="AN2807" s="12" t="n"/>
      <c r="AO2807" s="14">
        <f>IF($AF2807="保留中",COUNTIF($AF$6:$AF2807,"保留中"),"")</f>
        <v/>
      </c>
      <c r="AP2807" s="14">
        <f>IF($AQ2807="","",IF(SUMPRODUCT(MAX((職員マスタ!$A$6:$A$405=$B2807)*(((職員マスタ!$G$6:$G$405="")+(職員マスタ!$G$6:$G$405&lt;=EOMONTH($AQ2807,0)))&gt;0)*(((職員マスタ!$H$6:$H$405="")+(職員マスタ!$H$6:$H$405&gt;=$AQ2807))&gt;0)*(ROW(職員マスタ!$A$6:$A$405)-5)))&gt;0,SUMPRODUCT(MAX((職員マスタ!$A$6:$A$405=$B2807)*(((職員マスタ!$G$6:$G$405="")+(職員マスタ!$G$6:$G$405&lt;=EOMONTH($AQ2807,0)))&gt;0)*(((職員マスタ!$H$6:$H$405="")+(職員マスタ!$H$6:$H$405&gt;=$AQ2807))&gt;0)*(ROW(職員マスタ!$A$6:$A$405)-5))),IFERROR(MATCH($B2807,職員マスタ!$A$6:$A$405,0),"")))</f>
        <v/>
      </c>
      <c r="AQ2807" s="16">
        <f>IF(OR($B2807="",$C2807="",$D2807=""),"",DATE($C2807+2018,$D2807,1))</f>
        <v/>
      </c>
    </row>
    <row r="2808">
      <c r="A2808" s="11" t="n"/>
      <c r="B2808" s="12" t="n"/>
      <c r="C2808" s="12" t="n"/>
      <c r="D2808" s="12" t="n"/>
      <c r="E2808" s="13" t="n"/>
      <c r="F2808" s="12" t="n"/>
      <c r="G2808" s="13" t="n"/>
      <c r="H2808" s="12" t="n"/>
      <c r="I2808" s="12" t="n"/>
      <c r="J2808" s="12" t="n"/>
      <c r="K2808" s="12" t="n"/>
      <c r="L2808" s="11" t="n"/>
      <c r="M2808" s="11" t="n"/>
      <c r="N2808" s="11" t="n"/>
      <c r="O2808" s="11" t="n"/>
      <c r="P2808" s="12" t="n"/>
      <c r="Q2808" s="11" t="n"/>
      <c r="R2808" s="12" t="n"/>
      <c r="S2808" s="11" t="n"/>
      <c r="T2808" s="12" t="n"/>
      <c r="U2808" s="12" t="n"/>
      <c r="V2808" s="12" t="n"/>
      <c r="W2808" s="13" t="n"/>
      <c r="X2808" s="14">
        <f>IF($AP2808="",IF($B2808="","",$H2808),IF(INDEX(職員マスタ!$B$6:$B$405,$AP2808)="",$H2808,INDEX(職員マスタ!$B$6:$B$405,$AP2808)))</f>
        <v/>
      </c>
      <c r="Y2808" s="14">
        <f>IF($AP2808="",IF($B2808="","",$R2808),IF(INDEX(職員マスタ!$C$6:$C$405,$AP2808)="",$R2808,INDEX(職員マスタ!$C$6:$C$405,$AP2808)))</f>
        <v/>
      </c>
      <c r="Z2808" s="14">
        <f>IF($AQ2808="","","R"&amp;$C2808&amp;"."&amp;$D2808)</f>
        <v/>
      </c>
      <c r="AA2808" s="15">
        <f>IF(IF($AP2808="",FALSE,INDEX(職員マスタ!$K$6:$K$405,$AP2808)&lt;&gt;""),INDEX(職員マスタ!$K$6:$K$405,$AP2808),IF(N($W2808)&gt;0,$W2808,""))</f>
        <v/>
      </c>
      <c r="AB2808" s="14">
        <f>IF(OR($E2808="",$AA2808=""),"",IF($E2808&gt;=$AA2808,"×",IF($E2808&gt;=$AA2808*設定!$C$5,"△","○")))</f>
        <v/>
      </c>
      <c r="AC2808" s="15">
        <f>IF($AB2808="","",IF($AB2808="×",0,IF($AB2808="○",ROUNDDOWN($E2808*設定!$C$4,0),ROUNDDOWN($E2808*ROUND((9*$AA2808-9*$E2808)/(10*$E2808),4),0))))</f>
        <v/>
      </c>
      <c r="AD2808" s="13" t="n"/>
      <c r="AE2808" s="15">
        <f>IF($B2808="","",IF($AD2808&lt;&gt;"",$AD2808,IF($AC2808="","",IF($AC2808&lt;=設定!$C$3,0,$AC2808))))</f>
        <v/>
      </c>
      <c r="AF2808" s="14">
        <f>IF($B2808="","",IF(AND($AG2808&lt;&gt;"",$AI2808="",$AL2808=""),"保留中",IF($AL2808&lt;&gt;"",IF(N($AE2808)&gt;0,"支給済","不支給"),IF($AE2808="","要確認",IF($AE2808=0,"不支給","未処理")))))</f>
        <v/>
      </c>
      <c r="AG2808" s="12" t="n"/>
      <c r="AH2808" s="11" t="n"/>
      <c r="AI2808" s="11" t="n"/>
      <c r="AJ2808" s="11" t="n"/>
      <c r="AK2808" s="14">
        <f>IF(AND($AF2808="保留中",$AH2808&lt;&gt;""),TODAY()-$AH2808,"")</f>
        <v/>
      </c>
      <c r="AL2808" s="12" t="n"/>
      <c r="AM2808" s="14">
        <f>IF($B2808="","",IF($AQ2808="","対象年月が未入力／","")&amp;IF($B2808="","",IF($AP2808="","職員マスタに未登録の職員番号／",IF($AA2808="","標準報酬月額が未登録／","")&amp;IF(AND($AQ2808&lt;&gt;"",OR(AND(INDEX(職員マスタ!$G$6:$G$405,$AP2808)&lt;&gt;"",INDEX(職員マスタ!$G$6:$G$405,$AP2808)&gt;EOMONTH($AQ2808,0)),AND(INDEX(職員マスタ!$H$6:$H$405,$AP2808)&lt;&gt;"",INDEX(職員マスタ!$H$6:$H$405,$AP2808)&lt;$AQ2808))),"対象月が時短期間外／","")&amp;IF(AND(INDEX(職員マスタ!$K$6:$K$405,$AP2808)&lt;&gt;"",N($W2808)&gt;0,INDEX(職員マスタ!$K$6:$K$405,$AP2808)&lt;&gt;$W2808),"標準報酬月額が申請書と相違（台帳"&amp;TEXT(INDEX(職員マスタ!$K$6:$K$405,$AP2808),"#,##0")&amp;"円／申請書"&amp;TEXT($W2808,"#,##0")&amp;"円）／","")&amp;IF(AND(INDEX(職員マスタ!$F$6:$F$405,$AP2808)&lt;&gt;"",$AQ2808&lt;&gt;"",INDEX(職員マスタ!$F$6:$F$405,$AP2808)&lt;$AQ2808),"対象月に子が2歳到達済／","")&amp;IF(AND($H2808&lt;&gt;"",INDEX(職員マスタ!$B$6:$B$405,$AP2808)&lt;&gt;"",SUBSTITUTE(SUBSTITUTE($H2808," ","")," ","")&lt;&gt;SUBSTITUTE(SUBSTITUTE(INDEX(職員マスタ!$B$6:$B$405,$AP2808)," ","")," ","")),"氏名がマスタと相違／","")&amp;IF(AND($Q2808&lt;&gt;"",INDEX(職員マスタ!$E$6:$E$405,$AP2808)&lt;&gt;"",$Q2808&lt;&gt;INDEX(職員マスタ!$E$6:$E$405,$AP2808)),"子の生年月日がマスタと相違／","")&amp;IF(AND($L2808&lt;&gt;"",INDEX(職員マスタ!$G$6:$G$405,$AP2808)&lt;&gt;"",$L2808&lt;&gt;INDEX(職員マスタ!$G$6:$G$405,$AP2808)),"時短開始日がマスタと相違／","")&amp;IF(AND($M2808&lt;&gt;"",INDEX(職員マスタ!$H$6:$H$405,$AP2808)&lt;&gt;"",$M2808&lt;&gt;INDEX(職員マスタ!$H$6:$H$405,$AP2808)),"時短終了日がマスタと相違／","")))&amp;IF(AND($B2808&lt;&gt;"",$E2808=""),"報酬額が未入力／","")&amp;IF(N($U2808)&gt;0,"申請書に入力エラーが残っています／","")&amp;IF(AND($B2808&lt;&gt;"",$AQ2808&lt;&gt;""),IF(COUNTIFS($B$6:$B$3005,$B2808,$C$6:$C$3005,$C2808,$D$6:$D$3005,$D2808)&gt;1,"同じ月の請求が重複しています／",""),"")&amp;IF(AND(N($E2808)&gt;0,$AB2808&lt;&gt;"",$AB2808&lt;&gt;"×",$AE2808=0,$AD2808=""),"計算額が下限以下のため不支給／",""))</f>
        <v/>
      </c>
      <c r="AN2808" s="12" t="n"/>
      <c r="AO2808" s="14">
        <f>IF($AF2808="保留中",COUNTIF($AF$6:$AF2808,"保留中"),"")</f>
        <v/>
      </c>
      <c r="AP2808" s="14">
        <f>IF($AQ2808="","",IF(SUMPRODUCT(MAX((職員マスタ!$A$6:$A$405=$B2808)*(((職員マスタ!$G$6:$G$405="")+(職員マスタ!$G$6:$G$405&lt;=EOMONTH($AQ2808,0)))&gt;0)*(((職員マスタ!$H$6:$H$405="")+(職員マスタ!$H$6:$H$405&gt;=$AQ2808))&gt;0)*(ROW(職員マスタ!$A$6:$A$405)-5)))&gt;0,SUMPRODUCT(MAX((職員マスタ!$A$6:$A$405=$B2808)*(((職員マスタ!$G$6:$G$405="")+(職員マスタ!$G$6:$G$405&lt;=EOMONTH($AQ2808,0)))&gt;0)*(((職員マスタ!$H$6:$H$405="")+(職員マスタ!$H$6:$H$405&gt;=$AQ2808))&gt;0)*(ROW(職員マスタ!$A$6:$A$405)-5))),IFERROR(MATCH($B2808,職員マスタ!$A$6:$A$405,0),"")))</f>
        <v/>
      </c>
      <c r="AQ2808" s="16">
        <f>IF(OR($B2808="",$C2808="",$D2808=""),"",DATE($C2808+2018,$D2808,1))</f>
        <v/>
      </c>
    </row>
    <row r="2809">
      <c r="A2809" s="11" t="n"/>
      <c r="B2809" s="12" t="n"/>
      <c r="C2809" s="12" t="n"/>
      <c r="D2809" s="12" t="n"/>
      <c r="E2809" s="13" t="n"/>
      <c r="F2809" s="12" t="n"/>
      <c r="G2809" s="13" t="n"/>
      <c r="H2809" s="12" t="n"/>
      <c r="I2809" s="12" t="n"/>
      <c r="J2809" s="12" t="n"/>
      <c r="K2809" s="12" t="n"/>
      <c r="L2809" s="11" t="n"/>
      <c r="M2809" s="11" t="n"/>
      <c r="N2809" s="11" t="n"/>
      <c r="O2809" s="11" t="n"/>
      <c r="P2809" s="12" t="n"/>
      <c r="Q2809" s="11" t="n"/>
      <c r="R2809" s="12" t="n"/>
      <c r="S2809" s="11" t="n"/>
      <c r="T2809" s="12" t="n"/>
      <c r="U2809" s="12" t="n"/>
      <c r="V2809" s="12" t="n"/>
      <c r="W2809" s="13" t="n"/>
      <c r="X2809" s="14">
        <f>IF($AP2809="",IF($B2809="","",$H2809),IF(INDEX(職員マスタ!$B$6:$B$405,$AP2809)="",$H2809,INDEX(職員マスタ!$B$6:$B$405,$AP2809)))</f>
        <v/>
      </c>
      <c r="Y2809" s="14">
        <f>IF($AP2809="",IF($B2809="","",$R2809),IF(INDEX(職員マスタ!$C$6:$C$405,$AP2809)="",$R2809,INDEX(職員マスタ!$C$6:$C$405,$AP2809)))</f>
        <v/>
      </c>
      <c r="Z2809" s="14">
        <f>IF($AQ2809="","","R"&amp;$C2809&amp;"."&amp;$D2809)</f>
        <v/>
      </c>
      <c r="AA2809" s="15">
        <f>IF(IF($AP2809="",FALSE,INDEX(職員マスタ!$K$6:$K$405,$AP2809)&lt;&gt;""),INDEX(職員マスタ!$K$6:$K$405,$AP2809),IF(N($W2809)&gt;0,$W2809,""))</f>
        <v/>
      </c>
      <c r="AB2809" s="14">
        <f>IF(OR($E2809="",$AA2809=""),"",IF($E2809&gt;=$AA2809,"×",IF($E2809&gt;=$AA2809*設定!$C$5,"△","○")))</f>
        <v/>
      </c>
      <c r="AC2809" s="15">
        <f>IF($AB2809="","",IF($AB2809="×",0,IF($AB2809="○",ROUNDDOWN($E2809*設定!$C$4,0),ROUNDDOWN($E2809*ROUND((9*$AA2809-9*$E2809)/(10*$E2809),4),0))))</f>
        <v/>
      </c>
      <c r="AD2809" s="13" t="n"/>
      <c r="AE2809" s="15">
        <f>IF($B2809="","",IF($AD2809&lt;&gt;"",$AD2809,IF($AC2809="","",IF($AC2809&lt;=設定!$C$3,0,$AC2809))))</f>
        <v/>
      </c>
      <c r="AF2809" s="14">
        <f>IF($B2809="","",IF(AND($AG2809&lt;&gt;"",$AI2809="",$AL2809=""),"保留中",IF($AL2809&lt;&gt;"",IF(N($AE2809)&gt;0,"支給済","不支給"),IF($AE2809="","要確認",IF($AE2809=0,"不支給","未処理")))))</f>
        <v/>
      </c>
      <c r="AG2809" s="12" t="n"/>
      <c r="AH2809" s="11" t="n"/>
      <c r="AI2809" s="11" t="n"/>
      <c r="AJ2809" s="11" t="n"/>
      <c r="AK2809" s="14">
        <f>IF(AND($AF2809="保留中",$AH2809&lt;&gt;""),TODAY()-$AH2809,"")</f>
        <v/>
      </c>
      <c r="AL2809" s="12" t="n"/>
      <c r="AM2809" s="14">
        <f>IF($B2809="","",IF($AQ2809="","対象年月が未入力／","")&amp;IF($B2809="","",IF($AP2809="","職員マスタに未登録の職員番号／",IF($AA2809="","標準報酬月額が未登録／","")&amp;IF(AND($AQ2809&lt;&gt;"",OR(AND(INDEX(職員マスタ!$G$6:$G$405,$AP2809)&lt;&gt;"",INDEX(職員マスタ!$G$6:$G$405,$AP2809)&gt;EOMONTH($AQ2809,0)),AND(INDEX(職員マスタ!$H$6:$H$405,$AP2809)&lt;&gt;"",INDEX(職員マスタ!$H$6:$H$405,$AP2809)&lt;$AQ2809))),"対象月が時短期間外／","")&amp;IF(AND(INDEX(職員マスタ!$K$6:$K$405,$AP2809)&lt;&gt;"",N($W2809)&gt;0,INDEX(職員マスタ!$K$6:$K$405,$AP2809)&lt;&gt;$W2809),"標準報酬月額が申請書と相違（台帳"&amp;TEXT(INDEX(職員マスタ!$K$6:$K$405,$AP2809),"#,##0")&amp;"円／申請書"&amp;TEXT($W2809,"#,##0")&amp;"円）／","")&amp;IF(AND(INDEX(職員マスタ!$F$6:$F$405,$AP2809)&lt;&gt;"",$AQ2809&lt;&gt;"",INDEX(職員マスタ!$F$6:$F$405,$AP2809)&lt;$AQ2809),"対象月に子が2歳到達済／","")&amp;IF(AND($H2809&lt;&gt;"",INDEX(職員マスタ!$B$6:$B$405,$AP2809)&lt;&gt;"",SUBSTITUTE(SUBSTITUTE($H2809," ","")," ","")&lt;&gt;SUBSTITUTE(SUBSTITUTE(INDEX(職員マスタ!$B$6:$B$405,$AP2809)," ","")," ","")),"氏名がマスタと相違／","")&amp;IF(AND($Q2809&lt;&gt;"",INDEX(職員マスタ!$E$6:$E$405,$AP2809)&lt;&gt;"",$Q2809&lt;&gt;INDEX(職員マスタ!$E$6:$E$405,$AP2809)),"子の生年月日がマスタと相違／","")&amp;IF(AND($L2809&lt;&gt;"",INDEX(職員マスタ!$G$6:$G$405,$AP2809)&lt;&gt;"",$L2809&lt;&gt;INDEX(職員マスタ!$G$6:$G$405,$AP2809)),"時短開始日がマスタと相違／","")&amp;IF(AND($M2809&lt;&gt;"",INDEX(職員マスタ!$H$6:$H$405,$AP2809)&lt;&gt;"",$M2809&lt;&gt;INDEX(職員マスタ!$H$6:$H$405,$AP2809)),"時短終了日がマスタと相違／","")))&amp;IF(AND($B2809&lt;&gt;"",$E2809=""),"報酬額が未入力／","")&amp;IF(N($U2809)&gt;0,"申請書に入力エラーが残っています／","")&amp;IF(AND($B2809&lt;&gt;"",$AQ2809&lt;&gt;""),IF(COUNTIFS($B$6:$B$3005,$B2809,$C$6:$C$3005,$C2809,$D$6:$D$3005,$D2809)&gt;1,"同じ月の請求が重複しています／",""),"")&amp;IF(AND(N($E2809)&gt;0,$AB2809&lt;&gt;"",$AB2809&lt;&gt;"×",$AE2809=0,$AD2809=""),"計算額が下限以下のため不支給／",""))</f>
        <v/>
      </c>
      <c r="AN2809" s="12" t="n"/>
      <c r="AO2809" s="14">
        <f>IF($AF2809="保留中",COUNTIF($AF$6:$AF2809,"保留中"),"")</f>
        <v/>
      </c>
      <c r="AP2809" s="14">
        <f>IF($AQ2809="","",IF(SUMPRODUCT(MAX((職員マスタ!$A$6:$A$405=$B2809)*(((職員マスタ!$G$6:$G$405="")+(職員マスタ!$G$6:$G$405&lt;=EOMONTH($AQ2809,0)))&gt;0)*(((職員マスタ!$H$6:$H$405="")+(職員マスタ!$H$6:$H$405&gt;=$AQ2809))&gt;0)*(ROW(職員マスタ!$A$6:$A$405)-5)))&gt;0,SUMPRODUCT(MAX((職員マスタ!$A$6:$A$405=$B2809)*(((職員マスタ!$G$6:$G$405="")+(職員マスタ!$G$6:$G$405&lt;=EOMONTH($AQ2809,0)))&gt;0)*(((職員マスタ!$H$6:$H$405="")+(職員マスタ!$H$6:$H$405&gt;=$AQ2809))&gt;0)*(ROW(職員マスタ!$A$6:$A$405)-5))),IFERROR(MATCH($B2809,職員マスタ!$A$6:$A$405,0),"")))</f>
        <v/>
      </c>
      <c r="AQ2809" s="16">
        <f>IF(OR($B2809="",$C2809="",$D2809=""),"",DATE($C2809+2018,$D2809,1))</f>
        <v/>
      </c>
    </row>
    <row r="2810">
      <c r="A2810" s="11" t="n"/>
      <c r="B2810" s="12" t="n"/>
      <c r="C2810" s="12" t="n"/>
      <c r="D2810" s="12" t="n"/>
      <c r="E2810" s="13" t="n"/>
      <c r="F2810" s="12" t="n"/>
      <c r="G2810" s="13" t="n"/>
      <c r="H2810" s="12" t="n"/>
      <c r="I2810" s="12" t="n"/>
      <c r="J2810" s="12" t="n"/>
      <c r="K2810" s="12" t="n"/>
      <c r="L2810" s="11" t="n"/>
      <c r="M2810" s="11" t="n"/>
      <c r="N2810" s="11" t="n"/>
      <c r="O2810" s="11" t="n"/>
      <c r="P2810" s="12" t="n"/>
      <c r="Q2810" s="11" t="n"/>
      <c r="R2810" s="12" t="n"/>
      <c r="S2810" s="11" t="n"/>
      <c r="T2810" s="12" t="n"/>
      <c r="U2810" s="12" t="n"/>
      <c r="V2810" s="12" t="n"/>
      <c r="W2810" s="13" t="n"/>
      <c r="X2810" s="14">
        <f>IF($AP2810="",IF($B2810="","",$H2810),IF(INDEX(職員マスタ!$B$6:$B$405,$AP2810)="",$H2810,INDEX(職員マスタ!$B$6:$B$405,$AP2810)))</f>
        <v/>
      </c>
      <c r="Y2810" s="14">
        <f>IF($AP2810="",IF($B2810="","",$R2810),IF(INDEX(職員マスタ!$C$6:$C$405,$AP2810)="",$R2810,INDEX(職員マスタ!$C$6:$C$405,$AP2810)))</f>
        <v/>
      </c>
      <c r="Z2810" s="14">
        <f>IF($AQ2810="","","R"&amp;$C2810&amp;"."&amp;$D2810)</f>
        <v/>
      </c>
      <c r="AA2810" s="15">
        <f>IF(IF($AP2810="",FALSE,INDEX(職員マスタ!$K$6:$K$405,$AP2810)&lt;&gt;""),INDEX(職員マスタ!$K$6:$K$405,$AP2810),IF(N($W2810)&gt;0,$W2810,""))</f>
        <v/>
      </c>
      <c r="AB2810" s="14">
        <f>IF(OR($E2810="",$AA2810=""),"",IF($E2810&gt;=$AA2810,"×",IF($E2810&gt;=$AA2810*設定!$C$5,"△","○")))</f>
        <v/>
      </c>
      <c r="AC2810" s="15">
        <f>IF($AB2810="","",IF($AB2810="×",0,IF($AB2810="○",ROUNDDOWN($E2810*設定!$C$4,0),ROUNDDOWN($E2810*ROUND((9*$AA2810-9*$E2810)/(10*$E2810),4),0))))</f>
        <v/>
      </c>
      <c r="AD2810" s="13" t="n"/>
      <c r="AE2810" s="15">
        <f>IF($B2810="","",IF($AD2810&lt;&gt;"",$AD2810,IF($AC2810="","",IF($AC2810&lt;=設定!$C$3,0,$AC2810))))</f>
        <v/>
      </c>
      <c r="AF2810" s="14">
        <f>IF($B2810="","",IF(AND($AG2810&lt;&gt;"",$AI2810="",$AL2810=""),"保留中",IF($AL2810&lt;&gt;"",IF(N($AE2810)&gt;0,"支給済","不支給"),IF($AE2810="","要確認",IF($AE2810=0,"不支給","未処理")))))</f>
        <v/>
      </c>
      <c r="AG2810" s="12" t="n"/>
      <c r="AH2810" s="11" t="n"/>
      <c r="AI2810" s="11" t="n"/>
      <c r="AJ2810" s="11" t="n"/>
      <c r="AK2810" s="14">
        <f>IF(AND($AF2810="保留中",$AH2810&lt;&gt;""),TODAY()-$AH2810,"")</f>
        <v/>
      </c>
      <c r="AL2810" s="12" t="n"/>
      <c r="AM2810" s="14">
        <f>IF($B2810="","",IF($AQ2810="","対象年月が未入力／","")&amp;IF($B2810="","",IF($AP2810="","職員マスタに未登録の職員番号／",IF($AA2810="","標準報酬月額が未登録／","")&amp;IF(AND($AQ2810&lt;&gt;"",OR(AND(INDEX(職員マスタ!$G$6:$G$405,$AP2810)&lt;&gt;"",INDEX(職員マスタ!$G$6:$G$405,$AP2810)&gt;EOMONTH($AQ2810,0)),AND(INDEX(職員マスタ!$H$6:$H$405,$AP2810)&lt;&gt;"",INDEX(職員マスタ!$H$6:$H$405,$AP2810)&lt;$AQ2810))),"対象月が時短期間外／","")&amp;IF(AND(INDEX(職員マスタ!$K$6:$K$405,$AP2810)&lt;&gt;"",N($W2810)&gt;0,INDEX(職員マスタ!$K$6:$K$405,$AP2810)&lt;&gt;$W2810),"標準報酬月額が申請書と相違（台帳"&amp;TEXT(INDEX(職員マスタ!$K$6:$K$405,$AP2810),"#,##0")&amp;"円／申請書"&amp;TEXT($W2810,"#,##0")&amp;"円）／","")&amp;IF(AND(INDEX(職員マスタ!$F$6:$F$405,$AP2810)&lt;&gt;"",$AQ2810&lt;&gt;"",INDEX(職員マスタ!$F$6:$F$405,$AP2810)&lt;$AQ2810),"対象月に子が2歳到達済／","")&amp;IF(AND($H2810&lt;&gt;"",INDEX(職員マスタ!$B$6:$B$405,$AP2810)&lt;&gt;"",SUBSTITUTE(SUBSTITUTE($H2810," ","")," ","")&lt;&gt;SUBSTITUTE(SUBSTITUTE(INDEX(職員マスタ!$B$6:$B$405,$AP2810)," ","")," ","")),"氏名がマスタと相違／","")&amp;IF(AND($Q2810&lt;&gt;"",INDEX(職員マスタ!$E$6:$E$405,$AP2810)&lt;&gt;"",$Q2810&lt;&gt;INDEX(職員マスタ!$E$6:$E$405,$AP2810)),"子の生年月日がマスタと相違／","")&amp;IF(AND($L2810&lt;&gt;"",INDEX(職員マスタ!$G$6:$G$405,$AP2810)&lt;&gt;"",$L2810&lt;&gt;INDEX(職員マスタ!$G$6:$G$405,$AP2810)),"時短開始日がマスタと相違／","")&amp;IF(AND($M2810&lt;&gt;"",INDEX(職員マスタ!$H$6:$H$405,$AP2810)&lt;&gt;"",$M2810&lt;&gt;INDEX(職員マスタ!$H$6:$H$405,$AP2810)),"時短終了日がマスタと相違／","")))&amp;IF(AND($B2810&lt;&gt;"",$E2810=""),"報酬額が未入力／","")&amp;IF(N($U2810)&gt;0,"申請書に入力エラーが残っています／","")&amp;IF(AND($B2810&lt;&gt;"",$AQ2810&lt;&gt;""),IF(COUNTIFS($B$6:$B$3005,$B2810,$C$6:$C$3005,$C2810,$D$6:$D$3005,$D2810)&gt;1,"同じ月の請求が重複しています／",""),"")&amp;IF(AND(N($E2810)&gt;0,$AB2810&lt;&gt;"",$AB2810&lt;&gt;"×",$AE2810=0,$AD2810=""),"計算額が下限以下のため不支給／",""))</f>
        <v/>
      </c>
      <c r="AN2810" s="12" t="n"/>
      <c r="AO2810" s="14">
        <f>IF($AF2810="保留中",COUNTIF($AF$6:$AF2810,"保留中"),"")</f>
        <v/>
      </c>
      <c r="AP2810" s="14">
        <f>IF($AQ2810="","",IF(SUMPRODUCT(MAX((職員マスタ!$A$6:$A$405=$B2810)*(((職員マスタ!$G$6:$G$405="")+(職員マスタ!$G$6:$G$405&lt;=EOMONTH($AQ2810,0)))&gt;0)*(((職員マスタ!$H$6:$H$405="")+(職員マスタ!$H$6:$H$405&gt;=$AQ2810))&gt;0)*(ROW(職員マスタ!$A$6:$A$405)-5)))&gt;0,SUMPRODUCT(MAX((職員マスタ!$A$6:$A$405=$B2810)*(((職員マスタ!$G$6:$G$405="")+(職員マスタ!$G$6:$G$405&lt;=EOMONTH($AQ2810,0)))&gt;0)*(((職員マスタ!$H$6:$H$405="")+(職員マスタ!$H$6:$H$405&gt;=$AQ2810))&gt;0)*(ROW(職員マスタ!$A$6:$A$405)-5))),IFERROR(MATCH($B2810,職員マスタ!$A$6:$A$405,0),"")))</f>
        <v/>
      </c>
      <c r="AQ2810" s="16">
        <f>IF(OR($B2810="",$C2810="",$D2810=""),"",DATE($C2810+2018,$D2810,1))</f>
        <v/>
      </c>
    </row>
    <row r="2811">
      <c r="A2811" s="11" t="n"/>
      <c r="B2811" s="12" t="n"/>
      <c r="C2811" s="12" t="n"/>
      <c r="D2811" s="12" t="n"/>
      <c r="E2811" s="13" t="n"/>
      <c r="F2811" s="12" t="n"/>
      <c r="G2811" s="13" t="n"/>
      <c r="H2811" s="12" t="n"/>
      <c r="I2811" s="12" t="n"/>
      <c r="J2811" s="12" t="n"/>
      <c r="K2811" s="12" t="n"/>
      <c r="L2811" s="11" t="n"/>
      <c r="M2811" s="11" t="n"/>
      <c r="N2811" s="11" t="n"/>
      <c r="O2811" s="11" t="n"/>
      <c r="P2811" s="12" t="n"/>
      <c r="Q2811" s="11" t="n"/>
      <c r="R2811" s="12" t="n"/>
      <c r="S2811" s="11" t="n"/>
      <c r="T2811" s="12" t="n"/>
      <c r="U2811" s="12" t="n"/>
      <c r="V2811" s="12" t="n"/>
      <c r="W2811" s="13" t="n"/>
      <c r="X2811" s="14">
        <f>IF($AP2811="",IF($B2811="","",$H2811),IF(INDEX(職員マスタ!$B$6:$B$405,$AP2811)="",$H2811,INDEX(職員マスタ!$B$6:$B$405,$AP2811)))</f>
        <v/>
      </c>
      <c r="Y2811" s="14">
        <f>IF($AP2811="",IF($B2811="","",$R2811),IF(INDEX(職員マスタ!$C$6:$C$405,$AP2811)="",$R2811,INDEX(職員マスタ!$C$6:$C$405,$AP2811)))</f>
        <v/>
      </c>
      <c r="Z2811" s="14">
        <f>IF($AQ2811="","","R"&amp;$C2811&amp;"."&amp;$D2811)</f>
        <v/>
      </c>
      <c r="AA2811" s="15">
        <f>IF(IF($AP2811="",FALSE,INDEX(職員マスタ!$K$6:$K$405,$AP2811)&lt;&gt;""),INDEX(職員マスタ!$K$6:$K$405,$AP2811),IF(N($W2811)&gt;0,$W2811,""))</f>
        <v/>
      </c>
      <c r="AB2811" s="14">
        <f>IF(OR($E2811="",$AA2811=""),"",IF($E2811&gt;=$AA2811,"×",IF($E2811&gt;=$AA2811*設定!$C$5,"△","○")))</f>
        <v/>
      </c>
      <c r="AC2811" s="15">
        <f>IF($AB2811="","",IF($AB2811="×",0,IF($AB2811="○",ROUNDDOWN($E2811*設定!$C$4,0),ROUNDDOWN($E2811*ROUND((9*$AA2811-9*$E2811)/(10*$E2811),4),0))))</f>
        <v/>
      </c>
      <c r="AD2811" s="13" t="n"/>
      <c r="AE2811" s="15">
        <f>IF($B2811="","",IF($AD2811&lt;&gt;"",$AD2811,IF($AC2811="","",IF($AC2811&lt;=設定!$C$3,0,$AC2811))))</f>
        <v/>
      </c>
      <c r="AF2811" s="14">
        <f>IF($B2811="","",IF(AND($AG2811&lt;&gt;"",$AI2811="",$AL2811=""),"保留中",IF($AL2811&lt;&gt;"",IF(N($AE2811)&gt;0,"支給済","不支給"),IF($AE2811="","要確認",IF($AE2811=0,"不支給","未処理")))))</f>
        <v/>
      </c>
      <c r="AG2811" s="12" t="n"/>
      <c r="AH2811" s="11" t="n"/>
      <c r="AI2811" s="11" t="n"/>
      <c r="AJ2811" s="11" t="n"/>
      <c r="AK2811" s="14">
        <f>IF(AND($AF2811="保留中",$AH2811&lt;&gt;""),TODAY()-$AH2811,"")</f>
        <v/>
      </c>
      <c r="AL2811" s="12" t="n"/>
      <c r="AM2811" s="14">
        <f>IF($B2811="","",IF($AQ2811="","対象年月が未入力／","")&amp;IF($B2811="","",IF($AP2811="","職員マスタに未登録の職員番号／",IF($AA2811="","標準報酬月額が未登録／","")&amp;IF(AND($AQ2811&lt;&gt;"",OR(AND(INDEX(職員マスタ!$G$6:$G$405,$AP2811)&lt;&gt;"",INDEX(職員マスタ!$G$6:$G$405,$AP2811)&gt;EOMONTH($AQ2811,0)),AND(INDEX(職員マスタ!$H$6:$H$405,$AP2811)&lt;&gt;"",INDEX(職員マスタ!$H$6:$H$405,$AP2811)&lt;$AQ2811))),"対象月が時短期間外／","")&amp;IF(AND(INDEX(職員マスタ!$K$6:$K$405,$AP2811)&lt;&gt;"",N($W2811)&gt;0,INDEX(職員マスタ!$K$6:$K$405,$AP2811)&lt;&gt;$W2811),"標準報酬月額が申請書と相違（台帳"&amp;TEXT(INDEX(職員マスタ!$K$6:$K$405,$AP2811),"#,##0")&amp;"円／申請書"&amp;TEXT($W2811,"#,##0")&amp;"円）／","")&amp;IF(AND(INDEX(職員マスタ!$F$6:$F$405,$AP2811)&lt;&gt;"",$AQ2811&lt;&gt;"",INDEX(職員マスタ!$F$6:$F$405,$AP2811)&lt;$AQ2811),"対象月に子が2歳到達済／","")&amp;IF(AND($H2811&lt;&gt;"",INDEX(職員マスタ!$B$6:$B$405,$AP2811)&lt;&gt;"",SUBSTITUTE(SUBSTITUTE($H2811," ","")," ","")&lt;&gt;SUBSTITUTE(SUBSTITUTE(INDEX(職員マスタ!$B$6:$B$405,$AP2811)," ","")," ","")),"氏名がマスタと相違／","")&amp;IF(AND($Q2811&lt;&gt;"",INDEX(職員マスタ!$E$6:$E$405,$AP2811)&lt;&gt;"",$Q2811&lt;&gt;INDEX(職員マスタ!$E$6:$E$405,$AP2811)),"子の生年月日がマスタと相違／","")&amp;IF(AND($L2811&lt;&gt;"",INDEX(職員マスタ!$G$6:$G$405,$AP2811)&lt;&gt;"",$L2811&lt;&gt;INDEX(職員マスタ!$G$6:$G$405,$AP2811)),"時短開始日がマスタと相違／","")&amp;IF(AND($M2811&lt;&gt;"",INDEX(職員マスタ!$H$6:$H$405,$AP2811)&lt;&gt;"",$M2811&lt;&gt;INDEX(職員マスタ!$H$6:$H$405,$AP2811)),"時短終了日がマスタと相違／","")))&amp;IF(AND($B2811&lt;&gt;"",$E2811=""),"報酬額が未入力／","")&amp;IF(N($U2811)&gt;0,"申請書に入力エラーが残っています／","")&amp;IF(AND($B2811&lt;&gt;"",$AQ2811&lt;&gt;""),IF(COUNTIFS($B$6:$B$3005,$B2811,$C$6:$C$3005,$C2811,$D$6:$D$3005,$D2811)&gt;1,"同じ月の請求が重複しています／",""),"")&amp;IF(AND(N($E2811)&gt;0,$AB2811&lt;&gt;"",$AB2811&lt;&gt;"×",$AE2811=0,$AD2811=""),"計算額が下限以下のため不支給／",""))</f>
        <v/>
      </c>
      <c r="AN2811" s="12" t="n"/>
      <c r="AO2811" s="14">
        <f>IF($AF2811="保留中",COUNTIF($AF$6:$AF2811,"保留中"),"")</f>
        <v/>
      </c>
      <c r="AP2811" s="14">
        <f>IF($AQ2811="","",IF(SUMPRODUCT(MAX((職員マスタ!$A$6:$A$405=$B2811)*(((職員マスタ!$G$6:$G$405="")+(職員マスタ!$G$6:$G$405&lt;=EOMONTH($AQ2811,0)))&gt;0)*(((職員マスタ!$H$6:$H$405="")+(職員マスタ!$H$6:$H$405&gt;=$AQ2811))&gt;0)*(ROW(職員マスタ!$A$6:$A$405)-5)))&gt;0,SUMPRODUCT(MAX((職員マスタ!$A$6:$A$405=$B2811)*(((職員マスタ!$G$6:$G$405="")+(職員マスタ!$G$6:$G$405&lt;=EOMONTH($AQ2811,0)))&gt;0)*(((職員マスタ!$H$6:$H$405="")+(職員マスタ!$H$6:$H$405&gt;=$AQ2811))&gt;0)*(ROW(職員マスタ!$A$6:$A$405)-5))),IFERROR(MATCH($B2811,職員マスタ!$A$6:$A$405,0),"")))</f>
        <v/>
      </c>
      <c r="AQ2811" s="16">
        <f>IF(OR($B2811="",$C2811="",$D2811=""),"",DATE($C2811+2018,$D2811,1))</f>
        <v/>
      </c>
    </row>
    <row r="2812">
      <c r="A2812" s="11" t="n"/>
      <c r="B2812" s="12" t="n"/>
      <c r="C2812" s="12" t="n"/>
      <c r="D2812" s="12" t="n"/>
      <c r="E2812" s="13" t="n"/>
      <c r="F2812" s="12" t="n"/>
      <c r="G2812" s="13" t="n"/>
      <c r="H2812" s="12" t="n"/>
      <c r="I2812" s="12" t="n"/>
      <c r="J2812" s="12" t="n"/>
      <c r="K2812" s="12" t="n"/>
      <c r="L2812" s="11" t="n"/>
      <c r="M2812" s="11" t="n"/>
      <c r="N2812" s="11" t="n"/>
      <c r="O2812" s="11" t="n"/>
      <c r="P2812" s="12" t="n"/>
      <c r="Q2812" s="11" t="n"/>
      <c r="R2812" s="12" t="n"/>
      <c r="S2812" s="11" t="n"/>
      <c r="T2812" s="12" t="n"/>
      <c r="U2812" s="12" t="n"/>
      <c r="V2812" s="12" t="n"/>
      <c r="W2812" s="13" t="n"/>
      <c r="X2812" s="14">
        <f>IF($AP2812="",IF($B2812="","",$H2812),IF(INDEX(職員マスタ!$B$6:$B$405,$AP2812)="",$H2812,INDEX(職員マスタ!$B$6:$B$405,$AP2812)))</f>
        <v/>
      </c>
      <c r="Y2812" s="14">
        <f>IF($AP2812="",IF($B2812="","",$R2812),IF(INDEX(職員マスタ!$C$6:$C$405,$AP2812)="",$R2812,INDEX(職員マスタ!$C$6:$C$405,$AP2812)))</f>
        <v/>
      </c>
      <c r="Z2812" s="14">
        <f>IF($AQ2812="","","R"&amp;$C2812&amp;"."&amp;$D2812)</f>
        <v/>
      </c>
      <c r="AA2812" s="15">
        <f>IF(IF($AP2812="",FALSE,INDEX(職員マスタ!$K$6:$K$405,$AP2812)&lt;&gt;""),INDEX(職員マスタ!$K$6:$K$405,$AP2812),IF(N($W2812)&gt;0,$W2812,""))</f>
        <v/>
      </c>
      <c r="AB2812" s="14">
        <f>IF(OR($E2812="",$AA2812=""),"",IF($E2812&gt;=$AA2812,"×",IF($E2812&gt;=$AA2812*設定!$C$5,"△","○")))</f>
        <v/>
      </c>
      <c r="AC2812" s="15">
        <f>IF($AB2812="","",IF($AB2812="×",0,IF($AB2812="○",ROUNDDOWN($E2812*設定!$C$4,0),ROUNDDOWN($E2812*ROUND((9*$AA2812-9*$E2812)/(10*$E2812),4),0))))</f>
        <v/>
      </c>
      <c r="AD2812" s="13" t="n"/>
      <c r="AE2812" s="15">
        <f>IF($B2812="","",IF($AD2812&lt;&gt;"",$AD2812,IF($AC2812="","",IF($AC2812&lt;=設定!$C$3,0,$AC2812))))</f>
        <v/>
      </c>
      <c r="AF2812" s="14">
        <f>IF($B2812="","",IF(AND($AG2812&lt;&gt;"",$AI2812="",$AL2812=""),"保留中",IF($AL2812&lt;&gt;"",IF(N($AE2812)&gt;0,"支給済","不支給"),IF($AE2812="","要確認",IF($AE2812=0,"不支給","未処理")))))</f>
        <v/>
      </c>
      <c r="AG2812" s="12" t="n"/>
      <c r="AH2812" s="11" t="n"/>
      <c r="AI2812" s="11" t="n"/>
      <c r="AJ2812" s="11" t="n"/>
      <c r="AK2812" s="14">
        <f>IF(AND($AF2812="保留中",$AH2812&lt;&gt;""),TODAY()-$AH2812,"")</f>
        <v/>
      </c>
      <c r="AL2812" s="12" t="n"/>
      <c r="AM2812" s="14">
        <f>IF($B2812="","",IF($AQ2812="","対象年月が未入力／","")&amp;IF($B2812="","",IF($AP2812="","職員マスタに未登録の職員番号／",IF($AA2812="","標準報酬月額が未登録／","")&amp;IF(AND($AQ2812&lt;&gt;"",OR(AND(INDEX(職員マスタ!$G$6:$G$405,$AP2812)&lt;&gt;"",INDEX(職員マスタ!$G$6:$G$405,$AP2812)&gt;EOMONTH($AQ2812,0)),AND(INDEX(職員マスタ!$H$6:$H$405,$AP2812)&lt;&gt;"",INDEX(職員マスタ!$H$6:$H$405,$AP2812)&lt;$AQ2812))),"対象月が時短期間外／","")&amp;IF(AND(INDEX(職員マスタ!$K$6:$K$405,$AP2812)&lt;&gt;"",N($W2812)&gt;0,INDEX(職員マスタ!$K$6:$K$405,$AP2812)&lt;&gt;$W2812),"標準報酬月額が申請書と相違（台帳"&amp;TEXT(INDEX(職員マスタ!$K$6:$K$405,$AP2812),"#,##0")&amp;"円／申請書"&amp;TEXT($W2812,"#,##0")&amp;"円）／","")&amp;IF(AND(INDEX(職員マスタ!$F$6:$F$405,$AP2812)&lt;&gt;"",$AQ2812&lt;&gt;"",INDEX(職員マスタ!$F$6:$F$405,$AP2812)&lt;$AQ2812),"対象月に子が2歳到達済／","")&amp;IF(AND($H2812&lt;&gt;"",INDEX(職員マスタ!$B$6:$B$405,$AP2812)&lt;&gt;"",SUBSTITUTE(SUBSTITUTE($H2812," ","")," ","")&lt;&gt;SUBSTITUTE(SUBSTITUTE(INDEX(職員マスタ!$B$6:$B$405,$AP2812)," ","")," ","")),"氏名がマスタと相違／","")&amp;IF(AND($Q2812&lt;&gt;"",INDEX(職員マスタ!$E$6:$E$405,$AP2812)&lt;&gt;"",$Q2812&lt;&gt;INDEX(職員マスタ!$E$6:$E$405,$AP2812)),"子の生年月日がマスタと相違／","")&amp;IF(AND($L2812&lt;&gt;"",INDEX(職員マスタ!$G$6:$G$405,$AP2812)&lt;&gt;"",$L2812&lt;&gt;INDEX(職員マスタ!$G$6:$G$405,$AP2812)),"時短開始日がマスタと相違／","")&amp;IF(AND($M2812&lt;&gt;"",INDEX(職員マスタ!$H$6:$H$405,$AP2812)&lt;&gt;"",$M2812&lt;&gt;INDEX(職員マスタ!$H$6:$H$405,$AP2812)),"時短終了日がマスタと相違／","")))&amp;IF(AND($B2812&lt;&gt;"",$E2812=""),"報酬額が未入力／","")&amp;IF(N($U2812)&gt;0,"申請書に入力エラーが残っています／","")&amp;IF(AND($B2812&lt;&gt;"",$AQ2812&lt;&gt;""),IF(COUNTIFS($B$6:$B$3005,$B2812,$C$6:$C$3005,$C2812,$D$6:$D$3005,$D2812)&gt;1,"同じ月の請求が重複しています／",""),"")&amp;IF(AND(N($E2812)&gt;0,$AB2812&lt;&gt;"",$AB2812&lt;&gt;"×",$AE2812=0,$AD2812=""),"計算額が下限以下のため不支給／",""))</f>
        <v/>
      </c>
      <c r="AN2812" s="12" t="n"/>
      <c r="AO2812" s="14">
        <f>IF($AF2812="保留中",COUNTIF($AF$6:$AF2812,"保留中"),"")</f>
        <v/>
      </c>
      <c r="AP2812" s="14">
        <f>IF($AQ2812="","",IF(SUMPRODUCT(MAX((職員マスタ!$A$6:$A$405=$B2812)*(((職員マスタ!$G$6:$G$405="")+(職員マスタ!$G$6:$G$405&lt;=EOMONTH($AQ2812,0)))&gt;0)*(((職員マスタ!$H$6:$H$405="")+(職員マスタ!$H$6:$H$405&gt;=$AQ2812))&gt;0)*(ROW(職員マスタ!$A$6:$A$405)-5)))&gt;0,SUMPRODUCT(MAX((職員マスタ!$A$6:$A$405=$B2812)*(((職員マスタ!$G$6:$G$405="")+(職員マスタ!$G$6:$G$405&lt;=EOMONTH($AQ2812,0)))&gt;0)*(((職員マスタ!$H$6:$H$405="")+(職員マスタ!$H$6:$H$405&gt;=$AQ2812))&gt;0)*(ROW(職員マスタ!$A$6:$A$405)-5))),IFERROR(MATCH($B2812,職員マスタ!$A$6:$A$405,0),"")))</f>
        <v/>
      </c>
      <c r="AQ2812" s="16">
        <f>IF(OR($B2812="",$C2812="",$D2812=""),"",DATE($C2812+2018,$D2812,1))</f>
        <v/>
      </c>
    </row>
    <row r="2813">
      <c r="A2813" s="11" t="n"/>
      <c r="B2813" s="12" t="n"/>
      <c r="C2813" s="12" t="n"/>
      <c r="D2813" s="12" t="n"/>
      <c r="E2813" s="13" t="n"/>
      <c r="F2813" s="12" t="n"/>
      <c r="G2813" s="13" t="n"/>
      <c r="H2813" s="12" t="n"/>
      <c r="I2813" s="12" t="n"/>
      <c r="J2813" s="12" t="n"/>
      <c r="K2813" s="12" t="n"/>
      <c r="L2813" s="11" t="n"/>
      <c r="M2813" s="11" t="n"/>
      <c r="N2813" s="11" t="n"/>
      <c r="O2813" s="11" t="n"/>
      <c r="P2813" s="12" t="n"/>
      <c r="Q2813" s="11" t="n"/>
      <c r="R2813" s="12" t="n"/>
      <c r="S2813" s="11" t="n"/>
      <c r="T2813" s="12" t="n"/>
      <c r="U2813" s="12" t="n"/>
      <c r="V2813" s="12" t="n"/>
      <c r="W2813" s="13" t="n"/>
      <c r="X2813" s="14">
        <f>IF($AP2813="",IF($B2813="","",$H2813),IF(INDEX(職員マスタ!$B$6:$B$405,$AP2813)="",$H2813,INDEX(職員マスタ!$B$6:$B$405,$AP2813)))</f>
        <v/>
      </c>
      <c r="Y2813" s="14">
        <f>IF($AP2813="",IF($B2813="","",$R2813),IF(INDEX(職員マスタ!$C$6:$C$405,$AP2813)="",$R2813,INDEX(職員マスタ!$C$6:$C$405,$AP2813)))</f>
        <v/>
      </c>
      <c r="Z2813" s="14">
        <f>IF($AQ2813="","","R"&amp;$C2813&amp;"."&amp;$D2813)</f>
        <v/>
      </c>
      <c r="AA2813" s="15">
        <f>IF(IF($AP2813="",FALSE,INDEX(職員マスタ!$K$6:$K$405,$AP2813)&lt;&gt;""),INDEX(職員マスタ!$K$6:$K$405,$AP2813),IF(N($W2813)&gt;0,$W2813,""))</f>
        <v/>
      </c>
      <c r="AB2813" s="14">
        <f>IF(OR($E2813="",$AA2813=""),"",IF($E2813&gt;=$AA2813,"×",IF($E2813&gt;=$AA2813*設定!$C$5,"△","○")))</f>
        <v/>
      </c>
      <c r="AC2813" s="15">
        <f>IF($AB2813="","",IF($AB2813="×",0,IF($AB2813="○",ROUNDDOWN($E2813*設定!$C$4,0),ROUNDDOWN($E2813*ROUND((9*$AA2813-9*$E2813)/(10*$E2813),4),0))))</f>
        <v/>
      </c>
      <c r="AD2813" s="13" t="n"/>
      <c r="AE2813" s="15">
        <f>IF($B2813="","",IF($AD2813&lt;&gt;"",$AD2813,IF($AC2813="","",IF($AC2813&lt;=設定!$C$3,0,$AC2813))))</f>
        <v/>
      </c>
      <c r="AF2813" s="14">
        <f>IF($B2813="","",IF(AND($AG2813&lt;&gt;"",$AI2813="",$AL2813=""),"保留中",IF($AL2813&lt;&gt;"",IF(N($AE2813)&gt;0,"支給済","不支給"),IF($AE2813="","要確認",IF($AE2813=0,"不支給","未処理")))))</f>
        <v/>
      </c>
      <c r="AG2813" s="12" t="n"/>
      <c r="AH2813" s="11" t="n"/>
      <c r="AI2813" s="11" t="n"/>
      <c r="AJ2813" s="11" t="n"/>
      <c r="AK2813" s="14">
        <f>IF(AND($AF2813="保留中",$AH2813&lt;&gt;""),TODAY()-$AH2813,"")</f>
        <v/>
      </c>
      <c r="AL2813" s="12" t="n"/>
      <c r="AM2813" s="14">
        <f>IF($B2813="","",IF($AQ2813="","対象年月が未入力／","")&amp;IF($B2813="","",IF($AP2813="","職員マスタに未登録の職員番号／",IF($AA2813="","標準報酬月額が未登録／","")&amp;IF(AND($AQ2813&lt;&gt;"",OR(AND(INDEX(職員マスタ!$G$6:$G$405,$AP2813)&lt;&gt;"",INDEX(職員マスタ!$G$6:$G$405,$AP2813)&gt;EOMONTH($AQ2813,0)),AND(INDEX(職員マスタ!$H$6:$H$405,$AP2813)&lt;&gt;"",INDEX(職員マスタ!$H$6:$H$405,$AP2813)&lt;$AQ2813))),"対象月が時短期間外／","")&amp;IF(AND(INDEX(職員マスタ!$K$6:$K$405,$AP2813)&lt;&gt;"",N($W2813)&gt;0,INDEX(職員マスタ!$K$6:$K$405,$AP2813)&lt;&gt;$W2813),"標準報酬月額が申請書と相違（台帳"&amp;TEXT(INDEX(職員マスタ!$K$6:$K$405,$AP2813),"#,##0")&amp;"円／申請書"&amp;TEXT($W2813,"#,##0")&amp;"円）／","")&amp;IF(AND(INDEX(職員マスタ!$F$6:$F$405,$AP2813)&lt;&gt;"",$AQ2813&lt;&gt;"",INDEX(職員マスタ!$F$6:$F$405,$AP2813)&lt;$AQ2813),"対象月に子が2歳到達済／","")&amp;IF(AND($H2813&lt;&gt;"",INDEX(職員マスタ!$B$6:$B$405,$AP2813)&lt;&gt;"",SUBSTITUTE(SUBSTITUTE($H2813," ","")," ","")&lt;&gt;SUBSTITUTE(SUBSTITUTE(INDEX(職員マスタ!$B$6:$B$405,$AP2813)," ","")," ","")),"氏名がマスタと相違／","")&amp;IF(AND($Q2813&lt;&gt;"",INDEX(職員マスタ!$E$6:$E$405,$AP2813)&lt;&gt;"",$Q2813&lt;&gt;INDEX(職員マスタ!$E$6:$E$405,$AP2813)),"子の生年月日がマスタと相違／","")&amp;IF(AND($L2813&lt;&gt;"",INDEX(職員マスタ!$G$6:$G$405,$AP2813)&lt;&gt;"",$L2813&lt;&gt;INDEX(職員マスタ!$G$6:$G$405,$AP2813)),"時短開始日がマスタと相違／","")&amp;IF(AND($M2813&lt;&gt;"",INDEX(職員マスタ!$H$6:$H$405,$AP2813)&lt;&gt;"",$M2813&lt;&gt;INDEX(職員マスタ!$H$6:$H$405,$AP2813)),"時短終了日がマスタと相違／","")))&amp;IF(AND($B2813&lt;&gt;"",$E2813=""),"報酬額が未入力／","")&amp;IF(N($U2813)&gt;0,"申請書に入力エラーが残っています／","")&amp;IF(AND($B2813&lt;&gt;"",$AQ2813&lt;&gt;""),IF(COUNTIFS($B$6:$B$3005,$B2813,$C$6:$C$3005,$C2813,$D$6:$D$3005,$D2813)&gt;1,"同じ月の請求が重複しています／",""),"")&amp;IF(AND(N($E2813)&gt;0,$AB2813&lt;&gt;"",$AB2813&lt;&gt;"×",$AE2813=0,$AD2813=""),"計算額が下限以下のため不支給／",""))</f>
        <v/>
      </c>
      <c r="AN2813" s="12" t="n"/>
      <c r="AO2813" s="14">
        <f>IF($AF2813="保留中",COUNTIF($AF$6:$AF2813,"保留中"),"")</f>
        <v/>
      </c>
      <c r="AP2813" s="14">
        <f>IF($AQ2813="","",IF(SUMPRODUCT(MAX((職員マスタ!$A$6:$A$405=$B2813)*(((職員マスタ!$G$6:$G$405="")+(職員マスタ!$G$6:$G$405&lt;=EOMONTH($AQ2813,0)))&gt;0)*(((職員マスタ!$H$6:$H$405="")+(職員マスタ!$H$6:$H$405&gt;=$AQ2813))&gt;0)*(ROW(職員マスタ!$A$6:$A$405)-5)))&gt;0,SUMPRODUCT(MAX((職員マスタ!$A$6:$A$405=$B2813)*(((職員マスタ!$G$6:$G$405="")+(職員マスタ!$G$6:$G$405&lt;=EOMONTH($AQ2813,0)))&gt;0)*(((職員マスタ!$H$6:$H$405="")+(職員マスタ!$H$6:$H$405&gt;=$AQ2813))&gt;0)*(ROW(職員マスタ!$A$6:$A$405)-5))),IFERROR(MATCH($B2813,職員マスタ!$A$6:$A$405,0),"")))</f>
        <v/>
      </c>
      <c r="AQ2813" s="16">
        <f>IF(OR($B2813="",$C2813="",$D2813=""),"",DATE($C2813+2018,$D2813,1))</f>
        <v/>
      </c>
    </row>
    <row r="2814">
      <c r="A2814" s="11" t="n"/>
      <c r="B2814" s="12" t="n"/>
      <c r="C2814" s="12" t="n"/>
      <c r="D2814" s="12" t="n"/>
      <c r="E2814" s="13" t="n"/>
      <c r="F2814" s="12" t="n"/>
      <c r="G2814" s="13" t="n"/>
      <c r="H2814" s="12" t="n"/>
      <c r="I2814" s="12" t="n"/>
      <c r="J2814" s="12" t="n"/>
      <c r="K2814" s="12" t="n"/>
      <c r="L2814" s="11" t="n"/>
      <c r="M2814" s="11" t="n"/>
      <c r="N2814" s="11" t="n"/>
      <c r="O2814" s="11" t="n"/>
      <c r="P2814" s="12" t="n"/>
      <c r="Q2814" s="11" t="n"/>
      <c r="R2814" s="12" t="n"/>
      <c r="S2814" s="11" t="n"/>
      <c r="T2814" s="12" t="n"/>
      <c r="U2814" s="12" t="n"/>
      <c r="V2814" s="12" t="n"/>
      <c r="W2814" s="13" t="n"/>
      <c r="X2814" s="14">
        <f>IF($AP2814="",IF($B2814="","",$H2814),IF(INDEX(職員マスタ!$B$6:$B$405,$AP2814)="",$H2814,INDEX(職員マスタ!$B$6:$B$405,$AP2814)))</f>
        <v/>
      </c>
      <c r="Y2814" s="14">
        <f>IF($AP2814="",IF($B2814="","",$R2814),IF(INDEX(職員マスタ!$C$6:$C$405,$AP2814)="",$R2814,INDEX(職員マスタ!$C$6:$C$405,$AP2814)))</f>
        <v/>
      </c>
      <c r="Z2814" s="14">
        <f>IF($AQ2814="","","R"&amp;$C2814&amp;"."&amp;$D2814)</f>
        <v/>
      </c>
      <c r="AA2814" s="15">
        <f>IF(IF($AP2814="",FALSE,INDEX(職員マスタ!$K$6:$K$405,$AP2814)&lt;&gt;""),INDEX(職員マスタ!$K$6:$K$405,$AP2814),IF(N($W2814)&gt;0,$W2814,""))</f>
        <v/>
      </c>
      <c r="AB2814" s="14">
        <f>IF(OR($E2814="",$AA2814=""),"",IF($E2814&gt;=$AA2814,"×",IF($E2814&gt;=$AA2814*設定!$C$5,"△","○")))</f>
        <v/>
      </c>
      <c r="AC2814" s="15">
        <f>IF($AB2814="","",IF($AB2814="×",0,IF($AB2814="○",ROUNDDOWN($E2814*設定!$C$4,0),ROUNDDOWN($E2814*ROUND((9*$AA2814-9*$E2814)/(10*$E2814),4),0))))</f>
        <v/>
      </c>
      <c r="AD2814" s="13" t="n"/>
      <c r="AE2814" s="15">
        <f>IF($B2814="","",IF($AD2814&lt;&gt;"",$AD2814,IF($AC2814="","",IF($AC2814&lt;=設定!$C$3,0,$AC2814))))</f>
        <v/>
      </c>
      <c r="AF2814" s="14">
        <f>IF($B2814="","",IF(AND($AG2814&lt;&gt;"",$AI2814="",$AL2814=""),"保留中",IF($AL2814&lt;&gt;"",IF(N($AE2814)&gt;0,"支給済","不支給"),IF($AE2814="","要確認",IF($AE2814=0,"不支給","未処理")))))</f>
        <v/>
      </c>
      <c r="AG2814" s="12" t="n"/>
      <c r="AH2814" s="11" t="n"/>
      <c r="AI2814" s="11" t="n"/>
      <c r="AJ2814" s="11" t="n"/>
      <c r="AK2814" s="14">
        <f>IF(AND($AF2814="保留中",$AH2814&lt;&gt;""),TODAY()-$AH2814,"")</f>
        <v/>
      </c>
      <c r="AL2814" s="12" t="n"/>
      <c r="AM2814" s="14">
        <f>IF($B2814="","",IF($AQ2814="","対象年月が未入力／","")&amp;IF($B2814="","",IF($AP2814="","職員マスタに未登録の職員番号／",IF($AA2814="","標準報酬月額が未登録／","")&amp;IF(AND($AQ2814&lt;&gt;"",OR(AND(INDEX(職員マスタ!$G$6:$G$405,$AP2814)&lt;&gt;"",INDEX(職員マスタ!$G$6:$G$405,$AP2814)&gt;EOMONTH($AQ2814,0)),AND(INDEX(職員マスタ!$H$6:$H$405,$AP2814)&lt;&gt;"",INDEX(職員マスタ!$H$6:$H$405,$AP2814)&lt;$AQ2814))),"対象月が時短期間外／","")&amp;IF(AND(INDEX(職員マスタ!$K$6:$K$405,$AP2814)&lt;&gt;"",N($W2814)&gt;0,INDEX(職員マスタ!$K$6:$K$405,$AP2814)&lt;&gt;$W2814),"標準報酬月額が申請書と相違（台帳"&amp;TEXT(INDEX(職員マスタ!$K$6:$K$405,$AP2814),"#,##0")&amp;"円／申請書"&amp;TEXT($W2814,"#,##0")&amp;"円）／","")&amp;IF(AND(INDEX(職員マスタ!$F$6:$F$405,$AP2814)&lt;&gt;"",$AQ2814&lt;&gt;"",INDEX(職員マスタ!$F$6:$F$405,$AP2814)&lt;$AQ2814),"対象月に子が2歳到達済／","")&amp;IF(AND($H2814&lt;&gt;"",INDEX(職員マスタ!$B$6:$B$405,$AP2814)&lt;&gt;"",SUBSTITUTE(SUBSTITUTE($H2814," ","")," ","")&lt;&gt;SUBSTITUTE(SUBSTITUTE(INDEX(職員マスタ!$B$6:$B$405,$AP2814)," ","")," ","")),"氏名がマスタと相違／","")&amp;IF(AND($Q2814&lt;&gt;"",INDEX(職員マスタ!$E$6:$E$405,$AP2814)&lt;&gt;"",$Q2814&lt;&gt;INDEX(職員マスタ!$E$6:$E$405,$AP2814)),"子の生年月日がマスタと相違／","")&amp;IF(AND($L2814&lt;&gt;"",INDEX(職員マスタ!$G$6:$G$405,$AP2814)&lt;&gt;"",$L2814&lt;&gt;INDEX(職員マスタ!$G$6:$G$405,$AP2814)),"時短開始日がマスタと相違／","")&amp;IF(AND($M2814&lt;&gt;"",INDEX(職員マスタ!$H$6:$H$405,$AP2814)&lt;&gt;"",$M2814&lt;&gt;INDEX(職員マスタ!$H$6:$H$405,$AP2814)),"時短終了日がマスタと相違／","")))&amp;IF(AND($B2814&lt;&gt;"",$E2814=""),"報酬額が未入力／","")&amp;IF(N($U2814)&gt;0,"申請書に入力エラーが残っています／","")&amp;IF(AND($B2814&lt;&gt;"",$AQ2814&lt;&gt;""),IF(COUNTIFS($B$6:$B$3005,$B2814,$C$6:$C$3005,$C2814,$D$6:$D$3005,$D2814)&gt;1,"同じ月の請求が重複しています／",""),"")&amp;IF(AND(N($E2814)&gt;0,$AB2814&lt;&gt;"",$AB2814&lt;&gt;"×",$AE2814=0,$AD2814=""),"計算額が下限以下のため不支給／",""))</f>
        <v/>
      </c>
      <c r="AN2814" s="12" t="n"/>
      <c r="AO2814" s="14">
        <f>IF($AF2814="保留中",COUNTIF($AF$6:$AF2814,"保留中"),"")</f>
        <v/>
      </c>
      <c r="AP2814" s="14">
        <f>IF($AQ2814="","",IF(SUMPRODUCT(MAX((職員マスタ!$A$6:$A$405=$B2814)*(((職員マスタ!$G$6:$G$405="")+(職員マスタ!$G$6:$G$405&lt;=EOMONTH($AQ2814,0)))&gt;0)*(((職員マスタ!$H$6:$H$405="")+(職員マスタ!$H$6:$H$405&gt;=$AQ2814))&gt;0)*(ROW(職員マスタ!$A$6:$A$405)-5)))&gt;0,SUMPRODUCT(MAX((職員マスタ!$A$6:$A$405=$B2814)*(((職員マスタ!$G$6:$G$405="")+(職員マスタ!$G$6:$G$405&lt;=EOMONTH($AQ2814,0)))&gt;0)*(((職員マスタ!$H$6:$H$405="")+(職員マスタ!$H$6:$H$405&gt;=$AQ2814))&gt;0)*(ROW(職員マスタ!$A$6:$A$405)-5))),IFERROR(MATCH($B2814,職員マスタ!$A$6:$A$405,0),"")))</f>
        <v/>
      </c>
      <c r="AQ2814" s="16">
        <f>IF(OR($B2814="",$C2814="",$D2814=""),"",DATE($C2814+2018,$D2814,1))</f>
        <v/>
      </c>
    </row>
    <row r="2815">
      <c r="A2815" s="11" t="n"/>
      <c r="B2815" s="12" t="n"/>
      <c r="C2815" s="12" t="n"/>
      <c r="D2815" s="12" t="n"/>
      <c r="E2815" s="13" t="n"/>
      <c r="F2815" s="12" t="n"/>
      <c r="G2815" s="13" t="n"/>
      <c r="H2815" s="12" t="n"/>
      <c r="I2815" s="12" t="n"/>
      <c r="J2815" s="12" t="n"/>
      <c r="K2815" s="12" t="n"/>
      <c r="L2815" s="11" t="n"/>
      <c r="M2815" s="11" t="n"/>
      <c r="N2815" s="11" t="n"/>
      <c r="O2815" s="11" t="n"/>
      <c r="P2815" s="12" t="n"/>
      <c r="Q2815" s="11" t="n"/>
      <c r="R2815" s="12" t="n"/>
      <c r="S2815" s="11" t="n"/>
      <c r="T2815" s="12" t="n"/>
      <c r="U2815" s="12" t="n"/>
      <c r="V2815" s="12" t="n"/>
      <c r="W2815" s="13" t="n"/>
      <c r="X2815" s="14">
        <f>IF($AP2815="",IF($B2815="","",$H2815),IF(INDEX(職員マスタ!$B$6:$B$405,$AP2815)="",$H2815,INDEX(職員マスタ!$B$6:$B$405,$AP2815)))</f>
        <v/>
      </c>
      <c r="Y2815" s="14">
        <f>IF($AP2815="",IF($B2815="","",$R2815),IF(INDEX(職員マスタ!$C$6:$C$405,$AP2815)="",$R2815,INDEX(職員マスタ!$C$6:$C$405,$AP2815)))</f>
        <v/>
      </c>
      <c r="Z2815" s="14">
        <f>IF($AQ2815="","","R"&amp;$C2815&amp;"."&amp;$D2815)</f>
        <v/>
      </c>
      <c r="AA2815" s="15">
        <f>IF(IF($AP2815="",FALSE,INDEX(職員マスタ!$K$6:$K$405,$AP2815)&lt;&gt;""),INDEX(職員マスタ!$K$6:$K$405,$AP2815),IF(N($W2815)&gt;0,$W2815,""))</f>
        <v/>
      </c>
      <c r="AB2815" s="14">
        <f>IF(OR($E2815="",$AA2815=""),"",IF($E2815&gt;=$AA2815,"×",IF($E2815&gt;=$AA2815*設定!$C$5,"△","○")))</f>
        <v/>
      </c>
      <c r="AC2815" s="15">
        <f>IF($AB2815="","",IF($AB2815="×",0,IF($AB2815="○",ROUNDDOWN($E2815*設定!$C$4,0),ROUNDDOWN($E2815*ROUND((9*$AA2815-9*$E2815)/(10*$E2815),4),0))))</f>
        <v/>
      </c>
      <c r="AD2815" s="13" t="n"/>
      <c r="AE2815" s="15">
        <f>IF($B2815="","",IF($AD2815&lt;&gt;"",$AD2815,IF($AC2815="","",IF($AC2815&lt;=設定!$C$3,0,$AC2815))))</f>
        <v/>
      </c>
      <c r="AF2815" s="14">
        <f>IF($B2815="","",IF(AND($AG2815&lt;&gt;"",$AI2815="",$AL2815=""),"保留中",IF($AL2815&lt;&gt;"",IF(N($AE2815)&gt;0,"支給済","不支給"),IF($AE2815="","要確認",IF($AE2815=0,"不支給","未処理")))))</f>
        <v/>
      </c>
      <c r="AG2815" s="12" t="n"/>
      <c r="AH2815" s="11" t="n"/>
      <c r="AI2815" s="11" t="n"/>
      <c r="AJ2815" s="11" t="n"/>
      <c r="AK2815" s="14">
        <f>IF(AND($AF2815="保留中",$AH2815&lt;&gt;""),TODAY()-$AH2815,"")</f>
        <v/>
      </c>
      <c r="AL2815" s="12" t="n"/>
      <c r="AM2815" s="14">
        <f>IF($B2815="","",IF($AQ2815="","対象年月が未入力／","")&amp;IF($B2815="","",IF($AP2815="","職員マスタに未登録の職員番号／",IF($AA2815="","標準報酬月額が未登録／","")&amp;IF(AND($AQ2815&lt;&gt;"",OR(AND(INDEX(職員マスタ!$G$6:$G$405,$AP2815)&lt;&gt;"",INDEX(職員マスタ!$G$6:$G$405,$AP2815)&gt;EOMONTH($AQ2815,0)),AND(INDEX(職員マスタ!$H$6:$H$405,$AP2815)&lt;&gt;"",INDEX(職員マスタ!$H$6:$H$405,$AP2815)&lt;$AQ2815))),"対象月が時短期間外／","")&amp;IF(AND(INDEX(職員マスタ!$K$6:$K$405,$AP2815)&lt;&gt;"",N($W2815)&gt;0,INDEX(職員マスタ!$K$6:$K$405,$AP2815)&lt;&gt;$W2815),"標準報酬月額が申請書と相違（台帳"&amp;TEXT(INDEX(職員マスタ!$K$6:$K$405,$AP2815),"#,##0")&amp;"円／申請書"&amp;TEXT($W2815,"#,##0")&amp;"円）／","")&amp;IF(AND(INDEX(職員マスタ!$F$6:$F$405,$AP2815)&lt;&gt;"",$AQ2815&lt;&gt;"",INDEX(職員マスタ!$F$6:$F$405,$AP2815)&lt;$AQ2815),"対象月に子が2歳到達済／","")&amp;IF(AND($H2815&lt;&gt;"",INDEX(職員マスタ!$B$6:$B$405,$AP2815)&lt;&gt;"",SUBSTITUTE(SUBSTITUTE($H2815," ","")," ","")&lt;&gt;SUBSTITUTE(SUBSTITUTE(INDEX(職員マスタ!$B$6:$B$405,$AP2815)," ","")," ","")),"氏名がマスタと相違／","")&amp;IF(AND($Q2815&lt;&gt;"",INDEX(職員マスタ!$E$6:$E$405,$AP2815)&lt;&gt;"",$Q2815&lt;&gt;INDEX(職員マスタ!$E$6:$E$405,$AP2815)),"子の生年月日がマスタと相違／","")&amp;IF(AND($L2815&lt;&gt;"",INDEX(職員マスタ!$G$6:$G$405,$AP2815)&lt;&gt;"",$L2815&lt;&gt;INDEX(職員マスタ!$G$6:$G$405,$AP2815)),"時短開始日がマスタと相違／","")&amp;IF(AND($M2815&lt;&gt;"",INDEX(職員マスタ!$H$6:$H$405,$AP2815)&lt;&gt;"",$M2815&lt;&gt;INDEX(職員マスタ!$H$6:$H$405,$AP2815)),"時短終了日がマスタと相違／","")))&amp;IF(AND($B2815&lt;&gt;"",$E2815=""),"報酬額が未入力／","")&amp;IF(N($U2815)&gt;0,"申請書に入力エラーが残っています／","")&amp;IF(AND($B2815&lt;&gt;"",$AQ2815&lt;&gt;""),IF(COUNTIFS($B$6:$B$3005,$B2815,$C$6:$C$3005,$C2815,$D$6:$D$3005,$D2815)&gt;1,"同じ月の請求が重複しています／",""),"")&amp;IF(AND(N($E2815)&gt;0,$AB2815&lt;&gt;"",$AB2815&lt;&gt;"×",$AE2815=0,$AD2815=""),"計算額が下限以下のため不支給／",""))</f>
        <v/>
      </c>
      <c r="AN2815" s="12" t="n"/>
      <c r="AO2815" s="14">
        <f>IF($AF2815="保留中",COUNTIF($AF$6:$AF2815,"保留中"),"")</f>
        <v/>
      </c>
      <c r="AP2815" s="14">
        <f>IF($AQ2815="","",IF(SUMPRODUCT(MAX((職員マスタ!$A$6:$A$405=$B2815)*(((職員マスタ!$G$6:$G$405="")+(職員マスタ!$G$6:$G$405&lt;=EOMONTH($AQ2815,0)))&gt;0)*(((職員マスタ!$H$6:$H$405="")+(職員マスタ!$H$6:$H$405&gt;=$AQ2815))&gt;0)*(ROW(職員マスタ!$A$6:$A$405)-5)))&gt;0,SUMPRODUCT(MAX((職員マスタ!$A$6:$A$405=$B2815)*(((職員マスタ!$G$6:$G$405="")+(職員マスタ!$G$6:$G$405&lt;=EOMONTH($AQ2815,0)))&gt;0)*(((職員マスタ!$H$6:$H$405="")+(職員マスタ!$H$6:$H$405&gt;=$AQ2815))&gt;0)*(ROW(職員マスタ!$A$6:$A$405)-5))),IFERROR(MATCH($B2815,職員マスタ!$A$6:$A$405,0),"")))</f>
        <v/>
      </c>
      <c r="AQ2815" s="16">
        <f>IF(OR($B2815="",$C2815="",$D2815=""),"",DATE($C2815+2018,$D2815,1))</f>
        <v/>
      </c>
    </row>
    <row r="2816">
      <c r="A2816" s="11" t="n"/>
      <c r="B2816" s="12" t="n"/>
      <c r="C2816" s="12" t="n"/>
      <c r="D2816" s="12" t="n"/>
      <c r="E2816" s="13" t="n"/>
      <c r="F2816" s="12" t="n"/>
      <c r="G2816" s="13" t="n"/>
      <c r="H2816" s="12" t="n"/>
      <c r="I2816" s="12" t="n"/>
      <c r="J2816" s="12" t="n"/>
      <c r="K2816" s="12" t="n"/>
      <c r="L2816" s="11" t="n"/>
      <c r="M2816" s="11" t="n"/>
      <c r="N2816" s="11" t="n"/>
      <c r="O2816" s="11" t="n"/>
      <c r="P2816" s="12" t="n"/>
      <c r="Q2816" s="11" t="n"/>
      <c r="R2816" s="12" t="n"/>
      <c r="S2816" s="11" t="n"/>
      <c r="T2816" s="12" t="n"/>
      <c r="U2816" s="12" t="n"/>
      <c r="V2816" s="12" t="n"/>
      <c r="W2816" s="13" t="n"/>
      <c r="X2816" s="14">
        <f>IF($AP2816="",IF($B2816="","",$H2816),IF(INDEX(職員マスタ!$B$6:$B$405,$AP2816)="",$H2816,INDEX(職員マスタ!$B$6:$B$405,$AP2816)))</f>
        <v/>
      </c>
      <c r="Y2816" s="14">
        <f>IF($AP2816="",IF($B2816="","",$R2816),IF(INDEX(職員マスタ!$C$6:$C$405,$AP2816)="",$R2816,INDEX(職員マスタ!$C$6:$C$405,$AP2816)))</f>
        <v/>
      </c>
      <c r="Z2816" s="14">
        <f>IF($AQ2816="","","R"&amp;$C2816&amp;"."&amp;$D2816)</f>
        <v/>
      </c>
      <c r="AA2816" s="15">
        <f>IF(IF($AP2816="",FALSE,INDEX(職員マスタ!$K$6:$K$405,$AP2816)&lt;&gt;""),INDEX(職員マスタ!$K$6:$K$405,$AP2816),IF(N($W2816)&gt;0,$W2816,""))</f>
        <v/>
      </c>
      <c r="AB2816" s="14">
        <f>IF(OR($E2816="",$AA2816=""),"",IF($E2816&gt;=$AA2816,"×",IF($E2816&gt;=$AA2816*設定!$C$5,"△","○")))</f>
        <v/>
      </c>
      <c r="AC2816" s="15">
        <f>IF($AB2816="","",IF($AB2816="×",0,IF($AB2816="○",ROUNDDOWN($E2816*設定!$C$4,0),ROUNDDOWN($E2816*ROUND((9*$AA2816-9*$E2816)/(10*$E2816),4),0))))</f>
        <v/>
      </c>
      <c r="AD2816" s="13" t="n"/>
      <c r="AE2816" s="15">
        <f>IF($B2816="","",IF($AD2816&lt;&gt;"",$AD2816,IF($AC2816="","",IF($AC2816&lt;=設定!$C$3,0,$AC2816))))</f>
        <v/>
      </c>
      <c r="AF2816" s="14">
        <f>IF($B2816="","",IF(AND($AG2816&lt;&gt;"",$AI2816="",$AL2816=""),"保留中",IF($AL2816&lt;&gt;"",IF(N($AE2816)&gt;0,"支給済","不支給"),IF($AE2816="","要確認",IF($AE2816=0,"不支給","未処理")))))</f>
        <v/>
      </c>
      <c r="AG2816" s="12" t="n"/>
      <c r="AH2816" s="11" t="n"/>
      <c r="AI2816" s="11" t="n"/>
      <c r="AJ2816" s="11" t="n"/>
      <c r="AK2816" s="14">
        <f>IF(AND($AF2816="保留中",$AH2816&lt;&gt;""),TODAY()-$AH2816,"")</f>
        <v/>
      </c>
      <c r="AL2816" s="12" t="n"/>
      <c r="AM2816" s="14">
        <f>IF($B2816="","",IF($AQ2816="","対象年月が未入力／","")&amp;IF($B2816="","",IF($AP2816="","職員マスタに未登録の職員番号／",IF($AA2816="","標準報酬月額が未登録／","")&amp;IF(AND($AQ2816&lt;&gt;"",OR(AND(INDEX(職員マスタ!$G$6:$G$405,$AP2816)&lt;&gt;"",INDEX(職員マスタ!$G$6:$G$405,$AP2816)&gt;EOMONTH($AQ2816,0)),AND(INDEX(職員マスタ!$H$6:$H$405,$AP2816)&lt;&gt;"",INDEX(職員マスタ!$H$6:$H$405,$AP2816)&lt;$AQ2816))),"対象月が時短期間外／","")&amp;IF(AND(INDEX(職員マスタ!$K$6:$K$405,$AP2816)&lt;&gt;"",N($W2816)&gt;0,INDEX(職員マスタ!$K$6:$K$405,$AP2816)&lt;&gt;$W2816),"標準報酬月額が申請書と相違（台帳"&amp;TEXT(INDEX(職員マスタ!$K$6:$K$405,$AP2816),"#,##0")&amp;"円／申請書"&amp;TEXT($W2816,"#,##0")&amp;"円）／","")&amp;IF(AND(INDEX(職員マスタ!$F$6:$F$405,$AP2816)&lt;&gt;"",$AQ2816&lt;&gt;"",INDEX(職員マスタ!$F$6:$F$405,$AP2816)&lt;$AQ2816),"対象月に子が2歳到達済／","")&amp;IF(AND($H2816&lt;&gt;"",INDEX(職員マスタ!$B$6:$B$405,$AP2816)&lt;&gt;"",SUBSTITUTE(SUBSTITUTE($H2816," ","")," ","")&lt;&gt;SUBSTITUTE(SUBSTITUTE(INDEX(職員マスタ!$B$6:$B$405,$AP2816)," ","")," ","")),"氏名がマスタと相違／","")&amp;IF(AND($Q2816&lt;&gt;"",INDEX(職員マスタ!$E$6:$E$405,$AP2816)&lt;&gt;"",$Q2816&lt;&gt;INDEX(職員マスタ!$E$6:$E$405,$AP2816)),"子の生年月日がマスタと相違／","")&amp;IF(AND($L2816&lt;&gt;"",INDEX(職員マスタ!$G$6:$G$405,$AP2816)&lt;&gt;"",$L2816&lt;&gt;INDEX(職員マスタ!$G$6:$G$405,$AP2816)),"時短開始日がマスタと相違／","")&amp;IF(AND($M2816&lt;&gt;"",INDEX(職員マスタ!$H$6:$H$405,$AP2816)&lt;&gt;"",$M2816&lt;&gt;INDEX(職員マスタ!$H$6:$H$405,$AP2816)),"時短終了日がマスタと相違／","")))&amp;IF(AND($B2816&lt;&gt;"",$E2816=""),"報酬額が未入力／","")&amp;IF(N($U2816)&gt;0,"申請書に入力エラーが残っています／","")&amp;IF(AND($B2816&lt;&gt;"",$AQ2816&lt;&gt;""),IF(COUNTIFS($B$6:$B$3005,$B2816,$C$6:$C$3005,$C2816,$D$6:$D$3005,$D2816)&gt;1,"同じ月の請求が重複しています／",""),"")&amp;IF(AND(N($E2816)&gt;0,$AB2816&lt;&gt;"",$AB2816&lt;&gt;"×",$AE2816=0,$AD2816=""),"計算額が下限以下のため不支給／",""))</f>
        <v/>
      </c>
      <c r="AN2816" s="12" t="n"/>
      <c r="AO2816" s="14">
        <f>IF($AF2816="保留中",COUNTIF($AF$6:$AF2816,"保留中"),"")</f>
        <v/>
      </c>
      <c r="AP2816" s="14">
        <f>IF($AQ2816="","",IF(SUMPRODUCT(MAX((職員マスタ!$A$6:$A$405=$B2816)*(((職員マスタ!$G$6:$G$405="")+(職員マスタ!$G$6:$G$405&lt;=EOMONTH($AQ2816,0)))&gt;0)*(((職員マスタ!$H$6:$H$405="")+(職員マスタ!$H$6:$H$405&gt;=$AQ2816))&gt;0)*(ROW(職員マスタ!$A$6:$A$405)-5)))&gt;0,SUMPRODUCT(MAX((職員マスタ!$A$6:$A$405=$B2816)*(((職員マスタ!$G$6:$G$405="")+(職員マスタ!$G$6:$G$405&lt;=EOMONTH($AQ2816,0)))&gt;0)*(((職員マスタ!$H$6:$H$405="")+(職員マスタ!$H$6:$H$405&gt;=$AQ2816))&gt;0)*(ROW(職員マスタ!$A$6:$A$405)-5))),IFERROR(MATCH($B2816,職員マスタ!$A$6:$A$405,0),"")))</f>
        <v/>
      </c>
      <c r="AQ2816" s="16">
        <f>IF(OR($B2816="",$C2816="",$D2816=""),"",DATE($C2816+2018,$D2816,1))</f>
        <v/>
      </c>
    </row>
    <row r="2817">
      <c r="A2817" s="11" t="n"/>
      <c r="B2817" s="12" t="n"/>
      <c r="C2817" s="12" t="n"/>
      <c r="D2817" s="12" t="n"/>
      <c r="E2817" s="13" t="n"/>
      <c r="F2817" s="12" t="n"/>
      <c r="G2817" s="13" t="n"/>
      <c r="H2817" s="12" t="n"/>
      <c r="I2817" s="12" t="n"/>
      <c r="J2817" s="12" t="n"/>
      <c r="K2817" s="12" t="n"/>
      <c r="L2817" s="11" t="n"/>
      <c r="M2817" s="11" t="n"/>
      <c r="N2817" s="11" t="n"/>
      <c r="O2817" s="11" t="n"/>
      <c r="P2817" s="12" t="n"/>
      <c r="Q2817" s="11" t="n"/>
      <c r="R2817" s="12" t="n"/>
      <c r="S2817" s="11" t="n"/>
      <c r="T2817" s="12" t="n"/>
      <c r="U2817" s="12" t="n"/>
      <c r="V2817" s="12" t="n"/>
      <c r="W2817" s="13" t="n"/>
      <c r="X2817" s="14">
        <f>IF($AP2817="",IF($B2817="","",$H2817),IF(INDEX(職員マスタ!$B$6:$B$405,$AP2817)="",$H2817,INDEX(職員マスタ!$B$6:$B$405,$AP2817)))</f>
        <v/>
      </c>
      <c r="Y2817" s="14">
        <f>IF($AP2817="",IF($B2817="","",$R2817),IF(INDEX(職員マスタ!$C$6:$C$405,$AP2817)="",$R2817,INDEX(職員マスタ!$C$6:$C$405,$AP2817)))</f>
        <v/>
      </c>
      <c r="Z2817" s="14">
        <f>IF($AQ2817="","","R"&amp;$C2817&amp;"."&amp;$D2817)</f>
        <v/>
      </c>
      <c r="AA2817" s="15">
        <f>IF(IF($AP2817="",FALSE,INDEX(職員マスタ!$K$6:$K$405,$AP2817)&lt;&gt;""),INDEX(職員マスタ!$K$6:$K$405,$AP2817),IF(N($W2817)&gt;0,$W2817,""))</f>
        <v/>
      </c>
      <c r="AB2817" s="14">
        <f>IF(OR($E2817="",$AA2817=""),"",IF($E2817&gt;=$AA2817,"×",IF($E2817&gt;=$AA2817*設定!$C$5,"△","○")))</f>
        <v/>
      </c>
      <c r="AC2817" s="15">
        <f>IF($AB2817="","",IF($AB2817="×",0,IF($AB2817="○",ROUNDDOWN($E2817*設定!$C$4,0),ROUNDDOWN($E2817*ROUND((9*$AA2817-9*$E2817)/(10*$E2817),4),0))))</f>
        <v/>
      </c>
      <c r="AD2817" s="13" t="n"/>
      <c r="AE2817" s="15">
        <f>IF($B2817="","",IF($AD2817&lt;&gt;"",$AD2817,IF($AC2817="","",IF($AC2817&lt;=設定!$C$3,0,$AC2817))))</f>
        <v/>
      </c>
      <c r="AF2817" s="14">
        <f>IF($B2817="","",IF(AND($AG2817&lt;&gt;"",$AI2817="",$AL2817=""),"保留中",IF($AL2817&lt;&gt;"",IF(N($AE2817)&gt;0,"支給済","不支給"),IF($AE2817="","要確認",IF($AE2817=0,"不支給","未処理")))))</f>
        <v/>
      </c>
      <c r="AG2817" s="12" t="n"/>
      <c r="AH2817" s="11" t="n"/>
      <c r="AI2817" s="11" t="n"/>
      <c r="AJ2817" s="11" t="n"/>
      <c r="AK2817" s="14">
        <f>IF(AND($AF2817="保留中",$AH2817&lt;&gt;""),TODAY()-$AH2817,"")</f>
        <v/>
      </c>
      <c r="AL2817" s="12" t="n"/>
      <c r="AM2817" s="14">
        <f>IF($B2817="","",IF($AQ2817="","対象年月が未入力／","")&amp;IF($B2817="","",IF($AP2817="","職員マスタに未登録の職員番号／",IF($AA2817="","標準報酬月額が未登録／","")&amp;IF(AND($AQ2817&lt;&gt;"",OR(AND(INDEX(職員マスタ!$G$6:$G$405,$AP2817)&lt;&gt;"",INDEX(職員マスタ!$G$6:$G$405,$AP2817)&gt;EOMONTH($AQ2817,0)),AND(INDEX(職員マスタ!$H$6:$H$405,$AP2817)&lt;&gt;"",INDEX(職員マスタ!$H$6:$H$405,$AP2817)&lt;$AQ2817))),"対象月が時短期間外／","")&amp;IF(AND(INDEX(職員マスタ!$K$6:$K$405,$AP2817)&lt;&gt;"",N($W2817)&gt;0,INDEX(職員マスタ!$K$6:$K$405,$AP2817)&lt;&gt;$W2817),"標準報酬月額が申請書と相違（台帳"&amp;TEXT(INDEX(職員マスタ!$K$6:$K$405,$AP2817),"#,##0")&amp;"円／申請書"&amp;TEXT($W2817,"#,##0")&amp;"円）／","")&amp;IF(AND(INDEX(職員マスタ!$F$6:$F$405,$AP2817)&lt;&gt;"",$AQ2817&lt;&gt;"",INDEX(職員マスタ!$F$6:$F$405,$AP2817)&lt;$AQ2817),"対象月に子が2歳到達済／","")&amp;IF(AND($H2817&lt;&gt;"",INDEX(職員マスタ!$B$6:$B$405,$AP2817)&lt;&gt;"",SUBSTITUTE(SUBSTITUTE($H2817," ","")," ","")&lt;&gt;SUBSTITUTE(SUBSTITUTE(INDEX(職員マスタ!$B$6:$B$405,$AP2817)," ","")," ","")),"氏名がマスタと相違／","")&amp;IF(AND($Q2817&lt;&gt;"",INDEX(職員マスタ!$E$6:$E$405,$AP2817)&lt;&gt;"",$Q2817&lt;&gt;INDEX(職員マスタ!$E$6:$E$405,$AP2817)),"子の生年月日がマスタと相違／","")&amp;IF(AND($L2817&lt;&gt;"",INDEX(職員マスタ!$G$6:$G$405,$AP2817)&lt;&gt;"",$L2817&lt;&gt;INDEX(職員マスタ!$G$6:$G$405,$AP2817)),"時短開始日がマスタと相違／","")&amp;IF(AND($M2817&lt;&gt;"",INDEX(職員マスタ!$H$6:$H$405,$AP2817)&lt;&gt;"",$M2817&lt;&gt;INDEX(職員マスタ!$H$6:$H$405,$AP2817)),"時短終了日がマスタと相違／","")))&amp;IF(AND($B2817&lt;&gt;"",$E2817=""),"報酬額が未入力／","")&amp;IF(N($U2817)&gt;0,"申請書に入力エラーが残っています／","")&amp;IF(AND($B2817&lt;&gt;"",$AQ2817&lt;&gt;""),IF(COUNTIFS($B$6:$B$3005,$B2817,$C$6:$C$3005,$C2817,$D$6:$D$3005,$D2817)&gt;1,"同じ月の請求が重複しています／",""),"")&amp;IF(AND(N($E2817)&gt;0,$AB2817&lt;&gt;"",$AB2817&lt;&gt;"×",$AE2817=0,$AD2817=""),"計算額が下限以下のため不支給／",""))</f>
        <v/>
      </c>
      <c r="AN2817" s="12" t="n"/>
      <c r="AO2817" s="14">
        <f>IF($AF2817="保留中",COUNTIF($AF$6:$AF2817,"保留中"),"")</f>
        <v/>
      </c>
      <c r="AP2817" s="14">
        <f>IF($AQ2817="","",IF(SUMPRODUCT(MAX((職員マスタ!$A$6:$A$405=$B2817)*(((職員マスタ!$G$6:$G$405="")+(職員マスタ!$G$6:$G$405&lt;=EOMONTH($AQ2817,0)))&gt;0)*(((職員マスタ!$H$6:$H$405="")+(職員マスタ!$H$6:$H$405&gt;=$AQ2817))&gt;0)*(ROW(職員マスタ!$A$6:$A$405)-5)))&gt;0,SUMPRODUCT(MAX((職員マスタ!$A$6:$A$405=$B2817)*(((職員マスタ!$G$6:$G$405="")+(職員マスタ!$G$6:$G$405&lt;=EOMONTH($AQ2817,0)))&gt;0)*(((職員マスタ!$H$6:$H$405="")+(職員マスタ!$H$6:$H$405&gt;=$AQ2817))&gt;0)*(ROW(職員マスタ!$A$6:$A$405)-5))),IFERROR(MATCH($B2817,職員マスタ!$A$6:$A$405,0),"")))</f>
        <v/>
      </c>
      <c r="AQ2817" s="16">
        <f>IF(OR($B2817="",$C2817="",$D2817=""),"",DATE($C2817+2018,$D2817,1))</f>
        <v/>
      </c>
    </row>
    <row r="2818">
      <c r="A2818" s="11" t="n"/>
      <c r="B2818" s="12" t="n"/>
      <c r="C2818" s="12" t="n"/>
      <c r="D2818" s="12" t="n"/>
      <c r="E2818" s="13" t="n"/>
      <c r="F2818" s="12" t="n"/>
      <c r="G2818" s="13" t="n"/>
      <c r="H2818" s="12" t="n"/>
      <c r="I2818" s="12" t="n"/>
      <c r="J2818" s="12" t="n"/>
      <c r="K2818" s="12" t="n"/>
      <c r="L2818" s="11" t="n"/>
      <c r="M2818" s="11" t="n"/>
      <c r="N2818" s="11" t="n"/>
      <c r="O2818" s="11" t="n"/>
      <c r="P2818" s="12" t="n"/>
      <c r="Q2818" s="11" t="n"/>
      <c r="R2818" s="12" t="n"/>
      <c r="S2818" s="11" t="n"/>
      <c r="T2818" s="12" t="n"/>
      <c r="U2818" s="12" t="n"/>
      <c r="V2818" s="12" t="n"/>
      <c r="W2818" s="13" t="n"/>
      <c r="X2818" s="14">
        <f>IF($AP2818="",IF($B2818="","",$H2818),IF(INDEX(職員マスタ!$B$6:$B$405,$AP2818)="",$H2818,INDEX(職員マスタ!$B$6:$B$405,$AP2818)))</f>
        <v/>
      </c>
      <c r="Y2818" s="14">
        <f>IF($AP2818="",IF($B2818="","",$R2818),IF(INDEX(職員マスタ!$C$6:$C$405,$AP2818)="",$R2818,INDEX(職員マスタ!$C$6:$C$405,$AP2818)))</f>
        <v/>
      </c>
      <c r="Z2818" s="14">
        <f>IF($AQ2818="","","R"&amp;$C2818&amp;"."&amp;$D2818)</f>
        <v/>
      </c>
      <c r="AA2818" s="15">
        <f>IF(IF($AP2818="",FALSE,INDEX(職員マスタ!$K$6:$K$405,$AP2818)&lt;&gt;""),INDEX(職員マスタ!$K$6:$K$405,$AP2818),IF(N($W2818)&gt;0,$W2818,""))</f>
        <v/>
      </c>
      <c r="AB2818" s="14">
        <f>IF(OR($E2818="",$AA2818=""),"",IF($E2818&gt;=$AA2818,"×",IF($E2818&gt;=$AA2818*設定!$C$5,"△","○")))</f>
        <v/>
      </c>
      <c r="AC2818" s="15">
        <f>IF($AB2818="","",IF($AB2818="×",0,IF($AB2818="○",ROUNDDOWN($E2818*設定!$C$4,0),ROUNDDOWN($E2818*ROUND((9*$AA2818-9*$E2818)/(10*$E2818),4),0))))</f>
        <v/>
      </c>
      <c r="AD2818" s="13" t="n"/>
      <c r="AE2818" s="15">
        <f>IF($B2818="","",IF($AD2818&lt;&gt;"",$AD2818,IF($AC2818="","",IF($AC2818&lt;=設定!$C$3,0,$AC2818))))</f>
        <v/>
      </c>
      <c r="AF2818" s="14">
        <f>IF($B2818="","",IF(AND($AG2818&lt;&gt;"",$AI2818="",$AL2818=""),"保留中",IF($AL2818&lt;&gt;"",IF(N($AE2818)&gt;0,"支給済","不支給"),IF($AE2818="","要確認",IF($AE2818=0,"不支給","未処理")))))</f>
        <v/>
      </c>
      <c r="AG2818" s="12" t="n"/>
      <c r="AH2818" s="11" t="n"/>
      <c r="AI2818" s="11" t="n"/>
      <c r="AJ2818" s="11" t="n"/>
      <c r="AK2818" s="14">
        <f>IF(AND($AF2818="保留中",$AH2818&lt;&gt;""),TODAY()-$AH2818,"")</f>
        <v/>
      </c>
      <c r="AL2818" s="12" t="n"/>
      <c r="AM2818" s="14">
        <f>IF($B2818="","",IF($AQ2818="","対象年月が未入力／","")&amp;IF($B2818="","",IF($AP2818="","職員マスタに未登録の職員番号／",IF($AA2818="","標準報酬月額が未登録／","")&amp;IF(AND($AQ2818&lt;&gt;"",OR(AND(INDEX(職員マスタ!$G$6:$G$405,$AP2818)&lt;&gt;"",INDEX(職員マスタ!$G$6:$G$405,$AP2818)&gt;EOMONTH($AQ2818,0)),AND(INDEX(職員マスタ!$H$6:$H$405,$AP2818)&lt;&gt;"",INDEX(職員マスタ!$H$6:$H$405,$AP2818)&lt;$AQ2818))),"対象月が時短期間外／","")&amp;IF(AND(INDEX(職員マスタ!$K$6:$K$405,$AP2818)&lt;&gt;"",N($W2818)&gt;0,INDEX(職員マスタ!$K$6:$K$405,$AP2818)&lt;&gt;$W2818),"標準報酬月額が申請書と相違（台帳"&amp;TEXT(INDEX(職員マスタ!$K$6:$K$405,$AP2818),"#,##0")&amp;"円／申請書"&amp;TEXT($W2818,"#,##0")&amp;"円）／","")&amp;IF(AND(INDEX(職員マスタ!$F$6:$F$405,$AP2818)&lt;&gt;"",$AQ2818&lt;&gt;"",INDEX(職員マスタ!$F$6:$F$405,$AP2818)&lt;$AQ2818),"対象月に子が2歳到達済／","")&amp;IF(AND($H2818&lt;&gt;"",INDEX(職員マスタ!$B$6:$B$405,$AP2818)&lt;&gt;"",SUBSTITUTE(SUBSTITUTE($H2818," ","")," ","")&lt;&gt;SUBSTITUTE(SUBSTITUTE(INDEX(職員マスタ!$B$6:$B$405,$AP2818)," ","")," ","")),"氏名がマスタと相違／","")&amp;IF(AND($Q2818&lt;&gt;"",INDEX(職員マスタ!$E$6:$E$405,$AP2818)&lt;&gt;"",$Q2818&lt;&gt;INDEX(職員マスタ!$E$6:$E$405,$AP2818)),"子の生年月日がマスタと相違／","")&amp;IF(AND($L2818&lt;&gt;"",INDEX(職員マスタ!$G$6:$G$405,$AP2818)&lt;&gt;"",$L2818&lt;&gt;INDEX(職員マスタ!$G$6:$G$405,$AP2818)),"時短開始日がマスタと相違／","")&amp;IF(AND($M2818&lt;&gt;"",INDEX(職員マスタ!$H$6:$H$405,$AP2818)&lt;&gt;"",$M2818&lt;&gt;INDEX(職員マスタ!$H$6:$H$405,$AP2818)),"時短終了日がマスタと相違／","")))&amp;IF(AND($B2818&lt;&gt;"",$E2818=""),"報酬額が未入力／","")&amp;IF(N($U2818)&gt;0,"申請書に入力エラーが残っています／","")&amp;IF(AND($B2818&lt;&gt;"",$AQ2818&lt;&gt;""),IF(COUNTIFS($B$6:$B$3005,$B2818,$C$6:$C$3005,$C2818,$D$6:$D$3005,$D2818)&gt;1,"同じ月の請求が重複しています／",""),"")&amp;IF(AND(N($E2818)&gt;0,$AB2818&lt;&gt;"",$AB2818&lt;&gt;"×",$AE2818=0,$AD2818=""),"計算額が下限以下のため不支給／",""))</f>
        <v/>
      </c>
      <c r="AN2818" s="12" t="n"/>
      <c r="AO2818" s="14">
        <f>IF($AF2818="保留中",COUNTIF($AF$6:$AF2818,"保留中"),"")</f>
        <v/>
      </c>
      <c r="AP2818" s="14">
        <f>IF($AQ2818="","",IF(SUMPRODUCT(MAX((職員マスタ!$A$6:$A$405=$B2818)*(((職員マスタ!$G$6:$G$405="")+(職員マスタ!$G$6:$G$405&lt;=EOMONTH($AQ2818,0)))&gt;0)*(((職員マスタ!$H$6:$H$405="")+(職員マスタ!$H$6:$H$405&gt;=$AQ2818))&gt;0)*(ROW(職員マスタ!$A$6:$A$405)-5)))&gt;0,SUMPRODUCT(MAX((職員マスタ!$A$6:$A$405=$B2818)*(((職員マスタ!$G$6:$G$405="")+(職員マスタ!$G$6:$G$405&lt;=EOMONTH($AQ2818,0)))&gt;0)*(((職員マスタ!$H$6:$H$405="")+(職員マスタ!$H$6:$H$405&gt;=$AQ2818))&gt;0)*(ROW(職員マスタ!$A$6:$A$405)-5))),IFERROR(MATCH($B2818,職員マスタ!$A$6:$A$405,0),"")))</f>
        <v/>
      </c>
      <c r="AQ2818" s="16">
        <f>IF(OR($B2818="",$C2818="",$D2818=""),"",DATE($C2818+2018,$D2818,1))</f>
        <v/>
      </c>
    </row>
    <row r="2819">
      <c r="A2819" s="11" t="n"/>
      <c r="B2819" s="12" t="n"/>
      <c r="C2819" s="12" t="n"/>
      <c r="D2819" s="12" t="n"/>
      <c r="E2819" s="13" t="n"/>
      <c r="F2819" s="12" t="n"/>
      <c r="G2819" s="13" t="n"/>
      <c r="H2819" s="12" t="n"/>
      <c r="I2819" s="12" t="n"/>
      <c r="J2819" s="12" t="n"/>
      <c r="K2819" s="12" t="n"/>
      <c r="L2819" s="11" t="n"/>
      <c r="M2819" s="11" t="n"/>
      <c r="N2819" s="11" t="n"/>
      <c r="O2819" s="11" t="n"/>
      <c r="P2819" s="12" t="n"/>
      <c r="Q2819" s="11" t="n"/>
      <c r="R2819" s="12" t="n"/>
      <c r="S2819" s="11" t="n"/>
      <c r="T2819" s="12" t="n"/>
      <c r="U2819" s="12" t="n"/>
      <c r="V2819" s="12" t="n"/>
      <c r="W2819" s="13" t="n"/>
      <c r="X2819" s="14">
        <f>IF($AP2819="",IF($B2819="","",$H2819),IF(INDEX(職員マスタ!$B$6:$B$405,$AP2819)="",$H2819,INDEX(職員マスタ!$B$6:$B$405,$AP2819)))</f>
        <v/>
      </c>
      <c r="Y2819" s="14">
        <f>IF($AP2819="",IF($B2819="","",$R2819),IF(INDEX(職員マスタ!$C$6:$C$405,$AP2819)="",$R2819,INDEX(職員マスタ!$C$6:$C$405,$AP2819)))</f>
        <v/>
      </c>
      <c r="Z2819" s="14">
        <f>IF($AQ2819="","","R"&amp;$C2819&amp;"."&amp;$D2819)</f>
        <v/>
      </c>
      <c r="AA2819" s="15">
        <f>IF(IF($AP2819="",FALSE,INDEX(職員マスタ!$K$6:$K$405,$AP2819)&lt;&gt;""),INDEX(職員マスタ!$K$6:$K$405,$AP2819),IF(N($W2819)&gt;0,$W2819,""))</f>
        <v/>
      </c>
      <c r="AB2819" s="14">
        <f>IF(OR($E2819="",$AA2819=""),"",IF($E2819&gt;=$AA2819,"×",IF($E2819&gt;=$AA2819*設定!$C$5,"△","○")))</f>
        <v/>
      </c>
      <c r="AC2819" s="15">
        <f>IF($AB2819="","",IF($AB2819="×",0,IF($AB2819="○",ROUNDDOWN($E2819*設定!$C$4,0),ROUNDDOWN($E2819*ROUND((9*$AA2819-9*$E2819)/(10*$E2819),4),0))))</f>
        <v/>
      </c>
      <c r="AD2819" s="13" t="n"/>
      <c r="AE2819" s="15">
        <f>IF($B2819="","",IF($AD2819&lt;&gt;"",$AD2819,IF($AC2819="","",IF($AC2819&lt;=設定!$C$3,0,$AC2819))))</f>
        <v/>
      </c>
      <c r="AF2819" s="14">
        <f>IF($B2819="","",IF(AND($AG2819&lt;&gt;"",$AI2819="",$AL2819=""),"保留中",IF($AL2819&lt;&gt;"",IF(N($AE2819)&gt;0,"支給済","不支給"),IF($AE2819="","要確認",IF($AE2819=0,"不支給","未処理")))))</f>
        <v/>
      </c>
      <c r="AG2819" s="12" t="n"/>
      <c r="AH2819" s="11" t="n"/>
      <c r="AI2819" s="11" t="n"/>
      <c r="AJ2819" s="11" t="n"/>
      <c r="AK2819" s="14">
        <f>IF(AND($AF2819="保留中",$AH2819&lt;&gt;""),TODAY()-$AH2819,"")</f>
        <v/>
      </c>
      <c r="AL2819" s="12" t="n"/>
      <c r="AM2819" s="14">
        <f>IF($B2819="","",IF($AQ2819="","対象年月が未入力／","")&amp;IF($B2819="","",IF($AP2819="","職員マスタに未登録の職員番号／",IF($AA2819="","標準報酬月額が未登録／","")&amp;IF(AND($AQ2819&lt;&gt;"",OR(AND(INDEX(職員マスタ!$G$6:$G$405,$AP2819)&lt;&gt;"",INDEX(職員マスタ!$G$6:$G$405,$AP2819)&gt;EOMONTH($AQ2819,0)),AND(INDEX(職員マスタ!$H$6:$H$405,$AP2819)&lt;&gt;"",INDEX(職員マスタ!$H$6:$H$405,$AP2819)&lt;$AQ2819))),"対象月が時短期間外／","")&amp;IF(AND(INDEX(職員マスタ!$K$6:$K$405,$AP2819)&lt;&gt;"",N($W2819)&gt;0,INDEX(職員マスタ!$K$6:$K$405,$AP2819)&lt;&gt;$W2819),"標準報酬月額が申請書と相違（台帳"&amp;TEXT(INDEX(職員マスタ!$K$6:$K$405,$AP2819),"#,##0")&amp;"円／申請書"&amp;TEXT($W2819,"#,##0")&amp;"円）／","")&amp;IF(AND(INDEX(職員マスタ!$F$6:$F$405,$AP2819)&lt;&gt;"",$AQ2819&lt;&gt;"",INDEX(職員マスタ!$F$6:$F$405,$AP2819)&lt;$AQ2819),"対象月に子が2歳到達済／","")&amp;IF(AND($H2819&lt;&gt;"",INDEX(職員マスタ!$B$6:$B$405,$AP2819)&lt;&gt;"",SUBSTITUTE(SUBSTITUTE($H2819," ","")," ","")&lt;&gt;SUBSTITUTE(SUBSTITUTE(INDEX(職員マスタ!$B$6:$B$405,$AP2819)," ","")," ","")),"氏名がマスタと相違／","")&amp;IF(AND($Q2819&lt;&gt;"",INDEX(職員マスタ!$E$6:$E$405,$AP2819)&lt;&gt;"",$Q2819&lt;&gt;INDEX(職員マスタ!$E$6:$E$405,$AP2819)),"子の生年月日がマスタと相違／","")&amp;IF(AND($L2819&lt;&gt;"",INDEX(職員マスタ!$G$6:$G$405,$AP2819)&lt;&gt;"",$L2819&lt;&gt;INDEX(職員マスタ!$G$6:$G$405,$AP2819)),"時短開始日がマスタと相違／","")&amp;IF(AND($M2819&lt;&gt;"",INDEX(職員マスタ!$H$6:$H$405,$AP2819)&lt;&gt;"",$M2819&lt;&gt;INDEX(職員マスタ!$H$6:$H$405,$AP2819)),"時短終了日がマスタと相違／","")))&amp;IF(AND($B2819&lt;&gt;"",$E2819=""),"報酬額が未入力／","")&amp;IF(N($U2819)&gt;0,"申請書に入力エラーが残っています／","")&amp;IF(AND($B2819&lt;&gt;"",$AQ2819&lt;&gt;""),IF(COUNTIFS($B$6:$B$3005,$B2819,$C$6:$C$3005,$C2819,$D$6:$D$3005,$D2819)&gt;1,"同じ月の請求が重複しています／",""),"")&amp;IF(AND(N($E2819)&gt;0,$AB2819&lt;&gt;"",$AB2819&lt;&gt;"×",$AE2819=0,$AD2819=""),"計算額が下限以下のため不支給／",""))</f>
        <v/>
      </c>
      <c r="AN2819" s="12" t="n"/>
      <c r="AO2819" s="14">
        <f>IF($AF2819="保留中",COUNTIF($AF$6:$AF2819,"保留中"),"")</f>
        <v/>
      </c>
      <c r="AP2819" s="14">
        <f>IF($AQ2819="","",IF(SUMPRODUCT(MAX((職員マスタ!$A$6:$A$405=$B2819)*(((職員マスタ!$G$6:$G$405="")+(職員マスタ!$G$6:$G$405&lt;=EOMONTH($AQ2819,0)))&gt;0)*(((職員マスタ!$H$6:$H$405="")+(職員マスタ!$H$6:$H$405&gt;=$AQ2819))&gt;0)*(ROW(職員マスタ!$A$6:$A$405)-5)))&gt;0,SUMPRODUCT(MAX((職員マスタ!$A$6:$A$405=$B2819)*(((職員マスタ!$G$6:$G$405="")+(職員マスタ!$G$6:$G$405&lt;=EOMONTH($AQ2819,0)))&gt;0)*(((職員マスタ!$H$6:$H$405="")+(職員マスタ!$H$6:$H$405&gt;=$AQ2819))&gt;0)*(ROW(職員マスタ!$A$6:$A$405)-5))),IFERROR(MATCH($B2819,職員マスタ!$A$6:$A$405,0),"")))</f>
        <v/>
      </c>
      <c r="AQ2819" s="16">
        <f>IF(OR($B2819="",$C2819="",$D2819=""),"",DATE($C2819+2018,$D2819,1))</f>
        <v/>
      </c>
    </row>
    <row r="2820">
      <c r="A2820" s="11" t="n"/>
      <c r="B2820" s="12" t="n"/>
      <c r="C2820" s="12" t="n"/>
      <c r="D2820" s="12" t="n"/>
      <c r="E2820" s="13" t="n"/>
      <c r="F2820" s="12" t="n"/>
      <c r="G2820" s="13" t="n"/>
      <c r="H2820" s="12" t="n"/>
      <c r="I2820" s="12" t="n"/>
      <c r="J2820" s="12" t="n"/>
      <c r="K2820" s="12" t="n"/>
      <c r="L2820" s="11" t="n"/>
      <c r="M2820" s="11" t="n"/>
      <c r="N2820" s="11" t="n"/>
      <c r="O2820" s="11" t="n"/>
      <c r="P2820" s="12" t="n"/>
      <c r="Q2820" s="11" t="n"/>
      <c r="R2820" s="12" t="n"/>
      <c r="S2820" s="11" t="n"/>
      <c r="T2820" s="12" t="n"/>
      <c r="U2820" s="12" t="n"/>
      <c r="V2820" s="12" t="n"/>
      <c r="W2820" s="13" t="n"/>
      <c r="X2820" s="14">
        <f>IF($AP2820="",IF($B2820="","",$H2820),IF(INDEX(職員マスタ!$B$6:$B$405,$AP2820)="",$H2820,INDEX(職員マスタ!$B$6:$B$405,$AP2820)))</f>
        <v/>
      </c>
      <c r="Y2820" s="14">
        <f>IF($AP2820="",IF($B2820="","",$R2820),IF(INDEX(職員マスタ!$C$6:$C$405,$AP2820)="",$R2820,INDEX(職員マスタ!$C$6:$C$405,$AP2820)))</f>
        <v/>
      </c>
      <c r="Z2820" s="14">
        <f>IF($AQ2820="","","R"&amp;$C2820&amp;"."&amp;$D2820)</f>
        <v/>
      </c>
      <c r="AA2820" s="15">
        <f>IF(IF($AP2820="",FALSE,INDEX(職員マスタ!$K$6:$K$405,$AP2820)&lt;&gt;""),INDEX(職員マスタ!$K$6:$K$405,$AP2820),IF(N($W2820)&gt;0,$W2820,""))</f>
        <v/>
      </c>
      <c r="AB2820" s="14">
        <f>IF(OR($E2820="",$AA2820=""),"",IF($E2820&gt;=$AA2820,"×",IF($E2820&gt;=$AA2820*設定!$C$5,"△","○")))</f>
        <v/>
      </c>
      <c r="AC2820" s="15">
        <f>IF($AB2820="","",IF($AB2820="×",0,IF($AB2820="○",ROUNDDOWN($E2820*設定!$C$4,0),ROUNDDOWN($E2820*ROUND((9*$AA2820-9*$E2820)/(10*$E2820),4),0))))</f>
        <v/>
      </c>
      <c r="AD2820" s="13" t="n"/>
      <c r="AE2820" s="15">
        <f>IF($B2820="","",IF($AD2820&lt;&gt;"",$AD2820,IF($AC2820="","",IF($AC2820&lt;=設定!$C$3,0,$AC2820))))</f>
        <v/>
      </c>
      <c r="AF2820" s="14">
        <f>IF($B2820="","",IF(AND($AG2820&lt;&gt;"",$AI2820="",$AL2820=""),"保留中",IF($AL2820&lt;&gt;"",IF(N($AE2820)&gt;0,"支給済","不支給"),IF($AE2820="","要確認",IF($AE2820=0,"不支給","未処理")))))</f>
        <v/>
      </c>
      <c r="AG2820" s="12" t="n"/>
      <c r="AH2820" s="11" t="n"/>
      <c r="AI2820" s="11" t="n"/>
      <c r="AJ2820" s="11" t="n"/>
      <c r="AK2820" s="14">
        <f>IF(AND($AF2820="保留中",$AH2820&lt;&gt;""),TODAY()-$AH2820,"")</f>
        <v/>
      </c>
      <c r="AL2820" s="12" t="n"/>
      <c r="AM2820" s="14">
        <f>IF($B2820="","",IF($AQ2820="","対象年月が未入力／","")&amp;IF($B2820="","",IF($AP2820="","職員マスタに未登録の職員番号／",IF($AA2820="","標準報酬月額が未登録／","")&amp;IF(AND($AQ2820&lt;&gt;"",OR(AND(INDEX(職員マスタ!$G$6:$G$405,$AP2820)&lt;&gt;"",INDEX(職員マスタ!$G$6:$G$405,$AP2820)&gt;EOMONTH($AQ2820,0)),AND(INDEX(職員マスタ!$H$6:$H$405,$AP2820)&lt;&gt;"",INDEX(職員マスタ!$H$6:$H$405,$AP2820)&lt;$AQ2820))),"対象月が時短期間外／","")&amp;IF(AND(INDEX(職員マスタ!$K$6:$K$405,$AP2820)&lt;&gt;"",N($W2820)&gt;0,INDEX(職員マスタ!$K$6:$K$405,$AP2820)&lt;&gt;$W2820),"標準報酬月額が申請書と相違（台帳"&amp;TEXT(INDEX(職員マスタ!$K$6:$K$405,$AP2820),"#,##0")&amp;"円／申請書"&amp;TEXT($W2820,"#,##0")&amp;"円）／","")&amp;IF(AND(INDEX(職員マスタ!$F$6:$F$405,$AP2820)&lt;&gt;"",$AQ2820&lt;&gt;"",INDEX(職員マスタ!$F$6:$F$405,$AP2820)&lt;$AQ2820),"対象月に子が2歳到達済／","")&amp;IF(AND($H2820&lt;&gt;"",INDEX(職員マスタ!$B$6:$B$405,$AP2820)&lt;&gt;"",SUBSTITUTE(SUBSTITUTE($H2820," ","")," ","")&lt;&gt;SUBSTITUTE(SUBSTITUTE(INDEX(職員マスタ!$B$6:$B$405,$AP2820)," ","")," ","")),"氏名がマスタと相違／","")&amp;IF(AND($Q2820&lt;&gt;"",INDEX(職員マスタ!$E$6:$E$405,$AP2820)&lt;&gt;"",$Q2820&lt;&gt;INDEX(職員マスタ!$E$6:$E$405,$AP2820)),"子の生年月日がマスタと相違／","")&amp;IF(AND($L2820&lt;&gt;"",INDEX(職員マスタ!$G$6:$G$405,$AP2820)&lt;&gt;"",$L2820&lt;&gt;INDEX(職員マスタ!$G$6:$G$405,$AP2820)),"時短開始日がマスタと相違／","")&amp;IF(AND($M2820&lt;&gt;"",INDEX(職員マスタ!$H$6:$H$405,$AP2820)&lt;&gt;"",$M2820&lt;&gt;INDEX(職員マスタ!$H$6:$H$405,$AP2820)),"時短終了日がマスタと相違／","")))&amp;IF(AND($B2820&lt;&gt;"",$E2820=""),"報酬額が未入力／","")&amp;IF(N($U2820)&gt;0,"申請書に入力エラーが残っています／","")&amp;IF(AND($B2820&lt;&gt;"",$AQ2820&lt;&gt;""),IF(COUNTIFS($B$6:$B$3005,$B2820,$C$6:$C$3005,$C2820,$D$6:$D$3005,$D2820)&gt;1,"同じ月の請求が重複しています／",""),"")&amp;IF(AND(N($E2820)&gt;0,$AB2820&lt;&gt;"",$AB2820&lt;&gt;"×",$AE2820=0,$AD2820=""),"計算額が下限以下のため不支給／",""))</f>
        <v/>
      </c>
      <c r="AN2820" s="12" t="n"/>
      <c r="AO2820" s="14">
        <f>IF($AF2820="保留中",COUNTIF($AF$6:$AF2820,"保留中"),"")</f>
        <v/>
      </c>
      <c r="AP2820" s="14">
        <f>IF($AQ2820="","",IF(SUMPRODUCT(MAX((職員マスタ!$A$6:$A$405=$B2820)*(((職員マスタ!$G$6:$G$405="")+(職員マスタ!$G$6:$G$405&lt;=EOMONTH($AQ2820,0)))&gt;0)*(((職員マスタ!$H$6:$H$405="")+(職員マスタ!$H$6:$H$405&gt;=$AQ2820))&gt;0)*(ROW(職員マスタ!$A$6:$A$405)-5)))&gt;0,SUMPRODUCT(MAX((職員マスタ!$A$6:$A$405=$B2820)*(((職員マスタ!$G$6:$G$405="")+(職員マスタ!$G$6:$G$405&lt;=EOMONTH($AQ2820,0)))&gt;0)*(((職員マスタ!$H$6:$H$405="")+(職員マスタ!$H$6:$H$405&gt;=$AQ2820))&gt;0)*(ROW(職員マスタ!$A$6:$A$405)-5))),IFERROR(MATCH($B2820,職員マスタ!$A$6:$A$405,0),"")))</f>
        <v/>
      </c>
      <c r="AQ2820" s="16">
        <f>IF(OR($B2820="",$C2820="",$D2820=""),"",DATE($C2820+2018,$D2820,1))</f>
        <v/>
      </c>
    </row>
    <row r="2821">
      <c r="A2821" s="11" t="n"/>
      <c r="B2821" s="12" t="n"/>
      <c r="C2821" s="12" t="n"/>
      <c r="D2821" s="12" t="n"/>
      <c r="E2821" s="13" t="n"/>
      <c r="F2821" s="12" t="n"/>
      <c r="G2821" s="13" t="n"/>
      <c r="H2821" s="12" t="n"/>
      <c r="I2821" s="12" t="n"/>
      <c r="J2821" s="12" t="n"/>
      <c r="K2821" s="12" t="n"/>
      <c r="L2821" s="11" t="n"/>
      <c r="M2821" s="11" t="n"/>
      <c r="N2821" s="11" t="n"/>
      <c r="O2821" s="11" t="n"/>
      <c r="P2821" s="12" t="n"/>
      <c r="Q2821" s="11" t="n"/>
      <c r="R2821" s="12" t="n"/>
      <c r="S2821" s="11" t="n"/>
      <c r="T2821" s="12" t="n"/>
      <c r="U2821" s="12" t="n"/>
      <c r="V2821" s="12" t="n"/>
      <c r="W2821" s="13" t="n"/>
      <c r="X2821" s="14">
        <f>IF($AP2821="",IF($B2821="","",$H2821),IF(INDEX(職員マスタ!$B$6:$B$405,$AP2821)="",$H2821,INDEX(職員マスタ!$B$6:$B$405,$AP2821)))</f>
        <v/>
      </c>
      <c r="Y2821" s="14">
        <f>IF($AP2821="",IF($B2821="","",$R2821),IF(INDEX(職員マスタ!$C$6:$C$405,$AP2821)="",$R2821,INDEX(職員マスタ!$C$6:$C$405,$AP2821)))</f>
        <v/>
      </c>
      <c r="Z2821" s="14">
        <f>IF($AQ2821="","","R"&amp;$C2821&amp;"."&amp;$D2821)</f>
        <v/>
      </c>
      <c r="AA2821" s="15">
        <f>IF(IF($AP2821="",FALSE,INDEX(職員マスタ!$K$6:$K$405,$AP2821)&lt;&gt;""),INDEX(職員マスタ!$K$6:$K$405,$AP2821),IF(N($W2821)&gt;0,$W2821,""))</f>
        <v/>
      </c>
      <c r="AB2821" s="14">
        <f>IF(OR($E2821="",$AA2821=""),"",IF($E2821&gt;=$AA2821,"×",IF($E2821&gt;=$AA2821*設定!$C$5,"△","○")))</f>
        <v/>
      </c>
      <c r="AC2821" s="15">
        <f>IF($AB2821="","",IF($AB2821="×",0,IF($AB2821="○",ROUNDDOWN($E2821*設定!$C$4,0),ROUNDDOWN($E2821*ROUND((9*$AA2821-9*$E2821)/(10*$E2821),4),0))))</f>
        <v/>
      </c>
      <c r="AD2821" s="13" t="n"/>
      <c r="AE2821" s="15">
        <f>IF($B2821="","",IF($AD2821&lt;&gt;"",$AD2821,IF($AC2821="","",IF($AC2821&lt;=設定!$C$3,0,$AC2821))))</f>
        <v/>
      </c>
      <c r="AF2821" s="14">
        <f>IF($B2821="","",IF(AND($AG2821&lt;&gt;"",$AI2821="",$AL2821=""),"保留中",IF($AL2821&lt;&gt;"",IF(N($AE2821)&gt;0,"支給済","不支給"),IF($AE2821="","要確認",IF($AE2821=0,"不支給","未処理")))))</f>
        <v/>
      </c>
      <c r="AG2821" s="12" t="n"/>
      <c r="AH2821" s="11" t="n"/>
      <c r="AI2821" s="11" t="n"/>
      <c r="AJ2821" s="11" t="n"/>
      <c r="AK2821" s="14">
        <f>IF(AND($AF2821="保留中",$AH2821&lt;&gt;""),TODAY()-$AH2821,"")</f>
        <v/>
      </c>
      <c r="AL2821" s="12" t="n"/>
      <c r="AM2821" s="14">
        <f>IF($B2821="","",IF($AQ2821="","対象年月が未入力／","")&amp;IF($B2821="","",IF($AP2821="","職員マスタに未登録の職員番号／",IF($AA2821="","標準報酬月額が未登録／","")&amp;IF(AND($AQ2821&lt;&gt;"",OR(AND(INDEX(職員マスタ!$G$6:$G$405,$AP2821)&lt;&gt;"",INDEX(職員マスタ!$G$6:$G$405,$AP2821)&gt;EOMONTH($AQ2821,0)),AND(INDEX(職員マスタ!$H$6:$H$405,$AP2821)&lt;&gt;"",INDEX(職員マスタ!$H$6:$H$405,$AP2821)&lt;$AQ2821))),"対象月が時短期間外／","")&amp;IF(AND(INDEX(職員マスタ!$K$6:$K$405,$AP2821)&lt;&gt;"",N($W2821)&gt;0,INDEX(職員マスタ!$K$6:$K$405,$AP2821)&lt;&gt;$W2821),"標準報酬月額が申請書と相違（台帳"&amp;TEXT(INDEX(職員マスタ!$K$6:$K$405,$AP2821),"#,##0")&amp;"円／申請書"&amp;TEXT($W2821,"#,##0")&amp;"円）／","")&amp;IF(AND(INDEX(職員マスタ!$F$6:$F$405,$AP2821)&lt;&gt;"",$AQ2821&lt;&gt;"",INDEX(職員マスタ!$F$6:$F$405,$AP2821)&lt;$AQ2821),"対象月に子が2歳到達済／","")&amp;IF(AND($H2821&lt;&gt;"",INDEX(職員マスタ!$B$6:$B$405,$AP2821)&lt;&gt;"",SUBSTITUTE(SUBSTITUTE($H2821," ","")," ","")&lt;&gt;SUBSTITUTE(SUBSTITUTE(INDEX(職員マスタ!$B$6:$B$405,$AP2821)," ","")," ","")),"氏名がマスタと相違／","")&amp;IF(AND($Q2821&lt;&gt;"",INDEX(職員マスタ!$E$6:$E$405,$AP2821)&lt;&gt;"",$Q2821&lt;&gt;INDEX(職員マスタ!$E$6:$E$405,$AP2821)),"子の生年月日がマスタと相違／","")&amp;IF(AND($L2821&lt;&gt;"",INDEX(職員マスタ!$G$6:$G$405,$AP2821)&lt;&gt;"",$L2821&lt;&gt;INDEX(職員マスタ!$G$6:$G$405,$AP2821)),"時短開始日がマスタと相違／","")&amp;IF(AND($M2821&lt;&gt;"",INDEX(職員マスタ!$H$6:$H$405,$AP2821)&lt;&gt;"",$M2821&lt;&gt;INDEX(職員マスタ!$H$6:$H$405,$AP2821)),"時短終了日がマスタと相違／","")))&amp;IF(AND($B2821&lt;&gt;"",$E2821=""),"報酬額が未入力／","")&amp;IF(N($U2821)&gt;0,"申請書に入力エラーが残っています／","")&amp;IF(AND($B2821&lt;&gt;"",$AQ2821&lt;&gt;""),IF(COUNTIFS($B$6:$B$3005,$B2821,$C$6:$C$3005,$C2821,$D$6:$D$3005,$D2821)&gt;1,"同じ月の請求が重複しています／",""),"")&amp;IF(AND(N($E2821)&gt;0,$AB2821&lt;&gt;"",$AB2821&lt;&gt;"×",$AE2821=0,$AD2821=""),"計算額が下限以下のため不支給／",""))</f>
        <v/>
      </c>
      <c r="AN2821" s="12" t="n"/>
      <c r="AO2821" s="14">
        <f>IF($AF2821="保留中",COUNTIF($AF$6:$AF2821,"保留中"),"")</f>
        <v/>
      </c>
      <c r="AP2821" s="14">
        <f>IF($AQ2821="","",IF(SUMPRODUCT(MAX((職員マスタ!$A$6:$A$405=$B2821)*(((職員マスタ!$G$6:$G$405="")+(職員マスタ!$G$6:$G$405&lt;=EOMONTH($AQ2821,0)))&gt;0)*(((職員マスタ!$H$6:$H$405="")+(職員マスタ!$H$6:$H$405&gt;=$AQ2821))&gt;0)*(ROW(職員マスタ!$A$6:$A$405)-5)))&gt;0,SUMPRODUCT(MAX((職員マスタ!$A$6:$A$405=$B2821)*(((職員マスタ!$G$6:$G$405="")+(職員マスタ!$G$6:$G$405&lt;=EOMONTH($AQ2821,0)))&gt;0)*(((職員マスタ!$H$6:$H$405="")+(職員マスタ!$H$6:$H$405&gt;=$AQ2821))&gt;0)*(ROW(職員マスタ!$A$6:$A$405)-5))),IFERROR(MATCH($B2821,職員マスタ!$A$6:$A$405,0),"")))</f>
        <v/>
      </c>
      <c r="AQ2821" s="16">
        <f>IF(OR($B2821="",$C2821="",$D2821=""),"",DATE($C2821+2018,$D2821,1))</f>
        <v/>
      </c>
    </row>
    <row r="2822">
      <c r="A2822" s="11" t="n"/>
      <c r="B2822" s="12" t="n"/>
      <c r="C2822" s="12" t="n"/>
      <c r="D2822" s="12" t="n"/>
      <c r="E2822" s="13" t="n"/>
      <c r="F2822" s="12" t="n"/>
      <c r="G2822" s="13" t="n"/>
      <c r="H2822" s="12" t="n"/>
      <c r="I2822" s="12" t="n"/>
      <c r="J2822" s="12" t="n"/>
      <c r="K2822" s="12" t="n"/>
      <c r="L2822" s="11" t="n"/>
      <c r="M2822" s="11" t="n"/>
      <c r="N2822" s="11" t="n"/>
      <c r="O2822" s="11" t="n"/>
      <c r="P2822" s="12" t="n"/>
      <c r="Q2822" s="11" t="n"/>
      <c r="R2822" s="12" t="n"/>
      <c r="S2822" s="11" t="n"/>
      <c r="T2822" s="12" t="n"/>
      <c r="U2822" s="12" t="n"/>
      <c r="V2822" s="12" t="n"/>
      <c r="W2822" s="13" t="n"/>
      <c r="X2822" s="14">
        <f>IF($AP2822="",IF($B2822="","",$H2822),IF(INDEX(職員マスタ!$B$6:$B$405,$AP2822)="",$H2822,INDEX(職員マスタ!$B$6:$B$405,$AP2822)))</f>
        <v/>
      </c>
      <c r="Y2822" s="14">
        <f>IF($AP2822="",IF($B2822="","",$R2822),IF(INDEX(職員マスタ!$C$6:$C$405,$AP2822)="",$R2822,INDEX(職員マスタ!$C$6:$C$405,$AP2822)))</f>
        <v/>
      </c>
      <c r="Z2822" s="14">
        <f>IF($AQ2822="","","R"&amp;$C2822&amp;"."&amp;$D2822)</f>
        <v/>
      </c>
      <c r="AA2822" s="15">
        <f>IF(IF($AP2822="",FALSE,INDEX(職員マスタ!$K$6:$K$405,$AP2822)&lt;&gt;""),INDEX(職員マスタ!$K$6:$K$405,$AP2822),IF(N($W2822)&gt;0,$W2822,""))</f>
        <v/>
      </c>
      <c r="AB2822" s="14">
        <f>IF(OR($E2822="",$AA2822=""),"",IF($E2822&gt;=$AA2822,"×",IF($E2822&gt;=$AA2822*設定!$C$5,"△","○")))</f>
        <v/>
      </c>
      <c r="AC2822" s="15">
        <f>IF($AB2822="","",IF($AB2822="×",0,IF($AB2822="○",ROUNDDOWN($E2822*設定!$C$4,0),ROUNDDOWN($E2822*ROUND((9*$AA2822-9*$E2822)/(10*$E2822),4),0))))</f>
        <v/>
      </c>
      <c r="AD2822" s="13" t="n"/>
      <c r="AE2822" s="15">
        <f>IF($B2822="","",IF($AD2822&lt;&gt;"",$AD2822,IF($AC2822="","",IF($AC2822&lt;=設定!$C$3,0,$AC2822))))</f>
        <v/>
      </c>
      <c r="AF2822" s="14">
        <f>IF($B2822="","",IF(AND($AG2822&lt;&gt;"",$AI2822="",$AL2822=""),"保留中",IF($AL2822&lt;&gt;"",IF(N($AE2822)&gt;0,"支給済","不支給"),IF($AE2822="","要確認",IF($AE2822=0,"不支給","未処理")))))</f>
        <v/>
      </c>
      <c r="AG2822" s="12" t="n"/>
      <c r="AH2822" s="11" t="n"/>
      <c r="AI2822" s="11" t="n"/>
      <c r="AJ2822" s="11" t="n"/>
      <c r="AK2822" s="14">
        <f>IF(AND($AF2822="保留中",$AH2822&lt;&gt;""),TODAY()-$AH2822,"")</f>
        <v/>
      </c>
      <c r="AL2822" s="12" t="n"/>
      <c r="AM2822" s="14">
        <f>IF($B2822="","",IF($AQ2822="","対象年月が未入力／","")&amp;IF($B2822="","",IF($AP2822="","職員マスタに未登録の職員番号／",IF($AA2822="","標準報酬月額が未登録／","")&amp;IF(AND($AQ2822&lt;&gt;"",OR(AND(INDEX(職員マスタ!$G$6:$G$405,$AP2822)&lt;&gt;"",INDEX(職員マスタ!$G$6:$G$405,$AP2822)&gt;EOMONTH($AQ2822,0)),AND(INDEX(職員マスタ!$H$6:$H$405,$AP2822)&lt;&gt;"",INDEX(職員マスタ!$H$6:$H$405,$AP2822)&lt;$AQ2822))),"対象月が時短期間外／","")&amp;IF(AND(INDEX(職員マスタ!$K$6:$K$405,$AP2822)&lt;&gt;"",N($W2822)&gt;0,INDEX(職員マスタ!$K$6:$K$405,$AP2822)&lt;&gt;$W2822),"標準報酬月額が申請書と相違（台帳"&amp;TEXT(INDEX(職員マスタ!$K$6:$K$405,$AP2822),"#,##0")&amp;"円／申請書"&amp;TEXT($W2822,"#,##0")&amp;"円）／","")&amp;IF(AND(INDEX(職員マスタ!$F$6:$F$405,$AP2822)&lt;&gt;"",$AQ2822&lt;&gt;"",INDEX(職員マスタ!$F$6:$F$405,$AP2822)&lt;$AQ2822),"対象月に子が2歳到達済／","")&amp;IF(AND($H2822&lt;&gt;"",INDEX(職員マスタ!$B$6:$B$405,$AP2822)&lt;&gt;"",SUBSTITUTE(SUBSTITUTE($H2822," ","")," ","")&lt;&gt;SUBSTITUTE(SUBSTITUTE(INDEX(職員マスタ!$B$6:$B$405,$AP2822)," ","")," ","")),"氏名がマスタと相違／","")&amp;IF(AND($Q2822&lt;&gt;"",INDEX(職員マスタ!$E$6:$E$405,$AP2822)&lt;&gt;"",$Q2822&lt;&gt;INDEX(職員マスタ!$E$6:$E$405,$AP2822)),"子の生年月日がマスタと相違／","")&amp;IF(AND($L2822&lt;&gt;"",INDEX(職員マスタ!$G$6:$G$405,$AP2822)&lt;&gt;"",$L2822&lt;&gt;INDEX(職員マスタ!$G$6:$G$405,$AP2822)),"時短開始日がマスタと相違／","")&amp;IF(AND($M2822&lt;&gt;"",INDEX(職員マスタ!$H$6:$H$405,$AP2822)&lt;&gt;"",$M2822&lt;&gt;INDEX(職員マスタ!$H$6:$H$405,$AP2822)),"時短終了日がマスタと相違／","")))&amp;IF(AND($B2822&lt;&gt;"",$E2822=""),"報酬額が未入力／","")&amp;IF(N($U2822)&gt;0,"申請書に入力エラーが残っています／","")&amp;IF(AND($B2822&lt;&gt;"",$AQ2822&lt;&gt;""),IF(COUNTIFS($B$6:$B$3005,$B2822,$C$6:$C$3005,$C2822,$D$6:$D$3005,$D2822)&gt;1,"同じ月の請求が重複しています／",""),"")&amp;IF(AND(N($E2822)&gt;0,$AB2822&lt;&gt;"",$AB2822&lt;&gt;"×",$AE2822=0,$AD2822=""),"計算額が下限以下のため不支給／",""))</f>
        <v/>
      </c>
      <c r="AN2822" s="12" t="n"/>
      <c r="AO2822" s="14">
        <f>IF($AF2822="保留中",COUNTIF($AF$6:$AF2822,"保留中"),"")</f>
        <v/>
      </c>
      <c r="AP2822" s="14">
        <f>IF($AQ2822="","",IF(SUMPRODUCT(MAX((職員マスタ!$A$6:$A$405=$B2822)*(((職員マスタ!$G$6:$G$405="")+(職員マスタ!$G$6:$G$405&lt;=EOMONTH($AQ2822,0)))&gt;0)*(((職員マスタ!$H$6:$H$405="")+(職員マスタ!$H$6:$H$405&gt;=$AQ2822))&gt;0)*(ROW(職員マスタ!$A$6:$A$405)-5)))&gt;0,SUMPRODUCT(MAX((職員マスタ!$A$6:$A$405=$B2822)*(((職員マスタ!$G$6:$G$405="")+(職員マスタ!$G$6:$G$405&lt;=EOMONTH($AQ2822,0)))&gt;0)*(((職員マスタ!$H$6:$H$405="")+(職員マスタ!$H$6:$H$405&gt;=$AQ2822))&gt;0)*(ROW(職員マスタ!$A$6:$A$405)-5))),IFERROR(MATCH($B2822,職員マスタ!$A$6:$A$405,0),"")))</f>
        <v/>
      </c>
      <c r="AQ2822" s="16">
        <f>IF(OR($B2822="",$C2822="",$D2822=""),"",DATE($C2822+2018,$D2822,1))</f>
        <v/>
      </c>
    </row>
    <row r="2823">
      <c r="A2823" s="11" t="n"/>
      <c r="B2823" s="12" t="n"/>
      <c r="C2823" s="12" t="n"/>
      <c r="D2823" s="12" t="n"/>
      <c r="E2823" s="13" t="n"/>
      <c r="F2823" s="12" t="n"/>
      <c r="G2823" s="13" t="n"/>
      <c r="H2823" s="12" t="n"/>
      <c r="I2823" s="12" t="n"/>
      <c r="J2823" s="12" t="n"/>
      <c r="K2823" s="12" t="n"/>
      <c r="L2823" s="11" t="n"/>
      <c r="M2823" s="11" t="n"/>
      <c r="N2823" s="11" t="n"/>
      <c r="O2823" s="11" t="n"/>
      <c r="P2823" s="12" t="n"/>
      <c r="Q2823" s="11" t="n"/>
      <c r="R2823" s="12" t="n"/>
      <c r="S2823" s="11" t="n"/>
      <c r="T2823" s="12" t="n"/>
      <c r="U2823" s="12" t="n"/>
      <c r="V2823" s="12" t="n"/>
      <c r="W2823" s="13" t="n"/>
      <c r="X2823" s="14">
        <f>IF($AP2823="",IF($B2823="","",$H2823),IF(INDEX(職員マスタ!$B$6:$B$405,$AP2823)="",$H2823,INDEX(職員マスタ!$B$6:$B$405,$AP2823)))</f>
        <v/>
      </c>
      <c r="Y2823" s="14">
        <f>IF($AP2823="",IF($B2823="","",$R2823),IF(INDEX(職員マスタ!$C$6:$C$405,$AP2823)="",$R2823,INDEX(職員マスタ!$C$6:$C$405,$AP2823)))</f>
        <v/>
      </c>
      <c r="Z2823" s="14">
        <f>IF($AQ2823="","","R"&amp;$C2823&amp;"."&amp;$D2823)</f>
        <v/>
      </c>
      <c r="AA2823" s="15">
        <f>IF(IF($AP2823="",FALSE,INDEX(職員マスタ!$K$6:$K$405,$AP2823)&lt;&gt;""),INDEX(職員マスタ!$K$6:$K$405,$AP2823),IF(N($W2823)&gt;0,$W2823,""))</f>
        <v/>
      </c>
      <c r="AB2823" s="14">
        <f>IF(OR($E2823="",$AA2823=""),"",IF($E2823&gt;=$AA2823,"×",IF($E2823&gt;=$AA2823*設定!$C$5,"△","○")))</f>
        <v/>
      </c>
      <c r="AC2823" s="15">
        <f>IF($AB2823="","",IF($AB2823="×",0,IF($AB2823="○",ROUNDDOWN($E2823*設定!$C$4,0),ROUNDDOWN($E2823*ROUND((9*$AA2823-9*$E2823)/(10*$E2823),4),0))))</f>
        <v/>
      </c>
      <c r="AD2823" s="13" t="n"/>
      <c r="AE2823" s="15">
        <f>IF($B2823="","",IF($AD2823&lt;&gt;"",$AD2823,IF($AC2823="","",IF($AC2823&lt;=設定!$C$3,0,$AC2823))))</f>
        <v/>
      </c>
      <c r="AF2823" s="14">
        <f>IF($B2823="","",IF(AND($AG2823&lt;&gt;"",$AI2823="",$AL2823=""),"保留中",IF($AL2823&lt;&gt;"",IF(N($AE2823)&gt;0,"支給済","不支給"),IF($AE2823="","要確認",IF($AE2823=0,"不支給","未処理")))))</f>
        <v/>
      </c>
      <c r="AG2823" s="12" t="n"/>
      <c r="AH2823" s="11" t="n"/>
      <c r="AI2823" s="11" t="n"/>
      <c r="AJ2823" s="11" t="n"/>
      <c r="AK2823" s="14">
        <f>IF(AND($AF2823="保留中",$AH2823&lt;&gt;""),TODAY()-$AH2823,"")</f>
        <v/>
      </c>
      <c r="AL2823" s="12" t="n"/>
      <c r="AM2823" s="14">
        <f>IF($B2823="","",IF($AQ2823="","対象年月が未入力／","")&amp;IF($B2823="","",IF($AP2823="","職員マスタに未登録の職員番号／",IF($AA2823="","標準報酬月額が未登録／","")&amp;IF(AND($AQ2823&lt;&gt;"",OR(AND(INDEX(職員マスタ!$G$6:$G$405,$AP2823)&lt;&gt;"",INDEX(職員マスタ!$G$6:$G$405,$AP2823)&gt;EOMONTH($AQ2823,0)),AND(INDEX(職員マスタ!$H$6:$H$405,$AP2823)&lt;&gt;"",INDEX(職員マスタ!$H$6:$H$405,$AP2823)&lt;$AQ2823))),"対象月が時短期間外／","")&amp;IF(AND(INDEX(職員マスタ!$K$6:$K$405,$AP2823)&lt;&gt;"",N($W2823)&gt;0,INDEX(職員マスタ!$K$6:$K$405,$AP2823)&lt;&gt;$W2823),"標準報酬月額が申請書と相違（台帳"&amp;TEXT(INDEX(職員マスタ!$K$6:$K$405,$AP2823),"#,##0")&amp;"円／申請書"&amp;TEXT($W2823,"#,##0")&amp;"円）／","")&amp;IF(AND(INDEX(職員マスタ!$F$6:$F$405,$AP2823)&lt;&gt;"",$AQ2823&lt;&gt;"",INDEX(職員マスタ!$F$6:$F$405,$AP2823)&lt;$AQ2823),"対象月に子が2歳到達済／","")&amp;IF(AND($H2823&lt;&gt;"",INDEX(職員マスタ!$B$6:$B$405,$AP2823)&lt;&gt;"",SUBSTITUTE(SUBSTITUTE($H2823," ","")," ","")&lt;&gt;SUBSTITUTE(SUBSTITUTE(INDEX(職員マスタ!$B$6:$B$405,$AP2823)," ","")," ","")),"氏名がマスタと相違／","")&amp;IF(AND($Q2823&lt;&gt;"",INDEX(職員マスタ!$E$6:$E$405,$AP2823)&lt;&gt;"",$Q2823&lt;&gt;INDEX(職員マスタ!$E$6:$E$405,$AP2823)),"子の生年月日がマスタと相違／","")&amp;IF(AND($L2823&lt;&gt;"",INDEX(職員マスタ!$G$6:$G$405,$AP2823)&lt;&gt;"",$L2823&lt;&gt;INDEX(職員マスタ!$G$6:$G$405,$AP2823)),"時短開始日がマスタと相違／","")&amp;IF(AND($M2823&lt;&gt;"",INDEX(職員マスタ!$H$6:$H$405,$AP2823)&lt;&gt;"",$M2823&lt;&gt;INDEX(職員マスタ!$H$6:$H$405,$AP2823)),"時短終了日がマスタと相違／","")))&amp;IF(AND($B2823&lt;&gt;"",$E2823=""),"報酬額が未入力／","")&amp;IF(N($U2823)&gt;0,"申請書に入力エラーが残っています／","")&amp;IF(AND($B2823&lt;&gt;"",$AQ2823&lt;&gt;""),IF(COUNTIFS($B$6:$B$3005,$B2823,$C$6:$C$3005,$C2823,$D$6:$D$3005,$D2823)&gt;1,"同じ月の請求が重複しています／",""),"")&amp;IF(AND(N($E2823)&gt;0,$AB2823&lt;&gt;"",$AB2823&lt;&gt;"×",$AE2823=0,$AD2823=""),"計算額が下限以下のため不支給／",""))</f>
        <v/>
      </c>
      <c r="AN2823" s="12" t="n"/>
      <c r="AO2823" s="14">
        <f>IF($AF2823="保留中",COUNTIF($AF$6:$AF2823,"保留中"),"")</f>
        <v/>
      </c>
      <c r="AP2823" s="14">
        <f>IF($AQ2823="","",IF(SUMPRODUCT(MAX((職員マスタ!$A$6:$A$405=$B2823)*(((職員マスタ!$G$6:$G$405="")+(職員マスタ!$G$6:$G$405&lt;=EOMONTH($AQ2823,0)))&gt;0)*(((職員マスタ!$H$6:$H$405="")+(職員マスタ!$H$6:$H$405&gt;=$AQ2823))&gt;0)*(ROW(職員マスタ!$A$6:$A$405)-5)))&gt;0,SUMPRODUCT(MAX((職員マスタ!$A$6:$A$405=$B2823)*(((職員マスタ!$G$6:$G$405="")+(職員マスタ!$G$6:$G$405&lt;=EOMONTH($AQ2823,0)))&gt;0)*(((職員マスタ!$H$6:$H$405="")+(職員マスタ!$H$6:$H$405&gt;=$AQ2823))&gt;0)*(ROW(職員マスタ!$A$6:$A$405)-5))),IFERROR(MATCH($B2823,職員マスタ!$A$6:$A$405,0),"")))</f>
        <v/>
      </c>
      <c r="AQ2823" s="16">
        <f>IF(OR($B2823="",$C2823="",$D2823=""),"",DATE($C2823+2018,$D2823,1))</f>
        <v/>
      </c>
    </row>
    <row r="2824">
      <c r="A2824" s="11" t="n"/>
      <c r="B2824" s="12" t="n"/>
      <c r="C2824" s="12" t="n"/>
      <c r="D2824" s="12" t="n"/>
      <c r="E2824" s="13" t="n"/>
      <c r="F2824" s="12" t="n"/>
      <c r="G2824" s="13" t="n"/>
      <c r="H2824" s="12" t="n"/>
      <c r="I2824" s="12" t="n"/>
      <c r="J2824" s="12" t="n"/>
      <c r="K2824" s="12" t="n"/>
      <c r="L2824" s="11" t="n"/>
      <c r="M2824" s="11" t="n"/>
      <c r="N2824" s="11" t="n"/>
      <c r="O2824" s="11" t="n"/>
      <c r="P2824" s="12" t="n"/>
      <c r="Q2824" s="11" t="n"/>
      <c r="R2824" s="12" t="n"/>
      <c r="S2824" s="11" t="n"/>
      <c r="T2824" s="12" t="n"/>
      <c r="U2824" s="12" t="n"/>
      <c r="V2824" s="12" t="n"/>
      <c r="W2824" s="13" t="n"/>
      <c r="X2824" s="14">
        <f>IF($AP2824="",IF($B2824="","",$H2824),IF(INDEX(職員マスタ!$B$6:$B$405,$AP2824)="",$H2824,INDEX(職員マスタ!$B$6:$B$405,$AP2824)))</f>
        <v/>
      </c>
      <c r="Y2824" s="14">
        <f>IF($AP2824="",IF($B2824="","",$R2824),IF(INDEX(職員マスタ!$C$6:$C$405,$AP2824)="",$R2824,INDEX(職員マスタ!$C$6:$C$405,$AP2824)))</f>
        <v/>
      </c>
      <c r="Z2824" s="14">
        <f>IF($AQ2824="","","R"&amp;$C2824&amp;"."&amp;$D2824)</f>
        <v/>
      </c>
      <c r="AA2824" s="15">
        <f>IF(IF($AP2824="",FALSE,INDEX(職員マスタ!$K$6:$K$405,$AP2824)&lt;&gt;""),INDEX(職員マスタ!$K$6:$K$405,$AP2824),IF(N($W2824)&gt;0,$W2824,""))</f>
        <v/>
      </c>
      <c r="AB2824" s="14">
        <f>IF(OR($E2824="",$AA2824=""),"",IF($E2824&gt;=$AA2824,"×",IF($E2824&gt;=$AA2824*設定!$C$5,"△","○")))</f>
        <v/>
      </c>
      <c r="AC2824" s="15">
        <f>IF($AB2824="","",IF($AB2824="×",0,IF($AB2824="○",ROUNDDOWN($E2824*設定!$C$4,0),ROUNDDOWN($E2824*ROUND((9*$AA2824-9*$E2824)/(10*$E2824),4),0))))</f>
        <v/>
      </c>
      <c r="AD2824" s="13" t="n"/>
      <c r="AE2824" s="15">
        <f>IF($B2824="","",IF($AD2824&lt;&gt;"",$AD2824,IF($AC2824="","",IF($AC2824&lt;=設定!$C$3,0,$AC2824))))</f>
        <v/>
      </c>
      <c r="AF2824" s="14">
        <f>IF($B2824="","",IF(AND($AG2824&lt;&gt;"",$AI2824="",$AL2824=""),"保留中",IF($AL2824&lt;&gt;"",IF(N($AE2824)&gt;0,"支給済","不支給"),IF($AE2824="","要確認",IF($AE2824=0,"不支給","未処理")))))</f>
        <v/>
      </c>
      <c r="AG2824" s="12" t="n"/>
      <c r="AH2824" s="11" t="n"/>
      <c r="AI2824" s="11" t="n"/>
      <c r="AJ2824" s="11" t="n"/>
      <c r="AK2824" s="14">
        <f>IF(AND($AF2824="保留中",$AH2824&lt;&gt;""),TODAY()-$AH2824,"")</f>
        <v/>
      </c>
      <c r="AL2824" s="12" t="n"/>
      <c r="AM2824" s="14">
        <f>IF($B2824="","",IF($AQ2824="","対象年月が未入力／","")&amp;IF($B2824="","",IF($AP2824="","職員マスタに未登録の職員番号／",IF($AA2824="","標準報酬月額が未登録／","")&amp;IF(AND($AQ2824&lt;&gt;"",OR(AND(INDEX(職員マスタ!$G$6:$G$405,$AP2824)&lt;&gt;"",INDEX(職員マスタ!$G$6:$G$405,$AP2824)&gt;EOMONTH($AQ2824,0)),AND(INDEX(職員マスタ!$H$6:$H$405,$AP2824)&lt;&gt;"",INDEX(職員マスタ!$H$6:$H$405,$AP2824)&lt;$AQ2824))),"対象月が時短期間外／","")&amp;IF(AND(INDEX(職員マスタ!$K$6:$K$405,$AP2824)&lt;&gt;"",N($W2824)&gt;0,INDEX(職員マスタ!$K$6:$K$405,$AP2824)&lt;&gt;$W2824),"標準報酬月額が申請書と相違（台帳"&amp;TEXT(INDEX(職員マスタ!$K$6:$K$405,$AP2824),"#,##0")&amp;"円／申請書"&amp;TEXT($W2824,"#,##0")&amp;"円）／","")&amp;IF(AND(INDEX(職員マスタ!$F$6:$F$405,$AP2824)&lt;&gt;"",$AQ2824&lt;&gt;"",INDEX(職員マスタ!$F$6:$F$405,$AP2824)&lt;$AQ2824),"対象月に子が2歳到達済／","")&amp;IF(AND($H2824&lt;&gt;"",INDEX(職員マスタ!$B$6:$B$405,$AP2824)&lt;&gt;"",SUBSTITUTE(SUBSTITUTE($H2824," ","")," ","")&lt;&gt;SUBSTITUTE(SUBSTITUTE(INDEX(職員マスタ!$B$6:$B$405,$AP2824)," ","")," ","")),"氏名がマスタと相違／","")&amp;IF(AND($Q2824&lt;&gt;"",INDEX(職員マスタ!$E$6:$E$405,$AP2824)&lt;&gt;"",$Q2824&lt;&gt;INDEX(職員マスタ!$E$6:$E$405,$AP2824)),"子の生年月日がマスタと相違／","")&amp;IF(AND($L2824&lt;&gt;"",INDEX(職員マスタ!$G$6:$G$405,$AP2824)&lt;&gt;"",$L2824&lt;&gt;INDEX(職員マスタ!$G$6:$G$405,$AP2824)),"時短開始日がマスタと相違／","")&amp;IF(AND($M2824&lt;&gt;"",INDEX(職員マスタ!$H$6:$H$405,$AP2824)&lt;&gt;"",$M2824&lt;&gt;INDEX(職員マスタ!$H$6:$H$405,$AP2824)),"時短終了日がマスタと相違／","")))&amp;IF(AND($B2824&lt;&gt;"",$E2824=""),"報酬額が未入力／","")&amp;IF(N($U2824)&gt;0,"申請書に入力エラーが残っています／","")&amp;IF(AND($B2824&lt;&gt;"",$AQ2824&lt;&gt;""),IF(COUNTIFS($B$6:$B$3005,$B2824,$C$6:$C$3005,$C2824,$D$6:$D$3005,$D2824)&gt;1,"同じ月の請求が重複しています／",""),"")&amp;IF(AND(N($E2824)&gt;0,$AB2824&lt;&gt;"",$AB2824&lt;&gt;"×",$AE2824=0,$AD2824=""),"計算額が下限以下のため不支給／",""))</f>
        <v/>
      </c>
      <c r="AN2824" s="12" t="n"/>
      <c r="AO2824" s="14">
        <f>IF($AF2824="保留中",COUNTIF($AF$6:$AF2824,"保留中"),"")</f>
        <v/>
      </c>
      <c r="AP2824" s="14">
        <f>IF($AQ2824="","",IF(SUMPRODUCT(MAX((職員マスタ!$A$6:$A$405=$B2824)*(((職員マスタ!$G$6:$G$405="")+(職員マスタ!$G$6:$G$405&lt;=EOMONTH($AQ2824,0)))&gt;0)*(((職員マスタ!$H$6:$H$405="")+(職員マスタ!$H$6:$H$405&gt;=$AQ2824))&gt;0)*(ROW(職員マスタ!$A$6:$A$405)-5)))&gt;0,SUMPRODUCT(MAX((職員マスタ!$A$6:$A$405=$B2824)*(((職員マスタ!$G$6:$G$405="")+(職員マスタ!$G$6:$G$405&lt;=EOMONTH($AQ2824,0)))&gt;0)*(((職員マスタ!$H$6:$H$405="")+(職員マスタ!$H$6:$H$405&gt;=$AQ2824))&gt;0)*(ROW(職員マスタ!$A$6:$A$405)-5))),IFERROR(MATCH($B2824,職員マスタ!$A$6:$A$405,0),"")))</f>
        <v/>
      </c>
      <c r="AQ2824" s="16">
        <f>IF(OR($B2824="",$C2824="",$D2824=""),"",DATE($C2824+2018,$D2824,1))</f>
        <v/>
      </c>
    </row>
    <row r="2825">
      <c r="A2825" s="11" t="n"/>
      <c r="B2825" s="12" t="n"/>
      <c r="C2825" s="12" t="n"/>
      <c r="D2825" s="12" t="n"/>
      <c r="E2825" s="13" t="n"/>
      <c r="F2825" s="12" t="n"/>
      <c r="G2825" s="13" t="n"/>
      <c r="H2825" s="12" t="n"/>
      <c r="I2825" s="12" t="n"/>
      <c r="J2825" s="12" t="n"/>
      <c r="K2825" s="12" t="n"/>
      <c r="L2825" s="11" t="n"/>
      <c r="M2825" s="11" t="n"/>
      <c r="N2825" s="11" t="n"/>
      <c r="O2825" s="11" t="n"/>
      <c r="P2825" s="12" t="n"/>
      <c r="Q2825" s="11" t="n"/>
      <c r="R2825" s="12" t="n"/>
      <c r="S2825" s="11" t="n"/>
      <c r="T2825" s="12" t="n"/>
      <c r="U2825" s="12" t="n"/>
      <c r="V2825" s="12" t="n"/>
      <c r="W2825" s="13" t="n"/>
      <c r="X2825" s="14">
        <f>IF($AP2825="",IF($B2825="","",$H2825),IF(INDEX(職員マスタ!$B$6:$B$405,$AP2825)="",$H2825,INDEX(職員マスタ!$B$6:$B$405,$AP2825)))</f>
        <v/>
      </c>
      <c r="Y2825" s="14">
        <f>IF($AP2825="",IF($B2825="","",$R2825),IF(INDEX(職員マスタ!$C$6:$C$405,$AP2825)="",$R2825,INDEX(職員マスタ!$C$6:$C$405,$AP2825)))</f>
        <v/>
      </c>
      <c r="Z2825" s="14">
        <f>IF($AQ2825="","","R"&amp;$C2825&amp;"."&amp;$D2825)</f>
        <v/>
      </c>
      <c r="AA2825" s="15">
        <f>IF(IF($AP2825="",FALSE,INDEX(職員マスタ!$K$6:$K$405,$AP2825)&lt;&gt;""),INDEX(職員マスタ!$K$6:$K$405,$AP2825),IF(N($W2825)&gt;0,$W2825,""))</f>
        <v/>
      </c>
      <c r="AB2825" s="14">
        <f>IF(OR($E2825="",$AA2825=""),"",IF($E2825&gt;=$AA2825,"×",IF($E2825&gt;=$AA2825*設定!$C$5,"△","○")))</f>
        <v/>
      </c>
      <c r="AC2825" s="15">
        <f>IF($AB2825="","",IF($AB2825="×",0,IF($AB2825="○",ROUNDDOWN($E2825*設定!$C$4,0),ROUNDDOWN($E2825*ROUND((9*$AA2825-9*$E2825)/(10*$E2825),4),0))))</f>
        <v/>
      </c>
      <c r="AD2825" s="13" t="n"/>
      <c r="AE2825" s="15">
        <f>IF($B2825="","",IF($AD2825&lt;&gt;"",$AD2825,IF($AC2825="","",IF($AC2825&lt;=設定!$C$3,0,$AC2825))))</f>
        <v/>
      </c>
      <c r="AF2825" s="14">
        <f>IF($B2825="","",IF(AND($AG2825&lt;&gt;"",$AI2825="",$AL2825=""),"保留中",IF($AL2825&lt;&gt;"",IF(N($AE2825)&gt;0,"支給済","不支給"),IF($AE2825="","要確認",IF($AE2825=0,"不支給","未処理")))))</f>
        <v/>
      </c>
      <c r="AG2825" s="12" t="n"/>
      <c r="AH2825" s="11" t="n"/>
      <c r="AI2825" s="11" t="n"/>
      <c r="AJ2825" s="11" t="n"/>
      <c r="AK2825" s="14">
        <f>IF(AND($AF2825="保留中",$AH2825&lt;&gt;""),TODAY()-$AH2825,"")</f>
        <v/>
      </c>
      <c r="AL2825" s="12" t="n"/>
      <c r="AM2825" s="14">
        <f>IF($B2825="","",IF($AQ2825="","対象年月が未入力／","")&amp;IF($B2825="","",IF($AP2825="","職員マスタに未登録の職員番号／",IF($AA2825="","標準報酬月額が未登録／","")&amp;IF(AND($AQ2825&lt;&gt;"",OR(AND(INDEX(職員マスタ!$G$6:$G$405,$AP2825)&lt;&gt;"",INDEX(職員マスタ!$G$6:$G$405,$AP2825)&gt;EOMONTH($AQ2825,0)),AND(INDEX(職員マスタ!$H$6:$H$405,$AP2825)&lt;&gt;"",INDEX(職員マスタ!$H$6:$H$405,$AP2825)&lt;$AQ2825))),"対象月が時短期間外／","")&amp;IF(AND(INDEX(職員マスタ!$K$6:$K$405,$AP2825)&lt;&gt;"",N($W2825)&gt;0,INDEX(職員マスタ!$K$6:$K$405,$AP2825)&lt;&gt;$W2825),"標準報酬月額が申請書と相違（台帳"&amp;TEXT(INDEX(職員マスタ!$K$6:$K$405,$AP2825),"#,##0")&amp;"円／申請書"&amp;TEXT($W2825,"#,##0")&amp;"円）／","")&amp;IF(AND(INDEX(職員マスタ!$F$6:$F$405,$AP2825)&lt;&gt;"",$AQ2825&lt;&gt;"",INDEX(職員マスタ!$F$6:$F$405,$AP2825)&lt;$AQ2825),"対象月に子が2歳到達済／","")&amp;IF(AND($H2825&lt;&gt;"",INDEX(職員マスタ!$B$6:$B$405,$AP2825)&lt;&gt;"",SUBSTITUTE(SUBSTITUTE($H2825," ","")," ","")&lt;&gt;SUBSTITUTE(SUBSTITUTE(INDEX(職員マスタ!$B$6:$B$405,$AP2825)," ","")," ","")),"氏名がマスタと相違／","")&amp;IF(AND($Q2825&lt;&gt;"",INDEX(職員マスタ!$E$6:$E$405,$AP2825)&lt;&gt;"",$Q2825&lt;&gt;INDEX(職員マスタ!$E$6:$E$405,$AP2825)),"子の生年月日がマスタと相違／","")&amp;IF(AND($L2825&lt;&gt;"",INDEX(職員マスタ!$G$6:$G$405,$AP2825)&lt;&gt;"",$L2825&lt;&gt;INDEX(職員マスタ!$G$6:$G$405,$AP2825)),"時短開始日がマスタと相違／","")&amp;IF(AND($M2825&lt;&gt;"",INDEX(職員マスタ!$H$6:$H$405,$AP2825)&lt;&gt;"",$M2825&lt;&gt;INDEX(職員マスタ!$H$6:$H$405,$AP2825)),"時短終了日がマスタと相違／","")))&amp;IF(AND($B2825&lt;&gt;"",$E2825=""),"報酬額が未入力／","")&amp;IF(N($U2825)&gt;0,"申請書に入力エラーが残っています／","")&amp;IF(AND($B2825&lt;&gt;"",$AQ2825&lt;&gt;""),IF(COUNTIFS($B$6:$B$3005,$B2825,$C$6:$C$3005,$C2825,$D$6:$D$3005,$D2825)&gt;1,"同じ月の請求が重複しています／",""),"")&amp;IF(AND(N($E2825)&gt;0,$AB2825&lt;&gt;"",$AB2825&lt;&gt;"×",$AE2825=0,$AD2825=""),"計算額が下限以下のため不支給／",""))</f>
        <v/>
      </c>
      <c r="AN2825" s="12" t="n"/>
      <c r="AO2825" s="14">
        <f>IF($AF2825="保留中",COUNTIF($AF$6:$AF2825,"保留中"),"")</f>
        <v/>
      </c>
      <c r="AP2825" s="14">
        <f>IF($AQ2825="","",IF(SUMPRODUCT(MAX((職員マスタ!$A$6:$A$405=$B2825)*(((職員マスタ!$G$6:$G$405="")+(職員マスタ!$G$6:$G$405&lt;=EOMONTH($AQ2825,0)))&gt;0)*(((職員マスタ!$H$6:$H$405="")+(職員マスタ!$H$6:$H$405&gt;=$AQ2825))&gt;0)*(ROW(職員マスタ!$A$6:$A$405)-5)))&gt;0,SUMPRODUCT(MAX((職員マスタ!$A$6:$A$405=$B2825)*(((職員マスタ!$G$6:$G$405="")+(職員マスタ!$G$6:$G$405&lt;=EOMONTH($AQ2825,0)))&gt;0)*(((職員マスタ!$H$6:$H$405="")+(職員マスタ!$H$6:$H$405&gt;=$AQ2825))&gt;0)*(ROW(職員マスタ!$A$6:$A$405)-5))),IFERROR(MATCH($B2825,職員マスタ!$A$6:$A$405,0),"")))</f>
        <v/>
      </c>
      <c r="AQ2825" s="16">
        <f>IF(OR($B2825="",$C2825="",$D2825=""),"",DATE($C2825+2018,$D2825,1))</f>
        <v/>
      </c>
    </row>
    <row r="2826">
      <c r="A2826" s="11" t="n"/>
      <c r="B2826" s="12" t="n"/>
      <c r="C2826" s="12" t="n"/>
      <c r="D2826" s="12" t="n"/>
      <c r="E2826" s="13" t="n"/>
      <c r="F2826" s="12" t="n"/>
      <c r="G2826" s="13" t="n"/>
      <c r="H2826" s="12" t="n"/>
      <c r="I2826" s="12" t="n"/>
      <c r="J2826" s="12" t="n"/>
      <c r="K2826" s="12" t="n"/>
      <c r="L2826" s="11" t="n"/>
      <c r="M2826" s="11" t="n"/>
      <c r="N2826" s="11" t="n"/>
      <c r="O2826" s="11" t="n"/>
      <c r="P2826" s="12" t="n"/>
      <c r="Q2826" s="11" t="n"/>
      <c r="R2826" s="12" t="n"/>
      <c r="S2826" s="11" t="n"/>
      <c r="T2826" s="12" t="n"/>
      <c r="U2826" s="12" t="n"/>
      <c r="V2826" s="12" t="n"/>
      <c r="W2826" s="13" t="n"/>
      <c r="X2826" s="14">
        <f>IF($AP2826="",IF($B2826="","",$H2826),IF(INDEX(職員マスタ!$B$6:$B$405,$AP2826)="",$H2826,INDEX(職員マスタ!$B$6:$B$405,$AP2826)))</f>
        <v/>
      </c>
      <c r="Y2826" s="14">
        <f>IF($AP2826="",IF($B2826="","",$R2826),IF(INDEX(職員マスタ!$C$6:$C$405,$AP2826)="",$R2826,INDEX(職員マスタ!$C$6:$C$405,$AP2826)))</f>
        <v/>
      </c>
      <c r="Z2826" s="14">
        <f>IF($AQ2826="","","R"&amp;$C2826&amp;"."&amp;$D2826)</f>
        <v/>
      </c>
      <c r="AA2826" s="15">
        <f>IF(IF($AP2826="",FALSE,INDEX(職員マスタ!$K$6:$K$405,$AP2826)&lt;&gt;""),INDEX(職員マスタ!$K$6:$K$405,$AP2826),IF(N($W2826)&gt;0,$W2826,""))</f>
        <v/>
      </c>
      <c r="AB2826" s="14">
        <f>IF(OR($E2826="",$AA2826=""),"",IF($E2826&gt;=$AA2826,"×",IF($E2826&gt;=$AA2826*設定!$C$5,"△","○")))</f>
        <v/>
      </c>
      <c r="AC2826" s="15">
        <f>IF($AB2826="","",IF($AB2826="×",0,IF($AB2826="○",ROUNDDOWN($E2826*設定!$C$4,0),ROUNDDOWN($E2826*ROUND((9*$AA2826-9*$E2826)/(10*$E2826),4),0))))</f>
        <v/>
      </c>
      <c r="AD2826" s="13" t="n"/>
      <c r="AE2826" s="15">
        <f>IF($B2826="","",IF($AD2826&lt;&gt;"",$AD2826,IF($AC2826="","",IF($AC2826&lt;=設定!$C$3,0,$AC2826))))</f>
        <v/>
      </c>
      <c r="AF2826" s="14">
        <f>IF($B2826="","",IF(AND($AG2826&lt;&gt;"",$AI2826="",$AL2826=""),"保留中",IF($AL2826&lt;&gt;"",IF(N($AE2826)&gt;0,"支給済","不支給"),IF($AE2826="","要確認",IF($AE2826=0,"不支給","未処理")))))</f>
        <v/>
      </c>
      <c r="AG2826" s="12" t="n"/>
      <c r="AH2826" s="11" t="n"/>
      <c r="AI2826" s="11" t="n"/>
      <c r="AJ2826" s="11" t="n"/>
      <c r="AK2826" s="14">
        <f>IF(AND($AF2826="保留中",$AH2826&lt;&gt;""),TODAY()-$AH2826,"")</f>
        <v/>
      </c>
      <c r="AL2826" s="12" t="n"/>
      <c r="AM2826" s="14">
        <f>IF($B2826="","",IF($AQ2826="","対象年月が未入力／","")&amp;IF($B2826="","",IF($AP2826="","職員マスタに未登録の職員番号／",IF($AA2826="","標準報酬月額が未登録／","")&amp;IF(AND($AQ2826&lt;&gt;"",OR(AND(INDEX(職員マスタ!$G$6:$G$405,$AP2826)&lt;&gt;"",INDEX(職員マスタ!$G$6:$G$405,$AP2826)&gt;EOMONTH($AQ2826,0)),AND(INDEX(職員マスタ!$H$6:$H$405,$AP2826)&lt;&gt;"",INDEX(職員マスタ!$H$6:$H$405,$AP2826)&lt;$AQ2826))),"対象月が時短期間外／","")&amp;IF(AND(INDEX(職員マスタ!$K$6:$K$405,$AP2826)&lt;&gt;"",N($W2826)&gt;0,INDEX(職員マスタ!$K$6:$K$405,$AP2826)&lt;&gt;$W2826),"標準報酬月額が申請書と相違（台帳"&amp;TEXT(INDEX(職員マスタ!$K$6:$K$405,$AP2826),"#,##0")&amp;"円／申請書"&amp;TEXT($W2826,"#,##0")&amp;"円）／","")&amp;IF(AND(INDEX(職員マスタ!$F$6:$F$405,$AP2826)&lt;&gt;"",$AQ2826&lt;&gt;"",INDEX(職員マスタ!$F$6:$F$405,$AP2826)&lt;$AQ2826),"対象月に子が2歳到達済／","")&amp;IF(AND($H2826&lt;&gt;"",INDEX(職員マスタ!$B$6:$B$405,$AP2826)&lt;&gt;"",SUBSTITUTE(SUBSTITUTE($H2826," ","")," ","")&lt;&gt;SUBSTITUTE(SUBSTITUTE(INDEX(職員マスタ!$B$6:$B$405,$AP2826)," ","")," ","")),"氏名がマスタと相違／","")&amp;IF(AND($Q2826&lt;&gt;"",INDEX(職員マスタ!$E$6:$E$405,$AP2826)&lt;&gt;"",$Q2826&lt;&gt;INDEX(職員マスタ!$E$6:$E$405,$AP2826)),"子の生年月日がマスタと相違／","")&amp;IF(AND($L2826&lt;&gt;"",INDEX(職員マスタ!$G$6:$G$405,$AP2826)&lt;&gt;"",$L2826&lt;&gt;INDEX(職員マスタ!$G$6:$G$405,$AP2826)),"時短開始日がマスタと相違／","")&amp;IF(AND($M2826&lt;&gt;"",INDEX(職員マスタ!$H$6:$H$405,$AP2826)&lt;&gt;"",$M2826&lt;&gt;INDEX(職員マスタ!$H$6:$H$405,$AP2826)),"時短終了日がマスタと相違／","")))&amp;IF(AND($B2826&lt;&gt;"",$E2826=""),"報酬額が未入力／","")&amp;IF(N($U2826)&gt;0,"申請書に入力エラーが残っています／","")&amp;IF(AND($B2826&lt;&gt;"",$AQ2826&lt;&gt;""),IF(COUNTIFS($B$6:$B$3005,$B2826,$C$6:$C$3005,$C2826,$D$6:$D$3005,$D2826)&gt;1,"同じ月の請求が重複しています／",""),"")&amp;IF(AND(N($E2826)&gt;0,$AB2826&lt;&gt;"",$AB2826&lt;&gt;"×",$AE2826=0,$AD2826=""),"計算額が下限以下のため不支給／",""))</f>
        <v/>
      </c>
      <c r="AN2826" s="12" t="n"/>
      <c r="AO2826" s="14">
        <f>IF($AF2826="保留中",COUNTIF($AF$6:$AF2826,"保留中"),"")</f>
        <v/>
      </c>
      <c r="AP2826" s="14">
        <f>IF($AQ2826="","",IF(SUMPRODUCT(MAX((職員マスタ!$A$6:$A$405=$B2826)*(((職員マスタ!$G$6:$G$405="")+(職員マスタ!$G$6:$G$405&lt;=EOMONTH($AQ2826,0)))&gt;0)*(((職員マスタ!$H$6:$H$405="")+(職員マスタ!$H$6:$H$405&gt;=$AQ2826))&gt;0)*(ROW(職員マスタ!$A$6:$A$405)-5)))&gt;0,SUMPRODUCT(MAX((職員マスタ!$A$6:$A$405=$B2826)*(((職員マスタ!$G$6:$G$405="")+(職員マスタ!$G$6:$G$405&lt;=EOMONTH($AQ2826,0)))&gt;0)*(((職員マスタ!$H$6:$H$405="")+(職員マスタ!$H$6:$H$405&gt;=$AQ2826))&gt;0)*(ROW(職員マスタ!$A$6:$A$405)-5))),IFERROR(MATCH($B2826,職員マスタ!$A$6:$A$405,0),"")))</f>
        <v/>
      </c>
      <c r="AQ2826" s="16">
        <f>IF(OR($B2826="",$C2826="",$D2826=""),"",DATE($C2826+2018,$D2826,1))</f>
        <v/>
      </c>
    </row>
    <row r="2827">
      <c r="A2827" s="11" t="n"/>
      <c r="B2827" s="12" t="n"/>
      <c r="C2827" s="12" t="n"/>
      <c r="D2827" s="12" t="n"/>
      <c r="E2827" s="13" t="n"/>
      <c r="F2827" s="12" t="n"/>
      <c r="G2827" s="13" t="n"/>
      <c r="H2827" s="12" t="n"/>
      <c r="I2827" s="12" t="n"/>
      <c r="J2827" s="12" t="n"/>
      <c r="K2827" s="12" t="n"/>
      <c r="L2827" s="11" t="n"/>
      <c r="M2827" s="11" t="n"/>
      <c r="N2827" s="11" t="n"/>
      <c r="O2827" s="11" t="n"/>
      <c r="P2827" s="12" t="n"/>
      <c r="Q2827" s="11" t="n"/>
      <c r="R2827" s="12" t="n"/>
      <c r="S2827" s="11" t="n"/>
      <c r="T2827" s="12" t="n"/>
      <c r="U2827" s="12" t="n"/>
      <c r="V2827" s="12" t="n"/>
      <c r="W2827" s="13" t="n"/>
      <c r="X2827" s="14">
        <f>IF($AP2827="",IF($B2827="","",$H2827),IF(INDEX(職員マスタ!$B$6:$B$405,$AP2827)="",$H2827,INDEX(職員マスタ!$B$6:$B$405,$AP2827)))</f>
        <v/>
      </c>
      <c r="Y2827" s="14">
        <f>IF($AP2827="",IF($B2827="","",$R2827),IF(INDEX(職員マスタ!$C$6:$C$405,$AP2827)="",$R2827,INDEX(職員マスタ!$C$6:$C$405,$AP2827)))</f>
        <v/>
      </c>
      <c r="Z2827" s="14">
        <f>IF($AQ2827="","","R"&amp;$C2827&amp;"."&amp;$D2827)</f>
        <v/>
      </c>
      <c r="AA2827" s="15">
        <f>IF(IF($AP2827="",FALSE,INDEX(職員マスタ!$K$6:$K$405,$AP2827)&lt;&gt;""),INDEX(職員マスタ!$K$6:$K$405,$AP2827),IF(N($W2827)&gt;0,$W2827,""))</f>
        <v/>
      </c>
      <c r="AB2827" s="14">
        <f>IF(OR($E2827="",$AA2827=""),"",IF($E2827&gt;=$AA2827,"×",IF($E2827&gt;=$AA2827*設定!$C$5,"△","○")))</f>
        <v/>
      </c>
      <c r="AC2827" s="15">
        <f>IF($AB2827="","",IF($AB2827="×",0,IF($AB2827="○",ROUNDDOWN($E2827*設定!$C$4,0),ROUNDDOWN($E2827*ROUND((9*$AA2827-9*$E2827)/(10*$E2827),4),0))))</f>
        <v/>
      </c>
      <c r="AD2827" s="13" t="n"/>
      <c r="AE2827" s="15">
        <f>IF($B2827="","",IF($AD2827&lt;&gt;"",$AD2827,IF($AC2827="","",IF($AC2827&lt;=設定!$C$3,0,$AC2827))))</f>
        <v/>
      </c>
      <c r="AF2827" s="14">
        <f>IF($B2827="","",IF(AND($AG2827&lt;&gt;"",$AI2827="",$AL2827=""),"保留中",IF($AL2827&lt;&gt;"",IF(N($AE2827)&gt;0,"支給済","不支給"),IF($AE2827="","要確認",IF($AE2827=0,"不支給","未処理")))))</f>
        <v/>
      </c>
      <c r="AG2827" s="12" t="n"/>
      <c r="AH2827" s="11" t="n"/>
      <c r="AI2827" s="11" t="n"/>
      <c r="AJ2827" s="11" t="n"/>
      <c r="AK2827" s="14">
        <f>IF(AND($AF2827="保留中",$AH2827&lt;&gt;""),TODAY()-$AH2827,"")</f>
        <v/>
      </c>
      <c r="AL2827" s="12" t="n"/>
      <c r="AM2827" s="14">
        <f>IF($B2827="","",IF($AQ2827="","対象年月が未入力／","")&amp;IF($B2827="","",IF($AP2827="","職員マスタに未登録の職員番号／",IF($AA2827="","標準報酬月額が未登録／","")&amp;IF(AND($AQ2827&lt;&gt;"",OR(AND(INDEX(職員マスタ!$G$6:$G$405,$AP2827)&lt;&gt;"",INDEX(職員マスタ!$G$6:$G$405,$AP2827)&gt;EOMONTH($AQ2827,0)),AND(INDEX(職員マスタ!$H$6:$H$405,$AP2827)&lt;&gt;"",INDEX(職員マスタ!$H$6:$H$405,$AP2827)&lt;$AQ2827))),"対象月が時短期間外／","")&amp;IF(AND(INDEX(職員マスタ!$K$6:$K$405,$AP2827)&lt;&gt;"",N($W2827)&gt;0,INDEX(職員マスタ!$K$6:$K$405,$AP2827)&lt;&gt;$W2827),"標準報酬月額が申請書と相違（台帳"&amp;TEXT(INDEX(職員マスタ!$K$6:$K$405,$AP2827),"#,##0")&amp;"円／申請書"&amp;TEXT($W2827,"#,##0")&amp;"円）／","")&amp;IF(AND(INDEX(職員マスタ!$F$6:$F$405,$AP2827)&lt;&gt;"",$AQ2827&lt;&gt;"",INDEX(職員マスタ!$F$6:$F$405,$AP2827)&lt;$AQ2827),"対象月に子が2歳到達済／","")&amp;IF(AND($H2827&lt;&gt;"",INDEX(職員マスタ!$B$6:$B$405,$AP2827)&lt;&gt;"",SUBSTITUTE(SUBSTITUTE($H2827," ","")," ","")&lt;&gt;SUBSTITUTE(SUBSTITUTE(INDEX(職員マスタ!$B$6:$B$405,$AP2827)," ","")," ","")),"氏名がマスタと相違／","")&amp;IF(AND($Q2827&lt;&gt;"",INDEX(職員マスタ!$E$6:$E$405,$AP2827)&lt;&gt;"",$Q2827&lt;&gt;INDEX(職員マスタ!$E$6:$E$405,$AP2827)),"子の生年月日がマスタと相違／","")&amp;IF(AND($L2827&lt;&gt;"",INDEX(職員マスタ!$G$6:$G$405,$AP2827)&lt;&gt;"",$L2827&lt;&gt;INDEX(職員マスタ!$G$6:$G$405,$AP2827)),"時短開始日がマスタと相違／","")&amp;IF(AND($M2827&lt;&gt;"",INDEX(職員マスタ!$H$6:$H$405,$AP2827)&lt;&gt;"",$M2827&lt;&gt;INDEX(職員マスタ!$H$6:$H$405,$AP2827)),"時短終了日がマスタと相違／","")))&amp;IF(AND($B2827&lt;&gt;"",$E2827=""),"報酬額が未入力／","")&amp;IF(N($U2827)&gt;0,"申請書に入力エラーが残っています／","")&amp;IF(AND($B2827&lt;&gt;"",$AQ2827&lt;&gt;""),IF(COUNTIFS($B$6:$B$3005,$B2827,$C$6:$C$3005,$C2827,$D$6:$D$3005,$D2827)&gt;1,"同じ月の請求が重複しています／",""),"")&amp;IF(AND(N($E2827)&gt;0,$AB2827&lt;&gt;"",$AB2827&lt;&gt;"×",$AE2827=0,$AD2827=""),"計算額が下限以下のため不支給／",""))</f>
        <v/>
      </c>
      <c r="AN2827" s="12" t="n"/>
      <c r="AO2827" s="14">
        <f>IF($AF2827="保留中",COUNTIF($AF$6:$AF2827,"保留中"),"")</f>
        <v/>
      </c>
      <c r="AP2827" s="14">
        <f>IF($AQ2827="","",IF(SUMPRODUCT(MAX((職員マスタ!$A$6:$A$405=$B2827)*(((職員マスタ!$G$6:$G$405="")+(職員マスタ!$G$6:$G$405&lt;=EOMONTH($AQ2827,0)))&gt;0)*(((職員マスタ!$H$6:$H$405="")+(職員マスタ!$H$6:$H$405&gt;=$AQ2827))&gt;0)*(ROW(職員マスタ!$A$6:$A$405)-5)))&gt;0,SUMPRODUCT(MAX((職員マスタ!$A$6:$A$405=$B2827)*(((職員マスタ!$G$6:$G$405="")+(職員マスタ!$G$6:$G$405&lt;=EOMONTH($AQ2827,0)))&gt;0)*(((職員マスタ!$H$6:$H$405="")+(職員マスタ!$H$6:$H$405&gt;=$AQ2827))&gt;0)*(ROW(職員マスタ!$A$6:$A$405)-5))),IFERROR(MATCH($B2827,職員マスタ!$A$6:$A$405,0),"")))</f>
        <v/>
      </c>
      <c r="AQ2827" s="16">
        <f>IF(OR($B2827="",$C2827="",$D2827=""),"",DATE($C2827+2018,$D2827,1))</f>
        <v/>
      </c>
    </row>
    <row r="2828">
      <c r="A2828" s="11" t="n"/>
      <c r="B2828" s="12" t="n"/>
      <c r="C2828" s="12" t="n"/>
      <c r="D2828" s="12" t="n"/>
      <c r="E2828" s="13" t="n"/>
      <c r="F2828" s="12" t="n"/>
      <c r="G2828" s="13" t="n"/>
      <c r="H2828" s="12" t="n"/>
      <c r="I2828" s="12" t="n"/>
      <c r="J2828" s="12" t="n"/>
      <c r="K2828" s="12" t="n"/>
      <c r="L2828" s="11" t="n"/>
      <c r="M2828" s="11" t="n"/>
      <c r="N2828" s="11" t="n"/>
      <c r="O2828" s="11" t="n"/>
      <c r="P2828" s="12" t="n"/>
      <c r="Q2828" s="11" t="n"/>
      <c r="R2828" s="12" t="n"/>
      <c r="S2828" s="11" t="n"/>
      <c r="T2828" s="12" t="n"/>
      <c r="U2828" s="12" t="n"/>
      <c r="V2828" s="12" t="n"/>
      <c r="W2828" s="13" t="n"/>
      <c r="X2828" s="14">
        <f>IF($AP2828="",IF($B2828="","",$H2828),IF(INDEX(職員マスタ!$B$6:$B$405,$AP2828)="",$H2828,INDEX(職員マスタ!$B$6:$B$405,$AP2828)))</f>
        <v/>
      </c>
      <c r="Y2828" s="14">
        <f>IF($AP2828="",IF($B2828="","",$R2828),IF(INDEX(職員マスタ!$C$6:$C$405,$AP2828)="",$R2828,INDEX(職員マスタ!$C$6:$C$405,$AP2828)))</f>
        <v/>
      </c>
      <c r="Z2828" s="14">
        <f>IF($AQ2828="","","R"&amp;$C2828&amp;"."&amp;$D2828)</f>
        <v/>
      </c>
      <c r="AA2828" s="15">
        <f>IF(IF($AP2828="",FALSE,INDEX(職員マスタ!$K$6:$K$405,$AP2828)&lt;&gt;""),INDEX(職員マスタ!$K$6:$K$405,$AP2828),IF(N($W2828)&gt;0,$W2828,""))</f>
        <v/>
      </c>
      <c r="AB2828" s="14">
        <f>IF(OR($E2828="",$AA2828=""),"",IF($E2828&gt;=$AA2828,"×",IF($E2828&gt;=$AA2828*設定!$C$5,"△","○")))</f>
        <v/>
      </c>
      <c r="AC2828" s="15">
        <f>IF($AB2828="","",IF($AB2828="×",0,IF($AB2828="○",ROUNDDOWN($E2828*設定!$C$4,0),ROUNDDOWN($E2828*ROUND((9*$AA2828-9*$E2828)/(10*$E2828),4),0))))</f>
        <v/>
      </c>
      <c r="AD2828" s="13" t="n"/>
      <c r="AE2828" s="15">
        <f>IF($B2828="","",IF($AD2828&lt;&gt;"",$AD2828,IF($AC2828="","",IF($AC2828&lt;=設定!$C$3,0,$AC2828))))</f>
        <v/>
      </c>
      <c r="AF2828" s="14">
        <f>IF($B2828="","",IF(AND($AG2828&lt;&gt;"",$AI2828="",$AL2828=""),"保留中",IF($AL2828&lt;&gt;"",IF(N($AE2828)&gt;0,"支給済","不支給"),IF($AE2828="","要確認",IF($AE2828=0,"不支給","未処理")))))</f>
        <v/>
      </c>
      <c r="AG2828" s="12" t="n"/>
      <c r="AH2828" s="11" t="n"/>
      <c r="AI2828" s="11" t="n"/>
      <c r="AJ2828" s="11" t="n"/>
      <c r="AK2828" s="14">
        <f>IF(AND($AF2828="保留中",$AH2828&lt;&gt;""),TODAY()-$AH2828,"")</f>
        <v/>
      </c>
      <c r="AL2828" s="12" t="n"/>
      <c r="AM2828" s="14">
        <f>IF($B2828="","",IF($AQ2828="","対象年月が未入力／","")&amp;IF($B2828="","",IF($AP2828="","職員マスタに未登録の職員番号／",IF($AA2828="","標準報酬月額が未登録／","")&amp;IF(AND($AQ2828&lt;&gt;"",OR(AND(INDEX(職員マスタ!$G$6:$G$405,$AP2828)&lt;&gt;"",INDEX(職員マスタ!$G$6:$G$405,$AP2828)&gt;EOMONTH($AQ2828,0)),AND(INDEX(職員マスタ!$H$6:$H$405,$AP2828)&lt;&gt;"",INDEX(職員マスタ!$H$6:$H$405,$AP2828)&lt;$AQ2828))),"対象月が時短期間外／","")&amp;IF(AND(INDEX(職員マスタ!$K$6:$K$405,$AP2828)&lt;&gt;"",N($W2828)&gt;0,INDEX(職員マスタ!$K$6:$K$405,$AP2828)&lt;&gt;$W2828),"標準報酬月額が申請書と相違（台帳"&amp;TEXT(INDEX(職員マスタ!$K$6:$K$405,$AP2828),"#,##0")&amp;"円／申請書"&amp;TEXT($W2828,"#,##0")&amp;"円）／","")&amp;IF(AND(INDEX(職員マスタ!$F$6:$F$405,$AP2828)&lt;&gt;"",$AQ2828&lt;&gt;"",INDEX(職員マスタ!$F$6:$F$405,$AP2828)&lt;$AQ2828),"対象月に子が2歳到達済／","")&amp;IF(AND($H2828&lt;&gt;"",INDEX(職員マスタ!$B$6:$B$405,$AP2828)&lt;&gt;"",SUBSTITUTE(SUBSTITUTE($H2828," ","")," ","")&lt;&gt;SUBSTITUTE(SUBSTITUTE(INDEX(職員マスタ!$B$6:$B$405,$AP2828)," ","")," ","")),"氏名がマスタと相違／","")&amp;IF(AND($Q2828&lt;&gt;"",INDEX(職員マスタ!$E$6:$E$405,$AP2828)&lt;&gt;"",$Q2828&lt;&gt;INDEX(職員マスタ!$E$6:$E$405,$AP2828)),"子の生年月日がマスタと相違／","")&amp;IF(AND($L2828&lt;&gt;"",INDEX(職員マスタ!$G$6:$G$405,$AP2828)&lt;&gt;"",$L2828&lt;&gt;INDEX(職員マスタ!$G$6:$G$405,$AP2828)),"時短開始日がマスタと相違／","")&amp;IF(AND($M2828&lt;&gt;"",INDEX(職員マスタ!$H$6:$H$405,$AP2828)&lt;&gt;"",$M2828&lt;&gt;INDEX(職員マスタ!$H$6:$H$405,$AP2828)),"時短終了日がマスタと相違／","")))&amp;IF(AND($B2828&lt;&gt;"",$E2828=""),"報酬額が未入力／","")&amp;IF(N($U2828)&gt;0,"申請書に入力エラーが残っています／","")&amp;IF(AND($B2828&lt;&gt;"",$AQ2828&lt;&gt;""),IF(COUNTIFS($B$6:$B$3005,$B2828,$C$6:$C$3005,$C2828,$D$6:$D$3005,$D2828)&gt;1,"同じ月の請求が重複しています／",""),"")&amp;IF(AND(N($E2828)&gt;0,$AB2828&lt;&gt;"",$AB2828&lt;&gt;"×",$AE2828=0,$AD2828=""),"計算額が下限以下のため不支給／",""))</f>
        <v/>
      </c>
      <c r="AN2828" s="12" t="n"/>
      <c r="AO2828" s="14">
        <f>IF($AF2828="保留中",COUNTIF($AF$6:$AF2828,"保留中"),"")</f>
        <v/>
      </c>
      <c r="AP2828" s="14">
        <f>IF($AQ2828="","",IF(SUMPRODUCT(MAX((職員マスタ!$A$6:$A$405=$B2828)*(((職員マスタ!$G$6:$G$405="")+(職員マスタ!$G$6:$G$405&lt;=EOMONTH($AQ2828,0)))&gt;0)*(((職員マスタ!$H$6:$H$405="")+(職員マスタ!$H$6:$H$405&gt;=$AQ2828))&gt;0)*(ROW(職員マスタ!$A$6:$A$405)-5)))&gt;0,SUMPRODUCT(MAX((職員マスタ!$A$6:$A$405=$B2828)*(((職員マスタ!$G$6:$G$405="")+(職員マスタ!$G$6:$G$405&lt;=EOMONTH($AQ2828,0)))&gt;0)*(((職員マスタ!$H$6:$H$405="")+(職員マスタ!$H$6:$H$405&gt;=$AQ2828))&gt;0)*(ROW(職員マスタ!$A$6:$A$405)-5))),IFERROR(MATCH($B2828,職員マスタ!$A$6:$A$405,0),"")))</f>
        <v/>
      </c>
      <c r="AQ2828" s="16">
        <f>IF(OR($B2828="",$C2828="",$D2828=""),"",DATE($C2828+2018,$D2828,1))</f>
        <v/>
      </c>
    </row>
    <row r="2829">
      <c r="A2829" s="11" t="n"/>
      <c r="B2829" s="12" t="n"/>
      <c r="C2829" s="12" t="n"/>
      <c r="D2829" s="12" t="n"/>
      <c r="E2829" s="13" t="n"/>
      <c r="F2829" s="12" t="n"/>
      <c r="G2829" s="13" t="n"/>
      <c r="H2829" s="12" t="n"/>
      <c r="I2829" s="12" t="n"/>
      <c r="J2829" s="12" t="n"/>
      <c r="K2829" s="12" t="n"/>
      <c r="L2829" s="11" t="n"/>
      <c r="M2829" s="11" t="n"/>
      <c r="N2829" s="11" t="n"/>
      <c r="O2829" s="11" t="n"/>
      <c r="P2829" s="12" t="n"/>
      <c r="Q2829" s="11" t="n"/>
      <c r="R2829" s="12" t="n"/>
      <c r="S2829" s="11" t="n"/>
      <c r="T2829" s="12" t="n"/>
      <c r="U2829" s="12" t="n"/>
      <c r="V2829" s="12" t="n"/>
      <c r="W2829" s="13" t="n"/>
      <c r="X2829" s="14">
        <f>IF($AP2829="",IF($B2829="","",$H2829),IF(INDEX(職員マスタ!$B$6:$B$405,$AP2829)="",$H2829,INDEX(職員マスタ!$B$6:$B$405,$AP2829)))</f>
        <v/>
      </c>
      <c r="Y2829" s="14">
        <f>IF($AP2829="",IF($B2829="","",$R2829),IF(INDEX(職員マスタ!$C$6:$C$405,$AP2829)="",$R2829,INDEX(職員マスタ!$C$6:$C$405,$AP2829)))</f>
        <v/>
      </c>
      <c r="Z2829" s="14">
        <f>IF($AQ2829="","","R"&amp;$C2829&amp;"."&amp;$D2829)</f>
        <v/>
      </c>
      <c r="AA2829" s="15">
        <f>IF(IF($AP2829="",FALSE,INDEX(職員マスタ!$K$6:$K$405,$AP2829)&lt;&gt;""),INDEX(職員マスタ!$K$6:$K$405,$AP2829),IF(N($W2829)&gt;0,$W2829,""))</f>
        <v/>
      </c>
      <c r="AB2829" s="14">
        <f>IF(OR($E2829="",$AA2829=""),"",IF($E2829&gt;=$AA2829,"×",IF($E2829&gt;=$AA2829*設定!$C$5,"△","○")))</f>
        <v/>
      </c>
      <c r="AC2829" s="15">
        <f>IF($AB2829="","",IF($AB2829="×",0,IF($AB2829="○",ROUNDDOWN($E2829*設定!$C$4,0),ROUNDDOWN($E2829*ROUND((9*$AA2829-9*$E2829)/(10*$E2829),4),0))))</f>
        <v/>
      </c>
      <c r="AD2829" s="13" t="n"/>
      <c r="AE2829" s="15">
        <f>IF($B2829="","",IF($AD2829&lt;&gt;"",$AD2829,IF($AC2829="","",IF($AC2829&lt;=設定!$C$3,0,$AC2829))))</f>
        <v/>
      </c>
      <c r="AF2829" s="14">
        <f>IF($B2829="","",IF(AND($AG2829&lt;&gt;"",$AI2829="",$AL2829=""),"保留中",IF($AL2829&lt;&gt;"",IF(N($AE2829)&gt;0,"支給済","不支給"),IF($AE2829="","要確認",IF($AE2829=0,"不支給","未処理")))))</f>
        <v/>
      </c>
      <c r="AG2829" s="12" t="n"/>
      <c r="AH2829" s="11" t="n"/>
      <c r="AI2829" s="11" t="n"/>
      <c r="AJ2829" s="11" t="n"/>
      <c r="AK2829" s="14">
        <f>IF(AND($AF2829="保留中",$AH2829&lt;&gt;""),TODAY()-$AH2829,"")</f>
        <v/>
      </c>
      <c r="AL2829" s="12" t="n"/>
      <c r="AM2829" s="14">
        <f>IF($B2829="","",IF($AQ2829="","対象年月が未入力／","")&amp;IF($B2829="","",IF($AP2829="","職員マスタに未登録の職員番号／",IF($AA2829="","標準報酬月額が未登録／","")&amp;IF(AND($AQ2829&lt;&gt;"",OR(AND(INDEX(職員マスタ!$G$6:$G$405,$AP2829)&lt;&gt;"",INDEX(職員マスタ!$G$6:$G$405,$AP2829)&gt;EOMONTH($AQ2829,0)),AND(INDEX(職員マスタ!$H$6:$H$405,$AP2829)&lt;&gt;"",INDEX(職員マスタ!$H$6:$H$405,$AP2829)&lt;$AQ2829))),"対象月が時短期間外／","")&amp;IF(AND(INDEX(職員マスタ!$K$6:$K$405,$AP2829)&lt;&gt;"",N($W2829)&gt;0,INDEX(職員マスタ!$K$6:$K$405,$AP2829)&lt;&gt;$W2829),"標準報酬月額が申請書と相違（台帳"&amp;TEXT(INDEX(職員マスタ!$K$6:$K$405,$AP2829),"#,##0")&amp;"円／申請書"&amp;TEXT($W2829,"#,##0")&amp;"円）／","")&amp;IF(AND(INDEX(職員マスタ!$F$6:$F$405,$AP2829)&lt;&gt;"",$AQ2829&lt;&gt;"",INDEX(職員マスタ!$F$6:$F$405,$AP2829)&lt;$AQ2829),"対象月に子が2歳到達済／","")&amp;IF(AND($H2829&lt;&gt;"",INDEX(職員マスタ!$B$6:$B$405,$AP2829)&lt;&gt;"",SUBSTITUTE(SUBSTITUTE($H2829," ","")," ","")&lt;&gt;SUBSTITUTE(SUBSTITUTE(INDEX(職員マスタ!$B$6:$B$405,$AP2829)," ","")," ","")),"氏名がマスタと相違／","")&amp;IF(AND($Q2829&lt;&gt;"",INDEX(職員マスタ!$E$6:$E$405,$AP2829)&lt;&gt;"",$Q2829&lt;&gt;INDEX(職員マスタ!$E$6:$E$405,$AP2829)),"子の生年月日がマスタと相違／","")&amp;IF(AND($L2829&lt;&gt;"",INDEX(職員マスタ!$G$6:$G$405,$AP2829)&lt;&gt;"",$L2829&lt;&gt;INDEX(職員マスタ!$G$6:$G$405,$AP2829)),"時短開始日がマスタと相違／","")&amp;IF(AND($M2829&lt;&gt;"",INDEX(職員マスタ!$H$6:$H$405,$AP2829)&lt;&gt;"",$M2829&lt;&gt;INDEX(職員マスタ!$H$6:$H$405,$AP2829)),"時短終了日がマスタと相違／","")))&amp;IF(AND($B2829&lt;&gt;"",$E2829=""),"報酬額が未入力／","")&amp;IF(N($U2829)&gt;0,"申請書に入力エラーが残っています／","")&amp;IF(AND($B2829&lt;&gt;"",$AQ2829&lt;&gt;""),IF(COUNTIFS($B$6:$B$3005,$B2829,$C$6:$C$3005,$C2829,$D$6:$D$3005,$D2829)&gt;1,"同じ月の請求が重複しています／",""),"")&amp;IF(AND(N($E2829)&gt;0,$AB2829&lt;&gt;"",$AB2829&lt;&gt;"×",$AE2829=0,$AD2829=""),"計算額が下限以下のため不支給／",""))</f>
        <v/>
      </c>
      <c r="AN2829" s="12" t="n"/>
      <c r="AO2829" s="14">
        <f>IF($AF2829="保留中",COUNTIF($AF$6:$AF2829,"保留中"),"")</f>
        <v/>
      </c>
      <c r="AP2829" s="14">
        <f>IF($AQ2829="","",IF(SUMPRODUCT(MAX((職員マスタ!$A$6:$A$405=$B2829)*(((職員マスタ!$G$6:$G$405="")+(職員マスタ!$G$6:$G$405&lt;=EOMONTH($AQ2829,0)))&gt;0)*(((職員マスタ!$H$6:$H$405="")+(職員マスタ!$H$6:$H$405&gt;=$AQ2829))&gt;0)*(ROW(職員マスタ!$A$6:$A$405)-5)))&gt;0,SUMPRODUCT(MAX((職員マスタ!$A$6:$A$405=$B2829)*(((職員マスタ!$G$6:$G$405="")+(職員マスタ!$G$6:$G$405&lt;=EOMONTH($AQ2829,0)))&gt;0)*(((職員マスタ!$H$6:$H$405="")+(職員マスタ!$H$6:$H$405&gt;=$AQ2829))&gt;0)*(ROW(職員マスタ!$A$6:$A$405)-5))),IFERROR(MATCH($B2829,職員マスタ!$A$6:$A$405,0),"")))</f>
        <v/>
      </c>
      <c r="AQ2829" s="16">
        <f>IF(OR($B2829="",$C2829="",$D2829=""),"",DATE($C2829+2018,$D2829,1))</f>
        <v/>
      </c>
    </row>
    <row r="2830">
      <c r="A2830" s="11" t="n"/>
      <c r="B2830" s="12" t="n"/>
      <c r="C2830" s="12" t="n"/>
      <c r="D2830" s="12" t="n"/>
      <c r="E2830" s="13" t="n"/>
      <c r="F2830" s="12" t="n"/>
      <c r="G2830" s="13" t="n"/>
      <c r="H2830" s="12" t="n"/>
      <c r="I2830" s="12" t="n"/>
      <c r="J2830" s="12" t="n"/>
      <c r="K2830" s="12" t="n"/>
      <c r="L2830" s="11" t="n"/>
      <c r="M2830" s="11" t="n"/>
      <c r="N2830" s="11" t="n"/>
      <c r="O2830" s="11" t="n"/>
      <c r="P2830" s="12" t="n"/>
      <c r="Q2830" s="11" t="n"/>
      <c r="R2830" s="12" t="n"/>
      <c r="S2830" s="11" t="n"/>
      <c r="T2830" s="12" t="n"/>
      <c r="U2830" s="12" t="n"/>
      <c r="V2830" s="12" t="n"/>
      <c r="W2830" s="13" t="n"/>
      <c r="X2830" s="14">
        <f>IF($AP2830="",IF($B2830="","",$H2830),IF(INDEX(職員マスタ!$B$6:$B$405,$AP2830)="",$H2830,INDEX(職員マスタ!$B$6:$B$405,$AP2830)))</f>
        <v/>
      </c>
      <c r="Y2830" s="14">
        <f>IF($AP2830="",IF($B2830="","",$R2830),IF(INDEX(職員マスタ!$C$6:$C$405,$AP2830)="",$R2830,INDEX(職員マスタ!$C$6:$C$405,$AP2830)))</f>
        <v/>
      </c>
      <c r="Z2830" s="14">
        <f>IF($AQ2830="","","R"&amp;$C2830&amp;"."&amp;$D2830)</f>
        <v/>
      </c>
      <c r="AA2830" s="15">
        <f>IF(IF($AP2830="",FALSE,INDEX(職員マスタ!$K$6:$K$405,$AP2830)&lt;&gt;""),INDEX(職員マスタ!$K$6:$K$405,$AP2830),IF(N($W2830)&gt;0,$W2830,""))</f>
        <v/>
      </c>
      <c r="AB2830" s="14">
        <f>IF(OR($E2830="",$AA2830=""),"",IF($E2830&gt;=$AA2830,"×",IF($E2830&gt;=$AA2830*設定!$C$5,"△","○")))</f>
        <v/>
      </c>
      <c r="AC2830" s="15">
        <f>IF($AB2830="","",IF($AB2830="×",0,IF($AB2830="○",ROUNDDOWN($E2830*設定!$C$4,0),ROUNDDOWN($E2830*ROUND((9*$AA2830-9*$E2830)/(10*$E2830),4),0))))</f>
        <v/>
      </c>
      <c r="AD2830" s="13" t="n"/>
      <c r="AE2830" s="15">
        <f>IF($B2830="","",IF($AD2830&lt;&gt;"",$AD2830,IF($AC2830="","",IF($AC2830&lt;=設定!$C$3,0,$AC2830))))</f>
        <v/>
      </c>
      <c r="AF2830" s="14">
        <f>IF($B2830="","",IF(AND($AG2830&lt;&gt;"",$AI2830="",$AL2830=""),"保留中",IF($AL2830&lt;&gt;"",IF(N($AE2830)&gt;0,"支給済","不支給"),IF($AE2830="","要確認",IF($AE2830=0,"不支給","未処理")))))</f>
        <v/>
      </c>
      <c r="AG2830" s="12" t="n"/>
      <c r="AH2830" s="11" t="n"/>
      <c r="AI2830" s="11" t="n"/>
      <c r="AJ2830" s="11" t="n"/>
      <c r="AK2830" s="14">
        <f>IF(AND($AF2830="保留中",$AH2830&lt;&gt;""),TODAY()-$AH2830,"")</f>
        <v/>
      </c>
      <c r="AL2830" s="12" t="n"/>
      <c r="AM2830" s="14">
        <f>IF($B2830="","",IF($AQ2830="","対象年月が未入力／","")&amp;IF($B2830="","",IF($AP2830="","職員マスタに未登録の職員番号／",IF($AA2830="","標準報酬月額が未登録／","")&amp;IF(AND($AQ2830&lt;&gt;"",OR(AND(INDEX(職員マスタ!$G$6:$G$405,$AP2830)&lt;&gt;"",INDEX(職員マスタ!$G$6:$G$405,$AP2830)&gt;EOMONTH($AQ2830,0)),AND(INDEX(職員マスタ!$H$6:$H$405,$AP2830)&lt;&gt;"",INDEX(職員マスタ!$H$6:$H$405,$AP2830)&lt;$AQ2830))),"対象月が時短期間外／","")&amp;IF(AND(INDEX(職員マスタ!$K$6:$K$405,$AP2830)&lt;&gt;"",N($W2830)&gt;0,INDEX(職員マスタ!$K$6:$K$405,$AP2830)&lt;&gt;$W2830),"標準報酬月額が申請書と相違（台帳"&amp;TEXT(INDEX(職員マスタ!$K$6:$K$405,$AP2830),"#,##0")&amp;"円／申請書"&amp;TEXT($W2830,"#,##0")&amp;"円）／","")&amp;IF(AND(INDEX(職員マスタ!$F$6:$F$405,$AP2830)&lt;&gt;"",$AQ2830&lt;&gt;"",INDEX(職員マスタ!$F$6:$F$405,$AP2830)&lt;$AQ2830),"対象月に子が2歳到達済／","")&amp;IF(AND($H2830&lt;&gt;"",INDEX(職員マスタ!$B$6:$B$405,$AP2830)&lt;&gt;"",SUBSTITUTE(SUBSTITUTE($H2830," ","")," ","")&lt;&gt;SUBSTITUTE(SUBSTITUTE(INDEX(職員マスタ!$B$6:$B$405,$AP2830)," ","")," ","")),"氏名がマスタと相違／","")&amp;IF(AND($Q2830&lt;&gt;"",INDEX(職員マスタ!$E$6:$E$405,$AP2830)&lt;&gt;"",$Q2830&lt;&gt;INDEX(職員マスタ!$E$6:$E$405,$AP2830)),"子の生年月日がマスタと相違／","")&amp;IF(AND($L2830&lt;&gt;"",INDEX(職員マスタ!$G$6:$G$405,$AP2830)&lt;&gt;"",$L2830&lt;&gt;INDEX(職員マスタ!$G$6:$G$405,$AP2830)),"時短開始日がマスタと相違／","")&amp;IF(AND($M2830&lt;&gt;"",INDEX(職員マスタ!$H$6:$H$405,$AP2830)&lt;&gt;"",$M2830&lt;&gt;INDEX(職員マスタ!$H$6:$H$405,$AP2830)),"時短終了日がマスタと相違／","")))&amp;IF(AND($B2830&lt;&gt;"",$E2830=""),"報酬額が未入力／","")&amp;IF(N($U2830)&gt;0,"申請書に入力エラーが残っています／","")&amp;IF(AND($B2830&lt;&gt;"",$AQ2830&lt;&gt;""),IF(COUNTIFS($B$6:$B$3005,$B2830,$C$6:$C$3005,$C2830,$D$6:$D$3005,$D2830)&gt;1,"同じ月の請求が重複しています／",""),"")&amp;IF(AND(N($E2830)&gt;0,$AB2830&lt;&gt;"",$AB2830&lt;&gt;"×",$AE2830=0,$AD2830=""),"計算額が下限以下のため不支給／",""))</f>
        <v/>
      </c>
      <c r="AN2830" s="12" t="n"/>
      <c r="AO2830" s="14">
        <f>IF($AF2830="保留中",COUNTIF($AF$6:$AF2830,"保留中"),"")</f>
        <v/>
      </c>
      <c r="AP2830" s="14">
        <f>IF($AQ2830="","",IF(SUMPRODUCT(MAX((職員マスタ!$A$6:$A$405=$B2830)*(((職員マスタ!$G$6:$G$405="")+(職員マスタ!$G$6:$G$405&lt;=EOMONTH($AQ2830,0)))&gt;0)*(((職員マスタ!$H$6:$H$405="")+(職員マスタ!$H$6:$H$405&gt;=$AQ2830))&gt;0)*(ROW(職員マスタ!$A$6:$A$405)-5)))&gt;0,SUMPRODUCT(MAX((職員マスタ!$A$6:$A$405=$B2830)*(((職員マスタ!$G$6:$G$405="")+(職員マスタ!$G$6:$G$405&lt;=EOMONTH($AQ2830,0)))&gt;0)*(((職員マスタ!$H$6:$H$405="")+(職員マスタ!$H$6:$H$405&gt;=$AQ2830))&gt;0)*(ROW(職員マスタ!$A$6:$A$405)-5))),IFERROR(MATCH($B2830,職員マスタ!$A$6:$A$405,0),"")))</f>
        <v/>
      </c>
      <c r="AQ2830" s="16">
        <f>IF(OR($B2830="",$C2830="",$D2830=""),"",DATE($C2830+2018,$D2830,1))</f>
        <v/>
      </c>
    </row>
    <row r="2831">
      <c r="A2831" s="11" t="n"/>
      <c r="B2831" s="12" t="n"/>
      <c r="C2831" s="12" t="n"/>
      <c r="D2831" s="12" t="n"/>
      <c r="E2831" s="13" t="n"/>
      <c r="F2831" s="12" t="n"/>
      <c r="G2831" s="13" t="n"/>
      <c r="H2831" s="12" t="n"/>
      <c r="I2831" s="12" t="n"/>
      <c r="J2831" s="12" t="n"/>
      <c r="K2831" s="12" t="n"/>
      <c r="L2831" s="11" t="n"/>
      <c r="M2831" s="11" t="n"/>
      <c r="N2831" s="11" t="n"/>
      <c r="O2831" s="11" t="n"/>
      <c r="P2831" s="12" t="n"/>
      <c r="Q2831" s="11" t="n"/>
      <c r="R2831" s="12" t="n"/>
      <c r="S2831" s="11" t="n"/>
      <c r="T2831" s="12" t="n"/>
      <c r="U2831" s="12" t="n"/>
      <c r="V2831" s="12" t="n"/>
      <c r="W2831" s="13" t="n"/>
      <c r="X2831" s="14">
        <f>IF($AP2831="",IF($B2831="","",$H2831),IF(INDEX(職員マスタ!$B$6:$B$405,$AP2831)="",$H2831,INDEX(職員マスタ!$B$6:$B$405,$AP2831)))</f>
        <v/>
      </c>
      <c r="Y2831" s="14">
        <f>IF($AP2831="",IF($B2831="","",$R2831),IF(INDEX(職員マスタ!$C$6:$C$405,$AP2831)="",$R2831,INDEX(職員マスタ!$C$6:$C$405,$AP2831)))</f>
        <v/>
      </c>
      <c r="Z2831" s="14">
        <f>IF($AQ2831="","","R"&amp;$C2831&amp;"."&amp;$D2831)</f>
        <v/>
      </c>
      <c r="AA2831" s="15">
        <f>IF(IF($AP2831="",FALSE,INDEX(職員マスタ!$K$6:$K$405,$AP2831)&lt;&gt;""),INDEX(職員マスタ!$K$6:$K$405,$AP2831),IF(N($W2831)&gt;0,$W2831,""))</f>
        <v/>
      </c>
      <c r="AB2831" s="14">
        <f>IF(OR($E2831="",$AA2831=""),"",IF($E2831&gt;=$AA2831,"×",IF($E2831&gt;=$AA2831*設定!$C$5,"△","○")))</f>
        <v/>
      </c>
      <c r="AC2831" s="15">
        <f>IF($AB2831="","",IF($AB2831="×",0,IF($AB2831="○",ROUNDDOWN($E2831*設定!$C$4,0),ROUNDDOWN($E2831*ROUND((9*$AA2831-9*$E2831)/(10*$E2831),4),0))))</f>
        <v/>
      </c>
      <c r="AD2831" s="13" t="n"/>
      <c r="AE2831" s="15">
        <f>IF($B2831="","",IF($AD2831&lt;&gt;"",$AD2831,IF($AC2831="","",IF($AC2831&lt;=設定!$C$3,0,$AC2831))))</f>
        <v/>
      </c>
      <c r="AF2831" s="14">
        <f>IF($B2831="","",IF(AND($AG2831&lt;&gt;"",$AI2831="",$AL2831=""),"保留中",IF($AL2831&lt;&gt;"",IF(N($AE2831)&gt;0,"支給済","不支給"),IF($AE2831="","要確認",IF($AE2831=0,"不支給","未処理")))))</f>
        <v/>
      </c>
      <c r="AG2831" s="12" t="n"/>
      <c r="AH2831" s="11" t="n"/>
      <c r="AI2831" s="11" t="n"/>
      <c r="AJ2831" s="11" t="n"/>
      <c r="AK2831" s="14">
        <f>IF(AND($AF2831="保留中",$AH2831&lt;&gt;""),TODAY()-$AH2831,"")</f>
        <v/>
      </c>
      <c r="AL2831" s="12" t="n"/>
      <c r="AM2831" s="14">
        <f>IF($B2831="","",IF($AQ2831="","対象年月が未入力／","")&amp;IF($B2831="","",IF($AP2831="","職員マスタに未登録の職員番号／",IF($AA2831="","標準報酬月額が未登録／","")&amp;IF(AND($AQ2831&lt;&gt;"",OR(AND(INDEX(職員マスタ!$G$6:$G$405,$AP2831)&lt;&gt;"",INDEX(職員マスタ!$G$6:$G$405,$AP2831)&gt;EOMONTH($AQ2831,0)),AND(INDEX(職員マスタ!$H$6:$H$405,$AP2831)&lt;&gt;"",INDEX(職員マスタ!$H$6:$H$405,$AP2831)&lt;$AQ2831))),"対象月が時短期間外／","")&amp;IF(AND(INDEX(職員マスタ!$K$6:$K$405,$AP2831)&lt;&gt;"",N($W2831)&gt;0,INDEX(職員マスタ!$K$6:$K$405,$AP2831)&lt;&gt;$W2831),"標準報酬月額が申請書と相違（台帳"&amp;TEXT(INDEX(職員マスタ!$K$6:$K$405,$AP2831),"#,##0")&amp;"円／申請書"&amp;TEXT($W2831,"#,##0")&amp;"円）／","")&amp;IF(AND(INDEX(職員マスタ!$F$6:$F$405,$AP2831)&lt;&gt;"",$AQ2831&lt;&gt;"",INDEX(職員マスタ!$F$6:$F$405,$AP2831)&lt;$AQ2831),"対象月に子が2歳到達済／","")&amp;IF(AND($H2831&lt;&gt;"",INDEX(職員マスタ!$B$6:$B$405,$AP2831)&lt;&gt;"",SUBSTITUTE(SUBSTITUTE($H2831," ","")," ","")&lt;&gt;SUBSTITUTE(SUBSTITUTE(INDEX(職員マスタ!$B$6:$B$405,$AP2831)," ","")," ","")),"氏名がマスタと相違／","")&amp;IF(AND($Q2831&lt;&gt;"",INDEX(職員マスタ!$E$6:$E$405,$AP2831)&lt;&gt;"",$Q2831&lt;&gt;INDEX(職員マスタ!$E$6:$E$405,$AP2831)),"子の生年月日がマスタと相違／","")&amp;IF(AND($L2831&lt;&gt;"",INDEX(職員マスタ!$G$6:$G$405,$AP2831)&lt;&gt;"",$L2831&lt;&gt;INDEX(職員マスタ!$G$6:$G$405,$AP2831)),"時短開始日がマスタと相違／","")&amp;IF(AND($M2831&lt;&gt;"",INDEX(職員マスタ!$H$6:$H$405,$AP2831)&lt;&gt;"",$M2831&lt;&gt;INDEX(職員マスタ!$H$6:$H$405,$AP2831)),"時短終了日がマスタと相違／","")))&amp;IF(AND($B2831&lt;&gt;"",$E2831=""),"報酬額が未入力／","")&amp;IF(N($U2831)&gt;0,"申請書に入力エラーが残っています／","")&amp;IF(AND($B2831&lt;&gt;"",$AQ2831&lt;&gt;""),IF(COUNTIFS($B$6:$B$3005,$B2831,$C$6:$C$3005,$C2831,$D$6:$D$3005,$D2831)&gt;1,"同じ月の請求が重複しています／",""),"")&amp;IF(AND(N($E2831)&gt;0,$AB2831&lt;&gt;"",$AB2831&lt;&gt;"×",$AE2831=0,$AD2831=""),"計算額が下限以下のため不支給／",""))</f>
        <v/>
      </c>
      <c r="AN2831" s="12" t="n"/>
      <c r="AO2831" s="14">
        <f>IF($AF2831="保留中",COUNTIF($AF$6:$AF2831,"保留中"),"")</f>
        <v/>
      </c>
      <c r="AP2831" s="14">
        <f>IF($AQ2831="","",IF(SUMPRODUCT(MAX((職員マスタ!$A$6:$A$405=$B2831)*(((職員マスタ!$G$6:$G$405="")+(職員マスタ!$G$6:$G$405&lt;=EOMONTH($AQ2831,0)))&gt;0)*(((職員マスタ!$H$6:$H$405="")+(職員マスタ!$H$6:$H$405&gt;=$AQ2831))&gt;0)*(ROW(職員マスタ!$A$6:$A$405)-5)))&gt;0,SUMPRODUCT(MAX((職員マスタ!$A$6:$A$405=$B2831)*(((職員マスタ!$G$6:$G$405="")+(職員マスタ!$G$6:$G$405&lt;=EOMONTH($AQ2831,0)))&gt;0)*(((職員マスタ!$H$6:$H$405="")+(職員マスタ!$H$6:$H$405&gt;=$AQ2831))&gt;0)*(ROW(職員マスタ!$A$6:$A$405)-5))),IFERROR(MATCH($B2831,職員マスタ!$A$6:$A$405,0),"")))</f>
        <v/>
      </c>
      <c r="AQ2831" s="16">
        <f>IF(OR($B2831="",$C2831="",$D2831=""),"",DATE($C2831+2018,$D2831,1))</f>
        <v/>
      </c>
    </row>
    <row r="2832">
      <c r="A2832" s="11" t="n"/>
      <c r="B2832" s="12" t="n"/>
      <c r="C2832" s="12" t="n"/>
      <c r="D2832" s="12" t="n"/>
      <c r="E2832" s="13" t="n"/>
      <c r="F2832" s="12" t="n"/>
      <c r="G2832" s="13" t="n"/>
      <c r="H2832" s="12" t="n"/>
      <c r="I2832" s="12" t="n"/>
      <c r="J2832" s="12" t="n"/>
      <c r="K2832" s="12" t="n"/>
      <c r="L2832" s="11" t="n"/>
      <c r="M2832" s="11" t="n"/>
      <c r="N2832" s="11" t="n"/>
      <c r="O2832" s="11" t="n"/>
      <c r="P2832" s="12" t="n"/>
      <c r="Q2832" s="11" t="n"/>
      <c r="R2832" s="12" t="n"/>
      <c r="S2832" s="11" t="n"/>
      <c r="T2832" s="12" t="n"/>
      <c r="U2832" s="12" t="n"/>
      <c r="V2832" s="12" t="n"/>
      <c r="W2832" s="13" t="n"/>
      <c r="X2832" s="14">
        <f>IF($AP2832="",IF($B2832="","",$H2832),IF(INDEX(職員マスタ!$B$6:$B$405,$AP2832)="",$H2832,INDEX(職員マスタ!$B$6:$B$405,$AP2832)))</f>
        <v/>
      </c>
      <c r="Y2832" s="14">
        <f>IF($AP2832="",IF($B2832="","",$R2832),IF(INDEX(職員マスタ!$C$6:$C$405,$AP2832)="",$R2832,INDEX(職員マスタ!$C$6:$C$405,$AP2832)))</f>
        <v/>
      </c>
      <c r="Z2832" s="14">
        <f>IF($AQ2832="","","R"&amp;$C2832&amp;"."&amp;$D2832)</f>
        <v/>
      </c>
      <c r="AA2832" s="15">
        <f>IF(IF($AP2832="",FALSE,INDEX(職員マスタ!$K$6:$K$405,$AP2832)&lt;&gt;""),INDEX(職員マスタ!$K$6:$K$405,$AP2832),IF(N($W2832)&gt;0,$W2832,""))</f>
        <v/>
      </c>
      <c r="AB2832" s="14">
        <f>IF(OR($E2832="",$AA2832=""),"",IF($E2832&gt;=$AA2832,"×",IF($E2832&gt;=$AA2832*設定!$C$5,"△","○")))</f>
        <v/>
      </c>
      <c r="AC2832" s="15">
        <f>IF($AB2832="","",IF($AB2832="×",0,IF($AB2832="○",ROUNDDOWN($E2832*設定!$C$4,0),ROUNDDOWN($E2832*ROUND((9*$AA2832-9*$E2832)/(10*$E2832),4),0))))</f>
        <v/>
      </c>
      <c r="AD2832" s="13" t="n"/>
      <c r="AE2832" s="15">
        <f>IF($B2832="","",IF($AD2832&lt;&gt;"",$AD2832,IF($AC2832="","",IF($AC2832&lt;=設定!$C$3,0,$AC2832))))</f>
        <v/>
      </c>
      <c r="AF2832" s="14">
        <f>IF($B2832="","",IF(AND($AG2832&lt;&gt;"",$AI2832="",$AL2832=""),"保留中",IF($AL2832&lt;&gt;"",IF(N($AE2832)&gt;0,"支給済","不支給"),IF($AE2832="","要確認",IF($AE2832=0,"不支給","未処理")))))</f>
        <v/>
      </c>
      <c r="AG2832" s="12" t="n"/>
      <c r="AH2832" s="11" t="n"/>
      <c r="AI2832" s="11" t="n"/>
      <c r="AJ2832" s="11" t="n"/>
      <c r="AK2832" s="14">
        <f>IF(AND($AF2832="保留中",$AH2832&lt;&gt;""),TODAY()-$AH2832,"")</f>
        <v/>
      </c>
      <c r="AL2832" s="12" t="n"/>
      <c r="AM2832" s="14">
        <f>IF($B2832="","",IF($AQ2832="","対象年月が未入力／","")&amp;IF($B2832="","",IF($AP2832="","職員マスタに未登録の職員番号／",IF($AA2832="","標準報酬月額が未登録／","")&amp;IF(AND($AQ2832&lt;&gt;"",OR(AND(INDEX(職員マスタ!$G$6:$G$405,$AP2832)&lt;&gt;"",INDEX(職員マスタ!$G$6:$G$405,$AP2832)&gt;EOMONTH($AQ2832,0)),AND(INDEX(職員マスタ!$H$6:$H$405,$AP2832)&lt;&gt;"",INDEX(職員マスタ!$H$6:$H$405,$AP2832)&lt;$AQ2832))),"対象月が時短期間外／","")&amp;IF(AND(INDEX(職員マスタ!$K$6:$K$405,$AP2832)&lt;&gt;"",N($W2832)&gt;0,INDEX(職員マスタ!$K$6:$K$405,$AP2832)&lt;&gt;$W2832),"標準報酬月額が申請書と相違（台帳"&amp;TEXT(INDEX(職員マスタ!$K$6:$K$405,$AP2832),"#,##0")&amp;"円／申請書"&amp;TEXT($W2832,"#,##0")&amp;"円）／","")&amp;IF(AND(INDEX(職員マスタ!$F$6:$F$405,$AP2832)&lt;&gt;"",$AQ2832&lt;&gt;"",INDEX(職員マスタ!$F$6:$F$405,$AP2832)&lt;$AQ2832),"対象月に子が2歳到達済／","")&amp;IF(AND($H2832&lt;&gt;"",INDEX(職員マスタ!$B$6:$B$405,$AP2832)&lt;&gt;"",SUBSTITUTE(SUBSTITUTE($H2832," ","")," ","")&lt;&gt;SUBSTITUTE(SUBSTITUTE(INDEX(職員マスタ!$B$6:$B$405,$AP2832)," ","")," ","")),"氏名がマスタと相違／","")&amp;IF(AND($Q2832&lt;&gt;"",INDEX(職員マスタ!$E$6:$E$405,$AP2832)&lt;&gt;"",$Q2832&lt;&gt;INDEX(職員マスタ!$E$6:$E$405,$AP2832)),"子の生年月日がマスタと相違／","")&amp;IF(AND($L2832&lt;&gt;"",INDEX(職員マスタ!$G$6:$G$405,$AP2832)&lt;&gt;"",$L2832&lt;&gt;INDEX(職員マスタ!$G$6:$G$405,$AP2832)),"時短開始日がマスタと相違／","")&amp;IF(AND($M2832&lt;&gt;"",INDEX(職員マスタ!$H$6:$H$405,$AP2832)&lt;&gt;"",$M2832&lt;&gt;INDEX(職員マスタ!$H$6:$H$405,$AP2832)),"時短終了日がマスタと相違／","")))&amp;IF(AND($B2832&lt;&gt;"",$E2832=""),"報酬額が未入力／","")&amp;IF(N($U2832)&gt;0,"申請書に入力エラーが残っています／","")&amp;IF(AND($B2832&lt;&gt;"",$AQ2832&lt;&gt;""),IF(COUNTIFS($B$6:$B$3005,$B2832,$C$6:$C$3005,$C2832,$D$6:$D$3005,$D2832)&gt;1,"同じ月の請求が重複しています／",""),"")&amp;IF(AND(N($E2832)&gt;0,$AB2832&lt;&gt;"",$AB2832&lt;&gt;"×",$AE2832=0,$AD2832=""),"計算額が下限以下のため不支給／",""))</f>
        <v/>
      </c>
      <c r="AN2832" s="12" t="n"/>
      <c r="AO2832" s="14">
        <f>IF($AF2832="保留中",COUNTIF($AF$6:$AF2832,"保留中"),"")</f>
        <v/>
      </c>
      <c r="AP2832" s="14">
        <f>IF($AQ2832="","",IF(SUMPRODUCT(MAX((職員マスタ!$A$6:$A$405=$B2832)*(((職員マスタ!$G$6:$G$405="")+(職員マスタ!$G$6:$G$405&lt;=EOMONTH($AQ2832,0)))&gt;0)*(((職員マスタ!$H$6:$H$405="")+(職員マスタ!$H$6:$H$405&gt;=$AQ2832))&gt;0)*(ROW(職員マスタ!$A$6:$A$405)-5)))&gt;0,SUMPRODUCT(MAX((職員マスタ!$A$6:$A$405=$B2832)*(((職員マスタ!$G$6:$G$405="")+(職員マスタ!$G$6:$G$405&lt;=EOMONTH($AQ2832,0)))&gt;0)*(((職員マスタ!$H$6:$H$405="")+(職員マスタ!$H$6:$H$405&gt;=$AQ2832))&gt;0)*(ROW(職員マスタ!$A$6:$A$405)-5))),IFERROR(MATCH($B2832,職員マスタ!$A$6:$A$405,0),"")))</f>
        <v/>
      </c>
      <c r="AQ2832" s="16">
        <f>IF(OR($B2832="",$C2832="",$D2832=""),"",DATE($C2832+2018,$D2832,1))</f>
        <v/>
      </c>
    </row>
    <row r="2833">
      <c r="A2833" s="11" t="n"/>
      <c r="B2833" s="12" t="n"/>
      <c r="C2833" s="12" t="n"/>
      <c r="D2833" s="12" t="n"/>
      <c r="E2833" s="13" t="n"/>
      <c r="F2833" s="12" t="n"/>
      <c r="G2833" s="13" t="n"/>
      <c r="H2833" s="12" t="n"/>
      <c r="I2833" s="12" t="n"/>
      <c r="J2833" s="12" t="n"/>
      <c r="K2833" s="12" t="n"/>
      <c r="L2833" s="11" t="n"/>
      <c r="M2833" s="11" t="n"/>
      <c r="N2833" s="11" t="n"/>
      <c r="O2833" s="11" t="n"/>
      <c r="P2833" s="12" t="n"/>
      <c r="Q2833" s="11" t="n"/>
      <c r="R2833" s="12" t="n"/>
      <c r="S2833" s="11" t="n"/>
      <c r="T2833" s="12" t="n"/>
      <c r="U2833" s="12" t="n"/>
      <c r="V2833" s="12" t="n"/>
      <c r="W2833" s="13" t="n"/>
      <c r="X2833" s="14">
        <f>IF($AP2833="",IF($B2833="","",$H2833),IF(INDEX(職員マスタ!$B$6:$B$405,$AP2833)="",$H2833,INDEX(職員マスタ!$B$6:$B$405,$AP2833)))</f>
        <v/>
      </c>
      <c r="Y2833" s="14">
        <f>IF($AP2833="",IF($B2833="","",$R2833),IF(INDEX(職員マスタ!$C$6:$C$405,$AP2833)="",$R2833,INDEX(職員マスタ!$C$6:$C$405,$AP2833)))</f>
        <v/>
      </c>
      <c r="Z2833" s="14">
        <f>IF($AQ2833="","","R"&amp;$C2833&amp;"."&amp;$D2833)</f>
        <v/>
      </c>
      <c r="AA2833" s="15">
        <f>IF(IF($AP2833="",FALSE,INDEX(職員マスタ!$K$6:$K$405,$AP2833)&lt;&gt;""),INDEX(職員マスタ!$K$6:$K$405,$AP2833),IF(N($W2833)&gt;0,$W2833,""))</f>
        <v/>
      </c>
      <c r="AB2833" s="14">
        <f>IF(OR($E2833="",$AA2833=""),"",IF($E2833&gt;=$AA2833,"×",IF($E2833&gt;=$AA2833*設定!$C$5,"△","○")))</f>
        <v/>
      </c>
      <c r="AC2833" s="15">
        <f>IF($AB2833="","",IF($AB2833="×",0,IF($AB2833="○",ROUNDDOWN($E2833*設定!$C$4,0),ROUNDDOWN($E2833*ROUND((9*$AA2833-9*$E2833)/(10*$E2833),4),0))))</f>
        <v/>
      </c>
      <c r="AD2833" s="13" t="n"/>
      <c r="AE2833" s="15">
        <f>IF($B2833="","",IF($AD2833&lt;&gt;"",$AD2833,IF($AC2833="","",IF($AC2833&lt;=設定!$C$3,0,$AC2833))))</f>
        <v/>
      </c>
      <c r="AF2833" s="14">
        <f>IF($B2833="","",IF(AND($AG2833&lt;&gt;"",$AI2833="",$AL2833=""),"保留中",IF($AL2833&lt;&gt;"",IF(N($AE2833)&gt;0,"支給済","不支給"),IF($AE2833="","要確認",IF($AE2833=0,"不支給","未処理")))))</f>
        <v/>
      </c>
      <c r="AG2833" s="12" t="n"/>
      <c r="AH2833" s="11" t="n"/>
      <c r="AI2833" s="11" t="n"/>
      <c r="AJ2833" s="11" t="n"/>
      <c r="AK2833" s="14">
        <f>IF(AND($AF2833="保留中",$AH2833&lt;&gt;""),TODAY()-$AH2833,"")</f>
        <v/>
      </c>
      <c r="AL2833" s="12" t="n"/>
      <c r="AM2833" s="14">
        <f>IF($B2833="","",IF($AQ2833="","対象年月が未入力／","")&amp;IF($B2833="","",IF($AP2833="","職員マスタに未登録の職員番号／",IF($AA2833="","標準報酬月額が未登録／","")&amp;IF(AND($AQ2833&lt;&gt;"",OR(AND(INDEX(職員マスタ!$G$6:$G$405,$AP2833)&lt;&gt;"",INDEX(職員マスタ!$G$6:$G$405,$AP2833)&gt;EOMONTH($AQ2833,0)),AND(INDEX(職員マスタ!$H$6:$H$405,$AP2833)&lt;&gt;"",INDEX(職員マスタ!$H$6:$H$405,$AP2833)&lt;$AQ2833))),"対象月が時短期間外／","")&amp;IF(AND(INDEX(職員マスタ!$K$6:$K$405,$AP2833)&lt;&gt;"",N($W2833)&gt;0,INDEX(職員マスタ!$K$6:$K$405,$AP2833)&lt;&gt;$W2833),"標準報酬月額が申請書と相違（台帳"&amp;TEXT(INDEX(職員マスタ!$K$6:$K$405,$AP2833),"#,##0")&amp;"円／申請書"&amp;TEXT($W2833,"#,##0")&amp;"円）／","")&amp;IF(AND(INDEX(職員マスタ!$F$6:$F$405,$AP2833)&lt;&gt;"",$AQ2833&lt;&gt;"",INDEX(職員マスタ!$F$6:$F$405,$AP2833)&lt;$AQ2833),"対象月に子が2歳到達済／","")&amp;IF(AND($H2833&lt;&gt;"",INDEX(職員マスタ!$B$6:$B$405,$AP2833)&lt;&gt;"",SUBSTITUTE(SUBSTITUTE($H2833," ","")," ","")&lt;&gt;SUBSTITUTE(SUBSTITUTE(INDEX(職員マスタ!$B$6:$B$405,$AP2833)," ","")," ","")),"氏名がマスタと相違／","")&amp;IF(AND($Q2833&lt;&gt;"",INDEX(職員マスタ!$E$6:$E$405,$AP2833)&lt;&gt;"",$Q2833&lt;&gt;INDEX(職員マスタ!$E$6:$E$405,$AP2833)),"子の生年月日がマスタと相違／","")&amp;IF(AND($L2833&lt;&gt;"",INDEX(職員マスタ!$G$6:$G$405,$AP2833)&lt;&gt;"",$L2833&lt;&gt;INDEX(職員マスタ!$G$6:$G$405,$AP2833)),"時短開始日がマスタと相違／","")&amp;IF(AND($M2833&lt;&gt;"",INDEX(職員マスタ!$H$6:$H$405,$AP2833)&lt;&gt;"",$M2833&lt;&gt;INDEX(職員マスタ!$H$6:$H$405,$AP2833)),"時短終了日がマスタと相違／","")))&amp;IF(AND($B2833&lt;&gt;"",$E2833=""),"報酬額が未入力／","")&amp;IF(N($U2833)&gt;0,"申請書に入力エラーが残っています／","")&amp;IF(AND($B2833&lt;&gt;"",$AQ2833&lt;&gt;""),IF(COUNTIFS($B$6:$B$3005,$B2833,$C$6:$C$3005,$C2833,$D$6:$D$3005,$D2833)&gt;1,"同じ月の請求が重複しています／",""),"")&amp;IF(AND(N($E2833)&gt;0,$AB2833&lt;&gt;"",$AB2833&lt;&gt;"×",$AE2833=0,$AD2833=""),"計算額が下限以下のため不支給／",""))</f>
        <v/>
      </c>
      <c r="AN2833" s="12" t="n"/>
      <c r="AO2833" s="14">
        <f>IF($AF2833="保留中",COUNTIF($AF$6:$AF2833,"保留中"),"")</f>
        <v/>
      </c>
      <c r="AP2833" s="14">
        <f>IF($AQ2833="","",IF(SUMPRODUCT(MAX((職員マスタ!$A$6:$A$405=$B2833)*(((職員マスタ!$G$6:$G$405="")+(職員マスタ!$G$6:$G$405&lt;=EOMONTH($AQ2833,0)))&gt;0)*(((職員マスタ!$H$6:$H$405="")+(職員マスタ!$H$6:$H$405&gt;=$AQ2833))&gt;0)*(ROW(職員マスタ!$A$6:$A$405)-5)))&gt;0,SUMPRODUCT(MAX((職員マスタ!$A$6:$A$405=$B2833)*(((職員マスタ!$G$6:$G$405="")+(職員マスタ!$G$6:$G$405&lt;=EOMONTH($AQ2833,0)))&gt;0)*(((職員マスタ!$H$6:$H$405="")+(職員マスタ!$H$6:$H$405&gt;=$AQ2833))&gt;0)*(ROW(職員マスタ!$A$6:$A$405)-5))),IFERROR(MATCH($B2833,職員マスタ!$A$6:$A$405,0),"")))</f>
        <v/>
      </c>
      <c r="AQ2833" s="16">
        <f>IF(OR($B2833="",$C2833="",$D2833=""),"",DATE($C2833+2018,$D2833,1))</f>
        <v/>
      </c>
    </row>
    <row r="2834">
      <c r="A2834" s="11" t="n"/>
      <c r="B2834" s="12" t="n"/>
      <c r="C2834" s="12" t="n"/>
      <c r="D2834" s="12" t="n"/>
      <c r="E2834" s="13" t="n"/>
      <c r="F2834" s="12" t="n"/>
      <c r="G2834" s="13" t="n"/>
      <c r="H2834" s="12" t="n"/>
      <c r="I2834" s="12" t="n"/>
      <c r="J2834" s="12" t="n"/>
      <c r="K2834" s="12" t="n"/>
      <c r="L2834" s="11" t="n"/>
      <c r="M2834" s="11" t="n"/>
      <c r="N2834" s="11" t="n"/>
      <c r="O2834" s="11" t="n"/>
      <c r="P2834" s="12" t="n"/>
      <c r="Q2834" s="11" t="n"/>
      <c r="R2834" s="12" t="n"/>
      <c r="S2834" s="11" t="n"/>
      <c r="T2834" s="12" t="n"/>
      <c r="U2834" s="12" t="n"/>
      <c r="V2834" s="12" t="n"/>
      <c r="W2834" s="13" t="n"/>
      <c r="X2834" s="14">
        <f>IF($AP2834="",IF($B2834="","",$H2834),IF(INDEX(職員マスタ!$B$6:$B$405,$AP2834)="",$H2834,INDEX(職員マスタ!$B$6:$B$405,$AP2834)))</f>
        <v/>
      </c>
      <c r="Y2834" s="14">
        <f>IF($AP2834="",IF($B2834="","",$R2834),IF(INDEX(職員マスタ!$C$6:$C$405,$AP2834)="",$R2834,INDEX(職員マスタ!$C$6:$C$405,$AP2834)))</f>
        <v/>
      </c>
      <c r="Z2834" s="14">
        <f>IF($AQ2834="","","R"&amp;$C2834&amp;"."&amp;$D2834)</f>
        <v/>
      </c>
      <c r="AA2834" s="15">
        <f>IF(IF($AP2834="",FALSE,INDEX(職員マスタ!$K$6:$K$405,$AP2834)&lt;&gt;""),INDEX(職員マスタ!$K$6:$K$405,$AP2834),IF(N($W2834)&gt;0,$W2834,""))</f>
        <v/>
      </c>
      <c r="AB2834" s="14">
        <f>IF(OR($E2834="",$AA2834=""),"",IF($E2834&gt;=$AA2834,"×",IF($E2834&gt;=$AA2834*設定!$C$5,"△","○")))</f>
        <v/>
      </c>
      <c r="AC2834" s="15">
        <f>IF($AB2834="","",IF($AB2834="×",0,IF($AB2834="○",ROUNDDOWN($E2834*設定!$C$4,0),ROUNDDOWN($E2834*ROUND((9*$AA2834-9*$E2834)/(10*$E2834),4),0))))</f>
        <v/>
      </c>
      <c r="AD2834" s="13" t="n"/>
      <c r="AE2834" s="15">
        <f>IF($B2834="","",IF($AD2834&lt;&gt;"",$AD2834,IF($AC2834="","",IF($AC2834&lt;=設定!$C$3,0,$AC2834))))</f>
        <v/>
      </c>
      <c r="AF2834" s="14">
        <f>IF($B2834="","",IF(AND($AG2834&lt;&gt;"",$AI2834="",$AL2834=""),"保留中",IF($AL2834&lt;&gt;"",IF(N($AE2834)&gt;0,"支給済","不支給"),IF($AE2834="","要確認",IF($AE2834=0,"不支給","未処理")))))</f>
        <v/>
      </c>
      <c r="AG2834" s="12" t="n"/>
      <c r="AH2834" s="11" t="n"/>
      <c r="AI2834" s="11" t="n"/>
      <c r="AJ2834" s="11" t="n"/>
      <c r="AK2834" s="14">
        <f>IF(AND($AF2834="保留中",$AH2834&lt;&gt;""),TODAY()-$AH2834,"")</f>
        <v/>
      </c>
      <c r="AL2834" s="12" t="n"/>
      <c r="AM2834" s="14">
        <f>IF($B2834="","",IF($AQ2834="","対象年月が未入力／","")&amp;IF($B2834="","",IF($AP2834="","職員マスタに未登録の職員番号／",IF($AA2834="","標準報酬月額が未登録／","")&amp;IF(AND($AQ2834&lt;&gt;"",OR(AND(INDEX(職員マスタ!$G$6:$G$405,$AP2834)&lt;&gt;"",INDEX(職員マスタ!$G$6:$G$405,$AP2834)&gt;EOMONTH($AQ2834,0)),AND(INDEX(職員マスタ!$H$6:$H$405,$AP2834)&lt;&gt;"",INDEX(職員マスタ!$H$6:$H$405,$AP2834)&lt;$AQ2834))),"対象月が時短期間外／","")&amp;IF(AND(INDEX(職員マスタ!$K$6:$K$405,$AP2834)&lt;&gt;"",N($W2834)&gt;0,INDEX(職員マスタ!$K$6:$K$405,$AP2834)&lt;&gt;$W2834),"標準報酬月額が申請書と相違（台帳"&amp;TEXT(INDEX(職員マスタ!$K$6:$K$405,$AP2834),"#,##0")&amp;"円／申請書"&amp;TEXT($W2834,"#,##0")&amp;"円）／","")&amp;IF(AND(INDEX(職員マスタ!$F$6:$F$405,$AP2834)&lt;&gt;"",$AQ2834&lt;&gt;"",INDEX(職員マスタ!$F$6:$F$405,$AP2834)&lt;$AQ2834),"対象月に子が2歳到達済／","")&amp;IF(AND($H2834&lt;&gt;"",INDEX(職員マスタ!$B$6:$B$405,$AP2834)&lt;&gt;"",SUBSTITUTE(SUBSTITUTE($H2834," ","")," ","")&lt;&gt;SUBSTITUTE(SUBSTITUTE(INDEX(職員マスタ!$B$6:$B$405,$AP2834)," ","")," ","")),"氏名がマスタと相違／","")&amp;IF(AND($Q2834&lt;&gt;"",INDEX(職員マスタ!$E$6:$E$405,$AP2834)&lt;&gt;"",$Q2834&lt;&gt;INDEX(職員マスタ!$E$6:$E$405,$AP2834)),"子の生年月日がマスタと相違／","")&amp;IF(AND($L2834&lt;&gt;"",INDEX(職員マスタ!$G$6:$G$405,$AP2834)&lt;&gt;"",$L2834&lt;&gt;INDEX(職員マスタ!$G$6:$G$405,$AP2834)),"時短開始日がマスタと相違／","")&amp;IF(AND($M2834&lt;&gt;"",INDEX(職員マスタ!$H$6:$H$405,$AP2834)&lt;&gt;"",$M2834&lt;&gt;INDEX(職員マスタ!$H$6:$H$405,$AP2834)),"時短終了日がマスタと相違／","")))&amp;IF(AND($B2834&lt;&gt;"",$E2834=""),"報酬額が未入力／","")&amp;IF(N($U2834)&gt;0,"申請書に入力エラーが残っています／","")&amp;IF(AND($B2834&lt;&gt;"",$AQ2834&lt;&gt;""),IF(COUNTIFS($B$6:$B$3005,$B2834,$C$6:$C$3005,$C2834,$D$6:$D$3005,$D2834)&gt;1,"同じ月の請求が重複しています／",""),"")&amp;IF(AND(N($E2834)&gt;0,$AB2834&lt;&gt;"",$AB2834&lt;&gt;"×",$AE2834=0,$AD2834=""),"計算額が下限以下のため不支給／",""))</f>
        <v/>
      </c>
      <c r="AN2834" s="12" t="n"/>
      <c r="AO2834" s="14">
        <f>IF($AF2834="保留中",COUNTIF($AF$6:$AF2834,"保留中"),"")</f>
        <v/>
      </c>
      <c r="AP2834" s="14">
        <f>IF($AQ2834="","",IF(SUMPRODUCT(MAX((職員マスタ!$A$6:$A$405=$B2834)*(((職員マスタ!$G$6:$G$405="")+(職員マスタ!$G$6:$G$405&lt;=EOMONTH($AQ2834,0)))&gt;0)*(((職員マスタ!$H$6:$H$405="")+(職員マスタ!$H$6:$H$405&gt;=$AQ2834))&gt;0)*(ROW(職員マスタ!$A$6:$A$405)-5)))&gt;0,SUMPRODUCT(MAX((職員マスタ!$A$6:$A$405=$B2834)*(((職員マスタ!$G$6:$G$405="")+(職員マスタ!$G$6:$G$405&lt;=EOMONTH($AQ2834,0)))&gt;0)*(((職員マスタ!$H$6:$H$405="")+(職員マスタ!$H$6:$H$405&gt;=$AQ2834))&gt;0)*(ROW(職員マスタ!$A$6:$A$405)-5))),IFERROR(MATCH($B2834,職員マスタ!$A$6:$A$405,0),"")))</f>
        <v/>
      </c>
      <c r="AQ2834" s="16">
        <f>IF(OR($B2834="",$C2834="",$D2834=""),"",DATE($C2834+2018,$D2834,1))</f>
        <v/>
      </c>
    </row>
    <row r="2835">
      <c r="A2835" s="11" t="n"/>
      <c r="B2835" s="12" t="n"/>
      <c r="C2835" s="12" t="n"/>
      <c r="D2835" s="12" t="n"/>
      <c r="E2835" s="13" t="n"/>
      <c r="F2835" s="12" t="n"/>
      <c r="G2835" s="13" t="n"/>
      <c r="H2835" s="12" t="n"/>
      <c r="I2835" s="12" t="n"/>
      <c r="J2835" s="12" t="n"/>
      <c r="K2835" s="12" t="n"/>
      <c r="L2835" s="11" t="n"/>
      <c r="M2835" s="11" t="n"/>
      <c r="N2835" s="11" t="n"/>
      <c r="O2835" s="11" t="n"/>
      <c r="P2835" s="12" t="n"/>
      <c r="Q2835" s="11" t="n"/>
      <c r="R2835" s="12" t="n"/>
      <c r="S2835" s="11" t="n"/>
      <c r="T2835" s="12" t="n"/>
      <c r="U2835" s="12" t="n"/>
      <c r="V2835" s="12" t="n"/>
      <c r="W2835" s="13" t="n"/>
      <c r="X2835" s="14">
        <f>IF($AP2835="",IF($B2835="","",$H2835),IF(INDEX(職員マスタ!$B$6:$B$405,$AP2835)="",$H2835,INDEX(職員マスタ!$B$6:$B$405,$AP2835)))</f>
        <v/>
      </c>
      <c r="Y2835" s="14">
        <f>IF($AP2835="",IF($B2835="","",$R2835),IF(INDEX(職員マスタ!$C$6:$C$405,$AP2835)="",$R2835,INDEX(職員マスタ!$C$6:$C$405,$AP2835)))</f>
        <v/>
      </c>
      <c r="Z2835" s="14">
        <f>IF($AQ2835="","","R"&amp;$C2835&amp;"."&amp;$D2835)</f>
        <v/>
      </c>
      <c r="AA2835" s="15">
        <f>IF(IF($AP2835="",FALSE,INDEX(職員マスタ!$K$6:$K$405,$AP2835)&lt;&gt;""),INDEX(職員マスタ!$K$6:$K$405,$AP2835),IF(N($W2835)&gt;0,$W2835,""))</f>
        <v/>
      </c>
      <c r="AB2835" s="14">
        <f>IF(OR($E2835="",$AA2835=""),"",IF($E2835&gt;=$AA2835,"×",IF($E2835&gt;=$AA2835*設定!$C$5,"△","○")))</f>
        <v/>
      </c>
      <c r="AC2835" s="15">
        <f>IF($AB2835="","",IF($AB2835="×",0,IF($AB2835="○",ROUNDDOWN($E2835*設定!$C$4,0),ROUNDDOWN($E2835*ROUND((9*$AA2835-9*$E2835)/(10*$E2835),4),0))))</f>
        <v/>
      </c>
      <c r="AD2835" s="13" t="n"/>
      <c r="AE2835" s="15">
        <f>IF($B2835="","",IF($AD2835&lt;&gt;"",$AD2835,IF($AC2835="","",IF($AC2835&lt;=設定!$C$3,0,$AC2835))))</f>
        <v/>
      </c>
      <c r="AF2835" s="14">
        <f>IF($B2835="","",IF(AND($AG2835&lt;&gt;"",$AI2835="",$AL2835=""),"保留中",IF($AL2835&lt;&gt;"",IF(N($AE2835)&gt;0,"支給済","不支給"),IF($AE2835="","要確認",IF($AE2835=0,"不支給","未処理")))))</f>
        <v/>
      </c>
      <c r="AG2835" s="12" t="n"/>
      <c r="AH2835" s="11" t="n"/>
      <c r="AI2835" s="11" t="n"/>
      <c r="AJ2835" s="11" t="n"/>
      <c r="AK2835" s="14">
        <f>IF(AND($AF2835="保留中",$AH2835&lt;&gt;""),TODAY()-$AH2835,"")</f>
        <v/>
      </c>
      <c r="AL2835" s="12" t="n"/>
      <c r="AM2835" s="14">
        <f>IF($B2835="","",IF($AQ2835="","対象年月が未入力／","")&amp;IF($B2835="","",IF($AP2835="","職員マスタに未登録の職員番号／",IF($AA2835="","標準報酬月額が未登録／","")&amp;IF(AND($AQ2835&lt;&gt;"",OR(AND(INDEX(職員マスタ!$G$6:$G$405,$AP2835)&lt;&gt;"",INDEX(職員マスタ!$G$6:$G$405,$AP2835)&gt;EOMONTH($AQ2835,0)),AND(INDEX(職員マスタ!$H$6:$H$405,$AP2835)&lt;&gt;"",INDEX(職員マスタ!$H$6:$H$405,$AP2835)&lt;$AQ2835))),"対象月が時短期間外／","")&amp;IF(AND(INDEX(職員マスタ!$K$6:$K$405,$AP2835)&lt;&gt;"",N($W2835)&gt;0,INDEX(職員マスタ!$K$6:$K$405,$AP2835)&lt;&gt;$W2835),"標準報酬月額が申請書と相違（台帳"&amp;TEXT(INDEX(職員マスタ!$K$6:$K$405,$AP2835),"#,##0")&amp;"円／申請書"&amp;TEXT($W2835,"#,##0")&amp;"円）／","")&amp;IF(AND(INDEX(職員マスタ!$F$6:$F$405,$AP2835)&lt;&gt;"",$AQ2835&lt;&gt;"",INDEX(職員マスタ!$F$6:$F$405,$AP2835)&lt;$AQ2835),"対象月に子が2歳到達済／","")&amp;IF(AND($H2835&lt;&gt;"",INDEX(職員マスタ!$B$6:$B$405,$AP2835)&lt;&gt;"",SUBSTITUTE(SUBSTITUTE($H2835," ","")," ","")&lt;&gt;SUBSTITUTE(SUBSTITUTE(INDEX(職員マスタ!$B$6:$B$405,$AP2835)," ","")," ","")),"氏名がマスタと相違／","")&amp;IF(AND($Q2835&lt;&gt;"",INDEX(職員マスタ!$E$6:$E$405,$AP2835)&lt;&gt;"",$Q2835&lt;&gt;INDEX(職員マスタ!$E$6:$E$405,$AP2835)),"子の生年月日がマスタと相違／","")&amp;IF(AND($L2835&lt;&gt;"",INDEX(職員マスタ!$G$6:$G$405,$AP2835)&lt;&gt;"",$L2835&lt;&gt;INDEX(職員マスタ!$G$6:$G$405,$AP2835)),"時短開始日がマスタと相違／","")&amp;IF(AND($M2835&lt;&gt;"",INDEX(職員マスタ!$H$6:$H$405,$AP2835)&lt;&gt;"",$M2835&lt;&gt;INDEX(職員マスタ!$H$6:$H$405,$AP2835)),"時短終了日がマスタと相違／","")))&amp;IF(AND($B2835&lt;&gt;"",$E2835=""),"報酬額が未入力／","")&amp;IF(N($U2835)&gt;0,"申請書に入力エラーが残っています／","")&amp;IF(AND($B2835&lt;&gt;"",$AQ2835&lt;&gt;""),IF(COUNTIFS($B$6:$B$3005,$B2835,$C$6:$C$3005,$C2835,$D$6:$D$3005,$D2835)&gt;1,"同じ月の請求が重複しています／",""),"")&amp;IF(AND(N($E2835)&gt;0,$AB2835&lt;&gt;"",$AB2835&lt;&gt;"×",$AE2835=0,$AD2835=""),"計算額が下限以下のため不支給／",""))</f>
        <v/>
      </c>
      <c r="AN2835" s="12" t="n"/>
      <c r="AO2835" s="14">
        <f>IF($AF2835="保留中",COUNTIF($AF$6:$AF2835,"保留中"),"")</f>
        <v/>
      </c>
      <c r="AP2835" s="14">
        <f>IF($AQ2835="","",IF(SUMPRODUCT(MAX((職員マスタ!$A$6:$A$405=$B2835)*(((職員マスタ!$G$6:$G$405="")+(職員マスタ!$G$6:$G$405&lt;=EOMONTH($AQ2835,0)))&gt;0)*(((職員マスタ!$H$6:$H$405="")+(職員マスタ!$H$6:$H$405&gt;=$AQ2835))&gt;0)*(ROW(職員マスタ!$A$6:$A$405)-5)))&gt;0,SUMPRODUCT(MAX((職員マスタ!$A$6:$A$405=$B2835)*(((職員マスタ!$G$6:$G$405="")+(職員マスタ!$G$6:$G$405&lt;=EOMONTH($AQ2835,0)))&gt;0)*(((職員マスタ!$H$6:$H$405="")+(職員マスタ!$H$6:$H$405&gt;=$AQ2835))&gt;0)*(ROW(職員マスタ!$A$6:$A$405)-5))),IFERROR(MATCH($B2835,職員マスタ!$A$6:$A$405,0),"")))</f>
        <v/>
      </c>
      <c r="AQ2835" s="16">
        <f>IF(OR($B2835="",$C2835="",$D2835=""),"",DATE($C2835+2018,$D2835,1))</f>
        <v/>
      </c>
    </row>
    <row r="2836">
      <c r="A2836" s="11" t="n"/>
      <c r="B2836" s="12" t="n"/>
      <c r="C2836" s="12" t="n"/>
      <c r="D2836" s="12" t="n"/>
      <c r="E2836" s="13" t="n"/>
      <c r="F2836" s="12" t="n"/>
      <c r="G2836" s="13" t="n"/>
      <c r="H2836" s="12" t="n"/>
      <c r="I2836" s="12" t="n"/>
      <c r="J2836" s="12" t="n"/>
      <c r="K2836" s="12" t="n"/>
      <c r="L2836" s="11" t="n"/>
      <c r="M2836" s="11" t="n"/>
      <c r="N2836" s="11" t="n"/>
      <c r="O2836" s="11" t="n"/>
      <c r="P2836" s="12" t="n"/>
      <c r="Q2836" s="11" t="n"/>
      <c r="R2836" s="12" t="n"/>
      <c r="S2836" s="11" t="n"/>
      <c r="T2836" s="12" t="n"/>
      <c r="U2836" s="12" t="n"/>
      <c r="V2836" s="12" t="n"/>
      <c r="W2836" s="13" t="n"/>
      <c r="X2836" s="14">
        <f>IF($AP2836="",IF($B2836="","",$H2836),IF(INDEX(職員マスタ!$B$6:$B$405,$AP2836)="",$H2836,INDEX(職員マスタ!$B$6:$B$405,$AP2836)))</f>
        <v/>
      </c>
      <c r="Y2836" s="14">
        <f>IF($AP2836="",IF($B2836="","",$R2836),IF(INDEX(職員マスタ!$C$6:$C$405,$AP2836)="",$R2836,INDEX(職員マスタ!$C$6:$C$405,$AP2836)))</f>
        <v/>
      </c>
      <c r="Z2836" s="14">
        <f>IF($AQ2836="","","R"&amp;$C2836&amp;"."&amp;$D2836)</f>
        <v/>
      </c>
      <c r="AA2836" s="15">
        <f>IF(IF($AP2836="",FALSE,INDEX(職員マスタ!$K$6:$K$405,$AP2836)&lt;&gt;""),INDEX(職員マスタ!$K$6:$K$405,$AP2836),IF(N($W2836)&gt;0,$W2836,""))</f>
        <v/>
      </c>
      <c r="AB2836" s="14">
        <f>IF(OR($E2836="",$AA2836=""),"",IF($E2836&gt;=$AA2836,"×",IF($E2836&gt;=$AA2836*設定!$C$5,"△","○")))</f>
        <v/>
      </c>
      <c r="AC2836" s="15">
        <f>IF($AB2836="","",IF($AB2836="×",0,IF($AB2836="○",ROUNDDOWN($E2836*設定!$C$4,0),ROUNDDOWN($E2836*ROUND((9*$AA2836-9*$E2836)/(10*$E2836),4),0))))</f>
        <v/>
      </c>
      <c r="AD2836" s="13" t="n"/>
      <c r="AE2836" s="15">
        <f>IF($B2836="","",IF($AD2836&lt;&gt;"",$AD2836,IF($AC2836="","",IF($AC2836&lt;=設定!$C$3,0,$AC2836))))</f>
        <v/>
      </c>
      <c r="AF2836" s="14">
        <f>IF($B2836="","",IF(AND($AG2836&lt;&gt;"",$AI2836="",$AL2836=""),"保留中",IF($AL2836&lt;&gt;"",IF(N($AE2836)&gt;0,"支給済","不支給"),IF($AE2836="","要確認",IF($AE2836=0,"不支給","未処理")))))</f>
        <v/>
      </c>
      <c r="AG2836" s="12" t="n"/>
      <c r="AH2836" s="11" t="n"/>
      <c r="AI2836" s="11" t="n"/>
      <c r="AJ2836" s="11" t="n"/>
      <c r="AK2836" s="14">
        <f>IF(AND($AF2836="保留中",$AH2836&lt;&gt;""),TODAY()-$AH2836,"")</f>
        <v/>
      </c>
      <c r="AL2836" s="12" t="n"/>
      <c r="AM2836" s="14">
        <f>IF($B2836="","",IF($AQ2836="","対象年月が未入力／","")&amp;IF($B2836="","",IF($AP2836="","職員マスタに未登録の職員番号／",IF($AA2836="","標準報酬月額が未登録／","")&amp;IF(AND($AQ2836&lt;&gt;"",OR(AND(INDEX(職員マスタ!$G$6:$G$405,$AP2836)&lt;&gt;"",INDEX(職員マスタ!$G$6:$G$405,$AP2836)&gt;EOMONTH($AQ2836,0)),AND(INDEX(職員マスタ!$H$6:$H$405,$AP2836)&lt;&gt;"",INDEX(職員マスタ!$H$6:$H$405,$AP2836)&lt;$AQ2836))),"対象月が時短期間外／","")&amp;IF(AND(INDEX(職員マスタ!$K$6:$K$405,$AP2836)&lt;&gt;"",N($W2836)&gt;0,INDEX(職員マスタ!$K$6:$K$405,$AP2836)&lt;&gt;$W2836),"標準報酬月額が申請書と相違（台帳"&amp;TEXT(INDEX(職員マスタ!$K$6:$K$405,$AP2836),"#,##0")&amp;"円／申請書"&amp;TEXT($W2836,"#,##0")&amp;"円）／","")&amp;IF(AND(INDEX(職員マスタ!$F$6:$F$405,$AP2836)&lt;&gt;"",$AQ2836&lt;&gt;"",INDEX(職員マスタ!$F$6:$F$405,$AP2836)&lt;$AQ2836),"対象月に子が2歳到達済／","")&amp;IF(AND($H2836&lt;&gt;"",INDEX(職員マスタ!$B$6:$B$405,$AP2836)&lt;&gt;"",SUBSTITUTE(SUBSTITUTE($H2836," ","")," ","")&lt;&gt;SUBSTITUTE(SUBSTITUTE(INDEX(職員マスタ!$B$6:$B$405,$AP2836)," ","")," ","")),"氏名がマスタと相違／","")&amp;IF(AND($Q2836&lt;&gt;"",INDEX(職員マスタ!$E$6:$E$405,$AP2836)&lt;&gt;"",$Q2836&lt;&gt;INDEX(職員マスタ!$E$6:$E$405,$AP2836)),"子の生年月日がマスタと相違／","")&amp;IF(AND($L2836&lt;&gt;"",INDEX(職員マスタ!$G$6:$G$405,$AP2836)&lt;&gt;"",$L2836&lt;&gt;INDEX(職員マスタ!$G$6:$G$405,$AP2836)),"時短開始日がマスタと相違／","")&amp;IF(AND($M2836&lt;&gt;"",INDEX(職員マスタ!$H$6:$H$405,$AP2836)&lt;&gt;"",$M2836&lt;&gt;INDEX(職員マスタ!$H$6:$H$405,$AP2836)),"時短終了日がマスタと相違／","")))&amp;IF(AND($B2836&lt;&gt;"",$E2836=""),"報酬額が未入力／","")&amp;IF(N($U2836)&gt;0,"申請書に入力エラーが残っています／","")&amp;IF(AND($B2836&lt;&gt;"",$AQ2836&lt;&gt;""),IF(COUNTIFS($B$6:$B$3005,$B2836,$C$6:$C$3005,$C2836,$D$6:$D$3005,$D2836)&gt;1,"同じ月の請求が重複しています／",""),"")&amp;IF(AND(N($E2836)&gt;0,$AB2836&lt;&gt;"",$AB2836&lt;&gt;"×",$AE2836=0,$AD2836=""),"計算額が下限以下のため不支給／",""))</f>
        <v/>
      </c>
      <c r="AN2836" s="12" t="n"/>
      <c r="AO2836" s="14">
        <f>IF($AF2836="保留中",COUNTIF($AF$6:$AF2836,"保留中"),"")</f>
        <v/>
      </c>
      <c r="AP2836" s="14">
        <f>IF($AQ2836="","",IF(SUMPRODUCT(MAX((職員マスタ!$A$6:$A$405=$B2836)*(((職員マスタ!$G$6:$G$405="")+(職員マスタ!$G$6:$G$405&lt;=EOMONTH($AQ2836,0)))&gt;0)*(((職員マスタ!$H$6:$H$405="")+(職員マスタ!$H$6:$H$405&gt;=$AQ2836))&gt;0)*(ROW(職員マスタ!$A$6:$A$405)-5)))&gt;0,SUMPRODUCT(MAX((職員マスタ!$A$6:$A$405=$B2836)*(((職員マスタ!$G$6:$G$405="")+(職員マスタ!$G$6:$G$405&lt;=EOMONTH($AQ2836,0)))&gt;0)*(((職員マスタ!$H$6:$H$405="")+(職員マスタ!$H$6:$H$405&gt;=$AQ2836))&gt;0)*(ROW(職員マスタ!$A$6:$A$405)-5))),IFERROR(MATCH($B2836,職員マスタ!$A$6:$A$405,0),"")))</f>
        <v/>
      </c>
      <c r="AQ2836" s="16">
        <f>IF(OR($B2836="",$C2836="",$D2836=""),"",DATE($C2836+2018,$D2836,1))</f>
        <v/>
      </c>
    </row>
    <row r="2837">
      <c r="A2837" s="11" t="n"/>
      <c r="B2837" s="12" t="n"/>
      <c r="C2837" s="12" t="n"/>
      <c r="D2837" s="12" t="n"/>
      <c r="E2837" s="13" t="n"/>
      <c r="F2837" s="12" t="n"/>
      <c r="G2837" s="13" t="n"/>
      <c r="H2837" s="12" t="n"/>
      <c r="I2837" s="12" t="n"/>
      <c r="J2837" s="12" t="n"/>
      <c r="K2837" s="12" t="n"/>
      <c r="L2837" s="11" t="n"/>
      <c r="M2837" s="11" t="n"/>
      <c r="N2837" s="11" t="n"/>
      <c r="O2837" s="11" t="n"/>
      <c r="P2837" s="12" t="n"/>
      <c r="Q2837" s="11" t="n"/>
      <c r="R2837" s="12" t="n"/>
      <c r="S2837" s="11" t="n"/>
      <c r="T2837" s="12" t="n"/>
      <c r="U2837" s="12" t="n"/>
      <c r="V2837" s="12" t="n"/>
      <c r="W2837" s="13" t="n"/>
      <c r="X2837" s="14">
        <f>IF($AP2837="",IF($B2837="","",$H2837),IF(INDEX(職員マスタ!$B$6:$B$405,$AP2837)="",$H2837,INDEX(職員マスタ!$B$6:$B$405,$AP2837)))</f>
        <v/>
      </c>
      <c r="Y2837" s="14">
        <f>IF($AP2837="",IF($B2837="","",$R2837),IF(INDEX(職員マスタ!$C$6:$C$405,$AP2837)="",$R2837,INDEX(職員マスタ!$C$6:$C$405,$AP2837)))</f>
        <v/>
      </c>
      <c r="Z2837" s="14">
        <f>IF($AQ2837="","","R"&amp;$C2837&amp;"."&amp;$D2837)</f>
        <v/>
      </c>
      <c r="AA2837" s="15">
        <f>IF(IF($AP2837="",FALSE,INDEX(職員マスタ!$K$6:$K$405,$AP2837)&lt;&gt;""),INDEX(職員マスタ!$K$6:$K$405,$AP2837),IF(N($W2837)&gt;0,$W2837,""))</f>
        <v/>
      </c>
      <c r="AB2837" s="14">
        <f>IF(OR($E2837="",$AA2837=""),"",IF($E2837&gt;=$AA2837,"×",IF($E2837&gt;=$AA2837*設定!$C$5,"△","○")))</f>
        <v/>
      </c>
      <c r="AC2837" s="15">
        <f>IF($AB2837="","",IF($AB2837="×",0,IF($AB2837="○",ROUNDDOWN($E2837*設定!$C$4,0),ROUNDDOWN($E2837*ROUND((9*$AA2837-9*$E2837)/(10*$E2837),4),0))))</f>
        <v/>
      </c>
      <c r="AD2837" s="13" t="n"/>
      <c r="AE2837" s="15">
        <f>IF($B2837="","",IF($AD2837&lt;&gt;"",$AD2837,IF($AC2837="","",IF($AC2837&lt;=設定!$C$3,0,$AC2837))))</f>
        <v/>
      </c>
      <c r="AF2837" s="14">
        <f>IF($B2837="","",IF(AND($AG2837&lt;&gt;"",$AI2837="",$AL2837=""),"保留中",IF($AL2837&lt;&gt;"",IF(N($AE2837)&gt;0,"支給済","不支給"),IF($AE2837="","要確認",IF($AE2837=0,"不支給","未処理")))))</f>
        <v/>
      </c>
      <c r="AG2837" s="12" t="n"/>
      <c r="AH2837" s="11" t="n"/>
      <c r="AI2837" s="11" t="n"/>
      <c r="AJ2837" s="11" t="n"/>
      <c r="AK2837" s="14">
        <f>IF(AND($AF2837="保留中",$AH2837&lt;&gt;""),TODAY()-$AH2837,"")</f>
        <v/>
      </c>
      <c r="AL2837" s="12" t="n"/>
      <c r="AM2837" s="14">
        <f>IF($B2837="","",IF($AQ2837="","対象年月が未入力／","")&amp;IF($B2837="","",IF($AP2837="","職員マスタに未登録の職員番号／",IF($AA2837="","標準報酬月額が未登録／","")&amp;IF(AND($AQ2837&lt;&gt;"",OR(AND(INDEX(職員マスタ!$G$6:$G$405,$AP2837)&lt;&gt;"",INDEX(職員マスタ!$G$6:$G$405,$AP2837)&gt;EOMONTH($AQ2837,0)),AND(INDEX(職員マスタ!$H$6:$H$405,$AP2837)&lt;&gt;"",INDEX(職員マスタ!$H$6:$H$405,$AP2837)&lt;$AQ2837))),"対象月が時短期間外／","")&amp;IF(AND(INDEX(職員マスタ!$K$6:$K$405,$AP2837)&lt;&gt;"",N($W2837)&gt;0,INDEX(職員マスタ!$K$6:$K$405,$AP2837)&lt;&gt;$W2837),"標準報酬月額が申請書と相違（台帳"&amp;TEXT(INDEX(職員マスタ!$K$6:$K$405,$AP2837),"#,##0")&amp;"円／申請書"&amp;TEXT($W2837,"#,##0")&amp;"円）／","")&amp;IF(AND(INDEX(職員マスタ!$F$6:$F$405,$AP2837)&lt;&gt;"",$AQ2837&lt;&gt;"",INDEX(職員マスタ!$F$6:$F$405,$AP2837)&lt;$AQ2837),"対象月に子が2歳到達済／","")&amp;IF(AND($H2837&lt;&gt;"",INDEX(職員マスタ!$B$6:$B$405,$AP2837)&lt;&gt;"",SUBSTITUTE(SUBSTITUTE($H2837," ","")," ","")&lt;&gt;SUBSTITUTE(SUBSTITUTE(INDEX(職員マスタ!$B$6:$B$405,$AP2837)," ","")," ","")),"氏名がマスタと相違／","")&amp;IF(AND($Q2837&lt;&gt;"",INDEX(職員マスタ!$E$6:$E$405,$AP2837)&lt;&gt;"",$Q2837&lt;&gt;INDEX(職員マスタ!$E$6:$E$405,$AP2837)),"子の生年月日がマスタと相違／","")&amp;IF(AND($L2837&lt;&gt;"",INDEX(職員マスタ!$G$6:$G$405,$AP2837)&lt;&gt;"",$L2837&lt;&gt;INDEX(職員マスタ!$G$6:$G$405,$AP2837)),"時短開始日がマスタと相違／","")&amp;IF(AND($M2837&lt;&gt;"",INDEX(職員マスタ!$H$6:$H$405,$AP2837)&lt;&gt;"",$M2837&lt;&gt;INDEX(職員マスタ!$H$6:$H$405,$AP2837)),"時短終了日がマスタと相違／","")))&amp;IF(AND($B2837&lt;&gt;"",$E2837=""),"報酬額が未入力／","")&amp;IF(N($U2837)&gt;0,"申請書に入力エラーが残っています／","")&amp;IF(AND($B2837&lt;&gt;"",$AQ2837&lt;&gt;""),IF(COUNTIFS($B$6:$B$3005,$B2837,$C$6:$C$3005,$C2837,$D$6:$D$3005,$D2837)&gt;1,"同じ月の請求が重複しています／",""),"")&amp;IF(AND(N($E2837)&gt;0,$AB2837&lt;&gt;"",$AB2837&lt;&gt;"×",$AE2837=0,$AD2837=""),"計算額が下限以下のため不支給／",""))</f>
        <v/>
      </c>
      <c r="AN2837" s="12" t="n"/>
      <c r="AO2837" s="14">
        <f>IF($AF2837="保留中",COUNTIF($AF$6:$AF2837,"保留中"),"")</f>
        <v/>
      </c>
      <c r="AP2837" s="14">
        <f>IF($AQ2837="","",IF(SUMPRODUCT(MAX((職員マスタ!$A$6:$A$405=$B2837)*(((職員マスタ!$G$6:$G$405="")+(職員マスタ!$G$6:$G$405&lt;=EOMONTH($AQ2837,0)))&gt;0)*(((職員マスタ!$H$6:$H$405="")+(職員マスタ!$H$6:$H$405&gt;=$AQ2837))&gt;0)*(ROW(職員マスタ!$A$6:$A$405)-5)))&gt;0,SUMPRODUCT(MAX((職員マスタ!$A$6:$A$405=$B2837)*(((職員マスタ!$G$6:$G$405="")+(職員マスタ!$G$6:$G$405&lt;=EOMONTH($AQ2837,0)))&gt;0)*(((職員マスタ!$H$6:$H$405="")+(職員マスタ!$H$6:$H$405&gt;=$AQ2837))&gt;0)*(ROW(職員マスタ!$A$6:$A$405)-5))),IFERROR(MATCH($B2837,職員マスタ!$A$6:$A$405,0),"")))</f>
        <v/>
      </c>
      <c r="AQ2837" s="16">
        <f>IF(OR($B2837="",$C2837="",$D2837=""),"",DATE($C2837+2018,$D2837,1))</f>
        <v/>
      </c>
    </row>
    <row r="2838">
      <c r="A2838" s="11" t="n"/>
      <c r="B2838" s="12" t="n"/>
      <c r="C2838" s="12" t="n"/>
      <c r="D2838" s="12" t="n"/>
      <c r="E2838" s="13" t="n"/>
      <c r="F2838" s="12" t="n"/>
      <c r="G2838" s="13" t="n"/>
      <c r="H2838" s="12" t="n"/>
      <c r="I2838" s="12" t="n"/>
      <c r="J2838" s="12" t="n"/>
      <c r="K2838" s="12" t="n"/>
      <c r="L2838" s="11" t="n"/>
      <c r="M2838" s="11" t="n"/>
      <c r="N2838" s="11" t="n"/>
      <c r="O2838" s="11" t="n"/>
      <c r="P2838" s="12" t="n"/>
      <c r="Q2838" s="11" t="n"/>
      <c r="R2838" s="12" t="n"/>
      <c r="S2838" s="11" t="n"/>
      <c r="T2838" s="12" t="n"/>
      <c r="U2838" s="12" t="n"/>
      <c r="V2838" s="12" t="n"/>
      <c r="W2838" s="13" t="n"/>
      <c r="X2838" s="14">
        <f>IF($AP2838="",IF($B2838="","",$H2838),IF(INDEX(職員マスタ!$B$6:$B$405,$AP2838)="",$H2838,INDEX(職員マスタ!$B$6:$B$405,$AP2838)))</f>
        <v/>
      </c>
      <c r="Y2838" s="14">
        <f>IF($AP2838="",IF($B2838="","",$R2838),IF(INDEX(職員マスタ!$C$6:$C$405,$AP2838)="",$R2838,INDEX(職員マスタ!$C$6:$C$405,$AP2838)))</f>
        <v/>
      </c>
      <c r="Z2838" s="14">
        <f>IF($AQ2838="","","R"&amp;$C2838&amp;"."&amp;$D2838)</f>
        <v/>
      </c>
      <c r="AA2838" s="15">
        <f>IF(IF($AP2838="",FALSE,INDEX(職員マスタ!$K$6:$K$405,$AP2838)&lt;&gt;""),INDEX(職員マスタ!$K$6:$K$405,$AP2838),IF(N($W2838)&gt;0,$W2838,""))</f>
        <v/>
      </c>
      <c r="AB2838" s="14">
        <f>IF(OR($E2838="",$AA2838=""),"",IF($E2838&gt;=$AA2838,"×",IF($E2838&gt;=$AA2838*設定!$C$5,"△","○")))</f>
        <v/>
      </c>
      <c r="AC2838" s="15">
        <f>IF($AB2838="","",IF($AB2838="×",0,IF($AB2838="○",ROUNDDOWN($E2838*設定!$C$4,0),ROUNDDOWN($E2838*ROUND((9*$AA2838-9*$E2838)/(10*$E2838),4),0))))</f>
        <v/>
      </c>
      <c r="AD2838" s="13" t="n"/>
      <c r="AE2838" s="15">
        <f>IF($B2838="","",IF($AD2838&lt;&gt;"",$AD2838,IF($AC2838="","",IF($AC2838&lt;=設定!$C$3,0,$AC2838))))</f>
        <v/>
      </c>
      <c r="AF2838" s="14">
        <f>IF($B2838="","",IF(AND($AG2838&lt;&gt;"",$AI2838="",$AL2838=""),"保留中",IF($AL2838&lt;&gt;"",IF(N($AE2838)&gt;0,"支給済","不支給"),IF($AE2838="","要確認",IF($AE2838=0,"不支給","未処理")))))</f>
        <v/>
      </c>
      <c r="AG2838" s="12" t="n"/>
      <c r="AH2838" s="11" t="n"/>
      <c r="AI2838" s="11" t="n"/>
      <c r="AJ2838" s="11" t="n"/>
      <c r="AK2838" s="14">
        <f>IF(AND($AF2838="保留中",$AH2838&lt;&gt;""),TODAY()-$AH2838,"")</f>
        <v/>
      </c>
      <c r="AL2838" s="12" t="n"/>
      <c r="AM2838" s="14">
        <f>IF($B2838="","",IF($AQ2838="","対象年月が未入力／","")&amp;IF($B2838="","",IF($AP2838="","職員マスタに未登録の職員番号／",IF($AA2838="","標準報酬月額が未登録／","")&amp;IF(AND($AQ2838&lt;&gt;"",OR(AND(INDEX(職員マスタ!$G$6:$G$405,$AP2838)&lt;&gt;"",INDEX(職員マスタ!$G$6:$G$405,$AP2838)&gt;EOMONTH($AQ2838,0)),AND(INDEX(職員マスタ!$H$6:$H$405,$AP2838)&lt;&gt;"",INDEX(職員マスタ!$H$6:$H$405,$AP2838)&lt;$AQ2838))),"対象月が時短期間外／","")&amp;IF(AND(INDEX(職員マスタ!$K$6:$K$405,$AP2838)&lt;&gt;"",N($W2838)&gt;0,INDEX(職員マスタ!$K$6:$K$405,$AP2838)&lt;&gt;$W2838),"標準報酬月額が申請書と相違（台帳"&amp;TEXT(INDEX(職員マスタ!$K$6:$K$405,$AP2838),"#,##0")&amp;"円／申請書"&amp;TEXT($W2838,"#,##0")&amp;"円）／","")&amp;IF(AND(INDEX(職員マスタ!$F$6:$F$405,$AP2838)&lt;&gt;"",$AQ2838&lt;&gt;"",INDEX(職員マスタ!$F$6:$F$405,$AP2838)&lt;$AQ2838),"対象月に子が2歳到達済／","")&amp;IF(AND($H2838&lt;&gt;"",INDEX(職員マスタ!$B$6:$B$405,$AP2838)&lt;&gt;"",SUBSTITUTE(SUBSTITUTE($H2838," ","")," ","")&lt;&gt;SUBSTITUTE(SUBSTITUTE(INDEX(職員マスタ!$B$6:$B$405,$AP2838)," ","")," ","")),"氏名がマスタと相違／","")&amp;IF(AND($Q2838&lt;&gt;"",INDEX(職員マスタ!$E$6:$E$405,$AP2838)&lt;&gt;"",$Q2838&lt;&gt;INDEX(職員マスタ!$E$6:$E$405,$AP2838)),"子の生年月日がマスタと相違／","")&amp;IF(AND($L2838&lt;&gt;"",INDEX(職員マスタ!$G$6:$G$405,$AP2838)&lt;&gt;"",$L2838&lt;&gt;INDEX(職員マスタ!$G$6:$G$405,$AP2838)),"時短開始日がマスタと相違／","")&amp;IF(AND($M2838&lt;&gt;"",INDEX(職員マスタ!$H$6:$H$405,$AP2838)&lt;&gt;"",$M2838&lt;&gt;INDEX(職員マスタ!$H$6:$H$405,$AP2838)),"時短終了日がマスタと相違／","")))&amp;IF(AND($B2838&lt;&gt;"",$E2838=""),"報酬額が未入力／","")&amp;IF(N($U2838)&gt;0,"申請書に入力エラーが残っています／","")&amp;IF(AND($B2838&lt;&gt;"",$AQ2838&lt;&gt;""),IF(COUNTIFS($B$6:$B$3005,$B2838,$C$6:$C$3005,$C2838,$D$6:$D$3005,$D2838)&gt;1,"同じ月の請求が重複しています／",""),"")&amp;IF(AND(N($E2838)&gt;0,$AB2838&lt;&gt;"",$AB2838&lt;&gt;"×",$AE2838=0,$AD2838=""),"計算額が下限以下のため不支給／",""))</f>
        <v/>
      </c>
      <c r="AN2838" s="12" t="n"/>
      <c r="AO2838" s="14">
        <f>IF($AF2838="保留中",COUNTIF($AF$6:$AF2838,"保留中"),"")</f>
        <v/>
      </c>
      <c r="AP2838" s="14">
        <f>IF($AQ2838="","",IF(SUMPRODUCT(MAX((職員マスタ!$A$6:$A$405=$B2838)*(((職員マスタ!$G$6:$G$405="")+(職員マスタ!$G$6:$G$405&lt;=EOMONTH($AQ2838,0)))&gt;0)*(((職員マスタ!$H$6:$H$405="")+(職員マスタ!$H$6:$H$405&gt;=$AQ2838))&gt;0)*(ROW(職員マスタ!$A$6:$A$405)-5)))&gt;0,SUMPRODUCT(MAX((職員マスタ!$A$6:$A$405=$B2838)*(((職員マスタ!$G$6:$G$405="")+(職員マスタ!$G$6:$G$405&lt;=EOMONTH($AQ2838,0)))&gt;0)*(((職員マスタ!$H$6:$H$405="")+(職員マスタ!$H$6:$H$405&gt;=$AQ2838))&gt;0)*(ROW(職員マスタ!$A$6:$A$405)-5))),IFERROR(MATCH($B2838,職員マスタ!$A$6:$A$405,0),"")))</f>
        <v/>
      </c>
      <c r="AQ2838" s="16">
        <f>IF(OR($B2838="",$C2838="",$D2838=""),"",DATE($C2838+2018,$D2838,1))</f>
        <v/>
      </c>
    </row>
    <row r="2839">
      <c r="A2839" s="11" t="n"/>
      <c r="B2839" s="12" t="n"/>
      <c r="C2839" s="12" t="n"/>
      <c r="D2839" s="12" t="n"/>
      <c r="E2839" s="13" t="n"/>
      <c r="F2839" s="12" t="n"/>
      <c r="G2839" s="13" t="n"/>
      <c r="H2839" s="12" t="n"/>
      <c r="I2839" s="12" t="n"/>
      <c r="J2839" s="12" t="n"/>
      <c r="K2839" s="12" t="n"/>
      <c r="L2839" s="11" t="n"/>
      <c r="M2839" s="11" t="n"/>
      <c r="N2839" s="11" t="n"/>
      <c r="O2839" s="11" t="n"/>
      <c r="P2839" s="12" t="n"/>
      <c r="Q2839" s="11" t="n"/>
      <c r="R2839" s="12" t="n"/>
      <c r="S2839" s="11" t="n"/>
      <c r="T2839" s="12" t="n"/>
      <c r="U2839" s="12" t="n"/>
      <c r="V2839" s="12" t="n"/>
      <c r="W2839" s="13" t="n"/>
      <c r="X2839" s="14">
        <f>IF($AP2839="",IF($B2839="","",$H2839),IF(INDEX(職員マスタ!$B$6:$B$405,$AP2839)="",$H2839,INDEX(職員マスタ!$B$6:$B$405,$AP2839)))</f>
        <v/>
      </c>
      <c r="Y2839" s="14">
        <f>IF($AP2839="",IF($B2839="","",$R2839),IF(INDEX(職員マスタ!$C$6:$C$405,$AP2839)="",$R2839,INDEX(職員マスタ!$C$6:$C$405,$AP2839)))</f>
        <v/>
      </c>
      <c r="Z2839" s="14">
        <f>IF($AQ2839="","","R"&amp;$C2839&amp;"."&amp;$D2839)</f>
        <v/>
      </c>
      <c r="AA2839" s="15">
        <f>IF(IF($AP2839="",FALSE,INDEX(職員マスタ!$K$6:$K$405,$AP2839)&lt;&gt;""),INDEX(職員マスタ!$K$6:$K$405,$AP2839),IF(N($W2839)&gt;0,$W2839,""))</f>
        <v/>
      </c>
      <c r="AB2839" s="14">
        <f>IF(OR($E2839="",$AA2839=""),"",IF($E2839&gt;=$AA2839,"×",IF($E2839&gt;=$AA2839*設定!$C$5,"△","○")))</f>
        <v/>
      </c>
      <c r="AC2839" s="15">
        <f>IF($AB2839="","",IF($AB2839="×",0,IF($AB2839="○",ROUNDDOWN($E2839*設定!$C$4,0),ROUNDDOWN($E2839*ROUND((9*$AA2839-9*$E2839)/(10*$E2839),4),0))))</f>
        <v/>
      </c>
      <c r="AD2839" s="13" t="n"/>
      <c r="AE2839" s="15">
        <f>IF($B2839="","",IF($AD2839&lt;&gt;"",$AD2839,IF($AC2839="","",IF($AC2839&lt;=設定!$C$3,0,$AC2839))))</f>
        <v/>
      </c>
      <c r="AF2839" s="14">
        <f>IF($B2839="","",IF(AND($AG2839&lt;&gt;"",$AI2839="",$AL2839=""),"保留中",IF($AL2839&lt;&gt;"",IF(N($AE2839)&gt;0,"支給済","不支給"),IF($AE2839="","要確認",IF($AE2839=0,"不支給","未処理")))))</f>
        <v/>
      </c>
      <c r="AG2839" s="12" t="n"/>
      <c r="AH2839" s="11" t="n"/>
      <c r="AI2839" s="11" t="n"/>
      <c r="AJ2839" s="11" t="n"/>
      <c r="AK2839" s="14">
        <f>IF(AND($AF2839="保留中",$AH2839&lt;&gt;""),TODAY()-$AH2839,"")</f>
        <v/>
      </c>
      <c r="AL2839" s="12" t="n"/>
      <c r="AM2839" s="14">
        <f>IF($B2839="","",IF($AQ2839="","対象年月が未入力／","")&amp;IF($B2839="","",IF($AP2839="","職員マスタに未登録の職員番号／",IF($AA2839="","標準報酬月額が未登録／","")&amp;IF(AND($AQ2839&lt;&gt;"",OR(AND(INDEX(職員マスタ!$G$6:$G$405,$AP2839)&lt;&gt;"",INDEX(職員マスタ!$G$6:$G$405,$AP2839)&gt;EOMONTH($AQ2839,0)),AND(INDEX(職員マスタ!$H$6:$H$405,$AP2839)&lt;&gt;"",INDEX(職員マスタ!$H$6:$H$405,$AP2839)&lt;$AQ2839))),"対象月が時短期間外／","")&amp;IF(AND(INDEX(職員マスタ!$K$6:$K$405,$AP2839)&lt;&gt;"",N($W2839)&gt;0,INDEX(職員マスタ!$K$6:$K$405,$AP2839)&lt;&gt;$W2839),"標準報酬月額が申請書と相違（台帳"&amp;TEXT(INDEX(職員マスタ!$K$6:$K$405,$AP2839),"#,##0")&amp;"円／申請書"&amp;TEXT($W2839,"#,##0")&amp;"円）／","")&amp;IF(AND(INDEX(職員マスタ!$F$6:$F$405,$AP2839)&lt;&gt;"",$AQ2839&lt;&gt;"",INDEX(職員マスタ!$F$6:$F$405,$AP2839)&lt;$AQ2839),"対象月に子が2歳到達済／","")&amp;IF(AND($H2839&lt;&gt;"",INDEX(職員マスタ!$B$6:$B$405,$AP2839)&lt;&gt;"",SUBSTITUTE(SUBSTITUTE($H2839," ","")," ","")&lt;&gt;SUBSTITUTE(SUBSTITUTE(INDEX(職員マスタ!$B$6:$B$405,$AP2839)," ","")," ","")),"氏名がマスタと相違／","")&amp;IF(AND($Q2839&lt;&gt;"",INDEX(職員マスタ!$E$6:$E$405,$AP2839)&lt;&gt;"",$Q2839&lt;&gt;INDEX(職員マスタ!$E$6:$E$405,$AP2839)),"子の生年月日がマスタと相違／","")&amp;IF(AND($L2839&lt;&gt;"",INDEX(職員マスタ!$G$6:$G$405,$AP2839)&lt;&gt;"",$L2839&lt;&gt;INDEX(職員マスタ!$G$6:$G$405,$AP2839)),"時短開始日がマスタと相違／","")&amp;IF(AND($M2839&lt;&gt;"",INDEX(職員マスタ!$H$6:$H$405,$AP2839)&lt;&gt;"",$M2839&lt;&gt;INDEX(職員マスタ!$H$6:$H$405,$AP2839)),"時短終了日がマスタと相違／","")))&amp;IF(AND($B2839&lt;&gt;"",$E2839=""),"報酬額が未入力／","")&amp;IF(N($U2839)&gt;0,"申請書に入力エラーが残っています／","")&amp;IF(AND($B2839&lt;&gt;"",$AQ2839&lt;&gt;""),IF(COUNTIFS($B$6:$B$3005,$B2839,$C$6:$C$3005,$C2839,$D$6:$D$3005,$D2839)&gt;1,"同じ月の請求が重複しています／",""),"")&amp;IF(AND(N($E2839)&gt;0,$AB2839&lt;&gt;"",$AB2839&lt;&gt;"×",$AE2839=0,$AD2839=""),"計算額が下限以下のため不支給／",""))</f>
        <v/>
      </c>
      <c r="AN2839" s="12" t="n"/>
      <c r="AO2839" s="14">
        <f>IF($AF2839="保留中",COUNTIF($AF$6:$AF2839,"保留中"),"")</f>
        <v/>
      </c>
      <c r="AP2839" s="14">
        <f>IF($AQ2839="","",IF(SUMPRODUCT(MAX((職員マスタ!$A$6:$A$405=$B2839)*(((職員マスタ!$G$6:$G$405="")+(職員マスタ!$G$6:$G$405&lt;=EOMONTH($AQ2839,0)))&gt;0)*(((職員マスタ!$H$6:$H$405="")+(職員マスタ!$H$6:$H$405&gt;=$AQ2839))&gt;0)*(ROW(職員マスタ!$A$6:$A$405)-5)))&gt;0,SUMPRODUCT(MAX((職員マスタ!$A$6:$A$405=$B2839)*(((職員マスタ!$G$6:$G$405="")+(職員マスタ!$G$6:$G$405&lt;=EOMONTH($AQ2839,0)))&gt;0)*(((職員マスタ!$H$6:$H$405="")+(職員マスタ!$H$6:$H$405&gt;=$AQ2839))&gt;0)*(ROW(職員マスタ!$A$6:$A$405)-5))),IFERROR(MATCH($B2839,職員マスタ!$A$6:$A$405,0),"")))</f>
        <v/>
      </c>
      <c r="AQ2839" s="16">
        <f>IF(OR($B2839="",$C2839="",$D2839=""),"",DATE($C2839+2018,$D2839,1))</f>
        <v/>
      </c>
    </row>
    <row r="2840">
      <c r="A2840" s="11" t="n"/>
      <c r="B2840" s="12" t="n"/>
      <c r="C2840" s="12" t="n"/>
      <c r="D2840" s="12" t="n"/>
      <c r="E2840" s="13" t="n"/>
      <c r="F2840" s="12" t="n"/>
      <c r="G2840" s="13" t="n"/>
      <c r="H2840" s="12" t="n"/>
      <c r="I2840" s="12" t="n"/>
      <c r="J2840" s="12" t="n"/>
      <c r="K2840" s="12" t="n"/>
      <c r="L2840" s="11" t="n"/>
      <c r="M2840" s="11" t="n"/>
      <c r="N2840" s="11" t="n"/>
      <c r="O2840" s="11" t="n"/>
      <c r="P2840" s="12" t="n"/>
      <c r="Q2840" s="11" t="n"/>
      <c r="R2840" s="12" t="n"/>
      <c r="S2840" s="11" t="n"/>
      <c r="T2840" s="12" t="n"/>
      <c r="U2840" s="12" t="n"/>
      <c r="V2840" s="12" t="n"/>
      <c r="W2840" s="13" t="n"/>
      <c r="X2840" s="14">
        <f>IF($AP2840="",IF($B2840="","",$H2840),IF(INDEX(職員マスタ!$B$6:$B$405,$AP2840)="",$H2840,INDEX(職員マスタ!$B$6:$B$405,$AP2840)))</f>
        <v/>
      </c>
      <c r="Y2840" s="14">
        <f>IF($AP2840="",IF($B2840="","",$R2840),IF(INDEX(職員マスタ!$C$6:$C$405,$AP2840)="",$R2840,INDEX(職員マスタ!$C$6:$C$405,$AP2840)))</f>
        <v/>
      </c>
      <c r="Z2840" s="14">
        <f>IF($AQ2840="","","R"&amp;$C2840&amp;"."&amp;$D2840)</f>
        <v/>
      </c>
      <c r="AA2840" s="15">
        <f>IF(IF($AP2840="",FALSE,INDEX(職員マスタ!$K$6:$K$405,$AP2840)&lt;&gt;""),INDEX(職員マスタ!$K$6:$K$405,$AP2840),IF(N($W2840)&gt;0,$W2840,""))</f>
        <v/>
      </c>
      <c r="AB2840" s="14">
        <f>IF(OR($E2840="",$AA2840=""),"",IF($E2840&gt;=$AA2840,"×",IF($E2840&gt;=$AA2840*設定!$C$5,"△","○")))</f>
        <v/>
      </c>
      <c r="AC2840" s="15">
        <f>IF($AB2840="","",IF($AB2840="×",0,IF($AB2840="○",ROUNDDOWN($E2840*設定!$C$4,0),ROUNDDOWN($E2840*ROUND((9*$AA2840-9*$E2840)/(10*$E2840),4),0))))</f>
        <v/>
      </c>
      <c r="AD2840" s="13" t="n"/>
      <c r="AE2840" s="15">
        <f>IF($B2840="","",IF($AD2840&lt;&gt;"",$AD2840,IF($AC2840="","",IF($AC2840&lt;=設定!$C$3,0,$AC2840))))</f>
        <v/>
      </c>
      <c r="AF2840" s="14">
        <f>IF($B2840="","",IF(AND($AG2840&lt;&gt;"",$AI2840="",$AL2840=""),"保留中",IF($AL2840&lt;&gt;"",IF(N($AE2840)&gt;0,"支給済","不支給"),IF($AE2840="","要確認",IF($AE2840=0,"不支給","未処理")))))</f>
        <v/>
      </c>
      <c r="AG2840" s="12" t="n"/>
      <c r="AH2840" s="11" t="n"/>
      <c r="AI2840" s="11" t="n"/>
      <c r="AJ2840" s="11" t="n"/>
      <c r="AK2840" s="14">
        <f>IF(AND($AF2840="保留中",$AH2840&lt;&gt;""),TODAY()-$AH2840,"")</f>
        <v/>
      </c>
      <c r="AL2840" s="12" t="n"/>
      <c r="AM2840" s="14">
        <f>IF($B2840="","",IF($AQ2840="","対象年月が未入力／","")&amp;IF($B2840="","",IF($AP2840="","職員マスタに未登録の職員番号／",IF($AA2840="","標準報酬月額が未登録／","")&amp;IF(AND($AQ2840&lt;&gt;"",OR(AND(INDEX(職員マスタ!$G$6:$G$405,$AP2840)&lt;&gt;"",INDEX(職員マスタ!$G$6:$G$405,$AP2840)&gt;EOMONTH($AQ2840,0)),AND(INDEX(職員マスタ!$H$6:$H$405,$AP2840)&lt;&gt;"",INDEX(職員マスタ!$H$6:$H$405,$AP2840)&lt;$AQ2840))),"対象月が時短期間外／","")&amp;IF(AND(INDEX(職員マスタ!$K$6:$K$405,$AP2840)&lt;&gt;"",N($W2840)&gt;0,INDEX(職員マスタ!$K$6:$K$405,$AP2840)&lt;&gt;$W2840),"標準報酬月額が申請書と相違（台帳"&amp;TEXT(INDEX(職員マスタ!$K$6:$K$405,$AP2840),"#,##0")&amp;"円／申請書"&amp;TEXT($W2840,"#,##0")&amp;"円）／","")&amp;IF(AND(INDEX(職員マスタ!$F$6:$F$405,$AP2840)&lt;&gt;"",$AQ2840&lt;&gt;"",INDEX(職員マスタ!$F$6:$F$405,$AP2840)&lt;$AQ2840),"対象月に子が2歳到達済／","")&amp;IF(AND($H2840&lt;&gt;"",INDEX(職員マスタ!$B$6:$B$405,$AP2840)&lt;&gt;"",SUBSTITUTE(SUBSTITUTE($H2840," ","")," ","")&lt;&gt;SUBSTITUTE(SUBSTITUTE(INDEX(職員マスタ!$B$6:$B$405,$AP2840)," ","")," ","")),"氏名がマスタと相違／","")&amp;IF(AND($Q2840&lt;&gt;"",INDEX(職員マスタ!$E$6:$E$405,$AP2840)&lt;&gt;"",$Q2840&lt;&gt;INDEX(職員マスタ!$E$6:$E$405,$AP2840)),"子の生年月日がマスタと相違／","")&amp;IF(AND($L2840&lt;&gt;"",INDEX(職員マスタ!$G$6:$G$405,$AP2840)&lt;&gt;"",$L2840&lt;&gt;INDEX(職員マスタ!$G$6:$G$405,$AP2840)),"時短開始日がマスタと相違／","")&amp;IF(AND($M2840&lt;&gt;"",INDEX(職員マスタ!$H$6:$H$405,$AP2840)&lt;&gt;"",$M2840&lt;&gt;INDEX(職員マスタ!$H$6:$H$405,$AP2840)),"時短終了日がマスタと相違／","")))&amp;IF(AND($B2840&lt;&gt;"",$E2840=""),"報酬額が未入力／","")&amp;IF(N($U2840)&gt;0,"申請書に入力エラーが残っています／","")&amp;IF(AND($B2840&lt;&gt;"",$AQ2840&lt;&gt;""),IF(COUNTIFS($B$6:$B$3005,$B2840,$C$6:$C$3005,$C2840,$D$6:$D$3005,$D2840)&gt;1,"同じ月の請求が重複しています／",""),"")&amp;IF(AND(N($E2840)&gt;0,$AB2840&lt;&gt;"",$AB2840&lt;&gt;"×",$AE2840=0,$AD2840=""),"計算額が下限以下のため不支給／",""))</f>
        <v/>
      </c>
      <c r="AN2840" s="12" t="n"/>
      <c r="AO2840" s="14">
        <f>IF($AF2840="保留中",COUNTIF($AF$6:$AF2840,"保留中"),"")</f>
        <v/>
      </c>
      <c r="AP2840" s="14">
        <f>IF($AQ2840="","",IF(SUMPRODUCT(MAX((職員マスタ!$A$6:$A$405=$B2840)*(((職員マスタ!$G$6:$G$405="")+(職員マスタ!$G$6:$G$405&lt;=EOMONTH($AQ2840,0)))&gt;0)*(((職員マスタ!$H$6:$H$405="")+(職員マスタ!$H$6:$H$405&gt;=$AQ2840))&gt;0)*(ROW(職員マスタ!$A$6:$A$405)-5)))&gt;0,SUMPRODUCT(MAX((職員マスタ!$A$6:$A$405=$B2840)*(((職員マスタ!$G$6:$G$405="")+(職員マスタ!$G$6:$G$405&lt;=EOMONTH($AQ2840,0)))&gt;0)*(((職員マスタ!$H$6:$H$405="")+(職員マスタ!$H$6:$H$405&gt;=$AQ2840))&gt;0)*(ROW(職員マスタ!$A$6:$A$405)-5))),IFERROR(MATCH($B2840,職員マスタ!$A$6:$A$405,0),"")))</f>
        <v/>
      </c>
      <c r="AQ2840" s="16">
        <f>IF(OR($B2840="",$C2840="",$D2840=""),"",DATE($C2840+2018,$D2840,1))</f>
        <v/>
      </c>
    </row>
    <row r="2841">
      <c r="A2841" s="11" t="n"/>
      <c r="B2841" s="12" t="n"/>
      <c r="C2841" s="12" t="n"/>
      <c r="D2841" s="12" t="n"/>
      <c r="E2841" s="13" t="n"/>
      <c r="F2841" s="12" t="n"/>
      <c r="G2841" s="13" t="n"/>
      <c r="H2841" s="12" t="n"/>
      <c r="I2841" s="12" t="n"/>
      <c r="J2841" s="12" t="n"/>
      <c r="K2841" s="12" t="n"/>
      <c r="L2841" s="11" t="n"/>
      <c r="M2841" s="11" t="n"/>
      <c r="N2841" s="11" t="n"/>
      <c r="O2841" s="11" t="n"/>
      <c r="P2841" s="12" t="n"/>
      <c r="Q2841" s="11" t="n"/>
      <c r="R2841" s="12" t="n"/>
      <c r="S2841" s="11" t="n"/>
      <c r="T2841" s="12" t="n"/>
      <c r="U2841" s="12" t="n"/>
      <c r="V2841" s="12" t="n"/>
      <c r="W2841" s="13" t="n"/>
      <c r="X2841" s="14">
        <f>IF($AP2841="",IF($B2841="","",$H2841),IF(INDEX(職員マスタ!$B$6:$B$405,$AP2841)="",$H2841,INDEX(職員マスタ!$B$6:$B$405,$AP2841)))</f>
        <v/>
      </c>
      <c r="Y2841" s="14">
        <f>IF($AP2841="",IF($B2841="","",$R2841),IF(INDEX(職員マスタ!$C$6:$C$405,$AP2841)="",$R2841,INDEX(職員マスタ!$C$6:$C$405,$AP2841)))</f>
        <v/>
      </c>
      <c r="Z2841" s="14">
        <f>IF($AQ2841="","","R"&amp;$C2841&amp;"."&amp;$D2841)</f>
        <v/>
      </c>
      <c r="AA2841" s="15">
        <f>IF(IF($AP2841="",FALSE,INDEX(職員マスタ!$K$6:$K$405,$AP2841)&lt;&gt;""),INDEX(職員マスタ!$K$6:$K$405,$AP2841),IF(N($W2841)&gt;0,$W2841,""))</f>
        <v/>
      </c>
      <c r="AB2841" s="14">
        <f>IF(OR($E2841="",$AA2841=""),"",IF($E2841&gt;=$AA2841,"×",IF($E2841&gt;=$AA2841*設定!$C$5,"△","○")))</f>
        <v/>
      </c>
      <c r="AC2841" s="15">
        <f>IF($AB2841="","",IF($AB2841="×",0,IF($AB2841="○",ROUNDDOWN($E2841*設定!$C$4,0),ROUNDDOWN($E2841*ROUND((9*$AA2841-9*$E2841)/(10*$E2841),4),0))))</f>
        <v/>
      </c>
      <c r="AD2841" s="13" t="n"/>
      <c r="AE2841" s="15">
        <f>IF($B2841="","",IF($AD2841&lt;&gt;"",$AD2841,IF($AC2841="","",IF($AC2841&lt;=設定!$C$3,0,$AC2841))))</f>
        <v/>
      </c>
      <c r="AF2841" s="14">
        <f>IF($B2841="","",IF(AND($AG2841&lt;&gt;"",$AI2841="",$AL2841=""),"保留中",IF($AL2841&lt;&gt;"",IF(N($AE2841)&gt;0,"支給済","不支給"),IF($AE2841="","要確認",IF($AE2841=0,"不支給","未処理")))))</f>
        <v/>
      </c>
      <c r="AG2841" s="12" t="n"/>
      <c r="AH2841" s="11" t="n"/>
      <c r="AI2841" s="11" t="n"/>
      <c r="AJ2841" s="11" t="n"/>
      <c r="AK2841" s="14">
        <f>IF(AND($AF2841="保留中",$AH2841&lt;&gt;""),TODAY()-$AH2841,"")</f>
        <v/>
      </c>
      <c r="AL2841" s="12" t="n"/>
      <c r="AM2841" s="14">
        <f>IF($B2841="","",IF($AQ2841="","対象年月が未入力／","")&amp;IF($B2841="","",IF($AP2841="","職員マスタに未登録の職員番号／",IF($AA2841="","標準報酬月額が未登録／","")&amp;IF(AND($AQ2841&lt;&gt;"",OR(AND(INDEX(職員マスタ!$G$6:$G$405,$AP2841)&lt;&gt;"",INDEX(職員マスタ!$G$6:$G$405,$AP2841)&gt;EOMONTH($AQ2841,0)),AND(INDEX(職員マスタ!$H$6:$H$405,$AP2841)&lt;&gt;"",INDEX(職員マスタ!$H$6:$H$405,$AP2841)&lt;$AQ2841))),"対象月が時短期間外／","")&amp;IF(AND(INDEX(職員マスタ!$K$6:$K$405,$AP2841)&lt;&gt;"",N($W2841)&gt;0,INDEX(職員マスタ!$K$6:$K$405,$AP2841)&lt;&gt;$W2841),"標準報酬月額が申請書と相違（台帳"&amp;TEXT(INDEX(職員マスタ!$K$6:$K$405,$AP2841),"#,##0")&amp;"円／申請書"&amp;TEXT($W2841,"#,##0")&amp;"円）／","")&amp;IF(AND(INDEX(職員マスタ!$F$6:$F$405,$AP2841)&lt;&gt;"",$AQ2841&lt;&gt;"",INDEX(職員マスタ!$F$6:$F$405,$AP2841)&lt;$AQ2841),"対象月に子が2歳到達済／","")&amp;IF(AND($H2841&lt;&gt;"",INDEX(職員マスタ!$B$6:$B$405,$AP2841)&lt;&gt;"",SUBSTITUTE(SUBSTITUTE($H2841," ","")," ","")&lt;&gt;SUBSTITUTE(SUBSTITUTE(INDEX(職員マスタ!$B$6:$B$405,$AP2841)," ","")," ","")),"氏名がマスタと相違／","")&amp;IF(AND($Q2841&lt;&gt;"",INDEX(職員マスタ!$E$6:$E$405,$AP2841)&lt;&gt;"",$Q2841&lt;&gt;INDEX(職員マスタ!$E$6:$E$405,$AP2841)),"子の生年月日がマスタと相違／","")&amp;IF(AND($L2841&lt;&gt;"",INDEX(職員マスタ!$G$6:$G$405,$AP2841)&lt;&gt;"",$L2841&lt;&gt;INDEX(職員マスタ!$G$6:$G$405,$AP2841)),"時短開始日がマスタと相違／","")&amp;IF(AND($M2841&lt;&gt;"",INDEX(職員マスタ!$H$6:$H$405,$AP2841)&lt;&gt;"",$M2841&lt;&gt;INDEX(職員マスタ!$H$6:$H$405,$AP2841)),"時短終了日がマスタと相違／","")))&amp;IF(AND($B2841&lt;&gt;"",$E2841=""),"報酬額が未入力／","")&amp;IF(N($U2841)&gt;0,"申請書に入力エラーが残っています／","")&amp;IF(AND($B2841&lt;&gt;"",$AQ2841&lt;&gt;""),IF(COUNTIFS($B$6:$B$3005,$B2841,$C$6:$C$3005,$C2841,$D$6:$D$3005,$D2841)&gt;1,"同じ月の請求が重複しています／",""),"")&amp;IF(AND(N($E2841)&gt;0,$AB2841&lt;&gt;"",$AB2841&lt;&gt;"×",$AE2841=0,$AD2841=""),"計算額が下限以下のため不支給／",""))</f>
        <v/>
      </c>
      <c r="AN2841" s="12" t="n"/>
      <c r="AO2841" s="14">
        <f>IF($AF2841="保留中",COUNTIF($AF$6:$AF2841,"保留中"),"")</f>
        <v/>
      </c>
      <c r="AP2841" s="14">
        <f>IF($AQ2841="","",IF(SUMPRODUCT(MAX((職員マスタ!$A$6:$A$405=$B2841)*(((職員マスタ!$G$6:$G$405="")+(職員マスタ!$G$6:$G$405&lt;=EOMONTH($AQ2841,0)))&gt;0)*(((職員マスタ!$H$6:$H$405="")+(職員マスタ!$H$6:$H$405&gt;=$AQ2841))&gt;0)*(ROW(職員マスタ!$A$6:$A$405)-5)))&gt;0,SUMPRODUCT(MAX((職員マスタ!$A$6:$A$405=$B2841)*(((職員マスタ!$G$6:$G$405="")+(職員マスタ!$G$6:$G$405&lt;=EOMONTH($AQ2841,0)))&gt;0)*(((職員マスタ!$H$6:$H$405="")+(職員マスタ!$H$6:$H$405&gt;=$AQ2841))&gt;0)*(ROW(職員マスタ!$A$6:$A$405)-5))),IFERROR(MATCH($B2841,職員マスタ!$A$6:$A$405,0),"")))</f>
        <v/>
      </c>
      <c r="AQ2841" s="16">
        <f>IF(OR($B2841="",$C2841="",$D2841=""),"",DATE($C2841+2018,$D2841,1))</f>
        <v/>
      </c>
    </row>
    <row r="2842">
      <c r="A2842" s="11" t="n"/>
      <c r="B2842" s="12" t="n"/>
      <c r="C2842" s="12" t="n"/>
      <c r="D2842" s="12" t="n"/>
      <c r="E2842" s="13" t="n"/>
      <c r="F2842" s="12" t="n"/>
      <c r="G2842" s="13" t="n"/>
      <c r="H2842" s="12" t="n"/>
      <c r="I2842" s="12" t="n"/>
      <c r="J2842" s="12" t="n"/>
      <c r="K2842" s="12" t="n"/>
      <c r="L2842" s="11" t="n"/>
      <c r="M2842" s="11" t="n"/>
      <c r="N2842" s="11" t="n"/>
      <c r="O2842" s="11" t="n"/>
      <c r="P2842" s="12" t="n"/>
      <c r="Q2842" s="11" t="n"/>
      <c r="R2842" s="12" t="n"/>
      <c r="S2842" s="11" t="n"/>
      <c r="T2842" s="12" t="n"/>
      <c r="U2842" s="12" t="n"/>
      <c r="V2842" s="12" t="n"/>
      <c r="W2842" s="13" t="n"/>
      <c r="X2842" s="14">
        <f>IF($AP2842="",IF($B2842="","",$H2842),IF(INDEX(職員マスタ!$B$6:$B$405,$AP2842)="",$H2842,INDEX(職員マスタ!$B$6:$B$405,$AP2842)))</f>
        <v/>
      </c>
      <c r="Y2842" s="14">
        <f>IF($AP2842="",IF($B2842="","",$R2842),IF(INDEX(職員マスタ!$C$6:$C$405,$AP2842)="",$R2842,INDEX(職員マスタ!$C$6:$C$405,$AP2842)))</f>
        <v/>
      </c>
      <c r="Z2842" s="14">
        <f>IF($AQ2842="","","R"&amp;$C2842&amp;"."&amp;$D2842)</f>
        <v/>
      </c>
      <c r="AA2842" s="15">
        <f>IF(IF($AP2842="",FALSE,INDEX(職員マスタ!$K$6:$K$405,$AP2842)&lt;&gt;""),INDEX(職員マスタ!$K$6:$K$405,$AP2842),IF(N($W2842)&gt;0,$W2842,""))</f>
        <v/>
      </c>
      <c r="AB2842" s="14">
        <f>IF(OR($E2842="",$AA2842=""),"",IF($E2842&gt;=$AA2842,"×",IF($E2842&gt;=$AA2842*設定!$C$5,"△","○")))</f>
        <v/>
      </c>
      <c r="AC2842" s="15">
        <f>IF($AB2842="","",IF($AB2842="×",0,IF($AB2842="○",ROUNDDOWN($E2842*設定!$C$4,0),ROUNDDOWN($E2842*ROUND((9*$AA2842-9*$E2842)/(10*$E2842),4),0))))</f>
        <v/>
      </c>
      <c r="AD2842" s="13" t="n"/>
      <c r="AE2842" s="15">
        <f>IF($B2842="","",IF($AD2842&lt;&gt;"",$AD2842,IF($AC2842="","",IF($AC2842&lt;=設定!$C$3,0,$AC2842))))</f>
        <v/>
      </c>
      <c r="AF2842" s="14">
        <f>IF($B2842="","",IF(AND($AG2842&lt;&gt;"",$AI2842="",$AL2842=""),"保留中",IF($AL2842&lt;&gt;"",IF(N($AE2842)&gt;0,"支給済","不支給"),IF($AE2842="","要確認",IF($AE2842=0,"不支給","未処理")))))</f>
        <v/>
      </c>
      <c r="AG2842" s="12" t="n"/>
      <c r="AH2842" s="11" t="n"/>
      <c r="AI2842" s="11" t="n"/>
      <c r="AJ2842" s="11" t="n"/>
      <c r="AK2842" s="14">
        <f>IF(AND($AF2842="保留中",$AH2842&lt;&gt;""),TODAY()-$AH2842,"")</f>
        <v/>
      </c>
      <c r="AL2842" s="12" t="n"/>
      <c r="AM2842" s="14">
        <f>IF($B2842="","",IF($AQ2842="","対象年月が未入力／","")&amp;IF($B2842="","",IF($AP2842="","職員マスタに未登録の職員番号／",IF($AA2842="","標準報酬月額が未登録／","")&amp;IF(AND($AQ2842&lt;&gt;"",OR(AND(INDEX(職員マスタ!$G$6:$G$405,$AP2842)&lt;&gt;"",INDEX(職員マスタ!$G$6:$G$405,$AP2842)&gt;EOMONTH($AQ2842,0)),AND(INDEX(職員マスタ!$H$6:$H$405,$AP2842)&lt;&gt;"",INDEX(職員マスタ!$H$6:$H$405,$AP2842)&lt;$AQ2842))),"対象月が時短期間外／","")&amp;IF(AND(INDEX(職員マスタ!$K$6:$K$405,$AP2842)&lt;&gt;"",N($W2842)&gt;0,INDEX(職員マスタ!$K$6:$K$405,$AP2842)&lt;&gt;$W2842),"標準報酬月額が申請書と相違（台帳"&amp;TEXT(INDEX(職員マスタ!$K$6:$K$405,$AP2842),"#,##0")&amp;"円／申請書"&amp;TEXT($W2842,"#,##0")&amp;"円）／","")&amp;IF(AND(INDEX(職員マスタ!$F$6:$F$405,$AP2842)&lt;&gt;"",$AQ2842&lt;&gt;"",INDEX(職員マスタ!$F$6:$F$405,$AP2842)&lt;$AQ2842),"対象月に子が2歳到達済／","")&amp;IF(AND($H2842&lt;&gt;"",INDEX(職員マスタ!$B$6:$B$405,$AP2842)&lt;&gt;"",SUBSTITUTE(SUBSTITUTE($H2842," ","")," ","")&lt;&gt;SUBSTITUTE(SUBSTITUTE(INDEX(職員マスタ!$B$6:$B$405,$AP2842)," ","")," ","")),"氏名がマスタと相違／","")&amp;IF(AND($Q2842&lt;&gt;"",INDEX(職員マスタ!$E$6:$E$405,$AP2842)&lt;&gt;"",$Q2842&lt;&gt;INDEX(職員マスタ!$E$6:$E$405,$AP2842)),"子の生年月日がマスタと相違／","")&amp;IF(AND($L2842&lt;&gt;"",INDEX(職員マスタ!$G$6:$G$405,$AP2842)&lt;&gt;"",$L2842&lt;&gt;INDEX(職員マスタ!$G$6:$G$405,$AP2842)),"時短開始日がマスタと相違／","")&amp;IF(AND($M2842&lt;&gt;"",INDEX(職員マスタ!$H$6:$H$405,$AP2842)&lt;&gt;"",$M2842&lt;&gt;INDEX(職員マスタ!$H$6:$H$405,$AP2842)),"時短終了日がマスタと相違／","")))&amp;IF(AND($B2842&lt;&gt;"",$E2842=""),"報酬額が未入力／","")&amp;IF(N($U2842)&gt;0,"申請書に入力エラーが残っています／","")&amp;IF(AND($B2842&lt;&gt;"",$AQ2842&lt;&gt;""),IF(COUNTIFS($B$6:$B$3005,$B2842,$C$6:$C$3005,$C2842,$D$6:$D$3005,$D2842)&gt;1,"同じ月の請求が重複しています／",""),"")&amp;IF(AND(N($E2842)&gt;0,$AB2842&lt;&gt;"",$AB2842&lt;&gt;"×",$AE2842=0,$AD2842=""),"計算額が下限以下のため不支給／",""))</f>
        <v/>
      </c>
      <c r="AN2842" s="12" t="n"/>
      <c r="AO2842" s="14">
        <f>IF($AF2842="保留中",COUNTIF($AF$6:$AF2842,"保留中"),"")</f>
        <v/>
      </c>
      <c r="AP2842" s="14">
        <f>IF($AQ2842="","",IF(SUMPRODUCT(MAX((職員マスタ!$A$6:$A$405=$B2842)*(((職員マスタ!$G$6:$G$405="")+(職員マスタ!$G$6:$G$405&lt;=EOMONTH($AQ2842,0)))&gt;0)*(((職員マスタ!$H$6:$H$405="")+(職員マスタ!$H$6:$H$405&gt;=$AQ2842))&gt;0)*(ROW(職員マスタ!$A$6:$A$405)-5)))&gt;0,SUMPRODUCT(MAX((職員マスタ!$A$6:$A$405=$B2842)*(((職員マスタ!$G$6:$G$405="")+(職員マスタ!$G$6:$G$405&lt;=EOMONTH($AQ2842,0)))&gt;0)*(((職員マスタ!$H$6:$H$405="")+(職員マスタ!$H$6:$H$405&gt;=$AQ2842))&gt;0)*(ROW(職員マスタ!$A$6:$A$405)-5))),IFERROR(MATCH($B2842,職員マスタ!$A$6:$A$405,0),"")))</f>
        <v/>
      </c>
      <c r="AQ2842" s="16">
        <f>IF(OR($B2842="",$C2842="",$D2842=""),"",DATE($C2842+2018,$D2842,1))</f>
        <v/>
      </c>
    </row>
    <row r="2843">
      <c r="A2843" s="11" t="n"/>
      <c r="B2843" s="12" t="n"/>
      <c r="C2843" s="12" t="n"/>
      <c r="D2843" s="12" t="n"/>
      <c r="E2843" s="13" t="n"/>
      <c r="F2843" s="12" t="n"/>
      <c r="G2843" s="13" t="n"/>
      <c r="H2843" s="12" t="n"/>
      <c r="I2843" s="12" t="n"/>
      <c r="J2843" s="12" t="n"/>
      <c r="K2843" s="12" t="n"/>
      <c r="L2843" s="11" t="n"/>
      <c r="M2843" s="11" t="n"/>
      <c r="N2843" s="11" t="n"/>
      <c r="O2843" s="11" t="n"/>
      <c r="P2843" s="12" t="n"/>
      <c r="Q2843" s="11" t="n"/>
      <c r="R2843" s="12" t="n"/>
      <c r="S2843" s="11" t="n"/>
      <c r="T2843" s="12" t="n"/>
      <c r="U2843" s="12" t="n"/>
      <c r="V2843" s="12" t="n"/>
      <c r="W2843" s="13" t="n"/>
      <c r="X2843" s="14">
        <f>IF($AP2843="",IF($B2843="","",$H2843),IF(INDEX(職員マスタ!$B$6:$B$405,$AP2843)="",$H2843,INDEX(職員マスタ!$B$6:$B$405,$AP2843)))</f>
        <v/>
      </c>
      <c r="Y2843" s="14">
        <f>IF($AP2843="",IF($B2843="","",$R2843),IF(INDEX(職員マスタ!$C$6:$C$405,$AP2843)="",$R2843,INDEX(職員マスタ!$C$6:$C$405,$AP2843)))</f>
        <v/>
      </c>
      <c r="Z2843" s="14">
        <f>IF($AQ2843="","","R"&amp;$C2843&amp;"."&amp;$D2843)</f>
        <v/>
      </c>
      <c r="AA2843" s="15">
        <f>IF(IF($AP2843="",FALSE,INDEX(職員マスタ!$K$6:$K$405,$AP2843)&lt;&gt;""),INDEX(職員マスタ!$K$6:$K$405,$AP2843),IF(N($W2843)&gt;0,$W2843,""))</f>
        <v/>
      </c>
      <c r="AB2843" s="14">
        <f>IF(OR($E2843="",$AA2843=""),"",IF($E2843&gt;=$AA2843,"×",IF($E2843&gt;=$AA2843*設定!$C$5,"△","○")))</f>
        <v/>
      </c>
      <c r="AC2843" s="15">
        <f>IF($AB2843="","",IF($AB2843="×",0,IF($AB2843="○",ROUNDDOWN($E2843*設定!$C$4,0),ROUNDDOWN($E2843*ROUND((9*$AA2843-9*$E2843)/(10*$E2843),4),0))))</f>
        <v/>
      </c>
      <c r="AD2843" s="13" t="n"/>
      <c r="AE2843" s="15">
        <f>IF($B2843="","",IF($AD2843&lt;&gt;"",$AD2843,IF($AC2843="","",IF($AC2843&lt;=設定!$C$3,0,$AC2843))))</f>
        <v/>
      </c>
      <c r="AF2843" s="14">
        <f>IF($B2843="","",IF(AND($AG2843&lt;&gt;"",$AI2843="",$AL2843=""),"保留中",IF($AL2843&lt;&gt;"",IF(N($AE2843)&gt;0,"支給済","不支給"),IF($AE2843="","要確認",IF($AE2843=0,"不支給","未処理")))))</f>
        <v/>
      </c>
      <c r="AG2843" s="12" t="n"/>
      <c r="AH2843" s="11" t="n"/>
      <c r="AI2843" s="11" t="n"/>
      <c r="AJ2843" s="11" t="n"/>
      <c r="AK2843" s="14">
        <f>IF(AND($AF2843="保留中",$AH2843&lt;&gt;""),TODAY()-$AH2843,"")</f>
        <v/>
      </c>
      <c r="AL2843" s="12" t="n"/>
      <c r="AM2843" s="14">
        <f>IF($B2843="","",IF($AQ2843="","対象年月が未入力／","")&amp;IF($B2843="","",IF($AP2843="","職員マスタに未登録の職員番号／",IF($AA2843="","標準報酬月額が未登録／","")&amp;IF(AND($AQ2843&lt;&gt;"",OR(AND(INDEX(職員マスタ!$G$6:$G$405,$AP2843)&lt;&gt;"",INDEX(職員マスタ!$G$6:$G$405,$AP2843)&gt;EOMONTH($AQ2843,0)),AND(INDEX(職員マスタ!$H$6:$H$405,$AP2843)&lt;&gt;"",INDEX(職員マスタ!$H$6:$H$405,$AP2843)&lt;$AQ2843))),"対象月が時短期間外／","")&amp;IF(AND(INDEX(職員マスタ!$K$6:$K$405,$AP2843)&lt;&gt;"",N($W2843)&gt;0,INDEX(職員マスタ!$K$6:$K$405,$AP2843)&lt;&gt;$W2843),"標準報酬月額が申請書と相違（台帳"&amp;TEXT(INDEX(職員マスタ!$K$6:$K$405,$AP2843),"#,##0")&amp;"円／申請書"&amp;TEXT($W2843,"#,##0")&amp;"円）／","")&amp;IF(AND(INDEX(職員マスタ!$F$6:$F$405,$AP2843)&lt;&gt;"",$AQ2843&lt;&gt;"",INDEX(職員マスタ!$F$6:$F$405,$AP2843)&lt;$AQ2843),"対象月に子が2歳到達済／","")&amp;IF(AND($H2843&lt;&gt;"",INDEX(職員マスタ!$B$6:$B$405,$AP2843)&lt;&gt;"",SUBSTITUTE(SUBSTITUTE($H2843," ","")," ","")&lt;&gt;SUBSTITUTE(SUBSTITUTE(INDEX(職員マスタ!$B$6:$B$405,$AP2843)," ","")," ","")),"氏名がマスタと相違／","")&amp;IF(AND($Q2843&lt;&gt;"",INDEX(職員マスタ!$E$6:$E$405,$AP2843)&lt;&gt;"",$Q2843&lt;&gt;INDEX(職員マスタ!$E$6:$E$405,$AP2843)),"子の生年月日がマスタと相違／","")&amp;IF(AND($L2843&lt;&gt;"",INDEX(職員マスタ!$G$6:$G$405,$AP2843)&lt;&gt;"",$L2843&lt;&gt;INDEX(職員マスタ!$G$6:$G$405,$AP2843)),"時短開始日がマスタと相違／","")&amp;IF(AND($M2843&lt;&gt;"",INDEX(職員マスタ!$H$6:$H$405,$AP2843)&lt;&gt;"",$M2843&lt;&gt;INDEX(職員マスタ!$H$6:$H$405,$AP2843)),"時短終了日がマスタと相違／","")))&amp;IF(AND($B2843&lt;&gt;"",$E2843=""),"報酬額が未入力／","")&amp;IF(N($U2843)&gt;0,"申請書に入力エラーが残っています／","")&amp;IF(AND($B2843&lt;&gt;"",$AQ2843&lt;&gt;""),IF(COUNTIFS($B$6:$B$3005,$B2843,$C$6:$C$3005,$C2843,$D$6:$D$3005,$D2843)&gt;1,"同じ月の請求が重複しています／",""),"")&amp;IF(AND(N($E2843)&gt;0,$AB2843&lt;&gt;"",$AB2843&lt;&gt;"×",$AE2843=0,$AD2843=""),"計算額が下限以下のため不支給／",""))</f>
        <v/>
      </c>
      <c r="AN2843" s="12" t="n"/>
      <c r="AO2843" s="14">
        <f>IF($AF2843="保留中",COUNTIF($AF$6:$AF2843,"保留中"),"")</f>
        <v/>
      </c>
      <c r="AP2843" s="14">
        <f>IF($AQ2843="","",IF(SUMPRODUCT(MAX((職員マスタ!$A$6:$A$405=$B2843)*(((職員マスタ!$G$6:$G$405="")+(職員マスタ!$G$6:$G$405&lt;=EOMONTH($AQ2843,0)))&gt;0)*(((職員マスタ!$H$6:$H$405="")+(職員マスタ!$H$6:$H$405&gt;=$AQ2843))&gt;0)*(ROW(職員マスタ!$A$6:$A$405)-5)))&gt;0,SUMPRODUCT(MAX((職員マスタ!$A$6:$A$405=$B2843)*(((職員マスタ!$G$6:$G$405="")+(職員マスタ!$G$6:$G$405&lt;=EOMONTH($AQ2843,0)))&gt;0)*(((職員マスタ!$H$6:$H$405="")+(職員マスタ!$H$6:$H$405&gt;=$AQ2843))&gt;0)*(ROW(職員マスタ!$A$6:$A$405)-5))),IFERROR(MATCH($B2843,職員マスタ!$A$6:$A$405,0),"")))</f>
        <v/>
      </c>
      <c r="AQ2843" s="16">
        <f>IF(OR($B2843="",$C2843="",$D2843=""),"",DATE($C2843+2018,$D2843,1))</f>
        <v/>
      </c>
    </row>
    <row r="2844">
      <c r="A2844" s="11" t="n"/>
      <c r="B2844" s="12" t="n"/>
      <c r="C2844" s="12" t="n"/>
      <c r="D2844" s="12" t="n"/>
      <c r="E2844" s="13" t="n"/>
      <c r="F2844" s="12" t="n"/>
      <c r="G2844" s="13" t="n"/>
      <c r="H2844" s="12" t="n"/>
      <c r="I2844" s="12" t="n"/>
      <c r="J2844" s="12" t="n"/>
      <c r="K2844" s="12" t="n"/>
      <c r="L2844" s="11" t="n"/>
      <c r="M2844" s="11" t="n"/>
      <c r="N2844" s="11" t="n"/>
      <c r="O2844" s="11" t="n"/>
      <c r="P2844" s="12" t="n"/>
      <c r="Q2844" s="11" t="n"/>
      <c r="R2844" s="12" t="n"/>
      <c r="S2844" s="11" t="n"/>
      <c r="T2844" s="12" t="n"/>
      <c r="U2844" s="12" t="n"/>
      <c r="V2844" s="12" t="n"/>
      <c r="W2844" s="13" t="n"/>
      <c r="X2844" s="14">
        <f>IF($AP2844="",IF($B2844="","",$H2844),IF(INDEX(職員マスタ!$B$6:$B$405,$AP2844)="",$H2844,INDEX(職員マスタ!$B$6:$B$405,$AP2844)))</f>
        <v/>
      </c>
      <c r="Y2844" s="14">
        <f>IF($AP2844="",IF($B2844="","",$R2844),IF(INDEX(職員マスタ!$C$6:$C$405,$AP2844)="",$R2844,INDEX(職員マスタ!$C$6:$C$405,$AP2844)))</f>
        <v/>
      </c>
      <c r="Z2844" s="14">
        <f>IF($AQ2844="","","R"&amp;$C2844&amp;"."&amp;$D2844)</f>
        <v/>
      </c>
      <c r="AA2844" s="15">
        <f>IF(IF($AP2844="",FALSE,INDEX(職員マスタ!$K$6:$K$405,$AP2844)&lt;&gt;""),INDEX(職員マスタ!$K$6:$K$405,$AP2844),IF(N($W2844)&gt;0,$W2844,""))</f>
        <v/>
      </c>
      <c r="AB2844" s="14">
        <f>IF(OR($E2844="",$AA2844=""),"",IF($E2844&gt;=$AA2844,"×",IF($E2844&gt;=$AA2844*設定!$C$5,"△","○")))</f>
        <v/>
      </c>
      <c r="AC2844" s="15">
        <f>IF($AB2844="","",IF($AB2844="×",0,IF($AB2844="○",ROUNDDOWN($E2844*設定!$C$4,0),ROUNDDOWN($E2844*ROUND((9*$AA2844-9*$E2844)/(10*$E2844),4),0))))</f>
        <v/>
      </c>
      <c r="AD2844" s="13" t="n"/>
      <c r="AE2844" s="15">
        <f>IF($B2844="","",IF($AD2844&lt;&gt;"",$AD2844,IF($AC2844="","",IF($AC2844&lt;=設定!$C$3,0,$AC2844))))</f>
        <v/>
      </c>
      <c r="AF2844" s="14">
        <f>IF($B2844="","",IF(AND($AG2844&lt;&gt;"",$AI2844="",$AL2844=""),"保留中",IF($AL2844&lt;&gt;"",IF(N($AE2844)&gt;0,"支給済","不支給"),IF($AE2844="","要確認",IF($AE2844=0,"不支給","未処理")))))</f>
        <v/>
      </c>
      <c r="AG2844" s="12" t="n"/>
      <c r="AH2844" s="11" t="n"/>
      <c r="AI2844" s="11" t="n"/>
      <c r="AJ2844" s="11" t="n"/>
      <c r="AK2844" s="14">
        <f>IF(AND($AF2844="保留中",$AH2844&lt;&gt;""),TODAY()-$AH2844,"")</f>
        <v/>
      </c>
      <c r="AL2844" s="12" t="n"/>
      <c r="AM2844" s="14">
        <f>IF($B2844="","",IF($AQ2844="","対象年月が未入力／","")&amp;IF($B2844="","",IF($AP2844="","職員マスタに未登録の職員番号／",IF($AA2844="","標準報酬月額が未登録／","")&amp;IF(AND($AQ2844&lt;&gt;"",OR(AND(INDEX(職員マスタ!$G$6:$G$405,$AP2844)&lt;&gt;"",INDEX(職員マスタ!$G$6:$G$405,$AP2844)&gt;EOMONTH($AQ2844,0)),AND(INDEX(職員マスタ!$H$6:$H$405,$AP2844)&lt;&gt;"",INDEX(職員マスタ!$H$6:$H$405,$AP2844)&lt;$AQ2844))),"対象月が時短期間外／","")&amp;IF(AND(INDEX(職員マスタ!$K$6:$K$405,$AP2844)&lt;&gt;"",N($W2844)&gt;0,INDEX(職員マスタ!$K$6:$K$405,$AP2844)&lt;&gt;$W2844),"標準報酬月額が申請書と相違（台帳"&amp;TEXT(INDEX(職員マスタ!$K$6:$K$405,$AP2844),"#,##0")&amp;"円／申請書"&amp;TEXT($W2844,"#,##0")&amp;"円）／","")&amp;IF(AND(INDEX(職員マスタ!$F$6:$F$405,$AP2844)&lt;&gt;"",$AQ2844&lt;&gt;"",INDEX(職員マスタ!$F$6:$F$405,$AP2844)&lt;$AQ2844),"対象月に子が2歳到達済／","")&amp;IF(AND($H2844&lt;&gt;"",INDEX(職員マスタ!$B$6:$B$405,$AP2844)&lt;&gt;"",SUBSTITUTE(SUBSTITUTE($H2844," ","")," ","")&lt;&gt;SUBSTITUTE(SUBSTITUTE(INDEX(職員マスタ!$B$6:$B$405,$AP2844)," ","")," ","")),"氏名がマスタと相違／","")&amp;IF(AND($Q2844&lt;&gt;"",INDEX(職員マスタ!$E$6:$E$405,$AP2844)&lt;&gt;"",$Q2844&lt;&gt;INDEX(職員マスタ!$E$6:$E$405,$AP2844)),"子の生年月日がマスタと相違／","")&amp;IF(AND($L2844&lt;&gt;"",INDEX(職員マスタ!$G$6:$G$405,$AP2844)&lt;&gt;"",$L2844&lt;&gt;INDEX(職員マスタ!$G$6:$G$405,$AP2844)),"時短開始日がマスタと相違／","")&amp;IF(AND($M2844&lt;&gt;"",INDEX(職員マスタ!$H$6:$H$405,$AP2844)&lt;&gt;"",$M2844&lt;&gt;INDEX(職員マスタ!$H$6:$H$405,$AP2844)),"時短終了日がマスタと相違／","")))&amp;IF(AND($B2844&lt;&gt;"",$E2844=""),"報酬額が未入力／","")&amp;IF(N($U2844)&gt;0,"申請書に入力エラーが残っています／","")&amp;IF(AND($B2844&lt;&gt;"",$AQ2844&lt;&gt;""),IF(COUNTIFS($B$6:$B$3005,$B2844,$C$6:$C$3005,$C2844,$D$6:$D$3005,$D2844)&gt;1,"同じ月の請求が重複しています／",""),"")&amp;IF(AND(N($E2844)&gt;0,$AB2844&lt;&gt;"",$AB2844&lt;&gt;"×",$AE2844=0,$AD2844=""),"計算額が下限以下のため不支給／",""))</f>
        <v/>
      </c>
      <c r="AN2844" s="12" t="n"/>
      <c r="AO2844" s="14">
        <f>IF($AF2844="保留中",COUNTIF($AF$6:$AF2844,"保留中"),"")</f>
        <v/>
      </c>
      <c r="AP2844" s="14">
        <f>IF($AQ2844="","",IF(SUMPRODUCT(MAX((職員マスタ!$A$6:$A$405=$B2844)*(((職員マスタ!$G$6:$G$405="")+(職員マスタ!$G$6:$G$405&lt;=EOMONTH($AQ2844,0)))&gt;0)*(((職員マスタ!$H$6:$H$405="")+(職員マスタ!$H$6:$H$405&gt;=$AQ2844))&gt;0)*(ROW(職員マスタ!$A$6:$A$405)-5)))&gt;0,SUMPRODUCT(MAX((職員マスタ!$A$6:$A$405=$B2844)*(((職員マスタ!$G$6:$G$405="")+(職員マスタ!$G$6:$G$405&lt;=EOMONTH($AQ2844,0)))&gt;0)*(((職員マスタ!$H$6:$H$405="")+(職員マスタ!$H$6:$H$405&gt;=$AQ2844))&gt;0)*(ROW(職員マスタ!$A$6:$A$405)-5))),IFERROR(MATCH($B2844,職員マスタ!$A$6:$A$405,0),"")))</f>
        <v/>
      </c>
      <c r="AQ2844" s="16">
        <f>IF(OR($B2844="",$C2844="",$D2844=""),"",DATE($C2844+2018,$D2844,1))</f>
        <v/>
      </c>
    </row>
    <row r="2845">
      <c r="A2845" s="11" t="n"/>
      <c r="B2845" s="12" t="n"/>
      <c r="C2845" s="12" t="n"/>
      <c r="D2845" s="12" t="n"/>
      <c r="E2845" s="13" t="n"/>
      <c r="F2845" s="12" t="n"/>
      <c r="G2845" s="13" t="n"/>
      <c r="H2845" s="12" t="n"/>
      <c r="I2845" s="12" t="n"/>
      <c r="J2845" s="12" t="n"/>
      <c r="K2845" s="12" t="n"/>
      <c r="L2845" s="11" t="n"/>
      <c r="M2845" s="11" t="n"/>
      <c r="N2845" s="11" t="n"/>
      <c r="O2845" s="11" t="n"/>
      <c r="P2845" s="12" t="n"/>
      <c r="Q2845" s="11" t="n"/>
      <c r="R2845" s="12" t="n"/>
      <c r="S2845" s="11" t="n"/>
      <c r="T2845" s="12" t="n"/>
      <c r="U2845" s="12" t="n"/>
      <c r="V2845" s="12" t="n"/>
      <c r="W2845" s="13" t="n"/>
      <c r="X2845" s="14">
        <f>IF($AP2845="",IF($B2845="","",$H2845),IF(INDEX(職員マスタ!$B$6:$B$405,$AP2845)="",$H2845,INDEX(職員マスタ!$B$6:$B$405,$AP2845)))</f>
        <v/>
      </c>
      <c r="Y2845" s="14">
        <f>IF($AP2845="",IF($B2845="","",$R2845),IF(INDEX(職員マスタ!$C$6:$C$405,$AP2845)="",$R2845,INDEX(職員マスタ!$C$6:$C$405,$AP2845)))</f>
        <v/>
      </c>
      <c r="Z2845" s="14">
        <f>IF($AQ2845="","","R"&amp;$C2845&amp;"."&amp;$D2845)</f>
        <v/>
      </c>
      <c r="AA2845" s="15">
        <f>IF(IF($AP2845="",FALSE,INDEX(職員マスタ!$K$6:$K$405,$AP2845)&lt;&gt;""),INDEX(職員マスタ!$K$6:$K$405,$AP2845),IF(N($W2845)&gt;0,$W2845,""))</f>
        <v/>
      </c>
      <c r="AB2845" s="14">
        <f>IF(OR($E2845="",$AA2845=""),"",IF($E2845&gt;=$AA2845,"×",IF($E2845&gt;=$AA2845*設定!$C$5,"△","○")))</f>
        <v/>
      </c>
      <c r="AC2845" s="15">
        <f>IF($AB2845="","",IF($AB2845="×",0,IF($AB2845="○",ROUNDDOWN($E2845*設定!$C$4,0),ROUNDDOWN($E2845*ROUND((9*$AA2845-9*$E2845)/(10*$E2845),4),0))))</f>
        <v/>
      </c>
      <c r="AD2845" s="13" t="n"/>
      <c r="AE2845" s="15">
        <f>IF($B2845="","",IF($AD2845&lt;&gt;"",$AD2845,IF($AC2845="","",IF($AC2845&lt;=設定!$C$3,0,$AC2845))))</f>
        <v/>
      </c>
      <c r="AF2845" s="14">
        <f>IF($B2845="","",IF(AND($AG2845&lt;&gt;"",$AI2845="",$AL2845=""),"保留中",IF($AL2845&lt;&gt;"",IF(N($AE2845)&gt;0,"支給済","不支給"),IF($AE2845="","要確認",IF($AE2845=0,"不支給","未処理")))))</f>
        <v/>
      </c>
      <c r="AG2845" s="12" t="n"/>
      <c r="AH2845" s="11" t="n"/>
      <c r="AI2845" s="11" t="n"/>
      <c r="AJ2845" s="11" t="n"/>
      <c r="AK2845" s="14">
        <f>IF(AND($AF2845="保留中",$AH2845&lt;&gt;""),TODAY()-$AH2845,"")</f>
        <v/>
      </c>
      <c r="AL2845" s="12" t="n"/>
      <c r="AM2845" s="14">
        <f>IF($B2845="","",IF($AQ2845="","対象年月が未入力／","")&amp;IF($B2845="","",IF($AP2845="","職員マスタに未登録の職員番号／",IF($AA2845="","標準報酬月額が未登録／","")&amp;IF(AND($AQ2845&lt;&gt;"",OR(AND(INDEX(職員マスタ!$G$6:$G$405,$AP2845)&lt;&gt;"",INDEX(職員マスタ!$G$6:$G$405,$AP2845)&gt;EOMONTH($AQ2845,0)),AND(INDEX(職員マスタ!$H$6:$H$405,$AP2845)&lt;&gt;"",INDEX(職員マスタ!$H$6:$H$405,$AP2845)&lt;$AQ2845))),"対象月が時短期間外／","")&amp;IF(AND(INDEX(職員マスタ!$K$6:$K$405,$AP2845)&lt;&gt;"",N($W2845)&gt;0,INDEX(職員マスタ!$K$6:$K$405,$AP2845)&lt;&gt;$W2845),"標準報酬月額が申請書と相違（台帳"&amp;TEXT(INDEX(職員マスタ!$K$6:$K$405,$AP2845),"#,##0")&amp;"円／申請書"&amp;TEXT($W2845,"#,##0")&amp;"円）／","")&amp;IF(AND(INDEX(職員マスタ!$F$6:$F$405,$AP2845)&lt;&gt;"",$AQ2845&lt;&gt;"",INDEX(職員マスタ!$F$6:$F$405,$AP2845)&lt;$AQ2845),"対象月に子が2歳到達済／","")&amp;IF(AND($H2845&lt;&gt;"",INDEX(職員マスタ!$B$6:$B$405,$AP2845)&lt;&gt;"",SUBSTITUTE(SUBSTITUTE($H2845," ","")," ","")&lt;&gt;SUBSTITUTE(SUBSTITUTE(INDEX(職員マスタ!$B$6:$B$405,$AP2845)," ","")," ","")),"氏名がマスタと相違／","")&amp;IF(AND($Q2845&lt;&gt;"",INDEX(職員マスタ!$E$6:$E$405,$AP2845)&lt;&gt;"",$Q2845&lt;&gt;INDEX(職員マスタ!$E$6:$E$405,$AP2845)),"子の生年月日がマスタと相違／","")&amp;IF(AND($L2845&lt;&gt;"",INDEX(職員マスタ!$G$6:$G$405,$AP2845)&lt;&gt;"",$L2845&lt;&gt;INDEX(職員マスタ!$G$6:$G$405,$AP2845)),"時短開始日がマスタと相違／","")&amp;IF(AND($M2845&lt;&gt;"",INDEX(職員マスタ!$H$6:$H$405,$AP2845)&lt;&gt;"",$M2845&lt;&gt;INDEX(職員マスタ!$H$6:$H$405,$AP2845)),"時短終了日がマスタと相違／","")))&amp;IF(AND($B2845&lt;&gt;"",$E2845=""),"報酬額が未入力／","")&amp;IF(N($U2845)&gt;0,"申請書に入力エラーが残っています／","")&amp;IF(AND($B2845&lt;&gt;"",$AQ2845&lt;&gt;""),IF(COUNTIFS($B$6:$B$3005,$B2845,$C$6:$C$3005,$C2845,$D$6:$D$3005,$D2845)&gt;1,"同じ月の請求が重複しています／",""),"")&amp;IF(AND(N($E2845)&gt;0,$AB2845&lt;&gt;"",$AB2845&lt;&gt;"×",$AE2845=0,$AD2845=""),"計算額が下限以下のため不支給／",""))</f>
        <v/>
      </c>
      <c r="AN2845" s="12" t="n"/>
      <c r="AO2845" s="14">
        <f>IF($AF2845="保留中",COUNTIF($AF$6:$AF2845,"保留中"),"")</f>
        <v/>
      </c>
      <c r="AP2845" s="14">
        <f>IF($AQ2845="","",IF(SUMPRODUCT(MAX((職員マスタ!$A$6:$A$405=$B2845)*(((職員マスタ!$G$6:$G$405="")+(職員マスタ!$G$6:$G$405&lt;=EOMONTH($AQ2845,0)))&gt;0)*(((職員マスタ!$H$6:$H$405="")+(職員マスタ!$H$6:$H$405&gt;=$AQ2845))&gt;0)*(ROW(職員マスタ!$A$6:$A$405)-5)))&gt;0,SUMPRODUCT(MAX((職員マスタ!$A$6:$A$405=$B2845)*(((職員マスタ!$G$6:$G$405="")+(職員マスタ!$G$6:$G$405&lt;=EOMONTH($AQ2845,0)))&gt;0)*(((職員マスタ!$H$6:$H$405="")+(職員マスタ!$H$6:$H$405&gt;=$AQ2845))&gt;0)*(ROW(職員マスタ!$A$6:$A$405)-5))),IFERROR(MATCH($B2845,職員マスタ!$A$6:$A$405,0),"")))</f>
        <v/>
      </c>
      <c r="AQ2845" s="16">
        <f>IF(OR($B2845="",$C2845="",$D2845=""),"",DATE($C2845+2018,$D2845,1))</f>
        <v/>
      </c>
    </row>
    <row r="2846">
      <c r="A2846" s="11" t="n"/>
      <c r="B2846" s="12" t="n"/>
      <c r="C2846" s="12" t="n"/>
      <c r="D2846" s="12" t="n"/>
      <c r="E2846" s="13" t="n"/>
      <c r="F2846" s="12" t="n"/>
      <c r="G2846" s="13" t="n"/>
      <c r="H2846" s="12" t="n"/>
      <c r="I2846" s="12" t="n"/>
      <c r="J2846" s="12" t="n"/>
      <c r="K2846" s="12" t="n"/>
      <c r="L2846" s="11" t="n"/>
      <c r="M2846" s="11" t="n"/>
      <c r="N2846" s="11" t="n"/>
      <c r="O2846" s="11" t="n"/>
      <c r="P2846" s="12" t="n"/>
      <c r="Q2846" s="11" t="n"/>
      <c r="R2846" s="12" t="n"/>
      <c r="S2846" s="11" t="n"/>
      <c r="T2846" s="12" t="n"/>
      <c r="U2846" s="12" t="n"/>
      <c r="V2846" s="12" t="n"/>
      <c r="W2846" s="13" t="n"/>
      <c r="X2846" s="14">
        <f>IF($AP2846="",IF($B2846="","",$H2846),IF(INDEX(職員マスタ!$B$6:$B$405,$AP2846)="",$H2846,INDEX(職員マスタ!$B$6:$B$405,$AP2846)))</f>
        <v/>
      </c>
      <c r="Y2846" s="14">
        <f>IF($AP2846="",IF($B2846="","",$R2846),IF(INDEX(職員マスタ!$C$6:$C$405,$AP2846)="",$R2846,INDEX(職員マスタ!$C$6:$C$405,$AP2846)))</f>
        <v/>
      </c>
      <c r="Z2846" s="14">
        <f>IF($AQ2846="","","R"&amp;$C2846&amp;"."&amp;$D2846)</f>
        <v/>
      </c>
      <c r="AA2846" s="15">
        <f>IF(IF($AP2846="",FALSE,INDEX(職員マスタ!$K$6:$K$405,$AP2846)&lt;&gt;""),INDEX(職員マスタ!$K$6:$K$405,$AP2846),IF(N($W2846)&gt;0,$W2846,""))</f>
        <v/>
      </c>
      <c r="AB2846" s="14">
        <f>IF(OR($E2846="",$AA2846=""),"",IF($E2846&gt;=$AA2846,"×",IF($E2846&gt;=$AA2846*設定!$C$5,"△","○")))</f>
        <v/>
      </c>
      <c r="AC2846" s="15">
        <f>IF($AB2846="","",IF($AB2846="×",0,IF($AB2846="○",ROUNDDOWN($E2846*設定!$C$4,0),ROUNDDOWN($E2846*ROUND((9*$AA2846-9*$E2846)/(10*$E2846),4),0))))</f>
        <v/>
      </c>
      <c r="AD2846" s="13" t="n"/>
      <c r="AE2846" s="15">
        <f>IF($B2846="","",IF($AD2846&lt;&gt;"",$AD2846,IF($AC2846="","",IF($AC2846&lt;=設定!$C$3,0,$AC2846))))</f>
        <v/>
      </c>
      <c r="AF2846" s="14">
        <f>IF($B2846="","",IF(AND($AG2846&lt;&gt;"",$AI2846="",$AL2846=""),"保留中",IF($AL2846&lt;&gt;"",IF(N($AE2846)&gt;0,"支給済","不支給"),IF($AE2846="","要確認",IF($AE2846=0,"不支給","未処理")))))</f>
        <v/>
      </c>
      <c r="AG2846" s="12" t="n"/>
      <c r="AH2846" s="11" t="n"/>
      <c r="AI2846" s="11" t="n"/>
      <c r="AJ2846" s="11" t="n"/>
      <c r="AK2846" s="14">
        <f>IF(AND($AF2846="保留中",$AH2846&lt;&gt;""),TODAY()-$AH2846,"")</f>
        <v/>
      </c>
      <c r="AL2846" s="12" t="n"/>
      <c r="AM2846" s="14">
        <f>IF($B2846="","",IF($AQ2846="","対象年月が未入力／","")&amp;IF($B2846="","",IF($AP2846="","職員マスタに未登録の職員番号／",IF($AA2846="","標準報酬月額が未登録／","")&amp;IF(AND($AQ2846&lt;&gt;"",OR(AND(INDEX(職員マスタ!$G$6:$G$405,$AP2846)&lt;&gt;"",INDEX(職員マスタ!$G$6:$G$405,$AP2846)&gt;EOMONTH($AQ2846,0)),AND(INDEX(職員マスタ!$H$6:$H$405,$AP2846)&lt;&gt;"",INDEX(職員マスタ!$H$6:$H$405,$AP2846)&lt;$AQ2846))),"対象月が時短期間外／","")&amp;IF(AND(INDEX(職員マスタ!$K$6:$K$405,$AP2846)&lt;&gt;"",N($W2846)&gt;0,INDEX(職員マスタ!$K$6:$K$405,$AP2846)&lt;&gt;$W2846),"標準報酬月額が申請書と相違（台帳"&amp;TEXT(INDEX(職員マスタ!$K$6:$K$405,$AP2846),"#,##0")&amp;"円／申請書"&amp;TEXT($W2846,"#,##0")&amp;"円）／","")&amp;IF(AND(INDEX(職員マスタ!$F$6:$F$405,$AP2846)&lt;&gt;"",$AQ2846&lt;&gt;"",INDEX(職員マスタ!$F$6:$F$405,$AP2846)&lt;$AQ2846),"対象月に子が2歳到達済／","")&amp;IF(AND($H2846&lt;&gt;"",INDEX(職員マスタ!$B$6:$B$405,$AP2846)&lt;&gt;"",SUBSTITUTE(SUBSTITUTE($H2846," ","")," ","")&lt;&gt;SUBSTITUTE(SUBSTITUTE(INDEX(職員マスタ!$B$6:$B$405,$AP2846)," ","")," ","")),"氏名がマスタと相違／","")&amp;IF(AND($Q2846&lt;&gt;"",INDEX(職員マスタ!$E$6:$E$405,$AP2846)&lt;&gt;"",$Q2846&lt;&gt;INDEX(職員マスタ!$E$6:$E$405,$AP2846)),"子の生年月日がマスタと相違／","")&amp;IF(AND($L2846&lt;&gt;"",INDEX(職員マスタ!$G$6:$G$405,$AP2846)&lt;&gt;"",$L2846&lt;&gt;INDEX(職員マスタ!$G$6:$G$405,$AP2846)),"時短開始日がマスタと相違／","")&amp;IF(AND($M2846&lt;&gt;"",INDEX(職員マスタ!$H$6:$H$405,$AP2846)&lt;&gt;"",$M2846&lt;&gt;INDEX(職員マスタ!$H$6:$H$405,$AP2846)),"時短終了日がマスタと相違／","")))&amp;IF(AND($B2846&lt;&gt;"",$E2846=""),"報酬額が未入力／","")&amp;IF(N($U2846)&gt;0,"申請書に入力エラーが残っています／","")&amp;IF(AND($B2846&lt;&gt;"",$AQ2846&lt;&gt;""),IF(COUNTIFS($B$6:$B$3005,$B2846,$C$6:$C$3005,$C2846,$D$6:$D$3005,$D2846)&gt;1,"同じ月の請求が重複しています／",""),"")&amp;IF(AND(N($E2846)&gt;0,$AB2846&lt;&gt;"",$AB2846&lt;&gt;"×",$AE2846=0,$AD2846=""),"計算額が下限以下のため不支給／",""))</f>
        <v/>
      </c>
      <c r="AN2846" s="12" t="n"/>
      <c r="AO2846" s="14">
        <f>IF($AF2846="保留中",COUNTIF($AF$6:$AF2846,"保留中"),"")</f>
        <v/>
      </c>
      <c r="AP2846" s="14">
        <f>IF($AQ2846="","",IF(SUMPRODUCT(MAX((職員マスタ!$A$6:$A$405=$B2846)*(((職員マスタ!$G$6:$G$405="")+(職員マスタ!$G$6:$G$405&lt;=EOMONTH($AQ2846,0)))&gt;0)*(((職員マスタ!$H$6:$H$405="")+(職員マスタ!$H$6:$H$405&gt;=$AQ2846))&gt;0)*(ROW(職員マスタ!$A$6:$A$405)-5)))&gt;0,SUMPRODUCT(MAX((職員マスタ!$A$6:$A$405=$B2846)*(((職員マスタ!$G$6:$G$405="")+(職員マスタ!$G$6:$G$405&lt;=EOMONTH($AQ2846,0)))&gt;0)*(((職員マスタ!$H$6:$H$405="")+(職員マスタ!$H$6:$H$405&gt;=$AQ2846))&gt;0)*(ROW(職員マスタ!$A$6:$A$405)-5))),IFERROR(MATCH($B2846,職員マスタ!$A$6:$A$405,0),"")))</f>
        <v/>
      </c>
      <c r="AQ2846" s="16">
        <f>IF(OR($B2846="",$C2846="",$D2846=""),"",DATE($C2846+2018,$D2846,1))</f>
        <v/>
      </c>
    </row>
    <row r="2847">
      <c r="A2847" s="11" t="n"/>
      <c r="B2847" s="12" t="n"/>
      <c r="C2847" s="12" t="n"/>
      <c r="D2847" s="12" t="n"/>
      <c r="E2847" s="13" t="n"/>
      <c r="F2847" s="12" t="n"/>
      <c r="G2847" s="13" t="n"/>
      <c r="H2847" s="12" t="n"/>
      <c r="I2847" s="12" t="n"/>
      <c r="J2847" s="12" t="n"/>
      <c r="K2847" s="12" t="n"/>
      <c r="L2847" s="11" t="n"/>
      <c r="M2847" s="11" t="n"/>
      <c r="N2847" s="11" t="n"/>
      <c r="O2847" s="11" t="n"/>
      <c r="P2847" s="12" t="n"/>
      <c r="Q2847" s="11" t="n"/>
      <c r="R2847" s="12" t="n"/>
      <c r="S2847" s="11" t="n"/>
      <c r="T2847" s="12" t="n"/>
      <c r="U2847" s="12" t="n"/>
      <c r="V2847" s="12" t="n"/>
      <c r="W2847" s="13" t="n"/>
      <c r="X2847" s="14">
        <f>IF($AP2847="",IF($B2847="","",$H2847),IF(INDEX(職員マスタ!$B$6:$B$405,$AP2847)="",$H2847,INDEX(職員マスタ!$B$6:$B$405,$AP2847)))</f>
        <v/>
      </c>
      <c r="Y2847" s="14">
        <f>IF($AP2847="",IF($B2847="","",$R2847),IF(INDEX(職員マスタ!$C$6:$C$405,$AP2847)="",$R2847,INDEX(職員マスタ!$C$6:$C$405,$AP2847)))</f>
        <v/>
      </c>
      <c r="Z2847" s="14">
        <f>IF($AQ2847="","","R"&amp;$C2847&amp;"."&amp;$D2847)</f>
        <v/>
      </c>
      <c r="AA2847" s="15">
        <f>IF(IF($AP2847="",FALSE,INDEX(職員マスタ!$K$6:$K$405,$AP2847)&lt;&gt;""),INDEX(職員マスタ!$K$6:$K$405,$AP2847),IF(N($W2847)&gt;0,$W2847,""))</f>
        <v/>
      </c>
      <c r="AB2847" s="14">
        <f>IF(OR($E2847="",$AA2847=""),"",IF($E2847&gt;=$AA2847,"×",IF($E2847&gt;=$AA2847*設定!$C$5,"△","○")))</f>
        <v/>
      </c>
      <c r="AC2847" s="15">
        <f>IF($AB2847="","",IF($AB2847="×",0,IF($AB2847="○",ROUNDDOWN($E2847*設定!$C$4,0),ROUNDDOWN($E2847*ROUND((9*$AA2847-9*$E2847)/(10*$E2847),4),0))))</f>
        <v/>
      </c>
      <c r="AD2847" s="13" t="n"/>
      <c r="AE2847" s="15">
        <f>IF($B2847="","",IF($AD2847&lt;&gt;"",$AD2847,IF($AC2847="","",IF($AC2847&lt;=設定!$C$3,0,$AC2847))))</f>
        <v/>
      </c>
      <c r="AF2847" s="14">
        <f>IF($B2847="","",IF(AND($AG2847&lt;&gt;"",$AI2847="",$AL2847=""),"保留中",IF($AL2847&lt;&gt;"",IF(N($AE2847)&gt;0,"支給済","不支給"),IF($AE2847="","要確認",IF($AE2847=0,"不支給","未処理")))))</f>
        <v/>
      </c>
      <c r="AG2847" s="12" t="n"/>
      <c r="AH2847" s="11" t="n"/>
      <c r="AI2847" s="11" t="n"/>
      <c r="AJ2847" s="11" t="n"/>
      <c r="AK2847" s="14">
        <f>IF(AND($AF2847="保留中",$AH2847&lt;&gt;""),TODAY()-$AH2847,"")</f>
        <v/>
      </c>
      <c r="AL2847" s="12" t="n"/>
      <c r="AM2847" s="14">
        <f>IF($B2847="","",IF($AQ2847="","対象年月が未入力／","")&amp;IF($B2847="","",IF($AP2847="","職員マスタに未登録の職員番号／",IF($AA2847="","標準報酬月額が未登録／","")&amp;IF(AND($AQ2847&lt;&gt;"",OR(AND(INDEX(職員マスタ!$G$6:$G$405,$AP2847)&lt;&gt;"",INDEX(職員マスタ!$G$6:$G$405,$AP2847)&gt;EOMONTH($AQ2847,0)),AND(INDEX(職員マスタ!$H$6:$H$405,$AP2847)&lt;&gt;"",INDEX(職員マスタ!$H$6:$H$405,$AP2847)&lt;$AQ2847))),"対象月が時短期間外／","")&amp;IF(AND(INDEX(職員マスタ!$K$6:$K$405,$AP2847)&lt;&gt;"",N($W2847)&gt;0,INDEX(職員マスタ!$K$6:$K$405,$AP2847)&lt;&gt;$W2847),"標準報酬月額が申請書と相違（台帳"&amp;TEXT(INDEX(職員マスタ!$K$6:$K$405,$AP2847),"#,##0")&amp;"円／申請書"&amp;TEXT($W2847,"#,##0")&amp;"円）／","")&amp;IF(AND(INDEX(職員マスタ!$F$6:$F$405,$AP2847)&lt;&gt;"",$AQ2847&lt;&gt;"",INDEX(職員マスタ!$F$6:$F$405,$AP2847)&lt;$AQ2847),"対象月に子が2歳到達済／","")&amp;IF(AND($H2847&lt;&gt;"",INDEX(職員マスタ!$B$6:$B$405,$AP2847)&lt;&gt;"",SUBSTITUTE(SUBSTITUTE($H2847," ","")," ","")&lt;&gt;SUBSTITUTE(SUBSTITUTE(INDEX(職員マスタ!$B$6:$B$405,$AP2847)," ","")," ","")),"氏名がマスタと相違／","")&amp;IF(AND($Q2847&lt;&gt;"",INDEX(職員マスタ!$E$6:$E$405,$AP2847)&lt;&gt;"",$Q2847&lt;&gt;INDEX(職員マスタ!$E$6:$E$405,$AP2847)),"子の生年月日がマスタと相違／","")&amp;IF(AND($L2847&lt;&gt;"",INDEX(職員マスタ!$G$6:$G$405,$AP2847)&lt;&gt;"",$L2847&lt;&gt;INDEX(職員マスタ!$G$6:$G$405,$AP2847)),"時短開始日がマスタと相違／","")&amp;IF(AND($M2847&lt;&gt;"",INDEX(職員マスタ!$H$6:$H$405,$AP2847)&lt;&gt;"",$M2847&lt;&gt;INDEX(職員マスタ!$H$6:$H$405,$AP2847)),"時短終了日がマスタと相違／","")))&amp;IF(AND($B2847&lt;&gt;"",$E2847=""),"報酬額が未入力／","")&amp;IF(N($U2847)&gt;0,"申請書に入力エラーが残っています／","")&amp;IF(AND($B2847&lt;&gt;"",$AQ2847&lt;&gt;""),IF(COUNTIFS($B$6:$B$3005,$B2847,$C$6:$C$3005,$C2847,$D$6:$D$3005,$D2847)&gt;1,"同じ月の請求が重複しています／",""),"")&amp;IF(AND(N($E2847)&gt;0,$AB2847&lt;&gt;"",$AB2847&lt;&gt;"×",$AE2847=0,$AD2847=""),"計算額が下限以下のため不支給／",""))</f>
        <v/>
      </c>
      <c r="AN2847" s="12" t="n"/>
      <c r="AO2847" s="14">
        <f>IF($AF2847="保留中",COUNTIF($AF$6:$AF2847,"保留中"),"")</f>
        <v/>
      </c>
      <c r="AP2847" s="14">
        <f>IF($AQ2847="","",IF(SUMPRODUCT(MAX((職員マスタ!$A$6:$A$405=$B2847)*(((職員マスタ!$G$6:$G$405="")+(職員マスタ!$G$6:$G$405&lt;=EOMONTH($AQ2847,0)))&gt;0)*(((職員マスタ!$H$6:$H$405="")+(職員マスタ!$H$6:$H$405&gt;=$AQ2847))&gt;0)*(ROW(職員マスタ!$A$6:$A$405)-5)))&gt;0,SUMPRODUCT(MAX((職員マスタ!$A$6:$A$405=$B2847)*(((職員マスタ!$G$6:$G$405="")+(職員マスタ!$G$6:$G$405&lt;=EOMONTH($AQ2847,0)))&gt;0)*(((職員マスタ!$H$6:$H$405="")+(職員マスタ!$H$6:$H$405&gt;=$AQ2847))&gt;0)*(ROW(職員マスタ!$A$6:$A$405)-5))),IFERROR(MATCH($B2847,職員マスタ!$A$6:$A$405,0),"")))</f>
        <v/>
      </c>
      <c r="AQ2847" s="16">
        <f>IF(OR($B2847="",$C2847="",$D2847=""),"",DATE($C2847+2018,$D2847,1))</f>
        <v/>
      </c>
    </row>
    <row r="2848">
      <c r="A2848" s="11" t="n"/>
      <c r="B2848" s="12" t="n"/>
      <c r="C2848" s="12" t="n"/>
      <c r="D2848" s="12" t="n"/>
      <c r="E2848" s="13" t="n"/>
      <c r="F2848" s="12" t="n"/>
      <c r="G2848" s="13" t="n"/>
      <c r="H2848" s="12" t="n"/>
      <c r="I2848" s="12" t="n"/>
      <c r="J2848" s="12" t="n"/>
      <c r="K2848" s="12" t="n"/>
      <c r="L2848" s="11" t="n"/>
      <c r="M2848" s="11" t="n"/>
      <c r="N2848" s="11" t="n"/>
      <c r="O2848" s="11" t="n"/>
      <c r="P2848" s="12" t="n"/>
      <c r="Q2848" s="11" t="n"/>
      <c r="R2848" s="12" t="n"/>
      <c r="S2848" s="11" t="n"/>
      <c r="T2848" s="12" t="n"/>
      <c r="U2848" s="12" t="n"/>
      <c r="V2848" s="12" t="n"/>
      <c r="W2848" s="13" t="n"/>
      <c r="X2848" s="14">
        <f>IF($AP2848="",IF($B2848="","",$H2848),IF(INDEX(職員マスタ!$B$6:$B$405,$AP2848)="",$H2848,INDEX(職員マスタ!$B$6:$B$405,$AP2848)))</f>
        <v/>
      </c>
      <c r="Y2848" s="14">
        <f>IF($AP2848="",IF($B2848="","",$R2848),IF(INDEX(職員マスタ!$C$6:$C$405,$AP2848)="",$R2848,INDEX(職員マスタ!$C$6:$C$405,$AP2848)))</f>
        <v/>
      </c>
      <c r="Z2848" s="14">
        <f>IF($AQ2848="","","R"&amp;$C2848&amp;"."&amp;$D2848)</f>
        <v/>
      </c>
      <c r="AA2848" s="15">
        <f>IF(IF($AP2848="",FALSE,INDEX(職員マスタ!$K$6:$K$405,$AP2848)&lt;&gt;""),INDEX(職員マスタ!$K$6:$K$405,$AP2848),IF(N($W2848)&gt;0,$W2848,""))</f>
        <v/>
      </c>
      <c r="AB2848" s="14">
        <f>IF(OR($E2848="",$AA2848=""),"",IF($E2848&gt;=$AA2848,"×",IF($E2848&gt;=$AA2848*設定!$C$5,"△","○")))</f>
        <v/>
      </c>
      <c r="AC2848" s="15">
        <f>IF($AB2848="","",IF($AB2848="×",0,IF($AB2848="○",ROUNDDOWN($E2848*設定!$C$4,0),ROUNDDOWN($E2848*ROUND((9*$AA2848-9*$E2848)/(10*$E2848),4),0))))</f>
        <v/>
      </c>
      <c r="AD2848" s="13" t="n"/>
      <c r="AE2848" s="15">
        <f>IF($B2848="","",IF($AD2848&lt;&gt;"",$AD2848,IF($AC2848="","",IF($AC2848&lt;=設定!$C$3,0,$AC2848))))</f>
        <v/>
      </c>
      <c r="AF2848" s="14">
        <f>IF($B2848="","",IF(AND($AG2848&lt;&gt;"",$AI2848="",$AL2848=""),"保留中",IF($AL2848&lt;&gt;"",IF(N($AE2848)&gt;0,"支給済","不支給"),IF($AE2848="","要確認",IF($AE2848=0,"不支給","未処理")))))</f>
        <v/>
      </c>
      <c r="AG2848" s="12" t="n"/>
      <c r="AH2848" s="11" t="n"/>
      <c r="AI2848" s="11" t="n"/>
      <c r="AJ2848" s="11" t="n"/>
      <c r="AK2848" s="14">
        <f>IF(AND($AF2848="保留中",$AH2848&lt;&gt;""),TODAY()-$AH2848,"")</f>
        <v/>
      </c>
      <c r="AL2848" s="12" t="n"/>
      <c r="AM2848" s="14">
        <f>IF($B2848="","",IF($AQ2848="","対象年月が未入力／","")&amp;IF($B2848="","",IF($AP2848="","職員マスタに未登録の職員番号／",IF($AA2848="","標準報酬月額が未登録／","")&amp;IF(AND($AQ2848&lt;&gt;"",OR(AND(INDEX(職員マスタ!$G$6:$G$405,$AP2848)&lt;&gt;"",INDEX(職員マスタ!$G$6:$G$405,$AP2848)&gt;EOMONTH($AQ2848,0)),AND(INDEX(職員マスタ!$H$6:$H$405,$AP2848)&lt;&gt;"",INDEX(職員マスタ!$H$6:$H$405,$AP2848)&lt;$AQ2848))),"対象月が時短期間外／","")&amp;IF(AND(INDEX(職員マスタ!$K$6:$K$405,$AP2848)&lt;&gt;"",N($W2848)&gt;0,INDEX(職員マスタ!$K$6:$K$405,$AP2848)&lt;&gt;$W2848),"標準報酬月額が申請書と相違（台帳"&amp;TEXT(INDEX(職員マスタ!$K$6:$K$405,$AP2848),"#,##0")&amp;"円／申請書"&amp;TEXT($W2848,"#,##0")&amp;"円）／","")&amp;IF(AND(INDEX(職員マスタ!$F$6:$F$405,$AP2848)&lt;&gt;"",$AQ2848&lt;&gt;"",INDEX(職員マスタ!$F$6:$F$405,$AP2848)&lt;$AQ2848),"対象月に子が2歳到達済／","")&amp;IF(AND($H2848&lt;&gt;"",INDEX(職員マスタ!$B$6:$B$405,$AP2848)&lt;&gt;"",SUBSTITUTE(SUBSTITUTE($H2848," ","")," ","")&lt;&gt;SUBSTITUTE(SUBSTITUTE(INDEX(職員マスタ!$B$6:$B$405,$AP2848)," ","")," ","")),"氏名がマスタと相違／","")&amp;IF(AND($Q2848&lt;&gt;"",INDEX(職員マスタ!$E$6:$E$405,$AP2848)&lt;&gt;"",$Q2848&lt;&gt;INDEX(職員マスタ!$E$6:$E$405,$AP2848)),"子の生年月日がマスタと相違／","")&amp;IF(AND($L2848&lt;&gt;"",INDEX(職員マスタ!$G$6:$G$405,$AP2848)&lt;&gt;"",$L2848&lt;&gt;INDEX(職員マスタ!$G$6:$G$405,$AP2848)),"時短開始日がマスタと相違／","")&amp;IF(AND($M2848&lt;&gt;"",INDEX(職員マスタ!$H$6:$H$405,$AP2848)&lt;&gt;"",$M2848&lt;&gt;INDEX(職員マスタ!$H$6:$H$405,$AP2848)),"時短終了日がマスタと相違／","")))&amp;IF(AND($B2848&lt;&gt;"",$E2848=""),"報酬額が未入力／","")&amp;IF(N($U2848)&gt;0,"申請書に入力エラーが残っています／","")&amp;IF(AND($B2848&lt;&gt;"",$AQ2848&lt;&gt;""),IF(COUNTIFS($B$6:$B$3005,$B2848,$C$6:$C$3005,$C2848,$D$6:$D$3005,$D2848)&gt;1,"同じ月の請求が重複しています／",""),"")&amp;IF(AND(N($E2848)&gt;0,$AB2848&lt;&gt;"",$AB2848&lt;&gt;"×",$AE2848=0,$AD2848=""),"計算額が下限以下のため不支給／",""))</f>
        <v/>
      </c>
      <c r="AN2848" s="12" t="n"/>
      <c r="AO2848" s="14">
        <f>IF($AF2848="保留中",COUNTIF($AF$6:$AF2848,"保留中"),"")</f>
        <v/>
      </c>
      <c r="AP2848" s="14">
        <f>IF($AQ2848="","",IF(SUMPRODUCT(MAX((職員マスタ!$A$6:$A$405=$B2848)*(((職員マスタ!$G$6:$G$405="")+(職員マスタ!$G$6:$G$405&lt;=EOMONTH($AQ2848,0)))&gt;0)*(((職員マスタ!$H$6:$H$405="")+(職員マスタ!$H$6:$H$405&gt;=$AQ2848))&gt;0)*(ROW(職員マスタ!$A$6:$A$405)-5)))&gt;0,SUMPRODUCT(MAX((職員マスタ!$A$6:$A$405=$B2848)*(((職員マスタ!$G$6:$G$405="")+(職員マスタ!$G$6:$G$405&lt;=EOMONTH($AQ2848,0)))&gt;0)*(((職員マスタ!$H$6:$H$405="")+(職員マスタ!$H$6:$H$405&gt;=$AQ2848))&gt;0)*(ROW(職員マスタ!$A$6:$A$405)-5))),IFERROR(MATCH($B2848,職員マスタ!$A$6:$A$405,0),"")))</f>
        <v/>
      </c>
      <c r="AQ2848" s="16">
        <f>IF(OR($B2848="",$C2848="",$D2848=""),"",DATE($C2848+2018,$D2848,1))</f>
        <v/>
      </c>
    </row>
    <row r="2849">
      <c r="A2849" s="11" t="n"/>
      <c r="B2849" s="12" t="n"/>
      <c r="C2849" s="12" t="n"/>
      <c r="D2849" s="12" t="n"/>
      <c r="E2849" s="13" t="n"/>
      <c r="F2849" s="12" t="n"/>
      <c r="G2849" s="13" t="n"/>
      <c r="H2849" s="12" t="n"/>
      <c r="I2849" s="12" t="n"/>
      <c r="J2849" s="12" t="n"/>
      <c r="K2849" s="12" t="n"/>
      <c r="L2849" s="11" t="n"/>
      <c r="M2849" s="11" t="n"/>
      <c r="N2849" s="11" t="n"/>
      <c r="O2849" s="11" t="n"/>
      <c r="P2849" s="12" t="n"/>
      <c r="Q2849" s="11" t="n"/>
      <c r="R2849" s="12" t="n"/>
      <c r="S2849" s="11" t="n"/>
      <c r="T2849" s="12" t="n"/>
      <c r="U2849" s="12" t="n"/>
      <c r="V2849" s="12" t="n"/>
      <c r="W2849" s="13" t="n"/>
      <c r="X2849" s="14">
        <f>IF($AP2849="",IF($B2849="","",$H2849),IF(INDEX(職員マスタ!$B$6:$B$405,$AP2849)="",$H2849,INDEX(職員マスタ!$B$6:$B$405,$AP2849)))</f>
        <v/>
      </c>
      <c r="Y2849" s="14">
        <f>IF($AP2849="",IF($B2849="","",$R2849),IF(INDEX(職員マスタ!$C$6:$C$405,$AP2849)="",$R2849,INDEX(職員マスタ!$C$6:$C$405,$AP2849)))</f>
        <v/>
      </c>
      <c r="Z2849" s="14">
        <f>IF($AQ2849="","","R"&amp;$C2849&amp;"."&amp;$D2849)</f>
        <v/>
      </c>
      <c r="AA2849" s="15">
        <f>IF(IF($AP2849="",FALSE,INDEX(職員マスタ!$K$6:$K$405,$AP2849)&lt;&gt;""),INDEX(職員マスタ!$K$6:$K$405,$AP2849),IF(N($W2849)&gt;0,$W2849,""))</f>
        <v/>
      </c>
      <c r="AB2849" s="14">
        <f>IF(OR($E2849="",$AA2849=""),"",IF($E2849&gt;=$AA2849,"×",IF($E2849&gt;=$AA2849*設定!$C$5,"△","○")))</f>
        <v/>
      </c>
      <c r="AC2849" s="15">
        <f>IF($AB2849="","",IF($AB2849="×",0,IF($AB2849="○",ROUNDDOWN($E2849*設定!$C$4,0),ROUNDDOWN($E2849*ROUND((9*$AA2849-9*$E2849)/(10*$E2849),4),0))))</f>
        <v/>
      </c>
      <c r="AD2849" s="13" t="n"/>
      <c r="AE2849" s="15">
        <f>IF($B2849="","",IF($AD2849&lt;&gt;"",$AD2849,IF($AC2849="","",IF($AC2849&lt;=設定!$C$3,0,$AC2849))))</f>
        <v/>
      </c>
      <c r="AF2849" s="14">
        <f>IF($B2849="","",IF(AND($AG2849&lt;&gt;"",$AI2849="",$AL2849=""),"保留中",IF($AL2849&lt;&gt;"",IF(N($AE2849)&gt;0,"支給済","不支給"),IF($AE2849="","要確認",IF($AE2849=0,"不支給","未処理")))))</f>
        <v/>
      </c>
      <c r="AG2849" s="12" t="n"/>
      <c r="AH2849" s="11" t="n"/>
      <c r="AI2849" s="11" t="n"/>
      <c r="AJ2849" s="11" t="n"/>
      <c r="AK2849" s="14">
        <f>IF(AND($AF2849="保留中",$AH2849&lt;&gt;""),TODAY()-$AH2849,"")</f>
        <v/>
      </c>
      <c r="AL2849" s="12" t="n"/>
      <c r="AM2849" s="14">
        <f>IF($B2849="","",IF($AQ2849="","対象年月が未入力／","")&amp;IF($B2849="","",IF($AP2849="","職員マスタに未登録の職員番号／",IF($AA2849="","標準報酬月額が未登録／","")&amp;IF(AND($AQ2849&lt;&gt;"",OR(AND(INDEX(職員マスタ!$G$6:$G$405,$AP2849)&lt;&gt;"",INDEX(職員マスタ!$G$6:$G$405,$AP2849)&gt;EOMONTH($AQ2849,0)),AND(INDEX(職員マスタ!$H$6:$H$405,$AP2849)&lt;&gt;"",INDEX(職員マスタ!$H$6:$H$405,$AP2849)&lt;$AQ2849))),"対象月が時短期間外／","")&amp;IF(AND(INDEX(職員マスタ!$K$6:$K$405,$AP2849)&lt;&gt;"",N($W2849)&gt;0,INDEX(職員マスタ!$K$6:$K$405,$AP2849)&lt;&gt;$W2849),"標準報酬月額が申請書と相違（台帳"&amp;TEXT(INDEX(職員マスタ!$K$6:$K$405,$AP2849),"#,##0")&amp;"円／申請書"&amp;TEXT($W2849,"#,##0")&amp;"円）／","")&amp;IF(AND(INDEX(職員マスタ!$F$6:$F$405,$AP2849)&lt;&gt;"",$AQ2849&lt;&gt;"",INDEX(職員マスタ!$F$6:$F$405,$AP2849)&lt;$AQ2849),"対象月に子が2歳到達済／","")&amp;IF(AND($H2849&lt;&gt;"",INDEX(職員マスタ!$B$6:$B$405,$AP2849)&lt;&gt;"",SUBSTITUTE(SUBSTITUTE($H2849," ","")," ","")&lt;&gt;SUBSTITUTE(SUBSTITUTE(INDEX(職員マスタ!$B$6:$B$405,$AP2849)," ","")," ","")),"氏名がマスタと相違／","")&amp;IF(AND($Q2849&lt;&gt;"",INDEX(職員マスタ!$E$6:$E$405,$AP2849)&lt;&gt;"",$Q2849&lt;&gt;INDEX(職員マスタ!$E$6:$E$405,$AP2849)),"子の生年月日がマスタと相違／","")&amp;IF(AND($L2849&lt;&gt;"",INDEX(職員マスタ!$G$6:$G$405,$AP2849)&lt;&gt;"",$L2849&lt;&gt;INDEX(職員マスタ!$G$6:$G$405,$AP2849)),"時短開始日がマスタと相違／","")&amp;IF(AND($M2849&lt;&gt;"",INDEX(職員マスタ!$H$6:$H$405,$AP2849)&lt;&gt;"",$M2849&lt;&gt;INDEX(職員マスタ!$H$6:$H$405,$AP2849)),"時短終了日がマスタと相違／","")))&amp;IF(AND($B2849&lt;&gt;"",$E2849=""),"報酬額が未入力／","")&amp;IF(N($U2849)&gt;0,"申請書に入力エラーが残っています／","")&amp;IF(AND($B2849&lt;&gt;"",$AQ2849&lt;&gt;""),IF(COUNTIFS($B$6:$B$3005,$B2849,$C$6:$C$3005,$C2849,$D$6:$D$3005,$D2849)&gt;1,"同じ月の請求が重複しています／",""),"")&amp;IF(AND(N($E2849)&gt;0,$AB2849&lt;&gt;"",$AB2849&lt;&gt;"×",$AE2849=0,$AD2849=""),"計算額が下限以下のため不支給／",""))</f>
        <v/>
      </c>
      <c r="AN2849" s="12" t="n"/>
      <c r="AO2849" s="14">
        <f>IF($AF2849="保留中",COUNTIF($AF$6:$AF2849,"保留中"),"")</f>
        <v/>
      </c>
      <c r="AP2849" s="14">
        <f>IF($AQ2849="","",IF(SUMPRODUCT(MAX((職員マスタ!$A$6:$A$405=$B2849)*(((職員マスタ!$G$6:$G$405="")+(職員マスタ!$G$6:$G$405&lt;=EOMONTH($AQ2849,0)))&gt;0)*(((職員マスタ!$H$6:$H$405="")+(職員マスタ!$H$6:$H$405&gt;=$AQ2849))&gt;0)*(ROW(職員マスタ!$A$6:$A$405)-5)))&gt;0,SUMPRODUCT(MAX((職員マスタ!$A$6:$A$405=$B2849)*(((職員マスタ!$G$6:$G$405="")+(職員マスタ!$G$6:$G$405&lt;=EOMONTH($AQ2849,0)))&gt;0)*(((職員マスタ!$H$6:$H$405="")+(職員マスタ!$H$6:$H$405&gt;=$AQ2849))&gt;0)*(ROW(職員マスタ!$A$6:$A$405)-5))),IFERROR(MATCH($B2849,職員マスタ!$A$6:$A$405,0),"")))</f>
        <v/>
      </c>
      <c r="AQ2849" s="16">
        <f>IF(OR($B2849="",$C2849="",$D2849=""),"",DATE($C2849+2018,$D2849,1))</f>
        <v/>
      </c>
    </row>
    <row r="2850">
      <c r="A2850" s="11" t="n"/>
      <c r="B2850" s="12" t="n"/>
      <c r="C2850" s="12" t="n"/>
      <c r="D2850" s="12" t="n"/>
      <c r="E2850" s="13" t="n"/>
      <c r="F2850" s="12" t="n"/>
      <c r="G2850" s="13" t="n"/>
      <c r="H2850" s="12" t="n"/>
      <c r="I2850" s="12" t="n"/>
      <c r="J2850" s="12" t="n"/>
      <c r="K2850" s="12" t="n"/>
      <c r="L2850" s="11" t="n"/>
      <c r="M2850" s="11" t="n"/>
      <c r="N2850" s="11" t="n"/>
      <c r="O2850" s="11" t="n"/>
      <c r="P2850" s="12" t="n"/>
      <c r="Q2850" s="11" t="n"/>
      <c r="R2850" s="12" t="n"/>
      <c r="S2850" s="11" t="n"/>
      <c r="T2850" s="12" t="n"/>
      <c r="U2850" s="12" t="n"/>
      <c r="V2850" s="12" t="n"/>
      <c r="W2850" s="13" t="n"/>
      <c r="X2850" s="14">
        <f>IF($AP2850="",IF($B2850="","",$H2850),IF(INDEX(職員マスタ!$B$6:$B$405,$AP2850)="",$H2850,INDEX(職員マスタ!$B$6:$B$405,$AP2850)))</f>
        <v/>
      </c>
      <c r="Y2850" s="14">
        <f>IF($AP2850="",IF($B2850="","",$R2850),IF(INDEX(職員マスタ!$C$6:$C$405,$AP2850)="",$R2850,INDEX(職員マスタ!$C$6:$C$405,$AP2850)))</f>
        <v/>
      </c>
      <c r="Z2850" s="14">
        <f>IF($AQ2850="","","R"&amp;$C2850&amp;"."&amp;$D2850)</f>
        <v/>
      </c>
      <c r="AA2850" s="15">
        <f>IF(IF($AP2850="",FALSE,INDEX(職員マスタ!$K$6:$K$405,$AP2850)&lt;&gt;""),INDEX(職員マスタ!$K$6:$K$405,$AP2850),IF(N($W2850)&gt;0,$W2850,""))</f>
        <v/>
      </c>
      <c r="AB2850" s="14">
        <f>IF(OR($E2850="",$AA2850=""),"",IF($E2850&gt;=$AA2850,"×",IF($E2850&gt;=$AA2850*設定!$C$5,"△","○")))</f>
        <v/>
      </c>
      <c r="AC2850" s="15">
        <f>IF($AB2850="","",IF($AB2850="×",0,IF($AB2850="○",ROUNDDOWN($E2850*設定!$C$4,0),ROUNDDOWN($E2850*ROUND((9*$AA2850-9*$E2850)/(10*$E2850),4),0))))</f>
        <v/>
      </c>
      <c r="AD2850" s="13" t="n"/>
      <c r="AE2850" s="15">
        <f>IF($B2850="","",IF($AD2850&lt;&gt;"",$AD2850,IF($AC2850="","",IF($AC2850&lt;=設定!$C$3,0,$AC2850))))</f>
        <v/>
      </c>
      <c r="AF2850" s="14">
        <f>IF($B2850="","",IF(AND($AG2850&lt;&gt;"",$AI2850="",$AL2850=""),"保留中",IF($AL2850&lt;&gt;"",IF(N($AE2850)&gt;0,"支給済","不支給"),IF($AE2850="","要確認",IF($AE2850=0,"不支給","未処理")))))</f>
        <v/>
      </c>
      <c r="AG2850" s="12" t="n"/>
      <c r="AH2850" s="11" t="n"/>
      <c r="AI2850" s="11" t="n"/>
      <c r="AJ2850" s="11" t="n"/>
      <c r="AK2850" s="14">
        <f>IF(AND($AF2850="保留中",$AH2850&lt;&gt;""),TODAY()-$AH2850,"")</f>
        <v/>
      </c>
      <c r="AL2850" s="12" t="n"/>
      <c r="AM2850" s="14">
        <f>IF($B2850="","",IF($AQ2850="","対象年月が未入力／","")&amp;IF($B2850="","",IF($AP2850="","職員マスタに未登録の職員番号／",IF($AA2850="","標準報酬月額が未登録／","")&amp;IF(AND($AQ2850&lt;&gt;"",OR(AND(INDEX(職員マスタ!$G$6:$G$405,$AP2850)&lt;&gt;"",INDEX(職員マスタ!$G$6:$G$405,$AP2850)&gt;EOMONTH($AQ2850,0)),AND(INDEX(職員マスタ!$H$6:$H$405,$AP2850)&lt;&gt;"",INDEX(職員マスタ!$H$6:$H$405,$AP2850)&lt;$AQ2850))),"対象月が時短期間外／","")&amp;IF(AND(INDEX(職員マスタ!$K$6:$K$405,$AP2850)&lt;&gt;"",N($W2850)&gt;0,INDEX(職員マスタ!$K$6:$K$405,$AP2850)&lt;&gt;$W2850),"標準報酬月額が申請書と相違（台帳"&amp;TEXT(INDEX(職員マスタ!$K$6:$K$405,$AP2850),"#,##0")&amp;"円／申請書"&amp;TEXT($W2850,"#,##0")&amp;"円）／","")&amp;IF(AND(INDEX(職員マスタ!$F$6:$F$405,$AP2850)&lt;&gt;"",$AQ2850&lt;&gt;"",INDEX(職員マスタ!$F$6:$F$405,$AP2850)&lt;$AQ2850),"対象月に子が2歳到達済／","")&amp;IF(AND($H2850&lt;&gt;"",INDEX(職員マスタ!$B$6:$B$405,$AP2850)&lt;&gt;"",SUBSTITUTE(SUBSTITUTE($H2850," ","")," ","")&lt;&gt;SUBSTITUTE(SUBSTITUTE(INDEX(職員マスタ!$B$6:$B$405,$AP2850)," ","")," ","")),"氏名がマスタと相違／","")&amp;IF(AND($Q2850&lt;&gt;"",INDEX(職員マスタ!$E$6:$E$405,$AP2850)&lt;&gt;"",$Q2850&lt;&gt;INDEX(職員マスタ!$E$6:$E$405,$AP2850)),"子の生年月日がマスタと相違／","")&amp;IF(AND($L2850&lt;&gt;"",INDEX(職員マスタ!$G$6:$G$405,$AP2850)&lt;&gt;"",$L2850&lt;&gt;INDEX(職員マスタ!$G$6:$G$405,$AP2850)),"時短開始日がマスタと相違／","")&amp;IF(AND($M2850&lt;&gt;"",INDEX(職員マスタ!$H$6:$H$405,$AP2850)&lt;&gt;"",$M2850&lt;&gt;INDEX(職員マスタ!$H$6:$H$405,$AP2850)),"時短終了日がマスタと相違／","")))&amp;IF(AND($B2850&lt;&gt;"",$E2850=""),"報酬額が未入力／","")&amp;IF(N($U2850)&gt;0,"申請書に入力エラーが残っています／","")&amp;IF(AND($B2850&lt;&gt;"",$AQ2850&lt;&gt;""),IF(COUNTIFS($B$6:$B$3005,$B2850,$C$6:$C$3005,$C2850,$D$6:$D$3005,$D2850)&gt;1,"同じ月の請求が重複しています／",""),"")&amp;IF(AND(N($E2850)&gt;0,$AB2850&lt;&gt;"",$AB2850&lt;&gt;"×",$AE2850=0,$AD2850=""),"計算額が下限以下のため不支給／",""))</f>
        <v/>
      </c>
      <c r="AN2850" s="12" t="n"/>
      <c r="AO2850" s="14">
        <f>IF($AF2850="保留中",COUNTIF($AF$6:$AF2850,"保留中"),"")</f>
        <v/>
      </c>
      <c r="AP2850" s="14">
        <f>IF($AQ2850="","",IF(SUMPRODUCT(MAX((職員マスタ!$A$6:$A$405=$B2850)*(((職員マスタ!$G$6:$G$405="")+(職員マスタ!$G$6:$G$405&lt;=EOMONTH($AQ2850,0)))&gt;0)*(((職員マスタ!$H$6:$H$405="")+(職員マスタ!$H$6:$H$405&gt;=$AQ2850))&gt;0)*(ROW(職員マスタ!$A$6:$A$405)-5)))&gt;0,SUMPRODUCT(MAX((職員マスタ!$A$6:$A$405=$B2850)*(((職員マスタ!$G$6:$G$405="")+(職員マスタ!$G$6:$G$405&lt;=EOMONTH($AQ2850,0)))&gt;0)*(((職員マスタ!$H$6:$H$405="")+(職員マスタ!$H$6:$H$405&gt;=$AQ2850))&gt;0)*(ROW(職員マスタ!$A$6:$A$405)-5))),IFERROR(MATCH($B2850,職員マスタ!$A$6:$A$405,0),"")))</f>
        <v/>
      </c>
      <c r="AQ2850" s="16">
        <f>IF(OR($B2850="",$C2850="",$D2850=""),"",DATE($C2850+2018,$D2850,1))</f>
        <v/>
      </c>
    </row>
    <row r="2851">
      <c r="A2851" s="11" t="n"/>
      <c r="B2851" s="12" t="n"/>
      <c r="C2851" s="12" t="n"/>
      <c r="D2851" s="12" t="n"/>
      <c r="E2851" s="13" t="n"/>
      <c r="F2851" s="12" t="n"/>
      <c r="G2851" s="13" t="n"/>
      <c r="H2851" s="12" t="n"/>
      <c r="I2851" s="12" t="n"/>
      <c r="J2851" s="12" t="n"/>
      <c r="K2851" s="12" t="n"/>
      <c r="L2851" s="11" t="n"/>
      <c r="M2851" s="11" t="n"/>
      <c r="N2851" s="11" t="n"/>
      <c r="O2851" s="11" t="n"/>
      <c r="P2851" s="12" t="n"/>
      <c r="Q2851" s="11" t="n"/>
      <c r="R2851" s="12" t="n"/>
      <c r="S2851" s="11" t="n"/>
      <c r="T2851" s="12" t="n"/>
      <c r="U2851" s="12" t="n"/>
      <c r="V2851" s="12" t="n"/>
      <c r="W2851" s="13" t="n"/>
      <c r="X2851" s="14">
        <f>IF($AP2851="",IF($B2851="","",$H2851),IF(INDEX(職員マスタ!$B$6:$B$405,$AP2851)="",$H2851,INDEX(職員マスタ!$B$6:$B$405,$AP2851)))</f>
        <v/>
      </c>
      <c r="Y2851" s="14">
        <f>IF($AP2851="",IF($B2851="","",$R2851),IF(INDEX(職員マスタ!$C$6:$C$405,$AP2851)="",$R2851,INDEX(職員マスタ!$C$6:$C$405,$AP2851)))</f>
        <v/>
      </c>
      <c r="Z2851" s="14">
        <f>IF($AQ2851="","","R"&amp;$C2851&amp;"."&amp;$D2851)</f>
        <v/>
      </c>
      <c r="AA2851" s="15">
        <f>IF(IF($AP2851="",FALSE,INDEX(職員マスタ!$K$6:$K$405,$AP2851)&lt;&gt;""),INDEX(職員マスタ!$K$6:$K$405,$AP2851),IF(N($W2851)&gt;0,$W2851,""))</f>
        <v/>
      </c>
      <c r="AB2851" s="14">
        <f>IF(OR($E2851="",$AA2851=""),"",IF($E2851&gt;=$AA2851,"×",IF($E2851&gt;=$AA2851*設定!$C$5,"△","○")))</f>
        <v/>
      </c>
      <c r="AC2851" s="15">
        <f>IF($AB2851="","",IF($AB2851="×",0,IF($AB2851="○",ROUNDDOWN($E2851*設定!$C$4,0),ROUNDDOWN($E2851*ROUND((9*$AA2851-9*$E2851)/(10*$E2851),4),0))))</f>
        <v/>
      </c>
      <c r="AD2851" s="13" t="n"/>
      <c r="AE2851" s="15">
        <f>IF($B2851="","",IF($AD2851&lt;&gt;"",$AD2851,IF($AC2851="","",IF($AC2851&lt;=設定!$C$3,0,$AC2851))))</f>
        <v/>
      </c>
      <c r="AF2851" s="14">
        <f>IF($B2851="","",IF(AND($AG2851&lt;&gt;"",$AI2851="",$AL2851=""),"保留中",IF($AL2851&lt;&gt;"",IF(N($AE2851)&gt;0,"支給済","不支給"),IF($AE2851="","要確認",IF($AE2851=0,"不支給","未処理")))))</f>
        <v/>
      </c>
      <c r="AG2851" s="12" t="n"/>
      <c r="AH2851" s="11" t="n"/>
      <c r="AI2851" s="11" t="n"/>
      <c r="AJ2851" s="11" t="n"/>
      <c r="AK2851" s="14">
        <f>IF(AND($AF2851="保留中",$AH2851&lt;&gt;""),TODAY()-$AH2851,"")</f>
        <v/>
      </c>
      <c r="AL2851" s="12" t="n"/>
      <c r="AM2851" s="14">
        <f>IF($B2851="","",IF($AQ2851="","対象年月が未入力／","")&amp;IF($B2851="","",IF($AP2851="","職員マスタに未登録の職員番号／",IF($AA2851="","標準報酬月額が未登録／","")&amp;IF(AND($AQ2851&lt;&gt;"",OR(AND(INDEX(職員マスタ!$G$6:$G$405,$AP2851)&lt;&gt;"",INDEX(職員マスタ!$G$6:$G$405,$AP2851)&gt;EOMONTH($AQ2851,0)),AND(INDEX(職員マスタ!$H$6:$H$405,$AP2851)&lt;&gt;"",INDEX(職員マスタ!$H$6:$H$405,$AP2851)&lt;$AQ2851))),"対象月が時短期間外／","")&amp;IF(AND(INDEX(職員マスタ!$K$6:$K$405,$AP2851)&lt;&gt;"",N($W2851)&gt;0,INDEX(職員マスタ!$K$6:$K$405,$AP2851)&lt;&gt;$W2851),"標準報酬月額が申請書と相違（台帳"&amp;TEXT(INDEX(職員マスタ!$K$6:$K$405,$AP2851),"#,##0")&amp;"円／申請書"&amp;TEXT($W2851,"#,##0")&amp;"円）／","")&amp;IF(AND(INDEX(職員マスタ!$F$6:$F$405,$AP2851)&lt;&gt;"",$AQ2851&lt;&gt;"",INDEX(職員マスタ!$F$6:$F$405,$AP2851)&lt;$AQ2851),"対象月に子が2歳到達済／","")&amp;IF(AND($H2851&lt;&gt;"",INDEX(職員マスタ!$B$6:$B$405,$AP2851)&lt;&gt;"",SUBSTITUTE(SUBSTITUTE($H2851," ","")," ","")&lt;&gt;SUBSTITUTE(SUBSTITUTE(INDEX(職員マスタ!$B$6:$B$405,$AP2851)," ","")," ","")),"氏名がマスタと相違／","")&amp;IF(AND($Q2851&lt;&gt;"",INDEX(職員マスタ!$E$6:$E$405,$AP2851)&lt;&gt;"",$Q2851&lt;&gt;INDEX(職員マスタ!$E$6:$E$405,$AP2851)),"子の生年月日がマスタと相違／","")&amp;IF(AND($L2851&lt;&gt;"",INDEX(職員マスタ!$G$6:$G$405,$AP2851)&lt;&gt;"",$L2851&lt;&gt;INDEX(職員マスタ!$G$6:$G$405,$AP2851)),"時短開始日がマスタと相違／","")&amp;IF(AND($M2851&lt;&gt;"",INDEX(職員マスタ!$H$6:$H$405,$AP2851)&lt;&gt;"",$M2851&lt;&gt;INDEX(職員マスタ!$H$6:$H$405,$AP2851)),"時短終了日がマスタと相違／","")))&amp;IF(AND($B2851&lt;&gt;"",$E2851=""),"報酬額が未入力／","")&amp;IF(N($U2851)&gt;0,"申請書に入力エラーが残っています／","")&amp;IF(AND($B2851&lt;&gt;"",$AQ2851&lt;&gt;""),IF(COUNTIFS($B$6:$B$3005,$B2851,$C$6:$C$3005,$C2851,$D$6:$D$3005,$D2851)&gt;1,"同じ月の請求が重複しています／",""),"")&amp;IF(AND(N($E2851)&gt;0,$AB2851&lt;&gt;"",$AB2851&lt;&gt;"×",$AE2851=0,$AD2851=""),"計算額が下限以下のため不支給／",""))</f>
        <v/>
      </c>
      <c r="AN2851" s="12" t="n"/>
      <c r="AO2851" s="14">
        <f>IF($AF2851="保留中",COUNTIF($AF$6:$AF2851,"保留中"),"")</f>
        <v/>
      </c>
      <c r="AP2851" s="14">
        <f>IF($AQ2851="","",IF(SUMPRODUCT(MAX((職員マスタ!$A$6:$A$405=$B2851)*(((職員マスタ!$G$6:$G$405="")+(職員マスタ!$G$6:$G$405&lt;=EOMONTH($AQ2851,0)))&gt;0)*(((職員マスタ!$H$6:$H$405="")+(職員マスタ!$H$6:$H$405&gt;=$AQ2851))&gt;0)*(ROW(職員マスタ!$A$6:$A$405)-5)))&gt;0,SUMPRODUCT(MAX((職員マスタ!$A$6:$A$405=$B2851)*(((職員マスタ!$G$6:$G$405="")+(職員マスタ!$G$6:$G$405&lt;=EOMONTH($AQ2851,0)))&gt;0)*(((職員マスタ!$H$6:$H$405="")+(職員マスタ!$H$6:$H$405&gt;=$AQ2851))&gt;0)*(ROW(職員マスタ!$A$6:$A$405)-5))),IFERROR(MATCH($B2851,職員マスタ!$A$6:$A$405,0),"")))</f>
        <v/>
      </c>
      <c r="AQ2851" s="16">
        <f>IF(OR($B2851="",$C2851="",$D2851=""),"",DATE($C2851+2018,$D2851,1))</f>
        <v/>
      </c>
    </row>
    <row r="2852">
      <c r="A2852" s="11" t="n"/>
      <c r="B2852" s="12" t="n"/>
      <c r="C2852" s="12" t="n"/>
      <c r="D2852" s="12" t="n"/>
      <c r="E2852" s="13" t="n"/>
      <c r="F2852" s="12" t="n"/>
      <c r="G2852" s="13" t="n"/>
      <c r="H2852" s="12" t="n"/>
      <c r="I2852" s="12" t="n"/>
      <c r="J2852" s="12" t="n"/>
      <c r="K2852" s="12" t="n"/>
      <c r="L2852" s="11" t="n"/>
      <c r="M2852" s="11" t="n"/>
      <c r="N2852" s="11" t="n"/>
      <c r="O2852" s="11" t="n"/>
      <c r="P2852" s="12" t="n"/>
      <c r="Q2852" s="11" t="n"/>
      <c r="R2852" s="12" t="n"/>
      <c r="S2852" s="11" t="n"/>
      <c r="T2852" s="12" t="n"/>
      <c r="U2852" s="12" t="n"/>
      <c r="V2852" s="12" t="n"/>
      <c r="W2852" s="13" t="n"/>
      <c r="X2852" s="14">
        <f>IF($AP2852="",IF($B2852="","",$H2852),IF(INDEX(職員マスタ!$B$6:$B$405,$AP2852)="",$H2852,INDEX(職員マスタ!$B$6:$B$405,$AP2852)))</f>
        <v/>
      </c>
      <c r="Y2852" s="14">
        <f>IF($AP2852="",IF($B2852="","",$R2852),IF(INDEX(職員マスタ!$C$6:$C$405,$AP2852)="",$R2852,INDEX(職員マスタ!$C$6:$C$405,$AP2852)))</f>
        <v/>
      </c>
      <c r="Z2852" s="14">
        <f>IF($AQ2852="","","R"&amp;$C2852&amp;"."&amp;$D2852)</f>
        <v/>
      </c>
      <c r="AA2852" s="15">
        <f>IF(IF($AP2852="",FALSE,INDEX(職員マスタ!$K$6:$K$405,$AP2852)&lt;&gt;""),INDEX(職員マスタ!$K$6:$K$405,$AP2852),IF(N($W2852)&gt;0,$W2852,""))</f>
        <v/>
      </c>
      <c r="AB2852" s="14">
        <f>IF(OR($E2852="",$AA2852=""),"",IF($E2852&gt;=$AA2852,"×",IF($E2852&gt;=$AA2852*設定!$C$5,"△","○")))</f>
        <v/>
      </c>
      <c r="AC2852" s="15">
        <f>IF($AB2852="","",IF($AB2852="×",0,IF($AB2852="○",ROUNDDOWN($E2852*設定!$C$4,0),ROUNDDOWN($E2852*ROUND((9*$AA2852-9*$E2852)/(10*$E2852),4),0))))</f>
        <v/>
      </c>
      <c r="AD2852" s="13" t="n"/>
      <c r="AE2852" s="15">
        <f>IF($B2852="","",IF($AD2852&lt;&gt;"",$AD2852,IF($AC2852="","",IF($AC2852&lt;=設定!$C$3,0,$AC2852))))</f>
        <v/>
      </c>
      <c r="AF2852" s="14">
        <f>IF($B2852="","",IF(AND($AG2852&lt;&gt;"",$AI2852="",$AL2852=""),"保留中",IF($AL2852&lt;&gt;"",IF(N($AE2852)&gt;0,"支給済","不支給"),IF($AE2852="","要確認",IF($AE2852=0,"不支給","未処理")))))</f>
        <v/>
      </c>
      <c r="AG2852" s="12" t="n"/>
      <c r="AH2852" s="11" t="n"/>
      <c r="AI2852" s="11" t="n"/>
      <c r="AJ2852" s="11" t="n"/>
      <c r="AK2852" s="14">
        <f>IF(AND($AF2852="保留中",$AH2852&lt;&gt;""),TODAY()-$AH2852,"")</f>
        <v/>
      </c>
      <c r="AL2852" s="12" t="n"/>
      <c r="AM2852" s="14">
        <f>IF($B2852="","",IF($AQ2852="","対象年月が未入力／","")&amp;IF($B2852="","",IF($AP2852="","職員マスタに未登録の職員番号／",IF($AA2852="","標準報酬月額が未登録／","")&amp;IF(AND($AQ2852&lt;&gt;"",OR(AND(INDEX(職員マスタ!$G$6:$G$405,$AP2852)&lt;&gt;"",INDEX(職員マスタ!$G$6:$G$405,$AP2852)&gt;EOMONTH($AQ2852,0)),AND(INDEX(職員マスタ!$H$6:$H$405,$AP2852)&lt;&gt;"",INDEX(職員マスタ!$H$6:$H$405,$AP2852)&lt;$AQ2852))),"対象月が時短期間外／","")&amp;IF(AND(INDEX(職員マスタ!$K$6:$K$405,$AP2852)&lt;&gt;"",N($W2852)&gt;0,INDEX(職員マスタ!$K$6:$K$405,$AP2852)&lt;&gt;$W2852),"標準報酬月額が申請書と相違（台帳"&amp;TEXT(INDEX(職員マスタ!$K$6:$K$405,$AP2852),"#,##0")&amp;"円／申請書"&amp;TEXT($W2852,"#,##0")&amp;"円）／","")&amp;IF(AND(INDEX(職員マスタ!$F$6:$F$405,$AP2852)&lt;&gt;"",$AQ2852&lt;&gt;"",INDEX(職員マスタ!$F$6:$F$405,$AP2852)&lt;$AQ2852),"対象月に子が2歳到達済／","")&amp;IF(AND($H2852&lt;&gt;"",INDEX(職員マスタ!$B$6:$B$405,$AP2852)&lt;&gt;"",SUBSTITUTE(SUBSTITUTE($H2852," ","")," ","")&lt;&gt;SUBSTITUTE(SUBSTITUTE(INDEX(職員マスタ!$B$6:$B$405,$AP2852)," ","")," ","")),"氏名がマスタと相違／","")&amp;IF(AND($Q2852&lt;&gt;"",INDEX(職員マスタ!$E$6:$E$405,$AP2852)&lt;&gt;"",$Q2852&lt;&gt;INDEX(職員マスタ!$E$6:$E$405,$AP2852)),"子の生年月日がマスタと相違／","")&amp;IF(AND($L2852&lt;&gt;"",INDEX(職員マスタ!$G$6:$G$405,$AP2852)&lt;&gt;"",$L2852&lt;&gt;INDEX(職員マスタ!$G$6:$G$405,$AP2852)),"時短開始日がマスタと相違／","")&amp;IF(AND($M2852&lt;&gt;"",INDEX(職員マスタ!$H$6:$H$405,$AP2852)&lt;&gt;"",$M2852&lt;&gt;INDEX(職員マスタ!$H$6:$H$405,$AP2852)),"時短終了日がマスタと相違／","")))&amp;IF(AND($B2852&lt;&gt;"",$E2852=""),"報酬額が未入力／","")&amp;IF(N($U2852)&gt;0,"申請書に入力エラーが残っています／","")&amp;IF(AND($B2852&lt;&gt;"",$AQ2852&lt;&gt;""),IF(COUNTIFS($B$6:$B$3005,$B2852,$C$6:$C$3005,$C2852,$D$6:$D$3005,$D2852)&gt;1,"同じ月の請求が重複しています／",""),"")&amp;IF(AND(N($E2852)&gt;0,$AB2852&lt;&gt;"",$AB2852&lt;&gt;"×",$AE2852=0,$AD2852=""),"計算額が下限以下のため不支給／",""))</f>
        <v/>
      </c>
      <c r="AN2852" s="12" t="n"/>
      <c r="AO2852" s="14">
        <f>IF($AF2852="保留中",COUNTIF($AF$6:$AF2852,"保留中"),"")</f>
        <v/>
      </c>
      <c r="AP2852" s="14">
        <f>IF($AQ2852="","",IF(SUMPRODUCT(MAX((職員マスタ!$A$6:$A$405=$B2852)*(((職員マスタ!$G$6:$G$405="")+(職員マスタ!$G$6:$G$405&lt;=EOMONTH($AQ2852,0)))&gt;0)*(((職員マスタ!$H$6:$H$405="")+(職員マスタ!$H$6:$H$405&gt;=$AQ2852))&gt;0)*(ROW(職員マスタ!$A$6:$A$405)-5)))&gt;0,SUMPRODUCT(MAX((職員マスタ!$A$6:$A$405=$B2852)*(((職員マスタ!$G$6:$G$405="")+(職員マスタ!$G$6:$G$405&lt;=EOMONTH($AQ2852,0)))&gt;0)*(((職員マスタ!$H$6:$H$405="")+(職員マスタ!$H$6:$H$405&gt;=$AQ2852))&gt;0)*(ROW(職員マスタ!$A$6:$A$405)-5))),IFERROR(MATCH($B2852,職員マスタ!$A$6:$A$405,0),"")))</f>
        <v/>
      </c>
      <c r="AQ2852" s="16">
        <f>IF(OR($B2852="",$C2852="",$D2852=""),"",DATE($C2852+2018,$D2852,1))</f>
        <v/>
      </c>
    </row>
    <row r="2853">
      <c r="A2853" s="11" t="n"/>
      <c r="B2853" s="12" t="n"/>
      <c r="C2853" s="12" t="n"/>
      <c r="D2853" s="12" t="n"/>
      <c r="E2853" s="13" t="n"/>
      <c r="F2853" s="12" t="n"/>
      <c r="G2853" s="13" t="n"/>
      <c r="H2853" s="12" t="n"/>
      <c r="I2853" s="12" t="n"/>
      <c r="J2853" s="12" t="n"/>
      <c r="K2853" s="12" t="n"/>
      <c r="L2853" s="11" t="n"/>
      <c r="M2853" s="11" t="n"/>
      <c r="N2853" s="11" t="n"/>
      <c r="O2853" s="11" t="n"/>
      <c r="P2853" s="12" t="n"/>
      <c r="Q2853" s="11" t="n"/>
      <c r="R2853" s="12" t="n"/>
      <c r="S2853" s="11" t="n"/>
      <c r="T2853" s="12" t="n"/>
      <c r="U2853" s="12" t="n"/>
      <c r="V2853" s="12" t="n"/>
      <c r="W2853" s="13" t="n"/>
      <c r="X2853" s="14">
        <f>IF($AP2853="",IF($B2853="","",$H2853),IF(INDEX(職員マスタ!$B$6:$B$405,$AP2853)="",$H2853,INDEX(職員マスタ!$B$6:$B$405,$AP2853)))</f>
        <v/>
      </c>
      <c r="Y2853" s="14">
        <f>IF($AP2853="",IF($B2853="","",$R2853),IF(INDEX(職員マスタ!$C$6:$C$405,$AP2853)="",$R2853,INDEX(職員マスタ!$C$6:$C$405,$AP2853)))</f>
        <v/>
      </c>
      <c r="Z2853" s="14">
        <f>IF($AQ2853="","","R"&amp;$C2853&amp;"."&amp;$D2853)</f>
        <v/>
      </c>
      <c r="AA2853" s="15">
        <f>IF(IF($AP2853="",FALSE,INDEX(職員マスタ!$K$6:$K$405,$AP2853)&lt;&gt;""),INDEX(職員マスタ!$K$6:$K$405,$AP2853),IF(N($W2853)&gt;0,$W2853,""))</f>
        <v/>
      </c>
      <c r="AB2853" s="14">
        <f>IF(OR($E2853="",$AA2853=""),"",IF($E2853&gt;=$AA2853,"×",IF($E2853&gt;=$AA2853*設定!$C$5,"△","○")))</f>
        <v/>
      </c>
      <c r="AC2853" s="15">
        <f>IF($AB2853="","",IF($AB2853="×",0,IF($AB2853="○",ROUNDDOWN($E2853*設定!$C$4,0),ROUNDDOWN($E2853*ROUND((9*$AA2853-9*$E2853)/(10*$E2853),4),0))))</f>
        <v/>
      </c>
      <c r="AD2853" s="13" t="n"/>
      <c r="AE2853" s="15">
        <f>IF($B2853="","",IF($AD2853&lt;&gt;"",$AD2853,IF($AC2853="","",IF($AC2853&lt;=設定!$C$3,0,$AC2853))))</f>
        <v/>
      </c>
      <c r="AF2853" s="14">
        <f>IF($B2853="","",IF(AND($AG2853&lt;&gt;"",$AI2853="",$AL2853=""),"保留中",IF($AL2853&lt;&gt;"",IF(N($AE2853)&gt;0,"支給済","不支給"),IF($AE2853="","要確認",IF($AE2853=0,"不支給","未処理")))))</f>
        <v/>
      </c>
      <c r="AG2853" s="12" t="n"/>
      <c r="AH2853" s="11" t="n"/>
      <c r="AI2853" s="11" t="n"/>
      <c r="AJ2853" s="11" t="n"/>
      <c r="AK2853" s="14">
        <f>IF(AND($AF2853="保留中",$AH2853&lt;&gt;""),TODAY()-$AH2853,"")</f>
        <v/>
      </c>
      <c r="AL2853" s="12" t="n"/>
      <c r="AM2853" s="14">
        <f>IF($B2853="","",IF($AQ2853="","対象年月が未入力／","")&amp;IF($B2853="","",IF($AP2853="","職員マスタに未登録の職員番号／",IF($AA2853="","標準報酬月額が未登録／","")&amp;IF(AND($AQ2853&lt;&gt;"",OR(AND(INDEX(職員マスタ!$G$6:$G$405,$AP2853)&lt;&gt;"",INDEX(職員マスタ!$G$6:$G$405,$AP2853)&gt;EOMONTH($AQ2853,0)),AND(INDEX(職員マスタ!$H$6:$H$405,$AP2853)&lt;&gt;"",INDEX(職員マスタ!$H$6:$H$405,$AP2853)&lt;$AQ2853))),"対象月が時短期間外／","")&amp;IF(AND(INDEX(職員マスタ!$K$6:$K$405,$AP2853)&lt;&gt;"",N($W2853)&gt;0,INDEX(職員マスタ!$K$6:$K$405,$AP2853)&lt;&gt;$W2853),"標準報酬月額が申請書と相違（台帳"&amp;TEXT(INDEX(職員マスタ!$K$6:$K$405,$AP2853),"#,##0")&amp;"円／申請書"&amp;TEXT($W2853,"#,##0")&amp;"円）／","")&amp;IF(AND(INDEX(職員マスタ!$F$6:$F$405,$AP2853)&lt;&gt;"",$AQ2853&lt;&gt;"",INDEX(職員マスタ!$F$6:$F$405,$AP2853)&lt;$AQ2853),"対象月に子が2歳到達済／","")&amp;IF(AND($H2853&lt;&gt;"",INDEX(職員マスタ!$B$6:$B$405,$AP2853)&lt;&gt;"",SUBSTITUTE(SUBSTITUTE($H2853," ","")," ","")&lt;&gt;SUBSTITUTE(SUBSTITUTE(INDEX(職員マスタ!$B$6:$B$405,$AP2853)," ","")," ","")),"氏名がマスタと相違／","")&amp;IF(AND($Q2853&lt;&gt;"",INDEX(職員マスタ!$E$6:$E$405,$AP2853)&lt;&gt;"",$Q2853&lt;&gt;INDEX(職員マスタ!$E$6:$E$405,$AP2853)),"子の生年月日がマスタと相違／","")&amp;IF(AND($L2853&lt;&gt;"",INDEX(職員マスタ!$G$6:$G$405,$AP2853)&lt;&gt;"",$L2853&lt;&gt;INDEX(職員マスタ!$G$6:$G$405,$AP2853)),"時短開始日がマスタと相違／","")&amp;IF(AND($M2853&lt;&gt;"",INDEX(職員マスタ!$H$6:$H$405,$AP2853)&lt;&gt;"",$M2853&lt;&gt;INDEX(職員マスタ!$H$6:$H$405,$AP2853)),"時短終了日がマスタと相違／","")))&amp;IF(AND($B2853&lt;&gt;"",$E2853=""),"報酬額が未入力／","")&amp;IF(N($U2853)&gt;0,"申請書に入力エラーが残っています／","")&amp;IF(AND($B2853&lt;&gt;"",$AQ2853&lt;&gt;""),IF(COUNTIFS($B$6:$B$3005,$B2853,$C$6:$C$3005,$C2853,$D$6:$D$3005,$D2853)&gt;1,"同じ月の請求が重複しています／",""),"")&amp;IF(AND(N($E2853)&gt;0,$AB2853&lt;&gt;"",$AB2853&lt;&gt;"×",$AE2853=0,$AD2853=""),"計算額が下限以下のため不支給／",""))</f>
        <v/>
      </c>
      <c r="AN2853" s="12" t="n"/>
      <c r="AO2853" s="14">
        <f>IF($AF2853="保留中",COUNTIF($AF$6:$AF2853,"保留中"),"")</f>
        <v/>
      </c>
      <c r="AP2853" s="14">
        <f>IF($AQ2853="","",IF(SUMPRODUCT(MAX((職員マスタ!$A$6:$A$405=$B2853)*(((職員マスタ!$G$6:$G$405="")+(職員マスタ!$G$6:$G$405&lt;=EOMONTH($AQ2853,0)))&gt;0)*(((職員マスタ!$H$6:$H$405="")+(職員マスタ!$H$6:$H$405&gt;=$AQ2853))&gt;0)*(ROW(職員マスタ!$A$6:$A$405)-5)))&gt;0,SUMPRODUCT(MAX((職員マスタ!$A$6:$A$405=$B2853)*(((職員マスタ!$G$6:$G$405="")+(職員マスタ!$G$6:$G$405&lt;=EOMONTH($AQ2853,0)))&gt;0)*(((職員マスタ!$H$6:$H$405="")+(職員マスタ!$H$6:$H$405&gt;=$AQ2853))&gt;0)*(ROW(職員マスタ!$A$6:$A$405)-5))),IFERROR(MATCH($B2853,職員マスタ!$A$6:$A$405,0),"")))</f>
        <v/>
      </c>
      <c r="AQ2853" s="16">
        <f>IF(OR($B2853="",$C2853="",$D2853=""),"",DATE($C2853+2018,$D2853,1))</f>
        <v/>
      </c>
    </row>
    <row r="2854">
      <c r="A2854" s="11" t="n"/>
      <c r="B2854" s="12" t="n"/>
      <c r="C2854" s="12" t="n"/>
      <c r="D2854" s="12" t="n"/>
      <c r="E2854" s="13" t="n"/>
      <c r="F2854" s="12" t="n"/>
      <c r="G2854" s="13" t="n"/>
      <c r="H2854" s="12" t="n"/>
      <c r="I2854" s="12" t="n"/>
      <c r="J2854" s="12" t="n"/>
      <c r="K2854" s="12" t="n"/>
      <c r="L2854" s="11" t="n"/>
      <c r="M2854" s="11" t="n"/>
      <c r="N2854" s="11" t="n"/>
      <c r="O2854" s="11" t="n"/>
      <c r="P2854" s="12" t="n"/>
      <c r="Q2854" s="11" t="n"/>
      <c r="R2854" s="12" t="n"/>
      <c r="S2854" s="11" t="n"/>
      <c r="T2854" s="12" t="n"/>
      <c r="U2854" s="12" t="n"/>
      <c r="V2854" s="12" t="n"/>
      <c r="W2854" s="13" t="n"/>
      <c r="X2854" s="14">
        <f>IF($AP2854="",IF($B2854="","",$H2854),IF(INDEX(職員マスタ!$B$6:$B$405,$AP2854)="",$H2854,INDEX(職員マスタ!$B$6:$B$405,$AP2854)))</f>
        <v/>
      </c>
      <c r="Y2854" s="14">
        <f>IF($AP2854="",IF($B2854="","",$R2854),IF(INDEX(職員マスタ!$C$6:$C$405,$AP2854)="",$R2854,INDEX(職員マスタ!$C$6:$C$405,$AP2854)))</f>
        <v/>
      </c>
      <c r="Z2854" s="14">
        <f>IF($AQ2854="","","R"&amp;$C2854&amp;"."&amp;$D2854)</f>
        <v/>
      </c>
      <c r="AA2854" s="15">
        <f>IF(IF($AP2854="",FALSE,INDEX(職員マスタ!$K$6:$K$405,$AP2854)&lt;&gt;""),INDEX(職員マスタ!$K$6:$K$405,$AP2854),IF(N($W2854)&gt;0,$W2854,""))</f>
        <v/>
      </c>
      <c r="AB2854" s="14">
        <f>IF(OR($E2854="",$AA2854=""),"",IF($E2854&gt;=$AA2854,"×",IF($E2854&gt;=$AA2854*設定!$C$5,"△","○")))</f>
        <v/>
      </c>
      <c r="AC2854" s="15">
        <f>IF($AB2854="","",IF($AB2854="×",0,IF($AB2854="○",ROUNDDOWN($E2854*設定!$C$4,0),ROUNDDOWN($E2854*ROUND((9*$AA2854-9*$E2854)/(10*$E2854),4),0))))</f>
        <v/>
      </c>
      <c r="AD2854" s="13" t="n"/>
      <c r="AE2854" s="15">
        <f>IF($B2854="","",IF($AD2854&lt;&gt;"",$AD2854,IF($AC2854="","",IF($AC2854&lt;=設定!$C$3,0,$AC2854))))</f>
        <v/>
      </c>
      <c r="AF2854" s="14">
        <f>IF($B2854="","",IF(AND($AG2854&lt;&gt;"",$AI2854="",$AL2854=""),"保留中",IF($AL2854&lt;&gt;"",IF(N($AE2854)&gt;0,"支給済","不支給"),IF($AE2854="","要確認",IF($AE2854=0,"不支給","未処理")))))</f>
        <v/>
      </c>
      <c r="AG2854" s="12" t="n"/>
      <c r="AH2854" s="11" t="n"/>
      <c r="AI2854" s="11" t="n"/>
      <c r="AJ2854" s="11" t="n"/>
      <c r="AK2854" s="14">
        <f>IF(AND($AF2854="保留中",$AH2854&lt;&gt;""),TODAY()-$AH2854,"")</f>
        <v/>
      </c>
      <c r="AL2854" s="12" t="n"/>
      <c r="AM2854" s="14">
        <f>IF($B2854="","",IF($AQ2854="","対象年月が未入力／","")&amp;IF($B2854="","",IF($AP2854="","職員マスタに未登録の職員番号／",IF($AA2854="","標準報酬月額が未登録／","")&amp;IF(AND($AQ2854&lt;&gt;"",OR(AND(INDEX(職員マスタ!$G$6:$G$405,$AP2854)&lt;&gt;"",INDEX(職員マスタ!$G$6:$G$405,$AP2854)&gt;EOMONTH($AQ2854,0)),AND(INDEX(職員マスタ!$H$6:$H$405,$AP2854)&lt;&gt;"",INDEX(職員マスタ!$H$6:$H$405,$AP2854)&lt;$AQ2854))),"対象月が時短期間外／","")&amp;IF(AND(INDEX(職員マスタ!$K$6:$K$405,$AP2854)&lt;&gt;"",N($W2854)&gt;0,INDEX(職員マスタ!$K$6:$K$405,$AP2854)&lt;&gt;$W2854),"標準報酬月額が申請書と相違（台帳"&amp;TEXT(INDEX(職員マスタ!$K$6:$K$405,$AP2854),"#,##0")&amp;"円／申請書"&amp;TEXT($W2854,"#,##0")&amp;"円）／","")&amp;IF(AND(INDEX(職員マスタ!$F$6:$F$405,$AP2854)&lt;&gt;"",$AQ2854&lt;&gt;"",INDEX(職員マスタ!$F$6:$F$405,$AP2854)&lt;$AQ2854),"対象月に子が2歳到達済／","")&amp;IF(AND($H2854&lt;&gt;"",INDEX(職員マスタ!$B$6:$B$405,$AP2854)&lt;&gt;"",SUBSTITUTE(SUBSTITUTE($H2854," ","")," ","")&lt;&gt;SUBSTITUTE(SUBSTITUTE(INDEX(職員マスタ!$B$6:$B$405,$AP2854)," ","")," ","")),"氏名がマスタと相違／","")&amp;IF(AND($Q2854&lt;&gt;"",INDEX(職員マスタ!$E$6:$E$405,$AP2854)&lt;&gt;"",$Q2854&lt;&gt;INDEX(職員マスタ!$E$6:$E$405,$AP2854)),"子の生年月日がマスタと相違／","")&amp;IF(AND($L2854&lt;&gt;"",INDEX(職員マスタ!$G$6:$G$405,$AP2854)&lt;&gt;"",$L2854&lt;&gt;INDEX(職員マスタ!$G$6:$G$405,$AP2854)),"時短開始日がマスタと相違／","")&amp;IF(AND($M2854&lt;&gt;"",INDEX(職員マスタ!$H$6:$H$405,$AP2854)&lt;&gt;"",$M2854&lt;&gt;INDEX(職員マスタ!$H$6:$H$405,$AP2854)),"時短終了日がマスタと相違／","")))&amp;IF(AND($B2854&lt;&gt;"",$E2854=""),"報酬額が未入力／","")&amp;IF(N($U2854)&gt;0,"申請書に入力エラーが残っています／","")&amp;IF(AND($B2854&lt;&gt;"",$AQ2854&lt;&gt;""),IF(COUNTIFS($B$6:$B$3005,$B2854,$C$6:$C$3005,$C2854,$D$6:$D$3005,$D2854)&gt;1,"同じ月の請求が重複しています／",""),"")&amp;IF(AND(N($E2854)&gt;0,$AB2854&lt;&gt;"",$AB2854&lt;&gt;"×",$AE2854=0,$AD2854=""),"計算額が下限以下のため不支給／",""))</f>
        <v/>
      </c>
      <c r="AN2854" s="12" t="n"/>
      <c r="AO2854" s="14">
        <f>IF($AF2854="保留中",COUNTIF($AF$6:$AF2854,"保留中"),"")</f>
        <v/>
      </c>
      <c r="AP2854" s="14">
        <f>IF($AQ2854="","",IF(SUMPRODUCT(MAX((職員マスタ!$A$6:$A$405=$B2854)*(((職員マスタ!$G$6:$G$405="")+(職員マスタ!$G$6:$G$405&lt;=EOMONTH($AQ2854,0)))&gt;0)*(((職員マスタ!$H$6:$H$405="")+(職員マスタ!$H$6:$H$405&gt;=$AQ2854))&gt;0)*(ROW(職員マスタ!$A$6:$A$405)-5)))&gt;0,SUMPRODUCT(MAX((職員マスタ!$A$6:$A$405=$B2854)*(((職員マスタ!$G$6:$G$405="")+(職員マスタ!$G$6:$G$405&lt;=EOMONTH($AQ2854,0)))&gt;0)*(((職員マスタ!$H$6:$H$405="")+(職員マスタ!$H$6:$H$405&gt;=$AQ2854))&gt;0)*(ROW(職員マスタ!$A$6:$A$405)-5))),IFERROR(MATCH($B2854,職員マスタ!$A$6:$A$405,0),"")))</f>
        <v/>
      </c>
      <c r="AQ2854" s="16">
        <f>IF(OR($B2854="",$C2854="",$D2854=""),"",DATE($C2854+2018,$D2854,1))</f>
        <v/>
      </c>
    </row>
    <row r="2855">
      <c r="A2855" s="11" t="n"/>
      <c r="B2855" s="12" t="n"/>
      <c r="C2855" s="12" t="n"/>
      <c r="D2855" s="12" t="n"/>
      <c r="E2855" s="13" t="n"/>
      <c r="F2855" s="12" t="n"/>
      <c r="G2855" s="13" t="n"/>
      <c r="H2855" s="12" t="n"/>
      <c r="I2855" s="12" t="n"/>
      <c r="J2855" s="12" t="n"/>
      <c r="K2855" s="12" t="n"/>
      <c r="L2855" s="11" t="n"/>
      <c r="M2855" s="11" t="n"/>
      <c r="N2855" s="11" t="n"/>
      <c r="O2855" s="11" t="n"/>
      <c r="P2855" s="12" t="n"/>
      <c r="Q2855" s="11" t="n"/>
      <c r="R2855" s="12" t="n"/>
      <c r="S2855" s="11" t="n"/>
      <c r="T2855" s="12" t="n"/>
      <c r="U2855" s="12" t="n"/>
      <c r="V2855" s="12" t="n"/>
      <c r="W2855" s="13" t="n"/>
      <c r="X2855" s="14">
        <f>IF($AP2855="",IF($B2855="","",$H2855),IF(INDEX(職員マスタ!$B$6:$B$405,$AP2855)="",$H2855,INDEX(職員マスタ!$B$6:$B$405,$AP2855)))</f>
        <v/>
      </c>
      <c r="Y2855" s="14">
        <f>IF($AP2855="",IF($B2855="","",$R2855),IF(INDEX(職員マスタ!$C$6:$C$405,$AP2855)="",$R2855,INDEX(職員マスタ!$C$6:$C$405,$AP2855)))</f>
        <v/>
      </c>
      <c r="Z2855" s="14">
        <f>IF($AQ2855="","","R"&amp;$C2855&amp;"."&amp;$D2855)</f>
        <v/>
      </c>
      <c r="AA2855" s="15">
        <f>IF(IF($AP2855="",FALSE,INDEX(職員マスタ!$K$6:$K$405,$AP2855)&lt;&gt;""),INDEX(職員マスタ!$K$6:$K$405,$AP2855),IF(N($W2855)&gt;0,$W2855,""))</f>
        <v/>
      </c>
      <c r="AB2855" s="14">
        <f>IF(OR($E2855="",$AA2855=""),"",IF($E2855&gt;=$AA2855,"×",IF($E2855&gt;=$AA2855*設定!$C$5,"△","○")))</f>
        <v/>
      </c>
      <c r="AC2855" s="15">
        <f>IF($AB2855="","",IF($AB2855="×",0,IF($AB2855="○",ROUNDDOWN($E2855*設定!$C$4,0),ROUNDDOWN($E2855*ROUND((9*$AA2855-9*$E2855)/(10*$E2855),4),0))))</f>
        <v/>
      </c>
      <c r="AD2855" s="13" t="n"/>
      <c r="AE2855" s="15">
        <f>IF($B2855="","",IF($AD2855&lt;&gt;"",$AD2855,IF($AC2855="","",IF($AC2855&lt;=設定!$C$3,0,$AC2855))))</f>
        <v/>
      </c>
      <c r="AF2855" s="14">
        <f>IF($B2855="","",IF(AND($AG2855&lt;&gt;"",$AI2855="",$AL2855=""),"保留中",IF($AL2855&lt;&gt;"",IF(N($AE2855)&gt;0,"支給済","不支給"),IF($AE2855="","要確認",IF($AE2855=0,"不支給","未処理")))))</f>
        <v/>
      </c>
      <c r="AG2855" s="12" t="n"/>
      <c r="AH2855" s="11" t="n"/>
      <c r="AI2855" s="11" t="n"/>
      <c r="AJ2855" s="11" t="n"/>
      <c r="AK2855" s="14">
        <f>IF(AND($AF2855="保留中",$AH2855&lt;&gt;""),TODAY()-$AH2855,"")</f>
        <v/>
      </c>
      <c r="AL2855" s="12" t="n"/>
      <c r="AM2855" s="14">
        <f>IF($B2855="","",IF($AQ2855="","対象年月が未入力／","")&amp;IF($B2855="","",IF($AP2855="","職員マスタに未登録の職員番号／",IF($AA2855="","標準報酬月額が未登録／","")&amp;IF(AND($AQ2855&lt;&gt;"",OR(AND(INDEX(職員マスタ!$G$6:$G$405,$AP2855)&lt;&gt;"",INDEX(職員マスタ!$G$6:$G$405,$AP2855)&gt;EOMONTH($AQ2855,0)),AND(INDEX(職員マスタ!$H$6:$H$405,$AP2855)&lt;&gt;"",INDEX(職員マスタ!$H$6:$H$405,$AP2855)&lt;$AQ2855))),"対象月が時短期間外／","")&amp;IF(AND(INDEX(職員マスタ!$K$6:$K$405,$AP2855)&lt;&gt;"",N($W2855)&gt;0,INDEX(職員マスタ!$K$6:$K$405,$AP2855)&lt;&gt;$W2855),"標準報酬月額が申請書と相違（台帳"&amp;TEXT(INDEX(職員マスタ!$K$6:$K$405,$AP2855),"#,##0")&amp;"円／申請書"&amp;TEXT($W2855,"#,##0")&amp;"円）／","")&amp;IF(AND(INDEX(職員マスタ!$F$6:$F$405,$AP2855)&lt;&gt;"",$AQ2855&lt;&gt;"",INDEX(職員マスタ!$F$6:$F$405,$AP2855)&lt;$AQ2855),"対象月に子が2歳到達済／","")&amp;IF(AND($H2855&lt;&gt;"",INDEX(職員マスタ!$B$6:$B$405,$AP2855)&lt;&gt;"",SUBSTITUTE(SUBSTITUTE($H2855," ","")," ","")&lt;&gt;SUBSTITUTE(SUBSTITUTE(INDEX(職員マスタ!$B$6:$B$405,$AP2855)," ","")," ","")),"氏名がマスタと相違／","")&amp;IF(AND($Q2855&lt;&gt;"",INDEX(職員マスタ!$E$6:$E$405,$AP2855)&lt;&gt;"",$Q2855&lt;&gt;INDEX(職員マスタ!$E$6:$E$405,$AP2855)),"子の生年月日がマスタと相違／","")&amp;IF(AND($L2855&lt;&gt;"",INDEX(職員マスタ!$G$6:$G$405,$AP2855)&lt;&gt;"",$L2855&lt;&gt;INDEX(職員マスタ!$G$6:$G$405,$AP2855)),"時短開始日がマスタと相違／","")&amp;IF(AND($M2855&lt;&gt;"",INDEX(職員マスタ!$H$6:$H$405,$AP2855)&lt;&gt;"",$M2855&lt;&gt;INDEX(職員マスタ!$H$6:$H$405,$AP2855)),"時短終了日がマスタと相違／","")))&amp;IF(AND($B2855&lt;&gt;"",$E2855=""),"報酬額が未入力／","")&amp;IF(N($U2855)&gt;0,"申請書に入力エラーが残っています／","")&amp;IF(AND($B2855&lt;&gt;"",$AQ2855&lt;&gt;""),IF(COUNTIFS($B$6:$B$3005,$B2855,$C$6:$C$3005,$C2855,$D$6:$D$3005,$D2855)&gt;1,"同じ月の請求が重複しています／",""),"")&amp;IF(AND(N($E2855)&gt;0,$AB2855&lt;&gt;"",$AB2855&lt;&gt;"×",$AE2855=0,$AD2855=""),"計算額が下限以下のため不支給／",""))</f>
        <v/>
      </c>
      <c r="AN2855" s="12" t="n"/>
      <c r="AO2855" s="14">
        <f>IF($AF2855="保留中",COUNTIF($AF$6:$AF2855,"保留中"),"")</f>
        <v/>
      </c>
      <c r="AP2855" s="14">
        <f>IF($AQ2855="","",IF(SUMPRODUCT(MAX((職員マスタ!$A$6:$A$405=$B2855)*(((職員マスタ!$G$6:$G$405="")+(職員マスタ!$G$6:$G$405&lt;=EOMONTH($AQ2855,0)))&gt;0)*(((職員マスタ!$H$6:$H$405="")+(職員マスタ!$H$6:$H$405&gt;=$AQ2855))&gt;0)*(ROW(職員マスタ!$A$6:$A$405)-5)))&gt;0,SUMPRODUCT(MAX((職員マスタ!$A$6:$A$405=$B2855)*(((職員マスタ!$G$6:$G$405="")+(職員マスタ!$G$6:$G$405&lt;=EOMONTH($AQ2855,0)))&gt;0)*(((職員マスタ!$H$6:$H$405="")+(職員マスタ!$H$6:$H$405&gt;=$AQ2855))&gt;0)*(ROW(職員マスタ!$A$6:$A$405)-5))),IFERROR(MATCH($B2855,職員マスタ!$A$6:$A$405,0),"")))</f>
        <v/>
      </c>
      <c r="AQ2855" s="16">
        <f>IF(OR($B2855="",$C2855="",$D2855=""),"",DATE($C2855+2018,$D2855,1))</f>
        <v/>
      </c>
    </row>
    <row r="2856">
      <c r="A2856" s="11" t="n"/>
      <c r="B2856" s="12" t="n"/>
      <c r="C2856" s="12" t="n"/>
      <c r="D2856" s="12" t="n"/>
      <c r="E2856" s="13" t="n"/>
      <c r="F2856" s="12" t="n"/>
      <c r="G2856" s="13" t="n"/>
      <c r="H2856" s="12" t="n"/>
      <c r="I2856" s="12" t="n"/>
      <c r="J2856" s="12" t="n"/>
      <c r="K2856" s="12" t="n"/>
      <c r="L2856" s="11" t="n"/>
      <c r="M2856" s="11" t="n"/>
      <c r="N2856" s="11" t="n"/>
      <c r="O2856" s="11" t="n"/>
      <c r="P2856" s="12" t="n"/>
      <c r="Q2856" s="11" t="n"/>
      <c r="R2856" s="12" t="n"/>
      <c r="S2856" s="11" t="n"/>
      <c r="T2856" s="12" t="n"/>
      <c r="U2856" s="12" t="n"/>
      <c r="V2856" s="12" t="n"/>
      <c r="W2856" s="13" t="n"/>
      <c r="X2856" s="14">
        <f>IF($AP2856="",IF($B2856="","",$H2856),IF(INDEX(職員マスタ!$B$6:$B$405,$AP2856)="",$H2856,INDEX(職員マスタ!$B$6:$B$405,$AP2856)))</f>
        <v/>
      </c>
      <c r="Y2856" s="14">
        <f>IF($AP2856="",IF($B2856="","",$R2856),IF(INDEX(職員マスタ!$C$6:$C$405,$AP2856)="",$R2856,INDEX(職員マスタ!$C$6:$C$405,$AP2856)))</f>
        <v/>
      </c>
      <c r="Z2856" s="14">
        <f>IF($AQ2856="","","R"&amp;$C2856&amp;"."&amp;$D2856)</f>
        <v/>
      </c>
      <c r="AA2856" s="15">
        <f>IF(IF($AP2856="",FALSE,INDEX(職員マスタ!$K$6:$K$405,$AP2856)&lt;&gt;""),INDEX(職員マスタ!$K$6:$K$405,$AP2856),IF(N($W2856)&gt;0,$W2856,""))</f>
        <v/>
      </c>
      <c r="AB2856" s="14">
        <f>IF(OR($E2856="",$AA2856=""),"",IF($E2856&gt;=$AA2856,"×",IF($E2856&gt;=$AA2856*設定!$C$5,"△","○")))</f>
        <v/>
      </c>
      <c r="AC2856" s="15">
        <f>IF($AB2856="","",IF($AB2856="×",0,IF($AB2856="○",ROUNDDOWN($E2856*設定!$C$4,0),ROUNDDOWN($E2856*ROUND((9*$AA2856-9*$E2856)/(10*$E2856),4),0))))</f>
        <v/>
      </c>
      <c r="AD2856" s="13" t="n"/>
      <c r="AE2856" s="15">
        <f>IF($B2856="","",IF($AD2856&lt;&gt;"",$AD2856,IF($AC2856="","",IF($AC2856&lt;=設定!$C$3,0,$AC2856))))</f>
        <v/>
      </c>
      <c r="AF2856" s="14">
        <f>IF($B2856="","",IF(AND($AG2856&lt;&gt;"",$AI2856="",$AL2856=""),"保留中",IF($AL2856&lt;&gt;"",IF(N($AE2856)&gt;0,"支給済","不支給"),IF($AE2856="","要確認",IF($AE2856=0,"不支給","未処理")))))</f>
        <v/>
      </c>
      <c r="AG2856" s="12" t="n"/>
      <c r="AH2856" s="11" t="n"/>
      <c r="AI2856" s="11" t="n"/>
      <c r="AJ2856" s="11" t="n"/>
      <c r="AK2856" s="14">
        <f>IF(AND($AF2856="保留中",$AH2856&lt;&gt;""),TODAY()-$AH2856,"")</f>
        <v/>
      </c>
      <c r="AL2856" s="12" t="n"/>
      <c r="AM2856" s="14">
        <f>IF($B2856="","",IF($AQ2856="","対象年月が未入力／","")&amp;IF($B2856="","",IF($AP2856="","職員マスタに未登録の職員番号／",IF($AA2856="","標準報酬月額が未登録／","")&amp;IF(AND($AQ2856&lt;&gt;"",OR(AND(INDEX(職員マスタ!$G$6:$G$405,$AP2856)&lt;&gt;"",INDEX(職員マスタ!$G$6:$G$405,$AP2856)&gt;EOMONTH($AQ2856,0)),AND(INDEX(職員マスタ!$H$6:$H$405,$AP2856)&lt;&gt;"",INDEX(職員マスタ!$H$6:$H$405,$AP2856)&lt;$AQ2856))),"対象月が時短期間外／","")&amp;IF(AND(INDEX(職員マスタ!$K$6:$K$405,$AP2856)&lt;&gt;"",N($W2856)&gt;0,INDEX(職員マスタ!$K$6:$K$405,$AP2856)&lt;&gt;$W2856),"標準報酬月額が申請書と相違（台帳"&amp;TEXT(INDEX(職員マスタ!$K$6:$K$405,$AP2856),"#,##0")&amp;"円／申請書"&amp;TEXT($W2856,"#,##0")&amp;"円）／","")&amp;IF(AND(INDEX(職員マスタ!$F$6:$F$405,$AP2856)&lt;&gt;"",$AQ2856&lt;&gt;"",INDEX(職員マスタ!$F$6:$F$405,$AP2856)&lt;$AQ2856),"対象月に子が2歳到達済／","")&amp;IF(AND($H2856&lt;&gt;"",INDEX(職員マスタ!$B$6:$B$405,$AP2856)&lt;&gt;"",SUBSTITUTE(SUBSTITUTE($H2856," ","")," ","")&lt;&gt;SUBSTITUTE(SUBSTITUTE(INDEX(職員マスタ!$B$6:$B$405,$AP2856)," ","")," ","")),"氏名がマスタと相違／","")&amp;IF(AND($Q2856&lt;&gt;"",INDEX(職員マスタ!$E$6:$E$405,$AP2856)&lt;&gt;"",$Q2856&lt;&gt;INDEX(職員マスタ!$E$6:$E$405,$AP2856)),"子の生年月日がマスタと相違／","")&amp;IF(AND($L2856&lt;&gt;"",INDEX(職員マスタ!$G$6:$G$405,$AP2856)&lt;&gt;"",$L2856&lt;&gt;INDEX(職員マスタ!$G$6:$G$405,$AP2856)),"時短開始日がマスタと相違／","")&amp;IF(AND($M2856&lt;&gt;"",INDEX(職員マスタ!$H$6:$H$405,$AP2856)&lt;&gt;"",$M2856&lt;&gt;INDEX(職員マスタ!$H$6:$H$405,$AP2856)),"時短終了日がマスタと相違／","")))&amp;IF(AND($B2856&lt;&gt;"",$E2856=""),"報酬額が未入力／","")&amp;IF(N($U2856)&gt;0,"申請書に入力エラーが残っています／","")&amp;IF(AND($B2856&lt;&gt;"",$AQ2856&lt;&gt;""),IF(COUNTIFS($B$6:$B$3005,$B2856,$C$6:$C$3005,$C2856,$D$6:$D$3005,$D2856)&gt;1,"同じ月の請求が重複しています／",""),"")&amp;IF(AND(N($E2856)&gt;0,$AB2856&lt;&gt;"",$AB2856&lt;&gt;"×",$AE2856=0,$AD2856=""),"計算額が下限以下のため不支給／",""))</f>
        <v/>
      </c>
      <c r="AN2856" s="12" t="n"/>
      <c r="AO2856" s="14">
        <f>IF($AF2856="保留中",COUNTIF($AF$6:$AF2856,"保留中"),"")</f>
        <v/>
      </c>
      <c r="AP2856" s="14">
        <f>IF($AQ2856="","",IF(SUMPRODUCT(MAX((職員マスタ!$A$6:$A$405=$B2856)*(((職員マスタ!$G$6:$G$405="")+(職員マスタ!$G$6:$G$405&lt;=EOMONTH($AQ2856,0)))&gt;0)*(((職員マスタ!$H$6:$H$405="")+(職員マスタ!$H$6:$H$405&gt;=$AQ2856))&gt;0)*(ROW(職員マスタ!$A$6:$A$405)-5)))&gt;0,SUMPRODUCT(MAX((職員マスタ!$A$6:$A$405=$B2856)*(((職員マスタ!$G$6:$G$405="")+(職員マスタ!$G$6:$G$405&lt;=EOMONTH($AQ2856,0)))&gt;0)*(((職員マスタ!$H$6:$H$405="")+(職員マスタ!$H$6:$H$405&gt;=$AQ2856))&gt;0)*(ROW(職員マスタ!$A$6:$A$405)-5))),IFERROR(MATCH($B2856,職員マスタ!$A$6:$A$405,0),"")))</f>
        <v/>
      </c>
      <c r="AQ2856" s="16">
        <f>IF(OR($B2856="",$C2856="",$D2856=""),"",DATE($C2856+2018,$D2856,1))</f>
        <v/>
      </c>
    </row>
    <row r="2857">
      <c r="A2857" s="11" t="n"/>
      <c r="B2857" s="12" t="n"/>
      <c r="C2857" s="12" t="n"/>
      <c r="D2857" s="12" t="n"/>
      <c r="E2857" s="13" t="n"/>
      <c r="F2857" s="12" t="n"/>
      <c r="G2857" s="13" t="n"/>
      <c r="H2857" s="12" t="n"/>
      <c r="I2857" s="12" t="n"/>
      <c r="J2857" s="12" t="n"/>
      <c r="K2857" s="12" t="n"/>
      <c r="L2857" s="11" t="n"/>
      <c r="M2857" s="11" t="n"/>
      <c r="N2857" s="11" t="n"/>
      <c r="O2857" s="11" t="n"/>
      <c r="P2857" s="12" t="n"/>
      <c r="Q2857" s="11" t="n"/>
      <c r="R2857" s="12" t="n"/>
      <c r="S2857" s="11" t="n"/>
      <c r="T2857" s="12" t="n"/>
      <c r="U2857" s="12" t="n"/>
      <c r="V2857" s="12" t="n"/>
      <c r="W2857" s="13" t="n"/>
      <c r="X2857" s="14">
        <f>IF($AP2857="",IF($B2857="","",$H2857),IF(INDEX(職員マスタ!$B$6:$B$405,$AP2857)="",$H2857,INDEX(職員マスタ!$B$6:$B$405,$AP2857)))</f>
        <v/>
      </c>
      <c r="Y2857" s="14">
        <f>IF($AP2857="",IF($B2857="","",$R2857),IF(INDEX(職員マスタ!$C$6:$C$405,$AP2857)="",$R2857,INDEX(職員マスタ!$C$6:$C$405,$AP2857)))</f>
        <v/>
      </c>
      <c r="Z2857" s="14">
        <f>IF($AQ2857="","","R"&amp;$C2857&amp;"."&amp;$D2857)</f>
        <v/>
      </c>
      <c r="AA2857" s="15">
        <f>IF(IF($AP2857="",FALSE,INDEX(職員マスタ!$K$6:$K$405,$AP2857)&lt;&gt;""),INDEX(職員マスタ!$K$6:$K$405,$AP2857),IF(N($W2857)&gt;0,$W2857,""))</f>
        <v/>
      </c>
      <c r="AB2857" s="14">
        <f>IF(OR($E2857="",$AA2857=""),"",IF($E2857&gt;=$AA2857,"×",IF($E2857&gt;=$AA2857*設定!$C$5,"△","○")))</f>
        <v/>
      </c>
      <c r="AC2857" s="15">
        <f>IF($AB2857="","",IF($AB2857="×",0,IF($AB2857="○",ROUNDDOWN($E2857*設定!$C$4,0),ROUNDDOWN($E2857*ROUND((9*$AA2857-9*$E2857)/(10*$E2857),4),0))))</f>
        <v/>
      </c>
      <c r="AD2857" s="13" t="n"/>
      <c r="AE2857" s="15">
        <f>IF($B2857="","",IF($AD2857&lt;&gt;"",$AD2857,IF($AC2857="","",IF($AC2857&lt;=設定!$C$3,0,$AC2857))))</f>
        <v/>
      </c>
      <c r="AF2857" s="14">
        <f>IF($B2857="","",IF(AND($AG2857&lt;&gt;"",$AI2857="",$AL2857=""),"保留中",IF($AL2857&lt;&gt;"",IF(N($AE2857)&gt;0,"支給済","不支給"),IF($AE2857="","要確認",IF($AE2857=0,"不支給","未処理")))))</f>
        <v/>
      </c>
      <c r="AG2857" s="12" t="n"/>
      <c r="AH2857" s="11" t="n"/>
      <c r="AI2857" s="11" t="n"/>
      <c r="AJ2857" s="11" t="n"/>
      <c r="AK2857" s="14">
        <f>IF(AND($AF2857="保留中",$AH2857&lt;&gt;""),TODAY()-$AH2857,"")</f>
        <v/>
      </c>
      <c r="AL2857" s="12" t="n"/>
      <c r="AM2857" s="14">
        <f>IF($B2857="","",IF($AQ2857="","対象年月が未入力／","")&amp;IF($B2857="","",IF($AP2857="","職員マスタに未登録の職員番号／",IF($AA2857="","標準報酬月額が未登録／","")&amp;IF(AND($AQ2857&lt;&gt;"",OR(AND(INDEX(職員マスタ!$G$6:$G$405,$AP2857)&lt;&gt;"",INDEX(職員マスタ!$G$6:$G$405,$AP2857)&gt;EOMONTH($AQ2857,0)),AND(INDEX(職員マスタ!$H$6:$H$405,$AP2857)&lt;&gt;"",INDEX(職員マスタ!$H$6:$H$405,$AP2857)&lt;$AQ2857))),"対象月が時短期間外／","")&amp;IF(AND(INDEX(職員マスタ!$K$6:$K$405,$AP2857)&lt;&gt;"",N($W2857)&gt;0,INDEX(職員マスタ!$K$6:$K$405,$AP2857)&lt;&gt;$W2857),"標準報酬月額が申請書と相違（台帳"&amp;TEXT(INDEX(職員マスタ!$K$6:$K$405,$AP2857),"#,##0")&amp;"円／申請書"&amp;TEXT($W2857,"#,##0")&amp;"円）／","")&amp;IF(AND(INDEX(職員マスタ!$F$6:$F$405,$AP2857)&lt;&gt;"",$AQ2857&lt;&gt;"",INDEX(職員マスタ!$F$6:$F$405,$AP2857)&lt;$AQ2857),"対象月に子が2歳到達済／","")&amp;IF(AND($H2857&lt;&gt;"",INDEX(職員マスタ!$B$6:$B$405,$AP2857)&lt;&gt;"",SUBSTITUTE(SUBSTITUTE($H2857," ","")," ","")&lt;&gt;SUBSTITUTE(SUBSTITUTE(INDEX(職員マスタ!$B$6:$B$405,$AP2857)," ","")," ","")),"氏名がマスタと相違／","")&amp;IF(AND($Q2857&lt;&gt;"",INDEX(職員マスタ!$E$6:$E$405,$AP2857)&lt;&gt;"",$Q2857&lt;&gt;INDEX(職員マスタ!$E$6:$E$405,$AP2857)),"子の生年月日がマスタと相違／","")&amp;IF(AND($L2857&lt;&gt;"",INDEX(職員マスタ!$G$6:$G$405,$AP2857)&lt;&gt;"",$L2857&lt;&gt;INDEX(職員マスタ!$G$6:$G$405,$AP2857)),"時短開始日がマスタと相違／","")&amp;IF(AND($M2857&lt;&gt;"",INDEX(職員マスタ!$H$6:$H$405,$AP2857)&lt;&gt;"",$M2857&lt;&gt;INDEX(職員マスタ!$H$6:$H$405,$AP2857)),"時短終了日がマスタと相違／","")))&amp;IF(AND($B2857&lt;&gt;"",$E2857=""),"報酬額が未入力／","")&amp;IF(N($U2857)&gt;0,"申請書に入力エラーが残っています／","")&amp;IF(AND($B2857&lt;&gt;"",$AQ2857&lt;&gt;""),IF(COUNTIFS($B$6:$B$3005,$B2857,$C$6:$C$3005,$C2857,$D$6:$D$3005,$D2857)&gt;1,"同じ月の請求が重複しています／",""),"")&amp;IF(AND(N($E2857)&gt;0,$AB2857&lt;&gt;"",$AB2857&lt;&gt;"×",$AE2857=0,$AD2857=""),"計算額が下限以下のため不支給／",""))</f>
        <v/>
      </c>
      <c r="AN2857" s="12" t="n"/>
      <c r="AO2857" s="14">
        <f>IF($AF2857="保留中",COUNTIF($AF$6:$AF2857,"保留中"),"")</f>
        <v/>
      </c>
      <c r="AP2857" s="14">
        <f>IF($AQ2857="","",IF(SUMPRODUCT(MAX((職員マスタ!$A$6:$A$405=$B2857)*(((職員マスタ!$G$6:$G$405="")+(職員マスタ!$G$6:$G$405&lt;=EOMONTH($AQ2857,0)))&gt;0)*(((職員マスタ!$H$6:$H$405="")+(職員マスタ!$H$6:$H$405&gt;=$AQ2857))&gt;0)*(ROW(職員マスタ!$A$6:$A$405)-5)))&gt;0,SUMPRODUCT(MAX((職員マスタ!$A$6:$A$405=$B2857)*(((職員マスタ!$G$6:$G$405="")+(職員マスタ!$G$6:$G$405&lt;=EOMONTH($AQ2857,0)))&gt;0)*(((職員マスタ!$H$6:$H$405="")+(職員マスタ!$H$6:$H$405&gt;=$AQ2857))&gt;0)*(ROW(職員マスタ!$A$6:$A$405)-5))),IFERROR(MATCH($B2857,職員マスタ!$A$6:$A$405,0),"")))</f>
        <v/>
      </c>
      <c r="AQ2857" s="16">
        <f>IF(OR($B2857="",$C2857="",$D2857=""),"",DATE($C2857+2018,$D2857,1))</f>
        <v/>
      </c>
    </row>
    <row r="2858">
      <c r="A2858" s="11" t="n"/>
      <c r="B2858" s="12" t="n"/>
      <c r="C2858" s="12" t="n"/>
      <c r="D2858" s="12" t="n"/>
      <c r="E2858" s="13" t="n"/>
      <c r="F2858" s="12" t="n"/>
      <c r="G2858" s="13" t="n"/>
      <c r="H2858" s="12" t="n"/>
      <c r="I2858" s="12" t="n"/>
      <c r="J2858" s="12" t="n"/>
      <c r="K2858" s="12" t="n"/>
      <c r="L2858" s="11" t="n"/>
      <c r="M2858" s="11" t="n"/>
      <c r="N2858" s="11" t="n"/>
      <c r="O2858" s="11" t="n"/>
      <c r="P2858" s="12" t="n"/>
      <c r="Q2858" s="11" t="n"/>
      <c r="R2858" s="12" t="n"/>
      <c r="S2858" s="11" t="n"/>
      <c r="T2858" s="12" t="n"/>
      <c r="U2858" s="12" t="n"/>
      <c r="V2858" s="12" t="n"/>
      <c r="W2858" s="13" t="n"/>
      <c r="X2858" s="14">
        <f>IF($AP2858="",IF($B2858="","",$H2858),IF(INDEX(職員マスタ!$B$6:$B$405,$AP2858)="",$H2858,INDEX(職員マスタ!$B$6:$B$405,$AP2858)))</f>
        <v/>
      </c>
      <c r="Y2858" s="14">
        <f>IF($AP2858="",IF($B2858="","",$R2858),IF(INDEX(職員マスタ!$C$6:$C$405,$AP2858)="",$R2858,INDEX(職員マスタ!$C$6:$C$405,$AP2858)))</f>
        <v/>
      </c>
      <c r="Z2858" s="14">
        <f>IF($AQ2858="","","R"&amp;$C2858&amp;"."&amp;$D2858)</f>
        <v/>
      </c>
      <c r="AA2858" s="15">
        <f>IF(IF($AP2858="",FALSE,INDEX(職員マスタ!$K$6:$K$405,$AP2858)&lt;&gt;""),INDEX(職員マスタ!$K$6:$K$405,$AP2858),IF(N($W2858)&gt;0,$W2858,""))</f>
        <v/>
      </c>
      <c r="AB2858" s="14">
        <f>IF(OR($E2858="",$AA2858=""),"",IF($E2858&gt;=$AA2858,"×",IF($E2858&gt;=$AA2858*設定!$C$5,"△","○")))</f>
        <v/>
      </c>
      <c r="AC2858" s="15">
        <f>IF($AB2858="","",IF($AB2858="×",0,IF($AB2858="○",ROUNDDOWN($E2858*設定!$C$4,0),ROUNDDOWN($E2858*ROUND((9*$AA2858-9*$E2858)/(10*$E2858),4),0))))</f>
        <v/>
      </c>
      <c r="AD2858" s="13" t="n"/>
      <c r="AE2858" s="15">
        <f>IF($B2858="","",IF($AD2858&lt;&gt;"",$AD2858,IF($AC2858="","",IF($AC2858&lt;=設定!$C$3,0,$AC2858))))</f>
        <v/>
      </c>
      <c r="AF2858" s="14">
        <f>IF($B2858="","",IF(AND($AG2858&lt;&gt;"",$AI2858="",$AL2858=""),"保留中",IF($AL2858&lt;&gt;"",IF(N($AE2858)&gt;0,"支給済","不支給"),IF($AE2858="","要確認",IF($AE2858=0,"不支給","未処理")))))</f>
        <v/>
      </c>
      <c r="AG2858" s="12" t="n"/>
      <c r="AH2858" s="11" t="n"/>
      <c r="AI2858" s="11" t="n"/>
      <c r="AJ2858" s="11" t="n"/>
      <c r="AK2858" s="14">
        <f>IF(AND($AF2858="保留中",$AH2858&lt;&gt;""),TODAY()-$AH2858,"")</f>
        <v/>
      </c>
      <c r="AL2858" s="12" t="n"/>
      <c r="AM2858" s="14">
        <f>IF($B2858="","",IF($AQ2858="","対象年月が未入力／","")&amp;IF($B2858="","",IF($AP2858="","職員マスタに未登録の職員番号／",IF($AA2858="","標準報酬月額が未登録／","")&amp;IF(AND($AQ2858&lt;&gt;"",OR(AND(INDEX(職員マスタ!$G$6:$G$405,$AP2858)&lt;&gt;"",INDEX(職員マスタ!$G$6:$G$405,$AP2858)&gt;EOMONTH($AQ2858,0)),AND(INDEX(職員マスタ!$H$6:$H$405,$AP2858)&lt;&gt;"",INDEX(職員マスタ!$H$6:$H$405,$AP2858)&lt;$AQ2858))),"対象月が時短期間外／","")&amp;IF(AND(INDEX(職員マスタ!$K$6:$K$405,$AP2858)&lt;&gt;"",N($W2858)&gt;0,INDEX(職員マスタ!$K$6:$K$405,$AP2858)&lt;&gt;$W2858),"標準報酬月額が申請書と相違（台帳"&amp;TEXT(INDEX(職員マスタ!$K$6:$K$405,$AP2858),"#,##0")&amp;"円／申請書"&amp;TEXT($W2858,"#,##0")&amp;"円）／","")&amp;IF(AND(INDEX(職員マスタ!$F$6:$F$405,$AP2858)&lt;&gt;"",$AQ2858&lt;&gt;"",INDEX(職員マスタ!$F$6:$F$405,$AP2858)&lt;$AQ2858),"対象月に子が2歳到達済／","")&amp;IF(AND($H2858&lt;&gt;"",INDEX(職員マスタ!$B$6:$B$405,$AP2858)&lt;&gt;"",SUBSTITUTE(SUBSTITUTE($H2858," ","")," ","")&lt;&gt;SUBSTITUTE(SUBSTITUTE(INDEX(職員マスタ!$B$6:$B$405,$AP2858)," ","")," ","")),"氏名がマスタと相違／","")&amp;IF(AND($Q2858&lt;&gt;"",INDEX(職員マスタ!$E$6:$E$405,$AP2858)&lt;&gt;"",$Q2858&lt;&gt;INDEX(職員マスタ!$E$6:$E$405,$AP2858)),"子の生年月日がマスタと相違／","")&amp;IF(AND($L2858&lt;&gt;"",INDEX(職員マスタ!$G$6:$G$405,$AP2858)&lt;&gt;"",$L2858&lt;&gt;INDEX(職員マスタ!$G$6:$G$405,$AP2858)),"時短開始日がマスタと相違／","")&amp;IF(AND($M2858&lt;&gt;"",INDEX(職員マスタ!$H$6:$H$405,$AP2858)&lt;&gt;"",$M2858&lt;&gt;INDEX(職員マスタ!$H$6:$H$405,$AP2858)),"時短終了日がマスタと相違／","")))&amp;IF(AND($B2858&lt;&gt;"",$E2858=""),"報酬額が未入力／","")&amp;IF(N($U2858)&gt;0,"申請書に入力エラーが残っています／","")&amp;IF(AND($B2858&lt;&gt;"",$AQ2858&lt;&gt;""),IF(COUNTIFS($B$6:$B$3005,$B2858,$C$6:$C$3005,$C2858,$D$6:$D$3005,$D2858)&gt;1,"同じ月の請求が重複しています／",""),"")&amp;IF(AND(N($E2858)&gt;0,$AB2858&lt;&gt;"",$AB2858&lt;&gt;"×",$AE2858=0,$AD2858=""),"計算額が下限以下のため不支給／",""))</f>
        <v/>
      </c>
      <c r="AN2858" s="12" t="n"/>
      <c r="AO2858" s="14">
        <f>IF($AF2858="保留中",COUNTIF($AF$6:$AF2858,"保留中"),"")</f>
        <v/>
      </c>
      <c r="AP2858" s="14">
        <f>IF($AQ2858="","",IF(SUMPRODUCT(MAX((職員マスタ!$A$6:$A$405=$B2858)*(((職員マスタ!$G$6:$G$405="")+(職員マスタ!$G$6:$G$405&lt;=EOMONTH($AQ2858,0)))&gt;0)*(((職員マスタ!$H$6:$H$405="")+(職員マスタ!$H$6:$H$405&gt;=$AQ2858))&gt;0)*(ROW(職員マスタ!$A$6:$A$405)-5)))&gt;0,SUMPRODUCT(MAX((職員マスタ!$A$6:$A$405=$B2858)*(((職員マスタ!$G$6:$G$405="")+(職員マスタ!$G$6:$G$405&lt;=EOMONTH($AQ2858,0)))&gt;0)*(((職員マスタ!$H$6:$H$405="")+(職員マスタ!$H$6:$H$405&gt;=$AQ2858))&gt;0)*(ROW(職員マスタ!$A$6:$A$405)-5))),IFERROR(MATCH($B2858,職員マスタ!$A$6:$A$405,0),"")))</f>
        <v/>
      </c>
      <c r="AQ2858" s="16">
        <f>IF(OR($B2858="",$C2858="",$D2858=""),"",DATE($C2858+2018,$D2858,1))</f>
        <v/>
      </c>
    </row>
    <row r="2859">
      <c r="A2859" s="11" t="n"/>
      <c r="B2859" s="12" t="n"/>
      <c r="C2859" s="12" t="n"/>
      <c r="D2859" s="12" t="n"/>
      <c r="E2859" s="13" t="n"/>
      <c r="F2859" s="12" t="n"/>
      <c r="G2859" s="13" t="n"/>
      <c r="H2859" s="12" t="n"/>
      <c r="I2859" s="12" t="n"/>
      <c r="J2859" s="12" t="n"/>
      <c r="K2859" s="12" t="n"/>
      <c r="L2859" s="11" t="n"/>
      <c r="M2859" s="11" t="n"/>
      <c r="N2859" s="11" t="n"/>
      <c r="O2859" s="11" t="n"/>
      <c r="P2859" s="12" t="n"/>
      <c r="Q2859" s="11" t="n"/>
      <c r="R2859" s="12" t="n"/>
      <c r="S2859" s="11" t="n"/>
      <c r="T2859" s="12" t="n"/>
      <c r="U2859" s="12" t="n"/>
      <c r="V2859" s="12" t="n"/>
      <c r="W2859" s="13" t="n"/>
      <c r="X2859" s="14">
        <f>IF($AP2859="",IF($B2859="","",$H2859),IF(INDEX(職員マスタ!$B$6:$B$405,$AP2859)="",$H2859,INDEX(職員マスタ!$B$6:$B$405,$AP2859)))</f>
        <v/>
      </c>
      <c r="Y2859" s="14">
        <f>IF($AP2859="",IF($B2859="","",$R2859),IF(INDEX(職員マスタ!$C$6:$C$405,$AP2859)="",$R2859,INDEX(職員マスタ!$C$6:$C$405,$AP2859)))</f>
        <v/>
      </c>
      <c r="Z2859" s="14">
        <f>IF($AQ2859="","","R"&amp;$C2859&amp;"."&amp;$D2859)</f>
        <v/>
      </c>
      <c r="AA2859" s="15">
        <f>IF(IF($AP2859="",FALSE,INDEX(職員マスタ!$K$6:$K$405,$AP2859)&lt;&gt;""),INDEX(職員マスタ!$K$6:$K$405,$AP2859),IF(N($W2859)&gt;0,$W2859,""))</f>
        <v/>
      </c>
      <c r="AB2859" s="14">
        <f>IF(OR($E2859="",$AA2859=""),"",IF($E2859&gt;=$AA2859,"×",IF($E2859&gt;=$AA2859*設定!$C$5,"△","○")))</f>
        <v/>
      </c>
      <c r="AC2859" s="15">
        <f>IF($AB2859="","",IF($AB2859="×",0,IF($AB2859="○",ROUNDDOWN($E2859*設定!$C$4,0),ROUNDDOWN($E2859*ROUND((9*$AA2859-9*$E2859)/(10*$E2859),4),0))))</f>
        <v/>
      </c>
      <c r="AD2859" s="13" t="n"/>
      <c r="AE2859" s="15">
        <f>IF($B2859="","",IF($AD2859&lt;&gt;"",$AD2859,IF($AC2859="","",IF($AC2859&lt;=設定!$C$3,0,$AC2859))))</f>
        <v/>
      </c>
      <c r="AF2859" s="14">
        <f>IF($B2859="","",IF(AND($AG2859&lt;&gt;"",$AI2859="",$AL2859=""),"保留中",IF($AL2859&lt;&gt;"",IF(N($AE2859)&gt;0,"支給済","不支給"),IF($AE2859="","要確認",IF($AE2859=0,"不支給","未処理")))))</f>
        <v/>
      </c>
      <c r="AG2859" s="12" t="n"/>
      <c r="AH2859" s="11" t="n"/>
      <c r="AI2859" s="11" t="n"/>
      <c r="AJ2859" s="11" t="n"/>
      <c r="AK2859" s="14">
        <f>IF(AND($AF2859="保留中",$AH2859&lt;&gt;""),TODAY()-$AH2859,"")</f>
        <v/>
      </c>
      <c r="AL2859" s="12" t="n"/>
      <c r="AM2859" s="14">
        <f>IF($B2859="","",IF($AQ2859="","対象年月が未入力／","")&amp;IF($B2859="","",IF($AP2859="","職員マスタに未登録の職員番号／",IF($AA2859="","標準報酬月額が未登録／","")&amp;IF(AND($AQ2859&lt;&gt;"",OR(AND(INDEX(職員マスタ!$G$6:$G$405,$AP2859)&lt;&gt;"",INDEX(職員マスタ!$G$6:$G$405,$AP2859)&gt;EOMONTH($AQ2859,0)),AND(INDEX(職員マスタ!$H$6:$H$405,$AP2859)&lt;&gt;"",INDEX(職員マスタ!$H$6:$H$405,$AP2859)&lt;$AQ2859))),"対象月が時短期間外／","")&amp;IF(AND(INDEX(職員マスタ!$K$6:$K$405,$AP2859)&lt;&gt;"",N($W2859)&gt;0,INDEX(職員マスタ!$K$6:$K$405,$AP2859)&lt;&gt;$W2859),"標準報酬月額が申請書と相違（台帳"&amp;TEXT(INDEX(職員マスタ!$K$6:$K$405,$AP2859),"#,##0")&amp;"円／申請書"&amp;TEXT($W2859,"#,##0")&amp;"円）／","")&amp;IF(AND(INDEX(職員マスタ!$F$6:$F$405,$AP2859)&lt;&gt;"",$AQ2859&lt;&gt;"",INDEX(職員マスタ!$F$6:$F$405,$AP2859)&lt;$AQ2859),"対象月に子が2歳到達済／","")&amp;IF(AND($H2859&lt;&gt;"",INDEX(職員マスタ!$B$6:$B$405,$AP2859)&lt;&gt;"",SUBSTITUTE(SUBSTITUTE($H2859," ","")," ","")&lt;&gt;SUBSTITUTE(SUBSTITUTE(INDEX(職員マスタ!$B$6:$B$405,$AP2859)," ","")," ","")),"氏名がマスタと相違／","")&amp;IF(AND($Q2859&lt;&gt;"",INDEX(職員マスタ!$E$6:$E$405,$AP2859)&lt;&gt;"",$Q2859&lt;&gt;INDEX(職員マスタ!$E$6:$E$405,$AP2859)),"子の生年月日がマスタと相違／","")&amp;IF(AND($L2859&lt;&gt;"",INDEX(職員マスタ!$G$6:$G$405,$AP2859)&lt;&gt;"",$L2859&lt;&gt;INDEX(職員マスタ!$G$6:$G$405,$AP2859)),"時短開始日がマスタと相違／","")&amp;IF(AND($M2859&lt;&gt;"",INDEX(職員マスタ!$H$6:$H$405,$AP2859)&lt;&gt;"",$M2859&lt;&gt;INDEX(職員マスタ!$H$6:$H$405,$AP2859)),"時短終了日がマスタと相違／","")))&amp;IF(AND($B2859&lt;&gt;"",$E2859=""),"報酬額が未入力／","")&amp;IF(N($U2859)&gt;0,"申請書に入力エラーが残っています／","")&amp;IF(AND($B2859&lt;&gt;"",$AQ2859&lt;&gt;""),IF(COUNTIFS($B$6:$B$3005,$B2859,$C$6:$C$3005,$C2859,$D$6:$D$3005,$D2859)&gt;1,"同じ月の請求が重複しています／",""),"")&amp;IF(AND(N($E2859)&gt;0,$AB2859&lt;&gt;"",$AB2859&lt;&gt;"×",$AE2859=0,$AD2859=""),"計算額が下限以下のため不支給／",""))</f>
        <v/>
      </c>
      <c r="AN2859" s="12" t="n"/>
      <c r="AO2859" s="14">
        <f>IF($AF2859="保留中",COUNTIF($AF$6:$AF2859,"保留中"),"")</f>
        <v/>
      </c>
      <c r="AP2859" s="14">
        <f>IF($AQ2859="","",IF(SUMPRODUCT(MAX((職員マスタ!$A$6:$A$405=$B2859)*(((職員マスタ!$G$6:$G$405="")+(職員マスタ!$G$6:$G$405&lt;=EOMONTH($AQ2859,0)))&gt;0)*(((職員マスタ!$H$6:$H$405="")+(職員マスタ!$H$6:$H$405&gt;=$AQ2859))&gt;0)*(ROW(職員マスタ!$A$6:$A$405)-5)))&gt;0,SUMPRODUCT(MAX((職員マスタ!$A$6:$A$405=$B2859)*(((職員マスタ!$G$6:$G$405="")+(職員マスタ!$G$6:$G$405&lt;=EOMONTH($AQ2859,0)))&gt;0)*(((職員マスタ!$H$6:$H$405="")+(職員マスタ!$H$6:$H$405&gt;=$AQ2859))&gt;0)*(ROW(職員マスタ!$A$6:$A$405)-5))),IFERROR(MATCH($B2859,職員マスタ!$A$6:$A$405,0),"")))</f>
        <v/>
      </c>
      <c r="AQ2859" s="16">
        <f>IF(OR($B2859="",$C2859="",$D2859=""),"",DATE($C2859+2018,$D2859,1))</f>
        <v/>
      </c>
    </row>
    <row r="2860">
      <c r="A2860" s="11" t="n"/>
      <c r="B2860" s="12" t="n"/>
      <c r="C2860" s="12" t="n"/>
      <c r="D2860" s="12" t="n"/>
      <c r="E2860" s="13" t="n"/>
      <c r="F2860" s="12" t="n"/>
      <c r="G2860" s="13" t="n"/>
      <c r="H2860" s="12" t="n"/>
      <c r="I2860" s="12" t="n"/>
      <c r="J2860" s="12" t="n"/>
      <c r="K2860" s="12" t="n"/>
      <c r="L2860" s="11" t="n"/>
      <c r="M2860" s="11" t="n"/>
      <c r="N2860" s="11" t="n"/>
      <c r="O2860" s="11" t="n"/>
      <c r="P2860" s="12" t="n"/>
      <c r="Q2860" s="11" t="n"/>
      <c r="R2860" s="12" t="n"/>
      <c r="S2860" s="11" t="n"/>
      <c r="T2860" s="12" t="n"/>
      <c r="U2860" s="12" t="n"/>
      <c r="V2860" s="12" t="n"/>
      <c r="W2860" s="13" t="n"/>
      <c r="X2860" s="14">
        <f>IF($AP2860="",IF($B2860="","",$H2860),IF(INDEX(職員マスタ!$B$6:$B$405,$AP2860)="",$H2860,INDEX(職員マスタ!$B$6:$B$405,$AP2860)))</f>
        <v/>
      </c>
      <c r="Y2860" s="14">
        <f>IF($AP2860="",IF($B2860="","",$R2860),IF(INDEX(職員マスタ!$C$6:$C$405,$AP2860)="",$R2860,INDEX(職員マスタ!$C$6:$C$405,$AP2860)))</f>
        <v/>
      </c>
      <c r="Z2860" s="14">
        <f>IF($AQ2860="","","R"&amp;$C2860&amp;"."&amp;$D2860)</f>
        <v/>
      </c>
      <c r="AA2860" s="15">
        <f>IF(IF($AP2860="",FALSE,INDEX(職員マスタ!$K$6:$K$405,$AP2860)&lt;&gt;""),INDEX(職員マスタ!$K$6:$K$405,$AP2860),IF(N($W2860)&gt;0,$W2860,""))</f>
        <v/>
      </c>
      <c r="AB2860" s="14">
        <f>IF(OR($E2860="",$AA2860=""),"",IF($E2860&gt;=$AA2860,"×",IF($E2860&gt;=$AA2860*設定!$C$5,"△","○")))</f>
        <v/>
      </c>
      <c r="AC2860" s="15">
        <f>IF($AB2860="","",IF($AB2860="×",0,IF($AB2860="○",ROUNDDOWN($E2860*設定!$C$4,0),ROUNDDOWN($E2860*ROUND((9*$AA2860-9*$E2860)/(10*$E2860),4),0))))</f>
        <v/>
      </c>
      <c r="AD2860" s="13" t="n"/>
      <c r="AE2860" s="15">
        <f>IF($B2860="","",IF($AD2860&lt;&gt;"",$AD2860,IF($AC2860="","",IF($AC2860&lt;=設定!$C$3,0,$AC2860))))</f>
        <v/>
      </c>
      <c r="AF2860" s="14">
        <f>IF($B2860="","",IF(AND($AG2860&lt;&gt;"",$AI2860="",$AL2860=""),"保留中",IF($AL2860&lt;&gt;"",IF(N($AE2860)&gt;0,"支給済","不支給"),IF($AE2860="","要確認",IF($AE2860=0,"不支給","未処理")))))</f>
        <v/>
      </c>
      <c r="AG2860" s="12" t="n"/>
      <c r="AH2860" s="11" t="n"/>
      <c r="AI2860" s="11" t="n"/>
      <c r="AJ2860" s="11" t="n"/>
      <c r="AK2860" s="14">
        <f>IF(AND($AF2860="保留中",$AH2860&lt;&gt;""),TODAY()-$AH2860,"")</f>
        <v/>
      </c>
      <c r="AL2860" s="12" t="n"/>
      <c r="AM2860" s="14">
        <f>IF($B2860="","",IF($AQ2860="","対象年月が未入力／","")&amp;IF($B2860="","",IF($AP2860="","職員マスタに未登録の職員番号／",IF($AA2860="","標準報酬月額が未登録／","")&amp;IF(AND($AQ2860&lt;&gt;"",OR(AND(INDEX(職員マスタ!$G$6:$G$405,$AP2860)&lt;&gt;"",INDEX(職員マスタ!$G$6:$G$405,$AP2860)&gt;EOMONTH($AQ2860,0)),AND(INDEX(職員マスタ!$H$6:$H$405,$AP2860)&lt;&gt;"",INDEX(職員マスタ!$H$6:$H$405,$AP2860)&lt;$AQ2860))),"対象月が時短期間外／","")&amp;IF(AND(INDEX(職員マスタ!$K$6:$K$405,$AP2860)&lt;&gt;"",N($W2860)&gt;0,INDEX(職員マスタ!$K$6:$K$405,$AP2860)&lt;&gt;$W2860),"標準報酬月額が申請書と相違（台帳"&amp;TEXT(INDEX(職員マスタ!$K$6:$K$405,$AP2860),"#,##0")&amp;"円／申請書"&amp;TEXT($W2860,"#,##0")&amp;"円）／","")&amp;IF(AND(INDEX(職員マスタ!$F$6:$F$405,$AP2860)&lt;&gt;"",$AQ2860&lt;&gt;"",INDEX(職員マスタ!$F$6:$F$405,$AP2860)&lt;$AQ2860),"対象月に子が2歳到達済／","")&amp;IF(AND($H2860&lt;&gt;"",INDEX(職員マスタ!$B$6:$B$405,$AP2860)&lt;&gt;"",SUBSTITUTE(SUBSTITUTE($H2860," ","")," ","")&lt;&gt;SUBSTITUTE(SUBSTITUTE(INDEX(職員マスタ!$B$6:$B$405,$AP2860)," ","")," ","")),"氏名がマスタと相違／","")&amp;IF(AND($Q2860&lt;&gt;"",INDEX(職員マスタ!$E$6:$E$405,$AP2860)&lt;&gt;"",$Q2860&lt;&gt;INDEX(職員マスタ!$E$6:$E$405,$AP2860)),"子の生年月日がマスタと相違／","")&amp;IF(AND($L2860&lt;&gt;"",INDEX(職員マスタ!$G$6:$G$405,$AP2860)&lt;&gt;"",$L2860&lt;&gt;INDEX(職員マスタ!$G$6:$G$405,$AP2860)),"時短開始日がマスタと相違／","")&amp;IF(AND($M2860&lt;&gt;"",INDEX(職員マスタ!$H$6:$H$405,$AP2860)&lt;&gt;"",$M2860&lt;&gt;INDEX(職員マスタ!$H$6:$H$405,$AP2860)),"時短終了日がマスタと相違／","")))&amp;IF(AND($B2860&lt;&gt;"",$E2860=""),"報酬額が未入力／","")&amp;IF(N($U2860)&gt;0,"申請書に入力エラーが残っています／","")&amp;IF(AND($B2860&lt;&gt;"",$AQ2860&lt;&gt;""),IF(COUNTIFS($B$6:$B$3005,$B2860,$C$6:$C$3005,$C2860,$D$6:$D$3005,$D2860)&gt;1,"同じ月の請求が重複しています／",""),"")&amp;IF(AND(N($E2860)&gt;0,$AB2860&lt;&gt;"",$AB2860&lt;&gt;"×",$AE2860=0,$AD2860=""),"計算額が下限以下のため不支給／",""))</f>
        <v/>
      </c>
      <c r="AN2860" s="12" t="n"/>
      <c r="AO2860" s="14">
        <f>IF($AF2860="保留中",COUNTIF($AF$6:$AF2860,"保留中"),"")</f>
        <v/>
      </c>
      <c r="AP2860" s="14">
        <f>IF($AQ2860="","",IF(SUMPRODUCT(MAX((職員マスタ!$A$6:$A$405=$B2860)*(((職員マスタ!$G$6:$G$405="")+(職員マスタ!$G$6:$G$405&lt;=EOMONTH($AQ2860,0)))&gt;0)*(((職員マスタ!$H$6:$H$405="")+(職員マスタ!$H$6:$H$405&gt;=$AQ2860))&gt;0)*(ROW(職員マスタ!$A$6:$A$405)-5)))&gt;0,SUMPRODUCT(MAX((職員マスタ!$A$6:$A$405=$B2860)*(((職員マスタ!$G$6:$G$405="")+(職員マスタ!$G$6:$G$405&lt;=EOMONTH($AQ2860,0)))&gt;0)*(((職員マスタ!$H$6:$H$405="")+(職員マスタ!$H$6:$H$405&gt;=$AQ2860))&gt;0)*(ROW(職員マスタ!$A$6:$A$405)-5))),IFERROR(MATCH($B2860,職員マスタ!$A$6:$A$405,0),"")))</f>
        <v/>
      </c>
      <c r="AQ2860" s="16">
        <f>IF(OR($B2860="",$C2860="",$D2860=""),"",DATE($C2860+2018,$D2860,1))</f>
        <v/>
      </c>
    </row>
    <row r="2861">
      <c r="A2861" s="11" t="n"/>
      <c r="B2861" s="12" t="n"/>
      <c r="C2861" s="12" t="n"/>
      <c r="D2861" s="12" t="n"/>
      <c r="E2861" s="13" t="n"/>
      <c r="F2861" s="12" t="n"/>
      <c r="G2861" s="13" t="n"/>
      <c r="H2861" s="12" t="n"/>
      <c r="I2861" s="12" t="n"/>
      <c r="J2861" s="12" t="n"/>
      <c r="K2861" s="12" t="n"/>
      <c r="L2861" s="11" t="n"/>
      <c r="M2861" s="11" t="n"/>
      <c r="N2861" s="11" t="n"/>
      <c r="O2861" s="11" t="n"/>
      <c r="P2861" s="12" t="n"/>
      <c r="Q2861" s="11" t="n"/>
      <c r="R2861" s="12" t="n"/>
      <c r="S2861" s="11" t="n"/>
      <c r="T2861" s="12" t="n"/>
      <c r="U2861" s="12" t="n"/>
      <c r="V2861" s="12" t="n"/>
      <c r="W2861" s="13" t="n"/>
      <c r="X2861" s="14">
        <f>IF($AP2861="",IF($B2861="","",$H2861),IF(INDEX(職員マスタ!$B$6:$B$405,$AP2861)="",$H2861,INDEX(職員マスタ!$B$6:$B$405,$AP2861)))</f>
        <v/>
      </c>
      <c r="Y2861" s="14">
        <f>IF($AP2861="",IF($B2861="","",$R2861),IF(INDEX(職員マスタ!$C$6:$C$405,$AP2861)="",$R2861,INDEX(職員マスタ!$C$6:$C$405,$AP2861)))</f>
        <v/>
      </c>
      <c r="Z2861" s="14">
        <f>IF($AQ2861="","","R"&amp;$C2861&amp;"."&amp;$D2861)</f>
        <v/>
      </c>
      <c r="AA2861" s="15">
        <f>IF(IF($AP2861="",FALSE,INDEX(職員マスタ!$K$6:$K$405,$AP2861)&lt;&gt;""),INDEX(職員マスタ!$K$6:$K$405,$AP2861),IF(N($W2861)&gt;0,$W2861,""))</f>
        <v/>
      </c>
      <c r="AB2861" s="14">
        <f>IF(OR($E2861="",$AA2861=""),"",IF($E2861&gt;=$AA2861,"×",IF($E2861&gt;=$AA2861*設定!$C$5,"△","○")))</f>
        <v/>
      </c>
      <c r="AC2861" s="15">
        <f>IF($AB2861="","",IF($AB2861="×",0,IF($AB2861="○",ROUNDDOWN($E2861*設定!$C$4,0),ROUNDDOWN($E2861*ROUND((9*$AA2861-9*$E2861)/(10*$E2861),4),0))))</f>
        <v/>
      </c>
      <c r="AD2861" s="13" t="n"/>
      <c r="AE2861" s="15">
        <f>IF($B2861="","",IF($AD2861&lt;&gt;"",$AD2861,IF($AC2861="","",IF($AC2861&lt;=設定!$C$3,0,$AC2861))))</f>
        <v/>
      </c>
      <c r="AF2861" s="14">
        <f>IF($B2861="","",IF(AND($AG2861&lt;&gt;"",$AI2861="",$AL2861=""),"保留中",IF($AL2861&lt;&gt;"",IF(N($AE2861)&gt;0,"支給済","不支給"),IF($AE2861="","要確認",IF($AE2861=0,"不支給","未処理")))))</f>
        <v/>
      </c>
      <c r="AG2861" s="12" t="n"/>
      <c r="AH2861" s="11" t="n"/>
      <c r="AI2861" s="11" t="n"/>
      <c r="AJ2861" s="11" t="n"/>
      <c r="AK2861" s="14">
        <f>IF(AND($AF2861="保留中",$AH2861&lt;&gt;""),TODAY()-$AH2861,"")</f>
        <v/>
      </c>
      <c r="AL2861" s="12" t="n"/>
      <c r="AM2861" s="14">
        <f>IF($B2861="","",IF($AQ2861="","対象年月が未入力／","")&amp;IF($B2861="","",IF($AP2861="","職員マスタに未登録の職員番号／",IF($AA2861="","標準報酬月額が未登録／","")&amp;IF(AND($AQ2861&lt;&gt;"",OR(AND(INDEX(職員マスタ!$G$6:$G$405,$AP2861)&lt;&gt;"",INDEX(職員マスタ!$G$6:$G$405,$AP2861)&gt;EOMONTH($AQ2861,0)),AND(INDEX(職員マスタ!$H$6:$H$405,$AP2861)&lt;&gt;"",INDEX(職員マスタ!$H$6:$H$405,$AP2861)&lt;$AQ2861))),"対象月が時短期間外／","")&amp;IF(AND(INDEX(職員マスタ!$K$6:$K$405,$AP2861)&lt;&gt;"",N($W2861)&gt;0,INDEX(職員マスタ!$K$6:$K$405,$AP2861)&lt;&gt;$W2861),"標準報酬月額が申請書と相違（台帳"&amp;TEXT(INDEX(職員マスタ!$K$6:$K$405,$AP2861),"#,##0")&amp;"円／申請書"&amp;TEXT($W2861,"#,##0")&amp;"円）／","")&amp;IF(AND(INDEX(職員マスタ!$F$6:$F$405,$AP2861)&lt;&gt;"",$AQ2861&lt;&gt;"",INDEX(職員マスタ!$F$6:$F$405,$AP2861)&lt;$AQ2861),"対象月に子が2歳到達済／","")&amp;IF(AND($H2861&lt;&gt;"",INDEX(職員マスタ!$B$6:$B$405,$AP2861)&lt;&gt;"",SUBSTITUTE(SUBSTITUTE($H2861," ","")," ","")&lt;&gt;SUBSTITUTE(SUBSTITUTE(INDEX(職員マスタ!$B$6:$B$405,$AP2861)," ","")," ","")),"氏名がマスタと相違／","")&amp;IF(AND($Q2861&lt;&gt;"",INDEX(職員マスタ!$E$6:$E$405,$AP2861)&lt;&gt;"",$Q2861&lt;&gt;INDEX(職員マスタ!$E$6:$E$405,$AP2861)),"子の生年月日がマスタと相違／","")&amp;IF(AND($L2861&lt;&gt;"",INDEX(職員マスタ!$G$6:$G$405,$AP2861)&lt;&gt;"",$L2861&lt;&gt;INDEX(職員マスタ!$G$6:$G$405,$AP2861)),"時短開始日がマスタと相違／","")&amp;IF(AND($M2861&lt;&gt;"",INDEX(職員マスタ!$H$6:$H$405,$AP2861)&lt;&gt;"",$M2861&lt;&gt;INDEX(職員マスタ!$H$6:$H$405,$AP2861)),"時短終了日がマスタと相違／","")))&amp;IF(AND($B2861&lt;&gt;"",$E2861=""),"報酬額が未入力／","")&amp;IF(N($U2861)&gt;0,"申請書に入力エラーが残っています／","")&amp;IF(AND($B2861&lt;&gt;"",$AQ2861&lt;&gt;""),IF(COUNTIFS($B$6:$B$3005,$B2861,$C$6:$C$3005,$C2861,$D$6:$D$3005,$D2861)&gt;1,"同じ月の請求が重複しています／",""),"")&amp;IF(AND(N($E2861)&gt;0,$AB2861&lt;&gt;"",$AB2861&lt;&gt;"×",$AE2861=0,$AD2861=""),"計算額が下限以下のため不支給／",""))</f>
        <v/>
      </c>
      <c r="AN2861" s="12" t="n"/>
      <c r="AO2861" s="14">
        <f>IF($AF2861="保留中",COUNTIF($AF$6:$AF2861,"保留中"),"")</f>
        <v/>
      </c>
      <c r="AP2861" s="14">
        <f>IF($AQ2861="","",IF(SUMPRODUCT(MAX((職員マスタ!$A$6:$A$405=$B2861)*(((職員マスタ!$G$6:$G$405="")+(職員マスタ!$G$6:$G$405&lt;=EOMONTH($AQ2861,0)))&gt;0)*(((職員マスタ!$H$6:$H$405="")+(職員マスタ!$H$6:$H$405&gt;=$AQ2861))&gt;0)*(ROW(職員マスタ!$A$6:$A$405)-5)))&gt;0,SUMPRODUCT(MAX((職員マスタ!$A$6:$A$405=$B2861)*(((職員マスタ!$G$6:$G$405="")+(職員マスタ!$G$6:$G$405&lt;=EOMONTH($AQ2861,0)))&gt;0)*(((職員マスタ!$H$6:$H$405="")+(職員マスタ!$H$6:$H$405&gt;=$AQ2861))&gt;0)*(ROW(職員マスタ!$A$6:$A$405)-5))),IFERROR(MATCH($B2861,職員マスタ!$A$6:$A$405,0),"")))</f>
        <v/>
      </c>
      <c r="AQ2861" s="16">
        <f>IF(OR($B2861="",$C2861="",$D2861=""),"",DATE($C2861+2018,$D2861,1))</f>
        <v/>
      </c>
    </row>
    <row r="2862">
      <c r="A2862" s="11" t="n"/>
      <c r="B2862" s="12" t="n"/>
      <c r="C2862" s="12" t="n"/>
      <c r="D2862" s="12" t="n"/>
      <c r="E2862" s="13" t="n"/>
      <c r="F2862" s="12" t="n"/>
      <c r="G2862" s="13" t="n"/>
      <c r="H2862" s="12" t="n"/>
      <c r="I2862" s="12" t="n"/>
      <c r="J2862" s="12" t="n"/>
      <c r="K2862" s="12" t="n"/>
      <c r="L2862" s="11" t="n"/>
      <c r="M2862" s="11" t="n"/>
      <c r="N2862" s="11" t="n"/>
      <c r="O2862" s="11" t="n"/>
      <c r="P2862" s="12" t="n"/>
      <c r="Q2862" s="11" t="n"/>
      <c r="R2862" s="12" t="n"/>
      <c r="S2862" s="11" t="n"/>
      <c r="T2862" s="12" t="n"/>
      <c r="U2862" s="12" t="n"/>
      <c r="V2862" s="12" t="n"/>
      <c r="W2862" s="13" t="n"/>
      <c r="X2862" s="14">
        <f>IF($AP2862="",IF($B2862="","",$H2862),IF(INDEX(職員マスタ!$B$6:$B$405,$AP2862)="",$H2862,INDEX(職員マスタ!$B$6:$B$405,$AP2862)))</f>
        <v/>
      </c>
      <c r="Y2862" s="14">
        <f>IF($AP2862="",IF($B2862="","",$R2862),IF(INDEX(職員マスタ!$C$6:$C$405,$AP2862)="",$R2862,INDEX(職員マスタ!$C$6:$C$405,$AP2862)))</f>
        <v/>
      </c>
      <c r="Z2862" s="14">
        <f>IF($AQ2862="","","R"&amp;$C2862&amp;"."&amp;$D2862)</f>
        <v/>
      </c>
      <c r="AA2862" s="15">
        <f>IF(IF($AP2862="",FALSE,INDEX(職員マスタ!$K$6:$K$405,$AP2862)&lt;&gt;""),INDEX(職員マスタ!$K$6:$K$405,$AP2862),IF(N($W2862)&gt;0,$W2862,""))</f>
        <v/>
      </c>
      <c r="AB2862" s="14">
        <f>IF(OR($E2862="",$AA2862=""),"",IF($E2862&gt;=$AA2862,"×",IF($E2862&gt;=$AA2862*設定!$C$5,"△","○")))</f>
        <v/>
      </c>
      <c r="AC2862" s="15">
        <f>IF($AB2862="","",IF($AB2862="×",0,IF($AB2862="○",ROUNDDOWN($E2862*設定!$C$4,0),ROUNDDOWN($E2862*ROUND((9*$AA2862-9*$E2862)/(10*$E2862),4),0))))</f>
        <v/>
      </c>
      <c r="AD2862" s="13" t="n"/>
      <c r="AE2862" s="15">
        <f>IF($B2862="","",IF($AD2862&lt;&gt;"",$AD2862,IF($AC2862="","",IF($AC2862&lt;=設定!$C$3,0,$AC2862))))</f>
        <v/>
      </c>
      <c r="AF2862" s="14">
        <f>IF($B2862="","",IF(AND($AG2862&lt;&gt;"",$AI2862="",$AL2862=""),"保留中",IF($AL2862&lt;&gt;"",IF(N($AE2862)&gt;0,"支給済","不支給"),IF($AE2862="","要確認",IF($AE2862=0,"不支給","未処理")))))</f>
        <v/>
      </c>
      <c r="AG2862" s="12" t="n"/>
      <c r="AH2862" s="11" t="n"/>
      <c r="AI2862" s="11" t="n"/>
      <c r="AJ2862" s="11" t="n"/>
      <c r="AK2862" s="14">
        <f>IF(AND($AF2862="保留中",$AH2862&lt;&gt;""),TODAY()-$AH2862,"")</f>
        <v/>
      </c>
      <c r="AL2862" s="12" t="n"/>
      <c r="AM2862" s="14">
        <f>IF($B2862="","",IF($AQ2862="","対象年月が未入力／","")&amp;IF($B2862="","",IF($AP2862="","職員マスタに未登録の職員番号／",IF($AA2862="","標準報酬月額が未登録／","")&amp;IF(AND($AQ2862&lt;&gt;"",OR(AND(INDEX(職員マスタ!$G$6:$G$405,$AP2862)&lt;&gt;"",INDEX(職員マスタ!$G$6:$G$405,$AP2862)&gt;EOMONTH($AQ2862,0)),AND(INDEX(職員マスタ!$H$6:$H$405,$AP2862)&lt;&gt;"",INDEX(職員マスタ!$H$6:$H$405,$AP2862)&lt;$AQ2862))),"対象月が時短期間外／","")&amp;IF(AND(INDEX(職員マスタ!$K$6:$K$405,$AP2862)&lt;&gt;"",N($W2862)&gt;0,INDEX(職員マスタ!$K$6:$K$405,$AP2862)&lt;&gt;$W2862),"標準報酬月額が申請書と相違（台帳"&amp;TEXT(INDEX(職員マスタ!$K$6:$K$405,$AP2862),"#,##0")&amp;"円／申請書"&amp;TEXT($W2862,"#,##0")&amp;"円）／","")&amp;IF(AND(INDEX(職員マスタ!$F$6:$F$405,$AP2862)&lt;&gt;"",$AQ2862&lt;&gt;"",INDEX(職員マスタ!$F$6:$F$405,$AP2862)&lt;$AQ2862),"対象月に子が2歳到達済／","")&amp;IF(AND($H2862&lt;&gt;"",INDEX(職員マスタ!$B$6:$B$405,$AP2862)&lt;&gt;"",SUBSTITUTE(SUBSTITUTE($H2862," ","")," ","")&lt;&gt;SUBSTITUTE(SUBSTITUTE(INDEX(職員マスタ!$B$6:$B$405,$AP2862)," ","")," ","")),"氏名がマスタと相違／","")&amp;IF(AND($Q2862&lt;&gt;"",INDEX(職員マスタ!$E$6:$E$405,$AP2862)&lt;&gt;"",$Q2862&lt;&gt;INDEX(職員マスタ!$E$6:$E$405,$AP2862)),"子の生年月日がマスタと相違／","")&amp;IF(AND($L2862&lt;&gt;"",INDEX(職員マスタ!$G$6:$G$405,$AP2862)&lt;&gt;"",$L2862&lt;&gt;INDEX(職員マスタ!$G$6:$G$405,$AP2862)),"時短開始日がマスタと相違／","")&amp;IF(AND($M2862&lt;&gt;"",INDEX(職員マスタ!$H$6:$H$405,$AP2862)&lt;&gt;"",$M2862&lt;&gt;INDEX(職員マスタ!$H$6:$H$405,$AP2862)),"時短終了日がマスタと相違／","")))&amp;IF(AND($B2862&lt;&gt;"",$E2862=""),"報酬額が未入力／","")&amp;IF(N($U2862)&gt;0,"申請書に入力エラーが残っています／","")&amp;IF(AND($B2862&lt;&gt;"",$AQ2862&lt;&gt;""),IF(COUNTIFS($B$6:$B$3005,$B2862,$C$6:$C$3005,$C2862,$D$6:$D$3005,$D2862)&gt;1,"同じ月の請求が重複しています／",""),"")&amp;IF(AND(N($E2862)&gt;0,$AB2862&lt;&gt;"",$AB2862&lt;&gt;"×",$AE2862=0,$AD2862=""),"計算額が下限以下のため不支給／",""))</f>
        <v/>
      </c>
      <c r="AN2862" s="12" t="n"/>
      <c r="AO2862" s="14">
        <f>IF($AF2862="保留中",COUNTIF($AF$6:$AF2862,"保留中"),"")</f>
        <v/>
      </c>
      <c r="AP2862" s="14">
        <f>IF($AQ2862="","",IF(SUMPRODUCT(MAX((職員マスタ!$A$6:$A$405=$B2862)*(((職員マスタ!$G$6:$G$405="")+(職員マスタ!$G$6:$G$405&lt;=EOMONTH($AQ2862,0)))&gt;0)*(((職員マスタ!$H$6:$H$405="")+(職員マスタ!$H$6:$H$405&gt;=$AQ2862))&gt;0)*(ROW(職員マスタ!$A$6:$A$405)-5)))&gt;0,SUMPRODUCT(MAX((職員マスタ!$A$6:$A$405=$B2862)*(((職員マスタ!$G$6:$G$405="")+(職員マスタ!$G$6:$G$405&lt;=EOMONTH($AQ2862,0)))&gt;0)*(((職員マスタ!$H$6:$H$405="")+(職員マスタ!$H$6:$H$405&gt;=$AQ2862))&gt;0)*(ROW(職員マスタ!$A$6:$A$405)-5))),IFERROR(MATCH($B2862,職員マスタ!$A$6:$A$405,0),"")))</f>
        <v/>
      </c>
      <c r="AQ2862" s="16">
        <f>IF(OR($B2862="",$C2862="",$D2862=""),"",DATE($C2862+2018,$D2862,1))</f>
        <v/>
      </c>
    </row>
    <row r="2863">
      <c r="A2863" s="11" t="n"/>
      <c r="B2863" s="12" t="n"/>
      <c r="C2863" s="12" t="n"/>
      <c r="D2863" s="12" t="n"/>
      <c r="E2863" s="13" t="n"/>
      <c r="F2863" s="12" t="n"/>
      <c r="G2863" s="13" t="n"/>
      <c r="H2863" s="12" t="n"/>
      <c r="I2863" s="12" t="n"/>
      <c r="J2863" s="12" t="n"/>
      <c r="K2863" s="12" t="n"/>
      <c r="L2863" s="11" t="n"/>
      <c r="M2863" s="11" t="n"/>
      <c r="N2863" s="11" t="n"/>
      <c r="O2863" s="11" t="n"/>
      <c r="P2863" s="12" t="n"/>
      <c r="Q2863" s="11" t="n"/>
      <c r="R2863" s="12" t="n"/>
      <c r="S2863" s="11" t="n"/>
      <c r="T2863" s="12" t="n"/>
      <c r="U2863" s="12" t="n"/>
      <c r="V2863" s="12" t="n"/>
      <c r="W2863" s="13" t="n"/>
      <c r="X2863" s="14">
        <f>IF($AP2863="",IF($B2863="","",$H2863),IF(INDEX(職員マスタ!$B$6:$B$405,$AP2863)="",$H2863,INDEX(職員マスタ!$B$6:$B$405,$AP2863)))</f>
        <v/>
      </c>
      <c r="Y2863" s="14">
        <f>IF($AP2863="",IF($B2863="","",$R2863),IF(INDEX(職員マスタ!$C$6:$C$405,$AP2863)="",$R2863,INDEX(職員マスタ!$C$6:$C$405,$AP2863)))</f>
        <v/>
      </c>
      <c r="Z2863" s="14">
        <f>IF($AQ2863="","","R"&amp;$C2863&amp;"."&amp;$D2863)</f>
        <v/>
      </c>
      <c r="AA2863" s="15">
        <f>IF(IF($AP2863="",FALSE,INDEX(職員マスタ!$K$6:$K$405,$AP2863)&lt;&gt;""),INDEX(職員マスタ!$K$6:$K$405,$AP2863),IF(N($W2863)&gt;0,$W2863,""))</f>
        <v/>
      </c>
      <c r="AB2863" s="14">
        <f>IF(OR($E2863="",$AA2863=""),"",IF($E2863&gt;=$AA2863,"×",IF($E2863&gt;=$AA2863*設定!$C$5,"△","○")))</f>
        <v/>
      </c>
      <c r="AC2863" s="15">
        <f>IF($AB2863="","",IF($AB2863="×",0,IF($AB2863="○",ROUNDDOWN($E2863*設定!$C$4,0),ROUNDDOWN($E2863*ROUND((9*$AA2863-9*$E2863)/(10*$E2863),4),0))))</f>
        <v/>
      </c>
      <c r="AD2863" s="13" t="n"/>
      <c r="AE2863" s="15">
        <f>IF($B2863="","",IF($AD2863&lt;&gt;"",$AD2863,IF($AC2863="","",IF($AC2863&lt;=設定!$C$3,0,$AC2863))))</f>
        <v/>
      </c>
      <c r="AF2863" s="14">
        <f>IF($B2863="","",IF(AND($AG2863&lt;&gt;"",$AI2863="",$AL2863=""),"保留中",IF($AL2863&lt;&gt;"",IF(N($AE2863)&gt;0,"支給済","不支給"),IF($AE2863="","要確認",IF($AE2863=0,"不支給","未処理")))))</f>
        <v/>
      </c>
      <c r="AG2863" s="12" t="n"/>
      <c r="AH2863" s="11" t="n"/>
      <c r="AI2863" s="11" t="n"/>
      <c r="AJ2863" s="11" t="n"/>
      <c r="AK2863" s="14">
        <f>IF(AND($AF2863="保留中",$AH2863&lt;&gt;""),TODAY()-$AH2863,"")</f>
        <v/>
      </c>
      <c r="AL2863" s="12" t="n"/>
      <c r="AM2863" s="14">
        <f>IF($B2863="","",IF($AQ2863="","対象年月が未入力／","")&amp;IF($B2863="","",IF($AP2863="","職員マスタに未登録の職員番号／",IF($AA2863="","標準報酬月額が未登録／","")&amp;IF(AND($AQ2863&lt;&gt;"",OR(AND(INDEX(職員マスタ!$G$6:$G$405,$AP2863)&lt;&gt;"",INDEX(職員マスタ!$G$6:$G$405,$AP2863)&gt;EOMONTH($AQ2863,0)),AND(INDEX(職員マスタ!$H$6:$H$405,$AP2863)&lt;&gt;"",INDEX(職員マスタ!$H$6:$H$405,$AP2863)&lt;$AQ2863))),"対象月が時短期間外／","")&amp;IF(AND(INDEX(職員マスタ!$K$6:$K$405,$AP2863)&lt;&gt;"",N($W2863)&gt;0,INDEX(職員マスタ!$K$6:$K$405,$AP2863)&lt;&gt;$W2863),"標準報酬月額が申請書と相違（台帳"&amp;TEXT(INDEX(職員マスタ!$K$6:$K$405,$AP2863),"#,##0")&amp;"円／申請書"&amp;TEXT($W2863,"#,##0")&amp;"円）／","")&amp;IF(AND(INDEX(職員マスタ!$F$6:$F$405,$AP2863)&lt;&gt;"",$AQ2863&lt;&gt;"",INDEX(職員マスタ!$F$6:$F$405,$AP2863)&lt;$AQ2863),"対象月に子が2歳到達済／","")&amp;IF(AND($H2863&lt;&gt;"",INDEX(職員マスタ!$B$6:$B$405,$AP2863)&lt;&gt;"",SUBSTITUTE(SUBSTITUTE($H2863," ","")," ","")&lt;&gt;SUBSTITUTE(SUBSTITUTE(INDEX(職員マスタ!$B$6:$B$405,$AP2863)," ","")," ","")),"氏名がマスタと相違／","")&amp;IF(AND($Q2863&lt;&gt;"",INDEX(職員マスタ!$E$6:$E$405,$AP2863)&lt;&gt;"",$Q2863&lt;&gt;INDEX(職員マスタ!$E$6:$E$405,$AP2863)),"子の生年月日がマスタと相違／","")&amp;IF(AND($L2863&lt;&gt;"",INDEX(職員マスタ!$G$6:$G$405,$AP2863)&lt;&gt;"",$L2863&lt;&gt;INDEX(職員マスタ!$G$6:$G$405,$AP2863)),"時短開始日がマスタと相違／","")&amp;IF(AND($M2863&lt;&gt;"",INDEX(職員マスタ!$H$6:$H$405,$AP2863)&lt;&gt;"",$M2863&lt;&gt;INDEX(職員マスタ!$H$6:$H$405,$AP2863)),"時短終了日がマスタと相違／","")))&amp;IF(AND($B2863&lt;&gt;"",$E2863=""),"報酬額が未入力／","")&amp;IF(N($U2863)&gt;0,"申請書に入力エラーが残っています／","")&amp;IF(AND($B2863&lt;&gt;"",$AQ2863&lt;&gt;""),IF(COUNTIFS($B$6:$B$3005,$B2863,$C$6:$C$3005,$C2863,$D$6:$D$3005,$D2863)&gt;1,"同じ月の請求が重複しています／",""),"")&amp;IF(AND(N($E2863)&gt;0,$AB2863&lt;&gt;"",$AB2863&lt;&gt;"×",$AE2863=0,$AD2863=""),"計算額が下限以下のため不支給／",""))</f>
        <v/>
      </c>
      <c r="AN2863" s="12" t="n"/>
      <c r="AO2863" s="14">
        <f>IF($AF2863="保留中",COUNTIF($AF$6:$AF2863,"保留中"),"")</f>
        <v/>
      </c>
      <c r="AP2863" s="14">
        <f>IF($AQ2863="","",IF(SUMPRODUCT(MAX((職員マスタ!$A$6:$A$405=$B2863)*(((職員マスタ!$G$6:$G$405="")+(職員マスタ!$G$6:$G$405&lt;=EOMONTH($AQ2863,0)))&gt;0)*(((職員マスタ!$H$6:$H$405="")+(職員マスタ!$H$6:$H$405&gt;=$AQ2863))&gt;0)*(ROW(職員マスタ!$A$6:$A$405)-5)))&gt;0,SUMPRODUCT(MAX((職員マスタ!$A$6:$A$405=$B2863)*(((職員マスタ!$G$6:$G$405="")+(職員マスタ!$G$6:$G$405&lt;=EOMONTH($AQ2863,0)))&gt;0)*(((職員マスタ!$H$6:$H$405="")+(職員マスタ!$H$6:$H$405&gt;=$AQ2863))&gt;0)*(ROW(職員マスタ!$A$6:$A$405)-5))),IFERROR(MATCH($B2863,職員マスタ!$A$6:$A$405,0),"")))</f>
        <v/>
      </c>
      <c r="AQ2863" s="16">
        <f>IF(OR($B2863="",$C2863="",$D2863=""),"",DATE($C2863+2018,$D2863,1))</f>
        <v/>
      </c>
    </row>
    <row r="2864">
      <c r="A2864" s="11" t="n"/>
      <c r="B2864" s="12" t="n"/>
      <c r="C2864" s="12" t="n"/>
      <c r="D2864" s="12" t="n"/>
      <c r="E2864" s="13" t="n"/>
      <c r="F2864" s="12" t="n"/>
      <c r="G2864" s="13" t="n"/>
      <c r="H2864" s="12" t="n"/>
      <c r="I2864" s="12" t="n"/>
      <c r="J2864" s="12" t="n"/>
      <c r="K2864" s="12" t="n"/>
      <c r="L2864" s="11" t="n"/>
      <c r="M2864" s="11" t="n"/>
      <c r="N2864" s="11" t="n"/>
      <c r="O2864" s="11" t="n"/>
      <c r="P2864" s="12" t="n"/>
      <c r="Q2864" s="11" t="n"/>
      <c r="R2864" s="12" t="n"/>
      <c r="S2864" s="11" t="n"/>
      <c r="T2864" s="12" t="n"/>
      <c r="U2864" s="12" t="n"/>
      <c r="V2864" s="12" t="n"/>
      <c r="W2864" s="13" t="n"/>
      <c r="X2864" s="14">
        <f>IF($AP2864="",IF($B2864="","",$H2864),IF(INDEX(職員マスタ!$B$6:$B$405,$AP2864)="",$H2864,INDEX(職員マスタ!$B$6:$B$405,$AP2864)))</f>
        <v/>
      </c>
      <c r="Y2864" s="14">
        <f>IF($AP2864="",IF($B2864="","",$R2864),IF(INDEX(職員マスタ!$C$6:$C$405,$AP2864)="",$R2864,INDEX(職員マスタ!$C$6:$C$405,$AP2864)))</f>
        <v/>
      </c>
      <c r="Z2864" s="14">
        <f>IF($AQ2864="","","R"&amp;$C2864&amp;"."&amp;$D2864)</f>
        <v/>
      </c>
      <c r="AA2864" s="15">
        <f>IF(IF($AP2864="",FALSE,INDEX(職員マスタ!$K$6:$K$405,$AP2864)&lt;&gt;""),INDEX(職員マスタ!$K$6:$K$405,$AP2864),IF(N($W2864)&gt;0,$W2864,""))</f>
        <v/>
      </c>
      <c r="AB2864" s="14">
        <f>IF(OR($E2864="",$AA2864=""),"",IF($E2864&gt;=$AA2864,"×",IF($E2864&gt;=$AA2864*設定!$C$5,"△","○")))</f>
        <v/>
      </c>
      <c r="AC2864" s="15">
        <f>IF($AB2864="","",IF($AB2864="×",0,IF($AB2864="○",ROUNDDOWN($E2864*設定!$C$4,0),ROUNDDOWN($E2864*ROUND((9*$AA2864-9*$E2864)/(10*$E2864),4),0))))</f>
        <v/>
      </c>
      <c r="AD2864" s="13" t="n"/>
      <c r="AE2864" s="15">
        <f>IF($B2864="","",IF($AD2864&lt;&gt;"",$AD2864,IF($AC2864="","",IF($AC2864&lt;=設定!$C$3,0,$AC2864))))</f>
        <v/>
      </c>
      <c r="AF2864" s="14">
        <f>IF($B2864="","",IF(AND($AG2864&lt;&gt;"",$AI2864="",$AL2864=""),"保留中",IF($AL2864&lt;&gt;"",IF(N($AE2864)&gt;0,"支給済","不支給"),IF($AE2864="","要確認",IF($AE2864=0,"不支給","未処理")))))</f>
        <v/>
      </c>
      <c r="AG2864" s="12" t="n"/>
      <c r="AH2864" s="11" t="n"/>
      <c r="AI2864" s="11" t="n"/>
      <c r="AJ2864" s="11" t="n"/>
      <c r="AK2864" s="14">
        <f>IF(AND($AF2864="保留中",$AH2864&lt;&gt;""),TODAY()-$AH2864,"")</f>
        <v/>
      </c>
      <c r="AL2864" s="12" t="n"/>
      <c r="AM2864" s="14">
        <f>IF($B2864="","",IF($AQ2864="","対象年月が未入力／","")&amp;IF($B2864="","",IF($AP2864="","職員マスタに未登録の職員番号／",IF($AA2864="","標準報酬月額が未登録／","")&amp;IF(AND($AQ2864&lt;&gt;"",OR(AND(INDEX(職員マスタ!$G$6:$G$405,$AP2864)&lt;&gt;"",INDEX(職員マスタ!$G$6:$G$405,$AP2864)&gt;EOMONTH($AQ2864,0)),AND(INDEX(職員マスタ!$H$6:$H$405,$AP2864)&lt;&gt;"",INDEX(職員マスタ!$H$6:$H$405,$AP2864)&lt;$AQ2864))),"対象月が時短期間外／","")&amp;IF(AND(INDEX(職員マスタ!$K$6:$K$405,$AP2864)&lt;&gt;"",N($W2864)&gt;0,INDEX(職員マスタ!$K$6:$K$405,$AP2864)&lt;&gt;$W2864),"標準報酬月額が申請書と相違（台帳"&amp;TEXT(INDEX(職員マスタ!$K$6:$K$405,$AP2864),"#,##0")&amp;"円／申請書"&amp;TEXT($W2864,"#,##0")&amp;"円）／","")&amp;IF(AND(INDEX(職員マスタ!$F$6:$F$405,$AP2864)&lt;&gt;"",$AQ2864&lt;&gt;"",INDEX(職員マスタ!$F$6:$F$405,$AP2864)&lt;$AQ2864),"対象月に子が2歳到達済／","")&amp;IF(AND($H2864&lt;&gt;"",INDEX(職員マスタ!$B$6:$B$405,$AP2864)&lt;&gt;"",SUBSTITUTE(SUBSTITUTE($H2864," ","")," ","")&lt;&gt;SUBSTITUTE(SUBSTITUTE(INDEX(職員マスタ!$B$6:$B$405,$AP2864)," ","")," ","")),"氏名がマスタと相違／","")&amp;IF(AND($Q2864&lt;&gt;"",INDEX(職員マスタ!$E$6:$E$405,$AP2864)&lt;&gt;"",$Q2864&lt;&gt;INDEX(職員マスタ!$E$6:$E$405,$AP2864)),"子の生年月日がマスタと相違／","")&amp;IF(AND($L2864&lt;&gt;"",INDEX(職員マスタ!$G$6:$G$405,$AP2864)&lt;&gt;"",$L2864&lt;&gt;INDEX(職員マスタ!$G$6:$G$405,$AP2864)),"時短開始日がマスタと相違／","")&amp;IF(AND($M2864&lt;&gt;"",INDEX(職員マスタ!$H$6:$H$405,$AP2864)&lt;&gt;"",$M2864&lt;&gt;INDEX(職員マスタ!$H$6:$H$405,$AP2864)),"時短終了日がマスタと相違／","")))&amp;IF(AND($B2864&lt;&gt;"",$E2864=""),"報酬額が未入力／","")&amp;IF(N($U2864)&gt;0,"申請書に入力エラーが残っています／","")&amp;IF(AND($B2864&lt;&gt;"",$AQ2864&lt;&gt;""),IF(COUNTIFS($B$6:$B$3005,$B2864,$C$6:$C$3005,$C2864,$D$6:$D$3005,$D2864)&gt;1,"同じ月の請求が重複しています／",""),"")&amp;IF(AND(N($E2864)&gt;0,$AB2864&lt;&gt;"",$AB2864&lt;&gt;"×",$AE2864=0,$AD2864=""),"計算額が下限以下のため不支給／",""))</f>
        <v/>
      </c>
      <c r="AN2864" s="12" t="n"/>
      <c r="AO2864" s="14">
        <f>IF($AF2864="保留中",COUNTIF($AF$6:$AF2864,"保留中"),"")</f>
        <v/>
      </c>
      <c r="AP2864" s="14">
        <f>IF($AQ2864="","",IF(SUMPRODUCT(MAX((職員マスタ!$A$6:$A$405=$B2864)*(((職員マスタ!$G$6:$G$405="")+(職員マスタ!$G$6:$G$405&lt;=EOMONTH($AQ2864,0)))&gt;0)*(((職員マスタ!$H$6:$H$405="")+(職員マスタ!$H$6:$H$405&gt;=$AQ2864))&gt;0)*(ROW(職員マスタ!$A$6:$A$405)-5)))&gt;0,SUMPRODUCT(MAX((職員マスタ!$A$6:$A$405=$B2864)*(((職員マスタ!$G$6:$G$405="")+(職員マスタ!$G$6:$G$405&lt;=EOMONTH($AQ2864,0)))&gt;0)*(((職員マスタ!$H$6:$H$405="")+(職員マスタ!$H$6:$H$405&gt;=$AQ2864))&gt;0)*(ROW(職員マスタ!$A$6:$A$405)-5))),IFERROR(MATCH($B2864,職員マスタ!$A$6:$A$405,0),"")))</f>
        <v/>
      </c>
      <c r="AQ2864" s="16">
        <f>IF(OR($B2864="",$C2864="",$D2864=""),"",DATE($C2864+2018,$D2864,1))</f>
        <v/>
      </c>
    </row>
    <row r="2865">
      <c r="A2865" s="11" t="n"/>
      <c r="B2865" s="12" t="n"/>
      <c r="C2865" s="12" t="n"/>
      <c r="D2865" s="12" t="n"/>
      <c r="E2865" s="13" t="n"/>
      <c r="F2865" s="12" t="n"/>
      <c r="G2865" s="13" t="n"/>
      <c r="H2865" s="12" t="n"/>
      <c r="I2865" s="12" t="n"/>
      <c r="J2865" s="12" t="n"/>
      <c r="K2865" s="12" t="n"/>
      <c r="L2865" s="11" t="n"/>
      <c r="M2865" s="11" t="n"/>
      <c r="N2865" s="11" t="n"/>
      <c r="O2865" s="11" t="n"/>
      <c r="P2865" s="12" t="n"/>
      <c r="Q2865" s="11" t="n"/>
      <c r="R2865" s="12" t="n"/>
      <c r="S2865" s="11" t="n"/>
      <c r="T2865" s="12" t="n"/>
      <c r="U2865" s="12" t="n"/>
      <c r="V2865" s="12" t="n"/>
      <c r="W2865" s="13" t="n"/>
      <c r="X2865" s="14">
        <f>IF($AP2865="",IF($B2865="","",$H2865),IF(INDEX(職員マスタ!$B$6:$B$405,$AP2865)="",$H2865,INDEX(職員マスタ!$B$6:$B$405,$AP2865)))</f>
        <v/>
      </c>
      <c r="Y2865" s="14">
        <f>IF($AP2865="",IF($B2865="","",$R2865),IF(INDEX(職員マスタ!$C$6:$C$405,$AP2865)="",$R2865,INDEX(職員マスタ!$C$6:$C$405,$AP2865)))</f>
        <v/>
      </c>
      <c r="Z2865" s="14">
        <f>IF($AQ2865="","","R"&amp;$C2865&amp;"."&amp;$D2865)</f>
        <v/>
      </c>
      <c r="AA2865" s="15">
        <f>IF(IF($AP2865="",FALSE,INDEX(職員マスタ!$K$6:$K$405,$AP2865)&lt;&gt;""),INDEX(職員マスタ!$K$6:$K$405,$AP2865),IF(N($W2865)&gt;0,$W2865,""))</f>
        <v/>
      </c>
      <c r="AB2865" s="14">
        <f>IF(OR($E2865="",$AA2865=""),"",IF($E2865&gt;=$AA2865,"×",IF($E2865&gt;=$AA2865*設定!$C$5,"△","○")))</f>
        <v/>
      </c>
      <c r="AC2865" s="15">
        <f>IF($AB2865="","",IF($AB2865="×",0,IF($AB2865="○",ROUNDDOWN($E2865*設定!$C$4,0),ROUNDDOWN($E2865*ROUND((9*$AA2865-9*$E2865)/(10*$E2865),4),0))))</f>
        <v/>
      </c>
      <c r="AD2865" s="13" t="n"/>
      <c r="AE2865" s="15">
        <f>IF($B2865="","",IF($AD2865&lt;&gt;"",$AD2865,IF($AC2865="","",IF($AC2865&lt;=設定!$C$3,0,$AC2865))))</f>
        <v/>
      </c>
      <c r="AF2865" s="14">
        <f>IF($B2865="","",IF(AND($AG2865&lt;&gt;"",$AI2865="",$AL2865=""),"保留中",IF($AL2865&lt;&gt;"",IF(N($AE2865)&gt;0,"支給済","不支給"),IF($AE2865="","要確認",IF($AE2865=0,"不支給","未処理")))))</f>
        <v/>
      </c>
      <c r="AG2865" s="12" t="n"/>
      <c r="AH2865" s="11" t="n"/>
      <c r="AI2865" s="11" t="n"/>
      <c r="AJ2865" s="11" t="n"/>
      <c r="AK2865" s="14">
        <f>IF(AND($AF2865="保留中",$AH2865&lt;&gt;""),TODAY()-$AH2865,"")</f>
        <v/>
      </c>
      <c r="AL2865" s="12" t="n"/>
      <c r="AM2865" s="14">
        <f>IF($B2865="","",IF($AQ2865="","対象年月が未入力／","")&amp;IF($B2865="","",IF($AP2865="","職員マスタに未登録の職員番号／",IF($AA2865="","標準報酬月額が未登録／","")&amp;IF(AND($AQ2865&lt;&gt;"",OR(AND(INDEX(職員マスタ!$G$6:$G$405,$AP2865)&lt;&gt;"",INDEX(職員マスタ!$G$6:$G$405,$AP2865)&gt;EOMONTH($AQ2865,0)),AND(INDEX(職員マスタ!$H$6:$H$405,$AP2865)&lt;&gt;"",INDEX(職員マスタ!$H$6:$H$405,$AP2865)&lt;$AQ2865))),"対象月が時短期間外／","")&amp;IF(AND(INDEX(職員マスタ!$K$6:$K$405,$AP2865)&lt;&gt;"",N($W2865)&gt;0,INDEX(職員マスタ!$K$6:$K$405,$AP2865)&lt;&gt;$W2865),"標準報酬月額が申請書と相違（台帳"&amp;TEXT(INDEX(職員マスタ!$K$6:$K$405,$AP2865),"#,##0")&amp;"円／申請書"&amp;TEXT($W2865,"#,##0")&amp;"円）／","")&amp;IF(AND(INDEX(職員マスタ!$F$6:$F$405,$AP2865)&lt;&gt;"",$AQ2865&lt;&gt;"",INDEX(職員マスタ!$F$6:$F$405,$AP2865)&lt;$AQ2865),"対象月に子が2歳到達済／","")&amp;IF(AND($H2865&lt;&gt;"",INDEX(職員マスタ!$B$6:$B$405,$AP2865)&lt;&gt;"",SUBSTITUTE(SUBSTITUTE($H2865," ","")," ","")&lt;&gt;SUBSTITUTE(SUBSTITUTE(INDEX(職員マスタ!$B$6:$B$405,$AP2865)," ","")," ","")),"氏名がマスタと相違／","")&amp;IF(AND($Q2865&lt;&gt;"",INDEX(職員マスタ!$E$6:$E$405,$AP2865)&lt;&gt;"",$Q2865&lt;&gt;INDEX(職員マスタ!$E$6:$E$405,$AP2865)),"子の生年月日がマスタと相違／","")&amp;IF(AND($L2865&lt;&gt;"",INDEX(職員マスタ!$G$6:$G$405,$AP2865)&lt;&gt;"",$L2865&lt;&gt;INDEX(職員マスタ!$G$6:$G$405,$AP2865)),"時短開始日がマスタと相違／","")&amp;IF(AND($M2865&lt;&gt;"",INDEX(職員マスタ!$H$6:$H$405,$AP2865)&lt;&gt;"",$M2865&lt;&gt;INDEX(職員マスタ!$H$6:$H$405,$AP2865)),"時短終了日がマスタと相違／","")))&amp;IF(AND($B2865&lt;&gt;"",$E2865=""),"報酬額が未入力／","")&amp;IF(N($U2865)&gt;0,"申請書に入力エラーが残っています／","")&amp;IF(AND($B2865&lt;&gt;"",$AQ2865&lt;&gt;""),IF(COUNTIFS($B$6:$B$3005,$B2865,$C$6:$C$3005,$C2865,$D$6:$D$3005,$D2865)&gt;1,"同じ月の請求が重複しています／",""),"")&amp;IF(AND(N($E2865)&gt;0,$AB2865&lt;&gt;"",$AB2865&lt;&gt;"×",$AE2865=0,$AD2865=""),"計算額が下限以下のため不支給／",""))</f>
        <v/>
      </c>
      <c r="AN2865" s="12" t="n"/>
      <c r="AO2865" s="14">
        <f>IF($AF2865="保留中",COUNTIF($AF$6:$AF2865,"保留中"),"")</f>
        <v/>
      </c>
      <c r="AP2865" s="14">
        <f>IF($AQ2865="","",IF(SUMPRODUCT(MAX((職員マスタ!$A$6:$A$405=$B2865)*(((職員マスタ!$G$6:$G$405="")+(職員マスタ!$G$6:$G$405&lt;=EOMONTH($AQ2865,0)))&gt;0)*(((職員マスタ!$H$6:$H$405="")+(職員マスタ!$H$6:$H$405&gt;=$AQ2865))&gt;0)*(ROW(職員マスタ!$A$6:$A$405)-5)))&gt;0,SUMPRODUCT(MAX((職員マスタ!$A$6:$A$405=$B2865)*(((職員マスタ!$G$6:$G$405="")+(職員マスタ!$G$6:$G$405&lt;=EOMONTH($AQ2865,0)))&gt;0)*(((職員マスタ!$H$6:$H$405="")+(職員マスタ!$H$6:$H$405&gt;=$AQ2865))&gt;0)*(ROW(職員マスタ!$A$6:$A$405)-5))),IFERROR(MATCH($B2865,職員マスタ!$A$6:$A$405,0),"")))</f>
        <v/>
      </c>
      <c r="AQ2865" s="16">
        <f>IF(OR($B2865="",$C2865="",$D2865=""),"",DATE($C2865+2018,$D2865,1))</f>
        <v/>
      </c>
    </row>
    <row r="2866">
      <c r="A2866" s="11" t="n"/>
      <c r="B2866" s="12" t="n"/>
      <c r="C2866" s="12" t="n"/>
      <c r="D2866" s="12" t="n"/>
      <c r="E2866" s="13" t="n"/>
      <c r="F2866" s="12" t="n"/>
      <c r="G2866" s="13" t="n"/>
      <c r="H2866" s="12" t="n"/>
      <c r="I2866" s="12" t="n"/>
      <c r="J2866" s="12" t="n"/>
      <c r="K2866" s="12" t="n"/>
      <c r="L2866" s="11" t="n"/>
      <c r="M2866" s="11" t="n"/>
      <c r="N2866" s="11" t="n"/>
      <c r="O2866" s="11" t="n"/>
      <c r="P2866" s="12" t="n"/>
      <c r="Q2866" s="11" t="n"/>
      <c r="R2866" s="12" t="n"/>
      <c r="S2866" s="11" t="n"/>
      <c r="T2866" s="12" t="n"/>
      <c r="U2866" s="12" t="n"/>
      <c r="V2866" s="12" t="n"/>
      <c r="W2866" s="13" t="n"/>
      <c r="X2866" s="14">
        <f>IF($AP2866="",IF($B2866="","",$H2866),IF(INDEX(職員マスタ!$B$6:$B$405,$AP2866)="",$H2866,INDEX(職員マスタ!$B$6:$B$405,$AP2866)))</f>
        <v/>
      </c>
      <c r="Y2866" s="14">
        <f>IF($AP2866="",IF($B2866="","",$R2866),IF(INDEX(職員マスタ!$C$6:$C$405,$AP2866)="",$R2866,INDEX(職員マスタ!$C$6:$C$405,$AP2866)))</f>
        <v/>
      </c>
      <c r="Z2866" s="14">
        <f>IF($AQ2866="","","R"&amp;$C2866&amp;"."&amp;$D2866)</f>
        <v/>
      </c>
      <c r="AA2866" s="15">
        <f>IF(IF($AP2866="",FALSE,INDEX(職員マスタ!$K$6:$K$405,$AP2866)&lt;&gt;""),INDEX(職員マスタ!$K$6:$K$405,$AP2866),IF(N($W2866)&gt;0,$W2866,""))</f>
        <v/>
      </c>
      <c r="AB2866" s="14">
        <f>IF(OR($E2866="",$AA2866=""),"",IF($E2866&gt;=$AA2866,"×",IF($E2866&gt;=$AA2866*設定!$C$5,"△","○")))</f>
        <v/>
      </c>
      <c r="AC2866" s="15">
        <f>IF($AB2866="","",IF($AB2866="×",0,IF($AB2866="○",ROUNDDOWN($E2866*設定!$C$4,0),ROUNDDOWN($E2866*ROUND((9*$AA2866-9*$E2866)/(10*$E2866),4),0))))</f>
        <v/>
      </c>
      <c r="AD2866" s="13" t="n"/>
      <c r="AE2866" s="15">
        <f>IF($B2866="","",IF($AD2866&lt;&gt;"",$AD2866,IF($AC2866="","",IF($AC2866&lt;=設定!$C$3,0,$AC2866))))</f>
        <v/>
      </c>
      <c r="AF2866" s="14">
        <f>IF($B2866="","",IF(AND($AG2866&lt;&gt;"",$AI2866="",$AL2866=""),"保留中",IF($AL2866&lt;&gt;"",IF(N($AE2866)&gt;0,"支給済","不支給"),IF($AE2866="","要確認",IF($AE2866=0,"不支給","未処理")))))</f>
        <v/>
      </c>
      <c r="AG2866" s="12" t="n"/>
      <c r="AH2866" s="11" t="n"/>
      <c r="AI2866" s="11" t="n"/>
      <c r="AJ2866" s="11" t="n"/>
      <c r="AK2866" s="14">
        <f>IF(AND($AF2866="保留中",$AH2866&lt;&gt;""),TODAY()-$AH2866,"")</f>
        <v/>
      </c>
      <c r="AL2866" s="12" t="n"/>
      <c r="AM2866" s="14">
        <f>IF($B2866="","",IF($AQ2866="","対象年月が未入力／","")&amp;IF($B2866="","",IF($AP2866="","職員マスタに未登録の職員番号／",IF($AA2866="","標準報酬月額が未登録／","")&amp;IF(AND($AQ2866&lt;&gt;"",OR(AND(INDEX(職員マスタ!$G$6:$G$405,$AP2866)&lt;&gt;"",INDEX(職員マスタ!$G$6:$G$405,$AP2866)&gt;EOMONTH($AQ2866,0)),AND(INDEX(職員マスタ!$H$6:$H$405,$AP2866)&lt;&gt;"",INDEX(職員マスタ!$H$6:$H$405,$AP2866)&lt;$AQ2866))),"対象月が時短期間外／","")&amp;IF(AND(INDEX(職員マスタ!$K$6:$K$405,$AP2866)&lt;&gt;"",N($W2866)&gt;0,INDEX(職員マスタ!$K$6:$K$405,$AP2866)&lt;&gt;$W2866),"標準報酬月額が申請書と相違（台帳"&amp;TEXT(INDEX(職員マスタ!$K$6:$K$405,$AP2866),"#,##0")&amp;"円／申請書"&amp;TEXT($W2866,"#,##0")&amp;"円）／","")&amp;IF(AND(INDEX(職員マスタ!$F$6:$F$405,$AP2866)&lt;&gt;"",$AQ2866&lt;&gt;"",INDEX(職員マスタ!$F$6:$F$405,$AP2866)&lt;$AQ2866),"対象月に子が2歳到達済／","")&amp;IF(AND($H2866&lt;&gt;"",INDEX(職員マスタ!$B$6:$B$405,$AP2866)&lt;&gt;"",SUBSTITUTE(SUBSTITUTE($H2866," ","")," ","")&lt;&gt;SUBSTITUTE(SUBSTITUTE(INDEX(職員マスタ!$B$6:$B$405,$AP2866)," ","")," ","")),"氏名がマスタと相違／","")&amp;IF(AND($Q2866&lt;&gt;"",INDEX(職員マスタ!$E$6:$E$405,$AP2866)&lt;&gt;"",$Q2866&lt;&gt;INDEX(職員マスタ!$E$6:$E$405,$AP2866)),"子の生年月日がマスタと相違／","")&amp;IF(AND($L2866&lt;&gt;"",INDEX(職員マスタ!$G$6:$G$405,$AP2866)&lt;&gt;"",$L2866&lt;&gt;INDEX(職員マスタ!$G$6:$G$405,$AP2866)),"時短開始日がマスタと相違／","")&amp;IF(AND($M2866&lt;&gt;"",INDEX(職員マスタ!$H$6:$H$405,$AP2866)&lt;&gt;"",$M2866&lt;&gt;INDEX(職員マスタ!$H$6:$H$405,$AP2866)),"時短終了日がマスタと相違／","")))&amp;IF(AND($B2866&lt;&gt;"",$E2866=""),"報酬額が未入力／","")&amp;IF(N($U2866)&gt;0,"申請書に入力エラーが残っています／","")&amp;IF(AND($B2866&lt;&gt;"",$AQ2866&lt;&gt;""),IF(COUNTIFS($B$6:$B$3005,$B2866,$C$6:$C$3005,$C2866,$D$6:$D$3005,$D2866)&gt;1,"同じ月の請求が重複しています／",""),"")&amp;IF(AND(N($E2866)&gt;0,$AB2866&lt;&gt;"",$AB2866&lt;&gt;"×",$AE2866=0,$AD2866=""),"計算額が下限以下のため不支給／",""))</f>
        <v/>
      </c>
      <c r="AN2866" s="12" t="n"/>
      <c r="AO2866" s="14">
        <f>IF($AF2866="保留中",COUNTIF($AF$6:$AF2866,"保留中"),"")</f>
        <v/>
      </c>
      <c r="AP2866" s="14">
        <f>IF($AQ2866="","",IF(SUMPRODUCT(MAX((職員マスタ!$A$6:$A$405=$B2866)*(((職員マスタ!$G$6:$G$405="")+(職員マスタ!$G$6:$G$405&lt;=EOMONTH($AQ2866,0)))&gt;0)*(((職員マスタ!$H$6:$H$405="")+(職員マスタ!$H$6:$H$405&gt;=$AQ2866))&gt;0)*(ROW(職員マスタ!$A$6:$A$405)-5)))&gt;0,SUMPRODUCT(MAX((職員マスタ!$A$6:$A$405=$B2866)*(((職員マスタ!$G$6:$G$405="")+(職員マスタ!$G$6:$G$405&lt;=EOMONTH($AQ2866,0)))&gt;0)*(((職員マスタ!$H$6:$H$405="")+(職員マスタ!$H$6:$H$405&gt;=$AQ2866))&gt;0)*(ROW(職員マスタ!$A$6:$A$405)-5))),IFERROR(MATCH($B2866,職員マスタ!$A$6:$A$405,0),"")))</f>
        <v/>
      </c>
      <c r="AQ2866" s="16">
        <f>IF(OR($B2866="",$C2866="",$D2866=""),"",DATE($C2866+2018,$D2866,1))</f>
        <v/>
      </c>
    </row>
    <row r="2867">
      <c r="A2867" s="11" t="n"/>
      <c r="B2867" s="12" t="n"/>
      <c r="C2867" s="12" t="n"/>
      <c r="D2867" s="12" t="n"/>
      <c r="E2867" s="13" t="n"/>
      <c r="F2867" s="12" t="n"/>
      <c r="G2867" s="13" t="n"/>
      <c r="H2867" s="12" t="n"/>
      <c r="I2867" s="12" t="n"/>
      <c r="J2867" s="12" t="n"/>
      <c r="K2867" s="12" t="n"/>
      <c r="L2867" s="11" t="n"/>
      <c r="M2867" s="11" t="n"/>
      <c r="N2867" s="11" t="n"/>
      <c r="O2867" s="11" t="n"/>
      <c r="P2867" s="12" t="n"/>
      <c r="Q2867" s="11" t="n"/>
      <c r="R2867" s="12" t="n"/>
      <c r="S2867" s="11" t="n"/>
      <c r="T2867" s="12" t="n"/>
      <c r="U2867" s="12" t="n"/>
      <c r="V2867" s="12" t="n"/>
      <c r="W2867" s="13" t="n"/>
      <c r="X2867" s="14">
        <f>IF($AP2867="",IF($B2867="","",$H2867),IF(INDEX(職員マスタ!$B$6:$B$405,$AP2867)="",$H2867,INDEX(職員マスタ!$B$6:$B$405,$AP2867)))</f>
        <v/>
      </c>
      <c r="Y2867" s="14">
        <f>IF($AP2867="",IF($B2867="","",$R2867),IF(INDEX(職員マスタ!$C$6:$C$405,$AP2867)="",$R2867,INDEX(職員マスタ!$C$6:$C$405,$AP2867)))</f>
        <v/>
      </c>
      <c r="Z2867" s="14">
        <f>IF($AQ2867="","","R"&amp;$C2867&amp;"."&amp;$D2867)</f>
        <v/>
      </c>
      <c r="AA2867" s="15">
        <f>IF(IF($AP2867="",FALSE,INDEX(職員マスタ!$K$6:$K$405,$AP2867)&lt;&gt;""),INDEX(職員マスタ!$K$6:$K$405,$AP2867),IF(N($W2867)&gt;0,$W2867,""))</f>
        <v/>
      </c>
      <c r="AB2867" s="14">
        <f>IF(OR($E2867="",$AA2867=""),"",IF($E2867&gt;=$AA2867,"×",IF($E2867&gt;=$AA2867*設定!$C$5,"△","○")))</f>
        <v/>
      </c>
      <c r="AC2867" s="15">
        <f>IF($AB2867="","",IF($AB2867="×",0,IF($AB2867="○",ROUNDDOWN($E2867*設定!$C$4,0),ROUNDDOWN($E2867*ROUND((9*$AA2867-9*$E2867)/(10*$E2867),4),0))))</f>
        <v/>
      </c>
      <c r="AD2867" s="13" t="n"/>
      <c r="AE2867" s="15">
        <f>IF($B2867="","",IF($AD2867&lt;&gt;"",$AD2867,IF($AC2867="","",IF($AC2867&lt;=設定!$C$3,0,$AC2867))))</f>
        <v/>
      </c>
      <c r="AF2867" s="14">
        <f>IF($B2867="","",IF(AND($AG2867&lt;&gt;"",$AI2867="",$AL2867=""),"保留中",IF($AL2867&lt;&gt;"",IF(N($AE2867)&gt;0,"支給済","不支給"),IF($AE2867="","要確認",IF($AE2867=0,"不支給","未処理")))))</f>
        <v/>
      </c>
      <c r="AG2867" s="12" t="n"/>
      <c r="AH2867" s="11" t="n"/>
      <c r="AI2867" s="11" t="n"/>
      <c r="AJ2867" s="11" t="n"/>
      <c r="AK2867" s="14">
        <f>IF(AND($AF2867="保留中",$AH2867&lt;&gt;""),TODAY()-$AH2867,"")</f>
        <v/>
      </c>
      <c r="AL2867" s="12" t="n"/>
      <c r="AM2867" s="14">
        <f>IF($B2867="","",IF($AQ2867="","対象年月が未入力／","")&amp;IF($B2867="","",IF($AP2867="","職員マスタに未登録の職員番号／",IF($AA2867="","標準報酬月額が未登録／","")&amp;IF(AND($AQ2867&lt;&gt;"",OR(AND(INDEX(職員マスタ!$G$6:$G$405,$AP2867)&lt;&gt;"",INDEX(職員マスタ!$G$6:$G$405,$AP2867)&gt;EOMONTH($AQ2867,0)),AND(INDEX(職員マスタ!$H$6:$H$405,$AP2867)&lt;&gt;"",INDEX(職員マスタ!$H$6:$H$405,$AP2867)&lt;$AQ2867))),"対象月が時短期間外／","")&amp;IF(AND(INDEX(職員マスタ!$K$6:$K$405,$AP2867)&lt;&gt;"",N($W2867)&gt;0,INDEX(職員マスタ!$K$6:$K$405,$AP2867)&lt;&gt;$W2867),"標準報酬月額が申請書と相違（台帳"&amp;TEXT(INDEX(職員マスタ!$K$6:$K$405,$AP2867),"#,##0")&amp;"円／申請書"&amp;TEXT($W2867,"#,##0")&amp;"円）／","")&amp;IF(AND(INDEX(職員マスタ!$F$6:$F$405,$AP2867)&lt;&gt;"",$AQ2867&lt;&gt;"",INDEX(職員マスタ!$F$6:$F$405,$AP2867)&lt;$AQ2867),"対象月に子が2歳到達済／","")&amp;IF(AND($H2867&lt;&gt;"",INDEX(職員マスタ!$B$6:$B$405,$AP2867)&lt;&gt;"",SUBSTITUTE(SUBSTITUTE($H2867," ","")," ","")&lt;&gt;SUBSTITUTE(SUBSTITUTE(INDEX(職員マスタ!$B$6:$B$405,$AP2867)," ","")," ","")),"氏名がマスタと相違／","")&amp;IF(AND($Q2867&lt;&gt;"",INDEX(職員マスタ!$E$6:$E$405,$AP2867)&lt;&gt;"",$Q2867&lt;&gt;INDEX(職員マスタ!$E$6:$E$405,$AP2867)),"子の生年月日がマスタと相違／","")&amp;IF(AND($L2867&lt;&gt;"",INDEX(職員マスタ!$G$6:$G$405,$AP2867)&lt;&gt;"",$L2867&lt;&gt;INDEX(職員マスタ!$G$6:$G$405,$AP2867)),"時短開始日がマスタと相違／","")&amp;IF(AND($M2867&lt;&gt;"",INDEX(職員マスタ!$H$6:$H$405,$AP2867)&lt;&gt;"",$M2867&lt;&gt;INDEX(職員マスタ!$H$6:$H$405,$AP2867)),"時短終了日がマスタと相違／","")))&amp;IF(AND($B2867&lt;&gt;"",$E2867=""),"報酬額が未入力／","")&amp;IF(N($U2867)&gt;0,"申請書に入力エラーが残っています／","")&amp;IF(AND($B2867&lt;&gt;"",$AQ2867&lt;&gt;""),IF(COUNTIFS($B$6:$B$3005,$B2867,$C$6:$C$3005,$C2867,$D$6:$D$3005,$D2867)&gt;1,"同じ月の請求が重複しています／",""),"")&amp;IF(AND(N($E2867)&gt;0,$AB2867&lt;&gt;"",$AB2867&lt;&gt;"×",$AE2867=0,$AD2867=""),"計算額が下限以下のため不支給／",""))</f>
        <v/>
      </c>
      <c r="AN2867" s="12" t="n"/>
      <c r="AO2867" s="14">
        <f>IF($AF2867="保留中",COUNTIF($AF$6:$AF2867,"保留中"),"")</f>
        <v/>
      </c>
      <c r="AP2867" s="14">
        <f>IF($AQ2867="","",IF(SUMPRODUCT(MAX((職員マスタ!$A$6:$A$405=$B2867)*(((職員マスタ!$G$6:$G$405="")+(職員マスタ!$G$6:$G$405&lt;=EOMONTH($AQ2867,0)))&gt;0)*(((職員マスタ!$H$6:$H$405="")+(職員マスタ!$H$6:$H$405&gt;=$AQ2867))&gt;0)*(ROW(職員マスタ!$A$6:$A$405)-5)))&gt;0,SUMPRODUCT(MAX((職員マスタ!$A$6:$A$405=$B2867)*(((職員マスタ!$G$6:$G$405="")+(職員マスタ!$G$6:$G$405&lt;=EOMONTH($AQ2867,0)))&gt;0)*(((職員マスタ!$H$6:$H$405="")+(職員マスタ!$H$6:$H$405&gt;=$AQ2867))&gt;0)*(ROW(職員マスタ!$A$6:$A$405)-5))),IFERROR(MATCH($B2867,職員マスタ!$A$6:$A$405,0),"")))</f>
        <v/>
      </c>
      <c r="AQ2867" s="16">
        <f>IF(OR($B2867="",$C2867="",$D2867=""),"",DATE($C2867+2018,$D2867,1))</f>
        <v/>
      </c>
    </row>
    <row r="2868">
      <c r="A2868" s="11" t="n"/>
      <c r="B2868" s="12" t="n"/>
      <c r="C2868" s="12" t="n"/>
      <c r="D2868" s="12" t="n"/>
      <c r="E2868" s="13" t="n"/>
      <c r="F2868" s="12" t="n"/>
      <c r="G2868" s="13" t="n"/>
      <c r="H2868" s="12" t="n"/>
      <c r="I2868" s="12" t="n"/>
      <c r="J2868" s="12" t="n"/>
      <c r="K2868" s="12" t="n"/>
      <c r="L2868" s="11" t="n"/>
      <c r="M2868" s="11" t="n"/>
      <c r="N2868" s="11" t="n"/>
      <c r="O2868" s="11" t="n"/>
      <c r="P2868" s="12" t="n"/>
      <c r="Q2868" s="11" t="n"/>
      <c r="R2868" s="12" t="n"/>
      <c r="S2868" s="11" t="n"/>
      <c r="T2868" s="12" t="n"/>
      <c r="U2868" s="12" t="n"/>
      <c r="V2868" s="12" t="n"/>
      <c r="W2868" s="13" t="n"/>
      <c r="X2868" s="14">
        <f>IF($AP2868="",IF($B2868="","",$H2868),IF(INDEX(職員マスタ!$B$6:$B$405,$AP2868)="",$H2868,INDEX(職員マスタ!$B$6:$B$405,$AP2868)))</f>
        <v/>
      </c>
      <c r="Y2868" s="14">
        <f>IF($AP2868="",IF($B2868="","",$R2868),IF(INDEX(職員マスタ!$C$6:$C$405,$AP2868)="",$R2868,INDEX(職員マスタ!$C$6:$C$405,$AP2868)))</f>
        <v/>
      </c>
      <c r="Z2868" s="14">
        <f>IF($AQ2868="","","R"&amp;$C2868&amp;"."&amp;$D2868)</f>
        <v/>
      </c>
      <c r="AA2868" s="15">
        <f>IF(IF($AP2868="",FALSE,INDEX(職員マスタ!$K$6:$K$405,$AP2868)&lt;&gt;""),INDEX(職員マスタ!$K$6:$K$405,$AP2868),IF(N($W2868)&gt;0,$W2868,""))</f>
        <v/>
      </c>
      <c r="AB2868" s="14">
        <f>IF(OR($E2868="",$AA2868=""),"",IF($E2868&gt;=$AA2868,"×",IF($E2868&gt;=$AA2868*設定!$C$5,"△","○")))</f>
        <v/>
      </c>
      <c r="AC2868" s="15">
        <f>IF($AB2868="","",IF($AB2868="×",0,IF($AB2868="○",ROUNDDOWN($E2868*設定!$C$4,0),ROUNDDOWN($E2868*ROUND((9*$AA2868-9*$E2868)/(10*$E2868),4),0))))</f>
        <v/>
      </c>
      <c r="AD2868" s="13" t="n"/>
      <c r="AE2868" s="15">
        <f>IF($B2868="","",IF($AD2868&lt;&gt;"",$AD2868,IF($AC2868="","",IF($AC2868&lt;=設定!$C$3,0,$AC2868))))</f>
        <v/>
      </c>
      <c r="AF2868" s="14">
        <f>IF($B2868="","",IF(AND($AG2868&lt;&gt;"",$AI2868="",$AL2868=""),"保留中",IF($AL2868&lt;&gt;"",IF(N($AE2868)&gt;0,"支給済","不支給"),IF($AE2868="","要確認",IF($AE2868=0,"不支給","未処理")))))</f>
        <v/>
      </c>
      <c r="AG2868" s="12" t="n"/>
      <c r="AH2868" s="11" t="n"/>
      <c r="AI2868" s="11" t="n"/>
      <c r="AJ2868" s="11" t="n"/>
      <c r="AK2868" s="14">
        <f>IF(AND($AF2868="保留中",$AH2868&lt;&gt;""),TODAY()-$AH2868,"")</f>
        <v/>
      </c>
      <c r="AL2868" s="12" t="n"/>
      <c r="AM2868" s="14">
        <f>IF($B2868="","",IF($AQ2868="","対象年月が未入力／","")&amp;IF($B2868="","",IF($AP2868="","職員マスタに未登録の職員番号／",IF($AA2868="","標準報酬月額が未登録／","")&amp;IF(AND($AQ2868&lt;&gt;"",OR(AND(INDEX(職員マスタ!$G$6:$G$405,$AP2868)&lt;&gt;"",INDEX(職員マスタ!$G$6:$G$405,$AP2868)&gt;EOMONTH($AQ2868,0)),AND(INDEX(職員マスタ!$H$6:$H$405,$AP2868)&lt;&gt;"",INDEX(職員マスタ!$H$6:$H$405,$AP2868)&lt;$AQ2868))),"対象月が時短期間外／","")&amp;IF(AND(INDEX(職員マスタ!$K$6:$K$405,$AP2868)&lt;&gt;"",N($W2868)&gt;0,INDEX(職員マスタ!$K$6:$K$405,$AP2868)&lt;&gt;$W2868),"標準報酬月額が申請書と相違（台帳"&amp;TEXT(INDEX(職員マスタ!$K$6:$K$405,$AP2868),"#,##0")&amp;"円／申請書"&amp;TEXT($W2868,"#,##0")&amp;"円）／","")&amp;IF(AND(INDEX(職員マスタ!$F$6:$F$405,$AP2868)&lt;&gt;"",$AQ2868&lt;&gt;"",INDEX(職員マスタ!$F$6:$F$405,$AP2868)&lt;$AQ2868),"対象月に子が2歳到達済／","")&amp;IF(AND($H2868&lt;&gt;"",INDEX(職員マスタ!$B$6:$B$405,$AP2868)&lt;&gt;"",SUBSTITUTE(SUBSTITUTE($H2868," ","")," ","")&lt;&gt;SUBSTITUTE(SUBSTITUTE(INDEX(職員マスタ!$B$6:$B$405,$AP2868)," ","")," ","")),"氏名がマスタと相違／","")&amp;IF(AND($Q2868&lt;&gt;"",INDEX(職員マスタ!$E$6:$E$405,$AP2868)&lt;&gt;"",$Q2868&lt;&gt;INDEX(職員マスタ!$E$6:$E$405,$AP2868)),"子の生年月日がマスタと相違／","")&amp;IF(AND($L2868&lt;&gt;"",INDEX(職員マスタ!$G$6:$G$405,$AP2868)&lt;&gt;"",$L2868&lt;&gt;INDEX(職員マスタ!$G$6:$G$405,$AP2868)),"時短開始日がマスタと相違／","")&amp;IF(AND($M2868&lt;&gt;"",INDEX(職員マスタ!$H$6:$H$405,$AP2868)&lt;&gt;"",$M2868&lt;&gt;INDEX(職員マスタ!$H$6:$H$405,$AP2868)),"時短終了日がマスタと相違／","")))&amp;IF(AND($B2868&lt;&gt;"",$E2868=""),"報酬額が未入力／","")&amp;IF(N($U2868)&gt;0,"申請書に入力エラーが残っています／","")&amp;IF(AND($B2868&lt;&gt;"",$AQ2868&lt;&gt;""),IF(COUNTIFS($B$6:$B$3005,$B2868,$C$6:$C$3005,$C2868,$D$6:$D$3005,$D2868)&gt;1,"同じ月の請求が重複しています／",""),"")&amp;IF(AND(N($E2868)&gt;0,$AB2868&lt;&gt;"",$AB2868&lt;&gt;"×",$AE2868=0,$AD2868=""),"計算額が下限以下のため不支給／",""))</f>
        <v/>
      </c>
      <c r="AN2868" s="12" t="n"/>
      <c r="AO2868" s="14">
        <f>IF($AF2868="保留中",COUNTIF($AF$6:$AF2868,"保留中"),"")</f>
        <v/>
      </c>
      <c r="AP2868" s="14">
        <f>IF($AQ2868="","",IF(SUMPRODUCT(MAX((職員マスタ!$A$6:$A$405=$B2868)*(((職員マスタ!$G$6:$G$405="")+(職員マスタ!$G$6:$G$405&lt;=EOMONTH($AQ2868,0)))&gt;0)*(((職員マスタ!$H$6:$H$405="")+(職員マスタ!$H$6:$H$405&gt;=$AQ2868))&gt;0)*(ROW(職員マスタ!$A$6:$A$405)-5)))&gt;0,SUMPRODUCT(MAX((職員マスタ!$A$6:$A$405=$B2868)*(((職員マスタ!$G$6:$G$405="")+(職員マスタ!$G$6:$G$405&lt;=EOMONTH($AQ2868,0)))&gt;0)*(((職員マスタ!$H$6:$H$405="")+(職員マスタ!$H$6:$H$405&gt;=$AQ2868))&gt;0)*(ROW(職員マスタ!$A$6:$A$405)-5))),IFERROR(MATCH($B2868,職員マスタ!$A$6:$A$405,0),"")))</f>
        <v/>
      </c>
      <c r="AQ2868" s="16">
        <f>IF(OR($B2868="",$C2868="",$D2868=""),"",DATE($C2868+2018,$D2868,1))</f>
        <v/>
      </c>
    </row>
    <row r="2869">
      <c r="A2869" s="11" t="n"/>
      <c r="B2869" s="12" t="n"/>
      <c r="C2869" s="12" t="n"/>
      <c r="D2869" s="12" t="n"/>
      <c r="E2869" s="13" t="n"/>
      <c r="F2869" s="12" t="n"/>
      <c r="G2869" s="13" t="n"/>
      <c r="H2869" s="12" t="n"/>
      <c r="I2869" s="12" t="n"/>
      <c r="J2869" s="12" t="n"/>
      <c r="K2869" s="12" t="n"/>
      <c r="L2869" s="11" t="n"/>
      <c r="M2869" s="11" t="n"/>
      <c r="N2869" s="11" t="n"/>
      <c r="O2869" s="11" t="n"/>
      <c r="P2869" s="12" t="n"/>
      <c r="Q2869" s="11" t="n"/>
      <c r="R2869" s="12" t="n"/>
      <c r="S2869" s="11" t="n"/>
      <c r="T2869" s="12" t="n"/>
      <c r="U2869" s="12" t="n"/>
      <c r="V2869" s="12" t="n"/>
      <c r="W2869" s="13" t="n"/>
      <c r="X2869" s="14">
        <f>IF($AP2869="",IF($B2869="","",$H2869),IF(INDEX(職員マスタ!$B$6:$B$405,$AP2869)="",$H2869,INDEX(職員マスタ!$B$6:$B$405,$AP2869)))</f>
        <v/>
      </c>
      <c r="Y2869" s="14">
        <f>IF($AP2869="",IF($B2869="","",$R2869),IF(INDEX(職員マスタ!$C$6:$C$405,$AP2869)="",$R2869,INDEX(職員マスタ!$C$6:$C$405,$AP2869)))</f>
        <v/>
      </c>
      <c r="Z2869" s="14">
        <f>IF($AQ2869="","","R"&amp;$C2869&amp;"."&amp;$D2869)</f>
        <v/>
      </c>
      <c r="AA2869" s="15">
        <f>IF(IF($AP2869="",FALSE,INDEX(職員マスタ!$K$6:$K$405,$AP2869)&lt;&gt;""),INDEX(職員マスタ!$K$6:$K$405,$AP2869),IF(N($W2869)&gt;0,$W2869,""))</f>
        <v/>
      </c>
      <c r="AB2869" s="14">
        <f>IF(OR($E2869="",$AA2869=""),"",IF($E2869&gt;=$AA2869,"×",IF($E2869&gt;=$AA2869*設定!$C$5,"△","○")))</f>
        <v/>
      </c>
      <c r="AC2869" s="15">
        <f>IF($AB2869="","",IF($AB2869="×",0,IF($AB2869="○",ROUNDDOWN($E2869*設定!$C$4,0),ROUNDDOWN($E2869*ROUND((9*$AA2869-9*$E2869)/(10*$E2869),4),0))))</f>
        <v/>
      </c>
      <c r="AD2869" s="13" t="n"/>
      <c r="AE2869" s="15">
        <f>IF($B2869="","",IF($AD2869&lt;&gt;"",$AD2869,IF($AC2869="","",IF($AC2869&lt;=設定!$C$3,0,$AC2869))))</f>
        <v/>
      </c>
      <c r="AF2869" s="14">
        <f>IF($B2869="","",IF(AND($AG2869&lt;&gt;"",$AI2869="",$AL2869=""),"保留中",IF($AL2869&lt;&gt;"",IF(N($AE2869)&gt;0,"支給済","不支給"),IF($AE2869="","要確認",IF($AE2869=0,"不支給","未処理")))))</f>
        <v/>
      </c>
      <c r="AG2869" s="12" t="n"/>
      <c r="AH2869" s="11" t="n"/>
      <c r="AI2869" s="11" t="n"/>
      <c r="AJ2869" s="11" t="n"/>
      <c r="AK2869" s="14">
        <f>IF(AND($AF2869="保留中",$AH2869&lt;&gt;""),TODAY()-$AH2869,"")</f>
        <v/>
      </c>
      <c r="AL2869" s="12" t="n"/>
      <c r="AM2869" s="14">
        <f>IF($B2869="","",IF($AQ2869="","対象年月が未入力／","")&amp;IF($B2869="","",IF($AP2869="","職員マスタに未登録の職員番号／",IF($AA2869="","標準報酬月額が未登録／","")&amp;IF(AND($AQ2869&lt;&gt;"",OR(AND(INDEX(職員マスタ!$G$6:$G$405,$AP2869)&lt;&gt;"",INDEX(職員マスタ!$G$6:$G$405,$AP2869)&gt;EOMONTH($AQ2869,0)),AND(INDEX(職員マスタ!$H$6:$H$405,$AP2869)&lt;&gt;"",INDEX(職員マスタ!$H$6:$H$405,$AP2869)&lt;$AQ2869))),"対象月が時短期間外／","")&amp;IF(AND(INDEX(職員マスタ!$K$6:$K$405,$AP2869)&lt;&gt;"",N($W2869)&gt;0,INDEX(職員マスタ!$K$6:$K$405,$AP2869)&lt;&gt;$W2869),"標準報酬月額が申請書と相違（台帳"&amp;TEXT(INDEX(職員マスタ!$K$6:$K$405,$AP2869),"#,##0")&amp;"円／申請書"&amp;TEXT($W2869,"#,##0")&amp;"円）／","")&amp;IF(AND(INDEX(職員マスタ!$F$6:$F$405,$AP2869)&lt;&gt;"",$AQ2869&lt;&gt;"",INDEX(職員マスタ!$F$6:$F$405,$AP2869)&lt;$AQ2869),"対象月に子が2歳到達済／","")&amp;IF(AND($H2869&lt;&gt;"",INDEX(職員マスタ!$B$6:$B$405,$AP2869)&lt;&gt;"",SUBSTITUTE(SUBSTITUTE($H2869," ","")," ","")&lt;&gt;SUBSTITUTE(SUBSTITUTE(INDEX(職員マスタ!$B$6:$B$405,$AP2869)," ","")," ","")),"氏名がマスタと相違／","")&amp;IF(AND($Q2869&lt;&gt;"",INDEX(職員マスタ!$E$6:$E$405,$AP2869)&lt;&gt;"",$Q2869&lt;&gt;INDEX(職員マスタ!$E$6:$E$405,$AP2869)),"子の生年月日がマスタと相違／","")&amp;IF(AND($L2869&lt;&gt;"",INDEX(職員マスタ!$G$6:$G$405,$AP2869)&lt;&gt;"",$L2869&lt;&gt;INDEX(職員マスタ!$G$6:$G$405,$AP2869)),"時短開始日がマスタと相違／","")&amp;IF(AND($M2869&lt;&gt;"",INDEX(職員マスタ!$H$6:$H$405,$AP2869)&lt;&gt;"",$M2869&lt;&gt;INDEX(職員マスタ!$H$6:$H$405,$AP2869)),"時短終了日がマスタと相違／","")))&amp;IF(AND($B2869&lt;&gt;"",$E2869=""),"報酬額が未入力／","")&amp;IF(N($U2869)&gt;0,"申請書に入力エラーが残っています／","")&amp;IF(AND($B2869&lt;&gt;"",$AQ2869&lt;&gt;""),IF(COUNTIFS($B$6:$B$3005,$B2869,$C$6:$C$3005,$C2869,$D$6:$D$3005,$D2869)&gt;1,"同じ月の請求が重複しています／",""),"")&amp;IF(AND(N($E2869)&gt;0,$AB2869&lt;&gt;"",$AB2869&lt;&gt;"×",$AE2869=0,$AD2869=""),"計算額が下限以下のため不支給／",""))</f>
        <v/>
      </c>
      <c r="AN2869" s="12" t="n"/>
      <c r="AO2869" s="14">
        <f>IF($AF2869="保留中",COUNTIF($AF$6:$AF2869,"保留中"),"")</f>
        <v/>
      </c>
      <c r="AP2869" s="14">
        <f>IF($AQ2869="","",IF(SUMPRODUCT(MAX((職員マスタ!$A$6:$A$405=$B2869)*(((職員マスタ!$G$6:$G$405="")+(職員マスタ!$G$6:$G$405&lt;=EOMONTH($AQ2869,0)))&gt;0)*(((職員マスタ!$H$6:$H$405="")+(職員マスタ!$H$6:$H$405&gt;=$AQ2869))&gt;0)*(ROW(職員マスタ!$A$6:$A$405)-5)))&gt;0,SUMPRODUCT(MAX((職員マスタ!$A$6:$A$405=$B2869)*(((職員マスタ!$G$6:$G$405="")+(職員マスタ!$G$6:$G$405&lt;=EOMONTH($AQ2869,0)))&gt;0)*(((職員マスタ!$H$6:$H$405="")+(職員マスタ!$H$6:$H$405&gt;=$AQ2869))&gt;0)*(ROW(職員マスタ!$A$6:$A$405)-5))),IFERROR(MATCH($B2869,職員マスタ!$A$6:$A$405,0),"")))</f>
        <v/>
      </c>
      <c r="AQ2869" s="16">
        <f>IF(OR($B2869="",$C2869="",$D2869=""),"",DATE($C2869+2018,$D2869,1))</f>
        <v/>
      </c>
    </row>
    <row r="2870">
      <c r="A2870" s="11" t="n"/>
      <c r="B2870" s="12" t="n"/>
      <c r="C2870" s="12" t="n"/>
      <c r="D2870" s="12" t="n"/>
      <c r="E2870" s="13" t="n"/>
      <c r="F2870" s="12" t="n"/>
      <c r="G2870" s="13" t="n"/>
      <c r="H2870" s="12" t="n"/>
      <c r="I2870" s="12" t="n"/>
      <c r="J2870" s="12" t="n"/>
      <c r="K2870" s="12" t="n"/>
      <c r="L2870" s="11" t="n"/>
      <c r="M2870" s="11" t="n"/>
      <c r="N2870" s="11" t="n"/>
      <c r="O2870" s="11" t="n"/>
      <c r="P2870" s="12" t="n"/>
      <c r="Q2870" s="11" t="n"/>
      <c r="R2870" s="12" t="n"/>
      <c r="S2870" s="11" t="n"/>
      <c r="T2870" s="12" t="n"/>
      <c r="U2870" s="12" t="n"/>
      <c r="V2870" s="12" t="n"/>
      <c r="W2870" s="13" t="n"/>
      <c r="X2870" s="14">
        <f>IF($AP2870="",IF($B2870="","",$H2870),IF(INDEX(職員マスタ!$B$6:$B$405,$AP2870)="",$H2870,INDEX(職員マスタ!$B$6:$B$405,$AP2870)))</f>
        <v/>
      </c>
      <c r="Y2870" s="14">
        <f>IF($AP2870="",IF($B2870="","",$R2870),IF(INDEX(職員マスタ!$C$6:$C$405,$AP2870)="",$R2870,INDEX(職員マスタ!$C$6:$C$405,$AP2870)))</f>
        <v/>
      </c>
      <c r="Z2870" s="14">
        <f>IF($AQ2870="","","R"&amp;$C2870&amp;"."&amp;$D2870)</f>
        <v/>
      </c>
      <c r="AA2870" s="15">
        <f>IF(IF($AP2870="",FALSE,INDEX(職員マスタ!$K$6:$K$405,$AP2870)&lt;&gt;""),INDEX(職員マスタ!$K$6:$K$405,$AP2870),IF(N($W2870)&gt;0,$W2870,""))</f>
        <v/>
      </c>
      <c r="AB2870" s="14">
        <f>IF(OR($E2870="",$AA2870=""),"",IF($E2870&gt;=$AA2870,"×",IF($E2870&gt;=$AA2870*設定!$C$5,"△","○")))</f>
        <v/>
      </c>
      <c r="AC2870" s="15">
        <f>IF($AB2870="","",IF($AB2870="×",0,IF($AB2870="○",ROUNDDOWN($E2870*設定!$C$4,0),ROUNDDOWN($E2870*ROUND((9*$AA2870-9*$E2870)/(10*$E2870),4),0))))</f>
        <v/>
      </c>
      <c r="AD2870" s="13" t="n"/>
      <c r="AE2870" s="15">
        <f>IF($B2870="","",IF($AD2870&lt;&gt;"",$AD2870,IF($AC2870="","",IF($AC2870&lt;=設定!$C$3,0,$AC2870))))</f>
        <v/>
      </c>
      <c r="AF2870" s="14">
        <f>IF($B2870="","",IF(AND($AG2870&lt;&gt;"",$AI2870="",$AL2870=""),"保留中",IF($AL2870&lt;&gt;"",IF(N($AE2870)&gt;0,"支給済","不支給"),IF($AE2870="","要確認",IF($AE2870=0,"不支給","未処理")))))</f>
        <v/>
      </c>
      <c r="AG2870" s="12" t="n"/>
      <c r="AH2870" s="11" t="n"/>
      <c r="AI2870" s="11" t="n"/>
      <c r="AJ2870" s="11" t="n"/>
      <c r="AK2870" s="14">
        <f>IF(AND($AF2870="保留中",$AH2870&lt;&gt;""),TODAY()-$AH2870,"")</f>
        <v/>
      </c>
      <c r="AL2870" s="12" t="n"/>
      <c r="AM2870" s="14">
        <f>IF($B2870="","",IF($AQ2870="","対象年月が未入力／","")&amp;IF($B2870="","",IF($AP2870="","職員マスタに未登録の職員番号／",IF($AA2870="","標準報酬月額が未登録／","")&amp;IF(AND($AQ2870&lt;&gt;"",OR(AND(INDEX(職員マスタ!$G$6:$G$405,$AP2870)&lt;&gt;"",INDEX(職員マスタ!$G$6:$G$405,$AP2870)&gt;EOMONTH($AQ2870,0)),AND(INDEX(職員マスタ!$H$6:$H$405,$AP2870)&lt;&gt;"",INDEX(職員マスタ!$H$6:$H$405,$AP2870)&lt;$AQ2870))),"対象月が時短期間外／","")&amp;IF(AND(INDEX(職員マスタ!$K$6:$K$405,$AP2870)&lt;&gt;"",N($W2870)&gt;0,INDEX(職員マスタ!$K$6:$K$405,$AP2870)&lt;&gt;$W2870),"標準報酬月額が申請書と相違（台帳"&amp;TEXT(INDEX(職員マスタ!$K$6:$K$405,$AP2870),"#,##0")&amp;"円／申請書"&amp;TEXT($W2870,"#,##0")&amp;"円）／","")&amp;IF(AND(INDEX(職員マスタ!$F$6:$F$405,$AP2870)&lt;&gt;"",$AQ2870&lt;&gt;"",INDEX(職員マスタ!$F$6:$F$405,$AP2870)&lt;$AQ2870),"対象月に子が2歳到達済／","")&amp;IF(AND($H2870&lt;&gt;"",INDEX(職員マスタ!$B$6:$B$405,$AP2870)&lt;&gt;"",SUBSTITUTE(SUBSTITUTE($H2870," ","")," ","")&lt;&gt;SUBSTITUTE(SUBSTITUTE(INDEX(職員マスタ!$B$6:$B$405,$AP2870)," ","")," ","")),"氏名がマスタと相違／","")&amp;IF(AND($Q2870&lt;&gt;"",INDEX(職員マスタ!$E$6:$E$405,$AP2870)&lt;&gt;"",$Q2870&lt;&gt;INDEX(職員マスタ!$E$6:$E$405,$AP2870)),"子の生年月日がマスタと相違／","")&amp;IF(AND($L2870&lt;&gt;"",INDEX(職員マスタ!$G$6:$G$405,$AP2870)&lt;&gt;"",$L2870&lt;&gt;INDEX(職員マスタ!$G$6:$G$405,$AP2870)),"時短開始日がマスタと相違／","")&amp;IF(AND($M2870&lt;&gt;"",INDEX(職員マスタ!$H$6:$H$405,$AP2870)&lt;&gt;"",$M2870&lt;&gt;INDEX(職員マスタ!$H$6:$H$405,$AP2870)),"時短終了日がマスタと相違／","")))&amp;IF(AND($B2870&lt;&gt;"",$E2870=""),"報酬額が未入力／","")&amp;IF(N($U2870)&gt;0,"申請書に入力エラーが残っています／","")&amp;IF(AND($B2870&lt;&gt;"",$AQ2870&lt;&gt;""),IF(COUNTIFS($B$6:$B$3005,$B2870,$C$6:$C$3005,$C2870,$D$6:$D$3005,$D2870)&gt;1,"同じ月の請求が重複しています／",""),"")&amp;IF(AND(N($E2870)&gt;0,$AB2870&lt;&gt;"",$AB2870&lt;&gt;"×",$AE2870=0,$AD2870=""),"計算額が下限以下のため不支給／",""))</f>
        <v/>
      </c>
      <c r="AN2870" s="12" t="n"/>
      <c r="AO2870" s="14">
        <f>IF($AF2870="保留中",COUNTIF($AF$6:$AF2870,"保留中"),"")</f>
        <v/>
      </c>
      <c r="AP2870" s="14">
        <f>IF($AQ2870="","",IF(SUMPRODUCT(MAX((職員マスタ!$A$6:$A$405=$B2870)*(((職員マスタ!$G$6:$G$405="")+(職員マスタ!$G$6:$G$405&lt;=EOMONTH($AQ2870,0)))&gt;0)*(((職員マスタ!$H$6:$H$405="")+(職員マスタ!$H$6:$H$405&gt;=$AQ2870))&gt;0)*(ROW(職員マスタ!$A$6:$A$405)-5)))&gt;0,SUMPRODUCT(MAX((職員マスタ!$A$6:$A$405=$B2870)*(((職員マスタ!$G$6:$G$405="")+(職員マスタ!$G$6:$G$405&lt;=EOMONTH($AQ2870,0)))&gt;0)*(((職員マスタ!$H$6:$H$405="")+(職員マスタ!$H$6:$H$405&gt;=$AQ2870))&gt;0)*(ROW(職員マスタ!$A$6:$A$405)-5))),IFERROR(MATCH($B2870,職員マスタ!$A$6:$A$405,0),"")))</f>
        <v/>
      </c>
      <c r="AQ2870" s="16">
        <f>IF(OR($B2870="",$C2870="",$D2870=""),"",DATE($C2870+2018,$D2870,1))</f>
        <v/>
      </c>
    </row>
    <row r="2871">
      <c r="A2871" s="11" t="n"/>
      <c r="B2871" s="12" t="n"/>
      <c r="C2871" s="12" t="n"/>
      <c r="D2871" s="12" t="n"/>
      <c r="E2871" s="13" t="n"/>
      <c r="F2871" s="12" t="n"/>
      <c r="G2871" s="13" t="n"/>
      <c r="H2871" s="12" t="n"/>
      <c r="I2871" s="12" t="n"/>
      <c r="J2871" s="12" t="n"/>
      <c r="K2871" s="12" t="n"/>
      <c r="L2871" s="11" t="n"/>
      <c r="M2871" s="11" t="n"/>
      <c r="N2871" s="11" t="n"/>
      <c r="O2871" s="11" t="n"/>
      <c r="P2871" s="12" t="n"/>
      <c r="Q2871" s="11" t="n"/>
      <c r="R2871" s="12" t="n"/>
      <c r="S2871" s="11" t="n"/>
      <c r="T2871" s="12" t="n"/>
      <c r="U2871" s="12" t="n"/>
      <c r="V2871" s="12" t="n"/>
      <c r="W2871" s="13" t="n"/>
      <c r="X2871" s="14">
        <f>IF($AP2871="",IF($B2871="","",$H2871),IF(INDEX(職員マスタ!$B$6:$B$405,$AP2871)="",$H2871,INDEX(職員マスタ!$B$6:$B$405,$AP2871)))</f>
        <v/>
      </c>
      <c r="Y2871" s="14">
        <f>IF($AP2871="",IF($B2871="","",$R2871),IF(INDEX(職員マスタ!$C$6:$C$405,$AP2871)="",$R2871,INDEX(職員マスタ!$C$6:$C$405,$AP2871)))</f>
        <v/>
      </c>
      <c r="Z2871" s="14">
        <f>IF($AQ2871="","","R"&amp;$C2871&amp;"."&amp;$D2871)</f>
        <v/>
      </c>
      <c r="AA2871" s="15">
        <f>IF(IF($AP2871="",FALSE,INDEX(職員マスタ!$K$6:$K$405,$AP2871)&lt;&gt;""),INDEX(職員マスタ!$K$6:$K$405,$AP2871),IF(N($W2871)&gt;0,$W2871,""))</f>
        <v/>
      </c>
      <c r="AB2871" s="14">
        <f>IF(OR($E2871="",$AA2871=""),"",IF($E2871&gt;=$AA2871,"×",IF($E2871&gt;=$AA2871*設定!$C$5,"△","○")))</f>
        <v/>
      </c>
      <c r="AC2871" s="15">
        <f>IF($AB2871="","",IF($AB2871="×",0,IF($AB2871="○",ROUNDDOWN($E2871*設定!$C$4,0),ROUNDDOWN($E2871*ROUND((9*$AA2871-9*$E2871)/(10*$E2871),4),0))))</f>
        <v/>
      </c>
      <c r="AD2871" s="13" t="n"/>
      <c r="AE2871" s="15">
        <f>IF($B2871="","",IF($AD2871&lt;&gt;"",$AD2871,IF($AC2871="","",IF($AC2871&lt;=設定!$C$3,0,$AC2871))))</f>
        <v/>
      </c>
      <c r="AF2871" s="14">
        <f>IF($B2871="","",IF(AND($AG2871&lt;&gt;"",$AI2871="",$AL2871=""),"保留中",IF($AL2871&lt;&gt;"",IF(N($AE2871)&gt;0,"支給済","不支給"),IF($AE2871="","要確認",IF($AE2871=0,"不支給","未処理")))))</f>
        <v/>
      </c>
      <c r="AG2871" s="12" t="n"/>
      <c r="AH2871" s="11" t="n"/>
      <c r="AI2871" s="11" t="n"/>
      <c r="AJ2871" s="11" t="n"/>
      <c r="AK2871" s="14">
        <f>IF(AND($AF2871="保留中",$AH2871&lt;&gt;""),TODAY()-$AH2871,"")</f>
        <v/>
      </c>
      <c r="AL2871" s="12" t="n"/>
      <c r="AM2871" s="14">
        <f>IF($B2871="","",IF($AQ2871="","対象年月が未入力／","")&amp;IF($B2871="","",IF($AP2871="","職員マスタに未登録の職員番号／",IF($AA2871="","標準報酬月額が未登録／","")&amp;IF(AND($AQ2871&lt;&gt;"",OR(AND(INDEX(職員マスタ!$G$6:$G$405,$AP2871)&lt;&gt;"",INDEX(職員マスタ!$G$6:$G$405,$AP2871)&gt;EOMONTH($AQ2871,0)),AND(INDEX(職員マスタ!$H$6:$H$405,$AP2871)&lt;&gt;"",INDEX(職員マスタ!$H$6:$H$405,$AP2871)&lt;$AQ2871))),"対象月が時短期間外／","")&amp;IF(AND(INDEX(職員マスタ!$K$6:$K$405,$AP2871)&lt;&gt;"",N($W2871)&gt;0,INDEX(職員マスタ!$K$6:$K$405,$AP2871)&lt;&gt;$W2871),"標準報酬月額が申請書と相違（台帳"&amp;TEXT(INDEX(職員マスタ!$K$6:$K$405,$AP2871),"#,##0")&amp;"円／申請書"&amp;TEXT($W2871,"#,##0")&amp;"円）／","")&amp;IF(AND(INDEX(職員マスタ!$F$6:$F$405,$AP2871)&lt;&gt;"",$AQ2871&lt;&gt;"",INDEX(職員マスタ!$F$6:$F$405,$AP2871)&lt;$AQ2871),"対象月に子が2歳到達済／","")&amp;IF(AND($H2871&lt;&gt;"",INDEX(職員マスタ!$B$6:$B$405,$AP2871)&lt;&gt;"",SUBSTITUTE(SUBSTITUTE($H2871," ","")," ","")&lt;&gt;SUBSTITUTE(SUBSTITUTE(INDEX(職員マスタ!$B$6:$B$405,$AP2871)," ","")," ","")),"氏名がマスタと相違／","")&amp;IF(AND($Q2871&lt;&gt;"",INDEX(職員マスタ!$E$6:$E$405,$AP2871)&lt;&gt;"",$Q2871&lt;&gt;INDEX(職員マスタ!$E$6:$E$405,$AP2871)),"子の生年月日がマスタと相違／","")&amp;IF(AND($L2871&lt;&gt;"",INDEX(職員マスタ!$G$6:$G$405,$AP2871)&lt;&gt;"",$L2871&lt;&gt;INDEX(職員マスタ!$G$6:$G$405,$AP2871)),"時短開始日がマスタと相違／","")&amp;IF(AND($M2871&lt;&gt;"",INDEX(職員マスタ!$H$6:$H$405,$AP2871)&lt;&gt;"",$M2871&lt;&gt;INDEX(職員マスタ!$H$6:$H$405,$AP2871)),"時短終了日がマスタと相違／","")))&amp;IF(AND($B2871&lt;&gt;"",$E2871=""),"報酬額が未入力／","")&amp;IF(N($U2871)&gt;0,"申請書に入力エラーが残っています／","")&amp;IF(AND($B2871&lt;&gt;"",$AQ2871&lt;&gt;""),IF(COUNTIFS($B$6:$B$3005,$B2871,$C$6:$C$3005,$C2871,$D$6:$D$3005,$D2871)&gt;1,"同じ月の請求が重複しています／",""),"")&amp;IF(AND(N($E2871)&gt;0,$AB2871&lt;&gt;"",$AB2871&lt;&gt;"×",$AE2871=0,$AD2871=""),"計算額が下限以下のため不支給／",""))</f>
        <v/>
      </c>
      <c r="AN2871" s="12" t="n"/>
      <c r="AO2871" s="14">
        <f>IF($AF2871="保留中",COUNTIF($AF$6:$AF2871,"保留中"),"")</f>
        <v/>
      </c>
      <c r="AP2871" s="14">
        <f>IF($AQ2871="","",IF(SUMPRODUCT(MAX((職員マスタ!$A$6:$A$405=$B2871)*(((職員マスタ!$G$6:$G$405="")+(職員マスタ!$G$6:$G$405&lt;=EOMONTH($AQ2871,0)))&gt;0)*(((職員マスタ!$H$6:$H$405="")+(職員マスタ!$H$6:$H$405&gt;=$AQ2871))&gt;0)*(ROW(職員マスタ!$A$6:$A$405)-5)))&gt;0,SUMPRODUCT(MAX((職員マスタ!$A$6:$A$405=$B2871)*(((職員マスタ!$G$6:$G$405="")+(職員マスタ!$G$6:$G$405&lt;=EOMONTH($AQ2871,0)))&gt;0)*(((職員マスタ!$H$6:$H$405="")+(職員マスタ!$H$6:$H$405&gt;=$AQ2871))&gt;0)*(ROW(職員マスタ!$A$6:$A$405)-5))),IFERROR(MATCH($B2871,職員マスタ!$A$6:$A$405,0),"")))</f>
        <v/>
      </c>
      <c r="AQ2871" s="16">
        <f>IF(OR($B2871="",$C2871="",$D2871=""),"",DATE($C2871+2018,$D2871,1))</f>
        <v/>
      </c>
    </row>
    <row r="2872">
      <c r="A2872" s="11" t="n"/>
      <c r="B2872" s="12" t="n"/>
      <c r="C2872" s="12" t="n"/>
      <c r="D2872" s="12" t="n"/>
      <c r="E2872" s="13" t="n"/>
      <c r="F2872" s="12" t="n"/>
      <c r="G2872" s="13" t="n"/>
      <c r="H2872" s="12" t="n"/>
      <c r="I2872" s="12" t="n"/>
      <c r="J2872" s="12" t="n"/>
      <c r="K2872" s="12" t="n"/>
      <c r="L2872" s="11" t="n"/>
      <c r="M2872" s="11" t="n"/>
      <c r="N2872" s="11" t="n"/>
      <c r="O2872" s="11" t="n"/>
      <c r="P2872" s="12" t="n"/>
      <c r="Q2872" s="11" t="n"/>
      <c r="R2872" s="12" t="n"/>
      <c r="S2872" s="11" t="n"/>
      <c r="T2872" s="12" t="n"/>
      <c r="U2872" s="12" t="n"/>
      <c r="V2872" s="12" t="n"/>
      <c r="W2872" s="13" t="n"/>
      <c r="X2872" s="14">
        <f>IF($AP2872="",IF($B2872="","",$H2872),IF(INDEX(職員マスタ!$B$6:$B$405,$AP2872)="",$H2872,INDEX(職員マスタ!$B$6:$B$405,$AP2872)))</f>
        <v/>
      </c>
      <c r="Y2872" s="14">
        <f>IF($AP2872="",IF($B2872="","",$R2872),IF(INDEX(職員マスタ!$C$6:$C$405,$AP2872)="",$R2872,INDEX(職員マスタ!$C$6:$C$405,$AP2872)))</f>
        <v/>
      </c>
      <c r="Z2872" s="14">
        <f>IF($AQ2872="","","R"&amp;$C2872&amp;"."&amp;$D2872)</f>
        <v/>
      </c>
      <c r="AA2872" s="15">
        <f>IF(IF($AP2872="",FALSE,INDEX(職員マスタ!$K$6:$K$405,$AP2872)&lt;&gt;""),INDEX(職員マスタ!$K$6:$K$405,$AP2872),IF(N($W2872)&gt;0,$W2872,""))</f>
        <v/>
      </c>
      <c r="AB2872" s="14">
        <f>IF(OR($E2872="",$AA2872=""),"",IF($E2872&gt;=$AA2872,"×",IF($E2872&gt;=$AA2872*設定!$C$5,"△","○")))</f>
        <v/>
      </c>
      <c r="AC2872" s="15">
        <f>IF($AB2872="","",IF($AB2872="×",0,IF($AB2872="○",ROUNDDOWN($E2872*設定!$C$4,0),ROUNDDOWN($E2872*ROUND((9*$AA2872-9*$E2872)/(10*$E2872),4),0))))</f>
        <v/>
      </c>
      <c r="AD2872" s="13" t="n"/>
      <c r="AE2872" s="15">
        <f>IF($B2872="","",IF($AD2872&lt;&gt;"",$AD2872,IF($AC2872="","",IF($AC2872&lt;=設定!$C$3,0,$AC2872))))</f>
        <v/>
      </c>
      <c r="AF2872" s="14">
        <f>IF($B2872="","",IF(AND($AG2872&lt;&gt;"",$AI2872="",$AL2872=""),"保留中",IF($AL2872&lt;&gt;"",IF(N($AE2872)&gt;0,"支給済","不支給"),IF($AE2872="","要確認",IF($AE2872=0,"不支給","未処理")))))</f>
        <v/>
      </c>
      <c r="AG2872" s="12" t="n"/>
      <c r="AH2872" s="11" t="n"/>
      <c r="AI2872" s="11" t="n"/>
      <c r="AJ2872" s="11" t="n"/>
      <c r="AK2872" s="14">
        <f>IF(AND($AF2872="保留中",$AH2872&lt;&gt;""),TODAY()-$AH2872,"")</f>
        <v/>
      </c>
      <c r="AL2872" s="12" t="n"/>
      <c r="AM2872" s="14">
        <f>IF($B2872="","",IF($AQ2872="","対象年月が未入力／","")&amp;IF($B2872="","",IF($AP2872="","職員マスタに未登録の職員番号／",IF($AA2872="","標準報酬月額が未登録／","")&amp;IF(AND($AQ2872&lt;&gt;"",OR(AND(INDEX(職員マスタ!$G$6:$G$405,$AP2872)&lt;&gt;"",INDEX(職員マスタ!$G$6:$G$405,$AP2872)&gt;EOMONTH($AQ2872,0)),AND(INDEX(職員マスタ!$H$6:$H$405,$AP2872)&lt;&gt;"",INDEX(職員マスタ!$H$6:$H$405,$AP2872)&lt;$AQ2872))),"対象月が時短期間外／","")&amp;IF(AND(INDEX(職員マスタ!$K$6:$K$405,$AP2872)&lt;&gt;"",N($W2872)&gt;0,INDEX(職員マスタ!$K$6:$K$405,$AP2872)&lt;&gt;$W2872),"標準報酬月額が申請書と相違（台帳"&amp;TEXT(INDEX(職員マスタ!$K$6:$K$405,$AP2872),"#,##0")&amp;"円／申請書"&amp;TEXT($W2872,"#,##0")&amp;"円）／","")&amp;IF(AND(INDEX(職員マスタ!$F$6:$F$405,$AP2872)&lt;&gt;"",$AQ2872&lt;&gt;"",INDEX(職員マスタ!$F$6:$F$405,$AP2872)&lt;$AQ2872),"対象月に子が2歳到達済／","")&amp;IF(AND($H2872&lt;&gt;"",INDEX(職員マスタ!$B$6:$B$405,$AP2872)&lt;&gt;"",SUBSTITUTE(SUBSTITUTE($H2872," ","")," ","")&lt;&gt;SUBSTITUTE(SUBSTITUTE(INDEX(職員マスタ!$B$6:$B$405,$AP2872)," ","")," ","")),"氏名がマスタと相違／","")&amp;IF(AND($Q2872&lt;&gt;"",INDEX(職員マスタ!$E$6:$E$405,$AP2872)&lt;&gt;"",$Q2872&lt;&gt;INDEX(職員マスタ!$E$6:$E$405,$AP2872)),"子の生年月日がマスタと相違／","")&amp;IF(AND($L2872&lt;&gt;"",INDEX(職員マスタ!$G$6:$G$405,$AP2872)&lt;&gt;"",$L2872&lt;&gt;INDEX(職員マスタ!$G$6:$G$405,$AP2872)),"時短開始日がマスタと相違／","")&amp;IF(AND($M2872&lt;&gt;"",INDEX(職員マスタ!$H$6:$H$405,$AP2872)&lt;&gt;"",$M2872&lt;&gt;INDEX(職員マスタ!$H$6:$H$405,$AP2872)),"時短終了日がマスタと相違／","")))&amp;IF(AND($B2872&lt;&gt;"",$E2872=""),"報酬額が未入力／","")&amp;IF(N($U2872)&gt;0,"申請書に入力エラーが残っています／","")&amp;IF(AND($B2872&lt;&gt;"",$AQ2872&lt;&gt;""),IF(COUNTIFS($B$6:$B$3005,$B2872,$C$6:$C$3005,$C2872,$D$6:$D$3005,$D2872)&gt;1,"同じ月の請求が重複しています／",""),"")&amp;IF(AND(N($E2872)&gt;0,$AB2872&lt;&gt;"",$AB2872&lt;&gt;"×",$AE2872=0,$AD2872=""),"計算額が下限以下のため不支給／",""))</f>
        <v/>
      </c>
      <c r="AN2872" s="12" t="n"/>
      <c r="AO2872" s="14">
        <f>IF($AF2872="保留中",COUNTIF($AF$6:$AF2872,"保留中"),"")</f>
        <v/>
      </c>
      <c r="AP2872" s="14">
        <f>IF($AQ2872="","",IF(SUMPRODUCT(MAX((職員マスタ!$A$6:$A$405=$B2872)*(((職員マスタ!$G$6:$G$405="")+(職員マスタ!$G$6:$G$405&lt;=EOMONTH($AQ2872,0)))&gt;0)*(((職員マスタ!$H$6:$H$405="")+(職員マスタ!$H$6:$H$405&gt;=$AQ2872))&gt;0)*(ROW(職員マスタ!$A$6:$A$405)-5)))&gt;0,SUMPRODUCT(MAX((職員マスタ!$A$6:$A$405=$B2872)*(((職員マスタ!$G$6:$G$405="")+(職員マスタ!$G$6:$G$405&lt;=EOMONTH($AQ2872,0)))&gt;0)*(((職員マスタ!$H$6:$H$405="")+(職員マスタ!$H$6:$H$405&gt;=$AQ2872))&gt;0)*(ROW(職員マスタ!$A$6:$A$405)-5))),IFERROR(MATCH($B2872,職員マスタ!$A$6:$A$405,0),"")))</f>
        <v/>
      </c>
      <c r="AQ2872" s="16">
        <f>IF(OR($B2872="",$C2872="",$D2872=""),"",DATE($C2872+2018,$D2872,1))</f>
        <v/>
      </c>
    </row>
    <row r="2873">
      <c r="A2873" s="11" t="n"/>
      <c r="B2873" s="12" t="n"/>
      <c r="C2873" s="12" t="n"/>
      <c r="D2873" s="12" t="n"/>
      <c r="E2873" s="13" t="n"/>
      <c r="F2873" s="12" t="n"/>
      <c r="G2873" s="13" t="n"/>
      <c r="H2873" s="12" t="n"/>
      <c r="I2873" s="12" t="n"/>
      <c r="J2873" s="12" t="n"/>
      <c r="K2873" s="12" t="n"/>
      <c r="L2873" s="11" t="n"/>
      <c r="M2873" s="11" t="n"/>
      <c r="N2873" s="11" t="n"/>
      <c r="O2873" s="11" t="n"/>
      <c r="P2873" s="12" t="n"/>
      <c r="Q2873" s="11" t="n"/>
      <c r="R2873" s="12" t="n"/>
      <c r="S2873" s="11" t="n"/>
      <c r="T2873" s="12" t="n"/>
      <c r="U2873" s="12" t="n"/>
      <c r="V2873" s="12" t="n"/>
      <c r="W2873" s="13" t="n"/>
      <c r="X2873" s="14">
        <f>IF($AP2873="",IF($B2873="","",$H2873),IF(INDEX(職員マスタ!$B$6:$B$405,$AP2873)="",$H2873,INDEX(職員マスタ!$B$6:$B$405,$AP2873)))</f>
        <v/>
      </c>
      <c r="Y2873" s="14">
        <f>IF($AP2873="",IF($B2873="","",$R2873),IF(INDEX(職員マスタ!$C$6:$C$405,$AP2873)="",$R2873,INDEX(職員マスタ!$C$6:$C$405,$AP2873)))</f>
        <v/>
      </c>
      <c r="Z2873" s="14">
        <f>IF($AQ2873="","","R"&amp;$C2873&amp;"."&amp;$D2873)</f>
        <v/>
      </c>
      <c r="AA2873" s="15">
        <f>IF(IF($AP2873="",FALSE,INDEX(職員マスタ!$K$6:$K$405,$AP2873)&lt;&gt;""),INDEX(職員マスタ!$K$6:$K$405,$AP2873),IF(N($W2873)&gt;0,$W2873,""))</f>
        <v/>
      </c>
      <c r="AB2873" s="14">
        <f>IF(OR($E2873="",$AA2873=""),"",IF($E2873&gt;=$AA2873,"×",IF($E2873&gt;=$AA2873*設定!$C$5,"△","○")))</f>
        <v/>
      </c>
      <c r="AC2873" s="15">
        <f>IF($AB2873="","",IF($AB2873="×",0,IF($AB2873="○",ROUNDDOWN($E2873*設定!$C$4,0),ROUNDDOWN($E2873*ROUND((9*$AA2873-9*$E2873)/(10*$E2873),4),0))))</f>
        <v/>
      </c>
      <c r="AD2873" s="13" t="n"/>
      <c r="AE2873" s="15">
        <f>IF($B2873="","",IF($AD2873&lt;&gt;"",$AD2873,IF($AC2873="","",IF($AC2873&lt;=設定!$C$3,0,$AC2873))))</f>
        <v/>
      </c>
      <c r="AF2873" s="14">
        <f>IF($B2873="","",IF(AND($AG2873&lt;&gt;"",$AI2873="",$AL2873=""),"保留中",IF($AL2873&lt;&gt;"",IF(N($AE2873)&gt;0,"支給済","不支給"),IF($AE2873="","要確認",IF($AE2873=0,"不支給","未処理")))))</f>
        <v/>
      </c>
      <c r="AG2873" s="12" t="n"/>
      <c r="AH2873" s="11" t="n"/>
      <c r="AI2873" s="11" t="n"/>
      <c r="AJ2873" s="11" t="n"/>
      <c r="AK2873" s="14">
        <f>IF(AND($AF2873="保留中",$AH2873&lt;&gt;""),TODAY()-$AH2873,"")</f>
        <v/>
      </c>
      <c r="AL2873" s="12" t="n"/>
      <c r="AM2873" s="14">
        <f>IF($B2873="","",IF($AQ2873="","対象年月が未入力／","")&amp;IF($B2873="","",IF($AP2873="","職員マスタに未登録の職員番号／",IF($AA2873="","標準報酬月額が未登録／","")&amp;IF(AND($AQ2873&lt;&gt;"",OR(AND(INDEX(職員マスタ!$G$6:$G$405,$AP2873)&lt;&gt;"",INDEX(職員マスタ!$G$6:$G$405,$AP2873)&gt;EOMONTH($AQ2873,0)),AND(INDEX(職員マスタ!$H$6:$H$405,$AP2873)&lt;&gt;"",INDEX(職員マスタ!$H$6:$H$405,$AP2873)&lt;$AQ2873))),"対象月が時短期間外／","")&amp;IF(AND(INDEX(職員マスタ!$K$6:$K$405,$AP2873)&lt;&gt;"",N($W2873)&gt;0,INDEX(職員マスタ!$K$6:$K$405,$AP2873)&lt;&gt;$W2873),"標準報酬月額が申請書と相違（台帳"&amp;TEXT(INDEX(職員マスタ!$K$6:$K$405,$AP2873),"#,##0")&amp;"円／申請書"&amp;TEXT($W2873,"#,##0")&amp;"円）／","")&amp;IF(AND(INDEX(職員マスタ!$F$6:$F$405,$AP2873)&lt;&gt;"",$AQ2873&lt;&gt;"",INDEX(職員マスタ!$F$6:$F$405,$AP2873)&lt;$AQ2873),"対象月に子が2歳到達済／","")&amp;IF(AND($H2873&lt;&gt;"",INDEX(職員マスタ!$B$6:$B$405,$AP2873)&lt;&gt;"",SUBSTITUTE(SUBSTITUTE($H2873," ","")," ","")&lt;&gt;SUBSTITUTE(SUBSTITUTE(INDEX(職員マスタ!$B$6:$B$405,$AP2873)," ","")," ","")),"氏名がマスタと相違／","")&amp;IF(AND($Q2873&lt;&gt;"",INDEX(職員マスタ!$E$6:$E$405,$AP2873)&lt;&gt;"",$Q2873&lt;&gt;INDEX(職員マスタ!$E$6:$E$405,$AP2873)),"子の生年月日がマスタと相違／","")&amp;IF(AND($L2873&lt;&gt;"",INDEX(職員マスタ!$G$6:$G$405,$AP2873)&lt;&gt;"",$L2873&lt;&gt;INDEX(職員マスタ!$G$6:$G$405,$AP2873)),"時短開始日がマスタと相違／","")&amp;IF(AND($M2873&lt;&gt;"",INDEX(職員マスタ!$H$6:$H$405,$AP2873)&lt;&gt;"",$M2873&lt;&gt;INDEX(職員マスタ!$H$6:$H$405,$AP2873)),"時短終了日がマスタと相違／","")))&amp;IF(AND($B2873&lt;&gt;"",$E2873=""),"報酬額が未入力／","")&amp;IF(N($U2873)&gt;0,"申請書に入力エラーが残っています／","")&amp;IF(AND($B2873&lt;&gt;"",$AQ2873&lt;&gt;""),IF(COUNTIFS($B$6:$B$3005,$B2873,$C$6:$C$3005,$C2873,$D$6:$D$3005,$D2873)&gt;1,"同じ月の請求が重複しています／",""),"")&amp;IF(AND(N($E2873)&gt;0,$AB2873&lt;&gt;"",$AB2873&lt;&gt;"×",$AE2873=0,$AD2873=""),"計算額が下限以下のため不支給／",""))</f>
        <v/>
      </c>
      <c r="AN2873" s="12" t="n"/>
      <c r="AO2873" s="14">
        <f>IF($AF2873="保留中",COUNTIF($AF$6:$AF2873,"保留中"),"")</f>
        <v/>
      </c>
      <c r="AP2873" s="14">
        <f>IF($AQ2873="","",IF(SUMPRODUCT(MAX((職員マスタ!$A$6:$A$405=$B2873)*(((職員マスタ!$G$6:$G$405="")+(職員マスタ!$G$6:$G$405&lt;=EOMONTH($AQ2873,0)))&gt;0)*(((職員マスタ!$H$6:$H$405="")+(職員マスタ!$H$6:$H$405&gt;=$AQ2873))&gt;0)*(ROW(職員マスタ!$A$6:$A$405)-5)))&gt;0,SUMPRODUCT(MAX((職員マスタ!$A$6:$A$405=$B2873)*(((職員マスタ!$G$6:$G$405="")+(職員マスタ!$G$6:$G$405&lt;=EOMONTH($AQ2873,0)))&gt;0)*(((職員マスタ!$H$6:$H$405="")+(職員マスタ!$H$6:$H$405&gt;=$AQ2873))&gt;0)*(ROW(職員マスタ!$A$6:$A$405)-5))),IFERROR(MATCH($B2873,職員マスタ!$A$6:$A$405,0),"")))</f>
        <v/>
      </c>
      <c r="AQ2873" s="16">
        <f>IF(OR($B2873="",$C2873="",$D2873=""),"",DATE($C2873+2018,$D2873,1))</f>
        <v/>
      </c>
    </row>
    <row r="2874">
      <c r="A2874" s="11" t="n"/>
      <c r="B2874" s="12" t="n"/>
      <c r="C2874" s="12" t="n"/>
      <c r="D2874" s="12" t="n"/>
      <c r="E2874" s="13" t="n"/>
      <c r="F2874" s="12" t="n"/>
      <c r="G2874" s="13" t="n"/>
      <c r="H2874" s="12" t="n"/>
      <c r="I2874" s="12" t="n"/>
      <c r="J2874" s="12" t="n"/>
      <c r="K2874" s="12" t="n"/>
      <c r="L2874" s="11" t="n"/>
      <c r="M2874" s="11" t="n"/>
      <c r="N2874" s="11" t="n"/>
      <c r="O2874" s="11" t="n"/>
      <c r="P2874" s="12" t="n"/>
      <c r="Q2874" s="11" t="n"/>
      <c r="R2874" s="12" t="n"/>
      <c r="S2874" s="11" t="n"/>
      <c r="T2874" s="12" t="n"/>
      <c r="U2874" s="12" t="n"/>
      <c r="V2874" s="12" t="n"/>
      <c r="W2874" s="13" t="n"/>
      <c r="X2874" s="14">
        <f>IF($AP2874="",IF($B2874="","",$H2874),IF(INDEX(職員マスタ!$B$6:$B$405,$AP2874)="",$H2874,INDEX(職員マスタ!$B$6:$B$405,$AP2874)))</f>
        <v/>
      </c>
      <c r="Y2874" s="14">
        <f>IF($AP2874="",IF($B2874="","",$R2874),IF(INDEX(職員マスタ!$C$6:$C$405,$AP2874)="",$R2874,INDEX(職員マスタ!$C$6:$C$405,$AP2874)))</f>
        <v/>
      </c>
      <c r="Z2874" s="14">
        <f>IF($AQ2874="","","R"&amp;$C2874&amp;"."&amp;$D2874)</f>
        <v/>
      </c>
      <c r="AA2874" s="15">
        <f>IF(IF($AP2874="",FALSE,INDEX(職員マスタ!$K$6:$K$405,$AP2874)&lt;&gt;""),INDEX(職員マスタ!$K$6:$K$405,$AP2874),IF(N($W2874)&gt;0,$W2874,""))</f>
        <v/>
      </c>
      <c r="AB2874" s="14">
        <f>IF(OR($E2874="",$AA2874=""),"",IF($E2874&gt;=$AA2874,"×",IF($E2874&gt;=$AA2874*設定!$C$5,"△","○")))</f>
        <v/>
      </c>
      <c r="AC2874" s="15">
        <f>IF($AB2874="","",IF($AB2874="×",0,IF($AB2874="○",ROUNDDOWN($E2874*設定!$C$4,0),ROUNDDOWN($E2874*ROUND((9*$AA2874-9*$E2874)/(10*$E2874),4),0))))</f>
        <v/>
      </c>
      <c r="AD2874" s="13" t="n"/>
      <c r="AE2874" s="15">
        <f>IF($B2874="","",IF($AD2874&lt;&gt;"",$AD2874,IF($AC2874="","",IF($AC2874&lt;=設定!$C$3,0,$AC2874))))</f>
        <v/>
      </c>
      <c r="AF2874" s="14">
        <f>IF($B2874="","",IF(AND($AG2874&lt;&gt;"",$AI2874="",$AL2874=""),"保留中",IF($AL2874&lt;&gt;"",IF(N($AE2874)&gt;0,"支給済","不支給"),IF($AE2874="","要確認",IF($AE2874=0,"不支給","未処理")))))</f>
        <v/>
      </c>
      <c r="AG2874" s="12" t="n"/>
      <c r="AH2874" s="11" t="n"/>
      <c r="AI2874" s="11" t="n"/>
      <c r="AJ2874" s="11" t="n"/>
      <c r="AK2874" s="14">
        <f>IF(AND($AF2874="保留中",$AH2874&lt;&gt;""),TODAY()-$AH2874,"")</f>
        <v/>
      </c>
      <c r="AL2874" s="12" t="n"/>
      <c r="AM2874" s="14">
        <f>IF($B2874="","",IF($AQ2874="","対象年月が未入力／","")&amp;IF($B2874="","",IF($AP2874="","職員マスタに未登録の職員番号／",IF($AA2874="","標準報酬月額が未登録／","")&amp;IF(AND($AQ2874&lt;&gt;"",OR(AND(INDEX(職員マスタ!$G$6:$G$405,$AP2874)&lt;&gt;"",INDEX(職員マスタ!$G$6:$G$405,$AP2874)&gt;EOMONTH($AQ2874,0)),AND(INDEX(職員マスタ!$H$6:$H$405,$AP2874)&lt;&gt;"",INDEX(職員マスタ!$H$6:$H$405,$AP2874)&lt;$AQ2874))),"対象月が時短期間外／","")&amp;IF(AND(INDEX(職員マスタ!$K$6:$K$405,$AP2874)&lt;&gt;"",N($W2874)&gt;0,INDEX(職員マスタ!$K$6:$K$405,$AP2874)&lt;&gt;$W2874),"標準報酬月額が申請書と相違（台帳"&amp;TEXT(INDEX(職員マスタ!$K$6:$K$405,$AP2874),"#,##0")&amp;"円／申請書"&amp;TEXT($W2874,"#,##0")&amp;"円）／","")&amp;IF(AND(INDEX(職員マスタ!$F$6:$F$405,$AP2874)&lt;&gt;"",$AQ2874&lt;&gt;"",INDEX(職員マスタ!$F$6:$F$405,$AP2874)&lt;$AQ2874),"対象月に子が2歳到達済／","")&amp;IF(AND($H2874&lt;&gt;"",INDEX(職員マスタ!$B$6:$B$405,$AP2874)&lt;&gt;"",SUBSTITUTE(SUBSTITUTE($H2874," ","")," ","")&lt;&gt;SUBSTITUTE(SUBSTITUTE(INDEX(職員マスタ!$B$6:$B$405,$AP2874)," ","")," ","")),"氏名がマスタと相違／","")&amp;IF(AND($Q2874&lt;&gt;"",INDEX(職員マスタ!$E$6:$E$405,$AP2874)&lt;&gt;"",$Q2874&lt;&gt;INDEX(職員マスタ!$E$6:$E$405,$AP2874)),"子の生年月日がマスタと相違／","")&amp;IF(AND($L2874&lt;&gt;"",INDEX(職員マスタ!$G$6:$G$405,$AP2874)&lt;&gt;"",$L2874&lt;&gt;INDEX(職員マスタ!$G$6:$G$405,$AP2874)),"時短開始日がマスタと相違／","")&amp;IF(AND($M2874&lt;&gt;"",INDEX(職員マスタ!$H$6:$H$405,$AP2874)&lt;&gt;"",$M2874&lt;&gt;INDEX(職員マスタ!$H$6:$H$405,$AP2874)),"時短終了日がマスタと相違／","")))&amp;IF(AND($B2874&lt;&gt;"",$E2874=""),"報酬額が未入力／","")&amp;IF(N($U2874)&gt;0,"申請書に入力エラーが残っています／","")&amp;IF(AND($B2874&lt;&gt;"",$AQ2874&lt;&gt;""),IF(COUNTIFS($B$6:$B$3005,$B2874,$C$6:$C$3005,$C2874,$D$6:$D$3005,$D2874)&gt;1,"同じ月の請求が重複しています／",""),"")&amp;IF(AND(N($E2874)&gt;0,$AB2874&lt;&gt;"",$AB2874&lt;&gt;"×",$AE2874=0,$AD2874=""),"計算額が下限以下のため不支給／",""))</f>
        <v/>
      </c>
      <c r="AN2874" s="12" t="n"/>
      <c r="AO2874" s="14">
        <f>IF($AF2874="保留中",COUNTIF($AF$6:$AF2874,"保留中"),"")</f>
        <v/>
      </c>
      <c r="AP2874" s="14">
        <f>IF($AQ2874="","",IF(SUMPRODUCT(MAX((職員マスタ!$A$6:$A$405=$B2874)*(((職員マスタ!$G$6:$G$405="")+(職員マスタ!$G$6:$G$405&lt;=EOMONTH($AQ2874,0)))&gt;0)*(((職員マスタ!$H$6:$H$405="")+(職員マスタ!$H$6:$H$405&gt;=$AQ2874))&gt;0)*(ROW(職員マスタ!$A$6:$A$405)-5)))&gt;0,SUMPRODUCT(MAX((職員マスタ!$A$6:$A$405=$B2874)*(((職員マスタ!$G$6:$G$405="")+(職員マスタ!$G$6:$G$405&lt;=EOMONTH($AQ2874,0)))&gt;0)*(((職員マスタ!$H$6:$H$405="")+(職員マスタ!$H$6:$H$405&gt;=$AQ2874))&gt;0)*(ROW(職員マスタ!$A$6:$A$405)-5))),IFERROR(MATCH($B2874,職員マスタ!$A$6:$A$405,0),"")))</f>
        <v/>
      </c>
      <c r="AQ2874" s="16">
        <f>IF(OR($B2874="",$C2874="",$D2874=""),"",DATE($C2874+2018,$D2874,1))</f>
        <v/>
      </c>
    </row>
    <row r="2875">
      <c r="A2875" s="11" t="n"/>
      <c r="B2875" s="12" t="n"/>
      <c r="C2875" s="12" t="n"/>
      <c r="D2875" s="12" t="n"/>
      <c r="E2875" s="13" t="n"/>
      <c r="F2875" s="12" t="n"/>
      <c r="G2875" s="13" t="n"/>
      <c r="H2875" s="12" t="n"/>
      <c r="I2875" s="12" t="n"/>
      <c r="J2875" s="12" t="n"/>
      <c r="K2875" s="12" t="n"/>
      <c r="L2875" s="11" t="n"/>
      <c r="M2875" s="11" t="n"/>
      <c r="N2875" s="11" t="n"/>
      <c r="O2875" s="11" t="n"/>
      <c r="P2875" s="12" t="n"/>
      <c r="Q2875" s="11" t="n"/>
      <c r="R2875" s="12" t="n"/>
      <c r="S2875" s="11" t="n"/>
      <c r="T2875" s="12" t="n"/>
      <c r="U2875" s="12" t="n"/>
      <c r="V2875" s="12" t="n"/>
      <c r="W2875" s="13" t="n"/>
      <c r="X2875" s="14">
        <f>IF($AP2875="",IF($B2875="","",$H2875),IF(INDEX(職員マスタ!$B$6:$B$405,$AP2875)="",$H2875,INDEX(職員マスタ!$B$6:$B$405,$AP2875)))</f>
        <v/>
      </c>
      <c r="Y2875" s="14">
        <f>IF($AP2875="",IF($B2875="","",$R2875),IF(INDEX(職員マスタ!$C$6:$C$405,$AP2875)="",$R2875,INDEX(職員マスタ!$C$6:$C$405,$AP2875)))</f>
        <v/>
      </c>
      <c r="Z2875" s="14">
        <f>IF($AQ2875="","","R"&amp;$C2875&amp;"."&amp;$D2875)</f>
        <v/>
      </c>
      <c r="AA2875" s="15">
        <f>IF(IF($AP2875="",FALSE,INDEX(職員マスタ!$K$6:$K$405,$AP2875)&lt;&gt;""),INDEX(職員マスタ!$K$6:$K$405,$AP2875),IF(N($W2875)&gt;0,$W2875,""))</f>
        <v/>
      </c>
      <c r="AB2875" s="14">
        <f>IF(OR($E2875="",$AA2875=""),"",IF($E2875&gt;=$AA2875,"×",IF($E2875&gt;=$AA2875*設定!$C$5,"△","○")))</f>
        <v/>
      </c>
      <c r="AC2875" s="15">
        <f>IF($AB2875="","",IF($AB2875="×",0,IF($AB2875="○",ROUNDDOWN($E2875*設定!$C$4,0),ROUNDDOWN($E2875*ROUND((9*$AA2875-9*$E2875)/(10*$E2875),4),0))))</f>
        <v/>
      </c>
      <c r="AD2875" s="13" t="n"/>
      <c r="AE2875" s="15">
        <f>IF($B2875="","",IF($AD2875&lt;&gt;"",$AD2875,IF($AC2875="","",IF($AC2875&lt;=設定!$C$3,0,$AC2875))))</f>
        <v/>
      </c>
      <c r="AF2875" s="14">
        <f>IF($B2875="","",IF(AND($AG2875&lt;&gt;"",$AI2875="",$AL2875=""),"保留中",IF($AL2875&lt;&gt;"",IF(N($AE2875)&gt;0,"支給済","不支給"),IF($AE2875="","要確認",IF($AE2875=0,"不支給","未処理")))))</f>
        <v/>
      </c>
      <c r="AG2875" s="12" t="n"/>
      <c r="AH2875" s="11" t="n"/>
      <c r="AI2875" s="11" t="n"/>
      <c r="AJ2875" s="11" t="n"/>
      <c r="AK2875" s="14">
        <f>IF(AND($AF2875="保留中",$AH2875&lt;&gt;""),TODAY()-$AH2875,"")</f>
        <v/>
      </c>
      <c r="AL2875" s="12" t="n"/>
      <c r="AM2875" s="14">
        <f>IF($B2875="","",IF($AQ2875="","対象年月が未入力／","")&amp;IF($B2875="","",IF($AP2875="","職員マスタに未登録の職員番号／",IF($AA2875="","標準報酬月額が未登録／","")&amp;IF(AND($AQ2875&lt;&gt;"",OR(AND(INDEX(職員マスタ!$G$6:$G$405,$AP2875)&lt;&gt;"",INDEX(職員マスタ!$G$6:$G$405,$AP2875)&gt;EOMONTH($AQ2875,0)),AND(INDEX(職員マスタ!$H$6:$H$405,$AP2875)&lt;&gt;"",INDEX(職員マスタ!$H$6:$H$405,$AP2875)&lt;$AQ2875))),"対象月が時短期間外／","")&amp;IF(AND(INDEX(職員マスタ!$K$6:$K$405,$AP2875)&lt;&gt;"",N($W2875)&gt;0,INDEX(職員マスタ!$K$6:$K$405,$AP2875)&lt;&gt;$W2875),"標準報酬月額が申請書と相違（台帳"&amp;TEXT(INDEX(職員マスタ!$K$6:$K$405,$AP2875),"#,##0")&amp;"円／申請書"&amp;TEXT($W2875,"#,##0")&amp;"円）／","")&amp;IF(AND(INDEX(職員マスタ!$F$6:$F$405,$AP2875)&lt;&gt;"",$AQ2875&lt;&gt;"",INDEX(職員マスタ!$F$6:$F$405,$AP2875)&lt;$AQ2875),"対象月に子が2歳到達済／","")&amp;IF(AND($H2875&lt;&gt;"",INDEX(職員マスタ!$B$6:$B$405,$AP2875)&lt;&gt;"",SUBSTITUTE(SUBSTITUTE($H2875," ","")," ","")&lt;&gt;SUBSTITUTE(SUBSTITUTE(INDEX(職員マスタ!$B$6:$B$405,$AP2875)," ","")," ","")),"氏名がマスタと相違／","")&amp;IF(AND($Q2875&lt;&gt;"",INDEX(職員マスタ!$E$6:$E$405,$AP2875)&lt;&gt;"",$Q2875&lt;&gt;INDEX(職員マスタ!$E$6:$E$405,$AP2875)),"子の生年月日がマスタと相違／","")&amp;IF(AND($L2875&lt;&gt;"",INDEX(職員マスタ!$G$6:$G$405,$AP2875)&lt;&gt;"",$L2875&lt;&gt;INDEX(職員マスタ!$G$6:$G$405,$AP2875)),"時短開始日がマスタと相違／","")&amp;IF(AND($M2875&lt;&gt;"",INDEX(職員マスタ!$H$6:$H$405,$AP2875)&lt;&gt;"",$M2875&lt;&gt;INDEX(職員マスタ!$H$6:$H$405,$AP2875)),"時短終了日がマスタと相違／","")))&amp;IF(AND($B2875&lt;&gt;"",$E2875=""),"報酬額が未入力／","")&amp;IF(N($U2875)&gt;0,"申請書に入力エラーが残っています／","")&amp;IF(AND($B2875&lt;&gt;"",$AQ2875&lt;&gt;""),IF(COUNTIFS($B$6:$B$3005,$B2875,$C$6:$C$3005,$C2875,$D$6:$D$3005,$D2875)&gt;1,"同じ月の請求が重複しています／",""),"")&amp;IF(AND(N($E2875)&gt;0,$AB2875&lt;&gt;"",$AB2875&lt;&gt;"×",$AE2875=0,$AD2875=""),"計算額が下限以下のため不支給／",""))</f>
        <v/>
      </c>
      <c r="AN2875" s="12" t="n"/>
      <c r="AO2875" s="14">
        <f>IF($AF2875="保留中",COUNTIF($AF$6:$AF2875,"保留中"),"")</f>
        <v/>
      </c>
      <c r="AP2875" s="14">
        <f>IF($AQ2875="","",IF(SUMPRODUCT(MAX((職員マスタ!$A$6:$A$405=$B2875)*(((職員マスタ!$G$6:$G$405="")+(職員マスタ!$G$6:$G$405&lt;=EOMONTH($AQ2875,0)))&gt;0)*(((職員マスタ!$H$6:$H$405="")+(職員マスタ!$H$6:$H$405&gt;=$AQ2875))&gt;0)*(ROW(職員マスタ!$A$6:$A$405)-5)))&gt;0,SUMPRODUCT(MAX((職員マスタ!$A$6:$A$405=$B2875)*(((職員マスタ!$G$6:$G$405="")+(職員マスタ!$G$6:$G$405&lt;=EOMONTH($AQ2875,0)))&gt;0)*(((職員マスタ!$H$6:$H$405="")+(職員マスタ!$H$6:$H$405&gt;=$AQ2875))&gt;0)*(ROW(職員マスタ!$A$6:$A$405)-5))),IFERROR(MATCH($B2875,職員マスタ!$A$6:$A$405,0),"")))</f>
        <v/>
      </c>
      <c r="AQ2875" s="16">
        <f>IF(OR($B2875="",$C2875="",$D2875=""),"",DATE($C2875+2018,$D2875,1))</f>
        <v/>
      </c>
    </row>
    <row r="2876">
      <c r="A2876" s="11" t="n"/>
      <c r="B2876" s="12" t="n"/>
      <c r="C2876" s="12" t="n"/>
      <c r="D2876" s="12" t="n"/>
      <c r="E2876" s="13" t="n"/>
      <c r="F2876" s="12" t="n"/>
      <c r="G2876" s="13" t="n"/>
      <c r="H2876" s="12" t="n"/>
      <c r="I2876" s="12" t="n"/>
      <c r="J2876" s="12" t="n"/>
      <c r="K2876" s="12" t="n"/>
      <c r="L2876" s="11" t="n"/>
      <c r="M2876" s="11" t="n"/>
      <c r="N2876" s="11" t="n"/>
      <c r="O2876" s="11" t="n"/>
      <c r="P2876" s="12" t="n"/>
      <c r="Q2876" s="11" t="n"/>
      <c r="R2876" s="12" t="n"/>
      <c r="S2876" s="11" t="n"/>
      <c r="T2876" s="12" t="n"/>
      <c r="U2876" s="12" t="n"/>
      <c r="V2876" s="12" t="n"/>
      <c r="W2876" s="13" t="n"/>
      <c r="X2876" s="14">
        <f>IF($AP2876="",IF($B2876="","",$H2876),IF(INDEX(職員マスタ!$B$6:$B$405,$AP2876)="",$H2876,INDEX(職員マスタ!$B$6:$B$405,$AP2876)))</f>
        <v/>
      </c>
      <c r="Y2876" s="14">
        <f>IF($AP2876="",IF($B2876="","",$R2876),IF(INDEX(職員マスタ!$C$6:$C$405,$AP2876)="",$R2876,INDEX(職員マスタ!$C$6:$C$405,$AP2876)))</f>
        <v/>
      </c>
      <c r="Z2876" s="14">
        <f>IF($AQ2876="","","R"&amp;$C2876&amp;"."&amp;$D2876)</f>
        <v/>
      </c>
      <c r="AA2876" s="15">
        <f>IF(IF($AP2876="",FALSE,INDEX(職員マスタ!$K$6:$K$405,$AP2876)&lt;&gt;""),INDEX(職員マスタ!$K$6:$K$405,$AP2876),IF(N($W2876)&gt;0,$W2876,""))</f>
        <v/>
      </c>
      <c r="AB2876" s="14">
        <f>IF(OR($E2876="",$AA2876=""),"",IF($E2876&gt;=$AA2876,"×",IF($E2876&gt;=$AA2876*設定!$C$5,"△","○")))</f>
        <v/>
      </c>
      <c r="AC2876" s="15">
        <f>IF($AB2876="","",IF($AB2876="×",0,IF($AB2876="○",ROUNDDOWN($E2876*設定!$C$4,0),ROUNDDOWN($E2876*ROUND((9*$AA2876-9*$E2876)/(10*$E2876),4),0))))</f>
        <v/>
      </c>
      <c r="AD2876" s="13" t="n"/>
      <c r="AE2876" s="15">
        <f>IF($B2876="","",IF($AD2876&lt;&gt;"",$AD2876,IF($AC2876="","",IF($AC2876&lt;=設定!$C$3,0,$AC2876))))</f>
        <v/>
      </c>
      <c r="AF2876" s="14">
        <f>IF($B2876="","",IF(AND($AG2876&lt;&gt;"",$AI2876="",$AL2876=""),"保留中",IF($AL2876&lt;&gt;"",IF(N($AE2876)&gt;0,"支給済","不支給"),IF($AE2876="","要確認",IF($AE2876=0,"不支給","未処理")))))</f>
        <v/>
      </c>
      <c r="AG2876" s="12" t="n"/>
      <c r="AH2876" s="11" t="n"/>
      <c r="AI2876" s="11" t="n"/>
      <c r="AJ2876" s="11" t="n"/>
      <c r="AK2876" s="14">
        <f>IF(AND($AF2876="保留中",$AH2876&lt;&gt;""),TODAY()-$AH2876,"")</f>
        <v/>
      </c>
      <c r="AL2876" s="12" t="n"/>
      <c r="AM2876" s="14">
        <f>IF($B2876="","",IF($AQ2876="","対象年月が未入力／","")&amp;IF($B2876="","",IF($AP2876="","職員マスタに未登録の職員番号／",IF($AA2876="","標準報酬月額が未登録／","")&amp;IF(AND($AQ2876&lt;&gt;"",OR(AND(INDEX(職員マスタ!$G$6:$G$405,$AP2876)&lt;&gt;"",INDEX(職員マスタ!$G$6:$G$405,$AP2876)&gt;EOMONTH($AQ2876,0)),AND(INDEX(職員マスタ!$H$6:$H$405,$AP2876)&lt;&gt;"",INDEX(職員マスタ!$H$6:$H$405,$AP2876)&lt;$AQ2876))),"対象月が時短期間外／","")&amp;IF(AND(INDEX(職員マスタ!$K$6:$K$405,$AP2876)&lt;&gt;"",N($W2876)&gt;0,INDEX(職員マスタ!$K$6:$K$405,$AP2876)&lt;&gt;$W2876),"標準報酬月額が申請書と相違（台帳"&amp;TEXT(INDEX(職員マスタ!$K$6:$K$405,$AP2876),"#,##0")&amp;"円／申請書"&amp;TEXT($W2876,"#,##0")&amp;"円）／","")&amp;IF(AND(INDEX(職員マスタ!$F$6:$F$405,$AP2876)&lt;&gt;"",$AQ2876&lt;&gt;"",INDEX(職員マスタ!$F$6:$F$405,$AP2876)&lt;$AQ2876),"対象月に子が2歳到達済／","")&amp;IF(AND($H2876&lt;&gt;"",INDEX(職員マスタ!$B$6:$B$405,$AP2876)&lt;&gt;"",SUBSTITUTE(SUBSTITUTE($H2876," ","")," ","")&lt;&gt;SUBSTITUTE(SUBSTITUTE(INDEX(職員マスタ!$B$6:$B$405,$AP2876)," ","")," ","")),"氏名がマスタと相違／","")&amp;IF(AND($Q2876&lt;&gt;"",INDEX(職員マスタ!$E$6:$E$405,$AP2876)&lt;&gt;"",$Q2876&lt;&gt;INDEX(職員マスタ!$E$6:$E$405,$AP2876)),"子の生年月日がマスタと相違／","")&amp;IF(AND($L2876&lt;&gt;"",INDEX(職員マスタ!$G$6:$G$405,$AP2876)&lt;&gt;"",$L2876&lt;&gt;INDEX(職員マスタ!$G$6:$G$405,$AP2876)),"時短開始日がマスタと相違／","")&amp;IF(AND($M2876&lt;&gt;"",INDEX(職員マスタ!$H$6:$H$405,$AP2876)&lt;&gt;"",$M2876&lt;&gt;INDEX(職員マスタ!$H$6:$H$405,$AP2876)),"時短終了日がマスタと相違／","")))&amp;IF(AND($B2876&lt;&gt;"",$E2876=""),"報酬額が未入力／","")&amp;IF(N($U2876)&gt;0,"申請書に入力エラーが残っています／","")&amp;IF(AND($B2876&lt;&gt;"",$AQ2876&lt;&gt;""),IF(COUNTIFS($B$6:$B$3005,$B2876,$C$6:$C$3005,$C2876,$D$6:$D$3005,$D2876)&gt;1,"同じ月の請求が重複しています／",""),"")&amp;IF(AND(N($E2876)&gt;0,$AB2876&lt;&gt;"",$AB2876&lt;&gt;"×",$AE2876=0,$AD2876=""),"計算額が下限以下のため不支給／",""))</f>
        <v/>
      </c>
      <c r="AN2876" s="12" t="n"/>
      <c r="AO2876" s="14">
        <f>IF($AF2876="保留中",COUNTIF($AF$6:$AF2876,"保留中"),"")</f>
        <v/>
      </c>
      <c r="AP2876" s="14">
        <f>IF($AQ2876="","",IF(SUMPRODUCT(MAX((職員マスタ!$A$6:$A$405=$B2876)*(((職員マスタ!$G$6:$G$405="")+(職員マスタ!$G$6:$G$405&lt;=EOMONTH($AQ2876,0)))&gt;0)*(((職員マスタ!$H$6:$H$405="")+(職員マスタ!$H$6:$H$405&gt;=$AQ2876))&gt;0)*(ROW(職員マスタ!$A$6:$A$405)-5)))&gt;0,SUMPRODUCT(MAX((職員マスタ!$A$6:$A$405=$B2876)*(((職員マスタ!$G$6:$G$405="")+(職員マスタ!$G$6:$G$405&lt;=EOMONTH($AQ2876,0)))&gt;0)*(((職員マスタ!$H$6:$H$405="")+(職員マスタ!$H$6:$H$405&gt;=$AQ2876))&gt;0)*(ROW(職員マスタ!$A$6:$A$405)-5))),IFERROR(MATCH($B2876,職員マスタ!$A$6:$A$405,0),"")))</f>
        <v/>
      </c>
      <c r="AQ2876" s="16">
        <f>IF(OR($B2876="",$C2876="",$D2876=""),"",DATE($C2876+2018,$D2876,1))</f>
        <v/>
      </c>
    </row>
    <row r="2877">
      <c r="A2877" s="11" t="n"/>
      <c r="B2877" s="12" t="n"/>
      <c r="C2877" s="12" t="n"/>
      <c r="D2877" s="12" t="n"/>
      <c r="E2877" s="13" t="n"/>
      <c r="F2877" s="12" t="n"/>
      <c r="G2877" s="13" t="n"/>
      <c r="H2877" s="12" t="n"/>
      <c r="I2877" s="12" t="n"/>
      <c r="J2877" s="12" t="n"/>
      <c r="K2877" s="12" t="n"/>
      <c r="L2877" s="11" t="n"/>
      <c r="M2877" s="11" t="n"/>
      <c r="N2877" s="11" t="n"/>
      <c r="O2877" s="11" t="n"/>
      <c r="P2877" s="12" t="n"/>
      <c r="Q2877" s="11" t="n"/>
      <c r="R2877" s="12" t="n"/>
      <c r="S2877" s="11" t="n"/>
      <c r="T2877" s="12" t="n"/>
      <c r="U2877" s="12" t="n"/>
      <c r="V2877" s="12" t="n"/>
      <c r="W2877" s="13" t="n"/>
      <c r="X2877" s="14">
        <f>IF($AP2877="",IF($B2877="","",$H2877),IF(INDEX(職員マスタ!$B$6:$B$405,$AP2877)="",$H2877,INDEX(職員マスタ!$B$6:$B$405,$AP2877)))</f>
        <v/>
      </c>
      <c r="Y2877" s="14">
        <f>IF($AP2877="",IF($B2877="","",$R2877),IF(INDEX(職員マスタ!$C$6:$C$405,$AP2877)="",$R2877,INDEX(職員マスタ!$C$6:$C$405,$AP2877)))</f>
        <v/>
      </c>
      <c r="Z2877" s="14">
        <f>IF($AQ2877="","","R"&amp;$C2877&amp;"."&amp;$D2877)</f>
        <v/>
      </c>
      <c r="AA2877" s="15">
        <f>IF(IF($AP2877="",FALSE,INDEX(職員マスタ!$K$6:$K$405,$AP2877)&lt;&gt;""),INDEX(職員マスタ!$K$6:$K$405,$AP2877),IF(N($W2877)&gt;0,$W2877,""))</f>
        <v/>
      </c>
      <c r="AB2877" s="14">
        <f>IF(OR($E2877="",$AA2877=""),"",IF($E2877&gt;=$AA2877,"×",IF($E2877&gt;=$AA2877*設定!$C$5,"△","○")))</f>
        <v/>
      </c>
      <c r="AC2877" s="15">
        <f>IF($AB2877="","",IF($AB2877="×",0,IF($AB2877="○",ROUNDDOWN($E2877*設定!$C$4,0),ROUNDDOWN($E2877*ROUND((9*$AA2877-9*$E2877)/(10*$E2877),4),0))))</f>
        <v/>
      </c>
      <c r="AD2877" s="13" t="n"/>
      <c r="AE2877" s="15">
        <f>IF($B2877="","",IF($AD2877&lt;&gt;"",$AD2877,IF($AC2877="","",IF($AC2877&lt;=設定!$C$3,0,$AC2877))))</f>
        <v/>
      </c>
      <c r="AF2877" s="14">
        <f>IF($B2877="","",IF(AND($AG2877&lt;&gt;"",$AI2877="",$AL2877=""),"保留中",IF($AL2877&lt;&gt;"",IF(N($AE2877)&gt;0,"支給済","不支給"),IF($AE2877="","要確認",IF($AE2877=0,"不支給","未処理")))))</f>
        <v/>
      </c>
      <c r="AG2877" s="12" t="n"/>
      <c r="AH2877" s="11" t="n"/>
      <c r="AI2877" s="11" t="n"/>
      <c r="AJ2877" s="11" t="n"/>
      <c r="AK2877" s="14">
        <f>IF(AND($AF2877="保留中",$AH2877&lt;&gt;""),TODAY()-$AH2877,"")</f>
        <v/>
      </c>
      <c r="AL2877" s="12" t="n"/>
      <c r="AM2877" s="14">
        <f>IF($B2877="","",IF($AQ2877="","対象年月が未入力／","")&amp;IF($B2877="","",IF($AP2877="","職員マスタに未登録の職員番号／",IF($AA2877="","標準報酬月額が未登録／","")&amp;IF(AND($AQ2877&lt;&gt;"",OR(AND(INDEX(職員マスタ!$G$6:$G$405,$AP2877)&lt;&gt;"",INDEX(職員マスタ!$G$6:$G$405,$AP2877)&gt;EOMONTH($AQ2877,0)),AND(INDEX(職員マスタ!$H$6:$H$405,$AP2877)&lt;&gt;"",INDEX(職員マスタ!$H$6:$H$405,$AP2877)&lt;$AQ2877))),"対象月が時短期間外／","")&amp;IF(AND(INDEX(職員マスタ!$K$6:$K$405,$AP2877)&lt;&gt;"",N($W2877)&gt;0,INDEX(職員マスタ!$K$6:$K$405,$AP2877)&lt;&gt;$W2877),"標準報酬月額が申請書と相違（台帳"&amp;TEXT(INDEX(職員マスタ!$K$6:$K$405,$AP2877),"#,##0")&amp;"円／申請書"&amp;TEXT($W2877,"#,##0")&amp;"円）／","")&amp;IF(AND(INDEX(職員マスタ!$F$6:$F$405,$AP2877)&lt;&gt;"",$AQ2877&lt;&gt;"",INDEX(職員マスタ!$F$6:$F$405,$AP2877)&lt;$AQ2877),"対象月に子が2歳到達済／","")&amp;IF(AND($H2877&lt;&gt;"",INDEX(職員マスタ!$B$6:$B$405,$AP2877)&lt;&gt;"",SUBSTITUTE(SUBSTITUTE($H2877," ","")," ","")&lt;&gt;SUBSTITUTE(SUBSTITUTE(INDEX(職員マスタ!$B$6:$B$405,$AP2877)," ","")," ","")),"氏名がマスタと相違／","")&amp;IF(AND($Q2877&lt;&gt;"",INDEX(職員マスタ!$E$6:$E$405,$AP2877)&lt;&gt;"",$Q2877&lt;&gt;INDEX(職員マスタ!$E$6:$E$405,$AP2877)),"子の生年月日がマスタと相違／","")&amp;IF(AND($L2877&lt;&gt;"",INDEX(職員マスタ!$G$6:$G$405,$AP2877)&lt;&gt;"",$L2877&lt;&gt;INDEX(職員マスタ!$G$6:$G$405,$AP2877)),"時短開始日がマスタと相違／","")&amp;IF(AND($M2877&lt;&gt;"",INDEX(職員マスタ!$H$6:$H$405,$AP2877)&lt;&gt;"",$M2877&lt;&gt;INDEX(職員マスタ!$H$6:$H$405,$AP2877)),"時短終了日がマスタと相違／","")))&amp;IF(AND($B2877&lt;&gt;"",$E2877=""),"報酬額が未入力／","")&amp;IF(N($U2877)&gt;0,"申請書に入力エラーが残っています／","")&amp;IF(AND($B2877&lt;&gt;"",$AQ2877&lt;&gt;""),IF(COUNTIFS($B$6:$B$3005,$B2877,$C$6:$C$3005,$C2877,$D$6:$D$3005,$D2877)&gt;1,"同じ月の請求が重複しています／",""),"")&amp;IF(AND(N($E2877)&gt;0,$AB2877&lt;&gt;"",$AB2877&lt;&gt;"×",$AE2877=0,$AD2877=""),"計算額が下限以下のため不支給／",""))</f>
        <v/>
      </c>
      <c r="AN2877" s="12" t="n"/>
      <c r="AO2877" s="14">
        <f>IF($AF2877="保留中",COUNTIF($AF$6:$AF2877,"保留中"),"")</f>
        <v/>
      </c>
      <c r="AP2877" s="14">
        <f>IF($AQ2877="","",IF(SUMPRODUCT(MAX((職員マスタ!$A$6:$A$405=$B2877)*(((職員マスタ!$G$6:$G$405="")+(職員マスタ!$G$6:$G$405&lt;=EOMONTH($AQ2877,0)))&gt;0)*(((職員マスタ!$H$6:$H$405="")+(職員マスタ!$H$6:$H$405&gt;=$AQ2877))&gt;0)*(ROW(職員マスタ!$A$6:$A$405)-5)))&gt;0,SUMPRODUCT(MAX((職員マスタ!$A$6:$A$405=$B2877)*(((職員マスタ!$G$6:$G$405="")+(職員マスタ!$G$6:$G$405&lt;=EOMONTH($AQ2877,0)))&gt;0)*(((職員マスタ!$H$6:$H$405="")+(職員マスタ!$H$6:$H$405&gt;=$AQ2877))&gt;0)*(ROW(職員マスタ!$A$6:$A$405)-5))),IFERROR(MATCH($B2877,職員マスタ!$A$6:$A$405,0),"")))</f>
        <v/>
      </c>
      <c r="AQ2877" s="16">
        <f>IF(OR($B2877="",$C2877="",$D2877=""),"",DATE($C2877+2018,$D2877,1))</f>
        <v/>
      </c>
    </row>
    <row r="2878">
      <c r="A2878" s="11" t="n"/>
      <c r="B2878" s="12" t="n"/>
      <c r="C2878" s="12" t="n"/>
      <c r="D2878" s="12" t="n"/>
      <c r="E2878" s="13" t="n"/>
      <c r="F2878" s="12" t="n"/>
      <c r="G2878" s="13" t="n"/>
      <c r="H2878" s="12" t="n"/>
      <c r="I2878" s="12" t="n"/>
      <c r="J2878" s="12" t="n"/>
      <c r="K2878" s="12" t="n"/>
      <c r="L2878" s="11" t="n"/>
      <c r="M2878" s="11" t="n"/>
      <c r="N2878" s="11" t="n"/>
      <c r="O2878" s="11" t="n"/>
      <c r="P2878" s="12" t="n"/>
      <c r="Q2878" s="11" t="n"/>
      <c r="R2878" s="12" t="n"/>
      <c r="S2878" s="11" t="n"/>
      <c r="T2878" s="12" t="n"/>
      <c r="U2878" s="12" t="n"/>
      <c r="V2878" s="12" t="n"/>
      <c r="W2878" s="13" t="n"/>
      <c r="X2878" s="14">
        <f>IF($AP2878="",IF($B2878="","",$H2878),IF(INDEX(職員マスタ!$B$6:$B$405,$AP2878)="",$H2878,INDEX(職員マスタ!$B$6:$B$405,$AP2878)))</f>
        <v/>
      </c>
      <c r="Y2878" s="14">
        <f>IF($AP2878="",IF($B2878="","",$R2878),IF(INDEX(職員マスタ!$C$6:$C$405,$AP2878)="",$R2878,INDEX(職員マスタ!$C$6:$C$405,$AP2878)))</f>
        <v/>
      </c>
      <c r="Z2878" s="14">
        <f>IF($AQ2878="","","R"&amp;$C2878&amp;"."&amp;$D2878)</f>
        <v/>
      </c>
      <c r="AA2878" s="15">
        <f>IF(IF($AP2878="",FALSE,INDEX(職員マスタ!$K$6:$K$405,$AP2878)&lt;&gt;""),INDEX(職員マスタ!$K$6:$K$405,$AP2878),IF(N($W2878)&gt;0,$W2878,""))</f>
        <v/>
      </c>
      <c r="AB2878" s="14">
        <f>IF(OR($E2878="",$AA2878=""),"",IF($E2878&gt;=$AA2878,"×",IF($E2878&gt;=$AA2878*設定!$C$5,"△","○")))</f>
        <v/>
      </c>
      <c r="AC2878" s="15">
        <f>IF($AB2878="","",IF($AB2878="×",0,IF($AB2878="○",ROUNDDOWN($E2878*設定!$C$4,0),ROUNDDOWN($E2878*ROUND((9*$AA2878-9*$E2878)/(10*$E2878),4),0))))</f>
        <v/>
      </c>
      <c r="AD2878" s="13" t="n"/>
      <c r="AE2878" s="15">
        <f>IF($B2878="","",IF($AD2878&lt;&gt;"",$AD2878,IF($AC2878="","",IF($AC2878&lt;=設定!$C$3,0,$AC2878))))</f>
        <v/>
      </c>
      <c r="AF2878" s="14">
        <f>IF($B2878="","",IF(AND($AG2878&lt;&gt;"",$AI2878="",$AL2878=""),"保留中",IF($AL2878&lt;&gt;"",IF(N($AE2878)&gt;0,"支給済","不支給"),IF($AE2878="","要確認",IF($AE2878=0,"不支給","未処理")))))</f>
        <v/>
      </c>
      <c r="AG2878" s="12" t="n"/>
      <c r="AH2878" s="11" t="n"/>
      <c r="AI2878" s="11" t="n"/>
      <c r="AJ2878" s="11" t="n"/>
      <c r="AK2878" s="14">
        <f>IF(AND($AF2878="保留中",$AH2878&lt;&gt;""),TODAY()-$AH2878,"")</f>
        <v/>
      </c>
      <c r="AL2878" s="12" t="n"/>
      <c r="AM2878" s="14">
        <f>IF($B2878="","",IF($AQ2878="","対象年月が未入力／","")&amp;IF($B2878="","",IF($AP2878="","職員マスタに未登録の職員番号／",IF($AA2878="","標準報酬月額が未登録／","")&amp;IF(AND($AQ2878&lt;&gt;"",OR(AND(INDEX(職員マスタ!$G$6:$G$405,$AP2878)&lt;&gt;"",INDEX(職員マスタ!$G$6:$G$405,$AP2878)&gt;EOMONTH($AQ2878,0)),AND(INDEX(職員マスタ!$H$6:$H$405,$AP2878)&lt;&gt;"",INDEX(職員マスタ!$H$6:$H$405,$AP2878)&lt;$AQ2878))),"対象月が時短期間外／","")&amp;IF(AND(INDEX(職員マスタ!$K$6:$K$405,$AP2878)&lt;&gt;"",N($W2878)&gt;0,INDEX(職員マスタ!$K$6:$K$405,$AP2878)&lt;&gt;$W2878),"標準報酬月額が申請書と相違（台帳"&amp;TEXT(INDEX(職員マスタ!$K$6:$K$405,$AP2878),"#,##0")&amp;"円／申請書"&amp;TEXT($W2878,"#,##0")&amp;"円）／","")&amp;IF(AND(INDEX(職員マスタ!$F$6:$F$405,$AP2878)&lt;&gt;"",$AQ2878&lt;&gt;"",INDEX(職員マスタ!$F$6:$F$405,$AP2878)&lt;$AQ2878),"対象月に子が2歳到達済／","")&amp;IF(AND($H2878&lt;&gt;"",INDEX(職員マスタ!$B$6:$B$405,$AP2878)&lt;&gt;"",SUBSTITUTE(SUBSTITUTE($H2878," ","")," ","")&lt;&gt;SUBSTITUTE(SUBSTITUTE(INDEX(職員マスタ!$B$6:$B$405,$AP2878)," ","")," ","")),"氏名がマスタと相違／","")&amp;IF(AND($Q2878&lt;&gt;"",INDEX(職員マスタ!$E$6:$E$405,$AP2878)&lt;&gt;"",$Q2878&lt;&gt;INDEX(職員マスタ!$E$6:$E$405,$AP2878)),"子の生年月日がマスタと相違／","")&amp;IF(AND($L2878&lt;&gt;"",INDEX(職員マスタ!$G$6:$G$405,$AP2878)&lt;&gt;"",$L2878&lt;&gt;INDEX(職員マスタ!$G$6:$G$405,$AP2878)),"時短開始日がマスタと相違／","")&amp;IF(AND($M2878&lt;&gt;"",INDEX(職員マスタ!$H$6:$H$405,$AP2878)&lt;&gt;"",$M2878&lt;&gt;INDEX(職員マスタ!$H$6:$H$405,$AP2878)),"時短終了日がマスタと相違／","")))&amp;IF(AND($B2878&lt;&gt;"",$E2878=""),"報酬額が未入力／","")&amp;IF(N($U2878)&gt;0,"申請書に入力エラーが残っています／","")&amp;IF(AND($B2878&lt;&gt;"",$AQ2878&lt;&gt;""),IF(COUNTIFS($B$6:$B$3005,$B2878,$C$6:$C$3005,$C2878,$D$6:$D$3005,$D2878)&gt;1,"同じ月の請求が重複しています／",""),"")&amp;IF(AND(N($E2878)&gt;0,$AB2878&lt;&gt;"",$AB2878&lt;&gt;"×",$AE2878=0,$AD2878=""),"計算額が下限以下のため不支給／",""))</f>
        <v/>
      </c>
      <c r="AN2878" s="12" t="n"/>
      <c r="AO2878" s="14">
        <f>IF($AF2878="保留中",COUNTIF($AF$6:$AF2878,"保留中"),"")</f>
        <v/>
      </c>
      <c r="AP2878" s="14">
        <f>IF($AQ2878="","",IF(SUMPRODUCT(MAX((職員マスタ!$A$6:$A$405=$B2878)*(((職員マスタ!$G$6:$G$405="")+(職員マスタ!$G$6:$G$405&lt;=EOMONTH($AQ2878,0)))&gt;0)*(((職員マスタ!$H$6:$H$405="")+(職員マスタ!$H$6:$H$405&gt;=$AQ2878))&gt;0)*(ROW(職員マスタ!$A$6:$A$405)-5)))&gt;0,SUMPRODUCT(MAX((職員マスタ!$A$6:$A$405=$B2878)*(((職員マスタ!$G$6:$G$405="")+(職員マスタ!$G$6:$G$405&lt;=EOMONTH($AQ2878,0)))&gt;0)*(((職員マスタ!$H$6:$H$405="")+(職員マスタ!$H$6:$H$405&gt;=$AQ2878))&gt;0)*(ROW(職員マスタ!$A$6:$A$405)-5))),IFERROR(MATCH($B2878,職員マスタ!$A$6:$A$405,0),"")))</f>
        <v/>
      </c>
      <c r="AQ2878" s="16">
        <f>IF(OR($B2878="",$C2878="",$D2878=""),"",DATE($C2878+2018,$D2878,1))</f>
        <v/>
      </c>
    </row>
    <row r="2879">
      <c r="A2879" s="11" t="n"/>
      <c r="B2879" s="12" t="n"/>
      <c r="C2879" s="12" t="n"/>
      <c r="D2879" s="12" t="n"/>
      <c r="E2879" s="13" t="n"/>
      <c r="F2879" s="12" t="n"/>
      <c r="G2879" s="13" t="n"/>
      <c r="H2879" s="12" t="n"/>
      <c r="I2879" s="12" t="n"/>
      <c r="J2879" s="12" t="n"/>
      <c r="K2879" s="12" t="n"/>
      <c r="L2879" s="11" t="n"/>
      <c r="M2879" s="11" t="n"/>
      <c r="N2879" s="11" t="n"/>
      <c r="O2879" s="11" t="n"/>
      <c r="P2879" s="12" t="n"/>
      <c r="Q2879" s="11" t="n"/>
      <c r="R2879" s="12" t="n"/>
      <c r="S2879" s="11" t="n"/>
      <c r="T2879" s="12" t="n"/>
      <c r="U2879" s="12" t="n"/>
      <c r="V2879" s="12" t="n"/>
      <c r="W2879" s="13" t="n"/>
      <c r="X2879" s="14">
        <f>IF($AP2879="",IF($B2879="","",$H2879),IF(INDEX(職員マスタ!$B$6:$B$405,$AP2879)="",$H2879,INDEX(職員マスタ!$B$6:$B$405,$AP2879)))</f>
        <v/>
      </c>
      <c r="Y2879" s="14">
        <f>IF($AP2879="",IF($B2879="","",$R2879),IF(INDEX(職員マスタ!$C$6:$C$405,$AP2879)="",$R2879,INDEX(職員マスタ!$C$6:$C$405,$AP2879)))</f>
        <v/>
      </c>
      <c r="Z2879" s="14">
        <f>IF($AQ2879="","","R"&amp;$C2879&amp;"."&amp;$D2879)</f>
        <v/>
      </c>
      <c r="AA2879" s="15">
        <f>IF(IF($AP2879="",FALSE,INDEX(職員マスタ!$K$6:$K$405,$AP2879)&lt;&gt;""),INDEX(職員マスタ!$K$6:$K$405,$AP2879),IF(N($W2879)&gt;0,$W2879,""))</f>
        <v/>
      </c>
      <c r="AB2879" s="14">
        <f>IF(OR($E2879="",$AA2879=""),"",IF($E2879&gt;=$AA2879,"×",IF($E2879&gt;=$AA2879*設定!$C$5,"△","○")))</f>
        <v/>
      </c>
      <c r="AC2879" s="15">
        <f>IF($AB2879="","",IF($AB2879="×",0,IF($AB2879="○",ROUNDDOWN($E2879*設定!$C$4,0),ROUNDDOWN($E2879*ROUND((9*$AA2879-9*$E2879)/(10*$E2879),4),0))))</f>
        <v/>
      </c>
      <c r="AD2879" s="13" t="n"/>
      <c r="AE2879" s="15">
        <f>IF($B2879="","",IF($AD2879&lt;&gt;"",$AD2879,IF($AC2879="","",IF($AC2879&lt;=設定!$C$3,0,$AC2879))))</f>
        <v/>
      </c>
      <c r="AF2879" s="14">
        <f>IF($B2879="","",IF(AND($AG2879&lt;&gt;"",$AI2879="",$AL2879=""),"保留中",IF($AL2879&lt;&gt;"",IF(N($AE2879)&gt;0,"支給済","不支給"),IF($AE2879="","要確認",IF($AE2879=0,"不支給","未処理")))))</f>
        <v/>
      </c>
      <c r="AG2879" s="12" t="n"/>
      <c r="AH2879" s="11" t="n"/>
      <c r="AI2879" s="11" t="n"/>
      <c r="AJ2879" s="11" t="n"/>
      <c r="AK2879" s="14">
        <f>IF(AND($AF2879="保留中",$AH2879&lt;&gt;""),TODAY()-$AH2879,"")</f>
        <v/>
      </c>
      <c r="AL2879" s="12" t="n"/>
      <c r="AM2879" s="14">
        <f>IF($B2879="","",IF($AQ2879="","対象年月が未入力／","")&amp;IF($B2879="","",IF($AP2879="","職員マスタに未登録の職員番号／",IF($AA2879="","標準報酬月額が未登録／","")&amp;IF(AND($AQ2879&lt;&gt;"",OR(AND(INDEX(職員マスタ!$G$6:$G$405,$AP2879)&lt;&gt;"",INDEX(職員マスタ!$G$6:$G$405,$AP2879)&gt;EOMONTH($AQ2879,0)),AND(INDEX(職員マスタ!$H$6:$H$405,$AP2879)&lt;&gt;"",INDEX(職員マスタ!$H$6:$H$405,$AP2879)&lt;$AQ2879))),"対象月が時短期間外／","")&amp;IF(AND(INDEX(職員マスタ!$K$6:$K$405,$AP2879)&lt;&gt;"",N($W2879)&gt;0,INDEX(職員マスタ!$K$6:$K$405,$AP2879)&lt;&gt;$W2879),"標準報酬月額が申請書と相違（台帳"&amp;TEXT(INDEX(職員マスタ!$K$6:$K$405,$AP2879),"#,##0")&amp;"円／申請書"&amp;TEXT($W2879,"#,##0")&amp;"円）／","")&amp;IF(AND(INDEX(職員マスタ!$F$6:$F$405,$AP2879)&lt;&gt;"",$AQ2879&lt;&gt;"",INDEX(職員マスタ!$F$6:$F$405,$AP2879)&lt;$AQ2879),"対象月に子が2歳到達済／","")&amp;IF(AND($H2879&lt;&gt;"",INDEX(職員マスタ!$B$6:$B$405,$AP2879)&lt;&gt;"",SUBSTITUTE(SUBSTITUTE($H2879," ","")," ","")&lt;&gt;SUBSTITUTE(SUBSTITUTE(INDEX(職員マスタ!$B$6:$B$405,$AP2879)," ","")," ","")),"氏名がマスタと相違／","")&amp;IF(AND($Q2879&lt;&gt;"",INDEX(職員マスタ!$E$6:$E$405,$AP2879)&lt;&gt;"",$Q2879&lt;&gt;INDEX(職員マスタ!$E$6:$E$405,$AP2879)),"子の生年月日がマスタと相違／","")&amp;IF(AND($L2879&lt;&gt;"",INDEX(職員マスタ!$G$6:$G$405,$AP2879)&lt;&gt;"",$L2879&lt;&gt;INDEX(職員マスタ!$G$6:$G$405,$AP2879)),"時短開始日がマスタと相違／","")&amp;IF(AND($M2879&lt;&gt;"",INDEX(職員マスタ!$H$6:$H$405,$AP2879)&lt;&gt;"",$M2879&lt;&gt;INDEX(職員マスタ!$H$6:$H$405,$AP2879)),"時短終了日がマスタと相違／","")))&amp;IF(AND($B2879&lt;&gt;"",$E2879=""),"報酬額が未入力／","")&amp;IF(N($U2879)&gt;0,"申請書に入力エラーが残っています／","")&amp;IF(AND($B2879&lt;&gt;"",$AQ2879&lt;&gt;""),IF(COUNTIFS($B$6:$B$3005,$B2879,$C$6:$C$3005,$C2879,$D$6:$D$3005,$D2879)&gt;1,"同じ月の請求が重複しています／",""),"")&amp;IF(AND(N($E2879)&gt;0,$AB2879&lt;&gt;"",$AB2879&lt;&gt;"×",$AE2879=0,$AD2879=""),"計算額が下限以下のため不支給／",""))</f>
        <v/>
      </c>
      <c r="AN2879" s="12" t="n"/>
      <c r="AO2879" s="14">
        <f>IF($AF2879="保留中",COUNTIF($AF$6:$AF2879,"保留中"),"")</f>
        <v/>
      </c>
      <c r="AP2879" s="14">
        <f>IF($AQ2879="","",IF(SUMPRODUCT(MAX((職員マスタ!$A$6:$A$405=$B2879)*(((職員マスタ!$G$6:$G$405="")+(職員マスタ!$G$6:$G$405&lt;=EOMONTH($AQ2879,0)))&gt;0)*(((職員マスタ!$H$6:$H$405="")+(職員マスタ!$H$6:$H$405&gt;=$AQ2879))&gt;0)*(ROW(職員マスタ!$A$6:$A$405)-5)))&gt;0,SUMPRODUCT(MAX((職員マスタ!$A$6:$A$405=$B2879)*(((職員マスタ!$G$6:$G$405="")+(職員マスタ!$G$6:$G$405&lt;=EOMONTH($AQ2879,0)))&gt;0)*(((職員マスタ!$H$6:$H$405="")+(職員マスタ!$H$6:$H$405&gt;=$AQ2879))&gt;0)*(ROW(職員マスタ!$A$6:$A$405)-5))),IFERROR(MATCH($B2879,職員マスタ!$A$6:$A$405,0),"")))</f>
        <v/>
      </c>
      <c r="AQ2879" s="16">
        <f>IF(OR($B2879="",$C2879="",$D2879=""),"",DATE($C2879+2018,$D2879,1))</f>
        <v/>
      </c>
    </row>
    <row r="2880">
      <c r="A2880" s="11" t="n"/>
      <c r="B2880" s="12" t="n"/>
      <c r="C2880" s="12" t="n"/>
      <c r="D2880" s="12" t="n"/>
      <c r="E2880" s="13" t="n"/>
      <c r="F2880" s="12" t="n"/>
      <c r="G2880" s="13" t="n"/>
      <c r="H2880" s="12" t="n"/>
      <c r="I2880" s="12" t="n"/>
      <c r="J2880" s="12" t="n"/>
      <c r="K2880" s="12" t="n"/>
      <c r="L2880" s="11" t="n"/>
      <c r="M2880" s="11" t="n"/>
      <c r="N2880" s="11" t="n"/>
      <c r="O2880" s="11" t="n"/>
      <c r="P2880" s="12" t="n"/>
      <c r="Q2880" s="11" t="n"/>
      <c r="R2880" s="12" t="n"/>
      <c r="S2880" s="11" t="n"/>
      <c r="T2880" s="12" t="n"/>
      <c r="U2880" s="12" t="n"/>
      <c r="V2880" s="12" t="n"/>
      <c r="W2880" s="13" t="n"/>
      <c r="X2880" s="14">
        <f>IF($AP2880="",IF($B2880="","",$H2880),IF(INDEX(職員マスタ!$B$6:$B$405,$AP2880)="",$H2880,INDEX(職員マスタ!$B$6:$B$405,$AP2880)))</f>
        <v/>
      </c>
      <c r="Y2880" s="14">
        <f>IF($AP2880="",IF($B2880="","",$R2880),IF(INDEX(職員マスタ!$C$6:$C$405,$AP2880)="",$R2880,INDEX(職員マスタ!$C$6:$C$405,$AP2880)))</f>
        <v/>
      </c>
      <c r="Z2880" s="14">
        <f>IF($AQ2880="","","R"&amp;$C2880&amp;"."&amp;$D2880)</f>
        <v/>
      </c>
      <c r="AA2880" s="15">
        <f>IF(IF($AP2880="",FALSE,INDEX(職員マスタ!$K$6:$K$405,$AP2880)&lt;&gt;""),INDEX(職員マスタ!$K$6:$K$405,$AP2880),IF(N($W2880)&gt;0,$W2880,""))</f>
        <v/>
      </c>
      <c r="AB2880" s="14">
        <f>IF(OR($E2880="",$AA2880=""),"",IF($E2880&gt;=$AA2880,"×",IF($E2880&gt;=$AA2880*設定!$C$5,"△","○")))</f>
        <v/>
      </c>
      <c r="AC2880" s="15">
        <f>IF($AB2880="","",IF($AB2880="×",0,IF($AB2880="○",ROUNDDOWN($E2880*設定!$C$4,0),ROUNDDOWN($E2880*ROUND((9*$AA2880-9*$E2880)/(10*$E2880),4),0))))</f>
        <v/>
      </c>
      <c r="AD2880" s="13" t="n"/>
      <c r="AE2880" s="15">
        <f>IF($B2880="","",IF($AD2880&lt;&gt;"",$AD2880,IF($AC2880="","",IF($AC2880&lt;=設定!$C$3,0,$AC2880))))</f>
        <v/>
      </c>
      <c r="AF2880" s="14">
        <f>IF($B2880="","",IF(AND($AG2880&lt;&gt;"",$AI2880="",$AL2880=""),"保留中",IF($AL2880&lt;&gt;"",IF(N($AE2880)&gt;0,"支給済","不支給"),IF($AE2880="","要確認",IF($AE2880=0,"不支給","未処理")))))</f>
        <v/>
      </c>
      <c r="AG2880" s="12" t="n"/>
      <c r="AH2880" s="11" t="n"/>
      <c r="AI2880" s="11" t="n"/>
      <c r="AJ2880" s="11" t="n"/>
      <c r="AK2880" s="14">
        <f>IF(AND($AF2880="保留中",$AH2880&lt;&gt;""),TODAY()-$AH2880,"")</f>
        <v/>
      </c>
      <c r="AL2880" s="12" t="n"/>
      <c r="AM2880" s="14">
        <f>IF($B2880="","",IF($AQ2880="","対象年月が未入力／","")&amp;IF($B2880="","",IF($AP2880="","職員マスタに未登録の職員番号／",IF($AA2880="","標準報酬月額が未登録／","")&amp;IF(AND($AQ2880&lt;&gt;"",OR(AND(INDEX(職員マスタ!$G$6:$G$405,$AP2880)&lt;&gt;"",INDEX(職員マスタ!$G$6:$G$405,$AP2880)&gt;EOMONTH($AQ2880,0)),AND(INDEX(職員マスタ!$H$6:$H$405,$AP2880)&lt;&gt;"",INDEX(職員マスタ!$H$6:$H$405,$AP2880)&lt;$AQ2880))),"対象月が時短期間外／","")&amp;IF(AND(INDEX(職員マスタ!$K$6:$K$405,$AP2880)&lt;&gt;"",N($W2880)&gt;0,INDEX(職員マスタ!$K$6:$K$405,$AP2880)&lt;&gt;$W2880),"標準報酬月額が申請書と相違（台帳"&amp;TEXT(INDEX(職員マスタ!$K$6:$K$405,$AP2880),"#,##0")&amp;"円／申請書"&amp;TEXT($W2880,"#,##0")&amp;"円）／","")&amp;IF(AND(INDEX(職員マスタ!$F$6:$F$405,$AP2880)&lt;&gt;"",$AQ2880&lt;&gt;"",INDEX(職員マスタ!$F$6:$F$405,$AP2880)&lt;$AQ2880),"対象月に子が2歳到達済／","")&amp;IF(AND($H2880&lt;&gt;"",INDEX(職員マスタ!$B$6:$B$405,$AP2880)&lt;&gt;"",SUBSTITUTE(SUBSTITUTE($H2880," ","")," ","")&lt;&gt;SUBSTITUTE(SUBSTITUTE(INDEX(職員マスタ!$B$6:$B$405,$AP2880)," ","")," ","")),"氏名がマスタと相違／","")&amp;IF(AND($Q2880&lt;&gt;"",INDEX(職員マスタ!$E$6:$E$405,$AP2880)&lt;&gt;"",$Q2880&lt;&gt;INDEX(職員マスタ!$E$6:$E$405,$AP2880)),"子の生年月日がマスタと相違／","")&amp;IF(AND($L2880&lt;&gt;"",INDEX(職員マスタ!$G$6:$G$405,$AP2880)&lt;&gt;"",$L2880&lt;&gt;INDEX(職員マスタ!$G$6:$G$405,$AP2880)),"時短開始日がマスタと相違／","")&amp;IF(AND($M2880&lt;&gt;"",INDEX(職員マスタ!$H$6:$H$405,$AP2880)&lt;&gt;"",$M2880&lt;&gt;INDEX(職員マスタ!$H$6:$H$405,$AP2880)),"時短終了日がマスタと相違／","")))&amp;IF(AND($B2880&lt;&gt;"",$E2880=""),"報酬額が未入力／","")&amp;IF(N($U2880)&gt;0,"申請書に入力エラーが残っています／","")&amp;IF(AND($B2880&lt;&gt;"",$AQ2880&lt;&gt;""),IF(COUNTIFS($B$6:$B$3005,$B2880,$C$6:$C$3005,$C2880,$D$6:$D$3005,$D2880)&gt;1,"同じ月の請求が重複しています／",""),"")&amp;IF(AND(N($E2880)&gt;0,$AB2880&lt;&gt;"",$AB2880&lt;&gt;"×",$AE2880=0,$AD2880=""),"計算額が下限以下のため不支給／",""))</f>
        <v/>
      </c>
      <c r="AN2880" s="12" t="n"/>
      <c r="AO2880" s="14">
        <f>IF($AF2880="保留中",COUNTIF($AF$6:$AF2880,"保留中"),"")</f>
        <v/>
      </c>
      <c r="AP2880" s="14">
        <f>IF($AQ2880="","",IF(SUMPRODUCT(MAX((職員マスタ!$A$6:$A$405=$B2880)*(((職員マスタ!$G$6:$G$405="")+(職員マスタ!$G$6:$G$405&lt;=EOMONTH($AQ2880,0)))&gt;0)*(((職員マスタ!$H$6:$H$405="")+(職員マスタ!$H$6:$H$405&gt;=$AQ2880))&gt;0)*(ROW(職員マスタ!$A$6:$A$405)-5)))&gt;0,SUMPRODUCT(MAX((職員マスタ!$A$6:$A$405=$B2880)*(((職員マスタ!$G$6:$G$405="")+(職員マスタ!$G$6:$G$405&lt;=EOMONTH($AQ2880,0)))&gt;0)*(((職員マスタ!$H$6:$H$405="")+(職員マスタ!$H$6:$H$405&gt;=$AQ2880))&gt;0)*(ROW(職員マスタ!$A$6:$A$405)-5))),IFERROR(MATCH($B2880,職員マスタ!$A$6:$A$405,0),"")))</f>
        <v/>
      </c>
      <c r="AQ2880" s="16">
        <f>IF(OR($B2880="",$C2880="",$D2880=""),"",DATE($C2880+2018,$D2880,1))</f>
        <v/>
      </c>
    </row>
    <row r="2881">
      <c r="A2881" s="11" t="n"/>
      <c r="B2881" s="12" t="n"/>
      <c r="C2881" s="12" t="n"/>
      <c r="D2881" s="12" t="n"/>
      <c r="E2881" s="13" t="n"/>
      <c r="F2881" s="12" t="n"/>
      <c r="G2881" s="13" t="n"/>
      <c r="H2881" s="12" t="n"/>
      <c r="I2881" s="12" t="n"/>
      <c r="J2881" s="12" t="n"/>
      <c r="K2881" s="12" t="n"/>
      <c r="L2881" s="11" t="n"/>
      <c r="M2881" s="11" t="n"/>
      <c r="N2881" s="11" t="n"/>
      <c r="O2881" s="11" t="n"/>
      <c r="P2881" s="12" t="n"/>
      <c r="Q2881" s="11" t="n"/>
      <c r="R2881" s="12" t="n"/>
      <c r="S2881" s="11" t="n"/>
      <c r="T2881" s="12" t="n"/>
      <c r="U2881" s="12" t="n"/>
      <c r="V2881" s="12" t="n"/>
      <c r="W2881" s="13" t="n"/>
      <c r="X2881" s="14">
        <f>IF($AP2881="",IF($B2881="","",$H2881),IF(INDEX(職員マスタ!$B$6:$B$405,$AP2881)="",$H2881,INDEX(職員マスタ!$B$6:$B$405,$AP2881)))</f>
        <v/>
      </c>
      <c r="Y2881" s="14">
        <f>IF($AP2881="",IF($B2881="","",$R2881),IF(INDEX(職員マスタ!$C$6:$C$405,$AP2881)="",$R2881,INDEX(職員マスタ!$C$6:$C$405,$AP2881)))</f>
        <v/>
      </c>
      <c r="Z2881" s="14">
        <f>IF($AQ2881="","","R"&amp;$C2881&amp;"."&amp;$D2881)</f>
        <v/>
      </c>
      <c r="AA2881" s="15">
        <f>IF(IF($AP2881="",FALSE,INDEX(職員マスタ!$K$6:$K$405,$AP2881)&lt;&gt;""),INDEX(職員マスタ!$K$6:$K$405,$AP2881),IF(N($W2881)&gt;0,$W2881,""))</f>
        <v/>
      </c>
      <c r="AB2881" s="14">
        <f>IF(OR($E2881="",$AA2881=""),"",IF($E2881&gt;=$AA2881,"×",IF($E2881&gt;=$AA2881*設定!$C$5,"△","○")))</f>
        <v/>
      </c>
      <c r="AC2881" s="15">
        <f>IF($AB2881="","",IF($AB2881="×",0,IF($AB2881="○",ROUNDDOWN($E2881*設定!$C$4,0),ROUNDDOWN($E2881*ROUND((9*$AA2881-9*$E2881)/(10*$E2881),4),0))))</f>
        <v/>
      </c>
      <c r="AD2881" s="13" t="n"/>
      <c r="AE2881" s="15">
        <f>IF($B2881="","",IF($AD2881&lt;&gt;"",$AD2881,IF($AC2881="","",IF($AC2881&lt;=設定!$C$3,0,$AC2881))))</f>
        <v/>
      </c>
      <c r="AF2881" s="14">
        <f>IF($B2881="","",IF(AND($AG2881&lt;&gt;"",$AI2881="",$AL2881=""),"保留中",IF($AL2881&lt;&gt;"",IF(N($AE2881)&gt;0,"支給済","不支給"),IF($AE2881="","要確認",IF($AE2881=0,"不支給","未処理")))))</f>
        <v/>
      </c>
      <c r="AG2881" s="12" t="n"/>
      <c r="AH2881" s="11" t="n"/>
      <c r="AI2881" s="11" t="n"/>
      <c r="AJ2881" s="11" t="n"/>
      <c r="AK2881" s="14">
        <f>IF(AND($AF2881="保留中",$AH2881&lt;&gt;""),TODAY()-$AH2881,"")</f>
        <v/>
      </c>
      <c r="AL2881" s="12" t="n"/>
      <c r="AM2881" s="14">
        <f>IF($B2881="","",IF($AQ2881="","対象年月が未入力／","")&amp;IF($B2881="","",IF($AP2881="","職員マスタに未登録の職員番号／",IF($AA2881="","標準報酬月額が未登録／","")&amp;IF(AND($AQ2881&lt;&gt;"",OR(AND(INDEX(職員マスタ!$G$6:$G$405,$AP2881)&lt;&gt;"",INDEX(職員マスタ!$G$6:$G$405,$AP2881)&gt;EOMONTH($AQ2881,0)),AND(INDEX(職員マスタ!$H$6:$H$405,$AP2881)&lt;&gt;"",INDEX(職員マスタ!$H$6:$H$405,$AP2881)&lt;$AQ2881))),"対象月が時短期間外／","")&amp;IF(AND(INDEX(職員マスタ!$K$6:$K$405,$AP2881)&lt;&gt;"",N($W2881)&gt;0,INDEX(職員マスタ!$K$6:$K$405,$AP2881)&lt;&gt;$W2881),"標準報酬月額が申請書と相違（台帳"&amp;TEXT(INDEX(職員マスタ!$K$6:$K$405,$AP2881),"#,##0")&amp;"円／申請書"&amp;TEXT($W2881,"#,##0")&amp;"円）／","")&amp;IF(AND(INDEX(職員マスタ!$F$6:$F$405,$AP2881)&lt;&gt;"",$AQ2881&lt;&gt;"",INDEX(職員マスタ!$F$6:$F$405,$AP2881)&lt;$AQ2881),"対象月に子が2歳到達済／","")&amp;IF(AND($H2881&lt;&gt;"",INDEX(職員マスタ!$B$6:$B$405,$AP2881)&lt;&gt;"",SUBSTITUTE(SUBSTITUTE($H2881," ","")," ","")&lt;&gt;SUBSTITUTE(SUBSTITUTE(INDEX(職員マスタ!$B$6:$B$405,$AP2881)," ","")," ","")),"氏名がマスタと相違／","")&amp;IF(AND($Q2881&lt;&gt;"",INDEX(職員マスタ!$E$6:$E$405,$AP2881)&lt;&gt;"",$Q2881&lt;&gt;INDEX(職員マスタ!$E$6:$E$405,$AP2881)),"子の生年月日がマスタと相違／","")&amp;IF(AND($L2881&lt;&gt;"",INDEX(職員マスタ!$G$6:$G$405,$AP2881)&lt;&gt;"",$L2881&lt;&gt;INDEX(職員マスタ!$G$6:$G$405,$AP2881)),"時短開始日がマスタと相違／","")&amp;IF(AND($M2881&lt;&gt;"",INDEX(職員マスタ!$H$6:$H$405,$AP2881)&lt;&gt;"",$M2881&lt;&gt;INDEX(職員マスタ!$H$6:$H$405,$AP2881)),"時短終了日がマスタと相違／","")))&amp;IF(AND($B2881&lt;&gt;"",$E2881=""),"報酬額が未入力／","")&amp;IF(N($U2881)&gt;0,"申請書に入力エラーが残っています／","")&amp;IF(AND($B2881&lt;&gt;"",$AQ2881&lt;&gt;""),IF(COUNTIFS($B$6:$B$3005,$B2881,$C$6:$C$3005,$C2881,$D$6:$D$3005,$D2881)&gt;1,"同じ月の請求が重複しています／",""),"")&amp;IF(AND(N($E2881)&gt;0,$AB2881&lt;&gt;"",$AB2881&lt;&gt;"×",$AE2881=0,$AD2881=""),"計算額が下限以下のため不支給／",""))</f>
        <v/>
      </c>
      <c r="AN2881" s="12" t="n"/>
      <c r="AO2881" s="14">
        <f>IF($AF2881="保留中",COUNTIF($AF$6:$AF2881,"保留中"),"")</f>
        <v/>
      </c>
      <c r="AP2881" s="14">
        <f>IF($AQ2881="","",IF(SUMPRODUCT(MAX((職員マスタ!$A$6:$A$405=$B2881)*(((職員マスタ!$G$6:$G$405="")+(職員マスタ!$G$6:$G$405&lt;=EOMONTH($AQ2881,0)))&gt;0)*(((職員マスタ!$H$6:$H$405="")+(職員マスタ!$H$6:$H$405&gt;=$AQ2881))&gt;0)*(ROW(職員マスタ!$A$6:$A$405)-5)))&gt;0,SUMPRODUCT(MAX((職員マスタ!$A$6:$A$405=$B2881)*(((職員マスタ!$G$6:$G$405="")+(職員マスタ!$G$6:$G$405&lt;=EOMONTH($AQ2881,0)))&gt;0)*(((職員マスタ!$H$6:$H$405="")+(職員マスタ!$H$6:$H$405&gt;=$AQ2881))&gt;0)*(ROW(職員マスタ!$A$6:$A$405)-5))),IFERROR(MATCH($B2881,職員マスタ!$A$6:$A$405,0),"")))</f>
        <v/>
      </c>
      <c r="AQ2881" s="16">
        <f>IF(OR($B2881="",$C2881="",$D2881=""),"",DATE($C2881+2018,$D2881,1))</f>
        <v/>
      </c>
    </row>
    <row r="2882">
      <c r="A2882" s="11" t="n"/>
      <c r="B2882" s="12" t="n"/>
      <c r="C2882" s="12" t="n"/>
      <c r="D2882" s="12" t="n"/>
      <c r="E2882" s="13" t="n"/>
      <c r="F2882" s="12" t="n"/>
      <c r="G2882" s="13" t="n"/>
      <c r="H2882" s="12" t="n"/>
      <c r="I2882" s="12" t="n"/>
      <c r="J2882" s="12" t="n"/>
      <c r="K2882" s="12" t="n"/>
      <c r="L2882" s="11" t="n"/>
      <c r="M2882" s="11" t="n"/>
      <c r="N2882" s="11" t="n"/>
      <c r="O2882" s="11" t="n"/>
      <c r="P2882" s="12" t="n"/>
      <c r="Q2882" s="11" t="n"/>
      <c r="R2882" s="12" t="n"/>
      <c r="S2882" s="11" t="n"/>
      <c r="T2882" s="12" t="n"/>
      <c r="U2882" s="12" t="n"/>
      <c r="V2882" s="12" t="n"/>
      <c r="W2882" s="13" t="n"/>
      <c r="X2882" s="14">
        <f>IF($AP2882="",IF($B2882="","",$H2882),IF(INDEX(職員マスタ!$B$6:$B$405,$AP2882)="",$H2882,INDEX(職員マスタ!$B$6:$B$405,$AP2882)))</f>
        <v/>
      </c>
      <c r="Y2882" s="14">
        <f>IF($AP2882="",IF($B2882="","",$R2882),IF(INDEX(職員マスタ!$C$6:$C$405,$AP2882)="",$R2882,INDEX(職員マスタ!$C$6:$C$405,$AP2882)))</f>
        <v/>
      </c>
      <c r="Z2882" s="14">
        <f>IF($AQ2882="","","R"&amp;$C2882&amp;"."&amp;$D2882)</f>
        <v/>
      </c>
      <c r="AA2882" s="15">
        <f>IF(IF($AP2882="",FALSE,INDEX(職員マスタ!$K$6:$K$405,$AP2882)&lt;&gt;""),INDEX(職員マスタ!$K$6:$K$405,$AP2882),IF(N($W2882)&gt;0,$W2882,""))</f>
        <v/>
      </c>
      <c r="AB2882" s="14">
        <f>IF(OR($E2882="",$AA2882=""),"",IF($E2882&gt;=$AA2882,"×",IF($E2882&gt;=$AA2882*設定!$C$5,"△","○")))</f>
        <v/>
      </c>
      <c r="AC2882" s="15">
        <f>IF($AB2882="","",IF($AB2882="×",0,IF($AB2882="○",ROUNDDOWN($E2882*設定!$C$4,0),ROUNDDOWN($E2882*ROUND((9*$AA2882-9*$E2882)/(10*$E2882),4),0))))</f>
        <v/>
      </c>
      <c r="AD2882" s="13" t="n"/>
      <c r="AE2882" s="15">
        <f>IF($B2882="","",IF($AD2882&lt;&gt;"",$AD2882,IF($AC2882="","",IF($AC2882&lt;=設定!$C$3,0,$AC2882))))</f>
        <v/>
      </c>
      <c r="AF2882" s="14">
        <f>IF($B2882="","",IF(AND($AG2882&lt;&gt;"",$AI2882="",$AL2882=""),"保留中",IF($AL2882&lt;&gt;"",IF(N($AE2882)&gt;0,"支給済","不支給"),IF($AE2882="","要確認",IF($AE2882=0,"不支給","未処理")))))</f>
        <v/>
      </c>
      <c r="AG2882" s="12" t="n"/>
      <c r="AH2882" s="11" t="n"/>
      <c r="AI2882" s="11" t="n"/>
      <c r="AJ2882" s="11" t="n"/>
      <c r="AK2882" s="14">
        <f>IF(AND($AF2882="保留中",$AH2882&lt;&gt;""),TODAY()-$AH2882,"")</f>
        <v/>
      </c>
      <c r="AL2882" s="12" t="n"/>
      <c r="AM2882" s="14">
        <f>IF($B2882="","",IF($AQ2882="","対象年月が未入力／","")&amp;IF($B2882="","",IF($AP2882="","職員マスタに未登録の職員番号／",IF($AA2882="","標準報酬月額が未登録／","")&amp;IF(AND($AQ2882&lt;&gt;"",OR(AND(INDEX(職員マスタ!$G$6:$G$405,$AP2882)&lt;&gt;"",INDEX(職員マスタ!$G$6:$G$405,$AP2882)&gt;EOMONTH($AQ2882,0)),AND(INDEX(職員マスタ!$H$6:$H$405,$AP2882)&lt;&gt;"",INDEX(職員マスタ!$H$6:$H$405,$AP2882)&lt;$AQ2882))),"対象月が時短期間外／","")&amp;IF(AND(INDEX(職員マスタ!$K$6:$K$405,$AP2882)&lt;&gt;"",N($W2882)&gt;0,INDEX(職員マスタ!$K$6:$K$405,$AP2882)&lt;&gt;$W2882),"標準報酬月額が申請書と相違（台帳"&amp;TEXT(INDEX(職員マスタ!$K$6:$K$405,$AP2882),"#,##0")&amp;"円／申請書"&amp;TEXT($W2882,"#,##0")&amp;"円）／","")&amp;IF(AND(INDEX(職員マスタ!$F$6:$F$405,$AP2882)&lt;&gt;"",$AQ2882&lt;&gt;"",INDEX(職員マスタ!$F$6:$F$405,$AP2882)&lt;$AQ2882),"対象月に子が2歳到達済／","")&amp;IF(AND($H2882&lt;&gt;"",INDEX(職員マスタ!$B$6:$B$405,$AP2882)&lt;&gt;"",SUBSTITUTE(SUBSTITUTE($H2882," ","")," ","")&lt;&gt;SUBSTITUTE(SUBSTITUTE(INDEX(職員マスタ!$B$6:$B$405,$AP2882)," ","")," ","")),"氏名がマスタと相違／","")&amp;IF(AND($Q2882&lt;&gt;"",INDEX(職員マスタ!$E$6:$E$405,$AP2882)&lt;&gt;"",$Q2882&lt;&gt;INDEX(職員マスタ!$E$6:$E$405,$AP2882)),"子の生年月日がマスタと相違／","")&amp;IF(AND($L2882&lt;&gt;"",INDEX(職員マスタ!$G$6:$G$405,$AP2882)&lt;&gt;"",$L2882&lt;&gt;INDEX(職員マスタ!$G$6:$G$405,$AP2882)),"時短開始日がマスタと相違／","")&amp;IF(AND($M2882&lt;&gt;"",INDEX(職員マスタ!$H$6:$H$405,$AP2882)&lt;&gt;"",$M2882&lt;&gt;INDEX(職員マスタ!$H$6:$H$405,$AP2882)),"時短終了日がマスタと相違／","")))&amp;IF(AND($B2882&lt;&gt;"",$E2882=""),"報酬額が未入力／","")&amp;IF(N($U2882)&gt;0,"申請書に入力エラーが残っています／","")&amp;IF(AND($B2882&lt;&gt;"",$AQ2882&lt;&gt;""),IF(COUNTIFS($B$6:$B$3005,$B2882,$C$6:$C$3005,$C2882,$D$6:$D$3005,$D2882)&gt;1,"同じ月の請求が重複しています／",""),"")&amp;IF(AND(N($E2882)&gt;0,$AB2882&lt;&gt;"",$AB2882&lt;&gt;"×",$AE2882=0,$AD2882=""),"計算額が下限以下のため不支給／",""))</f>
        <v/>
      </c>
      <c r="AN2882" s="12" t="n"/>
      <c r="AO2882" s="14">
        <f>IF($AF2882="保留中",COUNTIF($AF$6:$AF2882,"保留中"),"")</f>
        <v/>
      </c>
      <c r="AP2882" s="14">
        <f>IF($AQ2882="","",IF(SUMPRODUCT(MAX((職員マスタ!$A$6:$A$405=$B2882)*(((職員マスタ!$G$6:$G$405="")+(職員マスタ!$G$6:$G$405&lt;=EOMONTH($AQ2882,0)))&gt;0)*(((職員マスタ!$H$6:$H$405="")+(職員マスタ!$H$6:$H$405&gt;=$AQ2882))&gt;0)*(ROW(職員マスタ!$A$6:$A$405)-5)))&gt;0,SUMPRODUCT(MAX((職員マスタ!$A$6:$A$405=$B2882)*(((職員マスタ!$G$6:$G$405="")+(職員マスタ!$G$6:$G$405&lt;=EOMONTH($AQ2882,0)))&gt;0)*(((職員マスタ!$H$6:$H$405="")+(職員マスタ!$H$6:$H$405&gt;=$AQ2882))&gt;0)*(ROW(職員マスタ!$A$6:$A$405)-5))),IFERROR(MATCH($B2882,職員マスタ!$A$6:$A$405,0),"")))</f>
        <v/>
      </c>
      <c r="AQ2882" s="16">
        <f>IF(OR($B2882="",$C2882="",$D2882=""),"",DATE($C2882+2018,$D2882,1))</f>
        <v/>
      </c>
    </row>
    <row r="2883">
      <c r="A2883" s="11" t="n"/>
      <c r="B2883" s="12" t="n"/>
      <c r="C2883" s="12" t="n"/>
      <c r="D2883" s="12" t="n"/>
      <c r="E2883" s="13" t="n"/>
      <c r="F2883" s="12" t="n"/>
      <c r="G2883" s="13" t="n"/>
      <c r="H2883" s="12" t="n"/>
      <c r="I2883" s="12" t="n"/>
      <c r="J2883" s="12" t="n"/>
      <c r="K2883" s="12" t="n"/>
      <c r="L2883" s="11" t="n"/>
      <c r="M2883" s="11" t="n"/>
      <c r="N2883" s="11" t="n"/>
      <c r="O2883" s="11" t="n"/>
      <c r="P2883" s="12" t="n"/>
      <c r="Q2883" s="11" t="n"/>
      <c r="R2883" s="12" t="n"/>
      <c r="S2883" s="11" t="n"/>
      <c r="T2883" s="12" t="n"/>
      <c r="U2883" s="12" t="n"/>
      <c r="V2883" s="12" t="n"/>
      <c r="W2883" s="13" t="n"/>
      <c r="X2883" s="14">
        <f>IF($AP2883="",IF($B2883="","",$H2883),IF(INDEX(職員マスタ!$B$6:$B$405,$AP2883)="",$H2883,INDEX(職員マスタ!$B$6:$B$405,$AP2883)))</f>
        <v/>
      </c>
      <c r="Y2883" s="14">
        <f>IF($AP2883="",IF($B2883="","",$R2883),IF(INDEX(職員マスタ!$C$6:$C$405,$AP2883)="",$R2883,INDEX(職員マスタ!$C$6:$C$405,$AP2883)))</f>
        <v/>
      </c>
      <c r="Z2883" s="14">
        <f>IF($AQ2883="","","R"&amp;$C2883&amp;"."&amp;$D2883)</f>
        <v/>
      </c>
      <c r="AA2883" s="15">
        <f>IF(IF($AP2883="",FALSE,INDEX(職員マスタ!$K$6:$K$405,$AP2883)&lt;&gt;""),INDEX(職員マスタ!$K$6:$K$405,$AP2883),IF(N($W2883)&gt;0,$W2883,""))</f>
        <v/>
      </c>
      <c r="AB2883" s="14">
        <f>IF(OR($E2883="",$AA2883=""),"",IF($E2883&gt;=$AA2883,"×",IF($E2883&gt;=$AA2883*設定!$C$5,"△","○")))</f>
        <v/>
      </c>
      <c r="AC2883" s="15">
        <f>IF($AB2883="","",IF($AB2883="×",0,IF($AB2883="○",ROUNDDOWN($E2883*設定!$C$4,0),ROUNDDOWN($E2883*ROUND((9*$AA2883-9*$E2883)/(10*$E2883),4),0))))</f>
        <v/>
      </c>
      <c r="AD2883" s="13" t="n"/>
      <c r="AE2883" s="15">
        <f>IF($B2883="","",IF($AD2883&lt;&gt;"",$AD2883,IF($AC2883="","",IF($AC2883&lt;=設定!$C$3,0,$AC2883))))</f>
        <v/>
      </c>
      <c r="AF2883" s="14">
        <f>IF($B2883="","",IF(AND($AG2883&lt;&gt;"",$AI2883="",$AL2883=""),"保留中",IF($AL2883&lt;&gt;"",IF(N($AE2883)&gt;0,"支給済","不支給"),IF($AE2883="","要確認",IF($AE2883=0,"不支給","未処理")))))</f>
        <v/>
      </c>
      <c r="AG2883" s="12" t="n"/>
      <c r="AH2883" s="11" t="n"/>
      <c r="AI2883" s="11" t="n"/>
      <c r="AJ2883" s="11" t="n"/>
      <c r="AK2883" s="14">
        <f>IF(AND($AF2883="保留中",$AH2883&lt;&gt;""),TODAY()-$AH2883,"")</f>
        <v/>
      </c>
      <c r="AL2883" s="12" t="n"/>
      <c r="AM2883" s="14">
        <f>IF($B2883="","",IF($AQ2883="","対象年月が未入力／","")&amp;IF($B2883="","",IF($AP2883="","職員マスタに未登録の職員番号／",IF($AA2883="","標準報酬月額が未登録／","")&amp;IF(AND($AQ2883&lt;&gt;"",OR(AND(INDEX(職員マスタ!$G$6:$G$405,$AP2883)&lt;&gt;"",INDEX(職員マスタ!$G$6:$G$405,$AP2883)&gt;EOMONTH($AQ2883,0)),AND(INDEX(職員マスタ!$H$6:$H$405,$AP2883)&lt;&gt;"",INDEX(職員マスタ!$H$6:$H$405,$AP2883)&lt;$AQ2883))),"対象月が時短期間外／","")&amp;IF(AND(INDEX(職員マスタ!$K$6:$K$405,$AP2883)&lt;&gt;"",N($W2883)&gt;0,INDEX(職員マスタ!$K$6:$K$405,$AP2883)&lt;&gt;$W2883),"標準報酬月額が申請書と相違（台帳"&amp;TEXT(INDEX(職員マスタ!$K$6:$K$405,$AP2883),"#,##0")&amp;"円／申請書"&amp;TEXT($W2883,"#,##0")&amp;"円）／","")&amp;IF(AND(INDEX(職員マスタ!$F$6:$F$405,$AP2883)&lt;&gt;"",$AQ2883&lt;&gt;"",INDEX(職員マスタ!$F$6:$F$405,$AP2883)&lt;$AQ2883),"対象月に子が2歳到達済／","")&amp;IF(AND($H2883&lt;&gt;"",INDEX(職員マスタ!$B$6:$B$405,$AP2883)&lt;&gt;"",SUBSTITUTE(SUBSTITUTE($H2883," ","")," ","")&lt;&gt;SUBSTITUTE(SUBSTITUTE(INDEX(職員マスタ!$B$6:$B$405,$AP2883)," ","")," ","")),"氏名がマスタと相違／","")&amp;IF(AND($Q2883&lt;&gt;"",INDEX(職員マスタ!$E$6:$E$405,$AP2883)&lt;&gt;"",$Q2883&lt;&gt;INDEX(職員マスタ!$E$6:$E$405,$AP2883)),"子の生年月日がマスタと相違／","")&amp;IF(AND($L2883&lt;&gt;"",INDEX(職員マスタ!$G$6:$G$405,$AP2883)&lt;&gt;"",$L2883&lt;&gt;INDEX(職員マスタ!$G$6:$G$405,$AP2883)),"時短開始日がマスタと相違／","")&amp;IF(AND($M2883&lt;&gt;"",INDEX(職員マスタ!$H$6:$H$405,$AP2883)&lt;&gt;"",$M2883&lt;&gt;INDEX(職員マスタ!$H$6:$H$405,$AP2883)),"時短終了日がマスタと相違／","")))&amp;IF(AND($B2883&lt;&gt;"",$E2883=""),"報酬額が未入力／","")&amp;IF(N($U2883)&gt;0,"申請書に入力エラーが残っています／","")&amp;IF(AND($B2883&lt;&gt;"",$AQ2883&lt;&gt;""),IF(COUNTIFS($B$6:$B$3005,$B2883,$C$6:$C$3005,$C2883,$D$6:$D$3005,$D2883)&gt;1,"同じ月の請求が重複しています／",""),"")&amp;IF(AND(N($E2883)&gt;0,$AB2883&lt;&gt;"",$AB2883&lt;&gt;"×",$AE2883=0,$AD2883=""),"計算額が下限以下のため不支給／",""))</f>
        <v/>
      </c>
      <c r="AN2883" s="12" t="n"/>
      <c r="AO2883" s="14">
        <f>IF($AF2883="保留中",COUNTIF($AF$6:$AF2883,"保留中"),"")</f>
        <v/>
      </c>
      <c r="AP2883" s="14">
        <f>IF($AQ2883="","",IF(SUMPRODUCT(MAX((職員マスタ!$A$6:$A$405=$B2883)*(((職員マスタ!$G$6:$G$405="")+(職員マスタ!$G$6:$G$405&lt;=EOMONTH($AQ2883,0)))&gt;0)*(((職員マスタ!$H$6:$H$405="")+(職員マスタ!$H$6:$H$405&gt;=$AQ2883))&gt;0)*(ROW(職員マスタ!$A$6:$A$405)-5)))&gt;0,SUMPRODUCT(MAX((職員マスタ!$A$6:$A$405=$B2883)*(((職員マスタ!$G$6:$G$405="")+(職員マスタ!$G$6:$G$405&lt;=EOMONTH($AQ2883,0)))&gt;0)*(((職員マスタ!$H$6:$H$405="")+(職員マスタ!$H$6:$H$405&gt;=$AQ2883))&gt;0)*(ROW(職員マスタ!$A$6:$A$405)-5))),IFERROR(MATCH($B2883,職員マスタ!$A$6:$A$405,0),"")))</f>
        <v/>
      </c>
      <c r="AQ2883" s="16">
        <f>IF(OR($B2883="",$C2883="",$D2883=""),"",DATE($C2883+2018,$D2883,1))</f>
        <v/>
      </c>
    </row>
    <row r="2884">
      <c r="A2884" s="11" t="n"/>
      <c r="B2884" s="12" t="n"/>
      <c r="C2884" s="12" t="n"/>
      <c r="D2884" s="12" t="n"/>
      <c r="E2884" s="13" t="n"/>
      <c r="F2884" s="12" t="n"/>
      <c r="G2884" s="13" t="n"/>
      <c r="H2884" s="12" t="n"/>
      <c r="I2884" s="12" t="n"/>
      <c r="J2884" s="12" t="n"/>
      <c r="K2884" s="12" t="n"/>
      <c r="L2884" s="11" t="n"/>
      <c r="M2884" s="11" t="n"/>
      <c r="N2884" s="11" t="n"/>
      <c r="O2884" s="11" t="n"/>
      <c r="P2884" s="12" t="n"/>
      <c r="Q2884" s="11" t="n"/>
      <c r="R2884" s="12" t="n"/>
      <c r="S2884" s="11" t="n"/>
      <c r="T2884" s="12" t="n"/>
      <c r="U2884" s="12" t="n"/>
      <c r="V2884" s="12" t="n"/>
      <c r="W2884" s="13" t="n"/>
      <c r="X2884" s="14">
        <f>IF($AP2884="",IF($B2884="","",$H2884),IF(INDEX(職員マスタ!$B$6:$B$405,$AP2884)="",$H2884,INDEX(職員マスタ!$B$6:$B$405,$AP2884)))</f>
        <v/>
      </c>
      <c r="Y2884" s="14">
        <f>IF($AP2884="",IF($B2884="","",$R2884),IF(INDEX(職員マスタ!$C$6:$C$405,$AP2884)="",$R2884,INDEX(職員マスタ!$C$6:$C$405,$AP2884)))</f>
        <v/>
      </c>
      <c r="Z2884" s="14">
        <f>IF($AQ2884="","","R"&amp;$C2884&amp;"."&amp;$D2884)</f>
        <v/>
      </c>
      <c r="AA2884" s="15">
        <f>IF(IF($AP2884="",FALSE,INDEX(職員マスタ!$K$6:$K$405,$AP2884)&lt;&gt;""),INDEX(職員マスタ!$K$6:$K$405,$AP2884),IF(N($W2884)&gt;0,$W2884,""))</f>
        <v/>
      </c>
      <c r="AB2884" s="14">
        <f>IF(OR($E2884="",$AA2884=""),"",IF($E2884&gt;=$AA2884,"×",IF($E2884&gt;=$AA2884*設定!$C$5,"△","○")))</f>
        <v/>
      </c>
      <c r="AC2884" s="15">
        <f>IF($AB2884="","",IF($AB2884="×",0,IF($AB2884="○",ROUNDDOWN($E2884*設定!$C$4,0),ROUNDDOWN($E2884*ROUND((9*$AA2884-9*$E2884)/(10*$E2884),4),0))))</f>
        <v/>
      </c>
      <c r="AD2884" s="13" t="n"/>
      <c r="AE2884" s="15">
        <f>IF($B2884="","",IF($AD2884&lt;&gt;"",$AD2884,IF($AC2884="","",IF($AC2884&lt;=設定!$C$3,0,$AC2884))))</f>
        <v/>
      </c>
      <c r="AF2884" s="14">
        <f>IF($B2884="","",IF(AND($AG2884&lt;&gt;"",$AI2884="",$AL2884=""),"保留中",IF($AL2884&lt;&gt;"",IF(N($AE2884)&gt;0,"支給済","不支給"),IF($AE2884="","要確認",IF($AE2884=0,"不支給","未処理")))))</f>
        <v/>
      </c>
      <c r="AG2884" s="12" t="n"/>
      <c r="AH2884" s="11" t="n"/>
      <c r="AI2884" s="11" t="n"/>
      <c r="AJ2884" s="11" t="n"/>
      <c r="AK2884" s="14">
        <f>IF(AND($AF2884="保留中",$AH2884&lt;&gt;""),TODAY()-$AH2884,"")</f>
        <v/>
      </c>
      <c r="AL2884" s="12" t="n"/>
      <c r="AM2884" s="14">
        <f>IF($B2884="","",IF($AQ2884="","対象年月が未入力／","")&amp;IF($B2884="","",IF($AP2884="","職員マスタに未登録の職員番号／",IF($AA2884="","標準報酬月額が未登録／","")&amp;IF(AND($AQ2884&lt;&gt;"",OR(AND(INDEX(職員マスタ!$G$6:$G$405,$AP2884)&lt;&gt;"",INDEX(職員マスタ!$G$6:$G$405,$AP2884)&gt;EOMONTH($AQ2884,0)),AND(INDEX(職員マスタ!$H$6:$H$405,$AP2884)&lt;&gt;"",INDEX(職員マスタ!$H$6:$H$405,$AP2884)&lt;$AQ2884))),"対象月が時短期間外／","")&amp;IF(AND(INDEX(職員マスタ!$K$6:$K$405,$AP2884)&lt;&gt;"",N($W2884)&gt;0,INDEX(職員マスタ!$K$6:$K$405,$AP2884)&lt;&gt;$W2884),"標準報酬月額が申請書と相違（台帳"&amp;TEXT(INDEX(職員マスタ!$K$6:$K$405,$AP2884),"#,##0")&amp;"円／申請書"&amp;TEXT($W2884,"#,##0")&amp;"円）／","")&amp;IF(AND(INDEX(職員マスタ!$F$6:$F$405,$AP2884)&lt;&gt;"",$AQ2884&lt;&gt;"",INDEX(職員マスタ!$F$6:$F$405,$AP2884)&lt;$AQ2884),"対象月に子が2歳到達済／","")&amp;IF(AND($H2884&lt;&gt;"",INDEX(職員マスタ!$B$6:$B$405,$AP2884)&lt;&gt;"",SUBSTITUTE(SUBSTITUTE($H2884," ","")," ","")&lt;&gt;SUBSTITUTE(SUBSTITUTE(INDEX(職員マスタ!$B$6:$B$405,$AP2884)," ","")," ","")),"氏名がマスタと相違／","")&amp;IF(AND($Q2884&lt;&gt;"",INDEX(職員マスタ!$E$6:$E$405,$AP2884)&lt;&gt;"",$Q2884&lt;&gt;INDEX(職員マスタ!$E$6:$E$405,$AP2884)),"子の生年月日がマスタと相違／","")&amp;IF(AND($L2884&lt;&gt;"",INDEX(職員マスタ!$G$6:$G$405,$AP2884)&lt;&gt;"",$L2884&lt;&gt;INDEX(職員マスタ!$G$6:$G$405,$AP2884)),"時短開始日がマスタと相違／","")&amp;IF(AND($M2884&lt;&gt;"",INDEX(職員マスタ!$H$6:$H$405,$AP2884)&lt;&gt;"",$M2884&lt;&gt;INDEX(職員マスタ!$H$6:$H$405,$AP2884)),"時短終了日がマスタと相違／","")))&amp;IF(AND($B2884&lt;&gt;"",$E2884=""),"報酬額が未入力／","")&amp;IF(N($U2884)&gt;0,"申請書に入力エラーが残っています／","")&amp;IF(AND($B2884&lt;&gt;"",$AQ2884&lt;&gt;""),IF(COUNTIFS($B$6:$B$3005,$B2884,$C$6:$C$3005,$C2884,$D$6:$D$3005,$D2884)&gt;1,"同じ月の請求が重複しています／",""),"")&amp;IF(AND(N($E2884)&gt;0,$AB2884&lt;&gt;"",$AB2884&lt;&gt;"×",$AE2884=0,$AD2884=""),"計算額が下限以下のため不支給／",""))</f>
        <v/>
      </c>
      <c r="AN2884" s="12" t="n"/>
      <c r="AO2884" s="14">
        <f>IF($AF2884="保留中",COUNTIF($AF$6:$AF2884,"保留中"),"")</f>
        <v/>
      </c>
      <c r="AP2884" s="14">
        <f>IF($AQ2884="","",IF(SUMPRODUCT(MAX((職員マスタ!$A$6:$A$405=$B2884)*(((職員マスタ!$G$6:$G$405="")+(職員マスタ!$G$6:$G$405&lt;=EOMONTH($AQ2884,0)))&gt;0)*(((職員マスタ!$H$6:$H$405="")+(職員マスタ!$H$6:$H$405&gt;=$AQ2884))&gt;0)*(ROW(職員マスタ!$A$6:$A$405)-5)))&gt;0,SUMPRODUCT(MAX((職員マスタ!$A$6:$A$405=$B2884)*(((職員マスタ!$G$6:$G$405="")+(職員マスタ!$G$6:$G$405&lt;=EOMONTH($AQ2884,0)))&gt;0)*(((職員マスタ!$H$6:$H$405="")+(職員マスタ!$H$6:$H$405&gt;=$AQ2884))&gt;0)*(ROW(職員マスタ!$A$6:$A$405)-5))),IFERROR(MATCH($B2884,職員マスタ!$A$6:$A$405,0),"")))</f>
        <v/>
      </c>
      <c r="AQ2884" s="16">
        <f>IF(OR($B2884="",$C2884="",$D2884=""),"",DATE($C2884+2018,$D2884,1))</f>
        <v/>
      </c>
    </row>
    <row r="2885">
      <c r="A2885" s="11" t="n"/>
      <c r="B2885" s="12" t="n"/>
      <c r="C2885" s="12" t="n"/>
      <c r="D2885" s="12" t="n"/>
      <c r="E2885" s="13" t="n"/>
      <c r="F2885" s="12" t="n"/>
      <c r="G2885" s="13" t="n"/>
      <c r="H2885" s="12" t="n"/>
      <c r="I2885" s="12" t="n"/>
      <c r="J2885" s="12" t="n"/>
      <c r="K2885" s="12" t="n"/>
      <c r="L2885" s="11" t="n"/>
      <c r="M2885" s="11" t="n"/>
      <c r="N2885" s="11" t="n"/>
      <c r="O2885" s="11" t="n"/>
      <c r="P2885" s="12" t="n"/>
      <c r="Q2885" s="11" t="n"/>
      <c r="R2885" s="12" t="n"/>
      <c r="S2885" s="11" t="n"/>
      <c r="T2885" s="12" t="n"/>
      <c r="U2885" s="12" t="n"/>
      <c r="V2885" s="12" t="n"/>
      <c r="W2885" s="13" t="n"/>
      <c r="X2885" s="14">
        <f>IF($AP2885="",IF($B2885="","",$H2885),IF(INDEX(職員マスタ!$B$6:$B$405,$AP2885)="",$H2885,INDEX(職員マスタ!$B$6:$B$405,$AP2885)))</f>
        <v/>
      </c>
      <c r="Y2885" s="14">
        <f>IF($AP2885="",IF($B2885="","",$R2885),IF(INDEX(職員マスタ!$C$6:$C$405,$AP2885)="",$R2885,INDEX(職員マスタ!$C$6:$C$405,$AP2885)))</f>
        <v/>
      </c>
      <c r="Z2885" s="14">
        <f>IF($AQ2885="","","R"&amp;$C2885&amp;"."&amp;$D2885)</f>
        <v/>
      </c>
      <c r="AA2885" s="15">
        <f>IF(IF($AP2885="",FALSE,INDEX(職員マスタ!$K$6:$K$405,$AP2885)&lt;&gt;""),INDEX(職員マスタ!$K$6:$K$405,$AP2885),IF(N($W2885)&gt;0,$W2885,""))</f>
        <v/>
      </c>
      <c r="AB2885" s="14">
        <f>IF(OR($E2885="",$AA2885=""),"",IF($E2885&gt;=$AA2885,"×",IF($E2885&gt;=$AA2885*設定!$C$5,"△","○")))</f>
        <v/>
      </c>
      <c r="AC2885" s="15">
        <f>IF($AB2885="","",IF($AB2885="×",0,IF($AB2885="○",ROUNDDOWN($E2885*設定!$C$4,0),ROUNDDOWN($E2885*ROUND((9*$AA2885-9*$E2885)/(10*$E2885),4),0))))</f>
        <v/>
      </c>
      <c r="AD2885" s="13" t="n"/>
      <c r="AE2885" s="15">
        <f>IF($B2885="","",IF($AD2885&lt;&gt;"",$AD2885,IF($AC2885="","",IF($AC2885&lt;=設定!$C$3,0,$AC2885))))</f>
        <v/>
      </c>
      <c r="AF2885" s="14">
        <f>IF($B2885="","",IF(AND($AG2885&lt;&gt;"",$AI2885="",$AL2885=""),"保留中",IF($AL2885&lt;&gt;"",IF(N($AE2885)&gt;0,"支給済","不支給"),IF($AE2885="","要確認",IF($AE2885=0,"不支給","未処理")))))</f>
        <v/>
      </c>
      <c r="AG2885" s="12" t="n"/>
      <c r="AH2885" s="11" t="n"/>
      <c r="AI2885" s="11" t="n"/>
      <c r="AJ2885" s="11" t="n"/>
      <c r="AK2885" s="14">
        <f>IF(AND($AF2885="保留中",$AH2885&lt;&gt;""),TODAY()-$AH2885,"")</f>
        <v/>
      </c>
      <c r="AL2885" s="12" t="n"/>
      <c r="AM2885" s="14">
        <f>IF($B2885="","",IF($AQ2885="","対象年月が未入力／","")&amp;IF($B2885="","",IF($AP2885="","職員マスタに未登録の職員番号／",IF($AA2885="","標準報酬月額が未登録／","")&amp;IF(AND($AQ2885&lt;&gt;"",OR(AND(INDEX(職員マスタ!$G$6:$G$405,$AP2885)&lt;&gt;"",INDEX(職員マスタ!$G$6:$G$405,$AP2885)&gt;EOMONTH($AQ2885,0)),AND(INDEX(職員マスタ!$H$6:$H$405,$AP2885)&lt;&gt;"",INDEX(職員マスタ!$H$6:$H$405,$AP2885)&lt;$AQ2885))),"対象月が時短期間外／","")&amp;IF(AND(INDEX(職員マスタ!$K$6:$K$405,$AP2885)&lt;&gt;"",N($W2885)&gt;0,INDEX(職員マスタ!$K$6:$K$405,$AP2885)&lt;&gt;$W2885),"標準報酬月額が申請書と相違（台帳"&amp;TEXT(INDEX(職員マスタ!$K$6:$K$405,$AP2885),"#,##0")&amp;"円／申請書"&amp;TEXT($W2885,"#,##0")&amp;"円）／","")&amp;IF(AND(INDEX(職員マスタ!$F$6:$F$405,$AP2885)&lt;&gt;"",$AQ2885&lt;&gt;"",INDEX(職員マスタ!$F$6:$F$405,$AP2885)&lt;$AQ2885),"対象月に子が2歳到達済／","")&amp;IF(AND($H2885&lt;&gt;"",INDEX(職員マスタ!$B$6:$B$405,$AP2885)&lt;&gt;"",SUBSTITUTE(SUBSTITUTE($H2885," ","")," ","")&lt;&gt;SUBSTITUTE(SUBSTITUTE(INDEX(職員マスタ!$B$6:$B$405,$AP2885)," ","")," ","")),"氏名がマスタと相違／","")&amp;IF(AND($Q2885&lt;&gt;"",INDEX(職員マスタ!$E$6:$E$405,$AP2885)&lt;&gt;"",$Q2885&lt;&gt;INDEX(職員マスタ!$E$6:$E$405,$AP2885)),"子の生年月日がマスタと相違／","")&amp;IF(AND($L2885&lt;&gt;"",INDEX(職員マスタ!$G$6:$G$405,$AP2885)&lt;&gt;"",$L2885&lt;&gt;INDEX(職員マスタ!$G$6:$G$405,$AP2885)),"時短開始日がマスタと相違／","")&amp;IF(AND($M2885&lt;&gt;"",INDEX(職員マスタ!$H$6:$H$405,$AP2885)&lt;&gt;"",$M2885&lt;&gt;INDEX(職員マスタ!$H$6:$H$405,$AP2885)),"時短終了日がマスタと相違／","")))&amp;IF(AND($B2885&lt;&gt;"",$E2885=""),"報酬額が未入力／","")&amp;IF(N($U2885)&gt;0,"申請書に入力エラーが残っています／","")&amp;IF(AND($B2885&lt;&gt;"",$AQ2885&lt;&gt;""),IF(COUNTIFS($B$6:$B$3005,$B2885,$C$6:$C$3005,$C2885,$D$6:$D$3005,$D2885)&gt;1,"同じ月の請求が重複しています／",""),"")&amp;IF(AND(N($E2885)&gt;0,$AB2885&lt;&gt;"",$AB2885&lt;&gt;"×",$AE2885=0,$AD2885=""),"計算額が下限以下のため不支給／",""))</f>
        <v/>
      </c>
      <c r="AN2885" s="12" t="n"/>
      <c r="AO2885" s="14">
        <f>IF($AF2885="保留中",COUNTIF($AF$6:$AF2885,"保留中"),"")</f>
        <v/>
      </c>
      <c r="AP2885" s="14">
        <f>IF($AQ2885="","",IF(SUMPRODUCT(MAX((職員マスタ!$A$6:$A$405=$B2885)*(((職員マスタ!$G$6:$G$405="")+(職員マスタ!$G$6:$G$405&lt;=EOMONTH($AQ2885,0)))&gt;0)*(((職員マスタ!$H$6:$H$405="")+(職員マスタ!$H$6:$H$405&gt;=$AQ2885))&gt;0)*(ROW(職員マスタ!$A$6:$A$405)-5)))&gt;0,SUMPRODUCT(MAX((職員マスタ!$A$6:$A$405=$B2885)*(((職員マスタ!$G$6:$G$405="")+(職員マスタ!$G$6:$G$405&lt;=EOMONTH($AQ2885,0)))&gt;0)*(((職員マスタ!$H$6:$H$405="")+(職員マスタ!$H$6:$H$405&gt;=$AQ2885))&gt;0)*(ROW(職員マスタ!$A$6:$A$405)-5))),IFERROR(MATCH($B2885,職員マスタ!$A$6:$A$405,0),"")))</f>
        <v/>
      </c>
      <c r="AQ2885" s="16">
        <f>IF(OR($B2885="",$C2885="",$D2885=""),"",DATE($C2885+2018,$D2885,1))</f>
        <v/>
      </c>
    </row>
    <row r="2886">
      <c r="A2886" s="11" t="n"/>
      <c r="B2886" s="12" t="n"/>
      <c r="C2886" s="12" t="n"/>
      <c r="D2886" s="12" t="n"/>
      <c r="E2886" s="13" t="n"/>
      <c r="F2886" s="12" t="n"/>
      <c r="G2886" s="13" t="n"/>
      <c r="H2886" s="12" t="n"/>
      <c r="I2886" s="12" t="n"/>
      <c r="J2886" s="12" t="n"/>
      <c r="K2886" s="12" t="n"/>
      <c r="L2886" s="11" t="n"/>
      <c r="M2886" s="11" t="n"/>
      <c r="N2886" s="11" t="n"/>
      <c r="O2886" s="11" t="n"/>
      <c r="P2886" s="12" t="n"/>
      <c r="Q2886" s="11" t="n"/>
      <c r="R2886" s="12" t="n"/>
      <c r="S2886" s="11" t="n"/>
      <c r="T2886" s="12" t="n"/>
      <c r="U2886" s="12" t="n"/>
      <c r="V2886" s="12" t="n"/>
      <c r="W2886" s="13" t="n"/>
      <c r="X2886" s="14">
        <f>IF($AP2886="",IF($B2886="","",$H2886),IF(INDEX(職員マスタ!$B$6:$B$405,$AP2886)="",$H2886,INDEX(職員マスタ!$B$6:$B$405,$AP2886)))</f>
        <v/>
      </c>
      <c r="Y2886" s="14">
        <f>IF($AP2886="",IF($B2886="","",$R2886),IF(INDEX(職員マスタ!$C$6:$C$405,$AP2886)="",$R2886,INDEX(職員マスタ!$C$6:$C$405,$AP2886)))</f>
        <v/>
      </c>
      <c r="Z2886" s="14">
        <f>IF($AQ2886="","","R"&amp;$C2886&amp;"."&amp;$D2886)</f>
        <v/>
      </c>
      <c r="AA2886" s="15">
        <f>IF(IF($AP2886="",FALSE,INDEX(職員マスタ!$K$6:$K$405,$AP2886)&lt;&gt;""),INDEX(職員マスタ!$K$6:$K$405,$AP2886),IF(N($W2886)&gt;0,$W2886,""))</f>
        <v/>
      </c>
      <c r="AB2886" s="14">
        <f>IF(OR($E2886="",$AA2886=""),"",IF($E2886&gt;=$AA2886,"×",IF($E2886&gt;=$AA2886*設定!$C$5,"△","○")))</f>
        <v/>
      </c>
      <c r="AC2886" s="15">
        <f>IF($AB2886="","",IF($AB2886="×",0,IF($AB2886="○",ROUNDDOWN($E2886*設定!$C$4,0),ROUNDDOWN($E2886*ROUND((9*$AA2886-9*$E2886)/(10*$E2886),4),0))))</f>
        <v/>
      </c>
      <c r="AD2886" s="13" t="n"/>
      <c r="AE2886" s="15">
        <f>IF($B2886="","",IF($AD2886&lt;&gt;"",$AD2886,IF($AC2886="","",IF($AC2886&lt;=設定!$C$3,0,$AC2886))))</f>
        <v/>
      </c>
      <c r="AF2886" s="14">
        <f>IF($B2886="","",IF(AND($AG2886&lt;&gt;"",$AI2886="",$AL2886=""),"保留中",IF($AL2886&lt;&gt;"",IF(N($AE2886)&gt;0,"支給済","不支給"),IF($AE2886="","要確認",IF($AE2886=0,"不支給","未処理")))))</f>
        <v/>
      </c>
      <c r="AG2886" s="12" t="n"/>
      <c r="AH2886" s="11" t="n"/>
      <c r="AI2886" s="11" t="n"/>
      <c r="AJ2886" s="11" t="n"/>
      <c r="AK2886" s="14">
        <f>IF(AND($AF2886="保留中",$AH2886&lt;&gt;""),TODAY()-$AH2886,"")</f>
        <v/>
      </c>
      <c r="AL2886" s="12" t="n"/>
      <c r="AM2886" s="14">
        <f>IF($B2886="","",IF($AQ2886="","対象年月が未入力／","")&amp;IF($B2886="","",IF($AP2886="","職員マスタに未登録の職員番号／",IF($AA2886="","標準報酬月額が未登録／","")&amp;IF(AND($AQ2886&lt;&gt;"",OR(AND(INDEX(職員マスタ!$G$6:$G$405,$AP2886)&lt;&gt;"",INDEX(職員マスタ!$G$6:$G$405,$AP2886)&gt;EOMONTH($AQ2886,0)),AND(INDEX(職員マスタ!$H$6:$H$405,$AP2886)&lt;&gt;"",INDEX(職員マスタ!$H$6:$H$405,$AP2886)&lt;$AQ2886))),"対象月が時短期間外／","")&amp;IF(AND(INDEX(職員マスタ!$K$6:$K$405,$AP2886)&lt;&gt;"",N($W2886)&gt;0,INDEX(職員マスタ!$K$6:$K$405,$AP2886)&lt;&gt;$W2886),"標準報酬月額が申請書と相違（台帳"&amp;TEXT(INDEX(職員マスタ!$K$6:$K$405,$AP2886),"#,##0")&amp;"円／申請書"&amp;TEXT($W2886,"#,##0")&amp;"円）／","")&amp;IF(AND(INDEX(職員マスタ!$F$6:$F$405,$AP2886)&lt;&gt;"",$AQ2886&lt;&gt;"",INDEX(職員マスタ!$F$6:$F$405,$AP2886)&lt;$AQ2886),"対象月に子が2歳到達済／","")&amp;IF(AND($H2886&lt;&gt;"",INDEX(職員マスタ!$B$6:$B$405,$AP2886)&lt;&gt;"",SUBSTITUTE(SUBSTITUTE($H2886," ","")," ","")&lt;&gt;SUBSTITUTE(SUBSTITUTE(INDEX(職員マスタ!$B$6:$B$405,$AP2886)," ","")," ","")),"氏名がマスタと相違／","")&amp;IF(AND($Q2886&lt;&gt;"",INDEX(職員マスタ!$E$6:$E$405,$AP2886)&lt;&gt;"",$Q2886&lt;&gt;INDEX(職員マスタ!$E$6:$E$405,$AP2886)),"子の生年月日がマスタと相違／","")&amp;IF(AND($L2886&lt;&gt;"",INDEX(職員マスタ!$G$6:$G$405,$AP2886)&lt;&gt;"",$L2886&lt;&gt;INDEX(職員マスタ!$G$6:$G$405,$AP2886)),"時短開始日がマスタと相違／","")&amp;IF(AND($M2886&lt;&gt;"",INDEX(職員マスタ!$H$6:$H$405,$AP2886)&lt;&gt;"",$M2886&lt;&gt;INDEX(職員マスタ!$H$6:$H$405,$AP2886)),"時短終了日がマスタと相違／","")))&amp;IF(AND($B2886&lt;&gt;"",$E2886=""),"報酬額が未入力／","")&amp;IF(N($U2886)&gt;0,"申請書に入力エラーが残っています／","")&amp;IF(AND($B2886&lt;&gt;"",$AQ2886&lt;&gt;""),IF(COUNTIFS($B$6:$B$3005,$B2886,$C$6:$C$3005,$C2886,$D$6:$D$3005,$D2886)&gt;1,"同じ月の請求が重複しています／",""),"")&amp;IF(AND(N($E2886)&gt;0,$AB2886&lt;&gt;"",$AB2886&lt;&gt;"×",$AE2886=0,$AD2886=""),"計算額が下限以下のため不支給／",""))</f>
        <v/>
      </c>
      <c r="AN2886" s="12" t="n"/>
      <c r="AO2886" s="14">
        <f>IF($AF2886="保留中",COUNTIF($AF$6:$AF2886,"保留中"),"")</f>
        <v/>
      </c>
      <c r="AP2886" s="14">
        <f>IF($AQ2886="","",IF(SUMPRODUCT(MAX((職員マスタ!$A$6:$A$405=$B2886)*(((職員マスタ!$G$6:$G$405="")+(職員マスタ!$G$6:$G$405&lt;=EOMONTH($AQ2886,0)))&gt;0)*(((職員マスタ!$H$6:$H$405="")+(職員マスタ!$H$6:$H$405&gt;=$AQ2886))&gt;0)*(ROW(職員マスタ!$A$6:$A$405)-5)))&gt;0,SUMPRODUCT(MAX((職員マスタ!$A$6:$A$405=$B2886)*(((職員マスタ!$G$6:$G$405="")+(職員マスタ!$G$6:$G$405&lt;=EOMONTH($AQ2886,0)))&gt;0)*(((職員マスタ!$H$6:$H$405="")+(職員マスタ!$H$6:$H$405&gt;=$AQ2886))&gt;0)*(ROW(職員マスタ!$A$6:$A$405)-5))),IFERROR(MATCH($B2886,職員マスタ!$A$6:$A$405,0),"")))</f>
        <v/>
      </c>
      <c r="AQ2886" s="16">
        <f>IF(OR($B2886="",$C2886="",$D2886=""),"",DATE($C2886+2018,$D2886,1))</f>
        <v/>
      </c>
    </row>
    <row r="2887">
      <c r="A2887" s="11" t="n"/>
      <c r="B2887" s="12" t="n"/>
      <c r="C2887" s="12" t="n"/>
      <c r="D2887" s="12" t="n"/>
      <c r="E2887" s="13" t="n"/>
      <c r="F2887" s="12" t="n"/>
      <c r="G2887" s="13" t="n"/>
      <c r="H2887" s="12" t="n"/>
      <c r="I2887" s="12" t="n"/>
      <c r="J2887" s="12" t="n"/>
      <c r="K2887" s="12" t="n"/>
      <c r="L2887" s="11" t="n"/>
      <c r="M2887" s="11" t="n"/>
      <c r="N2887" s="11" t="n"/>
      <c r="O2887" s="11" t="n"/>
      <c r="P2887" s="12" t="n"/>
      <c r="Q2887" s="11" t="n"/>
      <c r="R2887" s="12" t="n"/>
      <c r="S2887" s="11" t="n"/>
      <c r="T2887" s="12" t="n"/>
      <c r="U2887" s="12" t="n"/>
      <c r="V2887" s="12" t="n"/>
      <c r="W2887" s="13" t="n"/>
      <c r="X2887" s="14">
        <f>IF($AP2887="",IF($B2887="","",$H2887),IF(INDEX(職員マスタ!$B$6:$B$405,$AP2887)="",$H2887,INDEX(職員マスタ!$B$6:$B$405,$AP2887)))</f>
        <v/>
      </c>
      <c r="Y2887" s="14">
        <f>IF($AP2887="",IF($B2887="","",$R2887),IF(INDEX(職員マスタ!$C$6:$C$405,$AP2887)="",$R2887,INDEX(職員マスタ!$C$6:$C$405,$AP2887)))</f>
        <v/>
      </c>
      <c r="Z2887" s="14">
        <f>IF($AQ2887="","","R"&amp;$C2887&amp;"."&amp;$D2887)</f>
        <v/>
      </c>
      <c r="AA2887" s="15">
        <f>IF(IF($AP2887="",FALSE,INDEX(職員マスタ!$K$6:$K$405,$AP2887)&lt;&gt;""),INDEX(職員マスタ!$K$6:$K$405,$AP2887),IF(N($W2887)&gt;0,$W2887,""))</f>
        <v/>
      </c>
      <c r="AB2887" s="14">
        <f>IF(OR($E2887="",$AA2887=""),"",IF($E2887&gt;=$AA2887,"×",IF($E2887&gt;=$AA2887*設定!$C$5,"△","○")))</f>
        <v/>
      </c>
      <c r="AC2887" s="15">
        <f>IF($AB2887="","",IF($AB2887="×",0,IF($AB2887="○",ROUNDDOWN($E2887*設定!$C$4,0),ROUNDDOWN($E2887*ROUND((9*$AA2887-9*$E2887)/(10*$E2887),4),0))))</f>
        <v/>
      </c>
      <c r="AD2887" s="13" t="n"/>
      <c r="AE2887" s="15">
        <f>IF($B2887="","",IF($AD2887&lt;&gt;"",$AD2887,IF($AC2887="","",IF($AC2887&lt;=設定!$C$3,0,$AC2887))))</f>
        <v/>
      </c>
      <c r="AF2887" s="14">
        <f>IF($B2887="","",IF(AND($AG2887&lt;&gt;"",$AI2887="",$AL2887=""),"保留中",IF($AL2887&lt;&gt;"",IF(N($AE2887)&gt;0,"支給済","不支給"),IF($AE2887="","要確認",IF($AE2887=0,"不支給","未処理")))))</f>
        <v/>
      </c>
      <c r="AG2887" s="12" t="n"/>
      <c r="AH2887" s="11" t="n"/>
      <c r="AI2887" s="11" t="n"/>
      <c r="AJ2887" s="11" t="n"/>
      <c r="AK2887" s="14">
        <f>IF(AND($AF2887="保留中",$AH2887&lt;&gt;""),TODAY()-$AH2887,"")</f>
        <v/>
      </c>
      <c r="AL2887" s="12" t="n"/>
      <c r="AM2887" s="14">
        <f>IF($B2887="","",IF($AQ2887="","対象年月が未入力／","")&amp;IF($B2887="","",IF($AP2887="","職員マスタに未登録の職員番号／",IF($AA2887="","標準報酬月額が未登録／","")&amp;IF(AND($AQ2887&lt;&gt;"",OR(AND(INDEX(職員マスタ!$G$6:$G$405,$AP2887)&lt;&gt;"",INDEX(職員マスタ!$G$6:$G$405,$AP2887)&gt;EOMONTH($AQ2887,0)),AND(INDEX(職員マスタ!$H$6:$H$405,$AP2887)&lt;&gt;"",INDEX(職員マスタ!$H$6:$H$405,$AP2887)&lt;$AQ2887))),"対象月が時短期間外／","")&amp;IF(AND(INDEX(職員マスタ!$K$6:$K$405,$AP2887)&lt;&gt;"",N($W2887)&gt;0,INDEX(職員マスタ!$K$6:$K$405,$AP2887)&lt;&gt;$W2887),"標準報酬月額が申請書と相違（台帳"&amp;TEXT(INDEX(職員マスタ!$K$6:$K$405,$AP2887),"#,##0")&amp;"円／申請書"&amp;TEXT($W2887,"#,##0")&amp;"円）／","")&amp;IF(AND(INDEX(職員マスタ!$F$6:$F$405,$AP2887)&lt;&gt;"",$AQ2887&lt;&gt;"",INDEX(職員マスタ!$F$6:$F$405,$AP2887)&lt;$AQ2887),"対象月に子が2歳到達済／","")&amp;IF(AND($H2887&lt;&gt;"",INDEX(職員マスタ!$B$6:$B$405,$AP2887)&lt;&gt;"",SUBSTITUTE(SUBSTITUTE($H2887," ","")," ","")&lt;&gt;SUBSTITUTE(SUBSTITUTE(INDEX(職員マスタ!$B$6:$B$405,$AP2887)," ","")," ","")),"氏名がマスタと相違／","")&amp;IF(AND($Q2887&lt;&gt;"",INDEX(職員マスタ!$E$6:$E$405,$AP2887)&lt;&gt;"",$Q2887&lt;&gt;INDEX(職員マスタ!$E$6:$E$405,$AP2887)),"子の生年月日がマスタと相違／","")&amp;IF(AND($L2887&lt;&gt;"",INDEX(職員マスタ!$G$6:$G$405,$AP2887)&lt;&gt;"",$L2887&lt;&gt;INDEX(職員マスタ!$G$6:$G$405,$AP2887)),"時短開始日がマスタと相違／","")&amp;IF(AND($M2887&lt;&gt;"",INDEX(職員マスタ!$H$6:$H$405,$AP2887)&lt;&gt;"",$M2887&lt;&gt;INDEX(職員マスタ!$H$6:$H$405,$AP2887)),"時短終了日がマスタと相違／","")))&amp;IF(AND($B2887&lt;&gt;"",$E2887=""),"報酬額が未入力／","")&amp;IF(N($U2887)&gt;0,"申請書に入力エラーが残っています／","")&amp;IF(AND($B2887&lt;&gt;"",$AQ2887&lt;&gt;""),IF(COUNTIFS($B$6:$B$3005,$B2887,$C$6:$C$3005,$C2887,$D$6:$D$3005,$D2887)&gt;1,"同じ月の請求が重複しています／",""),"")&amp;IF(AND(N($E2887)&gt;0,$AB2887&lt;&gt;"",$AB2887&lt;&gt;"×",$AE2887=0,$AD2887=""),"計算額が下限以下のため不支給／",""))</f>
        <v/>
      </c>
      <c r="AN2887" s="12" t="n"/>
      <c r="AO2887" s="14">
        <f>IF($AF2887="保留中",COUNTIF($AF$6:$AF2887,"保留中"),"")</f>
        <v/>
      </c>
      <c r="AP2887" s="14">
        <f>IF($AQ2887="","",IF(SUMPRODUCT(MAX((職員マスタ!$A$6:$A$405=$B2887)*(((職員マスタ!$G$6:$G$405="")+(職員マスタ!$G$6:$G$405&lt;=EOMONTH($AQ2887,0)))&gt;0)*(((職員マスタ!$H$6:$H$405="")+(職員マスタ!$H$6:$H$405&gt;=$AQ2887))&gt;0)*(ROW(職員マスタ!$A$6:$A$405)-5)))&gt;0,SUMPRODUCT(MAX((職員マスタ!$A$6:$A$405=$B2887)*(((職員マスタ!$G$6:$G$405="")+(職員マスタ!$G$6:$G$405&lt;=EOMONTH($AQ2887,0)))&gt;0)*(((職員マスタ!$H$6:$H$405="")+(職員マスタ!$H$6:$H$405&gt;=$AQ2887))&gt;0)*(ROW(職員マスタ!$A$6:$A$405)-5))),IFERROR(MATCH($B2887,職員マスタ!$A$6:$A$405,0),"")))</f>
        <v/>
      </c>
      <c r="AQ2887" s="16">
        <f>IF(OR($B2887="",$C2887="",$D2887=""),"",DATE($C2887+2018,$D2887,1))</f>
        <v/>
      </c>
    </row>
    <row r="2888">
      <c r="A2888" s="11" t="n"/>
      <c r="B2888" s="12" t="n"/>
      <c r="C2888" s="12" t="n"/>
      <c r="D2888" s="12" t="n"/>
      <c r="E2888" s="13" t="n"/>
      <c r="F2888" s="12" t="n"/>
      <c r="G2888" s="13" t="n"/>
      <c r="H2888" s="12" t="n"/>
      <c r="I2888" s="12" t="n"/>
      <c r="J2888" s="12" t="n"/>
      <c r="K2888" s="12" t="n"/>
      <c r="L2888" s="11" t="n"/>
      <c r="M2888" s="11" t="n"/>
      <c r="N2888" s="11" t="n"/>
      <c r="O2888" s="11" t="n"/>
      <c r="P2888" s="12" t="n"/>
      <c r="Q2888" s="11" t="n"/>
      <c r="R2888" s="12" t="n"/>
      <c r="S2888" s="11" t="n"/>
      <c r="T2888" s="12" t="n"/>
      <c r="U2888" s="12" t="n"/>
      <c r="V2888" s="12" t="n"/>
      <c r="W2888" s="13" t="n"/>
      <c r="X2888" s="14">
        <f>IF($AP2888="",IF($B2888="","",$H2888),IF(INDEX(職員マスタ!$B$6:$B$405,$AP2888)="",$H2888,INDEX(職員マスタ!$B$6:$B$405,$AP2888)))</f>
        <v/>
      </c>
      <c r="Y2888" s="14">
        <f>IF($AP2888="",IF($B2888="","",$R2888),IF(INDEX(職員マスタ!$C$6:$C$405,$AP2888)="",$R2888,INDEX(職員マスタ!$C$6:$C$405,$AP2888)))</f>
        <v/>
      </c>
      <c r="Z2888" s="14">
        <f>IF($AQ2888="","","R"&amp;$C2888&amp;"."&amp;$D2888)</f>
        <v/>
      </c>
      <c r="AA2888" s="15">
        <f>IF(IF($AP2888="",FALSE,INDEX(職員マスタ!$K$6:$K$405,$AP2888)&lt;&gt;""),INDEX(職員マスタ!$K$6:$K$405,$AP2888),IF(N($W2888)&gt;0,$W2888,""))</f>
        <v/>
      </c>
      <c r="AB2888" s="14">
        <f>IF(OR($E2888="",$AA2888=""),"",IF($E2888&gt;=$AA2888,"×",IF($E2888&gt;=$AA2888*設定!$C$5,"△","○")))</f>
        <v/>
      </c>
      <c r="AC2888" s="15">
        <f>IF($AB2888="","",IF($AB2888="×",0,IF($AB2888="○",ROUNDDOWN($E2888*設定!$C$4,0),ROUNDDOWN($E2888*ROUND((9*$AA2888-9*$E2888)/(10*$E2888),4),0))))</f>
        <v/>
      </c>
      <c r="AD2888" s="13" t="n"/>
      <c r="AE2888" s="15">
        <f>IF($B2888="","",IF($AD2888&lt;&gt;"",$AD2888,IF($AC2888="","",IF($AC2888&lt;=設定!$C$3,0,$AC2888))))</f>
        <v/>
      </c>
      <c r="AF2888" s="14">
        <f>IF($B2888="","",IF(AND($AG2888&lt;&gt;"",$AI2888="",$AL2888=""),"保留中",IF($AL2888&lt;&gt;"",IF(N($AE2888)&gt;0,"支給済","不支給"),IF($AE2888="","要確認",IF($AE2888=0,"不支給","未処理")))))</f>
        <v/>
      </c>
      <c r="AG2888" s="12" t="n"/>
      <c r="AH2888" s="11" t="n"/>
      <c r="AI2888" s="11" t="n"/>
      <c r="AJ2888" s="11" t="n"/>
      <c r="AK2888" s="14">
        <f>IF(AND($AF2888="保留中",$AH2888&lt;&gt;""),TODAY()-$AH2888,"")</f>
        <v/>
      </c>
      <c r="AL2888" s="12" t="n"/>
      <c r="AM2888" s="14">
        <f>IF($B2888="","",IF($AQ2888="","対象年月が未入力／","")&amp;IF($B2888="","",IF($AP2888="","職員マスタに未登録の職員番号／",IF($AA2888="","標準報酬月額が未登録／","")&amp;IF(AND($AQ2888&lt;&gt;"",OR(AND(INDEX(職員マスタ!$G$6:$G$405,$AP2888)&lt;&gt;"",INDEX(職員マスタ!$G$6:$G$405,$AP2888)&gt;EOMONTH($AQ2888,0)),AND(INDEX(職員マスタ!$H$6:$H$405,$AP2888)&lt;&gt;"",INDEX(職員マスタ!$H$6:$H$405,$AP2888)&lt;$AQ2888))),"対象月が時短期間外／","")&amp;IF(AND(INDEX(職員マスタ!$K$6:$K$405,$AP2888)&lt;&gt;"",N($W2888)&gt;0,INDEX(職員マスタ!$K$6:$K$405,$AP2888)&lt;&gt;$W2888),"標準報酬月額が申請書と相違（台帳"&amp;TEXT(INDEX(職員マスタ!$K$6:$K$405,$AP2888),"#,##0")&amp;"円／申請書"&amp;TEXT($W2888,"#,##0")&amp;"円）／","")&amp;IF(AND(INDEX(職員マスタ!$F$6:$F$405,$AP2888)&lt;&gt;"",$AQ2888&lt;&gt;"",INDEX(職員マスタ!$F$6:$F$405,$AP2888)&lt;$AQ2888),"対象月に子が2歳到達済／","")&amp;IF(AND($H2888&lt;&gt;"",INDEX(職員マスタ!$B$6:$B$405,$AP2888)&lt;&gt;"",SUBSTITUTE(SUBSTITUTE($H2888," ","")," ","")&lt;&gt;SUBSTITUTE(SUBSTITUTE(INDEX(職員マスタ!$B$6:$B$405,$AP2888)," ","")," ","")),"氏名がマスタと相違／","")&amp;IF(AND($Q2888&lt;&gt;"",INDEX(職員マスタ!$E$6:$E$405,$AP2888)&lt;&gt;"",$Q2888&lt;&gt;INDEX(職員マスタ!$E$6:$E$405,$AP2888)),"子の生年月日がマスタと相違／","")&amp;IF(AND($L2888&lt;&gt;"",INDEX(職員マスタ!$G$6:$G$405,$AP2888)&lt;&gt;"",$L2888&lt;&gt;INDEX(職員マスタ!$G$6:$G$405,$AP2888)),"時短開始日がマスタと相違／","")&amp;IF(AND($M2888&lt;&gt;"",INDEX(職員マスタ!$H$6:$H$405,$AP2888)&lt;&gt;"",$M2888&lt;&gt;INDEX(職員マスタ!$H$6:$H$405,$AP2888)),"時短終了日がマスタと相違／","")))&amp;IF(AND($B2888&lt;&gt;"",$E2888=""),"報酬額が未入力／","")&amp;IF(N($U2888)&gt;0,"申請書に入力エラーが残っています／","")&amp;IF(AND($B2888&lt;&gt;"",$AQ2888&lt;&gt;""),IF(COUNTIFS($B$6:$B$3005,$B2888,$C$6:$C$3005,$C2888,$D$6:$D$3005,$D2888)&gt;1,"同じ月の請求が重複しています／",""),"")&amp;IF(AND(N($E2888)&gt;0,$AB2888&lt;&gt;"",$AB2888&lt;&gt;"×",$AE2888=0,$AD2888=""),"計算額が下限以下のため不支給／",""))</f>
        <v/>
      </c>
      <c r="AN2888" s="12" t="n"/>
      <c r="AO2888" s="14">
        <f>IF($AF2888="保留中",COUNTIF($AF$6:$AF2888,"保留中"),"")</f>
        <v/>
      </c>
      <c r="AP2888" s="14">
        <f>IF($AQ2888="","",IF(SUMPRODUCT(MAX((職員マスタ!$A$6:$A$405=$B2888)*(((職員マスタ!$G$6:$G$405="")+(職員マスタ!$G$6:$G$405&lt;=EOMONTH($AQ2888,0)))&gt;0)*(((職員マスタ!$H$6:$H$405="")+(職員マスタ!$H$6:$H$405&gt;=$AQ2888))&gt;0)*(ROW(職員マスタ!$A$6:$A$405)-5)))&gt;0,SUMPRODUCT(MAX((職員マスタ!$A$6:$A$405=$B2888)*(((職員マスタ!$G$6:$G$405="")+(職員マスタ!$G$6:$G$405&lt;=EOMONTH($AQ2888,0)))&gt;0)*(((職員マスタ!$H$6:$H$405="")+(職員マスタ!$H$6:$H$405&gt;=$AQ2888))&gt;0)*(ROW(職員マスタ!$A$6:$A$405)-5))),IFERROR(MATCH($B2888,職員マスタ!$A$6:$A$405,0),"")))</f>
        <v/>
      </c>
      <c r="AQ2888" s="16">
        <f>IF(OR($B2888="",$C2888="",$D2888=""),"",DATE($C2888+2018,$D2888,1))</f>
        <v/>
      </c>
    </row>
    <row r="2889">
      <c r="A2889" s="11" t="n"/>
      <c r="B2889" s="12" t="n"/>
      <c r="C2889" s="12" t="n"/>
      <c r="D2889" s="12" t="n"/>
      <c r="E2889" s="13" t="n"/>
      <c r="F2889" s="12" t="n"/>
      <c r="G2889" s="13" t="n"/>
      <c r="H2889" s="12" t="n"/>
      <c r="I2889" s="12" t="n"/>
      <c r="J2889" s="12" t="n"/>
      <c r="K2889" s="12" t="n"/>
      <c r="L2889" s="11" t="n"/>
      <c r="M2889" s="11" t="n"/>
      <c r="N2889" s="11" t="n"/>
      <c r="O2889" s="11" t="n"/>
      <c r="P2889" s="12" t="n"/>
      <c r="Q2889" s="11" t="n"/>
      <c r="R2889" s="12" t="n"/>
      <c r="S2889" s="11" t="n"/>
      <c r="T2889" s="12" t="n"/>
      <c r="U2889" s="12" t="n"/>
      <c r="V2889" s="12" t="n"/>
      <c r="W2889" s="13" t="n"/>
      <c r="X2889" s="14">
        <f>IF($AP2889="",IF($B2889="","",$H2889),IF(INDEX(職員マスタ!$B$6:$B$405,$AP2889)="",$H2889,INDEX(職員マスタ!$B$6:$B$405,$AP2889)))</f>
        <v/>
      </c>
      <c r="Y2889" s="14">
        <f>IF($AP2889="",IF($B2889="","",$R2889),IF(INDEX(職員マスタ!$C$6:$C$405,$AP2889)="",$R2889,INDEX(職員マスタ!$C$6:$C$405,$AP2889)))</f>
        <v/>
      </c>
      <c r="Z2889" s="14">
        <f>IF($AQ2889="","","R"&amp;$C2889&amp;"."&amp;$D2889)</f>
        <v/>
      </c>
      <c r="AA2889" s="15">
        <f>IF(IF($AP2889="",FALSE,INDEX(職員マスタ!$K$6:$K$405,$AP2889)&lt;&gt;""),INDEX(職員マスタ!$K$6:$K$405,$AP2889),IF(N($W2889)&gt;0,$W2889,""))</f>
        <v/>
      </c>
      <c r="AB2889" s="14">
        <f>IF(OR($E2889="",$AA2889=""),"",IF($E2889&gt;=$AA2889,"×",IF($E2889&gt;=$AA2889*設定!$C$5,"△","○")))</f>
        <v/>
      </c>
      <c r="AC2889" s="15">
        <f>IF($AB2889="","",IF($AB2889="×",0,IF($AB2889="○",ROUNDDOWN($E2889*設定!$C$4,0),ROUNDDOWN($E2889*ROUND((9*$AA2889-9*$E2889)/(10*$E2889),4),0))))</f>
        <v/>
      </c>
      <c r="AD2889" s="13" t="n"/>
      <c r="AE2889" s="15">
        <f>IF($B2889="","",IF($AD2889&lt;&gt;"",$AD2889,IF($AC2889="","",IF($AC2889&lt;=設定!$C$3,0,$AC2889))))</f>
        <v/>
      </c>
      <c r="AF2889" s="14">
        <f>IF($B2889="","",IF(AND($AG2889&lt;&gt;"",$AI2889="",$AL2889=""),"保留中",IF($AL2889&lt;&gt;"",IF(N($AE2889)&gt;0,"支給済","不支給"),IF($AE2889="","要確認",IF($AE2889=0,"不支給","未処理")))))</f>
        <v/>
      </c>
      <c r="AG2889" s="12" t="n"/>
      <c r="AH2889" s="11" t="n"/>
      <c r="AI2889" s="11" t="n"/>
      <c r="AJ2889" s="11" t="n"/>
      <c r="AK2889" s="14">
        <f>IF(AND($AF2889="保留中",$AH2889&lt;&gt;""),TODAY()-$AH2889,"")</f>
        <v/>
      </c>
      <c r="AL2889" s="12" t="n"/>
      <c r="AM2889" s="14">
        <f>IF($B2889="","",IF($AQ2889="","対象年月が未入力／","")&amp;IF($B2889="","",IF($AP2889="","職員マスタに未登録の職員番号／",IF($AA2889="","標準報酬月額が未登録／","")&amp;IF(AND($AQ2889&lt;&gt;"",OR(AND(INDEX(職員マスタ!$G$6:$G$405,$AP2889)&lt;&gt;"",INDEX(職員マスタ!$G$6:$G$405,$AP2889)&gt;EOMONTH($AQ2889,0)),AND(INDEX(職員マスタ!$H$6:$H$405,$AP2889)&lt;&gt;"",INDEX(職員マスタ!$H$6:$H$405,$AP2889)&lt;$AQ2889))),"対象月が時短期間外／","")&amp;IF(AND(INDEX(職員マスタ!$K$6:$K$405,$AP2889)&lt;&gt;"",N($W2889)&gt;0,INDEX(職員マスタ!$K$6:$K$405,$AP2889)&lt;&gt;$W2889),"標準報酬月額が申請書と相違（台帳"&amp;TEXT(INDEX(職員マスタ!$K$6:$K$405,$AP2889),"#,##0")&amp;"円／申請書"&amp;TEXT($W2889,"#,##0")&amp;"円）／","")&amp;IF(AND(INDEX(職員マスタ!$F$6:$F$405,$AP2889)&lt;&gt;"",$AQ2889&lt;&gt;"",INDEX(職員マスタ!$F$6:$F$405,$AP2889)&lt;$AQ2889),"対象月に子が2歳到達済／","")&amp;IF(AND($H2889&lt;&gt;"",INDEX(職員マスタ!$B$6:$B$405,$AP2889)&lt;&gt;"",SUBSTITUTE(SUBSTITUTE($H2889," ","")," ","")&lt;&gt;SUBSTITUTE(SUBSTITUTE(INDEX(職員マスタ!$B$6:$B$405,$AP2889)," ","")," ","")),"氏名がマスタと相違／","")&amp;IF(AND($Q2889&lt;&gt;"",INDEX(職員マスタ!$E$6:$E$405,$AP2889)&lt;&gt;"",$Q2889&lt;&gt;INDEX(職員マスタ!$E$6:$E$405,$AP2889)),"子の生年月日がマスタと相違／","")&amp;IF(AND($L2889&lt;&gt;"",INDEX(職員マスタ!$G$6:$G$405,$AP2889)&lt;&gt;"",$L2889&lt;&gt;INDEX(職員マスタ!$G$6:$G$405,$AP2889)),"時短開始日がマスタと相違／","")&amp;IF(AND($M2889&lt;&gt;"",INDEX(職員マスタ!$H$6:$H$405,$AP2889)&lt;&gt;"",$M2889&lt;&gt;INDEX(職員マスタ!$H$6:$H$405,$AP2889)),"時短終了日がマスタと相違／","")))&amp;IF(AND($B2889&lt;&gt;"",$E2889=""),"報酬額が未入力／","")&amp;IF(N($U2889)&gt;0,"申請書に入力エラーが残っています／","")&amp;IF(AND($B2889&lt;&gt;"",$AQ2889&lt;&gt;""),IF(COUNTIFS($B$6:$B$3005,$B2889,$C$6:$C$3005,$C2889,$D$6:$D$3005,$D2889)&gt;1,"同じ月の請求が重複しています／",""),"")&amp;IF(AND(N($E2889)&gt;0,$AB2889&lt;&gt;"",$AB2889&lt;&gt;"×",$AE2889=0,$AD2889=""),"計算額が下限以下のため不支給／",""))</f>
        <v/>
      </c>
      <c r="AN2889" s="12" t="n"/>
      <c r="AO2889" s="14">
        <f>IF($AF2889="保留中",COUNTIF($AF$6:$AF2889,"保留中"),"")</f>
        <v/>
      </c>
      <c r="AP2889" s="14">
        <f>IF($AQ2889="","",IF(SUMPRODUCT(MAX((職員マスタ!$A$6:$A$405=$B2889)*(((職員マスタ!$G$6:$G$405="")+(職員マスタ!$G$6:$G$405&lt;=EOMONTH($AQ2889,0)))&gt;0)*(((職員マスタ!$H$6:$H$405="")+(職員マスタ!$H$6:$H$405&gt;=$AQ2889))&gt;0)*(ROW(職員マスタ!$A$6:$A$405)-5)))&gt;0,SUMPRODUCT(MAX((職員マスタ!$A$6:$A$405=$B2889)*(((職員マスタ!$G$6:$G$405="")+(職員マスタ!$G$6:$G$405&lt;=EOMONTH($AQ2889,0)))&gt;0)*(((職員マスタ!$H$6:$H$405="")+(職員マスタ!$H$6:$H$405&gt;=$AQ2889))&gt;0)*(ROW(職員マスタ!$A$6:$A$405)-5))),IFERROR(MATCH($B2889,職員マスタ!$A$6:$A$405,0),"")))</f>
        <v/>
      </c>
      <c r="AQ2889" s="16">
        <f>IF(OR($B2889="",$C2889="",$D2889=""),"",DATE($C2889+2018,$D2889,1))</f>
        <v/>
      </c>
    </row>
    <row r="2890">
      <c r="A2890" s="11" t="n"/>
      <c r="B2890" s="12" t="n"/>
      <c r="C2890" s="12" t="n"/>
      <c r="D2890" s="12" t="n"/>
      <c r="E2890" s="13" t="n"/>
      <c r="F2890" s="12" t="n"/>
      <c r="G2890" s="13" t="n"/>
      <c r="H2890" s="12" t="n"/>
      <c r="I2890" s="12" t="n"/>
      <c r="J2890" s="12" t="n"/>
      <c r="K2890" s="12" t="n"/>
      <c r="L2890" s="11" t="n"/>
      <c r="M2890" s="11" t="n"/>
      <c r="N2890" s="11" t="n"/>
      <c r="O2890" s="11" t="n"/>
      <c r="P2890" s="12" t="n"/>
      <c r="Q2890" s="11" t="n"/>
      <c r="R2890" s="12" t="n"/>
      <c r="S2890" s="11" t="n"/>
      <c r="T2890" s="12" t="n"/>
      <c r="U2890" s="12" t="n"/>
      <c r="V2890" s="12" t="n"/>
      <c r="W2890" s="13" t="n"/>
      <c r="X2890" s="14">
        <f>IF($AP2890="",IF($B2890="","",$H2890),IF(INDEX(職員マスタ!$B$6:$B$405,$AP2890)="",$H2890,INDEX(職員マスタ!$B$6:$B$405,$AP2890)))</f>
        <v/>
      </c>
      <c r="Y2890" s="14">
        <f>IF($AP2890="",IF($B2890="","",$R2890),IF(INDEX(職員マスタ!$C$6:$C$405,$AP2890)="",$R2890,INDEX(職員マスタ!$C$6:$C$405,$AP2890)))</f>
        <v/>
      </c>
      <c r="Z2890" s="14">
        <f>IF($AQ2890="","","R"&amp;$C2890&amp;"."&amp;$D2890)</f>
        <v/>
      </c>
      <c r="AA2890" s="15">
        <f>IF(IF($AP2890="",FALSE,INDEX(職員マスタ!$K$6:$K$405,$AP2890)&lt;&gt;""),INDEX(職員マスタ!$K$6:$K$405,$AP2890),IF(N($W2890)&gt;0,$W2890,""))</f>
        <v/>
      </c>
      <c r="AB2890" s="14">
        <f>IF(OR($E2890="",$AA2890=""),"",IF($E2890&gt;=$AA2890,"×",IF($E2890&gt;=$AA2890*設定!$C$5,"△","○")))</f>
        <v/>
      </c>
      <c r="AC2890" s="15">
        <f>IF($AB2890="","",IF($AB2890="×",0,IF($AB2890="○",ROUNDDOWN($E2890*設定!$C$4,0),ROUNDDOWN($E2890*ROUND((9*$AA2890-9*$E2890)/(10*$E2890),4),0))))</f>
        <v/>
      </c>
      <c r="AD2890" s="13" t="n"/>
      <c r="AE2890" s="15">
        <f>IF($B2890="","",IF($AD2890&lt;&gt;"",$AD2890,IF($AC2890="","",IF($AC2890&lt;=設定!$C$3,0,$AC2890))))</f>
        <v/>
      </c>
      <c r="AF2890" s="14">
        <f>IF($B2890="","",IF(AND($AG2890&lt;&gt;"",$AI2890="",$AL2890=""),"保留中",IF($AL2890&lt;&gt;"",IF(N($AE2890)&gt;0,"支給済","不支給"),IF($AE2890="","要確認",IF($AE2890=0,"不支給","未処理")))))</f>
        <v/>
      </c>
      <c r="AG2890" s="12" t="n"/>
      <c r="AH2890" s="11" t="n"/>
      <c r="AI2890" s="11" t="n"/>
      <c r="AJ2890" s="11" t="n"/>
      <c r="AK2890" s="14">
        <f>IF(AND($AF2890="保留中",$AH2890&lt;&gt;""),TODAY()-$AH2890,"")</f>
        <v/>
      </c>
      <c r="AL2890" s="12" t="n"/>
      <c r="AM2890" s="14">
        <f>IF($B2890="","",IF($AQ2890="","対象年月が未入力／","")&amp;IF($B2890="","",IF($AP2890="","職員マスタに未登録の職員番号／",IF($AA2890="","標準報酬月額が未登録／","")&amp;IF(AND($AQ2890&lt;&gt;"",OR(AND(INDEX(職員マスタ!$G$6:$G$405,$AP2890)&lt;&gt;"",INDEX(職員マスタ!$G$6:$G$405,$AP2890)&gt;EOMONTH($AQ2890,0)),AND(INDEX(職員マスタ!$H$6:$H$405,$AP2890)&lt;&gt;"",INDEX(職員マスタ!$H$6:$H$405,$AP2890)&lt;$AQ2890))),"対象月が時短期間外／","")&amp;IF(AND(INDEX(職員マスタ!$K$6:$K$405,$AP2890)&lt;&gt;"",N($W2890)&gt;0,INDEX(職員マスタ!$K$6:$K$405,$AP2890)&lt;&gt;$W2890),"標準報酬月額が申請書と相違（台帳"&amp;TEXT(INDEX(職員マスタ!$K$6:$K$405,$AP2890),"#,##0")&amp;"円／申請書"&amp;TEXT($W2890,"#,##0")&amp;"円）／","")&amp;IF(AND(INDEX(職員マスタ!$F$6:$F$405,$AP2890)&lt;&gt;"",$AQ2890&lt;&gt;"",INDEX(職員マスタ!$F$6:$F$405,$AP2890)&lt;$AQ2890),"対象月に子が2歳到達済／","")&amp;IF(AND($H2890&lt;&gt;"",INDEX(職員マスタ!$B$6:$B$405,$AP2890)&lt;&gt;"",SUBSTITUTE(SUBSTITUTE($H2890," ","")," ","")&lt;&gt;SUBSTITUTE(SUBSTITUTE(INDEX(職員マスタ!$B$6:$B$405,$AP2890)," ","")," ","")),"氏名がマスタと相違／","")&amp;IF(AND($Q2890&lt;&gt;"",INDEX(職員マスタ!$E$6:$E$405,$AP2890)&lt;&gt;"",$Q2890&lt;&gt;INDEX(職員マスタ!$E$6:$E$405,$AP2890)),"子の生年月日がマスタと相違／","")&amp;IF(AND($L2890&lt;&gt;"",INDEX(職員マスタ!$G$6:$G$405,$AP2890)&lt;&gt;"",$L2890&lt;&gt;INDEX(職員マスタ!$G$6:$G$405,$AP2890)),"時短開始日がマスタと相違／","")&amp;IF(AND($M2890&lt;&gt;"",INDEX(職員マスタ!$H$6:$H$405,$AP2890)&lt;&gt;"",$M2890&lt;&gt;INDEX(職員マスタ!$H$6:$H$405,$AP2890)),"時短終了日がマスタと相違／","")))&amp;IF(AND($B2890&lt;&gt;"",$E2890=""),"報酬額が未入力／","")&amp;IF(N($U2890)&gt;0,"申請書に入力エラーが残っています／","")&amp;IF(AND($B2890&lt;&gt;"",$AQ2890&lt;&gt;""),IF(COUNTIFS($B$6:$B$3005,$B2890,$C$6:$C$3005,$C2890,$D$6:$D$3005,$D2890)&gt;1,"同じ月の請求が重複しています／",""),"")&amp;IF(AND(N($E2890)&gt;0,$AB2890&lt;&gt;"",$AB2890&lt;&gt;"×",$AE2890=0,$AD2890=""),"計算額が下限以下のため不支給／",""))</f>
        <v/>
      </c>
      <c r="AN2890" s="12" t="n"/>
      <c r="AO2890" s="14">
        <f>IF($AF2890="保留中",COUNTIF($AF$6:$AF2890,"保留中"),"")</f>
        <v/>
      </c>
      <c r="AP2890" s="14">
        <f>IF($AQ2890="","",IF(SUMPRODUCT(MAX((職員マスタ!$A$6:$A$405=$B2890)*(((職員マスタ!$G$6:$G$405="")+(職員マスタ!$G$6:$G$405&lt;=EOMONTH($AQ2890,0)))&gt;0)*(((職員マスタ!$H$6:$H$405="")+(職員マスタ!$H$6:$H$405&gt;=$AQ2890))&gt;0)*(ROW(職員マスタ!$A$6:$A$405)-5)))&gt;0,SUMPRODUCT(MAX((職員マスタ!$A$6:$A$405=$B2890)*(((職員マスタ!$G$6:$G$405="")+(職員マスタ!$G$6:$G$405&lt;=EOMONTH($AQ2890,0)))&gt;0)*(((職員マスタ!$H$6:$H$405="")+(職員マスタ!$H$6:$H$405&gt;=$AQ2890))&gt;0)*(ROW(職員マスタ!$A$6:$A$405)-5))),IFERROR(MATCH($B2890,職員マスタ!$A$6:$A$405,0),"")))</f>
        <v/>
      </c>
      <c r="AQ2890" s="16">
        <f>IF(OR($B2890="",$C2890="",$D2890=""),"",DATE($C2890+2018,$D2890,1))</f>
        <v/>
      </c>
    </row>
    <row r="2891">
      <c r="A2891" s="11" t="n"/>
      <c r="B2891" s="12" t="n"/>
      <c r="C2891" s="12" t="n"/>
      <c r="D2891" s="12" t="n"/>
      <c r="E2891" s="13" t="n"/>
      <c r="F2891" s="12" t="n"/>
      <c r="G2891" s="13" t="n"/>
      <c r="H2891" s="12" t="n"/>
      <c r="I2891" s="12" t="n"/>
      <c r="J2891" s="12" t="n"/>
      <c r="K2891" s="12" t="n"/>
      <c r="L2891" s="11" t="n"/>
      <c r="M2891" s="11" t="n"/>
      <c r="N2891" s="11" t="n"/>
      <c r="O2891" s="11" t="n"/>
      <c r="P2891" s="12" t="n"/>
      <c r="Q2891" s="11" t="n"/>
      <c r="R2891" s="12" t="n"/>
      <c r="S2891" s="11" t="n"/>
      <c r="T2891" s="12" t="n"/>
      <c r="U2891" s="12" t="n"/>
      <c r="V2891" s="12" t="n"/>
      <c r="W2891" s="13" t="n"/>
      <c r="X2891" s="14">
        <f>IF($AP2891="",IF($B2891="","",$H2891),IF(INDEX(職員マスタ!$B$6:$B$405,$AP2891)="",$H2891,INDEX(職員マスタ!$B$6:$B$405,$AP2891)))</f>
        <v/>
      </c>
      <c r="Y2891" s="14">
        <f>IF($AP2891="",IF($B2891="","",$R2891),IF(INDEX(職員マスタ!$C$6:$C$405,$AP2891)="",$R2891,INDEX(職員マスタ!$C$6:$C$405,$AP2891)))</f>
        <v/>
      </c>
      <c r="Z2891" s="14">
        <f>IF($AQ2891="","","R"&amp;$C2891&amp;"."&amp;$D2891)</f>
        <v/>
      </c>
      <c r="AA2891" s="15">
        <f>IF(IF($AP2891="",FALSE,INDEX(職員マスタ!$K$6:$K$405,$AP2891)&lt;&gt;""),INDEX(職員マスタ!$K$6:$K$405,$AP2891),IF(N($W2891)&gt;0,$W2891,""))</f>
        <v/>
      </c>
      <c r="AB2891" s="14">
        <f>IF(OR($E2891="",$AA2891=""),"",IF($E2891&gt;=$AA2891,"×",IF($E2891&gt;=$AA2891*設定!$C$5,"△","○")))</f>
        <v/>
      </c>
      <c r="AC2891" s="15">
        <f>IF($AB2891="","",IF($AB2891="×",0,IF($AB2891="○",ROUNDDOWN($E2891*設定!$C$4,0),ROUNDDOWN($E2891*ROUND((9*$AA2891-9*$E2891)/(10*$E2891),4),0))))</f>
        <v/>
      </c>
      <c r="AD2891" s="13" t="n"/>
      <c r="AE2891" s="15">
        <f>IF($B2891="","",IF($AD2891&lt;&gt;"",$AD2891,IF($AC2891="","",IF($AC2891&lt;=設定!$C$3,0,$AC2891))))</f>
        <v/>
      </c>
      <c r="AF2891" s="14">
        <f>IF($B2891="","",IF(AND($AG2891&lt;&gt;"",$AI2891="",$AL2891=""),"保留中",IF($AL2891&lt;&gt;"",IF(N($AE2891)&gt;0,"支給済","不支給"),IF($AE2891="","要確認",IF($AE2891=0,"不支給","未処理")))))</f>
        <v/>
      </c>
      <c r="AG2891" s="12" t="n"/>
      <c r="AH2891" s="11" t="n"/>
      <c r="AI2891" s="11" t="n"/>
      <c r="AJ2891" s="11" t="n"/>
      <c r="AK2891" s="14">
        <f>IF(AND($AF2891="保留中",$AH2891&lt;&gt;""),TODAY()-$AH2891,"")</f>
        <v/>
      </c>
      <c r="AL2891" s="12" t="n"/>
      <c r="AM2891" s="14">
        <f>IF($B2891="","",IF($AQ2891="","対象年月が未入力／","")&amp;IF($B2891="","",IF($AP2891="","職員マスタに未登録の職員番号／",IF($AA2891="","標準報酬月額が未登録／","")&amp;IF(AND($AQ2891&lt;&gt;"",OR(AND(INDEX(職員マスタ!$G$6:$G$405,$AP2891)&lt;&gt;"",INDEX(職員マスタ!$G$6:$G$405,$AP2891)&gt;EOMONTH($AQ2891,0)),AND(INDEX(職員マスタ!$H$6:$H$405,$AP2891)&lt;&gt;"",INDEX(職員マスタ!$H$6:$H$405,$AP2891)&lt;$AQ2891))),"対象月が時短期間外／","")&amp;IF(AND(INDEX(職員マスタ!$K$6:$K$405,$AP2891)&lt;&gt;"",N($W2891)&gt;0,INDEX(職員マスタ!$K$6:$K$405,$AP2891)&lt;&gt;$W2891),"標準報酬月額が申請書と相違（台帳"&amp;TEXT(INDEX(職員マスタ!$K$6:$K$405,$AP2891),"#,##0")&amp;"円／申請書"&amp;TEXT($W2891,"#,##0")&amp;"円）／","")&amp;IF(AND(INDEX(職員マスタ!$F$6:$F$405,$AP2891)&lt;&gt;"",$AQ2891&lt;&gt;"",INDEX(職員マスタ!$F$6:$F$405,$AP2891)&lt;$AQ2891),"対象月に子が2歳到達済／","")&amp;IF(AND($H2891&lt;&gt;"",INDEX(職員マスタ!$B$6:$B$405,$AP2891)&lt;&gt;"",SUBSTITUTE(SUBSTITUTE($H2891," ","")," ","")&lt;&gt;SUBSTITUTE(SUBSTITUTE(INDEX(職員マスタ!$B$6:$B$405,$AP2891)," ","")," ","")),"氏名がマスタと相違／","")&amp;IF(AND($Q2891&lt;&gt;"",INDEX(職員マスタ!$E$6:$E$405,$AP2891)&lt;&gt;"",$Q2891&lt;&gt;INDEX(職員マスタ!$E$6:$E$405,$AP2891)),"子の生年月日がマスタと相違／","")&amp;IF(AND($L2891&lt;&gt;"",INDEX(職員マスタ!$G$6:$G$405,$AP2891)&lt;&gt;"",$L2891&lt;&gt;INDEX(職員マスタ!$G$6:$G$405,$AP2891)),"時短開始日がマスタと相違／","")&amp;IF(AND($M2891&lt;&gt;"",INDEX(職員マスタ!$H$6:$H$405,$AP2891)&lt;&gt;"",$M2891&lt;&gt;INDEX(職員マスタ!$H$6:$H$405,$AP2891)),"時短終了日がマスタと相違／","")))&amp;IF(AND($B2891&lt;&gt;"",$E2891=""),"報酬額が未入力／","")&amp;IF(N($U2891)&gt;0,"申請書に入力エラーが残っています／","")&amp;IF(AND($B2891&lt;&gt;"",$AQ2891&lt;&gt;""),IF(COUNTIFS($B$6:$B$3005,$B2891,$C$6:$C$3005,$C2891,$D$6:$D$3005,$D2891)&gt;1,"同じ月の請求が重複しています／",""),"")&amp;IF(AND(N($E2891)&gt;0,$AB2891&lt;&gt;"",$AB2891&lt;&gt;"×",$AE2891=0,$AD2891=""),"計算額が下限以下のため不支給／",""))</f>
        <v/>
      </c>
      <c r="AN2891" s="12" t="n"/>
      <c r="AO2891" s="14">
        <f>IF($AF2891="保留中",COUNTIF($AF$6:$AF2891,"保留中"),"")</f>
        <v/>
      </c>
      <c r="AP2891" s="14">
        <f>IF($AQ2891="","",IF(SUMPRODUCT(MAX((職員マスタ!$A$6:$A$405=$B2891)*(((職員マスタ!$G$6:$G$405="")+(職員マスタ!$G$6:$G$405&lt;=EOMONTH($AQ2891,0)))&gt;0)*(((職員マスタ!$H$6:$H$405="")+(職員マスタ!$H$6:$H$405&gt;=$AQ2891))&gt;0)*(ROW(職員マスタ!$A$6:$A$405)-5)))&gt;0,SUMPRODUCT(MAX((職員マスタ!$A$6:$A$405=$B2891)*(((職員マスタ!$G$6:$G$405="")+(職員マスタ!$G$6:$G$405&lt;=EOMONTH($AQ2891,0)))&gt;0)*(((職員マスタ!$H$6:$H$405="")+(職員マスタ!$H$6:$H$405&gt;=$AQ2891))&gt;0)*(ROW(職員マスタ!$A$6:$A$405)-5))),IFERROR(MATCH($B2891,職員マスタ!$A$6:$A$405,0),"")))</f>
        <v/>
      </c>
      <c r="AQ2891" s="16">
        <f>IF(OR($B2891="",$C2891="",$D2891=""),"",DATE($C2891+2018,$D2891,1))</f>
        <v/>
      </c>
    </row>
    <row r="2892">
      <c r="A2892" s="11" t="n"/>
      <c r="B2892" s="12" t="n"/>
      <c r="C2892" s="12" t="n"/>
      <c r="D2892" s="12" t="n"/>
      <c r="E2892" s="13" t="n"/>
      <c r="F2892" s="12" t="n"/>
      <c r="G2892" s="13" t="n"/>
      <c r="H2892" s="12" t="n"/>
      <c r="I2892" s="12" t="n"/>
      <c r="J2892" s="12" t="n"/>
      <c r="K2892" s="12" t="n"/>
      <c r="L2892" s="11" t="n"/>
      <c r="M2892" s="11" t="n"/>
      <c r="N2892" s="11" t="n"/>
      <c r="O2892" s="11" t="n"/>
      <c r="P2892" s="12" t="n"/>
      <c r="Q2892" s="11" t="n"/>
      <c r="R2892" s="12" t="n"/>
      <c r="S2892" s="11" t="n"/>
      <c r="T2892" s="12" t="n"/>
      <c r="U2892" s="12" t="n"/>
      <c r="V2892" s="12" t="n"/>
      <c r="W2892" s="13" t="n"/>
      <c r="X2892" s="14">
        <f>IF($AP2892="",IF($B2892="","",$H2892),IF(INDEX(職員マスタ!$B$6:$B$405,$AP2892)="",$H2892,INDEX(職員マスタ!$B$6:$B$405,$AP2892)))</f>
        <v/>
      </c>
      <c r="Y2892" s="14">
        <f>IF($AP2892="",IF($B2892="","",$R2892),IF(INDEX(職員マスタ!$C$6:$C$405,$AP2892)="",$R2892,INDEX(職員マスタ!$C$6:$C$405,$AP2892)))</f>
        <v/>
      </c>
      <c r="Z2892" s="14">
        <f>IF($AQ2892="","","R"&amp;$C2892&amp;"."&amp;$D2892)</f>
        <v/>
      </c>
      <c r="AA2892" s="15">
        <f>IF(IF($AP2892="",FALSE,INDEX(職員マスタ!$K$6:$K$405,$AP2892)&lt;&gt;""),INDEX(職員マスタ!$K$6:$K$405,$AP2892),IF(N($W2892)&gt;0,$W2892,""))</f>
        <v/>
      </c>
      <c r="AB2892" s="14">
        <f>IF(OR($E2892="",$AA2892=""),"",IF($E2892&gt;=$AA2892,"×",IF($E2892&gt;=$AA2892*設定!$C$5,"△","○")))</f>
        <v/>
      </c>
      <c r="AC2892" s="15">
        <f>IF($AB2892="","",IF($AB2892="×",0,IF($AB2892="○",ROUNDDOWN($E2892*設定!$C$4,0),ROUNDDOWN($E2892*ROUND((9*$AA2892-9*$E2892)/(10*$E2892),4),0))))</f>
        <v/>
      </c>
      <c r="AD2892" s="13" t="n"/>
      <c r="AE2892" s="15">
        <f>IF($B2892="","",IF($AD2892&lt;&gt;"",$AD2892,IF($AC2892="","",IF($AC2892&lt;=設定!$C$3,0,$AC2892))))</f>
        <v/>
      </c>
      <c r="AF2892" s="14">
        <f>IF($B2892="","",IF(AND($AG2892&lt;&gt;"",$AI2892="",$AL2892=""),"保留中",IF($AL2892&lt;&gt;"",IF(N($AE2892)&gt;0,"支給済","不支給"),IF($AE2892="","要確認",IF($AE2892=0,"不支給","未処理")))))</f>
        <v/>
      </c>
      <c r="AG2892" s="12" t="n"/>
      <c r="AH2892" s="11" t="n"/>
      <c r="AI2892" s="11" t="n"/>
      <c r="AJ2892" s="11" t="n"/>
      <c r="AK2892" s="14">
        <f>IF(AND($AF2892="保留中",$AH2892&lt;&gt;""),TODAY()-$AH2892,"")</f>
        <v/>
      </c>
      <c r="AL2892" s="12" t="n"/>
      <c r="AM2892" s="14">
        <f>IF($B2892="","",IF($AQ2892="","対象年月が未入力／","")&amp;IF($B2892="","",IF($AP2892="","職員マスタに未登録の職員番号／",IF($AA2892="","標準報酬月額が未登録／","")&amp;IF(AND($AQ2892&lt;&gt;"",OR(AND(INDEX(職員マスタ!$G$6:$G$405,$AP2892)&lt;&gt;"",INDEX(職員マスタ!$G$6:$G$405,$AP2892)&gt;EOMONTH($AQ2892,0)),AND(INDEX(職員マスタ!$H$6:$H$405,$AP2892)&lt;&gt;"",INDEX(職員マスタ!$H$6:$H$405,$AP2892)&lt;$AQ2892))),"対象月が時短期間外／","")&amp;IF(AND(INDEX(職員マスタ!$K$6:$K$405,$AP2892)&lt;&gt;"",N($W2892)&gt;0,INDEX(職員マスタ!$K$6:$K$405,$AP2892)&lt;&gt;$W2892),"標準報酬月額が申請書と相違（台帳"&amp;TEXT(INDEX(職員マスタ!$K$6:$K$405,$AP2892),"#,##0")&amp;"円／申請書"&amp;TEXT($W2892,"#,##0")&amp;"円）／","")&amp;IF(AND(INDEX(職員マスタ!$F$6:$F$405,$AP2892)&lt;&gt;"",$AQ2892&lt;&gt;"",INDEX(職員マスタ!$F$6:$F$405,$AP2892)&lt;$AQ2892),"対象月に子が2歳到達済／","")&amp;IF(AND($H2892&lt;&gt;"",INDEX(職員マスタ!$B$6:$B$405,$AP2892)&lt;&gt;"",SUBSTITUTE(SUBSTITUTE($H2892," ","")," ","")&lt;&gt;SUBSTITUTE(SUBSTITUTE(INDEX(職員マスタ!$B$6:$B$405,$AP2892)," ","")," ","")),"氏名がマスタと相違／","")&amp;IF(AND($Q2892&lt;&gt;"",INDEX(職員マスタ!$E$6:$E$405,$AP2892)&lt;&gt;"",$Q2892&lt;&gt;INDEX(職員マスタ!$E$6:$E$405,$AP2892)),"子の生年月日がマスタと相違／","")&amp;IF(AND($L2892&lt;&gt;"",INDEX(職員マスタ!$G$6:$G$405,$AP2892)&lt;&gt;"",$L2892&lt;&gt;INDEX(職員マスタ!$G$6:$G$405,$AP2892)),"時短開始日がマスタと相違／","")&amp;IF(AND($M2892&lt;&gt;"",INDEX(職員マスタ!$H$6:$H$405,$AP2892)&lt;&gt;"",$M2892&lt;&gt;INDEX(職員マスタ!$H$6:$H$405,$AP2892)),"時短終了日がマスタと相違／","")))&amp;IF(AND($B2892&lt;&gt;"",$E2892=""),"報酬額が未入力／","")&amp;IF(N($U2892)&gt;0,"申請書に入力エラーが残っています／","")&amp;IF(AND($B2892&lt;&gt;"",$AQ2892&lt;&gt;""),IF(COUNTIFS($B$6:$B$3005,$B2892,$C$6:$C$3005,$C2892,$D$6:$D$3005,$D2892)&gt;1,"同じ月の請求が重複しています／",""),"")&amp;IF(AND(N($E2892)&gt;0,$AB2892&lt;&gt;"",$AB2892&lt;&gt;"×",$AE2892=0,$AD2892=""),"計算額が下限以下のため不支給／",""))</f>
        <v/>
      </c>
      <c r="AN2892" s="12" t="n"/>
      <c r="AO2892" s="14">
        <f>IF($AF2892="保留中",COUNTIF($AF$6:$AF2892,"保留中"),"")</f>
        <v/>
      </c>
      <c r="AP2892" s="14">
        <f>IF($AQ2892="","",IF(SUMPRODUCT(MAX((職員マスタ!$A$6:$A$405=$B2892)*(((職員マスタ!$G$6:$G$405="")+(職員マスタ!$G$6:$G$405&lt;=EOMONTH($AQ2892,0)))&gt;0)*(((職員マスタ!$H$6:$H$405="")+(職員マスタ!$H$6:$H$405&gt;=$AQ2892))&gt;0)*(ROW(職員マスタ!$A$6:$A$405)-5)))&gt;0,SUMPRODUCT(MAX((職員マスタ!$A$6:$A$405=$B2892)*(((職員マスタ!$G$6:$G$405="")+(職員マスタ!$G$6:$G$405&lt;=EOMONTH($AQ2892,0)))&gt;0)*(((職員マスタ!$H$6:$H$405="")+(職員マスタ!$H$6:$H$405&gt;=$AQ2892))&gt;0)*(ROW(職員マスタ!$A$6:$A$405)-5))),IFERROR(MATCH($B2892,職員マスタ!$A$6:$A$405,0),"")))</f>
        <v/>
      </c>
      <c r="AQ2892" s="16">
        <f>IF(OR($B2892="",$C2892="",$D2892=""),"",DATE($C2892+2018,$D2892,1))</f>
        <v/>
      </c>
    </row>
    <row r="2893">
      <c r="A2893" s="11" t="n"/>
      <c r="B2893" s="12" t="n"/>
      <c r="C2893" s="12" t="n"/>
      <c r="D2893" s="12" t="n"/>
      <c r="E2893" s="13" t="n"/>
      <c r="F2893" s="12" t="n"/>
      <c r="G2893" s="13" t="n"/>
      <c r="H2893" s="12" t="n"/>
      <c r="I2893" s="12" t="n"/>
      <c r="J2893" s="12" t="n"/>
      <c r="K2893" s="12" t="n"/>
      <c r="L2893" s="11" t="n"/>
      <c r="M2893" s="11" t="n"/>
      <c r="N2893" s="11" t="n"/>
      <c r="O2893" s="11" t="n"/>
      <c r="P2893" s="12" t="n"/>
      <c r="Q2893" s="11" t="n"/>
      <c r="R2893" s="12" t="n"/>
      <c r="S2893" s="11" t="n"/>
      <c r="T2893" s="12" t="n"/>
      <c r="U2893" s="12" t="n"/>
      <c r="V2893" s="12" t="n"/>
      <c r="W2893" s="13" t="n"/>
      <c r="X2893" s="14">
        <f>IF($AP2893="",IF($B2893="","",$H2893),IF(INDEX(職員マスタ!$B$6:$B$405,$AP2893)="",$H2893,INDEX(職員マスタ!$B$6:$B$405,$AP2893)))</f>
        <v/>
      </c>
      <c r="Y2893" s="14">
        <f>IF($AP2893="",IF($B2893="","",$R2893),IF(INDEX(職員マスタ!$C$6:$C$405,$AP2893)="",$R2893,INDEX(職員マスタ!$C$6:$C$405,$AP2893)))</f>
        <v/>
      </c>
      <c r="Z2893" s="14">
        <f>IF($AQ2893="","","R"&amp;$C2893&amp;"."&amp;$D2893)</f>
        <v/>
      </c>
      <c r="AA2893" s="15">
        <f>IF(IF($AP2893="",FALSE,INDEX(職員マスタ!$K$6:$K$405,$AP2893)&lt;&gt;""),INDEX(職員マスタ!$K$6:$K$405,$AP2893),IF(N($W2893)&gt;0,$W2893,""))</f>
        <v/>
      </c>
      <c r="AB2893" s="14">
        <f>IF(OR($E2893="",$AA2893=""),"",IF($E2893&gt;=$AA2893,"×",IF($E2893&gt;=$AA2893*設定!$C$5,"△","○")))</f>
        <v/>
      </c>
      <c r="AC2893" s="15">
        <f>IF($AB2893="","",IF($AB2893="×",0,IF($AB2893="○",ROUNDDOWN($E2893*設定!$C$4,0),ROUNDDOWN($E2893*ROUND((9*$AA2893-9*$E2893)/(10*$E2893),4),0))))</f>
        <v/>
      </c>
      <c r="AD2893" s="13" t="n"/>
      <c r="AE2893" s="15">
        <f>IF($B2893="","",IF($AD2893&lt;&gt;"",$AD2893,IF($AC2893="","",IF($AC2893&lt;=設定!$C$3,0,$AC2893))))</f>
        <v/>
      </c>
      <c r="AF2893" s="14">
        <f>IF($B2893="","",IF(AND($AG2893&lt;&gt;"",$AI2893="",$AL2893=""),"保留中",IF($AL2893&lt;&gt;"",IF(N($AE2893)&gt;0,"支給済","不支給"),IF($AE2893="","要確認",IF($AE2893=0,"不支給","未処理")))))</f>
        <v/>
      </c>
      <c r="AG2893" s="12" t="n"/>
      <c r="AH2893" s="11" t="n"/>
      <c r="AI2893" s="11" t="n"/>
      <c r="AJ2893" s="11" t="n"/>
      <c r="AK2893" s="14">
        <f>IF(AND($AF2893="保留中",$AH2893&lt;&gt;""),TODAY()-$AH2893,"")</f>
        <v/>
      </c>
      <c r="AL2893" s="12" t="n"/>
      <c r="AM2893" s="14">
        <f>IF($B2893="","",IF($AQ2893="","対象年月が未入力／","")&amp;IF($B2893="","",IF($AP2893="","職員マスタに未登録の職員番号／",IF($AA2893="","標準報酬月額が未登録／","")&amp;IF(AND($AQ2893&lt;&gt;"",OR(AND(INDEX(職員マスタ!$G$6:$G$405,$AP2893)&lt;&gt;"",INDEX(職員マスタ!$G$6:$G$405,$AP2893)&gt;EOMONTH($AQ2893,0)),AND(INDEX(職員マスタ!$H$6:$H$405,$AP2893)&lt;&gt;"",INDEX(職員マスタ!$H$6:$H$405,$AP2893)&lt;$AQ2893))),"対象月が時短期間外／","")&amp;IF(AND(INDEX(職員マスタ!$K$6:$K$405,$AP2893)&lt;&gt;"",N($W2893)&gt;0,INDEX(職員マスタ!$K$6:$K$405,$AP2893)&lt;&gt;$W2893),"標準報酬月額が申請書と相違（台帳"&amp;TEXT(INDEX(職員マスタ!$K$6:$K$405,$AP2893),"#,##0")&amp;"円／申請書"&amp;TEXT($W2893,"#,##0")&amp;"円）／","")&amp;IF(AND(INDEX(職員マスタ!$F$6:$F$405,$AP2893)&lt;&gt;"",$AQ2893&lt;&gt;"",INDEX(職員マスタ!$F$6:$F$405,$AP2893)&lt;$AQ2893),"対象月に子が2歳到達済／","")&amp;IF(AND($H2893&lt;&gt;"",INDEX(職員マスタ!$B$6:$B$405,$AP2893)&lt;&gt;"",SUBSTITUTE(SUBSTITUTE($H2893," ","")," ","")&lt;&gt;SUBSTITUTE(SUBSTITUTE(INDEX(職員マスタ!$B$6:$B$405,$AP2893)," ","")," ","")),"氏名がマスタと相違／","")&amp;IF(AND($Q2893&lt;&gt;"",INDEX(職員マスタ!$E$6:$E$405,$AP2893)&lt;&gt;"",$Q2893&lt;&gt;INDEX(職員マスタ!$E$6:$E$405,$AP2893)),"子の生年月日がマスタと相違／","")&amp;IF(AND($L2893&lt;&gt;"",INDEX(職員マスタ!$G$6:$G$405,$AP2893)&lt;&gt;"",$L2893&lt;&gt;INDEX(職員マスタ!$G$6:$G$405,$AP2893)),"時短開始日がマスタと相違／","")&amp;IF(AND($M2893&lt;&gt;"",INDEX(職員マスタ!$H$6:$H$405,$AP2893)&lt;&gt;"",$M2893&lt;&gt;INDEX(職員マスタ!$H$6:$H$405,$AP2893)),"時短終了日がマスタと相違／","")))&amp;IF(AND($B2893&lt;&gt;"",$E2893=""),"報酬額が未入力／","")&amp;IF(N($U2893)&gt;0,"申請書に入力エラーが残っています／","")&amp;IF(AND($B2893&lt;&gt;"",$AQ2893&lt;&gt;""),IF(COUNTIFS($B$6:$B$3005,$B2893,$C$6:$C$3005,$C2893,$D$6:$D$3005,$D2893)&gt;1,"同じ月の請求が重複しています／",""),"")&amp;IF(AND(N($E2893)&gt;0,$AB2893&lt;&gt;"",$AB2893&lt;&gt;"×",$AE2893=0,$AD2893=""),"計算額が下限以下のため不支給／",""))</f>
        <v/>
      </c>
      <c r="AN2893" s="12" t="n"/>
      <c r="AO2893" s="14">
        <f>IF($AF2893="保留中",COUNTIF($AF$6:$AF2893,"保留中"),"")</f>
        <v/>
      </c>
      <c r="AP2893" s="14">
        <f>IF($AQ2893="","",IF(SUMPRODUCT(MAX((職員マスタ!$A$6:$A$405=$B2893)*(((職員マスタ!$G$6:$G$405="")+(職員マスタ!$G$6:$G$405&lt;=EOMONTH($AQ2893,0)))&gt;0)*(((職員マスタ!$H$6:$H$405="")+(職員マスタ!$H$6:$H$405&gt;=$AQ2893))&gt;0)*(ROW(職員マスタ!$A$6:$A$405)-5)))&gt;0,SUMPRODUCT(MAX((職員マスタ!$A$6:$A$405=$B2893)*(((職員マスタ!$G$6:$G$405="")+(職員マスタ!$G$6:$G$405&lt;=EOMONTH($AQ2893,0)))&gt;0)*(((職員マスタ!$H$6:$H$405="")+(職員マスタ!$H$6:$H$405&gt;=$AQ2893))&gt;0)*(ROW(職員マスタ!$A$6:$A$405)-5))),IFERROR(MATCH($B2893,職員マスタ!$A$6:$A$405,0),"")))</f>
        <v/>
      </c>
      <c r="AQ2893" s="16">
        <f>IF(OR($B2893="",$C2893="",$D2893=""),"",DATE($C2893+2018,$D2893,1))</f>
        <v/>
      </c>
    </row>
    <row r="2894">
      <c r="A2894" s="11" t="n"/>
      <c r="B2894" s="12" t="n"/>
      <c r="C2894" s="12" t="n"/>
      <c r="D2894" s="12" t="n"/>
      <c r="E2894" s="13" t="n"/>
      <c r="F2894" s="12" t="n"/>
      <c r="G2894" s="13" t="n"/>
      <c r="H2894" s="12" t="n"/>
      <c r="I2894" s="12" t="n"/>
      <c r="J2894" s="12" t="n"/>
      <c r="K2894" s="12" t="n"/>
      <c r="L2894" s="11" t="n"/>
      <c r="M2894" s="11" t="n"/>
      <c r="N2894" s="11" t="n"/>
      <c r="O2894" s="11" t="n"/>
      <c r="P2894" s="12" t="n"/>
      <c r="Q2894" s="11" t="n"/>
      <c r="R2894" s="12" t="n"/>
      <c r="S2894" s="11" t="n"/>
      <c r="T2894" s="12" t="n"/>
      <c r="U2894" s="12" t="n"/>
      <c r="V2894" s="12" t="n"/>
      <c r="W2894" s="13" t="n"/>
      <c r="X2894" s="14">
        <f>IF($AP2894="",IF($B2894="","",$H2894),IF(INDEX(職員マスタ!$B$6:$B$405,$AP2894)="",$H2894,INDEX(職員マスタ!$B$6:$B$405,$AP2894)))</f>
        <v/>
      </c>
      <c r="Y2894" s="14">
        <f>IF($AP2894="",IF($B2894="","",$R2894),IF(INDEX(職員マスタ!$C$6:$C$405,$AP2894)="",$R2894,INDEX(職員マスタ!$C$6:$C$405,$AP2894)))</f>
        <v/>
      </c>
      <c r="Z2894" s="14">
        <f>IF($AQ2894="","","R"&amp;$C2894&amp;"."&amp;$D2894)</f>
        <v/>
      </c>
      <c r="AA2894" s="15">
        <f>IF(IF($AP2894="",FALSE,INDEX(職員マスタ!$K$6:$K$405,$AP2894)&lt;&gt;""),INDEX(職員マスタ!$K$6:$K$405,$AP2894),IF(N($W2894)&gt;0,$W2894,""))</f>
        <v/>
      </c>
      <c r="AB2894" s="14">
        <f>IF(OR($E2894="",$AA2894=""),"",IF($E2894&gt;=$AA2894,"×",IF($E2894&gt;=$AA2894*設定!$C$5,"△","○")))</f>
        <v/>
      </c>
      <c r="AC2894" s="15">
        <f>IF($AB2894="","",IF($AB2894="×",0,IF($AB2894="○",ROUNDDOWN($E2894*設定!$C$4,0),ROUNDDOWN($E2894*ROUND((9*$AA2894-9*$E2894)/(10*$E2894),4),0))))</f>
        <v/>
      </c>
      <c r="AD2894" s="13" t="n"/>
      <c r="AE2894" s="15">
        <f>IF($B2894="","",IF($AD2894&lt;&gt;"",$AD2894,IF($AC2894="","",IF($AC2894&lt;=設定!$C$3,0,$AC2894))))</f>
        <v/>
      </c>
      <c r="AF2894" s="14">
        <f>IF($B2894="","",IF(AND($AG2894&lt;&gt;"",$AI2894="",$AL2894=""),"保留中",IF($AL2894&lt;&gt;"",IF(N($AE2894)&gt;0,"支給済","不支給"),IF($AE2894="","要確認",IF($AE2894=0,"不支給","未処理")))))</f>
        <v/>
      </c>
      <c r="AG2894" s="12" t="n"/>
      <c r="AH2894" s="11" t="n"/>
      <c r="AI2894" s="11" t="n"/>
      <c r="AJ2894" s="11" t="n"/>
      <c r="AK2894" s="14">
        <f>IF(AND($AF2894="保留中",$AH2894&lt;&gt;""),TODAY()-$AH2894,"")</f>
        <v/>
      </c>
      <c r="AL2894" s="12" t="n"/>
      <c r="AM2894" s="14">
        <f>IF($B2894="","",IF($AQ2894="","対象年月が未入力／","")&amp;IF($B2894="","",IF($AP2894="","職員マスタに未登録の職員番号／",IF($AA2894="","標準報酬月額が未登録／","")&amp;IF(AND($AQ2894&lt;&gt;"",OR(AND(INDEX(職員マスタ!$G$6:$G$405,$AP2894)&lt;&gt;"",INDEX(職員マスタ!$G$6:$G$405,$AP2894)&gt;EOMONTH($AQ2894,0)),AND(INDEX(職員マスタ!$H$6:$H$405,$AP2894)&lt;&gt;"",INDEX(職員マスタ!$H$6:$H$405,$AP2894)&lt;$AQ2894))),"対象月が時短期間外／","")&amp;IF(AND(INDEX(職員マスタ!$K$6:$K$405,$AP2894)&lt;&gt;"",N($W2894)&gt;0,INDEX(職員マスタ!$K$6:$K$405,$AP2894)&lt;&gt;$W2894),"標準報酬月額が申請書と相違（台帳"&amp;TEXT(INDEX(職員マスタ!$K$6:$K$405,$AP2894),"#,##0")&amp;"円／申請書"&amp;TEXT($W2894,"#,##0")&amp;"円）／","")&amp;IF(AND(INDEX(職員マスタ!$F$6:$F$405,$AP2894)&lt;&gt;"",$AQ2894&lt;&gt;"",INDEX(職員マスタ!$F$6:$F$405,$AP2894)&lt;$AQ2894),"対象月に子が2歳到達済／","")&amp;IF(AND($H2894&lt;&gt;"",INDEX(職員マスタ!$B$6:$B$405,$AP2894)&lt;&gt;"",SUBSTITUTE(SUBSTITUTE($H2894," ","")," ","")&lt;&gt;SUBSTITUTE(SUBSTITUTE(INDEX(職員マスタ!$B$6:$B$405,$AP2894)," ","")," ","")),"氏名がマスタと相違／","")&amp;IF(AND($Q2894&lt;&gt;"",INDEX(職員マスタ!$E$6:$E$405,$AP2894)&lt;&gt;"",$Q2894&lt;&gt;INDEX(職員マスタ!$E$6:$E$405,$AP2894)),"子の生年月日がマスタと相違／","")&amp;IF(AND($L2894&lt;&gt;"",INDEX(職員マスタ!$G$6:$G$405,$AP2894)&lt;&gt;"",$L2894&lt;&gt;INDEX(職員マスタ!$G$6:$G$405,$AP2894)),"時短開始日がマスタと相違／","")&amp;IF(AND($M2894&lt;&gt;"",INDEX(職員マスタ!$H$6:$H$405,$AP2894)&lt;&gt;"",$M2894&lt;&gt;INDEX(職員マスタ!$H$6:$H$405,$AP2894)),"時短終了日がマスタと相違／","")))&amp;IF(AND($B2894&lt;&gt;"",$E2894=""),"報酬額が未入力／","")&amp;IF(N($U2894)&gt;0,"申請書に入力エラーが残っています／","")&amp;IF(AND($B2894&lt;&gt;"",$AQ2894&lt;&gt;""),IF(COUNTIFS($B$6:$B$3005,$B2894,$C$6:$C$3005,$C2894,$D$6:$D$3005,$D2894)&gt;1,"同じ月の請求が重複しています／",""),"")&amp;IF(AND(N($E2894)&gt;0,$AB2894&lt;&gt;"",$AB2894&lt;&gt;"×",$AE2894=0,$AD2894=""),"計算額が下限以下のため不支給／",""))</f>
        <v/>
      </c>
      <c r="AN2894" s="12" t="n"/>
      <c r="AO2894" s="14">
        <f>IF($AF2894="保留中",COUNTIF($AF$6:$AF2894,"保留中"),"")</f>
        <v/>
      </c>
      <c r="AP2894" s="14">
        <f>IF($AQ2894="","",IF(SUMPRODUCT(MAX((職員マスタ!$A$6:$A$405=$B2894)*(((職員マスタ!$G$6:$G$405="")+(職員マスタ!$G$6:$G$405&lt;=EOMONTH($AQ2894,0)))&gt;0)*(((職員マスタ!$H$6:$H$405="")+(職員マスタ!$H$6:$H$405&gt;=$AQ2894))&gt;0)*(ROW(職員マスタ!$A$6:$A$405)-5)))&gt;0,SUMPRODUCT(MAX((職員マスタ!$A$6:$A$405=$B2894)*(((職員マスタ!$G$6:$G$405="")+(職員マスタ!$G$6:$G$405&lt;=EOMONTH($AQ2894,0)))&gt;0)*(((職員マスタ!$H$6:$H$405="")+(職員マスタ!$H$6:$H$405&gt;=$AQ2894))&gt;0)*(ROW(職員マスタ!$A$6:$A$405)-5))),IFERROR(MATCH($B2894,職員マスタ!$A$6:$A$405,0),"")))</f>
        <v/>
      </c>
      <c r="AQ2894" s="16">
        <f>IF(OR($B2894="",$C2894="",$D2894=""),"",DATE($C2894+2018,$D2894,1))</f>
        <v/>
      </c>
    </row>
    <row r="2895">
      <c r="A2895" s="11" t="n"/>
      <c r="B2895" s="12" t="n"/>
      <c r="C2895" s="12" t="n"/>
      <c r="D2895" s="12" t="n"/>
      <c r="E2895" s="13" t="n"/>
      <c r="F2895" s="12" t="n"/>
      <c r="G2895" s="13" t="n"/>
      <c r="H2895" s="12" t="n"/>
      <c r="I2895" s="12" t="n"/>
      <c r="J2895" s="12" t="n"/>
      <c r="K2895" s="12" t="n"/>
      <c r="L2895" s="11" t="n"/>
      <c r="M2895" s="11" t="n"/>
      <c r="N2895" s="11" t="n"/>
      <c r="O2895" s="11" t="n"/>
      <c r="P2895" s="12" t="n"/>
      <c r="Q2895" s="11" t="n"/>
      <c r="R2895" s="12" t="n"/>
      <c r="S2895" s="11" t="n"/>
      <c r="T2895" s="12" t="n"/>
      <c r="U2895" s="12" t="n"/>
      <c r="V2895" s="12" t="n"/>
      <c r="W2895" s="13" t="n"/>
      <c r="X2895" s="14">
        <f>IF($AP2895="",IF($B2895="","",$H2895),IF(INDEX(職員マスタ!$B$6:$B$405,$AP2895)="",$H2895,INDEX(職員マスタ!$B$6:$B$405,$AP2895)))</f>
        <v/>
      </c>
      <c r="Y2895" s="14">
        <f>IF($AP2895="",IF($B2895="","",$R2895),IF(INDEX(職員マスタ!$C$6:$C$405,$AP2895)="",$R2895,INDEX(職員マスタ!$C$6:$C$405,$AP2895)))</f>
        <v/>
      </c>
      <c r="Z2895" s="14">
        <f>IF($AQ2895="","","R"&amp;$C2895&amp;"."&amp;$D2895)</f>
        <v/>
      </c>
      <c r="AA2895" s="15">
        <f>IF(IF($AP2895="",FALSE,INDEX(職員マスタ!$K$6:$K$405,$AP2895)&lt;&gt;""),INDEX(職員マスタ!$K$6:$K$405,$AP2895),IF(N($W2895)&gt;0,$W2895,""))</f>
        <v/>
      </c>
      <c r="AB2895" s="14">
        <f>IF(OR($E2895="",$AA2895=""),"",IF($E2895&gt;=$AA2895,"×",IF($E2895&gt;=$AA2895*設定!$C$5,"△","○")))</f>
        <v/>
      </c>
      <c r="AC2895" s="15">
        <f>IF($AB2895="","",IF($AB2895="×",0,IF($AB2895="○",ROUNDDOWN($E2895*設定!$C$4,0),ROUNDDOWN($E2895*ROUND((9*$AA2895-9*$E2895)/(10*$E2895),4),0))))</f>
        <v/>
      </c>
      <c r="AD2895" s="13" t="n"/>
      <c r="AE2895" s="15">
        <f>IF($B2895="","",IF($AD2895&lt;&gt;"",$AD2895,IF($AC2895="","",IF($AC2895&lt;=設定!$C$3,0,$AC2895))))</f>
        <v/>
      </c>
      <c r="AF2895" s="14">
        <f>IF($B2895="","",IF(AND($AG2895&lt;&gt;"",$AI2895="",$AL2895=""),"保留中",IF($AL2895&lt;&gt;"",IF(N($AE2895)&gt;0,"支給済","不支給"),IF($AE2895="","要確認",IF($AE2895=0,"不支給","未処理")))))</f>
        <v/>
      </c>
      <c r="AG2895" s="12" t="n"/>
      <c r="AH2895" s="11" t="n"/>
      <c r="AI2895" s="11" t="n"/>
      <c r="AJ2895" s="11" t="n"/>
      <c r="AK2895" s="14">
        <f>IF(AND($AF2895="保留中",$AH2895&lt;&gt;""),TODAY()-$AH2895,"")</f>
        <v/>
      </c>
      <c r="AL2895" s="12" t="n"/>
      <c r="AM2895" s="14">
        <f>IF($B2895="","",IF($AQ2895="","対象年月が未入力／","")&amp;IF($B2895="","",IF($AP2895="","職員マスタに未登録の職員番号／",IF($AA2895="","標準報酬月額が未登録／","")&amp;IF(AND($AQ2895&lt;&gt;"",OR(AND(INDEX(職員マスタ!$G$6:$G$405,$AP2895)&lt;&gt;"",INDEX(職員マスタ!$G$6:$G$405,$AP2895)&gt;EOMONTH($AQ2895,0)),AND(INDEX(職員マスタ!$H$6:$H$405,$AP2895)&lt;&gt;"",INDEX(職員マスタ!$H$6:$H$405,$AP2895)&lt;$AQ2895))),"対象月が時短期間外／","")&amp;IF(AND(INDEX(職員マスタ!$K$6:$K$405,$AP2895)&lt;&gt;"",N($W2895)&gt;0,INDEX(職員マスタ!$K$6:$K$405,$AP2895)&lt;&gt;$W2895),"標準報酬月額が申請書と相違（台帳"&amp;TEXT(INDEX(職員マスタ!$K$6:$K$405,$AP2895),"#,##0")&amp;"円／申請書"&amp;TEXT($W2895,"#,##0")&amp;"円）／","")&amp;IF(AND(INDEX(職員マスタ!$F$6:$F$405,$AP2895)&lt;&gt;"",$AQ2895&lt;&gt;"",INDEX(職員マスタ!$F$6:$F$405,$AP2895)&lt;$AQ2895),"対象月に子が2歳到達済／","")&amp;IF(AND($H2895&lt;&gt;"",INDEX(職員マスタ!$B$6:$B$405,$AP2895)&lt;&gt;"",SUBSTITUTE(SUBSTITUTE($H2895," ","")," ","")&lt;&gt;SUBSTITUTE(SUBSTITUTE(INDEX(職員マスタ!$B$6:$B$405,$AP2895)," ","")," ","")),"氏名がマスタと相違／","")&amp;IF(AND($Q2895&lt;&gt;"",INDEX(職員マスタ!$E$6:$E$405,$AP2895)&lt;&gt;"",$Q2895&lt;&gt;INDEX(職員マスタ!$E$6:$E$405,$AP2895)),"子の生年月日がマスタと相違／","")&amp;IF(AND($L2895&lt;&gt;"",INDEX(職員マスタ!$G$6:$G$405,$AP2895)&lt;&gt;"",$L2895&lt;&gt;INDEX(職員マスタ!$G$6:$G$405,$AP2895)),"時短開始日がマスタと相違／","")&amp;IF(AND($M2895&lt;&gt;"",INDEX(職員マスタ!$H$6:$H$405,$AP2895)&lt;&gt;"",$M2895&lt;&gt;INDEX(職員マスタ!$H$6:$H$405,$AP2895)),"時短終了日がマスタと相違／","")))&amp;IF(AND($B2895&lt;&gt;"",$E2895=""),"報酬額が未入力／","")&amp;IF(N($U2895)&gt;0,"申請書に入力エラーが残っています／","")&amp;IF(AND($B2895&lt;&gt;"",$AQ2895&lt;&gt;""),IF(COUNTIFS($B$6:$B$3005,$B2895,$C$6:$C$3005,$C2895,$D$6:$D$3005,$D2895)&gt;1,"同じ月の請求が重複しています／",""),"")&amp;IF(AND(N($E2895)&gt;0,$AB2895&lt;&gt;"",$AB2895&lt;&gt;"×",$AE2895=0,$AD2895=""),"計算額が下限以下のため不支給／",""))</f>
        <v/>
      </c>
      <c r="AN2895" s="12" t="n"/>
      <c r="AO2895" s="14">
        <f>IF($AF2895="保留中",COUNTIF($AF$6:$AF2895,"保留中"),"")</f>
        <v/>
      </c>
      <c r="AP2895" s="14">
        <f>IF($AQ2895="","",IF(SUMPRODUCT(MAX((職員マスタ!$A$6:$A$405=$B2895)*(((職員マスタ!$G$6:$G$405="")+(職員マスタ!$G$6:$G$405&lt;=EOMONTH($AQ2895,0)))&gt;0)*(((職員マスタ!$H$6:$H$405="")+(職員マスタ!$H$6:$H$405&gt;=$AQ2895))&gt;0)*(ROW(職員マスタ!$A$6:$A$405)-5)))&gt;0,SUMPRODUCT(MAX((職員マスタ!$A$6:$A$405=$B2895)*(((職員マスタ!$G$6:$G$405="")+(職員マスタ!$G$6:$G$405&lt;=EOMONTH($AQ2895,0)))&gt;0)*(((職員マスタ!$H$6:$H$405="")+(職員マスタ!$H$6:$H$405&gt;=$AQ2895))&gt;0)*(ROW(職員マスタ!$A$6:$A$405)-5))),IFERROR(MATCH($B2895,職員マスタ!$A$6:$A$405,0),"")))</f>
        <v/>
      </c>
      <c r="AQ2895" s="16">
        <f>IF(OR($B2895="",$C2895="",$D2895=""),"",DATE($C2895+2018,$D2895,1))</f>
        <v/>
      </c>
    </row>
    <row r="2896">
      <c r="A2896" s="11" t="n"/>
      <c r="B2896" s="12" t="n"/>
      <c r="C2896" s="12" t="n"/>
      <c r="D2896" s="12" t="n"/>
      <c r="E2896" s="13" t="n"/>
      <c r="F2896" s="12" t="n"/>
      <c r="G2896" s="13" t="n"/>
      <c r="H2896" s="12" t="n"/>
      <c r="I2896" s="12" t="n"/>
      <c r="J2896" s="12" t="n"/>
      <c r="K2896" s="12" t="n"/>
      <c r="L2896" s="11" t="n"/>
      <c r="M2896" s="11" t="n"/>
      <c r="N2896" s="11" t="n"/>
      <c r="O2896" s="11" t="n"/>
      <c r="P2896" s="12" t="n"/>
      <c r="Q2896" s="11" t="n"/>
      <c r="R2896" s="12" t="n"/>
      <c r="S2896" s="11" t="n"/>
      <c r="T2896" s="12" t="n"/>
      <c r="U2896" s="12" t="n"/>
      <c r="V2896" s="12" t="n"/>
      <c r="W2896" s="13" t="n"/>
      <c r="X2896" s="14">
        <f>IF($AP2896="",IF($B2896="","",$H2896),IF(INDEX(職員マスタ!$B$6:$B$405,$AP2896)="",$H2896,INDEX(職員マスタ!$B$6:$B$405,$AP2896)))</f>
        <v/>
      </c>
      <c r="Y2896" s="14">
        <f>IF($AP2896="",IF($B2896="","",$R2896),IF(INDEX(職員マスタ!$C$6:$C$405,$AP2896)="",$R2896,INDEX(職員マスタ!$C$6:$C$405,$AP2896)))</f>
        <v/>
      </c>
      <c r="Z2896" s="14">
        <f>IF($AQ2896="","","R"&amp;$C2896&amp;"."&amp;$D2896)</f>
        <v/>
      </c>
      <c r="AA2896" s="15">
        <f>IF(IF($AP2896="",FALSE,INDEX(職員マスタ!$K$6:$K$405,$AP2896)&lt;&gt;""),INDEX(職員マスタ!$K$6:$K$405,$AP2896),IF(N($W2896)&gt;0,$W2896,""))</f>
        <v/>
      </c>
      <c r="AB2896" s="14">
        <f>IF(OR($E2896="",$AA2896=""),"",IF($E2896&gt;=$AA2896,"×",IF($E2896&gt;=$AA2896*設定!$C$5,"△","○")))</f>
        <v/>
      </c>
      <c r="AC2896" s="15">
        <f>IF($AB2896="","",IF($AB2896="×",0,IF($AB2896="○",ROUNDDOWN($E2896*設定!$C$4,0),ROUNDDOWN($E2896*ROUND((9*$AA2896-9*$E2896)/(10*$E2896),4),0))))</f>
        <v/>
      </c>
      <c r="AD2896" s="13" t="n"/>
      <c r="AE2896" s="15">
        <f>IF($B2896="","",IF($AD2896&lt;&gt;"",$AD2896,IF($AC2896="","",IF($AC2896&lt;=設定!$C$3,0,$AC2896))))</f>
        <v/>
      </c>
      <c r="AF2896" s="14">
        <f>IF($B2896="","",IF(AND($AG2896&lt;&gt;"",$AI2896="",$AL2896=""),"保留中",IF($AL2896&lt;&gt;"",IF(N($AE2896)&gt;0,"支給済","不支給"),IF($AE2896="","要確認",IF($AE2896=0,"不支給","未処理")))))</f>
        <v/>
      </c>
      <c r="AG2896" s="12" t="n"/>
      <c r="AH2896" s="11" t="n"/>
      <c r="AI2896" s="11" t="n"/>
      <c r="AJ2896" s="11" t="n"/>
      <c r="AK2896" s="14">
        <f>IF(AND($AF2896="保留中",$AH2896&lt;&gt;""),TODAY()-$AH2896,"")</f>
        <v/>
      </c>
      <c r="AL2896" s="12" t="n"/>
      <c r="AM2896" s="14">
        <f>IF($B2896="","",IF($AQ2896="","対象年月が未入力／","")&amp;IF($B2896="","",IF($AP2896="","職員マスタに未登録の職員番号／",IF($AA2896="","標準報酬月額が未登録／","")&amp;IF(AND($AQ2896&lt;&gt;"",OR(AND(INDEX(職員マスタ!$G$6:$G$405,$AP2896)&lt;&gt;"",INDEX(職員マスタ!$G$6:$G$405,$AP2896)&gt;EOMONTH($AQ2896,0)),AND(INDEX(職員マスタ!$H$6:$H$405,$AP2896)&lt;&gt;"",INDEX(職員マスタ!$H$6:$H$405,$AP2896)&lt;$AQ2896))),"対象月が時短期間外／","")&amp;IF(AND(INDEX(職員マスタ!$K$6:$K$405,$AP2896)&lt;&gt;"",N($W2896)&gt;0,INDEX(職員マスタ!$K$6:$K$405,$AP2896)&lt;&gt;$W2896),"標準報酬月額が申請書と相違（台帳"&amp;TEXT(INDEX(職員マスタ!$K$6:$K$405,$AP2896),"#,##0")&amp;"円／申請書"&amp;TEXT($W2896,"#,##0")&amp;"円）／","")&amp;IF(AND(INDEX(職員マスタ!$F$6:$F$405,$AP2896)&lt;&gt;"",$AQ2896&lt;&gt;"",INDEX(職員マスタ!$F$6:$F$405,$AP2896)&lt;$AQ2896),"対象月に子が2歳到達済／","")&amp;IF(AND($H2896&lt;&gt;"",INDEX(職員マスタ!$B$6:$B$405,$AP2896)&lt;&gt;"",SUBSTITUTE(SUBSTITUTE($H2896," ","")," ","")&lt;&gt;SUBSTITUTE(SUBSTITUTE(INDEX(職員マスタ!$B$6:$B$405,$AP2896)," ","")," ","")),"氏名がマスタと相違／","")&amp;IF(AND($Q2896&lt;&gt;"",INDEX(職員マスタ!$E$6:$E$405,$AP2896)&lt;&gt;"",$Q2896&lt;&gt;INDEX(職員マスタ!$E$6:$E$405,$AP2896)),"子の生年月日がマスタと相違／","")&amp;IF(AND($L2896&lt;&gt;"",INDEX(職員マスタ!$G$6:$G$405,$AP2896)&lt;&gt;"",$L2896&lt;&gt;INDEX(職員マスタ!$G$6:$G$405,$AP2896)),"時短開始日がマスタと相違／","")&amp;IF(AND($M2896&lt;&gt;"",INDEX(職員マスタ!$H$6:$H$405,$AP2896)&lt;&gt;"",$M2896&lt;&gt;INDEX(職員マスタ!$H$6:$H$405,$AP2896)),"時短終了日がマスタと相違／","")))&amp;IF(AND($B2896&lt;&gt;"",$E2896=""),"報酬額が未入力／","")&amp;IF(N($U2896)&gt;0,"申請書に入力エラーが残っています／","")&amp;IF(AND($B2896&lt;&gt;"",$AQ2896&lt;&gt;""),IF(COUNTIFS($B$6:$B$3005,$B2896,$C$6:$C$3005,$C2896,$D$6:$D$3005,$D2896)&gt;1,"同じ月の請求が重複しています／",""),"")&amp;IF(AND(N($E2896)&gt;0,$AB2896&lt;&gt;"",$AB2896&lt;&gt;"×",$AE2896=0,$AD2896=""),"計算額が下限以下のため不支給／",""))</f>
        <v/>
      </c>
      <c r="AN2896" s="12" t="n"/>
      <c r="AO2896" s="14">
        <f>IF($AF2896="保留中",COUNTIF($AF$6:$AF2896,"保留中"),"")</f>
        <v/>
      </c>
      <c r="AP2896" s="14">
        <f>IF($AQ2896="","",IF(SUMPRODUCT(MAX((職員マスタ!$A$6:$A$405=$B2896)*(((職員マスタ!$G$6:$G$405="")+(職員マスタ!$G$6:$G$405&lt;=EOMONTH($AQ2896,0)))&gt;0)*(((職員マスタ!$H$6:$H$405="")+(職員マスタ!$H$6:$H$405&gt;=$AQ2896))&gt;0)*(ROW(職員マスタ!$A$6:$A$405)-5)))&gt;0,SUMPRODUCT(MAX((職員マスタ!$A$6:$A$405=$B2896)*(((職員マスタ!$G$6:$G$405="")+(職員マスタ!$G$6:$G$405&lt;=EOMONTH($AQ2896,0)))&gt;0)*(((職員マスタ!$H$6:$H$405="")+(職員マスタ!$H$6:$H$405&gt;=$AQ2896))&gt;0)*(ROW(職員マスタ!$A$6:$A$405)-5))),IFERROR(MATCH($B2896,職員マスタ!$A$6:$A$405,0),"")))</f>
        <v/>
      </c>
      <c r="AQ2896" s="16">
        <f>IF(OR($B2896="",$C2896="",$D2896=""),"",DATE($C2896+2018,$D2896,1))</f>
        <v/>
      </c>
    </row>
    <row r="2897">
      <c r="A2897" s="11" t="n"/>
      <c r="B2897" s="12" t="n"/>
      <c r="C2897" s="12" t="n"/>
      <c r="D2897" s="12" t="n"/>
      <c r="E2897" s="13" t="n"/>
      <c r="F2897" s="12" t="n"/>
      <c r="G2897" s="13" t="n"/>
      <c r="H2897" s="12" t="n"/>
      <c r="I2897" s="12" t="n"/>
      <c r="J2897" s="12" t="n"/>
      <c r="K2897" s="12" t="n"/>
      <c r="L2897" s="11" t="n"/>
      <c r="M2897" s="11" t="n"/>
      <c r="N2897" s="11" t="n"/>
      <c r="O2897" s="11" t="n"/>
      <c r="P2897" s="12" t="n"/>
      <c r="Q2897" s="11" t="n"/>
      <c r="R2897" s="12" t="n"/>
      <c r="S2897" s="11" t="n"/>
      <c r="T2897" s="12" t="n"/>
      <c r="U2897" s="12" t="n"/>
      <c r="V2897" s="12" t="n"/>
      <c r="W2897" s="13" t="n"/>
      <c r="X2897" s="14">
        <f>IF($AP2897="",IF($B2897="","",$H2897),IF(INDEX(職員マスタ!$B$6:$B$405,$AP2897)="",$H2897,INDEX(職員マスタ!$B$6:$B$405,$AP2897)))</f>
        <v/>
      </c>
      <c r="Y2897" s="14">
        <f>IF($AP2897="",IF($B2897="","",$R2897),IF(INDEX(職員マスタ!$C$6:$C$405,$AP2897)="",$R2897,INDEX(職員マスタ!$C$6:$C$405,$AP2897)))</f>
        <v/>
      </c>
      <c r="Z2897" s="14">
        <f>IF($AQ2897="","","R"&amp;$C2897&amp;"."&amp;$D2897)</f>
        <v/>
      </c>
      <c r="AA2897" s="15">
        <f>IF(IF($AP2897="",FALSE,INDEX(職員マスタ!$K$6:$K$405,$AP2897)&lt;&gt;""),INDEX(職員マスタ!$K$6:$K$405,$AP2897),IF(N($W2897)&gt;0,$W2897,""))</f>
        <v/>
      </c>
      <c r="AB2897" s="14">
        <f>IF(OR($E2897="",$AA2897=""),"",IF($E2897&gt;=$AA2897,"×",IF($E2897&gt;=$AA2897*設定!$C$5,"△","○")))</f>
        <v/>
      </c>
      <c r="AC2897" s="15">
        <f>IF($AB2897="","",IF($AB2897="×",0,IF($AB2897="○",ROUNDDOWN($E2897*設定!$C$4,0),ROUNDDOWN($E2897*ROUND((9*$AA2897-9*$E2897)/(10*$E2897),4),0))))</f>
        <v/>
      </c>
      <c r="AD2897" s="13" t="n"/>
      <c r="AE2897" s="15">
        <f>IF($B2897="","",IF($AD2897&lt;&gt;"",$AD2897,IF($AC2897="","",IF($AC2897&lt;=設定!$C$3,0,$AC2897))))</f>
        <v/>
      </c>
      <c r="AF2897" s="14">
        <f>IF($B2897="","",IF(AND($AG2897&lt;&gt;"",$AI2897="",$AL2897=""),"保留中",IF($AL2897&lt;&gt;"",IF(N($AE2897)&gt;0,"支給済","不支給"),IF($AE2897="","要確認",IF($AE2897=0,"不支給","未処理")))))</f>
        <v/>
      </c>
      <c r="AG2897" s="12" t="n"/>
      <c r="AH2897" s="11" t="n"/>
      <c r="AI2897" s="11" t="n"/>
      <c r="AJ2897" s="11" t="n"/>
      <c r="AK2897" s="14">
        <f>IF(AND($AF2897="保留中",$AH2897&lt;&gt;""),TODAY()-$AH2897,"")</f>
        <v/>
      </c>
      <c r="AL2897" s="12" t="n"/>
      <c r="AM2897" s="14">
        <f>IF($B2897="","",IF($AQ2897="","対象年月が未入力／","")&amp;IF($B2897="","",IF($AP2897="","職員マスタに未登録の職員番号／",IF($AA2897="","標準報酬月額が未登録／","")&amp;IF(AND($AQ2897&lt;&gt;"",OR(AND(INDEX(職員マスタ!$G$6:$G$405,$AP2897)&lt;&gt;"",INDEX(職員マスタ!$G$6:$G$405,$AP2897)&gt;EOMONTH($AQ2897,0)),AND(INDEX(職員マスタ!$H$6:$H$405,$AP2897)&lt;&gt;"",INDEX(職員マスタ!$H$6:$H$405,$AP2897)&lt;$AQ2897))),"対象月が時短期間外／","")&amp;IF(AND(INDEX(職員マスタ!$K$6:$K$405,$AP2897)&lt;&gt;"",N($W2897)&gt;0,INDEX(職員マスタ!$K$6:$K$405,$AP2897)&lt;&gt;$W2897),"標準報酬月額が申請書と相違（台帳"&amp;TEXT(INDEX(職員マスタ!$K$6:$K$405,$AP2897),"#,##0")&amp;"円／申請書"&amp;TEXT($W2897,"#,##0")&amp;"円）／","")&amp;IF(AND(INDEX(職員マスタ!$F$6:$F$405,$AP2897)&lt;&gt;"",$AQ2897&lt;&gt;"",INDEX(職員マスタ!$F$6:$F$405,$AP2897)&lt;$AQ2897),"対象月に子が2歳到達済／","")&amp;IF(AND($H2897&lt;&gt;"",INDEX(職員マスタ!$B$6:$B$405,$AP2897)&lt;&gt;"",SUBSTITUTE(SUBSTITUTE($H2897," ","")," ","")&lt;&gt;SUBSTITUTE(SUBSTITUTE(INDEX(職員マスタ!$B$6:$B$405,$AP2897)," ","")," ","")),"氏名がマスタと相違／","")&amp;IF(AND($Q2897&lt;&gt;"",INDEX(職員マスタ!$E$6:$E$405,$AP2897)&lt;&gt;"",$Q2897&lt;&gt;INDEX(職員マスタ!$E$6:$E$405,$AP2897)),"子の生年月日がマスタと相違／","")&amp;IF(AND($L2897&lt;&gt;"",INDEX(職員マスタ!$G$6:$G$405,$AP2897)&lt;&gt;"",$L2897&lt;&gt;INDEX(職員マスタ!$G$6:$G$405,$AP2897)),"時短開始日がマスタと相違／","")&amp;IF(AND($M2897&lt;&gt;"",INDEX(職員マスタ!$H$6:$H$405,$AP2897)&lt;&gt;"",$M2897&lt;&gt;INDEX(職員マスタ!$H$6:$H$405,$AP2897)),"時短終了日がマスタと相違／","")))&amp;IF(AND($B2897&lt;&gt;"",$E2897=""),"報酬額が未入力／","")&amp;IF(N($U2897)&gt;0,"申請書に入力エラーが残っています／","")&amp;IF(AND($B2897&lt;&gt;"",$AQ2897&lt;&gt;""),IF(COUNTIFS($B$6:$B$3005,$B2897,$C$6:$C$3005,$C2897,$D$6:$D$3005,$D2897)&gt;1,"同じ月の請求が重複しています／",""),"")&amp;IF(AND(N($E2897)&gt;0,$AB2897&lt;&gt;"",$AB2897&lt;&gt;"×",$AE2897=0,$AD2897=""),"計算額が下限以下のため不支給／",""))</f>
        <v/>
      </c>
      <c r="AN2897" s="12" t="n"/>
      <c r="AO2897" s="14">
        <f>IF($AF2897="保留中",COUNTIF($AF$6:$AF2897,"保留中"),"")</f>
        <v/>
      </c>
      <c r="AP2897" s="14">
        <f>IF($AQ2897="","",IF(SUMPRODUCT(MAX((職員マスタ!$A$6:$A$405=$B2897)*(((職員マスタ!$G$6:$G$405="")+(職員マスタ!$G$6:$G$405&lt;=EOMONTH($AQ2897,0)))&gt;0)*(((職員マスタ!$H$6:$H$405="")+(職員マスタ!$H$6:$H$405&gt;=$AQ2897))&gt;0)*(ROW(職員マスタ!$A$6:$A$405)-5)))&gt;0,SUMPRODUCT(MAX((職員マスタ!$A$6:$A$405=$B2897)*(((職員マスタ!$G$6:$G$405="")+(職員マスタ!$G$6:$G$405&lt;=EOMONTH($AQ2897,0)))&gt;0)*(((職員マスタ!$H$6:$H$405="")+(職員マスタ!$H$6:$H$405&gt;=$AQ2897))&gt;0)*(ROW(職員マスタ!$A$6:$A$405)-5))),IFERROR(MATCH($B2897,職員マスタ!$A$6:$A$405,0),"")))</f>
        <v/>
      </c>
      <c r="AQ2897" s="16">
        <f>IF(OR($B2897="",$C2897="",$D2897=""),"",DATE($C2897+2018,$D2897,1))</f>
        <v/>
      </c>
    </row>
    <row r="2898">
      <c r="A2898" s="11" t="n"/>
      <c r="B2898" s="12" t="n"/>
      <c r="C2898" s="12" t="n"/>
      <c r="D2898" s="12" t="n"/>
      <c r="E2898" s="13" t="n"/>
      <c r="F2898" s="12" t="n"/>
      <c r="G2898" s="13" t="n"/>
      <c r="H2898" s="12" t="n"/>
      <c r="I2898" s="12" t="n"/>
      <c r="J2898" s="12" t="n"/>
      <c r="K2898" s="12" t="n"/>
      <c r="L2898" s="11" t="n"/>
      <c r="M2898" s="11" t="n"/>
      <c r="N2898" s="11" t="n"/>
      <c r="O2898" s="11" t="n"/>
      <c r="P2898" s="12" t="n"/>
      <c r="Q2898" s="11" t="n"/>
      <c r="R2898" s="12" t="n"/>
      <c r="S2898" s="11" t="n"/>
      <c r="T2898" s="12" t="n"/>
      <c r="U2898" s="12" t="n"/>
      <c r="V2898" s="12" t="n"/>
      <c r="W2898" s="13" t="n"/>
      <c r="X2898" s="14">
        <f>IF($AP2898="",IF($B2898="","",$H2898),IF(INDEX(職員マスタ!$B$6:$B$405,$AP2898)="",$H2898,INDEX(職員マスタ!$B$6:$B$405,$AP2898)))</f>
        <v/>
      </c>
      <c r="Y2898" s="14">
        <f>IF($AP2898="",IF($B2898="","",$R2898),IF(INDEX(職員マスタ!$C$6:$C$405,$AP2898)="",$R2898,INDEX(職員マスタ!$C$6:$C$405,$AP2898)))</f>
        <v/>
      </c>
      <c r="Z2898" s="14">
        <f>IF($AQ2898="","","R"&amp;$C2898&amp;"."&amp;$D2898)</f>
        <v/>
      </c>
      <c r="AA2898" s="15">
        <f>IF(IF($AP2898="",FALSE,INDEX(職員マスタ!$K$6:$K$405,$AP2898)&lt;&gt;""),INDEX(職員マスタ!$K$6:$K$405,$AP2898),IF(N($W2898)&gt;0,$W2898,""))</f>
        <v/>
      </c>
      <c r="AB2898" s="14">
        <f>IF(OR($E2898="",$AA2898=""),"",IF($E2898&gt;=$AA2898,"×",IF($E2898&gt;=$AA2898*設定!$C$5,"△","○")))</f>
        <v/>
      </c>
      <c r="AC2898" s="15">
        <f>IF($AB2898="","",IF($AB2898="×",0,IF($AB2898="○",ROUNDDOWN($E2898*設定!$C$4,0),ROUNDDOWN($E2898*ROUND((9*$AA2898-9*$E2898)/(10*$E2898),4),0))))</f>
        <v/>
      </c>
      <c r="AD2898" s="13" t="n"/>
      <c r="AE2898" s="15">
        <f>IF($B2898="","",IF($AD2898&lt;&gt;"",$AD2898,IF($AC2898="","",IF($AC2898&lt;=設定!$C$3,0,$AC2898))))</f>
        <v/>
      </c>
      <c r="AF2898" s="14">
        <f>IF($B2898="","",IF(AND($AG2898&lt;&gt;"",$AI2898="",$AL2898=""),"保留中",IF($AL2898&lt;&gt;"",IF(N($AE2898)&gt;0,"支給済","不支給"),IF($AE2898="","要確認",IF($AE2898=0,"不支給","未処理")))))</f>
        <v/>
      </c>
      <c r="AG2898" s="12" t="n"/>
      <c r="AH2898" s="11" t="n"/>
      <c r="AI2898" s="11" t="n"/>
      <c r="AJ2898" s="11" t="n"/>
      <c r="AK2898" s="14">
        <f>IF(AND($AF2898="保留中",$AH2898&lt;&gt;""),TODAY()-$AH2898,"")</f>
        <v/>
      </c>
      <c r="AL2898" s="12" t="n"/>
      <c r="AM2898" s="14">
        <f>IF($B2898="","",IF($AQ2898="","対象年月が未入力／","")&amp;IF($B2898="","",IF($AP2898="","職員マスタに未登録の職員番号／",IF($AA2898="","標準報酬月額が未登録／","")&amp;IF(AND($AQ2898&lt;&gt;"",OR(AND(INDEX(職員マスタ!$G$6:$G$405,$AP2898)&lt;&gt;"",INDEX(職員マスタ!$G$6:$G$405,$AP2898)&gt;EOMONTH($AQ2898,0)),AND(INDEX(職員マスタ!$H$6:$H$405,$AP2898)&lt;&gt;"",INDEX(職員マスタ!$H$6:$H$405,$AP2898)&lt;$AQ2898))),"対象月が時短期間外／","")&amp;IF(AND(INDEX(職員マスタ!$K$6:$K$405,$AP2898)&lt;&gt;"",N($W2898)&gt;0,INDEX(職員マスタ!$K$6:$K$405,$AP2898)&lt;&gt;$W2898),"標準報酬月額が申請書と相違（台帳"&amp;TEXT(INDEX(職員マスタ!$K$6:$K$405,$AP2898),"#,##0")&amp;"円／申請書"&amp;TEXT($W2898,"#,##0")&amp;"円）／","")&amp;IF(AND(INDEX(職員マスタ!$F$6:$F$405,$AP2898)&lt;&gt;"",$AQ2898&lt;&gt;"",INDEX(職員マスタ!$F$6:$F$405,$AP2898)&lt;$AQ2898),"対象月に子が2歳到達済／","")&amp;IF(AND($H2898&lt;&gt;"",INDEX(職員マスタ!$B$6:$B$405,$AP2898)&lt;&gt;"",SUBSTITUTE(SUBSTITUTE($H2898," ","")," ","")&lt;&gt;SUBSTITUTE(SUBSTITUTE(INDEX(職員マスタ!$B$6:$B$405,$AP2898)," ","")," ","")),"氏名がマスタと相違／","")&amp;IF(AND($Q2898&lt;&gt;"",INDEX(職員マスタ!$E$6:$E$405,$AP2898)&lt;&gt;"",$Q2898&lt;&gt;INDEX(職員マスタ!$E$6:$E$405,$AP2898)),"子の生年月日がマスタと相違／","")&amp;IF(AND($L2898&lt;&gt;"",INDEX(職員マスタ!$G$6:$G$405,$AP2898)&lt;&gt;"",$L2898&lt;&gt;INDEX(職員マスタ!$G$6:$G$405,$AP2898)),"時短開始日がマスタと相違／","")&amp;IF(AND($M2898&lt;&gt;"",INDEX(職員マスタ!$H$6:$H$405,$AP2898)&lt;&gt;"",$M2898&lt;&gt;INDEX(職員マスタ!$H$6:$H$405,$AP2898)),"時短終了日がマスタと相違／","")))&amp;IF(AND($B2898&lt;&gt;"",$E2898=""),"報酬額が未入力／","")&amp;IF(N($U2898)&gt;0,"申請書に入力エラーが残っています／","")&amp;IF(AND($B2898&lt;&gt;"",$AQ2898&lt;&gt;""),IF(COUNTIFS($B$6:$B$3005,$B2898,$C$6:$C$3005,$C2898,$D$6:$D$3005,$D2898)&gt;1,"同じ月の請求が重複しています／",""),"")&amp;IF(AND(N($E2898)&gt;0,$AB2898&lt;&gt;"",$AB2898&lt;&gt;"×",$AE2898=0,$AD2898=""),"計算額が下限以下のため不支給／",""))</f>
        <v/>
      </c>
      <c r="AN2898" s="12" t="n"/>
      <c r="AO2898" s="14">
        <f>IF($AF2898="保留中",COUNTIF($AF$6:$AF2898,"保留中"),"")</f>
        <v/>
      </c>
      <c r="AP2898" s="14">
        <f>IF($AQ2898="","",IF(SUMPRODUCT(MAX((職員マスタ!$A$6:$A$405=$B2898)*(((職員マスタ!$G$6:$G$405="")+(職員マスタ!$G$6:$G$405&lt;=EOMONTH($AQ2898,0)))&gt;0)*(((職員マスタ!$H$6:$H$405="")+(職員マスタ!$H$6:$H$405&gt;=$AQ2898))&gt;0)*(ROW(職員マスタ!$A$6:$A$405)-5)))&gt;0,SUMPRODUCT(MAX((職員マスタ!$A$6:$A$405=$B2898)*(((職員マスタ!$G$6:$G$405="")+(職員マスタ!$G$6:$G$405&lt;=EOMONTH($AQ2898,0)))&gt;0)*(((職員マスタ!$H$6:$H$405="")+(職員マスタ!$H$6:$H$405&gt;=$AQ2898))&gt;0)*(ROW(職員マスタ!$A$6:$A$405)-5))),IFERROR(MATCH($B2898,職員マスタ!$A$6:$A$405,0),"")))</f>
        <v/>
      </c>
      <c r="AQ2898" s="16">
        <f>IF(OR($B2898="",$C2898="",$D2898=""),"",DATE($C2898+2018,$D2898,1))</f>
        <v/>
      </c>
    </row>
    <row r="2899">
      <c r="A2899" s="11" t="n"/>
      <c r="B2899" s="12" t="n"/>
      <c r="C2899" s="12" t="n"/>
      <c r="D2899" s="12" t="n"/>
      <c r="E2899" s="13" t="n"/>
      <c r="F2899" s="12" t="n"/>
      <c r="G2899" s="13" t="n"/>
      <c r="H2899" s="12" t="n"/>
      <c r="I2899" s="12" t="n"/>
      <c r="J2899" s="12" t="n"/>
      <c r="K2899" s="12" t="n"/>
      <c r="L2899" s="11" t="n"/>
      <c r="M2899" s="11" t="n"/>
      <c r="N2899" s="11" t="n"/>
      <c r="O2899" s="11" t="n"/>
      <c r="P2899" s="12" t="n"/>
      <c r="Q2899" s="11" t="n"/>
      <c r="R2899" s="12" t="n"/>
      <c r="S2899" s="11" t="n"/>
      <c r="T2899" s="12" t="n"/>
      <c r="U2899" s="12" t="n"/>
      <c r="V2899" s="12" t="n"/>
      <c r="W2899" s="13" t="n"/>
      <c r="X2899" s="14">
        <f>IF($AP2899="",IF($B2899="","",$H2899),IF(INDEX(職員マスタ!$B$6:$B$405,$AP2899)="",$H2899,INDEX(職員マスタ!$B$6:$B$405,$AP2899)))</f>
        <v/>
      </c>
      <c r="Y2899" s="14">
        <f>IF($AP2899="",IF($B2899="","",$R2899),IF(INDEX(職員マスタ!$C$6:$C$405,$AP2899)="",$R2899,INDEX(職員マスタ!$C$6:$C$405,$AP2899)))</f>
        <v/>
      </c>
      <c r="Z2899" s="14">
        <f>IF($AQ2899="","","R"&amp;$C2899&amp;"."&amp;$D2899)</f>
        <v/>
      </c>
      <c r="AA2899" s="15">
        <f>IF(IF($AP2899="",FALSE,INDEX(職員マスタ!$K$6:$K$405,$AP2899)&lt;&gt;""),INDEX(職員マスタ!$K$6:$K$405,$AP2899),IF(N($W2899)&gt;0,$W2899,""))</f>
        <v/>
      </c>
      <c r="AB2899" s="14">
        <f>IF(OR($E2899="",$AA2899=""),"",IF($E2899&gt;=$AA2899,"×",IF($E2899&gt;=$AA2899*設定!$C$5,"△","○")))</f>
        <v/>
      </c>
      <c r="AC2899" s="15">
        <f>IF($AB2899="","",IF($AB2899="×",0,IF($AB2899="○",ROUNDDOWN($E2899*設定!$C$4,0),ROUNDDOWN($E2899*ROUND((9*$AA2899-9*$E2899)/(10*$E2899),4),0))))</f>
        <v/>
      </c>
      <c r="AD2899" s="13" t="n"/>
      <c r="AE2899" s="15">
        <f>IF($B2899="","",IF($AD2899&lt;&gt;"",$AD2899,IF($AC2899="","",IF($AC2899&lt;=設定!$C$3,0,$AC2899))))</f>
        <v/>
      </c>
      <c r="AF2899" s="14">
        <f>IF($B2899="","",IF(AND($AG2899&lt;&gt;"",$AI2899="",$AL2899=""),"保留中",IF($AL2899&lt;&gt;"",IF(N($AE2899)&gt;0,"支給済","不支給"),IF($AE2899="","要確認",IF($AE2899=0,"不支給","未処理")))))</f>
        <v/>
      </c>
      <c r="AG2899" s="12" t="n"/>
      <c r="AH2899" s="11" t="n"/>
      <c r="AI2899" s="11" t="n"/>
      <c r="AJ2899" s="11" t="n"/>
      <c r="AK2899" s="14">
        <f>IF(AND($AF2899="保留中",$AH2899&lt;&gt;""),TODAY()-$AH2899,"")</f>
        <v/>
      </c>
      <c r="AL2899" s="12" t="n"/>
      <c r="AM2899" s="14">
        <f>IF($B2899="","",IF($AQ2899="","対象年月が未入力／","")&amp;IF($B2899="","",IF($AP2899="","職員マスタに未登録の職員番号／",IF($AA2899="","標準報酬月額が未登録／","")&amp;IF(AND($AQ2899&lt;&gt;"",OR(AND(INDEX(職員マスタ!$G$6:$G$405,$AP2899)&lt;&gt;"",INDEX(職員マスタ!$G$6:$G$405,$AP2899)&gt;EOMONTH($AQ2899,0)),AND(INDEX(職員マスタ!$H$6:$H$405,$AP2899)&lt;&gt;"",INDEX(職員マスタ!$H$6:$H$405,$AP2899)&lt;$AQ2899))),"対象月が時短期間外／","")&amp;IF(AND(INDEX(職員マスタ!$K$6:$K$405,$AP2899)&lt;&gt;"",N($W2899)&gt;0,INDEX(職員マスタ!$K$6:$K$405,$AP2899)&lt;&gt;$W2899),"標準報酬月額が申請書と相違（台帳"&amp;TEXT(INDEX(職員マスタ!$K$6:$K$405,$AP2899),"#,##0")&amp;"円／申請書"&amp;TEXT($W2899,"#,##0")&amp;"円）／","")&amp;IF(AND(INDEX(職員マスタ!$F$6:$F$405,$AP2899)&lt;&gt;"",$AQ2899&lt;&gt;"",INDEX(職員マスタ!$F$6:$F$405,$AP2899)&lt;$AQ2899),"対象月に子が2歳到達済／","")&amp;IF(AND($H2899&lt;&gt;"",INDEX(職員マスタ!$B$6:$B$405,$AP2899)&lt;&gt;"",SUBSTITUTE(SUBSTITUTE($H2899," ","")," ","")&lt;&gt;SUBSTITUTE(SUBSTITUTE(INDEX(職員マスタ!$B$6:$B$405,$AP2899)," ","")," ","")),"氏名がマスタと相違／","")&amp;IF(AND($Q2899&lt;&gt;"",INDEX(職員マスタ!$E$6:$E$405,$AP2899)&lt;&gt;"",$Q2899&lt;&gt;INDEX(職員マスタ!$E$6:$E$405,$AP2899)),"子の生年月日がマスタと相違／","")&amp;IF(AND($L2899&lt;&gt;"",INDEX(職員マスタ!$G$6:$G$405,$AP2899)&lt;&gt;"",$L2899&lt;&gt;INDEX(職員マスタ!$G$6:$G$405,$AP2899)),"時短開始日がマスタと相違／","")&amp;IF(AND($M2899&lt;&gt;"",INDEX(職員マスタ!$H$6:$H$405,$AP2899)&lt;&gt;"",$M2899&lt;&gt;INDEX(職員マスタ!$H$6:$H$405,$AP2899)),"時短終了日がマスタと相違／","")))&amp;IF(AND($B2899&lt;&gt;"",$E2899=""),"報酬額が未入力／","")&amp;IF(N($U2899)&gt;0,"申請書に入力エラーが残っています／","")&amp;IF(AND($B2899&lt;&gt;"",$AQ2899&lt;&gt;""),IF(COUNTIFS($B$6:$B$3005,$B2899,$C$6:$C$3005,$C2899,$D$6:$D$3005,$D2899)&gt;1,"同じ月の請求が重複しています／",""),"")&amp;IF(AND(N($E2899)&gt;0,$AB2899&lt;&gt;"",$AB2899&lt;&gt;"×",$AE2899=0,$AD2899=""),"計算額が下限以下のため不支給／",""))</f>
        <v/>
      </c>
      <c r="AN2899" s="12" t="n"/>
      <c r="AO2899" s="14">
        <f>IF($AF2899="保留中",COUNTIF($AF$6:$AF2899,"保留中"),"")</f>
        <v/>
      </c>
      <c r="AP2899" s="14">
        <f>IF($AQ2899="","",IF(SUMPRODUCT(MAX((職員マスタ!$A$6:$A$405=$B2899)*(((職員マスタ!$G$6:$G$405="")+(職員マスタ!$G$6:$G$405&lt;=EOMONTH($AQ2899,0)))&gt;0)*(((職員マスタ!$H$6:$H$405="")+(職員マスタ!$H$6:$H$405&gt;=$AQ2899))&gt;0)*(ROW(職員マスタ!$A$6:$A$405)-5)))&gt;0,SUMPRODUCT(MAX((職員マスタ!$A$6:$A$405=$B2899)*(((職員マスタ!$G$6:$G$405="")+(職員マスタ!$G$6:$G$405&lt;=EOMONTH($AQ2899,0)))&gt;0)*(((職員マスタ!$H$6:$H$405="")+(職員マスタ!$H$6:$H$405&gt;=$AQ2899))&gt;0)*(ROW(職員マスタ!$A$6:$A$405)-5))),IFERROR(MATCH($B2899,職員マスタ!$A$6:$A$405,0),"")))</f>
        <v/>
      </c>
      <c r="AQ2899" s="16">
        <f>IF(OR($B2899="",$C2899="",$D2899=""),"",DATE($C2899+2018,$D2899,1))</f>
        <v/>
      </c>
    </row>
    <row r="2900">
      <c r="A2900" s="11" t="n"/>
      <c r="B2900" s="12" t="n"/>
      <c r="C2900" s="12" t="n"/>
      <c r="D2900" s="12" t="n"/>
      <c r="E2900" s="13" t="n"/>
      <c r="F2900" s="12" t="n"/>
      <c r="G2900" s="13" t="n"/>
      <c r="H2900" s="12" t="n"/>
      <c r="I2900" s="12" t="n"/>
      <c r="J2900" s="12" t="n"/>
      <c r="K2900" s="12" t="n"/>
      <c r="L2900" s="11" t="n"/>
      <c r="M2900" s="11" t="n"/>
      <c r="N2900" s="11" t="n"/>
      <c r="O2900" s="11" t="n"/>
      <c r="P2900" s="12" t="n"/>
      <c r="Q2900" s="11" t="n"/>
      <c r="R2900" s="12" t="n"/>
      <c r="S2900" s="11" t="n"/>
      <c r="T2900" s="12" t="n"/>
      <c r="U2900" s="12" t="n"/>
      <c r="V2900" s="12" t="n"/>
      <c r="W2900" s="13" t="n"/>
      <c r="X2900" s="14">
        <f>IF($AP2900="",IF($B2900="","",$H2900),IF(INDEX(職員マスタ!$B$6:$B$405,$AP2900)="",$H2900,INDEX(職員マスタ!$B$6:$B$405,$AP2900)))</f>
        <v/>
      </c>
      <c r="Y2900" s="14">
        <f>IF($AP2900="",IF($B2900="","",$R2900),IF(INDEX(職員マスタ!$C$6:$C$405,$AP2900)="",$R2900,INDEX(職員マスタ!$C$6:$C$405,$AP2900)))</f>
        <v/>
      </c>
      <c r="Z2900" s="14">
        <f>IF($AQ2900="","","R"&amp;$C2900&amp;"."&amp;$D2900)</f>
        <v/>
      </c>
      <c r="AA2900" s="15">
        <f>IF(IF($AP2900="",FALSE,INDEX(職員マスタ!$K$6:$K$405,$AP2900)&lt;&gt;""),INDEX(職員マスタ!$K$6:$K$405,$AP2900),IF(N($W2900)&gt;0,$W2900,""))</f>
        <v/>
      </c>
      <c r="AB2900" s="14">
        <f>IF(OR($E2900="",$AA2900=""),"",IF($E2900&gt;=$AA2900,"×",IF($E2900&gt;=$AA2900*設定!$C$5,"△","○")))</f>
        <v/>
      </c>
      <c r="AC2900" s="15">
        <f>IF($AB2900="","",IF($AB2900="×",0,IF($AB2900="○",ROUNDDOWN($E2900*設定!$C$4,0),ROUNDDOWN($E2900*ROUND((9*$AA2900-9*$E2900)/(10*$E2900),4),0))))</f>
        <v/>
      </c>
      <c r="AD2900" s="13" t="n"/>
      <c r="AE2900" s="15">
        <f>IF($B2900="","",IF($AD2900&lt;&gt;"",$AD2900,IF($AC2900="","",IF($AC2900&lt;=設定!$C$3,0,$AC2900))))</f>
        <v/>
      </c>
      <c r="AF2900" s="14">
        <f>IF($B2900="","",IF(AND($AG2900&lt;&gt;"",$AI2900="",$AL2900=""),"保留中",IF($AL2900&lt;&gt;"",IF(N($AE2900)&gt;0,"支給済","不支給"),IF($AE2900="","要確認",IF($AE2900=0,"不支給","未処理")))))</f>
        <v/>
      </c>
      <c r="AG2900" s="12" t="n"/>
      <c r="AH2900" s="11" t="n"/>
      <c r="AI2900" s="11" t="n"/>
      <c r="AJ2900" s="11" t="n"/>
      <c r="AK2900" s="14">
        <f>IF(AND($AF2900="保留中",$AH2900&lt;&gt;""),TODAY()-$AH2900,"")</f>
        <v/>
      </c>
      <c r="AL2900" s="12" t="n"/>
      <c r="AM2900" s="14">
        <f>IF($B2900="","",IF($AQ2900="","対象年月が未入力／","")&amp;IF($B2900="","",IF($AP2900="","職員マスタに未登録の職員番号／",IF($AA2900="","標準報酬月額が未登録／","")&amp;IF(AND($AQ2900&lt;&gt;"",OR(AND(INDEX(職員マスタ!$G$6:$G$405,$AP2900)&lt;&gt;"",INDEX(職員マスタ!$G$6:$G$405,$AP2900)&gt;EOMONTH($AQ2900,0)),AND(INDEX(職員マスタ!$H$6:$H$405,$AP2900)&lt;&gt;"",INDEX(職員マスタ!$H$6:$H$405,$AP2900)&lt;$AQ2900))),"対象月が時短期間外／","")&amp;IF(AND(INDEX(職員マスタ!$K$6:$K$405,$AP2900)&lt;&gt;"",N($W2900)&gt;0,INDEX(職員マスタ!$K$6:$K$405,$AP2900)&lt;&gt;$W2900),"標準報酬月額が申請書と相違（台帳"&amp;TEXT(INDEX(職員マスタ!$K$6:$K$405,$AP2900),"#,##0")&amp;"円／申請書"&amp;TEXT($W2900,"#,##0")&amp;"円）／","")&amp;IF(AND(INDEX(職員マスタ!$F$6:$F$405,$AP2900)&lt;&gt;"",$AQ2900&lt;&gt;"",INDEX(職員マスタ!$F$6:$F$405,$AP2900)&lt;$AQ2900),"対象月に子が2歳到達済／","")&amp;IF(AND($H2900&lt;&gt;"",INDEX(職員マスタ!$B$6:$B$405,$AP2900)&lt;&gt;"",SUBSTITUTE(SUBSTITUTE($H2900," ","")," ","")&lt;&gt;SUBSTITUTE(SUBSTITUTE(INDEX(職員マスタ!$B$6:$B$405,$AP2900)," ","")," ","")),"氏名がマスタと相違／","")&amp;IF(AND($Q2900&lt;&gt;"",INDEX(職員マスタ!$E$6:$E$405,$AP2900)&lt;&gt;"",$Q2900&lt;&gt;INDEX(職員マスタ!$E$6:$E$405,$AP2900)),"子の生年月日がマスタと相違／","")&amp;IF(AND($L2900&lt;&gt;"",INDEX(職員マスタ!$G$6:$G$405,$AP2900)&lt;&gt;"",$L2900&lt;&gt;INDEX(職員マスタ!$G$6:$G$405,$AP2900)),"時短開始日がマスタと相違／","")&amp;IF(AND($M2900&lt;&gt;"",INDEX(職員マスタ!$H$6:$H$405,$AP2900)&lt;&gt;"",$M2900&lt;&gt;INDEX(職員マスタ!$H$6:$H$405,$AP2900)),"時短終了日がマスタと相違／","")))&amp;IF(AND($B2900&lt;&gt;"",$E2900=""),"報酬額が未入力／","")&amp;IF(N($U2900)&gt;0,"申請書に入力エラーが残っています／","")&amp;IF(AND($B2900&lt;&gt;"",$AQ2900&lt;&gt;""),IF(COUNTIFS($B$6:$B$3005,$B2900,$C$6:$C$3005,$C2900,$D$6:$D$3005,$D2900)&gt;1,"同じ月の請求が重複しています／",""),"")&amp;IF(AND(N($E2900)&gt;0,$AB2900&lt;&gt;"",$AB2900&lt;&gt;"×",$AE2900=0,$AD2900=""),"計算額が下限以下のため不支給／",""))</f>
        <v/>
      </c>
      <c r="AN2900" s="12" t="n"/>
      <c r="AO2900" s="14">
        <f>IF($AF2900="保留中",COUNTIF($AF$6:$AF2900,"保留中"),"")</f>
        <v/>
      </c>
      <c r="AP2900" s="14">
        <f>IF($AQ2900="","",IF(SUMPRODUCT(MAX((職員マスタ!$A$6:$A$405=$B2900)*(((職員マスタ!$G$6:$G$405="")+(職員マスタ!$G$6:$G$405&lt;=EOMONTH($AQ2900,0)))&gt;0)*(((職員マスタ!$H$6:$H$405="")+(職員マスタ!$H$6:$H$405&gt;=$AQ2900))&gt;0)*(ROW(職員マスタ!$A$6:$A$405)-5)))&gt;0,SUMPRODUCT(MAX((職員マスタ!$A$6:$A$405=$B2900)*(((職員マスタ!$G$6:$G$405="")+(職員マスタ!$G$6:$G$405&lt;=EOMONTH($AQ2900,0)))&gt;0)*(((職員マスタ!$H$6:$H$405="")+(職員マスタ!$H$6:$H$405&gt;=$AQ2900))&gt;0)*(ROW(職員マスタ!$A$6:$A$405)-5))),IFERROR(MATCH($B2900,職員マスタ!$A$6:$A$405,0),"")))</f>
        <v/>
      </c>
      <c r="AQ2900" s="16">
        <f>IF(OR($B2900="",$C2900="",$D2900=""),"",DATE($C2900+2018,$D2900,1))</f>
        <v/>
      </c>
    </row>
    <row r="2901">
      <c r="A2901" s="11" t="n"/>
      <c r="B2901" s="12" t="n"/>
      <c r="C2901" s="12" t="n"/>
      <c r="D2901" s="12" t="n"/>
      <c r="E2901" s="13" t="n"/>
      <c r="F2901" s="12" t="n"/>
      <c r="G2901" s="13" t="n"/>
      <c r="H2901" s="12" t="n"/>
      <c r="I2901" s="12" t="n"/>
      <c r="J2901" s="12" t="n"/>
      <c r="K2901" s="12" t="n"/>
      <c r="L2901" s="11" t="n"/>
      <c r="M2901" s="11" t="n"/>
      <c r="N2901" s="11" t="n"/>
      <c r="O2901" s="11" t="n"/>
      <c r="P2901" s="12" t="n"/>
      <c r="Q2901" s="11" t="n"/>
      <c r="R2901" s="12" t="n"/>
      <c r="S2901" s="11" t="n"/>
      <c r="T2901" s="12" t="n"/>
      <c r="U2901" s="12" t="n"/>
      <c r="V2901" s="12" t="n"/>
      <c r="W2901" s="13" t="n"/>
      <c r="X2901" s="14">
        <f>IF($AP2901="",IF($B2901="","",$H2901),IF(INDEX(職員マスタ!$B$6:$B$405,$AP2901)="",$H2901,INDEX(職員マスタ!$B$6:$B$405,$AP2901)))</f>
        <v/>
      </c>
      <c r="Y2901" s="14">
        <f>IF($AP2901="",IF($B2901="","",$R2901),IF(INDEX(職員マスタ!$C$6:$C$405,$AP2901)="",$R2901,INDEX(職員マスタ!$C$6:$C$405,$AP2901)))</f>
        <v/>
      </c>
      <c r="Z2901" s="14">
        <f>IF($AQ2901="","","R"&amp;$C2901&amp;"."&amp;$D2901)</f>
        <v/>
      </c>
      <c r="AA2901" s="15">
        <f>IF(IF($AP2901="",FALSE,INDEX(職員マスタ!$K$6:$K$405,$AP2901)&lt;&gt;""),INDEX(職員マスタ!$K$6:$K$405,$AP2901),IF(N($W2901)&gt;0,$W2901,""))</f>
        <v/>
      </c>
      <c r="AB2901" s="14">
        <f>IF(OR($E2901="",$AA2901=""),"",IF($E2901&gt;=$AA2901,"×",IF($E2901&gt;=$AA2901*設定!$C$5,"△","○")))</f>
        <v/>
      </c>
      <c r="AC2901" s="15">
        <f>IF($AB2901="","",IF($AB2901="×",0,IF($AB2901="○",ROUNDDOWN($E2901*設定!$C$4,0),ROUNDDOWN($E2901*ROUND((9*$AA2901-9*$E2901)/(10*$E2901),4),0))))</f>
        <v/>
      </c>
      <c r="AD2901" s="13" t="n"/>
      <c r="AE2901" s="15">
        <f>IF($B2901="","",IF($AD2901&lt;&gt;"",$AD2901,IF($AC2901="","",IF($AC2901&lt;=設定!$C$3,0,$AC2901))))</f>
        <v/>
      </c>
      <c r="AF2901" s="14">
        <f>IF($B2901="","",IF(AND($AG2901&lt;&gt;"",$AI2901="",$AL2901=""),"保留中",IF($AL2901&lt;&gt;"",IF(N($AE2901)&gt;0,"支給済","不支給"),IF($AE2901="","要確認",IF($AE2901=0,"不支給","未処理")))))</f>
        <v/>
      </c>
      <c r="AG2901" s="12" t="n"/>
      <c r="AH2901" s="11" t="n"/>
      <c r="AI2901" s="11" t="n"/>
      <c r="AJ2901" s="11" t="n"/>
      <c r="AK2901" s="14">
        <f>IF(AND($AF2901="保留中",$AH2901&lt;&gt;""),TODAY()-$AH2901,"")</f>
        <v/>
      </c>
      <c r="AL2901" s="12" t="n"/>
      <c r="AM2901" s="14">
        <f>IF($B2901="","",IF($AQ2901="","対象年月が未入力／","")&amp;IF($B2901="","",IF($AP2901="","職員マスタに未登録の職員番号／",IF($AA2901="","標準報酬月額が未登録／","")&amp;IF(AND($AQ2901&lt;&gt;"",OR(AND(INDEX(職員マスタ!$G$6:$G$405,$AP2901)&lt;&gt;"",INDEX(職員マスタ!$G$6:$G$405,$AP2901)&gt;EOMONTH($AQ2901,0)),AND(INDEX(職員マスタ!$H$6:$H$405,$AP2901)&lt;&gt;"",INDEX(職員マスタ!$H$6:$H$405,$AP2901)&lt;$AQ2901))),"対象月が時短期間外／","")&amp;IF(AND(INDEX(職員マスタ!$K$6:$K$405,$AP2901)&lt;&gt;"",N($W2901)&gt;0,INDEX(職員マスタ!$K$6:$K$405,$AP2901)&lt;&gt;$W2901),"標準報酬月額が申請書と相違（台帳"&amp;TEXT(INDEX(職員マスタ!$K$6:$K$405,$AP2901),"#,##0")&amp;"円／申請書"&amp;TEXT($W2901,"#,##0")&amp;"円）／","")&amp;IF(AND(INDEX(職員マスタ!$F$6:$F$405,$AP2901)&lt;&gt;"",$AQ2901&lt;&gt;"",INDEX(職員マスタ!$F$6:$F$405,$AP2901)&lt;$AQ2901),"対象月に子が2歳到達済／","")&amp;IF(AND($H2901&lt;&gt;"",INDEX(職員マスタ!$B$6:$B$405,$AP2901)&lt;&gt;"",SUBSTITUTE(SUBSTITUTE($H2901," ","")," ","")&lt;&gt;SUBSTITUTE(SUBSTITUTE(INDEX(職員マスタ!$B$6:$B$405,$AP2901)," ","")," ","")),"氏名がマスタと相違／","")&amp;IF(AND($Q2901&lt;&gt;"",INDEX(職員マスタ!$E$6:$E$405,$AP2901)&lt;&gt;"",$Q2901&lt;&gt;INDEX(職員マスタ!$E$6:$E$405,$AP2901)),"子の生年月日がマスタと相違／","")&amp;IF(AND($L2901&lt;&gt;"",INDEX(職員マスタ!$G$6:$G$405,$AP2901)&lt;&gt;"",$L2901&lt;&gt;INDEX(職員マスタ!$G$6:$G$405,$AP2901)),"時短開始日がマスタと相違／","")&amp;IF(AND($M2901&lt;&gt;"",INDEX(職員マスタ!$H$6:$H$405,$AP2901)&lt;&gt;"",$M2901&lt;&gt;INDEX(職員マスタ!$H$6:$H$405,$AP2901)),"時短終了日がマスタと相違／","")))&amp;IF(AND($B2901&lt;&gt;"",$E2901=""),"報酬額が未入力／","")&amp;IF(N($U2901)&gt;0,"申請書に入力エラーが残っています／","")&amp;IF(AND($B2901&lt;&gt;"",$AQ2901&lt;&gt;""),IF(COUNTIFS($B$6:$B$3005,$B2901,$C$6:$C$3005,$C2901,$D$6:$D$3005,$D2901)&gt;1,"同じ月の請求が重複しています／",""),"")&amp;IF(AND(N($E2901)&gt;0,$AB2901&lt;&gt;"",$AB2901&lt;&gt;"×",$AE2901=0,$AD2901=""),"計算額が下限以下のため不支給／",""))</f>
        <v/>
      </c>
      <c r="AN2901" s="12" t="n"/>
      <c r="AO2901" s="14">
        <f>IF($AF2901="保留中",COUNTIF($AF$6:$AF2901,"保留中"),"")</f>
        <v/>
      </c>
      <c r="AP2901" s="14">
        <f>IF($AQ2901="","",IF(SUMPRODUCT(MAX((職員マスタ!$A$6:$A$405=$B2901)*(((職員マスタ!$G$6:$G$405="")+(職員マスタ!$G$6:$G$405&lt;=EOMONTH($AQ2901,0)))&gt;0)*(((職員マスタ!$H$6:$H$405="")+(職員マスタ!$H$6:$H$405&gt;=$AQ2901))&gt;0)*(ROW(職員マスタ!$A$6:$A$405)-5)))&gt;0,SUMPRODUCT(MAX((職員マスタ!$A$6:$A$405=$B2901)*(((職員マスタ!$G$6:$G$405="")+(職員マスタ!$G$6:$G$405&lt;=EOMONTH($AQ2901,0)))&gt;0)*(((職員マスタ!$H$6:$H$405="")+(職員マスタ!$H$6:$H$405&gt;=$AQ2901))&gt;0)*(ROW(職員マスタ!$A$6:$A$405)-5))),IFERROR(MATCH($B2901,職員マスタ!$A$6:$A$405,0),"")))</f>
        <v/>
      </c>
      <c r="AQ2901" s="16">
        <f>IF(OR($B2901="",$C2901="",$D2901=""),"",DATE($C2901+2018,$D2901,1))</f>
        <v/>
      </c>
    </row>
    <row r="2902">
      <c r="A2902" s="11" t="n"/>
      <c r="B2902" s="12" t="n"/>
      <c r="C2902" s="12" t="n"/>
      <c r="D2902" s="12" t="n"/>
      <c r="E2902" s="13" t="n"/>
      <c r="F2902" s="12" t="n"/>
      <c r="G2902" s="13" t="n"/>
      <c r="H2902" s="12" t="n"/>
      <c r="I2902" s="12" t="n"/>
      <c r="J2902" s="12" t="n"/>
      <c r="K2902" s="12" t="n"/>
      <c r="L2902" s="11" t="n"/>
      <c r="M2902" s="11" t="n"/>
      <c r="N2902" s="11" t="n"/>
      <c r="O2902" s="11" t="n"/>
      <c r="P2902" s="12" t="n"/>
      <c r="Q2902" s="11" t="n"/>
      <c r="R2902" s="12" t="n"/>
      <c r="S2902" s="11" t="n"/>
      <c r="T2902" s="12" t="n"/>
      <c r="U2902" s="12" t="n"/>
      <c r="V2902" s="12" t="n"/>
      <c r="W2902" s="13" t="n"/>
      <c r="X2902" s="14">
        <f>IF($AP2902="",IF($B2902="","",$H2902),IF(INDEX(職員マスタ!$B$6:$B$405,$AP2902)="",$H2902,INDEX(職員マスタ!$B$6:$B$405,$AP2902)))</f>
        <v/>
      </c>
      <c r="Y2902" s="14">
        <f>IF($AP2902="",IF($B2902="","",$R2902),IF(INDEX(職員マスタ!$C$6:$C$405,$AP2902)="",$R2902,INDEX(職員マスタ!$C$6:$C$405,$AP2902)))</f>
        <v/>
      </c>
      <c r="Z2902" s="14">
        <f>IF($AQ2902="","","R"&amp;$C2902&amp;"."&amp;$D2902)</f>
        <v/>
      </c>
      <c r="AA2902" s="15">
        <f>IF(IF($AP2902="",FALSE,INDEX(職員マスタ!$K$6:$K$405,$AP2902)&lt;&gt;""),INDEX(職員マスタ!$K$6:$K$405,$AP2902),IF(N($W2902)&gt;0,$W2902,""))</f>
        <v/>
      </c>
      <c r="AB2902" s="14">
        <f>IF(OR($E2902="",$AA2902=""),"",IF($E2902&gt;=$AA2902,"×",IF($E2902&gt;=$AA2902*設定!$C$5,"△","○")))</f>
        <v/>
      </c>
      <c r="AC2902" s="15">
        <f>IF($AB2902="","",IF($AB2902="×",0,IF($AB2902="○",ROUNDDOWN($E2902*設定!$C$4,0),ROUNDDOWN($E2902*ROUND((9*$AA2902-9*$E2902)/(10*$E2902),4),0))))</f>
        <v/>
      </c>
      <c r="AD2902" s="13" t="n"/>
      <c r="AE2902" s="15">
        <f>IF($B2902="","",IF($AD2902&lt;&gt;"",$AD2902,IF($AC2902="","",IF($AC2902&lt;=設定!$C$3,0,$AC2902))))</f>
        <v/>
      </c>
      <c r="AF2902" s="14">
        <f>IF($B2902="","",IF(AND($AG2902&lt;&gt;"",$AI2902="",$AL2902=""),"保留中",IF($AL2902&lt;&gt;"",IF(N($AE2902)&gt;0,"支給済","不支給"),IF($AE2902="","要確認",IF($AE2902=0,"不支給","未処理")))))</f>
        <v/>
      </c>
      <c r="AG2902" s="12" t="n"/>
      <c r="AH2902" s="11" t="n"/>
      <c r="AI2902" s="11" t="n"/>
      <c r="AJ2902" s="11" t="n"/>
      <c r="AK2902" s="14">
        <f>IF(AND($AF2902="保留中",$AH2902&lt;&gt;""),TODAY()-$AH2902,"")</f>
        <v/>
      </c>
      <c r="AL2902" s="12" t="n"/>
      <c r="AM2902" s="14">
        <f>IF($B2902="","",IF($AQ2902="","対象年月が未入力／","")&amp;IF($B2902="","",IF($AP2902="","職員マスタに未登録の職員番号／",IF($AA2902="","標準報酬月額が未登録／","")&amp;IF(AND($AQ2902&lt;&gt;"",OR(AND(INDEX(職員マスタ!$G$6:$G$405,$AP2902)&lt;&gt;"",INDEX(職員マスタ!$G$6:$G$405,$AP2902)&gt;EOMONTH($AQ2902,0)),AND(INDEX(職員マスタ!$H$6:$H$405,$AP2902)&lt;&gt;"",INDEX(職員マスタ!$H$6:$H$405,$AP2902)&lt;$AQ2902))),"対象月が時短期間外／","")&amp;IF(AND(INDEX(職員マスタ!$K$6:$K$405,$AP2902)&lt;&gt;"",N($W2902)&gt;0,INDEX(職員マスタ!$K$6:$K$405,$AP2902)&lt;&gt;$W2902),"標準報酬月額が申請書と相違（台帳"&amp;TEXT(INDEX(職員マスタ!$K$6:$K$405,$AP2902),"#,##0")&amp;"円／申請書"&amp;TEXT($W2902,"#,##0")&amp;"円）／","")&amp;IF(AND(INDEX(職員マスタ!$F$6:$F$405,$AP2902)&lt;&gt;"",$AQ2902&lt;&gt;"",INDEX(職員マスタ!$F$6:$F$405,$AP2902)&lt;$AQ2902),"対象月に子が2歳到達済／","")&amp;IF(AND($H2902&lt;&gt;"",INDEX(職員マスタ!$B$6:$B$405,$AP2902)&lt;&gt;"",SUBSTITUTE(SUBSTITUTE($H2902," ","")," ","")&lt;&gt;SUBSTITUTE(SUBSTITUTE(INDEX(職員マスタ!$B$6:$B$405,$AP2902)," ","")," ","")),"氏名がマスタと相違／","")&amp;IF(AND($Q2902&lt;&gt;"",INDEX(職員マスタ!$E$6:$E$405,$AP2902)&lt;&gt;"",$Q2902&lt;&gt;INDEX(職員マスタ!$E$6:$E$405,$AP2902)),"子の生年月日がマスタと相違／","")&amp;IF(AND($L2902&lt;&gt;"",INDEX(職員マスタ!$G$6:$G$405,$AP2902)&lt;&gt;"",$L2902&lt;&gt;INDEX(職員マスタ!$G$6:$G$405,$AP2902)),"時短開始日がマスタと相違／","")&amp;IF(AND($M2902&lt;&gt;"",INDEX(職員マスタ!$H$6:$H$405,$AP2902)&lt;&gt;"",$M2902&lt;&gt;INDEX(職員マスタ!$H$6:$H$405,$AP2902)),"時短終了日がマスタと相違／","")))&amp;IF(AND($B2902&lt;&gt;"",$E2902=""),"報酬額が未入力／","")&amp;IF(N($U2902)&gt;0,"申請書に入力エラーが残っています／","")&amp;IF(AND($B2902&lt;&gt;"",$AQ2902&lt;&gt;""),IF(COUNTIFS($B$6:$B$3005,$B2902,$C$6:$C$3005,$C2902,$D$6:$D$3005,$D2902)&gt;1,"同じ月の請求が重複しています／",""),"")&amp;IF(AND(N($E2902)&gt;0,$AB2902&lt;&gt;"",$AB2902&lt;&gt;"×",$AE2902=0,$AD2902=""),"計算額が下限以下のため不支給／",""))</f>
        <v/>
      </c>
      <c r="AN2902" s="12" t="n"/>
      <c r="AO2902" s="14">
        <f>IF($AF2902="保留中",COUNTIF($AF$6:$AF2902,"保留中"),"")</f>
        <v/>
      </c>
      <c r="AP2902" s="14">
        <f>IF($AQ2902="","",IF(SUMPRODUCT(MAX((職員マスタ!$A$6:$A$405=$B2902)*(((職員マスタ!$G$6:$G$405="")+(職員マスタ!$G$6:$G$405&lt;=EOMONTH($AQ2902,0)))&gt;0)*(((職員マスタ!$H$6:$H$405="")+(職員マスタ!$H$6:$H$405&gt;=$AQ2902))&gt;0)*(ROW(職員マスタ!$A$6:$A$405)-5)))&gt;0,SUMPRODUCT(MAX((職員マスタ!$A$6:$A$405=$B2902)*(((職員マスタ!$G$6:$G$405="")+(職員マスタ!$G$6:$G$405&lt;=EOMONTH($AQ2902,0)))&gt;0)*(((職員マスタ!$H$6:$H$405="")+(職員マスタ!$H$6:$H$405&gt;=$AQ2902))&gt;0)*(ROW(職員マスタ!$A$6:$A$405)-5))),IFERROR(MATCH($B2902,職員マスタ!$A$6:$A$405,0),"")))</f>
        <v/>
      </c>
      <c r="AQ2902" s="16">
        <f>IF(OR($B2902="",$C2902="",$D2902=""),"",DATE($C2902+2018,$D2902,1))</f>
        <v/>
      </c>
    </row>
    <row r="2903">
      <c r="A2903" s="11" t="n"/>
      <c r="B2903" s="12" t="n"/>
      <c r="C2903" s="12" t="n"/>
      <c r="D2903" s="12" t="n"/>
      <c r="E2903" s="13" t="n"/>
      <c r="F2903" s="12" t="n"/>
      <c r="G2903" s="13" t="n"/>
      <c r="H2903" s="12" t="n"/>
      <c r="I2903" s="12" t="n"/>
      <c r="J2903" s="12" t="n"/>
      <c r="K2903" s="12" t="n"/>
      <c r="L2903" s="11" t="n"/>
      <c r="M2903" s="11" t="n"/>
      <c r="N2903" s="11" t="n"/>
      <c r="O2903" s="11" t="n"/>
      <c r="P2903" s="12" t="n"/>
      <c r="Q2903" s="11" t="n"/>
      <c r="R2903" s="12" t="n"/>
      <c r="S2903" s="11" t="n"/>
      <c r="T2903" s="12" t="n"/>
      <c r="U2903" s="12" t="n"/>
      <c r="V2903" s="12" t="n"/>
      <c r="W2903" s="13" t="n"/>
      <c r="X2903" s="14">
        <f>IF($AP2903="",IF($B2903="","",$H2903),IF(INDEX(職員マスタ!$B$6:$B$405,$AP2903)="",$H2903,INDEX(職員マスタ!$B$6:$B$405,$AP2903)))</f>
        <v/>
      </c>
      <c r="Y2903" s="14">
        <f>IF($AP2903="",IF($B2903="","",$R2903),IF(INDEX(職員マスタ!$C$6:$C$405,$AP2903)="",$R2903,INDEX(職員マスタ!$C$6:$C$405,$AP2903)))</f>
        <v/>
      </c>
      <c r="Z2903" s="14">
        <f>IF($AQ2903="","","R"&amp;$C2903&amp;"."&amp;$D2903)</f>
        <v/>
      </c>
      <c r="AA2903" s="15">
        <f>IF(IF($AP2903="",FALSE,INDEX(職員マスタ!$K$6:$K$405,$AP2903)&lt;&gt;""),INDEX(職員マスタ!$K$6:$K$405,$AP2903),IF(N($W2903)&gt;0,$W2903,""))</f>
        <v/>
      </c>
      <c r="AB2903" s="14">
        <f>IF(OR($E2903="",$AA2903=""),"",IF($E2903&gt;=$AA2903,"×",IF($E2903&gt;=$AA2903*設定!$C$5,"△","○")))</f>
        <v/>
      </c>
      <c r="AC2903" s="15">
        <f>IF($AB2903="","",IF($AB2903="×",0,IF($AB2903="○",ROUNDDOWN($E2903*設定!$C$4,0),ROUNDDOWN($E2903*ROUND((9*$AA2903-9*$E2903)/(10*$E2903),4),0))))</f>
        <v/>
      </c>
      <c r="AD2903" s="13" t="n"/>
      <c r="AE2903" s="15">
        <f>IF($B2903="","",IF($AD2903&lt;&gt;"",$AD2903,IF($AC2903="","",IF($AC2903&lt;=設定!$C$3,0,$AC2903))))</f>
        <v/>
      </c>
      <c r="AF2903" s="14">
        <f>IF($B2903="","",IF(AND($AG2903&lt;&gt;"",$AI2903="",$AL2903=""),"保留中",IF($AL2903&lt;&gt;"",IF(N($AE2903)&gt;0,"支給済","不支給"),IF($AE2903="","要確認",IF($AE2903=0,"不支給","未処理")))))</f>
        <v/>
      </c>
      <c r="AG2903" s="12" t="n"/>
      <c r="AH2903" s="11" t="n"/>
      <c r="AI2903" s="11" t="n"/>
      <c r="AJ2903" s="11" t="n"/>
      <c r="AK2903" s="14">
        <f>IF(AND($AF2903="保留中",$AH2903&lt;&gt;""),TODAY()-$AH2903,"")</f>
        <v/>
      </c>
      <c r="AL2903" s="12" t="n"/>
      <c r="AM2903" s="14">
        <f>IF($B2903="","",IF($AQ2903="","対象年月が未入力／","")&amp;IF($B2903="","",IF($AP2903="","職員マスタに未登録の職員番号／",IF($AA2903="","標準報酬月額が未登録／","")&amp;IF(AND($AQ2903&lt;&gt;"",OR(AND(INDEX(職員マスタ!$G$6:$G$405,$AP2903)&lt;&gt;"",INDEX(職員マスタ!$G$6:$G$405,$AP2903)&gt;EOMONTH($AQ2903,0)),AND(INDEX(職員マスタ!$H$6:$H$405,$AP2903)&lt;&gt;"",INDEX(職員マスタ!$H$6:$H$405,$AP2903)&lt;$AQ2903))),"対象月が時短期間外／","")&amp;IF(AND(INDEX(職員マスタ!$K$6:$K$405,$AP2903)&lt;&gt;"",N($W2903)&gt;0,INDEX(職員マスタ!$K$6:$K$405,$AP2903)&lt;&gt;$W2903),"標準報酬月額が申請書と相違（台帳"&amp;TEXT(INDEX(職員マスタ!$K$6:$K$405,$AP2903),"#,##0")&amp;"円／申請書"&amp;TEXT($W2903,"#,##0")&amp;"円）／","")&amp;IF(AND(INDEX(職員マスタ!$F$6:$F$405,$AP2903)&lt;&gt;"",$AQ2903&lt;&gt;"",INDEX(職員マスタ!$F$6:$F$405,$AP2903)&lt;$AQ2903),"対象月に子が2歳到達済／","")&amp;IF(AND($H2903&lt;&gt;"",INDEX(職員マスタ!$B$6:$B$405,$AP2903)&lt;&gt;"",SUBSTITUTE(SUBSTITUTE($H2903," ","")," ","")&lt;&gt;SUBSTITUTE(SUBSTITUTE(INDEX(職員マスタ!$B$6:$B$405,$AP2903)," ","")," ","")),"氏名がマスタと相違／","")&amp;IF(AND($Q2903&lt;&gt;"",INDEX(職員マスタ!$E$6:$E$405,$AP2903)&lt;&gt;"",$Q2903&lt;&gt;INDEX(職員マスタ!$E$6:$E$405,$AP2903)),"子の生年月日がマスタと相違／","")&amp;IF(AND($L2903&lt;&gt;"",INDEX(職員マスタ!$G$6:$G$405,$AP2903)&lt;&gt;"",$L2903&lt;&gt;INDEX(職員マスタ!$G$6:$G$405,$AP2903)),"時短開始日がマスタと相違／","")&amp;IF(AND($M2903&lt;&gt;"",INDEX(職員マスタ!$H$6:$H$405,$AP2903)&lt;&gt;"",$M2903&lt;&gt;INDEX(職員マスタ!$H$6:$H$405,$AP2903)),"時短終了日がマスタと相違／","")))&amp;IF(AND($B2903&lt;&gt;"",$E2903=""),"報酬額が未入力／","")&amp;IF(N($U2903)&gt;0,"申請書に入力エラーが残っています／","")&amp;IF(AND($B2903&lt;&gt;"",$AQ2903&lt;&gt;""),IF(COUNTIFS($B$6:$B$3005,$B2903,$C$6:$C$3005,$C2903,$D$6:$D$3005,$D2903)&gt;1,"同じ月の請求が重複しています／",""),"")&amp;IF(AND(N($E2903)&gt;0,$AB2903&lt;&gt;"",$AB2903&lt;&gt;"×",$AE2903=0,$AD2903=""),"計算額が下限以下のため不支給／",""))</f>
        <v/>
      </c>
      <c r="AN2903" s="12" t="n"/>
      <c r="AO2903" s="14">
        <f>IF($AF2903="保留中",COUNTIF($AF$6:$AF2903,"保留中"),"")</f>
        <v/>
      </c>
      <c r="AP2903" s="14">
        <f>IF($AQ2903="","",IF(SUMPRODUCT(MAX((職員マスタ!$A$6:$A$405=$B2903)*(((職員マスタ!$G$6:$G$405="")+(職員マスタ!$G$6:$G$405&lt;=EOMONTH($AQ2903,0)))&gt;0)*(((職員マスタ!$H$6:$H$405="")+(職員マスタ!$H$6:$H$405&gt;=$AQ2903))&gt;0)*(ROW(職員マスタ!$A$6:$A$405)-5)))&gt;0,SUMPRODUCT(MAX((職員マスタ!$A$6:$A$405=$B2903)*(((職員マスタ!$G$6:$G$405="")+(職員マスタ!$G$6:$G$405&lt;=EOMONTH($AQ2903,0)))&gt;0)*(((職員マスタ!$H$6:$H$405="")+(職員マスタ!$H$6:$H$405&gt;=$AQ2903))&gt;0)*(ROW(職員マスタ!$A$6:$A$405)-5))),IFERROR(MATCH($B2903,職員マスタ!$A$6:$A$405,0),"")))</f>
        <v/>
      </c>
      <c r="AQ2903" s="16">
        <f>IF(OR($B2903="",$C2903="",$D2903=""),"",DATE($C2903+2018,$D2903,1))</f>
        <v/>
      </c>
    </row>
    <row r="2904">
      <c r="A2904" s="11" t="n"/>
      <c r="B2904" s="12" t="n"/>
      <c r="C2904" s="12" t="n"/>
      <c r="D2904" s="12" t="n"/>
      <c r="E2904" s="13" t="n"/>
      <c r="F2904" s="12" t="n"/>
      <c r="G2904" s="13" t="n"/>
      <c r="H2904" s="12" t="n"/>
      <c r="I2904" s="12" t="n"/>
      <c r="J2904" s="12" t="n"/>
      <c r="K2904" s="12" t="n"/>
      <c r="L2904" s="11" t="n"/>
      <c r="M2904" s="11" t="n"/>
      <c r="N2904" s="11" t="n"/>
      <c r="O2904" s="11" t="n"/>
      <c r="P2904" s="12" t="n"/>
      <c r="Q2904" s="11" t="n"/>
      <c r="R2904" s="12" t="n"/>
      <c r="S2904" s="11" t="n"/>
      <c r="T2904" s="12" t="n"/>
      <c r="U2904" s="12" t="n"/>
      <c r="V2904" s="12" t="n"/>
      <c r="W2904" s="13" t="n"/>
      <c r="X2904" s="14">
        <f>IF($AP2904="",IF($B2904="","",$H2904),IF(INDEX(職員マスタ!$B$6:$B$405,$AP2904)="",$H2904,INDEX(職員マスタ!$B$6:$B$405,$AP2904)))</f>
        <v/>
      </c>
      <c r="Y2904" s="14">
        <f>IF($AP2904="",IF($B2904="","",$R2904),IF(INDEX(職員マスタ!$C$6:$C$405,$AP2904)="",$R2904,INDEX(職員マスタ!$C$6:$C$405,$AP2904)))</f>
        <v/>
      </c>
      <c r="Z2904" s="14">
        <f>IF($AQ2904="","","R"&amp;$C2904&amp;"."&amp;$D2904)</f>
        <v/>
      </c>
      <c r="AA2904" s="15">
        <f>IF(IF($AP2904="",FALSE,INDEX(職員マスタ!$K$6:$K$405,$AP2904)&lt;&gt;""),INDEX(職員マスタ!$K$6:$K$405,$AP2904),IF(N($W2904)&gt;0,$W2904,""))</f>
        <v/>
      </c>
      <c r="AB2904" s="14">
        <f>IF(OR($E2904="",$AA2904=""),"",IF($E2904&gt;=$AA2904,"×",IF($E2904&gt;=$AA2904*設定!$C$5,"△","○")))</f>
        <v/>
      </c>
      <c r="AC2904" s="15">
        <f>IF($AB2904="","",IF($AB2904="×",0,IF($AB2904="○",ROUNDDOWN($E2904*設定!$C$4,0),ROUNDDOWN($E2904*ROUND((9*$AA2904-9*$E2904)/(10*$E2904),4),0))))</f>
        <v/>
      </c>
      <c r="AD2904" s="13" t="n"/>
      <c r="AE2904" s="15">
        <f>IF($B2904="","",IF($AD2904&lt;&gt;"",$AD2904,IF($AC2904="","",IF($AC2904&lt;=設定!$C$3,0,$AC2904))))</f>
        <v/>
      </c>
      <c r="AF2904" s="14">
        <f>IF($B2904="","",IF(AND($AG2904&lt;&gt;"",$AI2904="",$AL2904=""),"保留中",IF($AL2904&lt;&gt;"",IF(N($AE2904)&gt;0,"支給済","不支給"),IF($AE2904="","要確認",IF($AE2904=0,"不支給","未処理")))))</f>
        <v/>
      </c>
      <c r="AG2904" s="12" t="n"/>
      <c r="AH2904" s="11" t="n"/>
      <c r="AI2904" s="11" t="n"/>
      <c r="AJ2904" s="11" t="n"/>
      <c r="AK2904" s="14">
        <f>IF(AND($AF2904="保留中",$AH2904&lt;&gt;""),TODAY()-$AH2904,"")</f>
        <v/>
      </c>
      <c r="AL2904" s="12" t="n"/>
      <c r="AM2904" s="14">
        <f>IF($B2904="","",IF($AQ2904="","対象年月が未入力／","")&amp;IF($B2904="","",IF($AP2904="","職員マスタに未登録の職員番号／",IF($AA2904="","標準報酬月額が未登録／","")&amp;IF(AND($AQ2904&lt;&gt;"",OR(AND(INDEX(職員マスタ!$G$6:$G$405,$AP2904)&lt;&gt;"",INDEX(職員マスタ!$G$6:$G$405,$AP2904)&gt;EOMONTH($AQ2904,0)),AND(INDEX(職員マスタ!$H$6:$H$405,$AP2904)&lt;&gt;"",INDEX(職員マスタ!$H$6:$H$405,$AP2904)&lt;$AQ2904))),"対象月が時短期間外／","")&amp;IF(AND(INDEX(職員マスタ!$K$6:$K$405,$AP2904)&lt;&gt;"",N($W2904)&gt;0,INDEX(職員マスタ!$K$6:$K$405,$AP2904)&lt;&gt;$W2904),"標準報酬月額が申請書と相違（台帳"&amp;TEXT(INDEX(職員マスタ!$K$6:$K$405,$AP2904),"#,##0")&amp;"円／申請書"&amp;TEXT($W2904,"#,##0")&amp;"円）／","")&amp;IF(AND(INDEX(職員マスタ!$F$6:$F$405,$AP2904)&lt;&gt;"",$AQ2904&lt;&gt;"",INDEX(職員マスタ!$F$6:$F$405,$AP2904)&lt;$AQ2904),"対象月に子が2歳到達済／","")&amp;IF(AND($H2904&lt;&gt;"",INDEX(職員マスタ!$B$6:$B$405,$AP2904)&lt;&gt;"",SUBSTITUTE(SUBSTITUTE($H2904," ","")," ","")&lt;&gt;SUBSTITUTE(SUBSTITUTE(INDEX(職員マスタ!$B$6:$B$405,$AP2904)," ","")," ","")),"氏名がマスタと相違／","")&amp;IF(AND($Q2904&lt;&gt;"",INDEX(職員マスタ!$E$6:$E$405,$AP2904)&lt;&gt;"",$Q2904&lt;&gt;INDEX(職員マスタ!$E$6:$E$405,$AP2904)),"子の生年月日がマスタと相違／","")&amp;IF(AND($L2904&lt;&gt;"",INDEX(職員マスタ!$G$6:$G$405,$AP2904)&lt;&gt;"",$L2904&lt;&gt;INDEX(職員マスタ!$G$6:$G$405,$AP2904)),"時短開始日がマスタと相違／","")&amp;IF(AND($M2904&lt;&gt;"",INDEX(職員マスタ!$H$6:$H$405,$AP2904)&lt;&gt;"",$M2904&lt;&gt;INDEX(職員マスタ!$H$6:$H$405,$AP2904)),"時短終了日がマスタと相違／","")))&amp;IF(AND($B2904&lt;&gt;"",$E2904=""),"報酬額が未入力／","")&amp;IF(N($U2904)&gt;0,"申請書に入力エラーが残っています／","")&amp;IF(AND($B2904&lt;&gt;"",$AQ2904&lt;&gt;""),IF(COUNTIFS($B$6:$B$3005,$B2904,$C$6:$C$3005,$C2904,$D$6:$D$3005,$D2904)&gt;1,"同じ月の請求が重複しています／",""),"")&amp;IF(AND(N($E2904)&gt;0,$AB2904&lt;&gt;"",$AB2904&lt;&gt;"×",$AE2904=0,$AD2904=""),"計算額が下限以下のため不支給／",""))</f>
        <v/>
      </c>
      <c r="AN2904" s="12" t="n"/>
      <c r="AO2904" s="14">
        <f>IF($AF2904="保留中",COUNTIF($AF$6:$AF2904,"保留中"),"")</f>
        <v/>
      </c>
      <c r="AP2904" s="14">
        <f>IF($AQ2904="","",IF(SUMPRODUCT(MAX((職員マスタ!$A$6:$A$405=$B2904)*(((職員マスタ!$G$6:$G$405="")+(職員マスタ!$G$6:$G$405&lt;=EOMONTH($AQ2904,0)))&gt;0)*(((職員マスタ!$H$6:$H$405="")+(職員マスタ!$H$6:$H$405&gt;=$AQ2904))&gt;0)*(ROW(職員マスタ!$A$6:$A$405)-5)))&gt;0,SUMPRODUCT(MAX((職員マスタ!$A$6:$A$405=$B2904)*(((職員マスタ!$G$6:$G$405="")+(職員マスタ!$G$6:$G$405&lt;=EOMONTH($AQ2904,0)))&gt;0)*(((職員マスタ!$H$6:$H$405="")+(職員マスタ!$H$6:$H$405&gt;=$AQ2904))&gt;0)*(ROW(職員マスタ!$A$6:$A$405)-5))),IFERROR(MATCH($B2904,職員マスタ!$A$6:$A$405,0),"")))</f>
        <v/>
      </c>
      <c r="AQ2904" s="16">
        <f>IF(OR($B2904="",$C2904="",$D2904=""),"",DATE($C2904+2018,$D2904,1))</f>
        <v/>
      </c>
    </row>
    <row r="2905">
      <c r="A2905" s="11" t="n"/>
      <c r="B2905" s="12" t="n"/>
      <c r="C2905" s="12" t="n"/>
      <c r="D2905" s="12" t="n"/>
      <c r="E2905" s="13" t="n"/>
      <c r="F2905" s="12" t="n"/>
      <c r="G2905" s="13" t="n"/>
      <c r="H2905" s="12" t="n"/>
      <c r="I2905" s="12" t="n"/>
      <c r="J2905" s="12" t="n"/>
      <c r="K2905" s="12" t="n"/>
      <c r="L2905" s="11" t="n"/>
      <c r="M2905" s="11" t="n"/>
      <c r="N2905" s="11" t="n"/>
      <c r="O2905" s="11" t="n"/>
      <c r="P2905" s="12" t="n"/>
      <c r="Q2905" s="11" t="n"/>
      <c r="R2905" s="12" t="n"/>
      <c r="S2905" s="11" t="n"/>
      <c r="T2905" s="12" t="n"/>
      <c r="U2905" s="12" t="n"/>
      <c r="V2905" s="12" t="n"/>
      <c r="W2905" s="13" t="n"/>
      <c r="X2905" s="14">
        <f>IF($AP2905="",IF($B2905="","",$H2905),IF(INDEX(職員マスタ!$B$6:$B$405,$AP2905)="",$H2905,INDEX(職員マスタ!$B$6:$B$405,$AP2905)))</f>
        <v/>
      </c>
      <c r="Y2905" s="14">
        <f>IF($AP2905="",IF($B2905="","",$R2905),IF(INDEX(職員マスタ!$C$6:$C$405,$AP2905)="",$R2905,INDEX(職員マスタ!$C$6:$C$405,$AP2905)))</f>
        <v/>
      </c>
      <c r="Z2905" s="14">
        <f>IF($AQ2905="","","R"&amp;$C2905&amp;"."&amp;$D2905)</f>
        <v/>
      </c>
      <c r="AA2905" s="15">
        <f>IF(IF($AP2905="",FALSE,INDEX(職員マスタ!$K$6:$K$405,$AP2905)&lt;&gt;""),INDEX(職員マスタ!$K$6:$K$405,$AP2905),IF(N($W2905)&gt;0,$W2905,""))</f>
        <v/>
      </c>
      <c r="AB2905" s="14">
        <f>IF(OR($E2905="",$AA2905=""),"",IF($E2905&gt;=$AA2905,"×",IF($E2905&gt;=$AA2905*設定!$C$5,"△","○")))</f>
        <v/>
      </c>
      <c r="AC2905" s="15">
        <f>IF($AB2905="","",IF($AB2905="×",0,IF($AB2905="○",ROUNDDOWN($E2905*設定!$C$4,0),ROUNDDOWN($E2905*ROUND((9*$AA2905-9*$E2905)/(10*$E2905),4),0))))</f>
        <v/>
      </c>
      <c r="AD2905" s="13" t="n"/>
      <c r="AE2905" s="15">
        <f>IF($B2905="","",IF($AD2905&lt;&gt;"",$AD2905,IF($AC2905="","",IF($AC2905&lt;=設定!$C$3,0,$AC2905))))</f>
        <v/>
      </c>
      <c r="AF2905" s="14">
        <f>IF($B2905="","",IF(AND($AG2905&lt;&gt;"",$AI2905="",$AL2905=""),"保留中",IF($AL2905&lt;&gt;"",IF(N($AE2905)&gt;0,"支給済","不支給"),IF($AE2905="","要確認",IF($AE2905=0,"不支給","未処理")))))</f>
        <v/>
      </c>
      <c r="AG2905" s="12" t="n"/>
      <c r="AH2905" s="11" t="n"/>
      <c r="AI2905" s="11" t="n"/>
      <c r="AJ2905" s="11" t="n"/>
      <c r="AK2905" s="14">
        <f>IF(AND($AF2905="保留中",$AH2905&lt;&gt;""),TODAY()-$AH2905,"")</f>
        <v/>
      </c>
      <c r="AL2905" s="12" t="n"/>
      <c r="AM2905" s="14">
        <f>IF($B2905="","",IF($AQ2905="","対象年月が未入力／","")&amp;IF($B2905="","",IF($AP2905="","職員マスタに未登録の職員番号／",IF($AA2905="","標準報酬月額が未登録／","")&amp;IF(AND($AQ2905&lt;&gt;"",OR(AND(INDEX(職員マスタ!$G$6:$G$405,$AP2905)&lt;&gt;"",INDEX(職員マスタ!$G$6:$G$405,$AP2905)&gt;EOMONTH($AQ2905,0)),AND(INDEX(職員マスタ!$H$6:$H$405,$AP2905)&lt;&gt;"",INDEX(職員マスタ!$H$6:$H$405,$AP2905)&lt;$AQ2905))),"対象月が時短期間外／","")&amp;IF(AND(INDEX(職員マスタ!$K$6:$K$405,$AP2905)&lt;&gt;"",N($W2905)&gt;0,INDEX(職員マスタ!$K$6:$K$405,$AP2905)&lt;&gt;$W2905),"標準報酬月額が申請書と相違（台帳"&amp;TEXT(INDEX(職員マスタ!$K$6:$K$405,$AP2905),"#,##0")&amp;"円／申請書"&amp;TEXT($W2905,"#,##0")&amp;"円）／","")&amp;IF(AND(INDEX(職員マスタ!$F$6:$F$405,$AP2905)&lt;&gt;"",$AQ2905&lt;&gt;"",INDEX(職員マスタ!$F$6:$F$405,$AP2905)&lt;$AQ2905),"対象月に子が2歳到達済／","")&amp;IF(AND($H2905&lt;&gt;"",INDEX(職員マスタ!$B$6:$B$405,$AP2905)&lt;&gt;"",SUBSTITUTE(SUBSTITUTE($H2905," ","")," ","")&lt;&gt;SUBSTITUTE(SUBSTITUTE(INDEX(職員マスタ!$B$6:$B$405,$AP2905)," ","")," ","")),"氏名がマスタと相違／","")&amp;IF(AND($Q2905&lt;&gt;"",INDEX(職員マスタ!$E$6:$E$405,$AP2905)&lt;&gt;"",$Q2905&lt;&gt;INDEX(職員マスタ!$E$6:$E$405,$AP2905)),"子の生年月日がマスタと相違／","")&amp;IF(AND($L2905&lt;&gt;"",INDEX(職員マスタ!$G$6:$G$405,$AP2905)&lt;&gt;"",$L2905&lt;&gt;INDEX(職員マスタ!$G$6:$G$405,$AP2905)),"時短開始日がマスタと相違／","")&amp;IF(AND($M2905&lt;&gt;"",INDEX(職員マスタ!$H$6:$H$405,$AP2905)&lt;&gt;"",$M2905&lt;&gt;INDEX(職員マスタ!$H$6:$H$405,$AP2905)),"時短終了日がマスタと相違／","")))&amp;IF(AND($B2905&lt;&gt;"",$E2905=""),"報酬額が未入力／","")&amp;IF(N($U2905)&gt;0,"申請書に入力エラーが残っています／","")&amp;IF(AND($B2905&lt;&gt;"",$AQ2905&lt;&gt;""),IF(COUNTIFS($B$6:$B$3005,$B2905,$C$6:$C$3005,$C2905,$D$6:$D$3005,$D2905)&gt;1,"同じ月の請求が重複しています／",""),"")&amp;IF(AND(N($E2905)&gt;0,$AB2905&lt;&gt;"",$AB2905&lt;&gt;"×",$AE2905=0,$AD2905=""),"計算額が下限以下のため不支給／",""))</f>
        <v/>
      </c>
      <c r="AN2905" s="12" t="n"/>
      <c r="AO2905" s="14">
        <f>IF($AF2905="保留中",COUNTIF($AF$6:$AF2905,"保留中"),"")</f>
        <v/>
      </c>
      <c r="AP2905" s="14">
        <f>IF($AQ2905="","",IF(SUMPRODUCT(MAX((職員マスタ!$A$6:$A$405=$B2905)*(((職員マスタ!$G$6:$G$405="")+(職員マスタ!$G$6:$G$405&lt;=EOMONTH($AQ2905,0)))&gt;0)*(((職員マスタ!$H$6:$H$405="")+(職員マスタ!$H$6:$H$405&gt;=$AQ2905))&gt;0)*(ROW(職員マスタ!$A$6:$A$405)-5)))&gt;0,SUMPRODUCT(MAX((職員マスタ!$A$6:$A$405=$B2905)*(((職員マスタ!$G$6:$G$405="")+(職員マスタ!$G$6:$G$405&lt;=EOMONTH($AQ2905,0)))&gt;0)*(((職員マスタ!$H$6:$H$405="")+(職員マスタ!$H$6:$H$405&gt;=$AQ2905))&gt;0)*(ROW(職員マスタ!$A$6:$A$405)-5))),IFERROR(MATCH($B2905,職員マスタ!$A$6:$A$405,0),"")))</f>
        <v/>
      </c>
      <c r="AQ2905" s="16">
        <f>IF(OR($B2905="",$C2905="",$D2905=""),"",DATE($C2905+2018,$D2905,1))</f>
        <v/>
      </c>
    </row>
    <row r="2906">
      <c r="A2906" s="11" t="n"/>
      <c r="B2906" s="12" t="n"/>
      <c r="C2906" s="12" t="n"/>
      <c r="D2906" s="12" t="n"/>
      <c r="E2906" s="13" t="n"/>
      <c r="F2906" s="12" t="n"/>
      <c r="G2906" s="13" t="n"/>
      <c r="H2906" s="12" t="n"/>
      <c r="I2906" s="12" t="n"/>
      <c r="J2906" s="12" t="n"/>
      <c r="K2906" s="12" t="n"/>
      <c r="L2906" s="11" t="n"/>
      <c r="M2906" s="11" t="n"/>
      <c r="N2906" s="11" t="n"/>
      <c r="O2906" s="11" t="n"/>
      <c r="P2906" s="12" t="n"/>
      <c r="Q2906" s="11" t="n"/>
      <c r="R2906" s="12" t="n"/>
      <c r="S2906" s="11" t="n"/>
      <c r="T2906" s="12" t="n"/>
      <c r="U2906" s="12" t="n"/>
      <c r="V2906" s="12" t="n"/>
      <c r="W2906" s="13" t="n"/>
      <c r="X2906" s="14">
        <f>IF($AP2906="",IF($B2906="","",$H2906),IF(INDEX(職員マスタ!$B$6:$B$405,$AP2906)="",$H2906,INDEX(職員マスタ!$B$6:$B$405,$AP2906)))</f>
        <v/>
      </c>
      <c r="Y2906" s="14">
        <f>IF($AP2906="",IF($B2906="","",$R2906),IF(INDEX(職員マスタ!$C$6:$C$405,$AP2906)="",$R2906,INDEX(職員マスタ!$C$6:$C$405,$AP2906)))</f>
        <v/>
      </c>
      <c r="Z2906" s="14">
        <f>IF($AQ2906="","","R"&amp;$C2906&amp;"."&amp;$D2906)</f>
        <v/>
      </c>
      <c r="AA2906" s="15">
        <f>IF(IF($AP2906="",FALSE,INDEX(職員マスタ!$K$6:$K$405,$AP2906)&lt;&gt;""),INDEX(職員マスタ!$K$6:$K$405,$AP2906),IF(N($W2906)&gt;0,$W2906,""))</f>
        <v/>
      </c>
      <c r="AB2906" s="14">
        <f>IF(OR($E2906="",$AA2906=""),"",IF($E2906&gt;=$AA2906,"×",IF($E2906&gt;=$AA2906*設定!$C$5,"△","○")))</f>
        <v/>
      </c>
      <c r="AC2906" s="15">
        <f>IF($AB2906="","",IF($AB2906="×",0,IF($AB2906="○",ROUNDDOWN($E2906*設定!$C$4,0),ROUNDDOWN($E2906*ROUND((9*$AA2906-9*$E2906)/(10*$E2906),4),0))))</f>
        <v/>
      </c>
      <c r="AD2906" s="13" t="n"/>
      <c r="AE2906" s="15">
        <f>IF($B2906="","",IF($AD2906&lt;&gt;"",$AD2906,IF($AC2906="","",IF($AC2906&lt;=設定!$C$3,0,$AC2906))))</f>
        <v/>
      </c>
      <c r="AF2906" s="14">
        <f>IF($B2906="","",IF(AND($AG2906&lt;&gt;"",$AI2906="",$AL2906=""),"保留中",IF($AL2906&lt;&gt;"",IF(N($AE2906)&gt;0,"支給済","不支給"),IF($AE2906="","要確認",IF($AE2906=0,"不支給","未処理")))))</f>
        <v/>
      </c>
      <c r="AG2906" s="12" t="n"/>
      <c r="AH2906" s="11" t="n"/>
      <c r="AI2906" s="11" t="n"/>
      <c r="AJ2906" s="11" t="n"/>
      <c r="AK2906" s="14">
        <f>IF(AND($AF2906="保留中",$AH2906&lt;&gt;""),TODAY()-$AH2906,"")</f>
        <v/>
      </c>
      <c r="AL2906" s="12" t="n"/>
      <c r="AM2906" s="14">
        <f>IF($B2906="","",IF($AQ2906="","対象年月が未入力／","")&amp;IF($B2906="","",IF($AP2906="","職員マスタに未登録の職員番号／",IF($AA2906="","標準報酬月額が未登録／","")&amp;IF(AND($AQ2906&lt;&gt;"",OR(AND(INDEX(職員マスタ!$G$6:$G$405,$AP2906)&lt;&gt;"",INDEX(職員マスタ!$G$6:$G$405,$AP2906)&gt;EOMONTH($AQ2906,0)),AND(INDEX(職員マスタ!$H$6:$H$405,$AP2906)&lt;&gt;"",INDEX(職員マスタ!$H$6:$H$405,$AP2906)&lt;$AQ2906))),"対象月が時短期間外／","")&amp;IF(AND(INDEX(職員マスタ!$K$6:$K$405,$AP2906)&lt;&gt;"",N($W2906)&gt;0,INDEX(職員マスタ!$K$6:$K$405,$AP2906)&lt;&gt;$W2906),"標準報酬月額が申請書と相違（台帳"&amp;TEXT(INDEX(職員マスタ!$K$6:$K$405,$AP2906),"#,##0")&amp;"円／申請書"&amp;TEXT($W2906,"#,##0")&amp;"円）／","")&amp;IF(AND(INDEX(職員マスタ!$F$6:$F$405,$AP2906)&lt;&gt;"",$AQ2906&lt;&gt;"",INDEX(職員マスタ!$F$6:$F$405,$AP2906)&lt;$AQ2906),"対象月に子が2歳到達済／","")&amp;IF(AND($H2906&lt;&gt;"",INDEX(職員マスタ!$B$6:$B$405,$AP2906)&lt;&gt;"",SUBSTITUTE(SUBSTITUTE($H2906," ","")," ","")&lt;&gt;SUBSTITUTE(SUBSTITUTE(INDEX(職員マスタ!$B$6:$B$405,$AP2906)," ","")," ","")),"氏名がマスタと相違／","")&amp;IF(AND($Q2906&lt;&gt;"",INDEX(職員マスタ!$E$6:$E$405,$AP2906)&lt;&gt;"",$Q2906&lt;&gt;INDEX(職員マスタ!$E$6:$E$405,$AP2906)),"子の生年月日がマスタと相違／","")&amp;IF(AND($L2906&lt;&gt;"",INDEX(職員マスタ!$G$6:$G$405,$AP2906)&lt;&gt;"",$L2906&lt;&gt;INDEX(職員マスタ!$G$6:$G$405,$AP2906)),"時短開始日がマスタと相違／","")&amp;IF(AND($M2906&lt;&gt;"",INDEX(職員マスタ!$H$6:$H$405,$AP2906)&lt;&gt;"",$M2906&lt;&gt;INDEX(職員マスタ!$H$6:$H$405,$AP2906)),"時短終了日がマスタと相違／","")))&amp;IF(AND($B2906&lt;&gt;"",$E2906=""),"報酬額が未入力／","")&amp;IF(N($U2906)&gt;0,"申請書に入力エラーが残っています／","")&amp;IF(AND($B2906&lt;&gt;"",$AQ2906&lt;&gt;""),IF(COUNTIFS($B$6:$B$3005,$B2906,$C$6:$C$3005,$C2906,$D$6:$D$3005,$D2906)&gt;1,"同じ月の請求が重複しています／",""),"")&amp;IF(AND(N($E2906)&gt;0,$AB2906&lt;&gt;"",$AB2906&lt;&gt;"×",$AE2906=0,$AD2906=""),"計算額が下限以下のため不支給／",""))</f>
        <v/>
      </c>
      <c r="AN2906" s="12" t="n"/>
      <c r="AO2906" s="14">
        <f>IF($AF2906="保留中",COUNTIF($AF$6:$AF2906,"保留中"),"")</f>
        <v/>
      </c>
      <c r="AP2906" s="14">
        <f>IF($AQ2906="","",IF(SUMPRODUCT(MAX((職員マスタ!$A$6:$A$405=$B2906)*(((職員マスタ!$G$6:$G$405="")+(職員マスタ!$G$6:$G$405&lt;=EOMONTH($AQ2906,0)))&gt;0)*(((職員マスタ!$H$6:$H$405="")+(職員マスタ!$H$6:$H$405&gt;=$AQ2906))&gt;0)*(ROW(職員マスタ!$A$6:$A$405)-5)))&gt;0,SUMPRODUCT(MAX((職員マスタ!$A$6:$A$405=$B2906)*(((職員マスタ!$G$6:$G$405="")+(職員マスタ!$G$6:$G$405&lt;=EOMONTH($AQ2906,0)))&gt;0)*(((職員マスタ!$H$6:$H$405="")+(職員マスタ!$H$6:$H$405&gt;=$AQ2906))&gt;0)*(ROW(職員マスタ!$A$6:$A$405)-5))),IFERROR(MATCH($B2906,職員マスタ!$A$6:$A$405,0),"")))</f>
        <v/>
      </c>
      <c r="AQ2906" s="16">
        <f>IF(OR($B2906="",$C2906="",$D2906=""),"",DATE($C2906+2018,$D2906,1))</f>
        <v/>
      </c>
    </row>
    <row r="2907">
      <c r="A2907" s="11" t="n"/>
      <c r="B2907" s="12" t="n"/>
      <c r="C2907" s="12" t="n"/>
      <c r="D2907" s="12" t="n"/>
      <c r="E2907" s="13" t="n"/>
      <c r="F2907" s="12" t="n"/>
      <c r="G2907" s="13" t="n"/>
      <c r="H2907" s="12" t="n"/>
      <c r="I2907" s="12" t="n"/>
      <c r="J2907" s="12" t="n"/>
      <c r="K2907" s="12" t="n"/>
      <c r="L2907" s="11" t="n"/>
      <c r="M2907" s="11" t="n"/>
      <c r="N2907" s="11" t="n"/>
      <c r="O2907" s="11" t="n"/>
      <c r="P2907" s="12" t="n"/>
      <c r="Q2907" s="11" t="n"/>
      <c r="R2907" s="12" t="n"/>
      <c r="S2907" s="11" t="n"/>
      <c r="T2907" s="12" t="n"/>
      <c r="U2907" s="12" t="n"/>
      <c r="V2907" s="12" t="n"/>
      <c r="W2907" s="13" t="n"/>
      <c r="X2907" s="14">
        <f>IF($AP2907="",IF($B2907="","",$H2907),IF(INDEX(職員マスタ!$B$6:$B$405,$AP2907)="",$H2907,INDEX(職員マスタ!$B$6:$B$405,$AP2907)))</f>
        <v/>
      </c>
      <c r="Y2907" s="14">
        <f>IF($AP2907="",IF($B2907="","",$R2907),IF(INDEX(職員マスタ!$C$6:$C$405,$AP2907)="",$R2907,INDEX(職員マスタ!$C$6:$C$405,$AP2907)))</f>
        <v/>
      </c>
      <c r="Z2907" s="14">
        <f>IF($AQ2907="","","R"&amp;$C2907&amp;"."&amp;$D2907)</f>
        <v/>
      </c>
      <c r="AA2907" s="15">
        <f>IF(IF($AP2907="",FALSE,INDEX(職員マスタ!$K$6:$K$405,$AP2907)&lt;&gt;""),INDEX(職員マスタ!$K$6:$K$405,$AP2907),IF(N($W2907)&gt;0,$W2907,""))</f>
        <v/>
      </c>
      <c r="AB2907" s="14">
        <f>IF(OR($E2907="",$AA2907=""),"",IF($E2907&gt;=$AA2907,"×",IF($E2907&gt;=$AA2907*設定!$C$5,"△","○")))</f>
        <v/>
      </c>
      <c r="AC2907" s="15">
        <f>IF($AB2907="","",IF($AB2907="×",0,IF($AB2907="○",ROUNDDOWN($E2907*設定!$C$4,0),ROUNDDOWN($E2907*ROUND((9*$AA2907-9*$E2907)/(10*$E2907),4),0))))</f>
        <v/>
      </c>
      <c r="AD2907" s="13" t="n"/>
      <c r="AE2907" s="15">
        <f>IF($B2907="","",IF($AD2907&lt;&gt;"",$AD2907,IF($AC2907="","",IF($AC2907&lt;=設定!$C$3,0,$AC2907))))</f>
        <v/>
      </c>
      <c r="AF2907" s="14">
        <f>IF($B2907="","",IF(AND($AG2907&lt;&gt;"",$AI2907="",$AL2907=""),"保留中",IF($AL2907&lt;&gt;"",IF(N($AE2907)&gt;0,"支給済","不支給"),IF($AE2907="","要確認",IF($AE2907=0,"不支給","未処理")))))</f>
        <v/>
      </c>
      <c r="AG2907" s="12" t="n"/>
      <c r="AH2907" s="11" t="n"/>
      <c r="AI2907" s="11" t="n"/>
      <c r="AJ2907" s="11" t="n"/>
      <c r="AK2907" s="14">
        <f>IF(AND($AF2907="保留中",$AH2907&lt;&gt;""),TODAY()-$AH2907,"")</f>
        <v/>
      </c>
      <c r="AL2907" s="12" t="n"/>
      <c r="AM2907" s="14">
        <f>IF($B2907="","",IF($AQ2907="","対象年月が未入力／","")&amp;IF($B2907="","",IF($AP2907="","職員マスタに未登録の職員番号／",IF($AA2907="","標準報酬月額が未登録／","")&amp;IF(AND($AQ2907&lt;&gt;"",OR(AND(INDEX(職員マスタ!$G$6:$G$405,$AP2907)&lt;&gt;"",INDEX(職員マスタ!$G$6:$G$405,$AP2907)&gt;EOMONTH($AQ2907,0)),AND(INDEX(職員マスタ!$H$6:$H$405,$AP2907)&lt;&gt;"",INDEX(職員マスタ!$H$6:$H$405,$AP2907)&lt;$AQ2907))),"対象月が時短期間外／","")&amp;IF(AND(INDEX(職員マスタ!$K$6:$K$405,$AP2907)&lt;&gt;"",N($W2907)&gt;0,INDEX(職員マスタ!$K$6:$K$405,$AP2907)&lt;&gt;$W2907),"標準報酬月額が申請書と相違（台帳"&amp;TEXT(INDEX(職員マスタ!$K$6:$K$405,$AP2907),"#,##0")&amp;"円／申請書"&amp;TEXT($W2907,"#,##0")&amp;"円）／","")&amp;IF(AND(INDEX(職員マスタ!$F$6:$F$405,$AP2907)&lt;&gt;"",$AQ2907&lt;&gt;"",INDEX(職員マスタ!$F$6:$F$405,$AP2907)&lt;$AQ2907),"対象月に子が2歳到達済／","")&amp;IF(AND($H2907&lt;&gt;"",INDEX(職員マスタ!$B$6:$B$405,$AP2907)&lt;&gt;"",SUBSTITUTE(SUBSTITUTE($H2907," ","")," ","")&lt;&gt;SUBSTITUTE(SUBSTITUTE(INDEX(職員マスタ!$B$6:$B$405,$AP2907)," ","")," ","")),"氏名がマスタと相違／","")&amp;IF(AND($Q2907&lt;&gt;"",INDEX(職員マスタ!$E$6:$E$405,$AP2907)&lt;&gt;"",$Q2907&lt;&gt;INDEX(職員マスタ!$E$6:$E$405,$AP2907)),"子の生年月日がマスタと相違／","")&amp;IF(AND($L2907&lt;&gt;"",INDEX(職員マスタ!$G$6:$G$405,$AP2907)&lt;&gt;"",$L2907&lt;&gt;INDEX(職員マスタ!$G$6:$G$405,$AP2907)),"時短開始日がマスタと相違／","")&amp;IF(AND($M2907&lt;&gt;"",INDEX(職員マスタ!$H$6:$H$405,$AP2907)&lt;&gt;"",$M2907&lt;&gt;INDEX(職員マスタ!$H$6:$H$405,$AP2907)),"時短終了日がマスタと相違／","")))&amp;IF(AND($B2907&lt;&gt;"",$E2907=""),"報酬額が未入力／","")&amp;IF(N($U2907)&gt;0,"申請書に入力エラーが残っています／","")&amp;IF(AND($B2907&lt;&gt;"",$AQ2907&lt;&gt;""),IF(COUNTIFS($B$6:$B$3005,$B2907,$C$6:$C$3005,$C2907,$D$6:$D$3005,$D2907)&gt;1,"同じ月の請求が重複しています／",""),"")&amp;IF(AND(N($E2907)&gt;0,$AB2907&lt;&gt;"",$AB2907&lt;&gt;"×",$AE2907=0,$AD2907=""),"計算額が下限以下のため不支給／",""))</f>
        <v/>
      </c>
      <c r="AN2907" s="12" t="n"/>
      <c r="AO2907" s="14">
        <f>IF($AF2907="保留中",COUNTIF($AF$6:$AF2907,"保留中"),"")</f>
        <v/>
      </c>
      <c r="AP2907" s="14">
        <f>IF($AQ2907="","",IF(SUMPRODUCT(MAX((職員マスタ!$A$6:$A$405=$B2907)*(((職員マスタ!$G$6:$G$405="")+(職員マスタ!$G$6:$G$405&lt;=EOMONTH($AQ2907,0)))&gt;0)*(((職員マスタ!$H$6:$H$405="")+(職員マスタ!$H$6:$H$405&gt;=$AQ2907))&gt;0)*(ROW(職員マスタ!$A$6:$A$405)-5)))&gt;0,SUMPRODUCT(MAX((職員マスタ!$A$6:$A$405=$B2907)*(((職員マスタ!$G$6:$G$405="")+(職員マスタ!$G$6:$G$405&lt;=EOMONTH($AQ2907,0)))&gt;0)*(((職員マスタ!$H$6:$H$405="")+(職員マスタ!$H$6:$H$405&gt;=$AQ2907))&gt;0)*(ROW(職員マスタ!$A$6:$A$405)-5))),IFERROR(MATCH($B2907,職員マスタ!$A$6:$A$405,0),"")))</f>
        <v/>
      </c>
      <c r="AQ2907" s="16">
        <f>IF(OR($B2907="",$C2907="",$D2907=""),"",DATE($C2907+2018,$D2907,1))</f>
        <v/>
      </c>
    </row>
    <row r="2908">
      <c r="A2908" s="11" t="n"/>
      <c r="B2908" s="12" t="n"/>
      <c r="C2908" s="12" t="n"/>
      <c r="D2908" s="12" t="n"/>
      <c r="E2908" s="13" t="n"/>
      <c r="F2908" s="12" t="n"/>
      <c r="G2908" s="13" t="n"/>
      <c r="H2908" s="12" t="n"/>
      <c r="I2908" s="12" t="n"/>
      <c r="J2908" s="12" t="n"/>
      <c r="K2908" s="12" t="n"/>
      <c r="L2908" s="11" t="n"/>
      <c r="M2908" s="11" t="n"/>
      <c r="N2908" s="11" t="n"/>
      <c r="O2908" s="11" t="n"/>
      <c r="P2908" s="12" t="n"/>
      <c r="Q2908" s="11" t="n"/>
      <c r="R2908" s="12" t="n"/>
      <c r="S2908" s="11" t="n"/>
      <c r="T2908" s="12" t="n"/>
      <c r="U2908" s="12" t="n"/>
      <c r="V2908" s="12" t="n"/>
      <c r="W2908" s="13" t="n"/>
      <c r="X2908" s="14">
        <f>IF($AP2908="",IF($B2908="","",$H2908),IF(INDEX(職員マスタ!$B$6:$B$405,$AP2908)="",$H2908,INDEX(職員マスタ!$B$6:$B$405,$AP2908)))</f>
        <v/>
      </c>
      <c r="Y2908" s="14">
        <f>IF($AP2908="",IF($B2908="","",$R2908),IF(INDEX(職員マスタ!$C$6:$C$405,$AP2908)="",$R2908,INDEX(職員マスタ!$C$6:$C$405,$AP2908)))</f>
        <v/>
      </c>
      <c r="Z2908" s="14">
        <f>IF($AQ2908="","","R"&amp;$C2908&amp;"."&amp;$D2908)</f>
        <v/>
      </c>
      <c r="AA2908" s="15">
        <f>IF(IF($AP2908="",FALSE,INDEX(職員マスタ!$K$6:$K$405,$AP2908)&lt;&gt;""),INDEX(職員マスタ!$K$6:$K$405,$AP2908),IF(N($W2908)&gt;0,$W2908,""))</f>
        <v/>
      </c>
      <c r="AB2908" s="14">
        <f>IF(OR($E2908="",$AA2908=""),"",IF($E2908&gt;=$AA2908,"×",IF($E2908&gt;=$AA2908*設定!$C$5,"△","○")))</f>
        <v/>
      </c>
      <c r="AC2908" s="15">
        <f>IF($AB2908="","",IF($AB2908="×",0,IF($AB2908="○",ROUNDDOWN($E2908*設定!$C$4,0),ROUNDDOWN($E2908*ROUND((9*$AA2908-9*$E2908)/(10*$E2908),4),0))))</f>
        <v/>
      </c>
      <c r="AD2908" s="13" t="n"/>
      <c r="AE2908" s="15">
        <f>IF($B2908="","",IF($AD2908&lt;&gt;"",$AD2908,IF($AC2908="","",IF($AC2908&lt;=設定!$C$3,0,$AC2908))))</f>
        <v/>
      </c>
      <c r="AF2908" s="14">
        <f>IF($B2908="","",IF(AND($AG2908&lt;&gt;"",$AI2908="",$AL2908=""),"保留中",IF($AL2908&lt;&gt;"",IF(N($AE2908)&gt;0,"支給済","不支給"),IF($AE2908="","要確認",IF($AE2908=0,"不支給","未処理")))))</f>
        <v/>
      </c>
      <c r="AG2908" s="12" t="n"/>
      <c r="AH2908" s="11" t="n"/>
      <c r="AI2908" s="11" t="n"/>
      <c r="AJ2908" s="11" t="n"/>
      <c r="AK2908" s="14">
        <f>IF(AND($AF2908="保留中",$AH2908&lt;&gt;""),TODAY()-$AH2908,"")</f>
        <v/>
      </c>
      <c r="AL2908" s="12" t="n"/>
      <c r="AM2908" s="14">
        <f>IF($B2908="","",IF($AQ2908="","対象年月が未入力／","")&amp;IF($B2908="","",IF($AP2908="","職員マスタに未登録の職員番号／",IF($AA2908="","標準報酬月額が未登録／","")&amp;IF(AND($AQ2908&lt;&gt;"",OR(AND(INDEX(職員マスタ!$G$6:$G$405,$AP2908)&lt;&gt;"",INDEX(職員マスタ!$G$6:$G$405,$AP2908)&gt;EOMONTH($AQ2908,0)),AND(INDEX(職員マスタ!$H$6:$H$405,$AP2908)&lt;&gt;"",INDEX(職員マスタ!$H$6:$H$405,$AP2908)&lt;$AQ2908))),"対象月が時短期間外／","")&amp;IF(AND(INDEX(職員マスタ!$K$6:$K$405,$AP2908)&lt;&gt;"",N($W2908)&gt;0,INDEX(職員マスタ!$K$6:$K$405,$AP2908)&lt;&gt;$W2908),"標準報酬月額が申請書と相違（台帳"&amp;TEXT(INDEX(職員マスタ!$K$6:$K$405,$AP2908),"#,##0")&amp;"円／申請書"&amp;TEXT($W2908,"#,##0")&amp;"円）／","")&amp;IF(AND(INDEX(職員マスタ!$F$6:$F$405,$AP2908)&lt;&gt;"",$AQ2908&lt;&gt;"",INDEX(職員マスタ!$F$6:$F$405,$AP2908)&lt;$AQ2908),"対象月に子が2歳到達済／","")&amp;IF(AND($H2908&lt;&gt;"",INDEX(職員マスタ!$B$6:$B$405,$AP2908)&lt;&gt;"",SUBSTITUTE(SUBSTITUTE($H2908," ","")," ","")&lt;&gt;SUBSTITUTE(SUBSTITUTE(INDEX(職員マスタ!$B$6:$B$405,$AP2908)," ","")," ","")),"氏名がマスタと相違／","")&amp;IF(AND($Q2908&lt;&gt;"",INDEX(職員マスタ!$E$6:$E$405,$AP2908)&lt;&gt;"",$Q2908&lt;&gt;INDEX(職員マスタ!$E$6:$E$405,$AP2908)),"子の生年月日がマスタと相違／","")&amp;IF(AND($L2908&lt;&gt;"",INDEX(職員マスタ!$G$6:$G$405,$AP2908)&lt;&gt;"",$L2908&lt;&gt;INDEX(職員マスタ!$G$6:$G$405,$AP2908)),"時短開始日がマスタと相違／","")&amp;IF(AND($M2908&lt;&gt;"",INDEX(職員マスタ!$H$6:$H$405,$AP2908)&lt;&gt;"",$M2908&lt;&gt;INDEX(職員マスタ!$H$6:$H$405,$AP2908)),"時短終了日がマスタと相違／","")))&amp;IF(AND($B2908&lt;&gt;"",$E2908=""),"報酬額が未入力／","")&amp;IF(N($U2908)&gt;0,"申請書に入力エラーが残っています／","")&amp;IF(AND($B2908&lt;&gt;"",$AQ2908&lt;&gt;""),IF(COUNTIFS($B$6:$B$3005,$B2908,$C$6:$C$3005,$C2908,$D$6:$D$3005,$D2908)&gt;1,"同じ月の請求が重複しています／",""),"")&amp;IF(AND(N($E2908)&gt;0,$AB2908&lt;&gt;"",$AB2908&lt;&gt;"×",$AE2908=0,$AD2908=""),"計算額が下限以下のため不支給／",""))</f>
        <v/>
      </c>
      <c r="AN2908" s="12" t="n"/>
      <c r="AO2908" s="14">
        <f>IF($AF2908="保留中",COUNTIF($AF$6:$AF2908,"保留中"),"")</f>
        <v/>
      </c>
      <c r="AP2908" s="14">
        <f>IF($AQ2908="","",IF(SUMPRODUCT(MAX((職員マスタ!$A$6:$A$405=$B2908)*(((職員マスタ!$G$6:$G$405="")+(職員マスタ!$G$6:$G$405&lt;=EOMONTH($AQ2908,0)))&gt;0)*(((職員マスタ!$H$6:$H$405="")+(職員マスタ!$H$6:$H$405&gt;=$AQ2908))&gt;0)*(ROW(職員マスタ!$A$6:$A$405)-5)))&gt;0,SUMPRODUCT(MAX((職員マスタ!$A$6:$A$405=$B2908)*(((職員マスタ!$G$6:$G$405="")+(職員マスタ!$G$6:$G$405&lt;=EOMONTH($AQ2908,0)))&gt;0)*(((職員マスタ!$H$6:$H$405="")+(職員マスタ!$H$6:$H$405&gt;=$AQ2908))&gt;0)*(ROW(職員マスタ!$A$6:$A$405)-5))),IFERROR(MATCH($B2908,職員マスタ!$A$6:$A$405,0),"")))</f>
        <v/>
      </c>
      <c r="AQ2908" s="16">
        <f>IF(OR($B2908="",$C2908="",$D2908=""),"",DATE($C2908+2018,$D2908,1))</f>
        <v/>
      </c>
    </row>
    <row r="2909">
      <c r="A2909" s="11" t="n"/>
      <c r="B2909" s="12" t="n"/>
      <c r="C2909" s="12" t="n"/>
      <c r="D2909" s="12" t="n"/>
      <c r="E2909" s="13" t="n"/>
      <c r="F2909" s="12" t="n"/>
      <c r="G2909" s="13" t="n"/>
      <c r="H2909" s="12" t="n"/>
      <c r="I2909" s="12" t="n"/>
      <c r="J2909" s="12" t="n"/>
      <c r="K2909" s="12" t="n"/>
      <c r="L2909" s="11" t="n"/>
      <c r="M2909" s="11" t="n"/>
      <c r="N2909" s="11" t="n"/>
      <c r="O2909" s="11" t="n"/>
      <c r="P2909" s="12" t="n"/>
      <c r="Q2909" s="11" t="n"/>
      <c r="R2909" s="12" t="n"/>
      <c r="S2909" s="11" t="n"/>
      <c r="T2909" s="12" t="n"/>
      <c r="U2909" s="12" t="n"/>
      <c r="V2909" s="12" t="n"/>
      <c r="W2909" s="13" t="n"/>
      <c r="X2909" s="14">
        <f>IF($AP2909="",IF($B2909="","",$H2909),IF(INDEX(職員マスタ!$B$6:$B$405,$AP2909)="",$H2909,INDEX(職員マスタ!$B$6:$B$405,$AP2909)))</f>
        <v/>
      </c>
      <c r="Y2909" s="14">
        <f>IF($AP2909="",IF($B2909="","",$R2909),IF(INDEX(職員マスタ!$C$6:$C$405,$AP2909)="",$R2909,INDEX(職員マスタ!$C$6:$C$405,$AP2909)))</f>
        <v/>
      </c>
      <c r="Z2909" s="14">
        <f>IF($AQ2909="","","R"&amp;$C2909&amp;"."&amp;$D2909)</f>
        <v/>
      </c>
      <c r="AA2909" s="15">
        <f>IF(IF($AP2909="",FALSE,INDEX(職員マスタ!$K$6:$K$405,$AP2909)&lt;&gt;""),INDEX(職員マスタ!$K$6:$K$405,$AP2909),IF(N($W2909)&gt;0,$W2909,""))</f>
        <v/>
      </c>
      <c r="AB2909" s="14">
        <f>IF(OR($E2909="",$AA2909=""),"",IF($E2909&gt;=$AA2909,"×",IF($E2909&gt;=$AA2909*設定!$C$5,"△","○")))</f>
        <v/>
      </c>
      <c r="AC2909" s="15">
        <f>IF($AB2909="","",IF($AB2909="×",0,IF($AB2909="○",ROUNDDOWN($E2909*設定!$C$4,0),ROUNDDOWN($E2909*ROUND((9*$AA2909-9*$E2909)/(10*$E2909),4),0))))</f>
        <v/>
      </c>
      <c r="AD2909" s="13" t="n"/>
      <c r="AE2909" s="15">
        <f>IF($B2909="","",IF($AD2909&lt;&gt;"",$AD2909,IF($AC2909="","",IF($AC2909&lt;=設定!$C$3,0,$AC2909))))</f>
        <v/>
      </c>
      <c r="AF2909" s="14">
        <f>IF($B2909="","",IF(AND($AG2909&lt;&gt;"",$AI2909="",$AL2909=""),"保留中",IF($AL2909&lt;&gt;"",IF(N($AE2909)&gt;0,"支給済","不支給"),IF($AE2909="","要確認",IF($AE2909=0,"不支給","未処理")))))</f>
        <v/>
      </c>
      <c r="AG2909" s="12" t="n"/>
      <c r="AH2909" s="11" t="n"/>
      <c r="AI2909" s="11" t="n"/>
      <c r="AJ2909" s="11" t="n"/>
      <c r="AK2909" s="14">
        <f>IF(AND($AF2909="保留中",$AH2909&lt;&gt;""),TODAY()-$AH2909,"")</f>
        <v/>
      </c>
      <c r="AL2909" s="12" t="n"/>
      <c r="AM2909" s="14">
        <f>IF($B2909="","",IF($AQ2909="","対象年月が未入力／","")&amp;IF($B2909="","",IF($AP2909="","職員マスタに未登録の職員番号／",IF($AA2909="","標準報酬月額が未登録／","")&amp;IF(AND($AQ2909&lt;&gt;"",OR(AND(INDEX(職員マスタ!$G$6:$G$405,$AP2909)&lt;&gt;"",INDEX(職員マスタ!$G$6:$G$405,$AP2909)&gt;EOMONTH($AQ2909,0)),AND(INDEX(職員マスタ!$H$6:$H$405,$AP2909)&lt;&gt;"",INDEX(職員マスタ!$H$6:$H$405,$AP2909)&lt;$AQ2909))),"対象月が時短期間外／","")&amp;IF(AND(INDEX(職員マスタ!$K$6:$K$405,$AP2909)&lt;&gt;"",N($W2909)&gt;0,INDEX(職員マスタ!$K$6:$K$405,$AP2909)&lt;&gt;$W2909),"標準報酬月額が申請書と相違（台帳"&amp;TEXT(INDEX(職員マスタ!$K$6:$K$405,$AP2909),"#,##0")&amp;"円／申請書"&amp;TEXT($W2909,"#,##0")&amp;"円）／","")&amp;IF(AND(INDEX(職員マスタ!$F$6:$F$405,$AP2909)&lt;&gt;"",$AQ2909&lt;&gt;"",INDEX(職員マスタ!$F$6:$F$405,$AP2909)&lt;$AQ2909),"対象月に子が2歳到達済／","")&amp;IF(AND($H2909&lt;&gt;"",INDEX(職員マスタ!$B$6:$B$405,$AP2909)&lt;&gt;"",SUBSTITUTE(SUBSTITUTE($H2909," ","")," ","")&lt;&gt;SUBSTITUTE(SUBSTITUTE(INDEX(職員マスタ!$B$6:$B$405,$AP2909)," ","")," ","")),"氏名がマスタと相違／","")&amp;IF(AND($Q2909&lt;&gt;"",INDEX(職員マスタ!$E$6:$E$405,$AP2909)&lt;&gt;"",$Q2909&lt;&gt;INDEX(職員マスタ!$E$6:$E$405,$AP2909)),"子の生年月日がマスタと相違／","")&amp;IF(AND($L2909&lt;&gt;"",INDEX(職員マスタ!$G$6:$G$405,$AP2909)&lt;&gt;"",$L2909&lt;&gt;INDEX(職員マスタ!$G$6:$G$405,$AP2909)),"時短開始日がマスタと相違／","")&amp;IF(AND($M2909&lt;&gt;"",INDEX(職員マスタ!$H$6:$H$405,$AP2909)&lt;&gt;"",$M2909&lt;&gt;INDEX(職員マスタ!$H$6:$H$405,$AP2909)),"時短終了日がマスタと相違／","")))&amp;IF(AND($B2909&lt;&gt;"",$E2909=""),"報酬額が未入力／","")&amp;IF(N($U2909)&gt;0,"申請書に入力エラーが残っています／","")&amp;IF(AND($B2909&lt;&gt;"",$AQ2909&lt;&gt;""),IF(COUNTIFS($B$6:$B$3005,$B2909,$C$6:$C$3005,$C2909,$D$6:$D$3005,$D2909)&gt;1,"同じ月の請求が重複しています／",""),"")&amp;IF(AND(N($E2909)&gt;0,$AB2909&lt;&gt;"",$AB2909&lt;&gt;"×",$AE2909=0,$AD2909=""),"計算額が下限以下のため不支給／",""))</f>
        <v/>
      </c>
      <c r="AN2909" s="12" t="n"/>
      <c r="AO2909" s="14">
        <f>IF($AF2909="保留中",COUNTIF($AF$6:$AF2909,"保留中"),"")</f>
        <v/>
      </c>
      <c r="AP2909" s="14">
        <f>IF($AQ2909="","",IF(SUMPRODUCT(MAX((職員マスタ!$A$6:$A$405=$B2909)*(((職員マスタ!$G$6:$G$405="")+(職員マスタ!$G$6:$G$405&lt;=EOMONTH($AQ2909,0)))&gt;0)*(((職員マスタ!$H$6:$H$405="")+(職員マスタ!$H$6:$H$405&gt;=$AQ2909))&gt;0)*(ROW(職員マスタ!$A$6:$A$405)-5)))&gt;0,SUMPRODUCT(MAX((職員マスタ!$A$6:$A$405=$B2909)*(((職員マスタ!$G$6:$G$405="")+(職員マスタ!$G$6:$G$405&lt;=EOMONTH($AQ2909,0)))&gt;0)*(((職員マスタ!$H$6:$H$405="")+(職員マスタ!$H$6:$H$405&gt;=$AQ2909))&gt;0)*(ROW(職員マスタ!$A$6:$A$405)-5))),IFERROR(MATCH($B2909,職員マスタ!$A$6:$A$405,0),"")))</f>
        <v/>
      </c>
      <c r="AQ2909" s="16">
        <f>IF(OR($B2909="",$C2909="",$D2909=""),"",DATE($C2909+2018,$D2909,1))</f>
        <v/>
      </c>
    </row>
    <row r="2910">
      <c r="A2910" s="11" t="n"/>
      <c r="B2910" s="12" t="n"/>
      <c r="C2910" s="12" t="n"/>
      <c r="D2910" s="12" t="n"/>
      <c r="E2910" s="13" t="n"/>
      <c r="F2910" s="12" t="n"/>
      <c r="G2910" s="13" t="n"/>
      <c r="H2910" s="12" t="n"/>
      <c r="I2910" s="12" t="n"/>
      <c r="J2910" s="12" t="n"/>
      <c r="K2910" s="12" t="n"/>
      <c r="L2910" s="11" t="n"/>
      <c r="M2910" s="11" t="n"/>
      <c r="N2910" s="11" t="n"/>
      <c r="O2910" s="11" t="n"/>
      <c r="P2910" s="12" t="n"/>
      <c r="Q2910" s="11" t="n"/>
      <c r="R2910" s="12" t="n"/>
      <c r="S2910" s="11" t="n"/>
      <c r="T2910" s="12" t="n"/>
      <c r="U2910" s="12" t="n"/>
      <c r="V2910" s="12" t="n"/>
      <c r="W2910" s="13" t="n"/>
      <c r="X2910" s="14">
        <f>IF($AP2910="",IF($B2910="","",$H2910),IF(INDEX(職員マスタ!$B$6:$B$405,$AP2910)="",$H2910,INDEX(職員マスタ!$B$6:$B$405,$AP2910)))</f>
        <v/>
      </c>
      <c r="Y2910" s="14">
        <f>IF($AP2910="",IF($B2910="","",$R2910),IF(INDEX(職員マスタ!$C$6:$C$405,$AP2910)="",$R2910,INDEX(職員マスタ!$C$6:$C$405,$AP2910)))</f>
        <v/>
      </c>
      <c r="Z2910" s="14">
        <f>IF($AQ2910="","","R"&amp;$C2910&amp;"."&amp;$D2910)</f>
        <v/>
      </c>
      <c r="AA2910" s="15">
        <f>IF(IF($AP2910="",FALSE,INDEX(職員マスタ!$K$6:$K$405,$AP2910)&lt;&gt;""),INDEX(職員マスタ!$K$6:$K$405,$AP2910),IF(N($W2910)&gt;0,$W2910,""))</f>
        <v/>
      </c>
      <c r="AB2910" s="14">
        <f>IF(OR($E2910="",$AA2910=""),"",IF($E2910&gt;=$AA2910,"×",IF($E2910&gt;=$AA2910*設定!$C$5,"△","○")))</f>
        <v/>
      </c>
      <c r="AC2910" s="15">
        <f>IF($AB2910="","",IF($AB2910="×",0,IF($AB2910="○",ROUNDDOWN($E2910*設定!$C$4,0),ROUNDDOWN($E2910*ROUND((9*$AA2910-9*$E2910)/(10*$E2910),4),0))))</f>
        <v/>
      </c>
      <c r="AD2910" s="13" t="n"/>
      <c r="AE2910" s="15">
        <f>IF($B2910="","",IF($AD2910&lt;&gt;"",$AD2910,IF($AC2910="","",IF($AC2910&lt;=設定!$C$3,0,$AC2910))))</f>
        <v/>
      </c>
      <c r="AF2910" s="14">
        <f>IF($B2910="","",IF(AND($AG2910&lt;&gt;"",$AI2910="",$AL2910=""),"保留中",IF($AL2910&lt;&gt;"",IF(N($AE2910)&gt;0,"支給済","不支給"),IF($AE2910="","要確認",IF($AE2910=0,"不支給","未処理")))))</f>
        <v/>
      </c>
      <c r="AG2910" s="12" t="n"/>
      <c r="AH2910" s="11" t="n"/>
      <c r="AI2910" s="11" t="n"/>
      <c r="AJ2910" s="11" t="n"/>
      <c r="AK2910" s="14">
        <f>IF(AND($AF2910="保留中",$AH2910&lt;&gt;""),TODAY()-$AH2910,"")</f>
        <v/>
      </c>
      <c r="AL2910" s="12" t="n"/>
      <c r="AM2910" s="14">
        <f>IF($B2910="","",IF($AQ2910="","対象年月が未入力／","")&amp;IF($B2910="","",IF($AP2910="","職員マスタに未登録の職員番号／",IF($AA2910="","標準報酬月額が未登録／","")&amp;IF(AND($AQ2910&lt;&gt;"",OR(AND(INDEX(職員マスタ!$G$6:$G$405,$AP2910)&lt;&gt;"",INDEX(職員マスタ!$G$6:$G$405,$AP2910)&gt;EOMONTH($AQ2910,0)),AND(INDEX(職員マスタ!$H$6:$H$405,$AP2910)&lt;&gt;"",INDEX(職員マスタ!$H$6:$H$405,$AP2910)&lt;$AQ2910))),"対象月が時短期間外／","")&amp;IF(AND(INDEX(職員マスタ!$K$6:$K$405,$AP2910)&lt;&gt;"",N($W2910)&gt;0,INDEX(職員マスタ!$K$6:$K$405,$AP2910)&lt;&gt;$W2910),"標準報酬月額が申請書と相違（台帳"&amp;TEXT(INDEX(職員マスタ!$K$6:$K$405,$AP2910),"#,##0")&amp;"円／申請書"&amp;TEXT($W2910,"#,##0")&amp;"円）／","")&amp;IF(AND(INDEX(職員マスタ!$F$6:$F$405,$AP2910)&lt;&gt;"",$AQ2910&lt;&gt;"",INDEX(職員マスタ!$F$6:$F$405,$AP2910)&lt;$AQ2910),"対象月に子が2歳到達済／","")&amp;IF(AND($H2910&lt;&gt;"",INDEX(職員マスタ!$B$6:$B$405,$AP2910)&lt;&gt;"",SUBSTITUTE(SUBSTITUTE($H2910," ","")," ","")&lt;&gt;SUBSTITUTE(SUBSTITUTE(INDEX(職員マスタ!$B$6:$B$405,$AP2910)," ","")," ","")),"氏名がマスタと相違／","")&amp;IF(AND($Q2910&lt;&gt;"",INDEX(職員マスタ!$E$6:$E$405,$AP2910)&lt;&gt;"",$Q2910&lt;&gt;INDEX(職員マスタ!$E$6:$E$405,$AP2910)),"子の生年月日がマスタと相違／","")&amp;IF(AND($L2910&lt;&gt;"",INDEX(職員マスタ!$G$6:$G$405,$AP2910)&lt;&gt;"",$L2910&lt;&gt;INDEX(職員マスタ!$G$6:$G$405,$AP2910)),"時短開始日がマスタと相違／","")&amp;IF(AND($M2910&lt;&gt;"",INDEX(職員マスタ!$H$6:$H$405,$AP2910)&lt;&gt;"",$M2910&lt;&gt;INDEX(職員マスタ!$H$6:$H$405,$AP2910)),"時短終了日がマスタと相違／","")))&amp;IF(AND($B2910&lt;&gt;"",$E2910=""),"報酬額が未入力／","")&amp;IF(N($U2910)&gt;0,"申請書に入力エラーが残っています／","")&amp;IF(AND($B2910&lt;&gt;"",$AQ2910&lt;&gt;""),IF(COUNTIFS($B$6:$B$3005,$B2910,$C$6:$C$3005,$C2910,$D$6:$D$3005,$D2910)&gt;1,"同じ月の請求が重複しています／",""),"")&amp;IF(AND(N($E2910)&gt;0,$AB2910&lt;&gt;"",$AB2910&lt;&gt;"×",$AE2910=0,$AD2910=""),"計算額が下限以下のため不支給／",""))</f>
        <v/>
      </c>
      <c r="AN2910" s="12" t="n"/>
      <c r="AO2910" s="14">
        <f>IF($AF2910="保留中",COUNTIF($AF$6:$AF2910,"保留中"),"")</f>
        <v/>
      </c>
      <c r="AP2910" s="14">
        <f>IF($AQ2910="","",IF(SUMPRODUCT(MAX((職員マスタ!$A$6:$A$405=$B2910)*(((職員マスタ!$G$6:$G$405="")+(職員マスタ!$G$6:$G$405&lt;=EOMONTH($AQ2910,0)))&gt;0)*(((職員マスタ!$H$6:$H$405="")+(職員マスタ!$H$6:$H$405&gt;=$AQ2910))&gt;0)*(ROW(職員マスタ!$A$6:$A$405)-5)))&gt;0,SUMPRODUCT(MAX((職員マスタ!$A$6:$A$405=$B2910)*(((職員マスタ!$G$6:$G$405="")+(職員マスタ!$G$6:$G$405&lt;=EOMONTH($AQ2910,0)))&gt;0)*(((職員マスタ!$H$6:$H$405="")+(職員マスタ!$H$6:$H$405&gt;=$AQ2910))&gt;0)*(ROW(職員マスタ!$A$6:$A$405)-5))),IFERROR(MATCH($B2910,職員マスタ!$A$6:$A$405,0),"")))</f>
        <v/>
      </c>
      <c r="AQ2910" s="16">
        <f>IF(OR($B2910="",$C2910="",$D2910=""),"",DATE($C2910+2018,$D2910,1))</f>
        <v/>
      </c>
    </row>
    <row r="2911">
      <c r="A2911" s="11" t="n"/>
      <c r="B2911" s="12" t="n"/>
      <c r="C2911" s="12" t="n"/>
      <c r="D2911" s="12" t="n"/>
      <c r="E2911" s="13" t="n"/>
      <c r="F2911" s="12" t="n"/>
      <c r="G2911" s="13" t="n"/>
      <c r="H2911" s="12" t="n"/>
      <c r="I2911" s="12" t="n"/>
      <c r="J2911" s="12" t="n"/>
      <c r="K2911" s="12" t="n"/>
      <c r="L2911" s="11" t="n"/>
      <c r="M2911" s="11" t="n"/>
      <c r="N2911" s="11" t="n"/>
      <c r="O2911" s="11" t="n"/>
      <c r="P2911" s="12" t="n"/>
      <c r="Q2911" s="11" t="n"/>
      <c r="R2911" s="12" t="n"/>
      <c r="S2911" s="11" t="n"/>
      <c r="T2911" s="12" t="n"/>
      <c r="U2911" s="12" t="n"/>
      <c r="V2911" s="12" t="n"/>
      <c r="W2911" s="13" t="n"/>
      <c r="X2911" s="14">
        <f>IF($AP2911="",IF($B2911="","",$H2911),IF(INDEX(職員マスタ!$B$6:$B$405,$AP2911)="",$H2911,INDEX(職員マスタ!$B$6:$B$405,$AP2911)))</f>
        <v/>
      </c>
      <c r="Y2911" s="14">
        <f>IF($AP2911="",IF($B2911="","",$R2911),IF(INDEX(職員マスタ!$C$6:$C$405,$AP2911)="",$R2911,INDEX(職員マスタ!$C$6:$C$405,$AP2911)))</f>
        <v/>
      </c>
      <c r="Z2911" s="14">
        <f>IF($AQ2911="","","R"&amp;$C2911&amp;"."&amp;$D2911)</f>
        <v/>
      </c>
      <c r="AA2911" s="15">
        <f>IF(IF($AP2911="",FALSE,INDEX(職員マスタ!$K$6:$K$405,$AP2911)&lt;&gt;""),INDEX(職員マスタ!$K$6:$K$405,$AP2911),IF(N($W2911)&gt;0,$W2911,""))</f>
        <v/>
      </c>
      <c r="AB2911" s="14">
        <f>IF(OR($E2911="",$AA2911=""),"",IF($E2911&gt;=$AA2911,"×",IF($E2911&gt;=$AA2911*設定!$C$5,"△","○")))</f>
        <v/>
      </c>
      <c r="AC2911" s="15">
        <f>IF($AB2911="","",IF($AB2911="×",0,IF($AB2911="○",ROUNDDOWN($E2911*設定!$C$4,0),ROUNDDOWN($E2911*ROUND((9*$AA2911-9*$E2911)/(10*$E2911),4),0))))</f>
        <v/>
      </c>
      <c r="AD2911" s="13" t="n"/>
      <c r="AE2911" s="15">
        <f>IF($B2911="","",IF($AD2911&lt;&gt;"",$AD2911,IF($AC2911="","",IF($AC2911&lt;=設定!$C$3,0,$AC2911))))</f>
        <v/>
      </c>
      <c r="AF2911" s="14">
        <f>IF($B2911="","",IF(AND($AG2911&lt;&gt;"",$AI2911="",$AL2911=""),"保留中",IF($AL2911&lt;&gt;"",IF(N($AE2911)&gt;0,"支給済","不支給"),IF($AE2911="","要確認",IF($AE2911=0,"不支給","未処理")))))</f>
        <v/>
      </c>
      <c r="AG2911" s="12" t="n"/>
      <c r="AH2911" s="11" t="n"/>
      <c r="AI2911" s="11" t="n"/>
      <c r="AJ2911" s="11" t="n"/>
      <c r="AK2911" s="14">
        <f>IF(AND($AF2911="保留中",$AH2911&lt;&gt;""),TODAY()-$AH2911,"")</f>
        <v/>
      </c>
      <c r="AL2911" s="12" t="n"/>
      <c r="AM2911" s="14">
        <f>IF($B2911="","",IF($AQ2911="","対象年月が未入力／","")&amp;IF($B2911="","",IF($AP2911="","職員マスタに未登録の職員番号／",IF($AA2911="","標準報酬月額が未登録／","")&amp;IF(AND($AQ2911&lt;&gt;"",OR(AND(INDEX(職員マスタ!$G$6:$G$405,$AP2911)&lt;&gt;"",INDEX(職員マスタ!$G$6:$G$405,$AP2911)&gt;EOMONTH($AQ2911,0)),AND(INDEX(職員マスタ!$H$6:$H$405,$AP2911)&lt;&gt;"",INDEX(職員マスタ!$H$6:$H$405,$AP2911)&lt;$AQ2911))),"対象月が時短期間外／","")&amp;IF(AND(INDEX(職員マスタ!$K$6:$K$405,$AP2911)&lt;&gt;"",N($W2911)&gt;0,INDEX(職員マスタ!$K$6:$K$405,$AP2911)&lt;&gt;$W2911),"標準報酬月額が申請書と相違（台帳"&amp;TEXT(INDEX(職員マスタ!$K$6:$K$405,$AP2911),"#,##0")&amp;"円／申請書"&amp;TEXT($W2911,"#,##0")&amp;"円）／","")&amp;IF(AND(INDEX(職員マスタ!$F$6:$F$405,$AP2911)&lt;&gt;"",$AQ2911&lt;&gt;"",INDEX(職員マスタ!$F$6:$F$405,$AP2911)&lt;$AQ2911),"対象月に子が2歳到達済／","")&amp;IF(AND($H2911&lt;&gt;"",INDEX(職員マスタ!$B$6:$B$405,$AP2911)&lt;&gt;"",SUBSTITUTE(SUBSTITUTE($H2911," ","")," ","")&lt;&gt;SUBSTITUTE(SUBSTITUTE(INDEX(職員マスタ!$B$6:$B$405,$AP2911)," ","")," ","")),"氏名がマスタと相違／","")&amp;IF(AND($Q2911&lt;&gt;"",INDEX(職員マスタ!$E$6:$E$405,$AP2911)&lt;&gt;"",$Q2911&lt;&gt;INDEX(職員マスタ!$E$6:$E$405,$AP2911)),"子の生年月日がマスタと相違／","")&amp;IF(AND($L2911&lt;&gt;"",INDEX(職員マスタ!$G$6:$G$405,$AP2911)&lt;&gt;"",$L2911&lt;&gt;INDEX(職員マスタ!$G$6:$G$405,$AP2911)),"時短開始日がマスタと相違／","")&amp;IF(AND($M2911&lt;&gt;"",INDEX(職員マスタ!$H$6:$H$405,$AP2911)&lt;&gt;"",$M2911&lt;&gt;INDEX(職員マスタ!$H$6:$H$405,$AP2911)),"時短終了日がマスタと相違／","")))&amp;IF(AND($B2911&lt;&gt;"",$E2911=""),"報酬額が未入力／","")&amp;IF(N($U2911)&gt;0,"申請書に入力エラーが残っています／","")&amp;IF(AND($B2911&lt;&gt;"",$AQ2911&lt;&gt;""),IF(COUNTIFS($B$6:$B$3005,$B2911,$C$6:$C$3005,$C2911,$D$6:$D$3005,$D2911)&gt;1,"同じ月の請求が重複しています／",""),"")&amp;IF(AND(N($E2911)&gt;0,$AB2911&lt;&gt;"",$AB2911&lt;&gt;"×",$AE2911=0,$AD2911=""),"計算額が下限以下のため不支給／",""))</f>
        <v/>
      </c>
      <c r="AN2911" s="12" t="n"/>
      <c r="AO2911" s="14">
        <f>IF($AF2911="保留中",COUNTIF($AF$6:$AF2911,"保留中"),"")</f>
        <v/>
      </c>
      <c r="AP2911" s="14">
        <f>IF($AQ2911="","",IF(SUMPRODUCT(MAX((職員マスタ!$A$6:$A$405=$B2911)*(((職員マスタ!$G$6:$G$405="")+(職員マスタ!$G$6:$G$405&lt;=EOMONTH($AQ2911,0)))&gt;0)*(((職員マスタ!$H$6:$H$405="")+(職員マスタ!$H$6:$H$405&gt;=$AQ2911))&gt;0)*(ROW(職員マスタ!$A$6:$A$405)-5)))&gt;0,SUMPRODUCT(MAX((職員マスタ!$A$6:$A$405=$B2911)*(((職員マスタ!$G$6:$G$405="")+(職員マスタ!$G$6:$G$405&lt;=EOMONTH($AQ2911,0)))&gt;0)*(((職員マスタ!$H$6:$H$405="")+(職員マスタ!$H$6:$H$405&gt;=$AQ2911))&gt;0)*(ROW(職員マスタ!$A$6:$A$405)-5))),IFERROR(MATCH($B2911,職員マスタ!$A$6:$A$405,0),"")))</f>
        <v/>
      </c>
      <c r="AQ2911" s="16">
        <f>IF(OR($B2911="",$C2911="",$D2911=""),"",DATE($C2911+2018,$D2911,1))</f>
        <v/>
      </c>
    </row>
    <row r="2912">
      <c r="A2912" s="11" t="n"/>
      <c r="B2912" s="12" t="n"/>
      <c r="C2912" s="12" t="n"/>
      <c r="D2912" s="12" t="n"/>
      <c r="E2912" s="13" t="n"/>
      <c r="F2912" s="12" t="n"/>
      <c r="G2912" s="13" t="n"/>
      <c r="H2912" s="12" t="n"/>
      <c r="I2912" s="12" t="n"/>
      <c r="J2912" s="12" t="n"/>
      <c r="K2912" s="12" t="n"/>
      <c r="L2912" s="11" t="n"/>
      <c r="M2912" s="11" t="n"/>
      <c r="N2912" s="11" t="n"/>
      <c r="O2912" s="11" t="n"/>
      <c r="P2912" s="12" t="n"/>
      <c r="Q2912" s="11" t="n"/>
      <c r="R2912" s="12" t="n"/>
      <c r="S2912" s="11" t="n"/>
      <c r="T2912" s="12" t="n"/>
      <c r="U2912" s="12" t="n"/>
      <c r="V2912" s="12" t="n"/>
      <c r="W2912" s="13" t="n"/>
      <c r="X2912" s="14">
        <f>IF($AP2912="",IF($B2912="","",$H2912),IF(INDEX(職員マスタ!$B$6:$B$405,$AP2912)="",$H2912,INDEX(職員マスタ!$B$6:$B$405,$AP2912)))</f>
        <v/>
      </c>
      <c r="Y2912" s="14">
        <f>IF($AP2912="",IF($B2912="","",$R2912),IF(INDEX(職員マスタ!$C$6:$C$405,$AP2912)="",$R2912,INDEX(職員マスタ!$C$6:$C$405,$AP2912)))</f>
        <v/>
      </c>
      <c r="Z2912" s="14">
        <f>IF($AQ2912="","","R"&amp;$C2912&amp;"."&amp;$D2912)</f>
        <v/>
      </c>
      <c r="AA2912" s="15">
        <f>IF(IF($AP2912="",FALSE,INDEX(職員マスタ!$K$6:$K$405,$AP2912)&lt;&gt;""),INDEX(職員マスタ!$K$6:$K$405,$AP2912),IF(N($W2912)&gt;0,$W2912,""))</f>
        <v/>
      </c>
      <c r="AB2912" s="14">
        <f>IF(OR($E2912="",$AA2912=""),"",IF($E2912&gt;=$AA2912,"×",IF($E2912&gt;=$AA2912*設定!$C$5,"△","○")))</f>
        <v/>
      </c>
      <c r="AC2912" s="15">
        <f>IF($AB2912="","",IF($AB2912="×",0,IF($AB2912="○",ROUNDDOWN($E2912*設定!$C$4,0),ROUNDDOWN($E2912*ROUND((9*$AA2912-9*$E2912)/(10*$E2912),4),0))))</f>
        <v/>
      </c>
      <c r="AD2912" s="13" t="n"/>
      <c r="AE2912" s="15">
        <f>IF($B2912="","",IF($AD2912&lt;&gt;"",$AD2912,IF($AC2912="","",IF($AC2912&lt;=設定!$C$3,0,$AC2912))))</f>
        <v/>
      </c>
      <c r="AF2912" s="14">
        <f>IF($B2912="","",IF(AND($AG2912&lt;&gt;"",$AI2912="",$AL2912=""),"保留中",IF($AL2912&lt;&gt;"",IF(N($AE2912)&gt;0,"支給済","不支給"),IF($AE2912="","要確認",IF($AE2912=0,"不支給","未処理")))))</f>
        <v/>
      </c>
      <c r="AG2912" s="12" t="n"/>
      <c r="AH2912" s="11" t="n"/>
      <c r="AI2912" s="11" t="n"/>
      <c r="AJ2912" s="11" t="n"/>
      <c r="AK2912" s="14">
        <f>IF(AND($AF2912="保留中",$AH2912&lt;&gt;""),TODAY()-$AH2912,"")</f>
        <v/>
      </c>
      <c r="AL2912" s="12" t="n"/>
      <c r="AM2912" s="14">
        <f>IF($B2912="","",IF($AQ2912="","対象年月が未入力／","")&amp;IF($B2912="","",IF($AP2912="","職員マスタに未登録の職員番号／",IF($AA2912="","標準報酬月額が未登録／","")&amp;IF(AND($AQ2912&lt;&gt;"",OR(AND(INDEX(職員マスタ!$G$6:$G$405,$AP2912)&lt;&gt;"",INDEX(職員マスタ!$G$6:$G$405,$AP2912)&gt;EOMONTH($AQ2912,0)),AND(INDEX(職員マスタ!$H$6:$H$405,$AP2912)&lt;&gt;"",INDEX(職員マスタ!$H$6:$H$405,$AP2912)&lt;$AQ2912))),"対象月が時短期間外／","")&amp;IF(AND(INDEX(職員マスタ!$K$6:$K$405,$AP2912)&lt;&gt;"",N($W2912)&gt;0,INDEX(職員マスタ!$K$6:$K$405,$AP2912)&lt;&gt;$W2912),"標準報酬月額が申請書と相違（台帳"&amp;TEXT(INDEX(職員マスタ!$K$6:$K$405,$AP2912),"#,##0")&amp;"円／申請書"&amp;TEXT($W2912,"#,##0")&amp;"円）／","")&amp;IF(AND(INDEX(職員マスタ!$F$6:$F$405,$AP2912)&lt;&gt;"",$AQ2912&lt;&gt;"",INDEX(職員マスタ!$F$6:$F$405,$AP2912)&lt;$AQ2912),"対象月に子が2歳到達済／","")&amp;IF(AND($H2912&lt;&gt;"",INDEX(職員マスタ!$B$6:$B$405,$AP2912)&lt;&gt;"",SUBSTITUTE(SUBSTITUTE($H2912," ","")," ","")&lt;&gt;SUBSTITUTE(SUBSTITUTE(INDEX(職員マスタ!$B$6:$B$405,$AP2912)," ","")," ","")),"氏名がマスタと相違／","")&amp;IF(AND($Q2912&lt;&gt;"",INDEX(職員マスタ!$E$6:$E$405,$AP2912)&lt;&gt;"",$Q2912&lt;&gt;INDEX(職員マスタ!$E$6:$E$405,$AP2912)),"子の生年月日がマスタと相違／","")&amp;IF(AND($L2912&lt;&gt;"",INDEX(職員マスタ!$G$6:$G$405,$AP2912)&lt;&gt;"",$L2912&lt;&gt;INDEX(職員マスタ!$G$6:$G$405,$AP2912)),"時短開始日がマスタと相違／","")&amp;IF(AND($M2912&lt;&gt;"",INDEX(職員マスタ!$H$6:$H$405,$AP2912)&lt;&gt;"",$M2912&lt;&gt;INDEX(職員マスタ!$H$6:$H$405,$AP2912)),"時短終了日がマスタと相違／","")))&amp;IF(AND($B2912&lt;&gt;"",$E2912=""),"報酬額が未入力／","")&amp;IF(N($U2912)&gt;0,"申請書に入力エラーが残っています／","")&amp;IF(AND($B2912&lt;&gt;"",$AQ2912&lt;&gt;""),IF(COUNTIFS($B$6:$B$3005,$B2912,$C$6:$C$3005,$C2912,$D$6:$D$3005,$D2912)&gt;1,"同じ月の請求が重複しています／",""),"")&amp;IF(AND(N($E2912)&gt;0,$AB2912&lt;&gt;"",$AB2912&lt;&gt;"×",$AE2912=0,$AD2912=""),"計算額が下限以下のため不支給／",""))</f>
        <v/>
      </c>
      <c r="AN2912" s="12" t="n"/>
      <c r="AO2912" s="14">
        <f>IF($AF2912="保留中",COUNTIF($AF$6:$AF2912,"保留中"),"")</f>
        <v/>
      </c>
      <c r="AP2912" s="14">
        <f>IF($AQ2912="","",IF(SUMPRODUCT(MAX((職員マスタ!$A$6:$A$405=$B2912)*(((職員マスタ!$G$6:$G$405="")+(職員マスタ!$G$6:$G$405&lt;=EOMONTH($AQ2912,0)))&gt;0)*(((職員マスタ!$H$6:$H$405="")+(職員マスタ!$H$6:$H$405&gt;=$AQ2912))&gt;0)*(ROW(職員マスタ!$A$6:$A$405)-5)))&gt;0,SUMPRODUCT(MAX((職員マスタ!$A$6:$A$405=$B2912)*(((職員マスタ!$G$6:$G$405="")+(職員マスタ!$G$6:$G$405&lt;=EOMONTH($AQ2912,0)))&gt;0)*(((職員マスタ!$H$6:$H$405="")+(職員マスタ!$H$6:$H$405&gt;=$AQ2912))&gt;0)*(ROW(職員マスタ!$A$6:$A$405)-5))),IFERROR(MATCH($B2912,職員マスタ!$A$6:$A$405,0),"")))</f>
        <v/>
      </c>
      <c r="AQ2912" s="16">
        <f>IF(OR($B2912="",$C2912="",$D2912=""),"",DATE($C2912+2018,$D2912,1))</f>
        <v/>
      </c>
    </row>
    <row r="2913">
      <c r="A2913" s="11" t="n"/>
      <c r="B2913" s="12" t="n"/>
      <c r="C2913" s="12" t="n"/>
      <c r="D2913" s="12" t="n"/>
      <c r="E2913" s="13" t="n"/>
      <c r="F2913" s="12" t="n"/>
      <c r="G2913" s="13" t="n"/>
      <c r="H2913" s="12" t="n"/>
      <c r="I2913" s="12" t="n"/>
      <c r="J2913" s="12" t="n"/>
      <c r="K2913" s="12" t="n"/>
      <c r="L2913" s="11" t="n"/>
      <c r="M2913" s="11" t="n"/>
      <c r="N2913" s="11" t="n"/>
      <c r="O2913" s="11" t="n"/>
      <c r="P2913" s="12" t="n"/>
      <c r="Q2913" s="11" t="n"/>
      <c r="R2913" s="12" t="n"/>
      <c r="S2913" s="11" t="n"/>
      <c r="T2913" s="12" t="n"/>
      <c r="U2913" s="12" t="n"/>
      <c r="V2913" s="12" t="n"/>
      <c r="W2913" s="13" t="n"/>
      <c r="X2913" s="14">
        <f>IF($AP2913="",IF($B2913="","",$H2913),IF(INDEX(職員マスタ!$B$6:$B$405,$AP2913)="",$H2913,INDEX(職員マスタ!$B$6:$B$405,$AP2913)))</f>
        <v/>
      </c>
      <c r="Y2913" s="14">
        <f>IF($AP2913="",IF($B2913="","",$R2913),IF(INDEX(職員マスタ!$C$6:$C$405,$AP2913)="",$R2913,INDEX(職員マスタ!$C$6:$C$405,$AP2913)))</f>
        <v/>
      </c>
      <c r="Z2913" s="14">
        <f>IF($AQ2913="","","R"&amp;$C2913&amp;"."&amp;$D2913)</f>
        <v/>
      </c>
      <c r="AA2913" s="15">
        <f>IF(IF($AP2913="",FALSE,INDEX(職員マスタ!$K$6:$K$405,$AP2913)&lt;&gt;""),INDEX(職員マスタ!$K$6:$K$405,$AP2913),IF(N($W2913)&gt;0,$W2913,""))</f>
        <v/>
      </c>
      <c r="AB2913" s="14">
        <f>IF(OR($E2913="",$AA2913=""),"",IF($E2913&gt;=$AA2913,"×",IF($E2913&gt;=$AA2913*設定!$C$5,"△","○")))</f>
        <v/>
      </c>
      <c r="AC2913" s="15">
        <f>IF($AB2913="","",IF($AB2913="×",0,IF($AB2913="○",ROUNDDOWN($E2913*設定!$C$4,0),ROUNDDOWN($E2913*ROUND((9*$AA2913-9*$E2913)/(10*$E2913),4),0))))</f>
        <v/>
      </c>
      <c r="AD2913" s="13" t="n"/>
      <c r="AE2913" s="15">
        <f>IF($B2913="","",IF($AD2913&lt;&gt;"",$AD2913,IF($AC2913="","",IF($AC2913&lt;=設定!$C$3,0,$AC2913))))</f>
        <v/>
      </c>
      <c r="AF2913" s="14">
        <f>IF($B2913="","",IF(AND($AG2913&lt;&gt;"",$AI2913="",$AL2913=""),"保留中",IF($AL2913&lt;&gt;"",IF(N($AE2913)&gt;0,"支給済","不支給"),IF($AE2913="","要確認",IF($AE2913=0,"不支給","未処理")))))</f>
        <v/>
      </c>
      <c r="AG2913" s="12" t="n"/>
      <c r="AH2913" s="11" t="n"/>
      <c r="AI2913" s="11" t="n"/>
      <c r="AJ2913" s="11" t="n"/>
      <c r="AK2913" s="14">
        <f>IF(AND($AF2913="保留中",$AH2913&lt;&gt;""),TODAY()-$AH2913,"")</f>
        <v/>
      </c>
      <c r="AL2913" s="12" t="n"/>
      <c r="AM2913" s="14">
        <f>IF($B2913="","",IF($AQ2913="","対象年月が未入力／","")&amp;IF($B2913="","",IF($AP2913="","職員マスタに未登録の職員番号／",IF($AA2913="","標準報酬月額が未登録／","")&amp;IF(AND($AQ2913&lt;&gt;"",OR(AND(INDEX(職員マスタ!$G$6:$G$405,$AP2913)&lt;&gt;"",INDEX(職員マスタ!$G$6:$G$405,$AP2913)&gt;EOMONTH($AQ2913,0)),AND(INDEX(職員マスタ!$H$6:$H$405,$AP2913)&lt;&gt;"",INDEX(職員マスタ!$H$6:$H$405,$AP2913)&lt;$AQ2913))),"対象月が時短期間外／","")&amp;IF(AND(INDEX(職員マスタ!$K$6:$K$405,$AP2913)&lt;&gt;"",N($W2913)&gt;0,INDEX(職員マスタ!$K$6:$K$405,$AP2913)&lt;&gt;$W2913),"標準報酬月額が申請書と相違（台帳"&amp;TEXT(INDEX(職員マスタ!$K$6:$K$405,$AP2913),"#,##0")&amp;"円／申請書"&amp;TEXT($W2913,"#,##0")&amp;"円）／","")&amp;IF(AND(INDEX(職員マスタ!$F$6:$F$405,$AP2913)&lt;&gt;"",$AQ2913&lt;&gt;"",INDEX(職員マスタ!$F$6:$F$405,$AP2913)&lt;$AQ2913),"対象月に子が2歳到達済／","")&amp;IF(AND($H2913&lt;&gt;"",INDEX(職員マスタ!$B$6:$B$405,$AP2913)&lt;&gt;"",SUBSTITUTE(SUBSTITUTE($H2913," ","")," ","")&lt;&gt;SUBSTITUTE(SUBSTITUTE(INDEX(職員マスタ!$B$6:$B$405,$AP2913)," ","")," ","")),"氏名がマスタと相違／","")&amp;IF(AND($Q2913&lt;&gt;"",INDEX(職員マスタ!$E$6:$E$405,$AP2913)&lt;&gt;"",$Q2913&lt;&gt;INDEX(職員マスタ!$E$6:$E$405,$AP2913)),"子の生年月日がマスタと相違／","")&amp;IF(AND($L2913&lt;&gt;"",INDEX(職員マスタ!$G$6:$G$405,$AP2913)&lt;&gt;"",$L2913&lt;&gt;INDEX(職員マスタ!$G$6:$G$405,$AP2913)),"時短開始日がマスタと相違／","")&amp;IF(AND($M2913&lt;&gt;"",INDEX(職員マスタ!$H$6:$H$405,$AP2913)&lt;&gt;"",$M2913&lt;&gt;INDEX(職員マスタ!$H$6:$H$405,$AP2913)),"時短終了日がマスタと相違／","")))&amp;IF(AND($B2913&lt;&gt;"",$E2913=""),"報酬額が未入力／","")&amp;IF(N($U2913)&gt;0,"申請書に入力エラーが残っています／","")&amp;IF(AND($B2913&lt;&gt;"",$AQ2913&lt;&gt;""),IF(COUNTIFS($B$6:$B$3005,$B2913,$C$6:$C$3005,$C2913,$D$6:$D$3005,$D2913)&gt;1,"同じ月の請求が重複しています／",""),"")&amp;IF(AND(N($E2913)&gt;0,$AB2913&lt;&gt;"",$AB2913&lt;&gt;"×",$AE2913=0,$AD2913=""),"計算額が下限以下のため不支給／",""))</f>
        <v/>
      </c>
      <c r="AN2913" s="12" t="n"/>
      <c r="AO2913" s="14">
        <f>IF($AF2913="保留中",COUNTIF($AF$6:$AF2913,"保留中"),"")</f>
        <v/>
      </c>
      <c r="AP2913" s="14">
        <f>IF($AQ2913="","",IF(SUMPRODUCT(MAX((職員マスタ!$A$6:$A$405=$B2913)*(((職員マスタ!$G$6:$G$405="")+(職員マスタ!$G$6:$G$405&lt;=EOMONTH($AQ2913,0)))&gt;0)*(((職員マスタ!$H$6:$H$405="")+(職員マスタ!$H$6:$H$405&gt;=$AQ2913))&gt;0)*(ROW(職員マスタ!$A$6:$A$405)-5)))&gt;0,SUMPRODUCT(MAX((職員マスタ!$A$6:$A$405=$B2913)*(((職員マスタ!$G$6:$G$405="")+(職員マスタ!$G$6:$G$405&lt;=EOMONTH($AQ2913,0)))&gt;0)*(((職員マスタ!$H$6:$H$405="")+(職員マスタ!$H$6:$H$405&gt;=$AQ2913))&gt;0)*(ROW(職員マスタ!$A$6:$A$405)-5))),IFERROR(MATCH($B2913,職員マスタ!$A$6:$A$405,0),"")))</f>
        <v/>
      </c>
      <c r="AQ2913" s="16">
        <f>IF(OR($B2913="",$C2913="",$D2913=""),"",DATE($C2913+2018,$D2913,1))</f>
        <v/>
      </c>
    </row>
    <row r="2914">
      <c r="A2914" s="11" t="n"/>
      <c r="B2914" s="12" t="n"/>
      <c r="C2914" s="12" t="n"/>
      <c r="D2914" s="12" t="n"/>
      <c r="E2914" s="13" t="n"/>
      <c r="F2914" s="12" t="n"/>
      <c r="G2914" s="13" t="n"/>
      <c r="H2914" s="12" t="n"/>
      <c r="I2914" s="12" t="n"/>
      <c r="J2914" s="12" t="n"/>
      <c r="K2914" s="12" t="n"/>
      <c r="L2914" s="11" t="n"/>
      <c r="M2914" s="11" t="n"/>
      <c r="N2914" s="11" t="n"/>
      <c r="O2914" s="11" t="n"/>
      <c r="P2914" s="12" t="n"/>
      <c r="Q2914" s="11" t="n"/>
      <c r="R2914" s="12" t="n"/>
      <c r="S2914" s="11" t="n"/>
      <c r="T2914" s="12" t="n"/>
      <c r="U2914" s="12" t="n"/>
      <c r="V2914" s="12" t="n"/>
      <c r="W2914" s="13" t="n"/>
      <c r="X2914" s="14">
        <f>IF($AP2914="",IF($B2914="","",$H2914),IF(INDEX(職員マスタ!$B$6:$B$405,$AP2914)="",$H2914,INDEX(職員マスタ!$B$6:$B$405,$AP2914)))</f>
        <v/>
      </c>
      <c r="Y2914" s="14">
        <f>IF($AP2914="",IF($B2914="","",$R2914),IF(INDEX(職員マスタ!$C$6:$C$405,$AP2914)="",$R2914,INDEX(職員マスタ!$C$6:$C$405,$AP2914)))</f>
        <v/>
      </c>
      <c r="Z2914" s="14">
        <f>IF($AQ2914="","","R"&amp;$C2914&amp;"."&amp;$D2914)</f>
        <v/>
      </c>
      <c r="AA2914" s="15">
        <f>IF(IF($AP2914="",FALSE,INDEX(職員マスタ!$K$6:$K$405,$AP2914)&lt;&gt;""),INDEX(職員マスタ!$K$6:$K$405,$AP2914),IF(N($W2914)&gt;0,$W2914,""))</f>
        <v/>
      </c>
      <c r="AB2914" s="14">
        <f>IF(OR($E2914="",$AA2914=""),"",IF($E2914&gt;=$AA2914,"×",IF($E2914&gt;=$AA2914*設定!$C$5,"△","○")))</f>
        <v/>
      </c>
      <c r="AC2914" s="15">
        <f>IF($AB2914="","",IF($AB2914="×",0,IF($AB2914="○",ROUNDDOWN($E2914*設定!$C$4,0),ROUNDDOWN($E2914*ROUND((9*$AA2914-9*$E2914)/(10*$E2914),4),0))))</f>
        <v/>
      </c>
      <c r="AD2914" s="13" t="n"/>
      <c r="AE2914" s="15">
        <f>IF($B2914="","",IF($AD2914&lt;&gt;"",$AD2914,IF($AC2914="","",IF($AC2914&lt;=設定!$C$3,0,$AC2914))))</f>
        <v/>
      </c>
      <c r="AF2914" s="14">
        <f>IF($B2914="","",IF(AND($AG2914&lt;&gt;"",$AI2914="",$AL2914=""),"保留中",IF($AL2914&lt;&gt;"",IF(N($AE2914)&gt;0,"支給済","不支給"),IF($AE2914="","要確認",IF($AE2914=0,"不支給","未処理")))))</f>
        <v/>
      </c>
      <c r="AG2914" s="12" t="n"/>
      <c r="AH2914" s="11" t="n"/>
      <c r="AI2914" s="11" t="n"/>
      <c r="AJ2914" s="11" t="n"/>
      <c r="AK2914" s="14">
        <f>IF(AND($AF2914="保留中",$AH2914&lt;&gt;""),TODAY()-$AH2914,"")</f>
        <v/>
      </c>
      <c r="AL2914" s="12" t="n"/>
      <c r="AM2914" s="14">
        <f>IF($B2914="","",IF($AQ2914="","対象年月が未入力／","")&amp;IF($B2914="","",IF($AP2914="","職員マスタに未登録の職員番号／",IF($AA2914="","標準報酬月額が未登録／","")&amp;IF(AND($AQ2914&lt;&gt;"",OR(AND(INDEX(職員マスタ!$G$6:$G$405,$AP2914)&lt;&gt;"",INDEX(職員マスタ!$G$6:$G$405,$AP2914)&gt;EOMONTH($AQ2914,0)),AND(INDEX(職員マスタ!$H$6:$H$405,$AP2914)&lt;&gt;"",INDEX(職員マスタ!$H$6:$H$405,$AP2914)&lt;$AQ2914))),"対象月が時短期間外／","")&amp;IF(AND(INDEX(職員マスタ!$K$6:$K$405,$AP2914)&lt;&gt;"",N($W2914)&gt;0,INDEX(職員マスタ!$K$6:$K$405,$AP2914)&lt;&gt;$W2914),"標準報酬月額が申請書と相違（台帳"&amp;TEXT(INDEX(職員マスタ!$K$6:$K$405,$AP2914),"#,##0")&amp;"円／申請書"&amp;TEXT($W2914,"#,##0")&amp;"円）／","")&amp;IF(AND(INDEX(職員マスタ!$F$6:$F$405,$AP2914)&lt;&gt;"",$AQ2914&lt;&gt;"",INDEX(職員マスタ!$F$6:$F$405,$AP2914)&lt;$AQ2914),"対象月に子が2歳到達済／","")&amp;IF(AND($H2914&lt;&gt;"",INDEX(職員マスタ!$B$6:$B$405,$AP2914)&lt;&gt;"",SUBSTITUTE(SUBSTITUTE($H2914," ","")," ","")&lt;&gt;SUBSTITUTE(SUBSTITUTE(INDEX(職員マスタ!$B$6:$B$405,$AP2914)," ","")," ","")),"氏名がマスタと相違／","")&amp;IF(AND($Q2914&lt;&gt;"",INDEX(職員マスタ!$E$6:$E$405,$AP2914)&lt;&gt;"",$Q2914&lt;&gt;INDEX(職員マスタ!$E$6:$E$405,$AP2914)),"子の生年月日がマスタと相違／","")&amp;IF(AND($L2914&lt;&gt;"",INDEX(職員マスタ!$G$6:$G$405,$AP2914)&lt;&gt;"",$L2914&lt;&gt;INDEX(職員マスタ!$G$6:$G$405,$AP2914)),"時短開始日がマスタと相違／","")&amp;IF(AND($M2914&lt;&gt;"",INDEX(職員マスタ!$H$6:$H$405,$AP2914)&lt;&gt;"",$M2914&lt;&gt;INDEX(職員マスタ!$H$6:$H$405,$AP2914)),"時短終了日がマスタと相違／","")))&amp;IF(AND($B2914&lt;&gt;"",$E2914=""),"報酬額が未入力／","")&amp;IF(N($U2914)&gt;0,"申請書に入力エラーが残っています／","")&amp;IF(AND($B2914&lt;&gt;"",$AQ2914&lt;&gt;""),IF(COUNTIFS($B$6:$B$3005,$B2914,$C$6:$C$3005,$C2914,$D$6:$D$3005,$D2914)&gt;1,"同じ月の請求が重複しています／",""),"")&amp;IF(AND(N($E2914)&gt;0,$AB2914&lt;&gt;"",$AB2914&lt;&gt;"×",$AE2914=0,$AD2914=""),"計算額が下限以下のため不支給／",""))</f>
        <v/>
      </c>
      <c r="AN2914" s="12" t="n"/>
      <c r="AO2914" s="14">
        <f>IF($AF2914="保留中",COUNTIF($AF$6:$AF2914,"保留中"),"")</f>
        <v/>
      </c>
      <c r="AP2914" s="14">
        <f>IF($AQ2914="","",IF(SUMPRODUCT(MAX((職員マスタ!$A$6:$A$405=$B2914)*(((職員マスタ!$G$6:$G$405="")+(職員マスタ!$G$6:$G$405&lt;=EOMONTH($AQ2914,0)))&gt;0)*(((職員マスタ!$H$6:$H$405="")+(職員マスタ!$H$6:$H$405&gt;=$AQ2914))&gt;0)*(ROW(職員マスタ!$A$6:$A$405)-5)))&gt;0,SUMPRODUCT(MAX((職員マスタ!$A$6:$A$405=$B2914)*(((職員マスタ!$G$6:$G$405="")+(職員マスタ!$G$6:$G$405&lt;=EOMONTH($AQ2914,0)))&gt;0)*(((職員マスタ!$H$6:$H$405="")+(職員マスタ!$H$6:$H$405&gt;=$AQ2914))&gt;0)*(ROW(職員マスタ!$A$6:$A$405)-5))),IFERROR(MATCH($B2914,職員マスタ!$A$6:$A$405,0),"")))</f>
        <v/>
      </c>
      <c r="AQ2914" s="16">
        <f>IF(OR($B2914="",$C2914="",$D2914=""),"",DATE($C2914+2018,$D2914,1))</f>
        <v/>
      </c>
    </row>
    <row r="2915">
      <c r="A2915" s="11" t="n"/>
      <c r="B2915" s="12" t="n"/>
      <c r="C2915" s="12" t="n"/>
      <c r="D2915" s="12" t="n"/>
      <c r="E2915" s="13" t="n"/>
      <c r="F2915" s="12" t="n"/>
      <c r="G2915" s="13" t="n"/>
      <c r="H2915" s="12" t="n"/>
      <c r="I2915" s="12" t="n"/>
      <c r="J2915" s="12" t="n"/>
      <c r="K2915" s="12" t="n"/>
      <c r="L2915" s="11" t="n"/>
      <c r="M2915" s="11" t="n"/>
      <c r="N2915" s="11" t="n"/>
      <c r="O2915" s="11" t="n"/>
      <c r="P2915" s="12" t="n"/>
      <c r="Q2915" s="11" t="n"/>
      <c r="R2915" s="12" t="n"/>
      <c r="S2915" s="11" t="n"/>
      <c r="T2915" s="12" t="n"/>
      <c r="U2915" s="12" t="n"/>
      <c r="V2915" s="12" t="n"/>
      <c r="W2915" s="13" t="n"/>
      <c r="X2915" s="14">
        <f>IF($AP2915="",IF($B2915="","",$H2915),IF(INDEX(職員マスタ!$B$6:$B$405,$AP2915)="",$H2915,INDEX(職員マスタ!$B$6:$B$405,$AP2915)))</f>
        <v/>
      </c>
      <c r="Y2915" s="14">
        <f>IF($AP2915="",IF($B2915="","",$R2915),IF(INDEX(職員マスタ!$C$6:$C$405,$AP2915)="",$R2915,INDEX(職員マスタ!$C$6:$C$405,$AP2915)))</f>
        <v/>
      </c>
      <c r="Z2915" s="14">
        <f>IF($AQ2915="","","R"&amp;$C2915&amp;"."&amp;$D2915)</f>
        <v/>
      </c>
      <c r="AA2915" s="15">
        <f>IF(IF($AP2915="",FALSE,INDEX(職員マスタ!$K$6:$K$405,$AP2915)&lt;&gt;""),INDEX(職員マスタ!$K$6:$K$405,$AP2915),IF(N($W2915)&gt;0,$W2915,""))</f>
        <v/>
      </c>
      <c r="AB2915" s="14">
        <f>IF(OR($E2915="",$AA2915=""),"",IF($E2915&gt;=$AA2915,"×",IF($E2915&gt;=$AA2915*設定!$C$5,"△","○")))</f>
        <v/>
      </c>
      <c r="AC2915" s="15">
        <f>IF($AB2915="","",IF($AB2915="×",0,IF($AB2915="○",ROUNDDOWN($E2915*設定!$C$4,0),ROUNDDOWN($E2915*ROUND((9*$AA2915-9*$E2915)/(10*$E2915),4),0))))</f>
        <v/>
      </c>
      <c r="AD2915" s="13" t="n"/>
      <c r="AE2915" s="15">
        <f>IF($B2915="","",IF($AD2915&lt;&gt;"",$AD2915,IF($AC2915="","",IF($AC2915&lt;=設定!$C$3,0,$AC2915))))</f>
        <v/>
      </c>
      <c r="AF2915" s="14">
        <f>IF($B2915="","",IF(AND($AG2915&lt;&gt;"",$AI2915="",$AL2915=""),"保留中",IF($AL2915&lt;&gt;"",IF(N($AE2915)&gt;0,"支給済","不支給"),IF($AE2915="","要確認",IF($AE2915=0,"不支給","未処理")))))</f>
        <v/>
      </c>
      <c r="AG2915" s="12" t="n"/>
      <c r="AH2915" s="11" t="n"/>
      <c r="AI2915" s="11" t="n"/>
      <c r="AJ2915" s="11" t="n"/>
      <c r="AK2915" s="14">
        <f>IF(AND($AF2915="保留中",$AH2915&lt;&gt;""),TODAY()-$AH2915,"")</f>
        <v/>
      </c>
      <c r="AL2915" s="12" t="n"/>
      <c r="AM2915" s="14">
        <f>IF($B2915="","",IF($AQ2915="","対象年月が未入力／","")&amp;IF($B2915="","",IF($AP2915="","職員マスタに未登録の職員番号／",IF($AA2915="","標準報酬月額が未登録／","")&amp;IF(AND($AQ2915&lt;&gt;"",OR(AND(INDEX(職員マスタ!$G$6:$G$405,$AP2915)&lt;&gt;"",INDEX(職員マスタ!$G$6:$G$405,$AP2915)&gt;EOMONTH($AQ2915,0)),AND(INDEX(職員マスタ!$H$6:$H$405,$AP2915)&lt;&gt;"",INDEX(職員マスタ!$H$6:$H$405,$AP2915)&lt;$AQ2915))),"対象月が時短期間外／","")&amp;IF(AND(INDEX(職員マスタ!$K$6:$K$405,$AP2915)&lt;&gt;"",N($W2915)&gt;0,INDEX(職員マスタ!$K$6:$K$405,$AP2915)&lt;&gt;$W2915),"標準報酬月額が申請書と相違（台帳"&amp;TEXT(INDEX(職員マスタ!$K$6:$K$405,$AP2915),"#,##0")&amp;"円／申請書"&amp;TEXT($W2915,"#,##0")&amp;"円）／","")&amp;IF(AND(INDEX(職員マスタ!$F$6:$F$405,$AP2915)&lt;&gt;"",$AQ2915&lt;&gt;"",INDEX(職員マスタ!$F$6:$F$405,$AP2915)&lt;$AQ2915),"対象月に子が2歳到達済／","")&amp;IF(AND($H2915&lt;&gt;"",INDEX(職員マスタ!$B$6:$B$405,$AP2915)&lt;&gt;"",SUBSTITUTE(SUBSTITUTE($H2915," ","")," ","")&lt;&gt;SUBSTITUTE(SUBSTITUTE(INDEX(職員マスタ!$B$6:$B$405,$AP2915)," ","")," ","")),"氏名がマスタと相違／","")&amp;IF(AND($Q2915&lt;&gt;"",INDEX(職員マスタ!$E$6:$E$405,$AP2915)&lt;&gt;"",$Q2915&lt;&gt;INDEX(職員マスタ!$E$6:$E$405,$AP2915)),"子の生年月日がマスタと相違／","")&amp;IF(AND($L2915&lt;&gt;"",INDEX(職員マスタ!$G$6:$G$405,$AP2915)&lt;&gt;"",$L2915&lt;&gt;INDEX(職員マスタ!$G$6:$G$405,$AP2915)),"時短開始日がマスタと相違／","")&amp;IF(AND($M2915&lt;&gt;"",INDEX(職員マスタ!$H$6:$H$405,$AP2915)&lt;&gt;"",$M2915&lt;&gt;INDEX(職員マスタ!$H$6:$H$405,$AP2915)),"時短終了日がマスタと相違／","")))&amp;IF(AND($B2915&lt;&gt;"",$E2915=""),"報酬額が未入力／","")&amp;IF(N($U2915)&gt;0,"申請書に入力エラーが残っています／","")&amp;IF(AND($B2915&lt;&gt;"",$AQ2915&lt;&gt;""),IF(COUNTIFS($B$6:$B$3005,$B2915,$C$6:$C$3005,$C2915,$D$6:$D$3005,$D2915)&gt;1,"同じ月の請求が重複しています／",""),"")&amp;IF(AND(N($E2915)&gt;0,$AB2915&lt;&gt;"",$AB2915&lt;&gt;"×",$AE2915=0,$AD2915=""),"計算額が下限以下のため不支給／",""))</f>
        <v/>
      </c>
      <c r="AN2915" s="12" t="n"/>
      <c r="AO2915" s="14">
        <f>IF($AF2915="保留中",COUNTIF($AF$6:$AF2915,"保留中"),"")</f>
        <v/>
      </c>
      <c r="AP2915" s="14">
        <f>IF($AQ2915="","",IF(SUMPRODUCT(MAX((職員マスタ!$A$6:$A$405=$B2915)*(((職員マスタ!$G$6:$G$405="")+(職員マスタ!$G$6:$G$405&lt;=EOMONTH($AQ2915,0)))&gt;0)*(((職員マスタ!$H$6:$H$405="")+(職員マスタ!$H$6:$H$405&gt;=$AQ2915))&gt;0)*(ROW(職員マスタ!$A$6:$A$405)-5)))&gt;0,SUMPRODUCT(MAX((職員マスタ!$A$6:$A$405=$B2915)*(((職員マスタ!$G$6:$G$405="")+(職員マスタ!$G$6:$G$405&lt;=EOMONTH($AQ2915,0)))&gt;0)*(((職員マスタ!$H$6:$H$405="")+(職員マスタ!$H$6:$H$405&gt;=$AQ2915))&gt;0)*(ROW(職員マスタ!$A$6:$A$405)-5))),IFERROR(MATCH($B2915,職員マスタ!$A$6:$A$405,0),"")))</f>
        <v/>
      </c>
      <c r="AQ2915" s="16">
        <f>IF(OR($B2915="",$C2915="",$D2915=""),"",DATE($C2915+2018,$D2915,1))</f>
        <v/>
      </c>
    </row>
    <row r="2916">
      <c r="A2916" s="11" t="n"/>
      <c r="B2916" s="12" t="n"/>
      <c r="C2916" s="12" t="n"/>
      <c r="D2916" s="12" t="n"/>
      <c r="E2916" s="13" t="n"/>
      <c r="F2916" s="12" t="n"/>
      <c r="G2916" s="13" t="n"/>
      <c r="H2916" s="12" t="n"/>
      <c r="I2916" s="12" t="n"/>
      <c r="J2916" s="12" t="n"/>
      <c r="K2916" s="12" t="n"/>
      <c r="L2916" s="11" t="n"/>
      <c r="M2916" s="11" t="n"/>
      <c r="N2916" s="11" t="n"/>
      <c r="O2916" s="11" t="n"/>
      <c r="P2916" s="12" t="n"/>
      <c r="Q2916" s="11" t="n"/>
      <c r="R2916" s="12" t="n"/>
      <c r="S2916" s="11" t="n"/>
      <c r="T2916" s="12" t="n"/>
      <c r="U2916" s="12" t="n"/>
      <c r="V2916" s="12" t="n"/>
      <c r="W2916" s="13" t="n"/>
      <c r="X2916" s="14">
        <f>IF($AP2916="",IF($B2916="","",$H2916),IF(INDEX(職員マスタ!$B$6:$B$405,$AP2916)="",$H2916,INDEX(職員マスタ!$B$6:$B$405,$AP2916)))</f>
        <v/>
      </c>
      <c r="Y2916" s="14">
        <f>IF($AP2916="",IF($B2916="","",$R2916),IF(INDEX(職員マスタ!$C$6:$C$405,$AP2916)="",$R2916,INDEX(職員マスタ!$C$6:$C$405,$AP2916)))</f>
        <v/>
      </c>
      <c r="Z2916" s="14">
        <f>IF($AQ2916="","","R"&amp;$C2916&amp;"."&amp;$D2916)</f>
        <v/>
      </c>
      <c r="AA2916" s="15">
        <f>IF(IF($AP2916="",FALSE,INDEX(職員マスタ!$K$6:$K$405,$AP2916)&lt;&gt;""),INDEX(職員マスタ!$K$6:$K$405,$AP2916),IF(N($W2916)&gt;0,$W2916,""))</f>
        <v/>
      </c>
      <c r="AB2916" s="14">
        <f>IF(OR($E2916="",$AA2916=""),"",IF($E2916&gt;=$AA2916,"×",IF($E2916&gt;=$AA2916*設定!$C$5,"△","○")))</f>
        <v/>
      </c>
      <c r="AC2916" s="15">
        <f>IF($AB2916="","",IF($AB2916="×",0,IF($AB2916="○",ROUNDDOWN($E2916*設定!$C$4,0),ROUNDDOWN($E2916*ROUND((9*$AA2916-9*$E2916)/(10*$E2916),4),0))))</f>
        <v/>
      </c>
      <c r="AD2916" s="13" t="n"/>
      <c r="AE2916" s="15">
        <f>IF($B2916="","",IF($AD2916&lt;&gt;"",$AD2916,IF($AC2916="","",IF($AC2916&lt;=設定!$C$3,0,$AC2916))))</f>
        <v/>
      </c>
      <c r="AF2916" s="14">
        <f>IF($B2916="","",IF(AND($AG2916&lt;&gt;"",$AI2916="",$AL2916=""),"保留中",IF($AL2916&lt;&gt;"",IF(N($AE2916)&gt;0,"支給済","不支給"),IF($AE2916="","要確認",IF($AE2916=0,"不支給","未処理")))))</f>
        <v/>
      </c>
      <c r="AG2916" s="12" t="n"/>
      <c r="AH2916" s="11" t="n"/>
      <c r="AI2916" s="11" t="n"/>
      <c r="AJ2916" s="11" t="n"/>
      <c r="AK2916" s="14">
        <f>IF(AND($AF2916="保留中",$AH2916&lt;&gt;""),TODAY()-$AH2916,"")</f>
        <v/>
      </c>
      <c r="AL2916" s="12" t="n"/>
      <c r="AM2916" s="14">
        <f>IF($B2916="","",IF($AQ2916="","対象年月が未入力／","")&amp;IF($B2916="","",IF($AP2916="","職員マスタに未登録の職員番号／",IF($AA2916="","標準報酬月額が未登録／","")&amp;IF(AND($AQ2916&lt;&gt;"",OR(AND(INDEX(職員マスタ!$G$6:$G$405,$AP2916)&lt;&gt;"",INDEX(職員マスタ!$G$6:$G$405,$AP2916)&gt;EOMONTH($AQ2916,0)),AND(INDEX(職員マスタ!$H$6:$H$405,$AP2916)&lt;&gt;"",INDEX(職員マスタ!$H$6:$H$405,$AP2916)&lt;$AQ2916))),"対象月が時短期間外／","")&amp;IF(AND(INDEX(職員マスタ!$K$6:$K$405,$AP2916)&lt;&gt;"",N($W2916)&gt;0,INDEX(職員マスタ!$K$6:$K$405,$AP2916)&lt;&gt;$W2916),"標準報酬月額が申請書と相違（台帳"&amp;TEXT(INDEX(職員マスタ!$K$6:$K$405,$AP2916),"#,##0")&amp;"円／申請書"&amp;TEXT($W2916,"#,##0")&amp;"円）／","")&amp;IF(AND(INDEX(職員マスタ!$F$6:$F$405,$AP2916)&lt;&gt;"",$AQ2916&lt;&gt;"",INDEX(職員マスタ!$F$6:$F$405,$AP2916)&lt;$AQ2916),"対象月に子が2歳到達済／","")&amp;IF(AND($H2916&lt;&gt;"",INDEX(職員マスタ!$B$6:$B$405,$AP2916)&lt;&gt;"",SUBSTITUTE(SUBSTITUTE($H2916," ","")," ","")&lt;&gt;SUBSTITUTE(SUBSTITUTE(INDEX(職員マスタ!$B$6:$B$405,$AP2916)," ","")," ","")),"氏名がマスタと相違／","")&amp;IF(AND($Q2916&lt;&gt;"",INDEX(職員マスタ!$E$6:$E$405,$AP2916)&lt;&gt;"",$Q2916&lt;&gt;INDEX(職員マスタ!$E$6:$E$405,$AP2916)),"子の生年月日がマスタと相違／","")&amp;IF(AND($L2916&lt;&gt;"",INDEX(職員マスタ!$G$6:$G$405,$AP2916)&lt;&gt;"",$L2916&lt;&gt;INDEX(職員マスタ!$G$6:$G$405,$AP2916)),"時短開始日がマスタと相違／","")&amp;IF(AND($M2916&lt;&gt;"",INDEX(職員マスタ!$H$6:$H$405,$AP2916)&lt;&gt;"",$M2916&lt;&gt;INDEX(職員マスタ!$H$6:$H$405,$AP2916)),"時短終了日がマスタと相違／","")))&amp;IF(AND($B2916&lt;&gt;"",$E2916=""),"報酬額が未入力／","")&amp;IF(N($U2916)&gt;0,"申請書に入力エラーが残っています／","")&amp;IF(AND($B2916&lt;&gt;"",$AQ2916&lt;&gt;""),IF(COUNTIFS($B$6:$B$3005,$B2916,$C$6:$C$3005,$C2916,$D$6:$D$3005,$D2916)&gt;1,"同じ月の請求が重複しています／",""),"")&amp;IF(AND(N($E2916)&gt;0,$AB2916&lt;&gt;"",$AB2916&lt;&gt;"×",$AE2916=0,$AD2916=""),"計算額が下限以下のため不支給／",""))</f>
        <v/>
      </c>
      <c r="AN2916" s="12" t="n"/>
      <c r="AO2916" s="14">
        <f>IF($AF2916="保留中",COUNTIF($AF$6:$AF2916,"保留中"),"")</f>
        <v/>
      </c>
      <c r="AP2916" s="14">
        <f>IF($AQ2916="","",IF(SUMPRODUCT(MAX((職員マスタ!$A$6:$A$405=$B2916)*(((職員マスタ!$G$6:$G$405="")+(職員マスタ!$G$6:$G$405&lt;=EOMONTH($AQ2916,0)))&gt;0)*(((職員マスタ!$H$6:$H$405="")+(職員マスタ!$H$6:$H$405&gt;=$AQ2916))&gt;0)*(ROW(職員マスタ!$A$6:$A$405)-5)))&gt;0,SUMPRODUCT(MAX((職員マスタ!$A$6:$A$405=$B2916)*(((職員マスタ!$G$6:$G$405="")+(職員マスタ!$G$6:$G$405&lt;=EOMONTH($AQ2916,0)))&gt;0)*(((職員マスタ!$H$6:$H$405="")+(職員マスタ!$H$6:$H$405&gt;=$AQ2916))&gt;0)*(ROW(職員マスタ!$A$6:$A$405)-5))),IFERROR(MATCH($B2916,職員マスタ!$A$6:$A$405,0),"")))</f>
        <v/>
      </c>
      <c r="AQ2916" s="16">
        <f>IF(OR($B2916="",$C2916="",$D2916=""),"",DATE($C2916+2018,$D2916,1))</f>
        <v/>
      </c>
    </row>
    <row r="2917">
      <c r="A2917" s="11" t="n"/>
      <c r="B2917" s="12" t="n"/>
      <c r="C2917" s="12" t="n"/>
      <c r="D2917" s="12" t="n"/>
      <c r="E2917" s="13" t="n"/>
      <c r="F2917" s="12" t="n"/>
      <c r="G2917" s="13" t="n"/>
      <c r="H2917" s="12" t="n"/>
      <c r="I2917" s="12" t="n"/>
      <c r="J2917" s="12" t="n"/>
      <c r="K2917" s="12" t="n"/>
      <c r="L2917" s="11" t="n"/>
      <c r="M2917" s="11" t="n"/>
      <c r="N2917" s="11" t="n"/>
      <c r="O2917" s="11" t="n"/>
      <c r="P2917" s="12" t="n"/>
      <c r="Q2917" s="11" t="n"/>
      <c r="R2917" s="12" t="n"/>
      <c r="S2917" s="11" t="n"/>
      <c r="T2917" s="12" t="n"/>
      <c r="U2917" s="12" t="n"/>
      <c r="V2917" s="12" t="n"/>
      <c r="W2917" s="13" t="n"/>
      <c r="X2917" s="14">
        <f>IF($AP2917="",IF($B2917="","",$H2917),IF(INDEX(職員マスタ!$B$6:$B$405,$AP2917)="",$H2917,INDEX(職員マスタ!$B$6:$B$405,$AP2917)))</f>
        <v/>
      </c>
      <c r="Y2917" s="14">
        <f>IF($AP2917="",IF($B2917="","",$R2917),IF(INDEX(職員マスタ!$C$6:$C$405,$AP2917)="",$R2917,INDEX(職員マスタ!$C$6:$C$405,$AP2917)))</f>
        <v/>
      </c>
      <c r="Z2917" s="14">
        <f>IF($AQ2917="","","R"&amp;$C2917&amp;"."&amp;$D2917)</f>
        <v/>
      </c>
      <c r="AA2917" s="15">
        <f>IF(IF($AP2917="",FALSE,INDEX(職員マスタ!$K$6:$K$405,$AP2917)&lt;&gt;""),INDEX(職員マスタ!$K$6:$K$405,$AP2917),IF(N($W2917)&gt;0,$W2917,""))</f>
        <v/>
      </c>
      <c r="AB2917" s="14">
        <f>IF(OR($E2917="",$AA2917=""),"",IF($E2917&gt;=$AA2917,"×",IF($E2917&gt;=$AA2917*設定!$C$5,"△","○")))</f>
        <v/>
      </c>
      <c r="AC2917" s="15">
        <f>IF($AB2917="","",IF($AB2917="×",0,IF($AB2917="○",ROUNDDOWN($E2917*設定!$C$4,0),ROUNDDOWN($E2917*ROUND((9*$AA2917-9*$E2917)/(10*$E2917),4),0))))</f>
        <v/>
      </c>
      <c r="AD2917" s="13" t="n"/>
      <c r="AE2917" s="15">
        <f>IF($B2917="","",IF($AD2917&lt;&gt;"",$AD2917,IF($AC2917="","",IF($AC2917&lt;=設定!$C$3,0,$AC2917))))</f>
        <v/>
      </c>
      <c r="AF2917" s="14">
        <f>IF($B2917="","",IF(AND($AG2917&lt;&gt;"",$AI2917="",$AL2917=""),"保留中",IF($AL2917&lt;&gt;"",IF(N($AE2917)&gt;0,"支給済","不支給"),IF($AE2917="","要確認",IF($AE2917=0,"不支給","未処理")))))</f>
        <v/>
      </c>
      <c r="AG2917" s="12" t="n"/>
      <c r="AH2917" s="11" t="n"/>
      <c r="AI2917" s="11" t="n"/>
      <c r="AJ2917" s="11" t="n"/>
      <c r="AK2917" s="14">
        <f>IF(AND($AF2917="保留中",$AH2917&lt;&gt;""),TODAY()-$AH2917,"")</f>
        <v/>
      </c>
      <c r="AL2917" s="12" t="n"/>
      <c r="AM2917" s="14">
        <f>IF($B2917="","",IF($AQ2917="","対象年月が未入力／","")&amp;IF($B2917="","",IF($AP2917="","職員マスタに未登録の職員番号／",IF($AA2917="","標準報酬月額が未登録／","")&amp;IF(AND($AQ2917&lt;&gt;"",OR(AND(INDEX(職員マスタ!$G$6:$G$405,$AP2917)&lt;&gt;"",INDEX(職員マスタ!$G$6:$G$405,$AP2917)&gt;EOMONTH($AQ2917,0)),AND(INDEX(職員マスタ!$H$6:$H$405,$AP2917)&lt;&gt;"",INDEX(職員マスタ!$H$6:$H$405,$AP2917)&lt;$AQ2917))),"対象月が時短期間外／","")&amp;IF(AND(INDEX(職員マスタ!$K$6:$K$405,$AP2917)&lt;&gt;"",N($W2917)&gt;0,INDEX(職員マスタ!$K$6:$K$405,$AP2917)&lt;&gt;$W2917),"標準報酬月額が申請書と相違（台帳"&amp;TEXT(INDEX(職員マスタ!$K$6:$K$405,$AP2917),"#,##0")&amp;"円／申請書"&amp;TEXT($W2917,"#,##0")&amp;"円）／","")&amp;IF(AND(INDEX(職員マスタ!$F$6:$F$405,$AP2917)&lt;&gt;"",$AQ2917&lt;&gt;"",INDEX(職員マスタ!$F$6:$F$405,$AP2917)&lt;$AQ2917),"対象月に子が2歳到達済／","")&amp;IF(AND($H2917&lt;&gt;"",INDEX(職員マスタ!$B$6:$B$405,$AP2917)&lt;&gt;"",SUBSTITUTE(SUBSTITUTE($H2917," ","")," ","")&lt;&gt;SUBSTITUTE(SUBSTITUTE(INDEX(職員マスタ!$B$6:$B$405,$AP2917)," ","")," ","")),"氏名がマスタと相違／","")&amp;IF(AND($Q2917&lt;&gt;"",INDEX(職員マスタ!$E$6:$E$405,$AP2917)&lt;&gt;"",$Q2917&lt;&gt;INDEX(職員マスタ!$E$6:$E$405,$AP2917)),"子の生年月日がマスタと相違／","")&amp;IF(AND($L2917&lt;&gt;"",INDEX(職員マスタ!$G$6:$G$405,$AP2917)&lt;&gt;"",$L2917&lt;&gt;INDEX(職員マスタ!$G$6:$G$405,$AP2917)),"時短開始日がマスタと相違／","")&amp;IF(AND($M2917&lt;&gt;"",INDEX(職員マスタ!$H$6:$H$405,$AP2917)&lt;&gt;"",$M2917&lt;&gt;INDEX(職員マスタ!$H$6:$H$405,$AP2917)),"時短終了日がマスタと相違／","")))&amp;IF(AND($B2917&lt;&gt;"",$E2917=""),"報酬額が未入力／","")&amp;IF(N($U2917)&gt;0,"申請書に入力エラーが残っています／","")&amp;IF(AND($B2917&lt;&gt;"",$AQ2917&lt;&gt;""),IF(COUNTIFS($B$6:$B$3005,$B2917,$C$6:$C$3005,$C2917,$D$6:$D$3005,$D2917)&gt;1,"同じ月の請求が重複しています／",""),"")&amp;IF(AND(N($E2917)&gt;0,$AB2917&lt;&gt;"",$AB2917&lt;&gt;"×",$AE2917=0,$AD2917=""),"計算額が下限以下のため不支給／",""))</f>
        <v/>
      </c>
      <c r="AN2917" s="12" t="n"/>
      <c r="AO2917" s="14">
        <f>IF($AF2917="保留中",COUNTIF($AF$6:$AF2917,"保留中"),"")</f>
        <v/>
      </c>
      <c r="AP2917" s="14">
        <f>IF($AQ2917="","",IF(SUMPRODUCT(MAX((職員マスタ!$A$6:$A$405=$B2917)*(((職員マスタ!$G$6:$G$405="")+(職員マスタ!$G$6:$G$405&lt;=EOMONTH($AQ2917,0)))&gt;0)*(((職員マスタ!$H$6:$H$405="")+(職員マスタ!$H$6:$H$405&gt;=$AQ2917))&gt;0)*(ROW(職員マスタ!$A$6:$A$405)-5)))&gt;0,SUMPRODUCT(MAX((職員マスタ!$A$6:$A$405=$B2917)*(((職員マスタ!$G$6:$G$405="")+(職員マスタ!$G$6:$G$405&lt;=EOMONTH($AQ2917,0)))&gt;0)*(((職員マスタ!$H$6:$H$405="")+(職員マスタ!$H$6:$H$405&gt;=$AQ2917))&gt;0)*(ROW(職員マスタ!$A$6:$A$405)-5))),IFERROR(MATCH($B2917,職員マスタ!$A$6:$A$405,0),"")))</f>
        <v/>
      </c>
      <c r="AQ2917" s="16">
        <f>IF(OR($B2917="",$C2917="",$D2917=""),"",DATE($C2917+2018,$D2917,1))</f>
        <v/>
      </c>
    </row>
    <row r="2918">
      <c r="A2918" s="11" t="n"/>
      <c r="B2918" s="12" t="n"/>
      <c r="C2918" s="12" t="n"/>
      <c r="D2918" s="12" t="n"/>
      <c r="E2918" s="13" t="n"/>
      <c r="F2918" s="12" t="n"/>
      <c r="G2918" s="13" t="n"/>
      <c r="H2918" s="12" t="n"/>
      <c r="I2918" s="12" t="n"/>
      <c r="J2918" s="12" t="n"/>
      <c r="K2918" s="12" t="n"/>
      <c r="L2918" s="11" t="n"/>
      <c r="M2918" s="11" t="n"/>
      <c r="N2918" s="11" t="n"/>
      <c r="O2918" s="11" t="n"/>
      <c r="P2918" s="12" t="n"/>
      <c r="Q2918" s="11" t="n"/>
      <c r="R2918" s="12" t="n"/>
      <c r="S2918" s="11" t="n"/>
      <c r="T2918" s="12" t="n"/>
      <c r="U2918" s="12" t="n"/>
      <c r="V2918" s="12" t="n"/>
      <c r="W2918" s="13" t="n"/>
      <c r="X2918" s="14">
        <f>IF($AP2918="",IF($B2918="","",$H2918),IF(INDEX(職員マスタ!$B$6:$B$405,$AP2918)="",$H2918,INDEX(職員マスタ!$B$6:$B$405,$AP2918)))</f>
        <v/>
      </c>
      <c r="Y2918" s="14">
        <f>IF($AP2918="",IF($B2918="","",$R2918),IF(INDEX(職員マスタ!$C$6:$C$405,$AP2918)="",$R2918,INDEX(職員マスタ!$C$6:$C$405,$AP2918)))</f>
        <v/>
      </c>
      <c r="Z2918" s="14">
        <f>IF($AQ2918="","","R"&amp;$C2918&amp;"."&amp;$D2918)</f>
        <v/>
      </c>
      <c r="AA2918" s="15">
        <f>IF(IF($AP2918="",FALSE,INDEX(職員マスタ!$K$6:$K$405,$AP2918)&lt;&gt;""),INDEX(職員マスタ!$K$6:$K$405,$AP2918),IF(N($W2918)&gt;0,$W2918,""))</f>
        <v/>
      </c>
      <c r="AB2918" s="14">
        <f>IF(OR($E2918="",$AA2918=""),"",IF($E2918&gt;=$AA2918,"×",IF($E2918&gt;=$AA2918*設定!$C$5,"△","○")))</f>
        <v/>
      </c>
      <c r="AC2918" s="15">
        <f>IF($AB2918="","",IF($AB2918="×",0,IF($AB2918="○",ROUNDDOWN($E2918*設定!$C$4,0),ROUNDDOWN($E2918*ROUND((9*$AA2918-9*$E2918)/(10*$E2918),4),0))))</f>
        <v/>
      </c>
      <c r="AD2918" s="13" t="n"/>
      <c r="AE2918" s="15">
        <f>IF($B2918="","",IF($AD2918&lt;&gt;"",$AD2918,IF($AC2918="","",IF($AC2918&lt;=設定!$C$3,0,$AC2918))))</f>
        <v/>
      </c>
      <c r="AF2918" s="14">
        <f>IF($B2918="","",IF(AND($AG2918&lt;&gt;"",$AI2918="",$AL2918=""),"保留中",IF($AL2918&lt;&gt;"",IF(N($AE2918)&gt;0,"支給済","不支給"),IF($AE2918="","要確認",IF($AE2918=0,"不支給","未処理")))))</f>
        <v/>
      </c>
      <c r="AG2918" s="12" t="n"/>
      <c r="AH2918" s="11" t="n"/>
      <c r="AI2918" s="11" t="n"/>
      <c r="AJ2918" s="11" t="n"/>
      <c r="AK2918" s="14">
        <f>IF(AND($AF2918="保留中",$AH2918&lt;&gt;""),TODAY()-$AH2918,"")</f>
        <v/>
      </c>
      <c r="AL2918" s="12" t="n"/>
      <c r="AM2918" s="14">
        <f>IF($B2918="","",IF($AQ2918="","対象年月が未入力／","")&amp;IF($B2918="","",IF($AP2918="","職員マスタに未登録の職員番号／",IF($AA2918="","標準報酬月額が未登録／","")&amp;IF(AND($AQ2918&lt;&gt;"",OR(AND(INDEX(職員マスタ!$G$6:$G$405,$AP2918)&lt;&gt;"",INDEX(職員マスタ!$G$6:$G$405,$AP2918)&gt;EOMONTH($AQ2918,0)),AND(INDEX(職員マスタ!$H$6:$H$405,$AP2918)&lt;&gt;"",INDEX(職員マスタ!$H$6:$H$405,$AP2918)&lt;$AQ2918))),"対象月が時短期間外／","")&amp;IF(AND(INDEX(職員マスタ!$K$6:$K$405,$AP2918)&lt;&gt;"",N($W2918)&gt;0,INDEX(職員マスタ!$K$6:$K$405,$AP2918)&lt;&gt;$W2918),"標準報酬月額が申請書と相違（台帳"&amp;TEXT(INDEX(職員マスタ!$K$6:$K$405,$AP2918),"#,##0")&amp;"円／申請書"&amp;TEXT($W2918,"#,##0")&amp;"円）／","")&amp;IF(AND(INDEX(職員マスタ!$F$6:$F$405,$AP2918)&lt;&gt;"",$AQ2918&lt;&gt;"",INDEX(職員マスタ!$F$6:$F$405,$AP2918)&lt;$AQ2918),"対象月に子が2歳到達済／","")&amp;IF(AND($H2918&lt;&gt;"",INDEX(職員マスタ!$B$6:$B$405,$AP2918)&lt;&gt;"",SUBSTITUTE(SUBSTITUTE($H2918," ","")," ","")&lt;&gt;SUBSTITUTE(SUBSTITUTE(INDEX(職員マスタ!$B$6:$B$405,$AP2918)," ","")," ","")),"氏名がマスタと相違／","")&amp;IF(AND($Q2918&lt;&gt;"",INDEX(職員マスタ!$E$6:$E$405,$AP2918)&lt;&gt;"",$Q2918&lt;&gt;INDEX(職員マスタ!$E$6:$E$405,$AP2918)),"子の生年月日がマスタと相違／","")&amp;IF(AND($L2918&lt;&gt;"",INDEX(職員マスタ!$G$6:$G$405,$AP2918)&lt;&gt;"",$L2918&lt;&gt;INDEX(職員マスタ!$G$6:$G$405,$AP2918)),"時短開始日がマスタと相違／","")&amp;IF(AND($M2918&lt;&gt;"",INDEX(職員マスタ!$H$6:$H$405,$AP2918)&lt;&gt;"",$M2918&lt;&gt;INDEX(職員マスタ!$H$6:$H$405,$AP2918)),"時短終了日がマスタと相違／","")))&amp;IF(AND($B2918&lt;&gt;"",$E2918=""),"報酬額が未入力／","")&amp;IF(N($U2918)&gt;0,"申請書に入力エラーが残っています／","")&amp;IF(AND($B2918&lt;&gt;"",$AQ2918&lt;&gt;""),IF(COUNTIFS($B$6:$B$3005,$B2918,$C$6:$C$3005,$C2918,$D$6:$D$3005,$D2918)&gt;1,"同じ月の請求が重複しています／",""),"")&amp;IF(AND(N($E2918)&gt;0,$AB2918&lt;&gt;"",$AB2918&lt;&gt;"×",$AE2918=0,$AD2918=""),"計算額が下限以下のため不支給／",""))</f>
        <v/>
      </c>
      <c r="AN2918" s="12" t="n"/>
      <c r="AO2918" s="14">
        <f>IF($AF2918="保留中",COUNTIF($AF$6:$AF2918,"保留中"),"")</f>
        <v/>
      </c>
      <c r="AP2918" s="14">
        <f>IF($AQ2918="","",IF(SUMPRODUCT(MAX((職員マスタ!$A$6:$A$405=$B2918)*(((職員マスタ!$G$6:$G$405="")+(職員マスタ!$G$6:$G$405&lt;=EOMONTH($AQ2918,0)))&gt;0)*(((職員マスタ!$H$6:$H$405="")+(職員マスタ!$H$6:$H$405&gt;=$AQ2918))&gt;0)*(ROW(職員マスタ!$A$6:$A$405)-5)))&gt;0,SUMPRODUCT(MAX((職員マスタ!$A$6:$A$405=$B2918)*(((職員マスタ!$G$6:$G$405="")+(職員マスタ!$G$6:$G$405&lt;=EOMONTH($AQ2918,0)))&gt;0)*(((職員マスタ!$H$6:$H$405="")+(職員マスタ!$H$6:$H$405&gt;=$AQ2918))&gt;0)*(ROW(職員マスタ!$A$6:$A$405)-5))),IFERROR(MATCH($B2918,職員マスタ!$A$6:$A$405,0),"")))</f>
        <v/>
      </c>
      <c r="AQ2918" s="16">
        <f>IF(OR($B2918="",$C2918="",$D2918=""),"",DATE($C2918+2018,$D2918,1))</f>
        <v/>
      </c>
    </row>
    <row r="2919">
      <c r="A2919" s="11" t="n"/>
      <c r="B2919" s="12" t="n"/>
      <c r="C2919" s="12" t="n"/>
      <c r="D2919" s="12" t="n"/>
      <c r="E2919" s="13" t="n"/>
      <c r="F2919" s="12" t="n"/>
      <c r="G2919" s="13" t="n"/>
      <c r="H2919" s="12" t="n"/>
      <c r="I2919" s="12" t="n"/>
      <c r="J2919" s="12" t="n"/>
      <c r="K2919" s="12" t="n"/>
      <c r="L2919" s="11" t="n"/>
      <c r="M2919" s="11" t="n"/>
      <c r="N2919" s="11" t="n"/>
      <c r="O2919" s="11" t="n"/>
      <c r="P2919" s="12" t="n"/>
      <c r="Q2919" s="11" t="n"/>
      <c r="R2919" s="12" t="n"/>
      <c r="S2919" s="11" t="n"/>
      <c r="T2919" s="12" t="n"/>
      <c r="U2919" s="12" t="n"/>
      <c r="V2919" s="12" t="n"/>
      <c r="W2919" s="13" t="n"/>
      <c r="X2919" s="14">
        <f>IF($AP2919="",IF($B2919="","",$H2919),IF(INDEX(職員マスタ!$B$6:$B$405,$AP2919)="",$H2919,INDEX(職員マスタ!$B$6:$B$405,$AP2919)))</f>
        <v/>
      </c>
      <c r="Y2919" s="14">
        <f>IF($AP2919="",IF($B2919="","",$R2919),IF(INDEX(職員マスタ!$C$6:$C$405,$AP2919)="",$R2919,INDEX(職員マスタ!$C$6:$C$405,$AP2919)))</f>
        <v/>
      </c>
      <c r="Z2919" s="14">
        <f>IF($AQ2919="","","R"&amp;$C2919&amp;"."&amp;$D2919)</f>
        <v/>
      </c>
      <c r="AA2919" s="15">
        <f>IF(IF($AP2919="",FALSE,INDEX(職員マスタ!$K$6:$K$405,$AP2919)&lt;&gt;""),INDEX(職員マスタ!$K$6:$K$405,$AP2919),IF(N($W2919)&gt;0,$W2919,""))</f>
        <v/>
      </c>
      <c r="AB2919" s="14">
        <f>IF(OR($E2919="",$AA2919=""),"",IF($E2919&gt;=$AA2919,"×",IF($E2919&gt;=$AA2919*設定!$C$5,"△","○")))</f>
        <v/>
      </c>
      <c r="AC2919" s="15">
        <f>IF($AB2919="","",IF($AB2919="×",0,IF($AB2919="○",ROUNDDOWN($E2919*設定!$C$4,0),ROUNDDOWN($E2919*ROUND((9*$AA2919-9*$E2919)/(10*$E2919),4),0))))</f>
        <v/>
      </c>
      <c r="AD2919" s="13" t="n"/>
      <c r="AE2919" s="15">
        <f>IF($B2919="","",IF($AD2919&lt;&gt;"",$AD2919,IF($AC2919="","",IF($AC2919&lt;=設定!$C$3,0,$AC2919))))</f>
        <v/>
      </c>
      <c r="AF2919" s="14">
        <f>IF($B2919="","",IF(AND($AG2919&lt;&gt;"",$AI2919="",$AL2919=""),"保留中",IF($AL2919&lt;&gt;"",IF(N($AE2919)&gt;0,"支給済","不支給"),IF($AE2919="","要確認",IF($AE2919=0,"不支給","未処理")))))</f>
        <v/>
      </c>
      <c r="AG2919" s="12" t="n"/>
      <c r="AH2919" s="11" t="n"/>
      <c r="AI2919" s="11" t="n"/>
      <c r="AJ2919" s="11" t="n"/>
      <c r="AK2919" s="14">
        <f>IF(AND($AF2919="保留中",$AH2919&lt;&gt;""),TODAY()-$AH2919,"")</f>
        <v/>
      </c>
      <c r="AL2919" s="12" t="n"/>
      <c r="AM2919" s="14">
        <f>IF($B2919="","",IF($AQ2919="","対象年月が未入力／","")&amp;IF($B2919="","",IF($AP2919="","職員マスタに未登録の職員番号／",IF($AA2919="","標準報酬月額が未登録／","")&amp;IF(AND($AQ2919&lt;&gt;"",OR(AND(INDEX(職員マスタ!$G$6:$G$405,$AP2919)&lt;&gt;"",INDEX(職員マスタ!$G$6:$G$405,$AP2919)&gt;EOMONTH($AQ2919,0)),AND(INDEX(職員マスタ!$H$6:$H$405,$AP2919)&lt;&gt;"",INDEX(職員マスタ!$H$6:$H$405,$AP2919)&lt;$AQ2919))),"対象月が時短期間外／","")&amp;IF(AND(INDEX(職員マスタ!$K$6:$K$405,$AP2919)&lt;&gt;"",N($W2919)&gt;0,INDEX(職員マスタ!$K$6:$K$405,$AP2919)&lt;&gt;$W2919),"標準報酬月額が申請書と相違（台帳"&amp;TEXT(INDEX(職員マスタ!$K$6:$K$405,$AP2919),"#,##0")&amp;"円／申請書"&amp;TEXT($W2919,"#,##0")&amp;"円）／","")&amp;IF(AND(INDEX(職員マスタ!$F$6:$F$405,$AP2919)&lt;&gt;"",$AQ2919&lt;&gt;"",INDEX(職員マスタ!$F$6:$F$405,$AP2919)&lt;$AQ2919),"対象月に子が2歳到達済／","")&amp;IF(AND($H2919&lt;&gt;"",INDEX(職員マスタ!$B$6:$B$405,$AP2919)&lt;&gt;"",SUBSTITUTE(SUBSTITUTE($H2919," ","")," ","")&lt;&gt;SUBSTITUTE(SUBSTITUTE(INDEX(職員マスタ!$B$6:$B$405,$AP2919)," ","")," ","")),"氏名がマスタと相違／","")&amp;IF(AND($Q2919&lt;&gt;"",INDEX(職員マスタ!$E$6:$E$405,$AP2919)&lt;&gt;"",$Q2919&lt;&gt;INDEX(職員マスタ!$E$6:$E$405,$AP2919)),"子の生年月日がマスタと相違／","")&amp;IF(AND($L2919&lt;&gt;"",INDEX(職員マスタ!$G$6:$G$405,$AP2919)&lt;&gt;"",$L2919&lt;&gt;INDEX(職員マスタ!$G$6:$G$405,$AP2919)),"時短開始日がマスタと相違／","")&amp;IF(AND($M2919&lt;&gt;"",INDEX(職員マスタ!$H$6:$H$405,$AP2919)&lt;&gt;"",$M2919&lt;&gt;INDEX(職員マスタ!$H$6:$H$405,$AP2919)),"時短終了日がマスタと相違／","")))&amp;IF(AND($B2919&lt;&gt;"",$E2919=""),"報酬額が未入力／","")&amp;IF(N($U2919)&gt;0,"申請書に入力エラーが残っています／","")&amp;IF(AND($B2919&lt;&gt;"",$AQ2919&lt;&gt;""),IF(COUNTIFS($B$6:$B$3005,$B2919,$C$6:$C$3005,$C2919,$D$6:$D$3005,$D2919)&gt;1,"同じ月の請求が重複しています／",""),"")&amp;IF(AND(N($E2919)&gt;0,$AB2919&lt;&gt;"",$AB2919&lt;&gt;"×",$AE2919=0,$AD2919=""),"計算額が下限以下のため不支給／",""))</f>
        <v/>
      </c>
      <c r="AN2919" s="12" t="n"/>
      <c r="AO2919" s="14">
        <f>IF($AF2919="保留中",COUNTIF($AF$6:$AF2919,"保留中"),"")</f>
        <v/>
      </c>
      <c r="AP2919" s="14">
        <f>IF($AQ2919="","",IF(SUMPRODUCT(MAX((職員マスタ!$A$6:$A$405=$B2919)*(((職員マスタ!$G$6:$G$405="")+(職員マスタ!$G$6:$G$405&lt;=EOMONTH($AQ2919,0)))&gt;0)*(((職員マスタ!$H$6:$H$405="")+(職員マスタ!$H$6:$H$405&gt;=$AQ2919))&gt;0)*(ROW(職員マスタ!$A$6:$A$405)-5)))&gt;0,SUMPRODUCT(MAX((職員マスタ!$A$6:$A$405=$B2919)*(((職員マスタ!$G$6:$G$405="")+(職員マスタ!$G$6:$G$405&lt;=EOMONTH($AQ2919,0)))&gt;0)*(((職員マスタ!$H$6:$H$405="")+(職員マスタ!$H$6:$H$405&gt;=$AQ2919))&gt;0)*(ROW(職員マスタ!$A$6:$A$405)-5))),IFERROR(MATCH($B2919,職員マスタ!$A$6:$A$405,0),"")))</f>
        <v/>
      </c>
      <c r="AQ2919" s="16">
        <f>IF(OR($B2919="",$C2919="",$D2919=""),"",DATE($C2919+2018,$D2919,1))</f>
        <v/>
      </c>
    </row>
    <row r="2920">
      <c r="A2920" s="11" t="n"/>
      <c r="B2920" s="12" t="n"/>
      <c r="C2920" s="12" t="n"/>
      <c r="D2920" s="12" t="n"/>
      <c r="E2920" s="13" t="n"/>
      <c r="F2920" s="12" t="n"/>
      <c r="G2920" s="13" t="n"/>
      <c r="H2920" s="12" t="n"/>
      <c r="I2920" s="12" t="n"/>
      <c r="J2920" s="12" t="n"/>
      <c r="K2920" s="12" t="n"/>
      <c r="L2920" s="11" t="n"/>
      <c r="M2920" s="11" t="n"/>
      <c r="N2920" s="11" t="n"/>
      <c r="O2920" s="11" t="n"/>
      <c r="P2920" s="12" t="n"/>
      <c r="Q2920" s="11" t="n"/>
      <c r="R2920" s="12" t="n"/>
      <c r="S2920" s="11" t="n"/>
      <c r="T2920" s="12" t="n"/>
      <c r="U2920" s="12" t="n"/>
      <c r="V2920" s="12" t="n"/>
      <c r="W2920" s="13" t="n"/>
      <c r="X2920" s="14">
        <f>IF($AP2920="",IF($B2920="","",$H2920),IF(INDEX(職員マスタ!$B$6:$B$405,$AP2920)="",$H2920,INDEX(職員マスタ!$B$6:$B$405,$AP2920)))</f>
        <v/>
      </c>
      <c r="Y2920" s="14">
        <f>IF($AP2920="",IF($B2920="","",$R2920),IF(INDEX(職員マスタ!$C$6:$C$405,$AP2920)="",$R2920,INDEX(職員マスタ!$C$6:$C$405,$AP2920)))</f>
        <v/>
      </c>
      <c r="Z2920" s="14">
        <f>IF($AQ2920="","","R"&amp;$C2920&amp;"."&amp;$D2920)</f>
        <v/>
      </c>
      <c r="AA2920" s="15">
        <f>IF(IF($AP2920="",FALSE,INDEX(職員マスタ!$K$6:$K$405,$AP2920)&lt;&gt;""),INDEX(職員マスタ!$K$6:$K$405,$AP2920),IF(N($W2920)&gt;0,$W2920,""))</f>
        <v/>
      </c>
      <c r="AB2920" s="14">
        <f>IF(OR($E2920="",$AA2920=""),"",IF($E2920&gt;=$AA2920,"×",IF($E2920&gt;=$AA2920*設定!$C$5,"△","○")))</f>
        <v/>
      </c>
      <c r="AC2920" s="15">
        <f>IF($AB2920="","",IF($AB2920="×",0,IF($AB2920="○",ROUNDDOWN($E2920*設定!$C$4,0),ROUNDDOWN($E2920*ROUND((9*$AA2920-9*$E2920)/(10*$E2920),4),0))))</f>
        <v/>
      </c>
      <c r="AD2920" s="13" t="n"/>
      <c r="AE2920" s="15">
        <f>IF($B2920="","",IF($AD2920&lt;&gt;"",$AD2920,IF($AC2920="","",IF($AC2920&lt;=設定!$C$3,0,$AC2920))))</f>
        <v/>
      </c>
      <c r="AF2920" s="14">
        <f>IF($B2920="","",IF(AND($AG2920&lt;&gt;"",$AI2920="",$AL2920=""),"保留中",IF($AL2920&lt;&gt;"",IF(N($AE2920)&gt;0,"支給済","不支給"),IF($AE2920="","要確認",IF($AE2920=0,"不支給","未処理")))))</f>
        <v/>
      </c>
      <c r="AG2920" s="12" t="n"/>
      <c r="AH2920" s="11" t="n"/>
      <c r="AI2920" s="11" t="n"/>
      <c r="AJ2920" s="11" t="n"/>
      <c r="AK2920" s="14">
        <f>IF(AND($AF2920="保留中",$AH2920&lt;&gt;""),TODAY()-$AH2920,"")</f>
        <v/>
      </c>
      <c r="AL2920" s="12" t="n"/>
      <c r="AM2920" s="14">
        <f>IF($B2920="","",IF($AQ2920="","対象年月が未入力／","")&amp;IF($B2920="","",IF($AP2920="","職員マスタに未登録の職員番号／",IF($AA2920="","標準報酬月額が未登録／","")&amp;IF(AND($AQ2920&lt;&gt;"",OR(AND(INDEX(職員マスタ!$G$6:$G$405,$AP2920)&lt;&gt;"",INDEX(職員マスタ!$G$6:$G$405,$AP2920)&gt;EOMONTH($AQ2920,0)),AND(INDEX(職員マスタ!$H$6:$H$405,$AP2920)&lt;&gt;"",INDEX(職員マスタ!$H$6:$H$405,$AP2920)&lt;$AQ2920))),"対象月が時短期間外／","")&amp;IF(AND(INDEX(職員マスタ!$K$6:$K$405,$AP2920)&lt;&gt;"",N($W2920)&gt;0,INDEX(職員マスタ!$K$6:$K$405,$AP2920)&lt;&gt;$W2920),"標準報酬月額が申請書と相違（台帳"&amp;TEXT(INDEX(職員マスタ!$K$6:$K$405,$AP2920),"#,##0")&amp;"円／申請書"&amp;TEXT($W2920,"#,##0")&amp;"円）／","")&amp;IF(AND(INDEX(職員マスタ!$F$6:$F$405,$AP2920)&lt;&gt;"",$AQ2920&lt;&gt;"",INDEX(職員マスタ!$F$6:$F$405,$AP2920)&lt;$AQ2920),"対象月に子が2歳到達済／","")&amp;IF(AND($H2920&lt;&gt;"",INDEX(職員マスタ!$B$6:$B$405,$AP2920)&lt;&gt;"",SUBSTITUTE(SUBSTITUTE($H2920," ","")," ","")&lt;&gt;SUBSTITUTE(SUBSTITUTE(INDEX(職員マスタ!$B$6:$B$405,$AP2920)," ","")," ","")),"氏名がマスタと相違／","")&amp;IF(AND($Q2920&lt;&gt;"",INDEX(職員マスタ!$E$6:$E$405,$AP2920)&lt;&gt;"",$Q2920&lt;&gt;INDEX(職員マスタ!$E$6:$E$405,$AP2920)),"子の生年月日がマスタと相違／","")&amp;IF(AND($L2920&lt;&gt;"",INDEX(職員マスタ!$G$6:$G$405,$AP2920)&lt;&gt;"",$L2920&lt;&gt;INDEX(職員マスタ!$G$6:$G$405,$AP2920)),"時短開始日がマスタと相違／","")&amp;IF(AND($M2920&lt;&gt;"",INDEX(職員マスタ!$H$6:$H$405,$AP2920)&lt;&gt;"",$M2920&lt;&gt;INDEX(職員マスタ!$H$6:$H$405,$AP2920)),"時短終了日がマスタと相違／","")))&amp;IF(AND($B2920&lt;&gt;"",$E2920=""),"報酬額が未入力／","")&amp;IF(N($U2920)&gt;0,"申請書に入力エラーが残っています／","")&amp;IF(AND($B2920&lt;&gt;"",$AQ2920&lt;&gt;""),IF(COUNTIFS($B$6:$B$3005,$B2920,$C$6:$C$3005,$C2920,$D$6:$D$3005,$D2920)&gt;1,"同じ月の請求が重複しています／",""),"")&amp;IF(AND(N($E2920)&gt;0,$AB2920&lt;&gt;"",$AB2920&lt;&gt;"×",$AE2920=0,$AD2920=""),"計算額が下限以下のため不支給／",""))</f>
        <v/>
      </c>
      <c r="AN2920" s="12" t="n"/>
      <c r="AO2920" s="14">
        <f>IF($AF2920="保留中",COUNTIF($AF$6:$AF2920,"保留中"),"")</f>
        <v/>
      </c>
      <c r="AP2920" s="14">
        <f>IF($AQ2920="","",IF(SUMPRODUCT(MAX((職員マスタ!$A$6:$A$405=$B2920)*(((職員マスタ!$G$6:$G$405="")+(職員マスタ!$G$6:$G$405&lt;=EOMONTH($AQ2920,0)))&gt;0)*(((職員マスタ!$H$6:$H$405="")+(職員マスタ!$H$6:$H$405&gt;=$AQ2920))&gt;0)*(ROW(職員マスタ!$A$6:$A$405)-5)))&gt;0,SUMPRODUCT(MAX((職員マスタ!$A$6:$A$405=$B2920)*(((職員マスタ!$G$6:$G$405="")+(職員マスタ!$G$6:$G$405&lt;=EOMONTH($AQ2920,0)))&gt;0)*(((職員マスタ!$H$6:$H$405="")+(職員マスタ!$H$6:$H$405&gt;=$AQ2920))&gt;0)*(ROW(職員マスタ!$A$6:$A$405)-5))),IFERROR(MATCH($B2920,職員マスタ!$A$6:$A$405,0),"")))</f>
        <v/>
      </c>
      <c r="AQ2920" s="16">
        <f>IF(OR($B2920="",$C2920="",$D2920=""),"",DATE($C2920+2018,$D2920,1))</f>
        <v/>
      </c>
    </row>
    <row r="2921">
      <c r="A2921" s="11" t="n"/>
      <c r="B2921" s="12" t="n"/>
      <c r="C2921" s="12" t="n"/>
      <c r="D2921" s="12" t="n"/>
      <c r="E2921" s="13" t="n"/>
      <c r="F2921" s="12" t="n"/>
      <c r="G2921" s="13" t="n"/>
      <c r="H2921" s="12" t="n"/>
      <c r="I2921" s="12" t="n"/>
      <c r="J2921" s="12" t="n"/>
      <c r="K2921" s="12" t="n"/>
      <c r="L2921" s="11" t="n"/>
      <c r="M2921" s="11" t="n"/>
      <c r="N2921" s="11" t="n"/>
      <c r="O2921" s="11" t="n"/>
      <c r="P2921" s="12" t="n"/>
      <c r="Q2921" s="11" t="n"/>
      <c r="R2921" s="12" t="n"/>
      <c r="S2921" s="11" t="n"/>
      <c r="T2921" s="12" t="n"/>
      <c r="U2921" s="12" t="n"/>
      <c r="V2921" s="12" t="n"/>
      <c r="W2921" s="13" t="n"/>
      <c r="X2921" s="14">
        <f>IF($AP2921="",IF($B2921="","",$H2921),IF(INDEX(職員マスタ!$B$6:$B$405,$AP2921)="",$H2921,INDEX(職員マスタ!$B$6:$B$405,$AP2921)))</f>
        <v/>
      </c>
      <c r="Y2921" s="14">
        <f>IF($AP2921="",IF($B2921="","",$R2921),IF(INDEX(職員マスタ!$C$6:$C$405,$AP2921)="",$R2921,INDEX(職員マスタ!$C$6:$C$405,$AP2921)))</f>
        <v/>
      </c>
      <c r="Z2921" s="14">
        <f>IF($AQ2921="","","R"&amp;$C2921&amp;"."&amp;$D2921)</f>
        <v/>
      </c>
      <c r="AA2921" s="15">
        <f>IF(IF($AP2921="",FALSE,INDEX(職員マスタ!$K$6:$K$405,$AP2921)&lt;&gt;""),INDEX(職員マスタ!$K$6:$K$405,$AP2921),IF(N($W2921)&gt;0,$W2921,""))</f>
        <v/>
      </c>
      <c r="AB2921" s="14">
        <f>IF(OR($E2921="",$AA2921=""),"",IF($E2921&gt;=$AA2921,"×",IF($E2921&gt;=$AA2921*設定!$C$5,"△","○")))</f>
        <v/>
      </c>
      <c r="AC2921" s="15">
        <f>IF($AB2921="","",IF($AB2921="×",0,IF($AB2921="○",ROUNDDOWN($E2921*設定!$C$4,0),ROUNDDOWN($E2921*ROUND((9*$AA2921-9*$E2921)/(10*$E2921),4),0))))</f>
        <v/>
      </c>
      <c r="AD2921" s="13" t="n"/>
      <c r="AE2921" s="15">
        <f>IF($B2921="","",IF($AD2921&lt;&gt;"",$AD2921,IF($AC2921="","",IF($AC2921&lt;=設定!$C$3,0,$AC2921))))</f>
        <v/>
      </c>
      <c r="AF2921" s="14">
        <f>IF($B2921="","",IF(AND($AG2921&lt;&gt;"",$AI2921="",$AL2921=""),"保留中",IF($AL2921&lt;&gt;"",IF(N($AE2921)&gt;0,"支給済","不支給"),IF($AE2921="","要確認",IF($AE2921=0,"不支給","未処理")))))</f>
        <v/>
      </c>
      <c r="AG2921" s="12" t="n"/>
      <c r="AH2921" s="11" t="n"/>
      <c r="AI2921" s="11" t="n"/>
      <c r="AJ2921" s="11" t="n"/>
      <c r="AK2921" s="14">
        <f>IF(AND($AF2921="保留中",$AH2921&lt;&gt;""),TODAY()-$AH2921,"")</f>
        <v/>
      </c>
      <c r="AL2921" s="12" t="n"/>
      <c r="AM2921" s="14">
        <f>IF($B2921="","",IF($AQ2921="","対象年月が未入力／","")&amp;IF($B2921="","",IF($AP2921="","職員マスタに未登録の職員番号／",IF($AA2921="","標準報酬月額が未登録／","")&amp;IF(AND($AQ2921&lt;&gt;"",OR(AND(INDEX(職員マスタ!$G$6:$G$405,$AP2921)&lt;&gt;"",INDEX(職員マスタ!$G$6:$G$405,$AP2921)&gt;EOMONTH($AQ2921,0)),AND(INDEX(職員マスタ!$H$6:$H$405,$AP2921)&lt;&gt;"",INDEX(職員マスタ!$H$6:$H$405,$AP2921)&lt;$AQ2921))),"対象月が時短期間外／","")&amp;IF(AND(INDEX(職員マスタ!$K$6:$K$405,$AP2921)&lt;&gt;"",N($W2921)&gt;0,INDEX(職員マスタ!$K$6:$K$405,$AP2921)&lt;&gt;$W2921),"標準報酬月額が申請書と相違（台帳"&amp;TEXT(INDEX(職員マスタ!$K$6:$K$405,$AP2921),"#,##0")&amp;"円／申請書"&amp;TEXT($W2921,"#,##0")&amp;"円）／","")&amp;IF(AND(INDEX(職員マスタ!$F$6:$F$405,$AP2921)&lt;&gt;"",$AQ2921&lt;&gt;"",INDEX(職員マスタ!$F$6:$F$405,$AP2921)&lt;$AQ2921),"対象月に子が2歳到達済／","")&amp;IF(AND($H2921&lt;&gt;"",INDEX(職員マスタ!$B$6:$B$405,$AP2921)&lt;&gt;"",SUBSTITUTE(SUBSTITUTE($H2921," ","")," ","")&lt;&gt;SUBSTITUTE(SUBSTITUTE(INDEX(職員マスタ!$B$6:$B$405,$AP2921)," ","")," ","")),"氏名がマスタと相違／","")&amp;IF(AND($Q2921&lt;&gt;"",INDEX(職員マスタ!$E$6:$E$405,$AP2921)&lt;&gt;"",$Q2921&lt;&gt;INDEX(職員マスタ!$E$6:$E$405,$AP2921)),"子の生年月日がマスタと相違／","")&amp;IF(AND($L2921&lt;&gt;"",INDEX(職員マスタ!$G$6:$G$405,$AP2921)&lt;&gt;"",$L2921&lt;&gt;INDEX(職員マスタ!$G$6:$G$405,$AP2921)),"時短開始日がマスタと相違／","")&amp;IF(AND($M2921&lt;&gt;"",INDEX(職員マスタ!$H$6:$H$405,$AP2921)&lt;&gt;"",$M2921&lt;&gt;INDEX(職員マスタ!$H$6:$H$405,$AP2921)),"時短終了日がマスタと相違／","")))&amp;IF(AND($B2921&lt;&gt;"",$E2921=""),"報酬額が未入力／","")&amp;IF(N($U2921)&gt;0,"申請書に入力エラーが残っています／","")&amp;IF(AND($B2921&lt;&gt;"",$AQ2921&lt;&gt;""),IF(COUNTIFS($B$6:$B$3005,$B2921,$C$6:$C$3005,$C2921,$D$6:$D$3005,$D2921)&gt;1,"同じ月の請求が重複しています／",""),"")&amp;IF(AND(N($E2921)&gt;0,$AB2921&lt;&gt;"",$AB2921&lt;&gt;"×",$AE2921=0,$AD2921=""),"計算額が下限以下のため不支給／",""))</f>
        <v/>
      </c>
      <c r="AN2921" s="12" t="n"/>
      <c r="AO2921" s="14">
        <f>IF($AF2921="保留中",COUNTIF($AF$6:$AF2921,"保留中"),"")</f>
        <v/>
      </c>
      <c r="AP2921" s="14">
        <f>IF($AQ2921="","",IF(SUMPRODUCT(MAX((職員マスタ!$A$6:$A$405=$B2921)*(((職員マスタ!$G$6:$G$405="")+(職員マスタ!$G$6:$G$405&lt;=EOMONTH($AQ2921,0)))&gt;0)*(((職員マスタ!$H$6:$H$405="")+(職員マスタ!$H$6:$H$405&gt;=$AQ2921))&gt;0)*(ROW(職員マスタ!$A$6:$A$405)-5)))&gt;0,SUMPRODUCT(MAX((職員マスタ!$A$6:$A$405=$B2921)*(((職員マスタ!$G$6:$G$405="")+(職員マスタ!$G$6:$G$405&lt;=EOMONTH($AQ2921,0)))&gt;0)*(((職員マスタ!$H$6:$H$405="")+(職員マスタ!$H$6:$H$405&gt;=$AQ2921))&gt;0)*(ROW(職員マスタ!$A$6:$A$405)-5))),IFERROR(MATCH($B2921,職員マスタ!$A$6:$A$405,0),"")))</f>
        <v/>
      </c>
      <c r="AQ2921" s="16">
        <f>IF(OR($B2921="",$C2921="",$D2921=""),"",DATE($C2921+2018,$D2921,1))</f>
        <v/>
      </c>
    </row>
    <row r="2922">
      <c r="A2922" s="11" t="n"/>
      <c r="B2922" s="12" t="n"/>
      <c r="C2922" s="12" t="n"/>
      <c r="D2922" s="12" t="n"/>
      <c r="E2922" s="13" t="n"/>
      <c r="F2922" s="12" t="n"/>
      <c r="G2922" s="13" t="n"/>
      <c r="H2922" s="12" t="n"/>
      <c r="I2922" s="12" t="n"/>
      <c r="J2922" s="12" t="n"/>
      <c r="K2922" s="12" t="n"/>
      <c r="L2922" s="11" t="n"/>
      <c r="M2922" s="11" t="n"/>
      <c r="N2922" s="11" t="n"/>
      <c r="O2922" s="11" t="n"/>
      <c r="P2922" s="12" t="n"/>
      <c r="Q2922" s="11" t="n"/>
      <c r="R2922" s="12" t="n"/>
      <c r="S2922" s="11" t="n"/>
      <c r="T2922" s="12" t="n"/>
      <c r="U2922" s="12" t="n"/>
      <c r="V2922" s="12" t="n"/>
      <c r="W2922" s="13" t="n"/>
      <c r="X2922" s="14">
        <f>IF($AP2922="",IF($B2922="","",$H2922),IF(INDEX(職員マスタ!$B$6:$B$405,$AP2922)="",$H2922,INDEX(職員マスタ!$B$6:$B$405,$AP2922)))</f>
        <v/>
      </c>
      <c r="Y2922" s="14">
        <f>IF($AP2922="",IF($B2922="","",$R2922),IF(INDEX(職員マスタ!$C$6:$C$405,$AP2922)="",$R2922,INDEX(職員マスタ!$C$6:$C$405,$AP2922)))</f>
        <v/>
      </c>
      <c r="Z2922" s="14">
        <f>IF($AQ2922="","","R"&amp;$C2922&amp;"."&amp;$D2922)</f>
        <v/>
      </c>
      <c r="AA2922" s="15">
        <f>IF(IF($AP2922="",FALSE,INDEX(職員マスタ!$K$6:$K$405,$AP2922)&lt;&gt;""),INDEX(職員マスタ!$K$6:$K$405,$AP2922),IF(N($W2922)&gt;0,$W2922,""))</f>
        <v/>
      </c>
      <c r="AB2922" s="14">
        <f>IF(OR($E2922="",$AA2922=""),"",IF($E2922&gt;=$AA2922,"×",IF($E2922&gt;=$AA2922*設定!$C$5,"△","○")))</f>
        <v/>
      </c>
      <c r="AC2922" s="15">
        <f>IF($AB2922="","",IF($AB2922="×",0,IF($AB2922="○",ROUNDDOWN($E2922*設定!$C$4,0),ROUNDDOWN($E2922*ROUND((9*$AA2922-9*$E2922)/(10*$E2922),4),0))))</f>
        <v/>
      </c>
      <c r="AD2922" s="13" t="n"/>
      <c r="AE2922" s="15">
        <f>IF($B2922="","",IF($AD2922&lt;&gt;"",$AD2922,IF($AC2922="","",IF($AC2922&lt;=設定!$C$3,0,$AC2922))))</f>
        <v/>
      </c>
      <c r="AF2922" s="14">
        <f>IF($B2922="","",IF(AND($AG2922&lt;&gt;"",$AI2922="",$AL2922=""),"保留中",IF($AL2922&lt;&gt;"",IF(N($AE2922)&gt;0,"支給済","不支給"),IF($AE2922="","要確認",IF($AE2922=0,"不支給","未処理")))))</f>
        <v/>
      </c>
      <c r="AG2922" s="12" t="n"/>
      <c r="AH2922" s="11" t="n"/>
      <c r="AI2922" s="11" t="n"/>
      <c r="AJ2922" s="11" t="n"/>
      <c r="AK2922" s="14">
        <f>IF(AND($AF2922="保留中",$AH2922&lt;&gt;""),TODAY()-$AH2922,"")</f>
        <v/>
      </c>
      <c r="AL2922" s="12" t="n"/>
      <c r="AM2922" s="14">
        <f>IF($B2922="","",IF($AQ2922="","対象年月が未入力／","")&amp;IF($B2922="","",IF($AP2922="","職員マスタに未登録の職員番号／",IF($AA2922="","標準報酬月額が未登録／","")&amp;IF(AND($AQ2922&lt;&gt;"",OR(AND(INDEX(職員マスタ!$G$6:$G$405,$AP2922)&lt;&gt;"",INDEX(職員マスタ!$G$6:$G$405,$AP2922)&gt;EOMONTH($AQ2922,0)),AND(INDEX(職員マスタ!$H$6:$H$405,$AP2922)&lt;&gt;"",INDEX(職員マスタ!$H$6:$H$405,$AP2922)&lt;$AQ2922))),"対象月が時短期間外／","")&amp;IF(AND(INDEX(職員マスタ!$K$6:$K$405,$AP2922)&lt;&gt;"",N($W2922)&gt;0,INDEX(職員マスタ!$K$6:$K$405,$AP2922)&lt;&gt;$W2922),"標準報酬月額が申請書と相違（台帳"&amp;TEXT(INDEX(職員マスタ!$K$6:$K$405,$AP2922),"#,##0")&amp;"円／申請書"&amp;TEXT($W2922,"#,##0")&amp;"円）／","")&amp;IF(AND(INDEX(職員マスタ!$F$6:$F$405,$AP2922)&lt;&gt;"",$AQ2922&lt;&gt;"",INDEX(職員マスタ!$F$6:$F$405,$AP2922)&lt;$AQ2922),"対象月に子が2歳到達済／","")&amp;IF(AND($H2922&lt;&gt;"",INDEX(職員マスタ!$B$6:$B$405,$AP2922)&lt;&gt;"",SUBSTITUTE(SUBSTITUTE($H2922," ","")," ","")&lt;&gt;SUBSTITUTE(SUBSTITUTE(INDEX(職員マスタ!$B$6:$B$405,$AP2922)," ","")," ","")),"氏名がマスタと相違／","")&amp;IF(AND($Q2922&lt;&gt;"",INDEX(職員マスタ!$E$6:$E$405,$AP2922)&lt;&gt;"",$Q2922&lt;&gt;INDEX(職員マスタ!$E$6:$E$405,$AP2922)),"子の生年月日がマスタと相違／","")&amp;IF(AND($L2922&lt;&gt;"",INDEX(職員マスタ!$G$6:$G$405,$AP2922)&lt;&gt;"",$L2922&lt;&gt;INDEX(職員マスタ!$G$6:$G$405,$AP2922)),"時短開始日がマスタと相違／","")&amp;IF(AND($M2922&lt;&gt;"",INDEX(職員マスタ!$H$6:$H$405,$AP2922)&lt;&gt;"",$M2922&lt;&gt;INDEX(職員マスタ!$H$6:$H$405,$AP2922)),"時短終了日がマスタと相違／","")))&amp;IF(AND($B2922&lt;&gt;"",$E2922=""),"報酬額が未入力／","")&amp;IF(N($U2922)&gt;0,"申請書に入力エラーが残っています／","")&amp;IF(AND($B2922&lt;&gt;"",$AQ2922&lt;&gt;""),IF(COUNTIFS($B$6:$B$3005,$B2922,$C$6:$C$3005,$C2922,$D$6:$D$3005,$D2922)&gt;1,"同じ月の請求が重複しています／",""),"")&amp;IF(AND(N($E2922)&gt;0,$AB2922&lt;&gt;"",$AB2922&lt;&gt;"×",$AE2922=0,$AD2922=""),"計算額が下限以下のため不支給／",""))</f>
        <v/>
      </c>
      <c r="AN2922" s="12" t="n"/>
      <c r="AO2922" s="14">
        <f>IF($AF2922="保留中",COUNTIF($AF$6:$AF2922,"保留中"),"")</f>
        <v/>
      </c>
      <c r="AP2922" s="14">
        <f>IF($AQ2922="","",IF(SUMPRODUCT(MAX((職員マスタ!$A$6:$A$405=$B2922)*(((職員マスタ!$G$6:$G$405="")+(職員マスタ!$G$6:$G$405&lt;=EOMONTH($AQ2922,0)))&gt;0)*(((職員マスタ!$H$6:$H$405="")+(職員マスタ!$H$6:$H$405&gt;=$AQ2922))&gt;0)*(ROW(職員マスタ!$A$6:$A$405)-5)))&gt;0,SUMPRODUCT(MAX((職員マスタ!$A$6:$A$405=$B2922)*(((職員マスタ!$G$6:$G$405="")+(職員マスタ!$G$6:$G$405&lt;=EOMONTH($AQ2922,0)))&gt;0)*(((職員マスタ!$H$6:$H$405="")+(職員マスタ!$H$6:$H$405&gt;=$AQ2922))&gt;0)*(ROW(職員マスタ!$A$6:$A$405)-5))),IFERROR(MATCH($B2922,職員マスタ!$A$6:$A$405,0),"")))</f>
        <v/>
      </c>
      <c r="AQ2922" s="16">
        <f>IF(OR($B2922="",$C2922="",$D2922=""),"",DATE($C2922+2018,$D2922,1))</f>
        <v/>
      </c>
    </row>
    <row r="2923">
      <c r="A2923" s="11" t="n"/>
      <c r="B2923" s="12" t="n"/>
      <c r="C2923" s="12" t="n"/>
      <c r="D2923" s="12" t="n"/>
      <c r="E2923" s="13" t="n"/>
      <c r="F2923" s="12" t="n"/>
      <c r="G2923" s="13" t="n"/>
      <c r="H2923" s="12" t="n"/>
      <c r="I2923" s="12" t="n"/>
      <c r="J2923" s="12" t="n"/>
      <c r="K2923" s="12" t="n"/>
      <c r="L2923" s="11" t="n"/>
      <c r="M2923" s="11" t="n"/>
      <c r="N2923" s="11" t="n"/>
      <c r="O2923" s="11" t="n"/>
      <c r="P2923" s="12" t="n"/>
      <c r="Q2923" s="11" t="n"/>
      <c r="R2923" s="12" t="n"/>
      <c r="S2923" s="11" t="n"/>
      <c r="T2923" s="12" t="n"/>
      <c r="U2923" s="12" t="n"/>
      <c r="V2923" s="12" t="n"/>
      <c r="W2923" s="13" t="n"/>
      <c r="X2923" s="14">
        <f>IF($AP2923="",IF($B2923="","",$H2923),IF(INDEX(職員マスタ!$B$6:$B$405,$AP2923)="",$H2923,INDEX(職員マスタ!$B$6:$B$405,$AP2923)))</f>
        <v/>
      </c>
      <c r="Y2923" s="14">
        <f>IF($AP2923="",IF($B2923="","",$R2923),IF(INDEX(職員マスタ!$C$6:$C$405,$AP2923)="",$R2923,INDEX(職員マスタ!$C$6:$C$405,$AP2923)))</f>
        <v/>
      </c>
      <c r="Z2923" s="14">
        <f>IF($AQ2923="","","R"&amp;$C2923&amp;"."&amp;$D2923)</f>
        <v/>
      </c>
      <c r="AA2923" s="15">
        <f>IF(IF($AP2923="",FALSE,INDEX(職員マスタ!$K$6:$K$405,$AP2923)&lt;&gt;""),INDEX(職員マスタ!$K$6:$K$405,$AP2923),IF(N($W2923)&gt;0,$W2923,""))</f>
        <v/>
      </c>
      <c r="AB2923" s="14">
        <f>IF(OR($E2923="",$AA2923=""),"",IF($E2923&gt;=$AA2923,"×",IF($E2923&gt;=$AA2923*設定!$C$5,"△","○")))</f>
        <v/>
      </c>
      <c r="AC2923" s="15">
        <f>IF($AB2923="","",IF($AB2923="×",0,IF($AB2923="○",ROUNDDOWN($E2923*設定!$C$4,0),ROUNDDOWN($E2923*ROUND((9*$AA2923-9*$E2923)/(10*$E2923),4),0))))</f>
        <v/>
      </c>
      <c r="AD2923" s="13" t="n"/>
      <c r="AE2923" s="15">
        <f>IF($B2923="","",IF($AD2923&lt;&gt;"",$AD2923,IF($AC2923="","",IF($AC2923&lt;=設定!$C$3,0,$AC2923))))</f>
        <v/>
      </c>
      <c r="AF2923" s="14">
        <f>IF($B2923="","",IF(AND($AG2923&lt;&gt;"",$AI2923="",$AL2923=""),"保留中",IF($AL2923&lt;&gt;"",IF(N($AE2923)&gt;0,"支給済","不支給"),IF($AE2923="","要確認",IF($AE2923=0,"不支給","未処理")))))</f>
        <v/>
      </c>
      <c r="AG2923" s="12" t="n"/>
      <c r="AH2923" s="11" t="n"/>
      <c r="AI2923" s="11" t="n"/>
      <c r="AJ2923" s="11" t="n"/>
      <c r="AK2923" s="14">
        <f>IF(AND($AF2923="保留中",$AH2923&lt;&gt;""),TODAY()-$AH2923,"")</f>
        <v/>
      </c>
      <c r="AL2923" s="12" t="n"/>
      <c r="AM2923" s="14">
        <f>IF($B2923="","",IF($AQ2923="","対象年月が未入力／","")&amp;IF($B2923="","",IF($AP2923="","職員マスタに未登録の職員番号／",IF($AA2923="","標準報酬月額が未登録／","")&amp;IF(AND($AQ2923&lt;&gt;"",OR(AND(INDEX(職員マスタ!$G$6:$G$405,$AP2923)&lt;&gt;"",INDEX(職員マスタ!$G$6:$G$405,$AP2923)&gt;EOMONTH($AQ2923,0)),AND(INDEX(職員マスタ!$H$6:$H$405,$AP2923)&lt;&gt;"",INDEX(職員マスタ!$H$6:$H$405,$AP2923)&lt;$AQ2923))),"対象月が時短期間外／","")&amp;IF(AND(INDEX(職員マスタ!$K$6:$K$405,$AP2923)&lt;&gt;"",N($W2923)&gt;0,INDEX(職員マスタ!$K$6:$K$405,$AP2923)&lt;&gt;$W2923),"標準報酬月額が申請書と相違（台帳"&amp;TEXT(INDEX(職員マスタ!$K$6:$K$405,$AP2923),"#,##0")&amp;"円／申請書"&amp;TEXT($W2923,"#,##0")&amp;"円）／","")&amp;IF(AND(INDEX(職員マスタ!$F$6:$F$405,$AP2923)&lt;&gt;"",$AQ2923&lt;&gt;"",INDEX(職員マスタ!$F$6:$F$405,$AP2923)&lt;$AQ2923),"対象月に子が2歳到達済／","")&amp;IF(AND($H2923&lt;&gt;"",INDEX(職員マスタ!$B$6:$B$405,$AP2923)&lt;&gt;"",SUBSTITUTE(SUBSTITUTE($H2923," ","")," ","")&lt;&gt;SUBSTITUTE(SUBSTITUTE(INDEX(職員マスタ!$B$6:$B$405,$AP2923)," ","")," ","")),"氏名がマスタと相違／","")&amp;IF(AND($Q2923&lt;&gt;"",INDEX(職員マスタ!$E$6:$E$405,$AP2923)&lt;&gt;"",$Q2923&lt;&gt;INDEX(職員マスタ!$E$6:$E$405,$AP2923)),"子の生年月日がマスタと相違／","")&amp;IF(AND($L2923&lt;&gt;"",INDEX(職員マスタ!$G$6:$G$405,$AP2923)&lt;&gt;"",$L2923&lt;&gt;INDEX(職員マスタ!$G$6:$G$405,$AP2923)),"時短開始日がマスタと相違／","")&amp;IF(AND($M2923&lt;&gt;"",INDEX(職員マスタ!$H$6:$H$405,$AP2923)&lt;&gt;"",$M2923&lt;&gt;INDEX(職員マスタ!$H$6:$H$405,$AP2923)),"時短終了日がマスタと相違／","")))&amp;IF(AND($B2923&lt;&gt;"",$E2923=""),"報酬額が未入力／","")&amp;IF(N($U2923)&gt;0,"申請書に入力エラーが残っています／","")&amp;IF(AND($B2923&lt;&gt;"",$AQ2923&lt;&gt;""),IF(COUNTIFS($B$6:$B$3005,$B2923,$C$6:$C$3005,$C2923,$D$6:$D$3005,$D2923)&gt;1,"同じ月の請求が重複しています／",""),"")&amp;IF(AND(N($E2923)&gt;0,$AB2923&lt;&gt;"",$AB2923&lt;&gt;"×",$AE2923=0,$AD2923=""),"計算額が下限以下のため不支給／",""))</f>
        <v/>
      </c>
      <c r="AN2923" s="12" t="n"/>
      <c r="AO2923" s="14">
        <f>IF($AF2923="保留中",COUNTIF($AF$6:$AF2923,"保留中"),"")</f>
        <v/>
      </c>
      <c r="AP2923" s="14">
        <f>IF($AQ2923="","",IF(SUMPRODUCT(MAX((職員マスタ!$A$6:$A$405=$B2923)*(((職員マスタ!$G$6:$G$405="")+(職員マスタ!$G$6:$G$405&lt;=EOMONTH($AQ2923,0)))&gt;0)*(((職員マスタ!$H$6:$H$405="")+(職員マスタ!$H$6:$H$405&gt;=$AQ2923))&gt;0)*(ROW(職員マスタ!$A$6:$A$405)-5)))&gt;0,SUMPRODUCT(MAX((職員マスタ!$A$6:$A$405=$B2923)*(((職員マスタ!$G$6:$G$405="")+(職員マスタ!$G$6:$G$405&lt;=EOMONTH($AQ2923,0)))&gt;0)*(((職員マスタ!$H$6:$H$405="")+(職員マスタ!$H$6:$H$405&gt;=$AQ2923))&gt;0)*(ROW(職員マスタ!$A$6:$A$405)-5))),IFERROR(MATCH($B2923,職員マスタ!$A$6:$A$405,0),"")))</f>
        <v/>
      </c>
      <c r="AQ2923" s="16">
        <f>IF(OR($B2923="",$C2923="",$D2923=""),"",DATE($C2923+2018,$D2923,1))</f>
        <v/>
      </c>
    </row>
    <row r="2924">
      <c r="A2924" s="11" t="n"/>
      <c r="B2924" s="12" t="n"/>
      <c r="C2924" s="12" t="n"/>
      <c r="D2924" s="12" t="n"/>
      <c r="E2924" s="13" t="n"/>
      <c r="F2924" s="12" t="n"/>
      <c r="G2924" s="13" t="n"/>
      <c r="H2924" s="12" t="n"/>
      <c r="I2924" s="12" t="n"/>
      <c r="J2924" s="12" t="n"/>
      <c r="K2924" s="12" t="n"/>
      <c r="L2924" s="11" t="n"/>
      <c r="M2924" s="11" t="n"/>
      <c r="N2924" s="11" t="n"/>
      <c r="O2924" s="11" t="n"/>
      <c r="P2924" s="12" t="n"/>
      <c r="Q2924" s="11" t="n"/>
      <c r="R2924" s="12" t="n"/>
      <c r="S2924" s="11" t="n"/>
      <c r="T2924" s="12" t="n"/>
      <c r="U2924" s="12" t="n"/>
      <c r="V2924" s="12" t="n"/>
      <c r="W2924" s="13" t="n"/>
      <c r="X2924" s="14">
        <f>IF($AP2924="",IF($B2924="","",$H2924),IF(INDEX(職員マスタ!$B$6:$B$405,$AP2924)="",$H2924,INDEX(職員マスタ!$B$6:$B$405,$AP2924)))</f>
        <v/>
      </c>
      <c r="Y2924" s="14">
        <f>IF($AP2924="",IF($B2924="","",$R2924),IF(INDEX(職員マスタ!$C$6:$C$405,$AP2924)="",$R2924,INDEX(職員マスタ!$C$6:$C$405,$AP2924)))</f>
        <v/>
      </c>
      <c r="Z2924" s="14">
        <f>IF($AQ2924="","","R"&amp;$C2924&amp;"."&amp;$D2924)</f>
        <v/>
      </c>
      <c r="AA2924" s="15">
        <f>IF(IF($AP2924="",FALSE,INDEX(職員マスタ!$K$6:$K$405,$AP2924)&lt;&gt;""),INDEX(職員マスタ!$K$6:$K$405,$AP2924),IF(N($W2924)&gt;0,$W2924,""))</f>
        <v/>
      </c>
      <c r="AB2924" s="14">
        <f>IF(OR($E2924="",$AA2924=""),"",IF($E2924&gt;=$AA2924,"×",IF($E2924&gt;=$AA2924*設定!$C$5,"△","○")))</f>
        <v/>
      </c>
      <c r="AC2924" s="15">
        <f>IF($AB2924="","",IF($AB2924="×",0,IF($AB2924="○",ROUNDDOWN($E2924*設定!$C$4,0),ROUNDDOWN($E2924*ROUND((9*$AA2924-9*$E2924)/(10*$E2924),4),0))))</f>
        <v/>
      </c>
      <c r="AD2924" s="13" t="n"/>
      <c r="AE2924" s="15">
        <f>IF($B2924="","",IF($AD2924&lt;&gt;"",$AD2924,IF($AC2924="","",IF($AC2924&lt;=設定!$C$3,0,$AC2924))))</f>
        <v/>
      </c>
      <c r="AF2924" s="14">
        <f>IF($B2924="","",IF(AND($AG2924&lt;&gt;"",$AI2924="",$AL2924=""),"保留中",IF($AL2924&lt;&gt;"",IF(N($AE2924)&gt;0,"支給済","不支給"),IF($AE2924="","要確認",IF($AE2924=0,"不支給","未処理")))))</f>
        <v/>
      </c>
      <c r="AG2924" s="12" t="n"/>
      <c r="AH2924" s="11" t="n"/>
      <c r="AI2924" s="11" t="n"/>
      <c r="AJ2924" s="11" t="n"/>
      <c r="AK2924" s="14">
        <f>IF(AND($AF2924="保留中",$AH2924&lt;&gt;""),TODAY()-$AH2924,"")</f>
        <v/>
      </c>
      <c r="AL2924" s="12" t="n"/>
      <c r="AM2924" s="14">
        <f>IF($B2924="","",IF($AQ2924="","対象年月が未入力／","")&amp;IF($B2924="","",IF($AP2924="","職員マスタに未登録の職員番号／",IF($AA2924="","標準報酬月額が未登録／","")&amp;IF(AND($AQ2924&lt;&gt;"",OR(AND(INDEX(職員マスタ!$G$6:$G$405,$AP2924)&lt;&gt;"",INDEX(職員マスタ!$G$6:$G$405,$AP2924)&gt;EOMONTH($AQ2924,0)),AND(INDEX(職員マスタ!$H$6:$H$405,$AP2924)&lt;&gt;"",INDEX(職員マスタ!$H$6:$H$405,$AP2924)&lt;$AQ2924))),"対象月が時短期間外／","")&amp;IF(AND(INDEX(職員マスタ!$K$6:$K$405,$AP2924)&lt;&gt;"",N($W2924)&gt;0,INDEX(職員マスタ!$K$6:$K$405,$AP2924)&lt;&gt;$W2924),"標準報酬月額が申請書と相違（台帳"&amp;TEXT(INDEX(職員マスタ!$K$6:$K$405,$AP2924),"#,##0")&amp;"円／申請書"&amp;TEXT($W2924,"#,##0")&amp;"円）／","")&amp;IF(AND(INDEX(職員マスタ!$F$6:$F$405,$AP2924)&lt;&gt;"",$AQ2924&lt;&gt;"",INDEX(職員マスタ!$F$6:$F$405,$AP2924)&lt;$AQ2924),"対象月に子が2歳到達済／","")&amp;IF(AND($H2924&lt;&gt;"",INDEX(職員マスタ!$B$6:$B$405,$AP2924)&lt;&gt;"",SUBSTITUTE(SUBSTITUTE($H2924," ","")," ","")&lt;&gt;SUBSTITUTE(SUBSTITUTE(INDEX(職員マスタ!$B$6:$B$405,$AP2924)," ","")," ","")),"氏名がマスタと相違／","")&amp;IF(AND($Q2924&lt;&gt;"",INDEX(職員マスタ!$E$6:$E$405,$AP2924)&lt;&gt;"",$Q2924&lt;&gt;INDEX(職員マスタ!$E$6:$E$405,$AP2924)),"子の生年月日がマスタと相違／","")&amp;IF(AND($L2924&lt;&gt;"",INDEX(職員マスタ!$G$6:$G$405,$AP2924)&lt;&gt;"",$L2924&lt;&gt;INDEX(職員マスタ!$G$6:$G$405,$AP2924)),"時短開始日がマスタと相違／","")&amp;IF(AND($M2924&lt;&gt;"",INDEX(職員マスタ!$H$6:$H$405,$AP2924)&lt;&gt;"",$M2924&lt;&gt;INDEX(職員マスタ!$H$6:$H$405,$AP2924)),"時短終了日がマスタと相違／","")))&amp;IF(AND($B2924&lt;&gt;"",$E2924=""),"報酬額が未入力／","")&amp;IF(N($U2924)&gt;0,"申請書に入力エラーが残っています／","")&amp;IF(AND($B2924&lt;&gt;"",$AQ2924&lt;&gt;""),IF(COUNTIFS($B$6:$B$3005,$B2924,$C$6:$C$3005,$C2924,$D$6:$D$3005,$D2924)&gt;1,"同じ月の請求が重複しています／",""),"")&amp;IF(AND(N($E2924)&gt;0,$AB2924&lt;&gt;"",$AB2924&lt;&gt;"×",$AE2924=0,$AD2924=""),"計算額が下限以下のため不支給／",""))</f>
        <v/>
      </c>
      <c r="AN2924" s="12" t="n"/>
      <c r="AO2924" s="14">
        <f>IF($AF2924="保留中",COUNTIF($AF$6:$AF2924,"保留中"),"")</f>
        <v/>
      </c>
      <c r="AP2924" s="14">
        <f>IF($AQ2924="","",IF(SUMPRODUCT(MAX((職員マスタ!$A$6:$A$405=$B2924)*(((職員マスタ!$G$6:$G$405="")+(職員マスタ!$G$6:$G$405&lt;=EOMONTH($AQ2924,0)))&gt;0)*(((職員マスタ!$H$6:$H$405="")+(職員マスタ!$H$6:$H$405&gt;=$AQ2924))&gt;0)*(ROW(職員マスタ!$A$6:$A$405)-5)))&gt;0,SUMPRODUCT(MAX((職員マスタ!$A$6:$A$405=$B2924)*(((職員マスタ!$G$6:$G$405="")+(職員マスタ!$G$6:$G$405&lt;=EOMONTH($AQ2924,0)))&gt;0)*(((職員マスタ!$H$6:$H$405="")+(職員マスタ!$H$6:$H$405&gt;=$AQ2924))&gt;0)*(ROW(職員マスタ!$A$6:$A$405)-5))),IFERROR(MATCH($B2924,職員マスタ!$A$6:$A$405,0),"")))</f>
        <v/>
      </c>
      <c r="AQ2924" s="16">
        <f>IF(OR($B2924="",$C2924="",$D2924=""),"",DATE($C2924+2018,$D2924,1))</f>
        <v/>
      </c>
    </row>
    <row r="2925">
      <c r="A2925" s="11" t="n"/>
      <c r="B2925" s="12" t="n"/>
      <c r="C2925" s="12" t="n"/>
      <c r="D2925" s="12" t="n"/>
      <c r="E2925" s="13" t="n"/>
      <c r="F2925" s="12" t="n"/>
      <c r="G2925" s="13" t="n"/>
      <c r="H2925" s="12" t="n"/>
      <c r="I2925" s="12" t="n"/>
      <c r="J2925" s="12" t="n"/>
      <c r="K2925" s="12" t="n"/>
      <c r="L2925" s="11" t="n"/>
      <c r="M2925" s="11" t="n"/>
      <c r="N2925" s="11" t="n"/>
      <c r="O2925" s="11" t="n"/>
      <c r="P2925" s="12" t="n"/>
      <c r="Q2925" s="11" t="n"/>
      <c r="R2925" s="12" t="n"/>
      <c r="S2925" s="11" t="n"/>
      <c r="T2925" s="12" t="n"/>
      <c r="U2925" s="12" t="n"/>
      <c r="V2925" s="12" t="n"/>
      <c r="W2925" s="13" t="n"/>
      <c r="X2925" s="14">
        <f>IF($AP2925="",IF($B2925="","",$H2925),IF(INDEX(職員マスタ!$B$6:$B$405,$AP2925)="",$H2925,INDEX(職員マスタ!$B$6:$B$405,$AP2925)))</f>
        <v/>
      </c>
      <c r="Y2925" s="14">
        <f>IF($AP2925="",IF($B2925="","",$R2925),IF(INDEX(職員マスタ!$C$6:$C$405,$AP2925)="",$R2925,INDEX(職員マスタ!$C$6:$C$405,$AP2925)))</f>
        <v/>
      </c>
      <c r="Z2925" s="14">
        <f>IF($AQ2925="","","R"&amp;$C2925&amp;"."&amp;$D2925)</f>
        <v/>
      </c>
      <c r="AA2925" s="15">
        <f>IF(IF($AP2925="",FALSE,INDEX(職員マスタ!$K$6:$K$405,$AP2925)&lt;&gt;""),INDEX(職員マスタ!$K$6:$K$405,$AP2925),IF(N($W2925)&gt;0,$W2925,""))</f>
        <v/>
      </c>
      <c r="AB2925" s="14">
        <f>IF(OR($E2925="",$AA2925=""),"",IF($E2925&gt;=$AA2925,"×",IF($E2925&gt;=$AA2925*設定!$C$5,"△","○")))</f>
        <v/>
      </c>
      <c r="AC2925" s="15">
        <f>IF($AB2925="","",IF($AB2925="×",0,IF($AB2925="○",ROUNDDOWN($E2925*設定!$C$4,0),ROUNDDOWN($E2925*ROUND((9*$AA2925-9*$E2925)/(10*$E2925),4),0))))</f>
        <v/>
      </c>
      <c r="AD2925" s="13" t="n"/>
      <c r="AE2925" s="15">
        <f>IF($B2925="","",IF($AD2925&lt;&gt;"",$AD2925,IF($AC2925="","",IF($AC2925&lt;=設定!$C$3,0,$AC2925))))</f>
        <v/>
      </c>
      <c r="AF2925" s="14">
        <f>IF($B2925="","",IF(AND($AG2925&lt;&gt;"",$AI2925="",$AL2925=""),"保留中",IF($AL2925&lt;&gt;"",IF(N($AE2925)&gt;0,"支給済","不支給"),IF($AE2925="","要確認",IF($AE2925=0,"不支給","未処理")))))</f>
        <v/>
      </c>
      <c r="AG2925" s="12" t="n"/>
      <c r="AH2925" s="11" t="n"/>
      <c r="AI2925" s="11" t="n"/>
      <c r="AJ2925" s="11" t="n"/>
      <c r="AK2925" s="14">
        <f>IF(AND($AF2925="保留中",$AH2925&lt;&gt;""),TODAY()-$AH2925,"")</f>
        <v/>
      </c>
      <c r="AL2925" s="12" t="n"/>
      <c r="AM2925" s="14">
        <f>IF($B2925="","",IF($AQ2925="","対象年月が未入力／","")&amp;IF($B2925="","",IF($AP2925="","職員マスタに未登録の職員番号／",IF($AA2925="","標準報酬月額が未登録／","")&amp;IF(AND($AQ2925&lt;&gt;"",OR(AND(INDEX(職員マスタ!$G$6:$G$405,$AP2925)&lt;&gt;"",INDEX(職員マスタ!$G$6:$G$405,$AP2925)&gt;EOMONTH($AQ2925,0)),AND(INDEX(職員マスタ!$H$6:$H$405,$AP2925)&lt;&gt;"",INDEX(職員マスタ!$H$6:$H$405,$AP2925)&lt;$AQ2925))),"対象月が時短期間外／","")&amp;IF(AND(INDEX(職員マスタ!$K$6:$K$405,$AP2925)&lt;&gt;"",N($W2925)&gt;0,INDEX(職員マスタ!$K$6:$K$405,$AP2925)&lt;&gt;$W2925),"標準報酬月額が申請書と相違（台帳"&amp;TEXT(INDEX(職員マスタ!$K$6:$K$405,$AP2925),"#,##0")&amp;"円／申請書"&amp;TEXT($W2925,"#,##0")&amp;"円）／","")&amp;IF(AND(INDEX(職員マスタ!$F$6:$F$405,$AP2925)&lt;&gt;"",$AQ2925&lt;&gt;"",INDEX(職員マスタ!$F$6:$F$405,$AP2925)&lt;$AQ2925),"対象月に子が2歳到達済／","")&amp;IF(AND($H2925&lt;&gt;"",INDEX(職員マスタ!$B$6:$B$405,$AP2925)&lt;&gt;"",SUBSTITUTE(SUBSTITUTE($H2925," ","")," ","")&lt;&gt;SUBSTITUTE(SUBSTITUTE(INDEX(職員マスタ!$B$6:$B$405,$AP2925)," ","")," ","")),"氏名がマスタと相違／","")&amp;IF(AND($Q2925&lt;&gt;"",INDEX(職員マスタ!$E$6:$E$405,$AP2925)&lt;&gt;"",$Q2925&lt;&gt;INDEX(職員マスタ!$E$6:$E$405,$AP2925)),"子の生年月日がマスタと相違／","")&amp;IF(AND($L2925&lt;&gt;"",INDEX(職員マスタ!$G$6:$G$405,$AP2925)&lt;&gt;"",$L2925&lt;&gt;INDEX(職員マスタ!$G$6:$G$405,$AP2925)),"時短開始日がマスタと相違／","")&amp;IF(AND($M2925&lt;&gt;"",INDEX(職員マスタ!$H$6:$H$405,$AP2925)&lt;&gt;"",$M2925&lt;&gt;INDEX(職員マスタ!$H$6:$H$405,$AP2925)),"時短終了日がマスタと相違／","")))&amp;IF(AND($B2925&lt;&gt;"",$E2925=""),"報酬額が未入力／","")&amp;IF(N($U2925)&gt;0,"申請書に入力エラーが残っています／","")&amp;IF(AND($B2925&lt;&gt;"",$AQ2925&lt;&gt;""),IF(COUNTIFS($B$6:$B$3005,$B2925,$C$6:$C$3005,$C2925,$D$6:$D$3005,$D2925)&gt;1,"同じ月の請求が重複しています／",""),"")&amp;IF(AND(N($E2925)&gt;0,$AB2925&lt;&gt;"",$AB2925&lt;&gt;"×",$AE2925=0,$AD2925=""),"計算額が下限以下のため不支給／",""))</f>
        <v/>
      </c>
      <c r="AN2925" s="12" t="n"/>
      <c r="AO2925" s="14">
        <f>IF($AF2925="保留中",COUNTIF($AF$6:$AF2925,"保留中"),"")</f>
        <v/>
      </c>
      <c r="AP2925" s="14">
        <f>IF($AQ2925="","",IF(SUMPRODUCT(MAX((職員マスタ!$A$6:$A$405=$B2925)*(((職員マスタ!$G$6:$G$405="")+(職員マスタ!$G$6:$G$405&lt;=EOMONTH($AQ2925,0)))&gt;0)*(((職員マスタ!$H$6:$H$405="")+(職員マスタ!$H$6:$H$405&gt;=$AQ2925))&gt;0)*(ROW(職員マスタ!$A$6:$A$405)-5)))&gt;0,SUMPRODUCT(MAX((職員マスタ!$A$6:$A$405=$B2925)*(((職員マスタ!$G$6:$G$405="")+(職員マスタ!$G$6:$G$405&lt;=EOMONTH($AQ2925,0)))&gt;0)*(((職員マスタ!$H$6:$H$405="")+(職員マスタ!$H$6:$H$405&gt;=$AQ2925))&gt;0)*(ROW(職員マスタ!$A$6:$A$405)-5))),IFERROR(MATCH($B2925,職員マスタ!$A$6:$A$405,0),"")))</f>
        <v/>
      </c>
      <c r="AQ2925" s="16">
        <f>IF(OR($B2925="",$C2925="",$D2925=""),"",DATE($C2925+2018,$D2925,1))</f>
        <v/>
      </c>
    </row>
    <row r="2926">
      <c r="A2926" s="11" t="n"/>
      <c r="B2926" s="12" t="n"/>
      <c r="C2926" s="12" t="n"/>
      <c r="D2926" s="12" t="n"/>
      <c r="E2926" s="13" t="n"/>
      <c r="F2926" s="12" t="n"/>
      <c r="G2926" s="13" t="n"/>
      <c r="H2926" s="12" t="n"/>
      <c r="I2926" s="12" t="n"/>
      <c r="J2926" s="12" t="n"/>
      <c r="K2926" s="12" t="n"/>
      <c r="L2926" s="11" t="n"/>
      <c r="M2926" s="11" t="n"/>
      <c r="N2926" s="11" t="n"/>
      <c r="O2926" s="11" t="n"/>
      <c r="P2926" s="12" t="n"/>
      <c r="Q2926" s="11" t="n"/>
      <c r="R2926" s="12" t="n"/>
      <c r="S2926" s="11" t="n"/>
      <c r="T2926" s="12" t="n"/>
      <c r="U2926" s="12" t="n"/>
      <c r="V2926" s="12" t="n"/>
      <c r="W2926" s="13" t="n"/>
      <c r="X2926" s="14">
        <f>IF($AP2926="",IF($B2926="","",$H2926),IF(INDEX(職員マスタ!$B$6:$B$405,$AP2926)="",$H2926,INDEX(職員マスタ!$B$6:$B$405,$AP2926)))</f>
        <v/>
      </c>
      <c r="Y2926" s="14">
        <f>IF($AP2926="",IF($B2926="","",$R2926),IF(INDEX(職員マスタ!$C$6:$C$405,$AP2926)="",$R2926,INDEX(職員マスタ!$C$6:$C$405,$AP2926)))</f>
        <v/>
      </c>
      <c r="Z2926" s="14">
        <f>IF($AQ2926="","","R"&amp;$C2926&amp;"."&amp;$D2926)</f>
        <v/>
      </c>
      <c r="AA2926" s="15">
        <f>IF(IF($AP2926="",FALSE,INDEX(職員マスタ!$K$6:$K$405,$AP2926)&lt;&gt;""),INDEX(職員マスタ!$K$6:$K$405,$AP2926),IF(N($W2926)&gt;0,$W2926,""))</f>
        <v/>
      </c>
      <c r="AB2926" s="14">
        <f>IF(OR($E2926="",$AA2926=""),"",IF($E2926&gt;=$AA2926,"×",IF($E2926&gt;=$AA2926*設定!$C$5,"△","○")))</f>
        <v/>
      </c>
      <c r="AC2926" s="15">
        <f>IF($AB2926="","",IF($AB2926="×",0,IF($AB2926="○",ROUNDDOWN($E2926*設定!$C$4,0),ROUNDDOWN($E2926*ROUND((9*$AA2926-9*$E2926)/(10*$E2926),4),0))))</f>
        <v/>
      </c>
      <c r="AD2926" s="13" t="n"/>
      <c r="AE2926" s="15">
        <f>IF($B2926="","",IF($AD2926&lt;&gt;"",$AD2926,IF($AC2926="","",IF($AC2926&lt;=設定!$C$3,0,$AC2926))))</f>
        <v/>
      </c>
      <c r="AF2926" s="14">
        <f>IF($B2926="","",IF(AND($AG2926&lt;&gt;"",$AI2926="",$AL2926=""),"保留中",IF($AL2926&lt;&gt;"",IF(N($AE2926)&gt;0,"支給済","不支給"),IF($AE2926="","要確認",IF($AE2926=0,"不支給","未処理")))))</f>
        <v/>
      </c>
      <c r="AG2926" s="12" t="n"/>
      <c r="AH2926" s="11" t="n"/>
      <c r="AI2926" s="11" t="n"/>
      <c r="AJ2926" s="11" t="n"/>
      <c r="AK2926" s="14">
        <f>IF(AND($AF2926="保留中",$AH2926&lt;&gt;""),TODAY()-$AH2926,"")</f>
        <v/>
      </c>
      <c r="AL2926" s="12" t="n"/>
      <c r="AM2926" s="14">
        <f>IF($B2926="","",IF($AQ2926="","対象年月が未入力／","")&amp;IF($B2926="","",IF($AP2926="","職員マスタに未登録の職員番号／",IF($AA2926="","標準報酬月額が未登録／","")&amp;IF(AND($AQ2926&lt;&gt;"",OR(AND(INDEX(職員マスタ!$G$6:$G$405,$AP2926)&lt;&gt;"",INDEX(職員マスタ!$G$6:$G$405,$AP2926)&gt;EOMONTH($AQ2926,0)),AND(INDEX(職員マスタ!$H$6:$H$405,$AP2926)&lt;&gt;"",INDEX(職員マスタ!$H$6:$H$405,$AP2926)&lt;$AQ2926))),"対象月が時短期間外／","")&amp;IF(AND(INDEX(職員マスタ!$K$6:$K$405,$AP2926)&lt;&gt;"",N($W2926)&gt;0,INDEX(職員マスタ!$K$6:$K$405,$AP2926)&lt;&gt;$W2926),"標準報酬月額が申請書と相違（台帳"&amp;TEXT(INDEX(職員マスタ!$K$6:$K$405,$AP2926),"#,##0")&amp;"円／申請書"&amp;TEXT($W2926,"#,##0")&amp;"円）／","")&amp;IF(AND(INDEX(職員マスタ!$F$6:$F$405,$AP2926)&lt;&gt;"",$AQ2926&lt;&gt;"",INDEX(職員マスタ!$F$6:$F$405,$AP2926)&lt;$AQ2926),"対象月に子が2歳到達済／","")&amp;IF(AND($H2926&lt;&gt;"",INDEX(職員マスタ!$B$6:$B$405,$AP2926)&lt;&gt;"",SUBSTITUTE(SUBSTITUTE($H2926," ","")," ","")&lt;&gt;SUBSTITUTE(SUBSTITUTE(INDEX(職員マスタ!$B$6:$B$405,$AP2926)," ","")," ","")),"氏名がマスタと相違／","")&amp;IF(AND($Q2926&lt;&gt;"",INDEX(職員マスタ!$E$6:$E$405,$AP2926)&lt;&gt;"",$Q2926&lt;&gt;INDEX(職員マスタ!$E$6:$E$405,$AP2926)),"子の生年月日がマスタと相違／","")&amp;IF(AND($L2926&lt;&gt;"",INDEX(職員マスタ!$G$6:$G$405,$AP2926)&lt;&gt;"",$L2926&lt;&gt;INDEX(職員マスタ!$G$6:$G$405,$AP2926)),"時短開始日がマスタと相違／","")&amp;IF(AND($M2926&lt;&gt;"",INDEX(職員マスタ!$H$6:$H$405,$AP2926)&lt;&gt;"",$M2926&lt;&gt;INDEX(職員マスタ!$H$6:$H$405,$AP2926)),"時短終了日がマスタと相違／","")))&amp;IF(AND($B2926&lt;&gt;"",$E2926=""),"報酬額が未入力／","")&amp;IF(N($U2926)&gt;0,"申請書に入力エラーが残っています／","")&amp;IF(AND($B2926&lt;&gt;"",$AQ2926&lt;&gt;""),IF(COUNTIFS($B$6:$B$3005,$B2926,$C$6:$C$3005,$C2926,$D$6:$D$3005,$D2926)&gt;1,"同じ月の請求が重複しています／",""),"")&amp;IF(AND(N($E2926)&gt;0,$AB2926&lt;&gt;"",$AB2926&lt;&gt;"×",$AE2926=0,$AD2926=""),"計算額が下限以下のため不支給／",""))</f>
        <v/>
      </c>
      <c r="AN2926" s="12" t="n"/>
      <c r="AO2926" s="14">
        <f>IF($AF2926="保留中",COUNTIF($AF$6:$AF2926,"保留中"),"")</f>
        <v/>
      </c>
      <c r="AP2926" s="14">
        <f>IF($AQ2926="","",IF(SUMPRODUCT(MAX((職員マスタ!$A$6:$A$405=$B2926)*(((職員マスタ!$G$6:$G$405="")+(職員マスタ!$G$6:$G$405&lt;=EOMONTH($AQ2926,0)))&gt;0)*(((職員マスタ!$H$6:$H$405="")+(職員マスタ!$H$6:$H$405&gt;=$AQ2926))&gt;0)*(ROW(職員マスタ!$A$6:$A$405)-5)))&gt;0,SUMPRODUCT(MAX((職員マスタ!$A$6:$A$405=$B2926)*(((職員マスタ!$G$6:$G$405="")+(職員マスタ!$G$6:$G$405&lt;=EOMONTH($AQ2926,0)))&gt;0)*(((職員マスタ!$H$6:$H$405="")+(職員マスタ!$H$6:$H$405&gt;=$AQ2926))&gt;0)*(ROW(職員マスタ!$A$6:$A$405)-5))),IFERROR(MATCH($B2926,職員マスタ!$A$6:$A$405,0),"")))</f>
        <v/>
      </c>
      <c r="AQ2926" s="16">
        <f>IF(OR($B2926="",$C2926="",$D2926=""),"",DATE($C2926+2018,$D2926,1))</f>
        <v/>
      </c>
    </row>
    <row r="2927">
      <c r="A2927" s="11" t="n"/>
      <c r="B2927" s="12" t="n"/>
      <c r="C2927" s="12" t="n"/>
      <c r="D2927" s="12" t="n"/>
      <c r="E2927" s="13" t="n"/>
      <c r="F2927" s="12" t="n"/>
      <c r="G2927" s="13" t="n"/>
      <c r="H2927" s="12" t="n"/>
      <c r="I2927" s="12" t="n"/>
      <c r="J2927" s="12" t="n"/>
      <c r="K2927" s="12" t="n"/>
      <c r="L2927" s="11" t="n"/>
      <c r="M2927" s="11" t="n"/>
      <c r="N2927" s="11" t="n"/>
      <c r="O2927" s="11" t="n"/>
      <c r="P2927" s="12" t="n"/>
      <c r="Q2927" s="11" t="n"/>
      <c r="R2927" s="12" t="n"/>
      <c r="S2927" s="11" t="n"/>
      <c r="T2927" s="12" t="n"/>
      <c r="U2927" s="12" t="n"/>
      <c r="V2927" s="12" t="n"/>
      <c r="W2927" s="13" t="n"/>
      <c r="X2927" s="14">
        <f>IF($AP2927="",IF($B2927="","",$H2927),IF(INDEX(職員マスタ!$B$6:$B$405,$AP2927)="",$H2927,INDEX(職員マスタ!$B$6:$B$405,$AP2927)))</f>
        <v/>
      </c>
      <c r="Y2927" s="14">
        <f>IF($AP2927="",IF($B2927="","",$R2927),IF(INDEX(職員マスタ!$C$6:$C$405,$AP2927)="",$R2927,INDEX(職員マスタ!$C$6:$C$405,$AP2927)))</f>
        <v/>
      </c>
      <c r="Z2927" s="14">
        <f>IF($AQ2927="","","R"&amp;$C2927&amp;"."&amp;$D2927)</f>
        <v/>
      </c>
      <c r="AA2927" s="15">
        <f>IF(IF($AP2927="",FALSE,INDEX(職員マスタ!$K$6:$K$405,$AP2927)&lt;&gt;""),INDEX(職員マスタ!$K$6:$K$405,$AP2927),IF(N($W2927)&gt;0,$W2927,""))</f>
        <v/>
      </c>
      <c r="AB2927" s="14">
        <f>IF(OR($E2927="",$AA2927=""),"",IF($E2927&gt;=$AA2927,"×",IF($E2927&gt;=$AA2927*設定!$C$5,"△","○")))</f>
        <v/>
      </c>
      <c r="AC2927" s="15">
        <f>IF($AB2927="","",IF($AB2927="×",0,IF($AB2927="○",ROUNDDOWN($E2927*設定!$C$4,0),ROUNDDOWN($E2927*ROUND((9*$AA2927-9*$E2927)/(10*$E2927),4),0))))</f>
        <v/>
      </c>
      <c r="AD2927" s="13" t="n"/>
      <c r="AE2927" s="15">
        <f>IF($B2927="","",IF($AD2927&lt;&gt;"",$AD2927,IF($AC2927="","",IF($AC2927&lt;=設定!$C$3,0,$AC2927))))</f>
        <v/>
      </c>
      <c r="AF2927" s="14">
        <f>IF($B2927="","",IF(AND($AG2927&lt;&gt;"",$AI2927="",$AL2927=""),"保留中",IF($AL2927&lt;&gt;"",IF(N($AE2927)&gt;0,"支給済","不支給"),IF($AE2927="","要確認",IF($AE2927=0,"不支給","未処理")))))</f>
        <v/>
      </c>
      <c r="AG2927" s="12" t="n"/>
      <c r="AH2927" s="11" t="n"/>
      <c r="AI2927" s="11" t="n"/>
      <c r="AJ2927" s="11" t="n"/>
      <c r="AK2927" s="14">
        <f>IF(AND($AF2927="保留中",$AH2927&lt;&gt;""),TODAY()-$AH2927,"")</f>
        <v/>
      </c>
      <c r="AL2927" s="12" t="n"/>
      <c r="AM2927" s="14">
        <f>IF($B2927="","",IF($AQ2927="","対象年月が未入力／","")&amp;IF($B2927="","",IF($AP2927="","職員マスタに未登録の職員番号／",IF($AA2927="","標準報酬月額が未登録／","")&amp;IF(AND($AQ2927&lt;&gt;"",OR(AND(INDEX(職員マスタ!$G$6:$G$405,$AP2927)&lt;&gt;"",INDEX(職員マスタ!$G$6:$G$405,$AP2927)&gt;EOMONTH($AQ2927,0)),AND(INDEX(職員マスタ!$H$6:$H$405,$AP2927)&lt;&gt;"",INDEX(職員マスタ!$H$6:$H$405,$AP2927)&lt;$AQ2927))),"対象月が時短期間外／","")&amp;IF(AND(INDEX(職員マスタ!$K$6:$K$405,$AP2927)&lt;&gt;"",N($W2927)&gt;0,INDEX(職員マスタ!$K$6:$K$405,$AP2927)&lt;&gt;$W2927),"標準報酬月額が申請書と相違（台帳"&amp;TEXT(INDEX(職員マスタ!$K$6:$K$405,$AP2927),"#,##0")&amp;"円／申請書"&amp;TEXT($W2927,"#,##0")&amp;"円）／","")&amp;IF(AND(INDEX(職員マスタ!$F$6:$F$405,$AP2927)&lt;&gt;"",$AQ2927&lt;&gt;"",INDEX(職員マスタ!$F$6:$F$405,$AP2927)&lt;$AQ2927),"対象月に子が2歳到達済／","")&amp;IF(AND($H2927&lt;&gt;"",INDEX(職員マスタ!$B$6:$B$405,$AP2927)&lt;&gt;"",SUBSTITUTE(SUBSTITUTE($H2927," ","")," ","")&lt;&gt;SUBSTITUTE(SUBSTITUTE(INDEX(職員マスタ!$B$6:$B$405,$AP2927)," ","")," ","")),"氏名がマスタと相違／","")&amp;IF(AND($Q2927&lt;&gt;"",INDEX(職員マスタ!$E$6:$E$405,$AP2927)&lt;&gt;"",$Q2927&lt;&gt;INDEX(職員マスタ!$E$6:$E$405,$AP2927)),"子の生年月日がマスタと相違／","")&amp;IF(AND($L2927&lt;&gt;"",INDEX(職員マスタ!$G$6:$G$405,$AP2927)&lt;&gt;"",$L2927&lt;&gt;INDEX(職員マスタ!$G$6:$G$405,$AP2927)),"時短開始日がマスタと相違／","")&amp;IF(AND($M2927&lt;&gt;"",INDEX(職員マスタ!$H$6:$H$405,$AP2927)&lt;&gt;"",$M2927&lt;&gt;INDEX(職員マスタ!$H$6:$H$405,$AP2927)),"時短終了日がマスタと相違／","")))&amp;IF(AND($B2927&lt;&gt;"",$E2927=""),"報酬額が未入力／","")&amp;IF(N($U2927)&gt;0,"申請書に入力エラーが残っています／","")&amp;IF(AND($B2927&lt;&gt;"",$AQ2927&lt;&gt;""),IF(COUNTIFS($B$6:$B$3005,$B2927,$C$6:$C$3005,$C2927,$D$6:$D$3005,$D2927)&gt;1,"同じ月の請求が重複しています／",""),"")&amp;IF(AND(N($E2927)&gt;0,$AB2927&lt;&gt;"",$AB2927&lt;&gt;"×",$AE2927=0,$AD2927=""),"計算額が下限以下のため不支給／",""))</f>
        <v/>
      </c>
      <c r="AN2927" s="12" t="n"/>
      <c r="AO2927" s="14">
        <f>IF($AF2927="保留中",COUNTIF($AF$6:$AF2927,"保留中"),"")</f>
        <v/>
      </c>
      <c r="AP2927" s="14">
        <f>IF($AQ2927="","",IF(SUMPRODUCT(MAX((職員マスタ!$A$6:$A$405=$B2927)*(((職員マスタ!$G$6:$G$405="")+(職員マスタ!$G$6:$G$405&lt;=EOMONTH($AQ2927,0)))&gt;0)*(((職員マスタ!$H$6:$H$405="")+(職員マスタ!$H$6:$H$405&gt;=$AQ2927))&gt;0)*(ROW(職員マスタ!$A$6:$A$405)-5)))&gt;0,SUMPRODUCT(MAX((職員マスタ!$A$6:$A$405=$B2927)*(((職員マスタ!$G$6:$G$405="")+(職員マスタ!$G$6:$G$405&lt;=EOMONTH($AQ2927,0)))&gt;0)*(((職員マスタ!$H$6:$H$405="")+(職員マスタ!$H$6:$H$405&gt;=$AQ2927))&gt;0)*(ROW(職員マスタ!$A$6:$A$405)-5))),IFERROR(MATCH($B2927,職員マスタ!$A$6:$A$405,0),"")))</f>
        <v/>
      </c>
      <c r="AQ2927" s="16">
        <f>IF(OR($B2927="",$C2927="",$D2927=""),"",DATE($C2927+2018,$D2927,1))</f>
        <v/>
      </c>
    </row>
    <row r="2928">
      <c r="A2928" s="11" t="n"/>
      <c r="B2928" s="12" t="n"/>
      <c r="C2928" s="12" t="n"/>
      <c r="D2928" s="12" t="n"/>
      <c r="E2928" s="13" t="n"/>
      <c r="F2928" s="12" t="n"/>
      <c r="G2928" s="13" t="n"/>
      <c r="H2928" s="12" t="n"/>
      <c r="I2928" s="12" t="n"/>
      <c r="J2928" s="12" t="n"/>
      <c r="K2928" s="12" t="n"/>
      <c r="L2928" s="11" t="n"/>
      <c r="M2928" s="11" t="n"/>
      <c r="N2928" s="11" t="n"/>
      <c r="O2928" s="11" t="n"/>
      <c r="P2928" s="12" t="n"/>
      <c r="Q2928" s="11" t="n"/>
      <c r="R2928" s="12" t="n"/>
      <c r="S2928" s="11" t="n"/>
      <c r="T2928" s="12" t="n"/>
      <c r="U2928" s="12" t="n"/>
      <c r="V2928" s="12" t="n"/>
      <c r="W2928" s="13" t="n"/>
      <c r="X2928" s="14">
        <f>IF($AP2928="",IF($B2928="","",$H2928),IF(INDEX(職員マスタ!$B$6:$B$405,$AP2928)="",$H2928,INDEX(職員マスタ!$B$6:$B$405,$AP2928)))</f>
        <v/>
      </c>
      <c r="Y2928" s="14">
        <f>IF($AP2928="",IF($B2928="","",$R2928),IF(INDEX(職員マスタ!$C$6:$C$405,$AP2928)="",$R2928,INDEX(職員マスタ!$C$6:$C$405,$AP2928)))</f>
        <v/>
      </c>
      <c r="Z2928" s="14">
        <f>IF($AQ2928="","","R"&amp;$C2928&amp;"."&amp;$D2928)</f>
        <v/>
      </c>
      <c r="AA2928" s="15">
        <f>IF(IF($AP2928="",FALSE,INDEX(職員マスタ!$K$6:$K$405,$AP2928)&lt;&gt;""),INDEX(職員マスタ!$K$6:$K$405,$AP2928),IF(N($W2928)&gt;0,$W2928,""))</f>
        <v/>
      </c>
      <c r="AB2928" s="14">
        <f>IF(OR($E2928="",$AA2928=""),"",IF($E2928&gt;=$AA2928,"×",IF($E2928&gt;=$AA2928*設定!$C$5,"△","○")))</f>
        <v/>
      </c>
      <c r="AC2928" s="15">
        <f>IF($AB2928="","",IF($AB2928="×",0,IF($AB2928="○",ROUNDDOWN($E2928*設定!$C$4,0),ROUNDDOWN($E2928*ROUND((9*$AA2928-9*$E2928)/(10*$E2928),4),0))))</f>
        <v/>
      </c>
      <c r="AD2928" s="13" t="n"/>
      <c r="AE2928" s="15">
        <f>IF($B2928="","",IF($AD2928&lt;&gt;"",$AD2928,IF($AC2928="","",IF($AC2928&lt;=設定!$C$3,0,$AC2928))))</f>
        <v/>
      </c>
      <c r="AF2928" s="14">
        <f>IF($B2928="","",IF(AND($AG2928&lt;&gt;"",$AI2928="",$AL2928=""),"保留中",IF($AL2928&lt;&gt;"",IF(N($AE2928)&gt;0,"支給済","不支給"),IF($AE2928="","要確認",IF($AE2928=0,"不支給","未処理")))))</f>
        <v/>
      </c>
      <c r="AG2928" s="12" t="n"/>
      <c r="AH2928" s="11" t="n"/>
      <c r="AI2928" s="11" t="n"/>
      <c r="AJ2928" s="11" t="n"/>
      <c r="AK2928" s="14">
        <f>IF(AND($AF2928="保留中",$AH2928&lt;&gt;""),TODAY()-$AH2928,"")</f>
        <v/>
      </c>
      <c r="AL2928" s="12" t="n"/>
      <c r="AM2928" s="14">
        <f>IF($B2928="","",IF($AQ2928="","対象年月が未入力／","")&amp;IF($B2928="","",IF($AP2928="","職員マスタに未登録の職員番号／",IF($AA2928="","標準報酬月額が未登録／","")&amp;IF(AND($AQ2928&lt;&gt;"",OR(AND(INDEX(職員マスタ!$G$6:$G$405,$AP2928)&lt;&gt;"",INDEX(職員マスタ!$G$6:$G$405,$AP2928)&gt;EOMONTH($AQ2928,0)),AND(INDEX(職員マスタ!$H$6:$H$405,$AP2928)&lt;&gt;"",INDEX(職員マスタ!$H$6:$H$405,$AP2928)&lt;$AQ2928))),"対象月が時短期間外／","")&amp;IF(AND(INDEX(職員マスタ!$K$6:$K$405,$AP2928)&lt;&gt;"",N($W2928)&gt;0,INDEX(職員マスタ!$K$6:$K$405,$AP2928)&lt;&gt;$W2928),"標準報酬月額が申請書と相違（台帳"&amp;TEXT(INDEX(職員マスタ!$K$6:$K$405,$AP2928),"#,##0")&amp;"円／申請書"&amp;TEXT($W2928,"#,##0")&amp;"円）／","")&amp;IF(AND(INDEX(職員マスタ!$F$6:$F$405,$AP2928)&lt;&gt;"",$AQ2928&lt;&gt;"",INDEX(職員マスタ!$F$6:$F$405,$AP2928)&lt;$AQ2928),"対象月に子が2歳到達済／","")&amp;IF(AND($H2928&lt;&gt;"",INDEX(職員マスタ!$B$6:$B$405,$AP2928)&lt;&gt;"",SUBSTITUTE(SUBSTITUTE($H2928," ","")," ","")&lt;&gt;SUBSTITUTE(SUBSTITUTE(INDEX(職員マスタ!$B$6:$B$405,$AP2928)," ","")," ","")),"氏名がマスタと相違／","")&amp;IF(AND($Q2928&lt;&gt;"",INDEX(職員マスタ!$E$6:$E$405,$AP2928)&lt;&gt;"",$Q2928&lt;&gt;INDEX(職員マスタ!$E$6:$E$405,$AP2928)),"子の生年月日がマスタと相違／","")&amp;IF(AND($L2928&lt;&gt;"",INDEX(職員マスタ!$G$6:$G$405,$AP2928)&lt;&gt;"",$L2928&lt;&gt;INDEX(職員マスタ!$G$6:$G$405,$AP2928)),"時短開始日がマスタと相違／","")&amp;IF(AND($M2928&lt;&gt;"",INDEX(職員マスタ!$H$6:$H$405,$AP2928)&lt;&gt;"",$M2928&lt;&gt;INDEX(職員マスタ!$H$6:$H$405,$AP2928)),"時短終了日がマスタと相違／","")))&amp;IF(AND($B2928&lt;&gt;"",$E2928=""),"報酬額が未入力／","")&amp;IF(N($U2928)&gt;0,"申請書に入力エラーが残っています／","")&amp;IF(AND($B2928&lt;&gt;"",$AQ2928&lt;&gt;""),IF(COUNTIFS($B$6:$B$3005,$B2928,$C$6:$C$3005,$C2928,$D$6:$D$3005,$D2928)&gt;1,"同じ月の請求が重複しています／",""),"")&amp;IF(AND(N($E2928)&gt;0,$AB2928&lt;&gt;"",$AB2928&lt;&gt;"×",$AE2928=0,$AD2928=""),"計算額が下限以下のため不支給／",""))</f>
        <v/>
      </c>
      <c r="AN2928" s="12" t="n"/>
      <c r="AO2928" s="14">
        <f>IF($AF2928="保留中",COUNTIF($AF$6:$AF2928,"保留中"),"")</f>
        <v/>
      </c>
      <c r="AP2928" s="14">
        <f>IF($AQ2928="","",IF(SUMPRODUCT(MAX((職員マスタ!$A$6:$A$405=$B2928)*(((職員マスタ!$G$6:$G$405="")+(職員マスタ!$G$6:$G$405&lt;=EOMONTH($AQ2928,0)))&gt;0)*(((職員マスタ!$H$6:$H$405="")+(職員マスタ!$H$6:$H$405&gt;=$AQ2928))&gt;0)*(ROW(職員マスタ!$A$6:$A$405)-5)))&gt;0,SUMPRODUCT(MAX((職員マスタ!$A$6:$A$405=$B2928)*(((職員マスタ!$G$6:$G$405="")+(職員マスタ!$G$6:$G$405&lt;=EOMONTH($AQ2928,0)))&gt;0)*(((職員マスタ!$H$6:$H$405="")+(職員マスタ!$H$6:$H$405&gt;=$AQ2928))&gt;0)*(ROW(職員マスタ!$A$6:$A$405)-5))),IFERROR(MATCH($B2928,職員マスタ!$A$6:$A$405,0),"")))</f>
        <v/>
      </c>
      <c r="AQ2928" s="16">
        <f>IF(OR($B2928="",$C2928="",$D2928=""),"",DATE($C2928+2018,$D2928,1))</f>
        <v/>
      </c>
    </row>
    <row r="2929">
      <c r="A2929" s="11" t="n"/>
      <c r="B2929" s="12" t="n"/>
      <c r="C2929" s="12" t="n"/>
      <c r="D2929" s="12" t="n"/>
      <c r="E2929" s="13" t="n"/>
      <c r="F2929" s="12" t="n"/>
      <c r="G2929" s="13" t="n"/>
      <c r="H2929" s="12" t="n"/>
      <c r="I2929" s="12" t="n"/>
      <c r="J2929" s="12" t="n"/>
      <c r="K2929" s="12" t="n"/>
      <c r="L2929" s="11" t="n"/>
      <c r="M2929" s="11" t="n"/>
      <c r="N2929" s="11" t="n"/>
      <c r="O2929" s="11" t="n"/>
      <c r="P2929" s="12" t="n"/>
      <c r="Q2929" s="11" t="n"/>
      <c r="R2929" s="12" t="n"/>
      <c r="S2929" s="11" t="n"/>
      <c r="T2929" s="12" t="n"/>
      <c r="U2929" s="12" t="n"/>
      <c r="V2929" s="12" t="n"/>
      <c r="W2929" s="13" t="n"/>
      <c r="X2929" s="14">
        <f>IF($AP2929="",IF($B2929="","",$H2929),IF(INDEX(職員マスタ!$B$6:$B$405,$AP2929)="",$H2929,INDEX(職員マスタ!$B$6:$B$405,$AP2929)))</f>
        <v/>
      </c>
      <c r="Y2929" s="14">
        <f>IF($AP2929="",IF($B2929="","",$R2929),IF(INDEX(職員マスタ!$C$6:$C$405,$AP2929)="",$R2929,INDEX(職員マスタ!$C$6:$C$405,$AP2929)))</f>
        <v/>
      </c>
      <c r="Z2929" s="14">
        <f>IF($AQ2929="","","R"&amp;$C2929&amp;"."&amp;$D2929)</f>
        <v/>
      </c>
      <c r="AA2929" s="15">
        <f>IF(IF($AP2929="",FALSE,INDEX(職員マスタ!$K$6:$K$405,$AP2929)&lt;&gt;""),INDEX(職員マスタ!$K$6:$K$405,$AP2929),IF(N($W2929)&gt;0,$W2929,""))</f>
        <v/>
      </c>
      <c r="AB2929" s="14">
        <f>IF(OR($E2929="",$AA2929=""),"",IF($E2929&gt;=$AA2929,"×",IF($E2929&gt;=$AA2929*設定!$C$5,"△","○")))</f>
        <v/>
      </c>
      <c r="AC2929" s="15">
        <f>IF($AB2929="","",IF($AB2929="×",0,IF($AB2929="○",ROUNDDOWN($E2929*設定!$C$4,0),ROUNDDOWN($E2929*ROUND((9*$AA2929-9*$E2929)/(10*$E2929),4),0))))</f>
        <v/>
      </c>
      <c r="AD2929" s="13" t="n"/>
      <c r="AE2929" s="15">
        <f>IF($B2929="","",IF($AD2929&lt;&gt;"",$AD2929,IF($AC2929="","",IF($AC2929&lt;=設定!$C$3,0,$AC2929))))</f>
        <v/>
      </c>
      <c r="AF2929" s="14">
        <f>IF($B2929="","",IF(AND($AG2929&lt;&gt;"",$AI2929="",$AL2929=""),"保留中",IF($AL2929&lt;&gt;"",IF(N($AE2929)&gt;0,"支給済","不支給"),IF($AE2929="","要確認",IF($AE2929=0,"不支給","未処理")))))</f>
        <v/>
      </c>
      <c r="AG2929" s="12" t="n"/>
      <c r="AH2929" s="11" t="n"/>
      <c r="AI2929" s="11" t="n"/>
      <c r="AJ2929" s="11" t="n"/>
      <c r="AK2929" s="14">
        <f>IF(AND($AF2929="保留中",$AH2929&lt;&gt;""),TODAY()-$AH2929,"")</f>
        <v/>
      </c>
      <c r="AL2929" s="12" t="n"/>
      <c r="AM2929" s="14">
        <f>IF($B2929="","",IF($AQ2929="","対象年月が未入力／","")&amp;IF($B2929="","",IF($AP2929="","職員マスタに未登録の職員番号／",IF($AA2929="","標準報酬月額が未登録／","")&amp;IF(AND($AQ2929&lt;&gt;"",OR(AND(INDEX(職員マスタ!$G$6:$G$405,$AP2929)&lt;&gt;"",INDEX(職員マスタ!$G$6:$G$405,$AP2929)&gt;EOMONTH($AQ2929,0)),AND(INDEX(職員マスタ!$H$6:$H$405,$AP2929)&lt;&gt;"",INDEX(職員マスタ!$H$6:$H$405,$AP2929)&lt;$AQ2929))),"対象月が時短期間外／","")&amp;IF(AND(INDEX(職員マスタ!$K$6:$K$405,$AP2929)&lt;&gt;"",N($W2929)&gt;0,INDEX(職員マスタ!$K$6:$K$405,$AP2929)&lt;&gt;$W2929),"標準報酬月額が申請書と相違（台帳"&amp;TEXT(INDEX(職員マスタ!$K$6:$K$405,$AP2929),"#,##0")&amp;"円／申請書"&amp;TEXT($W2929,"#,##0")&amp;"円）／","")&amp;IF(AND(INDEX(職員マスタ!$F$6:$F$405,$AP2929)&lt;&gt;"",$AQ2929&lt;&gt;"",INDEX(職員マスタ!$F$6:$F$405,$AP2929)&lt;$AQ2929),"対象月に子が2歳到達済／","")&amp;IF(AND($H2929&lt;&gt;"",INDEX(職員マスタ!$B$6:$B$405,$AP2929)&lt;&gt;"",SUBSTITUTE(SUBSTITUTE($H2929," ","")," ","")&lt;&gt;SUBSTITUTE(SUBSTITUTE(INDEX(職員マスタ!$B$6:$B$405,$AP2929)," ","")," ","")),"氏名がマスタと相違／","")&amp;IF(AND($Q2929&lt;&gt;"",INDEX(職員マスタ!$E$6:$E$405,$AP2929)&lt;&gt;"",$Q2929&lt;&gt;INDEX(職員マスタ!$E$6:$E$405,$AP2929)),"子の生年月日がマスタと相違／","")&amp;IF(AND($L2929&lt;&gt;"",INDEX(職員マスタ!$G$6:$G$405,$AP2929)&lt;&gt;"",$L2929&lt;&gt;INDEX(職員マスタ!$G$6:$G$405,$AP2929)),"時短開始日がマスタと相違／","")&amp;IF(AND($M2929&lt;&gt;"",INDEX(職員マスタ!$H$6:$H$405,$AP2929)&lt;&gt;"",$M2929&lt;&gt;INDEX(職員マスタ!$H$6:$H$405,$AP2929)),"時短終了日がマスタと相違／","")))&amp;IF(AND($B2929&lt;&gt;"",$E2929=""),"報酬額が未入力／","")&amp;IF(N($U2929)&gt;0,"申請書に入力エラーが残っています／","")&amp;IF(AND($B2929&lt;&gt;"",$AQ2929&lt;&gt;""),IF(COUNTIFS($B$6:$B$3005,$B2929,$C$6:$C$3005,$C2929,$D$6:$D$3005,$D2929)&gt;1,"同じ月の請求が重複しています／",""),"")&amp;IF(AND(N($E2929)&gt;0,$AB2929&lt;&gt;"",$AB2929&lt;&gt;"×",$AE2929=0,$AD2929=""),"計算額が下限以下のため不支給／",""))</f>
        <v/>
      </c>
      <c r="AN2929" s="12" t="n"/>
      <c r="AO2929" s="14">
        <f>IF($AF2929="保留中",COUNTIF($AF$6:$AF2929,"保留中"),"")</f>
        <v/>
      </c>
      <c r="AP2929" s="14">
        <f>IF($AQ2929="","",IF(SUMPRODUCT(MAX((職員マスタ!$A$6:$A$405=$B2929)*(((職員マスタ!$G$6:$G$405="")+(職員マスタ!$G$6:$G$405&lt;=EOMONTH($AQ2929,0)))&gt;0)*(((職員マスタ!$H$6:$H$405="")+(職員マスタ!$H$6:$H$405&gt;=$AQ2929))&gt;0)*(ROW(職員マスタ!$A$6:$A$405)-5)))&gt;0,SUMPRODUCT(MAX((職員マスタ!$A$6:$A$405=$B2929)*(((職員マスタ!$G$6:$G$405="")+(職員マスタ!$G$6:$G$405&lt;=EOMONTH($AQ2929,0)))&gt;0)*(((職員マスタ!$H$6:$H$405="")+(職員マスタ!$H$6:$H$405&gt;=$AQ2929))&gt;0)*(ROW(職員マスタ!$A$6:$A$405)-5))),IFERROR(MATCH($B2929,職員マスタ!$A$6:$A$405,0),"")))</f>
        <v/>
      </c>
      <c r="AQ2929" s="16">
        <f>IF(OR($B2929="",$C2929="",$D2929=""),"",DATE($C2929+2018,$D2929,1))</f>
        <v/>
      </c>
    </row>
    <row r="2930">
      <c r="A2930" s="11" t="n"/>
      <c r="B2930" s="12" t="n"/>
      <c r="C2930" s="12" t="n"/>
      <c r="D2930" s="12" t="n"/>
      <c r="E2930" s="13" t="n"/>
      <c r="F2930" s="12" t="n"/>
      <c r="G2930" s="13" t="n"/>
      <c r="H2930" s="12" t="n"/>
      <c r="I2930" s="12" t="n"/>
      <c r="J2930" s="12" t="n"/>
      <c r="K2930" s="12" t="n"/>
      <c r="L2930" s="11" t="n"/>
      <c r="M2930" s="11" t="n"/>
      <c r="N2930" s="11" t="n"/>
      <c r="O2930" s="11" t="n"/>
      <c r="P2930" s="12" t="n"/>
      <c r="Q2930" s="11" t="n"/>
      <c r="R2930" s="12" t="n"/>
      <c r="S2930" s="11" t="n"/>
      <c r="T2930" s="12" t="n"/>
      <c r="U2930" s="12" t="n"/>
      <c r="V2930" s="12" t="n"/>
      <c r="W2930" s="13" t="n"/>
      <c r="X2930" s="14">
        <f>IF($AP2930="",IF($B2930="","",$H2930),IF(INDEX(職員マスタ!$B$6:$B$405,$AP2930)="",$H2930,INDEX(職員マスタ!$B$6:$B$405,$AP2930)))</f>
        <v/>
      </c>
      <c r="Y2930" s="14">
        <f>IF($AP2930="",IF($B2930="","",$R2930),IF(INDEX(職員マスタ!$C$6:$C$405,$AP2930)="",$R2930,INDEX(職員マスタ!$C$6:$C$405,$AP2930)))</f>
        <v/>
      </c>
      <c r="Z2930" s="14">
        <f>IF($AQ2930="","","R"&amp;$C2930&amp;"."&amp;$D2930)</f>
        <v/>
      </c>
      <c r="AA2930" s="15">
        <f>IF(IF($AP2930="",FALSE,INDEX(職員マスタ!$K$6:$K$405,$AP2930)&lt;&gt;""),INDEX(職員マスタ!$K$6:$K$405,$AP2930),IF(N($W2930)&gt;0,$W2930,""))</f>
        <v/>
      </c>
      <c r="AB2930" s="14">
        <f>IF(OR($E2930="",$AA2930=""),"",IF($E2930&gt;=$AA2930,"×",IF($E2930&gt;=$AA2930*設定!$C$5,"△","○")))</f>
        <v/>
      </c>
      <c r="AC2930" s="15">
        <f>IF($AB2930="","",IF($AB2930="×",0,IF($AB2930="○",ROUNDDOWN($E2930*設定!$C$4,0),ROUNDDOWN($E2930*ROUND((9*$AA2930-9*$E2930)/(10*$E2930),4),0))))</f>
        <v/>
      </c>
      <c r="AD2930" s="13" t="n"/>
      <c r="AE2930" s="15">
        <f>IF($B2930="","",IF($AD2930&lt;&gt;"",$AD2930,IF($AC2930="","",IF($AC2930&lt;=設定!$C$3,0,$AC2930))))</f>
        <v/>
      </c>
      <c r="AF2930" s="14">
        <f>IF($B2930="","",IF(AND($AG2930&lt;&gt;"",$AI2930="",$AL2930=""),"保留中",IF($AL2930&lt;&gt;"",IF(N($AE2930)&gt;0,"支給済","不支給"),IF($AE2930="","要確認",IF($AE2930=0,"不支給","未処理")))))</f>
        <v/>
      </c>
      <c r="AG2930" s="12" t="n"/>
      <c r="AH2930" s="11" t="n"/>
      <c r="AI2930" s="11" t="n"/>
      <c r="AJ2930" s="11" t="n"/>
      <c r="AK2930" s="14">
        <f>IF(AND($AF2930="保留中",$AH2930&lt;&gt;""),TODAY()-$AH2930,"")</f>
        <v/>
      </c>
      <c r="AL2930" s="12" t="n"/>
      <c r="AM2930" s="14">
        <f>IF($B2930="","",IF($AQ2930="","対象年月が未入力／","")&amp;IF($B2930="","",IF($AP2930="","職員マスタに未登録の職員番号／",IF($AA2930="","標準報酬月額が未登録／","")&amp;IF(AND($AQ2930&lt;&gt;"",OR(AND(INDEX(職員マスタ!$G$6:$G$405,$AP2930)&lt;&gt;"",INDEX(職員マスタ!$G$6:$G$405,$AP2930)&gt;EOMONTH($AQ2930,0)),AND(INDEX(職員マスタ!$H$6:$H$405,$AP2930)&lt;&gt;"",INDEX(職員マスタ!$H$6:$H$405,$AP2930)&lt;$AQ2930))),"対象月が時短期間外／","")&amp;IF(AND(INDEX(職員マスタ!$K$6:$K$405,$AP2930)&lt;&gt;"",N($W2930)&gt;0,INDEX(職員マスタ!$K$6:$K$405,$AP2930)&lt;&gt;$W2930),"標準報酬月額が申請書と相違（台帳"&amp;TEXT(INDEX(職員マスタ!$K$6:$K$405,$AP2930),"#,##0")&amp;"円／申請書"&amp;TEXT($W2930,"#,##0")&amp;"円）／","")&amp;IF(AND(INDEX(職員マスタ!$F$6:$F$405,$AP2930)&lt;&gt;"",$AQ2930&lt;&gt;"",INDEX(職員マスタ!$F$6:$F$405,$AP2930)&lt;$AQ2930),"対象月に子が2歳到達済／","")&amp;IF(AND($H2930&lt;&gt;"",INDEX(職員マスタ!$B$6:$B$405,$AP2930)&lt;&gt;"",SUBSTITUTE(SUBSTITUTE($H2930," ","")," ","")&lt;&gt;SUBSTITUTE(SUBSTITUTE(INDEX(職員マスタ!$B$6:$B$405,$AP2930)," ","")," ","")),"氏名がマスタと相違／","")&amp;IF(AND($Q2930&lt;&gt;"",INDEX(職員マスタ!$E$6:$E$405,$AP2930)&lt;&gt;"",$Q2930&lt;&gt;INDEX(職員マスタ!$E$6:$E$405,$AP2930)),"子の生年月日がマスタと相違／","")&amp;IF(AND($L2930&lt;&gt;"",INDEX(職員マスタ!$G$6:$G$405,$AP2930)&lt;&gt;"",$L2930&lt;&gt;INDEX(職員マスタ!$G$6:$G$405,$AP2930)),"時短開始日がマスタと相違／","")&amp;IF(AND($M2930&lt;&gt;"",INDEX(職員マスタ!$H$6:$H$405,$AP2930)&lt;&gt;"",$M2930&lt;&gt;INDEX(職員マスタ!$H$6:$H$405,$AP2930)),"時短終了日がマスタと相違／","")))&amp;IF(AND($B2930&lt;&gt;"",$E2930=""),"報酬額が未入力／","")&amp;IF(N($U2930)&gt;0,"申請書に入力エラーが残っています／","")&amp;IF(AND($B2930&lt;&gt;"",$AQ2930&lt;&gt;""),IF(COUNTIFS($B$6:$B$3005,$B2930,$C$6:$C$3005,$C2930,$D$6:$D$3005,$D2930)&gt;1,"同じ月の請求が重複しています／",""),"")&amp;IF(AND(N($E2930)&gt;0,$AB2930&lt;&gt;"",$AB2930&lt;&gt;"×",$AE2930=0,$AD2930=""),"計算額が下限以下のため不支給／",""))</f>
        <v/>
      </c>
      <c r="AN2930" s="12" t="n"/>
      <c r="AO2930" s="14">
        <f>IF($AF2930="保留中",COUNTIF($AF$6:$AF2930,"保留中"),"")</f>
        <v/>
      </c>
      <c r="AP2930" s="14">
        <f>IF($AQ2930="","",IF(SUMPRODUCT(MAX((職員マスタ!$A$6:$A$405=$B2930)*(((職員マスタ!$G$6:$G$405="")+(職員マスタ!$G$6:$G$405&lt;=EOMONTH($AQ2930,0)))&gt;0)*(((職員マスタ!$H$6:$H$405="")+(職員マスタ!$H$6:$H$405&gt;=$AQ2930))&gt;0)*(ROW(職員マスタ!$A$6:$A$405)-5)))&gt;0,SUMPRODUCT(MAX((職員マスタ!$A$6:$A$405=$B2930)*(((職員マスタ!$G$6:$G$405="")+(職員マスタ!$G$6:$G$405&lt;=EOMONTH($AQ2930,0)))&gt;0)*(((職員マスタ!$H$6:$H$405="")+(職員マスタ!$H$6:$H$405&gt;=$AQ2930))&gt;0)*(ROW(職員マスタ!$A$6:$A$405)-5))),IFERROR(MATCH($B2930,職員マスタ!$A$6:$A$405,0),"")))</f>
        <v/>
      </c>
      <c r="AQ2930" s="16">
        <f>IF(OR($B2930="",$C2930="",$D2930=""),"",DATE($C2930+2018,$D2930,1))</f>
        <v/>
      </c>
    </row>
    <row r="2931">
      <c r="A2931" s="11" t="n"/>
      <c r="B2931" s="12" t="n"/>
      <c r="C2931" s="12" t="n"/>
      <c r="D2931" s="12" t="n"/>
      <c r="E2931" s="13" t="n"/>
      <c r="F2931" s="12" t="n"/>
      <c r="G2931" s="13" t="n"/>
      <c r="H2931" s="12" t="n"/>
      <c r="I2931" s="12" t="n"/>
      <c r="J2931" s="12" t="n"/>
      <c r="K2931" s="12" t="n"/>
      <c r="L2931" s="11" t="n"/>
      <c r="M2931" s="11" t="n"/>
      <c r="N2931" s="11" t="n"/>
      <c r="O2931" s="11" t="n"/>
      <c r="P2931" s="12" t="n"/>
      <c r="Q2931" s="11" t="n"/>
      <c r="R2931" s="12" t="n"/>
      <c r="S2931" s="11" t="n"/>
      <c r="T2931" s="12" t="n"/>
      <c r="U2931" s="12" t="n"/>
      <c r="V2931" s="12" t="n"/>
      <c r="W2931" s="13" t="n"/>
      <c r="X2931" s="14">
        <f>IF($AP2931="",IF($B2931="","",$H2931),IF(INDEX(職員マスタ!$B$6:$B$405,$AP2931)="",$H2931,INDEX(職員マスタ!$B$6:$B$405,$AP2931)))</f>
        <v/>
      </c>
      <c r="Y2931" s="14">
        <f>IF($AP2931="",IF($B2931="","",$R2931),IF(INDEX(職員マスタ!$C$6:$C$405,$AP2931)="",$R2931,INDEX(職員マスタ!$C$6:$C$405,$AP2931)))</f>
        <v/>
      </c>
      <c r="Z2931" s="14">
        <f>IF($AQ2931="","","R"&amp;$C2931&amp;"."&amp;$D2931)</f>
        <v/>
      </c>
      <c r="AA2931" s="15">
        <f>IF(IF($AP2931="",FALSE,INDEX(職員マスタ!$K$6:$K$405,$AP2931)&lt;&gt;""),INDEX(職員マスタ!$K$6:$K$405,$AP2931),IF(N($W2931)&gt;0,$W2931,""))</f>
        <v/>
      </c>
      <c r="AB2931" s="14">
        <f>IF(OR($E2931="",$AA2931=""),"",IF($E2931&gt;=$AA2931,"×",IF($E2931&gt;=$AA2931*設定!$C$5,"△","○")))</f>
        <v/>
      </c>
      <c r="AC2931" s="15">
        <f>IF($AB2931="","",IF($AB2931="×",0,IF($AB2931="○",ROUNDDOWN($E2931*設定!$C$4,0),ROUNDDOWN($E2931*ROUND((9*$AA2931-9*$E2931)/(10*$E2931),4),0))))</f>
        <v/>
      </c>
      <c r="AD2931" s="13" t="n"/>
      <c r="AE2931" s="15">
        <f>IF($B2931="","",IF($AD2931&lt;&gt;"",$AD2931,IF($AC2931="","",IF($AC2931&lt;=設定!$C$3,0,$AC2931))))</f>
        <v/>
      </c>
      <c r="AF2931" s="14">
        <f>IF($B2931="","",IF(AND($AG2931&lt;&gt;"",$AI2931="",$AL2931=""),"保留中",IF($AL2931&lt;&gt;"",IF(N($AE2931)&gt;0,"支給済","不支給"),IF($AE2931="","要確認",IF($AE2931=0,"不支給","未処理")))))</f>
        <v/>
      </c>
      <c r="AG2931" s="12" t="n"/>
      <c r="AH2931" s="11" t="n"/>
      <c r="AI2931" s="11" t="n"/>
      <c r="AJ2931" s="11" t="n"/>
      <c r="AK2931" s="14">
        <f>IF(AND($AF2931="保留中",$AH2931&lt;&gt;""),TODAY()-$AH2931,"")</f>
        <v/>
      </c>
      <c r="AL2931" s="12" t="n"/>
      <c r="AM2931" s="14">
        <f>IF($B2931="","",IF($AQ2931="","対象年月が未入力／","")&amp;IF($B2931="","",IF($AP2931="","職員マスタに未登録の職員番号／",IF($AA2931="","標準報酬月額が未登録／","")&amp;IF(AND($AQ2931&lt;&gt;"",OR(AND(INDEX(職員マスタ!$G$6:$G$405,$AP2931)&lt;&gt;"",INDEX(職員マスタ!$G$6:$G$405,$AP2931)&gt;EOMONTH($AQ2931,0)),AND(INDEX(職員マスタ!$H$6:$H$405,$AP2931)&lt;&gt;"",INDEX(職員マスタ!$H$6:$H$405,$AP2931)&lt;$AQ2931))),"対象月が時短期間外／","")&amp;IF(AND(INDEX(職員マスタ!$K$6:$K$405,$AP2931)&lt;&gt;"",N($W2931)&gt;0,INDEX(職員マスタ!$K$6:$K$405,$AP2931)&lt;&gt;$W2931),"標準報酬月額が申請書と相違（台帳"&amp;TEXT(INDEX(職員マスタ!$K$6:$K$405,$AP2931),"#,##0")&amp;"円／申請書"&amp;TEXT($W2931,"#,##0")&amp;"円）／","")&amp;IF(AND(INDEX(職員マスタ!$F$6:$F$405,$AP2931)&lt;&gt;"",$AQ2931&lt;&gt;"",INDEX(職員マスタ!$F$6:$F$405,$AP2931)&lt;$AQ2931),"対象月に子が2歳到達済／","")&amp;IF(AND($H2931&lt;&gt;"",INDEX(職員マスタ!$B$6:$B$405,$AP2931)&lt;&gt;"",SUBSTITUTE(SUBSTITUTE($H2931," ","")," ","")&lt;&gt;SUBSTITUTE(SUBSTITUTE(INDEX(職員マスタ!$B$6:$B$405,$AP2931)," ","")," ","")),"氏名がマスタと相違／","")&amp;IF(AND($Q2931&lt;&gt;"",INDEX(職員マスタ!$E$6:$E$405,$AP2931)&lt;&gt;"",$Q2931&lt;&gt;INDEX(職員マスタ!$E$6:$E$405,$AP2931)),"子の生年月日がマスタと相違／","")&amp;IF(AND($L2931&lt;&gt;"",INDEX(職員マスタ!$G$6:$G$405,$AP2931)&lt;&gt;"",$L2931&lt;&gt;INDEX(職員マスタ!$G$6:$G$405,$AP2931)),"時短開始日がマスタと相違／","")&amp;IF(AND($M2931&lt;&gt;"",INDEX(職員マスタ!$H$6:$H$405,$AP2931)&lt;&gt;"",$M2931&lt;&gt;INDEX(職員マスタ!$H$6:$H$405,$AP2931)),"時短終了日がマスタと相違／","")))&amp;IF(AND($B2931&lt;&gt;"",$E2931=""),"報酬額が未入力／","")&amp;IF(N($U2931)&gt;0,"申請書に入力エラーが残っています／","")&amp;IF(AND($B2931&lt;&gt;"",$AQ2931&lt;&gt;""),IF(COUNTIFS($B$6:$B$3005,$B2931,$C$6:$C$3005,$C2931,$D$6:$D$3005,$D2931)&gt;1,"同じ月の請求が重複しています／",""),"")&amp;IF(AND(N($E2931)&gt;0,$AB2931&lt;&gt;"",$AB2931&lt;&gt;"×",$AE2931=0,$AD2931=""),"計算額が下限以下のため不支給／",""))</f>
        <v/>
      </c>
      <c r="AN2931" s="12" t="n"/>
      <c r="AO2931" s="14">
        <f>IF($AF2931="保留中",COUNTIF($AF$6:$AF2931,"保留中"),"")</f>
        <v/>
      </c>
      <c r="AP2931" s="14">
        <f>IF($AQ2931="","",IF(SUMPRODUCT(MAX((職員マスタ!$A$6:$A$405=$B2931)*(((職員マスタ!$G$6:$G$405="")+(職員マスタ!$G$6:$G$405&lt;=EOMONTH($AQ2931,0)))&gt;0)*(((職員マスタ!$H$6:$H$405="")+(職員マスタ!$H$6:$H$405&gt;=$AQ2931))&gt;0)*(ROW(職員マスタ!$A$6:$A$405)-5)))&gt;0,SUMPRODUCT(MAX((職員マスタ!$A$6:$A$405=$B2931)*(((職員マスタ!$G$6:$G$405="")+(職員マスタ!$G$6:$G$405&lt;=EOMONTH($AQ2931,0)))&gt;0)*(((職員マスタ!$H$6:$H$405="")+(職員マスタ!$H$6:$H$405&gt;=$AQ2931))&gt;0)*(ROW(職員マスタ!$A$6:$A$405)-5))),IFERROR(MATCH($B2931,職員マスタ!$A$6:$A$405,0),"")))</f>
        <v/>
      </c>
      <c r="AQ2931" s="16">
        <f>IF(OR($B2931="",$C2931="",$D2931=""),"",DATE($C2931+2018,$D2931,1))</f>
        <v/>
      </c>
    </row>
    <row r="2932">
      <c r="A2932" s="11" t="n"/>
      <c r="B2932" s="12" t="n"/>
      <c r="C2932" s="12" t="n"/>
      <c r="D2932" s="12" t="n"/>
      <c r="E2932" s="13" t="n"/>
      <c r="F2932" s="12" t="n"/>
      <c r="G2932" s="13" t="n"/>
      <c r="H2932" s="12" t="n"/>
      <c r="I2932" s="12" t="n"/>
      <c r="J2932" s="12" t="n"/>
      <c r="K2932" s="12" t="n"/>
      <c r="L2932" s="11" t="n"/>
      <c r="M2932" s="11" t="n"/>
      <c r="N2932" s="11" t="n"/>
      <c r="O2932" s="11" t="n"/>
      <c r="P2932" s="12" t="n"/>
      <c r="Q2932" s="11" t="n"/>
      <c r="R2932" s="12" t="n"/>
      <c r="S2932" s="11" t="n"/>
      <c r="T2932" s="12" t="n"/>
      <c r="U2932" s="12" t="n"/>
      <c r="V2932" s="12" t="n"/>
      <c r="W2932" s="13" t="n"/>
      <c r="X2932" s="14">
        <f>IF($AP2932="",IF($B2932="","",$H2932),IF(INDEX(職員マスタ!$B$6:$B$405,$AP2932)="",$H2932,INDEX(職員マスタ!$B$6:$B$405,$AP2932)))</f>
        <v/>
      </c>
      <c r="Y2932" s="14">
        <f>IF($AP2932="",IF($B2932="","",$R2932),IF(INDEX(職員マスタ!$C$6:$C$405,$AP2932)="",$R2932,INDEX(職員マスタ!$C$6:$C$405,$AP2932)))</f>
        <v/>
      </c>
      <c r="Z2932" s="14">
        <f>IF($AQ2932="","","R"&amp;$C2932&amp;"."&amp;$D2932)</f>
        <v/>
      </c>
      <c r="AA2932" s="15">
        <f>IF(IF($AP2932="",FALSE,INDEX(職員マスタ!$K$6:$K$405,$AP2932)&lt;&gt;""),INDEX(職員マスタ!$K$6:$K$405,$AP2932),IF(N($W2932)&gt;0,$W2932,""))</f>
        <v/>
      </c>
      <c r="AB2932" s="14">
        <f>IF(OR($E2932="",$AA2932=""),"",IF($E2932&gt;=$AA2932,"×",IF($E2932&gt;=$AA2932*設定!$C$5,"△","○")))</f>
        <v/>
      </c>
      <c r="AC2932" s="15">
        <f>IF($AB2932="","",IF($AB2932="×",0,IF($AB2932="○",ROUNDDOWN($E2932*設定!$C$4,0),ROUNDDOWN($E2932*ROUND((9*$AA2932-9*$E2932)/(10*$E2932),4),0))))</f>
        <v/>
      </c>
      <c r="AD2932" s="13" t="n"/>
      <c r="AE2932" s="15">
        <f>IF($B2932="","",IF($AD2932&lt;&gt;"",$AD2932,IF($AC2932="","",IF($AC2932&lt;=設定!$C$3,0,$AC2932))))</f>
        <v/>
      </c>
      <c r="AF2932" s="14">
        <f>IF($B2932="","",IF(AND($AG2932&lt;&gt;"",$AI2932="",$AL2932=""),"保留中",IF($AL2932&lt;&gt;"",IF(N($AE2932)&gt;0,"支給済","不支給"),IF($AE2932="","要確認",IF($AE2932=0,"不支給","未処理")))))</f>
        <v/>
      </c>
      <c r="AG2932" s="12" t="n"/>
      <c r="AH2932" s="11" t="n"/>
      <c r="AI2932" s="11" t="n"/>
      <c r="AJ2932" s="11" t="n"/>
      <c r="AK2932" s="14">
        <f>IF(AND($AF2932="保留中",$AH2932&lt;&gt;""),TODAY()-$AH2932,"")</f>
        <v/>
      </c>
      <c r="AL2932" s="12" t="n"/>
      <c r="AM2932" s="14">
        <f>IF($B2932="","",IF($AQ2932="","対象年月が未入力／","")&amp;IF($B2932="","",IF($AP2932="","職員マスタに未登録の職員番号／",IF($AA2932="","標準報酬月額が未登録／","")&amp;IF(AND($AQ2932&lt;&gt;"",OR(AND(INDEX(職員マスタ!$G$6:$G$405,$AP2932)&lt;&gt;"",INDEX(職員マスタ!$G$6:$G$405,$AP2932)&gt;EOMONTH($AQ2932,0)),AND(INDEX(職員マスタ!$H$6:$H$405,$AP2932)&lt;&gt;"",INDEX(職員マスタ!$H$6:$H$405,$AP2932)&lt;$AQ2932))),"対象月が時短期間外／","")&amp;IF(AND(INDEX(職員マスタ!$K$6:$K$405,$AP2932)&lt;&gt;"",N($W2932)&gt;0,INDEX(職員マスタ!$K$6:$K$405,$AP2932)&lt;&gt;$W2932),"標準報酬月額が申請書と相違（台帳"&amp;TEXT(INDEX(職員マスタ!$K$6:$K$405,$AP2932),"#,##0")&amp;"円／申請書"&amp;TEXT($W2932,"#,##0")&amp;"円）／","")&amp;IF(AND(INDEX(職員マスタ!$F$6:$F$405,$AP2932)&lt;&gt;"",$AQ2932&lt;&gt;"",INDEX(職員マスタ!$F$6:$F$405,$AP2932)&lt;$AQ2932),"対象月に子が2歳到達済／","")&amp;IF(AND($H2932&lt;&gt;"",INDEX(職員マスタ!$B$6:$B$405,$AP2932)&lt;&gt;"",SUBSTITUTE(SUBSTITUTE($H2932," ","")," ","")&lt;&gt;SUBSTITUTE(SUBSTITUTE(INDEX(職員マスタ!$B$6:$B$405,$AP2932)," ","")," ","")),"氏名がマスタと相違／","")&amp;IF(AND($Q2932&lt;&gt;"",INDEX(職員マスタ!$E$6:$E$405,$AP2932)&lt;&gt;"",$Q2932&lt;&gt;INDEX(職員マスタ!$E$6:$E$405,$AP2932)),"子の生年月日がマスタと相違／","")&amp;IF(AND($L2932&lt;&gt;"",INDEX(職員マスタ!$G$6:$G$405,$AP2932)&lt;&gt;"",$L2932&lt;&gt;INDEX(職員マスタ!$G$6:$G$405,$AP2932)),"時短開始日がマスタと相違／","")&amp;IF(AND($M2932&lt;&gt;"",INDEX(職員マスタ!$H$6:$H$405,$AP2932)&lt;&gt;"",$M2932&lt;&gt;INDEX(職員マスタ!$H$6:$H$405,$AP2932)),"時短終了日がマスタと相違／","")))&amp;IF(AND($B2932&lt;&gt;"",$E2932=""),"報酬額が未入力／","")&amp;IF(N($U2932)&gt;0,"申請書に入力エラーが残っています／","")&amp;IF(AND($B2932&lt;&gt;"",$AQ2932&lt;&gt;""),IF(COUNTIFS($B$6:$B$3005,$B2932,$C$6:$C$3005,$C2932,$D$6:$D$3005,$D2932)&gt;1,"同じ月の請求が重複しています／",""),"")&amp;IF(AND(N($E2932)&gt;0,$AB2932&lt;&gt;"",$AB2932&lt;&gt;"×",$AE2932=0,$AD2932=""),"計算額が下限以下のため不支給／",""))</f>
        <v/>
      </c>
      <c r="AN2932" s="12" t="n"/>
      <c r="AO2932" s="14">
        <f>IF($AF2932="保留中",COUNTIF($AF$6:$AF2932,"保留中"),"")</f>
        <v/>
      </c>
      <c r="AP2932" s="14">
        <f>IF($AQ2932="","",IF(SUMPRODUCT(MAX((職員マスタ!$A$6:$A$405=$B2932)*(((職員マスタ!$G$6:$G$405="")+(職員マスタ!$G$6:$G$405&lt;=EOMONTH($AQ2932,0)))&gt;0)*(((職員マスタ!$H$6:$H$405="")+(職員マスタ!$H$6:$H$405&gt;=$AQ2932))&gt;0)*(ROW(職員マスタ!$A$6:$A$405)-5)))&gt;0,SUMPRODUCT(MAX((職員マスタ!$A$6:$A$405=$B2932)*(((職員マスタ!$G$6:$G$405="")+(職員マスタ!$G$6:$G$405&lt;=EOMONTH($AQ2932,0)))&gt;0)*(((職員マスタ!$H$6:$H$405="")+(職員マスタ!$H$6:$H$405&gt;=$AQ2932))&gt;0)*(ROW(職員マスタ!$A$6:$A$405)-5))),IFERROR(MATCH($B2932,職員マスタ!$A$6:$A$405,0),"")))</f>
        <v/>
      </c>
      <c r="AQ2932" s="16">
        <f>IF(OR($B2932="",$C2932="",$D2932=""),"",DATE($C2932+2018,$D2932,1))</f>
        <v/>
      </c>
    </row>
    <row r="2933">
      <c r="A2933" s="11" t="n"/>
      <c r="B2933" s="12" t="n"/>
      <c r="C2933" s="12" t="n"/>
      <c r="D2933" s="12" t="n"/>
      <c r="E2933" s="13" t="n"/>
      <c r="F2933" s="12" t="n"/>
      <c r="G2933" s="13" t="n"/>
      <c r="H2933" s="12" t="n"/>
      <c r="I2933" s="12" t="n"/>
      <c r="J2933" s="12" t="n"/>
      <c r="K2933" s="12" t="n"/>
      <c r="L2933" s="11" t="n"/>
      <c r="M2933" s="11" t="n"/>
      <c r="N2933" s="11" t="n"/>
      <c r="O2933" s="11" t="n"/>
      <c r="P2933" s="12" t="n"/>
      <c r="Q2933" s="11" t="n"/>
      <c r="R2933" s="12" t="n"/>
      <c r="S2933" s="11" t="n"/>
      <c r="T2933" s="12" t="n"/>
      <c r="U2933" s="12" t="n"/>
      <c r="V2933" s="12" t="n"/>
      <c r="W2933" s="13" t="n"/>
      <c r="X2933" s="14">
        <f>IF($AP2933="",IF($B2933="","",$H2933),IF(INDEX(職員マスタ!$B$6:$B$405,$AP2933)="",$H2933,INDEX(職員マスタ!$B$6:$B$405,$AP2933)))</f>
        <v/>
      </c>
      <c r="Y2933" s="14">
        <f>IF($AP2933="",IF($B2933="","",$R2933),IF(INDEX(職員マスタ!$C$6:$C$405,$AP2933)="",$R2933,INDEX(職員マスタ!$C$6:$C$405,$AP2933)))</f>
        <v/>
      </c>
      <c r="Z2933" s="14">
        <f>IF($AQ2933="","","R"&amp;$C2933&amp;"."&amp;$D2933)</f>
        <v/>
      </c>
      <c r="AA2933" s="15">
        <f>IF(IF($AP2933="",FALSE,INDEX(職員マスタ!$K$6:$K$405,$AP2933)&lt;&gt;""),INDEX(職員マスタ!$K$6:$K$405,$AP2933),IF(N($W2933)&gt;0,$W2933,""))</f>
        <v/>
      </c>
      <c r="AB2933" s="14">
        <f>IF(OR($E2933="",$AA2933=""),"",IF($E2933&gt;=$AA2933,"×",IF($E2933&gt;=$AA2933*設定!$C$5,"△","○")))</f>
        <v/>
      </c>
      <c r="AC2933" s="15">
        <f>IF($AB2933="","",IF($AB2933="×",0,IF($AB2933="○",ROUNDDOWN($E2933*設定!$C$4,0),ROUNDDOWN($E2933*ROUND((9*$AA2933-9*$E2933)/(10*$E2933),4),0))))</f>
        <v/>
      </c>
      <c r="AD2933" s="13" t="n"/>
      <c r="AE2933" s="15">
        <f>IF($B2933="","",IF($AD2933&lt;&gt;"",$AD2933,IF($AC2933="","",IF($AC2933&lt;=設定!$C$3,0,$AC2933))))</f>
        <v/>
      </c>
      <c r="AF2933" s="14">
        <f>IF($B2933="","",IF(AND($AG2933&lt;&gt;"",$AI2933="",$AL2933=""),"保留中",IF($AL2933&lt;&gt;"",IF(N($AE2933)&gt;0,"支給済","不支給"),IF($AE2933="","要確認",IF($AE2933=0,"不支給","未処理")))))</f>
        <v/>
      </c>
      <c r="AG2933" s="12" t="n"/>
      <c r="AH2933" s="11" t="n"/>
      <c r="AI2933" s="11" t="n"/>
      <c r="AJ2933" s="11" t="n"/>
      <c r="AK2933" s="14">
        <f>IF(AND($AF2933="保留中",$AH2933&lt;&gt;""),TODAY()-$AH2933,"")</f>
        <v/>
      </c>
      <c r="AL2933" s="12" t="n"/>
      <c r="AM2933" s="14">
        <f>IF($B2933="","",IF($AQ2933="","対象年月が未入力／","")&amp;IF($B2933="","",IF($AP2933="","職員マスタに未登録の職員番号／",IF($AA2933="","標準報酬月額が未登録／","")&amp;IF(AND($AQ2933&lt;&gt;"",OR(AND(INDEX(職員マスタ!$G$6:$G$405,$AP2933)&lt;&gt;"",INDEX(職員マスタ!$G$6:$G$405,$AP2933)&gt;EOMONTH($AQ2933,0)),AND(INDEX(職員マスタ!$H$6:$H$405,$AP2933)&lt;&gt;"",INDEX(職員マスタ!$H$6:$H$405,$AP2933)&lt;$AQ2933))),"対象月が時短期間外／","")&amp;IF(AND(INDEX(職員マスタ!$K$6:$K$405,$AP2933)&lt;&gt;"",N($W2933)&gt;0,INDEX(職員マスタ!$K$6:$K$405,$AP2933)&lt;&gt;$W2933),"標準報酬月額が申請書と相違（台帳"&amp;TEXT(INDEX(職員マスタ!$K$6:$K$405,$AP2933),"#,##0")&amp;"円／申請書"&amp;TEXT($W2933,"#,##0")&amp;"円）／","")&amp;IF(AND(INDEX(職員マスタ!$F$6:$F$405,$AP2933)&lt;&gt;"",$AQ2933&lt;&gt;"",INDEX(職員マスタ!$F$6:$F$405,$AP2933)&lt;$AQ2933),"対象月に子が2歳到達済／","")&amp;IF(AND($H2933&lt;&gt;"",INDEX(職員マスタ!$B$6:$B$405,$AP2933)&lt;&gt;"",SUBSTITUTE(SUBSTITUTE($H2933," ","")," ","")&lt;&gt;SUBSTITUTE(SUBSTITUTE(INDEX(職員マスタ!$B$6:$B$405,$AP2933)," ","")," ","")),"氏名がマスタと相違／","")&amp;IF(AND($Q2933&lt;&gt;"",INDEX(職員マスタ!$E$6:$E$405,$AP2933)&lt;&gt;"",$Q2933&lt;&gt;INDEX(職員マスタ!$E$6:$E$405,$AP2933)),"子の生年月日がマスタと相違／","")&amp;IF(AND($L2933&lt;&gt;"",INDEX(職員マスタ!$G$6:$G$405,$AP2933)&lt;&gt;"",$L2933&lt;&gt;INDEX(職員マスタ!$G$6:$G$405,$AP2933)),"時短開始日がマスタと相違／","")&amp;IF(AND($M2933&lt;&gt;"",INDEX(職員マスタ!$H$6:$H$405,$AP2933)&lt;&gt;"",$M2933&lt;&gt;INDEX(職員マスタ!$H$6:$H$405,$AP2933)),"時短終了日がマスタと相違／","")))&amp;IF(AND($B2933&lt;&gt;"",$E2933=""),"報酬額が未入力／","")&amp;IF(N($U2933)&gt;0,"申請書に入力エラーが残っています／","")&amp;IF(AND($B2933&lt;&gt;"",$AQ2933&lt;&gt;""),IF(COUNTIFS($B$6:$B$3005,$B2933,$C$6:$C$3005,$C2933,$D$6:$D$3005,$D2933)&gt;1,"同じ月の請求が重複しています／",""),"")&amp;IF(AND(N($E2933)&gt;0,$AB2933&lt;&gt;"",$AB2933&lt;&gt;"×",$AE2933=0,$AD2933=""),"計算額が下限以下のため不支給／",""))</f>
        <v/>
      </c>
      <c r="AN2933" s="12" t="n"/>
      <c r="AO2933" s="14">
        <f>IF($AF2933="保留中",COUNTIF($AF$6:$AF2933,"保留中"),"")</f>
        <v/>
      </c>
      <c r="AP2933" s="14">
        <f>IF($AQ2933="","",IF(SUMPRODUCT(MAX((職員マスタ!$A$6:$A$405=$B2933)*(((職員マスタ!$G$6:$G$405="")+(職員マスタ!$G$6:$G$405&lt;=EOMONTH($AQ2933,0)))&gt;0)*(((職員マスタ!$H$6:$H$405="")+(職員マスタ!$H$6:$H$405&gt;=$AQ2933))&gt;0)*(ROW(職員マスタ!$A$6:$A$405)-5)))&gt;0,SUMPRODUCT(MAX((職員マスタ!$A$6:$A$405=$B2933)*(((職員マスタ!$G$6:$G$405="")+(職員マスタ!$G$6:$G$405&lt;=EOMONTH($AQ2933,0)))&gt;0)*(((職員マスタ!$H$6:$H$405="")+(職員マスタ!$H$6:$H$405&gt;=$AQ2933))&gt;0)*(ROW(職員マスタ!$A$6:$A$405)-5))),IFERROR(MATCH($B2933,職員マスタ!$A$6:$A$405,0),"")))</f>
        <v/>
      </c>
      <c r="AQ2933" s="16">
        <f>IF(OR($B2933="",$C2933="",$D2933=""),"",DATE($C2933+2018,$D2933,1))</f>
        <v/>
      </c>
    </row>
    <row r="2934">
      <c r="A2934" s="11" t="n"/>
      <c r="B2934" s="12" t="n"/>
      <c r="C2934" s="12" t="n"/>
      <c r="D2934" s="12" t="n"/>
      <c r="E2934" s="13" t="n"/>
      <c r="F2934" s="12" t="n"/>
      <c r="G2934" s="13" t="n"/>
      <c r="H2934" s="12" t="n"/>
      <c r="I2934" s="12" t="n"/>
      <c r="J2934" s="12" t="n"/>
      <c r="K2934" s="12" t="n"/>
      <c r="L2934" s="11" t="n"/>
      <c r="M2934" s="11" t="n"/>
      <c r="N2934" s="11" t="n"/>
      <c r="O2934" s="11" t="n"/>
      <c r="P2934" s="12" t="n"/>
      <c r="Q2934" s="11" t="n"/>
      <c r="R2934" s="12" t="n"/>
      <c r="S2934" s="11" t="n"/>
      <c r="T2934" s="12" t="n"/>
      <c r="U2934" s="12" t="n"/>
      <c r="V2934" s="12" t="n"/>
      <c r="W2934" s="13" t="n"/>
      <c r="X2934" s="14">
        <f>IF($AP2934="",IF($B2934="","",$H2934),IF(INDEX(職員マスタ!$B$6:$B$405,$AP2934)="",$H2934,INDEX(職員マスタ!$B$6:$B$405,$AP2934)))</f>
        <v/>
      </c>
      <c r="Y2934" s="14">
        <f>IF($AP2934="",IF($B2934="","",$R2934),IF(INDEX(職員マスタ!$C$6:$C$405,$AP2934)="",$R2934,INDEX(職員マスタ!$C$6:$C$405,$AP2934)))</f>
        <v/>
      </c>
      <c r="Z2934" s="14">
        <f>IF($AQ2934="","","R"&amp;$C2934&amp;"."&amp;$D2934)</f>
        <v/>
      </c>
      <c r="AA2934" s="15">
        <f>IF(IF($AP2934="",FALSE,INDEX(職員マスタ!$K$6:$K$405,$AP2934)&lt;&gt;""),INDEX(職員マスタ!$K$6:$K$405,$AP2934),IF(N($W2934)&gt;0,$W2934,""))</f>
        <v/>
      </c>
      <c r="AB2934" s="14">
        <f>IF(OR($E2934="",$AA2934=""),"",IF($E2934&gt;=$AA2934,"×",IF($E2934&gt;=$AA2934*設定!$C$5,"△","○")))</f>
        <v/>
      </c>
      <c r="AC2934" s="15">
        <f>IF($AB2934="","",IF($AB2934="×",0,IF($AB2934="○",ROUNDDOWN($E2934*設定!$C$4,0),ROUNDDOWN($E2934*ROUND((9*$AA2934-9*$E2934)/(10*$E2934),4),0))))</f>
        <v/>
      </c>
      <c r="AD2934" s="13" t="n"/>
      <c r="AE2934" s="15">
        <f>IF($B2934="","",IF($AD2934&lt;&gt;"",$AD2934,IF($AC2934="","",IF($AC2934&lt;=設定!$C$3,0,$AC2934))))</f>
        <v/>
      </c>
      <c r="AF2934" s="14">
        <f>IF($B2934="","",IF(AND($AG2934&lt;&gt;"",$AI2934="",$AL2934=""),"保留中",IF($AL2934&lt;&gt;"",IF(N($AE2934)&gt;0,"支給済","不支給"),IF($AE2934="","要確認",IF($AE2934=0,"不支給","未処理")))))</f>
        <v/>
      </c>
      <c r="AG2934" s="12" t="n"/>
      <c r="AH2934" s="11" t="n"/>
      <c r="AI2934" s="11" t="n"/>
      <c r="AJ2934" s="11" t="n"/>
      <c r="AK2934" s="14">
        <f>IF(AND($AF2934="保留中",$AH2934&lt;&gt;""),TODAY()-$AH2934,"")</f>
        <v/>
      </c>
      <c r="AL2934" s="12" t="n"/>
      <c r="AM2934" s="14">
        <f>IF($B2934="","",IF($AQ2934="","対象年月が未入力／","")&amp;IF($B2934="","",IF($AP2934="","職員マスタに未登録の職員番号／",IF($AA2934="","標準報酬月額が未登録／","")&amp;IF(AND($AQ2934&lt;&gt;"",OR(AND(INDEX(職員マスタ!$G$6:$G$405,$AP2934)&lt;&gt;"",INDEX(職員マスタ!$G$6:$G$405,$AP2934)&gt;EOMONTH($AQ2934,0)),AND(INDEX(職員マスタ!$H$6:$H$405,$AP2934)&lt;&gt;"",INDEX(職員マスタ!$H$6:$H$405,$AP2934)&lt;$AQ2934))),"対象月が時短期間外／","")&amp;IF(AND(INDEX(職員マスタ!$K$6:$K$405,$AP2934)&lt;&gt;"",N($W2934)&gt;0,INDEX(職員マスタ!$K$6:$K$405,$AP2934)&lt;&gt;$W2934),"標準報酬月額が申請書と相違（台帳"&amp;TEXT(INDEX(職員マスタ!$K$6:$K$405,$AP2934),"#,##0")&amp;"円／申請書"&amp;TEXT($W2934,"#,##0")&amp;"円）／","")&amp;IF(AND(INDEX(職員マスタ!$F$6:$F$405,$AP2934)&lt;&gt;"",$AQ2934&lt;&gt;"",INDEX(職員マスタ!$F$6:$F$405,$AP2934)&lt;$AQ2934),"対象月に子が2歳到達済／","")&amp;IF(AND($H2934&lt;&gt;"",INDEX(職員マスタ!$B$6:$B$405,$AP2934)&lt;&gt;"",SUBSTITUTE(SUBSTITUTE($H2934," ","")," ","")&lt;&gt;SUBSTITUTE(SUBSTITUTE(INDEX(職員マスタ!$B$6:$B$405,$AP2934)," ","")," ","")),"氏名がマスタと相違／","")&amp;IF(AND($Q2934&lt;&gt;"",INDEX(職員マスタ!$E$6:$E$405,$AP2934)&lt;&gt;"",$Q2934&lt;&gt;INDEX(職員マスタ!$E$6:$E$405,$AP2934)),"子の生年月日がマスタと相違／","")&amp;IF(AND($L2934&lt;&gt;"",INDEX(職員マスタ!$G$6:$G$405,$AP2934)&lt;&gt;"",$L2934&lt;&gt;INDEX(職員マスタ!$G$6:$G$405,$AP2934)),"時短開始日がマスタと相違／","")&amp;IF(AND($M2934&lt;&gt;"",INDEX(職員マスタ!$H$6:$H$405,$AP2934)&lt;&gt;"",$M2934&lt;&gt;INDEX(職員マスタ!$H$6:$H$405,$AP2934)),"時短終了日がマスタと相違／","")))&amp;IF(AND($B2934&lt;&gt;"",$E2934=""),"報酬額が未入力／","")&amp;IF(N($U2934)&gt;0,"申請書に入力エラーが残っています／","")&amp;IF(AND($B2934&lt;&gt;"",$AQ2934&lt;&gt;""),IF(COUNTIFS($B$6:$B$3005,$B2934,$C$6:$C$3005,$C2934,$D$6:$D$3005,$D2934)&gt;1,"同じ月の請求が重複しています／",""),"")&amp;IF(AND(N($E2934)&gt;0,$AB2934&lt;&gt;"",$AB2934&lt;&gt;"×",$AE2934=0,$AD2934=""),"計算額が下限以下のため不支給／",""))</f>
        <v/>
      </c>
      <c r="AN2934" s="12" t="n"/>
      <c r="AO2934" s="14">
        <f>IF($AF2934="保留中",COUNTIF($AF$6:$AF2934,"保留中"),"")</f>
        <v/>
      </c>
      <c r="AP2934" s="14">
        <f>IF($AQ2934="","",IF(SUMPRODUCT(MAX((職員マスタ!$A$6:$A$405=$B2934)*(((職員マスタ!$G$6:$G$405="")+(職員マスタ!$G$6:$G$405&lt;=EOMONTH($AQ2934,0)))&gt;0)*(((職員マスタ!$H$6:$H$405="")+(職員マスタ!$H$6:$H$405&gt;=$AQ2934))&gt;0)*(ROW(職員マスタ!$A$6:$A$405)-5)))&gt;0,SUMPRODUCT(MAX((職員マスタ!$A$6:$A$405=$B2934)*(((職員マスタ!$G$6:$G$405="")+(職員マスタ!$G$6:$G$405&lt;=EOMONTH($AQ2934,0)))&gt;0)*(((職員マスタ!$H$6:$H$405="")+(職員マスタ!$H$6:$H$405&gt;=$AQ2934))&gt;0)*(ROW(職員マスタ!$A$6:$A$405)-5))),IFERROR(MATCH($B2934,職員マスタ!$A$6:$A$405,0),"")))</f>
        <v/>
      </c>
      <c r="AQ2934" s="16">
        <f>IF(OR($B2934="",$C2934="",$D2934=""),"",DATE($C2934+2018,$D2934,1))</f>
        <v/>
      </c>
    </row>
    <row r="2935">
      <c r="A2935" s="11" t="n"/>
      <c r="B2935" s="12" t="n"/>
      <c r="C2935" s="12" t="n"/>
      <c r="D2935" s="12" t="n"/>
      <c r="E2935" s="13" t="n"/>
      <c r="F2935" s="12" t="n"/>
      <c r="G2935" s="13" t="n"/>
      <c r="H2935" s="12" t="n"/>
      <c r="I2935" s="12" t="n"/>
      <c r="J2935" s="12" t="n"/>
      <c r="K2935" s="12" t="n"/>
      <c r="L2935" s="11" t="n"/>
      <c r="M2935" s="11" t="n"/>
      <c r="N2935" s="11" t="n"/>
      <c r="O2935" s="11" t="n"/>
      <c r="P2935" s="12" t="n"/>
      <c r="Q2935" s="11" t="n"/>
      <c r="R2935" s="12" t="n"/>
      <c r="S2935" s="11" t="n"/>
      <c r="T2935" s="12" t="n"/>
      <c r="U2935" s="12" t="n"/>
      <c r="V2935" s="12" t="n"/>
      <c r="W2935" s="13" t="n"/>
      <c r="X2935" s="14">
        <f>IF($AP2935="",IF($B2935="","",$H2935),IF(INDEX(職員マスタ!$B$6:$B$405,$AP2935)="",$H2935,INDEX(職員マスタ!$B$6:$B$405,$AP2935)))</f>
        <v/>
      </c>
      <c r="Y2935" s="14">
        <f>IF($AP2935="",IF($B2935="","",$R2935),IF(INDEX(職員マスタ!$C$6:$C$405,$AP2935)="",$R2935,INDEX(職員マスタ!$C$6:$C$405,$AP2935)))</f>
        <v/>
      </c>
      <c r="Z2935" s="14">
        <f>IF($AQ2935="","","R"&amp;$C2935&amp;"."&amp;$D2935)</f>
        <v/>
      </c>
      <c r="AA2935" s="15">
        <f>IF(IF($AP2935="",FALSE,INDEX(職員マスタ!$K$6:$K$405,$AP2935)&lt;&gt;""),INDEX(職員マスタ!$K$6:$K$405,$AP2935),IF(N($W2935)&gt;0,$W2935,""))</f>
        <v/>
      </c>
      <c r="AB2935" s="14">
        <f>IF(OR($E2935="",$AA2935=""),"",IF($E2935&gt;=$AA2935,"×",IF($E2935&gt;=$AA2935*設定!$C$5,"△","○")))</f>
        <v/>
      </c>
      <c r="AC2935" s="15">
        <f>IF($AB2935="","",IF($AB2935="×",0,IF($AB2935="○",ROUNDDOWN($E2935*設定!$C$4,0),ROUNDDOWN($E2935*ROUND((9*$AA2935-9*$E2935)/(10*$E2935),4),0))))</f>
        <v/>
      </c>
      <c r="AD2935" s="13" t="n"/>
      <c r="AE2935" s="15">
        <f>IF($B2935="","",IF($AD2935&lt;&gt;"",$AD2935,IF($AC2935="","",IF($AC2935&lt;=設定!$C$3,0,$AC2935))))</f>
        <v/>
      </c>
      <c r="AF2935" s="14">
        <f>IF($B2935="","",IF(AND($AG2935&lt;&gt;"",$AI2935="",$AL2935=""),"保留中",IF($AL2935&lt;&gt;"",IF(N($AE2935)&gt;0,"支給済","不支給"),IF($AE2935="","要確認",IF($AE2935=0,"不支給","未処理")))))</f>
        <v/>
      </c>
      <c r="AG2935" s="12" t="n"/>
      <c r="AH2935" s="11" t="n"/>
      <c r="AI2935" s="11" t="n"/>
      <c r="AJ2935" s="11" t="n"/>
      <c r="AK2935" s="14">
        <f>IF(AND($AF2935="保留中",$AH2935&lt;&gt;""),TODAY()-$AH2935,"")</f>
        <v/>
      </c>
      <c r="AL2935" s="12" t="n"/>
      <c r="AM2935" s="14">
        <f>IF($B2935="","",IF($AQ2935="","対象年月が未入力／","")&amp;IF($B2935="","",IF($AP2935="","職員マスタに未登録の職員番号／",IF($AA2935="","標準報酬月額が未登録／","")&amp;IF(AND($AQ2935&lt;&gt;"",OR(AND(INDEX(職員マスタ!$G$6:$G$405,$AP2935)&lt;&gt;"",INDEX(職員マスタ!$G$6:$G$405,$AP2935)&gt;EOMONTH($AQ2935,0)),AND(INDEX(職員マスタ!$H$6:$H$405,$AP2935)&lt;&gt;"",INDEX(職員マスタ!$H$6:$H$405,$AP2935)&lt;$AQ2935))),"対象月が時短期間外／","")&amp;IF(AND(INDEX(職員マスタ!$K$6:$K$405,$AP2935)&lt;&gt;"",N($W2935)&gt;0,INDEX(職員マスタ!$K$6:$K$405,$AP2935)&lt;&gt;$W2935),"標準報酬月額が申請書と相違（台帳"&amp;TEXT(INDEX(職員マスタ!$K$6:$K$405,$AP2935),"#,##0")&amp;"円／申請書"&amp;TEXT($W2935,"#,##0")&amp;"円）／","")&amp;IF(AND(INDEX(職員マスタ!$F$6:$F$405,$AP2935)&lt;&gt;"",$AQ2935&lt;&gt;"",INDEX(職員マスタ!$F$6:$F$405,$AP2935)&lt;$AQ2935),"対象月に子が2歳到達済／","")&amp;IF(AND($H2935&lt;&gt;"",INDEX(職員マスタ!$B$6:$B$405,$AP2935)&lt;&gt;"",SUBSTITUTE(SUBSTITUTE($H2935," ","")," ","")&lt;&gt;SUBSTITUTE(SUBSTITUTE(INDEX(職員マスタ!$B$6:$B$405,$AP2935)," ","")," ","")),"氏名がマスタと相違／","")&amp;IF(AND($Q2935&lt;&gt;"",INDEX(職員マスタ!$E$6:$E$405,$AP2935)&lt;&gt;"",$Q2935&lt;&gt;INDEX(職員マスタ!$E$6:$E$405,$AP2935)),"子の生年月日がマスタと相違／","")&amp;IF(AND($L2935&lt;&gt;"",INDEX(職員マスタ!$G$6:$G$405,$AP2935)&lt;&gt;"",$L2935&lt;&gt;INDEX(職員マスタ!$G$6:$G$405,$AP2935)),"時短開始日がマスタと相違／","")&amp;IF(AND($M2935&lt;&gt;"",INDEX(職員マスタ!$H$6:$H$405,$AP2935)&lt;&gt;"",$M2935&lt;&gt;INDEX(職員マスタ!$H$6:$H$405,$AP2935)),"時短終了日がマスタと相違／","")))&amp;IF(AND($B2935&lt;&gt;"",$E2935=""),"報酬額が未入力／","")&amp;IF(N($U2935)&gt;0,"申請書に入力エラーが残っています／","")&amp;IF(AND($B2935&lt;&gt;"",$AQ2935&lt;&gt;""),IF(COUNTIFS($B$6:$B$3005,$B2935,$C$6:$C$3005,$C2935,$D$6:$D$3005,$D2935)&gt;1,"同じ月の請求が重複しています／",""),"")&amp;IF(AND(N($E2935)&gt;0,$AB2935&lt;&gt;"",$AB2935&lt;&gt;"×",$AE2935=0,$AD2935=""),"計算額が下限以下のため不支給／",""))</f>
        <v/>
      </c>
      <c r="AN2935" s="12" t="n"/>
      <c r="AO2935" s="14">
        <f>IF($AF2935="保留中",COUNTIF($AF$6:$AF2935,"保留中"),"")</f>
        <v/>
      </c>
      <c r="AP2935" s="14">
        <f>IF($AQ2935="","",IF(SUMPRODUCT(MAX((職員マスタ!$A$6:$A$405=$B2935)*(((職員マスタ!$G$6:$G$405="")+(職員マスタ!$G$6:$G$405&lt;=EOMONTH($AQ2935,0)))&gt;0)*(((職員マスタ!$H$6:$H$405="")+(職員マスタ!$H$6:$H$405&gt;=$AQ2935))&gt;0)*(ROW(職員マスタ!$A$6:$A$405)-5)))&gt;0,SUMPRODUCT(MAX((職員マスタ!$A$6:$A$405=$B2935)*(((職員マスタ!$G$6:$G$405="")+(職員マスタ!$G$6:$G$405&lt;=EOMONTH($AQ2935,0)))&gt;0)*(((職員マスタ!$H$6:$H$405="")+(職員マスタ!$H$6:$H$405&gt;=$AQ2935))&gt;0)*(ROW(職員マスタ!$A$6:$A$405)-5))),IFERROR(MATCH($B2935,職員マスタ!$A$6:$A$405,0),"")))</f>
        <v/>
      </c>
      <c r="AQ2935" s="16">
        <f>IF(OR($B2935="",$C2935="",$D2935=""),"",DATE($C2935+2018,$D2935,1))</f>
        <v/>
      </c>
    </row>
    <row r="2936">
      <c r="A2936" s="11" t="n"/>
      <c r="B2936" s="12" t="n"/>
      <c r="C2936" s="12" t="n"/>
      <c r="D2936" s="12" t="n"/>
      <c r="E2936" s="13" t="n"/>
      <c r="F2936" s="12" t="n"/>
      <c r="G2936" s="13" t="n"/>
      <c r="H2936" s="12" t="n"/>
      <c r="I2936" s="12" t="n"/>
      <c r="J2936" s="12" t="n"/>
      <c r="K2936" s="12" t="n"/>
      <c r="L2936" s="11" t="n"/>
      <c r="M2936" s="11" t="n"/>
      <c r="N2936" s="11" t="n"/>
      <c r="O2936" s="11" t="n"/>
      <c r="P2936" s="12" t="n"/>
      <c r="Q2936" s="11" t="n"/>
      <c r="R2936" s="12" t="n"/>
      <c r="S2936" s="11" t="n"/>
      <c r="T2936" s="12" t="n"/>
      <c r="U2936" s="12" t="n"/>
      <c r="V2936" s="12" t="n"/>
      <c r="W2936" s="13" t="n"/>
      <c r="X2936" s="14">
        <f>IF($AP2936="",IF($B2936="","",$H2936),IF(INDEX(職員マスタ!$B$6:$B$405,$AP2936)="",$H2936,INDEX(職員マスタ!$B$6:$B$405,$AP2936)))</f>
        <v/>
      </c>
      <c r="Y2936" s="14">
        <f>IF($AP2936="",IF($B2936="","",$R2936),IF(INDEX(職員マスタ!$C$6:$C$405,$AP2936)="",$R2936,INDEX(職員マスタ!$C$6:$C$405,$AP2936)))</f>
        <v/>
      </c>
      <c r="Z2936" s="14">
        <f>IF($AQ2936="","","R"&amp;$C2936&amp;"."&amp;$D2936)</f>
        <v/>
      </c>
      <c r="AA2936" s="15">
        <f>IF(IF($AP2936="",FALSE,INDEX(職員マスタ!$K$6:$K$405,$AP2936)&lt;&gt;""),INDEX(職員マスタ!$K$6:$K$405,$AP2936),IF(N($W2936)&gt;0,$W2936,""))</f>
        <v/>
      </c>
      <c r="AB2936" s="14">
        <f>IF(OR($E2936="",$AA2936=""),"",IF($E2936&gt;=$AA2936,"×",IF($E2936&gt;=$AA2936*設定!$C$5,"△","○")))</f>
        <v/>
      </c>
      <c r="AC2936" s="15">
        <f>IF($AB2936="","",IF($AB2936="×",0,IF($AB2936="○",ROUNDDOWN($E2936*設定!$C$4,0),ROUNDDOWN($E2936*ROUND((9*$AA2936-9*$E2936)/(10*$E2936),4),0))))</f>
        <v/>
      </c>
      <c r="AD2936" s="13" t="n"/>
      <c r="AE2936" s="15">
        <f>IF($B2936="","",IF($AD2936&lt;&gt;"",$AD2936,IF($AC2936="","",IF($AC2936&lt;=設定!$C$3,0,$AC2936))))</f>
        <v/>
      </c>
      <c r="AF2936" s="14">
        <f>IF($B2936="","",IF(AND($AG2936&lt;&gt;"",$AI2936="",$AL2936=""),"保留中",IF($AL2936&lt;&gt;"",IF(N($AE2936)&gt;0,"支給済","不支給"),IF($AE2936="","要確認",IF($AE2936=0,"不支給","未処理")))))</f>
        <v/>
      </c>
      <c r="AG2936" s="12" t="n"/>
      <c r="AH2936" s="11" t="n"/>
      <c r="AI2936" s="11" t="n"/>
      <c r="AJ2936" s="11" t="n"/>
      <c r="AK2936" s="14">
        <f>IF(AND($AF2936="保留中",$AH2936&lt;&gt;""),TODAY()-$AH2936,"")</f>
        <v/>
      </c>
      <c r="AL2936" s="12" t="n"/>
      <c r="AM2936" s="14">
        <f>IF($B2936="","",IF($AQ2936="","対象年月が未入力／","")&amp;IF($B2936="","",IF($AP2936="","職員マスタに未登録の職員番号／",IF($AA2936="","標準報酬月額が未登録／","")&amp;IF(AND($AQ2936&lt;&gt;"",OR(AND(INDEX(職員マスタ!$G$6:$G$405,$AP2936)&lt;&gt;"",INDEX(職員マスタ!$G$6:$G$405,$AP2936)&gt;EOMONTH($AQ2936,0)),AND(INDEX(職員マスタ!$H$6:$H$405,$AP2936)&lt;&gt;"",INDEX(職員マスタ!$H$6:$H$405,$AP2936)&lt;$AQ2936))),"対象月が時短期間外／","")&amp;IF(AND(INDEX(職員マスタ!$K$6:$K$405,$AP2936)&lt;&gt;"",N($W2936)&gt;0,INDEX(職員マスタ!$K$6:$K$405,$AP2936)&lt;&gt;$W2936),"標準報酬月額が申請書と相違（台帳"&amp;TEXT(INDEX(職員マスタ!$K$6:$K$405,$AP2936),"#,##0")&amp;"円／申請書"&amp;TEXT($W2936,"#,##0")&amp;"円）／","")&amp;IF(AND(INDEX(職員マスタ!$F$6:$F$405,$AP2936)&lt;&gt;"",$AQ2936&lt;&gt;"",INDEX(職員マスタ!$F$6:$F$405,$AP2936)&lt;$AQ2936),"対象月に子が2歳到達済／","")&amp;IF(AND($H2936&lt;&gt;"",INDEX(職員マスタ!$B$6:$B$405,$AP2936)&lt;&gt;"",SUBSTITUTE(SUBSTITUTE($H2936," ","")," ","")&lt;&gt;SUBSTITUTE(SUBSTITUTE(INDEX(職員マスタ!$B$6:$B$405,$AP2936)," ","")," ","")),"氏名がマスタと相違／","")&amp;IF(AND($Q2936&lt;&gt;"",INDEX(職員マスタ!$E$6:$E$405,$AP2936)&lt;&gt;"",$Q2936&lt;&gt;INDEX(職員マスタ!$E$6:$E$405,$AP2936)),"子の生年月日がマスタと相違／","")&amp;IF(AND($L2936&lt;&gt;"",INDEX(職員マスタ!$G$6:$G$405,$AP2936)&lt;&gt;"",$L2936&lt;&gt;INDEX(職員マスタ!$G$6:$G$405,$AP2936)),"時短開始日がマスタと相違／","")&amp;IF(AND($M2936&lt;&gt;"",INDEX(職員マスタ!$H$6:$H$405,$AP2936)&lt;&gt;"",$M2936&lt;&gt;INDEX(職員マスタ!$H$6:$H$405,$AP2936)),"時短終了日がマスタと相違／","")))&amp;IF(AND($B2936&lt;&gt;"",$E2936=""),"報酬額が未入力／","")&amp;IF(N($U2936)&gt;0,"申請書に入力エラーが残っています／","")&amp;IF(AND($B2936&lt;&gt;"",$AQ2936&lt;&gt;""),IF(COUNTIFS($B$6:$B$3005,$B2936,$C$6:$C$3005,$C2936,$D$6:$D$3005,$D2936)&gt;1,"同じ月の請求が重複しています／",""),"")&amp;IF(AND(N($E2936)&gt;0,$AB2936&lt;&gt;"",$AB2936&lt;&gt;"×",$AE2936=0,$AD2936=""),"計算額が下限以下のため不支給／",""))</f>
        <v/>
      </c>
      <c r="AN2936" s="12" t="n"/>
      <c r="AO2936" s="14">
        <f>IF($AF2936="保留中",COUNTIF($AF$6:$AF2936,"保留中"),"")</f>
        <v/>
      </c>
      <c r="AP2936" s="14">
        <f>IF($AQ2936="","",IF(SUMPRODUCT(MAX((職員マスタ!$A$6:$A$405=$B2936)*(((職員マスタ!$G$6:$G$405="")+(職員マスタ!$G$6:$G$405&lt;=EOMONTH($AQ2936,0)))&gt;0)*(((職員マスタ!$H$6:$H$405="")+(職員マスタ!$H$6:$H$405&gt;=$AQ2936))&gt;0)*(ROW(職員マスタ!$A$6:$A$405)-5)))&gt;0,SUMPRODUCT(MAX((職員マスタ!$A$6:$A$405=$B2936)*(((職員マスタ!$G$6:$G$405="")+(職員マスタ!$G$6:$G$405&lt;=EOMONTH($AQ2936,0)))&gt;0)*(((職員マスタ!$H$6:$H$405="")+(職員マスタ!$H$6:$H$405&gt;=$AQ2936))&gt;0)*(ROW(職員マスタ!$A$6:$A$405)-5))),IFERROR(MATCH($B2936,職員マスタ!$A$6:$A$405,0),"")))</f>
        <v/>
      </c>
      <c r="AQ2936" s="16">
        <f>IF(OR($B2936="",$C2936="",$D2936=""),"",DATE($C2936+2018,$D2936,1))</f>
        <v/>
      </c>
    </row>
    <row r="2937">
      <c r="A2937" s="11" t="n"/>
      <c r="B2937" s="12" t="n"/>
      <c r="C2937" s="12" t="n"/>
      <c r="D2937" s="12" t="n"/>
      <c r="E2937" s="13" t="n"/>
      <c r="F2937" s="12" t="n"/>
      <c r="G2937" s="13" t="n"/>
      <c r="H2937" s="12" t="n"/>
      <c r="I2937" s="12" t="n"/>
      <c r="J2937" s="12" t="n"/>
      <c r="K2937" s="12" t="n"/>
      <c r="L2937" s="11" t="n"/>
      <c r="M2937" s="11" t="n"/>
      <c r="N2937" s="11" t="n"/>
      <c r="O2937" s="11" t="n"/>
      <c r="P2937" s="12" t="n"/>
      <c r="Q2937" s="11" t="n"/>
      <c r="R2937" s="12" t="n"/>
      <c r="S2937" s="11" t="n"/>
      <c r="T2937" s="12" t="n"/>
      <c r="U2937" s="12" t="n"/>
      <c r="V2937" s="12" t="n"/>
      <c r="W2937" s="13" t="n"/>
      <c r="X2937" s="14">
        <f>IF($AP2937="",IF($B2937="","",$H2937),IF(INDEX(職員マスタ!$B$6:$B$405,$AP2937)="",$H2937,INDEX(職員マスタ!$B$6:$B$405,$AP2937)))</f>
        <v/>
      </c>
      <c r="Y2937" s="14">
        <f>IF($AP2937="",IF($B2937="","",$R2937),IF(INDEX(職員マスタ!$C$6:$C$405,$AP2937)="",$R2937,INDEX(職員マスタ!$C$6:$C$405,$AP2937)))</f>
        <v/>
      </c>
      <c r="Z2937" s="14">
        <f>IF($AQ2937="","","R"&amp;$C2937&amp;"."&amp;$D2937)</f>
        <v/>
      </c>
      <c r="AA2937" s="15">
        <f>IF(IF($AP2937="",FALSE,INDEX(職員マスタ!$K$6:$K$405,$AP2937)&lt;&gt;""),INDEX(職員マスタ!$K$6:$K$405,$AP2937),IF(N($W2937)&gt;0,$W2937,""))</f>
        <v/>
      </c>
      <c r="AB2937" s="14">
        <f>IF(OR($E2937="",$AA2937=""),"",IF($E2937&gt;=$AA2937,"×",IF($E2937&gt;=$AA2937*設定!$C$5,"△","○")))</f>
        <v/>
      </c>
      <c r="AC2937" s="15">
        <f>IF($AB2937="","",IF($AB2937="×",0,IF($AB2937="○",ROUNDDOWN($E2937*設定!$C$4,0),ROUNDDOWN($E2937*ROUND((9*$AA2937-9*$E2937)/(10*$E2937),4),0))))</f>
        <v/>
      </c>
      <c r="AD2937" s="13" t="n"/>
      <c r="AE2937" s="15">
        <f>IF($B2937="","",IF($AD2937&lt;&gt;"",$AD2937,IF($AC2937="","",IF($AC2937&lt;=設定!$C$3,0,$AC2937))))</f>
        <v/>
      </c>
      <c r="AF2937" s="14">
        <f>IF($B2937="","",IF(AND($AG2937&lt;&gt;"",$AI2937="",$AL2937=""),"保留中",IF($AL2937&lt;&gt;"",IF(N($AE2937)&gt;0,"支給済","不支給"),IF($AE2937="","要確認",IF($AE2937=0,"不支給","未処理")))))</f>
        <v/>
      </c>
      <c r="AG2937" s="12" t="n"/>
      <c r="AH2937" s="11" t="n"/>
      <c r="AI2937" s="11" t="n"/>
      <c r="AJ2937" s="11" t="n"/>
      <c r="AK2937" s="14">
        <f>IF(AND($AF2937="保留中",$AH2937&lt;&gt;""),TODAY()-$AH2937,"")</f>
        <v/>
      </c>
      <c r="AL2937" s="12" t="n"/>
      <c r="AM2937" s="14">
        <f>IF($B2937="","",IF($AQ2937="","対象年月が未入力／","")&amp;IF($B2937="","",IF($AP2937="","職員マスタに未登録の職員番号／",IF($AA2937="","標準報酬月額が未登録／","")&amp;IF(AND($AQ2937&lt;&gt;"",OR(AND(INDEX(職員マスタ!$G$6:$G$405,$AP2937)&lt;&gt;"",INDEX(職員マスタ!$G$6:$G$405,$AP2937)&gt;EOMONTH($AQ2937,0)),AND(INDEX(職員マスタ!$H$6:$H$405,$AP2937)&lt;&gt;"",INDEX(職員マスタ!$H$6:$H$405,$AP2937)&lt;$AQ2937))),"対象月が時短期間外／","")&amp;IF(AND(INDEX(職員マスタ!$K$6:$K$405,$AP2937)&lt;&gt;"",N($W2937)&gt;0,INDEX(職員マスタ!$K$6:$K$405,$AP2937)&lt;&gt;$W2937),"標準報酬月額が申請書と相違（台帳"&amp;TEXT(INDEX(職員マスタ!$K$6:$K$405,$AP2937),"#,##0")&amp;"円／申請書"&amp;TEXT($W2937,"#,##0")&amp;"円）／","")&amp;IF(AND(INDEX(職員マスタ!$F$6:$F$405,$AP2937)&lt;&gt;"",$AQ2937&lt;&gt;"",INDEX(職員マスタ!$F$6:$F$405,$AP2937)&lt;$AQ2937),"対象月に子が2歳到達済／","")&amp;IF(AND($H2937&lt;&gt;"",INDEX(職員マスタ!$B$6:$B$405,$AP2937)&lt;&gt;"",SUBSTITUTE(SUBSTITUTE($H2937," ","")," ","")&lt;&gt;SUBSTITUTE(SUBSTITUTE(INDEX(職員マスタ!$B$6:$B$405,$AP2937)," ","")," ","")),"氏名がマスタと相違／","")&amp;IF(AND($Q2937&lt;&gt;"",INDEX(職員マスタ!$E$6:$E$405,$AP2937)&lt;&gt;"",$Q2937&lt;&gt;INDEX(職員マスタ!$E$6:$E$405,$AP2937)),"子の生年月日がマスタと相違／","")&amp;IF(AND($L2937&lt;&gt;"",INDEX(職員マスタ!$G$6:$G$405,$AP2937)&lt;&gt;"",$L2937&lt;&gt;INDEX(職員マスタ!$G$6:$G$405,$AP2937)),"時短開始日がマスタと相違／","")&amp;IF(AND($M2937&lt;&gt;"",INDEX(職員マスタ!$H$6:$H$405,$AP2937)&lt;&gt;"",$M2937&lt;&gt;INDEX(職員マスタ!$H$6:$H$405,$AP2937)),"時短終了日がマスタと相違／","")))&amp;IF(AND($B2937&lt;&gt;"",$E2937=""),"報酬額が未入力／","")&amp;IF(N($U2937)&gt;0,"申請書に入力エラーが残っています／","")&amp;IF(AND($B2937&lt;&gt;"",$AQ2937&lt;&gt;""),IF(COUNTIFS($B$6:$B$3005,$B2937,$C$6:$C$3005,$C2937,$D$6:$D$3005,$D2937)&gt;1,"同じ月の請求が重複しています／",""),"")&amp;IF(AND(N($E2937)&gt;0,$AB2937&lt;&gt;"",$AB2937&lt;&gt;"×",$AE2937=0,$AD2937=""),"計算額が下限以下のため不支給／",""))</f>
        <v/>
      </c>
      <c r="AN2937" s="12" t="n"/>
      <c r="AO2937" s="14">
        <f>IF($AF2937="保留中",COUNTIF($AF$6:$AF2937,"保留中"),"")</f>
        <v/>
      </c>
      <c r="AP2937" s="14">
        <f>IF($AQ2937="","",IF(SUMPRODUCT(MAX((職員マスタ!$A$6:$A$405=$B2937)*(((職員マスタ!$G$6:$G$405="")+(職員マスタ!$G$6:$G$405&lt;=EOMONTH($AQ2937,0)))&gt;0)*(((職員マスタ!$H$6:$H$405="")+(職員マスタ!$H$6:$H$405&gt;=$AQ2937))&gt;0)*(ROW(職員マスタ!$A$6:$A$405)-5)))&gt;0,SUMPRODUCT(MAX((職員マスタ!$A$6:$A$405=$B2937)*(((職員マスタ!$G$6:$G$405="")+(職員マスタ!$G$6:$G$405&lt;=EOMONTH($AQ2937,0)))&gt;0)*(((職員マスタ!$H$6:$H$405="")+(職員マスタ!$H$6:$H$405&gt;=$AQ2937))&gt;0)*(ROW(職員マスタ!$A$6:$A$405)-5))),IFERROR(MATCH($B2937,職員マスタ!$A$6:$A$405,0),"")))</f>
        <v/>
      </c>
      <c r="AQ2937" s="16">
        <f>IF(OR($B2937="",$C2937="",$D2937=""),"",DATE($C2937+2018,$D2937,1))</f>
        <v/>
      </c>
    </row>
    <row r="2938">
      <c r="A2938" s="11" t="n"/>
      <c r="B2938" s="12" t="n"/>
      <c r="C2938" s="12" t="n"/>
      <c r="D2938" s="12" t="n"/>
      <c r="E2938" s="13" t="n"/>
      <c r="F2938" s="12" t="n"/>
      <c r="G2938" s="13" t="n"/>
      <c r="H2938" s="12" t="n"/>
      <c r="I2938" s="12" t="n"/>
      <c r="J2938" s="12" t="n"/>
      <c r="K2938" s="12" t="n"/>
      <c r="L2938" s="11" t="n"/>
      <c r="M2938" s="11" t="n"/>
      <c r="N2938" s="11" t="n"/>
      <c r="O2938" s="11" t="n"/>
      <c r="P2938" s="12" t="n"/>
      <c r="Q2938" s="11" t="n"/>
      <c r="R2938" s="12" t="n"/>
      <c r="S2938" s="11" t="n"/>
      <c r="T2938" s="12" t="n"/>
      <c r="U2938" s="12" t="n"/>
      <c r="V2938" s="12" t="n"/>
      <c r="W2938" s="13" t="n"/>
      <c r="X2938" s="14">
        <f>IF($AP2938="",IF($B2938="","",$H2938),IF(INDEX(職員マスタ!$B$6:$B$405,$AP2938)="",$H2938,INDEX(職員マスタ!$B$6:$B$405,$AP2938)))</f>
        <v/>
      </c>
      <c r="Y2938" s="14">
        <f>IF($AP2938="",IF($B2938="","",$R2938),IF(INDEX(職員マスタ!$C$6:$C$405,$AP2938)="",$R2938,INDEX(職員マスタ!$C$6:$C$405,$AP2938)))</f>
        <v/>
      </c>
      <c r="Z2938" s="14">
        <f>IF($AQ2938="","","R"&amp;$C2938&amp;"."&amp;$D2938)</f>
        <v/>
      </c>
      <c r="AA2938" s="15">
        <f>IF(IF($AP2938="",FALSE,INDEX(職員マスタ!$K$6:$K$405,$AP2938)&lt;&gt;""),INDEX(職員マスタ!$K$6:$K$405,$AP2938),IF(N($W2938)&gt;0,$W2938,""))</f>
        <v/>
      </c>
      <c r="AB2938" s="14">
        <f>IF(OR($E2938="",$AA2938=""),"",IF($E2938&gt;=$AA2938,"×",IF($E2938&gt;=$AA2938*設定!$C$5,"△","○")))</f>
        <v/>
      </c>
      <c r="AC2938" s="15">
        <f>IF($AB2938="","",IF($AB2938="×",0,IF($AB2938="○",ROUNDDOWN($E2938*設定!$C$4,0),ROUNDDOWN($E2938*ROUND((9*$AA2938-9*$E2938)/(10*$E2938),4),0))))</f>
        <v/>
      </c>
      <c r="AD2938" s="13" t="n"/>
      <c r="AE2938" s="15">
        <f>IF($B2938="","",IF($AD2938&lt;&gt;"",$AD2938,IF($AC2938="","",IF($AC2938&lt;=設定!$C$3,0,$AC2938))))</f>
        <v/>
      </c>
      <c r="AF2938" s="14">
        <f>IF($B2938="","",IF(AND($AG2938&lt;&gt;"",$AI2938="",$AL2938=""),"保留中",IF($AL2938&lt;&gt;"",IF(N($AE2938)&gt;0,"支給済","不支給"),IF($AE2938="","要確認",IF($AE2938=0,"不支給","未処理")))))</f>
        <v/>
      </c>
      <c r="AG2938" s="12" t="n"/>
      <c r="AH2938" s="11" t="n"/>
      <c r="AI2938" s="11" t="n"/>
      <c r="AJ2938" s="11" t="n"/>
      <c r="AK2938" s="14">
        <f>IF(AND($AF2938="保留中",$AH2938&lt;&gt;""),TODAY()-$AH2938,"")</f>
        <v/>
      </c>
      <c r="AL2938" s="12" t="n"/>
      <c r="AM2938" s="14">
        <f>IF($B2938="","",IF($AQ2938="","対象年月が未入力／","")&amp;IF($B2938="","",IF($AP2938="","職員マスタに未登録の職員番号／",IF($AA2938="","標準報酬月額が未登録／","")&amp;IF(AND($AQ2938&lt;&gt;"",OR(AND(INDEX(職員マスタ!$G$6:$G$405,$AP2938)&lt;&gt;"",INDEX(職員マスタ!$G$6:$G$405,$AP2938)&gt;EOMONTH($AQ2938,0)),AND(INDEX(職員マスタ!$H$6:$H$405,$AP2938)&lt;&gt;"",INDEX(職員マスタ!$H$6:$H$405,$AP2938)&lt;$AQ2938))),"対象月が時短期間外／","")&amp;IF(AND(INDEX(職員マスタ!$K$6:$K$405,$AP2938)&lt;&gt;"",N($W2938)&gt;0,INDEX(職員マスタ!$K$6:$K$405,$AP2938)&lt;&gt;$W2938),"標準報酬月額が申請書と相違（台帳"&amp;TEXT(INDEX(職員マスタ!$K$6:$K$405,$AP2938),"#,##0")&amp;"円／申請書"&amp;TEXT($W2938,"#,##0")&amp;"円）／","")&amp;IF(AND(INDEX(職員マスタ!$F$6:$F$405,$AP2938)&lt;&gt;"",$AQ2938&lt;&gt;"",INDEX(職員マスタ!$F$6:$F$405,$AP2938)&lt;$AQ2938),"対象月に子が2歳到達済／","")&amp;IF(AND($H2938&lt;&gt;"",INDEX(職員マスタ!$B$6:$B$405,$AP2938)&lt;&gt;"",SUBSTITUTE(SUBSTITUTE($H2938," ","")," ","")&lt;&gt;SUBSTITUTE(SUBSTITUTE(INDEX(職員マスタ!$B$6:$B$405,$AP2938)," ","")," ","")),"氏名がマスタと相違／","")&amp;IF(AND($Q2938&lt;&gt;"",INDEX(職員マスタ!$E$6:$E$405,$AP2938)&lt;&gt;"",$Q2938&lt;&gt;INDEX(職員マスタ!$E$6:$E$405,$AP2938)),"子の生年月日がマスタと相違／","")&amp;IF(AND($L2938&lt;&gt;"",INDEX(職員マスタ!$G$6:$G$405,$AP2938)&lt;&gt;"",$L2938&lt;&gt;INDEX(職員マスタ!$G$6:$G$405,$AP2938)),"時短開始日がマスタと相違／","")&amp;IF(AND($M2938&lt;&gt;"",INDEX(職員マスタ!$H$6:$H$405,$AP2938)&lt;&gt;"",$M2938&lt;&gt;INDEX(職員マスタ!$H$6:$H$405,$AP2938)),"時短終了日がマスタと相違／","")))&amp;IF(AND($B2938&lt;&gt;"",$E2938=""),"報酬額が未入力／","")&amp;IF(N($U2938)&gt;0,"申請書に入力エラーが残っています／","")&amp;IF(AND($B2938&lt;&gt;"",$AQ2938&lt;&gt;""),IF(COUNTIFS($B$6:$B$3005,$B2938,$C$6:$C$3005,$C2938,$D$6:$D$3005,$D2938)&gt;1,"同じ月の請求が重複しています／",""),"")&amp;IF(AND(N($E2938)&gt;0,$AB2938&lt;&gt;"",$AB2938&lt;&gt;"×",$AE2938=0,$AD2938=""),"計算額が下限以下のため不支給／",""))</f>
        <v/>
      </c>
      <c r="AN2938" s="12" t="n"/>
      <c r="AO2938" s="14">
        <f>IF($AF2938="保留中",COUNTIF($AF$6:$AF2938,"保留中"),"")</f>
        <v/>
      </c>
      <c r="AP2938" s="14">
        <f>IF($AQ2938="","",IF(SUMPRODUCT(MAX((職員マスタ!$A$6:$A$405=$B2938)*(((職員マスタ!$G$6:$G$405="")+(職員マスタ!$G$6:$G$405&lt;=EOMONTH($AQ2938,0)))&gt;0)*(((職員マスタ!$H$6:$H$405="")+(職員マスタ!$H$6:$H$405&gt;=$AQ2938))&gt;0)*(ROW(職員マスタ!$A$6:$A$405)-5)))&gt;0,SUMPRODUCT(MAX((職員マスタ!$A$6:$A$405=$B2938)*(((職員マスタ!$G$6:$G$405="")+(職員マスタ!$G$6:$G$405&lt;=EOMONTH($AQ2938,0)))&gt;0)*(((職員マスタ!$H$6:$H$405="")+(職員マスタ!$H$6:$H$405&gt;=$AQ2938))&gt;0)*(ROW(職員マスタ!$A$6:$A$405)-5))),IFERROR(MATCH($B2938,職員マスタ!$A$6:$A$405,0),"")))</f>
        <v/>
      </c>
      <c r="AQ2938" s="16">
        <f>IF(OR($B2938="",$C2938="",$D2938=""),"",DATE($C2938+2018,$D2938,1))</f>
        <v/>
      </c>
    </row>
    <row r="2939">
      <c r="A2939" s="11" t="n"/>
      <c r="B2939" s="12" t="n"/>
      <c r="C2939" s="12" t="n"/>
      <c r="D2939" s="12" t="n"/>
      <c r="E2939" s="13" t="n"/>
      <c r="F2939" s="12" t="n"/>
      <c r="G2939" s="13" t="n"/>
      <c r="H2939" s="12" t="n"/>
      <c r="I2939" s="12" t="n"/>
      <c r="J2939" s="12" t="n"/>
      <c r="K2939" s="12" t="n"/>
      <c r="L2939" s="11" t="n"/>
      <c r="M2939" s="11" t="n"/>
      <c r="N2939" s="11" t="n"/>
      <c r="O2939" s="11" t="n"/>
      <c r="P2939" s="12" t="n"/>
      <c r="Q2939" s="11" t="n"/>
      <c r="R2939" s="12" t="n"/>
      <c r="S2939" s="11" t="n"/>
      <c r="T2939" s="12" t="n"/>
      <c r="U2939" s="12" t="n"/>
      <c r="V2939" s="12" t="n"/>
      <c r="W2939" s="13" t="n"/>
      <c r="X2939" s="14">
        <f>IF($AP2939="",IF($B2939="","",$H2939),IF(INDEX(職員マスタ!$B$6:$B$405,$AP2939)="",$H2939,INDEX(職員マスタ!$B$6:$B$405,$AP2939)))</f>
        <v/>
      </c>
      <c r="Y2939" s="14">
        <f>IF($AP2939="",IF($B2939="","",$R2939),IF(INDEX(職員マスタ!$C$6:$C$405,$AP2939)="",$R2939,INDEX(職員マスタ!$C$6:$C$405,$AP2939)))</f>
        <v/>
      </c>
      <c r="Z2939" s="14">
        <f>IF($AQ2939="","","R"&amp;$C2939&amp;"."&amp;$D2939)</f>
        <v/>
      </c>
      <c r="AA2939" s="15">
        <f>IF(IF($AP2939="",FALSE,INDEX(職員マスタ!$K$6:$K$405,$AP2939)&lt;&gt;""),INDEX(職員マスタ!$K$6:$K$405,$AP2939),IF(N($W2939)&gt;0,$W2939,""))</f>
        <v/>
      </c>
      <c r="AB2939" s="14">
        <f>IF(OR($E2939="",$AA2939=""),"",IF($E2939&gt;=$AA2939,"×",IF($E2939&gt;=$AA2939*設定!$C$5,"△","○")))</f>
        <v/>
      </c>
      <c r="AC2939" s="15">
        <f>IF($AB2939="","",IF($AB2939="×",0,IF($AB2939="○",ROUNDDOWN($E2939*設定!$C$4,0),ROUNDDOWN($E2939*ROUND((9*$AA2939-9*$E2939)/(10*$E2939),4),0))))</f>
        <v/>
      </c>
      <c r="AD2939" s="13" t="n"/>
      <c r="AE2939" s="15">
        <f>IF($B2939="","",IF($AD2939&lt;&gt;"",$AD2939,IF($AC2939="","",IF($AC2939&lt;=設定!$C$3,0,$AC2939))))</f>
        <v/>
      </c>
      <c r="AF2939" s="14">
        <f>IF($B2939="","",IF(AND($AG2939&lt;&gt;"",$AI2939="",$AL2939=""),"保留中",IF($AL2939&lt;&gt;"",IF(N($AE2939)&gt;0,"支給済","不支給"),IF($AE2939="","要確認",IF($AE2939=0,"不支給","未処理")))))</f>
        <v/>
      </c>
      <c r="AG2939" s="12" t="n"/>
      <c r="AH2939" s="11" t="n"/>
      <c r="AI2939" s="11" t="n"/>
      <c r="AJ2939" s="11" t="n"/>
      <c r="AK2939" s="14">
        <f>IF(AND($AF2939="保留中",$AH2939&lt;&gt;""),TODAY()-$AH2939,"")</f>
        <v/>
      </c>
      <c r="AL2939" s="12" t="n"/>
      <c r="AM2939" s="14">
        <f>IF($B2939="","",IF($AQ2939="","対象年月が未入力／","")&amp;IF($B2939="","",IF($AP2939="","職員マスタに未登録の職員番号／",IF($AA2939="","標準報酬月額が未登録／","")&amp;IF(AND($AQ2939&lt;&gt;"",OR(AND(INDEX(職員マスタ!$G$6:$G$405,$AP2939)&lt;&gt;"",INDEX(職員マスタ!$G$6:$G$405,$AP2939)&gt;EOMONTH($AQ2939,0)),AND(INDEX(職員マスタ!$H$6:$H$405,$AP2939)&lt;&gt;"",INDEX(職員マスタ!$H$6:$H$405,$AP2939)&lt;$AQ2939))),"対象月が時短期間外／","")&amp;IF(AND(INDEX(職員マスタ!$K$6:$K$405,$AP2939)&lt;&gt;"",N($W2939)&gt;0,INDEX(職員マスタ!$K$6:$K$405,$AP2939)&lt;&gt;$W2939),"標準報酬月額が申請書と相違（台帳"&amp;TEXT(INDEX(職員マスタ!$K$6:$K$405,$AP2939),"#,##0")&amp;"円／申請書"&amp;TEXT($W2939,"#,##0")&amp;"円）／","")&amp;IF(AND(INDEX(職員マスタ!$F$6:$F$405,$AP2939)&lt;&gt;"",$AQ2939&lt;&gt;"",INDEX(職員マスタ!$F$6:$F$405,$AP2939)&lt;$AQ2939),"対象月に子が2歳到達済／","")&amp;IF(AND($H2939&lt;&gt;"",INDEX(職員マスタ!$B$6:$B$405,$AP2939)&lt;&gt;"",SUBSTITUTE(SUBSTITUTE($H2939," ","")," ","")&lt;&gt;SUBSTITUTE(SUBSTITUTE(INDEX(職員マスタ!$B$6:$B$405,$AP2939)," ","")," ","")),"氏名がマスタと相違／","")&amp;IF(AND($Q2939&lt;&gt;"",INDEX(職員マスタ!$E$6:$E$405,$AP2939)&lt;&gt;"",$Q2939&lt;&gt;INDEX(職員マスタ!$E$6:$E$405,$AP2939)),"子の生年月日がマスタと相違／","")&amp;IF(AND($L2939&lt;&gt;"",INDEX(職員マスタ!$G$6:$G$405,$AP2939)&lt;&gt;"",$L2939&lt;&gt;INDEX(職員マスタ!$G$6:$G$405,$AP2939)),"時短開始日がマスタと相違／","")&amp;IF(AND($M2939&lt;&gt;"",INDEX(職員マスタ!$H$6:$H$405,$AP2939)&lt;&gt;"",$M2939&lt;&gt;INDEX(職員マスタ!$H$6:$H$405,$AP2939)),"時短終了日がマスタと相違／","")))&amp;IF(AND($B2939&lt;&gt;"",$E2939=""),"報酬額が未入力／","")&amp;IF(N($U2939)&gt;0,"申請書に入力エラーが残っています／","")&amp;IF(AND($B2939&lt;&gt;"",$AQ2939&lt;&gt;""),IF(COUNTIFS($B$6:$B$3005,$B2939,$C$6:$C$3005,$C2939,$D$6:$D$3005,$D2939)&gt;1,"同じ月の請求が重複しています／",""),"")&amp;IF(AND(N($E2939)&gt;0,$AB2939&lt;&gt;"",$AB2939&lt;&gt;"×",$AE2939=0,$AD2939=""),"計算額が下限以下のため不支給／",""))</f>
        <v/>
      </c>
      <c r="AN2939" s="12" t="n"/>
      <c r="AO2939" s="14">
        <f>IF($AF2939="保留中",COUNTIF($AF$6:$AF2939,"保留中"),"")</f>
        <v/>
      </c>
      <c r="AP2939" s="14">
        <f>IF($AQ2939="","",IF(SUMPRODUCT(MAX((職員マスタ!$A$6:$A$405=$B2939)*(((職員マスタ!$G$6:$G$405="")+(職員マスタ!$G$6:$G$405&lt;=EOMONTH($AQ2939,0)))&gt;0)*(((職員マスタ!$H$6:$H$405="")+(職員マスタ!$H$6:$H$405&gt;=$AQ2939))&gt;0)*(ROW(職員マスタ!$A$6:$A$405)-5)))&gt;0,SUMPRODUCT(MAX((職員マスタ!$A$6:$A$405=$B2939)*(((職員マスタ!$G$6:$G$405="")+(職員マスタ!$G$6:$G$405&lt;=EOMONTH($AQ2939,0)))&gt;0)*(((職員マスタ!$H$6:$H$405="")+(職員マスタ!$H$6:$H$405&gt;=$AQ2939))&gt;0)*(ROW(職員マスタ!$A$6:$A$405)-5))),IFERROR(MATCH($B2939,職員マスタ!$A$6:$A$405,0),"")))</f>
        <v/>
      </c>
      <c r="AQ2939" s="16">
        <f>IF(OR($B2939="",$C2939="",$D2939=""),"",DATE($C2939+2018,$D2939,1))</f>
        <v/>
      </c>
    </row>
    <row r="2940">
      <c r="A2940" s="11" t="n"/>
      <c r="B2940" s="12" t="n"/>
      <c r="C2940" s="12" t="n"/>
      <c r="D2940" s="12" t="n"/>
      <c r="E2940" s="13" t="n"/>
      <c r="F2940" s="12" t="n"/>
      <c r="G2940" s="13" t="n"/>
      <c r="H2940" s="12" t="n"/>
      <c r="I2940" s="12" t="n"/>
      <c r="J2940" s="12" t="n"/>
      <c r="K2940" s="12" t="n"/>
      <c r="L2940" s="11" t="n"/>
      <c r="M2940" s="11" t="n"/>
      <c r="N2940" s="11" t="n"/>
      <c r="O2940" s="11" t="n"/>
      <c r="P2940" s="12" t="n"/>
      <c r="Q2940" s="11" t="n"/>
      <c r="R2940" s="12" t="n"/>
      <c r="S2940" s="11" t="n"/>
      <c r="T2940" s="12" t="n"/>
      <c r="U2940" s="12" t="n"/>
      <c r="V2940" s="12" t="n"/>
      <c r="W2940" s="13" t="n"/>
      <c r="X2940" s="14">
        <f>IF($AP2940="",IF($B2940="","",$H2940),IF(INDEX(職員マスタ!$B$6:$B$405,$AP2940)="",$H2940,INDEX(職員マスタ!$B$6:$B$405,$AP2940)))</f>
        <v/>
      </c>
      <c r="Y2940" s="14">
        <f>IF($AP2940="",IF($B2940="","",$R2940),IF(INDEX(職員マスタ!$C$6:$C$405,$AP2940)="",$R2940,INDEX(職員マスタ!$C$6:$C$405,$AP2940)))</f>
        <v/>
      </c>
      <c r="Z2940" s="14">
        <f>IF($AQ2940="","","R"&amp;$C2940&amp;"."&amp;$D2940)</f>
        <v/>
      </c>
      <c r="AA2940" s="15">
        <f>IF(IF($AP2940="",FALSE,INDEX(職員マスタ!$K$6:$K$405,$AP2940)&lt;&gt;""),INDEX(職員マスタ!$K$6:$K$405,$AP2940),IF(N($W2940)&gt;0,$W2940,""))</f>
        <v/>
      </c>
      <c r="AB2940" s="14">
        <f>IF(OR($E2940="",$AA2940=""),"",IF($E2940&gt;=$AA2940,"×",IF($E2940&gt;=$AA2940*設定!$C$5,"△","○")))</f>
        <v/>
      </c>
      <c r="AC2940" s="15">
        <f>IF($AB2940="","",IF($AB2940="×",0,IF($AB2940="○",ROUNDDOWN($E2940*設定!$C$4,0),ROUNDDOWN($E2940*ROUND((9*$AA2940-9*$E2940)/(10*$E2940),4),0))))</f>
        <v/>
      </c>
      <c r="AD2940" s="13" t="n"/>
      <c r="AE2940" s="15">
        <f>IF($B2940="","",IF($AD2940&lt;&gt;"",$AD2940,IF($AC2940="","",IF($AC2940&lt;=設定!$C$3,0,$AC2940))))</f>
        <v/>
      </c>
      <c r="AF2940" s="14">
        <f>IF($B2940="","",IF(AND($AG2940&lt;&gt;"",$AI2940="",$AL2940=""),"保留中",IF($AL2940&lt;&gt;"",IF(N($AE2940)&gt;0,"支給済","不支給"),IF($AE2940="","要確認",IF($AE2940=0,"不支給","未処理")))))</f>
        <v/>
      </c>
      <c r="AG2940" s="12" t="n"/>
      <c r="AH2940" s="11" t="n"/>
      <c r="AI2940" s="11" t="n"/>
      <c r="AJ2940" s="11" t="n"/>
      <c r="AK2940" s="14">
        <f>IF(AND($AF2940="保留中",$AH2940&lt;&gt;""),TODAY()-$AH2940,"")</f>
        <v/>
      </c>
      <c r="AL2940" s="12" t="n"/>
      <c r="AM2940" s="14">
        <f>IF($B2940="","",IF($AQ2940="","対象年月が未入力／","")&amp;IF($B2940="","",IF($AP2940="","職員マスタに未登録の職員番号／",IF($AA2940="","標準報酬月額が未登録／","")&amp;IF(AND($AQ2940&lt;&gt;"",OR(AND(INDEX(職員マスタ!$G$6:$G$405,$AP2940)&lt;&gt;"",INDEX(職員マスタ!$G$6:$G$405,$AP2940)&gt;EOMONTH($AQ2940,0)),AND(INDEX(職員マスタ!$H$6:$H$405,$AP2940)&lt;&gt;"",INDEX(職員マスタ!$H$6:$H$405,$AP2940)&lt;$AQ2940))),"対象月が時短期間外／","")&amp;IF(AND(INDEX(職員マスタ!$K$6:$K$405,$AP2940)&lt;&gt;"",N($W2940)&gt;0,INDEX(職員マスタ!$K$6:$K$405,$AP2940)&lt;&gt;$W2940),"標準報酬月額が申請書と相違（台帳"&amp;TEXT(INDEX(職員マスタ!$K$6:$K$405,$AP2940),"#,##0")&amp;"円／申請書"&amp;TEXT($W2940,"#,##0")&amp;"円）／","")&amp;IF(AND(INDEX(職員マスタ!$F$6:$F$405,$AP2940)&lt;&gt;"",$AQ2940&lt;&gt;"",INDEX(職員マスタ!$F$6:$F$405,$AP2940)&lt;$AQ2940),"対象月に子が2歳到達済／","")&amp;IF(AND($H2940&lt;&gt;"",INDEX(職員マスタ!$B$6:$B$405,$AP2940)&lt;&gt;"",SUBSTITUTE(SUBSTITUTE($H2940," ","")," ","")&lt;&gt;SUBSTITUTE(SUBSTITUTE(INDEX(職員マスタ!$B$6:$B$405,$AP2940)," ","")," ","")),"氏名がマスタと相違／","")&amp;IF(AND($Q2940&lt;&gt;"",INDEX(職員マスタ!$E$6:$E$405,$AP2940)&lt;&gt;"",$Q2940&lt;&gt;INDEX(職員マスタ!$E$6:$E$405,$AP2940)),"子の生年月日がマスタと相違／","")&amp;IF(AND($L2940&lt;&gt;"",INDEX(職員マスタ!$G$6:$G$405,$AP2940)&lt;&gt;"",$L2940&lt;&gt;INDEX(職員マスタ!$G$6:$G$405,$AP2940)),"時短開始日がマスタと相違／","")&amp;IF(AND($M2940&lt;&gt;"",INDEX(職員マスタ!$H$6:$H$405,$AP2940)&lt;&gt;"",$M2940&lt;&gt;INDEX(職員マスタ!$H$6:$H$405,$AP2940)),"時短終了日がマスタと相違／","")))&amp;IF(AND($B2940&lt;&gt;"",$E2940=""),"報酬額が未入力／","")&amp;IF(N($U2940)&gt;0,"申請書に入力エラーが残っています／","")&amp;IF(AND($B2940&lt;&gt;"",$AQ2940&lt;&gt;""),IF(COUNTIFS($B$6:$B$3005,$B2940,$C$6:$C$3005,$C2940,$D$6:$D$3005,$D2940)&gt;1,"同じ月の請求が重複しています／",""),"")&amp;IF(AND(N($E2940)&gt;0,$AB2940&lt;&gt;"",$AB2940&lt;&gt;"×",$AE2940=0,$AD2940=""),"計算額が下限以下のため不支給／",""))</f>
        <v/>
      </c>
      <c r="AN2940" s="12" t="n"/>
      <c r="AO2940" s="14">
        <f>IF($AF2940="保留中",COUNTIF($AF$6:$AF2940,"保留中"),"")</f>
        <v/>
      </c>
      <c r="AP2940" s="14">
        <f>IF($AQ2940="","",IF(SUMPRODUCT(MAX((職員マスタ!$A$6:$A$405=$B2940)*(((職員マスタ!$G$6:$G$405="")+(職員マスタ!$G$6:$G$405&lt;=EOMONTH($AQ2940,0)))&gt;0)*(((職員マスタ!$H$6:$H$405="")+(職員マスタ!$H$6:$H$405&gt;=$AQ2940))&gt;0)*(ROW(職員マスタ!$A$6:$A$405)-5)))&gt;0,SUMPRODUCT(MAX((職員マスタ!$A$6:$A$405=$B2940)*(((職員マスタ!$G$6:$G$405="")+(職員マスタ!$G$6:$G$405&lt;=EOMONTH($AQ2940,0)))&gt;0)*(((職員マスタ!$H$6:$H$405="")+(職員マスタ!$H$6:$H$405&gt;=$AQ2940))&gt;0)*(ROW(職員マスタ!$A$6:$A$405)-5))),IFERROR(MATCH($B2940,職員マスタ!$A$6:$A$405,0),"")))</f>
        <v/>
      </c>
      <c r="AQ2940" s="16">
        <f>IF(OR($B2940="",$C2940="",$D2940=""),"",DATE($C2940+2018,$D2940,1))</f>
        <v/>
      </c>
    </row>
    <row r="2941">
      <c r="A2941" s="11" t="n"/>
      <c r="B2941" s="12" t="n"/>
      <c r="C2941" s="12" t="n"/>
      <c r="D2941" s="12" t="n"/>
      <c r="E2941" s="13" t="n"/>
      <c r="F2941" s="12" t="n"/>
      <c r="G2941" s="13" t="n"/>
      <c r="H2941" s="12" t="n"/>
      <c r="I2941" s="12" t="n"/>
      <c r="J2941" s="12" t="n"/>
      <c r="K2941" s="12" t="n"/>
      <c r="L2941" s="11" t="n"/>
      <c r="M2941" s="11" t="n"/>
      <c r="N2941" s="11" t="n"/>
      <c r="O2941" s="11" t="n"/>
      <c r="P2941" s="12" t="n"/>
      <c r="Q2941" s="11" t="n"/>
      <c r="R2941" s="12" t="n"/>
      <c r="S2941" s="11" t="n"/>
      <c r="T2941" s="12" t="n"/>
      <c r="U2941" s="12" t="n"/>
      <c r="V2941" s="12" t="n"/>
      <c r="W2941" s="13" t="n"/>
      <c r="X2941" s="14">
        <f>IF($AP2941="",IF($B2941="","",$H2941),IF(INDEX(職員マスタ!$B$6:$B$405,$AP2941)="",$H2941,INDEX(職員マスタ!$B$6:$B$405,$AP2941)))</f>
        <v/>
      </c>
      <c r="Y2941" s="14">
        <f>IF($AP2941="",IF($B2941="","",$R2941),IF(INDEX(職員マスタ!$C$6:$C$405,$AP2941)="",$R2941,INDEX(職員マスタ!$C$6:$C$405,$AP2941)))</f>
        <v/>
      </c>
      <c r="Z2941" s="14">
        <f>IF($AQ2941="","","R"&amp;$C2941&amp;"."&amp;$D2941)</f>
        <v/>
      </c>
      <c r="AA2941" s="15">
        <f>IF(IF($AP2941="",FALSE,INDEX(職員マスタ!$K$6:$K$405,$AP2941)&lt;&gt;""),INDEX(職員マスタ!$K$6:$K$405,$AP2941),IF(N($W2941)&gt;0,$W2941,""))</f>
        <v/>
      </c>
      <c r="AB2941" s="14">
        <f>IF(OR($E2941="",$AA2941=""),"",IF($E2941&gt;=$AA2941,"×",IF($E2941&gt;=$AA2941*設定!$C$5,"△","○")))</f>
        <v/>
      </c>
      <c r="AC2941" s="15">
        <f>IF($AB2941="","",IF($AB2941="×",0,IF($AB2941="○",ROUNDDOWN($E2941*設定!$C$4,0),ROUNDDOWN($E2941*ROUND((9*$AA2941-9*$E2941)/(10*$E2941),4),0))))</f>
        <v/>
      </c>
      <c r="AD2941" s="13" t="n"/>
      <c r="AE2941" s="15">
        <f>IF($B2941="","",IF($AD2941&lt;&gt;"",$AD2941,IF($AC2941="","",IF($AC2941&lt;=設定!$C$3,0,$AC2941))))</f>
        <v/>
      </c>
      <c r="AF2941" s="14">
        <f>IF($B2941="","",IF(AND($AG2941&lt;&gt;"",$AI2941="",$AL2941=""),"保留中",IF($AL2941&lt;&gt;"",IF(N($AE2941)&gt;0,"支給済","不支給"),IF($AE2941="","要確認",IF($AE2941=0,"不支給","未処理")))))</f>
        <v/>
      </c>
      <c r="AG2941" s="12" t="n"/>
      <c r="AH2941" s="11" t="n"/>
      <c r="AI2941" s="11" t="n"/>
      <c r="AJ2941" s="11" t="n"/>
      <c r="AK2941" s="14">
        <f>IF(AND($AF2941="保留中",$AH2941&lt;&gt;""),TODAY()-$AH2941,"")</f>
        <v/>
      </c>
      <c r="AL2941" s="12" t="n"/>
      <c r="AM2941" s="14">
        <f>IF($B2941="","",IF($AQ2941="","対象年月が未入力／","")&amp;IF($B2941="","",IF($AP2941="","職員マスタに未登録の職員番号／",IF($AA2941="","標準報酬月額が未登録／","")&amp;IF(AND($AQ2941&lt;&gt;"",OR(AND(INDEX(職員マスタ!$G$6:$G$405,$AP2941)&lt;&gt;"",INDEX(職員マスタ!$G$6:$G$405,$AP2941)&gt;EOMONTH($AQ2941,0)),AND(INDEX(職員マスタ!$H$6:$H$405,$AP2941)&lt;&gt;"",INDEX(職員マスタ!$H$6:$H$405,$AP2941)&lt;$AQ2941))),"対象月が時短期間外／","")&amp;IF(AND(INDEX(職員マスタ!$K$6:$K$405,$AP2941)&lt;&gt;"",N($W2941)&gt;0,INDEX(職員マスタ!$K$6:$K$405,$AP2941)&lt;&gt;$W2941),"標準報酬月額が申請書と相違（台帳"&amp;TEXT(INDEX(職員マスタ!$K$6:$K$405,$AP2941),"#,##0")&amp;"円／申請書"&amp;TEXT($W2941,"#,##0")&amp;"円）／","")&amp;IF(AND(INDEX(職員マスタ!$F$6:$F$405,$AP2941)&lt;&gt;"",$AQ2941&lt;&gt;"",INDEX(職員マスタ!$F$6:$F$405,$AP2941)&lt;$AQ2941),"対象月に子が2歳到達済／","")&amp;IF(AND($H2941&lt;&gt;"",INDEX(職員マスタ!$B$6:$B$405,$AP2941)&lt;&gt;"",SUBSTITUTE(SUBSTITUTE($H2941," ","")," ","")&lt;&gt;SUBSTITUTE(SUBSTITUTE(INDEX(職員マスタ!$B$6:$B$405,$AP2941)," ","")," ","")),"氏名がマスタと相違／","")&amp;IF(AND($Q2941&lt;&gt;"",INDEX(職員マスタ!$E$6:$E$405,$AP2941)&lt;&gt;"",$Q2941&lt;&gt;INDEX(職員マスタ!$E$6:$E$405,$AP2941)),"子の生年月日がマスタと相違／","")&amp;IF(AND($L2941&lt;&gt;"",INDEX(職員マスタ!$G$6:$G$405,$AP2941)&lt;&gt;"",$L2941&lt;&gt;INDEX(職員マスタ!$G$6:$G$405,$AP2941)),"時短開始日がマスタと相違／","")&amp;IF(AND($M2941&lt;&gt;"",INDEX(職員マスタ!$H$6:$H$405,$AP2941)&lt;&gt;"",$M2941&lt;&gt;INDEX(職員マスタ!$H$6:$H$405,$AP2941)),"時短終了日がマスタと相違／","")))&amp;IF(AND($B2941&lt;&gt;"",$E2941=""),"報酬額が未入力／","")&amp;IF(N($U2941)&gt;0,"申請書に入力エラーが残っています／","")&amp;IF(AND($B2941&lt;&gt;"",$AQ2941&lt;&gt;""),IF(COUNTIFS($B$6:$B$3005,$B2941,$C$6:$C$3005,$C2941,$D$6:$D$3005,$D2941)&gt;1,"同じ月の請求が重複しています／",""),"")&amp;IF(AND(N($E2941)&gt;0,$AB2941&lt;&gt;"",$AB2941&lt;&gt;"×",$AE2941=0,$AD2941=""),"計算額が下限以下のため不支給／",""))</f>
        <v/>
      </c>
      <c r="AN2941" s="12" t="n"/>
      <c r="AO2941" s="14">
        <f>IF($AF2941="保留中",COUNTIF($AF$6:$AF2941,"保留中"),"")</f>
        <v/>
      </c>
      <c r="AP2941" s="14">
        <f>IF($AQ2941="","",IF(SUMPRODUCT(MAX((職員マスタ!$A$6:$A$405=$B2941)*(((職員マスタ!$G$6:$G$405="")+(職員マスタ!$G$6:$G$405&lt;=EOMONTH($AQ2941,0)))&gt;0)*(((職員マスタ!$H$6:$H$405="")+(職員マスタ!$H$6:$H$405&gt;=$AQ2941))&gt;0)*(ROW(職員マスタ!$A$6:$A$405)-5)))&gt;0,SUMPRODUCT(MAX((職員マスタ!$A$6:$A$405=$B2941)*(((職員マスタ!$G$6:$G$405="")+(職員マスタ!$G$6:$G$405&lt;=EOMONTH($AQ2941,0)))&gt;0)*(((職員マスタ!$H$6:$H$405="")+(職員マスタ!$H$6:$H$405&gt;=$AQ2941))&gt;0)*(ROW(職員マスタ!$A$6:$A$405)-5))),IFERROR(MATCH($B2941,職員マスタ!$A$6:$A$405,0),"")))</f>
        <v/>
      </c>
      <c r="AQ2941" s="16">
        <f>IF(OR($B2941="",$C2941="",$D2941=""),"",DATE($C2941+2018,$D2941,1))</f>
        <v/>
      </c>
    </row>
    <row r="2942">
      <c r="A2942" s="11" t="n"/>
      <c r="B2942" s="12" t="n"/>
      <c r="C2942" s="12" t="n"/>
      <c r="D2942" s="12" t="n"/>
      <c r="E2942" s="13" t="n"/>
      <c r="F2942" s="12" t="n"/>
      <c r="G2942" s="13" t="n"/>
      <c r="H2942" s="12" t="n"/>
      <c r="I2942" s="12" t="n"/>
      <c r="J2942" s="12" t="n"/>
      <c r="K2942" s="12" t="n"/>
      <c r="L2942" s="11" t="n"/>
      <c r="M2942" s="11" t="n"/>
      <c r="N2942" s="11" t="n"/>
      <c r="O2942" s="11" t="n"/>
      <c r="P2942" s="12" t="n"/>
      <c r="Q2942" s="11" t="n"/>
      <c r="R2942" s="12" t="n"/>
      <c r="S2942" s="11" t="n"/>
      <c r="T2942" s="12" t="n"/>
      <c r="U2942" s="12" t="n"/>
      <c r="V2942" s="12" t="n"/>
      <c r="W2942" s="13" t="n"/>
      <c r="X2942" s="14">
        <f>IF($AP2942="",IF($B2942="","",$H2942),IF(INDEX(職員マスタ!$B$6:$B$405,$AP2942)="",$H2942,INDEX(職員マスタ!$B$6:$B$405,$AP2942)))</f>
        <v/>
      </c>
      <c r="Y2942" s="14">
        <f>IF($AP2942="",IF($B2942="","",$R2942),IF(INDEX(職員マスタ!$C$6:$C$405,$AP2942)="",$R2942,INDEX(職員マスタ!$C$6:$C$405,$AP2942)))</f>
        <v/>
      </c>
      <c r="Z2942" s="14">
        <f>IF($AQ2942="","","R"&amp;$C2942&amp;"."&amp;$D2942)</f>
        <v/>
      </c>
      <c r="AA2942" s="15">
        <f>IF(IF($AP2942="",FALSE,INDEX(職員マスタ!$K$6:$K$405,$AP2942)&lt;&gt;""),INDEX(職員マスタ!$K$6:$K$405,$AP2942),IF(N($W2942)&gt;0,$W2942,""))</f>
        <v/>
      </c>
      <c r="AB2942" s="14">
        <f>IF(OR($E2942="",$AA2942=""),"",IF($E2942&gt;=$AA2942,"×",IF($E2942&gt;=$AA2942*設定!$C$5,"△","○")))</f>
        <v/>
      </c>
      <c r="AC2942" s="15">
        <f>IF($AB2942="","",IF($AB2942="×",0,IF($AB2942="○",ROUNDDOWN($E2942*設定!$C$4,0),ROUNDDOWN($E2942*ROUND((9*$AA2942-9*$E2942)/(10*$E2942),4),0))))</f>
        <v/>
      </c>
      <c r="AD2942" s="13" t="n"/>
      <c r="AE2942" s="15">
        <f>IF($B2942="","",IF($AD2942&lt;&gt;"",$AD2942,IF($AC2942="","",IF($AC2942&lt;=設定!$C$3,0,$AC2942))))</f>
        <v/>
      </c>
      <c r="AF2942" s="14">
        <f>IF($B2942="","",IF(AND($AG2942&lt;&gt;"",$AI2942="",$AL2942=""),"保留中",IF($AL2942&lt;&gt;"",IF(N($AE2942)&gt;0,"支給済","不支給"),IF($AE2942="","要確認",IF($AE2942=0,"不支給","未処理")))))</f>
        <v/>
      </c>
      <c r="AG2942" s="12" t="n"/>
      <c r="AH2942" s="11" t="n"/>
      <c r="AI2942" s="11" t="n"/>
      <c r="AJ2942" s="11" t="n"/>
      <c r="AK2942" s="14">
        <f>IF(AND($AF2942="保留中",$AH2942&lt;&gt;""),TODAY()-$AH2942,"")</f>
        <v/>
      </c>
      <c r="AL2942" s="12" t="n"/>
      <c r="AM2942" s="14">
        <f>IF($B2942="","",IF($AQ2942="","対象年月が未入力／","")&amp;IF($B2942="","",IF($AP2942="","職員マスタに未登録の職員番号／",IF($AA2942="","標準報酬月額が未登録／","")&amp;IF(AND($AQ2942&lt;&gt;"",OR(AND(INDEX(職員マスタ!$G$6:$G$405,$AP2942)&lt;&gt;"",INDEX(職員マスタ!$G$6:$G$405,$AP2942)&gt;EOMONTH($AQ2942,0)),AND(INDEX(職員マスタ!$H$6:$H$405,$AP2942)&lt;&gt;"",INDEX(職員マスタ!$H$6:$H$405,$AP2942)&lt;$AQ2942))),"対象月が時短期間外／","")&amp;IF(AND(INDEX(職員マスタ!$K$6:$K$405,$AP2942)&lt;&gt;"",N($W2942)&gt;0,INDEX(職員マスタ!$K$6:$K$405,$AP2942)&lt;&gt;$W2942),"標準報酬月額が申請書と相違（台帳"&amp;TEXT(INDEX(職員マスタ!$K$6:$K$405,$AP2942),"#,##0")&amp;"円／申請書"&amp;TEXT($W2942,"#,##0")&amp;"円）／","")&amp;IF(AND(INDEX(職員マスタ!$F$6:$F$405,$AP2942)&lt;&gt;"",$AQ2942&lt;&gt;"",INDEX(職員マスタ!$F$6:$F$405,$AP2942)&lt;$AQ2942),"対象月に子が2歳到達済／","")&amp;IF(AND($H2942&lt;&gt;"",INDEX(職員マスタ!$B$6:$B$405,$AP2942)&lt;&gt;"",SUBSTITUTE(SUBSTITUTE($H2942," ","")," ","")&lt;&gt;SUBSTITUTE(SUBSTITUTE(INDEX(職員マスタ!$B$6:$B$405,$AP2942)," ","")," ","")),"氏名がマスタと相違／","")&amp;IF(AND($Q2942&lt;&gt;"",INDEX(職員マスタ!$E$6:$E$405,$AP2942)&lt;&gt;"",$Q2942&lt;&gt;INDEX(職員マスタ!$E$6:$E$405,$AP2942)),"子の生年月日がマスタと相違／","")&amp;IF(AND($L2942&lt;&gt;"",INDEX(職員マスタ!$G$6:$G$405,$AP2942)&lt;&gt;"",$L2942&lt;&gt;INDEX(職員マスタ!$G$6:$G$405,$AP2942)),"時短開始日がマスタと相違／","")&amp;IF(AND($M2942&lt;&gt;"",INDEX(職員マスタ!$H$6:$H$405,$AP2942)&lt;&gt;"",$M2942&lt;&gt;INDEX(職員マスタ!$H$6:$H$405,$AP2942)),"時短終了日がマスタと相違／","")))&amp;IF(AND($B2942&lt;&gt;"",$E2942=""),"報酬額が未入力／","")&amp;IF(N($U2942)&gt;0,"申請書に入力エラーが残っています／","")&amp;IF(AND($B2942&lt;&gt;"",$AQ2942&lt;&gt;""),IF(COUNTIFS($B$6:$B$3005,$B2942,$C$6:$C$3005,$C2942,$D$6:$D$3005,$D2942)&gt;1,"同じ月の請求が重複しています／",""),"")&amp;IF(AND(N($E2942)&gt;0,$AB2942&lt;&gt;"",$AB2942&lt;&gt;"×",$AE2942=0,$AD2942=""),"計算額が下限以下のため不支給／",""))</f>
        <v/>
      </c>
      <c r="AN2942" s="12" t="n"/>
      <c r="AO2942" s="14">
        <f>IF($AF2942="保留中",COUNTIF($AF$6:$AF2942,"保留中"),"")</f>
        <v/>
      </c>
      <c r="AP2942" s="14">
        <f>IF($AQ2942="","",IF(SUMPRODUCT(MAX((職員マスタ!$A$6:$A$405=$B2942)*(((職員マスタ!$G$6:$G$405="")+(職員マスタ!$G$6:$G$405&lt;=EOMONTH($AQ2942,0)))&gt;0)*(((職員マスタ!$H$6:$H$405="")+(職員マスタ!$H$6:$H$405&gt;=$AQ2942))&gt;0)*(ROW(職員マスタ!$A$6:$A$405)-5)))&gt;0,SUMPRODUCT(MAX((職員マスタ!$A$6:$A$405=$B2942)*(((職員マスタ!$G$6:$G$405="")+(職員マスタ!$G$6:$G$405&lt;=EOMONTH($AQ2942,0)))&gt;0)*(((職員マスタ!$H$6:$H$405="")+(職員マスタ!$H$6:$H$405&gt;=$AQ2942))&gt;0)*(ROW(職員マスタ!$A$6:$A$405)-5))),IFERROR(MATCH($B2942,職員マスタ!$A$6:$A$405,0),"")))</f>
        <v/>
      </c>
      <c r="AQ2942" s="16">
        <f>IF(OR($B2942="",$C2942="",$D2942=""),"",DATE($C2942+2018,$D2942,1))</f>
        <v/>
      </c>
    </row>
    <row r="2943">
      <c r="A2943" s="11" t="n"/>
      <c r="B2943" s="12" t="n"/>
      <c r="C2943" s="12" t="n"/>
      <c r="D2943" s="12" t="n"/>
      <c r="E2943" s="13" t="n"/>
      <c r="F2943" s="12" t="n"/>
      <c r="G2943" s="13" t="n"/>
      <c r="H2943" s="12" t="n"/>
      <c r="I2943" s="12" t="n"/>
      <c r="J2943" s="12" t="n"/>
      <c r="K2943" s="12" t="n"/>
      <c r="L2943" s="11" t="n"/>
      <c r="M2943" s="11" t="n"/>
      <c r="N2943" s="11" t="n"/>
      <c r="O2943" s="11" t="n"/>
      <c r="P2943" s="12" t="n"/>
      <c r="Q2943" s="11" t="n"/>
      <c r="R2943" s="12" t="n"/>
      <c r="S2943" s="11" t="n"/>
      <c r="T2943" s="12" t="n"/>
      <c r="U2943" s="12" t="n"/>
      <c r="V2943" s="12" t="n"/>
      <c r="W2943" s="13" t="n"/>
      <c r="X2943" s="14">
        <f>IF($AP2943="",IF($B2943="","",$H2943),IF(INDEX(職員マスタ!$B$6:$B$405,$AP2943)="",$H2943,INDEX(職員マスタ!$B$6:$B$405,$AP2943)))</f>
        <v/>
      </c>
      <c r="Y2943" s="14">
        <f>IF($AP2943="",IF($B2943="","",$R2943),IF(INDEX(職員マスタ!$C$6:$C$405,$AP2943)="",$R2943,INDEX(職員マスタ!$C$6:$C$405,$AP2943)))</f>
        <v/>
      </c>
      <c r="Z2943" s="14">
        <f>IF($AQ2943="","","R"&amp;$C2943&amp;"."&amp;$D2943)</f>
        <v/>
      </c>
      <c r="AA2943" s="15">
        <f>IF(IF($AP2943="",FALSE,INDEX(職員マスタ!$K$6:$K$405,$AP2943)&lt;&gt;""),INDEX(職員マスタ!$K$6:$K$405,$AP2943),IF(N($W2943)&gt;0,$W2943,""))</f>
        <v/>
      </c>
      <c r="AB2943" s="14">
        <f>IF(OR($E2943="",$AA2943=""),"",IF($E2943&gt;=$AA2943,"×",IF($E2943&gt;=$AA2943*設定!$C$5,"△","○")))</f>
        <v/>
      </c>
      <c r="AC2943" s="15">
        <f>IF($AB2943="","",IF($AB2943="×",0,IF($AB2943="○",ROUNDDOWN($E2943*設定!$C$4,0),ROUNDDOWN($E2943*ROUND((9*$AA2943-9*$E2943)/(10*$E2943),4),0))))</f>
        <v/>
      </c>
      <c r="AD2943" s="13" t="n"/>
      <c r="AE2943" s="15">
        <f>IF($B2943="","",IF($AD2943&lt;&gt;"",$AD2943,IF($AC2943="","",IF($AC2943&lt;=設定!$C$3,0,$AC2943))))</f>
        <v/>
      </c>
      <c r="AF2943" s="14">
        <f>IF($B2943="","",IF(AND($AG2943&lt;&gt;"",$AI2943="",$AL2943=""),"保留中",IF($AL2943&lt;&gt;"",IF(N($AE2943)&gt;0,"支給済","不支給"),IF($AE2943="","要確認",IF($AE2943=0,"不支給","未処理")))))</f>
        <v/>
      </c>
      <c r="AG2943" s="12" t="n"/>
      <c r="AH2943" s="11" t="n"/>
      <c r="AI2943" s="11" t="n"/>
      <c r="AJ2943" s="11" t="n"/>
      <c r="AK2943" s="14">
        <f>IF(AND($AF2943="保留中",$AH2943&lt;&gt;""),TODAY()-$AH2943,"")</f>
        <v/>
      </c>
      <c r="AL2943" s="12" t="n"/>
      <c r="AM2943" s="14">
        <f>IF($B2943="","",IF($AQ2943="","対象年月が未入力／","")&amp;IF($B2943="","",IF($AP2943="","職員マスタに未登録の職員番号／",IF($AA2943="","標準報酬月額が未登録／","")&amp;IF(AND($AQ2943&lt;&gt;"",OR(AND(INDEX(職員マスタ!$G$6:$G$405,$AP2943)&lt;&gt;"",INDEX(職員マスタ!$G$6:$G$405,$AP2943)&gt;EOMONTH($AQ2943,0)),AND(INDEX(職員マスタ!$H$6:$H$405,$AP2943)&lt;&gt;"",INDEX(職員マスタ!$H$6:$H$405,$AP2943)&lt;$AQ2943))),"対象月が時短期間外／","")&amp;IF(AND(INDEX(職員マスタ!$K$6:$K$405,$AP2943)&lt;&gt;"",N($W2943)&gt;0,INDEX(職員マスタ!$K$6:$K$405,$AP2943)&lt;&gt;$W2943),"標準報酬月額が申請書と相違（台帳"&amp;TEXT(INDEX(職員マスタ!$K$6:$K$405,$AP2943),"#,##0")&amp;"円／申請書"&amp;TEXT($W2943,"#,##0")&amp;"円）／","")&amp;IF(AND(INDEX(職員マスタ!$F$6:$F$405,$AP2943)&lt;&gt;"",$AQ2943&lt;&gt;"",INDEX(職員マスタ!$F$6:$F$405,$AP2943)&lt;$AQ2943),"対象月に子が2歳到達済／","")&amp;IF(AND($H2943&lt;&gt;"",INDEX(職員マスタ!$B$6:$B$405,$AP2943)&lt;&gt;"",SUBSTITUTE(SUBSTITUTE($H2943," ","")," ","")&lt;&gt;SUBSTITUTE(SUBSTITUTE(INDEX(職員マスタ!$B$6:$B$405,$AP2943)," ","")," ","")),"氏名がマスタと相違／","")&amp;IF(AND($Q2943&lt;&gt;"",INDEX(職員マスタ!$E$6:$E$405,$AP2943)&lt;&gt;"",$Q2943&lt;&gt;INDEX(職員マスタ!$E$6:$E$405,$AP2943)),"子の生年月日がマスタと相違／","")&amp;IF(AND($L2943&lt;&gt;"",INDEX(職員マスタ!$G$6:$G$405,$AP2943)&lt;&gt;"",$L2943&lt;&gt;INDEX(職員マスタ!$G$6:$G$405,$AP2943)),"時短開始日がマスタと相違／","")&amp;IF(AND($M2943&lt;&gt;"",INDEX(職員マスタ!$H$6:$H$405,$AP2943)&lt;&gt;"",$M2943&lt;&gt;INDEX(職員マスタ!$H$6:$H$405,$AP2943)),"時短終了日がマスタと相違／","")))&amp;IF(AND($B2943&lt;&gt;"",$E2943=""),"報酬額が未入力／","")&amp;IF(N($U2943)&gt;0,"申請書に入力エラーが残っています／","")&amp;IF(AND($B2943&lt;&gt;"",$AQ2943&lt;&gt;""),IF(COUNTIFS($B$6:$B$3005,$B2943,$C$6:$C$3005,$C2943,$D$6:$D$3005,$D2943)&gt;1,"同じ月の請求が重複しています／",""),"")&amp;IF(AND(N($E2943)&gt;0,$AB2943&lt;&gt;"",$AB2943&lt;&gt;"×",$AE2943=0,$AD2943=""),"計算額が下限以下のため不支給／",""))</f>
        <v/>
      </c>
      <c r="AN2943" s="12" t="n"/>
      <c r="AO2943" s="14">
        <f>IF($AF2943="保留中",COUNTIF($AF$6:$AF2943,"保留中"),"")</f>
        <v/>
      </c>
      <c r="AP2943" s="14">
        <f>IF($AQ2943="","",IF(SUMPRODUCT(MAX((職員マスタ!$A$6:$A$405=$B2943)*(((職員マスタ!$G$6:$G$405="")+(職員マスタ!$G$6:$G$405&lt;=EOMONTH($AQ2943,0)))&gt;0)*(((職員マスタ!$H$6:$H$405="")+(職員マスタ!$H$6:$H$405&gt;=$AQ2943))&gt;0)*(ROW(職員マスタ!$A$6:$A$405)-5)))&gt;0,SUMPRODUCT(MAX((職員マスタ!$A$6:$A$405=$B2943)*(((職員マスタ!$G$6:$G$405="")+(職員マスタ!$G$6:$G$405&lt;=EOMONTH($AQ2943,0)))&gt;0)*(((職員マスタ!$H$6:$H$405="")+(職員マスタ!$H$6:$H$405&gt;=$AQ2943))&gt;0)*(ROW(職員マスタ!$A$6:$A$405)-5))),IFERROR(MATCH($B2943,職員マスタ!$A$6:$A$405,0),"")))</f>
        <v/>
      </c>
      <c r="AQ2943" s="16">
        <f>IF(OR($B2943="",$C2943="",$D2943=""),"",DATE($C2943+2018,$D2943,1))</f>
        <v/>
      </c>
    </row>
    <row r="2944">
      <c r="A2944" s="11" t="n"/>
      <c r="B2944" s="12" t="n"/>
      <c r="C2944" s="12" t="n"/>
      <c r="D2944" s="12" t="n"/>
      <c r="E2944" s="13" t="n"/>
      <c r="F2944" s="12" t="n"/>
      <c r="G2944" s="13" t="n"/>
      <c r="H2944" s="12" t="n"/>
      <c r="I2944" s="12" t="n"/>
      <c r="J2944" s="12" t="n"/>
      <c r="K2944" s="12" t="n"/>
      <c r="L2944" s="11" t="n"/>
      <c r="M2944" s="11" t="n"/>
      <c r="N2944" s="11" t="n"/>
      <c r="O2944" s="11" t="n"/>
      <c r="P2944" s="12" t="n"/>
      <c r="Q2944" s="11" t="n"/>
      <c r="R2944" s="12" t="n"/>
      <c r="S2944" s="11" t="n"/>
      <c r="T2944" s="12" t="n"/>
      <c r="U2944" s="12" t="n"/>
      <c r="V2944" s="12" t="n"/>
      <c r="W2944" s="13" t="n"/>
      <c r="X2944" s="14">
        <f>IF($AP2944="",IF($B2944="","",$H2944),IF(INDEX(職員マスタ!$B$6:$B$405,$AP2944)="",$H2944,INDEX(職員マスタ!$B$6:$B$405,$AP2944)))</f>
        <v/>
      </c>
      <c r="Y2944" s="14">
        <f>IF($AP2944="",IF($B2944="","",$R2944),IF(INDEX(職員マスタ!$C$6:$C$405,$AP2944)="",$R2944,INDEX(職員マスタ!$C$6:$C$405,$AP2944)))</f>
        <v/>
      </c>
      <c r="Z2944" s="14">
        <f>IF($AQ2944="","","R"&amp;$C2944&amp;"."&amp;$D2944)</f>
        <v/>
      </c>
      <c r="AA2944" s="15">
        <f>IF(IF($AP2944="",FALSE,INDEX(職員マスタ!$K$6:$K$405,$AP2944)&lt;&gt;""),INDEX(職員マスタ!$K$6:$K$405,$AP2944),IF(N($W2944)&gt;0,$W2944,""))</f>
        <v/>
      </c>
      <c r="AB2944" s="14">
        <f>IF(OR($E2944="",$AA2944=""),"",IF($E2944&gt;=$AA2944,"×",IF($E2944&gt;=$AA2944*設定!$C$5,"△","○")))</f>
        <v/>
      </c>
      <c r="AC2944" s="15">
        <f>IF($AB2944="","",IF($AB2944="×",0,IF($AB2944="○",ROUNDDOWN($E2944*設定!$C$4,0),ROUNDDOWN($E2944*ROUND((9*$AA2944-9*$E2944)/(10*$E2944),4),0))))</f>
        <v/>
      </c>
      <c r="AD2944" s="13" t="n"/>
      <c r="AE2944" s="15">
        <f>IF($B2944="","",IF($AD2944&lt;&gt;"",$AD2944,IF($AC2944="","",IF($AC2944&lt;=設定!$C$3,0,$AC2944))))</f>
        <v/>
      </c>
      <c r="AF2944" s="14">
        <f>IF($B2944="","",IF(AND($AG2944&lt;&gt;"",$AI2944="",$AL2944=""),"保留中",IF($AL2944&lt;&gt;"",IF(N($AE2944)&gt;0,"支給済","不支給"),IF($AE2944="","要確認",IF($AE2944=0,"不支給","未処理")))))</f>
        <v/>
      </c>
      <c r="AG2944" s="12" t="n"/>
      <c r="AH2944" s="11" t="n"/>
      <c r="AI2944" s="11" t="n"/>
      <c r="AJ2944" s="11" t="n"/>
      <c r="AK2944" s="14">
        <f>IF(AND($AF2944="保留中",$AH2944&lt;&gt;""),TODAY()-$AH2944,"")</f>
        <v/>
      </c>
      <c r="AL2944" s="12" t="n"/>
      <c r="AM2944" s="14">
        <f>IF($B2944="","",IF($AQ2944="","対象年月が未入力／","")&amp;IF($B2944="","",IF($AP2944="","職員マスタに未登録の職員番号／",IF($AA2944="","標準報酬月額が未登録／","")&amp;IF(AND($AQ2944&lt;&gt;"",OR(AND(INDEX(職員マスタ!$G$6:$G$405,$AP2944)&lt;&gt;"",INDEX(職員マスタ!$G$6:$G$405,$AP2944)&gt;EOMONTH($AQ2944,0)),AND(INDEX(職員マスタ!$H$6:$H$405,$AP2944)&lt;&gt;"",INDEX(職員マスタ!$H$6:$H$405,$AP2944)&lt;$AQ2944))),"対象月が時短期間外／","")&amp;IF(AND(INDEX(職員マスタ!$K$6:$K$405,$AP2944)&lt;&gt;"",N($W2944)&gt;0,INDEX(職員マスタ!$K$6:$K$405,$AP2944)&lt;&gt;$W2944),"標準報酬月額が申請書と相違（台帳"&amp;TEXT(INDEX(職員マスタ!$K$6:$K$405,$AP2944),"#,##0")&amp;"円／申請書"&amp;TEXT($W2944,"#,##0")&amp;"円）／","")&amp;IF(AND(INDEX(職員マスタ!$F$6:$F$405,$AP2944)&lt;&gt;"",$AQ2944&lt;&gt;"",INDEX(職員マスタ!$F$6:$F$405,$AP2944)&lt;$AQ2944),"対象月に子が2歳到達済／","")&amp;IF(AND($H2944&lt;&gt;"",INDEX(職員マスタ!$B$6:$B$405,$AP2944)&lt;&gt;"",SUBSTITUTE(SUBSTITUTE($H2944," ","")," ","")&lt;&gt;SUBSTITUTE(SUBSTITUTE(INDEX(職員マスタ!$B$6:$B$405,$AP2944)," ","")," ","")),"氏名がマスタと相違／","")&amp;IF(AND($Q2944&lt;&gt;"",INDEX(職員マスタ!$E$6:$E$405,$AP2944)&lt;&gt;"",$Q2944&lt;&gt;INDEX(職員マスタ!$E$6:$E$405,$AP2944)),"子の生年月日がマスタと相違／","")&amp;IF(AND($L2944&lt;&gt;"",INDEX(職員マスタ!$G$6:$G$405,$AP2944)&lt;&gt;"",$L2944&lt;&gt;INDEX(職員マスタ!$G$6:$G$405,$AP2944)),"時短開始日がマスタと相違／","")&amp;IF(AND($M2944&lt;&gt;"",INDEX(職員マスタ!$H$6:$H$405,$AP2944)&lt;&gt;"",$M2944&lt;&gt;INDEX(職員マスタ!$H$6:$H$405,$AP2944)),"時短終了日がマスタと相違／","")))&amp;IF(AND($B2944&lt;&gt;"",$E2944=""),"報酬額が未入力／","")&amp;IF(N($U2944)&gt;0,"申請書に入力エラーが残っています／","")&amp;IF(AND($B2944&lt;&gt;"",$AQ2944&lt;&gt;""),IF(COUNTIFS($B$6:$B$3005,$B2944,$C$6:$C$3005,$C2944,$D$6:$D$3005,$D2944)&gt;1,"同じ月の請求が重複しています／",""),"")&amp;IF(AND(N($E2944)&gt;0,$AB2944&lt;&gt;"",$AB2944&lt;&gt;"×",$AE2944=0,$AD2944=""),"計算額が下限以下のため不支給／",""))</f>
        <v/>
      </c>
      <c r="AN2944" s="12" t="n"/>
      <c r="AO2944" s="14">
        <f>IF($AF2944="保留中",COUNTIF($AF$6:$AF2944,"保留中"),"")</f>
        <v/>
      </c>
      <c r="AP2944" s="14">
        <f>IF($AQ2944="","",IF(SUMPRODUCT(MAX((職員マスタ!$A$6:$A$405=$B2944)*(((職員マスタ!$G$6:$G$405="")+(職員マスタ!$G$6:$G$405&lt;=EOMONTH($AQ2944,0)))&gt;0)*(((職員マスタ!$H$6:$H$405="")+(職員マスタ!$H$6:$H$405&gt;=$AQ2944))&gt;0)*(ROW(職員マスタ!$A$6:$A$405)-5)))&gt;0,SUMPRODUCT(MAX((職員マスタ!$A$6:$A$405=$B2944)*(((職員マスタ!$G$6:$G$405="")+(職員マスタ!$G$6:$G$405&lt;=EOMONTH($AQ2944,0)))&gt;0)*(((職員マスタ!$H$6:$H$405="")+(職員マスタ!$H$6:$H$405&gt;=$AQ2944))&gt;0)*(ROW(職員マスタ!$A$6:$A$405)-5))),IFERROR(MATCH($B2944,職員マスタ!$A$6:$A$405,0),"")))</f>
        <v/>
      </c>
      <c r="AQ2944" s="16">
        <f>IF(OR($B2944="",$C2944="",$D2944=""),"",DATE($C2944+2018,$D2944,1))</f>
        <v/>
      </c>
    </row>
    <row r="2945">
      <c r="A2945" s="11" t="n"/>
      <c r="B2945" s="12" t="n"/>
      <c r="C2945" s="12" t="n"/>
      <c r="D2945" s="12" t="n"/>
      <c r="E2945" s="13" t="n"/>
      <c r="F2945" s="12" t="n"/>
      <c r="G2945" s="13" t="n"/>
      <c r="H2945" s="12" t="n"/>
      <c r="I2945" s="12" t="n"/>
      <c r="J2945" s="12" t="n"/>
      <c r="K2945" s="12" t="n"/>
      <c r="L2945" s="11" t="n"/>
      <c r="M2945" s="11" t="n"/>
      <c r="N2945" s="11" t="n"/>
      <c r="O2945" s="11" t="n"/>
      <c r="P2945" s="12" t="n"/>
      <c r="Q2945" s="11" t="n"/>
      <c r="R2945" s="12" t="n"/>
      <c r="S2945" s="11" t="n"/>
      <c r="T2945" s="12" t="n"/>
      <c r="U2945" s="12" t="n"/>
      <c r="V2945" s="12" t="n"/>
      <c r="W2945" s="13" t="n"/>
      <c r="X2945" s="14">
        <f>IF($AP2945="",IF($B2945="","",$H2945),IF(INDEX(職員マスタ!$B$6:$B$405,$AP2945)="",$H2945,INDEX(職員マスタ!$B$6:$B$405,$AP2945)))</f>
        <v/>
      </c>
      <c r="Y2945" s="14">
        <f>IF($AP2945="",IF($B2945="","",$R2945),IF(INDEX(職員マスタ!$C$6:$C$405,$AP2945)="",$R2945,INDEX(職員マスタ!$C$6:$C$405,$AP2945)))</f>
        <v/>
      </c>
      <c r="Z2945" s="14">
        <f>IF($AQ2945="","","R"&amp;$C2945&amp;"."&amp;$D2945)</f>
        <v/>
      </c>
      <c r="AA2945" s="15">
        <f>IF(IF($AP2945="",FALSE,INDEX(職員マスタ!$K$6:$K$405,$AP2945)&lt;&gt;""),INDEX(職員マスタ!$K$6:$K$405,$AP2945),IF(N($W2945)&gt;0,$W2945,""))</f>
        <v/>
      </c>
      <c r="AB2945" s="14">
        <f>IF(OR($E2945="",$AA2945=""),"",IF($E2945&gt;=$AA2945,"×",IF($E2945&gt;=$AA2945*設定!$C$5,"△","○")))</f>
        <v/>
      </c>
      <c r="AC2945" s="15">
        <f>IF($AB2945="","",IF($AB2945="×",0,IF($AB2945="○",ROUNDDOWN($E2945*設定!$C$4,0),ROUNDDOWN($E2945*ROUND((9*$AA2945-9*$E2945)/(10*$E2945),4),0))))</f>
        <v/>
      </c>
      <c r="AD2945" s="13" t="n"/>
      <c r="AE2945" s="15">
        <f>IF($B2945="","",IF($AD2945&lt;&gt;"",$AD2945,IF($AC2945="","",IF($AC2945&lt;=設定!$C$3,0,$AC2945))))</f>
        <v/>
      </c>
      <c r="AF2945" s="14">
        <f>IF($B2945="","",IF(AND($AG2945&lt;&gt;"",$AI2945="",$AL2945=""),"保留中",IF($AL2945&lt;&gt;"",IF(N($AE2945)&gt;0,"支給済","不支給"),IF($AE2945="","要確認",IF($AE2945=0,"不支給","未処理")))))</f>
        <v/>
      </c>
      <c r="AG2945" s="12" t="n"/>
      <c r="AH2945" s="11" t="n"/>
      <c r="AI2945" s="11" t="n"/>
      <c r="AJ2945" s="11" t="n"/>
      <c r="AK2945" s="14">
        <f>IF(AND($AF2945="保留中",$AH2945&lt;&gt;""),TODAY()-$AH2945,"")</f>
        <v/>
      </c>
      <c r="AL2945" s="12" t="n"/>
      <c r="AM2945" s="14">
        <f>IF($B2945="","",IF($AQ2945="","対象年月が未入力／","")&amp;IF($B2945="","",IF($AP2945="","職員マスタに未登録の職員番号／",IF($AA2945="","標準報酬月額が未登録／","")&amp;IF(AND($AQ2945&lt;&gt;"",OR(AND(INDEX(職員マスタ!$G$6:$G$405,$AP2945)&lt;&gt;"",INDEX(職員マスタ!$G$6:$G$405,$AP2945)&gt;EOMONTH($AQ2945,0)),AND(INDEX(職員マスタ!$H$6:$H$405,$AP2945)&lt;&gt;"",INDEX(職員マスタ!$H$6:$H$405,$AP2945)&lt;$AQ2945))),"対象月が時短期間外／","")&amp;IF(AND(INDEX(職員マスタ!$K$6:$K$405,$AP2945)&lt;&gt;"",N($W2945)&gt;0,INDEX(職員マスタ!$K$6:$K$405,$AP2945)&lt;&gt;$W2945),"標準報酬月額が申請書と相違（台帳"&amp;TEXT(INDEX(職員マスタ!$K$6:$K$405,$AP2945),"#,##0")&amp;"円／申請書"&amp;TEXT($W2945,"#,##0")&amp;"円）／","")&amp;IF(AND(INDEX(職員マスタ!$F$6:$F$405,$AP2945)&lt;&gt;"",$AQ2945&lt;&gt;"",INDEX(職員マスタ!$F$6:$F$405,$AP2945)&lt;$AQ2945),"対象月に子が2歳到達済／","")&amp;IF(AND($H2945&lt;&gt;"",INDEX(職員マスタ!$B$6:$B$405,$AP2945)&lt;&gt;"",SUBSTITUTE(SUBSTITUTE($H2945," ","")," ","")&lt;&gt;SUBSTITUTE(SUBSTITUTE(INDEX(職員マスタ!$B$6:$B$405,$AP2945)," ","")," ","")),"氏名がマスタと相違／","")&amp;IF(AND($Q2945&lt;&gt;"",INDEX(職員マスタ!$E$6:$E$405,$AP2945)&lt;&gt;"",$Q2945&lt;&gt;INDEX(職員マスタ!$E$6:$E$405,$AP2945)),"子の生年月日がマスタと相違／","")&amp;IF(AND($L2945&lt;&gt;"",INDEX(職員マスタ!$G$6:$G$405,$AP2945)&lt;&gt;"",$L2945&lt;&gt;INDEX(職員マスタ!$G$6:$G$405,$AP2945)),"時短開始日がマスタと相違／","")&amp;IF(AND($M2945&lt;&gt;"",INDEX(職員マスタ!$H$6:$H$405,$AP2945)&lt;&gt;"",$M2945&lt;&gt;INDEX(職員マスタ!$H$6:$H$405,$AP2945)),"時短終了日がマスタと相違／","")))&amp;IF(AND($B2945&lt;&gt;"",$E2945=""),"報酬額が未入力／","")&amp;IF(N($U2945)&gt;0,"申請書に入力エラーが残っています／","")&amp;IF(AND($B2945&lt;&gt;"",$AQ2945&lt;&gt;""),IF(COUNTIFS($B$6:$B$3005,$B2945,$C$6:$C$3005,$C2945,$D$6:$D$3005,$D2945)&gt;1,"同じ月の請求が重複しています／",""),"")&amp;IF(AND(N($E2945)&gt;0,$AB2945&lt;&gt;"",$AB2945&lt;&gt;"×",$AE2945=0,$AD2945=""),"計算額が下限以下のため不支給／",""))</f>
        <v/>
      </c>
      <c r="AN2945" s="12" t="n"/>
      <c r="AO2945" s="14">
        <f>IF($AF2945="保留中",COUNTIF($AF$6:$AF2945,"保留中"),"")</f>
        <v/>
      </c>
      <c r="AP2945" s="14">
        <f>IF($AQ2945="","",IF(SUMPRODUCT(MAX((職員マスタ!$A$6:$A$405=$B2945)*(((職員マスタ!$G$6:$G$405="")+(職員マスタ!$G$6:$G$405&lt;=EOMONTH($AQ2945,0)))&gt;0)*(((職員マスタ!$H$6:$H$405="")+(職員マスタ!$H$6:$H$405&gt;=$AQ2945))&gt;0)*(ROW(職員マスタ!$A$6:$A$405)-5)))&gt;0,SUMPRODUCT(MAX((職員マスタ!$A$6:$A$405=$B2945)*(((職員マスタ!$G$6:$G$405="")+(職員マスタ!$G$6:$G$405&lt;=EOMONTH($AQ2945,0)))&gt;0)*(((職員マスタ!$H$6:$H$405="")+(職員マスタ!$H$6:$H$405&gt;=$AQ2945))&gt;0)*(ROW(職員マスタ!$A$6:$A$405)-5))),IFERROR(MATCH($B2945,職員マスタ!$A$6:$A$405,0),"")))</f>
        <v/>
      </c>
      <c r="AQ2945" s="16">
        <f>IF(OR($B2945="",$C2945="",$D2945=""),"",DATE($C2945+2018,$D2945,1))</f>
        <v/>
      </c>
    </row>
    <row r="2946">
      <c r="A2946" s="11" t="n"/>
      <c r="B2946" s="12" t="n"/>
      <c r="C2946" s="12" t="n"/>
      <c r="D2946" s="12" t="n"/>
      <c r="E2946" s="13" t="n"/>
      <c r="F2946" s="12" t="n"/>
      <c r="G2946" s="13" t="n"/>
      <c r="H2946" s="12" t="n"/>
      <c r="I2946" s="12" t="n"/>
      <c r="J2946" s="12" t="n"/>
      <c r="K2946" s="12" t="n"/>
      <c r="L2946" s="11" t="n"/>
      <c r="M2946" s="11" t="n"/>
      <c r="N2946" s="11" t="n"/>
      <c r="O2946" s="11" t="n"/>
      <c r="P2946" s="12" t="n"/>
      <c r="Q2946" s="11" t="n"/>
      <c r="R2946" s="12" t="n"/>
      <c r="S2946" s="11" t="n"/>
      <c r="T2946" s="12" t="n"/>
      <c r="U2946" s="12" t="n"/>
      <c r="V2946" s="12" t="n"/>
      <c r="W2946" s="13" t="n"/>
      <c r="X2946" s="14">
        <f>IF($AP2946="",IF($B2946="","",$H2946),IF(INDEX(職員マスタ!$B$6:$B$405,$AP2946)="",$H2946,INDEX(職員マスタ!$B$6:$B$405,$AP2946)))</f>
        <v/>
      </c>
      <c r="Y2946" s="14">
        <f>IF($AP2946="",IF($B2946="","",$R2946),IF(INDEX(職員マスタ!$C$6:$C$405,$AP2946)="",$R2946,INDEX(職員マスタ!$C$6:$C$405,$AP2946)))</f>
        <v/>
      </c>
      <c r="Z2946" s="14">
        <f>IF($AQ2946="","","R"&amp;$C2946&amp;"."&amp;$D2946)</f>
        <v/>
      </c>
      <c r="AA2946" s="15">
        <f>IF(IF($AP2946="",FALSE,INDEX(職員マスタ!$K$6:$K$405,$AP2946)&lt;&gt;""),INDEX(職員マスタ!$K$6:$K$405,$AP2946),IF(N($W2946)&gt;0,$W2946,""))</f>
        <v/>
      </c>
      <c r="AB2946" s="14">
        <f>IF(OR($E2946="",$AA2946=""),"",IF($E2946&gt;=$AA2946,"×",IF($E2946&gt;=$AA2946*設定!$C$5,"△","○")))</f>
        <v/>
      </c>
      <c r="AC2946" s="15">
        <f>IF($AB2946="","",IF($AB2946="×",0,IF($AB2946="○",ROUNDDOWN($E2946*設定!$C$4,0),ROUNDDOWN($E2946*ROUND((9*$AA2946-9*$E2946)/(10*$E2946),4),0))))</f>
        <v/>
      </c>
      <c r="AD2946" s="13" t="n"/>
      <c r="AE2946" s="15">
        <f>IF($B2946="","",IF($AD2946&lt;&gt;"",$AD2946,IF($AC2946="","",IF($AC2946&lt;=設定!$C$3,0,$AC2946))))</f>
        <v/>
      </c>
      <c r="AF2946" s="14">
        <f>IF($B2946="","",IF(AND($AG2946&lt;&gt;"",$AI2946="",$AL2946=""),"保留中",IF($AL2946&lt;&gt;"",IF(N($AE2946)&gt;0,"支給済","不支給"),IF($AE2946="","要確認",IF($AE2946=0,"不支給","未処理")))))</f>
        <v/>
      </c>
      <c r="AG2946" s="12" t="n"/>
      <c r="AH2946" s="11" t="n"/>
      <c r="AI2946" s="11" t="n"/>
      <c r="AJ2946" s="11" t="n"/>
      <c r="AK2946" s="14">
        <f>IF(AND($AF2946="保留中",$AH2946&lt;&gt;""),TODAY()-$AH2946,"")</f>
        <v/>
      </c>
      <c r="AL2946" s="12" t="n"/>
      <c r="AM2946" s="14">
        <f>IF($B2946="","",IF($AQ2946="","対象年月が未入力／","")&amp;IF($B2946="","",IF($AP2946="","職員マスタに未登録の職員番号／",IF($AA2946="","標準報酬月額が未登録／","")&amp;IF(AND($AQ2946&lt;&gt;"",OR(AND(INDEX(職員マスタ!$G$6:$G$405,$AP2946)&lt;&gt;"",INDEX(職員マスタ!$G$6:$G$405,$AP2946)&gt;EOMONTH($AQ2946,0)),AND(INDEX(職員マスタ!$H$6:$H$405,$AP2946)&lt;&gt;"",INDEX(職員マスタ!$H$6:$H$405,$AP2946)&lt;$AQ2946))),"対象月が時短期間外／","")&amp;IF(AND(INDEX(職員マスタ!$K$6:$K$405,$AP2946)&lt;&gt;"",N($W2946)&gt;0,INDEX(職員マスタ!$K$6:$K$405,$AP2946)&lt;&gt;$W2946),"標準報酬月額が申請書と相違（台帳"&amp;TEXT(INDEX(職員マスタ!$K$6:$K$405,$AP2946),"#,##0")&amp;"円／申請書"&amp;TEXT($W2946,"#,##0")&amp;"円）／","")&amp;IF(AND(INDEX(職員マスタ!$F$6:$F$405,$AP2946)&lt;&gt;"",$AQ2946&lt;&gt;"",INDEX(職員マスタ!$F$6:$F$405,$AP2946)&lt;$AQ2946),"対象月に子が2歳到達済／","")&amp;IF(AND($H2946&lt;&gt;"",INDEX(職員マスタ!$B$6:$B$405,$AP2946)&lt;&gt;"",SUBSTITUTE(SUBSTITUTE($H2946," ","")," ","")&lt;&gt;SUBSTITUTE(SUBSTITUTE(INDEX(職員マスタ!$B$6:$B$405,$AP2946)," ","")," ","")),"氏名がマスタと相違／","")&amp;IF(AND($Q2946&lt;&gt;"",INDEX(職員マスタ!$E$6:$E$405,$AP2946)&lt;&gt;"",$Q2946&lt;&gt;INDEX(職員マスタ!$E$6:$E$405,$AP2946)),"子の生年月日がマスタと相違／","")&amp;IF(AND($L2946&lt;&gt;"",INDEX(職員マスタ!$G$6:$G$405,$AP2946)&lt;&gt;"",$L2946&lt;&gt;INDEX(職員マスタ!$G$6:$G$405,$AP2946)),"時短開始日がマスタと相違／","")&amp;IF(AND($M2946&lt;&gt;"",INDEX(職員マスタ!$H$6:$H$405,$AP2946)&lt;&gt;"",$M2946&lt;&gt;INDEX(職員マスタ!$H$6:$H$405,$AP2946)),"時短終了日がマスタと相違／","")))&amp;IF(AND($B2946&lt;&gt;"",$E2946=""),"報酬額が未入力／","")&amp;IF(N($U2946)&gt;0,"申請書に入力エラーが残っています／","")&amp;IF(AND($B2946&lt;&gt;"",$AQ2946&lt;&gt;""),IF(COUNTIFS($B$6:$B$3005,$B2946,$C$6:$C$3005,$C2946,$D$6:$D$3005,$D2946)&gt;1,"同じ月の請求が重複しています／",""),"")&amp;IF(AND(N($E2946)&gt;0,$AB2946&lt;&gt;"",$AB2946&lt;&gt;"×",$AE2946=0,$AD2946=""),"計算額が下限以下のため不支給／",""))</f>
        <v/>
      </c>
      <c r="AN2946" s="12" t="n"/>
      <c r="AO2946" s="14">
        <f>IF($AF2946="保留中",COUNTIF($AF$6:$AF2946,"保留中"),"")</f>
        <v/>
      </c>
      <c r="AP2946" s="14">
        <f>IF($AQ2946="","",IF(SUMPRODUCT(MAX((職員マスタ!$A$6:$A$405=$B2946)*(((職員マスタ!$G$6:$G$405="")+(職員マスタ!$G$6:$G$405&lt;=EOMONTH($AQ2946,0)))&gt;0)*(((職員マスタ!$H$6:$H$405="")+(職員マスタ!$H$6:$H$405&gt;=$AQ2946))&gt;0)*(ROW(職員マスタ!$A$6:$A$405)-5)))&gt;0,SUMPRODUCT(MAX((職員マスタ!$A$6:$A$405=$B2946)*(((職員マスタ!$G$6:$G$405="")+(職員マスタ!$G$6:$G$405&lt;=EOMONTH($AQ2946,0)))&gt;0)*(((職員マスタ!$H$6:$H$405="")+(職員マスタ!$H$6:$H$405&gt;=$AQ2946))&gt;0)*(ROW(職員マスタ!$A$6:$A$405)-5))),IFERROR(MATCH($B2946,職員マスタ!$A$6:$A$405,0),"")))</f>
        <v/>
      </c>
      <c r="AQ2946" s="16">
        <f>IF(OR($B2946="",$C2946="",$D2946=""),"",DATE($C2946+2018,$D2946,1))</f>
        <v/>
      </c>
    </row>
    <row r="2947">
      <c r="A2947" s="11" t="n"/>
      <c r="B2947" s="12" t="n"/>
      <c r="C2947" s="12" t="n"/>
      <c r="D2947" s="12" t="n"/>
      <c r="E2947" s="13" t="n"/>
      <c r="F2947" s="12" t="n"/>
      <c r="G2947" s="13" t="n"/>
      <c r="H2947" s="12" t="n"/>
      <c r="I2947" s="12" t="n"/>
      <c r="J2947" s="12" t="n"/>
      <c r="K2947" s="12" t="n"/>
      <c r="L2947" s="11" t="n"/>
      <c r="M2947" s="11" t="n"/>
      <c r="N2947" s="11" t="n"/>
      <c r="O2947" s="11" t="n"/>
      <c r="P2947" s="12" t="n"/>
      <c r="Q2947" s="11" t="n"/>
      <c r="R2947" s="12" t="n"/>
      <c r="S2947" s="11" t="n"/>
      <c r="T2947" s="12" t="n"/>
      <c r="U2947" s="12" t="n"/>
      <c r="V2947" s="12" t="n"/>
      <c r="W2947" s="13" t="n"/>
      <c r="X2947" s="14">
        <f>IF($AP2947="",IF($B2947="","",$H2947),IF(INDEX(職員マスタ!$B$6:$B$405,$AP2947)="",$H2947,INDEX(職員マスタ!$B$6:$B$405,$AP2947)))</f>
        <v/>
      </c>
      <c r="Y2947" s="14">
        <f>IF($AP2947="",IF($B2947="","",$R2947),IF(INDEX(職員マスタ!$C$6:$C$405,$AP2947)="",$R2947,INDEX(職員マスタ!$C$6:$C$405,$AP2947)))</f>
        <v/>
      </c>
      <c r="Z2947" s="14">
        <f>IF($AQ2947="","","R"&amp;$C2947&amp;"."&amp;$D2947)</f>
        <v/>
      </c>
      <c r="AA2947" s="15">
        <f>IF(IF($AP2947="",FALSE,INDEX(職員マスタ!$K$6:$K$405,$AP2947)&lt;&gt;""),INDEX(職員マスタ!$K$6:$K$405,$AP2947),IF(N($W2947)&gt;0,$W2947,""))</f>
        <v/>
      </c>
      <c r="AB2947" s="14">
        <f>IF(OR($E2947="",$AA2947=""),"",IF($E2947&gt;=$AA2947,"×",IF($E2947&gt;=$AA2947*設定!$C$5,"△","○")))</f>
        <v/>
      </c>
      <c r="AC2947" s="15">
        <f>IF($AB2947="","",IF($AB2947="×",0,IF($AB2947="○",ROUNDDOWN($E2947*設定!$C$4,0),ROUNDDOWN($E2947*ROUND((9*$AA2947-9*$E2947)/(10*$E2947),4),0))))</f>
        <v/>
      </c>
      <c r="AD2947" s="13" t="n"/>
      <c r="AE2947" s="15">
        <f>IF($B2947="","",IF($AD2947&lt;&gt;"",$AD2947,IF($AC2947="","",IF($AC2947&lt;=設定!$C$3,0,$AC2947))))</f>
        <v/>
      </c>
      <c r="AF2947" s="14">
        <f>IF($B2947="","",IF(AND($AG2947&lt;&gt;"",$AI2947="",$AL2947=""),"保留中",IF($AL2947&lt;&gt;"",IF(N($AE2947)&gt;0,"支給済","不支給"),IF($AE2947="","要確認",IF($AE2947=0,"不支給","未処理")))))</f>
        <v/>
      </c>
      <c r="AG2947" s="12" t="n"/>
      <c r="AH2947" s="11" t="n"/>
      <c r="AI2947" s="11" t="n"/>
      <c r="AJ2947" s="11" t="n"/>
      <c r="AK2947" s="14">
        <f>IF(AND($AF2947="保留中",$AH2947&lt;&gt;""),TODAY()-$AH2947,"")</f>
        <v/>
      </c>
      <c r="AL2947" s="12" t="n"/>
      <c r="AM2947" s="14">
        <f>IF($B2947="","",IF($AQ2947="","対象年月が未入力／","")&amp;IF($B2947="","",IF($AP2947="","職員マスタに未登録の職員番号／",IF($AA2947="","標準報酬月額が未登録／","")&amp;IF(AND($AQ2947&lt;&gt;"",OR(AND(INDEX(職員マスタ!$G$6:$G$405,$AP2947)&lt;&gt;"",INDEX(職員マスタ!$G$6:$G$405,$AP2947)&gt;EOMONTH($AQ2947,0)),AND(INDEX(職員マスタ!$H$6:$H$405,$AP2947)&lt;&gt;"",INDEX(職員マスタ!$H$6:$H$405,$AP2947)&lt;$AQ2947))),"対象月が時短期間外／","")&amp;IF(AND(INDEX(職員マスタ!$K$6:$K$405,$AP2947)&lt;&gt;"",N($W2947)&gt;0,INDEX(職員マスタ!$K$6:$K$405,$AP2947)&lt;&gt;$W2947),"標準報酬月額が申請書と相違（台帳"&amp;TEXT(INDEX(職員マスタ!$K$6:$K$405,$AP2947),"#,##0")&amp;"円／申請書"&amp;TEXT($W2947,"#,##0")&amp;"円）／","")&amp;IF(AND(INDEX(職員マスタ!$F$6:$F$405,$AP2947)&lt;&gt;"",$AQ2947&lt;&gt;"",INDEX(職員マスタ!$F$6:$F$405,$AP2947)&lt;$AQ2947),"対象月に子が2歳到達済／","")&amp;IF(AND($H2947&lt;&gt;"",INDEX(職員マスタ!$B$6:$B$405,$AP2947)&lt;&gt;"",SUBSTITUTE(SUBSTITUTE($H2947," ","")," ","")&lt;&gt;SUBSTITUTE(SUBSTITUTE(INDEX(職員マスタ!$B$6:$B$405,$AP2947)," ","")," ","")),"氏名がマスタと相違／","")&amp;IF(AND($Q2947&lt;&gt;"",INDEX(職員マスタ!$E$6:$E$405,$AP2947)&lt;&gt;"",$Q2947&lt;&gt;INDEX(職員マスタ!$E$6:$E$405,$AP2947)),"子の生年月日がマスタと相違／","")&amp;IF(AND($L2947&lt;&gt;"",INDEX(職員マスタ!$G$6:$G$405,$AP2947)&lt;&gt;"",$L2947&lt;&gt;INDEX(職員マスタ!$G$6:$G$405,$AP2947)),"時短開始日がマスタと相違／","")&amp;IF(AND($M2947&lt;&gt;"",INDEX(職員マスタ!$H$6:$H$405,$AP2947)&lt;&gt;"",$M2947&lt;&gt;INDEX(職員マスタ!$H$6:$H$405,$AP2947)),"時短終了日がマスタと相違／","")))&amp;IF(AND($B2947&lt;&gt;"",$E2947=""),"報酬額が未入力／","")&amp;IF(N($U2947)&gt;0,"申請書に入力エラーが残っています／","")&amp;IF(AND($B2947&lt;&gt;"",$AQ2947&lt;&gt;""),IF(COUNTIFS($B$6:$B$3005,$B2947,$C$6:$C$3005,$C2947,$D$6:$D$3005,$D2947)&gt;1,"同じ月の請求が重複しています／",""),"")&amp;IF(AND(N($E2947)&gt;0,$AB2947&lt;&gt;"",$AB2947&lt;&gt;"×",$AE2947=0,$AD2947=""),"計算額が下限以下のため不支給／",""))</f>
        <v/>
      </c>
      <c r="AN2947" s="12" t="n"/>
      <c r="AO2947" s="14">
        <f>IF($AF2947="保留中",COUNTIF($AF$6:$AF2947,"保留中"),"")</f>
        <v/>
      </c>
      <c r="AP2947" s="14">
        <f>IF($AQ2947="","",IF(SUMPRODUCT(MAX((職員マスタ!$A$6:$A$405=$B2947)*(((職員マスタ!$G$6:$G$405="")+(職員マスタ!$G$6:$G$405&lt;=EOMONTH($AQ2947,0)))&gt;0)*(((職員マスタ!$H$6:$H$405="")+(職員マスタ!$H$6:$H$405&gt;=$AQ2947))&gt;0)*(ROW(職員マスタ!$A$6:$A$405)-5)))&gt;0,SUMPRODUCT(MAX((職員マスタ!$A$6:$A$405=$B2947)*(((職員マスタ!$G$6:$G$405="")+(職員マスタ!$G$6:$G$405&lt;=EOMONTH($AQ2947,0)))&gt;0)*(((職員マスタ!$H$6:$H$405="")+(職員マスタ!$H$6:$H$405&gt;=$AQ2947))&gt;0)*(ROW(職員マスタ!$A$6:$A$405)-5))),IFERROR(MATCH($B2947,職員マスタ!$A$6:$A$405,0),"")))</f>
        <v/>
      </c>
      <c r="AQ2947" s="16">
        <f>IF(OR($B2947="",$C2947="",$D2947=""),"",DATE($C2947+2018,$D2947,1))</f>
        <v/>
      </c>
    </row>
    <row r="2948">
      <c r="A2948" s="11" t="n"/>
      <c r="B2948" s="12" t="n"/>
      <c r="C2948" s="12" t="n"/>
      <c r="D2948" s="12" t="n"/>
      <c r="E2948" s="13" t="n"/>
      <c r="F2948" s="12" t="n"/>
      <c r="G2948" s="13" t="n"/>
      <c r="H2948" s="12" t="n"/>
      <c r="I2948" s="12" t="n"/>
      <c r="J2948" s="12" t="n"/>
      <c r="K2948" s="12" t="n"/>
      <c r="L2948" s="11" t="n"/>
      <c r="M2948" s="11" t="n"/>
      <c r="N2948" s="11" t="n"/>
      <c r="O2948" s="11" t="n"/>
      <c r="P2948" s="12" t="n"/>
      <c r="Q2948" s="11" t="n"/>
      <c r="R2948" s="12" t="n"/>
      <c r="S2948" s="11" t="n"/>
      <c r="T2948" s="12" t="n"/>
      <c r="U2948" s="12" t="n"/>
      <c r="V2948" s="12" t="n"/>
      <c r="W2948" s="13" t="n"/>
      <c r="X2948" s="14">
        <f>IF($AP2948="",IF($B2948="","",$H2948),IF(INDEX(職員マスタ!$B$6:$B$405,$AP2948)="",$H2948,INDEX(職員マスタ!$B$6:$B$405,$AP2948)))</f>
        <v/>
      </c>
      <c r="Y2948" s="14">
        <f>IF($AP2948="",IF($B2948="","",$R2948),IF(INDEX(職員マスタ!$C$6:$C$405,$AP2948)="",$R2948,INDEX(職員マスタ!$C$6:$C$405,$AP2948)))</f>
        <v/>
      </c>
      <c r="Z2948" s="14">
        <f>IF($AQ2948="","","R"&amp;$C2948&amp;"."&amp;$D2948)</f>
        <v/>
      </c>
      <c r="AA2948" s="15">
        <f>IF(IF($AP2948="",FALSE,INDEX(職員マスタ!$K$6:$K$405,$AP2948)&lt;&gt;""),INDEX(職員マスタ!$K$6:$K$405,$AP2948),IF(N($W2948)&gt;0,$W2948,""))</f>
        <v/>
      </c>
      <c r="AB2948" s="14">
        <f>IF(OR($E2948="",$AA2948=""),"",IF($E2948&gt;=$AA2948,"×",IF($E2948&gt;=$AA2948*設定!$C$5,"△","○")))</f>
        <v/>
      </c>
      <c r="AC2948" s="15">
        <f>IF($AB2948="","",IF($AB2948="×",0,IF($AB2948="○",ROUNDDOWN($E2948*設定!$C$4,0),ROUNDDOWN($E2948*ROUND((9*$AA2948-9*$E2948)/(10*$E2948),4),0))))</f>
        <v/>
      </c>
      <c r="AD2948" s="13" t="n"/>
      <c r="AE2948" s="15">
        <f>IF($B2948="","",IF($AD2948&lt;&gt;"",$AD2948,IF($AC2948="","",IF($AC2948&lt;=設定!$C$3,0,$AC2948))))</f>
        <v/>
      </c>
      <c r="AF2948" s="14">
        <f>IF($B2948="","",IF(AND($AG2948&lt;&gt;"",$AI2948="",$AL2948=""),"保留中",IF($AL2948&lt;&gt;"",IF(N($AE2948)&gt;0,"支給済","不支給"),IF($AE2948="","要確認",IF($AE2948=0,"不支給","未処理")))))</f>
        <v/>
      </c>
      <c r="AG2948" s="12" t="n"/>
      <c r="AH2948" s="11" t="n"/>
      <c r="AI2948" s="11" t="n"/>
      <c r="AJ2948" s="11" t="n"/>
      <c r="AK2948" s="14">
        <f>IF(AND($AF2948="保留中",$AH2948&lt;&gt;""),TODAY()-$AH2948,"")</f>
        <v/>
      </c>
      <c r="AL2948" s="12" t="n"/>
      <c r="AM2948" s="14">
        <f>IF($B2948="","",IF($AQ2948="","対象年月が未入力／","")&amp;IF($B2948="","",IF($AP2948="","職員マスタに未登録の職員番号／",IF($AA2948="","標準報酬月額が未登録／","")&amp;IF(AND($AQ2948&lt;&gt;"",OR(AND(INDEX(職員マスタ!$G$6:$G$405,$AP2948)&lt;&gt;"",INDEX(職員マスタ!$G$6:$G$405,$AP2948)&gt;EOMONTH($AQ2948,0)),AND(INDEX(職員マスタ!$H$6:$H$405,$AP2948)&lt;&gt;"",INDEX(職員マスタ!$H$6:$H$405,$AP2948)&lt;$AQ2948))),"対象月が時短期間外／","")&amp;IF(AND(INDEX(職員マスタ!$K$6:$K$405,$AP2948)&lt;&gt;"",N($W2948)&gt;0,INDEX(職員マスタ!$K$6:$K$405,$AP2948)&lt;&gt;$W2948),"標準報酬月額が申請書と相違（台帳"&amp;TEXT(INDEX(職員マスタ!$K$6:$K$405,$AP2948),"#,##0")&amp;"円／申請書"&amp;TEXT($W2948,"#,##0")&amp;"円）／","")&amp;IF(AND(INDEX(職員マスタ!$F$6:$F$405,$AP2948)&lt;&gt;"",$AQ2948&lt;&gt;"",INDEX(職員マスタ!$F$6:$F$405,$AP2948)&lt;$AQ2948),"対象月に子が2歳到達済／","")&amp;IF(AND($H2948&lt;&gt;"",INDEX(職員マスタ!$B$6:$B$405,$AP2948)&lt;&gt;"",SUBSTITUTE(SUBSTITUTE($H2948," ","")," ","")&lt;&gt;SUBSTITUTE(SUBSTITUTE(INDEX(職員マスタ!$B$6:$B$405,$AP2948)," ","")," ","")),"氏名がマスタと相違／","")&amp;IF(AND($Q2948&lt;&gt;"",INDEX(職員マスタ!$E$6:$E$405,$AP2948)&lt;&gt;"",$Q2948&lt;&gt;INDEX(職員マスタ!$E$6:$E$405,$AP2948)),"子の生年月日がマスタと相違／","")&amp;IF(AND($L2948&lt;&gt;"",INDEX(職員マスタ!$G$6:$G$405,$AP2948)&lt;&gt;"",$L2948&lt;&gt;INDEX(職員マスタ!$G$6:$G$405,$AP2948)),"時短開始日がマスタと相違／","")&amp;IF(AND($M2948&lt;&gt;"",INDEX(職員マスタ!$H$6:$H$405,$AP2948)&lt;&gt;"",$M2948&lt;&gt;INDEX(職員マスタ!$H$6:$H$405,$AP2948)),"時短終了日がマスタと相違／","")))&amp;IF(AND($B2948&lt;&gt;"",$E2948=""),"報酬額が未入力／","")&amp;IF(N($U2948)&gt;0,"申請書に入力エラーが残っています／","")&amp;IF(AND($B2948&lt;&gt;"",$AQ2948&lt;&gt;""),IF(COUNTIFS($B$6:$B$3005,$B2948,$C$6:$C$3005,$C2948,$D$6:$D$3005,$D2948)&gt;1,"同じ月の請求が重複しています／",""),"")&amp;IF(AND(N($E2948)&gt;0,$AB2948&lt;&gt;"",$AB2948&lt;&gt;"×",$AE2948=0,$AD2948=""),"計算額が下限以下のため不支給／",""))</f>
        <v/>
      </c>
      <c r="AN2948" s="12" t="n"/>
      <c r="AO2948" s="14">
        <f>IF($AF2948="保留中",COUNTIF($AF$6:$AF2948,"保留中"),"")</f>
        <v/>
      </c>
      <c r="AP2948" s="14">
        <f>IF($AQ2948="","",IF(SUMPRODUCT(MAX((職員マスタ!$A$6:$A$405=$B2948)*(((職員マスタ!$G$6:$G$405="")+(職員マスタ!$G$6:$G$405&lt;=EOMONTH($AQ2948,0)))&gt;0)*(((職員マスタ!$H$6:$H$405="")+(職員マスタ!$H$6:$H$405&gt;=$AQ2948))&gt;0)*(ROW(職員マスタ!$A$6:$A$405)-5)))&gt;0,SUMPRODUCT(MAX((職員マスタ!$A$6:$A$405=$B2948)*(((職員マスタ!$G$6:$G$405="")+(職員マスタ!$G$6:$G$405&lt;=EOMONTH($AQ2948,0)))&gt;0)*(((職員マスタ!$H$6:$H$405="")+(職員マスタ!$H$6:$H$405&gt;=$AQ2948))&gt;0)*(ROW(職員マスタ!$A$6:$A$405)-5))),IFERROR(MATCH($B2948,職員マスタ!$A$6:$A$405,0),"")))</f>
        <v/>
      </c>
      <c r="AQ2948" s="16">
        <f>IF(OR($B2948="",$C2948="",$D2948=""),"",DATE($C2948+2018,$D2948,1))</f>
        <v/>
      </c>
    </row>
    <row r="2949">
      <c r="A2949" s="11" t="n"/>
      <c r="B2949" s="12" t="n"/>
      <c r="C2949" s="12" t="n"/>
      <c r="D2949" s="12" t="n"/>
      <c r="E2949" s="13" t="n"/>
      <c r="F2949" s="12" t="n"/>
      <c r="G2949" s="13" t="n"/>
      <c r="H2949" s="12" t="n"/>
      <c r="I2949" s="12" t="n"/>
      <c r="J2949" s="12" t="n"/>
      <c r="K2949" s="12" t="n"/>
      <c r="L2949" s="11" t="n"/>
      <c r="M2949" s="11" t="n"/>
      <c r="N2949" s="11" t="n"/>
      <c r="O2949" s="11" t="n"/>
      <c r="P2949" s="12" t="n"/>
      <c r="Q2949" s="11" t="n"/>
      <c r="R2949" s="12" t="n"/>
      <c r="S2949" s="11" t="n"/>
      <c r="T2949" s="12" t="n"/>
      <c r="U2949" s="12" t="n"/>
      <c r="V2949" s="12" t="n"/>
      <c r="W2949" s="13" t="n"/>
      <c r="X2949" s="14">
        <f>IF($AP2949="",IF($B2949="","",$H2949),IF(INDEX(職員マスタ!$B$6:$B$405,$AP2949)="",$H2949,INDEX(職員マスタ!$B$6:$B$405,$AP2949)))</f>
        <v/>
      </c>
      <c r="Y2949" s="14">
        <f>IF($AP2949="",IF($B2949="","",$R2949),IF(INDEX(職員マスタ!$C$6:$C$405,$AP2949)="",$R2949,INDEX(職員マスタ!$C$6:$C$405,$AP2949)))</f>
        <v/>
      </c>
      <c r="Z2949" s="14">
        <f>IF($AQ2949="","","R"&amp;$C2949&amp;"."&amp;$D2949)</f>
        <v/>
      </c>
      <c r="AA2949" s="15">
        <f>IF(IF($AP2949="",FALSE,INDEX(職員マスタ!$K$6:$K$405,$AP2949)&lt;&gt;""),INDEX(職員マスタ!$K$6:$K$405,$AP2949),IF(N($W2949)&gt;0,$W2949,""))</f>
        <v/>
      </c>
      <c r="AB2949" s="14">
        <f>IF(OR($E2949="",$AA2949=""),"",IF($E2949&gt;=$AA2949,"×",IF($E2949&gt;=$AA2949*設定!$C$5,"△","○")))</f>
        <v/>
      </c>
      <c r="AC2949" s="15">
        <f>IF($AB2949="","",IF($AB2949="×",0,IF($AB2949="○",ROUNDDOWN($E2949*設定!$C$4,0),ROUNDDOWN($E2949*ROUND((9*$AA2949-9*$E2949)/(10*$E2949),4),0))))</f>
        <v/>
      </c>
      <c r="AD2949" s="13" t="n"/>
      <c r="AE2949" s="15">
        <f>IF($B2949="","",IF($AD2949&lt;&gt;"",$AD2949,IF($AC2949="","",IF($AC2949&lt;=設定!$C$3,0,$AC2949))))</f>
        <v/>
      </c>
      <c r="AF2949" s="14">
        <f>IF($B2949="","",IF(AND($AG2949&lt;&gt;"",$AI2949="",$AL2949=""),"保留中",IF($AL2949&lt;&gt;"",IF(N($AE2949)&gt;0,"支給済","不支給"),IF($AE2949="","要確認",IF($AE2949=0,"不支給","未処理")))))</f>
        <v/>
      </c>
      <c r="AG2949" s="12" t="n"/>
      <c r="AH2949" s="11" t="n"/>
      <c r="AI2949" s="11" t="n"/>
      <c r="AJ2949" s="11" t="n"/>
      <c r="AK2949" s="14">
        <f>IF(AND($AF2949="保留中",$AH2949&lt;&gt;""),TODAY()-$AH2949,"")</f>
        <v/>
      </c>
      <c r="AL2949" s="12" t="n"/>
      <c r="AM2949" s="14">
        <f>IF($B2949="","",IF($AQ2949="","対象年月が未入力／","")&amp;IF($B2949="","",IF($AP2949="","職員マスタに未登録の職員番号／",IF($AA2949="","標準報酬月額が未登録／","")&amp;IF(AND($AQ2949&lt;&gt;"",OR(AND(INDEX(職員マスタ!$G$6:$G$405,$AP2949)&lt;&gt;"",INDEX(職員マスタ!$G$6:$G$405,$AP2949)&gt;EOMONTH($AQ2949,0)),AND(INDEX(職員マスタ!$H$6:$H$405,$AP2949)&lt;&gt;"",INDEX(職員マスタ!$H$6:$H$405,$AP2949)&lt;$AQ2949))),"対象月が時短期間外／","")&amp;IF(AND(INDEX(職員マスタ!$K$6:$K$405,$AP2949)&lt;&gt;"",N($W2949)&gt;0,INDEX(職員マスタ!$K$6:$K$405,$AP2949)&lt;&gt;$W2949),"標準報酬月額が申請書と相違（台帳"&amp;TEXT(INDEX(職員マスタ!$K$6:$K$405,$AP2949),"#,##0")&amp;"円／申請書"&amp;TEXT($W2949,"#,##0")&amp;"円）／","")&amp;IF(AND(INDEX(職員マスタ!$F$6:$F$405,$AP2949)&lt;&gt;"",$AQ2949&lt;&gt;"",INDEX(職員マスタ!$F$6:$F$405,$AP2949)&lt;$AQ2949),"対象月に子が2歳到達済／","")&amp;IF(AND($H2949&lt;&gt;"",INDEX(職員マスタ!$B$6:$B$405,$AP2949)&lt;&gt;"",SUBSTITUTE(SUBSTITUTE($H2949," ","")," ","")&lt;&gt;SUBSTITUTE(SUBSTITUTE(INDEX(職員マスタ!$B$6:$B$405,$AP2949)," ","")," ","")),"氏名がマスタと相違／","")&amp;IF(AND($Q2949&lt;&gt;"",INDEX(職員マスタ!$E$6:$E$405,$AP2949)&lt;&gt;"",$Q2949&lt;&gt;INDEX(職員マスタ!$E$6:$E$405,$AP2949)),"子の生年月日がマスタと相違／","")&amp;IF(AND($L2949&lt;&gt;"",INDEX(職員マスタ!$G$6:$G$405,$AP2949)&lt;&gt;"",$L2949&lt;&gt;INDEX(職員マスタ!$G$6:$G$405,$AP2949)),"時短開始日がマスタと相違／","")&amp;IF(AND($M2949&lt;&gt;"",INDEX(職員マスタ!$H$6:$H$405,$AP2949)&lt;&gt;"",$M2949&lt;&gt;INDEX(職員マスタ!$H$6:$H$405,$AP2949)),"時短終了日がマスタと相違／","")))&amp;IF(AND($B2949&lt;&gt;"",$E2949=""),"報酬額が未入力／","")&amp;IF(N($U2949)&gt;0,"申請書に入力エラーが残っています／","")&amp;IF(AND($B2949&lt;&gt;"",$AQ2949&lt;&gt;""),IF(COUNTIFS($B$6:$B$3005,$B2949,$C$6:$C$3005,$C2949,$D$6:$D$3005,$D2949)&gt;1,"同じ月の請求が重複しています／",""),"")&amp;IF(AND(N($E2949)&gt;0,$AB2949&lt;&gt;"",$AB2949&lt;&gt;"×",$AE2949=0,$AD2949=""),"計算額が下限以下のため不支給／",""))</f>
        <v/>
      </c>
      <c r="AN2949" s="12" t="n"/>
      <c r="AO2949" s="14">
        <f>IF($AF2949="保留中",COUNTIF($AF$6:$AF2949,"保留中"),"")</f>
        <v/>
      </c>
      <c r="AP2949" s="14">
        <f>IF($AQ2949="","",IF(SUMPRODUCT(MAX((職員マスタ!$A$6:$A$405=$B2949)*(((職員マスタ!$G$6:$G$405="")+(職員マスタ!$G$6:$G$405&lt;=EOMONTH($AQ2949,0)))&gt;0)*(((職員マスタ!$H$6:$H$405="")+(職員マスタ!$H$6:$H$405&gt;=$AQ2949))&gt;0)*(ROW(職員マスタ!$A$6:$A$405)-5)))&gt;0,SUMPRODUCT(MAX((職員マスタ!$A$6:$A$405=$B2949)*(((職員マスタ!$G$6:$G$405="")+(職員マスタ!$G$6:$G$405&lt;=EOMONTH($AQ2949,0)))&gt;0)*(((職員マスタ!$H$6:$H$405="")+(職員マスタ!$H$6:$H$405&gt;=$AQ2949))&gt;0)*(ROW(職員マスタ!$A$6:$A$405)-5))),IFERROR(MATCH($B2949,職員マスタ!$A$6:$A$405,0),"")))</f>
        <v/>
      </c>
      <c r="AQ2949" s="16">
        <f>IF(OR($B2949="",$C2949="",$D2949=""),"",DATE($C2949+2018,$D2949,1))</f>
        <v/>
      </c>
    </row>
    <row r="2950">
      <c r="A2950" s="11" t="n"/>
      <c r="B2950" s="12" t="n"/>
      <c r="C2950" s="12" t="n"/>
      <c r="D2950" s="12" t="n"/>
      <c r="E2950" s="13" t="n"/>
      <c r="F2950" s="12" t="n"/>
      <c r="G2950" s="13" t="n"/>
      <c r="H2950" s="12" t="n"/>
      <c r="I2950" s="12" t="n"/>
      <c r="J2950" s="12" t="n"/>
      <c r="K2950" s="12" t="n"/>
      <c r="L2950" s="11" t="n"/>
      <c r="M2950" s="11" t="n"/>
      <c r="N2950" s="11" t="n"/>
      <c r="O2950" s="11" t="n"/>
      <c r="P2950" s="12" t="n"/>
      <c r="Q2950" s="11" t="n"/>
      <c r="R2950" s="12" t="n"/>
      <c r="S2950" s="11" t="n"/>
      <c r="T2950" s="12" t="n"/>
      <c r="U2950" s="12" t="n"/>
      <c r="V2950" s="12" t="n"/>
      <c r="W2950" s="13" t="n"/>
      <c r="X2950" s="14">
        <f>IF($AP2950="",IF($B2950="","",$H2950),IF(INDEX(職員マスタ!$B$6:$B$405,$AP2950)="",$H2950,INDEX(職員マスタ!$B$6:$B$405,$AP2950)))</f>
        <v/>
      </c>
      <c r="Y2950" s="14">
        <f>IF($AP2950="",IF($B2950="","",$R2950),IF(INDEX(職員マスタ!$C$6:$C$405,$AP2950)="",$R2950,INDEX(職員マスタ!$C$6:$C$405,$AP2950)))</f>
        <v/>
      </c>
      <c r="Z2950" s="14">
        <f>IF($AQ2950="","","R"&amp;$C2950&amp;"."&amp;$D2950)</f>
        <v/>
      </c>
      <c r="AA2950" s="15">
        <f>IF(IF($AP2950="",FALSE,INDEX(職員マスタ!$K$6:$K$405,$AP2950)&lt;&gt;""),INDEX(職員マスタ!$K$6:$K$405,$AP2950),IF(N($W2950)&gt;0,$W2950,""))</f>
        <v/>
      </c>
      <c r="AB2950" s="14">
        <f>IF(OR($E2950="",$AA2950=""),"",IF($E2950&gt;=$AA2950,"×",IF($E2950&gt;=$AA2950*設定!$C$5,"△","○")))</f>
        <v/>
      </c>
      <c r="AC2950" s="15">
        <f>IF($AB2950="","",IF($AB2950="×",0,IF($AB2950="○",ROUNDDOWN($E2950*設定!$C$4,0),ROUNDDOWN($E2950*ROUND((9*$AA2950-9*$E2950)/(10*$E2950),4),0))))</f>
        <v/>
      </c>
      <c r="AD2950" s="13" t="n"/>
      <c r="AE2950" s="15">
        <f>IF($B2950="","",IF($AD2950&lt;&gt;"",$AD2950,IF($AC2950="","",IF($AC2950&lt;=設定!$C$3,0,$AC2950))))</f>
        <v/>
      </c>
      <c r="AF2950" s="14">
        <f>IF($B2950="","",IF(AND($AG2950&lt;&gt;"",$AI2950="",$AL2950=""),"保留中",IF($AL2950&lt;&gt;"",IF(N($AE2950)&gt;0,"支給済","不支給"),IF($AE2950="","要確認",IF($AE2950=0,"不支給","未処理")))))</f>
        <v/>
      </c>
      <c r="AG2950" s="12" t="n"/>
      <c r="AH2950" s="11" t="n"/>
      <c r="AI2950" s="11" t="n"/>
      <c r="AJ2950" s="11" t="n"/>
      <c r="AK2950" s="14">
        <f>IF(AND($AF2950="保留中",$AH2950&lt;&gt;""),TODAY()-$AH2950,"")</f>
        <v/>
      </c>
      <c r="AL2950" s="12" t="n"/>
      <c r="AM2950" s="14">
        <f>IF($B2950="","",IF($AQ2950="","対象年月が未入力／","")&amp;IF($B2950="","",IF($AP2950="","職員マスタに未登録の職員番号／",IF($AA2950="","標準報酬月額が未登録／","")&amp;IF(AND($AQ2950&lt;&gt;"",OR(AND(INDEX(職員マスタ!$G$6:$G$405,$AP2950)&lt;&gt;"",INDEX(職員マスタ!$G$6:$G$405,$AP2950)&gt;EOMONTH($AQ2950,0)),AND(INDEX(職員マスタ!$H$6:$H$405,$AP2950)&lt;&gt;"",INDEX(職員マスタ!$H$6:$H$405,$AP2950)&lt;$AQ2950))),"対象月が時短期間外／","")&amp;IF(AND(INDEX(職員マスタ!$K$6:$K$405,$AP2950)&lt;&gt;"",N($W2950)&gt;0,INDEX(職員マスタ!$K$6:$K$405,$AP2950)&lt;&gt;$W2950),"標準報酬月額が申請書と相違（台帳"&amp;TEXT(INDEX(職員マスタ!$K$6:$K$405,$AP2950),"#,##0")&amp;"円／申請書"&amp;TEXT($W2950,"#,##0")&amp;"円）／","")&amp;IF(AND(INDEX(職員マスタ!$F$6:$F$405,$AP2950)&lt;&gt;"",$AQ2950&lt;&gt;"",INDEX(職員マスタ!$F$6:$F$405,$AP2950)&lt;$AQ2950),"対象月に子が2歳到達済／","")&amp;IF(AND($H2950&lt;&gt;"",INDEX(職員マスタ!$B$6:$B$405,$AP2950)&lt;&gt;"",SUBSTITUTE(SUBSTITUTE($H2950," ","")," ","")&lt;&gt;SUBSTITUTE(SUBSTITUTE(INDEX(職員マスタ!$B$6:$B$405,$AP2950)," ","")," ","")),"氏名がマスタと相違／","")&amp;IF(AND($Q2950&lt;&gt;"",INDEX(職員マスタ!$E$6:$E$405,$AP2950)&lt;&gt;"",$Q2950&lt;&gt;INDEX(職員マスタ!$E$6:$E$405,$AP2950)),"子の生年月日がマスタと相違／","")&amp;IF(AND($L2950&lt;&gt;"",INDEX(職員マスタ!$G$6:$G$405,$AP2950)&lt;&gt;"",$L2950&lt;&gt;INDEX(職員マスタ!$G$6:$G$405,$AP2950)),"時短開始日がマスタと相違／","")&amp;IF(AND($M2950&lt;&gt;"",INDEX(職員マスタ!$H$6:$H$405,$AP2950)&lt;&gt;"",$M2950&lt;&gt;INDEX(職員マスタ!$H$6:$H$405,$AP2950)),"時短終了日がマスタと相違／","")))&amp;IF(AND($B2950&lt;&gt;"",$E2950=""),"報酬額が未入力／","")&amp;IF(N($U2950)&gt;0,"申請書に入力エラーが残っています／","")&amp;IF(AND($B2950&lt;&gt;"",$AQ2950&lt;&gt;""),IF(COUNTIFS($B$6:$B$3005,$B2950,$C$6:$C$3005,$C2950,$D$6:$D$3005,$D2950)&gt;1,"同じ月の請求が重複しています／",""),"")&amp;IF(AND(N($E2950)&gt;0,$AB2950&lt;&gt;"",$AB2950&lt;&gt;"×",$AE2950=0,$AD2950=""),"計算額が下限以下のため不支給／",""))</f>
        <v/>
      </c>
      <c r="AN2950" s="12" t="n"/>
      <c r="AO2950" s="14">
        <f>IF($AF2950="保留中",COUNTIF($AF$6:$AF2950,"保留中"),"")</f>
        <v/>
      </c>
      <c r="AP2950" s="14">
        <f>IF($AQ2950="","",IF(SUMPRODUCT(MAX((職員マスタ!$A$6:$A$405=$B2950)*(((職員マスタ!$G$6:$G$405="")+(職員マスタ!$G$6:$G$405&lt;=EOMONTH($AQ2950,0)))&gt;0)*(((職員マスタ!$H$6:$H$405="")+(職員マスタ!$H$6:$H$405&gt;=$AQ2950))&gt;0)*(ROW(職員マスタ!$A$6:$A$405)-5)))&gt;0,SUMPRODUCT(MAX((職員マスタ!$A$6:$A$405=$B2950)*(((職員マスタ!$G$6:$G$405="")+(職員マスタ!$G$6:$G$405&lt;=EOMONTH($AQ2950,0)))&gt;0)*(((職員マスタ!$H$6:$H$405="")+(職員マスタ!$H$6:$H$405&gt;=$AQ2950))&gt;0)*(ROW(職員マスタ!$A$6:$A$405)-5))),IFERROR(MATCH($B2950,職員マスタ!$A$6:$A$405,0),"")))</f>
        <v/>
      </c>
      <c r="AQ2950" s="16">
        <f>IF(OR($B2950="",$C2950="",$D2950=""),"",DATE($C2950+2018,$D2950,1))</f>
        <v/>
      </c>
    </row>
    <row r="2951">
      <c r="A2951" s="11" t="n"/>
      <c r="B2951" s="12" t="n"/>
      <c r="C2951" s="12" t="n"/>
      <c r="D2951" s="12" t="n"/>
      <c r="E2951" s="13" t="n"/>
      <c r="F2951" s="12" t="n"/>
      <c r="G2951" s="13" t="n"/>
      <c r="H2951" s="12" t="n"/>
      <c r="I2951" s="12" t="n"/>
      <c r="J2951" s="12" t="n"/>
      <c r="K2951" s="12" t="n"/>
      <c r="L2951" s="11" t="n"/>
      <c r="M2951" s="11" t="n"/>
      <c r="N2951" s="11" t="n"/>
      <c r="O2951" s="11" t="n"/>
      <c r="P2951" s="12" t="n"/>
      <c r="Q2951" s="11" t="n"/>
      <c r="R2951" s="12" t="n"/>
      <c r="S2951" s="11" t="n"/>
      <c r="T2951" s="12" t="n"/>
      <c r="U2951" s="12" t="n"/>
      <c r="V2951" s="12" t="n"/>
      <c r="W2951" s="13" t="n"/>
      <c r="X2951" s="14">
        <f>IF($AP2951="",IF($B2951="","",$H2951),IF(INDEX(職員マスタ!$B$6:$B$405,$AP2951)="",$H2951,INDEX(職員マスタ!$B$6:$B$405,$AP2951)))</f>
        <v/>
      </c>
      <c r="Y2951" s="14">
        <f>IF($AP2951="",IF($B2951="","",$R2951),IF(INDEX(職員マスタ!$C$6:$C$405,$AP2951)="",$R2951,INDEX(職員マスタ!$C$6:$C$405,$AP2951)))</f>
        <v/>
      </c>
      <c r="Z2951" s="14">
        <f>IF($AQ2951="","","R"&amp;$C2951&amp;"."&amp;$D2951)</f>
        <v/>
      </c>
      <c r="AA2951" s="15">
        <f>IF(IF($AP2951="",FALSE,INDEX(職員マスタ!$K$6:$K$405,$AP2951)&lt;&gt;""),INDEX(職員マスタ!$K$6:$K$405,$AP2951),IF(N($W2951)&gt;0,$W2951,""))</f>
        <v/>
      </c>
      <c r="AB2951" s="14">
        <f>IF(OR($E2951="",$AA2951=""),"",IF($E2951&gt;=$AA2951,"×",IF($E2951&gt;=$AA2951*設定!$C$5,"△","○")))</f>
        <v/>
      </c>
      <c r="AC2951" s="15">
        <f>IF($AB2951="","",IF($AB2951="×",0,IF($AB2951="○",ROUNDDOWN($E2951*設定!$C$4,0),ROUNDDOWN($E2951*ROUND((9*$AA2951-9*$E2951)/(10*$E2951),4),0))))</f>
        <v/>
      </c>
      <c r="AD2951" s="13" t="n"/>
      <c r="AE2951" s="15">
        <f>IF($B2951="","",IF($AD2951&lt;&gt;"",$AD2951,IF($AC2951="","",IF($AC2951&lt;=設定!$C$3,0,$AC2951))))</f>
        <v/>
      </c>
      <c r="AF2951" s="14">
        <f>IF($B2951="","",IF(AND($AG2951&lt;&gt;"",$AI2951="",$AL2951=""),"保留中",IF($AL2951&lt;&gt;"",IF(N($AE2951)&gt;0,"支給済","不支給"),IF($AE2951="","要確認",IF($AE2951=0,"不支給","未処理")))))</f>
        <v/>
      </c>
      <c r="AG2951" s="12" t="n"/>
      <c r="AH2951" s="11" t="n"/>
      <c r="AI2951" s="11" t="n"/>
      <c r="AJ2951" s="11" t="n"/>
      <c r="AK2951" s="14">
        <f>IF(AND($AF2951="保留中",$AH2951&lt;&gt;""),TODAY()-$AH2951,"")</f>
        <v/>
      </c>
      <c r="AL2951" s="12" t="n"/>
      <c r="AM2951" s="14">
        <f>IF($B2951="","",IF($AQ2951="","対象年月が未入力／","")&amp;IF($B2951="","",IF($AP2951="","職員マスタに未登録の職員番号／",IF($AA2951="","標準報酬月額が未登録／","")&amp;IF(AND($AQ2951&lt;&gt;"",OR(AND(INDEX(職員マスタ!$G$6:$G$405,$AP2951)&lt;&gt;"",INDEX(職員マスタ!$G$6:$G$405,$AP2951)&gt;EOMONTH($AQ2951,0)),AND(INDEX(職員マスタ!$H$6:$H$405,$AP2951)&lt;&gt;"",INDEX(職員マスタ!$H$6:$H$405,$AP2951)&lt;$AQ2951))),"対象月が時短期間外／","")&amp;IF(AND(INDEX(職員マスタ!$K$6:$K$405,$AP2951)&lt;&gt;"",N($W2951)&gt;0,INDEX(職員マスタ!$K$6:$K$405,$AP2951)&lt;&gt;$W2951),"標準報酬月額が申請書と相違（台帳"&amp;TEXT(INDEX(職員マスタ!$K$6:$K$405,$AP2951),"#,##0")&amp;"円／申請書"&amp;TEXT($W2951,"#,##0")&amp;"円）／","")&amp;IF(AND(INDEX(職員マスタ!$F$6:$F$405,$AP2951)&lt;&gt;"",$AQ2951&lt;&gt;"",INDEX(職員マスタ!$F$6:$F$405,$AP2951)&lt;$AQ2951),"対象月に子が2歳到達済／","")&amp;IF(AND($H2951&lt;&gt;"",INDEX(職員マスタ!$B$6:$B$405,$AP2951)&lt;&gt;"",SUBSTITUTE(SUBSTITUTE($H2951," ","")," ","")&lt;&gt;SUBSTITUTE(SUBSTITUTE(INDEX(職員マスタ!$B$6:$B$405,$AP2951)," ","")," ","")),"氏名がマスタと相違／","")&amp;IF(AND($Q2951&lt;&gt;"",INDEX(職員マスタ!$E$6:$E$405,$AP2951)&lt;&gt;"",$Q2951&lt;&gt;INDEX(職員マスタ!$E$6:$E$405,$AP2951)),"子の生年月日がマスタと相違／","")&amp;IF(AND($L2951&lt;&gt;"",INDEX(職員マスタ!$G$6:$G$405,$AP2951)&lt;&gt;"",$L2951&lt;&gt;INDEX(職員マスタ!$G$6:$G$405,$AP2951)),"時短開始日がマスタと相違／","")&amp;IF(AND($M2951&lt;&gt;"",INDEX(職員マスタ!$H$6:$H$405,$AP2951)&lt;&gt;"",$M2951&lt;&gt;INDEX(職員マスタ!$H$6:$H$405,$AP2951)),"時短終了日がマスタと相違／","")))&amp;IF(AND($B2951&lt;&gt;"",$E2951=""),"報酬額が未入力／","")&amp;IF(N($U2951)&gt;0,"申請書に入力エラーが残っています／","")&amp;IF(AND($B2951&lt;&gt;"",$AQ2951&lt;&gt;""),IF(COUNTIFS($B$6:$B$3005,$B2951,$C$6:$C$3005,$C2951,$D$6:$D$3005,$D2951)&gt;1,"同じ月の請求が重複しています／",""),"")&amp;IF(AND(N($E2951)&gt;0,$AB2951&lt;&gt;"",$AB2951&lt;&gt;"×",$AE2951=0,$AD2951=""),"計算額が下限以下のため不支給／",""))</f>
        <v/>
      </c>
      <c r="AN2951" s="12" t="n"/>
      <c r="AO2951" s="14">
        <f>IF($AF2951="保留中",COUNTIF($AF$6:$AF2951,"保留中"),"")</f>
        <v/>
      </c>
      <c r="AP2951" s="14">
        <f>IF($AQ2951="","",IF(SUMPRODUCT(MAX((職員マスタ!$A$6:$A$405=$B2951)*(((職員マスタ!$G$6:$G$405="")+(職員マスタ!$G$6:$G$405&lt;=EOMONTH($AQ2951,0)))&gt;0)*(((職員マスタ!$H$6:$H$405="")+(職員マスタ!$H$6:$H$405&gt;=$AQ2951))&gt;0)*(ROW(職員マスタ!$A$6:$A$405)-5)))&gt;0,SUMPRODUCT(MAX((職員マスタ!$A$6:$A$405=$B2951)*(((職員マスタ!$G$6:$G$405="")+(職員マスタ!$G$6:$G$405&lt;=EOMONTH($AQ2951,0)))&gt;0)*(((職員マスタ!$H$6:$H$405="")+(職員マスタ!$H$6:$H$405&gt;=$AQ2951))&gt;0)*(ROW(職員マスタ!$A$6:$A$405)-5))),IFERROR(MATCH($B2951,職員マスタ!$A$6:$A$405,0),"")))</f>
        <v/>
      </c>
      <c r="AQ2951" s="16">
        <f>IF(OR($B2951="",$C2951="",$D2951=""),"",DATE($C2951+2018,$D2951,1))</f>
        <v/>
      </c>
    </row>
    <row r="2952">
      <c r="A2952" s="11" t="n"/>
      <c r="B2952" s="12" t="n"/>
      <c r="C2952" s="12" t="n"/>
      <c r="D2952" s="12" t="n"/>
      <c r="E2952" s="13" t="n"/>
      <c r="F2952" s="12" t="n"/>
      <c r="G2952" s="13" t="n"/>
      <c r="H2952" s="12" t="n"/>
      <c r="I2952" s="12" t="n"/>
      <c r="J2952" s="12" t="n"/>
      <c r="K2952" s="12" t="n"/>
      <c r="L2952" s="11" t="n"/>
      <c r="M2952" s="11" t="n"/>
      <c r="N2952" s="11" t="n"/>
      <c r="O2952" s="11" t="n"/>
      <c r="P2952" s="12" t="n"/>
      <c r="Q2952" s="11" t="n"/>
      <c r="R2952" s="12" t="n"/>
      <c r="S2952" s="11" t="n"/>
      <c r="T2952" s="12" t="n"/>
      <c r="U2952" s="12" t="n"/>
      <c r="V2952" s="12" t="n"/>
      <c r="W2952" s="13" t="n"/>
      <c r="X2952" s="14">
        <f>IF($AP2952="",IF($B2952="","",$H2952),IF(INDEX(職員マスタ!$B$6:$B$405,$AP2952)="",$H2952,INDEX(職員マスタ!$B$6:$B$405,$AP2952)))</f>
        <v/>
      </c>
      <c r="Y2952" s="14">
        <f>IF($AP2952="",IF($B2952="","",$R2952),IF(INDEX(職員マスタ!$C$6:$C$405,$AP2952)="",$R2952,INDEX(職員マスタ!$C$6:$C$405,$AP2952)))</f>
        <v/>
      </c>
      <c r="Z2952" s="14">
        <f>IF($AQ2952="","","R"&amp;$C2952&amp;"."&amp;$D2952)</f>
        <v/>
      </c>
      <c r="AA2952" s="15">
        <f>IF(IF($AP2952="",FALSE,INDEX(職員マスタ!$K$6:$K$405,$AP2952)&lt;&gt;""),INDEX(職員マスタ!$K$6:$K$405,$AP2952),IF(N($W2952)&gt;0,$W2952,""))</f>
        <v/>
      </c>
      <c r="AB2952" s="14">
        <f>IF(OR($E2952="",$AA2952=""),"",IF($E2952&gt;=$AA2952,"×",IF($E2952&gt;=$AA2952*設定!$C$5,"△","○")))</f>
        <v/>
      </c>
      <c r="AC2952" s="15">
        <f>IF($AB2952="","",IF($AB2952="×",0,IF($AB2952="○",ROUNDDOWN($E2952*設定!$C$4,0),ROUNDDOWN($E2952*ROUND((9*$AA2952-9*$E2952)/(10*$E2952),4),0))))</f>
        <v/>
      </c>
      <c r="AD2952" s="13" t="n"/>
      <c r="AE2952" s="15">
        <f>IF($B2952="","",IF($AD2952&lt;&gt;"",$AD2952,IF($AC2952="","",IF($AC2952&lt;=設定!$C$3,0,$AC2952))))</f>
        <v/>
      </c>
      <c r="AF2952" s="14">
        <f>IF($B2952="","",IF(AND($AG2952&lt;&gt;"",$AI2952="",$AL2952=""),"保留中",IF($AL2952&lt;&gt;"",IF(N($AE2952)&gt;0,"支給済","不支給"),IF($AE2952="","要確認",IF($AE2952=0,"不支給","未処理")))))</f>
        <v/>
      </c>
      <c r="AG2952" s="12" t="n"/>
      <c r="AH2952" s="11" t="n"/>
      <c r="AI2952" s="11" t="n"/>
      <c r="AJ2952" s="11" t="n"/>
      <c r="AK2952" s="14">
        <f>IF(AND($AF2952="保留中",$AH2952&lt;&gt;""),TODAY()-$AH2952,"")</f>
        <v/>
      </c>
      <c r="AL2952" s="12" t="n"/>
      <c r="AM2952" s="14">
        <f>IF($B2952="","",IF($AQ2952="","対象年月が未入力／","")&amp;IF($B2952="","",IF($AP2952="","職員マスタに未登録の職員番号／",IF($AA2952="","標準報酬月額が未登録／","")&amp;IF(AND($AQ2952&lt;&gt;"",OR(AND(INDEX(職員マスタ!$G$6:$G$405,$AP2952)&lt;&gt;"",INDEX(職員マスタ!$G$6:$G$405,$AP2952)&gt;EOMONTH($AQ2952,0)),AND(INDEX(職員マスタ!$H$6:$H$405,$AP2952)&lt;&gt;"",INDEX(職員マスタ!$H$6:$H$405,$AP2952)&lt;$AQ2952))),"対象月が時短期間外／","")&amp;IF(AND(INDEX(職員マスタ!$K$6:$K$405,$AP2952)&lt;&gt;"",N($W2952)&gt;0,INDEX(職員マスタ!$K$6:$K$405,$AP2952)&lt;&gt;$W2952),"標準報酬月額が申請書と相違（台帳"&amp;TEXT(INDEX(職員マスタ!$K$6:$K$405,$AP2952),"#,##0")&amp;"円／申請書"&amp;TEXT($W2952,"#,##0")&amp;"円）／","")&amp;IF(AND(INDEX(職員マスタ!$F$6:$F$405,$AP2952)&lt;&gt;"",$AQ2952&lt;&gt;"",INDEX(職員マスタ!$F$6:$F$405,$AP2952)&lt;$AQ2952),"対象月に子が2歳到達済／","")&amp;IF(AND($H2952&lt;&gt;"",INDEX(職員マスタ!$B$6:$B$405,$AP2952)&lt;&gt;"",SUBSTITUTE(SUBSTITUTE($H2952," ","")," ","")&lt;&gt;SUBSTITUTE(SUBSTITUTE(INDEX(職員マスタ!$B$6:$B$405,$AP2952)," ","")," ","")),"氏名がマスタと相違／","")&amp;IF(AND($Q2952&lt;&gt;"",INDEX(職員マスタ!$E$6:$E$405,$AP2952)&lt;&gt;"",$Q2952&lt;&gt;INDEX(職員マスタ!$E$6:$E$405,$AP2952)),"子の生年月日がマスタと相違／","")&amp;IF(AND($L2952&lt;&gt;"",INDEX(職員マスタ!$G$6:$G$405,$AP2952)&lt;&gt;"",$L2952&lt;&gt;INDEX(職員マスタ!$G$6:$G$405,$AP2952)),"時短開始日がマスタと相違／","")&amp;IF(AND($M2952&lt;&gt;"",INDEX(職員マスタ!$H$6:$H$405,$AP2952)&lt;&gt;"",$M2952&lt;&gt;INDEX(職員マスタ!$H$6:$H$405,$AP2952)),"時短終了日がマスタと相違／","")))&amp;IF(AND($B2952&lt;&gt;"",$E2952=""),"報酬額が未入力／","")&amp;IF(N($U2952)&gt;0,"申請書に入力エラーが残っています／","")&amp;IF(AND($B2952&lt;&gt;"",$AQ2952&lt;&gt;""),IF(COUNTIFS($B$6:$B$3005,$B2952,$C$6:$C$3005,$C2952,$D$6:$D$3005,$D2952)&gt;1,"同じ月の請求が重複しています／",""),"")&amp;IF(AND(N($E2952)&gt;0,$AB2952&lt;&gt;"",$AB2952&lt;&gt;"×",$AE2952=0,$AD2952=""),"計算額が下限以下のため不支給／",""))</f>
        <v/>
      </c>
      <c r="AN2952" s="12" t="n"/>
      <c r="AO2952" s="14">
        <f>IF($AF2952="保留中",COUNTIF($AF$6:$AF2952,"保留中"),"")</f>
        <v/>
      </c>
      <c r="AP2952" s="14">
        <f>IF($AQ2952="","",IF(SUMPRODUCT(MAX((職員マスタ!$A$6:$A$405=$B2952)*(((職員マスタ!$G$6:$G$405="")+(職員マスタ!$G$6:$G$405&lt;=EOMONTH($AQ2952,0)))&gt;0)*(((職員マスタ!$H$6:$H$405="")+(職員マスタ!$H$6:$H$405&gt;=$AQ2952))&gt;0)*(ROW(職員マスタ!$A$6:$A$405)-5)))&gt;0,SUMPRODUCT(MAX((職員マスタ!$A$6:$A$405=$B2952)*(((職員マスタ!$G$6:$G$405="")+(職員マスタ!$G$6:$G$405&lt;=EOMONTH($AQ2952,0)))&gt;0)*(((職員マスタ!$H$6:$H$405="")+(職員マスタ!$H$6:$H$405&gt;=$AQ2952))&gt;0)*(ROW(職員マスタ!$A$6:$A$405)-5))),IFERROR(MATCH($B2952,職員マスタ!$A$6:$A$405,0),"")))</f>
        <v/>
      </c>
      <c r="AQ2952" s="16">
        <f>IF(OR($B2952="",$C2952="",$D2952=""),"",DATE($C2952+2018,$D2952,1))</f>
        <v/>
      </c>
    </row>
    <row r="2953">
      <c r="A2953" s="11" t="n"/>
      <c r="B2953" s="12" t="n"/>
      <c r="C2953" s="12" t="n"/>
      <c r="D2953" s="12" t="n"/>
      <c r="E2953" s="13" t="n"/>
      <c r="F2953" s="12" t="n"/>
      <c r="G2953" s="13" t="n"/>
      <c r="H2953" s="12" t="n"/>
      <c r="I2953" s="12" t="n"/>
      <c r="J2953" s="12" t="n"/>
      <c r="K2953" s="12" t="n"/>
      <c r="L2953" s="11" t="n"/>
      <c r="M2953" s="11" t="n"/>
      <c r="N2953" s="11" t="n"/>
      <c r="O2953" s="11" t="n"/>
      <c r="P2953" s="12" t="n"/>
      <c r="Q2953" s="11" t="n"/>
      <c r="R2953" s="12" t="n"/>
      <c r="S2953" s="11" t="n"/>
      <c r="T2953" s="12" t="n"/>
      <c r="U2953" s="12" t="n"/>
      <c r="V2953" s="12" t="n"/>
      <c r="W2953" s="13" t="n"/>
      <c r="X2953" s="14">
        <f>IF($AP2953="",IF($B2953="","",$H2953),IF(INDEX(職員マスタ!$B$6:$B$405,$AP2953)="",$H2953,INDEX(職員マスタ!$B$6:$B$405,$AP2953)))</f>
        <v/>
      </c>
      <c r="Y2953" s="14">
        <f>IF($AP2953="",IF($B2953="","",$R2953),IF(INDEX(職員マスタ!$C$6:$C$405,$AP2953)="",$R2953,INDEX(職員マスタ!$C$6:$C$405,$AP2953)))</f>
        <v/>
      </c>
      <c r="Z2953" s="14">
        <f>IF($AQ2953="","","R"&amp;$C2953&amp;"."&amp;$D2953)</f>
        <v/>
      </c>
      <c r="AA2953" s="15">
        <f>IF(IF($AP2953="",FALSE,INDEX(職員マスタ!$K$6:$K$405,$AP2953)&lt;&gt;""),INDEX(職員マスタ!$K$6:$K$405,$AP2953),IF(N($W2953)&gt;0,$W2953,""))</f>
        <v/>
      </c>
      <c r="AB2953" s="14">
        <f>IF(OR($E2953="",$AA2953=""),"",IF($E2953&gt;=$AA2953,"×",IF($E2953&gt;=$AA2953*設定!$C$5,"△","○")))</f>
        <v/>
      </c>
      <c r="AC2953" s="15">
        <f>IF($AB2953="","",IF($AB2953="×",0,IF($AB2953="○",ROUNDDOWN($E2953*設定!$C$4,0),ROUNDDOWN($E2953*ROUND((9*$AA2953-9*$E2953)/(10*$E2953),4),0))))</f>
        <v/>
      </c>
      <c r="AD2953" s="13" t="n"/>
      <c r="AE2953" s="15">
        <f>IF($B2953="","",IF($AD2953&lt;&gt;"",$AD2953,IF($AC2953="","",IF($AC2953&lt;=設定!$C$3,0,$AC2953))))</f>
        <v/>
      </c>
      <c r="AF2953" s="14">
        <f>IF($B2953="","",IF(AND($AG2953&lt;&gt;"",$AI2953="",$AL2953=""),"保留中",IF($AL2953&lt;&gt;"",IF(N($AE2953)&gt;0,"支給済","不支給"),IF($AE2953="","要確認",IF($AE2953=0,"不支給","未処理")))))</f>
        <v/>
      </c>
      <c r="AG2953" s="12" t="n"/>
      <c r="AH2953" s="11" t="n"/>
      <c r="AI2953" s="11" t="n"/>
      <c r="AJ2953" s="11" t="n"/>
      <c r="AK2953" s="14">
        <f>IF(AND($AF2953="保留中",$AH2953&lt;&gt;""),TODAY()-$AH2953,"")</f>
        <v/>
      </c>
      <c r="AL2953" s="12" t="n"/>
      <c r="AM2953" s="14">
        <f>IF($B2953="","",IF($AQ2953="","対象年月が未入力／","")&amp;IF($B2953="","",IF($AP2953="","職員マスタに未登録の職員番号／",IF($AA2953="","標準報酬月額が未登録／","")&amp;IF(AND($AQ2953&lt;&gt;"",OR(AND(INDEX(職員マスタ!$G$6:$G$405,$AP2953)&lt;&gt;"",INDEX(職員マスタ!$G$6:$G$405,$AP2953)&gt;EOMONTH($AQ2953,0)),AND(INDEX(職員マスタ!$H$6:$H$405,$AP2953)&lt;&gt;"",INDEX(職員マスタ!$H$6:$H$405,$AP2953)&lt;$AQ2953))),"対象月が時短期間外／","")&amp;IF(AND(INDEX(職員マスタ!$K$6:$K$405,$AP2953)&lt;&gt;"",N($W2953)&gt;0,INDEX(職員マスタ!$K$6:$K$405,$AP2953)&lt;&gt;$W2953),"標準報酬月額が申請書と相違（台帳"&amp;TEXT(INDEX(職員マスタ!$K$6:$K$405,$AP2953),"#,##0")&amp;"円／申請書"&amp;TEXT($W2953,"#,##0")&amp;"円）／","")&amp;IF(AND(INDEX(職員マスタ!$F$6:$F$405,$AP2953)&lt;&gt;"",$AQ2953&lt;&gt;"",INDEX(職員マスタ!$F$6:$F$405,$AP2953)&lt;$AQ2953),"対象月に子が2歳到達済／","")&amp;IF(AND($H2953&lt;&gt;"",INDEX(職員マスタ!$B$6:$B$405,$AP2953)&lt;&gt;"",SUBSTITUTE(SUBSTITUTE($H2953," ","")," ","")&lt;&gt;SUBSTITUTE(SUBSTITUTE(INDEX(職員マスタ!$B$6:$B$405,$AP2953)," ","")," ","")),"氏名がマスタと相違／","")&amp;IF(AND($Q2953&lt;&gt;"",INDEX(職員マスタ!$E$6:$E$405,$AP2953)&lt;&gt;"",$Q2953&lt;&gt;INDEX(職員マスタ!$E$6:$E$405,$AP2953)),"子の生年月日がマスタと相違／","")&amp;IF(AND($L2953&lt;&gt;"",INDEX(職員マスタ!$G$6:$G$405,$AP2953)&lt;&gt;"",$L2953&lt;&gt;INDEX(職員マスタ!$G$6:$G$405,$AP2953)),"時短開始日がマスタと相違／","")&amp;IF(AND($M2953&lt;&gt;"",INDEX(職員マスタ!$H$6:$H$405,$AP2953)&lt;&gt;"",$M2953&lt;&gt;INDEX(職員マスタ!$H$6:$H$405,$AP2953)),"時短終了日がマスタと相違／","")))&amp;IF(AND($B2953&lt;&gt;"",$E2953=""),"報酬額が未入力／","")&amp;IF(N($U2953)&gt;0,"申請書に入力エラーが残っています／","")&amp;IF(AND($B2953&lt;&gt;"",$AQ2953&lt;&gt;""),IF(COUNTIFS($B$6:$B$3005,$B2953,$C$6:$C$3005,$C2953,$D$6:$D$3005,$D2953)&gt;1,"同じ月の請求が重複しています／",""),"")&amp;IF(AND(N($E2953)&gt;0,$AB2953&lt;&gt;"",$AB2953&lt;&gt;"×",$AE2953=0,$AD2953=""),"計算額が下限以下のため不支給／",""))</f>
        <v/>
      </c>
      <c r="AN2953" s="12" t="n"/>
      <c r="AO2953" s="14">
        <f>IF($AF2953="保留中",COUNTIF($AF$6:$AF2953,"保留中"),"")</f>
        <v/>
      </c>
      <c r="AP2953" s="14">
        <f>IF($AQ2953="","",IF(SUMPRODUCT(MAX((職員マスタ!$A$6:$A$405=$B2953)*(((職員マスタ!$G$6:$G$405="")+(職員マスタ!$G$6:$G$405&lt;=EOMONTH($AQ2953,0)))&gt;0)*(((職員マスタ!$H$6:$H$405="")+(職員マスタ!$H$6:$H$405&gt;=$AQ2953))&gt;0)*(ROW(職員マスタ!$A$6:$A$405)-5)))&gt;0,SUMPRODUCT(MAX((職員マスタ!$A$6:$A$405=$B2953)*(((職員マスタ!$G$6:$G$405="")+(職員マスタ!$G$6:$G$405&lt;=EOMONTH($AQ2953,0)))&gt;0)*(((職員マスタ!$H$6:$H$405="")+(職員マスタ!$H$6:$H$405&gt;=$AQ2953))&gt;0)*(ROW(職員マスタ!$A$6:$A$405)-5))),IFERROR(MATCH($B2953,職員マスタ!$A$6:$A$405,0),"")))</f>
        <v/>
      </c>
      <c r="AQ2953" s="16">
        <f>IF(OR($B2953="",$C2953="",$D2953=""),"",DATE($C2953+2018,$D2953,1))</f>
        <v/>
      </c>
    </row>
    <row r="2954">
      <c r="A2954" s="11" t="n"/>
      <c r="B2954" s="12" t="n"/>
      <c r="C2954" s="12" t="n"/>
      <c r="D2954" s="12" t="n"/>
      <c r="E2954" s="13" t="n"/>
      <c r="F2954" s="12" t="n"/>
      <c r="G2954" s="13" t="n"/>
      <c r="H2954" s="12" t="n"/>
      <c r="I2954" s="12" t="n"/>
      <c r="J2954" s="12" t="n"/>
      <c r="K2954" s="12" t="n"/>
      <c r="L2954" s="11" t="n"/>
      <c r="M2954" s="11" t="n"/>
      <c r="N2954" s="11" t="n"/>
      <c r="O2954" s="11" t="n"/>
      <c r="P2954" s="12" t="n"/>
      <c r="Q2954" s="11" t="n"/>
      <c r="R2954" s="12" t="n"/>
      <c r="S2954" s="11" t="n"/>
      <c r="T2954" s="12" t="n"/>
      <c r="U2954" s="12" t="n"/>
      <c r="V2954" s="12" t="n"/>
      <c r="W2954" s="13" t="n"/>
      <c r="X2954" s="14">
        <f>IF($AP2954="",IF($B2954="","",$H2954),IF(INDEX(職員マスタ!$B$6:$B$405,$AP2954)="",$H2954,INDEX(職員マスタ!$B$6:$B$405,$AP2954)))</f>
        <v/>
      </c>
      <c r="Y2954" s="14">
        <f>IF($AP2954="",IF($B2954="","",$R2954),IF(INDEX(職員マスタ!$C$6:$C$405,$AP2954)="",$R2954,INDEX(職員マスタ!$C$6:$C$405,$AP2954)))</f>
        <v/>
      </c>
      <c r="Z2954" s="14">
        <f>IF($AQ2954="","","R"&amp;$C2954&amp;"."&amp;$D2954)</f>
        <v/>
      </c>
      <c r="AA2954" s="15">
        <f>IF(IF($AP2954="",FALSE,INDEX(職員マスタ!$K$6:$K$405,$AP2954)&lt;&gt;""),INDEX(職員マスタ!$K$6:$K$405,$AP2954),IF(N($W2954)&gt;0,$W2954,""))</f>
        <v/>
      </c>
      <c r="AB2954" s="14">
        <f>IF(OR($E2954="",$AA2954=""),"",IF($E2954&gt;=$AA2954,"×",IF($E2954&gt;=$AA2954*設定!$C$5,"△","○")))</f>
        <v/>
      </c>
      <c r="AC2954" s="15">
        <f>IF($AB2954="","",IF($AB2954="×",0,IF($AB2954="○",ROUNDDOWN($E2954*設定!$C$4,0),ROUNDDOWN($E2954*ROUND((9*$AA2954-9*$E2954)/(10*$E2954),4),0))))</f>
        <v/>
      </c>
      <c r="AD2954" s="13" t="n"/>
      <c r="AE2954" s="15">
        <f>IF($B2954="","",IF($AD2954&lt;&gt;"",$AD2954,IF($AC2954="","",IF($AC2954&lt;=設定!$C$3,0,$AC2954))))</f>
        <v/>
      </c>
      <c r="AF2954" s="14">
        <f>IF($B2954="","",IF(AND($AG2954&lt;&gt;"",$AI2954="",$AL2954=""),"保留中",IF($AL2954&lt;&gt;"",IF(N($AE2954)&gt;0,"支給済","不支給"),IF($AE2954="","要確認",IF($AE2954=0,"不支給","未処理")))))</f>
        <v/>
      </c>
      <c r="AG2954" s="12" t="n"/>
      <c r="AH2954" s="11" t="n"/>
      <c r="AI2954" s="11" t="n"/>
      <c r="AJ2954" s="11" t="n"/>
      <c r="AK2954" s="14">
        <f>IF(AND($AF2954="保留中",$AH2954&lt;&gt;""),TODAY()-$AH2954,"")</f>
        <v/>
      </c>
      <c r="AL2954" s="12" t="n"/>
      <c r="AM2954" s="14">
        <f>IF($B2954="","",IF($AQ2954="","対象年月が未入力／","")&amp;IF($B2954="","",IF($AP2954="","職員マスタに未登録の職員番号／",IF($AA2954="","標準報酬月額が未登録／","")&amp;IF(AND($AQ2954&lt;&gt;"",OR(AND(INDEX(職員マスタ!$G$6:$G$405,$AP2954)&lt;&gt;"",INDEX(職員マスタ!$G$6:$G$405,$AP2954)&gt;EOMONTH($AQ2954,0)),AND(INDEX(職員マスタ!$H$6:$H$405,$AP2954)&lt;&gt;"",INDEX(職員マスタ!$H$6:$H$405,$AP2954)&lt;$AQ2954))),"対象月が時短期間外／","")&amp;IF(AND(INDEX(職員マスタ!$K$6:$K$405,$AP2954)&lt;&gt;"",N($W2954)&gt;0,INDEX(職員マスタ!$K$6:$K$405,$AP2954)&lt;&gt;$W2954),"標準報酬月額が申請書と相違（台帳"&amp;TEXT(INDEX(職員マスタ!$K$6:$K$405,$AP2954),"#,##0")&amp;"円／申請書"&amp;TEXT($W2954,"#,##0")&amp;"円）／","")&amp;IF(AND(INDEX(職員マスタ!$F$6:$F$405,$AP2954)&lt;&gt;"",$AQ2954&lt;&gt;"",INDEX(職員マスタ!$F$6:$F$405,$AP2954)&lt;$AQ2954),"対象月に子が2歳到達済／","")&amp;IF(AND($H2954&lt;&gt;"",INDEX(職員マスタ!$B$6:$B$405,$AP2954)&lt;&gt;"",SUBSTITUTE(SUBSTITUTE($H2954," ","")," ","")&lt;&gt;SUBSTITUTE(SUBSTITUTE(INDEX(職員マスタ!$B$6:$B$405,$AP2954)," ","")," ","")),"氏名がマスタと相違／","")&amp;IF(AND($Q2954&lt;&gt;"",INDEX(職員マスタ!$E$6:$E$405,$AP2954)&lt;&gt;"",$Q2954&lt;&gt;INDEX(職員マスタ!$E$6:$E$405,$AP2954)),"子の生年月日がマスタと相違／","")&amp;IF(AND($L2954&lt;&gt;"",INDEX(職員マスタ!$G$6:$G$405,$AP2954)&lt;&gt;"",$L2954&lt;&gt;INDEX(職員マスタ!$G$6:$G$405,$AP2954)),"時短開始日がマスタと相違／","")&amp;IF(AND($M2954&lt;&gt;"",INDEX(職員マスタ!$H$6:$H$405,$AP2954)&lt;&gt;"",$M2954&lt;&gt;INDEX(職員マスタ!$H$6:$H$405,$AP2954)),"時短終了日がマスタと相違／","")))&amp;IF(AND($B2954&lt;&gt;"",$E2954=""),"報酬額が未入力／","")&amp;IF(N($U2954)&gt;0,"申請書に入力エラーが残っています／","")&amp;IF(AND($B2954&lt;&gt;"",$AQ2954&lt;&gt;""),IF(COUNTIFS($B$6:$B$3005,$B2954,$C$6:$C$3005,$C2954,$D$6:$D$3005,$D2954)&gt;1,"同じ月の請求が重複しています／",""),"")&amp;IF(AND(N($E2954)&gt;0,$AB2954&lt;&gt;"",$AB2954&lt;&gt;"×",$AE2954=0,$AD2954=""),"計算額が下限以下のため不支給／",""))</f>
        <v/>
      </c>
      <c r="AN2954" s="12" t="n"/>
      <c r="AO2954" s="14">
        <f>IF($AF2954="保留中",COUNTIF($AF$6:$AF2954,"保留中"),"")</f>
        <v/>
      </c>
      <c r="AP2954" s="14">
        <f>IF($AQ2954="","",IF(SUMPRODUCT(MAX((職員マスタ!$A$6:$A$405=$B2954)*(((職員マスタ!$G$6:$G$405="")+(職員マスタ!$G$6:$G$405&lt;=EOMONTH($AQ2954,0)))&gt;0)*(((職員マスタ!$H$6:$H$405="")+(職員マスタ!$H$6:$H$405&gt;=$AQ2954))&gt;0)*(ROW(職員マスタ!$A$6:$A$405)-5)))&gt;0,SUMPRODUCT(MAX((職員マスタ!$A$6:$A$405=$B2954)*(((職員マスタ!$G$6:$G$405="")+(職員マスタ!$G$6:$G$405&lt;=EOMONTH($AQ2954,0)))&gt;0)*(((職員マスタ!$H$6:$H$405="")+(職員マスタ!$H$6:$H$405&gt;=$AQ2954))&gt;0)*(ROW(職員マスタ!$A$6:$A$405)-5))),IFERROR(MATCH($B2954,職員マスタ!$A$6:$A$405,0),"")))</f>
        <v/>
      </c>
      <c r="AQ2954" s="16">
        <f>IF(OR($B2954="",$C2954="",$D2954=""),"",DATE($C2954+2018,$D2954,1))</f>
        <v/>
      </c>
    </row>
    <row r="2955">
      <c r="A2955" s="11" t="n"/>
      <c r="B2955" s="12" t="n"/>
      <c r="C2955" s="12" t="n"/>
      <c r="D2955" s="12" t="n"/>
      <c r="E2955" s="13" t="n"/>
      <c r="F2955" s="12" t="n"/>
      <c r="G2955" s="13" t="n"/>
      <c r="H2955" s="12" t="n"/>
      <c r="I2955" s="12" t="n"/>
      <c r="J2955" s="12" t="n"/>
      <c r="K2955" s="12" t="n"/>
      <c r="L2955" s="11" t="n"/>
      <c r="M2955" s="11" t="n"/>
      <c r="N2955" s="11" t="n"/>
      <c r="O2955" s="11" t="n"/>
      <c r="P2955" s="12" t="n"/>
      <c r="Q2955" s="11" t="n"/>
      <c r="R2955" s="12" t="n"/>
      <c r="S2955" s="11" t="n"/>
      <c r="T2955" s="12" t="n"/>
      <c r="U2955" s="12" t="n"/>
      <c r="V2955" s="12" t="n"/>
      <c r="W2955" s="13" t="n"/>
      <c r="X2955" s="14">
        <f>IF($AP2955="",IF($B2955="","",$H2955),IF(INDEX(職員マスタ!$B$6:$B$405,$AP2955)="",$H2955,INDEX(職員マスタ!$B$6:$B$405,$AP2955)))</f>
        <v/>
      </c>
      <c r="Y2955" s="14">
        <f>IF($AP2955="",IF($B2955="","",$R2955),IF(INDEX(職員マスタ!$C$6:$C$405,$AP2955)="",$R2955,INDEX(職員マスタ!$C$6:$C$405,$AP2955)))</f>
        <v/>
      </c>
      <c r="Z2955" s="14">
        <f>IF($AQ2955="","","R"&amp;$C2955&amp;"."&amp;$D2955)</f>
        <v/>
      </c>
      <c r="AA2955" s="15">
        <f>IF(IF($AP2955="",FALSE,INDEX(職員マスタ!$K$6:$K$405,$AP2955)&lt;&gt;""),INDEX(職員マスタ!$K$6:$K$405,$AP2955),IF(N($W2955)&gt;0,$W2955,""))</f>
        <v/>
      </c>
      <c r="AB2955" s="14">
        <f>IF(OR($E2955="",$AA2955=""),"",IF($E2955&gt;=$AA2955,"×",IF($E2955&gt;=$AA2955*設定!$C$5,"△","○")))</f>
        <v/>
      </c>
      <c r="AC2955" s="15">
        <f>IF($AB2955="","",IF($AB2955="×",0,IF($AB2955="○",ROUNDDOWN($E2955*設定!$C$4,0),ROUNDDOWN($E2955*ROUND((9*$AA2955-9*$E2955)/(10*$E2955),4),0))))</f>
        <v/>
      </c>
      <c r="AD2955" s="13" t="n"/>
      <c r="AE2955" s="15">
        <f>IF($B2955="","",IF($AD2955&lt;&gt;"",$AD2955,IF($AC2955="","",IF($AC2955&lt;=設定!$C$3,0,$AC2955))))</f>
        <v/>
      </c>
      <c r="AF2955" s="14">
        <f>IF($B2955="","",IF(AND($AG2955&lt;&gt;"",$AI2955="",$AL2955=""),"保留中",IF($AL2955&lt;&gt;"",IF(N($AE2955)&gt;0,"支給済","不支給"),IF($AE2955="","要確認",IF($AE2955=0,"不支給","未処理")))))</f>
        <v/>
      </c>
      <c r="AG2955" s="12" t="n"/>
      <c r="AH2955" s="11" t="n"/>
      <c r="AI2955" s="11" t="n"/>
      <c r="AJ2955" s="11" t="n"/>
      <c r="AK2955" s="14">
        <f>IF(AND($AF2955="保留中",$AH2955&lt;&gt;""),TODAY()-$AH2955,"")</f>
        <v/>
      </c>
      <c r="AL2955" s="12" t="n"/>
      <c r="AM2955" s="14">
        <f>IF($B2955="","",IF($AQ2955="","対象年月が未入力／","")&amp;IF($B2955="","",IF($AP2955="","職員マスタに未登録の職員番号／",IF($AA2955="","標準報酬月額が未登録／","")&amp;IF(AND($AQ2955&lt;&gt;"",OR(AND(INDEX(職員マスタ!$G$6:$G$405,$AP2955)&lt;&gt;"",INDEX(職員マスタ!$G$6:$G$405,$AP2955)&gt;EOMONTH($AQ2955,0)),AND(INDEX(職員マスタ!$H$6:$H$405,$AP2955)&lt;&gt;"",INDEX(職員マスタ!$H$6:$H$405,$AP2955)&lt;$AQ2955))),"対象月が時短期間外／","")&amp;IF(AND(INDEX(職員マスタ!$K$6:$K$405,$AP2955)&lt;&gt;"",N($W2955)&gt;0,INDEX(職員マスタ!$K$6:$K$405,$AP2955)&lt;&gt;$W2955),"標準報酬月額が申請書と相違（台帳"&amp;TEXT(INDEX(職員マスタ!$K$6:$K$405,$AP2955),"#,##0")&amp;"円／申請書"&amp;TEXT($W2955,"#,##0")&amp;"円）／","")&amp;IF(AND(INDEX(職員マスタ!$F$6:$F$405,$AP2955)&lt;&gt;"",$AQ2955&lt;&gt;"",INDEX(職員マスタ!$F$6:$F$405,$AP2955)&lt;$AQ2955),"対象月に子が2歳到達済／","")&amp;IF(AND($H2955&lt;&gt;"",INDEX(職員マスタ!$B$6:$B$405,$AP2955)&lt;&gt;"",SUBSTITUTE(SUBSTITUTE($H2955," ","")," ","")&lt;&gt;SUBSTITUTE(SUBSTITUTE(INDEX(職員マスタ!$B$6:$B$405,$AP2955)," ","")," ","")),"氏名がマスタと相違／","")&amp;IF(AND($Q2955&lt;&gt;"",INDEX(職員マスタ!$E$6:$E$405,$AP2955)&lt;&gt;"",$Q2955&lt;&gt;INDEX(職員マスタ!$E$6:$E$405,$AP2955)),"子の生年月日がマスタと相違／","")&amp;IF(AND($L2955&lt;&gt;"",INDEX(職員マスタ!$G$6:$G$405,$AP2955)&lt;&gt;"",$L2955&lt;&gt;INDEX(職員マスタ!$G$6:$G$405,$AP2955)),"時短開始日がマスタと相違／","")&amp;IF(AND($M2955&lt;&gt;"",INDEX(職員マスタ!$H$6:$H$405,$AP2955)&lt;&gt;"",$M2955&lt;&gt;INDEX(職員マスタ!$H$6:$H$405,$AP2955)),"時短終了日がマスタと相違／","")))&amp;IF(AND($B2955&lt;&gt;"",$E2955=""),"報酬額が未入力／","")&amp;IF(N($U2955)&gt;0,"申請書に入力エラーが残っています／","")&amp;IF(AND($B2955&lt;&gt;"",$AQ2955&lt;&gt;""),IF(COUNTIFS($B$6:$B$3005,$B2955,$C$6:$C$3005,$C2955,$D$6:$D$3005,$D2955)&gt;1,"同じ月の請求が重複しています／",""),"")&amp;IF(AND(N($E2955)&gt;0,$AB2955&lt;&gt;"",$AB2955&lt;&gt;"×",$AE2955=0,$AD2955=""),"計算額が下限以下のため不支給／",""))</f>
        <v/>
      </c>
      <c r="AN2955" s="12" t="n"/>
      <c r="AO2955" s="14">
        <f>IF($AF2955="保留中",COUNTIF($AF$6:$AF2955,"保留中"),"")</f>
        <v/>
      </c>
      <c r="AP2955" s="14">
        <f>IF($AQ2955="","",IF(SUMPRODUCT(MAX((職員マスタ!$A$6:$A$405=$B2955)*(((職員マスタ!$G$6:$G$405="")+(職員マスタ!$G$6:$G$405&lt;=EOMONTH($AQ2955,0)))&gt;0)*(((職員マスタ!$H$6:$H$405="")+(職員マスタ!$H$6:$H$405&gt;=$AQ2955))&gt;0)*(ROW(職員マスタ!$A$6:$A$405)-5)))&gt;0,SUMPRODUCT(MAX((職員マスタ!$A$6:$A$405=$B2955)*(((職員マスタ!$G$6:$G$405="")+(職員マスタ!$G$6:$G$405&lt;=EOMONTH($AQ2955,0)))&gt;0)*(((職員マスタ!$H$6:$H$405="")+(職員マスタ!$H$6:$H$405&gt;=$AQ2955))&gt;0)*(ROW(職員マスタ!$A$6:$A$405)-5))),IFERROR(MATCH($B2955,職員マスタ!$A$6:$A$405,0),"")))</f>
        <v/>
      </c>
      <c r="AQ2955" s="16">
        <f>IF(OR($B2955="",$C2955="",$D2955=""),"",DATE($C2955+2018,$D2955,1))</f>
        <v/>
      </c>
    </row>
    <row r="2956">
      <c r="A2956" s="11" t="n"/>
      <c r="B2956" s="12" t="n"/>
      <c r="C2956" s="12" t="n"/>
      <c r="D2956" s="12" t="n"/>
      <c r="E2956" s="13" t="n"/>
      <c r="F2956" s="12" t="n"/>
      <c r="G2956" s="13" t="n"/>
      <c r="H2956" s="12" t="n"/>
      <c r="I2956" s="12" t="n"/>
      <c r="J2956" s="12" t="n"/>
      <c r="K2956" s="12" t="n"/>
      <c r="L2956" s="11" t="n"/>
      <c r="M2956" s="11" t="n"/>
      <c r="N2956" s="11" t="n"/>
      <c r="O2956" s="11" t="n"/>
      <c r="P2956" s="12" t="n"/>
      <c r="Q2956" s="11" t="n"/>
      <c r="R2956" s="12" t="n"/>
      <c r="S2956" s="11" t="n"/>
      <c r="T2956" s="12" t="n"/>
      <c r="U2956" s="12" t="n"/>
      <c r="V2956" s="12" t="n"/>
      <c r="W2956" s="13" t="n"/>
      <c r="X2956" s="14">
        <f>IF($AP2956="",IF($B2956="","",$H2956),IF(INDEX(職員マスタ!$B$6:$B$405,$AP2956)="",$H2956,INDEX(職員マスタ!$B$6:$B$405,$AP2956)))</f>
        <v/>
      </c>
      <c r="Y2956" s="14">
        <f>IF($AP2956="",IF($B2956="","",$R2956),IF(INDEX(職員マスタ!$C$6:$C$405,$AP2956)="",$R2956,INDEX(職員マスタ!$C$6:$C$405,$AP2956)))</f>
        <v/>
      </c>
      <c r="Z2956" s="14">
        <f>IF($AQ2956="","","R"&amp;$C2956&amp;"."&amp;$D2956)</f>
        <v/>
      </c>
      <c r="AA2956" s="15">
        <f>IF(IF($AP2956="",FALSE,INDEX(職員マスタ!$K$6:$K$405,$AP2956)&lt;&gt;""),INDEX(職員マスタ!$K$6:$K$405,$AP2956),IF(N($W2956)&gt;0,$W2956,""))</f>
        <v/>
      </c>
      <c r="AB2956" s="14">
        <f>IF(OR($E2956="",$AA2956=""),"",IF($E2956&gt;=$AA2956,"×",IF($E2956&gt;=$AA2956*設定!$C$5,"△","○")))</f>
        <v/>
      </c>
      <c r="AC2956" s="15">
        <f>IF($AB2956="","",IF($AB2956="×",0,IF($AB2956="○",ROUNDDOWN($E2956*設定!$C$4,0),ROUNDDOWN($E2956*ROUND((9*$AA2956-9*$E2956)/(10*$E2956),4),0))))</f>
        <v/>
      </c>
      <c r="AD2956" s="13" t="n"/>
      <c r="AE2956" s="15">
        <f>IF($B2956="","",IF($AD2956&lt;&gt;"",$AD2956,IF($AC2956="","",IF($AC2956&lt;=設定!$C$3,0,$AC2956))))</f>
        <v/>
      </c>
      <c r="AF2956" s="14">
        <f>IF($B2956="","",IF(AND($AG2956&lt;&gt;"",$AI2956="",$AL2956=""),"保留中",IF($AL2956&lt;&gt;"",IF(N($AE2956)&gt;0,"支給済","不支給"),IF($AE2956="","要確認",IF($AE2956=0,"不支給","未処理")))))</f>
        <v/>
      </c>
      <c r="AG2956" s="12" t="n"/>
      <c r="AH2956" s="11" t="n"/>
      <c r="AI2956" s="11" t="n"/>
      <c r="AJ2956" s="11" t="n"/>
      <c r="AK2956" s="14">
        <f>IF(AND($AF2956="保留中",$AH2956&lt;&gt;""),TODAY()-$AH2956,"")</f>
        <v/>
      </c>
      <c r="AL2956" s="12" t="n"/>
      <c r="AM2956" s="14">
        <f>IF($B2956="","",IF($AQ2956="","対象年月が未入力／","")&amp;IF($B2956="","",IF($AP2956="","職員マスタに未登録の職員番号／",IF($AA2956="","標準報酬月額が未登録／","")&amp;IF(AND($AQ2956&lt;&gt;"",OR(AND(INDEX(職員マスタ!$G$6:$G$405,$AP2956)&lt;&gt;"",INDEX(職員マスタ!$G$6:$G$405,$AP2956)&gt;EOMONTH($AQ2956,0)),AND(INDEX(職員マスタ!$H$6:$H$405,$AP2956)&lt;&gt;"",INDEX(職員マスタ!$H$6:$H$405,$AP2956)&lt;$AQ2956))),"対象月が時短期間外／","")&amp;IF(AND(INDEX(職員マスタ!$K$6:$K$405,$AP2956)&lt;&gt;"",N($W2956)&gt;0,INDEX(職員マスタ!$K$6:$K$405,$AP2956)&lt;&gt;$W2956),"標準報酬月額が申請書と相違（台帳"&amp;TEXT(INDEX(職員マスタ!$K$6:$K$405,$AP2956),"#,##0")&amp;"円／申請書"&amp;TEXT($W2956,"#,##0")&amp;"円）／","")&amp;IF(AND(INDEX(職員マスタ!$F$6:$F$405,$AP2956)&lt;&gt;"",$AQ2956&lt;&gt;"",INDEX(職員マスタ!$F$6:$F$405,$AP2956)&lt;$AQ2956),"対象月に子が2歳到達済／","")&amp;IF(AND($H2956&lt;&gt;"",INDEX(職員マスタ!$B$6:$B$405,$AP2956)&lt;&gt;"",SUBSTITUTE(SUBSTITUTE($H2956," ","")," ","")&lt;&gt;SUBSTITUTE(SUBSTITUTE(INDEX(職員マスタ!$B$6:$B$405,$AP2956)," ","")," ","")),"氏名がマスタと相違／","")&amp;IF(AND($Q2956&lt;&gt;"",INDEX(職員マスタ!$E$6:$E$405,$AP2956)&lt;&gt;"",$Q2956&lt;&gt;INDEX(職員マスタ!$E$6:$E$405,$AP2956)),"子の生年月日がマスタと相違／","")&amp;IF(AND($L2956&lt;&gt;"",INDEX(職員マスタ!$G$6:$G$405,$AP2956)&lt;&gt;"",$L2956&lt;&gt;INDEX(職員マスタ!$G$6:$G$405,$AP2956)),"時短開始日がマスタと相違／","")&amp;IF(AND($M2956&lt;&gt;"",INDEX(職員マスタ!$H$6:$H$405,$AP2956)&lt;&gt;"",$M2956&lt;&gt;INDEX(職員マスタ!$H$6:$H$405,$AP2956)),"時短終了日がマスタと相違／","")))&amp;IF(AND($B2956&lt;&gt;"",$E2956=""),"報酬額が未入力／","")&amp;IF(N($U2956)&gt;0,"申請書に入力エラーが残っています／","")&amp;IF(AND($B2956&lt;&gt;"",$AQ2956&lt;&gt;""),IF(COUNTIFS($B$6:$B$3005,$B2956,$C$6:$C$3005,$C2956,$D$6:$D$3005,$D2956)&gt;1,"同じ月の請求が重複しています／",""),"")&amp;IF(AND(N($E2956)&gt;0,$AB2956&lt;&gt;"",$AB2956&lt;&gt;"×",$AE2956=0,$AD2956=""),"計算額が下限以下のため不支給／",""))</f>
        <v/>
      </c>
      <c r="AN2956" s="12" t="n"/>
      <c r="AO2956" s="14">
        <f>IF($AF2956="保留中",COUNTIF($AF$6:$AF2956,"保留中"),"")</f>
        <v/>
      </c>
      <c r="AP2956" s="14">
        <f>IF($AQ2956="","",IF(SUMPRODUCT(MAX((職員マスタ!$A$6:$A$405=$B2956)*(((職員マスタ!$G$6:$G$405="")+(職員マスタ!$G$6:$G$405&lt;=EOMONTH($AQ2956,0)))&gt;0)*(((職員マスタ!$H$6:$H$405="")+(職員マスタ!$H$6:$H$405&gt;=$AQ2956))&gt;0)*(ROW(職員マスタ!$A$6:$A$405)-5)))&gt;0,SUMPRODUCT(MAX((職員マスタ!$A$6:$A$405=$B2956)*(((職員マスタ!$G$6:$G$405="")+(職員マスタ!$G$6:$G$405&lt;=EOMONTH($AQ2956,0)))&gt;0)*(((職員マスタ!$H$6:$H$405="")+(職員マスタ!$H$6:$H$405&gt;=$AQ2956))&gt;0)*(ROW(職員マスタ!$A$6:$A$405)-5))),IFERROR(MATCH($B2956,職員マスタ!$A$6:$A$405,0),"")))</f>
        <v/>
      </c>
      <c r="AQ2956" s="16">
        <f>IF(OR($B2956="",$C2956="",$D2956=""),"",DATE($C2956+2018,$D2956,1))</f>
        <v/>
      </c>
    </row>
    <row r="2957">
      <c r="A2957" s="11" t="n"/>
      <c r="B2957" s="12" t="n"/>
      <c r="C2957" s="12" t="n"/>
      <c r="D2957" s="12" t="n"/>
      <c r="E2957" s="13" t="n"/>
      <c r="F2957" s="12" t="n"/>
      <c r="G2957" s="13" t="n"/>
      <c r="H2957" s="12" t="n"/>
      <c r="I2957" s="12" t="n"/>
      <c r="J2957" s="12" t="n"/>
      <c r="K2957" s="12" t="n"/>
      <c r="L2957" s="11" t="n"/>
      <c r="M2957" s="11" t="n"/>
      <c r="N2957" s="11" t="n"/>
      <c r="O2957" s="11" t="n"/>
      <c r="P2957" s="12" t="n"/>
      <c r="Q2957" s="11" t="n"/>
      <c r="R2957" s="12" t="n"/>
      <c r="S2957" s="11" t="n"/>
      <c r="T2957" s="12" t="n"/>
      <c r="U2957" s="12" t="n"/>
      <c r="V2957" s="12" t="n"/>
      <c r="W2957" s="13" t="n"/>
      <c r="X2957" s="14">
        <f>IF($AP2957="",IF($B2957="","",$H2957),IF(INDEX(職員マスタ!$B$6:$B$405,$AP2957)="",$H2957,INDEX(職員マスタ!$B$6:$B$405,$AP2957)))</f>
        <v/>
      </c>
      <c r="Y2957" s="14">
        <f>IF($AP2957="",IF($B2957="","",$R2957),IF(INDEX(職員マスタ!$C$6:$C$405,$AP2957)="",$R2957,INDEX(職員マスタ!$C$6:$C$405,$AP2957)))</f>
        <v/>
      </c>
      <c r="Z2957" s="14">
        <f>IF($AQ2957="","","R"&amp;$C2957&amp;"."&amp;$D2957)</f>
        <v/>
      </c>
      <c r="AA2957" s="15">
        <f>IF(IF($AP2957="",FALSE,INDEX(職員マスタ!$K$6:$K$405,$AP2957)&lt;&gt;""),INDEX(職員マスタ!$K$6:$K$405,$AP2957),IF(N($W2957)&gt;0,$W2957,""))</f>
        <v/>
      </c>
      <c r="AB2957" s="14">
        <f>IF(OR($E2957="",$AA2957=""),"",IF($E2957&gt;=$AA2957,"×",IF($E2957&gt;=$AA2957*設定!$C$5,"△","○")))</f>
        <v/>
      </c>
      <c r="AC2957" s="15">
        <f>IF($AB2957="","",IF($AB2957="×",0,IF($AB2957="○",ROUNDDOWN($E2957*設定!$C$4,0),ROUNDDOWN($E2957*ROUND((9*$AA2957-9*$E2957)/(10*$E2957),4),0))))</f>
        <v/>
      </c>
      <c r="AD2957" s="13" t="n"/>
      <c r="AE2957" s="15">
        <f>IF($B2957="","",IF($AD2957&lt;&gt;"",$AD2957,IF($AC2957="","",IF($AC2957&lt;=設定!$C$3,0,$AC2957))))</f>
        <v/>
      </c>
      <c r="AF2957" s="14">
        <f>IF($B2957="","",IF(AND($AG2957&lt;&gt;"",$AI2957="",$AL2957=""),"保留中",IF($AL2957&lt;&gt;"",IF(N($AE2957)&gt;0,"支給済","不支給"),IF($AE2957="","要確認",IF($AE2957=0,"不支給","未処理")))))</f>
        <v/>
      </c>
      <c r="AG2957" s="12" t="n"/>
      <c r="AH2957" s="11" t="n"/>
      <c r="AI2957" s="11" t="n"/>
      <c r="AJ2957" s="11" t="n"/>
      <c r="AK2957" s="14">
        <f>IF(AND($AF2957="保留中",$AH2957&lt;&gt;""),TODAY()-$AH2957,"")</f>
        <v/>
      </c>
      <c r="AL2957" s="12" t="n"/>
      <c r="AM2957" s="14">
        <f>IF($B2957="","",IF($AQ2957="","対象年月が未入力／","")&amp;IF($B2957="","",IF($AP2957="","職員マスタに未登録の職員番号／",IF($AA2957="","標準報酬月額が未登録／","")&amp;IF(AND($AQ2957&lt;&gt;"",OR(AND(INDEX(職員マスタ!$G$6:$G$405,$AP2957)&lt;&gt;"",INDEX(職員マスタ!$G$6:$G$405,$AP2957)&gt;EOMONTH($AQ2957,0)),AND(INDEX(職員マスタ!$H$6:$H$405,$AP2957)&lt;&gt;"",INDEX(職員マスタ!$H$6:$H$405,$AP2957)&lt;$AQ2957))),"対象月が時短期間外／","")&amp;IF(AND(INDEX(職員マスタ!$K$6:$K$405,$AP2957)&lt;&gt;"",N($W2957)&gt;0,INDEX(職員マスタ!$K$6:$K$405,$AP2957)&lt;&gt;$W2957),"標準報酬月額が申請書と相違（台帳"&amp;TEXT(INDEX(職員マスタ!$K$6:$K$405,$AP2957),"#,##0")&amp;"円／申請書"&amp;TEXT($W2957,"#,##0")&amp;"円）／","")&amp;IF(AND(INDEX(職員マスタ!$F$6:$F$405,$AP2957)&lt;&gt;"",$AQ2957&lt;&gt;"",INDEX(職員マスタ!$F$6:$F$405,$AP2957)&lt;$AQ2957),"対象月に子が2歳到達済／","")&amp;IF(AND($H2957&lt;&gt;"",INDEX(職員マスタ!$B$6:$B$405,$AP2957)&lt;&gt;"",SUBSTITUTE(SUBSTITUTE($H2957," ","")," ","")&lt;&gt;SUBSTITUTE(SUBSTITUTE(INDEX(職員マスタ!$B$6:$B$405,$AP2957)," ","")," ","")),"氏名がマスタと相違／","")&amp;IF(AND($Q2957&lt;&gt;"",INDEX(職員マスタ!$E$6:$E$405,$AP2957)&lt;&gt;"",$Q2957&lt;&gt;INDEX(職員マスタ!$E$6:$E$405,$AP2957)),"子の生年月日がマスタと相違／","")&amp;IF(AND($L2957&lt;&gt;"",INDEX(職員マスタ!$G$6:$G$405,$AP2957)&lt;&gt;"",$L2957&lt;&gt;INDEX(職員マスタ!$G$6:$G$405,$AP2957)),"時短開始日がマスタと相違／","")&amp;IF(AND($M2957&lt;&gt;"",INDEX(職員マスタ!$H$6:$H$405,$AP2957)&lt;&gt;"",$M2957&lt;&gt;INDEX(職員マスタ!$H$6:$H$405,$AP2957)),"時短終了日がマスタと相違／","")))&amp;IF(AND($B2957&lt;&gt;"",$E2957=""),"報酬額が未入力／","")&amp;IF(N($U2957)&gt;0,"申請書に入力エラーが残っています／","")&amp;IF(AND($B2957&lt;&gt;"",$AQ2957&lt;&gt;""),IF(COUNTIFS($B$6:$B$3005,$B2957,$C$6:$C$3005,$C2957,$D$6:$D$3005,$D2957)&gt;1,"同じ月の請求が重複しています／",""),"")&amp;IF(AND(N($E2957)&gt;0,$AB2957&lt;&gt;"",$AB2957&lt;&gt;"×",$AE2957=0,$AD2957=""),"計算額が下限以下のため不支給／",""))</f>
        <v/>
      </c>
      <c r="AN2957" s="12" t="n"/>
      <c r="AO2957" s="14">
        <f>IF($AF2957="保留中",COUNTIF($AF$6:$AF2957,"保留中"),"")</f>
        <v/>
      </c>
      <c r="AP2957" s="14">
        <f>IF($AQ2957="","",IF(SUMPRODUCT(MAX((職員マスタ!$A$6:$A$405=$B2957)*(((職員マスタ!$G$6:$G$405="")+(職員マスタ!$G$6:$G$405&lt;=EOMONTH($AQ2957,0)))&gt;0)*(((職員マスタ!$H$6:$H$405="")+(職員マスタ!$H$6:$H$405&gt;=$AQ2957))&gt;0)*(ROW(職員マスタ!$A$6:$A$405)-5)))&gt;0,SUMPRODUCT(MAX((職員マスタ!$A$6:$A$405=$B2957)*(((職員マスタ!$G$6:$G$405="")+(職員マスタ!$G$6:$G$405&lt;=EOMONTH($AQ2957,0)))&gt;0)*(((職員マスタ!$H$6:$H$405="")+(職員マスタ!$H$6:$H$405&gt;=$AQ2957))&gt;0)*(ROW(職員マスタ!$A$6:$A$405)-5))),IFERROR(MATCH($B2957,職員マスタ!$A$6:$A$405,0),"")))</f>
        <v/>
      </c>
      <c r="AQ2957" s="16">
        <f>IF(OR($B2957="",$C2957="",$D2957=""),"",DATE($C2957+2018,$D2957,1))</f>
        <v/>
      </c>
    </row>
    <row r="2958">
      <c r="A2958" s="11" t="n"/>
      <c r="B2958" s="12" t="n"/>
      <c r="C2958" s="12" t="n"/>
      <c r="D2958" s="12" t="n"/>
      <c r="E2958" s="13" t="n"/>
      <c r="F2958" s="12" t="n"/>
      <c r="G2958" s="13" t="n"/>
      <c r="H2958" s="12" t="n"/>
      <c r="I2958" s="12" t="n"/>
      <c r="J2958" s="12" t="n"/>
      <c r="K2958" s="12" t="n"/>
      <c r="L2958" s="11" t="n"/>
      <c r="M2958" s="11" t="n"/>
      <c r="N2958" s="11" t="n"/>
      <c r="O2958" s="11" t="n"/>
      <c r="P2958" s="12" t="n"/>
      <c r="Q2958" s="11" t="n"/>
      <c r="R2958" s="12" t="n"/>
      <c r="S2958" s="11" t="n"/>
      <c r="T2958" s="12" t="n"/>
      <c r="U2958" s="12" t="n"/>
      <c r="V2958" s="12" t="n"/>
      <c r="W2958" s="13" t="n"/>
      <c r="X2958" s="14">
        <f>IF($AP2958="",IF($B2958="","",$H2958),IF(INDEX(職員マスタ!$B$6:$B$405,$AP2958)="",$H2958,INDEX(職員マスタ!$B$6:$B$405,$AP2958)))</f>
        <v/>
      </c>
      <c r="Y2958" s="14">
        <f>IF($AP2958="",IF($B2958="","",$R2958),IF(INDEX(職員マスタ!$C$6:$C$405,$AP2958)="",$R2958,INDEX(職員マスタ!$C$6:$C$405,$AP2958)))</f>
        <v/>
      </c>
      <c r="Z2958" s="14">
        <f>IF($AQ2958="","","R"&amp;$C2958&amp;"."&amp;$D2958)</f>
        <v/>
      </c>
      <c r="AA2958" s="15">
        <f>IF(IF($AP2958="",FALSE,INDEX(職員マスタ!$K$6:$K$405,$AP2958)&lt;&gt;""),INDEX(職員マスタ!$K$6:$K$405,$AP2958),IF(N($W2958)&gt;0,$W2958,""))</f>
        <v/>
      </c>
      <c r="AB2958" s="14">
        <f>IF(OR($E2958="",$AA2958=""),"",IF($E2958&gt;=$AA2958,"×",IF($E2958&gt;=$AA2958*設定!$C$5,"△","○")))</f>
        <v/>
      </c>
      <c r="AC2958" s="15">
        <f>IF($AB2958="","",IF($AB2958="×",0,IF($AB2958="○",ROUNDDOWN($E2958*設定!$C$4,0),ROUNDDOWN($E2958*ROUND((9*$AA2958-9*$E2958)/(10*$E2958),4),0))))</f>
        <v/>
      </c>
      <c r="AD2958" s="13" t="n"/>
      <c r="AE2958" s="15">
        <f>IF($B2958="","",IF($AD2958&lt;&gt;"",$AD2958,IF($AC2958="","",IF($AC2958&lt;=設定!$C$3,0,$AC2958))))</f>
        <v/>
      </c>
      <c r="AF2958" s="14">
        <f>IF($B2958="","",IF(AND($AG2958&lt;&gt;"",$AI2958="",$AL2958=""),"保留中",IF($AL2958&lt;&gt;"",IF(N($AE2958)&gt;0,"支給済","不支給"),IF($AE2958="","要確認",IF($AE2958=0,"不支給","未処理")))))</f>
        <v/>
      </c>
      <c r="AG2958" s="12" t="n"/>
      <c r="AH2958" s="11" t="n"/>
      <c r="AI2958" s="11" t="n"/>
      <c r="AJ2958" s="11" t="n"/>
      <c r="AK2958" s="14">
        <f>IF(AND($AF2958="保留中",$AH2958&lt;&gt;""),TODAY()-$AH2958,"")</f>
        <v/>
      </c>
      <c r="AL2958" s="12" t="n"/>
      <c r="AM2958" s="14">
        <f>IF($B2958="","",IF($AQ2958="","対象年月が未入力／","")&amp;IF($B2958="","",IF($AP2958="","職員マスタに未登録の職員番号／",IF($AA2958="","標準報酬月額が未登録／","")&amp;IF(AND($AQ2958&lt;&gt;"",OR(AND(INDEX(職員マスタ!$G$6:$G$405,$AP2958)&lt;&gt;"",INDEX(職員マスタ!$G$6:$G$405,$AP2958)&gt;EOMONTH($AQ2958,0)),AND(INDEX(職員マスタ!$H$6:$H$405,$AP2958)&lt;&gt;"",INDEX(職員マスタ!$H$6:$H$405,$AP2958)&lt;$AQ2958))),"対象月が時短期間外／","")&amp;IF(AND(INDEX(職員マスタ!$K$6:$K$405,$AP2958)&lt;&gt;"",N($W2958)&gt;0,INDEX(職員マスタ!$K$6:$K$405,$AP2958)&lt;&gt;$W2958),"標準報酬月額が申請書と相違（台帳"&amp;TEXT(INDEX(職員マスタ!$K$6:$K$405,$AP2958),"#,##0")&amp;"円／申請書"&amp;TEXT($W2958,"#,##0")&amp;"円）／","")&amp;IF(AND(INDEX(職員マスタ!$F$6:$F$405,$AP2958)&lt;&gt;"",$AQ2958&lt;&gt;"",INDEX(職員マスタ!$F$6:$F$405,$AP2958)&lt;$AQ2958),"対象月に子が2歳到達済／","")&amp;IF(AND($H2958&lt;&gt;"",INDEX(職員マスタ!$B$6:$B$405,$AP2958)&lt;&gt;"",SUBSTITUTE(SUBSTITUTE($H2958," ","")," ","")&lt;&gt;SUBSTITUTE(SUBSTITUTE(INDEX(職員マスタ!$B$6:$B$405,$AP2958)," ","")," ","")),"氏名がマスタと相違／","")&amp;IF(AND($Q2958&lt;&gt;"",INDEX(職員マスタ!$E$6:$E$405,$AP2958)&lt;&gt;"",$Q2958&lt;&gt;INDEX(職員マスタ!$E$6:$E$405,$AP2958)),"子の生年月日がマスタと相違／","")&amp;IF(AND($L2958&lt;&gt;"",INDEX(職員マスタ!$G$6:$G$405,$AP2958)&lt;&gt;"",$L2958&lt;&gt;INDEX(職員マスタ!$G$6:$G$405,$AP2958)),"時短開始日がマスタと相違／","")&amp;IF(AND($M2958&lt;&gt;"",INDEX(職員マスタ!$H$6:$H$405,$AP2958)&lt;&gt;"",$M2958&lt;&gt;INDEX(職員マスタ!$H$6:$H$405,$AP2958)),"時短終了日がマスタと相違／","")))&amp;IF(AND($B2958&lt;&gt;"",$E2958=""),"報酬額が未入力／","")&amp;IF(N($U2958)&gt;0,"申請書に入力エラーが残っています／","")&amp;IF(AND($B2958&lt;&gt;"",$AQ2958&lt;&gt;""),IF(COUNTIFS($B$6:$B$3005,$B2958,$C$6:$C$3005,$C2958,$D$6:$D$3005,$D2958)&gt;1,"同じ月の請求が重複しています／",""),"")&amp;IF(AND(N($E2958)&gt;0,$AB2958&lt;&gt;"",$AB2958&lt;&gt;"×",$AE2958=0,$AD2958=""),"計算額が下限以下のため不支給／",""))</f>
        <v/>
      </c>
      <c r="AN2958" s="12" t="n"/>
      <c r="AO2958" s="14">
        <f>IF($AF2958="保留中",COUNTIF($AF$6:$AF2958,"保留中"),"")</f>
        <v/>
      </c>
      <c r="AP2958" s="14">
        <f>IF($AQ2958="","",IF(SUMPRODUCT(MAX((職員マスタ!$A$6:$A$405=$B2958)*(((職員マスタ!$G$6:$G$405="")+(職員マスタ!$G$6:$G$405&lt;=EOMONTH($AQ2958,0)))&gt;0)*(((職員マスタ!$H$6:$H$405="")+(職員マスタ!$H$6:$H$405&gt;=$AQ2958))&gt;0)*(ROW(職員マスタ!$A$6:$A$405)-5)))&gt;0,SUMPRODUCT(MAX((職員マスタ!$A$6:$A$405=$B2958)*(((職員マスタ!$G$6:$G$405="")+(職員マスタ!$G$6:$G$405&lt;=EOMONTH($AQ2958,0)))&gt;0)*(((職員マスタ!$H$6:$H$405="")+(職員マスタ!$H$6:$H$405&gt;=$AQ2958))&gt;0)*(ROW(職員マスタ!$A$6:$A$405)-5))),IFERROR(MATCH($B2958,職員マスタ!$A$6:$A$405,0),"")))</f>
        <v/>
      </c>
      <c r="AQ2958" s="16">
        <f>IF(OR($B2958="",$C2958="",$D2958=""),"",DATE($C2958+2018,$D2958,1))</f>
        <v/>
      </c>
    </row>
    <row r="2959">
      <c r="A2959" s="11" t="n"/>
      <c r="B2959" s="12" t="n"/>
      <c r="C2959" s="12" t="n"/>
      <c r="D2959" s="12" t="n"/>
      <c r="E2959" s="13" t="n"/>
      <c r="F2959" s="12" t="n"/>
      <c r="G2959" s="13" t="n"/>
      <c r="H2959" s="12" t="n"/>
      <c r="I2959" s="12" t="n"/>
      <c r="J2959" s="12" t="n"/>
      <c r="K2959" s="12" t="n"/>
      <c r="L2959" s="11" t="n"/>
      <c r="M2959" s="11" t="n"/>
      <c r="N2959" s="11" t="n"/>
      <c r="O2959" s="11" t="n"/>
      <c r="P2959" s="12" t="n"/>
      <c r="Q2959" s="11" t="n"/>
      <c r="R2959" s="12" t="n"/>
      <c r="S2959" s="11" t="n"/>
      <c r="T2959" s="12" t="n"/>
      <c r="U2959" s="12" t="n"/>
      <c r="V2959" s="12" t="n"/>
      <c r="W2959" s="13" t="n"/>
      <c r="X2959" s="14">
        <f>IF($AP2959="",IF($B2959="","",$H2959),IF(INDEX(職員マスタ!$B$6:$B$405,$AP2959)="",$H2959,INDEX(職員マスタ!$B$6:$B$405,$AP2959)))</f>
        <v/>
      </c>
      <c r="Y2959" s="14">
        <f>IF($AP2959="",IF($B2959="","",$R2959),IF(INDEX(職員マスタ!$C$6:$C$405,$AP2959)="",$R2959,INDEX(職員マスタ!$C$6:$C$405,$AP2959)))</f>
        <v/>
      </c>
      <c r="Z2959" s="14">
        <f>IF($AQ2959="","","R"&amp;$C2959&amp;"."&amp;$D2959)</f>
        <v/>
      </c>
      <c r="AA2959" s="15">
        <f>IF(IF($AP2959="",FALSE,INDEX(職員マスタ!$K$6:$K$405,$AP2959)&lt;&gt;""),INDEX(職員マスタ!$K$6:$K$405,$AP2959),IF(N($W2959)&gt;0,$W2959,""))</f>
        <v/>
      </c>
      <c r="AB2959" s="14">
        <f>IF(OR($E2959="",$AA2959=""),"",IF($E2959&gt;=$AA2959,"×",IF($E2959&gt;=$AA2959*設定!$C$5,"△","○")))</f>
        <v/>
      </c>
      <c r="AC2959" s="15">
        <f>IF($AB2959="","",IF($AB2959="×",0,IF($AB2959="○",ROUNDDOWN($E2959*設定!$C$4,0),ROUNDDOWN($E2959*ROUND((9*$AA2959-9*$E2959)/(10*$E2959),4),0))))</f>
        <v/>
      </c>
      <c r="AD2959" s="13" t="n"/>
      <c r="AE2959" s="15">
        <f>IF($B2959="","",IF($AD2959&lt;&gt;"",$AD2959,IF($AC2959="","",IF($AC2959&lt;=設定!$C$3,0,$AC2959))))</f>
        <v/>
      </c>
      <c r="AF2959" s="14">
        <f>IF($B2959="","",IF(AND($AG2959&lt;&gt;"",$AI2959="",$AL2959=""),"保留中",IF($AL2959&lt;&gt;"",IF(N($AE2959)&gt;0,"支給済","不支給"),IF($AE2959="","要確認",IF($AE2959=0,"不支給","未処理")))))</f>
        <v/>
      </c>
      <c r="AG2959" s="12" t="n"/>
      <c r="AH2959" s="11" t="n"/>
      <c r="AI2959" s="11" t="n"/>
      <c r="AJ2959" s="11" t="n"/>
      <c r="AK2959" s="14">
        <f>IF(AND($AF2959="保留中",$AH2959&lt;&gt;""),TODAY()-$AH2959,"")</f>
        <v/>
      </c>
      <c r="AL2959" s="12" t="n"/>
      <c r="AM2959" s="14">
        <f>IF($B2959="","",IF($AQ2959="","対象年月が未入力／","")&amp;IF($B2959="","",IF($AP2959="","職員マスタに未登録の職員番号／",IF($AA2959="","標準報酬月額が未登録／","")&amp;IF(AND($AQ2959&lt;&gt;"",OR(AND(INDEX(職員マスタ!$G$6:$G$405,$AP2959)&lt;&gt;"",INDEX(職員マスタ!$G$6:$G$405,$AP2959)&gt;EOMONTH($AQ2959,0)),AND(INDEX(職員マスタ!$H$6:$H$405,$AP2959)&lt;&gt;"",INDEX(職員マスタ!$H$6:$H$405,$AP2959)&lt;$AQ2959))),"対象月が時短期間外／","")&amp;IF(AND(INDEX(職員マスタ!$K$6:$K$405,$AP2959)&lt;&gt;"",N($W2959)&gt;0,INDEX(職員マスタ!$K$6:$K$405,$AP2959)&lt;&gt;$W2959),"標準報酬月額が申請書と相違（台帳"&amp;TEXT(INDEX(職員マスタ!$K$6:$K$405,$AP2959),"#,##0")&amp;"円／申請書"&amp;TEXT($W2959,"#,##0")&amp;"円）／","")&amp;IF(AND(INDEX(職員マスタ!$F$6:$F$405,$AP2959)&lt;&gt;"",$AQ2959&lt;&gt;"",INDEX(職員マスタ!$F$6:$F$405,$AP2959)&lt;$AQ2959),"対象月に子が2歳到達済／","")&amp;IF(AND($H2959&lt;&gt;"",INDEX(職員マスタ!$B$6:$B$405,$AP2959)&lt;&gt;"",SUBSTITUTE(SUBSTITUTE($H2959," ","")," ","")&lt;&gt;SUBSTITUTE(SUBSTITUTE(INDEX(職員マスタ!$B$6:$B$405,$AP2959)," ","")," ","")),"氏名がマスタと相違／","")&amp;IF(AND($Q2959&lt;&gt;"",INDEX(職員マスタ!$E$6:$E$405,$AP2959)&lt;&gt;"",$Q2959&lt;&gt;INDEX(職員マスタ!$E$6:$E$405,$AP2959)),"子の生年月日がマスタと相違／","")&amp;IF(AND($L2959&lt;&gt;"",INDEX(職員マスタ!$G$6:$G$405,$AP2959)&lt;&gt;"",$L2959&lt;&gt;INDEX(職員マスタ!$G$6:$G$405,$AP2959)),"時短開始日がマスタと相違／","")&amp;IF(AND($M2959&lt;&gt;"",INDEX(職員マスタ!$H$6:$H$405,$AP2959)&lt;&gt;"",$M2959&lt;&gt;INDEX(職員マスタ!$H$6:$H$405,$AP2959)),"時短終了日がマスタと相違／","")))&amp;IF(AND($B2959&lt;&gt;"",$E2959=""),"報酬額が未入力／","")&amp;IF(N($U2959)&gt;0,"申請書に入力エラーが残っています／","")&amp;IF(AND($B2959&lt;&gt;"",$AQ2959&lt;&gt;""),IF(COUNTIFS($B$6:$B$3005,$B2959,$C$6:$C$3005,$C2959,$D$6:$D$3005,$D2959)&gt;1,"同じ月の請求が重複しています／",""),"")&amp;IF(AND(N($E2959)&gt;0,$AB2959&lt;&gt;"",$AB2959&lt;&gt;"×",$AE2959=0,$AD2959=""),"計算額が下限以下のため不支給／",""))</f>
        <v/>
      </c>
      <c r="AN2959" s="12" t="n"/>
      <c r="AO2959" s="14">
        <f>IF($AF2959="保留中",COUNTIF($AF$6:$AF2959,"保留中"),"")</f>
        <v/>
      </c>
      <c r="AP2959" s="14">
        <f>IF($AQ2959="","",IF(SUMPRODUCT(MAX((職員マスタ!$A$6:$A$405=$B2959)*(((職員マスタ!$G$6:$G$405="")+(職員マスタ!$G$6:$G$405&lt;=EOMONTH($AQ2959,0)))&gt;0)*(((職員マスタ!$H$6:$H$405="")+(職員マスタ!$H$6:$H$405&gt;=$AQ2959))&gt;0)*(ROW(職員マスタ!$A$6:$A$405)-5)))&gt;0,SUMPRODUCT(MAX((職員マスタ!$A$6:$A$405=$B2959)*(((職員マスタ!$G$6:$G$405="")+(職員マスタ!$G$6:$G$405&lt;=EOMONTH($AQ2959,0)))&gt;0)*(((職員マスタ!$H$6:$H$405="")+(職員マスタ!$H$6:$H$405&gt;=$AQ2959))&gt;0)*(ROW(職員マスタ!$A$6:$A$405)-5))),IFERROR(MATCH($B2959,職員マスタ!$A$6:$A$405,0),"")))</f>
        <v/>
      </c>
      <c r="AQ2959" s="16">
        <f>IF(OR($B2959="",$C2959="",$D2959=""),"",DATE($C2959+2018,$D2959,1))</f>
        <v/>
      </c>
    </row>
    <row r="2960">
      <c r="A2960" s="11" t="n"/>
      <c r="B2960" s="12" t="n"/>
      <c r="C2960" s="12" t="n"/>
      <c r="D2960" s="12" t="n"/>
      <c r="E2960" s="13" t="n"/>
      <c r="F2960" s="12" t="n"/>
      <c r="G2960" s="13" t="n"/>
      <c r="H2960" s="12" t="n"/>
      <c r="I2960" s="12" t="n"/>
      <c r="J2960" s="12" t="n"/>
      <c r="K2960" s="12" t="n"/>
      <c r="L2960" s="11" t="n"/>
      <c r="M2960" s="11" t="n"/>
      <c r="N2960" s="11" t="n"/>
      <c r="O2960" s="11" t="n"/>
      <c r="P2960" s="12" t="n"/>
      <c r="Q2960" s="11" t="n"/>
      <c r="R2960" s="12" t="n"/>
      <c r="S2960" s="11" t="n"/>
      <c r="T2960" s="12" t="n"/>
      <c r="U2960" s="12" t="n"/>
      <c r="V2960" s="12" t="n"/>
      <c r="W2960" s="13" t="n"/>
      <c r="X2960" s="14">
        <f>IF($AP2960="",IF($B2960="","",$H2960),IF(INDEX(職員マスタ!$B$6:$B$405,$AP2960)="",$H2960,INDEX(職員マスタ!$B$6:$B$405,$AP2960)))</f>
        <v/>
      </c>
      <c r="Y2960" s="14">
        <f>IF($AP2960="",IF($B2960="","",$R2960),IF(INDEX(職員マスタ!$C$6:$C$405,$AP2960)="",$R2960,INDEX(職員マスタ!$C$6:$C$405,$AP2960)))</f>
        <v/>
      </c>
      <c r="Z2960" s="14">
        <f>IF($AQ2960="","","R"&amp;$C2960&amp;"."&amp;$D2960)</f>
        <v/>
      </c>
      <c r="AA2960" s="15">
        <f>IF(IF($AP2960="",FALSE,INDEX(職員マスタ!$K$6:$K$405,$AP2960)&lt;&gt;""),INDEX(職員マスタ!$K$6:$K$405,$AP2960),IF(N($W2960)&gt;0,$W2960,""))</f>
        <v/>
      </c>
      <c r="AB2960" s="14">
        <f>IF(OR($E2960="",$AA2960=""),"",IF($E2960&gt;=$AA2960,"×",IF($E2960&gt;=$AA2960*設定!$C$5,"△","○")))</f>
        <v/>
      </c>
      <c r="AC2960" s="15">
        <f>IF($AB2960="","",IF($AB2960="×",0,IF($AB2960="○",ROUNDDOWN($E2960*設定!$C$4,0),ROUNDDOWN($E2960*ROUND((9*$AA2960-9*$E2960)/(10*$E2960),4),0))))</f>
        <v/>
      </c>
      <c r="AD2960" s="13" t="n"/>
      <c r="AE2960" s="15">
        <f>IF($B2960="","",IF($AD2960&lt;&gt;"",$AD2960,IF($AC2960="","",IF($AC2960&lt;=設定!$C$3,0,$AC2960))))</f>
        <v/>
      </c>
      <c r="AF2960" s="14">
        <f>IF($B2960="","",IF(AND($AG2960&lt;&gt;"",$AI2960="",$AL2960=""),"保留中",IF($AL2960&lt;&gt;"",IF(N($AE2960)&gt;0,"支給済","不支給"),IF($AE2960="","要確認",IF($AE2960=0,"不支給","未処理")))))</f>
        <v/>
      </c>
      <c r="AG2960" s="12" t="n"/>
      <c r="AH2960" s="11" t="n"/>
      <c r="AI2960" s="11" t="n"/>
      <c r="AJ2960" s="11" t="n"/>
      <c r="AK2960" s="14">
        <f>IF(AND($AF2960="保留中",$AH2960&lt;&gt;""),TODAY()-$AH2960,"")</f>
        <v/>
      </c>
      <c r="AL2960" s="12" t="n"/>
      <c r="AM2960" s="14">
        <f>IF($B2960="","",IF($AQ2960="","対象年月が未入力／","")&amp;IF($B2960="","",IF($AP2960="","職員マスタに未登録の職員番号／",IF($AA2960="","標準報酬月額が未登録／","")&amp;IF(AND($AQ2960&lt;&gt;"",OR(AND(INDEX(職員マスタ!$G$6:$G$405,$AP2960)&lt;&gt;"",INDEX(職員マスタ!$G$6:$G$405,$AP2960)&gt;EOMONTH($AQ2960,0)),AND(INDEX(職員マスタ!$H$6:$H$405,$AP2960)&lt;&gt;"",INDEX(職員マスタ!$H$6:$H$405,$AP2960)&lt;$AQ2960))),"対象月が時短期間外／","")&amp;IF(AND(INDEX(職員マスタ!$K$6:$K$405,$AP2960)&lt;&gt;"",N($W2960)&gt;0,INDEX(職員マスタ!$K$6:$K$405,$AP2960)&lt;&gt;$W2960),"標準報酬月額が申請書と相違（台帳"&amp;TEXT(INDEX(職員マスタ!$K$6:$K$405,$AP2960),"#,##0")&amp;"円／申請書"&amp;TEXT($W2960,"#,##0")&amp;"円）／","")&amp;IF(AND(INDEX(職員マスタ!$F$6:$F$405,$AP2960)&lt;&gt;"",$AQ2960&lt;&gt;"",INDEX(職員マスタ!$F$6:$F$405,$AP2960)&lt;$AQ2960),"対象月に子が2歳到達済／","")&amp;IF(AND($H2960&lt;&gt;"",INDEX(職員マスタ!$B$6:$B$405,$AP2960)&lt;&gt;"",SUBSTITUTE(SUBSTITUTE($H2960," ","")," ","")&lt;&gt;SUBSTITUTE(SUBSTITUTE(INDEX(職員マスタ!$B$6:$B$405,$AP2960)," ","")," ","")),"氏名がマスタと相違／","")&amp;IF(AND($Q2960&lt;&gt;"",INDEX(職員マスタ!$E$6:$E$405,$AP2960)&lt;&gt;"",$Q2960&lt;&gt;INDEX(職員マスタ!$E$6:$E$405,$AP2960)),"子の生年月日がマスタと相違／","")&amp;IF(AND($L2960&lt;&gt;"",INDEX(職員マスタ!$G$6:$G$405,$AP2960)&lt;&gt;"",$L2960&lt;&gt;INDEX(職員マスタ!$G$6:$G$405,$AP2960)),"時短開始日がマスタと相違／","")&amp;IF(AND($M2960&lt;&gt;"",INDEX(職員マスタ!$H$6:$H$405,$AP2960)&lt;&gt;"",$M2960&lt;&gt;INDEX(職員マスタ!$H$6:$H$405,$AP2960)),"時短終了日がマスタと相違／","")))&amp;IF(AND($B2960&lt;&gt;"",$E2960=""),"報酬額が未入力／","")&amp;IF(N($U2960)&gt;0,"申請書に入力エラーが残っています／","")&amp;IF(AND($B2960&lt;&gt;"",$AQ2960&lt;&gt;""),IF(COUNTIFS($B$6:$B$3005,$B2960,$C$6:$C$3005,$C2960,$D$6:$D$3005,$D2960)&gt;1,"同じ月の請求が重複しています／",""),"")&amp;IF(AND(N($E2960)&gt;0,$AB2960&lt;&gt;"",$AB2960&lt;&gt;"×",$AE2960=0,$AD2960=""),"計算額が下限以下のため不支給／",""))</f>
        <v/>
      </c>
      <c r="AN2960" s="12" t="n"/>
      <c r="AO2960" s="14">
        <f>IF($AF2960="保留中",COUNTIF($AF$6:$AF2960,"保留中"),"")</f>
        <v/>
      </c>
      <c r="AP2960" s="14">
        <f>IF($AQ2960="","",IF(SUMPRODUCT(MAX((職員マスタ!$A$6:$A$405=$B2960)*(((職員マスタ!$G$6:$G$405="")+(職員マスタ!$G$6:$G$405&lt;=EOMONTH($AQ2960,0)))&gt;0)*(((職員マスタ!$H$6:$H$405="")+(職員マスタ!$H$6:$H$405&gt;=$AQ2960))&gt;0)*(ROW(職員マスタ!$A$6:$A$405)-5)))&gt;0,SUMPRODUCT(MAX((職員マスタ!$A$6:$A$405=$B2960)*(((職員マスタ!$G$6:$G$405="")+(職員マスタ!$G$6:$G$405&lt;=EOMONTH($AQ2960,0)))&gt;0)*(((職員マスタ!$H$6:$H$405="")+(職員マスタ!$H$6:$H$405&gt;=$AQ2960))&gt;0)*(ROW(職員マスタ!$A$6:$A$405)-5))),IFERROR(MATCH($B2960,職員マスタ!$A$6:$A$405,0),"")))</f>
        <v/>
      </c>
      <c r="AQ2960" s="16">
        <f>IF(OR($B2960="",$C2960="",$D2960=""),"",DATE($C2960+2018,$D2960,1))</f>
        <v/>
      </c>
    </row>
    <row r="2961">
      <c r="A2961" s="11" t="n"/>
      <c r="B2961" s="12" t="n"/>
      <c r="C2961" s="12" t="n"/>
      <c r="D2961" s="12" t="n"/>
      <c r="E2961" s="13" t="n"/>
      <c r="F2961" s="12" t="n"/>
      <c r="G2961" s="13" t="n"/>
      <c r="H2961" s="12" t="n"/>
      <c r="I2961" s="12" t="n"/>
      <c r="J2961" s="12" t="n"/>
      <c r="K2961" s="12" t="n"/>
      <c r="L2961" s="11" t="n"/>
      <c r="M2961" s="11" t="n"/>
      <c r="N2961" s="11" t="n"/>
      <c r="O2961" s="11" t="n"/>
      <c r="P2961" s="12" t="n"/>
      <c r="Q2961" s="11" t="n"/>
      <c r="R2961" s="12" t="n"/>
      <c r="S2961" s="11" t="n"/>
      <c r="T2961" s="12" t="n"/>
      <c r="U2961" s="12" t="n"/>
      <c r="V2961" s="12" t="n"/>
      <c r="W2961" s="13" t="n"/>
      <c r="X2961" s="14">
        <f>IF($AP2961="",IF($B2961="","",$H2961),IF(INDEX(職員マスタ!$B$6:$B$405,$AP2961)="",$H2961,INDEX(職員マスタ!$B$6:$B$405,$AP2961)))</f>
        <v/>
      </c>
      <c r="Y2961" s="14">
        <f>IF($AP2961="",IF($B2961="","",$R2961),IF(INDEX(職員マスタ!$C$6:$C$405,$AP2961)="",$R2961,INDEX(職員マスタ!$C$6:$C$405,$AP2961)))</f>
        <v/>
      </c>
      <c r="Z2961" s="14">
        <f>IF($AQ2961="","","R"&amp;$C2961&amp;"."&amp;$D2961)</f>
        <v/>
      </c>
      <c r="AA2961" s="15">
        <f>IF(IF($AP2961="",FALSE,INDEX(職員マスタ!$K$6:$K$405,$AP2961)&lt;&gt;""),INDEX(職員マスタ!$K$6:$K$405,$AP2961),IF(N($W2961)&gt;0,$W2961,""))</f>
        <v/>
      </c>
      <c r="AB2961" s="14">
        <f>IF(OR($E2961="",$AA2961=""),"",IF($E2961&gt;=$AA2961,"×",IF($E2961&gt;=$AA2961*設定!$C$5,"△","○")))</f>
        <v/>
      </c>
      <c r="AC2961" s="15">
        <f>IF($AB2961="","",IF($AB2961="×",0,IF($AB2961="○",ROUNDDOWN($E2961*設定!$C$4,0),ROUNDDOWN($E2961*ROUND((9*$AA2961-9*$E2961)/(10*$E2961),4),0))))</f>
        <v/>
      </c>
      <c r="AD2961" s="13" t="n"/>
      <c r="AE2961" s="15">
        <f>IF($B2961="","",IF($AD2961&lt;&gt;"",$AD2961,IF($AC2961="","",IF($AC2961&lt;=設定!$C$3,0,$AC2961))))</f>
        <v/>
      </c>
      <c r="AF2961" s="14">
        <f>IF($B2961="","",IF(AND($AG2961&lt;&gt;"",$AI2961="",$AL2961=""),"保留中",IF($AL2961&lt;&gt;"",IF(N($AE2961)&gt;0,"支給済","不支給"),IF($AE2961="","要確認",IF($AE2961=0,"不支給","未処理")))))</f>
        <v/>
      </c>
      <c r="AG2961" s="12" t="n"/>
      <c r="AH2961" s="11" t="n"/>
      <c r="AI2961" s="11" t="n"/>
      <c r="AJ2961" s="11" t="n"/>
      <c r="AK2961" s="14">
        <f>IF(AND($AF2961="保留中",$AH2961&lt;&gt;""),TODAY()-$AH2961,"")</f>
        <v/>
      </c>
      <c r="AL2961" s="12" t="n"/>
      <c r="AM2961" s="14">
        <f>IF($B2961="","",IF($AQ2961="","対象年月が未入力／","")&amp;IF($B2961="","",IF($AP2961="","職員マスタに未登録の職員番号／",IF($AA2961="","標準報酬月額が未登録／","")&amp;IF(AND($AQ2961&lt;&gt;"",OR(AND(INDEX(職員マスタ!$G$6:$G$405,$AP2961)&lt;&gt;"",INDEX(職員マスタ!$G$6:$G$405,$AP2961)&gt;EOMONTH($AQ2961,0)),AND(INDEX(職員マスタ!$H$6:$H$405,$AP2961)&lt;&gt;"",INDEX(職員マスタ!$H$6:$H$405,$AP2961)&lt;$AQ2961))),"対象月が時短期間外／","")&amp;IF(AND(INDEX(職員マスタ!$K$6:$K$405,$AP2961)&lt;&gt;"",N($W2961)&gt;0,INDEX(職員マスタ!$K$6:$K$405,$AP2961)&lt;&gt;$W2961),"標準報酬月額が申請書と相違（台帳"&amp;TEXT(INDEX(職員マスタ!$K$6:$K$405,$AP2961),"#,##0")&amp;"円／申請書"&amp;TEXT($W2961,"#,##0")&amp;"円）／","")&amp;IF(AND(INDEX(職員マスタ!$F$6:$F$405,$AP2961)&lt;&gt;"",$AQ2961&lt;&gt;"",INDEX(職員マスタ!$F$6:$F$405,$AP2961)&lt;$AQ2961),"対象月に子が2歳到達済／","")&amp;IF(AND($H2961&lt;&gt;"",INDEX(職員マスタ!$B$6:$B$405,$AP2961)&lt;&gt;"",SUBSTITUTE(SUBSTITUTE($H2961," ","")," ","")&lt;&gt;SUBSTITUTE(SUBSTITUTE(INDEX(職員マスタ!$B$6:$B$405,$AP2961)," ","")," ","")),"氏名がマスタと相違／","")&amp;IF(AND($Q2961&lt;&gt;"",INDEX(職員マスタ!$E$6:$E$405,$AP2961)&lt;&gt;"",$Q2961&lt;&gt;INDEX(職員マスタ!$E$6:$E$405,$AP2961)),"子の生年月日がマスタと相違／","")&amp;IF(AND($L2961&lt;&gt;"",INDEX(職員マスタ!$G$6:$G$405,$AP2961)&lt;&gt;"",$L2961&lt;&gt;INDEX(職員マスタ!$G$6:$G$405,$AP2961)),"時短開始日がマスタと相違／","")&amp;IF(AND($M2961&lt;&gt;"",INDEX(職員マスタ!$H$6:$H$405,$AP2961)&lt;&gt;"",$M2961&lt;&gt;INDEX(職員マスタ!$H$6:$H$405,$AP2961)),"時短終了日がマスタと相違／","")))&amp;IF(AND($B2961&lt;&gt;"",$E2961=""),"報酬額が未入力／","")&amp;IF(N($U2961)&gt;0,"申請書に入力エラーが残っています／","")&amp;IF(AND($B2961&lt;&gt;"",$AQ2961&lt;&gt;""),IF(COUNTIFS($B$6:$B$3005,$B2961,$C$6:$C$3005,$C2961,$D$6:$D$3005,$D2961)&gt;1,"同じ月の請求が重複しています／",""),"")&amp;IF(AND(N($E2961)&gt;0,$AB2961&lt;&gt;"",$AB2961&lt;&gt;"×",$AE2961=0,$AD2961=""),"計算額が下限以下のため不支給／",""))</f>
        <v/>
      </c>
      <c r="AN2961" s="12" t="n"/>
      <c r="AO2961" s="14">
        <f>IF($AF2961="保留中",COUNTIF($AF$6:$AF2961,"保留中"),"")</f>
        <v/>
      </c>
      <c r="AP2961" s="14">
        <f>IF($AQ2961="","",IF(SUMPRODUCT(MAX((職員マスタ!$A$6:$A$405=$B2961)*(((職員マスタ!$G$6:$G$405="")+(職員マスタ!$G$6:$G$405&lt;=EOMONTH($AQ2961,0)))&gt;0)*(((職員マスタ!$H$6:$H$405="")+(職員マスタ!$H$6:$H$405&gt;=$AQ2961))&gt;0)*(ROW(職員マスタ!$A$6:$A$405)-5)))&gt;0,SUMPRODUCT(MAX((職員マスタ!$A$6:$A$405=$B2961)*(((職員マスタ!$G$6:$G$405="")+(職員マスタ!$G$6:$G$405&lt;=EOMONTH($AQ2961,0)))&gt;0)*(((職員マスタ!$H$6:$H$405="")+(職員マスタ!$H$6:$H$405&gt;=$AQ2961))&gt;0)*(ROW(職員マスタ!$A$6:$A$405)-5))),IFERROR(MATCH($B2961,職員マスタ!$A$6:$A$405,0),"")))</f>
        <v/>
      </c>
      <c r="AQ2961" s="16">
        <f>IF(OR($B2961="",$C2961="",$D2961=""),"",DATE($C2961+2018,$D2961,1))</f>
        <v/>
      </c>
    </row>
    <row r="2962">
      <c r="A2962" s="11" t="n"/>
      <c r="B2962" s="12" t="n"/>
      <c r="C2962" s="12" t="n"/>
      <c r="D2962" s="12" t="n"/>
      <c r="E2962" s="13" t="n"/>
      <c r="F2962" s="12" t="n"/>
      <c r="G2962" s="13" t="n"/>
      <c r="H2962" s="12" t="n"/>
      <c r="I2962" s="12" t="n"/>
      <c r="J2962" s="12" t="n"/>
      <c r="K2962" s="12" t="n"/>
      <c r="L2962" s="11" t="n"/>
      <c r="M2962" s="11" t="n"/>
      <c r="N2962" s="11" t="n"/>
      <c r="O2962" s="11" t="n"/>
      <c r="P2962" s="12" t="n"/>
      <c r="Q2962" s="11" t="n"/>
      <c r="R2962" s="12" t="n"/>
      <c r="S2962" s="11" t="n"/>
      <c r="T2962" s="12" t="n"/>
      <c r="U2962" s="12" t="n"/>
      <c r="V2962" s="12" t="n"/>
      <c r="W2962" s="13" t="n"/>
      <c r="X2962" s="14">
        <f>IF($AP2962="",IF($B2962="","",$H2962),IF(INDEX(職員マスタ!$B$6:$B$405,$AP2962)="",$H2962,INDEX(職員マスタ!$B$6:$B$405,$AP2962)))</f>
        <v/>
      </c>
      <c r="Y2962" s="14">
        <f>IF($AP2962="",IF($B2962="","",$R2962),IF(INDEX(職員マスタ!$C$6:$C$405,$AP2962)="",$R2962,INDEX(職員マスタ!$C$6:$C$405,$AP2962)))</f>
        <v/>
      </c>
      <c r="Z2962" s="14">
        <f>IF($AQ2962="","","R"&amp;$C2962&amp;"."&amp;$D2962)</f>
        <v/>
      </c>
      <c r="AA2962" s="15">
        <f>IF(IF($AP2962="",FALSE,INDEX(職員マスタ!$K$6:$K$405,$AP2962)&lt;&gt;""),INDEX(職員マスタ!$K$6:$K$405,$AP2962),IF(N($W2962)&gt;0,$W2962,""))</f>
        <v/>
      </c>
      <c r="AB2962" s="14">
        <f>IF(OR($E2962="",$AA2962=""),"",IF($E2962&gt;=$AA2962,"×",IF($E2962&gt;=$AA2962*設定!$C$5,"△","○")))</f>
        <v/>
      </c>
      <c r="AC2962" s="15">
        <f>IF($AB2962="","",IF($AB2962="×",0,IF($AB2962="○",ROUNDDOWN($E2962*設定!$C$4,0),ROUNDDOWN($E2962*ROUND((9*$AA2962-9*$E2962)/(10*$E2962),4),0))))</f>
        <v/>
      </c>
      <c r="AD2962" s="13" t="n"/>
      <c r="AE2962" s="15">
        <f>IF($B2962="","",IF($AD2962&lt;&gt;"",$AD2962,IF($AC2962="","",IF($AC2962&lt;=設定!$C$3,0,$AC2962))))</f>
        <v/>
      </c>
      <c r="AF2962" s="14">
        <f>IF($B2962="","",IF(AND($AG2962&lt;&gt;"",$AI2962="",$AL2962=""),"保留中",IF($AL2962&lt;&gt;"",IF(N($AE2962)&gt;0,"支給済","不支給"),IF($AE2962="","要確認",IF($AE2962=0,"不支給","未処理")))))</f>
        <v/>
      </c>
      <c r="AG2962" s="12" t="n"/>
      <c r="AH2962" s="11" t="n"/>
      <c r="AI2962" s="11" t="n"/>
      <c r="AJ2962" s="11" t="n"/>
      <c r="AK2962" s="14">
        <f>IF(AND($AF2962="保留中",$AH2962&lt;&gt;""),TODAY()-$AH2962,"")</f>
        <v/>
      </c>
      <c r="AL2962" s="12" t="n"/>
      <c r="AM2962" s="14">
        <f>IF($B2962="","",IF($AQ2962="","対象年月が未入力／","")&amp;IF($B2962="","",IF($AP2962="","職員マスタに未登録の職員番号／",IF($AA2962="","標準報酬月額が未登録／","")&amp;IF(AND($AQ2962&lt;&gt;"",OR(AND(INDEX(職員マスタ!$G$6:$G$405,$AP2962)&lt;&gt;"",INDEX(職員マスタ!$G$6:$G$405,$AP2962)&gt;EOMONTH($AQ2962,0)),AND(INDEX(職員マスタ!$H$6:$H$405,$AP2962)&lt;&gt;"",INDEX(職員マスタ!$H$6:$H$405,$AP2962)&lt;$AQ2962))),"対象月が時短期間外／","")&amp;IF(AND(INDEX(職員マスタ!$K$6:$K$405,$AP2962)&lt;&gt;"",N($W2962)&gt;0,INDEX(職員マスタ!$K$6:$K$405,$AP2962)&lt;&gt;$W2962),"標準報酬月額が申請書と相違（台帳"&amp;TEXT(INDEX(職員マスタ!$K$6:$K$405,$AP2962),"#,##0")&amp;"円／申請書"&amp;TEXT($W2962,"#,##0")&amp;"円）／","")&amp;IF(AND(INDEX(職員マスタ!$F$6:$F$405,$AP2962)&lt;&gt;"",$AQ2962&lt;&gt;"",INDEX(職員マスタ!$F$6:$F$405,$AP2962)&lt;$AQ2962),"対象月に子が2歳到達済／","")&amp;IF(AND($H2962&lt;&gt;"",INDEX(職員マスタ!$B$6:$B$405,$AP2962)&lt;&gt;"",SUBSTITUTE(SUBSTITUTE($H2962," ","")," ","")&lt;&gt;SUBSTITUTE(SUBSTITUTE(INDEX(職員マスタ!$B$6:$B$405,$AP2962)," ","")," ","")),"氏名がマスタと相違／","")&amp;IF(AND($Q2962&lt;&gt;"",INDEX(職員マスタ!$E$6:$E$405,$AP2962)&lt;&gt;"",$Q2962&lt;&gt;INDEX(職員マスタ!$E$6:$E$405,$AP2962)),"子の生年月日がマスタと相違／","")&amp;IF(AND($L2962&lt;&gt;"",INDEX(職員マスタ!$G$6:$G$405,$AP2962)&lt;&gt;"",$L2962&lt;&gt;INDEX(職員マスタ!$G$6:$G$405,$AP2962)),"時短開始日がマスタと相違／","")&amp;IF(AND($M2962&lt;&gt;"",INDEX(職員マスタ!$H$6:$H$405,$AP2962)&lt;&gt;"",$M2962&lt;&gt;INDEX(職員マスタ!$H$6:$H$405,$AP2962)),"時短終了日がマスタと相違／","")))&amp;IF(AND($B2962&lt;&gt;"",$E2962=""),"報酬額が未入力／","")&amp;IF(N($U2962)&gt;0,"申請書に入力エラーが残っています／","")&amp;IF(AND($B2962&lt;&gt;"",$AQ2962&lt;&gt;""),IF(COUNTIFS($B$6:$B$3005,$B2962,$C$6:$C$3005,$C2962,$D$6:$D$3005,$D2962)&gt;1,"同じ月の請求が重複しています／",""),"")&amp;IF(AND(N($E2962)&gt;0,$AB2962&lt;&gt;"",$AB2962&lt;&gt;"×",$AE2962=0,$AD2962=""),"計算額が下限以下のため不支給／",""))</f>
        <v/>
      </c>
      <c r="AN2962" s="12" t="n"/>
      <c r="AO2962" s="14">
        <f>IF($AF2962="保留中",COUNTIF($AF$6:$AF2962,"保留中"),"")</f>
        <v/>
      </c>
      <c r="AP2962" s="14">
        <f>IF($AQ2962="","",IF(SUMPRODUCT(MAX((職員マスタ!$A$6:$A$405=$B2962)*(((職員マスタ!$G$6:$G$405="")+(職員マスタ!$G$6:$G$405&lt;=EOMONTH($AQ2962,0)))&gt;0)*(((職員マスタ!$H$6:$H$405="")+(職員マスタ!$H$6:$H$405&gt;=$AQ2962))&gt;0)*(ROW(職員マスタ!$A$6:$A$405)-5)))&gt;0,SUMPRODUCT(MAX((職員マスタ!$A$6:$A$405=$B2962)*(((職員マスタ!$G$6:$G$405="")+(職員マスタ!$G$6:$G$405&lt;=EOMONTH($AQ2962,0)))&gt;0)*(((職員マスタ!$H$6:$H$405="")+(職員マスタ!$H$6:$H$405&gt;=$AQ2962))&gt;0)*(ROW(職員マスタ!$A$6:$A$405)-5))),IFERROR(MATCH($B2962,職員マスタ!$A$6:$A$405,0),"")))</f>
        <v/>
      </c>
      <c r="AQ2962" s="16">
        <f>IF(OR($B2962="",$C2962="",$D2962=""),"",DATE($C2962+2018,$D2962,1))</f>
        <v/>
      </c>
    </row>
    <row r="2963">
      <c r="A2963" s="11" t="n"/>
      <c r="B2963" s="12" t="n"/>
      <c r="C2963" s="12" t="n"/>
      <c r="D2963" s="12" t="n"/>
      <c r="E2963" s="13" t="n"/>
      <c r="F2963" s="12" t="n"/>
      <c r="G2963" s="13" t="n"/>
      <c r="H2963" s="12" t="n"/>
      <c r="I2963" s="12" t="n"/>
      <c r="J2963" s="12" t="n"/>
      <c r="K2963" s="12" t="n"/>
      <c r="L2963" s="11" t="n"/>
      <c r="M2963" s="11" t="n"/>
      <c r="N2963" s="11" t="n"/>
      <c r="O2963" s="11" t="n"/>
      <c r="P2963" s="12" t="n"/>
      <c r="Q2963" s="11" t="n"/>
      <c r="R2963" s="12" t="n"/>
      <c r="S2963" s="11" t="n"/>
      <c r="T2963" s="12" t="n"/>
      <c r="U2963" s="12" t="n"/>
      <c r="V2963" s="12" t="n"/>
      <c r="W2963" s="13" t="n"/>
      <c r="X2963" s="14">
        <f>IF($AP2963="",IF($B2963="","",$H2963),IF(INDEX(職員マスタ!$B$6:$B$405,$AP2963)="",$H2963,INDEX(職員マスタ!$B$6:$B$405,$AP2963)))</f>
        <v/>
      </c>
      <c r="Y2963" s="14">
        <f>IF($AP2963="",IF($B2963="","",$R2963),IF(INDEX(職員マスタ!$C$6:$C$405,$AP2963)="",$R2963,INDEX(職員マスタ!$C$6:$C$405,$AP2963)))</f>
        <v/>
      </c>
      <c r="Z2963" s="14">
        <f>IF($AQ2963="","","R"&amp;$C2963&amp;"."&amp;$D2963)</f>
        <v/>
      </c>
      <c r="AA2963" s="15">
        <f>IF(IF($AP2963="",FALSE,INDEX(職員マスタ!$K$6:$K$405,$AP2963)&lt;&gt;""),INDEX(職員マスタ!$K$6:$K$405,$AP2963),IF(N($W2963)&gt;0,$W2963,""))</f>
        <v/>
      </c>
      <c r="AB2963" s="14">
        <f>IF(OR($E2963="",$AA2963=""),"",IF($E2963&gt;=$AA2963,"×",IF($E2963&gt;=$AA2963*設定!$C$5,"△","○")))</f>
        <v/>
      </c>
      <c r="AC2963" s="15">
        <f>IF($AB2963="","",IF($AB2963="×",0,IF($AB2963="○",ROUNDDOWN($E2963*設定!$C$4,0),ROUNDDOWN($E2963*ROUND((9*$AA2963-9*$E2963)/(10*$E2963),4),0))))</f>
        <v/>
      </c>
      <c r="AD2963" s="13" t="n"/>
      <c r="AE2963" s="15">
        <f>IF($B2963="","",IF($AD2963&lt;&gt;"",$AD2963,IF($AC2963="","",IF($AC2963&lt;=設定!$C$3,0,$AC2963))))</f>
        <v/>
      </c>
      <c r="AF2963" s="14">
        <f>IF($B2963="","",IF(AND($AG2963&lt;&gt;"",$AI2963="",$AL2963=""),"保留中",IF($AL2963&lt;&gt;"",IF(N($AE2963)&gt;0,"支給済","不支給"),IF($AE2963="","要確認",IF($AE2963=0,"不支給","未処理")))))</f>
        <v/>
      </c>
      <c r="AG2963" s="12" t="n"/>
      <c r="AH2963" s="11" t="n"/>
      <c r="AI2963" s="11" t="n"/>
      <c r="AJ2963" s="11" t="n"/>
      <c r="AK2963" s="14">
        <f>IF(AND($AF2963="保留中",$AH2963&lt;&gt;""),TODAY()-$AH2963,"")</f>
        <v/>
      </c>
      <c r="AL2963" s="12" t="n"/>
      <c r="AM2963" s="14">
        <f>IF($B2963="","",IF($AQ2963="","対象年月が未入力／","")&amp;IF($B2963="","",IF($AP2963="","職員マスタに未登録の職員番号／",IF($AA2963="","標準報酬月額が未登録／","")&amp;IF(AND($AQ2963&lt;&gt;"",OR(AND(INDEX(職員マスタ!$G$6:$G$405,$AP2963)&lt;&gt;"",INDEX(職員マスタ!$G$6:$G$405,$AP2963)&gt;EOMONTH($AQ2963,0)),AND(INDEX(職員マスタ!$H$6:$H$405,$AP2963)&lt;&gt;"",INDEX(職員マスタ!$H$6:$H$405,$AP2963)&lt;$AQ2963))),"対象月が時短期間外／","")&amp;IF(AND(INDEX(職員マスタ!$K$6:$K$405,$AP2963)&lt;&gt;"",N($W2963)&gt;0,INDEX(職員マスタ!$K$6:$K$405,$AP2963)&lt;&gt;$W2963),"標準報酬月額が申請書と相違（台帳"&amp;TEXT(INDEX(職員マスタ!$K$6:$K$405,$AP2963),"#,##0")&amp;"円／申請書"&amp;TEXT($W2963,"#,##0")&amp;"円）／","")&amp;IF(AND(INDEX(職員マスタ!$F$6:$F$405,$AP2963)&lt;&gt;"",$AQ2963&lt;&gt;"",INDEX(職員マスタ!$F$6:$F$405,$AP2963)&lt;$AQ2963),"対象月に子が2歳到達済／","")&amp;IF(AND($H2963&lt;&gt;"",INDEX(職員マスタ!$B$6:$B$405,$AP2963)&lt;&gt;"",SUBSTITUTE(SUBSTITUTE($H2963," ","")," ","")&lt;&gt;SUBSTITUTE(SUBSTITUTE(INDEX(職員マスタ!$B$6:$B$405,$AP2963)," ","")," ","")),"氏名がマスタと相違／","")&amp;IF(AND($Q2963&lt;&gt;"",INDEX(職員マスタ!$E$6:$E$405,$AP2963)&lt;&gt;"",$Q2963&lt;&gt;INDEX(職員マスタ!$E$6:$E$405,$AP2963)),"子の生年月日がマスタと相違／","")&amp;IF(AND($L2963&lt;&gt;"",INDEX(職員マスタ!$G$6:$G$405,$AP2963)&lt;&gt;"",$L2963&lt;&gt;INDEX(職員マスタ!$G$6:$G$405,$AP2963)),"時短開始日がマスタと相違／","")&amp;IF(AND($M2963&lt;&gt;"",INDEX(職員マスタ!$H$6:$H$405,$AP2963)&lt;&gt;"",$M2963&lt;&gt;INDEX(職員マスタ!$H$6:$H$405,$AP2963)),"時短終了日がマスタと相違／","")))&amp;IF(AND($B2963&lt;&gt;"",$E2963=""),"報酬額が未入力／","")&amp;IF(N($U2963)&gt;0,"申請書に入力エラーが残っています／","")&amp;IF(AND($B2963&lt;&gt;"",$AQ2963&lt;&gt;""),IF(COUNTIFS($B$6:$B$3005,$B2963,$C$6:$C$3005,$C2963,$D$6:$D$3005,$D2963)&gt;1,"同じ月の請求が重複しています／",""),"")&amp;IF(AND(N($E2963)&gt;0,$AB2963&lt;&gt;"",$AB2963&lt;&gt;"×",$AE2963=0,$AD2963=""),"計算額が下限以下のため不支給／",""))</f>
        <v/>
      </c>
      <c r="AN2963" s="12" t="n"/>
      <c r="AO2963" s="14">
        <f>IF($AF2963="保留中",COUNTIF($AF$6:$AF2963,"保留中"),"")</f>
        <v/>
      </c>
      <c r="AP2963" s="14">
        <f>IF($AQ2963="","",IF(SUMPRODUCT(MAX((職員マスタ!$A$6:$A$405=$B2963)*(((職員マスタ!$G$6:$G$405="")+(職員マスタ!$G$6:$G$405&lt;=EOMONTH($AQ2963,0)))&gt;0)*(((職員マスタ!$H$6:$H$405="")+(職員マスタ!$H$6:$H$405&gt;=$AQ2963))&gt;0)*(ROW(職員マスタ!$A$6:$A$405)-5)))&gt;0,SUMPRODUCT(MAX((職員マスタ!$A$6:$A$405=$B2963)*(((職員マスタ!$G$6:$G$405="")+(職員マスタ!$G$6:$G$405&lt;=EOMONTH($AQ2963,0)))&gt;0)*(((職員マスタ!$H$6:$H$405="")+(職員マスタ!$H$6:$H$405&gt;=$AQ2963))&gt;0)*(ROW(職員マスタ!$A$6:$A$405)-5))),IFERROR(MATCH($B2963,職員マスタ!$A$6:$A$405,0),"")))</f>
        <v/>
      </c>
      <c r="AQ2963" s="16">
        <f>IF(OR($B2963="",$C2963="",$D2963=""),"",DATE($C2963+2018,$D2963,1))</f>
        <v/>
      </c>
    </row>
    <row r="2964">
      <c r="A2964" s="11" t="n"/>
      <c r="B2964" s="12" t="n"/>
      <c r="C2964" s="12" t="n"/>
      <c r="D2964" s="12" t="n"/>
      <c r="E2964" s="13" t="n"/>
      <c r="F2964" s="12" t="n"/>
      <c r="G2964" s="13" t="n"/>
      <c r="H2964" s="12" t="n"/>
      <c r="I2964" s="12" t="n"/>
      <c r="J2964" s="12" t="n"/>
      <c r="K2964" s="12" t="n"/>
      <c r="L2964" s="11" t="n"/>
      <c r="M2964" s="11" t="n"/>
      <c r="N2964" s="11" t="n"/>
      <c r="O2964" s="11" t="n"/>
      <c r="P2964" s="12" t="n"/>
      <c r="Q2964" s="11" t="n"/>
      <c r="R2964" s="12" t="n"/>
      <c r="S2964" s="11" t="n"/>
      <c r="T2964" s="12" t="n"/>
      <c r="U2964" s="12" t="n"/>
      <c r="V2964" s="12" t="n"/>
      <c r="W2964" s="13" t="n"/>
      <c r="X2964" s="14">
        <f>IF($AP2964="",IF($B2964="","",$H2964),IF(INDEX(職員マスタ!$B$6:$B$405,$AP2964)="",$H2964,INDEX(職員マスタ!$B$6:$B$405,$AP2964)))</f>
        <v/>
      </c>
      <c r="Y2964" s="14">
        <f>IF($AP2964="",IF($B2964="","",$R2964),IF(INDEX(職員マスタ!$C$6:$C$405,$AP2964)="",$R2964,INDEX(職員マスタ!$C$6:$C$405,$AP2964)))</f>
        <v/>
      </c>
      <c r="Z2964" s="14">
        <f>IF($AQ2964="","","R"&amp;$C2964&amp;"."&amp;$D2964)</f>
        <v/>
      </c>
      <c r="AA2964" s="15">
        <f>IF(IF($AP2964="",FALSE,INDEX(職員マスタ!$K$6:$K$405,$AP2964)&lt;&gt;""),INDEX(職員マスタ!$K$6:$K$405,$AP2964),IF(N($W2964)&gt;0,$W2964,""))</f>
        <v/>
      </c>
      <c r="AB2964" s="14">
        <f>IF(OR($E2964="",$AA2964=""),"",IF($E2964&gt;=$AA2964,"×",IF($E2964&gt;=$AA2964*設定!$C$5,"△","○")))</f>
        <v/>
      </c>
      <c r="AC2964" s="15">
        <f>IF($AB2964="","",IF($AB2964="×",0,IF($AB2964="○",ROUNDDOWN($E2964*設定!$C$4,0),ROUNDDOWN($E2964*ROUND((9*$AA2964-9*$E2964)/(10*$E2964),4),0))))</f>
        <v/>
      </c>
      <c r="AD2964" s="13" t="n"/>
      <c r="AE2964" s="15">
        <f>IF($B2964="","",IF($AD2964&lt;&gt;"",$AD2964,IF($AC2964="","",IF($AC2964&lt;=設定!$C$3,0,$AC2964))))</f>
        <v/>
      </c>
      <c r="AF2964" s="14">
        <f>IF($B2964="","",IF(AND($AG2964&lt;&gt;"",$AI2964="",$AL2964=""),"保留中",IF($AL2964&lt;&gt;"",IF(N($AE2964)&gt;0,"支給済","不支給"),IF($AE2964="","要確認",IF($AE2964=0,"不支給","未処理")))))</f>
        <v/>
      </c>
      <c r="AG2964" s="12" t="n"/>
      <c r="AH2964" s="11" t="n"/>
      <c r="AI2964" s="11" t="n"/>
      <c r="AJ2964" s="11" t="n"/>
      <c r="AK2964" s="14">
        <f>IF(AND($AF2964="保留中",$AH2964&lt;&gt;""),TODAY()-$AH2964,"")</f>
        <v/>
      </c>
      <c r="AL2964" s="12" t="n"/>
      <c r="AM2964" s="14">
        <f>IF($B2964="","",IF($AQ2964="","対象年月が未入力／","")&amp;IF($B2964="","",IF($AP2964="","職員マスタに未登録の職員番号／",IF($AA2964="","標準報酬月額が未登録／","")&amp;IF(AND($AQ2964&lt;&gt;"",OR(AND(INDEX(職員マスタ!$G$6:$G$405,$AP2964)&lt;&gt;"",INDEX(職員マスタ!$G$6:$G$405,$AP2964)&gt;EOMONTH($AQ2964,0)),AND(INDEX(職員マスタ!$H$6:$H$405,$AP2964)&lt;&gt;"",INDEX(職員マスタ!$H$6:$H$405,$AP2964)&lt;$AQ2964))),"対象月が時短期間外／","")&amp;IF(AND(INDEX(職員マスタ!$K$6:$K$405,$AP2964)&lt;&gt;"",N($W2964)&gt;0,INDEX(職員マスタ!$K$6:$K$405,$AP2964)&lt;&gt;$W2964),"標準報酬月額が申請書と相違（台帳"&amp;TEXT(INDEX(職員マスタ!$K$6:$K$405,$AP2964),"#,##0")&amp;"円／申請書"&amp;TEXT($W2964,"#,##0")&amp;"円）／","")&amp;IF(AND(INDEX(職員マスタ!$F$6:$F$405,$AP2964)&lt;&gt;"",$AQ2964&lt;&gt;"",INDEX(職員マスタ!$F$6:$F$405,$AP2964)&lt;$AQ2964),"対象月に子が2歳到達済／","")&amp;IF(AND($H2964&lt;&gt;"",INDEX(職員マスタ!$B$6:$B$405,$AP2964)&lt;&gt;"",SUBSTITUTE(SUBSTITUTE($H2964," ","")," ","")&lt;&gt;SUBSTITUTE(SUBSTITUTE(INDEX(職員マスタ!$B$6:$B$405,$AP2964)," ","")," ","")),"氏名がマスタと相違／","")&amp;IF(AND($Q2964&lt;&gt;"",INDEX(職員マスタ!$E$6:$E$405,$AP2964)&lt;&gt;"",$Q2964&lt;&gt;INDEX(職員マスタ!$E$6:$E$405,$AP2964)),"子の生年月日がマスタと相違／","")&amp;IF(AND($L2964&lt;&gt;"",INDEX(職員マスタ!$G$6:$G$405,$AP2964)&lt;&gt;"",$L2964&lt;&gt;INDEX(職員マスタ!$G$6:$G$405,$AP2964)),"時短開始日がマスタと相違／","")&amp;IF(AND($M2964&lt;&gt;"",INDEX(職員マスタ!$H$6:$H$405,$AP2964)&lt;&gt;"",$M2964&lt;&gt;INDEX(職員マスタ!$H$6:$H$405,$AP2964)),"時短終了日がマスタと相違／","")))&amp;IF(AND($B2964&lt;&gt;"",$E2964=""),"報酬額が未入力／","")&amp;IF(N($U2964)&gt;0,"申請書に入力エラーが残っています／","")&amp;IF(AND($B2964&lt;&gt;"",$AQ2964&lt;&gt;""),IF(COUNTIFS($B$6:$B$3005,$B2964,$C$6:$C$3005,$C2964,$D$6:$D$3005,$D2964)&gt;1,"同じ月の請求が重複しています／",""),"")&amp;IF(AND(N($E2964)&gt;0,$AB2964&lt;&gt;"",$AB2964&lt;&gt;"×",$AE2964=0,$AD2964=""),"計算額が下限以下のため不支給／",""))</f>
        <v/>
      </c>
      <c r="AN2964" s="12" t="n"/>
      <c r="AO2964" s="14">
        <f>IF($AF2964="保留中",COUNTIF($AF$6:$AF2964,"保留中"),"")</f>
        <v/>
      </c>
      <c r="AP2964" s="14">
        <f>IF($AQ2964="","",IF(SUMPRODUCT(MAX((職員マスタ!$A$6:$A$405=$B2964)*(((職員マスタ!$G$6:$G$405="")+(職員マスタ!$G$6:$G$405&lt;=EOMONTH($AQ2964,0)))&gt;0)*(((職員マスタ!$H$6:$H$405="")+(職員マスタ!$H$6:$H$405&gt;=$AQ2964))&gt;0)*(ROW(職員マスタ!$A$6:$A$405)-5)))&gt;0,SUMPRODUCT(MAX((職員マスタ!$A$6:$A$405=$B2964)*(((職員マスタ!$G$6:$G$405="")+(職員マスタ!$G$6:$G$405&lt;=EOMONTH($AQ2964,0)))&gt;0)*(((職員マスタ!$H$6:$H$405="")+(職員マスタ!$H$6:$H$405&gt;=$AQ2964))&gt;0)*(ROW(職員マスタ!$A$6:$A$405)-5))),IFERROR(MATCH($B2964,職員マスタ!$A$6:$A$405,0),"")))</f>
        <v/>
      </c>
      <c r="AQ2964" s="16">
        <f>IF(OR($B2964="",$C2964="",$D2964=""),"",DATE($C2964+2018,$D2964,1))</f>
        <v/>
      </c>
    </row>
    <row r="2965">
      <c r="A2965" s="11" t="n"/>
      <c r="B2965" s="12" t="n"/>
      <c r="C2965" s="12" t="n"/>
      <c r="D2965" s="12" t="n"/>
      <c r="E2965" s="13" t="n"/>
      <c r="F2965" s="12" t="n"/>
      <c r="G2965" s="13" t="n"/>
      <c r="H2965" s="12" t="n"/>
      <c r="I2965" s="12" t="n"/>
      <c r="J2965" s="12" t="n"/>
      <c r="K2965" s="12" t="n"/>
      <c r="L2965" s="11" t="n"/>
      <c r="M2965" s="11" t="n"/>
      <c r="N2965" s="11" t="n"/>
      <c r="O2965" s="11" t="n"/>
      <c r="P2965" s="12" t="n"/>
      <c r="Q2965" s="11" t="n"/>
      <c r="R2965" s="12" t="n"/>
      <c r="S2965" s="11" t="n"/>
      <c r="T2965" s="12" t="n"/>
      <c r="U2965" s="12" t="n"/>
      <c r="V2965" s="12" t="n"/>
      <c r="W2965" s="13" t="n"/>
      <c r="X2965" s="14">
        <f>IF($AP2965="",IF($B2965="","",$H2965),IF(INDEX(職員マスタ!$B$6:$B$405,$AP2965)="",$H2965,INDEX(職員マスタ!$B$6:$B$405,$AP2965)))</f>
        <v/>
      </c>
      <c r="Y2965" s="14">
        <f>IF($AP2965="",IF($B2965="","",$R2965),IF(INDEX(職員マスタ!$C$6:$C$405,$AP2965)="",$R2965,INDEX(職員マスタ!$C$6:$C$405,$AP2965)))</f>
        <v/>
      </c>
      <c r="Z2965" s="14">
        <f>IF($AQ2965="","","R"&amp;$C2965&amp;"."&amp;$D2965)</f>
        <v/>
      </c>
      <c r="AA2965" s="15">
        <f>IF(IF($AP2965="",FALSE,INDEX(職員マスタ!$K$6:$K$405,$AP2965)&lt;&gt;""),INDEX(職員マスタ!$K$6:$K$405,$AP2965),IF(N($W2965)&gt;0,$W2965,""))</f>
        <v/>
      </c>
      <c r="AB2965" s="14">
        <f>IF(OR($E2965="",$AA2965=""),"",IF($E2965&gt;=$AA2965,"×",IF($E2965&gt;=$AA2965*設定!$C$5,"△","○")))</f>
        <v/>
      </c>
      <c r="AC2965" s="15">
        <f>IF($AB2965="","",IF($AB2965="×",0,IF($AB2965="○",ROUNDDOWN($E2965*設定!$C$4,0),ROUNDDOWN($E2965*ROUND((9*$AA2965-9*$E2965)/(10*$E2965),4),0))))</f>
        <v/>
      </c>
      <c r="AD2965" s="13" t="n"/>
      <c r="AE2965" s="15">
        <f>IF($B2965="","",IF($AD2965&lt;&gt;"",$AD2965,IF($AC2965="","",IF($AC2965&lt;=設定!$C$3,0,$AC2965))))</f>
        <v/>
      </c>
      <c r="AF2965" s="14">
        <f>IF($B2965="","",IF(AND($AG2965&lt;&gt;"",$AI2965="",$AL2965=""),"保留中",IF($AL2965&lt;&gt;"",IF(N($AE2965)&gt;0,"支給済","不支給"),IF($AE2965="","要確認",IF($AE2965=0,"不支給","未処理")))))</f>
        <v/>
      </c>
      <c r="AG2965" s="12" t="n"/>
      <c r="AH2965" s="11" t="n"/>
      <c r="AI2965" s="11" t="n"/>
      <c r="AJ2965" s="11" t="n"/>
      <c r="AK2965" s="14">
        <f>IF(AND($AF2965="保留中",$AH2965&lt;&gt;""),TODAY()-$AH2965,"")</f>
        <v/>
      </c>
      <c r="AL2965" s="12" t="n"/>
      <c r="AM2965" s="14">
        <f>IF($B2965="","",IF($AQ2965="","対象年月が未入力／","")&amp;IF($B2965="","",IF($AP2965="","職員マスタに未登録の職員番号／",IF($AA2965="","標準報酬月額が未登録／","")&amp;IF(AND($AQ2965&lt;&gt;"",OR(AND(INDEX(職員マスタ!$G$6:$G$405,$AP2965)&lt;&gt;"",INDEX(職員マスタ!$G$6:$G$405,$AP2965)&gt;EOMONTH($AQ2965,0)),AND(INDEX(職員マスタ!$H$6:$H$405,$AP2965)&lt;&gt;"",INDEX(職員マスタ!$H$6:$H$405,$AP2965)&lt;$AQ2965))),"対象月が時短期間外／","")&amp;IF(AND(INDEX(職員マスタ!$K$6:$K$405,$AP2965)&lt;&gt;"",N($W2965)&gt;0,INDEX(職員マスタ!$K$6:$K$405,$AP2965)&lt;&gt;$W2965),"標準報酬月額が申請書と相違（台帳"&amp;TEXT(INDEX(職員マスタ!$K$6:$K$405,$AP2965),"#,##0")&amp;"円／申請書"&amp;TEXT($W2965,"#,##0")&amp;"円）／","")&amp;IF(AND(INDEX(職員マスタ!$F$6:$F$405,$AP2965)&lt;&gt;"",$AQ2965&lt;&gt;"",INDEX(職員マスタ!$F$6:$F$405,$AP2965)&lt;$AQ2965),"対象月に子が2歳到達済／","")&amp;IF(AND($H2965&lt;&gt;"",INDEX(職員マスタ!$B$6:$B$405,$AP2965)&lt;&gt;"",SUBSTITUTE(SUBSTITUTE($H2965," ","")," ","")&lt;&gt;SUBSTITUTE(SUBSTITUTE(INDEX(職員マスタ!$B$6:$B$405,$AP2965)," ","")," ","")),"氏名がマスタと相違／","")&amp;IF(AND($Q2965&lt;&gt;"",INDEX(職員マスタ!$E$6:$E$405,$AP2965)&lt;&gt;"",$Q2965&lt;&gt;INDEX(職員マスタ!$E$6:$E$405,$AP2965)),"子の生年月日がマスタと相違／","")&amp;IF(AND($L2965&lt;&gt;"",INDEX(職員マスタ!$G$6:$G$405,$AP2965)&lt;&gt;"",$L2965&lt;&gt;INDEX(職員マスタ!$G$6:$G$405,$AP2965)),"時短開始日がマスタと相違／","")&amp;IF(AND($M2965&lt;&gt;"",INDEX(職員マスタ!$H$6:$H$405,$AP2965)&lt;&gt;"",$M2965&lt;&gt;INDEX(職員マスタ!$H$6:$H$405,$AP2965)),"時短終了日がマスタと相違／","")))&amp;IF(AND($B2965&lt;&gt;"",$E2965=""),"報酬額が未入力／","")&amp;IF(N($U2965)&gt;0,"申請書に入力エラーが残っています／","")&amp;IF(AND($B2965&lt;&gt;"",$AQ2965&lt;&gt;""),IF(COUNTIFS($B$6:$B$3005,$B2965,$C$6:$C$3005,$C2965,$D$6:$D$3005,$D2965)&gt;1,"同じ月の請求が重複しています／",""),"")&amp;IF(AND(N($E2965)&gt;0,$AB2965&lt;&gt;"",$AB2965&lt;&gt;"×",$AE2965=0,$AD2965=""),"計算額が下限以下のため不支給／",""))</f>
        <v/>
      </c>
      <c r="AN2965" s="12" t="n"/>
      <c r="AO2965" s="14">
        <f>IF($AF2965="保留中",COUNTIF($AF$6:$AF2965,"保留中"),"")</f>
        <v/>
      </c>
      <c r="AP2965" s="14">
        <f>IF($AQ2965="","",IF(SUMPRODUCT(MAX((職員マスタ!$A$6:$A$405=$B2965)*(((職員マスタ!$G$6:$G$405="")+(職員マスタ!$G$6:$G$405&lt;=EOMONTH($AQ2965,0)))&gt;0)*(((職員マスタ!$H$6:$H$405="")+(職員マスタ!$H$6:$H$405&gt;=$AQ2965))&gt;0)*(ROW(職員マスタ!$A$6:$A$405)-5)))&gt;0,SUMPRODUCT(MAX((職員マスタ!$A$6:$A$405=$B2965)*(((職員マスタ!$G$6:$G$405="")+(職員マスタ!$G$6:$G$405&lt;=EOMONTH($AQ2965,0)))&gt;0)*(((職員マスタ!$H$6:$H$405="")+(職員マスタ!$H$6:$H$405&gt;=$AQ2965))&gt;0)*(ROW(職員マスタ!$A$6:$A$405)-5))),IFERROR(MATCH($B2965,職員マスタ!$A$6:$A$405,0),"")))</f>
        <v/>
      </c>
      <c r="AQ2965" s="16">
        <f>IF(OR($B2965="",$C2965="",$D2965=""),"",DATE($C2965+2018,$D2965,1))</f>
        <v/>
      </c>
    </row>
    <row r="2966">
      <c r="A2966" s="11" t="n"/>
      <c r="B2966" s="12" t="n"/>
      <c r="C2966" s="12" t="n"/>
      <c r="D2966" s="12" t="n"/>
      <c r="E2966" s="13" t="n"/>
      <c r="F2966" s="12" t="n"/>
      <c r="G2966" s="13" t="n"/>
      <c r="H2966" s="12" t="n"/>
      <c r="I2966" s="12" t="n"/>
      <c r="J2966" s="12" t="n"/>
      <c r="K2966" s="12" t="n"/>
      <c r="L2966" s="11" t="n"/>
      <c r="M2966" s="11" t="n"/>
      <c r="N2966" s="11" t="n"/>
      <c r="O2966" s="11" t="n"/>
      <c r="P2966" s="12" t="n"/>
      <c r="Q2966" s="11" t="n"/>
      <c r="R2966" s="12" t="n"/>
      <c r="S2966" s="11" t="n"/>
      <c r="T2966" s="12" t="n"/>
      <c r="U2966" s="12" t="n"/>
      <c r="V2966" s="12" t="n"/>
      <c r="W2966" s="13" t="n"/>
      <c r="X2966" s="14">
        <f>IF($AP2966="",IF($B2966="","",$H2966),IF(INDEX(職員マスタ!$B$6:$B$405,$AP2966)="",$H2966,INDEX(職員マスタ!$B$6:$B$405,$AP2966)))</f>
        <v/>
      </c>
      <c r="Y2966" s="14">
        <f>IF($AP2966="",IF($B2966="","",$R2966),IF(INDEX(職員マスタ!$C$6:$C$405,$AP2966)="",$R2966,INDEX(職員マスタ!$C$6:$C$405,$AP2966)))</f>
        <v/>
      </c>
      <c r="Z2966" s="14">
        <f>IF($AQ2966="","","R"&amp;$C2966&amp;"."&amp;$D2966)</f>
        <v/>
      </c>
      <c r="AA2966" s="15">
        <f>IF(IF($AP2966="",FALSE,INDEX(職員マスタ!$K$6:$K$405,$AP2966)&lt;&gt;""),INDEX(職員マスタ!$K$6:$K$405,$AP2966),IF(N($W2966)&gt;0,$W2966,""))</f>
        <v/>
      </c>
      <c r="AB2966" s="14">
        <f>IF(OR($E2966="",$AA2966=""),"",IF($E2966&gt;=$AA2966,"×",IF($E2966&gt;=$AA2966*設定!$C$5,"△","○")))</f>
        <v/>
      </c>
      <c r="AC2966" s="15">
        <f>IF($AB2966="","",IF($AB2966="×",0,IF($AB2966="○",ROUNDDOWN($E2966*設定!$C$4,0),ROUNDDOWN($E2966*ROUND((9*$AA2966-9*$E2966)/(10*$E2966),4),0))))</f>
        <v/>
      </c>
      <c r="AD2966" s="13" t="n"/>
      <c r="AE2966" s="15">
        <f>IF($B2966="","",IF($AD2966&lt;&gt;"",$AD2966,IF($AC2966="","",IF($AC2966&lt;=設定!$C$3,0,$AC2966))))</f>
        <v/>
      </c>
      <c r="AF2966" s="14">
        <f>IF($B2966="","",IF(AND($AG2966&lt;&gt;"",$AI2966="",$AL2966=""),"保留中",IF($AL2966&lt;&gt;"",IF(N($AE2966)&gt;0,"支給済","不支給"),IF($AE2966="","要確認",IF($AE2966=0,"不支給","未処理")))))</f>
        <v/>
      </c>
      <c r="AG2966" s="12" t="n"/>
      <c r="AH2966" s="11" t="n"/>
      <c r="AI2966" s="11" t="n"/>
      <c r="AJ2966" s="11" t="n"/>
      <c r="AK2966" s="14">
        <f>IF(AND($AF2966="保留中",$AH2966&lt;&gt;""),TODAY()-$AH2966,"")</f>
        <v/>
      </c>
      <c r="AL2966" s="12" t="n"/>
      <c r="AM2966" s="14">
        <f>IF($B2966="","",IF($AQ2966="","対象年月が未入力／","")&amp;IF($B2966="","",IF($AP2966="","職員マスタに未登録の職員番号／",IF($AA2966="","標準報酬月額が未登録／","")&amp;IF(AND($AQ2966&lt;&gt;"",OR(AND(INDEX(職員マスタ!$G$6:$G$405,$AP2966)&lt;&gt;"",INDEX(職員マスタ!$G$6:$G$405,$AP2966)&gt;EOMONTH($AQ2966,0)),AND(INDEX(職員マスタ!$H$6:$H$405,$AP2966)&lt;&gt;"",INDEX(職員マスタ!$H$6:$H$405,$AP2966)&lt;$AQ2966))),"対象月が時短期間外／","")&amp;IF(AND(INDEX(職員マスタ!$K$6:$K$405,$AP2966)&lt;&gt;"",N($W2966)&gt;0,INDEX(職員マスタ!$K$6:$K$405,$AP2966)&lt;&gt;$W2966),"標準報酬月額が申請書と相違（台帳"&amp;TEXT(INDEX(職員マスタ!$K$6:$K$405,$AP2966),"#,##0")&amp;"円／申請書"&amp;TEXT($W2966,"#,##0")&amp;"円）／","")&amp;IF(AND(INDEX(職員マスタ!$F$6:$F$405,$AP2966)&lt;&gt;"",$AQ2966&lt;&gt;"",INDEX(職員マスタ!$F$6:$F$405,$AP2966)&lt;$AQ2966),"対象月に子が2歳到達済／","")&amp;IF(AND($H2966&lt;&gt;"",INDEX(職員マスタ!$B$6:$B$405,$AP2966)&lt;&gt;"",SUBSTITUTE(SUBSTITUTE($H2966," ","")," ","")&lt;&gt;SUBSTITUTE(SUBSTITUTE(INDEX(職員マスタ!$B$6:$B$405,$AP2966)," ","")," ","")),"氏名がマスタと相違／","")&amp;IF(AND($Q2966&lt;&gt;"",INDEX(職員マスタ!$E$6:$E$405,$AP2966)&lt;&gt;"",$Q2966&lt;&gt;INDEX(職員マスタ!$E$6:$E$405,$AP2966)),"子の生年月日がマスタと相違／","")&amp;IF(AND($L2966&lt;&gt;"",INDEX(職員マスタ!$G$6:$G$405,$AP2966)&lt;&gt;"",$L2966&lt;&gt;INDEX(職員マスタ!$G$6:$G$405,$AP2966)),"時短開始日がマスタと相違／","")&amp;IF(AND($M2966&lt;&gt;"",INDEX(職員マスタ!$H$6:$H$405,$AP2966)&lt;&gt;"",$M2966&lt;&gt;INDEX(職員マスタ!$H$6:$H$405,$AP2966)),"時短終了日がマスタと相違／","")))&amp;IF(AND($B2966&lt;&gt;"",$E2966=""),"報酬額が未入力／","")&amp;IF(N($U2966)&gt;0,"申請書に入力エラーが残っています／","")&amp;IF(AND($B2966&lt;&gt;"",$AQ2966&lt;&gt;""),IF(COUNTIFS($B$6:$B$3005,$B2966,$C$6:$C$3005,$C2966,$D$6:$D$3005,$D2966)&gt;1,"同じ月の請求が重複しています／",""),"")&amp;IF(AND(N($E2966)&gt;0,$AB2966&lt;&gt;"",$AB2966&lt;&gt;"×",$AE2966=0,$AD2966=""),"計算額が下限以下のため不支給／",""))</f>
        <v/>
      </c>
      <c r="AN2966" s="12" t="n"/>
      <c r="AO2966" s="14">
        <f>IF($AF2966="保留中",COUNTIF($AF$6:$AF2966,"保留中"),"")</f>
        <v/>
      </c>
      <c r="AP2966" s="14">
        <f>IF($AQ2966="","",IF(SUMPRODUCT(MAX((職員マスタ!$A$6:$A$405=$B2966)*(((職員マスタ!$G$6:$G$405="")+(職員マスタ!$G$6:$G$405&lt;=EOMONTH($AQ2966,0)))&gt;0)*(((職員マスタ!$H$6:$H$405="")+(職員マスタ!$H$6:$H$405&gt;=$AQ2966))&gt;0)*(ROW(職員マスタ!$A$6:$A$405)-5)))&gt;0,SUMPRODUCT(MAX((職員マスタ!$A$6:$A$405=$B2966)*(((職員マスタ!$G$6:$G$405="")+(職員マスタ!$G$6:$G$405&lt;=EOMONTH($AQ2966,0)))&gt;0)*(((職員マスタ!$H$6:$H$405="")+(職員マスタ!$H$6:$H$405&gt;=$AQ2966))&gt;0)*(ROW(職員マスタ!$A$6:$A$405)-5))),IFERROR(MATCH($B2966,職員マスタ!$A$6:$A$405,0),"")))</f>
        <v/>
      </c>
      <c r="AQ2966" s="16">
        <f>IF(OR($B2966="",$C2966="",$D2966=""),"",DATE($C2966+2018,$D2966,1))</f>
        <v/>
      </c>
    </row>
    <row r="2967">
      <c r="A2967" s="11" t="n"/>
      <c r="B2967" s="12" t="n"/>
      <c r="C2967" s="12" t="n"/>
      <c r="D2967" s="12" t="n"/>
      <c r="E2967" s="13" t="n"/>
      <c r="F2967" s="12" t="n"/>
      <c r="G2967" s="13" t="n"/>
      <c r="H2967" s="12" t="n"/>
      <c r="I2967" s="12" t="n"/>
      <c r="J2967" s="12" t="n"/>
      <c r="K2967" s="12" t="n"/>
      <c r="L2967" s="11" t="n"/>
      <c r="M2967" s="11" t="n"/>
      <c r="N2967" s="11" t="n"/>
      <c r="O2967" s="11" t="n"/>
      <c r="P2967" s="12" t="n"/>
      <c r="Q2967" s="11" t="n"/>
      <c r="R2967" s="12" t="n"/>
      <c r="S2967" s="11" t="n"/>
      <c r="T2967" s="12" t="n"/>
      <c r="U2967" s="12" t="n"/>
      <c r="V2967" s="12" t="n"/>
      <c r="W2967" s="13" t="n"/>
      <c r="X2967" s="14">
        <f>IF($AP2967="",IF($B2967="","",$H2967),IF(INDEX(職員マスタ!$B$6:$B$405,$AP2967)="",$H2967,INDEX(職員マスタ!$B$6:$B$405,$AP2967)))</f>
        <v/>
      </c>
      <c r="Y2967" s="14">
        <f>IF($AP2967="",IF($B2967="","",$R2967),IF(INDEX(職員マスタ!$C$6:$C$405,$AP2967)="",$R2967,INDEX(職員マスタ!$C$6:$C$405,$AP2967)))</f>
        <v/>
      </c>
      <c r="Z2967" s="14">
        <f>IF($AQ2967="","","R"&amp;$C2967&amp;"."&amp;$D2967)</f>
        <v/>
      </c>
      <c r="AA2967" s="15">
        <f>IF(IF($AP2967="",FALSE,INDEX(職員マスタ!$K$6:$K$405,$AP2967)&lt;&gt;""),INDEX(職員マスタ!$K$6:$K$405,$AP2967),IF(N($W2967)&gt;0,$W2967,""))</f>
        <v/>
      </c>
      <c r="AB2967" s="14">
        <f>IF(OR($E2967="",$AA2967=""),"",IF($E2967&gt;=$AA2967,"×",IF($E2967&gt;=$AA2967*設定!$C$5,"△","○")))</f>
        <v/>
      </c>
      <c r="AC2967" s="15">
        <f>IF($AB2967="","",IF($AB2967="×",0,IF($AB2967="○",ROUNDDOWN($E2967*設定!$C$4,0),ROUNDDOWN($E2967*ROUND((9*$AA2967-9*$E2967)/(10*$E2967),4),0))))</f>
        <v/>
      </c>
      <c r="AD2967" s="13" t="n"/>
      <c r="AE2967" s="15">
        <f>IF($B2967="","",IF($AD2967&lt;&gt;"",$AD2967,IF($AC2967="","",IF($AC2967&lt;=設定!$C$3,0,$AC2967))))</f>
        <v/>
      </c>
      <c r="AF2967" s="14">
        <f>IF($B2967="","",IF(AND($AG2967&lt;&gt;"",$AI2967="",$AL2967=""),"保留中",IF($AL2967&lt;&gt;"",IF(N($AE2967)&gt;0,"支給済","不支給"),IF($AE2967="","要確認",IF($AE2967=0,"不支給","未処理")))))</f>
        <v/>
      </c>
      <c r="AG2967" s="12" t="n"/>
      <c r="AH2967" s="11" t="n"/>
      <c r="AI2967" s="11" t="n"/>
      <c r="AJ2967" s="11" t="n"/>
      <c r="AK2967" s="14">
        <f>IF(AND($AF2967="保留中",$AH2967&lt;&gt;""),TODAY()-$AH2967,"")</f>
        <v/>
      </c>
      <c r="AL2967" s="12" t="n"/>
      <c r="AM2967" s="14">
        <f>IF($B2967="","",IF($AQ2967="","対象年月が未入力／","")&amp;IF($B2967="","",IF($AP2967="","職員マスタに未登録の職員番号／",IF($AA2967="","標準報酬月額が未登録／","")&amp;IF(AND($AQ2967&lt;&gt;"",OR(AND(INDEX(職員マスタ!$G$6:$G$405,$AP2967)&lt;&gt;"",INDEX(職員マスタ!$G$6:$G$405,$AP2967)&gt;EOMONTH($AQ2967,0)),AND(INDEX(職員マスタ!$H$6:$H$405,$AP2967)&lt;&gt;"",INDEX(職員マスタ!$H$6:$H$405,$AP2967)&lt;$AQ2967))),"対象月が時短期間外／","")&amp;IF(AND(INDEX(職員マスタ!$K$6:$K$405,$AP2967)&lt;&gt;"",N($W2967)&gt;0,INDEX(職員マスタ!$K$6:$K$405,$AP2967)&lt;&gt;$W2967),"標準報酬月額が申請書と相違（台帳"&amp;TEXT(INDEX(職員マスタ!$K$6:$K$405,$AP2967),"#,##0")&amp;"円／申請書"&amp;TEXT($W2967,"#,##0")&amp;"円）／","")&amp;IF(AND(INDEX(職員マスタ!$F$6:$F$405,$AP2967)&lt;&gt;"",$AQ2967&lt;&gt;"",INDEX(職員マスタ!$F$6:$F$405,$AP2967)&lt;$AQ2967),"対象月に子が2歳到達済／","")&amp;IF(AND($H2967&lt;&gt;"",INDEX(職員マスタ!$B$6:$B$405,$AP2967)&lt;&gt;"",SUBSTITUTE(SUBSTITUTE($H2967," ","")," ","")&lt;&gt;SUBSTITUTE(SUBSTITUTE(INDEX(職員マスタ!$B$6:$B$405,$AP2967)," ","")," ","")),"氏名がマスタと相違／","")&amp;IF(AND($Q2967&lt;&gt;"",INDEX(職員マスタ!$E$6:$E$405,$AP2967)&lt;&gt;"",$Q2967&lt;&gt;INDEX(職員マスタ!$E$6:$E$405,$AP2967)),"子の生年月日がマスタと相違／","")&amp;IF(AND($L2967&lt;&gt;"",INDEX(職員マスタ!$G$6:$G$405,$AP2967)&lt;&gt;"",$L2967&lt;&gt;INDEX(職員マスタ!$G$6:$G$405,$AP2967)),"時短開始日がマスタと相違／","")&amp;IF(AND($M2967&lt;&gt;"",INDEX(職員マスタ!$H$6:$H$405,$AP2967)&lt;&gt;"",$M2967&lt;&gt;INDEX(職員マスタ!$H$6:$H$405,$AP2967)),"時短終了日がマスタと相違／","")))&amp;IF(AND($B2967&lt;&gt;"",$E2967=""),"報酬額が未入力／","")&amp;IF(N($U2967)&gt;0,"申請書に入力エラーが残っています／","")&amp;IF(AND($B2967&lt;&gt;"",$AQ2967&lt;&gt;""),IF(COUNTIFS($B$6:$B$3005,$B2967,$C$6:$C$3005,$C2967,$D$6:$D$3005,$D2967)&gt;1,"同じ月の請求が重複しています／",""),"")&amp;IF(AND(N($E2967)&gt;0,$AB2967&lt;&gt;"",$AB2967&lt;&gt;"×",$AE2967=0,$AD2967=""),"計算額が下限以下のため不支給／",""))</f>
        <v/>
      </c>
      <c r="AN2967" s="12" t="n"/>
      <c r="AO2967" s="14">
        <f>IF($AF2967="保留中",COUNTIF($AF$6:$AF2967,"保留中"),"")</f>
        <v/>
      </c>
      <c r="AP2967" s="14">
        <f>IF($AQ2967="","",IF(SUMPRODUCT(MAX((職員マスタ!$A$6:$A$405=$B2967)*(((職員マスタ!$G$6:$G$405="")+(職員マスタ!$G$6:$G$405&lt;=EOMONTH($AQ2967,0)))&gt;0)*(((職員マスタ!$H$6:$H$405="")+(職員マスタ!$H$6:$H$405&gt;=$AQ2967))&gt;0)*(ROW(職員マスタ!$A$6:$A$405)-5)))&gt;0,SUMPRODUCT(MAX((職員マスタ!$A$6:$A$405=$B2967)*(((職員マスタ!$G$6:$G$405="")+(職員マスタ!$G$6:$G$405&lt;=EOMONTH($AQ2967,0)))&gt;0)*(((職員マスタ!$H$6:$H$405="")+(職員マスタ!$H$6:$H$405&gt;=$AQ2967))&gt;0)*(ROW(職員マスタ!$A$6:$A$405)-5))),IFERROR(MATCH($B2967,職員マスタ!$A$6:$A$405,0),"")))</f>
        <v/>
      </c>
      <c r="AQ2967" s="16">
        <f>IF(OR($B2967="",$C2967="",$D2967=""),"",DATE($C2967+2018,$D2967,1))</f>
        <v/>
      </c>
    </row>
    <row r="2968">
      <c r="A2968" s="11" t="n"/>
      <c r="B2968" s="12" t="n"/>
      <c r="C2968" s="12" t="n"/>
      <c r="D2968" s="12" t="n"/>
      <c r="E2968" s="13" t="n"/>
      <c r="F2968" s="12" t="n"/>
      <c r="G2968" s="13" t="n"/>
      <c r="H2968" s="12" t="n"/>
      <c r="I2968" s="12" t="n"/>
      <c r="J2968" s="12" t="n"/>
      <c r="K2968" s="12" t="n"/>
      <c r="L2968" s="11" t="n"/>
      <c r="M2968" s="11" t="n"/>
      <c r="N2968" s="11" t="n"/>
      <c r="O2968" s="11" t="n"/>
      <c r="P2968" s="12" t="n"/>
      <c r="Q2968" s="11" t="n"/>
      <c r="R2968" s="12" t="n"/>
      <c r="S2968" s="11" t="n"/>
      <c r="T2968" s="12" t="n"/>
      <c r="U2968" s="12" t="n"/>
      <c r="V2968" s="12" t="n"/>
      <c r="W2968" s="13" t="n"/>
      <c r="X2968" s="14">
        <f>IF($AP2968="",IF($B2968="","",$H2968),IF(INDEX(職員マスタ!$B$6:$B$405,$AP2968)="",$H2968,INDEX(職員マスタ!$B$6:$B$405,$AP2968)))</f>
        <v/>
      </c>
      <c r="Y2968" s="14">
        <f>IF($AP2968="",IF($B2968="","",$R2968),IF(INDEX(職員マスタ!$C$6:$C$405,$AP2968)="",$R2968,INDEX(職員マスタ!$C$6:$C$405,$AP2968)))</f>
        <v/>
      </c>
      <c r="Z2968" s="14">
        <f>IF($AQ2968="","","R"&amp;$C2968&amp;"."&amp;$D2968)</f>
        <v/>
      </c>
      <c r="AA2968" s="15">
        <f>IF(IF($AP2968="",FALSE,INDEX(職員マスタ!$K$6:$K$405,$AP2968)&lt;&gt;""),INDEX(職員マスタ!$K$6:$K$405,$AP2968),IF(N($W2968)&gt;0,$W2968,""))</f>
        <v/>
      </c>
      <c r="AB2968" s="14">
        <f>IF(OR($E2968="",$AA2968=""),"",IF($E2968&gt;=$AA2968,"×",IF($E2968&gt;=$AA2968*設定!$C$5,"△","○")))</f>
        <v/>
      </c>
      <c r="AC2968" s="15">
        <f>IF($AB2968="","",IF($AB2968="×",0,IF($AB2968="○",ROUNDDOWN($E2968*設定!$C$4,0),ROUNDDOWN($E2968*ROUND((9*$AA2968-9*$E2968)/(10*$E2968),4),0))))</f>
        <v/>
      </c>
      <c r="AD2968" s="13" t="n"/>
      <c r="AE2968" s="15">
        <f>IF($B2968="","",IF($AD2968&lt;&gt;"",$AD2968,IF($AC2968="","",IF($AC2968&lt;=設定!$C$3,0,$AC2968))))</f>
        <v/>
      </c>
      <c r="AF2968" s="14">
        <f>IF($B2968="","",IF(AND($AG2968&lt;&gt;"",$AI2968="",$AL2968=""),"保留中",IF($AL2968&lt;&gt;"",IF(N($AE2968)&gt;0,"支給済","不支給"),IF($AE2968="","要確認",IF($AE2968=0,"不支給","未処理")))))</f>
        <v/>
      </c>
      <c r="AG2968" s="12" t="n"/>
      <c r="AH2968" s="11" t="n"/>
      <c r="AI2968" s="11" t="n"/>
      <c r="AJ2968" s="11" t="n"/>
      <c r="AK2968" s="14">
        <f>IF(AND($AF2968="保留中",$AH2968&lt;&gt;""),TODAY()-$AH2968,"")</f>
        <v/>
      </c>
      <c r="AL2968" s="12" t="n"/>
      <c r="AM2968" s="14">
        <f>IF($B2968="","",IF($AQ2968="","対象年月が未入力／","")&amp;IF($B2968="","",IF($AP2968="","職員マスタに未登録の職員番号／",IF($AA2968="","標準報酬月額が未登録／","")&amp;IF(AND($AQ2968&lt;&gt;"",OR(AND(INDEX(職員マスタ!$G$6:$G$405,$AP2968)&lt;&gt;"",INDEX(職員マスタ!$G$6:$G$405,$AP2968)&gt;EOMONTH($AQ2968,0)),AND(INDEX(職員マスタ!$H$6:$H$405,$AP2968)&lt;&gt;"",INDEX(職員マスタ!$H$6:$H$405,$AP2968)&lt;$AQ2968))),"対象月が時短期間外／","")&amp;IF(AND(INDEX(職員マスタ!$K$6:$K$405,$AP2968)&lt;&gt;"",N($W2968)&gt;0,INDEX(職員マスタ!$K$6:$K$405,$AP2968)&lt;&gt;$W2968),"標準報酬月額が申請書と相違（台帳"&amp;TEXT(INDEX(職員マスタ!$K$6:$K$405,$AP2968),"#,##0")&amp;"円／申請書"&amp;TEXT($W2968,"#,##0")&amp;"円）／","")&amp;IF(AND(INDEX(職員マスタ!$F$6:$F$405,$AP2968)&lt;&gt;"",$AQ2968&lt;&gt;"",INDEX(職員マスタ!$F$6:$F$405,$AP2968)&lt;$AQ2968),"対象月に子が2歳到達済／","")&amp;IF(AND($H2968&lt;&gt;"",INDEX(職員マスタ!$B$6:$B$405,$AP2968)&lt;&gt;"",SUBSTITUTE(SUBSTITUTE($H2968," ","")," ","")&lt;&gt;SUBSTITUTE(SUBSTITUTE(INDEX(職員マスタ!$B$6:$B$405,$AP2968)," ","")," ","")),"氏名がマスタと相違／","")&amp;IF(AND($Q2968&lt;&gt;"",INDEX(職員マスタ!$E$6:$E$405,$AP2968)&lt;&gt;"",$Q2968&lt;&gt;INDEX(職員マスタ!$E$6:$E$405,$AP2968)),"子の生年月日がマスタと相違／","")&amp;IF(AND($L2968&lt;&gt;"",INDEX(職員マスタ!$G$6:$G$405,$AP2968)&lt;&gt;"",$L2968&lt;&gt;INDEX(職員マスタ!$G$6:$G$405,$AP2968)),"時短開始日がマスタと相違／","")&amp;IF(AND($M2968&lt;&gt;"",INDEX(職員マスタ!$H$6:$H$405,$AP2968)&lt;&gt;"",$M2968&lt;&gt;INDEX(職員マスタ!$H$6:$H$405,$AP2968)),"時短終了日がマスタと相違／","")))&amp;IF(AND($B2968&lt;&gt;"",$E2968=""),"報酬額が未入力／","")&amp;IF(N($U2968)&gt;0,"申請書に入力エラーが残っています／","")&amp;IF(AND($B2968&lt;&gt;"",$AQ2968&lt;&gt;""),IF(COUNTIFS($B$6:$B$3005,$B2968,$C$6:$C$3005,$C2968,$D$6:$D$3005,$D2968)&gt;1,"同じ月の請求が重複しています／",""),"")&amp;IF(AND(N($E2968)&gt;0,$AB2968&lt;&gt;"",$AB2968&lt;&gt;"×",$AE2968=0,$AD2968=""),"計算額が下限以下のため不支給／",""))</f>
        <v/>
      </c>
      <c r="AN2968" s="12" t="n"/>
      <c r="AO2968" s="14">
        <f>IF($AF2968="保留中",COUNTIF($AF$6:$AF2968,"保留中"),"")</f>
        <v/>
      </c>
      <c r="AP2968" s="14">
        <f>IF($AQ2968="","",IF(SUMPRODUCT(MAX((職員マスタ!$A$6:$A$405=$B2968)*(((職員マスタ!$G$6:$G$405="")+(職員マスタ!$G$6:$G$405&lt;=EOMONTH($AQ2968,0)))&gt;0)*(((職員マスタ!$H$6:$H$405="")+(職員マスタ!$H$6:$H$405&gt;=$AQ2968))&gt;0)*(ROW(職員マスタ!$A$6:$A$405)-5)))&gt;0,SUMPRODUCT(MAX((職員マスタ!$A$6:$A$405=$B2968)*(((職員マスタ!$G$6:$G$405="")+(職員マスタ!$G$6:$G$405&lt;=EOMONTH($AQ2968,0)))&gt;0)*(((職員マスタ!$H$6:$H$405="")+(職員マスタ!$H$6:$H$405&gt;=$AQ2968))&gt;0)*(ROW(職員マスタ!$A$6:$A$405)-5))),IFERROR(MATCH($B2968,職員マスタ!$A$6:$A$405,0),"")))</f>
        <v/>
      </c>
      <c r="AQ2968" s="16">
        <f>IF(OR($B2968="",$C2968="",$D2968=""),"",DATE($C2968+2018,$D2968,1))</f>
        <v/>
      </c>
    </row>
    <row r="2969">
      <c r="A2969" s="11" t="n"/>
      <c r="B2969" s="12" t="n"/>
      <c r="C2969" s="12" t="n"/>
      <c r="D2969" s="12" t="n"/>
      <c r="E2969" s="13" t="n"/>
      <c r="F2969" s="12" t="n"/>
      <c r="G2969" s="13" t="n"/>
      <c r="H2969" s="12" t="n"/>
      <c r="I2969" s="12" t="n"/>
      <c r="J2969" s="12" t="n"/>
      <c r="K2969" s="12" t="n"/>
      <c r="L2969" s="11" t="n"/>
      <c r="M2969" s="11" t="n"/>
      <c r="N2969" s="11" t="n"/>
      <c r="O2969" s="11" t="n"/>
      <c r="P2969" s="12" t="n"/>
      <c r="Q2969" s="11" t="n"/>
      <c r="R2969" s="12" t="n"/>
      <c r="S2969" s="11" t="n"/>
      <c r="T2969" s="12" t="n"/>
      <c r="U2969" s="12" t="n"/>
      <c r="V2969" s="12" t="n"/>
      <c r="W2969" s="13" t="n"/>
      <c r="X2969" s="14">
        <f>IF($AP2969="",IF($B2969="","",$H2969),IF(INDEX(職員マスタ!$B$6:$B$405,$AP2969)="",$H2969,INDEX(職員マスタ!$B$6:$B$405,$AP2969)))</f>
        <v/>
      </c>
      <c r="Y2969" s="14">
        <f>IF($AP2969="",IF($B2969="","",$R2969),IF(INDEX(職員マスタ!$C$6:$C$405,$AP2969)="",$R2969,INDEX(職員マスタ!$C$6:$C$405,$AP2969)))</f>
        <v/>
      </c>
      <c r="Z2969" s="14">
        <f>IF($AQ2969="","","R"&amp;$C2969&amp;"."&amp;$D2969)</f>
        <v/>
      </c>
      <c r="AA2969" s="15">
        <f>IF(IF($AP2969="",FALSE,INDEX(職員マスタ!$K$6:$K$405,$AP2969)&lt;&gt;""),INDEX(職員マスタ!$K$6:$K$405,$AP2969),IF(N($W2969)&gt;0,$W2969,""))</f>
        <v/>
      </c>
      <c r="AB2969" s="14">
        <f>IF(OR($E2969="",$AA2969=""),"",IF($E2969&gt;=$AA2969,"×",IF($E2969&gt;=$AA2969*設定!$C$5,"△","○")))</f>
        <v/>
      </c>
      <c r="AC2969" s="15">
        <f>IF($AB2969="","",IF($AB2969="×",0,IF($AB2969="○",ROUNDDOWN($E2969*設定!$C$4,0),ROUNDDOWN($E2969*ROUND((9*$AA2969-9*$E2969)/(10*$E2969),4),0))))</f>
        <v/>
      </c>
      <c r="AD2969" s="13" t="n"/>
      <c r="AE2969" s="15">
        <f>IF($B2969="","",IF($AD2969&lt;&gt;"",$AD2969,IF($AC2969="","",IF($AC2969&lt;=設定!$C$3,0,$AC2969))))</f>
        <v/>
      </c>
      <c r="AF2969" s="14">
        <f>IF($B2969="","",IF(AND($AG2969&lt;&gt;"",$AI2969="",$AL2969=""),"保留中",IF($AL2969&lt;&gt;"",IF(N($AE2969)&gt;0,"支給済","不支給"),IF($AE2969="","要確認",IF($AE2969=0,"不支給","未処理")))))</f>
        <v/>
      </c>
      <c r="AG2969" s="12" t="n"/>
      <c r="AH2969" s="11" t="n"/>
      <c r="AI2969" s="11" t="n"/>
      <c r="AJ2969" s="11" t="n"/>
      <c r="AK2969" s="14">
        <f>IF(AND($AF2969="保留中",$AH2969&lt;&gt;""),TODAY()-$AH2969,"")</f>
        <v/>
      </c>
      <c r="AL2969" s="12" t="n"/>
      <c r="AM2969" s="14">
        <f>IF($B2969="","",IF($AQ2969="","対象年月が未入力／","")&amp;IF($B2969="","",IF($AP2969="","職員マスタに未登録の職員番号／",IF($AA2969="","標準報酬月額が未登録／","")&amp;IF(AND($AQ2969&lt;&gt;"",OR(AND(INDEX(職員マスタ!$G$6:$G$405,$AP2969)&lt;&gt;"",INDEX(職員マスタ!$G$6:$G$405,$AP2969)&gt;EOMONTH($AQ2969,0)),AND(INDEX(職員マスタ!$H$6:$H$405,$AP2969)&lt;&gt;"",INDEX(職員マスタ!$H$6:$H$405,$AP2969)&lt;$AQ2969))),"対象月が時短期間外／","")&amp;IF(AND(INDEX(職員マスタ!$K$6:$K$405,$AP2969)&lt;&gt;"",N($W2969)&gt;0,INDEX(職員マスタ!$K$6:$K$405,$AP2969)&lt;&gt;$W2969),"標準報酬月額が申請書と相違（台帳"&amp;TEXT(INDEX(職員マスタ!$K$6:$K$405,$AP2969),"#,##0")&amp;"円／申請書"&amp;TEXT($W2969,"#,##0")&amp;"円）／","")&amp;IF(AND(INDEX(職員マスタ!$F$6:$F$405,$AP2969)&lt;&gt;"",$AQ2969&lt;&gt;"",INDEX(職員マスタ!$F$6:$F$405,$AP2969)&lt;$AQ2969),"対象月に子が2歳到達済／","")&amp;IF(AND($H2969&lt;&gt;"",INDEX(職員マスタ!$B$6:$B$405,$AP2969)&lt;&gt;"",SUBSTITUTE(SUBSTITUTE($H2969," ","")," ","")&lt;&gt;SUBSTITUTE(SUBSTITUTE(INDEX(職員マスタ!$B$6:$B$405,$AP2969)," ","")," ","")),"氏名がマスタと相違／","")&amp;IF(AND($Q2969&lt;&gt;"",INDEX(職員マスタ!$E$6:$E$405,$AP2969)&lt;&gt;"",$Q2969&lt;&gt;INDEX(職員マスタ!$E$6:$E$405,$AP2969)),"子の生年月日がマスタと相違／","")&amp;IF(AND($L2969&lt;&gt;"",INDEX(職員マスタ!$G$6:$G$405,$AP2969)&lt;&gt;"",$L2969&lt;&gt;INDEX(職員マスタ!$G$6:$G$405,$AP2969)),"時短開始日がマスタと相違／","")&amp;IF(AND($M2969&lt;&gt;"",INDEX(職員マスタ!$H$6:$H$405,$AP2969)&lt;&gt;"",$M2969&lt;&gt;INDEX(職員マスタ!$H$6:$H$405,$AP2969)),"時短終了日がマスタと相違／","")))&amp;IF(AND($B2969&lt;&gt;"",$E2969=""),"報酬額が未入力／","")&amp;IF(N($U2969)&gt;0,"申請書に入力エラーが残っています／","")&amp;IF(AND($B2969&lt;&gt;"",$AQ2969&lt;&gt;""),IF(COUNTIFS($B$6:$B$3005,$B2969,$C$6:$C$3005,$C2969,$D$6:$D$3005,$D2969)&gt;1,"同じ月の請求が重複しています／",""),"")&amp;IF(AND(N($E2969)&gt;0,$AB2969&lt;&gt;"",$AB2969&lt;&gt;"×",$AE2969=0,$AD2969=""),"計算額が下限以下のため不支給／",""))</f>
        <v/>
      </c>
      <c r="AN2969" s="12" t="n"/>
      <c r="AO2969" s="14">
        <f>IF($AF2969="保留中",COUNTIF($AF$6:$AF2969,"保留中"),"")</f>
        <v/>
      </c>
      <c r="AP2969" s="14">
        <f>IF($AQ2969="","",IF(SUMPRODUCT(MAX((職員マスタ!$A$6:$A$405=$B2969)*(((職員マスタ!$G$6:$G$405="")+(職員マスタ!$G$6:$G$405&lt;=EOMONTH($AQ2969,0)))&gt;0)*(((職員マスタ!$H$6:$H$405="")+(職員マスタ!$H$6:$H$405&gt;=$AQ2969))&gt;0)*(ROW(職員マスタ!$A$6:$A$405)-5)))&gt;0,SUMPRODUCT(MAX((職員マスタ!$A$6:$A$405=$B2969)*(((職員マスタ!$G$6:$G$405="")+(職員マスタ!$G$6:$G$405&lt;=EOMONTH($AQ2969,0)))&gt;0)*(((職員マスタ!$H$6:$H$405="")+(職員マスタ!$H$6:$H$405&gt;=$AQ2969))&gt;0)*(ROW(職員マスタ!$A$6:$A$405)-5))),IFERROR(MATCH($B2969,職員マスタ!$A$6:$A$405,0),"")))</f>
        <v/>
      </c>
      <c r="AQ2969" s="16">
        <f>IF(OR($B2969="",$C2969="",$D2969=""),"",DATE($C2969+2018,$D2969,1))</f>
        <v/>
      </c>
    </row>
    <row r="2970">
      <c r="A2970" s="11" t="n"/>
      <c r="B2970" s="12" t="n"/>
      <c r="C2970" s="12" t="n"/>
      <c r="D2970" s="12" t="n"/>
      <c r="E2970" s="13" t="n"/>
      <c r="F2970" s="12" t="n"/>
      <c r="G2970" s="13" t="n"/>
      <c r="H2970" s="12" t="n"/>
      <c r="I2970" s="12" t="n"/>
      <c r="J2970" s="12" t="n"/>
      <c r="K2970" s="12" t="n"/>
      <c r="L2970" s="11" t="n"/>
      <c r="M2970" s="11" t="n"/>
      <c r="N2970" s="11" t="n"/>
      <c r="O2970" s="11" t="n"/>
      <c r="P2970" s="12" t="n"/>
      <c r="Q2970" s="11" t="n"/>
      <c r="R2970" s="12" t="n"/>
      <c r="S2970" s="11" t="n"/>
      <c r="T2970" s="12" t="n"/>
      <c r="U2970" s="12" t="n"/>
      <c r="V2970" s="12" t="n"/>
      <c r="W2970" s="13" t="n"/>
      <c r="X2970" s="14">
        <f>IF($AP2970="",IF($B2970="","",$H2970),IF(INDEX(職員マスタ!$B$6:$B$405,$AP2970)="",$H2970,INDEX(職員マスタ!$B$6:$B$405,$AP2970)))</f>
        <v/>
      </c>
      <c r="Y2970" s="14">
        <f>IF($AP2970="",IF($B2970="","",$R2970),IF(INDEX(職員マスタ!$C$6:$C$405,$AP2970)="",$R2970,INDEX(職員マスタ!$C$6:$C$405,$AP2970)))</f>
        <v/>
      </c>
      <c r="Z2970" s="14">
        <f>IF($AQ2970="","","R"&amp;$C2970&amp;"."&amp;$D2970)</f>
        <v/>
      </c>
      <c r="AA2970" s="15">
        <f>IF(IF($AP2970="",FALSE,INDEX(職員マスタ!$K$6:$K$405,$AP2970)&lt;&gt;""),INDEX(職員マスタ!$K$6:$K$405,$AP2970),IF(N($W2970)&gt;0,$W2970,""))</f>
        <v/>
      </c>
      <c r="AB2970" s="14">
        <f>IF(OR($E2970="",$AA2970=""),"",IF($E2970&gt;=$AA2970,"×",IF($E2970&gt;=$AA2970*設定!$C$5,"△","○")))</f>
        <v/>
      </c>
      <c r="AC2970" s="15">
        <f>IF($AB2970="","",IF($AB2970="×",0,IF($AB2970="○",ROUNDDOWN($E2970*設定!$C$4,0),ROUNDDOWN($E2970*ROUND((9*$AA2970-9*$E2970)/(10*$E2970),4),0))))</f>
        <v/>
      </c>
      <c r="AD2970" s="13" t="n"/>
      <c r="AE2970" s="15">
        <f>IF($B2970="","",IF($AD2970&lt;&gt;"",$AD2970,IF($AC2970="","",IF($AC2970&lt;=設定!$C$3,0,$AC2970))))</f>
        <v/>
      </c>
      <c r="AF2970" s="14">
        <f>IF($B2970="","",IF(AND($AG2970&lt;&gt;"",$AI2970="",$AL2970=""),"保留中",IF($AL2970&lt;&gt;"",IF(N($AE2970)&gt;0,"支給済","不支給"),IF($AE2970="","要確認",IF($AE2970=0,"不支給","未処理")))))</f>
        <v/>
      </c>
      <c r="AG2970" s="12" t="n"/>
      <c r="AH2970" s="11" t="n"/>
      <c r="AI2970" s="11" t="n"/>
      <c r="AJ2970" s="11" t="n"/>
      <c r="AK2970" s="14">
        <f>IF(AND($AF2970="保留中",$AH2970&lt;&gt;""),TODAY()-$AH2970,"")</f>
        <v/>
      </c>
      <c r="AL2970" s="12" t="n"/>
      <c r="AM2970" s="14">
        <f>IF($B2970="","",IF($AQ2970="","対象年月が未入力／","")&amp;IF($B2970="","",IF($AP2970="","職員マスタに未登録の職員番号／",IF($AA2970="","標準報酬月額が未登録／","")&amp;IF(AND($AQ2970&lt;&gt;"",OR(AND(INDEX(職員マスタ!$G$6:$G$405,$AP2970)&lt;&gt;"",INDEX(職員マスタ!$G$6:$G$405,$AP2970)&gt;EOMONTH($AQ2970,0)),AND(INDEX(職員マスタ!$H$6:$H$405,$AP2970)&lt;&gt;"",INDEX(職員マスタ!$H$6:$H$405,$AP2970)&lt;$AQ2970))),"対象月が時短期間外／","")&amp;IF(AND(INDEX(職員マスタ!$K$6:$K$405,$AP2970)&lt;&gt;"",N($W2970)&gt;0,INDEX(職員マスタ!$K$6:$K$405,$AP2970)&lt;&gt;$W2970),"標準報酬月額が申請書と相違（台帳"&amp;TEXT(INDEX(職員マスタ!$K$6:$K$405,$AP2970),"#,##0")&amp;"円／申請書"&amp;TEXT($W2970,"#,##0")&amp;"円）／","")&amp;IF(AND(INDEX(職員マスタ!$F$6:$F$405,$AP2970)&lt;&gt;"",$AQ2970&lt;&gt;"",INDEX(職員マスタ!$F$6:$F$405,$AP2970)&lt;$AQ2970),"対象月に子が2歳到達済／","")&amp;IF(AND($H2970&lt;&gt;"",INDEX(職員マスタ!$B$6:$B$405,$AP2970)&lt;&gt;"",SUBSTITUTE(SUBSTITUTE($H2970," ","")," ","")&lt;&gt;SUBSTITUTE(SUBSTITUTE(INDEX(職員マスタ!$B$6:$B$405,$AP2970)," ","")," ","")),"氏名がマスタと相違／","")&amp;IF(AND($Q2970&lt;&gt;"",INDEX(職員マスタ!$E$6:$E$405,$AP2970)&lt;&gt;"",$Q2970&lt;&gt;INDEX(職員マスタ!$E$6:$E$405,$AP2970)),"子の生年月日がマスタと相違／","")&amp;IF(AND($L2970&lt;&gt;"",INDEX(職員マスタ!$G$6:$G$405,$AP2970)&lt;&gt;"",$L2970&lt;&gt;INDEX(職員マスタ!$G$6:$G$405,$AP2970)),"時短開始日がマスタと相違／","")&amp;IF(AND($M2970&lt;&gt;"",INDEX(職員マスタ!$H$6:$H$405,$AP2970)&lt;&gt;"",$M2970&lt;&gt;INDEX(職員マスタ!$H$6:$H$405,$AP2970)),"時短終了日がマスタと相違／","")))&amp;IF(AND($B2970&lt;&gt;"",$E2970=""),"報酬額が未入力／","")&amp;IF(N($U2970)&gt;0,"申請書に入力エラーが残っています／","")&amp;IF(AND($B2970&lt;&gt;"",$AQ2970&lt;&gt;""),IF(COUNTIFS($B$6:$B$3005,$B2970,$C$6:$C$3005,$C2970,$D$6:$D$3005,$D2970)&gt;1,"同じ月の請求が重複しています／",""),"")&amp;IF(AND(N($E2970)&gt;0,$AB2970&lt;&gt;"",$AB2970&lt;&gt;"×",$AE2970=0,$AD2970=""),"計算額が下限以下のため不支給／",""))</f>
        <v/>
      </c>
      <c r="AN2970" s="12" t="n"/>
      <c r="AO2970" s="14">
        <f>IF($AF2970="保留中",COUNTIF($AF$6:$AF2970,"保留中"),"")</f>
        <v/>
      </c>
      <c r="AP2970" s="14">
        <f>IF($AQ2970="","",IF(SUMPRODUCT(MAX((職員マスタ!$A$6:$A$405=$B2970)*(((職員マスタ!$G$6:$G$405="")+(職員マスタ!$G$6:$G$405&lt;=EOMONTH($AQ2970,0)))&gt;0)*(((職員マスタ!$H$6:$H$405="")+(職員マスタ!$H$6:$H$405&gt;=$AQ2970))&gt;0)*(ROW(職員マスタ!$A$6:$A$405)-5)))&gt;0,SUMPRODUCT(MAX((職員マスタ!$A$6:$A$405=$B2970)*(((職員マスタ!$G$6:$G$405="")+(職員マスタ!$G$6:$G$405&lt;=EOMONTH($AQ2970,0)))&gt;0)*(((職員マスタ!$H$6:$H$405="")+(職員マスタ!$H$6:$H$405&gt;=$AQ2970))&gt;0)*(ROW(職員マスタ!$A$6:$A$405)-5))),IFERROR(MATCH($B2970,職員マスタ!$A$6:$A$405,0),"")))</f>
        <v/>
      </c>
      <c r="AQ2970" s="16">
        <f>IF(OR($B2970="",$C2970="",$D2970=""),"",DATE($C2970+2018,$D2970,1))</f>
        <v/>
      </c>
    </row>
    <row r="2971">
      <c r="A2971" s="11" t="n"/>
      <c r="B2971" s="12" t="n"/>
      <c r="C2971" s="12" t="n"/>
      <c r="D2971" s="12" t="n"/>
      <c r="E2971" s="13" t="n"/>
      <c r="F2971" s="12" t="n"/>
      <c r="G2971" s="13" t="n"/>
      <c r="H2971" s="12" t="n"/>
      <c r="I2971" s="12" t="n"/>
      <c r="J2971" s="12" t="n"/>
      <c r="K2971" s="12" t="n"/>
      <c r="L2971" s="11" t="n"/>
      <c r="M2971" s="11" t="n"/>
      <c r="N2971" s="11" t="n"/>
      <c r="O2971" s="11" t="n"/>
      <c r="P2971" s="12" t="n"/>
      <c r="Q2971" s="11" t="n"/>
      <c r="R2971" s="12" t="n"/>
      <c r="S2971" s="11" t="n"/>
      <c r="T2971" s="12" t="n"/>
      <c r="U2971" s="12" t="n"/>
      <c r="V2971" s="12" t="n"/>
      <c r="W2971" s="13" t="n"/>
      <c r="X2971" s="14">
        <f>IF($AP2971="",IF($B2971="","",$H2971),IF(INDEX(職員マスタ!$B$6:$B$405,$AP2971)="",$H2971,INDEX(職員マスタ!$B$6:$B$405,$AP2971)))</f>
        <v/>
      </c>
      <c r="Y2971" s="14">
        <f>IF($AP2971="",IF($B2971="","",$R2971),IF(INDEX(職員マスタ!$C$6:$C$405,$AP2971)="",$R2971,INDEX(職員マスタ!$C$6:$C$405,$AP2971)))</f>
        <v/>
      </c>
      <c r="Z2971" s="14">
        <f>IF($AQ2971="","","R"&amp;$C2971&amp;"."&amp;$D2971)</f>
        <v/>
      </c>
      <c r="AA2971" s="15">
        <f>IF(IF($AP2971="",FALSE,INDEX(職員マスタ!$K$6:$K$405,$AP2971)&lt;&gt;""),INDEX(職員マスタ!$K$6:$K$405,$AP2971),IF(N($W2971)&gt;0,$W2971,""))</f>
        <v/>
      </c>
      <c r="AB2971" s="14">
        <f>IF(OR($E2971="",$AA2971=""),"",IF($E2971&gt;=$AA2971,"×",IF($E2971&gt;=$AA2971*設定!$C$5,"△","○")))</f>
        <v/>
      </c>
      <c r="AC2971" s="15">
        <f>IF($AB2971="","",IF($AB2971="×",0,IF($AB2971="○",ROUNDDOWN($E2971*設定!$C$4,0),ROUNDDOWN($E2971*ROUND((9*$AA2971-9*$E2971)/(10*$E2971),4),0))))</f>
        <v/>
      </c>
      <c r="AD2971" s="13" t="n"/>
      <c r="AE2971" s="15">
        <f>IF($B2971="","",IF($AD2971&lt;&gt;"",$AD2971,IF($AC2971="","",IF($AC2971&lt;=設定!$C$3,0,$AC2971))))</f>
        <v/>
      </c>
      <c r="AF2971" s="14">
        <f>IF($B2971="","",IF(AND($AG2971&lt;&gt;"",$AI2971="",$AL2971=""),"保留中",IF($AL2971&lt;&gt;"",IF(N($AE2971)&gt;0,"支給済","不支給"),IF($AE2971="","要確認",IF($AE2971=0,"不支給","未処理")))))</f>
        <v/>
      </c>
      <c r="AG2971" s="12" t="n"/>
      <c r="AH2971" s="11" t="n"/>
      <c r="AI2971" s="11" t="n"/>
      <c r="AJ2971" s="11" t="n"/>
      <c r="AK2971" s="14">
        <f>IF(AND($AF2971="保留中",$AH2971&lt;&gt;""),TODAY()-$AH2971,"")</f>
        <v/>
      </c>
      <c r="AL2971" s="12" t="n"/>
      <c r="AM2971" s="14">
        <f>IF($B2971="","",IF($AQ2971="","対象年月が未入力／","")&amp;IF($B2971="","",IF($AP2971="","職員マスタに未登録の職員番号／",IF($AA2971="","標準報酬月額が未登録／","")&amp;IF(AND($AQ2971&lt;&gt;"",OR(AND(INDEX(職員マスタ!$G$6:$G$405,$AP2971)&lt;&gt;"",INDEX(職員マスタ!$G$6:$G$405,$AP2971)&gt;EOMONTH($AQ2971,0)),AND(INDEX(職員マスタ!$H$6:$H$405,$AP2971)&lt;&gt;"",INDEX(職員マスタ!$H$6:$H$405,$AP2971)&lt;$AQ2971))),"対象月が時短期間外／","")&amp;IF(AND(INDEX(職員マスタ!$K$6:$K$405,$AP2971)&lt;&gt;"",N($W2971)&gt;0,INDEX(職員マスタ!$K$6:$K$405,$AP2971)&lt;&gt;$W2971),"標準報酬月額が申請書と相違（台帳"&amp;TEXT(INDEX(職員マスタ!$K$6:$K$405,$AP2971),"#,##0")&amp;"円／申請書"&amp;TEXT($W2971,"#,##0")&amp;"円）／","")&amp;IF(AND(INDEX(職員マスタ!$F$6:$F$405,$AP2971)&lt;&gt;"",$AQ2971&lt;&gt;"",INDEX(職員マスタ!$F$6:$F$405,$AP2971)&lt;$AQ2971),"対象月に子が2歳到達済／","")&amp;IF(AND($H2971&lt;&gt;"",INDEX(職員マスタ!$B$6:$B$405,$AP2971)&lt;&gt;"",SUBSTITUTE(SUBSTITUTE($H2971," ","")," ","")&lt;&gt;SUBSTITUTE(SUBSTITUTE(INDEX(職員マスタ!$B$6:$B$405,$AP2971)," ","")," ","")),"氏名がマスタと相違／","")&amp;IF(AND($Q2971&lt;&gt;"",INDEX(職員マスタ!$E$6:$E$405,$AP2971)&lt;&gt;"",$Q2971&lt;&gt;INDEX(職員マスタ!$E$6:$E$405,$AP2971)),"子の生年月日がマスタと相違／","")&amp;IF(AND($L2971&lt;&gt;"",INDEX(職員マスタ!$G$6:$G$405,$AP2971)&lt;&gt;"",$L2971&lt;&gt;INDEX(職員マスタ!$G$6:$G$405,$AP2971)),"時短開始日がマスタと相違／","")&amp;IF(AND($M2971&lt;&gt;"",INDEX(職員マスタ!$H$6:$H$405,$AP2971)&lt;&gt;"",$M2971&lt;&gt;INDEX(職員マスタ!$H$6:$H$405,$AP2971)),"時短終了日がマスタと相違／","")))&amp;IF(AND($B2971&lt;&gt;"",$E2971=""),"報酬額が未入力／","")&amp;IF(N($U2971)&gt;0,"申請書に入力エラーが残っています／","")&amp;IF(AND($B2971&lt;&gt;"",$AQ2971&lt;&gt;""),IF(COUNTIFS($B$6:$B$3005,$B2971,$C$6:$C$3005,$C2971,$D$6:$D$3005,$D2971)&gt;1,"同じ月の請求が重複しています／",""),"")&amp;IF(AND(N($E2971)&gt;0,$AB2971&lt;&gt;"",$AB2971&lt;&gt;"×",$AE2971=0,$AD2971=""),"計算額が下限以下のため不支給／",""))</f>
        <v/>
      </c>
      <c r="AN2971" s="12" t="n"/>
      <c r="AO2971" s="14">
        <f>IF($AF2971="保留中",COUNTIF($AF$6:$AF2971,"保留中"),"")</f>
        <v/>
      </c>
      <c r="AP2971" s="14">
        <f>IF($AQ2971="","",IF(SUMPRODUCT(MAX((職員マスタ!$A$6:$A$405=$B2971)*(((職員マスタ!$G$6:$G$405="")+(職員マスタ!$G$6:$G$405&lt;=EOMONTH($AQ2971,0)))&gt;0)*(((職員マスタ!$H$6:$H$405="")+(職員マスタ!$H$6:$H$405&gt;=$AQ2971))&gt;0)*(ROW(職員マスタ!$A$6:$A$405)-5)))&gt;0,SUMPRODUCT(MAX((職員マスタ!$A$6:$A$405=$B2971)*(((職員マスタ!$G$6:$G$405="")+(職員マスタ!$G$6:$G$405&lt;=EOMONTH($AQ2971,0)))&gt;0)*(((職員マスタ!$H$6:$H$405="")+(職員マスタ!$H$6:$H$405&gt;=$AQ2971))&gt;0)*(ROW(職員マスタ!$A$6:$A$405)-5))),IFERROR(MATCH($B2971,職員マスタ!$A$6:$A$405,0),"")))</f>
        <v/>
      </c>
      <c r="AQ2971" s="16">
        <f>IF(OR($B2971="",$C2971="",$D2971=""),"",DATE($C2971+2018,$D2971,1))</f>
        <v/>
      </c>
    </row>
    <row r="2972">
      <c r="A2972" s="11" t="n"/>
      <c r="B2972" s="12" t="n"/>
      <c r="C2972" s="12" t="n"/>
      <c r="D2972" s="12" t="n"/>
      <c r="E2972" s="13" t="n"/>
      <c r="F2972" s="12" t="n"/>
      <c r="G2972" s="13" t="n"/>
      <c r="H2972" s="12" t="n"/>
      <c r="I2972" s="12" t="n"/>
      <c r="J2972" s="12" t="n"/>
      <c r="K2972" s="12" t="n"/>
      <c r="L2972" s="11" t="n"/>
      <c r="M2972" s="11" t="n"/>
      <c r="N2972" s="11" t="n"/>
      <c r="O2972" s="11" t="n"/>
      <c r="P2972" s="12" t="n"/>
      <c r="Q2972" s="11" t="n"/>
      <c r="R2972" s="12" t="n"/>
      <c r="S2972" s="11" t="n"/>
      <c r="T2972" s="12" t="n"/>
      <c r="U2972" s="12" t="n"/>
      <c r="V2972" s="12" t="n"/>
      <c r="W2972" s="13" t="n"/>
      <c r="X2972" s="14">
        <f>IF($AP2972="",IF($B2972="","",$H2972),IF(INDEX(職員マスタ!$B$6:$B$405,$AP2972)="",$H2972,INDEX(職員マスタ!$B$6:$B$405,$AP2972)))</f>
        <v/>
      </c>
      <c r="Y2972" s="14">
        <f>IF($AP2972="",IF($B2972="","",$R2972),IF(INDEX(職員マスタ!$C$6:$C$405,$AP2972)="",$R2972,INDEX(職員マスタ!$C$6:$C$405,$AP2972)))</f>
        <v/>
      </c>
      <c r="Z2972" s="14">
        <f>IF($AQ2972="","","R"&amp;$C2972&amp;"."&amp;$D2972)</f>
        <v/>
      </c>
      <c r="AA2972" s="15">
        <f>IF(IF($AP2972="",FALSE,INDEX(職員マスタ!$K$6:$K$405,$AP2972)&lt;&gt;""),INDEX(職員マスタ!$K$6:$K$405,$AP2972),IF(N($W2972)&gt;0,$W2972,""))</f>
        <v/>
      </c>
      <c r="AB2972" s="14">
        <f>IF(OR($E2972="",$AA2972=""),"",IF($E2972&gt;=$AA2972,"×",IF($E2972&gt;=$AA2972*設定!$C$5,"△","○")))</f>
        <v/>
      </c>
      <c r="AC2972" s="15">
        <f>IF($AB2972="","",IF($AB2972="×",0,IF($AB2972="○",ROUNDDOWN($E2972*設定!$C$4,0),ROUNDDOWN($E2972*ROUND((9*$AA2972-9*$E2972)/(10*$E2972),4),0))))</f>
        <v/>
      </c>
      <c r="AD2972" s="13" t="n"/>
      <c r="AE2972" s="15">
        <f>IF($B2972="","",IF($AD2972&lt;&gt;"",$AD2972,IF($AC2972="","",IF($AC2972&lt;=設定!$C$3,0,$AC2972))))</f>
        <v/>
      </c>
      <c r="AF2972" s="14">
        <f>IF($B2972="","",IF(AND($AG2972&lt;&gt;"",$AI2972="",$AL2972=""),"保留中",IF($AL2972&lt;&gt;"",IF(N($AE2972)&gt;0,"支給済","不支給"),IF($AE2972="","要確認",IF($AE2972=0,"不支給","未処理")))))</f>
        <v/>
      </c>
      <c r="AG2972" s="12" t="n"/>
      <c r="AH2972" s="11" t="n"/>
      <c r="AI2972" s="11" t="n"/>
      <c r="AJ2972" s="11" t="n"/>
      <c r="AK2972" s="14">
        <f>IF(AND($AF2972="保留中",$AH2972&lt;&gt;""),TODAY()-$AH2972,"")</f>
        <v/>
      </c>
      <c r="AL2972" s="12" t="n"/>
      <c r="AM2972" s="14">
        <f>IF($B2972="","",IF($AQ2972="","対象年月が未入力／","")&amp;IF($B2972="","",IF($AP2972="","職員マスタに未登録の職員番号／",IF($AA2972="","標準報酬月額が未登録／","")&amp;IF(AND($AQ2972&lt;&gt;"",OR(AND(INDEX(職員マスタ!$G$6:$G$405,$AP2972)&lt;&gt;"",INDEX(職員マスタ!$G$6:$G$405,$AP2972)&gt;EOMONTH($AQ2972,0)),AND(INDEX(職員マスタ!$H$6:$H$405,$AP2972)&lt;&gt;"",INDEX(職員マスタ!$H$6:$H$405,$AP2972)&lt;$AQ2972))),"対象月が時短期間外／","")&amp;IF(AND(INDEX(職員マスタ!$K$6:$K$405,$AP2972)&lt;&gt;"",N($W2972)&gt;0,INDEX(職員マスタ!$K$6:$K$405,$AP2972)&lt;&gt;$W2972),"標準報酬月額が申請書と相違（台帳"&amp;TEXT(INDEX(職員マスタ!$K$6:$K$405,$AP2972),"#,##0")&amp;"円／申請書"&amp;TEXT($W2972,"#,##0")&amp;"円）／","")&amp;IF(AND(INDEX(職員マスタ!$F$6:$F$405,$AP2972)&lt;&gt;"",$AQ2972&lt;&gt;"",INDEX(職員マスタ!$F$6:$F$405,$AP2972)&lt;$AQ2972),"対象月に子が2歳到達済／","")&amp;IF(AND($H2972&lt;&gt;"",INDEX(職員マスタ!$B$6:$B$405,$AP2972)&lt;&gt;"",SUBSTITUTE(SUBSTITUTE($H2972," ","")," ","")&lt;&gt;SUBSTITUTE(SUBSTITUTE(INDEX(職員マスタ!$B$6:$B$405,$AP2972)," ","")," ","")),"氏名がマスタと相違／","")&amp;IF(AND($Q2972&lt;&gt;"",INDEX(職員マスタ!$E$6:$E$405,$AP2972)&lt;&gt;"",$Q2972&lt;&gt;INDEX(職員マスタ!$E$6:$E$405,$AP2972)),"子の生年月日がマスタと相違／","")&amp;IF(AND($L2972&lt;&gt;"",INDEX(職員マスタ!$G$6:$G$405,$AP2972)&lt;&gt;"",$L2972&lt;&gt;INDEX(職員マスタ!$G$6:$G$405,$AP2972)),"時短開始日がマスタと相違／","")&amp;IF(AND($M2972&lt;&gt;"",INDEX(職員マスタ!$H$6:$H$405,$AP2972)&lt;&gt;"",$M2972&lt;&gt;INDEX(職員マスタ!$H$6:$H$405,$AP2972)),"時短終了日がマスタと相違／","")))&amp;IF(AND($B2972&lt;&gt;"",$E2972=""),"報酬額が未入力／","")&amp;IF(N($U2972)&gt;0,"申請書に入力エラーが残っています／","")&amp;IF(AND($B2972&lt;&gt;"",$AQ2972&lt;&gt;""),IF(COUNTIFS($B$6:$B$3005,$B2972,$C$6:$C$3005,$C2972,$D$6:$D$3005,$D2972)&gt;1,"同じ月の請求が重複しています／",""),"")&amp;IF(AND(N($E2972)&gt;0,$AB2972&lt;&gt;"",$AB2972&lt;&gt;"×",$AE2972=0,$AD2972=""),"計算額が下限以下のため不支給／",""))</f>
        <v/>
      </c>
      <c r="AN2972" s="12" t="n"/>
      <c r="AO2972" s="14">
        <f>IF($AF2972="保留中",COUNTIF($AF$6:$AF2972,"保留中"),"")</f>
        <v/>
      </c>
      <c r="AP2972" s="14">
        <f>IF($AQ2972="","",IF(SUMPRODUCT(MAX((職員マスタ!$A$6:$A$405=$B2972)*(((職員マスタ!$G$6:$G$405="")+(職員マスタ!$G$6:$G$405&lt;=EOMONTH($AQ2972,0)))&gt;0)*(((職員マスタ!$H$6:$H$405="")+(職員マスタ!$H$6:$H$405&gt;=$AQ2972))&gt;0)*(ROW(職員マスタ!$A$6:$A$405)-5)))&gt;0,SUMPRODUCT(MAX((職員マスタ!$A$6:$A$405=$B2972)*(((職員マスタ!$G$6:$G$405="")+(職員マスタ!$G$6:$G$405&lt;=EOMONTH($AQ2972,0)))&gt;0)*(((職員マスタ!$H$6:$H$405="")+(職員マスタ!$H$6:$H$405&gt;=$AQ2972))&gt;0)*(ROW(職員マスタ!$A$6:$A$405)-5))),IFERROR(MATCH($B2972,職員マスタ!$A$6:$A$405,0),"")))</f>
        <v/>
      </c>
      <c r="AQ2972" s="16">
        <f>IF(OR($B2972="",$C2972="",$D2972=""),"",DATE($C2972+2018,$D2972,1))</f>
        <v/>
      </c>
    </row>
    <row r="2973">
      <c r="A2973" s="11" t="n"/>
      <c r="B2973" s="12" t="n"/>
      <c r="C2973" s="12" t="n"/>
      <c r="D2973" s="12" t="n"/>
      <c r="E2973" s="13" t="n"/>
      <c r="F2973" s="12" t="n"/>
      <c r="G2973" s="13" t="n"/>
      <c r="H2973" s="12" t="n"/>
      <c r="I2973" s="12" t="n"/>
      <c r="J2973" s="12" t="n"/>
      <c r="K2973" s="12" t="n"/>
      <c r="L2973" s="11" t="n"/>
      <c r="M2973" s="11" t="n"/>
      <c r="N2973" s="11" t="n"/>
      <c r="O2973" s="11" t="n"/>
      <c r="P2973" s="12" t="n"/>
      <c r="Q2973" s="11" t="n"/>
      <c r="R2973" s="12" t="n"/>
      <c r="S2973" s="11" t="n"/>
      <c r="T2973" s="12" t="n"/>
      <c r="U2973" s="12" t="n"/>
      <c r="V2973" s="12" t="n"/>
      <c r="W2973" s="13" t="n"/>
      <c r="X2973" s="14">
        <f>IF($AP2973="",IF($B2973="","",$H2973),IF(INDEX(職員マスタ!$B$6:$B$405,$AP2973)="",$H2973,INDEX(職員マスタ!$B$6:$B$405,$AP2973)))</f>
        <v/>
      </c>
      <c r="Y2973" s="14">
        <f>IF($AP2973="",IF($B2973="","",$R2973),IF(INDEX(職員マスタ!$C$6:$C$405,$AP2973)="",$R2973,INDEX(職員マスタ!$C$6:$C$405,$AP2973)))</f>
        <v/>
      </c>
      <c r="Z2973" s="14">
        <f>IF($AQ2973="","","R"&amp;$C2973&amp;"."&amp;$D2973)</f>
        <v/>
      </c>
      <c r="AA2973" s="15">
        <f>IF(IF($AP2973="",FALSE,INDEX(職員マスタ!$K$6:$K$405,$AP2973)&lt;&gt;""),INDEX(職員マスタ!$K$6:$K$405,$AP2973),IF(N($W2973)&gt;0,$W2973,""))</f>
        <v/>
      </c>
      <c r="AB2973" s="14">
        <f>IF(OR($E2973="",$AA2973=""),"",IF($E2973&gt;=$AA2973,"×",IF($E2973&gt;=$AA2973*設定!$C$5,"△","○")))</f>
        <v/>
      </c>
      <c r="AC2973" s="15">
        <f>IF($AB2973="","",IF($AB2973="×",0,IF($AB2973="○",ROUNDDOWN($E2973*設定!$C$4,0),ROUNDDOWN($E2973*ROUND((9*$AA2973-9*$E2973)/(10*$E2973),4),0))))</f>
        <v/>
      </c>
      <c r="AD2973" s="13" t="n"/>
      <c r="AE2973" s="15">
        <f>IF($B2973="","",IF($AD2973&lt;&gt;"",$AD2973,IF($AC2973="","",IF($AC2973&lt;=設定!$C$3,0,$AC2973))))</f>
        <v/>
      </c>
      <c r="AF2973" s="14">
        <f>IF($B2973="","",IF(AND($AG2973&lt;&gt;"",$AI2973="",$AL2973=""),"保留中",IF($AL2973&lt;&gt;"",IF(N($AE2973)&gt;0,"支給済","不支給"),IF($AE2973="","要確認",IF($AE2973=0,"不支給","未処理")))))</f>
        <v/>
      </c>
      <c r="AG2973" s="12" t="n"/>
      <c r="AH2973" s="11" t="n"/>
      <c r="AI2973" s="11" t="n"/>
      <c r="AJ2973" s="11" t="n"/>
      <c r="AK2973" s="14">
        <f>IF(AND($AF2973="保留中",$AH2973&lt;&gt;""),TODAY()-$AH2973,"")</f>
        <v/>
      </c>
      <c r="AL2973" s="12" t="n"/>
      <c r="AM2973" s="14">
        <f>IF($B2973="","",IF($AQ2973="","対象年月が未入力／","")&amp;IF($B2973="","",IF($AP2973="","職員マスタに未登録の職員番号／",IF($AA2973="","標準報酬月額が未登録／","")&amp;IF(AND($AQ2973&lt;&gt;"",OR(AND(INDEX(職員マスタ!$G$6:$G$405,$AP2973)&lt;&gt;"",INDEX(職員マスタ!$G$6:$G$405,$AP2973)&gt;EOMONTH($AQ2973,0)),AND(INDEX(職員マスタ!$H$6:$H$405,$AP2973)&lt;&gt;"",INDEX(職員マスタ!$H$6:$H$405,$AP2973)&lt;$AQ2973))),"対象月が時短期間外／","")&amp;IF(AND(INDEX(職員マスタ!$K$6:$K$405,$AP2973)&lt;&gt;"",N($W2973)&gt;0,INDEX(職員マスタ!$K$6:$K$405,$AP2973)&lt;&gt;$W2973),"標準報酬月額が申請書と相違（台帳"&amp;TEXT(INDEX(職員マスタ!$K$6:$K$405,$AP2973),"#,##0")&amp;"円／申請書"&amp;TEXT($W2973,"#,##0")&amp;"円）／","")&amp;IF(AND(INDEX(職員マスタ!$F$6:$F$405,$AP2973)&lt;&gt;"",$AQ2973&lt;&gt;"",INDEX(職員マスタ!$F$6:$F$405,$AP2973)&lt;$AQ2973),"対象月に子が2歳到達済／","")&amp;IF(AND($H2973&lt;&gt;"",INDEX(職員マスタ!$B$6:$B$405,$AP2973)&lt;&gt;"",SUBSTITUTE(SUBSTITUTE($H2973," ","")," ","")&lt;&gt;SUBSTITUTE(SUBSTITUTE(INDEX(職員マスタ!$B$6:$B$405,$AP2973)," ","")," ","")),"氏名がマスタと相違／","")&amp;IF(AND($Q2973&lt;&gt;"",INDEX(職員マスタ!$E$6:$E$405,$AP2973)&lt;&gt;"",$Q2973&lt;&gt;INDEX(職員マスタ!$E$6:$E$405,$AP2973)),"子の生年月日がマスタと相違／","")&amp;IF(AND($L2973&lt;&gt;"",INDEX(職員マスタ!$G$6:$G$405,$AP2973)&lt;&gt;"",$L2973&lt;&gt;INDEX(職員マスタ!$G$6:$G$405,$AP2973)),"時短開始日がマスタと相違／","")&amp;IF(AND($M2973&lt;&gt;"",INDEX(職員マスタ!$H$6:$H$405,$AP2973)&lt;&gt;"",$M2973&lt;&gt;INDEX(職員マスタ!$H$6:$H$405,$AP2973)),"時短終了日がマスタと相違／","")))&amp;IF(AND($B2973&lt;&gt;"",$E2973=""),"報酬額が未入力／","")&amp;IF(N($U2973)&gt;0,"申請書に入力エラーが残っています／","")&amp;IF(AND($B2973&lt;&gt;"",$AQ2973&lt;&gt;""),IF(COUNTIFS($B$6:$B$3005,$B2973,$C$6:$C$3005,$C2973,$D$6:$D$3005,$D2973)&gt;1,"同じ月の請求が重複しています／",""),"")&amp;IF(AND(N($E2973)&gt;0,$AB2973&lt;&gt;"",$AB2973&lt;&gt;"×",$AE2973=0,$AD2973=""),"計算額が下限以下のため不支給／",""))</f>
        <v/>
      </c>
      <c r="AN2973" s="12" t="n"/>
      <c r="AO2973" s="14">
        <f>IF($AF2973="保留中",COUNTIF($AF$6:$AF2973,"保留中"),"")</f>
        <v/>
      </c>
      <c r="AP2973" s="14">
        <f>IF($AQ2973="","",IF(SUMPRODUCT(MAX((職員マスタ!$A$6:$A$405=$B2973)*(((職員マスタ!$G$6:$G$405="")+(職員マスタ!$G$6:$G$405&lt;=EOMONTH($AQ2973,0)))&gt;0)*(((職員マスタ!$H$6:$H$405="")+(職員マスタ!$H$6:$H$405&gt;=$AQ2973))&gt;0)*(ROW(職員マスタ!$A$6:$A$405)-5)))&gt;0,SUMPRODUCT(MAX((職員マスタ!$A$6:$A$405=$B2973)*(((職員マスタ!$G$6:$G$405="")+(職員マスタ!$G$6:$G$405&lt;=EOMONTH($AQ2973,0)))&gt;0)*(((職員マスタ!$H$6:$H$405="")+(職員マスタ!$H$6:$H$405&gt;=$AQ2973))&gt;0)*(ROW(職員マスタ!$A$6:$A$405)-5))),IFERROR(MATCH($B2973,職員マスタ!$A$6:$A$405,0),"")))</f>
        <v/>
      </c>
      <c r="AQ2973" s="16">
        <f>IF(OR($B2973="",$C2973="",$D2973=""),"",DATE($C2973+2018,$D2973,1))</f>
        <v/>
      </c>
    </row>
    <row r="2974">
      <c r="A2974" s="11" t="n"/>
      <c r="B2974" s="12" t="n"/>
      <c r="C2974" s="12" t="n"/>
      <c r="D2974" s="12" t="n"/>
      <c r="E2974" s="13" t="n"/>
      <c r="F2974" s="12" t="n"/>
      <c r="G2974" s="13" t="n"/>
      <c r="H2974" s="12" t="n"/>
      <c r="I2974" s="12" t="n"/>
      <c r="J2974" s="12" t="n"/>
      <c r="K2974" s="12" t="n"/>
      <c r="L2974" s="11" t="n"/>
      <c r="M2974" s="11" t="n"/>
      <c r="N2974" s="11" t="n"/>
      <c r="O2974" s="11" t="n"/>
      <c r="P2974" s="12" t="n"/>
      <c r="Q2974" s="11" t="n"/>
      <c r="R2974" s="12" t="n"/>
      <c r="S2974" s="11" t="n"/>
      <c r="T2974" s="12" t="n"/>
      <c r="U2974" s="12" t="n"/>
      <c r="V2974" s="12" t="n"/>
      <c r="W2974" s="13" t="n"/>
      <c r="X2974" s="14">
        <f>IF($AP2974="",IF($B2974="","",$H2974),IF(INDEX(職員マスタ!$B$6:$B$405,$AP2974)="",$H2974,INDEX(職員マスタ!$B$6:$B$405,$AP2974)))</f>
        <v/>
      </c>
      <c r="Y2974" s="14">
        <f>IF($AP2974="",IF($B2974="","",$R2974),IF(INDEX(職員マスタ!$C$6:$C$405,$AP2974)="",$R2974,INDEX(職員マスタ!$C$6:$C$405,$AP2974)))</f>
        <v/>
      </c>
      <c r="Z2974" s="14">
        <f>IF($AQ2974="","","R"&amp;$C2974&amp;"."&amp;$D2974)</f>
        <v/>
      </c>
      <c r="AA2974" s="15">
        <f>IF(IF($AP2974="",FALSE,INDEX(職員マスタ!$K$6:$K$405,$AP2974)&lt;&gt;""),INDEX(職員マスタ!$K$6:$K$405,$AP2974),IF(N($W2974)&gt;0,$W2974,""))</f>
        <v/>
      </c>
      <c r="AB2974" s="14">
        <f>IF(OR($E2974="",$AA2974=""),"",IF($E2974&gt;=$AA2974,"×",IF($E2974&gt;=$AA2974*設定!$C$5,"△","○")))</f>
        <v/>
      </c>
      <c r="AC2974" s="15">
        <f>IF($AB2974="","",IF($AB2974="×",0,IF($AB2974="○",ROUNDDOWN($E2974*設定!$C$4,0),ROUNDDOWN($E2974*ROUND((9*$AA2974-9*$E2974)/(10*$E2974),4),0))))</f>
        <v/>
      </c>
      <c r="AD2974" s="13" t="n"/>
      <c r="AE2974" s="15">
        <f>IF($B2974="","",IF($AD2974&lt;&gt;"",$AD2974,IF($AC2974="","",IF($AC2974&lt;=設定!$C$3,0,$AC2974))))</f>
        <v/>
      </c>
      <c r="AF2974" s="14">
        <f>IF($B2974="","",IF(AND($AG2974&lt;&gt;"",$AI2974="",$AL2974=""),"保留中",IF($AL2974&lt;&gt;"",IF(N($AE2974)&gt;0,"支給済","不支給"),IF($AE2974="","要確認",IF($AE2974=0,"不支給","未処理")))))</f>
        <v/>
      </c>
      <c r="AG2974" s="12" t="n"/>
      <c r="AH2974" s="11" t="n"/>
      <c r="AI2974" s="11" t="n"/>
      <c r="AJ2974" s="11" t="n"/>
      <c r="AK2974" s="14">
        <f>IF(AND($AF2974="保留中",$AH2974&lt;&gt;""),TODAY()-$AH2974,"")</f>
        <v/>
      </c>
      <c r="AL2974" s="12" t="n"/>
      <c r="AM2974" s="14">
        <f>IF($B2974="","",IF($AQ2974="","対象年月が未入力／","")&amp;IF($B2974="","",IF($AP2974="","職員マスタに未登録の職員番号／",IF($AA2974="","標準報酬月額が未登録／","")&amp;IF(AND($AQ2974&lt;&gt;"",OR(AND(INDEX(職員マスタ!$G$6:$G$405,$AP2974)&lt;&gt;"",INDEX(職員マスタ!$G$6:$G$405,$AP2974)&gt;EOMONTH($AQ2974,0)),AND(INDEX(職員マスタ!$H$6:$H$405,$AP2974)&lt;&gt;"",INDEX(職員マスタ!$H$6:$H$405,$AP2974)&lt;$AQ2974))),"対象月が時短期間外／","")&amp;IF(AND(INDEX(職員マスタ!$K$6:$K$405,$AP2974)&lt;&gt;"",N($W2974)&gt;0,INDEX(職員マスタ!$K$6:$K$405,$AP2974)&lt;&gt;$W2974),"標準報酬月額が申請書と相違（台帳"&amp;TEXT(INDEX(職員マスタ!$K$6:$K$405,$AP2974),"#,##0")&amp;"円／申請書"&amp;TEXT($W2974,"#,##0")&amp;"円）／","")&amp;IF(AND(INDEX(職員マスタ!$F$6:$F$405,$AP2974)&lt;&gt;"",$AQ2974&lt;&gt;"",INDEX(職員マスタ!$F$6:$F$405,$AP2974)&lt;$AQ2974),"対象月に子が2歳到達済／","")&amp;IF(AND($H2974&lt;&gt;"",INDEX(職員マスタ!$B$6:$B$405,$AP2974)&lt;&gt;"",SUBSTITUTE(SUBSTITUTE($H2974," ","")," ","")&lt;&gt;SUBSTITUTE(SUBSTITUTE(INDEX(職員マスタ!$B$6:$B$405,$AP2974)," ","")," ","")),"氏名がマスタと相違／","")&amp;IF(AND($Q2974&lt;&gt;"",INDEX(職員マスタ!$E$6:$E$405,$AP2974)&lt;&gt;"",$Q2974&lt;&gt;INDEX(職員マスタ!$E$6:$E$405,$AP2974)),"子の生年月日がマスタと相違／","")&amp;IF(AND($L2974&lt;&gt;"",INDEX(職員マスタ!$G$6:$G$405,$AP2974)&lt;&gt;"",$L2974&lt;&gt;INDEX(職員マスタ!$G$6:$G$405,$AP2974)),"時短開始日がマスタと相違／","")&amp;IF(AND($M2974&lt;&gt;"",INDEX(職員マスタ!$H$6:$H$405,$AP2974)&lt;&gt;"",$M2974&lt;&gt;INDEX(職員マスタ!$H$6:$H$405,$AP2974)),"時短終了日がマスタと相違／","")))&amp;IF(AND($B2974&lt;&gt;"",$E2974=""),"報酬額が未入力／","")&amp;IF(N($U2974)&gt;0,"申請書に入力エラーが残っています／","")&amp;IF(AND($B2974&lt;&gt;"",$AQ2974&lt;&gt;""),IF(COUNTIFS($B$6:$B$3005,$B2974,$C$6:$C$3005,$C2974,$D$6:$D$3005,$D2974)&gt;1,"同じ月の請求が重複しています／",""),"")&amp;IF(AND(N($E2974)&gt;0,$AB2974&lt;&gt;"",$AB2974&lt;&gt;"×",$AE2974=0,$AD2974=""),"計算額が下限以下のため不支給／",""))</f>
        <v/>
      </c>
      <c r="AN2974" s="12" t="n"/>
      <c r="AO2974" s="14">
        <f>IF($AF2974="保留中",COUNTIF($AF$6:$AF2974,"保留中"),"")</f>
        <v/>
      </c>
      <c r="AP2974" s="14">
        <f>IF($AQ2974="","",IF(SUMPRODUCT(MAX((職員マスタ!$A$6:$A$405=$B2974)*(((職員マスタ!$G$6:$G$405="")+(職員マスタ!$G$6:$G$405&lt;=EOMONTH($AQ2974,0)))&gt;0)*(((職員マスタ!$H$6:$H$405="")+(職員マスタ!$H$6:$H$405&gt;=$AQ2974))&gt;0)*(ROW(職員マスタ!$A$6:$A$405)-5)))&gt;0,SUMPRODUCT(MAX((職員マスタ!$A$6:$A$405=$B2974)*(((職員マスタ!$G$6:$G$405="")+(職員マスタ!$G$6:$G$405&lt;=EOMONTH($AQ2974,0)))&gt;0)*(((職員マスタ!$H$6:$H$405="")+(職員マスタ!$H$6:$H$405&gt;=$AQ2974))&gt;0)*(ROW(職員マスタ!$A$6:$A$405)-5))),IFERROR(MATCH($B2974,職員マスタ!$A$6:$A$405,0),"")))</f>
        <v/>
      </c>
      <c r="AQ2974" s="16">
        <f>IF(OR($B2974="",$C2974="",$D2974=""),"",DATE($C2974+2018,$D2974,1))</f>
        <v/>
      </c>
    </row>
    <row r="2975">
      <c r="A2975" s="11" t="n"/>
      <c r="B2975" s="12" t="n"/>
      <c r="C2975" s="12" t="n"/>
      <c r="D2975" s="12" t="n"/>
      <c r="E2975" s="13" t="n"/>
      <c r="F2975" s="12" t="n"/>
      <c r="G2975" s="13" t="n"/>
      <c r="H2975" s="12" t="n"/>
      <c r="I2975" s="12" t="n"/>
      <c r="J2975" s="12" t="n"/>
      <c r="K2975" s="12" t="n"/>
      <c r="L2975" s="11" t="n"/>
      <c r="M2975" s="11" t="n"/>
      <c r="N2975" s="11" t="n"/>
      <c r="O2975" s="11" t="n"/>
      <c r="P2975" s="12" t="n"/>
      <c r="Q2975" s="11" t="n"/>
      <c r="R2975" s="12" t="n"/>
      <c r="S2975" s="11" t="n"/>
      <c r="T2975" s="12" t="n"/>
      <c r="U2975" s="12" t="n"/>
      <c r="V2975" s="12" t="n"/>
      <c r="W2975" s="13" t="n"/>
      <c r="X2975" s="14">
        <f>IF($AP2975="",IF($B2975="","",$H2975),IF(INDEX(職員マスタ!$B$6:$B$405,$AP2975)="",$H2975,INDEX(職員マスタ!$B$6:$B$405,$AP2975)))</f>
        <v/>
      </c>
      <c r="Y2975" s="14">
        <f>IF($AP2975="",IF($B2975="","",$R2975),IF(INDEX(職員マスタ!$C$6:$C$405,$AP2975)="",$R2975,INDEX(職員マスタ!$C$6:$C$405,$AP2975)))</f>
        <v/>
      </c>
      <c r="Z2975" s="14">
        <f>IF($AQ2975="","","R"&amp;$C2975&amp;"."&amp;$D2975)</f>
        <v/>
      </c>
      <c r="AA2975" s="15">
        <f>IF(IF($AP2975="",FALSE,INDEX(職員マスタ!$K$6:$K$405,$AP2975)&lt;&gt;""),INDEX(職員マスタ!$K$6:$K$405,$AP2975),IF(N($W2975)&gt;0,$W2975,""))</f>
        <v/>
      </c>
      <c r="AB2975" s="14">
        <f>IF(OR($E2975="",$AA2975=""),"",IF($E2975&gt;=$AA2975,"×",IF($E2975&gt;=$AA2975*設定!$C$5,"△","○")))</f>
        <v/>
      </c>
      <c r="AC2975" s="15">
        <f>IF($AB2975="","",IF($AB2975="×",0,IF($AB2975="○",ROUNDDOWN($E2975*設定!$C$4,0),ROUNDDOWN($E2975*ROUND((9*$AA2975-9*$E2975)/(10*$E2975),4),0))))</f>
        <v/>
      </c>
      <c r="AD2975" s="13" t="n"/>
      <c r="AE2975" s="15">
        <f>IF($B2975="","",IF($AD2975&lt;&gt;"",$AD2975,IF($AC2975="","",IF($AC2975&lt;=設定!$C$3,0,$AC2975))))</f>
        <v/>
      </c>
      <c r="AF2975" s="14">
        <f>IF($B2975="","",IF(AND($AG2975&lt;&gt;"",$AI2975="",$AL2975=""),"保留中",IF($AL2975&lt;&gt;"",IF(N($AE2975)&gt;0,"支給済","不支給"),IF($AE2975="","要確認",IF($AE2975=0,"不支給","未処理")))))</f>
        <v/>
      </c>
      <c r="AG2975" s="12" t="n"/>
      <c r="AH2975" s="11" t="n"/>
      <c r="AI2975" s="11" t="n"/>
      <c r="AJ2975" s="11" t="n"/>
      <c r="AK2975" s="14">
        <f>IF(AND($AF2975="保留中",$AH2975&lt;&gt;""),TODAY()-$AH2975,"")</f>
        <v/>
      </c>
      <c r="AL2975" s="12" t="n"/>
      <c r="AM2975" s="14">
        <f>IF($B2975="","",IF($AQ2975="","対象年月が未入力／","")&amp;IF($B2975="","",IF($AP2975="","職員マスタに未登録の職員番号／",IF($AA2975="","標準報酬月額が未登録／","")&amp;IF(AND($AQ2975&lt;&gt;"",OR(AND(INDEX(職員マスタ!$G$6:$G$405,$AP2975)&lt;&gt;"",INDEX(職員マスタ!$G$6:$G$405,$AP2975)&gt;EOMONTH($AQ2975,0)),AND(INDEX(職員マスタ!$H$6:$H$405,$AP2975)&lt;&gt;"",INDEX(職員マスタ!$H$6:$H$405,$AP2975)&lt;$AQ2975))),"対象月が時短期間外／","")&amp;IF(AND(INDEX(職員マスタ!$K$6:$K$405,$AP2975)&lt;&gt;"",N($W2975)&gt;0,INDEX(職員マスタ!$K$6:$K$405,$AP2975)&lt;&gt;$W2975),"標準報酬月額が申請書と相違（台帳"&amp;TEXT(INDEX(職員マスタ!$K$6:$K$405,$AP2975),"#,##0")&amp;"円／申請書"&amp;TEXT($W2975,"#,##0")&amp;"円）／","")&amp;IF(AND(INDEX(職員マスタ!$F$6:$F$405,$AP2975)&lt;&gt;"",$AQ2975&lt;&gt;"",INDEX(職員マスタ!$F$6:$F$405,$AP2975)&lt;$AQ2975),"対象月に子が2歳到達済／","")&amp;IF(AND($H2975&lt;&gt;"",INDEX(職員マスタ!$B$6:$B$405,$AP2975)&lt;&gt;"",SUBSTITUTE(SUBSTITUTE($H2975," ","")," ","")&lt;&gt;SUBSTITUTE(SUBSTITUTE(INDEX(職員マスタ!$B$6:$B$405,$AP2975)," ","")," ","")),"氏名がマスタと相違／","")&amp;IF(AND($Q2975&lt;&gt;"",INDEX(職員マスタ!$E$6:$E$405,$AP2975)&lt;&gt;"",$Q2975&lt;&gt;INDEX(職員マスタ!$E$6:$E$405,$AP2975)),"子の生年月日がマスタと相違／","")&amp;IF(AND($L2975&lt;&gt;"",INDEX(職員マスタ!$G$6:$G$405,$AP2975)&lt;&gt;"",$L2975&lt;&gt;INDEX(職員マスタ!$G$6:$G$405,$AP2975)),"時短開始日がマスタと相違／","")&amp;IF(AND($M2975&lt;&gt;"",INDEX(職員マスタ!$H$6:$H$405,$AP2975)&lt;&gt;"",$M2975&lt;&gt;INDEX(職員マスタ!$H$6:$H$405,$AP2975)),"時短終了日がマスタと相違／","")))&amp;IF(AND($B2975&lt;&gt;"",$E2975=""),"報酬額が未入力／","")&amp;IF(N($U2975)&gt;0,"申請書に入力エラーが残っています／","")&amp;IF(AND($B2975&lt;&gt;"",$AQ2975&lt;&gt;""),IF(COUNTIFS($B$6:$B$3005,$B2975,$C$6:$C$3005,$C2975,$D$6:$D$3005,$D2975)&gt;1,"同じ月の請求が重複しています／",""),"")&amp;IF(AND(N($E2975)&gt;0,$AB2975&lt;&gt;"",$AB2975&lt;&gt;"×",$AE2975=0,$AD2975=""),"計算額が下限以下のため不支給／",""))</f>
        <v/>
      </c>
      <c r="AN2975" s="12" t="n"/>
      <c r="AO2975" s="14">
        <f>IF($AF2975="保留中",COUNTIF($AF$6:$AF2975,"保留中"),"")</f>
        <v/>
      </c>
      <c r="AP2975" s="14">
        <f>IF($AQ2975="","",IF(SUMPRODUCT(MAX((職員マスタ!$A$6:$A$405=$B2975)*(((職員マスタ!$G$6:$G$405="")+(職員マスタ!$G$6:$G$405&lt;=EOMONTH($AQ2975,0)))&gt;0)*(((職員マスタ!$H$6:$H$405="")+(職員マスタ!$H$6:$H$405&gt;=$AQ2975))&gt;0)*(ROW(職員マスタ!$A$6:$A$405)-5)))&gt;0,SUMPRODUCT(MAX((職員マスタ!$A$6:$A$405=$B2975)*(((職員マスタ!$G$6:$G$405="")+(職員マスタ!$G$6:$G$405&lt;=EOMONTH($AQ2975,0)))&gt;0)*(((職員マスタ!$H$6:$H$405="")+(職員マスタ!$H$6:$H$405&gt;=$AQ2975))&gt;0)*(ROW(職員マスタ!$A$6:$A$405)-5))),IFERROR(MATCH($B2975,職員マスタ!$A$6:$A$405,0),"")))</f>
        <v/>
      </c>
      <c r="AQ2975" s="16">
        <f>IF(OR($B2975="",$C2975="",$D2975=""),"",DATE($C2975+2018,$D2975,1))</f>
        <v/>
      </c>
    </row>
    <row r="2976">
      <c r="A2976" s="11" t="n"/>
      <c r="B2976" s="12" t="n"/>
      <c r="C2976" s="12" t="n"/>
      <c r="D2976" s="12" t="n"/>
      <c r="E2976" s="13" t="n"/>
      <c r="F2976" s="12" t="n"/>
      <c r="G2976" s="13" t="n"/>
      <c r="H2976" s="12" t="n"/>
      <c r="I2976" s="12" t="n"/>
      <c r="J2976" s="12" t="n"/>
      <c r="K2976" s="12" t="n"/>
      <c r="L2976" s="11" t="n"/>
      <c r="M2976" s="11" t="n"/>
      <c r="N2976" s="11" t="n"/>
      <c r="O2976" s="11" t="n"/>
      <c r="P2976" s="12" t="n"/>
      <c r="Q2976" s="11" t="n"/>
      <c r="R2976" s="12" t="n"/>
      <c r="S2976" s="11" t="n"/>
      <c r="T2976" s="12" t="n"/>
      <c r="U2976" s="12" t="n"/>
      <c r="V2976" s="12" t="n"/>
      <c r="W2976" s="13" t="n"/>
      <c r="X2976" s="14">
        <f>IF($AP2976="",IF($B2976="","",$H2976),IF(INDEX(職員マスタ!$B$6:$B$405,$AP2976)="",$H2976,INDEX(職員マスタ!$B$6:$B$405,$AP2976)))</f>
        <v/>
      </c>
      <c r="Y2976" s="14">
        <f>IF($AP2976="",IF($B2976="","",$R2976),IF(INDEX(職員マスタ!$C$6:$C$405,$AP2976)="",$R2976,INDEX(職員マスタ!$C$6:$C$405,$AP2976)))</f>
        <v/>
      </c>
      <c r="Z2976" s="14">
        <f>IF($AQ2976="","","R"&amp;$C2976&amp;"."&amp;$D2976)</f>
        <v/>
      </c>
      <c r="AA2976" s="15">
        <f>IF(IF($AP2976="",FALSE,INDEX(職員マスタ!$K$6:$K$405,$AP2976)&lt;&gt;""),INDEX(職員マスタ!$K$6:$K$405,$AP2976),IF(N($W2976)&gt;0,$W2976,""))</f>
        <v/>
      </c>
      <c r="AB2976" s="14">
        <f>IF(OR($E2976="",$AA2976=""),"",IF($E2976&gt;=$AA2976,"×",IF($E2976&gt;=$AA2976*設定!$C$5,"△","○")))</f>
        <v/>
      </c>
      <c r="AC2976" s="15">
        <f>IF($AB2976="","",IF($AB2976="×",0,IF($AB2976="○",ROUNDDOWN($E2976*設定!$C$4,0),ROUNDDOWN($E2976*ROUND((9*$AA2976-9*$E2976)/(10*$E2976),4),0))))</f>
        <v/>
      </c>
      <c r="AD2976" s="13" t="n"/>
      <c r="AE2976" s="15">
        <f>IF($B2976="","",IF($AD2976&lt;&gt;"",$AD2976,IF($AC2976="","",IF($AC2976&lt;=設定!$C$3,0,$AC2976))))</f>
        <v/>
      </c>
      <c r="AF2976" s="14">
        <f>IF($B2976="","",IF(AND($AG2976&lt;&gt;"",$AI2976="",$AL2976=""),"保留中",IF($AL2976&lt;&gt;"",IF(N($AE2976)&gt;0,"支給済","不支給"),IF($AE2976="","要確認",IF($AE2976=0,"不支給","未処理")))))</f>
        <v/>
      </c>
      <c r="AG2976" s="12" t="n"/>
      <c r="AH2976" s="11" t="n"/>
      <c r="AI2976" s="11" t="n"/>
      <c r="AJ2976" s="11" t="n"/>
      <c r="AK2976" s="14">
        <f>IF(AND($AF2976="保留中",$AH2976&lt;&gt;""),TODAY()-$AH2976,"")</f>
        <v/>
      </c>
      <c r="AL2976" s="12" t="n"/>
      <c r="AM2976" s="14">
        <f>IF($B2976="","",IF($AQ2976="","対象年月が未入力／","")&amp;IF($B2976="","",IF($AP2976="","職員マスタに未登録の職員番号／",IF($AA2976="","標準報酬月額が未登録／","")&amp;IF(AND($AQ2976&lt;&gt;"",OR(AND(INDEX(職員マスタ!$G$6:$G$405,$AP2976)&lt;&gt;"",INDEX(職員マスタ!$G$6:$G$405,$AP2976)&gt;EOMONTH($AQ2976,0)),AND(INDEX(職員マスタ!$H$6:$H$405,$AP2976)&lt;&gt;"",INDEX(職員マスタ!$H$6:$H$405,$AP2976)&lt;$AQ2976))),"対象月が時短期間外／","")&amp;IF(AND(INDEX(職員マスタ!$K$6:$K$405,$AP2976)&lt;&gt;"",N($W2976)&gt;0,INDEX(職員マスタ!$K$6:$K$405,$AP2976)&lt;&gt;$W2976),"標準報酬月額が申請書と相違（台帳"&amp;TEXT(INDEX(職員マスタ!$K$6:$K$405,$AP2976),"#,##0")&amp;"円／申請書"&amp;TEXT($W2976,"#,##0")&amp;"円）／","")&amp;IF(AND(INDEX(職員マスタ!$F$6:$F$405,$AP2976)&lt;&gt;"",$AQ2976&lt;&gt;"",INDEX(職員マスタ!$F$6:$F$405,$AP2976)&lt;$AQ2976),"対象月に子が2歳到達済／","")&amp;IF(AND($H2976&lt;&gt;"",INDEX(職員マスタ!$B$6:$B$405,$AP2976)&lt;&gt;"",SUBSTITUTE(SUBSTITUTE($H2976," ","")," ","")&lt;&gt;SUBSTITUTE(SUBSTITUTE(INDEX(職員マスタ!$B$6:$B$405,$AP2976)," ","")," ","")),"氏名がマスタと相違／","")&amp;IF(AND($Q2976&lt;&gt;"",INDEX(職員マスタ!$E$6:$E$405,$AP2976)&lt;&gt;"",$Q2976&lt;&gt;INDEX(職員マスタ!$E$6:$E$405,$AP2976)),"子の生年月日がマスタと相違／","")&amp;IF(AND($L2976&lt;&gt;"",INDEX(職員マスタ!$G$6:$G$405,$AP2976)&lt;&gt;"",$L2976&lt;&gt;INDEX(職員マスタ!$G$6:$G$405,$AP2976)),"時短開始日がマスタと相違／","")&amp;IF(AND($M2976&lt;&gt;"",INDEX(職員マスタ!$H$6:$H$405,$AP2976)&lt;&gt;"",$M2976&lt;&gt;INDEX(職員マスタ!$H$6:$H$405,$AP2976)),"時短終了日がマスタと相違／","")))&amp;IF(AND($B2976&lt;&gt;"",$E2976=""),"報酬額が未入力／","")&amp;IF(N($U2976)&gt;0,"申請書に入力エラーが残っています／","")&amp;IF(AND($B2976&lt;&gt;"",$AQ2976&lt;&gt;""),IF(COUNTIFS($B$6:$B$3005,$B2976,$C$6:$C$3005,$C2976,$D$6:$D$3005,$D2976)&gt;1,"同じ月の請求が重複しています／",""),"")&amp;IF(AND(N($E2976)&gt;0,$AB2976&lt;&gt;"",$AB2976&lt;&gt;"×",$AE2976=0,$AD2976=""),"計算額が下限以下のため不支給／",""))</f>
        <v/>
      </c>
      <c r="AN2976" s="12" t="n"/>
      <c r="AO2976" s="14">
        <f>IF($AF2976="保留中",COUNTIF($AF$6:$AF2976,"保留中"),"")</f>
        <v/>
      </c>
      <c r="AP2976" s="14">
        <f>IF($AQ2976="","",IF(SUMPRODUCT(MAX((職員マスタ!$A$6:$A$405=$B2976)*(((職員マスタ!$G$6:$G$405="")+(職員マスタ!$G$6:$G$405&lt;=EOMONTH($AQ2976,0)))&gt;0)*(((職員マスタ!$H$6:$H$405="")+(職員マスタ!$H$6:$H$405&gt;=$AQ2976))&gt;0)*(ROW(職員マスタ!$A$6:$A$405)-5)))&gt;0,SUMPRODUCT(MAX((職員マスタ!$A$6:$A$405=$B2976)*(((職員マスタ!$G$6:$G$405="")+(職員マスタ!$G$6:$G$405&lt;=EOMONTH($AQ2976,0)))&gt;0)*(((職員マスタ!$H$6:$H$405="")+(職員マスタ!$H$6:$H$405&gt;=$AQ2976))&gt;0)*(ROW(職員マスタ!$A$6:$A$405)-5))),IFERROR(MATCH($B2976,職員マスタ!$A$6:$A$405,0),"")))</f>
        <v/>
      </c>
      <c r="AQ2976" s="16">
        <f>IF(OR($B2976="",$C2976="",$D2976=""),"",DATE($C2976+2018,$D2976,1))</f>
        <v/>
      </c>
    </row>
    <row r="2977">
      <c r="A2977" s="11" t="n"/>
      <c r="B2977" s="12" t="n"/>
      <c r="C2977" s="12" t="n"/>
      <c r="D2977" s="12" t="n"/>
      <c r="E2977" s="13" t="n"/>
      <c r="F2977" s="12" t="n"/>
      <c r="G2977" s="13" t="n"/>
      <c r="H2977" s="12" t="n"/>
      <c r="I2977" s="12" t="n"/>
      <c r="J2977" s="12" t="n"/>
      <c r="K2977" s="12" t="n"/>
      <c r="L2977" s="11" t="n"/>
      <c r="M2977" s="11" t="n"/>
      <c r="N2977" s="11" t="n"/>
      <c r="O2977" s="11" t="n"/>
      <c r="P2977" s="12" t="n"/>
      <c r="Q2977" s="11" t="n"/>
      <c r="R2977" s="12" t="n"/>
      <c r="S2977" s="11" t="n"/>
      <c r="T2977" s="12" t="n"/>
      <c r="U2977" s="12" t="n"/>
      <c r="V2977" s="12" t="n"/>
      <c r="W2977" s="13" t="n"/>
      <c r="X2977" s="14">
        <f>IF($AP2977="",IF($B2977="","",$H2977),IF(INDEX(職員マスタ!$B$6:$B$405,$AP2977)="",$H2977,INDEX(職員マスタ!$B$6:$B$405,$AP2977)))</f>
        <v/>
      </c>
      <c r="Y2977" s="14">
        <f>IF($AP2977="",IF($B2977="","",$R2977),IF(INDEX(職員マスタ!$C$6:$C$405,$AP2977)="",$R2977,INDEX(職員マスタ!$C$6:$C$405,$AP2977)))</f>
        <v/>
      </c>
      <c r="Z2977" s="14">
        <f>IF($AQ2977="","","R"&amp;$C2977&amp;"."&amp;$D2977)</f>
        <v/>
      </c>
      <c r="AA2977" s="15">
        <f>IF(IF($AP2977="",FALSE,INDEX(職員マスタ!$K$6:$K$405,$AP2977)&lt;&gt;""),INDEX(職員マスタ!$K$6:$K$405,$AP2977),IF(N($W2977)&gt;0,$W2977,""))</f>
        <v/>
      </c>
      <c r="AB2977" s="14">
        <f>IF(OR($E2977="",$AA2977=""),"",IF($E2977&gt;=$AA2977,"×",IF($E2977&gt;=$AA2977*設定!$C$5,"△","○")))</f>
        <v/>
      </c>
      <c r="AC2977" s="15">
        <f>IF($AB2977="","",IF($AB2977="×",0,IF($AB2977="○",ROUNDDOWN($E2977*設定!$C$4,0),ROUNDDOWN($E2977*ROUND((9*$AA2977-9*$E2977)/(10*$E2977),4),0))))</f>
        <v/>
      </c>
      <c r="AD2977" s="13" t="n"/>
      <c r="AE2977" s="15">
        <f>IF($B2977="","",IF($AD2977&lt;&gt;"",$AD2977,IF($AC2977="","",IF($AC2977&lt;=設定!$C$3,0,$AC2977))))</f>
        <v/>
      </c>
      <c r="AF2977" s="14">
        <f>IF($B2977="","",IF(AND($AG2977&lt;&gt;"",$AI2977="",$AL2977=""),"保留中",IF($AL2977&lt;&gt;"",IF(N($AE2977)&gt;0,"支給済","不支給"),IF($AE2977="","要確認",IF($AE2977=0,"不支給","未処理")))))</f>
        <v/>
      </c>
      <c r="AG2977" s="12" t="n"/>
      <c r="AH2977" s="11" t="n"/>
      <c r="AI2977" s="11" t="n"/>
      <c r="AJ2977" s="11" t="n"/>
      <c r="AK2977" s="14">
        <f>IF(AND($AF2977="保留中",$AH2977&lt;&gt;""),TODAY()-$AH2977,"")</f>
        <v/>
      </c>
      <c r="AL2977" s="12" t="n"/>
      <c r="AM2977" s="14">
        <f>IF($B2977="","",IF($AQ2977="","対象年月が未入力／","")&amp;IF($B2977="","",IF($AP2977="","職員マスタに未登録の職員番号／",IF($AA2977="","標準報酬月額が未登録／","")&amp;IF(AND($AQ2977&lt;&gt;"",OR(AND(INDEX(職員マスタ!$G$6:$G$405,$AP2977)&lt;&gt;"",INDEX(職員マスタ!$G$6:$G$405,$AP2977)&gt;EOMONTH($AQ2977,0)),AND(INDEX(職員マスタ!$H$6:$H$405,$AP2977)&lt;&gt;"",INDEX(職員マスタ!$H$6:$H$405,$AP2977)&lt;$AQ2977))),"対象月が時短期間外／","")&amp;IF(AND(INDEX(職員マスタ!$K$6:$K$405,$AP2977)&lt;&gt;"",N($W2977)&gt;0,INDEX(職員マスタ!$K$6:$K$405,$AP2977)&lt;&gt;$W2977),"標準報酬月額が申請書と相違（台帳"&amp;TEXT(INDEX(職員マスタ!$K$6:$K$405,$AP2977),"#,##0")&amp;"円／申請書"&amp;TEXT($W2977,"#,##0")&amp;"円）／","")&amp;IF(AND(INDEX(職員マスタ!$F$6:$F$405,$AP2977)&lt;&gt;"",$AQ2977&lt;&gt;"",INDEX(職員マスタ!$F$6:$F$405,$AP2977)&lt;$AQ2977),"対象月に子が2歳到達済／","")&amp;IF(AND($H2977&lt;&gt;"",INDEX(職員マスタ!$B$6:$B$405,$AP2977)&lt;&gt;"",SUBSTITUTE(SUBSTITUTE($H2977," ","")," ","")&lt;&gt;SUBSTITUTE(SUBSTITUTE(INDEX(職員マスタ!$B$6:$B$405,$AP2977)," ","")," ","")),"氏名がマスタと相違／","")&amp;IF(AND($Q2977&lt;&gt;"",INDEX(職員マスタ!$E$6:$E$405,$AP2977)&lt;&gt;"",$Q2977&lt;&gt;INDEX(職員マスタ!$E$6:$E$405,$AP2977)),"子の生年月日がマスタと相違／","")&amp;IF(AND($L2977&lt;&gt;"",INDEX(職員マスタ!$G$6:$G$405,$AP2977)&lt;&gt;"",$L2977&lt;&gt;INDEX(職員マスタ!$G$6:$G$405,$AP2977)),"時短開始日がマスタと相違／","")&amp;IF(AND($M2977&lt;&gt;"",INDEX(職員マスタ!$H$6:$H$405,$AP2977)&lt;&gt;"",$M2977&lt;&gt;INDEX(職員マスタ!$H$6:$H$405,$AP2977)),"時短終了日がマスタと相違／","")))&amp;IF(AND($B2977&lt;&gt;"",$E2977=""),"報酬額が未入力／","")&amp;IF(N($U2977)&gt;0,"申請書に入力エラーが残っています／","")&amp;IF(AND($B2977&lt;&gt;"",$AQ2977&lt;&gt;""),IF(COUNTIFS($B$6:$B$3005,$B2977,$C$6:$C$3005,$C2977,$D$6:$D$3005,$D2977)&gt;1,"同じ月の請求が重複しています／",""),"")&amp;IF(AND(N($E2977)&gt;0,$AB2977&lt;&gt;"",$AB2977&lt;&gt;"×",$AE2977=0,$AD2977=""),"計算額が下限以下のため不支給／",""))</f>
        <v/>
      </c>
      <c r="AN2977" s="12" t="n"/>
      <c r="AO2977" s="14">
        <f>IF($AF2977="保留中",COUNTIF($AF$6:$AF2977,"保留中"),"")</f>
        <v/>
      </c>
      <c r="AP2977" s="14">
        <f>IF($AQ2977="","",IF(SUMPRODUCT(MAX((職員マスタ!$A$6:$A$405=$B2977)*(((職員マスタ!$G$6:$G$405="")+(職員マスタ!$G$6:$G$405&lt;=EOMONTH($AQ2977,0)))&gt;0)*(((職員マスタ!$H$6:$H$405="")+(職員マスタ!$H$6:$H$405&gt;=$AQ2977))&gt;0)*(ROW(職員マスタ!$A$6:$A$405)-5)))&gt;0,SUMPRODUCT(MAX((職員マスタ!$A$6:$A$405=$B2977)*(((職員マスタ!$G$6:$G$405="")+(職員マスタ!$G$6:$G$405&lt;=EOMONTH($AQ2977,0)))&gt;0)*(((職員マスタ!$H$6:$H$405="")+(職員マスタ!$H$6:$H$405&gt;=$AQ2977))&gt;0)*(ROW(職員マスタ!$A$6:$A$405)-5))),IFERROR(MATCH($B2977,職員マスタ!$A$6:$A$405,0),"")))</f>
        <v/>
      </c>
      <c r="AQ2977" s="16">
        <f>IF(OR($B2977="",$C2977="",$D2977=""),"",DATE($C2977+2018,$D2977,1))</f>
        <v/>
      </c>
    </row>
    <row r="2978">
      <c r="A2978" s="11" t="n"/>
      <c r="B2978" s="12" t="n"/>
      <c r="C2978" s="12" t="n"/>
      <c r="D2978" s="12" t="n"/>
      <c r="E2978" s="13" t="n"/>
      <c r="F2978" s="12" t="n"/>
      <c r="G2978" s="13" t="n"/>
      <c r="H2978" s="12" t="n"/>
      <c r="I2978" s="12" t="n"/>
      <c r="J2978" s="12" t="n"/>
      <c r="K2978" s="12" t="n"/>
      <c r="L2978" s="11" t="n"/>
      <c r="M2978" s="11" t="n"/>
      <c r="N2978" s="11" t="n"/>
      <c r="O2978" s="11" t="n"/>
      <c r="P2978" s="12" t="n"/>
      <c r="Q2978" s="11" t="n"/>
      <c r="R2978" s="12" t="n"/>
      <c r="S2978" s="11" t="n"/>
      <c r="T2978" s="12" t="n"/>
      <c r="U2978" s="12" t="n"/>
      <c r="V2978" s="12" t="n"/>
      <c r="W2978" s="13" t="n"/>
      <c r="X2978" s="14">
        <f>IF($AP2978="",IF($B2978="","",$H2978),IF(INDEX(職員マスタ!$B$6:$B$405,$AP2978)="",$H2978,INDEX(職員マスタ!$B$6:$B$405,$AP2978)))</f>
        <v/>
      </c>
      <c r="Y2978" s="14">
        <f>IF($AP2978="",IF($B2978="","",$R2978),IF(INDEX(職員マスタ!$C$6:$C$405,$AP2978)="",$R2978,INDEX(職員マスタ!$C$6:$C$405,$AP2978)))</f>
        <v/>
      </c>
      <c r="Z2978" s="14">
        <f>IF($AQ2978="","","R"&amp;$C2978&amp;"."&amp;$D2978)</f>
        <v/>
      </c>
      <c r="AA2978" s="15">
        <f>IF(IF($AP2978="",FALSE,INDEX(職員マスタ!$K$6:$K$405,$AP2978)&lt;&gt;""),INDEX(職員マスタ!$K$6:$K$405,$AP2978),IF(N($W2978)&gt;0,$W2978,""))</f>
        <v/>
      </c>
      <c r="AB2978" s="14">
        <f>IF(OR($E2978="",$AA2978=""),"",IF($E2978&gt;=$AA2978,"×",IF($E2978&gt;=$AA2978*設定!$C$5,"△","○")))</f>
        <v/>
      </c>
      <c r="AC2978" s="15">
        <f>IF($AB2978="","",IF($AB2978="×",0,IF($AB2978="○",ROUNDDOWN($E2978*設定!$C$4,0),ROUNDDOWN($E2978*ROUND((9*$AA2978-9*$E2978)/(10*$E2978),4),0))))</f>
        <v/>
      </c>
      <c r="AD2978" s="13" t="n"/>
      <c r="AE2978" s="15">
        <f>IF($B2978="","",IF($AD2978&lt;&gt;"",$AD2978,IF($AC2978="","",IF($AC2978&lt;=設定!$C$3,0,$AC2978))))</f>
        <v/>
      </c>
      <c r="AF2978" s="14">
        <f>IF($B2978="","",IF(AND($AG2978&lt;&gt;"",$AI2978="",$AL2978=""),"保留中",IF($AL2978&lt;&gt;"",IF(N($AE2978)&gt;0,"支給済","不支給"),IF($AE2978="","要確認",IF($AE2978=0,"不支給","未処理")))))</f>
        <v/>
      </c>
      <c r="AG2978" s="12" t="n"/>
      <c r="AH2978" s="11" t="n"/>
      <c r="AI2978" s="11" t="n"/>
      <c r="AJ2978" s="11" t="n"/>
      <c r="AK2978" s="14">
        <f>IF(AND($AF2978="保留中",$AH2978&lt;&gt;""),TODAY()-$AH2978,"")</f>
        <v/>
      </c>
      <c r="AL2978" s="12" t="n"/>
      <c r="AM2978" s="14">
        <f>IF($B2978="","",IF($AQ2978="","対象年月が未入力／","")&amp;IF($B2978="","",IF($AP2978="","職員マスタに未登録の職員番号／",IF($AA2978="","標準報酬月額が未登録／","")&amp;IF(AND($AQ2978&lt;&gt;"",OR(AND(INDEX(職員マスタ!$G$6:$G$405,$AP2978)&lt;&gt;"",INDEX(職員マスタ!$G$6:$G$405,$AP2978)&gt;EOMONTH($AQ2978,0)),AND(INDEX(職員マスタ!$H$6:$H$405,$AP2978)&lt;&gt;"",INDEX(職員マスタ!$H$6:$H$405,$AP2978)&lt;$AQ2978))),"対象月が時短期間外／","")&amp;IF(AND(INDEX(職員マスタ!$K$6:$K$405,$AP2978)&lt;&gt;"",N($W2978)&gt;0,INDEX(職員マスタ!$K$6:$K$405,$AP2978)&lt;&gt;$W2978),"標準報酬月額が申請書と相違（台帳"&amp;TEXT(INDEX(職員マスタ!$K$6:$K$405,$AP2978),"#,##0")&amp;"円／申請書"&amp;TEXT($W2978,"#,##0")&amp;"円）／","")&amp;IF(AND(INDEX(職員マスタ!$F$6:$F$405,$AP2978)&lt;&gt;"",$AQ2978&lt;&gt;"",INDEX(職員マスタ!$F$6:$F$405,$AP2978)&lt;$AQ2978),"対象月に子が2歳到達済／","")&amp;IF(AND($H2978&lt;&gt;"",INDEX(職員マスタ!$B$6:$B$405,$AP2978)&lt;&gt;"",SUBSTITUTE(SUBSTITUTE($H2978," ","")," ","")&lt;&gt;SUBSTITUTE(SUBSTITUTE(INDEX(職員マスタ!$B$6:$B$405,$AP2978)," ","")," ","")),"氏名がマスタと相違／","")&amp;IF(AND($Q2978&lt;&gt;"",INDEX(職員マスタ!$E$6:$E$405,$AP2978)&lt;&gt;"",$Q2978&lt;&gt;INDEX(職員マスタ!$E$6:$E$405,$AP2978)),"子の生年月日がマスタと相違／","")&amp;IF(AND($L2978&lt;&gt;"",INDEX(職員マスタ!$G$6:$G$405,$AP2978)&lt;&gt;"",$L2978&lt;&gt;INDEX(職員マスタ!$G$6:$G$405,$AP2978)),"時短開始日がマスタと相違／","")&amp;IF(AND($M2978&lt;&gt;"",INDEX(職員マスタ!$H$6:$H$405,$AP2978)&lt;&gt;"",$M2978&lt;&gt;INDEX(職員マスタ!$H$6:$H$405,$AP2978)),"時短終了日がマスタと相違／","")))&amp;IF(AND($B2978&lt;&gt;"",$E2978=""),"報酬額が未入力／","")&amp;IF(N($U2978)&gt;0,"申請書に入力エラーが残っています／","")&amp;IF(AND($B2978&lt;&gt;"",$AQ2978&lt;&gt;""),IF(COUNTIFS($B$6:$B$3005,$B2978,$C$6:$C$3005,$C2978,$D$6:$D$3005,$D2978)&gt;1,"同じ月の請求が重複しています／",""),"")&amp;IF(AND(N($E2978)&gt;0,$AB2978&lt;&gt;"",$AB2978&lt;&gt;"×",$AE2978=0,$AD2978=""),"計算額が下限以下のため不支給／",""))</f>
        <v/>
      </c>
      <c r="AN2978" s="12" t="n"/>
      <c r="AO2978" s="14">
        <f>IF($AF2978="保留中",COUNTIF($AF$6:$AF2978,"保留中"),"")</f>
        <v/>
      </c>
      <c r="AP2978" s="14">
        <f>IF($AQ2978="","",IF(SUMPRODUCT(MAX((職員マスタ!$A$6:$A$405=$B2978)*(((職員マスタ!$G$6:$G$405="")+(職員マスタ!$G$6:$G$405&lt;=EOMONTH($AQ2978,0)))&gt;0)*(((職員マスタ!$H$6:$H$405="")+(職員マスタ!$H$6:$H$405&gt;=$AQ2978))&gt;0)*(ROW(職員マスタ!$A$6:$A$405)-5)))&gt;0,SUMPRODUCT(MAX((職員マスタ!$A$6:$A$405=$B2978)*(((職員マスタ!$G$6:$G$405="")+(職員マスタ!$G$6:$G$405&lt;=EOMONTH($AQ2978,0)))&gt;0)*(((職員マスタ!$H$6:$H$405="")+(職員マスタ!$H$6:$H$405&gt;=$AQ2978))&gt;0)*(ROW(職員マスタ!$A$6:$A$405)-5))),IFERROR(MATCH($B2978,職員マスタ!$A$6:$A$405,0),"")))</f>
        <v/>
      </c>
      <c r="AQ2978" s="16">
        <f>IF(OR($B2978="",$C2978="",$D2978=""),"",DATE($C2978+2018,$D2978,1))</f>
        <v/>
      </c>
    </row>
    <row r="2979">
      <c r="A2979" s="11" t="n"/>
      <c r="B2979" s="12" t="n"/>
      <c r="C2979" s="12" t="n"/>
      <c r="D2979" s="12" t="n"/>
      <c r="E2979" s="13" t="n"/>
      <c r="F2979" s="12" t="n"/>
      <c r="G2979" s="13" t="n"/>
      <c r="H2979" s="12" t="n"/>
      <c r="I2979" s="12" t="n"/>
      <c r="J2979" s="12" t="n"/>
      <c r="K2979" s="12" t="n"/>
      <c r="L2979" s="11" t="n"/>
      <c r="M2979" s="11" t="n"/>
      <c r="N2979" s="11" t="n"/>
      <c r="O2979" s="11" t="n"/>
      <c r="P2979" s="12" t="n"/>
      <c r="Q2979" s="11" t="n"/>
      <c r="R2979" s="12" t="n"/>
      <c r="S2979" s="11" t="n"/>
      <c r="T2979" s="12" t="n"/>
      <c r="U2979" s="12" t="n"/>
      <c r="V2979" s="12" t="n"/>
      <c r="W2979" s="13" t="n"/>
      <c r="X2979" s="14">
        <f>IF($AP2979="",IF($B2979="","",$H2979),IF(INDEX(職員マスタ!$B$6:$B$405,$AP2979)="",$H2979,INDEX(職員マスタ!$B$6:$B$405,$AP2979)))</f>
        <v/>
      </c>
      <c r="Y2979" s="14">
        <f>IF($AP2979="",IF($B2979="","",$R2979),IF(INDEX(職員マスタ!$C$6:$C$405,$AP2979)="",$R2979,INDEX(職員マスタ!$C$6:$C$405,$AP2979)))</f>
        <v/>
      </c>
      <c r="Z2979" s="14">
        <f>IF($AQ2979="","","R"&amp;$C2979&amp;"."&amp;$D2979)</f>
        <v/>
      </c>
      <c r="AA2979" s="15">
        <f>IF(IF($AP2979="",FALSE,INDEX(職員マスタ!$K$6:$K$405,$AP2979)&lt;&gt;""),INDEX(職員マスタ!$K$6:$K$405,$AP2979),IF(N($W2979)&gt;0,$W2979,""))</f>
        <v/>
      </c>
      <c r="AB2979" s="14">
        <f>IF(OR($E2979="",$AA2979=""),"",IF($E2979&gt;=$AA2979,"×",IF($E2979&gt;=$AA2979*設定!$C$5,"△","○")))</f>
        <v/>
      </c>
      <c r="AC2979" s="15">
        <f>IF($AB2979="","",IF($AB2979="×",0,IF($AB2979="○",ROUNDDOWN($E2979*設定!$C$4,0),ROUNDDOWN($E2979*ROUND((9*$AA2979-9*$E2979)/(10*$E2979),4),0))))</f>
        <v/>
      </c>
      <c r="AD2979" s="13" t="n"/>
      <c r="AE2979" s="15">
        <f>IF($B2979="","",IF($AD2979&lt;&gt;"",$AD2979,IF($AC2979="","",IF($AC2979&lt;=設定!$C$3,0,$AC2979))))</f>
        <v/>
      </c>
      <c r="AF2979" s="14">
        <f>IF($B2979="","",IF(AND($AG2979&lt;&gt;"",$AI2979="",$AL2979=""),"保留中",IF($AL2979&lt;&gt;"",IF(N($AE2979)&gt;0,"支給済","不支給"),IF($AE2979="","要確認",IF($AE2979=0,"不支給","未処理")))))</f>
        <v/>
      </c>
      <c r="AG2979" s="12" t="n"/>
      <c r="AH2979" s="11" t="n"/>
      <c r="AI2979" s="11" t="n"/>
      <c r="AJ2979" s="11" t="n"/>
      <c r="AK2979" s="14">
        <f>IF(AND($AF2979="保留中",$AH2979&lt;&gt;""),TODAY()-$AH2979,"")</f>
        <v/>
      </c>
      <c r="AL2979" s="12" t="n"/>
      <c r="AM2979" s="14">
        <f>IF($B2979="","",IF($AQ2979="","対象年月が未入力／","")&amp;IF($B2979="","",IF($AP2979="","職員マスタに未登録の職員番号／",IF($AA2979="","標準報酬月額が未登録／","")&amp;IF(AND($AQ2979&lt;&gt;"",OR(AND(INDEX(職員マスタ!$G$6:$G$405,$AP2979)&lt;&gt;"",INDEX(職員マスタ!$G$6:$G$405,$AP2979)&gt;EOMONTH($AQ2979,0)),AND(INDEX(職員マスタ!$H$6:$H$405,$AP2979)&lt;&gt;"",INDEX(職員マスタ!$H$6:$H$405,$AP2979)&lt;$AQ2979))),"対象月が時短期間外／","")&amp;IF(AND(INDEX(職員マスタ!$K$6:$K$405,$AP2979)&lt;&gt;"",N($W2979)&gt;0,INDEX(職員マスタ!$K$6:$K$405,$AP2979)&lt;&gt;$W2979),"標準報酬月額が申請書と相違（台帳"&amp;TEXT(INDEX(職員マスタ!$K$6:$K$405,$AP2979),"#,##0")&amp;"円／申請書"&amp;TEXT($W2979,"#,##0")&amp;"円）／","")&amp;IF(AND(INDEX(職員マスタ!$F$6:$F$405,$AP2979)&lt;&gt;"",$AQ2979&lt;&gt;"",INDEX(職員マスタ!$F$6:$F$405,$AP2979)&lt;$AQ2979),"対象月に子が2歳到達済／","")&amp;IF(AND($H2979&lt;&gt;"",INDEX(職員マスタ!$B$6:$B$405,$AP2979)&lt;&gt;"",SUBSTITUTE(SUBSTITUTE($H2979," ","")," ","")&lt;&gt;SUBSTITUTE(SUBSTITUTE(INDEX(職員マスタ!$B$6:$B$405,$AP2979)," ","")," ","")),"氏名がマスタと相違／","")&amp;IF(AND($Q2979&lt;&gt;"",INDEX(職員マスタ!$E$6:$E$405,$AP2979)&lt;&gt;"",$Q2979&lt;&gt;INDEX(職員マスタ!$E$6:$E$405,$AP2979)),"子の生年月日がマスタと相違／","")&amp;IF(AND($L2979&lt;&gt;"",INDEX(職員マスタ!$G$6:$G$405,$AP2979)&lt;&gt;"",$L2979&lt;&gt;INDEX(職員マスタ!$G$6:$G$405,$AP2979)),"時短開始日がマスタと相違／","")&amp;IF(AND($M2979&lt;&gt;"",INDEX(職員マスタ!$H$6:$H$405,$AP2979)&lt;&gt;"",$M2979&lt;&gt;INDEX(職員マスタ!$H$6:$H$405,$AP2979)),"時短終了日がマスタと相違／","")))&amp;IF(AND($B2979&lt;&gt;"",$E2979=""),"報酬額が未入力／","")&amp;IF(N($U2979)&gt;0,"申請書に入力エラーが残っています／","")&amp;IF(AND($B2979&lt;&gt;"",$AQ2979&lt;&gt;""),IF(COUNTIFS($B$6:$B$3005,$B2979,$C$6:$C$3005,$C2979,$D$6:$D$3005,$D2979)&gt;1,"同じ月の請求が重複しています／",""),"")&amp;IF(AND(N($E2979)&gt;0,$AB2979&lt;&gt;"",$AB2979&lt;&gt;"×",$AE2979=0,$AD2979=""),"計算額が下限以下のため不支給／",""))</f>
        <v/>
      </c>
      <c r="AN2979" s="12" t="n"/>
      <c r="AO2979" s="14">
        <f>IF($AF2979="保留中",COUNTIF($AF$6:$AF2979,"保留中"),"")</f>
        <v/>
      </c>
      <c r="AP2979" s="14">
        <f>IF($AQ2979="","",IF(SUMPRODUCT(MAX((職員マスタ!$A$6:$A$405=$B2979)*(((職員マスタ!$G$6:$G$405="")+(職員マスタ!$G$6:$G$405&lt;=EOMONTH($AQ2979,0)))&gt;0)*(((職員マスタ!$H$6:$H$405="")+(職員マスタ!$H$6:$H$405&gt;=$AQ2979))&gt;0)*(ROW(職員マスタ!$A$6:$A$405)-5)))&gt;0,SUMPRODUCT(MAX((職員マスタ!$A$6:$A$405=$B2979)*(((職員マスタ!$G$6:$G$405="")+(職員マスタ!$G$6:$G$405&lt;=EOMONTH($AQ2979,0)))&gt;0)*(((職員マスタ!$H$6:$H$405="")+(職員マスタ!$H$6:$H$405&gt;=$AQ2979))&gt;0)*(ROW(職員マスタ!$A$6:$A$405)-5))),IFERROR(MATCH($B2979,職員マスタ!$A$6:$A$405,0),"")))</f>
        <v/>
      </c>
      <c r="AQ2979" s="16">
        <f>IF(OR($B2979="",$C2979="",$D2979=""),"",DATE($C2979+2018,$D2979,1))</f>
        <v/>
      </c>
    </row>
    <row r="2980">
      <c r="A2980" s="11" t="n"/>
      <c r="B2980" s="12" t="n"/>
      <c r="C2980" s="12" t="n"/>
      <c r="D2980" s="12" t="n"/>
      <c r="E2980" s="13" t="n"/>
      <c r="F2980" s="12" t="n"/>
      <c r="G2980" s="13" t="n"/>
      <c r="H2980" s="12" t="n"/>
      <c r="I2980" s="12" t="n"/>
      <c r="J2980" s="12" t="n"/>
      <c r="K2980" s="12" t="n"/>
      <c r="L2980" s="11" t="n"/>
      <c r="M2980" s="11" t="n"/>
      <c r="N2980" s="11" t="n"/>
      <c r="O2980" s="11" t="n"/>
      <c r="P2980" s="12" t="n"/>
      <c r="Q2980" s="11" t="n"/>
      <c r="R2980" s="12" t="n"/>
      <c r="S2980" s="11" t="n"/>
      <c r="T2980" s="12" t="n"/>
      <c r="U2980" s="12" t="n"/>
      <c r="V2980" s="12" t="n"/>
      <c r="W2980" s="13" t="n"/>
      <c r="X2980" s="14">
        <f>IF($AP2980="",IF($B2980="","",$H2980),IF(INDEX(職員マスタ!$B$6:$B$405,$AP2980)="",$H2980,INDEX(職員マスタ!$B$6:$B$405,$AP2980)))</f>
        <v/>
      </c>
      <c r="Y2980" s="14">
        <f>IF($AP2980="",IF($B2980="","",$R2980),IF(INDEX(職員マスタ!$C$6:$C$405,$AP2980)="",$R2980,INDEX(職員マスタ!$C$6:$C$405,$AP2980)))</f>
        <v/>
      </c>
      <c r="Z2980" s="14">
        <f>IF($AQ2980="","","R"&amp;$C2980&amp;"."&amp;$D2980)</f>
        <v/>
      </c>
      <c r="AA2980" s="15">
        <f>IF(IF($AP2980="",FALSE,INDEX(職員マスタ!$K$6:$K$405,$AP2980)&lt;&gt;""),INDEX(職員マスタ!$K$6:$K$405,$AP2980),IF(N($W2980)&gt;0,$W2980,""))</f>
        <v/>
      </c>
      <c r="AB2980" s="14">
        <f>IF(OR($E2980="",$AA2980=""),"",IF($E2980&gt;=$AA2980,"×",IF($E2980&gt;=$AA2980*設定!$C$5,"△","○")))</f>
        <v/>
      </c>
      <c r="AC2980" s="15">
        <f>IF($AB2980="","",IF($AB2980="×",0,IF($AB2980="○",ROUNDDOWN($E2980*設定!$C$4,0),ROUNDDOWN($E2980*ROUND((9*$AA2980-9*$E2980)/(10*$E2980),4),0))))</f>
        <v/>
      </c>
      <c r="AD2980" s="13" t="n"/>
      <c r="AE2980" s="15">
        <f>IF($B2980="","",IF($AD2980&lt;&gt;"",$AD2980,IF($AC2980="","",IF($AC2980&lt;=設定!$C$3,0,$AC2980))))</f>
        <v/>
      </c>
      <c r="AF2980" s="14">
        <f>IF($B2980="","",IF(AND($AG2980&lt;&gt;"",$AI2980="",$AL2980=""),"保留中",IF($AL2980&lt;&gt;"",IF(N($AE2980)&gt;0,"支給済","不支給"),IF($AE2980="","要確認",IF($AE2980=0,"不支給","未処理")))))</f>
        <v/>
      </c>
      <c r="AG2980" s="12" t="n"/>
      <c r="AH2980" s="11" t="n"/>
      <c r="AI2980" s="11" t="n"/>
      <c r="AJ2980" s="11" t="n"/>
      <c r="AK2980" s="14">
        <f>IF(AND($AF2980="保留中",$AH2980&lt;&gt;""),TODAY()-$AH2980,"")</f>
        <v/>
      </c>
      <c r="AL2980" s="12" t="n"/>
      <c r="AM2980" s="14">
        <f>IF($B2980="","",IF($AQ2980="","対象年月が未入力／","")&amp;IF($B2980="","",IF($AP2980="","職員マスタに未登録の職員番号／",IF($AA2980="","標準報酬月額が未登録／","")&amp;IF(AND($AQ2980&lt;&gt;"",OR(AND(INDEX(職員マスタ!$G$6:$G$405,$AP2980)&lt;&gt;"",INDEX(職員マスタ!$G$6:$G$405,$AP2980)&gt;EOMONTH($AQ2980,0)),AND(INDEX(職員マスタ!$H$6:$H$405,$AP2980)&lt;&gt;"",INDEX(職員マスタ!$H$6:$H$405,$AP2980)&lt;$AQ2980))),"対象月が時短期間外／","")&amp;IF(AND(INDEX(職員マスタ!$K$6:$K$405,$AP2980)&lt;&gt;"",N($W2980)&gt;0,INDEX(職員マスタ!$K$6:$K$405,$AP2980)&lt;&gt;$W2980),"標準報酬月額が申請書と相違（台帳"&amp;TEXT(INDEX(職員マスタ!$K$6:$K$405,$AP2980),"#,##0")&amp;"円／申請書"&amp;TEXT($W2980,"#,##0")&amp;"円）／","")&amp;IF(AND(INDEX(職員マスタ!$F$6:$F$405,$AP2980)&lt;&gt;"",$AQ2980&lt;&gt;"",INDEX(職員マスタ!$F$6:$F$405,$AP2980)&lt;$AQ2980),"対象月に子が2歳到達済／","")&amp;IF(AND($H2980&lt;&gt;"",INDEX(職員マスタ!$B$6:$B$405,$AP2980)&lt;&gt;"",SUBSTITUTE(SUBSTITUTE($H2980," ","")," ","")&lt;&gt;SUBSTITUTE(SUBSTITUTE(INDEX(職員マスタ!$B$6:$B$405,$AP2980)," ","")," ","")),"氏名がマスタと相違／","")&amp;IF(AND($Q2980&lt;&gt;"",INDEX(職員マスタ!$E$6:$E$405,$AP2980)&lt;&gt;"",$Q2980&lt;&gt;INDEX(職員マスタ!$E$6:$E$405,$AP2980)),"子の生年月日がマスタと相違／","")&amp;IF(AND($L2980&lt;&gt;"",INDEX(職員マスタ!$G$6:$G$405,$AP2980)&lt;&gt;"",$L2980&lt;&gt;INDEX(職員マスタ!$G$6:$G$405,$AP2980)),"時短開始日がマスタと相違／","")&amp;IF(AND($M2980&lt;&gt;"",INDEX(職員マスタ!$H$6:$H$405,$AP2980)&lt;&gt;"",$M2980&lt;&gt;INDEX(職員マスタ!$H$6:$H$405,$AP2980)),"時短終了日がマスタと相違／","")))&amp;IF(AND($B2980&lt;&gt;"",$E2980=""),"報酬額が未入力／","")&amp;IF(N($U2980)&gt;0,"申請書に入力エラーが残っています／","")&amp;IF(AND($B2980&lt;&gt;"",$AQ2980&lt;&gt;""),IF(COUNTIFS($B$6:$B$3005,$B2980,$C$6:$C$3005,$C2980,$D$6:$D$3005,$D2980)&gt;1,"同じ月の請求が重複しています／",""),"")&amp;IF(AND(N($E2980)&gt;0,$AB2980&lt;&gt;"",$AB2980&lt;&gt;"×",$AE2980=0,$AD2980=""),"計算額が下限以下のため不支給／",""))</f>
        <v/>
      </c>
      <c r="AN2980" s="12" t="n"/>
      <c r="AO2980" s="14">
        <f>IF($AF2980="保留中",COUNTIF($AF$6:$AF2980,"保留中"),"")</f>
        <v/>
      </c>
      <c r="AP2980" s="14">
        <f>IF($AQ2980="","",IF(SUMPRODUCT(MAX((職員マスタ!$A$6:$A$405=$B2980)*(((職員マスタ!$G$6:$G$405="")+(職員マスタ!$G$6:$G$405&lt;=EOMONTH($AQ2980,0)))&gt;0)*(((職員マスタ!$H$6:$H$405="")+(職員マスタ!$H$6:$H$405&gt;=$AQ2980))&gt;0)*(ROW(職員マスタ!$A$6:$A$405)-5)))&gt;0,SUMPRODUCT(MAX((職員マスタ!$A$6:$A$405=$B2980)*(((職員マスタ!$G$6:$G$405="")+(職員マスタ!$G$6:$G$405&lt;=EOMONTH($AQ2980,0)))&gt;0)*(((職員マスタ!$H$6:$H$405="")+(職員マスタ!$H$6:$H$405&gt;=$AQ2980))&gt;0)*(ROW(職員マスタ!$A$6:$A$405)-5))),IFERROR(MATCH($B2980,職員マスタ!$A$6:$A$405,0),"")))</f>
        <v/>
      </c>
      <c r="AQ2980" s="16">
        <f>IF(OR($B2980="",$C2980="",$D2980=""),"",DATE($C2980+2018,$D2980,1))</f>
        <v/>
      </c>
    </row>
    <row r="2981">
      <c r="A2981" s="11" t="n"/>
      <c r="B2981" s="12" t="n"/>
      <c r="C2981" s="12" t="n"/>
      <c r="D2981" s="12" t="n"/>
      <c r="E2981" s="13" t="n"/>
      <c r="F2981" s="12" t="n"/>
      <c r="G2981" s="13" t="n"/>
      <c r="H2981" s="12" t="n"/>
      <c r="I2981" s="12" t="n"/>
      <c r="J2981" s="12" t="n"/>
      <c r="K2981" s="12" t="n"/>
      <c r="L2981" s="11" t="n"/>
      <c r="M2981" s="11" t="n"/>
      <c r="N2981" s="11" t="n"/>
      <c r="O2981" s="11" t="n"/>
      <c r="P2981" s="12" t="n"/>
      <c r="Q2981" s="11" t="n"/>
      <c r="R2981" s="12" t="n"/>
      <c r="S2981" s="11" t="n"/>
      <c r="T2981" s="12" t="n"/>
      <c r="U2981" s="12" t="n"/>
      <c r="V2981" s="12" t="n"/>
      <c r="W2981" s="13" t="n"/>
      <c r="X2981" s="14">
        <f>IF($AP2981="",IF($B2981="","",$H2981),IF(INDEX(職員マスタ!$B$6:$B$405,$AP2981)="",$H2981,INDEX(職員マスタ!$B$6:$B$405,$AP2981)))</f>
        <v/>
      </c>
      <c r="Y2981" s="14">
        <f>IF($AP2981="",IF($B2981="","",$R2981),IF(INDEX(職員マスタ!$C$6:$C$405,$AP2981)="",$R2981,INDEX(職員マスタ!$C$6:$C$405,$AP2981)))</f>
        <v/>
      </c>
      <c r="Z2981" s="14">
        <f>IF($AQ2981="","","R"&amp;$C2981&amp;"."&amp;$D2981)</f>
        <v/>
      </c>
      <c r="AA2981" s="15">
        <f>IF(IF($AP2981="",FALSE,INDEX(職員マスタ!$K$6:$K$405,$AP2981)&lt;&gt;""),INDEX(職員マスタ!$K$6:$K$405,$AP2981),IF(N($W2981)&gt;0,$W2981,""))</f>
        <v/>
      </c>
      <c r="AB2981" s="14">
        <f>IF(OR($E2981="",$AA2981=""),"",IF($E2981&gt;=$AA2981,"×",IF($E2981&gt;=$AA2981*設定!$C$5,"△","○")))</f>
        <v/>
      </c>
      <c r="AC2981" s="15">
        <f>IF($AB2981="","",IF($AB2981="×",0,IF($AB2981="○",ROUNDDOWN($E2981*設定!$C$4,0),ROUNDDOWN($E2981*ROUND((9*$AA2981-9*$E2981)/(10*$E2981),4),0))))</f>
        <v/>
      </c>
      <c r="AD2981" s="13" t="n"/>
      <c r="AE2981" s="15">
        <f>IF($B2981="","",IF($AD2981&lt;&gt;"",$AD2981,IF($AC2981="","",IF($AC2981&lt;=設定!$C$3,0,$AC2981))))</f>
        <v/>
      </c>
      <c r="AF2981" s="14">
        <f>IF($B2981="","",IF(AND($AG2981&lt;&gt;"",$AI2981="",$AL2981=""),"保留中",IF($AL2981&lt;&gt;"",IF(N($AE2981)&gt;0,"支給済","不支給"),IF($AE2981="","要確認",IF($AE2981=0,"不支給","未処理")))))</f>
        <v/>
      </c>
      <c r="AG2981" s="12" t="n"/>
      <c r="AH2981" s="11" t="n"/>
      <c r="AI2981" s="11" t="n"/>
      <c r="AJ2981" s="11" t="n"/>
      <c r="AK2981" s="14">
        <f>IF(AND($AF2981="保留中",$AH2981&lt;&gt;""),TODAY()-$AH2981,"")</f>
        <v/>
      </c>
      <c r="AL2981" s="12" t="n"/>
      <c r="AM2981" s="14">
        <f>IF($B2981="","",IF($AQ2981="","対象年月が未入力／","")&amp;IF($B2981="","",IF($AP2981="","職員マスタに未登録の職員番号／",IF($AA2981="","標準報酬月額が未登録／","")&amp;IF(AND($AQ2981&lt;&gt;"",OR(AND(INDEX(職員マスタ!$G$6:$G$405,$AP2981)&lt;&gt;"",INDEX(職員マスタ!$G$6:$G$405,$AP2981)&gt;EOMONTH($AQ2981,0)),AND(INDEX(職員マスタ!$H$6:$H$405,$AP2981)&lt;&gt;"",INDEX(職員マスタ!$H$6:$H$405,$AP2981)&lt;$AQ2981))),"対象月が時短期間外／","")&amp;IF(AND(INDEX(職員マスタ!$K$6:$K$405,$AP2981)&lt;&gt;"",N($W2981)&gt;0,INDEX(職員マスタ!$K$6:$K$405,$AP2981)&lt;&gt;$W2981),"標準報酬月額が申請書と相違（台帳"&amp;TEXT(INDEX(職員マスタ!$K$6:$K$405,$AP2981),"#,##0")&amp;"円／申請書"&amp;TEXT($W2981,"#,##0")&amp;"円）／","")&amp;IF(AND(INDEX(職員マスタ!$F$6:$F$405,$AP2981)&lt;&gt;"",$AQ2981&lt;&gt;"",INDEX(職員マスタ!$F$6:$F$405,$AP2981)&lt;$AQ2981),"対象月に子が2歳到達済／","")&amp;IF(AND($H2981&lt;&gt;"",INDEX(職員マスタ!$B$6:$B$405,$AP2981)&lt;&gt;"",SUBSTITUTE(SUBSTITUTE($H2981," ","")," ","")&lt;&gt;SUBSTITUTE(SUBSTITUTE(INDEX(職員マスタ!$B$6:$B$405,$AP2981)," ","")," ","")),"氏名がマスタと相違／","")&amp;IF(AND($Q2981&lt;&gt;"",INDEX(職員マスタ!$E$6:$E$405,$AP2981)&lt;&gt;"",$Q2981&lt;&gt;INDEX(職員マスタ!$E$6:$E$405,$AP2981)),"子の生年月日がマスタと相違／","")&amp;IF(AND($L2981&lt;&gt;"",INDEX(職員マスタ!$G$6:$G$405,$AP2981)&lt;&gt;"",$L2981&lt;&gt;INDEX(職員マスタ!$G$6:$G$405,$AP2981)),"時短開始日がマスタと相違／","")&amp;IF(AND($M2981&lt;&gt;"",INDEX(職員マスタ!$H$6:$H$405,$AP2981)&lt;&gt;"",$M2981&lt;&gt;INDEX(職員マスタ!$H$6:$H$405,$AP2981)),"時短終了日がマスタと相違／","")))&amp;IF(AND($B2981&lt;&gt;"",$E2981=""),"報酬額が未入力／","")&amp;IF(N($U2981)&gt;0,"申請書に入力エラーが残っています／","")&amp;IF(AND($B2981&lt;&gt;"",$AQ2981&lt;&gt;""),IF(COUNTIFS($B$6:$B$3005,$B2981,$C$6:$C$3005,$C2981,$D$6:$D$3005,$D2981)&gt;1,"同じ月の請求が重複しています／",""),"")&amp;IF(AND(N($E2981)&gt;0,$AB2981&lt;&gt;"",$AB2981&lt;&gt;"×",$AE2981=0,$AD2981=""),"計算額が下限以下のため不支給／",""))</f>
        <v/>
      </c>
      <c r="AN2981" s="12" t="n"/>
      <c r="AO2981" s="14">
        <f>IF($AF2981="保留中",COUNTIF($AF$6:$AF2981,"保留中"),"")</f>
        <v/>
      </c>
      <c r="AP2981" s="14">
        <f>IF($AQ2981="","",IF(SUMPRODUCT(MAX((職員マスタ!$A$6:$A$405=$B2981)*(((職員マスタ!$G$6:$G$405="")+(職員マスタ!$G$6:$G$405&lt;=EOMONTH($AQ2981,0)))&gt;0)*(((職員マスタ!$H$6:$H$405="")+(職員マスタ!$H$6:$H$405&gt;=$AQ2981))&gt;0)*(ROW(職員マスタ!$A$6:$A$405)-5)))&gt;0,SUMPRODUCT(MAX((職員マスタ!$A$6:$A$405=$B2981)*(((職員マスタ!$G$6:$G$405="")+(職員マスタ!$G$6:$G$405&lt;=EOMONTH($AQ2981,0)))&gt;0)*(((職員マスタ!$H$6:$H$405="")+(職員マスタ!$H$6:$H$405&gt;=$AQ2981))&gt;0)*(ROW(職員マスタ!$A$6:$A$405)-5))),IFERROR(MATCH($B2981,職員マスタ!$A$6:$A$405,0),"")))</f>
        <v/>
      </c>
      <c r="AQ2981" s="16">
        <f>IF(OR($B2981="",$C2981="",$D2981=""),"",DATE($C2981+2018,$D2981,1))</f>
        <v/>
      </c>
    </row>
    <row r="2982">
      <c r="A2982" s="11" t="n"/>
      <c r="B2982" s="12" t="n"/>
      <c r="C2982" s="12" t="n"/>
      <c r="D2982" s="12" t="n"/>
      <c r="E2982" s="13" t="n"/>
      <c r="F2982" s="12" t="n"/>
      <c r="G2982" s="13" t="n"/>
      <c r="H2982" s="12" t="n"/>
      <c r="I2982" s="12" t="n"/>
      <c r="J2982" s="12" t="n"/>
      <c r="K2982" s="12" t="n"/>
      <c r="L2982" s="11" t="n"/>
      <c r="M2982" s="11" t="n"/>
      <c r="N2982" s="11" t="n"/>
      <c r="O2982" s="11" t="n"/>
      <c r="P2982" s="12" t="n"/>
      <c r="Q2982" s="11" t="n"/>
      <c r="R2982" s="12" t="n"/>
      <c r="S2982" s="11" t="n"/>
      <c r="T2982" s="12" t="n"/>
      <c r="U2982" s="12" t="n"/>
      <c r="V2982" s="12" t="n"/>
      <c r="W2982" s="13" t="n"/>
      <c r="X2982" s="14">
        <f>IF($AP2982="",IF($B2982="","",$H2982),IF(INDEX(職員マスタ!$B$6:$B$405,$AP2982)="",$H2982,INDEX(職員マスタ!$B$6:$B$405,$AP2982)))</f>
        <v/>
      </c>
      <c r="Y2982" s="14">
        <f>IF($AP2982="",IF($B2982="","",$R2982),IF(INDEX(職員マスタ!$C$6:$C$405,$AP2982)="",$R2982,INDEX(職員マスタ!$C$6:$C$405,$AP2982)))</f>
        <v/>
      </c>
      <c r="Z2982" s="14">
        <f>IF($AQ2982="","","R"&amp;$C2982&amp;"."&amp;$D2982)</f>
        <v/>
      </c>
      <c r="AA2982" s="15">
        <f>IF(IF($AP2982="",FALSE,INDEX(職員マスタ!$K$6:$K$405,$AP2982)&lt;&gt;""),INDEX(職員マスタ!$K$6:$K$405,$AP2982),IF(N($W2982)&gt;0,$W2982,""))</f>
        <v/>
      </c>
      <c r="AB2982" s="14">
        <f>IF(OR($E2982="",$AA2982=""),"",IF($E2982&gt;=$AA2982,"×",IF($E2982&gt;=$AA2982*設定!$C$5,"△","○")))</f>
        <v/>
      </c>
      <c r="AC2982" s="15">
        <f>IF($AB2982="","",IF($AB2982="×",0,IF($AB2982="○",ROUNDDOWN($E2982*設定!$C$4,0),ROUNDDOWN($E2982*ROUND((9*$AA2982-9*$E2982)/(10*$E2982),4),0))))</f>
        <v/>
      </c>
      <c r="AD2982" s="13" t="n"/>
      <c r="AE2982" s="15">
        <f>IF($B2982="","",IF($AD2982&lt;&gt;"",$AD2982,IF($AC2982="","",IF($AC2982&lt;=設定!$C$3,0,$AC2982))))</f>
        <v/>
      </c>
      <c r="AF2982" s="14">
        <f>IF($B2982="","",IF(AND($AG2982&lt;&gt;"",$AI2982="",$AL2982=""),"保留中",IF($AL2982&lt;&gt;"",IF(N($AE2982)&gt;0,"支給済","不支給"),IF($AE2982="","要確認",IF($AE2982=0,"不支給","未処理")))))</f>
        <v/>
      </c>
      <c r="AG2982" s="12" t="n"/>
      <c r="AH2982" s="11" t="n"/>
      <c r="AI2982" s="11" t="n"/>
      <c r="AJ2982" s="11" t="n"/>
      <c r="AK2982" s="14">
        <f>IF(AND($AF2982="保留中",$AH2982&lt;&gt;""),TODAY()-$AH2982,"")</f>
        <v/>
      </c>
      <c r="AL2982" s="12" t="n"/>
      <c r="AM2982" s="14">
        <f>IF($B2982="","",IF($AQ2982="","対象年月が未入力／","")&amp;IF($B2982="","",IF($AP2982="","職員マスタに未登録の職員番号／",IF($AA2982="","標準報酬月額が未登録／","")&amp;IF(AND($AQ2982&lt;&gt;"",OR(AND(INDEX(職員マスタ!$G$6:$G$405,$AP2982)&lt;&gt;"",INDEX(職員マスタ!$G$6:$G$405,$AP2982)&gt;EOMONTH($AQ2982,0)),AND(INDEX(職員マスタ!$H$6:$H$405,$AP2982)&lt;&gt;"",INDEX(職員マスタ!$H$6:$H$405,$AP2982)&lt;$AQ2982))),"対象月が時短期間外／","")&amp;IF(AND(INDEX(職員マスタ!$K$6:$K$405,$AP2982)&lt;&gt;"",N($W2982)&gt;0,INDEX(職員マスタ!$K$6:$K$405,$AP2982)&lt;&gt;$W2982),"標準報酬月額が申請書と相違（台帳"&amp;TEXT(INDEX(職員マスタ!$K$6:$K$405,$AP2982),"#,##0")&amp;"円／申請書"&amp;TEXT($W2982,"#,##0")&amp;"円）／","")&amp;IF(AND(INDEX(職員マスタ!$F$6:$F$405,$AP2982)&lt;&gt;"",$AQ2982&lt;&gt;"",INDEX(職員マスタ!$F$6:$F$405,$AP2982)&lt;$AQ2982),"対象月に子が2歳到達済／","")&amp;IF(AND($H2982&lt;&gt;"",INDEX(職員マスタ!$B$6:$B$405,$AP2982)&lt;&gt;"",SUBSTITUTE(SUBSTITUTE($H2982," ","")," ","")&lt;&gt;SUBSTITUTE(SUBSTITUTE(INDEX(職員マスタ!$B$6:$B$405,$AP2982)," ","")," ","")),"氏名がマスタと相違／","")&amp;IF(AND($Q2982&lt;&gt;"",INDEX(職員マスタ!$E$6:$E$405,$AP2982)&lt;&gt;"",$Q2982&lt;&gt;INDEX(職員マスタ!$E$6:$E$405,$AP2982)),"子の生年月日がマスタと相違／","")&amp;IF(AND($L2982&lt;&gt;"",INDEX(職員マスタ!$G$6:$G$405,$AP2982)&lt;&gt;"",$L2982&lt;&gt;INDEX(職員マスタ!$G$6:$G$405,$AP2982)),"時短開始日がマスタと相違／","")&amp;IF(AND($M2982&lt;&gt;"",INDEX(職員マスタ!$H$6:$H$405,$AP2982)&lt;&gt;"",$M2982&lt;&gt;INDEX(職員マスタ!$H$6:$H$405,$AP2982)),"時短終了日がマスタと相違／","")))&amp;IF(AND($B2982&lt;&gt;"",$E2982=""),"報酬額が未入力／","")&amp;IF(N($U2982)&gt;0,"申請書に入力エラーが残っています／","")&amp;IF(AND($B2982&lt;&gt;"",$AQ2982&lt;&gt;""),IF(COUNTIFS($B$6:$B$3005,$B2982,$C$6:$C$3005,$C2982,$D$6:$D$3005,$D2982)&gt;1,"同じ月の請求が重複しています／",""),"")&amp;IF(AND(N($E2982)&gt;0,$AB2982&lt;&gt;"",$AB2982&lt;&gt;"×",$AE2982=0,$AD2982=""),"計算額が下限以下のため不支給／",""))</f>
        <v/>
      </c>
      <c r="AN2982" s="12" t="n"/>
      <c r="AO2982" s="14">
        <f>IF($AF2982="保留中",COUNTIF($AF$6:$AF2982,"保留中"),"")</f>
        <v/>
      </c>
      <c r="AP2982" s="14">
        <f>IF($AQ2982="","",IF(SUMPRODUCT(MAX((職員マスタ!$A$6:$A$405=$B2982)*(((職員マスタ!$G$6:$G$405="")+(職員マスタ!$G$6:$G$405&lt;=EOMONTH($AQ2982,0)))&gt;0)*(((職員マスタ!$H$6:$H$405="")+(職員マスタ!$H$6:$H$405&gt;=$AQ2982))&gt;0)*(ROW(職員マスタ!$A$6:$A$405)-5)))&gt;0,SUMPRODUCT(MAX((職員マスタ!$A$6:$A$405=$B2982)*(((職員マスタ!$G$6:$G$405="")+(職員マスタ!$G$6:$G$405&lt;=EOMONTH($AQ2982,0)))&gt;0)*(((職員マスタ!$H$6:$H$405="")+(職員マスタ!$H$6:$H$405&gt;=$AQ2982))&gt;0)*(ROW(職員マスタ!$A$6:$A$405)-5))),IFERROR(MATCH($B2982,職員マスタ!$A$6:$A$405,0),"")))</f>
        <v/>
      </c>
      <c r="AQ2982" s="16">
        <f>IF(OR($B2982="",$C2982="",$D2982=""),"",DATE($C2982+2018,$D2982,1))</f>
        <v/>
      </c>
    </row>
    <row r="2983">
      <c r="A2983" s="11" t="n"/>
      <c r="B2983" s="12" t="n"/>
      <c r="C2983" s="12" t="n"/>
      <c r="D2983" s="12" t="n"/>
      <c r="E2983" s="13" t="n"/>
      <c r="F2983" s="12" t="n"/>
      <c r="G2983" s="13" t="n"/>
      <c r="H2983" s="12" t="n"/>
      <c r="I2983" s="12" t="n"/>
      <c r="J2983" s="12" t="n"/>
      <c r="K2983" s="12" t="n"/>
      <c r="L2983" s="11" t="n"/>
      <c r="M2983" s="11" t="n"/>
      <c r="N2983" s="11" t="n"/>
      <c r="O2983" s="11" t="n"/>
      <c r="P2983" s="12" t="n"/>
      <c r="Q2983" s="11" t="n"/>
      <c r="R2983" s="12" t="n"/>
      <c r="S2983" s="11" t="n"/>
      <c r="T2983" s="12" t="n"/>
      <c r="U2983" s="12" t="n"/>
      <c r="V2983" s="12" t="n"/>
      <c r="W2983" s="13" t="n"/>
      <c r="X2983" s="14">
        <f>IF($AP2983="",IF($B2983="","",$H2983),IF(INDEX(職員マスタ!$B$6:$B$405,$AP2983)="",$H2983,INDEX(職員マスタ!$B$6:$B$405,$AP2983)))</f>
        <v/>
      </c>
      <c r="Y2983" s="14">
        <f>IF($AP2983="",IF($B2983="","",$R2983),IF(INDEX(職員マスタ!$C$6:$C$405,$AP2983)="",$R2983,INDEX(職員マスタ!$C$6:$C$405,$AP2983)))</f>
        <v/>
      </c>
      <c r="Z2983" s="14">
        <f>IF($AQ2983="","","R"&amp;$C2983&amp;"."&amp;$D2983)</f>
        <v/>
      </c>
      <c r="AA2983" s="15">
        <f>IF(IF($AP2983="",FALSE,INDEX(職員マスタ!$K$6:$K$405,$AP2983)&lt;&gt;""),INDEX(職員マスタ!$K$6:$K$405,$AP2983),IF(N($W2983)&gt;0,$W2983,""))</f>
        <v/>
      </c>
      <c r="AB2983" s="14">
        <f>IF(OR($E2983="",$AA2983=""),"",IF($E2983&gt;=$AA2983,"×",IF($E2983&gt;=$AA2983*設定!$C$5,"△","○")))</f>
        <v/>
      </c>
      <c r="AC2983" s="15">
        <f>IF($AB2983="","",IF($AB2983="×",0,IF($AB2983="○",ROUNDDOWN($E2983*設定!$C$4,0),ROUNDDOWN($E2983*ROUND((9*$AA2983-9*$E2983)/(10*$E2983),4),0))))</f>
        <v/>
      </c>
      <c r="AD2983" s="13" t="n"/>
      <c r="AE2983" s="15">
        <f>IF($B2983="","",IF($AD2983&lt;&gt;"",$AD2983,IF($AC2983="","",IF($AC2983&lt;=設定!$C$3,0,$AC2983))))</f>
        <v/>
      </c>
      <c r="AF2983" s="14">
        <f>IF($B2983="","",IF(AND($AG2983&lt;&gt;"",$AI2983="",$AL2983=""),"保留中",IF($AL2983&lt;&gt;"",IF(N($AE2983)&gt;0,"支給済","不支給"),IF($AE2983="","要確認",IF($AE2983=0,"不支給","未処理")))))</f>
        <v/>
      </c>
      <c r="AG2983" s="12" t="n"/>
      <c r="AH2983" s="11" t="n"/>
      <c r="AI2983" s="11" t="n"/>
      <c r="AJ2983" s="11" t="n"/>
      <c r="AK2983" s="14">
        <f>IF(AND($AF2983="保留中",$AH2983&lt;&gt;""),TODAY()-$AH2983,"")</f>
        <v/>
      </c>
      <c r="AL2983" s="12" t="n"/>
      <c r="AM2983" s="14">
        <f>IF($B2983="","",IF($AQ2983="","対象年月が未入力／","")&amp;IF($B2983="","",IF($AP2983="","職員マスタに未登録の職員番号／",IF($AA2983="","標準報酬月額が未登録／","")&amp;IF(AND($AQ2983&lt;&gt;"",OR(AND(INDEX(職員マスタ!$G$6:$G$405,$AP2983)&lt;&gt;"",INDEX(職員マスタ!$G$6:$G$405,$AP2983)&gt;EOMONTH($AQ2983,0)),AND(INDEX(職員マスタ!$H$6:$H$405,$AP2983)&lt;&gt;"",INDEX(職員マスタ!$H$6:$H$405,$AP2983)&lt;$AQ2983))),"対象月が時短期間外／","")&amp;IF(AND(INDEX(職員マスタ!$K$6:$K$405,$AP2983)&lt;&gt;"",N($W2983)&gt;0,INDEX(職員マスタ!$K$6:$K$405,$AP2983)&lt;&gt;$W2983),"標準報酬月額が申請書と相違（台帳"&amp;TEXT(INDEX(職員マスタ!$K$6:$K$405,$AP2983),"#,##0")&amp;"円／申請書"&amp;TEXT($W2983,"#,##0")&amp;"円）／","")&amp;IF(AND(INDEX(職員マスタ!$F$6:$F$405,$AP2983)&lt;&gt;"",$AQ2983&lt;&gt;"",INDEX(職員マスタ!$F$6:$F$405,$AP2983)&lt;$AQ2983),"対象月に子が2歳到達済／","")&amp;IF(AND($H2983&lt;&gt;"",INDEX(職員マスタ!$B$6:$B$405,$AP2983)&lt;&gt;"",SUBSTITUTE(SUBSTITUTE($H2983," ","")," ","")&lt;&gt;SUBSTITUTE(SUBSTITUTE(INDEX(職員マスタ!$B$6:$B$405,$AP2983)," ","")," ","")),"氏名がマスタと相違／","")&amp;IF(AND($Q2983&lt;&gt;"",INDEX(職員マスタ!$E$6:$E$405,$AP2983)&lt;&gt;"",$Q2983&lt;&gt;INDEX(職員マスタ!$E$6:$E$405,$AP2983)),"子の生年月日がマスタと相違／","")&amp;IF(AND($L2983&lt;&gt;"",INDEX(職員マスタ!$G$6:$G$405,$AP2983)&lt;&gt;"",$L2983&lt;&gt;INDEX(職員マスタ!$G$6:$G$405,$AP2983)),"時短開始日がマスタと相違／","")&amp;IF(AND($M2983&lt;&gt;"",INDEX(職員マスタ!$H$6:$H$405,$AP2983)&lt;&gt;"",$M2983&lt;&gt;INDEX(職員マスタ!$H$6:$H$405,$AP2983)),"時短終了日がマスタと相違／","")))&amp;IF(AND($B2983&lt;&gt;"",$E2983=""),"報酬額が未入力／","")&amp;IF(N($U2983)&gt;0,"申請書に入力エラーが残っています／","")&amp;IF(AND($B2983&lt;&gt;"",$AQ2983&lt;&gt;""),IF(COUNTIFS($B$6:$B$3005,$B2983,$C$6:$C$3005,$C2983,$D$6:$D$3005,$D2983)&gt;1,"同じ月の請求が重複しています／",""),"")&amp;IF(AND(N($E2983)&gt;0,$AB2983&lt;&gt;"",$AB2983&lt;&gt;"×",$AE2983=0,$AD2983=""),"計算額が下限以下のため不支給／",""))</f>
        <v/>
      </c>
      <c r="AN2983" s="12" t="n"/>
      <c r="AO2983" s="14">
        <f>IF($AF2983="保留中",COUNTIF($AF$6:$AF2983,"保留中"),"")</f>
        <v/>
      </c>
      <c r="AP2983" s="14">
        <f>IF($AQ2983="","",IF(SUMPRODUCT(MAX((職員マスタ!$A$6:$A$405=$B2983)*(((職員マスタ!$G$6:$G$405="")+(職員マスタ!$G$6:$G$405&lt;=EOMONTH($AQ2983,0)))&gt;0)*(((職員マスタ!$H$6:$H$405="")+(職員マスタ!$H$6:$H$405&gt;=$AQ2983))&gt;0)*(ROW(職員マスタ!$A$6:$A$405)-5)))&gt;0,SUMPRODUCT(MAX((職員マスタ!$A$6:$A$405=$B2983)*(((職員マスタ!$G$6:$G$405="")+(職員マスタ!$G$6:$G$405&lt;=EOMONTH($AQ2983,0)))&gt;0)*(((職員マスタ!$H$6:$H$405="")+(職員マスタ!$H$6:$H$405&gt;=$AQ2983))&gt;0)*(ROW(職員マスタ!$A$6:$A$405)-5))),IFERROR(MATCH($B2983,職員マスタ!$A$6:$A$405,0),"")))</f>
        <v/>
      </c>
      <c r="AQ2983" s="16">
        <f>IF(OR($B2983="",$C2983="",$D2983=""),"",DATE($C2983+2018,$D2983,1))</f>
        <v/>
      </c>
    </row>
    <row r="2984">
      <c r="A2984" s="11" t="n"/>
      <c r="B2984" s="12" t="n"/>
      <c r="C2984" s="12" t="n"/>
      <c r="D2984" s="12" t="n"/>
      <c r="E2984" s="13" t="n"/>
      <c r="F2984" s="12" t="n"/>
      <c r="G2984" s="13" t="n"/>
      <c r="H2984" s="12" t="n"/>
      <c r="I2984" s="12" t="n"/>
      <c r="J2984" s="12" t="n"/>
      <c r="K2984" s="12" t="n"/>
      <c r="L2984" s="11" t="n"/>
      <c r="M2984" s="11" t="n"/>
      <c r="N2984" s="11" t="n"/>
      <c r="O2984" s="11" t="n"/>
      <c r="P2984" s="12" t="n"/>
      <c r="Q2984" s="11" t="n"/>
      <c r="R2984" s="12" t="n"/>
      <c r="S2984" s="11" t="n"/>
      <c r="T2984" s="12" t="n"/>
      <c r="U2984" s="12" t="n"/>
      <c r="V2984" s="12" t="n"/>
      <c r="W2984" s="13" t="n"/>
      <c r="X2984" s="14">
        <f>IF($AP2984="",IF($B2984="","",$H2984),IF(INDEX(職員マスタ!$B$6:$B$405,$AP2984)="",$H2984,INDEX(職員マスタ!$B$6:$B$405,$AP2984)))</f>
        <v/>
      </c>
      <c r="Y2984" s="14">
        <f>IF($AP2984="",IF($B2984="","",$R2984),IF(INDEX(職員マスタ!$C$6:$C$405,$AP2984)="",$R2984,INDEX(職員マスタ!$C$6:$C$405,$AP2984)))</f>
        <v/>
      </c>
      <c r="Z2984" s="14">
        <f>IF($AQ2984="","","R"&amp;$C2984&amp;"."&amp;$D2984)</f>
        <v/>
      </c>
      <c r="AA2984" s="15">
        <f>IF(IF($AP2984="",FALSE,INDEX(職員マスタ!$K$6:$K$405,$AP2984)&lt;&gt;""),INDEX(職員マスタ!$K$6:$K$405,$AP2984),IF(N($W2984)&gt;0,$W2984,""))</f>
        <v/>
      </c>
      <c r="AB2984" s="14">
        <f>IF(OR($E2984="",$AA2984=""),"",IF($E2984&gt;=$AA2984,"×",IF($E2984&gt;=$AA2984*設定!$C$5,"△","○")))</f>
        <v/>
      </c>
      <c r="AC2984" s="15">
        <f>IF($AB2984="","",IF($AB2984="×",0,IF($AB2984="○",ROUNDDOWN($E2984*設定!$C$4,0),ROUNDDOWN($E2984*ROUND((9*$AA2984-9*$E2984)/(10*$E2984),4),0))))</f>
        <v/>
      </c>
      <c r="AD2984" s="13" t="n"/>
      <c r="AE2984" s="15">
        <f>IF($B2984="","",IF($AD2984&lt;&gt;"",$AD2984,IF($AC2984="","",IF($AC2984&lt;=設定!$C$3,0,$AC2984))))</f>
        <v/>
      </c>
      <c r="AF2984" s="14">
        <f>IF($B2984="","",IF(AND($AG2984&lt;&gt;"",$AI2984="",$AL2984=""),"保留中",IF($AL2984&lt;&gt;"",IF(N($AE2984)&gt;0,"支給済","不支給"),IF($AE2984="","要確認",IF($AE2984=0,"不支給","未処理")))))</f>
        <v/>
      </c>
      <c r="AG2984" s="12" t="n"/>
      <c r="AH2984" s="11" t="n"/>
      <c r="AI2984" s="11" t="n"/>
      <c r="AJ2984" s="11" t="n"/>
      <c r="AK2984" s="14">
        <f>IF(AND($AF2984="保留中",$AH2984&lt;&gt;""),TODAY()-$AH2984,"")</f>
        <v/>
      </c>
      <c r="AL2984" s="12" t="n"/>
      <c r="AM2984" s="14">
        <f>IF($B2984="","",IF($AQ2984="","対象年月が未入力／","")&amp;IF($B2984="","",IF($AP2984="","職員マスタに未登録の職員番号／",IF($AA2984="","標準報酬月額が未登録／","")&amp;IF(AND($AQ2984&lt;&gt;"",OR(AND(INDEX(職員マスタ!$G$6:$G$405,$AP2984)&lt;&gt;"",INDEX(職員マスタ!$G$6:$G$405,$AP2984)&gt;EOMONTH($AQ2984,0)),AND(INDEX(職員マスタ!$H$6:$H$405,$AP2984)&lt;&gt;"",INDEX(職員マスタ!$H$6:$H$405,$AP2984)&lt;$AQ2984))),"対象月が時短期間外／","")&amp;IF(AND(INDEX(職員マスタ!$K$6:$K$405,$AP2984)&lt;&gt;"",N($W2984)&gt;0,INDEX(職員マスタ!$K$6:$K$405,$AP2984)&lt;&gt;$W2984),"標準報酬月額が申請書と相違（台帳"&amp;TEXT(INDEX(職員マスタ!$K$6:$K$405,$AP2984),"#,##0")&amp;"円／申請書"&amp;TEXT($W2984,"#,##0")&amp;"円）／","")&amp;IF(AND(INDEX(職員マスタ!$F$6:$F$405,$AP2984)&lt;&gt;"",$AQ2984&lt;&gt;"",INDEX(職員マスタ!$F$6:$F$405,$AP2984)&lt;$AQ2984),"対象月に子が2歳到達済／","")&amp;IF(AND($H2984&lt;&gt;"",INDEX(職員マスタ!$B$6:$B$405,$AP2984)&lt;&gt;"",SUBSTITUTE(SUBSTITUTE($H2984," ","")," ","")&lt;&gt;SUBSTITUTE(SUBSTITUTE(INDEX(職員マスタ!$B$6:$B$405,$AP2984)," ","")," ","")),"氏名がマスタと相違／","")&amp;IF(AND($Q2984&lt;&gt;"",INDEX(職員マスタ!$E$6:$E$405,$AP2984)&lt;&gt;"",$Q2984&lt;&gt;INDEX(職員マスタ!$E$6:$E$405,$AP2984)),"子の生年月日がマスタと相違／","")&amp;IF(AND($L2984&lt;&gt;"",INDEX(職員マスタ!$G$6:$G$405,$AP2984)&lt;&gt;"",$L2984&lt;&gt;INDEX(職員マスタ!$G$6:$G$405,$AP2984)),"時短開始日がマスタと相違／","")&amp;IF(AND($M2984&lt;&gt;"",INDEX(職員マスタ!$H$6:$H$405,$AP2984)&lt;&gt;"",$M2984&lt;&gt;INDEX(職員マスタ!$H$6:$H$405,$AP2984)),"時短終了日がマスタと相違／","")))&amp;IF(AND($B2984&lt;&gt;"",$E2984=""),"報酬額が未入力／","")&amp;IF(N($U2984)&gt;0,"申請書に入力エラーが残っています／","")&amp;IF(AND($B2984&lt;&gt;"",$AQ2984&lt;&gt;""),IF(COUNTIFS($B$6:$B$3005,$B2984,$C$6:$C$3005,$C2984,$D$6:$D$3005,$D2984)&gt;1,"同じ月の請求が重複しています／",""),"")&amp;IF(AND(N($E2984)&gt;0,$AB2984&lt;&gt;"",$AB2984&lt;&gt;"×",$AE2984=0,$AD2984=""),"計算額が下限以下のため不支給／",""))</f>
        <v/>
      </c>
      <c r="AN2984" s="12" t="n"/>
      <c r="AO2984" s="14">
        <f>IF($AF2984="保留中",COUNTIF($AF$6:$AF2984,"保留中"),"")</f>
        <v/>
      </c>
      <c r="AP2984" s="14">
        <f>IF($AQ2984="","",IF(SUMPRODUCT(MAX((職員マスタ!$A$6:$A$405=$B2984)*(((職員マスタ!$G$6:$G$405="")+(職員マスタ!$G$6:$G$405&lt;=EOMONTH($AQ2984,0)))&gt;0)*(((職員マスタ!$H$6:$H$405="")+(職員マスタ!$H$6:$H$405&gt;=$AQ2984))&gt;0)*(ROW(職員マスタ!$A$6:$A$405)-5)))&gt;0,SUMPRODUCT(MAX((職員マスタ!$A$6:$A$405=$B2984)*(((職員マスタ!$G$6:$G$405="")+(職員マスタ!$G$6:$G$405&lt;=EOMONTH($AQ2984,0)))&gt;0)*(((職員マスタ!$H$6:$H$405="")+(職員マスタ!$H$6:$H$405&gt;=$AQ2984))&gt;0)*(ROW(職員マスタ!$A$6:$A$405)-5))),IFERROR(MATCH($B2984,職員マスタ!$A$6:$A$405,0),"")))</f>
        <v/>
      </c>
      <c r="AQ2984" s="16">
        <f>IF(OR($B2984="",$C2984="",$D2984=""),"",DATE($C2984+2018,$D2984,1))</f>
        <v/>
      </c>
    </row>
    <row r="2985">
      <c r="A2985" s="11" t="n"/>
      <c r="B2985" s="12" t="n"/>
      <c r="C2985" s="12" t="n"/>
      <c r="D2985" s="12" t="n"/>
      <c r="E2985" s="13" t="n"/>
      <c r="F2985" s="12" t="n"/>
      <c r="G2985" s="13" t="n"/>
      <c r="H2985" s="12" t="n"/>
      <c r="I2985" s="12" t="n"/>
      <c r="J2985" s="12" t="n"/>
      <c r="K2985" s="12" t="n"/>
      <c r="L2985" s="11" t="n"/>
      <c r="M2985" s="11" t="n"/>
      <c r="N2985" s="11" t="n"/>
      <c r="O2985" s="11" t="n"/>
      <c r="P2985" s="12" t="n"/>
      <c r="Q2985" s="11" t="n"/>
      <c r="R2985" s="12" t="n"/>
      <c r="S2985" s="11" t="n"/>
      <c r="T2985" s="12" t="n"/>
      <c r="U2985" s="12" t="n"/>
      <c r="V2985" s="12" t="n"/>
      <c r="W2985" s="13" t="n"/>
      <c r="X2985" s="14">
        <f>IF($AP2985="",IF($B2985="","",$H2985),IF(INDEX(職員マスタ!$B$6:$B$405,$AP2985)="",$H2985,INDEX(職員マスタ!$B$6:$B$405,$AP2985)))</f>
        <v/>
      </c>
      <c r="Y2985" s="14">
        <f>IF($AP2985="",IF($B2985="","",$R2985),IF(INDEX(職員マスタ!$C$6:$C$405,$AP2985)="",$R2985,INDEX(職員マスタ!$C$6:$C$405,$AP2985)))</f>
        <v/>
      </c>
      <c r="Z2985" s="14">
        <f>IF($AQ2985="","","R"&amp;$C2985&amp;"."&amp;$D2985)</f>
        <v/>
      </c>
      <c r="AA2985" s="15">
        <f>IF(IF($AP2985="",FALSE,INDEX(職員マスタ!$K$6:$K$405,$AP2985)&lt;&gt;""),INDEX(職員マスタ!$K$6:$K$405,$AP2985),IF(N($W2985)&gt;0,$W2985,""))</f>
        <v/>
      </c>
      <c r="AB2985" s="14">
        <f>IF(OR($E2985="",$AA2985=""),"",IF($E2985&gt;=$AA2985,"×",IF($E2985&gt;=$AA2985*設定!$C$5,"△","○")))</f>
        <v/>
      </c>
      <c r="AC2985" s="15">
        <f>IF($AB2985="","",IF($AB2985="×",0,IF($AB2985="○",ROUNDDOWN($E2985*設定!$C$4,0),ROUNDDOWN($E2985*ROUND((9*$AA2985-9*$E2985)/(10*$E2985),4),0))))</f>
        <v/>
      </c>
      <c r="AD2985" s="13" t="n"/>
      <c r="AE2985" s="15">
        <f>IF($B2985="","",IF($AD2985&lt;&gt;"",$AD2985,IF($AC2985="","",IF($AC2985&lt;=設定!$C$3,0,$AC2985))))</f>
        <v/>
      </c>
      <c r="AF2985" s="14">
        <f>IF($B2985="","",IF(AND($AG2985&lt;&gt;"",$AI2985="",$AL2985=""),"保留中",IF($AL2985&lt;&gt;"",IF(N($AE2985)&gt;0,"支給済","不支給"),IF($AE2985="","要確認",IF($AE2985=0,"不支給","未処理")))))</f>
        <v/>
      </c>
      <c r="AG2985" s="12" t="n"/>
      <c r="AH2985" s="11" t="n"/>
      <c r="AI2985" s="11" t="n"/>
      <c r="AJ2985" s="11" t="n"/>
      <c r="AK2985" s="14">
        <f>IF(AND($AF2985="保留中",$AH2985&lt;&gt;""),TODAY()-$AH2985,"")</f>
        <v/>
      </c>
      <c r="AL2985" s="12" t="n"/>
      <c r="AM2985" s="14">
        <f>IF($B2985="","",IF($AQ2985="","対象年月が未入力／","")&amp;IF($B2985="","",IF($AP2985="","職員マスタに未登録の職員番号／",IF($AA2985="","標準報酬月額が未登録／","")&amp;IF(AND($AQ2985&lt;&gt;"",OR(AND(INDEX(職員マスタ!$G$6:$G$405,$AP2985)&lt;&gt;"",INDEX(職員マスタ!$G$6:$G$405,$AP2985)&gt;EOMONTH($AQ2985,0)),AND(INDEX(職員マスタ!$H$6:$H$405,$AP2985)&lt;&gt;"",INDEX(職員マスタ!$H$6:$H$405,$AP2985)&lt;$AQ2985))),"対象月が時短期間外／","")&amp;IF(AND(INDEX(職員マスタ!$K$6:$K$405,$AP2985)&lt;&gt;"",N($W2985)&gt;0,INDEX(職員マスタ!$K$6:$K$405,$AP2985)&lt;&gt;$W2985),"標準報酬月額が申請書と相違（台帳"&amp;TEXT(INDEX(職員マスタ!$K$6:$K$405,$AP2985),"#,##0")&amp;"円／申請書"&amp;TEXT($W2985,"#,##0")&amp;"円）／","")&amp;IF(AND(INDEX(職員マスタ!$F$6:$F$405,$AP2985)&lt;&gt;"",$AQ2985&lt;&gt;"",INDEX(職員マスタ!$F$6:$F$405,$AP2985)&lt;$AQ2985),"対象月に子が2歳到達済／","")&amp;IF(AND($H2985&lt;&gt;"",INDEX(職員マスタ!$B$6:$B$405,$AP2985)&lt;&gt;"",SUBSTITUTE(SUBSTITUTE($H2985," ","")," ","")&lt;&gt;SUBSTITUTE(SUBSTITUTE(INDEX(職員マスタ!$B$6:$B$405,$AP2985)," ","")," ","")),"氏名がマスタと相違／","")&amp;IF(AND($Q2985&lt;&gt;"",INDEX(職員マスタ!$E$6:$E$405,$AP2985)&lt;&gt;"",$Q2985&lt;&gt;INDEX(職員マスタ!$E$6:$E$405,$AP2985)),"子の生年月日がマスタと相違／","")&amp;IF(AND($L2985&lt;&gt;"",INDEX(職員マスタ!$G$6:$G$405,$AP2985)&lt;&gt;"",$L2985&lt;&gt;INDEX(職員マスタ!$G$6:$G$405,$AP2985)),"時短開始日がマスタと相違／","")&amp;IF(AND($M2985&lt;&gt;"",INDEX(職員マスタ!$H$6:$H$405,$AP2985)&lt;&gt;"",$M2985&lt;&gt;INDEX(職員マスタ!$H$6:$H$405,$AP2985)),"時短終了日がマスタと相違／","")))&amp;IF(AND($B2985&lt;&gt;"",$E2985=""),"報酬額が未入力／","")&amp;IF(N($U2985)&gt;0,"申請書に入力エラーが残っています／","")&amp;IF(AND($B2985&lt;&gt;"",$AQ2985&lt;&gt;""),IF(COUNTIFS($B$6:$B$3005,$B2985,$C$6:$C$3005,$C2985,$D$6:$D$3005,$D2985)&gt;1,"同じ月の請求が重複しています／",""),"")&amp;IF(AND(N($E2985)&gt;0,$AB2985&lt;&gt;"",$AB2985&lt;&gt;"×",$AE2985=0,$AD2985=""),"計算額が下限以下のため不支給／",""))</f>
        <v/>
      </c>
      <c r="AN2985" s="12" t="n"/>
      <c r="AO2985" s="14">
        <f>IF($AF2985="保留中",COUNTIF($AF$6:$AF2985,"保留中"),"")</f>
        <v/>
      </c>
      <c r="AP2985" s="14">
        <f>IF($AQ2985="","",IF(SUMPRODUCT(MAX((職員マスタ!$A$6:$A$405=$B2985)*(((職員マスタ!$G$6:$G$405="")+(職員マスタ!$G$6:$G$405&lt;=EOMONTH($AQ2985,0)))&gt;0)*(((職員マスタ!$H$6:$H$405="")+(職員マスタ!$H$6:$H$405&gt;=$AQ2985))&gt;0)*(ROW(職員マスタ!$A$6:$A$405)-5)))&gt;0,SUMPRODUCT(MAX((職員マスタ!$A$6:$A$405=$B2985)*(((職員マスタ!$G$6:$G$405="")+(職員マスタ!$G$6:$G$405&lt;=EOMONTH($AQ2985,0)))&gt;0)*(((職員マスタ!$H$6:$H$405="")+(職員マスタ!$H$6:$H$405&gt;=$AQ2985))&gt;0)*(ROW(職員マスタ!$A$6:$A$405)-5))),IFERROR(MATCH($B2985,職員マスタ!$A$6:$A$405,0),"")))</f>
        <v/>
      </c>
      <c r="AQ2985" s="16">
        <f>IF(OR($B2985="",$C2985="",$D2985=""),"",DATE($C2985+2018,$D2985,1))</f>
        <v/>
      </c>
    </row>
    <row r="2986">
      <c r="A2986" s="11" t="n"/>
      <c r="B2986" s="12" t="n"/>
      <c r="C2986" s="12" t="n"/>
      <c r="D2986" s="12" t="n"/>
      <c r="E2986" s="13" t="n"/>
      <c r="F2986" s="12" t="n"/>
      <c r="G2986" s="13" t="n"/>
      <c r="H2986" s="12" t="n"/>
      <c r="I2986" s="12" t="n"/>
      <c r="J2986" s="12" t="n"/>
      <c r="K2986" s="12" t="n"/>
      <c r="L2986" s="11" t="n"/>
      <c r="M2986" s="11" t="n"/>
      <c r="N2986" s="11" t="n"/>
      <c r="O2986" s="11" t="n"/>
      <c r="P2986" s="12" t="n"/>
      <c r="Q2986" s="11" t="n"/>
      <c r="R2986" s="12" t="n"/>
      <c r="S2986" s="11" t="n"/>
      <c r="T2986" s="12" t="n"/>
      <c r="U2986" s="12" t="n"/>
      <c r="V2986" s="12" t="n"/>
      <c r="W2986" s="13" t="n"/>
      <c r="X2986" s="14">
        <f>IF($AP2986="",IF($B2986="","",$H2986),IF(INDEX(職員マスタ!$B$6:$B$405,$AP2986)="",$H2986,INDEX(職員マスタ!$B$6:$B$405,$AP2986)))</f>
        <v/>
      </c>
      <c r="Y2986" s="14">
        <f>IF($AP2986="",IF($B2986="","",$R2986),IF(INDEX(職員マスタ!$C$6:$C$405,$AP2986)="",$R2986,INDEX(職員マスタ!$C$6:$C$405,$AP2986)))</f>
        <v/>
      </c>
      <c r="Z2986" s="14">
        <f>IF($AQ2986="","","R"&amp;$C2986&amp;"."&amp;$D2986)</f>
        <v/>
      </c>
      <c r="AA2986" s="15">
        <f>IF(IF($AP2986="",FALSE,INDEX(職員マスタ!$K$6:$K$405,$AP2986)&lt;&gt;""),INDEX(職員マスタ!$K$6:$K$405,$AP2986),IF(N($W2986)&gt;0,$W2986,""))</f>
        <v/>
      </c>
      <c r="AB2986" s="14">
        <f>IF(OR($E2986="",$AA2986=""),"",IF($E2986&gt;=$AA2986,"×",IF($E2986&gt;=$AA2986*設定!$C$5,"△","○")))</f>
        <v/>
      </c>
      <c r="AC2986" s="15">
        <f>IF($AB2986="","",IF($AB2986="×",0,IF($AB2986="○",ROUNDDOWN($E2986*設定!$C$4,0),ROUNDDOWN($E2986*ROUND((9*$AA2986-9*$E2986)/(10*$E2986),4),0))))</f>
        <v/>
      </c>
      <c r="AD2986" s="13" t="n"/>
      <c r="AE2986" s="15">
        <f>IF($B2986="","",IF($AD2986&lt;&gt;"",$AD2986,IF($AC2986="","",IF($AC2986&lt;=設定!$C$3,0,$AC2986))))</f>
        <v/>
      </c>
      <c r="AF2986" s="14">
        <f>IF($B2986="","",IF(AND($AG2986&lt;&gt;"",$AI2986="",$AL2986=""),"保留中",IF($AL2986&lt;&gt;"",IF(N($AE2986)&gt;0,"支給済","不支給"),IF($AE2986="","要確認",IF($AE2986=0,"不支給","未処理")))))</f>
        <v/>
      </c>
      <c r="AG2986" s="12" t="n"/>
      <c r="AH2986" s="11" t="n"/>
      <c r="AI2986" s="11" t="n"/>
      <c r="AJ2986" s="11" t="n"/>
      <c r="AK2986" s="14">
        <f>IF(AND($AF2986="保留中",$AH2986&lt;&gt;""),TODAY()-$AH2986,"")</f>
        <v/>
      </c>
      <c r="AL2986" s="12" t="n"/>
      <c r="AM2986" s="14">
        <f>IF($B2986="","",IF($AQ2986="","対象年月が未入力／","")&amp;IF($B2986="","",IF($AP2986="","職員マスタに未登録の職員番号／",IF($AA2986="","標準報酬月額が未登録／","")&amp;IF(AND($AQ2986&lt;&gt;"",OR(AND(INDEX(職員マスタ!$G$6:$G$405,$AP2986)&lt;&gt;"",INDEX(職員マスタ!$G$6:$G$405,$AP2986)&gt;EOMONTH($AQ2986,0)),AND(INDEX(職員マスタ!$H$6:$H$405,$AP2986)&lt;&gt;"",INDEX(職員マスタ!$H$6:$H$405,$AP2986)&lt;$AQ2986))),"対象月が時短期間外／","")&amp;IF(AND(INDEX(職員マスタ!$K$6:$K$405,$AP2986)&lt;&gt;"",N($W2986)&gt;0,INDEX(職員マスタ!$K$6:$K$405,$AP2986)&lt;&gt;$W2986),"標準報酬月額が申請書と相違（台帳"&amp;TEXT(INDEX(職員マスタ!$K$6:$K$405,$AP2986),"#,##0")&amp;"円／申請書"&amp;TEXT($W2986,"#,##0")&amp;"円）／","")&amp;IF(AND(INDEX(職員マスタ!$F$6:$F$405,$AP2986)&lt;&gt;"",$AQ2986&lt;&gt;"",INDEX(職員マスタ!$F$6:$F$405,$AP2986)&lt;$AQ2986),"対象月に子が2歳到達済／","")&amp;IF(AND($H2986&lt;&gt;"",INDEX(職員マスタ!$B$6:$B$405,$AP2986)&lt;&gt;"",SUBSTITUTE(SUBSTITUTE($H2986," ","")," ","")&lt;&gt;SUBSTITUTE(SUBSTITUTE(INDEX(職員マスタ!$B$6:$B$405,$AP2986)," ","")," ","")),"氏名がマスタと相違／","")&amp;IF(AND($Q2986&lt;&gt;"",INDEX(職員マスタ!$E$6:$E$405,$AP2986)&lt;&gt;"",$Q2986&lt;&gt;INDEX(職員マスタ!$E$6:$E$405,$AP2986)),"子の生年月日がマスタと相違／","")&amp;IF(AND($L2986&lt;&gt;"",INDEX(職員マスタ!$G$6:$G$405,$AP2986)&lt;&gt;"",$L2986&lt;&gt;INDEX(職員マスタ!$G$6:$G$405,$AP2986)),"時短開始日がマスタと相違／","")&amp;IF(AND($M2986&lt;&gt;"",INDEX(職員マスタ!$H$6:$H$405,$AP2986)&lt;&gt;"",$M2986&lt;&gt;INDEX(職員マスタ!$H$6:$H$405,$AP2986)),"時短終了日がマスタと相違／","")))&amp;IF(AND($B2986&lt;&gt;"",$E2986=""),"報酬額が未入力／","")&amp;IF(N($U2986)&gt;0,"申請書に入力エラーが残っています／","")&amp;IF(AND($B2986&lt;&gt;"",$AQ2986&lt;&gt;""),IF(COUNTIFS($B$6:$B$3005,$B2986,$C$6:$C$3005,$C2986,$D$6:$D$3005,$D2986)&gt;1,"同じ月の請求が重複しています／",""),"")&amp;IF(AND(N($E2986)&gt;0,$AB2986&lt;&gt;"",$AB2986&lt;&gt;"×",$AE2986=0,$AD2986=""),"計算額が下限以下のため不支給／",""))</f>
        <v/>
      </c>
      <c r="AN2986" s="12" t="n"/>
      <c r="AO2986" s="14">
        <f>IF($AF2986="保留中",COUNTIF($AF$6:$AF2986,"保留中"),"")</f>
        <v/>
      </c>
      <c r="AP2986" s="14">
        <f>IF($AQ2986="","",IF(SUMPRODUCT(MAX((職員マスタ!$A$6:$A$405=$B2986)*(((職員マスタ!$G$6:$G$405="")+(職員マスタ!$G$6:$G$405&lt;=EOMONTH($AQ2986,0)))&gt;0)*(((職員マスタ!$H$6:$H$405="")+(職員マスタ!$H$6:$H$405&gt;=$AQ2986))&gt;0)*(ROW(職員マスタ!$A$6:$A$405)-5)))&gt;0,SUMPRODUCT(MAX((職員マスタ!$A$6:$A$405=$B2986)*(((職員マスタ!$G$6:$G$405="")+(職員マスタ!$G$6:$G$405&lt;=EOMONTH($AQ2986,0)))&gt;0)*(((職員マスタ!$H$6:$H$405="")+(職員マスタ!$H$6:$H$405&gt;=$AQ2986))&gt;0)*(ROW(職員マスタ!$A$6:$A$405)-5))),IFERROR(MATCH($B2986,職員マスタ!$A$6:$A$405,0),"")))</f>
        <v/>
      </c>
      <c r="AQ2986" s="16">
        <f>IF(OR($B2986="",$C2986="",$D2986=""),"",DATE($C2986+2018,$D2986,1))</f>
        <v/>
      </c>
    </row>
    <row r="2987">
      <c r="A2987" s="11" t="n"/>
      <c r="B2987" s="12" t="n"/>
      <c r="C2987" s="12" t="n"/>
      <c r="D2987" s="12" t="n"/>
      <c r="E2987" s="13" t="n"/>
      <c r="F2987" s="12" t="n"/>
      <c r="G2987" s="13" t="n"/>
      <c r="H2987" s="12" t="n"/>
      <c r="I2987" s="12" t="n"/>
      <c r="J2987" s="12" t="n"/>
      <c r="K2987" s="12" t="n"/>
      <c r="L2987" s="11" t="n"/>
      <c r="M2987" s="11" t="n"/>
      <c r="N2987" s="11" t="n"/>
      <c r="O2987" s="11" t="n"/>
      <c r="P2987" s="12" t="n"/>
      <c r="Q2987" s="11" t="n"/>
      <c r="R2987" s="12" t="n"/>
      <c r="S2987" s="11" t="n"/>
      <c r="T2987" s="12" t="n"/>
      <c r="U2987" s="12" t="n"/>
      <c r="V2987" s="12" t="n"/>
      <c r="W2987" s="13" t="n"/>
      <c r="X2987" s="14">
        <f>IF($AP2987="",IF($B2987="","",$H2987),IF(INDEX(職員マスタ!$B$6:$B$405,$AP2987)="",$H2987,INDEX(職員マスタ!$B$6:$B$405,$AP2987)))</f>
        <v/>
      </c>
      <c r="Y2987" s="14">
        <f>IF($AP2987="",IF($B2987="","",$R2987),IF(INDEX(職員マスタ!$C$6:$C$405,$AP2987)="",$R2987,INDEX(職員マスタ!$C$6:$C$405,$AP2987)))</f>
        <v/>
      </c>
      <c r="Z2987" s="14">
        <f>IF($AQ2987="","","R"&amp;$C2987&amp;"."&amp;$D2987)</f>
        <v/>
      </c>
      <c r="AA2987" s="15">
        <f>IF(IF($AP2987="",FALSE,INDEX(職員マスタ!$K$6:$K$405,$AP2987)&lt;&gt;""),INDEX(職員マスタ!$K$6:$K$405,$AP2987),IF(N($W2987)&gt;0,$W2987,""))</f>
        <v/>
      </c>
      <c r="AB2987" s="14">
        <f>IF(OR($E2987="",$AA2987=""),"",IF($E2987&gt;=$AA2987,"×",IF($E2987&gt;=$AA2987*設定!$C$5,"△","○")))</f>
        <v/>
      </c>
      <c r="AC2987" s="15">
        <f>IF($AB2987="","",IF($AB2987="×",0,IF($AB2987="○",ROUNDDOWN($E2987*設定!$C$4,0),ROUNDDOWN($E2987*ROUND((9*$AA2987-9*$E2987)/(10*$E2987),4),0))))</f>
        <v/>
      </c>
      <c r="AD2987" s="13" t="n"/>
      <c r="AE2987" s="15">
        <f>IF($B2987="","",IF($AD2987&lt;&gt;"",$AD2987,IF($AC2987="","",IF($AC2987&lt;=設定!$C$3,0,$AC2987))))</f>
        <v/>
      </c>
      <c r="AF2987" s="14">
        <f>IF($B2987="","",IF(AND($AG2987&lt;&gt;"",$AI2987="",$AL2987=""),"保留中",IF($AL2987&lt;&gt;"",IF(N($AE2987)&gt;0,"支給済","不支給"),IF($AE2987="","要確認",IF($AE2987=0,"不支給","未処理")))))</f>
        <v/>
      </c>
      <c r="AG2987" s="12" t="n"/>
      <c r="AH2987" s="11" t="n"/>
      <c r="AI2987" s="11" t="n"/>
      <c r="AJ2987" s="11" t="n"/>
      <c r="AK2987" s="14">
        <f>IF(AND($AF2987="保留中",$AH2987&lt;&gt;""),TODAY()-$AH2987,"")</f>
        <v/>
      </c>
      <c r="AL2987" s="12" t="n"/>
      <c r="AM2987" s="14">
        <f>IF($B2987="","",IF($AQ2987="","対象年月が未入力／","")&amp;IF($B2987="","",IF($AP2987="","職員マスタに未登録の職員番号／",IF($AA2987="","標準報酬月額が未登録／","")&amp;IF(AND($AQ2987&lt;&gt;"",OR(AND(INDEX(職員マスタ!$G$6:$G$405,$AP2987)&lt;&gt;"",INDEX(職員マスタ!$G$6:$G$405,$AP2987)&gt;EOMONTH($AQ2987,0)),AND(INDEX(職員マスタ!$H$6:$H$405,$AP2987)&lt;&gt;"",INDEX(職員マスタ!$H$6:$H$405,$AP2987)&lt;$AQ2987))),"対象月が時短期間外／","")&amp;IF(AND(INDEX(職員マスタ!$K$6:$K$405,$AP2987)&lt;&gt;"",N($W2987)&gt;0,INDEX(職員マスタ!$K$6:$K$405,$AP2987)&lt;&gt;$W2987),"標準報酬月額が申請書と相違（台帳"&amp;TEXT(INDEX(職員マスタ!$K$6:$K$405,$AP2987),"#,##0")&amp;"円／申請書"&amp;TEXT($W2987,"#,##0")&amp;"円）／","")&amp;IF(AND(INDEX(職員マスタ!$F$6:$F$405,$AP2987)&lt;&gt;"",$AQ2987&lt;&gt;"",INDEX(職員マスタ!$F$6:$F$405,$AP2987)&lt;$AQ2987),"対象月に子が2歳到達済／","")&amp;IF(AND($H2987&lt;&gt;"",INDEX(職員マスタ!$B$6:$B$405,$AP2987)&lt;&gt;"",SUBSTITUTE(SUBSTITUTE($H2987," ","")," ","")&lt;&gt;SUBSTITUTE(SUBSTITUTE(INDEX(職員マスタ!$B$6:$B$405,$AP2987)," ","")," ","")),"氏名がマスタと相違／","")&amp;IF(AND($Q2987&lt;&gt;"",INDEX(職員マスタ!$E$6:$E$405,$AP2987)&lt;&gt;"",$Q2987&lt;&gt;INDEX(職員マスタ!$E$6:$E$405,$AP2987)),"子の生年月日がマスタと相違／","")&amp;IF(AND($L2987&lt;&gt;"",INDEX(職員マスタ!$G$6:$G$405,$AP2987)&lt;&gt;"",$L2987&lt;&gt;INDEX(職員マスタ!$G$6:$G$405,$AP2987)),"時短開始日がマスタと相違／","")&amp;IF(AND($M2987&lt;&gt;"",INDEX(職員マスタ!$H$6:$H$405,$AP2987)&lt;&gt;"",$M2987&lt;&gt;INDEX(職員マスタ!$H$6:$H$405,$AP2987)),"時短終了日がマスタと相違／","")))&amp;IF(AND($B2987&lt;&gt;"",$E2987=""),"報酬額が未入力／","")&amp;IF(N($U2987)&gt;0,"申請書に入力エラーが残っています／","")&amp;IF(AND($B2987&lt;&gt;"",$AQ2987&lt;&gt;""),IF(COUNTIFS($B$6:$B$3005,$B2987,$C$6:$C$3005,$C2987,$D$6:$D$3005,$D2987)&gt;1,"同じ月の請求が重複しています／",""),"")&amp;IF(AND(N($E2987)&gt;0,$AB2987&lt;&gt;"",$AB2987&lt;&gt;"×",$AE2987=0,$AD2987=""),"計算額が下限以下のため不支給／",""))</f>
        <v/>
      </c>
      <c r="AN2987" s="12" t="n"/>
      <c r="AO2987" s="14">
        <f>IF($AF2987="保留中",COUNTIF($AF$6:$AF2987,"保留中"),"")</f>
        <v/>
      </c>
      <c r="AP2987" s="14">
        <f>IF($AQ2987="","",IF(SUMPRODUCT(MAX((職員マスタ!$A$6:$A$405=$B2987)*(((職員マスタ!$G$6:$G$405="")+(職員マスタ!$G$6:$G$405&lt;=EOMONTH($AQ2987,0)))&gt;0)*(((職員マスタ!$H$6:$H$405="")+(職員マスタ!$H$6:$H$405&gt;=$AQ2987))&gt;0)*(ROW(職員マスタ!$A$6:$A$405)-5)))&gt;0,SUMPRODUCT(MAX((職員マスタ!$A$6:$A$405=$B2987)*(((職員マスタ!$G$6:$G$405="")+(職員マスタ!$G$6:$G$405&lt;=EOMONTH($AQ2987,0)))&gt;0)*(((職員マスタ!$H$6:$H$405="")+(職員マスタ!$H$6:$H$405&gt;=$AQ2987))&gt;0)*(ROW(職員マスタ!$A$6:$A$405)-5))),IFERROR(MATCH($B2987,職員マスタ!$A$6:$A$405,0),"")))</f>
        <v/>
      </c>
      <c r="AQ2987" s="16">
        <f>IF(OR($B2987="",$C2987="",$D2987=""),"",DATE($C2987+2018,$D2987,1))</f>
        <v/>
      </c>
    </row>
    <row r="2988">
      <c r="A2988" s="11" t="n"/>
      <c r="B2988" s="12" t="n"/>
      <c r="C2988" s="12" t="n"/>
      <c r="D2988" s="12" t="n"/>
      <c r="E2988" s="13" t="n"/>
      <c r="F2988" s="12" t="n"/>
      <c r="G2988" s="13" t="n"/>
      <c r="H2988" s="12" t="n"/>
      <c r="I2988" s="12" t="n"/>
      <c r="J2988" s="12" t="n"/>
      <c r="K2988" s="12" t="n"/>
      <c r="L2988" s="11" t="n"/>
      <c r="M2988" s="11" t="n"/>
      <c r="N2988" s="11" t="n"/>
      <c r="O2988" s="11" t="n"/>
      <c r="P2988" s="12" t="n"/>
      <c r="Q2988" s="11" t="n"/>
      <c r="R2988" s="12" t="n"/>
      <c r="S2988" s="11" t="n"/>
      <c r="T2988" s="12" t="n"/>
      <c r="U2988" s="12" t="n"/>
      <c r="V2988" s="12" t="n"/>
      <c r="W2988" s="13" t="n"/>
      <c r="X2988" s="14">
        <f>IF($AP2988="",IF($B2988="","",$H2988),IF(INDEX(職員マスタ!$B$6:$B$405,$AP2988)="",$H2988,INDEX(職員マスタ!$B$6:$B$405,$AP2988)))</f>
        <v/>
      </c>
      <c r="Y2988" s="14">
        <f>IF($AP2988="",IF($B2988="","",$R2988),IF(INDEX(職員マスタ!$C$6:$C$405,$AP2988)="",$R2988,INDEX(職員マスタ!$C$6:$C$405,$AP2988)))</f>
        <v/>
      </c>
      <c r="Z2988" s="14">
        <f>IF($AQ2988="","","R"&amp;$C2988&amp;"."&amp;$D2988)</f>
        <v/>
      </c>
      <c r="AA2988" s="15">
        <f>IF(IF($AP2988="",FALSE,INDEX(職員マスタ!$K$6:$K$405,$AP2988)&lt;&gt;""),INDEX(職員マスタ!$K$6:$K$405,$AP2988),IF(N($W2988)&gt;0,$W2988,""))</f>
        <v/>
      </c>
      <c r="AB2988" s="14">
        <f>IF(OR($E2988="",$AA2988=""),"",IF($E2988&gt;=$AA2988,"×",IF($E2988&gt;=$AA2988*設定!$C$5,"△","○")))</f>
        <v/>
      </c>
      <c r="AC2988" s="15">
        <f>IF($AB2988="","",IF($AB2988="×",0,IF($AB2988="○",ROUNDDOWN($E2988*設定!$C$4,0),ROUNDDOWN($E2988*ROUND((9*$AA2988-9*$E2988)/(10*$E2988),4),0))))</f>
        <v/>
      </c>
      <c r="AD2988" s="13" t="n"/>
      <c r="AE2988" s="15">
        <f>IF($B2988="","",IF($AD2988&lt;&gt;"",$AD2988,IF($AC2988="","",IF($AC2988&lt;=設定!$C$3,0,$AC2988))))</f>
        <v/>
      </c>
      <c r="AF2988" s="14">
        <f>IF($B2988="","",IF(AND($AG2988&lt;&gt;"",$AI2988="",$AL2988=""),"保留中",IF($AL2988&lt;&gt;"",IF(N($AE2988)&gt;0,"支給済","不支給"),IF($AE2988="","要確認",IF($AE2988=0,"不支給","未処理")))))</f>
        <v/>
      </c>
      <c r="AG2988" s="12" t="n"/>
      <c r="AH2988" s="11" t="n"/>
      <c r="AI2988" s="11" t="n"/>
      <c r="AJ2988" s="11" t="n"/>
      <c r="AK2988" s="14">
        <f>IF(AND($AF2988="保留中",$AH2988&lt;&gt;""),TODAY()-$AH2988,"")</f>
        <v/>
      </c>
      <c r="AL2988" s="12" t="n"/>
      <c r="AM2988" s="14">
        <f>IF($B2988="","",IF($AQ2988="","対象年月が未入力／","")&amp;IF($B2988="","",IF($AP2988="","職員マスタに未登録の職員番号／",IF($AA2988="","標準報酬月額が未登録／","")&amp;IF(AND($AQ2988&lt;&gt;"",OR(AND(INDEX(職員マスタ!$G$6:$G$405,$AP2988)&lt;&gt;"",INDEX(職員マスタ!$G$6:$G$405,$AP2988)&gt;EOMONTH($AQ2988,0)),AND(INDEX(職員マスタ!$H$6:$H$405,$AP2988)&lt;&gt;"",INDEX(職員マスタ!$H$6:$H$405,$AP2988)&lt;$AQ2988))),"対象月が時短期間外／","")&amp;IF(AND(INDEX(職員マスタ!$K$6:$K$405,$AP2988)&lt;&gt;"",N($W2988)&gt;0,INDEX(職員マスタ!$K$6:$K$405,$AP2988)&lt;&gt;$W2988),"標準報酬月額が申請書と相違（台帳"&amp;TEXT(INDEX(職員マスタ!$K$6:$K$405,$AP2988),"#,##0")&amp;"円／申請書"&amp;TEXT($W2988,"#,##0")&amp;"円）／","")&amp;IF(AND(INDEX(職員マスタ!$F$6:$F$405,$AP2988)&lt;&gt;"",$AQ2988&lt;&gt;"",INDEX(職員マスタ!$F$6:$F$405,$AP2988)&lt;$AQ2988),"対象月に子が2歳到達済／","")&amp;IF(AND($H2988&lt;&gt;"",INDEX(職員マスタ!$B$6:$B$405,$AP2988)&lt;&gt;"",SUBSTITUTE(SUBSTITUTE($H2988," ","")," ","")&lt;&gt;SUBSTITUTE(SUBSTITUTE(INDEX(職員マスタ!$B$6:$B$405,$AP2988)," ","")," ","")),"氏名がマスタと相違／","")&amp;IF(AND($Q2988&lt;&gt;"",INDEX(職員マスタ!$E$6:$E$405,$AP2988)&lt;&gt;"",$Q2988&lt;&gt;INDEX(職員マスタ!$E$6:$E$405,$AP2988)),"子の生年月日がマスタと相違／","")&amp;IF(AND($L2988&lt;&gt;"",INDEX(職員マスタ!$G$6:$G$405,$AP2988)&lt;&gt;"",$L2988&lt;&gt;INDEX(職員マスタ!$G$6:$G$405,$AP2988)),"時短開始日がマスタと相違／","")&amp;IF(AND($M2988&lt;&gt;"",INDEX(職員マスタ!$H$6:$H$405,$AP2988)&lt;&gt;"",$M2988&lt;&gt;INDEX(職員マスタ!$H$6:$H$405,$AP2988)),"時短終了日がマスタと相違／","")))&amp;IF(AND($B2988&lt;&gt;"",$E2988=""),"報酬額が未入力／","")&amp;IF(N($U2988)&gt;0,"申請書に入力エラーが残っています／","")&amp;IF(AND($B2988&lt;&gt;"",$AQ2988&lt;&gt;""),IF(COUNTIFS($B$6:$B$3005,$B2988,$C$6:$C$3005,$C2988,$D$6:$D$3005,$D2988)&gt;1,"同じ月の請求が重複しています／",""),"")&amp;IF(AND(N($E2988)&gt;0,$AB2988&lt;&gt;"",$AB2988&lt;&gt;"×",$AE2988=0,$AD2988=""),"計算額が下限以下のため不支給／",""))</f>
        <v/>
      </c>
      <c r="AN2988" s="12" t="n"/>
      <c r="AO2988" s="14">
        <f>IF($AF2988="保留中",COUNTIF($AF$6:$AF2988,"保留中"),"")</f>
        <v/>
      </c>
      <c r="AP2988" s="14">
        <f>IF($AQ2988="","",IF(SUMPRODUCT(MAX((職員マスタ!$A$6:$A$405=$B2988)*(((職員マスタ!$G$6:$G$405="")+(職員マスタ!$G$6:$G$405&lt;=EOMONTH($AQ2988,0)))&gt;0)*(((職員マスタ!$H$6:$H$405="")+(職員マスタ!$H$6:$H$405&gt;=$AQ2988))&gt;0)*(ROW(職員マスタ!$A$6:$A$405)-5)))&gt;0,SUMPRODUCT(MAX((職員マスタ!$A$6:$A$405=$B2988)*(((職員マスタ!$G$6:$G$405="")+(職員マスタ!$G$6:$G$405&lt;=EOMONTH($AQ2988,0)))&gt;0)*(((職員マスタ!$H$6:$H$405="")+(職員マスタ!$H$6:$H$405&gt;=$AQ2988))&gt;0)*(ROW(職員マスタ!$A$6:$A$405)-5))),IFERROR(MATCH($B2988,職員マスタ!$A$6:$A$405,0),"")))</f>
        <v/>
      </c>
      <c r="AQ2988" s="16">
        <f>IF(OR($B2988="",$C2988="",$D2988=""),"",DATE($C2988+2018,$D2988,1))</f>
        <v/>
      </c>
    </row>
    <row r="2989">
      <c r="A2989" s="11" t="n"/>
      <c r="B2989" s="12" t="n"/>
      <c r="C2989" s="12" t="n"/>
      <c r="D2989" s="12" t="n"/>
      <c r="E2989" s="13" t="n"/>
      <c r="F2989" s="12" t="n"/>
      <c r="G2989" s="13" t="n"/>
      <c r="H2989" s="12" t="n"/>
      <c r="I2989" s="12" t="n"/>
      <c r="J2989" s="12" t="n"/>
      <c r="K2989" s="12" t="n"/>
      <c r="L2989" s="11" t="n"/>
      <c r="M2989" s="11" t="n"/>
      <c r="N2989" s="11" t="n"/>
      <c r="O2989" s="11" t="n"/>
      <c r="P2989" s="12" t="n"/>
      <c r="Q2989" s="11" t="n"/>
      <c r="R2989" s="12" t="n"/>
      <c r="S2989" s="11" t="n"/>
      <c r="T2989" s="12" t="n"/>
      <c r="U2989" s="12" t="n"/>
      <c r="V2989" s="12" t="n"/>
      <c r="W2989" s="13" t="n"/>
      <c r="X2989" s="14">
        <f>IF($AP2989="",IF($B2989="","",$H2989),IF(INDEX(職員マスタ!$B$6:$B$405,$AP2989)="",$H2989,INDEX(職員マスタ!$B$6:$B$405,$AP2989)))</f>
        <v/>
      </c>
      <c r="Y2989" s="14">
        <f>IF($AP2989="",IF($B2989="","",$R2989),IF(INDEX(職員マスタ!$C$6:$C$405,$AP2989)="",$R2989,INDEX(職員マスタ!$C$6:$C$405,$AP2989)))</f>
        <v/>
      </c>
      <c r="Z2989" s="14">
        <f>IF($AQ2989="","","R"&amp;$C2989&amp;"."&amp;$D2989)</f>
        <v/>
      </c>
      <c r="AA2989" s="15">
        <f>IF(IF($AP2989="",FALSE,INDEX(職員マスタ!$K$6:$K$405,$AP2989)&lt;&gt;""),INDEX(職員マスタ!$K$6:$K$405,$AP2989),IF(N($W2989)&gt;0,$W2989,""))</f>
        <v/>
      </c>
      <c r="AB2989" s="14">
        <f>IF(OR($E2989="",$AA2989=""),"",IF($E2989&gt;=$AA2989,"×",IF($E2989&gt;=$AA2989*設定!$C$5,"△","○")))</f>
        <v/>
      </c>
      <c r="AC2989" s="15">
        <f>IF($AB2989="","",IF($AB2989="×",0,IF($AB2989="○",ROUNDDOWN($E2989*設定!$C$4,0),ROUNDDOWN($E2989*ROUND((9*$AA2989-9*$E2989)/(10*$E2989),4),0))))</f>
        <v/>
      </c>
      <c r="AD2989" s="13" t="n"/>
      <c r="AE2989" s="15">
        <f>IF($B2989="","",IF($AD2989&lt;&gt;"",$AD2989,IF($AC2989="","",IF($AC2989&lt;=設定!$C$3,0,$AC2989))))</f>
        <v/>
      </c>
      <c r="AF2989" s="14">
        <f>IF($B2989="","",IF(AND($AG2989&lt;&gt;"",$AI2989="",$AL2989=""),"保留中",IF($AL2989&lt;&gt;"",IF(N($AE2989)&gt;0,"支給済","不支給"),IF($AE2989="","要確認",IF($AE2989=0,"不支給","未処理")))))</f>
        <v/>
      </c>
      <c r="AG2989" s="12" t="n"/>
      <c r="AH2989" s="11" t="n"/>
      <c r="AI2989" s="11" t="n"/>
      <c r="AJ2989" s="11" t="n"/>
      <c r="AK2989" s="14">
        <f>IF(AND($AF2989="保留中",$AH2989&lt;&gt;""),TODAY()-$AH2989,"")</f>
        <v/>
      </c>
      <c r="AL2989" s="12" t="n"/>
      <c r="AM2989" s="14">
        <f>IF($B2989="","",IF($AQ2989="","対象年月が未入力／","")&amp;IF($B2989="","",IF($AP2989="","職員マスタに未登録の職員番号／",IF($AA2989="","標準報酬月額が未登録／","")&amp;IF(AND($AQ2989&lt;&gt;"",OR(AND(INDEX(職員マスタ!$G$6:$G$405,$AP2989)&lt;&gt;"",INDEX(職員マスタ!$G$6:$G$405,$AP2989)&gt;EOMONTH($AQ2989,0)),AND(INDEX(職員マスタ!$H$6:$H$405,$AP2989)&lt;&gt;"",INDEX(職員マスタ!$H$6:$H$405,$AP2989)&lt;$AQ2989))),"対象月が時短期間外／","")&amp;IF(AND(INDEX(職員マスタ!$K$6:$K$405,$AP2989)&lt;&gt;"",N($W2989)&gt;0,INDEX(職員マスタ!$K$6:$K$405,$AP2989)&lt;&gt;$W2989),"標準報酬月額が申請書と相違（台帳"&amp;TEXT(INDEX(職員マスタ!$K$6:$K$405,$AP2989),"#,##0")&amp;"円／申請書"&amp;TEXT($W2989,"#,##0")&amp;"円）／","")&amp;IF(AND(INDEX(職員マスタ!$F$6:$F$405,$AP2989)&lt;&gt;"",$AQ2989&lt;&gt;"",INDEX(職員マスタ!$F$6:$F$405,$AP2989)&lt;$AQ2989),"対象月に子が2歳到達済／","")&amp;IF(AND($H2989&lt;&gt;"",INDEX(職員マスタ!$B$6:$B$405,$AP2989)&lt;&gt;"",SUBSTITUTE(SUBSTITUTE($H2989," ","")," ","")&lt;&gt;SUBSTITUTE(SUBSTITUTE(INDEX(職員マスタ!$B$6:$B$405,$AP2989)," ","")," ","")),"氏名がマスタと相違／","")&amp;IF(AND($Q2989&lt;&gt;"",INDEX(職員マスタ!$E$6:$E$405,$AP2989)&lt;&gt;"",$Q2989&lt;&gt;INDEX(職員マスタ!$E$6:$E$405,$AP2989)),"子の生年月日がマスタと相違／","")&amp;IF(AND($L2989&lt;&gt;"",INDEX(職員マスタ!$G$6:$G$405,$AP2989)&lt;&gt;"",$L2989&lt;&gt;INDEX(職員マスタ!$G$6:$G$405,$AP2989)),"時短開始日がマスタと相違／","")&amp;IF(AND($M2989&lt;&gt;"",INDEX(職員マスタ!$H$6:$H$405,$AP2989)&lt;&gt;"",$M2989&lt;&gt;INDEX(職員マスタ!$H$6:$H$405,$AP2989)),"時短終了日がマスタと相違／","")))&amp;IF(AND($B2989&lt;&gt;"",$E2989=""),"報酬額が未入力／","")&amp;IF(N($U2989)&gt;0,"申請書に入力エラーが残っています／","")&amp;IF(AND($B2989&lt;&gt;"",$AQ2989&lt;&gt;""),IF(COUNTIFS($B$6:$B$3005,$B2989,$C$6:$C$3005,$C2989,$D$6:$D$3005,$D2989)&gt;1,"同じ月の請求が重複しています／",""),"")&amp;IF(AND(N($E2989)&gt;0,$AB2989&lt;&gt;"",$AB2989&lt;&gt;"×",$AE2989=0,$AD2989=""),"計算額が下限以下のため不支給／",""))</f>
        <v/>
      </c>
      <c r="AN2989" s="12" t="n"/>
      <c r="AO2989" s="14">
        <f>IF($AF2989="保留中",COUNTIF($AF$6:$AF2989,"保留中"),"")</f>
        <v/>
      </c>
      <c r="AP2989" s="14">
        <f>IF($AQ2989="","",IF(SUMPRODUCT(MAX((職員マスタ!$A$6:$A$405=$B2989)*(((職員マスタ!$G$6:$G$405="")+(職員マスタ!$G$6:$G$405&lt;=EOMONTH($AQ2989,0)))&gt;0)*(((職員マスタ!$H$6:$H$405="")+(職員マスタ!$H$6:$H$405&gt;=$AQ2989))&gt;0)*(ROW(職員マスタ!$A$6:$A$405)-5)))&gt;0,SUMPRODUCT(MAX((職員マスタ!$A$6:$A$405=$B2989)*(((職員マスタ!$G$6:$G$405="")+(職員マスタ!$G$6:$G$405&lt;=EOMONTH($AQ2989,0)))&gt;0)*(((職員マスタ!$H$6:$H$405="")+(職員マスタ!$H$6:$H$405&gt;=$AQ2989))&gt;0)*(ROW(職員マスタ!$A$6:$A$405)-5))),IFERROR(MATCH($B2989,職員マスタ!$A$6:$A$405,0),"")))</f>
        <v/>
      </c>
      <c r="AQ2989" s="16">
        <f>IF(OR($B2989="",$C2989="",$D2989=""),"",DATE($C2989+2018,$D2989,1))</f>
        <v/>
      </c>
    </row>
    <row r="2990">
      <c r="A2990" s="11" t="n"/>
      <c r="B2990" s="12" t="n"/>
      <c r="C2990" s="12" t="n"/>
      <c r="D2990" s="12" t="n"/>
      <c r="E2990" s="13" t="n"/>
      <c r="F2990" s="12" t="n"/>
      <c r="G2990" s="13" t="n"/>
      <c r="H2990" s="12" t="n"/>
      <c r="I2990" s="12" t="n"/>
      <c r="J2990" s="12" t="n"/>
      <c r="K2990" s="12" t="n"/>
      <c r="L2990" s="11" t="n"/>
      <c r="M2990" s="11" t="n"/>
      <c r="N2990" s="11" t="n"/>
      <c r="O2990" s="11" t="n"/>
      <c r="P2990" s="12" t="n"/>
      <c r="Q2990" s="11" t="n"/>
      <c r="R2990" s="12" t="n"/>
      <c r="S2990" s="11" t="n"/>
      <c r="T2990" s="12" t="n"/>
      <c r="U2990" s="12" t="n"/>
      <c r="V2990" s="12" t="n"/>
      <c r="W2990" s="13" t="n"/>
      <c r="X2990" s="14">
        <f>IF($AP2990="",IF($B2990="","",$H2990),IF(INDEX(職員マスタ!$B$6:$B$405,$AP2990)="",$H2990,INDEX(職員マスタ!$B$6:$B$405,$AP2990)))</f>
        <v/>
      </c>
      <c r="Y2990" s="14">
        <f>IF($AP2990="",IF($B2990="","",$R2990),IF(INDEX(職員マスタ!$C$6:$C$405,$AP2990)="",$R2990,INDEX(職員マスタ!$C$6:$C$405,$AP2990)))</f>
        <v/>
      </c>
      <c r="Z2990" s="14">
        <f>IF($AQ2990="","","R"&amp;$C2990&amp;"."&amp;$D2990)</f>
        <v/>
      </c>
      <c r="AA2990" s="15">
        <f>IF(IF($AP2990="",FALSE,INDEX(職員マスタ!$K$6:$K$405,$AP2990)&lt;&gt;""),INDEX(職員マスタ!$K$6:$K$405,$AP2990),IF(N($W2990)&gt;0,$W2990,""))</f>
        <v/>
      </c>
      <c r="AB2990" s="14">
        <f>IF(OR($E2990="",$AA2990=""),"",IF($E2990&gt;=$AA2990,"×",IF($E2990&gt;=$AA2990*設定!$C$5,"△","○")))</f>
        <v/>
      </c>
      <c r="AC2990" s="15">
        <f>IF($AB2990="","",IF($AB2990="×",0,IF($AB2990="○",ROUNDDOWN($E2990*設定!$C$4,0),ROUNDDOWN($E2990*ROUND((9*$AA2990-9*$E2990)/(10*$E2990),4),0))))</f>
        <v/>
      </c>
      <c r="AD2990" s="13" t="n"/>
      <c r="AE2990" s="15">
        <f>IF($B2990="","",IF($AD2990&lt;&gt;"",$AD2990,IF($AC2990="","",IF($AC2990&lt;=設定!$C$3,0,$AC2990))))</f>
        <v/>
      </c>
      <c r="AF2990" s="14">
        <f>IF($B2990="","",IF(AND($AG2990&lt;&gt;"",$AI2990="",$AL2990=""),"保留中",IF($AL2990&lt;&gt;"",IF(N($AE2990)&gt;0,"支給済","不支給"),IF($AE2990="","要確認",IF($AE2990=0,"不支給","未処理")))))</f>
        <v/>
      </c>
      <c r="AG2990" s="12" t="n"/>
      <c r="AH2990" s="11" t="n"/>
      <c r="AI2990" s="11" t="n"/>
      <c r="AJ2990" s="11" t="n"/>
      <c r="AK2990" s="14">
        <f>IF(AND($AF2990="保留中",$AH2990&lt;&gt;""),TODAY()-$AH2990,"")</f>
        <v/>
      </c>
      <c r="AL2990" s="12" t="n"/>
      <c r="AM2990" s="14">
        <f>IF($B2990="","",IF($AQ2990="","対象年月が未入力／","")&amp;IF($B2990="","",IF($AP2990="","職員マスタに未登録の職員番号／",IF($AA2990="","標準報酬月額が未登録／","")&amp;IF(AND($AQ2990&lt;&gt;"",OR(AND(INDEX(職員マスタ!$G$6:$G$405,$AP2990)&lt;&gt;"",INDEX(職員マスタ!$G$6:$G$405,$AP2990)&gt;EOMONTH($AQ2990,0)),AND(INDEX(職員マスタ!$H$6:$H$405,$AP2990)&lt;&gt;"",INDEX(職員マスタ!$H$6:$H$405,$AP2990)&lt;$AQ2990))),"対象月が時短期間外／","")&amp;IF(AND(INDEX(職員マスタ!$K$6:$K$405,$AP2990)&lt;&gt;"",N($W2990)&gt;0,INDEX(職員マスタ!$K$6:$K$405,$AP2990)&lt;&gt;$W2990),"標準報酬月額が申請書と相違（台帳"&amp;TEXT(INDEX(職員マスタ!$K$6:$K$405,$AP2990),"#,##0")&amp;"円／申請書"&amp;TEXT($W2990,"#,##0")&amp;"円）／","")&amp;IF(AND(INDEX(職員マスタ!$F$6:$F$405,$AP2990)&lt;&gt;"",$AQ2990&lt;&gt;"",INDEX(職員マスタ!$F$6:$F$405,$AP2990)&lt;$AQ2990),"対象月に子が2歳到達済／","")&amp;IF(AND($H2990&lt;&gt;"",INDEX(職員マスタ!$B$6:$B$405,$AP2990)&lt;&gt;"",SUBSTITUTE(SUBSTITUTE($H2990," ","")," ","")&lt;&gt;SUBSTITUTE(SUBSTITUTE(INDEX(職員マスタ!$B$6:$B$405,$AP2990)," ","")," ","")),"氏名がマスタと相違／","")&amp;IF(AND($Q2990&lt;&gt;"",INDEX(職員マスタ!$E$6:$E$405,$AP2990)&lt;&gt;"",$Q2990&lt;&gt;INDEX(職員マスタ!$E$6:$E$405,$AP2990)),"子の生年月日がマスタと相違／","")&amp;IF(AND($L2990&lt;&gt;"",INDEX(職員マスタ!$G$6:$G$405,$AP2990)&lt;&gt;"",$L2990&lt;&gt;INDEX(職員マスタ!$G$6:$G$405,$AP2990)),"時短開始日がマスタと相違／","")&amp;IF(AND($M2990&lt;&gt;"",INDEX(職員マスタ!$H$6:$H$405,$AP2990)&lt;&gt;"",$M2990&lt;&gt;INDEX(職員マスタ!$H$6:$H$405,$AP2990)),"時短終了日がマスタと相違／","")))&amp;IF(AND($B2990&lt;&gt;"",$E2990=""),"報酬額が未入力／","")&amp;IF(N($U2990)&gt;0,"申請書に入力エラーが残っています／","")&amp;IF(AND($B2990&lt;&gt;"",$AQ2990&lt;&gt;""),IF(COUNTIFS($B$6:$B$3005,$B2990,$C$6:$C$3005,$C2990,$D$6:$D$3005,$D2990)&gt;1,"同じ月の請求が重複しています／",""),"")&amp;IF(AND(N($E2990)&gt;0,$AB2990&lt;&gt;"",$AB2990&lt;&gt;"×",$AE2990=0,$AD2990=""),"計算額が下限以下のため不支給／",""))</f>
        <v/>
      </c>
      <c r="AN2990" s="12" t="n"/>
      <c r="AO2990" s="14">
        <f>IF($AF2990="保留中",COUNTIF($AF$6:$AF2990,"保留中"),"")</f>
        <v/>
      </c>
      <c r="AP2990" s="14">
        <f>IF($AQ2990="","",IF(SUMPRODUCT(MAX((職員マスタ!$A$6:$A$405=$B2990)*(((職員マスタ!$G$6:$G$405="")+(職員マスタ!$G$6:$G$405&lt;=EOMONTH($AQ2990,0)))&gt;0)*(((職員マスタ!$H$6:$H$405="")+(職員マスタ!$H$6:$H$405&gt;=$AQ2990))&gt;0)*(ROW(職員マスタ!$A$6:$A$405)-5)))&gt;0,SUMPRODUCT(MAX((職員マスタ!$A$6:$A$405=$B2990)*(((職員マスタ!$G$6:$G$405="")+(職員マスタ!$G$6:$G$405&lt;=EOMONTH($AQ2990,0)))&gt;0)*(((職員マスタ!$H$6:$H$405="")+(職員マスタ!$H$6:$H$405&gt;=$AQ2990))&gt;0)*(ROW(職員マスタ!$A$6:$A$405)-5))),IFERROR(MATCH($B2990,職員マスタ!$A$6:$A$405,0),"")))</f>
        <v/>
      </c>
      <c r="AQ2990" s="16">
        <f>IF(OR($B2990="",$C2990="",$D2990=""),"",DATE($C2990+2018,$D2990,1))</f>
        <v/>
      </c>
    </row>
    <row r="2991">
      <c r="A2991" s="11" t="n"/>
      <c r="B2991" s="12" t="n"/>
      <c r="C2991" s="12" t="n"/>
      <c r="D2991" s="12" t="n"/>
      <c r="E2991" s="13" t="n"/>
      <c r="F2991" s="12" t="n"/>
      <c r="G2991" s="13" t="n"/>
      <c r="H2991" s="12" t="n"/>
      <c r="I2991" s="12" t="n"/>
      <c r="J2991" s="12" t="n"/>
      <c r="K2991" s="12" t="n"/>
      <c r="L2991" s="11" t="n"/>
      <c r="M2991" s="11" t="n"/>
      <c r="N2991" s="11" t="n"/>
      <c r="O2991" s="11" t="n"/>
      <c r="P2991" s="12" t="n"/>
      <c r="Q2991" s="11" t="n"/>
      <c r="R2991" s="12" t="n"/>
      <c r="S2991" s="11" t="n"/>
      <c r="T2991" s="12" t="n"/>
      <c r="U2991" s="12" t="n"/>
      <c r="V2991" s="12" t="n"/>
      <c r="W2991" s="13" t="n"/>
      <c r="X2991" s="14">
        <f>IF($AP2991="",IF($B2991="","",$H2991),IF(INDEX(職員マスタ!$B$6:$B$405,$AP2991)="",$H2991,INDEX(職員マスタ!$B$6:$B$405,$AP2991)))</f>
        <v/>
      </c>
      <c r="Y2991" s="14">
        <f>IF($AP2991="",IF($B2991="","",$R2991),IF(INDEX(職員マスタ!$C$6:$C$405,$AP2991)="",$R2991,INDEX(職員マスタ!$C$6:$C$405,$AP2991)))</f>
        <v/>
      </c>
      <c r="Z2991" s="14">
        <f>IF($AQ2991="","","R"&amp;$C2991&amp;"."&amp;$D2991)</f>
        <v/>
      </c>
      <c r="AA2991" s="15">
        <f>IF(IF($AP2991="",FALSE,INDEX(職員マスタ!$K$6:$K$405,$AP2991)&lt;&gt;""),INDEX(職員マスタ!$K$6:$K$405,$AP2991),IF(N($W2991)&gt;0,$W2991,""))</f>
        <v/>
      </c>
      <c r="AB2991" s="14">
        <f>IF(OR($E2991="",$AA2991=""),"",IF($E2991&gt;=$AA2991,"×",IF($E2991&gt;=$AA2991*設定!$C$5,"△","○")))</f>
        <v/>
      </c>
      <c r="AC2991" s="15">
        <f>IF($AB2991="","",IF($AB2991="×",0,IF($AB2991="○",ROUNDDOWN($E2991*設定!$C$4,0),ROUNDDOWN($E2991*ROUND((9*$AA2991-9*$E2991)/(10*$E2991),4),0))))</f>
        <v/>
      </c>
      <c r="AD2991" s="13" t="n"/>
      <c r="AE2991" s="15">
        <f>IF($B2991="","",IF($AD2991&lt;&gt;"",$AD2991,IF($AC2991="","",IF($AC2991&lt;=設定!$C$3,0,$AC2991))))</f>
        <v/>
      </c>
      <c r="AF2991" s="14">
        <f>IF($B2991="","",IF(AND($AG2991&lt;&gt;"",$AI2991="",$AL2991=""),"保留中",IF($AL2991&lt;&gt;"",IF(N($AE2991)&gt;0,"支給済","不支給"),IF($AE2991="","要確認",IF($AE2991=0,"不支給","未処理")))))</f>
        <v/>
      </c>
      <c r="AG2991" s="12" t="n"/>
      <c r="AH2991" s="11" t="n"/>
      <c r="AI2991" s="11" t="n"/>
      <c r="AJ2991" s="11" t="n"/>
      <c r="AK2991" s="14">
        <f>IF(AND($AF2991="保留中",$AH2991&lt;&gt;""),TODAY()-$AH2991,"")</f>
        <v/>
      </c>
      <c r="AL2991" s="12" t="n"/>
      <c r="AM2991" s="14">
        <f>IF($B2991="","",IF($AQ2991="","対象年月が未入力／","")&amp;IF($B2991="","",IF($AP2991="","職員マスタに未登録の職員番号／",IF($AA2991="","標準報酬月額が未登録／","")&amp;IF(AND($AQ2991&lt;&gt;"",OR(AND(INDEX(職員マスタ!$G$6:$G$405,$AP2991)&lt;&gt;"",INDEX(職員マスタ!$G$6:$G$405,$AP2991)&gt;EOMONTH($AQ2991,0)),AND(INDEX(職員マスタ!$H$6:$H$405,$AP2991)&lt;&gt;"",INDEX(職員マスタ!$H$6:$H$405,$AP2991)&lt;$AQ2991))),"対象月が時短期間外／","")&amp;IF(AND(INDEX(職員マスタ!$K$6:$K$405,$AP2991)&lt;&gt;"",N($W2991)&gt;0,INDEX(職員マスタ!$K$6:$K$405,$AP2991)&lt;&gt;$W2991),"標準報酬月額が申請書と相違（台帳"&amp;TEXT(INDEX(職員マスタ!$K$6:$K$405,$AP2991),"#,##0")&amp;"円／申請書"&amp;TEXT($W2991,"#,##0")&amp;"円）／","")&amp;IF(AND(INDEX(職員マスタ!$F$6:$F$405,$AP2991)&lt;&gt;"",$AQ2991&lt;&gt;"",INDEX(職員マスタ!$F$6:$F$405,$AP2991)&lt;$AQ2991),"対象月に子が2歳到達済／","")&amp;IF(AND($H2991&lt;&gt;"",INDEX(職員マスタ!$B$6:$B$405,$AP2991)&lt;&gt;"",SUBSTITUTE(SUBSTITUTE($H2991," ","")," ","")&lt;&gt;SUBSTITUTE(SUBSTITUTE(INDEX(職員マスタ!$B$6:$B$405,$AP2991)," ","")," ","")),"氏名がマスタと相違／","")&amp;IF(AND($Q2991&lt;&gt;"",INDEX(職員マスタ!$E$6:$E$405,$AP2991)&lt;&gt;"",$Q2991&lt;&gt;INDEX(職員マスタ!$E$6:$E$405,$AP2991)),"子の生年月日がマスタと相違／","")&amp;IF(AND($L2991&lt;&gt;"",INDEX(職員マスタ!$G$6:$G$405,$AP2991)&lt;&gt;"",$L2991&lt;&gt;INDEX(職員マスタ!$G$6:$G$405,$AP2991)),"時短開始日がマスタと相違／","")&amp;IF(AND($M2991&lt;&gt;"",INDEX(職員マスタ!$H$6:$H$405,$AP2991)&lt;&gt;"",$M2991&lt;&gt;INDEX(職員マスタ!$H$6:$H$405,$AP2991)),"時短終了日がマスタと相違／","")))&amp;IF(AND($B2991&lt;&gt;"",$E2991=""),"報酬額が未入力／","")&amp;IF(N($U2991)&gt;0,"申請書に入力エラーが残っています／","")&amp;IF(AND($B2991&lt;&gt;"",$AQ2991&lt;&gt;""),IF(COUNTIFS($B$6:$B$3005,$B2991,$C$6:$C$3005,$C2991,$D$6:$D$3005,$D2991)&gt;1,"同じ月の請求が重複しています／",""),"")&amp;IF(AND(N($E2991)&gt;0,$AB2991&lt;&gt;"",$AB2991&lt;&gt;"×",$AE2991=0,$AD2991=""),"計算額が下限以下のため不支給／",""))</f>
        <v/>
      </c>
      <c r="AN2991" s="12" t="n"/>
      <c r="AO2991" s="14">
        <f>IF($AF2991="保留中",COUNTIF($AF$6:$AF2991,"保留中"),"")</f>
        <v/>
      </c>
      <c r="AP2991" s="14">
        <f>IF($AQ2991="","",IF(SUMPRODUCT(MAX((職員マスタ!$A$6:$A$405=$B2991)*(((職員マスタ!$G$6:$G$405="")+(職員マスタ!$G$6:$G$405&lt;=EOMONTH($AQ2991,0)))&gt;0)*(((職員マスタ!$H$6:$H$405="")+(職員マスタ!$H$6:$H$405&gt;=$AQ2991))&gt;0)*(ROW(職員マスタ!$A$6:$A$405)-5)))&gt;0,SUMPRODUCT(MAX((職員マスタ!$A$6:$A$405=$B2991)*(((職員マスタ!$G$6:$G$405="")+(職員マスタ!$G$6:$G$405&lt;=EOMONTH($AQ2991,0)))&gt;0)*(((職員マスタ!$H$6:$H$405="")+(職員マスタ!$H$6:$H$405&gt;=$AQ2991))&gt;0)*(ROW(職員マスタ!$A$6:$A$405)-5))),IFERROR(MATCH($B2991,職員マスタ!$A$6:$A$405,0),"")))</f>
        <v/>
      </c>
      <c r="AQ2991" s="16">
        <f>IF(OR($B2991="",$C2991="",$D2991=""),"",DATE($C2991+2018,$D2991,1))</f>
        <v/>
      </c>
    </row>
    <row r="2992">
      <c r="A2992" s="11" t="n"/>
      <c r="B2992" s="12" t="n"/>
      <c r="C2992" s="12" t="n"/>
      <c r="D2992" s="12" t="n"/>
      <c r="E2992" s="13" t="n"/>
      <c r="F2992" s="12" t="n"/>
      <c r="G2992" s="13" t="n"/>
      <c r="H2992" s="12" t="n"/>
      <c r="I2992" s="12" t="n"/>
      <c r="J2992" s="12" t="n"/>
      <c r="K2992" s="12" t="n"/>
      <c r="L2992" s="11" t="n"/>
      <c r="M2992" s="11" t="n"/>
      <c r="N2992" s="11" t="n"/>
      <c r="O2992" s="11" t="n"/>
      <c r="P2992" s="12" t="n"/>
      <c r="Q2992" s="11" t="n"/>
      <c r="R2992" s="12" t="n"/>
      <c r="S2992" s="11" t="n"/>
      <c r="T2992" s="12" t="n"/>
      <c r="U2992" s="12" t="n"/>
      <c r="V2992" s="12" t="n"/>
      <c r="W2992" s="13" t="n"/>
      <c r="X2992" s="14">
        <f>IF($AP2992="",IF($B2992="","",$H2992),IF(INDEX(職員マスタ!$B$6:$B$405,$AP2992)="",$H2992,INDEX(職員マスタ!$B$6:$B$405,$AP2992)))</f>
        <v/>
      </c>
      <c r="Y2992" s="14">
        <f>IF($AP2992="",IF($B2992="","",$R2992),IF(INDEX(職員マスタ!$C$6:$C$405,$AP2992)="",$R2992,INDEX(職員マスタ!$C$6:$C$405,$AP2992)))</f>
        <v/>
      </c>
      <c r="Z2992" s="14">
        <f>IF($AQ2992="","","R"&amp;$C2992&amp;"."&amp;$D2992)</f>
        <v/>
      </c>
      <c r="AA2992" s="15">
        <f>IF(IF($AP2992="",FALSE,INDEX(職員マスタ!$K$6:$K$405,$AP2992)&lt;&gt;""),INDEX(職員マスタ!$K$6:$K$405,$AP2992),IF(N($W2992)&gt;0,$W2992,""))</f>
        <v/>
      </c>
      <c r="AB2992" s="14">
        <f>IF(OR($E2992="",$AA2992=""),"",IF($E2992&gt;=$AA2992,"×",IF($E2992&gt;=$AA2992*設定!$C$5,"△","○")))</f>
        <v/>
      </c>
      <c r="AC2992" s="15">
        <f>IF($AB2992="","",IF($AB2992="×",0,IF($AB2992="○",ROUNDDOWN($E2992*設定!$C$4,0),ROUNDDOWN($E2992*ROUND((9*$AA2992-9*$E2992)/(10*$E2992),4),0))))</f>
        <v/>
      </c>
      <c r="AD2992" s="13" t="n"/>
      <c r="AE2992" s="15">
        <f>IF($B2992="","",IF($AD2992&lt;&gt;"",$AD2992,IF($AC2992="","",IF($AC2992&lt;=設定!$C$3,0,$AC2992))))</f>
        <v/>
      </c>
      <c r="AF2992" s="14">
        <f>IF($B2992="","",IF(AND($AG2992&lt;&gt;"",$AI2992="",$AL2992=""),"保留中",IF($AL2992&lt;&gt;"",IF(N($AE2992)&gt;0,"支給済","不支給"),IF($AE2992="","要確認",IF($AE2992=0,"不支給","未処理")))))</f>
        <v/>
      </c>
      <c r="AG2992" s="12" t="n"/>
      <c r="AH2992" s="11" t="n"/>
      <c r="AI2992" s="11" t="n"/>
      <c r="AJ2992" s="11" t="n"/>
      <c r="AK2992" s="14">
        <f>IF(AND($AF2992="保留中",$AH2992&lt;&gt;""),TODAY()-$AH2992,"")</f>
        <v/>
      </c>
      <c r="AL2992" s="12" t="n"/>
      <c r="AM2992" s="14">
        <f>IF($B2992="","",IF($AQ2992="","対象年月が未入力／","")&amp;IF($B2992="","",IF($AP2992="","職員マスタに未登録の職員番号／",IF($AA2992="","標準報酬月額が未登録／","")&amp;IF(AND($AQ2992&lt;&gt;"",OR(AND(INDEX(職員マスタ!$G$6:$G$405,$AP2992)&lt;&gt;"",INDEX(職員マスタ!$G$6:$G$405,$AP2992)&gt;EOMONTH($AQ2992,0)),AND(INDEX(職員マスタ!$H$6:$H$405,$AP2992)&lt;&gt;"",INDEX(職員マスタ!$H$6:$H$405,$AP2992)&lt;$AQ2992))),"対象月が時短期間外／","")&amp;IF(AND(INDEX(職員マスタ!$K$6:$K$405,$AP2992)&lt;&gt;"",N($W2992)&gt;0,INDEX(職員マスタ!$K$6:$K$405,$AP2992)&lt;&gt;$W2992),"標準報酬月額が申請書と相違（台帳"&amp;TEXT(INDEX(職員マスタ!$K$6:$K$405,$AP2992),"#,##0")&amp;"円／申請書"&amp;TEXT($W2992,"#,##0")&amp;"円）／","")&amp;IF(AND(INDEX(職員マスタ!$F$6:$F$405,$AP2992)&lt;&gt;"",$AQ2992&lt;&gt;"",INDEX(職員マスタ!$F$6:$F$405,$AP2992)&lt;$AQ2992),"対象月に子が2歳到達済／","")&amp;IF(AND($H2992&lt;&gt;"",INDEX(職員マスタ!$B$6:$B$405,$AP2992)&lt;&gt;"",SUBSTITUTE(SUBSTITUTE($H2992," ","")," ","")&lt;&gt;SUBSTITUTE(SUBSTITUTE(INDEX(職員マスタ!$B$6:$B$405,$AP2992)," ","")," ","")),"氏名がマスタと相違／","")&amp;IF(AND($Q2992&lt;&gt;"",INDEX(職員マスタ!$E$6:$E$405,$AP2992)&lt;&gt;"",$Q2992&lt;&gt;INDEX(職員マスタ!$E$6:$E$405,$AP2992)),"子の生年月日がマスタと相違／","")&amp;IF(AND($L2992&lt;&gt;"",INDEX(職員マスタ!$G$6:$G$405,$AP2992)&lt;&gt;"",$L2992&lt;&gt;INDEX(職員マスタ!$G$6:$G$405,$AP2992)),"時短開始日がマスタと相違／","")&amp;IF(AND($M2992&lt;&gt;"",INDEX(職員マスタ!$H$6:$H$405,$AP2992)&lt;&gt;"",$M2992&lt;&gt;INDEX(職員マスタ!$H$6:$H$405,$AP2992)),"時短終了日がマスタと相違／","")))&amp;IF(AND($B2992&lt;&gt;"",$E2992=""),"報酬額が未入力／","")&amp;IF(N($U2992)&gt;0,"申請書に入力エラーが残っています／","")&amp;IF(AND($B2992&lt;&gt;"",$AQ2992&lt;&gt;""),IF(COUNTIFS($B$6:$B$3005,$B2992,$C$6:$C$3005,$C2992,$D$6:$D$3005,$D2992)&gt;1,"同じ月の請求が重複しています／",""),"")&amp;IF(AND(N($E2992)&gt;0,$AB2992&lt;&gt;"",$AB2992&lt;&gt;"×",$AE2992=0,$AD2992=""),"計算額が下限以下のため不支給／",""))</f>
        <v/>
      </c>
      <c r="AN2992" s="12" t="n"/>
      <c r="AO2992" s="14">
        <f>IF($AF2992="保留中",COUNTIF($AF$6:$AF2992,"保留中"),"")</f>
        <v/>
      </c>
      <c r="AP2992" s="14">
        <f>IF($AQ2992="","",IF(SUMPRODUCT(MAX((職員マスタ!$A$6:$A$405=$B2992)*(((職員マスタ!$G$6:$G$405="")+(職員マスタ!$G$6:$G$405&lt;=EOMONTH($AQ2992,0)))&gt;0)*(((職員マスタ!$H$6:$H$405="")+(職員マスタ!$H$6:$H$405&gt;=$AQ2992))&gt;0)*(ROW(職員マスタ!$A$6:$A$405)-5)))&gt;0,SUMPRODUCT(MAX((職員マスタ!$A$6:$A$405=$B2992)*(((職員マスタ!$G$6:$G$405="")+(職員マスタ!$G$6:$G$405&lt;=EOMONTH($AQ2992,0)))&gt;0)*(((職員マスタ!$H$6:$H$405="")+(職員マスタ!$H$6:$H$405&gt;=$AQ2992))&gt;0)*(ROW(職員マスタ!$A$6:$A$405)-5))),IFERROR(MATCH($B2992,職員マスタ!$A$6:$A$405,0),"")))</f>
        <v/>
      </c>
      <c r="AQ2992" s="16">
        <f>IF(OR($B2992="",$C2992="",$D2992=""),"",DATE($C2992+2018,$D2992,1))</f>
        <v/>
      </c>
    </row>
    <row r="2993">
      <c r="A2993" s="11" t="n"/>
      <c r="B2993" s="12" t="n"/>
      <c r="C2993" s="12" t="n"/>
      <c r="D2993" s="12" t="n"/>
      <c r="E2993" s="13" t="n"/>
      <c r="F2993" s="12" t="n"/>
      <c r="G2993" s="13" t="n"/>
      <c r="H2993" s="12" t="n"/>
      <c r="I2993" s="12" t="n"/>
      <c r="J2993" s="12" t="n"/>
      <c r="K2993" s="12" t="n"/>
      <c r="L2993" s="11" t="n"/>
      <c r="M2993" s="11" t="n"/>
      <c r="N2993" s="11" t="n"/>
      <c r="O2993" s="11" t="n"/>
      <c r="P2993" s="12" t="n"/>
      <c r="Q2993" s="11" t="n"/>
      <c r="R2993" s="12" t="n"/>
      <c r="S2993" s="11" t="n"/>
      <c r="T2993" s="12" t="n"/>
      <c r="U2993" s="12" t="n"/>
      <c r="V2993" s="12" t="n"/>
      <c r="W2993" s="13" t="n"/>
      <c r="X2993" s="14">
        <f>IF($AP2993="",IF($B2993="","",$H2993),IF(INDEX(職員マスタ!$B$6:$B$405,$AP2993)="",$H2993,INDEX(職員マスタ!$B$6:$B$405,$AP2993)))</f>
        <v/>
      </c>
      <c r="Y2993" s="14">
        <f>IF($AP2993="",IF($B2993="","",$R2993),IF(INDEX(職員マスタ!$C$6:$C$405,$AP2993)="",$R2993,INDEX(職員マスタ!$C$6:$C$405,$AP2993)))</f>
        <v/>
      </c>
      <c r="Z2993" s="14">
        <f>IF($AQ2993="","","R"&amp;$C2993&amp;"."&amp;$D2993)</f>
        <v/>
      </c>
      <c r="AA2993" s="15">
        <f>IF(IF($AP2993="",FALSE,INDEX(職員マスタ!$K$6:$K$405,$AP2993)&lt;&gt;""),INDEX(職員マスタ!$K$6:$K$405,$AP2993),IF(N($W2993)&gt;0,$W2993,""))</f>
        <v/>
      </c>
      <c r="AB2993" s="14">
        <f>IF(OR($E2993="",$AA2993=""),"",IF($E2993&gt;=$AA2993,"×",IF($E2993&gt;=$AA2993*設定!$C$5,"△","○")))</f>
        <v/>
      </c>
      <c r="AC2993" s="15">
        <f>IF($AB2993="","",IF($AB2993="×",0,IF($AB2993="○",ROUNDDOWN($E2993*設定!$C$4,0),ROUNDDOWN($E2993*ROUND((9*$AA2993-9*$E2993)/(10*$E2993),4),0))))</f>
        <v/>
      </c>
      <c r="AD2993" s="13" t="n"/>
      <c r="AE2993" s="15">
        <f>IF($B2993="","",IF($AD2993&lt;&gt;"",$AD2993,IF($AC2993="","",IF($AC2993&lt;=設定!$C$3,0,$AC2993))))</f>
        <v/>
      </c>
      <c r="AF2993" s="14">
        <f>IF($B2993="","",IF(AND($AG2993&lt;&gt;"",$AI2993="",$AL2993=""),"保留中",IF($AL2993&lt;&gt;"",IF(N($AE2993)&gt;0,"支給済","不支給"),IF($AE2993="","要確認",IF($AE2993=0,"不支給","未処理")))))</f>
        <v/>
      </c>
      <c r="AG2993" s="12" t="n"/>
      <c r="AH2993" s="11" t="n"/>
      <c r="AI2993" s="11" t="n"/>
      <c r="AJ2993" s="11" t="n"/>
      <c r="AK2993" s="14">
        <f>IF(AND($AF2993="保留中",$AH2993&lt;&gt;""),TODAY()-$AH2993,"")</f>
        <v/>
      </c>
      <c r="AL2993" s="12" t="n"/>
      <c r="AM2993" s="14">
        <f>IF($B2993="","",IF($AQ2993="","対象年月が未入力／","")&amp;IF($B2993="","",IF($AP2993="","職員マスタに未登録の職員番号／",IF($AA2993="","標準報酬月額が未登録／","")&amp;IF(AND($AQ2993&lt;&gt;"",OR(AND(INDEX(職員マスタ!$G$6:$G$405,$AP2993)&lt;&gt;"",INDEX(職員マスタ!$G$6:$G$405,$AP2993)&gt;EOMONTH($AQ2993,0)),AND(INDEX(職員マスタ!$H$6:$H$405,$AP2993)&lt;&gt;"",INDEX(職員マスタ!$H$6:$H$405,$AP2993)&lt;$AQ2993))),"対象月が時短期間外／","")&amp;IF(AND(INDEX(職員マスタ!$K$6:$K$405,$AP2993)&lt;&gt;"",N($W2993)&gt;0,INDEX(職員マスタ!$K$6:$K$405,$AP2993)&lt;&gt;$W2993),"標準報酬月額が申請書と相違（台帳"&amp;TEXT(INDEX(職員マスタ!$K$6:$K$405,$AP2993),"#,##0")&amp;"円／申請書"&amp;TEXT($W2993,"#,##0")&amp;"円）／","")&amp;IF(AND(INDEX(職員マスタ!$F$6:$F$405,$AP2993)&lt;&gt;"",$AQ2993&lt;&gt;"",INDEX(職員マスタ!$F$6:$F$405,$AP2993)&lt;$AQ2993),"対象月に子が2歳到達済／","")&amp;IF(AND($H2993&lt;&gt;"",INDEX(職員マスタ!$B$6:$B$405,$AP2993)&lt;&gt;"",SUBSTITUTE(SUBSTITUTE($H2993," ","")," ","")&lt;&gt;SUBSTITUTE(SUBSTITUTE(INDEX(職員マスタ!$B$6:$B$405,$AP2993)," ","")," ","")),"氏名がマスタと相違／","")&amp;IF(AND($Q2993&lt;&gt;"",INDEX(職員マスタ!$E$6:$E$405,$AP2993)&lt;&gt;"",$Q2993&lt;&gt;INDEX(職員マスタ!$E$6:$E$405,$AP2993)),"子の生年月日がマスタと相違／","")&amp;IF(AND($L2993&lt;&gt;"",INDEX(職員マスタ!$G$6:$G$405,$AP2993)&lt;&gt;"",$L2993&lt;&gt;INDEX(職員マスタ!$G$6:$G$405,$AP2993)),"時短開始日がマスタと相違／","")&amp;IF(AND($M2993&lt;&gt;"",INDEX(職員マスタ!$H$6:$H$405,$AP2993)&lt;&gt;"",$M2993&lt;&gt;INDEX(職員マスタ!$H$6:$H$405,$AP2993)),"時短終了日がマスタと相違／","")))&amp;IF(AND($B2993&lt;&gt;"",$E2993=""),"報酬額が未入力／","")&amp;IF(N($U2993)&gt;0,"申請書に入力エラーが残っています／","")&amp;IF(AND($B2993&lt;&gt;"",$AQ2993&lt;&gt;""),IF(COUNTIFS($B$6:$B$3005,$B2993,$C$6:$C$3005,$C2993,$D$6:$D$3005,$D2993)&gt;1,"同じ月の請求が重複しています／",""),"")&amp;IF(AND(N($E2993)&gt;0,$AB2993&lt;&gt;"",$AB2993&lt;&gt;"×",$AE2993=0,$AD2993=""),"計算額が下限以下のため不支給／",""))</f>
        <v/>
      </c>
      <c r="AN2993" s="12" t="n"/>
      <c r="AO2993" s="14">
        <f>IF($AF2993="保留中",COUNTIF($AF$6:$AF2993,"保留中"),"")</f>
        <v/>
      </c>
      <c r="AP2993" s="14">
        <f>IF($AQ2993="","",IF(SUMPRODUCT(MAX((職員マスタ!$A$6:$A$405=$B2993)*(((職員マスタ!$G$6:$G$405="")+(職員マスタ!$G$6:$G$405&lt;=EOMONTH($AQ2993,0)))&gt;0)*(((職員マスタ!$H$6:$H$405="")+(職員マスタ!$H$6:$H$405&gt;=$AQ2993))&gt;0)*(ROW(職員マスタ!$A$6:$A$405)-5)))&gt;0,SUMPRODUCT(MAX((職員マスタ!$A$6:$A$405=$B2993)*(((職員マスタ!$G$6:$G$405="")+(職員マスタ!$G$6:$G$405&lt;=EOMONTH($AQ2993,0)))&gt;0)*(((職員マスタ!$H$6:$H$405="")+(職員マスタ!$H$6:$H$405&gt;=$AQ2993))&gt;0)*(ROW(職員マスタ!$A$6:$A$405)-5))),IFERROR(MATCH($B2993,職員マスタ!$A$6:$A$405,0),"")))</f>
        <v/>
      </c>
      <c r="AQ2993" s="16">
        <f>IF(OR($B2993="",$C2993="",$D2993=""),"",DATE($C2993+2018,$D2993,1))</f>
        <v/>
      </c>
    </row>
    <row r="2994">
      <c r="A2994" s="11" t="n"/>
      <c r="B2994" s="12" t="n"/>
      <c r="C2994" s="12" t="n"/>
      <c r="D2994" s="12" t="n"/>
      <c r="E2994" s="13" t="n"/>
      <c r="F2994" s="12" t="n"/>
      <c r="G2994" s="13" t="n"/>
      <c r="H2994" s="12" t="n"/>
      <c r="I2994" s="12" t="n"/>
      <c r="J2994" s="12" t="n"/>
      <c r="K2994" s="12" t="n"/>
      <c r="L2994" s="11" t="n"/>
      <c r="M2994" s="11" t="n"/>
      <c r="N2994" s="11" t="n"/>
      <c r="O2994" s="11" t="n"/>
      <c r="P2994" s="12" t="n"/>
      <c r="Q2994" s="11" t="n"/>
      <c r="R2994" s="12" t="n"/>
      <c r="S2994" s="11" t="n"/>
      <c r="T2994" s="12" t="n"/>
      <c r="U2994" s="12" t="n"/>
      <c r="V2994" s="12" t="n"/>
      <c r="W2994" s="13" t="n"/>
      <c r="X2994" s="14">
        <f>IF($AP2994="",IF($B2994="","",$H2994),IF(INDEX(職員マスタ!$B$6:$B$405,$AP2994)="",$H2994,INDEX(職員マスタ!$B$6:$B$405,$AP2994)))</f>
        <v/>
      </c>
      <c r="Y2994" s="14">
        <f>IF($AP2994="",IF($B2994="","",$R2994),IF(INDEX(職員マスタ!$C$6:$C$405,$AP2994)="",$R2994,INDEX(職員マスタ!$C$6:$C$405,$AP2994)))</f>
        <v/>
      </c>
      <c r="Z2994" s="14">
        <f>IF($AQ2994="","","R"&amp;$C2994&amp;"."&amp;$D2994)</f>
        <v/>
      </c>
      <c r="AA2994" s="15">
        <f>IF(IF($AP2994="",FALSE,INDEX(職員マスタ!$K$6:$K$405,$AP2994)&lt;&gt;""),INDEX(職員マスタ!$K$6:$K$405,$AP2994),IF(N($W2994)&gt;0,$W2994,""))</f>
        <v/>
      </c>
      <c r="AB2994" s="14">
        <f>IF(OR($E2994="",$AA2994=""),"",IF($E2994&gt;=$AA2994,"×",IF($E2994&gt;=$AA2994*設定!$C$5,"△","○")))</f>
        <v/>
      </c>
      <c r="AC2994" s="15">
        <f>IF($AB2994="","",IF($AB2994="×",0,IF($AB2994="○",ROUNDDOWN($E2994*設定!$C$4,0),ROUNDDOWN($E2994*ROUND((9*$AA2994-9*$E2994)/(10*$E2994),4),0))))</f>
        <v/>
      </c>
      <c r="AD2994" s="13" t="n"/>
      <c r="AE2994" s="15">
        <f>IF($B2994="","",IF($AD2994&lt;&gt;"",$AD2994,IF($AC2994="","",IF($AC2994&lt;=設定!$C$3,0,$AC2994))))</f>
        <v/>
      </c>
      <c r="AF2994" s="14">
        <f>IF($B2994="","",IF(AND($AG2994&lt;&gt;"",$AI2994="",$AL2994=""),"保留中",IF($AL2994&lt;&gt;"",IF(N($AE2994)&gt;0,"支給済","不支給"),IF($AE2994="","要確認",IF($AE2994=0,"不支給","未処理")))))</f>
        <v/>
      </c>
      <c r="AG2994" s="12" t="n"/>
      <c r="AH2994" s="11" t="n"/>
      <c r="AI2994" s="11" t="n"/>
      <c r="AJ2994" s="11" t="n"/>
      <c r="AK2994" s="14">
        <f>IF(AND($AF2994="保留中",$AH2994&lt;&gt;""),TODAY()-$AH2994,"")</f>
        <v/>
      </c>
      <c r="AL2994" s="12" t="n"/>
      <c r="AM2994" s="14">
        <f>IF($B2994="","",IF($AQ2994="","対象年月が未入力／","")&amp;IF($B2994="","",IF($AP2994="","職員マスタに未登録の職員番号／",IF($AA2994="","標準報酬月額が未登録／","")&amp;IF(AND($AQ2994&lt;&gt;"",OR(AND(INDEX(職員マスタ!$G$6:$G$405,$AP2994)&lt;&gt;"",INDEX(職員マスタ!$G$6:$G$405,$AP2994)&gt;EOMONTH($AQ2994,0)),AND(INDEX(職員マスタ!$H$6:$H$405,$AP2994)&lt;&gt;"",INDEX(職員マスタ!$H$6:$H$405,$AP2994)&lt;$AQ2994))),"対象月が時短期間外／","")&amp;IF(AND(INDEX(職員マスタ!$K$6:$K$405,$AP2994)&lt;&gt;"",N($W2994)&gt;0,INDEX(職員マスタ!$K$6:$K$405,$AP2994)&lt;&gt;$W2994),"標準報酬月額が申請書と相違（台帳"&amp;TEXT(INDEX(職員マスタ!$K$6:$K$405,$AP2994),"#,##0")&amp;"円／申請書"&amp;TEXT($W2994,"#,##0")&amp;"円）／","")&amp;IF(AND(INDEX(職員マスタ!$F$6:$F$405,$AP2994)&lt;&gt;"",$AQ2994&lt;&gt;"",INDEX(職員マスタ!$F$6:$F$405,$AP2994)&lt;$AQ2994),"対象月に子が2歳到達済／","")&amp;IF(AND($H2994&lt;&gt;"",INDEX(職員マスタ!$B$6:$B$405,$AP2994)&lt;&gt;"",SUBSTITUTE(SUBSTITUTE($H2994," ","")," ","")&lt;&gt;SUBSTITUTE(SUBSTITUTE(INDEX(職員マスタ!$B$6:$B$405,$AP2994)," ","")," ","")),"氏名がマスタと相違／","")&amp;IF(AND($Q2994&lt;&gt;"",INDEX(職員マスタ!$E$6:$E$405,$AP2994)&lt;&gt;"",$Q2994&lt;&gt;INDEX(職員マスタ!$E$6:$E$405,$AP2994)),"子の生年月日がマスタと相違／","")&amp;IF(AND($L2994&lt;&gt;"",INDEX(職員マスタ!$G$6:$G$405,$AP2994)&lt;&gt;"",$L2994&lt;&gt;INDEX(職員マスタ!$G$6:$G$405,$AP2994)),"時短開始日がマスタと相違／","")&amp;IF(AND($M2994&lt;&gt;"",INDEX(職員マスタ!$H$6:$H$405,$AP2994)&lt;&gt;"",$M2994&lt;&gt;INDEX(職員マスタ!$H$6:$H$405,$AP2994)),"時短終了日がマスタと相違／","")))&amp;IF(AND($B2994&lt;&gt;"",$E2994=""),"報酬額が未入力／","")&amp;IF(N($U2994)&gt;0,"申請書に入力エラーが残っています／","")&amp;IF(AND($B2994&lt;&gt;"",$AQ2994&lt;&gt;""),IF(COUNTIFS($B$6:$B$3005,$B2994,$C$6:$C$3005,$C2994,$D$6:$D$3005,$D2994)&gt;1,"同じ月の請求が重複しています／",""),"")&amp;IF(AND(N($E2994)&gt;0,$AB2994&lt;&gt;"",$AB2994&lt;&gt;"×",$AE2994=0,$AD2994=""),"計算額が下限以下のため不支給／",""))</f>
        <v/>
      </c>
      <c r="AN2994" s="12" t="n"/>
      <c r="AO2994" s="14">
        <f>IF($AF2994="保留中",COUNTIF($AF$6:$AF2994,"保留中"),"")</f>
        <v/>
      </c>
      <c r="AP2994" s="14">
        <f>IF($AQ2994="","",IF(SUMPRODUCT(MAX((職員マスタ!$A$6:$A$405=$B2994)*(((職員マスタ!$G$6:$G$405="")+(職員マスタ!$G$6:$G$405&lt;=EOMONTH($AQ2994,0)))&gt;0)*(((職員マスタ!$H$6:$H$405="")+(職員マスタ!$H$6:$H$405&gt;=$AQ2994))&gt;0)*(ROW(職員マスタ!$A$6:$A$405)-5)))&gt;0,SUMPRODUCT(MAX((職員マスタ!$A$6:$A$405=$B2994)*(((職員マスタ!$G$6:$G$405="")+(職員マスタ!$G$6:$G$405&lt;=EOMONTH($AQ2994,0)))&gt;0)*(((職員マスタ!$H$6:$H$405="")+(職員マスタ!$H$6:$H$405&gt;=$AQ2994))&gt;0)*(ROW(職員マスタ!$A$6:$A$405)-5))),IFERROR(MATCH($B2994,職員マスタ!$A$6:$A$405,0),"")))</f>
        <v/>
      </c>
      <c r="AQ2994" s="16">
        <f>IF(OR($B2994="",$C2994="",$D2994=""),"",DATE($C2994+2018,$D2994,1))</f>
        <v/>
      </c>
    </row>
    <row r="2995">
      <c r="A2995" s="11" t="n"/>
      <c r="B2995" s="12" t="n"/>
      <c r="C2995" s="12" t="n"/>
      <c r="D2995" s="12" t="n"/>
      <c r="E2995" s="13" t="n"/>
      <c r="F2995" s="12" t="n"/>
      <c r="G2995" s="13" t="n"/>
      <c r="H2995" s="12" t="n"/>
      <c r="I2995" s="12" t="n"/>
      <c r="J2995" s="12" t="n"/>
      <c r="K2995" s="12" t="n"/>
      <c r="L2995" s="11" t="n"/>
      <c r="M2995" s="11" t="n"/>
      <c r="N2995" s="11" t="n"/>
      <c r="O2995" s="11" t="n"/>
      <c r="P2995" s="12" t="n"/>
      <c r="Q2995" s="11" t="n"/>
      <c r="R2995" s="12" t="n"/>
      <c r="S2995" s="11" t="n"/>
      <c r="T2995" s="12" t="n"/>
      <c r="U2995" s="12" t="n"/>
      <c r="V2995" s="12" t="n"/>
      <c r="W2995" s="13" t="n"/>
      <c r="X2995" s="14">
        <f>IF($AP2995="",IF($B2995="","",$H2995),IF(INDEX(職員マスタ!$B$6:$B$405,$AP2995)="",$H2995,INDEX(職員マスタ!$B$6:$B$405,$AP2995)))</f>
        <v/>
      </c>
      <c r="Y2995" s="14">
        <f>IF($AP2995="",IF($B2995="","",$R2995),IF(INDEX(職員マスタ!$C$6:$C$405,$AP2995)="",$R2995,INDEX(職員マスタ!$C$6:$C$405,$AP2995)))</f>
        <v/>
      </c>
      <c r="Z2995" s="14">
        <f>IF($AQ2995="","","R"&amp;$C2995&amp;"."&amp;$D2995)</f>
        <v/>
      </c>
      <c r="AA2995" s="15">
        <f>IF(IF($AP2995="",FALSE,INDEX(職員マスタ!$K$6:$K$405,$AP2995)&lt;&gt;""),INDEX(職員マスタ!$K$6:$K$405,$AP2995),IF(N($W2995)&gt;0,$W2995,""))</f>
        <v/>
      </c>
      <c r="AB2995" s="14">
        <f>IF(OR($E2995="",$AA2995=""),"",IF($E2995&gt;=$AA2995,"×",IF($E2995&gt;=$AA2995*設定!$C$5,"△","○")))</f>
        <v/>
      </c>
      <c r="AC2995" s="15">
        <f>IF($AB2995="","",IF($AB2995="×",0,IF($AB2995="○",ROUNDDOWN($E2995*設定!$C$4,0),ROUNDDOWN($E2995*ROUND((9*$AA2995-9*$E2995)/(10*$E2995),4),0))))</f>
        <v/>
      </c>
      <c r="AD2995" s="13" t="n"/>
      <c r="AE2995" s="15">
        <f>IF($B2995="","",IF($AD2995&lt;&gt;"",$AD2995,IF($AC2995="","",IF($AC2995&lt;=設定!$C$3,0,$AC2995))))</f>
        <v/>
      </c>
      <c r="AF2995" s="14">
        <f>IF($B2995="","",IF(AND($AG2995&lt;&gt;"",$AI2995="",$AL2995=""),"保留中",IF($AL2995&lt;&gt;"",IF(N($AE2995)&gt;0,"支給済","不支給"),IF($AE2995="","要確認",IF($AE2995=0,"不支給","未処理")))))</f>
        <v/>
      </c>
      <c r="AG2995" s="12" t="n"/>
      <c r="AH2995" s="11" t="n"/>
      <c r="AI2995" s="11" t="n"/>
      <c r="AJ2995" s="11" t="n"/>
      <c r="AK2995" s="14">
        <f>IF(AND($AF2995="保留中",$AH2995&lt;&gt;""),TODAY()-$AH2995,"")</f>
        <v/>
      </c>
      <c r="AL2995" s="12" t="n"/>
      <c r="AM2995" s="14">
        <f>IF($B2995="","",IF($AQ2995="","対象年月が未入力／","")&amp;IF($B2995="","",IF($AP2995="","職員マスタに未登録の職員番号／",IF($AA2995="","標準報酬月額が未登録／","")&amp;IF(AND($AQ2995&lt;&gt;"",OR(AND(INDEX(職員マスタ!$G$6:$G$405,$AP2995)&lt;&gt;"",INDEX(職員マスタ!$G$6:$G$405,$AP2995)&gt;EOMONTH($AQ2995,0)),AND(INDEX(職員マスタ!$H$6:$H$405,$AP2995)&lt;&gt;"",INDEX(職員マスタ!$H$6:$H$405,$AP2995)&lt;$AQ2995))),"対象月が時短期間外／","")&amp;IF(AND(INDEX(職員マスタ!$K$6:$K$405,$AP2995)&lt;&gt;"",N($W2995)&gt;0,INDEX(職員マスタ!$K$6:$K$405,$AP2995)&lt;&gt;$W2995),"標準報酬月額が申請書と相違（台帳"&amp;TEXT(INDEX(職員マスタ!$K$6:$K$405,$AP2995),"#,##0")&amp;"円／申請書"&amp;TEXT($W2995,"#,##0")&amp;"円）／","")&amp;IF(AND(INDEX(職員マスタ!$F$6:$F$405,$AP2995)&lt;&gt;"",$AQ2995&lt;&gt;"",INDEX(職員マスタ!$F$6:$F$405,$AP2995)&lt;$AQ2995),"対象月に子が2歳到達済／","")&amp;IF(AND($H2995&lt;&gt;"",INDEX(職員マスタ!$B$6:$B$405,$AP2995)&lt;&gt;"",SUBSTITUTE(SUBSTITUTE($H2995," ","")," ","")&lt;&gt;SUBSTITUTE(SUBSTITUTE(INDEX(職員マスタ!$B$6:$B$405,$AP2995)," ","")," ","")),"氏名がマスタと相違／","")&amp;IF(AND($Q2995&lt;&gt;"",INDEX(職員マスタ!$E$6:$E$405,$AP2995)&lt;&gt;"",$Q2995&lt;&gt;INDEX(職員マスタ!$E$6:$E$405,$AP2995)),"子の生年月日がマスタと相違／","")&amp;IF(AND($L2995&lt;&gt;"",INDEX(職員マスタ!$G$6:$G$405,$AP2995)&lt;&gt;"",$L2995&lt;&gt;INDEX(職員マスタ!$G$6:$G$405,$AP2995)),"時短開始日がマスタと相違／","")&amp;IF(AND($M2995&lt;&gt;"",INDEX(職員マスタ!$H$6:$H$405,$AP2995)&lt;&gt;"",$M2995&lt;&gt;INDEX(職員マスタ!$H$6:$H$405,$AP2995)),"時短終了日がマスタと相違／","")))&amp;IF(AND($B2995&lt;&gt;"",$E2995=""),"報酬額が未入力／","")&amp;IF(N($U2995)&gt;0,"申請書に入力エラーが残っています／","")&amp;IF(AND($B2995&lt;&gt;"",$AQ2995&lt;&gt;""),IF(COUNTIFS($B$6:$B$3005,$B2995,$C$6:$C$3005,$C2995,$D$6:$D$3005,$D2995)&gt;1,"同じ月の請求が重複しています／",""),"")&amp;IF(AND(N($E2995)&gt;0,$AB2995&lt;&gt;"",$AB2995&lt;&gt;"×",$AE2995=0,$AD2995=""),"計算額が下限以下のため不支給／",""))</f>
        <v/>
      </c>
      <c r="AN2995" s="12" t="n"/>
      <c r="AO2995" s="14">
        <f>IF($AF2995="保留中",COUNTIF($AF$6:$AF2995,"保留中"),"")</f>
        <v/>
      </c>
      <c r="AP2995" s="14">
        <f>IF($AQ2995="","",IF(SUMPRODUCT(MAX((職員マスタ!$A$6:$A$405=$B2995)*(((職員マスタ!$G$6:$G$405="")+(職員マスタ!$G$6:$G$405&lt;=EOMONTH($AQ2995,0)))&gt;0)*(((職員マスタ!$H$6:$H$405="")+(職員マスタ!$H$6:$H$405&gt;=$AQ2995))&gt;0)*(ROW(職員マスタ!$A$6:$A$405)-5)))&gt;0,SUMPRODUCT(MAX((職員マスタ!$A$6:$A$405=$B2995)*(((職員マスタ!$G$6:$G$405="")+(職員マスタ!$G$6:$G$405&lt;=EOMONTH($AQ2995,0)))&gt;0)*(((職員マスタ!$H$6:$H$405="")+(職員マスタ!$H$6:$H$405&gt;=$AQ2995))&gt;0)*(ROW(職員マスタ!$A$6:$A$405)-5))),IFERROR(MATCH($B2995,職員マスタ!$A$6:$A$405,0),"")))</f>
        <v/>
      </c>
      <c r="AQ2995" s="16">
        <f>IF(OR($B2995="",$C2995="",$D2995=""),"",DATE($C2995+2018,$D2995,1))</f>
        <v/>
      </c>
    </row>
    <row r="2996">
      <c r="A2996" s="11" t="n"/>
      <c r="B2996" s="12" t="n"/>
      <c r="C2996" s="12" t="n"/>
      <c r="D2996" s="12" t="n"/>
      <c r="E2996" s="13" t="n"/>
      <c r="F2996" s="12" t="n"/>
      <c r="G2996" s="13" t="n"/>
      <c r="H2996" s="12" t="n"/>
      <c r="I2996" s="12" t="n"/>
      <c r="J2996" s="12" t="n"/>
      <c r="K2996" s="12" t="n"/>
      <c r="L2996" s="11" t="n"/>
      <c r="M2996" s="11" t="n"/>
      <c r="N2996" s="11" t="n"/>
      <c r="O2996" s="11" t="n"/>
      <c r="P2996" s="12" t="n"/>
      <c r="Q2996" s="11" t="n"/>
      <c r="R2996" s="12" t="n"/>
      <c r="S2996" s="11" t="n"/>
      <c r="T2996" s="12" t="n"/>
      <c r="U2996" s="12" t="n"/>
      <c r="V2996" s="12" t="n"/>
      <c r="W2996" s="13" t="n"/>
      <c r="X2996" s="14">
        <f>IF($AP2996="",IF($B2996="","",$H2996),IF(INDEX(職員マスタ!$B$6:$B$405,$AP2996)="",$H2996,INDEX(職員マスタ!$B$6:$B$405,$AP2996)))</f>
        <v/>
      </c>
      <c r="Y2996" s="14">
        <f>IF($AP2996="",IF($B2996="","",$R2996),IF(INDEX(職員マスタ!$C$6:$C$405,$AP2996)="",$R2996,INDEX(職員マスタ!$C$6:$C$405,$AP2996)))</f>
        <v/>
      </c>
      <c r="Z2996" s="14">
        <f>IF($AQ2996="","","R"&amp;$C2996&amp;"."&amp;$D2996)</f>
        <v/>
      </c>
      <c r="AA2996" s="15">
        <f>IF(IF($AP2996="",FALSE,INDEX(職員マスタ!$K$6:$K$405,$AP2996)&lt;&gt;""),INDEX(職員マスタ!$K$6:$K$405,$AP2996),IF(N($W2996)&gt;0,$W2996,""))</f>
        <v/>
      </c>
      <c r="AB2996" s="14">
        <f>IF(OR($E2996="",$AA2996=""),"",IF($E2996&gt;=$AA2996,"×",IF($E2996&gt;=$AA2996*設定!$C$5,"△","○")))</f>
        <v/>
      </c>
      <c r="AC2996" s="15">
        <f>IF($AB2996="","",IF($AB2996="×",0,IF($AB2996="○",ROUNDDOWN($E2996*設定!$C$4,0),ROUNDDOWN($E2996*ROUND((9*$AA2996-9*$E2996)/(10*$E2996),4),0))))</f>
        <v/>
      </c>
      <c r="AD2996" s="13" t="n"/>
      <c r="AE2996" s="15">
        <f>IF($B2996="","",IF($AD2996&lt;&gt;"",$AD2996,IF($AC2996="","",IF($AC2996&lt;=設定!$C$3,0,$AC2996))))</f>
        <v/>
      </c>
      <c r="AF2996" s="14">
        <f>IF($B2996="","",IF(AND($AG2996&lt;&gt;"",$AI2996="",$AL2996=""),"保留中",IF($AL2996&lt;&gt;"",IF(N($AE2996)&gt;0,"支給済","不支給"),IF($AE2996="","要確認",IF($AE2996=0,"不支給","未処理")))))</f>
        <v/>
      </c>
      <c r="AG2996" s="12" t="n"/>
      <c r="AH2996" s="11" t="n"/>
      <c r="AI2996" s="11" t="n"/>
      <c r="AJ2996" s="11" t="n"/>
      <c r="AK2996" s="14">
        <f>IF(AND($AF2996="保留中",$AH2996&lt;&gt;""),TODAY()-$AH2996,"")</f>
        <v/>
      </c>
      <c r="AL2996" s="12" t="n"/>
      <c r="AM2996" s="14">
        <f>IF($B2996="","",IF($AQ2996="","対象年月が未入力／","")&amp;IF($B2996="","",IF($AP2996="","職員マスタに未登録の職員番号／",IF($AA2996="","標準報酬月額が未登録／","")&amp;IF(AND($AQ2996&lt;&gt;"",OR(AND(INDEX(職員マスタ!$G$6:$G$405,$AP2996)&lt;&gt;"",INDEX(職員マスタ!$G$6:$G$405,$AP2996)&gt;EOMONTH($AQ2996,0)),AND(INDEX(職員マスタ!$H$6:$H$405,$AP2996)&lt;&gt;"",INDEX(職員マスタ!$H$6:$H$405,$AP2996)&lt;$AQ2996))),"対象月が時短期間外／","")&amp;IF(AND(INDEX(職員マスタ!$K$6:$K$405,$AP2996)&lt;&gt;"",N($W2996)&gt;0,INDEX(職員マスタ!$K$6:$K$405,$AP2996)&lt;&gt;$W2996),"標準報酬月額が申請書と相違（台帳"&amp;TEXT(INDEX(職員マスタ!$K$6:$K$405,$AP2996),"#,##0")&amp;"円／申請書"&amp;TEXT($W2996,"#,##0")&amp;"円）／","")&amp;IF(AND(INDEX(職員マスタ!$F$6:$F$405,$AP2996)&lt;&gt;"",$AQ2996&lt;&gt;"",INDEX(職員マスタ!$F$6:$F$405,$AP2996)&lt;$AQ2996),"対象月に子が2歳到達済／","")&amp;IF(AND($H2996&lt;&gt;"",INDEX(職員マスタ!$B$6:$B$405,$AP2996)&lt;&gt;"",SUBSTITUTE(SUBSTITUTE($H2996," ","")," ","")&lt;&gt;SUBSTITUTE(SUBSTITUTE(INDEX(職員マスタ!$B$6:$B$405,$AP2996)," ","")," ","")),"氏名がマスタと相違／","")&amp;IF(AND($Q2996&lt;&gt;"",INDEX(職員マスタ!$E$6:$E$405,$AP2996)&lt;&gt;"",$Q2996&lt;&gt;INDEX(職員マスタ!$E$6:$E$405,$AP2996)),"子の生年月日がマスタと相違／","")&amp;IF(AND($L2996&lt;&gt;"",INDEX(職員マスタ!$G$6:$G$405,$AP2996)&lt;&gt;"",$L2996&lt;&gt;INDEX(職員マスタ!$G$6:$G$405,$AP2996)),"時短開始日がマスタと相違／","")&amp;IF(AND($M2996&lt;&gt;"",INDEX(職員マスタ!$H$6:$H$405,$AP2996)&lt;&gt;"",$M2996&lt;&gt;INDEX(職員マスタ!$H$6:$H$405,$AP2996)),"時短終了日がマスタと相違／","")))&amp;IF(AND($B2996&lt;&gt;"",$E2996=""),"報酬額が未入力／","")&amp;IF(N($U2996)&gt;0,"申請書に入力エラーが残っています／","")&amp;IF(AND($B2996&lt;&gt;"",$AQ2996&lt;&gt;""),IF(COUNTIFS($B$6:$B$3005,$B2996,$C$6:$C$3005,$C2996,$D$6:$D$3005,$D2996)&gt;1,"同じ月の請求が重複しています／",""),"")&amp;IF(AND(N($E2996)&gt;0,$AB2996&lt;&gt;"",$AB2996&lt;&gt;"×",$AE2996=0,$AD2996=""),"計算額が下限以下のため不支給／",""))</f>
        <v/>
      </c>
      <c r="AN2996" s="12" t="n"/>
      <c r="AO2996" s="14">
        <f>IF($AF2996="保留中",COUNTIF($AF$6:$AF2996,"保留中"),"")</f>
        <v/>
      </c>
      <c r="AP2996" s="14">
        <f>IF($AQ2996="","",IF(SUMPRODUCT(MAX((職員マスタ!$A$6:$A$405=$B2996)*(((職員マスタ!$G$6:$G$405="")+(職員マスタ!$G$6:$G$405&lt;=EOMONTH($AQ2996,0)))&gt;0)*(((職員マスタ!$H$6:$H$405="")+(職員マスタ!$H$6:$H$405&gt;=$AQ2996))&gt;0)*(ROW(職員マスタ!$A$6:$A$405)-5)))&gt;0,SUMPRODUCT(MAX((職員マスタ!$A$6:$A$405=$B2996)*(((職員マスタ!$G$6:$G$405="")+(職員マスタ!$G$6:$G$405&lt;=EOMONTH($AQ2996,0)))&gt;0)*(((職員マスタ!$H$6:$H$405="")+(職員マスタ!$H$6:$H$405&gt;=$AQ2996))&gt;0)*(ROW(職員マスタ!$A$6:$A$405)-5))),IFERROR(MATCH($B2996,職員マスタ!$A$6:$A$405,0),"")))</f>
        <v/>
      </c>
      <c r="AQ2996" s="16">
        <f>IF(OR($B2996="",$C2996="",$D2996=""),"",DATE($C2996+2018,$D2996,1))</f>
        <v/>
      </c>
    </row>
    <row r="2997">
      <c r="A2997" s="11" t="n"/>
      <c r="B2997" s="12" t="n"/>
      <c r="C2997" s="12" t="n"/>
      <c r="D2997" s="12" t="n"/>
      <c r="E2997" s="13" t="n"/>
      <c r="F2997" s="12" t="n"/>
      <c r="G2997" s="13" t="n"/>
      <c r="H2997" s="12" t="n"/>
      <c r="I2997" s="12" t="n"/>
      <c r="J2997" s="12" t="n"/>
      <c r="K2997" s="12" t="n"/>
      <c r="L2997" s="11" t="n"/>
      <c r="M2997" s="11" t="n"/>
      <c r="N2997" s="11" t="n"/>
      <c r="O2997" s="11" t="n"/>
      <c r="P2997" s="12" t="n"/>
      <c r="Q2997" s="11" t="n"/>
      <c r="R2997" s="12" t="n"/>
      <c r="S2997" s="11" t="n"/>
      <c r="T2997" s="12" t="n"/>
      <c r="U2997" s="12" t="n"/>
      <c r="V2997" s="12" t="n"/>
      <c r="W2997" s="13" t="n"/>
      <c r="X2997" s="14">
        <f>IF($AP2997="",IF($B2997="","",$H2997),IF(INDEX(職員マスタ!$B$6:$B$405,$AP2997)="",$H2997,INDEX(職員マスタ!$B$6:$B$405,$AP2997)))</f>
        <v/>
      </c>
      <c r="Y2997" s="14">
        <f>IF($AP2997="",IF($B2997="","",$R2997),IF(INDEX(職員マスタ!$C$6:$C$405,$AP2997)="",$R2997,INDEX(職員マスタ!$C$6:$C$405,$AP2997)))</f>
        <v/>
      </c>
      <c r="Z2997" s="14">
        <f>IF($AQ2997="","","R"&amp;$C2997&amp;"."&amp;$D2997)</f>
        <v/>
      </c>
      <c r="AA2997" s="15">
        <f>IF(IF($AP2997="",FALSE,INDEX(職員マスタ!$K$6:$K$405,$AP2997)&lt;&gt;""),INDEX(職員マスタ!$K$6:$K$405,$AP2997),IF(N($W2997)&gt;0,$W2997,""))</f>
        <v/>
      </c>
      <c r="AB2997" s="14">
        <f>IF(OR($E2997="",$AA2997=""),"",IF($E2997&gt;=$AA2997,"×",IF($E2997&gt;=$AA2997*設定!$C$5,"△","○")))</f>
        <v/>
      </c>
      <c r="AC2997" s="15">
        <f>IF($AB2997="","",IF($AB2997="×",0,IF($AB2997="○",ROUNDDOWN($E2997*設定!$C$4,0),ROUNDDOWN($E2997*ROUND((9*$AA2997-9*$E2997)/(10*$E2997),4),0))))</f>
        <v/>
      </c>
      <c r="AD2997" s="13" t="n"/>
      <c r="AE2997" s="15">
        <f>IF($B2997="","",IF($AD2997&lt;&gt;"",$AD2997,IF($AC2997="","",IF($AC2997&lt;=設定!$C$3,0,$AC2997))))</f>
        <v/>
      </c>
      <c r="AF2997" s="14">
        <f>IF($B2997="","",IF(AND($AG2997&lt;&gt;"",$AI2997="",$AL2997=""),"保留中",IF($AL2997&lt;&gt;"",IF(N($AE2997)&gt;0,"支給済","不支給"),IF($AE2997="","要確認",IF($AE2997=0,"不支給","未処理")))))</f>
        <v/>
      </c>
      <c r="AG2997" s="12" t="n"/>
      <c r="AH2997" s="11" t="n"/>
      <c r="AI2997" s="11" t="n"/>
      <c r="AJ2997" s="11" t="n"/>
      <c r="AK2997" s="14">
        <f>IF(AND($AF2997="保留中",$AH2997&lt;&gt;""),TODAY()-$AH2997,"")</f>
        <v/>
      </c>
      <c r="AL2997" s="12" t="n"/>
      <c r="AM2997" s="14">
        <f>IF($B2997="","",IF($AQ2997="","対象年月が未入力／","")&amp;IF($B2997="","",IF($AP2997="","職員マスタに未登録の職員番号／",IF($AA2997="","標準報酬月額が未登録／","")&amp;IF(AND($AQ2997&lt;&gt;"",OR(AND(INDEX(職員マスタ!$G$6:$G$405,$AP2997)&lt;&gt;"",INDEX(職員マスタ!$G$6:$G$405,$AP2997)&gt;EOMONTH($AQ2997,0)),AND(INDEX(職員マスタ!$H$6:$H$405,$AP2997)&lt;&gt;"",INDEX(職員マスタ!$H$6:$H$405,$AP2997)&lt;$AQ2997))),"対象月が時短期間外／","")&amp;IF(AND(INDEX(職員マスタ!$K$6:$K$405,$AP2997)&lt;&gt;"",N($W2997)&gt;0,INDEX(職員マスタ!$K$6:$K$405,$AP2997)&lt;&gt;$W2997),"標準報酬月額が申請書と相違（台帳"&amp;TEXT(INDEX(職員マスタ!$K$6:$K$405,$AP2997),"#,##0")&amp;"円／申請書"&amp;TEXT($W2997,"#,##0")&amp;"円）／","")&amp;IF(AND(INDEX(職員マスタ!$F$6:$F$405,$AP2997)&lt;&gt;"",$AQ2997&lt;&gt;"",INDEX(職員マスタ!$F$6:$F$405,$AP2997)&lt;$AQ2997),"対象月に子が2歳到達済／","")&amp;IF(AND($H2997&lt;&gt;"",INDEX(職員マスタ!$B$6:$B$405,$AP2997)&lt;&gt;"",SUBSTITUTE(SUBSTITUTE($H2997," ","")," ","")&lt;&gt;SUBSTITUTE(SUBSTITUTE(INDEX(職員マスタ!$B$6:$B$405,$AP2997)," ","")," ","")),"氏名がマスタと相違／","")&amp;IF(AND($Q2997&lt;&gt;"",INDEX(職員マスタ!$E$6:$E$405,$AP2997)&lt;&gt;"",$Q2997&lt;&gt;INDEX(職員マスタ!$E$6:$E$405,$AP2997)),"子の生年月日がマスタと相違／","")&amp;IF(AND($L2997&lt;&gt;"",INDEX(職員マスタ!$G$6:$G$405,$AP2997)&lt;&gt;"",$L2997&lt;&gt;INDEX(職員マスタ!$G$6:$G$405,$AP2997)),"時短開始日がマスタと相違／","")&amp;IF(AND($M2997&lt;&gt;"",INDEX(職員マスタ!$H$6:$H$405,$AP2997)&lt;&gt;"",$M2997&lt;&gt;INDEX(職員マスタ!$H$6:$H$405,$AP2997)),"時短終了日がマスタと相違／","")))&amp;IF(AND($B2997&lt;&gt;"",$E2997=""),"報酬額が未入力／","")&amp;IF(N($U2997)&gt;0,"申請書に入力エラーが残っています／","")&amp;IF(AND($B2997&lt;&gt;"",$AQ2997&lt;&gt;""),IF(COUNTIFS($B$6:$B$3005,$B2997,$C$6:$C$3005,$C2997,$D$6:$D$3005,$D2997)&gt;1,"同じ月の請求が重複しています／",""),"")&amp;IF(AND(N($E2997)&gt;0,$AB2997&lt;&gt;"",$AB2997&lt;&gt;"×",$AE2997=0,$AD2997=""),"計算額が下限以下のため不支給／",""))</f>
        <v/>
      </c>
      <c r="AN2997" s="12" t="n"/>
      <c r="AO2997" s="14">
        <f>IF($AF2997="保留中",COUNTIF($AF$6:$AF2997,"保留中"),"")</f>
        <v/>
      </c>
      <c r="AP2997" s="14">
        <f>IF($AQ2997="","",IF(SUMPRODUCT(MAX((職員マスタ!$A$6:$A$405=$B2997)*(((職員マスタ!$G$6:$G$405="")+(職員マスタ!$G$6:$G$405&lt;=EOMONTH($AQ2997,0)))&gt;0)*(((職員マスタ!$H$6:$H$405="")+(職員マスタ!$H$6:$H$405&gt;=$AQ2997))&gt;0)*(ROW(職員マスタ!$A$6:$A$405)-5)))&gt;0,SUMPRODUCT(MAX((職員マスタ!$A$6:$A$405=$B2997)*(((職員マスタ!$G$6:$G$405="")+(職員マスタ!$G$6:$G$405&lt;=EOMONTH($AQ2997,0)))&gt;0)*(((職員マスタ!$H$6:$H$405="")+(職員マスタ!$H$6:$H$405&gt;=$AQ2997))&gt;0)*(ROW(職員マスタ!$A$6:$A$405)-5))),IFERROR(MATCH($B2997,職員マスタ!$A$6:$A$405,0),"")))</f>
        <v/>
      </c>
      <c r="AQ2997" s="16">
        <f>IF(OR($B2997="",$C2997="",$D2997=""),"",DATE($C2997+2018,$D2997,1))</f>
        <v/>
      </c>
    </row>
    <row r="2998">
      <c r="A2998" s="11" t="n"/>
      <c r="B2998" s="12" t="n"/>
      <c r="C2998" s="12" t="n"/>
      <c r="D2998" s="12" t="n"/>
      <c r="E2998" s="13" t="n"/>
      <c r="F2998" s="12" t="n"/>
      <c r="G2998" s="13" t="n"/>
      <c r="H2998" s="12" t="n"/>
      <c r="I2998" s="12" t="n"/>
      <c r="J2998" s="12" t="n"/>
      <c r="K2998" s="12" t="n"/>
      <c r="L2998" s="11" t="n"/>
      <c r="M2998" s="11" t="n"/>
      <c r="N2998" s="11" t="n"/>
      <c r="O2998" s="11" t="n"/>
      <c r="P2998" s="12" t="n"/>
      <c r="Q2998" s="11" t="n"/>
      <c r="R2998" s="12" t="n"/>
      <c r="S2998" s="11" t="n"/>
      <c r="T2998" s="12" t="n"/>
      <c r="U2998" s="12" t="n"/>
      <c r="V2998" s="12" t="n"/>
      <c r="W2998" s="13" t="n"/>
      <c r="X2998" s="14">
        <f>IF($AP2998="",IF($B2998="","",$H2998),IF(INDEX(職員マスタ!$B$6:$B$405,$AP2998)="",$H2998,INDEX(職員マスタ!$B$6:$B$405,$AP2998)))</f>
        <v/>
      </c>
      <c r="Y2998" s="14">
        <f>IF($AP2998="",IF($B2998="","",$R2998),IF(INDEX(職員マスタ!$C$6:$C$405,$AP2998)="",$R2998,INDEX(職員マスタ!$C$6:$C$405,$AP2998)))</f>
        <v/>
      </c>
      <c r="Z2998" s="14">
        <f>IF($AQ2998="","","R"&amp;$C2998&amp;"."&amp;$D2998)</f>
        <v/>
      </c>
      <c r="AA2998" s="15">
        <f>IF(IF($AP2998="",FALSE,INDEX(職員マスタ!$K$6:$K$405,$AP2998)&lt;&gt;""),INDEX(職員マスタ!$K$6:$K$405,$AP2998),IF(N($W2998)&gt;0,$W2998,""))</f>
        <v/>
      </c>
      <c r="AB2998" s="14">
        <f>IF(OR($E2998="",$AA2998=""),"",IF($E2998&gt;=$AA2998,"×",IF($E2998&gt;=$AA2998*設定!$C$5,"△","○")))</f>
        <v/>
      </c>
      <c r="AC2998" s="15">
        <f>IF($AB2998="","",IF($AB2998="×",0,IF($AB2998="○",ROUNDDOWN($E2998*設定!$C$4,0),ROUNDDOWN($E2998*ROUND((9*$AA2998-9*$E2998)/(10*$E2998),4),0))))</f>
        <v/>
      </c>
      <c r="AD2998" s="13" t="n"/>
      <c r="AE2998" s="15">
        <f>IF($B2998="","",IF($AD2998&lt;&gt;"",$AD2998,IF($AC2998="","",IF($AC2998&lt;=設定!$C$3,0,$AC2998))))</f>
        <v/>
      </c>
      <c r="AF2998" s="14">
        <f>IF($B2998="","",IF(AND($AG2998&lt;&gt;"",$AI2998="",$AL2998=""),"保留中",IF($AL2998&lt;&gt;"",IF(N($AE2998)&gt;0,"支給済","不支給"),IF($AE2998="","要確認",IF($AE2998=0,"不支給","未処理")))))</f>
        <v/>
      </c>
      <c r="AG2998" s="12" t="n"/>
      <c r="AH2998" s="11" t="n"/>
      <c r="AI2998" s="11" t="n"/>
      <c r="AJ2998" s="11" t="n"/>
      <c r="AK2998" s="14">
        <f>IF(AND($AF2998="保留中",$AH2998&lt;&gt;""),TODAY()-$AH2998,"")</f>
        <v/>
      </c>
      <c r="AL2998" s="12" t="n"/>
      <c r="AM2998" s="14">
        <f>IF($B2998="","",IF($AQ2998="","対象年月が未入力／","")&amp;IF($B2998="","",IF($AP2998="","職員マスタに未登録の職員番号／",IF($AA2998="","標準報酬月額が未登録／","")&amp;IF(AND($AQ2998&lt;&gt;"",OR(AND(INDEX(職員マスタ!$G$6:$G$405,$AP2998)&lt;&gt;"",INDEX(職員マスタ!$G$6:$G$405,$AP2998)&gt;EOMONTH($AQ2998,0)),AND(INDEX(職員マスタ!$H$6:$H$405,$AP2998)&lt;&gt;"",INDEX(職員マスタ!$H$6:$H$405,$AP2998)&lt;$AQ2998))),"対象月が時短期間外／","")&amp;IF(AND(INDEX(職員マスタ!$K$6:$K$405,$AP2998)&lt;&gt;"",N($W2998)&gt;0,INDEX(職員マスタ!$K$6:$K$405,$AP2998)&lt;&gt;$W2998),"標準報酬月額が申請書と相違（台帳"&amp;TEXT(INDEX(職員マスタ!$K$6:$K$405,$AP2998),"#,##0")&amp;"円／申請書"&amp;TEXT($W2998,"#,##0")&amp;"円）／","")&amp;IF(AND(INDEX(職員マスタ!$F$6:$F$405,$AP2998)&lt;&gt;"",$AQ2998&lt;&gt;"",INDEX(職員マスタ!$F$6:$F$405,$AP2998)&lt;$AQ2998),"対象月に子が2歳到達済／","")&amp;IF(AND($H2998&lt;&gt;"",INDEX(職員マスタ!$B$6:$B$405,$AP2998)&lt;&gt;"",SUBSTITUTE(SUBSTITUTE($H2998," ","")," ","")&lt;&gt;SUBSTITUTE(SUBSTITUTE(INDEX(職員マスタ!$B$6:$B$405,$AP2998)," ","")," ","")),"氏名がマスタと相違／","")&amp;IF(AND($Q2998&lt;&gt;"",INDEX(職員マスタ!$E$6:$E$405,$AP2998)&lt;&gt;"",$Q2998&lt;&gt;INDEX(職員マスタ!$E$6:$E$405,$AP2998)),"子の生年月日がマスタと相違／","")&amp;IF(AND($L2998&lt;&gt;"",INDEX(職員マスタ!$G$6:$G$405,$AP2998)&lt;&gt;"",$L2998&lt;&gt;INDEX(職員マスタ!$G$6:$G$405,$AP2998)),"時短開始日がマスタと相違／","")&amp;IF(AND($M2998&lt;&gt;"",INDEX(職員マスタ!$H$6:$H$405,$AP2998)&lt;&gt;"",$M2998&lt;&gt;INDEX(職員マスタ!$H$6:$H$405,$AP2998)),"時短終了日がマスタと相違／","")))&amp;IF(AND($B2998&lt;&gt;"",$E2998=""),"報酬額が未入力／","")&amp;IF(N($U2998)&gt;0,"申請書に入力エラーが残っています／","")&amp;IF(AND($B2998&lt;&gt;"",$AQ2998&lt;&gt;""),IF(COUNTIFS($B$6:$B$3005,$B2998,$C$6:$C$3005,$C2998,$D$6:$D$3005,$D2998)&gt;1,"同じ月の請求が重複しています／",""),"")&amp;IF(AND(N($E2998)&gt;0,$AB2998&lt;&gt;"",$AB2998&lt;&gt;"×",$AE2998=0,$AD2998=""),"計算額が下限以下のため不支給／",""))</f>
        <v/>
      </c>
      <c r="AN2998" s="12" t="n"/>
      <c r="AO2998" s="14">
        <f>IF($AF2998="保留中",COUNTIF($AF$6:$AF2998,"保留中"),"")</f>
        <v/>
      </c>
      <c r="AP2998" s="14">
        <f>IF($AQ2998="","",IF(SUMPRODUCT(MAX((職員マスタ!$A$6:$A$405=$B2998)*(((職員マスタ!$G$6:$G$405="")+(職員マスタ!$G$6:$G$405&lt;=EOMONTH($AQ2998,0)))&gt;0)*(((職員マスタ!$H$6:$H$405="")+(職員マスタ!$H$6:$H$405&gt;=$AQ2998))&gt;0)*(ROW(職員マスタ!$A$6:$A$405)-5)))&gt;0,SUMPRODUCT(MAX((職員マスタ!$A$6:$A$405=$B2998)*(((職員マスタ!$G$6:$G$405="")+(職員マスタ!$G$6:$G$405&lt;=EOMONTH($AQ2998,0)))&gt;0)*(((職員マスタ!$H$6:$H$405="")+(職員マスタ!$H$6:$H$405&gt;=$AQ2998))&gt;0)*(ROW(職員マスタ!$A$6:$A$405)-5))),IFERROR(MATCH($B2998,職員マスタ!$A$6:$A$405,0),"")))</f>
        <v/>
      </c>
      <c r="AQ2998" s="16">
        <f>IF(OR($B2998="",$C2998="",$D2998=""),"",DATE($C2998+2018,$D2998,1))</f>
        <v/>
      </c>
    </row>
    <row r="2999">
      <c r="A2999" s="11" t="n"/>
      <c r="B2999" s="12" t="n"/>
      <c r="C2999" s="12" t="n"/>
      <c r="D2999" s="12" t="n"/>
      <c r="E2999" s="13" t="n"/>
      <c r="F2999" s="12" t="n"/>
      <c r="G2999" s="13" t="n"/>
      <c r="H2999" s="12" t="n"/>
      <c r="I2999" s="12" t="n"/>
      <c r="J2999" s="12" t="n"/>
      <c r="K2999" s="12" t="n"/>
      <c r="L2999" s="11" t="n"/>
      <c r="M2999" s="11" t="n"/>
      <c r="N2999" s="11" t="n"/>
      <c r="O2999" s="11" t="n"/>
      <c r="P2999" s="12" t="n"/>
      <c r="Q2999" s="11" t="n"/>
      <c r="R2999" s="12" t="n"/>
      <c r="S2999" s="11" t="n"/>
      <c r="T2999" s="12" t="n"/>
      <c r="U2999" s="12" t="n"/>
      <c r="V2999" s="12" t="n"/>
      <c r="W2999" s="13" t="n"/>
      <c r="X2999" s="14">
        <f>IF($AP2999="",IF($B2999="","",$H2999),IF(INDEX(職員マスタ!$B$6:$B$405,$AP2999)="",$H2999,INDEX(職員マスタ!$B$6:$B$405,$AP2999)))</f>
        <v/>
      </c>
      <c r="Y2999" s="14">
        <f>IF($AP2999="",IF($B2999="","",$R2999),IF(INDEX(職員マスタ!$C$6:$C$405,$AP2999)="",$R2999,INDEX(職員マスタ!$C$6:$C$405,$AP2999)))</f>
        <v/>
      </c>
      <c r="Z2999" s="14">
        <f>IF($AQ2999="","","R"&amp;$C2999&amp;"."&amp;$D2999)</f>
        <v/>
      </c>
      <c r="AA2999" s="15">
        <f>IF(IF($AP2999="",FALSE,INDEX(職員マスタ!$K$6:$K$405,$AP2999)&lt;&gt;""),INDEX(職員マスタ!$K$6:$K$405,$AP2999),IF(N($W2999)&gt;0,$W2999,""))</f>
        <v/>
      </c>
      <c r="AB2999" s="14">
        <f>IF(OR($E2999="",$AA2999=""),"",IF($E2999&gt;=$AA2999,"×",IF($E2999&gt;=$AA2999*設定!$C$5,"△","○")))</f>
        <v/>
      </c>
      <c r="AC2999" s="15">
        <f>IF($AB2999="","",IF($AB2999="×",0,IF($AB2999="○",ROUNDDOWN($E2999*設定!$C$4,0),ROUNDDOWN($E2999*ROUND((9*$AA2999-9*$E2999)/(10*$E2999),4),0))))</f>
        <v/>
      </c>
      <c r="AD2999" s="13" t="n"/>
      <c r="AE2999" s="15">
        <f>IF($B2999="","",IF($AD2999&lt;&gt;"",$AD2999,IF($AC2999="","",IF($AC2999&lt;=設定!$C$3,0,$AC2999))))</f>
        <v/>
      </c>
      <c r="AF2999" s="14">
        <f>IF($B2999="","",IF(AND($AG2999&lt;&gt;"",$AI2999="",$AL2999=""),"保留中",IF($AL2999&lt;&gt;"",IF(N($AE2999)&gt;0,"支給済","不支給"),IF($AE2999="","要確認",IF($AE2999=0,"不支給","未処理")))))</f>
        <v/>
      </c>
      <c r="AG2999" s="12" t="n"/>
      <c r="AH2999" s="11" t="n"/>
      <c r="AI2999" s="11" t="n"/>
      <c r="AJ2999" s="11" t="n"/>
      <c r="AK2999" s="14">
        <f>IF(AND($AF2999="保留中",$AH2999&lt;&gt;""),TODAY()-$AH2999,"")</f>
        <v/>
      </c>
      <c r="AL2999" s="12" t="n"/>
      <c r="AM2999" s="14">
        <f>IF($B2999="","",IF($AQ2999="","対象年月が未入力／","")&amp;IF($B2999="","",IF($AP2999="","職員マスタに未登録の職員番号／",IF($AA2999="","標準報酬月額が未登録／","")&amp;IF(AND($AQ2999&lt;&gt;"",OR(AND(INDEX(職員マスタ!$G$6:$G$405,$AP2999)&lt;&gt;"",INDEX(職員マスタ!$G$6:$G$405,$AP2999)&gt;EOMONTH($AQ2999,0)),AND(INDEX(職員マスタ!$H$6:$H$405,$AP2999)&lt;&gt;"",INDEX(職員マスタ!$H$6:$H$405,$AP2999)&lt;$AQ2999))),"対象月が時短期間外／","")&amp;IF(AND(INDEX(職員マスタ!$K$6:$K$405,$AP2999)&lt;&gt;"",N($W2999)&gt;0,INDEX(職員マスタ!$K$6:$K$405,$AP2999)&lt;&gt;$W2999),"標準報酬月額が申請書と相違（台帳"&amp;TEXT(INDEX(職員マスタ!$K$6:$K$405,$AP2999),"#,##0")&amp;"円／申請書"&amp;TEXT($W2999,"#,##0")&amp;"円）／","")&amp;IF(AND(INDEX(職員マスタ!$F$6:$F$405,$AP2999)&lt;&gt;"",$AQ2999&lt;&gt;"",INDEX(職員マスタ!$F$6:$F$405,$AP2999)&lt;$AQ2999),"対象月に子が2歳到達済／","")&amp;IF(AND($H2999&lt;&gt;"",INDEX(職員マスタ!$B$6:$B$405,$AP2999)&lt;&gt;"",SUBSTITUTE(SUBSTITUTE($H2999," ","")," ","")&lt;&gt;SUBSTITUTE(SUBSTITUTE(INDEX(職員マスタ!$B$6:$B$405,$AP2999)," ","")," ","")),"氏名がマスタと相違／","")&amp;IF(AND($Q2999&lt;&gt;"",INDEX(職員マスタ!$E$6:$E$405,$AP2999)&lt;&gt;"",$Q2999&lt;&gt;INDEX(職員マスタ!$E$6:$E$405,$AP2999)),"子の生年月日がマスタと相違／","")&amp;IF(AND($L2999&lt;&gt;"",INDEX(職員マスタ!$G$6:$G$405,$AP2999)&lt;&gt;"",$L2999&lt;&gt;INDEX(職員マスタ!$G$6:$G$405,$AP2999)),"時短開始日がマスタと相違／","")&amp;IF(AND($M2999&lt;&gt;"",INDEX(職員マスタ!$H$6:$H$405,$AP2999)&lt;&gt;"",$M2999&lt;&gt;INDEX(職員マスタ!$H$6:$H$405,$AP2999)),"時短終了日がマスタと相違／","")))&amp;IF(AND($B2999&lt;&gt;"",$E2999=""),"報酬額が未入力／","")&amp;IF(N($U2999)&gt;0,"申請書に入力エラーが残っています／","")&amp;IF(AND($B2999&lt;&gt;"",$AQ2999&lt;&gt;""),IF(COUNTIFS($B$6:$B$3005,$B2999,$C$6:$C$3005,$C2999,$D$6:$D$3005,$D2999)&gt;1,"同じ月の請求が重複しています／",""),"")&amp;IF(AND(N($E2999)&gt;0,$AB2999&lt;&gt;"",$AB2999&lt;&gt;"×",$AE2999=0,$AD2999=""),"計算額が下限以下のため不支給／",""))</f>
        <v/>
      </c>
      <c r="AN2999" s="12" t="n"/>
      <c r="AO2999" s="14">
        <f>IF($AF2999="保留中",COUNTIF($AF$6:$AF2999,"保留中"),"")</f>
        <v/>
      </c>
      <c r="AP2999" s="14">
        <f>IF($AQ2999="","",IF(SUMPRODUCT(MAX((職員マスタ!$A$6:$A$405=$B2999)*(((職員マスタ!$G$6:$G$405="")+(職員マスタ!$G$6:$G$405&lt;=EOMONTH($AQ2999,0)))&gt;0)*(((職員マスタ!$H$6:$H$405="")+(職員マスタ!$H$6:$H$405&gt;=$AQ2999))&gt;0)*(ROW(職員マスタ!$A$6:$A$405)-5)))&gt;0,SUMPRODUCT(MAX((職員マスタ!$A$6:$A$405=$B2999)*(((職員マスタ!$G$6:$G$405="")+(職員マスタ!$G$6:$G$405&lt;=EOMONTH($AQ2999,0)))&gt;0)*(((職員マスタ!$H$6:$H$405="")+(職員マスタ!$H$6:$H$405&gt;=$AQ2999))&gt;0)*(ROW(職員マスタ!$A$6:$A$405)-5))),IFERROR(MATCH($B2999,職員マスタ!$A$6:$A$405,0),"")))</f>
        <v/>
      </c>
      <c r="AQ2999" s="16">
        <f>IF(OR($B2999="",$C2999="",$D2999=""),"",DATE($C2999+2018,$D2999,1))</f>
        <v/>
      </c>
    </row>
    <row r="3000">
      <c r="A3000" s="11" t="n"/>
      <c r="B3000" s="12" t="n"/>
      <c r="C3000" s="12" t="n"/>
      <c r="D3000" s="12" t="n"/>
      <c r="E3000" s="13" t="n"/>
      <c r="F3000" s="12" t="n"/>
      <c r="G3000" s="13" t="n"/>
      <c r="H3000" s="12" t="n"/>
      <c r="I3000" s="12" t="n"/>
      <c r="J3000" s="12" t="n"/>
      <c r="K3000" s="12" t="n"/>
      <c r="L3000" s="11" t="n"/>
      <c r="M3000" s="11" t="n"/>
      <c r="N3000" s="11" t="n"/>
      <c r="O3000" s="11" t="n"/>
      <c r="P3000" s="12" t="n"/>
      <c r="Q3000" s="11" t="n"/>
      <c r="R3000" s="12" t="n"/>
      <c r="S3000" s="11" t="n"/>
      <c r="T3000" s="12" t="n"/>
      <c r="U3000" s="12" t="n"/>
      <c r="V3000" s="12" t="n"/>
      <c r="W3000" s="13" t="n"/>
      <c r="X3000" s="14">
        <f>IF($AP3000="",IF($B3000="","",$H3000),IF(INDEX(職員マスタ!$B$6:$B$405,$AP3000)="",$H3000,INDEX(職員マスタ!$B$6:$B$405,$AP3000)))</f>
        <v/>
      </c>
      <c r="Y3000" s="14">
        <f>IF($AP3000="",IF($B3000="","",$R3000),IF(INDEX(職員マスタ!$C$6:$C$405,$AP3000)="",$R3000,INDEX(職員マスタ!$C$6:$C$405,$AP3000)))</f>
        <v/>
      </c>
      <c r="Z3000" s="14">
        <f>IF($AQ3000="","","R"&amp;$C3000&amp;"."&amp;$D3000)</f>
        <v/>
      </c>
      <c r="AA3000" s="15">
        <f>IF(IF($AP3000="",FALSE,INDEX(職員マスタ!$K$6:$K$405,$AP3000)&lt;&gt;""),INDEX(職員マスタ!$K$6:$K$405,$AP3000),IF(N($W3000)&gt;0,$W3000,""))</f>
        <v/>
      </c>
      <c r="AB3000" s="14">
        <f>IF(OR($E3000="",$AA3000=""),"",IF($E3000&gt;=$AA3000,"×",IF($E3000&gt;=$AA3000*設定!$C$5,"△","○")))</f>
        <v/>
      </c>
      <c r="AC3000" s="15">
        <f>IF($AB3000="","",IF($AB3000="×",0,IF($AB3000="○",ROUNDDOWN($E3000*設定!$C$4,0),ROUNDDOWN($E3000*ROUND((9*$AA3000-9*$E3000)/(10*$E3000),4),0))))</f>
        <v/>
      </c>
      <c r="AD3000" s="13" t="n"/>
      <c r="AE3000" s="15">
        <f>IF($B3000="","",IF($AD3000&lt;&gt;"",$AD3000,IF($AC3000="","",IF($AC3000&lt;=設定!$C$3,0,$AC3000))))</f>
        <v/>
      </c>
      <c r="AF3000" s="14">
        <f>IF($B3000="","",IF(AND($AG3000&lt;&gt;"",$AI3000="",$AL3000=""),"保留中",IF($AL3000&lt;&gt;"",IF(N($AE3000)&gt;0,"支給済","不支給"),IF($AE3000="","要確認",IF($AE3000=0,"不支給","未処理")))))</f>
        <v/>
      </c>
      <c r="AG3000" s="12" t="n"/>
      <c r="AH3000" s="11" t="n"/>
      <c r="AI3000" s="11" t="n"/>
      <c r="AJ3000" s="11" t="n"/>
      <c r="AK3000" s="14">
        <f>IF(AND($AF3000="保留中",$AH3000&lt;&gt;""),TODAY()-$AH3000,"")</f>
        <v/>
      </c>
      <c r="AL3000" s="12" t="n"/>
      <c r="AM3000" s="14">
        <f>IF($B3000="","",IF($AQ3000="","対象年月が未入力／","")&amp;IF($B3000="","",IF($AP3000="","職員マスタに未登録の職員番号／",IF($AA3000="","標準報酬月額が未登録／","")&amp;IF(AND($AQ3000&lt;&gt;"",OR(AND(INDEX(職員マスタ!$G$6:$G$405,$AP3000)&lt;&gt;"",INDEX(職員マスタ!$G$6:$G$405,$AP3000)&gt;EOMONTH($AQ3000,0)),AND(INDEX(職員マスタ!$H$6:$H$405,$AP3000)&lt;&gt;"",INDEX(職員マスタ!$H$6:$H$405,$AP3000)&lt;$AQ3000))),"対象月が時短期間外／","")&amp;IF(AND(INDEX(職員マスタ!$K$6:$K$405,$AP3000)&lt;&gt;"",N($W3000)&gt;0,INDEX(職員マスタ!$K$6:$K$405,$AP3000)&lt;&gt;$W3000),"標準報酬月額が申請書と相違（台帳"&amp;TEXT(INDEX(職員マスタ!$K$6:$K$405,$AP3000),"#,##0")&amp;"円／申請書"&amp;TEXT($W3000,"#,##0")&amp;"円）／","")&amp;IF(AND(INDEX(職員マスタ!$F$6:$F$405,$AP3000)&lt;&gt;"",$AQ3000&lt;&gt;"",INDEX(職員マスタ!$F$6:$F$405,$AP3000)&lt;$AQ3000),"対象月に子が2歳到達済／","")&amp;IF(AND($H3000&lt;&gt;"",INDEX(職員マスタ!$B$6:$B$405,$AP3000)&lt;&gt;"",SUBSTITUTE(SUBSTITUTE($H3000," ","")," ","")&lt;&gt;SUBSTITUTE(SUBSTITUTE(INDEX(職員マスタ!$B$6:$B$405,$AP3000)," ","")," ","")),"氏名がマスタと相違／","")&amp;IF(AND($Q3000&lt;&gt;"",INDEX(職員マスタ!$E$6:$E$405,$AP3000)&lt;&gt;"",$Q3000&lt;&gt;INDEX(職員マスタ!$E$6:$E$405,$AP3000)),"子の生年月日がマスタと相違／","")&amp;IF(AND($L3000&lt;&gt;"",INDEX(職員マスタ!$G$6:$G$405,$AP3000)&lt;&gt;"",$L3000&lt;&gt;INDEX(職員マスタ!$G$6:$G$405,$AP3000)),"時短開始日がマスタと相違／","")&amp;IF(AND($M3000&lt;&gt;"",INDEX(職員マスタ!$H$6:$H$405,$AP3000)&lt;&gt;"",$M3000&lt;&gt;INDEX(職員マスタ!$H$6:$H$405,$AP3000)),"時短終了日がマスタと相違／","")))&amp;IF(AND($B3000&lt;&gt;"",$E3000=""),"報酬額が未入力／","")&amp;IF(N($U3000)&gt;0,"申請書に入力エラーが残っています／","")&amp;IF(AND($B3000&lt;&gt;"",$AQ3000&lt;&gt;""),IF(COUNTIFS($B$6:$B$3005,$B3000,$C$6:$C$3005,$C3000,$D$6:$D$3005,$D3000)&gt;1,"同じ月の請求が重複しています／",""),"")&amp;IF(AND(N($E3000)&gt;0,$AB3000&lt;&gt;"",$AB3000&lt;&gt;"×",$AE3000=0,$AD3000=""),"計算額が下限以下のため不支給／",""))</f>
        <v/>
      </c>
      <c r="AN3000" s="12" t="n"/>
      <c r="AO3000" s="14">
        <f>IF($AF3000="保留中",COUNTIF($AF$6:$AF3000,"保留中"),"")</f>
        <v/>
      </c>
      <c r="AP3000" s="14">
        <f>IF($AQ3000="","",IF(SUMPRODUCT(MAX((職員マスタ!$A$6:$A$405=$B3000)*(((職員マスタ!$G$6:$G$405="")+(職員マスタ!$G$6:$G$405&lt;=EOMONTH($AQ3000,0)))&gt;0)*(((職員マスタ!$H$6:$H$405="")+(職員マスタ!$H$6:$H$405&gt;=$AQ3000))&gt;0)*(ROW(職員マスタ!$A$6:$A$405)-5)))&gt;0,SUMPRODUCT(MAX((職員マスタ!$A$6:$A$405=$B3000)*(((職員マスタ!$G$6:$G$405="")+(職員マスタ!$G$6:$G$405&lt;=EOMONTH($AQ3000,0)))&gt;0)*(((職員マスタ!$H$6:$H$405="")+(職員マスタ!$H$6:$H$405&gt;=$AQ3000))&gt;0)*(ROW(職員マスタ!$A$6:$A$405)-5))),IFERROR(MATCH($B3000,職員マスタ!$A$6:$A$405,0),"")))</f>
        <v/>
      </c>
      <c r="AQ3000" s="16">
        <f>IF(OR($B3000="",$C3000="",$D3000=""),"",DATE($C3000+2018,$D3000,1))</f>
        <v/>
      </c>
    </row>
    <row r="3001">
      <c r="A3001" s="11" t="n"/>
      <c r="B3001" s="12" t="n"/>
      <c r="C3001" s="12" t="n"/>
      <c r="D3001" s="12" t="n"/>
      <c r="E3001" s="13" t="n"/>
      <c r="F3001" s="12" t="n"/>
      <c r="G3001" s="13" t="n"/>
      <c r="H3001" s="12" t="n"/>
      <c r="I3001" s="12" t="n"/>
      <c r="J3001" s="12" t="n"/>
      <c r="K3001" s="12" t="n"/>
      <c r="L3001" s="11" t="n"/>
      <c r="M3001" s="11" t="n"/>
      <c r="N3001" s="11" t="n"/>
      <c r="O3001" s="11" t="n"/>
      <c r="P3001" s="12" t="n"/>
      <c r="Q3001" s="11" t="n"/>
      <c r="R3001" s="12" t="n"/>
      <c r="S3001" s="11" t="n"/>
      <c r="T3001" s="12" t="n"/>
      <c r="U3001" s="12" t="n"/>
      <c r="V3001" s="12" t="n"/>
      <c r="W3001" s="13" t="n"/>
      <c r="X3001" s="14">
        <f>IF($AP3001="",IF($B3001="","",$H3001),IF(INDEX(職員マスタ!$B$6:$B$405,$AP3001)="",$H3001,INDEX(職員マスタ!$B$6:$B$405,$AP3001)))</f>
        <v/>
      </c>
      <c r="Y3001" s="14">
        <f>IF($AP3001="",IF($B3001="","",$R3001),IF(INDEX(職員マスタ!$C$6:$C$405,$AP3001)="",$R3001,INDEX(職員マスタ!$C$6:$C$405,$AP3001)))</f>
        <v/>
      </c>
      <c r="Z3001" s="14">
        <f>IF($AQ3001="","","R"&amp;$C3001&amp;"."&amp;$D3001)</f>
        <v/>
      </c>
      <c r="AA3001" s="15">
        <f>IF(IF($AP3001="",FALSE,INDEX(職員マスタ!$K$6:$K$405,$AP3001)&lt;&gt;""),INDEX(職員マスタ!$K$6:$K$405,$AP3001),IF(N($W3001)&gt;0,$W3001,""))</f>
        <v/>
      </c>
      <c r="AB3001" s="14">
        <f>IF(OR($E3001="",$AA3001=""),"",IF($E3001&gt;=$AA3001,"×",IF($E3001&gt;=$AA3001*設定!$C$5,"△","○")))</f>
        <v/>
      </c>
      <c r="AC3001" s="15">
        <f>IF($AB3001="","",IF($AB3001="×",0,IF($AB3001="○",ROUNDDOWN($E3001*設定!$C$4,0),ROUNDDOWN($E3001*ROUND((9*$AA3001-9*$E3001)/(10*$E3001),4),0))))</f>
        <v/>
      </c>
      <c r="AD3001" s="13" t="n"/>
      <c r="AE3001" s="15">
        <f>IF($B3001="","",IF($AD3001&lt;&gt;"",$AD3001,IF($AC3001="","",IF($AC3001&lt;=設定!$C$3,0,$AC3001))))</f>
        <v/>
      </c>
      <c r="AF3001" s="14">
        <f>IF($B3001="","",IF(AND($AG3001&lt;&gt;"",$AI3001="",$AL3001=""),"保留中",IF($AL3001&lt;&gt;"",IF(N($AE3001)&gt;0,"支給済","不支給"),IF($AE3001="","要確認",IF($AE3001=0,"不支給","未処理")))))</f>
        <v/>
      </c>
      <c r="AG3001" s="12" t="n"/>
      <c r="AH3001" s="11" t="n"/>
      <c r="AI3001" s="11" t="n"/>
      <c r="AJ3001" s="11" t="n"/>
      <c r="AK3001" s="14">
        <f>IF(AND($AF3001="保留中",$AH3001&lt;&gt;""),TODAY()-$AH3001,"")</f>
        <v/>
      </c>
      <c r="AL3001" s="12" t="n"/>
      <c r="AM3001" s="14">
        <f>IF($B3001="","",IF($AQ3001="","対象年月が未入力／","")&amp;IF($B3001="","",IF($AP3001="","職員マスタに未登録の職員番号／",IF($AA3001="","標準報酬月額が未登録／","")&amp;IF(AND($AQ3001&lt;&gt;"",OR(AND(INDEX(職員マスタ!$G$6:$G$405,$AP3001)&lt;&gt;"",INDEX(職員マスタ!$G$6:$G$405,$AP3001)&gt;EOMONTH($AQ3001,0)),AND(INDEX(職員マスタ!$H$6:$H$405,$AP3001)&lt;&gt;"",INDEX(職員マスタ!$H$6:$H$405,$AP3001)&lt;$AQ3001))),"対象月が時短期間外／","")&amp;IF(AND(INDEX(職員マスタ!$K$6:$K$405,$AP3001)&lt;&gt;"",N($W3001)&gt;0,INDEX(職員マスタ!$K$6:$K$405,$AP3001)&lt;&gt;$W3001),"標準報酬月額が申請書と相違（台帳"&amp;TEXT(INDEX(職員マスタ!$K$6:$K$405,$AP3001),"#,##0")&amp;"円／申請書"&amp;TEXT($W3001,"#,##0")&amp;"円）／","")&amp;IF(AND(INDEX(職員マスタ!$F$6:$F$405,$AP3001)&lt;&gt;"",$AQ3001&lt;&gt;"",INDEX(職員マスタ!$F$6:$F$405,$AP3001)&lt;$AQ3001),"対象月に子が2歳到達済／","")&amp;IF(AND($H3001&lt;&gt;"",INDEX(職員マスタ!$B$6:$B$405,$AP3001)&lt;&gt;"",SUBSTITUTE(SUBSTITUTE($H3001," ","")," ","")&lt;&gt;SUBSTITUTE(SUBSTITUTE(INDEX(職員マスタ!$B$6:$B$405,$AP3001)," ","")," ","")),"氏名がマスタと相違／","")&amp;IF(AND($Q3001&lt;&gt;"",INDEX(職員マスタ!$E$6:$E$405,$AP3001)&lt;&gt;"",$Q3001&lt;&gt;INDEX(職員マスタ!$E$6:$E$405,$AP3001)),"子の生年月日がマスタと相違／","")&amp;IF(AND($L3001&lt;&gt;"",INDEX(職員マスタ!$G$6:$G$405,$AP3001)&lt;&gt;"",$L3001&lt;&gt;INDEX(職員マスタ!$G$6:$G$405,$AP3001)),"時短開始日がマスタと相違／","")&amp;IF(AND($M3001&lt;&gt;"",INDEX(職員マスタ!$H$6:$H$405,$AP3001)&lt;&gt;"",$M3001&lt;&gt;INDEX(職員マスタ!$H$6:$H$405,$AP3001)),"時短終了日がマスタと相違／","")))&amp;IF(AND($B3001&lt;&gt;"",$E3001=""),"報酬額が未入力／","")&amp;IF(N($U3001)&gt;0,"申請書に入力エラーが残っています／","")&amp;IF(AND($B3001&lt;&gt;"",$AQ3001&lt;&gt;""),IF(COUNTIFS($B$6:$B$3005,$B3001,$C$6:$C$3005,$C3001,$D$6:$D$3005,$D3001)&gt;1,"同じ月の請求が重複しています／",""),"")&amp;IF(AND(N($E3001)&gt;0,$AB3001&lt;&gt;"",$AB3001&lt;&gt;"×",$AE3001=0,$AD3001=""),"計算額が下限以下のため不支給／",""))</f>
        <v/>
      </c>
      <c r="AN3001" s="12" t="n"/>
      <c r="AO3001" s="14">
        <f>IF($AF3001="保留中",COUNTIF($AF$6:$AF3001,"保留中"),"")</f>
        <v/>
      </c>
      <c r="AP3001" s="14">
        <f>IF($AQ3001="","",IF(SUMPRODUCT(MAX((職員マスタ!$A$6:$A$405=$B3001)*(((職員マスタ!$G$6:$G$405="")+(職員マスタ!$G$6:$G$405&lt;=EOMONTH($AQ3001,0)))&gt;0)*(((職員マスタ!$H$6:$H$405="")+(職員マスタ!$H$6:$H$405&gt;=$AQ3001))&gt;0)*(ROW(職員マスタ!$A$6:$A$405)-5)))&gt;0,SUMPRODUCT(MAX((職員マスタ!$A$6:$A$405=$B3001)*(((職員マスタ!$G$6:$G$405="")+(職員マスタ!$G$6:$G$405&lt;=EOMONTH($AQ3001,0)))&gt;0)*(((職員マスタ!$H$6:$H$405="")+(職員マスタ!$H$6:$H$405&gt;=$AQ3001))&gt;0)*(ROW(職員マスタ!$A$6:$A$405)-5))),IFERROR(MATCH($B3001,職員マスタ!$A$6:$A$405,0),"")))</f>
        <v/>
      </c>
      <c r="AQ3001" s="16">
        <f>IF(OR($B3001="",$C3001="",$D3001=""),"",DATE($C3001+2018,$D3001,1))</f>
        <v/>
      </c>
    </row>
    <row r="3002">
      <c r="A3002" s="11" t="n"/>
      <c r="B3002" s="12" t="n"/>
      <c r="C3002" s="12" t="n"/>
      <c r="D3002" s="12" t="n"/>
      <c r="E3002" s="13" t="n"/>
      <c r="F3002" s="12" t="n"/>
      <c r="G3002" s="13" t="n"/>
      <c r="H3002" s="12" t="n"/>
      <c r="I3002" s="12" t="n"/>
      <c r="J3002" s="12" t="n"/>
      <c r="K3002" s="12" t="n"/>
      <c r="L3002" s="11" t="n"/>
      <c r="M3002" s="11" t="n"/>
      <c r="N3002" s="11" t="n"/>
      <c r="O3002" s="11" t="n"/>
      <c r="P3002" s="12" t="n"/>
      <c r="Q3002" s="11" t="n"/>
      <c r="R3002" s="12" t="n"/>
      <c r="S3002" s="11" t="n"/>
      <c r="T3002" s="12" t="n"/>
      <c r="U3002" s="12" t="n"/>
      <c r="V3002" s="12" t="n"/>
      <c r="W3002" s="13" t="n"/>
      <c r="X3002" s="14">
        <f>IF($AP3002="",IF($B3002="","",$H3002),IF(INDEX(職員マスタ!$B$6:$B$405,$AP3002)="",$H3002,INDEX(職員マスタ!$B$6:$B$405,$AP3002)))</f>
        <v/>
      </c>
      <c r="Y3002" s="14">
        <f>IF($AP3002="",IF($B3002="","",$R3002),IF(INDEX(職員マスタ!$C$6:$C$405,$AP3002)="",$R3002,INDEX(職員マスタ!$C$6:$C$405,$AP3002)))</f>
        <v/>
      </c>
      <c r="Z3002" s="14">
        <f>IF($AQ3002="","","R"&amp;$C3002&amp;"."&amp;$D3002)</f>
        <v/>
      </c>
      <c r="AA3002" s="15">
        <f>IF(IF($AP3002="",FALSE,INDEX(職員マスタ!$K$6:$K$405,$AP3002)&lt;&gt;""),INDEX(職員マスタ!$K$6:$K$405,$AP3002),IF(N($W3002)&gt;0,$W3002,""))</f>
        <v/>
      </c>
      <c r="AB3002" s="14">
        <f>IF(OR($E3002="",$AA3002=""),"",IF($E3002&gt;=$AA3002,"×",IF($E3002&gt;=$AA3002*設定!$C$5,"△","○")))</f>
        <v/>
      </c>
      <c r="AC3002" s="15">
        <f>IF($AB3002="","",IF($AB3002="×",0,IF($AB3002="○",ROUNDDOWN($E3002*設定!$C$4,0),ROUNDDOWN($E3002*ROUND((9*$AA3002-9*$E3002)/(10*$E3002),4),0))))</f>
        <v/>
      </c>
      <c r="AD3002" s="13" t="n"/>
      <c r="AE3002" s="15">
        <f>IF($B3002="","",IF($AD3002&lt;&gt;"",$AD3002,IF($AC3002="","",IF($AC3002&lt;=設定!$C$3,0,$AC3002))))</f>
        <v/>
      </c>
      <c r="AF3002" s="14">
        <f>IF($B3002="","",IF(AND($AG3002&lt;&gt;"",$AI3002="",$AL3002=""),"保留中",IF($AL3002&lt;&gt;"",IF(N($AE3002)&gt;0,"支給済","不支給"),IF($AE3002="","要確認",IF($AE3002=0,"不支給","未処理")))))</f>
        <v/>
      </c>
      <c r="AG3002" s="12" t="n"/>
      <c r="AH3002" s="11" t="n"/>
      <c r="AI3002" s="11" t="n"/>
      <c r="AJ3002" s="11" t="n"/>
      <c r="AK3002" s="14">
        <f>IF(AND($AF3002="保留中",$AH3002&lt;&gt;""),TODAY()-$AH3002,"")</f>
        <v/>
      </c>
      <c r="AL3002" s="12" t="n"/>
      <c r="AM3002" s="14">
        <f>IF($B3002="","",IF($AQ3002="","対象年月が未入力／","")&amp;IF($B3002="","",IF($AP3002="","職員マスタに未登録の職員番号／",IF($AA3002="","標準報酬月額が未登録／","")&amp;IF(AND($AQ3002&lt;&gt;"",OR(AND(INDEX(職員マスタ!$G$6:$G$405,$AP3002)&lt;&gt;"",INDEX(職員マスタ!$G$6:$G$405,$AP3002)&gt;EOMONTH($AQ3002,0)),AND(INDEX(職員マスタ!$H$6:$H$405,$AP3002)&lt;&gt;"",INDEX(職員マスタ!$H$6:$H$405,$AP3002)&lt;$AQ3002))),"対象月が時短期間外／","")&amp;IF(AND(INDEX(職員マスタ!$K$6:$K$405,$AP3002)&lt;&gt;"",N($W3002)&gt;0,INDEX(職員マスタ!$K$6:$K$405,$AP3002)&lt;&gt;$W3002),"標準報酬月額が申請書と相違（台帳"&amp;TEXT(INDEX(職員マスタ!$K$6:$K$405,$AP3002),"#,##0")&amp;"円／申請書"&amp;TEXT($W3002,"#,##0")&amp;"円）／","")&amp;IF(AND(INDEX(職員マスタ!$F$6:$F$405,$AP3002)&lt;&gt;"",$AQ3002&lt;&gt;"",INDEX(職員マスタ!$F$6:$F$405,$AP3002)&lt;$AQ3002),"対象月に子が2歳到達済／","")&amp;IF(AND($H3002&lt;&gt;"",INDEX(職員マスタ!$B$6:$B$405,$AP3002)&lt;&gt;"",SUBSTITUTE(SUBSTITUTE($H3002," ","")," ","")&lt;&gt;SUBSTITUTE(SUBSTITUTE(INDEX(職員マスタ!$B$6:$B$405,$AP3002)," ","")," ","")),"氏名がマスタと相違／","")&amp;IF(AND($Q3002&lt;&gt;"",INDEX(職員マスタ!$E$6:$E$405,$AP3002)&lt;&gt;"",$Q3002&lt;&gt;INDEX(職員マスタ!$E$6:$E$405,$AP3002)),"子の生年月日がマスタと相違／","")&amp;IF(AND($L3002&lt;&gt;"",INDEX(職員マスタ!$G$6:$G$405,$AP3002)&lt;&gt;"",$L3002&lt;&gt;INDEX(職員マスタ!$G$6:$G$405,$AP3002)),"時短開始日がマスタと相違／","")&amp;IF(AND($M3002&lt;&gt;"",INDEX(職員マスタ!$H$6:$H$405,$AP3002)&lt;&gt;"",$M3002&lt;&gt;INDEX(職員マスタ!$H$6:$H$405,$AP3002)),"時短終了日がマスタと相違／","")))&amp;IF(AND($B3002&lt;&gt;"",$E3002=""),"報酬額が未入力／","")&amp;IF(N($U3002)&gt;0,"申請書に入力エラーが残っています／","")&amp;IF(AND($B3002&lt;&gt;"",$AQ3002&lt;&gt;""),IF(COUNTIFS($B$6:$B$3005,$B3002,$C$6:$C$3005,$C3002,$D$6:$D$3005,$D3002)&gt;1,"同じ月の請求が重複しています／",""),"")&amp;IF(AND(N($E3002)&gt;0,$AB3002&lt;&gt;"",$AB3002&lt;&gt;"×",$AE3002=0,$AD3002=""),"計算額が下限以下のため不支給／",""))</f>
        <v/>
      </c>
      <c r="AN3002" s="12" t="n"/>
      <c r="AO3002" s="14">
        <f>IF($AF3002="保留中",COUNTIF($AF$6:$AF3002,"保留中"),"")</f>
        <v/>
      </c>
      <c r="AP3002" s="14">
        <f>IF($AQ3002="","",IF(SUMPRODUCT(MAX((職員マスタ!$A$6:$A$405=$B3002)*(((職員マスタ!$G$6:$G$405="")+(職員マスタ!$G$6:$G$405&lt;=EOMONTH($AQ3002,0)))&gt;0)*(((職員マスタ!$H$6:$H$405="")+(職員マスタ!$H$6:$H$405&gt;=$AQ3002))&gt;0)*(ROW(職員マスタ!$A$6:$A$405)-5)))&gt;0,SUMPRODUCT(MAX((職員マスタ!$A$6:$A$405=$B3002)*(((職員マスタ!$G$6:$G$405="")+(職員マスタ!$G$6:$G$405&lt;=EOMONTH($AQ3002,0)))&gt;0)*(((職員マスタ!$H$6:$H$405="")+(職員マスタ!$H$6:$H$405&gt;=$AQ3002))&gt;0)*(ROW(職員マスタ!$A$6:$A$405)-5))),IFERROR(MATCH($B3002,職員マスタ!$A$6:$A$405,0),"")))</f>
        <v/>
      </c>
      <c r="AQ3002" s="16">
        <f>IF(OR($B3002="",$C3002="",$D3002=""),"",DATE($C3002+2018,$D3002,1))</f>
        <v/>
      </c>
    </row>
    <row r="3003">
      <c r="A3003" s="11" t="n"/>
      <c r="B3003" s="12" t="n"/>
      <c r="C3003" s="12" t="n"/>
      <c r="D3003" s="12" t="n"/>
      <c r="E3003" s="13" t="n"/>
      <c r="F3003" s="12" t="n"/>
      <c r="G3003" s="13" t="n"/>
      <c r="H3003" s="12" t="n"/>
      <c r="I3003" s="12" t="n"/>
      <c r="J3003" s="12" t="n"/>
      <c r="K3003" s="12" t="n"/>
      <c r="L3003" s="11" t="n"/>
      <c r="M3003" s="11" t="n"/>
      <c r="N3003" s="11" t="n"/>
      <c r="O3003" s="11" t="n"/>
      <c r="P3003" s="12" t="n"/>
      <c r="Q3003" s="11" t="n"/>
      <c r="R3003" s="12" t="n"/>
      <c r="S3003" s="11" t="n"/>
      <c r="T3003" s="12" t="n"/>
      <c r="U3003" s="12" t="n"/>
      <c r="V3003" s="12" t="n"/>
      <c r="W3003" s="13" t="n"/>
      <c r="X3003" s="14">
        <f>IF($AP3003="",IF($B3003="","",$H3003),IF(INDEX(職員マスタ!$B$6:$B$405,$AP3003)="",$H3003,INDEX(職員マスタ!$B$6:$B$405,$AP3003)))</f>
        <v/>
      </c>
      <c r="Y3003" s="14">
        <f>IF($AP3003="",IF($B3003="","",$R3003),IF(INDEX(職員マスタ!$C$6:$C$405,$AP3003)="",$R3003,INDEX(職員マスタ!$C$6:$C$405,$AP3003)))</f>
        <v/>
      </c>
      <c r="Z3003" s="14">
        <f>IF($AQ3003="","","R"&amp;$C3003&amp;"."&amp;$D3003)</f>
        <v/>
      </c>
      <c r="AA3003" s="15">
        <f>IF(IF($AP3003="",FALSE,INDEX(職員マスタ!$K$6:$K$405,$AP3003)&lt;&gt;""),INDEX(職員マスタ!$K$6:$K$405,$AP3003),IF(N($W3003)&gt;0,$W3003,""))</f>
        <v/>
      </c>
      <c r="AB3003" s="14">
        <f>IF(OR($E3003="",$AA3003=""),"",IF($E3003&gt;=$AA3003,"×",IF($E3003&gt;=$AA3003*設定!$C$5,"△","○")))</f>
        <v/>
      </c>
      <c r="AC3003" s="15">
        <f>IF($AB3003="","",IF($AB3003="×",0,IF($AB3003="○",ROUNDDOWN($E3003*設定!$C$4,0),ROUNDDOWN($E3003*ROUND((9*$AA3003-9*$E3003)/(10*$E3003),4),0))))</f>
        <v/>
      </c>
      <c r="AD3003" s="13" t="n"/>
      <c r="AE3003" s="15">
        <f>IF($B3003="","",IF($AD3003&lt;&gt;"",$AD3003,IF($AC3003="","",IF($AC3003&lt;=設定!$C$3,0,$AC3003))))</f>
        <v/>
      </c>
      <c r="AF3003" s="14">
        <f>IF($B3003="","",IF(AND($AG3003&lt;&gt;"",$AI3003="",$AL3003=""),"保留中",IF($AL3003&lt;&gt;"",IF(N($AE3003)&gt;0,"支給済","不支給"),IF($AE3003="","要確認",IF($AE3003=0,"不支給","未処理")))))</f>
        <v/>
      </c>
      <c r="AG3003" s="12" t="n"/>
      <c r="AH3003" s="11" t="n"/>
      <c r="AI3003" s="11" t="n"/>
      <c r="AJ3003" s="11" t="n"/>
      <c r="AK3003" s="14">
        <f>IF(AND($AF3003="保留中",$AH3003&lt;&gt;""),TODAY()-$AH3003,"")</f>
        <v/>
      </c>
      <c r="AL3003" s="12" t="n"/>
      <c r="AM3003" s="14">
        <f>IF($B3003="","",IF($AQ3003="","対象年月が未入力／","")&amp;IF($B3003="","",IF($AP3003="","職員マスタに未登録の職員番号／",IF($AA3003="","標準報酬月額が未登録／","")&amp;IF(AND($AQ3003&lt;&gt;"",OR(AND(INDEX(職員マスタ!$G$6:$G$405,$AP3003)&lt;&gt;"",INDEX(職員マスタ!$G$6:$G$405,$AP3003)&gt;EOMONTH($AQ3003,0)),AND(INDEX(職員マスタ!$H$6:$H$405,$AP3003)&lt;&gt;"",INDEX(職員マスタ!$H$6:$H$405,$AP3003)&lt;$AQ3003))),"対象月が時短期間外／","")&amp;IF(AND(INDEX(職員マスタ!$K$6:$K$405,$AP3003)&lt;&gt;"",N($W3003)&gt;0,INDEX(職員マスタ!$K$6:$K$405,$AP3003)&lt;&gt;$W3003),"標準報酬月額が申請書と相違（台帳"&amp;TEXT(INDEX(職員マスタ!$K$6:$K$405,$AP3003),"#,##0")&amp;"円／申請書"&amp;TEXT($W3003,"#,##0")&amp;"円）／","")&amp;IF(AND(INDEX(職員マスタ!$F$6:$F$405,$AP3003)&lt;&gt;"",$AQ3003&lt;&gt;"",INDEX(職員マスタ!$F$6:$F$405,$AP3003)&lt;$AQ3003),"対象月に子が2歳到達済／","")&amp;IF(AND($H3003&lt;&gt;"",INDEX(職員マスタ!$B$6:$B$405,$AP3003)&lt;&gt;"",SUBSTITUTE(SUBSTITUTE($H3003," ","")," ","")&lt;&gt;SUBSTITUTE(SUBSTITUTE(INDEX(職員マスタ!$B$6:$B$405,$AP3003)," ","")," ","")),"氏名がマスタと相違／","")&amp;IF(AND($Q3003&lt;&gt;"",INDEX(職員マスタ!$E$6:$E$405,$AP3003)&lt;&gt;"",$Q3003&lt;&gt;INDEX(職員マスタ!$E$6:$E$405,$AP3003)),"子の生年月日がマスタと相違／","")&amp;IF(AND($L3003&lt;&gt;"",INDEX(職員マスタ!$G$6:$G$405,$AP3003)&lt;&gt;"",$L3003&lt;&gt;INDEX(職員マスタ!$G$6:$G$405,$AP3003)),"時短開始日がマスタと相違／","")&amp;IF(AND($M3003&lt;&gt;"",INDEX(職員マスタ!$H$6:$H$405,$AP3003)&lt;&gt;"",$M3003&lt;&gt;INDEX(職員マスタ!$H$6:$H$405,$AP3003)),"時短終了日がマスタと相違／","")))&amp;IF(AND($B3003&lt;&gt;"",$E3003=""),"報酬額が未入力／","")&amp;IF(N($U3003)&gt;0,"申請書に入力エラーが残っています／","")&amp;IF(AND($B3003&lt;&gt;"",$AQ3003&lt;&gt;""),IF(COUNTIFS($B$6:$B$3005,$B3003,$C$6:$C$3005,$C3003,$D$6:$D$3005,$D3003)&gt;1,"同じ月の請求が重複しています／",""),"")&amp;IF(AND(N($E3003)&gt;0,$AB3003&lt;&gt;"",$AB3003&lt;&gt;"×",$AE3003=0,$AD3003=""),"計算額が下限以下のため不支給／",""))</f>
        <v/>
      </c>
      <c r="AN3003" s="12" t="n"/>
      <c r="AO3003" s="14">
        <f>IF($AF3003="保留中",COUNTIF($AF$6:$AF3003,"保留中"),"")</f>
        <v/>
      </c>
      <c r="AP3003" s="14">
        <f>IF($AQ3003="","",IF(SUMPRODUCT(MAX((職員マスタ!$A$6:$A$405=$B3003)*(((職員マスタ!$G$6:$G$405="")+(職員マスタ!$G$6:$G$405&lt;=EOMONTH($AQ3003,0)))&gt;0)*(((職員マスタ!$H$6:$H$405="")+(職員マスタ!$H$6:$H$405&gt;=$AQ3003))&gt;0)*(ROW(職員マスタ!$A$6:$A$405)-5)))&gt;0,SUMPRODUCT(MAX((職員マスタ!$A$6:$A$405=$B3003)*(((職員マスタ!$G$6:$G$405="")+(職員マスタ!$G$6:$G$405&lt;=EOMONTH($AQ3003,0)))&gt;0)*(((職員マスタ!$H$6:$H$405="")+(職員マスタ!$H$6:$H$405&gt;=$AQ3003))&gt;0)*(ROW(職員マスタ!$A$6:$A$405)-5))),IFERROR(MATCH($B3003,職員マスタ!$A$6:$A$405,0),"")))</f>
        <v/>
      </c>
      <c r="AQ3003" s="16">
        <f>IF(OR($B3003="",$C3003="",$D3003=""),"",DATE($C3003+2018,$D3003,1))</f>
        <v/>
      </c>
    </row>
    <row r="3004">
      <c r="A3004" s="11" t="n"/>
      <c r="B3004" s="12" t="n"/>
      <c r="C3004" s="12" t="n"/>
      <c r="D3004" s="12" t="n"/>
      <c r="E3004" s="13" t="n"/>
      <c r="F3004" s="12" t="n"/>
      <c r="G3004" s="13" t="n"/>
      <c r="H3004" s="12" t="n"/>
      <c r="I3004" s="12" t="n"/>
      <c r="J3004" s="12" t="n"/>
      <c r="K3004" s="12" t="n"/>
      <c r="L3004" s="11" t="n"/>
      <c r="M3004" s="11" t="n"/>
      <c r="N3004" s="11" t="n"/>
      <c r="O3004" s="11" t="n"/>
      <c r="P3004" s="12" t="n"/>
      <c r="Q3004" s="11" t="n"/>
      <c r="R3004" s="12" t="n"/>
      <c r="S3004" s="11" t="n"/>
      <c r="T3004" s="12" t="n"/>
      <c r="U3004" s="12" t="n"/>
      <c r="V3004" s="12" t="n"/>
      <c r="W3004" s="13" t="n"/>
      <c r="X3004" s="14">
        <f>IF($AP3004="",IF($B3004="","",$H3004),IF(INDEX(職員マスタ!$B$6:$B$405,$AP3004)="",$H3004,INDEX(職員マスタ!$B$6:$B$405,$AP3004)))</f>
        <v/>
      </c>
      <c r="Y3004" s="14">
        <f>IF($AP3004="",IF($B3004="","",$R3004),IF(INDEX(職員マスタ!$C$6:$C$405,$AP3004)="",$R3004,INDEX(職員マスタ!$C$6:$C$405,$AP3004)))</f>
        <v/>
      </c>
      <c r="Z3004" s="14">
        <f>IF($AQ3004="","","R"&amp;$C3004&amp;"."&amp;$D3004)</f>
        <v/>
      </c>
      <c r="AA3004" s="15">
        <f>IF(IF($AP3004="",FALSE,INDEX(職員マスタ!$K$6:$K$405,$AP3004)&lt;&gt;""),INDEX(職員マスタ!$K$6:$K$405,$AP3004),IF(N($W3004)&gt;0,$W3004,""))</f>
        <v/>
      </c>
      <c r="AB3004" s="14">
        <f>IF(OR($E3004="",$AA3004=""),"",IF($E3004&gt;=$AA3004,"×",IF($E3004&gt;=$AA3004*設定!$C$5,"△","○")))</f>
        <v/>
      </c>
      <c r="AC3004" s="15">
        <f>IF($AB3004="","",IF($AB3004="×",0,IF($AB3004="○",ROUNDDOWN($E3004*設定!$C$4,0),ROUNDDOWN($E3004*ROUND((9*$AA3004-9*$E3004)/(10*$E3004),4),0))))</f>
        <v/>
      </c>
      <c r="AD3004" s="13" t="n"/>
      <c r="AE3004" s="15">
        <f>IF($B3004="","",IF($AD3004&lt;&gt;"",$AD3004,IF($AC3004="","",IF($AC3004&lt;=設定!$C$3,0,$AC3004))))</f>
        <v/>
      </c>
      <c r="AF3004" s="14">
        <f>IF($B3004="","",IF(AND($AG3004&lt;&gt;"",$AI3004="",$AL3004=""),"保留中",IF($AL3004&lt;&gt;"",IF(N($AE3004)&gt;0,"支給済","不支給"),IF($AE3004="","要確認",IF($AE3004=0,"不支給","未処理")))))</f>
        <v/>
      </c>
      <c r="AG3004" s="12" t="n"/>
      <c r="AH3004" s="11" t="n"/>
      <c r="AI3004" s="11" t="n"/>
      <c r="AJ3004" s="11" t="n"/>
      <c r="AK3004" s="14">
        <f>IF(AND($AF3004="保留中",$AH3004&lt;&gt;""),TODAY()-$AH3004,"")</f>
        <v/>
      </c>
      <c r="AL3004" s="12" t="n"/>
      <c r="AM3004" s="14">
        <f>IF($B3004="","",IF($AQ3004="","対象年月が未入力／","")&amp;IF($B3004="","",IF($AP3004="","職員マスタに未登録の職員番号／",IF($AA3004="","標準報酬月額が未登録／","")&amp;IF(AND($AQ3004&lt;&gt;"",OR(AND(INDEX(職員マスタ!$G$6:$G$405,$AP3004)&lt;&gt;"",INDEX(職員マスタ!$G$6:$G$405,$AP3004)&gt;EOMONTH($AQ3004,0)),AND(INDEX(職員マスタ!$H$6:$H$405,$AP3004)&lt;&gt;"",INDEX(職員マスタ!$H$6:$H$405,$AP3004)&lt;$AQ3004))),"対象月が時短期間外／","")&amp;IF(AND(INDEX(職員マスタ!$K$6:$K$405,$AP3004)&lt;&gt;"",N($W3004)&gt;0,INDEX(職員マスタ!$K$6:$K$405,$AP3004)&lt;&gt;$W3004),"標準報酬月額が申請書と相違（台帳"&amp;TEXT(INDEX(職員マスタ!$K$6:$K$405,$AP3004),"#,##0")&amp;"円／申請書"&amp;TEXT($W3004,"#,##0")&amp;"円）／","")&amp;IF(AND(INDEX(職員マスタ!$F$6:$F$405,$AP3004)&lt;&gt;"",$AQ3004&lt;&gt;"",INDEX(職員マスタ!$F$6:$F$405,$AP3004)&lt;$AQ3004),"対象月に子が2歳到達済／","")&amp;IF(AND($H3004&lt;&gt;"",INDEX(職員マスタ!$B$6:$B$405,$AP3004)&lt;&gt;"",SUBSTITUTE(SUBSTITUTE($H3004," ","")," ","")&lt;&gt;SUBSTITUTE(SUBSTITUTE(INDEX(職員マスタ!$B$6:$B$405,$AP3004)," ","")," ","")),"氏名がマスタと相違／","")&amp;IF(AND($Q3004&lt;&gt;"",INDEX(職員マスタ!$E$6:$E$405,$AP3004)&lt;&gt;"",$Q3004&lt;&gt;INDEX(職員マスタ!$E$6:$E$405,$AP3004)),"子の生年月日がマスタと相違／","")&amp;IF(AND($L3004&lt;&gt;"",INDEX(職員マスタ!$G$6:$G$405,$AP3004)&lt;&gt;"",$L3004&lt;&gt;INDEX(職員マスタ!$G$6:$G$405,$AP3004)),"時短開始日がマスタと相違／","")&amp;IF(AND($M3004&lt;&gt;"",INDEX(職員マスタ!$H$6:$H$405,$AP3004)&lt;&gt;"",$M3004&lt;&gt;INDEX(職員マスタ!$H$6:$H$405,$AP3004)),"時短終了日がマスタと相違／","")))&amp;IF(AND($B3004&lt;&gt;"",$E3004=""),"報酬額が未入力／","")&amp;IF(N($U3004)&gt;0,"申請書に入力エラーが残っています／","")&amp;IF(AND($B3004&lt;&gt;"",$AQ3004&lt;&gt;""),IF(COUNTIFS($B$6:$B$3005,$B3004,$C$6:$C$3005,$C3004,$D$6:$D$3005,$D3004)&gt;1,"同じ月の請求が重複しています／",""),"")&amp;IF(AND(N($E3004)&gt;0,$AB3004&lt;&gt;"",$AB3004&lt;&gt;"×",$AE3004=0,$AD3004=""),"計算額が下限以下のため不支給／",""))</f>
        <v/>
      </c>
      <c r="AN3004" s="12" t="n"/>
      <c r="AO3004" s="14">
        <f>IF($AF3004="保留中",COUNTIF($AF$6:$AF3004,"保留中"),"")</f>
        <v/>
      </c>
      <c r="AP3004" s="14">
        <f>IF($AQ3004="","",IF(SUMPRODUCT(MAX((職員マスタ!$A$6:$A$405=$B3004)*(((職員マスタ!$G$6:$G$405="")+(職員マスタ!$G$6:$G$405&lt;=EOMONTH($AQ3004,0)))&gt;0)*(((職員マスタ!$H$6:$H$405="")+(職員マスタ!$H$6:$H$405&gt;=$AQ3004))&gt;0)*(ROW(職員マスタ!$A$6:$A$405)-5)))&gt;0,SUMPRODUCT(MAX((職員マスタ!$A$6:$A$405=$B3004)*(((職員マスタ!$G$6:$G$405="")+(職員マスタ!$G$6:$G$405&lt;=EOMONTH($AQ3004,0)))&gt;0)*(((職員マスタ!$H$6:$H$405="")+(職員マスタ!$H$6:$H$405&gt;=$AQ3004))&gt;0)*(ROW(職員マスタ!$A$6:$A$405)-5))),IFERROR(MATCH($B3004,職員マスタ!$A$6:$A$405,0),"")))</f>
        <v/>
      </c>
      <c r="AQ3004" s="16">
        <f>IF(OR($B3004="",$C3004="",$D3004=""),"",DATE($C3004+2018,$D3004,1))</f>
        <v/>
      </c>
    </row>
    <row r="3005">
      <c r="A3005" s="11" t="n"/>
      <c r="B3005" s="12" t="n"/>
      <c r="C3005" s="12" t="n"/>
      <c r="D3005" s="12" t="n"/>
      <c r="E3005" s="13" t="n"/>
      <c r="F3005" s="12" t="n"/>
      <c r="G3005" s="13" t="n"/>
      <c r="H3005" s="12" t="n"/>
      <c r="I3005" s="12" t="n"/>
      <c r="J3005" s="12" t="n"/>
      <c r="K3005" s="12" t="n"/>
      <c r="L3005" s="11" t="n"/>
      <c r="M3005" s="11" t="n"/>
      <c r="N3005" s="11" t="n"/>
      <c r="O3005" s="11" t="n"/>
      <c r="P3005" s="12" t="n"/>
      <c r="Q3005" s="11" t="n"/>
      <c r="R3005" s="12" t="n"/>
      <c r="S3005" s="11" t="n"/>
      <c r="T3005" s="12" t="n"/>
      <c r="U3005" s="12" t="n"/>
      <c r="V3005" s="12" t="n"/>
      <c r="W3005" s="13" t="n"/>
      <c r="X3005" s="14">
        <f>IF($AP3005="",IF($B3005="","",$H3005),IF(INDEX(職員マスタ!$B$6:$B$405,$AP3005)="",$H3005,INDEX(職員マスタ!$B$6:$B$405,$AP3005)))</f>
        <v/>
      </c>
      <c r="Y3005" s="14">
        <f>IF($AP3005="",IF($B3005="","",$R3005),IF(INDEX(職員マスタ!$C$6:$C$405,$AP3005)="",$R3005,INDEX(職員マスタ!$C$6:$C$405,$AP3005)))</f>
        <v/>
      </c>
      <c r="Z3005" s="14">
        <f>IF($AQ3005="","","R"&amp;$C3005&amp;"."&amp;$D3005)</f>
        <v/>
      </c>
      <c r="AA3005" s="15">
        <f>IF(IF($AP3005="",FALSE,INDEX(職員マスタ!$K$6:$K$405,$AP3005)&lt;&gt;""),INDEX(職員マスタ!$K$6:$K$405,$AP3005),IF(N($W3005)&gt;0,$W3005,""))</f>
        <v/>
      </c>
      <c r="AB3005" s="14">
        <f>IF(OR($E3005="",$AA3005=""),"",IF($E3005&gt;=$AA3005,"×",IF($E3005&gt;=$AA3005*設定!$C$5,"△","○")))</f>
        <v/>
      </c>
      <c r="AC3005" s="15">
        <f>IF($AB3005="","",IF($AB3005="×",0,IF($AB3005="○",ROUNDDOWN($E3005*設定!$C$4,0),ROUNDDOWN($E3005*ROUND((9*$AA3005-9*$E3005)/(10*$E3005),4),0))))</f>
        <v/>
      </c>
      <c r="AD3005" s="13" t="n"/>
      <c r="AE3005" s="15">
        <f>IF($B3005="","",IF($AD3005&lt;&gt;"",$AD3005,IF($AC3005="","",IF($AC3005&lt;=設定!$C$3,0,$AC3005))))</f>
        <v/>
      </c>
      <c r="AF3005" s="14">
        <f>IF($B3005="","",IF(AND($AG3005&lt;&gt;"",$AI3005="",$AL3005=""),"保留中",IF($AL3005&lt;&gt;"",IF(N($AE3005)&gt;0,"支給済","不支給"),IF($AE3005="","要確認",IF($AE3005=0,"不支給","未処理")))))</f>
        <v/>
      </c>
      <c r="AG3005" s="12" t="n"/>
      <c r="AH3005" s="11" t="n"/>
      <c r="AI3005" s="11" t="n"/>
      <c r="AJ3005" s="11" t="n"/>
      <c r="AK3005" s="14">
        <f>IF(AND($AF3005="保留中",$AH3005&lt;&gt;""),TODAY()-$AH3005,"")</f>
        <v/>
      </c>
      <c r="AL3005" s="12" t="n"/>
      <c r="AM3005" s="14">
        <f>IF($B3005="","",IF($AQ3005="","対象年月が未入力／","")&amp;IF($B3005="","",IF($AP3005="","職員マスタに未登録の職員番号／",IF($AA3005="","標準報酬月額が未登録／","")&amp;IF(AND($AQ3005&lt;&gt;"",OR(AND(INDEX(職員マスタ!$G$6:$G$405,$AP3005)&lt;&gt;"",INDEX(職員マスタ!$G$6:$G$405,$AP3005)&gt;EOMONTH($AQ3005,0)),AND(INDEX(職員マスタ!$H$6:$H$405,$AP3005)&lt;&gt;"",INDEX(職員マスタ!$H$6:$H$405,$AP3005)&lt;$AQ3005))),"対象月が時短期間外／","")&amp;IF(AND(INDEX(職員マスタ!$K$6:$K$405,$AP3005)&lt;&gt;"",N($W3005)&gt;0,INDEX(職員マスタ!$K$6:$K$405,$AP3005)&lt;&gt;$W3005),"標準報酬月額が申請書と相違（台帳"&amp;TEXT(INDEX(職員マスタ!$K$6:$K$405,$AP3005),"#,##0")&amp;"円／申請書"&amp;TEXT($W3005,"#,##0")&amp;"円）／","")&amp;IF(AND(INDEX(職員マスタ!$F$6:$F$405,$AP3005)&lt;&gt;"",$AQ3005&lt;&gt;"",INDEX(職員マスタ!$F$6:$F$405,$AP3005)&lt;$AQ3005),"対象月に子が2歳到達済／","")&amp;IF(AND($H3005&lt;&gt;"",INDEX(職員マスタ!$B$6:$B$405,$AP3005)&lt;&gt;"",SUBSTITUTE(SUBSTITUTE($H3005," ","")," ","")&lt;&gt;SUBSTITUTE(SUBSTITUTE(INDEX(職員マスタ!$B$6:$B$405,$AP3005)," ","")," ","")),"氏名がマスタと相違／","")&amp;IF(AND($Q3005&lt;&gt;"",INDEX(職員マスタ!$E$6:$E$405,$AP3005)&lt;&gt;"",$Q3005&lt;&gt;INDEX(職員マスタ!$E$6:$E$405,$AP3005)),"子の生年月日がマスタと相違／","")&amp;IF(AND($L3005&lt;&gt;"",INDEX(職員マスタ!$G$6:$G$405,$AP3005)&lt;&gt;"",$L3005&lt;&gt;INDEX(職員マスタ!$G$6:$G$405,$AP3005)),"時短開始日がマスタと相違／","")&amp;IF(AND($M3005&lt;&gt;"",INDEX(職員マスタ!$H$6:$H$405,$AP3005)&lt;&gt;"",$M3005&lt;&gt;INDEX(職員マスタ!$H$6:$H$405,$AP3005)),"時短終了日がマスタと相違／","")))&amp;IF(AND($B3005&lt;&gt;"",$E3005=""),"報酬額が未入力／","")&amp;IF(N($U3005)&gt;0,"申請書に入力エラーが残っています／","")&amp;IF(AND($B3005&lt;&gt;"",$AQ3005&lt;&gt;""),IF(COUNTIFS($B$6:$B$3005,$B3005,$C$6:$C$3005,$C3005,$D$6:$D$3005,$D3005)&gt;1,"同じ月の請求が重複しています／",""),"")&amp;IF(AND(N($E3005)&gt;0,$AB3005&lt;&gt;"",$AB3005&lt;&gt;"×",$AE3005=0,$AD3005=""),"計算額が下限以下のため不支給／",""))</f>
        <v/>
      </c>
      <c r="AN3005" s="12" t="n"/>
      <c r="AO3005" s="14">
        <f>IF($AF3005="保留中",COUNTIF($AF$6:$AF3005,"保留中"),"")</f>
        <v/>
      </c>
      <c r="AP3005" s="14">
        <f>IF($AQ3005="","",IF(SUMPRODUCT(MAX((職員マスタ!$A$6:$A$405=$B3005)*(((職員マスタ!$G$6:$G$405="")+(職員マスタ!$G$6:$G$405&lt;=EOMONTH($AQ3005,0)))&gt;0)*(((職員マスタ!$H$6:$H$405="")+(職員マスタ!$H$6:$H$405&gt;=$AQ3005))&gt;0)*(ROW(職員マスタ!$A$6:$A$405)-5)))&gt;0,SUMPRODUCT(MAX((職員マスタ!$A$6:$A$405=$B3005)*(((職員マスタ!$G$6:$G$405="")+(職員マスタ!$G$6:$G$405&lt;=EOMONTH($AQ3005,0)))&gt;0)*(((職員マスタ!$H$6:$H$405="")+(職員マスタ!$H$6:$H$405&gt;=$AQ3005))&gt;0)*(ROW(職員マスタ!$A$6:$A$405)-5))),IFERROR(MATCH($B3005,職員マスタ!$A$6:$A$405,0),"")))</f>
        <v/>
      </c>
      <c r="AQ3005" s="16">
        <f>IF(OR($B3005="",$C3005="",$D3005=""),"",DATE($C3005+2018,$D3005,1))</f>
        <v/>
      </c>
    </row>
  </sheetData>
  <autoFilter ref="A5:AQ3005"/>
  <conditionalFormatting sqref="A6:AN3005">
    <cfRule type="expression" priority="1" dxfId="0">
      <formula>$AF6="保留中"</formula>
    </cfRule>
    <cfRule type="expression" priority="2" dxfId="1">
      <formula>$AF6="要確認"</formula>
    </cfRule>
  </conditionalFormatting>
  <conditionalFormatting sqref="AM6:AM3005">
    <cfRule type="expression" priority="3" dxfId="2">
      <formula>LEN($AM6)&gt;0</formula>
    </cfRule>
  </conditionalFormatting>
  <conditionalFormatting sqref="AK6:AK3005">
    <cfRule type="expression" priority="4" dxfId="3">
      <formula>AND(ISNUMBER($AK6),$AK6&gt;設定!$C$7)</formula>
    </cfRule>
    <cfRule type="expression" priority="5" dxfId="4">
      <formula>AND(ISNUMBER($AK6),$AK6&gt;設定!$C$6)</formula>
    </cfRule>
  </conditionalFormatting>
  <conditionalFormatting sqref="AB6:AB3005">
    <cfRule type="expression" priority="6" dxfId="2">
      <formula>$AB6="×"</formula>
    </cfRule>
  </conditionalFormatting>
  <dataValidations count="2">
    <dataValidation sqref="AG6:AG3005" showDropDown="0" showInputMessage="0" showErrorMessage="0" allowBlank="1" type="list">
      <formula1>=設定!$F$3:$F$14</formula1>
    </dataValidation>
    <dataValidation sqref="AL6:AL3005" showDropDown="0" showInputMessage="0" showErrorMessage="1" allowBlank="1" errorTitle="支給月" error="一覧（例 R8.9）から選んでください。" type="list">
      <formula1>=設定!$H$3:$H$74</formula1>
    </dataValidation>
  </dataValidations>
  <pageMargins left="0.75" right="0.75" top="1" bottom="1" header="0.5" footer="0.5"/>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sheetPr>
  <dimension ref="A1:Q269"/>
  <sheetViews>
    <sheetView zoomScale="90" workbookViewId="0">
      <pane ySplit="5" topLeftCell="A6" activePane="bottomLeft" state="frozen"/>
      <selection pane="bottomLeft" activeCell="A1" sqref="A1"/>
    </sheetView>
  </sheetViews>
  <sheetFormatPr baseColWidth="8" defaultRowHeight="15"/>
  <cols>
    <col width="5" customWidth="1" min="1" max="1"/>
    <col width="11" customWidth="1" min="2" max="2"/>
    <col width="14" customWidth="1" min="3" max="3"/>
    <col width="26" customWidth="1" min="4" max="4"/>
    <col width="8" customWidth="1" min="5" max="5"/>
    <col width="11" customWidth="1" min="6" max="6"/>
    <col width="11" customWidth="1" min="7" max="7"/>
    <col width="22" customWidth="1" min="8" max="8"/>
    <col width="11" customWidth="1" min="9" max="9"/>
    <col width="8" customWidth="1" min="10" max="10"/>
    <col width="12" customWidth="1" min="11" max="11"/>
    <col width="40" customWidth="1" min="12" max="12"/>
    <col hidden="1" width="5" customWidth="1" min="13" max="13"/>
    <col width="26" customWidth="1" min="15" max="15"/>
    <col width="9" customWidth="1" min="16" max="16"/>
    <col width="9" customWidth="1" min="17" max="17"/>
  </cols>
  <sheetData>
    <row r="1">
      <c r="A1" s="5" t="inlineStr">
        <is>
          <t>保留一覧</t>
        </is>
      </c>
    </row>
    <row r="2">
      <c r="A2" s="6" t="inlineStr">
        <is>
          <t>「請求記録」で保留理由を入れて保留解消日・支給月が空の請求と、「職員マスタ」で保留中の職員を自動で一覧にします</t>
        </is>
      </c>
    </row>
    <row r="3">
      <c r="A3" s="17" t="inlineStr">
        <is>
          <t>保留中の請求</t>
        </is>
      </c>
      <c r="C3" s="17">
        <f>COUNTIF(請求記録!$AF$6:$AF$3005,"保留中")</f>
        <v/>
      </c>
      <c r="D3" s="17" t="inlineStr">
        <is>
          <t>件　決定見込額</t>
        </is>
      </c>
      <c r="F3" s="18">
        <f>SUMIFS(請求記録!$AE$6:$AE$3005,請求記録!$AF$6:$AF$3005,"保留中")</f>
        <v/>
      </c>
      <c r="G3" s="17" t="inlineStr">
        <is>
          <t>円　注意日数超</t>
        </is>
      </c>
      <c r="I3" s="17">
        <f>COUNTIF(請求記録!$AK$6:$AK$3005,"&gt;"&amp;設定!$C$6)</f>
        <v/>
      </c>
      <c r="J3" s="17" t="inlineStr">
        <is>
          <t>件　保留中の職員</t>
        </is>
      </c>
      <c r="L3" s="17">
        <f>COUNTIF(職員マスタ!$P$6:$P$405,"保留中")</f>
        <v/>
      </c>
      <c r="M3" s="17" t="inlineStr">
        <is>
          <t>人</t>
        </is>
      </c>
    </row>
    <row r="5" ht="34" customHeight="1">
      <c r="A5" s="8" t="inlineStr">
        <is>
          <t>No</t>
        </is>
      </c>
      <c r="B5" s="8" t="inlineStr">
        <is>
          <t>職員番号</t>
        </is>
      </c>
      <c r="C5" s="8" t="inlineStr">
        <is>
          <t>氏名</t>
        </is>
      </c>
      <c r="D5" s="8" t="inlineStr">
        <is>
          <t>所属</t>
        </is>
      </c>
      <c r="E5" s="8" t="inlineStr">
        <is>
          <t>対象月</t>
        </is>
      </c>
      <c r="F5" s="8" t="inlineStr">
        <is>
          <t>報酬額</t>
        </is>
      </c>
      <c r="G5" s="8" t="inlineStr">
        <is>
          <t>決定見込額</t>
        </is>
      </c>
      <c r="H5" s="8" t="inlineStr">
        <is>
          <t>保留理由</t>
        </is>
      </c>
      <c r="I5" s="8" t="inlineStr">
        <is>
          <t>保留開始日</t>
        </is>
      </c>
      <c r="J5" s="8" t="inlineStr">
        <is>
          <t>経過日数</t>
        </is>
      </c>
      <c r="K5" s="8" t="inlineStr">
        <is>
          <t>次回確認予定日</t>
        </is>
      </c>
      <c r="L5" s="8" t="inlineStr">
        <is>
          <t>備考</t>
        </is>
      </c>
      <c r="M5" s="8" t="inlineStr">
        <is>
          <t>行</t>
        </is>
      </c>
      <c r="O5" s="9" t="inlineStr">
        <is>
          <t>保留理由</t>
        </is>
      </c>
      <c r="P5" s="9" t="inlineStr">
        <is>
          <t>請求単位</t>
        </is>
      </c>
      <c r="Q5" s="9" t="inlineStr">
        <is>
          <t>職員単位</t>
        </is>
      </c>
    </row>
    <row r="6">
      <c r="A6">
        <f>IF($M6="","",1)</f>
        <v/>
      </c>
      <c r="B6">
        <f>IF($M6="","",IF(INDEX(請求記録!$B$6:$B$3005,$M6)="","",INDEX(請求記録!$B$6:$B$3005,$M6)))</f>
        <v/>
      </c>
      <c r="C6">
        <f>IF($M6="","",IF(INDEX(請求記録!$X$6:$X$3005,$M6)="","",INDEX(請求記録!$X$6:$X$3005,$M6)))</f>
        <v/>
      </c>
      <c r="D6">
        <f>IF($M6="","",IF(INDEX(請求記録!$Y$6:$Y$3005,$M6)="","",INDEX(請求記録!$Y$6:$Y$3005,$M6)))</f>
        <v/>
      </c>
      <c r="E6">
        <f>IF($M6="","",IF(INDEX(請求記録!$Z$6:$Z$3005,$M6)="","",INDEX(請求記録!$Z$6:$Z$3005,$M6)))</f>
        <v/>
      </c>
      <c r="F6" s="19">
        <f>IF($M6="","",IF(INDEX(請求記録!$E$6:$E$3005,$M6)="","",INDEX(請求記録!$E$6:$E$3005,$M6)))</f>
        <v/>
      </c>
      <c r="G6" s="19">
        <f>IF($M6="","",IF(INDEX(請求記録!$AE$6:$AE$3005,$M6)="","",INDEX(請求記録!$AE$6:$AE$3005,$M6)))</f>
        <v/>
      </c>
      <c r="H6">
        <f>IF($M6="","",IF(INDEX(請求記録!$AG$6:$AG$3005,$M6)="","",INDEX(請求記録!$AG$6:$AG$3005,$M6)))</f>
        <v/>
      </c>
      <c r="I6" s="20">
        <f>IF($M6="","",IF(INDEX(請求記録!$AH$6:$AH$3005,$M6)="","",INDEX(請求記録!$AH$6:$AH$3005,$M6)))</f>
        <v/>
      </c>
      <c r="J6">
        <f>IF($M6="","",IF(INDEX(請求記録!$AK$6:$AK$3005,$M6)="","",INDEX(請求記録!$AK$6:$AK$3005,$M6)))</f>
        <v/>
      </c>
      <c r="K6" s="20">
        <f>IF($M6="","",IF(INDEX(請求記録!$AJ$6:$AJ$3005,$M6)="","",INDEX(請求記録!$AJ$6:$AJ$3005,$M6)))</f>
        <v/>
      </c>
      <c r="L6">
        <f>IF($M6="","",IF(INDEX(請求記録!$AN$6:$AN$3005,$M6)="","",INDEX(請求記録!$AN$6:$AN$3005,$M6)))</f>
        <v/>
      </c>
      <c r="M6">
        <f>IFERROR(MATCH(1,請求記録!$AO$6:$AO$3005,0),"")</f>
        <v/>
      </c>
      <c r="O6">
        <f>IF(設定!F3="","",設定!F3)</f>
        <v/>
      </c>
      <c r="P6">
        <f>IF(O6="","",COUNTIFS(請求記録!$AG$6:$AG$3005,O6,請求記録!$AF$6:$AF$3005,"保留中"))</f>
        <v/>
      </c>
      <c r="Q6">
        <f>IF(O6="","",COUNTIFS(職員マスタ!$M$6:$M$405,O6,職員マスタ!$P$6:$P$405,"保留中"))</f>
        <v/>
      </c>
    </row>
    <row r="7">
      <c r="A7">
        <f>IF($M7="","",2)</f>
        <v/>
      </c>
      <c r="B7">
        <f>IF($M7="","",IF(INDEX(請求記録!$B$6:$B$3005,$M7)="","",INDEX(請求記録!$B$6:$B$3005,$M7)))</f>
        <v/>
      </c>
      <c r="C7">
        <f>IF($M7="","",IF(INDEX(請求記録!$X$6:$X$3005,$M7)="","",INDEX(請求記録!$X$6:$X$3005,$M7)))</f>
        <v/>
      </c>
      <c r="D7">
        <f>IF($M7="","",IF(INDEX(請求記録!$Y$6:$Y$3005,$M7)="","",INDEX(請求記録!$Y$6:$Y$3005,$M7)))</f>
        <v/>
      </c>
      <c r="E7">
        <f>IF($M7="","",IF(INDEX(請求記録!$Z$6:$Z$3005,$M7)="","",INDEX(請求記録!$Z$6:$Z$3005,$M7)))</f>
        <v/>
      </c>
      <c r="F7" s="19">
        <f>IF($M7="","",IF(INDEX(請求記録!$E$6:$E$3005,$M7)="","",INDEX(請求記録!$E$6:$E$3005,$M7)))</f>
        <v/>
      </c>
      <c r="G7" s="19">
        <f>IF($M7="","",IF(INDEX(請求記録!$AE$6:$AE$3005,$M7)="","",INDEX(請求記録!$AE$6:$AE$3005,$M7)))</f>
        <v/>
      </c>
      <c r="H7">
        <f>IF($M7="","",IF(INDEX(請求記録!$AG$6:$AG$3005,$M7)="","",INDEX(請求記録!$AG$6:$AG$3005,$M7)))</f>
        <v/>
      </c>
      <c r="I7" s="20">
        <f>IF($M7="","",IF(INDEX(請求記録!$AH$6:$AH$3005,$M7)="","",INDEX(請求記録!$AH$6:$AH$3005,$M7)))</f>
        <v/>
      </c>
      <c r="J7">
        <f>IF($M7="","",IF(INDEX(請求記録!$AK$6:$AK$3005,$M7)="","",INDEX(請求記録!$AK$6:$AK$3005,$M7)))</f>
        <v/>
      </c>
      <c r="K7" s="20">
        <f>IF($M7="","",IF(INDEX(請求記録!$AJ$6:$AJ$3005,$M7)="","",INDEX(請求記録!$AJ$6:$AJ$3005,$M7)))</f>
        <v/>
      </c>
      <c r="L7">
        <f>IF($M7="","",IF(INDEX(請求記録!$AN$6:$AN$3005,$M7)="","",INDEX(請求記録!$AN$6:$AN$3005,$M7)))</f>
        <v/>
      </c>
      <c r="M7">
        <f>IFERROR(MATCH(2,請求記録!$AO$6:$AO$3005,0),"")</f>
        <v/>
      </c>
      <c r="O7">
        <f>IF(設定!F4="","",設定!F4)</f>
        <v/>
      </c>
      <c r="P7">
        <f>IF(O7="","",COUNTIFS(請求記録!$AG$6:$AG$3005,O7,請求記録!$AF$6:$AF$3005,"保留中"))</f>
        <v/>
      </c>
      <c r="Q7">
        <f>IF(O7="","",COUNTIFS(職員マスタ!$M$6:$M$405,O7,職員マスタ!$P$6:$P$405,"保留中"))</f>
        <v/>
      </c>
    </row>
    <row r="8">
      <c r="A8">
        <f>IF($M8="","",3)</f>
        <v/>
      </c>
      <c r="B8">
        <f>IF($M8="","",IF(INDEX(請求記録!$B$6:$B$3005,$M8)="","",INDEX(請求記録!$B$6:$B$3005,$M8)))</f>
        <v/>
      </c>
      <c r="C8">
        <f>IF($M8="","",IF(INDEX(請求記録!$X$6:$X$3005,$M8)="","",INDEX(請求記録!$X$6:$X$3005,$M8)))</f>
        <v/>
      </c>
      <c r="D8">
        <f>IF($M8="","",IF(INDEX(請求記録!$Y$6:$Y$3005,$M8)="","",INDEX(請求記録!$Y$6:$Y$3005,$M8)))</f>
        <v/>
      </c>
      <c r="E8">
        <f>IF($M8="","",IF(INDEX(請求記録!$Z$6:$Z$3005,$M8)="","",INDEX(請求記録!$Z$6:$Z$3005,$M8)))</f>
        <v/>
      </c>
      <c r="F8" s="19">
        <f>IF($M8="","",IF(INDEX(請求記録!$E$6:$E$3005,$M8)="","",INDEX(請求記録!$E$6:$E$3005,$M8)))</f>
        <v/>
      </c>
      <c r="G8" s="19">
        <f>IF($M8="","",IF(INDEX(請求記録!$AE$6:$AE$3005,$M8)="","",INDEX(請求記録!$AE$6:$AE$3005,$M8)))</f>
        <v/>
      </c>
      <c r="H8">
        <f>IF($M8="","",IF(INDEX(請求記録!$AG$6:$AG$3005,$M8)="","",INDEX(請求記録!$AG$6:$AG$3005,$M8)))</f>
        <v/>
      </c>
      <c r="I8" s="20">
        <f>IF($M8="","",IF(INDEX(請求記録!$AH$6:$AH$3005,$M8)="","",INDEX(請求記録!$AH$6:$AH$3005,$M8)))</f>
        <v/>
      </c>
      <c r="J8">
        <f>IF($M8="","",IF(INDEX(請求記録!$AK$6:$AK$3005,$M8)="","",INDEX(請求記録!$AK$6:$AK$3005,$M8)))</f>
        <v/>
      </c>
      <c r="K8" s="20">
        <f>IF($M8="","",IF(INDEX(請求記録!$AJ$6:$AJ$3005,$M8)="","",INDEX(請求記録!$AJ$6:$AJ$3005,$M8)))</f>
        <v/>
      </c>
      <c r="L8">
        <f>IF($M8="","",IF(INDEX(請求記録!$AN$6:$AN$3005,$M8)="","",INDEX(請求記録!$AN$6:$AN$3005,$M8)))</f>
        <v/>
      </c>
      <c r="M8">
        <f>IFERROR(MATCH(3,請求記録!$AO$6:$AO$3005,0),"")</f>
        <v/>
      </c>
      <c r="O8">
        <f>IF(設定!F5="","",設定!F5)</f>
        <v/>
      </c>
      <c r="P8">
        <f>IF(O8="","",COUNTIFS(請求記録!$AG$6:$AG$3005,O8,請求記録!$AF$6:$AF$3005,"保留中"))</f>
        <v/>
      </c>
      <c r="Q8">
        <f>IF(O8="","",COUNTIFS(職員マスタ!$M$6:$M$405,O8,職員マスタ!$P$6:$P$405,"保留中"))</f>
        <v/>
      </c>
    </row>
    <row r="9">
      <c r="A9">
        <f>IF($M9="","",4)</f>
        <v/>
      </c>
      <c r="B9">
        <f>IF($M9="","",IF(INDEX(請求記録!$B$6:$B$3005,$M9)="","",INDEX(請求記録!$B$6:$B$3005,$M9)))</f>
        <v/>
      </c>
      <c r="C9">
        <f>IF($M9="","",IF(INDEX(請求記録!$X$6:$X$3005,$M9)="","",INDEX(請求記録!$X$6:$X$3005,$M9)))</f>
        <v/>
      </c>
      <c r="D9">
        <f>IF($M9="","",IF(INDEX(請求記録!$Y$6:$Y$3005,$M9)="","",INDEX(請求記録!$Y$6:$Y$3005,$M9)))</f>
        <v/>
      </c>
      <c r="E9">
        <f>IF($M9="","",IF(INDEX(請求記録!$Z$6:$Z$3005,$M9)="","",INDEX(請求記録!$Z$6:$Z$3005,$M9)))</f>
        <v/>
      </c>
      <c r="F9" s="19">
        <f>IF($M9="","",IF(INDEX(請求記録!$E$6:$E$3005,$M9)="","",INDEX(請求記録!$E$6:$E$3005,$M9)))</f>
        <v/>
      </c>
      <c r="G9" s="19">
        <f>IF($M9="","",IF(INDEX(請求記録!$AE$6:$AE$3005,$M9)="","",INDEX(請求記録!$AE$6:$AE$3005,$M9)))</f>
        <v/>
      </c>
      <c r="H9">
        <f>IF($M9="","",IF(INDEX(請求記録!$AG$6:$AG$3005,$M9)="","",INDEX(請求記録!$AG$6:$AG$3005,$M9)))</f>
        <v/>
      </c>
      <c r="I9" s="20">
        <f>IF($M9="","",IF(INDEX(請求記録!$AH$6:$AH$3005,$M9)="","",INDEX(請求記録!$AH$6:$AH$3005,$M9)))</f>
        <v/>
      </c>
      <c r="J9">
        <f>IF($M9="","",IF(INDEX(請求記録!$AK$6:$AK$3005,$M9)="","",INDEX(請求記録!$AK$6:$AK$3005,$M9)))</f>
        <v/>
      </c>
      <c r="K9" s="20">
        <f>IF($M9="","",IF(INDEX(請求記録!$AJ$6:$AJ$3005,$M9)="","",INDEX(請求記録!$AJ$6:$AJ$3005,$M9)))</f>
        <v/>
      </c>
      <c r="L9">
        <f>IF($M9="","",IF(INDEX(請求記録!$AN$6:$AN$3005,$M9)="","",INDEX(請求記録!$AN$6:$AN$3005,$M9)))</f>
        <v/>
      </c>
      <c r="M9">
        <f>IFERROR(MATCH(4,請求記録!$AO$6:$AO$3005,0),"")</f>
        <v/>
      </c>
      <c r="O9">
        <f>IF(設定!F6="","",設定!F6)</f>
        <v/>
      </c>
      <c r="P9">
        <f>IF(O9="","",COUNTIFS(請求記録!$AG$6:$AG$3005,O9,請求記録!$AF$6:$AF$3005,"保留中"))</f>
        <v/>
      </c>
      <c r="Q9">
        <f>IF(O9="","",COUNTIFS(職員マスタ!$M$6:$M$405,O9,職員マスタ!$P$6:$P$405,"保留中"))</f>
        <v/>
      </c>
    </row>
    <row r="10">
      <c r="A10">
        <f>IF($M10="","",5)</f>
        <v/>
      </c>
      <c r="B10">
        <f>IF($M10="","",IF(INDEX(請求記録!$B$6:$B$3005,$M10)="","",INDEX(請求記録!$B$6:$B$3005,$M10)))</f>
        <v/>
      </c>
      <c r="C10">
        <f>IF($M10="","",IF(INDEX(請求記録!$X$6:$X$3005,$M10)="","",INDEX(請求記録!$X$6:$X$3005,$M10)))</f>
        <v/>
      </c>
      <c r="D10">
        <f>IF($M10="","",IF(INDEX(請求記録!$Y$6:$Y$3005,$M10)="","",INDEX(請求記録!$Y$6:$Y$3005,$M10)))</f>
        <v/>
      </c>
      <c r="E10">
        <f>IF($M10="","",IF(INDEX(請求記録!$Z$6:$Z$3005,$M10)="","",INDEX(請求記録!$Z$6:$Z$3005,$M10)))</f>
        <v/>
      </c>
      <c r="F10" s="19">
        <f>IF($M10="","",IF(INDEX(請求記録!$E$6:$E$3005,$M10)="","",INDEX(請求記録!$E$6:$E$3005,$M10)))</f>
        <v/>
      </c>
      <c r="G10" s="19">
        <f>IF($M10="","",IF(INDEX(請求記録!$AE$6:$AE$3005,$M10)="","",INDEX(請求記録!$AE$6:$AE$3005,$M10)))</f>
        <v/>
      </c>
      <c r="H10">
        <f>IF($M10="","",IF(INDEX(請求記録!$AG$6:$AG$3005,$M10)="","",INDEX(請求記録!$AG$6:$AG$3005,$M10)))</f>
        <v/>
      </c>
      <c r="I10" s="20">
        <f>IF($M10="","",IF(INDEX(請求記録!$AH$6:$AH$3005,$M10)="","",INDEX(請求記録!$AH$6:$AH$3005,$M10)))</f>
        <v/>
      </c>
      <c r="J10">
        <f>IF($M10="","",IF(INDEX(請求記録!$AK$6:$AK$3005,$M10)="","",INDEX(請求記録!$AK$6:$AK$3005,$M10)))</f>
        <v/>
      </c>
      <c r="K10" s="20">
        <f>IF($M10="","",IF(INDEX(請求記録!$AJ$6:$AJ$3005,$M10)="","",INDEX(請求記録!$AJ$6:$AJ$3005,$M10)))</f>
        <v/>
      </c>
      <c r="L10">
        <f>IF($M10="","",IF(INDEX(請求記録!$AN$6:$AN$3005,$M10)="","",INDEX(請求記録!$AN$6:$AN$3005,$M10)))</f>
        <v/>
      </c>
      <c r="M10">
        <f>IFERROR(MATCH(5,請求記録!$AO$6:$AO$3005,0),"")</f>
        <v/>
      </c>
      <c r="O10">
        <f>IF(設定!F7="","",設定!F7)</f>
        <v/>
      </c>
      <c r="P10">
        <f>IF(O10="","",COUNTIFS(請求記録!$AG$6:$AG$3005,O10,請求記録!$AF$6:$AF$3005,"保留中"))</f>
        <v/>
      </c>
      <c r="Q10">
        <f>IF(O10="","",COUNTIFS(職員マスタ!$M$6:$M$405,O10,職員マスタ!$P$6:$P$405,"保留中"))</f>
        <v/>
      </c>
    </row>
    <row r="11">
      <c r="A11">
        <f>IF($M11="","",6)</f>
        <v/>
      </c>
      <c r="B11">
        <f>IF($M11="","",IF(INDEX(請求記録!$B$6:$B$3005,$M11)="","",INDEX(請求記録!$B$6:$B$3005,$M11)))</f>
        <v/>
      </c>
      <c r="C11">
        <f>IF($M11="","",IF(INDEX(請求記録!$X$6:$X$3005,$M11)="","",INDEX(請求記録!$X$6:$X$3005,$M11)))</f>
        <v/>
      </c>
      <c r="D11">
        <f>IF($M11="","",IF(INDEX(請求記録!$Y$6:$Y$3005,$M11)="","",INDEX(請求記録!$Y$6:$Y$3005,$M11)))</f>
        <v/>
      </c>
      <c r="E11">
        <f>IF($M11="","",IF(INDEX(請求記録!$Z$6:$Z$3005,$M11)="","",INDEX(請求記録!$Z$6:$Z$3005,$M11)))</f>
        <v/>
      </c>
      <c r="F11" s="19">
        <f>IF($M11="","",IF(INDEX(請求記録!$E$6:$E$3005,$M11)="","",INDEX(請求記録!$E$6:$E$3005,$M11)))</f>
        <v/>
      </c>
      <c r="G11" s="19">
        <f>IF($M11="","",IF(INDEX(請求記録!$AE$6:$AE$3005,$M11)="","",INDEX(請求記録!$AE$6:$AE$3005,$M11)))</f>
        <v/>
      </c>
      <c r="H11">
        <f>IF($M11="","",IF(INDEX(請求記録!$AG$6:$AG$3005,$M11)="","",INDEX(請求記録!$AG$6:$AG$3005,$M11)))</f>
        <v/>
      </c>
      <c r="I11" s="20">
        <f>IF($M11="","",IF(INDEX(請求記録!$AH$6:$AH$3005,$M11)="","",INDEX(請求記録!$AH$6:$AH$3005,$M11)))</f>
        <v/>
      </c>
      <c r="J11">
        <f>IF($M11="","",IF(INDEX(請求記録!$AK$6:$AK$3005,$M11)="","",INDEX(請求記録!$AK$6:$AK$3005,$M11)))</f>
        <v/>
      </c>
      <c r="K11" s="20">
        <f>IF($M11="","",IF(INDEX(請求記録!$AJ$6:$AJ$3005,$M11)="","",INDEX(請求記録!$AJ$6:$AJ$3005,$M11)))</f>
        <v/>
      </c>
      <c r="L11">
        <f>IF($M11="","",IF(INDEX(請求記録!$AN$6:$AN$3005,$M11)="","",INDEX(請求記録!$AN$6:$AN$3005,$M11)))</f>
        <v/>
      </c>
      <c r="M11">
        <f>IFERROR(MATCH(6,請求記録!$AO$6:$AO$3005,0),"")</f>
        <v/>
      </c>
      <c r="O11">
        <f>IF(設定!F8="","",設定!F8)</f>
        <v/>
      </c>
      <c r="P11">
        <f>IF(O11="","",COUNTIFS(請求記録!$AG$6:$AG$3005,O11,請求記録!$AF$6:$AF$3005,"保留中"))</f>
        <v/>
      </c>
      <c r="Q11">
        <f>IF(O11="","",COUNTIFS(職員マスタ!$M$6:$M$405,O11,職員マスタ!$P$6:$P$405,"保留中"))</f>
        <v/>
      </c>
    </row>
    <row r="12">
      <c r="A12">
        <f>IF($M12="","",7)</f>
        <v/>
      </c>
      <c r="B12">
        <f>IF($M12="","",IF(INDEX(請求記録!$B$6:$B$3005,$M12)="","",INDEX(請求記録!$B$6:$B$3005,$M12)))</f>
        <v/>
      </c>
      <c r="C12">
        <f>IF($M12="","",IF(INDEX(請求記録!$X$6:$X$3005,$M12)="","",INDEX(請求記録!$X$6:$X$3005,$M12)))</f>
        <v/>
      </c>
      <c r="D12">
        <f>IF($M12="","",IF(INDEX(請求記録!$Y$6:$Y$3005,$M12)="","",INDEX(請求記録!$Y$6:$Y$3005,$M12)))</f>
        <v/>
      </c>
      <c r="E12">
        <f>IF($M12="","",IF(INDEX(請求記録!$Z$6:$Z$3005,$M12)="","",INDEX(請求記録!$Z$6:$Z$3005,$M12)))</f>
        <v/>
      </c>
      <c r="F12" s="19">
        <f>IF($M12="","",IF(INDEX(請求記録!$E$6:$E$3005,$M12)="","",INDEX(請求記録!$E$6:$E$3005,$M12)))</f>
        <v/>
      </c>
      <c r="G12" s="19">
        <f>IF($M12="","",IF(INDEX(請求記録!$AE$6:$AE$3005,$M12)="","",INDEX(請求記録!$AE$6:$AE$3005,$M12)))</f>
        <v/>
      </c>
      <c r="H12">
        <f>IF($M12="","",IF(INDEX(請求記録!$AG$6:$AG$3005,$M12)="","",INDEX(請求記録!$AG$6:$AG$3005,$M12)))</f>
        <v/>
      </c>
      <c r="I12" s="20">
        <f>IF($M12="","",IF(INDEX(請求記録!$AH$6:$AH$3005,$M12)="","",INDEX(請求記録!$AH$6:$AH$3005,$M12)))</f>
        <v/>
      </c>
      <c r="J12">
        <f>IF($M12="","",IF(INDEX(請求記録!$AK$6:$AK$3005,$M12)="","",INDEX(請求記録!$AK$6:$AK$3005,$M12)))</f>
        <v/>
      </c>
      <c r="K12" s="20">
        <f>IF($M12="","",IF(INDEX(請求記録!$AJ$6:$AJ$3005,$M12)="","",INDEX(請求記録!$AJ$6:$AJ$3005,$M12)))</f>
        <v/>
      </c>
      <c r="L12">
        <f>IF($M12="","",IF(INDEX(請求記録!$AN$6:$AN$3005,$M12)="","",INDEX(請求記録!$AN$6:$AN$3005,$M12)))</f>
        <v/>
      </c>
      <c r="M12">
        <f>IFERROR(MATCH(7,請求記録!$AO$6:$AO$3005,0),"")</f>
        <v/>
      </c>
      <c r="O12">
        <f>IF(設定!F9="","",設定!F9)</f>
        <v/>
      </c>
      <c r="P12">
        <f>IF(O12="","",COUNTIFS(請求記録!$AG$6:$AG$3005,O12,請求記録!$AF$6:$AF$3005,"保留中"))</f>
        <v/>
      </c>
      <c r="Q12">
        <f>IF(O12="","",COUNTIFS(職員マスタ!$M$6:$M$405,O12,職員マスタ!$P$6:$P$405,"保留中"))</f>
        <v/>
      </c>
    </row>
    <row r="13">
      <c r="A13">
        <f>IF($M13="","",8)</f>
        <v/>
      </c>
      <c r="B13">
        <f>IF($M13="","",IF(INDEX(請求記録!$B$6:$B$3005,$M13)="","",INDEX(請求記録!$B$6:$B$3005,$M13)))</f>
        <v/>
      </c>
      <c r="C13">
        <f>IF($M13="","",IF(INDEX(請求記録!$X$6:$X$3005,$M13)="","",INDEX(請求記録!$X$6:$X$3005,$M13)))</f>
        <v/>
      </c>
      <c r="D13">
        <f>IF($M13="","",IF(INDEX(請求記録!$Y$6:$Y$3005,$M13)="","",INDEX(請求記録!$Y$6:$Y$3005,$M13)))</f>
        <v/>
      </c>
      <c r="E13">
        <f>IF($M13="","",IF(INDEX(請求記録!$Z$6:$Z$3005,$M13)="","",INDEX(請求記録!$Z$6:$Z$3005,$M13)))</f>
        <v/>
      </c>
      <c r="F13" s="19">
        <f>IF($M13="","",IF(INDEX(請求記録!$E$6:$E$3005,$M13)="","",INDEX(請求記録!$E$6:$E$3005,$M13)))</f>
        <v/>
      </c>
      <c r="G13" s="19">
        <f>IF($M13="","",IF(INDEX(請求記録!$AE$6:$AE$3005,$M13)="","",INDEX(請求記録!$AE$6:$AE$3005,$M13)))</f>
        <v/>
      </c>
      <c r="H13">
        <f>IF($M13="","",IF(INDEX(請求記録!$AG$6:$AG$3005,$M13)="","",INDEX(請求記録!$AG$6:$AG$3005,$M13)))</f>
        <v/>
      </c>
      <c r="I13" s="20">
        <f>IF($M13="","",IF(INDEX(請求記録!$AH$6:$AH$3005,$M13)="","",INDEX(請求記録!$AH$6:$AH$3005,$M13)))</f>
        <v/>
      </c>
      <c r="J13">
        <f>IF($M13="","",IF(INDEX(請求記録!$AK$6:$AK$3005,$M13)="","",INDEX(請求記録!$AK$6:$AK$3005,$M13)))</f>
        <v/>
      </c>
      <c r="K13" s="20">
        <f>IF($M13="","",IF(INDEX(請求記録!$AJ$6:$AJ$3005,$M13)="","",INDEX(請求記録!$AJ$6:$AJ$3005,$M13)))</f>
        <v/>
      </c>
      <c r="L13">
        <f>IF($M13="","",IF(INDEX(請求記録!$AN$6:$AN$3005,$M13)="","",INDEX(請求記録!$AN$6:$AN$3005,$M13)))</f>
        <v/>
      </c>
      <c r="M13">
        <f>IFERROR(MATCH(8,請求記録!$AO$6:$AO$3005,0),"")</f>
        <v/>
      </c>
      <c r="O13">
        <f>IF(設定!F10="","",設定!F10)</f>
        <v/>
      </c>
      <c r="P13">
        <f>IF(O13="","",COUNTIFS(請求記録!$AG$6:$AG$3005,O13,請求記録!$AF$6:$AF$3005,"保留中"))</f>
        <v/>
      </c>
      <c r="Q13">
        <f>IF(O13="","",COUNTIFS(職員マスタ!$M$6:$M$405,O13,職員マスタ!$P$6:$P$405,"保留中"))</f>
        <v/>
      </c>
    </row>
    <row r="14">
      <c r="A14">
        <f>IF($M14="","",9)</f>
        <v/>
      </c>
      <c r="B14">
        <f>IF($M14="","",IF(INDEX(請求記録!$B$6:$B$3005,$M14)="","",INDEX(請求記録!$B$6:$B$3005,$M14)))</f>
        <v/>
      </c>
      <c r="C14">
        <f>IF($M14="","",IF(INDEX(請求記録!$X$6:$X$3005,$M14)="","",INDEX(請求記録!$X$6:$X$3005,$M14)))</f>
        <v/>
      </c>
      <c r="D14">
        <f>IF($M14="","",IF(INDEX(請求記録!$Y$6:$Y$3005,$M14)="","",INDEX(請求記録!$Y$6:$Y$3005,$M14)))</f>
        <v/>
      </c>
      <c r="E14">
        <f>IF($M14="","",IF(INDEX(請求記録!$Z$6:$Z$3005,$M14)="","",INDEX(請求記録!$Z$6:$Z$3005,$M14)))</f>
        <v/>
      </c>
      <c r="F14" s="19">
        <f>IF($M14="","",IF(INDEX(請求記録!$E$6:$E$3005,$M14)="","",INDEX(請求記録!$E$6:$E$3005,$M14)))</f>
        <v/>
      </c>
      <c r="G14" s="19">
        <f>IF($M14="","",IF(INDEX(請求記録!$AE$6:$AE$3005,$M14)="","",INDEX(請求記録!$AE$6:$AE$3005,$M14)))</f>
        <v/>
      </c>
      <c r="H14">
        <f>IF($M14="","",IF(INDEX(請求記録!$AG$6:$AG$3005,$M14)="","",INDEX(請求記録!$AG$6:$AG$3005,$M14)))</f>
        <v/>
      </c>
      <c r="I14" s="20">
        <f>IF($M14="","",IF(INDEX(請求記録!$AH$6:$AH$3005,$M14)="","",INDEX(請求記録!$AH$6:$AH$3005,$M14)))</f>
        <v/>
      </c>
      <c r="J14">
        <f>IF($M14="","",IF(INDEX(請求記録!$AK$6:$AK$3005,$M14)="","",INDEX(請求記録!$AK$6:$AK$3005,$M14)))</f>
        <v/>
      </c>
      <c r="K14" s="20">
        <f>IF($M14="","",IF(INDEX(請求記録!$AJ$6:$AJ$3005,$M14)="","",INDEX(請求記録!$AJ$6:$AJ$3005,$M14)))</f>
        <v/>
      </c>
      <c r="L14">
        <f>IF($M14="","",IF(INDEX(請求記録!$AN$6:$AN$3005,$M14)="","",INDEX(請求記録!$AN$6:$AN$3005,$M14)))</f>
        <v/>
      </c>
      <c r="M14">
        <f>IFERROR(MATCH(9,請求記録!$AO$6:$AO$3005,0),"")</f>
        <v/>
      </c>
      <c r="O14">
        <f>IF(設定!F11="","",設定!F11)</f>
        <v/>
      </c>
      <c r="P14">
        <f>IF(O14="","",COUNTIFS(請求記録!$AG$6:$AG$3005,O14,請求記録!$AF$6:$AF$3005,"保留中"))</f>
        <v/>
      </c>
      <c r="Q14">
        <f>IF(O14="","",COUNTIFS(職員マスタ!$M$6:$M$405,O14,職員マスタ!$P$6:$P$405,"保留中"))</f>
        <v/>
      </c>
    </row>
    <row r="15">
      <c r="A15">
        <f>IF($M15="","",10)</f>
        <v/>
      </c>
      <c r="B15">
        <f>IF($M15="","",IF(INDEX(請求記録!$B$6:$B$3005,$M15)="","",INDEX(請求記録!$B$6:$B$3005,$M15)))</f>
        <v/>
      </c>
      <c r="C15">
        <f>IF($M15="","",IF(INDEX(請求記録!$X$6:$X$3005,$M15)="","",INDEX(請求記録!$X$6:$X$3005,$M15)))</f>
        <v/>
      </c>
      <c r="D15">
        <f>IF($M15="","",IF(INDEX(請求記録!$Y$6:$Y$3005,$M15)="","",INDEX(請求記録!$Y$6:$Y$3005,$M15)))</f>
        <v/>
      </c>
      <c r="E15">
        <f>IF($M15="","",IF(INDEX(請求記録!$Z$6:$Z$3005,$M15)="","",INDEX(請求記録!$Z$6:$Z$3005,$M15)))</f>
        <v/>
      </c>
      <c r="F15" s="19">
        <f>IF($M15="","",IF(INDEX(請求記録!$E$6:$E$3005,$M15)="","",INDEX(請求記録!$E$6:$E$3005,$M15)))</f>
        <v/>
      </c>
      <c r="G15" s="19">
        <f>IF($M15="","",IF(INDEX(請求記録!$AE$6:$AE$3005,$M15)="","",INDEX(請求記録!$AE$6:$AE$3005,$M15)))</f>
        <v/>
      </c>
      <c r="H15">
        <f>IF($M15="","",IF(INDEX(請求記録!$AG$6:$AG$3005,$M15)="","",INDEX(請求記録!$AG$6:$AG$3005,$M15)))</f>
        <v/>
      </c>
      <c r="I15" s="20">
        <f>IF($M15="","",IF(INDEX(請求記録!$AH$6:$AH$3005,$M15)="","",INDEX(請求記録!$AH$6:$AH$3005,$M15)))</f>
        <v/>
      </c>
      <c r="J15">
        <f>IF($M15="","",IF(INDEX(請求記録!$AK$6:$AK$3005,$M15)="","",INDEX(請求記録!$AK$6:$AK$3005,$M15)))</f>
        <v/>
      </c>
      <c r="K15" s="20">
        <f>IF($M15="","",IF(INDEX(請求記録!$AJ$6:$AJ$3005,$M15)="","",INDEX(請求記録!$AJ$6:$AJ$3005,$M15)))</f>
        <v/>
      </c>
      <c r="L15">
        <f>IF($M15="","",IF(INDEX(請求記録!$AN$6:$AN$3005,$M15)="","",INDEX(請求記録!$AN$6:$AN$3005,$M15)))</f>
        <v/>
      </c>
      <c r="M15">
        <f>IFERROR(MATCH(10,請求記録!$AO$6:$AO$3005,0),"")</f>
        <v/>
      </c>
      <c r="O15">
        <f>IF(設定!F12="","",設定!F12)</f>
        <v/>
      </c>
      <c r="P15">
        <f>IF(O15="","",COUNTIFS(請求記録!$AG$6:$AG$3005,O15,請求記録!$AF$6:$AF$3005,"保留中"))</f>
        <v/>
      </c>
      <c r="Q15">
        <f>IF(O15="","",COUNTIFS(職員マスタ!$M$6:$M$405,O15,職員マスタ!$P$6:$P$405,"保留中"))</f>
        <v/>
      </c>
    </row>
    <row r="16">
      <c r="A16">
        <f>IF($M16="","",11)</f>
        <v/>
      </c>
      <c r="B16">
        <f>IF($M16="","",IF(INDEX(請求記録!$B$6:$B$3005,$M16)="","",INDEX(請求記録!$B$6:$B$3005,$M16)))</f>
        <v/>
      </c>
      <c r="C16">
        <f>IF($M16="","",IF(INDEX(請求記録!$X$6:$X$3005,$M16)="","",INDEX(請求記録!$X$6:$X$3005,$M16)))</f>
        <v/>
      </c>
      <c r="D16">
        <f>IF($M16="","",IF(INDEX(請求記録!$Y$6:$Y$3005,$M16)="","",INDEX(請求記録!$Y$6:$Y$3005,$M16)))</f>
        <v/>
      </c>
      <c r="E16">
        <f>IF($M16="","",IF(INDEX(請求記録!$Z$6:$Z$3005,$M16)="","",INDEX(請求記録!$Z$6:$Z$3005,$M16)))</f>
        <v/>
      </c>
      <c r="F16" s="19">
        <f>IF($M16="","",IF(INDEX(請求記録!$E$6:$E$3005,$M16)="","",INDEX(請求記録!$E$6:$E$3005,$M16)))</f>
        <v/>
      </c>
      <c r="G16" s="19">
        <f>IF($M16="","",IF(INDEX(請求記録!$AE$6:$AE$3005,$M16)="","",INDEX(請求記録!$AE$6:$AE$3005,$M16)))</f>
        <v/>
      </c>
      <c r="H16">
        <f>IF($M16="","",IF(INDEX(請求記録!$AG$6:$AG$3005,$M16)="","",INDEX(請求記録!$AG$6:$AG$3005,$M16)))</f>
        <v/>
      </c>
      <c r="I16" s="20">
        <f>IF($M16="","",IF(INDEX(請求記録!$AH$6:$AH$3005,$M16)="","",INDEX(請求記録!$AH$6:$AH$3005,$M16)))</f>
        <v/>
      </c>
      <c r="J16">
        <f>IF($M16="","",IF(INDEX(請求記録!$AK$6:$AK$3005,$M16)="","",INDEX(請求記録!$AK$6:$AK$3005,$M16)))</f>
        <v/>
      </c>
      <c r="K16" s="20">
        <f>IF($M16="","",IF(INDEX(請求記録!$AJ$6:$AJ$3005,$M16)="","",INDEX(請求記録!$AJ$6:$AJ$3005,$M16)))</f>
        <v/>
      </c>
      <c r="L16">
        <f>IF($M16="","",IF(INDEX(請求記録!$AN$6:$AN$3005,$M16)="","",INDEX(請求記録!$AN$6:$AN$3005,$M16)))</f>
        <v/>
      </c>
      <c r="M16">
        <f>IFERROR(MATCH(11,請求記録!$AO$6:$AO$3005,0),"")</f>
        <v/>
      </c>
      <c r="O16">
        <f>IF(設定!F13="","",設定!F13)</f>
        <v/>
      </c>
      <c r="P16">
        <f>IF(O16="","",COUNTIFS(請求記録!$AG$6:$AG$3005,O16,請求記録!$AF$6:$AF$3005,"保留中"))</f>
        <v/>
      </c>
      <c r="Q16">
        <f>IF(O16="","",COUNTIFS(職員マスタ!$M$6:$M$405,O16,職員マスタ!$P$6:$P$405,"保留中"))</f>
        <v/>
      </c>
    </row>
    <row r="17">
      <c r="A17">
        <f>IF($M17="","",12)</f>
        <v/>
      </c>
      <c r="B17">
        <f>IF($M17="","",IF(INDEX(請求記録!$B$6:$B$3005,$M17)="","",INDEX(請求記録!$B$6:$B$3005,$M17)))</f>
        <v/>
      </c>
      <c r="C17">
        <f>IF($M17="","",IF(INDEX(請求記録!$X$6:$X$3005,$M17)="","",INDEX(請求記録!$X$6:$X$3005,$M17)))</f>
        <v/>
      </c>
      <c r="D17">
        <f>IF($M17="","",IF(INDEX(請求記録!$Y$6:$Y$3005,$M17)="","",INDEX(請求記録!$Y$6:$Y$3005,$M17)))</f>
        <v/>
      </c>
      <c r="E17">
        <f>IF($M17="","",IF(INDEX(請求記録!$Z$6:$Z$3005,$M17)="","",INDEX(請求記録!$Z$6:$Z$3005,$M17)))</f>
        <v/>
      </c>
      <c r="F17" s="19">
        <f>IF($M17="","",IF(INDEX(請求記録!$E$6:$E$3005,$M17)="","",INDEX(請求記録!$E$6:$E$3005,$M17)))</f>
        <v/>
      </c>
      <c r="G17" s="19">
        <f>IF($M17="","",IF(INDEX(請求記録!$AE$6:$AE$3005,$M17)="","",INDEX(請求記録!$AE$6:$AE$3005,$M17)))</f>
        <v/>
      </c>
      <c r="H17">
        <f>IF($M17="","",IF(INDEX(請求記録!$AG$6:$AG$3005,$M17)="","",INDEX(請求記録!$AG$6:$AG$3005,$M17)))</f>
        <v/>
      </c>
      <c r="I17" s="20">
        <f>IF($M17="","",IF(INDEX(請求記録!$AH$6:$AH$3005,$M17)="","",INDEX(請求記録!$AH$6:$AH$3005,$M17)))</f>
        <v/>
      </c>
      <c r="J17">
        <f>IF($M17="","",IF(INDEX(請求記録!$AK$6:$AK$3005,$M17)="","",INDEX(請求記録!$AK$6:$AK$3005,$M17)))</f>
        <v/>
      </c>
      <c r="K17" s="20">
        <f>IF($M17="","",IF(INDEX(請求記録!$AJ$6:$AJ$3005,$M17)="","",INDEX(請求記録!$AJ$6:$AJ$3005,$M17)))</f>
        <v/>
      </c>
      <c r="L17">
        <f>IF($M17="","",IF(INDEX(請求記録!$AN$6:$AN$3005,$M17)="","",INDEX(請求記録!$AN$6:$AN$3005,$M17)))</f>
        <v/>
      </c>
      <c r="M17">
        <f>IFERROR(MATCH(12,請求記録!$AO$6:$AO$3005,0),"")</f>
        <v/>
      </c>
      <c r="O17">
        <f>IF(設定!F14="","",設定!F14)</f>
        <v/>
      </c>
      <c r="P17">
        <f>IF(O17="","",COUNTIFS(請求記録!$AG$6:$AG$3005,O17,請求記録!$AF$6:$AF$3005,"保留中"))</f>
        <v/>
      </c>
      <c r="Q17">
        <f>IF(O17="","",COUNTIFS(職員マスタ!$M$6:$M$405,O17,職員マスタ!$P$6:$P$405,"保留中"))</f>
        <v/>
      </c>
    </row>
    <row r="18">
      <c r="A18">
        <f>IF($M18="","",13)</f>
        <v/>
      </c>
      <c r="B18">
        <f>IF($M18="","",IF(INDEX(請求記録!$B$6:$B$3005,$M18)="","",INDEX(請求記録!$B$6:$B$3005,$M18)))</f>
        <v/>
      </c>
      <c r="C18">
        <f>IF($M18="","",IF(INDEX(請求記録!$X$6:$X$3005,$M18)="","",INDEX(請求記録!$X$6:$X$3005,$M18)))</f>
        <v/>
      </c>
      <c r="D18">
        <f>IF($M18="","",IF(INDEX(請求記録!$Y$6:$Y$3005,$M18)="","",INDEX(請求記録!$Y$6:$Y$3005,$M18)))</f>
        <v/>
      </c>
      <c r="E18">
        <f>IF($M18="","",IF(INDEX(請求記録!$Z$6:$Z$3005,$M18)="","",INDEX(請求記録!$Z$6:$Z$3005,$M18)))</f>
        <v/>
      </c>
      <c r="F18" s="19">
        <f>IF($M18="","",IF(INDEX(請求記録!$E$6:$E$3005,$M18)="","",INDEX(請求記録!$E$6:$E$3005,$M18)))</f>
        <v/>
      </c>
      <c r="G18" s="19">
        <f>IF($M18="","",IF(INDEX(請求記録!$AE$6:$AE$3005,$M18)="","",INDEX(請求記録!$AE$6:$AE$3005,$M18)))</f>
        <v/>
      </c>
      <c r="H18">
        <f>IF($M18="","",IF(INDEX(請求記録!$AG$6:$AG$3005,$M18)="","",INDEX(請求記録!$AG$6:$AG$3005,$M18)))</f>
        <v/>
      </c>
      <c r="I18" s="20">
        <f>IF($M18="","",IF(INDEX(請求記録!$AH$6:$AH$3005,$M18)="","",INDEX(請求記録!$AH$6:$AH$3005,$M18)))</f>
        <v/>
      </c>
      <c r="J18">
        <f>IF($M18="","",IF(INDEX(請求記録!$AK$6:$AK$3005,$M18)="","",INDEX(請求記録!$AK$6:$AK$3005,$M18)))</f>
        <v/>
      </c>
      <c r="K18" s="20">
        <f>IF($M18="","",IF(INDEX(請求記録!$AJ$6:$AJ$3005,$M18)="","",INDEX(請求記録!$AJ$6:$AJ$3005,$M18)))</f>
        <v/>
      </c>
      <c r="L18">
        <f>IF($M18="","",IF(INDEX(請求記録!$AN$6:$AN$3005,$M18)="","",INDEX(請求記録!$AN$6:$AN$3005,$M18)))</f>
        <v/>
      </c>
      <c r="M18">
        <f>IFERROR(MATCH(13,請求記録!$AO$6:$AO$3005,0),"")</f>
        <v/>
      </c>
    </row>
    <row r="19">
      <c r="A19">
        <f>IF($M19="","",14)</f>
        <v/>
      </c>
      <c r="B19">
        <f>IF($M19="","",IF(INDEX(請求記録!$B$6:$B$3005,$M19)="","",INDEX(請求記録!$B$6:$B$3005,$M19)))</f>
        <v/>
      </c>
      <c r="C19">
        <f>IF($M19="","",IF(INDEX(請求記録!$X$6:$X$3005,$M19)="","",INDEX(請求記録!$X$6:$X$3005,$M19)))</f>
        <v/>
      </c>
      <c r="D19">
        <f>IF($M19="","",IF(INDEX(請求記録!$Y$6:$Y$3005,$M19)="","",INDEX(請求記録!$Y$6:$Y$3005,$M19)))</f>
        <v/>
      </c>
      <c r="E19">
        <f>IF($M19="","",IF(INDEX(請求記録!$Z$6:$Z$3005,$M19)="","",INDEX(請求記録!$Z$6:$Z$3005,$M19)))</f>
        <v/>
      </c>
      <c r="F19" s="19">
        <f>IF($M19="","",IF(INDEX(請求記録!$E$6:$E$3005,$M19)="","",INDEX(請求記録!$E$6:$E$3005,$M19)))</f>
        <v/>
      </c>
      <c r="G19" s="19">
        <f>IF($M19="","",IF(INDEX(請求記録!$AE$6:$AE$3005,$M19)="","",INDEX(請求記録!$AE$6:$AE$3005,$M19)))</f>
        <v/>
      </c>
      <c r="H19">
        <f>IF($M19="","",IF(INDEX(請求記録!$AG$6:$AG$3005,$M19)="","",INDEX(請求記録!$AG$6:$AG$3005,$M19)))</f>
        <v/>
      </c>
      <c r="I19" s="20">
        <f>IF($M19="","",IF(INDEX(請求記録!$AH$6:$AH$3005,$M19)="","",INDEX(請求記録!$AH$6:$AH$3005,$M19)))</f>
        <v/>
      </c>
      <c r="J19">
        <f>IF($M19="","",IF(INDEX(請求記録!$AK$6:$AK$3005,$M19)="","",INDEX(請求記録!$AK$6:$AK$3005,$M19)))</f>
        <v/>
      </c>
      <c r="K19" s="20">
        <f>IF($M19="","",IF(INDEX(請求記録!$AJ$6:$AJ$3005,$M19)="","",INDEX(請求記録!$AJ$6:$AJ$3005,$M19)))</f>
        <v/>
      </c>
      <c r="L19">
        <f>IF($M19="","",IF(INDEX(請求記録!$AN$6:$AN$3005,$M19)="","",INDEX(請求記録!$AN$6:$AN$3005,$M19)))</f>
        <v/>
      </c>
      <c r="M19">
        <f>IFERROR(MATCH(14,請求記録!$AO$6:$AO$3005,0),"")</f>
        <v/>
      </c>
    </row>
    <row r="20">
      <c r="A20">
        <f>IF($M20="","",15)</f>
        <v/>
      </c>
      <c r="B20">
        <f>IF($M20="","",IF(INDEX(請求記録!$B$6:$B$3005,$M20)="","",INDEX(請求記録!$B$6:$B$3005,$M20)))</f>
        <v/>
      </c>
      <c r="C20">
        <f>IF($M20="","",IF(INDEX(請求記録!$X$6:$X$3005,$M20)="","",INDEX(請求記録!$X$6:$X$3005,$M20)))</f>
        <v/>
      </c>
      <c r="D20">
        <f>IF($M20="","",IF(INDEX(請求記録!$Y$6:$Y$3005,$M20)="","",INDEX(請求記録!$Y$6:$Y$3005,$M20)))</f>
        <v/>
      </c>
      <c r="E20">
        <f>IF($M20="","",IF(INDEX(請求記録!$Z$6:$Z$3005,$M20)="","",INDEX(請求記録!$Z$6:$Z$3005,$M20)))</f>
        <v/>
      </c>
      <c r="F20" s="19">
        <f>IF($M20="","",IF(INDEX(請求記録!$E$6:$E$3005,$M20)="","",INDEX(請求記録!$E$6:$E$3005,$M20)))</f>
        <v/>
      </c>
      <c r="G20" s="19">
        <f>IF($M20="","",IF(INDEX(請求記録!$AE$6:$AE$3005,$M20)="","",INDEX(請求記録!$AE$6:$AE$3005,$M20)))</f>
        <v/>
      </c>
      <c r="H20">
        <f>IF($M20="","",IF(INDEX(請求記録!$AG$6:$AG$3005,$M20)="","",INDEX(請求記録!$AG$6:$AG$3005,$M20)))</f>
        <v/>
      </c>
      <c r="I20" s="20">
        <f>IF($M20="","",IF(INDEX(請求記録!$AH$6:$AH$3005,$M20)="","",INDEX(請求記録!$AH$6:$AH$3005,$M20)))</f>
        <v/>
      </c>
      <c r="J20">
        <f>IF($M20="","",IF(INDEX(請求記録!$AK$6:$AK$3005,$M20)="","",INDEX(請求記録!$AK$6:$AK$3005,$M20)))</f>
        <v/>
      </c>
      <c r="K20" s="20">
        <f>IF($M20="","",IF(INDEX(請求記録!$AJ$6:$AJ$3005,$M20)="","",INDEX(請求記録!$AJ$6:$AJ$3005,$M20)))</f>
        <v/>
      </c>
      <c r="L20">
        <f>IF($M20="","",IF(INDEX(請求記録!$AN$6:$AN$3005,$M20)="","",INDEX(請求記録!$AN$6:$AN$3005,$M20)))</f>
        <v/>
      </c>
      <c r="M20">
        <f>IFERROR(MATCH(15,請求記録!$AO$6:$AO$3005,0),"")</f>
        <v/>
      </c>
    </row>
    <row r="21">
      <c r="A21">
        <f>IF($M21="","",16)</f>
        <v/>
      </c>
      <c r="B21">
        <f>IF($M21="","",IF(INDEX(請求記録!$B$6:$B$3005,$M21)="","",INDEX(請求記録!$B$6:$B$3005,$M21)))</f>
        <v/>
      </c>
      <c r="C21">
        <f>IF($M21="","",IF(INDEX(請求記録!$X$6:$X$3005,$M21)="","",INDEX(請求記録!$X$6:$X$3005,$M21)))</f>
        <v/>
      </c>
      <c r="D21">
        <f>IF($M21="","",IF(INDEX(請求記録!$Y$6:$Y$3005,$M21)="","",INDEX(請求記録!$Y$6:$Y$3005,$M21)))</f>
        <v/>
      </c>
      <c r="E21">
        <f>IF($M21="","",IF(INDEX(請求記録!$Z$6:$Z$3005,$M21)="","",INDEX(請求記録!$Z$6:$Z$3005,$M21)))</f>
        <v/>
      </c>
      <c r="F21" s="19">
        <f>IF($M21="","",IF(INDEX(請求記録!$E$6:$E$3005,$M21)="","",INDEX(請求記録!$E$6:$E$3005,$M21)))</f>
        <v/>
      </c>
      <c r="G21" s="19">
        <f>IF($M21="","",IF(INDEX(請求記録!$AE$6:$AE$3005,$M21)="","",INDEX(請求記録!$AE$6:$AE$3005,$M21)))</f>
        <v/>
      </c>
      <c r="H21">
        <f>IF($M21="","",IF(INDEX(請求記録!$AG$6:$AG$3005,$M21)="","",INDEX(請求記録!$AG$6:$AG$3005,$M21)))</f>
        <v/>
      </c>
      <c r="I21" s="20">
        <f>IF($M21="","",IF(INDEX(請求記録!$AH$6:$AH$3005,$M21)="","",INDEX(請求記録!$AH$6:$AH$3005,$M21)))</f>
        <v/>
      </c>
      <c r="J21">
        <f>IF($M21="","",IF(INDEX(請求記録!$AK$6:$AK$3005,$M21)="","",INDEX(請求記録!$AK$6:$AK$3005,$M21)))</f>
        <v/>
      </c>
      <c r="K21" s="20">
        <f>IF($M21="","",IF(INDEX(請求記録!$AJ$6:$AJ$3005,$M21)="","",INDEX(請求記録!$AJ$6:$AJ$3005,$M21)))</f>
        <v/>
      </c>
      <c r="L21">
        <f>IF($M21="","",IF(INDEX(請求記録!$AN$6:$AN$3005,$M21)="","",INDEX(請求記録!$AN$6:$AN$3005,$M21)))</f>
        <v/>
      </c>
      <c r="M21">
        <f>IFERROR(MATCH(16,請求記録!$AO$6:$AO$3005,0),"")</f>
        <v/>
      </c>
    </row>
    <row r="22">
      <c r="A22">
        <f>IF($M22="","",17)</f>
        <v/>
      </c>
      <c r="B22">
        <f>IF($M22="","",IF(INDEX(請求記録!$B$6:$B$3005,$M22)="","",INDEX(請求記録!$B$6:$B$3005,$M22)))</f>
        <v/>
      </c>
      <c r="C22">
        <f>IF($M22="","",IF(INDEX(請求記録!$X$6:$X$3005,$M22)="","",INDEX(請求記録!$X$6:$X$3005,$M22)))</f>
        <v/>
      </c>
      <c r="D22">
        <f>IF($M22="","",IF(INDEX(請求記録!$Y$6:$Y$3005,$M22)="","",INDEX(請求記録!$Y$6:$Y$3005,$M22)))</f>
        <v/>
      </c>
      <c r="E22">
        <f>IF($M22="","",IF(INDEX(請求記録!$Z$6:$Z$3005,$M22)="","",INDEX(請求記録!$Z$6:$Z$3005,$M22)))</f>
        <v/>
      </c>
      <c r="F22" s="19">
        <f>IF($M22="","",IF(INDEX(請求記録!$E$6:$E$3005,$M22)="","",INDEX(請求記録!$E$6:$E$3005,$M22)))</f>
        <v/>
      </c>
      <c r="G22" s="19">
        <f>IF($M22="","",IF(INDEX(請求記録!$AE$6:$AE$3005,$M22)="","",INDEX(請求記録!$AE$6:$AE$3005,$M22)))</f>
        <v/>
      </c>
      <c r="H22">
        <f>IF($M22="","",IF(INDEX(請求記録!$AG$6:$AG$3005,$M22)="","",INDEX(請求記録!$AG$6:$AG$3005,$M22)))</f>
        <v/>
      </c>
      <c r="I22" s="20">
        <f>IF($M22="","",IF(INDEX(請求記録!$AH$6:$AH$3005,$M22)="","",INDEX(請求記録!$AH$6:$AH$3005,$M22)))</f>
        <v/>
      </c>
      <c r="J22">
        <f>IF($M22="","",IF(INDEX(請求記録!$AK$6:$AK$3005,$M22)="","",INDEX(請求記録!$AK$6:$AK$3005,$M22)))</f>
        <v/>
      </c>
      <c r="K22" s="20">
        <f>IF($M22="","",IF(INDEX(請求記録!$AJ$6:$AJ$3005,$M22)="","",INDEX(請求記録!$AJ$6:$AJ$3005,$M22)))</f>
        <v/>
      </c>
      <c r="L22">
        <f>IF($M22="","",IF(INDEX(請求記録!$AN$6:$AN$3005,$M22)="","",INDEX(請求記録!$AN$6:$AN$3005,$M22)))</f>
        <v/>
      </c>
      <c r="M22">
        <f>IFERROR(MATCH(17,請求記録!$AO$6:$AO$3005,0),"")</f>
        <v/>
      </c>
    </row>
    <row r="23">
      <c r="A23">
        <f>IF($M23="","",18)</f>
        <v/>
      </c>
      <c r="B23">
        <f>IF($M23="","",IF(INDEX(請求記録!$B$6:$B$3005,$M23)="","",INDEX(請求記録!$B$6:$B$3005,$M23)))</f>
        <v/>
      </c>
      <c r="C23">
        <f>IF($M23="","",IF(INDEX(請求記録!$X$6:$X$3005,$M23)="","",INDEX(請求記録!$X$6:$X$3005,$M23)))</f>
        <v/>
      </c>
      <c r="D23">
        <f>IF($M23="","",IF(INDEX(請求記録!$Y$6:$Y$3005,$M23)="","",INDEX(請求記録!$Y$6:$Y$3005,$M23)))</f>
        <v/>
      </c>
      <c r="E23">
        <f>IF($M23="","",IF(INDEX(請求記録!$Z$6:$Z$3005,$M23)="","",INDEX(請求記録!$Z$6:$Z$3005,$M23)))</f>
        <v/>
      </c>
      <c r="F23" s="19">
        <f>IF($M23="","",IF(INDEX(請求記録!$E$6:$E$3005,$M23)="","",INDEX(請求記録!$E$6:$E$3005,$M23)))</f>
        <v/>
      </c>
      <c r="G23" s="19">
        <f>IF($M23="","",IF(INDEX(請求記録!$AE$6:$AE$3005,$M23)="","",INDEX(請求記録!$AE$6:$AE$3005,$M23)))</f>
        <v/>
      </c>
      <c r="H23">
        <f>IF($M23="","",IF(INDEX(請求記録!$AG$6:$AG$3005,$M23)="","",INDEX(請求記録!$AG$6:$AG$3005,$M23)))</f>
        <v/>
      </c>
      <c r="I23" s="20">
        <f>IF($M23="","",IF(INDEX(請求記録!$AH$6:$AH$3005,$M23)="","",INDEX(請求記録!$AH$6:$AH$3005,$M23)))</f>
        <v/>
      </c>
      <c r="J23">
        <f>IF($M23="","",IF(INDEX(請求記録!$AK$6:$AK$3005,$M23)="","",INDEX(請求記録!$AK$6:$AK$3005,$M23)))</f>
        <v/>
      </c>
      <c r="K23" s="20">
        <f>IF($M23="","",IF(INDEX(請求記録!$AJ$6:$AJ$3005,$M23)="","",INDEX(請求記録!$AJ$6:$AJ$3005,$M23)))</f>
        <v/>
      </c>
      <c r="L23">
        <f>IF($M23="","",IF(INDEX(請求記録!$AN$6:$AN$3005,$M23)="","",INDEX(請求記録!$AN$6:$AN$3005,$M23)))</f>
        <v/>
      </c>
      <c r="M23">
        <f>IFERROR(MATCH(18,請求記録!$AO$6:$AO$3005,0),"")</f>
        <v/>
      </c>
    </row>
    <row r="24">
      <c r="A24">
        <f>IF($M24="","",19)</f>
        <v/>
      </c>
      <c r="B24">
        <f>IF($M24="","",IF(INDEX(請求記録!$B$6:$B$3005,$M24)="","",INDEX(請求記録!$B$6:$B$3005,$M24)))</f>
        <v/>
      </c>
      <c r="C24">
        <f>IF($M24="","",IF(INDEX(請求記録!$X$6:$X$3005,$M24)="","",INDEX(請求記録!$X$6:$X$3005,$M24)))</f>
        <v/>
      </c>
      <c r="D24">
        <f>IF($M24="","",IF(INDEX(請求記録!$Y$6:$Y$3005,$M24)="","",INDEX(請求記録!$Y$6:$Y$3005,$M24)))</f>
        <v/>
      </c>
      <c r="E24">
        <f>IF($M24="","",IF(INDEX(請求記録!$Z$6:$Z$3005,$M24)="","",INDEX(請求記録!$Z$6:$Z$3005,$M24)))</f>
        <v/>
      </c>
      <c r="F24" s="19">
        <f>IF($M24="","",IF(INDEX(請求記録!$E$6:$E$3005,$M24)="","",INDEX(請求記録!$E$6:$E$3005,$M24)))</f>
        <v/>
      </c>
      <c r="G24" s="19">
        <f>IF($M24="","",IF(INDEX(請求記録!$AE$6:$AE$3005,$M24)="","",INDEX(請求記録!$AE$6:$AE$3005,$M24)))</f>
        <v/>
      </c>
      <c r="H24">
        <f>IF($M24="","",IF(INDEX(請求記録!$AG$6:$AG$3005,$M24)="","",INDEX(請求記録!$AG$6:$AG$3005,$M24)))</f>
        <v/>
      </c>
      <c r="I24" s="20">
        <f>IF($M24="","",IF(INDEX(請求記録!$AH$6:$AH$3005,$M24)="","",INDEX(請求記録!$AH$6:$AH$3005,$M24)))</f>
        <v/>
      </c>
      <c r="J24">
        <f>IF($M24="","",IF(INDEX(請求記録!$AK$6:$AK$3005,$M24)="","",INDEX(請求記録!$AK$6:$AK$3005,$M24)))</f>
        <v/>
      </c>
      <c r="K24" s="20">
        <f>IF($M24="","",IF(INDEX(請求記録!$AJ$6:$AJ$3005,$M24)="","",INDEX(請求記録!$AJ$6:$AJ$3005,$M24)))</f>
        <v/>
      </c>
      <c r="L24">
        <f>IF($M24="","",IF(INDEX(請求記録!$AN$6:$AN$3005,$M24)="","",INDEX(請求記録!$AN$6:$AN$3005,$M24)))</f>
        <v/>
      </c>
      <c r="M24">
        <f>IFERROR(MATCH(19,請求記録!$AO$6:$AO$3005,0),"")</f>
        <v/>
      </c>
    </row>
    <row r="25">
      <c r="A25">
        <f>IF($M25="","",20)</f>
        <v/>
      </c>
      <c r="B25">
        <f>IF($M25="","",IF(INDEX(請求記録!$B$6:$B$3005,$M25)="","",INDEX(請求記録!$B$6:$B$3005,$M25)))</f>
        <v/>
      </c>
      <c r="C25">
        <f>IF($M25="","",IF(INDEX(請求記録!$X$6:$X$3005,$M25)="","",INDEX(請求記録!$X$6:$X$3005,$M25)))</f>
        <v/>
      </c>
      <c r="D25">
        <f>IF($M25="","",IF(INDEX(請求記録!$Y$6:$Y$3005,$M25)="","",INDEX(請求記録!$Y$6:$Y$3005,$M25)))</f>
        <v/>
      </c>
      <c r="E25">
        <f>IF($M25="","",IF(INDEX(請求記録!$Z$6:$Z$3005,$M25)="","",INDEX(請求記録!$Z$6:$Z$3005,$M25)))</f>
        <v/>
      </c>
      <c r="F25" s="19">
        <f>IF($M25="","",IF(INDEX(請求記録!$E$6:$E$3005,$M25)="","",INDEX(請求記録!$E$6:$E$3005,$M25)))</f>
        <v/>
      </c>
      <c r="G25" s="19">
        <f>IF($M25="","",IF(INDEX(請求記録!$AE$6:$AE$3005,$M25)="","",INDEX(請求記録!$AE$6:$AE$3005,$M25)))</f>
        <v/>
      </c>
      <c r="H25">
        <f>IF($M25="","",IF(INDEX(請求記録!$AG$6:$AG$3005,$M25)="","",INDEX(請求記録!$AG$6:$AG$3005,$M25)))</f>
        <v/>
      </c>
      <c r="I25" s="20">
        <f>IF($M25="","",IF(INDEX(請求記録!$AH$6:$AH$3005,$M25)="","",INDEX(請求記録!$AH$6:$AH$3005,$M25)))</f>
        <v/>
      </c>
      <c r="J25">
        <f>IF($M25="","",IF(INDEX(請求記録!$AK$6:$AK$3005,$M25)="","",INDEX(請求記録!$AK$6:$AK$3005,$M25)))</f>
        <v/>
      </c>
      <c r="K25" s="20">
        <f>IF($M25="","",IF(INDEX(請求記録!$AJ$6:$AJ$3005,$M25)="","",INDEX(請求記録!$AJ$6:$AJ$3005,$M25)))</f>
        <v/>
      </c>
      <c r="L25">
        <f>IF($M25="","",IF(INDEX(請求記録!$AN$6:$AN$3005,$M25)="","",INDEX(請求記録!$AN$6:$AN$3005,$M25)))</f>
        <v/>
      </c>
      <c r="M25">
        <f>IFERROR(MATCH(20,請求記録!$AO$6:$AO$3005,0),"")</f>
        <v/>
      </c>
    </row>
    <row r="26">
      <c r="A26">
        <f>IF($M26="","",21)</f>
        <v/>
      </c>
      <c r="B26">
        <f>IF($M26="","",IF(INDEX(請求記録!$B$6:$B$3005,$M26)="","",INDEX(請求記録!$B$6:$B$3005,$M26)))</f>
        <v/>
      </c>
      <c r="C26">
        <f>IF($M26="","",IF(INDEX(請求記録!$X$6:$X$3005,$M26)="","",INDEX(請求記録!$X$6:$X$3005,$M26)))</f>
        <v/>
      </c>
      <c r="D26">
        <f>IF($M26="","",IF(INDEX(請求記録!$Y$6:$Y$3005,$M26)="","",INDEX(請求記録!$Y$6:$Y$3005,$M26)))</f>
        <v/>
      </c>
      <c r="E26">
        <f>IF($M26="","",IF(INDEX(請求記録!$Z$6:$Z$3005,$M26)="","",INDEX(請求記録!$Z$6:$Z$3005,$M26)))</f>
        <v/>
      </c>
      <c r="F26" s="19">
        <f>IF($M26="","",IF(INDEX(請求記録!$E$6:$E$3005,$M26)="","",INDEX(請求記録!$E$6:$E$3005,$M26)))</f>
        <v/>
      </c>
      <c r="G26" s="19">
        <f>IF($M26="","",IF(INDEX(請求記録!$AE$6:$AE$3005,$M26)="","",INDEX(請求記録!$AE$6:$AE$3005,$M26)))</f>
        <v/>
      </c>
      <c r="H26">
        <f>IF($M26="","",IF(INDEX(請求記録!$AG$6:$AG$3005,$M26)="","",INDEX(請求記録!$AG$6:$AG$3005,$M26)))</f>
        <v/>
      </c>
      <c r="I26" s="20">
        <f>IF($M26="","",IF(INDEX(請求記録!$AH$6:$AH$3005,$M26)="","",INDEX(請求記録!$AH$6:$AH$3005,$M26)))</f>
        <v/>
      </c>
      <c r="J26">
        <f>IF($M26="","",IF(INDEX(請求記録!$AK$6:$AK$3005,$M26)="","",INDEX(請求記録!$AK$6:$AK$3005,$M26)))</f>
        <v/>
      </c>
      <c r="K26" s="20">
        <f>IF($M26="","",IF(INDEX(請求記録!$AJ$6:$AJ$3005,$M26)="","",INDEX(請求記録!$AJ$6:$AJ$3005,$M26)))</f>
        <v/>
      </c>
      <c r="L26">
        <f>IF($M26="","",IF(INDEX(請求記録!$AN$6:$AN$3005,$M26)="","",INDEX(請求記録!$AN$6:$AN$3005,$M26)))</f>
        <v/>
      </c>
      <c r="M26">
        <f>IFERROR(MATCH(21,請求記録!$AO$6:$AO$3005,0),"")</f>
        <v/>
      </c>
    </row>
    <row r="27">
      <c r="A27">
        <f>IF($M27="","",22)</f>
        <v/>
      </c>
      <c r="B27">
        <f>IF($M27="","",IF(INDEX(請求記録!$B$6:$B$3005,$M27)="","",INDEX(請求記録!$B$6:$B$3005,$M27)))</f>
        <v/>
      </c>
      <c r="C27">
        <f>IF($M27="","",IF(INDEX(請求記録!$X$6:$X$3005,$M27)="","",INDEX(請求記録!$X$6:$X$3005,$M27)))</f>
        <v/>
      </c>
      <c r="D27">
        <f>IF($M27="","",IF(INDEX(請求記録!$Y$6:$Y$3005,$M27)="","",INDEX(請求記録!$Y$6:$Y$3005,$M27)))</f>
        <v/>
      </c>
      <c r="E27">
        <f>IF($M27="","",IF(INDEX(請求記録!$Z$6:$Z$3005,$M27)="","",INDEX(請求記録!$Z$6:$Z$3005,$M27)))</f>
        <v/>
      </c>
      <c r="F27" s="19">
        <f>IF($M27="","",IF(INDEX(請求記録!$E$6:$E$3005,$M27)="","",INDEX(請求記録!$E$6:$E$3005,$M27)))</f>
        <v/>
      </c>
      <c r="G27" s="19">
        <f>IF($M27="","",IF(INDEX(請求記録!$AE$6:$AE$3005,$M27)="","",INDEX(請求記録!$AE$6:$AE$3005,$M27)))</f>
        <v/>
      </c>
      <c r="H27">
        <f>IF($M27="","",IF(INDEX(請求記録!$AG$6:$AG$3005,$M27)="","",INDEX(請求記録!$AG$6:$AG$3005,$M27)))</f>
        <v/>
      </c>
      <c r="I27" s="20">
        <f>IF($M27="","",IF(INDEX(請求記録!$AH$6:$AH$3005,$M27)="","",INDEX(請求記録!$AH$6:$AH$3005,$M27)))</f>
        <v/>
      </c>
      <c r="J27">
        <f>IF($M27="","",IF(INDEX(請求記録!$AK$6:$AK$3005,$M27)="","",INDEX(請求記録!$AK$6:$AK$3005,$M27)))</f>
        <v/>
      </c>
      <c r="K27" s="20">
        <f>IF($M27="","",IF(INDEX(請求記録!$AJ$6:$AJ$3005,$M27)="","",INDEX(請求記録!$AJ$6:$AJ$3005,$M27)))</f>
        <v/>
      </c>
      <c r="L27">
        <f>IF($M27="","",IF(INDEX(請求記録!$AN$6:$AN$3005,$M27)="","",INDEX(請求記録!$AN$6:$AN$3005,$M27)))</f>
        <v/>
      </c>
      <c r="M27">
        <f>IFERROR(MATCH(22,請求記録!$AO$6:$AO$3005,0),"")</f>
        <v/>
      </c>
    </row>
    <row r="28">
      <c r="A28">
        <f>IF($M28="","",23)</f>
        <v/>
      </c>
      <c r="B28">
        <f>IF($M28="","",IF(INDEX(請求記録!$B$6:$B$3005,$M28)="","",INDEX(請求記録!$B$6:$B$3005,$M28)))</f>
        <v/>
      </c>
      <c r="C28">
        <f>IF($M28="","",IF(INDEX(請求記録!$X$6:$X$3005,$M28)="","",INDEX(請求記録!$X$6:$X$3005,$M28)))</f>
        <v/>
      </c>
      <c r="D28">
        <f>IF($M28="","",IF(INDEX(請求記録!$Y$6:$Y$3005,$M28)="","",INDEX(請求記録!$Y$6:$Y$3005,$M28)))</f>
        <v/>
      </c>
      <c r="E28">
        <f>IF($M28="","",IF(INDEX(請求記録!$Z$6:$Z$3005,$M28)="","",INDEX(請求記録!$Z$6:$Z$3005,$M28)))</f>
        <v/>
      </c>
      <c r="F28" s="19">
        <f>IF($M28="","",IF(INDEX(請求記録!$E$6:$E$3005,$M28)="","",INDEX(請求記録!$E$6:$E$3005,$M28)))</f>
        <v/>
      </c>
      <c r="G28" s="19">
        <f>IF($M28="","",IF(INDEX(請求記録!$AE$6:$AE$3005,$M28)="","",INDEX(請求記録!$AE$6:$AE$3005,$M28)))</f>
        <v/>
      </c>
      <c r="H28">
        <f>IF($M28="","",IF(INDEX(請求記録!$AG$6:$AG$3005,$M28)="","",INDEX(請求記録!$AG$6:$AG$3005,$M28)))</f>
        <v/>
      </c>
      <c r="I28" s="20">
        <f>IF($M28="","",IF(INDEX(請求記録!$AH$6:$AH$3005,$M28)="","",INDEX(請求記録!$AH$6:$AH$3005,$M28)))</f>
        <v/>
      </c>
      <c r="J28">
        <f>IF($M28="","",IF(INDEX(請求記録!$AK$6:$AK$3005,$M28)="","",INDEX(請求記録!$AK$6:$AK$3005,$M28)))</f>
        <v/>
      </c>
      <c r="K28" s="20">
        <f>IF($M28="","",IF(INDEX(請求記録!$AJ$6:$AJ$3005,$M28)="","",INDEX(請求記録!$AJ$6:$AJ$3005,$M28)))</f>
        <v/>
      </c>
      <c r="L28">
        <f>IF($M28="","",IF(INDEX(請求記録!$AN$6:$AN$3005,$M28)="","",INDEX(請求記録!$AN$6:$AN$3005,$M28)))</f>
        <v/>
      </c>
      <c r="M28">
        <f>IFERROR(MATCH(23,請求記録!$AO$6:$AO$3005,0),"")</f>
        <v/>
      </c>
    </row>
    <row r="29">
      <c r="A29">
        <f>IF($M29="","",24)</f>
        <v/>
      </c>
      <c r="B29">
        <f>IF($M29="","",IF(INDEX(請求記録!$B$6:$B$3005,$M29)="","",INDEX(請求記録!$B$6:$B$3005,$M29)))</f>
        <v/>
      </c>
      <c r="C29">
        <f>IF($M29="","",IF(INDEX(請求記録!$X$6:$X$3005,$M29)="","",INDEX(請求記録!$X$6:$X$3005,$M29)))</f>
        <v/>
      </c>
      <c r="D29">
        <f>IF($M29="","",IF(INDEX(請求記録!$Y$6:$Y$3005,$M29)="","",INDEX(請求記録!$Y$6:$Y$3005,$M29)))</f>
        <v/>
      </c>
      <c r="E29">
        <f>IF($M29="","",IF(INDEX(請求記録!$Z$6:$Z$3005,$M29)="","",INDEX(請求記録!$Z$6:$Z$3005,$M29)))</f>
        <v/>
      </c>
      <c r="F29" s="19">
        <f>IF($M29="","",IF(INDEX(請求記録!$E$6:$E$3005,$M29)="","",INDEX(請求記録!$E$6:$E$3005,$M29)))</f>
        <v/>
      </c>
      <c r="G29" s="19">
        <f>IF($M29="","",IF(INDEX(請求記録!$AE$6:$AE$3005,$M29)="","",INDEX(請求記録!$AE$6:$AE$3005,$M29)))</f>
        <v/>
      </c>
      <c r="H29">
        <f>IF($M29="","",IF(INDEX(請求記録!$AG$6:$AG$3005,$M29)="","",INDEX(請求記録!$AG$6:$AG$3005,$M29)))</f>
        <v/>
      </c>
      <c r="I29" s="20">
        <f>IF($M29="","",IF(INDEX(請求記録!$AH$6:$AH$3005,$M29)="","",INDEX(請求記録!$AH$6:$AH$3005,$M29)))</f>
        <v/>
      </c>
      <c r="J29">
        <f>IF($M29="","",IF(INDEX(請求記録!$AK$6:$AK$3005,$M29)="","",INDEX(請求記録!$AK$6:$AK$3005,$M29)))</f>
        <v/>
      </c>
      <c r="K29" s="20">
        <f>IF($M29="","",IF(INDEX(請求記録!$AJ$6:$AJ$3005,$M29)="","",INDEX(請求記録!$AJ$6:$AJ$3005,$M29)))</f>
        <v/>
      </c>
      <c r="L29">
        <f>IF($M29="","",IF(INDEX(請求記録!$AN$6:$AN$3005,$M29)="","",INDEX(請求記録!$AN$6:$AN$3005,$M29)))</f>
        <v/>
      </c>
      <c r="M29">
        <f>IFERROR(MATCH(24,請求記録!$AO$6:$AO$3005,0),"")</f>
        <v/>
      </c>
    </row>
    <row r="30">
      <c r="A30">
        <f>IF($M30="","",25)</f>
        <v/>
      </c>
      <c r="B30">
        <f>IF($M30="","",IF(INDEX(請求記録!$B$6:$B$3005,$M30)="","",INDEX(請求記録!$B$6:$B$3005,$M30)))</f>
        <v/>
      </c>
      <c r="C30">
        <f>IF($M30="","",IF(INDEX(請求記録!$X$6:$X$3005,$M30)="","",INDEX(請求記録!$X$6:$X$3005,$M30)))</f>
        <v/>
      </c>
      <c r="D30">
        <f>IF($M30="","",IF(INDEX(請求記録!$Y$6:$Y$3005,$M30)="","",INDEX(請求記録!$Y$6:$Y$3005,$M30)))</f>
        <v/>
      </c>
      <c r="E30">
        <f>IF($M30="","",IF(INDEX(請求記録!$Z$6:$Z$3005,$M30)="","",INDEX(請求記録!$Z$6:$Z$3005,$M30)))</f>
        <v/>
      </c>
      <c r="F30" s="19">
        <f>IF($M30="","",IF(INDEX(請求記録!$E$6:$E$3005,$M30)="","",INDEX(請求記録!$E$6:$E$3005,$M30)))</f>
        <v/>
      </c>
      <c r="G30" s="19">
        <f>IF($M30="","",IF(INDEX(請求記録!$AE$6:$AE$3005,$M30)="","",INDEX(請求記録!$AE$6:$AE$3005,$M30)))</f>
        <v/>
      </c>
      <c r="H30">
        <f>IF($M30="","",IF(INDEX(請求記録!$AG$6:$AG$3005,$M30)="","",INDEX(請求記録!$AG$6:$AG$3005,$M30)))</f>
        <v/>
      </c>
      <c r="I30" s="20">
        <f>IF($M30="","",IF(INDEX(請求記録!$AH$6:$AH$3005,$M30)="","",INDEX(請求記録!$AH$6:$AH$3005,$M30)))</f>
        <v/>
      </c>
      <c r="J30">
        <f>IF($M30="","",IF(INDEX(請求記録!$AK$6:$AK$3005,$M30)="","",INDEX(請求記録!$AK$6:$AK$3005,$M30)))</f>
        <v/>
      </c>
      <c r="K30" s="20">
        <f>IF($M30="","",IF(INDEX(請求記録!$AJ$6:$AJ$3005,$M30)="","",INDEX(請求記録!$AJ$6:$AJ$3005,$M30)))</f>
        <v/>
      </c>
      <c r="L30">
        <f>IF($M30="","",IF(INDEX(請求記録!$AN$6:$AN$3005,$M30)="","",INDEX(請求記録!$AN$6:$AN$3005,$M30)))</f>
        <v/>
      </c>
      <c r="M30">
        <f>IFERROR(MATCH(25,請求記録!$AO$6:$AO$3005,0),"")</f>
        <v/>
      </c>
    </row>
    <row r="31">
      <c r="A31">
        <f>IF($M31="","",26)</f>
        <v/>
      </c>
      <c r="B31">
        <f>IF($M31="","",IF(INDEX(請求記録!$B$6:$B$3005,$M31)="","",INDEX(請求記録!$B$6:$B$3005,$M31)))</f>
        <v/>
      </c>
      <c r="C31">
        <f>IF($M31="","",IF(INDEX(請求記録!$X$6:$X$3005,$M31)="","",INDEX(請求記録!$X$6:$X$3005,$M31)))</f>
        <v/>
      </c>
      <c r="D31">
        <f>IF($M31="","",IF(INDEX(請求記録!$Y$6:$Y$3005,$M31)="","",INDEX(請求記録!$Y$6:$Y$3005,$M31)))</f>
        <v/>
      </c>
      <c r="E31">
        <f>IF($M31="","",IF(INDEX(請求記録!$Z$6:$Z$3005,$M31)="","",INDEX(請求記録!$Z$6:$Z$3005,$M31)))</f>
        <v/>
      </c>
      <c r="F31" s="19">
        <f>IF($M31="","",IF(INDEX(請求記録!$E$6:$E$3005,$M31)="","",INDEX(請求記録!$E$6:$E$3005,$M31)))</f>
        <v/>
      </c>
      <c r="G31" s="19">
        <f>IF($M31="","",IF(INDEX(請求記録!$AE$6:$AE$3005,$M31)="","",INDEX(請求記録!$AE$6:$AE$3005,$M31)))</f>
        <v/>
      </c>
      <c r="H31">
        <f>IF($M31="","",IF(INDEX(請求記録!$AG$6:$AG$3005,$M31)="","",INDEX(請求記録!$AG$6:$AG$3005,$M31)))</f>
        <v/>
      </c>
      <c r="I31" s="20">
        <f>IF($M31="","",IF(INDEX(請求記録!$AH$6:$AH$3005,$M31)="","",INDEX(請求記録!$AH$6:$AH$3005,$M31)))</f>
        <v/>
      </c>
      <c r="J31">
        <f>IF($M31="","",IF(INDEX(請求記録!$AK$6:$AK$3005,$M31)="","",INDEX(請求記録!$AK$6:$AK$3005,$M31)))</f>
        <v/>
      </c>
      <c r="K31" s="20">
        <f>IF($M31="","",IF(INDEX(請求記録!$AJ$6:$AJ$3005,$M31)="","",INDEX(請求記録!$AJ$6:$AJ$3005,$M31)))</f>
        <v/>
      </c>
      <c r="L31">
        <f>IF($M31="","",IF(INDEX(請求記録!$AN$6:$AN$3005,$M31)="","",INDEX(請求記録!$AN$6:$AN$3005,$M31)))</f>
        <v/>
      </c>
      <c r="M31">
        <f>IFERROR(MATCH(26,請求記録!$AO$6:$AO$3005,0),"")</f>
        <v/>
      </c>
    </row>
    <row r="32">
      <c r="A32">
        <f>IF($M32="","",27)</f>
        <v/>
      </c>
      <c r="B32">
        <f>IF($M32="","",IF(INDEX(請求記録!$B$6:$B$3005,$M32)="","",INDEX(請求記録!$B$6:$B$3005,$M32)))</f>
        <v/>
      </c>
      <c r="C32">
        <f>IF($M32="","",IF(INDEX(請求記録!$X$6:$X$3005,$M32)="","",INDEX(請求記録!$X$6:$X$3005,$M32)))</f>
        <v/>
      </c>
      <c r="D32">
        <f>IF($M32="","",IF(INDEX(請求記録!$Y$6:$Y$3005,$M32)="","",INDEX(請求記録!$Y$6:$Y$3005,$M32)))</f>
        <v/>
      </c>
      <c r="E32">
        <f>IF($M32="","",IF(INDEX(請求記録!$Z$6:$Z$3005,$M32)="","",INDEX(請求記録!$Z$6:$Z$3005,$M32)))</f>
        <v/>
      </c>
      <c r="F32" s="19">
        <f>IF($M32="","",IF(INDEX(請求記録!$E$6:$E$3005,$M32)="","",INDEX(請求記録!$E$6:$E$3005,$M32)))</f>
        <v/>
      </c>
      <c r="G32" s="19">
        <f>IF($M32="","",IF(INDEX(請求記録!$AE$6:$AE$3005,$M32)="","",INDEX(請求記録!$AE$6:$AE$3005,$M32)))</f>
        <v/>
      </c>
      <c r="H32">
        <f>IF($M32="","",IF(INDEX(請求記録!$AG$6:$AG$3005,$M32)="","",INDEX(請求記録!$AG$6:$AG$3005,$M32)))</f>
        <v/>
      </c>
      <c r="I32" s="20">
        <f>IF($M32="","",IF(INDEX(請求記録!$AH$6:$AH$3005,$M32)="","",INDEX(請求記録!$AH$6:$AH$3005,$M32)))</f>
        <v/>
      </c>
      <c r="J32">
        <f>IF($M32="","",IF(INDEX(請求記録!$AK$6:$AK$3005,$M32)="","",INDEX(請求記録!$AK$6:$AK$3005,$M32)))</f>
        <v/>
      </c>
      <c r="K32" s="20">
        <f>IF($M32="","",IF(INDEX(請求記録!$AJ$6:$AJ$3005,$M32)="","",INDEX(請求記録!$AJ$6:$AJ$3005,$M32)))</f>
        <v/>
      </c>
      <c r="L32">
        <f>IF($M32="","",IF(INDEX(請求記録!$AN$6:$AN$3005,$M32)="","",INDEX(請求記録!$AN$6:$AN$3005,$M32)))</f>
        <v/>
      </c>
      <c r="M32">
        <f>IFERROR(MATCH(27,請求記録!$AO$6:$AO$3005,0),"")</f>
        <v/>
      </c>
    </row>
    <row r="33">
      <c r="A33">
        <f>IF($M33="","",28)</f>
        <v/>
      </c>
      <c r="B33">
        <f>IF($M33="","",IF(INDEX(請求記録!$B$6:$B$3005,$M33)="","",INDEX(請求記録!$B$6:$B$3005,$M33)))</f>
        <v/>
      </c>
      <c r="C33">
        <f>IF($M33="","",IF(INDEX(請求記録!$X$6:$X$3005,$M33)="","",INDEX(請求記録!$X$6:$X$3005,$M33)))</f>
        <v/>
      </c>
      <c r="D33">
        <f>IF($M33="","",IF(INDEX(請求記録!$Y$6:$Y$3005,$M33)="","",INDEX(請求記録!$Y$6:$Y$3005,$M33)))</f>
        <v/>
      </c>
      <c r="E33">
        <f>IF($M33="","",IF(INDEX(請求記録!$Z$6:$Z$3005,$M33)="","",INDEX(請求記録!$Z$6:$Z$3005,$M33)))</f>
        <v/>
      </c>
      <c r="F33" s="19">
        <f>IF($M33="","",IF(INDEX(請求記録!$E$6:$E$3005,$M33)="","",INDEX(請求記録!$E$6:$E$3005,$M33)))</f>
        <v/>
      </c>
      <c r="G33" s="19">
        <f>IF($M33="","",IF(INDEX(請求記録!$AE$6:$AE$3005,$M33)="","",INDEX(請求記録!$AE$6:$AE$3005,$M33)))</f>
        <v/>
      </c>
      <c r="H33">
        <f>IF($M33="","",IF(INDEX(請求記録!$AG$6:$AG$3005,$M33)="","",INDEX(請求記録!$AG$6:$AG$3005,$M33)))</f>
        <v/>
      </c>
      <c r="I33" s="20">
        <f>IF($M33="","",IF(INDEX(請求記録!$AH$6:$AH$3005,$M33)="","",INDEX(請求記録!$AH$6:$AH$3005,$M33)))</f>
        <v/>
      </c>
      <c r="J33">
        <f>IF($M33="","",IF(INDEX(請求記録!$AK$6:$AK$3005,$M33)="","",INDEX(請求記録!$AK$6:$AK$3005,$M33)))</f>
        <v/>
      </c>
      <c r="K33" s="20">
        <f>IF($M33="","",IF(INDEX(請求記録!$AJ$6:$AJ$3005,$M33)="","",INDEX(請求記録!$AJ$6:$AJ$3005,$M33)))</f>
        <v/>
      </c>
      <c r="L33">
        <f>IF($M33="","",IF(INDEX(請求記録!$AN$6:$AN$3005,$M33)="","",INDEX(請求記録!$AN$6:$AN$3005,$M33)))</f>
        <v/>
      </c>
      <c r="M33">
        <f>IFERROR(MATCH(28,請求記録!$AO$6:$AO$3005,0),"")</f>
        <v/>
      </c>
    </row>
    <row r="34">
      <c r="A34">
        <f>IF($M34="","",29)</f>
        <v/>
      </c>
      <c r="B34">
        <f>IF($M34="","",IF(INDEX(請求記録!$B$6:$B$3005,$M34)="","",INDEX(請求記録!$B$6:$B$3005,$M34)))</f>
        <v/>
      </c>
      <c r="C34">
        <f>IF($M34="","",IF(INDEX(請求記録!$X$6:$X$3005,$M34)="","",INDEX(請求記録!$X$6:$X$3005,$M34)))</f>
        <v/>
      </c>
      <c r="D34">
        <f>IF($M34="","",IF(INDEX(請求記録!$Y$6:$Y$3005,$M34)="","",INDEX(請求記録!$Y$6:$Y$3005,$M34)))</f>
        <v/>
      </c>
      <c r="E34">
        <f>IF($M34="","",IF(INDEX(請求記録!$Z$6:$Z$3005,$M34)="","",INDEX(請求記録!$Z$6:$Z$3005,$M34)))</f>
        <v/>
      </c>
      <c r="F34" s="19">
        <f>IF($M34="","",IF(INDEX(請求記録!$E$6:$E$3005,$M34)="","",INDEX(請求記録!$E$6:$E$3005,$M34)))</f>
        <v/>
      </c>
      <c r="G34" s="19">
        <f>IF($M34="","",IF(INDEX(請求記録!$AE$6:$AE$3005,$M34)="","",INDEX(請求記録!$AE$6:$AE$3005,$M34)))</f>
        <v/>
      </c>
      <c r="H34">
        <f>IF($M34="","",IF(INDEX(請求記録!$AG$6:$AG$3005,$M34)="","",INDEX(請求記録!$AG$6:$AG$3005,$M34)))</f>
        <v/>
      </c>
      <c r="I34" s="20">
        <f>IF($M34="","",IF(INDEX(請求記録!$AH$6:$AH$3005,$M34)="","",INDEX(請求記録!$AH$6:$AH$3005,$M34)))</f>
        <v/>
      </c>
      <c r="J34">
        <f>IF($M34="","",IF(INDEX(請求記録!$AK$6:$AK$3005,$M34)="","",INDEX(請求記録!$AK$6:$AK$3005,$M34)))</f>
        <v/>
      </c>
      <c r="K34" s="20">
        <f>IF($M34="","",IF(INDEX(請求記録!$AJ$6:$AJ$3005,$M34)="","",INDEX(請求記録!$AJ$6:$AJ$3005,$M34)))</f>
        <v/>
      </c>
      <c r="L34">
        <f>IF($M34="","",IF(INDEX(請求記録!$AN$6:$AN$3005,$M34)="","",INDEX(請求記録!$AN$6:$AN$3005,$M34)))</f>
        <v/>
      </c>
      <c r="M34">
        <f>IFERROR(MATCH(29,請求記録!$AO$6:$AO$3005,0),"")</f>
        <v/>
      </c>
    </row>
    <row r="35">
      <c r="A35">
        <f>IF($M35="","",30)</f>
        <v/>
      </c>
      <c r="B35">
        <f>IF($M35="","",IF(INDEX(請求記録!$B$6:$B$3005,$M35)="","",INDEX(請求記録!$B$6:$B$3005,$M35)))</f>
        <v/>
      </c>
      <c r="C35">
        <f>IF($M35="","",IF(INDEX(請求記録!$X$6:$X$3005,$M35)="","",INDEX(請求記録!$X$6:$X$3005,$M35)))</f>
        <v/>
      </c>
      <c r="D35">
        <f>IF($M35="","",IF(INDEX(請求記録!$Y$6:$Y$3005,$M35)="","",INDEX(請求記録!$Y$6:$Y$3005,$M35)))</f>
        <v/>
      </c>
      <c r="E35">
        <f>IF($M35="","",IF(INDEX(請求記録!$Z$6:$Z$3005,$M35)="","",INDEX(請求記録!$Z$6:$Z$3005,$M35)))</f>
        <v/>
      </c>
      <c r="F35" s="19">
        <f>IF($M35="","",IF(INDEX(請求記録!$E$6:$E$3005,$M35)="","",INDEX(請求記録!$E$6:$E$3005,$M35)))</f>
        <v/>
      </c>
      <c r="G35" s="19">
        <f>IF($M35="","",IF(INDEX(請求記録!$AE$6:$AE$3005,$M35)="","",INDEX(請求記録!$AE$6:$AE$3005,$M35)))</f>
        <v/>
      </c>
      <c r="H35">
        <f>IF($M35="","",IF(INDEX(請求記録!$AG$6:$AG$3005,$M35)="","",INDEX(請求記録!$AG$6:$AG$3005,$M35)))</f>
        <v/>
      </c>
      <c r="I35" s="20">
        <f>IF($M35="","",IF(INDEX(請求記録!$AH$6:$AH$3005,$M35)="","",INDEX(請求記録!$AH$6:$AH$3005,$M35)))</f>
        <v/>
      </c>
      <c r="J35">
        <f>IF($M35="","",IF(INDEX(請求記録!$AK$6:$AK$3005,$M35)="","",INDEX(請求記録!$AK$6:$AK$3005,$M35)))</f>
        <v/>
      </c>
      <c r="K35" s="20">
        <f>IF($M35="","",IF(INDEX(請求記録!$AJ$6:$AJ$3005,$M35)="","",INDEX(請求記録!$AJ$6:$AJ$3005,$M35)))</f>
        <v/>
      </c>
      <c r="L35">
        <f>IF($M35="","",IF(INDEX(請求記録!$AN$6:$AN$3005,$M35)="","",INDEX(請求記録!$AN$6:$AN$3005,$M35)))</f>
        <v/>
      </c>
      <c r="M35">
        <f>IFERROR(MATCH(30,請求記録!$AO$6:$AO$3005,0),"")</f>
        <v/>
      </c>
    </row>
    <row r="36">
      <c r="A36">
        <f>IF($M36="","",31)</f>
        <v/>
      </c>
      <c r="B36">
        <f>IF($M36="","",IF(INDEX(請求記録!$B$6:$B$3005,$M36)="","",INDEX(請求記録!$B$6:$B$3005,$M36)))</f>
        <v/>
      </c>
      <c r="C36">
        <f>IF($M36="","",IF(INDEX(請求記録!$X$6:$X$3005,$M36)="","",INDEX(請求記録!$X$6:$X$3005,$M36)))</f>
        <v/>
      </c>
      <c r="D36">
        <f>IF($M36="","",IF(INDEX(請求記録!$Y$6:$Y$3005,$M36)="","",INDEX(請求記録!$Y$6:$Y$3005,$M36)))</f>
        <v/>
      </c>
      <c r="E36">
        <f>IF($M36="","",IF(INDEX(請求記録!$Z$6:$Z$3005,$M36)="","",INDEX(請求記録!$Z$6:$Z$3005,$M36)))</f>
        <v/>
      </c>
      <c r="F36" s="19">
        <f>IF($M36="","",IF(INDEX(請求記録!$E$6:$E$3005,$M36)="","",INDEX(請求記録!$E$6:$E$3005,$M36)))</f>
        <v/>
      </c>
      <c r="G36" s="19">
        <f>IF($M36="","",IF(INDEX(請求記録!$AE$6:$AE$3005,$M36)="","",INDEX(請求記録!$AE$6:$AE$3005,$M36)))</f>
        <v/>
      </c>
      <c r="H36">
        <f>IF($M36="","",IF(INDEX(請求記録!$AG$6:$AG$3005,$M36)="","",INDEX(請求記録!$AG$6:$AG$3005,$M36)))</f>
        <v/>
      </c>
      <c r="I36" s="20">
        <f>IF($M36="","",IF(INDEX(請求記録!$AH$6:$AH$3005,$M36)="","",INDEX(請求記録!$AH$6:$AH$3005,$M36)))</f>
        <v/>
      </c>
      <c r="J36">
        <f>IF($M36="","",IF(INDEX(請求記録!$AK$6:$AK$3005,$M36)="","",INDEX(請求記録!$AK$6:$AK$3005,$M36)))</f>
        <v/>
      </c>
      <c r="K36" s="20">
        <f>IF($M36="","",IF(INDEX(請求記録!$AJ$6:$AJ$3005,$M36)="","",INDEX(請求記録!$AJ$6:$AJ$3005,$M36)))</f>
        <v/>
      </c>
      <c r="L36">
        <f>IF($M36="","",IF(INDEX(請求記録!$AN$6:$AN$3005,$M36)="","",INDEX(請求記録!$AN$6:$AN$3005,$M36)))</f>
        <v/>
      </c>
      <c r="M36">
        <f>IFERROR(MATCH(31,請求記録!$AO$6:$AO$3005,0),"")</f>
        <v/>
      </c>
    </row>
    <row r="37">
      <c r="A37">
        <f>IF($M37="","",32)</f>
        <v/>
      </c>
      <c r="B37">
        <f>IF($M37="","",IF(INDEX(請求記録!$B$6:$B$3005,$M37)="","",INDEX(請求記録!$B$6:$B$3005,$M37)))</f>
        <v/>
      </c>
      <c r="C37">
        <f>IF($M37="","",IF(INDEX(請求記録!$X$6:$X$3005,$M37)="","",INDEX(請求記録!$X$6:$X$3005,$M37)))</f>
        <v/>
      </c>
      <c r="D37">
        <f>IF($M37="","",IF(INDEX(請求記録!$Y$6:$Y$3005,$M37)="","",INDEX(請求記録!$Y$6:$Y$3005,$M37)))</f>
        <v/>
      </c>
      <c r="E37">
        <f>IF($M37="","",IF(INDEX(請求記録!$Z$6:$Z$3005,$M37)="","",INDEX(請求記録!$Z$6:$Z$3005,$M37)))</f>
        <v/>
      </c>
      <c r="F37" s="19">
        <f>IF($M37="","",IF(INDEX(請求記録!$E$6:$E$3005,$M37)="","",INDEX(請求記録!$E$6:$E$3005,$M37)))</f>
        <v/>
      </c>
      <c r="G37" s="19">
        <f>IF($M37="","",IF(INDEX(請求記録!$AE$6:$AE$3005,$M37)="","",INDEX(請求記録!$AE$6:$AE$3005,$M37)))</f>
        <v/>
      </c>
      <c r="H37">
        <f>IF($M37="","",IF(INDEX(請求記録!$AG$6:$AG$3005,$M37)="","",INDEX(請求記録!$AG$6:$AG$3005,$M37)))</f>
        <v/>
      </c>
      <c r="I37" s="20">
        <f>IF($M37="","",IF(INDEX(請求記録!$AH$6:$AH$3005,$M37)="","",INDEX(請求記録!$AH$6:$AH$3005,$M37)))</f>
        <v/>
      </c>
      <c r="J37">
        <f>IF($M37="","",IF(INDEX(請求記録!$AK$6:$AK$3005,$M37)="","",INDEX(請求記録!$AK$6:$AK$3005,$M37)))</f>
        <v/>
      </c>
      <c r="K37" s="20">
        <f>IF($M37="","",IF(INDEX(請求記録!$AJ$6:$AJ$3005,$M37)="","",INDEX(請求記録!$AJ$6:$AJ$3005,$M37)))</f>
        <v/>
      </c>
      <c r="L37">
        <f>IF($M37="","",IF(INDEX(請求記録!$AN$6:$AN$3005,$M37)="","",INDEX(請求記録!$AN$6:$AN$3005,$M37)))</f>
        <v/>
      </c>
      <c r="M37">
        <f>IFERROR(MATCH(32,請求記録!$AO$6:$AO$3005,0),"")</f>
        <v/>
      </c>
    </row>
    <row r="38">
      <c r="A38">
        <f>IF($M38="","",33)</f>
        <v/>
      </c>
      <c r="B38">
        <f>IF($M38="","",IF(INDEX(請求記録!$B$6:$B$3005,$M38)="","",INDEX(請求記録!$B$6:$B$3005,$M38)))</f>
        <v/>
      </c>
      <c r="C38">
        <f>IF($M38="","",IF(INDEX(請求記録!$X$6:$X$3005,$M38)="","",INDEX(請求記録!$X$6:$X$3005,$M38)))</f>
        <v/>
      </c>
      <c r="D38">
        <f>IF($M38="","",IF(INDEX(請求記録!$Y$6:$Y$3005,$M38)="","",INDEX(請求記録!$Y$6:$Y$3005,$M38)))</f>
        <v/>
      </c>
      <c r="E38">
        <f>IF($M38="","",IF(INDEX(請求記録!$Z$6:$Z$3005,$M38)="","",INDEX(請求記録!$Z$6:$Z$3005,$M38)))</f>
        <v/>
      </c>
      <c r="F38" s="19">
        <f>IF($M38="","",IF(INDEX(請求記録!$E$6:$E$3005,$M38)="","",INDEX(請求記録!$E$6:$E$3005,$M38)))</f>
        <v/>
      </c>
      <c r="G38" s="19">
        <f>IF($M38="","",IF(INDEX(請求記録!$AE$6:$AE$3005,$M38)="","",INDEX(請求記録!$AE$6:$AE$3005,$M38)))</f>
        <v/>
      </c>
      <c r="H38">
        <f>IF($M38="","",IF(INDEX(請求記録!$AG$6:$AG$3005,$M38)="","",INDEX(請求記録!$AG$6:$AG$3005,$M38)))</f>
        <v/>
      </c>
      <c r="I38" s="20">
        <f>IF($M38="","",IF(INDEX(請求記録!$AH$6:$AH$3005,$M38)="","",INDEX(請求記録!$AH$6:$AH$3005,$M38)))</f>
        <v/>
      </c>
      <c r="J38">
        <f>IF($M38="","",IF(INDEX(請求記録!$AK$6:$AK$3005,$M38)="","",INDEX(請求記録!$AK$6:$AK$3005,$M38)))</f>
        <v/>
      </c>
      <c r="K38" s="20">
        <f>IF($M38="","",IF(INDEX(請求記録!$AJ$6:$AJ$3005,$M38)="","",INDEX(請求記録!$AJ$6:$AJ$3005,$M38)))</f>
        <v/>
      </c>
      <c r="L38">
        <f>IF($M38="","",IF(INDEX(請求記録!$AN$6:$AN$3005,$M38)="","",INDEX(請求記録!$AN$6:$AN$3005,$M38)))</f>
        <v/>
      </c>
      <c r="M38">
        <f>IFERROR(MATCH(33,請求記録!$AO$6:$AO$3005,0),"")</f>
        <v/>
      </c>
    </row>
    <row r="39">
      <c r="A39">
        <f>IF($M39="","",34)</f>
        <v/>
      </c>
      <c r="B39">
        <f>IF($M39="","",IF(INDEX(請求記録!$B$6:$B$3005,$M39)="","",INDEX(請求記録!$B$6:$B$3005,$M39)))</f>
        <v/>
      </c>
      <c r="C39">
        <f>IF($M39="","",IF(INDEX(請求記録!$X$6:$X$3005,$M39)="","",INDEX(請求記録!$X$6:$X$3005,$M39)))</f>
        <v/>
      </c>
      <c r="D39">
        <f>IF($M39="","",IF(INDEX(請求記録!$Y$6:$Y$3005,$M39)="","",INDEX(請求記録!$Y$6:$Y$3005,$M39)))</f>
        <v/>
      </c>
      <c r="E39">
        <f>IF($M39="","",IF(INDEX(請求記録!$Z$6:$Z$3005,$M39)="","",INDEX(請求記録!$Z$6:$Z$3005,$M39)))</f>
        <v/>
      </c>
      <c r="F39" s="19">
        <f>IF($M39="","",IF(INDEX(請求記録!$E$6:$E$3005,$M39)="","",INDEX(請求記録!$E$6:$E$3005,$M39)))</f>
        <v/>
      </c>
      <c r="G39" s="19">
        <f>IF($M39="","",IF(INDEX(請求記録!$AE$6:$AE$3005,$M39)="","",INDEX(請求記録!$AE$6:$AE$3005,$M39)))</f>
        <v/>
      </c>
      <c r="H39">
        <f>IF($M39="","",IF(INDEX(請求記録!$AG$6:$AG$3005,$M39)="","",INDEX(請求記録!$AG$6:$AG$3005,$M39)))</f>
        <v/>
      </c>
      <c r="I39" s="20">
        <f>IF($M39="","",IF(INDEX(請求記録!$AH$6:$AH$3005,$M39)="","",INDEX(請求記録!$AH$6:$AH$3005,$M39)))</f>
        <v/>
      </c>
      <c r="J39">
        <f>IF($M39="","",IF(INDEX(請求記録!$AK$6:$AK$3005,$M39)="","",INDEX(請求記録!$AK$6:$AK$3005,$M39)))</f>
        <v/>
      </c>
      <c r="K39" s="20">
        <f>IF($M39="","",IF(INDEX(請求記録!$AJ$6:$AJ$3005,$M39)="","",INDEX(請求記録!$AJ$6:$AJ$3005,$M39)))</f>
        <v/>
      </c>
      <c r="L39">
        <f>IF($M39="","",IF(INDEX(請求記録!$AN$6:$AN$3005,$M39)="","",INDEX(請求記録!$AN$6:$AN$3005,$M39)))</f>
        <v/>
      </c>
      <c r="M39">
        <f>IFERROR(MATCH(34,請求記録!$AO$6:$AO$3005,0),"")</f>
        <v/>
      </c>
    </row>
    <row r="40">
      <c r="A40">
        <f>IF($M40="","",35)</f>
        <v/>
      </c>
      <c r="B40">
        <f>IF($M40="","",IF(INDEX(請求記録!$B$6:$B$3005,$M40)="","",INDEX(請求記録!$B$6:$B$3005,$M40)))</f>
        <v/>
      </c>
      <c r="C40">
        <f>IF($M40="","",IF(INDEX(請求記録!$X$6:$X$3005,$M40)="","",INDEX(請求記録!$X$6:$X$3005,$M40)))</f>
        <v/>
      </c>
      <c r="D40">
        <f>IF($M40="","",IF(INDEX(請求記録!$Y$6:$Y$3005,$M40)="","",INDEX(請求記録!$Y$6:$Y$3005,$M40)))</f>
        <v/>
      </c>
      <c r="E40">
        <f>IF($M40="","",IF(INDEX(請求記録!$Z$6:$Z$3005,$M40)="","",INDEX(請求記録!$Z$6:$Z$3005,$M40)))</f>
        <v/>
      </c>
      <c r="F40" s="19">
        <f>IF($M40="","",IF(INDEX(請求記録!$E$6:$E$3005,$M40)="","",INDEX(請求記録!$E$6:$E$3005,$M40)))</f>
        <v/>
      </c>
      <c r="G40" s="19">
        <f>IF($M40="","",IF(INDEX(請求記録!$AE$6:$AE$3005,$M40)="","",INDEX(請求記録!$AE$6:$AE$3005,$M40)))</f>
        <v/>
      </c>
      <c r="H40">
        <f>IF($M40="","",IF(INDEX(請求記録!$AG$6:$AG$3005,$M40)="","",INDEX(請求記録!$AG$6:$AG$3005,$M40)))</f>
        <v/>
      </c>
      <c r="I40" s="20">
        <f>IF($M40="","",IF(INDEX(請求記録!$AH$6:$AH$3005,$M40)="","",INDEX(請求記録!$AH$6:$AH$3005,$M40)))</f>
        <v/>
      </c>
      <c r="J40">
        <f>IF($M40="","",IF(INDEX(請求記録!$AK$6:$AK$3005,$M40)="","",INDEX(請求記録!$AK$6:$AK$3005,$M40)))</f>
        <v/>
      </c>
      <c r="K40" s="20">
        <f>IF($M40="","",IF(INDEX(請求記録!$AJ$6:$AJ$3005,$M40)="","",INDEX(請求記録!$AJ$6:$AJ$3005,$M40)))</f>
        <v/>
      </c>
      <c r="L40">
        <f>IF($M40="","",IF(INDEX(請求記録!$AN$6:$AN$3005,$M40)="","",INDEX(請求記録!$AN$6:$AN$3005,$M40)))</f>
        <v/>
      </c>
      <c r="M40">
        <f>IFERROR(MATCH(35,請求記録!$AO$6:$AO$3005,0),"")</f>
        <v/>
      </c>
    </row>
    <row r="41">
      <c r="A41">
        <f>IF($M41="","",36)</f>
        <v/>
      </c>
      <c r="B41">
        <f>IF($M41="","",IF(INDEX(請求記録!$B$6:$B$3005,$M41)="","",INDEX(請求記録!$B$6:$B$3005,$M41)))</f>
        <v/>
      </c>
      <c r="C41">
        <f>IF($M41="","",IF(INDEX(請求記録!$X$6:$X$3005,$M41)="","",INDEX(請求記録!$X$6:$X$3005,$M41)))</f>
        <v/>
      </c>
      <c r="D41">
        <f>IF($M41="","",IF(INDEX(請求記録!$Y$6:$Y$3005,$M41)="","",INDEX(請求記録!$Y$6:$Y$3005,$M41)))</f>
        <v/>
      </c>
      <c r="E41">
        <f>IF($M41="","",IF(INDEX(請求記録!$Z$6:$Z$3005,$M41)="","",INDEX(請求記録!$Z$6:$Z$3005,$M41)))</f>
        <v/>
      </c>
      <c r="F41" s="19">
        <f>IF($M41="","",IF(INDEX(請求記録!$E$6:$E$3005,$M41)="","",INDEX(請求記録!$E$6:$E$3005,$M41)))</f>
        <v/>
      </c>
      <c r="G41" s="19">
        <f>IF($M41="","",IF(INDEX(請求記録!$AE$6:$AE$3005,$M41)="","",INDEX(請求記録!$AE$6:$AE$3005,$M41)))</f>
        <v/>
      </c>
      <c r="H41">
        <f>IF($M41="","",IF(INDEX(請求記録!$AG$6:$AG$3005,$M41)="","",INDEX(請求記録!$AG$6:$AG$3005,$M41)))</f>
        <v/>
      </c>
      <c r="I41" s="20">
        <f>IF($M41="","",IF(INDEX(請求記録!$AH$6:$AH$3005,$M41)="","",INDEX(請求記録!$AH$6:$AH$3005,$M41)))</f>
        <v/>
      </c>
      <c r="J41">
        <f>IF($M41="","",IF(INDEX(請求記録!$AK$6:$AK$3005,$M41)="","",INDEX(請求記録!$AK$6:$AK$3005,$M41)))</f>
        <v/>
      </c>
      <c r="K41" s="20">
        <f>IF($M41="","",IF(INDEX(請求記録!$AJ$6:$AJ$3005,$M41)="","",INDEX(請求記録!$AJ$6:$AJ$3005,$M41)))</f>
        <v/>
      </c>
      <c r="L41">
        <f>IF($M41="","",IF(INDEX(請求記録!$AN$6:$AN$3005,$M41)="","",INDEX(請求記録!$AN$6:$AN$3005,$M41)))</f>
        <v/>
      </c>
      <c r="M41">
        <f>IFERROR(MATCH(36,請求記録!$AO$6:$AO$3005,0),"")</f>
        <v/>
      </c>
    </row>
    <row r="42">
      <c r="A42">
        <f>IF($M42="","",37)</f>
        <v/>
      </c>
      <c r="B42">
        <f>IF($M42="","",IF(INDEX(請求記録!$B$6:$B$3005,$M42)="","",INDEX(請求記録!$B$6:$B$3005,$M42)))</f>
        <v/>
      </c>
      <c r="C42">
        <f>IF($M42="","",IF(INDEX(請求記録!$X$6:$X$3005,$M42)="","",INDEX(請求記録!$X$6:$X$3005,$M42)))</f>
        <v/>
      </c>
      <c r="D42">
        <f>IF($M42="","",IF(INDEX(請求記録!$Y$6:$Y$3005,$M42)="","",INDEX(請求記録!$Y$6:$Y$3005,$M42)))</f>
        <v/>
      </c>
      <c r="E42">
        <f>IF($M42="","",IF(INDEX(請求記録!$Z$6:$Z$3005,$M42)="","",INDEX(請求記録!$Z$6:$Z$3005,$M42)))</f>
        <v/>
      </c>
      <c r="F42" s="19">
        <f>IF($M42="","",IF(INDEX(請求記録!$E$6:$E$3005,$M42)="","",INDEX(請求記録!$E$6:$E$3005,$M42)))</f>
        <v/>
      </c>
      <c r="G42" s="19">
        <f>IF($M42="","",IF(INDEX(請求記録!$AE$6:$AE$3005,$M42)="","",INDEX(請求記録!$AE$6:$AE$3005,$M42)))</f>
        <v/>
      </c>
      <c r="H42">
        <f>IF($M42="","",IF(INDEX(請求記録!$AG$6:$AG$3005,$M42)="","",INDEX(請求記録!$AG$6:$AG$3005,$M42)))</f>
        <v/>
      </c>
      <c r="I42" s="20">
        <f>IF($M42="","",IF(INDEX(請求記録!$AH$6:$AH$3005,$M42)="","",INDEX(請求記録!$AH$6:$AH$3005,$M42)))</f>
        <v/>
      </c>
      <c r="J42">
        <f>IF($M42="","",IF(INDEX(請求記録!$AK$6:$AK$3005,$M42)="","",INDEX(請求記録!$AK$6:$AK$3005,$M42)))</f>
        <v/>
      </c>
      <c r="K42" s="20">
        <f>IF($M42="","",IF(INDEX(請求記録!$AJ$6:$AJ$3005,$M42)="","",INDEX(請求記録!$AJ$6:$AJ$3005,$M42)))</f>
        <v/>
      </c>
      <c r="L42">
        <f>IF($M42="","",IF(INDEX(請求記録!$AN$6:$AN$3005,$M42)="","",INDEX(請求記録!$AN$6:$AN$3005,$M42)))</f>
        <v/>
      </c>
      <c r="M42">
        <f>IFERROR(MATCH(37,請求記録!$AO$6:$AO$3005,0),"")</f>
        <v/>
      </c>
    </row>
    <row r="43">
      <c r="A43">
        <f>IF($M43="","",38)</f>
        <v/>
      </c>
      <c r="B43">
        <f>IF($M43="","",IF(INDEX(請求記録!$B$6:$B$3005,$M43)="","",INDEX(請求記録!$B$6:$B$3005,$M43)))</f>
        <v/>
      </c>
      <c r="C43">
        <f>IF($M43="","",IF(INDEX(請求記録!$X$6:$X$3005,$M43)="","",INDEX(請求記録!$X$6:$X$3005,$M43)))</f>
        <v/>
      </c>
      <c r="D43">
        <f>IF($M43="","",IF(INDEX(請求記録!$Y$6:$Y$3005,$M43)="","",INDEX(請求記録!$Y$6:$Y$3005,$M43)))</f>
        <v/>
      </c>
      <c r="E43">
        <f>IF($M43="","",IF(INDEX(請求記録!$Z$6:$Z$3005,$M43)="","",INDEX(請求記録!$Z$6:$Z$3005,$M43)))</f>
        <v/>
      </c>
      <c r="F43" s="19">
        <f>IF($M43="","",IF(INDEX(請求記録!$E$6:$E$3005,$M43)="","",INDEX(請求記録!$E$6:$E$3005,$M43)))</f>
        <v/>
      </c>
      <c r="G43" s="19">
        <f>IF($M43="","",IF(INDEX(請求記録!$AE$6:$AE$3005,$M43)="","",INDEX(請求記録!$AE$6:$AE$3005,$M43)))</f>
        <v/>
      </c>
      <c r="H43">
        <f>IF($M43="","",IF(INDEX(請求記録!$AG$6:$AG$3005,$M43)="","",INDEX(請求記録!$AG$6:$AG$3005,$M43)))</f>
        <v/>
      </c>
      <c r="I43" s="20">
        <f>IF($M43="","",IF(INDEX(請求記録!$AH$6:$AH$3005,$M43)="","",INDEX(請求記録!$AH$6:$AH$3005,$M43)))</f>
        <v/>
      </c>
      <c r="J43">
        <f>IF($M43="","",IF(INDEX(請求記録!$AK$6:$AK$3005,$M43)="","",INDEX(請求記録!$AK$6:$AK$3005,$M43)))</f>
        <v/>
      </c>
      <c r="K43" s="20">
        <f>IF($M43="","",IF(INDEX(請求記録!$AJ$6:$AJ$3005,$M43)="","",INDEX(請求記録!$AJ$6:$AJ$3005,$M43)))</f>
        <v/>
      </c>
      <c r="L43">
        <f>IF($M43="","",IF(INDEX(請求記録!$AN$6:$AN$3005,$M43)="","",INDEX(請求記録!$AN$6:$AN$3005,$M43)))</f>
        <v/>
      </c>
      <c r="M43">
        <f>IFERROR(MATCH(38,請求記録!$AO$6:$AO$3005,0),"")</f>
        <v/>
      </c>
    </row>
    <row r="44">
      <c r="A44">
        <f>IF($M44="","",39)</f>
        <v/>
      </c>
      <c r="B44">
        <f>IF($M44="","",IF(INDEX(請求記録!$B$6:$B$3005,$M44)="","",INDEX(請求記録!$B$6:$B$3005,$M44)))</f>
        <v/>
      </c>
      <c r="C44">
        <f>IF($M44="","",IF(INDEX(請求記録!$X$6:$X$3005,$M44)="","",INDEX(請求記録!$X$6:$X$3005,$M44)))</f>
        <v/>
      </c>
      <c r="D44">
        <f>IF($M44="","",IF(INDEX(請求記録!$Y$6:$Y$3005,$M44)="","",INDEX(請求記録!$Y$6:$Y$3005,$M44)))</f>
        <v/>
      </c>
      <c r="E44">
        <f>IF($M44="","",IF(INDEX(請求記録!$Z$6:$Z$3005,$M44)="","",INDEX(請求記録!$Z$6:$Z$3005,$M44)))</f>
        <v/>
      </c>
      <c r="F44" s="19">
        <f>IF($M44="","",IF(INDEX(請求記録!$E$6:$E$3005,$M44)="","",INDEX(請求記録!$E$6:$E$3005,$M44)))</f>
        <v/>
      </c>
      <c r="G44" s="19">
        <f>IF($M44="","",IF(INDEX(請求記録!$AE$6:$AE$3005,$M44)="","",INDEX(請求記録!$AE$6:$AE$3005,$M44)))</f>
        <v/>
      </c>
      <c r="H44">
        <f>IF($M44="","",IF(INDEX(請求記録!$AG$6:$AG$3005,$M44)="","",INDEX(請求記録!$AG$6:$AG$3005,$M44)))</f>
        <v/>
      </c>
      <c r="I44" s="20">
        <f>IF($M44="","",IF(INDEX(請求記録!$AH$6:$AH$3005,$M44)="","",INDEX(請求記録!$AH$6:$AH$3005,$M44)))</f>
        <v/>
      </c>
      <c r="J44">
        <f>IF($M44="","",IF(INDEX(請求記録!$AK$6:$AK$3005,$M44)="","",INDEX(請求記録!$AK$6:$AK$3005,$M44)))</f>
        <v/>
      </c>
      <c r="K44" s="20">
        <f>IF($M44="","",IF(INDEX(請求記録!$AJ$6:$AJ$3005,$M44)="","",INDEX(請求記録!$AJ$6:$AJ$3005,$M44)))</f>
        <v/>
      </c>
      <c r="L44">
        <f>IF($M44="","",IF(INDEX(請求記録!$AN$6:$AN$3005,$M44)="","",INDEX(請求記録!$AN$6:$AN$3005,$M44)))</f>
        <v/>
      </c>
      <c r="M44">
        <f>IFERROR(MATCH(39,請求記録!$AO$6:$AO$3005,0),"")</f>
        <v/>
      </c>
    </row>
    <row r="45">
      <c r="A45">
        <f>IF($M45="","",40)</f>
        <v/>
      </c>
      <c r="B45">
        <f>IF($M45="","",IF(INDEX(請求記録!$B$6:$B$3005,$M45)="","",INDEX(請求記録!$B$6:$B$3005,$M45)))</f>
        <v/>
      </c>
      <c r="C45">
        <f>IF($M45="","",IF(INDEX(請求記録!$X$6:$X$3005,$M45)="","",INDEX(請求記録!$X$6:$X$3005,$M45)))</f>
        <v/>
      </c>
      <c r="D45">
        <f>IF($M45="","",IF(INDEX(請求記録!$Y$6:$Y$3005,$M45)="","",INDEX(請求記録!$Y$6:$Y$3005,$M45)))</f>
        <v/>
      </c>
      <c r="E45">
        <f>IF($M45="","",IF(INDEX(請求記録!$Z$6:$Z$3005,$M45)="","",INDEX(請求記録!$Z$6:$Z$3005,$M45)))</f>
        <v/>
      </c>
      <c r="F45" s="19">
        <f>IF($M45="","",IF(INDEX(請求記録!$E$6:$E$3005,$M45)="","",INDEX(請求記録!$E$6:$E$3005,$M45)))</f>
        <v/>
      </c>
      <c r="G45" s="19">
        <f>IF($M45="","",IF(INDEX(請求記録!$AE$6:$AE$3005,$M45)="","",INDEX(請求記録!$AE$6:$AE$3005,$M45)))</f>
        <v/>
      </c>
      <c r="H45">
        <f>IF($M45="","",IF(INDEX(請求記録!$AG$6:$AG$3005,$M45)="","",INDEX(請求記録!$AG$6:$AG$3005,$M45)))</f>
        <v/>
      </c>
      <c r="I45" s="20">
        <f>IF($M45="","",IF(INDEX(請求記録!$AH$6:$AH$3005,$M45)="","",INDEX(請求記録!$AH$6:$AH$3005,$M45)))</f>
        <v/>
      </c>
      <c r="J45">
        <f>IF($M45="","",IF(INDEX(請求記録!$AK$6:$AK$3005,$M45)="","",INDEX(請求記録!$AK$6:$AK$3005,$M45)))</f>
        <v/>
      </c>
      <c r="K45" s="20">
        <f>IF($M45="","",IF(INDEX(請求記録!$AJ$6:$AJ$3005,$M45)="","",INDEX(請求記録!$AJ$6:$AJ$3005,$M45)))</f>
        <v/>
      </c>
      <c r="L45">
        <f>IF($M45="","",IF(INDEX(請求記録!$AN$6:$AN$3005,$M45)="","",INDEX(請求記録!$AN$6:$AN$3005,$M45)))</f>
        <v/>
      </c>
      <c r="M45">
        <f>IFERROR(MATCH(40,請求記録!$AO$6:$AO$3005,0),"")</f>
        <v/>
      </c>
    </row>
    <row r="46">
      <c r="A46">
        <f>IF($M46="","",41)</f>
        <v/>
      </c>
      <c r="B46">
        <f>IF($M46="","",IF(INDEX(請求記録!$B$6:$B$3005,$M46)="","",INDEX(請求記録!$B$6:$B$3005,$M46)))</f>
        <v/>
      </c>
      <c r="C46">
        <f>IF($M46="","",IF(INDEX(請求記録!$X$6:$X$3005,$M46)="","",INDEX(請求記録!$X$6:$X$3005,$M46)))</f>
        <v/>
      </c>
      <c r="D46">
        <f>IF($M46="","",IF(INDEX(請求記録!$Y$6:$Y$3005,$M46)="","",INDEX(請求記録!$Y$6:$Y$3005,$M46)))</f>
        <v/>
      </c>
      <c r="E46">
        <f>IF($M46="","",IF(INDEX(請求記録!$Z$6:$Z$3005,$M46)="","",INDEX(請求記録!$Z$6:$Z$3005,$M46)))</f>
        <v/>
      </c>
      <c r="F46" s="19">
        <f>IF($M46="","",IF(INDEX(請求記録!$E$6:$E$3005,$M46)="","",INDEX(請求記録!$E$6:$E$3005,$M46)))</f>
        <v/>
      </c>
      <c r="G46" s="19">
        <f>IF($M46="","",IF(INDEX(請求記録!$AE$6:$AE$3005,$M46)="","",INDEX(請求記録!$AE$6:$AE$3005,$M46)))</f>
        <v/>
      </c>
      <c r="H46">
        <f>IF($M46="","",IF(INDEX(請求記録!$AG$6:$AG$3005,$M46)="","",INDEX(請求記録!$AG$6:$AG$3005,$M46)))</f>
        <v/>
      </c>
      <c r="I46" s="20">
        <f>IF($M46="","",IF(INDEX(請求記録!$AH$6:$AH$3005,$M46)="","",INDEX(請求記録!$AH$6:$AH$3005,$M46)))</f>
        <v/>
      </c>
      <c r="J46">
        <f>IF($M46="","",IF(INDEX(請求記録!$AK$6:$AK$3005,$M46)="","",INDEX(請求記録!$AK$6:$AK$3005,$M46)))</f>
        <v/>
      </c>
      <c r="K46" s="20">
        <f>IF($M46="","",IF(INDEX(請求記録!$AJ$6:$AJ$3005,$M46)="","",INDEX(請求記録!$AJ$6:$AJ$3005,$M46)))</f>
        <v/>
      </c>
      <c r="L46">
        <f>IF($M46="","",IF(INDEX(請求記録!$AN$6:$AN$3005,$M46)="","",INDEX(請求記録!$AN$6:$AN$3005,$M46)))</f>
        <v/>
      </c>
      <c r="M46">
        <f>IFERROR(MATCH(41,請求記録!$AO$6:$AO$3005,0),"")</f>
        <v/>
      </c>
    </row>
    <row r="47">
      <c r="A47">
        <f>IF($M47="","",42)</f>
        <v/>
      </c>
      <c r="B47">
        <f>IF($M47="","",IF(INDEX(請求記録!$B$6:$B$3005,$M47)="","",INDEX(請求記録!$B$6:$B$3005,$M47)))</f>
        <v/>
      </c>
      <c r="C47">
        <f>IF($M47="","",IF(INDEX(請求記録!$X$6:$X$3005,$M47)="","",INDEX(請求記録!$X$6:$X$3005,$M47)))</f>
        <v/>
      </c>
      <c r="D47">
        <f>IF($M47="","",IF(INDEX(請求記録!$Y$6:$Y$3005,$M47)="","",INDEX(請求記録!$Y$6:$Y$3005,$M47)))</f>
        <v/>
      </c>
      <c r="E47">
        <f>IF($M47="","",IF(INDEX(請求記録!$Z$6:$Z$3005,$M47)="","",INDEX(請求記録!$Z$6:$Z$3005,$M47)))</f>
        <v/>
      </c>
      <c r="F47" s="19">
        <f>IF($M47="","",IF(INDEX(請求記録!$E$6:$E$3005,$M47)="","",INDEX(請求記録!$E$6:$E$3005,$M47)))</f>
        <v/>
      </c>
      <c r="G47" s="19">
        <f>IF($M47="","",IF(INDEX(請求記録!$AE$6:$AE$3005,$M47)="","",INDEX(請求記録!$AE$6:$AE$3005,$M47)))</f>
        <v/>
      </c>
      <c r="H47">
        <f>IF($M47="","",IF(INDEX(請求記録!$AG$6:$AG$3005,$M47)="","",INDEX(請求記録!$AG$6:$AG$3005,$M47)))</f>
        <v/>
      </c>
      <c r="I47" s="20">
        <f>IF($M47="","",IF(INDEX(請求記録!$AH$6:$AH$3005,$M47)="","",INDEX(請求記録!$AH$6:$AH$3005,$M47)))</f>
        <v/>
      </c>
      <c r="J47">
        <f>IF($M47="","",IF(INDEX(請求記録!$AK$6:$AK$3005,$M47)="","",INDEX(請求記録!$AK$6:$AK$3005,$M47)))</f>
        <v/>
      </c>
      <c r="K47" s="20">
        <f>IF($M47="","",IF(INDEX(請求記録!$AJ$6:$AJ$3005,$M47)="","",INDEX(請求記録!$AJ$6:$AJ$3005,$M47)))</f>
        <v/>
      </c>
      <c r="L47">
        <f>IF($M47="","",IF(INDEX(請求記録!$AN$6:$AN$3005,$M47)="","",INDEX(請求記録!$AN$6:$AN$3005,$M47)))</f>
        <v/>
      </c>
      <c r="M47">
        <f>IFERROR(MATCH(42,請求記録!$AO$6:$AO$3005,0),"")</f>
        <v/>
      </c>
    </row>
    <row r="48">
      <c r="A48">
        <f>IF($M48="","",43)</f>
        <v/>
      </c>
      <c r="B48">
        <f>IF($M48="","",IF(INDEX(請求記録!$B$6:$B$3005,$M48)="","",INDEX(請求記録!$B$6:$B$3005,$M48)))</f>
        <v/>
      </c>
      <c r="C48">
        <f>IF($M48="","",IF(INDEX(請求記録!$X$6:$X$3005,$M48)="","",INDEX(請求記録!$X$6:$X$3005,$M48)))</f>
        <v/>
      </c>
      <c r="D48">
        <f>IF($M48="","",IF(INDEX(請求記録!$Y$6:$Y$3005,$M48)="","",INDEX(請求記録!$Y$6:$Y$3005,$M48)))</f>
        <v/>
      </c>
      <c r="E48">
        <f>IF($M48="","",IF(INDEX(請求記録!$Z$6:$Z$3005,$M48)="","",INDEX(請求記録!$Z$6:$Z$3005,$M48)))</f>
        <v/>
      </c>
      <c r="F48" s="19">
        <f>IF($M48="","",IF(INDEX(請求記録!$E$6:$E$3005,$M48)="","",INDEX(請求記録!$E$6:$E$3005,$M48)))</f>
        <v/>
      </c>
      <c r="G48" s="19">
        <f>IF($M48="","",IF(INDEX(請求記録!$AE$6:$AE$3005,$M48)="","",INDEX(請求記録!$AE$6:$AE$3005,$M48)))</f>
        <v/>
      </c>
      <c r="H48">
        <f>IF($M48="","",IF(INDEX(請求記録!$AG$6:$AG$3005,$M48)="","",INDEX(請求記録!$AG$6:$AG$3005,$M48)))</f>
        <v/>
      </c>
      <c r="I48" s="20">
        <f>IF($M48="","",IF(INDEX(請求記録!$AH$6:$AH$3005,$M48)="","",INDEX(請求記録!$AH$6:$AH$3005,$M48)))</f>
        <v/>
      </c>
      <c r="J48">
        <f>IF($M48="","",IF(INDEX(請求記録!$AK$6:$AK$3005,$M48)="","",INDEX(請求記録!$AK$6:$AK$3005,$M48)))</f>
        <v/>
      </c>
      <c r="K48" s="20">
        <f>IF($M48="","",IF(INDEX(請求記録!$AJ$6:$AJ$3005,$M48)="","",INDEX(請求記録!$AJ$6:$AJ$3005,$M48)))</f>
        <v/>
      </c>
      <c r="L48">
        <f>IF($M48="","",IF(INDEX(請求記録!$AN$6:$AN$3005,$M48)="","",INDEX(請求記録!$AN$6:$AN$3005,$M48)))</f>
        <v/>
      </c>
      <c r="M48">
        <f>IFERROR(MATCH(43,請求記録!$AO$6:$AO$3005,0),"")</f>
        <v/>
      </c>
    </row>
    <row r="49">
      <c r="A49">
        <f>IF($M49="","",44)</f>
        <v/>
      </c>
      <c r="B49">
        <f>IF($M49="","",IF(INDEX(請求記録!$B$6:$B$3005,$M49)="","",INDEX(請求記録!$B$6:$B$3005,$M49)))</f>
        <v/>
      </c>
      <c r="C49">
        <f>IF($M49="","",IF(INDEX(請求記録!$X$6:$X$3005,$M49)="","",INDEX(請求記録!$X$6:$X$3005,$M49)))</f>
        <v/>
      </c>
      <c r="D49">
        <f>IF($M49="","",IF(INDEX(請求記録!$Y$6:$Y$3005,$M49)="","",INDEX(請求記録!$Y$6:$Y$3005,$M49)))</f>
        <v/>
      </c>
      <c r="E49">
        <f>IF($M49="","",IF(INDEX(請求記録!$Z$6:$Z$3005,$M49)="","",INDEX(請求記録!$Z$6:$Z$3005,$M49)))</f>
        <v/>
      </c>
      <c r="F49" s="19">
        <f>IF($M49="","",IF(INDEX(請求記録!$E$6:$E$3005,$M49)="","",INDEX(請求記録!$E$6:$E$3005,$M49)))</f>
        <v/>
      </c>
      <c r="G49" s="19">
        <f>IF($M49="","",IF(INDEX(請求記録!$AE$6:$AE$3005,$M49)="","",INDEX(請求記録!$AE$6:$AE$3005,$M49)))</f>
        <v/>
      </c>
      <c r="H49">
        <f>IF($M49="","",IF(INDEX(請求記録!$AG$6:$AG$3005,$M49)="","",INDEX(請求記録!$AG$6:$AG$3005,$M49)))</f>
        <v/>
      </c>
      <c r="I49" s="20">
        <f>IF($M49="","",IF(INDEX(請求記録!$AH$6:$AH$3005,$M49)="","",INDEX(請求記録!$AH$6:$AH$3005,$M49)))</f>
        <v/>
      </c>
      <c r="J49">
        <f>IF($M49="","",IF(INDEX(請求記録!$AK$6:$AK$3005,$M49)="","",INDEX(請求記録!$AK$6:$AK$3005,$M49)))</f>
        <v/>
      </c>
      <c r="K49" s="20">
        <f>IF($M49="","",IF(INDEX(請求記録!$AJ$6:$AJ$3005,$M49)="","",INDEX(請求記録!$AJ$6:$AJ$3005,$M49)))</f>
        <v/>
      </c>
      <c r="L49">
        <f>IF($M49="","",IF(INDEX(請求記録!$AN$6:$AN$3005,$M49)="","",INDEX(請求記録!$AN$6:$AN$3005,$M49)))</f>
        <v/>
      </c>
      <c r="M49">
        <f>IFERROR(MATCH(44,請求記録!$AO$6:$AO$3005,0),"")</f>
        <v/>
      </c>
    </row>
    <row r="50">
      <c r="A50">
        <f>IF($M50="","",45)</f>
        <v/>
      </c>
      <c r="B50">
        <f>IF($M50="","",IF(INDEX(請求記録!$B$6:$B$3005,$M50)="","",INDEX(請求記録!$B$6:$B$3005,$M50)))</f>
        <v/>
      </c>
      <c r="C50">
        <f>IF($M50="","",IF(INDEX(請求記録!$X$6:$X$3005,$M50)="","",INDEX(請求記録!$X$6:$X$3005,$M50)))</f>
        <v/>
      </c>
      <c r="D50">
        <f>IF($M50="","",IF(INDEX(請求記録!$Y$6:$Y$3005,$M50)="","",INDEX(請求記録!$Y$6:$Y$3005,$M50)))</f>
        <v/>
      </c>
      <c r="E50">
        <f>IF($M50="","",IF(INDEX(請求記録!$Z$6:$Z$3005,$M50)="","",INDEX(請求記録!$Z$6:$Z$3005,$M50)))</f>
        <v/>
      </c>
      <c r="F50" s="19">
        <f>IF($M50="","",IF(INDEX(請求記録!$E$6:$E$3005,$M50)="","",INDEX(請求記録!$E$6:$E$3005,$M50)))</f>
        <v/>
      </c>
      <c r="G50" s="19">
        <f>IF($M50="","",IF(INDEX(請求記録!$AE$6:$AE$3005,$M50)="","",INDEX(請求記録!$AE$6:$AE$3005,$M50)))</f>
        <v/>
      </c>
      <c r="H50">
        <f>IF($M50="","",IF(INDEX(請求記録!$AG$6:$AG$3005,$M50)="","",INDEX(請求記録!$AG$6:$AG$3005,$M50)))</f>
        <v/>
      </c>
      <c r="I50" s="20">
        <f>IF($M50="","",IF(INDEX(請求記録!$AH$6:$AH$3005,$M50)="","",INDEX(請求記録!$AH$6:$AH$3005,$M50)))</f>
        <v/>
      </c>
      <c r="J50">
        <f>IF($M50="","",IF(INDEX(請求記録!$AK$6:$AK$3005,$M50)="","",INDEX(請求記録!$AK$6:$AK$3005,$M50)))</f>
        <v/>
      </c>
      <c r="K50" s="20">
        <f>IF($M50="","",IF(INDEX(請求記録!$AJ$6:$AJ$3005,$M50)="","",INDEX(請求記録!$AJ$6:$AJ$3005,$M50)))</f>
        <v/>
      </c>
      <c r="L50">
        <f>IF($M50="","",IF(INDEX(請求記録!$AN$6:$AN$3005,$M50)="","",INDEX(請求記録!$AN$6:$AN$3005,$M50)))</f>
        <v/>
      </c>
      <c r="M50">
        <f>IFERROR(MATCH(45,請求記録!$AO$6:$AO$3005,0),"")</f>
        <v/>
      </c>
    </row>
    <row r="51">
      <c r="A51">
        <f>IF($M51="","",46)</f>
        <v/>
      </c>
      <c r="B51">
        <f>IF($M51="","",IF(INDEX(請求記録!$B$6:$B$3005,$M51)="","",INDEX(請求記録!$B$6:$B$3005,$M51)))</f>
        <v/>
      </c>
      <c r="C51">
        <f>IF($M51="","",IF(INDEX(請求記録!$X$6:$X$3005,$M51)="","",INDEX(請求記録!$X$6:$X$3005,$M51)))</f>
        <v/>
      </c>
      <c r="D51">
        <f>IF($M51="","",IF(INDEX(請求記録!$Y$6:$Y$3005,$M51)="","",INDEX(請求記録!$Y$6:$Y$3005,$M51)))</f>
        <v/>
      </c>
      <c r="E51">
        <f>IF($M51="","",IF(INDEX(請求記録!$Z$6:$Z$3005,$M51)="","",INDEX(請求記録!$Z$6:$Z$3005,$M51)))</f>
        <v/>
      </c>
      <c r="F51" s="19">
        <f>IF($M51="","",IF(INDEX(請求記録!$E$6:$E$3005,$M51)="","",INDEX(請求記録!$E$6:$E$3005,$M51)))</f>
        <v/>
      </c>
      <c r="G51" s="19">
        <f>IF($M51="","",IF(INDEX(請求記録!$AE$6:$AE$3005,$M51)="","",INDEX(請求記録!$AE$6:$AE$3005,$M51)))</f>
        <v/>
      </c>
      <c r="H51">
        <f>IF($M51="","",IF(INDEX(請求記録!$AG$6:$AG$3005,$M51)="","",INDEX(請求記録!$AG$6:$AG$3005,$M51)))</f>
        <v/>
      </c>
      <c r="I51" s="20">
        <f>IF($M51="","",IF(INDEX(請求記録!$AH$6:$AH$3005,$M51)="","",INDEX(請求記録!$AH$6:$AH$3005,$M51)))</f>
        <v/>
      </c>
      <c r="J51">
        <f>IF($M51="","",IF(INDEX(請求記録!$AK$6:$AK$3005,$M51)="","",INDEX(請求記録!$AK$6:$AK$3005,$M51)))</f>
        <v/>
      </c>
      <c r="K51" s="20">
        <f>IF($M51="","",IF(INDEX(請求記録!$AJ$6:$AJ$3005,$M51)="","",INDEX(請求記録!$AJ$6:$AJ$3005,$M51)))</f>
        <v/>
      </c>
      <c r="L51">
        <f>IF($M51="","",IF(INDEX(請求記録!$AN$6:$AN$3005,$M51)="","",INDEX(請求記録!$AN$6:$AN$3005,$M51)))</f>
        <v/>
      </c>
      <c r="M51">
        <f>IFERROR(MATCH(46,請求記録!$AO$6:$AO$3005,0),"")</f>
        <v/>
      </c>
    </row>
    <row r="52">
      <c r="A52">
        <f>IF($M52="","",47)</f>
        <v/>
      </c>
      <c r="B52">
        <f>IF($M52="","",IF(INDEX(請求記録!$B$6:$B$3005,$M52)="","",INDEX(請求記録!$B$6:$B$3005,$M52)))</f>
        <v/>
      </c>
      <c r="C52">
        <f>IF($M52="","",IF(INDEX(請求記録!$X$6:$X$3005,$M52)="","",INDEX(請求記録!$X$6:$X$3005,$M52)))</f>
        <v/>
      </c>
      <c r="D52">
        <f>IF($M52="","",IF(INDEX(請求記録!$Y$6:$Y$3005,$M52)="","",INDEX(請求記録!$Y$6:$Y$3005,$M52)))</f>
        <v/>
      </c>
      <c r="E52">
        <f>IF($M52="","",IF(INDEX(請求記録!$Z$6:$Z$3005,$M52)="","",INDEX(請求記録!$Z$6:$Z$3005,$M52)))</f>
        <v/>
      </c>
      <c r="F52" s="19">
        <f>IF($M52="","",IF(INDEX(請求記録!$E$6:$E$3005,$M52)="","",INDEX(請求記録!$E$6:$E$3005,$M52)))</f>
        <v/>
      </c>
      <c r="G52" s="19">
        <f>IF($M52="","",IF(INDEX(請求記録!$AE$6:$AE$3005,$M52)="","",INDEX(請求記録!$AE$6:$AE$3005,$M52)))</f>
        <v/>
      </c>
      <c r="H52">
        <f>IF($M52="","",IF(INDEX(請求記録!$AG$6:$AG$3005,$M52)="","",INDEX(請求記録!$AG$6:$AG$3005,$M52)))</f>
        <v/>
      </c>
      <c r="I52" s="20">
        <f>IF($M52="","",IF(INDEX(請求記録!$AH$6:$AH$3005,$M52)="","",INDEX(請求記録!$AH$6:$AH$3005,$M52)))</f>
        <v/>
      </c>
      <c r="J52">
        <f>IF($M52="","",IF(INDEX(請求記録!$AK$6:$AK$3005,$M52)="","",INDEX(請求記録!$AK$6:$AK$3005,$M52)))</f>
        <v/>
      </c>
      <c r="K52" s="20">
        <f>IF($M52="","",IF(INDEX(請求記録!$AJ$6:$AJ$3005,$M52)="","",INDEX(請求記録!$AJ$6:$AJ$3005,$M52)))</f>
        <v/>
      </c>
      <c r="L52">
        <f>IF($M52="","",IF(INDEX(請求記録!$AN$6:$AN$3005,$M52)="","",INDEX(請求記録!$AN$6:$AN$3005,$M52)))</f>
        <v/>
      </c>
      <c r="M52">
        <f>IFERROR(MATCH(47,請求記録!$AO$6:$AO$3005,0),"")</f>
        <v/>
      </c>
    </row>
    <row r="53">
      <c r="A53">
        <f>IF($M53="","",48)</f>
        <v/>
      </c>
      <c r="B53">
        <f>IF($M53="","",IF(INDEX(請求記録!$B$6:$B$3005,$M53)="","",INDEX(請求記録!$B$6:$B$3005,$M53)))</f>
        <v/>
      </c>
      <c r="C53">
        <f>IF($M53="","",IF(INDEX(請求記録!$X$6:$X$3005,$M53)="","",INDEX(請求記録!$X$6:$X$3005,$M53)))</f>
        <v/>
      </c>
      <c r="D53">
        <f>IF($M53="","",IF(INDEX(請求記録!$Y$6:$Y$3005,$M53)="","",INDEX(請求記録!$Y$6:$Y$3005,$M53)))</f>
        <v/>
      </c>
      <c r="E53">
        <f>IF($M53="","",IF(INDEX(請求記録!$Z$6:$Z$3005,$M53)="","",INDEX(請求記録!$Z$6:$Z$3005,$M53)))</f>
        <v/>
      </c>
      <c r="F53" s="19">
        <f>IF($M53="","",IF(INDEX(請求記録!$E$6:$E$3005,$M53)="","",INDEX(請求記録!$E$6:$E$3005,$M53)))</f>
        <v/>
      </c>
      <c r="G53" s="19">
        <f>IF($M53="","",IF(INDEX(請求記録!$AE$6:$AE$3005,$M53)="","",INDEX(請求記録!$AE$6:$AE$3005,$M53)))</f>
        <v/>
      </c>
      <c r="H53">
        <f>IF($M53="","",IF(INDEX(請求記録!$AG$6:$AG$3005,$M53)="","",INDEX(請求記録!$AG$6:$AG$3005,$M53)))</f>
        <v/>
      </c>
      <c r="I53" s="20">
        <f>IF($M53="","",IF(INDEX(請求記録!$AH$6:$AH$3005,$M53)="","",INDEX(請求記録!$AH$6:$AH$3005,$M53)))</f>
        <v/>
      </c>
      <c r="J53">
        <f>IF($M53="","",IF(INDEX(請求記録!$AK$6:$AK$3005,$M53)="","",INDEX(請求記録!$AK$6:$AK$3005,$M53)))</f>
        <v/>
      </c>
      <c r="K53" s="20">
        <f>IF($M53="","",IF(INDEX(請求記録!$AJ$6:$AJ$3005,$M53)="","",INDEX(請求記録!$AJ$6:$AJ$3005,$M53)))</f>
        <v/>
      </c>
      <c r="L53">
        <f>IF($M53="","",IF(INDEX(請求記録!$AN$6:$AN$3005,$M53)="","",INDEX(請求記録!$AN$6:$AN$3005,$M53)))</f>
        <v/>
      </c>
      <c r="M53">
        <f>IFERROR(MATCH(48,請求記録!$AO$6:$AO$3005,0),"")</f>
        <v/>
      </c>
    </row>
    <row r="54">
      <c r="A54">
        <f>IF($M54="","",49)</f>
        <v/>
      </c>
      <c r="B54">
        <f>IF($M54="","",IF(INDEX(請求記録!$B$6:$B$3005,$M54)="","",INDEX(請求記録!$B$6:$B$3005,$M54)))</f>
        <v/>
      </c>
      <c r="C54">
        <f>IF($M54="","",IF(INDEX(請求記録!$X$6:$X$3005,$M54)="","",INDEX(請求記録!$X$6:$X$3005,$M54)))</f>
        <v/>
      </c>
      <c r="D54">
        <f>IF($M54="","",IF(INDEX(請求記録!$Y$6:$Y$3005,$M54)="","",INDEX(請求記録!$Y$6:$Y$3005,$M54)))</f>
        <v/>
      </c>
      <c r="E54">
        <f>IF($M54="","",IF(INDEX(請求記録!$Z$6:$Z$3005,$M54)="","",INDEX(請求記録!$Z$6:$Z$3005,$M54)))</f>
        <v/>
      </c>
      <c r="F54" s="19">
        <f>IF($M54="","",IF(INDEX(請求記録!$E$6:$E$3005,$M54)="","",INDEX(請求記録!$E$6:$E$3005,$M54)))</f>
        <v/>
      </c>
      <c r="G54" s="19">
        <f>IF($M54="","",IF(INDEX(請求記録!$AE$6:$AE$3005,$M54)="","",INDEX(請求記録!$AE$6:$AE$3005,$M54)))</f>
        <v/>
      </c>
      <c r="H54">
        <f>IF($M54="","",IF(INDEX(請求記録!$AG$6:$AG$3005,$M54)="","",INDEX(請求記録!$AG$6:$AG$3005,$M54)))</f>
        <v/>
      </c>
      <c r="I54" s="20">
        <f>IF($M54="","",IF(INDEX(請求記録!$AH$6:$AH$3005,$M54)="","",INDEX(請求記録!$AH$6:$AH$3005,$M54)))</f>
        <v/>
      </c>
      <c r="J54">
        <f>IF($M54="","",IF(INDEX(請求記録!$AK$6:$AK$3005,$M54)="","",INDEX(請求記録!$AK$6:$AK$3005,$M54)))</f>
        <v/>
      </c>
      <c r="K54" s="20">
        <f>IF($M54="","",IF(INDEX(請求記録!$AJ$6:$AJ$3005,$M54)="","",INDEX(請求記録!$AJ$6:$AJ$3005,$M54)))</f>
        <v/>
      </c>
      <c r="L54">
        <f>IF($M54="","",IF(INDEX(請求記録!$AN$6:$AN$3005,$M54)="","",INDEX(請求記録!$AN$6:$AN$3005,$M54)))</f>
        <v/>
      </c>
      <c r="M54">
        <f>IFERROR(MATCH(49,請求記録!$AO$6:$AO$3005,0),"")</f>
        <v/>
      </c>
    </row>
    <row r="55">
      <c r="A55">
        <f>IF($M55="","",50)</f>
        <v/>
      </c>
      <c r="B55">
        <f>IF($M55="","",IF(INDEX(請求記録!$B$6:$B$3005,$M55)="","",INDEX(請求記録!$B$6:$B$3005,$M55)))</f>
        <v/>
      </c>
      <c r="C55">
        <f>IF($M55="","",IF(INDEX(請求記録!$X$6:$X$3005,$M55)="","",INDEX(請求記録!$X$6:$X$3005,$M55)))</f>
        <v/>
      </c>
      <c r="D55">
        <f>IF($M55="","",IF(INDEX(請求記録!$Y$6:$Y$3005,$M55)="","",INDEX(請求記録!$Y$6:$Y$3005,$M55)))</f>
        <v/>
      </c>
      <c r="E55">
        <f>IF($M55="","",IF(INDEX(請求記録!$Z$6:$Z$3005,$M55)="","",INDEX(請求記録!$Z$6:$Z$3005,$M55)))</f>
        <v/>
      </c>
      <c r="F55" s="19">
        <f>IF($M55="","",IF(INDEX(請求記録!$E$6:$E$3005,$M55)="","",INDEX(請求記録!$E$6:$E$3005,$M55)))</f>
        <v/>
      </c>
      <c r="G55" s="19">
        <f>IF($M55="","",IF(INDEX(請求記録!$AE$6:$AE$3005,$M55)="","",INDEX(請求記録!$AE$6:$AE$3005,$M55)))</f>
        <v/>
      </c>
      <c r="H55">
        <f>IF($M55="","",IF(INDEX(請求記録!$AG$6:$AG$3005,$M55)="","",INDEX(請求記録!$AG$6:$AG$3005,$M55)))</f>
        <v/>
      </c>
      <c r="I55" s="20">
        <f>IF($M55="","",IF(INDEX(請求記録!$AH$6:$AH$3005,$M55)="","",INDEX(請求記録!$AH$6:$AH$3005,$M55)))</f>
        <v/>
      </c>
      <c r="J55">
        <f>IF($M55="","",IF(INDEX(請求記録!$AK$6:$AK$3005,$M55)="","",INDEX(請求記録!$AK$6:$AK$3005,$M55)))</f>
        <v/>
      </c>
      <c r="K55" s="20">
        <f>IF($M55="","",IF(INDEX(請求記録!$AJ$6:$AJ$3005,$M55)="","",INDEX(請求記録!$AJ$6:$AJ$3005,$M55)))</f>
        <v/>
      </c>
      <c r="L55">
        <f>IF($M55="","",IF(INDEX(請求記録!$AN$6:$AN$3005,$M55)="","",INDEX(請求記録!$AN$6:$AN$3005,$M55)))</f>
        <v/>
      </c>
      <c r="M55">
        <f>IFERROR(MATCH(50,請求記録!$AO$6:$AO$3005,0),"")</f>
        <v/>
      </c>
    </row>
    <row r="56">
      <c r="A56">
        <f>IF($M56="","",51)</f>
        <v/>
      </c>
      <c r="B56">
        <f>IF($M56="","",IF(INDEX(請求記録!$B$6:$B$3005,$M56)="","",INDEX(請求記録!$B$6:$B$3005,$M56)))</f>
        <v/>
      </c>
      <c r="C56">
        <f>IF($M56="","",IF(INDEX(請求記録!$X$6:$X$3005,$M56)="","",INDEX(請求記録!$X$6:$X$3005,$M56)))</f>
        <v/>
      </c>
      <c r="D56">
        <f>IF($M56="","",IF(INDEX(請求記録!$Y$6:$Y$3005,$M56)="","",INDEX(請求記録!$Y$6:$Y$3005,$M56)))</f>
        <v/>
      </c>
      <c r="E56">
        <f>IF($M56="","",IF(INDEX(請求記録!$Z$6:$Z$3005,$M56)="","",INDEX(請求記録!$Z$6:$Z$3005,$M56)))</f>
        <v/>
      </c>
      <c r="F56" s="19">
        <f>IF($M56="","",IF(INDEX(請求記録!$E$6:$E$3005,$M56)="","",INDEX(請求記録!$E$6:$E$3005,$M56)))</f>
        <v/>
      </c>
      <c r="G56" s="19">
        <f>IF($M56="","",IF(INDEX(請求記録!$AE$6:$AE$3005,$M56)="","",INDEX(請求記録!$AE$6:$AE$3005,$M56)))</f>
        <v/>
      </c>
      <c r="H56">
        <f>IF($M56="","",IF(INDEX(請求記録!$AG$6:$AG$3005,$M56)="","",INDEX(請求記録!$AG$6:$AG$3005,$M56)))</f>
        <v/>
      </c>
      <c r="I56" s="20">
        <f>IF($M56="","",IF(INDEX(請求記録!$AH$6:$AH$3005,$M56)="","",INDEX(請求記録!$AH$6:$AH$3005,$M56)))</f>
        <v/>
      </c>
      <c r="J56">
        <f>IF($M56="","",IF(INDEX(請求記録!$AK$6:$AK$3005,$M56)="","",INDEX(請求記録!$AK$6:$AK$3005,$M56)))</f>
        <v/>
      </c>
      <c r="K56" s="20">
        <f>IF($M56="","",IF(INDEX(請求記録!$AJ$6:$AJ$3005,$M56)="","",INDEX(請求記録!$AJ$6:$AJ$3005,$M56)))</f>
        <v/>
      </c>
      <c r="L56">
        <f>IF($M56="","",IF(INDEX(請求記録!$AN$6:$AN$3005,$M56)="","",INDEX(請求記録!$AN$6:$AN$3005,$M56)))</f>
        <v/>
      </c>
      <c r="M56">
        <f>IFERROR(MATCH(51,請求記録!$AO$6:$AO$3005,0),"")</f>
        <v/>
      </c>
    </row>
    <row r="57">
      <c r="A57">
        <f>IF($M57="","",52)</f>
        <v/>
      </c>
      <c r="B57">
        <f>IF($M57="","",IF(INDEX(請求記録!$B$6:$B$3005,$M57)="","",INDEX(請求記録!$B$6:$B$3005,$M57)))</f>
        <v/>
      </c>
      <c r="C57">
        <f>IF($M57="","",IF(INDEX(請求記録!$X$6:$X$3005,$M57)="","",INDEX(請求記録!$X$6:$X$3005,$M57)))</f>
        <v/>
      </c>
      <c r="D57">
        <f>IF($M57="","",IF(INDEX(請求記録!$Y$6:$Y$3005,$M57)="","",INDEX(請求記録!$Y$6:$Y$3005,$M57)))</f>
        <v/>
      </c>
      <c r="E57">
        <f>IF($M57="","",IF(INDEX(請求記録!$Z$6:$Z$3005,$M57)="","",INDEX(請求記録!$Z$6:$Z$3005,$M57)))</f>
        <v/>
      </c>
      <c r="F57" s="19">
        <f>IF($M57="","",IF(INDEX(請求記録!$E$6:$E$3005,$M57)="","",INDEX(請求記録!$E$6:$E$3005,$M57)))</f>
        <v/>
      </c>
      <c r="G57" s="19">
        <f>IF($M57="","",IF(INDEX(請求記録!$AE$6:$AE$3005,$M57)="","",INDEX(請求記録!$AE$6:$AE$3005,$M57)))</f>
        <v/>
      </c>
      <c r="H57">
        <f>IF($M57="","",IF(INDEX(請求記録!$AG$6:$AG$3005,$M57)="","",INDEX(請求記録!$AG$6:$AG$3005,$M57)))</f>
        <v/>
      </c>
      <c r="I57" s="20">
        <f>IF($M57="","",IF(INDEX(請求記録!$AH$6:$AH$3005,$M57)="","",INDEX(請求記録!$AH$6:$AH$3005,$M57)))</f>
        <v/>
      </c>
      <c r="J57">
        <f>IF($M57="","",IF(INDEX(請求記録!$AK$6:$AK$3005,$M57)="","",INDEX(請求記録!$AK$6:$AK$3005,$M57)))</f>
        <v/>
      </c>
      <c r="K57" s="20">
        <f>IF($M57="","",IF(INDEX(請求記録!$AJ$6:$AJ$3005,$M57)="","",INDEX(請求記録!$AJ$6:$AJ$3005,$M57)))</f>
        <v/>
      </c>
      <c r="L57">
        <f>IF($M57="","",IF(INDEX(請求記録!$AN$6:$AN$3005,$M57)="","",INDEX(請求記録!$AN$6:$AN$3005,$M57)))</f>
        <v/>
      </c>
      <c r="M57">
        <f>IFERROR(MATCH(52,請求記録!$AO$6:$AO$3005,0),"")</f>
        <v/>
      </c>
    </row>
    <row r="58">
      <c r="A58">
        <f>IF($M58="","",53)</f>
        <v/>
      </c>
      <c r="B58">
        <f>IF($M58="","",IF(INDEX(請求記録!$B$6:$B$3005,$M58)="","",INDEX(請求記録!$B$6:$B$3005,$M58)))</f>
        <v/>
      </c>
      <c r="C58">
        <f>IF($M58="","",IF(INDEX(請求記録!$X$6:$X$3005,$M58)="","",INDEX(請求記録!$X$6:$X$3005,$M58)))</f>
        <v/>
      </c>
      <c r="D58">
        <f>IF($M58="","",IF(INDEX(請求記録!$Y$6:$Y$3005,$M58)="","",INDEX(請求記録!$Y$6:$Y$3005,$M58)))</f>
        <v/>
      </c>
      <c r="E58">
        <f>IF($M58="","",IF(INDEX(請求記録!$Z$6:$Z$3005,$M58)="","",INDEX(請求記録!$Z$6:$Z$3005,$M58)))</f>
        <v/>
      </c>
      <c r="F58" s="19">
        <f>IF($M58="","",IF(INDEX(請求記録!$E$6:$E$3005,$M58)="","",INDEX(請求記録!$E$6:$E$3005,$M58)))</f>
        <v/>
      </c>
      <c r="G58" s="19">
        <f>IF($M58="","",IF(INDEX(請求記録!$AE$6:$AE$3005,$M58)="","",INDEX(請求記録!$AE$6:$AE$3005,$M58)))</f>
        <v/>
      </c>
      <c r="H58">
        <f>IF($M58="","",IF(INDEX(請求記録!$AG$6:$AG$3005,$M58)="","",INDEX(請求記録!$AG$6:$AG$3005,$M58)))</f>
        <v/>
      </c>
      <c r="I58" s="20">
        <f>IF($M58="","",IF(INDEX(請求記録!$AH$6:$AH$3005,$M58)="","",INDEX(請求記録!$AH$6:$AH$3005,$M58)))</f>
        <v/>
      </c>
      <c r="J58">
        <f>IF($M58="","",IF(INDEX(請求記録!$AK$6:$AK$3005,$M58)="","",INDEX(請求記録!$AK$6:$AK$3005,$M58)))</f>
        <v/>
      </c>
      <c r="K58" s="20">
        <f>IF($M58="","",IF(INDEX(請求記録!$AJ$6:$AJ$3005,$M58)="","",INDEX(請求記録!$AJ$6:$AJ$3005,$M58)))</f>
        <v/>
      </c>
      <c r="L58">
        <f>IF($M58="","",IF(INDEX(請求記録!$AN$6:$AN$3005,$M58)="","",INDEX(請求記録!$AN$6:$AN$3005,$M58)))</f>
        <v/>
      </c>
      <c r="M58">
        <f>IFERROR(MATCH(53,請求記録!$AO$6:$AO$3005,0),"")</f>
        <v/>
      </c>
    </row>
    <row r="59">
      <c r="A59">
        <f>IF($M59="","",54)</f>
        <v/>
      </c>
      <c r="B59">
        <f>IF($M59="","",IF(INDEX(請求記録!$B$6:$B$3005,$M59)="","",INDEX(請求記録!$B$6:$B$3005,$M59)))</f>
        <v/>
      </c>
      <c r="C59">
        <f>IF($M59="","",IF(INDEX(請求記録!$X$6:$X$3005,$M59)="","",INDEX(請求記録!$X$6:$X$3005,$M59)))</f>
        <v/>
      </c>
      <c r="D59">
        <f>IF($M59="","",IF(INDEX(請求記録!$Y$6:$Y$3005,$M59)="","",INDEX(請求記録!$Y$6:$Y$3005,$M59)))</f>
        <v/>
      </c>
      <c r="E59">
        <f>IF($M59="","",IF(INDEX(請求記録!$Z$6:$Z$3005,$M59)="","",INDEX(請求記録!$Z$6:$Z$3005,$M59)))</f>
        <v/>
      </c>
      <c r="F59" s="19">
        <f>IF($M59="","",IF(INDEX(請求記録!$E$6:$E$3005,$M59)="","",INDEX(請求記録!$E$6:$E$3005,$M59)))</f>
        <v/>
      </c>
      <c r="G59" s="19">
        <f>IF($M59="","",IF(INDEX(請求記録!$AE$6:$AE$3005,$M59)="","",INDEX(請求記録!$AE$6:$AE$3005,$M59)))</f>
        <v/>
      </c>
      <c r="H59">
        <f>IF($M59="","",IF(INDEX(請求記録!$AG$6:$AG$3005,$M59)="","",INDEX(請求記録!$AG$6:$AG$3005,$M59)))</f>
        <v/>
      </c>
      <c r="I59" s="20">
        <f>IF($M59="","",IF(INDEX(請求記録!$AH$6:$AH$3005,$M59)="","",INDEX(請求記録!$AH$6:$AH$3005,$M59)))</f>
        <v/>
      </c>
      <c r="J59">
        <f>IF($M59="","",IF(INDEX(請求記録!$AK$6:$AK$3005,$M59)="","",INDEX(請求記録!$AK$6:$AK$3005,$M59)))</f>
        <v/>
      </c>
      <c r="K59" s="20">
        <f>IF($M59="","",IF(INDEX(請求記録!$AJ$6:$AJ$3005,$M59)="","",INDEX(請求記録!$AJ$6:$AJ$3005,$M59)))</f>
        <v/>
      </c>
      <c r="L59">
        <f>IF($M59="","",IF(INDEX(請求記録!$AN$6:$AN$3005,$M59)="","",INDEX(請求記録!$AN$6:$AN$3005,$M59)))</f>
        <v/>
      </c>
      <c r="M59">
        <f>IFERROR(MATCH(54,請求記録!$AO$6:$AO$3005,0),"")</f>
        <v/>
      </c>
    </row>
    <row r="60">
      <c r="A60">
        <f>IF($M60="","",55)</f>
        <v/>
      </c>
      <c r="B60">
        <f>IF($M60="","",IF(INDEX(請求記録!$B$6:$B$3005,$M60)="","",INDEX(請求記録!$B$6:$B$3005,$M60)))</f>
        <v/>
      </c>
      <c r="C60">
        <f>IF($M60="","",IF(INDEX(請求記録!$X$6:$X$3005,$M60)="","",INDEX(請求記録!$X$6:$X$3005,$M60)))</f>
        <v/>
      </c>
      <c r="D60">
        <f>IF($M60="","",IF(INDEX(請求記録!$Y$6:$Y$3005,$M60)="","",INDEX(請求記録!$Y$6:$Y$3005,$M60)))</f>
        <v/>
      </c>
      <c r="E60">
        <f>IF($M60="","",IF(INDEX(請求記録!$Z$6:$Z$3005,$M60)="","",INDEX(請求記録!$Z$6:$Z$3005,$M60)))</f>
        <v/>
      </c>
      <c r="F60" s="19">
        <f>IF($M60="","",IF(INDEX(請求記録!$E$6:$E$3005,$M60)="","",INDEX(請求記録!$E$6:$E$3005,$M60)))</f>
        <v/>
      </c>
      <c r="G60" s="19">
        <f>IF($M60="","",IF(INDEX(請求記録!$AE$6:$AE$3005,$M60)="","",INDEX(請求記録!$AE$6:$AE$3005,$M60)))</f>
        <v/>
      </c>
      <c r="H60">
        <f>IF($M60="","",IF(INDEX(請求記録!$AG$6:$AG$3005,$M60)="","",INDEX(請求記録!$AG$6:$AG$3005,$M60)))</f>
        <v/>
      </c>
      <c r="I60" s="20">
        <f>IF($M60="","",IF(INDEX(請求記録!$AH$6:$AH$3005,$M60)="","",INDEX(請求記録!$AH$6:$AH$3005,$M60)))</f>
        <v/>
      </c>
      <c r="J60">
        <f>IF($M60="","",IF(INDEX(請求記録!$AK$6:$AK$3005,$M60)="","",INDEX(請求記録!$AK$6:$AK$3005,$M60)))</f>
        <v/>
      </c>
      <c r="K60" s="20">
        <f>IF($M60="","",IF(INDEX(請求記録!$AJ$6:$AJ$3005,$M60)="","",INDEX(請求記録!$AJ$6:$AJ$3005,$M60)))</f>
        <v/>
      </c>
      <c r="L60">
        <f>IF($M60="","",IF(INDEX(請求記録!$AN$6:$AN$3005,$M60)="","",INDEX(請求記録!$AN$6:$AN$3005,$M60)))</f>
        <v/>
      </c>
      <c r="M60">
        <f>IFERROR(MATCH(55,請求記録!$AO$6:$AO$3005,0),"")</f>
        <v/>
      </c>
    </row>
    <row r="61">
      <c r="A61">
        <f>IF($M61="","",56)</f>
        <v/>
      </c>
      <c r="B61">
        <f>IF($M61="","",IF(INDEX(請求記録!$B$6:$B$3005,$M61)="","",INDEX(請求記録!$B$6:$B$3005,$M61)))</f>
        <v/>
      </c>
      <c r="C61">
        <f>IF($M61="","",IF(INDEX(請求記録!$X$6:$X$3005,$M61)="","",INDEX(請求記録!$X$6:$X$3005,$M61)))</f>
        <v/>
      </c>
      <c r="D61">
        <f>IF($M61="","",IF(INDEX(請求記録!$Y$6:$Y$3005,$M61)="","",INDEX(請求記録!$Y$6:$Y$3005,$M61)))</f>
        <v/>
      </c>
      <c r="E61">
        <f>IF($M61="","",IF(INDEX(請求記録!$Z$6:$Z$3005,$M61)="","",INDEX(請求記録!$Z$6:$Z$3005,$M61)))</f>
        <v/>
      </c>
      <c r="F61" s="19">
        <f>IF($M61="","",IF(INDEX(請求記録!$E$6:$E$3005,$M61)="","",INDEX(請求記録!$E$6:$E$3005,$M61)))</f>
        <v/>
      </c>
      <c r="G61" s="19">
        <f>IF($M61="","",IF(INDEX(請求記録!$AE$6:$AE$3005,$M61)="","",INDEX(請求記録!$AE$6:$AE$3005,$M61)))</f>
        <v/>
      </c>
      <c r="H61">
        <f>IF($M61="","",IF(INDEX(請求記録!$AG$6:$AG$3005,$M61)="","",INDEX(請求記録!$AG$6:$AG$3005,$M61)))</f>
        <v/>
      </c>
      <c r="I61" s="20">
        <f>IF($M61="","",IF(INDEX(請求記録!$AH$6:$AH$3005,$M61)="","",INDEX(請求記録!$AH$6:$AH$3005,$M61)))</f>
        <v/>
      </c>
      <c r="J61">
        <f>IF($M61="","",IF(INDEX(請求記録!$AK$6:$AK$3005,$M61)="","",INDEX(請求記録!$AK$6:$AK$3005,$M61)))</f>
        <v/>
      </c>
      <c r="K61" s="20">
        <f>IF($M61="","",IF(INDEX(請求記録!$AJ$6:$AJ$3005,$M61)="","",INDEX(請求記録!$AJ$6:$AJ$3005,$M61)))</f>
        <v/>
      </c>
      <c r="L61">
        <f>IF($M61="","",IF(INDEX(請求記録!$AN$6:$AN$3005,$M61)="","",INDEX(請求記録!$AN$6:$AN$3005,$M61)))</f>
        <v/>
      </c>
      <c r="M61">
        <f>IFERROR(MATCH(56,請求記録!$AO$6:$AO$3005,0),"")</f>
        <v/>
      </c>
    </row>
    <row r="62">
      <c r="A62">
        <f>IF($M62="","",57)</f>
        <v/>
      </c>
      <c r="B62">
        <f>IF($M62="","",IF(INDEX(請求記録!$B$6:$B$3005,$M62)="","",INDEX(請求記録!$B$6:$B$3005,$M62)))</f>
        <v/>
      </c>
      <c r="C62">
        <f>IF($M62="","",IF(INDEX(請求記録!$X$6:$X$3005,$M62)="","",INDEX(請求記録!$X$6:$X$3005,$M62)))</f>
        <v/>
      </c>
      <c r="D62">
        <f>IF($M62="","",IF(INDEX(請求記録!$Y$6:$Y$3005,$M62)="","",INDEX(請求記録!$Y$6:$Y$3005,$M62)))</f>
        <v/>
      </c>
      <c r="E62">
        <f>IF($M62="","",IF(INDEX(請求記録!$Z$6:$Z$3005,$M62)="","",INDEX(請求記録!$Z$6:$Z$3005,$M62)))</f>
        <v/>
      </c>
      <c r="F62" s="19">
        <f>IF($M62="","",IF(INDEX(請求記録!$E$6:$E$3005,$M62)="","",INDEX(請求記録!$E$6:$E$3005,$M62)))</f>
        <v/>
      </c>
      <c r="G62" s="19">
        <f>IF($M62="","",IF(INDEX(請求記録!$AE$6:$AE$3005,$M62)="","",INDEX(請求記録!$AE$6:$AE$3005,$M62)))</f>
        <v/>
      </c>
      <c r="H62">
        <f>IF($M62="","",IF(INDEX(請求記録!$AG$6:$AG$3005,$M62)="","",INDEX(請求記録!$AG$6:$AG$3005,$M62)))</f>
        <v/>
      </c>
      <c r="I62" s="20">
        <f>IF($M62="","",IF(INDEX(請求記録!$AH$6:$AH$3005,$M62)="","",INDEX(請求記録!$AH$6:$AH$3005,$M62)))</f>
        <v/>
      </c>
      <c r="J62">
        <f>IF($M62="","",IF(INDEX(請求記録!$AK$6:$AK$3005,$M62)="","",INDEX(請求記録!$AK$6:$AK$3005,$M62)))</f>
        <v/>
      </c>
      <c r="K62" s="20">
        <f>IF($M62="","",IF(INDEX(請求記録!$AJ$6:$AJ$3005,$M62)="","",INDEX(請求記録!$AJ$6:$AJ$3005,$M62)))</f>
        <v/>
      </c>
      <c r="L62">
        <f>IF($M62="","",IF(INDEX(請求記録!$AN$6:$AN$3005,$M62)="","",INDEX(請求記録!$AN$6:$AN$3005,$M62)))</f>
        <v/>
      </c>
      <c r="M62">
        <f>IFERROR(MATCH(57,請求記録!$AO$6:$AO$3005,0),"")</f>
        <v/>
      </c>
    </row>
    <row r="63">
      <c r="A63">
        <f>IF($M63="","",58)</f>
        <v/>
      </c>
      <c r="B63">
        <f>IF($M63="","",IF(INDEX(請求記録!$B$6:$B$3005,$M63)="","",INDEX(請求記録!$B$6:$B$3005,$M63)))</f>
        <v/>
      </c>
      <c r="C63">
        <f>IF($M63="","",IF(INDEX(請求記録!$X$6:$X$3005,$M63)="","",INDEX(請求記録!$X$6:$X$3005,$M63)))</f>
        <v/>
      </c>
      <c r="D63">
        <f>IF($M63="","",IF(INDEX(請求記録!$Y$6:$Y$3005,$M63)="","",INDEX(請求記録!$Y$6:$Y$3005,$M63)))</f>
        <v/>
      </c>
      <c r="E63">
        <f>IF($M63="","",IF(INDEX(請求記録!$Z$6:$Z$3005,$M63)="","",INDEX(請求記録!$Z$6:$Z$3005,$M63)))</f>
        <v/>
      </c>
      <c r="F63" s="19">
        <f>IF($M63="","",IF(INDEX(請求記録!$E$6:$E$3005,$M63)="","",INDEX(請求記録!$E$6:$E$3005,$M63)))</f>
        <v/>
      </c>
      <c r="G63" s="19">
        <f>IF($M63="","",IF(INDEX(請求記録!$AE$6:$AE$3005,$M63)="","",INDEX(請求記録!$AE$6:$AE$3005,$M63)))</f>
        <v/>
      </c>
      <c r="H63">
        <f>IF($M63="","",IF(INDEX(請求記録!$AG$6:$AG$3005,$M63)="","",INDEX(請求記録!$AG$6:$AG$3005,$M63)))</f>
        <v/>
      </c>
      <c r="I63" s="20">
        <f>IF($M63="","",IF(INDEX(請求記録!$AH$6:$AH$3005,$M63)="","",INDEX(請求記録!$AH$6:$AH$3005,$M63)))</f>
        <v/>
      </c>
      <c r="J63">
        <f>IF($M63="","",IF(INDEX(請求記録!$AK$6:$AK$3005,$M63)="","",INDEX(請求記録!$AK$6:$AK$3005,$M63)))</f>
        <v/>
      </c>
      <c r="K63" s="20">
        <f>IF($M63="","",IF(INDEX(請求記録!$AJ$6:$AJ$3005,$M63)="","",INDEX(請求記録!$AJ$6:$AJ$3005,$M63)))</f>
        <v/>
      </c>
      <c r="L63">
        <f>IF($M63="","",IF(INDEX(請求記録!$AN$6:$AN$3005,$M63)="","",INDEX(請求記録!$AN$6:$AN$3005,$M63)))</f>
        <v/>
      </c>
      <c r="M63">
        <f>IFERROR(MATCH(58,請求記録!$AO$6:$AO$3005,0),"")</f>
        <v/>
      </c>
    </row>
    <row r="64">
      <c r="A64">
        <f>IF($M64="","",59)</f>
        <v/>
      </c>
      <c r="B64">
        <f>IF($M64="","",IF(INDEX(請求記録!$B$6:$B$3005,$M64)="","",INDEX(請求記録!$B$6:$B$3005,$M64)))</f>
        <v/>
      </c>
      <c r="C64">
        <f>IF($M64="","",IF(INDEX(請求記録!$X$6:$X$3005,$M64)="","",INDEX(請求記録!$X$6:$X$3005,$M64)))</f>
        <v/>
      </c>
      <c r="D64">
        <f>IF($M64="","",IF(INDEX(請求記録!$Y$6:$Y$3005,$M64)="","",INDEX(請求記録!$Y$6:$Y$3005,$M64)))</f>
        <v/>
      </c>
      <c r="E64">
        <f>IF($M64="","",IF(INDEX(請求記録!$Z$6:$Z$3005,$M64)="","",INDEX(請求記録!$Z$6:$Z$3005,$M64)))</f>
        <v/>
      </c>
      <c r="F64" s="19">
        <f>IF($M64="","",IF(INDEX(請求記録!$E$6:$E$3005,$M64)="","",INDEX(請求記録!$E$6:$E$3005,$M64)))</f>
        <v/>
      </c>
      <c r="G64" s="19">
        <f>IF($M64="","",IF(INDEX(請求記録!$AE$6:$AE$3005,$M64)="","",INDEX(請求記録!$AE$6:$AE$3005,$M64)))</f>
        <v/>
      </c>
      <c r="H64">
        <f>IF($M64="","",IF(INDEX(請求記録!$AG$6:$AG$3005,$M64)="","",INDEX(請求記録!$AG$6:$AG$3005,$M64)))</f>
        <v/>
      </c>
      <c r="I64" s="20">
        <f>IF($M64="","",IF(INDEX(請求記録!$AH$6:$AH$3005,$M64)="","",INDEX(請求記録!$AH$6:$AH$3005,$M64)))</f>
        <v/>
      </c>
      <c r="J64">
        <f>IF($M64="","",IF(INDEX(請求記録!$AK$6:$AK$3005,$M64)="","",INDEX(請求記録!$AK$6:$AK$3005,$M64)))</f>
        <v/>
      </c>
      <c r="K64" s="20">
        <f>IF($M64="","",IF(INDEX(請求記録!$AJ$6:$AJ$3005,$M64)="","",INDEX(請求記録!$AJ$6:$AJ$3005,$M64)))</f>
        <v/>
      </c>
      <c r="L64">
        <f>IF($M64="","",IF(INDEX(請求記録!$AN$6:$AN$3005,$M64)="","",INDEX(請求記録!$AN$6:$AN$3005,$M64)))</f>
        <v/>
      </c>
      <c r="M64">
        <f>IFERROR(MATCH(59,請求記録!$AO$6:$AO$3005,0),"")</f>
        <v/>
      </c>
    </row>
    <row r="65">
      <c r="A65">
        <f>IF($M65="","",60)</f>
        <v/>
      </c>
      <c r="B65">
        <f>IF($M65="","",IF(INDEX(請求記録!$B$6:$B$3005,$M65)="","",INDEX(請求記録!$B$6:$B$3005,$M65)))</f>
        <v/>
      </c>
      <c r="C65">
        <f>IF($M65="","",IF(INDEX(請求記録!$X$6:$X$3005,$M65)="","",INDEX(請求記録!$X$6:$X$3005,$M65)))</f>
        <v/>
      </c>
      <c r="D65">
        <f>IF($M65="","",IF(INDEX(請求記録!$Y$6:$Y$3005,$M65)="","",INDEX(請求記録!$Y$6:$Y$3005,$M65)))</f>
        <v/>
      </c>
      <c r="E65">
        <f>IF($M65="","",IF(INDEX(請求記録!$Z$6:$Z$3005,$M65)="","",INDEX(請求記録!$Z$6:$Z$3005,$M65)))</f>
        <v/>
      </c>
      <c r="F65" s="19">
        <f>IF($M65="","",IF(INDEX(請求記録!$E$6:$E$3005,$M65)="","",INDEX(請求記録!$E$6:$E$3005,$M65)))</f>
        <v/>
      </c>
      <c r="G65" s="19">
        <f>IF($M65="","",IF(INDEX(請求記録!$AE$6:$AE$3005,$M65)="","",INDEX(請求記録!$AE$6:$AE$3005,$M65)))</f>
        <v/>
      </c>
      <c r="H65">
        <f>IF($M65="","",IF(INDEX(請求記録!$AG$6:$AG$3005,$M65)="","",INDEX(請求記録!$AG$6:$AG$3005,$M65)))</f>
        <v/>
      </c>
      <c r="I65" s="20">
        <f>IF($M65="","",IF(INDEX(請求記録!$AH$6:$AH$3005,$M65)="","",INDEX(請求記録!$AH$6:$AH$3005,$M65)))</f>
        <v/>
      </c>
      <c r="J65">
        <f>IF($M65="","",IF(INDEX(請求記録!$AK$6:$AK$3005,$M65)="","",INDEX(請求記録!$AK$6:$AK$3005,$M65)))</f>
        <v/>
      </c>
      <c r="K65" s="20">
        <f>IF($M65="","",IF(INDEX(請求記録!$AJ$6:$AJ$3005,$M65)="","",INDEX(請求記録!$AJ$6:$AJ$3005,$M65)))</f>
        <v/>
      </c>
      <c r="L65">
        <f>IF($M65="","",IF(INDEX(請求記録!$AN$6:$AN$3005,$M65)="","",INDEX(請求記録!$AN$6:$AN$3005,$M65)))</f>
        <v/>
      </c>
      <c r="M65">
        <f>IFERROR(MATCH(60,請求記録!$AO$6:$AO$3005,0),"")</f>
        <v/>
      </c>
    </row>
    <row r="66">
      <c r="A66">
        <f>IF($M66="","",61)</f>
        <v/>
      </c>
      <c r="B66">
        <f>IF($M66="","",IF(INDEX(請求記録!$B$6:$B$3005,$M66)="","",INDEX(請求記録!$B$6:$B$3005,$M66)))</f>
        <v/>
      </c>
      <c r="C66">
        <f>IF($M66="","",IF(INDEX(請求記録!$X$6:$X$3005,$M66)="","",INDEX(請求記録!$X$6:$X$3005,$M66)))</f>
        <v/>
      </c>
      <c r="D66">
        <f>IF($M66="","",IF(INDEX(請求記録!$Y$6:$Y$3005,$M66)="","",INDEX(請求記録!$Y$6:$Y$3005,$M66)))</f>
        <v/>
      </c>
      <c r="E66">
        <f>IF($M66="","",IF(INDEX(請求記録!$Z$6:$Z$3005,$M66)="","",INDEX(請求記録!$Z$6:$Z$3005,$M66)))</f>
        <v/>
      </c>
      <c r="F66" s="19">
        <f>IF($M66="","",IF(INDEX(請求記録!$E$6:$E$3005,$M66)="","",INDEX(請求記録!$E$6:$E$3005,$M66)))</f>
        <v/>
      </c>
      <c r="G66" s="19">
        <f>IF($M66="","",IF(INDEX(請求記録!$AE$6:$AE$3005,$M66)="","",INDEX(請求記録!$AE$6:$AE$3005,$M66)))</f>
        <v/>
      </c>
      <c r="H66">
        <f>IF($M66="","",IF(INDEX(請求記録!$AG$6:$AG$3005,$M66)="","",INDEX(請求記録!$AG$6:$AG$3005,$M66)))</f>
        <v/>
      </c>
      <c r="I66" s="20">
        <f>IF($M66="","",IF(INDEX(請求記録!$AH$6:$AH$3005,$M66)="","",INDEX(請求記録!$AH$6:$AH$3005,$M66)))</f>
        <v/>
      </c>
      <c r="J66">
        <f>IF($M66="","",IF(INDEX(請求記録!$AK$6:$AK$3005,$M66)="","",INDEX(請求記録!$AK$6:$AK$3005,$M66)))</f>
        <v/>
      </c>
      <c r="K66" s="20">
        <f>IF($M66="","",IF(INDEX(請求記録!$AJ$6:$AJ$3005,$M66)="","",INDEX(請求記録!$AJ$6:$AJ$3005,$M66)))</f>
        <v/>
      </c>
      <c r="L66">
        <f>IF($M66="","",IF(INDEX(請求記録!$AN$6:$AN$3005,$M66)="","",INDEX(請求記録!$AN$6:$AN$3005,$M66)))</f>
        <v/>
      </c>
      <c r="M66">
        <f>IFERROR(MATCH(61,請求記録!$AO$6:$AO$3005,0),"")</f>
        <v/>
      </c>
    </row>
    <row r="67">
      <c r="A67">
        <f>IF($M67="","",62)</f>
        <v/>
      </c>
      <c r="B67">
        <f>IF($M67="","",IF(INDEX(請求記録!$B$6:$B$3005,$M67)="","",INDEX(請求記録!$B$6:$B$3005,$M67)))</f>
        <v/>
      </c>
      <c r="C67">
        <f>IF($M67="","",IF(INDEX(請求記録!$X$6:$X$3005,$M67)="","",INDEX(請求記録!$X$6:$X$3005,$M67)))</f>
        <v/>
      </c>
      <c r="D67">
        <f>IF($M67="","",IF(INDEX(請求記録!$Y$6:$Y$3005,$M67)="","",INDEX(請求記録!$Y$6:$Y$3005,$M67)))</f>
        <v/>
      </c>
      <c r="E67">
        <f>IF($M67="","",IF(INDEX(請求記録!$Z$6:$Z$3005,$M67)="","",INDEX(請求記録!$Z$6:$Z$3005,$M67)))</f>
        <v/>
      </c>
      <c r="F67" s="19">
        <f>IF($M67="","",IF(INDEX(請求記録!$E$6:$E$3005,$M67)="","",INDEX(請求記録!$E$6:$E$3005,$M67)))</f>
        <v/>
      </c>
      <c r="G67" s="19">
        <f>IF($M67="","",IF(INDEX(請求記録!$AE$6:$AE$3005,$M67)="","",INDEX(請求記録!$AE$6:$AE$3005,$M67)))</f>
        <v/>
      </c>
      <c r="H67">
        <f>IF($M67="","",IF(INDEX(請求記録!$AG$6:$AG$3005,$M67)="","",INDEX(請求記録!$AG$6:$AG$3005,$M67)))</f>
        <v/>
      </c>
      <c r="I67" s="20">
        <f>IF($M67="","",IF(INDEX(請求記録!$AH$6:$AH$3005,$M67)="","",INDEX(請求記録!$AH$6:$AH$3005,$M67)))</f>
        <v/>
      </c>
      <c r="J67">
        <f>IF($M67="","",IF(INDEX(請求記録!$AK$6:$AK$3005,$M67)="","",INDEX(請求記録!$AK$6:$AK$3005,$M67)))</f>
        <v/>
      </c>
      <c r="K67" s="20">
        <f>IF($M67="","",IF(INDEX(請求記録!$AJ$6:$AJ$3005,$M67)="","",INDEX(請求記録!$AJ$6:$AJ$3005,$M67)))</f>
        <v/>
      </c>
      <c r="L67">
        <f>IF($M67="","",IF(INDEX(請求記録!$AN$6:$AN$3005,$M67)="","",INDEX(請求記録!$AN$6:$AN$3005,$M67)))</f>
        <v/>
      </c>
      <c r="M67">
        <f>IFERROR(MATCH(62,請求記録!$AO$6:$AO$3005,0),"")</f>
        <v/>
      </c>
    </row>
    <row r="68">
      <c r="A68">
        <f>IF($M68="","",63)</f>
        <v/>
      </c>
      <c r="B68">
        <f>IF($M68="","",IF(INDEX(請求記録!$B$6:$B$3005,$M68)="","",INDEX(請求記録!$B$6:$B$3005,$M68)))</f>
        <v/>
      </c>
      <c r="C68">
        <f>IF($M68="","",IF(INDEX(請求記録!$X$6:$X$3005,$M68)="","",INDEX(請求記録!$X$6:$X$3005,$M68)))</f>
        <v/>
      </c>
      <c r="D68">
        <f>IF($M68="","",IF(INDEX(請求記録!$Y$6:$Y$3005,$M68)="","",INDEX(請求記録!$Y$6:$Y$3005,$M68)))</f>
        <v/>
      </c>
      <c r="E68">
        <f>IF($M68="","",IF(INDEX(請求記録!$Z$6:$Z$3005,$M68)="","",INDEX(請求記録!$Z$6:$Z$3005,$M68)))</f>
        <v/>
      </c>
      <c r="F68" s="19">
        <f>IF($M68="","",IF(INDEX(請求記録!$E$6:$E$3005,$M68)="","",INDEX(請求記録!$E$6:$E$3005,$M68)))</f>
        <v/>
      </c>
      <c r="G68" s="19">
        <f>IF($M68="","",IF(INDEX(請求記録!$AE$6:$AE$3005,$M68)="","",INDEX(請求記録!$AE$6:$AE$3005,$M68)))</f>
        <v/>
      </c>
      <c r="H68">
        <f>IF($M68="","",IF(INDEX(請求記録!$AG$6:$AG$3005,$M68)="","",INDEX(請求記録!$AG$6:$AG$3005,$M68)))</f>
        <v/>
      </c>
      <c r="I68" s="20">
        <f>IF($M68="","",IF(INDEX(請求記録!$AH$6:$AH$3005,$M68)="","",INDEX(請求記録!$AH$6:$AH$3005,$M68)))</f>
        <v/>
      </c>
      <c r="J68">
        <f>IF($M68="","",IF(INDEX(請求記録!$AK$6:$AK$3005,$M68)="","",INDEX(請求記録!$AK$6:$AK$3005,$M68)))</f>
        <v/>
      </c>
      <c r="K68" s="20">
        <f>IF($M68="","",IF(INDEX(請求記録!$AJ$6:$AJ$3005,$M68)="","",INDEX(請求記録!$AJ$6:$AJ$3005,$M68)))</f>
        <v/>
      </c>
      <c r="L68">
        <f>IF($M68="","",IF(INDEX(請求記録!$AN$6:$AN$3005,$M68)="","",INDEX(請求記録!$AN$6:$AN$3005,$M68)))</f>
        <v/>
      </c>
      <c r="M68">
        <f>IFERROR(MATCH(63,請求記録!$AO$6:$AO$3005,0),"")</f>
        <v/>
      </c>
    </row>
    <row r="69">
      <c r="A69">
        <f>IF($M69="","",64)</f>
        <v/>
      </c>
      <c r="B69">
        <f>IF($M69="","",IF(INDEX(請求記録!$B$6:$B$3005,$M69)="","",INDEX(請求記録!$B$6:$B$3005,$M69)))</f>
        <v/>
      </c>
      <c r="C69">
        <f>IF($M69="","",IF(INDEX(請求記録!$X$6:$X$3005,$M69)="","",INDEX(請求記録!$X$6:$X$3005,$M69)))</f>
        <v/>
      </c>
      <c r="D69">
        <f>IF($M69="","",IF(INDEX(請求記録!$Y$6:$Y$3005,$M69)="","",INDEX(請求記録!$Y$6:$Y$3005,$M69)))</f>
        <v/>
      </c>
      <c r="E69">
        <f>IF($M69="","",IF(INDEX(請求記録!$Z$6:$Z$3005,$M69)="","",INDEX(請求記録!$Z$6:$Z$3005,$M69)))</f>
        <v/>
      </c>
      <c r="F69" s="19">
        <f>IF($M69="","",IF(INDEX(請求記録!$E$6:$E$3005,$M69)="","",INDEX(請求記録!$E$6:$E$3005,$M69)))</f>
        <v/>
      </c>
      <c r="G69" s="19">
        <f>IF($M69="","",IF(INDEX(請求記録!$AE$6:$AE$3005,$M69)="","",INDEX(請求記録!$AE$6:$AE$3005,$M69)))</f>
        <v/>
      </c>
      <c r="H69">
        <f>IF($M69="","",IF(INDEX(請求記録!$AG$6:$AG$3005,$M69)="","",INDEX(請求記録!$AG$6:$AG$3005,$M69)))</f>
        <v/>
      </c>
      <c r="I69" s="20">
        <f>IF($M69="","",IF(INDEX(請求記録!$AH$6:$AH$3005,$M69)="","",INDEX(請求記録!$AH$6:$AH$3005,$M69)))</f>
        <v/>
      </c>
      <c r="J69">
        <f>IF($M69="","",IF(INDEX(請求記録!$AK$6:$AK$3005,$M69)="","",INDEX(請求記録!$AK$6:$AK$3005,$M69)))</f>
        <v/>
      </c>
      <c r="K69" s="20">
        <f>IF($M69="","",IF(INDEX(請求記録!$AJ$6:$AJ$3005,$M69)="","",INDEX(請求記録!$AJ$6:$AJ$3005,$M69)))</f>
        <v/>
      </c>
      <c r="L69">
        <f>IF($M69="","",IF(INDEX(請求記録!$AN$6:$AN$3005,$M69)="","",INDEX(請求記録!$AN$6:$AN$3005,$M69)))</f>
        <v/>
      </c>
      <c r="M69">
        <f>IFERROR(MATCH(64,請求記録!$AO$6:$AO$3005,0),"")</f>
        <v/>
      </c>
    </row>
    <row r="70">
      <c r="A70">
        <f>IF($M70="","",65)</f>
        <v/>
      </c>
      <c r="B70">
        <f>IF($M70="","",IF(INDEX(請求記録!$B$6:$B$3005,$M70)="","",INDEX(請求記録!$B$6:$B$3005,$M70)))</f>
        <v/>
      </c>
      <c r="C70">
        <f>IF($M70="","",IF(INDEX(請求記録!$X$6:$X$3005,$M70)="","",INDEX(請求記録!$X$6:$X$3005,$M70)))</f>
        <v/>
      </c>
      <c r="D70">
        <f>IF($M70="","",IF(INDEX(請求記録!$Y$6:$Y$3005,$M70)="","",INDEX(請求記録!$Y$6:$Y$3005,$M70)))</f>
        <v/>
      </c>
      <c r="E70">
        <f>IF($M70="","",IF(INDEX(請求記録!$Z$6:$Z$3005,$M70)="","",INDEX(請求記録!$Z$6:$Z$3005,$M70)))</f>
        <v/>
      </c>
      <c r="F70" s="19">
        <f>IF($M70="","",IF(INDEX(請求記録!$E$6:$E$3005,$M70)="","",INDEX(請求記録!$E$6:$E$3005,$M70)))</f>
        <v/>
      </c>
      <c r="G70" s="19">
        <f>IF($M70="","",IF(INDEX(請求記録!$AE$6:$AE$3005,$M70)="","",INDEX(請求記録!$AE$6:$AE$3005,$M70)))</f>
        <v/>
      </c>
      <c r="H70">
        <f>IF($M70="","",IF(INDEX(請求記録!$AG$6:$AG$3005,$M70)="","",INDEX(請求記録!$AG$6:$AG$3005,$M70)))</f>
        <v/>
      </c>
      <c r="I70" s="20">
        <f>IF($M70="","",IF(INDEX(請求記録!$AH$6:$AH$3005,$M70)="","",INDEX(請求記録!$AH$6:$AH$3005,$M70)))</f>
        <v/>
      </c>
      <c r="J70">
        <f>IF($M70="","",IF(INDEX(請求記録!$AK$6:$AK$3005,$M70)="","",INDEX(請求記録!$AK$6:$AK$3005,$M70)))</f>
        <v/>
      </c>
      <c r="K70" s="20">
        <f>IF($M70="","",IF(INDEX(請求記録!$AJ$6:$AJ$3005,$M70)="","",INDEX(請求記録!$AJ$6:$AJ$3005,$M70)))</f>
        <v/>
      </c>
      <c r="L70">
        <f>IF($M70="","",IF(INDEX(請求記録!$AN$6:$AN$3005,$M70)="","",INDEX(請求記録!$AN$6:$AN$3005,$M70)))</f>
        <v/>
      </c>
      <c r="M70">
        <f>IFERROR(MATCH(65,請求記録!$AO$6:$AO$3005,0),"")</f>
        <v/>
      </c>
    </row>
    <row r="71">
      <c r="A71">
        <f>IF($M71="","",66)</f>
        <v/>
      </c>
      <c r="B71">
        <f>IF($M71="","",IF(INDEX(請求記録!$B$6:$B$3005,$M71)="","",INDEX(請求記録!$B$6:$B$3005,$M71)))</f>
        <v/>
      </c>
      <c r="C71">
        <f>IF($M71="","",IF(INDEX(請求記録!$X$6:$X$3005,$M71)="","",INDEX(請求記録!$X$6:$X$3005,$M71)))</f>
        <v/>
      </c>
      <c r="D71">
        <f>IF($M71="","",IF(INDEX(請求記録!$Y$6:$Y$3005,$M71)="","",INDEX(請求記録!$Y$6:$Y$3005,$M71)))</f>
        <v/>
      </c>
      <c r="E71">
        <f>IF($M71="","",IF(INDEX(請求記録!$Z$6:$Z$3005,$M71)="","",INDEX(請求記録!$Z$6:$Z$3005,$M71)))</f>
        <v/>
      </c>
      <c r="F71" s="19">
        <f>IF($M71="","",IF(INDEX(請求記録!$E$6:$E$3005,$M71)="","",INDEX(請求記録!$E$6:$E$3005,$M71)))</f>
        <v/>
      </c>
      <c r="G71" s="19">
        <f>IF($M71="","",IF(INDEX(請求記録!$AE$6:$AE$3005,$M71)="","",INDEX(請求記録!$AE$6:$AE$3005,$M71)))</f>
        <v/>
      </c>
      <c r="H71">
        <f>IF($M71="","",IF(INDEX(請求記録!$AG$6:$AG$3005,$M71)="","",INDEX(請求記録!$AG$6:$AG$3005,$M71)))</f>
        <v/>
      </c>
      <c r="I71" s="20">
        <f>IF($M71="","",IF(INDEX(請求記録!$AH$6:$AH$3005,$M71)="","",INDEX(請求記録!$AH$6:$AH$3005,$M71)))</f>
        <v/>
      </c>
      <c r="J71">
        <f>IF($M71="","",IF(INDEX(請求記録!$AK$6:$AK$3005,$M71)="","",INDEX(請求記録!$AK$6:$AK$3005,$M71)))</f>
        <v/>
      </c>
      <c r="K71" s="20">
        <f>IF($M71="","",IF(INDEX(請求記録!$AJ$6:$AJ$3005,$M71)="","",INDEX(請求記録!$AJ$6:$AJ$3005,$M71)))</f>
        <v/>
      </c>
      <c r="L71">
        <f>IF($M71="","",IF(INDEX(請求記録!$AN$6:$AN$3005,$M71)="","",INDEX(請求記録!$AN$6:$AN$3005,$M71)))</f>
        <v/>
      </c>
      <c r="M71">
        <f>IFERROR(MATCH(66,請求記録!$AO$6:$AO$3005,0),"")</f>
        <v/>
      </c>
    </row>
    <row r="72">
      <c r="A72">
        <f>IF($M72="","",67)</f>
        <v/>
      </c>
      <c r="B72">
        <f>IF($M72="","",IF(INDEX(請求記録!$B$6:$B$3005,$M72)="","",INDEX(請求記録!$B$6:$B$3005,$M72)))</f>
        <v/>
      </c>
      <c r="C72">
        <f>IF($M72="","",IF(INDEX(請求記録!$X$6:$X$3005,$M72)="","",INDEX(請求記録!$X$6:$X$3005,$M72)))</f>
        <v/>
      </c>
      <c r="D72">
        <f>IF($M72="","",IF(INDEX(請求記録!$Y$6:$Y$3005,$M72)="","",INDEX(請求記録!$Y$6:$Y$3005,$M72)))</f>
        <v/>
      </c>
      <c r="E72">
        <f>IF($M72="","",IF(INDEX(請求記録!$Z$6:$Z$3005,$M72)="","",INDEX(請求記録!$Z$6:$Z$3005,$M72)))</f>
        <v/>
      </c>
      <c r="F72" s="19">
        <f>IF($M72="","",IF(INDEX(請求記録!$E$6:$E$3005,$M72)="","",INDEX(請求記録!$E$6:$E$3005,$M72)))</f>
        <v/>
      </c>
      <c r="G72" s="19">
        <f>IF($M72="","",IF(INDEX(請求記録!$AE$6:$AE$3005,$M72)="","",INDEX(請求記録!$AE$6:$AE$3005,$M72)))</f>
        <v/>
      </c>
      <c r="H72">
        <f>IF($M72="","",IF(INDEX(請求記録!$AG$6:$AG$3005,$M72)="","",INDEX(請求記録!$AG$6:$AG$3005,$M72)))</f>
        <v/>
      </c>
      <c r="I72" s="20">
        <f>IF($M72="","",IF(INDEX(請求記録!$AH$6:$AH$3005,$M72)="","",INDEX(請求記録!$AH$6:$AH$3005,$M72)))</f>
        <v/>
      </c>
      <c r="J72">
        <f>IF($M72="","",IF(INDEX(請求記録!$AK$6:$AK$3005,$M72)="","",INDEX(請求記録!$AK$6:$AK$3005,$M72)))</f>
        <v/>
      </c>
      <c r="K72" s="20">
        <f>IF($M72="","",IF(INDEX(請求記録!$AJ$6:$AJ$3005,$M72)="","",INDEX(請求記録!$AJ$6:$AJ$3005,$M72)))</f>
        <v/>
      </c>
      <c r="L72">
        <f>IF($M72="","",IF(INDEX(請求記録!$AN$6:$AN$3005,$M72)="","",INDEX(請求記録!$AN$6:$AN$3005,$M72)))</f>
        <v/>
      </c>
      <c r="M72">
        <f>IFERROR(MATCH(67,請求記録!$AO$6:$AO$3005,0),"")</f>
        <v/>
      </c>
    </row>
    <row r="73">
      <c r="A73">
        <f>IF($M73="","",68)</f>
        <v/>
      </c>
      <c r="B73">
        <f>IF($M73="","",IF(INDEX(請求記録!$B$6:$B$3005,$M73)="","",INDEX(請求記録!$B$6:$B$3005,$M73)))</f>
        <v/>
      </c>
      <c r="C73">
        <f>IF($M73="","",IF(INDEX(請求記録!$X$6:$X$3005,$M73)="","",INDEX(請求記録!$X$6:$X$3005,$M73)))</f>
        <v/>
      </c>
      <c r="D73">
        <f>IF($M73="","",IF(INDEX(請求記録!$Y$6:$Y$3005,$M73)="","",INDEX(請求記録!$Y$6:$Y$3005,$M73)))</f>
        <v/>
      </c>
      <c r="E73">
        <f>IF($M73="","",IF(INDEX(請求記録!$Z$6:$Z$3005,$M73)="","",INDEX(請求記録!$Z$6:$Z$3005,$M73)))</f>
        <v/>
      </c>
      <c r="F73" s="19">
        <f>IF($M73="","",IF(INDEX(請求記録!$E$6:$E$3005,$M73)="","",INDEX(請求記録!$E$6:$E$3005,$M73)))</f>
        <v/>
      </c>
      <c r="G73" s="19">
        <f>IF($M73="","",IF(INDEX(請求記録!$AE$6:$AE$3005,$M73)="","",INDEX(請求記録!$AE$6:$AE$3005,$M73)))</f>
        <v/>
      </c>
      <c r="H73">
        <f>IF($M73="","",IF(INDEX(請求記録!$AG$6:$AG$3005,$M73)="","",INDEX(請求記録!$AG$6:$AG$3005,$M73)))</f>
        <v/>
      </c>
      <c r="I73" s="20">
        <f>IF($M73="","",IF(INDEX(請求記録!$AH$6:$AH$3005,$M73)="","",INDEX(請求記録!$AH$6:$AH$3005,$M73)))</f>
        <v/>
      </c>
      <c r="J73">
        <f>IF($M73="","",IF(INDEX(請求記録!$AK$6:$AK$3005,$M73)="","",INDEX(請求記録!$AK$6:$AK$3005,$M73)))</f>
        <v/>
      </c>
      <c r="K73" s="20">
        <f>IF($M73="","",IF(INDEX(請求記録!$AJ$6:$AJ$3005,$M73)="","",INDEX(請求記録!$AJ$6:$AJ$3005,$M73)))</f>
        <v/>
      </c>
      <c r="L73">
        <f>IF($M73="","",IF(INDEX(請求記録!$AN$6:$AN$3005,$M73)="","",INDEX(請求記録!$AN$6:$AN$3005,$M73)))</f>
        <v/>
      </c>
      <c r="M73">
        <f>IFERROR(MATCH(68,請求記録!$AO$6:$AO$3005,0),"")</f>
        <v/>
      </c>
    </row>
    <row r="74">
      <c r="A74">
        <f>IF($M74="","",69)</f>
        <v/>
      </c>
      <c r="B74">
        <f>IF($M74="","",IF(INDEX(請求記録!$B$6:$B$3005,$M74)="","",INDEX(請求記録!$B$6:$B$3005,$M74)))</f>
        <v/>
      </c>
      <c r="C74">
        <f>IF($M74="","",IF(INDEX(請求記録!$X$6:$X$3005,$M74)="","",INDEX(請求記録!$X$6:$X$3005,$M74)))</f>
        <v/>
      </c>
      <c r="D74">
        <f>IF($M74="","",IF(INDEX(請求記録!$Y$6:$Y$3005,$M74)="","",INDEX(請求記録!$Y$6:$Y$3005,$M74)))</f>
        <v/>
      </c>
      <c r="E74">
        <f>IF($M74="","",IF(INDEX(請求記録!$Z$6:$Z$3005,$M74)="","",INDEX(請求記録!$Z$6:$Z$3005,$M74)))</f>
        <v/>
      </c>
      <c r="F74" s="19">
        <f>IF($M74="","",IF(INDEX(請求記録!$E$6:$E$3005,$M74)="","",INDEX(請求記録!$E$6:$E$3005,$M74)))</f>
        <v/>
      </c>
      <c r="G74" s="19">
        <f>IF($M74="","",IF(INDEX(請求記録!$AE$6:$AE$3005,$M74)="","",INDEX(請求記録!$AE$6:$AE$3005,$M74)))</f>
        <v/>
      </c>
      <c r="H74">
        <f>IF($M74="","",IF(INDEX(請求記録!$AG$6:$AG$3005,$M74)="","",INDEX(請求記録!$AG$6:$AG$3005,$M74)))</f>
        <v/>
      </c>
      <c r="I74" s="20">
        <f>IF($M74="","",IF(INDEX(請求記録!$AH$6:$AH$3005,$M74)="","",INDEX(請求記録!$AH$6:$AH$3005,$M74)))</f>
        <v/>
      </c>
      <c r="J74">
        <f>IF($M74="","",IF(INDEX(請求記録!$AK$6:$AK$3005,$M74)="","",INDEX(請求記録!$AK$6:$AK$3005,$M74)))</f>
        <v/>
      </c>
      <c r="K74" s="20">
        <f>IF($M74="","",IF(INDEX(請求記録!$AJ$6:$AJ$3005,$M74)="","",INDEX(請求記録!$AJ$6:$AJ$3005,$M74)))</f>
        <v/>
      </c>
      <c r="L74">
        <f>IF($M74="","",IF(INDEX(請求記録!$AN$6:$AN$3005,$M74)="","",INDEX(請求記録!$AN$6:$AN$3005,$M74)))</f>
        <v/>
      </c>
      <c r="M74">
        <f>IFERROR(MATCH(69,請求記録!$AO$6:$AO$3005,0),"")</f>
        <v/>
      </c>
    </row>
    <row r="75">
      <c r="A75">
        <f>IF($M75="","",70)</f>
        <v/>
      </c>
      <c r="B75">
        <f>IF($M75="","",IF(INDEX(請求記録!$B$6:$B$3005,$M75)="","",INDEX(請求記録!$B$6:$B$3005,$M75)))</f>
        <v/>
      </c>
      <c r="C75">
        <f>IF($M75="","",IF(INDEX(請求記録!$X$6:$X$3005,$M75)="","",INDEX(請求記録!$X$6:$X$3005,$M75)))</f>
        <v/>
      </c>
      <c r="D75">
        <f>IF($M75="","",IF(INDEX(請求記録!$Y$6:$Y$3005,$M75)="","",INDEX(請求記録!$Y$6:$Y$3005,$M75)))</f>
        <v/>
      </c>
      <c r="E75">
        <f>IF($M75="","",IF(INDEX(請求記録!$Z$6:$Z$3005,$M75)="","",INDEX(請求記録!$Z$6:$Z$3005,$M75)))</f>
        <v/>
      </c>
      <c r="F75" s="19">
        <f>IF($M75="","",IF(INDEX(請求記録!$E$6:$E$3005,$M75)="","",INDEX(請求記録!$E$6:$E$3005,$M75)))</f>
        <v/>
      </c>
      <c r="G75" s="19">
        <f>IF($M75="","",IF(INDEX(請求記録!$AE$6:$AE$3005,$M75)="","",INDEX(請求記録!$AE$6:$AE$3005,$M75)))</f>
        <v/>
      </c>
      <c r="H75">
        <f>IF($M75="","",IF(INDEX(請求記録!$AG$6:$AG$3005,$M75)="","",INDEX(請求記録!$AG$6:$AG$3005,$M75)))</f>
        <v/>
      </c>
      <c r="I75" s="20">
        <f>IF($M75="","",IF(INDEX(請求記録!$AH$6:$AH$3005,$M75)="","",INDEX(請求記録!$AH$6:$AH$3005,$M75)))</f>
        <v/>
      </c>
      <c r="J75">
        <f>IF($M75="","",IF(INDEX(請求記録!$AK$6:$AK$3005,$M75)="","",INDEX(請求記録!$AK$6:$AK$3005,$M75)))</f>
        <v/>
      </c>
      <c r="K75" s="20">
        <f>IF($M75="","",IF(INDEX(請求記録!$AJ$6:$AJ$3005,$M75)="","",INDEX(請求記録!$AJ$6:$AJ$3005,$M75)))</f>
        <v/>
      </c>
      <c r="L75">
        <f>IF($M75="","",IF(INDEX(請求記録!$AN$6:$AN$3005,$M75)="","",INDEX(請求記録!$AN$6:$AN$3005,$M75)))</f>
        <v/>
      </c>
      <c r="M75">
        <f>IFERROR(MATCH(70,請求記録!$AO$6:$AO$3005,0),"")</f>
        <v/>
      </c>
    </row>
    <row r="76">
      <c r="A76">
        <f>IF($M76="","",71)</f>
        <v/>
      </c>
      <c r="B76">
        <f>IF($M76="","",IF(INDEX(請求記録!$B$6:$B$3005,$M76)="","",INDEX(請求記録!$B$6:$B$3005,$M76)))</f>
        <v/>
      </c>
      <c r="C76">
        <f>IF($M76="","",IF(INDEX(請求記録!$X$6:$X$3005,$M76)="","",INDEX(請求記録!$X$6:$X$3005,$M76)))</f>
        <v/>
      </c>
      <c r="D76">
        <f>IF($M76="","",IF(INDEX(請求記録!$Y$6:$Y$3005,$M76)="","",INDEX(請求記録!$Y$6:$Y$3005,$M76)))</f>
        <v/>
      </c>
      <c r="E76">
        <f>IF($M76="","",IF(INDEX(請求記録!$Z$6:$Z$3005,$M76)="","",INDEX(請求記録!$Z$6:$Z$3005,$M76)))</f>
        <v/>
      </c>
      <c r="F76" s="19">
        <f>IF($M76="","",IF(INDEX(請求記録!$E$6:$E$3005,$M76)="","",INDEX(請求記録!$E$6:$E$3005,$M76)))</f>
        <v/>
      </c>
      <c r="G76" s="19">
        <f>IF($M76="","",IF(INDEX(請求記録!$AE$6:$AE$3005,$M76)="","",INDEX(請求記録!$AE$6:$AE$3005,$M76)))</f>
        <v/>
      </c>
      <c r="H76">
        <f>IF($M76="","",IF(INDEX(請求記録!$AG$6:$AG$3005,$M76)="","",INDEX(請求記録!$AG$6:$AG$3005,$M76)))</f>
        <v/>
      </c>
      <c r="I76" s="20">
        <f>IF($M76="","",IF(INDEX(請求記録!$AH$6:$AH$3005,$M76)="","",INDEX(請求記録!$AH$6:$AH$3005,$M76)))</f>
        <v/>
      </c>
      <c r="J76">
        <f>IF($M76="","",IF(INDEX(請求記録!$AK$6:$AK$3005,$M76)="","",INDEX(請求記録!$AK$6:$AK$3005,$M76)))</f>
        <v/>
      </c>
      <c r="K76" s="20">
        <f>IF($M76="","",IF(INDEX(請求記録!$AJ$6:$AJ$3005,$M76)="","",INDEX(請求記録!$AJ$6:$AJ$3005,$M76)))</f>
        <v/>
      </c>
      <c r="L76">
        <f>IF($M76="","",IF(INDEX(請求記録!$AN$6:$AN$3005,$M76)="","",INDEX(請求記録!$AN$6:$AN$3005,$M76)))</f>
        <v/>
      </c>
      <c r="M76">
        <f>IFERROR(MATCH(71,請求記録!$AO$6:$AO$3005,0),"")</f>
        <v/>
      </c>
    </row>
    <row r="77">
      <c r="A77">
        <f>IF($M77="","",72)</f>
        <v/>
      </c>
      <c r="B77">
        <f>IF($M77="","",IF(INDEX(請求記録!$B$6:$B$3005,$M77)="","",INDEX(請求記録!$B$6:$B$3005,$M77)))</f>
        <v/>
      </c>
      <c r="C77">
        <f>IF($M77="","",IF(INDEX(請求記録!$X$6:$X$3005,$M77)="","",INDEX(請求記録!$X$6:$X$3005,$M77)))</f>
        <v/>
      </c>
      <c r="D77">
        <f>IF($M77="","",IF(INDEX(請求記録!$Y$6:$Y$3005,$M77)="","",INDEX(請求記録!$Y$6:$Y$3005,$M77)))</f>
        <v/>
      </c>
      <c r="E77">
        <f>IF($M77="","",IF(INDEX(請求記録!$Z$6:$Z$3005,$M77)="","",INDEX(請求記録!$Z$6:$Z$3005,$M77)))</f>
        <v/>
      </c>
      <c r="F77" s="19">
        <f>IF($M77="","",IF(INDEX(請求記録!$E$6:$E$3005,$M77)="","",INDEX(請求記録!$E$6:$E$3005,$M77)))</f>
        <v/>
      </c>
      <c r="G77" s="19">
        <f>IF($M77="","",IF(INDEX(請求記録!$AE$6:$AE$3005,$M77)="","",INDEX(請求記録!$AE$6:$AE$3005,$M77)))</f>
        <v/>
      </c>
      <c r="H77">
        <f>IF($M77="","",IF(INDEX(請求記録!$AG$6:$AG$3005,$M77)="","",INDEX(請求記録!$AG$6:$AG$3005,$M77)))</f>
        <v/>
      </c>
      <c r="I77" s="20">
        <f>IF($M77="","",IF(INDEX(請求記録!$AH$6:$AH$3005,$M77)="","",INDEX(請求記録!$AH$6:$AH$3005,$M77)))</f>
        <v/>
      </c>
      <c r="J77">
        <f>IF($M77="","",IF(INDEX(請求記録!$AK$6:$AK$3005,$M77)="","",INDEX(請求記録!$AK$6:$AK$3005,$M77)))</f>
        <v/>
      </c>
      <c r="K77" s="20">
        <f>IF($M77="","",IF(INDEX(請求記録!$AJ$6:$AJ$3005,$M77)="","",INDEX(請求記録!$AJ$6:$AJ$3005,$M77)))</f>
        <v/>
      </c>
      <c r="L77">
        <f>IF($M77="","",IF(INDEX(請求記録!$AN$6:$AN$3005,$M77)="","",INDEX(請求記録!$AN$6:$AN$3005,$M77)))</f>
        <v/>
      </c>
      <c r="M77">
        <f>IFERROR(MATCH(72,請求記録!$AO$6:$AO$3005,0),"")</f>
        <v/>
      </c>
    </row>
    <row r="78">
      <c r="A78">
        <f>IF($M78="","",73)</f>
        <v/>
      </c>
      <c r="B78">
        <f>IF($M78="","",IF(INDEX(請求記録!$B$6:$B$3005,$M78)="","",INDEX(請求記録!$B$6:$B$3005,$M78)))</f>
        <v/>
      </c>
      <c r="C78">
        <f>IF($M78="","",IF(INDEX(請求記録!$X$6:$X$3005,$M78)="","",INDEX(請求記録!$X$6:$X$3005,$M78)))</f>
        <v/>
      </c>
      <c r="D78">
        <f>IF($M78="","",IF(INDEX(請求記録!$Y$6:$Y$3005,$M78)="","",INDEX(請求記録!$Y$6:$Y$3005,$M78)))</f>
        <v/>
      </c>
      <c r="E78">
        <f>IF($M78="","",IF(INDEX(請求記録!$Z$6:$Z$3005,$M78)="","",INDEX(請求記録!$Z$6:$Z$3005,$M78)))</f>
        <v/>
      </c>
      <c r="F78" s="19">
        <f>IF($M78="","",IF(INDEX(請求記録!$E$6:$E$3005,$M78)="","",INDEX(請求記録!$E$6:$E$3005,$M78)))</f>
        <v/>
      </c>
      <c r="G78" s="19">
        <f>IF($M78="","",IF(INDEX(請求記録!$AE$6:$AE$3005,$M78)="","",INDEX(請求記録!$AE$6:$AE$3005,$M78)))</f>
        <v/>
      </c>
      <c r="H78">
        <f>IF($M78="","",IF(INDEX(請求記録!$AG$6:$AG$3005,$M78)="","",INDEX(請求記録!$AG$6:$AG$3005,$M78)))</f>
        <v/>
      </c>
      <c r="I78" s="20">
        <f>IF($M78="","",IF(INDEX(請求記録!$AH$6:$AH$3005,$M78)="","",INDEX(請求記録!$AH$6:$AH$3005,$M78)))</f>
        <v/>
      </c>
      <c r="J78">
        <f>IF($M78="","",IF(INDEX(請求記録!$AK$6:$AK$3005,$M78)="","",INDEX(請求記録!$AK$6:$AK$3005,$M78)))</f>
        <v/>
      </c>
      <c r="K78" s="20">
        <f>IF($M78="","",IF(INDEX(請求記録!$AJ$6:$AJ$3005,$M78)="","",INDEX(請求記録!$AJ$6:$AJ$3005,$M78)))</f>
        <v/>
      </c>
      <c r="L78">
        <f>IF($M78="","",IF(INDEX(請求記録!$AN$6:$AN$3005,$M78)="","",INDEX(請求記録!$AN$6:$AN$3005,$M78)))</f>
        <v/>
      </c>
      <c r="M78">
        <f>IFERROR(MATCH(73,請求記録!$AO$6:$AO$3005,0),"")</f>
        <v/>
      </c>
    </row>
    <row r="79">
      <c r="A79">
        <f>IF($M79="","",74)</f>
        <v/>
      </c>
      <c r="B79">
        <f>IF($M79="","",IF(INDEX(請求記録!$B$6:$B$3005,$M79)="","",INDEX(請求記録!$B$6:$B$3005,$M79)))</f>
        <v/>
      </c>
      <c r="C79">
        <f>IF($M79="","",IF(INDEX(請求記録!$X$6:$X$3005,$M79)="","",INDEX(請求記録!$X$6:$X$3005,$M79)))</f>
        <v/>
      </c>
      <c r="D79">
        <f>IF($M79="","",IF(INDEX(請求記録!$Y$6:$Y$3005,$M79)="","",INDEX(請求記録!$Y$6:$Y$3005,$M79)))</f>
        <v/>
      </c>
      <c r="E79">
        <f>IF($M79="","",IF(INDEX(請求記録!$Z$6:$Z$3005,$M79)="","",INDEX(請求記録!$Z$6:$Z$3005,$M79)))</f>
        <v/>
      </c>
      <c r="F79" s="19">
        <f>IF($M79="","",IF(INDEX(請求記録!$E$6:$E$3005,$M79)="","",INDEX(請求記録!$E$6:$E$3005,$M79)))</f>
        <v/>
      </c>
      <c r="G79" s="19">
        <f>IF($M79="","",IF(INDEX(請求記録!$AE$6:$AE$3005,$M79)="","",INDEX(請求記録!$AE$6:$AE$3005,$M79)))</f>
        <v/>
      </c>
      <c r="H79">
        <f>IF($M79="","",IF(INDEX(請求記録!$AG$6:$AG$3005,$M79)="","",INDEX(請求記録!$AG$6:$AG$3005,$M79)))</f>
        <v/>
      </c>
      <c r="I79" s="20">
        <f>IF($M79="","",IF(INDEX(請求記録!$AH$6:$AH$3005,$M79)="","",INDEX(請求記録!$AH$6:$AH$3005,$M79)))</f>
        <v/>
      </c>
      <c r="J79">
        <f>IF($M79="","",IF(INDEX(請求記録!$AK$6:$AK$3005,$M79)="","",INDEX(請求記録!$AK$6:$AK$3005,$M79)))</f>
        <v/>
      </c>
      <c r="K79" s="20">
        <f>IF($M79="","",IF(INDEX(請求記録!$AJ$6:$AJ$3005,$M79)="","",INDEX(請求記録!$AJ$6:$AJ$3005,$M79)))</f>
        <v/>
      </c>
      <c r="L79">
        <f>IF($M79="","",IF(INDEX(請求記録!$AN$6:$AN$3005,$M79)="","",INDEX(請求記録!$AN$6:$AN$3005,$M79)))</f>
        <v/>
      </c>
      <c r="M79">
        <f>IFERROR(MATCH(74,請求記録!$AO$6:$AO$3005,0),"")</f>
        <v/>
      </c>
    </row>
    <row r="80">
      <c r="A80">
        <f>IF($M80="","",75)</f>
        <v/>
      </c>
      <c r="B80">
        <f>IF($M80="","",IF(INDEX(請求記録!$B$6:$B$3005,$M80)="","",INDEX(請求記録!$B$6:$B$3005,$M80)))</f>
        <v/>
      </c>
      <c r="C80">
        <f>IF($M80="","",IF(INDEX(請求記録!$X$6:$X$3005,$M80)="","",INDEX(請求記録!$X$6:$X$3005,$M80)))</f>
        <v/>
      </c>
      <c r="D80">
        <f>IF($M80="","",IF(INDEX(請求記録!$Y$6:$Y$3005,$M80)="","",INDEX(請求記録!$Y$6:$Y$3005,$M80)))</f>
        <v/>
      </c>
      <c r="E80">
        <f>IF($M80="","",IF(INDEX(請求記録!$Z$6:$Z$3005,$M80)="","",INDEX(請求記録!$Z$6:$Z$3005,$M80)))</f>
        <v/>
      </c>
      <c r="F80" s="19">
        <f>IF($M80="","",IF(INDEX(請求記録!$E$6:$E$3005,$M80)="","",INDEX(請求記録!$E$6:$E$3005,$M80)))</f>
        <v/>
      </c>
      <c r="G80" s="19">
        <f>IF($M80="","",IF(INDEX(請求記録!$AE$6:$AE$3005,$M80)="","",INDEX(請求記録!$AE$6:$AE$3005,$M80)))</f>
        <v/>
      </c>
      <c r="H80">
        <f>IF($M80="","",IF(INDEX(請求記録!$AG$6:$AG$3005,$M80)="","",INDEX(請求記録!$AG$6:$AG$3005,$M80)))</f>
        <v/>
      </c>
      <c r="I80" s="20">
        <f>IF($M80="","",IF(INDEX(請求記録!$AH$6:$AH$3005,$M80)="","",INDEX(請求記録!$AH$6:$AH$3005,$M80)))</f>
        <v/>
      </c>
      <c r="J80">
        <f>IF($M80="","",IF(INDEX(請求記録!$AK$6:$AK$3005,$M80)="","",INDEX(請求記録!$AK$6:$AK$3005,$M80)))</f>
        <v/>
      </c>
      <c r="K80" s="20">
        <f>IF($M80="","",IF(INDEX(請求記録!$AJ$6:$AJ$3005,$M80)="","",INDEX(請求記録!$AJ$6:$AJ$3005,$M80)))</f>
        <v/>
      </c>
      <c r="L80">
        <f>IF($M80="","",IF(INDEX(請求記録!$AN$6:$AN$3005,$M80)="","",INDEX(請求記録!$AN$6:$AN$3005,$M80)))</f>
        <v/>
      </c>
      <c r="M80">
        <f>IFERROR(MATCH(75,請求記録!$AO$6:$AO$3005,0),"")</f>
        <v/>
      </c>
    </row>
    <row r="81">
      <c r="A81">
        <f>IF($M81="","",76)</f>
        <v/>
      </c>
      <c r="B81">
        <f>IF($M81="","",IF(INDEX(請求記録!$B$6:$B$3005,$M81)="","",INDEX(請求記録!$B$6:$B$3005,$M81)))</f>
        <v/>
      </c>
      <c r="C81">
        <f>IF($M81="","",IF(INDEX(請求記録!$X$6:$X$3005,$M81)="","",INDEX(請求記録!$X$6:$X$3005,$M81)))</f>
        <v/>
      </c>
      <c r="D81">
        <f>IF($M81="","",IF(INDEX(請求記録!$Y$6:$Y$3005,$M81)="","",INDEX(請求記録!$Y$6:$Y$3005,$M81)))</f>
        <v/>
      </c>
      <c r="E81">
        <f>IF($M81="","",IF(INDEX(請求記録!$Z$6:$Z$3005,$M81)="","",INDEX(請求記録!$Z$6:$Z$3005,$M81)))</f>
        <v/>
      </c>
      <c r="F81" s="19">
        <f>IF($M81="","",IF(INDEX(請求記録!$E$6:$E$3005,$M81)="","",INDEX(請求記録!$E$6:$E$3005,$M81)))</f>
        <v/>
      </c>
      <c r="G81" s="19">
        <f>IF($M81="","",IF(INDEX(請求記録!$AE$6:$AE$3005,$M81)="","",INDEX(請求記録!$AE$6:$AE$3005,$M81)))</f>
        <v/>
      </c>
      <c r="H81">
        <f>IF($M81="","",IF(INDEX(請求記録!$AG$6:$AG$3005,$M81)="","",INDEX(請求記録!$AG$6:$AG$3005,$M81)))</f>
        <v/>
      </c>
      <c r="I81" s="20">
        <f>IF($M81="","",IF(INDEX(請求記録!$AH$6:$AH$3005,$M81)="","",INDEX(請求記録!$AH$6:$AH$3005,$M81)))</f>
        <v/>
      </c>
      <c r="J81">
        <f>IF($M81="","",IF(INDEX(請求記録!$AK$6:$AK$3005,$M81)="","",INDEX(請求記録!$AK$6:$AK$3005,$M81)))</f>
        <v/>
      </c>
      <c r="K81" s="20">
        <f>IF($M81="","",IF(INDEX(請求記録!$AJ$6:$AJ$3005,$M81)="","",INDEX(請求記録!$AJ$6:$AJ$3005,$M81)))</f>
        <v/>
      </c>
      <c r="L81">
        <f>IF($M81="","",IF(INDEX(請求記録!$AN$6:$AN$3005,$M81)="","",INDEX(請求記録!$AN$6:$AN$3005,$M81)))</f>
        <v/>
      </c>
      <c r="M81">
        <f>IFERROR(MATCH(76,請求記録!$AO$6:$AO$3005,0),"")</f>
        <v/>
      </c>
    </row>
    <row r="82">
      <c r="A82">
        <f>IF($M82="","",77)</f>
        <v/>
      </c>
      <c r="B82">
        <f>IF($M82="","",IF(INDEX(請求記録!$B$6:$B$3005,$M82)="","",INDEX(請求記録!$B$6:$B$3005,$M82)))</f>
        <v/>
      </c>
      <c r="C82">
        <f>IF($M82="","",IF(INDEX(請求記録!$X$6:$X$3005,$M82)="","",INDEX(請求記録!$X$6:$X$3005,$M82)))</f>
        <v/>
      </c>
      <c r="D82">
        <f>IF($M82="","",IF(INDEX(請求記録!$Y$6:$Y$3005,$M82)="","",INDEX(請求記録!$Y$6:$Y$3005,$M82)))</f>
        <v/>
      </c>
      <c r="E82">
        <f>IF($M82="","",IF(INDEX(請求記録!$Z$6:$Z$3005,$M82)="","",INDEX(請求記録!$Z$6:$Z$3005,$M82)))</f>
        <v/>
      </c>
      <c r="F82" s="19">
        <f>IF($M82="","",IF(INDEX(請求記録!$E$6:$E$3005,$M82)="","",INDEX(請求記録!$E$6:$E$3005,$M82)))</f>
        <v/>
      </c>
      <c r="G82" s="19">
        <f>IF($M82="","",IF(INDEX(請求記録!$AE$6:$AE$3005,$M82)="","",INDEX(請求記録!$AE$6:$AE$3005,$M82)))</f>
        <v/>
      </c>
      <c r="H82">
        <f>IF($M82="","",IF(INDEX(請求記録!$AG$6:$AG$3005,$M82)="","",INDEX(請求記録!$AG$6:$AG$3005,$M82)))</f>
        <v/>
      </c>
      <c r="I82" s="20">
        <f>IF($M82="","",IF(INDEX(請求記録!$AH$6:$AH$3005,$M82)="","",INDEX(請求記録!$AH$6:$AH$3005,$M82)))</f>
        <v/>
      </c>
      <c r="J82">
        <f>IF($M82="","",IF(INDEX(請求記録!$AK$6:$AK$3005,$M82)="","",INDEX(請求記録!$AK$6:$AK$3005,$M82)))</f>
        <v/>
      </c>
      <c r="K82" s="20">
        <f>IF($M82="","",IF(INDEX(請求記録!$AJ$6:$AJ$3005,$M82)="","",INDEX(請求記録!$AJ$6:$AJ$3005,$M82)))</f>
        <v/>
      </c>
      <c r="L82">
        <f>IF($M82="","",IF(INDEX(請求記録!$AN$6:$AN$3005,$M82)="","",INDEX(請求記録!$AN$6:$AN$3005,$M82)))</f>
        <v/>
      </c>
      <c r="M82">
        <f>IFERROR(MATCH(77,請求記録!$AO$6:$AO$3005,0),"")</f>
        <v/>
      </c>
    </row>
    <row r="83">
      <c r="A83">
        <f>IF($M83="","",78)</f>
        <v/>
      </c>
      <c r="B83">
        <f>IF($M83="","",IF(INDEX(請求記録!$B$6:$B$3005,$M83)="","",INDEX(請求記録!$B$6:$B$3005,$M83)))</f>
        <v/>
      </c>
      <c r="C83">
        <f>IF($M83="","",IF(INDEX(請求記録!$X$6:$X$3005,$M83)="","",INDEX(請求記録!$X$6:$X$3005,$M83)))</f>
        <v/>
      </c>
      <c r="D83">
        <f>IF($M83="","",IF(INDEX(請求記録!$Y$6:$Y$3005,$M83)="","",INDEX(請求記録!$Y$6:$Y$3005,$M83)))</f>
        <v/>
      </c>
      <c r="E83">
        <f>IF($M83="","",IF(INDEX(請求記録!$Z$6:$Z$3005,$M83)="","",INDEX(請求記録!$Z$6:$Z$3005,$M83)))</f>
        <v/>
      </c>
      <c r="F83" s="19">
        <f>IF($M83="","",IF(INDEX(請求記録!$E$6:$E$3005,$M83)="","",INDEX(請求記録!$E$6:$E$3005,$M83)))</f>
        <v/>
      </c>
      <c r="G83" s="19">
        <f>IF($M83="","",IF(INDEX(請求記録!$AE$6:$AE$3005,$M83)="","",INDEX(請求記録!$AE$6:$AE$3005,$M83)))</f>
        <v/>
      </c>
      <c r="H83">
        <f>IF($M83="","",IF(INDEX(請求記録!$AG$6:$AG$3005,$M83)="","",INDEX(請求記録!$AG$6:$AG$3005,$M83)))</f>
        <v/>
      </c>
      <c r="I83" s="20">
        <f>IF($M83="","",IF(INDEX(請求記録!$AH$6:$AH$3005,$M83)="","",INDEX(請求記録!$AH$6:$AH$3005,$M83)))</f>
        <v/>
      </c>
      <c r="J83">
        <f>IF($M83="","",IF(INDEX(請求記録!$AK$6:$AK$3005,$M83)="","",INDEX(請求記録!$AK$6:$AK$3005,$M83)))</f>
        <v/>
      </c>
      <c r="K83" s="20">
        <f>IF($M83="","",IF(INDEX(請求記録!$AJ$6:$AJ$3005,$M83)="","",INDEX(請求記録!$AJ$6:$AJ$3005,$M83)))</f>
        <v/>
      </c>
      <c r="L83">
        <f>IF($M83="","",IF(INDEX(請求記録!$AN$6:$AN$3005,$M83)="","",INDEX(請求記録!$AN$6:$AN$3005,$M83)))</f>
        <v/>
      </c>
      <c r="M83">
        <f>IFERROR(MATCH(78,請求記録!$AO$6:$AO$3005,0),"")</f>
        <v/>
      </c>
    </row>
    <row r="84">
      <c r="A84">
        <f>IF($M84="","",79)</f>
        <v/>
      </c>
      <c r="B84">
        <f>IF($M84="","",IF(INDEX(請求記録!$B$6:$B$3005,$M84)="","",INDEX(請求記録!$B$6:$B$3005,$M84)))</f>
        <v/>
      </c>
      <c r="C84">
        <f>IF($M84="","",IF(INDEX(請求記録!$X$6:$X$3005,$M84)="","",INDEX(請求記録!$X$6:$X$3005,$M84)))</f>
        <v/>
      </c>
      <c r="D84">
        <f>IF($M84="","",IF(INDEX(請求記録!$Y$6:$Y$3005,$M84)="","",INDEX(請求記録!$Y$6:$Y$3005,$M84)))</f>
        <v/>
      </c>
      <c r="E84">
        <f>IF($M84="","",IF(INDEX(請求記録!$Z$6:$Z$3005,$M84)="","",INDEX(請求記録!$Z$6:$Z$3005,$M84)))</f>
        <v/>
      </c>
      <c r="F84" s="19">
        <f>IF($M84="","",IF(INDEX(請求記録!$E$6:$E$3005,$M84)="","",INDEX(請求記録!$E$6:$E$3005,$M84)))</f>
        <v/>
      </c>
      <c r="G84" s="19">
        <f>IF($M84="","",IF(INDEX(請求記録!$AE$6:$AE$3005,$M84)="","",INDEX(請求記録!$AE$6:$AE$3005,$M84)))</f>
        <v/>
      </c>
      <c r="H84">
        <f>IF($M84="","",IF(INDEX(請求記録!$AG$6:$AG$3005,$M84)="","",INDEX(請求記録!$AG$6:$AG$3005,$M84)))</f>
        <v/>
      </c>
      <c r="I84" s="20">
        <f>IF($M84="","",IF(INDEX(請求記録!$AH$6:$AH$3005,$M84)="","",INDEX(請求記録!$AH$6:$AH$3005,$M84)))</f>
        <v/>
      </c>
      <c r="J84">
        <f>IF($M84="","",IF(INDEX(請求記録!$AK$6:$AK$3005,$M84)="","",INDEX(請求記録!$AK$6:$AK$3005,$M84)))</f>
        <v/>
      </c>
      <c r="K84" s="20">
        <f>IF($M84="","",IF(INDEX(請求記録!$AJ$6:$AJ$3005,$M84)="","",INDEX(請求記録!$AJ$6:$AJ$3005,$M84)))</f>
        <v/>
      </c>
      <c r="L84">
        <f>IF($M84="","",IF(INDEX(請求記録!$AN$6:$AN$3005,$M84)="","",INDEX(請求記録!$AN$6:$AN$3005,$M84)))</f>
        <v/>
      </c>
      <c r="M84">
        <f>IFERROR(MATCH(79,請求記録!$AO$6:$AO$3005,0),"")</f>
        <v/>
      </c>
    </row>
    <row r="85">
      <c r="A85">
        <f>IF($M85="","",80)</f>
        <v/>
      </c>
      <c r="B85">
        <f>IF($M85="","",IF(INDEX(請求記録!$B$6:$B$3005,$M85)="","",INDEX(請求記録!$B$6:$B$3005,$M85)))</f>
        <v/>
      </c>
      <c r="C85">
        <f>IF($M85="","",IF(INDEX(請求記録!$X$6:$X$3005,$M85)="","",INDEX(請求記録!$X$6:$X$3005,$M85)))</f>
        <v/>
      </c>
      <c r="D85">
        <f>IF($M85="","",IF(INDEX(請求記録!$Y$6:$Y$3005,$M85)="","",INDEX(請求記録!$Y$6:$Y$3005,$M85)))</f>
        <v/>
      </c>
      <c r="E85">
        <f>IF($M85="","",IF(INDEX(請求記録!$Z$6:$Z$3005,$M85)="","",INDEX(請求記録!$Z$6:$Z$3005,$M85)))</f>
        <v/>
      </c>
      <c r="F85" s="19">
        <f>IF($M85="","",IF(INDEX(請求記録!$E$6:$E$3005,$M85)="","",INDEX(請求記録!$E$6:$E$3005,$M85)))</f>
        <v/>
      </c>
      <c r="G85" s="19">
        <f>IF($M85="","",IF(INDEX(請求記録!$AE$6:$AE$3005,$M85)="","",INDEX(請求記録!$AE$6:$AE$3005,$M85)))</f>
        <v/>
      </c>
      <c r="H85">
        <f>IF($M85="","",IF(INDEX(請求記録!$AG$6:$AG$3005,$M85)="","",INDEX(請求記録!$AG$6:$AG$3005,$M85)))</f>
        <v/>
      </c>
      <c r="I85" s="20">
        <f>IF($M85="","",IF(INDEX(請求記録!$AH$6:$AH$3005,$M85)="","",INDEX(請求記録!$AH$6:$AH$3005,$M85)))</f>
        <v/>
      </c>
      <c r="J85">
        <f>IF($M85="","",IF(INDEX(請求記録!$AK$6:$AK$3005,$M85)="","",INDEX(請求記録!$AK$6:$AK$3005,$M85)))</f>
        <v/>
      </c>
      <c r="K85" s="20">
        <f>IF($M85="","",IF(INDEX(請求記録!$AJ$6:$AJ$3005,$M85)="","",INDEX(請求記録!$AJ$6:$AJ$3005,$M85)))</f>
        <v/>
      </c>
      <c r="L85">
        <f>IF($M85="","",IF(INDEX(請求記録!$AN$6:$AN$3005,$M85)="","",INDEX(請求記録!$AN$6:$AN$3005,$M85)))</f>
        <v/>
      </c>
      <c r="M85">
        <f>IFERROR(MATCH(80,請求記録!$AO$6:$AO$3005,0),"")</f>
        <v/>
      </c>
    </row>
    <row r="86">
      <c r="A86">
        <f>IF($M86="","",81)</f>
        <v/>
      </c>
      <c r="B86">
        <f>IF($M86="","",IF(INDEX(請求記録!$B$6:$B$3005,$M86)="","",INDEX(請求記録!$B$6:$B$3005,$M86)))</f>
        <v/>
      </c>
      <c r="C86">
        <f>IF($M86="","",IF(INDEX(請求記録!$X$6:$X$3005,$M86)="","",INDEX(請求記録!$X$6:$X$3005,$M86)))</f>
        <v/>
      </c>
      <c r="D86">
        <f>IF($M86="","",IF(INDEX(請求記録!$Y$6:$Y$3005,$M86)="","",INDEX(請求記録!$Y$6:$Y$3005,$M86)))</f>
        <v/>
      </c>
      <c r="E86">
        <f>IF($M86="","",IF(INDEX(請求記録!$Z$6:$Z$3005,$M86)="","",INDEX(請求記録!$Z$6:$Z$3005,$M86)))</f>
        <v/>
      </c>
      <c r="F86" s="19">
        <f>IF($M86="","",IF(INDEX(請求記録!$E$6:$E$3005,$M86)="","",INDEX(請求記録!$E$6:$E$3005,$M86)))</f>
        <v/>
      </c>
      <c r="G86" s="19">
        <f>IF($M86="","",IF(INDEX(請求記録!$AE$6:$AE$3005,$M86)="","",INDEX(請求記録!$AE$6:$AE$3005,$M86)))</f>
        <v/>
      </c>
      <c r="H86">
        <f>IF($M86="","",IF(INDEX(請求記録!$AG$6:$AG$3005,$M86)="","",INDEX(請求記録!$AG$6:$AG$3005,$M86)))</f>
        <v/>
      </c>
      <c r="I86" s="20">
        <f>IF($M86="","",IF(INDEX(請求記録!$AH$6:$AH$3005,$M86)="","",INDEX(請求記録!$AH$6:$AH$3005,$M86)))</f>
        <v/>
      </c>
      <c r="J86">
        <f>IF($M86="","",IF(INDEX(請求記録!$AK$6:$AK$3005,$M86)="","",INDEX(請求記録!$AK$6:$AK$3005,$M86)))</f>
        <v/>
      </c>
      <c r="K86" s="20">
        <f>IF($M86="","",IF(INDEX(請求記録!$AJ$6:$AJ$3005,$M86)="","",INDEX(請求記録!$AJ$6:$AJ$3005,$M86)))</f>
        <v/>
      </c>
      <c r="L86">
        <f>IF($M86="","",IF(INDEX(請求記録!$AN$6:$AN$3005,$M86)="","",INDEX(請求記録!$AN$6:$AN$3005,$M86)))</f>
        <v/>
      </c>
      <c r="M86">
        <f>IFERROR(MATCH(81,請求記録!$AO$6:$AO$3005,0),"")</f>
        <v/>
      </c>
    </row>
    <row r="87">
      <c r="A87">
        <f>IF($M87="","",82)</f>
        <v/>
      </c>
      <c r="B87">
        <f>IF($M87="","",IF(INDEX(請求記録!$B$6:$B$3005,$M87)="","",INDEX(請求記録!$B$6:$B$3005,$M87)))</f>
        <v/>
      </c>
      <c r="C87">
        <f>IF($M87="","",IF(INDEX(請求記録!$X$6:$X$3005,$M87)="","",INDEX(請求記録!$X$6:$X$3005,$M87)))</f>
        <v/>
      </c>
      <c r="D87">
        <f>IF($M87="","",IF(INDEX(請求記録!$Y$6:$Y$3005,$M87)="","",INDEX(請求記録!$Y$6:$Y$3005,$M87)))</f>
        <v/>
      </c>
      <c r="E87">
        <f>IF($M87="","",IF(INDEX(請求記録!$Z$6:$Z$3005,$M87)="","",INDEX(請求記録!$Z$6:$Z$3005,$M87)))</f>
        <v/>
      </c>
      <c r="F87" s="19">
        <f>IF($M87="","",IF(INDEX(請求記録!$E$6:$E$3005,$M87)="","",INDEX(請求記録!$E$6:$E$3005,$M87)))</f>
        <v/>
      </c>
      <c r="G87" s="19">
        <f>IF($M87="","",IF(INDEX(請求記録!$AE$6:$AE$3005,$M87)="","",INDEX(請求記録!$AE$6:$AE$3005,$M87)))</f>
        <v/>
      </c>
      <c r="H87">
        <f>IF($M87="","",IF(INDEX(請求記録!$AG$6:$AG$3005,$M87)="","",INDEX(請求記録!$AG$6:$AG$3005,$M87)))</f>
        <v/>
      </c>
      <c r="I87" s="20">
        <f>IF($M87="","",IF(INDEX(請求記録!$AH$6:$AH$3005,$M87)="","",INDEX(請求記録!$AH$6:$AH$3005,$M87)))</f>
        <v/>
      </c>
      <c r="J87">
        <f>IF($M87="","",IF(INDEX(請求記録!$AK$6:$AK$3005,$M87)="","",INDEX(請求記録!$AK$6:$AK$3005,$M87)))</f>
        <v/>
      </c>
      <c r="K87" s="20">
        <f>IF($M87="","",IF(INDEX(請求記録!$AJ$6:$AJ$3005,$M87)="","",INDEX(請求記録!$AJ$6:$AJ$3005,$M87)))</f>
        <v/>
      </c>
      <c r="L87">
        <f>IF($M87="","",IF(INDEX(請求記録!$AN$6:$AN$3005,$M87)="","",INDEX(請求記録!$AN$6:$AN$3005,$M87)))</f>
        <v/>
      </c>
      <c r="M87">
        <f>IFERROR(MATCH(82,請求記録!$AO$6:$AO$3005,0),"")</f>
        <v/>
      </c>
    </row>
    <row r="88">
      <c r="A88">
        <f>IF($M88="","",83)</f>
        <v/>
      </c>
      <c r="B88">
        <f>IF($M88="","",IF(INDEX(請求記録!$B$6:$B$3005,$M88)="","",INDEX(請求記録!$B$6:$B$3005,$M88)))</f>
        <v/>
      </c>
      <c r="C88">
        <f>IF($M88="","",IF(INDEX(請求記録!$X$6:$X$3005,$M88)="","",INDEX(請求記録!$X$6:$X$3005,$M88)))</f>
        <v/>
      </c>
      <c r="D88">
        <f>IF($M88="","",IF(INDEX(請求記録!$Y$6:$Y$3005,$M88)="","",INDEX(請求記録!$Y$6:$Y$3005,$M88)))</f>
        <v/>
      </c>
      <c r="E88">
        <f>IF($M88="","",IF(INDEX(請求記録!$Z$6:$Z$3005,$M88)="","",INDEX(請求記録!$Z$6:$Z$3005,$M88)))</f>
        <v/>
      </c>
      <c r="F88" s="19">
        <f>IF($M88="","",IF(INDEX(請求記録!$E$6:$E$3005,$M88)="","",INDEX(請求記録!$E$6:$E$3005,$M88)))</f>
        <v/>
      </c>
      <c r="G88" s="19">
        <f>IF($M88="","",IF(INDEX(請求記録!$AE$6:$AE$3005,$M88)="","",INDEX(請求記録!$AE$6:$AE$3005,$M88)))</f>
        <v/>
      </c>
      <c r="H88">
        <f>IF($M88="","",IF(INDEX(請求記録!$AG$6:$AG$3005,$M88)="","",INDEX(請求記録!$AG$6:$AG$3005,$M88)))</f>
        <v/>
      </c>
      <c r="I88" s="20">
        <f>IF($M88="","",IF(INDEX(請求記録!$AH$6:$AH$3005,$M88)="","",INDEX(請求記録!$AH$6:$AH$3005,$M88)))</f>
        <v/>
      </c>
      <c r="J88">
        <f>IF($M88="","",IF(INDEX(請求記録!$AK$6:$AK$3005,$M88)="","",INDEX(請求記録!$AK$6:$AK$3005,$M88)))</f>
        <v/>
      </c>
      <c r="K88" s="20">
        <f>IF($M88="","",IF(INDEX(請求記録!$AJ$6:$AJ$3005,$M88)="","",INDEX(請求記録!$AJ$6:$AJ$3005,$M88)))</f>
        <v/>
      </c>
      <c r="L88">
        <f>IF($M88="","",IF(INDEX(請求記録!$AN$6:$AN$3005,$M88)="","",INDEX(請求記録!$AN$6:$AN$3005,$M88)))</f>
        <v/>
      </c>
      <c r="M88">
        <f>IFERROR(MATCH(83,請求記録!$AO$6:$AO$3005,0),"")</f>
        <v/>
      </c>
    </row>
    <row r="89">
      <c r="A89">
        <f>IF($M89="","",84)</f>
        <v/>
      </c>
      <c r="B89">
        <f>IF($M89="","",IF(INDEX(請求記録!$B$6:$B$3005,$M89)="","",INDEX(請求記録!$B$6:$B$3005,$M89)))</f>
        <v/>
      </c>
      <c r="C89">
        <f>IF($M89="","",IF(INDEX(請求記録!$X$6:$X$3005,$M89)="","",INDEX(請求記録!$X$6:$X$3005,$M89)))</f>
        <v/>
      </c>
      <c r="D89">
        <f>IF($M89="","",IF(INDEX(請求記録!$Y$6:$Y$3005,$M89)="","",INDEX(請求記録!$Y$6:$Y$3005,$M89)))</f>
        <v/>
      </c>
      <c r="E89">
        <f>IF($M89="","",IF(INDEX(請求記録!$Z$6:$Z$3005,$M89)="","",INDEX(請求記録!$Z$6:$Z$3005,$M89)))</f>
        <v/>
      </c>
      <c r="F89" s="19">
        <f>IF($M89="","",IF(INDEX(請求記録!$E$6:$E$3005,$M89)="","",INDEX(請求記録!$E$6:$E$3005,$M89)))</f>
        <v/>
      </c>
      <c r="G89" s="19">
        <f>IF($M89="","",IF(INDEX(請求記録!$AE$6:$AE$3005,$M89)="","",INDEX(請求記録!$AE$6:$AE$3005,$M89)))</f>
        <v/>
      </c>
      <c r="H89">
        <f>IF($M89="","",IF(INDEX(請求記録!$AG$6:$AG$3005,$M89)="","",INDEX(請求記録!$AG$6:$AG$3005,$M89)))</f>
        <v/>
      </c>
      <c r="I89" s="20">
        <f>IF($M89="","",IF(INDEX(請求記録!$AH$6:$AH$3005,$M89)="","",INDEX(請求記録!$AH$6:$AH$3005,$M89)))</f>
        <v/>
      </c>
      <c r="J89">
        <f>IF($M89="","",IF(INDEX(請求記録!$AK$6:$AK$3005,$M89)="","",INDEX(請求記録!$AK$6:$AK$3005,$M89)))</f>
        <v/>
      </c>
      <c r="K89" s="20">
        <f>IF($M89="","",IF(INDEX(請求記録!$AJ$6:$AJ$3005,$M89)="","",INDEX(請求記録!$AJ$6:$AJ$3005,$M89)))</f>
        <v/>
      </c>
      <c r="L89">
        <f>IF($M89="","",IF(INDEX(請求記録!$AN$6:$AN$3005,$M89)="","",INDEX(請求記録!$AN$6:$AN$3005,$M89)))</f>
        <v/>
      </c>
      <c r="M89">
        <f>IFERROR(MATCH(84,請求記録!$AO$6:$AO$3005,0),"")</f>
        <v/>
      </c>
    </row>
    <row r="90">
      <c r="A90">
        <f>IF($M90="","",85)</f>
        <v/>
      </c>
      <c r="B90">
        <f>IF($M90="","",IF(INDEX(請求記録!$B$6:$B$3005,$M90)="","",INDEX(請求記録!$B$6:$B$3005,$M90)))</f>
        <v/>
      </c>
      <c r="C90">
        <f>IF($M90="","",IF(INDEX(請求記録!$X$6:$X$3005,$M90)="","",INDEX(請求記録!$X$6:$X$3005,$M90)))</f>
        <v/>
      </c>
      <c r="D90">
        <f>IF($M90="","",IF(INDEX(請求記録!$Y$6:$Y$3005,$M90)="","",INDEX(請求記録!$Y$6:$Y$3005,$M90)))</f>
        <v/>
      </c>
      <c r="E90">
        <f>IF($M90="","",IF(INDEX(請求記録!$Z$6:$Z$3005,$M90)="","",INDEX(請求記録!$Z$6:$Z$3005,$M90)))</f>
        <v/>
      </c>
      <c r="F90" s="19">
        <f>IF($M90="","",IF(INDEX(請求記録!$E$6:$E$3005,$M90)="","",INDEX(請求記録!$E$6:$E$3005,$M90)))</f>
        <v/>
      </c>
      <c r="G90" s="19">
        <f>IF($M90="","",IF(INDEX(請求記録!$AE$6:$AE$3005,$M90)="","",INDEX(請求記録!$AE$6:$AE$3005,$M90)))</f>
        <v/>
      </c>
      <c r="H90">
        <f>IF($M90="","",IF(INDEX(請求記録!$AG$6:$AG$3005,$M90)="","",INDEX(請求記録!$AG$6:$AG$3005,$M90)))</f>
        <v/>
      </c>
      <c r="I90" s="20">
        <f>IF($M90="","",IF(INDEX(請求記録!$AH$6:$AH$3005,$M90)="","",INDEX(請求記録!$AH$6:$AH$3005,$M90)))</f>
        <v/>
      </c>
      <c r="J90">
        <f>IF($M90="","",IF(INDEX(請求記録!$AK$6:$AK$3005,$M90)="","",INDEX(請求記録!$AK$6:$AK$3005,$M90)))</f>
        <v/>
      </c>
      <c r="K90" s="20">
        <f>IF($M90="","",IF(INDEX(請求記録!$AJ$6:$AJ$3005,$M90)="","",INDEX(請求記録!$AJ$6:$AJ$3005,$M90)))</f>
        <v/>
      </c>
      <c r="L90">
        <f>IF($M90="","",IF(INDEX(請求記録!$AN$6:$AN$3005,$M90)="","",INDEX(請求記録!$AN$6:$AN$3005,$M90)))</f>
        <v/>
      </c>
      <c r="M90">
        <f>IFERROR(MATCH(85,請求記録!$AO$6:$AO$3005,0),"")</f>
        <v/>
      </c>
    </row>
    <row r="91">
      <c r="A91">
        <f>IF($M91="","",86)</f>
        <v/>
      </c>
      <c r="B91">
        <f>IF($M91="","",IF(INDEX(請求記録!$B$6:$B$3005,$M91)="","",INDEX(請求記録!$B$6:$B$3005,$M91)))</f>
        <v/>
      </c>
      <c r="C91">
        <f>IF($M91="","",IF(INDEX(請求記録!$X$6:$X$3005,$M91)="","",INDEX(請求記録!$X$6:$X$3005,$M91)))</f>
        <v/>
      </c>
      <c r="D91">
        <f>IF($M91="","",IF(INDEX(請求記録!$Y$6:$Y$3005,$M91)="","",INDEX(請求記録!$Y$6:$Y$3005,$M91)))</f>
        <v/>
      </c>
      <c r="E91">
        <f>IF($M91="","",IF(INDEX(請求記録!$Z$6:$Z$3005,$M91)="","",INDEX(請求記録!$Z$6:$Z$3005,$M91)))</f>
        <v/>
      </c>
      <c r="F91" s="19">
        <f>IF($M91="","",IF(INDEX(請求記録!$E$6:$E$3005,$M91)="","",INDEX(請求記録!$E$6:$E$3005,$M91)))</f>
        <v/>
      </c>
      <c r="G91" s="19">
        <f>IF($M91="","",IF(INDEX(請求記録!$AE$6:$AE$3005,$M91)="","",INDEX(請求記録!$AE$6:$AE$3005,$M91)))</f>
        <v/>
      </c>
      <c r="H91">
        <f>IF($M91="","",IF(INDEX(請求記録!$AG$6:$AG$3005,$M91)="","",INDEX(請求記録!$AG$6:$AG$3005,$M91)))</f>
        <v/>
      </c>
      <c r="I91" s="20">
        <f>IF($M91="","",IF(INDEX(請求記録!$AH$6:$AH$3005,$M91)="","",INDEX(請求記録!$AH$6:$AH$3005,$M91)))</f>
        <v/>
      </c>
      <c r="J91">
        <f>IF($M91="","",IF(INDEX(請求記録!$AK$6:$AK$3005,$M91)="","",INDEX(請求記録!$AK$6:$AK$3005,$M91)))</f>
        <v/>
      </c>
      <c r="K91" s="20">
        <f>IF($M91="","",IF(INDEX(請求記録!$AJ$6:$AJ$3005,$M91)="","",INDEX(請求記録!$AJ$6:$AJ$3005,$M91)))</f>
        <v/>
      </c>
      <c r="L91">
        <f>IF($M91="","",IF(INDEX(請求記録!$AN$6:$AN$3005,$M91)="","",INDEX(請求記録!$AN$6:$AN$3005,$M91)))</f>
        <v/>
      </c>
      <c r="M91">
        <f>IFERROR(MATCH(86,請求記録!$AO$6:$AO$3005,0),"")</f>
        <v/>
      </c>
    </row>
    <row r="92">
      <c r="A92">
        <f>IF($M92="","",87)</f>
        <v/>
      </c>
      <c r="B92">
        <f>IF($M92="","",IF(INDEX(請求記録!$B$6:$B$3005,$M92)="","",INDEX(請求記録!$B$6:$B$3005,$M92)))</f>
        <v/>
      </c>
      <c r="C92">
        <f>IF($M92="","",IF(INDEX(請求記録!$X$6:$X$3005,$M92)="","",INDEX(請求記録!$X$6:$X$3005,$M92)))</f>
        <v/>
      </c>
      <c r="D92">
        <f>IF($M92="","",IF(INDEX(請求記録!$Y$6:$Y$3005,$M92)="","",INDEX(請求記録!$Y$6:$Y$3005,$M92)))</f>
        <v/>
      </c>
      <c r="E92">
        <f>IF($M92="","",IF(INDEX(請求記録!$Z$6:$Z$3005,$M92)="","",INDEX(請求記録!$Z$6:$Z$3005,$M92)))</f>
        <v/>
      </c>
      <c r="F92" s="19">
        <f>IF($M92="","",IF(INDEX(請求記録!$E$6:$E$3005,$M92)="","",INDEX(請求記録!$E$6:$E$3005,$M92)))</f>
        <v/>
      </c>
      <c r="G92" s="19">
        <f>IF($M92="","",IF(INDEX(請求記録!$AE$6:$AE$3005,$M92)="","",INDEX(請求記録!$AE$6:$AE$3005,$M92)))</f>
        <v/>
      </c>
      <c r="H92">
        <f>IF($M92="","",IF(INDEX(請求記録!$AG$6:$AG$3005,$M92)="","",INDEX(請求記録!$AG$6:$AG$3005,$M92)))</f>
        <v/>
      </c>
      <c r="I92" s="20">
        <f>IF($M92="","",IF(INDEX(請求記録!$AH$6:$AH$3005,$M92)="","",INDEX(請求記録!$AH$6:$AH$3005,$M92)))</f>
        <v/>
      </c>
      <c r="J92">
        <f>IF($M92="","",IF(INDEX(請求記録!$AK$6:$AK$3005,$M92)="","",INDEX(請求記録!$AK$6:$AK$3005,$M92)))</f>
        <v/>
      </c>
      <c r="K92" s="20">
        <f>IF($M92="","",IF(INDEX(請求記録!$AJ$6:$AJ$3005,$M92)="","",INDEX(請求記録!$AJ$6:$AJ$3005,$M92)))</f>
        <v/>
      </c>
      <c r="L92">
        <f>IF($M92="","",IF(INDEX(請求記録!$AN$6:$AN$3005,$M92)="","",INDEX(請求記録!$AN$6:$AN$3005,$M92)))</f>
        <v/>
      </c>
      <c r="M92">
        <f>IFERROR(MATCH(87,請求記録!$AO$6:$AO$3005,0),"")</f>
        <v/>
      </c>
    </row>
    <row r="93">
      <c r="A93">
        <f>IF($M93="","",88)</f>
        <v/>
      </c>
      <c r="B93">
        <f>IF($M93="","",IF(INDEX(請求記録!$B$6:$B$3005,$M93)="","",INDEX(請求記録!$B$6:$B$3005,$M93)))</f>
        <v/>
      </c>
      <c r="C93">
        <f>IF($M93="","",IF(INDEX(請求記録!$X$6:$X$3005,$M93)="","",INDEX(請求記録!$X$6:$X$3005,$M93)))</f>
        <v/>
      </c>
      <c r="D93">
        <f>IF($M93="","",IF(INDEX(請求記録!$Y$6:$Y$3005,$M93)="","",INDEX(請求記録!$Y$6:$Y$3005,$M93)))</f>
        <v/>
      </c>
      <c r="E93">
        <f>IF($M93="","",IF(INDEX(請求記録!$Z$6:$Z$3005,$M93)="","",INDEX(請求記録!$Z$6:$Z$3005,$M93)))</f>
        <v/>
      </c>
      <c r="F93" s="19">
        <f>IF($M93="","",IF(INDEX(請求記録!$E$6:$E$3005,$M93)="","",INDEX(請求記録!$E$6:$E$3005,$M93)))</f>
        <v/>
      </c>
      <c r="G93" s="19">
        <f>IF($M93="","",IF(INDEX(請求記録!$AE$6:$AE$3005,$M93)="","",INDEX(請求記録!$AE$6:$AE$3005,$M93)))</f>
        <v/>
      </c>
      <c r="H93">
        <f>IF($M93="","",IF(INDEX(請求記録!$AG$6:$AG$3005,$M93)="","",INDEX(請求記録!$AG$6:$AG$3005,$M93)))</f>
        <v/>
      </c>
      <c r="I93" s="20">
        <f>IF($M93="","",IF(INDEX(請求記録!$AH$6:$AH$3005,$M93)="","",INDEX(請求記録!$AH$6:$AH$3005,$M93)))</f>
        <v/>
      </c>
      <c r="J93">
        <f>IF($M93="","",IF(INDEX(請求記録!$AK$6:$AK$3005,$M93)="","",INDEX(請求記録!$AK$6:$AK$3005,$M93)))</f>
        <v/>
      </c>
      <c r="K93" s="20">
        <f>IF($M93="","",IF(INDEX(請求記録!$AJ$6:$AJ$3005,$M93)="","",INDEX(請求記録!$AJ$6:$AJ$3005,$M93)))</f>
        <v/>
      </c>
      <c r="L93">
        <f>IF($M93="","",IF(INDEX(請求記録!$AN$6:$AN$3005,$M93)="","",INDEX(請求記録!$AN$6:$AN$3005,$M93)))</f>
        <v/>
      </c>
      <c r="M93">
        <f>IFERROR(MATCH(88,請求記録!$AO$6:$AO$3005,0),"")</f>
        <v/>
      </c>
    </row>
    <row r="94">
      <c r="A94">
        <f>IF($M94="","",89)</f>
        <v/>
      </c>
      <c r="B94">
        <f>IF($M94="","",IF(INDEX(請求記録!$B$6:$B$3005,$M94)="","",INDEX(請求記録!$B$6:$B$3005,$M94)))</f>
        <v/>
      </c>
      <c r="C94">
        <f>IF($M94="","",IF(INDEX(請求記録!$X$6:$X$3005,$M94)="","",INDEX(請求記録!$X$6:$X$3005,$M94)))</f>
        <v/>
      </c>
      <c r="D94">
        <f>IF($M94="","",IF(INDEX(請求記録!$Y$6:$Y$3005,$M94)="","",INDEX(請求記録!$Y$6:$Y$3005,$M94)))</f>
        <v/>
      </c>
      <c r="E94">
        <f>IF($M94="","",IF(INDEX(請求記録!$Z$6:$Z$3005,$M94)="","",INDEX(請求記録!$Z$6:$Z$3005,$M94)))</f>
        <v/>
      </c>
      <c r="F94" s="19">
        <f>IF($M94="","",IF(INDEX(請求記録!$E$6:$E$3005,$M94)="","",INDEX(請求記録!$E$6:$E$3005,$M94)))</f>
        <v/>
      </c>
      <c r="G94" s="19">
        <f>IF($M94="","",IF(INDEX(請求記録!$AE$6:$AE$3005,$M94)="","",INDEX(請求記録!$AE$6:$AE$3005,$M94)))</f>
        <v/>
      </c>
      <c r="H94">
        <f>IF($M94="","",IF(INDEX(請求記録!$AG$6:$AG$3005,$M94)="","",INDEX(請求記録!$AG$6:$AG$3005,$M94)))</f>
        <v/>
      </c>
      <c r="I94" s="20">
        <f>IF($M94="","",IF(INDEX(請求記録!$AH$6:$AH$3005,$M94)="","",INDEX(請求記録!$AH$6:$AH$3005,$M94)))</f>
        <v/>
      </c>
      <c r="J94">
        <f>IF($M94="","",IF(INDEX(請求記録!$AK$6:$AK$3005,$M94)="","",INDEX(請求記録!$AK$6:$AK$3005,$M94)))</f>
        <v/>
      </c>
      <c r="K94" s="20">
        <f>IF($M94="","",IF(INDEX(請求記録!$AJ$6:$AJ$3005,$M94)="","",INDEX(請求記録!$AJ$6:$AJ$3005,$M94)))</f>
        <v/>
      </c>
      <c r="L94">
        <f>IF($M94="","",IF(INDEX(請求記録!$AN$6:$AN$3005,$M94)="","",INDEX(請求記録!$AN$6:$AN$3005,$M94)))</f>
        <v/>
      </c>
      <c r="M94">
        <f>IFERROR(MATCH(89,請求記録!$AO$6:$AO$3005,0),"")</f>
        <v/>
      </c>
    </row>
    <row r="95">
      <c r="A95">
        <f>IF($M95="","",90)</f>
        <v/>
      </c>
      <c r="B95">
        <f>IF($M95="","",IF(INDEX(請求記録!$B$6:$B$3005,$M95)="","",INDEX(請求記録!$B$6:$B$3005,$M95)))</f>
        <v/>
      </c>
      <c r="C95">
        <f>IF($M95="","",IF(INDEX(請求記録!$X$6:$X$3005,$M95)="","",INDEX(請求記録!$X$6:$X$3005,$M95)))</f>
        <v/>
      </c>
      <c r="D95">
        <f>IF($M95="","",IF(INDEX(請求記録!$Y$6:$Y$3005,$M95)="","",INDEX(請求記録!$Y$6:$Y$3005,$M95)))</f>
        <v/>
      </c>
      <c r="E95">
        <f>IF($M95="","",IF(INDEX(請求記録!$Z$6:$Z$3005,$M95)="","",INDEX(請求記録!$Z$6:$Z$3005,$M95)))</f>
        <v/>
      </c>
      <c r="F95" s="19">
        <f>IF($M95="","",IF(INDEX(請求記録!$E$6:$E$3005,$M95)="","",INDEX(請求記録!$E$6:$E$3005,$M95)))</f>
        <v/>
      </c>
      <c r="G95" s="19">
        <f>IF($M95="","",IF(INDEX(請求記録!$AE$6:$AE$3005,$M95)="","",INDEX(請求記録!$AE$6:$AE$3005,$M95)))</f>
        <v/>
      </c>
      <c r="H95">
        <f>IF($M95="","",IF(INDEX(請求記録!$AG$6:$AG$3005,$M95)="","",INDEX(請求記録!$AG$6:$AG$3005,$M95)))</f>
        <v/>
      </c>
      <c r="I95" s="20">
        <f>IF($M95="","",IF(INDEX(請求記録!$AH$6:$AH$3005,$M95)="","",INDEX(請求記録!$AH$6:$AH$3005,$M95)))</f>
        <v/>
      </c>
      <c r="J95">
        <f>IF($M95="","",IF(INDEX(請求記録!$AK$6:$AK$3005,$M95)="","",INDEX(請求記録!$AK$6:$AK$3005,$M95)))</f>
        <v/>
      </c>
      <c r="K95" s="20">
        <f>IF($M95="","",IF(INDEX(請求記録!$AJ$6:$AJ$3005,$M95)="","",INDEX(請求記録!$AJ$6:$AJ$3005,$M95)))</f>
        <v/>
      </c>
      <c r="L95">
        <f>IF($M95="","",IF(INDEX(請求記録!$AN$6:$AN$3005,$M95)="","",INDEX(請求記録!$AN$6:$AN$3005,$M95)))</f>
        <v/>
      </c>
      <c r="M95">
        <f>IFERROR(MATCH(90,請求記録!$AO$6:$AO$3005,0),"")</f>
        <v/>
      </c>
    </row>
    <row r="96">
      <c r="A96">
        <f>IF($M96="","",91)</f>
        <v/>
      </c>
      <c r="B96">
        <f>IF($M96="","",IF(INDEX(請求記録!$B$6:$B$3005,$M96)="","",INDEX(請求記録!$B$6:$B$3005,$M96)))</f>
        <v/>
      </c>
      <c r="C96">
        <f>IF($M96="","",IF(INDEX(請求記録!$X$6:$X$3005,$M96)="","",INDEX(請求記録!$X$6:$X$3005,$M96)))</f>
        <v/>
      </c>
      <c r="D96">
        <f>IF($M96="","",IF(INDEX(請求記録!$Y$6:$Y$3005,$M96)="","",INDEX(請求記録!$Y$6:$Y$3005,$M96)))</f>
        <v/>
      </c>
      <c r="E96">
        <f>IF($M96="","",IF(INDEX(請求記録!$Z$6:$Z$3005,$M96)="","",INDEX(請求記録!$Z$6:$Z$3005,$M96)))</f>
        <v/>
      </c>
      <c r="F96" s="19">
        <f>IF($M96="","",IF(INDEX(請求記録!$E$6:$E$3005,$M96)="","",INDEX(請求記録!$E$6:$E$3005,$M96)))</f>
        <v/>
      </c>
      <c r="G96" s="19">
        <f>IF($M96="","",IF(INDEX(請求記録!$AE$6:$AE$3005,$M96)="","",INDEX(請求記録!$AE$6:$AE$3005,$M96)))</f>
        <v/>
      </c>
      <c r="H96">
        <f>IF($M96="","",IF(INDEX(請求記録!$AG$6:$AG$3005,$M96)="","",INDEX(請求記録!$AG$6:$AG$3005,$M96)))</f>
        <v/>
      </c>
      <c r="I96" s="20">
        <f>IF($M96="","",IF(INDEX(請求記録!$AH$6:$AH$3005,$M96)="","",INDEX(請求記録!$AH$6:$AH$3005,$M96)))</f>
        <v/>
      </c>
      <c r="J96">
        <f>IF($M96="","",IF(INDEX(請求記録!$AK$6:$AK$3005,$M96)="","",INDEX(請求記録!$AK$6:$AK$3005,$M96)))</f>
        <v/>
      </c>
      <c r="K96" s="20">
        <f>IF($M96="","",IF(INDEX(請求記録!$AJ$6:$AJ$3005,$M96)="","",INDEX(請求記録!$AJ$6:$AJ$3005,$M96)))</f>
        <v/>
      </c>
      <c r="L96">
        <f>IF($M96="","",IF(INDEX(請求記録!$AN$6:$AN$3005,$M96)="","",INDEX(請求記録!$AN$6:$AN$3005,$M96)))</f>
        <v/>
      </c>
      <c r="M96">
        <f>IFERROR(MATCH(91,請求記録!$AO$6:$AO$3005,0),"")</f>
        <v/>
      </c>
    </row>
    <row r="97">
      <c r="A97">
        <f>IF($M97="","",92)</f>
        <v/>
      </c>
      <c r="B97">
        <f>IF($M97="","",IF(INDEX(請求記録!$B$6:$B$3005,$M97)="","",INDEX(請求記録!$B$6:$B$3005,$M97)))</f>
        <v/>
      </c>
      <c r="C97">
        <f>IF($M97="","",IF(INDEX(請求記録!$X$6:$X$3005,$M97)="","",INDEX(請求記録!$X$6:$X$3005,$M97)))</f>
        <v/>
      </c>
      <c r="D97">
        <f>IF($M97="","",IF(INDEX(請求記録!$Y$6:$Y$3005,$M97)="","",INDEX(請求記録!$Y$6:$Y$3005,$M97)))</f>
        <v/>
      </c>
      <c r="E97">
        <f>IF($M97="","",IF(INDEX(請求記録!$Z$6:$Z$3005,$M97)="","",INDEX(請求記録!$Z$6:$Z$3005,$M97)))</f>
        <v/>
      </c>
      <c r="F97" s="19">
        <f>IF($M97="","",IF(INDEX(請求記録!$E$6:$E$3005,$M97)="","",INDEX(請求記録!$E$6:$E$3005,$M97)))</f>
        <v/>
      </c>
      <c r="G97" s="19">
        <f>IF($M97="","",IF(INDEX(請求記録!$AE$6:$AE$3005,$M97)="","",INDEX(請求記録!$AE$6:$AE$3005,$M97)))</f>
        <v/>
      </c>
      <c r="H97">
        <f>IF($M97="","",IF(INDEX(請求記録!$AG$6:$AG$3005,$M97)="","",INDEX(請求記録!$AG$6:$AG$3005,$M97)))</f>
        <v/>
      </c>
      <c r="I97" s="20">
        <f>IF($M97="","",IF(INDEX(請求記録!$AH$6:$AH$3005,$M97)="","",INDEX(請求記録!$AH$6:$AH$3005,$M97)))</f>
        <v/>
      </c>
      <c r="J97">
        <f>IF($M97="","",IF(INDEX(請求記録!$AK$6:$AK$3005,$M97)="","",INDEX(請求記録!$AK$6:$AK$3005,$M97)))</f>
        <v/>
      </c>
      <c r="K97" s="20">
        <f>IF($M97="","",IF(INDEX(請求記録!$AJ$6:$AJ$3005,$M97)="","",INDEX(請求記録!$AJ$6:$AJ$3005,$M97)))</f>
        <v/>
      </c>
      <c r="L97">
        <f>IF($M97="","",IF(INDEX(請求記録!$AN$6:$AN$3005,$M97)="","",INDEX(請求記録!$AN$6:$AN$3005,$M97)))</f>
        <v/>
      </c>
      <c r="M97">
        <f>IFERROR(MATCH(92,請求記録!$AO$6:$AO$3005,0),"")</f>
        <v/>
      </c>
    </row>
    <row r="98">
      <c r="A98">
        <f>IF($M98="","",93)</f>
        <v/>
      </c>
      <c r="B98">
        <f>IF($M98="","",IF(INDEX(請求記録!$B$6:$B$3005,$M98)="","",INDEX(請求記録!$B$6:$B$3005,$M98)))</f>
        <v/>
      </c>
      <c r="C98">
        <f>IF($M98="","",IF(INDEX(請求記録!$X$6:$X$3005,$M98)="","",INDEX(請求記録!$X$6:$X$3005,$M98)))</f>
        <v/>
      </c>
      <c r="D98">
        <f>IF($M98="","",IF(INDEX(請求記録!$Y$6:$Y$3005,$M98)="","",INDEX(請求記録!$Y$6:$Y$3005,$M98)))</f>
        <v/>
      </c>
      <c r="E98">
        <f>IF($M98="","",IF(INDEX(請求記録!$Z$6:$Z$3005,$M98)="","",INDEX(請求記録!$Z$6:$Z$3005,$M98)))</f>
        <v/>
      </c>
      <c r="F98" s="19">
        <f>IF($M98="","",IF(INDEX(請求記録!$E$6:$E$3005,$M98)="","",INDEX(請求記録!$E$6:$E$3005,$M98)))</f>
        <v/>
      </c>
      <c r="G98" s="19">
        <f>IF($M98="","",IF(INDEX(請求記録!$AE$6:$AE$3005,$M98)="","",INDEX(請求記録!$AE$6:$AE$3005,$M98)))</f>
        <v/>
      </c>
      <c r="H98">
        <f>IF($M98="","",IF(INDEX(請求記録!$AG$6:$AG$3005,$M98)="","",INDEX(請求記録!$AG$6:$AG$3005,$M98)))</f>
        <v/>
      </c>
      <c r="I98" s="20">
        <f>IF($M98="","",IF(INDEX(請求記録!$AH$6:$AH$3005,$M98)="","",INDEX(請求記録!$AH$6:$AH$3005,$M98)))</f>
        <v/>
      </c>
      <c r="J98">
        <f>IF($M98="","",IF(INDEX(請求記録!$AK$6:$AK$3005,$M98)="","",INDEX(請求記録!$AK$6:$AK$3005,$M98)))</f>
        <v/>
      </c>
      <c r="K98" s="20">
        <f>IF($M98="","",IF(INDEX(請求記録!$AJ$6:$AJ$3005,$M98)="","",INDEX(請求記録!$AJ$6:$AJ$3005,$M98)))</f>
        <v/>
      </c>
      <c r="L98">
        <f>IF($M98="","",IF(INDEX(請求記録!$AN$6:$AN$3005,$M98)="","",INDEX(請求記録!$AN$6:$AN$3005,$M98)))</f>
        <v/>
      </c>
      <c r="M98">
        <f>IFERROR(MATCH(93,請求記録!$AO$6:$AO$3005,0),"")</f>
        <v/>
      </c>
    </row>
    <row r="99">
      <c r="A99">
        <f>IF($M99="","",94)</f>
        <v/>
      </c>
      <c r="B99">
        <f>IF($M99="","",IF(INDEX(請求記録!$B$6:$B$3005,$M99)="","",INDEX(請求記録!$B$6:$B$3005,$M99)))</f>
        <v/>
      </c>
      <c r="C99">
        <f>IF($M99="","",IF(INDEX(請求記録!$X$6:$X$3005,$M99)="","",INDEX(請求記録!$X$6:$X$3005,$M99)))</f>
        <v/>
      </c>
      <c r="D99">
        <f>IF($M99="","",IF(INDEX(請求記録!$Y$6:$Y$3005,$M99)="","",INDEX(請求記録!$Y$6:$Y$3005,$M99)))</f>
        <v/>
      </c>
      <c r="E99">
        <f>IF($M99="","",IF(INDEX(請求記録!$Z$6:$Z$3005,$M99)="","",INDEX(請求記録!$Z$6:$Z$3005,$M99)))</f>
        <v/>
      </c>
      <c r="F99" s="19">
        <f>IF($M99="","",IF(INDEX(請求記録!$E$6:$E$3005,$M99)="","",INDEX(請求記録!$E$6:$E$3005,$M99)))</f>
        <v/>
      </c>
      <c r="G99" s="19">
        <f>IF($M99="","",IF(INDEX(請求記録!$AE$6:$AE$3005,$M99)="","",INDEX(請求記録!$AE$6:$AE$3005,$M99)))</f>
        <v/>
      </c>
      <c r="H99">
        <f>IF($M99="","",IF(INDEX(請求記録!$AG$6:$AG$3005,$M99)="","",INDEX(請求記録!$AG$6:$AG$3005,$M99)))</f>
        <v/>
      </c>
      <c r="I99" s="20">
        <f>IF($M99="","",IF(INDEX(請求記録!$AH$6:$AH$3005,$M99)="","",INDEX(請求記録!$AH$6:$AH$3005,$M99)))</f>
        <v/>
      </c>
      <c r="J99">
        <f>IF($M99="","",IF(INDEX(請求記録!$AK$6:$AK$3005,$M99)="","",INDEX(請求記録!$AK$6:$AK$3005,$M99)))</f>
        <v/>
      </c>
      <c r="K99" s="20">
        <f>IF($M99="","",IF(INDEX(請求記録!$AJ$6:$AJ$3005,$M99)="","",INDEX(請求記録!$AJ$6:$AJ$3005,$M99)))</f>
        <v/>
      </c>
      <c r="L99">
        <f>IF($M99="","",IF(INDEX(請求記録!$AN$6:$AN$3005,$M99)="","",INDEX(請求記録!$AN$6:$AN$3005,$M99)))</f>
        <v/>
      </c>
      <c r="M99">
        <f>IFERROR(MATCH(94,請求記録!$AO$6:$AO$3005,0),"")</f>
        <v/>
      </c>
    </row>
    <row r="100">
      <c r="A100">
        <f>IF($M100="","",95)</f>
        <v/>
      </c>
      <c r="B100">
        <f>IF($M100="","",IF(INDEX(請求記録!$B$6:$B$3005,$M100)="","",INDEX(請求記録!$B$6:$B$3005,$M100)))</f>
        <v/>
      </c>
      <c r="C100">
        <f>IF($M100="","",IF(INDEX(請求記録!$X$6:$X$3005,$M100)="","",INDEX(請求記録!$X$6:$X$3005,$M100)))</f>
        <v/>
      </c>
      <c r="D100">
        <f>IF($M100="","",IF(INDEX(請求記録!$Y$6:$Y$3005,$M100)="","",INDEX(請求記録!$Y$6:$Y$3005,$M100)))</f>
        <v/>
      </c>
      <c r="E100">
        <f>IF($M100="","",IF(INDEX(請求記録!$Z$6:$Z$3005,$M100)="","",INDEX(請求記録!$Z$6:$Z$3005,$M100)))</f>
        <v/>
      </c>
      <c r="F100" s="19">
        <f>IF($M100="","",IF(INDEX(請求記録!$E$6:$E$3005,$M100)="","",INDEX(請求記録!$E$6:$E$3005,$M100)))</f>
        <v/>
      </c>
      <c r="G100" s="19">
        <f>IF($M100="","",IF(INDEX(請求記録!$AE$6:$AE$3005,$M100)="","",INDEX(請求記録!$AE$6:$AE$3005,$M100)))</f>
        <v/>
      </c>
      <c r="H100">
        <f>IF($M100="","",IF(INDEX(請求記録!$AG$6:$AG$3005,$M100)="","",INDEX(請求記録!$AG$6:$AG$3005,$M100)))</f>
        <v/>
      </c>
      <c r="I100" s="20">
        <f>IF($M100="","",IF(INDEX(請求記録!$AH$6:$AH$3005,$M100)="","",INDEX(請求記録!$AH$6:$AH$3005,$M100)))</f>
        <v/>
      </c>
      <c r="J100">
        <f>IF($M100="","",IF(INDEX(請求記録!$AK$6:$AK$3005,$M100)="","",INDEX(請求記録!$AK$6:$AK$3005,$M100)))</f>
        <v/>
      </c>
      <c r="K100" s="20">
        <f>IF($M100="","",IF(INDEX(請求記録!$AJ$6:$AJ$3005,$M100)="","",INDEX(請求記録!$AJ$6:$AJ$3005,$M100)))</f>
        <v/>
      </c>
      <c r="L100">
        <f>IF($M100="","",IF(INDEX(請求記録!$AN$6:$AN$3005,$M100)="","",INDEX(請求記録!$AN$6:$AN$3005,$M100)))</f>
        <v/>
      </c>
      <c r="M100">
        <f>IFERROR(MATCH(95,請求記録!$AO$6:$AO$3005,0),"")</f>
        <v/>
      </c>
    </row>
    <row r="101">
      <c r="A101">
        <f>IF($M101="","",96)</f>
        <v/>
      </c>
      <c r="B101">
        <f>IF($M101="","",IF(INDEX(請求記録!$B$6:$B$3005,$M101)="","",INDEX(請求記録!$B$6:$B$3005,$M101)))</f>
        <v/>
      </c>
      <c r="C101">
        <f>IF($M101="","",IF(INDEX(請求記録!$X$6:$X$3005,$M101)="","",INDEX(請求記録!$X$6:$X$3005,$M101)))</f>
        <v/>
      </c>
      <c r="D101">
        <f>IF($M101="","",IF(INDEX(請求記録!$Y$6:$Y$3005,$M101)="","",INDEX(請求記録!$Y$6:$Y$3005,$M101)))</f>
        <v/>
      </c>
      <c r="E101">
        <f>IF($M101="","",IF(INDEX(請求記録!$Z$6:$Z$3005,$M101)="","",INDEX(請求記録!$Z$6:$Z$3005,$M101)))</f>
        <v/>
      </c>
      <c r="F101" s="19">
        <f>IF($M101="","",IF(INDEX(請求記録!$E$6:$E$3005,$M101)="","",INDEX(請求記録!$E$6:$E$3005,$M101)))</f>
        <v/>
      </c>
      <c r="G101" s="19">
        <f>IF($M101="","",IF(INDEX(請求記録!$AE$6:$AE$3005,$M101)="","",INDEX(請求記録!$AE$6:$AE$3005,$M101)))</f>
        <v/>
      </c>
      <c r="H101">
        <f>IF($M101="","",IF(INDEX(請求記録!$AG$6:$AG$3005,$M101)="","",INDEX(請求記録!$AG$6:$AG$3005,$M101)))</f>
        <v/>
      </c>
      <c r="I101" s="20">
        <f>IF($M101="","",IF(INDEX(請求記録!$AH$6:$AH$3005,$M101)="","",INDEX(請求記録!$AH$6:$AH$3005,$M101)))</f>
        <v/>
      </c>
      <c r="J101">
        <f>IF($M101="","",IF(INDEX(請求記録!$AK$6:$AK$3005,$M101)="","",INDEX(請求記録!$AK$6:$AK$3005,$M101)))</f>
        <v/>
      </c>
      <c r="K101" s="20">
        <f>IF($M101="","",IF(INDEX(請求記録!$AJ$6:$AJ$3005,$M101)="","",INDEX(請求記録!$AJ$6:$AJ$3005,$M101)))</f>
        <v/>
      </c>
      <c r="L101">
        <f>IF($M101="","",IF(INDEX(請求記録!$AN$6:$AN$3005,$M101)="","",INDEX(請求記録!$AN$6:$AN$3005,$M101)))</f>
        <v/>
      </c>
      <c r="M101">
        <f>IFERROR(MATCH(96,請求記録!$AO$6:$AO$3005,0),"")</f>
        <v/>
      </c>
    </row>
    <row r="102">
      <c r="A102">
        <f>IF($M102="","",97)</f>
        <v/>
      </c>
      <c r="B102">
        <f>IF($M102="","",IF(INDEX(請求記録!$B$6:$B$3005,$M102)="","",INDEX(請求記録!$B$6:$B$3005,$M102)))</f>
        <v/>
      </c>
      <c r="C102">
        <f>IF($M102="","",IF(INDEX(請求記録!$X$6:$X$3005,$M102)="","",INDEX(請求記録!$X$6:$X$3005,$M102)))</f>
        <v/>
      </c>
      <c r="D102">
        <f>IF($M102="","",IF(INDEX(請求記録!$Y$6:$Y$3005,$M102)="","",INDEX(請求記録!$Y$6:$Y$3005,$M102)))</f>
        <v/>
      </c>
      <c r="E102">
        <f>IF($M102="","",IF(INDEX(請求記録!$Z$6:$Z$3005,$M102)="","",INDEX(請求記録!$Z$6:$Z$3005,$M102)))</f>
        <v/>
      </c>
      <c r="F102" s="19">
        <f>IF($M102="","",IF(INDEX(請求記録!$E$6:$E$3005,$M102)="","",INDEX(請求記録!$E$6:$E$3005,$M102)))</f>
        <v/>
      </c>
      <c r="G102" s="19">
        <f>IF($M102="","",IF(INDEX(請求記録!$AE$6:$AE$3005,$M102)="","",INDEX(請求記録!$AE$6:$AE$3005,$M102)))</f>
        <v/>
      </c>
      <c r="H102">
        <f>IF($M102="","",IF(INDEX(請求記録!$AG$6:$AG$3005,$M102)="","",INDEX(請求記録!$AG$6:$AG$3005,$M102)))</f>
        <v/>
      </c>
      <c r="I102" s="20">
        <f>IF($M102="","",IF(INDEX(請求記録!$AH$6:$AH$3005,$M102)="","",INDEX(請求記録!$AH$6:$AH$3005,$M102)))</f>
        <v/>
      </c>
      <c r="J102">
        <f>IF($M102="","",IF(INDEX(請求記録!$AK$6:$AK$3005,$M102)="","",INDEX(請求記録!$AK$6:$AK$3005,$M102)))</f>
        <v/>
      </c>
      <c r="K102" s="20">
        <f>IF($M102="","",IF(INDEX(請求記録!$AJ$6:$AJ$3005,$M102)="","",INDEX(請求記録!$AJ$6:$AJ$3005,$M102)))</f>
        <v/>
      </c>
      <c r="L102">
        <f>IF($M102="","",IF(INDEX(請求記録!$AN$6:$AN$3005,$M102)="","",INDEX(請求記録!$AN$6:$AN$3005,$M102)))</f>
        <v/>
      </c>
      <c r="M102">
        <f>IFERROR(MATCH(97,請求記録!$AO$6:$AO$3005,0),"")</f>
        <v/>
      </c>
    </row>
    <row r="103">
      <c r="A103">
        <f>IF($M103="","",98)</f>
        <v/>
      </c>
      <c r="B103">
        <f>IF($M103="","",IF(INDEX(請求記録!$B$6:$B$3005,$M103)="","",INDEX(請求記録!$B$6:$B$3005,$M103)))</f>
        <v/>
      </c>
      <c r="C103">
        <f>IF($M103="","",IF(INDEX(請求記録!$X$6:$X$3005,$M103)="","",INDEX(請求記録!$X$6:$X$3005,$M103)))</f>
        <v/>
      </c>
      <c r="D103">
        <f>IF($M103="","",IF(INDEX(請求記録!$Y$6:$Y$3005,$M103)="","",INDEX(請求記録!$Y$6:$Y$3005,$M103)))</f>
        <v/>
      </c>
      <c r="E103">
        <f>IF($M103="","",IF(INDEX(請求記録!$Z$6:$Z$3005,$M103)="","",INDEX(請求記録!$Z$6:$Z$3005,$M103)))</f>
        <v/>
      </c>
      <c r="F103" s="19">
        <f>IF($M103="","",IF(INDEX(請求記録!$E$6:$E$3005,$M103)="","",INDEX(請求記録!$E$6:$E$3005,$M103)))</f>
        <v/>
      </c>
      <c r="G103" s="19">
        <f>IF($M103="","",IF(INDEX(請求記録!$AE$6:$AE$3005,$M103)="","",INDEX(請求記録!$AE$6:$AE$3005,$M103)))</f>
        <v/>
      </c>
      <c r="H103">
        <f>IF($M103="","",IF(INDEX(請求記録!$AG$6:$AG$3005,$M103)="","",INDEX(請求記録!$AG$6:$AG$3005,$M103)))</f>
        <v/>
      </c>
      <c r="I103" s="20">
        <f>IF($M103="","",IF(INDEX(請求記録!$AH$6:$AH$3005,$M103)="","",INDEX(請求記録!$AH$6:$AH$3005,$M103)))</f>
        <v/>
      </c>
      <c r="J103">
        <f>IF($M103="","",IF(INDEX(請求記録!$AK$6:$AK$3005,$M103)="","",INDEX(請求記録!$AK$6:$AK$3005,$M103)))</f>
        <v/>
      </c>
      <c r="K103" s="20">
        <f>IF($M103="","",IF(INDEX(請求記録!$AJ$6:$AJ$3005,$M103)="","",INDEX(請求記録!$AJ$6:$AJ$3005,$M103)))</f>
        <v/>
      </c>
      <c r="L103">
        <f>IF($M103="","",IF(INDEX(請求記録!$AN$6:$AN$3005,$M103)="","",INDEX(請求記録!$AN$6:$AN$3005,$M103)))</f>
        <v/>
      </c>
      <c r="M103">
        <f>IFERROR(MATCH(98,請求記録!$AO$6:$AO$3005,0),"")</f>
        <v/>
      </c>
    </row>
    <row r="104">
      <c r="A104">
        <f>IF($M104="","",99)</f>
        <v/>
      </c>
      <c r="B104">
        <f>IF($M104="","",IF(INDEX(請求記録!$B$6:$B$3005,$M104)="","",INDEX(請求記録!$B$6:$B$3005,$M104)))</f>
        <v/>
      </c>
      <c r="C104">
        <f>IF($M104="","",IF(INDEX(請求記録!$X$6:$X$3005,$M104)="","",INDEX(請求記録!$X$6:$X$3005,$M104)))</f>
        <v/>
      </c>
      <c r="D104">
        <f>IF($M104="","",IF(INDEX(請求記録!$Y$6:$Y$3005,$M104)="","",INDEX(請求記録!$Y$6:$Y$3005,$M104)))</f>
        <v/>
      </c>
      <c r="E104">
        <f>IF($M104="","",IF(INDEX(請求記録!$Z$6:$Z$3005,$M104)="","",INDEX(請求記録!$Z$6:$Z$3005,$M104)))</f>
        <v/>
      </c>
      <c r="F104" s="19">
        <f>IF($M104="","",IF(INDEX(請求記録!$E$6:$E$3005,$M104)="","",INDEX(請求記録!$E$6:$E$3005,$M104)))</f>
        <v/>
      </c>
      <c r="G104" s="19">
        <f>IF($M104="","",IF(INDEX(請求記録!$AE$6:$AE$3005,$M104)="","",INDEX(請求記録!$AE$6:$AE$3005,$M104)))</f>
        <v/>
      </c>
      <c r="H104">
        <f>IF($M104="","",IF(INDEX(請求記録!$AG$6:$AG$3005,$M104)="","",INDEX(請求記録!$AG$6:$AG$3005,$M104)))</f>
        <v/>
      </c>
      <c r="I104" s="20">
        <f>IF($M104="","",IF(INDEX(請求記録!$AH$6:$AH$3005,$M104)="","",INDEX(請求記録!$AH$6:$AH$3005,$M104)))</f>
        <v/>
      </c>
      <c r="J104">
        <f>IF($M104="","",IF(INDEX(請求記録!$AK$6:$AK$3005,$M104)="","",INDEX(請求記録!$AK$6:$AK$3005,$M104)))</f>
        <v/>
      </c>
      <c r="K104" s="20">
        <f>IF($M104="","",IF(INDEX(請求記録!$AJ$6:$AJ$3005,$M104)="","",INDEX(請求記録!$AJ$6:$AJ$3005,$M104)))</f>
        <v/>
      </c>
      <c r="L104">
        <f>IF($M104="","",IF(INDEX(請求記録!$AN$6:$AN$3005,$M104)="","",INDEX(請求記録!$AN$6:$AN$3005,$M104)))</f>
        <v/>
      </c>
      <c r="M104">
        <f>IFERROR(MATCH(99,請求記録!$AO$6:$AO$3005,0),"")</f>
        <v/>
      </c>
    </row>
    <row r="105">
      <c r="A105">
        <f>IF($M105="","",100)</f>
        <v/>
      </c>
      <c r="B105">
        <f>IF($M105="","",IF(INDEX(請求記録!$B$6:$B$3005,$M105)="","",INDEX(請求記録!$B$6:$B$3005,$M105)))</f>
        <v/>
      </c>
      <c r="C105">
        <f>IF($M105="","",IF(INDEX(請求記録!$X$6:$X$3005,$M105)="","",INDEX(請求記録!$X$6:$X$3005,$M105)))</f>
        <v/>
      </c>
      <c r="D105">
        <f>IF($M105="","",IF(INDEX(請求記録!$Y$6:$Y$3005,$M105)="","",INDEX(請求記録!$Y$6:$Y$3005,$M105)))</f>
        <v/>
      </c>
      <c r="E105">
        <f>IF($M105="","",IF(INDEX(請求記録!$Z$6:$Z$3005,$M105)="","",INDEX(請求記録!$Z$6:$Z$3005,$M105)))</f>
        <v/>
      </c>
      <c r="F105" s="19">
        <f>IF($M105="","",IF(INDEX(請求記録!$E$6:$E$3005,$M105)="","",INDEX(請求記録!$E$6:$E$3005,$M105)))</f>
        <v/>
      </c>
      <c r="G105" s="19">
        <f>IF($M105="","",IF(INDEX(請求記録!$AE$6:$AE$3005,$M105)="","",INDEX(請求記録!$AE$6:$AE$3005,$M105)))</f>
        <v/>
      </c>
      <c r="H105">
        <f>IF($M105="","",IF(INDEX(請求記録!$AG$6:$AG$3005,$M105)="","",INDEX(請求記録!$AG$6:$AG$3005,$M105)))</f>
        <v/>
      </c>
      <c r="I105" s="20">
        <f>IF($M105="","",IF(INDEX(請求記録!$AH$6:$AH$3005,$M105)="","",INDEX(請求記録!$AH$6:$AH$3005,$M105)))</f>
        <v/>
      </c>
      <c r="J105">
        <f>IF($M105="","",IF(INDEX(請求記録!$AK$6:$AK$3005,$M105)="","",INDEX(請求記録!$AK$6:$AK$3005,$M105)))</f>
        <v/>
      </c>
      <c r="K105" s="20">
        <f>IF($M105="","",IF(INDEX(請求記録!$AJ$6:$AJ$3005,$M105)="","",INDEX(請求記録!$AJ$6:$AJ$3005,$M105)))</f>
        <v/>
      </c>
      <c r="L105">
        <f>IF($M105="","",IF(INDEX(請求記録!$AN$6:$AN$3005,$M105)="","",INDEX(請求記録!$AN$6:$AN$3005,$M105)))</f>
        <v/>
      </c>
      <c r="M105">
        <f>IFERROR(MATCH(100,請求記録!$AO$6:$AO$3005,0),"")</f>
        <v/>
      </c>
    </row>
    <row r="106">
      <c r="A106">
        <f>IF($M106="","",101)</f>
        <v/>
      </c>
      <c r="B106">
        <f>IF($M106="","",IF(INDEX(請求記録!$B$6:$B$3005,$M106)="","",INDEX(請求記録!$B$6:$B$3005,$M106)))</f>
        <v/>
      </c>
      <c r="C106">
        <f>IF($M106="","",IF(INDEX(請求記録!$X$6:$X$3005,$M106)="","",INDEX(請求記録!$X$6:$X$3005,$M106)))</f>
        <v/>
      </c>
      <c r="D106">
        <f>IF($M106="","",IF(INDEX(請求記録!$Y$6:$Y$3005,$M106)="","",INDEX(請求記録!$Y$6:$Y$3005,$M106)))</f>
        <v/>
      </c>
      <c r="E106">
        <f>IF($M106="","",IF(INDEX(請求記録!$Z$6:$Z$3005,$M106)="","",INDEX(請求記録!$Z$6:$Z$3005,$M106)))</f>
        <v/>
      </c>
      <c r="F106" s="19">
        <f>IF($M106="","",IF(INDEX(請求記録!$E$6:$E$3005,$M106)="","",INDEX(請求記録!$E$6:$E$3005,$M106)))</f>
        <v/>
      </c>
      <c r="G106" s="19">
        <f>IF($M106="","",IF(INDEX(請求記録!$AE$6:$AE$3005,$M106)="","",INDEX(請求記録!$AE$6:$AE$3005,$M106)))</f>
        <v/>
      </c>
      <c r="H106">
        <f>IF($M106="","",IF(INDEX(請求記録!$AG$6:$AG$3005,$M106)="","",INDEX(請求記録!$AG$6:$AG$3005,$M106)))</f>
        <v/>
      </c>
      <c r="I106" s="20">
        <f>IF($M106="","",IF(INDEX(請求記録!$AH$6:$AH$3005,$M106)="","",INDEX(請求記録!$AH$6:$AH$3005,$M106)))</f>
        <v/>
      </c>
      <c r="J106">
        <f>IF($M106="","",IF(INDEX(請求記録!$AK$6:$AK$3005,$M106)="","",INDEX(請求記録!$AK$6:$AK$3005,$M106)))</f>
        <v/>
      </c>
      <c r="K106" s="20">
        <f>IF($M106="","",IF(INDEX(請求記録!$AJ$6:$AJ$3005,$M106)="","",INDEX(請求記録!$AJ$6:$AJ$3005,$M106)))</f>
        <v/>
      </c>
      <c r="L106">
        <f>IF($M106="","",IF(INDEX(請求記録!$AN$6:$AN$3005,$M106)="","",INDEX(請求記録!$AN$6:$AN$3005,$M106)))</f>
        <v/>
      </c>
      <c r="M106">
        <f>IFERROR(MATCH(101,請求記録!$AO$6:$AO$3005,0),"")</f>
        <v/>
      </c>
    </row>
    <row r="107">
      <c r="A107">
        <f>IF($M107="","",102)</f>
        <v/>
      </c>
      <c r="B107">
        <f>IF($M107="","",IF(INDEX(請求記録!$B$6:$B$3005,$M107)="","",INDEX(請求記録!$B$6:$B$3005,$M107)))</f>
        <v/>
      </c>
      <c r="C107">
        <f>IF($M107="","",IF(INDEX(請求記録!$X$6:$X$3005,$M107)="","",INDEX(請求記録!$X$6:$X$3005,$M107)))</f>
        <v/>
      </c>
      <c r="D107">
        <f>IF($M107="","",IF(INDEX(請求記録!$Y$6:$Y$3005,$M107)="","",INDEX(請求記録!$Y$6:$Y$3005,$M107)))</f>
        <v/>
      </c>
      <c r="E107">
        <f>IF($M107="","",IF(INDEX(請求記録!$Z$6:$Z$3005,$M107)="","",INDEX(請求記録!$Z$6:$Z$3005,$M107)))</f>
        <v/>
      </c>
      <c r="F107" s="19">
        <f>IF($M107="","",IF(INDEX(請求記録!$E$6:$E$3005,$M107)="","",INDEX(請求記録!$E$6:$E$3005,$M107)))</f>
        <v/>
      </c>
      <c r="G107" s="19">
        <f>IF($M107="","",IF(INDEX(請求記録!$AE$6:$AE$3005,$M107)="","",INDEX(請求記録!$AE$6:$AE$3005,$M107)))</f>
        <v/>
      </c>
      <c r="H107">
        <f>IF($M107="","",IF(INDEX(請求記録!$AG$6:$AG$3005,$M107)="","",INDEX(請求記録!$AG$6:$AG$3005,$M107)))</f>
        <v/>
      </c>
      <c r="I107" s="20">
        <f>IF($M107="","",IF(INDEX(請求記録!$AH$6:$AH$3005,$M107)="","",INDEX(請求記録!$AH$6:$AH$3005,$M107)))</f>
        <v/>
      </c>
      <c r="J107">
        <f>IF($M107="","",IF(INDEX(請求記録!$AK$6:$AK$3005,$M107)="","",INDEX(請求記録!$AK$6:$AK$3005,$M107)))</f>
        <v/>
      </c>
      <c r="K107" s="20">
        <f>IF($M107="","",IF(INDEX(請求記録!$AJ$6:$AJ$3005,$M107)="","",INDEX(請求記録!$AJ$6:$AJ$3005,$M107)))</f>
        <v/>
      </c>
      <c r="L107">
        <f>IF($M107="","",IF(INDEX(請求記録!$AN$6:$AN$3005,$M107)="","",INDEX(請求記録!$AN$6:$AN$3005,$M107)))</f>
        <v/>
      </c>
      <c r="M107">
        <f>IFERROR(MATCH(102,請求記録!$AO$6:$AO$3005,0),"")</f>
        <v/>
      </c>
    </row>
    <row r="108">
      <c r="A108">
        <f>IF($M108="","",103)</f>
        <v/>
      </c>
      <c r="B108">
        <f>IF($M108="","",IF(INDEX(請求記録!$B$6:$B$3005,$M108)="","",INDEX(請求記録!$B$6:$B$3005,$M108)))</f>
        <v/>
      </c>
      <c r="C108">
        <f>IF($M108="","",IF(INDEX(請求記録!$X$6:$X$3005,$M108)="","",INDEX(請求記録!$X$6:$X$3005,$M108)))</f>
        <v/>
      </c>
      <c r="D108">
        <f>IF($M108="","",IF(INDEX(請求記録!$Y$6:$Y$3005,$M108)="","",INDEX(請求記録!$Y$6:$Y$3005,$M108)))</f>
        <v/>
      </c>
      <c r="E108">
        <f>IF($M108="","",IF(INDEX(請求記録!$Z$6:$Z$3005,$M108)="","",INDEX(請求記録!$Z$6:$Z$3005,$M108)))</f>
        <v/>
      </c>
      <c r="F108" s="19">
        <f>IF($M108="","",IF(INDEX(請求記録!$E$6:$E$3005,$M108)="","",INDEX(請求記録!$E$6:$E$3005,$M108)))</f>
        <v/>
      </c>
      <c r="G108" s="19">
        <f>IF($M108="","",IF(INDEX(請求記録!$AE$6:$AE$3005,$M108)="","",INDEX(請求記録!$AE$6:$AE$3005,$M108)))</f>
        <v/>
      </c>
      <c r="H108">
        <f>IF($M108="","",IF(INDEX(請求記録!$AG$6:$AG$3005,$M108)="","",INDEX(請求記録!$AG$6:$AG$3005,$M108)))</f>
        <v/>
      </c>
      <c r="I108" s="20">
        <f>IF($M108="","",IF(INDEX(請求記録!$AH$6:$AH$3005,$M108)="","",INDEX(請求記録!$AH$6:$AH$3005,$M108)))</f>
        <v/>
      </c>
      <c r="J108">
        <f>IF($M108="","",IF(INDEX(請求記録!$AK$6:$AK$3005,$M108)="","",INDEX(請求記録!$AK$6:$AK$3005,$M108)))</f>
        <v/>
      </c>
      <c r="K108" s="20">
        <f>IF($M108="","",IF(INDEX(請求記録!$AJ$6:$AJ$3005,$M108)="","",INDEX(請求記録!$AJ$6:$AJ$3005,$M108)))</f>
        <v/>
      </c>
      <c r="L108">
        <f>IF($M108="","",IF(INDEX(請求記録!$AN$6:$AN$3005,$M108)="","",INDEX(請求記録!$AN$6:$AN$3005,$M108)))</f>
        <v/>
      </c>
      <c r="M108">
        <f>IFERROR(MATCH(103,請求記録!$AO$6:$AO$3005,0),"")</f>
        <v/>
      </c>
    </row>
    <row r="109">
      <c r="A109">
        <f>IF($M109="","",104)</f>
        <v/>
      </c>
      <c r="B109">
        <f>IF($M109="","",IF(INDEX(請求記録!$B$6:$B$3005,$M109)="","",INDEX(請求記録!$B$6:$B$3005,$M109)))</f>
        <v/>
      </c>
      <c r="C109">
        <f>IF($M109="","",IF(INDEX(請求記録!$X$6:$X$3005,$M109)="","",INDEX(請求記録!$X$6:$X$3005,$M109)))</f>
        <v/>
      </c>
      <c r="D109">
        <f>IF($M109="","",IF(INDEX(請求記録!$Y$6:$Y$3005,$M109)="","",INDEX(請求記録!$Y$6:$Y$3005,$M109)))</f>
        <v/>
      </c>
      <c r="E109">
        <f>IF($M109="","",IF(INDEX(請求記録!$Z$6:$Z$3005,$M109)="","",INDEX(請求記録!$Z$6:$Z$3005,$M109)))</f>
        <v/>
      </c>
      <c r="F109" s="19">
        <f>IF($M109="","",IF(INDEX(請求記録!$E$6:$E$3005,$M109)="","",INDEX(請求記録!$E$6:$E$3005,$M109)))</f>
        <v/>
      </c>
      <c r="G109" s="19">
        <f>IF($M109="","",IF(INDEX(請求記録!$AE$6:$AE$3005,$M109)="","",INDEX(請求記録!$AE$6:$AE$3005,$M109)))</f>
        <v/>
      </c>
      <c r="H109">
        <f>IF($M109="","",IF(INDEX(請求記録!$AG$6:$AG$3005,$M109)="","",INDEX(請求記録!$AG$6:$AG$3005,$M109)))</f>
        <v/>
      </c>
      <c r="I109" s="20">
        <f>IF($M109="","",IF(INDEX(請求記録!$AH$6:$AH$3005,$M109)="","",INDEX(請求記録!$AH$6:$AH$3005,$M109)))</f>
        <v/>
      </c>
      <c r="J109">
        <f>IF($M109="","",IF(INDEX(請求記録!$AK$6:$AK$3005,$M109)="","",INDEX(請求記録!$AK$6:$AK$3005,$M109)))</f>
        <v/>
      </c>
      <c r="K109" s="20">
        <f>IF($M109="","",IF(INDEX(請求記録!$AJ$6:$AJ$3005,$M109)="","",INDEX(請求記録!$AJ$6:$AJ$3005,$M109)))</f>
        <v/>
      </c>
      <c r="L109">
        <f>IF($M109="","",IF(INDEX(請求記録!$AN$6:$AN$3005,$M109)="","",INDEX(請求記録!$AN$6:$AN$3005,$M109)))</f>
        <v/>
      </c>
      <c r="M109">
        <f>IFERROR(MATCH(104,請求記録!$AO$6:$AO$3005,0),"")</f>
        <v/>
      </c>
    </row>
    <row r="110">
      <c r="A110">
        <f>IF($M110="","",105)</f>
        <v/>
      </c>
      <c r="B110">
        <f>IF($M110="","",IF(INDEX(請求記録!$B$6:$B$3005,$M110)="","",INDEX(請求記録!$B$6:$B$3005,$M110)))</f>
        <v/>
      </c>
      <c r="C110">
        <f>IF($M110="","",IF(INDEX(請求記録!$X$6:$X$3005,$M110)="","",INDEX(請求記録!$X$6:$X$3005,$M110)))</f>
        <v/>
      </c>
      <c r="D110">
        <f>IF($M110="","",IF(INDEX(請求記録!$Y$6:$Y$3005,$M110)="","",INDEX(請求記録!$Y$6:$Y$3005,$M110)))</f>
        <v/>
      </c>
      <c r="E110">
        <f>IF($M110="","",IF(INDEX(請求記録!$Z$6:$Z$3005,$M110)="","",INDEX(請求記録!$Z$6:$Z$3005,$M110)))</f>
        <v/>
      </c>
      <c r="F110" s="19">
        <f>IF($M110="","",IF(INDEX(請求記録!$E$6:$E$3005,$M110)="","",INDEX(請求記録!$E$6:$E$3005,$M110)))</f>
        <v/>
      </c>
      <c r="G110" s="19">
        <f>IF($M110="","",IF(INDEX(請求記録!$AE$6:$AE$3005,$M110)="","",INDEX(請求記録!$AE$6:$AE$3005,$M110)))</f>
        <v/>
      </c>
      <c r="H110">
        <f>IF($M110="","",IF(INDEX(請求記録!$AG$6:$AG$3005,$M110)="","",INDEX(請求記録!$AG$6:$AG$3005,$M110)))</f>
        <v/>
      </c>
      <c r="I110" s="20">
        <f>IF($M110="","",IF(INDEX(請求記録!$AH$6:$AH$3005,$M110)="","",INDEX(請求記録!$AH$6:$AH$3005,$M110)))</f>
        <v/>
      </c>
      <c r="J110">
        <f>IF($M110="","",IF(INDEX(請求記録!$AK$6:$AK$3005,$M110)="","",INDEX(請求記録!$AK$6:$AK$3005,$M110)))</f>
        <v/>
      </c>
      <c r="K110" s="20">
        <f>IF($M110="","",IF(INDEX(請求記録!$AJ$6:$AJ$3005,$M110)="","",INDEX(請求記録!$AJ$6:$AJ$3005,$M110)))</f>
        <v/>
      </c>
      <c r="L110">
        <f>IF($M110="","",IF(INDEX(請求記録!$AN$6:$AN$3005,$M110)="","",INDEX(請求記録!$AN$6:$AN$3005,$M110)))</f>
        <v/>
      </c>
      <c r="M110">
        <f>IFERROR(MATCH(105,請求記録!$AO$6:$AO$3005,0),"")</f>
        <v/>
      </c>
    </row>
    <row r="111">
      <c r="A111">
        <f>IF($M111="","",106)</f>
        <v/>
      </c>
      <c r="B111">
        <f>IF($M111="","",IF(INDEX(請求記録!$B$6:$B$3005,$M111)="","",INDEX(請求記録!$B$6:$B$3005,$M111)))</f>
        <v/>
      </c>
      <c r="C111">
        <f>IF($M111="","",IF(INDEX(請求記録!$X$6:$X$3005,$M111)="","",INDEX(請求記録!$X$6:$X$3005,$M111)))</f>
        <v/>
      </c>
      <c r="D111">
        <f>IF($M111="","",IF(INDEX(請求記録!$Y$6:$Y$3005,$M111)="","",INDEX(請求記録!$Y$6:$Y$3005,$M111)))</f>
        <v/>
      </c>
      <c r="E111">
        <f>IF($M111="","",IF(INDEX(請求記録!$Z$6:$Z$3005,$M111)="","",INDEX(請求記録!$Z$6:$Z$3005,$M111)))</f>
        <v/>
      </c>
      <c r="F111" s="19">
        <f>IF($M111="","",IF(INDEX(請求記録!$E$6:$E$3005,$M111)="","",INDEX(請求記録!$E$6:$E$3005,$M111)))</f>
        <v/>
      </c>
      <c r="G111" s="19">
        <f>IF($M111="","",IF(INDEX(請求記録!$AE$6:$AE$3005,$M111)="","",INDEX(請求記録!$AE$6:$AE$3005,$M111)))</f>
        <v/>
      </c>
      <c r="H111">
        <f>IF($M111="","",IF(INDEX(請求記録!$AG$6:$AG$3005,$M111)="","",INDEX(請求記録!$AG$6:$AG$3005,$M111)))</f>
        <v/>
      </c>
      <c r="I111" s="20">
        <f>IF($M111="","",IF(INDEX(請求記録!$AH$6:$AH$3005,$M111)="","",INDEX(請求記録!$AH$6:$AH$3005,$M111)))</f>
        <v/>
      </c>
      <c r="J111">
        <f>IF($M111="","",IF(INDEX(請求記録!$AK$6:$AK$3005,$M111)="","",INDEX(請求記録!$AK$6:$AK$3005,$M111)))</f>
        <v/>
      </c>
      <c r="K111" s="20">
        <f>IF($M111="","",IF(INDEX(請求記録!$AJ$6:$AJ$3005,$M111)="","",INDEX(請求記録!$AJ$6:$AJ$3005,$M111)))</f>
        <v/>
      </c>
      <c r="L111">
        <f>IF($M111="","",IF(INDEX(請求記録!$AN$6:$AN$3005,$M111)="","",INDEX(請求記録!$AN$6:$AN$3005,$M111)))</f>
        <v/>
      </c>
      <c r="M111">
        <f>IFERROR(MATCH(106,請求記録!$AO$6:$AO$3005,0),"")</f>
        <v/>
      </c>
    </row>
    <row r="112">
      <c r="A112">
        <f>IF($M112="","",107)</f>
        <v/>
      </c>
      <c r="B112">
        <f>IF($M112="","",IF(INDEX(請求記録!$B$6:$B$3005,$M112)="","",INDEX(請求記録!$B$6:$B$3005,$M112)))</f>
        <v/>
      </c>
      <c r="C112">
        <f>IF($M112="","",IF(INDEX(請求記録!$X$6:$X$3005,$M112)="","",INDEX(請求記録!$X$6:$X$3005,$M112)))</f>
        <v/>
      </c>
      <c r="D112">
        <f>IF($M112="","",IF(INDEX(請求記録!$Y$6:$Y$3005,$M112)="","",INDEX(請求記録!$Y$6:$Y$3005,$M112)))</f>
        <v/>
      </c>
      <c r="E112">
        <f>IF($M112="","",IF(INDEX(請求記録!$Z$6:$Z$3005,$M112)="","",INDEX(請求記録!$Z$6:$Z$3005,$M112)))</f>
        <v/>
      </c>
      <c r="F112" s="19">
        <f>IF($M112="","",IF(INDEX(請求記録!$E$6:$E$3005,$M112)="","",INDEX(請求記録!$E$6:$E$3005,$M112)))</f>
        <v/>
      </c>
      <c r="G112" s="19">
        <f>IF($M112="","",IF(INDEX(請求記録!$AE$6:$AE$3005,$M112)="","",INDEX(請求記録!$AE$6:$AE$3005,$M112)))</f>
        <v/>
      </c>
      <c r="H112">
        <f>IF($M112="","",IF(INDEX(請求記録!$AG$6:$AG$3005,$M112)="","",INDEX(請求記録!$AG$6:$AG$3005,$M112)))</f>
        <v/>
      </c>
      <c r="I112" s="20">
        <f>IF($M112="","",IF(INDEX(請求記録!$AH$6:$AH$3005,$M112)="","",INDEX(請求記録!$AH$6:$AH$3005,$M112)))</f>
        <v/>
      </c>
      <c r="J112">
        <f>IF($M112="","",IF(INDEX(請求記録!$AK$6:$AK$3005,$M112)="","",INDEX(請求記録!$AK$6:$AK$3005,$M112)))</f>
        <v/>
      </c>
      <c r="K112" s="20">
        <f>IF($M112="","",IF(INDEX(請求記録!$AJ$6:$AJ$3005,$M112)="","",INDEX(請求記録!$AJ$6:$AJ$3005,$M112)))</f>
        <v/>
      </c>
      <c r="L112">
        <f>IF($M112="","",IF(INDEX(請求記録!$AN$6:$AN$3005,$M112)="","",INDEX(請求記録!$AN$6:$AN$3005,$M112)))</f>
        <v/>
      </c>
      <c r="M112">
        <f>IFERROR(MATCH(107,請求記録!$AO$6:$AO$3005,0),"")</f>
        <v/>
      </c>
    </row>
    <row r="113">
      <c r="A113">
        <f>IF($M113="","",108)</f>
        <v/>
      </c>
      <c r="B113">
        <f>IF($M113="","",IF(INDEX(請求記録!$B$6:$B$3005,$M113)="","",INDEX(請求記録!$B$6:$B$3005,$M113)))</f>
        <v/>
      </c>
      <c r="C113">
        <f>IF($M113="","",IF(INDEX(請求記録!$X$6:$X$3005,$M113)="","",INDEX(請求記録!$X$6:$X$3005,$M113)))</f>
        <v/>
      </c>
      <c r="D113">
        <f>IF($M113="","",IF(INDEX(請求記録!$Y$6:$Y$3005,$M113)="","",INDEX(請求記録!$Y$6:$Y$3005,$M113)))</f>
        <v/>
      </c>
      <c r="E113">
        <f>IF($M113="","",IF(INDEX(請求記録!$Z$6:$Z$3005,$M113)="","",INDEX(請求記録!$Z$6:$Z$3005,$M113)))</f>
        <v/>
      </c>
      <c r="F113" s="19">
        <f>IF($M113="","",IF(INDEX(請求記録!$E$6:$E$3005,$M113)="","",INDEX(請求記録!$E$6:$E$3005,$M113)))</f>
        <v/>
      </c>
      <c r="G113" s="19">
        <f>IF($M113="","",IF(INDEX(請求記録!$AE$6:$AE$3005,$M113)="","",INDEX(請求記録!$AE$6:$AE$3005,$M113)))</f>
        <v/>
      </c>
      <c r="H113">
        <f>IF($M113="","",IF(INDEX(請求記録!$AG$6:$AG$3005,$M113)="","",INDEX(請求記録!$AG$6:$AG$3005,$M113)))</f>
        <v/>
      </c>
      <c r="I113" s="20">
        <f>IF($M113="","",IF(INDEX(請求記録!$AH$6:$AH$3005,$M113)="","",INDEX(請求記録!$AH$6:$AH$3005,$M113)))</f>
        <v/>
      </c>
      <c r="J113">
        <f>IF($M113="","",IF(INDEX(請求記録!$AK$6:$AK$3005,$M113)="","",INDEX(請求記録!$AK$6:$AK$3005,$M113)))</f>
        <v/>
      </c>
      <c r="K113" s="20">
        <f>IF($M113="","",IF(INDEX(請求記録!$AJ$6:$AJ$3005,$M113)="","",INDEX(請求記録!$AJ$6:$AJ$3005,$M113)))</f>
        <v/>
      </c>
      <c r="L113">
        <f>IF($M113="","",IF(INDEX(請求記録!$AN$6:$AN$3005,$M113)="","",INDEX(請求記録!$AN$6:$AN$3005,$M113)))</f>
        <v/>
      </c>
      <c r="M113">
        <f>IFERROR(MATCH(108,請求記録!$AO$6:$AO$3005,0),"")</f>
        <v/>
      </c>
    </row>
    <row r="114">
      <c r="A114">
        <f>IF($M114="","",109)</f>
        <v/>
      </c>
      <c r="B114">
        <f>IF($M114="","",IF(INDEX(請求記録!$B$6:$B$3005,$M114)="","",INDEX(請求記録!$B$6:$B$3005,$M114)))</f>
        <v/>
      </c>
      <c r="C114">
        <f>IF($M114="","",IF(INDEX(請求記録!$X$6:$X$3005,$M114)="","",INDEX(請求記録!$X$6:$X$3005,$M114)))</f>
        <v/>
      </c>
      <c r="D114">
        <f>IF($M114="","",IF(INDEX(請求記録!$Y$6:$Y$3005,$M114)="","",INDEX(請求記録!$Y$6:$Y$3005,$M114)))</f>
        <v/>
      </c>
      <c r="E114">
        <f>IF($M114="","",IF(INDEX(請求記録!$Z$6:$Z$3005,$M114)="","",INDEX(請求記録!$Z$6:$Z$3005,$M114)))</f>
        <v/>
      </c>
      <c r="F114" s="19">
        <f>IF($M114="","",IF(INDEX(請求記録!$E$6:$E$3005,$M114)="","",INDEX(請求記録!$E$6:$E$3005,$M114)))</f>
        <v/>
      </c>
      <c r="G114" s="19">
        <f>IF($M114="","",IF(INDEX(請求記録!$AE$6:$AE$3005,$M114)="","",INDEX(請求記録!$AE$6:$AE$3005,$M114)))</f>
        <v/>
      </c>
      <c r="H114">
        <f>IF($M114="","",IF(INDEX(請求記録!$AG$6:$AG$3005,$M114)="","",INDEX(請求記録!$AG$6:$AG$3005,$M114)))</f>
        <v/>
      </c>
      <c r="I114" s="20">
        <f>IF($M114="","",IF(INDEX(請求記録!$AH$6:$AH$3005,$M114)="","",INDEX(請求記録!$AH$6:$AH$3005,$M114)))</f>
        <v/>
      </c>
      <c r="J114">
        <f>IF($M114="","",IF(INDEX(請求記録!$AK$6:$AK$3005,$M114)="","",INDEX(請求記録!$AK$6:$AK$3005,$M114)))</f>
        <v/>
      </c>
      <c r="K114" s="20">
        <f>IF($M114="","",IF(INDEX(請求記録!$AJ$6:$AJ$3005,$M114)="","",INDEX(請求記録!$AJ$6:$AJ$3005,$M114)))</f>
        <v/>
      </c>
      <c r="L114">
        <f>IF($M114="","",IF(INDEX(請求記録!$AN$6:$AN$3005,$M114)="","",INDEX(請求記録!$AN$6:$AN$3005,$M114)))</f>
        <v/>
      </c>
      <c r="M114">
        <f>IFERROR(MATCH(109,請求記録!$AO$6:$AO$3005,0),"")</f>
        <v/>
      </c>
    </row>
    <row r="115">
      <c r="A115">
        <f>IF($M115="","",110)</f>
        <v/>
      </c>
      <c r="B115">
        <f>IF($M115="","",IF(INDEX(請求記録!$B$6:$B$3005,$M115)="","",INDEX(請求記録!$B$6:$B$3005,$M115)))</f>
        <v/>
      </c>
      <c r="C115">
        <f>IF($M115="","",IF(INDEX(請求記録!$X$6:$X$3005,$M115)="","",INDEX(請求記録!$X$6:$X$3005,$M115)))</f>
        <v/>
      </c>
      <c r="D115">
        <f>IF($M115="","",IF(INDEX(請求記録!$Y$6:$Y$3005,$M115)="","",INDEX(請求記録!$Y$6:$Y$3005,$M115)))</f>
        <v/>
      </c>
      <c r="E115">
        <f>IF($M115="","",IF(INDEX(請求記録!$Z$6:$Z$3005,$M115)="","",INDEX(請求記録!$Z$6:$Z$3005,$M115)))</f>
        <v/>
      </c>
      <c r="F115" s="19">
        <f>IF($M115="","",IF(INDEX(請求記録!$E$6:$E$3005,$M115)="","",INDEX(請求記録!$E$6:$E$3005,$M115)))</f>
        <v/>
      </c>
      <c r="G115" s="19">
        <f>IF($M115="","",IF(INDEX(請求記録!$AE$6:$AE$3005,$M115)="","",INDEX(請求記録!$AE$6:$AE$3005,$M115)))</f>
        <v/>
      </c>
      <c r="H115">
        <f>IF($M115="","",IF(INDEX(請求記録!$AG$6:$AG$3005,$M115)="","",INDEX(請求記録!$AG$6:$AG$3005,$M115)))</f>
        <v/>
      </c>
      <c r="I115" s="20">
        <f>IF($M115="","",IF(INDEX(請求記録!$AH$6:$AH$3005,$M115)="","",INDEX(請求記録!$AH$6:$AH$3005,$M115)))</f>
        <v/>
      </c>
      <c r="J115">
        <f>IF($M115="","",IF(INDEX(請求記録!$AK$6:$AK$3005,$M115)="","",INDEX(請求記録!$AK$6:$AK$3005,$M115)))</f>
        <v/>
      </c>
      <c r="K115" s="20">
        <f>IF($M115="","",IF(INDEX(請求記録!$AJ$6:$AJ$3005,$M115)="","",INDEX(請求記録!$AJ$6:$AJ$3005,$M115)))</f>
        <v/>
      </c>
      <c r="L115">
        <f>IF($M115="","",IF(INDEX(請求記録!$AN$6:$AN$3005,$M115)="","",INDEX(請求記録!$AN$6:$AN$3005,$M115)))</f>
        <v/>
      </c>
      <c r="M115">
        <f>IFERROR(MATCH(110,請求記録!$AO$6:$AO$3005,0),"")</f>
        <v/>
      </c>
    </row>
    <row r="116">
      <c r="A116">
        <f>IF($M116="","",111)</f>
        <v/>
      </c>
      <c r="B116">
        <f>IF($M116="","",IF(INDEX(請求記録!$B$6:$B$3005,$M116)="","",INDEX(請求記録!$B$6:$B$3005,$M116)))</f>
        <v/>
      </c>
      <c r="C116">
        <f>IF($M116="","",IF(INDEX(請求記録!$X$6:$X$3005,$M116)="","",INDEX(請求記録!$X$6:$X$3005,$M116)))</f>
        <v/>
      </c>
      <c r="D116">
        <f>IF($M116="","",IF(INDEX(請求記録!$Y$6:$Y$3005,$M116)="","",INDEX(請求記録!$Y$6:$Y$3005,$M116)))</f>
        <v/>
      </c>
      <c r="E116">
        <f>IF($M116="","",IF(INDEX(請求記録!$Z$6:$Z$3005,$M116)="","",INDEX(請求記録!$Z$6:$Z$3005,$M116)))</f>
        <v/>
      </c>
      <c r="F116" s="19">
        <f>IF($M116="","",IF(INDEX(請求記録!$E$6:$E$3005,$M116)="","",INDEX(請求記録!$E$6:$E$3005,$M116)))</f>
        <v/>
      </c>
      <c r="G116" s="19">
        <f>IF($M116="","",IF(INDEX(請求記録!$AE$6:$AE$3005,$M116)="","",INDEX(請求記録!$AE$6:$AE$3005,$M116)))</f>
        <v/>
      </c>
      <c r="H116">
        <f>IF($M116="","",IF(INDEX(請求記録!$AG$6:$AG$3005,$M116)="","",INDEX(請求記録!$AG$6:$AG$3005,$M116)))</f>
        <v/>
      </c>
      <c r="I116" s="20">
        <f>IF($M116="","",IF(INDEX(請求記録!$AH$6:$AH$3005,$M116)="","",INDEX(請求記録!$AH$6:$AH$3005,$M116)))</f>
        <v/>
      </c>
      <c r="J116">
        <f>IF($M116="","",IF(INDEX(請求記録!$AK$6:$AK$3005,$M116)="","",INDEX(請求記録!$AK$6:$AK$3005,$M116)))</f>
        <v/>
      </c>
      <c r="K116" s="20">
        <f>IF($M116="","",IF(INDEX(請求記録!$AJ$6:$AJ$3005,$M116)="","",INDEX(請求記録!$AJ$6:$AJ$3005,$M116)))</f>
        <v/>
      </c>
      <c r="L116">
        <f>IF($M116="","",IF(INDEX(請求記録!$AN$6:$AN$3005,$M116)="","",INDEX(請求記録!$AN$6:$AN$3005,$M116)))</f>
        <v/>
      </c>
      <c r="M116">
        <f>IFERROR(MATCH(111,請求記録!$AO$6:$AO$3005,0),"")</f>
        <v/>
      </c>
    </row>
    <row r="117">
      <c r="A117">
        <f>IF($M117="","",112)</f>
        <v/>
      </c>
      <c r="B117">
        <f>IF($M117="","",IF(INDEX(請求記録!$B$6:$B$3005,$M117)="","",INDEX(請求記録!$B$6:$B$3005,$M117)))</f>
        <v/>
      </c>
      <c r="C117">
        <f>IF($M117="","",IF(INDEX(請求記録!$X$6:$X$3005,$M117)="","",INDEX(請求記録!$X$6:$X$3005,$M117)))</f>
        <v/>
      </c>
      <c r="D117">
        <f>IF($M117="","",IF(INDEX(請求記録!$Y$6:$Y$3005,$M117)="","",INDEX(請求記録!$Y$6:$Y$3005,$M117)))</f>
        <v/>
      </c>
      <c r="E117">
        <f>IF($M117="","",IF(INDEX(請求記録!$Z$6:$Z$3005,$M117)="","",INDEX(請求記録!$Z$6:$Z$3005,$M117)))</f>
        <v/>
      </c>
      <c r="F117" s="19">
        <f>IF($M117="","",IF(INDEX(請求記録!$E$6:$E$3005,$M117)="","",INDEX(請求記録!$E$6:$E$3005,$M117)))</f>
        <v/>
      </c>
      <c r="G117" s="19">
        <f>IF($M117="","",IF(INDEX(請求記録!$AE$6:$AE$3005,$M117)="","",INDEX(請求記録!$AE$6:$AE$3005,$M117)))</f>
        <v/>
      </c>
      <c r="H117">
        <f>IF($M117="","",IF(INDEX(請求記録!$AG$6:$AG$3005,$M117)="","",INDEX(請求記録!$AG$6:$AG$3005,$M117)))</f>
        <v/>
      </c>
      <c r="I117" s="20">
        <f>IF($M117="","",IF(INDEX(請求記録!$AH$6:$AH$3005,$M117)="","",INDEX(請求記録!$AH$6:$AH$3005,$M117)))</f>
        <v/>
      </c>
      <c r="J117">
        <f>IF($M117="","",IF(INDEX(請求記録!$AK$6:$AK$3005,$M117)="","",INDEX(請求記録!$AK$6:$AK$3005,$M117)))</f>
        <v/>
      </c>
      <c r="K117" s="20">
        <f>IF($M117="","",IF(INDEX(請求記録!$AJ$6:$AJ$3005,$M117)="","",INDEX(請求記録!$AJ$6:$AJ$3005,$M117)))</f>
        <v/>
      </c>
      <c r="L117">
        <f>IF($M117="","",IF(INDEX(請求記録!$AN$6:$AN$3005,$M117)="","",INDEX(請求記録!$AN$6:$AN$3005,$M117)))</f>
        <v/>
      </c>
      <c r="M117">
        <f>IFERROR(MATCH(112,請求記録!$AO$6:$AO$3005,0),"")</f>
        <v/>
      </c>
    </row>
    <row r="118">
      <c r="A118">
        <f>IF($M118="","",113)</f>
        <v/>
      </c>
      <c r="B118">
        <f>IF($M118="","",IF(INDEX(請求記録!$B$6:$B$3005,$M118)="","",INDEX(請求記録!$B$6:$B$3005,$M118)))</f>
        <v/>
      </c>
      <c r="C118">
        <f>IF($M118="","",IF(INDEX(請求記録!$X$6:$X$3005,$M118)="","",INDEX(請求記録!$X$6:$X$3005,$M118)))</f>
        <v/>
      </c>
      <c r="D118">
        <f>IF($M118="","",IF(INDEX(請求記録!$Y$6:$Y$3005,$M118)="","",INDEX(請求記録!$Y$6:$Y$3005,$M118)))</f>
        <v/>
      </c>
      <c r="E118">
        <f>IF($M118="","",IF(INDEX(請求記録!$Z$6:$Z$3005,$M118)="","",INDEX(請求記録!$Z$6:$Z$3005,$M118)))</f>
        <v/>
      </c>
      <c r="F118" s="19">
        <f>IF($M118="","",IF(INDEX(請求記録!$E$6:$E$3005,$M118)="","",INDEX(請求記録!$E$6:$E$3005,$M118)))</f>
        <v/>
      </c>
      <c r="G118" s="19">
        <f>IF($M118="","",IF(INDEX(請求記録!$AE$6:$AE$3005,$M118)="","",INDEX(請求記録!$AE$6:$AE$3005,$M118)))</f>
        <v/>
      </c>
      <c r="H118">
        <f>IF($M118="","",IF(INDEX(請求記録!$AG$6:$AG$3005,$M118)="","",INDEX(請求記録!$AG$6:$AG$3005,$M118)))</f>
        <v/>
      </c>
      <c r="I118" s="20">
        <f>IF($M118="","",IF(INDEX(請求記録!$AH$6:$AH$3005,$M118)="","",INDEX(請求記録!$AH$6:$AH$3005,$M118)))</f>
        <v/>
      </c>
      <c r="J118">
        <f>IF($M118="","",IF(INDEX(請求記録!$AK$6:$AK$3005,$M118)="","",INDEX(請求記録!$AK$6:$AK$3005,$M118)))</f>
        <v/>
      </c>
      <c r="K118" s="20">
        <f>IF($M118="","",IF(INDEX(請求記録!$AJ$6:$AJ$3005,$M118)="","",INDEX(請求記録!$AJ$6:$AJ$3005,$M118)))</f>
        <v/>
      </c>
      <c r="L118">
        <f>IF($M118="","",IF(INDEX(請求記録!$AN$6:$AN$3005,$M118)="","",INDEX(請求記録!$AN$6:$AN$3005,$M118)))</f>
        <v/>
      </c>
      <c r="M118">
        <f>IFERROR(MATCH(113,請求記録!$AO$6:$AO$3005,0),"")</f>
        <v/>
      </c>
    </row>
    <row r="119">
      <c r="A119">
        <f>IF($M119="","",114)</f>
        <v/>
      </c>
      <c r="B119">
        <f>IF($M119="","",IF(INDEX(請求記録!$B$6:$B$3005,$M119)="","",INDEX(請求記録!$B$6:$B$3005,$M119)))</f>
        <v/>
      </c>
      <c r="C119">
        <f>IF($M119="","",IF(INDEX(請求記録!$X$6:$X$3005,$M119)="","",INDEX(請求記録!$X$6:$X$3005,$M119)))</f>
        <v/>
      </c>
      <c r="D119">
        <f>IF($M119="","",IF(INDEX(請求記録!$Y$6:$Y$3005,$M119)="","",INDEX(請求記録!$Y$6:$Y$3005,$M119)))</f>
        <v/>
      </c>
      <c r="E119">
        <f>IF($M119="","",IF(INDEX(請求記録!$Z$6:$Z$3005,$M119)="","",INDEX(請求記録!$Z$6:$Z$3005,$M119)))</f>
        <v/>
      </c>
      <c r="F119" s="19">
        <f>IF($M119="","",IF(INDEX(請求記録!$E$6:$E$3005,$M119)="","",INDEX(請求記録!$E$6:$E$3005,$M119)))</f>
        <v/>
      </c>
      <c r="G119" s="19">
        <f>IF($M119="","",IF(INDEX(請求記録!$AE$6:$AE$3005,$M119)="","",INDEX(請求記録!$AE$6:$AE$3005,$M119)))</f>
        <v/>
      </c>
      <c r="H119">
        <f>IF($M119="","",IF(INDEX(請求記録!$AG$6:$AG$3005,$M119)="","",INDEX(請求記録!$AG$6:$AG$3005,$M119)))</f>
        <v/>
      </c>
      <c r="I119" s="20">
        <f>IF($M119="","",IF(INDEX(請求記録!$AH$6:$AH$3005,$M119)="","",INDEX(請求記録!$AH$6:$AH$3005,$M119)))</f>
        <v/>
      </c>
      <c r="J119">
        <f>IF($M119="","",IF(INDEX(請求記録!$AK$6:$AK$3005,$M119)="","",INDEX(請求記録!$AK$6:$AK$3005,$M119)))</f>
        <v/>
      </c>
      <c r="K119" s="20">
        <f>IF($M119="","",IF(INDEX(請求記録!$AJ$6:$AJ$3005,$M119)="","",INDEX(請求記録!$AJ$6:$AJ$3005,$M119)))</f>
        <v/>
      </c>
      <c r="L119">
        <f>IF($M119="","",IF(INDEX(請求記録!$AN$6:$AN$3005,$M119)="","",INDEX(請求記録!$AN$6:$AN$3005,$M119)))</f>
        <v/>
      </c>
      <c r="M119">
        <f>IFERROR(MATCH(114,請求記録!$AO$6:$AO$3005,0),"")</f>
        <v/>
      </c>
    </row>
    <row r="120">
      <c r="A120">
        <f>IF($M120="","",115)</f>
        <v/>
      </c>
      <c r="B120">
        <f>IF($M120="","",IF(INDEX(請求記録!$B$6:$B$3005,$M120)="","",INDEX(請求記録!$B$6:$B$3005,$M120)))</f>
        <v/>
      </c>
      <c r="C120">
        <f>IF($M120="","",IF(INDEX(請求記録!$X$6:$X$3005,$M120)="","",INDEX(請求記録!$X$6:$X$3005,$M120)))</f>
        <v/>
      </c>
      <c r="D120">
        <f>IF($M120="","",IF(INDEX(請求記録!$Y$6:$Y$3005,$M120)="","",INDEX(請求記録!$Y$6:$Y$3005,$M120)))</f>
        <v/>
      </c>
      <c r="E120">
        <f>IF($M120="","",IF(INDEX(請求記録!$Z$6:$Z$3005,$M120)="","",INDEX(請求記録!$Z$6:$Z$3005,$M120)))</f>
        <v/>
      </c>
      <c r="F120" s="19">
        <f>IF($M120="","",IF(INDEX(請求記録!$E$6:$E$3005,$M120)="","",INDEX(請求記録!$E$6:$E$3005,$M120)))</f>
        <v/>
      </c>
      <c r="G120" s="19">
        <f>IF($M120="","",IF(INDEX(請求記録!$AE$6:$AE$3005,$M120)="","",INDEX(請求記録!$AE$6:$AE$3005,$M120)))</f>
        <v/>
      </c>
      <c r="H120">
        <f>IF($M120="","",IF(INDEX(請求記録!$AG$6:$AG$3005,$M120)="","",INDEX(請求記録!$AG$6:$AG$3005,$M120)))</f>
        <v/>
      </c>
      <c r="I120" s="20">
        <f>IF($M120="","",IF(INDEX(請求記録!$AH$6:$AH$3005,$M120)="","",INDEX(請求記録!$AH$6:$AH$3005,$M120)))</f>
        <v/>
      </c>
      <c r="J120">
        <f>IF($M120="","",IF(INDEX(請求記録!$AK$6:$AK$3005,$M120)="","",INDEX(請求記録!$AK$6:$AK$3005,$M120)))</f>
        <v/>
      </c>
      <c r="K120" s="20">
        <f>IF($M120="","",IF(INDEX(請求記録!$AJ$6:$AJ$3005,$M120)="","",INDEX(請求記録!$AJ$6:$AJ$3005,$M120)))</f>
        <v/>
      </c>
      <c r="L120">
        <f>IF($M120="","",IF(INDEX(請求記録!$AN$6:$AN$3005,$M120)="","",INDEX(請求記録!$AN$6:$AN$3005,$M120)))</f>
        <v/>
      </c>
      <c r="M120">
        <f>IFERROR(MATCH(115,請求記録!$AO$6:$AO$3005,0),"")</f>
        <v/>
      </c>
    </row>
    <row r="121">
      <c r="A121">
        <f>IF($M121="","",116)</f>
        <v/>
      </c>
      <c r="B121">
        <f>IF($M121="","",IF(INDEX(請求記録!$B$6:$B$3005,$M121)="","",INDEX(請求記録!$B$6:$B$3005,$M121)))</f>
        <v/>
      </c>
      <c r="C121">
        <f>IF($M121="","",IF(INDEX(請求記録!$X$6:$X$3005,$M121)="","",INDEX(請求記録!$X$6:$X$3005,$M121)))</f>
        <v/>
      </c>
      <c r="D121">
        <f>IF($M121="","",IF(INDEX(請求記録!$Y$6:$Y$3005,$M121)="","",INDEX(請求記録!$Y$6:$Y$3005,$M121)))</f>
        <v/>
      </c>
      <c r="E121">
        <f>IF($M121="","",IF(INDEX(請求記録!$Z$6:$Z$3005,$M121)="","",INDEX(請求記録!$Z$6:$Z$3005,$M121)))</f>
        <v/>
      </c>
      <c r="F121" s="19">
        <f>IF($M121="","",IF(INDEX(請求記録!$E$6:$E$3005,$M121)="","",INDEX(請求記録!$E$6:$E$3005,$M121)))</f>
        <v/>
      </c>
      <c r="G121" s="19">
        <f>IF($M121="","",IF(INDEX(請求記録!$AE$6:$AE$3005,$M121)="","",INDEX(請求記録!$AE$6:$AE$3005,$M121)))</f>
        <v/>
      </c>
      <c r="H121">
        <f>IF($M121="","",IF(INDEX(請求記録!$AG$6:$AG$3005,$M121)="","",INDEX(請求記録!$AG$6:$AG$3005,$M121)))</f>
        <v/>
      </c>
      <c r="I121" s="20">
        <f>IF($M121="","",IF(INDEX(請求記録!$AH$6:$AH$3005,$M121)="","",INDEX(請求記録!$AH$6:$AH$3005,$M121)))</f>
        <v/>
      </c>
      <c r="J121">
        <f>IF($M121="","",IF(INDEX(請求記録!$AK$6:$AK$3005,$M121)="","",INDEX(請求記録!$AK$6:$AK$3005,$M121)))</f>
        <v/>
      </c>
      <c r="K121" s="20">
        <f>IF($M121="","",IF(INDEX(請求記録!$AJ$6:$AJ$3005,$M121)="","",INDEX(請求記録!$AJ$6:$AJ$3005,$M121)))</f>
        <v/>
      </c>
      <c r="L121">
        <f>IF($M121="","",IF(INDEX(請求記録!$AN$6:$AN$3005,$M121)="","",INDEX(請求記録!$AN$6:$AN$3005,$M121)))</f>
        <v/>
      </c>
      <c r="M121">
        <f>IFERROR(MATCH(116,請求記録!$AO$6:$AO$3005,0),"")</f>
        <v/>
      </c>
    </row>
    <row r="122">
      <c r="A122">
        <f>IF($M122="","",117)</f>
        <v/>
      </c>
      <c r="B122">
        <f>IF($M122="","",IF(INDEX(請求記録!$B$6:$B$3005,$M122)="","",INDEX(請求記録!$B$6:$B$3005,$M122)))</f>
        <v/>
      </c>
      <c r="C122">
        <f>IF($M122="","",IF(INDEX(請求記録!$X$6:$X$3005,$M122)="","",INDEX(請求記録!$X$6:$X$3005,$M122)))</f>
        <v/>
      </c>
      <c r="D122">
        <f>IF($M122="","",IF(INDEX(請求記録!$Y$6:$Y$3005,$M122)="","",INDEX(請求記録!$Y$6:$Y$3005,$M122)))</f>
        <v/>
      </c>
      <c r="E122">
        <f>IF($M122="","",IF(INDEX(請求記録!$Z$6:$Z$3005,$M122)="","",INDEX(請求記録!$Z$6:$Z$3005,$M122)))</f>
        <v/>
      </c>
      <c r="F122" s="19">
        <f>IF($M122="","",IF(INDEX(請求記録!$E$6:$E$3005,$M122)="","",INDEX(請求記録!$E$6:$E$3005,$M122)))</f>
        <v/>
      </c>
      <c r="G122" s="19">
        <f>IF($M122="","",IF(INDEX(請求記録!$AE$6:$AE$3005,$M122)="","",INDEX(請求記録!$AE$6:$AE$3005,$M122)))</f>
        <v/>
      </c>
      <c r="H122">
        <f>IF($M122="","",IF(INDEX(請求記録!$AG$6:$AG$3005,$M122)="","",INDEX(請求記録!$AG$6:$AG$3005,$M122)))</f>
        <v/>
      </c>
      <c r="I122" s="20">
        <f>IF($M122="","",IF(INDEX(請求記録!$AH$6:$AH$3005,$M122)="","",INDEX(請求記録!$AH$6:$AH$3005,$M122)))</f>
        <v/>
      </c>
      <c r="J122">
        <f>IF($M122="","",IF(INDEX(請求記録!$AK$6:$AK$3005,$M122)="","",INDEX(請求記録!$AK$6:$AK$3005,$M122)))</f>
        <v/>
      </c>
      <c r="K122" s="20">
        <f>IF($M122="","",IF(INDEX(請求記録!$AJ$6:$AJ$3005,$M122)="","",INDEX(請求記録!$AJ$6:$AJ$3005,$M122)))</f>
        <v/>
      </c>
      <c r="L122">
        <f>IF($M122="","",IF(INDEX(請求記録!$AN$6:$AN$3005,$M122)="","",INDEX(請求記録!$AN$6:$AN$3005,$M122)))</f>
        <v/>
      </c>
      <c r="M122">
        <f>IFERROR(MATCH(117,請求記録!$AO$6:$AO$3005,0),"")</f>
        <v/>
      </c>
    </row>
    <row r="123">
      <c r="A123">
        <f>IF($M123="","",118)</f>
        <v/>
      </c>
      <c r="B123">
        <f>IF($M123="","",IF(INDEX(請求記録!$B$6:$B$3005,$M123)="","",INDEX(請求記録!$B$6:$B$3005,$M123)))</f>
        <v/>
      </c>
      <c r="C123">
        <f>IF($M123="","",IF(INDEX(請求記録!$X$6:$X$3005,$M123)="","",INDEX(請求記録!$X$6:$X$3005,$M123)))</f>
        <v/>
      </c>
      <c r="D123">
        <f>IF($M123="","",IF(INDEX(請求記録!$Y$6:$Y$3005,$M123)="","",INDEX(請求記録!$Y$6:$Y$3005,$M123)))</f>
        <v/>
      </c>
      <c r="E123">
        <f>IF($M123="","",IF(INDEX(請求記録!$Z$6:$Z$3005,$M123)="","",INDEX(請求記録!$Z$6:$Z$3005,$M123)))</f>
        <v/>
      </c>
      <c r="F123" s="19">
        <f>IF($M123="","",IF(INDEX(請求記録!$E$6:$E$3005,$M123)="","",INDEX(請求記録!$E$6:$E$3005,$M123)))</f>
        <v/>
      </c>
      <c r="G123" s="19">
        <f>IF($M123="","",IF(INDEX(請求記録!$AE$6:$AE$3005,$M123)="","",INDEX(請求記録!$AE$6:$AE$3005,$M123)))</f>
        <v/>
      </c>
      <c r="H123">
        <f>IF($M123="","",IF(INDEX(請求記録!$AG$6:$AG$3005,$M123)="","",INDEX(請求記録!$AG$6:$AG$3005,$M123)))</f>
        <v/>
      </c>
      <c r="I123" s="20">
        <f>IF($M123="","",IF(INDEX(請求記録!$AH$6:$AH$3005,$M123)="","",INDEX(請求記録!$AH$6:$AH$3005,$M123)))</f>
        <v/>
      </c>
      <c r="J123">
        <f>IF($M123="","",IF(INDEX(請求記録!$AK$6:$AK$3005,$M123)="","",INDEX(請求記録!$AK$6:$AK$3005,$M123)))</f>
        <v/>
      </c>
      <c r="K123" s="20">
        <f>IF($M123="","",IF(INDEX(請求記録!$AJ$6:$AJ$3005,$M123)="","",INDEX(請求記録!$AJ$6:$AJ$3005,$M123)))</f>
        <v/>
      </c>
      <c r="L123">
        <f>IF($M123="","",IF(INDEX(請求記録!$AN$6:$AN$3005,$M123)="","",INDEX(請求記録!$AN$6:$AN$3005,$M123)))</f>
        <v/>
      </c>
      <c r="M123">
        <f>IFERROR(MATCH(118,請求記録!$AO$6:$AO$3005,0),"")</f>
        <v/>
      </c>
    </row>
    <row r="124">
      <c r="A124">
        <f>IF($M124="","",119)</f>
        <v/>
      </c>
      <c r="B124">
        <f>IF($M124="","",IF(INDEX(請求記録!$B$6:$B$3005,$M124)="","",INDEX(請求記録!$B$6:$B$3005,$M124)))</f>
        <v/>
      </c>
      <c r="C124">
        <f>IF($M124="","",IF(INDEX(請求記録!$X$6:$X$3005,$M124)="","",INDEX(請求記録!$X$6:$X$3005,$M124)))</f>
        <v/>
      </c>
      <c r="D124">
        <f>IF($M124="","",IF(INDEX(請求記録!$Y$6:$Y$3005,$M124)="","",INDEX(請求記録!$Y$6:$Y$3005,$M124)))</f>
        <v/>
      </c>
      <c r="E124">
        <f>IF($M124="","",IF(INDEX(請求記録!$Z$6:$Z$3005,$M124)="","",INDEX(請求記録!$Z$6:$Z$3005,$M124)))</f>
        <v/>
      </c>
      <c r="F124" s="19">
        <f>IF($M124="","",IF(INDEX(請求記録!$E$6:$E$3005,$M124)="","",INDEX(請求記録!$E$6:$E$3005,$M124)))</f>
        <v/>
      </c>
      <c r="G124" s="19">
        <f>IF($M124="","",IF(INDEX(請求記録!$AE$6:$AE$3005,$M124)="","",INDEX(請求記録!$AE$6:$AE$3005,$M124)))</f>
        <v/>
      </c>
      <c r="H124">
        <f>IF($M124="","",IF(INDEX(請求記録!$AG$6:$AG$3005,$M124)="","",INDEX(請求記録!$AG$6:$AG$3005,$M124)))</f>
        <v/>
      </c>
      <c r="I124" s="20">
        <f>IF($M124="","",IF(INDEX(請求記録!$AH$6:$AH$3005,$M124)="","",INDEX(請求記録!$AH$6:$AH$3005,$M124)))</f>
        <v/>
      </c>
      <c r="J124">
        <f>IF($M124="","",IF(INDEX(請求記録!$AK$6:$AK$3005,$M124)="","",INDEX(請求記録!$AK$6:$AK$3005,$M124)))</f>
        <v/>
      </c>
      <c r="K124" s="20">
        <f>IF($M124="","",IF(INDEX(請求記録!$AJ$6:$AJ$3005,$M124)="","",INDEX(請求記録!$AJ$6:$AJ$3005,$M124)))</f>
        <v/>
      </c>
      <c r="L124">
        <f>IF($M124="","",IF(INDEX(請求記録!$AN$6:$AN$3005,$M124)="","",INDEX(請求記録!$AN$6:$AN$3005,$M124)))</f>
        <v/>
      </c>
      <c r="M124">
        <f>IFERROR(MATCH(119,請求記録!$AO$6:$AO$3005,0),"")</f>
        <v/>
      </c>
    </row>
    <row r="125">
      <c r="A125">
        <f>IF($M125="","",120)</f>
        <v/>
      </c>
      <c r="B125">
        <f>IF($M125="","",IF(INDEX(請求記録!$B$6:$B$3005,$M125)="","",INDEX(請求記録!$B$6:$B$3005,$M125)))</f>
        <v/>
      </c>
      <c r="C125">
        <f>IF($M125="","",IF(INDEX(請求記録!$X$6:$X$3005,$M125)="","",INDEX(請求記録!$X$6:$X$3005,$M125)))</f>
        <v/>
      </c>
      <c r="D125">
        <f>IF($M125="","",IF(INDEX(請求記録!$Y$6:$Y$3005,$M125)="","",INDEX(請求記録!$Y$6:$Y$3005,$M125)))</f>
        <v/>
      </c>
      <c r="E125">
        <f>IF($M125="","",IF(INDEX(請求記録!$Z$6:$Z$3005,$M125)="","",INDEX(請求記録!$Z$6:$Z$3005,$M125)))</f>
        <v/>
      </c>
      <c r="F125" s="19">
        <f>IF($M125="","",IF(INDEX(請求記録!$E$6:$E$3005,$M125)="","",INDEX(請求記録!$E$6:$E$3005,$M125)))</f>
        <v/>
      </c>
      <c r="G125" s="19">
        <f>IF($M125="","",IF(INDEX(請求記録!$AE$6:$AE$3005,$M125)="","",INDEX(請求記録!$AE$6:$AE$3005,$M125)))</f>
        <v/>
      </c>
      <c r="H125">
        <f>IF($M125="","",IF(INDEX(請求記録!$AG$6:$AG$3005,$M125)="","",INDEX(請求記録!$AG$6:$AG$3005,$M125)))</f>
        <v/>
      </c>
      <c r="I125" s="20">
        <f>IF($M125="","",IF(INDEX(請求記録!$AH$6:$AH$3005,$M125)="","",INDEX(請求記録!$AH$6:$AH$3005,$M125)))</f>
        <v/>
      </c>
      <c r="J125">
        <f>IF($M125="","",IF(INDEX(請求記録!$AK$6:$AK$3005,$M125)="","",INDEX(請求記録!$AK$6:$AK$3005,$M125)))</f>
        <v/>
      </c>
      <c r="K125" s="20">
        <f>IF($M125="","",IF(INDEX(請求記録!$AJ$6:$AJ$3005,$M125)="","",INDEX(請求記録!$AJ$6:$AJ$3005,$M125)))</f>
        <v/>
      </c>
      <c r="L125">
        <f>IF($M125="","",IF(INDEX(請求記録!$AN$6:$AN$3005,$M125)="","",INDEX(請求記録!$AN$6:$AN$3005,$M125)))</f>
        <v/>
      </c>
      <c r="M125">
        <f>IFERROR(MATCH(120,請求記録!$AO$6:$AO$3005,0),"")</f>
        <v/>
      </c>
    </row>
    <row r="126">
      <c r="A126">
        <f>IF($M126="","",121)</f>
        <v/>
      </c>
      <c r="B126">
        <f>IF($M126="","",IF(INDEX(請求記録!$B$6:$B$3005,$M126)="","",INDEX(請求記録!$B$6:$B$3005,$M126)))</f>
        <v/>
      </c>
      <c r="C126">
        <f>IF($M126="","",IF(INDEX(請求記録!$X$6:$X$3005,$M126)="","",INDEX(請求記録!$X$6:$X$3005,$M126)))</f>
        <v/>
      </c>
      <c r="D126">
        <f>IF($M126="","",IF(INDEX(請求記録!$Y$6:$Y$3005,$M126)="","",INDEX(請求記録!$Y$6:$Y$3005,$M126)))</f>
        <v/>
      </c>
      <c r="E126">
        <f>IF($M126="","",IF(INDEX(請求記録!$Z$6:$Z$3005,$M126)="","",INDEX(請求記録!$Z$6:$Z$3005,$M126)))</f>
        <v/>
      </c>
      <c r="F126" s="19">
        <f>IF($M126="","",IF(INDEX(請求記録!$E$6:$E$3005,$M126)="","",INDEX(請求記録!$E$6:$E$3005,$M126)))</f>
        <v/>
      </c>
      <c r="G126" s="19">
        <f>IF($M126="","",IF(INDEX(請求記録!$AE$6:$AE$3005,$M126)="","",INDEX(請求記録!$AE$6:$AE$3005,$M126)))</f>
        <v/>
      </c>
      <c r="H126">
        <f>IF($M126="","",IF(INDEX(請求記録!$AG$6:$AG$3005,$M126)="","",INDEX(請求記録!$AG$6:$AG$3005,$M126)))</f>
        <v/>
      </c>
      <c r="I126" s="20">
        <f>IF($M126="","",IF(INDEX(請求記録!$AH$6:$AH$3005,$M126)="","",INDEX(請求記録!$AH$6:$AH$3005,$M126)))</f>
        <v/>
      </c>
      <c r="J126">
        <f>IF($M126="","",IF(INDEX(請求記録!$AK$6:$AK$3005,$M126)="","",INDEX(請求記録!$AK$6:$AK$3005,$M126)))</f>
        <v/>
      </c>
      <c r="K126" s="20">
        <f>IF($M126="","",IF(INDEX(請求記録!$AJ$6:$AJ$3005,$M126)="","",INDEX(請求記録!$AJ$6:$AJ$3005,$M126)))</f>
        <v/>
      </c>
      <c r="L126">
        <f>IF($M126="","",IF(INDEX(請求記録!$AN$6:$AN$3005,$M126)="","",INDEX(請求記録!$AN$6:$AN$3005,$M126)))</f>
        <v/>
      </c>
      <c r="M126">
        <f>IFERROR(MATCH(121,請求記録!$AO$6:$AO$3005,0),"")</f>
        <v/>
      </c>
    </row>
    <row r="127">
      <c r="A127">
        <f>IF($M127="","",122)</f>
        <v/>
      </c>
      <c r="B127">
        <f>IF($M127="","",IF(INDEX(請求記録!$B$6:$B$3005,$M127)="","",INDEX(請求記録!$B$6:$B$3005,$M127)))</f>
        <v/>
      </c>
      <c r="C127">
        <f>IF($M127="","",IF(INDEX(請求記録!$X$6:$X$3005,$M127)="","",INDEX(請求記録!$X$6:$X$3005,$M127)))</f>
        <v/>
      </c>
      <c r="D127">
        <f>IF($M127="","",IF(INDEX(請求記録!$Y$6:$Y$3005,$M127)="","",INDEX(請求記録!$Y$6:$Y$3005,$M127)))</f>
        <v/>
      </c>
      <c r="E127">
        <f>IF($M127="","",IF(INDEX(請求記録!$Z$6:$Z$3005,$M127)="","",INDEX(請求記録!$Z$6:$Z$3005,$M127)))</f>
        <v/>
      </c>
      <c r="F127" s="19">
        <f>IF($M127="","",IF(INDEX(請求記録!$E$6:$E$3005,$M127)="","",INDEX(請求記録!$E$6:$E$3005,$M127)))</f>
        <v/>
      </c>
      <c r="G127" s="19">
        <f>IF($M127="","",IF(INDEX(請求記録!$AE$6:$AE$3005,$M127)="","",INDEX(請求記録!$AE$6:$AE$3005,$M127)))</f>
        <v/>
      </c>
      <c r="H127">
        <f>IF($M127="","",IF(INDEX(請求記録!$AG$6:$AG$3005,$M127)="","",INDEX(請求記録!$AG$6:$AG$3005,$M127)))</f>
        <v/>
      </c>
      <c r="I127" s="20">
        <f>IF($M127="","",IF(INDEX(請求記録!$AH$6:$AH$3005,$M127)="","",INDEX(請求記録!$AH$6:$AH$3005,$M127)))</f>
        <v/>
      </c>
      <c r="J127">
        <f>IF($M127="","",IF(INDEX(請求記録!$AK$6:$AK$3005,$M127)="","",INDEX(請求記録!$AK$6:$AK$3005,$M127)))</f>
        <v/>
      </c>
      <c r="K127" s="20">
        <f>IF($M127="","",IF(INDEX(請求記録!$AJ$6:$AJ$3005,$M127)="","",INDEX(請求記録!$AJ$6:$AJ$3005,$M127)))</f>
        <v/>
      </c>
      <c r="L127">
        <f>IF($M127="","",IF(INDEX(請求記録!$AN$6:$AN$3005,$M127)="","",INDEX(請求記録!$AN$6:$AN$3005,$M127)))</f>
        <v/>
      </c>
      <c r="M127">
        <f>IFERROR(MATCH(122,請求記録!$AO$6:$AO$3005,0),"")</f>
        <v/>
      </c>
    </row>
    <row r="128">
      <c r="A128">
        <f>IF($M128="","",123)</f>
        <v/>
      </c>
      <c r="B128">
        <f>IF($M128="","",IF(INDEX(請求記録!$B$6:$B$3005,$M128)="","",INDEX(請求記録!$B$6:$B$3005,$M128)))</f>
        <v/>
      </c>
      <c r="C128">
        <f>IF($M128="","",IF(INDEX(請求記録!$X$6:$X$3005,$M128)="","",INDEX(請求記録!$X$6:$X$3005,$M128)))</f>
        <v/>
      </c>
      <c r="D128">
        <f>IF($M128="","",IF(INDEX(請求記録!$Y$6:$Y$3005,$M128)="","",INDEX(請求記録!$Y$6:$Y$3005,$M128)))</f>
        <v/>
      </c>
      <c r="E128">
        <f>IF($M128="","",IF(INDEX(請求記録!$Z$6:$Z$3005,$M128)="","",INDEX(請求記録!$Z$6:$Z$3005,$M128)))</f>
        <v/>
      </c>
      <c r="F128" s="19">
        <f>IF($M128="","",IF(INDEX(請求記録!$E$6:$E$3005,$M128)="","",INDEX(請求記録!$E$6:$E$3005,$M128)))</f>
        <v/>
      </c>
      <c r="G128" s="19">
        <f>IF($M128="","",IF(INDEX(請求記録!$AE$6:$AE$3005,$M128)="","",INDEX(請求記録!$AE$6:$AE$3005,$M128)))</f>
        <v/>
      </c>
      <c r="H128">
        <f>IF($M128="","",IF(INDEX(請求記録!$AG$6:$AG$3005,$M128)="","",INDEX(請求記録!$AG$6:$AG$3005,$M128)))</f>
        <v/>
      </c>
      <c r="I128" s="20">
        <f>IF($M128="","",IF(INDEX(請求記録!$AH$6:$AH$3005,$M128)="","",INDEX(請求記録!$AH$6:$AH$3005,$M128)))</f>
        <v/>
      </c>
      <c r="J128">
        <f>IF($M128="","",IF(INDEX(請求記録!$AK$6:$AK$3005,$M128)="","",INDEX(請求記録!$AK$6:$AK$3005,$M128)))</f>
        <v/>
      </c>
      <c r="K128" s="20">
        <f>IF($M128="","",IF(INDEX(請求記録!$AJ$6:$AJ$3005,$M128)="","",INDEX(請求記録!$AJ$6:$AJ$3005,$M128)))</f>
        <v/>
      </c>
      <c r="L128">
        <f>IF($M128="","",IF(INDEX(請求記録!$AN$6:$AN$3005,$M128)="","",INDEX(請求記録!$AN$6:$AN$3005,$M128)))</f>
        <v/>
      </c>
      <c r="M128">
        <f>IFERROR(MATCH(123,請求記録!$AO$6:$AO$3005,0),"")</f>
        <v/>
      </c>
    </row>
    <row r="129">
      <c r="A129">
        <f>IF($M129="","",124)</f>
        <v/>
      </c>
      <c r="B129">
        <f>IF($M129="","",IF(INDEX(請求記録!$B$6:$B$3005,$M129)="","",INDEX(請求記録!$B$6:$B$3005,$M129)))</f>
        <v/>
      </c>
      <c r="C129">
        <f>IF($M129="","",IF(INDEX(請求記録!$X$6:$X$3005,$M129)="","",INDEX(請求記録!$X$6:$X$3005,$M129)))</f>
        <v/>
      </c>
      <c r="D129">
        <f>IF($M129="","",IF(INDEX(請求記録!$Y$6:$Y$3005,$M129)="","",INDEX(請求記録!$Y$6:$Y$3005,$M129)))</f>
        <v/>
      </c>
      <c r="E129">
        <f>IF($M129="","",IF(INDEX(請求記録!$Z$6:$Z$3005,$M129)="","",INDEX(請求記録!$Z$6:$Z$3005,$M129)))</f>
        <v/>
      </c>
      <c r="F129" s="19">
        <f>IF($M129="","",IF(INDEX(請求記録!$E$6:$E$3005,$M129)="","",INDEX(請求記録!$E$6:$E$3005,$M129)))</f>
        <v/>
      </c>
      <c r="G129" s="19">
        <f>IF($M129="","",IF(INDEX(請求記録!$AE$6:$AE$3005,$M129)="","",INDEX(請求記録!$AE$6:$AE$3005,$M129)))</f>
        <v/>
      </c>
      <c r="H129">
        <f>IF($M129="","",IF(INDEX(請求記録!$AG$6:$AG$3005,$M129)="","",INDEX(請求記録!$AG$6:$AG$3005,$M129)))</f>
        <v/>
      </c>
      <c r="I129" s="20">
        <f>IF($M129="","",IF(INDEX(請求記録!$AH$6:$AH$3005,$M129)="","",INDEX(請求記録!$AH$6:$AH$3005,$M129)))</f>
        <v/>
      </c>
      <c r="J129">
        <f>IF($M129="","",IF(INDEX(請求記録!$AK$6:$AK$3005,$M129)="","",INDEX(請求記録!$AK$6:$AK$3005,$M129)))</f>
        <v/>
      </c>
      <c r="K129" s="20">
        <f>IF($M129="","",IF(INDEX(請求記録!$AJ$6:$AJ$3005,$M129)="","",INDEX(請求記録!$AJ$6:$AJ$3005,$M129)))</f>
        <v/>
      </c>
      <c r="L129">
        <f>IF($M129="","",IF(INDEX(請求記録!$AN$6:$AN$3005,$M129)="","",INDEX(請求記録!$AN$6:$AN$3005,$M129)))</f>
        <v/>
      </c>
      <c r="M129">
        <f>IFERROR(MATCH(124,請求記録!$AO$6:$AO$3005,0),"")</f>
        <v/>
      </c>
    </row>
    <row r="130">
      <c r="A130">
        <f>IF($M130="","",125)</f>
        <v/>
      </c>
      <c r="B130">
        <f>IF($M130="","",IF(INDEX(請求記録!$B$6:$B$3005,$M130)="","",INDEX(請求記録!$B$6:$B$3005,$M130)))</f>
        <v/>
      </c>
      <c r="C130">
        <f>IF($M130="","",IF(INDEX(請求記録!$X$6:$X$3005,$M130)="","",INDEX(請求記録!$X$6:$X$3005,$M130)))</f>
        <v/>
      </c>
      <c r="D130">
        <f>IF($M130="","",IF(INDEX(請求記録!$Y$6:$Y$3005,$M130)="","",INDEX(請求記録!$Y$6:$Y$3005,$M130)))</f>
        <v/>
      </c>
      <c r="E130">
        <f>IF($M130="","",IF(INDEX(請求記録!$Z$6:$Z$3005,$M130)="","",INDEX(請求記録!$Z$6:$Z$3005,$M130)))</f>
        <v/>
      </c>
      <c r="F130" s="19">
        <f>IF($M130="","",IF(INDEX(請求記録!$E$6:$E$3005,$M130)="","",INDEX(請求記録!$E$6:$E$3005,$M130)))</f>
        <v/>
      </c>
      <c r="G130" s="19">
        <f>IF($M130="","",IF(INDEX(請求記録!$AE$6:$AE$3005,$M130)="","",INDEX(請求記録!$AE$6:$AE$3005,$M130)))</f>
        <v/>
      </c>
      <c r="H130">
        <f>IF($M130="","",IF(INDEX(請求記録!$AG$6:$AG$3005,$M130)="","",INDEX(請求記録!$AG$6:$AG$3005,$M130)))</f>
        <v/>
      </c>
      <c r="I130" s="20">
        <f>IF($M130="","",IF(INDEX(請求記録!$AH$6:$AH$3005,$M130)="","",INDEX(請求記録!$AH$6:$AH$3005,$M130)))</f>
        <v/>
      </c>
      <c r="J130">
        <f>IF($M130="","",IF(INDEX(請求記録!$AK$6:$AK$3005,$M130)="","",INDEX(請求記録!$AK$6:$AK$3005,$M130)))</f>
        <v/>
      </c>
      <c r="K130" s="20">
        <f>IF($M130="","",IF(INDEX(請求記録!$AJ$6:$AJ$3005,$M130)="","",INDEX(請求記録!$AJ$6:$AJ$3005,$M130)))</f>
        <v/>
      </c>
      <c r="L130">
        <f>IF($M130="","",IF(INDEX(請求記録!$AN$6:$AN$3005,$M130)="","",INDEX(請求記録!$AN$6:$AN$3005,$M130)))</f>
        <v/>
      </c>
      <c r="M130">
        <f>IFERROR(MATCH(125,請求記録!$AO$6:$AO$3005,0),"")</f>
        <v/>
      </c>
    </row>
    <row r="131">
      <c r="A131">
        <f>IF($M131="","",126)</f>
        <v/>
      </c>
      <c r="B131">
        <f>IF($M131="","",IF(INDEX(請求記録!$B$6:$B$3005,$M131)="","",INDEX(請求記録!$B$6:$B$3005,$M131)))</f>
        <v/>
      </c>
      <c r="C131">
        <f>IF($M131="","",IF(INDEX(請求記録!$X$6:$X$3005,$M131)="","",INDEX(請求記録!$X$6:$X$3005,$M131)))</f>
        <v/>
      </c>
      <c r="D131">
        <f>IF($M131="","",IF(INDEX(請求記録!$Y$6:$Y$3005,$M131)="","",INDEX(請求記録!$Y$6:$Y$3005,$M131)))</f>
        <v/>
      </c>
      <c r="E131">
        <f>IF($M131="","",IF(INDEX(請求記録!$Z$6:$Z$3005,$M131)="","",INDEX(請求記録!$Z$6:$Z$3005,$M131)))</f>
        <v/>
      </c>
      <c r="F131" s="19">
        <f>IF($M131="","",IF(INDEX(請求記録!$E$6:$E$3005,$M131)="","",INDEX(請求記録!$E$6:$E$3005,$M131)))</f>
        <v/>
      </c>
      <c r="G131" s="19">
        <f>IF($M131="","",IF(INDEX(請求記録!$AE$6:$AE$3005,$M131)="","",INDEX(請求記録!$AE$6:$AE$3005,$M131)))</f>
        <v/>
      </c>
      <c r="H131">
        <f>IF($M131="","",IF(INDEX(請求記録!$AG$6:$AG$3005,$M131)="","",INDEX(請求記録!$AG$6:$AG$3005,$M131)))</f>
        <v/>
      </c>
      <c r="I131" s="20">
        <f>IF($M131="","",IF(INDEX(請求記録!$AH$6:$AH$3005,$M131)="","",INDEX(請求記録!$AH$6:$AH$3005,$M131)))</f>
        <v/>
      </c>
      <c r="J131">
        <f>IF($M131="","",IF(INDEX(請求記録!$AK$6:$AK$3005,$M131)="","",INDEX(請求記録!$AK$6:$AK$3005,$M131)))</f>
        <v/>
      </c>
      <c r="K131" s="20">
        <f>IF($M131="","",IF(INDEX(請求記録!$AJ$6:$AJ$3005,$M131)="","",INDEX(請求記録!$AJ$6:$AJ$3005,$M131)))</f>
        <v/>
      </c>
      <c r="L131">
        <f>IF($M131="","",IF(INDEX(請求記録!$AN$6:$AN$3005,$M131)="","",INDEX(請求記録!$AN$6:$AN$3005,$M131)))</f>
        <v/>
      </c>
      <c r="M131">
        <f>IFERROR(MATCH(126,請求記録!$AO$6:$AO$3005,0),"")</f>
        <v/>
      </c>
    </row>
    <row r="132">
      <c r="A132">
        <f>IF($M132="","",127)</f>
        <v/>
      </c>
      <c r="B132">
        <f>IF($M132="","",IF(INDEX(請求記録!$B$6:$B$3005,$M132)="","",INDEX(請求記録!$B$6:$B$3005,$M132)))</f>
        <v/>
      </c>
      <c r="C132">
        <f>IF($M132="","",IF(INDEX(請求記録!$X$6:$X$3005,$M132)="","",INDEX(請求記録!$X$6:$X$3005,$M132)))</f>
        <v/>
      </c>
      <c r="D132">
        <f>IF($M132="","",IF(INDEX(請求記録!$Y$6:$Y$3005,$M132)="","",INDEX(請求記録!$Y$6:$Y$3005,$M132)))</f>
        <v/>
      </c>
      <c r="E132">
        <f>IF($M132="","",IF(INDEX(請求記録!$Z$6:$Z$3005,$M132)="","",INDEX(請求記録!$Z$6:$Z$3005,$M132)))</f>
        <v/>
      </c>
      <c r="F132" s="19">
        <f>IF($M132="","",IF(INDEX(請求記録!$E$6:$E$3005,$M132)="","",INDEX(請求記録!$E$6:$E$3005,$M132)))</f>
        <v/>
      </c>
      <c r="G132" s="19">
        <f>IF($M132="","",IF(INDEX(請求記録!$AE$6:$AE$3005,$M132)="","",INDEX(請求記録!$AE$6:$AE$3005,$M132)))</f>
        <v/>
      </c>
      <c r="H132">
        <f>IF($M132="","",IF(INDEX(請求記録!$AG$6:$AG$3005,$M132)="","",INDEX(請求記録!$AG$6:$AG$3005,$M132)))</f>
        <v/>
      </c>
      <c r="I132" s="20">
        <f>IF($M132="","",IF(INDEX(請求記録!$AH$6:$AH$3005,$M132)="","",INDEX(請求記録!$AH$6:$AH$3005,$M132)))</f>
        <v/>
      </c>
      <c r="J132">
        <f>IF($M132="","",IF(INDEX(請求記録!$AK$6:$AK$3005,$M132)="","",INDEX(請求記録!$AK$6:$AK$3005,$M132)))</f>
        <v/>
      </c>
      <c r="K132" s="20">
        <f>IF($M132="","",IF(INDEX(請求記録!$AJ$6:$AJ$3005,$M132)="","",INDEX(請求記録!$AJ$6:$AJ$3005,$M132)))</f>
        <v/>
      </c>
      <c r="L132">
        <f>IF($M132="","",IF(INDEX(請求記録!$AN$6:$AN$3005,$M132)="","",INDEX(請求記録!$AN$6:$AN$3005,$M132)))</f>
        <v/>
      </c>
      <c r="M132">
        <f>IFERROR(MATCH(127,請求記録!$AO$6:$AO$3005,0),"")</f>
        <v/>
      </c>
    </row>
    <row r="133">
      <c r="A133">
        <f>IF($M133="","",128)</f>
        <v/>
      </c>
      <c r="B133">
        <f>IF($M133="","",IF(INDEX(請求記録!$B$6:$B$3005,$M133)="","",INDEX(請求記録!$B$6:$B$3005,$M133)))</f>
        <v/>
      </c>
      <c r="C133">
        <f>IF($M133="","",IF(INDEX(請求記録!$X$6:$X$3005,$M133)="","",INDEX(請求記録!$X$6:$X$3005,$M133)))</f>
        <v/>
      </c>
      <c r="D133">
        <f>IF($M133="","",IF(INDEX(請求記録!$Y$6:$Y$3005,$M133)="","",INDEX(請求記録!$Y$6:$Y$3005,$M133)))</f>
        <v/>
      </c>
      <c r="E133">
        <f>IF($M133="","",IF(INDEX(請求記録!$Z$6:$Z$3005,$M133)="","",INDEX(請求記録!$Z$6:$Z$3005,$M133)))</f>
        <v/>
      </c>
      <c r="F133" s="19">
        <f>IF($M133="","",IF(INDEX(請求記録!$E$6:$E$3005,$M133)="","",INDEX(請求記録!$E$6:$E$3005,$M133)))</f>
        <v/>
      </c>
      <c r="G133" s="19">
        <f>IF($M133="","",IF(INDEX(請求記録!$AE$6:$AE$3005,$M133)="","",INDEX(請求記録!$AE$6:$AE$3005,$M133)))</f>
        <v/>
      </c>
      <c r="H133">
        <f>IF($M133="","",IF(INDEX(請求記録!$AG$6:$AG$3005,$M133)="","",INDEX(請求記録!$AG$6:$AG$3005,$M133)))</f>
        <v/>
      </c>
      <c r="I133" s="20">
        <f>IF($M133="","",IF(INDEX(請求記録!$AH$6:$AH$3005,$M133)="","",INDEX(請求記録!$AH$6:$AH$3005,$M133)))</f>
        <v/>
      </c>
      <c r="J133">
        <f>IF($M133="","",IF(INDEX(請求記録!$AK$6:$AK$3005,$M133)="","",INDEX(請求記録!$AK$6:$AK$3005,$M133)))</f>
        <v/>
      </c>
      <c r="K133" s="20">
        <f>IF($M133="","",IF(INDEX(請求記録!$AJ$6:$AJ$3005,$M133)="","",INDEX(請求記録!$AJ$6:$AJ$3005,$M133)))</f>
        <v/>
      </c>
      <c r="L133">
        <f>IF($M133="","",IF(INDEX(請求記録!$AN$6:$AN$3005,$M133)="","",INDEX(請求記録!$AN$6:$AN$3005,$M133)))</f>
        <v/>
      </c>
      <c r="M133">
        <f>IFERROR(MATCH(128,請求記録!$AO$6:$AO$3005,0),"")</f>
        <v/>
      </c>
    </row>
    <row r="134">
      <c r="A134">
        <f>IF($M134="","",129)</f>
        <v/>
      </c>
      <c r="B134">
        <f>IF($M134="","",IF(INDEX(請求記録!$B$6:$B$3005,$M134)="","",INDEX(請求記録!$B$6:$B$3005,$M134)))</f>
        <v/>
      </c>
      <c r="C134">
        <f>IF($M134="","",IF(INDEX(請求記録!$X$6:$X$3005,$M134)="","",INDEX(請求記録!$X$6:$X$3005,$M134)))</f>
        <v/>
      </c>
      <c r="D134">
        <f>IF($M134="","",IF(INDEX(請求記録!$Y$6:$Y$3005,$M134)="","",INDEX(請求記録!$Y$6:$Y$3005,$M134)))</f>
        <v/>
      </c>
      <c r="E134">
        <f>IF($M134="","",IF(INDEX(請求記録!$Z$6:$Z$3005,$M134)="","",INDEX(請求記録!$Z$6:$Z$3005,$M134)))</f>
        <v/>
      </c>
      <c r="F134" s="19">
        <f>IF($M134="","",IF(INDEX(請求記録!$E$6:$E$3005,$M134)="","",INDEX(請求記録!$E$6:$E$3005,$M134)))</f>
        <v/>
      </c>
      <c r="G134" s="19">
        <f>IF($M134="","",IF(INDEX(請求記録!$AE$6:$AE$3005,$M134)="","",INDEX(請求記録!$AE$6:$AE$3005,$M134)))</f>
        <v/>
      </c>
      <c r="H134">
        <f>IF($M134="","",IF(INDEX(請求記録!$AG$6:$AG$3005,$M134)="","",INDEX(請求記録!$AG$6:$AG$3005,$M134)))</f>
        <v/>
      </c>
      <c r="I134" s="20">
        <f>IF($M134="","",IF(INDEX(請求記録!$AH$6:$AH$3005,$M134)="","",INDEX(請求記録!$AH$6:$AH$3005,$M134)))</f>
        <v/>
      </c>
      <c r="J134">
        <f>IF($M134="","",IF(INDEX(請求記録!$AK$6:$AK$3005,$M134)="","",INDEX(請求記録!$AK$6:$AK$3005,$M134)))</f>
        <v/>
      </c>
      <c r="K134" s="20">
        <f>IF($M134="","",IF(INDEX(請求記録!$AJ$6:$AJ$3005,$M134)="","",INDEX(請求記録!$AJ$6:$AJ$3005,$M134)))</f>
        <v/>
      </c>
      <c r="L134">
        <f>IF($M134="","",IF(INDEX(請求記録!$AN$6:$AN$3005,$M134)="","",INDEX(請求記録!$AN$6:$AN$3005,$M134)))</f>
        <v/>
      </c>
      <c r="M134">
        <f>IFERROR(MATCH(129,請求記録!$AO$6:$AO$3005,0),"")</f>
        <v/>
      </c>
    </row>
    <row r="135">
      <c r="A135">
        <f>IF($M135="","",130)</f>
        <v/>
      </c>
      <c r="B135">
        <f>IF($M135="","",IF(INDEX(請求記録!$B$6:$B$3005,$M135)="","",INDEX(請求記録!$B$6:$B$3005,$M135)))</f>
        <v/>
      </c>
      <c r="C135">
        <f>IF($M135="","",IF(INDEX(請求記録!$X$6:$X$3005,$M135)="","",INDEX(請求記録!$X$6:$X$3005,$M135)))</f>
        <v/>
      </c>
      <c r="D135">
        <f>IF($M135="","",IF(INDEX(請求記録!$Y$6:$Y$3005,$M135)="","",INDEX(請求記録!$Y$6:$Y$3005,$M135)))</f>
        <v/>
      </c>
      <c r="E135">
        <f>IF($M135="","",IF(INDEX(請求記録!$Z$6:$Z$3005,$M135)="","",INDEX(請求記録!$Z$6:$Z$3005,$M135)))</f>
        <v/>
      </c>
      <c r="F135" s="19">
        <f>IF($M135="","",IF(INDEX(請求記録!$E$6:$E$3005,$M135)="","",INDEX(請求記録!$E$6:$E$3005,$M135)))</f>
        <v/>
      </c>
      <c r="G135" s="19">
        <f>IF($M135="","",IF(INDEX(請求記録!$AE$6:$AE$3005,$M135)="","",INDEX(請求記録!$AE$6:$AE$3005,$M135)))</f>
        <v/>
      </c>
      <c r="H135">
        <f>IF($M135="","",IF(INDEX(請求記録!$AG$6:$AG$3005,$M135)="","",INDEX(請求記録!$AG$6:$AG$3005,$M135)))</f>
        <v/>
      </c>
      <c r="I135" s="20">
        <f>IF($M135="","",IF(INDEX(請求記録!$AH$6:$AH$3005,$M135)="","",INDEX(請求記録!$AH$6:$AH$3005,$M135)))</f>
        <v/>
      </c>
      <c r="J135">
        <f>IF($M135="","",IF(INDEX(請求記録!$AK$6:$AK$3005,$M135)="","",INDEX(請求記録!$AK$6:$AK$3005,$M135)))</f>
        <v/>
      </c>
      <c r="K135" s="20">
        <f>IF($M135="","",IF(INDEX(請求記録!$AJ$6:$AJ$3005,$M135)="","",INDEX(請求記録!$AJ$6:$AJ$3005,$M135)))</f>
        <v/>
      </c>
      <c r="L135">
        <f>IF($M135="","",IF(INDEX(請求記録!$AN$6:$AN$3005,$M135)="","",INDEX(請求記録!$AN$6:$AN$3005,$M135)))</f>
        <v/>
      </c>
      <c r="M135">
        <f>IFERROR(MATCH(130,請求記録!$AO$6:$AO$3005,0),"")</f>
        <v/>
      </c>
    </row>
    <row r="136">
      <c r="A136">
        <f>IF($M136="","",131)</f>
        <v/>
      </c>
      <c r="B136">
        <f>IF($M136="","",IF(INDEX(請求記録!$B$6:$B$3005,$M136)="","",INDEX(請求記録!$B$6:$B$3005,$M136)))</f>
        <v/>
      </c>
      <c r="C136">
        <f>IF($M136="","",IF(INDEX(請求記録!$X$6:$X$3005,$M136)="","",INDEX(請求記録!$X$6:$X$3005,$M136)))</f>
        <v/>
      </c>
      <c r="D136">
        <f>IF($M136="","",IF(INDEX(請求記録!$Y$6:$Y$3005,$M136)="","",INDEX(請求記録!$Y$6:$Y$3005,$M136)))</f>
        <v/>
      </c>
      <c r="E136">
        <f>IF($M136="","",IF(INDEX(請求記録!$Z$6:$Z$3005,$M136)="","",INDEX(請求記録!$Z$6:$Z$3005,$M136)))</f>
        <v/>
      </c>
      <c r="F136" s="19">
        <f>IF($M136="","",IF(INDEX(請求記録!$E$6:$E$3005,$M136)="","",INDEX(請求記録!$E$6:$E$3005,$M136)))</f>
        <v/>
      </c>
      <c r="G136" s="19">
        <f>IF($M136="","",IF(INDEX(請求記録!$AE$6:$AE$3005,$M136)="","",INDEX(請求記録!$AE$6:$AE$3005,$M136)))</f>
        <v/>
      </c>
      <c r="H136">
        <f>IF($M136="","",IF(INDEX(請求記録!$AG$6:$AG$3005,$M136)="","",INDEX(請求記録!$AG$6:$AG$3005,$M136)))</f>
        <v/>
      </c>
      <c r="I136" s="20">
        <f>IF($M136="","",IF(INDEX(請求記録!$AH$6:$AH$3005,$M136)="","",INDEX(請求記録!$AH$6:$AH$3005,$M136)))</f>
        <v/>
      </c>
      <c r="J136">
        <f>IF($M136="","",IF(INDEX(請求記録!$AK$6:$AK$3005,$M136)="","",INDEX(請求記録!$AK$6:$AK$3005,$M136)))</f>
        <v/>
      </c>
      <c r="K136" s="20">
        <f>IF($M136="","",IF(INDEX(請求記録!$AJ$6:$AJ$3005,$M136)="","",INDEX(請求記録!$AJ$6:$AJ$3005,$M136)))</f>
        <v/>
      </c>
      <c r="L136">
        <f>IF($M136="","",IF(INDEX(請求記録!$AN$6:$AN$3005,$M136)="","",INDEX(請求記録!$AN$6:$AN$3005,$M136)))</f>
        <v/>
      </c>
      <c r="M136">
        <f>IFERROR(MATCH(131,請求記録!$AO$6:$AO$3005,0),"")</f>
        <v/>
      </c>
    </row>
    <row r="137">
      <c r="A137">
        <f>IF($M137="","",132)</f>
        <v/>
      </c>
      <c r="B137">
        <f>IF($M137="","",IF(INDEX(請求記録!$B$6:$B$3005,$M137)="","",INDEX(請求記録!$B$6:$B$3005,$M137)))</f>
        <v/>
      </c>
      <c r="C137">
        <f>IF($M137="","",IF(INDEX(請求記録!$X$6:$X$3005,$M137)="","",INDEX(請求記録!$X$6:$X$3005,$M137)))</f>
        <v/>
      </c>
      <c r="D137">
        <f>IF($M137="","",IF(INDEX(請求記録!$Y$6:$Y$3005,$M137)="","",INDEX(請求記録!$Y$6:$Y$3005,$M137)))</f>
        <v/>
      </c>
      <c r="E137">
        <f>IF($M137="","",IF(INDEX(請求記録!$Z$6:$Z$3005,$M137)="","",INDEX(請求記録!$Z$6:$Z$3005,$M137)))</f>
        <v/>
      </c>
      <c r="F137" s="19">
        <f>IF($M137="","",IF(INDEX(請求記録!$E$6:$E$3005,$M137)="","",INDEX(請求記録!$E$6:$E$3005,$M137)))</f>
        <v/>
      </c>
      <c r="G137" s="19">
        <f>IF($M137="","",IF(INDEX(請求記録!$AE$6:$AE$3005,$M137)="","",INDEX(請求記録!$AE$6:$AE$3005,$M137)))</f>
        <v/>
      </c>
      <c r="H137">
        <f>IF($M137="","",IF(INDEX(請求記録!$AG$6:$AG$3005,$M137)="","",INDEX(請求記録!$AG$6:$AG$3005,$M137)))</f>
        <v/>
      </c>
      <c r="I137" s="20">
        <f>IF($M137="","",IF(INDEX(請求記録!$AH$6:$AH$3005,$M137)="","",INDEX(請求記録!$AH$6:$AH$3005,$M137)))</f>
        <v/>
      </c>
      <c r="J137">
        <f>IF($M137="","",IF(INDEX(請求記録!$AK$6:$AK$3005,$M137)="","",INDEX(請求記録!$AK$6:$AK$3005,$M137)))</f>
        <v/>
      </c>
      <c r="K137" s="20">
        <f>IF($M137="","",IF(INDEX(請求記録!$AJ$6:$AJ$3005,$M137)="","",INDEX(請求記録!$AJ$6:$AJ$3005,$M137)))</f>
        <v/>
      </c>
      <c r="L137">
        <f>IF($M137="","",IF(INDEX(請求記録!$AN$6:$AN$3005,$M137)="","",INDEX(請求記録!$AN$6:$AN$3005,$M137)))</f>
        <v/>
      </c>
      <c r="M137">
        <f>IFERROR(MATCH(132,請求記録!$AO$6:$AO$3005,0),"")</f>
        <v/>
      </c>
    </row>
    <row r="138">
      <c r="A138">
        <f>IF($M138="","",133)</f>
        <v/>
      </c>
      <c r="B138">
        <f>IF($M138="","",IF(INDEX(請求記録!$B$6:$B$3005,$M138)="","",INDEX(請求記録!$B$6:$B$3005,$M138)))</f>
        <v/>
      </c>
      <c r="C138">
        <f>IF($M138="","",IF(INDEX(請求記録!$X$6:$X$3005,$M138)="","",INDEX(請求記録!$X$6:$X$3005,$M138)))</f>
        <v/>
      </c>
      <c r="D138">
        <f>IF($M138="","",IF(INDEX(請求記録!$Y$6:$Y$3005,$M138)="","",INDEX(請求記録!$Y$6:$Y$3005,$M138)))</f>
        <v/>
      </c>
      <c r="E138">
        <f>IF($M138="","",IF(INDEX(請求記録!$Z$6:$Z$3005,$M138)="","",INDEX(請求記録!$Z$6:$Z$3005,$M138)))</f>
        <v/>
      </c>
      <c r="F138" s="19">
        <f>IF($M138="","",IF(INDEX(請求記録!$E$6:$E$3005,$M138)="","",INDEX(請求記録!$E$6:$E$3005,$M138)))</f>
        <v/>
      </c>
      <c r="G138" s="19">
        <f>IF($M138="","",IF(INDEX(請求記録!$AE$6:$AE$3005,$M138)="","",INDEX(請求記録!$AE$6:$AE$3005,$M138)))</f>
        <v/>
      </c>
      <c r="H138">
        <f>IF($M138="","",IF(INDEX(請求記録!$AG$6:$AG$3005,$M138)="","",INDEX(請求記録!$AG$6:$AG$3005,$M138)))</f>
        <v/>
      </c>
      <c r="I138" s="20">
        <f>IF($M138="","",IF(INDEX(請求記録!$AH$6:$AH$3005,$M138)="","",INDEX(請求記録!$AH$6:$AH$3005,$M138)))</f>
        <v/>
      </c>
      <c r="J138">
        <f>IF($M138="","",IF(INDEX(請求記録!$AK$6:$AK$3005,$M138)="","",INDEX(請求記録!$AK$6:$AK$3005,$M138)))</f>
        <v/>
      </c>
      <c r="K138" s="20">
        <f>IF($M138="","",IF(INDEX(請求記録!$AJ$6:$AJ$3005,$M138)="","",INDEX(請求記録!$AJ$6:$AJ$3005,$M138)))</f>
        <v/>
      </c>
      <c r="L138">
        <f>IF($M138="","",IF(INDEX(請求記録!$AN$6:$AN$3005,$M138)="","",INDEX(請求記録!$AN$6:$AN$3005,$M138)))</f>
        <v/>
      </c>
      <c r="M138">
        <f>IFERROR(MATCH(133,請求記録!$AO$6:$AO$3005,0),"")</f>
        <v/>
      </c>
    </row>
    <row r="139">
      <c r="A139">
        <f>IF($M139="","",134)</f>
        <v/>
      </c>
      <c r="B139">
        <f>IF($M139="","",IF(INDEX(請求記録!$B$6:$B$3005,$M139)="","",INDEX(請求記録!$B$6:$B$3005,$M139)))</f>
        <v/>
      </c>
      <c r="C139">
        <f>IF($M139="","",IF(INDEX(請求記録!$X$6:$X$3005,$M139)="","",INDEX(請求記録!$X$6:$X$3005,$M139)))</f>
        <v/>
      </c>
      <c r="D139">
        <f>IF($M139="","",IF(INDEX(請求記録!$Y$6:$Y$3005,$M139)="","",INDEX(請求記録!$Y$6:$Y$3005,$M139)))</f>
        <v/>
      </c>
      <c r="E139">
        <f>IF($M139="","",IF(INDEX(請求記録!$Z$6:$Z$3005,$M139)="","",INDEX(請求記録!$Z$6:$Z$3005,$M139)))</f>
        <v/>
      </c>
      <c r="F139" s="19">
        <f>IF($M139="","",IF(INDEX(請求記録!$E$6:$E$3005,$M139)="","",INDEX(請求記録!$E$6:$E$3005,$M139)))</f>
        <v/>
      </c>
      <c r="G139" s="19">
        <f>IF($M139="","",IF(INDEX(請求記録!$AE$6:$AE$3005,$M139)="","",INDEX(請求記録!$AE$6:$AE$3005,$M139)))</f>
        <v/>
      </c>
      <c r="H139">
        <f>IF($M139="","",IF(INDEX(請求記録!$AG$6:$AG$3005,$M139)="","",INDEX(請求記録!$AG$6:$AG$3005,$M139)))</f>
        <v/>
      </c>
      <c r="I139" s="20">
        <f>IF($M139="","",IF(INDEX(請求記録!$AH$6:$AH$3005,$M139)="","",INDEX(請求記録!$AH$6:$AH$3005,$M139)))</f>
        <v/>
      </c>
      <c r="J139">
        <f>IF($M139="","",IF(INDEX(請求記録!$AK$6:$AK$3005,$M139)="","",INDEX(請求記録!$AK$6:$AK$3005,$M139)))</f>
        <v/>
      </c>
      <c r="K139" s="20">
        <f>IF($M139="","",IF(INDEX(請求記録!$AJ$6:$AJ$3005,$M139)="","",INDEX(請求記録!$AJ$6:$AJ$3005,$M139)))</f>
        <v/>
      </c>
      <c r="L139">
        <f>IF($M139="","",IF(INDEX(請求記録!$AN$6:$AN$3005,$M139)="","",INDEX(請求記録!$AN$6:$AN$3005,$M139)))</f>
        <v/>
      </c>
      <c r="M139">
        <f>IFERROR(MATCH(134,請求記録!$AO$6:$AO$3005,0),"")</f>
        <v/>
      </c>
    </row>
    <row r="140">
      <c r="A140">
        <f>IF($M140="","",135)</f>
        <v/>
      </c>
      <c r="B140">
        <f>IF($M140="","",IF(INDEX(請求記録!$B$6:$B$3005,$M140)="","",INDEX(請求記録!$B$6:$B$3005,$M140)))</f>
        <v/>
      </c>
      <c r="C140">
        <f>IF($M140="","",IF(INDEX(請求記録!$X$6:$X$3005,$M140)="","",INDEX(請求記録!$X$6:$X$3005,$M140)))</f>
        <v/>
      </c>
      <c r="D140">
        <f>IF($M140="","",IF(INDEX(請求記録!$Y$6:$Y$3005,$M140)="","",INDEX(請求記録!$Y$6:$Y$3005,$M140)))</f>
        <v/>
      </c>
      <c r="E140">
        <f>IF($M140="","",IF(INDEX(請求記録!$Z$6:$Z$3005,$M140)="","",INDEX(請求記録!$Z$6:$Z$3005,$M140)))</f>
        <v/>
      </c>
      <c r="F140" s="19">
        <f>IF($M140="","",IF(INDEX(請求記録!$E$6:$E$3005,$M140)="","",INDEX(請求記録!$E$6:$E$3005,$M140)))</f>
        <v/>
      </c>
      <c r="G140" s="19">
        <f>IF($M140="","",IF(INDEX(請求記録!$AE$6:$AE$3005,$M140)="","",INDEX(請求記録!$AE$6:$AE$3005,$M140)))</f>
        <v/>
      </c>
      <c r="H140">
        <f>IF($M140="","",IF(INDEX(請求記録!$AG$6:$AG$3005,$M140)="","",INDEX(請求記録!$AG$6:$AG$3005,$M140)))</f>
        <v/>
      </c>
      <c r="I140" s="20">
        <f>IF($M140="","",IF(INDEX(請求記録!$AH$6:$AH$3005,$M140)="","",INDEX(請求記録!$AH$6:$AH$3005,$M140)))</f>
        <v/>
      </c>
      <c r="J140">
        <f>IF($M140="","",IF(INDEX(請求記録!$AK$6:$AK$3005,$M140)="","",INDEX(請求記録!$AK$6:$AK$3005,$M140)))</f>
        <v/>
      </c>
      <c r="K140" s="20">
        <f>IF($M140="","",IF(INDEX(請求記録!$AJ$6:$AJ$3005,$M140)="","",INDEX(請求記録!$AJ$6:$AJ$3005,$M140)))</f>
        <v/>
      </c>
      <c r="L140">
        <f>IF($M140="","",IF(INDEX(請求記録!$AN$6:$AN$3005,$M140)="","",INDEX(請求記録!$AN$6:$AN$3005,$M140)))</f>
        <v/>
      </c>
      <c r="M140">
        <f>IFERROR(MATCH(135,請求記録!$AO$6:$AO$3005,0),"")</f>
        <v/>
      </c>
    </row>
    <row r="141">
      <c r="A141">
        <f>IF($M141="","",136)</f>
        <v/>
      </c>
      <c r="B141">
        <f>IF($M141="","",IF(INDEX(請求記録!$B$6:$B$3005,$M141)="","",INDEX(請求記録!$B$6:$B$3005,$M141)))</f>
        <v/>
      </c>
      <c r="C141">
        <f>IF($M141="","",IF(INDEX(請求記録!$X$6:$X$3005,$M141)="","",INDEX(請求記録!$X$6:$X$3005,$M141)))</f>
        <v/>
      </c>
      <c r="D141">
        <f>IF($M141="","",IF(INDEX(請求記録!$Y$6:$Y$3005,$M141)="","",INDEX(請求記録!$Y$6:$Y$3005,$M141)))</f>
        <v/>
      </c>
      <c r="E141">
        <f>IF($M141="","",IF(INDEX(請求記録!$Z$6:$Z$3005,$M141)="","",INDEX(請求記録!$Z$6:$Z$3005,$M141)))</f>
        <v/>
      </c>
      <c r="F141" s="19">
        <f>IF($M141="","",IF(INDEX(請求記録!$E$6:$E$3005,$M141)="","",INDEX(請求記録!$E$6:$E$3005,$M141)))</f>
        <v/>
      </c>
      <c r="G141" s="19">
        <f>IF($M141="","",IF(INDEX(請求記録!$AE$6:$AE$3005,$M141)="","",INDEX(請求記録!$AE$6:$AE$3005,$M141)))</f>
        <v/>
      </c>
      <c r="H141">
        <f>IF($M141="","",IF(INDEX(請求記録!$AG$6:$AG$3005,$M141)="","",INDEX(請求記録!$AG$6:$AG$3005,$M141)))</f>
        <v/>
      </c>
      <c r="I141" s="20">
        <f>IF($M141="","",IF(INDEX(請求記録!$AH$6:$AH$3005,$M141)="","",INDEX(請求記録!$AH$6:$AH$3005,$M141)))</f>
        <v/>
      </c>
      <c r="J141">
        <f>IF($M141="","",IF(INDEX(請求記録!$AK$6:$AK$3005,$M141)="","",INDEX(請求記録!$AK$6:$AK$3005,$M141)))</f>
        <v/>
      </c>
      <c r="K141" s="20">
        <f>IF($M141="","",IF(INDEX(請求記録!$AJ$6:$AJ$3005,$M141)="","",INDEX(請求記録!$AJ$6:$AJ$3005,$M141)))</f>
        <v/>
      </c>
      <c r="L141">
        <f>IF($M141="","",IF(INDEX(請求記録!$AN$6:$AN$3005,$M141)="","",INDEX(請求記録!$AN$6:$AN$3005,$M141)))</f>
        <v/>
      </c>
      <c r="M141">
        <f>IFERROR(MATCH(136,請求記録!$AO$6:$AO$3005,0),"")</f>
        <v/>
      </c>
    </row>
    <row r="142">
      <c r="A142">
        <f>IF($M142="","",137)</f>
        <v/>
      </c>
      <c r="B142">
        <f>IF($M142="","",IF(INDEX(請求記録!$B$6:$B$3005,$M142)="","",INDEX(請求記録!$B$6:$B$3005,$M142)))</f>
        <v/>
      </c>
      <c r="C142">
        <f>IF($M142="","",IF(INDEX(請求記録!$X$6:$X$3005,$M142)="","",INDEX(請求記録!$X$6:$X$3005,$M142)))</f>
        <v/>
      </c>
      <c r="D142">
        <f>IF($M142="","",IF(INDEX(請求記録!$Y$6:$Y$3005,$M142)="","",INDEX(請求記録!$Y$6:$Y$3005,$M142)))</f>
        <v/>
      </c>
      <c r="E142">
        <f>IF($M142="","",IF(INDEX(請求記録!$Z$6:$Z$3005,$M142)="","",INDEX(請求記録!$Z$6:$Z$3005,$M142)))</f>
        <v/>
      </c>
      <c r="F142" s="19">
        <f>IF($M142="","",IF(INDEX(請求記録!$E$6:$E$3005,$M142)="","",INDEX(請求記録!$E$6:$E$3005,$M142)))</f>
        <v/>
      </c>
      <c r="G142" s="19">
        <f>IF($M142="","",IF(INDEX(請求記録!$AE$6:$AE$3005,$M142)="","",INDEX(請求記録!$AE$6:$AE$3005,$M142)))</f>
        <v/>
      </c>
      <c r="H142">
        <f>IF($M142="","",IF(INDEX(請求記録!$AG$6:$AG$3005,$M142)="","",INDEX(請求記録!$AG$6:$AG$3005,$M142)))</f>
        <v/>
      </c>
      <c r="I142" s="20">
        <f>IF($M142="","",IF(INDEX(請求記録!$AH$6:$AH$3005,$M142)="","",INDEX(請求記録!$AH$6:$AH$3005,$M142)))</f>
        <v/>
      </c>
      <c r="J142">
        <f>IF($M142="","",IF(INDEX(請求記録!$AK$6:$AK$3005,$M142)="","",INDEX(請求記録!$AK$6:$AK$3005,$M142)))</f>
        <v/>
      </c>
      <c r="K142" s="20">
        <f>IF($M142="","",IF(INDEX(請求記録!$AJ$6:$AJ$3005,$M142)="","",INDEX(請求記録!$AJ$6:$AJ$3005,$M142)))</f>
        <v/>
      </c>
      <c r="L142">
        <f>IF($M142="","",IF(INDEX(請求記録!$AN$6:$AN$3005,$M142)="","",INDEX(請求記録!$AN$6:$AN$3005,$M142)))</f>
        <v/>
      </c>
      <c r="M142">
        <f>IFERROR(MATCH(137,請求記録!$AO$6:$AO$3005,0),"")</f>
        <v/>
      </c>
    </row>
    <row r="143">
      <c r="A143">
        <f>IF($M143="","",138)</f>
        <v/>
      </c>
      <c r="B143">
        <f>IF($M143="","",IF(INDEX(請求記録!$B$6:$B$3005,$M143)="","",INDEX(請求記録!$B$6:$B$3005,$M143)))</f>
        <v/>
      </c>
      <c r="C143">
        <f>IF($M143="","",IF(INDEX(請求記録!$X$6:$X$3005,$M143)="","",INDEX(請求記録!$X$6:$X$3005,$M143)))</f>
        <v/>
      </c>
      <c r="D143">
        <f>IF($M143="","",IF(INDEX(請求記録!$Y$6:$Y$3005,$M143)="","",INDEX(請求記録!$Y$6:$Y$3005,$M143)))</f>
        <v/>
      </c>
      <c r="E143">
        <f>IF($M143="","",IF(INDEX(請求記録!$Z$6:$Z$3005,$M143)="","",INDEX(請求記録!$Z$6:$Z$3005,$M143)))</f>
        <v/>
      </c>
      <c r="F143" s="19">
        <f>IF($M143="","",IF(INDEX(請求記録!$E$6:$E$3005,$M143)="","",INDEX(請求記録!$E$6:$E$3005,$M143)))</f>
        <v/>
      </c>
      <c r="G143" s="19">
        <f>IF($M143="","",IF(INDEX(請求記録!$AE$6:$AE$3005,$M143)="","",INDEX(請求記録!$AE$6:$AE$3005,$M143)))</f>
        <v/>
      </c>
      <c r="H143">
        <f>IF($M143="","",IF(INDEX(請求記録!$AG$6:$AG$3005,$M143)="","",INDEX(請求記録!$AG$6:$AG$3005,$M143)))</f>
        <v/>
      </c>
      <c r="I143" s="20">
        <f>IF($M143="","",IF(INDEX(請求記録!$AH$6:$AH$3005,$M143)="","",INDEX(請求記録!$AH$6:$AH$3005,$M143)))</f>
        <v/>
      </c>
      <c r="J143">
        <f>IF($M143="","",IF(INDEX(請求記録!$AK$6:$AK$3005,$M143)="","",INDEX(請求記録!$AK$6:$AK$3005,$M143)))</f>
        <v/>
      </c>
      <c r="K143" s="20">
        <f>IF($M143="","",IF(INDEX(請求記録!$AJ$6:$AJ$3005,$M143)="","",INDEX(請求記録!$AJ$6:$AJ$3005,$M143)))</f>
        <v/>
      </c>
      <c r="L143">
        <f>IF($M143="","",IF(INDEX(請求記録!$AN$6:$AN$3005,$M143)="","",INDEX(請求記録!$AN$6:$AN$3005,$M143)))</f>
        <v/>
      </c>
      <c r="M143">
        <f>IFERROR(MATCH(138,請求記録!$AO$6:$AO$3005,0),"")</f>
        <v/>
      </c>
    </row>
    <row r="144">
      <c r="A144">
        <f>IF($M144="","",139)</f>
        <v/>
      </c>
      <c r="B144">
        <f>IF($M144="","",IF(INDEX(請求記録!$B$6:$B$3005,$M144)="","",INDEX(請求記録!$B$6:$B$3005,$M144)))</f>
        <v/>
      </c>
      <c r="C144">
        <f>IF($M144="","",IF(INDEX(請求記録!$X$6:$X$3005,$M144)="","",INDEX(請求記録!$X$6:$X$3005,$M144)))</f>
        <v/>
      </c>
      <c r="D144">
        <f>IF($M144="","",IF(INDEX(請求記録!$Y$6:$Y$3005,$M144)="","",INDEX(請求記録!$Y$6:$Y$3005,$M144)))</f>
        <v/>
      </c>
      <c r="E144">
        <f>IF($M144="","",IF(INDEX(請求記録!$Z$6:$Z$3005,$M144)="","",INDEX(請求記録!$Z$6:$Z$3005,$M144)))</f>
        <v/>
      </c>
      <c r="F144" s="19">
        <f>IF($M144="","",IF(INDEX(請求記録!$E$6:$E$3005,$M144)="","",INDEX(請求記録!$E$6:$E$3005,$M144)))</f>
        <v/>
      </c>
      <c r="G144" s="19">
        <f>IF($M144="","",IF(INDEX(請求記録!$AE$6:$AE$3005,$M144)="","",INDEX(請求記録!$AE$6:$AE$3005,$M144)))</f>
        <v/>
      </c>
      <c r="H144">
        <f>IF($M144="","",IF(INDEX(請求記録!$AG$6:$AG$3005,$M144)="","",INDEX(請求記録!$AG$6:$AG$3005,$M144)))</f>
        <v/>
      </c>
      <c r="I144" s="20">
        <f>IF($M144="","",IF(INDEX(請求記録!$AH$6:$AH$3005,$M144)="","",INDEX(請求記録!$AH$6:$AH$3005,$M144)))</f>
        <v/>
      </c>
      <c r="J144">
        <f>IF($M144="","",IF(INDEX(請求記録!$AK$6:$AK$3005,$M144)="","",INDEX(請求記録!$AK$6:$AK$3005,$M144)))</f>
        <v/>
      </c>
      <c r="K144" s="20">
        <f>IF($M144="","",IF(INDEX(請求記録!$AJ$6:$AJ$3005,$M144)="","",INDEX(請求記録!$AJ$6:$AJ$3005,$M144)))</f>
        <v/>
      </c>
      <c r="L144">
        <f>IF($M144="","",IF(INDEX(請求記録!$AN$6:$AN$3005,$M144)="","",INDEX(請求記録!$AN$6:$AN$3005,$M144)))</f>
        <v/>
      </c>
      <c r="M144">
        <f>IFERROR(MATCH(139,請求記録!$AO$6:$AO$3005,0),"")</f>
        <v/>
      </c>
    </row>
    <row r="145">
      <c r="A145">
        <f>IF($M145="","",140)</f>
        <v/>
      </c>
      <c r="B145">
        <f>IF($M145="","",IF(INDEX(請求記録!$B$6:$B$3005,$M145)="","",INDEX(請求記録!$B$6:$B$3005,$M145)))</f>
        <v/>
      </c>
      <c r="C145">
        <f>IF($M145="","",IF(INDEX(請求記録!$X$6:$X$3005,$M145)="","",INDEX(請求記録!$X$6:$X$3005,$M145)))</f>
        <v/>
      </c>
      <c r="D145">
        <f>IF($M145="","",IF(INDEX(請求記録!$Y$6:$Y$3005,$M145)="","",INDEX(請求記録!$Y$6:$Y$3005,$M145)))</f>
        <v/>
      </c>
      <c r="E145">
        <f>IF($M145="","",IF(INDEX(請求記録!$Z$6:$Z$3005,$M145)="","",INDEX(請求記録!$Z$6:$Z$3005,$M145)))</f>
        <v/>
      </c>
      <c r="F145" s="19">
        <f>IF($M145="","",IF(INDEX(請求記録!$E$6:$E$3005,$M145)="","",INDEX(請求記録!$E$6:$E$3005,$M145)))</f>
        <v/>
      </c>
      <c r="G145" s="19">
        <f>IF($M145="","",IF(INDEX(請求記録!$AE$6:$AE$3005,$M145)="","",INDEX(請求記録!$AE$6:$AE$3005,$M145)))</f>
        <v/>
      </c>
      <c r="H145">
        <f>IF($M145="","",IF(INDEX(請求記録!$AG$6:$AG$3005,$M145)="","",INDEX(請求記録!$AG$6:$AG$3005,$M145)))</f>
        <v/>
      </c>
      <c r="I145" s="20">
        <f>IF($M145="","",IF(INDEX(請求記録!$AH$6:$AH$3005,$M145)="","",INDEX(請求記録!$AH$6:$AH$3005,$M145)))</f>
        <v/>
      </c>
      <c r="J145">
        <f>IF($M145="","",IF(INDEX(請求記録!$AK$6:$AK$3005,$M145)="","",INDEX(請求記録!$AK$6:$AK$3005,$M145)))</f>
        <v/>
      </c>
      <c r="K145" s="20">
        <f>IF($M145="","",IF(INDEX(請求記録!$AJ$6:$AJ$3005,$M145)="","",INDEX(請求記録!$AJ$6:$AJ$3005,$M145)))</f>
        <v/>
      </c>
      <c r="L145">
        <f>IF($M145="","",IF(INDEX(請求記録!$AN$6:$AN$3005,$M145)="","",INDEX(請求記録!$AN$6:$AN$3005,$M145)))</f>
        <v/>
      </c>
      <c r="M145">
        <f>IFERROR(MATCH(140,請求記録!$AO$6:$AO$3005,0),"")</f>
        <v/>
      </c>
    </row>
    <row r="146">
      <c r="A146">
        <f>IF($M146="","",141)</f>
        <v/>
      </c>
      <c r="B146">
        <f>IF($M146="","",IF(INDEX(請求記録!$B$6:$B$3005,$M146)="","",INDEX(請求記録!$B$6:$B$3005,$M146)))</f>
        <v/>
      </c>
      <c r="C146">
        <f>IF($M146="","",IF(INDEX(請求記録!$X$6:$X$3005,$M146)="","",INDEX(請求記録!$X$6:$X$3005,$M146)))</f>
        <v/>
      </c>
      <c r="D146">
        <f>IF($M146="","",IF(INDEX(請求記録!$Y$6:$Y$3005,$M146)="","",INDEX(請求記録!$Y$6:$Y$3005,$M146)))</f>
        <v/>
      </c>
      <c r="E146">
        <f>IF($M146="","",IF(INDEX(請求記録!$Z$6:$Z$3005,$M146)="","",INDEX(請求記録!$Z$6:$Z$3005,$M146)))</f>
        <v/>
      </c>
      <c r="F146" s="19">
        <f>IF($M146="","",IF(INDEX(請求記録!$E$6:$E$3005,$M146)="","",INDEX(請求記録!$E$6:$E$3005,$M146)))</f>
        <v/>
      </c>
      <c r="G146" s="19">
        <f>IF($M146="","",IF(INDEX(請求記録!$AE$6:$AE$3005,$M146)="","",INDEX(請求記録!$AE$6:$AE$3005,$M146)))</f>
        <v/>
      </c>
      <c r="H146">
        <f>IF($M146="","",IF(INDEX(請求記録!$AG$6:$AG$3005,$M146)="","",INDEX(請求記録!$AG$6:$AG$3005,$M146)))</f>
        <v/>
      </c>
      <c r="I146" s="20">
        <f>IF($M146="","",IF(INDEX(請求記録!$AH$6:$AH$3005,$M146)="","",INDEX(請求記録!$AH$6:$AH$3005,$M146)))</f>
        <v/>
      </c>
      <c r="J146">
        <f>IF($M146="","",IF(INDEX(請求記録!$AK$6:$AK$3005,$M146)="","",INDEX(請求記録!$AK$6:$AK$3005,$M146)))</f>
        <v/>
      </c>
      <c r="K146" s="20">
        <f>IF($M146="","",IF(INDEX(請求記録!$AJ$6:$AJ$3005,$M146)="","",INDEX(請求記録!$AJ$6:$AJ$3005,$M146)))</f>
        <v/>
      </c>
      <c r="L146">
        <f>IF($M146="","",IF(INDEX(請求記録!$AN$6:$AN$3005,$M146)="","",INDEX(請求記録!$AN$6:$AN$3005,$M146)))</f>
        <v/>
      </c>
      <c r="M146">
        <f>IFERROR(MATCH(141,請求記録!$AO$6:$AO$3005,0),"")</f>
        <v/>
      </c>
    </row>
    <row r="147">
      <c r="A147">
        <f>IF($M147="","",142)</f>
        <v/>
      </c>
      <c r="B147">
        <f>IF($M147="","",IF(INDEX(請求記録!$B$6:$B$3005,$M147)="","",INDEX(請求記録!$B$6:$B$3005,$M147)))</f>
        <v/>
      </c>
      <c r="C147">
        <f>IF($M147="","",IF(INDEX(請求記録!$X$6:$X$3005,$M147)="","",INDEX(請求記録!$X$6:$X$3005,$M147)))</f>
        <v/>
      </c>
      <c r="D147">
        <f>IF($M147="","",IF(INDEX(請求記録!$Y$6:$Y$3005,$M147)="","",INDEX(請求記録!$Y$6:$Y$3005,$M147)))</f>
        <v/>
      </c>
      <c r="E147">
        <f>IF($M147="","",IF(INDEX(請求記録!$Z$6:$Z$3005,$M147)="","",INDEX(請求記録!$Z$6:$Z$3005,$M147)))</f>
        <v/>
      </c>
      <c r="F147" s="19">
        <f>IF($M147="","",IF(INDEX(請求記録!$E$6:$E$3005,$M147)="","",INDEX(請求記録!$E$6:$E$3005,$M147)))</f>
        <v/>
      </c>
      <c r="G147" s="19">
        <f>IF($M147="","",IF(INDEX(請求記録!$AE$6:$AE$3005,$M147)="","",INDEX(請求記録!$AE$6:$AE$3005,$M147)))</f>
        <v/>
      </c>
      <c r="H147">
        <f>IF($M147="","",IF(INDEX(請求記録!$AG$6:$AG$3005,$M147)="","",INDEX(請求記録!$AG$6:$AG$3005,$M147)))</f>
        <v/>
      </c>
      <c r="I147" s="20">
        <f>IF($M147="","",IF(INDEX(請求記録!$AH$6:$AH$3005,$M147)="","",INDEX(請求記録!$AH$6:$AH$3005,$M147)))</f>
        <v/>
      </c>
      <c r="J147">
        <f>IF($M147="","",IF(INDEX(請求記録!$AK$6:$AK$3005,$M147)="","",INDEX(請求記録!$AK$6:$AK$3005,$M147)))</f>
        <v/>
      </c>
      <c r="K147" s="20">
        <f>IF($M147="","",IF(INDEX(請求記録!$AJ$6:$AJ$3005,$M147)="","",INDEX(請求記録!$AJ$6:$AJ$3005,$M147)))</f>
        <v/>
      </c>
      <c r="L147">
        <f>IF($M147="","",IF(INDEX(請求記録!$AN$6:$AN$3005,$M147)="","",INDEX(請求記録!$AN$6:$AN$3005,$M147)))</f>
        <v/>
      </c>
      <c r="M147">
        <f>IFERROR(MATCH(142,請求記録!$AO$6:$AO$3005,0),"")</f>
        <v/>
      </c>
    </row>
    <row r="148">
      <c r="A148">
        <f>IF($M148="","",143)</f>
        <v/>
      </c>
      <c r="B148">
        <f>IF($M148="","",IF(INDEX(請求記録!$B$6:$B$3005,$M148)="","",INDEX(請求記録!$B$6:$B$3005,$M148)))</f>
        <v/>
      </c>
      <c r="C148">
        <f>IF($M148="","",IF(INDEX(請求記録!$X$6:$X$3005,$M148)="","",INDEX(請求記録!$X$6:$X$3005,$M148)))</f>
        <v/>
      </c>
      <c r="D148">
        <f>IF($M148="","",IF(INDEX(請求記録!$Y$6:$Y$3005,$M148)="","",INDEX(請求記録!$Y$6:$Y$3005,$M148)))</f>
        <v/>
      </c>
      <c r="E148">
        <f>IF($M148="","",IF(INDEX(請求記録!$Z$6:$Z$3005,$M148)="","",INDEX(請求記録!$Z$6:$Z$3005,$M148)))</f>
        <v/>
      </c>
      <c r="F148" s="19">
        <f>IF($M148="","",IF(INDEX(請求記録!$E$6:$E$3005,$M148)="","",INDEX(請求記録!$E$6:$E$3005,$M148)))</f>
        <v/>
      </c>
      <c r="G148" s="19">
        <f>IF($M148="","",IF(INDEX(請求記録!$AE$6:$AE$3005,$M148)="","",INDEX(請求記録!$AE$6:$AE$3005,$M148)))</f>
        <v/>
      </c>
      <c r="H148">
        <f>IF($M148="","",IF(INDEX(請求記録!$AG$6:$AG$3005,$M148)="","",INDEX(請求記録!$AG$6:$AG$3005,$M148)))</f>
        <v/>
      </c>
      <c r="I148" s="20">
        <f>IF($M148="","",IF(INDEX(請求記録!$AH$6:$AH$3005,$M148)="","",INDEX(請求記録!$AH$6:$AH$3005,$M148)))</f>
        <v/>
      </c>
      <c r="J148">
        <f>IF($M148="","",IF(INDEX(請求記録!$AK$6:$AK$3005,$M148)="","",INDEX(請求記録!$AK$6:$AK$3005,$M148)))</f>
        <v/>
      </c>
      <c r="K148" s="20">
        <f>IF($M148="","",IF(INDEX(請求記録!$AJ$6:$AJ$3005,$M148)="","",INDEX(請求記録!$AJ$6:$AJ$3005,$M148)))</f>
        <v/>
      </c>
      <c r="L148">
        <f>IF($M148="","",IF(INDEX(請求記録!$AN$6:$AN$3005,$M148)="","",INDEX(請求記録!$AN$6:$AN$3005,$M148)))</f>
        <v/>
      </c>
      <c r="M148">
        <f>IFERROR(MATCH(143,請求記録!$AO$6:$AO$3005,0),"")</f>
        <v/>
      </c>
    </row>
    <row r="149">
      <c r="A149">
        <f>IF($M149="","",144)</f>
        <v/>
      </c>
      <c r="B149">
        <f>IF($M149="","",IF(INDEX(請求記録!$B$6:$B$3005,$M149)="","",INDEX(請求記録!$B$6:$B$3005,$M149)))</f>
        <v/>
      </c>
      <c r="C149">
        <f>IF($M149="","",IF(INDEX(請求記録!$X$6:$X$3005,$M149)="","",INDEX(請求記録!$X$6:$X$3005,$M149)))</f>
        <v/>
      </c>
      <c r="D149">
        <f>IF($M149="","",IF(INDEX(請求記録!$Y$6:$Y$3005,$M149)="","",INDEX(請求記録!$Y$6:$Y$3005,$M149)))</f>
        <v/>
      </c>
      <c r="E149">
        <f>IF($M149="","",IF(INDEX(請求記録!$Z$6:$Z$3005,$M149)="","",INDEX(請求記録!$Z$6:$Z$3005,$M149)))</f>
        <v/>
      </c>
      <c r="F149" s="19">
        <f>IF($M149="","",IF(INDEX(請求記録!$E$6:$E$3005,$M149)="","",INDEX(請求記録!$E$6:$E$3005,$M149)))</f>
        <v/>
      </c>
      <c r="G149" s="19">
        <f>IF($M149="","",IF(INDEX(請求記録!$AE$6:$AE$3005,$M149)="","",INDEX(請求記録!$AE$6:$AE$3005,$M149)))</f>
        <v/>
      </c>
      <c r="H149">
        <f>IF($M149="","",IF(INDEX(請求記録!$AG$6:$AG$3005,$M149)="","",INDEX(請求記録!$AG$6:$AG$3005,$M149)))</f>
        <v/>
      </c>
      <c r="I149" s="20">
        <f>IF($M149="","",IF(INDEX(請求記録!$AH$6:$AH$3005,$M149)="","",INDEX(請求記録!$AH$6:$AH$3005,$M149)))</f>
        <v/>
      </c>
      <c r="J149">
        <f>IF($M149="","",IF(INDEX(請求記録!$AK$6:$AK$3005,$M149)="","",INDEX(請求記録!$AK$6:$AK$3005,$M149)))</f>
        <v/>
      </c>
      <c r="K149" s="20">
        <f>IF($M149="","",IF(INDEX(請求記録!$AJ$6:$AJ$3005,$M149)="","",INDEX(請求記録!$AJ$6:$AJ$3005,$M149)))</f>
        <v/>
      </c>
      <c r="L149">
        <f>IF($M149="","",IF(INDEX(請求記録!$AN$6:$AN$3005,$M149)="","",INDEX(請求記録!$AN$6:$AN$3005,$M149)))</f>
        <v/>
      </c>
      <c r="M149">
        <f>IFERROR(MATCH(144,請求記録!$AO$6:$AO$3005,0),"")</f>
        <v/>
      </c>
    </row>
    <row r="150">
      <c r="A150">
        <f>IF($M150="","",145)</f>
        <v/>
      </c>
      <c r="B150">
        <f>IF($M150="","",IF(INDEX(請求記録!$B$6:$B$3005,$M150)="","",INDEX(請求記録!$B$6:$B$3005,$M150)))</f>
        <v/>
      </c>
      <c r="C150">
        <f>IF($M150="","",IF(INDEX(請求記録!$X$6:$X$3005,$M150)="","",INDEX(請求記録!$X$6:$X$3005,$M150)))</f>
        <v/>
      </c>
      <c r="D150">
        <f>IF($M150="","",IF(INDEX(請求記録!$Y$6:$Y$3005,$M150)="","",INDEX(請求記録!$Y$6:$Y$3005,$M150)))</f>
        <v/>
      </c>
      <c r="E150">
        <f>IF($M150="","",IF(INDEX(請求記録!$Z$6:$Z$3005,$M150)="","",INDEX(請求記録!$Z$6:$Z$3005,$M150)))</f>
        <v/>
      </c>
      <c r="F150" s="19">
        <f>IF($M150="","",IF(INDEX(請求記録!$E$6:$E$3005,$M150)="","",INDEX(請求記録!$E$6:$E$3005,$M150)))</f>
        <v/>
      </c>
      <c r="G150" s="19">
        <f>IF($M150="","",IF(INDEX(請求記録!$AE$6:$AE$3005,$M150)="","",INDEX(請求記録!$AE$6:$AE$3005,$M150)))</f>
        <v/>
      </c>
      <c r="H150">
        <f>IF($M150="","",IF(INDEX(請求記録!$AG$6:$AG$3005,$M150)="","",INDEX(請求記録!$AG$6:$AG$3005,$M150)))</f>
        <v/>
      </c>
      <c r="I150" s="20">
        <f>IF($M150="","",IF(INDEX(請求記録!$AH$6:$AH$3005,$M150)="","",INDEX(請求記録!$AH$6:$AH$3005,$M150)))</f>
        <v/>
      </c>
      <c r="J150">
        <f>IF($M150="","",IF(INDEX(請求記録!$AK$6:$AK$3005,$M150)="","",INDEX(請求記録!$AK$6:$AK$3005,$M150)))</f>
        <v/>
      </c>
      <c r="K150" s="20">
        <f>IF($M150="","",IF(INDEX(請求記録!$AJ$6:$AJ$3005,$M150)="","",INDEX(請求記録!$AJ$6:$AJ$3005,$M150)))</f>
        <v/>
      </c>
      <c r="L150">
        <f>IF($M150="","",IF(INDEX(請求記録!$AN$6:$AN$3005,$M150)="","",INDEX(請求記録!$AN$6:$AN$3005,$M150)))</f>
        <v/>
      </c>
      <c r="M150">
        <f>IFERROR(MATCH(145,請求記録!$AO$6:$AO$3005,0),"")</f>
        <v/>
      </c>
    </row>
    <row r="151">
      <c r="A151">
        <f>IF($M151="","",146)</f>
        <v/>
      </c>
      <c r="B151">
        <f>IF($M151="","",IF(INDEX(請求記録!$B$6:$B$3005,$M151)="","",INDEX(請求記録!$B$6:$B$3005,$M151)))</f>
        <v/>
      </c>
      <c r="C151">
        <f>IF($M151="","",IF(INDEX(請求記録!$X$6:$X$3005,$M151)="","",INDEX(請求記録!$X$6:$X$3005,$M151)))</f>
        <v/>
      </c>
      <c r="D151">
        <f>IF($M151="","",IF(INDEX(請求記録!$Y$6:$Y$3005,$M151)="","",INDEX(請求記録!$Y$6:$Y$3005,$M151)))</f>
        <v/>
      </c>
      <c r="E151">
        <f>IF($M151="","",IF(INDEX(請求記録!$Z$6:$Z$3005,$M151)="","",INDEX(請求記録!$Z$6:$Z$3005,$M151)))</f>
        <v/>
      </c>
      <c r="F151" s="19">
        <f>IF($M151="","",IF(INDEX(請求記録!$E$6:$E$3005,$M151)="","",INDEX(請求記録!$E$6:$E$3005,$M151)))</f>
        <v/>
      </c>
      <c r="G151" s="19">
        <f>IF($M151="","",IF(INDEX(請求記録!$AE$6:$AE$3005,$M151)="","",INDEX(請求記録!$AE$6:$AE$3005,$M151)))</f>
        <v/>
      </c>
      <c r="H151">
        <f>IF($M151="","",IF(INDEX(請求記録!$AG$6:$AG$3005,$M151)="","",INDEX(請求記録!$AG$6:$AG$3005,$M151)))</f>
        <v/>
      </c>
      <c r="I151" s="20">
        <f>IF($M151="","",IF(INDEX(請求記録!$AH$6:$AH$3005,$M151)="","",INDEX(請求記録!$AH$6:$AH$3005,$M151)))</f>
        <v/>
      </c>
      <c r="J151">
        <f>IF($M151="","",IF(INDEX(請求記録!$AK$6:$AK$3005,$M151)="","",INDEX(請求記録!$AK$6:$AK$3005,$M151)))</f>
        <v/>
      </c>
      <c r="K151" s="20">
        <f>IF($M151="","",IF(INDEX(請求記録!$AJ$6:$AJ$3005,$M151)="","",INDEX(請求記録!$AJ$6:$AJ$3005,$M151)))</f>
        <v/>
      </c>
      <c r="L151">
        <f>IF($M151="","",IF(INDEX(請求記録!$AN$6:$AN$3005,$M151)="","",INDEX(請求記録!$AN$6:$AN$3005,$M151)))</f>
        <v/>
      </c>
      <c r="M151">
        <f>IFERROR(MATCH(146,請求記録!$AO$6:$AO$3005,0),"")</f>
        <v/>
      </c>
    </row>
    <row r="152">
      <c r="A152">
        <f>IF($M152="","",147)</f>
        <v/>
      </c>
      <c r="B152">
        <f>IF($M152="","",IF(INDEX(請求記録!$B$6:$B$3005,$M152)="","",INDEX(請求記録!$B$6:$B$3005,$M152)))</f>
        <v/>
      </c>
      <c r="C152">
        <f>IF($M152="","",IF(INDEX(請求記録!$X$6:$X$3005,$M152)="","",INDEX(請求記録!$X$6:$X$3005,$M152)))</f>
        <v/>
      </c>
      <c r="D152">
        <f>IF($M152="","",IF(INDEX(請求記録!$Y$6:$Y$3005,$M152)="","",INDEX(請求記録!$Y$6:$Y$3005,$M152)))</f>
        <v/>
      </c>
      <c r="E152">
        <f>IF($M152="","",IF(INDEX(請求記録!$Z$6:$Z$3005,$M152)="","",INDEX(請求記録!$Z$6:$Z$3005,$M152)))</f>
        <v/>
      </c>
      <c r="F152" s="19">
        <f>IF($M152="","",IF(INDEX(請求記録!$E$6:$E$3005,$M152)="","",INDEX(請求記録!$E$6:$E$3005,$M152)))</f>
        <v/>
      </c>
      <c r="G152" s="19">
        <f>IF($M152="","",IF(INDEX(請求記録!$AE$6:$AE$3005,$M152)="","",INDEX(請求記録!$AE$6:$AE$3005,$M152)))</f>
        <v/>
      </c>
      <c r="H152">
        <f>IF($M152="","",IF(INDEX(請求記録!$AG$6:$AG$3005,$M152)="","",INDEX(請求記録!$AG$6:$AG$3005,$M152)))</f>
        <v/>
      </c>
      <c r="I152" s="20">
        <f>IF($M152="","",IF(INDEX(請求記録!$AH$6:$AH$3005,$M152)="","",INDEX(請求記録!$AH$6:$AH$3005,$M152)))</f>
        <v/>
      </c>
      <c r="J152">
        <f>IF($M152="","",IF(INDEX(請求記録!$AK$6:$AK$3005,$M152)="","",INDEX(請求記録!$AK$6:$AK$3005,$M152)))</f>
        <v/>
      </c>
      <c r="K152" s="20">
        <f>IF($M152="","",IF(INDEX(請求記録!$AJ$6:$AJ$3005,$M152)="","",INDEX(請求記録!$AJ$6:$AJ$3005,$M152)))</f>
        <v/>
      </c>
      <c r="L152">
        <f>IF($M152="","",IF(INDEX(請求記録!$AN$6:$AN$3005,$M152)="","",INDEX(請求記録!$AN$6:$AN$3005,$M152)))</f>
        <v/>
      </c>
      <c r="M152">
        <f>IFERROR(MATCH(147,請求記録!$AO$6:$AO$3005,0),"")</f>
        <v/>
      </c>
    </row>
    <row r="153">
      <c r="A153">
        <f>IF($M153="","",148)</f>
        <v/>
      </c>
      <c r="B153">
        <f>IF($M153="","",IF(INDEX(請求記録!$B$6:$B$3005,$M153)="","",INDEX(請求記録!$B$6:$B$3005,$M153)))</f>
        <v/>
      </c>
      <c r="C153">
        <f>IF($M153="","",IF(INDEX(請求記録!$X$6:$X$3005,$M153)="","",INDEX(請求記録!$X$6:$X$3005,$M153)))</f>
        <v/>
      </c>
      <c r="D153">
        <f>IF($M153="","",IF(INDEX(請求記録!$Y$6:$Y$3005,$M153)="","",INDEX(請求記録!$Y$6:$Y$3005,$M153)))</f>
        <v/>
      </c>
      <c r="E153">
        <f>IF($M153="","",IF(INDEX(請求記録!$Z$6:$Z$3005,$M153)="","",INDEX(請求記録!$Z$6:$Z$3005,$M153)))</f>
        <v/>
      </c>
      <c r="F153" s="19">
        <f>IF($M153="","",IF(INDEX(請求記録!$E$6:$E$3005,$M153)="","",INDEX(請求記録!$E$6:$E$3005,$M153)))</f>
        <v/>
      </c>
      <c r="G153" s="19">
        <f>IF($M153="","",IF(INDEX(請求記録!$AE$6:$AE$3005,$M153)="","",INDEX(請求記録!$AE$6:$AE$3005,$M153)))</f>
        <v/>
      </c>
      <c r="H153">
        <f>IF($M153="","",IF(INDEX(請求記録!$AG$6:$AG$3005,$M153)="","",INDEX(請求記録!$AG$6:$AG$3005,$M153)))</f>
        <v/>
      </c>
      <c r="I153" s="20">
        <f>IF($M153="","",IF(INDEX(請求記録!$AH$6:$AH$3005,$M153)="","",INDEX(請求記録!$AH$6:$AH$3005,$M153)))</f>
        <v/>
      </c>
      <c r="J153">
        <f>IF($M153="","",IF(INDEX(請求記録!$AK$6:$AK$3005,$M153)="","",INDEX(請求記録!$AK$6:$AK$3005,$M153)))</f>
        <v/>
      </c>
      <c r="K153" s="20">
        <f>IF($M153="","",IF(INDEX(請求記録!$AJ$6:$AJ$3005,$M153)="","",INDEX(請求記録!$AJ$6:$AJ$3005,$M153)))</f>
        <v/>
      </c>
      <c r="L153">
        <f>IF($M153="","",IF(INDEX(請求記録!$AN$6:$AN$3005,$M153)="","",INDEX(請求記録!$AN$6:$AN$3005,$M153)))</f>
        <v/>
      </c>
      <c r="M153">
        <f>IFERROR(MATCH(148,請求記録!$AO$6:$AO$3005,0),"")</f>
        <v/>
      </c>
    </row>
    <row r="154">
      <c r="A154">
        <f>IF($M154="","",149)</f>
        <v/>
      </c>
      <c r="B154">
        <f>IF($M154="","",IF(INDEX(請求記録!$B$6:$B$3005,$M154)="","",INDEX(請求記録!$B$6:$B$3005,$M154)))</f>
        <v/>
      </c>
      <c r="C154">
        <f>IF($M154="","",IF(INDEX(請求記録!$X$6:$X$3005,$M154)="","",INDEX(請求記録!$X$6:$X$3005,$M154)))</f>
        <v/>
      </c>
      <c r="D154">
        <f>IF($M154="","",IF(INDEX(請求記録!$Y$6:$Y$3005,$M154)="","",INDEX(請求記録!$Y$6:$Y$3005,$M154)))</f>
        <v/>
      </c>
      <c r="E154">
        <f>IF($M154="","",IF(INDEX(請求記録!$Z$6:$Z$3005,$M154)="","",INDEX(請求記録!$Z$6:$Z$3005,$M154)))</f>
        <v/>
      </c>
      <c r="F154" s="19">
        <f>IF($M154="","",IF(INDEX(請求記録!$E$6:$E$3005,$M154)="","",INDEX(請求記録!$E$6:$E$3005,$M154)))</f>
        <v/>
      </c>
      <c r="G154" s="19">
        <f>IF($M154="","",IF(INDEX(請求記録!$AE$6:$AE$3005,$M154)="","",INDEX(請求記録!$AE$6:$AE$3005,$M154)))</f>
        <v/>
      </c>
      <c r="H154">
        <f>IF($M154="","",IF(INDEX(請求記録!$AG$6:$AG$3005,$M154)="","",INDEX(請求記録!$AG$6:$AG$3005,$M154)))</f>
        <v/>
      </c>
      <c r="I154" s="20">
        <f>IF($M154="","",IF(INDEX(請求記録!$AH$6:$AH$3005,$M154)="","",INDEX(請求記録!$AH$6:$AH$3005,$M154)))</f>
        <v/>
      </c>
      <c r="J154">
        <f>IF($M154="","",IF(INDEX(請求記録!$AK$6:$AK$3005,$M154)="","",INDEX(請求記録!$AK$6:$AK$3005,$M154)))</f>
        <v/>
      </c>
      <c r="K154" s="20">
        <f>IF($M154="","",IF(INDEX(請求記録!$AJ$6:$AJ$3005,$M154)="","",INDEX(請求記録!$AJ$6:$AJ$3005,$M154)))</f>
        <v/>
      </c>
      <c r="L154">
        <f>IF($M154="","",IF(INDEX(請求記録!$AN$6:$AN$3005,$M154)="","",INDEX(請求記録!$AN$6:$AN$3005,$M154)))</f>
        <v/>
      </c>
      <c r="M154">
        <f>IFERROR(MATCH(149,請求記録!$AO$6:$AO$3005,0),"")</f>
        <v/>
      </c>
    </row>
    <row r="155">
      <c r="A155">
        <f>IF($M155="","",150)</f>
        <v/>
      </c>
      <c r="B155">
        <f>IF($M155="","",IF(INDEX(請求記録!$B$6:$B$3005,$M155)="","",INDEX(請求記録!$B$6:$B$3005,$M155)))</f>
        <v/>
      </c>
      <c r="C155">
        <f>IF($M155="","",IF(INDEX(請求記録!$X$6:$X$3005,$M155)="","",INDEX(請求記録!$X$6:$X$3005,$M155)))</f>
        <v/>
      </c>
      <c r="D155">
        <f>IF($M155="","",IF(INDEX(請求記録!$Y$6:$Y$3005,$M155)="","",INDEX(請求記録!$Y$6:$Y$3005,$M155)))</f>
        <v/>
      </c>
      <c r="E155">
        <f>IF($M155="","",IF(INDEX(請求記録!$Z$6:$Z$3005,$M155)="","",INDEX(請求記録!$Z$6:$Z$3005,$M155)))</f>
        <v/>
      </c>
      <c r="F155" s="19">
        <f>IF($M155="","",IF(INDEX(請求記録!$E$6:$E$3005,$M155)="","",INDEX(請求記録!$E$6:$E$3005,$M155)))</f>
        <v/>
      </c>
      <c r="G155" s="19">
        <f>IF($M155="","",IF(INDEX(請求記録!$AE$6:$AE$3005,$M155)="","",INDEX(請求記録!$AE$6:$AE$3005,$M155)))</f>
        <v/>
      </c>
      <c r="H155">
        <f>IF($M155="","",IF(INDEX(請求記録!$AG$6:$AG$3005,$M155)="","",INDEX(請求記録!$AG$6:$AG$3005,$M155)))</f>
        <v/>
      </c>
      <c r="I155" s="20">
        <f>IF($M155="","",IF(INDEX(請求記録!$AH$6:$AH$3005,$M155)="","",INDEX(請求記録!$AH$6:$AH$3005,$M155)))</f>
        <v/>
      </c>
      <c r="J155">
        <f>IF($M155="","",IF(INDEX(請求記録!$AK$6:$AK$3005,$M155)="","",INDEX(請求記録!$AK$6:$AK$3005,$M155)))</f>
        <v/>
      </c>
      <c r="K155" s="20">
        <f>IF($M155="","",IF(INDEX(請求記録!$AJ$6:$AJ$3005,$M155)="","",INDEX(請求記録!$AJ$6:$AJ$3005,$M155)))</f>
        <v/>
      </c>
      <c r="L155">
        <f>IF($M155="","",IF(INDEX(請求記録!$AN$6:$AN$3005,$M155)="","",INDEX(請求記録!$AN$6:$AN$3005,$M155)))</f>
        <v/>
      </c>
      <c r="M155">
        <f>IFERROR(MATCH(150,請求記録!$AO$6:$AO$3005,0),"")</f>
        <v/>
      </c>
    </row>
    <row r="156">
      <c r="A156">
        <f>IF($M156="","",151)</f>
        <v/>
      </c>
      <c r="B156">
        <f>IF($M156="","",IF(INDEX(請求記録!$B$6:$B$3005,$M156)="","",INDEX(請求記録!$B$6:$B$3005,$M156)))</f>
        <v/>
      </c>
      <c r="C156">
        <f>IF($M156="","",IF(INDEX(請求記録!$X$6:$X$3005,$M156)="","",INDEX(請求記録!$X$6:$X$3005,$M156)))</f>
        <v/>
      </c>
      <c r="D156">
        <f>IF($M156="","",IF(INDEX(請求記録!$Y$6:$Y$3005,$M156)="","",INDEX(請求記録!$Y$6:$Y$3005,$M156)))</f>
        <v/>
      </c>
      <c r="E156">
        <f>IF($M156="","",IF(INDEX(請求記録!$Z$6:$Z$3005,$M156)="","",INDEX(請求記録!$Z$6:$Z$3005,$M156)))</f>
        <v/>
      </c>
      <c r="F156" s="19">
        <f>IF($M156="","",IF(INDEX(請求記録!$E$6:$E$3005,$M156)="","",INDEX(請求記録!$E$6:$E$3005,$M156)))</f>
        <v/>
      </c>
      <c r="G156" s="19">
        <f>IF($M156="","",IF(INDEX(請求記録!$AE$6:$AE$3005,$M156)="","",INDEX(請求記録!$AE$6:$AE$3005,$M156)))</f>
        <v/>
      </c>
      <c r="H156">
        <f>IF($M156="","",IF(INDEX(請求記録!$AG$6:$AG$3005,$M156)="","",INDEX(請求記録!$AG$6:$AG$3005,$M156)))</f>
        <v/>
      </c>
      <c r="I156" s="20">
        <f>IF($M156="","",IF(INDEX(請求記録!$AH$6:$AH$3005,$M156)="","",INDEX(請求記録!$AH$6:$AH$3005,$M156)))</f>
        <v/>
      </c>
      <c r="J156">
        <f>IF($M156="","",IF(INDEX(請求記録!$AK$6:$AK$3005,$M156)="","",INDEX(請求記録!$AK$6:$AK$3005,$M156)))</f>
        <v/>
      </c>
      <c r="K156" s="20">
        <f>IF($M156="","",IF(INDEX(請求記録!$AJ$6:$AJ$3005,$M156)="","",INDEX(請求記録!$AJ$6:$AJ$3005,$M156)))</f>
        <v/>
      </c>
      <c r="L156">
        <f>IF($M156="","",IF(INDEX(請求記録!$AN$6:$AN$3005,$M156)="","",INDEX(請求記録!$AN$6:$AN$3005,$M156)))</f>
        <v/>
      </c>
      <c r="M156">
        <f>IFERROR(MATCH(151,請求記録!$AO$6:$AO$3005,0),"")</f>
        <v/>
      </c>
    </row>
    <row r="157">
      <c r="A157">
        <f>IF($M157="","",152)</f>
        <v/>
      </c>
      <c r="B157">
        <f>IF($M157="","",IF(INDEX(請求記録!$B$6:$B$3005,$M157)="","",INDEX(請求記録!$B$6:$B$3005,$M157)))</f>
        <v/>
      </c>
      <c r="C157">
        <f>IF($M157="","",IF(INDEX(請求記録!$X$6:$X$3005,$M157)="","",INDEX(請求記録!$X$6:$X$3005,$M157)))</f>
        <v/>
      </c>
      <c r="D157">
        <f>IF($M157="","",IF(INDEX(請求記録!$Y$6:$Y$3005,$M157)="","",INDEX(請求記録!$Y$6:$Y$3005,$M157)))</f>
        <v/>
      </c>
      <c r="E157">
        <f>IF($M157="","",IF(INDEX(請求記録!$Z$6:$Z$3005,$M157)="","",INDEX(請求記録!$Z$6:$Z$3005,$M157)))</f>
        <v/>
      </c>
      <c r="F157" s="19">
        <f>IF($M157="","",IF(INDEX(請求記録!$E$6:$E$3005,$M157)="","",INDEX(請求記録!$E$6:$E$3005,$M157)))</f>
        <v/>
      </c>
      <c r="G157" s="19">
        <f>IF($M157="","",IF(INDEX(請求記録!$AE$6:$AE$3005,$M157)="","",INDEX(請求記録!$AE$6:$AE$3005,$M157)))</f>
        <v/>
      </c>
      <c r="H157">
        <f>IF($M157="","",IF(INDEX(請求記録!$AG$6:$AG$3005,$M157)="","",INDEX(請求記録!$AG$6:$AG$3005,$M157)))</f>
        <v/>
      </c>
      <c r="I157" s="20">
        <f>IF($M157="","",IF(INDEX(請求記録!$AH$6:$AH$3005,$M157)="","",INDEX(請求記録!$AH$6:$AH$3005,$M157)))</f>
        <v/>
      </c>
      <c r="J157">
        <f>IF($M157="","",IF(INDEX(請求記録!$AK$6:$AK$3005,$M157)="","",INDEX(請求記録!$AK$6:$AK$3005,$M157)))</f>
        <v/>
      </c>
      <c r="K157" s="20">
        <f>IF($M157="","",IF(INDEX(請求記録!$AJ$6:$AJ$3005,$M157)="","",INDEX(請求記録!$AJ$6:$AJ$3005,$M157)))</f>
        <v/>
      </c>
      <c r="L157">
        <f>IF($M157="","",IF(INDEX(請求記録!$AN$6:$AN$3005,$M157)="","",INDEX(請求記録!$AN$6:$AN$3005,$M157)))</f>
        <v/>
      </c>
      <c r="M157">
        <f>IFERROR(MATCH(152,請求記録!$AO$6:$AO$3005,0),"")</f>
        <v/>
      </c>
    </row>
    <row r="158">
      <c r="A158">
        <f>IF($M158="","",153)</f>
        <v/>
      </c>
      <c r="B158">
        <f>IF($M158="","",IF(INDEX(請求記録!$B$6:$B$3005,$M158)="","",INDEX(請求記録!$B$6:$B$3005,$M158)))</f>
        <v/>
      </c>
      <c r="C158">
        <f>IF($M158="","",IF(INDEX(請求記録!$X$6:$X$3005,$M158)="","",INDEX(請求記録!$X$6:$X$3005,$M158)))</f>
        <v/>
      </c>
      <c r="D158">
        <f>IF($M158="","",IF(INDEX(請求記録!$Y$6:$Y$3005,$M158)="","",INDEX(請求記録!$Y$6:$Y$3005,$M158)))</f>
        <v/>
      </c>
      <c r="E158">
        <f>IF($M158="","",IF(INDEX(請求記録!$Z$6:$Z$3005,$M158)="","",INDEX(請求記録!$Z$6:$Z$3005,$M158)))</f>
        <v/>
      </c>
      <c r="F158" s="19">
        <f>IF($M158="","",IF(INDEX(請求記録!$E$6:$E$3005,$M158)="","",INDEX(請求記録!$E$6:$E$3005,$M158)))</f>
        <v/>
      </c>
      <c r="G158" s="19">
        <f>IF($M158="","",IF(INDEX(請求記録!$AE$6:$AE$3005,$M158)="","",INDEX(請求記録!$AE$6:$AE$3005,$M158)))</f>
        <v/>
      </c>
      <c r="H158">
        <f>IF($M158="","",IF(INDEX(請求記録!$AG$6:$AG$3005,$M158)="","",INDEX(請求記録!$AG$6:$AG$3005,$M158)))</f>
        <v/>
      </c>
      <c r="I158" s="20">
        <f>IF($M158="","",IF(INDEX(請求記録!$AH$6:$AH$3005,$M158)="","",INDEX(請求記録!$AH$6:$AH$3005,$M158)))</f>
        <v/>
      </c>
      <c r="J158">
        <f>IF($M158="","",IF(INDEX(請求記録!$AK$6:$AK$3005,$M158)="","",INDEX(請求記録!$AK$6:$AK$3005,$M158)))</f>
        <v/>
      </c>
      <c r="K158" s="20">
        <f>IF($M158="","",IF(INDEX(請求記録!$AJ$6:$AJ$3005,$M158)="","",INDEX(請求記録!$AJ$6:$AJ$3005,$M158)))</f>
        <v/>
      </c>
      <c r="L158">
        <f>IF($M158="","",IF(INDEX(請求記録!$AN$6:$AN$3005,$M158)="","",INDEX(請求記録!$AN$6:$AN$3005,$M158)))</f>
        <v/>
      </c>
      <c r="M158">
        <f>IFERROR(MATCH(153,請求記録!$AO$6:$AO$3005,0),"")</f>
        <v/>
      </c>
    </row>
    <row r="159">
      <c r="A159">
        <f>IF($M159="","",154)</f>
        <v/>
      </c>
      <c r="B159">
        <f>IF($M159="","",IF(INDEX(請求記録!$B$6:$B$3005,$M159)="","",INDEX(請求記録!$B$6:$B$3005,$M159)))</f>
        <v/>
      </c>
      <c r="C159">
        <f>IF($M159="","",IF(INDEX(請求記録!$X$6:$X$3005,$M159)="","",INDEX(請求記録!$X$6:$X$3005,$M159)))</f>
        <v/>
      </c>
      <c r="D159">
        <f>IF($M159="","",IF(INDEX(請求記録!$Y$6:$Y$3005,$M159)="","",INDEX(請求記録!$Y$6:$Y$3005,$M159)))</f>
        <v/>
      </c>
      <c r="E159">
        <f>IF($M159="","",IF(INDEX(請求記録!$Z$6:$Z$3005,$M159)="","",INDEX(請求記録!$Z$6:$Z$3005,$M159)))</f>
        <v/>
      </c>
      <c r="F159" s="19">
        <f>IF($M159="","",IF(INDEX(請求記録!$E$6:$E$3005,$M159)="","",INDEX(請求記録!$E$6:$E$3005,$M159)))</f>
        <v/>
      </c>
      <c r="G159" s="19">
        <f>IF($M159="","",IF(INDEX(請求記録!$AE$6:$AE$3005,$M159)="","",INDEX(請求記録!$AE$6:$AE$3005,$M159)))</f>
        <v/>
      </c>
      <c r="H159">
        <f>IF($M159="","",IF(INDEX(請求記録!$AG$6:$AG$3005,$M159)="","",INDEX(請求記録!$AG$6:$AG$3005,$M159)))</f>
        <v/>
      </c>
      <c r="I159" s="20">
        <f>IF($M159="","",IF(INDEX(請求記録!$AH$6:$AH$3005,$M159)="","",INDEX(請求記録!$AH$6:$AH$3005,$M159)))</f>
        <v/>
      </c>
      <c r="J159">
        <f>IF($M159="","",IF(INDEX(請求記録!$AK$6:$AK$3005,$M159)="","",INDEX(請求記録!$AK$6:$AK$3005,$M159)))</f>
        <v/>
      </c>
      <c r="K159" s="20">
        <f>IF($M159="","",IF(INDEX(請求記録!$AJ$6:$AJ$3005,$M159)="","",INDEX(請求記録!$AJ$6:$AJ$3005,$M159)))</f>
        <v/>
      </c>
      <c r="L159">
        <f>IF($M159="","",IF(INDEX(請求記録!$AN$6:$AN$3005,$M159)="","",INDEX(請求記録!$AN$6:$AN$3005,$M159)))</f>
        <v/>
      </c>
      <c r="M159">
        <f>IFERROR(MATCH(154,請求記録!$AO$6:$AO$3005,0),"")</f>
        <v/>
      </c>
    </row>
    <row r="160">
      <c r="A160">
        <f>IF($M160="","",155)</f>
        <v/>
      </c>
      <c r="B160">
        <f>IF($M160="","",IF(INDEX(請求記録!$B$6:$B$3005,$M160)="","",INDEX(請求記録!$B$6:$B$3005,$M160)))</f>
        <v/>
      </c>
      <c r="C160">
        <f>IF($M160="","",IF(INDEX(請求記録!$X$6:$X$3005,$M160)="","",INDEX(請求記録!$X$6:$X$3005,$M160)))</f>
        <v/>
      </c>
      <c r="D160">
        <f>IF($M160="","",IF(INDEX(請求記録!$Y$6:$Y$3005,$M160)="","",INDEX(請求記録!$Y$6:$Y$3005,$M160)))</f>
        <v/>
      </c>
      <c r="E160">
        <f>IF($M160="","",IF(INDEX(請求記録!$Z$6:$Z$3005,$M160)="","",INDEX(請求記録!$Z$6:$Z$3005,$M160)))</f>
        <v/>
      </c>
      <c r="F160" s="19">
        <f>IF($M160="","",IF(INDEX(請求記録!$E$6:$E$3005,$M160)="","",INDEX(請求記録!$E$6:$E$3005,$M160)))</f>
        <v/>
      </c>
      <c r="G160" s="19">
        <f>IF($M160="","",IF(INDEX(請求記録!$AE$6:$AE$3005,$M160)="","",INDEX(請求記録!$AE$6:$AE$3005,$M160)))</f>
        <v/>
      </c>
      <c r="H160">
        <f>IF($M160="","",IF(INDEX(請求記録!$AG$6:$AG$3005,$M160)="","",INDEX(請求記録!$AG$6:$AG$3005,$M160)))</f>
        <v/>
      </c>
      <c r="I160" s="20">
        <f>IF($M160="","",IF(INDEX(請求記録!$AH$6:$AH$3005,$M160)="","",INDEX(請求記録!$AH$6:$AH$3005,$M160)))</f>
        <v/>
      </c>
      <c r="J160">
        <f>IF($M160="","",IF(INDEX(請求記録!$AK$6:$AK$3005,$M160)="","",INDEX(請求記録!$AK$6:$AK$3005,$M160)))</f>
        <v/>
      </c>
      <c r="K160" s="20">
        <f>IF($M160="","",IF(INDEX(請求記録!$AJ$6:$AJ$3005,$M160)="","",INDEX(請求記録!$AJ$6:$AJ$3005,$M160)))</f>
        <v/>
      </c>
      <c r="L160">
        <f>IF($M160="","",IF(INDEX(請求記録!$AN$6:$AN$3005,$M160)="","",INDEX(請求記録!$AN$6:$AN$3005,$M160)))</f>
        <v/>
      </c>
      <c r="M160">
        <f>IFERROR(MATCH(155,請求記録!$AO$6:$AO$3005,0),"")</f>
        <v/>
      </c>
    </row>
    <row r="161">
      <c r="A161">
        <f>IF($M161="","",156)</f>
        <v/>
      </c>
      <c r="B161">
        <f>IF($M161="","",IF(INDEX(請求記録!$B$6:$B$3005,$M161)="","",INDEX(請求記録!$B$6:$B$3005,$M161)))</f>
        <v/>
      </c>
      <c r="C161">
        <f>IF($M161="","",IF(INDEX(請求記録!$X$6:$X$3005,$M161)="","",INDEX(請求記録!$X$6:$X$3005,$M161)))</f>
        <v/>
      </c>
      <c r="D161">
        <f>IF($M161="","",IF(INDEX(請求記録!$Y$6:$Y$3005,$M161)="","",INDEX(請求記録!$Y$6:$Y$3005,$M161)))</f>
        <v/>
      </c>
      <c r="E161">
        <f>IF($M161="","",IF(INDEX(請求記録!$Z$6:$Z$3005,$M161)="","",INDEX(請求記録!$Z$6:$Z$3005,$M161)))</f>
        <v/>
      </c>
      <c r="F161" s="19">
        <f>IF($M161="","",IF(INDEX(請求記録!$E$6:$E$3005,$M161)="","",INDEX(請求記録!$E$6:$E$3005,$M161)))</f>
        <v/>
      </c>
      <c r="G161" s="19">
        <f>IF($M161="","",IF(INDEX(請求記録!$AE$6:$AE$3005,$M161)="","",INDEX(請求記録!$AE$6:$AE$3005,$M161)))</f>
        <v/>
      </c>
      <c r="H161">
        <f>IF($M161="","",IF(INDEX(請求記録!$AG$6:$AG$3005,$M161)="","",INDEX(請求記録!$AG$6:$AG$3005,$M161)))</f>
        <v/>
      </c>
      <c r="I161" s="20">
        <f>IF($M161="","",IF(INDEX(請求記録!$AH$6:$AH$3005,$M161)="","",INDEX(請求記録!$AH$6:$AH$3005,$M161)))</f>
        <v/>
      </c>
      <c r="J161">
        <f>IF($M161="","",IF(INDEX(請求記録!$AK$6:$AK$3005,$M161)="","",INDEX(請求記録!$AK$6:$AK$3005,$M161)))</f>
        <v/>
      </c>
      <c r="K161" s="20">
        <f>IF($M161="","",IF(INDEX(請求記録!$AJ$6:$AJ$3005,$M161)="","",INDEX(請求記録!$AJ$6:$AJ$3005,$M161)))</f>
        <v/>
      </c>
      <c r="L161">
        <f>IF($M161="","",IF(INDEX(請求記録!$AN$6:$AN$3005,$M161)="","",INDEX(請求記録!$AN$6:$AN$3005,$M161)))</f>
        <v/>
      </c>
      <c r="M161">
        <f>IFERROR(MATCH(156,請求記録!$AO$6:$AO$3005,0),"")</f>
        <v/>
      </c>
    </row>
    <row r="162">
      <c r="A162">
        <f>IF($M162="","",157)</f>
        <v/>
      </c>
      <c r="B162">
        <f>IF($M162="","",IF(INDEX(請求記録!$B$6:$B$3005,$M162)="","",INDEX(請求記録!$B$6:$B$3005,$M162)))</f>
        <v/>
      </c>
      <c r="C162">
        <f>IF($M162="","",IF(INDEX(請求記録!$X$6:$X$3005,$M162)="","",INDEX(請求記録!$X$6:$X$3005,$M162)))</f>
        <v/>
      </c>
      <c r="D162">
        <f>IF($M162="","",IF(INDEX(請求記録!$Y$6:$Y$3005,$M162)="","",INDEX(請求記録!$Y$6:$Y$3005,$M162)))</f>
        <v/>
      </c>
      <c r="E162">
        <f>IF($M162="","",IF(INDEX(請求記録!$Z$6:$Z$3005,$M162)="","",INDEX(請求記録!$Z$6:$Z$3005,$M162)))</f>
        <v/>
      </c>
      <c r="F162" s="19">
        <f>IF($M162="","",IF(INDEX(請求記録!$E$6:$E$3005,$M162)="","",INDEX(請求記録!$E$6:$E$3005,$M162)))</f>
        <v/>
      </c>
      <c r="G162" s="19">
        <f>IF($M162="","",IF(INDEX(請求記録!$AE$6:$AE$3005,$M162)="","",INDEX(請求記録!$AE$6:$AE$3005,$M162)))</f>
        <v/>
      </c>
      <c r="H162">
        <f>IF($M162="","",IF(INDEX(請求記録!$AG$6:$AG$3005,$M162)="","",INDEX(請求記録!$AG$6:$AG$3005,$M162)))</f>
        <v/>
      </c>
      <c r="I162" s="20">
        <f>IF($M162="","",IF(INDEX(請求記録!$AH$6:$AH$3005,$M162)="","",INDEX(請求記録!$AH$6:$AH$3005,$M162)))</f>
        <v/>
      </c>
      <c r="J162">
        <f>IF($M162="","",IF(INDEX(請求記録!$AK$6:$AK$3005,$M162)="","",INDEX(請求記録!$AK$6:$AK$3005,$M162)))</f>
        <v/>
      </c>
      <c r="K162" s="20">
        <f>IF($M162="","",IF(INDEX(請求記録!$AJ$6:$AJ$3005,$M162)="","",INDEX(請求記録!$AJ$6:$AJ$3005,$M162)))</f>
        <v/>
      </c>
      <c r="L162">
        <f>IF($M162="","",IF(INDEX(請求記録!$AN$6:$AN$3005,$M162)="","",INDEX(請求記録!$AN$6:$AN$3005,$M162)))</f>
        <v/>
      </c>
      <c r="M162">
        <f>IFERROR(MATCH(157,請求記録!$AO$6:$AO$3005,0),"")</f>
        <v/>
      </c>
    </row>
    <row r="163">
      <c r="A163">
        <f>IF($M163="","",158)</f>
        <v/>
      </c>
      <c r="B163">
        <f>IF($M163="","",IF(INDEX(請求記録!$B$6:$B$3005,$M163)="","",INDEX(請求記録!$B$6:$B$3005,$M163)))</f>
        <v/>
      </c>
      <c r="C163">
        <f>IF($M163="","",IF(INDEX(請求記録!$X$6:$X$3005,$M163)="","",INDEX(請求記録!$X$6:$X$3005,$M163)))</f>
        <v/>
      </c>
      <c r="D163">
        <f>IF($M163="","",IF(INDEX(請求記録!$Y$6:$Y$3005,$M163)="","",INDEX(請求記録!$Y$6:$Y$3005,$M163)))</f>
        <v/>
      </c>
      <c r="E163">
        <f>IF($M163="","",IF(INDEX(請求記録!$Z$6:$Z$3005,$M163)="","",INDEX(請求記録!$Z$6:$Z$3005,$M163)))</f>
        <v/>
      </c>
      <c r="F163" s="19">
        <f>IF($M163="","",IF(INDEX(請求記録!$E$6:$E$3005,$M163)="","",INDEX(請求記録!$E$6:$E$3005,$M163)))</f>
        <v/>
      </c>
      <c r="G163" s="19">
        <f>IF($M163="","",IF(INDEX(請求記録!$AE$6:$AE$3005,$M163)="","",INDEX(請求記録!$AE$6:$AE$3005,$M163)))</f>
        <v/>
      </c>
      <c r="H163">
        <f>IF($M163="","",IF(INDEX(請求記録!$AG$6:$AG$3005,$M163)="","",INDEX(請求記録!$AG$6:$AG$3005,$M163)))</f>
        <v/>
      </c>
      <c r="I163" s="20">
        <f>IF($M163="","",IF(INDEX(請求記録!$AH$6:$AH$3005,$M163)="","",INDEX(請求記録!$AH$6:$AH$3005,$M163)))</f>
        <v/>
      </c>
      <c r="J163">
        <f>IF($M163="","",IF(INDEX(請求記録!$AK$6:$AK$3005,$M163)="","",INDEX(請求記録!$AK$6:$AK$3005,$M163)))</f>
        <v/>
      </c>
      <c r="K163" s="20">
        <f>IF($M163="","",IF(INDEX(請求記録!$AJ$6:$AJ$3005,$M163)="","",INDEX(請求記録!$AJ$6:$AJ$3005,$M163)))</f>
        <v/>
      </c>
      <c r="L163">
        <f>IF($M163="","",IF(INDEX(請求記録!$AN$6:$AN$3005,$M163)="","",INDEX(請求記録!$AN$6:$AN$3005,$M163)))</f>
        <v/>
      </c>
      <c r="M163">
        <f>IFERROR(MATCH(158,請求記録!$AO$6:$AO$3005,0),"")</f>
        <v/>
      </c>
    </row>
    <row r="164">
      <c r="A164">
        <f>IF($M164="","",159)</f>
        <v/>
      </c>
      <c r="B164">
        <f>IF($M164="","",IF(INDEX(請求記録!$B$6:$B$3005,$M164)="","",INDEX(請求記録!$B$6:$B$3005,$M164)))</f>
        <v/>
      </c>
      <c r="C164">
        <f>IF($M164="","",IF(INDEX(請求記録!$X$6:$X$3005,$M164)="","",INDEX(請求記録!$X$6:$X$3005,$M164)))</f>
        <v/>
      </c>
      <c r="D164">
        <f>IF($M164="","",IF(INDEX(請求記録!$Y$6:$Y$3005,$M164)="","",INDEX(請求記録!$Y$6:$Y$3005,$M164)))</f>
        <v/>
      </c>
      <c r="E164">
        <f>IF($M164="","",IF(INDEX(請求記録!$Z$6:$Z$3005,$M164)="","",INDEX(請求記録!$Z$6:$Z$3005,$M164)))</f>
        <v/>
      </c>
      <c r="F164" s="19">
        <f>IF($M164="","",IF(INDEX(請求記録!$E$6:$E$3005,$M164)="","",INDEX(請求記録!$E$6:$E$3005,$M164)))</f>
        <v/>
      </c>
      <c r="G164" s="19">
        <f>IF($M164="","",IF(INDEX(請求記録!$AE$6:$AE$3005,$M164)="","",INDEX(請求記録!$AE$6:$AE$3005,$M164)))</f>
        <v/>
      </c>
      <c r="H164">
        <f>IF($M164="","",IF(INDEX(請求記録!$AG$6:$AG$3005,$M164)="","",INDEX(請求記録!$AG$6:$AG$3005,$M164)))</f>
        <v/>
      </c>
      <c r="I164" s="20">
        <f>IF($M164="","",IF(INDEX(請求記録!$AH$6:$AH$3005,$M164)="","",INDEX(請求記録!$AH$6:$AH$3005,$M164)))</f>
        <v/>
      </c>
      <c r="J164">
        <f>IF($M164="","",IF(INDEX(請求記録!$AK$6:$AK$3005,$M164)="","",INDEX(請求記録!$AK$6:$AK$3005,$M164)))</f>
        <v/>
      </c>
      <c r="K164" s="20">
        <f>IF($M164="","",IF(INDEX(請求記録!$AJ$6:$AJ$3005,$M164)="","",INDEX(請求記録!$AJ$6:$AJ$3005,$M164)))</f>
        <v/>
      </c>
      <c r="L164">
        <f>IF($M164="","",IF(INDEX(請求記録!$AN$6:$AN$3005,$M164)="","",INDEX(請求記録!$AN$6:$AN$3005,$M164)))</f>
        <v/>
      </c>
      <c r="M164">
        <f>IFERROR(MATCH(159,請求記録!$AO$6:$AO$3005,0),"")</f>
        <v/>
      </c>
    </row>
    <row r="165">
      <c r="A165">
        <f>IF($M165="","",160)</f>
        <v/>
      </c>
      <c r="B165">
        <f>IF($M165="","",IF(INDEX(請求記録!$B$6:$B$3005,$M165)="","",INDEX(請求記録!$B$6:$B$3005,$M165)))</f>
        <v/>
      </c>
      <c r="C165">
        <f>IF($M165="","",IF(INDEX(請求記録!$X$6:$X$3005,$M165)="","",INDEX(請求記録!$X$6:$X$3005,$M165)))</f>
        <v/>
      </c>
      <c r="D165">
        <f>IF($M165="","",IF(INDEX(請求記録!$Y$6:$Y$3005,$M165)="","",INDEX(請求記録!$Y$6:$Y$3005,$M165)))</f>
        <v/>
      </c>
      <c r="E165">
        <f>IF($M165="","",IF(INDEX(請求記録!$Z$6:$Z$3005,$M165)="","",INDEX(請求記録!$Z$6:$Z$3005,$M165)))</f>
        <v/>
      </c>
      <c r="F165" s="19">
        <f>IF($M165="","",IF(INDEX(請求記録!$E$6:$E$3005,$M165)="","",INDEX(請求記録!$E$6:$E$3005,$M165)))</f>
        <v/>
      </c>
      <c r="G165" s="19">
        <f>IF($M165="","",IF(INDEX(請求記録!$AE$6:$AE$3005,$M165)="","",INDEX(請求記録!$AE$6:$AE$3005,$M165)))</f>
        <v/>
      </c>
      <c r="H165">
        <f>IF($M165="","",IF(INDEX(請求記録!$AG$6:$AG$3005,$M165)="","",INDEX(請求記録!$AG$6:$AG$3005,$M165)))</f>
        <v/>
      </c>
      <c r="I165" s="20">
        <f>IF($M165="","",IF(INDEX(請求記録!$AH$6:$AH$3005,$M165)="","",INDEX(請求記録!$AH$6:$AH$3005,$M165)))</f>
        <v/>
      </c>
      <c r="J165">
        <f>IF($M165="","",IF(INDEX(請求記録!$AK$6:$AK$3005,$M165)="","",INDEX(請求記録!$AK$6:$AK$3005,$M165)))</f>
        <v/>
      </c>
      <c r="K165" s="20">
        <f>IF($M165="","",IF(INDEX(請求記録!$AJ$6:$AJ$3005,$M165)="","",INDEX(請求記録!$AJ$6:$AJ$3005,$M165)))</f>
        <v/>
      </c>
      <c r="L165">
        <f>IF($M165="","",IF(INDEX(請求記録!$AN$6:$AN$3005,$M165)="","",INDEX(請求記録!$AN$6:$AN$3005,$M165)))</f>
        <v/>
      </c>
      <c r="M165">
        <f>IFERROR(MATCH(160,請求記録!$AO$6:$AO$3005,0),"")</f>
        <v/>
      </c>
    </row>
    <row r="166">
      <c r="A166">
        <f>IF($M166="","",161)</f>
        <v/>
      </c>
      <c r="B166">
        <f>IF($M166="","",IF(INDEX(請求記録!$B$6:$B$3005,$M166)="","",INDEX(請求記録!$B$6:$B$3005,$M166)))</f>
        <v/>
      </c>
      <c r="C166">
        <f>IF($M166="","",IF(INDEX(請求記録!$X$6:$X$3005,$M166)="","",INDEX(請求記録!$X$6:$X$3005,$M166)))</f>
        <v/>
      </c>
      <c r="D166">
        <f>IF($M166="","",IF(INDEX(請求記録!$Y$6:$Y$3005,$M166)="","",INDEX(請求記録!$Y$6:$Y$3005,$M166)))</f>
        <v/>
      </c>
      <c r="E166">
        <f>IF($M166="","",IF(INDEX(請求記録!$Z$6:$Z$3005,$M166)="","",INDEX(請求記録!$Z$6:$Z$3005,$M166)))</f>
        <v/>
      </c>
      <c r="F166" s="19">
        <f>IF($M166="","",IF(INDEX(請求記録!$E$6:$E$3005,$M166)="","",INDEX(請求記録!$E$6:$E$3005,$M166)))</f>
        <v/>
      </c>
      <c r="G166" s="19">
        <f>IF($M166="","",IF(INDEX(請求記録!$AE$6:$AE$3005,$M166)="","",INDEX(請求記録!$AE$6:$AE$3005,$M166)))</f>
        <v/>
      </c>
      <c r="H166">
        <f>IF($M166="","",IF(INDEX(請求記録!$AG$6:$AG$3005,$M166)="","",INDEX(請求記録!$AG$6:$AG$3005,$M166)))</f>
        <v/>
      </c>
      <c r="I166" s="20">
        <f>IF($M166="","",IF(INDEX(請求記録!$AH$6:$AH$3005,$M166)="","",INDEX(請求記録!$AH$6:$AH$3005,$M166)))</f>
        <v/>
      </c>
      <c r="J166">
        <f>IF($M166="","",IF(INDEX(請求記録!$AK$6:$AK$3005,$M166)="","",INDEX(請求記録!$AK$6:$AK$3005,$M166)))</f>
        <v/>
      </c>
      <c r="K166" s="20">
        <f>IF($M166="","",IF(INDEX(請求記録!$AJ$6:$AJ$3005,$M166)="","",INDEX(請求記録!$AJ$6:$AJ$3005,$M166)))</f>
        <v/>
      </c>
      <c r="L166">
        <f>IF($M166="","",IF(INDEX(請求記録!$AN$6:$AN$3005,$M166)="","",INDEX(請求記録!$AN$6:$AN$3005,$M166)))</f>
        <v/>
      </c>
      <c r="M166">
        <f>IFERROR(MATCH(161,請求記録!$AO$6:$AO$3005,0),"")</f>
        <v/>
      </c>
    </row>
    <row r="167">
      <c r="A167">
        <f>IF($M167="","",162)</f>
        <v/>
      </c>
      <c r="B167">
        <f>IF($M167="","",IF(INDEX(請求記録!$B$6:$B$3005,$M167)="","",INDEX(請求記録!$B$6:$B$3005,$M167)))</f>
        <v/>
      </c>
      <c r="C167">
        <f>IF($M167="","",IF(INDEX(請求記録!$X$6:$X$3005,$M167)="","",INDEX(請求記録!$X$6:$X$3005,$M167)))</f>
        <v/>
      </c>
      <c r="D167">
        <f>IF($M167="","",IF(INDEX(請求記録!$Y$6:$Y$3005,$M167)="","",INDEX(請求記録!$Y$6:$Y$3005,$M167)))</f>
        <v/>
      </c>
      <c r="E167">
        <f>IF($M167="","",IF(INDEX(請求記録!$Z$6:$Z$3005,$M167)="","",INDEX(請求記録!$Z$6:$Z$3005,$M167)))</f>
        <v/>
      </c>
      <c r="F167" s="19">
        <f>IF($M167="","",IF(INDEX(請求記録!$E$6:$E$3005,$M167)="","",INDEX(請求記録!$E$6:$E$3005,$M167)))</f>
        <v/>
      </c>
      <c r="G167" s="19">
        <f>IF($M167="","",IF(INDEX(請求記録!$AE$6:$AE$3005,$M167)="","",INDEX(請求記録!$AE$6:$AE$3005,$M167)))</f>
        <v/>
      </c>
      <c r="H167">
        <f>IF($M167="","",IF(INDEX(請求記録!$AG$6:$AG$3005,$M167)="","",INDEX(請求記録!$AG$6:$AG$3005,$M167)))</f>
        <v/>
      </c>
      <c r="I167" s="20">
        <f>IF($M167="","",IF(INDEX(請求記録!$AH$6:$AH$3005,$M167)="","",INDEX(請求記録!$AH$6:$AH$3005,$M167)))</f>
        <v/>
      </c>
      <c r="J167">
        <f>IF($M167="","",IF(INDEX(請求記録!$AK$6:$AK$3005,$M167)="","",INDEX(請求記録!$AK$6:$AK$3005,$M167)))</f>
        <v/>
      </c>
      <c r="K167" s="20">
        <f>IF($M167="","",IF(INDEX(請求記録!$AJ$6:$AJ$3005,$M167)="","",INDEX(請求記録!$AJ$6:$AJ$3005,$M167)))</f>
        <v/>
      </c>
      <c r="L167">
        <f>IF($M167="","",IF(INDEX(請求記録!$AN$6:$AN$3005,$M167)="","",INDEX(請求記録!$AN$6:$AN$3005,$M167)))</f>
        <v/>
      </c>
      <c r="M167">
        <f>IFERROR(MATCH(162,請求記録!$AO$6:$AO$3005,0),"")</f>
        <v/>
      </c>
    </row>
    <row r="168">
      <c r="A168">
        <f>IF($M168="","",163)</f>
        <v/>
      </c>
      <c r="B168">
        <f>IF($M168="","",IF(INDEX(請求記録!$B$6:$B$3005,$M168)="","",INDEX(請求記録!$B$6:$B$3005,$M168)))</f>
        <v/>
      </c>
      <c r="C168">
        <f>IF($M168="","",IF(INDEX(請求記録!$X$6:$X$3005,$M168)="","",INDEX(請求記録!$X$6:$X$3005,$M168)))</f>
        <v/>
      </c>
      <c r="D168">
        <f>IF($M168="","",IF(INDEX(請求記録!$Y$6:$Y$3005,$M168)="","",INDEX(請求記録!$Y$6:$Y$3005,$M168)))</f>
        <v/>
      </c>
      <c r="E168">
        <f>IF($M168="","",IF(INDEX(請求記録!$Z$6:$Z$3005,$M168)="","",INDEX(請求記録!$Z$6:$Z$3005,$M168)))</f>
        <v/>
      </c>
      <c r="F168" s="19">
        <f>IF($M168="","",IF(INDEX(請求記録!$E$6:$E$3005,$M168)="","",INDEX(請求記録!$E$6:$E$3005,$M168)))</f>
        <v/>
      </c>
      <c r="G168" s="19">
        <f>IF($M168="","",IF(INDEX(請求記録!$AE$6:$AE$3005,$M168)="","",INDEX(請求記録!$AE$6:$AE$3005,$M168)))</f>
        <v/>
      </c>
      <c r="H168">
        <f>IF($M168="","",IF(INDEX(請求記録!$AG$6:$AG$3005,$M168)="","",INDEX(請求記録!$AG$6:$AG$3005,$M168)))</f>
        <v/>
      </c>
      <c r="I168" s="20">
        <f>IF($M168="","",IF(INDEX(請求記録!$AH$6:$AH$3005,$M168)="","",INDEX(請求記録!$AH$6:$AH$3005,$M168)))</f>
        <v/>
      </c>
      <c r="J168">
        <f>IF($M168="","",IF(INDEX(請求記録!$AK$6:$AK$3005,$M168)="","",INDEX(請求記録!$AK$6:$AK$3005,$M168)))</f>
        <v/>
      </c>
      <c r="K168" s="20">
        <f>IF($M168="","",IF(INDEX(請求記録!$AJ$6:$AJ$3005,$M168)="","",INDEX(請求記録!$AJ$6:$AJ$3005,$M168)))</f>
        <v/>
      </c>
      <c r="L168">
        <f>IF($M168="","",IF(INDEX(請求記録!$AN$6:$AN$3005,$M168)="","",INDEX(請求記録!$AN$6:$AN$3005,$M168)))</f>
        <v/>
      </c>
      <c r="M168">
        <f>IFERROR(MATCH(163,請求記録!$AO$6:$AO$3005,0),"")</f>
        <v/>
      </c>
    </row>
    <row r="169">
      <c r="A169">
        <f>IF($M169="","",164)</f>
        <v/>
      </c>
      <c r="B169">
        <f>IF($M169="","",IF(INDEX(請求記録!$B$6:$B$3005,$M169)="","",INDEX(請求記録!$B$6:$B$3005,$M169)))</f>
        <v/>
      </c>
      <c r="C169">
        <f>IF($M169="","",IF(INDEX(請求記録!$X$6:$X$3005,$M169)="","",INDEX(請求記録!$X$6:$X$3005,$M169)))</f>
        <v/>
      </c>
      <c r="D169">
        <f>IF($M169="","",IF(INDEX(請求記録!$Y$6:$Y$3005,$M169)="","",INDEX(請求記録!$Y$6:$Y$3005,$M169)))</f>
        <v/>
      </c>
      <c r="E169">
        <f>IF($M169="","",IF(INDEX(請求記録!$Z$6:$Z$3005,$M169)="","",INDEX(請求記録!$Z$6:$Z$3005,$M169)))</f>
        <v/>
      </c>
      <c r="F169" s="19">
        <f>IF($M169="","",IF(INDEX(請求記録!$E$6:$E$3005,$M169)="","",INDEX(請求記録!$E$6:$E$3005,$M169)))</f>
        <v/>
      </c>
      <c r="G169" s="19">
        <f>IF($M169="","",IF(INDEX(請求記録!$AE$6:$AE$3005,$M169)="","",INDEX(請求記録!$AE$6:$AE$3005,$M169)))</f>
        <v/>
      </c>
      <c r="H169">
        <f>IF($M169="","",IF(INDEX(請求記録!$AG$6:$AG$3005,$M169)="","",INDEX(請求記録!$AG$6:$AG$3005,$M169)))</f>
        <v/>
      </c>
      <c r="I169" s="20">
        <f>IF($M169="","",IF(INDEX(請求記録!$AH$6:$AH$3005,$M169)="","",INDEX(請求記録!$AH$6:$AH$3005,$M169)))</f>
        <v/>
      </c>
      <c r="J169">
        <f>IF($M169="","",IF(INDEX(請求記録!$AK$6:$AK$3005,$M169)="","",INDEX(請求記録!$AK$6:$AK$3005,$M169)))</f>
        <v/>
      </c>
      <c r="K169" s="20">
        <f>IF($M169="","",IF(INDEX(請求記録!$AJ$6:$AJ$3005,$M169)="","",INDEX(請求記録!$AJ$6:$AJ$3005,$M169)))</f>
        <v/>
      </c>
      <c r="L169">
        <f>IF($M169="","",IF(INDEX(請求記録!$AN$6:$AN$3005,$M169)="","",INDEX(請求記録!$AN$6:$AN$3005,$M169)))</f>
        <v/>
      </c>
      <c r="M169">
        <f>IFERROR(MATCH(164,請求記録!$AO$6:$AO$3005,0),"")</f>
        <v/>
      </c>
    </row>
    <row r="170">
      <c r="A170">
        <f>IF($M170="","",165)</f>
        <v/>
      </c>
      <c r="B170">
        <f>IF($M170="","",IF(INDEX(請求記録!$B$6:$B$3005,$M170)="","",INDEX(請求記録!$B$6:$B$3005,$M170)))</f>
        <v/>
      </c>
      <c r="C170">
        <f>IF($M170="","",IF(INDEX(請求記録!$X$6:$X$3005,$M170)="","",INDEX(請求記録!$X$6:$X$3005,$M170)))</f>
        <v/>
      </c>
      <c r="D170">
        <f>IF($M170="","",IF(INDEX(請求記録!$Y$6:$Y$3005,$M170)="","",INDEX(請求記録!$Y$6:$Y$3005,$M170)))</f>
        <v/>
      </c>
      <c r="E170">
        <f>IF($M170="","",IF(INDEX(請求記録!$Z$6:$Z$3005,$M170)="","",INDEX(請求記録!$Z$6:$Z$3005,$M170)))</f>
        <v/>
      </c>
      <c r="F170" s="19">
        <f>IF($M170="","",IF(INDEX(請求記録!$E$6:$E$3005,$M170)="","",INDEX(請求記録!$E$6:$E$3005,$M170)))</f>
        <v/>
      </c>
      <c r="G170" s="19">
        <f>IF($M170="","",IF(INDEX(請求記録!$AE$6:$AE$3005,$M170)="","",INDEX(請求記録!$AE$6:$AE$3005,$M170)))</f>
        <v/>
      </c>
      <c r="H170">
        <f>IF($M170="","",IF(INDEX(請求記録!$AG$6:$AG$3005,$M170)="","",INDEX(請求記録!$AG$6:$AG$3005,$M170)))</f>
        <v/>
      </c>
      <c r="I170" s="20">
        <f>IF($M170="","",IF(INDEX(請求記録!$AH$6:$AH$3005,$M170)="","",INDEX(請求記録!$AH$6:$AH$3005,$M170)))</f>
        <v/>
      </c>
      <c r="J170">
        <f>IF($M170="","",IF(INDEX(請求記録!$AK$6:$AK$3005,$M170)="","",INDEX(請求記録!$AK$6:$AK$3005,$M170)))</f>
        <v/>
      </c>
      <c r="K170" s="20">
        <f>IF($M170="","",IF(INDEX(請求記録!$AJ$6:$AJ$3005,$M170)="","",INDEX(請求記録!$AJ$6:$AJ$3005,$M170)))</f>
        <v/>
      </c>
      <c r="L170">
        <f>IF($M170="","",IF(INDEX(請求記録!$AN$6:$AN$3005,$M170)="","",INDEX(請求記録!$AN$6:$AN$3005,$M170)))</f>
        <v/>
      </c>
      <c r="M170">
        <f>IFERROR(MATCH(165,請求記録!$AO$6:$AO$3005,0),"")</f>
        <v/>
      </c>
    </row>
    <row r="171">
      <c r="A171">
        <f>IF($M171="","",166)</f>
        <v/>
      </c>
      <c r="B171">
        <f>IF($M171="","",IF(INDEX(請求記録!$B$6:$B$3005,$M171)="","",INDEX(請求記録!$B$6:$B$3005,$M171)))</f>
        <v/>
      </c>
      <c r="C171">
        <f>IF($M171="","",IF(INDEX(請求記録!$X$6:$X$3005,$M171)="","",INDEX(請求記録!$X$6:$X$3005,$M171)))</f>
        <v/>
      </c>
      <c r="D171">
        <f>IF($M171="","",IF(INDEX(請求記録!$Y$6:$Y$3005,$M171)="","",INDEX(請求記録!$Y$6:$Y$3005,$M171)))</f>
        <v/>
      </c>
      <c r="E171">
        <f>IF($M171="","",IF(INDEX(請求記録!$Z$6:$Z$3005,$M171)="","",INDEX(請求記録!$Z$6:$Z$3005,$M171)))</f>
        <v/>
      </c>
      <c r="F171" s="19">
        <f>IF($M171="","",IF(INDEX(請求記録!$E$6:$E$3005,$M171)="","",INDEX(請求記録!$E$6:$E$3005,$M171)))</f>
        <v/>
      </c>
      <c r="G171" s="19">
        <f>IF($M171="","",IF(INDEX(請求記録!$AE$6:$AE$3005,$M171)="","",INDEX(請求記録!$AE$6:$AE$3005,$M171)))</f>
        <v/>
      </c>
      <c r="H171">
        <f>IF($M171="","",IF(INDEX(請求記録!$AG$6:$AG$3005,$M171)="","",INDEX(請求記録!$AG$6:$AG$3005,$M171)))</f>
        <v/>
      </c>
      <c r="I171" s="20">
        <f>IF($M171="","",IF(INDEX(請求記録!$AH$6:$AH$3005,$M171)="","",INDEX(請求記録!$AH$6:$AH$3005,$M171)))</f>
        <v/>
      </c>
      <c r="J171">
        <f>IF($M171="","",IF(INDEX(請求記録!$AK$6:$AK$3005,$M171)="","",INDEX(請求記録!$AK$6:$AK$3005,$M171)))</f>
        <v/>
      </c>
      <c r="K171" s="20">
        <f>IF($M171="","",IF(INDEX(請求記録!$AJ$6:$AJ$3005,$M171)="","",INDEX(請求記録!$AJ$6:$AJ$3005,$M171)))</f>
        <v/>
      </c>
      <c r="L171">
        <f>IF($M171="","",IF(INDEX(請求記録!$AN$6:$AN$3005,$M171)="","",INDEX(請求記録!$AN$6:$AN$3005,$M171)))</f>
        <v/>
      </c>
      <c r="M171">
        <f>IFERROR(MATCH(166,請求記録!$AO$6:$AO$3005,0),"")</f>
        <v/>
      </c>
    </row>
    <row r="172">
      <c r="A172">
        <f>IF($M172="","",167)</f>
        <v/>
      </c>
      <c r="B172">
        <f>IF($M172="","",IF(INDEX(請求記録!$B$6:$B$3005,$M172)="","",INDEX(請求記録!$B$6:$B$3005,$M172)))</f>
        <v/>
      </c>
      <c r="C172">
        <f>IF($M172="","",IF(INDEX(請求記録!$X$6:$X$3005,$M172)="","",INDEX(請求記録!$X$6:$X$3005,$M172)))</f>
        <v/>
      </c>
      <c r="D172">
        <f>IF($M172="","",IF(INDEX(請求記録!$Y$6:$Y$3005,$M172)="","",INDEX(請求記録!$Y$6:$Y$3005,$M172)))</f>
        <v/>
      </c>
      <c r="E172">
        <f>IF($M172="","",IF(INDEX(請求記録!$Z$6:$Z$3005,$M172)="","",INDEX(請求記録!$Z$6:$Z$3005,$M172)))</f>
        <v/>
      </c>
      <c r="F172" s="19">
        <f>IF($M172="","",IF(INDEX(請求記録!$E$6:$E$3005,$M172)="","",INDEX(請求記録!$E$6:$E$3005,$M172)))</f>
        <v/>
      </c>
      <c r="G172" s="19">
        <f>IF($M172="","",IF(INDEX(請求記録!$AE$6:$AE$3005,$M172)="","",INDEX(請求記録!$AE$6:$AE$3005,$M172)))</f>
        <v/>
      </c>
      <c r="H172">
        <f>IF($M172="","",IF(INDEX(請求記録!$AG$6:$AG$3005,$M172)="","",INDEX(請求記録!$AG$6:$AG$3005,$M172)))</f>
        <v/>
      </c>
      <c r="I172" s="20">
        <f>IF($M172="","",IF(INDEX(請求記録!$AH$6:$AH$3005,$M172)="","",INDEX(請求記録!$AH$6:$AH$3005,$M172)))</f>
        <v/>
      </c>
      <c r="J172">
        <f>IF($M172="","",IF(INDEX(請求記録!$AK$6:$AK$3005,$M172)="","",INDEX(請求記録!$AK$6:$AK$3005,$M172)))</f>
        <v/>
      </c>
      <c r="K172" s="20">
        <f>IF($M172="","",IF(INDEX(請求記録!$AJ$6:$AJ$3005,$M172)="","",INDEX(請求記録!$AJ$6:$AJ$3005,$M172)))</f>
        <v/>
      </c>
      <c r="L172">
        <f>IF($M172="","",IF(INDEX(請求記録!$AN$6:$AN$3005,$M172)="","",INDEX(請求記録!$AN$6:$AN$3005,$M172)))</f>
        <v/>
      </c>
      <c r="M172">
        <f>IFERROR(MATCH(167,請求記録!$AO$6:$AO$3005,0),"")</f>
        <v/>
      </c>
    </row>
    <row r="173">
      <c r="A173">
        <f>IF($M173="","",168)</f>
        <v/>
      </c>
      <c r="B173">
        <f>IF($M173="","",IF(INDEX(請求記録!$B$6:$B$3005,$M173)="","",INDEX(請求記録!$B$6:$B$3005,$M173)))</f>
        <v/>
      </c>
      <c r="C173">
        <f>IF($M173="","",IF(INDEX(請求記録!$X$6:$X$3005,$M173)="","",INDEX(請求記録!$X$6:$X$3005,$M173)))</f>
        <v/>
      </c>
      <c r="D173">
        <f>IF($M173="","",IF(INDEX(請求記録!$Y$6:$Y$3005,$M173)="","",INDEX(請求記録!$Y$6:$Y$3005,$M173)))</f>
        <v/>
      </c>
      <c r="E173">
        <f>IF($M173="","",IF(INDEX(請求記録!$Z$6:$Z$3005,$M173)="","",INDEX(請求記録!$Z$6:$Z$3005,$M173)))</f>
        <v/>
      </c>
      <c r="F173" s="19">
        <f>IF($M173="","",IF(INDEX(請求記録!$E$6:$E$3005,$M173)="","",INDEX(請求記録!$E$6:$E$3005,$M173)))</f>
        <v/>
      </c>
      <c r="G173" s="19">
        <f>IF($M173="","",IF(INDEX(請求記録!$AE$6:$AE$3005,$M173)="","",INDEX(請求記録!$AE$6:$AE$3005,$M173)))</f>
        <v/>
      </c>
      <c r="H173">
        <f>IF($M173="","",IF(INDEX(請求記録!$AG$6:$AG$3005,$M173)="","",INDEX(請求記録!$AG$6:$AG$3005,$M173)))</f>
        <v/>
      </c>
      <c r="I173" s="20">
        <f>IF($M173="","",IF(INDEX(請求記録!$AH$6:$AH$3005,$M173)="","",INDEX(請求記録!$AH$6:$AH$3005,$M173)))</f>
        <v/>
      </c>
      <c r="J173">
        <f>IF($M173="","",IF(INDEX(請求記録!$AK$6:$AK$3005,$M173)="","",INDEX(請求記録!$AK$6:$AK$3005,$M173)))</f>
        <v/>
      </c>
      <c r="K173" s="20">
        <f>IF($M173="","",IF(INDEX(請求記録!$AJ$6:$AJ$3005,$M173)="","",INDEX(請求記録!$AJ$6:$AJ$3005,$M173)))</f>
        <v/>
      </c>
      <c r="L173">
        <f>IF($M173="","",IF(INDEX(請求記録!$AN$6:$AN$3005,$M173)="","",INDEX(請求記録!$AN$6:$AN$3005,$M173)))</f>
        <v/>
      </c>
      <c r="M173">
        <f>IFERROR(MATCH(168,請求記録!$AO$6:$AO$3005,0),"")</f>
        <v/>
      </c>
    </row>
    <row r="174">
      <c r="A174">
        <f>IF($M174="","",169)</f>
        <v/>
      </c>
      <c r="B174">
        <f>IF($M174="","",IF(INDEX(請求記録!$B$6:$B$3005,$M174)="","",INDEX(請求記録!$B$6:$B$3005,$M174)))</f>
        <v/>
      </c>
      <c r="C174">
        <f>IF($M174="","",IF(INDEX(請求記録!$X$6:$X$3005,$M174)="","",INDEX(請求記録!$X$6:$X$3005,$M174)))</f>
        <v/>
      </c>
      <c r="D174">
        <f>IF($M174="","",IF(INDEX(請求記録!$Y$6:$Y$3005,$M174)="","",INDEX(請求記録!$Y$6:$Y$3005,$M174)))</f>
        <v/>
      </c>
      <c r="E174">
        <f>IF($M174="","",IF(INDEX(請求記録!$Z$6:$Z$3005,$M174)="","",INDEX(請求記録!$Z$6:$Z$3005,$M174)))</f>
        <v/>
      </c>
      <c r="F174" s="19">
        <f>IF($M174="","",IF(INDEX(請求記録!$E$6:$E$3005,$M174)="","",INDEX(請求記録!$E$6:$E$3005,$M174)))</f>
        <v/>
      </c>
      <c r="G174" s="19">
        <f>IF($M174="","",IF(INDEX(請求記録!$AE$6:$AE$3005,$M174)="","",INDEX(請求記録!$AE$6:$AE$3005,$M174)))</f>
        <v/>
      </c>
      <c r="H174">
        <f>IF($M174="","",IF(INDEX(請求記録!$AG$6:$AG$3005,$M174)="","",INDEX(請求記録!$AG$6:$AG$3005,$M174)))</f>
        <v/>
      </c>
      <c r="I174" s="20">
        <f>IF($M174="","",IF(INDEX(請求記録!$AH$6:$AH$3005,$M174)="","",INDEX(請求記録!$AH$6:$AH$3005,$M174)))</f>
        <v/>
      </c>
      <c r="J174">
        <f>IF($M174="","",IF(INDEX(請求記録!$AK$6:$AK$3005,$M174)="","",INDEX(請求記録!$AK$6:$AK$3005,$M174)))</f>
        <v/>
      </c>
      <c r="K174" s="20">
        <f>IF($M174="","",IF(INDEX(請求記録!$AJ$6:$AJ$3005,$M174)="","",INDEX(請求記録!$AJ$6:$AJ$3005,$M174)))</f>
        <v/>
      </c>
      <c r="L174">
        <f>IF($M174="","",IF(INDEX(請求記録!$AN$6:$AN$3005,$M174)="","",INDEX(請求記録!$AN$6:$AN$3005,$M174)))</f>
        <v/>
      </c>
      <c r="M174">
        <f>IFERROR(MATCH(169,請求記録!$AO$6:$AO$3005,0),"")</f>
        <v/>
      </c>
    </row>
    <row r="175">
      <c r="A175">
        <f>IF($M175="","",170)</f>
        <v/>
      </c>
      <c r="B175">
        <f>IF($M175="","",IF(INDEX(請求記録!$B$6:$B$3005,$M175)="","",INDEX(請求記録!$B$6:$B$3005,$M175)))</f>
        <v/>
      </c>
      <c r="C175">
        <f>IF($M175="","",IF(INDEX(請求記録!$X$6:$X$3005,$M175)="","",INDEX(請求記録!$X$6:$X$3005,$M175)))</f>
        <v/>
      </c>
      <c r="D175">
        <f>IF($M175="","",IF(INDEX(請求記録!$Y$6:$Y$3005,$M175)="","",INDEX(請求記録!$Y$6:$Y$3005,$M175)))</f>
        <v/>
      </c>
      <c r="E175">
        <f>IF($M175="","",IF(INDEX(請求記録!$Z$6:$Z$3005,$M175)="","",INDEX(請求記録!$Z$6:$Z$3005,$M175)))</f>
        <v/>
      </c>
      <c r="F175" s="19">
        <f>IF($M175="","",IF(INDEX(請求記録!$E$6:$E$3005,$M175)="","",INDEX(請求記録!$E$6:$E$3005,$M175)))</f>
        <v/>
      </c>
      <c r="G175" s="19">
        <f>IF($M175="","",IF(INDEX(請求記録!$AE$6:$AE$3005,$M175)="","",INDEX(請求記録!$AE$6:$AE$3005,$M175)))</f>
        <v/>
      </c>
      <c r="H175">
        <f>IF($M175="","",IF(INDEX(請求記録!$AG$6:$AG$3005,$M175)="","",INDEX(請求記録!$AG$6:$AG$3005,$M175)))</f>
        <v/>
      </c>
      <c r="I175" s="20">
        <f>IF($M175="","",IF(INDEX(請求記録!$AH$6:$AH$3005,$M175)="","",INDEX(請求記録!$AH$6:$AH$3005,$M175)))</f>
        <v/>
      </c>
      <c r="J175">
        <f>IF($M175="","",IF(INDEX(請求記録!$AK$6:$AK$3005,$M175)="","",INDEX(請求記録!$AK$6:$AK$3005,$M175)))</f>
        <v/>
      </c>
      <c r="K175" s="20">
        <f>IF($M175="","",IF(INDEX(請求記録!$AJ$6:$AJ$3005,$M175)="","",INDEX(請求記録!$AJ$6:$AJ$3005,$M175)))</f>
        <v/>
      </c>
      <c r="L175">
        <f>IF($M175="","",IF(INDEX(請求記録!$AN$6:$AN$3005,$M175)="","",INDEX(請求記録!$AN$6:$AN$3005,$M175)))</f>
        <v/>
      </c>
      <c r="M175">
        <f>IFERROR(MATCH(170,請求記録!$AO$6:$AO$3005,0),"")</f>
        <v/>
      </c>
    </row>
    <row r="176">
      <c r="A176">
        <f>IF($M176="","",171)</f>
        <v/>
      </c>
      <c r="B176">
        <f>IF($M176="","",IF(INDEX(請求記録!$B$6:$B$3005,$M176)="","",INDEX(請求記録!$B$6:$B$3005,$M176)))</f>
        <v/>
      </c>
      <c r="C176">
        <f>IF($M176="","",IF(INDEX(請求記録!$X$6:$X$3005,$M176)="","",INDEX(請求記録!$X$6:$X$3005,$M176)))</f>
        <v/>
      </c>
      <c r="D176">
        <f>IF($M176="","",IF(INDEX(請求記録!$Y$6:$Y$3005,$M176)="","",INDEX(請求記録!$Y$6:$Y$3005,$M176)))</f>
        <v/>
      </c>
      <c r="E176">
        <f>IF($M176="","",IF(INDEX(請求記録!$Z$6:$Z$3005,$M176)="","",INDEX(請求記録!$Z$6:$Z$3005,$M176)))</f>
        <v/>
      </c>
      <c r="F176" s="19">
        <f>IF($M176="","",IF(INDEX(請求記録!$E$6:$E$3005,$M176)="","",INDEX(請求記録!$E$6:$E$3005,$M176)))</f>
        <v/>
      </c>
      <c r="G176" s="19">
        <f>IF($M176="","",IF(INDEX(請求記録!$AE$6:$AE$3005,$M176)="","",INDEX(請求記録!$AE$6:$AE$3005,$M176)))</f>
        <v/>
      </c>
      <c r="H176">
        <f>IF($M176="","",IF(INDEX(請求記録!$AG$6:$AG$3005,$M176)="","",INDEX(請求記録!$AG$6:$AG$3005,$M176)))</f>
        <v/>
      </c>
      <c r="I176" s="20">
        <f>IF($M176="","",IF(INDEX(請求記録!$AH$6:$AH$3005,$M176)="","",INDEX(請求記録!$AH$6:$AH$3005,$M176)))</f>
        <v/>
      </c>
      <c r="J176">
        <f>IF($M176="","",IF(INDEX(請求記録!$AK$6:$AK$3005,$M176)="","",INDEX(請求記録!$AK$6:$AK$3005,$M176)))</f>
        <v/>
      </c>
      <c r="K176" s="20">
        <f>IF($M176="","",IF(INDEX(請求記録!$AJ$6:$AJ$3005,$M176)="","",INDEX(請求記録!$AJ$6:$AJ$3005,$M176)))</f>
        <v/>
      </c>
      <c r="L176">
        <f>IF($M176="","",IF(INDEX(請求記録!$AN$6:$AN$3005,$M176)="","",INDEX(請求記録!$AN$6:$AN$3005,$M176)))</f>
        <v/>
      </c>
      <c r="M176">
        <f>IFERROR(MATCH(171,請求記録!$AO$6:$AO$3005,0),"")</f>
        <v/>
      </c>
    </row>
    <row r="177">
      <c r="A177">
        <f>IF($M177="","",172)</f>
        <v/>
      </c>
      <c r="B177">
        <f>IF($M177="","",IF(INDEX(請求記録!$B$6:$B$3005,$M177)="","",INDEX(請求記録!$B$6:$B$3005,$M177)))</f>
        <v/>
      </c>
      <c r="C177">
        <f>IF($M177="","",IF(INDEX(請求記録!$X$6:$X$3005,$M177)="","",INDEX(請求記録!$X$6:$X$3005,$M177)))</f>
        <v/>
      </c>
      <c r="D177">
        <f>IF($M177="","",IF(INDEX(請求記録!$Y$6:$Y$3005,$M177)="","",INDEX(請求記録!$Y$6:$Y$3005,$M177)))</f>
        <v/>
      </c>
      <c r="E177">
        <f>IF($M177="","",IF(INDEX(請求記録!$Z$6:$Z$3005,$M177)="","",INDEX(請求記録!$Z$6:$Z$3005,$M177)))</f>
        <v/>
      </c>
      <c r="F177" s="19">
        <f>IF($M177="","",IF(INDEX(請求記録!$E$6:$E$3005,$M177)="","",INDEX(請求記録!$E$6:$E$3005,$M177)))</f>
        <v/>
      </c>
      <c r="G177" s="19">
        <f>IF($M177="","",IF(INDEX(請求記録!$AE$6:$AE$3005,$M177)="","",INDEX(請求記録!$AE$6:$AE$3005,$M177)))</f>
        <v/>
      </c>
      <c r="H177">
        <f>IF($M177="","",IF(INDEX(請求記録!$AG$6:$AG$3005,$M177)="","",INDEX(請求記録!$AG$6:$AG$3005,$M177)))</f>
        <v/>
      </c>
      <c r="I177" s="20">
        <f>IF($M177="","",IF(INDEX(請求記録!$AH$6:$AH$3005,$M177)="","",INDEX(請求記録!$AH$6:$AH$3005,$M177)))</f>
        <v/>
      </c>
      <c r="J177">
        <f>IF($M177="","",IF(INDEX(請求記録!$AK$6:$AK$3005,$M177)="","",INDEX(請求記録!$AK$6:$AK$3005,$M177)))</f>
        <v/>
      </c>
      <c r="K177" s="20">
        <f>IF($M177="","",IF(INDEX(請求記録!$AJ$6:$AJ$3005,$M177)="","",INDEX(請求記録!$AJ$6:$AJ$3005,$M177)))</f>
        <v/>
      </c>
      <c r="L177">
        <f>IF($M177="","",IF(INDEX(請求記録!$AN$6:$AN$3005,$M177)="","",INDEX(請求記録!$AN$6:$AN$3005,$M177)))</f>
        <v/>
      </c>
      <c r="M177">
        <f>IFERROR(MATCH(172,請求記録!$AO$6:$AO$3005,0),"")</f>
        <v/>
      </c>
    </row>
    <row r="178">
      <c r="A178">
        <f>IF($M178="","",173)</f>
        <v/>
      </c>
      <c r="B178">
        <f>IF($M178="","",IF(INDEX(請求記録!$B$6:$B$3005,$M178)="","",INDEX(請求記録!$B$6:$B$3005,$M178)))</f>
        <v/>
      </c>
      <c r="C178">
        <f>IF($M178="","",IF(INDEX(請求記録!$X$6:$X$3005,$M178)="","",INDEX(請求記録!$X$6:$X$3005,$M178)))</f>
        <v/>
      </c>
      <c r="D178">
        <f>IF($M178="","",IF(INDEX(請求記録!$Y$6:$Y$3005,$M178)="","",INDEX(請求記録!$Y$6:$Y$3005,$M178)))</f>
        <v/>
      </c>
      <c r="E178">
        <f>IF($M178="","",IF(INDEX(請求記録!$Z$6:$Z$3005,$M178)="","",INDEX(請求記録!$Z$6:$Z$3005,$M178)))</f>
        <v/>
      </c>
      <c r="F178" s="19">
        <f>IF($M178="","",IF(INDEX(請求記録!$E$6:$E$3005,$M178)="","",INDEX(請求記録!$E$6:$E$3005,$M178)))</f>
        <v/>
      </c>
      <c r="G178" s="19">
        <f>IF($M178="","",IF(INDEX(請求記録!$AE$6:$AE$3005,$M178)="","",INDEX(請求記録!$AE$6:$AE$3005,$M178)))</f>
        <v/>
      </c>
      <c r="H178">
        <f>IF($M178="","",IF(INDEX(請求記録!$AG$6:$AG$3005,$M178)="","",INDEX(請求記録!$AG$6:$AG$3005,$M178)))</f>
        <v/>
      </c>
      <c r="I178" s="20">
        <f>IF($M178="","",IF(INDEX(請求記録!$AH$6:$AH$3005,$M178)="","",INDEX(請求記録!$AH$6:$AH$3005,$M178)))</f>
        <v/>
      </c>
      <c r="J178">
        <f>IF($M178="","",IF(INDEX(請求記録!$AK$6:$AK$3005,$M178)="","",INDEX(請求記録!$AK$6:$AK$3005,$M178)))</f>
        <v/>
      </c>
      <c r="K178" s="20">
        <f>IF($M178="","",IF(INDEX(請求記録!$AJ$6:$AJ$3005,$M178)="","",INDEX(請求記録!$AJ$6:$AJ$3005,$M178)))</f>
        <v/>
      </c>
      <c r="L178">
        <f>IF($M178="","",IF(INDEX(請求記録!$AN$6:$AN$3005,$M178)="","",INDEX(請求記録!$AN$6:$AN$3005,$M178)))</f>
        <v/>
      </c>
      <c r="M178">
        <f>IFERROR(MATCH(173,請求記録!$AO$6:$AO$3005,0),"")</f>
        <v/>
      </c>
    </row>
    <row r="179">
      <c r="A179">
        <f>IF($M179="","",174)</f>
        <v/>
      </c>
      <c r="B179">
        <f>IF($M179="","",IF(INDEX(請求記録!$B$6:$B$3005,$M179)="","",INDEX(請求記録!$B$6:$B$3005,$M179)))</f>
        <v/>
      </c>
      <c r="C179">
        <f>IF($M179="","",IF(INDEX(請求記録!$X$6:$X$3005,$M179)="","",INDEX(請求記録!$X$6:$X$3005,$M179)))</f>
        <v/>
      </c>
      <c r="D179">
        <f>IF($M179="","",IF(INDEX(請求記録!$Y$6:$Y$3005,$M179)="","",INDEX(請求記録!$Y$6:$Y$3005,$M179)))</f>
        <v/>
      </c>
      <c r="E179">
        <f>IF($M179="","",IF(INDEX(請求記録!$Z$6:$Z$3005,$M179)="","",INDEX(請求記録!$Z$6:$Z$3005,$M179)))</f>
        <v/>
      </c>
      <c r="F179" s="19">
        <f>IF($M179="","",IF(INDEX(請求記録!$E$6:$E$3005,$M179)="","",INDEX(請求記録!$E$6:$E$3005,$M179)))</f>
        <v/>
      </c>
      <c r="G179" s="19">
        <f>IF($M179="","",IF(INDEX(請求記録!$AE$6:$AE$3005,$M179)="","",INDEX(請求記録!$AE$6:$AE$3005,$M179)))</f>
        <v/>
      </c>
      <c r="H179">
        <f>IF($M179="","",IF(INDEX(請求記録!$AG$6:$AG$3005,$M179)="","",INDEX(請求記録!$AG$6:$AG$3005,$M179)))</f>
        <v/>
      </c>
      <c r="I179" s="20">
        <f>IF($M179="","",IF(INDEX(請求記録!$AH$6:$AH$3005,$M179)="","",INDEX(請求記録!$AH$6:$AH$3005,$M179)))</f>
        <v/>
      </c>
      <c r="J179">
        <f>IF($M179="","",IF(INDEX(請求記録!$AK$6:$AK$3005,$M179)="","",INDEX(請求記録!$AK$6:$AK$3005,$M179)))</f>
        <v/>
      </c>
      <c r="K179" s="20">
        <f>IF($M179="","",IF(INDEX(請求記録!$AJ$6:$AJ$3005,$M179)="","",INDEX(請求記録!$AJ$6:$AJ$3005,$M179)))</f>
        <v/>
      </c>
      <c r="L179">
        <f>IF($M179="","",IF(INDEX(請求記録!$AN$6:$AN$3005,$M179)="","",INDEX(請求記録!$AN$6:$AN$3005,$M179)))</f>
        <v/>
      </c>
      <c r="M179">
        <f>IFERROR(MATCH(174,請求記録!$AO$6:$AO$3005,0),"")</f>
        <v/>
      </c>
    </row>
    <row r="180">
      <c r="A180">
        <f>IF($M180="","",175)</f>
        <v/>
      </c>
      <c r="B180">
        <f>IF($M180="","",IF(INDEX(請求記録!$B$6:$B$3005,$M180)="","",INDEX(請求記録!$B$6:$B$3005,$M180)))</f>
        <v/>
      </c>
      <c r="C180">
        <f>IF($M180="","",IF(INDEX(請求記録!$X$6:$X$3005,$M180)="","",INDEX(請求記録!$X$6:$X$3005,$M180)))</f>
        <v/>
      </c>
      <c r="D180">
        <f>IF($M180="","",IF(INDEX(請求記録!$Y$6:$Y$3005,$M180)="","",INDEX(請求記録!$Y$6:$Y$3005,$M180)))</f>
        <v/>
      </c>
      <c r="E180">
        <f>IF($M180="","",IF(INDEX(請求記録!$Z$6:$Z$3005,$M180)="","",INDEX(請求記録!$Z$6:$Z$3005,$M180)))</f>
        <v/>
      </c>
      <c r="F180" s="19">
        <f>IF($M180="","",IF(INDEX(請求記録!$E$6:$E$3005,$M180)="","",INDEX(請求記録!$E$6:$E$3005,$M180)))</f>
        <v/>
      </c>
      <c r="G180" s="19">
        <f>IF($M180="","",IF(INDEX(請求記録!$AE$6:$AE$3005,$M180)="","",INDEX(請求記録!$AE$6:$AE$3005,$M180)))</f>
        <v/>
      </c>
      <c r="H180">
        <f>IF($M180="","",IF(INDEX(請求記録!$AG$6:$AG$3005,$M180)="","",INDEX(請求記録!$AG$6:$AG$3005,$M180)))</f>
        <v/>
      </c>
      <c r="I180" s="20">
        <f>IF($M180="","",IF(INDEX(請求記録!$AH$6:$AH$3005,$M180)="","",INDEX(請求記録!$AH$6:$AH$3005,$M180)))</f>
        <v/>
      </c>
      <c r="J180">
        <f>IF($M180="","",IF(INDEX(請求記録!$AK$6:$AK$3005,$M180)="","",INDEX(請求記録!$AK$6:$AK$3005,$M180)))</f>
        <v/>
      </c>
      <c r="K180" s="20">
        <f>IF($M180="","",IF(INDEX(請求記録!$AJ$6:$AJ$3005,$M180)="","",INDEX(請求記録!$AJ$6:$AJ$3005,$M180)))</f>
        <v/>
      </c>
      <c r="L180">
        <f>IF($M180="","",IF(INDEX(請求記録!$AN$6:$AN$3005,$M180)="","",INDEX(請求記録!$AN$6:$AN$3005,$M180)))</f>
        <v/>
      </c>
      <c r="M180">
        <f>IFERROR(MATCH(175,請求記録!$AO$6:$AO$3005,0),"")</f>
        <v/>
      </c>
    </row>
    <row r="181">
      <c r="A181">
        <f>IF($M181="","",176)</f>
        <v/>
      </c>
      <c r="B181">
        <f>IF($M181="","",IF(INDEX(請求記録!$B$6:$B$3005,$M181)="","",INDEX(請求記録!$B$6:$B$3005,$M181)))</f>
        <v/>
      </c>
      <c r="C181">
        <f>IF($M181="","",IF(INDEX(請求記録!$X$6:$X$3005,$M181)="","",INDEX(請求記録!$X$6:$X$3005,$M181)))</f>
        <v/>
      </c>
      <c r="D181">
        <f>IF($M181="","",IF(INDEX(請求記録!$Y$6:$Y$3005,$M181)="","",INDEX(請求記録!$Y$6:$Y$3005,$M181)))</f>
        <v/>
      </c>
      <c r="E181">
        <f>IF($M181="","",IF(INDEX(請求記録!$Z$6:$Z$3005,$M181)="","",INDEX(請求記録!$Z$6:$Z$3005,$M181)))</f>
        <v/>
      </c>
      <c r="F181" s="19">
        <f>IF($M181="","",IF(INDEX(請求記録!$E$6:$E$3005,$M181)="","",INDEX(請求記録!$E$6:$E$3005,$M181)))</f>
        <v/>
      </c>
      <c r="G181" s="19">
        <f>IF($M181="","",IF(INDEX(請求記録!$AE$6:$AE$3005,$M181)="","",INDEX(請求記録!$AE$6:$AE$3005,$M181)))</f>
        <v/>
      </c>
      <c r="H181">
        <f>IF($M181="","",IF(INDEX(請求記録!$AG$6:$AG$3005,$M181)="","",INDEX(請求記録!$AG$6:$AG$3005,$M181)))</f>
        <v/>
      </c>
      <c r="I181" s="20">
        <f>IF($M181="","",IF(INDEX(請求記録!$AH$6:$AH$3005,$M181)="","",INDEX(請求記録!$AH$6:$AH$3005,$M181)))</f>
        <v/>
      </c>
      <c r="J181">
        <f>IF($M181="","",IF(INDEX(請求記録!$AK$6:$AK$3005,$M181)="","",INDEX(請求記録!$AK$6:$AK$3005,$M181)))</f>
        <v/>
      </c>
      <c r="K181" s="20">
        <f>IF($M181="","",IF(INDEX(請求記録!$AJ$6:$AJ$3005,$M181)="","",INDEX(請求記録!$AJ$6:$AJ$3005,$M181)))</f>
        <v/>
      </c>
      <c r="L181">
        <f>IF($M181="","",IF(INDEX(請求記録!$AN$6:$AN$3005,$M181)="","",INDEX(請求記録!$AN$6:$AN$3005,$M181)))</f>
        <v/>
      </c>
      <c r="M181">
        <f>IFERROR(MATCH(176,請求記録!$AO$6:$AO$3005,0),"")</f>
        <v/>
      </c>
    </row>
    <row r="182">
      <c r="A182">
        <f>IF($M182="","",177)</f>
        <v/>
      </c>
      <c r="B182">
        <f>IF($M182="","",IF(INDEX(請求記録!$B$6:$B$3005,$M182)="","",INDEX(請求記録!$B$6:$B$3005,$M182)))</f>
        <v/>
      </c>
      <c r="C182">
        <f>IF($M182="","",IF(INDEX(請求記録!$X$6:$X$3005,$M182)="","",INDEX(請求記録!$X$6:$X$3005,$M182)))</f>
        <v/>
      </c>
      <c r="D182">
        <f>IF($M182="","",IF(INDEX(請求記録!$Y$6:$Y$3005,$M182)="","",INDEX(請求記録!$Y$6:$Y$3005,$M182)))</f>
        <v/>
      </c>
      <c r="E182">
        <f>IF($M182="","",IF(INDEX(請求記録!$Z$6:$Z$3005,$M182)="","",INDEX(請求記録!$Z$6:$Z$3005,$M182)))</f>
        <v/>
      </c>
      <c r="F182" s="19">
        <f>IF($M182="","",IF(INDEX(請求記録!$E$6:$E$3005,$M182)="","",INDEX(請求記録!$E$6:$E$3005,$M182)))</f>
        <v/>
      </c>
      <c r="G182" s="19">
        <f>IF($M182="","",IF(INDEX(請求記録!$AE$6:$AE$3005,$M182)="","",INDEX(請求記録!$AE$6:$AE$3005,$M182)))</f>
        <v/>
      </c>
      <c r="H182">
        <f>IF($M182="","",IF(INDEX(請求記録!$AG$6:$AG$3005,$M182)="","",INDEX(請求記録!$AG$6:$AG$3005,$M182)))</f>
        <v/>
      </c>
      <c r="I182" s="20">
        <f>IF($M182="","",IF(INDEX(請求記録!$AH$6:$AH$3005,$M182)="","",INDEX(請求記録!$AH$6:$AH$3005,$M182)))</f>
        <v/>
      </c>
      <c r="J182">
        <f>IF($M182="","",IF(INDEX(請求記録!$AK$6:$AK$3005,$M182)="","",INDEX(請求記録!$AK$6:$AK$3005,$M182)))</f>
        <v/>
      </c>
      <c r="K182" s="20">
        <f>IF($M182="","",IF(INDEX(請求記録!$AJ$6:$AJ$3005,$M182)="","",INDEX(請求記録!$AJ$6:$AJ$3005,$M182)))</f>
        <v/>
      </c>
      <c r="L182">
        <f>IF($M182="","",IF(INDEX(請求記録!$AN$6:$AN$3005,$M182)="","",INDEX(請求記録!$AN$6:$AN$3005,$M182)))</f>
        <v/>
      </c>
      <c r="M182">
        <f>IFERROR(MATCH(177,請求記録!$AO$6:$AO$3005,0),"")</f>
        <v/>
      </c>
    </row>
    <row r="183">
      <c r="A183">
        <f>IF($M183="","",178)</f>
        <v/>
      </c>
      <c r="B183">
        <f>IF($M183="","",IF(INDEX(請求記録!$B$6:$B$3005,$M183)="","",INDEX(請求記録!$B$6:$B$3005,$M183)))</f>
        <v/>
      </c>
      <c r="C183">
        <f>IF($M183="","",IF(INDEX(請求記録!$X$6:$X$3005,$M183)="","",INDEX(請求記録!$X$6:$X$3005,$M183)))</f>
        <v/>
      </c>
      <c r="D183">
        <f>IF($M183="","",IF(INDEX(請求記録!$Y$6:$Y$3005,$M183)="","",INDEX(請求記録!$Y$6:$Y$3005,$M183)))</f>
        <v/>
      </c>
      <c r="E183">
        <f>IF($M183="","",IF(INDEX(請求記録!$Z$6:$Z$3005,$M183)="","",INDEX(請求記録!$Z$6:$Z$3005,$M183)))</f>
        <v/>
      </c>
      <c r="F183" s="19">
        <f>IF($M183="","",IF(INDEX(請求記録!$E$6:$E$3005,$M183)="","",INDEX(請求記録!$E$6:$E$3005,$M183)))</f>
        <v/>
      </c>
      <c r="G183" s="19">
        <f>IF($M183="","",IF(INDEX(請求記録!$AE$6:$AE$3005,$M183)="","",INDEX(請求記録!$AE$6:$AE$3005,$M183)))</f>
        <v/>
      </c>
      <c r="H183">
        <f>IF($M183="","",IF(INDEX(請求記録!$AG$6:$AG$3005,$M183)="","",INDEX(請求記録!$AG$6:$AG$3005,$M183)))</f>
        <v/>
      </c>
      <c r="I183" s="20">
        <f>IF($M183="","",IF(INDEX(請求記録!$AH$6:$AH$3005,$M183)="","",INDEX(請求記録!$AH$6:$AH$3005,$M183)))</f>
        <v/>
      </c>
      <c r="J183">
        <f>IF($M183="","",IF(INDEX(請求記録!$AK$6:$AK$3005,$M183)="","",INDEX(請求記録!$AK$6:$AK$3005,$M183)))</f>
        <v/>
      </c>
      <c r="K183" s="20">
        <f>IF($M183="","",IF(INDEX(請求記録!$AJ$6:$AJ$3005,$M183)="","",INDEX(請求記録!$AJ$6:$AJ$3005,$M183)))</f>
        <v/>
      </c>
      <c r="L183">
        <f>IF($M183="","",IF(INDEX(請求記録!$AN$6:$AN$3005,$M183)="","",INDEX(請求記録!$AN$6:$AN$3005,$M183)))</f>
        <v/>
      </c>
      <c r="M183">
        <f>IFERROR(MATCH(178,請求記録!$AO$6:$AO$3005,0),"")</f>
        <v/>
      </c>
    </row>
    <row r="184">
      <c r="A184">
        <f>IF($M184="","",179)</f>
        <v/>
      </c>
      <c r="B184">
        <f>IF($M184="","",IF(INDEX(請求記録!$B$6:$B$3005,$M184)="","",INDEX(請求記録!$B$6:$B$3005,$M184)))</f>
        <v/>
      </c>
      <c r="C184">
        <f>IF($M184="","",IF(INDEX(請求記録!$X$6:$X$3005,$M184)="","",INDEX(請求記録!$X$6:$X$3005,$M184)))</f>
        <v/>
      </c>
      <c r="D184">
        <f>IF($M184="","",IF(INDEX(請求記録!$Y$6:$Y$3005,$M184)="","",INDEX(請求記録!$Y$6:$Y$3005,$M184)))</f>
        <v/>
      </c>
      <c r="E184">
        <f>IF($M184="","",IF(INDEX(請求記録!$Z$6:$Z$3005,$M184)="","",INDEX(請求記録!$Z$6:$Z$3005,$M184)))</f>
        <v/>
      </c>
      <c r="F184" s="19">
        <f>IF($M184="","",IF(INDEX(請求記録!$E$6:$E$3005,$M184)="","",INDEX(請求記録!$E$6:$E$3005,$M184)))</f>
        <v/>
      </c>
      <c r="G184" s="19">
        <f>IF($M184="","",IF(INDEX(請求記録!$AE$6:$AE$3005,$M184)="","",INDEX(請求記録!$AE$6:$AE$3005,$M184)))</f>
        <v/>
      </c>
      <c r="H184">
        <f>IF($M184="","",IF(INDEX(請求記録!$AG$6:$AG$3005,$M184)="","",INDEX(請求記録!$AG$6:$AG$3005,$M184)))</f>
        <v/>
      </c>
      <c r="I184" s="20">
        <f>IF($M184="","",IF(INDEX(請求記録!$AH$6:$AH$3005,$M184)="","",INDEX(請求記録!$AH$6:$AH$3005,$M184)))</f>
        <v/>
      </c>
      <c r="J184">
        <f>IF($M184="","",IF(INDEX(請求記録!$AK$6:$AK$3005,$M184)="","",INDEX(請求記録!$AK$6:$AK$3005,$M184)))</f>
        <v/>
      </c>
      <c r="K184" s="20">
        <f>IF($M184="","",IF(INDEX(請求記録!$AJ$6:$AJ$3005,$M184)="","",INDEX(請求記録!$AJ$6:$AJ$3005,$M184)))</f>
        <v/>
      </c>
      <c r="L184">
        <f>IF($M184="","",IF(INDEX(請求記録!$AN$6:$AN$3005,$M184)="","",INDEX(請求記録!$AN$6:$AN$3005,$M184)))</f>
        <v/>
      </c>
      <c r="M184">
        <f>IFERROR(MATCH(179,請求記録!$AO$6:$AO$3005,0),"")</f>
        <v/>
      </c>
    </row>
    <row r="185">
      <c r="A185">
        <f>IF($M185="","",180)</f>
        <v/>
      </c>
      <c r="B185">
        <f>IF($M185="","",IF(INDEX(請求記録!$B$6:$B$3005,$M185)="","",INDEX(請求記録!$B$6:$B$3005,$M185)))</f>
        <v/>
      </c>
      <c r="C185">
        <f>IF($M185="","",IF(INDEX(請求記録!$X$6:$X$3005,$M185)="","",INDEX(請求記録!$X$6:$X$3005,$M185)))</f>
        <v/>
      </c>
      <c r="D185">
        <f>IF($M185="","",IF(INDEX(請求記録!$Y$6:$Y$3005,$M185)="","",INDEX(請求記録!$Y$6:$Y$3005,$M185)))</f>
        <v/>
      </c>
      <c r="E185">
        <f>IF($M185="","",IF(INDEX(請求記録!$Z$6:$Z$3005,$M185)="","",INDEX(請求記録!$Z$6:$Z$3005,$M185)))</f>
        <v/>
      </c>
      <c r="F185" s="19">
        <f>IF($M185="","",IF(INDEX(請求記録!$E$6:$E$3005,$M185)="","",INDEX(請求記録!$E$6:$E$3005,$M185)))</f>
        <v/>
      </c>
      <c r="G185" s="19">
        <f>IF($M185="","",IF(INDEX(請求記録!$AE$6:$AE$3005,$M185)="","",INDEX(請求記録!$AE$6:$AE$3005,$M185)))</f>
        <v/>
      </c>
      <c r="H185">
        <f>IF($M185="","",IF(INDEX(請求記録!$AG$6:$AG$3005,$M185)="","",INDEX(請求記録!$AG$6:$AG$3005,$M185)))</f>
        <v/>
      </c>
      <c r="I185" s="20">
        <f>IF($M185="","",IF(INDEX(請求記録!$AH$6:$AH$3005,$M185)="","",INDEX(請求記録!$AH$6:$AH$3005,$M185)))</f>
        <v/>
      </c>
      <c r="J185">
        <f>IF($M185="","",IF(INDEX(請求記録!$AK$6:$AK$3005,$M185)="","",INDEX(請求記録!$AK$6:$AK$3005,$M185)))</f>
        <v/>
      </c>
      <c r="K185" s="20">
        <f>IF($M185="","",IF(INDEX(請求記録!$AJ$6:$AJ$3005,$M185)="","",INDEX(請求記録!$AJ$6:$AJ$3005,$M185)))</f>
        <v/>
      </c>
      <c r="L185">
        <f>IF($M185="","",IF(INDEX(請求記録!$AN$6:$AN$3005,$M185)="","",INDEX(請求記録!$AN$6:$AN$3005,$M185)))</f>
        <v/>
      </c>
      <c r="M185">
        <f>IFERROR(MATCH(180,請求記録!$AO$6:$AO$3005,0),"")</f>
        <v/>
      </c>
    </row>
    <row r="186">
      <c r="A186">
        <f>IF($M186="","",181)</f>
        <v/>
      </c>
      <c r="B186">
        <f>IF($M186="","",IF(INDEX(請求記録!$B$6:$B$3005,$M186)="","",INDEX(請求記録!$B$6:$B$3005,$M186)))</f>
        <v/>
      </c>
      <c r="C186">
        <f>IF($M186="","",IF(INDEX(請求記録!$X$6:$X$3005,$M186)="","",INDEX(請求記録!$X$6:$X$3005,$M186)))</f>
        <v/>
      </c>
      <c r="D186">
        <f>IF($M186="","",IF(INDEX(請求記録!$Y$6:$Y$3005,$M186)="","",INDEX(請求記録!$Y$6:$Y$3005,$M186)))</f>
        <v/>
      </c>
      <c r="E186">
        <f>IF($M186="","",IF(INDEX(請求記録!$Z$6:$Z$3005,$M186)="","",INDEX(請求記録!$Z$6:$Z$3005,$M186)))</f>
        <v/>
      </c>
      <c r="F186" s="19">
        <f>IF($M186="","",IF(INDEX(請求記録!$E$6:$E$3005,$M186)="","",INDEX(請求記録!$E$6:$E$3005,$M186)))</f>
        <v/>
      </c>
      <c r="G186" s="19">
        <f>IF($M186="","",IF(INDEX(請求記録!$AE$6:$AE$3005,$M186)="","",INDEX(請求記録!$AE$6:$AE$3005,$M186)))</f>
        <v/>
      </c>
      <c r="H186">
        <f>IF($M186="","",IF(INDEX(請求記録!$AG$6:$AG$3005,$M186)="","",INDEX(請求記録!$AG$6:$AG$3005,$M186)))</f>
        <v/>
      </c>
      <c r="I186" s="20">
        <f>IF($M186="","",IF(INDEX(請求記録!$AH$6:$AH$3005,$M186)="","",INDEX(請求記録!$AH$6:$AH$3005,$M186)))</f>
        <v/>
      </c>
      <c r="J186">
        <f>IF($M186="","",IF(INDEX(請求記録!$AK$6:$AK$3005,$M186)="","",INDEX(請求記録!$AK$6:$AK$3005,$M186)))</f>
        <v/>
      </c>
      <c r="K186" s="20">
        <f>IF($M186="","",IF(INDEX(請求記録!$AJ$6:$AJ$3005,$M186)="","",INDEX(請求記録!$AJ$6:$AJ$3005,$M186)))</f>
        <v/>
      </c>
      <c r="L186">
        <f>IF($M186="","",IF(INDEX(請求記録!$AN$6:$AN$3005,$M186)="","",INDEX(請求記録!$AN$6:$AN$3005,$M186)))</f>
        <v/>
      </c>
      <c r="M186">
        <f>IFERROR(MATCH(181,請求記録!$AO$6:$AO$3005,0),"")</f>
        <v/>
      </c>
    </row>
    <row r="187">
      <c r="A187">
        <f>IF($M187="","",182)</f>
        <v/>
      </c>
      <c r="B187">
        <f>IF($M187="","",IF(INDEX(請求記録!$B$6:$B$3005,$M187)="","",INDEX(請求記録!$B$6:$B$3005,$M187)))</f>
        <v/>
      </c>
      <c r="C187">
        <f>IF($M187="","",IF(INDEX(請求記録!$X$6:$X$3005,$M187)="","",INDEX(請求記録!$X$6:$X$3005,$M187)))</f>
        <v/>
      </c>
      <c r="D187">
        <f>IF($M187="","",IF(INDEX(請求記録!$Y$6:$Y$3005,$M187)="","",INDEX(請求記録!$Y$6:$Y$3005,$M187)))</f>
        <v/>
      </c>
      <c r="E187">
        <f>IF($M187="","",IF(INDEX(請求記録!$Z$6:$Z$3005,$M187)="","",INDEX(請求記録!$Z$6:$Z$3005,$M187)))</f>
        <v/>
      </c>
      <c r="F187" s="19">
        <f>IF($M187="","",IF(INDEX(請求記録!$E$6:$E$3005,$M187)="","",INDEX(請求記録!$E$6:$E$3005,$M187)))</f>
        <v/>
      </c>
      <c r="G187" s="19">
        <f>IF($M187="","",IF(INDEX(請求記録!$AE$6:$AE$3005,$M187)="","",INDEX(請求記録!$AE$6:$AE$3005,$M187)))</f>
        <v/>
      </c>
      <c r="H187">
        <f>IF($M187="","",IF(INDEX(請求記録!$AG$6:$AG$3005,$M187)="","",INDEX(請求記録!$AG$6:$AG$3005,$M187)))</f>
        <v/>
      </c>
      <c r="I187" s="20">
        <f>IF($M187="","",IF(INDEX(請求記録!$AH$6:$AH$3005,$M187)="","",INDEX(請求記録!$AH$6:$AH$3005,$M187)))</f>
        <v/>
      </c>
      <c r="J187">
        <f>IF($M187="","",IF(INDEX(請求記録!$AK$6:$AK$3005,$M187)="","",INDEX(請求記録!$AK$6:$AK$3005,$M187)))</f>
        <v/>
      </c>
      <c r="K187" s="20">
        <f>IF($M187="","",IF(INDEX(請求記録!$AJ$6:$AJ$3005,$M187)="","",INDEX(請求記録!$AJ$6:$AJ$3005,$M187)))</f>
        <v/>
      </c>
      <c r="L187">
        <f>IF($M187="","",IF(INDEX(請求記録!$AN$6:$AN$3005,$M187)="","",INDEX(請求記録!$AN$6:$AN$3005,$M187)))</f>
        <v/>
      </c>
      <c r="M187">
        <f>IFERROR(MATCH(182,請求記録!$AO$6:$AO$3005,0),"")</f>
        <v/>
      </c>
    </row>
    <row r="188">
      <c r="A188">
        <f>IF($M188="","",183)</f>
        <v/>
      </c>
      <c r="B188">
        <f>IF($M188="","",IF(INDEX(請求記録!$B$6:$B$3005,$M188)="","",INDEX(請求記録!$B$6:$B$3005,$M188)))</f>
        <v/>
      </c>
      <c r="C188">
        <f>IF($M188="","",IF(INDEX(請求記録!$X$6:$X$3005,$M188)="","",INDEX(請求記録!$X$6:$X$3005,$M188)))</f>
        <v/>
      </c>
      <c r="D188">
        <f>IF($M188="","",IF(INDEX(請求記録!$Y$6:$Y$3005,$M188)="","",INDEX(請求記録!$Y$6:$Y$3005,$M188)))</f>
        <v/>
      </c>
      <c r="E188">
        <f>IF($M188="","",IF(INDEX(請求記録!$Z$6:$Z$3005,$M188)="","",INDEX(請求記録!$Z$6:$Z$3005,$M188)))</f>
        <v/>
      </c>
      <c r="F188" s="19">
        <f>IF($M188="","",IF(INDEX(請求記録!$E$6:$E$3005,$M188)="","",INDEX(請求記録!$E$6:$E$3005,$M188)))</f>
        <v/>
      </c>
      <c r="G188" s="19">
        <f>IF($M188="","",IF(INDEX(請求記録!$AE$6:$AE$3005,$M188)="","",INDEX(請求記録!$AE$6:$AE$3005,$M188)))</f>
        <v/>
      </c>
      <c r="H188">
        <f>IF($M188="","",IF(INDEX(請求記録!$AG$6:$AG$3005,$M188)="","",INDEX(請求記録!$AG$6:$AG$3005,$M188)))</f>
        <v/>
      </c>
      <c r="I188" s="20">
        <f>IF($M188="","",IF(INDEX(請求記録!$AH$6:$AH$3005,$M188)="","",INDEX(請求記録!$AH$6:$AH$3005,$M188)))</f>
        <v/>
      </c>
      <c r="J188">
        <f>IF($M188="","",IF(INDEX(請求記録!$AK$6:$AK$3005,$M188)="","",INDEX(請求記録!$AK$6:$AK$3005,$M188)))</f>
        <v/>
      </c>
      <c r="K188" s="20">
        <f>IF($M188="","",IF(INDEX(請求記録!$AJ$6:$AJ$3005,$M188)="","",INDEX(請求記録!$AJ$6:$AJ$3005,$M188)))</f>
        <v/>
      </c>
      <c r="L188">
        <f>IF($M188="","",IF(INDEX(請求記録!$AN$6:$AN$3005,$M188)="","",INDEX(請求記録!$AN$6:$AN$3005,$M188)))</f>
        <v/>
      </c>
      <c r="M188">
        <f>IFERROR(MATCH(183,請求記録!$AO$6:$AO$3005,0),"")</f>
        <v/>
      </c>
    </row>
    <row r="189">
      <c r="A189">
        <f>IF($M189="","",184)</f>
        <v/>
      </c>
      <c r="B189">
        <f>IF($M189="","",IF(INDEX(請求記録!$B$6:$B$3005,$M189)="","",INDEX(請求記録!$B$6:$B$3005,$M189)))</f>
        <v/>
      </c>
      <c r="C189">
        <f>IF($M189="","",IF(INDEX(請求記録!$X$6:$X$3005,$M189)="","",INDEX(請求記録!$X$6:$X$3005,$M189)))</f>
        <v/>
      </c>
      <c r="D189">
        <f>IF($M189="","",IF(INDEX(請求記録!$Y$6:$Y$3005,$M189)="","",INDEX(請求記録!$Y$6:$Y$3005,$M189)))</f>
        <v/>
      </c>
      <c r="E189">
        <f>IF($M189="","",IF(INDEX(請求記録!$Z$6:$Z$3005,$M189)="","",INDEX(請求記録!$Z$6:$Z$3005,$M189)))</f>
        <v/>
      </c>
      <c r="F189" s="19">
        <f>IF($M189="","",IF(INDEX(請求記録!$E$6:$E$3005,$M189)="","",INDEX(請求記録!$E$6:$E$3005,$M189)))</f>
        <v/>
      </c>
      <c r="G189" s="19">
        <f>IF($M189="","",IF(INDEX(請求記録!$AE$6:$AE$3005,$M189)="","",INDEX(請求記録!$AE$6:$AE$3005,$M189)))</f>
        <v/>
      </c>
      <c r="H189">
        <f>IF($M189="","",IF(INDEX(請求記録!$AG$6:$AG$3005,$M189)="","",INDEX(請求記録!$AG$6:$AG$3005,$M189)))</f>
        <v/>
      </c>
      <c r="I189" s="20">
        <f>IF($M189="","",IF(INDEX(請求記録!$AH$6:$AH$3005,$M189)="","",INDEX(請求記録!$AH$6:$AH$3005,$M189)))</f>
        <v/>
      </c>
      <c r="J189">
        <f>IF($M189="","",IF(INDEX(請求記録!$AK$6:$AK$3005,$M189)="","",INDEX(請求記録!$AK$6:$AK$3005,$M189)))</f>
        <v/>
      </c>
      <c r="K189" s="20">
        <f>IF($M189="","",IF(INDEX(請求記録!$AJ$6:$AJ$3005,$M189)="","",INDEX(請求記録!$AJ$6:$AJ$3005,$M189)))</f>
        <v/>
      </c>
      <c r="L189">
        <f>IF($M189="","",IF(INDEX(請求記録!$AN$6:$AN$3005,$M189)="","",INDEX(請求記録!$AN$6:$AN$3005,$M189)))</f>
        <v/>
      </c>
      <c r="M189">
        <f>IFERROR(MATCH(184,請求記録!$AO$6:$AO$3005,0),"")</f>
        <v/>
      </c>
    </row>
    <row r="190">
      <c r="A190">
        <f>IF($M190="","",185)</f>
        <v/>
      </c>
      <c r="B190">
        <f>IF($M190="","",IF(INDEX(請求記録!$B$6:$B$3005,$M190)="","",INDEX(請求記録!$B$6:$B$3005,$M190)))</f>
        <v/>
      </c>
      <c r="C190">
        <f>IF($M190="","",IF(INDEX(請求記録!$X$6:$X$3005,$M190)="","",INDEX(請求記録!$X$6:$X$3005,$M190)))</f>
        <v/>
      </c>
      <c r="D190">
        <f>IF($M190="","",IF(INDEX(請求記録!$Y$6:$Y$3005,$M190)="","",INDEX(請求記録!$Y$6:$Y$3005,$M190)))</f>
        <v/>
      </c>
      <c r="E190">
        <f>IF($M190="","",IF(INDEX(請求記録!$Z$6:$Z$3005,$M190)="","",INDEX(請求記録!$Z$6:$Z$3005,$M190)))</f>
        <v/>
      </c>
      <c r="F190" s="19">
        <f>IF($M190="","",IF(INDEX(請求記録!$E$6:$E$3005,$M190)="","",INDEX(請求記録!$E$6:$E$3005,$M190)))</f>
        <v/>
      </c>
      <c r="G190" s="19">
        <f>IF($M190="","",IF(INDEX(請求記録!$AE$6:$AE$3005,$M190)="","",INDEX(請求記録!$AE$6:$AE$3005,$M190)))</f>
        <v/>
      </c>
      <c r="H190">
        <f>IF($M190="","",IF(INDEX(請求記録!$AG$6:$AG$3005,$M190)="","",INDEX(請求記録!$AG$6:$AG$3005,$M190)))</f>
        <v/>
      </c>
      <c r="I190" s="20">
        <f>IF($M190="","",IF(INDEX(請求記録!$AH$6:$AH$3005,$M190)="","",INDEX(請求記録!$AH$6:$AH$3005,$M190)))</f>
        <v/>
      </c>
      <c r="J190">
        <f>IF($M190="","",IF(INDEX(請求記録!$AK$6:$AK$3005,$M190)="","",INDEX(請求記録!$AK$6:$AK$3005,$M190)))</f>
        <v/>
      </c>
      <c r="K190" s="20">
        <f>IF($M190="","",IF(INDEX(請求記録!$AJ$6:$AJ$3005,$M190)="","",INDEX(請求記録!$AJ$6:$AJ$3005,$M190)))</f>
        <v/>
      </c>
      <c r="L190">
        <f>IF($M190="","",IF(INDEX(請求記録!$AN$6:$AN$3005,$M190)="","",INDEX(請求記録!$AN$6:$AN$3005,$M190)))</f>
        <v/>
      </c>
      <c r="M190">
        <f>IFERROR(MATCH(185,請求記録!$AO$6:$AO$3005,0),"")</f>
        <v/>
      </c>
    </row>
    <row r="191">
      <c r="A191">
        <f>IF($M191="","",186)</f>
        <v/>
      </c>
      <c r="B191">
        <f>IF($M191="","",IF(INDEX(請求記録!$B$6:$B$3005,$M191)="","",INDEX(請求記録!$B$6:$B$3005,$M191)))</f>
        <v/>
      </c>
      <c r="C191">
        <f>IF($M191="","",IF(INDEX(請求記録!$X$6:$X$3005,$M191)="","",INDEX(請求記録!$X$6:$X$3005,$M191)))</f>
        <v/>
      </c>
      <c r="D191">
        <f>IF($M191="","",IF(INDEX(請求記録!$Y$6:$Y$3005,$M191)="","",INDEX(請求記録!$Y$6:$Y$3005,$M191)))</f>
        <v/>
      </c>
      <c r="E191">
        <f>IF($M191="","",IF(INDEX(請求記録!$Z$6:$Z$3005,$M191)="","",INDEX(請求記録!$Z$6:$Z$3005,$M191)))</f>
        <v/>
      </c>
      <c r="F191" s="19">
        <f>IF($M191="","",IF(INDEX(請求記録!$E$6:$E$3005,$M191)="","",INDEX(請求記録!$E$6:$E$3005,$M191)))</f>
        <v/>
      </c>
      <c r="G191" s="19">
        <f>IF($M191="","",IF(INDEX(請求記録!$AE$6:$AE$3005,$M191)="","",INDEX(請求記録!$AE$6:$AE$3005,$M191)))</f>
        <v/>
      </c>
      <c r="H191">
        <f>IF($M191="","",IF(INDEX(請求記録!$AG$6:$AG$3005,$M191)="","",INDEX(請求記録!$AG$6:$AG$3005,$M191)))</f>
        <v/>
      </c>
      <c r="I191" s="20">
        <f>IF($M191="","",IF(INDEX(請求記録!$AH$6:$AH$3005,$M191)="","",INDEX(請求記録!$AH$6:$AH$3005,$M191)))</f>
        <v/>
      </c>
      <c r="J191">
        <f>IF($M191="","",IF(INDEX(請求記録!$AK$6:$AK$3005,$M191)="","",INDEX(請求記録!$AK$6:$AK$3005,$M191)))</f>
        <v/>
      </c>
      <c r="K191" s="20">
        <f>IF($M191="","",IF(INDEX(請求記録!$AJ$6:$AJ$3005,$M191)="","",INDEX(請求記録!$AJ$6:$AJ$3005,$M191)))</f>
        <v/>
      </c>
      <c r="L191">
        <f>IF($M191="","",IF(INDEX(請求記録!$AN$6:$AN$3005,$M191)="","",INDEX(請求記録!$AN$6:$AN$3005,$M191)))</f>
        <v/>
      </c>
      <c r="M191">
        <f>IFERROR(MATCH(186,請求記録!$AO$6:$AO$3005,0),"")</f>
        <v/>
      </c>
    </row>
    <row r="192">
      <c r="A192">
        <f>IF($M192="","",187)</f>
        <v/>
      </c>
      <c r="B192">
        <f>IF($M192="","",IF(INDEX(請求記録!$B$6:$B$3005,$M192)="","",INDEX(請求記録!$B$6:$B$3005,$M192)))</f>
        <v/>
      </c>
      <c r="C192">
        <f>IF($M192="","",IF(INDEX(請求記録!$X$6:$X$3005,$M192)="","",INDEX(請求記録!$X$6:$X$3005,$M192)))</f>
        <v/>
      </c>
      <c r="D192">
        <f>IF($M192="","",IF(INDEX(請求記録!$Y$6:$Y$3005,$M192)="","",INDEX(請求記録!$Y$6:$Y$3005,$M192)))</f>
        <v/>
      </c>
      <c r="E192">
        <f>IF($M192="","",IF(INDEX(請求記録!$Z$6:$Z$3005,$M192)="","",INDEX(請求記録!$Z$6:$Z$3005,$M192)))</f>
        <v/>
      </c>
      <c r="F192" s="19">
        <f>IF($M192="","",IF(INDEX(請求記録!$E$6:$E$3005,$M192)="","",INDEX(請求記録!$E$6:$E$3005,$M192)))</f>
        <v/>
      </c>
      <c r="G192" s="19">
        <f>IF($M192="","",IF(INDEX(請求記録!$AE$6:$AE$3005,$M192)="","",INDEX(請求記録!$AE$6:$AE$3005,$M192)))</f>
        <v/>
      </c>
      <c r="H192">
        <f>IF($M192="","",IF(INDEX(請求記録!$AG$6:$AG$3005,$M192)="","",INDEX(請求記録!$AG$6:$AG$3005,$M192)))</f>
        <v/>
      </c>
      <c r="I192" s="20">
        <f>IF($M192="","",IF(INDEX(請求記録!$AH$6:$AH$3005,$M192)="","",INDEX(請求記録!$AH$6:$AH$3005,$M192)))</f>
        <v/>
      </c>
      <c r="J192">
        <f>IF($M192="","",IF(INDEX(請求記録!$AK$6:$AK$3005,$M192)="","",INDEX(請求記録!$AK$6:$AK$3005,$M192)))</f>
        <v/>
      </c>
      <c r="K192" s="20">
        <f>IF($M192="","",IF(INDEX(請求記録!$AJ$6:$AJ$3005,$M192)="","",INDEX(請求記録!$AJ$6:$AJ$3005,$M192)))</f>
        <v/>
      </c>
      <c r="L192">
        <f>IF($M192="","",IF(INDEX(請求記録!$AN$6:$AN$3005,$M192)="","",INDEX(請求記録!$AN$6:$AN$3005,$M192)))</f>
        <v/>
      </c>
      <c r="M192">
        <f>IFERROR(MATCH(187,請求記録!$AO$6:$AO$3005,0),"")</f>
        <v/>
      </c>
    </row>
    <row r="193">
      <c r="A193">
        <f>IF($M193="","",188)</f>
        <v/>
      </c>
      <c r="B193">
        <f>IF($M193="","",IF(INDEX(請求記録!$B$6:$B$3005,$M193)="","",INDEX(請求記録!$B$6:$B$3005,$M193)))</f>
        <v/>
      </c>
      <c r="C193">
        <f>IF($M193="","",IF(INDEX(請求記録!$X$6:$X$3005,$M193)="","",INDEX(請求記録!$X$6:$X$3005,$M193)))</f>
        <v/>
      </c>
      <c r="D193">
        <f>IF($M193="","",IF(INDEX(請求記録!$Y$6:$Y$3005,$M193)="","",INDEX(請求記録!$Y$6:$Y$3005,$M193)))</f>
        <v/>
      </c>
      <c r="E193">
        <f>IF($M193="","",IF(INDEX(請求記録!$Z$6:$Z$3005,$M193)="","",INDEX(請求記録!$Z$6:$Z$3005,$M193)))</f>
        <v/>
      </c>
      <c r="F193" s="19">
        <f>IF($M193="","",IF(INDEX(請求記録!$E$6:$E$3005,$M193)="","",INDEX(請求記録!$E$6:$E$3005,$M193)))</f>
        <v/>
      </c>
      <c r="G193" s="19">
        <f>IF($M193="","",IF(INDEX(請求記録!$AE$6:$AE$3005,$M193)="","",INDEX(請求記録!$AE$6:$AE$3005,$M193)))</f>
        <v/>
      </c>
      <c r="H193">
        <f>IF($M193="","",IF(INDEX(請求記録!$AG$6:$AG$3005,$M193)="","",INDEX(請求記録!$AG$6:$AG$3005,$M193)))</f>
        <v/>
      </c>
      <c r="I193" s="20">
        <f>IF($M193="","",IF(INDEX(請求記録!$AH$6:$AH$3005,$M193)="","",INDEX(請求記録!$AH$6:$AH$3005,$M193)))</f>
        <v/>
      </c>
      <c r="J193">
        <f>IF($M193="","",IF(INDEX(請求記録!$AK$6:$AK$3005,$M193)="","",INDEX(請求記録!$AK$6:$AK$3005,$M193)))</f>
        <v/>
      </c>
      <c r="K193" s="20">
        <f>IF($M193="","",IF(INDEX(請求記録!$AJ$6:$AJ$3005,$M193)="","",INDEX(請求記録!$AJ$6:$AJ$3005,$M193)))</f>
        <v/>
      </c>
      <c r="L193">
        <f>IF($M193="","",IF(INDEX(請求記録!$AN$6:$AN$3005,$M193)="","",INDEX(請求記録!$AN$6:$AN$3005,$M193)))</f>
        <v/>
      </c>
      <c r="M193">
        <f>IFERROR(MATCH(188,請求記録!$AO$6:$AO$3005,0),"")</f>
        <v/>
      </c>
    </row>
    <row r="194">
      <c r="A194">
        <f>IF($M194="","",189)</f>
        <v/>
      </c>
      <c r="B194">
        <f>IF($M194="","",IF(INDEX(請求記録!$B$6:$B$3005,$M194)="","",INDEX(請求記録!$B$6:$B$3005,$M194)))</f>
        <v/>
      </c>
      <c r="C194">
        <f>IF($M194="","",IF(INDEX(請求記録!$X$6:$X$3005,$M194)="","",INDEX(請求記録!$X$6:$X$3005,$M194)))</f>
        <v/>
      </c>
      <c r="D194">
        <f>IF($M194="","",IF(INDEX(請求記録!$Y$6:$Y$3005,$M194)="","",INDEX(請求記録!$Y$6:$Y$3005,$M194)))</f>
        <v/>
      </c>
      <c r="E194">
        <f>IF($M194="","",IF(INDEX(請求記録!$Z$6:$Z$3005,$M194)="","",INDEX(請求記録!$Z$6:$Z$3005,$M194)))</f>
        <v/>
      </c>
      <c r="F194" s="19">
        <f>IF($M194="","",IF(INDEX(請求記録!$E$6:$E$3005,$M194)="","",INDEX(請求記録!$E$6:$E$3005,$M194)))</f>
        <v/>
      </c>
      <c r="G194" s="19">
        <f>IF($M194="","",IF(INDEX(請求記録!$AE$6:$AE$3005,$M194)="","",INDEX(請求記録!$AE$6:$AE$3005,$M194)))</f>
        <v/>
      </c>
      <c r="H194">
        <f>IF($M194="","",IF(INDEX(請求記録!$AG$6:$AG$3005,$M194)="","",INDEX(請求記録!$AG$6:$AG$3005,$M194)))</f>
        <v/>
      </c>
      <c r="I194" s="20">
        <f>IF($M194="","",IF(INDEX(請求記録!$AH$6:$AH$3005,$M194)="","",INDEX(請求記録!$AH$6:$AH$3005,$M194)))</f>
        <v/>
      </c>
      <c r="J194">
        <f>IF($M194="","",IF(INDEX(請求記録!$AK$6:$AK$3005,$M194)="","",INDEX(請求記録!$AK$6:$AK$3005,$M194)))</f>
        <v/>
      </c>
      <c r="K194" s="20">
        <f>IF($M194="","",IF(INDEX(請求記録!$AJ$6:$AJ$3005,$M194)="","",INDEX(請求記録!$AJ$6:$AJ$3005,$M194)))</f>
        <v/>
      </c>
      <c r="L194">
        <f>IF($M194="","",IF(INDEX(請求記録!$AN$6:$AN$3005,$M194)="","",INDEX(請求記録!$AN$6:$AN$3005,$M194)))</f>
        <v/>
      </c>
      <c r="M194">
        <f>IFERROR(MATCH(189,請求記録!$AO$6:$AO$3005,0),"")</f>
        <v/>
      </c>
    </row>
    <row r="195">
      <c r="A195">
        <f>IF($M195="","",190)</f>
        <v/>
      </c>
      <c r="B195">
        <f>IF($M195="","",IF(INDEX(請求記録!$B$6:$B$3005,$M195)="","",INDEX(請求記録!$B$6:$B$3005,$M195)))</f>
        <v/>
      </c>
      <c r="C195">
        <f>IF($M195="","",IF(INDEX(請求記録!$X$6:$X$3005,$M195)="","",INDEX(請求記録!$X$6:$X$3005,$M195)))</f>
        <v/>
      </c>
      <c r="D195">
        <f>IF($M195="","",IF(INDEX(請求記録!$Y$6:$Y$3005,$M195)="","",INDEX(請求記録!$Y$6:$Y$3005,$M195)))</f>
        <v/>
      </c>
      <c r="E195">
        <f>IF($M195="","",IF(INDEX(請求記録!$Z$6:$Z$3005,$M195)="","",INDEX(請求記録!$Z$6:$Z$3005,$M195)))</f>
        <v/>
      </c>
      <c r="F195" s="19">
        <f>IF($M195="","",IF(INDEX(請求記録!$E$6:$E$3005,$M195)="","",INDEX(請求記録!$E$6:$E$3005,$M195)))</f>
        <v/>
      </c>
      <c r="G195" s="19">
        <f>IF($M195="","",IF(INDEX(請求記録!$AE$6:$AE$3005,$M195)="","",INDEX(請求記録!$AE$6:$AE$3005,$M195)))</f>
        <v/>
      </c>
      <c r="H195">
        <f>IF($M195="","",IF(INDEX(請求記録!$AG$6:$AG$3005,$M195)="","",INDEX(請求記録!$AG$6:$AG$3005,$M195)))</f>
        <v/>
      </c>
      <c r="I195" s="20">
        <f>IF($M195="","",IF(INDEX(請求記録!$AH$6:$AH$3005,$M195)="","",INDEX(請求記録!$AH$6:$AH$3005,$M195)))</f>
        <v/>
      </c>
      <c r="J195">
        <f>IF($M195="","",IF(INDEX(請求記録!$AK$6:$AK$3005,$M195)="","",INDEX(請求記録!$AK$6:$AK$3005,$M195)))</f>
        <v/>
      </c>
      <c r="K195" s="20">
        <f>IF($M195="","",IF(INDEX(請求記録!$AJ$6:$AJ$3005,$M195)="","",INDEX(請求記録!$AJ$6:$AJ$3005,$M195)))</f>
        <v/>
      </c>
      <c r="L195">
        <f>IF($M195="","",IF(INDEX(請求記録!$AN$6:$AN$3005,$M195)="","",INDEX(請求記録!$AN$6:$AN$3005,$M195)))</f>
        <v/>
      </c>
      <c r="M195">
        <f>IFERROR(MATCH(190,請求記録!$AO$6:$AO$3005,0),"")</f>
        <v/>
      </c>
    </row>
    <row r="196">
      <c r="A196">
        <f>IF($M196="","",191)</f>
        <v/>
      </c>
      <c r="B196">
        <f>IF($M196="","",IF(INDEX(請求記録!$B$6:$B$3005,$M196)="","",INDEX(請求記録!$B$6:$B$3005,$M196)))</f>
        <v/>
      </c>
      <c r="C196">
        <f>IF($M196="","",IF(INDEX(請求記録!$X$6:$X$3005,$M196)="","",INDEX(請求記録!$X$6:$X$3005,$M196)))</f>
        <v/>
      </c>
      <c r="D196">
        <f>IF($M196="","",IF(INDEX(請求記録!$Y$6:$Y$3005,$M196)="","",INDEX(請求記録!$Y$6:$Y$3005,$M196)))</f>
        <v/>
      </c>
      <c r="E196">
        <f>IF($M196="","",IF(INDEX(請求記録!$Z$6:$Z$3005,$M196)="","",INDEX(請求記録!$Z$6:$Z$3005,$M196)))</f>
        <v/>
      </c>
      <c r="F196" s="19">
        <f>IF($M196="","",IF(INDEX(請求記録!$E$6:$E$3005,$M196)="","",INDEX(請求記録!$E$6:$E$3005,$M196)))</f>
        <v/>
      </c>
      <c r="G196" s="19">
        <f>IF($M196="","",IF(INDEX(請求記録!$AE$6:$AE$3005,$M196)="","",INDEX(請求記録!$AE$6:$AE$3005,$M196)))</f>
        <v/>
      </c>
      <c r="H196">
        <f>IF($M196="","",IF(INDEX(請求記録!$AG$6:$AG$3005,$M196)="","",INDEX(請求記録!$AG$6:$AG$3005,$M196)))</f>
        <v/>
      </c>
      <c r="I196" s="20">
        <f>IF($M196="","",IF(INDEX(請求記録!$AH$6:$AH$3005,$M196)="","",INDEX(請求記録!$AH$6:$AH$3005,$M196)))</f>
        <v/>
      </c>
      <c r="J196">
        <f>IF($M196="","",IF(INDEX(請求記録!$AK$6:$AK$3005,$M196)="","",INDEX(請求記録!$AK$6:$AK$3005,$M196)))</f>
        <v/>
      </c>
      <c r="K196" s="20">
        <f>IF($M196="","",IF(INDEX(請求記録!$AJ$6:$AJ$3005,$M196)="","",INDEX(請求記録!$AJ$6:$AJ$3005,$M196)))</f>
        <v/>
      </c>
      <c r="L196">
        <f>IF($M196="","",IF(INDEX(請求記録!$AN$6:$AN$3005,$M196)="","",INDEX(請求記録!$AN$6:$AN$3005,$M196)))</f>
        <v/>
      </c>
      <c r="M196">
        <f>IFERROR(MATCH(191,請求記録!$AO$6:$AO$3005,0),"")</f>
        <v/>
      </c>
    </row>
    <row r="197">
      <c r="A197">
        <f>IF($M197="","",192)</f>
        <v/>
      </c>
      <c r="B197">
        <f>IF($M197="","",IF(INDEX(請求記録!$B$6:$B$3005,$M197)="","",INDEX(請求記録!$B$6:$B$3005,$M197)))</f>
        <v/>
      </c>
      <c r="C197">
        <f>IF($M197="","",IF(INDEX(請求記録!$X$6:$X$3005,$M197)="","",INDEX(請求記録!$X$6:$X$3005,$M197)))</f>
        <v/>
      </c>
      <c r="D197">
        <f>IF($M197="","",IF(INDEX(請求記録!$Y$6:$Y$3005,$M197)="","",INDEX(請求記録!$Y$6:$Y$3005,$M197)))</f>
        <v/>
      </c>
      <c r="E197">
        <f>IF($M197="","",IF(INDEX(請求記録!$Z$6:$Z$3005,$M197)="","",INDEX(請求記録!$Z$6:$Z$3005,$M197)))</f>
        <v/>
      </c>
      <c r="F197" s="19">
        <f>IF($M197="","",IF(INDEX(請求記録!$E$6:$E$3005,$M197)="","",INDEX(請求記録!$E$6:$E$3005,$M197)))</f>
        <v/>
      </c>
      <c r="G197" s="19">
        <f>IF($M197="","",IF(INDEX(請求記録!$AE$6:$AE$3005,$M197)="","",INDEX(請求記録!$AE$6:$AE$3005,$M197)))</f>
        <v/>
      </c>
      <c r="H197">
        <f>IF($M197="","",IF(INDEX(請求記録!$AG$6:$AG$3005,$M197)="","",INDEX(請求記録!$AG$6:$AG$3005,$M197)))</f>
        <v/>
      </c>
      <c r="I197" s="20">
        <f>IF($M197="","",IF(INDEX(請求記録!$AH$6:$AH$3005,$M197)="","",INDEX(請求記録!$AH$6:$AH$3005,$M197)))</f>
        <v/>
      </c>
      <c r="J197">
        <f>IF($M197="","",IF(INDEX(請求記録!$AK$6:$AK$3005,$M197)="","",INDEX(請求記録!$AK$6:$AK$3005,$M197)))</f>
        <v/>
      </c>
      <c r="K197" s="20">
        <f>IF($M197="","",IF(INDEX(請求記録!$AJ$6:$AJ$3005,$M197)="","",INDEX(請求記録!$AJ$6:$AJ$3005,$M197)))</f>
        <v/>
      </c>
      <c r="L197">
        <f>IF($M197="","",IF(INDEX(請求記録!$AN$6:$AN$3005,$M197)="","",INDEX(請求記録!$AN$6:$AN$3005,$M197)))</f>
        <v/>
      </c>
      <c r="M197">
        <f>IFERROR(MATCH(192,請求記録!$AO$6:$AO$3005,0),"")</f>
        <v/>
      </c>
    </row>
    <row r="198">
      <c r="A198">
        <f>IF($M198="","",193)</f>
        <v/>
      </c>
      <c r="B198">
        <f>IF($M198="","",IF(INDEX(請求記録!$B$6:$B$3005,$M198)="","",INDEX(請求記録!$B$6:$B$3005,$M198)))</f>
        <v/>
      </c>
      <c r="C198">
        <f>IF($M198="","",IF(INDEX(請求記録!$X$6:$X$3005,$M198)="","",INDEX(請求記録!$X$6:$X$3005,$M198)))</f>
        <v/>
      </c>
      <c r="D198">
        <f>IF($M198="","",IF(INDEX(請求記録!$Y$6:$Y$3005,$M198)="","",INDEX(請求記録!$Y$6:$Y$3005,$M198)))</f>
        <v/>
      </c>
      <c r="E198">
        <f>IF($M198="","",IF(INDEX(請求記録!$Z$6:$Z$3005,$M198)="","",INDEX(請求記録!$Z$6:$Z$3005,$M198)))</f>
        <v/>
      </c>
      <c r="F198" s="19">
        <f>IF($M198="","",IF(INDEX(請求記録!$E$6:$E$3005,$M198)="","",INDEX(請求記録!$E$6:$E$3005,$M198)))</f>
        <v/>
      </c>
      <c r="G198" s="19">
        <f>IF($M198="","",IF(INDEX(請求記録!$AE$6:$AE$3005,$M198)="","",INDEX(請求記録!$AE$6:$AE$3005,$M198)))</f>
        <v/>
      </c>
      <c r="H198">
        <f>IF($M198="","",IF(INDEX(請求記録!$AG$6:$AG$3005,$M198)="","",INDEX(請求記録!$AG$6:$AG$3005,$M198)))</f>
        <v/>
      </c>
      <c r="I198" s="20">
        <f>IF($M198="","",IF(INDEX(請求記録!$AH$6:$AH$3005,$M198)="","",INDEX(請求記録!$AH$6:$AH$3005,$M198)))</f>
        <v/>
      </c>
      <c r="J198">
        <f>IF($M198="","",IF(INDEX(請求記録!$AK$6:$AK$3005,$M198)="","",INDEX(請求記録!$AK$6:$AK$3005,$M198)))</f>
        <v/>
      </c>
      <c r="K198" s="20">
        <f>IF($M198="","",IF(INDEX(請求記録!$AJ$6:$AJ$3005,$M198)="","",INDEX(請求記録!$AJ$6:$AJ$3005,$M198)))</f>
        <v/>
      </c>
      <c r="L198">
        <f>IF($M198="","",IF(INDEX(請求記録!$AN$6:$AN$3005,$M198)="","",INDEX(請求記録!$AN$6:$AN$3005,$M198)))</f>
        <v/>
      </c>
      <c r="M198">
        <f>IFERROR(MATCH(193,請求記録!$AO$6:$AO$3005,0),"")</f>
        <v/>
      </c>
    </row>
    <row r="199">
      <c r="A199">
        <f>IF($M199="","",194)</f>
        <v/>
      </c>
      <c r="B199">
        <f>IF($M199="","",IF(INDEX(請求記録!$B$6:$B$3005,$M199)="","",INDEX(請求記録!$B$6:$B$3005,$M199)))</f>
        <v/>
      </c>
      <c r="C199">
        <f>IF($M199="","",IF(INDEX(請求記録!$X$6:$X$3005,$M199)="","",INDEX(請求記録!$X$6:$X$3005,$M199)))</f>
        <v/>
      </c>
      <c r="D199">
        <f>IF($M199="","",IF(INDEX(請求記録!$Y$6:$Y$3005,$M199)="","",INDEX(請求記録!$Y$6:$Y$3005,$M199)))</f>
        <v/>
      </c>
      <c r="E199">
        <f>IF($M199="","",IF(INDEX(請求記録!$Z$6:$Z$3005,$M199)="","",INDEX(請求記録!$Z$6:$Z$3005,$M199)))</f>
        <v/>
      </c>
      <c r="F199" s="19">
        <f>IF($M199="","",IF(INDEX(請求記録!$E$6:$E$3005,$M199)="","",INDEX(請求記録!$E$6:$E$3005,$M199)))</f>
        <v/>
      </c>
      <c r="G199" s="19">
        <f>IF($M199="","",IF(INDEX(請求記録!$AE$6:$AE$3005,$M199)="","",INDEX(請求記録!$AE$6:$AE$3005,$M199)))</f>
        <v/>
      </c>
      <c r="H199">
        <f>IF($M199="","",IF(INDEX(請求記録!$AG$6:$AG$3005,$M199)="","",INDEX(請求記録!$AG$6:$AG$3005,$M199)))</f>
        <v/>
      </c>
      <c r="I199" s="20">
        <f>IF($M199="","",IF(INDEX(請求記録!$AH$6:$AH$3005,$M199)="","",INDEX(請求記録!$AH$6:$AH$3005,$M199)))</f>
        <v/>
      </c>
      <c r="J199">
        <f>IF($M199="","",IF(INDEX(請求記録!$AK$6:$AK$3005,$M199)="","",INDEX(請求記録!$AK$6:$AK$3005,$M199)))</f>
        <v/>
      </c>
      <c r="K199" s="20">
        <f>IF($M199="","",IF(INDEX(請求記録!$AJ$6:$AJ$3005,$M199)="","",INDEX(請求記録!$AJ$6:$AJ$3005,$M199)))</f>
        <v/>
      </c>
      <c r="L199">
        <f>IF($M199="","",IF(INDEX(請求記録!$AN$6:$AN$3005,$M199)="","",INDEX(請求記録!$AN$6:$AN$3005,$M199)))</f>
        <v/>
      </c>
      <c r="M199">
        <f>IFERROR(MATCH(194,請求記録!$AO$6:$AO$3005,0),"")</f>
        <v/>
      </c>
    </row>
    <row r="200">
      <c r="A200">
        <f>IF($M200="","",195)</f>
        <v/>
      </c>
      <c r="B200">
        <f>IF($M200="","",IF(INDEX(請求記録!$B$6:$B$3005,$M200)="","",INDEX(請求記録!$B$6:$B$3005,$M200)))</f>
        <v/>
      </c>
      <c r="C200">
        <f>IF($M200="","",IF(INDEX(請求記録!$X$6:$X$3005,$M200)="","",INDEX(請求記録!$X$6:$X$3005,$M200)))</f>
        <v/>
      </c>
      <c r="D200">
        <f>IF($M200="","",IF(INDEX(請求記録!$Y$6:$Y$3005,$M200)="","",INDEX(請求記録!$Y$6:$Y$3005,$M200)))</f>
        <v/>
      </c>
      <c r="E200">
        <f>IF($M200="","",IF(INDEX(請求記録!$Z$6:$Z$3005,$M200)="","",INDEX(請求記録!$Z$6:$Z$3005,$M200)))</f>
        <v/>
      </c>
      <c r="F200" s="19">
        <f>IF($M200="","",IF(INDEX(請求記録!$E$6:$E$3005,$M200)="","",INDEX(請求記録!$E$6:$E$3005,$M200)))</f>
        <v/>
      </c>
      <c r="G200" s="19">
        <f>IF($M200="","",IF(INDEX(請求記録!$AE$6:$AE$3005,$M200)="","",INDEX(請求記録!$AE$6:$AE$3005,$M200)))</f>
        <v/>
      </c>
      <c r="H200">
        <f>IF($M200="","",IF(INDEX(請求記録!$AG$6:$AG$3005,$M200)="","",INDEX(請求記録!$AG$6:$AG$3005,$M200)))</f>
        <v/>
      </c>
      <c r="I200" s="20">
        <f>IF($M200="","",IF(INDEX(請求記録!$AH$6:$AH$3005,$M200)="","",INDEX(請求記録!$AH$6:$AH$3005,$M200)))</f>
        <v/>
      </c>
      <c r="J200">
        <f>IF($M200="","",IF(INDEX(請求記録!$AK$6:$AK$3005,$M200)="","",INDEX(請求記録!$AK$6:$AK$3005,$M200)))</f>
        <v/>
      </c>
      <c r="K200" s="20">
        <f>IF($M200="","",IF(INDEX(請求記録!$AJ$6:$AJ$3005,$M200)="","",INDEX(請求記録!$AJ$6:$AJ$3005,$M200)))</f>
        <v/>
      </c>
      <c r="L200">
        <f>IF($M200="","",IF(INDEX(請求記録!$AN$6:$AN$3005,$M200)="","",INDEX(請求記録!$AN$6:$AN$3005,$M200)))</f>
        <v/>
      </c>
      <c r="M200">
        <f>IFERROR(MATCH(195,請求記録!$AO$6:$AO$3005,0),"")</f>
        <v/>
      </c>
    </row>
    <row r="201">
      <c r="A201">
        <f>IF($M201="","",196)</f>
        <v/>
      </c>
      <c r="B201">
        <f>IF($M201="","",IF(INDEX(請求記録!$B$6:$B$3005,$M201)="","",INDEX(請求記録!$B$6:$B$3005,$M201)))</f>
        <v/>
      </c>
      <c r="C201">
        <f>IF($M201="","",IF(INDEX(請求記録!$X$6:$X$3005,$M201)="","",INDEX(請求記録!$X$6:$X$3005,$M201)))</f>
        <v/>
      </c>
      <c r="D201">
        <f>IF($M201="","",IF(INDEX(請求記録!$Y$6:$Y$3005,$M201)="","",INDEX(請求記録!$Y$6:$Y$3005,$M201)))</f>
        <v/>
      </c>
      <c r="E201">
        <f>IF($M201="","",IF(INDEX(請求記録!$Z$6:$Z$3005,$M201)="","",INDEX(請求記録!$Z$6:$Z$3005,$M201)))</f>
        <v/>
      </c>
      <c r="F201" s="19">
        <f>IF($M201="","",IF(INDEX(請求記録!$E$6:$E$3005,$M201)="","",INDEX(請求記録!$E$6:$E$3005,$M201)))</f>
        <v/>
      </c>
      <c r="G201" s="19">
        <f>IF($M201="","",IF(INDEX(請求記録!$AE$6:$AE$3005,$M201)="","",INDEX(請求記録!$AE$6:$AE$3005,$M201)))</f>
        <v/>
      </c>
      <c r="H201">
        <f>IF($M201="","",IF(INDEX(請求記録!$AG$6:$AG$3005,$M201)="","",INDEX(請求記録!$AG$6:$AG$3005,$M201)))</f>
        <v/>
      </c>
      <c r="I201" s="20">
        <f>IF($M201="","",IF(INDEX(請求記録!$AH$6:$AH$3005,$M201)="","",INDEX(請求記録!$AH$6:$AH$3005,$M201)))</f>
        <v/>
      </c>
      <c r="J201">
        <f>IF($M201="","",IF(INDEX(請求記録!$AK$6:$AK$3005,$M201)="","",INDEX(請求記録!$AK$6:$AK$3005,$M201)))</f>
        <v/>
      </c>
      <c r="K201" s="20">
        <f>IF($M201="","",IF(INDEX(請求記録!$AJ$6:$AJ$3005,$M201)="","",INDEX(請求記録!$AJ$6:$AJ$3005,$M201)))</f>
        <v/>
      </c>
      <c r="L201">
        <f>IF($M201="","",IF(INDEX(請求記録!$AN$6:$AN$3005,$M201)="","",INDEX(請求記録!$AN$6:$AN$3005,$M201)))</f>
        <v/>
      </c>
      <c r="M201">
        <f>IFERROR(MATCH(196,請求記録!$AO$6:$AO$3005,0),"")</f>
        <v/>
      </c>
    </row>
    <row r="202">
      <c r="A202">
        <f>IF($M202="","",197)</f>
        <v/>
      </c>
      <c r="B202">
        <f>IF($M202="","",IF(INDEX(請求記録!$B$6:$B$3005,$M202)="","",INDEX(請求記録!$B$6:$B$3005,$M202)))</f>
        <v/>
      </c>
      <c r="C202">
        <f>IF($M202="","",IF(INDEX(請求記録!$X$6:$X$3005,$M202)="","",INDEX(請求記録!$X$6:$X$3005,$M202)))</f>
        <v/>
      </c>
      <c r="D202">
        <f>IF($M202="","",IF(INDEX(請求記録!$Y$6:$Y$3005,$M202)="","",INDEX(請求記録!$Y$6:$Y$3005,$M202)))</f>
        <v/>
      </c>
      <c r="E202">
        <f>IF($M202="","",IF(INDEX(請求記録!$Z$6:$Z$3005,$M202)="","",INDEX(請求記録!$Z$6:$Z$3005,$M202)))</f>
        <v/>
      </c>
      <c r="F202" s="19">
        <f>IF($M202="","",IF(INDEX(請求記録!$E$6:$E$3005,$M202)="","",INDEX(請求記録!$E$6:$E$3005,$M202)))</f>
        <v/>
      </c>
      <c r="G202" s="19">
        <f>IF($M202="","",IF(INDEX(請求記録!$AE$6:$AE$3005,$M202)="","",INDEX(請求記録!$AE$6:$AE$3005,$M202)))</f>
        <v/>
      </c>
      <c r="H202">
        <f>IF($M202="","",IF(INDEX(請求記録!$AG$6:$AG$3005,$M202)="","",INDEX(請求記録!$AG$6:$AG$3005,$M202)))</f>
        <v/>
      </c>
      <c r="I202" s="20">
        <f>IF($M202="","",IF(INDEX(請求記録!$AH$6:$AH$3005,$M202)="","",INDEX(請求記録!$AH$6:$AH$3005,$M202)))</f>
        <v/>
      </c>
      <c r="J202">
        <f>IF($M202="","",IF(INDEX(請求記録!$AK$6:$AK$3005,$M202)="","",INDEX(請求記録!$AK$6:$AK$3005,$M202)))</f>
        <v/>
      </c>
      <c r="K202" s="20">
        <f>IF($M202="","",IF(INDEX(請求記録!$AJ$6:$AJ$3005,$M202)="","",INDEX(請求記録!$AJ$6:$AJ$3005,$M202)))</f>
        <v/>
      </c>
      <c r="L202">
        <f>IF($M202="","",IF(INDEX(請求記録!$AN$6:$AN$3005,$M202)="","",INDEX(請求記録!$AN$6:$AN$3005,$M202)))</f>
        <v/>
      </c>
      <c r="M202">
        <f>IFERROR(MATCH(197,請求記録!$AO$6:$AO$3005,0),"")</f>
        <v/>
      </c>
    </row>
    <row r="203">
      <c r="A203">
        <f>IF($M203="","",198)</f>
        <v/>
      </c>
      <c r="B203">
        <f>IF($M203="","",IF(INDEX(請求記録!$B$6:$B$3005,$M203)="","",INDEX(請求記録!$B$6:$B$3005,$M203)))</f>
        <v/>
      </c>
      <c r="C203">
        <f>IF($M203="","",IF(INDEX(請求記録!$X$6:$X$3005,$M203)="","",INDEX(請求記録!$X$6:$X$3005,$M203)))</f>
        <v/>
      </c>
      <c r="D203">
        <f>IF($M203="","",IF(INDEX(請求記録!$Y$6:$Y$3005,$M203)="","",INDEX(請求記録!$Y$6:$Y$3005,$M203)))</f>
        <v/>
      </c>
      <c r="E203">
        <f>IF($M203="","",IF(INDEX(請求記録!$Z$6:$Z$3005,$M203)="","",INDEX(請求記録!$Z$6:$Z$3005,$M203)))</f>
        <v/>
      </c>
      <c r="F203" s="19">
        <f>IF($M203="","",IF(INDEX(請求記録!$E$6:$E$3005,$M203)="","",INDEX(請求記録!$E$6:$E$3005,$M203)))</f>
        <v/>
      </c>
      <c r="G203" s="19">
        <f>IF($M203="","",IF(INDEX(請求記録!$AE$6:$AE$3005,$M203)="","",INDEX(請求記録!$AE$6:$AE$3005,$M203)))</f>
        <v/>
      </c>
      <c r="H203">
        <f>IF($M203="","",IF(INDEX(請求記録!$AG$6:$AG$3005,$M203)="","",INDEX(請求記録!$AG$6:$AG$3005,$M203)))</f>
        <v/>
      </c>
      <c r="I203" s="20">
        <f>IF($M203="","",IF(INDEX(請求記録!$AH$6:$AH$3005,$M203)="","",INDEX(請求記録!$AH$6:$AH$3005,$M203)))</f>
        <v/>
      </c>
      <c r="J203">
        <f>IF($M203="","",IF(INDEX(請求記録!$AK$6:$AK$3005,$M203)="","",INDEX(請求記録!$AK$6:$AK$3005,$M203)))</f>
        <v/>
      </c>
      <c r="K203" s="20">
        <f>IF($M203="","",IF(INDEX(請求記録!$AJ$6:$AJ$3005,$M203)="","",INDEX(請求記録!$AJ$6:$AJ$3005,$M203)))</f>
        <v/>
      </c>
      <c r="L203">
        <f>IF($M203="","",IF(INDEX(請求記録!$AN$6:$AN$3005,$M203)="","",INDEX(請求記録!$AN$6:$AN$3005,$M203)))</f>
        <v/>
      </c>
      <c r="M203">
        <f>IFERROR(MATCH(198,請求記録!$AO$6:$AO$3005,0),"")</f>
        <v/>
      </c>
    </row>
    <row r="204">
      <c r="A204">
        <f>IF($M204="","",199)</f>
        <v/>
      </c>
      <c r="B204">
        <f>IF($M204="","",IF(INDEX(請求記録!$B$6:$B$3005,$M204)="","",INDEX(請求記録!$B$6:$B$3005,$M204)))</f>
        <v/>
      </c>
      <c r="C204">
        <f>IF($M204="","",IF(INDEX(請求記録!$X$6:$X$3005,$M204)="","",INDEX(請求記録!$X$6:$X$3005,$M204)))</f>
        <v/>
      </c>
      <c r="D204">
        <f>IF($M204="","",IF(INDEX(請求記録!$Y$6:$Y$3005,$M204)="","",INDEX(請求記録!$Y$6:$Y$3005,$M204)))</f>
        <v/>
      </c>
      <c r="E204">
        <f>IF($M204="","",IF(INDEX(請求記録!$Z$6:$Z$3005,$M204)="","",INDEX(請求記録!$Z$6:$Z$3005,$M204)))</f>
        <v/>
      </c>
      <c r="F204" s="19">
        <f>IF($M204="","",IF(INDEX(請求記録!$E$6:$E$3005,$M204)="","",INDEX(請求記録!$E$6:$E$3005,$M204)))</f>
        <v/>
      </c>
      <c r="G204" s="19">
        <f>IF($M204="","",IF(INDEX(請求記録!$AE$6:$AE$3005,$M204)="","",INDEX(請求記録!$AE$6:$AE$3005,$M204)))</f>
        <v/>
      </c>
      <c r="H204">
        <f>IF($M204="","",IF(INDEX(請求記録!$AG$6:$AG$3005,$M204)="","",INDEX(請求記録!$AG$6:$AG$3005,$M204)))</f>
        <v/>
      </c>
      <c r="I204" s="20">
        <f>IF($M204="","",IF(INDEX(請求記録!$AH$6:$AH$3005,$M204)="","",INDEX(請求記録!$AH$6:$AH$3005,$M204)))</f>
        <v/>
      </c>
      <c r="J204">
        <f>IF($M204="","",IF(INDEX(請求記録!$AK$6:$AK$3005,$M204)="","",INDEX(請求記録!$AK$6:$AK$3005,$M204)))</f>
        <v/>
      </c>
      <c r="K204" s="20">
        <f>IF($M204="","",IF(INDEX(請求記録!$AJ$6:$AJ$3005,$M204)="","",INDEX(請求記録!$AJ$6:$AJ$3005,$M204)))</f>
        <v/>
      </c>
      <c r="L204">
        <f>IF($M204="","",IF(INDEX(請求記録!$AN$6:$AN$3005,$M204)="","",INDEX(請求記録!$AN$6:$AN$3005,$M204)))</f>
        <v/>
      </c>
      <c r="M204">
        <f>IFERROR(MATCH(199,請求記録!$AO$6:$AO$3005,0),"")</f>
        <v/>
      </c>
    </row>
    <row r="205">
      <c r="A205">
        <f>IF($M205="","",200)</f>
        <v/>
      </c>
      <c r="B205">
        <f>IF($M205="","",IF(INDEX(請求記録!$B$6:$B$3005,$M205)="","",INDEX(請求記録!$B$6:$B$3005,$M205)))</f>
        <v/>
      </c>
      <c r="C205">
        <f>IF($M205="","",IF(INDEX(請求記録!$X$6:$X$3005,$M205)="","",INDEX(請求記録!$X$6:$X$3005,$M205)))</f>
        <v/>
      </c>
      <c r="D205">
        <f>IF($M205="","",IF(INDEX(請求記録!$Y$6:$Y$3005,$M205)="","",INDEX(請求記録!$Y$6:$Y$3005,$M205)))</f>
        <v/>
      </c>
      <c r="E205">
        <f>IF($M205="","",IF(INDEX(請求記録!$Z$6:$Z$3005,$M205)="","",INDEX(請求記録!$Z$6:$Z$3005,$M205)))</f>
        <v/>
      </c>
      <c r="F205" s="19">
        <f>IF($M205="","",IF(INDEX(請求記録!$E$6:$E$3005,$M205)="","",INDEX(請求記録!$E$6:$E$3005,$M205)))</f>
        <v/>
      </c>
      <c r="G205" s="19">
        <f>IF($M205="","",IF(INDEX(請求記録!$AE$6:$AE$3005,$M205)="","",INDEX(請求記録!$AE$6:$AE$3005,$M205)))</f>
        <v/>
      </c>
      <c r="H205">
        <f>IF($M205="","",IF(INDEX(請求記録!$AG$6:$AG$3005,$M205)="","",INDEX(請求記録!$AG$6:$AG$3005,$M205)))</f>
        <v/>
      </c>
      <c r="I205" s="20">
        <f>IF($M205="","",IF(INDEX(請求記録!$AH$6:$AH$3005,$M205)="","",INDEX(請求記録!$AH$6:$AH$3005,$M205)))</f>
        <v/>
      </c>
      <c r="J205">
        <f>IF($M205="","",IF(INDEX(請求記録!$AK$6:$AK$3005,$M205)="","",INDEX(請求記録!$AK$6:$AK$3005,$M205)))</f>
        <v/>
      </c>
      <c r="K205" s="20">
        <f>IF($M205="","",IF(INDEX(請求記録!$AJ$6:$AJ$3005,$M205)="","",INDEX(請求記録!$AJ$6:$AJ$3005,$M205)))</f>
        <v/>
      </c>
      <c r="L205">
        <f>IF($M205="","",IF(INDEX(請求記録!$AN$6:$AN$3005,$M205)="","",INDEX(請求記録!$AN$6:$AN$3005,$M205)))</f>
        <v/>
      </c>
      <c r="M205">
        <f>IFERROR(MATCH(200,請求記録!$AO$6:$AO$3005,0),"")</f>
        <v/>
      </c>
    </row>
    <row r="208">
      <c r="A208" s="21" t="inlineStr">
        <is>
          <t>▼ 職員単位の保留（請求前の保留：育休期間の変更待ちなど）</t>
        </is>
      </c>
    </row>
    <row r="209" ht="34" customHeight="1">
      <c r="A209" s="9" t="inlineStr">
        <is>
          <t>No</t>
        </is>
      </c>
      <c r="B209" s="9" t="inlineStr">
        <is>
          <t>職員番号</t>
        </is>
      </c>
      <c r="C209" s="9" t="inlineStr">
        <is>
          <t>氏名</t>
        </is>
      </c>
      <c r="D209" s="9" t="inlineStr">
        <is>
          <t>所属</t>
        </is>
      </c>
      <c r="E209" s="9" t="inlineStr">
        <is>
          <t>標準報酬月額</t>
        </is>
      </c>
      <c r="F209" s="9" t="inlineStr">
        <is>
          <t>保留理由</t>
        </is>
      </c>
      <c r="G209" s="9" t="inlineStr">
        <is>
          <t>保留開始日</t>
        </is>
      </c>
      <c r="H209" s="9" t="inlineStr">
        <is>
          <t>経過日数</t>
        </is>
      </c>
      <c r="I209" s="9" t="inlineStr">
        <is>
          <t>職員メモ</t>
        </is>
      </c>
      <c r="J209" s="9" t="inlineStr">
        <is>
          <t>行</t>
        </is>
      </c>
    </row>
    <row r="210">
      <c r="A210">
        <f>IF($J210="","",1)</f>
        <v/>
      </c>
      <c r="B210">
        <f>IF($J210="","",IF(INDEX(職員マスタ!$A$6:$A$405,$J210)="","",INDEX(職員マスタ!$A$6:$A$405,$J210)))</f>
        <v/>
      </c>
      <c r="C210">
        <f>IF($J210="","",IF(INDEX(職員マスタ!$B$6:$B$405,$J210)="","",INDEX(職員マスタ!$B$6:$B$405,$J210)))</f>
        <v/>
      </c>
      <c r="D210">
        <f>IF($J210="","",IF(INDEX(職員マスタ!$C$6:$C$405,$J210)="","",INDEX(職員マスタ!$C$6:$C$405,$J210)))</f>
        <v/>
      </c>
      <c r="E210" s="19">
        <f>IF($J210="","",IF(INDEX(職員マスタ!$K$6:$K$405,$J210)="","",INDEX(職員マスタ!$K$6:$K$405,$J210)))</f>
        <v/>
      </c>
      <c r="F210">
        <f>IF($J210="","",IF(INDEX(職員マスタ!$M$6:$M$405,$J210)="","",INDEX(職員マスタ!$M$6:$M$405,$J210)))</f>
        <v/>
      </c>
      <c r="G210" s="20">
        <f>IF($J210="","",IF(INDEX(職員マスタ!$N$6:$N$405,$J210)="","",INDEX(職員マスタ!$N$6:$N$405,$J210)))</f>
        <v/>
      </c>
      <c r="H210">
        <f>IF(OR($J210="",$G210=""),"",TODAY()-$G210)</f>
        <v/>
      </c>
      <c r="I210">
        <f>IF($J210="","",IF(INDEX(職員マスタ!$L$6:$L$405,$J210)="","",INDEX(職員マスタ!$L$6:$L$405,$J210)))</f>
        <v/>
      </c>
      <c r="J210">
        <f>IFERROR(MATCH(1,職員マスタ!$Q$6:$Q$405,0),"")</f>
        <v/>
      </c>
    </row>
    <row r="211">
      <c r="A211">
        <f>IF($J211="","",2)</f>
        <v/>
      </c>
      <c r="B211">
        <f>IF($J211="","",IF(INDEX(職員マスタ!$A$6:$A$405,$J211)="","",INDEX(職員マスタ!$A$6:$A$405,$J211)))</f>
        <v/>
      </c>
      <c r="C211">
        <f>IF($J211="","",IF(INDEX(職員マスタ!$B$6:$B$405,$J211)="","",INDEX(職員マスタ!$B$6:$B$405,$J211)))</f>
        <v/>
      </c>
      <c r="D211">
        <f>IF($J211="","",IF(INDEX(職員マスタ!$C$6:$C$405,$J211)="","",INDEX(職員マスタ!$C$6:$C$405,$J211)))</f>
        <v/>
      </c>
      <c r="E211" s="19">
        <f>IF($J211="","",IF(INDEX(職員マスタ!$K$6:$K$405,$J211)="","",INDEX(職員マスタ!$K$6:$K$405,$J211)))</f>
        <v/>
      </c>
      <c r="F211">
        <f>IF($J211="","",IF(INDEX(職員マスタ!$M$6:$M$405,$J211)="","",INDEX(職員マスタ!$M$6:$M$405,$J211)))</f>
        <v/>
      </c>
      <c r="G211" s="20">
        <f>IF($J211="","",IF(INDEX(職員マスタ!$N$6:$N$405,$J211)="","",INDEX(職員マスタ!$N$6:$N$405,$J211)))</f>
        <v/>
      </c>
      <c r="H211">
        <f>IF(OR($J211="",$G211=""),"",TODAY()-$G211)</f>
        <v/>
      </c>
      <c r="I211">
        <f>IF($J211="","",IF(INDEX(職員マスタ!$L$6:$L$405,$J211)="","",INDEX(職員マスタ!$L$6:$L$405,$J211)))</f>
        <v/>
      </c>
      <c r="J211">
        <f>IFERROR(MATCH(2,職員マスタ!$Q$6:$Q$405,0),"")</f>
        <v/>
      </c>
    </row>
    <row r="212">
      <c r="A212">
        <f>IF($J212="","",3)</f>
        <v/>
      </c>
      <c r="B212">
        <f>IF($J212="","",IF(INDEX(職員マスタ!$A$6:$A$405,$J212)="","",INDEX(職員マスタ!$A$6:$A$405,$J212)))</f>
        <v/>
      </c>
      <c r="C212">
        <f>IF($J212="","",IF(INDEX(職員マスタ!$B$6:$B$405,$J212)="","",INDEX(職員マスタ!$B$6:$B$405,$J212)))</f>
        <v/>
      </c>
      <c r="D212">
        <f>IF($J212="","",IF(INDEX(職員マスタ!$C$6:$C$405,$J212)="","",INDEX(職員マスタ!$C$6:$C$405,$J212)))</f>
        <v/>
      </c>
      <c r="E212" s="19">
        <f>IF($J212="","",IF(INDEX(職員マスタ!$K$6:$K$405,$J212)="","",INDEX(職員マスタ!$K$6:$K$405,$J212)))</f>
        <v/>
      </c>
      <c r="F212">
        <f>IF($J212="","",IF(INDEX(職員マスタ!$M$6:$M$405,$J212)="","",INDEX(職員マスタ!$M$6:$M$405,$J212)))</f>
        <v/>
      </c>
      <c r="G212" s="20">
        <f>IF($J212="","",IF(INDEX(職員マスタ!$N$6:$N$405,$J212)="","",INDEX(職員マスタ!$N$6:$N$405,$J212)))</f>
        <v/>
      </c>
      <c r="H212">
        <f>IF(OR($J212="",$G212=""),"",TODAY()-$G212)</f>
        <v/>
      </c>
      <c r="I212">
        <f>IF($J212="","",IF(INDEX(職員マスタ!$L$6:$L$405,$J212)="","",INDEX(職員マスタ!$L$6:$L$405,$J212)))</f>
        <v/>
      </c>
      <c r="J212">
        <f>IFERROR(MATCH(3,職員マスタ!$Q$6:$Q$405,0),"")</f>
        <v/>
      </c>
    </row>
    <row r="213">
      <c r="A213">
        <f>IF($J213="","",4)</f>
        <v/>
      </c>
      <c r="B213">
        <f>IF($J213="","",IF(INDEX(職員マスタ!$A$6:$A$405,$J213)="","",INDEX(職員マスタ!$A$6:$A$405,$J213)))</f>
        <v/>
      </c>
      <c r="C213">
        <f>IF($J213="","",IF(INDEX(職員マスタ!$B$6:$B$405,$J213)="","",INDEX(職員マスタ!$B$6:$B$405,$J213)))</f>
        <v/>
      </c>
      <c r="D213">
        <f>IF($J213="","",IF(INDEX(職員マスタ!$C$6:$C$405,$J213)="","",INDEX(職員マスタ!$C$6:$C$405,$J213)))</f>
        <v/>
      </c>
      <c r="E213" s="19">
        <f>IF($J213="","",IF(INDEX(職員マスタ!$K$6:$K$405,$J213)="","",INDEX(職員マスタ!$K$6:$K$405,$J213)))</f>
        <v/>
      </c>
      <c r="F213">
        <f>IF($J213="","",IF(INDEX(職員マスタ!$M$6:$M$405,$J213)="","",INDEX(職員マスタ!$M$6:$M$405,$J213)))</f>
        <v/>
      </c>
      <c r="G213" s="20">
        <f>IF($J213="","",IF(INDEX(職員マスタ!$N$6:$N$405,$J213)="","",INDEX(職員マスタ!$N$6:$N$405,$J213)))</f>
        <v/>
      </c>
      <c r="H213">
        <f>IF(OR($J213="",$G213=""),"",TODAY()-$G213)</f>
        <v/>
      </c>
      <c r="I213">
        <f>IF($J213="","",IF(INDEX(職員マスタ!$L$6:$L$405,$J213)="","",INDEX(職員マスタ!$L$6:$L$405,$J213)))</f>
        <v/>
      </c>
      <c r="J213">
        <f>IFERROR(MATCH(4,職員マスタ!$Q$6:$Q$405,0),"")</f>
        <v/>
      </c>
    </row>
    <row r="214">
      <c r="A214">
        <f>IF($J214="","",5)</f>
        <v/>
      </c>
      <c r="B214">
        <f>IF($J214="","",IF(INDEX(職員マスタ!$A$6:$A$405,$J214)="","",INDEX(職員マスタ!$A$6:$A$405,$J214)))</f>
        <v/>
      </c>
      <c r="C214">
        <f>IF($J214="","",IF(INDEX(職員マスタ!$B$6:$B$405,$J214)="","",INDEX(職員マスタ!$B$6:$B$405,$J214)))</f>
        <v/>
      </c>
      <c r="D214">
        <f>IF($J214="","",IF(INDEX(職員マスタ!$C$6:$C$405,$J214)="","",INDEX(職員マスタ!$C$6:$C$405,$J214)))</f>
        <v/>
      </c>
      <c r="E214" s="19">
        <f>IF($J214="","",IF(INDEX(職員マスタ!$K$6:$K$405,$J214)="","",INDEX(職員マスタ!$K$6:$K$405,$J214)))</f>
        <v/>
      </c>
      <c r="F214">
        <f>IF($J214="","",IF(INDEX(職員マスタ!$M$6:$M$405,$J214)="","",INDEX(職員マスタ!$M$6:$M$405,$J214)))</f>
        <v/>
      </c>
      <c r="G214" s="20">
        <f>IF($J214="","",IF(INDEX(職員マスタ!$N$6:$N$405,$J214)="","",INDEX(職員マスタ!$N$6:$N$405,$J214)))</f>
        <v/>
      </c>
      <c r="H214">
        <f>IF(OR($J214="",$G214=""),"",TODAY()-$G214)</f>
        <v/>
      </c>
      <c r="I214">
        <f>IF($J214="","",IF(INDEX(職員マスタ!$L$6:$L$405,$J214)="","",INDEX(職員マスタ!$L$6:$L$405,$J214)))</f>
        <v/>
      </c>
      <c r="J214">
        <f>IFERROR(MATCH(5,職員マスタ!$Q$6:$Q$405,0),"")</f>
        <v/>
      </c>
    </row>
    <row r="215">
      <c r="A215">
        <f>IF($J215="","",6)</f>
        <v/>
      </c>
      <c r="B215">
        <f>IF($J215="","",IF(INDEX(職員マスタ!$A$6:$A$405,$J215)="","",INDEX(職員マスタ!$A$6:$A$405,$J215)))</f>
        <v/>
      </c>
      <c r="C215">
        <f>IF($J215="","",IF(INDEX(職員マスタ!$B$6:$B$405,$J215)="","",INDEX(職員マスタ!$B$6:$B$405,$J215)))</f>
        <v/>
      </c>
      <c r="D215">
        <f>IF($J215="","",IF(INDEX(職員マスタ!$C$6:$C$405,$J215)="","",INDEX(職員マスタ!$C$6:$C$405,$J215)))</f>
        <v/>
      </c>
      <c r="E215" s="19">
        <f>IF($J215="","",IF(INDEX(職員マスタ!$K$6:$K$405,$J215)="","",INDEX(職員マスタ!$K$6:$K$405,$J215)))</f>
        <v/>
      </c>
      <c r="F215">
        <f>IF($J215="","",IF(INDEX(職員マスタ!$M$6:$M$405,$J215)="","",INDEX(職員マスタ!$M$6:$M$405,$J215)))</f>
        <v/>
      </c>
      <c r="G215" s="20">
        <f>IF($J215="","",IF(INDEX(職員マスタ!$N$6:$N$405,$J215)="","",INDEX(職員マスタ!$N$6:$N$405,$J215)))</f>
        <v/>
      </c>
      <c r="H215">
        <f>IF(OR($J215="",$G215=""),"",TODAY()-$G215)</f>
        <v/>
      </c>
      <c r="I215">
        <f>IF($J215="","",IF(INDEX(職員マスタ!$L$6:$L$405,$J215)="","",INDEX(職員マスタ!$L$6:$L$405,$J215)))</f>
        <v/>
      </c>
      <c r="J215">
        <f>IFERROR(MATCH(6,職員マスタ!$Q$6:$Q$405,0),"")</f>
        <v/>
      </c>
    </row>
    <row r="216">
      <c r="A216">
        <f>IF($J216="","",7)</f>
        <v/>
      </c>
      <c r="B216">
        <f>IF($J216="","",IF(INDEX(職員マスタ!$A$6:$A$405,$J216)="","",INDEX(職員マスタ!$A$6:$A$405,$J216)))</f>
        <v/>
      </c>
      <c r="C216">
        <f>IF($J216="","",IF(INDEX(職員マスタ!$B$6:$B$405,$J216)="","",INDEX(職員マスタ!$B$6:$B$405,$J216)))</f>
        <v/>
      </c>
      <c r="D216">
        <f>IF($J216="","",IF(INDEX(職員マスタ!$C$6:$C$405,$J216)="","",INDEX(職員マスタ!$C$6:$C$405,$J216)))</f>
        <v/>
      </c>
      <c r="E216" s="19">
        <f>IF($J216="","",IF(INDEX(職員マスタ!$K$6:$K$405,$J216)="","",INDEX(職員マスタ!$K$6:$K$405,$J216)))</f>
        <v/>
      </c>
      <c r="F216">
        <f>IF($J216="","",IF(INDEX(職員マスタ!$M$6:$M$405,$J216)="","",INDEX(職員マスタ!$M$6:$M$405,$J216)))</f>
        <v/>
      </c>
      <c r="G216" s="20">
        <f>IF($J216="","",IF(INDEX(職員マスタ!$N$6:$N$405,$J216)="","",INDEX(職員マスタ!$N$6:$N$405,$J216)))</f>
        <v/>
      </c>
      <c r="H216">
        <f>IF(OR($J216="",$G216=""),"",TODAY()-$G216)</f>
        <v/>
      </c>
      <c r="I216">
        <f>IF($J216="","",IF(INDEX(職員マスタ!$L$6:$L$405,$J216)="","",INDEX(職員マスタ!$L$6:$L$405,$J216)))</f>
        <v/>
      </c>
      <c r="J216">
        <f>IFERROR(MATCH(7,職員マスタ!$Q$6:$Q$405,0),"")</f>
        <v/>
      </c>
    </row>
    <row r="217">
      <c r="A217">
        <f>IF($J217="","",8)</f>
        <v/>
      </c>
      <c r="B217">
        <f>IF($J217="","",IF(INDEX(職員マスタ!$A$6:$A$405,$J217)="","",INDEX(職員マスタ!$A$6:$A$405,$J217)))</f>
        <v/>
      </c>
      <c r="C217">
        <f>IF($J217="","",IF(INDEX(職員マスタ!$B$6:$B$405,$J217)="","",INDEX(職員マスタ!$B$6:$B$405,$J217)))</f>
        <v/>
      </c>
      <c r="D217">
        <f>IF($J217="","",IF(INDEX(職員マスタ!$C$6:$C$405,$J217)="","",INDEX(職員マスタ!$C$6:$C$405,$J217)))</f>
        <v/>
      </c>
      <c r="E217" s="19">
        <f>IF($J217="","",IF(INDEX(職員マスタ!$K$6:$K$405,$J217)="","",INDEX(職員マスタ!$K$6:$K$405,$J217)))</f>
        <v/>
      </c>
      <c r="F217">
        <f>IF($J217="","",IF(INDEX(職員マスタ!$M$6:$M$405,$J217)="","",INDEX(職員マスタ!$M$6:$M$405,$J217)))</f>
        <v/>
      </c>
      <c r="G217" s="20">
        <f>IF($J217="","",IF(INDEX(職員マスタ!$N$6:$N$405,$J217)="","",INDEX(職員マスタ!$N$6:$N$405,$J217)))</f>
        <v/>
      </c>
      <c r="H217">
        <f>IF(OR($J217="",$G217=""),"",TODAY()-$G217)</f>
        <v/>
      </c>
      <c r="I217">
        <f>IF($J217="","",IF(INDEX(職員マスタ!$L$6:$L$405,$J217)="","",INDEX(職員マスタ!$L$6:$L$405,$J217)))</f>
        <v/>
      </c>
      <c r="J217">
        <f>IFERROR(MATCH(8,職員マスタ!$Q$6:$Q$405,0),"")</f>
        <v/>
      </c>
    </row>
    <row r="218">
      <c r="A218">
        <f>IF($J218="","",9)</f>
        <v/>
      </c>
      <c r="B218">
        <f>IF($J218="","",IF(INDEX(職員マスタ!$A$6:$A$405,$J218)="","",INDEX(職員マスタ!$A$6:$A$405,$J218)))</f>
        <v/>
      </c>
      <c r="C218">
        <f>IF($J218="","",IF(INDEX(職員マスタ!$B$6:$B$405,$J218)="","",INDEX(職員マスタ!$B$6:$B$405,$J218)))</f>
        <v/>
      </c>
      <c r="D218">
        <f>IF($J218="","",IF(INDEX(職員マスタ!$C$6:$C$405,$J218)="","",INDEX(職員マスタ!$C$6:$C$405,$J218)))</f>
        <v/>
      </c>
      <c r="E218" s="19">
        <f>IF($J218="","",IF(INDEX(職員マスタ!$K$6:$K$405,$J218)="","",INDEX(職員マスタ!$K$6:$K$405,$J218)))</f>
        <v/>
      </c>
      <c r="F218">
        <f>IF($J218="","",IF(INDEX(職員マスタ!$M$6:$M$405,$J218)="","",INDEX(職員マスタ!$M$6:$M$405,$J218)))</f>
        <v/>
      </c>
      <c r="G218" s="20">
        <f>IF($J218="","",IF(INDEX(職員マスタ!$N$6:$N$405,$J218)="","",INDEX(職員マスタ!$N$6:$N$405,$J218)))</f>
        <v/>
      </c>
      <c r="H218">
        <f>IF(OR($J218="",$G218=""),"",TODAY()-$G218)</f>
        <v/>
      </c>
      <c r="I218">
        <f>IF($J218="","",IF(INDEX(職員マスタ!$L$6:$L$405,$J218)="","",INDEX(職員マスタ!$L$6:$L$405,$J218)))</f>
        <v/>
      </c>
      <c r="J218">
        <f>IFERROR(MATCH(9,職員マスタ!$Q$6:$Q$405,0),"")</f>
        <v/>
      </c>
    </row>
    <row r="219">
      <c r="A219">
        <f>IF($J219="","",10)</f>
        <v/>
      </c>
      <c r="B219">
        <f>IF($J219="","",IF(INDEX(職員マスタ!$A$6:$A$405,$J219)="","",INDEX(職員マスタ!$A$6:$A$405,$J219)))</f>
        <v/>
      </c>
      <c r="C219">
        <f>IF($J219="","",IF(INDEX(職員マスタ!$B$6:$B$405,$J219)="","",INDEX(職員マスタ!$B$6:$B$405,$J219)))</f>
        <v/>
      </c>
      <c r="D219">
        <f>IF($J219="","",IF(INDEX(職員マスタ!$C$6:$C$405,$J219)="","",INDEX(職員マスタ!$C$6:$C$405,$J219)))</f>
        <v/>
      </c>
      <c r="E219" s="19">
        <f>IF($J219="","",IF(INDEX(職員マスタ!$K$6:$K$405,$J219)="","",INDEX(職員マスタ!$K$6:$K$405,$J219)))</f>
        <v/>
      </c>
      <c r="F219">
        <f>IF($J219="","",IF(INDEX(職員マスタ!$M$6:$M$405,$J219)="","",INDEX(職員マスタ!$M$6:$M$405,$J219)))</f>
        <v/>
      </c>
      <c r="G219" s="20">
        <f>IF($J219="","",IF(INDEX(職員マスタ!$N$6:$N$405,$J219)="","",INDEX(職員マスタ!$N$6:$N$405,$J219)))</f>
        <v/>
      </c>
      <c r="H219">
        <f>IF(OR($J219="",$G219=""),"",TODAY()-$G219)</f>
        <v/>
      </c>
      <c r="I219">
        <f>IF($J219="","",IF(INDEX(職員マスタ!$L$6:$L$405,$J219)="","",INDEX(職員マスタ!$L$6:$L$405,$J219)))</f>
        <v/>
      </c>
      <c r="J219">
        <f>IFERROR(MATCH(10,職員マスタ!$Q$6:$Q$405,0),"")</f>
        <v/>
      </c>
    </row>
    <row r="220">
      <c r="A220">
        <f>IF($J220="","",11)</f>
        <v/>
      </c>
      <c r="B220">
        <f>IF($J220="","",IF(INDEX(職員マスタ!$A$6:$A$405,$J220)="","",INDEX(職員マスタ!$A$6:$A$405,$J220)))</f>
        <v/>
      </c>
      <c r="C220">
        <f>IF($J220="","",IF(INDEX(職員マスタ!$B$6:$B$405,$J220)="","",INDEX(職員マスタ!$B$6:$B$405,$J220)))</f>
        <v/>
      </c>
      <c r="D220">
        <f>IF($J220="","",IF(INDEX(職員マスタ!$C$6:$C$405,$J220)="","",INDEX(職員マスタ!$C$6:$C$405,$J220)))</f>
        <v/>
      </c>
      <c r="E220" s="19">
        <f>IF($J220="","",IF(INDEX(職員マスタ!$K$6:$K$405,$J220)="","",INDEX(職員マスタ!$K$6:$K$405,$J220)))</f>
        <v/>
      </c>
      <c r="F220">
        <f>IF($J220="","",IF(INDEX(職員マスタ!$M$6:$M$405,$J220)="","",INDEX(職員マスタ!$M$6:$M$405,$J220)))</f>
        <v/>
      </c>
      <c r="G220" s="20">
        <f>IF($J220="","",IF(INDEX(職員マスタ!$N$6:$N$405,$J220)="","",INDEX(職員マスタ!$N$6:$N$405,$J220)))</f>
        <v/>
      </c>
      <c r="H220">
        <f>IF(OR($J220="",$G220=""),"",TODAY()-$G220)</f>
        <v/>
      </c>
      <c r="I220">
        <f>IF($J220="","",IF(INDEX(職員マスタ!$L$6:$L$405,$J220)="","",INDEX(職員マスタ!$L$6:$L$405,$J220)))</f>
        <v/>
      </c>
      <c r="J220">
        <f>IFERROR(MATCH(11,職員マスタ!$Q$6:$Q$405,0),"")</f>
        <v/>
      </c>
    </row>
    <row r="221">
      <c r="A221">
        <f>IF($J221="","",12)</f>
        <v/>
      </c>
      <c r="B221">
        <f>IF($J221="","",IF(INDEX(職員マスタ!$A$6:$A$405,$J221)="","",INDEX(職員マスタ!$A$6:$A$405,$J221)))</f>
        <v/>
      </c>
      <c r="C221">
        <f>IF($J221="","",IF(INDEX(職員マスタ!$B$6:$B$405,$J221)="","",INDEX(職員マスタ!$B$6:$B$405,$J221)))</f>
        <v/>
      </c>
      <c r="D221">
        <f>IF($J221="","",IF(INDEX(職員マスタ!$C$6:$C$405,$J221)="","",INDEX(職員マスタ!$C$6:$C$405,$J221)))</f>
        <v/>
      </c>
      <c r="E221" s="19">
        <f>IF($J221="","",IF(INDEX(職員マスタ!$K$6:$K$405,$J221)="","",INDEX(職員マスタ!$K$6:$K$405,$J221)))</f>
        <v/>
      </c>
      <c r="F221">
        <f>IF($J221="","",IF(INDEX(職員マスタ!$M$6:$M$405,$J221)="","",INDEX(職員マスタ!$M$6:$M$405,$J221)))</f>
        <v/>
      </c>
      <c r="G221" s="20">
        <f>IF($J221="","",IF(INDEX(職員マスタ!$N$6:$N$405,$J221)="","",INDEX(職員マスタ!$N$6:$N$405,$J221)))</f>
        <v/>
      </c>
      <c r="H221">
        <f>IF(OR($J221="",$G221=""),"",TODAY()-$G221)</f>
        <v/>
      </c>
      <c r="I221">
        <f>IF($J221="","",IF(INDEX(職員マスタ!$L$6:$L$405,$J221)="","",INDEX(職員マスタ!$L$6:$L$405,$J221)))</f>
        <v/>
      </c>
      <c r="J221">
        <f>IFERROR(MATCH(12,職員マスタ!$Q$6:$Q$405,0),"")</f>
        <v/>
      </c>
    </row>
    <row r="222">
      <c r="A222">
        <f>IF($J222="","",13)</f>
        <v/>
      </c>
      <c r="B222">
        <f>IF($J222="","",IF(INDEX(職員マスタ!$A$6:$A$405,$J222)="","",INDEX(職員マスタ!$A$6:$A$405,$J222)))</f>
        <v/>
      </c>
      <c r="C222">
        <f>IF($J222="","",IF(INDEX(職員マスタ!$B$6:$B$405,$J222)="","",INDEX(職員マスタ!$B$6:$B$405,$J222)))</f>
        <v/>
      </c>
      <c r="D222">
        <f>IF($J222="","",IF(INDEX(職員マスタ!$C$6:$C$405,$J222)="","",INDEX(職員マスタ!$C$6:$C$405,$J222)))</f>
        <v/>
      </c>
      <c r="E222" s="19">
        <f>IF($J222="","",IF(INDEX(職員マスタ!$K$6:$K$405,$J222)="","",INDEX(職員マスタ!$K$6:$K$405,$J222)))</f>
        <v/>
      </c>
      <c r="F222">
        <f>IF($J222="","",IF(INDEX(職員マスタ!$M$6:$M$405,$J222)="","",INDEX(職員マスタ!$M$6:$M$405,$J222)))</f>
        <v/>
      </c>
      <c r="G222" s="20">
        <f>IF($J222="","",IF(INDEX(職員マスタ!$N$6:$N$405,$J222)="","",INDEX(職員マスタ!$N$6:$N$405,$J222)))</f>
        <v/>
      </c>
      <c r="H222">
        <f>IF(OR($J222="",$G222=""),"",TODAY()-$G222)</f>
        <v/>
      </c>
      <c r="I222">
        <f>IF($J222="","",IF(INDEX(職員マスタ!$L$6:$L$405,$J222)="","",INDEX(職員マスタ!$L$6:$L$405,$J222)))</f>
        <v/>
      </c>
      <c r="J222">
        <f>IFERROR(MATCH(13,職員マスタ!$Q$6:$Q$405,0),"")</f>
        <v/>
      </c>
    </row>
    <row r="223">
      <c r="A223">
        <f>IF($J223="","",14)</f>
        <v/>
      </c>
      <c r="B223">
        <f>IF($J223="","",IF(INDEX(職員マスタ!$A$6:$A$405,$J223)="","",INDEX(職員マスタ!$A$6:$A$405,$J223)))</f>
        <v/>
      </c>
      <c r="C223">
        <f>IF($J223="","",IF(INDEX(職員マスタ!$B$6:$B$405,$J223)="","",INDEX(職員マスタ!$B$6:$B$405,$J223)))</f>
        <v/>
      </c>
      <c r="D223">
        <f>IF($J223="","",IF(INDEX(職員マスタ!$C$6:$C$405,$J223)="","",INDEX(職員マスタ!$C$6:$C$405,$J223)))</f>
        <v/>
      </c>
      <c r="E223" s="19">
        <f>IF($J223="","",IF(INDEX(職員マスタ!$K$6:$K$405,$J223)="","",INDEX(職員マスタ!$K$6:$K$405,$J223)))</f>
        <v/>
      </c>
      <c r="F223">
        <f>IF($J223="","",IF(INDEX(職員マスタ!$M$6:$M$405,$J223)="","",INDEX(職員マスタ!$M$6:$M$405,$J223)))</f>
        <v/>
      </c>
      <c r="G223" s="20">
        <f>IF($J223="","",IF(INDEX(職員マスタ!$N$6:$N$405,$J223)="","",INDEX(職員マスタ!$N$6:$N$405,$J223)))</f>
        <v/>
      </c>
      <c r="H223">
        <f>IF(OR($J223="",$G223=""),"",TODAY()-$G223)</f>
        <v/>
      </c>
      <c r="I223">
        <f>IF($J223="","",IF(INDEX(職員マスタ!$L$6:$L$405,$J223)="","",INDEX(職員マスタ!$L$6:$L$405,$J223)))</f>
        <v/>
      </c>
      <c r="J223">
        <f>IFERROR(MATCH(14,職員マスタ!$Q$6:$Q$405,0),"")</f>
        <v/>
      </c>
    </row>
    <row r="224">
      <c r="A224">
        <f>IF($J224="","",15)</f>
        <v/>
      </c>
      <c r="B224">
        <f>IF($J224="","",IF(INDEX(職員マスタ!$A$6:$A$405,$J224)="","",INDEX(職員マスタ!$A$6:$A$405,$J224)))</f>
        <v/>
      </c>
      <c r="C224">
        <f>IF($J224="","",IF(INDEX(職員マスタ!$B$6:$B$405,$J224)="","",INDEX(職員マスタ!$B$6:$B$405,$J224)))</f>
        <v/>
      </c>
      <c r="D224">
        <f>IF($J224="","",IF(INDEX(職員マスタ!$C$6:$C$405,$J224)="","",INDEX(職員マスタ!$C$6:$C$405,$J224)))</f>
        <v/>
      </c>
      <c r="E224" s="19">
        <f>IF($J224="","",IF(INDEX(職員マスタ!$K$6:$K$405,$J224)="","",INDEX(職員マスタ!$K$6:$K$405,$J224)))</f>
        <v/>
      </c>
      <c r="F224">
        <f>IF($J224="","",IF(INDEX(職員マスタ!$M$6:$M$405,$J224)="","",INDEX(職員マスタ!$M$6:$M$405,$J224)))</f>
        <v/>
      </c>
      <c r="G224" s="20">
        <f>IF($J224="","",IF(INDEX(職員マスタ!$N$6:$N$405,$J224)="","",INDEX(職員マスタ!$N$6:$N$405,$J224)))</f>
        <v/>
      </c>
      <c r="H224">
        <f>IF(OR($J224="",$G224=""),"",TODAY()-$G224)</f>
        <v/>
      </c>
      <c r="I224">
        <f>IF($J224="","",IF(INDEX(職員マスタ!$L$6:$L$405,$J224)="","",INDEX(職員マスタ!$L$6:$L$405,$J224)))</f>
        <v/>
      </c>
      <c r="J224">
        <f>IFERROR(MATCH(15,職員マスタ!$Q$6:$Q$405,0),"")</f>
        <v/>
      </c>
    </row>
    <row r="225">
      <c r="A225">
        <f>IF($J225="","",16)</f>
        <v/>
      </c>
      <c r="B225">
        <f>IF($J225="","",IF(INDEX(職員マスタ!$A$6:$A$405,$J225)="","",INDEX(職員マスタ!$A$6:$A$405,$J225)))</f>
        <v/>
      </c>
      <c r="C225">
        <f>IF($J225="","",IF(INDEX(職員マスタ!$B$6:$B$405,$J225)="","",INDEX(職員マスタ!$B$6:$B$405,$J225)))</f>
        <v/>
      </c>
      <c r="D225">
        <f>IF($J225="","",IF(INDEX(職員マスタ!$C$6:$C$405,$J225)="","",INDEX(職員マスタ!$C$6:$C$405,$J225)))</f>
        <v/>
      </c>
      <c r="E225" s="19">
        <f>IF($J225="","",IF(INDEX(職員マスタ!$K$6:$K$405,$J225)="","",INDEX(職員マスタ!$K$6:$K$405,$J225)))</f>
        <v/>
      </c>
      <c r="F225">
        <f>IF($J225="","",IF(INDEX(職員マスタ!$M$6:$M$405,$J225)="","",INDEX(職員マスタ!$M$6:$M$405,$J225)))</f>
        <v/>
      </c>
      <c r="G225" s="20">
        <f>IF($J225="","",IF(INDEX(職員マスタ!$N$6:$N$405,$J225)="","",INDEX(職員マスタ!$N$6:$N$405,$J225)))</f>
        <v/>
      </c>
      <c r="H225">
        <f>IF(OR($J225="",$G225=""),"",TODAY()-$G225)</f>
        <v/>
      </c>
      <c r="I225">
        <f>IF($J225="","",IF(INDEX(職員マスタ!$L$6:$L$405,$J225)="","",INDEX(職員マスタ!$L$6:$L$405,$J225)))</f>
        <v/>
      </c>
      <c r="J225">
        <f>IFERROR(MATCH(16,職員マスタ!$Q$6:$Q$405,0),"")</f>
        <v/>
      </c>
    </row>
    <row r="226">
      <c r="A226">
        <f>IF($J226="","",17)</f>
        <v/>
      </c>
      <c r="B226">
        <f>IF($J226="","",IF(INDEX(職員マスタ!$A$6:$A$405,$J226)="","",INDEX(職員マスタ!$A$6:$A$405,$J226)))</f>
        <v/>
      </c>
      <c r="C226">
        <f>IF($J226="","",IF(INDEX(職員マスタ!$B$6:$B$405,$J226)="","",INDEX(職員マスタ!$B$6:$B$405,$J226)))</f>
        <v/>
      </c>
      <c r="D226">
        <f>IF($J226="","",IF(INDEX(職員マスタ!$C$6:$C$405,$J226)="","",INDEX(職員マスタ!$C$6:$C$405,$J226)))</f>
        <v/>
      </c>
      <c r="E226" s="19">
        <f>IF($J226="","",IF(INDEX(職員マスタ!$K$6:$K$405,$J226)="","",INDEX(職員マスタ!$K$6:$K$405,$J226)))</f>
        <v/>
      </c>
      <c r="F226">
        <f>IF($J226="","",IF(INDEX(職員マスタ!$M$6:$M$405,$J226)="","",INDEX(職員マスタ!$M$6:$M$405,$J226)))</f>
        <v/>
      </c>
      <c r="G226" s="20">
        <f>IF($J226="","",IF(INDEX(職員マスタ!$N$6:$N$405,$J226)="","",INDEX(職員マスタ!$N$6:$N$405,$J226)))</f>
        <v/>
      </c>
      <c r="H226">
        <f>IF(OR($J226="",$G226=""),"",TODAY()-$G226)</f>
        <v/>
      </c>
      <c r="I226">
        <f>IF($J226="","",IF(INDEX(職員マスタ!$L$6:$L$405,$J226)="","",INDEX(職員マスタ!$L$6:$L$405,$J226)))</f>
        <v/>
      </c>
      <c r="J226">
        <f>IFERROR(MATCH(17,職員マスタ!$Q$6:$Q$405,0),"")</f>
        <v/>
      </c>
    </row>
    <row r="227">
      <c r="A227">
        <f>IF($J227="","",18)</f>
        <v/>
      </c>
      <c r="B227">
        <f>IF($J227="","",IF(INDEX(職員マスタ!$A$6:$A$405,$J227)="","",INDEX(職員マスタ!$A$6:$A$405,$J227)))</f>
        <v/>
      </c>
      <c r="C227">
        <f>IF($J227="","",IF(INDEX(職員マスタ!$B$6:$B$405,$J227)="","",INDEX(職員マスタ!$B$6:$B$405,$J227)))</f>
        <v/>
      </c>
      <c r="D227">
        <f>IF($J227="","",IF(INDEX(職員マスタ!$C$6:$C$405,$J227)="","",INDEX(職員マスタ!$C$6:$C$405,$J227)))</f>
        <v/>
      </c>
      <c r="E227" s="19">
        <f>IF($J227="","",IF(INDEX(職員マスタ!$K$6:$K$405,$J227)="","",INDEX(職員マスタ!$K$6:$K$405,$J227)))</f>
        <v/>
      </c>
      <c r="F227">
        <f>IF($J227="","",IF(INDEX(職員マスタ!$M$6:$M$405,$J227)="","",INDEX(職員マスタ!$M$6:$M$405,$J227)))</f>
        <v/>
      </c>
      <c r="G227" s="20">
        <f>IF($J227="","",IF(INDEX(職員マスタ!$N$6:$N$405,$J227)="","",INDEX(職員マスタ!$N$6:$N$405,$J227)))</f>
        <v/>
      </c>
      <c r="H227">
        <f>IF(OR($J227="",$G227=""),"",TODAY()-$G227)</f>
        <v/>
      </c>
      <c r="I227">
        <f>IF($J227="","",IF(INDEX(職員マスタ!$L$6:$L$405,$J227)="","",INDEX(職員マスタ!$L$6:$L$405,$J227)))</f>
        <v/>
      </c>
      <c r="J227">
        <f>IFERROR(MATCH(18,職員マスタ!$Q$6:$Q$405,0),"")</f>
        <v/>
      </c>
    </row>
    <row r="228">
      <c r="A228">
        <f>IF($J228="","",19)</f>
        <v/>
      </c>
      <c r="B228">
        <f>IF($J228="","",IF(INDEX(職員マスタ!$A$6:$A$405,$J228)="","",INDEX(職員マスタ!$A$6:$A$405,$J228)))</f>
        <v/>
      </c>
      <c r="C228">
        <f>IF($J228="","",IF(INDEX(職員マスタ!$B$6:$B$405,$J228)="","",INDEX(職員マスタ!$B$6:$B$405,$J228)))</f>
        <v/>
      </c>
      <c r="D228">
        <f>IF($J228="","",IF(INDEX(職員マスタ!$C$6:$C$405,$J228)="","",INDEX(職員マスタ!$C$6:$C$405,$J228)))</f>
        <v/>
      </c>
      <c r="E228" s="19">
        <f>IF($J228="","",IF(INDEX(職員マスタ!$K$6:$K$405,$J228)="","",INDEX(職員マスタ!$K$6:$K$405,$J228)))</f>
        <v/>
      </c>
      <c r="F228">
        <f>IF($J228="","",IF(INDEX(職員マスタ!$M$6:$M$405,$J228)="","",INDEX(職員マスタ!$M$6:$M$405,$J228)))</f>
        <v/>
      </c>
      <c r="G228" s="20">
        <f>IF($J228="","",IF(INDEX(職員マスタ!$N$6:$N$405,$J228)="","",INDEX(職員マスタ!$N$6:$N$405,$J228)))</f>
        <v/>
      </c>
      <c r="H228">
        <f>IF(OR($J228="",$G228=""),"",TODAY()-$G228)</f>
        <v/>
      </c>
      <c r="I228">
        <f>IF($J228="","",IF(INDEX(職員マスタ!$L$6:$L$405,$J228)="","",INDEX(職員マスタ!$L$6:$L$405,$J228)))</f>
        <v/>
      </c>
      <c r="J228">
        <f>IFERROR(MATCH(19,職員マスタ!$Q$6:$Q$405,0),"")</f>
        <v/>
      </c>
    </row>
    <row r="229">
      <c r="A229">
        <f>IF($J229="","",20)</f>
        <v/>
      </c>
      <c r="B229">
        <f>IF($J229="","",IF(INDEX(職員マスタ!$A$6:$A$405,$J229)="","",INDEX(職員マスタ!$A$6:$A$405,$J229)))</f>
        <v/>
      </c>
      <c r="C229">
        <f>IF($J229="","",IF(INDEX(職員マスタ!$B$6:$B$405,$J229)="","",INDEX(職員マスタ!$B$6:$B$405,$J229)))</f>
        <v/>
      </c>
      <c r="D229">
        <f>IF($J229="","",IF(INDEX(職員マスタ!$C$6:$C$405,$J229)="","",INDEX(職員マスタ!$C$6:$C$405,$J229)))</f>
        <v/>
      </c>
      <c r="E229" s="19">
        <f>IF($J229="","",IF(INDEX(職員マスタ!$K$6:$K$405,$J229)="","",INDEX(職員マスタ!$K$6:$K$405,$J229)))</f>
        <v/>
      </c>
      <c r="F229">
        <f>IF($J229="","",IF(INDEX(職員マスタ!$M$6:$M$405,$J229)="","",INDEX(職員マスタ!$M$6:$M$405,$J229)))</f>
        <v/>
      </c>
      <c r="G229" s="20">
        <f>IF($J229="","",IF(INDEX(職員マスタ!$N$6:$N$405,$J229)="","",INDEX(職員マスタ!$N$6:$N$405,$J229)))</f>
        <v/>
      </c>
      <c r="H229">
        <f>IF(OR($J229="",$G229=""),"",TODAY()-$G229)</f>
        <v/>
      </c>
      <c r="I229">
        <f>IF($J229="","",IF(INDEX(職員マスタ!$L$6:$L$405,$J229)="","",INDEX(職員マスタ!$L$6:$L$405,$J229)))</f>
        <v/>
      </c>
      <c r="J229">
        <f>IFERROR(MATCH(20,職員マスタ!$Q$6:$Q$405,0),"")</f>
        <v/>
      </c>
    </row>
    <row r="230">
      <c r="A230">
        <f>IF($J230="","",21)</f>
        <v/>
      </c>
      <c r="B230">
        <f>IF($J230="","",IF(INDEX(職員マスタ!$A$6:$A$405,$J230)="","",INDEX(職員マスタ!$A$6:$A$405,$J230)))</f>
        <v/>
      </c>
      <c r="C230">
        <f>IF($J230="","",IF(INDEX(職員マスタ!$B$6:$B$405,$J230)="","",INDEX(職員マスタ!$B$6:$B$405,$J230)))</f>
        <v/>
      </c>
      <c r="D230">
        <f>IF($J230="","",IF(INDEX(職員マスタ!$C$6:$C$405,$J230)="","",INDEX(職員マスタ!$C$6:$C$405,$J230)))</f>
        <v/>
      </c>
      <c r="E230" s="19">
        <f>IF($J230="","",IF(INDEX(職員マスタ!$K$6:$K$405,$J230)="","",INDEX(職員マスタ!$K$6:$K$405,$J230)))</f>
        <v/>
      </c>
      <c r="F230">
        <f>IF($J230="","",IF(INDEX(職員マスタ!$M$6:$M$405,$J230)="","",INDEX(職員マスタ!$M$6:$M$405,$J230)))</f>
        <v/>
      </c>
      <c r="G230" s="20">
        <f>IF($J230="","",IF(INDEX(職員マスタ!$N$6:$N$405,$J230)="","",INDEX(職員マスタ!$N$6:$N$405,$J230)))</f>
        <v/>
      </c>
      <c r="H230">
        <f>IF(OR($J230="",$G230=""),"",TODAY()-$G230)</f>
        <v/>
      </c>
      <c r="I230">
        <f>IF($J230="","",IF(INDEX(職員マスタ!$L$6:$L$405,$J230)="","",INDEX(職員マスタ!$L$6:$L$405,$J230)))</f>
        <v/>
      </c>
      <c r="J230">
        <f>IFERROR(MATCH(21,職員マスタ!$Q$6:$Q$405,0),"")</f>
        <v/>
      </c>
    </row>
    <row r="231">
      <c r="A231">
        <f>IF($J231="","",22)</f>
        <v/>
      </c>
      <c r="B231">
        <f>IF($J231="","",IF(INDEX(職員マスタ!$A$6:$A$405,$J231)="","",INDEX(職員マスタ!$A$6:$A$405,$J231)))</f>
        <v/>
      </c>
      <c r="C231">
        <f>IF($J231="","",IF(INDEX(職員マスタ!$B$6:$B$405,$J231)="","",INDEX(職員マスタ!$B$6:$B$405,$J231)))</f>
        <v/>
      </c>
      <c r="D231">
        <f>IF($J231="","",IF(INDEX(職員マスタ!$C$6:$C$405,$J231)="","",INDEX(職員マスタ!$C$6:$C$405,$J231)))</f>
        <v/>
      </c>
      <c r="E231" s="19">
        <f>IF($J231="","",IF(INDEX(職員マスタ!$K$6:$K$405,$J231)="","",INDEX(職員マスタ!$K$6:$K$405,$J231)))</f>
        <v/>
      </c>
      <c r="F231">
        <f>IF($J231="","",IF(INDEX(職員マスタ!$M$6:$M$405,$J231)="","",INDEX(職員マスタ!$M$6:$M$405,$J231)))</f>
        <v/>
      </c>
      <c r="G231" s="20">
        <f>IF($J231="","",IF(INDEX(職員マスタ!$N$6:$N$405,$J231)="","",INDEX(職員マスタ!$N$6:$N$405,$J231)))</f>
        <v/>
      </c>
      <c r="H231">
        <f>IF(OR($J231="",$G231=""),"",TODAY()-$G231)</f>
        <v/>
      </c>
      <c r="I231">
        <f>IF($J231="","",IF(INDEX(職員マスタ!$L$6:$L$405,$J231)="","",INDEX(職員マスタ!$L$6:$L$405,$J231)))</f>
        <v/>
      </c>
      <c r="J231">
        <f>IFERROR(MATCH(22,職員マスタ!$Q$6:$Q$405,0),"")</f>
        <v/>
      </c>
    </row>
    <row r="232">
      <c r="A232">
        <f>IF($J232="","",23)</f>
        <v/>
      </c>
      <c r="B232">
        <f>IF($J232="","",IF(INDEX(職員マスタ!$A$6:$A$405,$J232)="","",INDEX(職員マスタ!$A$6:$A$405,$J232)))</f>
        <v/>
      </c>
      <c r="C232">
        <f>IF($J232="","",IF(INDEX(職員マスタ!$B$6:$B$405,$J232)="","",INDEX(職員マスタ!$B$6:$B$405,$J232)))</f>
        <v/>
      </c>
      <c r="D232">
        <f>IF($J232="","",IF(INDEX(職員マスタ!$C$6:$C$405,$J232)="","",INDEX(職員マスタ!$C$6:$C$405,$J232)))</f>
        <v/>
      </c>
      <c r="E232" s="19">
        <f>IF($J232="","",IF(INDEX(職員マスタ!$K$6:$K$405,$J232)="","",INDEX(職員マスタ!$K$6:$K$405,$J232)))</f>
        <v/>
      </c>
      <c r="F232">
        <f>IF($J232="","",IF(INDEX(職員マスタ!$M$6:$M$405,$J232)="","",INDEX(職員マスタ!$M$6:$M$405,$J232)))</f>
        <v/>
      </c>
      <c r="G232" s="20">
        <f>IF($J232="","",IF(INDEX(職員マスタ!$N$6:$N$405,$J232)="","",INDEX(職員マスタ!$N$6:$N$405,$J232)))</f>
        <v/>
      </c>
      <c r="H232">
        <f>IF(OR($J232="",$G232=""),"",TODAY()-$G232)</f>
        <v/>
      </c>
      <c r="I232">
        <f>IF($J232="","",IF(INDEX(職員マスタ!$L$6:$L$405,$J232)="","",INDEX(職員マスタ!$L$6:$L$405,$J232)))</f>
        <v/>
      </c>
      <c r="J232">
        <f>IFERROR(MATCH(23,職員マスタ!$Q$6:$Q$405,0),"")</f>
        <v/>
      </c>
    </row>
    <row r="233">
      <c r="A233">
        <f>IF($J233="","",24)</f>
        <v/>
      </c>
      <c r="B233">
        <f>IF($J233="","",IF(INDEX(職員マスタ!$A$6:$A$405,$J233)="","",INDEX(職員マスタ!$A$6:$A$405,$J233)))</f>
        <v/>
      </c>
      <c r="C233">
        <f>IF($J233="","",IF(INDEX(職員マスタ!$B$6:$B$405,$J233)="","",INDEX(職員マスタ!$B$6:$B$405,$J233)))</f>
        <v/>
      </c>
      <c r="D233">
        <f>IF($J233="","",IF(INDEX(職員マスタ!$C$6:$C$405,$J233)="","",INDEX(職員マスタ!$C$6:$C$405,$J233)))</f>
        <v/>
      </c>
      <c r="E233" s="19">
        <f>IF($J233="","",IF(INDEX(職員マスタ!$K$6:$K$405,$J233)="","",INDEX(職員マスタ!$K$6:$K$405,$J233)))</f>
        <v/>
      </c>
      <c r="F233">
        <f>IF($J233="","",IF(INDEX(職員マスタ!$M$6:$M$405,$J233)="","",INDEX(職員マスタ!$M$6:$M$405,$J233)))</f>
        <v/>
      </c>
      <c r="G233" s="20">
        <f>IF($J233="","",IF(INDEX(職員マスタ!$N$6:$N$405,$J233)="","",INDEX(職員マスタ!$N$6:$N$405,$J233)))</f>
        <v/>
      </c>
      <c r="H233">
        <f>IF(OR($J233="",$G233=""),"",TODAY()-$G233)</f>
        <v/>
      </c>
      <c r="I233">
        <f>IF($J233="","",IF(INDEX(職員マスタ!$L$6:$L$405,$J233)="","",INDEX(職員マスタ!$L$6:$L$405,$J233)))</f>
        <v/>
      </c>
      <c r="J233">
        <f>IFERROR(MATCH(24,職員マスタ!$Q$6:$Q$405,0),"")</f>
        <v/>
      </c>
    </row>
    <row r="234">
      <c r="A234">
        <f>IF($J234="","",25)</f>
        <v/>
      </c>
      <c r="B234">
        <f>IF($J234="","",IF(INDEX(職員マスタ!$A$6:$A$405,$J234)="","",INDEX(職員マスタ!$A$6:$A$405,$J234)))</f>
        <v/>
      </c>
      <c r="C234">
        <f>IF($J234="","",IF(INDEX(職員マスタ!$B$6:$B$405,$J234)="","",INDEX(職員マスタ!$B$6:$B$405,$J234)))</f>
        <v/>
      </c>
      <c r="D234">
        <f>IF($J234="","",IF(INDEX(職員マスタ!$C$6:$C$405,$J234)="","",INDEX(職員マスタ!$C$6:$C$405,$J234)))</f>
        <v/>
      </c>
      <c r="E234" s="19">
        <f>IF($J234="","",IF(INDEX(職員マスタ!$K$6:$K$405,$J234)="","",INDEX(職員マスタ!$K$6:$K$405,$J234)))</f>
        <v/>
      </c>
      <c r="F234">
        <f>IF($J234="","",IF(INDEX(職員マスタ!$M$6:$M$405,$J234)="","",INDEX(職員マスタ!$M$6:$M$405,$J234)))</f>
        <v/>
      </c>
      <c r="G234" s="20">
        <f>IF($J234="","",IF(INDEX(職員マスタ!$N$6:$N$405,$J234)="","",INDEX(職員マスタ!$N$6:$N$405,$J234)))</f>
        <v/>
      </c>
      <c r="H234">
        <f>IF(OR($J234="",$G234=""),"",TODAY()-$G234)</f>
        <v/>
      </c>
      <c r="I234">
        <f>IF($J234="","",IF(INDEX(職員マスタ!$L$6:$L$405,$J234)="","",INDEX(職員マスタ!$L$6:$L$405,$J234)))</f>
        <v/>
      </c>
      <c r="J234">
        <f>IFERROR(MATCH(25,職員マスタ!$Q$6:$Q$405,0),"")</f>
        <v/>
      </c>
    </row>
    <row r="235">
      <c r="A235">
        <f>IF($J235="","",26)</f>
        <v/>
      </c>
      <c r="B235">
        <f>IF($J235="","",IF(INDEX(職員マスタ!$A$6:$A$405,$J235)="","",INDEX(職員マスタ!$A$6:$A$405,$J235)))</f>
        <v/>
      </c>
      <c r="C235">
        <f>IF($J235="","",IF(INDEX(職員マスタ!$B$6:$B$405,$J235)="","",INDEX(職員マスタ!$B$6:$B$405,$J235)))</f>
        <v/>
      </c>
      <c r="D235">
        <f>IF($J235="","",IF(INDEX(職員マスタ!$C$6:$C$405,$J235)="","",INDEX(職員マスタ!$C$6:$C$405,$J235)))</f>
        <v/>
      </c>
      <c r="E235" s="19">
        <f>IF($J235="","",IF(INDEX(職員マスタ!$K$6:$K$405,$J235)="","",INDEX(職員マスタ!$K$6:$K$405,$J235)))</f>
        <v/>
      </c>
      <c r="F235">
        <f>IF($J235="","",IF(INDEX(職員マスタ!$M$6:$M$405,$J235)="","",INDEX(職員マスタ!$M$6:$M$405,$J235)))</f>
        <v/>
      </c>
      <c r="G235" s="20">
        <f>IF($J235="","",IF(INDEX(職員マスタ!$N$6:$N$405,$J235)="","",INDEX(職員マスタ!$N$6:$N$405,$J235)))</f>
        <v/>
      </c>
      <c r="H235">
        <f>IF(OR($J235="",$G235=""),"",TODAY()-$G235)</f>
        <v/>
      </c>
      <c r="I235">
        <f>IF($J235="","",IF(INDEX(職員マスタ!$L$6:$L$405,$J235)="","",INDEX(職員マスタ!$L$6:$L$405,$J235)))</f>
        <v/>
      </c>
      <c r="J235">
        <f>IFERROR(MATCH(26,職員マスタ!$Q$6:$Q$405,0),"")</f>
        <v/>
      </c>
    </row>
    <row r="236">
      <c r="A236">
        <f>IF($J236="","",27)</f>
        <v/>
      </c>
      <c r="B236">
        <f>IF($J236="","",IF(INDEX(職員マスタ!$A$6:$A$405,$J236)="","",INDEX(職員マスタ!$A$6:$A$405,$J236)))</f>
        <v/>
      </c>
      <c r="C236">
        <f>IF($J236="","",IF(INDEX(職員マスタ!$B$6:$B$405,$J236)="","",INDEX(職員マスタ!$B$6:$B$405,$J236)))</f>
        <v/>
      </c>
      <c r="D236">
        <f>IF($J236="","",IF(INDEX(職員マスタ!$C$6:$C$405,$J236)="","",INDEX(職員マスタ!$C$6:$C$405,$J236)))</f>
        <v/>
      </c>
      <c r="E236" s="19">
        <f>IF($J236="","",IF(INDEX(職員マスタ!$K$6:$K$405,$J236)="","",INDEX(職員マスタ!$K$6:$K$405,$J236)))</f>
        <v/>
      </c>
      <c r="F236">
        <f>IF($J236="","",IF(INDEX(職員マスタ!$M$6:$M$405,$J236)="","",INDEX(職員マスタ!$M$6:$M$405,$J236)))</f>
        <v/>
      </c>
      <c r="G236" s="20">
        <f>IF($J236="","",IF(INDEX(職員マスタ!$N$6:$N$405,$J236)="","",INDEX(職員マスタ!$N$6:$N$405,$J236)))</f>
        <v/>
      </c>
      <c r="H236">
        <f>IF(OR($J236="",$G236=""),"",TODAY()-$G236)</f>
        <v/>
      </c>
      <c r="I236">
        <f>IF($J236="","",IF(INDEX(職員マスタ!$L$6:$L$405,$J236)="","",INDEX(職員マスタ!$L$6:$L$405,$J236)))</f>
        <v/>
      </c>
      <c r="J236">
        <f>IFERROR(MATCH(27,職員マスタ!$Q$6:$Q$405,0),"")</f>
        <v/>
      </c>
    </row>
    <row r="237">
      <c r="A237">
        <f>IF($J237="","",28)</f>
        <v/>
      </c>
      <c r="B237">
        <f>IF($J237="","",IF(INDEX(職員マスタ!$A$6:$A$405,$J237)="","",INDEX(職員マスタ!$A$6:$A$405,$J237)))</f>
        <v/>
      </c>
      <c r="C237">
        <f>IF($J237="","",IF(INDEX(職員マスタ!$B$6:$B$405,$J237)="","",INDEX(職員マスタ!$B$6:$B$405,$J237)))</f>
        <v/>
      </c>
      <c r="D237">
        <f>IF($J237="","",IF(INDEX(職員マスタ!$C$6:$C$405,$J237)="","",INDEX(職員マスタ!$C$6:$C$405,$J237)))</f>
        <v/>
      </c>
      <c r="E237" s="19">
        <f>IF($J237="","",IF(INDEX(職員マスタ!$K$6:$K$405,$J237)="","",INDEX(職員マスタ!$K$6:$K$405,$J237)))</f>
        <v/>
      </c>
      <c r="F237">
        <f>IF($J237="","",IF(INDEX(職員マスタ!$M$6:$M$405,$J237)="","",INDEX(職員マスタ!$M$6:$M$405,$J237)))</f>
        <v/>
      </c>
      <c r="G237" s="20">
        <f>IF($J237="","",IF(INDEX(職員マスタ!$N$6:$N$405,$J237)="","",INDEX(職員マスタ!$N$6:$N$405,$J237)))</f>
        <v/>
      </c>
      <c r="H237">
        <f>IF(OR($J237="",$G237=""),"",TODAY()-$G237)</f>
        <v/>
      </c>
      <c r="I237">
        <f>IF($J237="","",IF(INDEX(職員マスタ!$L$6:$L$405,$J237)="","",INDEX(職員マスタ!$L$6:$L$405,$J237)))</f>
        <v/>
      </c>
      <c r="J237">
        <f>IFERROR(MATCH(28,職員マスタ!$Q$6:$Q$405,0),"")</f>
        <v/>
      </c>
    </row>
    <row r="238">
      <c r="A238">
        <f>IF($J238="","",29)</f>
        <v/>
      </c>
      <c r="B238">
        <f>IF($J238="","",IF(INDEX(職員マスタ!$A$6:$A$405,$J238)="","",INDEX(職員マスタ!$A$6:$A$405,$J238)))</f>
        <v/>
      </c>
      <c r="C238">
        <f>IF($J238="","",IF(INDEX(職員マスタ!$B$6:$B$405,$J238)="","",INDEX(職員マスタ!$B$6:$B$405,$J238)))</f>
        <v/>
      </c>
      <c r="D238">
        <f>IF($J238="","",IF(INDEX(職員マスタ!$C$6:$C$405,$J238)="","",INDEX(職員マスタ!$C$6:$C$405,$J238)))</f>
        <v/>
      </c>
      <c r="E238" s="19">
        <f>IF($J238="","",IF(INDEX(職員マスタ!$K$6:$K$405,$J238)="","",INDEX(職員マスタ!$K$6:$K$405,$J238)))</f>
        <v/>
      </c>
      <c r="F238">
        <f>IF($J238="","",IF(INDEX(職員マスタ!$M$6:$M$405,$J238)="","",INDEX(職員マスタ!$M$6:$M$405,$J238)))</f>
        <v/>
      </c>
      <c r="G238" s="20">
        <f>IF($J238="","",IF(INDEX(職員マスタ!$N$6:$N$405,$J238)="","",INDEX(職員マスタ!$N$6:$N$405,$J238)))</f>
        <v/>
      </c>
      <c r="H238">
        <f>IF(OR($J238="",$G238=""),"",TODAY()-$G238)</f>
        <v/>
      </c>
      <c r="I238">
        <f>IF($J238="","",IF(INDEX(職員マスタ!$L$6:$L$405,$J238)="","",INDEX(職員マスタ!$L$6:$L$405,$J238)))</f>
        <v/>
      </c>
      <c r="J238">
        <f>IFERROR(MATCH(29,職員マスタ!$Q$6:$Q$405,0),"")</f>
        <v/>
      </c>
    </row>
    <row r="239">
      <c r="A239">
        <f>IF($J239="","",30)</f>
        <v/>
      </c>
      <c r="B239">
        <f>IF($J239="","",IF(INDEX(職員マスタ!$A$6:$A$405,$J239)="","",INDEX(職員マスタ!$A$6:$A$405,$J239)))</f>
        <v/>
      </c>
      <c r="C239">
        <f>IF($J239="","",IF(INDEX(職員マスタ!$B$6:$B$405,$J239)="","",INDEX(職員マスタ!$B$6:$B$405,$J239)))</f>
        <v/>
      </c>
      <c r="D239">
        <f>IF($J239="","",IF(INDEX(職員マスタ!$C$6:$C$405,$J239)="","",INDEX(職員マスタ!$C$6:$C$405,$J239)))</f>
        <v/>
      </c>
      <c r="E239" s="19">
        <f>IF($J239="","",IF(INDEX(職員マスタ!$K$6:$K$405,$J239)="","",INDEX(職員マスタ!$K$6:$K$405,$J239)))</f>
        <v/>
      </c>
      <c r="F239">
        <f>IF($J239="","",IF(INDEX(職員マスタ!$M$6:$M$405,$J239)="","",INDEX(職員マスタ!$M$6:$M$405,$J239)))</f>
        <v/>
      </c>
      <c r="G239" s="20">
        <f>IF($J239="","",IF(INDEX(職員マスタ!$N$6:$N$405,$J239)="","",INDEX(職員マスタ!$N$6:$N$405,$J239)))</f>
        <v/>
      </c>
      <c r="H239">
        <f>IF(OR($J239="",$G239=""),"",TODAY()-$G239)</f>
        <v/>
      </c>
      <c r="I239">
        <f>IF($J239="","",IF(INDEX(職員マスタ!$L$6:$L$405,$J239)="","",INDEX(職員マスタ!$L$6:$L$405,$J239)))</f>
        <v/>
      </c>
      <c r="J239">
        <f>IFERROR(MATCH(30,職員マスタ!$Q$6:$Q$405,0),"")</f>
        <v/>
      </c>
    </row>
    <row r="240">
      <c r="A240">
        <f>IF($J240="","",31)</f>
        <v/>
      </c>
      <c r="B240">
        <f>IF($J240="","",IF(INDEX(職員マスタ!$A$6:$A$405,$J240)="","",INDEX(職員マスタ!$A$6:$A$405,$J240)))</f>
        <v/>
      </c>
      <c r="C240">
        <f>IF($J240="","",IF(INDEX(職員マスタ!$B$6:$B$405,$J240)="","",INDEX(職員マスタ!$B$6:$B$405,$J240)))</f>
        <v/>
      </c>
      <c r="D240">
        <f>IF($J240="","",IF(INDEX(職員マスタ!$C$6:$C$405,$J240)="","",INDEX(職員マスタ!$C$6:$C$405,$J240)))</f>
        <v/>
      </c>
      <c r="E240" s="19">
        <f>IF($J240="","",IF(INDEX(職員マスタ!$K$6:$K$405,$J240)="","",INDEX(職員マスタ!$K$6:$K$405,$J240)))</f>
        <v/>
      </c>
      <c r="F240">
        <f>IF($J240="","",IF(INDEX(職員マスタ!$M$6:$M$405,$J240)="","",INDEX(職員マスタ!$M$6:$M$405,$J240)))</f>
        <v/>
      </c>
      <c r="G240" s="20">
        <f>IF($J240="","",IF(INDEX(職員マスタ!$N$6:$N$405,$J240)="","",INDEX(職員マスタ!$N$6:$N$405,$J240)))</f>
        <v/>
      </c>
      <c r="H240">
        <f>IF(OR($J240="",$G240=""),"",TODAY()-$G240)</f>
        <v/>
      </c>
      <c r="I240">
        <f>IF($J240="","",IF(INDEX(職員マスタ!$L$6:$L$405,$J240)="","",INDEX(職員マスタ!$L$6:$L$405,$J240)))</f>
        <v/>
      </c>
      <c r="J240">
        <f>IFERROR(MATCH(31,職員マスタ!$Q$6:$Q$405,0),"")</f>
        <v/>
      </c>
    </row>
    <row r="241">
      <c r="A241">
        <f>IF($J241="","",32)</f>
        <v/>
      </c>
      <c r="B241">
        <f>IF($J241="","",IF(INDEX(職員マスタ!$A$6:$A$405,$J241)="","",INDEX(職員マスタ!$A$6:$A$405,$J241)))</f>
        <v/>
      </c>
      <c r="C241">
        <f>IF($J241="","",IF(INDEX(職員マスタ!$B$6:$B$405,$J241)="","",INDEX(職員マスタ!$B$6:$B$405,$J241)))</f>
        <v/>
      </c>
      <c r="D241">
        <f>IF($J241="","",IF(INDEX(職員マスタ!$C$6:$C$405,$J241)="","",INDEX(職員マスタ!$C$6:$C$405,$J241)))</f>
        <v/>
      </c>
      <c r="E241" s="19">
        <f>IF($J241="","",IF(INDEX(職員マスタ!$K$6:$K$405,$J241)="","",INDEX(職員マスタ!$K$6:$K$405,$J241)))</f>
        <v/>
      </c>
      <c r="F241">
        <f>IF($J241="","",IF(INDEX(職員マスタ!$M$6:$M$405,$J241)="","",INDEX(職員マスタ!$M$6:$M$405,$J241)))</f>
        <v/>
      </c>
      <c r="G241" s="20">
        <f>IF($J241="","",IF(INDEX(職員マスタ!$N$6:$N$405,$J241)="","",INDEX(職員マスタ!$N$6:$N$405,$J241)))</f>
        <v/>
      </c>
      <c r="H241">
        <f>IF(OR($J241="",$G241=""),"",TODAY()-$G241)</f>
        <v/>
      </c>
      <c r="I241">
        <f>IF($J241="","",IF(INDEX(職員マスタ!$L$6:$L$405,$J241)="","",INDEX(職員マスタ!$L$6:$L$405,$J241)))</f>
        <v/>
      </c>
      <c r="J241">
        <f>IFERROR(MATCH(32,職員マスタ!$Q$6:$Q$405,0),"")</f>
        <v/>
      </c>
    </row>
    <row r="242">
      <c r="A242">
        <f>IF($J242="","",33)</f>
        <v/>
      </c>
      <c r="B242">
        <f>IF($J242="","",IF(INDEX(職員マスタ!$A$6:$A$405,$J242)="","",INDEX(職員マスタ!$A$6:$A$405,$J242)))</f>
        <v/>
      </c>
      <c r="C242">
        <f>IF($J242="","",IF(INDEX(職員マスタ!$B$6:$B$405,$J242)="","",INDEX(職員マスタ!$B$6:$B$405,$J242)))</f>
        <v/>
      </c>
      <c r="D242">
        <f>IF($J242="","",IF(INDEX(職員マスタ!$C$6:$C$405,$J242)="","",INDEX(職員マスタ!$C$6:$C$405,$J242)))</f>
        <v/>
      </c>
      <c r="E242" s="19">
        <f>IF($J242="","",IF(INDEX(職員マスタ!$K$6:$K$405,$J242)="","",INDEX(職員マスタ!$K$6:$K$405,$J242)))</f>
        <v/>
      </c>
      <c r="F242">
        <f>IF($J242="","",IF(INDEX(職員マスタ!$M$6:$M$405,$J242)="","",INDEX(職員マスタ!$M$6:$M$405,$J242)))</f>
        <v/>
      </c>
      <c r="G242" s="20">
        <f>IF($J242="","",IF(INDEX(職員マスタ!$N$6:$N$405,$J242)="","",INDEX(職員マスタ!$N$6:$N$405,$J242)))</f>
        <v/>
      </c>
      <c r="H242">
        <f>IF(OR($J242="",$G242=""),"",TODAY()-$G242)</f>
        <v/>
      </c>
      <c r="I242">
        <f>IF($J242="","",IF(INDEX(職員マスタ!$L$6:$L$405,$J242)="","",INDEX(職員マスタ!$L$6:$L$405,$J242)))</f>
        <v/>
      </c>
      <c r="J242">
        <f>IFERROR(MATCH(33,職員マスタ!$Q$6:$Q$405,0),"")</f>
        <v/>
      </c>
    </row>
    <row r="243">
      <c r="A243">
        <f>IF($J243="","",34)</f>
        <v/>
      </c>
      <c r="B243">
        <f>IF($J243="","",IF(INDEX(職員マスタ!$A$6:$A$405,$J243)="","",INDEX(職員マスタ!$A$6:$A$405,$J243)))</f>
        <v/>
      </c>
      <c r="C243">
        <f>IF($J243="","",IF(INDEX(職員マスタ!$B$6:$B$405,$J243)="","",INDEX(職員マスタ!$B$6:$B$405,$J243)))</f>
        <v/>
      </c>
      <c r="D243">
        <f>IF($J243="","",IF(INDEX(職員マスタ!$C$6:$C$405,$J243)="","",INDEX(職員マスタ!$C$6:$C$405,$J243)))</f>
        <v/>
      </c>
      <c r="E243" s="19">
        <f>IF($J243="","",IF(INDEX(職員マスタ!$K$6:$K$405,$J243)="","",INDEX(職員マスタ!$K$6:$K$405,$J243)))</f>
        <v/>
      </c>
      <c r="F243">
        <f>IF($J243="","",IF(INDEX(職員マスタ!$M$6:$M$405,$J243)="","",INDEX(職員マスタ!$M$6:$M$405,$J243)))</f>
        <v/>
      </c>
      <c r="G243" s="20">
        <f>IF($J243="","",IF(INDEX(職員マスタ!$N$6:$N$405,$J243)="","",INDEX(職員マスタ!$N$6:$N$405,$J243)))</f>
        <v/>
      </c>
      <c r="H243">
        <f>IF(OR($J243="",$G243=""),"",TODAY()-$G243)</f>
        <v/>
      </c>
      <c r="I243">
        <f>IF($J243="","",IF(INDEX(職員マスタ!$L$6:$L$405,$J243)="","",INDEX(職員マスタ!$L$6:$L$405,$J243)))</f>
        <v/>
      </c>
      <c r="J243">
        <f>IFERROR(MATCH(34,職員マスタ!$Q$6:$Q$405,0),"")</f>
        <v/>
      </c>
    </row>
    <row r="244">
      <c r="A244">
        <f>IF($J244="","",35)</f>
        <v/>
      </c>
      <c r="B244">
        <f>IF($J244="","",IF(INDEX(職員マスタ!$A$6:$A$405,$J244)="","",INDEX(職員マスタ!$A$6:$A$405,$J244)))</f>
        <v/>
      </c>
      <c r="C244">
        <f>IF($J244="","",IF(INDEX(職員マスタ!$B$6:$B$405,$J244)="","",INDEX(職員マスタ!$B$6:$B$405,$J244)))</f>
        <v/>
      </c>
      <c r="D244">
        <f>IF($J244="","",IF(INDEX(職員マスタ!$C$6:$C$405,$J244)="","",INDEX(職員マスタ!$C$6:$C$405,$J244)))</f>
        <v/>
      </c>
      <c r="E244" s="19">
        <f>IF($J244="","",IF(INDEX(職員マスタ!$K$6:$K$405,$J244)="","",INDEX(職員マスタ!$K$6:$K$405,$J244)))</f>
        <v/>
      </c>
      <c r="F244">
        <f>IF($J244="","",IF(INDEX(職員マスタ!$M$6:$M$405,$J244)="","",INDEX(職員マスタ!$M$6:$M$405,$J244)))</f>
        <v/>
      </c>
      <c r="G244" s="20">
        <f>IF($J244="","",IF(INDEX(職員マスタ!$N$6:$N$405,$J244)="","",INDEX(職員マスタ!$N$6:$N$405,$J244)))</f>
        <v/>
      </c>
      <c r="H244">
        <f>IF(OR($J244="",$G244=""),"",TODAY()-$G244)</f>
        <v/>
      </c>
      <c r="I244">
        <f>IF($J244="","",IF(INDEX(職員マスタ!$L$6:$L$405,$J244)="","",INDEX(職員マスタ!$L$6:$L$405,$J244)))</f>
        <v/>
      </c>
      <c r="J244">
        <f>IFERROR(MATCH(35,職員マスタ!$Q$6:$Q$405,0),"")</f>
        <v/>
      </c>
    </row>
    <row r="245">
      <c r="A245">
        <f>IF($J245="","",36)</f>
        <v/>
      </c>
      <c r="B245">
        <f>IF($J245="","",IF(INDEX(職員マスタ!$A$6:$A$405,$J245)="","",INDEX(職員マスタ!$A$6:$A$405,$J245)))</f>
        <v/>
      </c>
      <c r="C245">
        <f>IF($J245="","",IF(INDEX(職員マスタ!$B$6:$B$405,$J245)="","",INDEX(職員マスタ!$B$6:$B$405,$J245)))</f>
        <v/>
      </c>
      <c r="D245">
        <f>IF($J245="","",IF(INDEX(職員マスタ!$C$6:$C$405,$J245)="","",INDEX(職員マスタ!$C$6:$C$405,$J245)))</f>
        <v/>
      </c>
      <c r="E245" s="19">
        <f>IF($J245="","",IF(INDEX(職員マスタ!$K$6:$K$405,$J245)="","",INDEX(職員マスタ!$K$6:$K$405,$J245)))</f>
        <v/>
      </c>
      <c r="F245">
        <f>IF($J245="","",IF(INDEX(職員マスタ!$M$6:$M$405,$J245)="","",INDEX(職員マスタ!$M$6:$M$405,$J245)))</f>
        <v/>
      </c>
      <c r="G245" s="20">
        <f>IF($J245="","",IF(INDEX(職員マスタ!$N$6:$N$405,$J245)="","",INDEX(職員マスタ!$N$6:$N$405,$J245)))</f>
        <v/>
      </c>
      <c r="H245">
        <f>IF(OR($J245="",$G245=""),"",TODAY()-$G245)</f>
        <v/>
      </c>
      <c r="I245">
        <f>IF($J245="","",IF(INDEX(職員マスタ!$L$6:$L$405,$J245)="","",INDEX(職員マスタ!$L$6:$L$405,$J245)))</f>
        <v/>
      </c>
      <c r="J245">
        <f>IFERROR(MATCH(36,職員マスタ!$Q$6:$Q$405,0),"")</f>
        <v/>
      </c>
    </row>
    <row r="246">
      <c r="A246">
        <f>IF($J246="","",37)</f>
        <v/>
      </c>
      <c r="B246">
        <f>IF($J246="","",IF(INDEX(職員マスタ!$A$6:$A$405,$J246)="","",INDEX(職員マスタ!$A$6:$A$405,$J246)))</f>
        <v/>
      </c>
      <c r="C246">
        <f>IF($J246="","",IF(INDEX(職員マスタ!$B$6:$B$405,$J246)="","",INDEX(職員マスタ!$B$6:$B$405,$J246)))</f>
        <v/>
      </c>
      <c r="D246">
        <f>IF($J246="","",IF(INDEX(職員マスタ!$C$6:$C$405,$J246)="","",INDEX(職員マスタ!$C$6:$C$405,$J246)))</f>
        <v/>
      </c>
      <c r="E246" s="19">
        <f>IF($J246="","",IF(INDEX(職員マスタ!$K$6:$K$405,$J246)="","",INDEX(職員マスタ!$K$6:$K$405,$J246)))</f>
        <v/>
      </c>
      <c r="F246">
        <f>IF($J246="","",IF(INDEX(職員マスタ!$M$6:$M$405,$J246)="","",INDEX(職員マスタ!$M$6:$M$405,$J246)))</f>
        <v/>
      </c>
      <c r="G246" s="20">
        <f>IF($J246="","",IF(INDEX(職員マスタ!$N$6:$N$405,$J246)="","",INDEX(職員マスタ!$N$6:$N$405,$J246)))</f>
        <v/>
      </c>
      <c r="H246">
        <f>IF(OR($J246="",$G246=""),"",TODAY()-$G246)</f>
        <v/>
      </c>
      <c r="I246">
        <f>IF($J246="","",IF(INDEX(職員マスタ!$L$6:$L$405,$J246)="","",INDEX(職員マスタ!$L$6:$L$405,$J246)))</f>
        <v/>
      </c>
      <c r="J246">
        <f>IFERROR(MATCH(37,職員マスタ!$Q$6:$Q$405,0),"")</f>
        <v/>
      </c>
    </row>
    <row r="247">
      <c r="A247">
        <f>IF($J247="","",38)</f>
        <v/>
      </c>
      <c r="B247">
        <f>IF($J247="","",IF(INDEX(職員マスタ!$A$6:$A$405,$J247)="","",INDEX(職員マスタ!$A$6:$A$405,$J247)))</f>
        <v/>
      </c>
      <c r="C247">
        <f>IF($J247="","",IF(INDEX(職員マスタ!$B$6:$B$405,$J247)="","",INDEX(職員マスタ!$B$6:$B$405,$J247)))</f>
        <v/>
      </c>
      <c r="D247">
        <f>IF($J247="","",IF(INDEX(職員マスタ!$C$6:$C$405,$J247)="","",INDEX(職員マスタ!$C$6:$C$405,$J247)))</f>
        <v/>
      </c>
      <c r="E247" s="19">
        <f>IF($J247="","",IF(INDEX(職員マスタ!$K$6:$K$405,$J247)="","",INDEX(職員マスタ!$K$6:$K$405,$J247)))</f>
        <v/>
      </c>
      <c r="F247">
        <f>IF($J247="","",IF(INDEX(職員マスタ!$M$6:$M$405,$J247)="","",INDEX(職員マスタ!$M$6:$M$405,$J247)))</f>
        <v/>
      </c>
      <c r="G247" s="20">
        <f>IF($J247="","",IF(INDEX(職員マスタ!$N$6:$N$405,$J247)="","",INDEX(職員マスタ!$N$6:$N$405,$J247)))</f>
        <v/>
      </c>
      <c r="H247">
        <f>IF(OR($J247="",$G247=""),"",TODAY()-$G247)</f>
        <v/>
      </c>
      <c r="I247">
        <f>IF($J247="","",IF(INDEX(職員マスタ!$L$6:$L$405,$J247)="","",INDEX(職員マスタ!$L$6:$L$405,$J247)))</f>
        <v/>
      </c>
      <c r="J247">
        <f>IFERROR(MATCH(38,職員マスタ!$Q$6:$Q$405,0),"")</f>
        <v/>
      </c>
    </row>
    <row r="248">
      <c r="A248">
        <f>IF($J248="","",39)</f>
        <v/>
      </c>
      <c r="B248">
        <f>IF($J248="","",IF(INDEX(職員マスタ!$A$6:$A$405,$J248)="","",INDEX(職員マスタ!$A$6:$A$405,$J248)))</f>
        <v/>
      </c>
      <c r="C248">
        <f>IF($J248="","",IF(INDEX(職員マスタ!$B$6:$B$405,$J248)="","",INDEX(職員マスタ!$B$6:$B$405,$J248)))</f>
        <v/>
      </c>
      <c r="D248">
        <f>IF($J248="","",IF(INDEX(職員マスタ!$C$6:$C$405,$J248)="","",INDEX(職員マスタ!$C$6:$C$405,$J248)))</f>
        <v/>
      </c>
      <c r="E248" s="19">
        <f>IF($J248="","",IF(INDEX(職員マスタ!$K$6:$K$405,$J248)="","",INDEX(職員マスタ!$K$6:$K$405,$J248)))</f>
        <v/>
      </c>
      <c r="F248">
        <f>IF($J248="","",IF(INDEX(職員マスタ!$M$6:$M$405,$J248)="","",INDEX(職員マスタ!$M$6:$M$405,$J248)))</f>
        <v/>
      </c>
      <c r="G248" s="20">
        <f>IF($J248="","",IF(INDEX(職員マスタ!$N$6:$N$405,$J248)="","",INDEX(職員マスタ!$N$6:$N$405,$J248)))</f>
        <v/>
      </c>
      <c r="H248">
        <f>IF(OR($J248="",$G248=""),"",TODAY()-$G248)</f>
        <v/>
      </c>
      <c r="I248">
        <f>IF($J248="","",IF(INDEX(職員マスタ!$L$6:$L$405,$J248)="","",INDEX(職員マスタ!$L$6:$L$405,$J248)))</f>
        <v/>
      </c>
      <c r="J248">
        <f>IFERROR(MATCH(39,職員マスタ!$Q$6:$Q$405,0),"")</f>
        <v/>
      </c>
    </row>
    <row r="249">
      <c r="A249">
        <f>IF($J249="","",40)</f>
        <v/>
      </c>
      <c r="B249">
        <f>IF($J249="","",IF(INDEX(職員マスタ!$A$6:$A$405,$J249)="","",INDEX(職員マスタ!$A$6:$A$405,$J249)))</f>
        <v/>
      </c>
      <c r="C249">
        <f>IF($J249="","",IF(INDEX(職員マスタ!$B$6:$B$405,$J249)="","",INDEX(職員マスタ!$B$6:$B$405,$J249)))</f>
        <v/>
      </c>
      <c r="D249">
        <f>IF($J249="","",IF(INDEX(職員マスタ!$C$6:$C$405,$J249)="","",INDEX(職員マスタ!$C$6:$C$405,$J249)))</f>
        <v/>
      </c>
      <c r="E249" s="19">
        <f>IF($J249="","",IF(INDEX(職員マスタ!$K$6:$K$405,$J249)="","",INDEX(職員マスタ!$K$6:$K$405,$J249)))</f>
        <v/>
      </c>
      <c r="F249">
        <f>IF($J249="","",IF(INDEX(職員マスタ!$M$6:$M$405,$J249)="","",INDEX(職員マスタ!$M$6:$M$405,$J249)))</f>
        <v/>
      </c>
      <c r="G249" s="20">
        <f>IF($J249="","",IF(INDEX(職員マスタ!$N$6:$N$405,$J249)="","",INDEX(職員マスタ!$N$6:$N$405,$J249)))</f>
        <v/>
      </c>
      <c r="H249">
        <f>IF(OR($J249="",$G249=""),"",TODAY()-$G249)</f>
        <v/>
      </c>
      <c r="I249">
        <f>IF($J249="","",IF(INDEX(職員マスタ!$L$6:$L$405,$J249)="","",INDEX(職員マスタ!$L$6:$L$405,$J249)))</f>
        <v/>
      </c>
      <c r="J249">
        <f>IFERROR(MATCH(40,職員マスタ!$Q$6:$Q$405,0),"")</f>
        <v/>
      </c>
    </row>
    <row r="250">
      <c r="A250">
        <f>IF($J250="","",41)</f>
        <v/>
      </c>
      <c r="B250">
        <f>IF($J250="","",IF(INDEX(職員マスタ!$A$6:$A$405,$J250)="","",INDEX(職員マスタ!$A$6:$A$405,$J250)))</f>
        <v/>
      </c>
      <c r="C250">
        <f>IF($J250="","",IF(INDEX(職員マスタ!$B$6:$B$405,$J250)="","",INDEX(職員マスタ!$B$6:$B$405,$J250)))</f>
        <v/>
      </c>
      <c r="D250">
        <f>IF($J250="","",IF(INDEX(職員マスタ!$C$6:$C$405,$J250)="","",INDEX(職員マスタ!$C$6:$C$405,$J250)))</f>
        <v/>
      </c>
      <c r="E250" s="19">
        <f>IF($J250="","",IF(INDEX(職員マスタ!$K$6:$K$405,$J250)="","",INDEX(職員マスタ!$K$6:$K$405,$J250)))</f>
        <v/>
      </c>
      <c r="F250">
        <f>IF($J250="","",IF(INDEX(職員マスタ!$M$6:$M$405,$J250)="","",INDEX(職員マスタ!$M$6:$M$405,$J250)))</f>
        <v/>
      </c>
      <c r="G250" s="20">
        <f>IF($J250="","",IF(INDEX(職員マスタ!$N$6:$N$405,$J250)="","",INDEX(職員マスタ!$N$6:$N$405,$J250)))</f>
        <v/>
      </c>
      <c r="H250">
        <f>IF(OR($J250="",$G250=""),"",TODAY()-$G250)</f>
        <v/>
      </c>
      <c r="I250">
        <f>IF($J250="","",IF(INDEX(職員マスタ!$L$6:$L$405,$J250)="","",INDEX(職員マスタ!$L$6:$L$405,$J250)))</f>
        <v/>
      </c>
      <c r="J250">
        <f>IFERROR(MATCH(41,職員マスタ!$Q$6:$Q$405,0),"")</f>
        <v/>
      </c>
    </row>
    <row r="251">
      <c r="A251">
        <f>IF($J251="","",42)</f>
        <v/>
      </c>
      <c r="B251">
        <f>IF($J251="","",IF(INDEX(職員マスタ!$A$6:$A$405,$J251)="","",INDEX(職員マスタ!$A$6:$A$405,$J251)))</f>
        <v/>
      </c>
      <c r="C251">
        <f>IF($J251="","",IF(INDEX(職員マスタ!$B$6:$B$405,$J251)="","",INDEX(職員マスタ!$B$6:$B$405,$J251)))</f>
        <v/>
      </c>
      <c r="D251">
        <f>IF($J251="","",IF(INDEX(職員マスタ!$C$6:$C$405,$J251)="","",INDEX(職員マスタ!$C$6:$C$405,$J251)))</f>
        <v/>
      </c>
      <c r="E251" s="19">
        <f>IF($J251="","",IF(INDEX(職員マスタ!$K$6:$K$405,$J251)="","",INDEX(職員マスタ!$K$6:$K$405,$J251)))</f>
        <v/>
      </c>
      <c r="F251">
        <f>IF($J251="","",IF(INDEX(職員マスタ!$M$6:$M$405,$J251)="","",INDEX(職員マスタ!$M$6:$M$405,$J251)))</f>
        <v/>
      </c>
      <c r="G251" s="20">
        <f>IF($J251="","",IF(INDEX(職員マスタ!$N$6:$N$405,$J251)="","",INDEX(職員マスタ!$N$6:$N$405,$J251)))</f>
        <v/>
      </c>
      <c r="H251">
        <f>IF(OR($J251="",$G251=""),"",TODAY()-$G251)</f>
        <v/>
      </c>
      <c r="I251">
        <f>IF($J251="","",IF(INDEX(職員マスタ!$L$6:$L$405,$J251)="","",INDEX(職員マスタ!$L$6:$L$405,$J251)))</f>
        <v/>
      </c>
      <c r="J251">
        <f>IFERROR(MATCH(42,職員マスタ!$Q$6:$Q$405,0),"")</f>
        <v/>
      </c>
    </row>
    <row r="252">
      <c r="A252">
        <f>IF($J252="","",43)</f>
        <v/>
      </c>
      <c r="B252">
        <f>IF($J252="","",IF(INDEX(職員マスタ!$A$6:$A$405,$J252)="","",INDEX(職員マスタ!$A$6:$A$405,$J252)))</f>
        <v/>
      </c>
      <c r="C252">
        <f>IF($J252="","",IF(INDEX(職員マスタ!$B$6:$B$405,$J252)="","",INDEX(職員マスタ!$B$6:$B$405,$J252)))</f>
        <v/>
      </c>
      <c r="D252">
        <f>IF($J252="","",IF(INDEX(職員マスタ!$C$6:$C$405,$J252)="","",INDEX(職員マスタ!$C$6:$C$405,$J252)))</f>
        <v/>
      </c>
      <c r="E252" s="19">
        <f>IF($J252="","",IF(INDEX(職員マスタ!$K$6:$K$405,$J252)="","",INDEX(職員マスタ!$K$6:$K$405,$J252)))</f>
        <v/>
      </c>
      <c r="F252">
        <f>IF($J252="","",IF(INDEX(職員マスタ!$M$6:$M$405,$J252)="","",INDEX(職員マスタ!$M$6:$M$405,$J252)))</f>
        <v/>
      </c>
      <c r="G252" s="20">
        <f>IF($J252="","",IF(INDEX(職員マスタ!$N$6:$N$405,$J252)="","",INDEX(職員マスタ!$N$6:$N$405,$J252)))</f>
        <v/>
      </c>
      <c r="H252">
        <f>IF(OR($J252="",$G252=""),"",TODAY()-$G252)</f>
        <v/>
      </c>
      <c r="I252">
        <f>IF($J252="","",IF(INDEX(職員マスタ!$L$6:$L$405,$J252)="","",INDEX(職員マスタ!$L$6:$L$405,$J252)))</f>
        <v/>
      </c>
      <c r="J252">
        <f>IFERROR(MATCH(43,職員マスタ!$Q$6:$Q$405,0),"")</f>
        <v/>
      </c>
    </row>
    <row r="253">
      <c r="A253">
        <f>IF($J253="","",44)</f>
        <v/>
      </c>
      <c r="B253">
        <f>IF($J253="","",IF(INDEX(職員マスタ!$A$6:$A$405,$J253)="","",INDEX(職員マスタ!$A$6:$A$405,$J253)))</f>
        <v/>
      </c>
      <c r="C253">
        <f>IF($J253="","",IF(INDEX(職員マスタ!$B$6:$B$405,$J253)="","",INDEX(職員マスタ!$B$6:$B$405,$J253)))</f>
        <v/>
      </c>
      <c r="D253">
        <f>IF($J253="","",IF(INDEX(職員マスタ!$C$6:$C$405,$J253)="","",INDEX(職員マスタ!$C$6:$C$405,$J253)))</f>
        <v/>
      </c>
      <c r="E253" s="19">
        <f>IF($J253="","",IF(INDEX(職員マスタ!$K$6:$K$405,$J253)="","",INDEX(職員マスタ!$K$6:$K$405,$J253)))</f>
        <v/>
      </c>
      <c r="F253">
        <f>IF($J253="","",IF(INDEX(職員マスタ!$M$6:$M$405,$J253)="","",INDEX(職員マスタ!$M$6:$M$405,$J253)))</f>
        <v/>
      </c>
      <c r="G253" s="20">
        <f>IF($J253="","",IF(INDEX(職員マスタ!$N$6:$N$405,$J253)="","",INDEX(職員マスタ!$N$6:$N$405,$J253)))</f>
        <v/>
      </c>
      <c r="H253">
        <f>IF(OR($J253="",$G253=""),"",TODAY()-$G253)</f>
        <v/>
      </c>
      <c r="I253">
        <f>IF($J253="","",IF(INDEX(職員マスタ!$L$6:$L$405,$J253)="","",INDEX(職員マスタ!$L$6:$L$405,$J253)))</f>
        <v/>
      </c>
      <c r="J253">
        <f>IFERROR(MATCH(44,職員マスタ!$Q$6:$Q$405,0),"")</f>
        <v/>
      </c>
    </row>
    <row r="254">
      <c r="A254">
        <f>IF($J254="","",45)</f>
        <v/>
      </c>
      <c r="B254">
        <f>IF($J254="","",IF(INDEX(職員マスタ!$A$6:$A$405,$J254)="","",INDEX(職員マスタ!$A$6:$A$405,$J254)))</f>
        <v/>
      </c>
      <c r="C254">
        <f>IF($J254="","",IF(INDEX(職員マスタ!$B$6:$B$405,$J254)="","",INDEX(職員マスタ!$B$6:$B$405,$J254)))</f>
        <v/>
      </c>
      <c r="D254">
        <f>IF($J254="","",IF(INDEX(職員マスタ!$C$6:$C$405,$J254)="","",INDEX(職員マスタ!$C$6:$C$405,$J254)))</f>
        <v/>
      </c>
      <c r="E254" s="19">
        <f>IF($J254="","",IF(INDEX(職員マスタ!$K$6:$K$405,$J254)="","",INDEX(職員マスタ!$K$6:$K$405,$J254)))</f>
        <v/>
      </c>
      <c r="F254">
        <f>IF($J254="","",IF(INDEX(職員マスタ!$M$6:$M$405,$J254)="","",INDEX(職員マスタ!$M$6:$M$405,$J254)))</f>
        <v/>
      </c>
      <c r="G254" s="20">
        <f>IF($J254="","",IF(INDEX(職員マスタ!$N$6:$N$405,$J254)="","",INDEX(職員マスタ!$N$6:$N$405,$J254)))</f>
        <v/>
      </c>
      <c r="H254">
        <f>IF(OR($J254="",$G254=""),"",TODAY()-$G254)</f>
        <v/>
      </c>
      <c r="I254">
        <f>IF($J254="","",IF(INDEX(職員マスタ!$L$6:$L$405,$J254)="","",INDEX(職員マスタ!$L$6:$L$405,$J254)))</f>
        <v/>
      </c>
      <c r="J254">
        <f>IFERROR(MATCH(45,職員マスタ!$Q$6:$Q$405,0),"")</f>
        <v/>
      </c>
    </row>
    <row r="255">
      <c r="A255">
        <f>IF($J255="","",46)</f>
        <v/>
      </c>
      <c r="B255">
        <f>IF($J255="","",IF(INDEX(職員マスタ!$A$6:$A$405,$J255)="","",INDEX(職員マスタ!$A$6:$A$405,$J255)))</f>
        <v/>
      </c>
      <c r="C255">
        <f>IF($J255="","",IF(INDEX(職員マスタ!$B$6:$B$405,$J255)="","",INDEX(職員マスタ!$B$6:$B$405,$J255)))</f>
        <v/>
      </c>
      <c r="D255">
        <f>IF($J255="","",IF(INDEX(職員マスタ!$C$6:$C$405,$J255)="","",INDEX(職員マスタ!$C$6:$C$405,$J255)))</f>
        <v/>
      </c>
      <c r="E255" s="19">
        <f>IF($J255="","",IF(INDEX(職員マスタ!$K$6:$K$405,$J255)="","",INDEX(職員マスタ!$K$6:$K$405,$J255)))</f>
        <v/>
      </c>
      <c r="F255">
        <f>IF($J255="","",IF(INDEX(職員マスタ!$M$6:$M$405,$J255)="","",INDEX(職員マスタ!$M$6:$M$405,$J255)))</f>
        <v/>
      </c>
      <c r="G255" s="20">
        <f>IF($J255="","",IF(INDEX(職員マスタ!$N$6:$N$405,$J255)="","",INDEX(職員マスタ!$N$6:$N$405,$J255)))</f>
        <v/>
      </c>
      <c r="H255">
        <f>IF(OR($J255="",$G255=""),"",TODAY()-$G255)</f>
        <v/>
      </c>
      <c r="I255">
        <f>IF($J255="","",IF(INDEX(職員マスタ!$L$6:$L$405,$J255)="","",INDEX(職員マスタ!$L$6:$L$405,$J255)))</f>
        <v/>
      </c>
      <c r="J255">
        <f>IFERROR(MATCH(46,職員マスタ!$Q$6:$Q$405,0),"")</f>
        <v/>
      </c>
    </row>
    <row r="256">
      <c r="A256">
        <f>IF($J256="","",47)</f>
        <v/>
      </c>
      <c r="B256">
        <f>IF($J256="","",IF(INDEX(職員マスタ!$A$6:$A$405,$J256)="","",INDEX(職員マスタ!$A$6:$A$405,$J256)))</f>
        <v/>
      </c>
      <c r="C256">
        <f>IF($J256="","",IF(INDEX(職員マスタ!$B$6:$B$405,$J256)="","",INDEX(職員マスタ!$B$6:$B$405,$J256)))</f>
        <v/>
      </c>
      <c r="D256">
        <f>IF($J256="","",IF(INDEX(職員マスタ!$C$6:$C$405,$J256)="","",INDEX(職員マスタ!$C$6:$C$405,$J256)))</f>
        <v/>
      </c>
      <c r="E256" s="19">
        <f>IF($J256="","",IF(INDEX(職員マスタ!$K$6:$K$405,$J256)="","",INDEX(職員マスタ!$K$6:$K$405,$J256)))</f>
        <v/>
      </c>
      <c r="F256">
        <f>IF($J256="","",IF(INDEX(職員マスタ!$M$6:$M$405,$J256)="","",INDEX(職員マスタ!$M$6:$M$405,$J256)))</f>
        <v/>
      </c>
      <c r="G256" s="20">
        <f>IF($J256="","",IF(INDEX(職員マスタ!$N$6:$N$405,$J256)="","",INDEX(職員マスタ!$N$6:$N$405,$J256)))</f>
        <v/>
      </c>
      <c r="H256">
        <f>IF(OR($J256="",$G256=""),"",TODAY()-$G256)</f>
        <v/>
      </c>
      <c r="I256">
        <f>IF($J256="","",IF(INDEX(職員マスタ!$L$6:$L$405,$J256)="","",INDEX(職員マスタ!$L$6:$L$405,$J256)))</f>
        <v/>
      </c>
      <c r="J256">
        <f>IFERROR(MATCH(47,職員マスタ!$Q$6:$Q$405,0),"")</f>
        <v/>
      </c>
    </row>
    <row r="257">
      <c r="A257">
        <f>IF($J257="","",48)</f>
        <v/>
      </c>
      <c r="B257">
        <f>IF($J257="","",IF(INDEX(職員マスタ!$A$6:$A$405,$J257)="","",INDEX(職員マスタ!$A$6:$A$405,$J257)))</f>
        <v/>
      </c>
      <c r="C257">
        <f>IF($J257="","",IF(INDEX(職員マスタ!$B$6:$B$405,$J257)="","",INDEX(職員マスタ!$B$6:$B$405,$J257)))</f>
        <v/>
      </c>
      <c r="D257">
        <f>IF($J257="","",IF(INDEX(職員マスタ!$C$6:$C$405,$J257)="","",INDEX(職員マスタ!$C$6:$C$405,$J257)))</f>
        <v/>
      </c>
      <c r="E257" s="19">
        <f>IF($J257="","",IF(INDEX(職員マスタ!$K$6:$K$405,$J257)="","",INDEX(職員マスタ!$K$6:$K$405,$J257)))</f>
        <v/>
      </c>
      <c r="F257">
        <f>IF($J257="","",IF(INDEX(職員マスタ!$M$6:$M$405,$J257)="","",INDEX(職員マスタ!$M$6:$M$405,$J257)))</f>
        <v/>
      </c>
      <c r="G257" s="20">
        <f>IF($J257="","",IF(INDEX(職員マスタ!$N$6:$N$405,$J257)="","",INDEX(職員マスタ!$N$6:$N$405,$J257)))</f>
        <v/>
      </c>
      <c r="H257">
        <f>IF(OR($J257="",$G257=""),"",TODAY()-$G257)</f>
        <v/>
      </c>
      <c r="I257">
        <f>IF($J257="","",IF(INDEX(職員マスタ!$L$6:$L$405,$J257)="","",INDEX(職員マスタ!$L$6:$L$405,$J257)))</f>
        <v/>
      </c>
      <c r="J257">
        <f>IFERROR(MATCH(48,職員マスタ!$Q$6:$Q$405,0),"")</f>
        <v/>
      </c>
    </row>
    <row r="258">
      <c r="A258">
        <f>IF($J258="","",49)</f>
        <v/>
      </c>
      <c r="B258">
        <f>IF($J258="","",IF(INDEX(職員マスタ!$A$6:$A$405,$J258)="","",INDEX(職員マスタ!$A$6:$A$405,$J258)))</f>
        <v/>
      </c>
      <c r="C258">
        <f>IF($J258="","",IF(INDEX(職員マスタ!$B$6:$B$405,$J258)="","",INDEX(職員マスタ!$B$6:$B$405,$J258)))</f>
        <v/>
      </c>
      <c r="D258">
        <f>IF($J258="","",IF(INDEX(職員マスタ!$C$6:$C$405,$J258)="","",INDEX(職員マスタ!$C$6:$C$405,$J258)))</f>
        <v/>
      </c>
      <c r="E258" s="19">
        <f>IF($J258="","",IF(INDEX(職員マスタ!$K$6:$K$405,$J258)="","",INDEX(職員マスタ!$K$6:$K$405,$J258)))</f>
        <v/>
      </c>
      <c r="F258">
        <f>IF($J258="","",IF(INDEX(職員マスタ!$M$6:$M$405,$J258)="","",INDEX(職員マスタ!$M$6:$M$405,$J258)))</f>
        <v/>
      </c>
      <c r="G258" s="20">
        <f>IF($J258="","",IF(INDEX(職員マスタ!$N$6:$N$405,$J258)="","",INDEX(職員マスタ!$N$6:$N$405,$J258)))</f>
        <v/>
      </c>
      <c r="H258">
        <f>IF(OR($J258="",$G258=""),"",TODAY()-$G258)</f>
        <v/>
      </c>
      <c r="I258">
        <f>IF($J258="","",IF(INDEX(職員マスタ!$L$6:$L$405,$J258)="","",INDEX(職員マスタ!$L$6:$L$405,$J258)))</f>
        <v/>
      </c>
      <c r="J258">
        <f>IFERROR(MATCH(49,職員マスタ!$Q$6:$Q$405,0),"")</f>
        <v/>
      </c>
    </row>
    <row r="259">
      <c r="A259">
        <f>IF($J259="","",50)</f>
        <v/>
      </c>
      <c r="B259">
        <f>IF($J259="","",IF(INDEX(職員マスタ!$A$6:$A$405,$J259)="","",INDEX(職員マスタ!$A$6:$A$405,$J259)))</f>
        <v/>
      </c>
      <c r="C259">
        <f>IF($J259="","",IF(INDEX(職員マスタ!$B$6:$B$405,$J259)="","",INDEX(職員マスタ!$B$6:$B$405,$J259)))</f>
        <v/>
      </c>
      <c r="D259">
        <f>IF($J259="","",IF(INDEX(職員マスタ!$C$6:$C$405,$J259)="","",INDEX(職員マスタ!$C$6:$C$405,$J259)))</f>
        <v/>
      </c>
      <c r="E259" s="19">
        <f>IF($J259="","",IF(INDEX(職員マスタ!$K$6:$K$405,$J259)="","",INDEX(職員マスタ!$K$6:$K$405,$J259)))</f>
        <v/>
      </c>
      <c r="F259">
        <f>IF($J259="","",IF(INDEX(職員マスタ!$M$6:$M$405,$J259)="","",INDEX(職員マスタ!$M$6:$M$405,$J259)))</f>
        <v/>
      </c>
      <c r="G259" s="20">
        <f>IF($J259="","",IF(INDEX(職員マスタ!$N$6:$N$405,$J259)="","",INDEX(職員マスタ!$N$6:$N$405,$J259)))</f>
        <v/>
      </c>
      <c r="H259">
        <f>IF(OR($J259="",$G259=""),"",TODAY()-$G259)</f>
        <v/>
      </c>
      <c r="I259">
        <f>IF($J259="","",IF(INDEX(職員マスタ!$L$6:$L$405,$J259)="","",INDEX(職員マスタ!$L$6:$L$405,$J259)))</f>
        <v/>
      </c>
      <c r="J259">
        <f>IFERROR(MATCH(50,職員マスタ!$Q$6:$Q$405,0),"")</f>
        <v/>
      </c>
    </row>
    <row r="260">
      <c r="A260">
        <f>IF($J260="","",51)</f>
        <v/>
      </c>
      <c r="B260">
        <f>IF($J260="","",IF(INDEX(職員マスタ!$A$6:$A$405,$J260)="","",INDEX(職員マスタ!$A$6:$A$405,$J260)))</f>
        <v/>
      </c>
      <c r="C260">
        <f>IF($J260="","",IF(INDEX(職員マスタ!$B$6:$B$405,$J260)="","",INDEX(職員マスタ!$B$6:$B$405,$J260)))</f>
        <v/>
      </c>
      <c r="D260">
        <f>IF($J260="","",IF(INDEX(職員マスタ!$C$6:$C$405,$J260)="","",INDEX(職員マスタ!$C$6:$C$405,$J260)))</f>
        <v/>
      </c>
      <c r="E260" s="19">
        <f>IF($J260="","",IF(INDEX(職員マスタ!$K$6:$K$405,$J260)="","",INDEX(職員マスタ!$K$6:$K$405,$J260)))</f>
        <v/>
      </c>
      <c r="F260">
        <f>IF($J260="","",IF(INDEX(職員マスタ!$M$6:$M$405,$J260)="","",INDEX(職員マスタ!$M$6:$M$405,$J260)))</f>
        <v/>
      </c>
      <c r="G260" s="20">
        <f>IF($J260="","",IF(INDEX(職員マスタ!$N$6:$N$405,$J260)="","",INDEX(職員マスタ!$N$6:$N$405,$J260)))</f>
        <v/>
      </c>
      <c r="H260">
        <f>IF(OR($J260="",$G260=""),"",TODAY()-$G260)</f>
        <v/>
      </c>
      <c r="I260">
        <f>IF($J260="","",IF(INDEX(職員マスタ!$L$6:$L$405,$J260)="","",INDEX(職員マスタ!$L$6:$L$405,$J260)))</f>
        <v/>
      </c>
      <c r="J260">
        <f>IFERROR(MATCH(51,職員マスタ!$Q$6:$Q$405,0),"")</f>
        <v/>
      </c>
    </row>
    <row r="261">
      <c r="A261">
        <f>IF($J261="","",52)</f>
        <v/>
      </c>
      <c r="B261">
        <f>IF($J261="","",IF(INDEX(職員マスタ!$A$6:$A$405,$J261)="","",INDEX(職員マスタ!$A$6:$A$405,$J261)))</f>
        <v/>
      </c>
      <c r="C261">
        <f>IF($J261="","",IF(INDEX(職員マスタ!$B$6:$B$405,$J261)="","",INDEX(職員マスタ!$B$6:$B$405,$J261)))</f>
        <v/>
      </c>
      <c r="D261">
        <f>IF($J261="","",IF(INDEX(職員マスタ!$C$6:$C$405,$J261)="","",INDEX(職員マスタ!$C$6:$C$405,$J261)))</f>
        <v/>
      </c>
      <c r="E261" s="19">
        <f>IF($J261="","",IF(INDEX(職員マスタ!$K$6:$K$405,$J261)="","",INDEX(職員マスタ!$K$6:$K$405,$J261)))</f>
        <v/>
      </c>
      <c r="F261">
        <f>IF($J261="","",IF(INDEX(職員マスタ!$M$6:$M$405,$J261)="","",INDEX(職員マスタ!$M$6:$M$405,$J261)))</f>
        <v/>
      </c>
      <c r="G261" s="20">
        <f>IF($J261="","",IF(INDEX(職員マスタ!$N$6:$N$405,$J261)="","",INDEX(職員マスタ!$N$6:$N$405,$J261)))</f>
        <v/>
      </c>
      <c r="H261">
        <f>IF(OR($J261="",$G261=""),"",TODAY()-$G261)</f>
        <v/>
      </c>
      <c r="I261">
        <f>IF($J261="","",IF(INDEX(職員マスタ!$L$6:$L$405,$J261)="","",INDEX(職員マスタ!$L$6:$L$405,$J261)))</f>
        <v/>
      </c>
      <c r="J261">
        <f>IFERROR(MATCH(52,職員マスタ!$Q$6:$Q$405,0),"")</f>
        <v/>
      </c>
    </row>
    <row r="262">
      <c r="A262">
        <f>IF($J262="","",53)</f>
        <v/>
      </c>
      <c r="B262">
        <f>IF($J262="","",IF(INDEX(職員マスタ!$A$6:$A$405,$J262)="","",INDEX(職員マスタ!$A$6:$A$405,$J262)))</f>
        <v/>
      </c>
      <c r="C262">
        <f>IF($J262="","",IF(INDEX(職員マスタ!$B$6:$B$405,$J262)="","",INDEX(職員マスタ!$B$6:$B$405,$J262)))</f>
        <v/>
      </c>
      <c r="D262">
        <f>IF($J262="","",IF(INDEX(職員マスタ!$C$6:$C$405,$J262)="","",INDEX(職員マスタ!$C$6:$C$405,$J262)))</f>
        <v/>
      </c>
      <c r="E262" s="19">
        <f>IF($J262="","",IF(INDEX(職員マスタ!$K$6:$K$405,$J262)="","",INDEX(職員マスタ!$K$6:$K$405,$J262)))</f>
        <v/>
      </c>
      <c r="F262">
        <f>IF($J262="","",IF(INDEX(職員マスタ!$M$6:$M$405,$J262)="","",INDEX(職員マスタ!$M$6:$M$405,$J262)))</f>
        <v/>
      </c>
      <c r="G262" s="20">
        <f>IF($J262="","",IF(INDEX(職員マスタ!$N$6:$N$405,$J262)="","",INDEX(職員マスタ!$N$6:$N$405,$J262)))</f>
        <v/>
      </c>
      <c r="H262">
        <f>IF(OR($J262="",$G262=""),"",TODAY()-$G262)</f>
        <v/>
      </c>
      <c r="I262">
        <f>IF($J262="","",IF(INDEX(職員マスタ!$L$6:$L$405,$J262)="","",INDEX(職員マスタ!$L$6:$L$405,$J262)))</f>
        <v/>
      </c>
      <c r="J262">
        <f>IFERROR(MATCH(53,職員マスタ!$Q$6:$Q$405,0),"")</f>
        <v/>
      </c>
    </row>
    <row r="263">
      <c r="A263">
        <f>IF($J263="","",54)</f>
        <v/>
      </c>
      <c r="B263">
        <f>IF($J263="","",IF(INDEX(職員マスタ!$A$6:$A$405,$J263)="","",INDEX(職員マスタ!$A$6:$A$405,$J263)))</f>
        <v/>
      </c>
      <c r="C263">
        <f>IF($J263="","",IF(INDEX(職員マスタ!$B$6:$B$405,$J263)="","",INDEX(職員マスタ!$B$6:$B$405,$J263)))</f>
        <v/>
      </c>
      <c r="D263">
        <f>IF($J263="","",IF(INDEX(職員マスタ!$C$6:$C$405,$J263)="","",INDEX(職員マスタ!$C$6:$C$405,$J263)))</f>
        <v/>
      </c>
      <c r="E263" s="19">
        <f>IF($J263="","",IF(INDEX(職員マスタ!$K$6:$K$405,$J263)="","",INDEX(職員マスタ!$K$6:$K$405,$J263)))</f>
        <v/>
      </c>
      <c r="F263">
        <f>IF($J263="","",IF(INDEX(職員マスタ!$M$6:$M$405,$J263)="","",INDEX(職員マスタ!$M$6:$M$405,$J263)))</f>
        <v/>
      </c>
      <c r="G263" s="20">
        <f>IF($J263="","",IF(INDEX(職員マスタ!$N$6:$N$405,$J263)="","",INDEX(職員マスタ!$N$6:$N$405,$J263)))</f>
        <v/>
      </c>
      <c r="H263">
        <f>IF(OR($J263="",$G263=""),"",TODAY()-$G263)</f>
        <v/>
      </c>
      <c r="I263">
        <f>IF($J263="","",IF(INDEX(職員マスタ!$L$6:$L$405,$J263)="","",INDEX(職員マスタ!$L$6:$L$405,$J263)))</f>
        <v/>
      </c>
      <c r="J263">
        <f>IFERROR(MATCH(54,職員マスタ!$Q$6:$Q$405,0),"")</f>
        <v/>
      </c>
    </row>
    <row r="264">
      <c r="A264">
        <f>IF($J264="","",55)</f>
        <v/>
      </c>
      <c r="B264">
        <f>IF($J264="","",IF(INDEX(職員マスタ!$A$6:$A$405,$J264)="","",INDEX(職員マスタ!$A$6:$A$405,$J264)))</f>
        <v/>
      </c>
      <c r="C264">
        <f>IF($J264="","",IF(INDEX(職員マスタ!$B$6:$B$405,$J264)="","",INDEX(職員マスタ!$B$6:$B$405,$J264)))</f>
        <v/>
      </c>
      <c r="D264">
        <f>IF($J264="","",IF(INDEX(職員マスタ!$C$6:$C$405,$J264)="","",INDEX(職員マスタ!$C$6:$C$405,$J264)))</f>
        <v/>
      </c>
      <c r="E264" s="19">
        <f>IF($J264="","",IF(INDEX(職員マスタ!$K$6:$K$405,$J264)="","",INDEX(職員マスタ!$K$6:$K$405,$J264)))</f>
        <v/>
      </c>
      <c r="F264">
        <f>IF($J264="","",IF(INDEX(職員マスタ!$M$6:$M$405,$J264)="","",INDEX(職員マスタ!$M$6:$M$405,$J264)))</f>
        <v/>
      </c>
      <c r="G264" s="20">
        <f>IF($J264="","",IF(INDEX(職員マスタ!$N$6:$N$405,$J264)="","",INDEX(職員マスタ!$N$6:$N$405,$J264)))</f>
        <v/>
      </c>
      <c r="H264">
        <f>IF(OR($J264="",$G264=""),"",TODAY()-$G264)</f>
        <v/>
      </c>
      <c r="I264">
        <f>IF($J264="","",IF(INDEX(職員マスタ!$L$6:$L$405,$J264)="","",INDEX(職員マスタ!$L$6:$L$405,$J264)))</f>
        <v/>
      </c>
      <c r="J264">
        <f>IFERROR(MATCH(55,職員マスタ!$Q$6:$Q$405,0),"")</f>
        <v/>
      </c>
    </row>
    <row r="265">
      <c r="A265">
        <f>IF($J265="","",56)</f>
        <v/>
      </c>
      <c r="B265">
        <f>IF($J265="","",IF(INDEX(職員マスタ!$A$6:$A$405,$J265)="","",INDEX(職員マスタ!$A$6:$A$405,$J265)))</f>
        <v/>
      </c>
      <c r="C265">
        <f>IF($J265="","",IF(INDEX(職員マスタ!$B$6:$B$405,$J265)="","",INDEX(職員マスタ!$B$6:$B$405,$J265)))</f>
        <v/>
      </c>
      <c r="D265">
        <f>IF($J265="","",IF(INDEX(職員マスタ!$C$6:$C$405,$J265)="","",INDEX(職員マスタ!$C$6:$C$405,$J265)))</f>
        <v/>
      </c>
      <c r="E265" s="19">
        <f>IF($J265="","",IF(INDEX(職員マスタ!$K$6:$K$405,$J265)="","",INDEX(職員マスタ!$K$6:$K$405,$J265)))</f>
        <v/>
      </c>
      <c r="F265">
        <f>IF($J265="","",IF(INDEX(職員マスタ!$M$6:$M$405,$J265)="","",INDEX(職員マスタ!$M$6:$M$405,$J265)))</f>
        <v/>
      </c>
      <c r="G265" s="20">
        <f>IF($J265="","",IF(INDEX(職員マスタ!$N$6:$N$405,$J265)="","",INDEX(職員マスタ!$N$6:$N$405,$J265)))</f>
        <v/>
      </c>
      <c r="H265">
        <f>IF(OR($J265="",$G265=""),"",TODAY()-$G265)</f>
        <v/>
      </c>
      <c r="I265">
        <f>IF($J265="","",IF(INDEX(職員マスタ!$L$6:$L$405,$J265)="","",INDEX(職員マスタ!$L$6:$L$405,$J265)))</f>
        <v/>
      </c>
      <c r="J265">
        <f>IFERROR(MATCH(56,職員マスタ!$Q$6:$Q$405,0),"")</f>
        <v/>
      </c>
    </row>
    <row r="266">
      <c r="A266">
        <f>IF($J266="","",57)</f>
        <v/>
      </c>
      <c r="B266">
        <f>IF($J266="","",IF(INDEX(職員マスタ!$A$6:$A$405,$J266)="","",INDEX(職員マスタ!$A$6:$A$405,$J266)))</f>
        <v/>
      </c>
      <c r="C266">
        <f>IF($J266="","",IF(INDEX(職員マスタ!$B$6:$B$405,$J266)="","",INDEX(職員マスタ!$B$6:$B$405,$J266)))</f>
        <v/>
      </c>
      <c r="D266">
        <f>IF($J266="","",IF(INDEX(職員マスタ!$C$6:$C$405,$J266)="","",INDEX(職員マスタ!$C$6:$C$405,$J266)))</f>
        <v/>
      </c>
      <c r="E266" s="19">
        <f>IF($J266="","",IF(INDEX(職員マスタ!$K$6:$K$405,$J266)="","",INDEX(職員マスタ!$K$6:$K$405,$J266)))</f>
        <v/>
      </c>
      <c r="F266">
        <f>IF($J266="","",IF(INDEX(職員マスタ!$M$6:$M$405,$J266)="","",INDEX(職員マスタ!$M$6:$M$405,$J266)))</f>
        <v/>
      </c>
      <c r="G266" s="20">
        <f>IF($J266="","",IF(INDEX(職員マスタ!$N$6:$N$405,$J266)="","",INDEX(職員マスタ!$N$6:$N$405,$J266)))</f>
        <v/>
      </c>
      <c r="H266">
        <f>IF(OR($J266="",$G266=""),"",TODAY()-$G266)</f>
        <v/>
      </c>
      <c r="I266">
        <f>IF($J266="","",IF(INDEX(職員マスタ!$L$6:$L$405,$J266)="","",INDEX(職員マスタ!$L$6:$L$405,$J266)))</f>
        <v/>
      </c>
      <c r="J266">
        <f>IFERROR(MATCH(57,職員マスタ!$Q$6:$Q$405,0),"")</f>
        <v/>
      </c>
    </row>
    <row r="267">
      <c r="A267">
        <f>IF($J267="","",58)</f>
        <v/>
      </c>
      <c r="B267">
        <f>IF($J267="","",IF(INDEX(職員マスタ!$A$6:$A$405,$J267)="","",INDEX(職員マスタ!$A$6:$A$405,$J267)))</f>
        <v/>
      </c>
      <c r="C267">
        <f>IF($J267="","",IF(INDEX(職員マスタ!$B$6:$B$405,$J267)="","",INDEX(職員マスタ!$B$6:$B$405,$J267)))</f>
        <v/>
      </c>
      <c r="D267">
        <f>IF($J267="","",IF(INDEX(職員マスタ!$C$6:$C$405,$J267)="","",INDEX(職員マスタ!$C$6:$C$405,$J267)))</f>
        <v/>
      </c>
      <c r="E267" s="19">
        <f>IF($J267="","",IF(INDEX(職員マスタ!$K$6:$K$405,$J267)="","",INDEX(職員マスタ!$K$6:$K$405,$J267)))</f>
        <v/>
      </c>
      <c r="F267">
        <f>IF($J267="","",IF(INDEX(職員マスタ!$M$6:$M$405,$J267)="","",INDEX(職員マスタ!$M$6:$M$405,$J267)))</f>
        <v/>
      </c>
      <c r="G267" s="20">
        <f>IF($J267="","",IF(INDEX(職員マスタ!$N$6:$N$405,$J267)="","",INDEX(職員マスタ!$N$6:$N$405,$J267)))</f>
        <v/>
      </c>
      <c r="H267">
        <f>IF(OR($J267="",$G267=""),"",TODAY()-$G267)</f>
        <v/>
      </c>
      <c r="I267">
        <f>IF($J267="","",IF(INDEX(職員マスタ!$L$6:$L$405,$J267)="","",INDEX(職員マスタ!$L$6:$L$405,$J267)))</f>
        <v/>
      </c>
      <c r="J267">
        <f>IFERROR(MATCH(58,職員マスタ!$Q$6:$Q$405,0),"")</f>
        <v/>
      </c>
    </row>
    <row r="268">
      <c r="A268">
        <f>IF($J268="","",59)</f>
        <v/>
      </c>
      <c r="B268">
        <f>IF($J268="","",IF(INDEX(職員マスタ!$A$6:$A$405,$J268)="","",INDEX(職員マスタ!$A$6:$A$405,$J268)))</f>
        <v/>
      </c>
      <c r="C268">
        <f>IF($J268="","",IF(INDEX(職員マスタ!$B$6:$B$405,$J268)="","",INDEX(職員マスタ!$B$6:$B$405,$J268)))</f>
        <v/>
      </c>
      <c r="D268">
        <f>IF($J268="","",IF(INDEX(職員マスタ!$C$6:$C$405,$J268)="","",INDEX(職員マスタ!$C$6:$C$405,$J268)))</f>
        <v/>
      </c>
      <c r="E268" s="19">
        <f>IF($J268="","",IF(INDEX(職員マスタ!$K$6:$K$405,$J268)="","",INDEX(職員マスタ!$K$6:$K$405,$J268)))</f>
        <v/>
      </c>
      <c r="F268">
        <f>IF($J268="","",IF(INDEX(職員マスタ!$M$6:$M$405,$J268)="","",INDEX(職員マスタ!$M$6:$M$405,$J268)))</f>
        <v/>
      </c>
      <c r="G268" s="20">
        <f>IF($J268="","",IF(INDEX(職員マスタ!$N$6:$N$405,$J268)="","",INDEX(職員マスタ!$N$6:$N$405,$J268)))</f>
        <v/>
      </c>
      <c r="H268">
        <f>IF(OR($J268="",$G268=""),"",TODAY()-$G268)</f>
        <v/>
      </c>
      <c r="I268">
        <f>IF($J268="","",IF(INDEX(職員マスタ!$L$6:$L$405,$J268)="","",INDEX(職員マスタ!$L$6:$L$405,$J268)))</f>
        <v/>
      </c>
      <c r="J268">
        <f>IFERROR(MATCH(59,職員マスタ!$Q$6:$Q$405,0),"")</f>
        <v/>
      </c>
    </row>
    <row r="269">
      <c r="A269">
        <f>IF($J269="","",60)</f>
        <v/>
      </c>
      <c r="B269">
        <f>IF($J269="","",IF(INDEX(職員マスタ!$A$6:$A$405,$J269)="","",INDEX(職員マスタ!$A$6:$A$405,$J269)))</f>
        <v/>
      </c>
      <c r="C269">
        <f>IF($J269="","",IF(INDEX(職員マスタ!$B$6:$B$405,$J269)="","",INDEX(職員マスタ!$B$6:$B$405,$J269)))</f>
        <v/>
      </c>
      <c r="D269">
        <f>IF($J269="","",IF(INDEX(職員マスタ!$C$6:$C$405,$J269)="","",INDEX(職員マスタ!$C$6:$C$405,$J269)))</f>
        <v/>
      </c>
      <c r="E269" s="19">
        <f>IF($J269="","",IF(INDEX(職員マスタ!$K$6:$K$405,$J269)="","",INDEX(職員マスタ!$K$6:$K$405,$J269)))</f>
        <v/>
      </c>
      <c r="F269">
        <f>IF($J269="","",IF(INDEX(職員マスタ!$M$6:$M$405,$J269)="","",INDEX(職員マスタ!$M$6:$M$405,$J269)))</f>
        <v/>
      </c>
      <c r="G269" s="20">
        <f>IF($J269="","",IF(INDEX(職員マスタ!$N$6:$N$405,$J269)="","",INDEX(職員マスタ!$N$6:$N$405,$J269)))</f>
        <v/>
      </c>
      <c r="H269">
        <f>IF(OR($J269="",$G269=""),"",TODAY()-$G269)</f>
        <v/>
      </c>
      <c r="I269">
        <f>IF($J269="","",IF(INDEX(職員マスタ!$L$6:$L$405,$J269)="","",INDEX(職員マスタ!$L$6:$L$405,$J269)))</f>
        <v/>
      </c>
      <c r="J269">
        <f>IFERROR(MATCH(60,職員マスタ!$Q$6:$Q$405,0),"")</f>
        <v/>
      </c>
    </row>
  </sheetData>
  <conditionalFormatting sqref="J6:J205">
    <cfRule type="expression" priority="1" dxfId="3">
      <formula>AND(ISNUMBER($J6),$J6&gt;設定!$C$7)</formula>
    </cfRule>
    <cfRule type="expression" priority="2" dxfId="4">
      <formula>AND(ISNUMBER($J6),$J6&gt;設定!$C$6)</formula>
    </cfRule>
  </conditionalFormatting>
  <pageMargins left="0.75" right="0.75" top="1" bottom="1" header="0.5" footer="0.5"/>
</worksheet>
</file>

<file path=xl/worksheets/sheet4.xml><?xml version="1.0" encoding="utf-8"?>
<worksheet xmlns="http://schemas.openxmlformats.org/spreadsheetml/2006/main">
  <sheetPr>
    <outlinePr summaryBelow="1" summaryRight="1"/>
    <pageSetUpPr/>
  </sheetPr>
  <dimension ref="A1:M34"/>
  <sheetViews>
    <sheetView zoomScale="90" workbookViewId="0">
      <selection activeCell="A1" sqref="A1"/>
    </sheetView>
  </sheetViews>
  <sheetFormatPr baseColWidth="8" defaultRowHeight="15"/>
  <cols>
    <col width="10" customWidth="1" min="1" max="1"/>
    <col width="9" customWidth="1" min="2" max="2"/>
    <col width="14" customWidth="1" min="3" max="3"/>
    <col width="13" customWidth="1" min="4" max="4"/>
    <col width="8" customWidth="1" min="5" max="5"/>
    <col width="8" customWidth="1" min="6" max="6"/>
    <col width="8" customWidth="1" min="7" max="7"/>
    <col width="8" customWidth="1" min="8" max="8"/>
    <col width="8" customWidth="1" min="9" max="9"/>
    <col width="3" customWidth="1" min="10" max="10"/>
    <col width="10" customWidth="1" min="11" max="11"/>
    <col width="8" customWidth="1" min="12" max="12"/>
    <col width="14" customWidth="1" min="13" max="13"/>
  </cols>
  <sheetData>
    <row r="1">
      <c r="A1" s="5" t="inlineStr">
        <is>
          <t>月次集計</t>
        </is>
      </c>
    </row>
    <row r="2">
      <c r="A2" s="6" t="inlineStr">
        <is>
          <t>対象月別の請求状況と、支給月別の支給額</t>
        </is>
      </c>
    </row>
    <row r="4" ht="34" customHeight="1">
      <c r="A4" s="8" t="inlineStr">
        <is>
          <t>対象月</t>
        </is>
      </c>
      <c r="B4" s="8" t="inlineStr">
        <is>
          <t>請求件数</t>
        </is>
      </c>
      <c r="C4" s="8" t="inlineStr">
        <is>
          <t>報酬額 合計</t>
        </is>
      </c>
      <c r="D4" s="8" t="inlineStr">
        <is>
          <t>決定額 合計</t>
        </is>
      </c>
      <c r="E4" s="8" t="inlineStr">
        <is>
          <t>支給済</t>
        </is>
      </c>
      <c r="F4" s="8" t="inlineStr">
        <is>
          <t>未処理</t>
        </is>
      </c>
      <c r="G4" s="8" t="inlineStr">
        <is>
          <t>保留中</t>
        </is>
      </c>
      <c r="H4" s="8" t="inlineStr">
        <is>
          <t>不支給</t>
        </is>
      </c>
      <c r="I4" s="8" t="inlineStr">
        <is>
          <t>要確認</t>
        </is>
      </c>
      <c r="K4" s="10" t="inlineStr">
        <is>
          <t>支給月</t>
        </is>
      </c>
      <c r="L4" s="10" t="inlineStr">
        <is>
          <t>件数</t>
        </is>
      </c>
      <c r="M4" s="10" t="inlineStr">
        <is>
          <t>支給額 合計</t>
        </is>
      </c>
    </row>
    <row r="5">
      <c r="A5" t="inlineStr">
        <is>
          <t>R7.4</t>
        </is>
      </c>
      <c r="B5">
        <f>COUNTIFS(請求記録!$Z$6:$Z$3005,$A5)</f>
        <v/>
      </c>
      <c r="C5" s="19">
        <f>SUMIFS(請求記録!$E$6:$E$3005,請求記録!$Z$6:$Z$3005,$A5)</f>
        <v/>
      </c>
      <c r="D5" s="19">
        <f>SUMIFS(請求記録!$AE$6:$AE$3005,請求記録!$Z$6:$Z$3005,$A5)</f>
        <v/>
      </c>
      <c r="E5">
        <f>COUNTIFS(請求記録!$Z$6:$Z$3005,$A5,請求記録!$AF$6:$AF$3005,"支給済")</f>
        <v/>
      </c>
      <c r="F5">
        <f>COUNTIFS(請求記録!$Z$6:$Z$3005,$A5,請求記録!$AF$6:$AF$3005,"未処理")</f>
        <v/>
      </c>
      <c r="G5">
        <f>COUNTIFS(請求記録!$Z$6:$Z$3005,$A5,請求記録!$AF$6:$AF$3005,"保留中")</f>
        <v/>
      </c>
      <c r="H5">
        <f>COUNTIFS(請求記録!$Z$6:$Z$3005,$A5,請求記録!$AF$6:$AF$3005,"不支給")</f>
        <v/>
      </c>
      <c r="I5">
        <f>COUNTIFS(請求記録!$Z$6:$Z$3005,$A5,請求記録!$AF$6:$AF$3005,"要確認")</f>
        <v/>
      </c>
      <c r="K5" t="inlineStr">
        <is>
          <t>R7.6</t>
        </is>
      </c>
      <c r="L5">
        <f>COUNTIFS(請求記録!$AL$6:$AL$3005,$K5,請求記録!$AF$6:$AF$3005,"支給済")</f>
        <v/>
      </c>
      <c r="M5" s="19">
        <f>SUMIFS(請求記録!$AE$6:$AE$3005,請求記録!$AL$6:$AL$3005,$K5,請求記録!$AF$6:$AF$3005,"支給済")</f>
        <v/>
      </c>
    </row>
    <row r="6">
      <c r="A6" t="inlineStr">
        <is>
          <t>R7.5</t>
        </is>
      </c>
      <c r="B6">
        <f>COUNTIFS(請求記録!$Z$6:$Z$3005,$A6)</f>
        <v/>
      </c>
      <c r="C6" s="19">
        <f>SUMIFS(請求記録!$E$6:$E$3005,請求記録!$Z$6:$Z$3005,$A6)</f>
        <v/>
      </c>
      <c r="D6" s="19">
        <f>SUMIFS(請求記録!$AE$6:$AE$3005,請求記録!$Z$6:$Z$3005,$A6)</f>
        <v/>
      </c>
      <c r="E6">
        <f>COUNTIFS(請求記録!$Z$6:$Z$3005,$A6,請求記録!$AF$6:$AF$3005,"支給済")</f>
        <v/>
      </c>
      <c r="F6">
        <f>COUNTIFS(請求記録!$Z$6:$Z$3005,$A6,請求記録!$AF$6:$AF$3005,"未処理")</f>
        <v/>
      </c>
      <c r="G6">
        <f>COUNTIFS(請求記録!$Z$6:$Z$3005,$A6,請求記録!$AF$6:$AF$3005,"保留中")</f>
        <v/>
      </c>
      <c r="H6">
        <f>COUNTIFS(請求記録!$Z$6:$Z$3005,$A6,請求記録!$AF$6:$AF$3005,"不支給")</f>
        <v/>
      </c>
      <c r="I6">
        <f>COUNTIFS(請求記録!$Z$6:$Z$3005,$A6,請求記録!$AF$6:$AF$3005,"要確認")</f>
        <v/>
      </c>
      <c r="K6" t="inlineStr">
        <is>
          <t>R7.7</t>
        </is>
      </c>
      <c r="L6">
        <f>COUNTIFS(請求記録!$AL$6:$AL$3005,$K6,請求記録!$AF$6:$AF$3005,"支給済")</f>
        <v/>
      </c>
      <c r="M6" s="19">
        <f>SUMIFS(請求記録!$AE$6:$AE$3005,請求記録!$AL$6:$AL$3005,$K6,請求記録!$AF$6:$AF$3005,"支給済")</f>
        <v/>
      </c>
    </row>
    <row r="7">
      <c r="A7" t="inlineStr">
        <is>
          <t>R7.6</t>
        </is>
      </c>
      <c r="B7">
        <f>COUNTIFS(請求記録!$Z$6:$Z$3005,$A7)</f>
        <v/>
      </c>
      <c r="C7" s="19">
        <f>SUMIFS(請求記録!$E$6:$E$3005,請求記録!$Z$6:$Z$3005,$A7)</f>
        <v/>
      </c>
      <c r="D7" s="19">
        <f>SUMIFS(請求記録!$AE$6:$AE$3005,請求記録!$Z$6:$Z$3005,$A7)</f>
        <v/>
      </c>
      <c r="E7">
        <f>COUNTIFS(請求記録!$Z$6:$Z$3005,$A7,請求記録!$AF$6:$AF$3005,"支給済")</f>
        <v/>
      </c>
      <c r="F7">
        <f>COUNTIFS(請求記録!$Z$6:$Z$3005,$A7,請求記録!$AF$6:$AF$3005,"未処理")</f>
        <v/>
      </c>
      <c r="G7">
        <f>COUNTIFS(請求記録!$Z$6:$Z$3005,$A7,請求記録!$AF$6:$AF$3005,"保留中")</f>
        <v/>
      </c>
      <c r="H7">
        <f>COUNTIFS(請求記録!$Z$6:$Z$3005,$A7,請求記録!$AF$6:$AF$3005,"不支給")</f>
        <v/>
      </c>
      <c r="I7">
        <f>COUNTIFS(請求記録!$Z$6:$Z$3005,$A7,請求記録!$AF$6:$AF$3005,"要確認")</f>
        <v/>
      </c>
      <c r="K7" t="inlineStr">
        <is>
          <t>R7.8</t>
        </is>
      </c>
      <c r="L7">
        <f>COUNTIFS(請求記録!$AL$6:$AL$3005,$K7,請求記録!$AF$6:$AF$3005,"支給済")</f>
        <v/>
      </c>
      <c r="M7" s="19">
        <f>SUMIFS(請求記録!$AE$6:$AE$3005,請求記録!$AL$6:$AL$3005,$K7,請求記録!$AF$6:$AF$3005,"支給済")</f>
        <v/>
      </c>
    </row>
    <row r="8">
      <c r="A8" t="inlineStr">
        <is>
          <t>R7.7</t>
        </is>
      </c>
      <c r="B8">
        <f>COUNTIFS(請求記録!$Z$6:$Z$3005,$A8)</f>
        <v/>
      </c>
      <c r="C8" s="19">
        <f>SUMIFS(請求記録!$E$6:$E$3005,請求記録!$Z$6:$Z$3005,$A8)</f>
        <v/>
      </c>
      <c r="D8" s="19">
        <f>SUMIFS(請求記録!$AE$6:$AE$3005,請求記録!$Z$6:$Z$3005,$A8)</f>
        <v/>
      </c>
      <c r="E8">
        <f>COUNTIFS(請求記録!$Z$6:$Z$3005,$A8,請求記録!$AF$6:$AF$3005,"支給済")</f>
        <v/>
      </c>
      <c r="F8">
        <f>COUNTIFS(請求記録!$Z$6:$Z$3005,$A8,請求記録!$AF$6:$AF$3005,"未処理")</f>
        <v/>
      </c>
      <c r="G8">
        <f>COUNTIFS(請求記録!$Z$6:$Z$3005,$A8,請求記録!$AF$6:$AF$3005,"保留中")</f>
        <v/>
      </c>
      <c r="H8">
        <f>COUNTIFS(請求記録!$Z$6:$Z$3005,$A8,請求記録!$AF$6:$AF$3005,"不支給")</f>
        <v/>
      </c>
      <c r="I8">
        <f>COUNTIFS(請求記録!$Z$6:$Z$3005,$A8,請求記録!$AF$6:$AF$3005,"要確認")</f>
        <v/>
      </c>
      <c r="K8" t="inlineStr">
        <is>
          <t>R7.9</t>
        </is>
      </c>
      <c r="L8">
        <f>COUNTIFS(請求記録!$AL$6:$AL$3005,$K8,請求記録!$AF$6:$AF$3005,"支給済")</f>
        <v/>
      </c>
      <c r="M8" s="19">
        <f>SUMIFS(請求記録!$AE$6:$AE$3005,請求記録!$AL$6:$AL$3005,$K8,請求記録!$AF$6:$AF$3005,"支給済")</f>
        <v/>
      </c>
    </row>
    <row r="9">
      <c r="A9" t="inlineStr">
        <is>
          <t>R7.8</t>
        </is>
      </c>
      <c r="B9">
        <f>COUNTIFS(請求記録!$Z$6:$Z$3005,$A9)</f>
        <v/>
      </c>
      <c r="C9" s="19">
        <f>SUMIFS(請求記録!$E$6:$E$3005,請求記録!$Z$6:$Z$3005,$A9)</f>
        <v/>
      </c>
      <c r="D9" s="19">
        <f>SUMIFS(請求記録!$AE$6:$AE$3005,請求記録!$Z$6:$Z$3005,$A9)</f>
        <v/>
      </c>
      <c r="E9">
        <f>COUNTIFS(請求記録!$Z$6:$Z$3005,$A9,請求記録!$AF$6:$AF$3005,"支給済")</f>
        <v/>
      </c>
      <c r="F9">
        <f>COUNTIFS(請求記録!$Z$6:$Z$3005,$A9,請求記録!$AF$6:$AF$3005,"未処理")</f>
        <v/>
      </c>
      <c r="G9">
        <f>COUNTIFS(請求記録!$Z$6:$Z$3005,$A9,請求記録!$AF$6:$AF$3005,"保留中")</f>
        <v/>
      </c>
      <c r="H9">
        <f>COUNTIFS(請求記録!$Z$6:$Z$3005,$A9,請求記録!$AF$6:$AF$3005,"不支給")</f>
        <v/>
      </c>
      <c r="I9">
        <f>COUNTIFS(請求記録!$Z$6:$Z$3005,$A9,請求記録!$AF$6:$AF$3005,"要確認")</f>
        <v/>
      </c>
      <c r="K9" t="inlineStr">
        <is>
          <t>R7.10</t>
        </is>
      </c>
      <c r="L9">
        <f>COUNTIFS(請求記録!$AL$6:$AL$3005,$K9,請求記録!$AF$6:$AF$3005,"支給済")</f>
        <v/>
      </c>
      <c r="M9" s="19">
        <f>SUMIFS(請求記録!$AE$6:$AE$3005,請求記録!$AL$6:$AL$3005,$K9,請求記録!$AF$6:$AF$3005,"支給済")</f>
        <v/>
      </c>
    </row>
    <row r="10">
      <c r="A10" t="inlineStr">
        <is>
          <t>R7.9</t>
        </is>
      </c>
      <c r="B10">
        <f>COUNTIFS(請求記録!$Z$6:$Z$3005,$A10)</f>
        <v/>
      </c>
      <c r="C10" s="19">
        <f>SUMIFS(請求記録!$E$6:$E$3005,請求記録!$Z$6:$Z$3005,$A10)</f>
        <v/>
      </c>
      <c r="D10" s="19">
        <f>SUMIFS(請求記録!$AE$6:$AE$3005,請求記録!$Z$6:$Z$3005,$A10)</f>
        <v/>
      </c>
      <c r="E10">
        <f>COUNTIFS(請求記録!$Z$6:$Z$3005,$A10,請求記録!$AF$6:$AF$3005,"支給済")</f>
        <v/>
      </c>
      <c r="F10">
        <f>COUNTIFS(請求記録!$Z$6:$Z$3005,$A10,請求記録!$AF$6:$AF$3005,"未処理")</f>
        <v/>
      </c>
      <c r="G10">
        <f>COUNTIFS(請求記録!$Z$6:$Z$3005,$A10,請求記録!$AF$6:$AF$3005,"保留中")</f>
        <v/>
      </c>
      <c r="H10">
        <f>COUNTIFS(請求記録!$Z$6:$Z$3005,$A10,請求記録!$AF$6:$AF$3005,"不支給")</f>
        <v/>
      </c>
      <c r="I10">
        <f>COUNTIFS(請求記録!$Z$6:$Z$3005,$A10,請求記録!$AF$6:$AF$3005,"要確認")</f>
        <v/>
      </c>
      <c r="K10" t="inlineStr">
        <is>
          <t>R7.11</t>
        </is>
      </c>
      <c r="L10">
        <f>COUNTIFS(請求記録!$AL$6:$AL$3005,$K10,請求記録!$AF$6:$AF$3005,"支給済")</f>
        <v/>
      </c>
      <c r="M10" s="19">
        <f>SUMIFS(請求記録!$AE$6:$AE$3005,請求記録!$AL$6:$AL$3005,$K10,請求記録!$AF$6:$AF$3005,"支給済")</f>
        <v/>
      </c>
    </row>
    <row r="11">
      <c r="A11" t="inlineStr">
        <is>
          <t>R7.10</t>
        </is>
      </c>
      <c r="B11">
        <f>COUNTIFS(請求記録!$Z$6:$Z$3005,$A11)</f>
        <v/>
      </c>
      <c r="C11" s="19">
        <f>SUMIFS(請求記録!$E$6:$E$3005,請求記録!$Z$6:$Z$3005,$A11)</f>
        <v/>
      </c>
      <c r="D11" s="19">
        <f>SUMIFS(請求記録!$AE$6:$AE$3005,請求記録!$Z$6:$Z$3005,$A11)</f>
        <v/>
      </c>
      <c r="E11">
        <f>COUNTIFS(請求記録!$Z$6:$Z$3005,$A11,請求記録!$AF$6:$AF$3005,"支給済")</f>
        <v/>
      </c>
      <c r="F11">
        <f>COUNTIFS(請求記録!$Z$6:$Z$3005,$A11,請求記録!$AF$6:$AF$3005,"未処理")</f>
        <v/>
      </c>
      <c r="G11">
        <f>COUNTIFS(請求記録!$Z$6:$Z$3005,$A11,請求記録!$AF$6:$AF$3005,"保留中")</f>
        <v/>
      </c>
      <c r="H11">
        <f>COUNTIFS(請求記録!$Z$6:$Z$3005,$A11,請求記録!$AF$6:$AF$3005,"不支給")</f>
        <v/>
      </c>
      <c r="I11">
        <f>COUNTIFS(請求記録!$Z$6:$Z$3005,$A11,請求記録!$AF$6:$AF$3005,"要確認")</f>
        <v/>
      </c>
      <c r="K11" t="inlineStr">
        <is>
          <t>R7.12</t>
        </is>
      </c>
      <c r="L11">
        <f>COUNTIFS(請求記録!$AL$6:$AL$3005,$K11,請求記録!$AF$6:$AF$3005,"支給済")</f>
        <v/>
      </c>
      <c r="M11" s="19">
        <f>SUMIFS(請求記録!$AE$6:$AE$3005,請求記録!$AL$6:$AL$3005,$K11,請求記録!$AF$6:$AF$3005,"支給済")</f>
        <v/>
      </c>
    </row>
    <row r="12">
      <c r="A12" t="inlineStr">
        <is>
          <t>R7.11</t>
        </is>
      </c>
      <c r="B12">
        <f>COUNTIFS(請求記録!$Z$6:$Z$3005,$A12)</f>
        <v/>
      </c>
      <c r="C12" s="19">
        <f>SUMIFS(請求記録!$E$6:$E$3005,請求記録!$Z$6:$Z$3005,$A12)</f>
        <v/>
      </c>
      <c r="D12" s="19">
        <f>SUMIFS(請求記録!$AE$6:$AE$3005,請求記録!$Z$6:$Z$3005,$A12)</f>
        <v/>
      </c>
      <c r="E12">
        <f>COUNTIFS(請求記録!$Z$6:$Z$3005,$A12,請求記録!$AF$6:$AF$3005,"支給済")</f>
        <v/>
      </c>
      <c r="F12">
        <f>COUNTIFS(請求記録!$Z$6:$Z$3005,$A12,請求記録!$AF$6:$AF$3005,"未処理")</f>
        <v/>
      </c>
      <c r="G12">
        <f>COUNTIFS(請求記録!$Z$6:$Z$3005,$A12,請求記録!$AF$6:$AF$3005,"保留中")</f>
        <v/>
      </c>
      <c r="H12">
        <f>COUNTIFS(請求記録!$Z$6:$Z$3005,$A12,請求記録!$AF$6:$AF$3005,"不支給")</f>
        <v/>
      </c>
      <c r="I12">
        <f>COUNTIFS(請求記録!$Z$6:$Z$3005,$A12,請求記録!$AF$6:$AF$3005,"要確認")</f>
        <v/>
      </c>
      <c r="K12" t="inlineStr">
        <is>
          <t>R8.1</t>
        </is>
      </c>
      <c r="L12">
        <f>COUNTIFS(請求記録!$AL$6:$AL$3005,$K12,請求記録!$AF$6:$AF$3005,"支給済")</f>
        <v/>
      </c>
      <c r="M12" s="19">
        <f>SUMIFS(請求記録!$AE$6:$AE$3005,請求記録!$AL$6:$AL$3005,$K12,請求記録!$AF$6:$AF$3005,"支給済")</f>
        <v/>
      </c>
    </row>
    <row r="13">
      <c r="A13" t="inlineStr">
        <is>
          <t>R7.12</t>
        </is>
      </c>
      <c r="B13">
        <f>COUNTIFS(請求記録!$Z$6:$Z$3005,$A13)</f>
        <v/>
      </c>
      <c r="C13" s="19">
        <f>SUMIFS(請求記録!$E$6:$E$3005,請求記録!$Z$6:$Z$3005,$A13)</f>
        <v/>
      </c>
      <c r="D13" s="19">
        <f>SUMIFS(請求記録!$AE$6:$AE$3005,請求記録!$Z$6:$Z$3005,$A13)</f>
        <v/>
      </c>
      <c r="E13">
        <f>COUNTIFS(請求記録!$Z$6:$Z$3005,$A13,請求記録!$AF$6:$AF$3005,"支給済")</f>
        <v/>
      </c>
      <c r="F13">
        <f>COUNTIFS(請求記録!$Z$6:$Z$3005,$A13,請求記録!$AF$6:$AF$3005,"未処理")</f>
        <v/>
      </c>
      <c r="G13">
        <f>COUNTIFS(請求記録!$Z$6:$Z$3005,$A13,請求記録!$AF$6:$AF$3005,"保留中")</f>
        <v/>
      </c>
      <c r="H13">
        <f>COUNTIFS(請求記録!$Z$6:$Z$3005,$A13,請求記録!$AF$6:$AF$3005,"不支給")</f>
        <v/>
      </c>
      <c r="I13">
        <f>COUNTIFS(請求記録!$Z$6:$Z$3005,$A13,請求記録!$AF$6:$AF$3005,"要確認")</f>
        <v/>
      </c>
      <c r="K13" t="inlineStr">
        <is>
          <t>R8.2</t>
        </is>
      </c>
      <c r="L13">
        <f>COUNTIFS(請求記録!$AL$6:$AL$3005,$K13,請求記録!$AF$6:$AF$3005,"支給済")</f>
        <v/>
      </c>
      <c r="M13" s="19">
        <f>SUMIFS(請求記録!$AE$6:$AE$3005,請求記録!$AL$6:$AL$3005,$K13,請求記録!$AF$6:$AF$3005,"支給済")</f>
        <v/>
      </c>
    </row>
    <row r="14">
      <c r="A14" t="inlineStr">
        <is>
          <t>R8.1</t>
        </is>
      </c>
      <c r="B14">
        <f>COUNTIFS(請求記録!$Z$6:$Z$3005,$A14)</f>
        <v/>
      </c>
      <c r="C14" s="19">
        <f>SUMIFS(請求記録!$E$6:$E$3005,請求記録!$Z$6:$Z$3005,$A14)</f>
        <v/>
      </c>
      <c r="D14" s="19">
        <f>SUMIFS(請求記録!$AE$6:$AE$3005,請求記録!$Z$6:$Z$3005,$A14)</f>
        <v/>
      </c>
      <c r="E14">
        <f>COUNTIFS(請求記録!$Z$6:$Z$3005,$A14,請求記録!$AF$6:$AF$3005,"支給済")</f>
        <v/>
      </c>
      <c r="F14">
        <f>COUNTIFS(請求記録!$Z$6:$Z$3005,$A14,請求記録!$AF$6:$AF$3005,"未処理")</f>
        <v/>
      </c>
      <c r="G14">
        <f>COUNTIFS(請求記録!$Z$6:$Z$3005,$A14,請求記録!$AF$6:$AF$3005,"保留中")</f>
        <v/>
      </c>
      <c r="H14">
        <f>COUNTIFS(請求記録!$Z$6:$Z$3005,$A14,請求記録!$AF$6:$AF$3005,"不支給")</f>
        <v/>
      </c>
      <c r="I14">
        <f>COUNTIFS(請求記録!$Z$6:$Z$3005,$A14,請求記録!$AF$6:$AF$3005,"要確認")</f>
        <v/>
      </c>
      <c r="K14" t="inlineStr">
        <is>
          <t>R8.3</t>
        </is>
      </c>
      <c r="L14">
        <f>COUNTIFS(請求記録!$AL$6:$AL$3005,$K14,請求記録!$AF$6:$AF$3005,"支給済")</f>
        <v/>
      </c>
      <c r="M14" s="19">
        <f>SUMIFS(請求記録!$AE$6:$AE$3005,請求記録!$AL$6:$AL$3005,$K14,請求記録!$AF$6:$AF$3005,"支給済")</f>
        <v/>
      </c>
    </row>
    <row r="15">
      <c r="A15" t="inlineStr">
        <is>
          <t>R8.2</t>
        </is>
      </c>
      <c r="B15">
        <f>COUNTIFS(請求記録!$Z$6:$Z$3005,$A15)</f>
        <v/>
      </c>
      <c r="C15" s="19">
        <f>SUMIFS(請求記録!$E$6:$E$3005,請求記録!$Z$6:$Z$3005,$A15)</f>
        <v/>
      </c>
      <c r="D15" s="19">
        <f>SUMIFS(請求記録!$AE$6:$AE$3005,請求記録!$Z$6:$Z$3005,$A15)</f>
        <v/>
      </c>
      <c r="E15">
        <f>COUNTIFS(請求記録!$Z$6:$Z$3005,$A15,請求記録!$AF$6:$AF$3005,"支給済")</f>
        <v/>
      </c>
      <c r="F15">
        <f>COUNTIFS(請求記録!$Z$6:$Z$3005,$A15,請求記録!$AF$6:$AF$3005,"未処理")</f>
        <v/>
      </c>
      <c r="G15">
        <f>COUNTIFS(請求記録!$Z$6:$Z$3005,$A15,請求記録!$AF$6:$AF$3005,"保留中")</f>
        <v/>
      </c>
      <c r="H15">
        <f>COUNTIFS(請求記録!$Z$6:$Z$3005,$A15,請求記録!$AF$6:$AF$3005,"不支給")</f>
        <v/>
      </c>
      <c r="I15">
        <f>COUNTIFS(請求記録!$Z$6:$Z$3005,$A15,請求記録!$AF$6:$AF$3005,"要確認")</f>
        <v/>
      </c>
      <c r="K15" t="inlineStr">
        <is>
          <t>R8.4</t>
        </is>
      </c>
      <c r="L15">
        <f>COUNTIFS(請求記録!$AL$6:$AL$3005,$K15,請求記録!$AF$6:$AF$3005,"支給済")</f>
        <v/>
      </c>
      <c r="M15" s="19">
        <f>SUMIFS(請求記録!$AE$6:$AE$3005,請求記録!$AL$6:$AL$3005,$K15,請求記録!$AF$6:$AF$3005,"支給済")</f>
        <v/>
      </c>
    </row>
    <row r="16">
      <c r="A16" t="inlineStr">
        <is>
          <t>R8.3</t>
        </is>
      </c>
      <c r="B16">
        <f>COUNTIFS(請求記録!$Z$6:$Z$3005,$A16)</f>
        <v/>
      </c>
      <c r="C16" s="19">
        <f>SUMIFS(請求記録!$E$6:$E$3005,請求記録!$Z$6:$Z$3005,$A16)</f>
        <v/>
      </c>
      <c r="D16" s="19">
        <f>SUMIFS(請求記録!$AE$6:$AE$3005,請求記録!$Z$6:$Z$3005,$A16)</f>
        <v/>
      </c>
      <c r="E16">
        <f>COUNTIFS(請求記録!$Z$6:$Z$3005,$A16,請求記録!$AF$6:$AF$3005,"支給済")</f>
        <v/>
      </c>
      <c r="F16">
        <f>COUNTIFS(請求記録!$Z$6:$Z$3005,$A16,請求記録!$AF$6:$AF$3005,"未処理")</f>
        <v/>
      </c>
      <c r="G16">
        <f>COUNTIFS(請求記録!$Z$6:$Z$3005,$A16,請求記録!$AF$6:$AF$3005,"保留中")</f>
        <v/>
      </c>
      <c r="H16">
        <f>COUNTIFS(請求記録!$Z$6:$Z$3005,$A16,請求記録!$AF$6:$AF$3005,"不支給")</f>
        <v/>
      </c>
      <c r="I16">
        <f>COUNTIFS(請求記録!$Z$6:$Z$3005,$A16,請求記録!$AF$6:$AF$3005,"要確認")</f>
        <v/>
      </c>
      <c r="K16" t="inlineStr">
        <is>
          <t>R8.5</t>
        </is>
      </c>
      <c r="L16">
        <f>COUNTIFS(請求記録!$AL$6:$AL$3005,$K16,請求記録!$AF$6:$AF$3005,"支給済")</f>
        <v/>
      </c>
      <c r="M16" s="19">
        <f>SUMIFS(請求記録!$AE$6:$AE$3005,請求記録!$AL$6:$AL$3005,$K16,請求記録!$AF$6:$AF$3005,"支給済")</f>
        <v/>
      </c>
    </row>
    <row r="17">
      <c r="A17" t="inlineStr">
        <is>
          <t>R8.4</t>
        </is>
      </c>
      <c r="B17">
        <f>COUNTIFS(請求記録!$Z$6:$Z$3005,$A17)</f>
        <v/>
      </c>
      <c r="C17" s="19">
        <f>SUMIFS(請求記録!$E$6:$E$3005,請求記録!$Z$6:$Z$3005,$A17)</f>
        <v/>
      </c>
      <c r="D17" s="19">
        <f>SUMIFS(請求記録!$AE$6:$AE$3005,請求記録!$Z$6:$Z$3005,$A17)</f>
        <v/>
      </c>
      <c r="E17">
        <f>COUNTIFS(請求記録!$Z$6:$Z$3005,$A17,請求記録!$AF$6:$AF$3005,"支給済")</f>
        <v/>
      </c>
      <c r="F17">
        <f>COUNTIFS(請求記録!$Z$6:$Z$3005,$A17,請求記録!$AF$6:$AF$3005,"未処理")</f>
        <v/>
      </c>
      <c r="G17">
        <f>COUNTIFS(請求記録!$Z$6:$Z$3005,$A17,請求記録!$AF$6:$AF$3005,"保留中")</f>
        <v/>
      </c>
      <c r="H17">
        <f>COUNTIFS(請求記録!$Z$6:$Z$3005,$A17,請求記録!$AF$6:$AF$3005,"不支給")</f>
        <v/>
      </c>
      <c r="I17">
        <f>COUNTIFS(請求記録!$Z$6:$Z$3005,$A17,請求記録!$AF$6:$AF$3005,"要確認")</f>
        <v/>
      </c>
      <c r="K17" t="inlineStr">
        <is>
          <t>R8.6</t>
        </is>
      </c>
      <c r="L17">
        <f>COUNTIFS(請求記録!$AL$6:$AL$3005,$K17,請求記録!$AF$6:$AF$3005,"支給済")</f>
        <v/>
      </c>
      <c r="M17" s="19">
        <f>SUMIFS(請求記録!$AE$6:$AE$3005,請求記録!$AL$6:$AL$3005,$K17,請求記録!$AF$6:$AF$3005,"支給済")</f>
        <v/>
      </c>
    </row>
    <row r="18">
      <c r="A18" t="inlineStr">
        <is>
          <t>R8.5</t>
        </is>
      </c>
      <c r="B18">
        <f>COUNTIFS(請求記録!$Z$6:$Z$3005,$A18)</f>
        <v/>
      </c>
      <c r="C18" s="19">
        <f>SUMIFS(請求記録!$E$6:$E$3005,請求記録!$Z$6:$Z$3005,$A18)</f>
        <v/>
      </c>
      <c r="D18" s="19">
        <f>SUMIFS(請求記録!$AE$6:$AE$3005,請求記録!$Z$6:$Z$3005,$A18)</f>
        <v/>
      </c>
      <c r="E18">
        <f>COUNTIFS(請求記録!$Z$6:$Z$3005,$A18,請求記録!$AF$6:$AF$3005,"支給済")</f>
        <v/>
      </c>
      <c r="F18">
        <f>COUNTIFS(請求記録!$Z$6:$Z$3005,$A18,請求記録!$AF$6:$AF$3005,"未処理")</f>
        <v/>
      </c>
      <c r="G18">
        <f>COUNTIFS(請求記録!$Z$6:$Z$3005,$A18,請求記録!$AF$6:$AF$3005,"保留中")</f>
        <v/>
      </c>
      <c r="H18">
        <f>COUNTIFS(請求記録!$Z$6:$Z$3005,$A18,請求記録!$AF$6:$AF$3005,"不支給")</f>
        <v/>
      </c>
      <c r="I18">
        <f>COUNTIFS(請求記録!$Z$6:$Z$3005,$A18,請求記録!$AF$6:$AF$3005,"要確認")</f>
        <v/>
      </c>
      <c r="K18" t="inlineStr">
        <is>
          <t>R8.7</t>
        </is>
      </c>
      <c r="L18">
        <f>COUNTIFS(請求記録!$AL$6:$AL$3005,$K18,請求記録!$AF$6:$AF$3005,"支給済")</f>
        <v/>
      </c>
      <c r="M18" s="19">
        <f>SUMIFS(請求記録!$AE$6:$AE$3005,請求記録!$AL$6:$AL$3005,$K18,請求記録!$AF$6:$AF$3005,"支給済")</f>
        <v/>
      </c>
    </row>
    <row r="19">
      <c r="A19" t="inlineStr">
        <is>
          <t>R8.6</t>
        </is>
      </c>
      <c r="B19">
        <f>COUNTIFS(請求記録!$Z$6:$Z$3005,$A19)</f>
        <v/>
      </c>
      <c r="C19" s="19">
        <f>SUMIFS(請求記録!$E$6:$E$3005,請求記録!$Z$6:$Z$3005,$A19)</f>
        <v/>
      </c>
      <c r="D19" s="19">
        <f>SUMIFS(請求記録!$AE$6:$AE$3005,請求記録!$Z$6:$Z$3005,$A19)</f>
        <v/>
      </c>
      <c r="E19">
        <f>COUNTIFS(請求記録!$Z$6:$Z$3005,$A19,請求記録!$AF$6:$AF$3005,"支給済")</f>
        <v/>
      </c>
      <c r="F19">
        <f>COUNTIFS(請求記録!$Z$6:$Z$3005,$A19,請求記録!$AF$6:$AF$3005,"未処理")</f>
        <v/>
      </c>
      <c r="G19">
        <f>COUNTIFS(請求記録!$Z$6:$Z$3005,$A19,請求記録!$AF$6:$AF$3005,"保留中")</f>
        <v/>
      </c>
      <c r="H19">
        <f>COUNTIFS(請求記録!$Z$6:$Z$3005,$A19,請求記録!$AF$6:$AF$3005,"不支給")</f>
        <v/>
      </c>
      <c r="I19">
        <f>COUNTIFS(請求記録!$Z$6:$Z$3005,$A19,請求記録!$AF$6:$AF$3005,"要確認")</f>
        <v/>
      </c>
      <c r="K19" t="inlineStr">
        <is>
          <t>R8.8</t>
        </is>
      </c>
      <c r="L19">
        <f>COUNTIFS(請求記録!$AL$6:$AL$3005,$K19,請求記録!$AF$6:$AF$3005,"支給済")</f>
        <v/>
      </c>
      <c r="M19" s="19">
        <f>SUMIFS(請求記録!$AE$6:$AE$3005,請求記録!$AL$6:$AL$3005,$K19,請求記録!$AF$6:$AF$3005,"支給済")</f>
        <v/>
      </c>
    </row>
    <row r="20">
      <c r="A20" t="inlineStr">
        <is>
          <t>R8.7</t>
        </is>
      </c>
      <c r="B20">
        <f>COUNTIFS(請求記録!$Z$6:$Z$3005,$A20)</f>
        <v/>
      </c>
      <c r="C20" s="19">
        <f>SUMIFS(請求記録!$E$6:$E$3005,請求記録!$Z$6:$Z$3005,$A20)</f>
        <v/>
      </c>
      <c r="D20" s="19">
        <f>SUMIFS(請求記録!$AE$6:$AE$3005,請求記録!$Z$6:$Z$3005,$A20)</f>
        <v/>
      </c>
      <c r="E20">
        <f>COUNTIFS(請求記録!$Z$6:$Z$3005,$A20,請求記録!$AF$6:$AF$3005,"支給済")</f>
        <v/>
      </c>
      <c r="F20">
        <f>COUNTIFS(請求記録!$Z$6:$Z$3005,$A20,請求記録!$AF$6:$AF$3005,"未処理")</f>
        <v/>
      </c>
      <c r="G20">
        <f>COUNTIFS(請求記録!$Z$6:$Z$3005,$A20,請求記録!$AF$6:$AF$3005,"保留中")</f>
        <v/>
      </c>
      <c r="H20">
        <f>COUNTIFS(請求記録!$Z$6:$Z$3005,$A20,請求記録!$AF$6:$AF$3005,"不支給")</f>
        <v/>
      </c>
      <c r="I20">
        <f>COUNTIFS(請求記録!$Z$6:$Z$3005,$A20,請求記録!$AF$6:$AF$3005,"要確認")</f>
        <v/>
      </c>
      <c r="K20" t="inlineStr">
        <is>
          <t>R8.9</t>
        </is>
      </c>
      <c r="L20">
        <f>COUNTIFS(請求記録!$AL$6:$AL$3005,$K20,請求記録!$AF$6:$AF$3005,"支給済")</f>
        <v/>
      </c>
      <c r="M20" s="19">
        <f>SUMIFS(請求記録!$AE$6:$AE$3005,請求記録!$AL$6:$AL$3005,$K20,請求記録!$AF$6:$AF$3005,"支給済")</f>
        <v/>
      </c>
    </row>
    <row r="21">
      <c r="A21" t="inlineStr">
        <is>
          <t>R8.8</t>
        </is>
      </c>
      <c r="B21">
        <f>COUNTIFS(請求記録!$Z$6:$Z$3005,$A21)</f>
        <v/>
      </c>
      <c r="C21" s="19">
        <f>SUMIFS(請求記録!$E$6:$E$3005,請求記録!$Z$6:$Z$3005,$A21)</f>
        <v/>
      </c>
      <c r="D21" s="19">
        <f>SUMIFS(請求記録!$AE$6:$AE$3005,請求記録!$Z$6:$Z$3005,$A21)</f>
        <v/>
      </c>
      <c r="E21">
        <f>COUNTIFS(請求記録!$Z$6:$Z$3005,$A21,請求記録!$AF$6:$AF$3005,"支給済")</f>
        <v/>
      </c>
      <c r="F21">
        <f>COUNTIFS(請求記録!$Z$6:$Z$3005,$A21,請求記録!$AF$6:$AF$3005,"未処理")</f>
        <v/>
      </c>
      <c r="G21">
        <f>COUNTIFS(請求記録!$Z$6:$Z$3005,$A21,請求記録!$AF$6:$AF$3005,"保留中")</f>
        <v/>
      </c>
      <c r="H21">
        <f>COUNTIFS(請求記録!$Z$6:$Z$3005,$A21,請求記録!$AF$6:$AF$3005,"不支給")</f>
        <v/>
      </c>
      <c r="I21">
        <f>COUNTIFS(請求記録!$Z$6:$Z$3005,$A21,請求記録!$AF$6:$AF$3005,"要確認")</f>
        <v/>
      </c>
      <c r="K21" t="inlineStr">
        <is>
          <t>R8.10</t>
        </is>
      </c>
      <c r="L21">
        <f>COUNTIFS(請求記録!$AL$6:$AL$3005,$K21,請求記録!$AF$6:$AF$3005,"支給済")</f>
        <v/>
      </c>
      <c r="M21" s="19">
        <f>SUMIFS(請求記録!$AE$6:$AE$3005,請求記録!$AL$6:$AL$3005,$K21,請求記録!$AF$6:$AF$3005,"支給済")</f>
        <v/>
      </c>
    </row>
    <row r="22">
      <c r="A22" t="inlineStr">
        <is>
          <t>R8.9</t>
        </is>
      </c>
      <c r="B22">
        <f>COUNTIFS(請求記録!$Z$6:$Z$3005,$A22)</f>
        <v/>
      </c>
      <c r="C22" s="19">
        <f>SUMIFS(請求記録!$E$6:$E$3005,請求記録!$Z$6:$Z$3005,$A22)</f>
        <v/>
      </c>
      <c r="D22" s="19">
        <f>SUMIFS(請求記録!$AE$6:$AE$3005,請求記録!$Z$6:$Z$3005,$A22)</f>
        <v/>
      </c>
      <c r="E22">
        <f>COUNTIFS(請求記録!$Z$6:$Z$3005,$A22,請求記録!$AF$6:$AF$3005,"支給済")</f>
        <v/>
      </c>
      <c r="F22">
        <f>COUNTIFS(請求記録!$Z$6:$Z$3005,$A22,請求記録!$AF$6:$AF$3005,"未処理")</f>
        <v/>
      </c>
      <c r="G22">
        <f>COUNTIFS(請求記録!$Z$6:$Z$3005,$A22,請求記録!$AF$6:$AF$3005,"保留中")</f>
        <v/>
      </c>
      <c r="H22">
        <f>COUNTIFS(請求記録!$Z$6:$Z$3005,$A22,請求記録!$AF$6:$AF$3005,"不支給")</f>
        <v/>
      </c>
      <c r="I22">
        <f>COUNTIFS(請求記録!$Z$6:$Z$3005,$A22,請求記録!$AF$6:$AF$3005,"要確認")</f>
        <v/>
      </c>
      <c r="K22" t="inlineStr">
        <is>
          <t>R8.11</t>
        </is>
      </c>
      <c r="L22">
        <f>COUNTIFS(請求記録!$AL$6:$AL$3005,$K22,請求記録!$AF$6:$AF$3005,"支給済")</f>
        <v/>
      </c>
      <c r="M22" s="19">
        <f>SUMIFS(請求記録!$AE$6:$AE$3005,請求記録!$AL$6:$AL$3005,$K22,請求記録!$AF$6:$AF$3005,"支給済")</f>
        <v/>
      </c>
    </row>
    <row r="23">
      <c r="A23" t="inlineStr">
        <is>
          <t>R8.10</t>
        </is>
      </c>
      <c r="B23">
        <f>COUNTIFS(請求記録!$Z$6:$Z$3005,$A23)</f>
        <v/>
      </c>
      <c r="C23" s="19">
        <f>SUMIFS(請求記録!$E$6:$E$3005,請求記録!$Z$6:$Z$3005,$A23)</f>
        <v/>
      </c>
      <c r="D23" s="19">
        <f>SUMIFS(請求記録!$AE$6:$AE$3005,請求記録!$Z$6:$Z$3005,$A23)</f>
        <v/>
      </c>
      <c r="E23">
        <f>COUNTIFS(請求記録!$Z$6:$Z$3005,$A23,請求記録!$AF$6:$AF$3005,"支給済")</f>
        <v/>
      </c>
      <c r="F23">
        <f>COUNTIFS(請求記録!$Z$6:$Z$3005,$A23,請求記録!$AF$6:$AF$3005,"未処理")</f>
        <v/>
      </c>
      <c r="G23">
        <f>COUNTIFS(請求記録!$Z$6:$Z$3005,$A23,請求記録!$AF$6:$AF$3005,"保留中")</f>
        <v/>
      </c>
      <c r="H23">
        <f>COUNTIFS(請求記録!$Z$6:$Z$3005,$A23,請求記録!$AF$6:$AF$3005,"不支給")</f>
        <v/>
      </c>
      <c r="I23">
        <f>COUNTIFS(請求記録!$Z$6:$Z$3005,$A23,請求記録!$AF$6:$AF$3005,"要確認")</f>
        <v/>
      </c>
      <c r="K23" t="inlineStr">
        <is>
          <t>R8.12</t>
        </is>
      </c>
      <c r="L23">
        <f>COUNTIFS(請求記録!$AL$6:$AL$3005,$K23,請求記録!$AF$6:$AF$3005,"支給済")</f>
        <v/>
      </c>
      <c r="M23" s="19">
        <f>SUMIFS(請求記録!$AE$6:$AE$3005,請求記録!$AL$6:$AL$3005,$K23,請求記録!$AF$6:$AF$3005,"支給済")</f>
        <v/>
      </c>
    </row>
    <row r="24">
      <c r="A24" t="inlineStr">
        <is>
          <t>R8.11</t>
        </is>
      </c>
      <c r="B24">
        <f>COUNTIFS(請求記録!$Z$6:$Z$3005,$A24)</f>
        <v/>
      </c>
      <c r="C24" s="19">
        <f>SUMIFS(請求記録!$E$6:$E$3005,請求記録!$Z$6:$Z$3005,$A24)</f>
        <v/>
      </c>
      <c r="D24" s="19">
        <f>SUMIFS(請求記録!$AE$6:$AE$3005,請求記録!$Z$6:$Z$3005,$A24)</f>
        <v/>
      </c>
      <c r="E24">
        <f>COUNTIFS(請求記録!$Z$6:$Z$3005,$A24,請求記録!$AF$6:$AF$3005,"支給済")</f>
        <v/>
      </c>
      <c r="F24">
        <f>COUNTIFS(請求記録!$Z$6:$Z$3005,$A24,請求記録!$AF$6:$AF$3005,"未処理")</f>
        <v/>
      </c>
      <c r="G24">
        <f>COUNTIFS(請求記録!$Z$6:$Z$3005,$A24,請求記録!$AF$6:$AF$3005,"保留中")</f>
        <v/>
      </c>
      <c r="H24">
        <f>COUNTIFS(請求記録!$Z$6:$Z$3005,$A24,請求記録!$AF$6:$AF$3005,"不支給")</f>
        <v/>
      </c>
      <c r="I24">
        <f>COUNTIFS(請求記録!$Z$6:$Z$3005,$A24,請求記録!$AF$6:$AF$3005,"要確認")</f>
        <v/>
      </c>
      <c r="K24" t="inlineStr">
        <is>
          <t>R9.1</t>
        </is>
      </c>
      <c r="L24">
        <f>COUNTIFS(請求記録!$AL$6:$AL$3005,$K24,請求記録!$AF$6:$AF$3005,"支給済")</f>
        <v/>
      </c>
      <c r="M24" s="19">
        <f>SUMIFS(請求記録!$AE$6:$AE$3005,請求記録!$AL$6:$AL$3005,$K24,請求記録!$AF$6:$AF$3005,"支給済")</f>
        <v/>
      </c>
    </row>
    <row r="25">
      <c r="A25" t="inlineStr">
        <is>
          <t>R8.12</t>
        </is>
      </c>
      <c r="B25">
        <f>COUNTIFS(請求記録!$Z$6:$Z$3005,$A25)</f>
        <v/>
      </c>
      <c r="C25" s="19">
        <f>SUMIFS(請求記録!$E$6:$E$3005,請求記録!$Z$6:$Z$3005,$A25)</f>
        <v/>
      </c>
      <c r="D25" s="19">
        <f>SUMIFS(請求記録!$AE$6:$AE$3005,請求記録!$Z$6:$Z$3005,$A25)</f>
        <v/>
      </c>
      <c r="E25">
        <f>COUNTIFS(請求記録!$Z$6:$Z$3005,$A25,請求記録!$AF$6:$AF$3005,"支給済")</f>
        <v/>
      </c>
      <c r="F25">
        <f>COUNTIFS(請求記録!$Z$6:$Z$3005,$A25,請求記録!$AF$6:$AF$3005,"未処理")</f>
        <v/>
      </c>
      <c r="G25">
        <f>COUNTIFS(請求記録!$Z$6:$Z$3005,$A25,請求記録!$AF$6:$AF$3005,"保留中")</f>
        <v/>
      </c>
      <c r="H25">
        <f>COUNTIFS(請求記録!$Z$6:$Z$3005,$A25,請求記録!$AF$6:$AF$3005,"不支給")</f>
        <v/>
      </c>
      <c r="I25">
        <f>COUNTIFS(請求記録!$Z$6:$Z$3005,$A25,請求記録!$AF$6:$AF$3005,"要確認")</f>
        <v/>
      </c>
      <c r="K25" t="inlineStr">
        <is>
          <t>R9.2</t>
        </is>
      </c>
      <c r="L25">
        <f>COUNTIFS(請求記録!$AL$6:$AL$3005,$K25,請求記録!$AF$6:$AF$3005,"支給済")</f>
        <v/>
      </c>
      <c r="M25" s="19">
        <f>SUMIFS(請求記録!$AE$6:$AE$3005,請求記録!$AL$6:$AL$3005,$K25,請求記録!$AF$6:$AF$3005,"支給済")</f>
        <v/>
      </c>
    </row>
    <row r="26">
      <c r="A26" t="inlineStr">
        <is>
          <t>R9.1</t>
        </is>
      </c>
      <c r="B26">
        <f>COUNTIFS(請求記録!$Z$6:$Z$3005,$A26)</f>
        <v/>
      </c>
      <c r="C26" s="19">
        <f>SUMIFS(請求記録!$E$6:$E$3005,請求記録!$Z$6:$Z$3005,$A26)</f>
        <v/>
      </c>
      <c r="D26" s="19">
        <f>SUMIFS(請求記録!$AE$6:$AE$3005,請求記録!$Z$6:$Z$3005,$A26)</f>
        <v/>
      </c>
      <c r="E26">
        <f>COUNTIFS(請求記録!$Z$6:$Z$3005,$A26,請求記録!$AF$6:$AF$3005,"支給済")</f>
        <v/>
      </c>
      <c r="F26">
        <f>COUNTIFS(請求記録!$Z$6:$Z$3005,$A26,請求記録!$AF$6:$AF$3005,"未処理")</f>
        <v/>
      </c>
      <c r="G26">
        <f>COUNTIFS(請求記録!$Z$6:$Z$3005,$A26,請求記録!$AF$6:$AF$3005,"保留中")</f>
        <v/>
      </c>
      <c r="H26">
        <f>COUNTIFS(請求記録!$Z$6:$Z$3005,$A26,請求記録!$AF$6:$AF$3005,"不支給")</f>
        <v/>
      </c>
      <c r="I26">
        <f>COUNTIFS(請求記録!$Z$6:$Z$3005,$A26,請求記録!$AF$6:$AF$3005,"要確認")</f>
        <v/>
      </c>
      <c r="K26" t="inlineStr">
        <is>
          <t>R9.3</t>
        </is>
      </c>
      <c r="L26">
        <f>COUNTIFS(請求記録!$AL$6:$AL$3005,$K26,請求記録!$AF$6:$AF$3005,"支給済")</f>
        <v/>
      </c>
      <c r="M26" s="19">
        <f>SUMIFS(請求記録!$AE$6:$AE$3005,請求記録!$AL$6:$AL$3005,$K26,請求記録!$AF$6:$AF$3005,"支給済")</f>
        <v/>
      </c>
    </row>
    <row r="27">
      <c r="A27" t="inlineStr">
        <is>
          <t>R9.2</t>
        </is>
      </c>
      <c r="B27">
        <f>COUNTIFS(請求記録!$Z$6:$Z$3005,$A27)</f>
        <v/>
      </c>
      <c r="C27" s="19">
        <f>SUMIFS(請求記録!$E$6:$E$3005,請求記録!$Z$6:$Z$3005,$A27)</f>
        <v/>
      </c>
      <c r="D27" s="19">
        <f>SUMIFS(請求記録!$AE$6:$AE$3005,請求記録!$Z$6:$Z$3005,$A27)</f>
        <v/>
      </c>
      <c r="E27">
        <f>COUNTIFS(請求記録!$Z$6:$Z$3005,$A27,請求記録!$AF$6:$AF$3005,"支給済")</f>
        <v/>
      </c>
      <c r="F27">
        <f>COUNTIFS(請求記録!$Z$6:$Z$3005,$A27,請求記録!$AF$6:$AF$3005,"未処理")</f>
        <v/>
      </c>
      <c r="G27">
        <f>COUNTIFS(請求記録!$Z$6:$Z$3005,$A27,請求記録!$AF$6:$AF$3005,"保留中")</f>
        <v/>
      </c>
      <c r="H27">
        <f>COUNTIFS(請求記録!$Z$6:$Z$3005,$A27,請求記録!$AF$6:$AF$3005,"不支給")</f>
        <v/>
      </c>
      <c r="I27">
        <f>COUNTIFS(請求記録!$Z$6:$Z$3005,$A27,請求記録!$AF$6:$AF$3005,"要確認")</f>
        <v/>
      </c>
      <c r="K27" t="inlineStr">
        <is>
          <t>R9.4</t>
        </is>
      </c>
      <c r="L27">
        <f>COUNTIFS(請求記録!$AL$6:$AL$3005,$K27,請求記録!$AF$6:$AF$3005,"支給済")</f>
        <v/>
      </c>
      <c r="M27" s="19">
        <f>SUMIFS(請求記録!$AE$6:$AE$3005,請求記録!$AL$6:$AL$3005,$K27,請求記録!$AF$6:$AF$3005,"支給済")</f>
        <v/>
      </c>
    </row>
    <row r="28">
      <c r="A28" t="inlineStr">
        <is>
          <t>R9.3</t>
        </is>
      </c>
      <c r="B28">
        <f>COUNTIFS(請求記録!$Z$6:$Z$3005,$A28)</f>
        <v/>
      </c>
      <c r="C28" s="19">
        <f>SUMIFS(請求記録!$E$6:$E$3005,請求記録!$Z$6:$Z$3005,$A28)</f>
        <v/>
      </c>
      <c r="D28" s="19">
        <f>SUMIFS(請求記録!$AE$6:$AE$3005,請求記録!$Z$6:$Z$3005,$A28)</f>
        <v/>
      </c>
      <c r="E28">
        <f>COUNTIFS(請求記録!$Z$6:$Z$3005,$A28,請求記録!$AF$6:$AF$3005,"支給済")</f>
        <v/>
      </c>
      <c r="F28">
        <f>COUNTIFS(請求記録!$Z$6:$Z$3005,$A28,請求記録!$AF$6:$AF$3005,"未処理")</f>
        <v/>
      </c>
      <c r="G28">
        <f>COUNTIFS(請求記録!$Z$6:$Z$3005,$A28,請求記録!$AF$6:$AF$3005,"保留中")</f>
        <v/>
      </c>
      <c r="H28">
        <f>COUNTIFS(請求記録!$Z$6:$Z$3005,$A28,請求記録!$AF$6:$AF$3005,"不支給")</f>
        <v/>
      </c>
      <c r="I28">
        <f>COUNTIFS(請求記録!$Z$6:$Z$3005,$A28,請求記録!$AF$6:$AF$3005,"要確認")</f>
        <v/>
      </c>
      <c r="K28" t="inlineStr">
        <is>
          <t>R9.5</t>
        </is>
      </c>
      <c r="L28">
        <f>COUNTIFS(請求記録!$AL$6:$AL$3005,$K28,請求記録!$AF$6:$AF$3005,"支給済")</f>
        <v/>
      </c>
      <c r="M28" s="19">
        <f>SUMIFS(請求記録!$AE$6:$AE$3005,請求記録!$AL$6:$AL$3005,$K28,請求記録!$AF$6:$AF$3005,"支給済")</f>
        <v/>
      </c>
    </row>
    <row r="29">
      <c r="A29" t="inlineStr">
        <is>
          <t>合計</t>
        </is>
      </c>
      <c r="B29" s="22">
        <f>SUM(B5:B28)</f>
        <v/>
      </c>
      <c r="C29" s="22">
        <f>SUM(C5:C28)</f>
        <v/>
      </c>
      <c r="D29" s="22">
        <f>SUM(D5:D28)</f>
        <v/>
      </c>
      <c r="E29" s="22">
        <f>SUM(E5:E28)</f>
        <v/>
      </c>
      <c r="F29" s="22">
        <f>SUM(F5:F28)</f>
        <v/>
      </c>
      <c r="G29" s="22">
        <f>SUM(G5:G28)</f>
        <v/>
      </c>
      <c r="H29" s="22">
        <f>SUM(H5:H28)</f>
        <v/>
      </c>
      <c r="I29" s="22">
        <f>SUM(I5:I28)</f>
        <v/>
      </c>
      <c r="K29" t="inlineStr">
        <is>
          <t>R9.6</t>
        </is>
      </c>
      <c r="L29">
        <f>COUNTIFS(請求記録!$AL$6:$AL$3005,$K29,請求記録!$AF$6:$AF$3005,"支給済")</f>
        <v/>
      </c>
      <c r="M29" s="19">
        <f>SUMIFS(請求記録!$AE$6:$AE$3005,請求記録!$AL$6:$AL$3005,$K29,請求記録!$AF$6:$AF$3005,"支給済")</f>
        <v/>
      </c>
    </row>
    <row r="30">
      <c r="K30" t="inlineStr">
        <is>
          <t>R9.7</t>
        </is>
      </c>
      <c r="L30">
        <f>COUNTIFS(請求記録!$AL$6:$AL$3005,$K30,請求記録!$AF$6:$AF$3005,"支給済")</f>
        <v/>
      </c>
      <c r="M30" s="19">
        <f>SUMIFS(請求記録!$AE$6:$AE$3005,請求記録!$AL$6:$AL$3005,$K30,請求記録!$AF$6:$AF$3005,"支給済")</f>
        <v/>
      </c>
    </row>
    <row r="31">
      <c r="K31" t="inlineStr">
        <is>
          <t>R9.8</t>
        </is>
      </c>
      <c r="L31">
        <f>COUNTIFS(請求記録!$AL$6:$AL$3005,$K31,請求記録!$AF$6:$AF$3005,"支給済")</f>
        <v/>
      </c>
      <c r="M31" s="19">
        <f>SUMIFS(請求記録!$AE$6:$AE$3005,請求記録!$AL$6:$AL$3005,$K31,請求記録!$AF$6:$AF$3005,"支給済")</f>
        <v/>
      </c>
    </row>
    <row r="32">
      <c r="K32" t="inlineStr">
        <is>
          <t>R9.9</t>
        </is>
      </c>
      <c r="L32">
        <f>COUNTIFS(請求記録!$AL$6:$AL$3005,$K32,請求記録!$AF$6:$AF$3005,"支給済")</f>
        <v/>
      </c>
      <c r="M32" s="19">
        <f>SUMIFS(請求記録!$AE$6:$AE$3005,請求記録!$AL$6:$AL$3005,$K32,請求記録!$AF$6:$AF$3005,"支給済")</f>
        <v/>
      </c>
    </row>
    <row r="33">
      <c r="K33" t="inlineStr">
        <is>
          <t>R9.10</t>
        </is>
      </c>
      <c r="L33">
        <f>COUNTIFS(請求記録!$AL$6:$AL$3005,$K33,請求記録!$AF$6:$AF$3005,"支給済")</f>
        <v/>
      </c>
      <c r="M33" s="19">
        <f>SUMIFS(請求記録!$AE$6:$AE$3005,請求記録!$AL$6:$AL$3005,$K33,請求記録!$AF$6:$AF$3005,"支給済")</f>
        <v/>
      </c>
    </row>
    <row r="34">
      <c r="K34" t="inlineStr">
        <is>
          <t>R9.11</t>
        </is>
      </c>
      <c r="L34">
        <f>COUNTIFS(請求記録!$AL$6:$AL$3005,$K34,請求記録!$AF$6:$AF$3005,"支給済")</f>
        <v/>
      </c>
      <c r="M34" s="19">
        <f>SUMIFS(請求記録!$AE$6:$AE$3005,請求記録!$AL$6:$AL$3005,$K34,請求記録!$AF$6:$AF$3005,"支給済")</f>
        <v/>
      </c>
    </row>
  </sheetData>
  <pageMargins left="0.75" right="0.75" top="1" bottom="1" header="0.5" footer="0.5"/>
  <drawing xmlns:r="http://schemas.openxmlformats.org/officeDocument/2006/relationships" r:id="rId1"/>
</worksheet>
</file>

<file path=xl/worksheets/sheet5.xml><?xml version="1.0" encoding="utf-8"?>
<worksheet xmlns="http://schemas.openxmlformats.org/spreadsheetml/2006/main">
  <sheetPr>
    <outlinePr summaryBelow="1" summaryRight="1"/>
    <pageSetUpPr/>
  </sheetPr>
  <dimension ref="A1:AB405"/>
  <sheetViews>
    <sheetView zoomScale="90" workbookViewId="0">
      <pane xSplit="3" ySplit="5" topLeftCell="D6" activePane="bottomRight" state="frozen"/>
      <selection pane="topRight"/>
      <selection pane="bottomLeft"/>
      <selection pane="bottomRight" activeCell="A1" sqref="A1"/>
    </sheetView>
  </sheetViews>
  <sheetFormatPr baseColWidth="8" defaultRowHeight="15"/>
  <cols>
    <col width="11" customWidth="1" min="1" max="1"/>
    <col width="14" customWidth="1" min="2" max="2"/>
    <col width="26" customWidth="1" min="3" max="3"/>
    <col width="9" customWidth="1" min="4" max="4"/>
    <col width="9"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 width="22" customWidth="1" min="28" max="28"/>
  </cols>
  <sheetData>
    <row r="1">
      <c r="A1" s="5" t="inlineStr">
        <is>
          <t>職員別 月別一覧</t>
        </is>
      </c>
    </row>
    <row r="2">
      <c r="A2" s="6" t="inlineStr">
        <is>
          <t>金額＝決定額、「保留」＝保留中、0＝不支給。従来の「短時間支給リスト」と同じ見方ができます</t>
        </is>
      </c>
    </row>
    <row r="5" ht="34" customHeight="1">
      <c r="A5" s="8" t="inlineStr">
        <is>
          <t>職員番号</t>
        </is>
      </c>
      <c r="B5" s="8" t="inlineStr">
        <is>
          <t>氏名</t>
        </is>
      </c>
      <c r="C5" s="8" t="inlineStr">
        <is>
          <t>所属</t>
        </is>
      </c>
      <c r="D5" s="8" t="inlineStr">
        <is>
          <t>R7.4</t>
        </is>
      </c>
      <c r="E5" s="8" t="inlineStr">
        <is>
          <t>R7.5</t>
        </is>
      </c>
      <c r="F5" s="8" t="inlineStr">
        <is>
          <t>R7.6</t>
        </is>
      </c>
      <c r="G5" s="8" t="inlineStr">
        <is>
          <t>R7.7</t>
        </is>
      </c>
      <c r="H5" s="8" t="inlineStr">
        <is>
          <t>R7.8</t>
        </is>
      </c>
      <c r="I5" s="8" t="inlineStr">
        <is>
          <t>R7.9</t>
        </is>
      </c>
      <c r="J5" s="8" t="inlineStr">
        <is>
          <t>R7.10</t>
        </is>
      </c>
      <c r="K5" s="8" t="inlineStr">
        <is>
          <t>R7.11</t>
        </is>
      </c>
      <c r="L5" s="8" t="inlineStr">
        <is>
          <t>R7.12</t>
        </is>
      </c>
      <c r="M5" s="8" t="inlineStr">
        <is>
          <t>R8.1</t>
        </is>
      </c>
      <c r="N5" s="8" t="inlineStr">
        <is>
          <t>R8.2</t>
        </is>
      </c>
      <c r="O5" s="8" t="inlineStr">
        <is>
          <t>R8.3</t>
        </is>
      </c>
      <c r="P5" s="8" t="inlineStr">
        <is>
          <t>R8.4</t>
        </is>
      </c>
      <c r="Q5" s="8" t="inlineStr">
        <is>
          <t>R8.5</t>
        </is>
      </c>
      <c r="R5" s="8" t="inlineStr">
        <is>
          <t>R8.6</t>
        </is>
      </c>
      <c r="S5" s="8" t="inlineStr">
        <is>
          <t>R8.7</t>
        </is>
      </c>
      <c r="T5" s="8" t="inlineStr">
        <is>
          <t>R8.8</t>
        </is>
      </c>
      <c r="U5" s="8" t="inlineStr">
        <is>
          <t>R8.9</t>
        </is>
      </c>
      <c r="V5" s="8" t="inlineStr">
        <is>
          <t>R8.10</t>
        </is>
      </c>
      <c r="W5" s="8" t="inlineStr">
        <is>
          <t>R8.11</t>
        </is>
      </c>
      <c r="X5" s="8" t="inlineStr">
        <is>
          <t>R8.12</t>
        </is>
      </c>
      <c r="Y5" s="8" t="inlineStr">
        <is>
          <t>R9.1</t>
        </is>
      </c>
      <c r="Z5" s="8" t="inlineStr">
        <is>
          <t>R9.2</t>
        </is>
      </c>
      <c r="AA5" s="8" t="inlineStr">
        <is>
          <t>R9.3</t>
        </is>
      </c>
      <c r="AB5" s="8" t="inlineStr">
        <is>
          <t>職員単位の保留</t>
        </is>
      </c>
    </row>
    <row r="6">
      <c r="A6">
        <f>IF(職員マスタ!A6="","",職員マスタ!A6)</f>
        <v/>
      </c>
      <c r="B6">
        <f>IF($A6="","",職員マスタ!B6)</f>
        <v/>
      </c>
      <c r="C6">
        <f>IF($A6="","",職員マスタ!C6)</f>
        <v/>
      </c>
      <c r="D6" s="19">
        <f>IF($A6="","",IF(COUNTIFS(請求記録!$B$6:$B$3005,$A6,請求記録!$Z$6:$Z$3005,D$5,請求記録!$AF$6:$AF$3005,"保留中")&gt;0,"保留",IF(COUNTIFS(請求記録!$B$6:$B$3005,$A6,請求記録!$Z$6:$Z$3005,D$5)=0,"",SUMIFS(請求記録!$AE$6:$AE$3005,請求記録!$B$6:$B$3005,$A6,請求記録!$Z$6:$Z$3005,D$5))))</f>
        <v/>
      </c>
      <c r="E6" s="19">
        <f>IF($A6="","",IF(COUNTIFS(請求記録!$B$6:$B$3005,$A6,請求記録!$Z$6:$Z$3005,E$5,請求記録!$AF$6:$AF$3005,"保留中")&gt;0,"保留",IF(COUNTIFS(請求記録!$B$6:$B$3005,$A6,請求記録!$Z$6:$Z$3005,E$5)=0,"",SUMIFS(請求記録!$AE$6:$AE$3005,請求記録!$B$6:$B$3005,$A6,請求記録!$Z$6:$Z$3005,E$5))))</f>
        <v/>
      </c>
      <c r="F6" s="19">
        <f>IF($A6="","",IF(COUNTIFS(請求記録!$B$6:$B$3005,$A6,請求記録!$Z$6:$Z$3005,F$5,請求記録!$AF$6:$AF$3005,"保留中")&gt;0,"保留",IF(COUNTIFS(請求記録!$B$6:$B$3005,$A6,請求記録!$Z$6:$Z$3005,F$5)=0,"",SUMIFS(請求記録!$AE$6:$AE$3005,請求記録!$B$6:$B$3005,$A6,請求記録!$Z$6:$Z$3005,F$5))))</f>
        <v/>
      </c>
      <c r="G6" s="19">
        <f>IF($A6="","",IF(COUNTIFS(請求記録!$B$6:$B$3005,$A6,請求記録!$Z$6:$Z$3005,G$5,請求記録!$AF$6:$AF$3005,"保留中")&gt;0,"保留",IF(COUNTIFS(請求記録!$B$6:$B$3005,$A6,請求記録!$Z$6:$Z$3005,G$5)=0,"",SUMIFS(請求記録!$AE$6:$AE$3005,請求記録!$B$6:$B$3005,$A6,請求記録!$Z$6:$Z$3005,G$5))))</f>
        <v/>
      </c>
      <c r="H6" s="19">
        <f>IF($A6="","",IF(COUNTIFS(請求記録!$B$6:$B$3005,$A6,請求記録!$Z$6:$Z$3005,H$5,請求記録!$AF$6:$AF$3005,"保留中")&gt;0,"保留",IF(COUNTIFS(請求記録!$B$6:$B$3005,$A6,請求記録!$Z$6:$Z$3005,H$5)=0,"",SUMIFS(請求記録!$AE$6:$AE$3005,請求記録!$B$6:$B$3005,$A6,請求記録!$Z$6:$Z$3005,H$5))))</f>
        <v/>
      </c>
      <c r="I6" s="19">
        <f>IF($A6="","",IF(COUNTIFS(請求記録!$B$6:$B$3005,$A6,請求記録!$Z$6:$Z$3005,I$5,請求記録!$AF$6:$AF$3005,"保留中")&gt;0,"保留",IF(COUNTIFS(請求記録!$B$6:$B$3005,$A6,請求記録!$Z$6:$Z$3005,I$5)=0,"",SUMIFS(請求記録!$AE$6:$AE$3005,請求記録!$B$6:$B$3005,$A6,請求記録!$Z$6:$Z$3005,I$5))))</f>
        <v/>
      </c>
      <c r="J6" s="19">
        <f>IF($A6="","",IF(COUNTIFS(請求記録!$B$6:$B$3005,$A6,請求記録!$Z$6:$Z$3005,J$5,請求記録!$AF$6:$AF$3005,"保留中")&gt;0,"保留",IF(COUNTIFS(請求記録!$B$6:$B$3005,$A6,請求記録!$Z$6:$Z$3005,J$5)=0,"",SUMIFS(請求記録!$AE$6:$AE$3005,請求記録!$B$6:$B$3005,$A6,請求記録!$Z$6:$Z$3005,J$5))))</f>
        <v/>
      </c>
      <c r="K6" s="19">
        <f>IF($A6="","",IF(COUNTIFS(請求記録!$B$6:$B$3005,$A6,請求記録!$Z$6:$Z$3005,K$5,請求記録!$AF$6:$AF$3005,"保留中")&gt;0,"保留",IF(COUNTIFS(請求記録!$B$6:$B$3005,$A6,請求記録!$Z$6:$Z$3005,K$5)=0,"",SUMIFS(請求記録!$AE$6:$AE$3005,請求記録!$B$6:$B$3005,$A6,請求記録!$Z$6:$Z$3005,K$5))))</f>
        <v/>
      </c>
      <c r="L6" s="19">
        <f>IF($A6="","",IF(COUNTIFS(請求記録!$B$6:$B$3005,$A6,請求記録!$Z$6:$Z$3005,L$5,請求記録!$AF$6:$AF$3005,"保留中")&gt;0,"保留",IF(COUNTIFS(請求記録!$B$6:$B$3005,$A6,請求記録!$Z$6:$Z$3005,L$5)=0,"",SUMIFS(請求記録!$AE$6:$AE$3005,請求記録!$B$6:$B$3005,$A6,請求記録!$Z$6:$Z$3005,L$5))))</f>
        <v/>
      </c>
      <c r="M6" s="19">
        <f>IF($A6="","",IF(COUNTIFS(請求記録!$B$6:$B$3005,$A6,請求記録!$Z$6:$Z$3005,M$5,請求記録!$AF$6:$AF$3005,"保留中")&gt;0,"保留",IF(COUNTIFS(請求記録!$B$6:$B$3005,$A6,請求記録!$Z$6:$Z$3005,M$5)=0,"",SUMIFS(請求記録!$AE$6:$AE$3005,請求記録!$B$6:$B$3005,$A6,請求記録!$Z$6:$Z$3005,M$5))))</f>
        <v/>
      </c>
      <c r="N6" s="19">
        <f>IF($A6="","",IF(COUNTIFS(請求記録!$B$6:$B$3005,$A6,請求記録!$Z$6:$Z$3005,N$5,請求記録!$AF$6:$AF$3005,"保留中")&gt;0,"保留",IF(COUNTIFS(請求記録!$B$6:$B$3005,$A6,請求記録!$Z$6:$Z$3005,N$5)=0,"",SUMIFS(請求記録!$AE$6:$AE$3005,請求記録!$B$6:$B$3005,$A6,請求記録!$Z$6:$Z$3005,N$5))))</f>
        <v/>
      </c>
      <c r="O6" s="19">
        <f>IF($A6="","",IF(COUNTIFS(請求記録!$B$6:$B$3005,$A6,請求記録!$Z$6:$Z$3005,O$5,請求記録!$AF$6:$AF$3005,"保留中")&gt;0,"保留",IF(COUNTIFS(請求記録!$B$6:$B$3005,$A6,請求記録!$Z$6:$Z$3005,O$5)=0,"",SUMIFS(請求記録!$AE$6:$AE$3005,請求記録!$B$6:$B$3005,$A6,請求記録!$Z$6:$Z$3005,O$5))))</f>
        <v/>
      </c>
      <c r="P6" s="19">
        <f>IF($A6="","",IF(COUNTIFS(請求記録!$B$6:$B$3005,$A6,請求記録!$Z$6:$Z$3005,P$5,請求記録!$AF$6:$AF$3005,"保留中")&gt;0,"保留",IF(COUNTIFS(請求記録!$B$6:$B$3005,$A6,請求記録!$Z$6:$Z$3005,P$5)=0,"",SUMIFS(請求記録!$AE$6:$AE$3005,請求記録!$B$6:$B$3005,$A6,請求記録!$Z$6:$Z$3005,P$5))))</f>
        <v/>
      </c>
      <c r="Q6" s="19">
        <f>IF($A6="","",IF(COUNTIFS(請求記録!$B$6:$B$3005,$A6,請求記録!$Z$6:$Z$3005,Q$5,請求記録!$AF$6:$AF$3005,"保留中")&gt;0,"保留",IF(COUNTIFS(請求記録!$B$6:$B$3005,$A6,請求記録!$Z$6:$Z$3005,Q$5)=0,"",SUMIFS(請求記録!$AE$6:$AE$3005,請求記録!$B$6:$B$3005,$A6,請求記録!$Z$6:$Z$3005,Q$5))))</f>
        <v/>
      </c>
      <c r="R6" s="19">
        <f>IF($A6="","",IF(COUNTIFS(請求記録!$B$6:$B$3005,$A6,請求記録!$Z$6:$Z$3005,R$5,請求記録!$AF$6:$AF$3005,"保留中")&gt;0,"保留",IF(COUNTIFS(請求記録!$B$6:$B$3005,$A6,請求記録!$Z$6:$Z$3005,R$5)=0,"",SUMIFS(請求記録!$AE$6:$AE$3005,請求記録!$B$6:$B$3005,$A6,請求記録!$Z$6:$Z$3005,R$5))))</f>
        <v/>
      </c>
      <c r="S6" s="19">
        <f>IF($A6="","",IF(COUNTIFS(請求記録!$B$6:$B$3005,$A6,請求記録!$Z$6:$Z$3005,S$5,請求記録!$AF$6:$AF$3005,"保留中")&gt;0,"保留",IF(COUNTIFS(請求記録!$B$6:$B$3005,$A6,請求記録!$Z$6:$Z$3005,S$5)=0,"",SUMIFS(請求記録!$AE$6:$AE$3005,請求記録!$B$6:$B$3005,$A6,請求記録!$Z$6:$Z$3005,S$5))))</f>
        <v/>
      </c>
      <c r="T6" s="19">
        <f>IF($A6="","",IF(COUNTIFS(請求記録!$B$6:$B$3005,$A6,請求記録!$Z$6:$Z$3005,T$5,請求記録!$AF$6:$AF$3005,"保留中")&gt;0,"保留",IF(COUNTIFS(請求記録!$B$6:$B$3005,$A6,請求記録!$Z$6:$Z$3005,T$5)=0,"",SUMIFS(請求記録!$AE$6:$AE$3005,請求記録!$B$6:$B$3005,$A6,請求記録!$Z$6:$Z$3005,T$5))))</f>
        <v/>
      </c>
      <c r="U6" s="19">
        <f>IF($A6="","",IF(COUNTIFS(請求記録!$B$6:$B$3005,$A6,請求記録!$Z$6:$Z$3005,U$5,請求記録!$AF$6:$AF$3005,"保留中")&gt;0,"保留",IF(COUNTIFS(請求記録!$B$6:$B$3005,$A6,請求記録!$Z$6:$Z$3005,U$5)=0,"",SUMIFS(請求記録!$AE$6:$AE$3005,請求記録!$B$6:$B$3005,$A6,請求記録!$Z$6:$Z$3005,U$5))))</f>
        <v/>
      </c>
      <c r="V6" s="19">
        <f>IF($A6="","",IF(COUNTIFS(請求記録!$B$6:$B$3005,$A6,請求記録!$Z$6:$Z$3005,V$5,請求記録!$AF$6:$AF$3005,"保留中")&gt;0,"保留",IF(COUNTIFS(請求記録!$B$6:$B$3005,$A6,請求記録!$Z$6:$Z$3005,V$5)=0,"",SUMIFS(請求記録!$AE$6:$AE$3005,請求記録!$B$6:$B$3005,$A6,請求記録!$Z$6:$Z$3005,V$5))))</f>
        <v/>
      </c>
      <c r="W6" s="19">
        <f>IF($A6="","",IF(COUNTIFS(請求記録!$B$6:$B$3005,$A6,請求記録!$Z$6:$Z$3005,W$5,請求記録!$AF$6:$AF$3005,"保留中")&gt;0,"保留",IF(COUNTIFS(請求記録!$B$6:$B$3005,$A6,請求記録!$Z$6:$Z$3005,W$5)=0,"",SUMIFS(請求記録!$AE$6:$AE$3005,請求記録!$B$6:$B$3005,$A6,請求記録!$Z$6:$Z$3005,W$5))))</f>
        <v/>
      </c>
      <c r="X6" s="19">
        <f>IF($A6="","",IF(COUNTIFS(請求記録!$B$6:$B$3005,$A6,請求記録!$Z$6:$Z$3005,X$5,請求記録!$AF$6:$AF$3005,"保留中")&gt;0,"保留",IF(COUNTIFS(請求記録!$B$6:$B$3005,$A6,請求記録!$Z$6:$Z$3005,X$5)=0,"",SUMIFS(請求記録!$AE$6:$AE$3005,請求記録!$B$6:$B$3005,$A6,請求記録!$Z$6:$Z$3005,X$5))))</f>
        <v/>
      </c>
      <c r="Y6" s="19">
        <f>IF($A6="","",IF(COUNTIFS(請求記録!$B$6:$B$3005,$A6,請求記録!$Z$6:$Z$3005,Y$5,請求記録!$AF$6:$AF$3005,"保留中")&gt;0,"保留",IF(COUNTIFS(請求記録!$B$6:$B$3005,$A6,請求記録!$Z$6:$Z$3005,Y$5)=0,"",SUMIFS(請求記録!$AE$6:$AE$3005,請求記録!$B$6:$B$3005,$A6,請求記録!$Z$6:$Z$3005,Y$5))))</f>
        <v/>
      </c>
      <c r="Z6" s="19">
        <f>IF($A6="","",IF(COUNTIFS(請求記録!$B$6:$B$3005,$A6,請求記録!$Z$6:$Z$3005,Z$5,請求記録!$AF$6:$AF$3005,"保留中")&gt;0,"保留",IF(COUNTIFS(請求記録!$B$6:$B$3005,$A6,請求記録!$Z$6:$Z$3005,Z$5)=0,"",SUMIFS(請求記録!$AE$6:$AE$3005,請求記録!$B$6:$B$3005,$A6,請求記録!$Z$6:$Z$3005,Z$5))))</f>
        <v/>
      </c>
      <c r="AA6" s="19">
        <f>IF($A6="","",IF(COUNTIFS(請求記録!$B$6:$B$3005,$A6,請求記録!$Z$6:$Z$3005,AA$5,請求記録!$AF$6:$AF$3005,"保留中")&gt;0,"保留",IF(COUNTIFS(請求記録!$B$6:$B$3005,$A6,請求記録!$Z$6:$Z$3005,AA$5)=0,"",SUMIFS(請求記録!$AE$6:$AE$3005,請求記録!$B$6:$B$3005,$A6,請求記録!$Z$6:$Z$3005,AA$5))))</f>
        <v/>
      </c>
      <c r="AB6">
        <f>IF(職員マスタ!P6="保留中",職員マスタ!M6,"")</f>
        <v/>
      </c>
    </row>
    <row r="7">
      <c r="A7">
        <f>IF(職員マスタ!A7="","",職員マスタ!A7)</f>
        <v/>
      </c>
      <c r="B7">
        <f>IF($A7="","",職員マスタ!B7)</f>
        <v/>
      </c>
      <c r="C7">
        <f>IF($A7="","",職員マスタ!C7)</f>
        <v/>
      </c>
      <c r="D7" s="19">
        <f>IF($A7="","",IF(COUNTIFS(請求記録!$B$6:$B$3005,$A7,請求記録!$Z$6:$Z$3005,D$5,請求記録!$AF$6:$AF$3005,"保留中")&gt;0,"保留",IF(COUNTIFS(請求記録!$B$6:$B$3005,$A7,請求記録!$Z$6:$Z$3005,D$5)=0,"",SUMIFS(請求記録!$AE$6:$AE$3005,請求記録!$B$6:$B$3005,$A7,請求記録!$Z$6:$Z$3005,D$5))))</f>
        <v/>
      </c>
      <c r="E7" s="19">
        <f>IF($A7="","",IF(COUNTIFS(請求記録!$B$6:$B$3005,$A7,請求記録!$Z$6:$Z$3005,E$5,請求記録!$AF$6:$AF$3005,"保留中")&gt;0,"保留",IF(COUNTIFS(請求記録!$B$6:$B$3005,$A7,請求記録!$Z$6:$Z$3005,E$5)=0,"",SUMIFS(請求記録!$AE$6:$AE$3005,請求記録!$B$6:$B$3005,$A7,請求記録!$Z$6:$Z$3005,E$5))))</f>
        <v/>
      </c>
      <c r="F7" s="19">
        <f>IF($A7="","",IF(COUNTIFS(請求記録!$B$6:$B$3005,$A7,請求記録!$Z$6:$Z$3005,F$5,請求記録!$AF$6:$AF$3005,"保留中")&gt;0,"保留",IF(COUNTIFS(請求記録!$B$6:$B$3005,$A7,請求記録!$Z$6:$Z$3005,F$5)=0,"",SUMIFS(請求記録!$AE$6:$AE$3005,請求記録!$B$6:$B$3005,$A7,請求記録!$Z$6:$Z$3005,F$5))))</f>
        <v/>
      </c>
      <c r="G7" s="19">
        <f>IF($A7="","",IF(COUNTIFS(請求記録!$B$6:$B$3005,$A7,請求記録!$Z$6:$Z$3005,G$5,請求記録!$AF$6:$AF$3005,"保留中")&gt;0,"保留",IF(COUNTIFS(請求記録!$B$6:$B$3005,$A7,請求記録!$Z$6:$Z$3005,G$5)=0,"",SUMIFS(請求記録!$AE$6:$AE$3005,請求記録!$B$6:$B$3005,$A7,請求記録!$Z$6:$Z$3005,G$5))))</f>
        <v/>
      </c>
      <c r="H7" s="19">
        <f>IF($A7="","",IF(COUNTIFS(請求記録!$B$6:$B$3005,$A7,請求記録!$Z$6:$Z$3005,H$5,請求記録!$AF$6:$AF$3005,"保留中")&gt;0,"保留",IF(COUNTIFS(請求記録!$B$6:$B$3005,$A7,請求記録!$Z$6:$Z$3005,H$5)=0,"",SUMIFS(請求記録!$AE$6:$AE$3005,請求記録!$B$6:$B$3005,$A7,請求記録!$Z$6:$Z$3005,H$5))))</f>
        <v/>
      </c>
      <c r="I7" s="19">
        <f>IF($A7="","",IF(COUNTIFS(請求記録!$B$6:$B$3005,$A7,請求記録!$Z$6:$Z$3005,I$5,請求記録!$AF$6:$AF$3005,"保留中")&gt;0,"保留",IF(COUNTIFS(請求記録!$B$6:$B$3005,$A7,請求記録!$Z$6:$Z$3005,I$5)=0,"",SUMIFS(請求記録!$AE$6:$AE$3005,請求記録!$B$6:$B$3005,$A7,請求記録!$Z$6:$Z$3005,I$5))))</f>
        <v/>
      </c>
      <c r="J7" s="19">
        <f>IF($A7="","",IF(COUNTIFS(請求記録!$B$6:$B$3005,$A7,請求記録!$Z$6:$Z$3005,J$5,請求記録!$AF$6:$AF$3005,"保留中")&gt;0,"保留",IF(COUNTIFS(請求記録!$B$6:$B$3005,$A7,請求記録!$Z$6:$Z$3005,J$5)=0,"",SUMIFS(請求記録!$AE$6:$AE$3005,請求記録!$B$6:$B$3005,$A7,請求記録!$Z$6:$Z$3005,J$5))))</f>
        <v/>
      </c>
      <c r="K7" s="19">
        <f>IF($A7="","",IF(COUNTIFS(請求記録!$B$6:$B$3005,$A7,請求記録!$Z$6:$Z$3005,K$5,請求記録!$AF$6:$AF$3005,"保留中")&gt;0,"保留",IF(COUNTIFS(請求記録!$B$6:$B$3005,$A7,請求記録!$Z$6:$Z$3005,K$5)=0,"",SUMIFS(請求記録!$AE$6:$AE$3005,請求記録!$B$6:$B$3005,$A7,請求記録!$Z$6:$Z$3005,K$5))))</f>
        <v/>
      </c>
      <c r="L7" s="19">
        <f>IF($A7="","",IF(COUNTIFS(請求記録!$B$6:$B$3005,$A7,請求記録!$Z$6:$Z$3005,L$5,請求記録!$AF$6:$AF$3005,"保留中")&gt;0,"保留",IF(COUNTIFS(請求記録!$B$6:$B$3005,$A7,請求記録!$Z$6:$Z$3005,L$5)=0,"",SUMIFS(請求記録!$AE$6:$AE$3005,請求記録!$B$6:$B$3005,$A7,請求記録!$Z$6:$Z$3005,L$5))))</f>
        <v/>
      </c>
      <c r="M7" s="19">
        <f>IF($A7="","",IF(COUNTIFS(請求記録!$B$6:$B$3005,$A7,請求記録!$Z$6:$Z$3005,M$5,請求記録!$AF$6:$AF$3005,"保留中")&gt;0,"保留",IF(COUNTIFS(請求記録!$B$6:$B$3005,$A7,請求記録!$Z$6:$Z$3005,M$5)=0,"",SUMIFS(請求記録!$AE$6:$AE$3005,請求記録!$B$6:$B$3005,$A7,請求記録!$Z$6:$Z$3005,M$5))))</f>
        <v/>
      </c>
      <c r="N7" s="19">
        <f>IF($A7="","",IF(COUNTIFS(請求記録!$B$6:$B$3005,$A7,請求記録!$Z$6:$Z$3005,N$5,請求記録!$AF$6:$AF$3005,"保留中")&gt;0,"保留",IF(COUNTIFS(請求記録!$B$6:$B$3005,$A7,請求記録!$Z$6:$Z$3005,N$5)=0,"",SUMIFS(請求記録!$AE$6:$AE$3005,請求記録!$B$6:$B$3005,$A7,請求記録!$Z$6:$Z$3005,N$5))))</f>
        <v/>
      </c>
      <c r="O7" s="19">
        <f>IF($A7="","",IF(COUNTIFS(請求記録!$B$6:$B$3005,$A7,請求記録!$Z$6:$Z$3005,O$5,請求記録!$AF$6:$AF$3005,"保留中")&gt;0,"保留",IF(COUNTIFS(請求記録!$B$6:$B$3005,$A7,請求記録!$Z$6:$Z$3005,O$5)=0,"",SUMIFS(請求記録!$AE$6:$AE$3005,請求記録!$B$6:$B$3005,$A7,請求記録!$Z$6:$Z$3005,O$5))))</f>
        <v/>
      </c>
      <c r="P7" s="19">
        <f>IF($A7="","",IF(COUNTIFS(請求記録!$B$6:$B$3005,$A7,請求記録!$Z$6:$Z$3005,P$5,請求記録!$AF$6:$AF$3005,"保留中")&gt;0,"保留",IF(COUNTIFS(請求記録!$B$6:$B$3005,$A7,請求記録!$Z$6:$Z$3005,P$5)=0,"",SUMIFS(請求記録!$AE$6:$AE$3005,請求記録!$B$6:$B$3005,$A7,請求記録!$Z$6:$Z$3005,P$5))))</f>
        <v/>
      </c>
      <c r="Q7" s="19">
        <f>IF($A7="","",IF(COUNTIFS(請求記録!$B$6:$B$3005,$A7,請求記録!$Z$6:$Z$3005,Q$5,請求記録!$AF$6:$AF$3005,"保留中")&gt;0,"保留",IF(COUNTIFS(請求記録!$B$6:$B$3005,$A7,請求記録!$Z$6:$Z$3005,Q$5)=0,"",SUMIFS(請求記録!$AE$6:$AE$3005,請求記録!$B$6:$B$3005,$A7,請求記録!$Z$6:$Z$3005,Q$5))))</f>
        <v/>
      </c>
      <c r="R7" s="19">
        <f>IF($A7="","",IF(COUNTIFS(請求記録!$B$6:$B$3005,$A7,請求記録!$Z$6:$Z$3005,R$5,請求記録!$AF$6:$AF$3005,"保留中")&gt;0,"保留",IF(COUNTIFS(請求記録!$B$6:$B$3005,$A7,請求記録!$Z$6:$Z$3005,R$5)=0,"",SUMIFS(請求記録!$AE$6:$AE$3005,請求記録!$B$6:$B$3005,$A7,請求記録!$Z$6:$Z$3005,R$5))))</f>
        <v/>
      </c>
      <c r="S7" s="19">
        <f>IF($A7="","",IF(COUNTIFS(請求記録!$B$6:$B$3005,$A7,請求記録!$Z$6:$Z$3005,S$5,請求記録!$AF$6:$AF$3005,"保留中")&gt;0,"保留",IF(COUNTIFS(請求記録!$B$6:$B$3005,$A7,請求記録!$Z$6:$Z$3005,S$5)=0,"",SUMIFS(請求記録!$AE$6:$AE$3005,請求記録!$B$6:$B$3005,$A7,請求記録!$Z$6:$Z$3005,S$5))))</f>
        <v/>
      </c>
      <c r="T7" s="19">
        <f>IF($A7="","",IF(COUNTIFS(請求記録!$B$6:$B$3005,$A7,請求記録!$Z$6:$Z$3005,T$5,請求記録!$AF$6:$AF$3005,"保留中")&gt;0,"保留",IF(COUNTIFS(請求記録!$B$6:$B$3005,$A7,請求記録!$Z$6:$Z$3005,T$5)=0,"",SUMIFS(請求記録!$AE$6:$AE$3005,請求記録!$B$6:$B$3005,$A7,請求記録!$Z$6:$Z$3005,T$5))))</f>
        <v/>
      </c>
      <c r="U7" s="19">
        <f>IF($A7="","",IF(COUNTIFS(請求記録!$B$6:$B$3005,$A7,請求記録!$Z$6:$Z$3005,U$5,請求記録!$AF$6:$AF$3005,"保留中")&gt;0,"保留",IF(COUNTIFS(請求記録!$B$6:$B$3005,$A7,請求記録!$Z$6:$Z$3005,U$5)=0,"",SUMIFS(請求記録!$AE$6:$AE$3005,請求記録!$B$6:$B$3005,$A7,請求記録!$Z$6:$Z$3005,U$5))))</f>
        <v/>
      </c>
      <c r="V7" s="19">
        <f>IF($A7="","",IF(COUNTIFS(請求記録!$B$6:$B$3005,$A7,請求記録!$Z$6:$Z$3005,V$5,請求記録!$AF$6:$AF$3005,"保留中")&gt;0,"保留",IF(COUNTIFS(請求記録!$B$6:$B$3005,$A7,請求記録!$Z$6:$Z$3005,V$5)=0,"",SUMIFS(請求記録!$AE$6:$AE$3005,請求記録!$B$6:$B$3005,$A7,請求記録!$Z$6:$Z$3005,V$5))))</f>
        <v/>
      </c>
      <c r="W7" s="19">
        <f>IF($A7="","",IF(COUNTIFS(請求記録!$B$6:$B$3005,$A7,請求記録!$Z$6:$Z$3005,W$5,請求記録!$AF$6:$AF$3005,"保留中")&gt;0,"保留",IF(COUNTIFS(請求記録!$B$6:$B$3005,$A7,請求記録!$Z$6:$Z$3005,W$5)=0,"",SUMIFS(請求記録!$AE$6:$AE$3005,請求記録!$B$6:$B$3005,$A7,請求記録!$Z$6:$Z$3005,W$5))))</f>
        <v/>
      </c>
      <c r="X7" s="19">
        <f>IF($A7="","",IF(COUNTIFS(請求記録!$B$6:$B$3005,$A7,請求記録!$Z$6:$Z$3005,X$5,請求記録!$AF$6:$AF$3005,"保留中")&gt;0,"保留",IF(COUNTIFS(請求記録!$B$6:$B$3005,$A7,請求記録!$Z$6:$Z$3005,X$5)=0,"",SUMIFS(請求記録!$AE$6:$AE$3005,請求記録!$B$6:$B$3005,$A7,請求記録!$Z$6:$Z$3005,X$5))))</f>
        <v/>
      </c>
      <c r="Y7" s="19">
        <f>IF($A7="","",IF(COUNTIFS(請求記録!$B$6:$B$3005,$A7,請求記録!$Z$6:$Z$3005,Y$5,請求記録!$AF$6:$AF$3005,"保留中")&gt;0,"保留",IF(COUNTIFS(請求記録!$B$6:$B$3005,$A7,請求記録!$Z$6:$Z$3005,Y$5)=0,"",SUMIFS(請求記録!$AE$6:$AE$3005,請求記録!$B$6:$B$3005,$A7,請求記録!$Z$6:$Z$3005,Y$5))))</f>
        <v/>
      </c>
      <c r="Z7" s="19">
        <f>IF($A7="","",IF(COUNTIFS(請求記録!$B$6:$B$3005,$A7,請求記録!$Z$6:$Z$3005,Z$5,請求記録!$AF$6:$AF$3005,"保留中")&gt;0,"保留",IF(COUNTIFS(請求記録!$B$6:$B$3005,$A7,請求記録!$Z$6:$Z$3005,Z$5)=0,"",SUMIFS(請求記録!$AE$6:$AE$3005,請求記録!$B$6:$B$3005,$A7,請求記録!$Z$6:$Z$3005,Z$5))))</f>
        <v/>
      </c>
      <c r="AA7" s="19">
        <f>IF($A7="","",IF(COUNTIFS(請求記録!$B$6:$B$3005,$A7,請求記録!$Z$6:$Z$3005,AA$5,請求記録!$AF$6:$AF$3005,"保留中")&gt;0,"保留",IF(COUNTIFS(請求記録!$B$6:$B$3005,$A7,請求記録!$Z$6:$Z$3005,AA$5)=0,"",SUMIFS(請求記録!$AE$6:$AE$3005,請求記録!$B$6:$B$3005,$A7,請求記録!$Z$6:$Z$3005,AA$5))))</f>
        <v/>
      </c>
      <c r="AB7">
        <f>IF(職員マスタ!P7="保留中",職員マスタ!M7,"")</f>
        <v/>
      </c>
    </row>
    <row r="8">
      <c r="A8">
        <f>IF(職員マスタ!A8="","",職員マスタ!A8)</f>
        <v/>
      </c>
      <c r="B8">
        <f>IF($A8="","",職員マスタ!B8)</f>
        <v/>
      </c>
      <c r="C8">
        <f>IF($A8="","",職員マスタ!C8)</f>
        <v/>
      </c>
      <c r="D8" s="19">
        <f>IF($A8="","",IF(COUNTIFS(請求記録!$B$6:$B$3005,$A8,請求記録!$Z$6:$Z$3005,D$5,請求記録!$AF$6:$AF$3005,"保留中")&gt;0,"保留",IF(COUNTIFS(請求記録!$B$6:$B$3005,$A8,請求記録!$Z$6:$Z$3005,D$5)=0,"",SUMIFS(請求記録!$AE$6:$AE$3005,請求記録!$B$6:$B$3005,$A8,請求記録!$Z$6:$Z$3005,D$5))))</f>
        <v/>
      </c>
      <c r="E8" s="19">
        <f>IF($A8="","",IF(COUNTIFS(請求記録!$B$6:$B$3005,$A8,請求記録!$Z$6:$Z$3005,E$5,請求記録!$AF$6:$AF$3005,"保留中")&gt;0,"保留",IF(COUNTIFS(請求記録!$B$6:$B$3005,$A8,請求記録!$Z$6:$Z$3005,E$5)=0,"",SUMIFS(請求記録!$AE$6:$AE$3005,請求記録!$B$6:$B$3005,$A8,請求記録!$Z$6:$Z$3005,E$5))))</f>
        <v/>
      </c>
      <c r="F8" s="19">
        <f>IF($A8="","",IF(COUNTIFS(請求記録!$B$6:$B$3005,$A8,請求記録!$Z$6:$Z$3005,F$5,請求記録!$AF$6:$AF$3005,"保留中")&gt;0,"保留",IF(COUNTIFS(請求記録!$B$6:$B$3005,$A8,請求記録!$Z$6:$Z$3005,F$5)=0,"",SUMIFS(請求記録!$AE$6:$AE$3005,請求記録!$B$6:$B$3005,$A8,請求記録!$Z$6:$Z$3005,F$5))))</f>
        <v/>
      </c>
      <c r="G8" s="19">
        <f>IF($A8="","",IF(COUNTIFS(請求記録!$B$6:$B$3005,$A8,請求記録!$Z$6:$Z$3005,G$5,請求記録!$AF$6:$AF$3005,"保留中")&gt;0,"保留",IF(COUNTIFS(請求記録!$B$6:$B$3005,$A8,請求記録!$Z$6:$Z$3005,G$5)=0,"",SUMIFS(請求記録!$AE$6:$AE$3005,請求記録!$B$6:$B$3005,$A8,請求記録!$Z$6:$Z$3005,G$5))))</f>
        <v/>
      </c>
      <c r="H8" s="19">
        <f>IF($A8="","",IF(COUNTIFS(請求記録!$B$6:$B$3005,$A8,請求記録!$Z$6:$Z$3005,H$5,請求記録!$AF$6:$AF$3005,"保留中")&gt;0,"保留",IF(COUNTIFS(請求記録!$B$6:$B$3005,$A8,請求記録!$Z$6:$Z$3005,H$5)=0,"",SUMIFS(請求記録!$AE$6:$AE$3005,請求記録!$B$6:$B$3005,$A8,請求記録!$Z$6:$Z$3005,H$5))))</f>
        <v/>
      </c>
      <c r="I8" s="19">
        <f>IF($A8="","",IF(COUNTIFS(請求記録!$B$6:$B$3005,$A8,請求記録!$Z$6:$Z$3005,I$5,請求記録!$AF$6:$AF$3005,"保留中")&gt;0,"保留",IF(COUNTIFS(請求記録!$B$6:$B$3005,$A8,請求記録!$Z$6:$Z$3005,I$5)=0,"",SUMIFS(請求記録!$AE$6:$AE$3005,請求記録!$B$6:$B$3005,$A8,請求記録!$Z$6:$Z$3005,I$5))))</f>
        <v/>
      </c>
      <c r="J8" s="19">
        <f>IF($A8="","",IF(COUNTIFS(請求記録!$B$6:$B$3005,$A8,請求記録!$Z$6:$Z$3005,J$5,請求記録!$AF$6:$AF$3005,"保留中")&gt;0,"保留",IF(COUNTIFS(請求記録!$B$6:$B$3005,$A8,請求記録!$Z$6:$Z$3005,J$5)=0,"",SUMIFS(請求記録!$AE$6:$AE$3005,請求記録!$B$6:$B$3005,$A8,請求記録!$Z$6:$Z$3005,J$5))))</f>
        <v/>
      </c>
      <c r="K8" s="19">
        <f>IF($A8="","",IF(COUNTIFS(請求記録!$B$6:$B$3005,$A8,請求記録!$Z$6:$Z$3005,K$5,請求記録!$AF$6:$AF$3005,"保留中")&gt;0,"保留",IF(COUNTIFS(請求記録!$B$6:$B$3005,$A8,請求記録!$Z$6:$Z$3005,K$5)=0,"",SUMIFS(請求記録!$AE$6:$AE$3005,請求記録!$B$6:$B$3005,$A8,請求記録!$Z$6:$Z$3005,K$5))))</f>
        <v/>
      </c>
      <c r="L8" s="19">
        <f>IF($A8="","",IF(COUNTIFS(請求記録!$B$6:$B$3005,$A8,請求記録!$Z$6:$Z$3005,L$5,請求記録!$AF$6:$AF$3005,"保留中")&gt;0,"保留",IF(COUNTIFS(請求記録!$B$6:$B$3005,$A8,請求記録!$Z$6:$Z$3005,L$5)=0,"",SUMIFS(請求記録!$AE$6:$AE$3005,請求記録!$B$6:$B$3005,$A8,請求記録!$Z$6:$Z$3005,L$5))))</f>
        <v/>
      </c>
      <c r="M8" s="19">
        <f>IF($A8="","",IF(COUNTIFS(請求記録!$B$6:$B$3005,$A8,請求記録!$Z$6:$Z$3005,M$5,請求記録!$AF$6:$AF$3005,"保留中")&gt;0,"保留",IF(COUNTIFS(請求記録!$B$6:$B$3005,$A8,請求記録!$Z$6:$Z$3005,M$5)=0,"",SUMIFS(請求記録!$AE$6:$AE$3005,請求記録!$B$6:$B$3005,$A8,請求記録!$Z$6:$Z$3005,M$5))))</f>
        <v/>
      </c>
      <c r="N8" s="19">
        <f>IF($A8="","",IF(COUNTIFS(請求記録!$B$6:$B$3005,$A8,請求記録!$Z$6:$Z$3005,N$5,請求記録!$AF$6:$AF$3005,"保留中")&gt;0,"保留",IF(COUNTIFS(請求記録!$B$6:$B$3005,$A8,請求記録!$Z$6:$Z$3005,N$5)=0,"",SUMIFS(請求記録!$AE$6:$AE$3005,請求記録!$B$6:$B$3005,$A8,請求記録!$Z$6:$Z$3005,N$5))))</f>
        <v/>
      </c>
      <c r="O8" s="19">
        <f>IF($A8="","",IF(COUNTIFS(請求記録!$B$6:$B$3005,$A8,請求記録!$Z$6:$Z$3005,O$5,請求記録!$AF$6:$AF$3005,"保留中")&gt;0,"保留",IF(COUNTIFS(請求記録!$B$6:$B$3005,$A8,請求記録!$Z$6:$Z$3005,O$5)=0,"",SUMIFS(請求記録!$AE$6:$AE$3005,請求記録!$B$6:$B$3005,$A8,請求記録!$Z$6:$Z$3005,O$5))))</f>
        <v/>
      </c>
      <c r="P8" s="19">
        <f>IF($A8="","",IF(COUNTIFS(請求記録!$B$6:$B$3005,$A8,請求記録!$Z$6:$Z$3005,P$5,請求記録!$AF$6:$AF$3005,"保留中")&gt;0,"保留",IF(COUNTIFS(請求記録!$B$6:$B$3005,$A8,請求記録!$Z$6:$Z$3005,P$5)=0,"",SUMIFS(請求記録!$AE$6:$AE$3005,請求記録!$B$6:$B$3005,$A8,請求記録!$Z$6:$Z$3005,P$5))))</f>
        <v/>
      </c>
      <c r="Q8" s="19">
        <f>IF($A8="","",IF(COUNTIFS(請求記録!$B$6:$B$3005,$A8,請求記録!$Z$6:$Z$3005,Q$5,請求記録!$AF$6:$AF$3005,"保留中")&gt;0,"保留",IF(COUNTIFS(請求記録!$B$6:$B$3005,$A8,請求記録!$Z$6:$Z$3005,Q$5)=0,"",SUMIFS(請求記録!$AE$6:$AE$3005,請求記録!$B$6:$B$3005,$A8,請求記録!$Z$6:$Z$3005,Q$5))))</f>
        <v/>
      </c>
      <c r="R8" s="19">
        <f>IF($A8="","",IF(COUNTIFS(請求記録!$B$6:$B$3005,$A8,請求記録!$Z$6:$Z$3005,R$5,請求記録!$AF$6:$AF$3005,"保留中")&gt;0,"保留",IF(COUNTIFS(請求記録!$B$6:$B$3005,$A8,請求記録!$Z$6:$Z$3005,R$5)=0,"",SUMIFS(請求記録!$AE$6:$AE$3005,請求記録!$B$6:$B$3005,$A8,請求記録!$Z$6:$Z$3005,R$5))))</f>
        <v/>
      </c>
      <c r="S8" s="19">
        <f>IF($A8="","",IF(COUNTIFS(請求記録!$B$6:$B$3005,$A8,請求記録!$Z$6:$Z$3005,S$5,請求記録!$AF$6:$AF$3005,"保留中")&gt;0,"保留",IF(COUNTIFS(請求記録!$B$6:$B$3005,$A8,請求記録!$Z$6:$Z$3005,S$5)=0,"",SUMIFS(請求記録!$AE$6:$AE$3005,請求記録!$B$6:$B$3005,$A8,請求記録!$Z$6:$Z$3005,S$5))))</f>
        <v/>
      </c>
      <c r="T8" s="19">
        <f>IF($A8="","",IF(COUNTIFS(請求記録!$B$6:$B$3005,$A8,請求記録!$Z$6:$Z$3005,T$5,請求記録!$AF$6:$AF$3005,"保留中")&gt;0,"保留",IF(COUNTIFS(請求記録!$B$6:$B$3005,$A8,請求記録!$Z$6:$Z$3005,T$5)=0,"",SUMIFS(請求記録!$AE$6:$AE$3005,請求記録!$B$6:$B$3005,$A8,請求記録!$Z$6:$Z$3005,T$5))))</f>
        <v/>
      </c>
      <c r="U8" s="19">
        <f>IF($A8="","",IF(COUNTIFS(請求記録!$B$6:$B$3005,$A8,請求記録!$Z$6:$Z$3005,U$5,請求記録!$AF$6:$AF$3005,"保留中")&gt;0,"保留",IF(COUNTIFS(請求記録!$B$6:$B$3005,$A8,請求記録!$Z$6:$Z$3005,U$5)=0,"",SUMIFS(請求記録!$AE$6:$AE$3005,請求記録!$B$6:$B$3005,$A8,請求記録!$Z$6:$Z$3005,U$5))))</f>
        <v/>
      </c>
      <c r="V8" s="19">
        <f>IF($A8="","",IF(COUNTIFS(請求記録!$B$6:$B$3005,$A8,請求記録!$Z$6:$Z$3005,V$5,請求記録!$AF$6:$AF$3005,"保留中")&gt;0,"保留",IF(COUNTIFS(請求記録!$B$6:$B$3005,$A8,請求記録!$Z$6:$Z$3005,V$5)=0,"",SUMIFS(請求記録!$AE$6:$AE$3005,請求記録!$B$6:$B$3005,$A8,請求記録!$Z$6:$Z$3005,V$5))))</f>
        <v/>
      </c>
      <c r="W8" s="19">
        <f>IF($A8="","",IF(COUNTIFS(請求記録!$B$6:$B$3005,$A8,請求記録!$Z$6:$Z$3005,W$5,請求記録!$AF$6:$AF$3005,"保留中")&gt;0,"保留",IF(COUNTIFS(請求記録!$B$6:$B$3005,$A8,請求記録!$Z$6:$Z$3005,W$5)=0,"",SUMIFS(請求記録!$AE$6:$AE$3005,請求記録!$B$6:$B$3005,$A8,請求記録!$Z$6:$Z$3005,W$5))))</f>
        <v/>
      </c>
      <c r="X8" s="19">
        <f>IF($A8="","",IF(COUNTIFS(請求記録!$B$6:$B$3005,$A8,請求記録!$Z$6:$Z$3005,X$5,請求記録!$AF$6:$AF$3005,"保留中")&gt;0,"保留",IF(COUNTIFS(請求記録!$B$6:$B$3005,$A8,請求記録!$Z$6:$Z$3005,X$5)=0,"",SUMIFS(請求記録!$AE$6:$AE$3005,請求記録!$B$6:$B$3005,$A8,請求記録!$Z$6:$Z$3005,X$5))))</f>
        <v/>
      </c>
      <c r="Y8" s="19">
        <f>IF($A8="","",IF(COUNTIFS(請求記録!$B$6:$B$3005,$A8,請求記録!$Z$6:$Z$3005,Y$5,請求記録!$AF$6:$AF$3005,"保留中")&gt;0,"保留",IF(COUNTIFS(請求記録!$B$6:$B$3005,$A8,請求記録!$Z$6:$Z$3005,Y$5)=0,"",SUMIFS(請求記録!$AE$6:$AE$3005,請求記録!$B$6:$B$3005,$A8,請求記録!$Z$6:$Z$3005,Y$5))))</f>
        <v/>
      </c>
      <c r="Z8" s="19">
        <f>IF($A8="","",IF(COUNTIFS(請求記録!$B$6:$B$3005,$A8,請求記録!$Z$6:$Z$3005,Z$5,請求記録!$AF$6:$AF$3005,"保留中")&gt;0,"保留",IF(COUNTIFS(請求記録!$B$6:$B$3005,$A8,請求記録!$Z$6:$Z$3005,Z$5)=0,"",SUMIFS(請求記録!$AE$6:$AE$3005,請求記録!$B$6:$B$3005,$A8,請求記録!$Z$6:$Z$3005,Z$5))))</f>
        <v/>
      </c>
      <c r="AA8" s="19">
        <f>IF($A8="","",IF(COUNTIFS(請求記録!$B$6:$B$3005,$A8,請求記録!$Z$6:$Z$3005,AA$5,請求記録!$AF$6:$AF$3005,"保留中")&gt;0,"保留",IF(COUNTIFS(請求記録!$B$6:$B$3005,$A8,請求記録!$Z$6:$Z$3005,AA$5)=0,"",SUMIFS(請求記録!$AE$6:$AE$3005,請求記録!$B$6:$B$3005,$A8,請求記録!$Z$6:$Z$3005,AA$5))))</f>
        <v/>
      </c>
      <c r="AB8">
        <f>IF(職員マスタ!P8="保留中",職員マスタ!M8,"")</f>
        <v/>
      </c>
    </row>
    <row r="9">
      <c r="A9">
        <f>IF(職員マスタ!A9="","",職員マスタ!A9)</f>
        <v/>
      </c>
      <c r="B9">
        <f>IF($A9="","",職員マスタ!B9)</f>
        <v/>
      </c>
      <c r="C9">
        <f>IF($A9="","",職員マスタ!C9)</f>
        <v/>
      </c>
      <c r="D9" s="19">
        <f>IF($A9="","",IF(COUNTIFS(請求記録!$B$6:$B$3005,$A9,請求記録!$Z$6:$Z$3005,D$5,請求記録!$AF$6:$AF$3005,"保留中")&gt;0,"保留",IF(COUNTIFS(請求記録!$B$6:$B$3005,$A9,請求記録!$Z$6:$Z$3005,D$5)=0,"",SUMIFS(請求記録!$AE$6:$AE$3005,請求記録!$B$6:$B$3005,$A9,請求記録!$Z$6:$Z$3005,D$5))))</f>
        <v/>
      </c>
      <c r="E9" s="19">
        <f>IF($A9="","",IF(COUNTIFS(請求記録!$B$6:$B$3005,$A9,請求記録!$Z$6:$Z$3005,E$5,請求記録!$AF$6:$AF$3005,"保留中")&gt;0,"保留",IF(COUNTIFS(請求記録!$B$6:$B$3005,$A9,請求記録!$Z$6:$Z$3005,E$5)=0,"",SUMIFS(請求記録!$AE$6:$AE$3005,請求記録!$B$6:$B$3005,$A9,請求記録!$Z$6:$Z$3005,E$5))))</f>
        <v/>
      </c>
      <c r="F9" s="19">
        <f>IF($A9="","",IF(COUNTIFS(請求記録!$B$6:$B$3005,$A9,請求記録!$Z$6:$Z$3005,F$5,請求記録!$AF$6:$AF$3005,"保留中")&gt;0,"保留",IF(COUNTIFS(請求記録!$B$6:$B$3005,$A9,請求記録!$Z$6:$Z$3005,F$5)=0,"",SUMIFS(請求記録!$AE$6:$AE$3005,請求記録!$B$6:$B$3005,$A9,請求記録!$Z$6:$Z$3005,F$5))))</f>
        <v/>
      </c>
      <c r="G9" s="19">
        <f>IF($A9="","",IF(COUNTIFS(請求記録!$B$6:$B$3005,$A9,請求記録!$Z$6:$Z$3005,G$5,請求記録!$AF$6:$AF$3005,"保留中")&gt;0,"保留",IF(COUNTIFS(請求記録!$B$6:$B$3005,$A9,請求記録!$Z$6:$Z$3005,G$5)=0,"",SUMIFS(請求記録!$AE$6:$AE$3005,請求記録!$B$6:$B$3005,$A9,請求記録!$Z$6:$Z$3005,G$5))))</f>
        <v/>
      </c>
      <c r="H9" s="19">
        <f>IF($A9="","",IF(COUNTIFS(請求記録!$B$6:$B$3005,$A9,請求記録!$Z$6:$Z$3005,H$5,請求記録!$AF$6:$AF$3005,"保留中")&gt;0,"保留",IF(COUNTIFS(請求記録!$B$6:$B$3005,$A9,請求記録!$Z$6:$Z$3005,H$5)=0,"",SUMIFS(請求記録!$AE$6:$AE$3005,請求記録!$B$6:$B$3005,$A9,請求記録!$Z$6:$Z$3005,H$5))))</f>
        <v/>
      </c>
      <c r="I9" s="19">
        <f>IF($A9="","",IF(COUNTIFS(請求記録!$B$6:$B$3005,$A9,請求記録!$Z$6:$Z$3005,I$5,請求記録!$AF$6:$AF$3005,"保留中")&gt;0,"保留",IF(COUNTIFS(請求記録!$B$6:$B$3005,$A9,請求記録!$Z$6:$Z$3005,I$5)=0,"",SUMIFS(請求記録!$AE$6:$AE$3005,請求記録!$B$6:$B$3005,$A9,請求記録!$Z$6:$Z$3005,I$5))))</f>
        <v/>
      </c>
      <c r="J9" s="19">
        <f>IF($A9="","",IF(COUNTIFS(請求記録!$B$6:$B$3005,$A9,請求記録!$Z$6:$Z$3005,J$5,請求記録!$AF$6:$AF$3005,"保留中")&gt;0,"保留",IF(COUNTIFS(請求記録!$B$6:$B$3005,$A9,請求記録!$Z$6:$Z$3005,J$5)=0,"",SUMIFS(請求記録!$AE$6:$AE$3005,請求記録!$B$6:$B$3005,$A9,請求記録!$Z$6:$Z$3005,J$5))))</f>
        <v/>
      </c>
      <c r="K9" s="19">
        <f>IF($A9="","",IF(COUNTIFS(請求記録!$B$6:$B$3005,$A9,請求記録!$Z$6:$Z$3005,K$5,請求記録!$AF$6:$AF$3005,"保留中")&gt;0,"保留",IF(COUNTIFS(請求記録!$B$6:$B$3005,$A9,請求記録!$Z$6:$Z$3005,K$5)=0,"",SUMIFS(請求記録!$AE$6:$AE$3005,請求記録!$B$6:$B$3005,$A9,請求記録!$Z$6:$Z$3005,K$5))))</f>
        <v/>
      </c>
      <c r="L9" s="19">
        <f>IF($A9="","",IF(COUNTIFS(請求記録!$B$6:$B$3005,$A9,請求記録!$Z$6:$Z$3005,L$5,請求記録!$AF$6:$AF$3005,"保留中")&gt;0,"保留",IF(COUNTIFS(請求記録!$B$6:$B$3005,$A9,請求記録!$Z$6:$Z$3005,L$5)=0,"",SUMIFS(請求記録!$AE$6:$AE$3005,請求記録!$B$6:$B$3005,$A9,請求記録!$Z$6:$Z$3005,L$5))))</f>
        <v/>
      </c>
      <c r="M9" s="19">
        <f>IF($A9="","",IF(COUNTIFS(請求記録!$B$6:$B$3005,$A9,請求記録!$Z$6:$Z$3005,M$5,請求記録!$AF$6:$AF$3005,"保留中")&gt;0,"保留",IF(COUNTIFS(請求記録!$B$6:$B$3005,$A9,請求記録!$Z$6:$Z$3005,M$5)=0,"",SUMIFS(請求記録!$AE$6:$AE$3005,請求記録!$B$6:$B$3005,$A9,請求記録!$Z$6:$Z$3005,M$5))))</f>
        <v/>
      </c>
      <c r="N9" s="19">
        <f>IF($A9="","",IF(COUNTIFS(請求記録!$B$6:$B$3005,$A9,請求記録!$Z$6:$Z$3005,N$5,請求記録!$AF$6:$AF$3005,"保留中")&gt;0,"保留",IF(COUNTIFS(請求記録!$B$6:$B$3005,$A9,請求記録!$Z$6:$Z$3005,N$5)=0,"",SUMIFS(請求記録!$AE$6:$AE$3005,請求記録!$B$6:$B$3005,$A9,請求記録!$Z$6:$Z$3005,N$5))))</f>
        <v/>
      </c>
      <c r="O9" s="19">
        <f>IF($A9="","",IF(COUNTIFS(請求記録!$B$6:$B$3005,$A9,請求記録!$Z$6:$Z$3005,O$5,請求記録!$AF$6:$AF$3005,"保留中")&gt;0,"保留",IF(COUNTIFS(請求記録!$B$6:$B$3005,$A9,請求記録!$Z$6:$Z$3005,O$5)=0,"",SUMIFS(請求記録!$AE$6:$AE$3005,請求記録!$B$6:$B$3005,$A9,請求記録!$Z$6:$Z$3005,O$5))))</f>
        <v/>
      </c>
      <c r="P9" s="19">
        <f>IF($A9="","",IF(COUNTIFS(請求記録!$B$6:$B$3005,$A9,請求記録!$Z$6:$Z$3005,P$5,請求記録!$AF$6:$AF$3005,"保留中")&gt;0,"保留",IF(COUNTIFS(請求記録!$B$6:$B$3005,$A9,請求記録!$Z$6:$Z$3005,P$5)=0,"",SUMIFS(請求記録!$AE$6:$AE$3005,請求記録!$B$6:$B$3005,$A9,請求記録!$Z$6:$Z$3005,P$5))))</f>
        <v/>
      </c>
      <c r="Q9" s="19">
        <f>IF($A9="","",IF(COUNTIFS(請求記録!$B$6:$B$3005,$A9,請求記録!$Z$6:$Z$3005,Q$5,請求記録!$AF$6:$AF$3005,"保留中")&gt;0,"保留",IF(COUNTIFS(請求記録!$B$6:$B$3005,$A9,請求記録!$Z$6:$Z$3005,Q$5)=0,"",SUMIFS(請求記録!$AE$6:$AE$3005,請求記録!$B$6:$B$3005,$A9,請求記録!$Z$6:$Z$3005,Q$5))))</f>
        <v/>
      </c>
      <c r="R9" s="19">
        <f>IF($A9="","",IF(COUNTIFS(請求記録!$B$6:$B$3005,$A9,請求記録!$Z$6:$Z$3005,R$5,請求記録!$AF$6:$AF$3005,"保留中")&gt;0,"保留",IF(COUNTIFS(請求記録!$B$6:$B$3005,$A9,請求記録!$Z$6:$Z$3005,R$5)=0,"",SUMIFS(請求記録!$AE$6:$AE$3005,請求記録!$B$6:$B$3005,$A9,請求記録!$Z$6:$Z$3005,R$5))))</f>
        <v/>
      </c>
      <c r="S9" s="19">
        <f>IF($A9="","",IF(COUNTIFS(請求記録!$B$6:$B$3005,$A9,請求記録!$Z$6:$Z$3005,S$5,請求記録!$AF$6:$AF$3005,"保留中")&gt;0,"保留",IF(COUNTIFS(請求記録!$B$6:$B$3005,$A9,請求記録!$Z$6:$Z$3005,S$5)=0,"",SUMIFS(請求記録!$AE$6:$AE$3005,請求記録!$B$6:$B$3005,$A9,請求記録!$Z$6:$Z$3005,S$5))))</f>
        <v/>
      </c>
      <c r="T9" s="19">
        <f>IF($A9="","",IF(COUNTIFS(請求記録!$B$6:$B$3005,$A9,請求記録!$Z$6:$Z$3005,T$5,請求記録!$AF$6:$AF$3005,"保留中")&gt;0,"保留",IF(COUNTIFS(請求記録!$B$6:$B$3005,$A9,請求記録!$Z$6:$Z$3005,T$5)=0,"",SUMIFS(請求記録!$AE$6:$AE$3005,請求記録!$B$6:$B$3005,$A9,請求記録!$Z$6:$Z$3005,T$5))))</f>
        <v/>
      </c>
      <c r="U9" s="19">
        <f>IF($A9="","",IF(COUNTIFS(請求記録!$B$6:$B$3005,$A9,請求記録!$Z$6:$Z$3005,U$5,請求記録!$AF$6:$AF$3005,"保留中")&gt;0,"保留",IF(COUNTIFS(請求記録!$B$6:$B$3005,$A9,請求記録!$Z$6:$Z$3005,U$5)=0,"",SUMIFS(請求記録!$AE$6:$AE$3005,請求記録!$B$6:$B$3005,$A9,請求記録!$Z$6:$Z$3005,U$5))))</f>
        <v/>
      </c>
      <c r="V9" s="19">
        <f>IF($A9="","",IF(COUNTIFS(請求記録!$B$6:$B$3005,$A9,請求記録!$Z$6:$Z$3005,V$5,請求記録!$AF$6:$AF$3005,"保留中")&gt;0,"保留",IF(COUNTIFS(請求記録!$B$6:$B$3005,$A9,請求記録!$Z$6:$Z$3005,V$5)=0,"",SUMIFS(請求記録!$AE$6:$AE$3005,請求記録!$B$6:$B$3005,$A9,請求記録!$Z$6:$Z$3005,V$5))))</f>
        <v/>
      </c>
      <c r="W9" s="19">
        <f>IF($A9="","",IF(COUNTIFS(請求記録!$B$6:$B$3005,$A9,請求記録!$Z$6:$Z$3005,W$5,請求記録!$AF$6:$AF$3005,"保留中")&gt;0,"保留",IF(COUNTIFS(請求記録!$B$6:$B$3005,$A9,請求記録!$Z$6:$Z$3005,W$5)=0,"",SUMIFS(請求記録!$AE$6:$AE$3005,請求記録!$B$6:$B$3005,$A9,請求記録!$Z$6:$Z$3005,W$5))))</f>
        <v/>
      </c>
      <c r="X9" s="19">
        <f>IF($A9="","",IF(COUNTIFS(請求記録!$B$6:$B$3005,$A9,請求記録!$Z$6:$Z$3005,X$5,請求記録!$AF$6:$AF$3005,"保留中")&gt;0,"保留",IF(COUNTIFS(請求記録!$B$6:$B$3005,$A9,請求記録!$Z$6:$Z$3005,X$5)=0,"",SUMIFS(請求記録!$AE$6:$AE$3005,請求記録!$B$6:$B$3005,$A9,請求記録!$Z$6:$Z$3005,X$5))))</f>
        <v/>
      </c>
      <c r="Y9" s="19">
        <f>IF($A9="","",IF(COUNTIFS(請求記録!$B$6:$B$3005,$A9,請求記録!$Z$6:$Z$3005,Y$5,請求記録!$AF$6:$AF$3005,"保留中")&gt;0,"保留",IF(COUNTIFS(請求記録!$B$6:$B$3005,$A9,請求記録!$Z$6:$Z$3005,Y$5)=0,"",SUMIFS(請求記録!$AE$6:$AE$3005,請求記録!$B$6:$B$3005,$A9,請求記録!$Z$6:$Z$3005,Y$5))))</f>
        <v/>
      </c>
      <c r="Z9" s="19">
        <f>IF($A9="","",IF(COUNTIFS(請求記録!$B$6:$B$3005,$A9,請求記録!$Z$6:$Z$3005,Z$5,請求記録!$AF$6:$AF$3005,"保留中")&gt;0,"保留",IF(COUNTIFS(請求記録!$B$6:$B$3005,$A9,請求記録!$Z$6:$Z$3005,Z$5)=0,"",SUMIFS(請求記録!$AE$6:$AE$3005,請求記録!$B$6:$B$3005,$A9,請求記録!$Z$6:$Z$3005,Z$5))))</f>
        <v/>
      </c>
      <c r="AA9" s="19">
        <f>IF($A9="","",IF(COUNTIFS(請求記録!$B$6:$B$3005,$A9,請求記録!$Z$6:$Z$3005,AA$5,請求記録!$AF$6:$AF$3005,"保留中")&gt;0,"保留",IF(COUNTIFS(請求記録!$B$6:$B$3005,$A9,請求記録!$Z$6:$Z$3005,AA$5)=0,"",SUMIFS(請求記録!$AE$6:$AE$3005,請求記録!$B$6:$B$3005,$A9,請求記録!$Z$6:$Z$3005,AA$5))))</f>
        <v/>
      </c>
      <c r="AB9">
        <f>IF(職員マスタ!P9="保留中",職員マスタ!M9,"")</f>
        <v/>
      </c>
    </row>
    <row r="10">
      <c r="A10">
        <f>IF(職員マスタ!A10="","",職員マスタ!A10)</f>
        <v/>
      </c>
      <c r="B10">
        <f>IF($A10="","",職員マスタ!B10)</f>
        <v/>
      </c>
      <c r="C10">
        <f>IF($A10="","",職員マスタ!C10)</f>
        <v/>
      </c>
      <c r="D10" s="19">
        <f>IF($A10="","",IF(COUNTIFS(請求記録!$B$6:$B$3005,$A10,請求記録!$Z$6:$Z$3005,D$5,請求記録!$AF$6:$AF$3005,"保留中")&gt;0,"保留",IF(COUNTIFS(請求記録!$B$6:$B$3005,$A10,請求記録!$Z$6:$Z$3005,D$5)=0,"",SUMIFS(請求記録!$AE$6:$AE$3005,請求記録!$B$6:$B$3005,$A10,請求記録!$Z$6:$Z$3005,D$5))))</f>
        <v/>
      </c>
      <c r="E10" s="19">
        <f>IF($A10="","",IF(COUNTIFS(請求記録!$B$6:$B$3005,$A10,請求記録!$Z$6:$Z$3005,E$5,請求記録!$AF$6:$AF$3005,"保留中")&gt;0,"保留",IF(COUNTIFS(請求記録!$B$6:$B$3005,$A10,請求記録!$Z$6:$Z$3005,E$5)=0,"",SUMIFS(請求記録!$AE$6:$AE$3005,請求記録!$B$6:$B$3005,$A10,請求記録!$Z$6:$Z$3005,E$5))))</f>
        <v/>
      </c>
      <c r="F10" s="19">
        <f>IF($A10="","",IF(COUNTIFS(請求記録!$B$6:$B$3005,$A10,請求記録!$Z$6:$Z$3005,F$5,請求記録!$AF$6:$AF$3005,"保留中")&gt;0,"保留",IF(COUNTIFS(請求記録!$B$6:$B$3005,$A10,請求記録!$Z$6:$Z$3005,F$5)=0,"",SUMIFS(請求記録!$AE$6:$AE$3005,請求記録!$B$6:$B$3005,$A10,請求記録!$Z$6:$Z$3005,F$5))))</f>
        <v/>
      </c>
      <c r="G10" s="19">
        <f>IF($A10="","",IF(COUNTIFS(請求記録!$B$6:$B$3005,$A10,請求記録!$Z$6:$Z$3005,G$5,請求記録!$AF$6:$AF$3005,"保留中")&gt;0,"保留",IF(COUNTIFS(請求記録!$B$6:$B$3005,$A10,請求記録!$Z$6:$Z$3005,G$5)=0,"",SUMIFS(請求記録!$AE$6:$AE$3005,請求記録!$B$6:$B$3005,$A10,請求記録!$Z$6:$Z$3005,G$5))))</f>
        <v/>
      </c>
      <c r="H10" s="19">
        <f>IF($A10="","",IF(COUNTIFS(請求記録!$B$6:$B$3005,$A10,請求記録!$Z$6:$Z$3005,H$5,請求記録!$AF$6:$AF$3005,"保留中")&gt;0,"保留",IF(COUNTIFS(請求記録!$B$6:$B$3005,$A10,請求記録!$Z$6:$Z$3005,H$5)=0,"",SUMIFS(請求記録!$AE$6:$AE$3005,請求記録!$B$6:$B$3005,$A10,請求記録!$Z$6:$Z$3005,H$5))))</f>
        <v/>
      </c>
      <c r="I10" s="19">
        <f>IF($A10="","",IF(COUNTIFS(請求記録!$B$6:$B$3005,$A10,請求記録!$Z$6:$Z$3005,I$5,請求記録!$AF$6:$AF$3005,"保留中")&gt;0,"保留",IF(COUNTIFS(請求記録!$B$6:$B$3005,$A10,請求記録!$Z$6:$Z$3005,I$5)=0,"",SUMIFS(請求記録!$AE$6:$AE$3005,請求記録!$B$6:$B$3005,$A10,請求記録!$Z$6:$Z$3005,I$5))))</f>
        <v/>
      </c>
      <c r="J10" s="19">
        <f>IF($A10="","",IF(COUNTIFS(請求記録!$B$6:$B$3005,$A10,請求記録!$Z$6:$Z$3005,J$5,請求記録!$AF$6:$AF$3005,"保留中")&gt;0,"保留",IF(COUNTIFS(請求記録!$B$6:$B$3005,$A10,請求記録!$Z$6:$Z$3005,J$5)=0,"",SUMIFS(請求記録!$AE$6:$AE$3005,請求記録!$B$6:$B$3005,$A10,請求記録!$Z$6:$Z$3005,J$5))))</f>
        <v/>
      </c>
      <c r="K10" s="19">
        <f>IF($A10="","",IF(COUNTIFS(請求記録!$B$6:$B$3005,$A10,請求記録!$Z$6:$Z$3005,K$5,請求記録!$AF$6:$AF$3005,"保留中")&gt;0,"保留",IF(COUNTIFS(請求記録!$B$6:$B$3005,$A10,請求記録!$Z$6:$Z$3005,K$5)=0,"",SUMIFS(請求記録!$AE$6:$AE$3005,請求記録!$B$6:$B$3005,$A10,請求記録!$Z$6:$Z$3005,K$5))))</f>
        <v/>
      </c>
      <c r="L10" s="19">
        <f>IF($A10="","",IF(COUNTIFS(請求記録!$B$6:$B$3005,$A10,請求記録!$Z$6:$Z$3005,L$5,請求記録!$AF$6:$AF$3005,"保留中")&gt;0,"保留",IF(COUNTIFS(請求記録!$B$6:$B$3005,$A10,請求記録!$Z$6:$Z$3005,L$5)=0,"",SUMIFS(請求記録!$AE$6:$AE$3005,請求記録!$B$6:$B$3005,$A10,請求記録!$Z$6:$Z$3005,L$5))))</f>
        <v/>
      </c>
      <c r="M10" s="19">
        <f>IF($A10="","",IF(COUNTIFS(請求記録!$B$6:$B$3005,$A10,請求記録!$Z$6:$Z$3005,M$5,請求記録!$AF$6:$AF$3005,"保留中")&gt;0,"保留",IF(COUNTIFS(請求記録!$B$6:$B$3005,$A10,請求記録!$Z$6:$Z$3005,M$5)=0,"",SUMIFS(請求記録!$AE$6:$AE$3005,請求記録!$B$6:$B$3005,$A10,請求記録!$Z$6:$Z$3005,M$5))))</f>
        <v/>
      </c>
      <c r="N10" s="19">
        <f>IF($A10="","",IF(COUNTIFS(請求記録!$B$6:$B$3005,$A10,請求記録!$Z$6:$Z$3005,N$5,請求記録!$AF$6:$AF$3005,"保留中")&gt;0,"保留",IF(COUNTIFS(請求記録!$B$6:$B$3005,$A10,請求記録!$Z$6:$Z$3005,N$5)=0,"",SUMIFS(請求記録!$AE$6:$AE$3005,請求記録!$B$6:$B$3005,$A10,請求記録!$Z$6:$Z$3005,N$5))))</f>
        <v/>
      </c>
      <c r="O10" s="19">
        <f>IF($A10="","",IF(COUNTIFS(請求記録!$B$6:$B$3005,$A10,請求記録!$Z$6:$Z$3005,O$5,請求記録!$AF$6:$AF$3005,"保留中")&gt;0,"保留",IF(COUNTIFS(請求記録!$B$6:$B$3005,$A10,請求記録!$Z$6:$Z$3005,O$5)=0,"",SUMIFS(請求記録!$AE$6:$AE$3005,請求記録!$B$6:$B$3005,$A10,請求記録!$Z$6:$Z$3005,O$5))))</f>
        <v/>
      </c>
      <c r="P10" s="19">
        <f>IF($A10="","",IF(COUNTIFS(請求記録!$B$6:$B$3005,$A10,請求記録!$Z$6:$Z$3005,P$5,請求記録!$AF$6:$AF$3005,"保留中")&gt;0,"保留",IF(COUNTIFS(請求記録!$B$6:$B$3005,$A10,請求記録!$Z$6:$Z$3005,P$5)=0,"",SUMIFS(請求記録!$AE$6:$AE$3005,請求記録!$B$6:$B$3005,$A10,請求記録!$Z$6:$Z$3005,P$5))))</f>
        <v/>
      </c>
      <c r="Q10" s="19">
        <f>IF($A10="","",IF(COUNTIFS(請求記録!$B$6:$B$3005,$A10,請求記録!$Z$6:$Z$3005,Q$5,請求記録!$AF$6:$AF$3005,"保留中")&gt;0,"保留",IF(COUNTIFS(請求記録!$B$6:$B$3005,$A10,請求記録!$Z$6:$Z$3005,Q$5)=0,"",SUMIFS(請求記録!$AE$6:$AE$3005,請求記録!$B$6:$B$3005,$A10,請求記録!$Z$6:$Z$3005,Q$5))))</f>
        <v/>
      </c>
      <c r="R10" s="19">
        <f>IF($A10="","",IF(COUNTIFS(請求記録!$B$6:$B$3005,$A10,請求記録!$Z$6:$Z$3005,R$5,請求記録!$AF$6:$AF$3005,"保留中")&gt;0,"保留",IF(COUNTIFS(請求記録!$B$6:$B$3005,$A10,請求記録!$Z$6:$Z$3005,R$5)=0,"",SUMIFS(請求記録!$AE$6:$AE$3005,請求記録!$B$6:$B$3005,$A10,請求記録!$Z$6:$Z$3005,R$5))))</f>
        <v/>
      </c>
      <c r="S10" s="19">
        <f>IF($A10="","",IF(COUNTIFS(請求記録!$B$6:$B$3005,$A10,請求記録!$Z$6:$Z$3005,S$5,請求記録!$AF$6:$AF$3005,"保留中")&gt;0,"保留",IF(COUNTIFS(請求記録!$B$6:$B$3005,$A10,請求記録!$Z$6:$Z$3005,S$5)=0,"",SUMIFS(請求記録!$AE$6:$AE$3005,請求記録!$B$6:$B$3005,$A10,請求記録!$Z$6:$Z$3005,S$5))))</f>
        <v/>
      </c>
      <c r="T10" s="19">
        <f>IF($A10="","",IF(COUNTIFS(請求記録!$B$6:$B$3005,$A10,請求記録!$Z$6:$Z$3005,T$5,請求記録!$AF$6:$AF$3005,"保留中")&gt;0,"保留",IF(COUNTIFS(請求記録!$B$6:$B$3005,$A10,請求記録!$Z$6:$Z$3005,T$5)=0,"",SUMIFS(請求記録!$AE$6:$AE$3005,請求記録!$B$6:$B$3005,$A10,請求記録!$Z$6:$Z$3005,T$5))))</f>
        <v/>
      </c>
      <c r="U10" s="19">
        <f>IF($A10="","",IF(COUNTIFS(請求記録!$B$6:$B$3005,$A10,請求記録!$Z$6:$Z$3005,U$5,請求記録!$AF$6:$AF$3005,"保留中")&gt;0,"保留",IF(COUNTIFS(請求記録!$B$6:$B$3005,$A10,請求記録!$Z$6:$Z$3005,U$5)=0,"",SUMIFS(請求記録!$AE$6:$AE$3005,請求記録!$B$6:$B$3005,$A10,請求記録!$Z$6:$Z$3005,U$5))))</f>
        <v/>
      </c>
      <c r="V10" s="19">
        <f>IF($A10="","",IF(COUNTIFS(請求記録!$B$6:$B$3005,$A10,請求記録!$Z$6:$Z$3005,V$5,請求記録!$AF$6:$AF$3005,"保留中")&gt;0,"保留",IF(COUNTIFS(請求記録!$B$6:$B$3005,$A10,請求記録!$Z$6:$Z$3005,V$5)=0,"",SUMIFS(請求記録!$AE$6:$AE$3005,請求記録!$B$6:$B$3005,$A10,請求記録!$Z$6:$Z$3005,V$5))))</f>
        <v/>
      </c>
      <c r="W10" s="19">
        <f>IF($A10="","",IF(COUNTIFS(請求記録!$B$6:$B$3005,$A10,請求記録!$Z$6:$Z$3005,W$5,請求記録!$AF$6:$AF$3005,"保留中")&gt;0,"保留",IF(COUNTIFS(請求記録!$B$6:$B$3005,$A10,請求記録!$Z$6:$Z$3005,W$5)=0,"",SUMIFS(請求記録!$AE$6:$AE$3005,請求記録!$B$6:$B$3005,$A10,請求記録!$Z$6:$Z$3005,W$5))))</f>
        <v/>
      </c>
      <c r="X10" s="19">
        <f>IF($A10="","",IF(COUNTIFS(請求記録!$B$6:$B$3005,$A10,請求記録!$Z$6:$Z$3005,X$5,請求記録!$AF$6:$AF$3005,"保留中")&gt;0,"保留",IF(COUNTIFS(請求記録!$B$6:$B$3005,$A10,請求記録!$Z$6:$Z$3005,X$5)=0,"",SUMIFS(請求記録!$AE$6:$AE$3005,請求記録!$B$6:$B$3005,$A10,請求記録!$Z$6:$Z$3005,X$5))))</f>
        <v/>
      </c>
      <c r="Y10" s="19">
        <f>IF($A10="","",IF(COUNTIFS(請求記録!$B$6:$B$3005,$A10,請求記録!$Z$6:$Z$3005,Y$5,請求記録!$AF$6:$AF$3005,"保留中")&gt;0,"保留",IF(COUNTIFS(請求記録!$B$6:$B$3005,$A10,請求記録!$Z$6:$Z$3005,Y$5)=0,"",SUMIFS(請求記録!$AE$6:$AE$3005,請求記録!$B$6:$B$3005,$A10,請求記録!$Z$6:$Z$3005,Y$5))))</f>
        <v/>
      </c>
      <c r="Z10" s="19">
        <f>IF($A10="","",IF(COUNTIFS(請求記録!$B$6:$B$3005,$A10,請求記録!$Z$6:$Z$3005,Z$5,請求記録!$AF$6:$AF$3005,"保留中")&gt;0,"保留",IF(COUNTIFS(請求記録!$B$6:$B$3005,$A10,請求記録!$Z$6:$Z$3005,Z$5)=0,"",SUMIFS(請求記録!$AE$6:$AE$3005,請求記録!$B$6:$B$3005,$A10,請求記録!$Z$6:$Z$3005,Z$5))))</f>
        <v/>
      </c>
      <c r="AA10" s="19">
        <f>IF($A10="","",IF(COUNTIFS(請求記録!$B$6:$B$3005,$A10,請求記録!$Z$6:$Z$3005,AA$5,請求記録!$AF$6:$AF$3005,"保留中")&gt;0,"保留",IF(COUNTIFS(請求記録!$B$6:$B$3005,$A10,請求記録!$Z$6:$Z$3005,AA$5)=0,"",SUMIFS(請求記録!$AE$6:$AE$3005,請求記録!$B$6:$B$3005,$A10,請求記録!$Z$6:$Z$3005,AA$5))))</f>
        <v/>
      </c>
      <c r="AB10">
        <f>IF(職員マスタ!P10="保留中",職員マスタ!M10,"")</f>
        <v/>
      </c>
    </row>
    <row r="11">
      <c r="A11">
        <f>IF(職員マスタ!A11="","",職員マスタ!A11)</f>
        <v/>
      </c>
      <c r="B11">
        <f>IF($A11="","",職員マスタ!B11)</f>
        <v/>
      </c>
      <c r="C11">
        <f>IF($A11="","",職員マスタ!C11)</f>
        <v/>
      </c>
      <c r="D11" s="19">
        <f>IF($A11="","",IF(COUNTIFS(請求記録!$B$6:$B$3005,$A11,請求記録!$Z$6:$Z$3005,D$5,請求記録!$AF$6:$AF$3005,"保留中")&gt;0,"保留",IF(COUNTIFS(請求記録!$B$6:$B$3005,$A11,請求記録!$Z$6:$Z$3005,D$5)=0,"",SUMIFS(請求記録!$AE$6:$AE$3005,請求記録!$B$6:$B$3005,$A11,請求記録!$Z$6:$Z$3005,D$5))))</f>
        <v/>
      </c>
      <c r="E11" s="19">
        <f>IF($A11="","",IF(COUNTIFS(請求記録!$B$6:$B$3005,$A11,請求記録!$Z$6:$Z$3005,E$5,請求記録!$AF$6:$AF$3005,"保留中")&gt;0,"保留",IF(COUNTIFS(請求記録!$B$6:$B$3005,$A11,請求記録!$Z$6:$Z$3005,E$5)=0,"",SUMIFS(請求記録!$AE$6:$AE$3005,請求記録!$B$6:$B$3005,$A11,請求記録!$Z$6:$Z$3005,E$5))))</f>
        <v/>
      </c>
      <c r="F11" s="19">
        <f>IF($A11="","",IF(COUNTIFS(請求記録!$B$6:$B$3005,$A11,請求記録!$Z$6:$Z$3005,F$5,請求記録!$AF$6:$AF$3005,"保留中")&gt;0,"保留",IF(COUNTIFS(請求記録!$B$6:$B$3005,$A11,請求記録!$Z$6:$Z$3005,F$5)=0,"",SUMIFS(請求記録!$AE$6:$AE$3005,請求記録!$B$6:$B$3005,$A11,請求記録!$Z$6:$Z$3005,F$5))))</f>
        <v/>
      </c>
      <c r="G11" s="19">
        <f>IF($A11="","",IF(COUNTIFS(請求記録!$B$6:$B$3005,$A11,請求記録!$Z$6:$Z$3005,G$5,請求記録!$AF$6:$AF$3005,"保留中")&gt;0,"保留",IF(COUNTIFS(請求記録!$B$6:$B$3005,$A11,請求記録!$Z$6:$Z$3005,G$5)=0,"",SUMIFS(請求記録!$AE$6:$AE$3005,請求記録!$B$6:$B$3005,$A11,請求記録!$Z$6:$Z$3005,G$5))))</f>
        <v/>
      </c>
      <c r="H11" s="19">
        <f>IF($A11="","",IF(COUNTIFS(請求記録!$B$6:$B$3005,$A11,請求記録!$Z$6:$Z$3005,H$5,請求記録!$AF$6:$AF$3005,"保留中")&gt;0,"保留",IF(COUNTIFS(請求記録!$B$6:$B$3005,$A11,請求記録!$Z$6:$Z$3005,H$5)=0,"",SUMIFS(請求記録!$AE$6:$AE$3005,請求記録!$B$6:$B$3005,$A11,請求記録!$Z$6:$Z$3005,H$5))))</f>
        <v/>
      </c>
      <c r="I11" s="19">
        <f>IF($A11="","",IF(COUNTIFS(請求記録!$B$6:$B$3005,$A11,請求記録!$Z$6:$Z$3005,I$5,請求記録!$AF$6:$AF$3005,"保留中")&gt;0,"保留",IF(COUNTIFS(請求記録!$B$6:$B$3005,$A11,請求記録!$Z$6:$Z$3005,I$5)=0,"",SUMIFS(請求記録!$AE$6:$AE$3005,請求記録!$B$6:$B$3005,$A11,請求記録!$Z$6:$Z$3005,I$5))))</f>
        <v/>
      </c>
      <c r="J11" s="19">
        <f>IF($A11="","",IF(COUNTIFS(請求記録!$B$6:$B$3005,$A11,請求記録!$Z$6:$Z$3005,J$5,請求記録!$AF$6:$AF$3005,"保留中")&gt;0,"保留",IF(COUNTIFS(請求記録!$B$6:$B$3005,$A11,請求記録!$Z$6:$Z$3005,J$5)=0,"",SUMIFS(請求記録!$AE$6:$AE$3005,請求記録!$B$6:$B$3005,$A11,請求記録!$Z$6:$Z$3005,J$5))))</f>
        <v/>
      </c>
      <c r="K11" s="19">
        <f>IF($A11="","",IF(COUNTIFS(請求記録!$B$6:$B$3005,$A11,請求記録!$Z$6:$Z$3005,K$5,請求記録!$AF$6:$AF$3005,"保留中")&gt;0,"保留",IF(COUNTIFS(請求記録!$B$6:$B$3005,$A11,請求記録!$Z$6:$Z$3005,K$5)=0,"",SUMIFS(請求記録!$AE$6:$AE$3005,請求記録!$B$6:$B$3005,$A11,請求記録!$Z$6:$Z$3005,K$5))))</f>
        <v/>
      </c>
      <c r="L11" s="19">
        <f>IF($A11="","",IF(COUNTIFS(請求記録!$B$6:$B$3005,$A11,請求記録!$Z$6:$Z$3005,L$5,請求記録!$AF$6:$AF$3005,"保留中")&gt;0,"保留",IF(COUNTIFS(請求記録!$B$6:$B$3005,$A11,請求記録!$Z$6:$Z$3005,L$5)=0,"",SUMIFS(請求記録!$AE$6:$AE$3005,請求記録!$B$6:$B$3005,$A11,請求記録!$Z$6:$Z$3005,L$5))))</f>
        <v/>
      </c>
      <c r="M11" s="19">
        <f>IF($A11="","",IF(COUNTIFS(請求記録!$B$6:$B$3005,$A11,請求記録!$Z$6:$Z$3005,M$5,請求記録!$AF$6:$AF$3005,"保留中")&gt;0,"保留",IF(COUNTIFS(請求記録!$B$6:$B$3005,$A11,請求記録!$Z$6:$Z$3005,M$5)=0,"",SUMIFS(請求記録!$AE$6:$AE$3005,請求記録!$B$6:$B$3005,$A11,請求記録!$Z$6:$Z$3005,M$5))))</f>
        <v/>
      </c>
      <c r="N11" s="19">
        <f>IF($A11="","",IF(COUNTIFS(請求記録!$B$6:$B$3005,$A11,請求記録!$Z$6:$Z$3005,N$5,請求記録!$AF$6:$AF$3005,"保留中")&gt;0,"保留",IF(COUNTIFS(請求記録!$B$6:$B$3005,$A11,請求記録!$Z$6:$Z$3005,N$5)=0,"",SUMIFS(請求記録!$AE$6:$AE$3005,請求記録!$B$6:$B$3005,$A11,請求記録!$Z$6:$Z$3005,N$5))))</f>
        <v/>
      </c>
      <c r="O11" s="19">
        <f>IF($A11="","",IF(COUNTIFS(請求記録!$B$6:$B$3005,$A11,請求記録!$Z$6:$Z$3005,O$5,請求記録!$AF$6:$AF$3005,"保留中")&gt;0,"保留",IF(COUNTIFS(請求記録!$B$6:$B$3005,$A11,請求記録!$Z$6:$Z$3005,O$5)=0,"",SUMIFS(請求記録!$AE$6:$AE$3005,請求記録!$B$6:$B$3005,$A11,請求記録!$Z$6:$Z$3005,O$5))))</f>
        <v/>
      </c>
      <c r="P11" s="19">
        <f>IF($A11="","",IF(COUNTIFS(請求記録!$B$6:$B$3005,$A11,請求記録!$Z$6:$Z$3005,P$5,請求記録!$AF$6:$AF$3005,"保留中")&gt;0,"保留",IF(COUNTIFS(請求記録!$B$6:$B$3005,$A11,請求記録!$Z$6:$Z$3005,P$5)=0,"",SUMIFS(請求記録!$AE$6:$AE$3005,請求記録!$B$6:$B$3005,$A11,請求記録!$Z$6:$Z$3005,P$5))))</f>
        <v/>
      </c>
      <c r="Q11" s="19">
        <f>IF($A11="","",IF(COUNTIFS(請求記録!$B$6:$B$3005,$A11,請求記録!$Z$6:$Z$3005,Q$5,請求記録!$AF$6:$AF$3005,"保留中")&gt;0,"保留",IF(COUNTIFS(請求記録!$B$6:$B$3005,$A11,請求記録!$Z$6:$Z$3005,Q$5)=0,"",SUMIFS(請求記録!$AE$6:$AE$3005,請求記録!$B$6:$B$3005,$A11,請求記録!$Z$6:$Z$3005,Q$5))))</f>
        <v/>
      </c>
      <c r="R11" s="19">
        <f>IF($A11="","",IF(COUNTIFS(請求記録!$B$6:$B$3005,$A11,請求記録!$Z$6:$Z$3005,R$5,請求記録!$AF$6:$AF$3005,"保留中")&gt;0,"保留",IF(COUNTIFS(請求記録!$B$6:$B$3005,$A11,請求記録!$Z$6:$Z$3005,R$5)=0,"",SUMIFS(請求記録!$AE$6:$AE$3005,請求記録!$B$6:$B$3005,$A11,請求記録!$Z$6:$Z$3005,R$5))))</f>
        <v/>
      </c>
      <c r="S11" s="19">
        <f>IF($A11="","",IF(COUNTIFS(請求記録!$B$6:$B$3005,$A11,請求記録!$Z$6:$Z$3005,S$5,請求記録!$AF$6:$AF$3005,"保留中")&gt;0,"保留",IF(COUNTIFS(請求記録!$B$6:$B$3005,$A11,請求記録!$Z$6:$Z$3005,S$5)=0,"",SUMIFS(請求記録!$AE$6:$AE$3005,請求記録!$B$6:$B$3005,$A11,請求記録!$Z$6:$Z$3005,S$5))))</f>
        <v/>
      </c>
      <c r="T11" s="19">
        <f>IF($A11="","",IF(COUNTIFS(請求記録!$B$6:$B$3005,$A11,請求記録!$Z$6:$Z$3005,T$5,請求記録!$AF$6:$AF$3005,"保留中")&gt;0,"保留",IF(COUNTIFS(請求記録!$B$6:$B$3005,$A11,請求記録!$Z$6:$Z$3005,T$5)=0,"",SUMIFS(請求記録!$AE$6:$AE$3005,請求記録!$B$6:$B$3005,$A11,請求記録!$Z$6:$Z$3005,T$5))))</f>
        <v/>
      </c>
      <c r="U11" s="19">
        <f>IF($A11="","",IF(COUNTIFS(請求記録!$B$6:$B$3005,$A11,請求記録!$Z$6:$Z$3005,U$5,請求記録!$AF$6:$AF$3005,"保留中")&gt;0,"保留",IF(COUNTIFS(請求記録!$B$6:$B$3005,$A11,請求記録!$Z$6:$Z$3005,U$5)=0,"",SUMIFS(請求記録!$AE$6:$AE$3005,請求記録!$B$6:$B$3005,$A11,請求記録!$Z$6:$Z$3005,U$5))))</f>
        <v/>
      </c>
      <c r="V11" s="19">
        <f>IF($A11="","",IF(COUNTIFS(請求記録!$B$6:$B$3005,$A11,請求記録!$Z$6:$Z$3005,V$5,請求記録!$AF$6:$AF$3005,"保留中")&gt;0,"保留",IF(COUNTIFS(請求記録!$B$6:$B$3005,$A11,請求記録!$Z$6:$Z$3005,V$5)=0,"",SUMIFS(請求記録!$AE$6:$AE$3005,請求記録!$B$6:$B$3005,$A11,請求記録!$Z$6:$Z$3005,V$5))))</f>
        <v/>
      </c>
      <c r="W11" s="19">
        <f>IF($A11="","",IF(COUNTIFS(請求記録!$B$6:$B$3005,$A11,請求記録!$Z$6:$Z$3005,W$5,請求記録!$AF$6:$AF$3005,"保留中")&gt;0,"保留",IF(COUNTIFS(請求記録!$B$6:$B$3005,$A11,請求記録!$Z$6:$Z$3005,W$5)=0,"",SUMIFS(請求記録!$AE$6:$AE$3005,請求記録!$B$6:$B$3005,$A11,請求記録!$Z$6:$Z$3005,W$5))))</f>
        <v/>
      </c>
      <c r="X11" s="19">
        <f>IF($A11="","",IF(COUNTIFS(請求記録!$B$6:$B$3005,$A11,請求記録!$Z$6:$Z$3005,X$5,請求記録!$AF$6:$AF$3005,"保留中")&gt;0,"保留",IF(COUNTIFS(請求記録!$B$6:$B$3005,$A11,請求記録!$Z$6:$Z$3005,X$5)=0,"",SUMIFS(請求記録!$AE$6:$AE$3005,請求記録!$B$6:$B$3005,$A11,請求記録!$Z$6:$Z$3005,X$5))))</f>
        <v/>
      </c>
      <c r="Y11" s="19">
        <f>IF($A11="","",IF(COUNTIFS(請求記録!$B$6:$B$3005,$A11,請求記録!$Z$6:$Z$3005,Y$5,請求記録!$AF$6:$AF$3005,"保留中")&gt;0,"保留",IF(COUNTIFS(請求記録!$B$6:$B$3005,$A11,請求記録!$Z$6:$Z$3005,Y$5)=0,"",SUMIFS(請求記録!$AE$6:$AE$3005,請求記録!$B$6:$B$3005,$A11,請求記録!$Z$6:$Z$3005,Y$5))))</f>
        <v/>
      </c>
      <c r="Z11" s="19">
        <f>IF($A11="","",IF(COUNTIFS(請求記録!$B$6:$B$3005,$A11,請求記録!$Z$6:$Z$3005,Z$5,請求記録!$AF$6:$AF$3005,"保留中")&gt;0,"保留",IF(COUNTIFS(請求記録!$B$6:$B$3005,$A11,請求記録!$Z$6:$Z$3005,Z$5)=0,"",SUMIFS(請求記録!$AE$6:$AE$3005,請求記録!$B$6:$B$3005,$A11,請求記録!$Z$6:$Z$3005,Z$5))))</f>
        <v/>
      </c>
      <c r="AA11" s="19">
        <f>IF($A11="","",IF(COUNTIFS(請求記録!$B$6:$B$3005,$A11,請求記録!$Z$6:$Z$3005,AA$5,請求記録!$AF$6:$AF$3005,"保留中")&gt;0,"保留",IF(COUNTIFS(請求記録!$B$6:$B$3005,$A11,請求記録!$Z$6:$Z$3005,AA$5)=0,"",SUMIFS(請求記録!$AE$6:$AE$3005,請求記録!$B$6:$B$3005,$A11,請求記録!$Z$6:$Z$3005,AA$5))))</f>
        <v/>
      </c>
      <c r="AB11">
        <f>IF(職員マスタ!P11="保留中",職員マスタ!M11,"")</f>
        <v/>
      </c>
    </row>
    <row r="12">
      <c r="A12">
        <f>IF(職員マスタ!A12="","",職員マスタ!A12)</f>
        <v/>
      </c>
      <c r="B12">
        <f>IF($A12="","",職員マスタ!B12)</f>
        <v/>
      </c>
      <c r="C12">
        <f>IF($A12="","",職員マスタ!C12)</f>
        <v/>
      </c>
      <c r="D12" s="19">
        <f>IF($A12="","",IF(COUNTIFS(請求記録!$B$6:$B$3005,$A12,請求記録!$Z$6:$Z$3005,D$5,請求記録!$AF$6:$AF$3005,"保留中")&gt;0,"保留",IF(COUNTIFS(請求記録!$B$6:$B$3005,$A12,請求記録!$Z$6:$Z$3005,D$5)=0,"",SUMIFS(請求記録!$AE$6:$AE$3005,請求記録!$B$6:$B$3005,$A12,請求記録!$Z$6:$Z$3005,D$5))))</f>
        <v/>
      </c>
      <c r="E12" s="19">
        <f>IF($A12="","",IF(COUNTIFS(請求記録!$B$6:$B$3005,$A12,請求記録!$Z$6:$Z$3005,E$5,請求記録!$AF$6:$AF$3005,"保留中")&gt;0,"保留",IF(COUNTIFS(請求記録!$B$6:$B$3005,$A12,請求記録!$Z$6:$Z$3005,E$5)=0,"",SUMIFS(請求記録!$AE$6:$AE$3005,請求記録!$B$6:$B$3005,$A12,請求記録!$Z$6:$Z$3005,E$5))))</f>
        <v/>
      </c>
      <c r="F12" s="19">
        <f>IF($A12="","",IF(COUNTIFS(請求記録!$B$6:$B$3005,$A12,請求記録!$Z$6:$Z$3005,F$5,請求記録!$AF$6:$AF$3005,"保留中")&gt;0,"保留",IF(COUNTIFS(請求記録!$B$6:$B$3005,$A12,請求記録!$Z$6:$Z$3005,F$5)=0,"",SUMIFS(請求記録!$AE$6:$AE$3005,請求記録!$B$6:$B$3005,$A12,請求記録!$Z$6:$Z$3005,F$5))))</f>
        <v/>
      </c>
      <c r="G12" s="19">
        <f>IF($A12="","",IF(COUNTIFS(請求記録!$B$6:$B$3005,$A12,請求記録!$Z$6:$Z$3005,G$5,請求記録!$AF$6:$AF$3005,"保留中")&gt;0,"保留",IF(COUNTIFS(請求記録!$B$6:$B$3005,$A12,請求記録!$Z$6:$Z$3005,G$5)=0,"",SUMIFS(請求記録!$AE$6:$AE$3005,請求記録!$B$6:$B$3005,$A12,請求記録!$Z$6:$Z$3005,G$5))))</f>
        <v/>
      </c>
      <c r="H12" s="19">
        <f>IF($A12="","",IF(COUNTIFS(請求記録!$B$6:$B$3005,$A12,請求記録!$Z$6:$Z$3005,H$5,請求記録!$AF$6:$AF$3005,"保留中")&gt;0,"保留",IF(COUNTIFS(請求記録!$B$6:$B$3005,$A12,請求記録!$Z$6:$Z$3005,H$5)=0,"",SUMIFS(請求記録!$AE$6:$AE$3005,請求記録!$B$6:$B$3005,$A12,請求記録!$Z$6:$Z$3005,H$5))))</f>
        <v/>
      </c>
      <c r="I12" s="19">
        <f>IF($A12="","",IF(COUNTIFS(請求記録!$B$6:$B$3005,$A12,請求記録!$Z$6:$Z$3005,I$5,請求記録!$AF$6:$AF$3005,"保留中")&gt;0,"保留",IF(COUNTIFS(請求記録!$B$6:$B$3005,$A12,請求記録!$Z$6:$Z$3005,I$5)=0,"",SUMIFS(請求記録!$AE$6:$AE$3005,請求記録!$B$6:$B$3005,$A12,請求記録!$Z$6:$Z$3005,I$5))))</f>
        <v/>
      </c>
      <c r="J12" s="19">
        <f>IF($A12="","",IF(COUNTIFS(請求記録!$B$6:$B$3005,$A12,請求記録!$Z$6:$Z$3005,J$5,請求記録!$AF$6:$AF$3005,"保留中")&gt;0,"保留",IF(COUNTIFS(請求記録!$B$6:$B$3005,$A12,請求記録!$Z$6:$Z$3005,J$5)=0,"",SUMIFS(請求記録!$AE$6:$AE$3005,請求記録!$B$6:$B$3005,$A12,請求記録!$Z$6:$Z$3005,J$5))))</f>
        <v/>
      </c>
      <c r="K12" s="19">
        <f>IF($A12="","",IF(COUNTIFS(請求記録!$B$6:$B$3005,$A12,請求記録!$Z$6:$Z$3005,K$5,請求記録!$AF$6:$AF$3005,"保留中")&gt;0,"保留",IF(COUNTIFS(請求記録!$B$6:$B$3005,$A12,請求記録!$Z$6:$Z$3005,K$5)=0,"",SUMIFS(請求記録!$AE$6:$AE$3005,請求記録!$B$6:$B$3005,$A12,請求記録!$Z$6:$Z$3005,K$5))))</f>
        <v/>
      </c>
      <c r="L12" s="19">
        <f>IF($A12="","",IF(COUNTIFS(請求記録!$B$6:$B$3005,$A12,請求記録!$Z$6:$Z$3005,L$5,請求記録!$AF$6:$AF$3005,"保留中")&gt;0,"保留",IF(COUNTIFS(請求記録!$B$6:$B$3005,$A12,請求記録!$Z$6:$Z$3005,L$5)=0,"",SUMIFS(請求記録!$AE$6:$AE$3005,請求記録!$B$6:$B$3005,$A12,請求記録!$Z$6:$Z$3005,L$5))))</f>
        <v/>
      </c>
      <c r="M12" s="19">
        <f>IF($A12="","",IF(COUNTIFS(請求記録!$B$6:$B$3005,$A12,請求記録!$Z$6:$Z$3005,M$5,請求記録!$AF$6:$AF$3005,"保留中")&gt;0,"保留",IF(COUNTIFS(請求記録!$B$6:$B$3005,$A12,請求記録!$Z$6:$Z$3005,M$5)=0,"",SUMIFS(請求記録!$AE$6:$AE$3005,請求記録!$B$6:$B$3005,$A12,請求記録!$Z$6:$Z$3005,M$5))))</f>
        <v/>
      </c>
      <c r="N12" s="19">
        <f>IF($A12="","",IF(COUNTIFS(請求記録!$B$6:$B$3005,$A12,請求記録!$Z$6:$Z$3005,N$5,請求記録!$AF$6:$AF$3005,"保留中")&gt;0,"保留",IF(COUNTIFS(請求記録!$B$6:$B$3005,$A12,請求記録!$Z$6:$Z$3005,N$5)=0,"",SUMIFS(請求記録!$AE$6:$AE$3005,請求記録!$B$6:$B$3005,$A12,請求記録!$Z$6:$Z$3005,N$5))))</f>
        <v/>
      </c>
      <c r="O12" s="19">
        <f>IF($A12="","",IF(COUNTIFS(請求記録!$B$6:$B$3005,$A12,請求記録!$Z$6:$Z$3005,O$5,請求記録!$AF$6:$AF$3005,"保留中")&gt;0,"保留",IF(COUNTIFS(請求記録!$B$6:$B$3005,$A12,請求記録!$Z$6:$Z$3005,O$5)=0,"",SUMIFS(請求記録!$AE$6:$AE$3005,請求記録!$B$6:$B$3005,$A12,請求記録!$Z$6:$Z$3005,O$5))))</f>
        <v/>
      </c>
      <c r="P12" s="19">
        <f>IF($A12="","",IF(COUNTIFS(請求記録!$B$6:$B$3005,$A12,請求記録!$Z$6:$Z$3005,P$5,請求記録!$AF$6:$AF$3005,"保留中")&gt;0,"保留",IF(COUNTIFS(請求記録!$B$6:$B$3005,$A12,請求記録!$Z$6:$Z$3005,P$5)=0,"",SUMIFS(請求記録!$AE$6:$AE$3005,請求記録!$B$6:$B$3005,$A12,請求記録!$Z$6:$Z$3005,P$5))))</f>
        <v/>
      </c>
      <c r="Q12" s="19">
        <f>IF($A12="","",IF(COUNTIFS(請求記録!$B$6:$B$3005,$A12,請求記録!$Z$6:$Z$3005,Q$5,請求記録!$AF$6:$AF$3005,"保留中")&gt;0,"保留",IF(COUNTIFS(請求記録!$B$6:$B$3005,$A12,請求記録!$Z$6:$Z$3005,Q$5)=0,"",SUMIFS(請求記録!$AE$6:$AE$3005,請求記録!$B$6:$B$3005,$A12,請求記録!$Z$6:$Z$3005,Q$5))))</f>
        <v/>
      </c>
      <c r="R12" s="19">
        <f>IF($A12="","",IF(COUNTIFS(請求記録!$B$6:$B$3005,$A12,請求記録!$Z$6:$Z$3005,R$5,請求記録!$AF$6:$AF$3005,"保留中")&gt;0,"保留",IF(COUNTIFS(請求記録!$B$6:$B$3005,$A12,請求記録!$Z$6:$Z$3005,R$5)=0,"",SUMIFS(請求記録!$AE$6:$AE$3005,請求記録!$B$6:$B$3005,$A12,請求記録!$Z$6:$Z$3005,R$5))))</f>
        <v/>
      </c>
      <c r="S12" s="19">
        <f>IF($A12="","",IF(COUNTIFS(請求記録!$B$6:$B$3005,$A12,請求記録!$Z$6:$Z$3005,S$5,請求記録!$AF$6:$AF$3005,"保留中")&gt;0,"保留",IF(COUNTIFS(請求記録!$B$6:$B$3005,$A12,請求記録!$Z$6:$Z$3005,S$5)=0,"",SUMIFS(請求記録!$AE$6:$AE$3005,請求記録!$B$6:$B$3005,$A12,請求記録!$Z$6:$Z$3005,S$5))))</f>
        <v/>
      </c>
      <c r="T12" s="19">
        <f>IF($A12="","",IF(COUNTIFS(請求記録!$B$6:$B$3005,$A12,請求記録!$Z$6:$Z$3005,T$5,請求記録!$AF$6:$AF$3005,"保留中")&gt;0,"保留",IF(COUNTIFS(請求記録!$B$6:$B$3005,$A12,請求記録!$Z$6:$Z$3005,T$5)=0,"",SUMIFS(請求記録!$AE$6:$AE$3005,請求記録!$B$6:$B$3005,$A12,請求記録!$Z$6:$Z$3005,T$5))))</f>
        <v/>
      </c>
      <c r="U12" s="19">
        <f>IF($A12="","",IF(COUNTIFS(請求記録!$B$6:$B$3005,$A12,請求記録!$Z$6:$Z$3005,U$5,請求記録!$AF$6:$AF$3005,"保留中")&gt;0,"保留",IF(COUNTIFS(請求記録!$B$6:$B$3005,$A12,請求記録!$Z$6:$Z$3005,U$5)=0,"",SUMIFS(請求記録!$AE$6:$AE$3005,請求記録!$B$6:$B$3005,$A12,請求記録!$Z$6:$Z$3005,U$5))))</f>
        <v/>
      </c>
      <c r="V12" s="19">
        <f>IF($A12="","",IF(COUNTIFS(請求記録!$B$6:$B$3005,$A12,請求記録!$Z$6:$Z$3005,V$5,請求記録!$AF$6:$AF$3005,"保留中")&gt;0,"保留",IF(COUNTIFS(請求記録!$B$6:$B$3005,$A12,請求記録!$Z$6:$Z$3005,V$5)=0,"",SUMIFS(請求記録!$AE$6:$AE$3005,請求記録!$B$6:$B$3005,$A12,請求記録!$Z$6:$Z$3005,V$5))))</f>
        <v/>
      </c>
      <c r="W12" s="19">
        <f>IF($A12="","",IF(COUNTIFS(請求記録!$B$6:$B$3005,$A12,請求記録!$Z$6:$Z$3005,W$5,請求記録!$AF$6:$AF$3005,"保留中")&gt;0,"保留",IF(COUNTIFS(請求記録!$B$6:$B$3005,$A12,請求記録!$Z$6:$Z$3005,W$5)=0,"",SUMIFS(請求記録!$AE$6:$AE$3005,請求記録!$B$6:$B$3005,$A12,請求記録!$Z$6:$Z$3005,W$5))))</f>
        <v/>
      </c>
      <c r="X12" s="19">
        <f>IF($A12="","",IF(COUNTIFS(請求記録!$B$6:$B$3005,$A12,請求記録!$Z$6:$Z$3005,X$5,請求記録!$AF$6:$AF$3005,"保留中")&gt;0,"保留",IF(COUNTIFS(請求記録!$B$6:$B$3005,$A12,請求記録!$Z$6:$Z$3005,X$5)=0,"",SUMIFS(請求記録!$AE$6:$AE$3005,請求記録!$B$6:$B$3005,$A12,請求記録!$Z$6:$Z$3005,X$5))))</f>
        <v/>
      </c>
      <c r="Y12" s="19">
        <f>IF($A12="","",IF(COUNTIFS(請求記録!$B$6:$B$3005,$A12,請求記録!$Z$6:$Z$3005,Y$5,請求記録!$AF$6:$AF$3005,"保留中")&gt;0,"保留",IF(COUNTIFS(請求記録!$B$6:$B$3005,$A12,請求記録!$Z$6:$Z$3005,Y$5)=0,"",SUMIFS(請求記録!$AE$6:$AE$3005,請求記録!$B$6:$B$3005,$A12,請求記録!$Z$6:$Z$3005,Y$5))))</f>
        <v/>
      </c>
      <c r="Z12" s="19">
        <f>IF($A12="","",IF(COUNTIFS(請求記録!$B$6:$B$3005,$A12,請求記録!$Z$6:$Z$3005,Z$5,請求記録!$AF$6:$AF$3005,"保留中")&gt;0,"保留",IF(COUNTIFS(請求記録!$B$6:$B$3005,$A12,請求記録!$Z$6:$Z$3005,Z$5)=0,"",SUMIFS(請求記録!$AE$6:$AE$3005,請求記録!$B$6:$B$3005,$A12,請求記録!$Z$6:$Z$3005,Z$5))))</f>
        <v/>
      </c>
      <c r="AA12" s="19">
        <f>IF($A12="","",IF(COUNTIFS(請求記録!$B$6:$B$3005,$A12,請求記録!$Z$6:$Z$3005,AA$5,請求記録!$AF$6:$AF$3005,"保留中")&gt;0,"保留",IF(COUNTIFS(請求記録!$B$6:$B$3005,$A12,請求記録!$Z$6:$Z$3005,AA$5)=0,"",SUMIFS(請求記録!$AE$6:$AE$3005,請求記録!$B$6:$B$3005,$A12,請求記録!$Z$6:$Z$3005,AA$5))))</f>
        <v/>
      </c>
      <c r="AB12">
        <f>IF(職員マスタ!P12="保留中",職員マスタ!M12,"")</f>
        <v/>
      </c>
    </row>
    <row r="13">
      <c r="A13">
        <f>IF(職員マスタ!A13="","",職員マスタ!A13)</f>
        <v/>
      </c>
      <c r="B13">
        <f>IF($A13="","",職員マスタ!B13)</f>
        <v/>
      </c>
      <c r="C13">
        <f>IF($A13="","",職員マスタ!C13)</f>
        <v/>
      </c>
      <c r="D13" s="19">
        <f>IF($A13="","",IF(COUNTIFS(請求記録!$B$6:$B$3005,$A13,請求記録!$Z$6:$Z$3005,D$5,請求記録!$AF$6:$AF$3005,"保留中")&gt;0,"保留",IF(COUNTIFS(請求記録!$B$6:$B$3005,$A13,請求記録!$Z$6:$Z$3005,D$5)=0,"",SUMIFS(請求記録!$AE$6:$AE$3005,請求記録!$B$6:$B$3005,$A13,請求記録!$Z$6:$Z$3005,D$5))))</f>
        <v/>
      </c>
      <c r="E13" s="19">
        <f>IF($A13="","",IF(COUNTIFS(請求記録!$B$6:$B$3005,$A13,請求記録!$Z$6:$Z$3005,E$5,請求記録!$AF$6:$AF$3005,"保留中")&gt;0,"保留",IF(COUNTIFS(請求記録!$B$6:$B$3005,$A13,請求記録!$Z$6:$Z$3005,E$5)=0,"",SUMIFS(請求記録!$AE$6:$AE$3005,請求記録!$B$6:$B$3005,$A13,請求記録!$Z$6:$Z$3005,E$5))))</f>
        <v/>
      </c>
      <c r="F13" s="19">
        <f>IF($A13="","",IF(COUNTIFS(請求記録!$B$6:$B$3005,$A13,請求記録!$Z$6:$Z$3005,F$5,請求記録!$AF$6:$AF$3005,"保留中")&gt;0,"保留",IF(COUNTIFS(請求記録!$B$6:$B$3005,$A13,請求記録!$Z$6:$Z$3005,F$5)=0,"",SUMIFS(請求記録!$AE$6:$AE$3005,請求記録!$B$6:$B$3005,$A13,請求記録!$Z$6:$Z$3005,F$5))))</f>
        <v/>
      </c>
      <c r="G13" s="19">
        <f>IF($A13="","",IF(COUNTIFS(請求記録!$B$6:$B$3005,$A13,請求記録!$Z$6:$Z$3005,G$5,請求記録!$AF$6:$AF$3005,"保留中")&gt;0,"保留",IF(COUNTIFS(請求記録!$B$6:$B$3005,$A13,請求記録!$Z$6:$Z$3005,G$5)=0,"",SUMIFS(請求記録!$AE$6:$AE$3005,請求記録!$B$6:$B$3005,$A13,請求記録!$Z$6:$Z$3005,G$5))))</f>
        <v/>
      </c>
      <c r="H13" s="19">
        <f>IF($A13="","",IF(COUNTIFS(請求記録!$B$6:$B$3005,$A13,請求記録!$Z$6:$Z$3005,H$5,請求記録!$AF$6:$AF$3005,"保留中")&gt;0,"保留",IF(COUNTIFS(請求記録!$B$6:$B$3005,$A13,請求記録!$Z$6:$Z$3005,H$5)=0,"",SUMIFS(請求記録!$AE$6:$AE$3005,請求記録!$B$6:$B$3005,$A13,請求記録!$Z$6:$Z$3005,H$5))))</f>
        <v/>
      </c>
      <c r="I13" s="19">
        <f>IF($A13="","",IF(COUNTIFS(請求記録!$B$6:$B$3005,$A13,請求記録!$Z$6:$Z$3005,I$5,請求記録!$AF$6:$AF$3005,"保留中")&gt;0,"保留",IF(COUNTIFS(請求記録!$B$6:$B$3005,$A13,請求記録!$Z$6:$Z$3005,I$5)=0,"",SUMIFS(請求記録!$AE$6:$AE$3005,請求記録!$B$6:$B$3005,$A13,請求記録!$Z$6:$Z$3005,I$5))))</f>
        <v/>
      </c>
      <c r="J13" s="19">
        <f>IF($A13="","",IF(COUNTIFS(請求記録!$B$6:$B$3005,$A13,請求記録!$Z$6:$Z$3005,J$5,請求記録!$AF$6:$AF$3005,"保留中")&gt;0,"保留",IF(COUNTIFS(請求記録!$B$6:$B$3005,$A13,請求記録!$Z$6:$Z$3005,J$5)=0,"",SUMIFS(請求記録!$AE$6:$AE$3005,請求記録!$B$6:$B$3005,$A13,請求記録!$Z$6:$Z$3005,J$5))))</f>
        <v/>
      </c>
      <c r="K13" s="19">
        <f>IF($A13="","",IF(COUNTIFS(請求記録!$B$6:$B$3005,$A13,請求記録!$Z$6:$Z$3005,K$5,請求記録!$AF$6:$AF$3005,"保留中")&gt;0,"保留",IF(COUNTIFS(請求記録!$B$6:$B$3005,$A13,請求記録!$Z$6:$Z$3005,K$5)=0,"",SUMIFS(請求記録!$AE$6:$AE$3005,請求記録!$B$6:$B$3005,$A13,請求記録!$Z$6:$Z$3005,K$5))))</f>
        <v/>
      </c>
      <c r="L13" s="19">
        <f>IF($A13="","",IF(COUNTIFS(請求記録!$B$6:$B$3005,$A13,請求記録!$Z$6:$Z$3005,L$5,請求記録!$AF$6:$AF$3005,"保留中")&gt;0,"保留",IF(COUNTIFS(請求記録!$B$6:$B$3005,$A13,請求記録!$Z$6:$Z$3005,L$5)=0,"",SUMIFS(請求記録!$AE$6:$AE$3005,請求記録!$B$6:$B$3005,$A13,請求記録!$Z$6:$Z$3005,L$5))))</f>
        <v/>
      </c>
      <c r="M13" s="19">
        <f>IF($A13="","",IF(COUNTIFS(請求記録!$B$6:$B$3005,$A13,請求記録!$Z$6:$Z$3005,M$5,請求記録!$AF$6:$AF$3005,"保留中")&gt;0,"保留",IF(COUNTIFS(請求記録!$B$6:$B$3005,$A13,請求記録!$Z$6:$Z$3005,M$5)=0,"",SUMIFS(請求記録!$AE$6:$AE$3005,請求記録!$B$6:$B$3005,$A13,請求記録!$Z$6:$Z$3005,M$5))))</f>
        <v/>
      </c>
      <c r="N13" s="19">
        <f>IF($A13="","",IF(COUNTIFS(請求記録!$B$6:$B$3005,$A13,請求記録!$Z$6:$Z$3005,N$5,請求記録!$AF$6:$AF$3005,"保留中")&gt;0,"保留",IF(COUNTIFS(請求記録!$B$6:$B$3005,$A13,請求記録!$Z$6:$Z$3005,N$5)=0,"",SUMIFS(請求記録!$AE$6:$AE$3005,請求記録!$B$6:$B$3005,$A13,請求記録!$Z$6:$Z$3005,N$5))))</f>
        <v/>
      </c>
      <c r="O13" s="19">
        <f>IF($A13="","",IF(COUNTIFS(請求記録!$B$6:$B$3005,$A13,請求記録!$Z$6:$Z$3005,O$5,請求記録!$AF$6:$AF$3005,"保留中")&gt;0,"保留",IF(COUNTIFS(請求記録!$B$6:$B$3005,$A13,請求記録!$Z$6:$Z$3005,O$5)=0,"",SUMIFS(請求記録!$AE$6:$AE$3005,請求記録!$B$6:$B$3005,$A13,請求記録!$Z$6:$Z$3005,O$5))))</f>
        <v/>
      </c>
      <c r="P13" s="19">
        <f>IF($A13="","",IF(COUNTIFS(請求記録!$B$6:$B$3005,$A13,請求記録!$Z$6:$Z$3005,P$5,請求記録!$AF$6:$AF$3005,"保留中")&gt;0,"保留",IF(COUNTIFS(請求記録!$B$6:$B$3005,$A13,請求記録!$Z$6:$Z$3005,P$5)=0,"",SUMIFS(請求記録!$AE$6:$AE$3005,請求記録!$B$6:$B$3005,$A13,請求記録!$Z$6:$Z$3005,P$5))))</f>
        <v/>
      </c>
      <c r="Q13" s="19">
        <f>IF($A13="","",IF(COUNTIFS(請求記録!$B$6:$B$3005,$A13,請求記録!$Z$6:$Z$3005,Q$5,請求記録!$AF$6:$AF$3005,"保留中")&gt;0,"保留",IF(COUNTIFS(請求記録!$B$6:$B$3005,$A13,請求記録!$Z$6:$Z$3005,Q$5)=0,"",SUMIFS(請求記録!$AE$6:$AE$3005,請求記録!$B$6:$B$3005,$A13,請求記録!$Z$6:$Z$3005,Q$5))))</f>
        <v/>
      </c>
      <c r="R13" s="19">
        <f>IF($A13="","",IF(COUNTIFS(請求記録!$B$6:$B$3005,$A13,請求記録!$Z$6:$Z$3005,R$5,請求記録!$AF$6:$AF$3005,"保留中")&gt;0,"保留",IF(COUNTIFS(請求記録!$B$6:$B$3005,$A13,請求記録!$Z$6:$Z$3005,R$5)=0,"",SUMIFS(請求記録!$AE$6:$AE$3005,請求記録!$B$6:$B$3005,$A13,請求記録!$Z$6:$Z$3005,R$5))))</f>
        <v/>
      </c>
      <c r="S13" s="19">
        <f>IF($A13="","",IF(COUNTIFS(請求記録!$B$6:$B$3005,$A13,請求記録!$Z$6:$Z$3005,S$5,請求記録!$AF$6:$AF$3005,"保留中")&gt;0,"保留",IF(COUNTIFS(請求記録!$B$6:$B$3005,$A13,請求記録!$Z$6:$Z$3005,S$5)=0,"",SUMIFS(請求記録!$AE$6:$AE$3005,請求記録!$B$6:$B$3005,$A13,請求記録!$Z$6:$Z$3005,S$5))))</f>
        <v/>
      </c>
      <c r="T13" s="19">
        <f>IF($A13="","",IF(COUNTIFS(請求記録!$B$6:$B$3005,$A13,請求記録!$Z$6:$Z$3005,T$5,請求記録!$AF$6:$AF$3005,"保留中")&gt;0,"保留",IF(COUNTIFS(請求記録!$B$6:$B$3005,$A13,請求記録!$Z$6:$Z$3005,T$5)=0,"",SUMIFS(請求記録!$AE$6:$AE$3005,請求記録!$B$6:$B$3005,$A13,請求記録!$Z$6:$Z$3005,T$5))))</f>
        <v/>
      </c>
      <c r="U13" s="19">
        <f>IF($A13="","",IF(COUNTIFS(請求記録!$B$6:$B$3005,$A13,請求記録!$Z$6:$Z$3005,U$5,請求記録!$AF$6:$AF$3005,"保留中")&gt;0,"保留",IF(COUNTIFS(請求記録!$B$6:$B$3005,$A13,請求記録!$Z$6:$Z$3005,U$5)=0,"",SUMIFS(請求記録!$AE$6:$AE$3005,請求記録!$B$6:$B$3005,$A13,請求記録!$Z$6:$Z$3005,U$5))))</f>
        <v/>
      </c>
      <c r="V13" s="19">
        <f>IF($A13="","",IF(COUNTIFS(請求記録!$B$6:$B$3005,$A13,請求記録!$Z$6:$Z$3005,V$5,請求記録!$AF$6:$AF$3005,"保留中")&gt;0,"保留",IF(COUNTIFS(請求記録!$B$6:$B$3005,$A13,請求記録!$Z$6:$Z$3005,V$5)=0,"",SUMIFS(請求記録!$AE$6:$AE$3005,請求記録!$B$6:$B$3005,$A13,請求記録!$Z$6:$Z$3005,V$5))))</f>
        <v/>
      </c>
      <c r="W13" s="19">
        <f>IF($A13="","",IF(COUNTIFS(請求記録!$B$6:$B$3005,$A13,請求記録!$Z$6:$Z$3005,W$5,請求記録!$AF$6:$AF$3005,"保留中")&gt;0,"保留",IF(COUNTIFS(請求記録!$B$6:$B$3005,$A13,請求記録!$Z$6:$Z$3005,W$5)=0,"",SUMIFS(請求記録!$AE$6:$AE$3005,請求記録!$B$6:$B$3005,$A13,請求記録!$Z$6:$Z$3005,W$5))))</f>
        <v/>
      </c>
      <c r="X13" s="19">
        <f>IF($A13="","",IF(COUNTIFS(請求記録!$B$6:$B$3005,$A13,請求記録!$Z$6:$Z$3005,X$5,請求記録!$AF$6:$AF$3005,"保留中")&gt;0,"保留",IF(COUNTIFS(請求記録!$B$6:$B$3005,$A13,請求記録!$Z$6:$Z$3005,X$5)=0,"",SUMIFS(請求記録!$AE$6:$AE$3005,請求記録!$B$6:$B$3005,$A13,請求記録!$Z$6:$Z$3005,X$5))))</f>
        <v/>
      </c>
      <c r="Y13" s="19">
        <f>IF($A13="","",IF(COUNTIFS(請求記録!$B$6:$B$3005,$A13,請求記録!$Z$6:$Z$3005,Y$5,請求記録!$AF$6:$AF$3005,"保留中")&gt;0,"保留",IF(COUNTIFS(請求記録!$B$6:$B$3005,$A13,請求記録!$Z$6:$Z$3005,Y$5)=0,"",SUMIFS(請求記録!$AE$6:$AE$3005,請求記録!$B$6:$B$3005,$A13,請求記録!$Z$6:$Z$3005,Y$5))))</f>
        <v/>
      </c>
      <c r="Z13" s="19">
        <f>IF($A13="","",IF(COUNTIFS(請求記録!$B$6:$B$3005,$A13,請求記録!$Z$6:$Z$3005,Z$5,請求記録!$AF$6:$AF$3005,"保留中")&gt;0,"保留",IF(COUNTIFS(請求記録!$B$6:$B$3005,$A13,請求記録!$Z$6:$Z$3005,Z$5)=0,"",SUMIFS(請求記録!$AE$6:$AE$3005,請求記録!$B$6:$B$3005,$A13,請求記録!$Z$6:$Z$3005,Z$5))))</f>
        <v/>
      </c>
      <c r="AA13" s="19">
        <f>IF($A13="","",IF(COUNTIFS(請求記録!$B$6:$B$3005,$A13,請求記録!$Z$6:$Z$3005,AA$5,請求記録!$AF$6:$AF$3005,"保留中")&gt;0,"保留",IF(COUNTIFS(請求記録!$B$6:$B$3005,$A13,請求記録!$Z$6:$Z$3005,AA$5)=0,"",SUMIFS(請求記録!$AE$6:$AE$3005,請求記録!$B$6:$B$3005,$A13,請求記録!$Z$6:$Z$3005,AA$5))))</f>
        <v/>
      </c>
      <c r="AB13">
        <f>IF(職員マスタ!P13="保留中",職員マスタ!M13,"")</f>
        <v/>
      </c>
    </row>
    <row r="14">
      <c r="A14">
        <f>IF(職員マスタ!A14="","",職員マスタ!A14)</f>
        <v/>
      </c>
      <c r="B14">
        <f>IF($A14="","",職員マスタ!B14)</f>
        <v/>
      </c>
      <c r="C14">
        <f>IF($A14="","",職員マスタ!C14)</f>
        <v/>
      </c>
      <c r="D14" s="19">
        <f>IF($A14="","",IF(COUNTIFS(請求記録!$B$6:$B$3005,$A14,請求記録!$Z$6:$Z$3005,D$5,請求記録!$AF$6:$AF$3005,"保留中")&gt;0,"保留",IF(COUNTIFS(請求記録!$B$6:$B$3005,$A14,請求記録!$Z$6:$Z$3005,D$5)=0,"",SUMIFS(請求記録!$AE$6:$AE$3005,請求記録!$B$6:$B$3005,$A14,請求記録!$Z$6:$Z$3005,D$5))))</f>
        <v/>
      </c>
      <c r="E14" s="19">
        <f>IF($A14="","",IF(COUNTIFS(請求記録!$B$6:$B$3005,$A14,請求記録!$Z$6:$Z$3005,E$5,請求記録!$AF$6:$AF$3005,"保留中")&gt;0,"保留",IF(COUNTIFS(請求記録!$B$6:$B$3005,$A14,請求記録!$Z$6:$Z$3005,E$5)=0,"",SUMIFS(請求記録!$AE$6:$AE$3005,請求記録!$B$6:$B$3005,$A14,請求記録!$Z$6:$Z$3005,E$5))))</f>
        <v/>
      </c>
      <c r="F14" s="19">
        <f>IF($A14="","",IF(COUNTIFS(請求記録!$B$6:$B$3005,$A14,請求記録!$Z$6:$Z$3005,F$5,請求記録!$AF$6:$AF$3005,"保留中")&gt;0,"保留",IF(COUNTIFS(請求記録!$B$6:$B$3005,$A14,請求記録!$Z$6:$Z$3005,F$5)=0,"",SUMIFS(請求記録!$AE$6:$AE$3005,請求記録!$B$6:$B$3005,$A14,請求記録!$Z$6:$Z$3005,F$5))))</f>
        <v/>
      </c>
      <c r="G14" s="19">
        <f>IF($A14="","",IF(COUNTIFS(請求記録!$B$6:$B$3005,$A14,請求記録!$Z$6:$Z$3005,G$5,請求記録!$AF$6:$AF$3005,"保留中")&gt;0,"保留",IF(COUNTIFS(請求記録!$B$6:$B$3005,$A14,請求記録!$Z$6:$Z$3005,G$5)=0,"",SUMIFS(請求記録!$AE$6:$AE$3005,請求記録!$B$6:$B$3005,$A14,請求記録!$Z$6:$Z$3005,G$5))))</f>
        <v/>
      </c>
      <c r="H14" s="19">
        <f>IF($A14="","",IF(COUNTIFS(請求記録!$B$6:$B$3005,$A14,請求記録!$Z$6:$Z$3005,H$5,請求記録!$AF$6:$AF$3005,"保留中")&gt;0,"保留",IF(COUNTIFS(請求記録!$B$6:$B$3005,$A14,請求記録!$Z$6:$Z$3005,H$5)=0,"",SUMIFS(請求記録!$AE$6:$AE$3005,請求記録!$B$6:$B$3005,$A14,請求記録!$Z$6:$Z$3005,H$5))))</f>
        <v/>
      </c>
      <c r="I14" s="19">
        <f>IF($A14="","",IF(COUNTIFS(請求記録!$B$6:$B$3005,$A14,請求記録!$Z$6:$Z$3005,I$5,請求記録!$AF$6:$AF$3005,"保留中")&gt;0,"保留",IF(COUNTIFS(請求記録!$B$6:$B$3005,$A14,請求記録!$Z$6:$Z$3005,I$5)=0,"",SUMIFS(請求記録!$AE$6:$AE$3005,請求記録!$B$6:$B$3005,$A14,請求記録!$Z$6:$Z$3005,I$5))))</f>
        <v/>
      </c>
      <c r="J14" s="19">
        <f>IF($A14="","",IF(COUNTIFS(請求記録!$B$6:$B$3005,$A14,請求記録!$Z$6:$Z$3005,J$5,請求記録!$AF$6:$AF$3005,"保留中")&gt;0,"保留",IF(COUNTIFS(請求記録!$B$6:$B$3005,$A14,請求記録!$Z$6:$Z$3005,J$5)=0,"",SUMIFS(請求記録!$AE$6:$AE$3005,請求記録!$B$6:$B$3005,$A14,請求記録!$Z$6:$Z$3005,J$5))))</f>
        <v/>
      </c>
      <c r="K14" s="19">
        <f>IF($A14="","",IF(COUNTIFS(請求記録!$B$6:$B$3005,$A14,請求記録!$Z$6:$Z$3005,K$5,請求記録!$AF$6:$AF$3005,"保留中")&gt;0,"保留",IF(COUNTIFS(請求記録!$B$6:$B$3005,$A14,請求記録!$Z$6:$Z$3005,K$5)=0,"",SUMIFS(請求記録!$AE$6:$AE$3005,請求記録!$B$6:$B$3005,$A14,請求記録!$Z$6:$Z$3005,K$5))))</f>
        <v/>
      </c>
      <c r="L14" s="19">
        <f>IF($A14="","",IF(COUNTIFS(請求記録!$B$6:$B$3005,$A14,請求記録!$Z$6:$Z$3005,L$5,請求記録!$AF$6:$AF$3005,"保留中")&gt;0,"保留",IF(COUNTIFS(請求記録!$B$6:$B$3005,$A14,請求記録!$Z$6:$Z$3005,L$5)=0,"",SUMIFS(請求記録!$AE$6:$AE$3005,請求記録!$B$6:$B$3005,$A14,請求記録!$Z$6:$Z$3005,L$5))))</f>
        <v/>
      </c>
      <c r="M14" s="19">
        <f>IF($A14="","",IF(COUNTIFS(請求記録!$B$6:$B$3005,$A14,請求記録!$Z$6:$Z$3005,M$5,請求記録!$AF$6:$AF$3005,"保留中")&gt;0,"保留",IF(COUNTIFS(請求記録!$B$6:$B$3005,$A14,請求記録!$Z$6:$Z$3005,M$5)=0,"",SUMIFS(請求記録!$AE$6:$AE$3005,請求記録!$B$6:$B$3005,$A14,請求記録!$Z$6:$Z$3005,M$5))))</f>
        <v/>
      </c>
      <c r="N14" s="19">
        <f>IF($A14="","",IF(COUNTIFS(請求記録!$B$6:$B$3005,$A14,請求記録!$Z$6:$Z$3005,N$5,請求記録!$AF$6:$AF$3005,"保留中")&gt;0,"保留",IF(COUNTIFS(請求記録!$B$6:$B$3005,$A14,請求記録!$Z$6:$Z$3005,N$5)=0,"",SUMIFS(請求記録!$AE$6:$AE$3005,請求記録!$B$6:$B$3005,$A14,請求記録!$Z$6:$Z$3005,N$5))))</f>
        <v/>
      </c>
      <c r="O14" s="19">
        <f>IF($A14="","",IF(COUNTIFS(請求記録!$B$6:$B$3005,$A14,請求記録!$Z$6:$Z$3005,O$5,請求記録!$AF$6:$AF$3005,"保留中")&gt;0,"保留",IF(COUNTIFS(請求記録!$B$6:$B$3005,$A14,請求記録!$Z$6:$Z$3005,O$5)=0,"",SUMIFS(請求記録!$AE$6:$AE$3005,請求記録!$B$6:$B$3005,$A14,請求記録!$Z$6:$Z$3005,O$5))))</f>
        <v/>
      </c>
      <c r="P14" s="19">
        <f>IF($A14="","",IF(COUNTIFS(請求記録!$B$6:$B$3005,$A14,請求記録!$Z$6:$Z$3005,P$5,請求記録!$AF$6:$AF$3005,"保留中")&gt;0,"保留",IF(COUNTIFS(請求記録!$B$6:$B$3005,$A14,請求記録!$Z$6:$Z$3005,P$5)=0,"",SUMIFS(請求記録!$AE$6:$AE$3005,請求記録!$B$6:$B$3005,$A14,請求記録!$Z$6:$Z$3005,P$5))))</f>
        <v/>
      </c>
      <c r="Q14" s="19">
        <f>IF($A14="","",IF(COUNTIFS(請求記録!$B$6:$B$3005,$A14,請求記録!$Z$6:$Z$3005,Q$5,請求記録!$AF$6:$AF$3005,"保留中")&gt;0,"保留",IF(COUNTIFS(請求記録!$B$6:$B$3005,$A14,請求記録!$Z$6:$Z$3005,Q$5)=0,"",SUMIFS(請求記録!$AE$6:$AE$3005,請求記録!$B$6:$B$3005,$A14,請求記録!$Z$6:$Z$3005,Q$5))))</f>
        <v/>
      </c>
      <c r="R14" s="19">
        <f>IF($A14="","",IF(COUNTIFS(請求記録!$B$6:$B$3005,$A14,請求記録!$Z$6:$Z$3005,R$5,請求記録!$AF$6:$AF$3005,"保留中")&gt;0,"保留",IF(COUNTIFS(請求記録!$B$6:$B$3005,$A14,請求記録!$Z$6:$Z$3005,R$5)=0,"",SUMIFS(請求記録!$AE$6:$AE$3005,請求記録!$B$6:$B$3005,$A14,請求記録!$Z$6:$Z$3005,R$5))))</f>
        <v/>
      </c>
      <c r="S14" s="19">
        <f>IF($A14="","",IF(COUNTIFS(請求記録!$B$6:$B$3005,$A14,請求記録!$Z$6:$Z$3005,S$5,請求記録!$AF$6:$AF$3005,"保留中")&gt;0,"保留",IF(COUNTIFS(請求記録!$B$6:$B$3005,$A14,請求記録!$Z$6:$Z$3005,S$5)=0,"",SUMIFS(請求記録!$AE$6:$AE$3005,請求記録!$B$6:$B$3005,$A14,請求記録!$Z$6:$Z$3005,S$5))))</f>
        <v/>
      </c>
      <c r="T14" s="19">
        <f>IF($A14="","",IF(COUNTIFS(請求記録!$B$6:$B$3005,$A14,請求記録!$Z$6:$Z$3005,T$5,請求記録!$AF$6:$AF$3005,"保留中")&gt;0,"保留",IF(COUNTIFS(請求記録!$B$6:$B$3005,$A14,請求記録!$Z$6:$Z$3005,T$5)=0,"",SUMIFS(請求記録!$AE$6:$AE$3005,請求記録!$B$6:$B$3005,$A14,請求記録!$Z$6:$Z$3005,T$5))))</f>
        <v/>
      </c>
      <c r="U14" s="19">
        <f>IF($A14="","",IF(COUNTIFS(請求記録!$B$6:$B$3005,$A14,請求記録!$Z$6:$Z$3005,U$5,請求記録!$AF$6:$AF$3005,"保留中")&gt;0,"保留",IF(COUNTIFS(請求記録!$B$6:$B$3005,$A14,請求記録!$Z$6:$Z$3005,U$5)=0,"",SUMIFS(請求記録!$AE$6:$AE$3005,請求記録!$B$6:$B$3005,$A14,請求記録!$Z$6:$Z$3005,U$5))))</f>
        <v/>
      </c>
      <c r="V14" s="19">
        <f>IF($A14="","",IF(COUNTIFS(請求記録!$B$6:$B$3005,$A14,請求記録!$Z$6:$Z$3005,V$5,請求記録!$AF$6:$AF$3005,"保留中")&gt;0,"保留",IF(COUNTIFS(請求記録!$B$6:$B$3005,$A14,請求記録!$Z$6:$Z$3005,V$5)=0,"",SUMIFS(請求記録!$AE$6:$AE$3005,請求記録!$B$6:$B$3005,$A14,請求記録!$Z$6:$Z$3005,V$5))))</f>
        <v/>
      </c>
      <c r="W14" s="19">
        <f>IF($A14="","",IF(COUNTIFS(請求記録!$B$6:$B$3005,$A14,請求記録!$Z$6:$Z$3005,W$5,請求記録!$AF$6:$AF$3005,"保留中")&gt;0,"保留",IF(COUNTIFS(請求記録!$B$6:$B$3005,$A14,請求記録!$Z$6:$Z$3005,W$5)=0,"",SUMIFS(請求記録!$AE$6:$AE$3005,請求記録!$B$6:$B$3005,$A14,請求記録!$Z$6:$Z$3005,W$5))))</f>
        <v/>
      </c>
      <c r="X14" s="19">
        <f>IF($A14="","",IF(COUNTIFS(請求記録!$B$6:$B$3005,$A14,請求記録!$Z$6:$Z$3005,X$5,請求記録!$AF$6:$AF$3005,"保留中")&gt;0,"保留",IF(COUNTIFS(請求記録!$B$6:$B$3005,$A14,請求記録!$Z$6:$Z$3005,X$5)=0,"",SUMIFS(請求記録!$AE$6:$AE$3005,請求記録!$B$6:$B$3005,$A14,請求記録!$Z$6:$Z$3005,X$5))))</f>
        <v/>
      </c>
      <c r="Y14" s="19">
        <f>IF($A14="","",IF(COUNTIFS(請求記録!$B$6:$B$3005,$A14,請求記録!$Z$6:$Z$3005,Y$5,請求記録!$AF$6:$AF$3005,"保留中")&gt;0,"保留",IF(COUNTIFS(請求記録!$B$6:$B$3005,$A14,請求記録!$Z$6:$Z$3005,Y$5)=0,"",SUMIFS(請求記録!$AE$6:$AE$3005,請求記録!$B$6:$B$3005,$A14,請求記録!$Z$6:$Z$3005,Y$5))))</f>
        <v/>
      </c>
      <c r="Z14" s="19">
        <f>IF($A14="","",IF(COUNTIFS(請求記録!$B$6:$B$3005,$A14,請求記録!$Z$6:$Z$3005,Z$5,請求記録!$AF$6:$AF$3005,"保留中")&gt;0,"保留",IF(COUNTIFS(請求記録!$B$6:$B$3005,$A14,請求記録!$Z$6:$Z$3005,Z$5)=0,"",SUMIFS(請求記録!$AE$6:$AE$3005,請求記録!$B$6:$B$3005,$A14,請求記録!$Z$6:$Z$3005,Z$5))))</f>
        <v/>
      </c>
      <c r="AA14" s="19">
        <f>IF($A14="","",IF(COUNTIFS(請求記録!$B$6:$B$3005,$A14,請求記録!$Z$6:$Z$3005,AA$5,請求記録!$AF$6:$AF$3005,"保留中")&gt;0,"保留",IF(COUNTIFS(請求記録!$B$6:$B$3005,$A14,請求記録!$Z$6:$Z$3005,AA$5)=0,"",SUMIFS(請求記録!$AE$6:$AE$3005,請求記録!$B$6:$B$3005,$A14,請求記録!$Z$6:$Z$3005,AA$5))))</f>
        <v/>
      </c>
      <c r="AB14">
        <f>IF(職員マスタ!P14="保留中",職員マスタ!M14,"")</f>
        <v/>
      </c>
    </row>
    <row r="15">
      <c r="A15">
        <f>IF(職員マスタ!A15="","",職員マスタ!A15)</f>
        <v/>
      </c>
      <c r="B15">
        <f>IF($A15="","",職員マスタ!B15)</f>
        <v/>
      </c>
      <c r="C15">
        <f>IF($A15="","",職員マスタ!C15)</f>
        <v/>
      </c>
      <c r="D15" s="19">
        <f>IF($A15="","",IF(COUNTIFS(請求記録!$B$6:$B$3005,$A15,請求記録!$Z$6:$Z$3005,D$5,請求記録!$AF$6:$AF$3005,"保留中")&gt;0,"保留",IF(COUNTIFS(請求記録!$B$6:$B$3005,$A15,請求記録!$Z$6:$Z$3005,D$5)=0,"",SUMIFS(請求記録!$AE$6:$AE$3005,請求記録!$B$6:$B$3005,$A15,請求記録!$Z$6:$Z$3005,D$5))))</f>
        <v/>
      </c>
      <c r="E15" s="19">
        <f>IF($A15="","",IF(COUNTIFS(請求記録!$B$6:$B$3005,$A15,請求記録!$Z$6:$Z$3005,E$5,請求記録!$AF$6:$AF$3005,"保留中")&gt;0,"保留",IF(COUNTIFS(請求記録!$B$6:$B$3005,$A15,請求記録!$Z$6:$Z$3005,E$5)=0,"",SUMIFS(請求記録!$AE$6:$AE$3005,請求記録!$B$6:$B$3005,$A15,請求記録!$Z$6:$Z$3005,E$5))))</f>
        <v/>
      </c>
      <c r="F15" s="19">
        <f>IF($A15="","",IF(COUNTIFS(請求記録!$B$6:$B$3005,$A15,請求記録!$Z$6:$Z$3005,F$5,請求記録!$AF$6:$AF$3005,"保留中")&gt;0,"保留",IF(COUNTIFS(請求記録!$B$6:$B$3005,$A15,請求記録!$Z$6:$Z$3005,F$5)=0,"",SUMIFS(請求記録!$AE$6:$AE$3005,請求記録!$B$6:$B$3005,$A15,請求記録!$Z$6:$Z$3005,F$5))))</f>
        <v/>
      </c>
      <c r="G15" s="19">
        <f>IF($A15="","",IF(COUNTIFS(請求記録!$B$6:$B$3005,$A15,請求記録!$Z$6:$Z$3005,G$5,請求記録!$AF$6:$AF$3005,"保留中")&gt;0,"保留",IF(COUNTIFS(請求記録!$B$6:$B$3005,$A15,請求記録!$Z$6:$Z$3005,G$5)=0,"",SUMIFS(請求記録!$AE$6:$AE$3005,請求記録!$B$6:$B$3005,$A15,請求記録!$Z$6:$Z$3005,G$5))))</f>
        <v/>
      </c>
      <c r="H15" s="19">
        <f>IF($A15="","",IF(COUNTIFS(請求記録!$B$6:$B$3005,$A15,請求記録!$Z$6:$Z$3005,H$5,請求記録!$AF$6:$AF$3005,"保留中")&gt;0,"保留",IF(COUNTIFS(請求記録!$B$6:$B$3005,$A15,請求記録!$Z$6:$Z$3005,H$5)=0,"",SUMIFS(請求記録!$AE$6:$AE$3005,請求記録!$B$6:$B$3005,$A15,請求記録!$Z$6:$Z$3005,H$5))))</f>
        <v/>
      </c>
      <c r="I15" s="19">
        <f>IF($A15="","",IF(COUNTIFS(請求記録!$B$6:$B$3005,$A15,請求記録!$Z$6:$Z$3005,I$5,請求記録!$AF$6:$AF$3005,"保留中")&gt;0,"保留",IF(COUNTIFS(請求記録!$B$6:$B$3005,$A15,請求記録!$Z$6:$Z$3005,I$5)=0,"",SUMIFS(請求記録!$AE$6:$AE$3005,請求記録!$B$6:$B$3005,$A15,請求記録!$Z$6:$Z$3005,I$5))))</f>
        <v/>
      </c>
      <c r="J15" s="19">
        <f>IF($A15="","",IF(COUNTIFS(請求記録!$B$6:$B$3005,$A15,請求記録!$Z$6:$Z$3005,J$5,請求記録!$AF$6:$AF$3005,"保留中")&gt;0,"保留",IF(COUNTIFS(請求記録!$B$6:$B$3005,$A15,請求記録!$Z$6:$Z$3005,J$5)=0,"",SUMIFS(請求記録!$AE$6:$AE$3005,請求記録!$B$6:$B$3005,$A15,請求記録!$Z$6:$Z$3005,J$5))))</f>
        <v/>
      </c>
      <c r="K15" s="19">
        <f>IF($A15="","",IF(COUNTIFS(請求記録!$B$6:$B$3005,$A15,請求記録!$Z$6:$Z$3005,K$5,請求記録!$AF$6:$AF$3005,"保留中")&gt;0,"保留",IF(COUNTIFS(請求記録!$B$6:$B$3005,$A15,請求記録!$Z$6:$Z$3005,K$5)=0,"",SUMIFS(請求記録!$AE$6:$AE$3005,請求記録!$B$6:$B$3005,$A15,請求記録!$Z$6:$Z$3005,K$5))))</f>
        <v/>
      </c>
      <c r="L15" s="19">
        <f>IF($A15="","",IF(COUNTIFS(請求記録!$B$6:$B$3005,$A15,請求記録!$Z$6:$Z$3005,L$5,請求記録!$AF$6:$AF$3005,"保留中")&gt;0,"保留",IF(COUNTIFS(請求記録!$B$6:$B$3005,$A15,請求記録!$Z$6:$Z$3005,L$5)=0,"",SUMIFS(請求記録!$AE$6:$AE$3005,請求記録!$B$6:$B$3005,$A15,請求記録!$Z$6:$Z$3005,L$5))))</f>
        <v/>
      </c>
      <c r="M15" s="19">
        <f>IF($A15="","",IF(COUNTIFS(請求記録!$B$6:$B$3005,$A15,請求記録!$Z$6:$Z$3005,M$5,請求記録!$AF$6:$AF$3005,"保留中")&gt;0,"保留",IF(COUNTIFS(請求記録!$B$6:$B$3005,$A15,請求記録!$Z$6:$Z$3005,M$5)=0,"",SUMIFS(請求記録!$AE$6:$AE$3005,請求記録!$B$6:$B$3005,$A15,請求記録!$Z$6:$Z$3005,M$5))))</f>
        <v/>
      </c>
      <c r="N15" s="19">
        <f>IF($A15="","",IF(COUNTIFS(請求記録!$B$6:$B$3005,$A15,請求記録!$Z$6:$Z$3005,N$5,請求記録!$AF$6:$AF$3005,"保留中")&gt;0,"保留",IF(COUNTIFS(請求記録!$B$6:$B$3005,$A15,請求記録!$Z$6:$Z$3005,N$5)=0,"",SUMIFS(請求記録!$AE$6:$AE$3005,請求記録!$B$6:$B$3005,$A15,請求記録!$Z$6:$Z$3005,N$5))))</f>
        <v/>
      </c>
      <c r="O15" s="19">
        <f>IF($A15="","",IF(COUNTIFS(請求記録!$B$6:$B$3005,$A15,請求記録!$Z$6:$Z$3005,O$5,請求記録!$AF$6:$AF$3005,"保留中")&gt;0,"保留",IF(COUNTIFS(請求記録!$B$6:$B$3005,$A15,請求記録!$Z$6:$Z$3005,O$5)=0,"",SUMIFS(請求記録!$AE$6:$AE$3005,請求記録!$B$6:$B$3005,$A15,請求記録!$Z$6:$Z$3005,O$5))))</f>
        <v/>
      </c>
      <c r="P15" s="19">
        <f>IF($A15="","",IF(COUNTIFS(請求記録!$B$6:$B$3005,$A15,請求記録!$Z$6:$Z$3005,P$5,請求記録!$AF$6:$AF$3005,"保留中")&gt;0,"保留",IF(COUNTIFS(請求記録!$B$6:$B$3005,$A15,請求記録!$Z$6:$Z$3005,P$5)=0,"",SUMIFS(請求記録!$AE$6:$AE$3005,請求記録!$B$6:$B$3005,$A15,請求記録!$Z$6:$Z$3005,P$5))))</f>
        <v/>
      </c>
      <c r="Q15" s="19">
        <f>IF($A15="","",IF(COUNTIFS(請求記録!$B$6:$B$3005,$A15,請求記録!$Z$6:$Z$3005,Q$5,請求記録!$AF$6:$AF$3005,"保留中")&gt;0,"保留",IF(COUNTIFS(請求記録!$B$6:$B$3005,$A15,請求記録!$Z$6:$Z$3005,Q$5)=0,"",SUMIFS(請求記録!$AE$6:$AE$3005,請求記録!$B$6:$B$3005,$A15,請求記録!$Z$6:$Z$3005,Q$5))))</f>
        <v/>
      </c>
      <c r="R15" s="19">
        <f>IF($A15="","",IF(COUNTIFS(請求記録!$B$6:$B$3005,$A15,請求記録!$Z$6:$Z$3005,R$5,請求記録!$AF$6:$AF$3005,"保留中")&gt;0,"保留",IF(COUNTIFS(請求記録!$B$6:$B$3005,$A15,請求記録!$Z$6:$Z$3005,R$5)=0,"",SUMIFS(請求記録!$AE$6:$AE$3005,請求記録!$B$6:$B$3005,$A15,請求記録!$Z$6:$Z$3005,R$5))))</f>
        <v/>
      </c>
      <c r="S15" s="19">
        <f>IF($A15="","",IF(COUNTIFS(請求記録!$B$6:$B$3005,$A15,請求記録!$Z$6:$Z$3005,S$5,請求記録!$AF$6:$AF$3005,"保留中")&gt;0,"保留",IF(COUNTIFS(請求記録!$B$6:$B$3005,$A15,請求記録!$Z$6:$Z$3005,S$5)=0,"",SUMIFS(請求記録!$AE$6:$AE$3005,請求記録!$B$6:$B$3005,$A15,請求記録!$Z$6:$Z$3005,S$5))))</f>
        <v/>
      </c>
      <c r="T15" s="19">
        <f>IF($A15="","",IF(COUNTIFS(請求記録!$B$6:$B$3005,$A15,請求記録!$Z$6:$Z$3005,T$5,請求記録!$AF$6:$AF$3005,"保留中")&gt;0,"保留",IF(COUNTIFS(請求記録!$B$6:$B$3005,$A15,請求記録!$Z$6:$Z$3005,T$5)=0,"",SUMIFS(請求記録!$AE$6:$AE$3005,請求記録!$B$6:$B$3005,$A15,請求記録!$Z$6:$Z$3005,T$5))))</f>
        <v/>
      </c>
      <c r="U15" s="19">
        <f>IF($A15="","",IF(COUNTIFS(請求記録!$B$6:$B$3005,$A15,請求記録!$Z$6:$Z$3005,U$5,請求記録!$AF$6:$AF$3005,"保留中")&gt;0,"保留",IF(COUNTIFS(請求記録!$B$6:$B$3005,$A15,請求記録!$Z$6:$Z$3005,U$5)=0,"",SUMIFS(請求記録!$AE$6:$AE$3005,請求記録!$B$6:$B$3005,$A15,請求記録!$Z$6:$Z$3005,U$5))))</f>
        <v/>
      </c>
      <c r="V15" s="19">
        <f>IF($A15="","",IF(COUNTIFS(請求記録!$B$6:$B$3005,$A15,請求記録!$Z$6:$Z$3005,V$5,請求記録!$AF$6:$AF$3005,"保留中")&gt;0,"保留",IF(COUNTIFS(請求記録!$B$6:$B$3005,$A15,請求記録!$Z$6:$Z$3005,V$5)=0,"",SUMIFS(請求記録!$AE$6:$AE$3005,請求記録!$B$6:$B$3005,$A15,請求記録!$Z$6:$Z$3005,V$5))))</f>
        <v/>
      </c>
      <c r="W15" s="19">
        <f>IF($A15="","",IF(COUNTIFS(請求記録!$B$6:$B$3005,$A15,請求記録!$Z$6:$Z$3005,W$5,請求記録!$AF$6:$AF$3005,"保留中")&gt;0,"保留",IF(COUNTIFS(請求記録!$B$6:$B$3005,$A15,請求記録!$Z$6:$Z$3005,W$5)=0,"",SUMIFS(請求記録!$AE$6:$AE$3005,請求記録!$B$6:$B$3005,$A15,請求記録!$Z$6:$Z$3005,W$5))))</f>
        <v/>
      </c>
      <c r="X15" s="19">
        <f>IF($A15="","",IF(COUNTIFS(請求記録!$B$6:$B$3005,$A15,請求記録!$Z$6:$Z$3005,X$5,請求記録!$AF$6:$AF$3005,"保留中")&gt;0,"保留",IF(COUNTIFS(請求記録!$B$6:$B$3005,$A15,請求記録!$Z$6:$Z$3005,X$5)=0,"",SUMIFS(請求記録!$AE$6:$AE$3005,請求記録!$B$6:$B$3005,$A15,請求記録!$Z$6:$Z$3005,X$5))))</f>
        <v/>
      </c>
      <c r="Y15" s="19">
        <f>IF($A15="","",IF(COUNTIFS(請求記録!$B$6:$B$3005,$A15,請求記録!$Z$6:$Z$3005,Y$5,請求記録!$AF$6:$AF$3005,"保留中")&gt;0,"保留",IF(COUNTIFS(請求記録!$B$6:$B$3005,$A15,請求記録!$Z$6:$Z$3005,Y$5)=0,"",SUMIFS(請求記録!$AE$6:$AE$3005,請求記録!$B$6:$B$3005,$A15,請求記録!$Z$6:$Z$3005,Y$5))))</f>
        <v/>
      </c>
      <c r="Z15" s="19">
        <f>IF($A15="","",IF(COUNTIFS(請求記録!$B$6:$B$3005,$A15,請求記録!$Z$6:$Z$3005,Z$5,請求記録!$AF$6:$AF$3005,"保留中")&gt;0,"保留",IF(COUNTIFS(請求記録!$B$6:$B$3005,$A15,請求記録!$Z$6:$Z$3005,Z$5)=0,"",SUMIFS(請求記録!$AE$6:$AE$3005,請求記録!$B$6:$B$3005,$A15,請求記録!$Z$6:$Z$3005,Z$5))))</f>
        <v/>
      </c>
      <c r="AA15" s="19">
        <f>IF($A15="","",IF(COUNTIFS(請求記録!$B$6:$B$3005,$A15,請求記録!$Z$6:$Z$3005,AA$5,請求記録!$AF$6:$AF$3005,"保留中")&gt;0,"保留",IF(COUNTIFS(請求記録!$B$6:$B$3005,$A15,請求記録!$Z$6:$Z$3005,AA$5)=0,"",SUMIFS(請求記録!$AE$6:$AE$3005,請求記録!$B$6:$B$3005,$A15,請求記録!$Z$6:$Z$3005,AA$5))))</f>
        <v/>
      </c>
      <c r="AB15">
        <f>IF(職員マスタ!P15="保留中",職員マスタ!M15,"")</f>
        <v/>
      </c>
    </row>
    <row r="16">
      <c r="A16">
        <f>IF(職員マスタ!A16="","",職員マスタ!A16)</f>
        <v/>
      </c>
      <c r="B16">
        <f>IF($A16="","",職員マスタ!B16)</f>
        <v/>
      </c>
      <c r="C16">
        <f>IF($A16="","",職員マスタ!C16)</f>
        <v/>
      </c>
      <c r="D16" s="19">
        <f>IF($A16="","",IF(COUNTIFS(請求記録!$B$6:$B$3005,$A16,請求記録!$Z$6:$Z$3005,D$5,請求記録!$AF$6:$AF$3005,"保留中")&gt;0,"保留",IF(COUNTIFS(請求記録!$B$6:$B$3005,$A16,請求記録!$Z$6:$Z$3005,D$5)=0,"",SUMIFS(請求記録!$AE$6:$AE$3005,請求記録!$B$6:$B$3005,$A16,請求記録!$Z$6:$Z$3005,D$5))))</f>
        <v/>
      </c>
      <c r="E16" s="19">
        <f>IF($A16="","",IF(COUNTIFS(請求記録!$B$6:$B$3005,$A16,請求記録!$Z$6:$Z$3005,E$5,請求記録!$AF$6:$AF$3005,"保留中")&gt;0,"保留",IF(COUNTIFS(請求記録!$B$6:$B$3005,$A16,請求記録!$Z$6:$Z$3005,E$5)=0,"",SUMIFS(請求記録!$AE$6:$AE$3005,請求記録!$B$6:$B$3005,$A16,請求記録!$Z$6:$Z$3005,E$5))))</f>
        <v/>
      </c>
      <c r="F16" s="19">
        <f>IF($A16="","",IF(COUNTIFS(請求記録!$B$6:$B$3005,$A16,請求記録!$Z$6:$Z$3005,F$5,請求記録!$AF$6:$AF$3005,"保留中")&gt;0,"保留",IF(COUNTIFS(請求記録!$B$6:$B$3005,$A16,請求記録!$Z$6:$Z$3005,F$5)=0,"",SUMIFS(請求記録!$AE$6:$AE$3005,請求記録!$B$6:$B$3005,$A16,請求記録!$Z$6:$Z$3005,F$5))))</f>
        <v/>
      </c>
      <c r="G16" s="19">
        <f>IF($A16="","",IF(COUNTIFS(請求記録!$B$6:$B$3005,$A16,請求記録!$Z$6:$Z$3005,G$5,請求記録!$AF$6:$AF$3005,"保留中")&gt;0,"保留",IF(COUNTIFS(請求記録!$B$6:$B$3005,$A16,請求記録!$Z$6:$Z$3005,G$5)=0,"",SUMIFS(請求記録!$AE$6:$AE$3005,請求記録!$B$6:$B$3005,$A16,請求記録!$Z$6:$Z$3005,G$5))))</f>
        <v/>
      </c>
      <c r="H16" s="19">
        <f>IF($A16="","",IF(COUNTIFS(請求記録!$B$6:$B$3005,$A16,請求記録!$Z$6:$Z$3005,H$5,請求記録!$AF$6:$AF$3005,"保留中")&gt;0,"保留",IF(COUNTIFS(請求記録!$B$6:$B$3005,$A16,請求記録!$Z$6:$Z$3005,H$5)=0,"",SUMIFS(請求記録!$AE$6:$AE$3005,請求記録!$B$6:$B$3005,$A16,請求記録!$Z$6:$Z$3005,H$5))))</f>
        <v/>
      </c>
      <c r="I16" s="19">
        <f>IF($A16="","",IF(COUNTIFS(請求記録!$B$6:$B$3005,$A16,請求記録!$Z$6:$Z$3005,I$5,請求記録!$AF$6:$AF$3005,"保留中")&gt;0,"保留",IF(COUNTIFS(請求記録!$B$6:$B$3005,$A16,請求記録!$Z$6:$Z$3005,I$5)=0,"",SUMIFS(請求記録!$AE$6:$AE$3005,請求記録!$B$6:$B$3005,$A16,請求記録!$Z$6:$Z$3005,I$5))))</f>
        <v/>
      </c>
      <c r="J16" s="19">
        <f>IF($A16="","",IF(COUNTIFS(請求記録!$B$6:$B$3005,$A16,請求記録!$Z$6:$Z$3005,J$5,請求記録!$AF$6:$AF$3005,"保留中")&gt;0,"保留",IF(COUNTIFS(請求記録!$B$6:$B$3005,$A16,請求記録!$Z$6:$Z$3005,J$5)=0,"",SUMIFS(請求記録!$AE$6:$AE$3005,請求記録!$B$6:$B$3005,$A16,請求記録!$Z$6:$Z$3005,J$5))))</f>
        <v/>
      </c>
      <c r="K16" s="19">
        <f>IF($A16="","",IF(COUNTIFS(請求記録!$B$6:$B$3005,$A16,請求記録!$Z$6:$Z$3005,K$5,請求記録!$AF$6:$AF$3005,"保留中")&gt;0,"保留",IF(COUNTIFS(請求記録!$B$6:$B$3005,$A16,請求記録!$Z$6:$Z$3005,K$5)=0,"",SUMIFS(請求記録!$AE$6:$AE$3005,請求記録!$B$6:$B$3005,$A16,請求記録!$Z$6:$Z$3005,K$5))))</f>
        <v/>
      </c>
      <c r="L16" s="19">
        <f>IF($A16="","",IF(COUNTIFS(請求記録!$B$6:$B$3005,$A16,請求記録!$Z$6:$Z$3005,L$5,請求記録!$AF$6:$AF$3005,"保留中")&gt;0,"保留",IF(COUNTIFS(請求記録!$B$6:$B$3005,$A16,請求記録!$Z$6:$Z$3005,L$5)=0,"",SUMIFS(請求記録!$AE$6:$AE$3005,請求記録!$B$6:$B$3005,$A16,請求記録!$Z$6:$Z$3005,L$5))))</f>
        <v/>
      </c>
      <c r="M16" s="19">
        <f>IF($A16="","",IF(COUNTIFS(請求記録!$B$6:$B$3005,$A16,請求記録!$Z$6:$Z$3005,M$5,請求記録!$AF$6:$AF$3005,"保留中")&gt;0,"保留",IF(COUNTIFS(請求記録!$B$6:$B$3005,$A16,請求記録!$Z$6:$Z$3005,M$5)=0,"",SUMIFS(請求記録!$AE$6:$AE$3005,請求記録!$B$6:$B$3005,$A16,請求記録!$Z$6:$Z$3005,M$5))))</f>
        <v/>
      </c>
      <c r="N16" s="19">
        <f>IF($A16="","",IF(COUNTIFS(請求記録!$B$6:$B$3005,$A16,請求記録!$Z$6:$Z$3005,N$5,請求記録!$AF$6:$AF$3005,"保留中")&gt;0,"保留",IF(COUNTIFS(請求記録!$B$6:$B$3005,$A16,請求記録!$Z$6:$Z$3005,N$5)=0,"",SUMIFS(請求記録!$AE$6:$AE$3005,請求記録!$B$6:$B$3005,$A16,請求記録!$Z$6:$Z$3005,N$5))))</f>
        <v/>
      </c>
      <c r="O16" s="19">
        <f>IF($A16="","",IF(COUNTIFS(請求記録!$B$6:$B$3005,$A16,請求記録!$Z$6:$Z$3005,O$5,請求記録!$AF$6:$AF$3005,"保留中")&gt;0,"保留",IF(COUNTIFS(請求記録!$B$6:$B$3005,$A16,請求記録!$Z$6:$Z$3005,O$5)=0,"",SUMIFS(請求記録!$AE$6:$AE$3005,請求記録!$B$6:$B$3005,$A16,請求記録!$Z$6:$Z$3005,O$5))))</f>
        <v/>
      </c>
      <c r="P16" s="19">
        <f>IF($A16="","",IF(COUNTIFS(請求記録!$B$6:$B$3005,$A16,請求記録!$Z$6:$Z$3005,P$5,請求記録!$AF$6:$AF$3005,"保留中")&gt;0,"保留",IF(COUNTIFS(請求記録!$B$6:$B$3005,$A16,請求記録!$Z$6:$Z$3005,P$5)=0,"",SUMIFS(請求記録!$AE$6:$AE$3005,請求記録!$B$6:$B$3005,$A16,請求記録!$Z$6:$Z$3005,P$5))))</f>
        <v/>
      </c>
      <c r="Q16" s="19">
        <f>IF($A16="","",IF(COUNTIFS(請求記録!$B$6:$B$3005,$A16,請求記録!$Z$6:$Z$3005,Q$5,請求記録!$AF$6:$AF$3005,"保留中")&gt;0,"保留",IF(COUNTIFS(請求記録!$B$6:$B$3005,$A16,請求記録!$Z$6:$Z$3005,Q$5)=0,"",SUMIFS(請求記録!$AE$6:$AE$3005,請求記録!$B$6:$B$3005,$A16,請求記録!$Z$6:$Z$3005,Q$5))))</f>
        <v/>
      </c>
      <c r="R16" s="19">
        <f>IF($A16="","",IF(COUNTIFS(請求記録!$B$6:$B$3005,$A16,請求記録!$Z$6:$Z$3005,R$5,請求記録!$AF$6:$AF$3005,"保留中")&gt;0,"保留",IF(COUNTIFS(請求記録!$B$6:$B$3005,$A16,請求記録!$Z$6:$Z$3005,R$5)=0,"",SUMIFS(請求記録!$AE$6:$AE$3005,請求記録!$B$6:$B$3005,$A16,請求記録!$Z$6:$Z$3005,R$5))))</f>
        <v/>
      </c>
      <c r="S16" s="19">
        <f>IF($A16="","",IF(COUNTIFS(請求記録!$B$6:$B$3005,$A16,請求記録!$Z$6:$Z$3005,S$5,請求記録!$AF$6:$AF$3005,"保留中")&gt;0,"保留",IF(COUNTIFS(請求記録!$B$6:$B$3005,$A16,請求記録!$Z$6:$Z$3005,S$5)=0,"",SUMIFS(請求記録!$AE$6:$AE$3005,請求記録!$B$6:$B$3005,$A16,請求記録!$Z$6:$Z$3005,S$5))))</f>
        <v/>
      </c>
      <c r="T16" s="19">
        <f>IF($A16="","",IF(COUNTIFS(請求記録!$B$6:$B$3005,$A16,請求記録!$Z$6:$Z$3005,T$5,請求記録!$AF$6:$AF$3005,"保留中")&gt;0,"保留",IF(COUNTIFS(請求記録!$B$6:$B$3005,$A16,請求記録!$Z$6:$Z$3005,T$5)=0,"",SUMIFS(請求記録!$AE$6:$AE$3005,請求記録!$B$6:$B$3005,$A16,請求記録!$Z$6:$Z$3005,T$5))))</f>
        <v/>
      </c>
      <c r="U16" s="19">
        <f>IF($A16="","",IF(COUNTIFS(請求記録!$B$6:$B$3005,$A16,請求記録!$Z$6:$Z$3005,U$5,請求記録!$AF$6:$AF$3005,"保留中")&gt;0,"保留",IF(COUNTIFS(請求記録!$B$6:$B$3005,$A16,請求記録!$Z$6:$Z$3005,U$5)=0,"",SUMIFS(請求記録!$AE$6:$AE$3005,請求記録!$B$6:$B$3005,$A16,請求記録!$Z$6:$Z$3005,U$5))))</f>
        <v/>
      </c>
      <c r="V16" s="19">
        <f>IF($A16="","",IF(COUNTIFS(請求記録!$B$6:$B$3005,$A16,請求記録!$Z$6:$Z$3005,V$5,請求記録!$AF$6:$AF$3005,"保留中")&gt;0,"保留",IF(COUNTIFS(請求記録!$B$6:$B$3005,$A16,請求記録!$Z$6:$Z$3005,V$5)=0,"",SUMIFS(請求記録!$AE$6:$AE$3005,請求記録!$B$6:$B$3005,$A16,請求記録!$Z$6:$Z$3005,V$5))))</f>
        <v/>
      </c>
      <c r="W16" s="19">
        <f>IF($A16="","",IF(COUNTIFS(請求記録!$B$6:$B$3005,$A16,請求記録!$Z$6:$Z$3005,W$5,請求記録!$AF$6:$AF$3005,"保留中")&gt;0,"保留",IF(COUNTIFS(請求記録!$B$6:$B$3005,$A16,請求記録!$Z$6:$Z$3005,W$5)=0,"",SUMIFS(請求記録!$AE$6:$AE$3005,請求記録!$B$6:$B$3005,$A16,請求記録!$Z$6:$Z$3005,W$5))))</f>
        <v/>
      </c>
      <c r="X16" s="19">
        <f>IF($A16="","",IF(COUNTIFS(請求記録!$B$6:$B$3005,$A16,請求記録!$Z$6:$Z$3005,X$5,請求記録!$AF$6:$AF$3005,"保留中")&gt;0,"保留",IF(COUNTIFS(請求記録!$B$6:$B$3005,$A16,請求記録!$Z$6:$Z$3005,X$5)=0,"",SUMIFS(請求記録!$AE$6:$AE$3005,請求記録!$B$6:$B$3005,$A16,請求記録!$Z$6:$Z$3005,X$5))))</f>
        <v/>
      </c>
      <c r="Y16" s="19">
        <f>IF($A16="","",IF(COUNTIFS(請求記録!$B$6:$B$3005,$A16,請求記録!$Z$6:$Z$3005,Y$5,請求記録!$AF$6:$AF$3005,"保留中")&gt;0,"保留",IF(COUNTIFS(請求記録!$B$6:$B$3005,$A16,請求記録!$Z$6:$Z$3005,Y$5)=0,"",SUMIFS(請求記録!$AE$6:$AE$3005,請求記録!$B$6:$B$3005,$A16,請求記録!$Z$6:$Z$3005,Y$5))))</f>
        <v/>
      </c>
      <c r="Z16" s="19">
        <f>IF($A16="","",IF(COUNTIFS(請求記録!$B$6:$B$3005,$A16,請求記録!$Z$6:$Z$3005,Z$5,請求記録!$AF$6:$AF$3005,"保留中")&gt;0,"保留",IF(COUNTIFS(請求記録!$B$6:$B$3005,$A16,請求記録!$Z$6:$Z$3005,Z$5)=0,"",SUMIFS(請求記録!$AE$6:$AE$3005,請求記録!$B$6:$B$3005,$A16,請求記録!$Z$6:$Z$3005,Z$5))))</f>
        <v/>
      </c>
      <c r="AA16" s="19">
        <f>IF($A16="","",IF(COUNTIFS(請求記録!$B$6:$B$3005,$A16,請求記録!$Z$6:$Z$3005,AA$5,請求記録!$AF$6:$AF$3005,"保留中")&gt;0,"保留",IF(COUNTIFS(請求記録!$B$6:$B$3005,$A16,請求記録!$Z$6:$Z$3005,AA$5)=0,"",SUMIFS(請求記録!$AE$6:$AE$3005,請求記録!$B$6:$B$3005,$A16,請求記録!$Z$6:$Z$3005,AA$5))))</f>
        <v/>
      </c>
      <c r="AB16">
        <f>IF(職員マスタ!P16="保留中",職員マスタ!M16,"")</f>
        <v/>
      </c>
    </row>
    <row r="17">
      <c r="A17">
        <f>IF(職員マスタ!A17="","",職員マスタ!A17)</f>
        <v/>
      </c>
      <c r="B17">
        <f>IF($A17="","",職員マスタ!B17)</f>
        <v/>
      </c>
      <c r="C17">
        <f>IF($A17="","",職員マスタ!C17)</f>
        <v/>
      </c>
      <c r="D17" s="19">
        <f>IF($A17="","",IF(COUNTIFS(請求記録!$B$6:$B$3005,$A17,請求記録!$Z$6:$Z$3005,D$5,請求記録!$AF$6:$AF$3005,"保留中")&gt;0,"保留",IF(COUNTIFS(請求記録!$B$6:$B$3005,$A17,請求記録!$Z$6:$Z$3005,D$5)=0,"",SUMIFS(請求記録!$AE$6:$AE$3005,請求記録!$B$6:$B$3005,$A17,請求記録!$Z$6:$Z$3005,D$5))))</f>
        <v/>
      </c>
      <c r="E17" s="19">
        <f>IF($A17="","",IF(COUNTIFS(請求記録!$B$6:$B$3005,$A17,請求記録!$Z$6:$Z$3005,E$5,請求記録!$AF$6:$AF$3005,"保留中")&gt;0,"保留",IF(COUNTIFS(請求記録!$B$6:$B$3005,$A17,請求記録!$Z$6:$Z$3005,E$5)=0,"",SUMIFS(請求記録!$AE$6:$AE$3005,請求記録!$B$6:$B$3005,$A17,請求記録!$Z$6:$Z$3005,E$5))))</f>
        <v/>
      </c>
      <c r="F17" s="19">
        <f>IF($A17="","",IF(COUNTIFS(請求記録!$B$6:$B$3005,$A17,請求記録!$Z$6:$Z$3005,F$5,請求記録!$AF$6:$AF$3005,"保留中")&gt;0,"保留",IF(COUNTIFS(請求記録!$B$6:$B$3005,$A17,請求記録!$Z$6:$Z$3005,F$5)=0,"",SUMIFS(請求記録!$AE$6:$AE$3005,請求記録!$B$6:$B$3005,$A17,請求記録!$Z$6:$Z$3005,F$5))))</f>
        <v/>
      </c>
      <c r="G17" s="19">
        <f>IF($A17="","",IF(COUNTIFS(請求記録!$B$6:$B$3005,$A17,請求記録!$Z$6:$Z$3005,G$5,請求記録!$AF$6:$AF$3005,"保留中")&gt;0,"保留",IF(COUNTIFS(請求記録!$B$6:$B$3005,$A17,請求記録!$Z$6:$Z$3005,G$5)=0,"",SUMIFS(請求記録!$AE$6:$AE$3005,請求記録!$B$6:$B$3005,$A17,請求記録!$Z$6:$Z$3005,G$5))))</f>
        <v/>
      </c>
      <c r="H17" s="19">
        <f>IF($A17="","",IF(COUNTIFS(請求記録!$B$6:$B$3005,$A17,請求記録!$Z$6:$Z$3005,H$5,請求記録!$AF$6:$AF$3005,"保留中")&gt;0,"保留",IF(COUNTIFS(請求記録!$B$6:$B$3005,$A17,請求記録!$Z$6:$Z$3005,H$5)=0,"",SUMIFS(請求記録!$AE$6:$AE$3005,請求記録!$B$6:$B$3005,$A17,請求記録!$Z$6:$Z$3005,H$5))))</f>
        <v/>
      </c>
      <c r="I17" s="19">
        <f>IF($A17="","",IF(COUNTIFS(請求記録!$B$6:$B$3005,$A17,請求記録!$Z$6:$Z$3005,I$5,請求記録!$AF$6:$AF$3005,"保留中")&gt;0,"保留",IF(COUNTIFS(請求記録!$B$6:$B$3005,$A17,請求記録!$Z$6:$Z$3005,I$5)=0,"",SUMIFS(請求記録!$AE$6:$AE$3005,請求記録!$B$6:$B$3005,$A17,請求記録!$Z$6:$Z$3005,I$5))))</f>
        <v/>
      </c>
      <c r="J17" s="19">
        <f>IF($A17="","",IF(COUNTIFS(請求記録!$B$6:$B$3005,$A17,請求記録!$Z$6:$Z$3005,J$5,請求記録!$AF$6:$AF$3005,"保留中")&gt;0,"保留",IF(COUNTIFS(請求記録!$B$6:$B$3005,$A17,請求記録!$Z$6:$Z$3005,J$5)=0,"",SUMIFS(請求記録!$AE$6:$AE$3005,請求記録!$B$6:$B$3005,$A17,請求記録!$Z$6:$Z$3005,J$5))))</f>
        <v/>
      </c>
      <c r="K17" s="19">
        <f>IF($A17="","",IF(COUNTIFS(請求記録!$B$6:$B$3005,$A17,請求記録!$Z$6:$Z$3005,K$5,請求記録!$AF$6:$AF$3005,"保留中")&gt;0,"保留",IF(COUNTIFS(請求記録!$B$6:$B$3005,$A17,請求記録!$Z$6:$Z$3005,K$5)=0,"",SUMIFS(請求記録!$AE$6:$AE$3005,請求記録!$B$6:$B$3005,$A17,請求記録!$Z$6:$Z$3005,K$5))))</f>
        <v/>
      </c>
      <c r="L17" s="19">
        <f>IF($A17="","",IF(COUNTIFS(請求記録!$B$6:$B$3005,$A17,請求記録!$Z$6:$Z$3005,L$5,請求記録!$AF$6:$AF$3005,"保留中")&gt;0,"保留",IF(COUNTIFS(請求記録!$B$6:$B$3005,$A17,請求記録!$Z$6:$Z$3005,L$5)=0,"",SUMIFS(請求記録!$AE$6:$AE$3005,請求記録!$B$6:$B$3005,$A17,請求記録!$Z$6:$Z$3005,L$5))))</f>
        <v/>
      </c>
      <c r="M17" s="19">
        <f>IF($A17="","",IF(COUNTIFS(請求記録!$B$6:$B$3005,$A17,請求記録!$Z$6:$Z$3005,M$5,請求記録!$AF$6:$AF$3005,"保留中")&gt;0,"保留",IF(COUNTIFS(請求記録!$B$6:$B$3005,$A17,請求記録!$Z$6:$Z$3005,M$5)=0,"",SUMIFS(請求記録!$AE$6:$AE$3005,請求記録!$B$6:$B$3005,$A17,請求記録!$Z$6:$Z$3005,M$5))))</f>
        <v/>
      </c>
      <c r="N17" s="19">
        <f>IF($A17="","",IF(COUNTIFS(請求記録!$B$6:$B$3005,$A17,請求記録!$Z$6:$Z$3005,N$5,請求記録!$AF$6:$AF$3005,"保留中")&gt;0,"保留",IF(COUNTIFS(請求記録!$B$6:$B$3005,$A17,請求記録!$Z$6:$Z$3005,N$5)=0,"",SUMIFS(請求記録!$AE$6:$AE$3005,請求記録!$B$6:$B$3005,$A17,請求記録!$Z$6:$Z$3005,N$5))))</f>
        <v/>
      </c>
      <c r="O17" s="19">
        <f>IF($A17="","",IF(COUNTIFS(請求記録!$B$6:$B$3005,$A17,請求記録!$Z$6:$Z$3005,O$5,請求記録!$AF$6:$AF$3005,"保留中")&gt;0,"保留",IF(COUNTIFS(請求記録!$B$6:$B$3005,$A17,請求記録!$Z$6:$Z$3005,O$5)=0,"",SUMIFS(請求記録!$AE$6:$AE$3005,請求記録!$B$6:$B$3005,$A17,請求記録!$Z$6:$Z$3005,O$5))))</f>
        <v/>
      </c>
      <c r="P17" s="19">
        <f>IF($A17="","",IF(COUNTIFS(請求記録!$B$6:$B$3005,$A17,請求記録!$Z$6:$Z$3005,P$5,請求記録!$AF$6:$AF$3005,"保留中")&gt;0,"保留",IF(COUNTIFS(請求記録!$B$6:$B$3005,$A17,請求記録!$Z$6:$Z$3005,P$5)=0,"",SUMIFS(請求記録!$AE$6:$AE$3005,請求記録!$B$6:$B$3005,$A17,請求記録!$Z$6:$Z$3005,P$5))))</f>
        <v/>
      </c>
      <c r="Q17" s="19">
        <f>IF($A17="","",IF(COUNTIFS(請求記録!$B$6:$B$3005,$A17,請求記録!$Z$6:$Z$3005,Q$5,請求記録!$AF$6:$AF$3005,"保留中")&gt;0,"保留",IF(COUNTIFS(請求記録!$B$6:$B$3005,$A17,請求記録!$Z$6:$Z$3005,Q$5)=0,"",SUMIFS(請求記録!$AE$6:$AE$3005,請求記録!$B$6:$B$3005,$A17,請求記録!$Z$6:$Z$3005,Q$5))))</f>
        <v/>
      </c>
      <c r="R17" s="19">
        <f>IF($A17="","",IF(COUNTIFS(請求記録!$B$6:$B$3005,$A17,請求記録!$Z$6:$Z$3005,R$5,請求記録!$AF$6:$AF$3005,"保留中")&gt;0,"保留",IF(COUNTIFS(請求記録!$B$6:$B$3005,$A17,請求記録!$Z$6:$Z$3005,R$5)=0,"",SUMIFS(請求記録!$AE$6:$AE$3005,請求記録!$B$6:$B$3005,$A17,請求記録!$Z$6:$Z$3005,R$5))))</f>
        <v/>
      </c>
      <c r="S17" s="19">
        <f>IF($A17="","",IF(COUNTIFS(請求記録!$B$6:$B$3005,$A17,請求記録!$Z$6:$Z$3005,S$5,請求記録!$AF$6:$AF$3005,"保留中")&gt;0,"保留",IF(COUNTIFS(請求記録!$B$6:$B$3005,$A17,請求記録!$Z$6:$Z$3005,S$5)=0,"",SUMIFS(請求記録!$AE$6:$AE$3005,請求記録!$B$6:$B$3005,$A17,請求記録!$Z$6:$Z$3005,S$5))))</f>
        <v/>
      </c>
      <c r="T17" s="19">
        <f>IF($A17="","",IF(COUNTIFS(請求記録!$B$6:$B$3005,$A17,請求記録!$Z$6:$Z$3005,T$5,請求記録!$AF$6:$AF$3005,"保留中")&gt;0,"保留",IF(COUNTIFS(請求記録!$B$6:$B$3005,$A17,請求記録!$Z$6:$Z$3005,T$5)=0,"",SUMIFS(請求記録!$AE$6:$AE$3005,請求記録!$B$6:$B$3005,$A17,請求記録!$Z$6:$Z$3005,T$5))))</f>
        <v/>
      </c>
      <c r="U17" s="19">
        <f>IF($A17="","",IF(COUNTIFS(請求記録!$B$6:$B$3005,$A17,請求記録!$Z$6:$Z$3005,U$5,請求記録!$AF$6:$AF$3005,"保留中")&gt;0,"保留",IF(COUNTIFS(請求記録!$B$6:$B$3005,$A17,請求記録!$Z$6:$Z$3005,U$5)=0,"",SUMIFS(請求記録!$AE$6:$AE$3005,請求記録!$B$6:$B$3005,$A17,請求記録!$Z$6:$Z$3005,U$5))))</f>
        <v/>
      </c>
      <c r="V17" s="19">
        <f>IF($A17="","",IF(COUNTIFS(請求記録!$B$6:$B$3005,$A17,請求記録!$Z$6:$Z$3005,V$5,請求記録!$AF$6:$AF$3005,"保留中")&gt;0,"保留",IF(COUNTIFS(請求記録!$B$6:$B$3005,$A17,請求記録!$Z$6:$Z$3005,V$5)=0,"",SUMIFS(請求記録!$AE$6:$AE$3005,請求記録!$B$6:$B$3005,$A17,請求記録!$Z$6:$Z$3005,V$5))))</f>
        <v/>
      </c>
      <c r="W17" s="19">
        <f>IF($A17="","",IF(COUNTIFS(請求記録!$B$6:$B$3005,$A17,請求記録!$Z$6:$Z$3005,W$5,請求記録!$AF$6:$AF$3005,"保留中")&gt;0,"保留",IF(COUNTIFS(請求記録!$B$6:$B$3005,$A17,請求記録!$Z$6:$Z$3005,W$5)=0,"",SUMIFS(請求記録!$AE$6:$AE$3005,請求記録!$B$6:$B$3005,$A17,請求記録!$Z$6:$Z$3005,W$5))))</f>
        <v/>
      </c>
      <c r="X17" s="19">
        <f>IF($A17="","",IF(COUNTIFS(請求記録!$B$6:$B$3005,$A17,請求記録!$Z$6:$Z$3005,X$5,請求記録!$AF$6:$AF$3005,"保留中")&gt;0,"保留",IF(COUNTIFS(請求記録!$B$6:$B$3005,$A17,請求記録!$Z$6:$Z$3005,X$5)=0,"",SUMIFS(請求記録!$AE$6:$AE$3005,請求記録!$B$6:$B$3005,$A17,請求記録!$Z$6:$Z$3005,X$5))))</f>
        <v/>
      </c>
      <c r="Y17" s="19">
        <f>IF($A17="","",IF(COUNTIFS(請求記録!$B$6:$B$3005,$A17,請求記録!$Z$6:$Z$3005,Y$5,請求記録!$AF$6:$AF$3005,"保留中")&gt;0,"保留",IF(COUNTIFS(請求記録!$B$6:$B$3005,$A17,請求記録!$Z$6:$Z$3005,Y$5)=0,"",SUMIFS(請求記録!$AE$6:$AE$3005,請求記録!$B$6:$B$3005,$A17,請求記録!$Z$6:$Z$3005,Y$5))))</f>
        <v/>
      </c>
      <c r="Z17" s="19">
        <f>IF($A17="","",IF(COUNTIFS(請求記録!$B$6:$B$3005,$A17,請求記録!$Z$6:$Z$3005,Z$5,請求記録!$AF$6:$AF$3005,"保留中")&gt;0,"保留",IF(COUNTIFS(請求記録!$B$6:$B$3005,$A17,請求記録!$Z$6:$Z$3005,Z$5)=0,"",SUMIFS(請求記録!$AE$6:$AE$3005,請求記録!$B$6:$B$3005,$A17,請求記録!$Z$6:$Z$3005,Z$5))))</f>
        <v/>
      </c>
      <c r="AA17" s="19">
        <f>IF($A17="","",IF(COUNTIFS(請求記録!$B$6:$B$3005,$A17,請求記録!$Z$6:$Z$3005,AA$5,請求記録!$AF$6:$AF$3005,"保留中")&gt;0,"保留",IF(COUNTIFS(請求記録!$B$6:$B$3005,$A17,請求記録!$Z$6:$Z$3005,AA$5)=0,"",SUMIFS(請求記録!$AE$6:$AE$3005,請求記録!$B$6:$B$3005,$A17,請求記録!$Z$6:$Z$3005,AA$5))))</f>
        <v/>
      </c>
      <c r="AB17">
        <f>IF(職員マスタ!P17="保留中",職員マスタ!M17,"")</f>
        <v/>
      </c>
    </row>
    <row r="18">
      <c r="A18">
        <f>IF(職員マスタ!A18="","",職員マスタ!A18)</f>
        <v/>
      </c>
      <c r="B18">
        <f>IF($A18="","",職員マスタ!B18)</f>
        <v/>
      </c>
      <c r="C18">
        <f>IF($A18="","",職員マスタ!C18)</f>
        <v/>
      </c>
      <c r="D18" s="19">
        <f>IF($A18="","",IF(COUNTIFS(請求記録!$B$6:$B$3005,$A18,請求記録!$Z$6:$Z$3005,D$5,請求記録!$AF$6:$AF$3005,"保留中")&gt;0,"保留",IF(COUNTIFS(請求記録!$B$6:$B$3005,$A18,請求記録!$Z$6:$Z$3005,D$5)=0,"",SUMIFS(請求記録!$AE$6:$AE$3005,請求記録!$B$6:$B$3005,$A18,請求記録!$Z$6:$Z$3005,D$5))))</f>
        <v/>
      </c>
      <c r="E18" s="19">
        <f>IF($A18="","",IF(COUNTIFS(請求記録!$B$6:$B$3005,$A18,請求記録!$Z$6:$Z$3005,E$5,請求記録!$AF$6:$AF$3005,"保留中")&gt;0,"保留",IF(COUNTIFS(請求記録!$B$6:$B$3005,$A18,請求記録!$Z$6:$Z$3005,E$5)=0,"",SUMIFS(請求記録!$AE$6:$AE$3005,請求記録!$B$6:$B$3005,$A18,請求記録!$Z$6:$Z$3005,E$5))))</f>
        <v/>
      </c>
      <c r="F18" s="19">
        <f>IF($A18="","",IF(COUNTIFS(請求記録!$B$6:$B$3005,$A18,請求記録!$Z$6:$Z$3005,F$5,請求記録!$AF$6:$AF$3005,"保留中")&gt;0,"保留",IF(COUNTIFS(請求記録!$B$6:$B$3005,$A18,請求記録!$Z$6:$Z$3005,F$5)=0,"",SUMIFS(請求記録!$AE$6:$AE$3005,請求記録!$B$6:$B$3005,$A18,請求記録!$Z$6:$Z$3005,F$5))))</f>
        <v/>
      </c>
      <c r="G18" s="19">
        <f>IF($A18="","",IF(COUNTIFS(請求記録!$B$6:$B$3005,$A18,請求記録!$Z$6:$Z$3005,G$5,請求記録!$AF$6:$AF$3005,"保留中")&gt;0,"保留",IF(COUNTIFS(請求記録!$B$6:$B$3005,$A18,請求記録!$Z$6:$Z$3005,G$5)=0,"",SUMIFS(請求記録!$AE$6:$AE$3005,請求記録!$B$6:$B$3005,$A18,請求記録!$Z$6:$Z$3005,G$5))))</f>
        <v/>
      </c>
      <c r="H18" s="19">
        <f>IF($A18="","",IF(COUNTIFS(請求記録!$B$6:$B$3005,$A18,請求記録!$Z$6:$Z$3005,H$5,請求記録!$AF$6:$AF$3005,"保留中")&gt;0,"保留",IF(COUNTIFS(請求記録!$B$6:$B$3005,$A18,請求記録!$Z$6:$Z$3005,H$5)=0,"",SUMIFS(請求記録!$AE$6:$AE$3005,請求記録!$B$6:$B$3005,$A18,請求記録!$Z$6:$Z$3005,H$5))))</f>
        <v/>
      </c>
      <c r="I18" s="19">
        <f>IF($A18="","",IF(COUNTIFS(請求記録!$B$6:$B$3005,$A18,請求記録!$Z$6:$Z$3005,I$5,請求記録!$AF$6:$AF$3005,"保留中")&gt;0,"保留",IF(COUNTIFS(請求記録!$B$6:$B$3005,$A18,請求記録!$Z$6:$Z$3005,I$5)=0,"",SUMIFS(請求記録!$AE$6:$AE$3005,請求記録!$B$6:$B$3005,$A18,請求記録!$Z$6:$Z$3005,I$5))))</f>
        <v/>
      </c>
      <c r="J18" s="19">
        <f>IF($A18="","",IF(COUNTIFS(請求記録!$B$6:$B$3005,$A18,請求記録!$Z$6:$Z$3005,J$5,請求記録!$AF$6:$AF$3005,"保留中")&gt;0,"保留",IF(COUNTIFS(請求記録!$B$6:$B$3005,$A18,請求記録!$Z$6:$Z$3005,J$5)=0,"",SUMIFS(請求記録!$AE$6:$AE$3005,請求記録!$B$6:$B$3005,$A18,請求記録!$Z$6:$Z$3005,J$5))))</f>
        <v/>
      </c>
      <c r="K18" s="19">
        <f>IF($A18="","",IF(COUNTIFS(請求記録!$B$6:$B$3005,$A18,請求記録!$Z$6:$Z$3005,K$5,請求記録!$AF$6:$AF$3005,"保留中")&gt;0,"保留",IF(COUNTIFS(請求記録!$B$6:$B$3005,$A18,請求記録!$Z$6:$Z$3005,K$5)=0,"",SUMIFS(請求記録!$AE$6:$AE$3005,請求記録!$B$6:$B$3005,$A18,請求記録!$Z$6:$Z$3005,K$5))))</f>
        <v/>
      </c>
      <c r="L18" s="19">
        <f>IF($A18="","",IF(COUNTIFS(請求記録!$B$6:$B$3005,$A18,請求記録!$Z$6:$Z$3005,L$5,請求記録!$AF$6:$AF$3005,"保留中")&gt;0,"保留",IF(COUNTIFS(請求記録!$B$6:$B$3005,$A18,請求記録!$Z$6:$Z$3005,L$5)=0,"",SUMIFS(請求記録!$AE$6:$AE$3005,請求記録!$B$6:$B$3005,$A18,請求記録!$Z$6:$Z$3005,L$5))))</f>
        <v/>
      </c>
      <c r="M18" s="19">
        <f>IF($A18="","",IF(COUNTIFS(請求記録!$B$6:$B$3005,$A18,請求記録!$Z$6:$Z$3005,M$5,請求記録!$AF$6:$AF$3005,"保留中")&gt;0,"保留",IF(COUNTIFS(請求記録!$B$6:$B$3005,$A18,請求記録!$Z$6:$Z$3005,M$5)=0,"",SUMIFS(請求記録!$AE$6:$AE$3005,請求記録!$B$6:$B$3005,$A18,請求記録!$Z$6:$Z$3005,M$5))))</f>
        <v/>
      </c>
      <c r="N18" s="19">
        <f>IF($A18="","",IF(COUNTIFS(請求記録!$B$6:$B$3005,$A18,請求記録!$Z$6:$Z$3005,N$5,請求記録!$AF$6:$AF$3005,"保留中")&gt;0,"保留",IF(COUNTIFS(請求記録!$B$6:$B$3005,$A18,請求記録!$Z$6:$Z$3005,N$5)=0,"",SUMIFS(請求記録!$AE$6:$AE$3005,請求記録!$B$6:$B$3005,$A18,請求記録!$Z$6:$Z$3005,N$5))))</f>
        <v/>
      </c>
      <c r="O18" s="19">
        <f>IF($A18="","",IF(COUNTIFS(請求記録!$B$6:$B$3005,$A18,請求記録!$Z$6:$Z$3005,O$5,請求記録!$AF$6:$AF$3005,"保留中")&gt;0,"保留",IF(COUNTIFS(請求記録!$B$6:$B$3005,$A18,請求記録!$Z$6:$Z$3005,O$5)=0,"",SUMIFS(請求記録!$AE$6:$AE$3005,請求記録!$B$6:$B$3005,$A18,請求記録!$Z$6:$Z$3005,O$5))))</f>
        <v/>
      </c>
      <c r="P18" s="19">
        <f>IF($A18="","",IF(COUNTIFS(請求記録!$B$6:$B$3005,$A18,請求記録!$Z$6:$Z$3005,P$5,請求記録!$AF$6:$AF$3005,"保留中")&gt;0,"保留",IF(COUNTIFS(請求記録!$B$6:$B$3005,$A18,請求記録!$Z$6:$Z$3005,P$5)=0,"",SUMIFS(請求記録!$AE$6:$AE$3005,請求記録!$B$6:$B$3005,$A18,請求記録!$Z$6:$Z$3005,P$5))))</f>
        <v/>
      </c>
      <c r="Q18" s="19">
        <f>IF($A18="","",IF(COUNTIFS(請求記録!$B$6:$B$3005,$A18,請求記録!$Z$6:$Z$3005,Q$5,請求記録!$AF$6:$AF$3005,"保留中")&gt;0,"保留",IF(COUNTIFS(請求記録!$B$6:$B$3005,$A18,請求記録!$Z$6:$Z$3005,Q$5)=0,"",SUMIFS(請求記録!$AE$6:$AE$3005,請求記録!$B$6:$B$3005,$A18,請求記録!$Z$6:$Z$3005,Q$5))))</f>
        <v/>
      </c>
      <c r="R18" s="19">
        <f>IF($A18="","",IF(COUNTIFS(請求記録!$B$6:$B$3005,$A18,請求記録!$Z$6:$Z$3005,R$5,請求記録!$AF$6:$AF$3005,"保留中")&gt;0,"保留",IF(COUNTIFS(請求記録!$B$6:$B$3005,$A18,請求記録!$Z$6:$Z$3005,R$5)=0,"",SUMIFS(請求記録!$AE$6:$AE$3005,請求記録!$B$6:$B$3005,$A18,請求記録!$Z$6:$Z$3005,R$5))))</f>
        <v/>
      </c>
      <c r="S18" s="19">
        <f>IF($A18="","",IF(COUNTIFS(請求記録!$B$6:$B$3005,$A18,請求記録!$Z$6:$Z$3005,S$5,請求記録!$AF$6:$AF$3005,"保留中")&gt;0,"保留",IF(COUNTIFS(請求記録!$B$6:$B$3005,$A18,請求記録!$Z$6:$Z$3005,S$5)=0,"",SUMIFS(請求記録!$AE$6:$AE$3005,請求記録!$B$6:$B$3005,$A18,請求記録!$Z$6:$Z$3005,S$5))))</f>
        <v/>
      </c>
      <c r="T18" s="19">
        <f>IF($A18="","",IF(COUNTIFS(請求記録!$B$6:$B$3005,$A18,請求記録!$Z$6:$Z$3005,T$5,請求記録!$AF$6:$AF$3005,"保留中")&gt;0,"保留",IF(COUNTIFS(請求記録!$B$6:$B$3005,$A18,請求記録!$Z$6:$Z$3005,T$5)=0,"",SUMIFS(請求記録!$AE$6:$AE$3005,請求記録!$B$6:$B$3005,$A18,請求記録!$Z$6:$Z$3005,T$5))))</f>
        <v/>
      </c>
      <c r="U18" s="19">
        <f>IF($A18="","",IF(COUNTIFS(請求記録!$B$6:$B$3005,$A18,請求記録!$Z$6:$Z$3005,U$5,請求記録!$AF$6:$AF$3005,"保留中")&gt;0,"保留",IF(COUNTIFS(請求記録!$B$6:$B$3005,$A18,請求記録!$Z$6:$Z$3005,U$5)=0,"",SUMIFS(請求記録!$AE$6:$AE$3005,請求記録!$B$6:$B$3005,$A18,請求記録!$Z$6:$Z$3005,U$5))))</f>
        <v/>
      </c>
      <c r="V18" s="19">
        <f>IF($A18="","",IF(COUNTIFS(請求記録!$B$6:$B$3005,$A18,請求記録!$Z$6:$Z$3005,V$5,請求記録!$AF$6:$AF$3005,"保留中")&gt;0,"保留",IF(COUNTIFS(請求記録!$B$6:$B$3005,$A18,請求記録!$Z$6:$Z$3005,V$5)=0,"",SUMIFS(請求記録!$AE$6:$AE$3005,請求記録!$B$6:$B$3005,$A18,請求記録!$Z$6:$Z$3005,V$5))))</f>
        <v/>
      </c>
      <c r="W18" s="19">
        <f>IF($A18="","",IF(COUNTIFS(請求記録!$B$6:$B$3005,$A18,請求記録!$Z$6:$Z$3005,W$5,請求記録!$AF$6:$AF$3005,"保留中")&gt;0,"保留",IF(COUNTIFS(請求記録!$B$6:$B$3005,$A18,請求記録!$Z$6:$Z$3005,W$5)=0,"",SUMIFS(請求記録!$AE$6:$AE$3005,請求記録!$B$6:$B$3005,$A18,請求記録!$Z$6:$Z$3005,W$5))))</f>
        <v/>
      </c>
      <c r="X18" s="19">
        <f>IF($A18="","",IF(COUNTIFS(請求記録!$B$6:$B$3005,$A18,請求記録!$Z$6:$Z$3005,X$5,請求記録!$AF$6:$AF$3005,"保留中")&gt;0,"保留",IF(COUNTIFS(請求記録!$B$6:$B$3005,$A18,請求記録!$Z$6:$Z$3005,X$5)=0,"",SUMIFS(請求記録!$AE$6:$AE$3005,請求記録!$B$6:$B$3005,$A18,請求記録!$Z$6:$Z$3005,X$5))))</f>
        <v/>
      </c>
      <c r="Y18" s="19">
        <f>IF($A18="","",IF(COUNTIFS(請求記録!$B$6:$B$3005,$A18,請求記録!$Z$6:$Z$3005,Y$5,請求記録!$AF$6:$AF$3005,"保留中")&gt;0,"保留",IF(COUNTIFS(請求記録!$B$6:$B$3005,$A18,請求記録!$Z$6:$Z$3005,Y$5)=0,"",SUMIFS(請求記録!$AE$6:$AE$3005,請求記録!$B$6:$B$3005,$A18,請求記録!$Z$6:$Z$3005,Y$5))))</f>
        <v/>
      </c>
      <c r="Z18" s="19">
        <f>IF($A18="","",IF(COUNTIFS(請求記録!$B$6:$B$3005,$A18,請求記録!$Z$6:$Z$3005,Z$5,請求記録!$AF$6:$AF$3005,"保留中")&gt;0,"保留",IF(COUNTIFS(請求記録!$B$6:$B$3005,$A18,請求記録!$Z$6:$Z$3005,Z$5)=0,"",SUMIFS(請求記録!$AE$6:$AE$3005,請求記録!$B$6:$B$3005,$A18,請求記録!$Z$6:$Z$3005,Z$5))))</f>
        <v/>
      </c>
      <c r="AA18" s="19">
        <f>IF($A18="","",IF(COUNTIFS(請求記録!$B$6:$B$3005,$A18,請求記録!$Z$6:$Z$3005,AA$5,請求記録!$AF$6:$AF$3005,"保留中")&gt;0,"保留",IF(COUNTIFS(請求記録!$B$6:$B$3005,$A18,請求記録!$Z$6:$Z$3005,AA$5)=0,"",SUMIFS(請求記録!$AE$6:$AE$3005,請求記録!$B$6:$B$3005,$A18,請求記録!$Z$6:$Z$3005,AA$5))))</f>
        <v/>
      </c>
      <c r="AB18">
        <f>IF(職員マスタ!P18="保留中",職員マスタ!M18,"")</f>
        <v/>
      </c>
    </row>
    <row r="19">
      <c r="A19">
        <f>IF(職員マスタ!A19="","",職員マスタ!A19)</f>
        <v/>
      </c>
      <c r="B19">
        <f>IF($A19="","",職員マスタ!B19)</f>
        <v/>
      </c>
      <c r="C19">
        <f>IF($A19="","",職員マスタ!C19)</f>
        <v/>
      </c>
      <c r="D19" s="19">
        <f>IF($A19="","",IF(COUNTIFS(請求記録!$B$6:$B$3005,$A19,請求記録!$Z$6:$Z$3005,D$5,請求記録!$AF$6:$AF$3005,"保留中")&gt;0,"保留",IF(COUNTIFS(請求記録!$B$6:$B$3005,$A19,請求記録!$Z$6:$Z$3005,D$5)=0,"",SUMIFS(請求記録!$AE$6:$AE$3005,請求記録!$B$6:$B$3005,$A19,請求記録!$Z$6:$Z$3005,D$5))))</f>
        <v/>
      </c>
      <c r="E19" s="19">
        <f>IF($A19="","",IF(COUNTIFS(請求記録!$B$6:$B$3005,$A19,請求記録!$Z$6:$Z$3005,E$5,請求記録!$AF$6:$AF$3005,"保留中")&gt;0,"保留",IF(COUNTIFS(請求記録!$B$6:$B$3005,$A19,請求記録!$Z$6:$Z$3005,E$5)=0,"",SUMIFS(請求記録!$AE$6:$AE$3005,請求記録!$B$6:$B$3005,$A19,請求記録!$Z$6:$Z$3005,E$5))))</f>
        <v/>
      </c>
      <c r="F19" s="19">
        <f>IF($A19="","",IF(COUNTIFS(請求記録!$B$6:$B$3005,$A19,請求記録!$Z$6:$Z$3005,F$5,請求記録!$AF$6:$AF$3005,"保留中")&gt;0,"保留",IF(COUNTIFS(請求記録!$B$6:$B$3005,$A19,請求記録!$Z$6:$Z$3005,F$5)=0,"",SUMIFS(請求記録!$AE$6:$AE$3005,請求記録!$B$6:$B$3005,$A19,請求記録!$Z$6:$Z$3005,F$5))))</f>
        <v/>
      </c>
      <c r="G19" s="19">
        <f>IF($A19="","",IF(COUNTIFS(請求記録!$B$6:$B$3005,$A19,請求記録!$Z$6:$Z$3005,G$5,請求記録!$AF$6:$AF$3005,"保留中")&gt;0,"保留",IF(COUNTIFS(請求記録!$B$6:$B$3005,$A19,請求記録!$Z$6:$Z$3005,G$5)=0,"",SUMIFS(請求記録!$AE$6:$AE$3005,請求記録!$B$6:$B$3005,$A19,請求記録!$Z$6:$Z$3005,G$5))))</f>
        <v/>
      </c>
      <c r="H19" s="19">
        <f>IF($A19="","",IF(COUNTIFS(請求記録!$B$6:$B$3005,$A19,請求記録!$Z$6:$Z$3005,H$5,請求記録!$AF$6:$AF$3005,"保留中")&gt;0,"保留",IF(COUNTIFS(請求記録!$B$6:$B$3005,$A19,請求記録!$Z$6:$Z$3005,H$5)=0,"",SUMIFS(請求記録!$AE$6:$AE$3005,請求記録!$B$6:$B$3005,$A19,請求記録!$Z$6:$Z$3005,H$5))))</f>
        <v/>
      </c>
      <c r="I19" s="19">
        <f>IF($A19="","",IF(COUNTIFS(請求記録!$B$6:$B$3005,$A19,請求記録!$Z$6:$Z$3005,I$5,請求記録!$AF$6:$AF$3005,"保留中")&gt;0,"保留",IF(COUNTIFS(請求記録!$B$6:$B$3005,$A19,請求記録!$Z$6:$Z$3005,I$5)=0,"",SUMIFS(請求記録!$AE$6:$AE$3005,請求記録!$B$6:$B$3005,$A19,請求記録!$Z$6:$Z$3005,I$5))))</f>
        <v/>
      </c>
      <c r="J19" s="19">
        <f>IF($A19="","",IF(COUNTIFS(請求記録!$B$6:$B$3005,$A19,請求記録!$Z$6:$Z$3005,J$5,請求記録!$AF$6:$AF$3005,"保留中")&gt;0,"保留",IF(COUNTIFS(請求記録!$B$6:$B$3005,$A19,請求記録!$Z$6:$Z$3005,J$5)=0,"",SUMIFS(請求記録!$AE$6:$AE$3005,請求記録!$B$6:$B$3005,$A19,請求記録!$Z$6:$Z$3005,J$5))))</f>
        <v/>
      </c>
      <c r="K19" s="19">
        <f>IF($A19="","",IF(COUNTIFS(請求記録!$B$6:$B$3005,$A19,請求記録!$Z$6:$Z$3005,K$5,請求記録!$AF$6:$AF$3005,"保留中")&gt;0,"保留",IF(COUNTIFS(請求記録!$B$6:$B$3005,$A19,請求記録!$Z$6:$Z$3005,K$5)=0,"",SUMIFS(請求記録!$AE$6:$AE$3005,請求記録!$B$6:$B$3005,$A19,請求記録!$Z$6:$Z$3005,K$5))))</f>
        <v/>
      </c>
      <c r="L19" s="19">
        <f>IF($A19="","",IF(COUNTIFS(請求記録!$B$6:$B$3005,$A19,請求記録!$Z$6:$Z$3005,L$5,請求記録!$AF$6:$AF$3005,"保留中")&gt;0,"保留",IF(COUNTIFS(請求記録!$B$6:$B$3005,$A19,請求記録!$Z$6:$Z$3005,L$5)=0,"",SUMIFS(請求記録!$AE$6:$AE$3005,請求記録!$B$6:$B$3005,$A19,請求記録!$Z$6:$Z$3005,L$5))))</f>
        <v/>
      </c>
      <c r="M19" s="19">
        <f>IF($A19="","",IF(COUNTIFS(請求記録!$B$6:$B$3005,$A19,請求記録!$Z$6:$Z$3005,M$5,請求記録!$AF$6:$AF$3005,"保留中")&gt;0,"保留",IF(COUNTIFS(請求記録!$B$6:$B$3005,$A19,請求記録!$Z$6:$Z$3005,M$5)=0,"",SUMIFS(請求記録!$AE$6:$AE$3005,請求記録!$B$6:$B$3005,$A19,請求記録!$Z$6:$Z$3005,M$5))))</f>
        <v/>
      </c>
      <c r="N19" s="19">
        <f>IF($A19="","",IF(COUNTIFS(請求記録!$B$6:$B$3005,$A19,請求記録!$Z$6:$Z$3005,N$5,請求記録!$AF$6:$AF$3005,"保留中")&gt;0,"保留",IF(COUNTIFS(請求記録!$B$6:$B$3005,$A19,請求記録!$Z$6:$Z$3005,N$5)=0,"",SUMIFS(請求記録!$AE$6:$AE$3005,請求記録!$B$6:$B$3005,$A19,請求記録!$Z$6:$Z$3005,N$5))))</f>
        <v/>
      </c>
      <c r="O19" s="19">
        <f>IF($A19="","",IF(COUNTIFS(請求記録!$B$6:$B$3005,$A19,請求記録!$Z$6:$Z$3005,O$5,請求記録!$AF$6:$AF$3005,"保留中")&gt;0,"保留",IF(COUNTIFS(請求記録!$B$6:$B$3005,$A19,請求記録!$Z$6:$Z$3005,O$5)=0,"",SUMIFS(請求記録!$AE$6:$AE$3005,請求記録!$B$6:$B$3005,$A19,請求記録!$Z$6:$Z$3005,O$5))))</f>
        <v/>
      </c>
      <c r="P19" s="19">
        <f>IF($A19="","",IF(COUNTIFS(請求記録!$B$6:$B$3005,$A19,請求記録!$Z$6:$Z$3005,P$5,請求記録!$AF$6:$AF$3005,"保留中")&gt;0,"保留",IF(COUNTIFS(請求記録!$B$6:$B$3005,$A19,請求記録!$Z$6:$Z$3005,P$5)=0,"",SUMIFS(請求記録!$AE$6:$AE$3005,請求記録!$B$6:$B$3005,$A19,請求記録!$Z$6:$Z$3005,P$5))))</f>
        <v/>
      </c>
      <c r="Q19" s="19">
        <f>IF($A19="","",IF(COUNTIFS(請求記録!$B$6:$B$3005,$A19,請求記録!$Z$6:$Z$3005,Q$5,請求記録!$AF$6:$AF$3005,"保留中")&gt;0,"保留",IF(COUNTIFS(請求記録!$B$6:$B$3005,$A19,請求記録!$Z$6:$Z$3005,Q$5)=0,"",SUMIFS(請求記録!$AE$6:$AE$3005,請求記録!$B$6:$B$3005,$A19,請求記録!$Z$6:$Z$3005,Q$5))))</f>
        <v/>
      </c>
      <c r="R19" s="19">
        <f>IF($A19="","",IF(COUNTIFS(請求記録!$B$6:$B$3005,$A19,請求記録!$Z$6:$Z$3005,R$5,請求記録!$AF$6:$AF$3005,"保留中")&gt;0,"保留",IF(COUNTIFS(請求記録!$B$6:$B$3005,$A19,請求記録!$Z$6:$Z$3005,R$5)=0,"",SUMIFS(請求記録!$AE$6:$AE$3005,請求記録!$B$6:$B$3005,$A19,請求記録!$Z$6:$Z$3005,R$5))))</f>
        <v/>
      </c>
      <c r="S19" s="19">
        <f>IF($A19="","",IF(COUNTIFS(請求記録!$B$6:$B$3005,$A19,請求記録!$Z$6:$Z$3005,S$5,請求記録!$AF$6:$AF$3005,"保留中")&gt;0,"保留",IF(COUNTIFS(請求記録!$B$6:$B$3005,$A19,請求記録!$Z$6:$Z$3005,S$5)=0,"",SUMIFS(請求記録!$AE$6:$AE$3005,請求記録!$B$6:$B$3005,$A19,請求記録!$Z$6:$Z$3005,S$5))))</f>
        <v/>
      </c>
      <c r="T19" s="19">
        <f>IF($A19="","",IF(COUNTIFS(請求記録!$B$6:$B$3005,$A19,請求記録!$Z$6:$Z$3005,T$5,請求記録!$AF$6:$AF$3005,"保留中")&gt;0,"保留",IF(COUNTIFS(請求記録!$B$6:$B$3005,$A19,請求記録!$Z$6:$Z$3005,T$5)=0,"",SUMIFS(請求記録!$AE$6:$AE$3005,請求記録!$B$6:$B$3005,$A19,請求記録!$Z$6:$Z$3005,T$5))))</f>
        <v/>
      </c>
      <c r="U19" s="19">
        <f>IF($A19="","",IF(COUNTIFS(請求記録!$B$6:$B$3005,$A19,請求記録!$Z$6:$Z$3005,U$5,請求記録!$AF$6:$AF$3005,"保留中")&gt;0,"保留",IF(COUNTIFS(請求記録!$B$6:$B$3005,$A19,請求記録!$Z$6:$Z$3005,U$5)=0,"",SUMIFS(請求記録!$AE$6:$AE$3005,請求記録!$B$6:$B$3005,$A19,請求記録!$Z$6:$Z$3005,U$5))))</f>
        <v/>
      </c>
      <c r="V19" s="19">
        <f>IF($A19="","",IF(COUNTIFS(請求記録!$B$6:$B$3005,$A19,請求記録!$Z$6:$Z$3005,V$5,請求記録!$AF$6:$AF$3005,"保留中")&gt;0,"保留",IF(COUNTIFS(請求記録!$B$6:$B$3005,$A19,請求記録!$Z$6:$Z$3005,V$5)=0,"",SUMIFS(請求記録!$AE$6:$AE$3005,請求記録!$B$6:$B$3005,$A19,請求記録!$Z$6:$Z$3005,V$5))))</f>
        <v/>
      </c>
      <c r="W19" s="19">
        <f>IF($A19="","",IF(COUNTIFS(請求記録!$B$6:$B$3005,$A19,請求記録!$Z$6:$Z$3005,W$5,請求記録!$AF$6:$AF$3005,"保留中")&gt;0,"保留",IF(COUNTIFS(請求記録!$B$6:$B$3005,$A19,請求記録!$Z$6:$Z$3005,W$5)=0,"",SUMIFS(請求記録!$AE$6:$AE$3005,請求記録!$B$6:$B$3005,$A19,請求記録!$Z$6:$Z$3005,W$5))))</f>
        <v/>
      </c>
      <c r="X19" s="19">
        <f>IF($A19="","",IF(COUNTIFS(請求記録!$B$6:$B$3005,$A19,請求記録!$Z$6:$Z$3005,X$5,請求記録!$AF$6:$AF$3005,"保留中")&gt;0,"保留",IF(COUNTIFS(請求記録!$B$6:$B$3005,$A19,請求記録!$Z$6:$Z$3005,X$5)=0,"",SUMIFS(請求記録!$AE$6:$AE$3005,請求記録!$B$6:$B$3005,$A19,請求記録!$Z$6:$Z$3005,X$5))))</f>
        <v/>
      </c>
      <c r="Y19" s="19">
        <f>IF($A19="","",IF(COUNTIFS(請求記録!$B$6:$B$3005,$A19,請求記録!$Z$6:$Z$3005,Y$5,請求記録!$AF$6:$AF$3005,"保留中")&gt;0,"保留",IF(COUNTIFS(請求記録!$B$6:$B$3005,$A19,請求記録!$Z$6:$Z$3005,Y$5)=0,"",SUMIFS(請求記録!$AE$6:$AE$3005,請求記録!$B$6:$B$3005,$A19,請求記録!$Z$6:$Z$3005,Y$5))))</f>
        <v/>
      </c>
      <c r="Z19" s="19">
        <f>IF($A19="","",IF(COUNTIFS(請求記録!$B$6:$B$3005,$A19,請求記録!$Z$6:$Z$3005,Z$5,請求記録!$AF$6:$AF$3005,"保留中")&gt;0,"保留",IF(COUNTIFS(請求記録!$B$6:$B$3005,$A19,請求記録!$Z$6:$Z$3005,Z$5)=0,"",SUMIFS(請求記録!$AE$6:$AE$3005,請求記録!$B$6:$B$3005,$A19,請求記録!$Z$6:$Z$3005,Z$5))))</f>
        <v/>
      </c>
      <c r="AA19" s="19">
        <f>IF($A19="","",IF(COUNTIFS(請求記録!$B$6:$B$3005,$A19,請求記録!$Z$6:$Z$3005,AA$5,請求記録!$AF$6:$AF$3005,"保留中")&gt;0,"保留",IF(COUNTIFS(請求記録!$B$6:$B$3005,$A19,請求記録!$Z$6:$Z$3005,AA$5)=0,"",SUMIFS(請求記録!$AE$6:$AE$3005,請求記録!$B$6:$B$3005,$A19,請求記録!$Z$6:$Z$3005,AA$5))))</f>
        <v/>
      </c>
      <c r="AB19">
        <f>IF(職員マスタ!P19="保留中",職員マスタ!M19,"")</f>
        <v/>
      </c>
    </row>
    <row r="20">
      <c r="A20">
        <f>IF(職員マスタ!A20="","",職員マスタ!A20)</f>
        <v/>
      </c>
      <c r="B20">
        <f>IF($A20="","",職員マスタ!B20)</f>
        <v/>
      </c>
      <c r="C20">
        <f>IF($A20="","",職員マスタ!C20)</f>
        <v/>
      </c>
      <c r="D20" s="19">
        <f>IF($A20="","",IF(COUNTIFS(請求記録!$B$6:$B$3005,$A20,請求記録!$Z$6:$Z$3005,D$5,請求記録!$AF$6:$AF$3005,"保留中")&gt;0,"保留",IF(COUNTIFS(請求記録!$B$6:$B$3005,$A20,請求記録!$Z$6:$Z$3005,D$5)=0,"",SUMIFS(請求記録!$AE$6:$AE$3005,請求記録!$B$6:$B$3005,$A20,請求記録!$Z$6:$Z$3005,D$5))))</f>
        <v/>
      </c>
      <c r="E20" s="19">
        <f>IF($A20="","",IF(COUNTIFS(請求記録!$B$6:$B$3005,$A20,請求記録!$Z$6:$Z$3005,E$5,請求記録!$AF$6:$AF$3005,"保留中")&gt;0,"保留",IF(COUNTIFS(請求記録!$B$6:$B$3005,$A20,請求記録!$Z$6:$Z$3005,E$5)=0,"",SUMIFS(請求記録!$AE$6:$AE$3005,請求記録!$B$6:$B$3005,$A20,請求記録!$Z$6:$Z$3005,E$5))))</f>
        <v/>
      </c>
      <c r="F20" s="19">
        <f>IF($A20="","",IF(COUNTIFS(請求記録!$B$6:$B$3005,$A20,請求記録!$Z$6:$Z$3005,F$5,請求記録!$AF$6:$AF$3005,"保留中")&gt;0,"保留",IF(COUNTIFS(請求記録!$B$6:$B$3005,$A20,請求記録!$Z$6:$Z$3005,F$5)=0,"",SUMIFS(請求記録!$AE$6:$AE$3005,請求記録!$B$6:$B$3005,$A20,請求記録!$Z$6:$Z$3005,F$5))))</f>
        <v/>
      </c>
      <c r="G20" s="19">
        <f>IF($A20="","",IF(COUNTIFS(請求記録!$B$6:$B$3005,$A20,請求記録!$Z$6:$Z$3005,G$5,請求記録!$AF$6:$AF$3005,"保留中")&gt;0,"保留",IF(COUNTIFS(請求記録!$B$6:$B$3005,$A20,請求記録!$Z$6:$Z$3005,G$5)=0,"",SUMIFS(請求記録!$AE$6:$AE$3005,請求記録!$B$6:$B$3005,$A20,請求記録!$Z$6:$Z$3005,G$5))))</f>
        <v/>
      </c>
      <c r="H20" s="19">
        <f>IF($A20="","",IF(COUNTIFS(請求記録!$B$6:$B$3005,$A20,請求記録!$Z$6:$Z$3005,H$5,請求記録!$AF$6:$AF$3005,"保留中")&gt;0,"保留",IF(COUNTIFS(請求記録!$B$6:$B$3005,$A20,請求記録!$Z$6:$Z$3005,H$5)=0,"",SUMIFS(請求記録!$AE$6:$AE$3005,請求記録!$B$6:$B$3005,$A20,請求記録!$Z$6:$Z$3005,H$5))))</f>
        <v/>
      </c>
      <c r="I20" s="19">
        <f>IF($A20="","",IF(COUNTIFS(請求記録!$B$6:$B$3005,$A20,請求記録!$Z$6:$Z$3005,I$5,請求記録!$AF$6:$AF$3005,"保留中")&gt;0,"保留",IF(COUNTIFS(請求記録!$B$6:$B$3005,$A20,請求記録!$Z$6:$Z$3005,I$5)=0,"",SUMIFS(請求記録!$AE$6:$AE$3005,請求記録!$B$6:$B$3005,$A20,請求記録!$Z$6:$Z$3005,I$5))))</f>
        <v/>
      </c>
      <c r="J20" s="19">
        <f>IF($A20="","",IF(COUNTIFS(請求記録!$B$6:$B$3005,$A20,請求記録!$Z$6:$Z$3005,J$5,請求記録!$AF$6:$AF$3005,"保留中")&gt;0,"保留",IF(COUNTIFS(請求記録!$B$6:$B$3005,$A20,請求記録!$Z$6:$Z$3005,J$5)=0,"",SUMIFS(請求記録!$AE$6:$AE$3005,請求記録!$B$6:$B$3005,$A20,請求記録!$Z$6:$Z$3005,J$5))))</f>
        <v/>
      </c>
      <c r="K20" s="19">
        <f>IF($A20="","",IF(COUNTIFS(請求記録!$B$6:$B$3005,$A20,請求記録!$Z$6:$Z$3005,K$5,請求記録!$AF$6:$AF$3005,"保留中")&gt;0,"保留",IF(COUNTIFS(請求記録!$B$6:$B$3005,$A20,請求記録!$Z$6:$Z$3005,K$5)=0,"",SUMIFS(請求記録!$AE$6:$AE$3005,請求記録!$B$6:$B$3005,$A20,請求記録!$Z$6:$Z$3005,K$5))))</f>
        <v/>
      </c>
      <c r="L20" s="19">
        <f>IF($A20="","",IF(COUNTIFS(請求記録!$B$6:$B$3005,$A20,請求記録!$Z$6:$Z$3005,L$5,請求記録!$AF$6:$AF$3005,"保留中")&gt;0,"保留",IF(COUNTIFS(請求記録!$B$6:$B$3005,$A20,請求記録!$Z$6:$Z$3005,L$5)=0,"",SUMIFS(請求記録!$AE$6:$AE$3005,請求記録!$B$6:$B$3005,$A20,請求記録!$Z$6:$Z$3005,L$5))))</f>
        <v/>
      </c>
      <c r="M20" s="19">
        <f>IF($A20="","",IF(COUNTIFS(請求記録!$B$6:$B$3005,$A20,請求記録!$Z$6:$Z$3005,M$5,請求記録!$AF$6:$AF$3005,"保留中")&gt;0,"保留",IF(COUNTIFS(請求記録!$B$6:$B$3005,$A20,請求記録!$Z$6:$Z$3005,M$5)=0,"",SUMIFS(請求記録!$AE$6:$AE$3005,請求記録!$B$6:$B$3005,$A20,請求記録!$Z$6:$Z$3005,M$5))))</f>
        <v/>
      </c>
      <c r="N20" s="19">
        <f>IF($A20="","",IF(COUNTIFS(請求記録!$B$6:$B$3005,$A20,請求記録!$Z$6:$Z$3005,N$5,請求記録!$AF$6:$AF$3005,"保留中")&gt;0,"保留",IF(COUNTIFS(請求記録!$B$6:$B$3005,$A20,請求記録!$Z$6:$Z$3005,N$5)=0,"",SUMIFS(請求記録!$AE$6:$AE$3005,請求記録!$B$6:$B$3005,$A20,請求記録!$Z$6:$Z$3005,N$5))))</f>
        <v/>
      </c>
      <c r="O20" s="19">
        <f>IF($A20="","",IF(COUNTIFS(請求記録!$B$6:$B$3005,$A20,請求記録!$Z$6:$Z$3005,O$5,請求記録!$AF$6:$AF$3005,"保留中")&gt;0,"保留",IF(COUNTIFS(請求記録!$B$6:$B$3005,$A20,請求記録!$Z$6:$Z$3005,O$5)=0,"",SUMIFS(請求記録!$AE$6:$AE$3005,請求記録!$B$6:$B$3005,$A20,請求記録!$Z$6:$Z$3005,O$5))))</f>
        <v/>
      </c>
      <c r="P20" s="19">
        <f>IF($A20="","",IF(COUNTIFS(請求記録!$B$6:$B$3005,$A20,請求記録!$Z$6:$Z$3005,P$5,請求記録!$AF$6:$AF$3005,"保留中")&gt;0,"保留",IF(COUNTIFS(請求記録!$B$6:$B$3005,$A20,請求記録!$Z$6:$Z$3005,P$5)=0,"",SUMIFS(請求記録!$AE$6:$AE$3005,請求記録!$B$6:$B$3005,$A20,請求記録!$Z$6:$Z$3005,P$5))))</f>
        <v/>
      </c>
      <c r="Q20" s="19">
        <f>IF($A20="","",IF(COUNTIFS(請求記録!$B$6:$B$3005,$A20,請求記録!$Z$6:$Z$3005,Q$5,請求記録!$AF$6:$AF$3005,"保留中")&gt;0,"保留",IF(COUNTIFS(請求記録!$B$6:$B$3005,$A20,請求記録!$Z$6:$Z$3005,Q$5)=0,"",SUMIFS(請求記録!$AE$6:$AE$3005,請求記録!$B$6:$B$3005,$A20,請求記録!$Z$6:$Z$3005,Q$5))))</f>
        <v/>
      </c>
      <c r="R20" s="19">
        <f>IF($A20="","",IF(COUNTIFS(請求記録!$B$6:$B$3005,$A20,請求記録!$Z$6:$Z$3005,R$5,請求記録!$AF$6:$AF$3005,"保留中")&gt;0,"保留",IF(COUNTIFS(請求記録!$B$6:$B$3005,$A20,請求記録!$Z$6:$Z$3005,R$5)=0,"",SUMIFS(請求記録!$AE$6:$AE$3005,請求記録!$B$6:$B$3005,$A20,請求記録!$Z$6:$Z$3005,R$5))))</f>
        <v/>
      </c>
      <c r="S20" s="19">
        <f>IF($A20="","",IF(COUNTIFS(請求記録!$B$6:$B$3005,$A20,請求記録!$Z$6:$Z$3005,S$5,請求記録!$AF$6:$AF$3005,"保留中")&gt;0,"保留",IF(COUNTIFS(請求記録!$B$6:$B$3005,$A20,請求記録!$Z$6:$Z$3005,S$5)=0,"",SUMIFS(請求記録!$AE$6:$AE$3005,請求記録!$B$6:$B$3005,$A20,請求記録!$Z$6:$Z$3005,S$5))))</f>
        <v/>
      </c>
      <c r="T20" s="19">
        <f>IF($A20="","",IF(COUNTIFS(請求記録!$B$6:$B$3005,$A20,請求記録!$Z$6:$Z$3005,T$5,請求記録!$AF$6:$AF$3005,"保留中")&gt;0,"保留",IF(COUNTIFS(請求記録!$B$6:$B$3005,$A20,請求記録!$Z$6:$Z$3005,T$5)=0,"",SUMIFS(請求記録!$AE$6:$AE$3005,請求記録!$B$6:$B$3005,$A20,請求記録!$Z$6:$Z$3005,T$5))))</f>
        <v/>
      </c>
      <c r="U20" s="19">
        <f>IF($A20="","",IF(COUNTIFS(請求記録!$B$6:$B$3005,$A20,請求記録!$Z$6:$Z$3005,U$5,請求記録!$AF$6:$AF$3005,"保留中")&gt;0,"保留",IF(COUNTIFS(請求記録!$B$6:$B$3005,$A20,請求記録!$Z$6:$Z$3005,U$5)=0,"",SUMIFS(請求記録!$AE$6:$AE$3005,請求記録!$B$6:$B$3005,$A20,請求記録!$Z$6:$Z$3005,U$5))))</f>
        <v/>
      </c>
      <c r="V20" s="19">
        <f>IF($A20="","",IF(COUNTIFS(請求記録!$B$6:$B$3005,$A20,請求記録!$Z$6:$Z$3005,V$5,請求記録!$AF$6:$AF$3005,"保留中")&gt;0,"保留",IF(COUNTIFS(請求記録!$B$6:$B$3005,$A20,請求記録!$Z$6:$Z$3005,V$5)=0,"",SUMIFS(請求記録!$AE$6:$AE$3005,請求記録!$B$6:$B$3005,$A20,請求記録!$Z$6:$Z$3005,V$5))))</f>
        <v/>
      </c>
      <c r="W20" s="19">
        <f>IF($A20="","",IF(COUNTIFS(請求記録!$B$6:$B$3005,$A20,請求記録!$Z$6:$Z$3005,W$5,請求記録!$AF$6:$AF$3005,"保留中")&gt;0,"保留",IF(COUNTIFS(請求記録!$B$6:$B$3005,$A20,請求記録!$Z$6:$Z$3005,W$5)=0,"",SUMIFS(請求記録!$AE$6:$AE$3005,請求記録!$B$6:$B$3005,$A20,請求記録!$Z$6:$Z$3005,W$5))))</f>
        <v/>
      </c>
      <c r="X20" s="19">
        <f>IF($A20="","",IF(COUNTIFS(請求記録!$B$6:$B$3005,$A20,請求記録!$Z$6:$Z$3005,X$5,請求記録!$AF$6:$AF$3005,"保留中")&gt;0,"保留",IF(COUNTIFS(請求記録!$B$6:$B$3005,$A20,請求記録!$Z$6:$Z$3005,X$5)=0,"",SUMIFS(請求記録!$AE$6:$AE$3005,請求記録!$B$6:$B$3005,$A20,請求記録!$Z$6:$Z$3005,X$5))))</f>
        <v/>
      </c>
      <c r="Y20" s="19">
        <f>IF($A20="","",IF(COUNTIFS(請求記録!$B$6:$B$3005,$A20,請求記録!$Z$6:$Z$3005,Y$5,請求記録!$AF$6:$AF$3005,"保留中")&gt;0,"保留",IF(COUNTIFS(請求記録!$B$6:$B$3005,$A20,請求記録!$Z$6:$Z$3005,Y$5)=0,"",SUMIFS(請求記録!$AE$6:$AE$3005,請求記録!$B$6:$B$3005,$A20,請求記録!$Z$6:$Z$3005,Y$5))))</f>
        <v/>
      </c>
      <c r="Z20" s="19">
        <f>IF($A20="","",IF(COUNTIFS(請求記録!$B$6:$B$3005,$A20,請求記録!$Z$6:$Z$3005,Z$5,請求記録!$AF$6:$AF$3005,"保留中")&gt;0,"保留",IF(COUNTIFS(請求記録!$B$6:$B$3005,$A20,請求記録!$Z$6:$Z$3005,Z$5)=0,"",SUMIFS(請求記録!$AE$6:$AE$3005,請求記録!$B$6:$B$3005,$A20,請求記録!$Z$6:$Z$3005,Z$5))))</f>
        <v/>
      </c>
      <c r="AA20" s="19">
        <f>IF($A20="","",IF(COUNTIFS(請求記録!$B$6:$B$3005,$A20,請求記録!$Z$6:$Z$3005,AA$5,請求記録!$AF$6:$AF$3005,"保留中")&gt;0,"保留",IF(COUNTIFS(請求記録!$B$6:$B$3005,$A20,請求記録!$Z$6:$Z$3005,AA$5)=0,"",SUMIFS(請求記録!$AE$6:$AE$3005,請求記録!$B$6:$B$3005,$A20,請求記録!$Z$6:$Z$3005,AA$5))))</f>
        <v/>
      </c>
      <c r="AB20">
        <f>IF(職員マスタ!P20="保留中",職員マスタ!M20,"")</f>
        <v/>
      </c>
    </row>
    <row r="21">
      <c r="A21">
        <f>IF(職員マスタ!A21="","",職員マスタ!A21)</f>
        <v/>
      </c>
      <c r="B21">
        <f>IF($A21="","",職員マスタ!B21)</f>
        <v/>
      </c>
      <c r="C21">
        <f>IF($A21="","",職員マスタ!C21)</f>
        <v/>
      </c>
      <c r="D21" s="19">
        <f>IF($A21="","",IF(COUNTIFS(請求記録!$B$6:$B$3005,$A21,請求記録!$Z$6:$Z$3005,D$5,請求記録!$AF$6:$AF$3005,"保留中")&gt;0,"保留",IF(COUNTIFS(請求記録!$B$6:$B$3005,$A21,請求記録!$Z$6:$Z$3005,D$5)=0,"",SUMIFS(請求記録!$AE$6:$AE$3005,請求記録!$B$6:$B$3005,$A21,請求記録!$Z$6:$Z$3005,D$5))))</f>
        <v/>
      </c>
      <c r="E21" s="19">
        <f>IF($A21="","",IF(COUNTIFS(請求記録!$B$6:$B$3005,$A21,請求記録!$Z$6:$Z$3005,E$5,請求記録!$AF$6:$AF$3005,"保留中")&gt;0,"保留",IF(COUNTIFS(請求記録!$B$6:$B$3005,$A21,請求記録!$Z$6:$Z$3005,E$5)=0,"",SUMIFS(請求記録!$AE$6:$AE$3005,請求記録!$B$6:$B$3005,$A21,請求記録!$Z$6:$Z$3005,E$5))))</f>
        <v/>
      </c>
      <c r="F21" s="19">
        <f>IF($A21="","",IF(COUNTIFS(請求記録!$B$6:$B$3005,$A21,請求記録!$Z$6:$Z$3005,F$5,請求記録!$AF$6:$AF$3005,"保留中")&gt;0,"保留",IF(COUNTIFS(請求記録!$B$6:$B$3005,$A21,請求記録!$Z$6:$Z$3005,F$5)=0,"",SUMIFS(請求記録!$AE$6:$AE$3005,請求記録!$B$6:$B$3005,$A21,請求記録!$Z$6:$Z$3005,F$5))))</f>
        <v/>
      </c>
      <c r="G21" s="19">
        <f>IF($A21="","",IF(COUNTIFS(請求記録!$B$6:$B$3005,$A21,請求記録!$Z$6:$Z$3005,G$5,請求記録!$AF$6:$AF$3005,"保留中")&gt;0,"保留",IF(COUNTIFS(請求記録!$B$6:$B$3005,$A21,請求記録!$Z$6:$Z$3005,G$5)=0,"",SUMIFS(請求記録!$AE$6:$AE$3005,請求記録!$B$6:$B$3005,$A21,請求記録!$Z$6:$Z$3005,G$5))))</f>
        <v/>
      </c>
      <c r="H21" s="19">
        <f>IF($A21="","",IF(COUNTIFS(請求記録!$B$6:$B$3005,$A21,請求記録!$Z$6:$Z$3005,H$5,請求記録!$AF$6:$AF$3005,"保留中")&gt;0,"保留",IF(COUNTIFS(請求記録!$B$6:$B$3005,$A21,請求記録!$Z$6:$Z$3005,H$5)=0,"",SUMIFS(請求記録!$AE$6:$AE$3005,請求記録!$B$6:$B$3005,$A21,請求記録!$Z$6:$Z$3005,H$5))))</f>
        <v/>
      </c>
      <c r="I21" s="19">
        <f>IF($A21="","",IF(COUNTIFS(請求記録!$B$6:$B$3005,$A21,請求記録!$Z$6:$Z$3005,I$5,請求記録!$AF$6:$AF$3005,"保留中")&gt;0,"保留",IF(COUNTIFS(請求記録!$B$6:$B$3005,$A21,請求記録!$Z$6:$Z$3005,I$5)=0,"",SUMIFS(請求記録!$AE$6:$AE$3005,請求記録!$B$6:$B$3005,$A21,請求記録!$Z$6:$Z$3005,I$5))))</f>
        <v/>
      </c>
      <c r="J21" s="19">
        <f>IF($A21="","",IF(COUNTIFS(請求記録!$B$6:$B$3005,$A21,請求記録!$Z$6:$Z$3005,J$5,請求記録!$AF$6:$AF$3005,"保留中")&gt;0,"保留",IF(COUNTIFS(請求記録!$B$6:$B$3005,$A21,請求記録!$Z$6:$Z$3005,J$5)=0,"",SUMIFS(請求記録!$AE$6:$AE$3005,請求記録!$B$6:$B$3005,$A21,請求記録!$Z$6:$Z$3005,J$5))))</f>
        <v/>
      </c>
      <c r="K21" s="19">
        <f>IF($A21="","",IF(COUNTIFS(請求記録!$B$6:$B$3005,$A21,請求記録!$Z$6:$Z$3005,K$5,請求記録!$AF$6:$AF$3005,"保留中")&gt;0,"保留",IF(COUNTIFS(請求記録!$B$6:$B$3005,$A21,請求記録!$Z$6:$Z$3005,K$5)=0,"",SUMIFS(請求記録!$AE$6:$AE$3005,請求記録!$B$6:$B$3005,$A21,請求記録!$Z$6:$Z$3005,K$5))))</f>
        <v/>
      </c>
      <c r="L21" s="19">
        <f>IF($A21="","",IF(COUNTIFS(請求記録!$B$6:$B$3005,$A21,請求記録!$Z$6:$Z$3005,L$5,請求記録!$AF$6:$AF$3005,"保留中")&gt;0,"保留",IF(COUNTIFS(請求記録!$B$6:$B$3005,$A21,請求記録!$Z$6:$Z$3005,L$5)=0,"",SUMIFS(請求記録!$AE$6:$AE$3005,請求記録!$B$6:$B$3005,$A21,請求記録!$Z$6:$Z$3005,L$5))))</f>
        <v/>
      </c>
      <c r="M21" s="19">
        <f>IF($A21="","",IF(COUNTIFS(請求記録!$B$6:$B$3005,$A21,請求記録!$Z$6:$Z$3005,M$5,請求記録!$AF$6:$AF$3005,"保留中")&gt;0,"保留",IF(COUNTIFS(請求記録!$B$6:$B$3005,$A21,請求記録!$Z$6:$Z$3005,M$5)=0,"",SUMIFS(請求記録!$AE$6:$AE$3005,請求記録!$B$6:$B$3005,$A21,請求記録!$Z$6:$Z$3005,M$5))))</f>
        <v/>
      </c>
      <c r="N21" s="19">
        <f>IF($A21="","",IF(COUNTIFS(請求記録!$B$6:$B$3005,$A21,請求記録!$Z$6:$Z$3005,N$5,請求記録!$AF$6:$AF$3005,"保留中")&gt;0,"保留",IF(COUNTIFS(請求記録!$B$6:$B$3005,$A21,請求記録!$Z$6:$Z$3005,N$5)=0,"",SUMIFS(請求記録!$AE$6:$AE$3005,請求記録!$B$6:$B$3005,$A21,請求記録!$Z$6:$Z$3005,N$5))))</f>
        <v/>
      </c>
      <c r="O21" s="19">
        <f>IF($A21="","",IF(COUNTIFS(請求記録!$B$6:$B$3005,$A21,請求記録!$Z$6:$Z$3005,O$5,請求記録!$AF$6:$AF$3005,"保留中")&gt;0,"保留",IF(COUNTIFS(請求記録!$B$6:$B$3005,$A21,請求記録!$Z$6:$Z$3005,O$5)=0,"",SUMIFS(請求記録!$AE$6:$AE$3005,請求記録!$B$6:$B$3005,$A21,請求記録!$Z$6:$Z$3005,O$5))))</f>
        <v/>
      </c>
      <c r="P21" s="19">
        <f>IF($A21="","",IF(COUNTIFS(請求記録!$B$6:$B$3005,$A21,請求記録!$Z$6:$Z$3005,P$5,請求記録!$AF$6:$AF$3005,"保留中")&gt;0,"保留",IF(COUNTIFS(請求記録!$B$6:$B$3005,$A21,請求記録!$Z$6:$Z$3005,P$5)=0,"",SUMIFS(請求記録!$AE$6:$AE$3005,請求記録!$B$6:$B$3005,$A21,請求記録!$Z$6:$Z$3005,P$5))))</f>
        <v/>
      </c>
      <c r="Q21" s="19">
        <f>IF($A21="","",IF(COUNTIFS(請求記録!$B$6:$B$3005,$A21,請求記録!$Z$6:$Z$3005,Q$5,請求記録!$AF$6:$AF$3005,"保留中")&gt;0,"保留",IF(COUNTIFS(請求記録!$B$6:$B$3005,$A21,請求記録!$Z$6:$Z$3005,Q$5)=0,"",SUMIFS(請求記録!$AE$6:$AE$3005,請求記録!$B$6:$B$3005,$A21,請求記録!$Z$6:$Z$3005,Q$5))))</f>
        <v/>
      </c>
      <c r="R21" s="19">
        <f>IF($A21="","",IF(COUNTIFS(請求記録!$B$6:$B$3005,$A21,請求記録!$Z$6:$Z$3005,R$5,請求記録!$AF$6:$AF$3005,"保留中")&gt;0,"保留",IF(COUNTIFS(請求記録!$B$6:$B$3005,$A21,請求記録!$Z$6:$Z$3005,R$5)=0,"",SUMIFS(請求記録!$AE$6:$AE$3005,請求記録!$B$6:$B$3005,$A21,請求記録!$Z$6:$Z$3005,R$5))))</f>
        <v/>
      </c>
      <c r="S21" s="19">
        <f>IF($A21="","",IF(COUNTIFS(請求記録!$B$6:$B$3005,$A21,請求記録!$Z$6:$Z$3005,S$5,請求記録!$AF$6:$AF$3005,"保留中")&gt;0,"保留",IF(COUNTIFS(請求記録!$B$6:$B$3005,$A21,請求記録!$Z$6:$Z$3005,S$5)=0,"",SUMIFS(請求記録!$AE$6:$AE$3005,請求記録!$B$6:$B$3005,$A21,請求記録!$Z$6:$Z$3005,S$5))))</f>
        <v/>
      </c>
      <c r="T21" s="19">
        <f>IF($A21="","",IF(COUNTIFS(請求記録!$B$6:$B$3005,$A21,請求記録!$Z$6:$Z$3005,T$5,請求記録!$AF$6:$AF$3005,"保留中")&gt;0,"保留",IF(COUNTIFS(請求記録!$B$6:$B$3005,$A21,請求記録!$Z$6:$Z$3005,T$5)=0,"",SUMIFS(請求記録!$AE$6:$AE$3005,請求記録!$B$6:$B$3005,$A21,請求記録!$Z$6:$Z$3005,T$5))))</f>
        <v/>
      </c>
      <c r="U21" s="19">
        <f>IF($A21="","",IF(COUNTIFS(請求記録!$B$6:$B$3005,$A21,請求記録!$Z$6:$Z$3005,U$5,請求記録!$AF$6:$AF$3005,"保留中")&gt;0,"保留",IF(COUNTIFS(請求記録!$B$6:$B$3005,$A21,請求記録!$Z$6:$Z$3005,U$5)=0,"",SUMIFS(請求記録!$AE$6:$AE$3005,請求記録!$B$6:$B$3005,$A21,請求記録!$Z$6:$Z$3005,U$5))))</f>
        <v/>
      </c>
      <c r="V21" s="19">
        <f>IF($A21="","",IF(COUNTIFS(請求記録!$B$6:$B$3005,$A21,請求記録!$Z$6:$Z$3005,V$5,請求記録!$AF$6:$AF$3005,"保留中")&gt;0,"保留",IF(COUNTIFS(請求記録!$B$6:$B$3005,$A21,請求記録!$Z$6:$Z$3005,V$5)=0,"",SUMIFS(請求記録!$AE$6:$AE$3005,請求記録!$B$6:$B$3005,$A21,請求記録!$Z$6:$Z$3005,V$5))))</f>
        <v/>
      </c>
      <c r="W21" s="19">
        <f>IF($A21="","",IF(COUNTIFS(請求記録!$B$6:$B$3005,$A21,請求記録!$Z$6:$Z$3005,W$5,請求記録!$AF$6:$AF$3005,"保留中")&gt;0,"保留",IF(COUNTIFS(請求記録!$B$6:$B$3005,$A21,請求記録!$Z$6:$Z$3005,W$5)=0,"",SUMIFS(請求記録!$AE$6:$AE$3005,請求記録!$B$6:$B$3005,$A21,請求記録!$Z$6:$Z$3005,W$5))))</f>
        <v/>
      </c>
      <c r="X21" s="19">
        <f>IF($A21="","",IF(COUNTIFS(請求記録!$B$6:$B$3005,$A21,請求記録!$Z$6:$Z$3005,X$5,請求記録!$AF$6:$AF$3005,"保留中")&gt;0,"保留",IF(COUNTIFS(請求記録!$B$6:$B$3005,$A21,請求記録!$Z$6:$Z$3005,X$5)=0,"",SUMIFS(請求記録!$AE$6:$AE$3005,請求記録!$B$6:$B$3005,$A21,請求記録!$Z$6:$Z$3005,X$5))))</f>
        <v/>
      </c>
      <c r="Y21" s="19">
        <f>IF($A21="","",IF(COUNTIFS(請求記録!$B$6:$B$3005,$A21,請求記録!$Z$6:$Z$3005,Y$5,請求記録!$AF$6:$AF$3005,"保留中")&gt;0,"保留",IF(COUNTIFS(請求記録!$B$6:$B$3005,$A21,請求記録!$Z$6:$Z$3005,Y$5)=0,"",SUMIFS(請求記録!$AE$6:$AE$3005,請求記録!$B$6:$B$3005,$A21,請求記録!$Z$6:$Z$3005,Y$5))))</f>
        <v/>
      </c>
      <c r="Z21" s="19">
        <f>IF($A21="","",IF(COUNTIFS(請求記録!$B$6:$B$3005,$A21,請求記録!$Z$6:$Z$3005,Z$5,請求記録!$AF$6:$AF$3005,"保留中")&gt;0,"保留",IF(COUNTIFS(請求記録!$B$6:$B$3005,$A21,請求記録!$Z$6:$Z$3005,Z$5)=0,"",SUMIFS(請求記録!$AE$6:$AE$3005,請求記録!$B$6:$B$3005,$A21,請求記録!$Z$6:$Z$3005,Z$5))))</f>
        <v/>
      </c>
      <c r="AA21" s="19">
        <f>IF($A21="","",IF(COUNTIFS(請求記録!$B$6:$B$3005,$A21,請求記録!$Z$6:$Z$3005,AA$5,請求記録!$AF$6:$AF$3005,"保留中")&gt;0,"保留",IF(COUNTIFS(請求記録!$B$6:$B$3005,$A21,請求記録!$Z$6:$Z$3005,AA$5)=0,"",SUMIFS(請求記録!$AE$6:$AE$3005,請求記録!$B$6:$B$3005,$A21,請求記録!$Z$6:$Z$3005,AA$5))))</f>
        <v/>
      </c>
      <c r="AB21">
        <f>IF(職員マスタ!P21="保留中",職員マスタ!M21,"")</f>
        <v/>
      </c>
    </row>
    <row r="22">
      <c r="A22">
        <f>IF(職員マスタ!A22="","",職員マスタ!A22)</f>
        <v/>
      </c>
      <c r="B22">
        <f>IF($A22="","",職員マスタ!B22)</f>
        <v/>
      </c>
      <c r="C22">
        <f>IF($A22="","",職員マスタ!C22)</f>
        <v/>
      </c>
      <c r="D22" s="19">
        <f>IF($A22="","",IF(COUNTIFS(請求記録!$B$6:$B$3005,$A22,請求記録!$Z$6:$Z$3005,D$5,請求記録!$AF$6:$AF$3005,"保留中")&gt;0,"保留",IF(COUNTIFS(請求記録!$B$6:$B$3005,$A22,請求記録!$Z$6:$Z$3005,D$5)=0,"",SUMIFS(請求記録!$AE$6:$AE$3005,請求記録!$B$6:$B$3005,$A22,請求記録!$Z$6:$Z$3005,D$5))))</f>
        <v/>
      </c>
      <c r="E22" s="19">
        <f>IF($A22="","",IF(COUNTIFS(請求記録!$B$6:$B$3005,$A22,請求記録!$Z$6:$Z$3005,E$5,請求記録!$AF$6:$AF$3005,"保留中")&gt;0,"保留",IF(COUNTIFS(請求記録!$B$6:$B$3005,$A22,請求記録!$Z$6:$Z$3005,E$5)=0,"",SUMIFS(請求記録!$AE$6:$AE$3005,請求記録!$B$6:$B$3005,$A22,請求記録!$Z$6:$Z$3005,E$5))))</f>
        <v/>
      </c>
      <c r="F22" s="19">
        <f>IF($A22="","",IF(COUNTIFS(請求記録!$B$6:$B$3005,$A22,請求記録!$Z$6:$Z$3005,F$5,請求記録!$AF$6:$AF$3005,"保留中")&gt;0,"保留",IF(COUNTIFS(請求記録!$B$6:$B$3005,$A22,請求記録!$Z$6:$Z$3005,F$5)=0,"",SUMIFS(請求記録!$AE$6:$AE$3005,請求記録!$B$6:$B$3005,$A22,請求記録!$Z$6:$Z$3005,F$5))))</f>
        <v/>
      </c>
      <c r="G22" s="19">
        <f>IF($A22="","",IF(COUNTIFS(請求記録!$B$6:$B$3005,$A22,請求記録!$Z$6:$Z$3005,G$5,請求記録!$AF$6:$AF$3005,"保留中")&gt;0,"保留",IF(COUNTIFS(請求記録!$B$6:$B$3005,$A22,請求記録!$Z$6:$Z$3005,G$5)=0,"",SUMIFS(請求記録!$AE$6:$AE$3005,請求記録!$B$6:$B$3005,$A22,請求記録!$Z$6:$Z$3005,G$5))))</f>
        <v/>
      </c>
      <c r="H22" s="19">
        <f>IF($A22="","",IF(COUNTIFS(請求記録!$B$6:$B$3005,$A22,請求記録!$Z$6:$Z$3005,H$5,請求記録!$AF$6:$AF$3005,"保留中")&gt;0,"保留",IF(COUNTIFS(請求記録!$B$6:$B$3005,$A22,請求記録!$Z$6:$Z$3005,H$5)=0,"",SUMIFS(請求記録!$AE$6:$AE$3005,請求記録!$B$6:$B$3005,$A22,請求記録!$Z$6:$Z$3005,H$5))))</f>
        <v/>
      </c>
      <c r="I22" s="19">
        <f>IF($A22="","",IF(COUNTIFS(請求記録!$B$6:$B$3005,$A22,請求記録!$Z$6:$Z$3005,I$5,請求記録!$AF$6:$AF$3005,"保留中")&gt;0,"保留",IF(COUNTIFS(請求記録!$B$6:$B$3005,$A22,請求記録!$Z$6:$Z$3005,I$5)=0,"",SUMIFS(請求記録!$AE$6:$AE$3005,請求記録!$B$6:$B$3005,$A22,請求記録!$Z$6:$Z$3005,I$5))))</f>
        <v/>
      </c>
      <c r="J22" s="19">
        <f>IF($A22="","",IF(COUNTIFS(請求記録!$B$6:$B$3005,$A22,請求記録!$Z$6:$Z$3005,J$5,請求記録!$AF$6:$AF$3005,"保留中")&gt;0,"保留",IF(COUNTIFS(請求記録!$B$6:$B$3005,$A22,請求記録!$Z$6:$Z$3005,J$5)=0,"",SUMIFS(請求記録!$AE$6:$AE$3005,請求記録!$B$6:$B$3005,$A22,請求記録!$Z$6:$Z$3005,J$5))))</f>
        <v/>
      </c>
      <c r="K22" s="19">
        <f>IF($A22="","",IF(COUNTIFS(請求記録!$B$6:$B$3005,$A22,請求記録!$Z$6:$Z$3005,K$5,請求記録!$AF$6:$AF$3005,"保留中")&gt;0,"保留",IF(COUNTIFS(請求記録!$B$6:$B$3005,$A22,請求記録!$Z$6:$Z$3005,K$5)=0,"",SUMIFS(請求記録!$AE$6:$AE$3005,請求記録!$B$6:$B$3005,$A22,請求記録!$Z$6:$Z$3005,K$5))))</f>
        <v/>
      </c>
      <c r="L22" s="19">
        <f>IF($A22="","",IF(COUNTIFS(請求記録!$B$6:$B$3005,$A22,請求記録!$Z$6:$Z$3005,L$5,請求記録!$AF$6:$AF$3005,"保留中")&gt;0,"保留",IF(COUNTIFS(請求記録!$B$6:$B$3005,$A22,請求記録!$Z$6:$Z$3005,L$5)=0,"",SUMIFS(請求記録!$AE$6:$AE$3005,請求記録!$B$6:$B$3005,$A22,請求記録!$Z$6:$Z$3005,L$5))))</f>
        <v/>
      </c>
      <c r="M22" s="19">
        <f>IF($A22="","",IF(COUNTIFS(請求記録!$B$6:$B$3005,$A22,請求記録!$Z$6:$Z$3005,M$5,請求記録!$AF$6:$AF$3005,"保留中")&gt;0,"保留",IF(COUNTIFS(請求記録!$B$6:$B$3005,$A22,請求記録!$Z$6:$Z$3005,M$5)=0,"",SUMIFS(請求記録!$AE$6:$AE$3005,請求記録!$B$6:$B$3005,$A22,請求記録!$Z$6:$Z$3005,M$5))))</f>
        <v/>
      </c>
      <c r="N22" s="19">
        <f>IF($A22="","",IF(COUNTIFS(請求記録!$B$6:$B$3005,$A22,請求記録!$Z$6:$Z$3005,N$5,請求記録!$AF$6:$AF$3005,"保留中")&gt;0,"保留",IF(COUNTIFS(請求記録!$B$6:$B$3005,$A22,請求記録!$Z$6:$Z$3005,N$5)=0,"",SUMIFS(請求記録!$AE$6:$AE$3005,請求記録!$B$6:$B$3005,$A22,請求記録!$Z$6:$Z$3005,N$5))))</f>
        <v/>
      </c>
      <c r="O22" s="19">
        <f>IF($A22="","",IF(COUNTIFS(請求記録!$B$6:$B$3005,$A22,請求記録!$Z$6:$Z$3005,O$5,請求記録!$AF$6:$AF$3005,"保留中")&gt;0,"保留",IF(COUNTIFS(請求記録!$B$6:$B$3005,$A22,請求記録!$Z$6:$Z$3005,O$5)=0,"",SUMIFS(請求記録!$AE$6:$AE$3005,請求記録!$B$6:$B$3005,$A22,請求記録!$Z$6:$Z$3005,O$5))))</f>
        <v/>
      </c>
      <c r="P22" s="19">
        <f>IF($A22="","",IF(COUNTIFS(請求記録!$B$6:$B$3005,$A22,請求記録!$Z$6:$Z$3005,P$5,請求記録!$AF$6:$AF$3005,"保留中")&gt;0,"保留",IF(COUNTIFS(請求記録!$B$6:$B$3005,$A22,請求記録!$Z$6:$Z$3005,P$5)=0,"",SUMIFS(請求記録!$AE$6:$AE$3005,請求記録!$B$6:$B$3005,$A22,請求記録!$Z$6:$Z$3005,P$5))))</f>
        <v/>
      </c>
      <c r="Q22" s="19">
        <f>IF($A22="","",IF(COUNTIFS(請求記録!$B$6:$B$3005,$A22,請求記録!$Z$6:$Z$3005,Q$5,請求記録!$AF$6:$AF$3005,"保留中")&gt;0,"保留",IF(COUNTIFS(請求記録!$B$6:$B$3005,$A22,請求記録!$Z$6:$Z$3005,Q$5)=0,"",SUMIFS(請求記録!$AE$6:$AE$3005,請求記録!$B$6:$B$3005,$A22,請求記録!$Z$6:$Z$3005,Q$5))))</f>
        <v/>
      </c>
      <c r="R22" s="19">
        <f>IF($A22="","",IF(COUNTIFS(請求記録!$B$6:$B$3005,$A22,請求記録!$Z$6:$Z$3005,R$5,請求記録!$AF$6:$AF$3005,"保留中")&gt;0,"保留",IF(COUNTIFS(請求記録!$B$6:$B$3005,$A22,請求記録!$Z$6:$Z$3005,R$5)=0,"",SUMIFS(請求記録!$AE$6:$AE$3005,請求記録!$B$6:$B$3005,$A22,請求記録!$Z$6:$Z$3005,R$5))))</f>
        <v/>
      </c>
      <c r="S22" s="19">
        <f>IF($A22="","",IF(COUNTIFS(請求記録!$B$6:$B$3005,$A22,請求記録!$Z$6:$Z$3005,S$5,請求記録!$AF$6:$AF$3005,"保留中")&gt;0,"保留",IF(COUNTIFS(請求記録!$B$6:$B$3005,$A22,請求記録!$Z$6:$Z$3005,S$5)=0,"",SUMIFS(請求記録!$AE$6:$AE$3005,請求記録!$B$6:$B$3005,$A22,請求記録!$Z$6:$Z$3005,S$5))))</f>
        <v/>
      </c>
      <c r="T22" s="19">
        <f>IF($A22="","",IF(COUNTIFS(請求記録!$B$6:$B$3005,$A22,請求記録!$Z$6:$Z$3005,T$5,請求記録!$AF$6:$AF$3005,"保留中")&gt;0,"保留",IF(COUNTIFS(請求記録!$B$6:$B$3005,$A22,請求記録!$Z$6:$Z$3005,T$5)=0,"",SUMIFS(請求記録!$AE$6:$AE$3005,請求記録!$B$6:$B$3005,$A22,請求記録!$Z$6:$Z$3005,T$5))))</f>
        <v/>
      </c>
      <c r="U22" s="19">
        <f>IF($A22="","",IF(COUNTIFS(請求記録!$B$6:$B$3005,$A22,請求記録!$Z$6:$Z$3005,U$5,請求記録!$AF$6:$AF$3005,"保留中")&gt;0,"保留",IF(COUNTIFS(請求記録!$B$6:$B$3005,$A22,請求記録!$Z$6:$Z$3005,U$5)=0,"",SUMIFS(請求記録!$AE$6:$AE$3005,請求記録!$B$6:$B$3005,$A22,請求記録!$Z$6:$Z$3005,U$5))))</f>
        <v/>
      </c>
      <c r="V22" s="19">
        <f>IF($A22="","",IF(COUNTIFS(請求記録!$B$6:$B$3005,$A22,請求記録!$Z$6:$Z$3005,V$5,請求記録!$AF$6:$AF$3005,"保留中")&gt;0,"保留",IF(COUNTIFS(請求記録!$B$6:$B$3005,$A22,請求記録!$Z$6:$Z$3005,V$5)=0,"",SUMIFS(請求記録!$AE$6:$AE$3005,請求記録!$B$6:$B$3005,$A22,請求記録!$Z$6:$Z$3005,V$5))))</f>
        <v/>
      </c>
      <c r="W22" s="19">
        <f>IF($A22="","",IF(COUNTIFS(請求記録!$B$6:$B$3005,$A22,請求記録!$Z$6:$Z$3005,W$5,請求記録!$AF$6:$AF$3005,"保留中")&gt;0,"保留",IF(COUNTIFS(請求記録!$B$6:$B$3005,$A22,請求記録!$Z$6:$Z$3005,W$5)=0,"",SUMIFS(請求記録!$AE$6:$AE$3005,請求記録!$B$6:$B$3005,$A22,請求記録!$Z$6:$Z$3005,W$5))))</f>
        <v/>
      </c>
      <c r="X22" s="19">
        <f>IF($A22="","",IF(COUNTIFS(請求記録!$B$6:$B$3005,$A22,請求記録!$Z$6:$Z$3005,X$5,請求記録!$AF$6:$AF$3005,"保留中")&gt;0,"保留",IF(COUNTIFS(請求記録!$B$6:$B$3005,$A22,請求記録!$Z$6:$Z$3005,X$5)=0,"",SUMIFS(請求記録!$AE$6:$AE$3005,請求記録!$B$6:$B$3005,$A22,請求記録!$Z$6:$Z$3005,X$5))))</f>
        <v/>
      </c>
      <c r="Y22" s="19">
        <f>IF($A22="","",IF(COUNTIFS(請求記録!$B$6:$B$3005,$A22,請求記録!$Z$6:$Z$3005,Y$5,請求記録!$AF$6:$AF$3005,"保留中")&gt;0,"保留",IF(COUNTIFS(請求記録!$B$6:$B$3005,$A22,請求記録!$Z$6:$Z$3005,Y$5)=0,"",SUMIFS(請求記録!$AE$6:$AE$3005,請求記録!$B$6:$B$3005,$A22,請求記録!$Z$6:$Z$3005,Y$5))))</f>
        <v/>
      </c>
      <c r="Z22" s="19">
        <f>IF($A22="","",IF(COUNTIFS(請求記録!$B$6:$B$3005,$A22,請求記録!$Z$6:$Z$3005,Z$5,請求記録!$AF$6:$AF$3005,"保留中")&gt;0,"保留",IF(COUNTIFS(請求記録!$B$6:$B$3005,$A22,請求記録!$Z$6:$Z$3005,Z$5)=0,"",SUMIFS(請求記録!$AE$6:$AE$3005,請求記録!$B$6:$B$3005,$A22,請求記録!$Z$6:$Z$3005,Z$5))))</f>
        <v/>
      </c>
      <c r="AA22" s="19">
        <f>IF($A22="","",IF(COUNTIFS(請求記録!$B$6:$B$3005,$A22,請求記録!$Z$6:$Z$3005,AA$5,請求記録!$AF$6:$AF$3005,"保留中")&gt;0,"保留",IF(COUNTIFS(請求記録!$B$6:$B$3005,$A22,請求記録!$Z$6:$Z$3005,AA$5)=0,"",SUMIFS(請求記録!$AE$6:$AE$3005,請求記録!$B$6:$B$3005,$A22,請求記録!$Z$6:$Z$3005,AA$5))))</f>
        <v/>
      </c>
      <c r="AB22">
        <f>IF(職員マスタ!P22="保留中",職員マスタ!M22,"")</f>
        <v/>
      </c>
    </row>
    <row r="23">
      <c r="A23">
        <f>IF(職員マスタ!A23="","",職員マスタ!A23)</f>
        <v/>
      </c>
      <c r="B23">
        <f>IF($A23="","",職員マスタ!B23)</f>
        <v/>
      </c>
      <c r="C23">
        <f>IF($A23="","",職員マスタ!C23)</f>
        <v/>
      </c>
      <c r="D23" s="19">
        <f>IF($A23="","",IF(COUNTIFS(請求記録!$B$6:$B$3005,$A23,請求記録!$Z$6:$Z$3005,D$5,請求記録!$AF$6:$AF$3005,"保留中")&gt;0,"保留",IF(COUNTIFS(請求記録!$B$6:$B$3005,$A23,請求記録!$Z$6:$Z$3005,D$5)=0,"",SUMIFS(請求記録!$AE$6:$AE$3005,請求記録!$B$6:$B$3005,$A23,請求記録!$Z$6:$Z$3005,D$5))))</f>
        <v/>
      </c>
      <c r="E23" s="19">
        <f>IF($A23="","",IF(COUNTIFS(請求記録!$B$6:$B$3005,$A23,請求記録!$Z$6:$Z$3005,E$5,請求記録!$AF$6:$AF$3005,"保留中")&gt;0,"保留",IF(COUNTIFS(請求記録!$B$6:$B$3005,$A23,請求記録!$Z$6:$Z$3005,E$5)=0,"",SUMIFS(請求記録!$AE$6:$AE$3005,請求記録!$B$6:$B$3005,$A23,請求記録!$Z$6:$Z$3005,E$5))))</f>
        <v/>
      </c>
      <c r="F23" s="19">
        <f>IF($A23="","",IF(COUNTIFS(請求記録!$B$6:$B$3005,$A23,請求記録!$Z$6:$Z$3005,F$5,請求記録!$AF$6:$AF$3005,"保留中")&gt;0,"保留",IF(COUNTIFS(請求記録!$B$6:$B$3005,$A23,請求記録!$Z$6:$Z$3005,F$5)=0,"",SUMIFS(請求記録!$AE$6:$AE$3005,請求記録!$B$6:$B$3005,$A23,請求記録!$Z$6:$Z$3005,F$5))))</f>
        <v/>
      </c>
      <c r="G23" s="19">
        <f>IF($A23="","",IF(COUNTIFS(請求記録!$B$6:$B$3005,$A23,請求記録!$Z$6:$Z$3005,G$5,請求記録!$AF$6:$AF$3005,"保留中")&gt;0,"保留",IF(COUNTIFS(請求記録!$B$6:$B$3005,$A23,請求記録!$Z$6:$Z$3005,G$5)=0,"",SUMIFS(請求記録!$AE$6:$AE$3005,請求記録!$B$6:$B$3005,$A23,請求記録!$Z$6:$Z$3005,G$5))))</f>
        <v/>
      </c>
      <c r="H23" s="19">
        <f>IF($A23="","",IF(COUNTIFS(請求記録!$B$6:$B$3005,$A23,請求記録!$Z$6:$Z$3005,H$5,請求記録!$AF$6:$AF$3005,"保留中")&gt;0,"保留",IF(COUNTIFS(請求記録!$B$6:$B$3005,$A23,請求記録!$Z$6:$Z$3005,H$5)=0,"",SUMIFS(請求記録!$AE$6:$AE$3005,請求記録!$B$6:$B$3005,$A23,請求記録!$Z$6:$Z$3005,H$5))))</f>
        <v/>
      </c>
      <c r="I23" s="19">
        <f>IF($A23="","",IF(COUNTIFS(請求記録!$B$6:$B$3005,$A23,請求記録!$Z$6:$Z$3005,I$5,請求記録!$AF$6:$AF$3005,"保留中")&gt;0,"保留",IF(COUNTIFS(請求記録!$B$6:$B$3005,$A23,請求記録!$Z$6:$Z$3005,I$5)=0,"",SUMIFS(請求記録!$AE$6:$AE$3005,請求記録!$B$6:$B$3005,$A23,請求記録!$Z$6:$Z$3005,I$5))))</f>
        <v/>
      </c>
      <c r="J23" s="19">
        <f>IF($A23="","",IF(COUNTIFS(請求記録!$B$6:$B$3005,$A23,請求記録!$Z$6:$Z$3005,J$5,請求記録!$AF$6:$AF$3005,"保留中")&gt;0,"保留",IF(COUNTIFS(請求記録!$B$6:$B$3005,$A23,請求記録!$Z$6:$Z$3005,J$5)=0,"",SUMIFS(請求記録!$AE$6:$AE$3005,請求記録!$B$6:$B$3005,$A23,請求記録!$Z$6:$Z$3005,J$5))))</f>
        <v/>
      </c>
      <c r="K23" s="19">
        <f>IF($A23="","",IF(COUNTIFS(請求記録!$B$6:$B$3005,$A23,請求記録!$Z$6:$Z$3005,K$5,請求記録!$AF$6:$AF$3005,"保留中")&gt;0,"保留",IF(COUNTIFS(請求記録!$B$6:$B$3005,$A23,請求記録!$Z$6:$Z$3005,K$5)=0,"",SUMIFS(請求記録!$AE$6:$AE$3005,請求記録!$B$6:$B$3005,$A23,請求記録!$Z$6:$Z$3005,K$5))))</f>
        <v/>
      </c>
      <c r="L23" s="19">
        <f>IF($A23="","",IF(COUNTIFS(請求記録!$B$6:$B$3005,$A23,請求記録!$Z$6:$Z$3005,L$5,請求記録!$AF$6:$AF$3005,"保留中")&gt;0,"保留",IF(COUNTIFS(請求記録!$B$6:$B$3005,$A23,請求記録!$Z$6:$Z$3005,L$5)=0,"",SUMIFS(請求記録!$AE$6:$AE$3005,請求記録!$B$6:$B$3005,$A23,請求記録!$Z$6:$Z$3005,L$5))))</f>
        <v/>
      </c>
      <c r="M23" s="19">
        <f>IF($A23="","",IF(COUNTIFS(請求記録!$B$6:$B$3005,$A23,請求記録!$Z$6:$Z$3005,M$5,請求記録!$AF$6:$AF$3005,"保留中")&gt;0,"保留",IF(COUNTIFS(請求記録!$B$6:$B$3005,$A23,請求記録!$Z$6:$Z$3005,M$5)=0,"",SUMIFS(請求記録!$AE$6:$AE$3005,請求記録!$B$6:$B$3005,$A23,請求記録!$Z$6:$Z$3005,M$5))))</f>
        <v/>
      </c>
      <c r="N23" s="19">
        <f>IF($A23="","",IF(COUNTIFS(請求記録!$B$6:$B$3005,$A23,請求記録!$Z$6:$Z$3005,N$5,請求記録!$AF$6:$AF$3005,"保留中")&gt;0,"保留",IF(COUNTIFS(請求記録!$B$6:$B$3005,$A23,請求記録!$Z$6:$Z$3005,N$5)=0,"",SUMIFS(請求記録!$AE$6:$AE$3005,請求記録!$B$6:$B$3005,$A23,請求記録!$Z$6:$Z$3005,N$5))))</f>
        <v/>
      </c>
      <c r="O23" s="19">
        <f>IF($A23="","",IF(COUNTIFS(請求記録!$B$6:$B$3005,$A23,請求記録!$Z$6:$Z$3005,O$5,請求記録!$AF$6:$AF$3005,"保留中")&gt;0,"保留",IF(COUNTIFS(請求記録!$B$6:$B$3005,$A23,請求記録!$Z$6:$Z$3005,O$5)=0,"",SUMIFS(請求記録!$AE$6:$AE$3005,請求記録!$B$6:$B$3005,$A23,請求記録!$Z$6:$Z$3005,O$5))))</f>
        <v/>
      </c>
      <c r="P23" s="19">
        <f>IF($A23="","",IF(COUNTIFS(請求記録!$B$6:$B$3005,$A23,請求記録!$Z$6:$Z$3005,P$5,請求記録!$AF$6:$AF$3005,"保留中")&gt;0,"保留",IF(COUNTIFS(請求記録!$B$6:$B$3005,$A23,請求記録!$Z$6:$Z$3005,P$5)=0,"",SUMIFS(請求記録!$AE$6:$AE$3005,請求記録!$B$6:$B$3005,$A23,請求記録!$Z$6:$Z$3005,P$5))))</f>
        <v/>
      </c>
      <c r="Q23" s="19">
        <f>IF($A23="","",IF(COUNTIFS(請求記録!$B$6:$B$3005,$A23,請求記録!$Z$6:$Z$3005,Q$5,請求記録!$AF$6:$AF$3005,"保留中")&gt;0,"保留",IF(COUNTIFS(請求記録!$B$6:$B$3005,$A23,請求記録!$Z$6:$Z$3005,Q$5)=0,"",SUMIFS(請求記録!$AE$6:$AE$3005,請求記録!$B$6:$B$3005,$A23,請求記録!$Z$6:$Z$3005,Q$5))))</f>
        <v/>
      </c>
      <c r="R23" s="19">
        <f>IF($A23="","",IF(COUNTIFS(請求記録!$B$6:$B$3005,$A23,請求記録!$Z$6:$Z$3005,R$5,請求記録!$AF$6:$AF$3005,"保留中")&gt;0,"保留",IF(COUNTIFS(請求記録!$B$6:$B$3005,$A23,請求記録!$Z$6:$Z$3005,R$5)=0,"",SUMIFS(請求記録!$AE$6:$AE$3005,請求記録!$B$6:$B$3005,$A23,請求記録!$Z$6:$Z$3005,R$5))))</f>
        <v/>
      </c>
      <c r="S23" s="19">
        <f>IF($A23="","",IF(COUNTIFS(請求記録!$B$6:$B$3005,$A23,請求記録!$Z$6:$Z$3005,S$5,請求記録!$AF$6:$AF$3005,"保留中")&gt;0,"保留",IF(COUNTIFS(請求記録!$B$6:$B$3005,$A23,請求記録!$Z$6:$Z$3005,S$5)=0,"",SUMIFS(請求記録!$AE$6:$AE$3005,請求記録!$B$6:$B$3005,$A23,請求記録!$Z$6:$Z$3005,S$5))))</f>
        <v/>
      </c>
      <c r="T23" s="19">
        <f>IF($A23="","",IF(COUNTIFS(請求記録!$B$6:$B$3005,$A23,請求記録!$Z$6:$Z$3005,T$5,請求記録!$AF$6:$AF$3005,"保留中")&gt;0,"保留",IF(COUNTIFS(請求記録!$B$6:$B$3005,$A23,請求記録!$Z$6:$Z$3005,T$5)=0,"",SUMIFS(請求記録!$AE$6:$AE$3005,請求記録!$B$6:$B$3005,$A23,請求記録!$Z$6:$Z$3005,T$5))))</f>
        <v/>
      </c>
      <c r="U23" s="19">
        <f>IF($A23="","",IF(COUNTIFS(請求記録!$B$6:$B$3005,$A23,請求記録!$Z$6:$Z$3005,U$5,請求記録!$AF$6:$AF$3005,"保留中")&gt;0,"保留",IF(COUNTIFS(請求記録!$B$6:$B$3005,$A23,請求記録!$Z$6:$Z$3005,U$5)=0,"",SUMIFS(請求記録!$AE$6:$AE$3005,請求記録!$B$6:$B$3005,$A23,請求記録!$Z$6:$Z$3005,U$5))))</f>
        <v/>
      </c>
      <c r="V23" s="19">
        <f>IF($A23="","",IF(COUNTIFS(請求記録!$B$6:$B$3005,$A23,請求記録!$Z$6:$Z$3005,V$5,請求記録!$AF$6:$AF$3005,"保留中")&gt;0,"保留",IF(COUNTIFS(請求記録!$B$6:$B$3005,$A23,請求記録!$Z$6:$Z$3005,V$5)=0,"",SUMIFS(請求記録!$AE$6:$AE$3005,請求記録!$B$6:$B$3005,$A23,請求記録!$Z$6:$Z$3005,V$5))))</f>
        <v/>
      </c>
      <c r="W23" s="19">
        <f>IF($A23="","",IF(COUNTIFS(請求記録!$B$6:$B$3005,$A23,請求記録!$Z$6:$Z$3005,W$5,請求記録!$AF$6:$AF$3005,"保留中")&gt;0,"保留",IF(COUNTIFS(請求記録!$B$6:$B$3005,$A23,請求記録!$Z$6:$Z$3005,W$5)=0,"",SUMIFS(請求記録!$AE$6:$AE$3005,請求記録!$B$6:$B$3005,$A23,請求記録!$Z$6:$Z$3005,W$5))))</f>
        <v/>
      </c>
      <c r="X23" s="19">
        <f>IF($A23="","",IF(COUNTIFS(請求記録!$B$6:$B$3005,$A23,請求記録!$Z$6:$Z$3005,X$5,請求記録!$AF$6:$AF$3005,"保留中")&gt;0,"保留",IF(COUNTIFS(請求記録!$B$6:$B$3005,$A23,請求記録!$Z$6:$Z$3005,X$5)=0,"",SUMIFS(請求記録!$AE$6:$AE$3005,請求記録!$B$6:$B$3005,$A23,請求記録!$Z$6:$Z$3005,X$5))))</f>
        <v/>
      </c>
      <c r="Y23" s="19">
        <f>IF($A23="","",IF(COUNTIFS(請求記録!$B$6:$B$3005,$A23,請求記録!$Z$6:$Z$3005,Y$5,請求記録!$AF$6:$AF$3005,"保留中")&gt;0,"保留",IF(COUNTIFS(請求記録!$B$6:$B$3005,$A23,請求記録!$Z$6:$Z$3005,Y$5)=0,"",SUMIFS(請求記録!$AE$6:$AE$3005,請求記録!$B$6:$B$3005,$A23,請求記録!$Z$6:$Z$3005,Y$5))))</f>
        <v/>
      </c>
      <c r="Z23" s="19">
        <f>IF($A23="","",IF(COUNTIFS(請求記録!$B$6:$B$3005,$A23,請求記録!$Z$6:$Z$3005,Z$5,請求記録!$AF$6:$AF$3005,"保留中")&gt;0,"保留",IF(COUNTIFS(請求記録!$B$6:$B$3005,$A23,請求記録!$Z$6:$Z$3005,Z$5)=0,"",SUMIFS(請求記録!$AE$6:$AE$3005,請求記録!$B$6:$B$3005,$A23,請求記録!$Z$6:$Z$3005,Z$5))))</f>
        <v/>
      </c>
      <c r="AA23" s="19">
        <f>IF($A23="","",IF(COUNTIFS(請求記録!$B$6:$B$3005,$A23,請求記録!$Z$6:$Z$3005,AA$5,請求記録!$AF$6:$AF$3005,"保留中")&gt;0,"保留",IF(COUNTIFS(請求記録!$B$6:$B$3005,$A23,請求記録!$Z$6:$Z$3005,AA$5)=0,"",SUMIFS(請求記録!$AE$6:$AE$3005,請求記録!$B$6:$B$3005,$A23,請求記録!$Z$6:$Z$3005,AA$5))))</f>
        <v/>
      </c>
      <c r="AB23">
        <f>IF(職員マスタ!P23="保留中",職員マスタ!M23,"")</f>
        <v/>
      </c>
    </row>
    <row r="24">
      <c r="A24">
        <f>IF(職員マスタ!A24="","",職員マスタ!A24)</f>
        <v/>
      </c>
      <c r="B24">
        <f>IF($A24="","",職員マスタ!B24)</f>
        <v/>
      </c>
      <c r="C24">
        <f>IF($A24="","",職員マスタ!C24)</f>
        <v/>
      </c>
      <c r="D24" s="19">
        <f>IF($A24="","",IF(COUNTIFS(請求記録!$B$6:$B$3005,$A24,請求記録!$Z$6:$Z$3005,D$5,請求記録!$AF$6:$AF$3005,"保留中")&gt;0,"保留",IF(COUNTIFS(請求記録!$B$6:$B$3005,$A24,請求記録!$Z$6:$Z$3005,D$5)=0,"",SUMIFS(請求記録!$AE$6:$AE$3005,請求記録!$B$6:$B$3005,$A24,請求記録!$Z$6:$Z$3005,D$5))))</f>
        <v/>
      </c>
      <c r="E24" s="19">
        <f>IF($A24="","",IF(COUNTIFS(請求記録!$B$6:$B$3005,$A24,請求記録!$Z$6:$Z$3005,E$5,請求記録!$AF$6:$AF$3005,"保留中")&gt;0,"保留",IF(COUNTIFS(請求記録!$B$6:$B$3005,$A24,請求記録!$Z$6:$Z$3005,E$5)=0,"",SUMIFS(請求記録!$AE$6:$AE$3005,請求記録!$B$6:$B$3005,$A24,請求記録!$Z$6:$Z$3005,E$5))))</f>
        <v/>
      </c>
      <c r="F24" s="19">
        <f>IF($A24="","",IF(COUNTIFS(請求記録!$B$6:$B$3005,$A24,請求記録!$Z$6:$Z$3005,F$5,請求記録!$AF$6:$AF$3005,"保留中")&gt;0,"保留",IF(COUNTIFS(請求記録!$B$6:$B$3005,$A24,請求記録!$Z$6:$Z$3005,F$5)=0,"",SUMIFS(請求記録!$AE$6:$AE$3005,請求記録!$B$6:$B$3005,$A24,請求記録!$Z$6:$Z$3005,F$5))))</f>
        <v/>
      </c>
      <c r="G24" s="19">
        <f>IF($A24="","",IF(COUNTIFS(請求記録!$B$6:$B$3005,$A24,請求記録!$Z$6:$Z$3005,G$5,請求記録!$AF$6:$AF$3005,"保留中")&gt;0,"保留",IF(COUNTIFS(請求記録!$B$6:$B$3005,$A24,請求記録!$Z$6:$Z$3005,G$5)=0,"",SUMIFS(請求記録!$AE$6:$AE$3005,請求記録!$B$6:$B$3005,$A24,請求記録!$Z$6:$Z$3005,G$5))))</f>
        <v/>
      </c>
      <c r="H24" s="19">
        <f>IF($A24="","",IF(COUNTIFS(請求記録!$B$6:$B$3005,$A24,請求記録!$Z$6:$Z$3005,H$5,請求記録!$AF$6:$AF$3005,"保留中")&gt;0,"保留",IF(COUNTIFS(請求記録!$B$6:$B$3005,$A24,請求記録!$Z$6:$Z$3005,H$5)=0,"",SUMIFS(請求記録!$AE$6:$AE$3005,請求記録!$B$6:$B$3005,$A24,請求記録!$Z$6:$Z$3005,H$5))))</f>
        <v/>
      </c>
      <c r="I24" s="19">
        <f>IF($A24="","",IF(COUNTIFS(請求記録!$B$6:$B$3005,$A24,請求記録!$Z$6:$Z$3005,I$5,請求記録!$AF$6:$AF$3005,"保留中")&gt;0,"保留",IF(COUNTIFS(請求記録!$B$6:$B$3005,$A24,請求記録!$Z$6:$Z$3005,I$5)=0,"",SUMIFS(請求記録!$AE$6:$AE$3005,請求記録!$B$6:$B$3005,$A24,請求記録!$Z$6:$Z$3005,I$5))))</f>
        <v/>
      </c>
      <c r="J24" s="19">
        <f>IF($A24="","",IF(COUNTIFS(請求記録!$B$6:$B$3005,$A24,請求記録!$Z$6:$Z$3005,J$5,請求記録!$AF$6:$AF$3005,"保留中")&gt;0,"保留",IF(COUNTIFS(請求記録!$B$6:$B$3005,$A24,請求記録!$Z$6:$Z$3005,J$5)=0,"",SUMIFS(請求記録!$AE$6:$AE$3005,請求記録!$B$6:$B$3005,$A24,請求記録!$Z$6:$Z$3005,J$5))))</f>
        <v/>
      </c>
      <c r="K24" s="19">
        <f>IF($A24="","",IF(COUNTIFS(請求記録!$B$6:$B$3005,$A24,請求記録!$Z$6:$Z$3005,K$5,請求記録!$AF$6:$AF$3005,"保留中")&gt;0,"保留",IF(COUNTIFS(請求記録!$B$6:$B$3005,$A24,請求記録!$Z$6:$Z$3005,K$5)=0,"",SUMIFS(請求記録!$AE$6:$AE$3005,請求記録!$B$6:$B$3005,$A24,請求記録!$Z$6:$Z$3005,K$5))))</f>
        <v/>
      </c>
      <c r="L24" s="19">
        <f>IF($A24="","",IF(COUNTIFS(請求記録!$B$6:$B$3005,$A24,請求記録!$Z$6:$Z$3005,L$5,請求記録!$AF$6:$AF$3005,"保留中")&gt;0,"保留",IF(COUNTIFS(請求記録!$B$6:$B$3005,$A24,請求記録!$Z$6:$Z$3005,L$5)=0,"",SUMIFS(請求記録!$AE$6:$AE$3005,請求記録!$B$6:$B$3005,$A24,請求記録!$Z$6:$Z$3005,L$5))))</f>
        <v/>
      </c>
      <c r="M24" s="19">
        <f>IF($A24="","",IF(COUNTIFS(請求記録!$B$6:$B$3005,$A24,請求記録!$Z$6:$Z$3005,M$5,請求記録!$AF$6:$AF$3005,"保留中")&gt;0,"保留",IF(COUNTIFS(請求記録!$B$6:$B$3005,$A24,請求記録!$Z$6:$Z$3005,M$5)=0,"",SUMIFS(請求記録!$AE$6:$AE$3005,請求記録!$B$6:$B$3005,$A24,請求記録!$Z$6:$Z$3005,M$5))))</f>
        <v/>
      </c>
      <c r="N24" s="19">
        <f>IF($A24="","",IF(COUNTIFS(請求記録!$B$6:$B$3005,$A24,請求記録!$Z$6:$Z$3005,N$5,請求記録!$AF$6:$AF$3005,"保留中")&gt;0,"保留",IF(COUNTIFS(請求記録!$B$6:$B$3005,$A24,請求記録!$Z$6:$Z$3005,N$5)=0,"",SUMIFS(請求記録!$AE$6:$AE$3005,請求記録!$B$6:$B$3005,$A24,請求記録!$Z$6:$Z$3005,N$5))))</f>
        <v/>
      </c>
      <c r="O24" s="19">
        <f>IF($A24="","",IF(COUNTIFS(請求記録!$B$6:$B$3005,$A24,請求記録!$Z$6:$Z$3005,O$5,請求記録!$AF$6:$AF$3005,"保留中")&gt;0,"保留",IF(COUNTIFS(請求記録!$B$6:$B$3005,$A24,請求記録!$Z$6:$Z$3005,O$5)=0,"",SUMIFS(請求記録!$AE$6:$AE$3005,請求記録!$B$6:$B$3005,$A24,請求記録!$Z$6:$Z$3005,O$5))))</f>
        <v/>
      </c>
      <c r="P24" s="19">
        <f>IF($A24="","",IF(COUNTIFS(請求記録!$B$6:$B$3005,$A24,請求記録!$Z$6:$Z$3005,P$5,請求記録!$AF$6:$AF$3005,"保留中")&gt;0,"保留",IF(COUNTIFS(請求記録!$B$6:$B$3005,$A24,請求記録!$Z$6:$Z$3005,P$5)=0,"",SUMIFS(請求記録!$AE$6:$AE$3005,請求記録!$B$6:$B$3005,$A24,請求記録!$Z$6:$Z$3005,P$5))))</f>
        <v/>
      </c>
      <c r="Q24" s="19">
        <f>IF($A24="","",IF(COUNTIFS(請求記録!$B$6:$B$3005,$A24,請求記録!$Z$6:$Z$3005,Q$5,請求記録!$AF$6:$AF$3005,"保留中")&gt;0,"保留",IF(COUNTIFS(請求記録!$B$6:$B$3005,$A24,請求記録!$Z$6:$Z$3005,Q$5)=0,"",SUMIFS(請求記録!$AE$6:$AE$3005,請求記録!$B$6:$B$3005,$A24,請求記録!$Z$6:$Z$3005,Q$5))))</f>
        <v/>
      </c>
      <c r="R24" s="19">
        <f>IF($A24="","",IF(COUNTIFS(請求記録!$B$6:$B$3005,$A24,請求記録!$Z$6:$Z$3005,R$5,請求記録!$AF$6:$AF$3005,"保留中")&gt;0,"保留",IF(COUNTIFS(請求記録!$B$6:$B$3005,$A24,請求記録!$Z$6:$Z$3005,R$5)=0,"",SUMIFS(請求記録!$AE$6:$AE$3005,請求記録!$B$6:$B$3005,$A24,請求記録!$Z$6:$Z$3005,R$5))))</f>
        <v/>
      </c>
      <c r="S24" s="19">
        <f>IF($A24="","",IF(COUNTIFS(請求記録!$B$6:$B$3005,$A24,請求記録!$Z$6:$Z$3005,S$5,請求記録!$AF$6:$AF$3005,"保留中")&gt;0,"保留",IF(COUNTIFS(請求記録!$B$6:$B$3005,$A24,請求記録!$Z$6:$Z$3005,S$5)=0,"",SUMIFS(請求記録!$AE$6:$AE$3005,請求記録!$B$6:$B$3005,$A24,請求記録!$Z$6:$Z$3005,S$5))))</f>
        <v/>
      </c>
      <c r="T24" s="19">
        <f>IF($A24="","",IF(COUNTIFS(請求記録!$B$6:$B$3005,$A24,請求記録!$Z$6:$Z$3005,T$5,請求記録!$AF$6:$AF$3005,"保留中")&gt;0,"保留",IF(COUNTIFS(請求記録!$B$6:$B$3005,$A24,請求記録!$Z$6:$Z$3005,T$5)=0,"",SUMIFS(請求記録!$AE$6:$AE$3005,請求記録!$B$6:$B$3005,$A24,請求記録!$Z$6:$Z$3005,T$5))))</f>
        <v/>
      </c>
      <c r="U24" s="19">
        <f>IF($A24="","",IF(COUNTIFS(請求記録!$B$6:$B$3005,$A24,請求記録!$Z$6:$Z$3005,U$5,請求記録!$AF$6:$AF$3005,"保留中")&gt;0,"保留",IF(COUNTIFS(請求記録!$B$6:$B$3005,$A24,請求記録!$Z$6:$Z$3005,U$5)=0,"",SUMIFS(請求記録!$AE$6:$AE$3005,請求記録!$B$6:$B$3005,$A24,請求記録!$Z$6:$Z$3005,U$5))))</f>
        <v/>
      </c>
      <c r="V24" s="19">
        <f>IF($A24="","",IF(COUNTIFS(請求記録!$B$6:$B$3005,$A24,請求記録!$Z$6:$Z$3005,V$5,請求記録!$AF$6:$AF$3005,"保留中")&gt;0,"保留",IF(COUNTIFS(請求記録!$B$6:$B$3005,$A24,請求記録!$Z$6:$Z$3005,V$5)=0,"",SUMIFS(請求記録!$AE$6:$AE$3005,請求記録!$B$6:$B$3005,$A24,請求記録!$Z$6:$Z$3005,V$5))))</f>
        <v/>
      </c>
      <c r="W24" s="19">
        <f>IF($A24="","",IF(COUNTIFS(請求記録!$B$6:$B$3005,$A24,請求記録!$Z$6:$Z$3005,W$5,請求記録!$AF$6:$AF$3005,"保留中")&gt;0,"保留",IF(COUNTIFS(請求記録!$B$6:$B$3005,$A24,請求記録!$Z$6:$Z$3005,W$5)=0,"",SUMIFS(請求記録!$AE$6:$AE$3005,請求記録!$B$6:$B$3005,$A24,請求記録!$Z$6:$Z$3005,W$5))))</f>
        <v/>
      </c>
      <c r="X24" s="19">
        <f>IF($A24="","",IF(COUNTIFS(請求記録!$B$6:$B$3005,$A24,請求記録!$Z$6:$Z$3005,X$5,請求記録!$AF$6:$AF$3005,"保留中")&gt;0,"保留",IF(COUNTIFS(請求記録!$B$6:$B$3005,$A24,請求記録!$Z$6:$Z$3005,X$5)=0,"",SUMIFS(請求記録!$AE$6:$AE$3005,請求記録!$B$6:$B$3005,$A24,請求記録!$Z$6:$Z$3005,X$5))))</f>
        <v/>
      </c>
      <c r="Y24" s="19">
        <f>IF($A24="","",IF(COUNTIFS(請求記録!$B$6:$B$3005,$A24,請求記録!$Z$6:$Z$3005,Y$5,請求記録!$AF$6:$AF$3005,"保留中")&gt;0,"保留",IF(COUNTIFS(請求記録!$B$6:$B$3005,$A24,請求記録!$Z$6:$Z$3005,Y$5)=0,"",SUMIFS(請求記録!$AE$6:$AE$3005,請求記録!$B$6:$B$3005,$A24,請求記録!$Z$6:$Z$3005,Y$5))))</f>
        <v/>
      </c>
      <c r="Z24" s="19">
        <f>IF($A24="","",IF(COUNTIFS(請求記録!$B$6:$B$3005,$A24,請求記録!$Z$6:$Z$3005,Z$5,請求記録!$AF$6:$AF$3005,"保留中")&gt;0,"保留",IF(COUNTIFS(請求記録!$B$6:$B$3005,$A24,請求記録!$Z$6:$Z$3005,Z$5)=0,"",SUMIFS(請求記録!$AE$6:$AE$3005,請求記録!$B$6:$B$3005,$A24,請求記録!$Z$6:$Z$3005,Z$5))))</f>
        <v/>
      </c>
      <c r="AA24" s="19">
        <f>IF($A24="","",IF(COUNTIFS(請求記録!$B$6:$B$3005,$A24,請求記録!$Z$6:$Z$3005,AA$5,請求記録!$AF$6:$AF$3005,"保留中")&gt;0,"保留",IF(COUNTIFS(請求記録!$B$6:$B$3005,$A24,請求記録!$Z$6:$Z$3005,AA$5)=0,"",SUMIFS(請求記録!$AE$6:$AE$3005,請求記録!$B$6:$B$3005,$A24,請求記録!$Z$6:$Z$3005,AA$5))))</f>
        <v/>
      </c>
      <c r="AB24">
        <f>IF(職員マスタ!P24="保留中",職員マスタ!M24,"")</f>
        <v/>
      </c>
    </row>
    <row r="25">
      <c r="A25">
        <f>IF(職員マスタ!A25="","",職員マスタ!A25)</f>
        <v/>
      </c>
      <c r="B25">
        <f>IF($A25="","",職員マスタ!B25)</f>
        <v/>
      </c>
      <c r="C25">
        <f>IF($A25="","",職員マスタ!C25)</f>
        <v/>
      </c>
      <c r="D25" s="19">
        <f>IF($A25="","",IF(COUNTIFS(請求記録!$B$6:$B$3005,$A25,請求記録!$Z$6:$Z$3005,D$5,請求記録!$AF$6:$AF$3005,"保留中")&gt;0,"保留",IF(COUNTIFS(請求記録!$B$6:$B$3005,$A25,請求記録!$Z$6:$Z$3005,D$5)=0,"",SUMIFS(請求記録!$AE$6:$AE$3005,請求記録!$B$6:$B$3005,$A25,請求記録!$Z$6:$Z$3005,D$5))))</f>
        <v/>
      </c>
      <c r="E25" s="19">
        <f>IF($A25="","",IF(COUNTIFS(請求記録!$B$6:$B$3005,$A25,請求記録!$Z$6:$Z$3005,E$5,請求記録!$AF$6:$AF$3005,"保留中")&gt;0,"保留",IF(COUNTIFS(請求記録!$B$6:$B$3005,$A25,請求記録!$Z$6:$Z$3005,E$5)=0,"",SUMIFS(請求記録!$AE$6:$AE$3005,請求記録!$B$6:$B$3005,$A25,請求記録!$Z$6:$Z$3005,E$5))))</f>
        <v/>
      </c>
      <c r="F25" s="19">
        <f>IF($A25="","",IF(COUNTIFS(請求記録!$B$6:$B$3005,$A25,請求記録!$Z$6:$Z$3005,F$5,請求記録!$AF$6:$AF$3005,"保留中")&gt;0,"保留",IF(COUNTIFS(請求記録!$B$6:$B$3005,$A25,請求記録!$Z$6:$Z$3005,F$5)=0,"",SUMIFS(請求記録!$AE$6:$AE$3005,請求記録!$B$6:$B$3005,$A25,請求記録!$Z$6:$Z$3005,F$5))))</f>
        <v/>
      </c>
      <c r="G25" s="19">
        <f>IF($A25="","",IF(COUNTIFS(請求記録!$B$6:$B$3005,$A25,請求記録!$Z$6:$Z$3005,G$5,請求記録!$AF$6:$AF$3005,"保留中")&gt;0,"保留",IF(COUNTIFS(請求記録!$B$6:$B$3005,$A25,請求記録!$Z$6:$Z$3005,G$5)=0,"",SUMIFS(請求記録!$AE$6:$AE$3005,請求記録!$B$6:$B$3005,$A25,請求記録!$Z$6:$Z$3005,G$5))))</f>
        <v/>
      </c>
      <c r="H25" s="19">
        <f>IF($A25="","",IF(COUNTIFS(請求記録!$B$6:$B$3005,$A25,請求記録!$Z$6:$Z$3005,H$5,請求記録!$AF$6:$AF$3005,"保留中")&gt;0,"保留",IF(COUNTIFS(請求記録!$B$6:$B$3005,$A25,請求記録!$Z$6:$Z$3005,H$5)=0,"",SUMIFS(請求記録!$AE$6:$AE$3005,請求記録!$B$6:$B$3005,$A25,請求記録!$Z$6:$Z$3005,H$5))))</f>
        <v/>
      </c>
      <c r="I25" s="19">
        <f>IF($A25="","",IF(COUNTIFS(請求記録!$B$6:$B$3005,$A25,請求記録!$Z$6:$Z$3005,I$5,請求記録!$AF$6:$AF$3005,"保留中")&gt;0,"保留",IF(COUNTIFS(請求記録!$B$6:$B$3005,$A25,請求記録!$Z$6:$Z$3005,I$5)=0,"",SUMIFS(請求記録!$AE$6:$AE$3005,請求記録!$B$6:$B$3005,$A25,請求記録!$Z$6:$Z$3005,I$5))))</f>
        <v/>
      </c>
      <c r="J25" s="19">
        <f>IF($A25="","",IF(COUNTIFS(請求記録!$B$6:$B$3005,$A25,請求記録!$Z$6:$Z$3005,J$5,請求記録!$AF$6:$AF$3005,"保留中")&gt;0,"保留",IF(COUNTIFS(請求記録!$B$6:$B$3005,$A25,請求記録!$Z$6:$Z$3005,J$5)=0,"",SUMIFS(請求記録!$AE$6:$AE$3005,請求記録!$B$6:$B$3005,$A25,請求記録!$Z$6:$Z$3005,J$5))))</f>
        <v/>
      </c>
      <c r="K25" s="19">
        <f>IF($A25="","",IF(COUNTIFS(請求記録!$B$6:$B$3005,$A25,請求記録!$Z$6:$Z$3005,K$5,請求記録!$AF$6:$AF$3005,"保留中")&gt;0,"保留",IF(COUNTIFS(請求記録!$B$6:$B$3005,$A25,請求記録!$Z$6:$Z$3005,K$5)=0,"",SUMIFS(請求記録!$AE$6:$AE$3005,請求記録!$B$6:$B$3005,$A25,請求記録!$Z$6:$Z$3005,K$5))))</f>
        <v/>
      </c>
      <c r="L25" s="19">
        <f>IF($A25="","",IF(COUNTIFS(請求記録!$B$6:$B$3005,$A25,請求記録!$Z$6:$Z$3005,L$5,請求記録!$AF$6:$AF$3005,"保留中")&gt;0,"保留",IF(COUNTIFS(請求記録!$B$6:$B$3005,$A25,請求記録!$Z$6:$Z$3005,L$5)=0,"",SUMIFS(請求記録!$AE$6:$AE$3005,請求記録!$B$6:$B$3005,$A25,請求記録!$Z$6:$Z$3005,L$5))))</f>
        <v/>
      </c>
      <c r="M25" s="19">
        <f>IF($A25="","",IF(COUNTIFS(請求記録!$B$6:$B$3005,$A25,請求記録!$Z$6:$Z$3005,M$5,請求記録!$AF$6:$AF$3005,"保留中")&gt;0,"保留",IF(COUNTIFS(請求記録!$B$6:$B$3005,$A25,請求記録!$Z$6:$Z$3005,M$5)=0,"",SUMIFS(請求記録!$AE$6:$AE$3005,請求記録!$B$6:$B$3005,$A25,請求記録!$Z$6:$Z$3005,M$5))))</f>
        <v/>
      </c>
      <c r="N25" s="19">
        <f>IF($A25="","",IF(COUNTIFS(請求記録!$B$6:$B$3005,$A25,請求記録!$Z$6:$Z$3005,N$5,請求記録!$AF$6:$AF$3005,"保留中")&gt;0,"保留",IF(COUNTIFS(請求記録!$B$6:$B$3005,$A25,請求記録!$Z$6:$Z$3005,N$5)=0,"",SUMIFS(請求記録!$AE$6:$AE$3005,請求記録!$B$6:$B$3005,$A25,請求記録!$Z$6:$Z$3005,N$5))))</f>
        <v/>
      </c>
      <c r="O25" s="19">
        <f>IF($A25="","",IF(COUNTIFS(請求記録!$B$6:$B$3005,$A25,請求記録!$Z$6:$Z$3005,O$5,請求記録!$AF$6:$AF$3005,"保留中")&gt;0,"保留",IF(COUNTIFS(請求記録!$B$6:$B$3005,$A25,請求記録!$Z$6:$Z$3005,O$5)=0,"",SUMIFS(請求記録!$AE$6:$AE$3005,請求記録!$B$6:$B$3005,$A25,請求記録!$Z$6:$Z$3005,O$5))))</f>
        <v/>
      </c>
      <c r="P25" s="19">
        <f>IF($A25="","",IF(COUNTIFS(請求記録!$B$6:$B$3005,$A25,請求記録!$Z$6:$Z$3005,P$5,請求記録!$AF$6:$AF$3005,"保留中")&gt;0,"保留",IF(COUNTIFS(請求記録!$B$6:$B$3005,$A25,請求記録!$Z$6:$Z$3005,P$5)=0,"",SUMIFS(請求記録!$AE$6:$AE$3005,請求記録!$B$6:$B$3005,$A25,請求記録!$Z$6:$Z$3005,P$5))))</f>
        <v/>
      </c>
      <c r="Q25" s="19">
        <f>IF($A25="","",IF(COUNTIFS(請求記録!$B$6:$B$3005,$A25,請求記録!$Z$6:$Z$3005,Q$5,請求記録!$AF$6:$AF$3005,"保留中")&gt;0,"保留",IF(COUNTIFS(請求記録!$B$6:$B$3005,$A25,請求記録!$Z$6:$Z$3005,Q$5)=0,"",SUMIFS(請求記録!$AE$6:$AE$3005,請求記録!$B$6:$B$3005,$A25,請求記録!$Z$6:$Z$3005,Q$5))))</f>
        <v/>
      </c>
      <c r="R25" s="19">
        <f>IF($A25="","",IF(COUNTIFS(請求記録!$B$6:$B$3005,$A25,請求記録!$Z$6:$Z$3005,R$5,請求記録!$AF$6:$AF$3005,"保留中")&gt;0,"保留",IF(COUNTIFS(請求記録!$B$6:$B$3005,$A25,請求記録!$Z$6:$Z$3005,R$5)=0,"",SUMIFS(請求記録!$AE$6:$AE$3005,請求記録!$B$6:$B$3005,$A25,請求記録!$Z$6:$Z$3005,R$5))))</f>
        <v/>
      </c>
      <c r="S25" s="19">
        <f>IF($A25="","",IF(COUNTIFS(請求記録!$B$6:$B$3005,$A25,請求記録!$Z$6:$Z$3005,S$5,請求記録!$AF$6:$AF$3005,"保留中")&gt;0,"保留",IF(COUNTIFS(請求記録!$B$6:$B$3005,$A25,請求記録!$Z$6:$Z$3005,S$5)=0,"",SUMIFS(請求記録!$AE$6:$AE$3005,請求記録!$B$6:$B$3005,$A25,請求記録!$Z$6:$Z$3005,S$5))))</f>
        <v/>
      </c>
      <c r="T25" s="19">
        <f>IF($A25="","",IF(COUNTIFS(請求記録!$B$6:$B$3005,$A25,請求記録!$Z$6:$Z$3005,T$5,請求記録!$AF$6:$AF$3005,"保留中")&gt;0,"保留",IF(COUNTIFS(請求記録!$B$6:$B$3005,$A25,請求記録!$Z$6:$Z$3005,T$5)=0,"",SUMIFS(請求記録!$AE$6:$AE$3005,請求記録!$B$6:$B$3005,$A25,請求記録!$Z$6:$Z$3005,T$5))))</f>
        <v/>
      </c>
      <c r="U25" s="19">
        <f>IF($A25="","",IF(COUNTIFS(請求記録!$B$6:$B$3005,$A25,請求記録!$Z$6:$Z$3005,U$5,請求記録!$AF$6:$AF$3005,"保留中")&gt;0,"保留",IF(COUNTIFS(請求記録!$B$6:$B$3005,$A25,請求記録!$Z$6:$Z$3005,U$5)=0,"",SUMIFS(請求記録!$AE$6:$AE$3005,請求記録!$B$6:$B$3005,$A25,請求記録!$Z$6:$Z$3005,U$5))))</f>
        <v/>
      </c>
      <c r="V25" s="19">
        <f>IF($A25="","",IF(COUNTIFS(請求記録!$B$6:$B$3005,$A25,請求記録!$Z$6:$Z$3005,V$5,請求記録!$AF$6:$AF$3005,"保留中")&gt;0,"保留",IF(COUNTIFS(請求記録!$B$6:$B$3005,$A25,請求記録!$Z$6:$Z$3005,V$5)=0,"",SUMIFS(請求記録!$AE$6:$AE$3005,請求記録!$B$6:$B$3005,$A25,請求記録!$Z$6:$Z$3005,V$5))))</f>
        <v/>
      </c>
      <c r="W25" s="19">
        <f>IF($A25="","",IF(COUNTIFS(請求記録!$B$6:$B$3005,$A25,請求記録!$Z$6:$Z$3005,W$5,請求記録!$AF$6:$AF$3005,"保留中")&gt;0,"保留",IF(COUNTIFS(請求記録!$B$6:$B$3005,$A25,請求記録!$Z$6:$Z$3005,W$5)=0,"",SUMIFS(請求記録!$AE$6:$AE$3005,請求記録!$B$6:$B$3005,$A25,請求記録!$Z$6:$Z$3005,W$5))))</f>
        <v/>
      </c>
      <c r="X25" s="19">
        <f>IF($A25="","",IF(COUNTIFS(請求記録!$B$6:$B$3005,$A25,請求記録!$Z$6:$Z$3005,X$5,請求記録!$AF$6:$AF$3005,"保留中")&gt;0,"保留",IF(COUNTIFS(請求記録!$B$6:$B$3005,$A25,請求記録!$Z$6:$Z$3005,X$5)=0,"",SUMIFS(請求記録!$AE$6:$AE$3005,請求記録!$B$6:$B$3005,$A25,請求記録!$Z$6:$Z$3005,X$5))))</f>
        <v/>
      </c>
      <c r="Y25" s="19">
        <f>IF($A25="","",IF(COUNTIFS(請求記録!$B$6:$B$3005,$A25,請求記録!$Z$6:$Z$3005,Y$5,請求記録!$AF$6:$AF$3005,"保留中")&gt;0,"保留",IF(COUNTIFS(請求記録!$B$6:$B$3005,$A25,請求記録!$Z$6:$Z$3005,Y$5)=0,"",SUMIFS(請求記録!$AE$6:$AE$3005,請求記録!$B$6:$B$3005,$A25,請求記録!$Z$6:$Z$3005,Y$5))))</f>
        <v/>
      </c>
      <c r="Z25" s="19">
        <f>IF($A25="","",IF(COUNTIFS(請求記録!$B$6:$B$3005,$A25,請求記録!$Z$6:$Z$3005,Z$5,請求記録!$AF$6:$AF$3005,"保留中")&gt;0,"保留",IF(COUNTIFS(請求記録!$B$6:$B$3005,$A25,請求記録!$Z$6:$Z$3005,Z$5)=0,"",SUMIFS(請求記録!$AE$6:$AE$3005,請求記録!$B$6:$B$3005,$A25,請求記録!$Z$6:$Z$3005,Z$5))))</f>
        <v/>
      </c>
      <c r="AA25" s="19">
        <f>IF($A25="","",IF(COUNTIFS(請求記録!$B$6:$B$3005,$A25,請求記録!$Z$6:$Z$3005,AA$5,請求記録!$AF$6:$AF$3005,"保留中")&gt;0,"保留",IF(COUNTIFS(請求記録!$B$6:$B$3005,$A25,請求記録!$Z$6:$Z$3005,AA$5)=0,"",SUMIFS(請求記録!$AE$6:$AE$3005,請求記録!$B$6:$B$3005,$A25,請求記録!$Z$6:$Z$3005,AA$5))))</f>
        <v/>
      </c>
      <c r="AB25">
        <f>IF(職員マスタ!P25="保留中",職員マスタ!M25,"")</f>
        <v/>
      </c>
    </row>
    <row r="26">
      <c r="A26">
        <f>IF(職員マスタ!A26="","",職員マスタ!A26)</f>
        <v/>
      </c>
      <c r="B26">
        <f>IF($A26="","",職員マスタ!B26)</f>
        <v/>
      </c>
      <c r="C26">
        <f>IF($A26="","",職員マスタ!C26)</f>
        <v/>
      </c>
      <c r="D26" s="19">
        <f>IF($A26="","",IF(COUNTIFS(請求記録!$B$6:$B$3005,$A26,請求記録!$Z$6:$Z$3005,D$5,請求記録!$AF$6:$AF$3005,"保留中")&gt;0,"保留",IF(COUNTIFS(請求記録!$B$6:$B$3005,$A26,請求記録!$Z$6:$Z$3005,D$5)=0,"",SUMIFS(請求記録!$AE$6:$AE$3005,請求記録!$B$6:$B$3005,$A26,請求記録!$Z$6:$Z$3005,D$5))))</f>
        <v/>
      </c>
      <c r="E26" s="19">
        <f>IF($A26="","",IF(COUNTIFS(請求記録!$B$6:$B$3005,$A26,請求記録!$Z$6:$Z$3005,E$5,請求記録!$AF$6:$AF$3005,"保留中")&gt;0,"保留",IF(COUNTIFS(請求記録!$B$6:$B$3005,$A26,請求記録!$Z$6:$Z$3005,E$5)=0,"",SUMIFS(請求記録!$AE$6:$AE$3005,請求記録!$B$6:$B$3005,$A26,請求記録!$Z$6:$Z$3005,E$5))))</f>
        <v/>
      </c>
      <c r="F26" s="19">
        <f>IF($A26="","",IF(COUNTIFS(請求記録!$B$6:$B$3005,$A26,請求記録!$Z$6:$Z$3005,F$5,請求記録!$AF$6:$AF$3005,"保留中")&gt;0,"保留",IF(COUNTIFS(請求記録!$B$6:$B$3005,$A26,請求記録!$Z$6:$Z$3005,F$5)=0,"",SUMIFS(請求記録!$AE$6:$AE$3005,請求記録!$B$6:$B$3005,$A26,請求記録!$Z$6:$Z$3005,F$5))))</f>
        <v/>
      </c>
      <c r="G26" s="19">
        <f>IF($A26="","",IF(COUNTIFS(請求記録!$B$6:$B$3005,$A26,請求記録!$Z$6:$Z$3005,G$5,請求記録!$AF$6:$AF$3005,"保留中")&gt;0,"保留",IF(COUNTIFS(請求記録!$B$6:$B$3005,$A26,請求記録!$Z$6:$Z$3005,G$5)=0,"",SUMIFS(請求記録!$AE$6:$AE$3005,請求記録!$B$6:$B$3005,$A26,請求記録!$Z$6:$Z$3005,G$5))))</f>
        <v/>
      </c>
      <c r="H26" s="19">
        <f>IF($A26="","",IF(COUNTIFS(請求記録!$B$6:$B$3005,$A26,請求記録!$Z$6:$Z$3005,H$5,請求記録!$AF$6:$AF$3005,"保留中")&gt;0,"保留",IF(COUNTIFS(請求記録!$B$6:$B$3005,$A26,請求記録!$Z$6:$Z$3005,H$5)=0,"",SUMIFS(請求記録!$AE$6:$AE$3005,請求記録!$B$6:$B$3005,$A26,請求記録!$Z$6:$Z$3005,H$5))))</f>
        <v/>
      </c>
      <c r="I26" s="19">
        <f>IF($A26="","",IF(COUNTIFS(請求記録!$B$6:$B$3005,$A26,請求記録!$Z$6:$Z$3005,I$5,請求記録!$AF$6:$AF$3005,"保留中")&gt;0,"保留",IF(COUNTIFS(請求記録!$B$6:$B$3005,$A26,請求記録!$Z$6:$Z$3005,I$5)=0,"",SUMIFS(請求記録!$AE$6:$AE$3005,請求記録!$B$6:$B$3005,$A26,請求記録!$Z$6:$Z$3005,I$5))))</f>
        <v/>
      </c>
      <c r="J26" s="19">
        <f>IF($A26="","",IF(COUNTIFS(請求記録!$B$6:$B$3005,$A26,請求記録!$Z$6:$Z$3005,J$5,請求記録!$AF$6:$AF$3005,"保留中")&gt;0,"保留",IF(COUNTIFS(請求記録!$B$6:$B$3005,$A26,請求記録!$Z$6:$Z$3005,J$5)=0,"",SUMIFS(請求記録!$AE$6:$AE$3005,請求記録!$B$6:$B$3005,$A26,請求記録!$Z$6:$Z$3005,J$5))))</f>
        <v/>
      </c>
      <c r="K26" s="19">
        <f>IF($A26="","",IF(COUNTIFS(請求記録!$B$6:$B$3005,$A26,請求記録!$Z$6:$Z$3005,K$5,請求記録!$AF$6:$AF$3005,"保留中")&gt;0,"保留",IF(COUNTIFS(請求記録!$B$6:$B$3005,$A26,請求記録!$Z$6:$Z$3005,K$5)=0,"",SUMIFS(請求記録!$AE$6:$AE$3005,請求記録!$B$6:$B$3005,$A26,請求記録!$Z$6:$Z$3005,K$5))))</f>
        <v/>
      </c>
      <c r="L26" s="19">
        <f>IF($A26="","",IF(COUNTIFS(請求記録!$B$6:$B$3005,$A26,請求記録!$Z$6:$Z$3005,L$5,請求記録!$AF$6:$AF$3005,"保留中")&gt;0,"保留",IF(COUNTIFS(請求記録!$B$6:$B$3005,$A26,請求記録!$Z$6:$Z$3005,L$5)=0,"",SUMIFS(請求記録!$AE$6:$AE$3005,請求記録!$B$6:$B$3005,$A26,請求記録!$Z$6:$Z$3005,L$5))))</f>
        <v/>
      </c>
      <c r="M26" s="19">
        <f>IF($A26="","",IF(COUNTIFS(請求記録!$B$6:$B$3005,$A26,請求記録!$Z$6:$Z$3005,M$5,請求記録!$AF$6:$AF$3005,"保留中")&gt;0,"保留",IF(COUNTIFS(請求記録!$B$6:$B$3005,$A26,請求記録!$Z$6:$Z$3005,M$5)=0,"",SUMIFS(請求記録!$AE$6:$AE$3005,請求記録!$B$6:$B$3005,$A26,請求記録!$Z$6:$Z$3005,M$5))))</f>
        <v/>
      </c>
      <c r="N26" s="19">
        <f>IF($A26="","",IF(COUNTIFS(請求記録!$B$6:$B$3005,$A26,請求記録!$Z$6:$Z$3005,N$5,請求記録!$AF$6:$AF$3005,"保留中")&gt;0,"保留",IF(COUNTIFS(請求記録!$B$6:$B$3005,$A26,請求記録!$Z$6:$Z$3005,N$5)=0,"",SUMIFS(請求記録!$AE$6:$AE$3005,請求記録!$B$6:$B$3005,$A26,請求記録!$Z$6:$Z$3005,N$5))))</f>
        <v/>
      </c>
      <c r="O26" s="19">
        <f>IF($A26="","",IF(COUNTIFS(請求記録!$B$6:$B$3005,$A26,請求記録!$Z$6:$Z$3005,O$5,請求記録!$AF$6:$AF$3005,"保留中")&gt;0,"保留",IF(COUNTIFS(請求記録!$B$6:$B$3005,$A26,請求記録!$Z$6:$Z$3005,O$5)=0,"",SUMIFS(請求記録!$AE$6:$AE$3005,請求記録!$B$6:$B$3005,$A26,請求記録!$Z$6:$Z$3005,O$5))))</f>
        <v/>
      </c>
      <c r="P26" s="19">
        <f>IF($A26="","",IF(COUNTIFS(請求記録!$B$6:$B$3005,$A26,請求記録!$Z$6:$Z$3005,P$5,請求記録!$AF$6:$AF$3005,"保留中")&gt;0,"保留",IF(COUNTIFS(請求記録!$B$6:$B$3005,$A26,請求記録!$Z$6:$Z$3005,P$5)=0,"",SUMIFS(請求記録!$AE$6:$AE$3005,請求記録!$B$6:$B$3005,$A26,請求記録!$Z$6:$Z$3005,P$5))))</f>
        <v/>
      </c>
      <c r="Q26" s="19">
        <f>IF($A26="","",IF(COUNTIFS(請求記録!$B$6:$B$3005,$A26,請求記録!$Z$6:$Z$3005,Q$5,請求記録!$AF$6:$AF$3005,"保留中")&gt;0,"保留",IF(COUNTIFS(請求記録!$B$6:$B$3005,$A26,請求記録!$Z$6:$Z$3005,Q$5)=0,"",SUMIFS(請求記録!$AE$6:$AE$3005,請求記録!$B$6:$B$3005,$A26,請求記録!$Z$6:$Z$3005,Q$5))))</f>
        <v/>
      </c>
      <c r="R26" s="19">
        <f>IF($A26="","",IF(COUNTIFS(請求記録!$B$6:$B$3005,$A26,請求記録!$Z$6:$Z$3005,R$5,請求記録!$AF$6:$AF$3005,"保留中")&gt;0,"保留",IF(COUNTIFS(請求記録!$B$6:$B$3005,$A26,請求記録!$Z$6:$Z$3005,R$5)=0,"",SUMIFS(請求記録!$AE$6:$AE$3005,請求記録!$B$6:$B$3005,$A26,請求記録!$Z$6:$Z$3005,R$5))))</f>
        <v/>
      </c>
      <c r="S26" s="19">
        <f>IF($A26="","",IF(COUNTIFS(請求記録!$B$6:$B$3005,$A26,請求記録!$Z$6:$Z$3005,S$5,請求記録!$AF$6:$AF$3005,"保留中")&gt;0,"保留",IF(COUNTIFS(請求記録!$B$6:$B$3005,$A26,請求記録!$Z$6:$Z$3005,S$5)=0,"",SUMIFS(請求記録!$AE$6:$AE$3005,請求記録!$B$6:$B$3005,$A26,請求記録!$Z$6:$Z$3005,S$5))))</f>
        <v/>
      </c>
      <c r="T26" s="19">
        <f>IF($A26="","",IF(COUNTIFS(請求記録!$B$6:$B$3005,$A26,請求記録!$Z$6:$Z$3005,T$5,請求記録!$AF$6:$AF$3005,"保留中")&gt;0,"保留",IF(COUNTIFS(請求記録!$B$6:$B$3005,$A26,請求記録!$Z$6:$Z$3005,T$5)=0,"",SUMIFS(請求記録!$AE$6:$AE$3005,請求記録!$B$6:$B$3005,$A26,請求記録!$Z$6:$Z$3005,T$5))))</f>
        <v/>
      </c>
      <c r="U26" s="19">
        <f>IF($A26="","",IF(COUNTIFS(請求記録!$B$6:$B$3005,$A26,請求記録!$Z$6:$Z$3005,U$5,請求記録!$AF$6:$AF$3005,"保留中")&gt;0,"保留",IF(COUNTIFS(請求記録!$B$6:$B$3005,$A26,請求記録!$Z$6:$Z$3005,U$5)=0,"",SUMIFS(請求記録!$AE$6:$AE$3005,請求記録!$B$6:$B$3005,$A26,請求記録!$Z$6:$Z$3005,U$5))))</f>
        <v/>
      </c>
      <c r="V26" s="19">
        <f>IF($A26="","",IF(COUNTIFS(請求記録!$B$6:$B$3005,$A26,請求記録!$Z$6:$Z$3005,V$5,請求記録!$AF$6:$AF$3005,"保留中")&gt;0,"保留",IF(COUNTIFS(請求記録!$B$6:$B$3005,$A26,請求記録!$Z$6:$Z$3005,V$5)=0,"",SUMIFS(請求記録!$AE$6:$AE$3005,請求記録!$B$6:$B$3005,$A26,請求記録!$Z$6:$Z$3005,V$5))))</f>
        <v/>
      </c>
      <c r="W26" s="19">
        <f>IF($A26="","",IF(COUNTIFS(請求記録!$B$6:$B$3005,$A26,請求記録!$Z$6:$Z$3005,W$5,請求記録!$AF$6:$AF$3005,"保留中")&gt;0,"保留",IF(COUNTIFS(請求記録!$B$6:$B$3005,$A26,請求記録!$Z$6:$Z$3005,W$5)=0,"",SUMIFS(請求記録!$AE$6:$AE$3005,請求記録!$B$6:$B$3005,$A26,請求記録!$Z$6:$Z$3005,W$5))))</f>
        <v/>
      </c>
      <c r="X26" s="19">
        <f>IF($A26="","",IF(COUNTIFS(請求記録!$B$6:$B$3005,$A26,請求記録!$Z$6:$Z$3005,X$5,請求記録!$AF$6:$AF$3005,"保留中")&gt;0,"保留",IF(COUNTIFS(請求記録!$B$6:$B$3005,$A26,請求記録!$Z$6:$Z$3005,X$5)=0,"",SUMIFS(請求記録!$AE$6:$AE$3005,請求記録!$B$6:$B$3005,$A26,請求記録!$Z$6:$Z$3005,X$5))))</f>
        <v/>
      </c>
      <c r="Y26" s="19">
        <f>IF($A26="","",IF(COUNTIFS(請求記録!$B$6:$B$3005,$A26,請求記録!$Z$6:$Z$3005,Y$5,請求記録!$AF$6:$AF$3005,"保留中")&gt;0,"保留",IF(COUNTIFS(請求記録!$B$6:$B$3005,$A26,請求記録!$Z$6:$Z$3005,Y$5)=0,"",SUMIFS(請求記録!$AE$6:$AE$3005,請求記録!$B$6:$B$3005,$A26,請求記録!$Z$6:$Z$3005,Y$5))))</f>
        <v/>
      </c>
      <c r="Z26" s="19">
        <f>IF($A26="","",IF(COUNTIFS(請求記録!$B$6:$B$3005,$A26,請求記録!$Z$6:$Z$3005,Z$5,請求記録!$AF$6:$AF$3005,"保留中")&gt;0,"保留",IF(COUNTIFS(請求記録!$B$6:$B$3005,$A26,請求記録!$Z$6:$Z$3005,Z$5)=0,"",SUMIFS(請求記録!$AE$6:$AE$3005,請求記録!$B$6:$B$3005,$A26,請求記録!$Z$6:$Z$3005,Z$5))))</f>
        <v/>
      </c>
      <c r="AA26" s="19">
        <f>IF($A26="","",IF(COUNTIFS(請求記録!$B$6:$B$3005,$A26,請求記録!$Z$6:$Z$3005,AA$5,請求記録!$AF$6:$AF$3005,"保留中")&gt;0,"保留",IF(COUNTIFS(請求記録!$B$6:$B$3005,$A26,請求記録!$Z$6:$Z$3005,AA$5)=0,"",SUMIFS(請求記録!$AE$6:$AE$3005,請求記録!$B$6:$B$3005,$A26,請求記録!$Z$6:$Z$3005,AA$5))))</f>
        <v/>
      </c>
      <c r="AB26">
        <f>IF(職員マスタ!P26="保留中",職員マスタ!M26,"")</f>
        <v/>
      </c>
    </row>
    <row r="27">
      <c r="A27">
        <f>IF(職員マスタ!A27="","",職員マスタ!A27)</f>
        <v/>
      </c>
      <c r="B27">
        <f>IF($A27="","",職員マスタ!B27)</f>
        <v/>
      </c>
      <c r="C27">
        <f>IF($A27="","",職員マスタ!C27)</f>
        <v/>
      </c>
      <c r="D27" s="19">
        <f>IF($A27="","",IF(COUNTIFS(請求記録!$B$6:$B$3005,$A27,請求記録!$Z$6:$Z$3005,D$5,請求記録!$AF$6:$AF$3005,"保留中")&gt;0,"保留",IF(COUNTIFS(請求記録!$B$6:$B$3005,$A27,請求記録!$Z$6:$Z$3005,D$5)=0,"",SUMIFS(請求記録!$AE$6:$AE$3005,請求記録!$B$6:$B$3005,$A27,請求記録!$Z$6:$Z$3005,D$5))))</f>
        <v/>
      </c>
      <c r="E27" s="19">
        <f>IF($A27="","",IF(COUNTIFS(請求記録!$B$6:$B$3005,$A27,請求記録!$Z$6:$Z$3005,E$5,請求記録!$AF$6:$AF$3005,"保留中")&gt;0,"保留",IF(COUNTIFS(請求記録!$B$6:$B$3005,$A27,請求記録!$Z$6:$Z$3005,E$5)=0,"",SUMIFS(請求記録!$AE$6:$AE$3005,請求記録!$B$6:$B$3005,$A27,請求記録!$Z$6:$Z$3005,E$5))))</f>
        <v/>
      </c>
      <c r="F27" s="19">
        <f>IF($A27="","",IF(COUNTIFS(請求記録!$B$6:$B$3005,$A27,請求記録!$Z$6:$Z$3005,F$5,請求記録!$AF$6:$AF$3005,"保留中")&gt;0,"保留",IF(COUNTIFS(請求記録!$B$6:$B$3005,$A27,請求記録!$Z$6:$Z$3005,F$5)=0,"",SUMIFS(請求記録!$AE$6:$AE$3005,請求記録!$B$6:$B$3005,$A27,請求記録!$Z$6:$Z$3005,F$5))))</f>
        <v/>
      </c>
      <c r="G27" s="19">
        <f>IF($A27="","",IF(COUNTIFS(請求記録!$B$6:$B$3005,$A27,請求記録!$Z$6:$Z$3005,G$5,請求記録!$AF$6:$AF$3005,"保留中")&gt;0,"保留",IF(COUNTIFS(請求記録!$B$6:$B$3005,$A27,請求記録!$Z$6:$Z$3005,G$5)=0,"",SUMIFS(請求記録!$AE$6:$AE$3005,請求記録!$B$6:$B$3005,$A27,請求記録!$Z$6:$Z$3005,G$5))))</f>
        <v/>
      </c>
      <c r="H27" s="19">
        <f>IF($A27="","",IF(COUNTIFS(請求記録!$B$6:$B$3005,$A27,請求記録!$Z$6:$Z$3005,H$5,請求記録!$AF$6:$AF$3005,"保留中")&gt;0,"保留",IF(COUNTIFS(請求記録!$B$6:$B$3005,$A27,請求記録!$Z$6:$Z$3005,H$5)=0,"",SUMIFS(請求記録!$AE$6:$AE$3005,請求記録!$B$6:$B$3005,$A27,請求記録!$Z$6:$Z$3005,H$5))))</f>
        <v/>
      </c>
      <c r="I27" s="19">
        <f>IF($A27="","",IF(COUNTIFS(請求記録!$B$6:$B$3005,$A27,請求記録!$Z$6:$Z$3005,I$5,請求記録!$AF$6:$AF$3005,"保留中")&gt;0,"保留",IF(COUNTIFS(請求記録!$B$6:$B$3005,$A27,請求記録!$Z$6:$Z$3005,I$5)=0,"",SUMIFS(請求記録!$AE$6:$AE$3005,請求記録!$B$6:$B$3005,$A27,請求記録!$Z$6:$Z$3005,I$5))))</f>
        <v/>
      </c>
      <c r="J27" s="19">
        <f>IF($A27="","",IF(COUNTIFS(請求記録!$B$6:$B$3005,$A27,請求記録!$Z$6:$Z$3005,J$5,請求記録!$AF$6:$AF$3005,"保留中")&gt;0,"保留",IF(COUNTIFS(請求記録!$B$6:$B$3005,$A27,請求記録!$Z$6:$Z$3005,J$5)=0,"",SUMIFS(請求記録!$AE$6:$AE$3005,請求記録!$B$6:$B$3005,$A27,請求記録!$Z$6:$Z$3005,J$5))))</f>
        <v/>
      </c>
      <c r="K27" s="19">
        <f>IF($A27="","",IF(COUNTIFS(請求記録!$B$6:$B$3005,$A27,請求記録!$Z$6:$Z$3005,K$5,請求記録!$AF$6:$AF$3005,"保留中")&gt;0,"保留",IF(COUNTIFS(請求記録!$B$6:$B$3005,$A27,請求記録!$Z$6:$Z$3005,K$5)=0,"",SUMIFS(請求記録!$AE$6:$AE$3005,請求記録!$B$6:$B$3005,$A27,請求記録!$Z$6:$Z$3005,K$5))))</f>
        <v/>
      </c>
      <c r="L27" s="19">
        <f>IF($A27="","",IF(COUNTIFS(請求記録!$B$6:$B$3005,$A27,請求記録!$Z$6:$Z$3005,L$5,請求記録!$AF$6:$AF$3005,"保留中")&gt;0,"保留",IF(COUNTIFS(請求記録!$B$6:$B$3005,$A27,請求記録!$Z$6:$Z$3005,L$5)=0,"",SUMIFS(請求記録!$AE$6:$AE$3005,請求記録!$B$6:$B$3005,$A27,請求記録!$Z$6:$Z$3005,L$5))))</f>
        <v/>
      </c>
      <c r="M27" s="19">
        <f>IF($A27="","",IF(COUNTIFS(請求記録!$B$6:$B$3005,$A27,請求記録!$Z$6:$Z$3005,M$5,請求記録!$AF$6:$AF$3005,"保留中")&gt;0,"保留",IF(COUNTIFS(請求記録!$B$6:$B$3005,$A27,請求記録!$Z$6:$Z$3005,M$5)=0,"",SUMIFS(請求記録!$AE$6:$AE$3005,請求記録!$B$6:$B$3005,$A27,請求記録!$Z$6:$Z$3005,M$5))))</f>
        <v/>
      </c>
      <c r="N27" s="19">
        <f>IF($A27="","",IF(COUNTIFS(請求記録!$B$6:$B$3005,$A27,請求記録!$Z$6:$Z$3005,N$5,請求記録!$AF$6:$AF$3005,"保留中")&gt;0,"保留",IF(COUNTIFS(請求記録!$B$6:$B$3005,$A27,請求記録!$Z$6:$Z$3005,N$5)=0,"",SUMIFS(請求記録!$AE$6:$AE$3005,請求記録!$B$6:$B$3005,$A27,請求記録!$Z$6:$Z$3005,N$5))))</f>
        <v/>
      </c>
      <c r="O27" s="19">
        <f>IF($A27="","",IF(COUNTIFS(請求記録!$B$6:$B$3005,$A27,請求記録!$Z$6:$Z$3005,O$5,請求記録!$AF$6:$AF$3005,"保留中")&gt;0,"保留",IF(COUNTIFS(請求記録!$B$6:$B$3005,$A27,請求記録!$Z$6:$Z$3005,O$5)=0,"",SUMIFS(請求記録!$AE$6:$AE$3005,請求記録!$B$6:$B$3005,$A27,請求記録!$Z$6:$Z$3005,O$5))))</f>
        <v/>
      </c>
      <c r="P27" s="19">
        <f>IF($A27="","",IF(COUNTIFS(請求記録!$B$6:$B$3005,$A27,請求記録!$Z$6:$Z$3005,P$5,請求記録!$AF$6:$AF$3005,"保留中")&gt;0,"保留",IF(COUNTIFS(請求記録!$B$6:$B$3005,$A27,請求記録!$Z$6:$Z$3005,P$5)=0,"",SUMIFS(請求記録!$AE$6:$AE$3005,請求記録!$B$6:$B$3005,$A27,請求記録!$Z$6:$Z$3005,P$5))))</f>
        <v/>
      </c>
      <c r="Q27" s="19">
        <f>IF($A27="","",IF(COUNTIFS(請求記録!$B$6:$B$3005,$A27,請求記録!$Z$6:$Z$3005,Q$5,請求記録!$AF$6:$AF$3005,"保留中")&gt;0,"保留",IF(COUNTIFS(請求記録!$B$6:$B$3005,$A27,請求記録!$Z$6:$Z$3005,Q$5)=0,"",SUMIFS(請求記録!$AE$6:$AE$3005,請求記録!$B$6:$B$3005,$A27,請求記録!$Z$6:$Z$3005,Q$5))))</f>
        <v/>
      </c>
      <c r="R27" s="19">
        <f>IF($A27="","",IF(COUNTIFS(請求記録!$B$6:$B$3005,$A27,請求記録!$Z$6:$Z$3005,R$5,請求記録!$AF$6:$AF$3005,"保留中")&gt;0,"保留",IF(COUNTIFS(請求記録!$B$6:$B$3005,$A27,請求記録!$Z$6:$Z$3005,R$5)=0,"",SUMIFS(請求記録!$AE$6:$AE$3005,請求記録!$B$6:$B$3005,$A27,請求記録!$Z$6:$Z$3005,R$5))))</f>
        <v/>
      </c>
      <c r="S27" s="19">
        <f>IF($A27="","",IF(COUNTIFS(請求記録!$B$6:$B$3005,$A27,請求記録!$Z$6:$Z$3005,S$5,請求記録!$AF$6:$AF$3005,"保留中")&gt;0,"保留",IF(COUNTIFS(請求記録!$B$6:$B$3005,$A27,請求記録!$Z$6:$Z$3005,S$5)=0,"",SUMIFS(請求記録!$AE$6:$AE$3005,請求記録!$B$6:$B$3005,$A27,請求記録!$Z$6:$Z$3005,S$5))))</f>
        <v/>
      </c>
      <c r="T27" s="19">
        <f>IF($A27="","",IF(COUNTIFS(請求記録!$B$6:$B$3005,$A27,請求記録!$Z$6:$Z$3005,T$5,請求記録!$AF$6:$AF$3005,"保留中")&gt;0,"保留",IF(COUNTIFS(請求記録!$B$6:$B$3005,$A27,請求記録!$Z$6:$Z$3005,T$5)=0,"",SUMIFS(請求記録!$AE$6:$AE$3005,請求記録!$B$6:$B$3005,$A27,請求記録!$Z$6:$Z$3005,T$5))))</f>
        <v/>
      </c>
      <c r="U27" s="19">
        <f>IF($A27="","",IF(COUNTIFS(請求記録!$B$6:$B$3005,$A27,請求記録!$Z$6:$Z$3005,U$5,請求記録!$AF$6:$AF$3005,"保留中")&gt;0,"保留",IF(COUNTIFS(請求記録!$B$6:$B$3005,$A27,請求記録!$Z$6:$Z$3005,U$5)=0,"",SUMIFS(請求記録!$AE$6:$AE$3005,請求記録!$B$6:$B$3005,$A27,請求記録!$Z$6:$Z$3005,U$5))))</f>
        <v/>
      </c>
      <c r="V27" s="19">
        <f>IF($A27="","",IF(COUNTIFS(請求記録!$B$6:$B$3005,$A27,請求記録!$Z$6:$Z$3005,V$5,請求記録!$AF$6:$AF$3005,"保留中")&gt;0,"保留",IF(COUNTIFS(請求記録!$B$6:$B$3005,$A27,請求記録!$Z$6:$Z$3005,V$5)=0,"",SUMIFS(請求記録!$AE$6:$AE$3005,請求記録!$B$6:$B$3005,$A27,請求記録!$Z$6:$Z$3005,V$5))))</f>
        <v/>
      </c>
      <c r="W27" s="19">
        <f>IF($A27="","",IF(COUNTIFS(請求記録!$B$6:$B$3005,$A27,請求記録!$Z$6:$Z$3005,W$5,請求記録!$AF$6:$AF$3005,"保留中")&gt;0,"保留",IF(COUNTIFS(請求記録!$B$6:$B$3005,$A27,請求記録!$Z$6:$Z$3005,W$5)=0,"",SUMIFS(請求記録!$AE$6:$AE$3005,請求記録!$B$6:$B$3005,$A27,請求記録!$Z$6:$Z$3005,W$5))))</f>
        <v/>
      </c>
      <c r="X27" s="19">
        <f>IF($A27="","",IF(COUNTIFS(請求記録!$B$6:$B$3005,$A27,請求記録!$Z$6:$Z$3005,X$5,請求記録!$AF$6:$AF$3005,"保留中")&gt;0,"保留",IF(COUNTIFS(請求記録!$B$6:$B$3005,$A27,請求記録!$Z$6:$Z$3005,X$5)=0,"",SUMIFS(請求記録!$AE$6:$AE$3005,請求記録!$B$6:$B$3005,$A27,請求記録!$Z$6:$Z$3005,X$5))))</f>
        <v/>
      </c>
      <c r="Y27" s="19">
        <f>IF($A27="","",IF(COUNTIFS(請求記録!$B$6:$B$3005,$A27,請求記録!$Z$6:$Z$3005,Y$5,請求記録!$AF$6:$AF$3005,"保留中")&gt;0,"保留",IF(COUNTIFS(請求記録!$B$6:$B$3005,$A27,請求記録!$Z$6:$Z$3005,Y$5)=0,"",SUMIFS(請求記録!$AE$6:$AE$3005,請求記録!$B$6:$B$3005,$A27,請求記録!$Z$6:$Z$3005,Y$5))))</f>
        <v/>
      </c>
      <c r="Z27" s="19">
        <f>IF($A27="","",IF(COUNTIFS(請求記録!$B$6:$B$3005,$A27,請求記録!$Z$6:$Z$3005,Z$5,請求記録!$AF$6:$AF$3005,"保留中")&gt;0,"保留",IF(COUNTIFS(請求記録!$B$6:$B$3005,$A27,請求記録!$Z$6:$Z$3005,Z$5)=0,"",SUMIFS(請求記録!$AE$6:$AE$3005,請求記録!$B$6:$B$3005,$A27,請求記録!$Z$6:$Z$3005,Z$5))))</f>
        <v/>
      </c>
      <c r="AA27" s="19">
        <f>IF($A27="","",IF(COUNTIFS(請求記録!$B$6:$B$3005,$A27,請求記録!$Z$6:$Z$3005,AA$5,請求記録!$AF$6:$AF$3005,"保留中")&gt;0,"保留",IF(COUNTIFS(請求記録!$B$6:$B$3005,$A27,請求記録!$Z$6:$Z$3005,AA$5)=0,"",SUMIFS(請求記録!$AE$6:$AE$3005,請求記録!$B$6:$B$3005,$A27,請求記録!$Z$6:$Z$3005,AA$5))))</f>
        <v/>
      </c>
      <c r="AB27">
        <f>IF(職員マスタ!P27="保留中",職員マスタ!M27,"")</f>
        <v/>
      </c>
    </row>
    <row r="28">
      <c r="A28">
        <f>IF(職員マスタ!A28="","",職員マスタ!A28)</f>
        <v/>
      </c>
      <c r="B28">
        <f>IF($A28="","",職員マスタ!B28)</f>
        <v/>
      </c>
      <c r="C28">
        <f>IF($A28="","",職員マスタ!C28)</f>
        <v/>
      </c>
      <c r="D28" s="19">
        <f>IF($A28="","",IF(COUNTIFS(請求記録!$B$6:$B$3005,$A28,請求記録!$Z$6:$Z$3005,D$5,請求記録!$AF$6:$AF$3005,"保留中")&gt;0,"保留",IF(COUNTIFS(請求記録!$B$6:$B$3005,$A28,請求記録!$Z$6:$Z$3005,D$5)=0,"",SUMIFS(請求記録!$AE$6:$AE$3005,請求記録!$B$6:$B$3005,$A28,請求記録!$Z$6:$Z$3005,D$5))))</f>
        <v/>
      </c>
      <c r="E28" s="19">
        <f>IF($A28="","",IF(COUNTIFS(請求記録!$B$6:$B$3005,$A28,請求記録!$Z$6:$Z$3005,E$5,請求記録!$AF$6:$AF$3005,"保留中")&gt;0,"保留",IF(COUNTIFS(請求記録!$B$6:$B$3005,$A28,請求記録!$Z$6:$Z$3005,E$5)=0,"",SUMIFS(請求記録!$AE$6:$AE$3005,請求記録!$B$6:$B$3005,$A28,請求記録!$Z$6:$Z$3005,E$5))))</f>
        <v/>
      </c>
      <c r="F28" s="19">
        <f>IF($A28="","",IF(COUNTIFS(請求記録!$B$6:$B$3005,$A28,請求記録!$Z$6:$Z$3005,F$5,請求記録!$AF$6:$AF$3005,"保留中")&gt;0,"保留",IF(COUNTIFS(請求記録!$B$6:$B$3005,$A28,請求記録!$Z$6:$Z$3005,F$5)=0,"",SUMIFS(請求記録!$AE$6:$AE$3005,請求記録!$B$6:$B$3005,$A28,請求記録!$Z$6:$Z$3005,F$5))))</f>
        <v/>
      </c>
      <c r="G28" s="19">
        <f>IF($A28="","",IF(COUNTIFS(請求記録!$B$6:$B$3005,$A28,請求記録!$Z$6:$Z$3005,G$5,請求記録!$AF$6:$AF$3005,"保留中")&gt;0,"保留",IF(COUNTIFS(請求記録!$B$6:$B$3005,$A28,請求記録!$Z$6:$Z$3005,G$5)=0,"",SUMIFS(請求記録!$AE$6:$AE$3005,請求記録!$B$6:$B$3005,$A28,請求記録!$Z$6:$Z$3005,G$5))))</f>
        <v/>
      </c>
      <c r="H28" s="19">
        <f>IF($A28="","",IF(COUNTIFS(請求記録!$B$6:$B$3005,$A28,請求記録!$Z$6:$Z$3005,H$5,請求記録!$AF$6:$AF$3005,"保留中")&gt;0,"保留",IF(COUNTIFS(請求記録!$B$6:$B$3005,$A28,請求記録!$Z$6:$Z$3005,H$5)=0,"",SUMIFS(請求記録!$AE$6:$AE$3005,請求記録!$B$6:$B$3005,$A28,請求記録!$Z$6:$Z$3005,H$5))))</f>
        <v/>
      </c>
      <c r="I28" s="19">
        <f>IF($A28="","",IF(COUNTIFS(請求記録!$B$6:$B$3005,$A28,請求記録!$Z$6:$Z$3005,I$5,請求記録!$AF$6:$AF$3005,"保留中")&gt;0,"保留",IF(COUNTIFS(請求記録!$B$6:$B$3005,$A28,請求記録!$Z$6:$Z$3005,I$5)=0,"",SUMIFS(請求記録!$AE$6:$AE$3005,請求記録!$B$6:$B$3005,$A28,請求記録!$Z$6:$Z$3005,I$5))))</f>
        <v/>
      </c>
      <c r="J28" s="19">
        <f>IF($A28="","",IF(COUNTIFS(請求記録!$B$6:$B$3005,$A28,請求記録!$Z$6:$Z$3005,J$5,請求記録!$AF$6:$AF$3005,"保留中")&gt;0,"保留",IF(COUNTIFS(請求記録!$B$6:$B$3005,$A28,請求記録!$Z$6:$Z$3005,J$5)=0,"",SUMIFS(請求記録!$AE$6:$AE$3005,請求記録!$B$6:$B$3005,$A28,請求記録!$Z$6:$Z$3005,J$5))))</f>
        <v/>
      </c>
      <c r="K28" s="19">
        <f>IF($A28="","",IF(COUNTIFS(請求記録!$B$6:$B$3005,$A28,請求記録!$Z$6:$Z$3005,K$5,請求記録!$AF$6:$AF$3005,"保留中")&gt;0,"保留",IF(COUNTIFS(請求記録!$B$6:$B$3005,$A28,請求記録!$Z$6:$Z$3005,K$5)=0,"",SUMIFS(請求記録!$AE$6:$AE$3005,請求記録!$B$6:$B$3005,$A28,請求記録!$Z$6:$Z$3005,K$5))))</f>
        <v/>
      </c>
      <c r="L28" s="19">
        <f>IF($A28="","",IF(COUNTIFS(請求記録!$B$6:$B$3005,$A28,請求記録!$Z$6:$Z$3005,L$5,請求記録!$AF$6:$AF$3005,"保留中")&gt;0,"保留",IF(COUNTIFS(請求記録!$B$6:$B$3005,$A28,請求記録!$Z$6:$Z$3005,L$5)=0,"",SUMIFS(請求記録!$AE$6:$AE$3005,請求記録!$B$6:$B$3005,$A28,請求記録!$Z$6:$Z$3005,L$5))))</f>
        <v/>
      </c>
      <c r="M28" s="19">
        <f>IF($A28="","",IF(COUNTIFS(請求記録!$B$6:$B$3005,$A28,請求記録!$Z$6:$Z$3005,M$5,請求記録!$AF$6:$AF$3005,"保留中")&gt;0,"保留",IF(COUNTIFS(請求記録!$B$6:$B$3005,$A28,請求記録!$Z$6:$Z$3005,M$5)=0,"",SUMIFS(請求記録!$AE$6:$AE$3005,請求記録!$B$6:$B$3005,$A28,請求記録!$Z$6:$Z$3005,M$5))))</f>
        <v/>
      </c>
      <c r="N28" s="19">
        <f>IF($A28="","",IF(COUNTIFS(請求記録!$B$6:$B$3005,$A28,請求記録!$Z$6:$Z$3005,N$5,請求記録!$AF$6:$AF$3005,"保留中")&gt;0,"保留",IF(COUNTIFS(請求記録!$B$6:$B$3005,$A28,請求記録!$Z$6:$Z$3005,N$5)=0,"",SUMIFS(請求記録!$AE$6:$AE$3005,請求記録!$B$6:$B$3005,$A28,請求記録!$Z$6:$Z$3005,N$5))))</f>
        <v/>
      </c>
      <c r="O28" s="19">
        <f>IF($A28="","",IF(COUNTIFS(請求記録!$B$6:$B$3005,$A28,請求記録!$Z$6:$Z$3005,O$5,請求記録!$AF$6:$AF$3005,"保留中")&gt;0,"保留",IF(COUNTIFS(請求記録!$B$6:$B$3005,$A28,請求記録!$Z$6:$Z$3005,O$5)=0,"",SUMIFS(請求記録!$AE$6:$AE$3005,請求記録!$B$6:$B$3005,$A28,請求記録!$Z$6:$Z$3005,O$5))))</f>
        <v/>
      </c>
      <c r="P28" s="19">
        <f>IF($A28="","",IF(COUNTIFS(請求記録!$B$6:$B$3005,$A28,請求記録!$Z$6:$Z$3005,P$5,請求記録!$AF$6:$AF$3005,"保留中")&gt;0,"保留",IF(COUNTIFS(請求記録!$B$6:$B$3005,$A28,請求記録!$Z$6:$Z$3005,P$5)=0,"",SUMIFS(請求記録!$AE$6:$AE$3005,請求記録!$B$6:$B$3005,$A28,請求記録!$Z$6:$Z$3005,P$5))))</f>
        <v/>
      </c>
      <c r="Q28" s="19">
        <f>IF($A28="","",IF(COUNTIFS(請求記録!$B$6:$B$3005,$A28,請求記録!$Z$6:$Z$3005,Q$5,請求記録!$AF$6:$AF$3005,"保留中")&gt;0,"保留",IF(COUNTIFS(請求記録!$B$6:$B$3005,$A28,請求記録!$Z$6:$Z$3005,Q$5)=0,"",SUMIFS(請求記録!$AE$6:$AE$3005,請求記録!$B$6:$B$3005,$A28,請求記録!$Z$6:$Z$3005,Q$5))))</f>
        <v/>
      </c>
      <c r="R28" s="19">
        <f>IF($A28="","",IF(COUNTIFS(請求記録!$B$6:$B$3005,$A28,請求記録!$Z$6:$Z$3005,R$5,請求記録!$AF$6:$AF$3005,"保留中")&gt;0,"保留",IF(COUNTIFS(請求記録!$B$6:$B$3005,$A28,請求記録!$Z$6:$Z$3005,R$5)=0,"",SUMIFS(請求記録!$AE$6:$AE$3005,請求記録!$B$6:$B$3005,$A28,請求記録!$Z$6:$Z$3005,R$5))))</f>
        <v/>
      </c>
      <c r="S28" s="19">
        <f>IF($A28="","",IF(COUNTIFS(請求記録!$B$6:$B$3005,$A28,請求記録!$Z$6:$Z$3005,S$5,請求記録!$AF$6:$AF$3005,"保留中")&gt;0,"保留",IF(COUNTIFS(請求記録!$B$6:$B$3005,$A28,請求記録!$Z$6:$Z$3005,S$5)=0,"",SUMIFS(請求記録!$AE$6:$AE$3005,請求記録!$B$6:$B$3005,$A28,請求記録!$Z$6:$Z$3005,S$5))))</f>
        <v/>
      </c>
      <c r="T28" s="19">
        <f>IF($A28="","",IF(COUNTIFS(請求記録!$B$6:$B$3005,$A28,請求記録!$Z$6:$Z$3005,T$5,請求記録!$AF$6:$AF$3005,"保留中")&gt;0,"保留",IF(COUNTIFS(請求記録!$B$6:$B$3005,$A28,請求記録!$Z$6:$Z$3005,T$5)=0,"",SUMIFS(請求記録!$AE$6:$AE$3005,請求記録!$B$6:$B$3005,$A28,請求記録!$Z$6:$Z$3005,T$5))))</f>
        <v/>
      </c>
      <c r="U28" s="19">
        <f>IF($A28="","",IF(COUNTIFS(請求記録!$B$6:$B$3005,$A28,請求記録!$Z$6:$Z$3005,U$5,請求記録!$AF$6:$AF$3005,"保留中")&gt;0,"保留",IF(COUNTIFS(請求記録!$B$6:$B$3005,$A28,請求記録!$Z$6:$Z$3005,U$5)=0,"",SUMIFS(請求記録!$AE$6:$AE$3005,請求記録!$B$6:$B$3005,$A28,請求記録!$Z$6:$Z$3005,U$5))))</f>
        <v/>
      </c>
      <c r="V28" s="19">
        <f>IF($A28="","",IF(COUNTIFS(請求記録!$B$6:$B$3005,$A28,請求記録!$Z$6:$Z$3005,V$5,請求記録!$AF$6:$AF$3005,"保留中")&gt;0,"保留",IF(COUNTIFS(請求記録!$B$6:$B$3005,$A28,請求記録!$Z$6:$Z$3005,V$5)=0,"",SUMIFS(請求記録!$AE$6:$AE$3005,請求記録!$B$6:$B$3005,$A28,請求記録!$Z$6:$Z$3005,V$5))))</f>
        <v/>
      </c>
      <c r="W28" s="19">
        <f>IF($A28="","",IF(COUNTIFS(請求記録!$B$6:$B$3005,$A28,請求記録!$Z$6:$Z$3005,W$5,請求記録!$AF$6:$AF$3005,"保留中")&gt;0,"保留",IF(COUNTIFS(請求記録!$B$6:$B$3005,$A28,請求記録!$Z$6:$Z$3005,W$5)=0,"",SUMIFS(請求記録!$AE$6:$AE$3005,請求記録!$B$6:$B$3005,$A28,請求記録!$Z$6:$Z$3005,W$5))))</f>
        <v/>
      </c>
      <c r="X28" s="19">
        <f>IF($A28="","",IF(COUNTIFS(請求記録!$B$6:$B$3005,$A28,請求記録!$Z$6:$Z$3005,X$5,請求記録!$AF$6:$AF$3005,"保留中")&gt;0,"保留",IF(COUNTIFS(請求記録!$B$6:$B$3005,$A28,請求記録!$Z$6:$Z$3005,X$5)=0,"",SUMIFS(請求記録!$AE$6:$AE$3005,請求記録!$B$6:$B$3005,$A28,請求記録!$Z$6:$Z$3005,X$5))))</f>
        <v/>
      </c>
      <c r="Y28" s="19">
        <f>IF($A28="","",IF(COUNTIFS(請求記録!$B$6:$B$3005,$A28,請求記録!$Z$6:$Z$3005,Y$5,請求記録!$AF$6:$AF$3005,"保留中")&gt;0,"保留",IF(COUNTIFS(請求記録!$B$6:$B$3005,$A28,請求記録!$Z$6:$Z$3005,Y$5)=0,"",SUMIFS(請求記録!$AE$6:$AE$3005,請求記録!$B$6:$B$3005,$A28,請求記録!$Z$6:$Z$3005,Y$5))))</f>
        <v/>
      </c>
      <c r="Z28" s="19">
        <f>IF($A28="","",IF(COUNTIFS(請求記録!$B$6:$B$3005,$A28,請求記録!$Z$6:$Z$3005,Z$5,請求記録!$AF$6:$AF$3005,"保留中")&gt;0,"保留",IF(COUNTIFS(請求記録!$B$6:$B$3005,$A28,請求記録!$Z$6:$Z$3005,Z$5)=0,"",SUMIFS(請求記録!$AE$6:$AE$3005,請求記録!$B$6:$B$3005,$A28,請求記録!$Z$6:$Z$3005,Z$5))))</f>
        <v/>
      </c>
      <c r="AA28" s="19">
        <f>IF($A28="","",IF(COUNTIFS(請求記録!$B$6:$B$3005,$A28,請求記録!$Z$6:$Z$3005,AA$5,請求記録!$AF$6:$AF$3005,"保留中")&gt;0,"保留",IF(COUNTIFS(請求記録!$B$6:$B$3005,$A28,請求記録!$Z$6:$Z$3005,AA$5)=0,"",SUMIFS(請求記録!$AE$6:$AE$3005,請求記録!$B$6:$B$3005,$A28,請求記録!$Z$6:$Z$3005,AA$5))))</f>
        <v/>
      </c>
      <c r="AB28">
        <f>IF(職員マスタ!P28="保留中",職員マスタ!M28,"")</f>
        <v/>
      </c>
    </row>
    <row r="29">
      <c r="A29">
        <f>IF(職員マスタ!A29="","",職員マスタ!A29)</f>
        <v/>
      </c>
      <c r="B29">
        <f>IF($A29="","",職員マスタ!B29)</f>
        <v/>
      </c>
      <c r="C29">
        <f>IF($A29="","",職員マスタ!C29)</f>
        <v/>
      </c>
      <c r="D29" s="19">
        <f>IF($A29="","",IF(COUNTIFS(請求記録!$B$6:$B$3005,$A29,請求記録!$Z$6:$Z$3005,D$5,請求記録!$AF$6:$AF$3005,"保留中")&gt;0,"保留",IF(COUNTIFS(請求記録!$B$6:$B$3005,$A29,請求記録!$Z$6:$Z$3005,D$5)=0,"",SUMIFS(請求記録!$AE$6:$AE$3005,請求記録!$B$6:$B$3005,$A29,請求記録!$Z$6:$Z$3005,D$5))))</f>
        <v/>
      </c>
      <c r="E29" s="19">
        <f>IF($A29="","",IF(COUNTIFS(請求記録!$B$6:$B$3005,$A29,請求記録!$Z$6:$Z$3005,E$5,請求記録!$AF$6:$AF$3005,"保留中")&gt;0,"保留",IF(COUNTIFS(請求記録!$B$6:$B$3005,$A29,請求記録!$Z$6:$Z$3005,E$5)=0,"",SUMIFS(請求記録!$AE$6:$AE$3005,請求記録!$B$6:$B$3005,$A29,請求記録!$Z$6:$Z$3005,E$5))))</f>
        <v/>
      </c>
      <c r="F29" s="19">
        <f>IF($A29="","",IF(COUNTIFS(請求記録!$B$6:$B$3005,$A29,請求記録!$Z$6:$Z$3005,F$5,請求記録!$AF$6:$AF$3005,"保留中")&gt;0,"保留",IF(COUNTIFS(請求記録!$B$6:$B$3005,$A29,請求記録!$Z$6:$Z$3005,F$5)=0,"",SUMIFS(請求記録!$AE$6:$AE$3005,請求記録!$B$6:$B$3005,$A29,請求記録!$Z$6:$Z$3005,F$5))))</f>
        <v/>
      </c>
      <c r="G29" s="19">
        <f>IF($A29="","",IF(COUNTIFS(請求記録!$B$6:$B$3005,$A29,請求記録!$Z$6:$Z$3005,G$5,請求記録!$AF$6:$AF$3005,"保留中")&gt;0,"保留",IF(COUNTIFS(請求記録!$B$6:$B$3005,$A29,請求記録!$Z$6:$Z$3005,G$5)=0,"",SUMIFS(請求記録!$AE$6:$AE$3005,請求記録!$B$6:$B$3005,$A29,請求記録!$Z$6:$Z$3005,G$5))))</f>
        <v/>
      </c>
      <c r="H29" s="19">
        <f>IF($A29="","",IF(COUNTIFS(請求記録!$B$6:$B$3005,$A29,請求記録!$Z$6:$Z$3005,H$5,請求記録!$AF$6:$AF$3005,"保留中")&gt;0,"保留",IF(COUNTIFS(請求記録!$B$6:$B$3005,$A29,請求記録!$Z$6:$Z$3005,H$5)=0,"",SUMIFS(請求記録!$AE$6:$AE$3005,請求記録!$B$6:$B$3005,$A29,請求記録!$Z$6:$Z$3005,H$5))))</f>
        <v/>
      </c>
      <c r="I29" s="19">
        <f>IF($A29="","",IF(COUNTIFS(請求記録!$B$6:$B$3005,$A29,請求記録!$Z$6:$Z$3005,I$5,請求記録!$AF$6:$AF$3005,"保留中")&gt;0,"保留",IF(COUNTIFS(請求記録!$B$6:$B$3005,$A29,請求記録!$Z$6:$Z$3005,I$5)=0,"",SUMIFS(請求記録!$AE$6:$AE$3005,請求記録!$B$6:$B$3005,$A29,請求記録!$Z$6:$Z$3005,I$5))))</f>
        <v/>
      </c>
      <c r="J29" s="19">
        <f>IF($A29="","",IF(COUNTIFS(請求記録!$B$6:$B$3005,$A29,請求記録!$Z$6:$Z$3005,J$5,請求記録!$AF$6:$AF$3005,"保留中")&gt;0,"保留",IF(COUNTIFS(請求記録!$B$6:$B$3005,$A29,請求記録!$Z$6:$Z$3005,J$5)=0,"",SUMIFS(請求記録!$AE$6:$AE$3005,請求記録!$B$6:$B$3005,$A29,請求記録!$Z$6:$Z$3005,J$5))))</f>
        <v/>
      </c>
      <c r="K29" s="19">
        <f>IF($A29="","",IF(COUNTIFS(請求記録!$B$6:$B$3005,$A29,請求記録!$Z$6:$Z$3005,K$5,請求記録!$AF$6:$AF$3005,"保留中")&gt;0,"保留",IF(COUNTIFS(請求記録!$B$6:$B$3005,$A29,請求記録!$Z$6:$Z$3005,K$5)=0,"",SUMIFS(請求記録!$AE$6:$AE$3005,請求記録!$B$6:$B$3005,$A29,請求記録!$Z$6:$Z$3005,K$5))))</f>
        <v/>
      </c>
      <c r="L29" s="19">
        <f>IF($A29="","",IF(COUNTIFS(請求記録!$B$6:$B$3005,$A29,請求記録!$Z$6:$Z$3005,L$5,請求記録!$AF$6:$AF$3005,"保留中")&gt;0,"保留",IF(COUNTIFS(請求記録!$B$6:$B$3005,$A29,請求記録!$Z$6:$Z$3005,L$5)=0,"",SUMIFS(請求記録!$AE$6:$AE$3005,請求記録!$B$6:$B$3005,$A29,請求記録!$Z$6:$Z$3005,L$5))))</f>
        <v/>
      </c>
      <c r="M29" s="19">
        <f>IF($A29="","",IF(COUNTIFS(請求記録!$B$6:$B$3005,$A29,請求記録!$Z$6:$Z$3005,M$5,請求記録!$AF$6:$AF$3005,"保留中")&gt;0,"保留",IF(COUNTIFS(請求記録!$B$6:$B$3005,$A29,請求記録!$Z$6:$Z$3005,M$5)=0,"",SUMIFS(請求記録!$AE$6:$AE$3005,請求記録!$B$6:$B$3005,$A29,請求記録!$Z$6:$Z$3005,M$5))))</f>
        <v/>
      </c>
      <c r="N29" s="19">
        <f>IF($A29="","",IF(COUNTIFS(請求記録!$B$6:$B$3005,$A29,請求記録!$Z$6:$Z$3005,N$5,請求記録!$AF$6:$AF$3005,"保留中")&gt;0,"保留",IF(COUNTIFS(請求記録!$B$6:$B$3005,$A29,請求記録!$Z$6:$Z$3005,N$5)=0,"",SUMIFS(請求記録!$AE$6:$AE$3005,請求記録!$B$6:$B$3005,$A29,請求記録!$Z$6:$Z$3005,N$5))))</f>
        <v/>
      </c>
      <c r="O29" s="19">
        <f>IF($A29="","",IF(COUNTIFS(請求記録!$B$6:$B$3005,$A29,請求記録!$Z$6:$Z$3005,O$5,請求記録!$AF$6:$AF$3005,"保留中")&gt;0,"保留",IF(COUNTIFS(請求記録!$B$6:$B$3005,$A29,請求記録!$Z$6:$Z$3005,O$5)=0,"",SUMIFS(請求記録!$AE$6:$AE$3005,請求記録!$B$6:$B$3005,$A29,請求記録!$Z$6:$Z$3005,O$5))))</f>
        <v/>
      </c>
      <c r="P29" s="19">
        <f>IF($A29="","",IF(COUNTIFS(請求記録!$B$6:$B$3005,$A29,請求記録!$Z$6:$Z$3005,P$5,請求記録!$AF$6:$AF$3005,"保留中")&gt;0,"保留",IF(COUNTIFS(請求記録!$B$6:$B$3005,$A29,請求記録!$Z$6:$Z$3005,P$5)=0,"",SUMIFS(請求記録!$AE$6:$AE$3005,請求記録!$B$6:$B$3005,$A29,請求記録!$Z$6:$Z$3005,P$5))))</f>
        <v/>
      </c>
      <c r="Q29" s="19">
        <f>IF($A29="","",IF(COUNTIFS(請求記録!$B$6:$B$3005,$A29,請求記録!$Z$6:$Z$3005,Q$5,請求記録!$AF$6:$AF$3005,"保留中")&gt;0,"保留",IF(COUNTIFS(請求記録!$B$6:$B$3005,$A29,請求記録!$Z$6:$Z$3005,Q$5)=0,"",SUMIFS(請求記録!$AE$6:$AE$3005,請求記録!$B$6:$B$3005,$A29,請求記録!$Z$6:$Z$3005,Q$5))))</f>
        <v/>
      </c>
      <c r="R29" s="19">
        <f>IF($A29="","",IF(COUNTIFS(請求記録!$B$6:$B$3005,$A29,請求記録!$Z$6:$Z$3005,R$5,請求記録!$AF$6:$AF$3005,"保留中")&gt;0,"保留",IF(COUNTIFS(請求記録!$B$6:$B$3005,$A29,請求記録!$Z$6:$Z$3005,R$5)=0,"",SUMIFS(請求記録!$AE$6:$AE$3005,請求記録!$B$6:$B$3005,$A29,請求記録!$Z$6:$Z$3005,R$5))))</f>
        <v/>
      </c>
      <c r="S29" s="19">
        <f>IF($A29="","",IF(COUNTIFS(請求記録!$B$6:$B$3005,$A29,請求記録!$Z$6:$Z$3005,S$5,請求記録!$AF$6:$AF$3005,"保留中")&gt;0,"保留",IF(COUNTIFS(請求記録!$B$6:$B$3005,$A29,請求記録!$Z$6:$Z$3005,S$5)=0,"",SUMIFS(請求記録!$AE$6:$AE$3005,請求記録!$B$6:$B$3005,$A29,請求記録!$Z$6:$Z$3005,S$5))))</f>
        <v/>
      </c>
      <c r="T29" s="19">
        <f>IF($A29="","",IF(COUNTIFS(請求記録!$B$6:$B$3005,$A29,請求記録!$Z$6:$Z$3005,T$5,請求記録!$AF$6:$AF$3005,"保留中")&gt;0,"保留",IF(COUNTIFS(請求記録!$B$6:$B$3005,$A29,請求記録!$Z$6:$Z$3005,T$5)=0,"",SUMIFS(請求記録!$AE$6:$AE$3005,請求記録!$B$6:$B$3005,$A29,請求記録!$Z$6:$Z$3005,T$5))))</f>
        <v/>
      </c>
      <c r="U29" s="19">
        <f>IF($A29="","",IF(COUNTIFS(請求記録!$B$6:$B$3005,$A29,請求記録!$Z$6:$Z$3005,U$5,請求記録!$AF$6:$AF$3005,"保留中")&gt;0,"保留",IF(COUNTIFS(請求記録!$B$6:$B$3005,$A29,請求記録!$Z$6:$Z$3005,U$5)=0,"",SUMIFS(請求記録!$AE$6:$AE$3005,請求記録!$B$6:$B$3005,$A29,請求記録!$Z$6:$Z$3005,U$5))))</f>
        <v/>
      </c>
      <c r="V29" s="19">
        <f>IF($A29="","",IF(COUNTIFS(請求記録!$B$6:$B$3005,$A29,請求記録!$Z$6:$Z$3005,V$5,請求記録!$AF$6:$AF$3005,"保留中")&gt;0,"保留",IF(COUNTIFS(請求記録!$B$6:$B$3005,$A29,請求記録!$Z$6:$Z$3005,V$5)=0,"",SUMIFS(請求記録!$AE$6:$AE$3005,請求記録!$B$6:$B$3005,$A29,請求記録!$Z$6:$Z$3005,V$5))))</f>
        <v/>
      </c>
      <c r="W29" s="19">
        <f>IF($A29="","",IF(COUNTIFS(請求記録!$B$6:$B$3005,$A29,請求記録!$Z$6:$Z$3005,W$5,請求記録!$AF$6:$AF$3005,"保留中")&gt;0,"保留",IF(COUNTIFS(請求記録!$B$6:$B$3005,$A29,請求記録!$Z$6:$Z$3005,W$5)=0,"",SUMIFS(請求記録!$AE$6:$AE$3005,請求記録!$B$6:$B$3005,$A29,請求記録!$Z$6:$Z$3005,W$5))))</f>
        <v/>
      </c>
      <c r="X29" s="19">
        <f>IF($A29="","",IF(COUNTIFS(請求記録!$B$6:$B$3005,$A29,請求記録!$Z$6:$Z$3005,X$5,請求記録!$AF$6:$AF$3005,"保留中")&gt;0,"保留",IF(COUNTIFS(請求記録!$B$6:$B$3005,$A29,請求記録!$Z$6:$Z$3005,X$5)=0,"",SUMIFS(請求記録!$AE$6:$AE$3005,請求記録!$B$6:$B$3005,$A29,請求記録!$Z$6:$Z$3005,X$5))))</f>
        <v/>
      </c>
      <c r="Y29" s="19">
        <f>IF($A29="","",IF(COUNTIFS(請求記録!$B$6:$B$3005,$A29,請求記録!$Z$6:$Z$3005,Y$5,請求記録!$AF$6:$AF$3005,"保留中")&gt;0,"保留",IF(COUNTIFS(請求記録!$B$6:$B$3005,$A29,請求記録!$Z$6:$Z$3005,Y$5)=0,"",SUMIFS(請求記録!$AE$6:$AE$3005,請求記録!$B$6:$B$3005,$A29,請求記録!$Z$6:$Z$3005,Y$5))))</f>
        <v/>
      </c>
      <c r="Z29" s="19">
        <f>IF($A29="","",IF(COUNTIFS(請求記録!$B$6:$B$3005,$A29,請求記録!$Z$6:$Z$3005,Z$5,請求記録!$AF$6:$AF$3005,"保留中")&gt;0,"保留",IF(COUNTIFS(請求記録!$B$6:$B$3005,$A29,請求記録!$Z$6:$Z$3005,Z$5)=0,"",SUMIFS(請求記録!$AE$6:$AE$3005,請求記録!$B$6:$B$3005,$A29,請求記録!$Z$6:$Z$3005,Z$5))))</f>
        <v/>
      </c>
      <c r="AA29" s="19">
        <f>IF($A29="","",IF(COUNTIFS(請求記録!$B$6:$B$3005,$A29,請求記録!$Z$6:$Z$3005,AA$5,請求記録!$AF$6:$AF$3005,"保留中")&gt;0,"保留",IF(COUNTIFS(請求記録!$B$6:$B$3005,$A29,請求記録!$Z$6:$Z$3005,AA$5)=0,"",SUMIFS(請求記録!$AE$6:$AE$3005,請求記録!$B$6:$B$3005,$A29,請求記録!$Z$6:$Z$3005,AA$5))))</f>
        <v/>
      </c>
      <c r="AB29">
        <f>IF(職員マスタ!P29="保留中",職員マスタ!M29,"")</f>
        <v/>
      </c>
    </row>
    <row r="30">
      <c r="A30">
        <f>IF(職員マスタ!A30="","",職員マスタ!A30)</f>
        <v/>
      </c>
      <c r="B30">
        <f>IF($A30="","",職員マスタ!B30)</f>
        <v/>
      </c>
      <c r="C30">
        <f>IF($A30="","",職員マスタ!C30)</f>
        <v/>
      </c>
      <c r="D30" s="19">
        <f>IF($A30="","",IF(COUNTIFS(請求記録!$B$6:$B$3005,$A30,請求記録!$Z$6:$Z$3005,D$5,請求記録!$AF$6:$AF$3005,"保留中")&gt;0,"保留",IF(COUNTIFS(請求記録!$B$6:$B$3005,$A30,請求記録!$Z$6:$Z$3005,D$5)=0,"",SUMIFS(請求記録!$AE$6:$AE$3005,請求記録!$B$6:$B$3005,$A30,請求記録!$Z$6:$Z$3005,D$5))))</f>
        <v/>
      </c>
      <c r="E30" s="19">
        <f>IF($A30="","",IF(COUNTIFS(請求記録!$B$6:$B$3005,$A30,請求記録!$Z$6:$Z$3005,E$5,請求記録!$AF$6:$AF$3005,"保留中")&gt;0,"保留",IF(COUNTIFS(請求記録!$B$6:$B$3005,$A30,請求記録!$Z$6:$Z$3005,E$5)=0,"",SUMIFS(請求記録!$AE$6:$AE$3005,請求記録!$B$6:$B$3005,$A30,請求記録!$Z$6:$Z$3005,E$5))))</f>
        <v/>
      </c>
      <c r="F30" s="19">
        <f>IF($A30="","",IF(COUNTIFS(請求記録!$B$6:$B$3005,$A30,請求記録!$Z$6:$Z$3005,F$5,請求記録!$AF$6:$AF$3005,"保留中")&gt;0,"保留",IF(COUNTIFS(請求記録!$B$6:$B$3005,$A30,請求記録!$Z$6:$Z$3005,F$5)=0,"",SUMIFS(請求記録!$AE$6:$AE$3005,請求記録!$B$6:$B$3005,$A30,請求記録!$Z$6:$Z$3005,F$5))))</f>
        <v/>
      </c>
      <c r="G30" s="19">
        <f>IF($A30="","",IF(COUNTIFS(請求記録!$B$6:$B$3005,$A30,請求記録!$Z$6:$Z$3005,G$5,請求記録!$AF$6:$AF$3005,"保留中")&gt;0,"保留",IF(COUNTIFS(請求記録!$B$6:$B$3005,$A30,請求記録!$Z$6:$Z$3005,G$5)=0,"",SUMIFS(請求記録!$AE$6:$AE$3005,請求記録!$B$6:$B$3005,$A30,請求記録!$Z$6:$Z$3005,G$5))))</f>
        <v/>
      </c>
      <c r="H30" s="19">
        <f>IF($A30="","",IF(COUNTIFS(請求記録!$B$6:$B$3005,$A30,請求記録!$Z$6:$Z$3005,H$5,請求記録!$AF$6:$AF$3005,"保留中")&gt;0,"保留",IF(COUNTIFS(請求記録!$B$6:$B$3005,$A30,請求記録!$Z$6:$Z$3005,H$5)=0,"",SUMIFS(請求記録!$AE$6:$AE$3005,請求記録!$B$6:$B$3005,$A30,請求記録!$Z$6:$Z$3005,H$5))))</f>
        <v/>
      </c>
      <c r="I30" s="19">
        <f>IF($A30="","",IF(COUNTIFS(請求記録!$B$6:$B$3005,$A30,請求記録!$Z$6:$Z$3005,I$5,請求記録!$AF$6:$AF$3005,"保留中")&gt;0,"保留",IF(COUNTIFS(請求記録!$B$6:$B$3005,$A30,請求記録!$Z$6:$Z$3005,I$5)=0,"",SUMIFS(請求記録!$AE$6:$AE$3005,請求記録!$B$6:$B$3005,$A30,請求記録!$Z$6:$Z$3005,I$5))))</f>
        <v/>
      </c>
      <c r="J30" s="19">
        <f>IF($A30="","",IF(COUNTIFS(請求記録!$B$6:$B$3005,$A30,請求記録!$Z$6:$Z$3005,J$5,請求記録!$AF$6:$AF$3005,"保留中")&gt;0,"保留",IF(COUNTIFS(請求記録!$B$6:$B$3005,$A30,請求記録!$Z$6:$Z$3005,J$5)=0,"",SUMIFS(請求記録!$AE$6:$AE$3005,請求記録!$B$6:$B$3005,$A30,請求記録!$Z$6:$Z$3005,J$5))))</f>
        <v/>
      </c>
      <c r="K30" s="19">
        <f>IF($A30="","",IF(COUNTIFS(請求記録!$B$6:$B$3005,$A30,請求記録!$Z$6:$Z$3005,K$5,請求記録!$AF$6:$AF$3005,"保留中")&gt;0,"保留",IF(COUNTIFS(請求記録!$B$6:$B$3005,$A30,請求記録!$Z$6:$Z$3005,K$5)=0,"",SUMIFS(請求記録!$AE$6:$AE$3005,請求記録!$B$6:$B$3005,$A30,請求記録!$Z$6:$Z$3005,K$5))))</f>
        <v/>
      </c>
      <c r="L30" s="19">
        <f>IF($A30="","",IF(COUNTIFS(請求記録!$B$6:$B$3005,$A30,請求記録!$Z$6:$Z$3005,L$5,請求記録!$AF$6:$AF$3005,"保留中")&gt;0,"保留",IF(COUNTIFS(請求記録!$B$6:$B$3005,$A30,請求記録!$Z$6:$Z$3005,L$5)=0,"",SUMIFS(請求記録!$AE$6:$AE$3005,請求記録!$B$6:$B$3005,$A30,請求記録!$Z$6:$Z$3005,L$5))))</f>
        <v/>
      </c>
      <c r="M30" s="19">
        <f>IF($A30="","",IF(COUNTIFS(請求記録!$B$6:$B$3005,$A30,請求記録!$Z$6:$Z$3005,M$5,請求記録!$AF$6:$AF$3005,"保留中")&gt;0,"保留",IF(COUNTIFS(請求記録!$B$6:$B$3005,$A30,請求記録!$Z$6:$Z$3005,M$5)=0,"",SUMIFS(請求記録!$AE$6:$AE$3005,請求記録!$B$6:$B$3005,$A30,請求記録!$Z$6:$Z$3005,M$5))))</f>
        <v/>
      </c>
      <c r="N30" s="19">
        <f>IF($A30="","",IF(COUNTIFS(請求記録!$B$6:$B$3005,$A30,請求記録!$Z$6:$Z$3005,N$5,請求記録!$AF$6:$AF$3005,"保留中")&gt;0,"保留",IF(COUNTIFS(請求記録!$B$6:$B$3005,$A30,請求記録!$Z$6:$Z$3005,N$5)=0,"",SUMIFS(請求記録!$AE$6:$AE$3005,請求記録!$B$6:$B$3005,$A30,請求記録!$Z$6:$Z$3005,N$5))))</f>
        <v/>
      </c>
      <c r="O30" s="19">
        <f>IF($A30="","",IF(COUNTIFS(請求記録!$B$6:$B$3005,$A30,請求記録!$Z$6:$Z$3005,O$5,請求記録!$AF$6:$AF$3005,"保留中")&gt;0,"保留",IF(COUNTIFS(請求記録!$B$6:$B$3005,$A30,請求記録!$Z$6:$Z$3005,O$5)=0,"",SUMIFS(請求記録!$AE$6:$AE$3005,請求記録!$B$6:$B$3005,$A30,請求記録!$Z$6:$Z$3005,O$5))))</f>
        <v/>
      </c>
      <c r="P30" s="19">
        <f>IF($A30="","",IF(COUNTIFS(請求記録!$B$6:$B$3005,$A30,請求記録!$Z$6:$Z$3005,P$5,請求記録!$AF$6:$AF$3005,"保留中")&gt;0,"保留",IF(COUNTIFS(請求記録!$B$6:$B$3005,$A30,請求記録!$Z$6:$Z$3005,P$5)=0,"",SUMIFS(請求記録!$AE$6:$AE$3005,請求記録!$B$6:$B$3005,$A30,請求記録!$Z$6:$Z$3005,P$5))))</f>
        <v/>
      </c>
      <c r="Q30" s="19">
        <f>IF($A30="","",IF(COUNTIFS(請求記録!$B$6:$B$3005,$A30,請求記録!$Z$6:$Z$3005,Q$5,請求記録!$AF$6:$AF$3005,"保留中")&gt;0,"保留",IF(COUNTIFS(請求記録!$B$6:$B$3005,$A30,請求記録!$Z$6:$Z$3005,Q$5)=0,"",SUMIFS(請求記録!$AE$6:$AE$3005,請求記録!$B$6:$B$3005,$A30,請求記録!$Z$6:$Z$3005,Q$5))))</f>
        <v/>
      </c>
      <c r="R30" s="19">
        <f>IF($A30="","",IF(COUNTIFS(請求記録!$B$6:$B$3005,$A30,請求記録!$Z$6:$Z$3005,R$5,請求記録!$AF$6:$AF$3005,"保留中")&gt;0,"保留",IF(COUNTIFS(請求記録!$B$6:$B$3005,$A30,請求記録!$Z$6:$Z$3005,R$5)=0,"",SUMIFS(請求記録!$AE$6:$AE$3005,請求記録!$B$6:$B$3005,$A30,請求記録!$Z$6:$Z$3005,R$5))))</f>
        <v/>
      </c>
      <c r="S30" s="19">
        <f>IF($A30="","",IF(COUNTIFS(請求記録!$B$6:$B$3005,$A30,請求記録!$Z$6:$Z$3005,S$5,請求記録!$AF$6:$AF$3005,"保留中")&gt;0,"保留",IF(COUNTIFS(請求記録!$B$6:$B$3005,$A30,請求記録!$Z$6:$Z$3005,S$5)=0,"",SUMIFS(請求記録!$AE$6:$AE$3005,請求記録!$B$6:$B$3005,$A30,請求記録!$Z$6:$Z$3005,S$5))))</f>
        <v/>
      </c>
      <c r="T30" s="19">
        <f>IF($A30="","",IF(COUNTIFS(請求記録!$B$6:$B$3005,$A30,請求記録!$Z$6:$Z$3005,T$5,請求記録!$AF$6:$AF$3005,"保留中")&gt;0,"保留",IF(COUNTIFS(請求記録!$B$6:$B$3005,$A30,請求記録!$Z$6:$Z$3005,T$5)=0,"",SUMIFS(請求記録!$AE$6:$AE$3005,請求記録!$B$6:$B$3005,$A30,請求記録!$Z$6:$Z$3005,T$5))))</f>
        <v/>
      </c>
      <c r="U30" s="19">
        <f>IF($A30="","",IF(COUNTIFS(請求記録!$B$6:$B$3005,$A30,請求記録!$Z$6:$Z$3005,U$5,請求記録!$AF$6:$AF$3005,"保留中")&gt;0,"保留",IF(COUNTIFS(請求記録!$B$6:$B$3005,$A30,請求記録!$Z$6:$Z$3005,U$5)=0,"",SUMIFS(請求記録!$AE$6:$AE$3005,請求記録!$B$6:$B$3005,$A30,請求記録!$Z$6:$Z$3005,U$5))))</f>
        <v/>
      </c>
      <c r="V30" s="19">
        <f>IF($A30="","",IF(COUNTIFS(請求記録!$B$6:$B$3005,$A30,請求記録!$Z$6:$Z$3005,V$5,請求記録!$AF$6:$AF$3005,"保留中")&gt;0,"保留",IF(COUNTIFS(請求記録!$B$6:$B$3005,$A30,請求記録!$Z$6:$Z$3005,V$5)=0,"",SUMIFS(請求記録!$AE$6:$AE$3005,請求記録!$B$6:$B$3005,$A30,請求記録!$Z$6:$Z$3005,V$5))))</f>
        <v/>
      </c>
      <c r="W30" s="19">
        <f>IF($A30="","",IF(COUNTIFS(請求記録!$B$6:$B$3005,$A30,請求記録!$Z$6:$Z$3005,W$5,請求記録!$AF$6:$AF$3005,"保留中")&gt;0,"保留",IF(COUNTIFS(請求記録!$B$6:$B$3005,$A30,請求記録!$Z$6:$Z$3005,W$5)=0,"",SUMIFS(請求記録!$AE$6:$AE$3005,請求記録!$B$6:$B$3005,$A30,請求記録!$Z$6:$Z$3005,W$5))))</f>
        <v/>
      </c>
      <c r="X30" s="19">
        <f>IF($A30="","",IF(COUNTIFS(請求記録!$B$6:$B$3005,$A30,請求記録!$Z$6:$Z$3005,X$5,請求記録!$AF$6:$AF$3005,"保留中")&gt;0,"保留",IF(COUNTIFS(請求記録!$B$6:$B$3005,$A30,請求記録!$Z$6:$Z$3005,X$5)=0,"",SUMIFS(請求記録!$AE$6:$AE$3005,請求記録!$B$6:$B$3005,$A30,請求記録!$Z$6:$Z$3005,X$5))))</f>
        <v/>
      </c>
      <c r="Y30" s="19">
        <f>IF($A30="","",IF(COUNTIFS(請求記録!$B$6:$B$3005,$A30,請求記録!$Z$6:$Z$3005,Y$5,請求記録!$AF$6:$AF$3005,"保留中")&gt;0,"保留",IF(COUNTIFS(請求記録!$B$6:$B$3005,$A30,請求記録!$Z$6:$Z$3005,Y$5)=0,"",SUMIFS(請求記録!$AE$6:$AE$3005,請求記録!$B$6:$B$3005,$A30,請求記録!$Z$6:$Z$3005,Y$5))))</f>
        <v/>
      </c>
      <c r="Z30" s="19">
        <f>IF($A30="","",IF(COUNTIFS(請求記録!$B$6:$B$3005,$A30,請求記録!$Z$6:$Z$3005,Z$5,請求記録!$AF$6:$AF$3005,"保留中")&gt;0,"保留",IF(COUNTIFS(請求記録!$B$6:$B$3005,$A30,請求記録!$Z$6:$Z$3005,Z$5)=0,"",SUMIFS(請求記録!$AE$6:$AE$3005,請求記録!$B$6:$B$3005,$A30,請求記録!$Z$6:$Z$3005,Z$5))))</f>
        <v/>
      </c>
      <c r="AA30" s="19">
        <f>IF($A30="","",IF(COUNTIFS(請求記録!$B$6:$B$3005,$A30,請求記録!$Z$6:$Z$3005,AA$5,請求記録!$AF$6:$AF$3005,"保留中")&gt;0,"保留",IF(COUNTIFS(請求記録!$B$6:$B$3005,$A30,請求記録!$Z$6:$Z$3005,AA$5)=0,"",SUMIFS(請求記録!$AE$6:$AE$3005,請求記録!$B$6:$B$3005,$A30,請求記録!$Z$6:$Z$3005,AA$5))))</f>
        <v/>
      </c>
      <c r="AB30">
        <f>IF(職員マスタ!P30="保留中",職員マスタ!M30,"")</f>
        <v/>
      </c>
    </row>
    <row r="31">
      <c r="A31">
        <f>IF(職員マスタ!A31="","",職員マスタ!A31)</f>
        <v/>
      </c>
      <c r="B31">
        <f>IF($A31="","",職員マスタ!B31)</f>
        <v/>
      </c>
      <c r="C31">
        <f>IF($A31="","",職員マスタ!C31)</f>
        <v/>
      </c>
      <c r="D31" s="19">
        <f>IF($A31="","",IF(COUNTIFS(請求記録!$B$6:$B$3005,$A31,請求記録!$Z$6:$Z$3005,D$5,請求記録!$AF$6:$AF$3005,"保留中")&gt;0,"保留",IF(COUNTIFS(請求記録!$B$6:$B$3005,$A31,請求記録!$Z$6:$Z$3005,D$5)=0,"",SUMIFS(請求記録!$AE$6:$AE$3005,請求記録!$B$6:$B$3005,$A31,請求記録!$Z$6:$Z$3005,D$5))))</f>
        <v/>
      </c>
      <c r="E31" s="19">
        <f>IF($A31="","",IF(COUNTIFS(請求記録!$B$6:$B$3005,$A31,請求記録!$Z$6:$Z$3005,E$5,請求記録!$AF$6:$AF$3005,"保留中")&gt;0,"保留",IF(COUNTIFS(請求記録!$B$6:$B$3005,$A31,請求記録!$Z$6:$Z$3005,E$5)=0,"",SUMIFS(請求記録!$AE$6:$AE$3005,請求記録!$B$6:$B$3005,$A31,請求記録!$Z$6:$Z$3005,E$5))))</f>
        <v/>
      </c>
      <c r="F31" s="19">
        <f>IF($A31="","",IF(COUNTIFS(請求記録!$B$6:$B$3005,$A31,請求記録!$Z$6:$Z$3005,F$5,請求記録!$AF$6:$AF$3005,"保留中")&gt;0,"保留",IF(COUNTIFS(請求記録!$B$6:$B$3005,$A31,請求記録!$Z$6:$Z$3005,F$5)=0,"",SUMIFS(請求記録!$AE$6:$AE$3005,請求記録!$B$6:$B$3005,$A31,請求記録!$Z$6:$Z$3005,F$5))))</f>
        <v/>
      </c>
      <c r="G31" s="19">
        <f>IF($A31="","",IF(COUNTIFS(請求記録!$B$6:$B$3005,$A31,請求記録!$Z$6:$Z$3005,G$5,請求記録!$AF$6:$AF$3005,"保留中")&gt;0,"保留",IF(COUNTIFS(請求記録!$B$6:$B$3005,$A31,請求記録!$Z$6:$Z$3005,G$5)=0,"",SUMIFS(請求記録!$AE$6:$AE$3005,請求記録!$B$6:$B$3005,$A31,請求記録!$Z$6:$Z$3005,G$5))))</f>
        <v/>
      </c>
      <c r="H31" s="19">
        <f>IF($A31="","",IF(COUNTIFS(請求記録!$B$6:$B$3005,$A31,請求記録!$Z$6:$Z$3005,H$5,請求記録!$AF$6:$AF$3005,"保留中")&gt;0,"保留",IF(COUNTIFS(請求記録!$B$6:$B$3005,$A31,請求記録!$Z$6:$Z$3005,H$5)=0,"",SUMIFS(請求記録!$AE$6:$AE$3005,請求記録!$B$6:$B$3005,$A31,請求記録!$Z$6:$Z$3005,H$5))))</f>
        <v/>
      </c>
      <c r="I31" s="19">
        <f>IF($A31="","",IF(COUNTIFS(請求記録!$B$6:$B$3005,$A31,請求記録!$Z$6:$Z$3005,I$5,請求記録!$AF$6:$AF$3005,"保留中")&gt;0,"保留",IF(COUNTIFS(請求記録!$B$6:$B$3005,$A31,請求記録!$Z$6:$Z$3005,I$5)=0,"",SUMIFS(請求記録!$AE$6:$AE$3005,請求記録!$B$6:$B$3005,$A31,請求記録!$Z$6:$Z$3005,I$5))))</f>
        <v/>
      </c>
      <c r="J31" s="19">
        <f>IF($A31="","",IF(COUNTIFS(請求記録!$B$6:$B$3005,$A31,請求記録!$Z$6:$Z$3005,J$5,請求記録!$AF$6:$AF$3005,"保留中")&gt;0,"保留",IF(COUNTIFS(請求記録!$B$6:$B$3005,$A31,請求記録!$Z$6:$Z$3005,J$5)=0,"",SUMIFS(請求記録!$AE$6:$AE$3005,請求記録!$B$6:$B$3005,$A31,請求記録!$Z$6:$Z$3005,J$5))))</f>
        <v/>
      </c>
      <c r="K31" s="19">
        <f>IF($A31="","",IF(COUNTIFS(請求記録!$B$6:$B$3005,$A31,請求記録!$Z$6:$Z$3005,K$5,請求記録!$AF$6:$AF$3005,"保留中")&gt;0,"保留",IF(COUNTIFS(請求記録!$B$6:$B$3005,$A31,請求記録!$Z$6:$Z$3005,K$5)=0,"",SUMIFS(請求記録!$AE$6:$AE$3005,請求記録!$B$6:$B$3005,$A31,請求記録!$Z$6:$Z$3005,K$5))))</f>
        <v/>
      </c>
      <c r="L31" s="19">
        <f>IF($A31="","",IF(COUNTIFS(請求記録!$B$6:$B$3005,$A31,請求記録!$Z$6:$Z$3005,L$5,請求記録!$AF$6:$AF$3005,"保留中")&gt;0,"保留",IF(COUNTIFS(請求記録!$B$6:$B$3005,$A31,請求記録!$Z$6:$Z$3005,L$5)=0,"",SUMIFS(請求記録!$AE$6:$AE$3005,請求記録!$B$6:$B$3005,$A31,請求記録!$Z$6:$Z$3005,L$5))))</f>
        <v/>
      </c>
      <c r="M31" s="19">
        <f>IF($A31="","",IF(COUNTIFS(請求記録!$B$6:$B$3005,$A31,請求記録!$Z$6:$Z$3005,M$5,請求記録!$AF$6:$AF$3005,"保留中")&gt;0,"保留",IF(COUNTIFS(請求記録!$B$6:$B$3005,$A31,請求記録!$Z$6:$Z$3005,M$5)=0,"",SUMIFS(請求記録!$AE$6:$AE$3005,請求記録!$B$6:$B$3005,$A31,請求記録!$Z$6:$Z$3005,M$5))))</f>
        <v/>
      </c>
      <c r="N31" s="19">
        <f>IF($A31="","",IF(COUNTIFS(請求記録!$B$6:$B$3005,$A31,請求記録!$Z$6:$Z$3005,N$5,請求記録!$AF$6:$AF$3005,"保留中")&gt;0,"保留",IF(COUNTIFS(請求記録!$B$6:$B$3005,$A31,請求記録!$Z$6:$Z$3005,N$5)=0,"",SUMIFS(請求記録!$AE$6:$AE$3005,請求記録!$B$6:$B$3005,$A31,請求記録!$Z$6:$Z$3005,N$5))))</f>
        <v/>
      </c>
      <c r="O31" s="19">
        <f>IF($A31="","",IF(COUNTIFS(請求記録!$B$6:$B$3005,$A31,請求記録!$Z$6:$Z$3005,O$5,請求記録!$AF$6:$AF$3005,"保留中")&gt;0,"保留",IF(COUNTIFS(請求記録!$B$6:$B$3005,$A31,請求記録!$Z$6:$Z$3005,O$5)=0,"",SUMIFS(請求記録!$AE$6:$AE$3005,請求記録!$B$6:$B$3005,$A31,請求記録!$Z$6:$Z$3005,O$5))))</f>
        <v/>
      </c>
      <c r="P31" s="19">
        <f>IF($A31="","",IF(COUNTIFS(請求記録!$B$6:$B$3005,$A31,請求記録!$Z$6:$Z$3005,P$5,請求記録!$AF$6:$AF$3005,"保留中")&gt;0,"保留",IF(COUNTIFS(請求記録!$B$6:$B$3005,$A31,請求記録!$Z$6:$Z$3005,P$5)=0,"",SUMIFS(請求記録!$AE$6:$AE$3005,請求記録!$B$6:$B$3005,$A31,請求記録!$Z$6:$Z$3005,P$5))))</f>
        <v/>
      </c>
      <c r="Q31" s="19">
        <f>IF($A31="","",IF(COUNTIFS(請求記録!$B$6:$B$3005,$A31,請求記録!$Z$6:$Z$3005,Q$5,請求記録!$AF$6:$AF$3005,"保留中")&gt;0,"保留",IF(COUNTIFS(請求記録!$B$6:$B$3005,$A31,請求記録!$Z$6:$Z$3005,Q$5)=0,"",SUMIFS(請求記録!$AE$6:$AE$3005,請求記録!$B$6:$B$3005,$A31,請求記録!$Z$6:$Z$3005,Q$5))))</f>
        <v/>
      </c>
      <c r="R31" s="19">
        <f>IF($A31="","",IF(COUNTIFS(請求記録!$B$6:$B$3005,$A31,請求記録!$Z$6:$Z$3005,R$5,請求記録!$AF$6:$AF$3005,"保留中")&gt;0,"保留",IF(COUNTIFS(請求記録!$B$6:$B$3005,$A31,請求記録!$Z$6:$Z$3005,R$5)=0,"",SUMIFS(請求記録!$AE$6:$AE$3005,請求記録!$B$6:$B$3005,$A31,請求記録!$Z$6:$Z$3005,R$5))))</f>
        <v/>
      </c>
      <c r="S31" s="19">
        <f>IF($A31="","",IF(COUNTIFS(請求記録!$B$6:$B$3005,$A31,請求記録!$Z$6:$Z$3005,S$5,請求記録!$AF$6:$AF$3005,"保留中")&gt;0,"保留",IF(COUNTIFS(請求記録!$B$6:$B$3005,$A31,請求記録!$Z$6:$Z$3005,S$5)=0,"",SUMIFS(請求記録!$AE$6:$AE$3005,請求記録!$B$6:$B$3005,$A31,請求記録!$Z$6:$Z$3005,S$5))))</f>
        <v/>
      </c>
      <c r="T31" s="19">
        <f>IF($A31="","",IF(COUNTIFS(請求記録!$B$6:$B$3005,$A31,請求記録!$Z$6:$Z$3005,T$5,請求記録!$AF$6:$AF$3005,"保留中")&gt;0,"保留",IF(COUNTIFS(請求記録!$B$6:$B$3005,$A31,請求記録!$Z$6:$Z$3005,T$5)=0,"",SUMIFS(請求記録!$AE$6:$AE$3005,請求記録!$B$6:$B$3005,$A31,請求記録!$Z$6:$Z$3005,T$5))))</f>
        <v/>
      </c>
      <c r="U31" s="19">
        <f>IF($A31="","",IF(COUNTIFS(請求記録!$B$6:$B$3005,$A31,請求記録!$Z$6:$Z$3005,U$5,請求記録!$AF$6:$AF$3005,"保留中")&gt;0,"保留",IF(COUNTIFS(請求記録!$B$6:$B$3005,$A31,請求記録!$Z$6:$Z$3005,U$5)=0,"",SUMIFS(請求記録!$AE$6:$AE$3005,請求記録!$B$6:$B$3005,$A31,請求記録!$Z$6:$Z$3005,U$5))))</f>
        <v/>
      </c>
      <c r="V31" s="19">
        <f>IF($A31="","",IF(COUNTIFS(請求記録!$B$6:$B$3005,$A31,請求記録!$Z$6:$Z$3005,V$5,請求記録!$AF$6:$AF$3005,"保留中")&gt;0,"保留",IF(COUNTIFS(請求記録!$B$6:$B$3005,$A31,請求記録!$Z$6:$Z$3005,V$5)=0,"",SUMIFS(請求記録!$AE$6:$AE$3005,請求記録!$B$6:$B$3005,$A31,請求記録!$Z$6:$Z$3005,V$5))))</f>
        <v/>
      </c>
      <c r="W31" s="19">
        <f>IF($A31="","",IF(COUNTIFS(請求記録!$B$6:$B$3005,$A31,請求記録!$Z$6:$Z$3005,W$5,請求記録!$AF$6:$AF$3005,"保留中")&gt;0,"保留",IF(COUNTIFS(請求記録!$B$6:$B$3005,$A31,請求記録!$Z$6:$Z$3005,W$5)=0,"",SUMIFS(請求記録!$AE$6:$AE$3005,請求記録!$B$6:$B$3005,$A31,請求記録!$Z$6:$Z$3005,W$5))))</f>
        <v/>
      </c>
      <c r="X31" s="19">
        <f>IF($A31="","",IF(COUNTIFS(請求記録!$B$6:$B$3005,$A31,請求記録!$Z$6:$Z$3005,X$5,請求記録!$AF$6:$AF$3005,"保留中")&gt;0,"保留",IF(COUNTIFS(請求記録!$B$6:$B$3005,$A31,請求記録!$Z$6:$Z$3005,X$5)=0,"",SUMIFS(請求記録!$AE$6:$AE$3005,請求記録!$B$6:$B$3005,$A31,請求記録!$Z$6:$Z$3005,X$5))))</f>
        <v/>
      </c>
      <c r="Y31" s="19">
        <f>IF($A31="","",IF(COUNTIFS(請求記録!$B$6:$B$3005,$A31,請求記録!$Z$6:$Z$3005,Y$5,請求記録!$AF$6:$AF$3005,"保留中")&gt;0,"保留",IF(COUNTIFS(請求記録!$B$6:$B$3005,$A31,請求記録!$Z$6:$Z$3005,Y$5)=0,"",SUMIFS(請求記録!$AE$6:$AE$3005,請求記録!$B$6:$B$3005,$A31,請求記録!$Z$6:$Z$3005,Y$5))))</f>
        <v/>
      </c>
      <c r="Z31" s="19">
        <f>IF($A31="","",IF(COUNTIFS(請求記録!$B$6:$B$3005,$A31,請求記録!$Z$6:$Z$3005,Z$5,請求記録!$AF$6:$AF$3005,"保留中")&gt;0,"保留",IF(COUNTIFS(請求記録!$B$6:$B$3005,$A31,請求記録!$Z$6:$Z$3005,Z$5)=0,"",SUMIFS(請求記録!$AE$6:$AE$3005,請求記録!$B$6:$B$3005,$A31,請求記録!$Z$6:$Z$3005,Z$5))))</f>
        <v/>
      </c>
      <c r="AA31" s="19">
        <f>IF($A31="","",IF(COUNTIFS(請求記録!$B$6:$B$3005,$A31,請求記録!$Z$6:$Z$3005,AA$5,請求記録!$AF$6:$AF$3005,"保留中")&gt;0,"保留",IF(COUNTIFS(請求記録!$B$6:$B$3005,$A31,請求記録!$Z$6:$Z$3005,AA$5)=0,"",SUMIFS(請求記録!$AE$6:$AE$3005,請求記録!$B$6:$B$3005,$A31,請求記録!$Z$6:$Z$3005,AA$5))))</f>
        <v/>
      </c>
      <c r="AB31">
        <f>IF(職員マスタ!P31="保留中",職員マスタ!M31,"")</f>
        <v/>
      </c>
    </row>
    <row r="32">
      <c r="A32">
        <f>IF(職員マスタ!A32="","",職員マスタ!A32)</f>
        <v/>
      </c>
      <c r="B32">
        <f>IF($A32="","",職員マスタ!B32)</f>
        <v/>
      </c>
      <c r="C32">
        <f>IF($A32="","",職員マスタ!C32)</f>
        <v/>
      </c>
      <c r="D32" s="19">
        <f>IF($A32="","",IF(COUNTIFS(請求記録!$B$6:$B$3005,$A32,請求記録!$Z$6:$Z$3005,D$5,請求記録!$AF$6:$AF$3005,"保留中")&gt;0,"保留",IF(COUNTIFS(請求記録!$B$6:$B$3005,$A32,請求記録!$Z$6:$Z$3005,D$5)=0,"",SUMIFS(請求記録!$AE$6:$AE$3005,請求記録!$B$6:$B$3005,$A32,請求記録!$Z$6:$Z$3005,D$5))))</f>
        <v/>
      </c>
      <c r="E32" s="19">
        <f>IF($A32="","",IF(COUNTIFS(請求記録!$B$6:$B$3005,$A32,請求記録!$Z$6:$Z$3005,E$5,請求記録!$AF$6:$AF$3005,"保留中")&gt;0,"保留",IF(COUNTIFS(請求記録!$B$6:$B$3005,$A32,請求記録!$Z$6:$Z$3005,E$5)=0,"",SUMIFS(請求記録!$AE$6:$AE$3005,請求記録!$B$6:$B$3005,$A32,請求記録!$Z$6:$Z$3005,E$5))))</f>
        <v/>
      </c>
      <c r="F32" s="19">
        <f>IF($A32="","",IF(COUNTIFS(請求記録!$B$6:$B$3005,$A32,請求記録!$Z$6:$Z$3005,F$5,請求記録!$AF$6:$AF$3005,"保留中")&gt;0,"保留",IF(COUNTIFS(請求記録!$B$6:$B$3005,$A32,請求記録!$Z$6:$Z$3005,F$5)=0,"",SUMIFS(請求記録!$AE$6:$AE$3005,請求記録!$B$6:$B$3005,$A32,請求記録!$Z$6:$Z$3005,F$5))))</f>
        <v/>
      </c>
      <c r="G32" s="19">
        <f>IF($A32="","",IF(COUNTIFS(請求記録!$B$6:$B$3005,$A32,請求記録!$Z$6:$Z$3005,G$5,請求記録!$AF$6:$AF$3005,"保留中")&gt;0,"保留",IF(COUNTIFS(請求記録!$B$6:$B$3005,$A32,請求記録!$Z$6:$Z$3005,G$5)=0,"",SUMIFS(請求記録!$AE$6:$AE$3005,請求記録!$B$6:$B$3005,$A32,請求記録!$Z$6:$Z$3005,G$5))))</f>
        <v/>
      </c>
      <c r="H32" s="19">
        <f>IF($A32="","",IF(COUNTIFS(請求記録!$B$6:$B$3005,$A32,請求記録!$Z$6:$Z$3005,H$5,請求記録!$AF$6:$AF$3005,"保留中")&gt;0,"保留",IF(COUNTIFS(請求記録!$B$6:$B$3005,$A32,請求記録!$Z$6:$Z$3005,H$5)=0,"",SUMIFS(請求記録!$AE$6:$AE$3005,請求記録!$B$6:$B$3005,$A32,請求記録!$Z$6:$Z$3005,H$5))))</f>
        <v/>
      </c>
      <c r="I32" s="19">
        <f>IF($A32="","",IF(COUNTIFS(請求記録!$B$6:$B$3005,$A32,請求記録!$Z$6:$Z$3005,I$5,請求記録!$AF$6:$AF$3005,"保留中")&gt;0,"保留",IF(COUNTIFS(請求記録!$B$6:$B$3005,$A32,請求記録!$Z$6:$Z$3005,I$5)=0,"",SUMIFS(請求記録!$AE$6:$AE$3005,請求記録!$B$6:$B$3005,$A32,請求記録!$Z$6:$Z$3005,I$5))))</f>
        <v/>
      </c>
      <c r="J32" s="19">
        <f>IF($A32="","",IF(COUNTIFS(請求記録!$B$6:$B$3005,$A32,請求記録!$Z$6:$Z$3005,J$5,請求記録!$AF$6:$AF$3005,"保留中")&gt;0,"保留",IF(COUNTIFS(請求記録!$B$6:$B$3005,$A32,請求記録!$Z$6:$Z$3005,J$5)=0,"",SUMIFS(請求記録!$AE$6:$AE$3005,請求記録!$B$6:$B$3005,$A32,請求記録!$Z$6:$Z$3005,J$5))))</f>
        <v/>
      </c>
      <c r="K32" s="19">
        <f>IF($A32="","",IF(COUNTIFS(請求記録!$B$6:$B$3005,$A32,請求記録!$Z$6:$Z$3005,K$5,請求記録!$AF$6:$AF$3005,"保留中")&gt;0,"保留",IF(COUNTIFS(請求記録!$B$6:$B$3005,$A32,請求記録!$Z$6:$Z$3005,K$5)=0,"",SUMIFS(請求記録!$AE$6:$AE$3005,請求記録!$B$6:$B$3005,$A32,請求記録!$Z$6:$Z$3005,K$5))))</f>
        <v/>
      </c>
      <c r="L32" s="19">
        <f>IF($A32="","",IF(COUNTIFS(請求記録!$B$6:$B$3005,$A32,請求記録!$Z$6:$Z$3005,L$5,請求記録!$AF$6:$AF$3005,"保留中")&gt;0,"保留",IF(COUNTIFS(請求記録!$B$6:$B$3005,$A32,請求記録!$Z$6:$Z$3005,L$5)=0,"",SUMIFS(請求記録!$AE$6:$AE$3005,請求記録!$B$6:$B$3005,$A32,請求記録!$Z$6:$Z$3005,L$5))))</f>
        <v/>
      </c>
      <c r="M32" s="19">
        <f>IF($A32="","",IF(COUNTIFS(請求記録!$B$6:$B$3005,$A32,請求記録!$Z$6:$Z$3005,M$5,請求記録!$AF$6:$AF$3005,"保留中")&gt;0,"保留",IF(COUNTIFS(請求記録!$B$6:$B$3005,$A32,請求記録!$Z$6:$Z$3005,M$5)=0,"",SUMIFS(請求記録!$AE$6:$AE$3005,請求記録!$B$6:$B$3005,$A32,請求記録!$Z$6:$Z$3005,M$5))))</f>
        <v/>
      </c>
      <c r="N32" s="19">
        <f>IF($A32="","",IF(COUNTIFS(請求記録!$B$6:$B$3005,$A32,請求記録!$Z$6:$Z$3005,N$5,請求記録!$AF$6:$AF$3005,"保留中")&gt;0,"保留",IF(COUNTIFS(請求記録!$B$6:$B$3005,$A32,請求記録!$Z$6:$Z$3005,N$5)=0,"",SUMIFS(請求記録!$AE$6:$AE$3005,請求記録!$B$6:$B$3005,$A32,請求記録!$Z$6:$Z$3005,N$5))))</f>
        <v/>
      </c>
      <c r="O32" s="19">
        <f>IF($A32="","",IF(COUNTIFS(請求記録!$B$6:$B$3005,$A32,請求記録!$Z$6:$Z$3005,O$5,請求記録!$AF$6:$AF$3005,"保留中")&gt;0,"保留",IF(COUNTIFS(請求記録!$B$6:$B$3005,$A32,請求記録!$Z$6:$Z$3005,O$5)=0,"",SUMIFS(請求記録!$AE$6:$AE$3005,請求記録!$B$6:$B$3005,$A32,請求記録!$Z$6:$Z$3005,O$5))))</f>
        <v/>
      </c>
      <c r="P32" s="19">
        <f>IF($A32="","",IF(COUNTIFS(請求記録!$B$6:$B$3005,$A32,請求記録!$Z$6:$Z$3005,P$5,請求記録!$AF$6:$AF$3005,"保留中")&gt;0,"保留",IF(COUNTIFS(請求記録!$B$6:$B$3005,$A32,請求記録!$Z$6:$Z$3005,P$5)=0,"",SUMIFS(請求記録!$AE$6:$AE$3005,請求記録!$B$6:$B$3005,$A32,請求記録!$Z$6:$Z$3005,P$5))))</f>
        <v/>
      </c>
      <c r="Q32" s="19">
        <f>IF($A32="","",IF(COUNTIFS(請求記録!$B$6:$B$3005,$A32,請求記録!$Z$6:$Z$3005,Q$5,請求記録!$AF$6:$AF$3005,"保留中")&gt;0,"保留",IF(COUNTIFS(請求記録!$B$6:$B$3005,$A32,請求記録!$Z$6:$Z$3005,Q$5)=0,"",SUMIFS(請求記録!$AE$6:$AE$3005,請求記録!$B$6:$B$3005,$A32,請求記録!$Z$6:$Z$3005,Q$5))))</f>
        <v/>
      </c>
      <c r="R32" s="19">
        <f>IF($A32="","",IF(COUNTIFS(請求記録!$B$6:$B$3005,$A32,請求記録!$Z$6:$Z$3005,R$5,請求記録!$AF$6:$AF$3005,"保留中")&gt;0,"保留",IF(COUNTIFS(請求記録!$B$6:$B$3005,$A32,請求記録!$Z$6:$Z$3005,R$5)=0,"",SUMIFS(請求記録!$AE$6:$AE$3005,請求記録!$B$6:$B$3005,$A32,請求記録!$Z$6:$Z$3005,R$5))))</f>
        <v/>
      </c>
      <c r="S32" s="19">
        <f>IF($A32="","",IF(COUNTIFS(請求記録!$B$6:$B$3005,$A32,請求記録!$Z$6:$Z$3005,S$5,請求記録!$AF$6:$AF$3005,"保留中")&gt;0,"保留",IF(COUNTIFS(請求記録!$B$6:$B$3005,$A32,請求記録!$Z$6:$Z$3005,S$5)=0,"",SUMIFS(請求記録!$AE$6:$AE$3005,請求記録!$B$6:$B$3005,$A32,請求記録!$Z$6:$Z$3005,S$5))))</f>
        <v/>
      </c>
      <c r="T32" s="19">
        <f>IF($A32="","",IF(COUNTIFS(請求記録!$B$6:$B$3005,$A32,請求記録!$Z$6:$Z$3005,T$5,請求記録!$AF$6:$AF$3005,"保留中")&gt;0,"保留",IF(COUNTIFS(請求記録!$B$6:$B$3005,$A32,請求記録!$Z$6:$Z$3005,T$5)=0,"",SUMIFS(請求記録!$AE$6:$AE$3005,請求記録!$B$6:$B$3005,$A32,請求記録!$Z$6:$Z$3005,T$5))))</f>
        <v/>
      </c>
      <c r="U32" s="19">
        <f>IF($A32="","",IF(COUNTIFS(請求記録!$B$6:$B$3005,$A32,請求記録!$Z$6:$Z$3005,U$5,請求記録!$AF$6:$AF$3005,"保留中")&gt;0,"保留",IF(COUNTIFS(請求記録!$B$6:$B$3005,$A32,請求記録!$Z$6:$Z$3005,U$5)=0,"",SUMIFS(請求記録!$AE$6:$AE$3005,請求記録!$B$6:$B$3005,$A32,請求記録!$Z$6:$Z$3005,U$5))))</f>
        <v/>
      </c>
      <c r="V32" s="19">
        <f>IF($A32="","",IF(COUNTIFS(請求記録!$B$6:$B$3005,$A32,請求記録!$Z$6:$Z$3005,V$5,請求記録!$AF$6:$AF$3005,"保留中")&gt;0,"保留",IF(COUNTIFS(請求記録!$B$6:$B$3005,$A32,請求記録!$Z$6:$Z$3005,V$5)=0,"",SUMIFS(請求記録!$AE$6:$AE$3005,請求記録!$B$6:$B$3005,$A32,請求記録!$Z$6:$Z$3005,V$5))))</f>
        <v/>
      </c>
      <c r="W32" s="19">
        <f>IF($A32="","",IF(COUNTIFS(請求記録!$B$6:$B$3005,$A32,請求記録!$Z$6:$Z$3005,W$5,請求記録!$AF$6:$AF$3005,"保留中")&gt;0,"保留",IF(COUNTIFS(請求記録!$B$6:$B$3005,$A32,請求記録!$Z$6:$Z$3005,W$5)=0,"",SUMIFS(請求記録!$AE$6:$AE$3005,請求記録!$B$6:$B$3005,$A32,請求記録!$Z$6:$Z$3005,W$5))))</f>
        <v/>
      </c>
      <c r="X32" s="19">
        <f>IF($A32="","",IF(COUNTIFS(請求記録!$B$6:$B$3005,$A32,請求記録!$Z$6:$Z$3005,X$5,請求記録!$AF$6:$AF$3005,"保留中")&gt;0,"保留",IF(COUNTIFS(請求記録!$B$6:$B$3005,$A32,請求記録!$Z$6:$Z$3005,X$5)=0,"",SUMIFS(請求記録!$AE$6:$AE$3005,請求記録!$B$6:$B$3005,$A32,請求記録!$Z$6:$Z$3005,X$5))))</f>
        <v/>
      </c>
      <c r="Y32" s="19">
        <f>IF($A32="","",IF(COUNTIFS(請求記録!$B$6:$B$3005,$A32,請求記録!$Z$6:$Z$3005,Y$5,請求記録!$AF$6:$AF$3005,"保留中")&gt;0,"保留",IF(COUNTIFS(請求記録!$B$6:$B$3005,$A32,請求記録!$Z$6:$Z$3005,Y$5)=0,"",SUMIFS(請求記録!$AE$6:$AE$3005,請求記録!$B$6:$B$3005,$A32,請求記録!$Z$6:$Z$3005,Y$5))))</f>
        <v/>
      </c>
      <c r="Z32" s="19">
        <f>IF($A32="","",IF(COUNTIFS(請求記録!$B$6:$B$3005,$A32,請求記録!$Z$6:$Z$3005,Z$5,請求記録!$AF$6:$AF$3005,"保留中")&gt;0,"保留",IF(COUNTIFS(請求記録!$B$6:$B$3005,$A32,請求記録!$Z$6:$Z$3005,Z$5)=0,"",SUMIFS(請求記録!$AE$6:$AE$3005,請求記録!$B$6:$B$3005,$A32,請求記録!$Z$6:$Z$3005,Z$5))))</f>
        <v/>
      </c>
      <c r="AA32" s="19">
        <f>IF($A32="","",IF(COUNTIFS(請求記録!$B$6:$B$3005,$A32,請求記録!$Z$6:$Z$3005,AA$5,請求記録!$AF$6:$AF$3005,"保留中")&gt;0,"保留",IF(COUNTIFS(請求記録!$B$6:$B$3005,$A32,請求記録!$Z$6:$Z$3005,AA$5)=0,"",SUMIFS(請求記録!$AE$6:$AE$3005,請求記録!$B$6:$B$3005,$A32,請求記録!$Z$6:$Z$3005,AA$5))))</f>
        <v/>
      </c>
      <c r="AB32">
        <f>IF(職員マスタ!P32="保留中",職員マスタ!M32,"")</f>
        <v/>
      </c>
    </row>
    <row r="33">
      <c r="A33">
        <f>IF(職員マスタ!A33="","",職員マスタ!A33)</f>
        <v/>
      </c>
      <c r="B33">
        <f>IF($A33="","",職員マスタ!B33)</f>
        <v/>
      </c>
      <c r="C33">
        <f>IF($A33="","",職員マスタ!C33)</f>
        <v/>
      </c>
      <c r="D33" s="19">
        <f>IF($A33="","",IF(COUNTIFS(請求記録!$B$6:$B$3005,$A33,請求記録!$Z$6:$Z$3005,D$5,請求記録!$AF$6:$AF$3005,"保留中")&gt;0,"保留",IF(COUNTIFS(請求記録!$B$6:$B$3005,$A33,請求記録!$Z$6:$Z$3005,D$5)=0,"",SUMIFS(請求記録!$AE$6:$AE$3005,請求記録!$B$6:$B$3005,$A33,請求記録!$Z$6:$Z$3005,D$5))))</f>
        <v/>
      </c>
      <c r="E33" s="19">
        <f>IF($A33="","",IF(COUNTIFS(請求記録!$B$6:$B$3005,$A33,請求記録!$Z$6:$Z$3005,E$5,請求記録!$AF$6:$AF$3005,"保留中")&gt;0,"保留",IF(COUNTIFS(請求記録!$B$6:$B$3005,$A33,請求記録!$Z$6:$Z$3005,E$5)=0,"",SUMIFS(請求記録!$AE$6:$AE$3005,請求記録!$B$6:$B$3005,$A33,請求記録!$Z$6:$Z$3005,E$5))))</f>
        <v/>
      </c>
      <c r="F33" s="19">
        <f>IF($A33="","",IF(COUNTIFS(請求記録!$B$6:$B$3005,$A33,請求記録!$Z$6:$Z$3005,F$5,請求記録!$AF$6:$AF$3005,"保留中")&gt;0,"保留",IF(COUNTIFS(請求記録!$B$6:$B$3005,$A33,請求記録!$Z$6:$Z$3005,F$5)=0,"",SUMIFS(請求記録!$AE$6:$AE$3005,請求記録!$B$6:$B$3005,$A33,請求記録!$Z$6:$Z$3005,F$5))))</f>
        <v/>
      </c>
      <c r="G33" s="19">
        <f>IF($A33="","",IF(COUNTIFS(請求記録!$B$6:$B$3005,$A33,請求記録!$Z$6:$Z$3005,G$5,請求記録!$AF$6:$AF$3005,"保留中")&gt;0,"保留",IF(COUNTIFS(請求記録!$B$6:$B$3005,$A33,請求記録!$Z$6:$Z$3005,G$5)=0,"",SUMIFS(請求記録!$AE$6:$AE$3005,請求記録!$B$6:$B$3005,$A33,請求記録!$Z$6:$Z$3005,G$5))))</f>
        <v/>
      </c>
      <c r="H33" s="19">
        <f>IF($A33="","",IF(COUNTIFS(請求記録!$B$6:$B$3005,$A33,請求記録!$Z$6:$Z$3005,H$5,請求記録!$AF$6:$AF$3005,"保留中")&gt;0,"保留",IF(COUNTIFS(請求記録!$B$6:$B$3005,$A33,請求記録!$Z$6:$Z$3005,H$5)=0,"",SUMIFS(請求記録!$AE$6:$AE$3005,請求記録!$B$6:$B$3005,$A33,請求記録!$Z$6:$Z$3005,H$5))))</f>
        <v/>
      </c>
      <c r="I33" s="19">
        <f>IF($A33="","",IF(COUNTIFS(請求記録!$B$6:$B$3005,$A33,請求記録!$Z$6:$Z$3005,I$5,請求記録!$AF$6:$AF$3005,"保留中")&gt;0,"保留",IF(COUNTIFS(請求記録!$B$6:$B$3005,$A33,請求記録!$Z$6:$Z$3005,I$5)=0,"",SUMIFS(請求記録!$AE$6:$AE$3005,請求記録!$B$6:$B$3005,$A33,請求記録!$Z$6:$Z$3005,I$5))))</f>
        <v/>
      </c>
      <c r="J33" s="19">
        <f>IF($A33="","",IF(COUNTIFS(請求記録!$B$6:$B$3005,$A33,請求記録!$Z$6:$Z$3005,J$5,請求記録!$AF$6:$AF$3005,"保留中")&gt;0,"保留",IF(COUNTIFS(請求記録!$B$6:$B$3005,$A33,請求記録!$Z$6:$Z$3005,J$5)=0,"",SUMIFS(請求記録!$AE$6:$AE$3005,請求記録!$B$6:$B$3005,$A33,請求記録!$Z$6:$Z$3005,J$5))))</f>
        <v/>
      </c>
      <c r="K33" s="19">
        <f>IF($A33="","",IF(COUNTIFS(請求記録!$B$6:$B$3005,$A33,請求記録!$Z$6:$Z$3005,K$5,請求記録!$AF$6:$AF$3005,"保留中")&gt;0,"保留",IF(COUNTIFS(請求記録!$B$6:$B$3005,$A33,請求記録!$Z$6:$Z$3005,K$5)=0,"",SUMIFS(請求記録!$AE$6:$AE$3005,請求記録!$B$6:$B$3005,$A33,請求記録!$Z$6:$Z$3005,K$5))))</f>
        <v/>
      </c>
      <c r="L33" s="19">
        <f>IF($A33="","",IF(COUNTIFS(請求記録!$B$6:$B$3005,$A33,請求記録!$Z$6:$Z$3005,L$5,請求記録!$AF$6:$AF$3005,"保留中")&gt;0,"保留",IF(COUNTIFS(請求記録!$B$6:$B$3005,$A33,請求記録!$Z$6:$Z$3005,L$5)=0,"",SUMIFS(請求記録!$AE$6:$AE$3005,請求記録!$B$6:$B$3005,$A33,請求記録!$Z$6:$Z$3005,L$5))))</f>
        <v/>
      </c>
      <c r="M33" s="19">
        <f>IF($A33="","",IF(COUNTIFS(請求記録!$B$6:$B$3005,$A33,請求記録!$Z$6:$Z$3005,M$5,請求記録!$AF$6:$AF$3005,"保留中")&gt;0,"保留",IF(COUNTIFS(請求記録!$B$6:$B$3005,$A33,請求記録!$Z$6:$Z$3005,M$5)=0,"",SUMIFS(請求記録!$AE$6:$AE$3005,請求記録!$B$6:$B$3005,$A33,請求記録!$Z$6:$Z$3005,M$5))))</f>
        <v/>
      </c>
      <c r="N33" s="19">
        <f>IF($A33="","",IF(COUNTIFS(請求記録!$B$6:$B$3005,$A33,請求記録!$Z$6:$Z$3005,N$5,請求記録!$AF$6:$AF$3005,"保留中")&gt;0,"保留",IF(COUNTIFS(請求記録!$B$6:$B$3005,$A33,請求記録!$Z$6:$Z$3005,N$5)=0,"",SUMIFS(請求記録!$AE$6:$AE$3005,請求記録!$B$6:$B$3005,$A33,請求記録!$Z$6:$Z$3005,N$5))))</f>
        <v/>
      </c>
      <c r="O33" s="19">
        <f>IF($A33="","",IF(COUNTIFS(請求記録!$B$6:$B$3005,$A33,請求記録!$Z$6:$Z$3005,O$5,請求記録!$AF$6:$AF$3005,"保留中")&gt;0,"保留",IF(COUNTIFS(請求記録!$B$6:$B$3005,$A33,請求記録!$Z$6:$Z$3005,O$5)=0,"",SUMIFS(請求記録!$AE$6:$AE$3005,請求記録!$B$6:$B$3005,$A33,請求記録!$Z$6:$Z$3005,O$5))))</f>
        <v/>
      </c>
      <c r="P33" s="19">
        <f>IF($A33="","",IF(COUNTIFS(請求記録!$B$6:$B$3005,$A33,請求記録!$Z$6:$Z$3005,P$5,請求記録!$AF$6:$AF$3005,"保留中")&gt;0,"保留",IF(COUNTIFS(請求記録!$B$6:$B$3005,$A33,請求記録!$Z$6:$Z$3005,P$5)=0,"",SUMIFS(請求記録!$AE$6:$AE$3005,請求記録!$B$6:$B$3005,$A33,請求記録!$Z$6:$Z$3005,P$5))))</f>
        <v/>
      </c>
      <c r="Q33" s="19">
        <f>IF($A33="","",IF(COUNTIFS(請求記録!$B$6:$B$3005,$A33,請求記録!$Z$6:$Z$3005,Q$5,請求記録!$AF$6:$AF$3005,"保留中")&gt;0,"保留",IF(COUNTIFS(請求記録!$B$6:$B$3005,$A33,請求記録!$Z$6:$Z$3005,Q$5)=0,"",SUMIFS(請求記録!$AE$6:$AE$3005,請求記録!$B$6:$B$3005,$A33,請求記録!$Z$6:$Z$3005,Q$5))))</f>
        <v/>
      </c>
      <c r="R33" s="19">
        <f>IF($A33="","",IF(COUNTIFS(請求記録!$B$6:$B$3005,$A33,請求記録!$Z$6:$Z$3005,R$5,請求記録!$AF$6:$AF$3005,"保留中")&gt;0,"保留",IF(COUNTIFS(請求記録!$B$6:$B$3005,$A33,請求記録!$Z$6:$Z$3005,R$5)=0,"",SUMIFS(請求記録!$AE$6:$AE$3005,請求記録!$B$6:$B$3005,$A33,請求記録!$Z$6:$Z$3005,R$5))))</f>
        <v/>
      </c>
      <c r="S33" s="19">
        <f>IF($A33="","",IF(COUNTIFS(請求記録!$B$6:$B$3005,$A33,請求記録!$Z$6:$Z$3005,S$5,請求記録!$AF$6:$AF$3005,"保留中")&gt;0,"保留",IF(COUNTIFS(請求記録!$B$6:$B$3005,$A33,請求記録!$Z$6:$Z$3005,S$5)=0,"",SUMIFS(請求記録!$AE$6:$AE$3005,請求記録!$B$6:$B$3005,$A33,請求記録!$Z$6:$Z$3005,S$5))))</f>
        <v/>
      </c>
      <c r="T33" s="19">
        <f>IF($A33="","",IF(COUNTIFS(請求記録!$B$6:$B$3005,$A33,請求記録!$Z$6:$Z$3005,T$5,請求記録!$AF$6:$AF$3005,"保留中")&gt;0,"保留",IF(COUNTIFS(請求記録!$B$6:$B$3005,$A33,請求記録!$Z$6:$Z$3005,T$5)=0,"",SUMIFS(請求記録!$AE$6:$AE$3005,請求記録!$B$6:$B$3005,$A33,請求記録!$Z$6:$Z$3005,T$5))))</f>
        <v/>
      </c>
      <c r="U33" s="19">
        <f>IF($A33="","",IF(COUNTIFS(請求記録!$B$6:$B$3005,$A33,請求記録!$Z$6:$Z$3005,U$5,請求記録!$AF$6:$AF$3005,"保留中")&gt;0,"保留",IF(COUNTIFS(請求記録!$B$6:$B$3005,$A33,請求記録!$Z$6:$Z$3005,U$5)=0,"",SUMIFS(請求記録!$AE$6:$AE$3005,請求記録!$B$6:$B$3005,$A33,請求記録!$Z$6:$Z$3005,U$5))))</f>
        <v/>
      </c>
      <c r="V33" s="19">
        <f>IF($A33="","",IF(COUNTIFS(請求記録!$B$6:$B$3005,$A33,請求記録!$Z$6:$Z$3005,V$5,請求記録!$AF$6:$AF$3005,"保留中")&gt;0,"保留",IF(COUNTIFS(請求記録!$B$6:$B$3005,$A33,請求記録!$Z$6:$Z$3005,V$5)=0,"",SUMIFS(請求記録!$AE$6:$AE$3005,請求記録!$B$6:$B$3005,$A33,請求記録!$Z$6:$Z$3005,V$5))))</f>
        <v/>
      </c>
      <c r="W33" s="19">
        <f>IF($A33="","",IF(COUNTIFS(請求記録!$B$6:$B$3005,$A33,請求記録!$Z$6:$Z$3005,W$5,請求記録!$AF$6:$AF$3005,"保留中")&gt;0,"保留",IF(COUNTIFS(請求記録!$B$6:$B$3005,$A33,請求記録!$Z$6:$Z$3005,W$5)=0,"",SUMIFS(請求記録!$AE$6:$AE$3005,請求記録!$B$6:$B$3005,$A33,請求記録!$Z$6:$Z$3005,W$5))))</f>
        <v/>
      </c>
      <c r="X33" s="19">
        <f>IF($A33="","",IF(COUNTIFS(請求記録!$B$6:$B$3005,$A33,請求記録!$Z$6:$Z$3005,X$5,請求記録!$AF$6:$AF$3005,"保留中")&gt;0,"保留",IF(COUNTIFS(請求記録!$B$6:$B$3005,$A33,請求記録!$Z$6:$Z$3005,X$5)=0,"",SUMIFS(請求記録!$AE$6:$AE$3005,請求記録!$B$6:$B$3005,$A33,請求記録!$Z$6:$Z$3005,X$5))))</f>
        <v/>
      </c>
      <c r="Y33" s="19">
        <f>IF($A33="","",IF(COUNTIFS(請求記録!$B$6:$B$3005,$A33,請求記録!$Z$6:$Z$3005,Y$5,請求記録!$AF$6:$AF$3005,"保留中")&gt;0,"保留",IF(COUNTIFS(請求記録!$B$6:$B$3005,$A33,請求記録!$Z$6:$Z$3005,Y$5)=0,"",SUMIFS(請求記録!$AE$6:$AE$3005,請求記録!$B$6:$B$3005,$A33,請求記録!$Z$6:$Z$3005,Y$5))))</f>
        <v/>
      </c>
      <c r="Z33" s="19">
        <f>IF($A33="","",IF(COUNTIFS(請求記録!$B$6:$B$3005,$A33,請求記録!$Z$6:$Z$3005,Z$5,請求記録!$AF$6:$AF$3005,"保留中")&gt;0,"保留",IF(COUNTIFS(請求記録!$B$6:$B$3005,$A33,請求記録!$Z$6:$Z$3005,Z$5)=0,"",SUMIFS(請求記録!$AE$6:$AE$3005,請求記録!$B$6:$B$3005,$A33,請求記録!$Z$6:$Z$3005,Z$5))))</f>
        <v/>
      </c>
      <c r="AA33" s="19">
        <f>IF($A33="","",IF(COUNTIFS(請求記録!$B$6:$B$3005,$A33,請求記録!$Z$6:$Z$3005,AA$5,請求記録!$AF$6:$AF$3005,"保留中")&gt;0,"保留",IF(COUNTIFS(請求記録!$B$6:$B$3005,$A33,請求記録!$Z$6:$Z$3005,AA$5)=0,"",SUMIFS(請求記録!$AE$6:$AE$3005,請求記録!$B$6:$B$3005,$A33,請求記録!$Z$6:$Z$3005,AA$5))))</f>
        <v/>
      </c>
      <c r="AB33">
        <f>IF(職員マスタ!P33="保留中",職員マスタ!M33,"")</f>
        <v/>
      </c>
    </row>
    <row r="34">
      <c r="A34">
        <f>IF(職員マスタ!A34="","",職員マスタ!A34)</f>
        <v/>
      </c>
      <c r="B34">
        <f>IF($A34="","",職員マスタ!B34)</f>
        <v/>
      </c>
      <c r="C34">
        <f>IF($A34="","",職員マスタ!C34)</f>
        <v/>
      </c>
      <c r="D34" s="19">
        <f>IF($A34="","",IF(COUNTIFS(請求記録!$B$6:$B$3005,$A34,請求記録!$Z$6:$Z$3005,D$5,請求記録!$AF$6:$AF$3005,"保留中")&gt;0,"保留",IF(COUNTIFS(請求記録!$B$6:$B$3005,$A34,請求記録!$Z$6:$Z$3005,D$5)=0,"",SUMIFS(請求記録!$AE$6:$AE$3005,請求記録!$B$6:$B$3005,$A34,請求記録!$Z$6:$Z$3005,D$5))))</f>
        <v/>
      </c>
      <c r="E34" s="19">
        <f>IF($A34="","",IF(COUNTIFS(請求記録!$B$6:$B$3005,$A34,請求記録!$Z$6:$Z$3005,E$5,請求記録!$AF$6:$AF$3005,"保留中")&gt;0,"保留",IF(COUNTIFS(請求記録!$B$6:$B$3005,$A34,請求記録!$Z$6:$Z$3005,E$5)=0,"",SUMIFS(請求記録!$AE$6:$AE$3005,請求記録!$B$6:$B$3005,$A34,請求記録!$Z$6:$Z$3005,E$5))))</f>
        <v/>
      </c>
      <c r="F34" s="19">
        <f>IF($A34="","",IF(COUNTIFS(請求記録!$B$6:$B$3005,$A34,請求記録!$Z$6:$Z$3005,F$5,請求記録!$AF$6:$AF$3005,"保留中")&gt;0,"保留",IF(COUNTIFS(請求記録!$B$6:$B$3005,$A34,請求記録!$Z$6:$Z$3005,F$5)=0,"",SUMIFS(請求記録!$AE$6:$AE$3005,請求記録!$B$6:$B$3005,$A34,請求記録!$Z$6:$Z$3005,F$5))))</f>
        <v/>
      </c>
      <c r="G34" s="19">
        <f>IF($A34="","",IF(COUNTIFS(請求記録!$B$6:$B$3005,$A34,請求記録!$Z$6:$Z$3005,G$5,請求記録!$AF$6:$AF$3005,"保留中")&gt;0,"保留",IF(COUNTIFS(請求記録!$B$6:$B$3005,$A34,請求記録!$Z$6:$Z$3005,G$5)=0,"",SUMIFS(請求記録!$AE$6:$AE$3005,請求記録!$B$6:$B$3005,$A34,請求記録!$Z$6:$Z$3005,G$5))))</f>
        <v/>
      </c>
      <c r="H34" s="19">
        <f>IF($A34="","",IF(COUNTIFS(請求記録!$B$6:$B$3005,$A34,請求記録!$Z$6:$Z$3005,H$5,請求記録!$AF$6:$AF$3005,"保留中")&gt;0,"保留",IF(COUNTIFS(請求記録!$B$6:$B$3005,$A34,請求記録!$Z$6:$Z$3005,H$5)=0,"",SUMIFS(請求記録!$AE$6:$AE$3005,請求記録!$B$6:$B$3005,$A34,請求記録!$Z$6:$Z$3005,H$5))))</f>
        <v/>
      </c>
      <c r="I34" s="19">
        <f>IF($A34="","",IF(COUNTIFS(請求記録!$B$6:$B$3005,$A34,請求記録!$Z$6:$Z$3005,I$5,請求記録!$AF$6:$AF$3005,"保留中")&gt;0,"保留",IF(COUNTIFS(請求記録!$B$6:$B$3005,$A34,請求記録!$Z$6:$Z$3005,I$5)=0,"",SUMIFS(請求記録!$AE$6:$AE$3005,請求記録!$B$6:$B$3005,$A34,請求記録!$Z$6:$Z$3005,I$5))))</f>
        <v/>
      </c>
      <c r="J34" s="19">
        <f>IF($A34="","",IF(COUNTIFS(請求記録!$B$6:$B$3005,$A34,請求記録!$Z$6:$Z$3005,J$5,請求記録!$AF$6:$AF$3005,"保留中")&gt;0,"保留",IF(COUNTIFS(請求記録!$B$6:$B$3005,$A34,請求記録!$Z$6:$Z$3005,J$5)=0,"",SUMIFS(請求記録!$AE$6:$AE$3005,請求記録!$B$6:$B$3005,$A34,請求記録!$Z$6:$Z$3005,J$5))))</f>
        <v/>
      </c>
      <c r="K34" s="19">
        <f>IF($A34="","",IF(COUNTIFS(請求記録!$B$6:$B$3005,$A34,請求記録!$Z$6:$Z$3005,K$5,請求記録!$AF$6:$AF$3005,"保留中")&gt;0,"保留",IF(COUNTIFS(請求記録!$B$6:$B$3005,$A34,請求記録!$Z$6:$Z$3005,K$5)=0,"",SUMIFS(請求記録!$AE$6:$AE$3005,請求記録!$B$6:$B$3005,$A34,請求記録!$Z$6:$Z$3005,K$5))))</f>
        <v/>
      </c>
      <c r="L34" s="19">
        <f>IF($A34="","",IF(COUNTIFS(請求記録!$B$6:$B$3005,$A34,請求記録!$Z$6:$Z$3005,L$5,請求記録!$AF$6:$AF$3005,"保留中")&gt;0,"保留",IF(COUNTIFS(請求記録!$B$6:$B$3005,$A34,請求記録!$Z$6:$Z$3005,L$5)=0,"",SUMIFS(請求記録!$AE$6:$AE$3005,請求記録!$B$6:$B$3005,$A34,請求記録!$Z$6:$Z$3005,L$5))))</f>
        <v/>
      </c>
      <c r="M34" s="19">
        <f>IF($A34="","",IF(COUNTIFS(請求記録!$B$6:$B$3005,$A34,請求記録!$Z$6:$Z$3005,M$5,請求記録!$AF$6:$AF$3005,"保留中")&gt;0,"保留",IF(COUNTIFS(請求記録!$B$6:$B$3005,$A34,請求記録!$Z$6:$Z$3005,M$5)=0,"",SUMIFS(請求記録!$AE$6:$AE$3005,請求記録!$B$6:$B$3005,$A34,請求記録!$Z$6:$Z$3005,M$5))))</f>
        <v/>
      </c>
      <c r="N34" s="19">
        <f>IF($A34="","",IF(COUNTIFS(請求記録!$B$6:$B$3005,$A34,請求記録!$Z$6:$Z$3005,N$5,請求記録!$AF$6:$AF$3005,"保留中")&gt;0,"保留",IF(COUNTIFS(請求記録!$B$6:$B$3005,$A34,請求記録!$Z$6:$Z$3005,N$5)=0,"",SUMIFS(請求記録!$AE$6:$AE$3005,請求記録!$B$6:$B$3005,$A34,請求記録!$Z$6:$Z$3005,N$5))))</f>
        <v/>
      </c>
      <c r="O34" s="19">
        <f>IF($A34="","",IF(COUNTIFS(請求記録!$B$6:$B$3005,$A34,請求記録!$Z$6:$Z$3005,O$5,請求記録!$AF$6:$AF$3005,"保留中")&gt;0,"保留",IF(COUNTIFS(請求記録!$B$6:$B$3005,$A34,請求記録!$Z$6:$Z$3005,O$5)=0,"",SUMIFS(請求記録!$AE$6:$AE$3005,請求記録!$B$6:$B$3005,$A34,請求記録!$Z$6:$Z$3005,O$5))))</f>
        <v/>
      </c>
      <c r="P34" s="19">
        <f>IF($A34="","",IF(COUNTIFS(請求記録!$B$6:$B$3005,$A34,請求記録!$Z$6:$Z$3005,P$5,請求記録!$AF$6:$AF$3005,"保留中")&gt;0,"保留",IF(COUNTIFS(請求記録!$B$6:$B$3005,$A34,請求記録!$Z$6:$Z$3005,P$5)=0,"",SUMIFS(請求記録!$AE$6:$AE$3005,請求記録!$B$6:$B$3005,$A34,請求記録!$Z$6:$Z$3005,P$5))))</f>
        <v/>
      </c>
      <c r="Q34" s="19">
        <f>IF($A34="","",IF(COUNTIFS(請求記録!$B$6:$B$3005,$A34,請求記録!$Z$6:$Z$3005,Q$5,請求記録!$AF$6:$AF$3005,"保留中")&gt;0,"保留",IF(COUNTIFS(請求記録!$B$6:$B$3005,$A34,請求記録!$Z$6:$Z$3005,Q$5)=0,"",SUMIFS(請求記録!$AE$6:$AE$3005,請求記録!$B$6:$B$3005,$A34,請求記録!$Z$6:$Z$3005,Q$5))))</f>
        <v/>
      </c>
      <c r="R34" s="19">
        <f>IF($A34="","",IF(COUNTIFS(請求記録!$B$6:$B$3005,$A34,請求記録!$Z$6:$Z$3005,R$5,請求記録!$AF$6:$AF$3005,"保留中")&gt;0,"保留",IF(COUNTIFS(請求記録!$B$6:$B$3005,$A34,請求記録!$Z$6:$Z$3005,R$5)=0,"",SUMIFS(請求記録!$AE$6:$AE$3005,請求記録!$B$6:$B$3005,$A34,請求記録!$Z$6:$Z$3005,R$5))))</f>
        <v/>
      </c>
      <c r="S34" s="19">
        <f>IF($A34="","",IF(COUNTIFS(請求記録!$B$6:$B$3005,$A34,請求記録!$Z$6:$Z$3005,S$5,請求記録!$AF$6:$AF$3005,"保留中")&gt;0,"保留",IF(COUNTIFS(請求記録!$B$6:$B$3005,$A34,請求記録!$Z$6:$Z$3005,S$5)=0,"",SUMIFS(請求記録!$AE$6:$AE$3005,請求記録!$B$6:$B$3005,$A34,請求記録!$Z$6:$Z$3005,S$5))))</f>
        <v/>
      </c>
      <c r="T34" s="19">
        <f>IF($A34="","",IF(COUNTIFS(請求記録!$B$6:$B$3005,$A34,請求記録!$Z$6:$Z$3005,T$5,請求記録!$AF$6:$AF$3005,"保留中")&gt;0,"保留",IF(COUNTIFS(請求記録!$B$6:$B$3005,$A34,請求記録!$Z$6:$Z$3005,T$5)=0,"",SUMIFS(請求記録!$AE$6:$AE$3005,請求記録!$B$6:$B$3005,$A34,請求記録!$Z$6:$Z$3005,T$5))))</f>
        <v/>
      </c>
      <c r="U34" s="19">
        <f>IF($A34="","",IF(COUNTIFS(請求記録!$B$6:$B$3005,$A34,請求記録!$Z$6:$Z$3005,U$5,請求記録!$AF$6:$AF$3005,"保留中")&gt;0,"保留",IF(COUNTIFS(請求記録!$B$6:$B$3005,$A34,請求記録!$Z$6:$Z$3005,U$5)=0,"",SUMIFS(請求記録!$AE$6:$AE$3005,請求記録!$B$6:$B$3005,$A34,請求記録!$Z$6:$Z$3005,U$5))))</f>
        <v/>
      </c>
      <c r="V34" s="19">
        <f>IF($A34="","",IF(COUNTIFS(請求記録!$B$6:$B$3005,$A34,請求記録!$Z$6:$Z$3005,V$5,請求記録!$AF$6:$AF$3005,"保留中")&gt;0,"保留",IF(COUNTIFS(請求記録!$B$6:$B$3005,$A34,請求記録!$Z$6:$Z$3005,V$5)=0,"",SUMIFS(請求記録!$AE$6:$AE$3005,請求記録!$B$6:$B$3005,$A34,請求記録!$Z$6:$Z$3005,V$5))))</f>
        <v/>
      </c>
      <c r="W34" s="19">
        <f>IF($A34="","",IF(COUNTIFS(請求記録!$B$6:$B$3005,$A34,請求記録!$Z$6:$Z$3005,W$5,請求記録!$AF$6:$AF$3005,"保留中")&gt;0,"保留",IF(COUNTIFS(請求記録!$B$6:$B$3005,$A34,請求記録!$Z$6:$Z$3005,W$5)=0,"",SUMIFS(請求記録!$AE$6:$AE$3005,請求記録!$B$6:$B$3005,$A34,請求記録!$Z$6:$Z$3005,W$5))))</f>
        <v/>
      </c>
      <c r="X34" s="19">
        <f>IF($A34="","",IF(COUNTIFS(請求記録!$B$6:$B$3005,$A34,請求記録!$Z$6:$Z$3005,X$5,請求記録!$AF$6:$AF$3005,"保留中")&gt;0,"保留",IF(COUNTIFS(請求記録!$B$6:$B$3005,$A34,請求記録!$Z$6:$Z$3005,X$5)=0,"",SUMIFS(請求記録!$AE$6:$AE$3005,請求記録!$B$6:$B$3005,$A34,請求記録!$Z$6:$Z$3005,X$5))))</f>
        <v/>
      </c>
      <c r="Y34" s="19">
        <f>IF($A34="","",IF(COUNTIFS(請求記録!$B$6:$B$3005,$A34,請求記録!$Z$6:$Z$3005,Y$5,請求記録!$AF$6:$AF$3005,"保留中")&gt;0,"保留",IF(COUNTIFS(請求記録!$B$6:$B$3005,$A34,請求記録!$Z$6:$Z$3005,Y$5)=0,"",SUMIFS(請求記録!$AE$6:$AE$3005,請求記録!$B$6:$B$3005,$A34,請求記録!$Z$6:$Z$3005,Y$5))))</f>
        <v/>
      </c>
      <c r="Z34" s="19">
        <f>IF($A34="","",IF(COUNTIFS(請求記録!$B$6:$B$3005,$A34,請求記録!$Z$6:$Z$3005,Z$5,請求記録!$AF$6:$AF$3005,"保留中")&gt;0,"保留",IF(COUNTIFS(請求記録!$B$6:$B$3005,$A34,請求記録!$Z$6:$Z$3005,Z$5)=0,"",SUMIFS(請求記録!$AE$6:$AE$3005,請求記録!$B$6:$B$3005,$A34,請求記録!$Z$6:$Z$3005,Z$5))))</f>
        <v/>
      </c>
      <c r="AA34" s="19">
        <f>IF($A34="","",IF(COUNTIFS(請求記録!$B$6:$B$3005,$A34,請求記録!$Z$6:$Z$3005,AA$5,請求記録!$AF$6:$AF$3005,"保留中")&gt;0,"保留",IF(COUNTIFS(請求記録!$B$6:$B$3005,$A34,請求記録!$Z$6:$Z$3005,AA$5)=0,"",SUMIFS(請求記録!$AE$6:$AE$3005,請求記録!$B$6:$B$3005,$A34,請求記録!$Z$6:$Z$3005,AA$5))))</f>
        <v/>
      </c>
      <c r="AB34">
        <f>IF(職員マスタ!P34="保留中",職員マスタ!M34,"")</f>
        <v/>
      </c>
    </row>
    <row r="35">
      <c r="A35">
        <f>IF(職員マスタ!A35="","",職員マスタ!A35)</f>
        <v/>
      </c>
      <c r="B35">
        <f>IF($A35="","",職員マスタ!B35)</f>
        <v/>
      </c>
      <c r="C35">
        <f>IF($A35="","",職員マスタ!C35)</f>
        <v/>
      </c>
      <c r="D35" s="19">
        <f>IF($A35="","",IF(COUNTIFS(請求記録!$B$6:$B$3005,$A35,請求記録!$Z$6:$Z$3005,D$5,請求記録!$AF$6:$AF$3005,"保留中")&gt;0,"保留",IF(COUNTIFS(請求記録!$B$6:$B$3005,$A35,請求記録!$Z$6:$Z$3005,D$5)=0,"",SUMIFS(請求記録!$AE$6:$AE$3005,請求記録!$B$6:$B$3005,$A35,請求記録!$Z$6:$Z$3005,D$5))))</f>
        <v/>
      </c>
      <c r="E35" s="19">
        <f>IF($A35="","",IF(COUNTIFS(請求記録!$B$6:$B$3005,$A35,請求記録!$Z$6:$Z$3005,E$5,請求記録!$AF$6:$AF$3005,"保留中")&gt;0,"保留",IF(COUNTIFS(請求記録!$B$6:$B$3005,$A35,請求記録!$Z$6:$Z$3005,E$5)=0,"",SUMIFS(請求記録!$AE$6:$AE$3005,請求記録!$B$6:$B$3005,$A35,請求記録!$Z$6:$Z$3005,E$5))))</f>
        <v/>
      </c>
      <c r="F35" s="19">
        <f>IF($A35="","",IF(COUNTIFS(請求記録!$B$6:$B$3005,$A35,請求記録!$Z$6:$Z$3005,F$5,請求記録!$AF$6:$AF$3005,"保留中")&gt;0,"保留",IF(COUNTIFS(請求記録!$B$6:$B$3005,$A35,請求記録!$Z$6:$Z$3005,F$5)=0,"",SUMIFS(請求記録!$AE$6:$AE$3005,請求記録!$B$6:$B$3005,$A35,請求記録!$Z$6:$Z$3005,F$5))))</f>
        <v/>
      </c>
      <c r="G35" s="19">
        <f>IF($A35="","",IF(COUNTIFS(請求記録!$B$6:$B$3005,$A35,請求記録!$Z$6:$Z$3005,G$5,請求記録!$AF$6:$AF$3005,"保留中")&gt;0,"保留",IF(COUNTIFS(請求記録!$B$6:$B$3005,$A35,請求記録!$Z$6:$Z$3005,G$5)=0,"",SUMIFS(請求記録!$AE$6:$AE$3005,請求記録!$B$6:$B$3005,$A35,請求記録!$Z$6:$Z$3005,G$5))))</f>
        <v/>
      </c>
      <c r="H35" s="19">
        <f>IF($A35="","",IF(COUNTIFS(請求記録!$B$6:$B$3005,$A35,請求記録!$Z$6:$Z$3005,H$5,請求記録!$AF$6:$AF$3005,"保留中")&gt;0,"保留",IF(COUNTIFS(請求記録!$B$6:$B$3005,$A35,請求記録!$Z$6:$Z$3005,H$5)=0,"",SUMIFS(請求記録!$AE$6:$AE$3005,請求記録!$B$6:$B$3005,$A35,請求記録!$Z$6:$Z$3005,H$5))))</f>
        <v/>
      </c>
      <c r="I35" s="19">
        <f>IF($A35="","",IF(COUNTIFS(請求記録!$B$6:$B$3005,$A35,請求記録!$Z$6:$Z$3005,I$5,請求記録!$AF$6:$AF$3005,"保留中")&gt;0,"保留",IF(COUNTIFS(請求記録!$B$6:$B$3005,$A35,請求記録!$Z$6:$Z$3005,I$5)=0,"",SUMIFS(請求記録!$AE$6:$AE$3005,請求記録!$B$6:$B$3005,$A35,請求記録!$Z$6:$Z$3005,I$5))))</f>
        <v/>
      </c>
      <c r="J35" s="19">
        <f>IF($A35="","",IF(COUNTIFS(請求記録!$B$6:$B$3005,$A35,請求記録!$Z$6:$Z$3005,J$5,請求記録!$AF$6:$AF$3005,"保留中")&gt;0,"保留",IF(COUNTIFS(請求記録!$B$6:$B$3005,$A35,請求記録!$Z$6:$Z$3005,J$5)=0,"",SUMIFS(請求記録!$AE$6:$AE$3005,請求記録!$B$6:$B$3005,$A35,請求記録!$Z$6:$Z$3005,J$5))))</f>
        <v/>
      </c>
      <c r="K35" s="19">
        <f>IF($A35="","",IF(COUNTIFS(請求記録!$B$6:$B$3005,$A35,請求記録!$Z$6:$Z$3005,K$5,請求記録!$AF$6:$AF$3005,"保留中")&gt;0,"保留",IF(COUNTIFS(請求記録!$B$6:$B$3005,$A35,請求記録!$Z$6:$Z$3005,K$5)=0,"",SUMIFS(請求記録!$AE$6:$AE$3005,請求記録!$B$6:$B$3005,$A35,請求記録!$Z$6:$Z$3005,K$5))))</f>
        <v/>
      </c>
      <c r="L35" s="19">
        <f>IF($A35="","",IF(COUNTIFS(請求記録!$B$6:$B$3005,$A35,請求記録!$Z$6:$Z$3005,L$5,請求記録!$AF$6:$AF$3005,"保留中")&gt;0,"保留",IF(COUNTIFS(請求記録!$B$6:$B$3005,$A35,請求記録!$Z$6:$Z$3005,L$5)=0,"",SUMIFS(請求記録!$AE$6:$AE$3005,請求記録!$B$6:$B$3005,$A35,請求記録!$Z$6:$Z$3005,L$5))))</f>
        <v/>
      </c>
      <c r="M35" s="19">
        <f>IF($A35="","",IF(COUNTIFS(請求記録!$B$6:$B$3005,$A35,請求記録!$Z$6:$Z$3005,M$5,請求記録!$AF$6:$AF$3005,"保留中")&gt;0,"保留",IF(COUNTIFS(請求記録!$B$6:$B$3005,$A35,請求記録!$Z$6:$Z$3005,M$5)=0,"",SUMIFS(請求記録!$AE$6:$AE$3005,請求記録!$B$6:$B$3005,$A35,請求記録!$Z$6:$Z$3005,M$5))))</f>
        <v/>
      </c>
      <c r="N35" s="19">
        <f>IF($A35="","",IF(COUNTIFS(請求記録!$B$6:$B$3005,$A35,請求記録!$Z$6:$Z$3005,N$5,請求記録!$AF$6:$AF$3005,"保留中")&gt;0,"保留",IF(COUNTIFS(請求記録!$B$6:$B$3005,$A35,請求記録!$Z$6:$Z$3005,N$5)=0,"",SUMIFS(請求記録!$AE$6:$AE$3005,請求記録!$B$6:$B$3005,$A35,請求記録!$Z$6:$Z$3005,N$5))))</f>
        <v/>
      </c>
      <c r="O35" s="19">
        <f>IF($A35="","",IF(COUNTIFS(請求記録!$B$6:$B$3005,$A35,請求記録!$Z$6:$Z$3005,O$5,請求記録!$AF$6:$AF$3005,"保留中")&gt;0,"保留",IF(COUNTIFS(請求記録!$B$6:$B$3005,$A35,請求記録!$Z$6:$Z$3005,O$5)=0,"",SUMIFS(請求記録!$AE$6:$AE$3005,請求記録!$B$6:$B$3005,$A35,請求記録!$Z$6:$Z$3005,O$5))))</f>
        <v/>
      </c>
      <c r="P35" s="19">
        <f>IF($A35="","",IF(COUNTIFS(請求記録!$B$6:$B$3005,$A35,請求記録!$Z$6:$Z$3005,P$5,請求記録!$AF$6:$AF$3005,"保留中")&gt;0,"保留",IF(COUNTIFS(請求記録!$B$6:$B$3005,$A35,請求記録!$Z$6:$Z$3005,P$5)=0,"",SUMIFS(請求記録!$AE$6:$AE$3005,請求記録!$B$6:$B$3005,$A35,請求記録!$Z$6:$Z$3005,P$5))))</f>
        <v/>
      </c>
      <c r="Q35" s="19">
        <f>IF($A35="","",IF(COUNTIFS(請求記録!$B$6:$B$3005,$A35,請求記録!$Z$6:$Z$3005,Q$5,請求記録!$AF$6:$AF$3005,"保留中")&gt;0,"保留",IF(COUNTIFS(請求記録!$B$6:$B$3005,$A35,請求記録!$Z$6:$Z$3005,Q$5)=0,"",SUMIFS(請求記録!$AE$6:$AE$3005,請求記録!$B$6:$B$3005,$A35,請求記録!$Z$6:$Z$3005,Q$5))))</f>
        <v/>
      </c>
      <c r="R35" s="19">
        <f>IF($A35="","",IF(COUNTIFS(請求記録!$B$6:$B$3005,$A35,請求記録!$Z$6:$Z$3005,R$5,請求記録!$AF$6:$AF$3005,"保留中")&gt;0,"保留",IF(COUNTIFS(請求記録!$B$6:$B$3005,$A35,請求記録!$Z$6:$Z$3005,R$5)=0,"",SUMIFS(請求記録!$AE$6:$AE$3005,請求記録!$B$6:$B$3005,$A35,請求記録!$Z$6:$Z$3005,R$5))))</f>
        <v/>
      </c>
      <c r="S35" s="19">
        <f>IF($A35="","",IF(COUNTIFS(請求記録!$B$6:$B$3005,$A35,請求記録!$Z$6:$Z$3005,S$5,請求記録!$AF$6:$AF$3005,"保留中")&gt;0,"保留",IF(COUNTIFS(請求記録!$B$6:$B$3005,$A35,請求記録!$Z$6:$Z$3005,S$5)=0,"",SUMIFS(請求記録!$AE$6:$AE$3005,請求記録!$B$6:$B$3005,$A35,請求記録!$Z$6:$Z$3005,S$5))))</f>
        <v/>
      </c>
      <c r="T35" s="19">
        <f>IF($A35="","",IF(COUNTIFS(請求記録!$B$6:$B$3005,$A35,請求記録!$Z$6:$Z$3005,T$5,請求記録!$AF$6:$AF$3005,"保留中")&gt;0,"保留",IF(COUNTIFS(請求記録!$B$6:$B$3005,$A35,請求記録!$Z$6:$Z$3005,T$5)=0,"",SUMIFS(請求記録!$AE$6:$AE$3005,請求記録!$B$6:$B$3005,$A35,請求記録!$Z$6:$Z$3005,T$5))))</f>
        <v/>
      </c>
      <c r="U35" s="19">
        <f>IF($A35="","",IF(COUNTIFS(請求記録!$B$6:$B$3005,$A35,請求記録!$Z$6:$Z$3005,U$5,請求記録!$AF$6:$AF$3005,"保留中")&gt;0,"保留",IF(COUNTIFS(請求記録!$B$6:$B$3005,$A35,請求記録!$Z$6:$Z$3005,U$5)=0,"",SUMIFS(請求記録!$AE$6:$AE$3005,請求記録!$B$6:$B$3005,$A35,請求記録!$Z$6:$Z$3005,U$5))))</f>
        <v/>
      </c>
      <c r="V35" s="19">
        <f>IF($A35="","",IF(COUNTIFS(請求記録!$B$6:$B$3005,$A35,請求記録!$Z$6:$Z$3005,V$5,請求記録!$AF$6:$AF$3005,"保留中")&gt;0,"保留",IF(COUNTIFS(請求記録!$B$6:$B$3005,$A35,請求記録!$Z$6:$Z$3005,V$5)=0,"",SUMIFS(請求記録!$AE$6:$AE$3005,請求記録!$B$6:$B$3005,$A35,請求記録!$Z$6:$Z$3005,V$5))))</f>
        <v/>
      </c>
      <c r="W35" s="19">
        <f>IF($A35="","",IF(COUNTIFS(請求記録!$B$6:$B$3005,$A35,請求記録!$Z$6:$Z$3005,W$5,請求記録!$AF$6:$AF$3005,"保留中")&gt;0,"保留",IF(COUNTIFS(請求記録!$B$6:$B$3005,$A35,請求記録!$Z$6:$Z$3005,W$5)=0,"",SUMIFS(請求記録!$AE$6:$AE$3005,請求記録!$B$6:$B$3005,$A35,請求記録!$Z$6:$Z$3005,W$5))))</f>
        <v/>
      </c>
      <c r="X35" s="19">
        <f>IF($A35="","",IF(COUNTIFS(請求記録!$B$6:$B$3005,$A35,請求記録!$Z$6:$Z$3005,X$5,請求記録!$AF$6:$AF$3005,"保留中")&gt;0,"保留",IF(COUNTIFS(請求記録!$B$6:$B$3005,$A35,請求記録!$Z$6:$Z$3005,X$5)=0,"",SUMIFS(請求記録!$AE$6:$AE$3005,請求記録!$B$6:$B$3005,$A35,請求記録!$Z$6:$Z$3005,X$5))))</f>
        <v/>
      </c>
      <c r="Y35" s="19">
        <f>IF($A35="","",IF(COUNTIFS(請求記録!$B$6:$B$3005,$A35,請求記録!$Z$6:$Z$3005,Y$5,請求記録!$AF$6:$AF$3005,"保留中")&gt;0,"保留",IF(COUNTIFS(請求記録!$B$6:$B$3005,$A35,請求記録!$Z$6:$Z$3005,Y$5)=0,"",SUMIFS(請求記録!$AE$6:$AE$3005,請求記録!$B$6:$B$3005,$A35,請求記録!$Z$6:$Z$3005,Y$5))))</f>
        <v/>
      </c>
      <c r="Z35" s="19">
        <f>IF($A35="","",IF(COUNTIFS(請求記録!$B$6:$B$3005,$A35,請求記録!$Z$6:$Z$3005,Z$5,請求記録!$AF$6:$AF$3005,"保留中")&gt;0,"保留",IF(COUNTIFS(請求記録!$B$6:$B$3005,$A35,請求記録!$Z$6:$Z$3005,Z$5)=0,"",SUMIFS(請求記録!$AE$6:$AE$3005,請求記録!$B$6:$B$3005,$A35,請求記録!$Z$6:$Z$3005,Z$5))))</f>
        <v/>
      </c>
      <c r="AA35" s="19">
        <f>IF($A35="","",IF(COUNTIFS(請求記録!$B$6:$B$3005,$A35,請求記録!$Z$6:$Z$3005,AA$5,請求記録!$AF$6:$AF$3005,"保留中")&gt;0,"保留",IF(COUNTIFS(請求記録!$B$6:$B$3005,$A35,請求記録!$Z$6:$Z$3005,AA$5)=0,"",SUMIFS(請求記録!$AE$6:$AE$3005,請求記録!$B$6:$B$3005,$A35,請求記録!$Z$6:$Z$3005,AA$5))))</f>
        <v/>
      </c>
      <c r="AB35">
        <f>IF(職員マスタ!P35="保留中",職員マスタ!M35,"")</f>
        <v/>
      </c>
    </row>
    <row r="36">
      <c r="A36">
        <f>IF(職員マスタ!A36="","",職員マスタ!A36)</f>
        <v/>
      </c>
      <c r="B36">
        <f>IF($A36="","",職員マスタ!B36)</f>
        <v/>
      </c>
      <c r="C36">
        <f>IF($A36="","",職員マスタ!C36)</f>
        <v/>
      </c>
      <c r="D36" s="19">
        <f>IF($A36="","",IF(COUNTIFS(請求記録!$B$6:$B$3005,$A36,請求記録!$Z$6:$Z$3005,D$5,請求記録!$AF$6:$AF$3005,"保留中")&gt;0,"保留",IF(COUNTIFS(請求記録!$B$6:$B$3005,$A36,請求記録!$Z$6:$Z$3005,D$5)=0,"",SUMIFS(請求記録!$AE$6:$AE$3005,請求記録!$B$6:$B$3005,$A36,請求記録!$Z$6:$Z$3005,D$5))))</f>
        <v/>
      </c>
      <c r="E36" s="19">
        <f>IF($A36="","",IF(COUNTIFS(請求記録!$B$6:$B$3005,$A36,請求記録!$Z$6:$Z$3005,E$5,請求記録!$AF$6:$AF$3005,"保留中")&gt;0,"保留",IF(COUNTIFS(請求記録!$B$6:$B$3005,$A36,請求記録!$Z$6:$Z$3005,E$5)=0,"",SUMIFS(請求記録!$AE$6:$AE$3005,請求記録!$B$6:$B$3005,$A36,請求記録!$Z$6:$Z$3005,E$5))))</f>
        <v/>
      </c>
      <c r="F36" s="19">
        <f>IF($A36="","",IF(COUNTIFS(請求記録!$B$6:$B$3005,$A36,請求記録!$Z$6:$Z$3005,F$5,請求記録!$AF$6:$AF$3005,"保留中")&gt;0,"保留",IF(COUNTIFS(請求記録!$B$6:$B$3005,$A36,請求記録!$Z$6:$Z$3005,F$5)=0,"",SUMIFS(請求記録!$AE$6:$AE$3005,請求記録!$B$6:$B$3005,$A36,請求記録!$Z$6:$Z$3005,F$5))))</f>
        <v/>
      </c>
      <c r="G36" s="19">
        <f>IF($A36="","",IF(COUNTIFS(請求記録!$B$6:$B$3005,$A36,請求記録!$Z$6:$Z$3005,G$5,請求記録!$AF$6:$AF$3005,"保留中")&gt;0,"保留",IF(COUNTIFS(請求記録!$B$6:$B$3005,$A36,請求記録!$Z$6:$Z$3005,G$5)=0,"",SUMIFS(請求記録!$AE$6:$AE$3005,請求記録!$B$6:$B$3005,$A36,請求記録!$Z$6:$Z$3005,G$5))))</f>
        <v/>
      </c>
      <c r="H36" s="19">
        <f>IF($A36="","",IF(COUNTIFS(請求記録!$B$6:$B$3005,$A36,請求記録!$Z$6:$Z$3005,H$5,請求記録!$AF$6:$AF$3005,"保留中")&gt;0,"保留",IF(COUNTIFS(請求記録!$B$6:$B$3005,$A36,請求記録!$Z$6:$Z$3005,H$5)=0,"",SUMIFS(請求記録!$AE$6:$AE$3005,請求記録!$B$6:$B$3005,$A36,請求記録!$Z$6:$Z$3005,H$5))))</f>
        <v/>
      </c>
      <c r="I36" s="19">
        <f>IF($A36="","",IF(COUNTIFS(請求記録!$B$6:$B$3005,$A36,請求記録!$Z$6:$Z$3005,I$5,請求記録!$AF$6:$AF$3005,"保留中")&gt;0,"保留",IF(COUNTIFS(請求記録!$B$6:$B$3005,$A36,請求記録!$Z$6:$Z$3005,I$5)=0,"",SUMIFS(請求記録!$AE$6:$AE$3005,請求記録!$B$6:$B$3005,$A36,請求記録!$Z$6:$Z$3005,I$5))))</f>
        <v/>
      </c>
      <c r="J36" s="19">
        <f>IF($A36="","",IF(COUNTIFS(請求記録!$B$6:$B$3005,$A36,請求記録!$Z$6:$Z$3005,J$5,請求記録!$AF$6:$AF$3005,"保留中")&gt;0,"保留",IF(COUNTIFS(請求記録!$B$6:$B$3005,$A36,請求記録!$Z$6:$Z$3005,J$5)=0,"",SUMIFS(請求記録!$AE$6:$AE$3005,請求記録!$B$6:$B$3005,$A36,請求記録!$Z$6:$Z$3005,J$5))))</f>
        <v/>
      </c>
      <c r="K36" s="19">
        <f>IF($A36="","",IF(COUNTIFS(請求記録!$B$6:$B$3005,$A36,請求記録!$Z$6:$Z$3005,K$5,請求記録!$AF$6:$AF$3005,"保留中")&gt;0,"保留",IF(COUNTIFS(請求記録!$B$6:$B$3005,$A36,請求記録!$Z$6:$Z$3005,K$5)=0,"",SUMIFS(請求記録!$AE$6:$AE$3005,請求記録!$B$6:$B$3005,$A36,請求記録!$Z$6:$Z$3005,K$5))))</f>
        <v/>
      </c>
      <c r="L36" s="19">
        <f>IF($A36="","",IF(COUNTIFS(請求記録!$B$6:$B$3005,$A36,請求記録!$Z$6:$Z$3005,L$5,請求記録!$AF$6:$AF$3005,"保留中")&gt;0,"保留",IF(COUNTIFS(請求記録!$B$6:$B$3005,$A36,請求記録!$Z$6:$Z$3005,L$5)=0,"",SUMIFS(請求記録!$AE$6:$AE$3005,請求記録!$B$6:$B$3005,$A36,請求記録!$Z$6:$Z$3005,L$5))))</f>
        <v/>
      </c>
      <c r="M36" s="19">
        <f>IF($A36="","",IF(COUNTIFS(請求記録!$B$6:$B$3005,$A36,請求記録!$Z$6:$Z$3005,M$5,請求記録!$AF$6:$AF$3005,"保留中")&gt;0,"保留",IF(COUNTIFS(請求記録!$B$6:$B$3005,$A36,請求記録!$Z$6:$Z$3005,M$5)=0,"",SUMIFS(請求記録!$AE$6:$AE$3005,請求記録!$B$6:$B$3005,$A36,請求記録!$Z$6:$Z$3005,M$5))))</f>
        <v/>
      </c>
      <c r="N36" s="19">
        <f>IF($A36="","",IF(COUNTIFS(請求記録!$B$6:$B$3005,$A36,請求記録!$Z$6:$Z$3005,N$5,請求記録!$AF$6:$AF$3005,"保留中")&gt;0,"保留",IF(COUNTIFS(請求記録!$B$6:$B$3005,$A36,請求記録!$Z$6:$Z$3005,N$5)=0,"",SUMIFS(請求記録!$AE$6:$AE$3005,請求記録!$B$6:$B$3005,$A36,請求記録!$Z$6:$Z$3005,N$5))))</f>
        <v/>
      </c>
      <c r="O36" s="19">
        <f>IF($A36="","",IF(COUNTIFS(請求記録!$B$6:$B$3005,$A36,請求記録!$Z$6:$Z$3005,O$5,請求記録!$AF$6:$AF$3005,"保留中")&gt;0,"保留",IF(COUNTIFS(請求記録!$B$6:$B$3005,$A36,請求記録!$Z$6:$Z$3005,O$5)=0,"",SUMIFS(請求記録!$AE$6:$AE$3005,請求記録!$B$6:$B$3005,$A36,請求記録!$Z$6:$Z$3005,O$5))))</f>
        <v/>
      </c>
      <c r="P36" s="19">
        <f>IF($A36="","",IF(COUNTIFS(請求記録!$B$6:$B$3005,$A36,請求記録!$Z$6:$Z$3005,P$5,請求記録!$AF$6:$AF$3005,"保留中")&gt;0,"保留",IF(COUNTIFS(請求記録!$B$6:$B$3005,$A36,請求記録!$Z$6:$Z$3005,P$5)=0,"",SUMIFS(請求記録!$AE$6:$AE$3005,請求記録!$B$6:$B$3005,$A36,請求記録!$Z$6:$Z$3005,P$5))))</f>
        <v/>
      </c>
      <c r="Q36" s="19">
        <f>IF($A36="","",IF(COUNTIFS(請求記録!$B$6:$B$3005,$A36,請求記録!$Z$6:$Z$3005,Q$5,請求記録!$AF$6:$AF$3005,"保留中")&gt;0,"保留",IF(COUNTIFS(請求記録!$B$6:$B$3005,$A36,請求記録!$Z$6:$Z$3005,Q$5)=0,"",SUMIFS(請求記録!$AE$6:$AE$3005,請求記録!$B$6:$B$3005,$A36,請求記録!$Z$6:$Z$3005,Q$5))))</f>
        <v/>
      </c>
      <c r="R36" s="19">
        <f>IF($A36="","",IF(COUNTIFS(請求記録!$B$6:$B$3005,$A36,請求記録!$Z$6:$Z$3005,R$5,請求記録!$AF$6:$AF$3005,"保留中")&gt;0,"保留",IF(COUNTIFS(請求記録!$B$6:$B$3005,$A36,請求記録!$Z$6:$Z$3005,R$5)=0,"",SUMIFS(請求記録!$AE$6:$AE$3005,請求記録!$B$6:$B$3005,$A36,請求記録!$Z$6:$Z$3005,R$5))))</f>
        <v/>
      </c>
      <c r="S36" s="19">
        <f>IF($A36="","",IF(COUNTIFS(請求記録!$B$6:$B$3005,$A36,請求記録!$Z$6:$Z$3005,S$5,請求記録!$AF$6:$AF$3005,"保留中")&gt;0,"保留",IF(COUNTIFS(請求記録!$B$6:$B$3005,$A36,請求記録!$Z$6:$Z$3005,S$5)=0,"",SUMIFS(請求記録!$AE$6:$AE$3005,請求記録!$B$6:$B$3005,$A36,請求記録!$Z$6:$Z$3005,S$5))))</f>
        <v/>
      </c>
      <c r="T36" s="19">
        <f>IF($A36="","",IF(COUNTIFS(請求記録!$B$6:$B$3005,$A36,請求記録!$Z$6:$Z$3005,T$5,請求記録!$AF$6:$AF$3005,"保留中")&gt;0,"保留",IF(COUNTIFS(請求記録!$B$6:$B$3005,$A36,請求記録!$Z$6:$Z$3005,T$5)=0,"",SUMIFS(請求記録!$AE$6:$AE$3005,請求記録!$B$6:$B$3005,$A36,請求記録!$Z$6:$Z$3005,T$5))))</f>
        <v/>
      </c>
      <c r="U36" s="19">
        <f>IF($A36="","",IF(COUNTIFS(請求記録!$B$6:$B$3005,$A36,請求記録!$Z$6:$Z$3005,U$5,請求記録!$AF$6:$AF$3005,"保留中")&gt;0,"保留",IF(COUNTIFS(請求記録!$B$6:$B$3005,$A36,請求記録!$Z$6:$Z$3005,U$5)=0,"",SUMIFS(請求記録!$AE$6:$AE$3005,請求記録!$B$6:$B$3005,$A36,請求記録!$Z$6:$Z$3005,U$5))))</f>
        <v/>
      </c>
      <c r="V36" s="19">
        <f>IF($A36="","",IF(COUNTIFS(請求記録!$B$6:$B$3005,$A36,請求記録!$Z$6:$Z$3005,V$5,請求記録!$AF$6:$AF$3005,"保留中")&gt;0,"保留",IF(COUNTIFS(請求記録!$B$6:$B$3005,$A36,請求記録!$Z$6:$Z$3005,V$5)=0,"",SUMIFS(請求記録!$AE$6:$AE$3005,請求記録!$B$6:$B$3005,$A36,請求記録!$Z$6:$Z$3005,V$5))))</f>
        <v/>
      </c>
      <c r="W36" s="19">
        <f>IF($A36="","",IF(COUNTIFS(請求記録!$B$6:$B$3005,$A36,請求記録!$Z$6:$Z$3005,W$5,請求記録!$AF$6:$AF$3005,"保留中")&gt;0,"保留",IF(COUNTIFS(請求記録!$B$6:$B$3005,$A36,請求記録!$Z$6:$Z$3005,W$5)=0,"",SUMIFS(請求記録!$AE$6:$AE$3005,請求記録!$B$6:$B$3005,$A36,請求記録!$Z$6:$Z$3005,W$5))))</f>
        <v/>
      </c>
      <c r="X36" s="19">
        <f>IF($A36="","",IF(COUNTIFS(請求記録!$B$6:$B$3005,$A36,請求記録!$Z$6:$Z$3005,X$5,請求記録!$AF$6:$AF$3005,"保留中")&gt;0,"保留",IF(COUNTIFS(請求記録!$B$6:$B$3005,$A36,請求記録!$Z$6:$Z$3005,X$5)=0,"",SUMIFS(請求記録!$AE$6:$AE$3005,請求記録!$B$6:$B$3005,$A36,請求記録!$Z$6:$Z$3005,X$5))))</f>
        <v/>
      </c>
      <c r="Y36" s="19">
        <f>IF($A36="","",IF(COUNTIFS(請求記録!$B$6:$B$3005,$A36,請求記録!$Z$6:$Z$3005,Y$5,請求記録!$AF$6:$AF$3005,"保留中")&gt;0,"保留",IF(COUNTIFS(請求記録!$B$6:$B$3005,$A36,請求記録!$Z$6:$Z$3005,Y$5)=0,"",SUMIFS(請求記録!$AE$6:$AE$3005,請求記録!$B$6:$B$3005,$A36,請求記録!$Z$6:$Z$3005,Y$5))))</f>
        <v/>
      </c>
      <c r="Z36" s="19">
        <f>IF($A36="","",IF(COUNTIFS(請求記録!$B$6:$B$3005,$A36,請求記録!$Z$6:$Z$3005,Z$5,請求記録!$AF$6:$AF$3005,"保留中")&gt;0,"保留",IF(COUNTIFS(請求記録!$B$6:$B$3005,$A36,請求記録!$Z$6:$Z$3005,Z$5)=0,"",SUMIFS(請求記録!$AE$6:$AE$3005,請求記録!$B$6:$B$3005,$A36,請求記録!$Z$6:$Z$3005,Z$5))))</f>
        <v/>
      </c>
      <c r="AA36" s="19">
        <f>IF($A36="","",IF(COUNTIFS(請求記録!$B$6:$B$3005,$A36,請求記録!$Z$6:$Z$3005,AA$5,請求記録!$AF$6:$AF$3005,"保留中")&gt;0,"保留",IF(COUNTIFS(請求記録!$B$6:$B$3005,$A36,請求記録!$Z$6:$Z$3005,AA$5)=0,"",SUMIFS(請求記録!$AE$6:$AE$3005,請求記録!$B$6:$B$3005,$A36,請求記録!$Z$6:$Z$3005,AA$5))))</f>
        <v/>
      </c>
      <c r="AB36">
        <f>IF(職員マスタ!P36="保留中",職員マスタ!M36,"")</f>
        <v/>
      </c>
    </row>
    <row r="37">
      <c r="A37">
        <f>IF(職員マスタ!A37="","",職員マスタ!A37)</f>
        <v/>
      </c>
      <c r="B37">
        <f>IF($A37="","",職員マスタ!B37)</f>
        <v/>
      </c>
      <c r="C37">
        <f>IF($A37="","",職員マスタ!C37)</f>
        <v/>
      </c>
      <c r="D37" s="19">
        <f>IF($A37="","",IF(COUNTIFS(請求記録!$B$6:$B$3005,$A37,請求記録!$Z$6:$Z$3005,D$5,請求記録!$AF$6:$AF$3005,"保留中")&gt;0,"保留",IF(COUNTIFS(請求記録!$B$6:$B$3005,$A37,請求記録!$Z$6:$Z$3005,D$5)=0,"",SUMIFS(請求記録!$AE$6:$AE$3005,請求記録!$B$6:$B$3005,$A37,請求記録!$Z$6:$Z$3005,D$5))))</f>
        <v/>
      </c>
      <c r="E37" s="19">
        <f>IF($A37="","",IF(COUNTIFS(請求記録!$B$6:$B$3005,$A37,請求記録!$Z$6:$Z$3005,E$5,請求記録!$AF$6:$AF$3005,"保留中")&gt;0,"保留",IF(COUNTIFS(請求記録!$B$6:$B$3005,$A37,請求記録!$Z$6:$Z$3005,E$5)=0,"",SUMIFS(請求記録!$AE$6:$AE$3005,請求記録!$B$6:$B$3005,$A37,請求記録!$Z$6:$Z$3005,E$5))))</f>
        <v/>
      </c>
      <c r="F37" s="19">
        <f>IF($A37="","",IF(COUNTIFS(請求記録!$B$6:$B$3005,$A37,請求記録!$Z$6:$Z$3005,F$5,請求記録!$AF$6:$AF$3005,"保留中")&gt;0,"保留",IF(COUNTIFS(請求記録!$B$6:$B$3005,$A37,請求記録!$Z$6:$Z$3005,F$5)=0,"",SUMIFS(請求記録!$AE$6:$AE$3005,請求記録!$B$6:$B$3005,$A37,請求記録!$Z$6:$Z$3005,F$5))))</f>
        <v/>
      </c>
      <c r="G37" s="19">
        <f>IF($A37="","",IF(COUNTIFS(請求記録!$B$6:$B$3005,$A37,請求記録!$Z$6:$Z$3005,G$5,請求記録!$AF$6:$AF$3005,"保留中")&gt;0,"保留",IF(COUNTIFS(請求記録!$B$6:$B$3005,$A37,請求記録!$Z$6:$Z$3005,G$5)=0,"",SUMIFS(請求記録!$AE$6:$AE$3005,請求記録!$B$6:$B$3005,$A37,請求記録!$Z$6:$Z$3005,G$5))))</f>
        <v/>
      </c>
      <c r="H37" s="19">
        <f>IF($A37="","",IF(COUNTIFS(請求記録!$B$6:$B$3005,$A37,請求記録!$Z$6:$Z$3005,H$5,請求記録!$AF$6:$AF$3005,"保留中")&gt;0,"保留",IF(COUNTIFS(請求記録!$B$6:$B$3005,$A37,請求記録!$Z$6:$Z$3005,H$5)=0,"",SUMIFS(請求記録!$AE$6:$AE$3005,請求記録!$B$6:$B$3005,$A37,請求記録!$Z$6:$Z$3005,H$5))))</f>
        <v/>
      </c>
      <c r="I37" s="19">
        <f>IF($A37="","",IF(COUNTIFS(請求記録!$B$6:$B$3005,$A37,請求記録!$Z$6:$Z$3005,I$5,請求記録!$AF$6:$AF$3005,"保留中")&gt;0,"保留",IF(COUNTIFS(請求記録!$B$6:$B$3005,$A37,請求記録!$Z$6:$Z$3005,I$5)=0,"",SUMIFS(請求記録!$AE$6:$AE$3005,請求記録!$B$6:$B$3005,$A37,請求記録!$Z$6:$Z$3005,I$5))))</f>
        <v/>
      </c>
      <c r="J37" s="19">
        <f>IF($A37="","",IF(COUNTIFS(請求記録!$B$6:$B$3005,$A37,請求記録!$Z$6:$Z$3005,J$5,請求記録!$AF$6:$AF$3005,"保留中")&gt;0,"保留",IF(COUNTIFS(請求記録!$B$6:$B$3005,$A37,請求記録!$Z$6:$Z$3005,J$5)=0,"",SUMIFS(請求記録!$AE$6:$AE$3005,請求記録!$B$6:$B$3005,$A37,請求記録!$Z$6:$Z$3005,J$5))))</f>
        <v/>
      </c>
      <c r="K37" s="19">
        <f>IF($A37="","",IF(COUNTIFS(請求記録!$B$6:$B$3005,$A37,請求記録!$Z$6:$Z$3005,K$5,請求記録!$AF$6:$AF$3005,"保留中")&gt;0,"保留",IF(COUNTIFS(請求記録!$B$6:$B$3005,$A37,請求記録!$Z$6:$Z$3005,K$5)=0,"",SUMIFS(請求記録!$AE$6:$AE$3005,請求記録!$B$6:$B$3005,$A37,請求記録!$Z$6:$Z$3005,K$5))))</f>
        <v/>
      </c>
      <c r="L37" s="19">
        <f>IF($A37="","",IF(COUNTIFS(請求記録!$B$6:$B$3005,$A37,請求記録!$Z$6:$Z$3005,L$5,請求記録!$AF$6:$AF$3005,"保留中")&gt;0,"保留",IF(COUNTIFS(請求記録!$B$6:$B$3005,$A37,請求記録!$Z$6:$Z$3005,L$5)=0,"",SUMIFS(請求記録!$AE$6:$AE$3005,請求記録!$B$6:$B$3005,$A37,請求記録!$Z$6:$Z$3005,L$5))))</f>
        <v/>
      </c>
      <c r="M37" s="19">
        <f>IF($A37="","",IF(COUNTIFS(請求記録!$B$6:$B$3005,$A37,請求記録!$Z$6:$Z$3005,M$5,請求記録!$AF$6:$AF$3005,"保留中")&gt;0,"保留",IF(COUNTIFS(請求記録!$B$6:$B$3005,$A37,請求記録!$Z$6:$Z$3005,M$5)=0,"",SUMIFS(請求記録!$AE$6:$AE$3005,請求記録!$B$6:$B$3005,$A37,請求記録!$Z$6:$Z$3005,M$5))))</f>
        <v/>
      </c>
      <c r="N37" s="19">
        <f>IF($A37="","",IF(COUNTIFS(請求記録!$B$6:$B$3005,$A37,請求記録!$Z$6:$Z$3005,N$5,請求記録!$AF$6:$AF$3005,"保留中")&gt;0,"保留",IF(COUNTIFS(請求記録!$B$6:$B$3005,$A37,請求記録!$Z$6:$Z$3005,N$5)=0,"",SUMIFS(請求記録!$AE$6:$AE$3005,請求記録!$B$6:$B$3005,$A37,請求記録!$Z$6:$Z$3005,N$5))))</f>
        <v/>
      </c>
      <c r="O37" s="19">
        <f>IF($A37="","",IF(COUNTIFS(請求記録!$B$6:$B$3005,$A37,請求記録!$Z$6:$Z$3005,O$5,請求記録!$AF$6:$AF$3005,"保留中")&gt;0,"保留",IF(COUNTIFS(請求記録!$B$6:$B$3005,$A37,請求記録!$Z$6:$Z$3005,O$5)=0,"",SUMIFS(請求記録!$AE$6:$AE$3005,請求記録!$B$6:$B$3005,$A37,請求記録!$Z$6:$Z$3005,O$5))))</f>
        <v/>
      </c>
      <c r="P37" s="19">
        <f>IF($A37="","",IF(COUNTIFS(請求記録!$B$6:$B$3005,$A37,請求記録!$Z$6:$Z$3005,P$5,請求記録!$AF$6:$AF$3005,"保留中")&gt;0,"保留",IF(COUNTIFS(請求記録!$B$6:$B$3005,$A37,請求記録!$Z$6:$Z$3005,P$5)=0,"",SUMIFS(請求記録!$AE$6:$AE$3005,請求記録!$B$6:$B$3005,$A37,請求記録!$Z$6:$Z$3005,P$5))))</f>
        <v/>
      </c>
      <c r="Q37" s="19">
        <f>IF($A37="","",IF(COUNTIFS(請求記録!$B$6:$B$3005,$A37,請求記録!$Z$6:$Z$3005,Q$5,請求記録!$AF$6:$AF$3005,"保留中")&gt;0,"保留",IF(COUNTIFS(請求記録!$B$6:$B$3005,$A37,請求記録!$Z$6:$Z$3005,Q$5)=0,"",SUMIFS(請求記録!$AE$6:$AE$3005,請求記録!$B$6:$B$3005,$A37,請求記録!$Z$6:$Z$3005,Q$5))))</f>
        <v/>
      </c>
      <c r="R37" s="19">
        <f>IF($A37="","",IF(COUNTIFS(請求記録!$B$6:$B$3005,$A37,請求記録!$Z$6:$Z$3005,R$5,請求記録!$AF$6:$AF$3005,"保留中")&gt;0,"保留",IF(COUNTIFS(請求記録!$B$6:$B$3005,$A37,請求記録!$Z$6:$Z$3005,R$5)=0,"",SUMIFS(請求記録!$AE$6:$AE$3005,請求記録!$B$6:$B$3005,$A37,請求記録!$Z$6:$Z$3005,R$5))))</f>
        <v/>
      </c>
      <c r="S37" s="19">
        <f>IF($A37="","",IF(COUNTIFS(請求記録!$B$6:$B$3005,$A37,請求記録!$Z$6:$Z$3005,S$5,請求記録!$AF$6:$AF$3005,"保留中")&gt;0,"保留",IF(COUNTIFS(請求記録!$B$6:$B$3005,$A37,請求記録!$Z$6:$Z$3005,S$5)=0,"",SUMIFS(請求記録!$AE$6:$AE$3005,請求記録!$B$6:$B$3005,$A37,請求記録!$Z$6:$Z$3005,S$5))))</f>
        <v/>
      </c>
      <c r="T37" s="19">
        <f>IF($A37="","",IF(COUNTIFS(請求記録!$B$6:$B$3005,$A37,請求記録!$Z$6:$Z$3005,T$5,請求記録!$AF$6:$AF$3005,"保留中")&gt;0,"保留",IF(COUNTIFS(請求記録!$B$6:$B$3005,$A37,請求記録!$Z$6:$Z$3005,T$5)=0,"",SUMIFS(請求記録!$AE$6:$AE$3005,請求記録!$B$6:$B$3005,$A37,請求記録!$Z$6:$Z$3005,T$5))))</f>
        <v/>
      </c>
      <c r="U37" s="19">
        <f>IF($A37="","",IF(COUNTIFS(請求記録!$B$6:$B$3005,$A37,請求記録!$Z$6:$Z$3005,U$5,請求記録!$AF$6:$AF$3005,"保留中")&gt;0,"保留",IF(COUNTIFS(請求記録!$B$6:$B$3005,$A37,請求記録!$Z$6:$Z$3005,U$5)=0,"",SUMIFS(請求記録!$AE$6:$AE$3005,請求記録!$B$6:$B$3005,$A37,請求記録!$Z$6:$Z$3005,U$5))))</f>
        <v/>
      </c>
      <c r="V37" s="19">
        <f>IF($A37="","",IF(COUNTIFS(請求記録!$B$6:$B$3005,$A37,請求記録!$Z$6:$Z$3005,V$5,請求記録!$AF$6:$AF$3005,"保留中")&gt;0,"保留",IF(COUNTIFS(請求記録!$B$6:$B$3005,$A37,請求記録!$Z$6:$Z$3005,V$5)=0,"",SUMIFS(請求記録!$AE$6:$AE$3005,請求記録!$B$6:$B$3005,$A37,請求記録!$Z$6:$Z$3005,V$5))))</f>
        <v/>
      </c>
      <c r="W37" s="19">
        <f>IF($A37="","",IF(COUNTIFS(請求記録!$B$6:$B$3005,$A37,請求記録!$Z$6:$Z$3005,W$5,請求記録!$AF$6:$AF$3005,"保留中")&gt;0,"保留",IF(COUNTIFS(請求記録!$B$6:$B$3005,$A37,請求記録!$Z$6:$Z$3005,W$5)=0,"",SUMIFS(請求記録!$AE$6:$AE$3005,請求記録!$B$6:$B$3005,$A37,請求記録!$Z$6:$Z$3005,W$5))))</f>
        <v/>
      </c>
      <c r="X37" s="19">
        <f>IF($A37="","",IF(COUNTIFS(請求記録!$B$6:$B$3005,$A37,請求記録!$Z$6:$Z$3005,X$5,請求記録!$AF$6:$AF$3005,"保留中")&gt;0,"保留",IF(COUNTIFS(請求記録!$B$6:$B$3005,$A37,請求記録!$Z$6:$Z$3005,X$5)=0,"",SUMIFS(請求記録!$AE$6:$AE$3005,請求記録!$B$6:$B$3005,$A37,請求記録!$Z$6:$Z$3005,X$5))))</f>
        <v/>
      </c>
      <c r="Y37" s="19">
        <f>IF($A37="","",IF(COUNTIFS(請求記録!$B$6:$B$3005,$A37,請求記録!$Z$6:$Z$3005,Y$5,請求記録!$AF$6:$AF$3005,"保留中")&gt;0,"保留",IF(COUNTIFS(請求記録!$B$6:$B$3005,$A37,請求記録!$Z$6:$Z$3005,Y$5)=0,"",SUMIFS(請求記録!$AE$6:$AE$3005,請求記録!$B$6:$B$3005,$A37,請求記録!$Z$6:$Z$3005,Y$5))))</f>
        <v/>
      </c>
      <c r="Z37" s="19">
        <f>IF($A37="","",IF(COUNTIFS(請求記録!$B$6:$B$3005,$A37,請求記録!$Z$6:$Z$3005,Z$5,請求記録!$AF$6:$AF$3005,"保留中")&gt;0,"保留",IF(COUNTIFS(請求記録!$B$6:$B$3005,$A37,請求記録!$Z$6:$Z$3005,Z$5)=0,"",SUMIFS(請求記録!$AE$6:$AE$3005,請求記録!$B$6:$B$3005,$A37,請求記録!$Z$6:$Z$3005,Z$5))))</f>
        <v/>
      </c>
      <c r="AA37" s="19">
        <f>IF($A37="","",IF(COUNTIFS(請求記録!$B$6:$B$3005,$A37,請求記録!$Z$6:$Z$3005,AA$5,請求記録!$AF$6:$AF$3005,"保留中")&gt;0,"保留",IF(COUNTIFS(請求記録!$B$6:$B$3005,$A37,請求記録!$Z$6:$Z$3005,AA$5)=0,"",SUMIFS(請求記録!$AE$6:$AE$3005,請求記録!$B$6:$B$3005,$A37,請求記録!$Z$6:$Z$3005,AA$5))))</f>
        <v/>
      </c>
      <c r="AB37">
        <f>IF(職員マスタ!P37="保留中",職員マスタ!M37,"")</f>
        <v/>
      </c>
    </row>
    <row r="38">
      <c r="A38">
        <f>IF(職員マスタ!A38="","",職員マスタ!A38)</f>
        <v/>
      </c>
      <c r="B38">
        <f>IF($A38="","",職員マスタ!B38)</f>
        <v/>
      </c>
      <c r="C38">
        <f>IF($A38="","",職員マスタ!C38)</f>
        <v/>
      </c>
      <c r="D38" s="19">
        <f>IF($A38="","",IF(COUNTIFS(請求記録!$B$6:$B$3005,$A38,請求記録!$Z$6:$Z$3005,D$5,請求記録!$AF$6:$AF$3005,"保留中")&gt;0,"保留",IF(COUNTIFS(請求記録!$B$6:$B$3005,$A38,請求記録!$Z$6:$Z$3005,D$5)=0,"",SUMIFS(請求記録!$AE$6:$AE$3005,請求記録!$B$6:$B$3005,$A38,請求記録!$Z$6:$Z$3005,D$5))))</f>
        <v/>
      </c>
      <c r="E38" s="19">
        <f>IF($A38="","",IF(COUNTIFS(請求記録!$B$6:$B$3005,$A38,請求記録!$Z$6:$Z$3005,E$5,請求記録!$AF$6:$AF$3005,"保留中")&gt;0,"保留",IF(COUNTIFS(請求記録!$B$6:$B$3005,$A38,請求記録!$Z$6:$Z$3005,E$5)=0,"",SUMIFS(請求記録!$AE$6:$AE$3005,請求記録!$B$6:$B$3005,$A38,請求記録!$Z$6:$Z$3005,E$5))))</f>
        <v/>
      </c>
      <c r="F38" s="19">
        <f>IF($A38="","",IF(COUNTIFS(請求記録!$B$6:$B$3005,$A38,請求記録!$Z$6:$Z$3005,F$5,請求記録!$AF$6:$AF$3005,"保留中")&gt;0,"保留",IF(COUNTIFS(請求記録!$B$6:$B$3005,$A38,請求記録!$Z$6:$Z$3005,F$5)=0,"",SUMIFS(請求記録!$AE$6:$AE$3005,請求記録!$B$6:$B$3005,$A38,請求記録!$Z$6:$Z$3005,F$5))))</f>
        <v/>
      </c>
      <c r="G38" s="19">
        <f>IF($A38="","",IF(COUNTIFS(請求記録!$B$6:$B$3005,$A38,請求記録!$Z$6:$Z$3005,G$5,請求記録!$AF$6:$AF$3005,"保留中")&gt;0,"保留",IF(COUNTIFS(請求記録!$B$6:$B$3005,$A38,請求記録!$Z$6:$Z$3005,G$5)=0,"",SUMIFS(請求記録!$AE$6:$AE$3005,請求記録!$B$6:$B$3005,$A38,請求記録!$Z$6:$Z$3005,G$5))))</f>
        <v/>
      </c>
      <c r="H38" s="19">
        <f>IF($A38="","",IF(COUNTIFS(請求記録!$B$6:$B$3005,$A38,請求記録!$Z$6:$Z$3005,H$5,請求記録!$AF$6:$AF$3005,"保留中")&gt;0,"保留",IF(COUNTIFS(請求記録!$B$6:$B$3005,$A38,請求記録!$Z$6:$Z$3005,H$5)=0,"",SUMIFS(請求記録!$AE$6:$AE$3005,請求記録!$B$6:$B$3005,$A38,請求記録!$Z$6:$Z$3005,H$5))))</f>
        <v/>
      </c>
      <c r="I38" s="19">
        <f>IF($A38="","",IF(COUNTIFS(請求記録!$B$6:$B$3005,$A38,請求記録!$Z$6:$Z$3005,I$5,請求記録!$AF$6:$AF$3005,"保留中")&gt;0,"保留",IF(COUNTIFS(請求記録!$B$6:$B$3005,$A38,請求記録!$Z$6:$Z$3005,I$5)=0,"",SUMIFS(請求記録!$AE$6:$AE$3005,請求記録!$B$6:$B$3005,$A38,請求記録!$Z$6:$Z$3005,I$5))))</f>
        <v/>
      </c>
      <c r="J38" s="19">
        <f>IF($A38="","",IF(COUNTIFS(請求記録!$B$6:$B$3005,$A38,請求記録!$Z$6:$Z$3005,J$5,請求記録!$AF$6:$AF$3005,"保留中")&gt;0,"保留",IF(COUNTIFS(請求記録!$B$6:$B$3005,$A38,請求記録!$Z$6:$Z$3005,J$5)=0,"",SUMIFS(請求記録!$AE$6:$AE$3005,請求記録!$B$6:$B$3005,$A38,請求記録!$Z$6:$Z$3005,J$5))))</f>
        <v/>
      </c>
      <c r="K38" s="19">
        <f>IF($A38="","",IF(COUNTIFS(請求記録!$B$6:$B$3005,$A38,請求記録!$Z$6:$Z$3005,K$5,請求記録!$AF$6:$AF$3005,"保留中")&gt;0,"保留",IF(COUNTIFS(請求記録!$B$6:$B$3005,$A38,請求記録!$Z$6:$Z$3005,K$5)=0,"",SUMIFS(請求記録!$AE$6:$AE$3005,請求記録!$B$6:$B$3005,$A38,請求記録!$Z$6:$Z$3005,K$5))))</f>
        <v/>
      </c>
      <c r="L38" s="19">
        <f>IF($A38="","",IF(COUNTIFS(請求記録!$B$6:$B$3005,$A38,請求記録!$Z$6:$Z$3005,L$5,請求記録!$AF$6:$AF$3005,"保留中")&gt;0,"保留",IF(COUNTIFS(請求記録!$B$6:$B$3005,$A38,請求記録!$Z$6:$Z$3005,L$5)=0,"",SUMIFS(請求記録!$AE$6:$AE$3005,請求記録!$B$6:$B$3005,$A38,請求記録!$Z$6:$Z$3005,L$5))))</f>
        <v/>
      </c>
      <c r="M38" s="19">
        <f>IF($A38="","",IF(COUNTIFS(請求記録!$B$6:$B$3005,$A38,請求記録!$Z$6:$Z$3005,M$5,請求記録!$AF$6:$AF$3005,"保留中")&gt;0,"保留",IF(COUNTIFS(請求記録!$B$6:$B$3005,$A38,請求記録!$Z$6:$Z$3005,M$5)=0,"",SUMIFS(請求記録!$AE$6:$AE$3005,請求記録!$B$6:$B$3005,$A38,請求記録!$Z$6:$Z$3005,M$5))))</f>
        <v/>
      </c>
      <c r="N38" s="19">
        <f>IF($A38="","",IF(COUNTIFS(請求記録!$B$6:$B$3005,$A38,請求記録!$Z$6:$Z$3005,N$5,請求記録!$AF$6:$AF$3005,"保留中")&gt;0,"保留",IF(COUNTIFS(請求記録!$B$6:$B$3005,$A38,請求記録!$Z$6:$Z$3005,N$5)=0,"",SUMIFS(請求記録!$AE$6:$AE$3005,請求記録!$B$6:$B$3005,$A38,請求記録!$Z$6:$Z$3005,N$5))))</f>
        <v/>
      </c>
      <c r="O38" s="19">
        <f>IF($A38="","",IF(COUNTIFS(請求記録!$B$6:$B$3005,$A38,請求記録!$Z$6:$Z$3005,O$5,請求記録!$AF$6:$AF$3005,"保留中")&gt;0,"保留",IF(COUNTIFS(請求記録!$B$6:$B$3005,$A38,請求記録!$Z$6:$Z$3005,O$5)=0,"",SUMIFS(請求記録!$AE$6:$AE$3005,請求記録!$B$6:$B$3005,$A38,請求記録!$Z$6:$Z$3005,O$5))))</f>
        <v/>
      </c>
      <c r="P38" s="19">
        <f>IF($A38="","",IF(COUNTIFS(請求記録!$B$6:$B$3005,$A38,請求記録!$Z$6:$Z$3005,P$5,請求記録!$AF$6:$AF$3005,"保留中")&gt;0,"保留",IF(COUNTIFS(請求記録!$B$6:$B$3005,$A38,請求記録!$Z$6:$Z$3005,P$5)=0,"",SUMIFS(請求記録!$AE$6:$AE$3005,請求記録!$B$6:$B$3005,$A38,請求記録!$Z$6:$Z$3005,P$5))))</f>
        <v/>
      </c>
      <c r="Q38" s="19">
        <f>IF($A38="","",IF(COUNTIFS(請求記録!$B$6:$B$3005,$A38,請求記録!$Z$6:$Z$3005,Q$5,請求記録!$AF$6:$AF$3005,"保留中")&gt;0,"保留",IF(COUNTIFS(請求記録!$B$6:$B$3005,$A38,請求記録!$Z$6:$Z$3005,Q$5)=0,"",SUMIFS(請求記録!$AE$6:$AE$3005,請求記録!$B$6:$B$3005,$A38,請求記録!$Z$6:$Z$3005,Q$5))))</f>
        <v/>
      </c>
      <c r="R38" s="19">
        <f>IF($A38="","",IF(COUNTIFS(請求記録!$B$6:$B$3005,$A38,請求記録!$Z$6:$Z$3005,R$5,請求記録!$AF$6:$AF$3005,"保留中")&gt;0,"保留",IF(COUNTIFS(請求記録!$B$6:$B$3005,$A38,請求記録!$Z$6:$Z$3005,R$5)=0,"",SUMIFS(請求記録!$AE$6:$AE$3005,請求記録!$B$6:$B$3005,$A38,請求記録!$Z$6:$Z$3005,R$5))))</f>
        <v/>
      </c>
      <c r="S38" s="19">
        <f>IF($A38="","",IF(COUNTIFS(請求記録!$B$6:$B$3005,$A38,請求記録!$Z$6:$Z$3005,S$5,請求記録!$AF$6:$AF$3005,"保留中")&gt;0,"保留",IF(COUNTIFS(請求記録!$B$6:$B$3005,$A38,請求記録!$Z$6:$Z$3005,S$5)=0,"",SUMIFS(請求記録!$AE$6:$AE$3005,請求記録!$B$6:$B$3005,$A38,請求記録!$Z$6:$Z$3005,S$5))))</f>
        <v/>
      </c>
      <c r="T38" s="19">
        <f>IF($A38="","",IF(COUNTIFS(請求記録!$B$6:$B$3005,$A38,請求記録!$Z$6:$Z$3005,T$5,請求記録!$AF$6:$AF$3005,"保留中")&gt;0,"保留",IF(COUNTIFS(請求記録!$B$6:$B$3005,$A38,請求記録!$Z$6:$Z$3005,T$5)=0,"",SUMIFS(請求記録!$AE$6:$AE$3005,請求記録!$B$6:$B$3005,$A38,請求記録!$Z$6:$Z$3005,T$5))))</f>
        <v/>
      </c>
      <c r="U38" s="19">
        <f>IF($A38="","",IF(COUNTIFS(請求記録!$B$6:$B$3005,$A38,請求記録!$Z$6:$Z$3005,U$5,請求記録!$AF$6:$AF$3005,"保留中")&gt;0,"保留",IF(COUNTIFS(請求記録!$B$6:$B$3005,$A38,請求記録!$Z$6:$Z$3005,U$5)=0,"",SUMIFS(請求記録!$AE$6:$AE$3005,請求記録!$B$6:$B$3005,$A38,請求記録!$Z$6:$Z$3005,U$5))))</f>
        <v/>
      </c>
      <c r="V38" s="19">
        <f>IF($A38="","",IF(COUNTIFS(請求記録!$B$6:$B$3005,$A38,請求記録!$Z$6:$Z$3005,V$5,請求記録!$AF$6:$AF$3005,"保留中")&gt;0,"保留",IF(COUNTIFS(請求記録!$B$6:$B$3005,$A38,請求記録!$Z$6:$Z$3005,V$5)=0,"",SUMIFS(請求記録!$AE$6:$AE$3005,請求記録!$B$6:$B$3005,$A38,請求記録!$Z$6:$Z$3005,V$5))))</f>
        <v/>
      </c>
      <c r="W38" s="19">
        <f>IF($A38="","",IF(COUNTIFS(請求記録!$B$6:$B$3005,$A38,請求記録!$Z$6:$Z$3005,W$5,請求記録!$AF$6:$AF$3005,"保留中")&gt;0,"保留",IF(COUNTIFS(請求記録!$B$6:$B$3005,$A38,請求記録!$Z$6:$Z$3005,W$5)=0,"",SUMIFS(請求記録!$AE$6:$AE$3005,請求記録!$B$6:$B$3005,$A38,請求記録!$Z$6:$Z$3005,W$5))))</f>
        <v/>
      </c>
      <c r="X38" s="19">
        <f>IF($A38="","",IF(COUNTIFS(請求記録!$B$6:$B$3005,$A38,請求記録!$Z$6:$Z$3005,X$5,請求記録!$AF$6:$AF$3005,"保留中")&gt;0,"保留",IF(COUNTIFS(請求記録!$B$6:$B$3005,$A38,請求記録!$Z$6:$Z$3005,X$5)=0,"",SUMIFS(請求記録!$AE$6:$AE$3005,請求記録!$B$6:$B$3005,$A38,請求記録!$Z$6:$Z$3005,X$5))))</f>
        <v/>
      </c>
      <c r="Y38" s="19">
        <f>IF($A38="","",IF(COUNTIFS(請求記録!$B$6:$B$3005,$A38,請求記録!$Z$6:$Z$3005,Y$5,請求記録!$AF$6:$AF$3005,"保留中")&gt;0,"保留",IF(COUNTIFS(請求記録!$B$6:$B$3005,$A38,請求記録!$Z$6:$Z$3005,Y$5)=0,"",SUMIFS(請求記録!$AE$6:$AE$3005,請求記録!$B$6:$B$3005,$A38,請求記録!$Z$6:$Z$3005,Y$5))))</f>
        <v/>
      </c>
      <c r="Z38" s="19">
        <f>IF($A38="","",IF(COUNTIFS(請求記録!$B$6:$B$3005,$A38,請求記録!$Z$6:$Z$3005,Z$5,請求記録!$AF$6:$AF$3005,"保留中")&gt;0,"保留",IF(COUNTIFS(請求記録!$B$6:$B$3005,$A38,請求記録!$Z$6:$Z$3005,Z$5)=0,"",SUMIFS(請求記録!$AE$6:$AE$3005,請求記録!$B$6:$B$3005,$A38,請求記録!$Z$6:$Z$3005,Z$5))))</f>
        <v/>
      </c>
      <c r="AA38" s="19">
        <f>IF($A38="","",IF(COUNTIFS(請求記録!$B$6:$B$3005,$A38,請求記録!$Z$6:$Z$3005,AA$5,請求記録!$AF$6:$AF$3005,"保留中")&gt;0,"保留",IF(COUNTIFS(請求記録!$B$6:$B$3005,$A38,請求記録!$Z$6:$Z$3005,AA$5)=0,"",SUMIFS(請求記録!$AE$6:$AE$3005,請求記録!$B$6:$B$3005,$A38,請求記録!$Z$6:$Z$3005,AA$5))))</f>
        <v/>
      </c>
      <c r="AB38">
        <f>IF(職員マスタ!P38="保留中",職員マスタ!M38,"")</f>
        <v/>
      </c>
    </row>
    <row r="39">
      <c r="A39">
        <f>IF(職員マスタ!A39="","",職員マスタ!A39)</f>
        <v/>
      </c>
      <c r="B39">
        <f>IF($A39="","",職員マスタ!B39)</f>
        <v/>
      </c>
      <c r="C39">
        <f>IF($A39="","",職員マスタ!C39)</f>
        <v/>
      </c>
      <c r="D39" s="19">
        <f>IF($A39="","",IF(COUNTIFS(請求記録!$B$6:$B$3005,$A39,請求記録!$Z$6:$Z$3005,D$5,請求記録!$AF$6:$AF$3005,"保留中")&gt;0,"保留",IF(COUNTIFS(請求記録!$B$6:$B$3005,$A39,請求記録!$Z$6:$Z$3005,D$5)=0,"",SUMIFS(請求記録!$AE$6:$AE$3005,請求記録!$B$6:$B$3005,$A39,請求記録!$Z$6:$Z$3005,D$5))))</f>
        <v/>
      </c>
      <c r="E39" s="19">
        <f>IF($A39="","",IF(COUNTIFS(請求記録!$B$6:$B$3005,$A39,請求記録!$Z$6:$Z$3005,E$5,請求記録!$AF$6:$AF$3005,"保留中")&gt;0,"保留",IF(COUNTIFS(請求記録!$B$6:$B$3005,$A39,請求記録!$Z$6:$Z$3005,E$5)=0,"",SUMIFS(請求記録!$AE$6:$AE$3005,請求記録!$B$6:$B$3005,$A39,請求記録!$Z$6:$Z$3005,E$5))))</f>
        <v/>
      </c>
      <c r="F39" s="19">
        <f>IF($A39="","",IF(COUNTIFS(請求記録!$B$6:$B$3005,$A39,請求記録!$Z$6:$Z$3005,F$5,請求記録!$AF$6:$AF$3005,"保留中")&gt;0,"保留",IF(COUNTIFS(請求記録!$B$6:$B$3005,$A39,請求記録!$Z$6:$Z$3005,F$5)=0,"",SUMIFS(請求記録!$AE$6:$AE$3005,請求記録!$B$6:$B$3005,$A39,請求記録!$Z$6:$Z$3005,F$5))))</f>
        <v/>
      </c>
      <c r="G39" s="19">
        <f>IF($A39="","",IF(COUNTIFS(請求記録!$B$6:$B$3005,$A39,請求記録!$Z$6:$Z$3005,G$5,請求記録!$AF$6:$AF$3005,"保留中")&gt;0,"保留",IF(COUNTIFS(請求記録!$B$6:$B$3005,$A39,請求記録!$Z$6:$Z$3005,G$5)=0,"",SUMIFS(請求記録!$AE$6:$AE$3005,請求記録!$B$6:$B$3005,$A39,請求記録!$Z$6:$Z$3005,G$5))))</f>
        <v/>
      </c>
      <c r="H39" s="19">
        <f>IF($A39="","",IF(COUNTIFS(請求記録!$B$6:$B$3005,$A39,請求記録!$Z$6:$Z$3005,H$5,請求記録!$AF$6:$AF$3005,"保留中")&gt;0,"保留",IF(COUNTIFS(請求記録!$B$6:$B$3005,$A39,請求記録!$Z$6:$Z$3005,H$5)=0,"",SUMIFS(請求記録!$AE$6:$AE$3005,請求記録!$B$6:$B$3005,$A39,請求記録!$Z$6:$Z$3005,H$5))))</f>
        <v/>
      </c>
      <c r="I39" s="19">
        <f>IF($A39="","",IF(COUNTIFS(請求記録!$B$6:$B$3005,$A39,請求記録!$Z$6:$Z$3005,I$5,請求記録!$AF$6:$AF$3005,"保留中")&gt;0,"保留",IF(COUNTIFS(請求記録!$B$6:$B$3005,$A39,請求記録!$Z$6:$Z$3005,I$5)=0,"",SUMIFS(請求記録!$AE$6:$AE$3005,請求記録!$B$6:$B$3005,$A39,請求記録!$Z$6:$Z$3005,I$5))))</f>
        <v/>
      </c>
      <c r="J39" s="19">
        <f>IF($A39="","",IF(COUNTIFS(請求記録!$B$6:$B$3005,$A39,請求記録!$Z$6:$Z$3005,J$5,請求記録!$AF$6:$AF$3005,"保留中")&gt;0,"保留",IF(COUNTIFS(請求記録!$B$6:$B$3005,$A39,請求記録!$Z$6:$Z$3005,J$5)=0,"",SUMIFS(請求記録!$AE$6:$AE$3005,請求記録!$B$6:$B$3005,$A39,請求記録!$Z$6:$Z$3005,J$5))))</f>
        <v/>
      </c>
      <c r="K39" s="19">
        <f>IF($A39="","",IF(COUNTIFS(請求記録!$B$6:$B$3005,$A39,請求記録!$Z$6:$Z$3005,K$5,請求記録!$AF$6:$AF$3005,"保留中")&gt;0,"保留",IF(COUNTIFS(請求記録!$B$6:$B$3005,$A39,請求記録!$Z$6:$Z$3005,K$5)=0,"",SUMIFS(請求記録!$AE$6:$AE$3005,請求記録!$B$6:$B$3005,$A39,請求記録!$Z$6:$Z$3005,K$5))))</f>
        <v/>
      </c>
      <c r="L39" s="19">
        <f>IF($A39="","",IF(COUNTIFS(請求記録!$B$6:$B$3005,$A39,請求記録!$Z$6:$Z$3005,L$5,請求記録!$AF$6:$AF$3005,"保留中")&gt;0,"保留",IF(COUNTIFS(請求記録!$B$6:$B$3005,$A39,請求記録!$Z$6:$Z$3005,L$5)=0,"",SUMIFS(請求記録!$AE$6:$AE$3005,請求記録!$B$6:$B$3005,$A39,請求記録!$Z$6:$Z$3005,L$5))))</f>
        <v/>
      </c>
      <c r="M39" s="19">
        <f>IF($A39="","",IF(COUNTIFS(請求記録!$B$6:$B$3005,$A39,請求記録!$Z$6:$Z$3005,M$5,請求記録!$AF$6:$AF$3005,"保留中")&gt;0,"保留",IF(COUNTIFS(請求記録!$B$6:$B$3005,$A39,請求記録!$Z$6:$Z$3005,M$5)=0,"",SUMIFS(請求記録!$AE$6:$AE$3005,請求記録!$B$6:$B$3005,$A39,請求記録!$Z$6:$Z$3005,M$5))))</f>
        <v/>
      </c>
      <c r="N39" s="19">
        <f>IF($A39="","",IF(COUNTIFS(請求記録!$B$6:$B$3005,$A39,請求記録!$Z$6:$Z$3005,N$5,請求記録!$AF$6:$AF$3005,"保留中")&gt;0,"保留",IF(COUNTIFS(請求記録!$B$6:$B$3005,$A39,請求記録!$Z$6:$Z$3005,N$5)=0,"",SUMIFS(請求記録!$AE$6:$AE$3005,請求記録!$B$6:$B$3005,$A39,請求記録!$Z$6:$Z$3005,N$5))))</f>
        <v/>
      </c>
      <c r="O39" s="19">
        <f>IF($A39="","",IF(COUNTIFS(請求記録!$B$6:$B$3005,$A39,請求記録!$Z$6:$Z$3005,O$5,請求記録!$AF$6:$AF$3005,"保留中")&gt;0,"保留",IF(COUNTIFS(請求記録!$B$6:$B$3005,$A39,請求記録!$Z$6:$Z$3005,O$5)=0,"",SUMIFS(請求記録!$AE$6:$AE$3005,請求記録!$B$6:$B$3005,$A39,請求記録!$Z$6:$Z$3005,O$5))))</f>
        <v/>
      </c>
      <c r="P39" s="19">
        <f>IF($A39="","",IF(COUNTIFS(請求記録!$B$6:$B$3005,$A39,請求記録!$Z$6:$Z$3005,P$5,請求記録!$AF$6:$AF$3005,"保留中")&gt;0,"保留",IF(COUNTIFS(請求記録!$B$6:$B$3005,$A39,請求記録!$Z$6:$Z$3005,P$5)=0,"",SUMIFS(請求記録!$AE$6:$AE$3005,請求記録!$B$6:$B$3005,$A39,請求記録!$Z$6:$Z$3005,P$5))))</f>
        <v/>
      </c>
      <c r="Q39" s="19">
        <f>IF($A39="","",IF(COUNTIFS(請求記録!$B$6:$B$3005,$A39,請求記録!$Z$6:$Z$3005,Q$5,請求記録!$AF$6:$AF$3005,"保留中")&gt;0,"保留",IF(COUNTIFS(請求記録!$B$6:$B$3005,$A39,請求記録!$Z$6:$Z$3005,Q$5)=0,"",SUMIFS(請求記録!$AE$6:$AE$3005,請求記録!$B$6:$B$3005,$A39,請求記録!$Z$6:$Z$3005,Q$5))))</f>
        <v/>
      </c>
      <c r="R39" s="19">
        <f>IF($A39="","",IF(COUNTIFS(請求記録!$B$6:$B$3005,$A39,請求記録!$Z$6:$Z$3005,R$5,請求記録!$AF$6:$AF$3005,"保留中")&gt;0,"保留",IF(COUNTIFS(請求記録!$B$6:$B$3005,$A39,請求記録!$Z$6:$Z$3005,R$5)=0,"",SUMIFS(請求記録!$AE$6:$AE$3005,請求記録!$B$6:$B$3005,$A39,請求記録!$Z$6:$Z$3005,R$5))))</f>
        <v/>
      </c>
      <c r="S39" s="19">
        <f>IF($A39="","",IF(COUNTIFS(請求記録!$B$6:$B$3005,$A39,請求記録!$Z$6:$Z$3005,S$5,請求記録!$AF$6:$AF$3005,"保留中")&gt;0,"保留",IF(COUNTIFS(請求記録!$B$6:$B$3005,$A39,請求記録!$Z$6:$Z$3005,S$5)=0,"",SUMIFS(請求記録!$AE$6:$AE$3005,請求記録!$B$6:$B$3005,$A39,請求記録!$Z$6:$Z$3005,S$5))))</f>
        <v/>
      </c>
      <c r="T39" s="19">
        <f>IF($A39="","",IF(COUNTIFS(請求記録!$B$6:$B$3005,$A39,請求記録!$Z$6:$Z$3005,T$5,請求記録!$AF$6:$AF$3005,"保留中")&gt;0,"保留",IF(COUNTIFS(請求記録!$B$6:$B$3005,$A39,請求記録!$Z$6:$Z$3005,T$5)=0,"",SUMIFS(請求記録!$AE$6:$AE$3005,請求記録!$B$6:$B$3005,$A39,請求記録!$Z$6:$Z$3005,T$5))))</f>
        <v/>
      </c>
      <c r="U39" s="19">
        <f>IF($A39="","",IF(COUNTIFS(請求記録!$B$6:$B$3005,$A39,請求記録!$Z$6:$Z$3005,U$5,請求記録!$AF$6:$AF$3005,"保留中")&gt;0,"保留",IF(COUNTIFS(請求記録!$B$6:$B$3005,$A39,請求記録!$Z$6:$Z$3005,U$5)=0,"",SUMIFS(請求記録!$AE$6:$AE$3005,請求記録!$B$6:$B$3005,$A39,請求記録!$Z$6:$Z$3005,U$5))))</f>
        <v/>
      </c>
      <c r="V39" s="19">
        <f>IF($A39="","",IF(COUNTIFS(請求記録!$B$6:$B$3005,$A39,請求記録!$Z$6:$Z$3005,V$5,請求記録!$AF$6:$AF$3005,"保留中")&gt;0,"保留",IF(COUNTIFS(請求記録!$B$6:$B$3005,$A39,請求記録!$Z$6:$Z$3005,V$5)=0,"",SUMIFS(請求記録!$AE$6:$AE$3005,請求記録!$B$6:$B$3005,$A39,請求記録!$Z$6:$Z$3005,V$5))))</f>
        <v/>
      </c>
      <c r="W39" s="19">
        <f>IF($A39="","",IF(COUNTIFS(請求記録!$B$6:$B$3005,$A39,請求記録!$Z$6:$Z$3005,W$5,請求記録!$AF$6:$AF$3005,"保留中")&gt;0,"保留",IF(COUNTIFS(請求記録!$B$6:$B$3005,$A39,請求記録!$Z$6:$Z$3005,W$5)=0,"",SUMIFS(請求記録!$AE$6:$AE$3005,請求記録!$B$6:$B$3005,$A39,請求記録!$Z$6:$Z$3005,W$5))))</f>
        <v/>
      </c>
      <c r="X39" s="19">
        <f>IF($A39="","",IF(COUNTIFS(請求記録!$B$6:$B$3005,$A39,請求記録!$Z$6:$Z$3005,X$5,請求記録!$AF$6:$AF$3005,"保留中")&gt;0,"保留",IF(COUNTIFS(請求記録!$B$6:$B$3005,$A39,請求記録!$Z$6:$Z$3005,X$5)=0,"",SUMIFS(請求記録!$AE$6:$AE$3005,請求記録!$B$6:$B$3005,$A39,請求記録!$Z$6:$Z$3005,X$5))))</f>
        <v/>
      </c>
      <c r="Y39" s="19">
        <f>IF($A39="","",IF(COUNTIFS(請求記録!$B$6:$B$3005,$A39,請求記録!$Z$6:$Z$3005,Y$5,請求記録!$AF$6:$AF$3005,"保留中")&gt;0,"保留",IF(COUNTIFS(請求記録!$B$6:$B$3005,$A39,請求記録!$Z$6:$Z$3005,Y$5)=0,"",SUMIFS(請求記録!$AE$6:$AE$3005,請求記録!$B$6:$B$3005,$A39,請求記録!$Z$6:$Z$3005,Y$5))))</f>
        <v/>
      </c>
      <c r="Z39" s="19">
        <f>IF($A39="","",IF(COUNTIFS(請求記録!$B$6:$B$3005,$A39,請求記録!$Z$6:$Z$3005,Z$5,請求記録!$AF$6:$AF$3005,"保留中")&gt;0,"保留",IF(COUNTIFS(請求記録!$B$6:$B$3005,$A39,請求記録!$Z$6:$Z$3005,Z$5)=0,"",SUMIFS(請求記録!$AE$6:$AE$3005,請求記録!$B$6:$B$3005,$A39,請求記録!$Z$6:$Z$3005,Z$5))))</f>
        <v/>
      </c>
      <c r="AA39" s="19">
        <f>IF($A39="","",IF(COUNTIFS(請求記録!$B$6:$B$3005,$A39,請求記録!$Z$6:$Z$3005,AA$5,請求記録!$AF$6:$AF$3005,"保留中")&gt;0,"保留",IF(COUNTIFS(請求記録!$B$6:$B$3005,$A39,請求記録!$Z$6:$Z$3005,AA$5)=0,"",SUMIFS(請求記録!$AE$6:$AE$3005,請求記録!$B$6:$B$3005,$A39,請求記録!$Z$6:$Z$3005,AA$5))))</f>
        <v/>
      </c>
      <c r="AB39">
        <f>IF(職員マスタ!P39="保留中",職員マスタ!M39,"")</f>
        <v/>
      </c>
    </row>
    <row r="40">
      <c r="A40">
        <f>IF(職員マスタ!A40="","",職員マスタ!A40)</f>
        <v/>
      </c>
      <c r="B40">
        <f>IF($A40="","",職員マスタ!B40)</f>
        <v/>
      </c>
      <c r="C40">
        <f>IF($A40="","",職員マスタ!C40)</f>
        <v/>
      </c>
      <c r="D40" s="19">
        <f>IF($A40="","",IF(COUNTIFS(請求記録!$B$6:$B$3005,$A40,請求記録!$Z$6:$Z$3005,D$5,請求記録!$AF$6:$AF$3005,"保留中")&gt;0,"保留",IF(COUNTIFS(請求記録!$B$6:$B$3005,$A40,請求記録!$Z$6:$Z$3005,D$5)=0,"",SUMIFS(請求記録!$AE$6:$AE$3005,請求記録!$B$6:$B$3005,$A40,請求記録!$Z$6:$Z$3005,D$5))))</f>
        <v/>
      </c>
      <c r="E40" s="19">
        <f>IF($A40="","",IF(COUNTIFS(請求記録!$B$6:$B$3005,$A40,請求記録!$Z$6:$Z$3005,E$5,請求記録!$AF$6:$AF$3005,"保留中")&gt;0,"保留",IF(COUNTIFS(請求記録!$B$6:$B$3005,$A40,請求記録!$Z$6:$Z$3005,E$5)=0,"",SUMIFS(請求記録!$AE$6:$AE$3005,請求記録!$B$6:$B$3005,$A40,請求記録!$Z$6:$Z$3005,E$5))))</f>
        <v/>
      </c>
      <c r="F40" s="19">
        <f>IF($A40="","",IF(COUNTIFS(請求記録!$B$6:$B$3005,$A40,請求記録!$Z$6:$Z$3005,F$5,請求記録!$AF$6:$AF$3005,"保留中")&gt;0,"保留",IF(COUNTIFS(請求記録!$B$6:$B$3005,$A40,請求記録!$Z$6:$Z$3005,F$5)=0,"",SUMIFS(請求記録!$AE$6:$AE$3005,請求記録!$B$6:$B$3005,$A40,請求記録!$Z$6:$Z$3005,F$5))))</f>
        <v/>
      </c>
      <c r="G40" s="19">
        <f>IF($A40="","",IF(COUNTIFS(請求記録!$B$6:$B$3005,$A40,請求記録!$Z$6:$Z$3005,G$5,請求記録!$AF$6:$AF$3005,"保留中")&gt;0,"保留",IF(COUNTIFS(請求記録!$B$6:$B$3005,$A40,請求記録!$Z$6:$Z$3005,G$5)=0,"",SUMIFS(請求記録!$AE$6:$AE$3005,請求記録!$B$6:$B$3005,$A40,請求記録!$Z$6:$Z$3005,G$5))))</f>
        <v/>
      </c>
      <c r="H40" s="19">
        <f>IF($A40="","",IF(COUNTIFS(請求記録!$B$6:$B$3005,$A40,請求記録!$Z$6:$Z$3005,H$5,請求記録!$AF$6:$AF$3005,"保留中")&gt;0,"保留",IF(COUNTIFS(請求記録!$B$6:$B$3005,$A40,請求記録!$Z$6:$Z$3005,H$5)=0,"",SUMIFS(請求記録!$AE$6:$AE$3005,請求記録!$B$6:$B$3005,$A40,請求記録!$Z$6:$Z$3005,H$5))))</f>
        <v/>
      </c>
      <c r="I40" s="19">
        <f>IF($A40="","",IF(COUNTIFS(請求記録!$B$6:$B$3005,$A40,請求記録!$Z$6:$Z$3005,I$5,請求記録!$AF$6:$AF$3005,"保留中")&gt;0,"保留",IF(COUNTIFS(請求記録!$B$6:$B$3005,$A40,請求記録!$Z$6:$Z$3005,I$5)=0,"",SUMIFS(請求記録!$AE$6:$AE$3005,請求記録!$B$6:$B$3005,$A40,請求記録!$Z$6:$Z$3005,I$5))))</f>
        <v/>
      </c>
      <c r="J40" s="19">
        <f>IF($A40="","",IF(COUNTIFS(請求記録!$B$6:$B$3005,$A40,請求記録!$Z$6:$Z$3005,J$5,請求記録!$AF$6:$AF$3005,"保留中")&gt;0,"保留",IF(COUNTIFS(請求記録!$B$6:$B$3005,$A40,請求記録!$Z$6:$Z$3005,J$5)=0,"",SUMIFS(請求記録!$AE$6:$AE$3005,請求記録!$B$6:$B$3005,$A40,請求記録!$Z$6:$Z$3005,J$5))))</f>
        <v/>
      </c>
      <c r="K40" s="19">
        <f>IF($A40="","",IF(COUNTIFS(請求記録!$B$6:$B$3005,$A40,請求記録!$Z$6:$Z$3005,K$5,請求記録!$AF$6:$AF$3005,"保留中")&gt;0,"保留",IF(COUNTIFS(請求記録!$B$6:$B$3005,$A40,請求記録!$Z$6:$Z$3005,K$5)=0,"",SUMIFS(請求記録!$AE$6:$AE$3005,請求記録!$B$6:$B$3005,$A40,請求記録!$Z$6:$Z$3005,K$5))))</f>
        <v/>
      </c>
      <c r="L40" s="19">
        <f>IF($A40="","",IF(COUNTIFS(請求記録!$B$6:$B$3005,$A40,請求記録!$Z$6:$Z$3005,L$5,請求記録!$AF$6:$AF$3005,"保留中")&gt;0,"保留",IF(COUNTIFS(請求記録!$B$6:$B$3005,$A40,請求記録!$Z$6:$Z$3005,L$5)=0,"",SUMIFS(請求記録!$AE$6:$AE$3005,請求記録!$B$6:$B$3005,$A40,請求記録!$Z$6:$Z$3005,L$5))))</f>
        <v/>
      </c>
      <c r="M40" s="19">
        <f>IF($A40="","",IF(COUNTIFS(請求記録!$B$6:$B$3005,$A40,請求記録!$Z$6:$Z$3005,M$5,請求記録!$AF$6:$AF$3005,"保留中")&gt;0,"保留",IF(COUNTIFS(請求記録!$B$6:$B$3005,$A40,請求記録!$Z$6:$Z$3005,M$5)=0,"",SUMIFS(請求記録!$AE$6:$AE$3005,請求記録!$B$6:$B$3005,$A40,請求記録!$Z$6:$Z$3005,M$5))))</f>
        <v/>
      </c>
      <c r="N40" s="19">
        <f>IF($A40="","",IF(COUNTIFS(請求記録!$B$6:$B$3005,$A40,請求記録!$Z$6:$Z$3005,N$5,請求記録!$AF$6:$AF$3005,"保留中")&gt;0,"保留",IF(COUNTIFS(請求記録!$B$6:$B$3005,$A40,請求記録!$Z$6:$Z$3005,N$5)=0,"",SUMIFS(請求記録!$AE$6:$AE$3005,請求記録!$B$6:$B$3005,$A40,請求記録!$Z$6:$Z$3005,N$5))))</f>
        <v/>
      </c>
      <c r="O40" s="19">
        <f>IF($A40="","",IF(COUNTIFS(請求記録!$B$6:$B$3005,$A40,請求記録!$Z$6:$Z$3005,O$5,請求記録!$AF$6:$AF$3005,"保留中")&gt;0,"保留",IF(COUNTIFS(請求記録!$B$6:$B$3005,$A40,請求記録!$Z$6:$Z$3005,O$5)=0,"",SUMIFS(請求記録!$AE$6:$AE$3005,請求記録!$B$6:$B$3005,$A40,請求記録!$Z$6:$Z$3005,O$5))))</f>
        <v/>
      </c>
      <c r="P40" s="19">
        <f>IF($A40="","",IF(COUNTIFS(請求記録!$B$6:$B$3005,$A40,請求記録!$Z$6:$Z$3005,P$5,請求記録!$AF$6:$AF$3005,"保留中")&gt;0,"保留",IF(COUNTIFS(請求記録!$B$6:$B$3005,$A40,請求記録!$Z$6:$Z$3005,P$5)=0,"",SUMIFS(請求記録!$AE$6:$AE$3005,請求記録!$B$6:$B$3005,$A40,請求記録!$Z$6:$Z$3005,P$5))))</f>
        <v/>
      </c>
      <c r="Q40" s="19">
        <f>IF($A40="","",IF(COUNTIFS(請求記録!$B$6:$B$3005,$A40,請求記録!$Z$6:$Z$3005,Q$5,請求記録!$AF$6:$AF$3005,"保留中")&gt;0,"保留",IF(COUNTIFS(請求記録!$B$6:$B$3005,$A40,請求記録!$Z$6:$Z$3005,Q$5)=0,"",SUMIFS(請求記録!$AE$6:$AE$3005,請求記録!$B$6:$B$3005,$A40,請求記録!$Z$6:$Z$3005,Q$5))))</f>
        <v/>
      </c>
      <c r="R40" s="19">
        <f>IF($A40="","",IF(COUNTIFS(請求記録!$B$6:$B$3005,$A40,請求記録!$Z$6:$Z$3005,R$5,請求記録!$AF$6:$AF$3005,"保留中")&gt;0,"保留",IF(COUNTIFS(請求記録!$B$6:$B$3005,$A40,請求記録!$Z$6:$Z$3005,R$5)=0,"",SUMIFS(請求記録!$AE$6:$AE$3005,請求記録!$B$6:$B$3005,$A40,請求記録!$Z$6:$Z$3005,R$5))))</f>
        <v/>
      </c>
      <c r="S40" s="19">
        <f>IF($A40="","",IF(COUNTIFS(請求記録!$B$6:$B$3005,$A40,請求記録!$Z$6:$Z$3005,S$5,請求記録!$AF$6:$AF$3005,"保留中")&gt;0,"保留",IF(COUNTIFS(請求記録!$B$6:$B$3005,$A40,請求記録!$Z$6:$Z$3005,S$5)=0,"",SUMIFS(請求記録!$AE$6:$AE$3005,請求記録!$B$6:$B$3005,$A40,請求記録!$Z$6:$Z$3005,S$5))))</f>
        <v/>
      </c>
      <c r="T40" s="19">
        <f>IF($A40="","",IF(COUNTIFS(請求記録!$B$6:$B$3005,$A40,請求記録!$Z$6:$Z$3005,T$5,請求記録!$AF$6:$AF$3005,"保留中")&gt;0,"保留",IF(COUNTIFS(請求記録!$B$6:$B$3005,$A40,請求記録!$Z$6:$Z$3005,T$5)=0,"",SUMIFS(請求記録!$AE$6:$AE$3005,請求記録!$B$6:$B$3005,$A40,請求記録!$Z$6:$Z$3005,T$5))))</f>
        <v/>
      </c>
      <c r="U40" s="19">
        <f>IF($A40="","",IF(COUNTIFS(請求記録!$B$6:$B$3005,$A40,請求記録!$Z$6:$Z$3005,U$5,請求記録!$AF$6:$AF$3005,"保留中")&gt;0,"保留",IF(COUNTIFS(請求記録!$B$6:$B$3005,$A40,請求記録!$Z$6:$Z$3005,U$5)=0,"",SUMIFS(請求記録!$AE$6:$AE$3005,請求記録!$B$6:$B$3005,$A40,請求記録!$Z$6:$Z$3005,U$5))))</f>
        <v/>
      </c>
      <c r="V40" s="19">
        <f>IF($A40="","",IF(COUNTIFS(請求記録!$B$6:$B$3005,$A40,請求記録!$Z$6:$Z$3005,V$5,請求記録!$AF$6:$AF$3005,"保留中")&gt;0,"保留",IF(COUNTIFS(請求記録!$B$6:$B$3005,$A40,請求記録!$Z$6:$Z$3005,V$5)=0,"",SUMIFS(請求記録!$AE$6:$AE$3005,請求記録!$B$6:$B$3005,$A40,請求記録!$Z$6:$Z$3005,V$5))))</f>
        <v/>
      </c>
      <c r="W40" s="19">
        <f>IF($A40="","",IF(COUNTIFS(請求記録!$B$6:$B$3005,$A40,請求記録!$Z$6:$Z$3005,W$5,請求記録!$AF$6:$AF$3005,"保留中")&gt;0,"保留",IF(COUNTIFS(請求記録!$B$6:$B$3005,$A40,請求記録!$Z$6:$Z$3005,W$5)=0,"",SUMIFS(請求記録!$AE$6:$AE$3005,請求記録!$B$6:$B$3005,$A40,請求記録!$Z$6:$Z$3005,W$5))))</f>
        <v/>
      </c>
      <c r="X40" s="19">
        <f>IF($A40="","",IF(COUNTIFS(請求記録!$B$6:$B$3005,$A40,請求記録!$Z$6:$Z$3005,X$5,請求記録!$AF$6:$AF$3005,"保留中")&gt;0,"保留",IF(COUNTIFS(請求記録!$B$6:$B$3005,$A40,請求記録!$Z$6:$Z$3005,X$5)=0,"",SUMIFS(請求記録!$AE$6:$AE$3005,請求記録!$B$6:$B$3005,$A40,請求記録!$Z$6:$Z$3005,X$5))))</f>
        <v/>
      </c>
      <c r="Y40" s="19">
        <f>IF($A40="","",IF(COUNTIFS(請求記録!$B$6:$B$3005,$A40,請求記録!$Z$6:$Z$3005,Y$5,請求記録!$AF$6:$AF$3005,"保留中")&gt;0,"保留",IF(COUNTIFS(請求記録!$B$6:$B$3005,$A40,請求記録!$Z$6:$Z$3005,Y$5)=0,"",SUMIFS(請求記録!$AE$6:$AE$3005,請求記録!$B$6:$B$3005,$A40,請求記録!$Z$6:$Z$3005,Y$5))))</f>
        <v/>
      </c>
      <c r="Z40" s="19">
        <f>IF($A40="","",IF(COUNTIFS(請求記録!$B$6:$B$3005,$A40,請求記録!$Z$6:$Z$3005,Z$5,請求記録!$AF$6:$AF$3005,"保留中")&gt;0,"保留",IF(COUNTIFS(請求記録!$B$6:$B$3005,$A40,請求記録!$Z$6:$Z$3005,Z$5)=0,"",SUMIFS(請求記録!$AE$6:$AE$3005,請求記録!$B$6:$B$3005,$A40,請求記録!$Z$6:$Z$3005,Z$5))))</f>
        <v/>
      </c>
      <c r="AA40" s="19">
        <f>IF($A40="","",IF(COUNTIFS(請求記録!$B$6:$B$3005,$A40,請求記録!$Z$6:$Z$3005,AA$5,請求記録!$AF$6:$AF$3005,"保留中")&gt;0,"保留",IF(COUNTIFS(請求記録!$B$6:$B$3005,$A40,請求記録!$Z$6:$Z$3005,AA$5)=0,"",SUMIFS(請求記録!$AE$6:$AE$3005,請求記録!$B$6:$B$3005,$A40,請求記録!$Z$6:$Z$3005,AA$5))))</f>
        <v/>
      </c>
      <c r="AB40">
        <f>IF(職員マスタ!P40="保留中",職員マスタ!M40,"")</f>
        <v/>
      </c>
    </row>
    <row r="41">
      <c r="A41">
        <f>IF(職員マスタ!A41="","",職員マスタ!A41)</f>
        <v/>
      </c>
      <c r="B41">
        <f>IF($A41="","",職員マスタ!B41)</f>
        <v/>
      </c>
      <c r="C41">
        <f>IF($A41="","",職員マスタ!C41)</f>
        <v/>
      </c>
      <c r="D41" s="19">
        <f>IF($A41="","",IF(COUNTIFS(請求記録!$B$6:$B$3005,$A41,請求記録!$Z$6:$Z$3005,D$5,請求記録!$AF$6:$AF$3005,"保留中")&gt;0,"保留",IF(COUNTIFS(請求記録!$B$6:$B$3005,$A41,請求記録!$Z$6:$Z$3005,D$5)=0,"",SUMIFS(請求記録!$AE$6:$AE$3005,請求記録!$B$6:$B$3005,$A41,請求記録!$Z$6:$Z$3005,D$5))))</f>
        <v/>
      </c>
      <c r="E41" s="19">
        <f>IF($A41="","",IF(COUNTIFS(請求記録!$B$6:$B$3005,$A41,請求記録!$Z$6:$Z$3005,E$5,請求記録!$AF$6:$AF$3005,"保留中")&gt;0,"保留",IF(COUNTIFS(請求記録!$B$6:$B$3005,$A41,請求記録!$Z$6:$Z$3005,E$5)=0,"",SUMIFS(請求記録!$AE$6:$AE$3005,請求記録!$B$6:$B$3005,$A41,請求記録!$Z$6:$Z$3005,E$5))))</f>
        <v/>
      </c>
      <c r="F41" s="19">
        <f>IF($A41="","",IF(COUNTIFS(請求記録!$B$6:$B$3005,$A41,請求記録!$Z$6:$Z$3005,F$5,請求記録!$AF$6:$AF$3005,"保留中")&gt;0,"保留",IF(COUNTIFS(請求記録!$B$6:$B$3005,$A41,請求記録!$Z$6:$Z$3005,F$5)=0,"",SUMIFS(請求記録!$AE$6:$AE$3005,請求記録!$B$6:$B$3005,$A41,請求記録!$Z$6:$Z$3005,F$5))))</f>
        <v/>
      </c>
      <c r="G41" s="19">
        <f>IF($A41="","",IF(COUNTIFS(請求記録!$B$6:$B$3005,$A41,請求記録!$Z$6:$Z$3005,G$5,請求記録!$AF$6:$AF$3005,"保留中")&gt;0,"保留",IF(COUNTIFS(請求記録!$B$6:$B$3005,$A41,請求記録!$Z$6:$Z$3005,G$5)=0,"",SUMIFS(請求記録!$AE$6:$AE$3005,請求記録!$B$6:$B$3005,$A41,請求記録!$Z$6:$Z$3005,G$5))))</f>
        <v/>
      </c>
      <c r="H41" s="19">
        <f>IF($A41="","",IF(COUNTIFS(請求記録!$B$6:$B$3005,$A41,請求記録!$Z$6:$Z$3005,H$5,請求記録!$AF$6:$AF$3005,"保留中")&gt;0,"保留",IF(COUNTIFS(請求記録!$B$6:$B$3005,$A41,請求記録!$Z$6:$Z$3005,H$5)=0,"",SUMIFS(請求記録!$AE$6:$AE$3005,請求記録!$B$6:$B$3005,$A41,請求記録!$Z$6:$Z$3005,H$5))))</f>
        <v/>
      </c>
      <c r="I41" s="19">
        <f>IF($A41="","",IF(COUNTIFS(請求記録!$B$6:$B$3005,$A41,請求記録!$Z$6:$Z$3005,I$5,請求記録!$AF$6:$AF$3005,"保留中")&gt;0,"保留",IF(COUNTIFS(請求記録!$B$6:$B$3005,$A41,請求記録!$Z$6:$Z$3005,I$5)=0,"",SUMIFS(請求記録!$AE$6:$AE$3005,請求記録!$B$6:$B$3005,$A41,請求記録!$Z$6:$Z$3005,I$5))))</f>
        <v/>
      </c>
      <c r="J41" s="19">
        <f>IF($A41="","",IF(COUNTIFS(請求記録!$B$6:$B$3005,$A41,請求記録!$Z$6:$Z$3005,J$5,請求記録!$AF$6:$AF$3005,"保留中")&gt;0,"保留",IF(COUNTIFS(請求記録!$B$6:$B$3005,$A41,請求記録!$Z$6:$Z$3005,J$5)=0,"",SUMIFS(請求記録!$AE$6:$AE$3005,請求記録!$B$6:$B$3005,$A41,請求記録!$Z$6:$Z$3005,J$5))))</f>
        <v/>
      </c>
      <c r="K41" s="19">
        <f>IF($A41="","",IF(COUNTIFS(請求記録!$B$6:$B$3005,$A41,請求記録!$Z$6:$Z$3005,K$5,請求記録!$AF$6:$AF$3005,"保留中")&gt;0,"保留",IF(COUNTIFS(請求記録!$B$6:$B$3005,$A41,請求記録!$Z$6:$Z$3005,K$5)=0,"",SUMIFS(請求記録!$AE$6:$AE$3005,請求記録!$B$6:$B$3005,$A41,請求記録!$Z$6:$Z$3005,K$5))))</f>
        <v/>
      </c>
      <c r="L41" s="19">
        <f>IF($A41="","",IF(COUNTIFS(請求記録!$B$6:$B$3005,$A41,請求記録!$Z$6:$Z$3005,L$5,請求記録!$AF$6:$AF$3005,"保留中")&gt;0,"保留",IF(COUNTIFS(請求記録!$B$6:$B$3005,$A41,請求記録!$Z$6:$Z$3005,L$5)=0,"",SUMIFS(請求記録!$AE$6:$AE$3005,請求記録!$B$6:$B$3005,$A41,請求記録!$Z$6:$Z$3005,L$5))))</f>
        <v/>
      </c>
      <c r="M41" s="19">
        <f>IF($A41="","",IF(COUNTIFS(請求記録!$B$6:$B$3005,$A41,請求記録!$Z$6:$Z$3005,M$5,請求記録!$AF$6:$AF$3005,"保留中")&gt;0,"保留",IF(COUNTIFS(請求記録!$B$6:$B$3005,$A41,請求記録!$Z$6:$Z$3005,M$5)=0,"",SUMIFS(請求記録!$AE$6:$AE$3005,請求記録!$B$6:$B$3005,$A41,請求記録!$Z$6:$Z$3005,M$5))))</f>
        <v/>
      </c>
      <c r="N41" s="19">
        <f>IF($A41="","",IF(COUNTIFS(請求記録!$B$6:$B$3005,$A41,請求記録!$Z$6:$Z$3005,N$5,請求記録!$AF$6:$AF$3005,"保留中")&gt;0,"保留",IF(COUNTIFS(請求記録!$B$6:$B$3005,$A41,請求記録!$Z$6:$Z$3005,N$5)=0,"",SUMIFS(請求記録!$AE$6:$AE$3005,請求記録!$B$6:$B$3005,$A41,請求記録!$Z$6:$Z$3005,N$5))))</f>
        <v/>
      </c>
      <c r="O41" s="19">
        <f>IF($A41="","",IF(COUNTIFS(請求記録!$B$6:$B$3005,$A41,請求記録!$Z$6:$Z$3005,O$5,請求記録!$AF$6:$AF$3005,"保留中")&gt;0,"保留",IF(COUNTIFS(請求記録!$B$6:$B$3005,$A41,請求記録!$Z$6:$Z$3005,O$5)=0,"",SUMIFS(請求記録!$AE$6:$AE$3005,請求記録!$B$6:$B$3005,$A41,請求記録!$Z$6:$Z$3005,O$5))))</f>
        <v/>
      </c>
      <c r="P41" s="19">
        <f>IF($A41="","",IF(COUNTIFS(請求記録!$B$6:$B$3005,$A41,請求記録!$Z$6:$Z$3005,P$5,請求記録!$AF$6:$AF$3005,"保留中")&gt;0,"保留",IF(COUNTIFS(請求記録!$B$6:$B$3005,$A41,請求記録!$Z$6:$Z$3005,P$5)=0,"",SUMIFS(請求記録!$AE$6:$AE$3005,請求記録!$B$6:$B$3005,$A41,請求記録!$Z$6:$Z$3005,P$5))))</f>
        <v/>
      </c>
      <c r="Q41" s="19">
        <f>IF($A41="","",IF(COUNTIFS(請求記録!$B$6:$B$3005,$A41,請求記録!$Z$6:$Z$3005,Q$5,請求記録!$AF$6:$AF$3005,"保留中")&gt;0,"保留",IF(COUNTIFS(請求記録!$B$6:$B$3005,$A41,請求記録!$Z$6:$Z$3005,Q$5)=0,"",SUMIFS(請求記録!$AE$6:$AE$3005,請求記録!$B$6:$B$3005,$A41,請求記録!$Z$6:$Z$3005,Q$5))))</f>
        <v/>
      </c>
      <c r="R41" s="19">
        <f>IF($A41="","",IF(COUNTIFS(請求記録!$B$6:$B$3005,$A41,請求記録!$Z$6:$Z$3005,R$5,請求記録!$AF$6:$AF$3005,"保留中")&gt;0,"保留",IF(COUNTIFS(請求記録!$B$6:$B$3005,$A41,請求記録!$Z$6:$Z$3005,R$5)=0,"",SUMIFS(請求記録!$AE$6:$AE$3005,請求記録!$B$6:$B$3005,$A41,請求記録!$Z$6:$Z$3005,R$5))))</f>
        <v/>
      </c>
      <c r="S41" s="19">
        <f>IF($A41="","",IF(COUNTIFS(請求記録!$B$6:$B$3005,$A41,請求記録!$Z$6:$Z$3005,S$5,請求記録!$AF$6:$AF$3005,"保留中")&gt;0,"保留",IF(COUNTIFS(請求記録!$B$6:$B$3005,$A41,請求記録!$Z$6:$Z$3005,S$5)=0,"",SUMIFS(請求記録!$AE$6:$AE$3005,請求記録!$B$6:$B$3005,$A41,請求記録!$Z$6:$Z$3005,S$5))))</f>
        <v/>
      </c>
      <c r="T41" s="19">
        <f>IF($A41="","",IF(COUNTIFS(請求記録!$B$6:$B$3005,$A41,請求記録!$Z$6:$Z$3005,T$5,請求記録!$AF$6:$AF$3005,"保留中")&gt;0,"保留",IF(COUNTIFS(請求記録!$B$6:$B$3005,$A41,請求記録!$Z$6:$Z$3005,T$5)=0,"",SUMIFS(請求記録!$AE$6:$AE$3005,請求記録!$B$6:$B$3005,$A41,請求記録!$Z$6:$Z$3005,T$5))))</f>
        <v/>
      </c>
      <c r="U41" s="19">
        <f>IF($A41="","",IF(COUNTIFS(請求記録!$B$6:$B$3005,$A41,請求記録!$Z$6:$Z$3005,U$5,請求記録!$AF$6:$AF$3005,"保留中")&gt;0,"保留",IF(COUNTIFS(請求記録!$B$6:$B$3005,$A41,請求記録!$Z$6:$Z$3005,U$5)=0,"",SUMIFS(請求記録!$AE$6:$AE$3005,請求記録!$B$6:$B$3005,$A41,請求記録!$Z$6:$Z$3005,U$5))))</f>
        <v/>
      </c>
      <c r="V41" s="19">
        <f>IF($A41="","",IF(COUNTIFS(請求記録!$B$6:$B$3005,$A41,請求記録!$Z$6:$Z$3005,V$5,請求記録!$AF$6:$AF$3005,"保留中")&gt;0,"保留",IF(COUNTIFS(請求記録!$B$6:$B$3005,$A41,請求記録!$Z$6:$Z$3005,V$5)=0,"",SUMIFS(請求記録!$AE$6:$AE$3005,請求記録!$B$6:$B$3005,$A41,請求記録!$Z$6:$Z$3005,V$5))))</f>
        <v/>
      </c>
      <c r="W41" s="19">
        <f>IF($A41="","",IF(COUNTIFS(請求記録!$B$6:$B$3005,$A41,請求記録!$Z$6:$Z$3005,W$5,請求記録!$AF$6:$AF$3005,"保留中")&gt;0,"保留",IF(COUNTIFS(請求記録!$B$6:$B$3005,$A41,請求記録!$Z$6:$Z$3005,W$5)=0,"",SUMIFS(請求記録!$AE$6:$AE$3005,請求記録!$B$6:$B$3005,$A41,請求記録!$Z$6:$Z$3005,W$5))))</f>
        <v/>
      </c>
      <c r="X41" s="19">
        <f>IF($A41="","",IF(COUNTIFS(請求記録!$B$6:$B$3005,$A41,請求記録!$Z$6:$Z$3005,X$5,請求記録!$AF$6:$AF$3005,"保留中")&gt;0,"保留",IF(COUNTIFS(請求記録!$B$6:$B$3005,$A41,請求記録!$Z$6:$Z$3005,X$5)=0,"",SUMIFS(請求記録!$AE$6:$AE$3005,請求記録!$B$6:$B$3005,$A41,請求記録!$Z$6:$Z$3005,X$5))))</f>
        <v/>
      </c>
      <c r="Y41" s="19">
        <f>IF($A41="","",IF(COUNTIFS(請求記録!$B$6:$B$3005,$A41,請求記録!$Z$6:$Z$3005,Y$5,請求記録!$AF$6:$AF$3005,"保留中")&gt;0,"保留",IF(COUNTIFS(請求記録!$B$6:$B$3005,$A41,請求記録!$Z$6:$Z$3005,Y$5)=0,"",SUMIFS(請求記録!$AE$6:$AE$3005,請求記録!$B$6:$B$3005,$A41,請求記録!$Z$6:$Z$3005,Y$5))))</f>
        <v/>
      </c>
      <c r="Z41" s="19">
        <f>IF($A41="","",IF(COUNTIFS(請求記録!$B$6:$B$3005,$A41,請求記録!$Z$6:$Z$3005,Z$5,請求記録!$AF$6:$AF$3005,"保留中")&gt;0,"保留",IF(COUNTIFS(請求記録!$B$6:$B$3005,$A41,請求記録!$Z$6:$Z$3005,Z$5)=0,"",SUMIFS(請求記録!$AE$6:$AE$3005,請求記録!$B$6:$B$3005,$A41,請求記録!$Z$6:$Z$3005,Z$5))))</f>
        <v/>
      </c>
      <c r="AA41" s="19">
        <f>IF($A41="","",IF(COUNTIFS(請求記録!$B$6:$B$3005,$A41,請求記録!$Z$6:$Z$3005,AA$5,請求記録!$AF$6:$AF$3005,"保留中")&gt;0,"保留",IF(COUNTIFS(請求記録!$B$6:$B$3005,$A41,請求記録!$Z$6:$Z$3005,AA$5)=0,"",SUMIFS(請求記録!$AE$6:$AE$3005,請求記録!$B$6:$B$3005,$A41,請求記録!$Z$6:$Z$3005,AA$5))))</f>
        <v/>
      </c>
      <c r="AB41">
        <f>IF(職員マスタ!P41="保留中",職員マスタ!M41,"")</f>
        <v/>
      </c>
    </row>
    <row r="42">
      <c r="A42">
        <f>IF(職員マスタ!A42="","",職員マスタ!A42)</f>
        <v/>
      </c>
      <c r="B42">
        <f>IF($A42="","",職員マスタ!B42)</f>
        <v/>
      </c>
      <c r="C42">
        <f>IF($A42="","",職員マスタ!C42)</f>
        <v/>
      </c>
      <c r="D42" s="19">
        <f>IF($A42="","",IF(COUNTIFS(請求記録!$B$6:$B$3005,$A42,請求記録!$Z$6:$Z$3005,D$5,請求記録!$AF$6:$AF$3005,"保留中")&gt;0,"保留",IF(COUNTIFS(請求記録!$B$6:$B$3005,$A42,請求記録!$Z$6:$Z$3005,D$5)=0,"",SUMIFS(請求記録!$AE$6:$AE$3005,請求記録!$B$6:$B$3005,$A42,請求記録!$Z$6:$Z$3005,D$5))))</f>
        <v/>
      </c>
      <c r="E42" s="19">
        <f>IF($A42="","",IF(COUNTIFS(請求記録!$B$6:$B$3005,$A42,請求記録!$Z$6:$Z$3005,E$5,請求記録!$AF$6:$AF$3005,"保留中")&gt;0,"保留",IF(COUNTIFS(請求記録!$B$6:$B$3005,$A42,請求記録!$Z$6:$Z$3005,E$5)=0,"",SUMIFS(請求記録!$AE$6:$AE$3005,請求記録!$B$6:$B$3005,$A42,請求記録!$Z$6:$Z$3005,E$5))))</f>
        <v/>
      </c>
      <c r="F42" s="19">
        <f>IF($A42="","",IF(COUNTIFS(請求記録!$B$6:$B$3005,$A42,請求記録!$Z$6:$Z$3005,F$5,請求記録!$AF$6:$AF$3005,"保留中")&gt;0,"保留",IF(COUNTIFS(請求記録!$B$6:$B$3005,$A42,請求記録!$Z$6:$Z$3005,F$5)=0,"",SUMIFS(請求記録!$AE$6:$AE$3005,請求記録!$B$6:$B$3005,$A42,請求記録!$Z$6:$Z$3005,F$5))))</f>
        <v/>
      </c>
      <c r="G42" s="19">
        <f>IF($A42="","",IF(COUNTIFS(請求記録!$B$6:$B$3005,$A42,請求記録!$Z$6:$Z$3005,G$5,請求記録!$AF$6:$AF$3005,"保留中")&gt;0,"保留",IF(COUNTIFS(請求記録!$B$6:$B$3005,$A42,請求記録!$Z$6:$Z$3005,G$5)=0,"",SUMIFS(請求記録!$AE$6:$AE$3005,請求記録!$B$6:$B$3005,$A42,請求記録!$Z$6:$Z$3005,G$5))))</f>
        <v/>
      </c>
      <c r="H42" s="19">
        <f>IF($A42="","",IF(COUNTIFS(請求記録!$B$6:$B$3005,$A42,請求記録!$Z$6:$Z$3005,H$5,請求記録!$AF$6:$AF$3005,"保留中")&gt;0,"保留",IF(COUNTIFS(請求記録!$B$6:$B$3005,$A42,請求記録!$Z$6:$Z$3005,H$5)=0,"",SUMIFS(請求記録!$AE$6:$AE$3005,請求記録!$B$6:$B$3005,$A42,請求記録!$Z$6:$Z$3005,H$5))))</f>
        <v/>
      </c>
      <c r="I42" s="19">
        <f>IF($A42="","",IF(COUNTIFS(請求記録!$B$6:$B$3005,$A42,請求記録!$Z$6:$Z$3005,I$5,請求記録!$AF$6:$AF$3005,"保留中")&gt;0,"保留",IF(COUNTIFS(請求記録!$B$6:$B$3005,$A42,請求記録!$Z$6:$Z$3005,I$5)=0,"",SUMIFS(請求記録!$AE$6:$AE$3005,請求記録!$B$6:$B$3005,$A42,請求記録!$Z$6:$Z$3005,I$5))))</f>
        <v/>
      </c>
      <c r="J42" s="19">
        <f>IF($A42="","",IF(COUNTIFS(請求記録!$B$6:$B$3005,$A42,請求記録!$Z$6:$Z$3005,J$5,請求記録!$AF$6:$AF$3005,"保留中")&gt;0,"保留",IF(COUNTIFS(請求記録!$B$6:$B$3005,$A42,請求記録!$Z$6:$Z$3005,J$5)=0,"",SUMIFS(請求記録!$AE$6:$AE$3005,請求記録!$B$6:$B$3005,$A42,請求記録!$Z$6:$Z$3005,J$5))))</f>
        <v/>
      </c>
      <c r="K42" s="19">
        <f>IF($A42="","",IF(COUNTIFS(請求記録!$B$6:$B$3005,$A42,請求記録!$Z$6:$Z$3005,K$5,請求記録!$AF$6:$AF$3005,"保留中")&gt;0,"保留",IF(COUNTIFS(請求記録!$B$6:$B$3005,$A42,請求記録!$Z$6:$Z$3005,K$5)=0,"",SUMIFS(請求記録!$AE$6:$AE$3005,請求記録!$B$6:$B$3005,$A42,請求記録!$Z$6:$Z$3005,K$5))))</f>
        <v/>
      </c>
      <c r="L42" s="19">
        <f>IF($A42="","",IF(COUNTIFS(請求記録!$B$6:$B$3005,$A42,請求記録!$Z$6:$Z$3005,L$5,請求記録!$AF$6:$AF$3005,"保留中")&gt;0,"保留",IF(COUNTIFS(請求記録!$B$6:$B$3005,$A42,請求記録!$Z$6:$Z$3005,L$5)=0,"",SUMIFS(請求記録!$AE$6:$AE$3005,請求記録!$B$6:$B$3005,$A42,請求記録!$Z$6:$Z$3005,L$5))))</f>
        <v/>
      </c>
      <c r="M42" s="19">
        <f>IF($A42="","",IF(COUNTIFS(請求記録!$B$6:$B$3005,$A42,請求記録!$Z$6:$Z$3005,M$5,請求記録!$AF$6:$AF$3005,"保留中")&gt;0,"保留",IF(COUNTIFS(請求記録!$B$6:$B$3005,$A42,請求記録!$Z$6:$Z$3005,M$5)=0,"",SUMIFS(請求記録!$AE$6:$AE$3005,請求記録!$B$6:$B$3005,$A42,請求記録!$Z$6:$Z$3005,M$5))))</f>
        <v/>
      </c>
      <c r="N42" s="19">
        <f>IF($A42="","",IF(COUNTIFS(請求記録!$B$6:$B$3005,$A42,請求記録!$Z$6:$Z$3005,N$5,請求記録!$AF$6:$AF$3005,"保留中")&gt;0,"保留",IF(COUNTIFS(請求記録!$B$6:$B$3005,$A42,請求記録!$Z$6:$Z$3005,N$5)=0,"",SUMIFS(請求記録!$AE$6:$AE$3005,請求記録!$B$6:$B$3005,$A42,請求記録!$Z$6:$Z$3005,N$5))))</f>
        <v/>
      </c>
      <c r="O42" s="19">
        <f>IF($A42="","",IF(COUNTIFS(請求記録!$B$6:$B$3005,$A42,請求記録!$Z$6:$Z$3005,O$5,請求記録!$AF$6:$AF$3005,"保留中")&gt;0,"保留",IF(COUNTIFS(請求記録!$B$6:$B$3005,$A42,請求記録!$Z$6:$Z$3005,O$5)=0,"",SUMIFS(請求記録!$AE$6:$AE$3005,請求記録!$B$6:$B$3005,$A42,請求記録!$Z$6:$Z$3005,O$5))))</f>
        <v/>
      </c>
      <c r="P42" s="19">
        <f>IF($A42="","",IF(COUNTIFS(請求記録!$B$6:$B$3005,$A42,請求記録!$Z$6:$Z$3005,P$5,請求記録!$AF$6:$AF$3005,"保留中")&gt;0,"保留",IF(COUNTIFS(請求記録!$B$6:$B$3005,$A42,請求記録!$Z$6:$Z$3005,P$5)=0,"",SUMIFS(請求記録!$AE$6:$AE$3005,請求記録!$B$6:$B$3005,$A42,請求記録!$Z$6:$Z$3005,P$5))))</f>
        <v/>
      </c>
      <c r="Q42" s="19">
        <f>IF($A42="","",IF(COUNTIFS(請求記録!$B$6:$B$3005,$A42,請求記録!$Z$6:$Z$3005,Q$5,請求記録!$AF$6:$AF$3005,"保留中")&gt;0,"保留",IF(COUNTIFS(請求記録!$B$6:$B$3005,$A42,請求記録!$Z$6:$Z$3005,Q$5)=0,"",SUMIFS(請求記録!$AE$6:$AE$3005,請求記録!$B$6:$B$3005,$A42,請求記録!$Z$6:$Z$3005,Q$5))))</f>
        <v/>
      </c>
      <c r="R42" s="19">
        <f>IF($A42="","",IF(COUNTIFS(請求記録!$B$6:$B$3005,$A42,請求記録!$Z$6:$Z$3005,R$5,請求記録!$AF$6:$AF$3005,"保留中")&gt;0,"保留",IF(COUNTIFS(請求記録!$B$6:$B$3005,$A42,請求記録!$Z$6:$Z$3005,R$5)=0,"",SUMIFS(請求記録!$AE$6:$AE$3005,請求記録!$B$6:$B$3005,$A42,請求記録!$Z$6:$Z$3005,R$5))))</f>
        <v/>
      </c>
      <c r="S42" s="19">
        <f>IF($A42="","",IF(COUNTIFS(請求記録!$B$6:$B$3005,$A42,請求記録!$Z$6:$Z$3005,S$5,請求記録!$AF$6:$AF$3005,"保留中")&gt;0,"保留",IF(COUNTIFS(請求記録!$B$6:$B$3005,$A42,請求記録!$Z$6:$Z$3005,S$5)=0,"",SUMIFS(請求記録!$AE$6:$AE$3005,請求記録!$B$6:$B$3005,$A42,請求記録!$Z$6:$Z$3005,S$5))))</f>
        <v/>
      </c>
      <c r="T42" s="19">
        <f>IF($A42="","",IF(COUNTIFS(請求記録!$B$6:$B$3005,$A42,請求記録!$Z$6:$Z$3005,T$5,請求記録!$AF$6:$AF$3005,"保留中")&gt;0,"保留",IF(COUNTIFS(請求記録!$B$6:$B$3005,$A42,請求記録!$Z$6:$Z$3005,T$5)=0,"",SUMIFS(請求記録!$AE$6:$AE$3005,請求記録!$B$6:$B$3005,$A42,請求記録!$Z$6:$Z$3005,T$5))))</f>
        <v/>
      </c>
      <c r="U42" s="19">
        <f>IF($A42="","",IF(COUNTIFS(請求記録!$B$6:$B$3005,$A42,請求記録!$Z$6:$Z$3005,U$5,請求記録!$AF$6:$AF$3005,"保留中")&gt;0,"保留",IF(COUNTIFS(請求記録!$B$6:$B$3005,$A42,請求記録!$Z$6:$Z$3005,U$5)=0,"",SUMIFS(請求記録!$AE$6:$AE$3005,請求記録!$B$6:$B$3005,$A42,請求記録!$Z$6:$Z$3005,U$5))))</f>
        <v/>
      </c>
      <c r="V42" s="19">
        <f>IF($A42="","",IF(COUNTIFS(請求記録!$B$6:$B$3005,$A42,請求記録!$Z$6:$Z$3005,V$5,請求記録!$AF$6:$AF$3005,"保留中")&gt;0,"保留",IF(COUNTIFS(請求記録!$B$6:$B$3005,$A42,請求記録!$Z$6:$Z$3005,V$5)=0,"",SUMIFS(請求記録!$AE$6:$AE$3005,請求記録!$B$6:$B$3005,$A42,請求記録!$Z$6:$Z$3005,V$5))))</f>
        <v/>
      </c>
      <c r="W42" s="19">
        <f>IF($A42="","",IF(COUNTIFS(請求記録!$B$6:$B$3005,$A42,請求記録!$Z$6:$Z$3005,W$5,請求記録!$AF$6:$AF$3005,"保留中")&gt;0,"保留",IF(COUNTIFS(請求記録!$B$6:$B$3005,$A42,請求記録!$Z$6:$Z$3005,W$5)=0,"",SUMIFS(請求記録!$AE$6:$AE$3005,請求記録!$B$6:$B$3005,$A42,請求記録!$Z$6:$Z$3005,W$5))))</f>
        <v/>
      </c>
      <c r="X42" s="19">
        <f>IF($A42="","",IF(COUNTIFS(請求記録!$B$6:$B$3005,$A42,請求記録!$Z$6:$Z$3005,X$5,請求記録!$AF$6:$AF$3005,"保留中")&gt;0,"保留",IF(COUNTIFS(請求記録!$B$6:$B$3005,$A42,請求記録!$Z$6:$Z$3005,X$5)=0,"",SUMIFS(請求記録!$AE$6:$AE$3005,請求記録!$B$6:$B$3005,$A42,請求記録!$Z$6:$Z$3005,X$5))))</f>
        <v/>
      </c>
      <c r="Y42" s="19">
        <f>IF($A42="","",IF(COUNTIFS(請求記録!$B$6:$B$3005,$A42,請求記録!$Z$6:$Z$3005,Y$5,請求記録!$AF$6:$AF$3005,"保留中")&gt;0,"保留",IF(COUNTIFS(請求記録!$B$6:$B$3005,$A42,請求記録!$Z$6:$Z$3005,Y$5)=0,"",SUMIFS(請求記録!$AE$6:$AE$3005,請求記録!$B$6:$B$3005,$A42,請求記録!$Z$6:$Z$3005,Y$5))))</f>
        <v/>
      </c>
      <c r="Z42" s="19">
        <f>IF($A42="","",IF(COUNTIFS(請求記録!$B$6:$B$3005,$A42,請求記録!$Z$6:$Z$3005,Z$5,請求記録!$AF$6:$AF$3005,"保留中")&gt;0,"保留",IF(COUNTIFS(請求記録!$B$6:$B$3005,$A42,請求記録!$Z$6:$Z$3005,Z$5)=0,"",SUMIFS(請求記録!$AE$6:$AE$3005,請求記録!$B$6:$B$3005,$A42,請求記録!$Z$6:$Z$3005,Z$5))))</f>
        <v/>
      </c>
      <c r="AA42" s="19">
        <f>IF($A42="","",IF(COUNTIFS(請求記録!$B$6:$B$3005,$A42,請求記録!$Z$6:$Z$3005,AA$5,請求記録!$AF$6:$AF$3005,"保留中")&gt;0,"保留",IF(COUNTIFS(請求記録!$B$6:$B$3005,$A42,請求記録!$Z$6:$Z$3005,AA$5)=0,"",SUMIFS(請求記録!$AE$6:$AE$3005,請求記録!$B$6:$B$3005,$A42,請求記録!$Z$6:$Z$3005,AA$5))))</f>
        <v/>
      </c>
      <c r="AB42">
        <f>IF(職員マスタ!P42="保留中",職員マスタ!M42,"")</f>
        <v/>
      </c>
    </row>
    <row r="43">
      <c r="A43">
        <f>IF(職員マスタ!A43="","",職員マスタ!A43)</f>
        <v/>
      </c>
      <c r="B43">
        <f>IF($A43="","",職員マスタ!B43)</f>
        <v/>
      </c>
      <c r="C43">
        <f>IF($A43="","",職員マスタ!C43)</f>
        <v/>
      </c>
      <c r="D43" s="19">
        <f>IF($A43="","",IF(COUNTIFS(請求記録!$B$6:$B$3005,$A43,請求記録!$Z$6:$Z$3005,D$5,請求記録!$AF$6:$AF$3005,"保留中")&gt;0,"保留",IF(COUNTIFS(請求記録!$B$6:$B$3005,$A43,請求記録!$Z$6:$Z$3005,D$5)=0,"",SUMIFS(請求記録!$AE$6:$AE$3005,請求記録!$B$6:$B$3005,$A43,請求記録!$Z$6:$Z$3005,D$5))))</f>
        <v/>
      </c>
      <c r="E43" s="19">
        <f>IF($A43="","",IF(COUNTIFS(請求記録!$B$6:$B$3005,$A43,請求記録!$Z$6:$Z$3005,E$5,請求記録!$AF$6:$AF$3005,"保留中")&gt;0,"保留",IF(COUNTIFS(請求記録!$B$6:$B$3005,$A43,請求記録!$Z$6:$Z$3005,E$5)=0,"",SUMIFS(請求記録!$AE$6:$AE$3005,請求記録!$B$6:$B$3005,$A43,請求記録!$Z$6:$Z$3005,E$5))))</f>
        <v/>
      </c>
      <c r="F43" s="19">
        <f>IF($A43="","",IF(COUNTIFS(請求記録!$B$6:$B$3005,$A43,請求記録!$Z$6:$Z$3005,F$5,請求記録!$AF$6:$AF$3005,"保留中")&gt;0,"保留",IF(COUNTIFS(請求記録!$B$6:$B$3005,$A43,請求記録!$Z$6:$Z$3005,F$5)=0,"",SUMIFS(請求記録!$AE$6:$AE$3005,請求記録!$B$6:$B$3005,$A43,請求記録!$Z$6:$Z$3005,F$5))))</f>
        <v/>
      </c>
      <c r="G43" s="19">
        <f>IF($A43="","",IF(COUNTIFS(請求記録!$B$6:$B$3005,$A43,請求記録!$Z$6:$Z$3005,G$5,請求記録!$AF$6:$AF$3005,"保留中")&gt;0,"保留",IF(COUNTIFS(請求記録!$B$6:$B$3005,$A43,請求記録!$Z$6:$Z$3005,G$5)=0,"",SUMIFS(請求記録!$AE$6:$AE$3005,請求記録!$B$6:$B$3005,$A43,請求記録!$Z$6:$Z$3005,G$5))))</f>
        <v/>
      </c>
      <c r="H43" s="19">
        <f>IF($A43="","",IF(COUNTIFS(請求記録!$B$6:$B$3005,$A43,請求記録!$Z$6:$Z$3005,H$5,請求記録!$AF$6:$AF$3005,"保留中")&gt;0,"保留",IF(COUNTIFS(請求記録!$B$6:$B$3005,$A43,請求記録!$Z$6:$Z$3005,H$5)=0,"",SUMIFS(請求記録!$AE$6:$AE$3005,請求記録!$B$6:$B$3005,$A43,請求記録!$Z$6:$Z$3005,H$5))))</f>
        <v/>
      </c>
      <c r="I43" s="19">
        <f>IF($A43="","",IF(COUNTIFS(請求記録!$B$6:$B$3005,$A43,請求記録!$Z$6:$Z$3005,I$5,請求記録!$AF$6:$AF$3005,"保留中")&gt;0,"保留",IF(COUNTIFS(請求記録!$B$6:$B$3005,$A43,請求記録!$Z$6:$Z$3005,I$5)=0,"",SUMIFS(請求記録!$AE$6:$AE$3005,請求記録!$B$6:$B$3005,$A43,請求記録!$Z$6:$Z$3005,I$5))))</f>
        <v/>
      </c>
      <c r="J43" s="19">
        <f>IF($A43="","",IF(COUNTIFS(請求記録!$B$6:$B$3005,$A43,請求記録!$Z$6:$Z$3005,J$5,請求記録!$AF$6:$AF$3005,"保留中")&gt;0,"保留",IF(COUNTIFS(請求記録!$B$6:$B$3005,$A43,請求記録!$Z$6:$Z$3005,J$5)=0,"",SUMIFS(請求記録!$AE$6:$AE$3005,請求記録!$B$6:$B$3005,$A43,請求記録!$Z$6:$Z$3005,J$5))))</f>
        <v/>
      </c>
      <c r="K43" s="19">
        <f>IF($A43="","",IF(COUNTIFS(請求記録!$B$6:$B$3005,$A43,請求記録!$Z$6:$Z$3005,K$5,請求記録!$AF$6:$AF$3005,"保留中")&gt;0,"保留",IF(COUNTIFS(請求記録!$B$6:$B$3005,$A43,請求記録!$Z$6:$Z$3005,K$5)=0,"",SUMIFS(請求記録!$AE$6:$AE$3005,請求記録!$B$6:$B$3005,$A43,請求記録!$Z$6:$Z$3005,K$5))))</f>
        <v/>
      </c>
      <c r="L43" s="19">
        <f>IF($A43="","",IF(COUNTIFS(請求記録!$B$6:$B$3005,$A43,請求記録!$Z$6:$Z$3005,L$5,請求記録!$AF$6:$AF$3005,"保留中")&gt;0,"保留",IF(COUNTIFS(請求記録!$B$6:$B$3005,$A43,請求記録!$Z$6:$Z$3005,L$5)=0,"",SUMIFS(請求記録!$AE$6:$AE$3005,請求記録!$B$6:$B$3005,$A43,請求記録!$Z$6:$Z$3005,L$5))))</f>
        <v/>
      </c>
      <c r="M43" s="19">
        <f>IF($A43="","",IF(COUNTIFS(請求記録!$B$6:$B$3005,$A43,請求記録!$Z$6:$Z$3005,M$5,請求記録!$AF$6:$AF$3005,"保留中")&gt;0,"保留",IF(COUNTIFS(請求記録!$B$6:$B$3005,$A43,請求記録!$Z$6:$Z$3005,M$5)=0,"",SUMIFS(請求記録!$AE$6:$AE$3005,請求記録!$B$6:$B$3005,$A43,請求記録!$Z$6:$Z$3005,M$5))))</f>
        <v/>
      </c>
      <c r="N43" s="19">
        <f>IF($A43="","",IF(COUNTIFS(請求記録!$B$6:$B$3005,$A43,請求記録!$Z$6:$Z$3005,N$5,請求記録!$AF$6:$AF$3005,"保留中")&gt;0,"保留",IF(COUNTIFS(請求記録!$B$6:$B$3005,$A43,請求記録!$Z$6:$Z$3005,N$5)=0,"",SUMIFS(請求記録!$AE$6:$AE$3005,請求記録!$B$6:$B$3005,$A43,請求記録!$Z$6:$Z$3005,N$5))))</f>
        <v/>
      </c>
      <c r="O43" s="19">
        <f>IF($A43="","",IF(COUNTIFS(請求記録!$B$6:$B$3005,$A43,請求記録!$Z$6:$Z$3005,O$5,請求記録!$AF$6:$AF$3005,"保留中")&gt;0,"保留",IF(COUNTIFS(請求記録!$B$6:$B$3005,$A43,請求記録!$Z$6:$Z$3005,O$5)=0,"",SUMIFS(請求記録!$AE$6:$AE$3005,請求記録!$B$6:$B$3005,$A43,請求記録!$Z$6:$Z$3005,O$5))))</f>
        <v/>
      </c>
      <c r="P43" s="19">
        <f>IF($A43="","",IF(COUNTIFS(請求記録!$B$6:$B$3005,$A43,請求記録!$Z$6:$Z$3005,P$5,請求記録!$AF$6:$AF$3005,"保留中")&gt;0,"保留",IF(COUNTIFS(請求記録!$B$6:$B$3005,$A43,請求記録!$Z$6:$Z$3005,P$5)=0,"",SUMIFS(請求記録!$AE$6:$AE$3005,請求記録!$B$6:$B$3005,$A43,請求記録!$Z$6:$Z$3005,P$5))))</f>
        <v/>
      </c>
      <c r="Q43" s="19">
        <f>IF($A43="","",IF(COUNTIFS(請求記録!$B$6:$B$3005,$A43,請求記録!$Z$6:$Z$3005,Q$5,請求記録!$AF$6:$AF$3005,"保留中")&gt;0,"保留",IF(COUNTIFS(請求記録!$B$6:$B$3005,$A43,請求記録!$Z$6:$Z$3005,Q$5)=0,"",SUMIFS(請求記録!$AE$6:$AE$3005,請求記録!$B$6:$B$3005,$A43,請求記録!$Z$6:$Z$3005,Q$5))))</f>
        <v/>
      </c>
      <c r="R43" s="19">
        <f>IF($A43="","",IF(COUNTIFS(請求記録!$B$6:$B$3005,$A43,請求記録!$Z$6:$Z$3005,R$5,請求記録!$AF$6:$AF$3005,"保留中")&gt;0,"保留",IF(COUNTIFS(請求記録!$B$6:$B$3005,$A43,請求記録!$Z$6:$Z$3005,R$5)=0,"",SUMIFS(請求記録!$AE$6:$AE$3005,請求記録!$B$6:$B$3005,$A43,請求記録!$Z$6:$Z$3005,R$5))))</f>
        <v/>
      </c>
      <c r="S43" s="19">
        <f>IF($A43="","",IF(COUNTIFS(請求記録!$B$6:$B$3005,$A43,請求記録!$Z$6:$Z$3005,S$5,請求記録!$AF$6:$AF$3005,"保留中")&gt;0,"保留",IF(COUNTIFS(請求記録!$B$6:$B$3005,$A43,請求記録!$Z$6:$Z$3005,S$5)=0,"",SUMIFS(請求記録!$AE$6:$AE$3005,請求記録!$B$6:$B$3005,$A43,請求記録!$Z$6:$Z$3005,S$5))))</f>
        <v/>
      </c>
      <c r="T43" s="19">
        <f>IF($A43="","",IF(COUNTIFS(請求記録!$B$6:$B$3005,$A43,請求記録!$Z$6:$Z$3005,T$5,請求記録!$AF$6:$AF$3005,"保留中")&gt;0,"保留",IF(COUNTIFS(請求記録!$B$6:$B$3005,$A43,請求記録!$Z$6:$Z$3005,T$5)=0,"",SUMIFS(請求記録!$AE$6:$AE$3005,請求記録!$B$6:$B$3005,$A43,請求記録!$Z$6:$Z$3005,T$5))))</f>
        <v/>
      </c>
      <c r="U43" s="19">
        <f>IF($A43="","",IF(COUNTIFS(請求記録!$B$6:$B$3005,$A43,請求記録!$Z$6:$Z$3005,U$5,請求記録!$AF$6:$AF$3005,"保留中")&gt;0,"保留",IF(COUNTIFS(請求記録!$B$6:$B$3005,$A43,請求記録!$Z$6:$Z$3005,U$5)=0,"",SUMIFS(請求記録!$AE$6:$AE$3005,請求記録!$B$6:$B$3005,$A43,請求記録!$Z$6:$Z$3005,U$5))))</f>
        <v/>
      </c>
      <c r="V43" s="19">
        <f>IF($A43="","",IF(COUNTIFS(請求記録!$B$6:$B$3005,$A43,請求記録!$Z$6:$Z$3005,V$5,請求記録!$AF$6:$AF$3005,"保留中")&gt;0,"保留",IF(COUNTIFS(請求記録!$B$6:$B$3005,$A43,請求記録!$Z$6:$Z$3005,V$5)=0,"",SUMIFS(請求記録!$AE$6:$AE$3005,請求記録!$B$6:$B$3005,$A43,請求記録!$Z$6:$Z$3005,V$5))))</f>
        <v/>
      </c>
      <c r="W43" s="19">
        <f>IF($A43="","",IF(COUNTIFS(請求記録!$B$6:$B$3005,$A43,請求記録!$Z$6:$Z$3005,W$5,請求記録!$AF$6:$AF$3005,"保留中")&gt;0,"保留",IF(COUNTIFS(請求記録!$B$6:$B$3005,$A43,請求記録!$Z$6:$Z$3005,W$5)=0,"",SUMIFS(請求記録!$AE$6:$AE$3005,請求記録!$B$6:$B$3005,$A43,請求記録!$Z$6:$Z$3005,W$5))))</f>
        <v/>
      </c>
      <c r="X43" s="19">
        <f>IF($A43="","",IF(COUNTIFS(請求記録!$B$6:$B$3005,$A43,請求記録!$Z$6:$Z$3005,X$5,請求記録!$AF$6:$AF$3005,"保留中")&gt;0,"保留",IF(COUNTIFS(請求記録!$B$6:$B$3005,$A43,請求記録!$Z$6:$Z$3005,X$5)=0,"",SUMIFS(請求記録!$AE$6:$AE$3005,請求記録!$B$6:$B$3005,$A43,請求記録!$Z$6:$Z$3005,X$5))))</f>
        <v/>
      </c>
      <c r="Y43" s="19">
        <f>IF($A43="","",IF(COUNTIFS(請求記録!$B$6:$B$3005,$A43,請求記録!$Z$6:$Z$3005,Y$5,請求記録!$AF$6:$AF$3005,"保留中")&gt;0,"保留",IF(COUNTIFS(請求記録!$B$6:$B$3005,$A43,請求記録!$Z$6:$Z$3005,Y$5)=0,"",SUMIFS(請求記録!$AE$6:$AE$3005,請求記録!$B$6:$B$3005,$A43,請求記録!$Z$6:$Z$3005,Y$5))))</f>
        <v/>
      </c>
      <c r="Z43" s="19">
        <f>IF($A43="","",IF(COUNTIFS(請求記録!$B$6:$B$3005,$A43,請求記録!$Z$6:$Z$3005,Z$5,請求記録!$AF$6:$AF$3005,"保留中")&gt;0,"保留",IF(COUNTIFS(請求記録!$B$6:$B$3005,$A43,請求記録!$Z$6:$Z$3005,Z$5)=0,"",SUMIFS(請求記録!$AE$6:$AE$3005,請求記録!$B$6:$B$3005,$A43,請求記録!$Z$6:$Z$3005,Z$5))))</f>
        <v/>
      </c>
      <c r="AA43" s="19">
        <f>IF($A43="","",IF(COUNTIFS(請求記録!$B$6:$B$3005,$A43,請求記録!$Z$6:$Z$3005,AA$5,請求記録!$AF$6:$AF$3005,"保留中")&gt;0,"保留",IF(COUNTIFS(請求記録!$B$6:$B$3005,$A43,請求記録!$Z$6:$Z$3005,AA$5)=0,"",SUMIFS(請求記録!$AE$6:$AE$3005,請求記録!$B$6:$B$3005,$A43,請求記録!$Z$6:$Z$3005,AA$5))))</f>
        <v/>
      </c>
      <c r="AB43">
        <f>IF(職員マスタ!P43="保留中",職員マスタ!M43,"")</f>
        <v/>
      </c>
    </row>
    <row r="44">
      <c r="A44">
        <f>IF(職員マスタ!A44="","",職員マスタ!A44)</f>
        <v/>
      </c>
      <c r="B44">
        <f>IF($A44="","",職員マスタ!B44)</f>
        <v/>
      </c>
      <c r="C44">
        <f>IF($A44="","",職員マスタ!C44)</f>
        <v/>
      </c>
      <c r="D44" s="19">
        <f>IF($A44="","",IF(COUNTIFS(請求記録!$B$6:$B$3005,$A44,請求記録!$Z$6:$Z$3005,D$5,請求記録!$AF$6:$AF$3005,"保留中")&gt;0,"保留",IF(COUNTIFS(請求記録!$B$6:$B$3005,$A44,請求記録!$Z$6:$Z$3005,D$5)=0,"",SUMIFS(請求記録!$AE$6:$AE$3005,請求記録!$B$6:$B$3005,$A44,請求記録!$Z$6:$Z$3005,D$5))))</f>
        <v/>
      </c>
      <c r="E44" s="19">
        <f>IF($A44="","",IF(COUNTIFS(請求記録!$B$6:$B$3005,$A44,請求記録!$Z$6:$Z$3005,E$5,請求記録!$AF$6:$AF$3005,"保留中")&gt;0,"保留",IF(COUNTIFS(請求記録!$B$6:$B$3005,$A44,請求記録!$Z$6:$Z$3005,E$5)=0,"",SUMIFS(請求記録!$AE$6:$AE$3005,請求記録!$B$6:$B$3005,$A44,請求記録!$Z$6:$Z$3005,E$5))))</f>
        <v/>
      </c>
      <c r="F44" s="19">
        <f>IF($A44="","",IF(COUNTIFS(請求記録!$B$6:$B$3005,$A44,請求記録!$Z$6:$Z$3005,F$5,請求記録!$AF$6:$AF$3005,"保留中")&gt;0,"保留",IF(COUNTIFS(請求記録!$B$6:$B$3005,$A44,請求記録!$Z$6:$Z$3005,F$5)=0,"",SUMIFS(請求記録!$AE$6:$AE$3005,請求記録!$B$6:$B$3005,$A44,請求記録!$Z$6:$Z$3005,F$5))))</f>
        <v/>
      </c>
      <c r="G44" s="19">
        <f>IF($A44="","",IF(COUNTIFS(請求記録!$B$6:$B$3005,$A44,請求記録!$Z$6:$Z$3005,G$5,請求記録!$AF$6:$AF$3005,"保留中")&gt;0,"保留",IF(COUNTIFS(請求記録!$B$6:$B$3005,$A44,請求記録!$Z$6:$Z$3005,G$5)=0,"",SUMIFS(請求記録!$AE$6:$AE$3005,請求記録!$B$6:$B$3005,$A44,請求記録!$Z$6:$Z$3005,G$5))))</f>
        <v/>
      </c>
      <c r="H44" s="19">
        <f>IF($A44="","",IF(COUNTIFS(請求記録!$B$6:$B$3005,$A44,請求記録!$Z$6:$Z$3005,H$5,請求記録!$AF$6:$AF$3005,"保留中")&gt;0,"保留",IF(COUNTIFS(請求記録!$B$6:$B$3005,$A44,請求記録!$Z$6:$Z$3005,H$5)=0,"",SUMIFS(請求記録!$AE$6:$AE$3005,請求記録!$B$6:$B$3005,$A44,請求記録!$Z$6:$Z$3005,H$5))))</f>
        <v/>
      </c>
      <c r="I44" s="19">
        <f>IF($A44="","",IF(COUNTIFS(請求記録!$B$6:$B$3005,$A44,請求記録!$Z$6:$Z$3005,I$5,請求記録!$AF$6:$AF$3005,"保留中")&gt;0,"保留",IF(COUNTIFS(請求記録!$B$6:$B$3005,$A44,請求記録!$Z$6:$Z$3005,I$5)=0,"",SUMIFS(請求記録!$AE$6:$AE$3005,請求記録!$B$6:$B$3005,$A44,請求記録!$Z$6:$Z$3005,I$5))))</f>
        <v/>
      </c>
      <c r="J44" s="19">
        <f>IF($A44="","",IF(COUNTIFS(請求記録!$B$6:$B$3005,$A44,請求記録!$Z$6:$Z$3005,J$5,請求記録!$AF$6:$AF$3005,"保留中")&gt;0,"保留",IF(COUNTIFS(請求記録!$B$6:$B$3005,$A44,請求記録!$Z$6:$Z$3005,J$5)=0,"",SUMIFS(請求記録!$AE$6:$AE$3005,請求記録!$B$6:$B$3005,$A44,請求記録!$Z$6:$Z$3005,J$5))))</f>
        <v/>
      </c>
      <c r="K44" s="19">
        <f>IF($A44="","",IF(COUNTIFS(請求記録!$B$6:$B$3005,$A44,請求記録!$Z$6:$Z$3005,K$5,請求記録!$AF$6:$AF$3005,"保留中")&gt;0,"保留",IF(COUNTIFS(請求記録!$B$6:$B$3005,$A44,請求記録!$Z$6:$Z$3005,K$5)=0,"",SUMIFS(請求記録!$AE$6:$AE$3005,請求記録!$B$6:$B$3005,$A44,請求記録!$Z$6:$Z$3005,K$5))))</f>
        <v/>
      </c>
      <c r="L44" s="19">
        <f>IF($A44="","",IF(COUNTIFS(請求記録!$B$6:$B$3005,$A44,請求記録!$Z$6:$Z$3005,L$5,請求記録!$AF$6:$AF$3005,"保留中")&gt;0,"保留",IF(COUNTIFS(請求記録!$B$6:$B$3005,$A44,請求記録!$Z$6:$Z$3005,L$5)=0,"",SUMIFS(請求記録!$AE$6:$AE$3005,請求記録!$B$6:$B$3005,$A44,請求記録!$Z$6:$Z$3005,L$5))))</f>
        <v/>
      </c>
      <c r="M44" s="19">
        <f>IF($A44="","",IF(COUNTIFS(請求記録!$B$6:$B$3005,$A44,請求記録!$Z$6:$Z$3005,M$5,請求記録!$AF$6:$AF$3005,"保留中")&gt;0,"保留",IF(COUNTIFS(請求記録!$B$6:$B$3005,$A44,請求記録!$Z$6:$Z$3005,M$5)=0,"",SUMIFS(請求記録!$AE$6:$AE$3005,請求記録!$B$6:$B$3005,$A44,請求記録!$Z$6:$Z$3005,M$5))))</f>
        <v/>
      </c>
      <c r="N44" s="19">
        <f>IF($A44="","",IF(COUNTIFS(請求記録!$B$6:$B$3005,$A44,請求記録!$Z$6:$Z$3005,N$5,請求記録!$AF$6:$AF$3005,"保留中")&gt;0,"保留",IF(COUNTIFS(請求記録!$B$6:$B$3005,$A44,請求記録!$Z$6:$Z$3005,N$5)=0,"",SUMIFS(請求記録!$AE$6:$AE$3005,請求記録!$B$6:$B$3005,$A44,請求記録!$Z$6:$Z$3005,N$5))))</f>
        <v/>
      </c>
      <c r="O44" s="19">
        <f>IF($A44="","",IF(COUNTIFS(請求記録!$B$6:$B$3005,$A44,請求記録!$Z$6:$Z$3005,O$5,請求記録!$AF$6:$AF$3005,"保留中")&gt;0,"保留",IF(COUNTIFS(請求記録!$B$6:$B$3005,$A44,請求記録!$Z$6:$Z$3005,O$5)=0,"",SUMIFS(請求記録!$AE$6:$AE$3005,請求記録!$B$6:$B$3005,$A44,請求記録!$Z$6:$Z$3005,O$5))))</f>
        <v/>
      </c>
      <c r="P44" s="19">
        <f>IF($A44="","",IF(COUNTIFS(請求記録!$B$6:$B$3005,$A44,請求記録!$Z$6:$Z$3005,P$5,請求記録!$AF$6:$AF$3005,"保留中")&gt;0,"保留",IF(COUNTIFS(請求記録!$B$6:$B$3005,$A44,請求記録!$Z$6:$Z$3005,P$5)=0,"",SUMIFS(請求記録!$AE$6:$AE$3005,請求記録!$B$6:$B$3005,$A44,請求記録!$Z$6:$Z$3005,P$5))))</f>
        <v/>
      </c>
      <c r="Q44" s="19">
        <f>IF($A44="","",IF(COUNTIFS(請求記録!$B$6:$B$3005,$A44,請求記録!$Z$6:$Z$3005,Q$5,請求記録!$AF$6:$AF$3005,"保留中")&gt;0,"保留",IF(COUNTIFS(請求記録!$B$6:$B$3005,$A44,請求記録!$Z$6:$Z$3005,Q$5)=0,"",SUMIFS(請求記録!$AE$6:$AE$3005,請求記録!$B$6:$B$3005,$A44,請求記録!$Z$6:$Z$3005,Q$5))))</f>
        <v/>
      </c>
      <c r="R44" s="19">
        <f>IF($A44="","",IF(COUNTIFS(請求記録!$B$6:$B$3005,$A44,請求記録!$Z$6:$Z$3005,R$5,請求記録!$AF$6:$AF$3005,"保留中")&gt;0,"保留",IF(COUNTIFS(請求記録!$B$6:$B$3005,$A44,請求記録!$Z$6:$Z$3005,R$5)=0,"",SUMIFS(請求記録!$AE$6:$AE$3005,請求記録!$B$6:$B$3005,$A44,請求記録!$Z$6:$Z$3005,R$5))))</f>
        <v/>
      </c>
      <c r="S44" s="19">
        <f>IF($A44="","",IF(COUNTIFS(請求記録!$B$6:$B$3005,$A44,請求記録!$Z$6:$Z$3005,S$5,請求記録!$AF$6:$AF$3005,"保留中")&gt;0,"保留",IF(COUNTIFS(請求記録!$B$6:$B$3005,$A44,請求記録!$Z$6:$Z$3005,S$5)=0,"",SUMIFS(請求記録!$AE$6:$AE$3005,請求記録!$B$6:$B$3005,$A44,請求記録!$Z$6:$Z$3005,S$5))))</f>
        <v/>
      </c>
      <c r="T44" s="19">
        <f>IF($A44="","",IF(COUNTIFS(請求記録!$B$6:$B$3005,$A44,請求記録!$Z$6:$Z$3005,T$5,請求記録!$AF$6:$AF$3005,"保留中")&gt;0,"保留",IF(COUNTIFS(請求記録!$B$6:$B$3005,$A44,請求記録!$Z$6:$Z$3005,T$5)=0,"",SUMIFS(請求記録!$AE$6:$AE$3005,請求記録!$B$6:$B$3005,$A44,請求記録!$Z$6:$Z$3005,T$5))))</f>
        <v/>
      </c>
      <c r="U44" s="19">
        <f>IF($A44="","",IF(COUNTIFS(請求記録!$B$6:$B$3005,$A44,請求記録!$Z$6:$Z$3005,U$5,請求記録!$AF$6:$AF$3005,"保留中")&gt;0,"保留",IF(COUNTIFS(請求記録!$B$6:$B$3005,$A44,請求記録!$Z$6:$Z$3005,U$5)=0,"",SUMIFS(請求記録!$AE$6:$AE$3005,請求記録!$B$6:$B$3005,$A44,請求記録!$Z$6:$Z$3005,U$5))))</f>
        <v/>
      </c>
      <c r="V44" s="19">
        <f>IF($A44="","",IF(COUNTIFS(請求記録!$B$6:$B$3005,$A44,請求記録!$Z$6:$Z$3005,V$5,請求記録!$AF$6:$AF$3005,"保留中")&gt;0,"保留",IF(COUNTIFS(請求記録!$B$6:$B$3005,$A44,請求記録!$Z$6:$Z$3005,V$5)=0,"",SUMIFS(請求記録!$AE$6:$AE$3005,請求記録!$B$6:$B$3005,$A44,請求記録!$Z$6:$Z$3005,V$5))))</f>
        <v/>
      </c>
      <c r="W44" s="19">
        <f>IF($A44="","",IF(COUNTIFS(請求記録!$B$6:$B$3005,$A44,請求記録!$Z$6:$Z$3005,W$5,請求記録!$AF$6:$AF$3005,"保留中")&gt;0,"保留",IF(COUNTIFS(請求記録!$B$6:$B$3005,$A44,請求記録!$Z$6:$Z$3005,W$5)=0,"",SUMIFS(請求記録!$AE$6:$AE$3005,請求記録!$B$6:$B$3005,$A44,請求記録!$Z$6:$Z$3005,W$5))))</f>
        <v/>
      </c>
      <c r="X44" s="19">
        <f>IF($A44="","",IF(COUNTIFS(請求記録!$B$6:$B$3005,$A44,請求記録!$Z$6:$Z$3005,X$5,請求記録!$AF$6:$AF$3005,"保留中")&gt;0,"保留",IF(COUNTIFS(請求記録!$B$6:$B$3005,$A44,請求記録!$Z$6:$Z$3005,X$5)=0,"",SUMIFS(請求記録!$AE$6:$AE$3005,請求記録!$B$6:$B$3005,$A44,請求記録!$Z$6:$Z$3005,X$5))))</f>
        <v/>
      </c>
      <c r="Y44" s="19">
        <f>IF($A44="","",IF(COUNTIFS(請求記録!$B$6:$B$3005,$A44,請求記録!$Z$6:$Z$3005,Y$5,請求記録!$AF$6:$AF$3005,"保留中")&gt;0,"保留",IF(COUNTIFS(請求記録!$B$6:$B$3005,$A44,請求記録!$Z$6:$Z$3005,Y$5)=0,"",SUMIFS(請求記録!$AE$6:$AE$3005,請求記録!$B$6:$B$3005,$A44,請求記録!$Z$6:$Z$3005,Y$5))))</f>
        <v/>
      </c>
      <c r="Z44" s="19">
        <f>IF($A44="","",IF(COUNTIFS(請求記録!$B$6:$B$3005,$A44,請求記録!$Z$6:$Z$3005,Z$5,請求記録!$AF$6:$AF$3005,"保留中")&gt;0,"保留",IF(COUNTIFS(請求記録!$B$6:$B$3005,$A44,請求記録!$Z$6:$Z$3005,Z$5)=0,"",SUMIFS(請求記録!$AE$6:$AE$3005,請求記録!$B$6:$B$3005,$A44,請求記録!$Z$6:$Z$3005,Z$5))))</f>
        <v/>
      </c>
      <c r="AA44" s="19">
        <f>IF($A44="","",IF(COUNTIFS(請求記録!$B$6:$B$3005,$A44,請求記録!$Z$6:$Z$3005,AA$5,請求記録!$AF$6:$AF$3005,"保留中")&gt;0,"保留",IF(COUNTIFS(請求記録!$B$6:$B$3005,$A44,請求記録!$Z$6:$Z$3005,AA$5)=0,"",SUMIFS(請求記録!$AE$6:$AE$3005,請求記録!$B$6:$B$3005,$A44,請求記録!$Z$6:$Z$3005,AA$5))))</f>
        <v/>
      </c>
      <c r="AB44">
        <f>IF(職員マスタ!P44="保留中",職員マスタ!M44,"")</f>
        <v/>
      </c>
    </row>
    <row r="45">
      <c r="A45">
        <f>IF(職員マスタ!A45="","",職員マスタ!A45)</f>
        <v/>
      </c>
      <c r="B45">
        <f>IF($A45="","",職員マスタ!B45)</f>
        <v/>
      </c>
      <c r="C45">
        <f>IF($A45="","",職員マスタ!C45)</f>
        <v/>
      </c>
      <c r="D45" s="19">
        <f>IF($A45="","",IF(COUNTIFS(請求記録!$B$6:$B$3005,$A45,請求記録!$Z$6:$Z$3005,D$5,請求記録!$AF$6:$AF$3005,"保留中")&gt;0,"保留",IF(COUNTIFS(請求記録!$B$6:$B$3005,$A45,請求記録!$Z$6:$Z$3005,D$5)=0,"",SUMIFS(請求記録!$AE$6:$AE$3005,請求記録!$B$6:$B$3005,$A45,請求記録!$Z$6:$Z$3005,D$5))))</f>
        <v/>
      </c>
      <c r="E45" s="19">
        <f>IF($A45="","",IF(COUNTIFS(請求記録!$B$6:$B$3005,$A45,請求記録!$Z$6:$Z$3005,E$5,請求記録!$AF$6:$AF$3005,"保留中")&gt;0,"保留",IF(COUNTIFS(請求記録!$B$6:$B$3005,$A45,請求記録!$Z$6:$Z$3005,E$5)=0,"",SUMIFS(請求記録!$AE$6:$AE$3005,請求記録!$B$6:$B$3005,$A45,請求記録!$Z$6:$Z$3005,E$5))))</f>
        <v/>
      </c>
      <c r="F45" s="19">
        <f>IF($A45="","",IF(COUNTIFS(請求記録!$B$6:$B$3005,$A45,請求記録!$Z$6:$Z$3005,F$5,請求記録!$AF$6:$AF$3005,"保留中")&gt;0,"保留",IF(COUNTIFS(請求記録!$B$6:$B$3005,$A45,請求記録!$Z$6:$Z$3005,F$5)=0,"",SUMIFS(請求記録!$AE$6:$AE$3005,請求記録!$B$6:$B$3005,$A45,請求記録!$Z$6:$Z$3005,F$5))))</f>
        <v/>
      </c>
      <c r="G45" s="19">
        <f>IF($A45="","",IF(COUNTIFS(請求記録!$B$6:$B$3005,$A45,請求記録!$Z$6:$Z$3005,G$5,請求記録!$AF$6:$AF$3005,"保留中")&gt;0,"保留",IF(COUNTIFS(請求記録!$B$6:$B$3005,$A45,請求記録!$Z$6:$Z$3005,G$5)=0,"",SUMIFS(請求記録!$AE$6:$AE$3005,請求記録!$B$6:$B$3005,$A45,請求記録!$Z$6:$Z$3005,G$5))))</f>
        <v/>
      </c>
      <c r="H45" s="19">
        <f>IF($A45="","",IF(COUNTIFS(請求記録!$B$6:$B$3005,$A45,請求記録!$Z$6:$Z$3005,H$5,請求記録!$AF$6:$AF$3005,"保留中")&gt;0,"保留",IF(COUNTIFS(請求記録!$B$6:$B$3005,$A45,請求記録!$Z$6:$Z$3005,H$5)=0,"",SUMIFS(請求記録!$AE$6:$AE$3005,請求記録!$B$6:$B$3005,$A45,請求記録!$Z$6:$Z$3005,H$5))))</f>
        <v/>
      </c>
      <c r="I45" s="19">
        <f>IF($A45="","",IF(COUNTIFS(請求記録!$B$6:$B$3005,$A45,請求記録!$Z$6:$Z$3005,I$5,請求記録!$AF$6:$AF$3005,"保留中")&gt;0,"保留",IF(COUNTIFS(請求記録!$B$6:$B$3005,$A45,請求記録!$Z$6:$Z$3005,I$5)=0,"",SUMIFS(請求記録!$AE$6:$AE$3005,請求記録!$B$6:$B$3005,$A45,請求記録!$Z$6:$Z$3005,I$5))))</f>
        <v/>
      </c>
      <c r="J45" s="19">
        <f>IF($A45="","",IF(COUNTIFS(請求記録!$B$6:$B$3005,$A45,請求記録!$Z$6:$Z$3005,J$5,請求記録!$AF$6:$AF$3005,"保留中")&gt;0,"保留",IF(COUNTIFS(請求記録!$B$6:$B$3005,$A45,請求記録!$Z$6:$Z$3005,J$5)=0,"",SUMIFS(請求記録!$AE$6:$AE$3005,請求記録!$B$6:$B$3005,$A45,請求記録!$Z$6:$Z$3005,J$5))))</f>
        <v/>
      </c>
      <c r="K45" s="19">
        <f>IF($A45="","",IF(COUNTIFS(請求記録!$B$6:$B$3005,$A45,請求記録!$Z$6:$Z$3005,K$5,請求記録!$AF$6:$AF$3005,"保留中")&gt;0,"保留",IF(COUNTIFS(請求記録!$B$6:$B$3005,$A45,請求記録!$Z$6:$Z$3005,K$5)=0,"",SUMIFS(請求記録!$AE$6:$AE$3005,請求記録!$B$6:$B$3005,$A45,請求記録!$Z$6:$Z$3005,K$5))))</f>
        <v/>
      </c>
      <c r="L45" s="19">
        <f>IF($A45="","",IF(COUNTIFS(請求記録!$B$6:$B$3005,$A45,請求記録!$Z$6:$Z$3005,L$5,請求記録!$AF$6:$AF$3005,"保留中")&gt;0,"保留",IF(COUNTIFS(請求記録!$B$6:$B$3005,$A45,請求記録!$Z$6:$Z$3005,L$5)=0,"",SUMIFS(請求記録!$AE$6:$AE$3005,請求記録!$B$6:$B$3005,$A45,請求記録!$Z$6:$Z$3005,L$5))))</f>
        <v/>
      </c>
      <c r="M45" s="19">
        <f>IF($A45="","",IF(COUNTIFS(請求記録!$B$6:$B$3005,$A45,請求記録!$Z$6:$Z$3005,M$5,請求記録!$AF$6:$AF$3005,"保留中")&gt;0,"保留",IF(COUNTIFS(請求記録!$B$6:$B$3005,$A45,請求記録!$Z$6:$Z$3005,M$5)=0,"",SUMIFS(請求記録!$AE$6:$AE$3005,請求記録!$B$6:$B$3005,$A45,請求記録!$Z$6:$Z$3005,M$5))))</f>
        <v/>
      </c>
      <c r="N45" s="19">
        <f>IF($A45="","",IF(COUNTIFS(請求記録!$B$6:$B$3005,$A45,請求記録!$Z$6:$Z$3005,N$5,請求記録!$AF$6:$AF$3005,"保留中")&gt;0,"保留",IF(COUNTIFS(請求記録!$B$6:$B$3005,$A45,請求記録!$Z$6:$Z$3005,N$5)=0,"",SUMIFS(請求記録!$AE$6:$AE$3005,請求記録!$B$6:$B$3005,$A45,請求記録!$Z$6:$Z$3005,N$5))))</f>
        <v/>
      </c>
      <c r="O45" s="19">
        <f>IF($A45="","",IF(COUNTIFS(請求記録!$B$6:$B$3005,$A45,請求記録!$Z$6:$Z$3005,O$5,請求記録!$AF$6:$AF$3005,"保留中")&gt;0,"保留",IF(COUNTIFS(請求記録!$B$6:$B$3005,$A45,請求記録!$Z$6:$Z$3005,O$5)=0,"",SUMIFS(請求記録!$AE$6:$AE$3005,請求記録!$B$6:$B$3005,$A45,請求記録!$Z$6:$Z$3005,O$5))))</f>
        <v/>
      </c>
      <c r="P45" s="19">
        <f>IF($A45="","",IF(COUNTIFS(請求記録!$B$6:$B$3005,$A45,請求記録!$Z$6:$Z$3005,P$5,請求記録!$AF$6:$AF$3005,"保留中")&gt;0,"保留",IF(COUNTIFS(請求記録!$B$6:$B$3005,$A45,請求記録!$Z$6:$Z$3005,P$5)=0,"",SUMIFS(請求記録!$AE$6:$AE$3005,請求記録!$B$6:$B$3005,$A45,請求記録!$Z$6:$Z$3005,P$5))))</f>
        <v/>
      </c>
      <c r="Q45" s="19">
        <f>IF($A45="","",IF(COUNTIFS(請求記録!$B$6:$B$3005,$A45,請求記録!$Z$6:$Z$3005,Q$5,請求記録!$AF$6:$AF$3005,"保留中")&gt;0,"保留",IF(COUNTIFS(請求記録!$B$6:$B$3005,$A45,請求記録!$Z$6:$Z$3005,Q$5)=0,"",SUMIFS(請求記録!$AE$6:$AE$3005,請求記録!$B$6:$B$3005,$A45,請求記録!$Z$6:$Z$3005,Q$5))))</f>
        <v/>
      </c>
      <c r="R45" s="19">
        <f>IF($A45="","",IF(COUNTIFS(請求記録!$B$6:$B$3005,$A45,請求記録!$Z$6:$Z$3005,R$5,請求記録!$AF$6:$AF$3005,"保留中")&gt;0,"保留",IF(COUNTIFS(請求記録!$B$6:$B$3005,$A45,請求記録!$Z$6:$Z$3005,R$5)=0,"",SUMIFS(請求記録!$AE$6:$AE$3005,請求記録!$B$6:$B$3005,$A45,請求記録!$Z$6:$Z$3005,R$5))))</f>
        <v/>
      </c>
      <c r="S45" s="19">
        <f>IF($A45="","",IF(COUNTIFS(請求記録!$B$6:$B$3005,$A45,請求記録!$Z$6:$Z$3005,S$5,請求記録!$AF$6:$AF$3005,"保留中")&gt;0,"保留",IF(COUNTIFS(請求記録!$B$6:$B$3005,$A45,請求記録!$Z$6:$Z$3005,S$5)=0,"",SUMIFS(請求記録!$AE$6:$AE$3005,請求記録!$B$6:$B$3005,$A45,請求記録!$Z$6:$Z$3005,S$5))))</f>
        <v/>
      </c>
      <c r="T45" s="19">
        <f>IF($A45="","",IF(COUNTIFS(請求記録!$B$6:$B$3005,$A45,請求記録!$Z$6:$Z$3005,T$5,請求記録!$AF$6:$AF$3005,"保留中")&gt;0,"保留",IF(COUNTIFS(請求記録!$B$6:$B$3005,$A45,請求記録!$Z$6:$Z$3005,T$5)=0,"",SUMIFS(請求記録!$AE$6:$AE$3005,請求記録!$B$6:$B$3005,$A45,請求記録!$Z$6:$Z$3005,T$5))))</f>
        <v/>
      </c>
      <c r="U45" s="19">
        <f>IF($A45="","",IF(COUNTIFS(請求記録!$B$6:$B$3005,$A45,請求記録!$Z$6:$Z$3005,U$5,請求記録!$AF$6:$AF$3005,"保留中")&gt;0,"保留",IF(COUNTIFS(請求記録!$B$6:$B$3005,$A45,請求記録!$Z$6:$Z$3005,U$5)=0,"",SUMIFS(請求記録!$AE$6:$AE$3005,請求記録!$B$6:$B$3005,$A45,請求記録!$Z$6:$Z$3005,U$5))))</f>
        <v/>
      </c>
      <c r="V45" s="19">
        <f>IF($A45="","",IF(COUNTIFS(請求記録!$B$6:$B$3005,$A45,請求記録!$Z$6:$Z$3005,V$5,請求記録!$AF$6:$AF$3005,"保留中")&gt;0,"保留",IF(COUNTIFS(請求記録!$B$6:$B$3005,$A45,請求記録!$Z$6:$Z$3005,V$5)=0,"",SUMIFS(請求記録!$AE$6:$AE$3005,請求記録!$B$6:$B$3005,$A45,請求記録!$Z$6:$Z$3005,V$5))))</f>
        <v/>
      </c>
      <c r="W45" s="19">
        <f>IF($A45="","",IF(COUNTIFS(請求記録!$B$6:$B$3005,$A45,請求記録!$Z$6:$Z$3005,W$5,請求記録!$AF$6:$AF$3005,"保留中")&gt;0,"保留",IF(COUNTIFS(請求記録!$B$6:$B$3005,$A45,請求記録!$Z$6:$Z$3005,W$5)=0,"",SUMIFS(請求記録!$AE$6:$AE$3005,請求記録!$B$6:$B$3005,$A45,請求記録!$Z$6:$Z$3005,W$5))))</f>
        <v/>
      </c>
      <c r="X45" s="19">
        <f>IF($A45="","",IF(COUNTIFS(請求記録!$B$6:$B$3005,$A45,請求記録!$Z$6:$Z$3005,X$5,請求記録!$AF$6:$AF$3005,"保留中")&gt;0,"保留",IF(COUNTIFS(請求記録!$B$6:$B$3005,$A45,請求記録!$Z$6:$Z$3005,X$5)=0,"",SUMIFS(請求記録!$AE$6:$AE$3005,請求記録!$B$6:$B$3005,$A45,請求記録!$Z$6:$Z$3005,X$5))))</f>
        <v/>
      </c>
      <c r="Y45" s="19">
        <f>IF($A45="","",IF(COUNTIFS(請求記録!$B$6:$B$3005,$A45,請求記録!$Z$6:$Z$3005,Y$5,請求記録!$AF$6:$AF$3005,"保留中")&gt;0,"保留",IF(COUNTIFS(請求記録!$B$6:$B$3005,$A45,請求記録!$Z$6:$Z$3005,Y$5)=0,"",SUMIFS(請求記録!$AE$6:$AE$3005,請求記録!$B$6:$B$3005,$A45,請求記録!$Z$6:$Z$3005,Y$5))))</f>
        <v/>
      </c>
      <c r="Z45" s="19">
        <f>IF($A45="","",IF(COUNTIFS(請求記録!$B$6:$B$3005,$A45,請求記録!$Z$6:$Z$3005,Z$5,請求記録!$AF$6:$AF$3005,"保留中")&gt;0,"保留",IF(COUNTIFS(請求記録!$B$6:$B$3005,$A45,請求記録!$Z$6:$Z$3005,Z$5)=0,"",SUMIFS(請求記録!$AE$6:$AE$3005,請求記録!$B$6:$B$3005,$A45,請求記録!$Z$6:$Z$3005,Z$5))))</f>
        <v/>
      </c>
      <c r="AA45" s="19">
        <f>IF($A45="","",IF(COUNTIFS(請求記録!$B$6:$B$3005,$A45,請求記録!$Z$6:$Z$3005,AA$5,請求記録!$AF$6:$AF$3005,"保留中")&gt;0,"保留",IF(COUNTIFS(請求記録!$B$6:$B$3005,$A45,請求記録!$Z$6:$Z$3005,AA$5)=0,"",SUMIFS(請求記録!$AE$6:$AE$3005,請求記録!$B$6:$B$3005,$A45,請求記録!$Z$6:$Z$3005,AA$5))))</f>
        <v/>
      </c>
      <c r="AB45">
        <f>IF(職員マスタ!P45="保留中",職員マスタ!M45,"")</f>
        <v/>
      </c>
    </row>
    <row r="46">
      <c r="A46">
        <f>IF(職員マスタ!A46="","",職員マスタ!A46)</f>
        <v/>
      </c>
      <c r="B46">
        <f>IF($A46="","",職員マスタ!B46)</f>
        <v/>
      </c>
      <c r="C46">
        <f>IF($A46="","",職員マスタ!C46)</f>
        <v/>
      </c>
      <c r="D46" s="19">
        <f>IF($A46="","",IF(COUNTIFS(請求記録!$B$6:$B$3005,$A46,請求記録!$Z$6:$Z$3005,D$5,請求記録!$AF$6:$AF$3005,"保留中")&gt;0,"保留",IF(COUNTIFS(請求記録!$B$6:$B$3005,$A46,請求記録!$Z$6:$Z$3005,D$5)=0,"",SUMIFS(請求記録!$AE$6:$AE$3005,請求記録!$B$6:$B$3005,$A46,請求記録!$Z$6:$Z$3005,D$5))))</f>
        <v/>
      </c>
      <c r="E46" s="19">
        <f>IF($A46="","",IF(COUNTIFS(請求記録!$B$6:$B$3005,$A46,請求記録!$Z$6:$Z$3005,E$5,請求記録!$AF$6:$AF$3005,"保留中")&gt;0,"保留",IF(COUNTIFS(請求記録!$B$6:$B$3005,$A46,請求記録!$Z$6:$Z$3005,E$5)=0,"",SUMIFS(請求記録!$AE$6:$AE$3005,請求記録!$B$6:$B$3005,$A46,請求記録!$Z$6:$Z$3005,E$5))))</f>
        <v/>
      </c>
      <c r="F46" s="19">
        <f>IF($A46="","",IF(COUNTIFS(請求記録!$B$6:$B$3005,$A46,請求記録!$Z$6:$Z$3005,F$5,請求記録!$AF$6:$AF$3005,"保留中")&gt;0,"保留",IF(COUNTIFS(請求記録!$B$6:$B$3005,$A46,請求記録!$Z$6:$Z$3005,F$5)=0,"",SUMIFS(請求記録!$AE$6:$AE$3005,請求記録!$B$6:$B$3005,$A46,請求記録!$Z$6:$Z$3005,F$5))))</f>
        <v/>
      </c>
      <c r="G46" s="19">
        <f>IF($A46="","",IF(COUNTIFS(請求記録!$B$6:$B$3005,$A46,請求記録!$Z$6:$Z$3005,G$5,請求記録!$AF$6:$AF$3005,"保留中")&gt;0,"保留",IF(COUNTIFS(請求記録!$B$6:$B$3005,$A46,請求記録!$Z$6:$Z$3005,G$5)=0,"",SUMIFS(請求記録!$AE$6:$AE$3005,請求記録!$B$6:$B$3005,$A46,請求記録!$Z$6:$Z$3005,G$5))))</f>
        <v/>
      </c>
      <c r="H46" s="19">
        <f>IF($A46="","",IF(COUNTIFS(請求記録!$B$6:$B$3005,$A46,請求記録!$Z$6:$Z$3005,H$5,請求記録!$AF$6:$AF$3005,"保留中")&gt;0,"保留",IF(COUNTIFS(請求記録!$B$6:$B$3005,$A46,請求記録!$Z$6:$Z$3005,H$5)=0,"",SUMIFS(請求記録!$AE$6:$AE$3005,請求記録!$B$6:$B$3005,$A46,請求記録!$Z$6:$Z$3005,H$5))))</f>
        <v/>
      </c>
      <c r="I46" s="19">
        <f>IF($A46="","",IF(COUNTIFS(請求記録!$B$6:$B$3005,$A46,請求記録!$Z$6:$Z$3005,I$5,請求記録!$AF$6:$AF$3005,"保留中")&gt;0,"保留",IF(COUNTIFS(請求記録!$B$6:$B$3005,$A46,請求記録!$Z$6:$Z$3005,I$5)=0,"",SUMIFS(請求記録!$AE$6:$AE$3005,請求記録!$B$6:$B$3005,$A46,請求記録!$Z$6:$Z$3005,I$5))))</f>
        <v/>
      </c>
      <c r="J46" s="19">
        <f>IF($A46="","",IF(COUNTIFS(請求記録!$B$6:$B$3005,$A46,請求記録!$Z$6:$Z$3005,J$5,請求記録!$AF$6:$AF$3005,"保留中")&gt;0,"保留",IF(COUNTIFS(請求記録!$B$6:$B$3005,$A46,請求記録!$Z$6:$Z$3005,J$5)=0,"",SUMIFS(請求記録!$AE$6:$AE$3005,請求記録!$B$6:$B$3005,$A46,請求記録!$Z$6:$Z$3005,J$5))))</f>
        <v/>
      </c>
      <c r="K46" s="19">
        <f>IF($A46="","",IF(COUNTIFS(請求記録!$B$6:$B$3005,$A46,請求記録!$Z$6:$Z$3005,K$5,請求記録!$AF$6:$AF$3005,"保留中")&gt;0,"保留",IF(COUNTIFS(請求記録!$B$6:$B$3005,$A46,請求記録!$Z$6:$Z$3005,K$5)=0,"",SUMIFS(請求記録!$AE$6:$AE$3005,請求記録!$B$6:$B$3005,$A46,請求記録!$Z$6:$Z$3005,K$5))))</f>
        <v/>
      </c>
      <c r="L46" s="19">
        <f>IF($A46="","",IF(COUNTIFS(請求記録!$B$6:$B$3005,$A46,請求記録!$Z$6:$Z$3005,L$5,請求記録!$AF$6:$AF$3005,"保留中")&gt;0,"保留",IF(COUNTIFS(請求記録!$B$6:$B$3005,$A46,請求記録!$Z$6:$Z$3005,L$5)=0,"",SUMIFS(請求記録!$AE$6:$AE$3005,請求記録!$B$6:$B$3005,$A46,請求記録!$Z$6:$Z$3005,L$5))))</f>
        <v/>
      </c>
      <c r="M46" s="19">
        <f>IF($A46="","",IF(COUNTIFS(請求記録!$B$6:$B$3005,$A46,請求記録!$Z$6:$Z$3005,M$5,請求記録!$AF$6:$AF$3005,"保留中")&gt;0,"保留",IF(COUNTIFS(請求記録!$B$6:$B$3005,$A46,請求記録!$Z$6:$Z$3005,M$5)=0,"",SUMIFS(請求記録!$AE$6:$AE$3005,請求記録!$B$6:$B$3005,$A46,請求記録!$Z$6:$Z$3005,M$5))))</f>
        <v/>
      </c>
      <c r="N46" s="19">
        <f>IF($A46="","",IF(COUNTIFS(請求記録!$B$6:$B$3005,$A46,請求記録!$Z$6:$Z$3005,N$5,請求記録!$AF$6:$AF$3005,"保留中")&gt;0,"保留",IF(COUNTIFS(請求記録!$B$6:$B$3005,$A46,請求記録!$Z$6:$Z$3005,N$5)=0,"",SUMIFS(請求記録!$AE$6:$AE$3005,請求記録!$B$6:$B$3005,$A46,請求記録!$Z$6:$Z$3005,N$5))))</f>
        <v/>
      </c>
      <c r="O46" s="19">
        <f>IF($A46="","",IF(COUNTIFS(請求記録!$B$6:$B$3005,$A46,請求記録!$Z$6:$Z$3005,O$5,請求記録!$AF$6:$AF$3005,"保留中")&gt;0,"保留",IF(COUNTIFS(請求記録!$B$6:$B$3005,$A46,請求記録!$Z$6:$Z$3005,O$5)=0,"",SUMIFS(請求記録!$AE$6:$AE$3005,請求記録!$B$6:$B$3005,$A46,請求記録!$Z$6:$Z$3005,O$5))))</f>
        <v/>
      </c>
      <c r="P46" s="19">
        <f>IF($A46="","",IF(COUNTIFS(請求記録!$B$6:$B$3005,$A46,請求記録!$Z$6:$Z$3005,P$5,請求記録!$AF$6:$AF$3005,"保留中")&gt;0,"保留",IF(COUNTIFS(請求記録!$B$6:$B$3005,$A46,請求記録!$Z$6:$Z$3005,P$5)=0,"",SUMIFS(請求記録!$AE$6:$AE$3005,請求記録!$B$6:$B$3005,$A46,請求記録!$Z$6:$Z$3005,P$5))))</f>
        <v/>
      </c>
      <c r="Q46" s="19">
        <f>IF($A46="","",IF(COUNTIFS(請求記録!$B$6:$B$3005,$A46,請求記録!$Z$6:$Z$3005,Q$5,請求記録!$AF$6:$AF$3005,"保留中")&gt;0,"保留",IF(COUNTIFS(請求記録!$B$6:$B$3005,$A46,請求記録!$Z$6:$Z$3005,Q$5)=0,"",SUMIFS(請求記録!$AE$6:$AE$3005,請求記録!$B$6:$B$3005,$A46,請求記録!$Z$6:$Z$3005,Q$5))))</f>
        <v/>
      </c>
      <c r="R46" s="19">
        <f>IF($A46="","",IF(COUNTIFS(請求記録!$B$6:$B$3005,$A46,請求記録!$Z$6:$Z$3005,R$5,請求記録!$AF$6:$AF$3005,"保留中")&gt;0,"保留",IF(COUNTIFS(請求記録!$B$6:$B$3005,$A46,請求記録!$Z$6:$Z$3005,R$5)=0,"",SUMIFS(請求記録!$AE$6:$AE$3005,請求記録!$B$6:$B$3005,$A46,請求記録!$Z$6:$Z$3005,R$5))))</f>
        <v/>
      </c>
      <c r="S46" s="19">
        <f>IF($A46="","",IF(COUNTIFS(請求記録!$B$6:$B$3005,$A46,請求記録!$Z$6:$Z$3005,S$5,請求記録!$AF$6:$AF$3005,"保留中")&gt;0,"保留",IF(COUNTIFS(請求記録!$B$6:$B$3005,$A46,請求記録!$Z$6:$Z$3005,S$5)=0,"",SUMIFS(請求記録!$AE$6:$AE$3005,請求記録!$B$6:$B$3005,$A46,請求記録!$Z$6:$Z$3005,S$5))))</f>
        <v/>
      </c>
      <c r="T46" s="19">
        <f>IF($A46="","",IF(COUNTIFS(請求記録!$B$6:$B$3005,$A46,請求記録!$Z$6:$Z$3005,T$5,請求記録!$AF$6:$AF$3005,"保留中")&gt;0,"保留",IF(COUNTIFS(請求記録!$B$6:$B$3005,$A46,請求記録!$Z$6:$Z$3005,T$5)=0,"",SUMIFS(請求記録!$AE$6:$AE$3005,請求記録!$B$6:$B$3005,$A46,請求記録!$Z$6:$Z$3005,T$5))))</f>
        <v/>
      </c>
      <c r="U46" s="19">
        <f>IF($A46="","",IF(COUNTIFS(請求記録!$B$6:$B$3005,$A46,請求記録!$Z$6:$Z$3005,U$5,請求記録!$AF$6:$AF$3005,"保留中")&gt;0,"保留",IF(COUNTIFS(請求記録!$B$6:$B$3005,$A46,請求記録!$Z$6:$Z$3005,U$5)=0,"",SUMIFS(請求記録!$AE$6:$AE$3005,請求記録!$B$6:$B$3005,$A46,請求記録!$Z$6:$Z$3005,U$5))))</f>
        <v/>
      </c>
      <c r="V46" s="19">
        <f>IF($A46="","",IF(COUNTIFS(請求記録!$B$6:$B$3005,$A46,請求記録!$Z$6:$Z$3005,V$5,請求記録!$AF$6:$AF$3005,"保留中")&gt;0,"保留",IF(COUNTIFS(請求記録!$B$6:$B$3005,$A46,請求記録!$Z$6:$Z$3005,V$5)=0,"",SUMIFS(請求記録!$AE$6:$AE$3005,請求記録!$B$6:$B$3005,$A46,請求記録!$Z$6:$Z$3005,V$5))))</f>
        <v/>
      </c>
      <c r="W46" s="19">
        <f>IF($A46="","",IF(COUNTIFS(請求記録!$B$6:$B$3005,$A46,請求記録!$Z$6:$Z$3005,W$5,請求記録!$AF$6:$AF$3005,"保留中")&gt;0,"保留",IF(COUNTIFS(請求記録!$B$6:$B$3005,$A46,請求記録!$Z$6:$Z$3005,W$5)=0,"",SUMIFS(請求記録!$AE$6:$AE$3005,請求記録!$B$6:$B$3005,$A46,請求記録!$Z$6:$Z$3005,W$5))))</f>
        <v/>
      </c>
      <c r="X46" s="19">
        <f>IF($A46="","",IF(COUNTIFS(請求記録!$B$6:$B$3005,$A46,請求記録!$Z$6:$Z$3005,X$5,請求記録!$AF$6:$AF$3005,"保留中")&gt;0,"保留",IF(COUNTIFS(請求記録!$B$6:$B$3005,$A46,請求記録!$Z$6:$Z$3005,X$5)=0,"",SUMIFS(請求記録!$AE$6:$AE$3005,請求記録!$B$6:$B$3005,$A46,請求記録!$Z$6:$Z$3005,X$5))))</f>
        <v/>
      </c>
      <c r="Y46" s="19">
        <f>IF($A46="","",IF(COUNTIFS(請求記録!$B$6:$B$3005,$A46,請求記録!$Z$6:$Z$3005,Y$5,請求記録!$AF$6:$AF$3005,"保留中")&gt;0,"保留",IF(COUNTIFS(請求記録!$B$6:$B$3005,$A46,請求記録!$Z$6:$Z$3005,Y$5)=0,"",SUMIFS(請求記録!$AE$6:$AE$3005,請求記録!$B$6:$B$3005,$A46,請求記録!$Z$6:$Z$3005,Y$5))))</f>
        <v/>
      </c>
      <c r="Z46" s="19">
        <f>IF($A46="","",IF(COUNTIFS(請求記録!$B$6:$B$3005,$A46,請求記録!$Z$6:$Z$3005,Z$5,請求記録!$AF$6:$AF$3005,"保留中")&gt;0,"保留",IF(COUNTIFS(請求記録!$B$6:$B$3005,$A46,請求記録!$Z$6:$Z$3005,Z$5)=0,"",SUMIFS(請求記録!$AE$6:$AE$3005,請求記録!$B$6:$B$3005,$A46,請求記録!$Z$6:$Z$3005,Z$5))))</f>
        <v/>
      </c>
      <c r="AA46" s="19">
        <f>IF($A46="","",IF(COUNTIFS(請求記録!$B$6:$B$3005,$A46,請求記録!$Z$6:$Z$3005,AA$5,請求記録!$AF$6:$AF$3005,"保留中")&gt;0,"保留",IF(COUNTIFS(請求記録!$B$6:$B$3005,$A46,請求記録!$Z$6:$Z$3005,AA$5)=0,"",SUMIFS(請求記録!$AE$6:$AE$3005,請求記録!$B$6:$B$3005,$A46,請求記録!$Z$6:$Z$3005,AA$5))))</f>
        <v/>
      </c>
      <c r="AB46">
        <f>IF(職員マスタ!P46="保留中",職員マスタ!M46,"")</f>
        <v/>
      </c>
    </row>
    <row r="47">
      <c r="A47">
        <f>IF(職員マスタ!A47="","",職員マスタ!A47)</f>
        <v/>
      </c>
      <c r="B47">
        <f>IF($A47="","",職員マスタ!B47)</f>
        <v/>
      </c>
      <c r="C47">
        <f>IF($A47="","",職員マスタ!C47)</f>
        <v/>
      </c>
      <c r="D47" s="19">
        <f>IF($A47="","",IF(COUNTIFS(請求記録!$B$6:$B$3005,$A47,請求記録!$Z$6:$Z$3005,D$5,請求記録!$AF$6:$AF$3005,"保留中")&gt;0,"保留",IF(COUNTIFS(請求記録!$B$6:$B$3005,$A47,請求記録!$Z$6:$Z$3005,D$5)=0,"",SUMIFS(請求記録!$AE$6:$AE$3005,請求記録!$B$6:$B$3005,$A47,請求記録!$Z$6:$Z$3005,D$5))))</f>
        <v/>
      </c>
      <c r="E47" s="19">
        <f>IF($A47="","",IF(COUNTIFS(請求記録!$B$6:$B$3005,$A47,請求記録!$Z$6:$Z$3005,E$5,請求記録!$AF$6:$AF$3005,"保留中")&gt;0,"保留",IF(COUNTIFS(請求記録!$B$6:$B$3005,$A47,請求記録!$Z$6:$Z$3005,E$5)=0,"",SUMIFS(請求記録!$AE$6:$AE$3005,請求記録!$B$6:$B$3005,$A47,請求記録!$Z$6:$Z$3005,E$5))))</f>
        <v/>
      </c>
      <c r="F47" s="19">
        <f>IF($A47="","",IF(COUNTIFS(請求記録!$B$6:$B$3005,$A47,請求記録!$Z$6:$Z$3005,F$5,請求記録!$AF$6:$AF$3005,"保留中")&gt;0,"保留",IF(COUNTIFS(請求記録!$B$6:$B$3005,$A47,請求記録!$Z$6:$Z$3005,F$5)=0,"",SUMIFS(請求記録!$AE$6:$AE$3005,請求記録!$B$6:$B$3005,$A47,請求記録!$Z$6:$Z$3005,F$5))))</f>
        <v/>
      </c>
      <c r="G47" s="19">
        <f>IF($A47="","",IF(COUNTIFS(請求記録!$B$6:$B$3005,$A47,請求記録!$Z$6:$Z$3005,G$5,請求記録!$AF$6:$AF$3005,"保留中")&gt;0,"保留",IF(COUNTIFS(請求記録!$B$6:$B$3005,$A47,請求記録!$Z$6:$Z$3005,G$5)=0,"",SUMIFS(請求記録!$AE$6:$AE$3005,請求記録!$B$6:$B$3005,$A47,請求記録!$Z$6:$Z$3005,G$5))))</f>
        <v/>
      </c>
      <c r="H47" s="19">
        <f>IF($A47="","",IF(COUNTIFS(請求記録!$B$6:$B$3005,$A47,請求記録!$Z$6:$Z$3005,H$5,請求記録!$AF$6:$AF$3005,"保留中")&gt;0,"保留",IF(COUNTIFS(請求記録!$B$6:$B$3005,$A47,請求記録!$Z$6:$Z$3005,H$5)=0,"",SUMIFS(請求記録!$AE$6:$AE$3005,請求記録!$B$6:$B$3005,$A47,請求記録!$Z$6:$Z$3005,H$5))))</f>
        <v/>
      </c>
      <c r="I47" s="19">
        <f>IF($A47="","",IF(COUNTIFS(請求記録!$B$6:$B$3005,$A47,請求記録!$Z$6:$Z$3005,I$5,請求記録!$AF$6:$AF$3005,"保留中")&gt;0,"保留",IF(COUNTIFS(請求記録!$B$6:$B$3005,$A47,請求記録!$Z$6:$Z$3005,I$5)=0,"",SUMIFS(請求記録!$AE$6:$AE$3005,請求記録!$B$6:$B$3005,$A47,請求記録!$Z$6:$Z$3005,I$5))))</f>
        <v/>
      </c>
      <c r="J47" s="19">
        <f>IF($A47="","",IF(COUNTIFS(請求記録!$B$6:$B$3005,$A47,請求記録!$Z$6:$Z$3005,J$5,請求記録!$AF$6:$AF$3005,"保留中")&gt;0,"保留",IF(COUNTIFS(請求記録!$B$6:$B$3005,$A47,請求記録!$Z$6:$Z$3005,J$5)=0,"",SUMIFS(請求記録!$AE$6:$AE$3005,請求記録!$B$6:$B$3005,$A47,請求記録!$Z$6:$Z$3005,J$5))))</f>
        <v/>
      </c>
      <c r="K47" s="19">
        <f>IF($A47="","",IF(COUNTIFS(請求記録!$B$6:$B$3005,$A47,請求記録!$Z$6:$Z$3005,K$5,請求記録!$AF$6:$AF$3005,"保留中")&gt;0,"保留",IF(COUNTIFS(請求記録!$B$6:$B$3005,$A47,請求記録!$Z$6:$Z$3005,K$5)=0,"",SUMIFS(請求記録!$AE$6:$AE$3005,請求記録!$B$6:$B$3005,$A47,請求記録!$Z$6:$Z$3005,K$5))))</f>
        <v/>
      </c>
      <c r="L47" s="19">
        <f>IF($A47="","",IF(COUNTIFS(請求記録!$B$6:$B$3005,$A47,請求記録!$Z$6:$Z$3005,L$5,請求記録!$AF$6:$AF$3005,"保留中")&gt;0,"保留",IF(COUNTIFS(請求記録!$B$6:$B$3005,$A47,請求記録!$Z$6:$Z$3005,L$5)=0,"",SUMIFS(請求記録!$AE$6:$AE$3005,請求記録!$B$6:$B$3005,$A47,請求記録!$Z$6:$Z$3005,L$5))))</f>
        <v/>
      </c>
      <c r="M47" s="19">
        <f>IF($A47="","",IF(COUNTIFS(請求記録!$B$6:$B$3005,$A47,請求記録!$Z$6:$Z$3005,M$5,請求記録!$AF$6:$AF$3005,"保留中")&gt;0,"保留",IF(COUNTIFS(請求記録!$B$6:$B$3005,$A47,請求記録!$Z$6:$Z$3005,M$5)=0,"",SUMIFS(請求記録!$AE$6:$AE$3005,請求記録!$B$6:$B$3005,$A47,請求記録!$Z$6:$Z$3005,M$5))))</f>
        <v/>
      </c>
      <c r="N47" s="19">
        <f>IF($A47="","",IF(COUNTIFS(請求記録!$B$6:$B$3005,$A47,請求記録!$Z$6:$Z$3005,N$5,請求記録!$AF$6:$AF$3005,"保留中")&gt;0,"保留",IF(COUNTIFS(請求記録!$B$6:$B$3005,$A47,請求記録!$Z$6:$Z$3005,N$5)=0,"",SUMIFS(請求記録!$AE$6:$AE$3005,請求記録!$B$6:$B$3005,$A47,請求記録!$Z$6:$Z$3005,N$5))))</f>
        <v/>
      </c>
      <c r="O47" s="19">
        <f>IF($A47="","",IF(COUNTIFS(請求記録!$B$6:$B$3005,$A47,請求記録!$Z$6:$Z$3005,O$5,請求記録!$AF$6:$AF$3005,"保留中")&gt;0,"保留",IF(COUNTIFS(請求記録!$B$6:$B$3005,$A47,請求記録!$Z$6:$Z$3005,O$5)=0,"",SUMIFS(請求記録!$AE$6:$AE$3005,請求記録!$B$6:$B$3005,$A47,請求記録!$Z$6:$Z$3005,O$5))))</f>
        <v/>
      </c>
      <c r="P47" s="19">
        <f>IF($A47="","",IF(COUNTIFS(請求記録!$B$6:$B$3005,$A47,請求記録!$Z$6:$Z$3005,P$5,請求記録!$AF$6:$AF$3005,"保留中")&gt;0,"保留",IF(COUNTIFS(請求記録!$B$6:$B$3005,$A47,請求記録!$Z$6:$Z$3005,P$5)=0,"",SUMIFS(請求記録!$AE$6:$AE$3005,請求記録!$B$6:$B$3005,$A47,請求記録!$Z$6:$Z$3005,P$5))))</f>
        <v/>
      </c>
      <c r="Q47" s="19">
        <f>IF($A47="","",IF(COUNTIFS(請求記録!$B$6:$B$3005,$A47,請求記録!$Z$6:$Z$3005,Q$5,請求記録!$AF$6:$AF$3005,"保留中")&gt;0,"保留",IF(COUNTIFS(請求記録!$B$6:$B$3005,$A47,請求記録!$Z$6:$Z$3005,Q$5)=0,"",SUMIFS(請求記録!$AE$6:$AE$3005,請求記録!$B$6:$B$3005,$A47,請求記録!$Z$6:$Z$3005,Q$5))))</f>
        <v/>
      </c>
      <c r="R47" s="19">
        <f>IF($A47="","",IF(COUNTIFS(請求記録!$B$6:$B$3005,$A47,請求記録!$Z$6:$Z$3005,R$5,請求記録!$AF$6:$AF$3005,"保留中")&gt;0,"保留",IF(COUNTIFS(請求記録!$B$6:$B$3005,$A47,請求記録!$Z$6:$Z$3005,R$5)=0,"",SUMIFS(請求記録!$AE$6:$AE$3005,請求記録!$B$6:$B$3005,$A47,請求記録!$Z$6:$Z$3005,R$5))))</f>
        <v/>
      </c>
      <c r="S47" s="19">
        <f>IF($A47="","",IF(COUNTIFS(請求記録!$B$6:$B$3005,$A47,請求記録!$Z$6:$Z$3005,S$5,請求記録!$AF$6:$AF$3005,"保留中")&gt;0,"保留",IF(COUNTIFS(請求記録!$B$6:$B$3005,$A47,請求記録!$Z$6:$Z$3005,S$5)=0,"",SUMIFS(請求記録!$AE$6:$AE$3005,請求記録!$B$6:$B$3005,$A47,請求記録!$Z$6:$Z$3005,S$5))))</f>
        <v/>
      </c>
      <c r="T47" s="19">
        <f>IF($A47="","",IF(COUNTIFS(請求記録!$B$6:$B$3005,$A47,請求記録!$Z$6:$Z$3005,T$5,請求記録!$AF$6:$AF$3005,"保留中")&gt;0,"保留",IF(COUNTIFS(請求記録!$B$6:$B$3005,$A47,請求記録!$Z$6:$Z$3005,T$5)=0,"",SUMIFS(請求記録!$AE$6:$AE$3005,請求記録!$B$6:$B$3005,$A47,請求記録!$Z$6:$Z$3005,T$5))))</f>
        <v/>
      </c>
      <c r="U47" s="19">
        <f>IF($A47="","",IF(COUNTIFS(請求記録!$B$6:$B$3005,$A47,請求記録!$Z$6:$Z$3005,U$5,請求記録!$AF$6:$AF$3005,"保留中")&gt;0,"保留",IF(COUNTIFS(請求記録!$B$6:$B$3005,$A47,請求記録!$Z$6:$Z$3005,U$5)=0,"",SUMIFS(請求記録!$AE$6:$AE$3005,請求記録!$B$6:$B$3005,$A47,請求記録!$Z$6:$Z$3005,U$5))))</f>
        <v/>
      </c>
      <c r="V47" s="19">
        <f>IF($A47="","",IF(COUNTIFS(請求記録!$B$6:$B$3005,$A47,請求記録!$Z$6:$Z$3005,V$5,請求記録!$AF$6:$AF$3005,"保留中")&gt;0,"保留",IF(COUNTIFS(請求記録!$B$6:$B$3005,$A47,請求記録!$Z$6:$Z$3005,V$5)=0,"",SUMIFS(請求記録!$AE$6:$AE$3005,請求記録!$B$6:$B$3005,$A47,請求記録!$Z$6:$Z$3005,V$5))))</f>
        <v/>
      </c>
      <c r="W47" s="19">
        <f>IF($A47="","",IF(COUNTIFS(請求記録!$B$6:$B$3005,$A47,請求記録!$Z$6:$Z$3005,W$5,請求記録!$AF$6:$AF$3005,"保留中")&gt;0,"保留",IF(COUNTIFS(請求記録!$B$6:$B$3005,$A47,請求記録!$Z$6:$Z$3005,W$5)=0,"",SUMIFS(請求記録!$AE$6:$AE$3005,請求記録!$B$6:$B$3005,$A47,請求記録!$Z$6:$Z$3005,W$5))))</f>
        <v/>
      </c>
      <c r="X47" s="19">
        <f>IF($A47="","",IF(COUNTIFS(請求記録!$B$6:$B$3005,$A47,請求記録!$Z$6:$Z$3005,X$5,請求記録!$AF$6:$AF$3005,"保留中")&gt;0,"保留",IF(COUNTIFS(請求記録!$B$6:$B$3005,$A47,請求記録!$Z$6:$Z$3005,X$5)=0,"",SUMIFS(請求記録!$AE$6:$AE$3005,請求記録!$B$6:$B$3005,$A47,請求記録!$Z$6:$Z$3005,X$5))))</f>
        <v/>
      </c>
      <c r="Y47" s="19">
        <f>IF($A47="","",IF(COUNTIFS(請求記録!$B$6:$B$3005,$A47,請求記録!$Z$6:$Z$3005,Y$5,請求記録!$AF$6:$AF$3005,"保留中")&gt;0,"保留",IF(COUNTIFS(請求記録!$B$6:$B$3005,$A47,請求記録!$Z$6:$Z$3005,Y$5)=0,"",SUMIFS(請求記録!$AE$6:$AE$3005,請求記録!$B$6:$B$3005,$A47,請求記録!$Z$6:$Z$3005,Y$5))))</f>
        <v/>
      </c>
      <c r="Z47" s="19">
        <f>IF($A47="","",IF(COUNTIFS(請求記録!$B$6:$B$3005,$A47,請求記録!$Z$6:$Z$3005,Z$5,請求記録!$AF$6:$AF$3005,"保留中")&gt;0,"保留",IF(COUNTIFS(請求記録!$B$6:$B$3005,$A47,請求記録!$Z$6:$Z$3005,Z$5)=0,"",SUMIFS(請求記録!$AE$6:$AE$3005,請求記録!$B$6:$B$3005,$A47,請求記録!$Z$6:$Z$3005,Z$5))))</f>
        <v/>
      </c>
      <c r="AA47" s="19">
        <f>IF($A47="","",IF(COUNTIFS(請求記録!$B$6:$B$3005,$A47,請求記録!$Z$6:$Z$3005,AA$5,請求記録!$AF$6:$AF$3005,"保留中")&gt;0,"保留",IF(COUNTIFS(請求記録!$B$6:$B$3005,$A47,請求記録!$Z$6:$Z$3005,AA$5)=0,"",SUMIFS(請求記録!$AE$6:$AE$3005,請求記録!$B$6:$B$3005,$A47,請求記録!$Z$6:$Z$3005,AA$5))))</f>
        <v/>
      </c>
      <c r="AB47">
        <f>IF(職員マスタ!P47="保留中",職員マスタ!M47,"")</f>
        <v/>
      </c>
    </row>
    <row r="48">
      <c r="A48">
        <f>IF(職員マスタ!A48="","",職員マスタ!A48)</f>
        <v/>
      </c>
      <c r="B48">
        <f>IF($A48="","",職員マスタ!B48)</f>
        <v/>
      </c>
      <c r="C48">
        <f>IF($A48="","",職員マスタ!C48)</f>
        <v/>
      </c>
      <c r="D48" s="19">
        <f>IF($A48="","",IF(COUNTIFS(請求記録!$B$6:$B$3005,$A48,請求記録!$Z$6:$Z$3005,D$5,請求記録!$AF$6:$AF$3005,"保留中")&gt;0,"保留",IF(COUNTIFS(請求記録!$B$6:$B$3005,$A48,請求記録!$Z$6:$Z$3005,D$5)=0,"",SUMIFS(請求記録!$AE$6:$AE$3005,請求記録!$B$6:$B$3005,$A48,請求記録!$Z$6:$Z$3005,D$5))))</f>
        <v/>
      </c>
      <c r="E48" s="19">
        <f>IF($A48="","",IF(COUNTIFS(請求記録!$B$6:$B$3005,$A48,請求記録!$Z$6:$Z$3005,E$5,請求記録!$AF$6:$AF$3005,"保留中")&gt;0,"保留",IF(COUNTIFS(請求記録!$B$6:$B$3005,$A48,請求記録!$Z$6:$Z$3005,E$5)=0,"",SUMIFS(請求記録!$AE$6:$AE$3005,請求記録!$B$6:$B$3005,$A48,請求記録!$Z$6:$Z$3005,E$5))))</f>
        <v/>
      </c>
      <c r="F48" s="19">
        <f>IF($A48="","",IF(COUNTIFS(請求記録!$B$6:$B$3005,$A48,請求記録!$Z$6:$Z$3005,F$5,請求記録!$AF$6:$AF$3005,"保留中")&gt;0,"保留",IF(COUNTIFS(請求記録!$B$6:$B$3005,$A48,請求記録!$Z$6:$Z$3005,F$5)=0,"",SUMIFS(請求記録!$AE$6:$AE$3005,請求記録!$B$6:$B$3005,$A48,請求記録!$Z$6:$Z$3005,F$5))))</f>
        <v/>
      </c>
      <c r="G48" s="19">
        <f>IF($A48="","",IF(COUNTIFS(請求記録!$B$6:$B$3005,$A48,請求記録!$Z$6:$Z$3005,G$5,請求記録!$AF$6:$AF$3005,"保留中")&gt;0,"保留",IF(COUNTIFS(請求記録!$B$6:$B$3005,$A48,請求記録!$Z$6:$Z$3005,G$5)=0,"",SUMIFS(請求記録!$AE$6:$AE$3005,請求記録!$B$6:$B$3005,$A48,請求記録!$Z$6:$Z$3005,G$5))))</f>
        <v/>
      </c>
      <c r="H48" s="19">
        <f>IF($A48="","",IF(COUNTIFS(請求記録!$B$6:$B$3005,$A48,請求記録!$Z$6:$Z$3005,H$5,請求記録!$AF$6:$AF$3005,"保留中")&gt;0,"保留",IF(COUNTIFS(請求記録!$B$6:$B$3005,$A48,請求記録!$Z$6:$Z$3005,H$5)=0,"",SUMIFS(請求記録!$AE$6:$AE$3005,請求記録!$B$6:$B$3005,$A48,請求記録!$Z$6:$Z$3005,H$5))))</f>
        <v/>
      </c>
      <c r="I48" s="19">
        <f>IF($A48="","",IF(COUNTIFS(請求記録!$B$6:$B$3005,$A48,請求記録!$Z$6:$Z$3005,I$5,請求記録!$AF$6:$AF$3005,"保留中")&gt;0,"保留",IF(COUNTIFS(請求記録!$B$6:$B$3005,$A48,請求記録!$Z$6:$Z$3005,I$5)=0,"",SUMIFS(請求記録!$AE$6:$AE$3005,請求記録!$B$6:$B$3005,$A48,請求記録!$Z$6:$Z$3005,I$5))))</f>
        <v/>
      </c>
      <c r="J48" s="19">
        <f>IF($A48="","",IF(COUNTIFS(請求記録!$B$6:$B$3005,$A48,請求記録!$Z$6:$Z$3005,J$5,請求記録!$AF$6:$AF$3005,"保留中")&gt;0,"保留",IF(COUNTIFS(請求記録!$B$6:$B$3005,$A48,請求記録!$Z$6:$Z$3005,J$5)=0,"",SUMIFS(請求記録!$AE$6:$AE$3005,請求記録!$B$6:$B$3005,$A48,請求記録!$Z$6:$Z$3005,J$5))))</f>
        <v/>
      </c>
      <c r="K48" s="19">
        <f>IF($A48="","",IF(COUNTIFS(請求記録!$B$6:$B$3005,$A48,請求記録!$Z$6:$Z$3005,K$5,請求記録!$AF$6:$AF$3005,"保留中")&gt;0,"保留",IF(COUNTIFS(請求記録!$B$6:$B$3005,$A48,請求記録!$Z$6:$Z$3005,K$5)=0,"",SUMIFS(請求記録!$AE$6:$AE$3005,請求記録!$B$6:$B$3005,$A48,請求記録!$Z$6:$Z$3005,K$5))))</f>
        <v/>
      </c>
      <c r="L48" s="19">
        <f>IF($A48="","",IF(COUNTIFS(請求記録!$B$6:$B$3005,$A48,請求記録!$Z$6:$Z$3005,L$5,請求記録!$AF$6:$AF$3005,"保留中")&gt;0,"保留",IF(COUNTIFS(請求記録!$B$6:$B$3005,$A48,請求記録!$Z$6:$Z$3005,L$5)=0,"",SUMIFS(請求記録!$AE$6:$AE$3005,請求記録!$B$6:$B$3005,$A48,請求記録!$Z$6:$Z$3005,L$5))))</f>
        <v/>
      </c>
      <c r="M48" s="19">
        <f>IF($A48="","",IF(COUNTIFS(請求記録!$B$6:$B$3005,$A48,請求記録!$Z$6:$Z$3005,M$5,請求記録!$AF$6:$AF$3005,"保留中")&gt;0,"保留",IF(COUNTIFS(請求記録!$B$6:$B$3005,$A48,請求記録!$Z$6:$Z$3005,M$5)=0,"",SUMIFS(請求記録!$AE$6:$AE$3005,請求記録!$B$6:$B$3005,$A48,請求記録!$Z$6:$Z$3005,M$5))))</f>
        <v/>
      </c>
      <c r="N48" s="19">
        <f>IF($A48="","",IF(COUNTIFS(請求記録!$B$6:$B$3005,$A48,請求記録!$Z$6:$Z$3005,N$5,請求記録!$AF$6:$AF$3005,"保留中")&gt;0,"保留",IF(COUNTIFS(請求記録!$B$6:$B$3005,$A48,請求記録!$Z$6:$Z$3005,N$5)=0,"",SUMIFS(請求記録!$AE$6:$AE$3005,請求記録!$B$6:$B$3005,$A48,請求記録!$Z$6:$Z$3005,N$5))))</f>
        <v/>
      </c>
      <c r="O48" s="19">
        <f>IF($A48="","",IF(COUNTIFS(請求記録!$B$6:$B$3005,$A48,請求記録!$Z$6:$Z$3005,O$5,請求記録!$AF$6:$AF$3005,"保留中")&gt;0,"保留",IF(COUNTIFS(請求記録!$B$6:$B$3005,$A48,請求記録!$Z$6:$Z$3005,O$5)=0,"",SUMIFS(請求記録!$AE$6:$AE$3005,請求記録!$B$6:$B$3005,$A48,請求記録!$Z$6:$Z$3005,O$5))))</f>
        <v/>
      </c>
      <c r="P48" s="19">
        <f>IF($A48="","",IF(COUNTIFS(請求記録!$B$6:$B$3005,$A48,請求記録!$Z$6:$Z$3005,P$5,請求記録!$AF$6:$AF$3005,"保留中")&gt;0,"保留",IF(COUNTIFS(請求記録!$B$6:$B$3005,$A48,請求記録!$Z$6:$Z$3005,P$5)=0,"",SUMIFS(請求記録!$AE$6:$AE$3005,請求記録!$B$6:$B$3005,$A48,請求記録!$Z$6:$Z$3005,P$5))))</f>
        <v/>
      </c>
      <c r="Q48" s="19">
        <f>IF($A48="","",IF(COUNTIFS(請求記録!$B$6:$B$3005,$A48,請求記録!$Z$6:$Z$3005,Q$5,請求記録!$AF$6:$AF$3005,"保留中")&gt;0,"保留",IF(COUNTIFS(請求記録!$B$6:$B$3005,$A48,請求記録!$Z$6:$Z$3005,Q$5)=0,"",SUMIFS(請求記録!$AE$6:$AE$3005,請求記録!$B$6:$B$3005,$A48,請求記録!$Z$6:$Z$3005,Q$5))))</f>
        <v/>
      </c>
      <c r="R48" s="19">
        <f>IF($A48="","",IF(COUNTIFS(請求記録!$B$6:$B$3005,$A48,請求記録!$Z$6:$Z$3005,R$5,請求記録!$AF$6:$AF$3005,"保留中")&gt;0,"保留",IF(COUNTIFS(請求記録!$B$6:$B$3005,$A48,請求記録!$Z$6:$Z$3005,R$5)=0,"",SUMIFS(請求記録!$AE$6:$AE$3005,請求記録!$B$6:$B$3005,$A48,請求記録!$Z$6:$Z$3005,R$5))))</f>
        <v/>
      </c>
      <c r="S48" s="19">
        <f>IF($A48="","",IF(COUNTIFS(請求記録!$B$6:$B$3005,$A48,請求記録!$Z$6:$Z$3005,S$5,請求記録!$AF$6:$AF$3005,"保留中")&gt;0,"保留",IF(COUNTIFS(請求記録!$B$6:$B$3005,$A48,請求記録!$Z$6:$Z$3005,S$5)=0,"",SUMIFS(請求記録!$AE$6:$AE$3005,請求記録!$B$6:$B$3005,$A48,請求記録!$Z$6:$Z$3005,S$5))))</f>
        <v/>
      </c>
      <c r="T48" s="19">
        <f>IF($A48="","",IF(COUNTIFS(請求記録!$B$6:$B$3005,$A48,請求記録!$Z$6:$Z$3005,T$5,請求記録!$AF$6:$AF$3005,"保留中")&gt;0,"保留",IF(COUNTIFS(請求記録!$B$6:$B$3005,$A48,請求記録!$Z$6:$Z$3005,T$5)=0,"",SUMIFS(請求記録!$AE$6:$AE$3005,請求記録!$B$6:$B$3005,$A48,請求記録!$Z$6:$Z$3005,T$5))))</f>
        <v/>
      </c>
      <c r="U48" s="19">
        <f>IF($A48="","",IF(COUNTIFS(請求記録!$B$6:$B$3005,$A48,請求記録!$Z$6:$Z$3005,U$5,請求記録!$AF$6:$AF$3005,"保留中")&gt;0,"保留",IF(COUNTIFS(請求記録!$B$6:$B$3005,$A48,請求記録!$Z$6:$Z$3005,U$5)=0,"",SUMIFS(請求記録!$AE$6:$AE$3005,請求記録!$B$6:$B$3005,$A48,請求記録!$Z$6:$Z$3005,U$5))))</f>
        <v/>
      </c>
      <c r="V48" s="19">
        <f>IF($A48="","",IF(COUNTIFS(請求記録!$B$6:$B$3005,$A48,請求記録!$Z$6:$Z$3005,V$5,請求記録!$AF$6:$AF$3005,"保留中")&gt;0,"保留",IF(COUNTIFS(請求記録!$B$6:$B$3005,$A48,請求記録!$Z$6:$Z$3005,V$5)=0,"",SUMIFS(請求記録!$AE$6:$AE$3005,請求記録!$B$6:$B$3005,$A48,請求記録!$Z$6:$Z$3005,V$5))))</f>
        <v/>
      </c>
      <c r="W48" s="19">
        <f>IF($A48="","",IF(COUNTIFS(請求記録!$B$6:$B$3005,$A48,請求記録!$Z$6:$Z$3005,W$5,請求記録!$AF$6:$AF$3005,"保留中")&gt;0,"保留",IF(COUNTIFS(請求記録!$B$6:$B$3005,$A48,請求記録!$Z$6:$Z$3005,W$5)=0,"",SUMIFS(請求記録!$AE$6:$AE$3005,請求記録!$B$6:$B$3005,$A48,請求記録!$Z$6:$Z$3005,W$5))))</f>
        <v/>
      </c>
      <c r="X48" s="19">
        <f>IF($A48="","",IF(COUNTIFS(請求記録!$B$6:$B$3005,$A48,請求記録!$Z$6:$Z$3005,X$5,請求記録!$AF$6:$AF$3005,"保留中")&gt;0,"保留",IF(COUNTIFS(請求記録!$B$6:$B$3005,$A48,請求記録!$Z$6:$Z$3005,X$5)=0,"",SUMIFS(請求記録!$AE$6:$AE$3005,請求記録!$B$6:$B$3005,$A48,請求記録!$Z$6:$Z$3005,X$5))))</f>
        <v/>
      </c>
      <c r="Y48" s="19">
        <f>IF($A48="","",IF(COUNTIFS(請求記録!$B$6:$B$3005,$A48,請求記録!$Z$6:$Z$3005,Y$5,請求記録!$AF$6:$AF$3005,"保留中")&gt;0,"保留",IF(COUNTIFS(請求記録!$B$6:$B$3005,$A48,請求記録!$Z$6:$Z$3005,Y$5)=0,"",SUMIFS(請求記録!$AE$6:$AE$3005,請求記録!$B$6:$B$3005,$A48,請求記録!$Z$6:$Z$3005,Y$5))))</f>
        <v/>
      </c>
      <c r="Z48" s="19">
        <f>IF($A48="","",IF(COUNTIFS(請求記録!$B$6:$B$3005,$A48,請求記録!$Z$6:$Z$3005,Z$5,請求記録!$AF$6:$AF$3005,"保留中")&gt;0,"保留",IF(COUNTIFS(請求記録!$B$6:$B$3005,$A48,請求記録!$Z$6:$Z$3005,Z$5)=0,"",SUMIFS(請求記録!$AE$6:$AE$3005,請求記録!$B$6:$B$3005,$A48,請求記録!$Z$6:$Z$3005,Z$5))))</f>
        <v/>
      </c>
      <c r="AA48" s="19">
        <f>IF($A48="","",IF(COUNTIFS(請求記録!$B$6:$B$3005,$A48,請求記録!$Z$6:$Z$3005,AA$5,請求記録!$AF$6:$AF$3005,"保留中")&gt;0,"保留",IF(COUNTIFS(請求記録!$B$6:$B$3005,$A48,請求記録!$Z$6:$Z$3005,AA$5)=0,"",SUMIFS(請求記録!$AE$6:$AE$3005,請求記録!$B$6:$B$3005,$A48,請求記録!$Z$6:$Z$3005,AA$5))))</f>
        <v/>
      </c>
      <c r="AB48">
        <f>IF(職員マスタ!P48="保留中",職員マスタ!M48,"")</f>
        <v/>
      </c>
    </row>
    <row r="49">
      <c r="A49">
        <f>IF(職員マスタ!A49="","",職員マスタ!A49)</f>
        <v/>
      </c>
      <c r="B49">
        <f>IF($A49="","",職員マスタ!B49)</f>
        <v/>
      </c>
      <c r="C49">
        <f>IF($A49="","",職員マスタ!C49)</f>
        <v/>
      </c>
      <c r="D49" s="19">
        <f>IF($A49="","",IF(COUNTIFS(請求記録!$B$6:$B$3005,$A49,請求記録!$Z$6:$Z$3005,D$5,請求記録!$AF$6:$AF$3005,"保留中")&gt;0,"保留",IF(COUNTIFS(請求記録!$B$6:$B$3005,$A49,請求記録!$Z$6:$Z$3005,D$5)=0,"",SUMIFS(請求記録!$AE$6:$AE$3005,請求記録!$B$6:$B$3005,$A49,請求記録!$Z$6:$Z$3005,D$5))))</f>
        <v/>
      </c>
      <c r="E49" s="19">
        <f>IF($A49="","",IF(COUNTIFS(請求記録!$B$6:$B$3005,$A49,請求記録!$Z$6:$Z$3005,E$5,請求記録!$AF$6:$AF$3005,"保留中")&gt;0,"保留",IF(COUNTIFS(請求記録!$B$6:$B$3005,$A49,請求記録!$Z$6:$Z$3005,E$5)=0,"",SUMIFS(請求記録!$AE$6:$AE$3005,請求記録!$B$6:$B$3005,$A49,請求記録!$Z$6:$Z$3005,E$5))))</f>
        <v/>
      </c>
      <c r="F49" s="19">
        <f>IF($A49="","",IF(COUNTIFS(請求記録!$B$6:$B$3005,$A49,請求記録!$Z$6:$Z$3005,F$5,請求記録!$AF$6:$AF$3005,"保留中")&gt;0,"保留",IF(COUNTIFS(請求記録!$B$6:$B$3005,$A49,請求記録!$Z$6:$Z$3005,F$5)=0,"",SUMIFS(請求記録!$AE$6:$AE$3005,請求記録!$B$6:$B$3005,$A49,請求記録!$Z$6:$Z$3005,F$5))))</f>
        <v/>
      </c>
      <c r="G49" s="19">
        <f>IF($A49="","",IF(COUNTIFS(請求記録!$B$6:$B$3005,$A49,請求記録!$Z$6:$Z$3005,G$5,請求記録!$AF$6:$AF$3005,"保留中")&gt;0,"保留",IF(COUNTIFS(請求記録!$B$6:$B$3005,$A49,請求記録!$Z$6:$Z$3005,G$5)=0,"",SUMIFS(請求記録!$AE$6:$AE$3005,請求記録!$B$6:$B$3005,$A49,請求記録!$Z$6:$Z$3005,G$5))))</f>
        <v/>
      </c>
      <c r="H49" s="19">
        <f>IF($A49="","",IF(COUNTIFS(請求記録!$B$6:$B$3005,$A49,請求記録!$Z$6:$Z$3005,H$5,請求記録!$AF$6:$AF$3005,"保留中")&gt;0,"保留",IF(COUNTIFS(請求記録!$B$6:$B$3005,$A49,請求記録!$Z$6:$Z$3005,H$5)=0,"",SUMIFS(請求記録!$AE$6:$AE$3005,請求記録!$B$6:$B$3005,$A49,請求記録!$Z$6:$Z$3005,H$5))))</f>
        <v/>
      </c>
      <c r="I49" s="19">
        <f>IF($A49="","",IF(COUNTIFS(請求記録!$B$6:$B$3005,$A49,請求記録!$Z$6:$Z$3005,I$5,請求記録!$AF$6:$AF$3005,"保留中")&gt;0,"保留",IF(COUNTIFS(請求記録!$B$6:$B$3005,$A49,請求記録!$Z$6:$Z$3005,I$5)=0,"",SUMIFS(請求記録!$AE$6:$AE$3005,請求記録!$B$6:$B$3005,$A49,請求記録!$Z$6:$Z$3005,I$5))))</f>
        <v/>
      </c>
      <c r="J49" s="19">
        <f>IF($A49="","",IF(COUNTIFS(請求記録!$B$6:$B$3005,$A49,請求記録!$Z$6:$Z$3005,J$5,請求記録!$AF$6:$AF$3005,"保留中")&gt;0,"保留",IF(COUNTIFS(請求記録!$B$6:$B$3005,$A49,請求記録!$Z$6:$Z$3005,J$5)=0,"",SUMIFS(請求記録!$AE$6:$AE$3005,請求記録!$B$6:$B$3005,$A49,請求記録!$Z$6:$Z$3005,J$5))))</f>
        <v/>
      </c>
      <c r="K49" s="19">
        <f>IF($A49="","",IF(COUNTIFS(請求記録!$B$6:$B$3005,$A49,請求記録!$Z$6:$Z$3005,K$5,請求記録!$AF$6:$AF$3005,"保留中")&gt;0,"保留",IF(COUNTIFS(請求記録!$B$6:$B$3005,$A49,請求記録!$Z$6:$Z$3005,K$5)=0,"",SUMIFS(請求記録!$AE$6:$AE$3005,請求記録!$B$6:$B$3005,$A49,請求記録!$Z$6:$Z$3005,K$5))))</f>
        <v/>
      </c>
      <c r="L49" s="19">
        <f>IF($A49="","",IF(COUNTIFS(請求記録!$B$6:$B$3005,$A49,請求記録!$Z$6:$Z$3005,L$5,請求記録!$AF$6:$AF$3005,"保留中")&gt;0,"保留",IF(COUNTIFS(請求記録!$B$6:$B$3005,$A49,請求記録!$Z$6:$Z$3005,L$5)=0,"",SUMIFS(請求記録!$AE$6:$AE$3005,請求記録!$B$6:$B$3005,$A49,請求記録!$Z$6:$Z$3005,L$5))))</f>
        <v/>
      </c>
      <c r="M49" s="19">
        <f>IF($A49="","",IF(COUNTIFS(請求記録!$B$6:$B$3005,$A49,請求記録!$Z$6:$Z$3005,M$5,請求記録!$AF$6:$AF$3005,"保留中")&gt;0,"保留",IF(COUNTIFS(請求記録!$B$6:$B$3005,$A49,請求記録!$Z$6:$Z$3005,M$5)=0,"",SUMIFS(請求記録!$AE$6:$AE$3005,請求記録!$B$6:$B$3005,$A49,請求記録!$Z$6:$Z$3005,M$5))))</f>
        <v/>
      </c>
      <c r="N49" s="19">
        <f>IF($A49="","",IF(COUNTIFS(請求記録!$B$6:$B$3005,$A49,請求記録!$Z$6:$Z$3005,N$5,請求記録!$AF$6:$AF$3005,"保留中")&gt;0,"保留",IF(COUNTIFS(請求記録!$B$6:$B$3005,$A49,請求記録!$Z$6:$Z$3005,N$5)=0,"",SUMIFS(請求記録!$AE$6:$AE$3005,請求記録!$B$6:$B$3005,$A49,請求記録!$Z$6:$Z$3005,N$5))))</f>
        <v/>
      </c>
      <c r="O49" s="19">
        <f>IF($A49="","",IF(COUNTIFS(請求記録!$B$6:$B$3005,$A49,請求記録!$Z$6:$Z$3005,O$5,請求記録!$AF$6:$AF$3005,"保留中")&gt;0,"保留",IF(COUNTIFS(請求記録!$B$6:$B$3005,$A49,請求記録!$Z$6:$Z$3005,O$5)=0,"",SUMIFS(請求記録!$AE$6:$AE$3005,請求記録!$B$6:$B$3005,$A49,請求記録!$Z$6:$Z$3005,O$5))))</f>
        <v/>
      </c>
      <c r="P49" s="19">
        <f>IF($A49="","",IF(COUNTIFS(請求記録!$B$6:$B$3005,$A49,請求記録!$Z$6:$Z$3005,P$5,請求記録!$AF$6:$AF$3005,"保留中")&gt;0,"保留",IF(COUNTIFS(請求記録!$B$6:$B$3005,$A49,請求記録!$Z$6:$Z$3005,P$5)=0,"",SUMIFS(請求記録!$AE$6:$AE$3005,請求記録!$B$6:$B$3005,$A49,請求記録!$Z$6:$Z$3005,P$5))))</f>
        <v/>
      </c>
      <c r="Q49" s="19">
        <f>IF($A49="","",IF(COUNTIFS(請求記録!$B$6:$B$3005,$A49,請求記録!$Z$6:$Z$3005,Q$5,請求記録!$AF$6:$AF$3005,"保留中")&gt;0,"保留",IF(COUNTIFS(請求記録!$B$6:$B$3005,$A49,請求記録!$Z$6:$Z$3005,Q$5)=0,"",SUMIFS(請求記録!$AE$6:$AE$3005,請求記録!$B$6:$B$3005,$A49,請求記録!$Z$6:$Z$3005,Q$5))))</f>
        <v/>
      </c>
      <c r="R49" s="19">
        <f>IF($A49="","",IF(COUNTIFS(請求記録!$B$6:$B$3005,$A49,請求記録!$Z$6:$Z$3005,R$5,請求記録!$AF$6:$AF$3005,"保留中")&gt;0,"保留",IF(COUNTIFS(請求記録!$B$6:$B$3005,$A49,請求記録!$Z$6:$Z$3005,R$5)=0,"",SUMIFS(請求記録!$AE$6:$AE$3005,請求記録!$B$6:$B$3005,$A49,請求記録!$Z$6:$Z$3005,R$5))))</f>
        <v/>
      </c>
      <c r="S49" s="19">
        <f>IF($A49="","",IF(COUNTIFS(請求記録!$B$6:$B$3005,$A49,請求記録!$Z$6:$Z$3005,S$5,請求記録!$AF$6:$AF$3005,"保留中")&gt;0,"保留",IF(COUNTIFS(請求記録!$B$6:$B$3005,$A49,請求記録!$Z$6:$Z$3005,S$5)=0,"",SUMIFS(請求記録!$AE$6:$AE$3005,請求記録!$B$6:$B$3005,$A49,請求記録!$Z$6:$Z$3005,S$5))))</f>
        <v/>
      </c>
      <c r="T49" s="19">
        <f>IF($A49="","",IF(COUNTIFS(請求記録!$B$6:$B$3005,$A49,請求記録!$Z$6:$Z$3005,T$5,請求記録!$AF$6:$AF$3005,"保留中")&gt;0,"保留",IF(COUNTIFS(請求記録!$B$6:$B$3005,$A49,請求記録!$Z$6:$Z$3005,T$5)=0,"",SUMIFS(請求記録!$AE$6:$AE$3005,請求記録!$B$6:$B$3005,$A49,請求記録!$Z$6:$Z$3005,T$5))))</f>
        <v/>
      </c>
      <c r="U49" s="19">
        <f>IF($A49="","",IF(COUNTIFS(請求記録!$B$6:$B$3005,$A49,請求記録!$Z$6:$Z$3005,U$5,請求記録!$AF$6:$AF$3005,"保留中")&gt;0,"保留",IF(COUNTIFS(請求記録!$B$6:$B$3005,$A49,請求記録!$Z$6:$Z$3005,U$5)=0,"",SUMIFS(請求記録!$AE$6:$AE$3005,請求記録!$B$6:$B$3005,$A49,請求記録!$Z$6:$Z$3005,U$5))))</f>
        <v/>
      </c>
      <c r="V49" s="19">
        <f>IF($A49="","",IF(COUNTIFS(請求記録!$B$6:$B$3005,$A49,請求記録!$Z$6:$Z$3005,V$5,請求記録!$AF$6:$AF$3005,"保留中")&gt;0,"保留",IF(COUNTIFS(請求記録!$B$6:$B$3005,$A49,請求記録!$Z$6:$Z$3005,V$5)=0,"",SUMIFS(請求記録!$AE$6:$AE$3005,請求記録!$B$6:$B$3005,$A49,請求記録!$Z$6:$Z$3005,V$5))))</f>
        <v/>
      </c>
      <c r="W49" s="19">
        <f>IF($A49="","",IF(COUNTIFS(請求記録!$B$6:$B$3005,$A49,請求記録!$Z$6:$Z$3005,W$5,請求記録!$AF$6:$AF$3005,"保留中")&gt;0,"保留",IF(COUNTIFS(請求記録!$B$6:$B$3005,$A49,請求記録!$Z$6:$Z$3005,W$5)=0,"",SUMIFS(請求記録!$AE$6:$AE$3005,請求記録!$B$6:$B$3005,$A49,請求記録!$Z$6:$Z$3005,W$5))))</f>
        <v/>
      </c>
      <c r="X49" s="19">
        <f>IF($A49="","",IF(COUNTIFS(請求記録!$B$6:$B$3005,$A49,請求記録!$Z$6:$Z$3005,X$5,請求記録!$AF$6:$AF$3005,"保留中")&gt;0,"保留",IF(COUNTIFS(請求記録!$B$6:$B$3005,$A49,請求記録!$Z$6:$Z$3005,X$5)=0,"",SUMIFS(請求記録!$AE$6:$AE$3005,請求記録!$B$6:$B$3005,$A49,請求記録!$Z$6:$Z$3005,X$5))))</f>
        <v/>
      </c>
      <c r="Y49" s="19">
        <f>IF($A49="","",IF(COUNTIFS(請求記録!$B$6:$B$3005,$A49,請求記録!$Z$6:$Z$3005,Y$5,請求記録!$AF$6:$AF$3005,"保留中")&gt;0,"保留",IF(COUNTIFS(請求記録!$B$6:$B$3005,$A49,請求記録!$Z$6:$Z$3005,Y$5)=0,"",SUMIFS(請求記録!$AE$6:$AE$3005,請求記録!$B$6:$B$3005,$A49,請求記録!$Z$6:$Z$3005,Y$5))))</f>
        <v/>
      </c>
      <c r="Z49" s="19">
        <f>IF($A49="","",IF(COUNTIFS(請求記録!$B$6:$B$3005,$A49,請求記録!$Z$6:$Z$3005,Z$5,請求記録!$AF$6:$AF$3005,"保留中")&gt;0,"保留",IF(COUNTIFS(請求記録!$B$6:$B$3005,$A49,請求記録!$Z$6:$Z$3005,Z$5)=0,"",SUMIFS(請求記録!$AE$6:$AE$3005,請求記録!$B$6:$B$3005,$A49,請求記録!$Z$6:$Z$3005,Z$5))))</f>
        <v/>
      </c>
      <c r="AA49" s="19">
        <f>IF($A49="","",IF(COUNTIFS(請求記録!$B$6:$B$3005,$A49,請求記録!$Z$6:$Z$3005,AA$5,請求記録!$AF$6:$AF$3005,"保留中")&gt;0,"保留",IF(COUNTIFS(請求記録!$B$6:$B$3005,$A49,請求記録!$Z$6:$Z$3005,AA$5)=0,"",SUMIFS(請求記録!$AE$6:$AE$3005,請求記録!$B$6:$B$3005,$A49,請求記録!$Z$6:$Z$3005,AA$5))))</f>
        <v/>
      </c>
      <c r="AB49">
        <f>IF(職員マスタ!P49="保留中",職員マスタ!M49,"")</f>
        <v/>
      </c>
    </row>
    <row r="50">
      <c r="A50">
        <f>IF(職員マスタ!A50="","",職員マスタ!A50)</f>
        <v/>
      </c>
      <c r="B50">
        <f>IF($A50="","",職員マスタ!B50)</f>
        <v/>
      </c>
      <c r="C50">
        <f>IF($A50="","",職員マスタ!C50)</f>
        <v/>
      </c>
      <c r="D50" s="19">
        <f>IF($A50="","",IF(COUNTIFS(請求記録!$B$6:$B$3005,$A50,請求記録!$Z$6:$Z$3005,D$5,請求記録!$AF$6:$AF$3005,"保留中")&gt;0,"保留",IF(COUNTIFS(請求記録!$B$6:$B$3005,$A50,請求記録!$Z$6:$Z$3005,D$5)=0,"",SUMIFS(請求記録!$AE$6:$AE$3005,請求記録!$B$6:$B$3005,$A50,請求記録!$Z$6:$Z$3005,D$5))))</f>
        <v/>
      </c>
      <c r="E50" s="19">
        <f>IF($A50="","",IF(COUNTIFS(請求記録!$B$6:$B$3005,$A50,請求記録!$Z$6:$Z$3005,E$5,請求記録!$AF$6:$AF$3005,"保留中")&gt;0,"保留",IF(COUNTIFS(請求記録!$B$6:$B$3005,$A50,請求記録!$Z$6:$Z$3005,E$5)=0,"",SUMIFS(請求記録!$AE$6:$AE$3005,請求記録!$B$6:$B$3005,$A50,請求記録!$Z$6:$Z$3005,E$5))))</f>
        <v/>
      </c>
      <c r="F50" s="19">
        <f>IF($A50="","",IF(COUNTIFS(請求記録!$B$6:$B$3005,$A50,請求記録!$Z$6:$Z$3005,F$5,請求記録!$AF$6:$AF$3005,"保留中")&gt;0,"保留",IF(COUNTIFS(請求記録!$B$6:$B$3005,$A50,請求記録!$Z$6:$Z$3005,F$5)=0,"",SUMIFS(請求記録!$AE$6:$AE$3005,請求記録!$B$6:$B$3005,$A50,請求記録!$Z$6:$Z$3005,F$5))))</f>
        <v/>
      </c>
      <c r="G50" s="19">
        <f>IF($A50="","",IF(COUNTIFS(請求記録!$B$6:$B$3005,$A50,請求記録!$Z$6:$Z$3005,G$5,請求記録!$AF$6:$AF$3005,"保留中")&gt;0,"保留",IF(COUNTIFS(請求記録!$B$6:$B$3005,$A50,請求記録!$Z$6:$Z$3005,G$5)=0,"",SUMIFS(請求記録!$AE$6:$AE$3005,請求記録!$B$6:$B$3005,$A50,請求記録!$Z$6:$Z$3005,G$5))))</f>
        <v/>
      </c>
      <c r="H50" s="19">
        <f>IF($A50="","",IF(COUNTIFS(請求記録!$B$6:$B$3005,$A50,請求記録!$Z$6:$Z$3005,H$5,請求記録!$AF$6:$AF$3005,"保留中")&gt;0,"保留",IF(COUNTIFS(請求記録!$B$6:$B$3005,$A50,請求記録!$Z$6:$Z$3005,H$5)=0,"",SUMIFS(請求記録!$AE$6:$AE$3005,請求記録!$B$6:$B$3005,$A50,請求記録!$Z$6:$Z$3005,H$5))))</f>
        <v/>
      </c>
      <c r="I50" s="19">
        <f>IF($A50="","",IF(COUNTIFS(請求記録!$B$6:$B$3005,$A50,請求記録!$Z$6:$Z$3005,I$5,請求記録!$AF$6:$AF$3005,"保留中")&gt;0,"保留",IF(COUNTIFS(請求記録!$B$6:$B$3005,$A50,請求記録!$Z$6:$Z$3005,I$5)=0,"",SUMIFS(請求記録!$AE$6:$AE$3005,請求記録!$B$6:$B$3005,$A50,請求記録!$Z$6:$Z$3005,I$5))))</f>
        <v/>
      </c>
      <c r="J50" s="19">
        <f>IF($A50="","",IF(COUNTIFS(請求記録!$B$6:$B$3005,$A50,請求記録!$Z$6:$Z$3005,J$5,請求記録!$AF$6:$AF$3005,"保留中")&gt;0,"保留",IF(COUNTIFS(請求記録!$B$6:$B$3005,$A50,請求記録!$Z$6:$Z$3005,J$5)=0,"",SUMIFS(請求記録!$AE$6:$AE$3005,請求記録!$B$6:$B$3005,$A50,請求記録!$Z$6:$Z$3005,J$5))))</f>
        <v/>
      </c>
      <c r="K50" s="19">
        <f>IF($A50="","",IF(COUNTIFS(請求記録!$B$6:$B$3005,$A50,請求記録!$Z$6:$Z$3005,K$5,請求記録!$AF$6:$AF$3005,"保留中")&gt;0,"保留",IF(COUNTIFS(請求記録!$B$6:$B$3005,$A50,請求記録!$Z$6:$Z$3005,K$5)=0,"",SUMIFS(請求記録!$AE$6:$AE$3005,請求記録!$B$6:$B$3005,$A50,請求記録!$Z$6:$Z$3005,K$5))))</f>
        <v/>
      </c>
      <c r="L50" s="19">
        <f>IF($A50="","",IF(COUNTIFS(請求記録!$B$6:$B$3005,$A50,請求記録!$Z$6:$Z$3005,L$5,請求記録!$AF$6:$AF$3005,"保留中")&gt;0,"保留",IF(COUNTIFS(請求記録!$B$6:$B$3005,$A50,請求記録!$Z$6:$Z$3005,L$5)=0,"",SUMIFS(請求記録!$AE$6:$AE$3005,請求記録!$B$6:$B$3005,$A50,請求記録!$Z$6:$Z$3005,L$5))))</f>
        <v/>
      </c>
      <c r="M50" s="19">
        <f>IF($A50="","",IF(COUNTIFS(請求記録!$B$6:$B$3005,$A50,請求記録!$Z$6:$Z$3005,M$5,請求記録!$AF$6:$AF$3005,"保留中")&gt;0,"保留",IF(COUNTIFS(請求記録!$B$6:$B$3005,$A50,請求記録!$Z$6:$Z$3005,M$5)=0,"",SUMIFS(請求記録!$AE$6:$AE$3005,請求記録!$B$6:$B$3005,$A50,請求記録!$Z$6:$Z$3005,M$5))))</f>
        <v/>
      </c>
      <c r="N50" s="19">
        <f>IF($A50="","",IF(COUNTIFS(請求記録!$B$6:$B$3005,$A50,請求記録!$Z$6:$Z$3005,N$5,請求記録!$AF$6:$AF$3005,"保留中")&gt;0,"保留",IF(COUNTIFS(請求記録!$B$6:$B$3005,$A50,請求記録!$Z$6:$Z$3005,N$5)=0,"",SUMIFS(請求記録!$AE$6:$AE$3005,請求記録!$B$6:$B$3005,$A50,請求記録!$Z$6:$Z$3005,N$5))))</f>
        <v/>
      </c>
      <c r="O50" s="19">
        <f>IF($A50="","",IF(COUNTIFS(請求記録!$B$6:$B$3005,$A50,請求記録!$Z$6:$Z$3005,O$5,請求記録!$AF$6:$AF$3005,"保留中")&gt;0,"保留",IF(COUNTIFS(請求記録!$B$6:$B$3005,$A50,請求記録!$Z$6:$Z$3005,O$5)=0,"",SUMIFS(請求記録!$AE$6:$AE$3005,請求記録!$B$6:$B$3005,$A50,請求記録!$Z$6:$Z$3005,O$5))))</f>
        <v/>
      </c>
      <c r="P50" s="19">
        <f>IF($A50="","",IF(COUNTIFS(請求記録!$B$6:$B$3005,$A50,請求記録!$Z$6:$Z$3005,P$5,請求記録!$AF$6:$AF$3005,"保留中")&gt;0,"保留",IF(COUNTIFS(請求記録!$B$6:$B$3005,$A50,請求記録!$Z$6:$Z$3005,P$5)=0,"",SUMIFS(請求記録!$AE$6:$AE$3005,請求記録!$B$6:$B$3005,$A50,請求記録!$Z$6:$Z$3005,P$5))))</f>
        <v/>
      </c>
      <c r="Q50" s="19">
        <f>IF($A50="","",IF(COUNTIFS(請求記録!$B$6:$B$3005,$A50,請求記録!$Z$6:$Z$3005,Q$5,請求記録!$AF$6:$AF$3005,"保留中")&gt;0,"保留",IF(COUNTIFS(請求記録!$B$6:$B$3005,$A50,請求記録!$Z$6:$Z$3005,Q$5)=0,"",SUMIFS(請求記録!$AE$6:$AE$3005,請求記録!$B$6:$B$3005,$A50,請求記録!$Z$6:$Z$3005,Q$5))))</f>
        <v/>
      </c>
      <c r="R50" s="19">
        <f>IF($A50="","",IF(COUNTIFS(請求記録!$B$6:$B$3005,$A50,請求記録!$Z$6:$Z$3005,R$5,請求記録!$AF$6:$AF$3005,"保留中")&gt;0,"保留",IF(COUNTIFS(請求記録!$B$6:$B$3005,$A50,請求記録!$Z$6:$Z$3005,R$5)=0,"",SUMIFS(請求記録!$AE$6:$AE$3005,請求記録!$B$6:$B$3005,$A50,請求記録!$Z$6:$Z$3005,R$5))))</f>
        <v/>
      </c>
      <c r="S50" s="19">
        <f>IF($A50="","",IF(COUNTIFS(請求記録!$B$6:$B$3005,$A50,請求記録!$Z$6:$Z$3005,S$5,請求記録!$AF$6:$AF$3005,"保留中")&gt;0,"保留",IF(COUNTIFS(請求記録!$B$6:$B$3005,$A50,請求記録!$Z$6:$Z$3005,S$5)=0,"",SUMIFS(請求記録!$AE$6:$AE$3005,請求記録!$B$6:$B$3005,$A50,請求記録!$Z$6:$Z$3005,S$5))))</f>
        <v/>
      </c>
      <c r="T50" s="19">
        <f>IF($A50="","",IF(COUNTIFS(請求記録!$B$6:$B$3005,$A50,請求記録!$Z$6:$Z$3005,T$5,請求記録!$AF$6:$AF$3005,"保留中")&gt;0,"保留",IF(COUNTIFS(請求記録!$B$6:$B$3005,$A50,請求記録!$Z$6:$Z$3005,T$5)=0,"",SUMIFS(請求記録!$AE$6:$AE$3005,請求記録!$B$6:$B$3005,$A50,請求記録!$Z$6:$Z$3005,T$5))))</f>
        <v/>
      </c>
      <c r="U50" s="19">
        <f>IF($A50="","",IF(COUNTIFS(請求記録!$B$6:$B$3005,$A50,請求記録!$Z$6:$Z$3005,U$5,請求記録!$AF$6:$AF$3005,"保留中")&gt;0,"保留",IF(COUNTIFS(請求記録!$B$6:$B$3005,$A50,請求記録!$Z$6:$Z$3005,U$5)=0,"",SUMIFS(請求記録!$AE$6:$AE$3005,請求記録!$B$6:$B$3005,$A50,請求記録!$Z$6:$Z$3005,U$5))))</f>
        <v/>
      </c>
      <c r="V50" s="19">
        <f>IF($A50="","",IF(COUNTIFS(請求記録!$B$6:$B$3005,$A50,請求記録!$Z$6:$Z$3005,V$5,請求記録!$AF$6:$AF$3005,"保留中")&gt;0,"保留",IF(COUNTIFS(請求記録!$B$6:$B$3005,$A50,請求記録!$Z$6:$Z$3005,V$5)=0,"",SUMIFS(請求記録!$AE$6:$AE$3005,請求記録!$B$6:$B$3005,$A50,請求記録!$Z$6:$Z$3005,V$5))))</f>
        <v/>
      </c>
      <c r="W50" s="19">
        <f>IF($A50="","",IF(COUNTIFS(請求記録!$B$6:$B$3005,$A50,請求記録!$Z$6:$Z$3005,W$5,請求記録!$AF$6:$AF$3005,"保留中")&gt;0,"保留",IF(COUNTIFS(請求記録!$B$6:$B$3005,$A50,請求記録!$Z$6:$Z$3005,W$5)=0,"",SUMIFS(請求記録!$AE$6:$AE$3005,請求記録!$B$6:$B$3005,$A50,請求記録!$Z$6:$Z$3005,W$5))))</f>
        <v/>
      </c>
      <c r="X50" s="19">
        <f>IF($A50="","",IF(COUNTIFS(請求記録!$B$6:$B$3005,$A50,請求記録!$Z$6:$Z$3005,X$5,請求記録!$AF$6:$AF$3005,"保留中")&gt;0,"保留",IF(COUNTIFS(請求記録!$B$6:$B$3005,$A50,請求記録!$Z$6:$Z$3005,X$5)=0,"",SUMIFS(請求記録!$AE$6:$AE$3005,請求記録!$B$6:$B$3005,$A50,請求記録!$Z$6:$Z$3005,X$5))))</f>
        <v/>
      </c>
      <c r="Y50" s="19">
        <f>IF($A50="","",IF(COUNTIFS(請求記録!$B$6:$B$3005,$A50,請求記録!$Z$6:$Z$3005,Y$5,請求記録!$AF$6:$AF$3005,"保留中")&gt;0,"保留",IF(COUNTIFS(請求記録!$B$6:$B$3005,$A50,請求記録!$Z$6:$Z$3005,Y$5)=0,"",SUMIFS(請求記録!$AE$6:$AE$3005,請求記録!$B$6:$B$3005,$A50,請求記録!$Z$6:$Z$3005,Y$5))))</f>
        <v/>
      </c>
      <c r="Z50" s="19">
        <f>IF($A50="","",IF(COUNTIFS(請求記録!$B$6:$B$3005,$A50,請求記録!$Z$6:$Z$3005,Z$5,請求記録!$AF$6:$AF$3005,"保留中")&gt;0,"保留",IF(COUNTIFS(請求記録!$B$6:$B$3005,$A50,請求記録!$Z$6:$Z$3005,Z$5)=0,"",SUMIFS(請求記録!$AE$6:$AE$3005,請求記録!$B$6:$B$3005,$A50,請求記録!$Z$6:$Z$3005,Z$5))))</f>
        <v/>
      </c>
      <c r="AA50" s="19">
        <f>IF($A50="","",IF(COUNTIFS(請求記録!$B$6:$B$3005,$A50,請求記録!$Z$6:$Z$3005,AA$5,請求記録!$AF$6:$AF$3005,"保留中")&gt;0,"保留",IF(COUNTIFS(請求記録!$B$6:$B$3005,$A50,請求記録!$Z$6:$Z$3005,AA$5)=0,"",SUMIFS(請求記録!$AE$6:$AE$3005,請求記録!$B$6:$B$3005,$A50,請求記録!$Z$6:$Z$3005,AA$5))))</f>
        <v/>
      </c>
      <c r="AB50">
        <f>IF(職員マスタ!P50="保留中",職員マスタ!M50,"")</f>
        <v/>
      </c>
    </row>
    <row r="51">
      <c r="A51">
        <f>IF(職員マスタ!A51="","",職員マスタ!A51)</f>
        <v/>
      </c>
      <c r="B51">
        <f>IF($A51="","",職員マスタ!B51)</f>
        <v/>
      </c>
      <c r="C51">
        <f>IF($A51="","",職員マスタ!C51)</f>
        <v/>
      </c>
      <c r="D51" s="19">
        <f>IF($A51="","",IF(COUNTIFS(請求記録!$B$6:$B$3005,$A51,請求記録!$Z$6:$Z$3005,D$5,請求記録!$AF$6:$AF$3005,"保留中")&gt;0,"保留",IF(COUNTIFS(請求記録!$B$6:$B$3005,$A51,請求記録!$Z$6:$Z$3005,D$5)=0,"",SUMIFS(請求記録!$AE$6:$AE$3005,請求記録!$B$6:$B$3005,$A51,請求記録!$Z$6:$Z$3005,D$5))))</f>
        <v/>
      </c>
      <c r="E51" s="19">
        <f>IF($A51="","",IF(COUNTIFS(請求記録!$B$6:$B$3005,$A51,請求記録!$Z$6:$Z$3005,E$5,請求記録!$AF$6:$AF$3005,"保留中")&gt;0,"保留",IF(COUNTIFS(請求記録!$B$6:$B$3005,$A51,請求記録!$Z$6:$Z$3005,E$5)=0,"",SUMIFS(請求記録!$AE$6:$AE$3005,請求記録!$B$6:$B$3005,$A51,請求記録!$Z$6:$Z$3005,E$5))))</f>
        <v/>
      </c>
      <c r="F51" s="19">
        <f>IF($A51="","",IF(COUNTIFS(請求記録!$B$6:$B$3005,$A51,請求記録!$Z$6:$Z$3005,F$5,請求記録!$AF$6:$AF$3005,"保留中")&gt;0,"保留",IF(COUNTIFS(請求記録!$B$6:$B$3005,$A51,請求記録!$Z$6:$Z$3005,F$5)=0,"",SUMIFS(請求記録!$AE$6:$AE$3005,請求記録!$B$6:$B$3005,$A51,請求記録!$Z$6:$Z$3005,F$5))))</f>
        <v/>
      </c>
      <c r="G51" s="19">
        <f>IF($A51="","",IF(COUNTIFS(請求記録!$B$6:$B$3005,$A51,請求記録!$Z$6:$Z$3005,G$5,請求記録!$AF$6:$AF$3005,"保留中")&gt;0,"保留",IF(COUNTIFS(請求記録!$B$6:$B$3005,$A51,請求記録!$Z$6:$Z$3005,G$5)=0,"",SUMIFS(請求記録!$AE$6:$AE$3005,請求記録!$B$6:$B$3005,$A51,請求記録!$Z$6:$Z$3005,G$5))))</f>
        <v/>
      </c>
      <c r="H51" s="19">
        <f>IF($A51="","",IF(COUNTIFS(請求記録!$B$6:$B$3005,$A51,請求記録!$Z$6:$Z$3005,H$5,請求記録!$AF$6:$AF$3005,"保留中")&gt;0,"保留",IF(COUNTIFS(請求記録!$B$6:$B$3005,$A51,請求記録!$Z$6:$Z$3005,H$5)=0,"",SUMIFS(請求記録!$AE$6:$AE$3005,請求記録!$B$6:$B$3005,$A51,請求記録!$Z$6:$Z$3005,H$5))))</f>
        <v/>
      </c>
      <c r="I51" s="19">
        <f>IF($A51="","",IF(COUNTIFS(請求記録!$B$6:$B$3005,$A51,請求記録!$Z$6:$Z$3005,I$5,請求記録!$AF$6:$AF$3005,"保留中")&gt;0,"保留",IF(COUNTIFS(請求記録!$B$6:$B$3005,$A51,請求記録!$Z$6:$Z$3005,I$5)=0,"",SUMIFS(請求記録!$AE$6:$AE$3005,請求記録!$B$6:$B$3005,$A51,請求記録!$Z$6:$Z$3005,I$5))))</f>
        <v/>
      </c>
      <c r="J51" s="19">
        <f>IF($A51="","",IF(COUNTIFS(請求記録!$B$6:$B$3005,$A51,請求記録!$Z$6:$Z$3005,J$5,請求記録!$AF$6:$AF$3005,"保留中")&gt;0,"保留",IF(COUNTIFS(請求記録!$B$6:$B$3005,$A51,請求記録!$Z$6:$Z$3005,J$5)=0,"",SUMIFS(請求記録!$AE$6:$AE$3005,請求記録!$B$6:$B$3005,$A51,請求記録!$Z$6:$Z$3005,J$5))))</f>
        <v/>
      </c>
      <c r="K51" s="19">
        <f>IF($A51="","",IF(COUNTIFS(請求記録!$B$6:$B$3005,$A51,請求記録!$Z$6:$Z$3005,K$5,請求記録!$AF$6:$AF$3005,"保留中")&gt;0,"保留",IF(COUNTIFS(請求記録!$B$6:$B$3005,$A51,請求記録!$Z$6:$Z$3005,K$5)=0,"",SUMIFS(請求記録!$AE$6:$AE$3005,請求記録!$B$6:$B$3005,$A51,請求記録!$Z$6:$Z$3005,K$5))))</f>
        <v/>
      </c>
      <c r="L51" s="19">
        <f>IF($A51="","",IF(COUNTIFS(請求記録!$B$6:$B$3005,$A51,請求記録!$Z$6:$Z$3005,L$5,請求記録!$AF$6:$AF$3005,"保留中")&gt;0,"保留",IF(COUNTIFS(請求記録!$B$6:$B$3005,$A51,請求記録!$Z$6:$Z$3005,L$5)=0,"",SUMIFS(請求記録!$AE$6:$AE$3005,請求記録!$B$6:$B$3005,$A51,請求記録!$Z$6:$Z$3005,L$5))))</f>
        <v/>
      </c>
      <c r="M51" s="19">
        <f>IF($A51="","",IF(COUNTIFS(請求記録!$B$6:$B$3005,$A51,請求記録!$Z$6:$Z$3005,M$5,請求記録!$AF$6:$AF$3005,"保留中")&gt;0,"保留",IF(COUNTIFS(請求記録!$B$6:$B$3005,$A51,請求記録!$Z$6:$Z$3005,M$5)=0,"",SUMIFS(請求記録!$AE$6:$AE$3005,請求記録!$B$6:$B$3005,$A51,請求記録!$Z$6:$Z$3005,M$5))))</f>
        <v/>
      </c>
      <c r="N51" s="19">
        <f>IF($A51="","",IF(COUNTIFS(請求記録!$B$6:$B$3005,$A51,請求記録!$Z$6:$Z$3005,N$5,請求記録!$AF$6:$AF$3005,"保留中")&gt;0,"保留",IF(COUNTIFS(請求記録!$B$6:$B$3005,$A51,請求記録!$Z$6:$Z$3005,N$5)=0,"",SUMIFS(請求記録!$AE$6:$AE$3005,請求記録!$B$6:$B$3005,$A51,請求記録!$Z$6:$Z$3005,N$5))))</f>
        <v/>
      </c>
      <c r="O51" s="19">
        <f>IF($A51="","",IF(COUNTIFS(請求記録!$B$6:$B$3005,$A51,請求記録!$Z$6:$Z$3005,O$5,請求記録!$AF$6:$AF$3005,"保留中")&gt;0,"保留",IF(COUNTIFS(請求記録!$B$6:$B$3005,$A51,請求記録!$Z$6:$Z$3005,O$5)=0,"",SUMIFS(請求記録!$AE$6:$AE$3005,請求記録!$B$6:$B$3005,$A51,請求記録!$Z$6:$Z$3005,O$5))))</f>
        <v/>
      </c>
      <c r="P51" s="19">
        <f>IF($A51="","",IF(COUNTIFS(請求記録!$B$6:$B$3005,$A51,請求記録!$Z$6:$Z$3005,P$5,請求記録!$AF$6:$AF$3005,"保留中")&gt;0,"保留",IF(COUNTIFS(請求記録!$B$6:$B$3005,$A51,請求記録!$Z$6:$Z$3005,P$5)=0,"",SUMIFS(請求記録!$AE$6:$AE$3005,請求記録!$B$6:$B$3005,$A51,請求記録!$Z$6:$Z$3005,P$5))))</f>
        <v/>
      </c>
      <c r="Q51" s="19">
        <f>IF($A51="","",IF(COUNTIFS(請求記録!$B$6:$B$3005,$A51,請求記録!$Z$6:$Z$3005,Q$5,請求記録!$AF$6:$AF$3005,"保留中")&gt;0,"保留",IF(COUNTIFS(請求記録!$B$6:$B$3005,$A51,請求記録!$Z$6:$Z$3005,Q$5)=0,"",SUMIFS(請求記録!$AE$6:$AE$3005,請求記録!$B$6:$B$3005,$A51,請求記録!$Z$6:$Z$3005,Q$5))))</f>
        <v/>
      </c>
      <c r="R51" s="19">
        <f>IF($A51="","",IF(COUNTIFS(請求記録!$B$6:$B$3005,$A51,請求記録!$Z$6:$Z$3005,R$5,請求記録!$AF$6:$AF$3005,"保留中")&gt;0,"保留",IF(COUNTIFS(請求記録!$B$6:$B$3005,$A51,請求記録!$Z$6:$Z$3005,R$5)=0,"",SUMIFS(請求記録!$AE$6:$AE$3005,請求記録!$B$6:$B$3005,$A51,請求記録!$Z$6:$Z$3005,R$5))))</f>
        <v/>
      </c>
      <c r="S51" s="19">
        <f>IF($A51="","",IF(COUNTIFS(請求記録!$B$6:$B$3005,$A51,請求記録!$Z$6:$Z$3005,S$5,請求記録!$AF$6:$AF$3005,"保留中")&gt;0,"保留",IF(COUNTIFS(請求記録!$B$6:$B$3005,$A51,請求記録!$Z$6:$Z$3005,S$5)=0,"",SUMIFS(請求記録!$AE$6:$AE$3005,請求記録!$B$6:$B$3005,$A51,請求記録!$Z$6:$Z$3005,S$5))))</f>
        <v/>
      </c>
      <c r="T51" s="19">
        <f>IF($A51="","",IF(COUNTIFS(請求記録!$B$6:$B$3005,$A51,請求記録!$Z$6:$Z$3005,T$5,請求記録!$AF$6:$AF$3005,"保留中")&gt;0,"保留",IF(COUNTIFS(請求記録!$B$6:$B$3005,$A51,請求記録!$Z$6:$Z$3005,T$5)=0,"",SUMIFS(請求記録!$AE$6:$AE$3005,請求記録!$B$6:$B$3005,$A51,請求記録!$Z$6:$Z$3005,T$5))))</f>
        <v/>
      </c>
      <c r="U51" s="19">
        <f>IF($A51="","",IF(COUNTIFS(請求記録!$B$6:$B$3005,$A51,請求記録!$Z$6:$Z$3005,U$5,請求記録!$AF$6:$AF$3005,"保留中")&gt;0,"保留",IF(COUNTIFS(請求記録!$B$6:$B$3005,$A51,請求記録!$Z$6:$Z$3005,U$5)=0,"",SUMIFS(請求記録!$AE$6:$AE$3005,請求記録!$B$6:$B$3005,$A51,請求記録!$Z$6:$Z$3005,U$5))))</f>
        <v/>
      </c>
      <c r="V51" s="19">
        <f>IF($A51="","",IF(COUNTIFS(請求記録!$B$6:$B$3005,$A51,請求記録!$Z$6:$Z$3005,V$5,請求記録!$AF$6:$AF$3005,"保留中")&gt;0,"保留",IF(COUNTIFS(請求記録!$B$6:$B$3005,$A51,請求記録!$Z$6:$Z$3005,V$5)=0,"",SUMIFS(請求記録!$AE$6:$AE$3005,請求記録!$B$6:$B$3005,$A51,請求記録!$Z$6:$Z$3005,V$5))))</f>
        <v/>
      </c>
      <c r="W51" s="19">
        <f>IF($A51="","",IF(COUNTIFS(請求記録!$B$6:$B$3005,$A51,請求記録!$Z$6:$Z$3005,W$5,請求記録!$AF$6:$AF$3005,"保留中")&gt;0,"保留",IF(COUNTIFS(請求記録!$B$6:$B$3005,$A51,請求記録!$Z$6:$Z$3005,W$5)=0,"",SUMIFS(請求記録!$AE$6:$AE$3005,請求記録!$B$6:$B$3005,$A51,請求記録!$Z$6:$Z$3005,W$5))))</f>
        <v/>
      </c>
      <c r="X51" s="19">
        <f>IF($A51="","",IF(COUNTIFS(請求記録!$B$6:$B$3005,$A51,請求記録!$Z$6:$Z$3005,X$5,請求記録!$AF$6:$AF$3005,"保留中")&gt;0,"保留",IF(COUNTIFS(請求記録!$B$6:$B$3005,$A51,請求記録!$Z$6:$Z$3005,X$5)=0,"",SUMIFS(請求記録!$AE$6:$AE$3005,請求記録!$B$6:$B$3005,$A51,請求記録!$Z$6:$Z$3005,X$5))))</f>
        <v/>
      </c>
      <c r="Y51" s="19">
        <f>IF($A51="","",IF(COUNTIFS(請求記録!$B$6:$B$3005,$A51,請求記録!$Z$6:$Z$3005,Y$5,請求記録!$AF$6:$AF$3005,"保留中")&gt;0,"保留",IF(COUNTIFS(請求記録!$B$6:$B$3005,$A51,請求記録!$Z$6:$Z$3005,Y$5)=0,"",SUMIFS(請求記録!$AE$6:$AE$3005,請求記録!$B$6:$B$3005,$A51,請求記録!$Z$6:$Z$3005,Y$5))))</f>
        <v/>
      </c>
      <c r="Z51" s="19">
        <f>IF($A51="","",IF(COUNTIFS(請求記録!$B$6:$B$3005,$A51,請求記録!$Z$6:$Z$3005,Z$5,請求記録!$AF$6:$AF$3005,"保留中")&gt;0,"保留",IF(COUNTIFS(請求記録!$B$6:$B$3005,$A51,請求記録!$Z$6:$Z$3005,Z$5)=0,"",SUMIFS(請求記録!$AE$6:$AE$3005,請求記録!$B$6:$B$3005,$A51,請求記録!$Z$6:$Z$3005,Z$5))))</f>
        <v/>
      </c>
      <c r="AA51" s="19">
        <f>IF($A51="","",IF(COUNTIFS(請求記録!$B$6:$B$3005,$A51,請求記録!$Z$6:$Z$3005,AA$5,請求記録!$AF$6:$AF$3005,"保留中")&gt;0,"保留",IF(COUNTIFS(請求記録!$B$6:$B$3005,$A51,請求記録!$Z$6:$Z$3005,AA$5)=0,"",SUMIFS(請求記録!$AE$6:$AE$3005,請求記録!$B$6:$B$3005,$A51,請求記録!$Z$6:$Z$3005,AA$5))))</f>
        <v/>
      </c>
      <c r="AB51">
        <f>IF(職員マスタ!P51="保留中",職員マスタ!M51,"")</f>
        <v/>
      </c>
    </row>
    <row r="52">
      <c r="A52">
        <f>IF(職員マスタ!A52="","",職員マスタ!A52)</f>
        <v/>
      </c>
      <c r="B52">
        <f>IF($A52="","",職員マスタ!B52)</f>
        <v/>
      </c>
      <c r="C52">
        <f>IF($A52="","",職員マスタ!C52)</f>
        <v/>
      </c>
      <c r="D52" s="19">
        <f>IF($A52="","",IF(COUNTIFS(請求記録!$B$6:$B$3005,$A52,請求記録!$Z$6:$Z$3005,D$5,請求記録!$AF$6:$AF$3005,"保留中")&gt;0,"保留",IF(COUNTIFS(請求記録!$B$6:$B$3005,$A52,請求記録!$Z$6:$Z$3005,D$5)=0,"",SUMIFS(請求記録!$AE$6:$AE$3005,請求記録!$B$6:$B$3005,$A52,請求記録!$Z$6:$Z$3005,D$5))))</f>
        <v/>
      </c>
      <c r="E52" s="19">
        <f>IF($A52="","",IF(COUNTIFS(請求記録!$B$6:$B$3005,$A52,請求記録!$Z$6:$Z$3005,E$5,請求記録!$AF$6:$AF$3005,"保留中")&gt;0,"保留",IF(COUNTIFS(請求記録!$B$6:$B$3005,$A52,請求記録!$Z$6:$Z$3005,E$5)=0,"",SUMIFS(請求記録!$AE$6:$AE$3005,請求記録!$B$6:$B$3005,$A52,請求記録!$Z$6:$Z$3005,E$5))))</f>
        <v/>
      </c>
      <c r="F52" s="19">
        <f>IF($A52="","",IF(COUNTIFS(請求記録!$B$6:$B$3005,$A52,請求記録!$Z$6:$Z$3005,F$5,請求記録!$AF$6:$AF$3005,"保留中")&gt;0,"保留",IF(COUNTIFS(請求記録!$B$6:$B$3005,$A52,請求記録!$Z$6:$Z$3005,F$5)=0,"",SUMIFS(請求記録!$AE$6:$AE$3005,請求記録!$B$6:$B$3005,$A52,請求記録!$Z$6:$Z$3005,F$5))))</f>
        <v/>
      </c>
      <c r="G52" s="19">
        <f>IF($A52="","",IF(COUNTIFS(請求記録!$B$6:$B$3005,$A52,請求記録!$Z$6:$Z$3005,G$5,請求記録!$AF$6:$AF$3005,"保留中")&gt;0,"保留",IF(COUNTIFS(請求記録!$B$6:$B$3005,$A52,請求記録!$Z$6:$Z$3005,G$5)=0,"",SUMIFS(請求記録!$AE$6:$AE$3005,請求記録!$B$6:$B$3005,$A52,請求記録!$Z$6:$Z$3005,G$5))))</f>
        <v/>
      </c>
      <c r="H52" s="19">
        <f>IF($A52="","",IF(COUNTIFS(請求記録!$B$6:$B$3005,$A52,請求記録!$Z$6:$Z$3005,H$5,請求記録!$AF$6:$AF$3005,"保留中")&gt;0,"保留",IF(COUNTIFS(請求記録!$B$6:$B$3005,$A52,請求記録!$Z$6:$Z$3005,H$5)=0,"",SUMIFS(請求記録!$AE$6:$AE$3005,請求記録!$B$6:$B$3005,$A52,請求記録!$Z$6:$Z$3005,H$5))))</f>
        <v/>
      </c>
      <c r="I52" s="19">
        <f>IF($A52="","",IF(COUNTIFS(請求記録!$B$6:$B$3005,$A52,請求記録!$Z$6:$Z$3005,I$5,請求記録!$AF$6:$AF$3005,"保留中")&gt;0,"保留",IF(COUNTIFS(請求記録!$B$6:$B$3005,$A52,請求記録!$Z$6:$Z$3005,I$5)=0,"",SUMIFS(請求記録!$AE$6:$AE$3005,請求記録!$B$6:$B$3005,$A52,請求記録!$Z$6:$Z$3005,I$5))))</f>
        <v/>
      </c>
      <c r="J52" s="19">
        <f>IF($A52="","",IF(COUNTIFS(請求記録!$B$6:$B$3005,$A52,請求記録!$Z$6:$Z$3005,J$5,請求記録!$AF$6:$AF$3005,"保留中")&gt;0,"保留",IF(COUNTIFS(請求記録!$B$6:$B$3005,$A52,請求記録!$Z$6:$Z$3005,J$5)=0,"",SUMIFS(請求記録!$AE$6:$AE$3005,請求記録!$B$6:$B$3005,$A52,請求記録!$Z$6:$Z$3005,J$5))))</f>
        <v/>
      </c>
      <c r="K52" s="19">
        <f>IF($A52="","",IF(COUNTIFS(請求記録!$B$6:$B$3005,$A52,請求記録!$Z$6:$Z$3005,K$5,請求記録!$AF$6:$AF$3005,"保留中")&gt;0,"保留",IF(COUNTIFS(請求記録!$B$6:$B$3005,$A52,請求記録!$Z$6:$Z$3005,K$5)=0,"",SUMIFS(請求記録!$AE$6:$AE$3005,請求記録!$B$6:$B$3005,$A52,請求記録!$Z$6:$Z$3005,K$5))))</f>
        <v/>
      </c>
      <c r="L52" s="19">
        <f>IF($A52="","",IF(COUNTIFS(請求記録!$B$6:$B$3005,$A52,請求記録!$Z$6:$Z$3005,L$5,請求記録!$AF$6:$AF$3005,"保留中")&gt;0,"保留",IF(COUNTIFS(請求記録!$B$6:$B$3005,$A52,請求記録!$Z$6:$Z$3005,L$5)=0,"",SUMIFS(請求記録!$AE$6:$AE$3005,請求記録!$B$6:$B$3005,$A52,請求記録!$Z$6:$Z$3005,L$5))))</f>
        <v/>
      </c>
      <c r="M52" s="19">
        <f>IF($A52="","",IF(COUNTIFS(請求記録!$B$6:$B$3005,$A52,請求記録!$Z$6:$Z$3005,M$5,請求記録!$AF$6:$AF$3005,"保留中")&gt;0,"保留",IF(COUNTIFS(請求記録!$B$6:$B$3005,$A52,請求記録!$Z$6:$Z$3005,M$5)=0,"",SUMIFS(請求記録!$AE$6:$AE$3005,請求記録!$B$6:$B$3005,$A52,請求記録!$Z$6:$Z$3005,M$5))))</f>
        <v/>
      </c>
      <c r="N52" s="19">
        <f>IF($A52="","",IF(COUNTIFS(請求記録!$B$6:$B$3005,$A52,請求記録!$Z$6:$Z$3005,N$5,請求記録!$AF$6:$AF$3005,"保留中")&gt;0,"保留",IF(COUNTIFS(請求記録!$B$6:$B$3005,$A52,請求記録!$Z$6:$Z$3005,N$5)=0,"",SUMIFS(請求記録!$AE$6:$AE$3005,請求記録!$B$6:$B$3005,$A52,請求記録!$Z$6:$Z$3005,N$5))))</f>
        <v/>
      </c>
      <c r="O52" s="19">
        <f>IF($A52="","",IF(COUNTIFS(請求記録!$B$6:$B$3005,$A52,請求記録!$Z$6:$Z$3005,O$5,請求記録!$AF$6:$AF$3005,"保留中")&gt;0,"保留",IF(COUNTIFS(請求記録!$B$6:$B$3005,$A52,請求記録!$Z$6:$Z$3005,O$5)=0,"",SUMIFS(請求記録!$AE$6:$AE$3005,請求記録!$B$6:$B$3005,$A52,請求記録!$Z$6:$Z$3005,O$5))))</f>
        <v/>
      </c>
      <c r="P52" s="19">
        <f>IF($A52="","",IF(COUNTIFS(請求記録!$B$6:$B$3005,$A52,請求記録!$Z$6:$Z$3005,P$5,請求記録!$AF$6:$AF$3005,"保留中")&gt;0,"保留",IF(COUNTIFS(請求記録!$B$6:$B$3005,$A52,請求記録!$Z$6:$Z$3005,P$5)=0,"",SUMIFS(請求記録!$AE$6:$AE$3005,請求記録!$B$6:$B$3005,$A52,請求記録!$Z$6:$Z$3005,P$5))))</f>
        <v/>
      </c>
      <c r="Q52" s="19">
        <f>IF($A52="","",IF(COUNTIFS(請求記録!$B$6:$B$3005,$A52,請求記録!$Z$6:$Z$3005,Q$5,請求記録!$AF$6:$AF$3005,"保留中")&gt;0,"保留",IF(COUNTIFS(請求記録!$B$6:$B$3005,$A52,請求記録!$Z$6:$Z$3005,Q$5)=0,"",SUMIFS(請求記録!$AE$6:$AE$3005,請求記録!$B$6:$B$3005,$A52,請求記録!$Z$6:$Z$3005,Q$5))))</f>
        <v/>
      </c>
      <c r="R52" s="19">
        <f>IF($A52="","",IF(COUNTIFS(請求記録!$B$6:$B$3005,$A52,請求記録!$Z$6:$Z$3005,R$5,請求記録!$AF$6:$AF$3005,"保留中")&gt;0,"保留",IF(COUNTIFS(請求記録!$B$6:$B$3005,$A52,請求記録!$Z$6:$Z$3005,R$5)=0,"",SUMIFS(請求記録!$AE$6:$AE$3005,請求記録!$B$6:$B$3005,$A52,請求記録!$Z$6:$Z$3005,R$5))))</f>
        <v/>
      </c>
      <c r="S52" s="19">
        <f>IF($A52="","",IF(COUNTIFS(請求記録!$B$6:$B$3005,$A52,請求記録!$Z$6:$Z$3005,S$5,請求記録!$AF$6:$AF$3005,"保留中")&gt;0,"保留",IF(COUNTIFS(請求記録!$B$6:$B$3005,$A52,請求記録!$Z$6:$Z$3005,S$5)=0,"",SUMIFS(請求記録!$AE$6:$AE$3005,請求記録!$B$6:$B$3005,$A52,請求記録!$Z$6:$Z$3005,S$5))))</f>
        <v/>
      </c>
      <c r="T52" s="19">
        <f>IF($A52="","",IF(COUNTIFS(請求記録!$B$6:$B$3005,$A52,請求記録!$Z$6:$Z$3005,T$5,請求記録!$AF$6:$AF$3005,"保留中")&gt;0,"保留",IF(COUNTIFS(請求記録!$B$6:$B$3005,$A52,請求記録!$Z$6:$Z$3005,T$5)=0,"",SUMIFS(請求記録!$AE$6:$AE$3005,請求記録!$B$6:$B$3005,$A52,請求記録!$Z$6:$Z$3005,T$5))))</f>
        <v/>
      </c>
      <c r="U52" s="19">
        <f>IF($A52="","",IF(COUNTIFS(請求記録!$B$6:$B$3005,$A52,請求記録!$Z$6:$Z$3005,U$5,請求記録!$AF$6:$AF$3005,"保留中")&gt;0,"保留",IF(COUNTIFS(請求記録!$B$6:$B$3005,$A52,請求記録!$Z$6:$Z$3005,U$5)=0,"",SUMIFS(請求記録!$AE$6:$AE$3005,請求記録!$B$6:$B$3005,$A52,請求記録!$Z$6:$Z$3005,U$5))))</f>
        <v/>
      </c>
      <c r="V52" s="19">
        <f>IF($A52="","",IF(COUNTIFS(請求記録!$B$6:$B$3005,$A52,請求記録!$Z$6:$Z$3005,V$5,請求記録!$AF$6:$AF$3005,"保留中")&gt;0,"保留",IF(COUNTIFS(請求記録!$B$6:$B$3005,$A52,請求記録!$Z$6:$Z$3005,V$5)=0,"",SUMIFS(請求記録!$AE$6:$AE$3005,請求記録!$B$6:$B$3005,$A52,請求記録!$Z$6:$Z$3005,V$5))))</f>
        <v/>
      </c>
      <c r="W52" s="19">
        <f>IF($A52="","",IF(COUNTIFS(請求記録!$B$6:$B$3005,$A52,請求記録!$Z$6:$Z$3005,W$5,請求記録!$AF$6:$AF$3005,"保留中")&gt;0,"保留",IF(COUNTIFS(請求記録!$B$6:$B$3005,$A52,請求記録!$Z$6:$Z$3005,W$5)=0,"",SUMIFS(請求記録!$AE$6:$AE$3005,請求記録!$B$6:$B$3005,$A52,請求記録!$Z$6:$Z$3005,W$5))))</f>
        <v/>
      </c>
      <c r="X52" s="19">
        <f>IF($A52="","",IF(COUNTIFS(請求記録!$B$6:$B$3005,$A52,請求記録!$Z$6:$Z$3005,X$5,請求記録!$AF$6:$AF$3005,"保留中")&gt;0,"保留",IF(COUNTIFS(請求記録!$B$6:$B$3005,$A52,請求記録!$Z$6:$Z$3005,X$5)=0,"",SUMIFS(請求記録!$AE$6:$AE$3005,請求記録!$B$6:$B$3005,$A52,請求記録!$Z$6:$Z$3005,X$5))))</f>
        <v/>
      </c>
      <c r="Y52" s="19">
        <f>IF($A52="","",IF(COUNTIFS(請求記録!$B$6:$B$3005,$A52,請求記録!$Z$6:$Z$3005,Y$5,請求記録!$AF$6:$AF$3005,"保留中")&gt;0,"保留",IF(COUNTIFS(請求記録!$B$6:$B$3005,$A52,請求記録!$Z$6:$Z$3005,Y$5)=0,"",SUMIFS(請求記録!$AE$6:$AE$3005,請求記録!$B$6:$B$3005,$A52,請求記録!$Z$6:$Z$3005,Y$5))))</f>
        <v/>
      </c>
      <c r="Z52" s="19">
        <f>IF($A52="","",IF(COUNTIFS(請求記録!$B$6:$B$3005,$A52,請求記録!$Z$6:$Z$3005,Z$5,請求記録!$AF$6:$AF$3005,"保留中")&gt;0,"保留",IF(COUNTIFS(請求記録!$B$6:$B$3005,$A52,請求記録!$Z$6:$Z$3005,Z$5)=0,"",SUMIFS(請求記録!$AE$6:$AE$3005,請求記録!$B$6:$B$3005,$A52,請求記録!$Z$6:$Z$3005,Z$5))))</f>
        <v/>
      </c>
      <c r="AA52" s="19">
        <f>IF($A52="","",IF(COUNTIFS(請求記録!$B$6:$B$3005,$A52,請求記録!$Z$6:$Z$3005,AA$5,請求記録!$AF$6:$AF$3005,"保留中")&gt;0,"保留",IF(COUNTIFS(請求記録!$B$6:$B$3005,$A52,請求記録!$Z$6:$Z$3005,AA$5)=0,"",SUMIFS(請求記録!$AE$6:$AE$3005,請求記録!$B$6:$B$3005,$A52,請求記録!$Z$6:$Z$3005,AA$5))))</f>
        <v/>
      </c>
      <c r="AB52">
        <f>IF(職員マスタ!P52="保留中",職員マスタ!M52,"")</f>
        <v/>
      </c>
    </row>
    <row r="53">
      <c r="A53">
        <f>IF(職員マスタ!A53="","",職員マスタ!A53)</f>
        <v/>
      </c>
      <c r="B53">
        <f>IF($A53="","",職員マスタ!B53)</f>
        <v/>
      </c>
      <c r="C53">
        <f>IF($A53="","",職員マスタ!C53)</f>
        <v/>
      </c>
      <c r="D53" s="19">
        <f>IF($A53="","",IF(COUNTIFS(請求記録!$B$6:$B$3005,$A53,請求記録!$Z$6:$Z$3005,D$5,請求記録!$AF$6:$AF$3005,"保留中")&gt;0,"保留",IF(COUNTIFS(請求記録!$B$6:$B$3005,$A53,請求記録!$Z$6:$Z$3005,D$5)=0,"",SUMIFS(請求記録!$AE$6:$AE$3005,請求記録!$B$6:$B$3005,$A53,請求記録!$Z$6:$Z$3005,D$5))))</f>
        <v/>
      </c>
      <c r="E53" s="19">
        <f>IF($A53="","",IF(COUNTIFS(請求記録!$B$6:$B$3005,$A53,請求記録!$Z$6:$Z$3005,E$5,請求記録!$AF$6:$AF$3005,"保留中")&gt;0,"保留",IF(COUNTIFS(請求記録!$B$6:$B$3005,$A53,請求記録!$Z$6:$Z$3005,E$5)=0,"",SUMIFS(請求記録!$AE$6:$AE$3005,請求記録!$B$6:$B$3005,$A53,請求記録!$Z$6:$Z$3005,E$5))))</f>
        <v/>
      </c>
      <c r="F53" s="19">
        <f>IF($A53="","",IF(COUNTIFS(請求記録!$B$6:$B$3005,$A53,請求記録!$Z$6:$Z$3005,F$5,請求記録!$AF$6:$AF$3005,"保留中")&gt;0,"保留",IF(COUNTIFS(請求記録!$B$6:$B$3005,$A53,請求記録!$Z$6:$Z$3005,F$5)=0,"",SUMIFS(請求記録!$AE$6:$AE$3005,請求記録!$B$6:$B$3005,$A53,請求記録!$Z$6:$Z$3005,F$5))))</f>
        <v/>
      </c>
      <c r="G53" s="19">
        <f>IF($A53="","",IF(COUNTIFS(請求記録!$B$6:$B$3005,$A53,請求記録!$Z$6:$Z$3005,G$5,請求記録!$AF$6:$AF$3005,"保留中")&gt;0,"保留",IF(COUNTIFS(請求記録!$B$6:$B$3005,$A53,請求記録!$Z$6:$Z$3005,G$5)=0,"",SUMIFS(請求記録!$AE$6:$AE$3005,請求記録!$B$6:$B$3005,$A53,請求記録!$Z$6:$Z$3005,G$5))))</f>
        <v/>
      </c>
      <c r="H53" s="19">
        <f>IF($A53="","",IF(COUNTIFS(請求記録!$B$6:$B$3005,$A53,請求記録!$Z$6:$Z$3005,H$5,請求記録!$AF$6:$AF$3005,"保留中")&gt;0,"保留",IF(COUNTIFS(請求記録!$B$6:$B$3005,$A53,請求記録!$Z$6:$Z$3005,H$5)=0,"",SUMIFS(請求記録!$AE$6:$AE$3005,請求記録!$B$6:$B$3005,$A53,請求記録!$Z$6:$Z$3005,H$5))))</f>
        <v/>
      </c>
      <c r="I53" s="19">
        <f>IF($A53="","",IF(COUNTIFS(請求記録!$B$6:$B$3005,$A53,請求記録!$Z$6:$Z$3005,I$5,請求記録!$AF$6:$AF$3005,"保留中")&gt;0,"保留",IF(COUNTIFS(請求記録!$B$6:$B$3005,$A53,請求記録!$Z$6:$Z$3005,I$5)=0,"",SUMIFS(請求記録!$AE$6:$AE$3005,請求記録!$B$6:$B$3005,$A53,請求記録!$Z$6:$Z$3005,I$5))))</f>
        <v/>
      </c>
      <c r="J53" s="19">
        <f>IF($A53="","",IF(COUNTIFS(請求記録!$B$6:$B$3005,$A53,請求記録!$Z$6:$Z$3005,J$5,請求記録!$AF$6:$AF$3005,"保留中")&gt;0,"保留",IF(COUNTIFS(請求記録!$B$6:$B$3005,$A53,請求記録!$Z$6:$Z$3005,J$5)=0,"",SUMIFS(請求記録!$AE$6:$AE$3005,請求記録!$B$6:$B$3005,$A53,請求記録!$Z$6:$Z$3005,J$5))))</f>
        <v/>
      </c>
      <c r="K53" s="19">
        <f>IF($A53="","",IF(COUNTIFS(請求記録!$B$6:$B$3005,$A53,請求記録!$Z$6:$Z$3005,K$5,請求記録!$AF$6:$AF$3005,"保留中")&gt;0,"保留",IF(COUNTIFS(請求記録!$B$6:$B$3005,$A53,請求記録!$Z$6:$Z$3005,K$5)=0,"",SUMIFS(請求記録!$AE$6:$AE$3005,請求記録!$B$6:$B$3005,$A53,請求記録!$Z$6:$Z$3005,K$5))))</f>
        <v/>
      </c>
      <c r="L53" s="19">
        <f>IF($A53="","",IF(COUNTIFS(請求記録!$B$6:$B$3005,$A53,請求記録!$Z$6:$Z$3005,L$5,請求記録!$AF$6:$AF$3005,"保留中")&gt;0,"保留",IF(COUNTIFS(請求記録!$B$6:$B$3005,$A53,請求記録!$Z$6:$Z$3005,L$5)=0,"",SUMIFS(請求記録!$AE$6:$AE$3005,請求記録!$B$6:$B$3005,$A53,請求記録!$Z$6:$Z$3005,L$5))))</f>
        <v/>
      </c>
      <c r="M53" s="19">
        <f>IF($A53="","",IF(COUNTIFS(請求記録!$B$6:$B$3005,$A53,請求記録!$Z$6:$Z$3005,M$5,請求記録!$AF$6:$AF$3005,"保留中")&gt;0,"保留",IF(COUNTIFS(請求記録!$B$6:$B$3005,$A53,請求記録!$Z$6:$Z$3005,M$5)=0,"",SUMIFS(請求記録!$AE$6:$AE$3005,請求記録!$B$6:$B$3005,$A53,請求記録!$Z$6:$Z$3005,M$5))))</f>
        <v/>
      </c>
      <c r="N53" s="19">
        <f>IF($A53="","",IF(COUNTIFS(請求記録!$B$6:$B$3005,$A53,請求記録!$Z$6:$Z$3005,N$5,請求記録!$AF$6:$AF$3005,"保留中")&gt;0,"保留",IF(COUNTIFS(請求記録!$B$6:$B$3005,$A53,請求記録!$Z$6:$Z$3005,N$5)=0,"",SUMIFS(請求記録!$AE$6:$AE$3005,請求記録!$B$6:$B$3005,$A53,請求記録!$Z$6:$Z$3005,N$5))))</f>
        <v/>
      </c>
      <c r="O53" s="19">
        <f>IF($A53="","",IF(COUNTIFS(請求記録!$B$6:$B$3005,$A53,請求記録!$Z$6:$Z$3005,O$5,請求記録!$AF$6:$AF$3005,"保留中")&gt;0,"保留",IF(COUNTIFS(請求記録!$B$6:$B$3005,$A53,請求記録!$Z$6:$Z$3005,O$5)=0,"",SUMIFS(請求記録!$AE$6:$AE$3005,請求記録!$B$6:$B$3005,$A53,請求記録!$Z$6:$Z$3005,O$5))))</f>
        <v/>
      </c>
      <c r="P53" s="19">
        <f>IF($A53="","",IF(COUNTIFS(請求記録!$B$6:$B$3005,$A53,請求記録!$Z$6:$Z$3005,P$5,請求記録!$AF$6:$AF$3005,"保留中")&gt;0,"保留",IF(COUNTIFS(請求記録!$B$6:$B$3005,$A53,請求記録!$Z$6:$Z$3005,P$5)=0,"",SUMIFS(請求記録!$AE$6:$AE$3005,請求記録!$B$6:$B$3005,$A53,請求記録!$Z$6:$Z$3005,P$5))))</f>
        <v/>
      </c>
      <c r="Q53" s="19">
        <f>IF($A53="","",IF(COUNTIFS(請求記録!$B$6:$B$3005,$A53,請求記録!$Z$6:$Z$3005,Q$5,請求記録!$AF$6:$AF$3005,"保留中")&gt;0,"保留",IF(COUNTIFS(請求記録!$B$6:$B$3005,$A53,請求記録!$Z$6:$Z$3005,Q$5)=0,"",SUMIFS(請求記録!$AE$6:$AE$3005,請求記録!$B$6:$B$3005,$A53,請求記録!$Z$6:$Z$3005,Q$5))))</f>
        <v/>
      </c>
      <c r="R53" s="19">
        <f>IF($A53="","",IF(COUNTIFS(請求記録!$B$6:$B$3005,$A53,請求記録!$Z$6:$Z$3005,R$5,請求記録!$AF$6:$AF$3005,"保留中")&gt;0,"保留",IF(COUNTIFS(請求記録!$B$6:$B$3005,$A53,請求記録!$Z$6:$Z$3005,R$5)=0,"",SUMIFS(請求記録!$AE$6:$AE$3005,請求記録!$B$6:$B$3005,$A53,請求記録!$Z$6:$Z$3005,R$5))))</f>
        <v/>
      </c>
      <c r="S53" s="19">
        <f>IF($A53="","",IF(COUNTIFS(請求記録!$B$6:$B$3005,$A53,請求記録!$Z$6:$Z$3005,S$5,請求記録!$AF$6:$AF$3005,"保留中")&gt;0,"保留",IF(COUNTIFS(請求記録!$B$6:$B$3005,$A53,請求記録!$Z$6:$Z$3005,S$5)=0,"",SUMIFS(請求記録!$AE$6:$AE$3005,請求記録!$B$6:$B$3005,$A53,請求記録!$Z$6:$Z$3005,S$5))))</f>
        <v/>
      </c>
      <c r="T53" s="19">
        <f>IF($A53="","",IF(COUNTIFS(請求記録!$B$6:$B$3005,$A53,請求記録!$Z$6:$Z$3005,T$5,請求記録!$AF$6:$AF$3005,"保留中")&gt;0,"保留",IF(COUNTIFS(請求記録!$B$6:$B$3005,$A53,請求記録!$Z$6:$Z$3005,T$5)=0,"",SUMIFS(請求記録!$AE$6:$AE$3005,請求記録!$B$6:$B$3005,$A53,請求記録!$Z$6:$Z$3005,T$5))))</f>
        <v/>
      </c>
      <c r="U53" s="19">
        <f>IF($A53="","",IF(COUNTIFS(請求記録!$B$6:$B$3005,$A53,請求記録!$Z$6:$Z$3005,U$5,請求記録!$AF$6:$AF$3005,"保留中")&gt;0,"保留",IF(COUNTIFS(請求記録!$B$6:$B$3005,$A53,請求記録!$Z$6:$Z$3005,U$5)=0,"",SUMIFS(請求記録!$AE$6:$AE$3005,請求記録!$B$6:$B$3005,$A53,請求記録!$Z$6:$Z$3005,U$5))))</f>
        <v/>
      </c>
      <c r="V53" s="19">
        <f>IF($A53="","",IF(COUNTIFS(請求記録!$B$6:$B$3005,$A53,請求記録!$Z$6:$Z$3005,V$5,請求記録!$AF$6:$AF$3005,"保留中")&gt;0,"保留",IF(COUNTIFS(請求記録!$B$6:$B$3005,$A53,請求記録!$Z$6:$Z$3005,V$5)=0,"",SUMIFS(請求記録!$AE$6:$AE$3005,請求記録!$B$6:$B$3005,$A53,請求記録!$Z$6:$Z$3005,V$5))))</f>
        <v/>
      </c>
      <c r="W53" s="19">
        <f>IF($A53="","",IF(COUNTIFS(請求記録!$B$6:$B$3005,$A53,請求記録!$Z$6:$Z$3005,W$5,請求記録!$AF$6:$AF$3005,"保留中")&gt;0,"保留",IF(COUNTIFS(請求記録!$B$6:$B$3005,$A53,請求記録!$Z$6:$Z$3005,W$5)=0,"",SUMIFS(請求記録!$AE$6:$AE$3005,請求記録!$B$6:$B$3005,$A53,請求記録!$Z$6:$Z$3005,W$5))))</f>
        <v/>
      </c>
      <c r="X53" s="19">
        <f>IF($A53="","",IF(COUNTIFS(請求記録!$B$6:$B$3005,$A53,請求記録!$Z$6:$Z$3005,X$5,請求記録!$AF$6:$AF$3005,"保留中")&gt;0,"保留",IF(COUNTIFS(請求記録!$B$6:$B$3005,$A53,請求記録!$Z$6:$Z$3005,X$5)=0,"",SUMIFS(請求記録!$AE$6:$AE$3005,請求記録!$B$6:$B$3005,$A53,請求記録!$Z$6:$Z$3005,X$5))))</f>
        <v/>
      </c>
      <c r="Y53" s="19">
        <f>IF($A53="","",IF(COUNTIFS(請求記録!$B$6:$B$3005,$A53,請求記録!$Z$6:$Z$3005,Y$5,請求記録!$AF$6:$AF$3005,"保留中")&gt;0,"保留",IF(COUNTIFS(請求記録!$B$6:$B$3005,$A53,請求記録!$Z$6:$Z$3005,Y$5)=0,"",SUMIFS(請求記録!$AE$6:$AE$3005,請求記録!$B$6:$B$3005,$A53,請求記録!$Z$6:$Z$3005,Y$5))))</f>
        <v/>
      </c>
      <c r="Z53" s="19">
        <f>IF($A53="","",IF(COUNTIFS(請求記録!$B$6:$B$3005,$A53,請求記録!$Z$6:$Z$3005,Z$5,請求記録!$AF$6:$AF$3005,"保留中")&gt;0,"保留",IF(COUNTIFS(請求記録!$B$6:$B$3005,$A53,請求記録!$Z$6:$Z$3005,Z$5)=0,"",SUMIFS(請求記録!$AE$6:$AE$3005,請求記録!$B$6:$B$3005,$A53,請求記録!$Z$6:$Z$3005,Z$5))))</f>
        <v/>
      </c>
      <c r="AA53" s="19">
        <f>IF($A53="","",IF(COUNTIFS(請求記録!$B$6:$B$3005,$A53,請求記録!$Z$6:$Z$3005,AA$5,請求記録!$AF$6:$AF$3005,"保留中")&gt;0,"保留",IF(COUNTIFS(請求記録!$B$6:$B$3005,$A53,請求記録!$Z$6:$Z$3005,AA$5)=0,"",SUMIFS(請求記録!$AE$6:$AE$3005,請求記録!$B$6:$B$3005,$A53,請求記録!$Z$6:$Z$3005,AA$5))))</f>
        <v/>
      </c>
      <c r="AB53">
        <f>IF(職員マスタ!P53="保留中",職員マスタ!M53,"")</f>
        <v/>
      </c>
    </row>
    <row r="54">
      <c r="A54">
        <f>IF(職員マスタ!A54="","",職員マスタ!A54)</f>
        <v/>
      </c>
      <c r="B54">
        <f>IF($A54="","",職員マスタ!B54)</f>
        <v/>
      </c>
      <c r="C54">
        <f>IF($A54="","",職員マスタ!C54)</f>
        <v/>
      </c>
      <c r="D54" s="19">
        <f>IF($A54="","",IF(COUNTIFS(請求記録!$B$6:$B$3005,$A54,請求記録!$Z$6:$Z$3005,D$5,請求記録!$AF$6:$AF$3005,"保留中")&gt;0,"保留",IF(COUNTIFS(請求記録!$B$6:$B$3005,$A54,請求記録!$Z$6:$Z$3005,D$5)=0,"",SUMIFS(請求記録!$AE$6:$AE$3005,請求記録!$B$6:$B$3005,$A54,請求記録!$Z$6:$Z$3005,D$5))))</f>
        <v/>
      </c>
      <c r="E54" s="19">
        <f>IF($A54="","",IF(COUNTIFS(請求記録!$B$6:$B$3005,$A54,請求記録!$Z$6:$Z$3005,E$5,請求記録!$AF$6:$AF$3005,"保留中")&gt;0,"保留",IF(COUNTIFS(請求記録!$B$6:$B$3005,$A54,請求記録!$Z$6:$Z$3005,E$5)=0,"",SUMIFS(請求記録!$AE$6:$AE$3005,請求記録!$B$6:$B$3005,$A54,請求記録!$Z$6:$Z$3005,E$5))))</f>
        <v/>
      </c>
      <c r="F54" s="19">
        <f>IF($A54="","",IF(COUNTIFS(請求記録!$B$6:$B$3005,$A54,請求記録!$Z$6:$Z$3005,F$5,請求記録!$AF$6:$AF$3005,"保留中")&gt;0,"保留",IF(COUNTIFS(請求記録!$B$6:$B$3005,$A54,請求記録!$Z$6:$Z$3005,F$5)=0,"",SUMIFS(請求記録!$AE$6:$AE$3005,請求記録!$B$6:$B$3005,$A54,請求記録!$Z$6:$Z$3005,F$5))))</f>
        <v/>
      </c>
      <c r="G54" s="19">
        <f>IF($A54="","",IF(COUNTIFS(請求記録!$B$6:$B$3005,$A54,請求記録!$Z$6:$Z$3005,G$5,請求記録!$AF$6:$AF$3005,"保留中")&gt;0,"保留",IF(COUNTIFS(請求記録!$B$6:$B$3005,$A54,請求記録!$Z$6:$Z$3005,G$5)=0,"",SUMIFS(請求記録!$AE$6:$AE$3005,請求記録!$B$6:$B$3005,$A54,請求記録!$Z$6:$Z$3005,G$5))))</f>
        <v/>
      </c>
      <c r="H54" s="19">
        <f>IF($A54="","",IF(COUNTIFS(請求記録!$B$6:$B$3005,$A54,請求記録!$Z$6:$Z$3005,H$5,請求記録!$AF$6:$AF$3005,"保留中")&gt;0,"保留",IF(COUNTIFS(請求記録!$B$6:$B$3005,$A54,請求記録!$Z$6:$Z$3005,H$5)=0,"",SUMIFS(請求記録!$AE$6:$AE$3005,請求記録!$B$6:$B$3005,$A54,請求記録!$Z$6:$Z$3005,H$5))))</f>
        <v/>
      </c>
      <c r="I54" s="19">
        <f>IF($A54="","",IF(COUNTIFS(請求記録!$B$6:$B$3005,$A54,請求記録!$Z$6:$Z$3005,I$5,請求記録!$AF$6:$AF$3005,"保留中")&gt;0,"保留",IF(COUNTIFS(請求記録!$B$6:$B$3005,$A54,請求記録!$Z$6:$Z$3005,I$5)=0,"",SUMIFS(請求記録!$AE$6:$AE$3005,請求記録!$B$6:$B$3005,$A54,請求記録!$Z$6:$Z$3005,I$5))))</f>
        <v/>
      </c>
      <c r="J54" s="19">
        <f>IF($A54="","",IF(COUNTIFS(請求記録!$B$6:$B$3005,$A54,請求記録!$Z$6:$Z$3005,J$5,請求記録!$AF$6:$AF$3005,"保留中")&gt;0,"保留",IF(COUNTIFS(請求記録!$B$6:$B$3005,$A54,請求記録!$Z$6:$Z$3005,J$5)=0,"",SUMIFS(請求記録!$AE$6:$AE$3005,請求記録!$B$6:$B$3005,$A54,請求記録!$Z$6:$Z$3005,J$5))))</f>
        <v/>
      </c>
      <c r="K54" s="19">
        <f>IF($A54="","",IF(COUNTIFS(請求記録!$B$6:$B$3005,$A54,請求記録!$Z$6:$Z$3005,K$5,請求記録!$AF$6:$AF$3005,"保留中")&gt;0,"保留",IF(COUNTIFS(請求記録!$B$6:$B$3005,$A54,請求記録!$Z$6:$Z$3005,K$5)=0,"",SUMIFS(請求記録!$AE$6:$AE$3005,請求記録!$B$6:$B$3005,$A54,請求記録!$Z$6:$Z$3005,K$5))))</f>
        <v/>
      </c>
      <c r="L54" s="19">
        <f>IF($A54="","",IF(COUNTIFS(請求記録!$B$6:$B$3005,$A54,請求記録!$Z$6:$Z$3005,L$5,請求記録!$AF$6:$AF$3005,"保留中")&gt;0,"保留",IF(COUNTIFS(請求記録!$B$6:$B$3005,$A54,請求記録!$Z$6:$Z$3005,L$5)=0,"",SUMIFS(請求記録!$AE$6:$AE$3005,請求記録!$B$6:$B$3005,$A54,請求記録!$Z$6:$Z$3005,L$5))))</f>
        <v/>
      </c>
      <c r="M54" s="19">
        <f>IF($A54="","",IF(COUNTIFS(請求記録!$B$6:$B$3005,$A54,請求記録!$Z$6:$Z$3005,M$5,請求記録!$AF$6:$AF$3005,"保留中")&gt;0,"保留",IF(COUNTIFS(請求記録!$B$6:$B$3005,$A54,請求記録!$Z$6:$Z$3005,M$5)=0,"",SUMIFS(請求記録!$AE$6:$AE$3005,請求記録!$B$6:$B$3005,$A54,請求記録!$Z$6:$Z$3005,M$5))))</f>
        <v/>
      </c>
      <c r="N54" s="19">
        <f>IF($A54="","",IF(COUNTIFS(請求記録!$B$6:$B$3005,$A54,請求記録!$Z$6:$Z$3005,N$5,請求記録!$AF$6:$AF$3005,"保留中")&gt;0,"保留",IF(COUNTIFS(請求記録!$B$6:$B$3005,$A54,請求記録!$Z$6:$Z$3005,N$5)=0,"",SUMIFS(請求記録!$AE$6:$AE$3005,請求記録!$B$6:$B$3005,$A54,請求記録!$Z$6:$Z$3005,N$5))))</f>
        <v/>
      </c>
      <c r="O54" s="19">
        <f>IF($A54="","",IF(COUNTIFS(請求記録!$B$6:$B$3005,$A54,請求記録!$Z$6:$Z$3005,O$5,請求記録!$AF$6:$AF$3005,"保留中")&gt;0,"保留",IF(COUNTIFS(請求記録!$B$6:$B$3005,$A54,請求記録!$Z$6:$Z$3005,O$5)=0,"",SUMIFS(請求記録!$AE$6:$AE$3005,請求記録!$B$6:$B$3005,$A54,請求記録!$Z$6:$Z$3005,O$5))))</f>
        <v/>
      </c>
      <c r="P54" s="19">
        <f>IF($A54="","",IF(COUNTIFS(請求記録!$B$6:$B$3005,$A54,請求記録!$Z$6:$Z$3005,P$5,請求記録!$AF$6:$AF$3005,"保留中")&gt;0,"保留",IF(COUNTIFS(請求記録!$B$6:$B$3005,$A54,請求記録!$Z$6:$Z$3005,P$5)=0,"",SUMIFS(請求記録!$AE$6:$AE$3005,請求記録!$B$6:$B$3005,$A54,請求記録!$Z$6:$Z$3005,P$5))))</f>
        <v/>
      </c>
      <c r="Q54" s="19">
        <f>IF($A54="","",IF(COUNTIFS(請求記録!$B$6:$B$3005,$A54,請求記録!$Z$6:$Z$3005,Q$5,請求記録!$AF$6:$AF$3005,"保留中")&gt;0,"保留",IF(COUNTIFS(請求記録!$B$6:$B$3005,$A54,請求記録!$Z$6:$Z$3005,Q$5)=0,"",SUMIFS(請求記録!$AE$6:$AE$3005,請求記録!$B$6:$B$3005,$A54,請求記録!$Z$6:$Z$3005,Q$5))))</f>
        <v/>
      </c>
      <c r="R54" s="19">
        <f>IF($A54="","",IF(COUNTIFS(請求記録!$B$6:$B$3005,$A54,請求記録!$Z$6:$Z$3005,R$5,請求記録!$AF$6:$AF$3005,"保留中")&gt;0,"保留",IF(COUNTIFS(請求記録!$B$6:$B$3005,$A54,請求記録!$Z$6:$Z$3005,R$5)=0,"",SUMIFS(請求記録!$AE$6:$AE$3005,請求記録!$B$6:$B$3005,$A54,請求記録!$Z$6:$Z$3005,R$5))))</f>
        <v/>
      </c>
      <c r="S54" s="19">
        <f>IF($A54="","",IF(COUNTIFS(請求記録!$B$6:$B$3005,$A54,請求記録!$Z$6:$Z$3005,S$5,請求記録!$AF$6:$AF$3005,"保留中")&gt;0,"保留",IF(COUNTIFS(請求記録!$B$6:$B$3005,$A54,請求記録!$Z$6:$Z$3005,S$5)=0,"",SUMIFS(請求記録!$AE$6:$AE$3005,請求記録!$B$6:$B$3005,$A54,請求記録!$Z$6:$Z$3005,S$5))))</f>
        <v/>
      </c>
      <c r="T54" s="19">
        <f>IF($A54="","",IF(COUNTIFS(請求記録!$B$6:$B$3005,$A54,請求記録!$Z$6:$Z$3005,T$5,請求記録!$AF$6:$AF$3005,"保留中")&gt;0,"保留",IF(COUNTIFS(請求記録!$B$6:$B$3005,$A54,請求記録!$Z$6:$Z$3005,T$5)=0,"",SUMIFS(請求記録!$AE$6:$AE$3005,請求記録!$B$6:$B$3005,$A54,請求記録!$Z$6:$Z$3005,T$5))))</f>
        <v/>
      </c>
      <c r="U54" s="19">
        <f>IF($A54="","",IF(COUNTIFS(請求記録!$B$6:$B$3005,$A54,請求記録!$Z$6:$Z$3005,U$5,請求記録!$AF$6:$AF$3005,"保留中")&gt;0,"保留",IF(COUNTIFS(請求記録!$B$6:$B$3005,$A54,請求記録!$Z$6:$Z$3005,U$5)=0,"",SUMIFS(請求記録!$AE$6:$AE$3005,請求記録!$B$6:$B$3005,$A54,請求記録!$Z$6:$Z$3005,U$5))))</f>
        <v/>
      </c>
      <c r="V54" s="19">
        <f>IF($A54="","",IF(COUNTIFS(請求記録!$B$6:$B$3005,$A54,請求記録!$Z$6:$Z$3005,V$5,請求記録!$AF$6:$AF$3005,"保留中")&gt;0,"保留",IF(COUNTIFS(請求記録!$B$6:$B$3005,$A54,請求記録!$Z$6:$Z$3005,V$5)=0,"",SUMIFS(請求記録!$AE$6:$AE$3005,請求記録!$B$6:$B$3005,$A54,請求記録!$Z$6:$Z$3005,V$5))))</f>
        <v/>
      </c>
      <c r="W54" s="19">
        <f>IF($A54="","",IF(COUNTIFS(請求記録!$B$6:$B$3005,$A54,請求記録!$Z$6:$Z$3005,W$5,請求記録!$AF$6:$AF$3005,"保留中")&gt;0,"保留",IF(COUNTIFS(請求記録!$B$6:$B$3005,$A54,請求記録!$Z$6:$Z$3005,W$5)=0,"",SUMIFS(請求記録!$AE$6:$AE$3005,請求記録!$B$6:$B$3005,$A54,請求記録!$Z$6:$Z$3005,W$5))))</f>
        <v/>
      </c>
      <c r="X54" s="19">
        <f>IF($A54="","",IF(COUNTIFS(請求記録!$B$6:$B$3005,$A54,請求記録!$Z$6:$Z$3005,X$5,請求記録!$AF$6:$AF$3005,"保留中")&gt;0,"保留",IF(COUNTIFS(請求記録!$B$6:$B$3005,$A54,請求記録!$Z$6:$Z$3005,X$5)=0,"",SUMIFS(請求記録!$AE$6:$AE$3005,請求記録!$B$6:$B$3005,$A54,請求記録!$Z$6:$Z$3005,X$5))))</f>
        <v/>
      </c>
      <c r="Y54" s="19">
        <f>IF($A54="","",IF(COUNTIFS(請求記録!$B$6:$B$3005,$A54,請求記録!$Z$6:$Z$3005,Y$5,請求記録!$AF$6:$AF$3005,"保留中")&gt;0,"保留",IF(COUNTIFS(請求記録!$B$6:$B$3005,$A54,請求記録!$Z$6:$Z$3005,Y$5)=0,"",SUMIFS(請求記録!$AE$6:$AE$3005,請求記録!$B$6:$B$3005,$A54,請求記録!$Z$6:$Z$3005,Y$5))))</f>
        <v/>
      </c>
      <c r="Z54" s="19">
        <f>IF($A54="","",IF(COUNTIFS(請求記録!$B$6:$B$3005,$A54,請求記録!$Z$6:$Z$3005,Z$5,請求記録!$AF$6:$AF$3005,"保留中")&gt;0,"保留",IF(COUNTIFS(請求記録!$B$6:$B$3005,$A54,請求記録!$Z$6:$Z$3005,Z$5)=0,"",SUMIFS(請求記録!$AE$6:$AE$3005,請求記録!$B$6:$B$3005,$A54,請求記録!$Z$6:$Z$3005,Z$5))))</f>
        <v/>
      </c>
      <c r="AA54" s="19">
        <f>IF($A54="","",IF(COUNTIFS(請求記録!$B$6:$B$3005,$A54,請求記録!$Z$6:$Z$3005,AA$5,請求記録!$AF$6:$AF$3005,"保留中")&gt;0,"保留",IF(COUNTIFS(請求記録!$B$6:$B$3005,$A54,請求記録!$Z$6:$Z$3005,AA$5)=0,"",SUMIFS(請求記録!$AE$6:$AE$3005,請求記録!$B$6:$B$3005,$A54,請求記録!$Z$6:$Z$3005,AA$5))))</f>
        <v/>
      </c>
      <c r="AB54">
        <f>IF(職員マスタ!P54="保留中",職員マスタ!M54,"")</f>
        <v/>
      </c>
    </row>
    <row r="55">
      <c r="A55">
        <f>IF(職員マスタ!A55="","",職員マスタ!A55)</f>
        <v/>
      </c>
      <c r="B55">
        <f>IF($A55="","",職員マスタ!B55)</f>
        <v/>
      </c>
      <c r="C55">
        <f>IF($A55="","",職員マスタ!C55)</f>
        <v/>
      </c>
      <c r="D55" s="19">
        <f>IF($A55="","",IF(COUNTIFS(請求記録!$B$6:$B$3005,$A55,請求記録!$Z$6:$Z$3005,D$5,請求記録!$AF$6:$AF$3005,"保留中")&gt;0,"保留",IF(COUNTIFS(請求記録!$B$6:$B$3005,$A55,請求記録!$Z$6:$Z$3005,D$5)=0,"",SUMIFS(請求記録!$AE$6:$AE$3005,請求記録!$B$6:$B$3005,$A55,請求記録!$Z$6:$Z$3005,D$5))))</f>
        <v/>
      </c>
      <c r="E55" s="19">
        <f>IF($A55="","",IF(COUNTIFS(請求記録!$B$6:$B$3005,$A55,請求記録!$Z$6:$Z$3005,E$5,請求記録!$AF$6:$AF$3005,"保留中")&gt;0,"保留",IF(COUNTIFS(請求記録!$B$6:$B$3005,$A55,請求記録!$Z$6:$Z$3005,E$5)=0,"",SUMIFS(請求記録!$AE$6:$AE$3005,請求記録!$B$6:$B$3005,$A55,請求記録!$Z$6:$Z$3005,E$5))))</f>
        <v/>
      </c>
      <c r="F55" s="19">
        <f>IF($A55="","",IF(COUNTIFS(請求記録!$B$6:$B$3005,$A55,請求記録!$Z$6:$Z$3005,F$5,請求記録!$AF$6:$AF$3005,"保留中")&gt;0,"保留",IF(COUNTIFS(請求記録!$B$6:$B$3005,$A55,請求記録!$Z$6:$Z$3005,F$5)=0,"",SUMIFS(請求記録!$AE$6:$AE$3005,請求記録!$B$6:$B$3005,$A55,請求記録!$Z$6:$Z$3005,F$5))))</f>
        <v/>
      </c>
      <c r="G55" s="19">
        <f>IF($A55="","",IF(COUNTIFS(請求記録!$B$6:$B$3005,$A55,請求記録!$Z$6:$Z$3005,G$5,請求記録!$AF$6:$AF$3005,"保留中")&gt;0,"保留",IF(COUNTIFS(請求記録!$B$6:$B$3005,$A55,請求記録!$Z$6:$Z$3005,G$5)=0,"",SUMIFS(請求記録!$AE$6:$AE$3005,請求記録!$B$6:$B$3005,$A55,請求記録!$Z$6:$Z$3005,G$5))))</f>
        <v/>
      </c>
      <c r="H55" s="19">
        <f>IF($A55="","",IF(COUNTIFS(請求記録!$B$6:$B$3005,$A55,請求記録!$Z$6:$Z$3005,H$5,請求記録!$AF$6:$AF$3005,"保留中")&gt;0,"保留",IF(COUNTIFS(請求記録!$B$6:$B$3005,$A55,請求記録!$Z$6:$Z$3005,H$5)=0,"",SUMIFS(請求記録!$AE$6:$AE$3005,請求記録!$B$6:$B$3005,$A55,請求記録!$Z$6:$Z$3005,H$5))))</f>
        <v/>
      </c>
      <c r="I55" s="19">
        <f>IF($A55="","",IF(COUNTIFS(請求記録!$B$6:$B$3005,$A55,請求記録!$Z$6:$Z$3005,I$5,請求記録!$AF$6:$AF$3005,"保留中")&gt;0,"保留",IF(COUNTIFS(請求記録!$B$6:$B$3005,$A55,請求記録!$Z$6:$Z$3005,I$5)=0,"",SUMIFS(請求記録!$AE$6:$AE$3005,請求記録!$B$6:$B$3005,$A55,請求記録!$Z$6:$Z$3005,I$5))))</f>
        <v/>
      </c>
      <c r="J55" s="19">
        <f>IF($A55="","",IF(COUNTIFS(請求記録!$B$6:$B$3005,$A55,請求記録!$Z$6:$Z$3005,J$5,請求記録!$AF$6:$AF$3005,"保留中")&gt;0,"保留",IF(COUNTIFS(請求記録!$B$6:$B$3005,$A55,請求記録!$Z$6:$Z$3005,J$5)=0,"",SUMIFS(請求記録!$AE$6:$AE$3005,請求記録!$B$6:$B$3005,$A55,請求記録!$Z$6:$Z$3005,J$5))))</f>
        <v/>
      </c>
      <c r="K55" s="19">
        <f>IF($A55="","",IF(COUNTIFS(請求記録!$B$6:$B$3005,$A55,請求記録!$Z$6:$Z$3005,K$5,請求記録!$AF$6:$AF$3005,"保留中")&gt;0,"保留",IF(COUNTIFS(請求記録!$B$6:$B$3005,$A55,請求記録!$Z$6:$Z$3005,K$5)=0,"",SUMIFS(請求記録!$AE$6:$AE$3005,請求記録!$B$6:$B$3005,$A55,請求記録!$Z$6:$Z$3005,K$5))))</f>
        <v/>
      </c>
      <c r="L55" s="19">
        <f>IF($A55="","",IF(COUNTIFS(請求記録!$B$6:$B$3005,$A55,請求記録!$Z$6:$Z$3005,L$5,請求記録!$AF$6:$AF$3005,"保留中")&gt;0,"保留",IF(COUNTIFS(請求記録!$B$6:$B$3005,$A55,請求記録!$Z$6:$Z$3005,L$5)=0,"",SUMIFS(請求記録!$AE$6:$AE$3005,請求記録!$B$6:$B$3005,$A55,請求記録!$Z$6:$Z$3005,L$5))))</f>
        <v/>
      </c>
      <c r="M55" s="19">
        <f>IF($A55="","",IF(COUNTIFS(請求記録!$B$6:$B$3005,$A55,請求記録!$Z$6:$Z$3005,M$5,請求記録!$AF$6:$AF$3005,"保留中")&gt;0,"保留",IF(COUNTIFS(請求記録!$B$6:$B$3005,$A55,請求記録!$Z$6:$Z$3005,M$5)=0,"",SUMIFS(請求記録!$AE$6:$AE$3005,請求記録!$B$6:$B$3005,$A55,請求記録!$Z$6:$Z$3005,M$5))))</f>
        <v/>
      </c>
      <c r="N55" s="19">
        <f>IF($A55="","",IF(COUNTIFS(請求記録!$B$6:$B$3005,$A55,請求記録!$Z$6:$Z$3005,N$5,請求記録!$AF$6:$AF$3005,"保留中")&gt;0,"保留",IF(COUNTIFS(請求記録!$B$6:$B$3005,$A55,請求記録!$Z$6:$Z$3005,N$5)=0,"",SUMIFS(請求記録!$AE$6:$AE$3005,請求記録!$B$6:$B$3005,$A55,請求記録!$Z$6:$Z$3005,N$5))))</f>
        <v/>
      </c>
      <c r="O55" s="19">
        <f>IF($A55="","",IF(COUNTIFS(請求記録!$B$6:$B$3005,$A55,請求記録!$Z$6:$Z$3005,O$5,請求記録!$AF$6:$AF$3005,"保留中")&gt;0,"保留",IF(COUNTIFS(請求記録!$B$6:$B$3005,$A55,請求記録!$Z$6:$Z$3005,O$5)=0,"",SUMIFS(請求記録!$AE$6:$AE$3005,請求記録!$B$6:$B$3005,$A55,請求記録!$Z$6:$Z$3005,O$5))))</f>
        <v/>
      </c>
      <c r="P55" s="19">
        <f>IF($A55="","",IF(COUNTIFS(請求記録!$B$6:$B$3005,$A55,請求記録!$Z$6:$Z$3005,P$5,請求記録!$AF$6:$AF$3005,"保留中")&gt;0,"保留",IF(COUNTIFS(請求記録!$B$6:$B$3005,$A55,請求記録!$Z$6:$Z$3005,P$5)=0,"",SUMIFS(請求記録!$AE$6:$AE$3005,請求記録!$B$6:$B$3005,$A55,請求記録!$Z$6:$Z$3005,P$5))))</f>
        <v/>
      </c>
      <c r="Q55" s="19">
        <f>IF($A55="","",IF(COUNTIFS(請求記録!$B$6:$B$3005,$A55,請求記録!$Z$6:$Z$3005,Q$5,請求記録!$AF$6:$AF$3005,"保留中")&gt;0,"保留",IF(COUNTIFS(請求記録!$B$6:$B$3005,$A55,請求記録!$Z$6:$Z$3005,Q$5)=0,"",SUMIFS(請求記録!$AE$6:$AE$3005,請求記録!$B$6:$B$3005,$A55,請求記録!$Z$6:$Z$3005,Q$5))))</f>
        <v/>
      </c>
      <c r="R55" s="19">
        <f>IF($A55="","",IF(COUNTIFS(請求記録!$B$6:$B$3005,$A55,請求記録!$Z$6:$Z$3005,R$5,請求記録!$AF$6:$AF$3005,"保留中")&gt;0,"保留",IF(COUNTIFS(請求記録!$B$6:$B$3005,$A55,請求記録!$Z$6:$Z$3005,R$5)=0,"",SUMIFS(請求記録!$AE$6:$AE$3005,請求記録!$B$6:$B$3005,$A55,請求記録!$Z$6:$Z$3005,R$5))))</f>
        <v/>
      </c>
      <c r="S55" s="19">
        <f>IF($A55="","",IF(COUNTIFS(請求記録!$B$6:$B$3005,$A55,請求記録!$Z$6:$Z$3005,S$5,請求記録!$AF$6:$AF$3005,"保留中")&gt;0,"保留",IF(COUNTIFS(請求記録!$B$6:$B$3005,$A55,請求記録!$Z$6:$Z$3005,S$5)=0,"",SUMIFS(請求記録!$AE$6:$AE$3005,請求記録!$B$6:$B$3005,$A55,請求記録!$Z$6:$Z$3005,S$5))))</f>
        <v/>
      </c>
      <c r="T55" s="19">
        <f>IF($A55="","",IF(COUNTIFS(請求記録!$B$6:$B$3005,$A55,請求記録!$Z$6:$Z$3005,T$5,請求記録!$AF$6:$AF$3005,"保留中")&gt;0,"保留",IF(COUNTIFS(請求記録!$B$6:$B$3005,$A55,請求記録!$Z$6:$Z$3005,T$5)=0,"",SUMIFS(請求記録!$AE$6:$AE$3005,請求記録!$B$6:$B$3005,$A55,請求記録!$Z$6:$Z$3005,T$5))))</f>
        <v/>
      </c>
      <c r="U55" s="19">
        <f>IF($A55="","",IF(COUNTIFS(請求記録!$B$6:$B$3005,$A55,請求記録!$Z$6:$Z$3005,U$5,請求記録!$AF$6:$AF$3005,"保留中")&gt;0,"保留",IF(COUNTIFS(請求記録!$B$6:$B$3005,$A55,請求記録!$Z$6:$Z$3005,U$5)=0,"",SUMIFS(請求記録!$AE$6:$AE$3005,請求記録!$B$6:$B$3005,$A55,請求記録!$Z$6:$Z$3005,U$5))))</f>
        <v/>
      </c>
      <c r="V55" s="19">
        <f>IF($A55="","",IF(COUNTIFS(請求記録!$B$6:$B$3005,$A55,請求記録!$Z$6:$Z$3005,V$5,請求記録!$AF$6:$AF$3005,"保留中")&gt;0,"保留",IF(COUNTIFS(請求記録!$B$6:$B$3005,$A55,請求記録!$Z$6:$Z$3005,V$5)=0,"",SUMIFS(請求記録!$AE$6:$AE$3005,請求記録!$B$6:$B$3005,$A55,請求記録!$Z$6:$Z$3005,V$5))))</f>
        <v/>
      </c>
      <c r="W55" s="19">
        <f>IF($A55="","",IF(COUNTIFS(請求記録!$B$6:$B$3005,$A55,請求記録!$Z$6:$Z$3005,W$5,請求記録!$AF$6:$AF$3005,"保留中")&gt;0,"保留",IF(COUNTIFS(請求記録!$B$6:$B$3005,$A55,請求記録!$Z$6:$Z$3005,W$5)=0,"",SUMIFS(請求記録!$AE$6:$AE$3005,請求記録!$B$6:$B$3005,$A55,請求記録!$Z$6:$Z$3005,W$5))))</f>
        <v/>
      </c>
      <c r="X55" s="19">
        <f>IF($A55="","",IF(COUNTIFS(請求記録!$B$6:$B$3005,$A55,請求記録!$Z$6:$Z$3005,X$5,請求記録!$AF$6:$AF$3005,"保留中")&gt;0,"保留",IF(COUNTIFS(請求記録!$B$6:$B$3005,$A55,請求記録!$Z$6:$Z$3005,X$5)=0,"",SUMIFS(請求記録!$AE$6:$AE$3005,請求記録!$B$6:$B$3005,$A55,請求記録!$Z$6:$Z$3005,X$5))))</f>
        <v/>
      </c>
      <c r="Y55" s="19">
        <f>IF($A55="","",IF(COUNTIFS(請求記録!$B$6:$B$3005,$A55,請求記録!$Z$6:$Z$3005,Y$5,請求記録!$AF$6:$AF$3005,"保留中")&gt;0,"保留",IF(COUNTIFS(請求記録!$B$6:$B$3005,$A55,請求記録!$Z$6:$Z$3005,Y$5)=0,"",SUMIFS(請求記録!$AE$6:$AE$3005,請求記録!$B$6:$B$3005,$A55,請求記録!$Z$6:$Z$3005,Y$5))))</f>
        <v/>
      </c>
      <c r="Z55" s="19">
        <f>IF($A55="","",IF(COUNTIFS(請求記録!$B$6:$B$3005,$A55,請求記録!$Z$6:$Z$3005,Z$5,請求記録!$AF$6:$AF$3005,"保留中")&gt;0,"保留",IF(COUNTIFS(請求記録!$B$6:$B$3005,$A55,請求記録!$Z$6:$Z$3005,Z$5)=0,"",SUMIFS(請求記録!$AE$6:$AE$3005,請求記録!$B$6:$B$3005,$A55,請求記録!$Z$6:$Z$3005,Z$5))))</f>
        <v/>
      </c>
      <c r="AA55" s="19">
        <f>IF($A55="","",IF(COUNTIFS(請求記録!$B$6:$B$3005,$A55,請求記録!$Z$6:$Z$3005,AA$5,請求記録!$AF$6:$AF$3005,"保留中")&gt;0,"保留",IF(COUNTIFS(請求記録!$B$6:$B$3005,$A55,請求記録!$Z$6:$Z$3005,AA$5)=0,"",SUMIFS(請求記録!$AE$6:$AE$3005,請求記録!$B$6:$B$3005,$A55,請求記録!$Z$6:$Z$3005,AA$5))))</f>
        <v/>
      </c>
      <c r="AB55">
        <f>IF(職員マスタ!P55="保留中",職員マスタ!M55,"")</f>
        <v/>
      </c>
    </row>
    <row r="56">
      <c r="A56">
        <f>IF(職員マスタ!A56="","",職員マスタ!A56)</f>
        <v/>
      </c>
      <c r="B56">
        <f>IF($A56="","",職員マスタ!B56)</f>
        <v/>
      </c>
      <c r="C56">
        <f>IF($A56="","",職員マスタ!C56)</f>
        <v/>
      </c>
      <c r="D56" s="19">
        <f>IF($A56="","",IF(COUNTIFS(請求記録!$B$6:$B$3005,$A56,請求記録!$Z$6:$Z$3005,D$5,請求記録!$AF$6:$AF$3005,"保留中")&gt;0,"保留",IF(COUNTIFS(請求記録!$B$6:$B$3005,$A56,請求記録!$Z$6:$Z$3005,D$5)=0,"",SUMIFS(請求記録!$AE$6:$AE$3005,請求記録!$B$6:$B$3005,$A56,請求記録!$Z$6:$Z$3005,D$5))))</f>
        <v/>
      </c>
      <c r="E56" s="19">
        <f>IF($A56="","",IF(COUNTIFS(請求記録!$B$6:$B$3005,$A56,請求記録!$Z$6:$Z$3005,E$5,請求記録!$AF$6:$AF$3005,"保留中")&gt;0,"保留",IF(COUNTIFS(請求記録!$B$6:$B$3005,$A56,請求記録!$Z$6:$Z$3005,E$5)=0,"",SUMIFS(請求記録!$AE$6:$AE$3005,請求記録!$B$6:$B$3005,$A56,請求記録!$Z$6:$Z$3005,E$5))))</f>
        <v/>
      </c>
      <c r="F56" s="19">
        <f>IF($A56="","",IF(COUNTIFS(請求記録!$B$6:$B$3005,$A56,請求記録!$Z$6:$Z$3005,F$5,請求記録!$AF$6:$AF$3005,"保留中")&gt;0,"保留",IF(COUNTIFS(請求記録!$B$6:$B$3005,$A56,請求記録!$Z$6:$Z$3005,F$5)=0,"",SUMIFS(請求記録!$AE$6:$AE$3005,請求記録!$B$6:$B$3005,$A56,請求記録!$Z$6:$Z$3005,F$5))))</f>
        <v/>
      </c>
      <c r="G56" s="19">
        <f>IF($A56="","",IF(COUNTIFS(請求記録!$B$6:$B$3005,$A56,請求記録!$Z$6:$Z$3005,G$5,請求記録!$AF$6:$AF$3005,"保留中")&gt;0,"保留",IF(COUNTIFS(請求記録!$B$6:$B$3005,$A56,請求記録!$Z$6:$Z$3005,G$5)=0,"",SUMIFS(請求記録!$AE$6:$AE$3005,請求記録!$B$6:$B$3005,$A56,請求記録!$Z$6:$Z$3005,G$5))))</f>
        <v/>
      </c>
      <c r="H56" s="19">
        <f>IF($A56="","",IF(COUNTIFS(請求記録!$B$6:$B$3005,$A56,請求記録!$Z$6:$Z$3005,H$5,請求記録!$AF$6:$AF$3005,"保留中")&gt;0,"保留",IF(COUNTIFS(請求記録!$B$6:$B$3005,$A56,請求記録!$Z$6:$Z$3005,H$5)=0,"",SUMIFS(請求記録!$AE$6:$AE$3005,請求記録!$B$6:$B$3005,$A56,請求記録!$Z$6:$Z$3005,H$5))))</f>
        <v/>
      </c>
      <c r="I56" s="19">
        <f>IF($A56="","",IF(COUNTIFS(請求記録!$B$6:$B$3005,$A56,請求記録!$Z$6:$Z$3005,I$5,請求記録!$AF$6:$AF$3005,"保留中")&gt;0,"保留",IF(COUNTIFS(請求記録!$B$6:$B$3005,$A56,請求記録!$Z$6:$Z$3005,I$5)=0,"",SUMIFS(請求記録!$AE$6:$AE$3005,請求記録!$B$6:$B$3005,$A56,請求記録!$Z$6:$Z$3005,I$5))))</f>
        <v/>
      </c>
      <c r="J56" s="19">
        <f>IF($A56="","",IF(COUNTIFS(請求記録!$B$6:$B$3005,$A56,請求記録!$Z$6:$Z$3005,J$5,請求記録!$AF$6:$AF$3005,"保留中")&gt;0,"保留",IF(COUNTIFS(請求記録!$B$6:$B$3005,$A56,請求記録!$Z$6:$Z$3005,J$5)=0,"",SUMIFS(請求記録!$AE$6:$AE$3005,請求記録!$B$6:$B$3005,$A56,請求記録!$Z$6:$Z$3005,J$5))))</f>
        <v/>
      </c>
      <c r="K56" s="19">
        <f>IF($A56="","",IF(COUNTIFS(請求記録!$B$6:$B$3005,$A56,請求記録!$Z$6:$Z$3005,K$5,請求記録!$AF$6:$AF$3005,"保留中")&gt;0,"保留",IF(COUNTIFS(請求記録!$B$6:$B$3005,$A56,請求記録!$Z$6:$Z$3005,K$5)=0,"",SUMIFS(請求記録!$AE$6:$AE$3005,請求記録!$B$6:$B$3005,$A56,請求記録!$Z$6:$Z$3005,K$5))))</f>
        <v/>
      </c>
      <c r="L56" s="19">
        <f>IF($A56="","",IF(COUNTIFS(請求記録!$B$6:$B$3005,$A56,請求記録!$Z$6:$Z$3005,L$5,請求記録!$AF$6:$AF$3005,"保留中")&gt;0,"保留",IF(COUNTIFS(請求記録!$B$6:$B$3005,$A56,請求記録!$Z$6:$Z$3005,L$5)=0,"",SUMIFS(請求記録!$AE$6:$AE$3005,請求記録!$B$6:$B$3005,$A56,請求記録!$Z$6:$Z$3005,L$5))))</f>
        <v/>
      </c>
      <c r="M56" s="19">
        <f>IF($A56="","",IF(COUNTIFS(請求記録!$B$6:$B$3005,$A56,請求記録!$Z$6:$Z$3005,M$5,請求記録!$AF$6:$AF$3005,"保留中")&gt;0,"保留",IF(COUNTIFS(請求記録!$B$6:$B$3005,$A56,請求記録!$Z$6:$Z$3005,M$5)=0,"",SUMIFS(請求記録!$AE$6:$AE$3005,請求記録!$B$6:$B$3005,$A56,請求記録!$Z$6:$Z$3005,M$5))))</f>
        <v/>
      </c>
      <c r="N56" s="19">
        <f>IF($A56="","",IF(COUNTIFS(請求記録!$B$6:$B$3005,$A56,請求記録!$Z$6:$Z$3005,N$5,請求記録!$AF$6:$AF$3005,"保留中")&gt;0,"保留",IF(COUNTIFS(請求記録!$B$6:$B$3005,$A56,請求記録!$Z$6:$Z$3005,N$5)=0,"",SUMIFS(請求記録!$AE$6:$AE$3005,請求記録!$B$6:$B$3005,$A56,請求記録!$Z$6:$Z$3005,N$5))))</f>
        <v/>
      </c>
      <c r="O56" s="19">
        <f>IF($A56="","",IF(COUNTIFS(請求記録!$B$6:$B$3005,$A56,請求記録!$Z$6:$Z$3005,O$5,請求記録!$AF$6:$AF$3005,"保留中")&gt;0,"保留",IF(COUNTIFS(請求記録!$B$6:$B$3005,$A56,請求記録!$Z$6:$Z$3005,O$5)=0,"",SUMIFS(請求記録!$AE$6:$AE$3005,請求記録!$B$6:$B$3005,$A56,請求記録!$Z$6:$Z$3005,O$5))))</f>
        <v/>
      </c>
      <c r="P56" s="19">
        <f>IF($A56="","",IF(COUNTIFS(請求記録!$B$6:$B$3005,$A56,請求記録!$Z$6:$Z$3005,P$5,請求記録!$AF$6:$AF$3005,"保留中")&gt;0,"保留",IF(COUNTIFS(請求記録!$B$6:$B$3005,$A56,請求記録!$Z$6:$Z$3005,P$5)=0,"",SUMIFS(請求記録!$AE$6:$AE$3005,請求記録!$B$6:$B$3005,$A56,請求記録!$Z$6:$Z$3005,P$5))))</f>
        <v/>
      </c>
      <c r="Q56" s="19">
        <f>IF($A56="","",IF(COUNTIFS(請求記録!$B$6:$B$3005,$A56,請求記録!$Z$6:$Z$3005,Q$5,請求記録!$AF$6:$AF$3005,"保留中")&gt;0,"保留",IF(COUNTIFS(請求記録!$B$6:$B$3005,$A56,請求記録!$Z$6:$Z$3005,Q$5)=0,"",SUMIFS(請求記録!$AE$6:$AE$3005,請求記録!$B$6:$B$3005,$A56,請求記録!$Z$6:$Z$3005,Q$5))))</f>
        <v/>
      </c>
      <c r="R56" s="19">
        <f>IF($A56="","",IF(COUNTIFS(請求記録!$B$6:$B$3005,$A56,請求記録!$Z$6:$Z$3005,R$5,請求記録!$AF$6:$AF$3005,"保留中")&gt;0,"保留",IF(COUNTIFS(請求記録!$B$6:$B$3005,$A56,請求記録!$Z$6:$Z$3005,R$5)=0,"",SUMIFS(請求記録!$AE$6:$AE$3005,請求記録!$B$6:$B$3005,$A56,請求記録!$Z$6:$Z$3005,R$5))))</f>
        <v/>
      </c>
      <c r="S56" s="19">
        <f>IF($A56="","",IF(COUNTIFS(請求記録!$B$6:$B$3005,$A56,請求記録!$Z$6:$Z$3005,S$5,請求記録!$AF$6:$AF$3005,"保留中")&gt;0,"保留",IF(COUNTIFS(請求記録!$B$6:$B$3005,$A56,請求記録!$Z$6:$Z$3005,S$5)=0,"",SUMIFS(請求記録!$AE$6:$AE$3005,請求記録!$B$6:$B$3005,$A56,請求記録!$Z$6:$Z$3005,S$5))))</f>
        <v/>
      </c>
      <c r="T56" s="19">
        <f>IF($A56="","",IF(COUNTIFS(請求記録!$B$6:$B$3005,$A56,請求記録!$Z$6:$Z$3005,T$5,請求記録!$AF$6:$AF$3005,"保留中")&gt;0,"保留",IF(COUNTIFS(請求記録!$B$6:$B$3005,$A56,請求記録!$Z$6:$Z$3005,T$5)=0,"",SUMIFS(請求記録!$AE$6:$AE$3005,請求記録!$B$6:$B$3005,$A56,請求記録!$Z$6:$Z$3005,T$5))))</f>
        <v/>
      </c>
      <c r="U56" s="19">
        <f>IF($A56="","",IF(COUNTIFS(請求記録!$B$6:$B$3005,$A56,請求記録!$Z$6:$Z$3005,U$5,請求記録!$AF$6:$AF$3005,"保留中")&gt;0,"保留",IF(COUNTIFS(請求記録!$B$6:$B$3005,$A56,請求記録!$Z$6:$Z$3005,U$5)=0,"",SUMIFS(請求記録!$AE$6:$AE$3005,請求記録!$B$6:$B$3005,$A56,請求記録!$Z$6:$Z$3005,U$5))))</f>
        <v/>
      </c>
      <c r="V56" s="19">
        <f>IF($A56="","",IF(COUNTIFS(請求記録!$B$6:$B$3005,$A56,請求記録!$Z$6:$Z$3005,V$5,請求記録!$AF$6:$AF$3005,"保留中")&gt;0,"保留",IF(COUNTIFS(請求記録!$B$6:$B$3005,$A56,請求記録!$Z$6:$Z$3005,V$5)=0,"",SUMIFS(請求記録!$AE$6:$AE$3005,請求記録!$B$6:$B$3005,$A56,請求記録!$Z$6:$Z$3005,V$5))))</f>
        <v/>
      </c>
      <c r="W56" s="19">
        <f>IF($A56="","",IF(COUNTIFS(請求記録!$B$6:$B$3005,$A56,請求記録!$Z$6:$Z$3005,W$5,請求記録!$AF$6:$AF$3005,"保留中")&gt;0,"保留",IF(COUNTIFS(請求記録!$B$6:$B$3005,$A56,請求記録!$Z$6:$Z$3005,W$5)=0,"",SUMIFS(請求記録!$AE$6:$AE$3005,請求記録!$B$6:$B$3005,$A56,請求記録!$Z$6:$Z$3005,W$5))))</f>
        <v/>
      </c>
      <c r="X56" s="19">
        <f>IF($A56="","",IF(COUNTIFS(請求記録!$B$6:$B$3005,$A56,請求記録!$Z$6:$Z$3005,X$5,請求記録!$AF$6:$AF$3005,"保留中")&gt;0,"保留",IF(COUNTIFS(請求記録!$B$6:$B$3005,$A56,請求記録!$Z$6:$Z$3005,X$5)=0,"",SUMIFS(請求記録!$AE$6:$AE$3005,請求記録!$B$6:$B$3005,$A56,請求記録!$Z$6:$Z$3005,X$5))))</f>
        <v/>
      </c>
      <c r="Y56" s="19">
        <f>IF($A56="","",IF(COUNTIFS(請求記録!$B$6:$B$3005,$A56,請求記録!$Z$6:$Z$3005,Y$5,請求記録!$AF$6:$AF$3005,"保留中")&gt;0,"保留",IF(COUNTIFS(請求記録!$B$6:$B$3005,$A56,請求記録!$Z$6:$Z$3005,Y$5)=0,"",SUMIFS(請求記録!$AE$6:$AE$3005,請求記録!$B$6:$B$3005,$A56,請求記録!$Z$6:$Z$3005,Y$5))))</f>
        <v/>
      </c>
      <c r="Z56" s="19">
        <f>IF($A56="","",IF(COUNTIFS(請求記録!$B$6:$B$3005,$A56,請求記録!$Z$6:$Z$3005,Z$5,請求記録!$AF$6:$AF$3005,"保留中")&gt;0,"保留",IF(COUNTIFS(請求記録!$B$6:$B$3005,$A56,請求記録!$Z$6:$Z$3005,Z$5)=0,"",SUMIFS(請求記録!$AE$6:$AE$3005,請求記録!$B$6:$B$3005,$A56,請求記録!$Z$6:$Z$3005,Z$5))))</f>
        <v/>
      </c>
      <c r="AA56" s="19">
        <f>IF($A56="","",IF(COUNTIFS(請求記録!$B$6:$B$3005,$A56,請求記録!$Z$6:$Z$3005,AA$5,請求記録!$AF$6:$AF$3005,"保留中")&gt;0,"保留",IF(COUNTIFS(請求記録!$B$6:$B$3005,$A56,請求記録!$Z$6:$Z$3005,AA$5)=0,"",SUMIFS(請求記録!$AE$6:$AE$3005,請求記録!$B$6:$B$3005,$A56,請求記録!$Z$6:$Z$3005,AA$5))))</f>
        <v/>
      </c>
      <c r="AB56">
        <f>IF(職員マスタ!P56="保留中",職員マスタ!M56,"")</f>
        <v/>
      </c>
    </row>
    <row r="57">
      <c r="A57">
        <f>IF(職員マスタ!A57="","",職員マスタ!A57)</f>
        <v/>
      </c>
      <c r="B57">
        <f>IF($A57="","",職員マスタ!B57)</f>
        <v/>
      </c>
      <c r="C57">
        <f>IF($A57="","",職員マスタ!C57)</f>
        <v/>
      </c>
      <c r="D57" s="19">
        <f>IF($A57="","",IF(COUNTIFS(請求記録!$B$6:$B$3005,$A57,請求記録!$Z$6:$Z$3005,D$5,請求記録!$AF$6:$AF$3005,"保留中")&gt;0,"保留",IF(COUNTIFS(請求記録!$B$6:$B$3005,$A57,請求記録!$Z$6:$Z$3005,D$5)=0,"",SUMIFS(請求記録!$AE$6:$AE$3005,請求記録!$B$6:$B$3005,$A57,請求記録!$Z$6:$Z$3005,D$5))))</f>
        <v/>
      </c>
      <c r="E57" s="19">
        <f>IF($A57="","",IF(COUNTIFS(請求記録!$B$6:$B$3005,$A57,請求記録!$Z$6:$Z$3005,E$5,請求記録!$AF$6:$AF$3005,"保留中")&gt;0,"保留",IF(COUNTIFS(請求記録!$B$6:$B$3005,$A57,請求記録!$Z$6:$Z$3005,E$5)=0,"",SUMIFS(請求記録!$AE$6:$AE$3005,請求記録!$B$6:$B$3005,$A57,請求記録!$Z$6:$Z$3005,E$5))))</f>
        <v/>
      </c>
      <c r="F57" s="19">
        <f>IF($A57="","",IF(COUNTIFS(請求記録!$B$6:$B$3005,$A57,請求記録!$Z$6:$Z$3005,F$5,請求記録!$AF$6:$AF$3005,"保留中")&gt;0,"保留",IF(COUNTIFS(請求記録!$B$6:$B$3005,$A57,請求記録!$Z$6:$Z$3005,F$5)=0,"",SUMIFS(請求記録!$AE$6:$AE$3005,請求記録!$B$6:$B$3005,$A57,請求記録!$Z$6:$Z$3005,F$5))))</f>
        <v/>
      </c>
      <c r="G57" s="19">
        <f>IF($A57="","",IF(COUNTIFS(請求記録!$B$6:$B$3005,$A57,請求記録!$Z$6:$Z$3005,G$5,請求記録!$AF$6:$AF$3005,"保留中")&gt;0,"保留",IF(COUNTIFS(請求記録!$B$6:$B$3005,$A57,請求記録!$Z$6:$Z$3005,G$5)=0,"",SUMIFS(請求記録!$AE$6:$AE$3005,請求記録!$B$6:$B$3005,$A57,請求記録!$Z$6:$Z$3005,G$5))))</f>
        <v/>
      </c>
      <c r="H57" s="19">
        <f>IF($A57="","",IF(COUNTIFS(請求記録!$B$6:$B$3005,$A57,請求記録!$Z$6:$Z$3005,H$5,請求記録!$AF$6:$AF$3005,"保留中")&gt;0,"保留",IF(COUNTIFS(請求記録!$B$6:$B$3005,$A57,請求記録!$Z$6:$Z$3005,H$5)=0,"",SUMIFS(請求記録!$AE$6:$AE$3005,請求記録!$B$6:$B$3005,$A57,請求記録!$Z$6:$Z$3005,H$5))))</f>
        <v/>
      </c>
      <c r="I57" s="19">
        <f>IF($A57="","",IF(COUNTIFS(請求記録!$B$6:$B$3005,$A57,請求記録!$Z$6:$Z$3005,I$5,請求記録!$AF$6:$AF$3005,"保留中")&gt;0,"保留",IF(COUNTIFS(請求記録!$B$6:$B$3005,$A57,請求記録!$Z$6:$Z$3005,I$5)=0,"",SUMIFS(請求記録!$AE$6:$AE$3005,請求記録!$B$6:$B$3005,$A57,請求記録!$Z$6:$Z$3005,I$5))))</f>
        <v/>
      </c>
      <c r="J57" s="19">
        <f>IF($A57="","",IF(COUNTIFS(請求記録!$B$6:$B$3005,$A57,請求記録!$Z$6:$Z$3005,J$5,請求記録!$AF$6:$AF$3005,"保留中")&gt;0,"保留",IF(COUNTIFS(請求記録!$B$6:$B$3005,$A57,請求記録!$Z$6:$Z$3005,J$5)=0,"",SUMIFS(請求記録!$AE$6:$AE$3005,請求記録!$B$6:$B$3005,$A57,請求記録!$Z$6:$Z$3005,J$5))))</f>
        <v/>
      </c>
      <c r="K57" s="19">
        <f>IF($A57="","",IF(COUNTIFS(請求記録!$B$6:$B$3005,$A57,請求記録!$Z$6:$Z$3005,K$5,請求記録!$AF$6:$AF$3005,"保留中")&gt;0,"保留",IF(COUNTIFS(請求記録!$B$6:$B$3005,$A57,請求記録!$Z$6:$Z$3005,K$5)=0,"",SUMIFS(請求記録!$AE$6:$AE$3005,請求記録!$B$6:$B$3005,$A57,請求記録!$Z$6:$Z$3005,K$5))))</f>
        <v/>
      </c>
      <c r="L57" s="19">
        <f>IF($A57="","",IF(COUNTIFS(請求記録!$B$6:$B$3005,$A57,請求記録!$Z$6:$Z$3005,L$5,請求記録!$AF$6:$AF$3005,"保留中")&gt;0,"保留",IF(COUNTIFS(請求記録!$B$6:$B$3005,$A57,請求記録!$Z$6:$Z$3005,L$5)=0,"",SUMIFS(請求記録!$AE$6:$AE$3005,請求記録!$B$6:$B$3005,$A57,請求記録!$Z$6:$Z$3005,L$5))))</f>
        <v/>
      </c>
      <c r="M57" s="19">
        <f>IF($A57="","",IF(COUNTIFS(請求記録!$B$6:$B$3005,$A57,請求記録!$Z$6:$Z$3005,M$5,請求記録!$AF$6:$AF$3005,"保留中")&gt;0,"保留",IF(COUNTIFS(請求記録!$B$6:$B$3005,$A57,請求記録!$Z$6:$Z$3005,M$5)=0,"",SUMIFS(請求記録!$AE$6:$AE$3005,請求記録!$B$6:$B$3005,$A57,請求記録!$Z$6:$Z$3005,M$5))))</f>
        <v/>
      </c>
      <c r="N57" s="19">
        <f>IF($A57="","",IF(COUNTIFS(請求記録!$B$6:$B$3005,$A57,請求記録!$Z$6:$Z$3005,N$5,請求記録!$AF$6:$AF$3005,"保留中")&gt;0,"保留",IF(COUNTIFS(請求記録!$B$6:$B$3005,$A57,請求記録!$Z$6:$Z$3005,N$5)=0,"",SUMIFS(請求記録!$AE$6:$AE$3005,請求記録!$B$6:$B$3005,$A57,請求記録!$Z$6:$Z$3005,N$5))))</f>
        <v/>
      </c>
      <c r="O57" s="19">
        <f>IF($A57="","",IF(COUNTIFS(請求記録!$B$6:$B$3005,$A57,請求記録!$Z$6:$Z$3005,O$5,請求記録!$AF$6:$AF$3005,"保留中")&gt;0,"保留",IF(COUNTIFS(請求記録!$B$6:$B$3005,$A57,請求記録!$Z$6:$Z$3005,O$5)=0,"",SUMIFS(請求記録!$AE$6:$AE$3005,請求記録!$B$6:$B$3005,$A57,請求記録!$Z$6:$Z$3005,O$5))))</f>
        <v/>
      </c>
      <c r="P57" s="19">
        <f>IF($A57="","",IF(COUNTIFS(請求記録!$B$6:$B$3005,$A57,請求記録!$Z$6:$Z$3005,P$5,請求記録!$AF$6:$AF$3005,"保留中")&gt;0,"保留",IF(COUNTIFS(請求記録!$B$6:$B$3005,$A57,請求記録!$Z$6:$Z$3005,P$5)=0,"",SUMIFS(請求記録!$AE$6:$AE$3005,請求記録!$B$6:$B$3005,$A57,請求記録!$Z$6:$Z$3005,P$5))))</f>
        <v/>
      </c>
      <c r="Q57" s="19">
        <f>IF($A57="","",IF(COUNTIFS(請求記録!$B$6:$B$3005,$A57,請求記録!$Z$6:$Z$3005,Q$5,請求記録!$AF$6:$AF$3005,"保留中")&gt;0,"保留",IF(COUNTIFS(請求記録!$B$6:$B$3005,$A57,請求記録!$Z$6:$Z$3005,Q$5)=0,"",SUMIFS(請求記録!$AE$6:$AE$3005,請求記録!$B$6:$B$3005,$A57,請求記録!$Z$6:$Z$3005,Q$5))))</f>
        <v/>
      </c>
      <c r="R57" s="19">
        <f>IF($A57="","",IF(COUNTIFS(請求記録!$B$6:$B$3005,$A57,請求記録!$Z$6:$Z$3005,R$5,請求記録!$AF$6:$AF$3005,"保留中")&gt;0,"保留",IF(COUNTIFS(請求記録!$B$6:$B$3005,$A57,請求記録!$Z$6:$Z$3005,R$5)=0,"",SUMIFS(請求記録!$AE$6:$AE$3005,請求記録!$B$6:$B$3005,$A57,請求記録!$Z$6:$Z$3005,R$5))))</f>
        <v/>
      </c>
      <c r="S57" s="19">
        <f>IF($A57="","",IF(COUNTIFS(請求記録!$B$6:$B$3005,$A57,請求記録!$Z$6:$Z$3005,S$5,請求記録!$AF$6:$AF$3005,"保留中")&gt;0,"保留",IF(COUNTIFS(請求記録!$B$6:$B$3005,$A57,請求記録!$Z$6:$Z$3005,S$5)=0,"",SUMIFS(請求記録!$AE$6:$AE$3005,請求記録!$B$6:$B$3005,$A57,請求記録!$Z$6:$Z$3005,S$5))))</f>
        <v/>
      </c>
      <c r="T57" s="19">
        <f>IF($A57="","",IF(COUNTIFS(請求記録!$B$6:$B$3005,$A57,請求記録!$Z$6:$Z$3005,T$5,請求記録!$AF$6:$AF$3005,"保留中")&gt;0,"保留",IF(COUNTIFS(請求記録!$B$6:$B$3005,$A57,請求記録!$Z$6:$Z$3005,T$5)=0,"",SUMIFS(請求記録!$AE$6:$AE$3005,請求記録!$B$6:$B$3005,$A57,請求記録!$Z$6:$Z$3005,T$5))))</f>
        <v/>
      </c>
      <c r="U57" s="19">
        <f>IF($A57="","",IF(COUNTIFS(請求記録!$B$6:$B$3005,$A57,請求記録!$Z$6:$Z$3005,U$5,請求記録!$AF$6:$AF$3005,"保留中")&gt;0,"保留",IF(COUNTIFS(請求記録!$B$6:$B$3005,$A57,請求記録!$Z$6:$Z$3005,U$5)=0,"",SUMIFS(請求記録!$AE$6:$AE$3005,請求記録!$B$6:$B$3005,$A57,請求記録!$Z$6:$Z$3005,U$5))))</f>
        <v/>
      </c>
      <c r="V57" s="19">
        <f>IF($A57="","",IF(COUNTIFS(請求記録!$B$6:$B$3005,$A57,請求記録!$Z$6:$Z$3005,V$5,請求記録!$AF$6:$AF$3005,"保留中")&gt;0,"保留",IF(COUNTIFS(請求記録!$B$6:$B$3005,$A57,請求記録!$Z$6:$Z$3005,V$5)=0,"",SUMIFS(請求記録!$AE$6:$AE$3005,請求記録!$B$6:$B$3005,$A57,請求記録!$Z$6:$Z$3005,V$5))))</f>
        <v/>
      </c>
      <c r="W57" s="19">
        <f>IF($A57="","",IF(COUNTIFS(請求記録!$B$6:$B$3005,$A57,請求記録!$Z$6:$Z$3005,W$5,請求記録!$AF$6:$AF$3005,"保留中")&gt;0,"保留",IF(COUNTIFS(請求記録!$B$6:$B$3005,$A57,請求記録!$Z$6:$Z$3005,W$5)=0,"",SUMIFS(請求記録!$AE$6:$AE$3005,請求記録!$B$6:$B$3005,$A57,請求記録!$Z$6:$Z$3005,W$5))))</f>
        <v/>
      </c>
      <c r="X57" s="19">
        <f>IF($A57="","",IF(COUNTIFS(請求記録!$B$6:$B$3005,$A57,請求記録!$Z$6:$Z$3005,X$5,請求記録!$AF$6:$AF$3005,"保留中")&gt;0,"保留",IF(COUNTIFS(請求記録!$B$6:$B$3005,$A57,請求記録!$Z$6:$Z$3005,X$5)=0,"",SUMIFS(請求記録!$AE$6:$AE$3005,請求記録!$B$6:$B$3005,$A57,請求記録!$Z$6:$Z$3005,X$5))))</f>
        <v/>
      </c>
      <c r="Y57" s="19">
        <f>IF($A57="","",IF(COUNTIFS(請求記録!$B$6:$B$3005,$A57,請求記録!$Z$6:$Z$3005,Y$5,請求記録!$AF$6:$AF$3005,"保留中")&gt;0,"保留",IF(COUNTIFS(請求記録!$B$6:$B$3005,$A57,請求記録!$Z$6:$Z$3005,Y$5)=0,"",SUMIFS(請求記録!$AE$6:$AE$3005,請求記録!$B$6:$B$3005,$A57,請求記録!$Z$6:$Z$3005,Y$5))))</f>
        <v/>
      </c>
      <c r="Z57" s="19">
        <f>IF($A57="","",IF(COUNTIFS(請求記録!$B$6:$B$3005,$A57,請求記録!$Z$6:$Z$3005,Z$5,請求記録!$AF$6:$AF$3005,"保留中")&gt;0,"保留",IF(COUNTIFS(請求記録!$B$6:$B$3005,$A57,請求記録!$Z$6:$Z$3005,Z$5)=0,"",SUMIFS(請求記録!$AE$6:$AE$3005,請求記録!$B$6:$B$3005,$A57,請求記録!$Z$6:$Z$3005,Z$5))))</f>
        <v/>
      </c>
      <c r="AA57" s="19">
        <f>IF($A57="","",IF(COUNTIFS(請求記録!$B$6:$B$3005,$A57,請求記録!$Z$6:$Z$3005,AA$5,請求記録!$AF$6:$AF$3005,"保留中")&gt;0,"保留",IF(COUNTIFS(請求記録!$B$6:$B$3005,$A57,請求記録!$Z$6:$Z$3005,AA$5)=0,"",SUMIFS(請求記録!$AE$6:$AE$3005,請求記録!$B$6:$B$3005,$A57,請求記録!$Z$6:$Z$3005,AA$5))))</f>
        <v/>
      </c>
      <c r="AB57">
        <f>IF(職員マスタ!P57="保留中",職員マスタ!M57,"")</f>
        <v/>
      </c>
    </row>
    <row r="58">
      <c r="A58">
        <f>IF(職員マスタ!A58="","",職員マスタ!A58)</f>
        <v/>
      </c>
      <c r="B58">
        <f>IF($A58="","",職員マスタ!B58)</f>
        <v/>
      </c>
      <c r="C58">
        <f>IF($A58="","",職員マスタ!C58)</f>
        <v/>
      </c>
      <c r="D58" s="19">
        <f>IF($A58="","",IF(COUNTIFS(請求記録!$B$6:$B$3005,$A58,請求記録!$Z$6:$Z$3005,D$5,請求記録!$AF$6:$AF$3005,"保留中")&gt;0,"保留",IF(COUNTIFS(請求記録!$B$6:$B$3005,$A58,請求記録!$Z$6:$Z$3005,D$5)=0,"",SUMIFS(請求記録!$AE$6:$AE$3005,請求記録!$B$6:$B$3005,$A58,請求記録!$Z$6:$Z$3005,D$5))))</f>
        <v/>
      </c>
      <c r="E58" s="19">
        <f>IF($A58="","",IF(COUNTIFS(請求記録!$B$6:$B$3005,$A58,請求記録!$Z$6:$Z$3005,E$5,請求記録!$AF$6:$AF$3005,"保留中")&gt;0,"保留",IF(COUNTIFS(請求記録!$B$6:$B$3005,$A58,請求記録!$Z$6:$Z$3005,E$5)=0,"",SUMIFS(請求記録!$AE$6:$AE$3005,請求記録!$B$6:$B$3005,$A58,請求記録!$Z$6:$Z$3005,E$5))))</f>
        <v/>
      </c>
      <c r="F58" s="19">
        <f>IF($A58="","",IF(COUNTIFS(請求記録!$B$6:$B$3005,$A58,請求記録!$Z$6:$Z$3005,F$5,請求記録!$AF$6:$AF$3005,"保留中")&gt;0,"保留",IF(COUNTIFS(請求記録!$B$6:$B$3005,$A58,請求記録!$Z$6:$Z$3005,F$5)=0,"",SUMIFS(請求記録!$AE$6:$AE$3005,請求記録!$B$6:$B$3005,$A58,請求記録!$Z$6:$Z$3005,F$5))))</f>
        <v/>
      </c>
      <c r="G58" s="19">
        <f>IF($A58="","",IF(COUNTIFS(請求記録!$B$6:$B$3005,$A58,請求記録!$Z$6:$Z$3005,G$5,請求記録!$AF$6:$AF$3005,"保留中")&gt;0,"保留",IF(COUNTIFS(請求記録!$B$6:$B$3005,$A58,請求記録!$Z$6:$Z$3005,G$5)=0,"",SUMIFS(請求記録!$AE$6:$AE$3005,請求記録!$B$6:$B$3005,$A58,請求記録!$Z$6:$Z$3005,G$5))))</f>
        <v/>
      </c>
      <c r="H58" s="19">
        <f>IF($A58="","",IF(COUNTIFS(請求記録!$B$6:$B$3005,$A58,請求記録!$Z$6:$Z$3005,H$5,請求記録!$AF$6:$AF$3005,"保留中")&gt;0,"保留",IF(COUNTIFS(請求記録!$B$6:$B$3005,$A58,請求記録!$Z$6:$Z$3005,H$5)=0,"",SUMIFS(請求記録!$AE$6:$AE$3005,請求記録!$B$6:$B$3005,$A58,請求記録!$Z$6:$Z$3005,H$5))))</f>
        <v/>
      </c>
      <c r="I58" s="19">
        <f>IF($A58="","",IF(COUNTIFS(請求記録!$B$6:$B$3005,$A58,請求記録!$Z$6:$Z$3005,I$5,請求記録!$AF$6:$AF$3005,"保留中")&gt;0,"保留",IF(COUNTIFS(請求記録!$B$6:$B$3005,$A58,請求記録!$Z$6:$Z$3005,I$5)=0,"",SUMIFS(請求記録!$AE$6:$AE$3005,請求記録!$B$6:$B$3005,$A58,請求記録!$Z$6:$Z$3005,I$5))))</f>
        <v/>
      </c>
      <c r="J58" s="19">
        <f>IF($A58="","",IF(COUNTIFS(請求記録!$B$6:$B$3005,$A58,請求記録!$Z$6:$Z$3005,J$5,請求記録!$AF$6:$AF$3005,"保留中")&gt;0,"保留",IF(COUNTIFS(請求記録!$B$6:$B$3005,$A58,請求記録!$Z$6:$Z$3005,J$5)=0,"",SUMIFS(請求記録!$AE$6:$AE$3005,請求記録!$B$6:$B$3005,$A58,請求記録!$Z$6:$Z$3005,J$5))))</f>
        <v/>
      </c>
      <c r="K58" s="19">
        <f>IF($A58="","",IF(COUNTIFS(請求記録!$B$6:$B$3005,$A58,請求記録!$Z$6:$Z$3005,K$5,請求記録!$AF$6:$AF$3005,"保留中")&gt;0,"保留",IF(COUNTIFS(請求記録!$B$6:$B$3005,$A58,請求記録!$Z$6:$Z$3005,K$5)=0,"",SUMIFS(請求記録!$AE$6:$AE$3005,請求記録!$B$6:$B$3005,$A58,請求記録!$Z$6:$Z$3005,K$5))))</f>
        <v/>
      </c>
      <c r="L58" s="19">
        <f>IF($A58="","",IF(COUNTIFS(請求記録!$B$6:$B$3005,$A58,請求記録!$Z$6:$Z$3005,L$5,請求記録!$AF$6:$AF$3005,"保留中")&gt;0,"保留",IF(COUNTIFS(請求記録!$B$6:$B$3005,$A58,請求記録!$Z$6:$Z$3005,L$5)=0,"",SUMIFS(請求記録!$AE$6:$AE$3005,請求記録!$B$6:$B$3005,$A58,請求記録!$Z$6:$Z$3005,L$5))))</f>
        <v/>
      </c>
      <c r="M58" s="19">
        <f>IF($A58="","",IF(COUNTIFS(請求記録!$B$6:$B$3005,$A58,請求記録!$Z$6:$Z$3005,M$5,請求記録!$AF$6:$AF$3005,"保留中")&gt;0,"保留",IF(COUNTIFS(請求記録!$B$6:$B$3005,$A58,請求記録!$Z$6:$Z$3005,M$5)=0,"",SUMIFS(請求記録!$AE$6:$AE$3005,請求記録!$B$6:$B$3005,$A58,請求記録!$Z$6:$Z$3005,M$5))))</f>
        <v/>
      </c>
      <c r="N58" s="19">
        <f>IF($A58="","",IF(COUNTIFS(請求記録!$B$6:$B$3005,$A58,請求記録!$Z$6:$Z$3005,N$5,請求記録!$AF$6:$AF$3005,"保留中")&gt;0,"保留",IF(COUNTIFS(請求記録!$B$6:$B$3005,$A58,請求記録!$Z$6:$Z$3005,N$5)=0,"",SUMIFS(請求記録!$AE$6:$AE$3005,請求記録!$B$6:$B$3005,$A58,請求記録!$Z$6:$Z$3005,N$5))))</f>
        <v/>
      </c>
      <c r="O58" s="19">
        <f>IF($A58="","",IF(COUNTIFS(請求記録!$B$6:$B$3005,$A58,請求記録!$Z$6:$Z$3005,O$5,請求記録!$AF$6:$AF$3005,"保留中")&gt;0,"保留",IF(COUNTIFS(請求記録!$B$6:$B$3005,$A58,請求記録!$Z$6:$Z$3005,O$5)=0,"",SUMIFS(請求記録!$AE$6:$AE$3005,請求記録!$B$6:$B$3005,$A58,請求記録!$Z$6:$Z$3005,O$5))))</f>
        <v/>
      </c>
      <c r="P58" s="19">
        <f>IF($A58="","",IF(COUNTIFS(請求記録!$B$6:$B$3005,$A58,請求記録!$Z$6:$Z$3005,P$5,請求記録!$AF$6:$AF$3005,"保留中")&gt;0,"保留",IF(COUNTIFS(請求記録!$B$6:$B$3005,$A58,請求記録!$Z$6:$Z$3005,P$5)=0,"",SUMIFS(請求記録!$AE$6:$AE$3005,請求記録!$B$6:$B$3005,$A58,請求記録!$Z$6:$Z$3005,P$5))))</f>
        <v/>
      </c>
      <c r="Q58" s="19">
        <f>IF($A58="","",IF(COUNTIFS(請求記録!$B$6:$B$3005,$A58,請求記録!$Z$6:$Z$3005,Q$5,請求記録!$AF$6:$AF$3005,"保留中")&gt;0,"保留",IF(COUNTIFS(請求記録!$B$6:$B$3005,$A58,請求記録!$Z$6:$Z$3005,Q$5)=0,"",SUMIFS(請求記録!$AE$6:$AE$3005,請求記録!$B$6:$B$3005,$A58,請求記録!$Z$6:$Z$3005,Q$5))))</f>
        <v/>
      </c>
      <c r="R58" s="19">
        <f>IF($A58="","",IF(COUNTIFS(請求記録!$B$6:$B$3005,$A58,請求記録!$Z$6:$Z$3005,R$5,請求記録!$AF$6:$AF$3005,"保留中")&gt;0,"保留",IF(COUNTIFS(請求記録!$B$6:$B$3005,$A58,請求記録!$Z$6:$Z$3005,R$5)=0,"",SUMIFS(請求記録!$AE$6:$AE$3005,請求記録!$B$6:$B$3005,$A58,請求記録!$Z$6:$Z$3005,R$5))))</f>
        <v/>
      </c>
      <c r="S58" s="19">
        <f>IF($A58="","",IF(COUNTIFS(請求記録!$B$6:$B$3005,$A58,請求記録!$Z$6:$Z$3005,S$5,請求記録!$AF$6:$AF$3005,"保留中")&gt;0,"保留",IF(COUNTIFS(請求記録!$B$6:$B$3005,$A58,請求記録!$Z$6:$Z$3005,S$5)=0,"",SUMIFS(請求記録!$AE$6:$AE$3005,請求記録!$B$6:$B$3005,$A58,請求記録!$Z$6:$Z$3005,S$5))))</f>
        <v/>
      </c>
      <c r="T58" s="19">
        <f>IF($A58="","",IF(COUNTIFS(請求記録!$B$6:$B$3005,$A58,請求記録!$Z$6:$Z$3005,T$5,請求記録!$AF$6:$AF$3005,"保留中")&gt;0,"保留",IF(COUNTIFS(請求記録!$B$6:$B$3005,$A58,請求記録!$Z$6:$Z$3005,T$5)=0,"",SUMIFS(請求記録!$AE$6:$AE$3005,請求記録!$B$6:$B$3005,$A58,請求記録!$Z$6:$Z$3005,T$5))))</f>
        <v/>
      </c>
      <c r="U58" s="19">
        <f>IF($A58="","",IF(COUNTIFS(請求記録!$B$6:$B$3005,$A58,請求記録!$Z$6:$Z$3005,U$5,請求記録!$AF$6:$AF$3005,"保留中")&gt;0,"保留",IF(COUNTIFS(請求記録!$B$6:$B$3005,$A58,請求記録!$Z$6:$Z$3005,U$5)=0,"",SUMIFS(請求記録!$AE$6:$AE$3005,請求記録!$B$6:$B$3005,$A58,請求記録!$Z$6:$Z$3005,U$5))))</f>
        <v/>
      </c>
      <c r="V58" s="19">
        <f>IF($A58="","",IF(COUNTIFS(請求記録!$B$6:$B$3005,$A58,請求記録!$Z$6:$Z$3005,V$5,請求記録!$AF$6:$AF$3005,"保留中")&gt;0,"保留",IF(COUNTIFS(請求記録!$B$6:$B$3005,$A58,請求記録!$Z$6:$Z$3005,V$5)=0,"",SUMIFS(請求記録!$AE$6:$AE$3005,請求記録!$B$6:$B$3005,$A58,請求記録!$Z$6:$Z$3005,V$5))))</f>
        <v/>
      </c>
      <c r="W58" s="19">
        <f>IF($A58="","",IF(COUNTIFS(請求記録!$B$6:$B$3005,$A58,請求記録!$Z$6:$Z$3005,W$5,請求記録!$AF$6:$AF$3005,"保留中")&gt;0,"保留",IF(COUNTIFS(請求記録!$B$6:$B$3005,$A58,請求記録!$Z$6:$Z$3005,W$5)=0,"",SUMIFS(請求記録!$AE$6:$AE$3005,請求記録!$B$6:$B$3005,$A58,請求記録!$Z$6:$Z$3005,W$5))))</f>
        <v/>
      </c>
      <c r="X58" s="19">
        <f>IF($A58="","",IF(COUNTIFS(請求記録!$B$6:$B$3005,$A58,請求記録!$Z$6:$Z$3005,X$5,請求記録!$AF$6:$AF$3005,"保留中")&gt;0,"保留",IF(COUNTIFS(請求記録!$B$6:$B$3005,$A58,請求記録!$Z$6:$Z$3005,X$5)=0,"",SUMIFS(請求記録!$AE$6:$AE$3005,請求記録!$B$6:$B$3005,$A58,請求記録!$Z$6:$Z$3005,X$5))))</f>
        <v/>
      </c>
      <c r="Y58" s="19">
        <f>IF($A58="","",IF(COUNTIFS(請求記録!$B$6:$B$3005,$A58,請求記録!$Z$6:$Z$3005,Y$5,請求記録!$AF$6:$AF$3005,"保留中")&gt;0,"保留",IF(COUNTIFS(請求記録!$B$6:$B$3005,$A58,請求記録!$Z$6:$Z$3005,Y$5)=0,"",SUMIFS(請求記録!$AE$6:$AE$3005,請求記録!$B$6:$B$3005,$A58,請求記録!$Z$6:$Z$3005,Y$5))))</f>
        <v/>
      </c>
      <c r="Z58" s="19">
        <f>IF($A58="","",IF(COUNTIFS(請求記録!$B$6:$B$3005,$A58,請求記録!$Z$6:$Z$3005,Z$5,請求記録!$AF$6:$AF$3005,"保留中")&gt;0,"保留",IF(COUNTIFS(請求記録!$B$6:$B$3005,$A58,請求記録!$Z$6:$Z$3005,Z$5)=0,"",SUMIFS(請求記録!$AE$6:$AE$3005,請求記録!$B$6:$B$3005,$A58,請求記録!$Z$6:$Z$3005,Z$5))))</f>
        <v/>
      </c>
      <c r="AA58" s="19">
        <f>IF($A58="","",IF(COUNTIFS(請求記録!$B$6:$B$3005,$A58,請求記録!$Z$6:$Z$3005,AA$5,請求記録!$AF$6:$AF$3005,"保留中")&gt;0,"保留",IF(COUNTIFS(請求記録!$B$6:$B$3005,$A58,請求記録!$Z$6:$Z$3005,AA$5)=0,"",SUMIFS(請求記録!$AE$6:$AE$3005,請求記録!$B$6:$B$3005,$A58,請求記録!$Z$6:$Z$3005,AA$5))))</f>
        <v/>
      </c>
      <c r="AB58">
        <f>IF(職員マスタ!P58="保留中",職員マスタ!M58,"")</f>
        <v/>
      </c>
    </row>
    <row r="59">
      <c r="A59">
        <f>IF(職員マスタ!A59="","",職員マスタ!A59)</f>
        <v/>
      </c>
      <c r="B59">
        <f>IF($A59="","",職員マスタ!B59)</f>
        <v/>
      </c>
      <c r="C59">
        <f>IF($A59="","",職員マスタ!C59)</f>
        <v/>
      </c>
      <c r="D59" s="19">
        <f>IF($A59="","",IF(COUNTIFS(請求記録!$B$6:$B$3005,$A59,請求記録!$Z$6:$Z$3005,D$5,請求記録!$AF$6:$AF$3005,"保留中")&gt;0,"保留",IF(COUNTIFS(請求記録!$B$6:$B$3005,$A59,請求記録!$Z$6:$Z$3005,D$5)=0,"",SUMIFS(請求記録!$AE$6:$AE$3005,請求記録!$B$6:$B$3005,$A59,請求記録!$Z$6:$Z$3005,D$5))))</f>
        <v/>
      </c>
      <c r="E59" s="19">
        <f>IF($A59="","",IF(COUNTIFS(請求記録!$B$6:$B$3005,$A59,請求記録!$Z$6:$Z$3005,E$5,請求記録!$AF$6:$AF$3005,"保留中")&gt;0,"保留",IF(COUNTIFS(請求記録!$B$6:$B$3005,$A59,請求記録!$Z$6:$Z$3005,E$5)=0,"",SUMIFS(請求記録!$AE$6:$AE$3005,請求記録!$B$6:$B$3005,$A59,請求記録!$Z$6:$Z$3005,E$5))))</f>
        <v/>
      </c>
      <c r="F59" s="19">
        <f>IF($A59="","",IF(COUNTIFS(請求記録!$B$6:$B$3005,$A59,請求記録!$Z$6:$Z$3005,F$5,請求記録!$AF$6:$AF$3005,"保留中")&gt;0,"保留",IF(COUNTIFS(請求記録!$B$6:$B$3005,$A59,請求記録!$Z$6:$Z$3005,F$5)=0,"",SUMIFS(請求記録!$AE$6:$AE$3005,請求記録!$B$6:$B$3005,$A59,請求記録!$Z$6:$Z$3005,F$5))))</f>
        <v/>
      </c>
      <c r="G59" s="19">
        <f>IF($A59="","",IF(COUNTIFS(請求記録!$B$6:$B$3005,$A59,請求記録!$Z$6:$Z$3005,G$5,請求記録!$AF$6:$AF$3005,"保留中")&gt;0,"保留",IF(COUNTIFS(請求記録!$B$6:$B$3005,$A59,請求記録!$Z$6:$Z$3005,G$5)=0,"",SUMIFS(請求記録!$AE$6:$AE$3005,請求記録!$B$6:$B$3005,$A59,請求記録!$Z$6:$Z$3005,G$5))))</f>
        <v/>
      </c>
      <c r="H59" s="19">
        <f>IF($A59="","",IF(COUNTIFS(請求記録!$B$6:$B$3005,$A59,請求記録!$Z$6:$Z$3005,H$5,請求記録!$AF$6:$AF$3005,"保留中")&gt;0,"保留",IF(COUNTIFS(請求記録!$B$6:$B$3005,$A59,請求記録!$Z$6:$Z$3005,H$5)=0,"",SUMIFS(請求記録!$AE$6:$AE$3005,請求記録!$B$6:$B$3005,$A59,請求記録!$Z$6:$Z$3005,H$5))))</f>
        <v/>
      </c>
      <c r="I59" s="19">
        <f>IF($A59="","",IF(COUNTIFS(請求記録!$B$6:$B$3005,$A59,請求記録!$Z$6:$Z$3005,I$5,請求記録!$AF$6:$AF$3005,"保留中")&gt;0,"保留",IF(COUNTIFS(請求記録!$B$6:$B$3005,$A59,請求記録!$Z$6:$Z$3005,I$5)=0,"",SUMIFS(請求記録!$AE$6:$AE$3005,請求記録!$B$6:$B$3005,$A59,請求記録!$Z$6:$Z$3005,I$5))))</f>
        <v/>
      </c>
      <c r="J59" s="19">
        <f>IF($A59="","",IF(COUNTIFS(請求記録!$B$6:$B$3005,$A59,請求記録!$Z$6:$Z$3005,J$5,請求記録!$AF$6:$AF$3005,"保留中")&gt;0,"保留",IF(COUNTIFS(請求記録!$B$6:$B$3005,$A59,請求記録!$Z$6:$Z$3005,J$5)=0,"",SUMIFS(請求記録!$AE$6:$AE$3005,請求記録!$B$6:$B$3005,$A59,請求記録!$Z$6:$Z$3005,J$5))))</f>
        <v/>
      </c>
      <c r="K59" s="19">
        <f>IF($A59="","",IF(COUNTIFS(請求記録!$B$6:$B$3005,$A59,請求記録!$Z$6:$Z$3005,K$5,請求記録!$AF$6:$AF$3005,"保留中")&gt;0,"保留",IF(COUNTIFS(請求記録!$B$6:$B$3005,$A59,請求記録!$Z$6:$Z$3005,K$5)=0,"",SUMIFS(請求記録!$AE$6:$AE$3005,請求記録!$B$6:$B$3005,$A59,請求記録!$Z$6:$Z$3005,K$5))))</f>
        <v/>
      </c>
      <c r="L59" s="19">
        <f>IF($A59="","",IF(COUNTIFS(請求記録!$B$6:$B$3005,$A59,請求記録!$Z$6:$Z$3005,L$5,請求記録!$AF$6:$AF$3005,"保留中")&gt;0,"保留",IF(COUNTIFS(請求記録!$B$6:$B$3005,$A59,請求記録!$Z$6:$Z$3005,L$5)=0,"",SUMIFS(請求記録!$AE$6:$AE$3005,請求記録!$B$6:$B$3005,$A59,請求記録!$Z$6:$Z$3005,L$5))))</f>
        <v/>
      </c>
      <c r="M59" s="19">
        <f>IF($A59="","",IF(COUNTIFS(請求記録!$B$6:$B$3005,$A59,請求記録!$Z$6:$Z$3005,M$5,請求記録!$AF$6:$AF$3005,"保留中")&gt;0,"保留",IF(COUNTIFS(請求記録!$B$6:$B$3005,$A59,請求記録!$Z$6:$Z$3005,M$5)=0,"",SUMIFS(請求記録!$AE$6:$AE$3005,請求記録!$B$6:$B$3005,$A59,請求記録!$Z$6:$Z$3005,M$5))))</f>
        <v/>
      </c>
      <c r="N59" s="19">
        <f>IF($A59="","",IF(COUNTIFS(請求記録!$B$6:$B$3005,$A59,請求記録!$Z$6:$Z$3005,N$5,請求記録!$AF$6:$AF$3005,"保留中")&gt;0,"保留",IF(COUNTIFS(請求記録!$B$6:$B$3005,$A59,請求記録!$Z$6:$Z$3005,N$5)=0,"",SUMIFS(請求記録!$AE$6:$AE$3005,請求記録!$B$6:$B$3005,$A59,請求記録!$Z$6:$Z$3005,N$5))))</f>
        <v/>
      </c>
      <c r="O59" s="19">
        <f>IF($A59="","",IF(COUNTIFS(請求記録!$B$6:$B$3005,$A59,請求記録!$Z$6:$Z$3005,O$5,請求記録!$AF$6:$AF$3005,"保留中")&gt;0,"保留",IF(COUNTIFS(請求記録!$B$6:$B$3005,$A59,請求記録!$Z$6:$Z$3005,O$5)=0,"",SUMIFS(請求記録!$AE$6:$AE$3005,請求記録!$B$6:$B$3005,$A59,請求記録!$Z$6:$Z$3005,O$5))))</f>
        <v/>
      </c>
      <c r="P59" s="19">
        <f>IF($A59="","",IF(COUNTIFS(請求記録!$B$6:$B$3005,$A59,請求記録!$Z$6:$Z$3005,P$5,請求記録!$AF$6:$AF$3005,"保留中")&gt;0,"保留",IF(COUNTIFS(請求記録!$B$6:$B$3005,$A59,請求記録!$Z$6:$Z$3005,P$5)=0,"",SUMIFS(請求記録!$AE$6:$AE$3005,請求記録!$B$6:$B$3005,$A59,請求記録!$Z$6:$Z$3005,P$5))))</f>
        <v/>
      </c>
      <c r="Q59" s="19">
        <f>IF($A59="","",IF(COUNTIFS(請求記録!$B$6:$B$3005,$A59,請求記録!$Z$6:$Z$3005,Q$5,請求記録!$AF$6:$AF$3005,"保留中")&gt;0,"保留",IF(COUNTIFS(請求記録!$B$6:$B$3005,$A59,請求記録!$Z$6:$Z$3005,Q$5)=0,"",SUMIFS(請求記録!$AE$6:$AE$3005,請求記録!$B$6:$B$3005,$A59,請求記録!$Z$6:$Z$3005,Q$5))))</f>
        <v/>
      </c>
      <c r="R59" s="19">
        <f>IF($A59="","",IF(COUNTIFS(請求記録!$B$6:$B$3005,$A59,請求記録!$Z$6:$Z$3005,R$5,請求記録!$AF$6:$AF$3005,"保留中")&gt;0,"保留",IF(COUNTIFS(請求記録!$B$6:$B$3005,$A59,請求記録!$Z$6:$Z$3005,R$5)=0,"",SUMIFS(請求記録!$AE$6:$AE$3005,請求記録!$B$6:$B$3005,$A59,請求記録!$Z$6:$Z$3005,R$5))))</f>
        <v/>
      </c>
      <c r="S59" s="19">
        <f>IF($A59="","",IF(COUNTIFS(請求記録!$B$6:$B$3005,$A59,請求記録!$Z$6:$Z$3005,S$5,請求記録!$AF$6:$AF$3005,"保留中")&gt;0,"保留",IF(COUNTIFS(請求記録!$B$6:$B$3005,$A59,請求記録!$Z$6:$Z$3005,S$5)=0,"",SUMIFS(請求記録!$AE$6:$AE$3005,請求記録!$B$6:$B$3005,$A59,請求記録!$Z$6:$Z$3005,S$5))))</f>
        <v/>
      </c>
      <c r="T59" s="19">
        <f>IF($A59="","",IF(COUNTIFS(請求記録!$B$6:$B$3005,$A59,請求記録!$Z$6:$Z$3005,T$5,請求記録!$AF$6:$AF$3005,"保留中")&gt;0,"保留",IF(COUNTIFS(請求記録!$B$6:$B$3005,$A59,請求記録!$Z$6:$Z$3005,T$5)=0,"",SUMIFS(請求記録!$AE$6:$AE$3005,請求記録!$B$6:$B$3005,$A59,請求記録!$Z$6:$Z$3005,T$5))))</f>
        <v/>
      </c>
      <c r="U59" s="19">
        <f>IF($A59="","",IF(COUNTIFS(請求記録!$B$6:$B$3005,$A59,請求記録!$Z$6:$Z$3005,U$5,請求記録!$AF$6:$AF$3005,"保留中")&gt;0,"保留",IF(COUNTIFS(請求記録!$B$6:$B$3005,$A59,請求記録!$Z$6:$Z$3005,U$5)=0,"",SUMIFS(請求記録!$AE$6:$AE$3005,請求記録!$B$6:$B$3005,$A59,請求記録!$Z$6:$Z$3005,U$5))))</f>
        <v/>
      </c>
      <c r="V59" s="19">
        <f>IF($A59="","",IF(COUNTIFS(請求記録!$B$6:$B$3005,$A59,請求記録!$Z$6:$Z$3005,V$5,請求記録!$AF$6:$AF$3005,"保留中")&gt;0,"保留",IF(COUNTIFS(請求記録!$B$6:$B$3005,$A59,請求記録!$Z$6:$Z$3005,V$5)=0,"",SUMIFS(請求記録!$AE$6:$AE$3005,請求記録!$B$6:$B$3005,$A59,請求記録!$Z$6:$Z$3005,V$5))))</f>
        <v/>
      </c>
      <c r="W59" s="19">
        <f>IF($A59="","",IF(COUNTIFS(請求記録!$B$6:$B$3005,$A59,請求記録!$Z$6:$Z$3005,W$5,請求記録!$AF$6:$AF$3005,"保留中")&gt;0,"保留",IF(COUNTIFS(請求記録!$B$6:$B$3005,$A59,請求記録!$Z$6:$Z$3005,W$5)=0,"",SUMIFS(請求記録!$AE$6:$AE$3005,請求記録!$B$6:$B$3005,$A59,請求記録!$Z$6:$Z$3005,W$5))))</f>
        <v/>
      </c>
      <c r="X59" s="19">
        <f>IF($A59="","",IF(COUNTIFS(請求記録!$B$6:$B$3005,$A59,請求記録!$Z$6:$Z$3005,X$5,請求記録!$AF$6:$AF$3005,"保留中")&gt;0,"保留",IF(COUNTIFS(請求記録!$B$6:$B$3005,$A59,請求記録!$Z$6:$Z$3005,X$5)=0,"",SUMIFS(請求記録!$AE$6:$AE$3005,請求記録!$B$6:$B$3005,$A59,請求記録!$Z$6:$Z$3005,X$5))))</f>
        <v/>
      </c>
      <c r="Y59" s="19">
        <f>IF($A59="","",IF(COUNTIFS(請求記録!$B$6:$B$3005,$A59,請求記録!$Z$6:$Z$3005,Y$5,請求記録!$AF$6:$AF$3005,"保留中")&gt;0,"保留",IF(COUNTIFS(請求記録!$B$6:$B$3005,$A59,請求記録!$Z$6:$Z$3005,Y$5)=0,"",SUMIFS(請求記録!$AE$6:$AE$3005,請求記録!$B$6:$B$3005,$A59,請求記録!$Z$6:$Z$3005,Y$5))))</f>
        <v/>
      </c>
      <c r="Z59" s="19">
        <f>IF($A59="","",IF(COUNTIFS(請求記録!$B$6:$B$3005,$A59,請求記録!$Z$6:$Z$3005,Z$5,請求記録!$AF$6:$AF$3005,"保留中")&gt;0,"保留",IF(COUNTIFS(請求記録!$B$6:$B$3005,$A59,請求記録!$Z$6:$Z$3005,Z$5)=0,"",SUMIFS(請求記録!$AE$6:$AE$3005,請求記録!$B$6:$B$3005,$A59,請求記録!$Z$6:$Z$3005,Z$5))))</f>
        <v/>
      </c>
      <c r="AA59" s="19">
        <f>IF($A59="","",IF(COUNTIFS(請求記録!$B$6:$B$3005,$A59,請求記録!$Z$6:$Z$3005,AA$5,請求記録!$AF$6:$AF$3005,"保留中")&gt;0,"保留",IF(COUNTIFS(請求記録!$B$6:$B$3005,$A59,請求記録!$Z$6:$Z$3005,AA$5)=0,"",SUMIFS(請求記録!$AE$6:$AE$3005,請求記録!$B$6:$B$3005,$A59,請求記録!$Z$6:$Z$3005,AA$5))))</f>
        <v/>
      </c>
      <c r="AB59">
        <f>IF(職員マスタ!P59="保留中",職員マスタ!M59,"")</f>
        <v/>
      </c>
    </row>
    <row r="60">
      <c r="A60">
        <f>IF(職員マスタ!A60="","",職員マスタ!A60)</f>
        <v/>
      </c>
      <c r="B60">
        <f>IF($A60="","",職員マスタ!B60)</f>
        <v/>
      </c>
      <c r="C60">
        <f>IF($A60="","",職員マスタ!C60)</f>
        <v/>
      </c>
      <c r="D60" s="19">
        <f>IF($A60="","",IF(COUNTIFS(請求記録!$B$6:$B$3005,$A60,請求記録!$Z$6:$Z$3005,D$5,請求記録!$AF$6:$AF$3005,"保留中")&gt;0,"保留",IF(COUNTIFS(請求記録!$B$6:$B$3005,$A60,請求記録!$Z$6:$Z$3005,D$5)=0,"",SUMIFS(請求記録!$AE$6:$AE$3005,請求記録!$B$6:$B$3005,$A60,請求記録!$Z$6:$Z$3005,D$5))))</f>
        <v/>
      </c>
      <c r="E60" s="19">
        <f>IF($A60="","",IF(COUNTIFS(請求記録!$B$6:$B$3005,$A60,請求記録!$Z$6:$Z$3005,E$5,請求記録!$AF$6:$AF$3005,"保留中")&gt;0,"保留",IF(COUNTIFS(請求記録!$B$6:$B$3005,$A60,請求記録!$Z$6:$Z$3005,E$5)=0,"",SUMIFS(請求記録!$AE$6:$AE$3005,請求記録!$B$6:$B$3005,$A60,請求記録!$Z$6:$Z$3005,E$5))))</f>
        <v/>
      </c>
      <c r="F60" s="19">
        <f>IF($A60="","",IF(COUNTIFS(請求記録!$B$6:$B$3005,$A60,請求記録!$Z$6:$Z$3005,F$5,請求記録!$AF$6:$AF$3005,"保留中")&gt;0,"保留",IF(COUNTIFS(請求記録!$B$6:$B$3005,$A60,請求記録!$Z$6:$Z$3005,F$5)=0,"",SUMIFS(請求記録!$AE$6:$AE$3005,請求記録!$B$6:$B$3005,$A60,請求記録!$Z$6:$Z$3005,F$5))))</f>
        <v/>
      </c>
      <c r="G60" s="19">
        <f>IF($A60="","",IF(COUNTIFS(請求記録!$B$6:$B$3005,$A60,請求記録!$Z$6:$Z$3005,G$5,請求記録!$AF$6:$AF$3005,"保留中")&gt;0,"保留",IF(COUNTIFS(請求記録!$B$6:$B$3005,$A60,請求記録!$Z$6:$Z$3005,G$5)=0,"",SUMIFS(請求記録!$AE$6:$AE$3005,請求記録!$B$6:$B$3005,$A60,請求記録!$Z$6:$Z$3005,G$5))))</f>
        <v/>
      </c>
      <c r="H60" s="19">
        <f>IF($A60="","",IF(COUNTIFS(請求記録!$B$6:$B$3005,$A60,請求記録!$Z$6:$Z$3005,H$5,請求記録!$AF$6:$AF$3005,"保留中")&gt;0,"保留",IF(COUNTIFS(請求記録!$B$6:$B$3005,$A60,請求記録!$Z$6:$Z$3005,H$5)=0,"",SUMIFS(請求記録!$AE$6:$AE$3005,請求記録!$B$6:$B$3005,$A60,請求記録!$Z$6:$Z$3005,H$5))))</f>
        <v/>
      </c>
      <c r="I60" s="19">
        <f>IF($A60="","",IF(COUNTIFS(請求記録!$B$6:$B$3005,$A60,請求記録!$Z$6:$Z$3005,I$5,請求記録!$AF$6:$AF$3005,"保留中")&gt;0,"保留",IF(COUNTIFS(請求記録!$B$6:$B$3005,$A60,請求記録!$Z$6:$Z$3005,I$5)=0,"",SUMIFS(請求記録!$AE$6:$AE$3005,請求記録!$B$6:$B$3005,$A60,請求記録!$Z$6:$Z$3005,I$5))))</f>
        <v/>
      </c>
      <c r="J60" s="19">
        <f>IF($A60="","",IF(COUNTIFS(請求記録!$B$6:$B$3005,$A60,請求記録!$Z$6:$Z$3005,J$5,請求記録!$AF$6:$AF$3005,"保留中")&gt;0,"保留",IF(COUNTIFS(請求記録!$B$6:$B$3005,$A60,請求記録!$Z$6:$Z$3005,J$5)=0,"",SUMIFS(請求記録!$AE$6:$AE$3005,請求記録!$B$6:$B$3005,$A60,請求記録!$Z$6:$Z$3005,J$5))))</f>
        <v/>
      </c>
      <c r="K60" s="19">
        <f>IF($A60="","",IF(COUNTIFS(請求記録!$B$6:$B$3005,$A60,請求記録!$Z$6:$Z$3005,K$5,請求記録!$AF$6:$AF$3005,"保留中")&gt;0,"保留",IF(COUNTIFS(請求記録!$B$6:$B$3005,$A60,請求記録!$Z$6:$Z$3005,K$5)=0,"",SUMIFS(請求記録!$AE$6:$AE$3005,請求記録!$B$6:$B$3005,$A60,請求記録!$Z$6:$Z$3005,K$5))))</f>
        <v/>
      </c>
      <c r="L60" s="19">
        <f>IF($A60="","",IF(COUNTIFS(請求記録!$B$6:$B$3005,$A60,請求記録!$Z$6:$Z$3005,L$5,請求記録!$AF$6:$AF$3005,"保留中")&gt;0,"保留",IF(COUNTIFS(請求記録!$B$6:$B$3005,$A60,請求記録!$Z$6:$Z$3005,L$5)=0,"",SUMIFS(請求記録!$AE$6:$AE$3005,請求記録!$B$6:$B$3005,$A60,請求記録!$Z$6:$Z$3005,L$5))))</f>
        <v/>
      </c>
      <c r="M60" s="19">
        <f>IF($A60="","",IF(COUNTIFS(請求記録!$B$6:$B$3005,$A60,請求記録!$Z$6:$Z$3005,M$5,請求記録!$AF$6:$AF$3005,"保留中")&gt;0,"保留",IF(COUNTIFS(請求記録!$B$6:$B$3005,$A60,請求記録!$Z$6:$Z$3005,M$5)=0,"",SUMIFS(請求記録!$AE$6:$AE$3005,請求記録!$B$6:$B$3005,$A60,請求記録!$Z$6:$Z$3005,M$5))))</f>
        <v/>
      </c>
      <c r="N60" s="19">
        <f>IF($A60="","",IF(COUNTIFS(請求記録!$B$6:$B$3005,$A60,請求記録!$Z$6:$Z$3005,N$5,請求記録!$AF$6:$AF$3005,"保留中")&gt;0,"保留",IF(COUNTIFS(請求記録!$B$6:$B$3005,$A60,請求記録!$Z$6:$Z$3005,N$5)=0,"",SUMIFS(請求記録!$AE$6:$AE$3005,請求記録!$B$6:$B$3005,$A60,請求記録!$Z$6:$Z$3005,N$5))))</f>
        <v/>
      </c>
      <c r="O60" s="19">
        <f>IF($A60="","",IF(COUNTIFS(請求記録!$B$6:$B$3005,$A60,請求記録!$Z$6:$Z$3005,O$5,請求記録!$AF$6:$AF$3005,"保留中")&gt;0,"保留",IF(COUNTIFS(請求記録!$B$6:$B$3005,$A60,請求記録!$Z$6:$Z$3005,O$5)=0,"",SUMIFS(請求記録!$AE$6:$AE$3005,請求記録!$B$6:$B$3005,$A60,請求記録!$Z$6:$Z$3005,O$5))))</f>
        <v/>
      </c>
      <c r="P60" s="19">
        <f>IF($A60="","",IF(COUNTIFS(請求記録!$B$6:$B$3005,$A60,請求記録!$Z$6:$Z$3005,P$5,請求記録!$AF$6:$AF$3005,"保留中")&gt;0,"保留",IF(COUNTIFS(請求記録!$B$6:$B$3005,$A60,請求記録!$Z$6:$Z$3005,P$5)=0,"",SUMIFS(請求記録!$AE$6:$AE$3005,請求記録!$B$6:$B$3005,$A60,請求記録!$Z$6:$Z$3005,P$5))))</f>
        <v/>
      </c>
      <c r="Q60" s="19">
        <f>IF($A60="","",IF(COUNTIFS(請求記録!$B$6:$B$3005,$A60,請求記録!$Z$6:$Z$3005,Q$5,請求記録!$AF$6:$AF$3005,"保留中")&gt;0,"保留",IF(COUNTIFS(請求記録!$B$6:$B$3005,$A60,請求記録!$Z$6:$Z$3005,Q$5)=0,"",SUMIFS(請求記録!$AE$6:$AE$3005,請求記録!$B$6:$B$3005,$A60,請求記録!$Z$6:$Z$3005,Q$5))))</f>
        <v/>
      </c>
      <c r="R60" s="19">
        <f>IF($A60="","",IF(COUNTIFS(請求記録!$B$6:$B$3005,$A60,請求記録!$Z$6:$Z$3005,R$5,請求記録!$AF$6:$AF$3005,"保留中")&gt;0,"保留",IF(COUNTIFS(請求記録!$B$6:$B$3005,$A60,請求記録!$Z$6:$Z$3005,R$5)=0,"",SUMIFS(請求記録!$AE$6:$AE$3005,請求記録!$B$6:$B$3005,$A60,請求記録!$Z$6:$Z$3005,R$5))))</f>
        <v/>
      </c>
      <c r="S60" s="19">
        <f>IF($A60="","",IF(COUNTIFS(請求記録!$B$6:$B$3005,$A60,請求記録!$Z$6:$Z$3005,S$5,請求記録!$AF$6:$AF$3005,"保留中")&gt;0,"保留",IF(COUNTIFS(請求記録!$B$6:$B$3005,$A60,請求記録!$Z$6:$Z$3005,S$5)=0,"",SUMIFS(請求記録!$AE$6:$AE$3005,請求記録!$B$6:$B$3005,$A60,請求記録!$Z$6:$Z$3005,S$5))))</f>
        <v/>
      </c>
      <c r="T60" s="19">
        <f>IF($A60="","",IF(COUNTIFS(請求記録!$B$6:$B$3005,$A60,請求記録!$Z$6:$Z$3005,T$5,請求記録!$AF$6:$AF$3005,"保留中")&gt;0,"保留",IF(COUNTIFS(請求記録!$B$6:$B$3005,$A60,請求記録!$Z$6:$Z$3005,T$5)=0,"",SUMIFS(請求記録!$AE$6:$AE$3005,請求記録!$B$6:$B$3005,$A60,請求記録!$Z$6:$Z$3005,T$5))))</f>
        <v/>
      </c>
      <c r="U60" s="19">
        <f>IF($A60="","",IF(COUNTIFS(請求記録!$B$6:$B$3005,$A60,請求記録!$Z$6:$Z$3005,U$5,請求記録!$AF$6:$AF$3005,"保留中")&gt;0,"保留",IF(COUNTIFS(請求記録!$B$6:$B$3005,$A60,請求記録!$Z$6:$Z$3005,U$5)=0,"",SUMIFS(請求記録!$AE$6:$AE$3005,請求記録!$B$6:$B$3005,$A60,請求記録!$Z$6:$Z$3005,U$5))))</f>
        <v/>
      </c>
      <c r="V60" s="19">
        <f>IF($A60="","",IF(COUNTIFS(請求記録!$B$6:$B$3005,$A60,請求記録!$Z$6:$Z$3005,V$5,請求記録!$AF$6:$AF$3005,"保留中")&gt;0,"保留",IF(COUNTIFS(請求記録!$B$6:$B$3005,$A60,請求記録!$Z$6:$Z$3005,V$5)=0,"",SUMIFS(請求記録!$AE$6:$AE$3005,請求記録!$B$6:$B$3005,$A60,請求記録!$Z$6:$Z$3005,V$5))))</f>
        <v/>
      </c>
      <c r="W60" s="19">
        <f>IF($A60="","",IF(COUNTIFS(請求記録!$B$6:$B$3005,$A60,請求記録!$Z$6:$Z$3005,W$5,請求記録!$AF$6:$AF$3005,"保留中")&gt;0,"保留",IF(COUNTIFS(請求記録!$B$6:$B$3005,$A60,請求記録!$Z$6:$Z$3005,W$5)=0,"",SUMIFS(請求記録!$AE$6:$AE$3005,請求記録!$B$6:$B$3005,$A60,請求記録!$Z$6:$Z$3005,W$5))))</f>
        <v/>
      </c>
      <c r="X60" s="19">
        <f>IF($A60="","",IF(COUNTIFS(請求記録!$B$6:$B$3005,$A60,請求記録!$Z$6:$Z$3005,X$5,請求記録!$AF$6:$AF$3005,"保留中")&gt;0,"保留",IF(COUNTIFS(請求記録!$B$6:$B$3005,$A60,請求記録!$Z$6:$Z$3005,X$5)=0,"",SUMIFS(請求記録!$AE$6:$AE$3005,請求記録!$B$6:$B$3005,$A60,請求記録!$Z$6:$Z$3005,X$5))))</f>
        <v/>
      </c>
      <c r="Y60" s="19">
        <f>IF($A60="","",IF(COUNTIFS(請求記録!$B$6:$B$3005,$A60,請求記録!$Z$6:$Z$3005,Y$5,請求記録!$AF$6:$AF$3005,"保留中")&gt;0,"保留",IF(COUNTIFS(請求記録!$B$6:$B$3005,$A60,請求記録!$Z$6:$Z$3005,Y$5)=0,"",SUMIFS(請求記録!$AE$6:$AE$3005,請求記録!$B$6:$B$3005,$A60,請求記録!$Z$6:$Z$3005,Y$5))))</f>
        <v/>
      </c>
      <c r="Z60" s="19">
        <f>IF($A60="","",IF(COUNTIFS(請求記録!$B$6:$B$3005,$A60,請求記録!$Z$6:$Z$3005,Z$5,請求記録!$AF$6:$AF$3005,"保留中")&gt;0,"保留",IF(COUNTIFS(請求記録!$B$6:$B$3005,$A60,請求記録!$Z$6:$Z$3005,Z$5)=0,"",SUMIFS(請求記録!$AE$6:$AE$3005,請求記録!$B$6:$B$3005,$A60,請求記録!$Z$6:$Z$3005,Z$5))))</f>
        <v/>
      </c>
      <c r="AA60" s="19">
        <f>IF($A60="","",IF(COUNTIFS(請求記録!$B$6:$B$3005,$A60,請求記録!$Z$6:$Z$3005,AA$5,請求記録!$AF$6:$AF$3005,"保留中")&gt;0,"保留",IF(COUNTIFS(請求記録!$B$6:$B$3005,$A60,請求記録!$Z$6:$Z$3005,AA$5)=0,"",SUMIFS(請求記録!$AE$6:$AE$3005,請求記録!$B$6:$B$3005,$A60,請求記録!$Z$6:$Z$3005,AA$5))))</f>
        <v/>
      </c>
      <c r="AB60">
        <f>IF(職員マスタ!P60="保留中",職員マスタ!M60,"")</f>
        <v/>
      </c>
    </row>
    <row r="61">
      <c r="A61">
        <f>IF(職員マスタ!A61="","",職員マスタ!A61)</f>
        <v/>
      </c>
      <c r="B61">
        <f>IF($A61="","",職員マスタ!B61)</f>
        <v/>
      </c>
      <c r="C61">
        <f>IF($A61="","",職員マスタ!C61)</f>
        <v/>
      </c>
      <c r="D61" s="19">
        <f>IF($A61="","",IF(COUNTIFS(請求記録!$B$6:$B$3005,$A61,請求記録!$Z$6:$Z$3005,D$5,請求記録!$AF$6:$AF$3005,"保留中")&gt;0,"保留",IF(COUNTIFS(請求記録!$B$6:$B$3005,$A61,請求記録!$Z$6:$Z$3005,D$5)=0,"",SUMIFS(請求記録!$AE$6:$AE$3005,請求記録!$B$6:$B$3005,$A61,請求記録!$Z$6:$Z$3005,D$5))))</f>
        <v/>
      </c>
      <c r="E61" s="19">
        <f>IF($A61="","",IF(COUNTIFS(請求記録!$B$6:$B$3005,$A61,請求記録!$Z$6:$Z$3005,E$5,請求記録!$AF$6:$AF$3005,"保留中")&gt;0,"保留",IF(COUNTIFS(請求記録!$B$6:$B$3005,$A61,請求記録!$Z$6:$Z$3005,E$5)=0,"",SUMIFS(請求記録!$AE$6:$AE$3005,請求記録!$B$6:$B$3005,$A61,請求記録!$Z$6:$Z$3005,E$5))))</f>
        <v/>
      </c>
      <c r="F61" s="19">
        <f>IF($A61="","",IF(COUNTIFS(請求記録!$B$6:$B$3005,$A61,請求記録!$Z$6:$Z$3005,F$5,請求記録!$AF$6:$AF$3005,"保留中")&gt;0,"保留",IF(COUNTIFS(請求記録!$B$6:$B$3005,$A61,請求記録!$Z$6:$Z$3005,F$5)=0,"",SUMIFS(請求記録!$AE$6:$AE$3005,請求記録!$B$6:$B$3005,$A61,請求記録!$Z$6:$Z$3005,F$5))))</f>
        <v/>
      </c>
      <c r="G61" s="19">
        <f>IF($A61="","",IF(COUNTIFS(請求記録!$B$6:$B$3005,$A61,請求記録!$Z$6:$Z$3005,G$5,請求記録!$AF$6:$AF$3005,"保留中")&gt;0,"保留",IF(COUNTIFS(請求記録!$B$6:$B$3005,$A61,請求記録!$Z$6:$Z$3005,G$5)=0,"",SUMIFS(請求記録!$AE$6:$AE$3005,請求記録!$B$6:$B$3005,$A61,請求記録!$Z$6:$Z$3005,G$5))))</f>
        <v/>
      </c>
      <c r="H61" s="19">
        <f>IF($A61="","",IF(COUNTIFS(請求記録!$B$6:$B$3005,$A61,請求記録!$Z$6:$Z$3005,H$5,請求記録!$AF$6:$AF$3005,"保留中")&gt;0,"保留",IF(COUNTIFS(請求記録!$B$6:$B$3005,$A61,請求記録!$Z$6:$Z$3005,H$5)=0,"",SUMIFS(請求記録!$AE$6:$AE$3005,請求記録!$B$6:$B$3005,$A61,請求記録!$Z$6:$Z$3005,H$5))))</f>
        <v/>
      </c>
      <c r="I61" s="19">
        <f>IF($A61="","",IF(COUNTIFS(請求記録!$B$6:$B$3005,$A61,請求記録!$Z$6:$Z$3005,I$5,請求記録!$AF$6:$AF$3005,"保留中")&gt;0,"保留",IF(COUNTIFS(請求記録!$B$6:$B$3005,$A61,請求記録!$Z$6:$Z$3005,I$5)=0,"",SUMIFS(請求記録!$AE$6:$AE$3005,請求記録!$B$6:$B$3005,$A61,請求記録!$Z$6:$Z$3005,I$5))))</f>
        <v/>
      </c>
      <c r="J61" s="19">
        <f>IF($A61="","",IF(COUNTIFS(請求記録!$B$6:$B$3005,$A61,請求記録!$Z$6:$Z$3005,J$5,請求記録!$AF$6:$AF$3005,"保留中")&gt;0,"保留",IF(COUNTIFS(請求記録!$B$6:$B$3005,$A61,請求記録!$Z$6:$Z$3005,J$5)=0,"",SUMIFS(請求記録!$AE$6:$AE$3005,請求記録!$B$6:$B$3005,$A61,請求記録!$Z$6:$Z$3005,J$5))))</f>
        <v/>
      </c>
      <c r="K61" s="19">
        <f>IF($A61="","",IF(COUNTIFS(請求記録!$B$6:$B$3005,$A61,請求記録!$Z$6:$Z$3005,K$5,請求記録!$AF$6:$AF$3005,"保留中")&gt;0,"保留",IF(COUNTIFS(請求記録!$B$6:$B$3005,$A61,請求記録!$Z$6:$Z$3005,K$5)=0,"",SUMIFS(請求記録!$AE$6:$AE$3005,請求記録!$B$6:$B$3005,$A61,請求記録!$Z$6:$Z$3005,K$5))))</f>
        <v/>
      </c>
      <c r="L61" s="19">
        <f>IF($A61="","",IF(COUNTIFS(請求記録!$B$6:$B$3005,$A61,請求記録!$Z$6:$Z$3005,L$5,請求記録!$AF$6:$AF$3005,"保留中")&gt;0,"保留",IF(COUNTIFS(請求記録!$B$6:$B$3005,$A61,請求記録!$Z$6:$Z$3005,L$5)=0,"",SUMIFS(請求記録!$AE$6:$AE$3005,請求記録!$B$6:$B$3005,$A61,請求記録!$Z$6:$Z$3005,L$5))))</f>
        <v/>
      </c>
      <c r="M61" s="19">
        <f>IF($A61="","",IF(COUNTIFS(請求記録!$B$6:$B$3005,$A61,請求記録!$Z$6:$Z$3005,M$5,請求記録!$AF$6:$AF$3005,"保留中")&gt;0,"保留",IF(COUNTIFS(請求記録!$B$6:$B$3005,$A61,請求記録!$Z$6:$Z$3005,M$5)=0,"",SUMIFS(請求記録!$AE$6:$AE$3005,請求記録!$B$6:$B$3005,$A61,請求記録!$Z$6:$Z$3005,M$5))))</f>
        <v/>
      </c>
      <c r="N61" s="19">
        <f>IF($A61="","",IF(COUNTIFS(請求記録!$B$6:$B$3005,$A61,請求記録!$Z$6:$Z$3005,N$5,請求記録!$AF$6:$AF$3005,"保留中")&gt;0,"保留",IF(COUNTIFS(請求記録!$B$6:$B$3005,$A61,請求記録!$Z$6:$Z$3005,N$5)=0,"",SUMIFS(請求記録!$AE$6:$AE$3005,請求記録!$B$6:$B$3005,$A61,請求記録!$Z$6:$Z$3005,N$5))))</f>
        <v/>
      </c>
      <c r="O61" s="19">
        <f>IF($A61="","",IF(COUNTIFS(請求記録!$B$6:$B$3005,$A61,請求記録!$Z$6:$Z$3005,O$5,請求記録!$AF$6:$AF$3005,"保留中")&gt;0,"保留",IF(COUNTIFS(請求記録!$B$6:$B$3005,$A61,請求記録!$Z$6:$Z$3005,O$5)=0,"",SUMIFS(請求記録!$AE$6:$AE$3005,請求記録!$B$6:$B$3005,$A61,請求記録!$Z$6:$Z$3005,O$5))))</f>
        <v/>
      </c>
      <c r="P61" s="19">
        <f>IF($A61="","",IF(COUNTIFS(請求記録!$B$6:$B$3005,$A61,請求記録!$Z$6:$Z$3005,P$5,請求記録!$AF$6:$AF$3005,"保留中")&gt;0,"保留",IF(COUNTIFS(請求記録!$B$6:$B$3005,$A61,請求記録!$Z$6:$Z$3005,P$5)=0,"",SUMIFS(請求記録!$AE$6:$AE$3005,請求記録!$B$6:$B$3005,$A61,請求記録!$Z$6:$Z$3005,P$5))))</f>
        <v/>
      </c>
      <c r="Q61" s="19">
        <f>IF($A61="","",IF(COUNTIFS(請求記録!$B$6:$B$3005,$A61,請求記録!$Z$6:$Z$3005,Q$5,請求記録!$AF$6:$AF$3005,"保留中")&gt;0,"保留",IF(COUNTIFS(請求記録!$B$6:$B$3005,$A61,請求記録!$Z$6:$Z$3005,Q$5)=0,"",SUMIFS(請求記録!$AE$6:$AE$3005,請求記録!$B$6:$B$3005,$A61,請求記録!$Z$6:$Z$3005,Q$5))))</f>
        <v/>
      </c>
      <c r="R61" s="19">
        <f>IF($A61="","",IF(COUNTIFS(請求記録!$B$6:$B$3005,$A61,請求記録!$Z$6:$Z$3005,R$5,請求記録!$AF$6:$AF$3005,"保留中")&gt;0,"保留",IF(COUNTIFS(請求記録!$B$6:$B$3005,$A61,請求記録!$Z$6:$Z$3005,R$5)=0,"",SUMIFS(請求記録!$AE$6:$AE$3005,請求記録!$B$6:$B$3005,$A61,請求記録!$Z$6:$Z$3005,R$5))))</f>
        <v/>
      </c>
      <c r="S61" s="19">
        <f>IF($A61="","",IF(COUNTIFS(請求記録!$B$6:$B$3005,$A61,請求記録!$Z$6:$Z$3005,S$5,請求記録!$AF$6:$AF$3005,"保留中")&gt;0,"保留",IF(COUNTIFS(請求記録!$B$6:$B$3005,$A61,請求記録!$Z$6:$Z$3005,S$5)=0,"",SUMIFS(請求記録!$AE$6:$AE$3005,請求記録!$B$6:$B$3005,$A61,請求記録!$Z$6:$Z$3005,S$5))))</f>
        <v/>
      </c>
      <c r="T61" s="19">
        <f>IF($A61="","",IF(COUNTIFS(請求記録!$B$6:$B$3005,$A61,請求記録!$Z$6:$Z$3005,T$5,請求記録!$AF$6:$AF$3005,"保留中")&gt;0,"保留",IF(COUNTIFS(請求記録!$B$6:$B$3005,$A61,請求記録!$Z$6:$Z$3005,T$5)=0,"",SUMIFS(請求記録!$AE$6:$AE$3005,請求記録!$B$6:$B$3005,$A61,請求記録!$Z$6:$Z$3005,T$5))))</f>
        <v/>
      </c>
      <c r="U61" s="19">
        <f>IF($A61="","",IF(COUNTIFS(請求記録!$B$6:$B$3005,$A61,請求記録!$Z$6:$Z$3005,U$5,請求記録!$AF$6:$AF$3005,"保留中")&gt;0,"保留",IF(COUNTIFS(請求記録!$B$6:$B$3005,$A61,請求記録!$Z$6:$Z$3005,U$5)=0,"",SUMIFS(請求記録!$AE$6:$AE$3005,請求記録!$B$6:$B$3005,$A61,請求記録!$Z$6:$Z$3005,U$5))))</f>
        <v/>
      </c>
      <c r="V61" s="19">
        <f>IF($A61="","",IF(COUNTIFS(請求記録!$B$6:$B$3005,$A61,請求記録!$Z$6:$Z$3005,V$5,請求記録!$AF$6:$AF$3005,"保留中")&gt;0,"保留",IF(COUNTIFS(請求記録!$B$6:$B$3005,$A61,請求記録!$Z$6:$Z$3005,V$5)=0,"",SUMIFS(請求記録!$AE$6:$AE$3005,請求記録!$B$6:$B$3005,$A61,請求記録!$Z$6:$Z$3005,V$5))))</f>
        <v/>
      </c>
      <c r="W61" s="19">
        <f>IF($A61="","",IF(COUNTIFS(請求記録!$B$6:$B$3005,$A61,請求記録!$Z$6:$Z$3005,W$5,請求記録!$AF$6:$AF$3005,"保留中")&gt;0,"保留",IF(COUNTIFS(請求記録!$B$6:$B$3005,$A61,請求記録!$Z$6:$Z$3005,W$5)=0,"",SUMIFS(請求記録!$AE$6:$AE$3005,請求記録!$B$6:$B$3005,$A61,請求記録!$Z$6:$Z$3005,W$5))))</f>
        <v/>
      </c>
      <c r="X61" s="19">
        <f>IF($A61="","",IF(COUNTIFS(請求記録!$B$6:$B$3005,$A61,請求記録!$Z$6:$Z$3005,X$5,請求記録!$AF$6:$AF$3005,"保留中")&gt;0,"保留",IF(COUNTIFS(請求記録!$B$6:$B$3005,$A61,請求記録!$Z$6:$Z$3005,X$5)=0,"",SUMIFS(請求記録!$AE$6:$AE$3005,請求記録!$B$6:$B$3005,$A61,請求記録!$Z$6:$Z$3005,X$5))))</f>
        <v/>
      </c>
      <c r="Y61" s="19">
        <f>IF($A61="","",IF(COUNTIFS(請求記録!$B$6:$B$3005,$A61,請求記録!$Z$6:$Z$3005,Y$5,請求記録!$AF$6:$AF$3005,"保留中")&gt;0,"保留",IF(COUNTIFS(請求記録!$B$6:$B$3005,$A61,請求記録!$Z$6:$Z$3005,Y$5)=0,"",SUMIFS(請求記録!$AE$6:$AE$3005,請求記録!$B$6:$B$3005,$A61,請求記録!$Z$6:$Z$3005,Y$5))))</f>
        <v/>
      </c>
      <c r="Z61" s="19">
        <f>IF($A61="","",IF(COUNTIFS(請求記録!$B$6:$B$3005,$A61,請求記録!$Z$6:$Z$3005,Z$5,請求記録!$AF$6:$AF$3005,"保留中")&gt;0,"保留",IF(COUNTIFS(請求記録!$B$6:$B$3005,$A61,請求記録!$Z$6:$Z$3005,Z$5)=0,"",SUMIFS(請求記録!$AE$6:$AE$3005,請求記録!$B$6:$B$3005,$A61,請求記録!$Z$6:$Z$3005,Z$5))))</f>
        <v/>
      </c>
      <c r="AA61" s="19">
        <f>IF($A61="","",IF(COUNTIFS(請求記録!$B$6:$B$3005,$A61,請求記録!$Z$6:$Z$3005,AA$5,請求記録!$AF$6:$AF$3005,"保留中")&gt;0,"保留",IF(COUNTIFS(請求記録!$B$6:$B$3005,$A61,請求記録!$Z$6:$Z$3005,AA$5)=0,"",SUMIFS(請求記録!$AE$6:$AE$3005,請求記録!$B$6:$B$3005,$A61,請求記録!$Z$6:$Z$3005,AA$5))))</f>
        <v/>
      </c>
      <c r="AB61">
        <f>IF(職員マスタ!P61="保留中",職員マスタ!M61,"")</f>
        <v/>
      </c>
    </row>
    <row r="62">
      <c r="A62">
        <f>IF(職員マスタ!A62="","",職員マスタ!A62)</f>
        <v/>
      </c>
      <c r="B62">
        <f>IF($A62="","",職員マスタ!B62)</f>
        <v/>
      </c>
      <c r="C62">
        <f>IF($A62="","",職員マスタ!C62)</f>
        <v/>
      </c>
      <c r="D62" s="19">
        <f>IF($A62="","",IF(COUNTIFS(請求記録!$B$6:$B$3005,$A62,請求記録!$Z$6:$Z$3005,D$5,請求記録!$AF$6:$AF$3005,"保留中")&gt;0,"保留",IF(COUNTIFS(請求記録!$B$6:$B$3005,$A62,請求記録!$Z$6:$Z$3005,D$5)=0,"",SUMIFS(請求記録!$AE$6:$AE$3005,請求記録!$B$6:$B$3005,$A62,請求記録!$Z$6:$Z$3005,D$5))))</f>
        <v/>
      </c>
      <c r="E62" s="19">
        <f>IF($A62="","",IF(COUNTIFS(請求記録!$B$6:$B$3005,$A62,請求記録!$Z$6:$Z$3005,E$5,請求記録!$AF$6:$AF$3005,"保留中")&gt;0,"保留",IF(COUNTIFS(請求記録!$B$6:$B$3005,$A62,請求記録!$Z$6:$Z$3005,E$5)=0,"",SUMIFS(請求記録!$AE$6:$AE$3005,請求記録!$B$6:$B$3005,$A62,請求記録!$Z$6:$Z$3005,E$5))))</f>
        <v/>
      </c>
      <c r="F62" s="19">
        <f>IF($A62="","",IF(COUNTIFS(請求記録!$B$6:$B$3005,$A62,請求記録!$Z$6:$Z$3005,F$5,請求記録!$AF$6:$AF$3005,"保留中")&gt;0,"保留",IF(COUNTIFS(請求記録!$B$6:$B$3005,$A62,請求記録!$Z$6:$Z$3005,F$5)=0,"",SUMIFS(請求記録!$AE$6:$AE$3005,請求記録!$B$6:$B$3005,$A62,請求記録!$Z$6:$Z$3005,F$5))))</f>
        <v/>
      </c>
      <c r="G62" s="19">
        <f>IF($A62="","",IF(COUNTIFS(請求記録!$B$6:$B$3005,$A62,請求記録!$Z$6:$Z$3005,G$5,請求記録!$AF$6:$AF$3005,"保留中")&gt;0,"保留",IF(COUNTIFS(請求記録!$B$6:$B$3005,$A62,請求記録!$Z$6:$Z$3005,G$5)=0,"",SUMIFS(請求記録!$AE$6:$AE$3005,請求記録!$B$6:$B$3005,$A62,請求記録!$Z$6:$Z$3005,G$5))))</f>
        <v/>
      </c>
      <c r="H62" s="19">
        <f>IF($A62="","",IF(COUNTIFS(請求記録!$B$6:$B$3005,$A62,請求記録!$Z$6:$Z$3005,H$5,請求記録!$AF$6:$AF$3005,"保留中")&gt;0,"保留",IF(COUNTIFS(請求記録!$B$6:$B$3005,$A62,請求記録!$Z$6:$Z$3005,H$5)=0,"",SUMIFS(請求記録!$AE$6:$AE$3005,請求記録!$B$6:$B$3005,$A62,請求記録!$Z$6:$Z$3005,H$5))))</f>
        <v/>
      </c>
      <c r="I62" s="19">
        <f>IF($A62="","",IF(COUNTIFS(請求記録!$B$6:$B$3005,$A62,請求記録!$Z$6:$Z$3005,I$5,請求記録!$AF$6:$AF$3005,"保留中")&gt;0,"保留",IF(COUNTIFS(請求記録!$B$6:$B$3005,$A62,請求記録!$Z$6:$Z$3005,I$5)=0,"",SUMIFS(請求記録!$AE$6:$AE$3005,請求記録!$B$6:$B$3005,$A62,請求記録!$Z$6:$Z$3005,I$5))))</f>
        <v/>
      </c>
      <c r="J62" s="19">
        <f>IF($A62="","",IF(COUNTIFS(請求記録!$B$6:$B$3005,$A62,請求記録!$Z$6:$Z$3005,J$5,請求記録!$AF$6:$AF$3005,"保留中")&gt;0,"保留",IF(COUNTIFS(請求記録!$B$6:$B$3005,$A62,請求記録!$Z$6:$Z$3005,J$5)=0,"",SUMIFS(請求記録!$AE$6:$AE$3005,請求記録!$B$6:$B$3005,$A62,請求記録!$Z$6:$Z$3005,J$5))))</f>
        <v/>
      </c>
      <c r="K62" s="19">
        <f>IF($A62="","",IF(COUNTIFS(請求記録!$B$6:$B$3005,$A62,請求記録!$Z$6:$Z$3005,K$5,請求記録!$AF$6:$AF$3005,"保留中")&gt;0,"保留",IF(COUNTIFS(請求記録!$B$6:$B$3005,$A62,請求記録!$Z$6:$Z$3005,K$5)=0,"",SUMIFS(請求記録!$AE$6:$AE$3005,請求記録!$B$6:$B$3005,$A62,請求記録!$Z$6:$Z$3005,K$5))))</f>
        <v/>
      </c>
      <c r="L62" s="19">
        <f>IF($A62="","",IF(COUNTIFS(請求記録!$B$6:$B$3005,$A62,請求記録!$Z$6:$Z$3005,L$5,請求記録!$AF$6:$AF$3005,"保留中")&gt;0,"保留",IF(COUNTIFS(請求記録!$B$6:$B$3005,$A62,請求記録!$Z$6:$Z$3005,L$5)=0,"",SUMIFS(請求記録!$AE$6:$AE$3005,請求記録!$B$6:$B$3005,$A62,請求記録!$Z$6:$Z$3005,L$5))))</f>
        <v/>
      </c>
      <c r="M62" s="19">
        <f>IF($A62="","",IF(COUNTIFS(請求記録!$B$6:$B$3005,$A62,請求記録!$Z$6:$Z$3005,M$5,請求記録!$AF$6:$AF$3005,"保留中")&gt;0,"保留",IF(COUNTIFS(請求記録!$B$6:$B$3005,$A62,請求記録!$Z$6:$Z$3005,M$5)=0,"",SUMIFS(請求記録!$AE$6:$AE$3005,請求記録!$B$6:$B$3005,$A62,請求記録!$Z$6:$Z$3005,M$5))))</f>
        <v/>
      </c>
      <c r="N62" s="19">
        <f>IF($A62="","",IF(COUNTIFS(請求記録!$B$6:$B$3005,$A62,請求記録!$Z$6:$Z$3005,N$5,請求記録!$AF$6:$AF$3005,"保留中")&gt;0,"保留",IF(COUNTIFS(請求記録!$B$6:$B$3005,$A62,請求記録!$Z$6:$Z$3005,N$5)=0,"",SUMIFS(請求記録!$AE$6:$AE$3005,請求記録!$B$6:$B$3005,$A62,請求記録!$Z$6:$Z$3005,N$5))))</f>
        <v/>
      </c>
      <c r="O62" s="19">
        <f>IF($A62="","",IF(COUNTIFS(請求記録!$B$6:$B$3005,$A62,請求記録!$Z$6:$Z$3005,O$5,請求記録!$AF$6:$AF$3005,"保留中")&gt;0,"保留",IF(COUNTIFS(請求記録!$B$6:$B$3005,$A62,請求記録!$Z$6:$Z$3005,O$5)=0,"",SUMIFS(請求記録!$AE$6:$AE$3005,請求記録!$B$6:$B$3005,$A62,請求記録!$Z$6:$Z$3005,O$5))))</f>
        <v/>
      </c>
      <c r="P62" s="19">
        <f>IF($A62="","",IF(COUNTIFS(請求記録!$B$6:$B$3005,$A62,請求記録!$Z$6:$Z$3005,P$5,請求記録!$AF$6:$AF$3005,"保留中")&gt;0,"保留",IF(COUNTIFS(請求記録!$B$6:$B$3005,$A62,請求記録!$Z$6:$Z$3005,P$5)=0,"",SUMIFS(請求記録!$AE$6:$AE$3005,請求記録!$B$6:$B$3005,$A62,請求記録!$Z$6:$Z$3005,P$5))))</f>
        <v/>
      </c>
      <c r="Q62" s="19">
        <f>IF($A62="","",IF(COUNTIFS(請求記録!$B$6:$B$3005,$A62,請求記録!$Z$6:$Z$3005,Q$5,請求記録!$AF$6:$AF$3005,"保留中")&gt;0,"保留",IF(COUNTIFS(請求記録!$B$6:$B$3005,$A62,請求記録!$Z$6:$Z$3005,Q$5)=0,"",SUMIFS(請求記録!$AE$6:$AE$3005,請求記録!$B$6:$B$3005,$A62,請求記録!$Z$6:$Z$3005,Q$5))))</f>
        <v/>
      </c>
      <c r="R62" s="19">
        <f>IF($A62="","",IF(COUNTIFS(請求記録!$B$6:$B$3005,$A62,請求記録!$Z$6:$Z$3005,R$5,請求記録!$AF$6:$AF$3005,"保留中")&gt;0,"保留",IF(COUNTIFS(請求記録!$B$6:$B$3005,$A62,請求記録!$Z$6:$Z$3005,R$5)=0,"",SUMIFS(請求記録!$AE$6:$AE$3005,請求記録!$B$6:$B$3005,$A62,請求記録!$Z$6:$Z$3005,R$5))))</f>
        <v/>
      </c>
      <c r="S62" s="19">
        <f>IF($A62="","",IF(COUNTIFS(請求記録!$B$6:$B$3005,$A62,請求記録!$Z$6:$Z$3005,S$5,請求記録!$AF$6:$AF$3005,"保留中")&gt;0,"保留",IF(COUNTIFS(請求記録!$B$6:$B$3005,$A62,請求記録!$Z$6:$Z$3005,S$5)=0,"",SUMIFS(請求記録!$AE$6:$AE$3005,請求記録!$B$6:$B$3005,$A62,請求記録!$Z$6:$Z$3005,S$5))))</f>
        <v/>
      </c>
      <c r="T62" s="19">
        <f>IF($A62="","",IF(COUNTIFS(請求記録!$B$6:$B$3005,$A62,請求記録!$Z$6:$Z$3005,T$5,請求記録!$AF$6:$AF$3005,"保留中")&gt;0,"保留",IF(COUNTIFS(請求記録!$B$6:$B$3005,$A62,請求記録!$Z$6:$Z$3005,T$5)=0,"",SUMIFS(請求記録!$AE$6:$AE$3005,請求記録!$B$6:$B$3005,$A62,請求記録!$Z$6:$Z$3005,T$5))))</f>
        <v/>
      </c>
      <c r="U62" s="19">
        <f>IF($A62="","",IF(COUNTIFS(請求記録!$B$6:$B$3005,$A62,請求記録!$Z$6:$Z$3005,U$5,請求記録!$AF$6:$AF$3005,"保留中")&gt;0,"保留",IF(COUNTIFS(請求記録!$B$6:$B$3005,$A62,請求記録!$Z$6:$Z$3005,U$5)=0,"",SUMIFS(請求記録!$AE$6:$AE$3005,請求記録!$B$6:$B$3005,$A62,請求記録!$Z$6:$Z$3005,U$5))))</f>
        <v/>
      </c>
      <c r="V62" s="19">
        <f>IF($A62="","",IF(COUNTIFS(請求記録!$B$6:$B$3005,$A62,請求記録!$Z$6:$Z$3005,V$5,請求記録!$AF$6:$AF$3005,"保留中")&gt;0,"保留",IF(COUNTIFS(請求記録!$B$6:$B$3005,$A62,請求記録!$Z$6:$Z$3005,V$5)=0,"",SUMIFS(請求記録!$AE$6:$AE$3005,請求記録!$B$6:$B$3005,$A62,請求記録!$Z$6:$Z$3005,V$5))))</f>
        <v/>
      </c>
      <c r="W62" s="19">
        <f>IF($A62="","",IF(COUNTIFS(請求記録!$B$6:$B$3005,$A62,請求記録!$Z$6:$Z$3005,W$5,請求記録!$AF$6:$AF$3005,"保留中")&gt;0,"保留",IF(COUNTIFS(請求記録!$B$6:$B$3005,$A62,請求記録!$Z$6:$Z$3005,W$5)=0,"",SUMIFS(請求記録!$AE$6:$AE$3005,請求記録!$B$6:$B$3005,$A62,請求記録!$Z$6:$Z$3005,W$5))))</f>
        <v/>
      </c>
      <c r="X62" s="19">
        <f>IF($A62="","",IF(COUNTIFS(請求記録!$B$6:$B$3005,$A62,請求記録!$Z$6:$Z$3005,X$5,請求記録!$AF$6:$AF$3005,"保留中")&gt;0,"保留",IF(COUNTIFS(請求記録!$B$6:$B$3005,$A62,請求記録!$Z$6:$Z$3005,X$5)=0,"",SUMIFS(請求記録!$AE$6:$AE$3005,請求記録!$B$6:$B$3005,$A62,請求記録!$Z$6:$Z$3005,X$5))))</f>
        <v/>
      </c>
      <c r="Y62" s="19">
        <f>IF($A62="","",IF(COUNTIFS(請求記録!$B$6:$B$3005,$A62,請求記録!$Z$6:$Z$3005,Y$5,請求記録!$AF$6:$AF$3005,"保留中")&gt;0,"保留",IF(COUNTIFS(請求記録!$B$6:$B$3005,$A62,請求記録!$Z$6:$Z$3005,Y$5)=0,"",SUMIFS(請求記録!$AE$6:$AE$3005,請求記録!$B$6:$B$3005,$A62,請求記録!$Z$6:$Z$3005,Y$5))))</f>
        <v/>
      </c>
      <c r="Z62" s="19">
        <f>IF($A62="","",IF(COUNTIFS(請求記録!$B$6:$B$3005,$A62,請求記録!$Z$6:$Z$3005,Z$5,請求記録!$AF$6:$AF$3005,"保留中")&gt;0,"保留",IF(COUNTIFS(請求記録!$B$6:$B$3005,$A62,請求記録!$Z$6:$Z$3005,Z$5)=0,"",SUMIFS(請求記録!$AE$6:$AE$3005,請求記録!$B$6:$B$3005,$A62,請求記録!$Z$6:$Z$3005,Z$5))))</f>
        <v/>
      </c>
      <c r="AA62" s="19">
        <f>IF($A62="","",IF(COUNTIFS(請求記録!$B$6:$B$3005,$A62,請求記録!$Z$6:$Z$3005,AA$5,請求記録!$AF$6:$AF$3005,"保留中")&gt;0,"保留",IF(COUNTIFS(請求記録!$B$6:$B$3005,$A62,請求記録!$Z$6:$Z$3005,AA$5)=0,"",SUMIFS(請求記録!$AE$6:$AE$3005,請求記録!$B$6:$B$3005,$A62,請求記録!$Z$6:$Z$3005,AA$5))))</f>
        <v/>
      </c>
      <c r="AB62">
        <f>IF(職員マスタ!P62="保留中",職員マスタ!M62,"")</f>
        <v/>
      </c>
    </row>
    <row r="63">
      <c r="A63">
        <f>IF(職員マスタ!A63="","",職員マスタ!A63)</f>
        <v/>
      </c>
      <c r="B63">
        <f>IF($A63="","",職員マスタ!B63)</f>
        <v/>
      </c>
      <c r="C63">
        <f>IF($A63="","",職員マスタ!C63)</f>
        <v/>
      </c>
      <c r="D63" s="19">
        <f>IF($A63="","",IF(COUNTIFS(請求記録!$B$6:$B$3005,$A63,請求記録!$Z$6:$Z$3005,D$5,請求記録!$AF$6:$AF$3005,"保留中")&gt;0,"保留",IF(COUNTIFS(請求記録!$B$6:$B$3005,$A63,請求記録!$Z$6:$Z$3005,D$5)=0,"",SUMIFS(請求記録!$AE$6:$AE$3005,請求記録!$B$6:$B$3005,$A63,請求記録!$Z$6:$Z$3005,D$5))))</f>
        <v/>
      </c>
      <c r="E63" s="19">
        <f>IF($A63="","",IF(COUNTIFS(請求記録!$B$6:$B$3005,$A63,請求記録!$Z$6:$Z$3005,E$5,請求記録!$AF$6:$AF$3005,"保留中")&gt;0,"保留",IF(COUNTIFS(請求記録!$B$6:$B$3005,$A63,請求記録!$Z$6:$Z$3005,E$5)=0,"",SUMIFS(請求記録!$AE$6:$AE$3005,請求記録!$B$6:$B$3005,$A63,請求記録!$Z$6:$Z$3005,E$5))))</f>
        <v/>
      </c>
      <c r="F63" s="19">
        <f>IF($A63="","",IF(COUNTIFS(請求記録!$B$6:$B$3005,$A63,請求記録!$Z$6:$Z$3005,F$5,請求記録!$AF$6:$AF$3005,"保留中")&gt;0,"保留",IF(COUNTIFS(請求記録!$B$6:$B$3005,$A63,請求記録!$Z$6:$Z$3005,F$5)=0,"",SUMIFS(請求記録!$AE$6:$AE$3005,請求記録!$B$6:$B$3005,$A63,請求記録!$Z$6:$Z$3005,F$5))))</f>
        <v/>
      </c>
      <c r="G63" s="19">
        <f>IF($A63="","",IF(COUNTIFS(請求記録!$B$6:$B$3005,$A63,請求記録!$Z$6:$Z$3005,G$5,請求記録!$AF$6:$AF$3005,"保留中")&gt;0,"保留",IF(COUNTIFS(請求記録!$B$6:$B$3005,$A63,請求記録!$Z$6:$Z$3005,G$5)=0,"",SUMIFS(請求記録!$AE$6:$AE$3005,請求記録!$B$6:$B$3005,$A63,請求記録!$Z$6:$Z$3005,G$5))))</f>
        <v/>
      </c>
      <c r="H63" s="19">
        <f>IF($A63="","",IF(COUNTIFS(請求記録!$B$6:$B$3005,$A63,請求記録!$Z$6:$Z$3005,H$5,請求記録!$AF$6:$AF$3005,"保留中")&gt;0,"保留",IF(COUNTIFS(請求記録!$B$6:$B$3005,$A63,請求記録!$Z$6:$Z$3005,H$5)=0,"",SUMIFS(請求記録!$AE$6:$AE$3005,請求記録!$B$6:$B$3005,$A63,請求記録!$Z$6:$Z$3005,H$5))))</f>
        <v/>
      </c>
      <c r="I63" s="19">
        <f>IF($A63="","",IF(COUNTIFS(請求記録!$B$6:$B$3005,$A63,請求記録!$Z$6:$Z$3005,I$5,請求記録!$AF$6:$AF$3005,"保留中")&gt;0,"保留",IF(COUNTIFS(請求記録!$B$6:$B$3005,$A63,請求記録!$Z$6:$Z$3005,I$5)=0,"",SUMIFS(請求記録!$AE$6:$AE$3005,請求記録!$B$6:$B$3005,$A63,請求記録!$Z$6:$Z$3005,I$5))))</f>
        <v/>
      </c>
      <c r="J63" s="19">
        <f>IF($A63="","",IF(COUNTIFS(請求記録!$B$6:$B$3005,$A63,請求記録!$Z$6:$Z$3005,J$5,請求記録!$AF$6:$AF$3005,"保留中")&gt;0,"保留",IF(COUNTIFS(請求記録!$B$6:$B$3005,$A63,請求記録!$Z$6:$Z$3005,J$5)=0,"",SUMIFS(請求記録!$AE$6:$AE$3005,請求記録!$B$6:$B$3005,$A63,請求記録!$Z$6:$Z$3005,J$5))))</f>
        <v/>
      </c>
      <c r="K63" s="19">
        <f>IF($A63="","",IF(COUNTIFS(請求記録!$B$6:$B$3005,$A63,請求記録!$Z$6:$Z$3005,K$5,請求記録!$AF$6:$AF$3005,"保留中")&gt;0,"保留",IF(COUNTIFS(請求記録!$B$6:$B$3005,$A63,請求記録!$Z$6:$Z$3005,K$5)=0,"",SUMIFS(請求記録!$AE$6:$AE$3005,請求記録!$B$6:$B$3005,$A63,請求記録!$Z$6:$Z$3005,K$5))))</f>
        <v/>
      </c>
      <c r="L63" s="19">
        <f>IF($A63="","",IF(COUNTIFS(請求記録!$B$6:$B$3005,$A63,請求記録!$Z$6:$Z$3005,L$5,請求記録!$AF$6:$AF$3005,"保留中")&gt;0,"保留",IF(COUNTIFS(請求記録!$B$6:$B$3005,$A63,請求記録!$Z$6:$Z$3005,L$5)=0,"",SUMIFS(請求記録!$AE$6:$AE$3005,請求記録!$B$6:$B$3005,$A63,請求記録!$Z$6:$Z$3005,L$5))))</f>
        <v/>
      </c>
      <c r="M63" s="19">
        <f>IF($A63="","",IF(COUNTIFS(請求記録!$B$6:$B$3005,$A63,請求記録!$Z$6:$Z$3005,M$5,請求記録!$AF$6:$AF$3005,"保留中")&gt;0,"保留",IF(COUNTIFS(請求記録!$B$6:$B$3005,$A63,請求記録!$Z$6:$Z$3005,M$5)=0,"",SUMIFS(請求記録!$AE$6:$AE$3005,請求記録!$B$6:$B$3005,$A63,請求記録!$Z$6:$Z$3005,M$5))))</f>
        <v/>
      </c>
      <c r="N63" s="19">
        <f>IF($A63="","",IF(COUNTIFS(請求記録!$B$6:$B$3005,$A63,請求記録!$Z$6:$Z$3005,N$5,請求記録!$AF$6:$AF$3005,"保留中")&gt;0,"保留",IF(COUNTIFS(請求記録!$B$6:$B$3005,$A63,請求記録!$Z$6:$Z$3005,N$5)=0,"",SUMIFS(請求記録!$AE$6:$AE$3005,請求記録!$B$6:$B$3005,$A63,請求記録!$Z$6:$Z$3005,N$5))))</f>
        <v/>
      </c>
      <c r="O63" s="19">
        <f>IF($A63="","",IF(COUNTIFS(請求記録!$B$6:$B$3005,$A63,請求記録!$Z$6:$Z$3005,O$5,請求記録!$AF$6:$AF$3005,"保留中")&gt;0,"保留",IF(COUNTIFS(請求記録!$B$6:$B$3005,$A63,請求記録!$Z$6:$Z$3005,O$5)=0,"",SUMIFS(請求記録!$AE$6:$AE$3005,請求記録!$B$6:$B$3005,$A63,請求記録!$Z$6:$Z$3005,O$5))))</f>
        <v/>
      </c>
      <c r="P63" s="19">
        <f>IF($A63="","",IF(COUNTIFS(請求記録!$B$6:$B$3005,$A63,請求記録!$Z$6:$Z$3005,P$5,請求記録!$AF$6:$AF$3005,"保留中")&gt;0,"保留",IF(COUNTIFS(請求記録!$B$6:$B$3005,$A63,請求記録!$Z$6:$Z$3005,P$5)=0,"",SUMIFS(請求記録!$AE$6:$AE$3005,請求記録!$B$6:$B$3005,$A63,請求記録!$Z$6:$Z$3005,P$5))))</f>
        <v/>
      </c>
      <c r="Q63" s="19">
        <f>IF($A63="","",IF(COUNTIFS(請求記録!$B$6:$B$3005,$A63,請求記録!$Z$6:$Z$3005,Q$5,請求記録!$AF$6:$AF$3005,"保留中")&gt;0,"保留",IF(COUNTIFS(請求記録!$B$6:$B$3005,$A63,請求記録!$Z$6:$Z$3005,Q$5)=0,"",SUMIFS(請求記録!$AE$6:$AE$3005,請求記録!$B$6:$B$3005,$A63,請求記録!$Z$6:$Z$3005,Q$5))))</f>
        <v/>
      </c>
      <c r="R63" s="19">
        <f>IF($A63="","",IF(COUNTIFS(請求記録!$B$6:$B$3005,$A63,請求記録!$Z$6:$Z$3005,R$5,請求記録!$AF$6:$AF$3005,"保留中")&gt;0,"保留",IF(COUNTIFS(請求記録!$B$6:$B$3005,$A63,請求記録!$Z$6:$Z$3005,R$5)=0,"",SUMIFS(請求記録!$AE$6:$AE$3005,請求記録!$B$6:$B$3005,$A63,請求記録!$Z$6:$Z$3005,R$5))))</f>
        <v/>
      </c>
      <c r="S63" s="19">
        <f>IF($A63="","",IF(COUNTIFS(請求記録!$B$6:$B$3005,$A63,請求記録!$Z$6:$Z$3005,S$5,請求記録!$AF$6:$AF$3005,"保留中")&gt;0,"保留",IF(COUNTIFS(請求記録!$B$6:$B$3005,$A63,請求記録!$Z$6:$Z$3005,S$5)=0,"",SUMIFS(請求記録!$AE$6:$AE$3005,請求記録!$B$6:$B$3005,$A63,請求記録!$Z$6:$Z$3005,S$5))))</f>
        <v/>
      </c>
      <c r="T63" s="19">
        <f>IF($A63="","",IF(COUNTIFS(請求記録!$B$6:$B$3005,$A63,請求記録!$Z$6:$Z$3005,T$5,請求記録!$AF$6:$AF$3005,"保留中")&gt;0,"保留",IF(COUNTIFS(請求記録!$B$6:$B$3005,$A63,請求記録!$Z$6:$Z$3005,T$5)=0,"",SUMIFS(請求記録!$AE$6:$AE$3005,請求記録!$B$6:$B$3005,$A63,請求記録!$Z$6:$Z$3005,T$5))))</f>
        <v/>
      </c>
      <c r="U63" s="19">
        <f>IF($A63="","",IF(COUNTIFS(請求記録!$B$6:$B$3005,$A63,請求記録!$Z$6:$Z$3005,U$5,請求記録!$AF$6:$AF$3005,"保留中")&gt;0,"保留",IF(COUNTIFS(請求記録!$B$6:$B$3005,$A63,請求記録!$Z$6:$Z$3005,U$5)=0,"",SUMIFS(請求記録!$AE$6:$AE$3005,請求記録!$B$6:$B$3005,$A63,請求記録!$Z$6:$Z$3005,U$5))))</f>
        <v/>
      </c>
      <c r="V63" s="19">
        <f>IF($A63="","",IF(COUNTIFS(請求記録!$B$6:$B$3005,$A63,請求記録!$Z$6:$Z$3005,V$5,請求記録!$AF$6:$AF$3005,"保留中")&gt;0,"保留",IF(COUNTIFS(請求記録!$B$6:$B$3005,$A63,請求記録!$Z$6:$Z$3005,V$5)=0,"",SUMIFS(請求記録!$AE$6:$AE$3005,請求記録!$B$6:$B$3005,$A63,請求記録!$Z$6:$Z$3005,V$5))))</f>
        <v/>
      </c>
      <c r="W63" s="19">
        <f>IF($A63="","",IF(COUNTIFS(請求記録!$B$6:$B$3005,$A63,請求記録!$Z$6:$Z$3005,W$5,請求記録!$AF$6:$AF$3005,"保留中")&gt;0,"保留",IF(COUNTIFS(請求記録!$B$6:$B$3005,$A63,請求記録!$Z$6:$Z$3005,W$5)=0,"",SUMIFS(請求記録!$AE$6:$AE$3005,請求記録!$B$6:$B$3005,$A63,請求記録!$Z$6:$Z$3005,W$5))))</f>
        <v/>
      </c>
      <c r="X63" s="19">
        <f>IF($A63="","",IF(COUNTIFS(請求記録!$B$6:$B$3005,$A63,請求記録!$Z$6:$Z$3005,X$5,請求記録!$AF$6:$AF$3005,"保留中")&gt;0,"保留",IF(COUNTIFS(請求記録!$B$6:$B$3005,$A63,請求記録!$Z$6:$Z$3005,X$5)=0,"",SUMIFS(請求記録!$AE$6:$AE$3005,請求記録!$B$6:$B$3005,$A63,請求記録!$Z$6:$Z$3005,X$5))))</f>
        <v/>
      </c>
      <c r="Y63" s="19">
        <f>IF($A63="","",IF(COUNTIFS(請求記録!$B$6:$B$3005,$A63,請求記録!$Z$6:$Z$3005,Y$5,請求記録!$AF$6:$AF$3005,"保留中")&gt;0,"保留",IF(COUNTIFS(請求記録!$B$6:$B$3005,$A63,請求記録!$Z$6:$Z$3005,Y$5)=0,"",SUMIFS(請求記録!$AE$6:$AE$3005,請求記録!$B$6:$B$3005,$A63,請求記録!$Z$6:$Z$3005,Y$5))))</f>
        <v/>
      </c>
      <c r="Z63" s="19">
        <f>IF($A63="","",IF(COUNTIFS(請求記録!$B$6:$B$3005,$A63,請求記録!$Z$6:$Z$3005,Z$5,請求記録!$AF$6:$AF$3005,"保留中")&gt;0,"保留",IF(COUNTIFS(請求記録!$B$6:$B$3005,$A63,請求記録!$Z$6:$Z$3005,Z$5)=0,"",SUMIFS(請求記録!$AE$6:$AE$3005,請求記録!$B$6:$B$3005,$A63,請求記録!$Z$6:$Z$3005,Z$5))))</f>
        <v/>
      </c>
      <c r="AA63" s="19">
        <f>IF($A63="","",IF(COUNTIFS(請求記録!$B$6:$B$3005,$A63,請求記録!$Z$6:$Z$3005,AA$5,請求記録!$AF$6:$AF$3005,"保留中")&gt;0,"保留",IF(COUNTIFS(請求記録!$B$6:$B$3005,$A63,請求記録!$Z$6:$Z$3005,AA$5)=0,"",SUMIFS(請求記録!$AE$6:$AE$3005,請求記録!$B$6:$B$3005,$A63,請求記録!$Z$6:$Z$3005,AA$5))))</f>
        <v/>
      </c>
      <c r="AB63">
        <f>IF(職員マスタ!P63="保留中",職員マスタ!M63,"")</f>
        <v/>
      </c>
    </row>
    <row r="64">
      <c r="A64">
        <f>IF(職員マスタ!A64="","",職員マスタ!A64)</f>
        <v/>
      </c>
      <c r="B64">
        <f>IF($A64="","",職員マスタ!B64)</f>
        <v/>
      </c>
      <c r="C64">
        <f>IF($A64="","",職員マスタ!C64)</f>
        <v/>
      </c>
      <c r="D64" s="19">
        <f>IF($A64="","",IF(COUNTIFS(請求記録!$B$6:$B$3005,$A64,請求記録!$Z$6:$Z$3005,D$5,請求記録!$AF$6:$AF$3005,"保留中")&gt;0,"保留",IF(COUNTIFS(請求記録!$B$6:$B$3005,$A64,請求記録!$Z$6:$Z$3005,D$5)=0,"",SUMIFS(請求記録!$AE$6:$AE$3005,請求記録!$B$6:$B$3005,$A64,請求記録!$Z$6:$Z$3005,D$5))))</f>
        <v/>
      </c>
      <c r="E64" s="19">
        <f>IF($A64="","",IF(COUNTIFS(請求記録!$B$6:$B$3005,$A64,請求記録!$Z$6:$Z$3005,E$5,請求記録!$AF$6:$AF$3005,"保留中")&gt;0,"保留",IF(COUNTIFS(請求記録!$B$6:$B$3005,$A64,請求記録!$Z$6:$Z$3005,E$5)=0,"",SUMIFS(請求記録!$AE$6:$AE$3005,請求記録!$B$6:$B$3005,$A64,請求記録!$Z$6:$Z$3005,E$5))))</f>
        <v/>
      </c>
      <c r="F64" s="19">
        <f>IF($A64="","",IF(COUNTIFS(請求記録!$B$6:$B$3005,$A64,請求記録!$Z$6:$Z$3005,F$5,請求記録!$AF$6:$AF$3005,"保留中")&gt;0,"保留",IF(COUNTIFS(請求記録!$B$6:$B$3005,$A64,請求記録!$Z$6:$Z$3005,F$5)=0,"",SUMIFS(請求記録!$AE$6:$AE$3005,請求記録!$B$6:$B$3005,$A64,請求記録!$Z$6:$Z$3005,F$5))))</f>
        <v/>
      </c>
      <c r="G64" s="19">
        <f>IF($A64="","",IF(COUNTIFS(請求記録!$B$6:$B$3005,$A64,請求記録!$Z$6:$Z$3005,G$5,請求記録!$AF$6:$AF$3005,"保留中")&gt;0,"保留",IF(COUNTIFS(請求記録!$B$6:$B$3005,$A64,請求記録!$Z$6:$Z$3005,G$5)=0,"",SUMIFS(請求記録!$AE$6:$AE$3005,請求記録!$B$6:$B$3005,$A64,請求記録!$Z$6:$Z$3005,G$5))))</f>
        <v/>
      </c>
      <c r="H64" s="19">
        <f>IF($A64="","",IF(COUNTIFS(請求記録!$B$6:$B$3005,$A64,請求記録!$Z$6:$Z$3005,H$5,請求記録!$AF$6:$AF$3005,"保留中")&gt;0,"保留",IF(COUNTIFS(請求記録!$B$6:$B$3005,$A64,請求記録!$Z$6:$Z$3005,H$5)=0,"",SUMIFS(請求記録!$AE$6:$AE$3005,請求記録!$B$6:$B$3005,$A64,請求記録!$Z$6:$Z$3005,H$5))))</f>
        <v/>
      </c>
      <c r="I64" s="19">
        <f>IF($A64="","",IF(COUNTIFS(請求記録!$B$6:$B$3005,$A64,請求記録!$Z$6:$Z$3005,I$5,請求記録!$AF$6:$AF$3005,"保留中")&gt;0,"保留",IF(COUNTIFS(請求記録!$B$6:$B$3005,$A64,請求記録!$Z$6:$Z$3005,I$5)=0,"",SUMIFS(請求記録!$AE$6:$AE$3005,請求記録!$B$6:$B$3005,$A64,請求記録!$Z$6:$Z$3005,I$5))))</f>
        <v/>
      </c>
      <c r="J64" s="19">
        <f>IF($A64="","",IF(COUNTIFS(請求記録!$B$6:$B$3005,$A64,請求記録!$Z$6:$Z$3005,J$5,請求記録!$AF$6:$AF$3005,"保留中")&gt;0,"保留",IF(COUNTIFS(請求記録!$B$6:$B$3005,$A64,請求記録!$Z$6:$Z$3005,J$5)=0,"",SUMIFS(請求記録!$AE$6:$AE$3005,請求記録!$B$6:$B$3005,$A64,請求記録!$Z$6:$Z$3005,J$5))))</f>
        <v/>
      </c>
      <c r="K64" s="19">
        <f>IF($A64="","",IF(COUNTIFS(請求記録!$B$6:$B$3005,$A64,請求記録!$Z$6:$Z$3005,K$5,請求記録!$AF$6:$AF$3005,"保留中")&gt;0,"保留",IF(COUNTIFS(請求記録!$B$6:$B$3005,$A64,請求記録!$Z$6:$Z$3005,K$5)=0,"",SUMIFS(請求記録!$AE$6:$AE$3005,請求記録!$B$6:$B$3005,$A64,請求記録!$Z$6:$Z$3005,K$5))))</f>
        <v/>
      </c>
      <c r="L64" s="19">
        <f>IF($A64="","",IF(COUNTIFS(請求記録!$B$6:$B$3005,$A64,請求記録!$Z$6:$Z$3005,L$5,請求記録!$AF$6:$AF$3005,"保留中")&gt;0,"保留",IF(COUNTIFS(請求記録!$B$6:$B$3005,$A64,請求記録!$Z$6:$Z$3005,L$5)=0,"",SUMIFS(請求記録!$AE$6:$AE$3005,請求記録!$B$6:$B$3005,$A64,請求記録!$Z$6:$Z$3005,L$5))))</f>
        <v/>
      </c>
      <c r="M64" s="19">
        <f>IF($A64="","",IF(COUNTIFS(請求記録!$B$6:$B$3005,$A64,請求記録!$Z$6:$Z$3005,M$5,請求記録!$AF$6:$AF$3005,"保留中")&gt;0,"保留",IF(COUNTIFS(請求記録!$B$6:$B$3005,$A64,請求記録!$Z$6:$Z$3005,M$5)=0,"",SUMIFS(請求記録!$AE$6:$AE$3005,請求記録!$B$6:$B$3005,$A64,請求記録!$Z$6:$Z$3005,M$5))))</f>
        <v/>
      </c>
      <c r="N64" s="19">
        <f>IF($A64="","",IF(COUNTIFS(請求記録!$B$6:$B$3005,$A64,請求記録!$Z$6:$Z$3005,N$5,請求記録!$AF$6:$AF$3005,"保留中")&gt;0,"保留",IF(COUNTIFS(請求記録!$B$6:$B$3005,$A64,請求記録!$Z$6:$Z$3005,N$5)=0,"",SUMIFS(請求記録!$AE$6:$AE$3005,請求記録!$B$6:$B$3005,$A64,請求記録!$Z$6:$Z$3005,N$5))))</f>
        <v/>
      </c>
      <c r="O64" s="19">
        <f>IF($A64="","",IF(COUNTIFS(請求記録!$B$6:$B$3005,$A64,請求記録!$Z$6:$Z$3005,O$5,請求記録!$AF$6:$AF$3005,"保留中")&gt;0,"保留",IF(COUNTIFS(請求記録!$B$6:$B$3005,$A64,請求記録!$Z$6:$Z$3005,O$5)=0,"",SUMIFS(請求記録!$AE$6:$AE$3005,請求記録!$B$6:$B$3005,$A64,請求記録!$Z$6:$Z$3005,O$5))))</f>
        <v/>
      </c>
      <c r="P64" s="19">
        <f>IF($A64="","",IF(COUNTIFS(請求記録!$B$6:$B$3005,$A64,請求記録!$Z$6:$Z$3005,P$5,請求記録!$AF$6:$AF$3005,"保留中")&gt;0,"保留",IF(COUNTIFS(請求記録!$B$6:$B$3005,$A64,請求記録!$Z$6:$Z$3005,P$5)=0,"",SUMIFS(請求記録!$AE$6:$AE$3005,請求記録!$B$6:$B$3005,$A64,請求記録!$Z$6:$Z$3005,P$5))))</f>
        <v/>
      </c>
      <c r="Q64" s="19">
        <f>IF($A64="","",IF(COUNTIFS(請求記録!$B$6:$B$3005,$A64,請求記録!$Z$6:$Z$3005,Q$5,請求記録!$AF$6:$AF$3005,"保留中")&gt;0,"保留",IF(COUNTIFS(請求記録!$B$6:$B$3005,$A64,請求記録!$Z$6:$Z$3005,Q$5)=0,"",SUMIFS(請求記録!$AE$6:$AE$3005,請求記録!$B$6:$B$3005,$A64,請求記録!$Z$6:$Z$3005,Q$5))))</f>
        <v/>
      </c>
      <c r="R64" s="19">
        <f>IF($A64="","",IF(COUNTIFS(請求記録!$B$6:$B$3005,$A64,請求記録!$Z$6:$Z$3005,R$5,請求記録!$AF$6:$AF$3005,"保留中")&gt;0,"保留",IF(COUNTIFS(請求記録!$B$6:$B$3005,$A64,請求記録!$Z$6:$Z$3005,R$5)=0,"",SUMIFS(請求記録!$AE$6:$AE$3005,請求記録!$B$6:$B$3005,$A64,請求記録!$Z$6:$Z$3005,R$5))))</f>
        <v/>
      </c>
      <c r="S64" s="19">
        <f>IF($A64="","",IF(COUNTIFS(請求記録!$B$6:$B$3005,$A64,請求記録!$Z$6:$Z$3005,S$5,請求記録!$AF$6:$AF$3005,"保留中")&gt;0,"保留",IF(COUNTIFS(請求記録!$B$6:$B$3005,$A64,請求記録!$Z$6:$Z$3005,S$5)=0,"",SUMIFS(請求記録!$AE$6:$AE$3005,請求記録!$B$6:$B$3005,$A64,請求記録!$Z$6:$Z$3005,S$5))))</f>
        <v/>
      </c>
      <c r="T64" s="19">
        <f>IF($A64="","",IF(COUNTIFS(請求記録!$B$6:$B$3005,$A64,請求記録!$Z$6:$Z$3005,T$5,請求記録!$AF$6:$AF$3005,"保留中")&gt;0,"保留",IF(COUNTIFS(請求記録!$B$6:$B$3005,$A64,請求記録!$Z$6:$Z$3005,T$5)=0,"",SUMIFS(請求記録!$AE$6:$AE$3005,請求記録!$B$6:$B$3005,$A64,請求記録!$Z$6:$Z$3005,T$5))))</f>
        <v/>
      </c>
      <c r="U64" s="19">
        <f>IF($A64="","",IF(COUNTIFS(請求記録!$B$6:$B$3005,$A64,請求記録!$Z$6:$Z$3005,U$5,請求記録!$AF$6:$AF$3005,"保留中")&gt;0,"保留",IF(COUNTIFS(請求記録!$B$6:$B$3005,$A64,請求記録!$Z$6:$Z$3005,U$5)=0,"",SUMIFS(請求記録!$AE$6:$AE$3005,請求記録!$B$6:$B$3005,$A64,請求記録!$Z$6:$Z$3005,U$5))))</f>
        <v/>
      </c>
      <c r="V64" s="19">
        <f>IF($A64="","",IF(COUNTIFS(請求記録!$B$6:$B$3005,$A64,請求記録!$Z$6:$Z$3005,V$5,請求記録!$AF$6:$AF$3005,"保留中")&gt;0,"保留",IF(COUNTIFS(請求記録!$B$6:$B$3005,$A64,請求記録!$Z$6:$Z$3005,V$5)=0,"",SUMIFS(請求記録!$AE$6:$AE$3005,請求記録!$B$6:$B$3005,$A64,請求記録!$Z$6:$Z$3005,V$5))))</f>
        <v/>
      </c>
      <c r="W64" s="19">
        <f>IF($A64="","",IF(COUNTIFS(請求記録!$B$6:$B$3005,$A64,請求記録!$Z$6:$Z$3005,W$5,請求記録!$AF$6:$AF$3005,"保留中")&gt;0,"保留",IF(COUNTIFS(請求記録!$B$6:$B$3005,$A64,請求記録!$Z$6:$Z$3005,W$5)=0,"",SUMIFS(請求記録!$AE$6:$AE$3005,請求記録!$B$6:$B$3005,$A64,請求記録!$Z$6:$Z$3005,W$5))))</f>
        <v/>
      </c>
      <c r="X64" s="19">
        <f>IF($A64="","",IF(COUNTIFS(請求記録!$B$6:$B$3005,$A64,請求記録!$Z$6:$Z$3005,X$5,請求記録!$AF$6:$AF$3005,"保留中")&gt;0,"保留",IF(COUNTIFS(請求記録!$B$6:$B$3005,$A64,請求記録!$Z$6:$Z$3005,X$5)=0,"",SUMIFS(請求記録!$AE$6:$AE$3005,請求記録!$B$6:$B$3005,$A64,請求記録!$Z$6:$Z$3005,X$5))))</f>
        <v/>
      </c>
      <c r="Y64" s="19">
        <f>IF($A64="","",IF(COUNTIFS(請求記録!$B$6:$B$3005,$A64,請求記録!$Z$6:$Z$3005,Y$5,請求記録!$AF$6:$AF$3005,"保留中")&gt;0,"保留",IF(COUNTIFS(請求記録!$B$6:$B$3005,$A64,請求記録!$Z$6:$Z$3005,Y$5)=0,"",SUMIFS(請求記録!$AE$6:$AE$3005,請求記録!$B$6:$B$3005,$A64,請求記録!$Z$6:$Z$3005,Y$5))))</f>
        <v/>
      </c>
      <c r="Z64" s="19">
        <f>IF($A64="","",IF(COUNTIFS(請求記録!$B$6:$B$3005,$A64,請求記録!$Z$6:$Z$3005,Z$5,請求記録!$AF$6:$AF$3005,"保留中")&gt;0,"保留",IF(COUNTIFS(請求記録!$B$6:$B$3005,$A64,請求記録!$Z$6:$Z$3005,Z$5)=0,"",SUMIFS(請求記録!$AE$6:$AE$3005,請求記録!$B$6:$B$3005,$A64,請求記録!$Z$6:$Z$3005,Z$5))))</f>
        <v/>
      </c>
      <c r="AA64" s="19">
        <f>IF($A64="","",IF(COUNTIFS(請求記録!$B$6:$B$3005,$A64,請求記録!$Z$6:$Z$3005,AA$5,請求記録!$AF$6:$AF$3005,"保留中")&gt;0,"保留",IF(COUNTIFS(請求記録!$B$6:$B$3005,$A64,請求記録!$Z$6:$Z$3005,AA$5)=0,"",SUMIFS(請求記録!$AE$6:$AE$3005,請求記録!$B$6:$B$3005,$A64,請求記録!$Z$6:$Z$3005,AA$5))))</f>
        <v/>
      </c>
      <c r="AB64">
        <f>IF(職員マスタ!P64="保留中",職員マスタ!M64,"")</f>
        <v/>
      </c>
    </row>
    <row r="65">
      <c r="A65">
        <f>IF(職員マスタ!A65="","",職員マスタ!A65)</f>
        <v/>
      </c>
      <c r="B65">
        <f>IF($A65="","",職員マスタ!B65)</f>
        <v/>
      </c>
      <c r="C65">
        <f>IF($A65="","",職員マスタ!C65)</f>
        <v/>
      </c>
      <c r="D65" s="19">
        <f>IF($A65="","",IF(COUNTIFS(請求記録!$B$6:$B$3005,$A65,請求記録!$Z$6:$Z$3005,D$5,請求記録!$AF$6:$AF$3005,"保留中")&gt;0,"保留",IF(COUNTIFS(請求記録!$B$6:$B$3005,$A65,請求記録!$Z$6:$Z$3005,D$5)=0,"",SUMIFS(請求記録!$AE$6:$AE$3005,請求記録!$B$6:$B$3005,$A65,請求記録!$Z$6:$Z$3005,D$5))))</f>
        <v/>
      </c>
      <c r="E65" s="19">
        <f>IF($A65="","",IF(COUNTIFS(請求記録!$B$6:$B$3005,$A65,請求記録!$Z$6:$Z$3005,E$5,請求記録!$AF$6:$AF$3005,"保留中")&gt;0,"保留",IF(COUNTIFS(請求記録!$B$6:$B$3005,$A65,請求記録!$Z$6:$Z$3005,E$5)=0,"",SUMIFS(請求記録!$AE$6:$AE$3005,請求記録!$B$6:$B$3005,$A65,請求記録!$Z$6:$Z$3005,E$5))))</f>
        <v/>
      </c>
      <c r="F65" s="19">
        <f>IF($A65="","",IF(COUNTIFS(請求記録!$B$6:$B$3005,$A65,請求記録!$Z$6:$Z$3005,F$5,請求記録!$AF$6:$AF$3005,"保留中")&gt;0,"保留",IF(COUNTIFS(請求記録!$B$6:$B$3005,$A65,請求記録!$Z$6:$Z$3005,F$5)=0,"",SUMIFS(請求記録!$AE$6:$AE$3005,請求記録!$B$6:$B$3005,$A65,請求記録!$Z$6:$Z$3005,F$5))))</f>
        <v/>
      </c>
      <c r="G65" s="19">
        <f>IF($A65="","",IF(COUNTIFS(請求記録!$B$6:$B$3005,$A65,請求記録!$Z$6:$Z$3005,G$5,請求記録!$AF$6:$AF$3005,"保留中")&gt;0,"保留",IF(COUNTIFS(請求記録!$B$6:$B$3005,$A65,請求記録!$Z$6:$Z$3005,G$5)=0,"",SUMIFS(請求記録!$AE$6:$AE$3005,請求記録!$B$6:$B$3005,$A65,請求記録!$Z$6:$Z$3005,G$5))))</f>
        <v/>
      </c>
      <c r="H65" s="19">
        <f>IF($A65="","",IF(COUNTIFS(請求記録!$B$6:$B$3005,$A65,請求記録!$Z$6:$Z$3005,H$5,請求記録!$AF$6:$AF$3005,"保留中")&gt;0,"保留",IF(COUNTIFS(請求記録!$B$6:$B$3005,$A65,請求記録!$Z$6:$Z$3005,H$5)=0,"",SUMIFS(請求記録!$AE$6:$AE$3005,請求記録!$B$6:$B$3005,$A65,請求記録!$Z$6:$Z$3005,H$5))))</f>
        <v/>
      </c>
      <c r="I65" s="19">
        <f>IF($A65="","",IF(COUNTIFS(請求記録!$B$6:$B$3005,$A65,請求記録!$Z$6:$Z$3005,I$5,請求記録!$AF$6:$AF$3005,"保留中")&gt;0,"保留",IF(COUNTIFS(請求記録!$B$6:$B$3005,$A65,請求記録!$Z$6:$Z$3005,I$5)=0,"",SUMIFS(請求記録!$AE$6:$AE$3005,請求記録!$B$6:$B$3005,$A65,請求記録!$Z$6:$Z$3005,I$5))))</f>
        <v/>
      </c>
      <c r="J65" s="19">
        <f>IF($A65="","",IF(COUNTIFS(請求記録!$B$6:$B$3005,$A65,請求記録!$Z$6:$Z$3005,J$5,請求記録!$AF$6:$AF$3005,"保留中")&gt;0,"保留",IF(COUNTIFS(請求記録!$B$6:$B$3005,$A65,請求記録!$Z$6:$Z$3005,J$5)=0,"",SUMIFS(請求記録!$AE$6:$AE$3005,請求記録!$B$6:$B$3005,$A65,請求記録!$Z$6:$Z$3005,J$5))))</f>
        <v/>
      </c>
      <c r="K65" s="19">
        <f>IF($A65="","",IF(COUNTIFS(請求記録!$B$6:$B$3005,$A65,請求記録!$Z$6:$Z$3005,K$5,請求記録!$AF$6:$AF$3005,"保留中")&gt;0,"保留",IF(COUNTIFS(請求記録!$B$6:$B$3005,$A65,請求記録!$Z$6:$Z$3005,K$5)=0,"",SUMIFS(請求記録!$AE$6:$AE$3005,請求記録!$B$6:$B$3005,$A65,請求記録!$Z$6:$Z$3005,K$5))))</f>
        <v/>
      </c>
      <c r="L65" s="19">
        <f>IF($A65="","",IF(COUNTIFS(請求記録!$B$6:$B$3005,$A65,請求記録!$Z$6:$Z$3005,L$5,請求記録!$AF$6:$AF$3005,"保留中")&gt;0,"保留",IF(COUNTIFS(請求記録!$B$6:$B$3005,$A65,請求記録!$Z$6:$Z$3005,L$5)=0,"",SUMIFS(請求記録!$AE$6:$AE$3005,請求記録!$B$6:$B$3005,$A65,請求記録!$Z$6:$Z$3005,L$5))))</f>
        <v/>
      </c>
      <c r="M65" s="19">
        <f>IF($A65="","",IF(COUNTIFS(請求記録!$B$6:$B$3005,$A65,請求記録!$Z$6:$Z$3005,M$5,請求記録!$AF$6:$AF$3005,"保留中")&gt;0,"保留",IF(COUNTIFS(請求記録!$B$6:$B$3005,$A65,請求記録!$Z$6:$Z$3005,M$5)=0,"",SUMIFS(請求記録!$AE$6:$AE$3005,請求記録!$B$6:$B$3005,$A65,請求記録!$Z$6:$Z$3005,M$5))))</f>
        <v/>
      </c>
      <c r="N65" s="19">
        <f>IF($A65="","",IF(COUNTIFS(請求記録!$B$6:$B$3005,$A65,請求記録!$Z$6:$Z$3005,N$5,請求記録!$AF$6:$AF$3005,"保留中")&gt;0,"保留",IF(COUNTIFS(請求記録!$B$6:$B$3005,$A65,請求記録!$Z$6:$Z$3005,N$5)=0,"",SUMIFS(請求記録!$AE$6:$AE$3005,請求記録!$B$6:$B$3005,$A65,請求記録!$Z$6:$Z$3005,N$5))))</f>
        <v/>
      </c>
      <c r="O65" s="19">
        <f>IF($A65="","",IF(COUNTIFS(請求記録!$B$6:$B$3005,$A65,請求記録!$Z$6:$Z$3005,O$5,請求記録!$AF$6:$AF$3005,"保留中")&gt;0,"保留",IF(COUNTIFS(請求記録!$B$6:$B$3005,$A65,請求記録!$Z$6:$Z$3005,O$5)=0,"",SUMIFS(請求記録!$AE$6:$AE$3005,請求記録!$B$6:$B$3005,$A65,請求記録!$Z$6:$Z$3005,O$5))))</f>
        <v/>
      </c>
      <c r="P65" s="19">
        <f>IF($A65="","",IF(COUNTIFS(請求記録!$B$6:$B$3005,$A65,請求記録!$Z$6:$Z$3005,P$5,請求記録!$AF$6:$AF$3005,"保留中")&gt;0,"保留",IF(COUNTIFS(請求記録!$B$6:$B$3005,$A65,請求記録!$Z$6:$Z$3005,P$5)=0,"",SUMIFS(請求記録!$AE$6:$AE$3005,請求記録!$B$6:$B$3005,$A65,請求記録!$Z$6:$Z$3005,P$5))))</f>
        <v/>
      </c>
      <c r="Q65" s="19">
        <f>IF($A65="","",IF(COUNTIFS(請求記録!$B$6:$B$3005,$A65,請求記録!$Z$6:$Z$3005,Q$5,請求記録!$AF$6:$AF$3005,"保留中")&gt;0,"保留",IF(COUNTIFS(請求記録!$B$6:$B$3005,$A65,請求記録!$Z$6:$Z$3005,Q$5)=0,"",SUMIFS(請求記録!$AE$6:$AE$3005,請求記録!$B$6:$B$3005,$A65,請求記録!$Z$6:$Z$3005,Q$5))))</f>
        <v/>
      </c>
      <c r="R65" s="19">
        <f>IF($A65="","",IF(COUNTIFS(請求記録!$B$6:$B$3005,$A65,請求記録!$Z$6:$Z$3005,R$5,請求記録!$AF$6:$AF$3005,"保留中")&gt;0,"保留",IF(COUNTIFS(請求記録!$B$6:$B$3005,$A65,請求記録!$Z$6:$Z$3005,R$5)=0,"",SUMIFS(請求記録!$AE$6:$AE$3005,請求記録!$B$6:$B$3005,$A65,請求記録!$Z$6:$Z$3005,R$5))))</f>
        <v/>
      </c>
      <c r="S65" s="19">
        <f>IF($A65="","",IF(COUNTIFS(請求記録!$B$6:$B$3005,$A65,請求記録!$Z$6:$Z$3005,S$5,請求記録!$AF$6:$AF$3005,"保留中")&gt;0,"保留",IF(COUNTIFS(請求記録!$B$6:$B$3005,$A65,請求記録!$Z$6:$Z$3005,S$5)=0,"",SUMIFS(請求記録!$AE$6:$AE$3005,請求記録!$B$6:$B$3005,$A65,請求記録!$Z$6:$Z$3005,S$5))))</f>
        <v/>
      </c>
      <c r="T65" s="19">
        <f>IF($A65="","",IF(COUNTIFS(請求記録!$B$6:$B$3005,$A65,請求記録!$Z$6:$Z$3005,T$5,請求記録!$AF$6:$AF$3005,"保留中")&gt;0,"保留",IF(COUNTIFS(請求記録!$B$6:$B$3005,$A65,請求記録!$Z$6:$Z$3005,T$5)=0,"",SUMIFS(請求記録!$AE$6:$AE$3005,請求記録!$B$6:$B$3005,$A65,請求記録!$Z$6:$Z$3005,T$5))))</f>
        <v/>
      </c>
      <c r="U65" s="19">
        <f>IF($A65="","",IF(COUNTIFS(請求記録!$B$6:$B$3005,$A65,請求記録!$Z$6:$Z$3005,U$5,請求記録!$AF$6:$AF$3005,"保留中")&gt;0,"保留",IF(COUNTIFS(請求記録!$B$6:$B$3005,$A65,請求記録!$Z$6:$Z$3005,U$5)=0,"",SUMIFS(請求記録!$AE$6:$AE$3005,請求記録!$B$6:$B$3005,$A65,請求記録!$Z$6:$Z$3005,U$5))))</f>
        <v/>
      </c>
      <c r="V65" s="19">
        <f>IF($A65="","",IF(COUNTIFS(請求記録!$B$6:$B$3005,$A65,請求記録!$Z$6:$Z$3005,V$5,請求記録!$AF$6:$AF$3005,"保留中")&gt;0,"保留",IF(COUNTIFS(請求記録!$B$6:$B$3005,$A65,請求記録!$Z$6:$Z$3005,V$5)=0,"",SUMIFS(請求記録!$AE$6:$AE$3005,請求記録!$B$6:$B$3005,$A65,請求記録!$Z$6:$Z$3005,V$5))))</f>
        <v/>
      </c>
      <c r="W65" s="19">
        <f>IF($A65="","",IF(COUNTIFS(請求記録!$B$6:$B$3005,$A65,請求記録!$Z$6:$Z$3005,W$5,請求記録!$AF$6:$AF$3005,"保留中")&gt;0,"保留",IF(COUNTIFS(請求記録!$B$6:$B$3005,$A65,請求記録!$Z$6:$Z$3005,W$5)=0,"",SUMIFS(請求記録!$AE$6:$AE$3005,請求記録!$B$6:$B$3005,$A65,請求記録!$Z$6:$Z$3005,W$5))))</f>
        <v/>
      </c>
      <c r="X65" s="19">
        <f>IF($A65="","",IF(COUNTIFS(請求記録!$B$6:$B$3005,$A65,請求記録!$Z$6:$Z$3005,X$5,請求記録!$AF$6:$AF$3005,"保留中")&gt;0,"保留",IF(COUNTIFS(請求記録!$B$6:$B$3005,$A65,請求記録!$Z$6:$Z$3005,X$5)=0,"",SUMIFS(請求記録!$AE$6:$AE$3005,請求記録!$B$6:$B$3005,$A65,請求記録!$Z$6:$Z$3005,X$5))))</f>
        <v/>
      </c>
      <c r="Y65" s="19">
        <f>IF($A65="","",IF(COUNTIFS(請求記録!$B$6:$B$3005,$A65,請求記録!$Z$6:$Z$3005,Y$5,請求記録!$AF$6:$AF$3005,"保留中")&gt;0,"保留",IF(COUNTIFS(請求記録!$B$6:$B$3005,$A65,請求記録!$Z$6:$Z$3005,Y$5)=0,"",SUMIFS(請求記録!$AE$6:$AE$3005,請求記録!$B$6:$B$3005,$A65,請求記録!$Z$6:$Z$3005,Y$5))))</f>
        <v/>
      </c>
      <c r="Z65" s="19">
        <f>IF($A65="","",IF(COUNTIFS(請求記録!$B$6:$B$3005,$A65,請求記録!$Z$6:$Z$3005,Z$5,請求記録!$AF$6:$AF$3005,"保留中")&gt;0,"保留",IF(COUNTIFS(請求記録!$B$6:$B$3005,$A65,請求記録!$Z$6:$Z$3005,Z$5)=0,"",SUMIFS(請求記録!$AE$6:$AE$3005,請求記録!$B$6:$B$3005,$A65,請求記録!$Z$6:$Z$3005,Z$5))))</f>
        <v/>
      </c>
      <c r="AA65" s="19">
        <f>IF($A65="","",IF(COUNTIFS(請求記録!$B$6:$B$3005,$A65,請求記録!$Z$6:$Z$3005,AA$5,請求記録!$AF$6:$AF$3005,"保留中")&gt;0,"保留",IF(COUNTIFS(請求記録!$B$6:$B$3005,$A65,請求記録!$Z$6:$Z$3005,AA$5)=0,"",SUMIFS(請求記録!$AE$6:$AE$3005,請求記録!$B$6:$B$3005,$A65,請求記録!$Z$6:$Z$3005,AA$5))))</f>
        <v/>
      </c>
      <c r="AB65">
        <f>IF(職員マスタ!P65="保留中",職員マスタ!M65,"")</f>
        <v/>
      </c>
    </row>
    <row r="66">
      <c r="A66">
        <f>IF(職員マスタ!A66="","",職員マスタ!A66)</f>
        <v/>
      </c>
      <c r="B66">
        <f>IF($A66="","",職員マスタ!B66)</f>
        <v/>
      </c>
      <c r="C66">
        <f>IF($A66="","",職員マスタ!C66)</f>
        <v/>
      </c>
      <c r="D66" s="19">
        <f>IF($A66="","",IF(COUNTIFS(請求記録!$B$6:$B$3005,$A66,請求記録!$Z$6:$Z$3005,D$5,請求記録!$AF$6:$AF$3005,"保留中")&gt;0,"保留",IF(COUNTIFS(請求記録!$B$6:$B$3005,$A66,請求記録!$Z$6:$Z$3005,D$5)=0,"",SUMIFS(請求記録!$AE$6:$AE$3005,請求記録!$B$6:$B$3005,$A66,請求記録!$Z$6:$Z$3005,D$5))))</f>
        <v/>
      </c>
      <c r="E66" s="19">
        <f>IF($A66="","",IF(COUNTIFS(請求記録!$B$6:$B$3005,$A66,請求記録!$Z$6:$Z$3005,E$5,請求記録!$AF$6:$AF$3005,"保留中")&gt;0,"保留",IF(COUNTIFS(請求記録!$B$6:$B$3005,$A66,請求記録!$Z$6:$Z$3005,E$5)=0,"",SUMIFS(請求記録!$AE$6:$AE$3005,請求記録!$B$6:$B$3005,$A66,請求記録!$Z$6:$Z$3005,E$5))))</f>
        <v/>
      </c>
      <c r="F66" s="19">
        <f>IF($A66="","",IF(COUNTIFS(請求記録!$B$6:$B$3005,$A66,請求記録!$Z$6:$Z$3005,F$5,請求記録!$AF$6:$AF$3005,"保留中")&gt;0,"保留",IF(COUNTIFS(請求記録!$B$6:$B$3005,$A66,請求記録!$Z$6:$Z$3005,F$5)=0,"",SUMIFS(請求記録!$AE$6:$AE$3005,請求記録!$B$6:$B$3005,$A66,請求記録!$Z$6:$Z$3005,F$5))))</f>
        <v/>
      </c>
      <c r="G66" s="19">
        <f>IF($A66="","",IF(COUNTIFS(請求記録!$B$6:$B$3005,$A66,請求記録!$Z$6:$Z$3005,G$5,請求記録!$AF$6:$AF$3005,"保留中")&gt;0,"保留",IF(COUNTIFS(請求記録!$B$6:$B$3005,$A66,請求記録!$Z$6:$Z$3005,G$5)=0,"",SUMIFS(請求記録!$AE$6:$AE$3005,請求記録!$B$6:$B$3005,$A66,請求記録!$Z$6:$Z$3005,G$5))))</f>
        <v/>
      </c>
      <c r="H66" s="19">
        <f>IF($A66="","",IF(COUNTIFS(請求記録!$B$6:$B$3005,$A66,請求記録!$Z$6:$Z$3005,H$5,請求記録!$AF$6:$AF$3005,"保留中")&gt;0,"保留",IF(COUNTIFS(請求記録!$B$6:$B$3005,$A66,請求記録!$Z$6:$Z$3005,H$5)=0,"",SUMIFS(請求記録!$AE$6:$AE$3005,請求記録!$B$6:$B$3005,$A66,請求記録!$Z$6:$Z$3005,H$5))))</f>
        <v/>
      </c>
      <c r="I66" s="19">
        <f>IF($A66="","",IF(COUNTIFS(請求記録!$B$6:$B$3005,$A66,請求記録!$Z$6:$Z$3005,I$5,請求記録!$AF$6:$AF$3005,"保留中")&gt;0,"保留",IF(COUNTIFS(請求記録!$B$6:$B$3005,$A66,請求記録!$Z$6:$Z$3005,I$5)=0,"",SUMIFS(請求記録!$AE$6:$AE$3005,請求記録!$B$6:$B$3005,$A66,請求記録!$Z$6:$Z$3005,I$5))))</f>
        <v/>
      </c>
      <c r="J66" s="19">
        <f>IF($A66="","",IF(COUNTIFS(請求記録!$B$6:$B$3005,$A66,請求記録!$Z$6:$Z$3005,J$5,請求記録!$AF$6:$AF$3005,"保留中")&gt;0,"保留",IF(COUNTIFS(請求記録!$B$6:$B$3005,$A66,請求記録!$Z$6:$Z$3005,J$5)=0,"",SUMIFS(請求記録!$AE$6:$AE$3005,請求記録!$B$6:$B$3005,$A66,請求記録!$Z$6:$Z$3005,J$5))))</f>
        <v/>
      </c>
      <c r="K66" s="19">
        <f>IF($A66="","",IF(COUNTIFS(請求記録!$B$6:$B$3005,$A66,請求記録!$Z$6:$Z$3005,K$5,請求記録!$AF$6:$AF$3005,"保留中")&gt;0,"保留",IF(COUNTIFS(請求記録!$B$6:$B$3005,$A66,請求記録!$Z$6:$Z$3005,K$5)=0,"",SUMIFS(請求記録!$AE$6:$AE$3005,請求記録!$B$6:$B$3005,$A66,請求記録!$Z$6:$Z$3005,K$5))))</f>
        <v/>
      </c>
      <c r="L66" s="19">
        <f>IF($A66="","",IF(COUNTIFS(請求記録!$B$6:$B$3005,$A66,請求記録!$Z$6:$Z$3005,L$5,請求記録!$AF$6:$AF$3005,"保留中")&gt;0,"保留",IF(COUNTIFS(請求記録!$B$6:$B$3005,$A66,請求記録!$Z$6:$Z$3005,L$5)=0,"",SUMIFS(請求記録!$AE$6:$AE$3005,請求記録!$B$6:$B$3005,$A66,請求記録!$Z$6:$Z$3005,L$5))))</f>
        <v/>
      </c>
      <c r="M66" s="19">
        <f>IF($A66="","",IF(COUNTIFS(請求記録!$B$6:$B$3005,$A66,請求記録!$Z$6:$Z$3005,M$5,請求記録!$AF$6:$AF$3005,"保留中")&gt;0,"保留",IF(COUNTIFS(請求記録!$B$6:$B$3005,$A66,請求記録!$Z$6:$Z$3005,M$5)=0,"",SUMIFS(請求記録!$AE$6:$AE$3005,請求記録!$B$6:$B$3005,$A66,請求記録!$Z$6:$Z$3005,M$5))))</f>
        <v/>
      </c>
      <c r="N66" s="19">
        <f>IF($A66="","",IF(COUNTIFS(請求記録!$B$6:$B$3005,$A66,請求記録!$Z$6:$Z$3005,N$5,請求記録!$AF$6:$AF$3005,"保留中")&gt;0,"保留",IF(COUNTIFS(請求記録!$B$6:$B$3005,$A66,請求記録!$Z$6:$Z$3005,N$5)=0,"",SUMIFS(請求記録!$AE$6:$AE$3005,請求記録!$B$6:$B$3005,$A66,請求記録!$Z$6:$Z$3005,N$5))))</f>
        <v/>
      </c>
      <c r="O66" s="19">
        <f>IF($A66="","",IF(COUNTIFS(請求記録!$B$6:$B$3005,$A66,請求記録!$Z$6:$Z$3005,O$5,請求記録!$AF$6:$AF$3005,"保留中")&gt;0,"保留",IF(COUNTIFS(請求記録!$B$6:$B$3005,$A66,請求記録!$Z$6:$Z$3005,O$5)=0,"",SUMIFS(請求記録!$AE$6:$AE$3005,請求記録!$B$6:$B$3005,$A66,請求記録!$Z$6:$Z$3005,O$5))))</f>
        <v/>
      </c>
      <c r="P66" s="19">
        <f>IF($A66="","",IF(COUNTIFS(請求記録!$B$6:$B$3005,$A66,請求記録!$Z$6:$Z$3005,P$5,請求記録!$AF$6:$AF$3005,"保留中")&gt;0,"保留",IF(COUNTIFS(請求記録!$B$6:$B$3005,$A66,請求記録!$Z$6:$Z$3005,P$5)=0,"",SUMIFS(請求記録!$AE$6:$AE$3005,請求記録!$B$6:$B$3005,$A66,請求記録!$Z$6:$Z$3005,P$5))))</f>
        <v/>
      </c>
      <c r="Q66" s="19">
        <f>IF($A66="","",IF(COUNTIFS(請求記録!$B$6:$B$3005,$A66,請求記録!$Z$6:$Z$3005,Q$5,請求記録!$AF$6:$AF$3005,"保留中")&gt;0,"保留",IF(COUNTIFS(請求記録!$B$6:$B$3005,$A66,請求記録!$Z$6:$Z$3005,Q$5)=0,"",SUMIFS(請求記録!$AE$6:$AE$3005,請求記録!$B$6:$B$3005,$A66,請求記録!$Z$6:$Z$3005,Q$5))))</f>
        <v/>
      </c>
      <c r="R66" s="19">
        <f>IF($A66="","",IF(COUNTIFS(請求記録!$B$6:$B$3005,$A66,請求記録!$Z$6:$Z$3005,R$5,請求記録!$AF$6:$AF$3005,"保留中")&gt;0,"保留",IF(COUNTIFS(請求記録!$B$6:$B$3005,$A66,請求記録!$Z$6:$Z$3005,R$5)=0,"",SUMIFS(請求記録!$AE$6:$AE$3005,請求記録!$B$6:$B$3005,$A66,請求記録!$Z$6:$Z$3005,R$5))))</f>
        <v/>
      </c>
      <c r="S66" s="19">
        <f>IF($A66="","",IF(COUNTIFS(請求記録!$B$6:$B$3005,$A66,請求記録!$Z$6:$Z$3005,S$5,請求記録!$AF$6:$AF$3005,"保留中")&gt;0,"保留",IF(COUNTIFS(請求記録!$B$6:$B$3005,$A66,請求記録!$Z$6:$Z$3005,S$5)=0,"",SUMIFS(請求記録!$AE$6:$AE$3005,請求記録!$B$6:$B$3005,$A66,請求記録!$Z$6:$Z$3005,S$5))))</f>
        <v/>
      </c>
      <c r="T66" s="19">
        <f>IF($A66="","",IF(COUNTIFS(請求記録!$B$6:$B$3005,$A66,請求記録!$Z$6:$Z$3005,T$5,請求記録!$AF$6:$AF$3005,"保留中")&gt;0,"保留",IF(COUNTIFS(請求記録!$B$6:$B$3005,$A66,請求記録!$Z$6:$Z$3005,T$5)=0,"",SUMIFS(請求記録!$AE$6:$AE$3005,請求記録!$B$6:$B$3005,$A66,請求記録!$Z$6:$Z$3005,T$5))))</f>
        <v/>
      </c>
      <c r="U66" s="19">
        <f>IF($A66="","",IF(COUNTIFS(請求記録!$B$6:$B$3005,$A66,請求記録!$Z$6:$Z$3005,U$5,請求記録!$AF$6:$AF$3005,"保留中")&gt;0,"保留",IF(COUNTIFS(請求記録!$B$6:$B$3005,$A66,請求記録!$Z$6:$Z$3005,U$5)=0,"",SUMIFS(請求記録!$AE$6:$AE$3005,請求記録!$B$6:$B$3005,$A66,請求記録!$Z$6:$Z$3005,U$5))))</f>
        <v/>
      </c>
      <c r="V66" s="19">
        <f>IF($A66="","",IF(COUNTIFS(請求記録!$B$6:$B$3005,$A66,請求記録!$Z$6:$Z$3005,V$5,請求記録!$AF$6:$AF$3005,"保留中")&gt;0,"保留",IF(COUNTIFS(請求記録!$B$6:$B$3005,$A66,請求記録!$Z$6:$Z$3005,V$5)=0,"",SUMIFS(請求記録!$AE$6:$AE$3005,請求記録!$B$6:$B$3005,$A66,請求記録!$Z$6:$Z$3005,V$5))))</f>
        <v/>
      </c>
      <c r="W66" s="19">
        <f>IF($A66="","",IF(COUNTIFS(請求記録!$B$6:$B$3005,$A66,請求記録!$Z$6:$Z$3005,W$5,請求記録!$AF$6:$AF$3005,"保留中")&gt;0,"保留",IF(COUNTIFS(請求記録!$B$6:$B$3005,$A66,請求記録!$Z$6:$Z$3005,W$5)=0,"",SUMIFS(請求記録!$AE$6:$AE$3005,請求記録!$B$6:$B$3005,$A66,請求記録!$Z$6:$Z$3005,W$5))))</f>
        <v/>
      </c>
      <c r="X66" s="19">
        <f>IF($A66="","",IF(COUNTIFS(請求記録!$B$6:$B$3005,$A66,請求記録!$Z$6:$Z$3005,X$5,請求記録!$AF$6:$AF$3005,"保留中")&gt;0,"保留",IF(COUNTIFS(請求記録!$B$6:$B$3005,$A66,請求記録!$Z$6:$Z$3005,X$5)=0,"",SUMIFS(請求記録!$AE$6:$AE$3005,請求記録!$B$6:$B$3005,$A66,請求記録!$Z$6:$Z$3005,X$5))))</f>
        <v/>
      </c>
      <c r="Y66" s="19">
        <f>IF($A66="","",IF(COUNTIFS(請求記録!$B$6:$B$3005,$A66,請求記録!$Z$6:$Z$3005,Y$5,請求記録!$AF$6:$AF$3005,"保留中")&gt;0,"保留",IF(COUNTIFS(請求記録!$B$6:$B$3005,$A66,請求記録!$Z$6:$Z$3005,Y$5)=0,"",SUMIFS(請求記録!$AE$6:$AE$3005,請求記録!$B$6:$B$3005,$A66,請求記録!$Z$6:$Z$3005,Y$5))))</f>
        <v/>
      </c>
      <c r="Z66" s="19">
        <f>IF($A66="","",IF(COUNTIFS(請求記録!$B$6:$B$3005,$A66,請求記録!$Z$6:$Z$3005,Z$5,請求記録!$AF$6:$AF$3005,"保留中")&gt;0,"保留",IF(COUNTIFS(請求記録!$B$6:$B$3005,$A66,請求記録!$Z$6:$Z$3005,Z$5)=0,"",SUMIFS(請求記録!$AE$6:$AE$3005,請求記録!$B$6:$B$3005,$A66,請求記録!$Z$6:$Z$3005,Z$5))))</f>
        <v/>
      </c>
      <c r="AA66" s="19">
        <f>IF($A66="","",IF(COUNTIFS(請求記録!$B$6:$B$3005,$A66,請求記録!$Z$6:$Z$3005,AA$5,請求記録!$AF$6:$AF$3005,"保留中")&gt;0,"保留",IF(COUNTIFS(請求記録!$B$6:$B$3005,$A66,請求記録!$Z$6:$Z$3005,AA$5)=0,"",SUMIFS(請求記録!$AE$6:$AE$3005,請求記録!$B$6:$B$3005,$A66,請求記録!$Z$6:$Z$3005,AA$5))))</f>
        <v/>
      </c>
      <c r="AB66">
        <f>IF(職員マスタ!P66="保留中",職員マスタ!M66,"")</f>
        <v/>
      </c>
    </row>
    <row r="67">
      <c r="A67">
        <f>IF(職員マスタ!A67="","",職員マスタ!A67)</f>
        <v/>
      </c>
      <c r="B67">
        <f>IF($A67="","",職員マスタ!B67)</f>
        <v/>
      </c>
      <c r="C67">
        <f>IF($A67="","",職員マスタ!C67)</f>
        <v/>
      </c>
      <c r="D67" s="19">
        <f>IF($A67="","",IF(COUNTIFS(請求記録!$B$6:$B$3005,$A67,請求記録!$Z$6:$Z$3005,D$5,請求記録!$AF$6:$AF$3005,"保留中")&gt;0,"保留",IF(COUNTIFS(請求記録!$B$6:$B$3005,$A67,請求記録!$Z$6:$Z$3005,D$5)=0,"",SUMIFS(請求記録!$AE$6:$AE$3005,請求記録!$B$6:$B$3005,$A67,請求記録!$Z$6:$Z$3005,D$5))))</f>
        <v/>
      </c>
      <c r="E67" s="19">
        <f>IF($A67="","",IF(COUNTIFS(請求記録!$B$6:$B$3005,$A67,請求記録!$Z$6:$Z$3005,E$5,請求記録!$AF$6:$AF$3005,"保留中")&gt;0,"保留",IF(COUNTIFS(請求記録!$B$6:$B$3005,$A67,請求記録!$Z$6:$Z$3005,E$5)=0,"",SUMIFS(請求記録!$AE$6:$AE$3005,請求記録!$B$6:$B$3005,$A67,請求記録!$Z$6:$Z$3005,E$5))))</f>
        <v/>
      </c>
      <c r="F67" s="19">
        <f>IF($A67="","",IF(COUNTIFS(請求記録!$B$6:$B$3005,$A67,請求記録!$Z$6:$Z$3005,F$5,請求記録!$AF$6:$AF$3005,"保留中")&gt;0,"保留",IF(COUNTIFS(請求記録!$B$6:$B$3005,$A67,請求記録!$Z$6:$Z$3005,F$5)=0,"",SUMIFS(請求記録!$AE$6:$AE$3005,請求記録!$B$6:$B$3005,$A67,請求記録!$Z$6:$Z$3005,F$5))))</f>
        <v/>
      </c>
      <c r="G67" s="19">
        <f>IF($A67="","",IF(COUNTIFS(請求記録!$B$6:$B$3005,$A67,請求記録!$Z$6:$Z$3005,G$5,請求記録!$AF$6:$AF$3005,"保留中")&gt;0,"保留",IF(COUNTIFS(請求記録!$B$6:$B$3005,$A67,請求記録!$Z$6:$Z$3005,G$5)=0,"",SUMIFS(請求記録!$AE$6:$AE$3005,請求記録!$B$6:$B$3005,$A67,請求記録!$Z$6:$Z$3005,G$5))))</f>
        <v/>
      </c>
      <c r="H67" s="19">
        <f>IF($A67="","",IF(COUNTIFS(請求記録!$B$6:$B$3005,$A67,請求記録!$Z$6:$Z$3005,H$5,請求記録!$AF$6:$AF$3005,"保留中")&gt;0,"保留",IF(COUNTIFS(請求記録!$B$6:$B$3005,$A67,請求記録!$Z$6:$Z$3005,H$5)=0,"",SUMIFS(請求記録!$AE$6:$AE$3005,請求記録!$B$6:$B$3005,$A67,請求記録!$Z$6:$Z$3005,H$5))))</f>
        <v/>
      </c>
      <c r="I67" s="19">
        <f>IF($A67="","",IF(COUNTIFS(請求記録!$B$6:$B$3005,$A67,請求記録!$Z$6:$Z$3005,I$5,請求記録!$AF$6:$AF$3005,"保留中")&gt;0,"保留",IF(COUNTIFS(請求記録!$B$6:$B$3005,$A67,請求記録!$Z$6:$Z$3005,I$5)=0,"",SUMIFS(請求記録!$AE$6:$AE$3005,請求記録!$B$6:$B$3005,$A67,請求記録!$Z$6:$Z$3005,I$5))))</f>
        <v/>
      </c>
      <c r="J67" s="19">
        <f>IF($A67="","",IF(COUNTIFS(請求記録!$B$6:$B$3005,$A67,請求記録!$Z$6:$Z$3005,J$5,請求記録!$AF$6:$AF$3005,"保留中")&gt;0,"保留",IF(COUNTIFS(請求記録!$B$6:$B$3005,$A67,請求記録!$Z$6:$Z$3005,J$5)=0,"",SUMIFS(請求記録!$AE$6:$AE$3005,請求記録!$B$6:$B$3005,$A67,請求記録!$Z$6:$Z$3005,J$5))))</f>
        <v/>
      </c>
      <c r="K67" s="19">
        <f>IF($A67="","",IF(COUNTIFS(請求記録!$B$6:$B$3005,$A67,請求記録!$Z$6:$Z$3005,K$5,請求記録!$AF$6:$AF$3005,"保留中")&gt;0,"保留",IF(COUNTIFS(請求記録!$B$6:$B$3005,$A67,請求記録!$Z$6:$Z$3005,K$5)=0,"",SUMIFS(請求記録!$AE$6:$AE$3005,請求記録!$B$6:$B$3005,$A67,請求記録!$Z$6:$Z$3005,K$5))))</f>
        <v/>
      </c>
      <c r="L67" s="19">
        <f>IF($A67="","",IF(COUNTIFS(請求記録!$B$6:$B$3005,$A67,請求記録!$Z$6:$Z$3005,L$5,請求記録!$AF$6:$AF$3005,"保留中")&gt;0,"保留",IF(COUNTIFS(請求記録!$B$6:$B$3005,$A67,請求記録!$Z$6:$Z$3005,L$5)=0,"",SUMIFS(請求記録!$AE$6:$AE$3005,請求記録!$B$6:$B$3005,$A67,請求記録!$Z$6:$Z$3005,L$5))))</f>
        <v/>
      </c>
      <c r="M67" s="19">
        <f>IF($A67="","",IF(COUNTIFS(請求記録!$B$6:$B$3005,$A67,請求記録!$Z$6:$Z$3005,M$5,請求記録!$AF$6:$AF$3005,"保留中")&gt;0,"保留",IF(COUNTIFS(請求記録!$B$6:$B$3005,$A67,請求記録!$Z$6:$Z$3005,M$5)=0,"",SUMIFS(請求記録!$AE$6:$AE$3005,請求記録!$B$6:$B$3005,$A67,請求記録!$Z$6:$Z$3005,M$5))))</f>
        <v/>
      </c>
      <c r="N67" s="19">
        <f>IF($A67="","",IF(COUNTIFS(請求記録!$B$6:$B$3005,$A67,請求記録!$Z$6:$Z$3005,N$5,請求記録!$AF$6:$AF$3005,"保留中")&gt;0,"保留",IF(COUNTIFS(請求記録!$B$6:$B$3005,$A67,請求記録!$Z$6:$Z$3005,N$5)=0,"",SUMIFS(請求記録!$AE$6:$AE$3005,請求記録!$B$6:$B$3005,$A67,請求記録!$Z$6:$Z$3005,N$5))))</f>
        <v/>
      </c>
      <c r="O67" s="19">
        <f>IF($A67="","",IF(COUNTIFS(請求記録!$B$6:$B$3005,$A67,請求記録!$Z$6:$Z$3005,O$5,請求記録!$AF$6:$AF$3005,"保留中")&gt;0,"保留",IF(COUNTIFS(請求記録!$B$6:$B$3005,$A67,請求記録!$Z$6:$Z$3005,O$5)=0,"",SUMIFS(請求記録!$AE$6:$AE$3005,請求記録!$B$6:$B$3005,$A67,請求記録!$Z$6:$Z$3005,O$5))))</f>
        <v/>
      </c>
      <c r="P67" s="19">
        <f>IF($A67="","",IF(COUNTIFS(請求記録!$B$6:$B$3005,$A67,請求記録!$Z$6:$Z$3005,P$5,請求記録!$AF$6:$AF$3005,"保留中")&gt;0,"保留",IF(COUNTIFS(請求記録!$B$6:$B$3005,$A67,請求記録!$Z$6:$Z$3005,P$5)=0,"",SUMIFS(請求記録!$AE$6:$AE$3005,請求記録!$B$6:$B$3005,$A67,請求記録!$Z$6:$Z$3005,P$5))))</f>
        <v/>
      </c>
      <c r="Q67" s="19">
        <f>IF($A67="","",IF(COUNTIFS(請求記録!$B$6:$B$3005,$A67,請求記録!$Z$6:$Z$3005,Q$5,請求記録!$AF$6:$AF$3005,"保留中")&gt;0,"保留",IF(COUNTIFS(請求記録!$B$6:$B$3005,$A67,請求記録!$Z$6:$Z$3005,Q$5)=0,"",SUMIFS(請求記録!$AE$6:$AE$3005,請求記録!$B$6:$B$3005,$A67,請求記録!$Z$6:$Z$3005,Q$5))))</f>
        <v/>
      </c>
      <c r="R67" s="19">
        <f>IF($A67="","",IF(COUNTIFS(請求記録!$B$6:$B$3005,$A67,請求記録!$Z$6:$Z$3005,R$5,請求記録!$AF$6:$AF$3005,"保留中")&gt;0,"保留",IF(COUNTIFS(請求記録!$B$6:$B$3005,$A67,請求記録!$Z$6:$Z$3005,R$5)=0,"",SUMIFS(請求記録!$AE$6:$AE$3005,請求記録!$B$6:$B$3005,$A67,請求記録!$Z$6:$Z$3005,R$5))))</f>
        <v/>
      </c>
      <c r="S67" s="19">
        <f>IF($A67="","",IF(COUNTIFS(請求記録!$B$6:$B$3005,$A67,請求記録!$Z$6:$Z$3005,S$5,請求記録!$AF$6:$AF$3005,"保留中")&gt;0,"保留",IF(COUNTIFS(請求記録!$B$6:$B$3005,$A67,請求記録!$Z$6:$Z$3005,S$5)=0,"",SUMIFS(請求記録!$AE$6:$AE$3005,請求記録!$B$6:$B$3005,$A67,請求記録!$Z$6:$Z$3005,S$5))))</f>
        <v/>
      </c>
      <c r="T67" s="19">
        <f>IF($A67="","",IF(COUNTIFS(請求記録!$B$6:$B$3005,$A67,請求記録!$Z$6:$Z$3005,T$5,請求記録!$AF$6:$AF$3005,"保留中")&gt;0,"保留",IF(COUNTIFS(請求記録!$B$6:$B$3005,$A67,請求記録!$Z$6:$Z$3005,T$5)=0,"",SUMIFS(請求記録!$AE$6:$AE$3005,請求記録!$B$6:$B$3005,$A67,請求記録!$Z$6:$Z$3005,T$5))))</f>
        <v/>
      </c>
      <c r="U67" s="19">
        <f>IF($A67="","",IF(COUNTIFS(請求記録!$B$6:$B$3005,$A67,請求記録!$Z$6:$Z$3005,U$5,請求記録!$AF$6:$AF$3005,"保留中")&gt;0,"保留",IF(COUNTIFS(請求記録!$B$6:$B$3005,$A67,請求記録!$Z$6:$Z$3005,U$5)=0,"",SUMIFS(請求記録!$AE$6:$AE$3005,請求記録!$B$6:$B$3005,$A67,請求記録!$Z$6:$Z$3005,U$5))))</f>
        <v/>
      </c>
      <c r="V67" s="19">
        <f>IF($A67="","",IF(COUNTIFS(請求記録!$B$6:$B$3005,$A67,請求記録!$Z$6:$Z$3005,V$5,請求記録!$AF$6:$AF$3005,"保留中")&gt;0,"保留",IF(COUNTIFS(請求記録!$B$6:$B$3005,$A67,請求記録!$Z$6:$Z$3005,V$5)=0,"",SUMIFS(請求記録!$AE$6:$AE$3005,請求記録!$B$6:$B$3005,$A67,請求記録!$Z$6:$Z$3005,V$5))))</f>
        <v/>
      </c>
      <c r="W67" s="19">
        <f>IF($A67="","",IF(COUNTIFS(請求記録!$B$6:$B$3005,$A67,請求記録!$Z$6:$Z$3005,W$5,請求記録!$AF$6:$AF$3005,"保留中")&gt;0,"保留",IF(COUNTIFS(請求記録!$B$6:$B$3005,$A67,請求記録!$Z$6:$Z$3005,W$5)=0,"",SUMIFS(請求記録!$AE$6:$AE$3005,請求記録!$B$6:$B$3005,$A67,請求記録!$Z$6:$Z$3005,W$5))))</f>
        <v/>
      </c>
      <c r="X67" s="19">
        <f>IF($A67="","",IF(COUNTIFS(請求記録!$B$6:$B$3005,$A67,請求記録!$Z$6:$Z$3005,X$5,請求記録!$AF$6:$AF$3005,"保留中")&gt;0,"保留",IF(COUNTIFS(請求記録!$B$6:$B$3005,$A67,請求記録!$Z$6:$Z$3005,X$5)=0,"",SUMIFS(請求記録!$AE$6:$AE$3005,請求記録!$B$6:$B$3005,$A67,請求記録!$Z$6:$Z$3005,X$5))))</f>
        <v/>
      </c>
      <c r="Y67" s="19">
        <f>IF($A67="","",IF(COUNTIFS(請求記録!$B$6:$B$3005,$A67,請求記録!$Z$6:$Z$3005,Y$5,請求記録!$AF$6:$AF$3005,"保留中")&gt;0,"保留",IF(COUNTIFS(請求記録!$B$6:$B$3005,$A67,請求記録!$Z$6:$Z$3005,Y$5)=0,"",SUMIFS(請求記録!$AE$6:$AE$3005,請求記録!$B$6:$B$3005,$A67,請求記録!$Z$6:$Z$3005,Y$5))))</f>
        <v/>
      </c>
      <c r="Z67" s="19">
        <f>IF($A67="","",IF(COUNTIFS(請求記録!$B$6:$B$3005,$A67,請求記録!$Z$6:$Z$3005,Z$5,請求記録!$AF$6:$AF$3005,"保留中")&gt;0,"保留",IF(COUNTIFS(請求記録!$B$6:$B$3005,$A67,請求記録!$Z$6:$Z$3005,Z$5)=0,"",SUMIFS(請求記録!$AE$6:$AE$3005,請求記録!$B$6:$B$3005,$A67,請求記録!$Z$6:$Z$3005,Z$5))))</f>
        <v/>
      </c>
      <c r="AA67" s="19">
        <f>IF($A67="","",IF(COUNTIFS(請求記録!$B$6:$B$3005,$A67,請求記録!$Z$6:$Z$3005,AA$5,請求記録!$AF$6:$AF$3005,"保留中")&gt;0,"保留",IF(COUNTIFS(請求記録!$B$6:$B$3005,$A67,請求記録!$Z$6:$Z$3005,AA$5)=0,"",SUMIFS(請求記録!$AE$6:$AE$3005,請求記録!$B$6:$B$3005,$A67,請求記録!$Z$6:$Z$3005,AA$5))))</f>
        <v/>
      </c>
      <c r="AB67">
        <f>IF(職員マスタ!P67="保留中",職員マスタ!M67,"")</f>
        <v/>
      </c>
    </row>
    <row r="68">
      <c r="A68">
        <f>IF(職員マスタ!A68="","",職員マスタ!A68)</f>
        <v/>
      </c>
      <c r="B68">
        <f>IF($A68="","",職員マスタ!B68)</f>
        <v/>
      </c>
      <c r="C68">
        <f>IF($A68="","",職員マスタ!C68)</f>
        <v/>
      </c>
      <c r="D68" s="19">
        <f>IF($A68="","",IF(COUNTIFS(請求記録!$B$6:$B$3005,$A68,請求記録!$Z$6:$Z$3005,D$5,請求記録!$AF$6:$AF$3005,"保留中")&gt;0,"保留",IF(COUNTIFS(請求記録!$B$6:$B$3005,$A68,請求記録!$Z$6:$Z$3005,D$5)=0,"",SUMIFS(請求記録!$AE$6:$AE$3005,請求記録!$B$6:$B$3005,$A68,請求記録!$Z$6:$Z$3005,D$5))))</f>
        <v/>
      </c>
      <c r="E68" s="19">
        <f>IF($A68="","",IF(COUNTIFS(請求記録!$B$6:$B$3005,$A68,請求記録!$Z$6:$Z$3005,E$5,請求記録!$AF$6:$AF$3005,"保留中")&gt;0,"保留",IF(COUNTIFS(請求記録!$B$6:$B$3005,$A68,請求記録!$Z$6:$Z$3005,E$5)=0,"",SUMIFS(請求記録!$AE$6:$AE$3005,請求記録!$B$6:$B$3005,$A68,請求記録!$Z$6:$Z$3005,E$5))))</f>
        <v/>
      </c>
      <c r="F68" s="19">
        <f>IF($A68="","",IF(COUNTIFS(請求記録!$B$6:$B$3005,$A68,請求記録!$Z$6:$Z$3005,F$5,請求記録!$AF$6:$AF$3005,"保留中")&gt;0,"保留",IF(COUNTIFS(請求記録!$B$6:$B$3005,$A68,請求記録!$Z$6:$Z$3005,F$5)=0,"",SUMIFS(請求記録!$AE$6:$AE$3005,請求記録!$B$6:$B$3005,$A68,請求記録!$Z$6:$Z$3005,F$5))))</f>
        <v/>
      </c>
      <c r="G68" s="19">
        <f>IF($A68="","",IF(COUNTIFS(請求記録!$B$6:$B$3005,$A68,請求記録!$Z$6:$Z$3005,G$5,請求記録!$AF$6:$AF$3005,"保留中")&gt;0,"保留",IF(COUNTIFS(請求記録!$B$6:$B$3005,$A68,請求記録!$Z$6:$Z$3005,G$5)=0,"",SUMIFS(請求記録!$AE$6:$AE$3005,請求記録!$B$6:$B$3005,$A68,請求記録!$Z$6:$Z$3005,G$5))))</f>
        <v/>
      </c>
      <c r="H68" s="19">
        <f>IF($A68="","",IF(COUNTIFS(請求記録!$B$6:$B$3005,$A68,請求記録!$Z$6:$Z$3005,H$5,請求記録!$AF$6:$AF$3005,"保留中")&gt;0,"保留",IF(COUNTIFS(請求記録!$B$6:$B$3005,$A68,請求記録!$Z$6:$Z$3005,H$5)=0,"",SUMIFS(請求記録!$AE$6:$AE$3005,請求記録!$B$6:$B$3005,$A68,請求記録!$Z$6:$Z$3005,H$5))))</f>
        <v/>
      </c>
      <c r="I68" s="19">
        <f>IF($A68="","",IF(COUNTIFS(請求記録!$B$6:$B$3005,$A68,請求記録!$Z$6:$Z$3005,I$5,請求記録!$AF$6:$AF$3005,"保留中")&gt;0,"保留",IF(COUNTIFS(請求記録!$B$6:$B$3005,$A68,請求記録!$Z$6:$Z$3005,I$5)=0,"",SUMIFS(請求記録!$AE$6:$AE$3005,請求記録!$B$6:$B$3005,$A68,請求記録!$Z$6:$Z$3005,I$5))))</f>
        <v/>
      </c>
      <c r="J68" s="19">
        <f>IF($A68="","",IF(COUNTIFS(請求記録!$B$6:$B$3005,$A68,請求記録!$Z$6:$Z$3005,J$5,請求記録!$AF$6:$AF$3005,"保留中")&gt;0,"保留",IF(COUNTIFS(請求記録!$B$6:$B$3005,$A68,請求記録!$Z$6:$Z$3005,J$5)=0,"",SUMIFS(請求記録!$AE$6:$AE$3005,請求記録!$B$6:$B$3005,$A68,請求記録!$Z$6:$Z$3005,J$5))))</f>
        <v/>
      </c>
      <c r="K68" s="19">
        <f>IF($A68="","",IF(COUNTIFS(請求記録!$B$6:$B$3005,$A68,請求記録!$Z$6:$Z$3005,K$5,請求記録!$AF$6:$AF$3005,"保留中")&gt;0,"保留",IF(COUNTIFS(請求記録!$B$6:$B$3005,$A68,請求記録!$Z$6:$Z$3005,K$5)=0,"",SUMIFS(請求記録!$AE$6:$AE$3005,請求記録!$B$6:$B$3005,$A68,請求記録!$Z$6:$Z$3005,K$5))))</f>
        <v/>
      </c>
      <c r="L68" s="19">
        <f>IF($A68="","",IF(COUNTIFS(請求記録!$B$6:$B$3005,$A68,請求記録!$Z$6:$Z$3005,L$5,請求記録!$AF$6:$AF$3005,"保留中")&gt;0,"保留",IF(COUNTIFS(請求記録!$B$6:$B$3005,$A68,請求記録!$Z$6:$Z$3005,L$5)=0,"",SUMIFS(請求記録!$AE$6:$AE$3005,請求記録!$B$6:$B$3005,$A68,請求記録!$Z$6:$Z$3005,L$5))))</f>
        <v/>
      </c>
      <c r="M68" s="19">
        <f>IF($A68="","",IF(COUNTIFS(請求記録!$B$6:$B$3005,$A68,請求記録!$Z$6:$Z$3005,M$5,請求記録!$AF$6:$AF$3005,"保留中")&gt;0,"保留",IF(COUNTIFS(請求記録!$B$6:$B$3005,$A68,請求記録!$Z$6:$Z$3005,M$5)=0,"",SUMIFS(請求記録!$AE$6:$AE$3005,請求記録!$B$6:$B$3005,$A68,請求記録!$Z$6:$Z$3005,M$5))))</f>
        <v/>
      </c>
      <c r="N68" s="19">
        <f>IF($A68="","",IF(COUNTIFS(請求記録!$B$6:$B$3005,$A68,請求記録!$Z$6:$Z$3005,N$5,請求記録!$AF$6:$AF$3005,"保留中")&gt;0,"保留",IF(COUNTIFS(請求記録!$B$6:$B$3005,$A68,請求記録!$Z$6:$Z$3005,N$5)=0,"",SUMIFS(請求記録!$AE$6:$AE$3005,請求記録!$B$6:$B$3005,$A68,請求記録!$Z$6:$Z$3005,N$5))))</f>
        <v/>
      </c>
      <c r="O68" s="19">
        <f>IF($A68="","",IF(COUNTIFS(請求記録!$B$6:$B$3005,$A68,請求記録!$Z$6:$Z$3005,O$5,請求記録!$AF$6:$AF$3005,"保留中")&gt;0,"保留",IF(COUNTIFS(請求記録!$B$6:$B$3005,$A68,請求記録!$Z$6:$Z$3005,O$5)=0,"",SUMIFS(請求記録!$AE$6:$AE$3005,請求記録!$B$6:$B$3005,$A68,請求記録!$Z$6:$Z$3005,O$5))))</f>
        <v/>
      </c>
      <c r="P68" s="19">
        <f>IF($A68="","",IF(COUNTIFS(請求記録!$B$6:$B$3005,$A68,請求記録!$Z$6:$Z$3005,P$5,請求記録!$AF$6:$AF$3005,"保留中")&gt;0,"保留",IF(COUNTIFS(請求記録!$B$6:$B$3005,$A68,請求記録!$Z$6:$Z$3005,P$5)=0,"",SUMIFS(請求記録!$AE$6:$AE$3005,請求記録!$B$6:$B$3005,$A68,請求記録!$Z$6:$Z$3005,P$5))))</f>
        <v/>
      </c>
      <c r="Q68" s="19">
        <f>IF($A68="","",IF(COUNTIFS(請求記録!$B$6:$B$3005,$A68,請求記録!$Z$6:$Z$3005,Q$5,請求記録!$AF$6:$AF$3005,"保留中")&gt;0,"保留",IF(COUNTIFS(請求記録!$B$6:$B$3005,$A68,請求記録!$Z$6:$Z$3005,Q$5)=0,"",SUMIFS(請求記録!$AE$6:$AE$3005,請求記録!$B$6:$B$3005,$A68,請求記録!$Z$6:$Z$3005,Q$5))))</f>
        <v/>
      </c>
      <c r="R68" s="19">
        <f>IF($A68="","",IF(COUNTIFS(請求記録!$B$6:$B$3005,$A68,請求記録!$Z$6:$Z$3005,R$5,請求記録!$AF$6:$AF$3005,"保留中")&gt;0,"保留",IF(COUNTIFS(請求記録!$B$6:$B$3005,$A68,請求記録!$Z$6:$Z$3005,R$5)=0,"",SUMIFS(請求記録!$AE$6:$AE$3005,請求記録!$B$6:$B$3005,$A68,請求記録!$Z$6:$Z$3005,R$5))))</f>
        <v/>
      </c>
      <c r="S68" s="19">
        <f>IF($A68="","",IF(COUNTIFS(請求記録!$B$6:$B$3005,$A68,請求記録!$Z$6:$Z$3005,S$5,請求記録!$AF$6:$AF$3005,"保留中")&gt;0,"保留",IF(COUNTIFS(請求記録!$B$6:$B$3005,$A68,請求記録!$Z$6:$Z$3005,S$5)=0,"",SUMIFS(請求記録!$AE$6:$AE$3005,請求記録!$B$6:$B$3005,$A68,請求記録!$Z$6:$Z$3005,S$5))))</f>
        <v/>
      </c>
      <c r="T68" s="19">
        <f>IF($A68="","",IF(COUNTIFS(請求記録!$B$6:$B$3005,$A68,請求記録!$Z$6:$Z$3005,T$5,請求記録!$AF$6:$AF$3005,"保留中")&gt;0,"保留",IF(COUNTIFS(請求記録!$B$6:$B$3005,$A68,請求記録!$Z$6:$Z$3005,T$5)=0,"",SUMIFS(請求記録!$AE$6:$AE$3005,請求記録!$B$6:$B$3005,$A68,請求記録!$Z$6:$Z$3005,T$5))))</f>
        <v/>
      </c>
      <c r="U68" s="19">
        <f>IF($A68="","",IF(COUNTIFS(請求記録!$B$6:$B$3005,$A68,請求記録!$Z$6:$Z$3005,U$5,請求記録!$AF$6:$AF$3005,"保留中")&gt;0,"保留",IF(COUNTIFS(請求記録!$B$6:$B$3005,$A68,請求記録!$Z$6:$Z$3005,U$5)=0,"",SUMIFS(請求記録!$AE$6:$AE$3005,請求記録!$B$6:$B$3005,$A68,請求記録!$Z$6:$Z$3005,U$5))))</f>
        <v/>
      </c>
      <c r="V68" s="19">
        <f>IF($A68="","",IF(COUNTIFS(請求記録!$B$6:$B$3005,$A68,請求記録!$Z$6:$Z$3005,V$5,請求記録!$AF$6:$AF$3005,"保留中")&gt;0,"保留",IF(COUNTIFS(請求記録!$B$6:$B$3005,$A68,請求記録!$Z$6:$Z$3005,V$5)=0,"",SUMIFS(請求記録!$AE$6:$AE$3005,請求記録!$B$6:$B$3005,$A68,請求記録!$Z$6:$Z$3005,V$5))))</f>
        <v/>
      </c>
      <c r="W68" s="19">
        <f>IF($A68="","",IF(COUNTIFS(請求記録!$B$6:$B$3005,$A68,請求記録!$Z$6:$Z$3005,W$5,請求記録!$AF$6:$AF$3005,"保留中")&gt;0,"保留",IF(COUNTIFS(請求記録!$B$6:$B$3005,$A68,請求記録!$Z$6:$Z$3005,W$5)=0,"",SUMIFS(請求記録!$AE$6:$AE$3005,請求記録!$B$6:$B$3005,$A68,請求記録!$Z$6:$Z$3005,W$5))))</f>
        <v/>
      </c>
      <c r="X68" s="19">
        <f>IF($A68="","",IF(COUNTIFS(請求記録!$B$6:$B$3005,$A68,請求記録!$Z$6:$Z$3005,X$5,請求記録!$AF$6:$AF$3005,"保留中")&gt;0,"保留",IF(COUNTIFS(請求記録!$B$6:$B$3005,$A68,請求記録!$Z$6:$Z$3005,X$5)=0,"",SUMIFS(請求記録!$AE$6:$AE$3005,請求記録!$B$6:$B$3005,$A68,請求記録!$Z$6:$Z$3005,X$5))))</f>
        <v/>
      </c>
      <c r="Y68" s="19">
        <f>IF($A68="","",IF(COUNTIFS(請求記録!$B$6:$B$3005,$A68,請求記録!$Z$6:$Z$3005,Y$5,請求記録!$AF$6:$AF$3005,"保留中")&gt;0,"保留",IF(COUNTIFS(請求記録!$B$6:$B$3005,$A68,請求記録!$Z$6:$Z$3005,Y$5)=0,"",SUMIFS(請求記録!$AE$6:$AE$3005,請求記録!$B$6:$B$3005,$A68,請求記録!$Z$6:$Z$3005,Y$5))))</f>
        <v/>
      </c>
      <c r="Z68" s="19">
        <f>IF($A68="","",IF(COUNTIFS(請求記録!$B$6:$B$3005,$A68,請求記録!$Z$6:$Z$3005,Z$5,請求記録!$AF$6:$AF$3005,"保留中")&gt;0,"保留",IF(COUNTIFS(請求記録!$B$6:$B$3005,$A68,請求記録!$Z$6:$Z$3005,Z$5)=0,"",SUMIFS(請求記録!$AE$6:$AE$3005,請求記録!$B$6:$B$3005,$A68,請求記録!$Z$6:$Z$3005,Z$5))))</f>
        <v/>
      </c>
      <c r="AA68" s="19">
        <f>IF($A68="","",IF(COUNTIFS(請求記録!$B$6:$B$3005,$A68,請求記録!$Z$6:$Z$3005,AA$5,請求記録!$AF$6:$AF$3005,"保留中")&gt;0,"保留",IF(COUNTIFS(請求記録!$B$6:$B$3005,$A68,請求記録!$Z$6:$Z$3005,AA$5)=0,"",SUMIFS(請求記録!$AE$6:$AE$3005,請求記録!$B$6:$B$3005,$A68,請求記録!$Z$6:$Z$3005,AA$5))))</f>
        <v/>
      </c>
      <c r="AB68">
        <f>IF(職員マスタ!P68="保留中",職員マスタ!M68,"")</f>
        <v/>
      </c>
    </row>
    <row r="69">
      <c r="A69">
        <f>IF(職員マスタ!A69="","",職員マスタ!A69)</f>
        <v/>
      </c>
      <c r="B69">
        <f>IF($A69="","",職員マスタ!B69)</f>
        <v/>
      </c>
      <c r="C69">
        <f>IF($A69="","",職員マスタ!C69)</f>
        <v/>
      </c>
      <c r="D69" s="19">
        <f>IF($A69="","",IF(COUNTIFS(請求記録!$B$6:$B$3005,$A69,請求記録!$Z$6:$Z$3005,D$5,請求記録!$AF$6:$AF$3005,"保留中")&gt;0,"保留",IF(COUNTIFS(請求記録!$B$6:$B$3005,$A69,請求記録!$Z$6:$Z$3005,D$5)=0,"",SUMIFS(請求記録!$AE$6:$AE$3005,請求記録!$B$6:$B$3005,$A69,請求記録!$Z$6:$Z$3005,D$5))))</f>
        <v/>
      </c>
      <c r="E69" s="19">
        <f>IF($A69="","",IF(COUNTIFS(請求記録!$B$6:$B$3005,$A69,請求記録!$Z$6:$Z$3005,E$5,請求記録!$AF$6:$AF$3005,"保留中")&gt;0,"保留",IF(COUNTIFS(請求記録!$B$6:$B$3005,$A69,請求記録!$Z$6:$Z$3005,E$5)=0,"",SUMIFS(請求記録!$AE$6:$AE$3005,請求記録!$B$6:$B$3005,$A69,請求記録!$Z$6:$Z$3005,E$5))))</f>
        <v/>
      </c>
      <c r="F69" s="19">
        <f>IF($A69="","",IF(COUNTIFS(請求記録!$B$6:$B$3005,$A69,請求記録!$Z$6:$Z$3005,F$5,請求記録!$AF$6:$AF$3005,"保留中")&gt;0,"保留",IF(COUNTIFS(請求記録!$B$6:$B$3005,$A69,請求記録!$Z$6:$Z$3005,F$5)=0,"",SUMIFS(請求記録!$AE$6:$AE$3005,請求記録!$B$6:$B$3005,$A69,請求記録!$Z$6:$Z$3005,F$5))))</f>
        <v/>
      </c>
      <c r="G69" s="19">
        <f>IF($A69="","",IF(COUNTIFS(請求記録!$B$6:$B$3005,$A69,請求記録!$Z$6:$Z$3005,G$5,請求記録!$AF$6:$AF$3005,"保留中")&gt;0,"保留",IF(COUNTIFS(請求記録!$B$6:$B$3005,$A69,請求記録!$Z$6:$Z$3005,G$5)=0,"",SUMIFS(請求記録!$AE$6:$AE$3005,請求記録!$B$6:$B$3005,$A69,請求記録!$Z$6:$Z$3005,G$5))))</f>
        <v/>
      </c>
      <c r="H69" s="19">
        <f>IF($A69="","",IF(COUNTIFS(請求記録!$B$6:$B$3005,$A69,請求記録!$Z$6:$Z$3005,H$5,請求記録!$AF$6:$AF$3005,"保留中")&gt;0,"保留",IF(COUNTIFS(請求記録!$B$6:$B$3005,$A69,請求記録!$Z$6:$Z$3005,H$5)=0,"",SUMIFS(請求記録!$AE$6:$AE$3005,請求記録!$B$6:$B$3005,$A69,請求記録!$Z$6:$Z$3005,H$5))))</f>
        <v/>
      </c>
      <c r="I69" s="19">
        <f>IF($A69="","",IF(COUNTIFS(請求記録!$B$6:$B$3005,$A69,請求記録!$Z$6:$Z$3005,I$5,請求記録!$AF$6:$AF$3005,"保留中")&gt;0,"保留",IF(COUNTIFS(請求記録!$B$6:$B$3005,$A69,請求記録!$Z$6:$Z$3005,I$5)=0,"",SUMIFS(請求記録!$AE$6:$AE$3005,請求記録!$B$6:$B$3005,$A69,請求記録!$Z$6:$Z$3005,I$5))))</f>
        <v/>
      </c>
      <c r="J69" s="19">
        <f>IF($A69="","",IF(COUNTIFS(請求記録!$B$6:$B$3005,$A69,請求記録!$Z$6:$Z$3005,J$5,請求記録!$AF$6:$AF$3005,"保留中")&gt;0,"保留",IF(COUNTIFS(請求記録!$B$6:$B$3005,$A69,請求記録!$Z$6:$Z$3005,J$5)=0,"",SUMIFS(請求記録!$AE$6:$AE$3005,請求記録!$B$6:$B$3005,$A69,請求記録!$Z$6:$Z$3005,J$5))))</f>
        <v/>
      </c>
      <c r="K69" s="19">
        <f>IF($A69="","",IF(COUNTIFS(請求記録!$B$6:$B$3005,$A69,請求記録!$Z$6:$Z$3005,K$5,請求記録!$AF$6:$AF$3005,"保留中")&gt;0,"保留",IF(COUNTIFS(請求記録!$B$6:$B$3005,$A69,請求記録!$Z$6:$Z$3005,K$5)=0,"",SUMIFS(請求記録!$AE$6:$AE$3005,請求記録!$B$6:$B$3005,$A69,請求記録!$Z$6:$Z$3005,K$5))))</f>
        <v/>
      </c>
      <c r="L69" s="19">
        <f>IF($A69="","",IF(COUNTIFS(請求記録!$B$6:$B$3005,$A69,請求記録!$Z$6:$Z$3005,L$5,請求記録!$AF$6:$AF$3005,"保留中")&gt;0,"保留",IF(COUNTIFS(請求記録!$B$6:$B$3005,$A69,請求記録!$Z$6:$Z$3005,L$5)=0,"",SUMIFS(請求記録!$AE$6:$AE$3005,請求記録!$B$6:$B$3005,$A69,請求記録!$Z$6:$Z$3005,L$5))))</f>
        <v/>
      </c>
      <c r="M69" s="19">
        <f>IF($A69="","",IF(COUNTIFS(請求記録!$B$6:$B$3005,$A69,請求記録!$Z$6:$Z$3005,M$5,請求記録!$AF$6:$AF$3005,"保留中")&gt;0,"保留",IF(COUNTIFS(請求記録!$B$6:$B$3005,$A69,請求記録!$Z$6:$Z$3005,M$5)=0,"",SUMIFS(請求記録!$AE$6:$AE$3005,請求記録!$B$6:$B$3005,$A69,請求記録!$Z$6:$Z$3005,M$5))))</f>
        <v/>
      </c>
      <c r="N69" s="19">
        <f>IF($A69="","",IF(COUNTIFS(請求記録!$B$6:$B$3005,$A69,請求記録!$Z$6:$Z$3005,N$5,請求記録!$AF$6:$AF$3005,"保留中")&gt;0,"保留",IF(COUNTIFS(請求記録!$B$6:$B$3005,$A69,請求記録!$Z$6:$Z$3005,N$5)=0,"",SUMIFS(請求記録!$AE$6:$AE$3005,請求記録!$B$6:$B$3005,$A69,請求記録!$Z$6:$Z$3005,N$5))))</f>
        <v/>
      </c>
      <c r="O69" s="19">
        <f>IF($A69="","",IF(COUNTIFS(請求記録!$B$6:$B$3005,$A69,請求記録!$Z$6:$Z$3005,O$5,請求記録!$AF$6:$AF$3005,"保留中")&gt;0,"保留",IF(COUNTIFS(請求記録!$B$6:$B$3005,$A69,請求記録!$Z$6:$Z$3005,O$5)=0,"",SUMIFS(請求記録!$AE$6:$AE$3005,請求記録!$B$6:$B$3005,$A69,請求記録!$Z$6:$Z$3005,O$5))))</f>
        <v/>
      </c>
      <c r="P69" s="19">
        <f>IF($A69="","",IF(COUNTIFS(請求記録!$B$6:$B$3005,$A69,請求記録!$Z$6:$Z$3005,P$5,請求記録!$AF$6:$AF$3005,"保留中")&gt;0,"保留",IF(COUNTIFS(請求記録!$B$6:$B$3005,$A69,請求記録!$Z$6:$Z$3005,P$5)=0,"",SUMIFS(請求記録!$AE$6:$AE$3005,請求記録!$B$6:$B$3005,$A69,請求記録!$Z$6:$Z$3005,P$5))))</f>
        <v/>
      </c>
      <c r="Q69" s="19">
        <f>IF($A69="","",IF(COUNTIFS(請求記録!$B$6:$B$3005,$A69,請求記録!$Z$6:$Z$3005,Q$5,請求記録!$AF$6:$AF$3005,"保留中")&gt;0,"保留",IF(COUNTIFS(請求記録!$B$6:$B$3005,$A69,請求記録!$Z$6:$Z$3005,Q$5)=0,"",SUMIFS(請求記録!$AE$6:$AE$3005,請求記録!$B$6:$B$3005,$A69,請求記録!$Z$6:$Z$3005,Q$5))))</f>
        <v/>
      </c>
      <c r="R69" s="19">
        <f>IF($A69="","",IF(COUNTIFS(請求記録!$B$6:$B$3005,$A69,請求記録!$Z$6:$Z$3005,R$5,請求記録!$AF$6:$AF$3005,"保留中")&gt;0,"保留",IF(COUNTIFS(請求記録!$B$6:$B$3005,$A69,請求記録!$Z$6:$Z$3005,R$5)=0,"",SUMIFS(請求記録!$AE$6:$AE$3005,請求記録!$B$6:$B$3005,$A69,請求記録!$Z$6:$Z$3005,R$5))))</f>
        <v/>
      </c>
      <c r="S69" s="19">
        <f>IF($A69="","",IF(COUNTIFS(請求記録!$B$6:$B$3005,$A69,請求記録!$Z$6:$Z$3005,S$5,請求記録!$AF$6:$AF$3005,"保留中")&gt;0,"保留",IF(COUNTIFS(請求記録!$B$6:$B$3005,$A69,請求記録!$Z$6:$Z$3005,S$5)=0,"",SUMIFS(請求記録!$AE$6:$AE$3005,請求記録!$B$6:$B$3005,$A69,請求記録!$Z$6:$Z$3005,S$5))))</f>
        <v/>
      </c>
      <c r="T69" s="19">
        <f>IF($A69="","",IF(COUNTIFS(請求記録!$B$6:$B$3005,$A69,請求記録!$Z$6:$Z$3005,T$5,請求記録!$AF$6:$AF$3005,"保留中")&gt;0,"保留",IF(COUNTIFS(請求記録!$B$6:$B$3005,$A69,請求記録!$Z$6:$Z$3005,T$5)=0,"",SUMIFS(請求記録!$AE$6:$AE$3005,請求記録!$B$6:$B$3005,$A69,請求記録!$Z$6:$Z$3005,T$5))))</f>
        <v/>
      </c>
      <c r="U69" s="19">
        <f>IF($A69="","",IF(COUNTIFS(請求記録!$B$6:$B$3005,$A69,請求記録!$Z$6:$Z$3005,U$5,請求記録!$AF$6:$AF$3005,"保留中")&gt;0,"保留",IF(COUNTIFS(請求記録!$B$6:$B$3005,$A69,請求記録!$Z$6:$Z$3005,U$5)=0,"",SUMIFS(請求記録!$AE$6:$AE$3005,請求記録!$B$6:$B$3005,$A69,請求記録!$Z$6:$Z$3005,U$5))))</f>
        <v/>
      </c>
      <c r="V69" s="19">
        <f>IF($A69="","",IF(COUNTIFS(請求記録!$B$6:$B$3005,$A69,請求記録!$Z$6:$Z$3005,V$5,請求記録!$AF$6:$AF$3005,"保留中")&gt;0,"保留",IF(COUNTIFS(請求記録!$B$6:$B$3005,$A69,請求記録!$Z$6:$Z$3005,V$5)=0,"",SUMIFS(請求記録!$AE$6:$AE$3005,請求記録!$B$6:$B$3005,$A69,請求記録!$Z$6:$Z$3005,V$5))))</f>
        <v/>
      </c>
      <c r="W69" s="19">
        <f>IF($A69="","",IF(COUNTIFS(請求記録!$B$6:$B$3005,$A69,請求記録!$Z$6:$Z$3005,W$5,請求記録!$AF$6:$AF$3005,"保留中")&gt;0,"保留",IF(COUNTIFS(請求記録!$B$6:$B$3005,$A69,請求記録!$Z$6:$Z$3005,W$5)=0,"",SUMIFS(請求記録!$AE$6:$AE$3005,請求記録!$B$6:$B$3005,$A69,請求記録!$Z$6:$Z$3005,W$5))))</f>
        <v/>
      </c>
      <c r="X69" s="19">
        <f>IF($A69="","",IF(COUNTIFS(請求記録!$B$6:$B$3005,$A69,請求記録!$Z$6:$Z$3005,X$5,請求記録!$AF$6:$AF$3005,"保留中")&gt;0,"保留",IF(COUNTIFS(請求記録!$B$6:$B$3005,$A69,請求記録!$Z$6:$Z$3005,X$5)=0,"",SUMIFS(請求記録!$AE$6:$AE$3005,請求記録!$B$6:$B$3005,$A69,請求記録!$Z$6:$Z$3005,X$5))))</f>
        <v/>
      </c>
      <c r="Y69" s="19">
        <f>IF($A69="","",IF(COUNTIFS(請求記録!$B$6:$B$3005,$A69,請求記録!$Z$6:$Z$3005,Y$5,請求記録!$AF$6:$AF$3005,"保留中")&gt;0,"保留",IF(COUNTIFS(請求記録!$B$6:$B$3005,$A69,請求記録!$Z$6:$Z$3005,Y$5)=0,"",SUMIFS(請求記録!$AE$6:$AE$3005,請求記録!$B$6:$B$3005,$A69,請求記録!$Z$6:$Z$3005,Y$5))))</f>
        <v/>
      </c>
      <c r="Z69" s="19">
        <f>IF($A69="","",IF(COUNTIFS(請求記録!$B$6:$B$3005,$A69,請求記録!$Z$6:$Z$3005,Z$5,請求記録!$AF$6:$AF$3005,"保留中")&gt;0,"保留",IF(COUNTIFS(請求記録!$B$6:$B$3005,$A69,請求記録!$Z$6:$Z$3005,Z$5)=0,"",SUMIFS(請求記録!$AE$6:$AE$3005,請求記録!$B$6:$B$3005,$A69,請求記録!$Z$6:$Z$3005,Z$5))))</f>
        <v/>
      </c>
      <c r="AA69" s="19">
        <f>IF($A69="","",IF(COUNTIFS(請求記録!$B$6:$B$3005,$A69,請求記録!$Z$6:$Z$3005,AA$5,請求記録!$AF$6:$AF$3005,"保留中")&gt;0,"保留",IF(COUNTIFS(請求記録!$B$6:$B$3005,$A69,請求記録!$Z$6:$Z$3005,AA$5)=0,"",SUMIFS(請求記録!$AE$6:$AE$3005,請求記録!$B$6:$B$3005,$A69,請求記録!$Z$6:$Z$3005,AA$5))))</f>
        <v/>
      </c>
      <c r="AB69">
        <f>IF(職員マスタ!P69="保留中",職員マスタ!M69,"")</f>
        <v/>
      </c>
    </row>
    <row r="70">
      <c r="A70">
        <f>IF(職員マスタ!A70="","",職員マスタ!A70)</f>
        <v/>
      </c>
      <c r="B70">
        <f>IF($A70="","",職員マスタ!B70)</f>
        <v/>
      </c>
      <c r="C70">
        <f>IF($A70="","",職員マスタ!C70)</f>
        <v/>
      </c>
      <c r="D70" s="19">
        <f>IF($A70="","",IF(COUNTIFS(請求記録!$B$6:$B$3005,$A70,請求記録!$Z$6:$Z$3005,D$5,請求記録!$AF$6:$AF$3005,"保留中")&gt;0,"保留",IF(COUNTIFS(請求記録!$B$6:$B$3005,$A70,請求記録!$Z$6:$Z$3005,D$5)=0,"",SUMIFS(請求記録!$AE$6:$AE$3005,請求記録!$B$6:$B$3005,$A70,請求記録!$Z$6:$Z$3005,D$5))))</f>
        <v/>
      </c>
      <c r="E70" s="19">
        <f>IF($A70="","",IF(COUNTIFS(請求記録!$B$6:$B$3005,$A70,請求記録!$Z$6:$Z$3005,E$5,請求記録!$AF$6:$AF$3005,"保留中")&gt;0,"保留",IF(COUNTIFS(請求記録!$B$6:$B$3005,$A70,請求記録!$Z$6:$Z$3005,E$5)=0,"",SUMIFS(請求記録!$AE$6:$AE$3005,請求記録!$B$6:$B$3005,$A70,請求記録!$Z$6:$Z$3005,E$5))))</f>
        <v/>
      </c>
      <c r="F70" s="19">
        <f>IF($A70="","",IF(COUNTIFS(請求記録!$B$6:$B$3005,$A70,請求記録!$Z$6:$Z$3005,F$5,請求記録!$AF$6:$AF$3005,"保留中")&gt;0,"保留",IF(COUNTIFS(請求記録!$B$6:$B$3005,$A70,請求記録!$Z$6:$Z$3005,F$5)=0,"",SUMIFS(請求記録!$AE$6:$AE$3005,請求記録!$B$6:$B$3005,$A70,請求記録!$Z$6:$Z$3005,F$5))))</f>
        <v/>
      </c>
      <c r="G70" s="19">
        <f>IF($A70="","",IF(COUNTIFS(請求記録!$B$6:$B$3005,$A70,請求記録!$Z$6:$Z$3005,G$5,請求記録!$AF$6:$AF$3005,"保留中")&gt;0,"保留",IF(COUNTIFS(請求記録!$B$6:$B$3005,$A70,請求記録!$Z$6:$Z$3005,G$5)=0,"",SUMIFS(請求記録!$AE$6:$AE$3005,請求記録!$B$6:$B$3005,$A70,請求記録!$Z$6:$Z$3005,G$5))))</f>
        <v/>
      </c>
      <c r="H70" s="19">
        <f>IF($A70="","",IF(COUNTIFS(請求記録!$B$6:$B$3005,$A70,請求記録!$Z$6:$Z$3005,H$5,請求記録!$AF$6:$AF$3005,"保留中")&gt;0,"保留",IF(COUNTIFS(請求記録!$B$6:$B$3005,$A70,請求記録!$Z$6:$Z$3005,H$5)=0,"",SUMIFS(請求記録!$AE$6:$AE$3005,請求記録!$B$6:$B$3005,$A70,請求記録!$Z$6:$Z$3005,H$5))))</f>
        <v/>
      </c>
      <c r="I70" s="19">
        <f>IF($A70="","",IF(COUNTIFS(請求記録!$B$6:$B$3005,$A70,請求記録!$Z$6:$Z$3005,I$5,請求記録!$AF$6:$AF$3005,"保留中")&gt;0,"保留",IF(COUNTIFS(請求記録!$B$6:$B$3005,$A70,請求記録!$Z$6:$Z$3005,I$5)=0,"",SUMIFS(請求記録!$AE$6:$AE$3005,請求記録!$B$6:$B$3005,$A70,請求記録!$Z$6:$Z$3005,I$5))))</f>
        <v/>
      </c>
      <c r="J70" s="19">
        <f>IF($A70="","",IF(COUNTIFS(請求記録!$B$6:$B$3005,$A70,請求記録!$Z$6:$Z$3005,J$5,請求記録!$AF$6:$AF$3005,"保留中")&gt;0,"保留",IF(COUNTIFS(請求記録!$B$6:$B$3005,$A70,請求記録!$Z$6:$Z$3005,J$5)=0,"",SUMIFS(請求記録!$AE$6:$AE$3005,請求記録!$B$6:$B$3005,$A70,請求記録!$Z$6:$Z$3005,J$5))))</f>
        <v/>
      </c>
      <c r="K70" s="19">
        <f>IF($A70="","",IF(COUNTIFS(請求記録!$B$6:$B$3005,$A70,請求記録!$Z$6:$Z$3005,K$5,請求記録!$AF$6:$AF$3005,"保留中")&gt;0,"保留",IF(COUNTIFS(請求記録!$B$6:$B$3005,$A70,請求記録!$Z$6:$Z$3005,K$5)=0,"",SUMIFS(請求記録!$AE$6:$AE$3005,請求記録!$B$6:$B$3005,$A70,請求記録!$Z$6:$Z$3005,K$5))))</f>
        <v/>
      </c>
      <c r="L70" s="19">
        <f>IF($A70="","",IF(COUNTIFS(請求記録!$B$6:$B$3005,$A70,請求記録!$Z$6:$Z$3005,L$5,請求記録!$AF$6:$AF$3005,"保留中")&gt;0,"保留",IF(COUNTIFS(請求記録!$B$6:$B$3005,$A70,請求記録!$Z$6:$Z$3005,L$5)=0,"",SUMIFS(請求記録!$AE$6:$AE$3005,請求記録!$B$6:$B$3005,$A70,請求記録!$Z$6:$Z$3005,L$5))))</f>
        <v/>
      </c>
      <c r="M70" s="19">
        <f>IF($A70="","",IF(COUNTIFS(請求記録!$B$6:$B$3005,$A70,請求記録!$Z$6:$Z$3005,M$5,請求記録!$AF$6:$AF$3005,"保留中")&gt;0,"保留",IF(COUNTIFS(請求記録!$B$6:$B$3005,$A70,請求記録!$Z$6:$Z$3005,M$5)=0,"",SUMIFS(請求記録!$AE$6:$AE$3005,請求記録!$B$6:$B$3005,$A70,請求記録!$Z$6:$Z$3005,M$5))))</f>
        <v/>
      </c>
      <c r="N70" s="19">
        <f>IF($A70="","",IF(COUNTIFS(請求記録!$B$6:$B$3005,$A70,請求記録!$Z$6:$Z$3005,N$5,請求記録!$AF$6:$AF$3005,"保留中")&gt;0,"保留",IF(COUNTIFS(請求記録!$B$6:$B$3005,$A70,請求記録!$Z$6:$Z$3005,N$5)=0,"",SUMIFS(請求記録!$AE$6:$AE$3005,請求記録!$B$6:$B$3005,$A70,請求記録!$Z$6:$Z$3005,N$5))))</f>
        <v/>
      </c>
      <c r="O70" s="19">
        <f>IF($A70="","",IF(COUNTIFS(請求記録!$B$6:$B$3005,$A70,請求記録!$Z$6:$Z$3005,O$5,請求記録!$AF$6:$AF$3005,"保留中")&gt;0,"保留",IF(COUNTIFS(請求記録!$B$6:$B$3005,$A70,請求記録!$Z$6:$Z$3005,O$5)=0,"",SUMIFS(請求記録!$AE$6:$AE$3005,請求記録!$B$6:$B$3005,$A70,請求記録!$Z$6:$Z$3005,O$5))))</f>
        <v/>
      </c>
      <c r="P70" s="19">
        <f>IF($A70="","",IF(COUNTIFS(請求記録!$B$6:$B$3005,$A70,請求記録!$Z$6:$Z$3005,P$5,請求記録!$AF$6:$AF$3005,"保留中")&gt;0,"保留",IF(COUNTIFS(請求記録!$B$6:$B$3005,$A70,請求記録!$Z$6:$Z$3005,P$5)=0,"",SUMIFS(請求記録!$AE$6:$AE$3005,請求記録!$B$6:$B$3005,$A70,請求記録!$Z$6:$Z$3005,P$5))))</f>
        <v/>
      </c>
      <c r="Q70" s="19">
        <f>IF($A70="","",IF(COUNTIFS(請求記録!$B$6:$B$3005,$A70,請求記録!$Z$6:$Z$3005,Q$5,請求記録!$AF$6:$AF$3005,"保留中")&gt;0,"保留",IF(COUNTIFS(請求記録!$B$6:$B$3005,$A70,請求記録!$Z$6:$Z$3005,Q$5)=0,"",SUMIFS(請求記録!$AE$6:$AE$3005,請求記録!$B$6:$B$3005,$A70,請求記録!$Z$6:$Z$3005,Q$5))))</f>
        <v/>
      </c>
      <c r="R70" s="19">
        <f>IF($A70="","",IF(COUNTIFS(請求記録!$B$6:$B$3005,$A70,請求記録!$Z$6:$Z$3005,R$5,請求記録!$AF$6:$AF$3005,"保留中")&gt;0,"保留",IF(COUNTIFS(請求記録!$B$6:$B$3005,$A70,請求記録!$Z$6:$Z$3005,R$5)=0,"",SUMIFS(請求記録!$AE$6:$AE$3005,請求記録!$B$6:$B$3005,$A70,請求記録!$Z$6:$Z$3005,R$5))))</f>
        <v/>
      </c>
      <c r="S70" s="19">
        <f>IF($A70="","",IF(COUNTIFS(請求記録!$B$6:$B$3005,$A70,請求記録!$Z$6:$Z$3005,S$5,請求記録!$AF$6:$AF$3005,"保留中")&gt;0,"保留",IF(COUNTIFS(請求記録!$B$6:$B$3005,$A70,請求記録!$Z$6:$Z$3005,S$5)=0,"",SUMIFS(請求記録!$AE$6:$AE$3005,請求記録!$B$6:$B$3005,$A70,請求記録!$Z$6:$Z$3005,S$5))))</f>
        <v/>
      </c>
      <c r="T70" s="19">
        <f>IF($A70="","",IF(COUNTIFS(請求記録!$B$6:$B$3005,$A70,請求記録!$Z$6:$Z$3005,T$5,請求記録!$AF$6:$AF$3005,"保留中")&gt;0,"保留",IF(COUNTIFS(請求記録!$B$6:$B$3005,$A70,請求記録!$Z$6:$Z$3005,T$5)=0,"",SUMIFS(請求記録!$AE$6:$AE$3005,請求記録!$B$6:$B$3005,$A70,請求記録!$Z$6:$Z$3005,T$5))))</f>
        <v/>
      </c>
      <c r="U70" s="19">
        <f>IF($A70="","",IF(COUNTIFS(請求記録!$B$6:$B$3005,$A70,請求記録!$Z$6:$Z$3005,U$5,請求記録!$AF$6:$AF$3005,"保留中")&gt;0,"保留",IF(COUNTIFS(請求記録!$B$6:$B$3005,$A70,請求記録!$Z$6:$Z$3005,U$5)=0,"",SUMIFS(請求記録!$AE$6:$AE$3005,請求記録!$B$6:$B$3005,$A70,請求記録!$Z$6:$Z$3005,U$5))))</f>
        <v/>
      </c>
      <c r="V70" s="19">
        <f>IF($A70="","",IF(COUNTIFS(請求記録!$B$6:$B$3005,$A70,請求記録!$Z$6:$Z$3005,V$5,請求記録!$AF$6:$AF$3005,"保留中")&gt;0,"保留",IF(COUNTIFS(請求記録!$B$6:$B$3005,$A70,請求記録!$Z$6:$Z$3005,V$5)=0,"",SUMIFS(請求記録!$AE$6:$AE$3005,請求記録!$B$6:$B$3005,$A70,請求記録!$Z$6:$Z$3005,V$5))))</f>
        <v/>
      </c>
      <c r="W70" s="19">
        <f>IF($A70="","",IF(COUNTIFS(請求記録!$B$6:$B$3005,$A70,請求記録!$Z$6:$Z$3005,W$5,請求記録!$AF$6:$AF$3005,"保留中")&gt;0,"保留",IF(COUNTIFS(請求記録!$B$6:$B$3005,$A70,請求記録!$Z$6:$Z$3005,W$5)=0,"",SUMIFS(請求記録!$AE$6:$AE$3005,請求記録!$B$6:$B$3005,$A70,請求記録!$Z$6:$Z$3005,W$5))))</f>
        <v/>
      </c>
      <c r="X70" s="19">
        <f>IF($A70="","",IF(COUNTIFS(請求記録!$B$6:$B$3005,$A70,請求記録!$Z$6:$Z$3005,X$5,請求記録!$AF$6:$AF$3005,"保留中")&gt;0,"保留",IF(COUNTIFS(請求記録!$B$6:$B$3005,$A70,請求記録!$Z$6:$Z$3005,X$5)=0,"",SUMIFS(請求記録!$AE$6:$AE$3005,請求記録!$B$6:$B$3005,$A70,請求記録!$Z$6:$Z$3005,X$5))))</f>
        <v/>
      </c>
      <c r="Y70" s="19">
        <f>IF($A70="","",IF(COUNTIFS(請求記録!$B$6:$B$3005,$A70,請求記録!$Z$6:$Z$3005,Y$5,請求記録!$AF$6:$AF$3005,"保留中")&gt;0,"保留",IF(COUNTIFS(請求記録!$B$6:$B$3005,$A70,請求記録!$Z$6:$Z$3005,Y$5)=0,"",SUMIFS(請求記録!$AE$6:$AE$3005,請求記録!$B$6:$B$3005,$A70,請求記録!$Z$6:$Z$3005,Y$5))))</f>
        <v/>
      </c>
      <c r="Z70" s="19">
        <f>IF($A70="","",IF(COUNTIFS(請求記録!$B$6:$B$3005,$A70,請求記録!$Z$6:$Z$3005,Z$5,請求記録!$AF$6:$AF$3005,"保留中")&gt;0,"保留",IF(COUNTIFS(請求記録!$B$6:$B$3005,$A70,請求記録!$Z$6:$Z$3005,Z$5)=0,"",SUMIFS(請求記録!$AE$6:$AE$3005,請求記録!$B$6:$B$3005,$A70,請求記録!$Z$6:$Z$3005,Z$5))))</f>
        <v/>
      </c>
      <c r="AA70" s="19">
        <f>IF($A70="","",IF(COUNTIFS(請求記録!$B$6:$B$3005,$A70,請求記録!$Z$6:$Z$3005,AA$5,請求記録!$AF$6:$AF$3005,"保留中")&gt;0,"保留",IF(COUNTIFS(請求記録!$B$6:$B$3005,$A70,請求記録!$Z$6:$Z$3005,AA$5)=0,"",SUMIFS(請求記録!$AE$6:$AE$3005,請求記録!$B$6:$B$3005,$A70,請求記録!$Z$6:$Z$3005,AA$5))))</f>
        <v/>
      </c>
      <c r="AB70">
        <f>IF(職員マスタ!P70="保留中",職員マスタ!M70,"")</f>
        <v/>
      </c>
    </row>
    <row r="71">
      <c r="A71">
        <f>IF(職員マスタ!A71="","",職員マスタ!A71)</f>
        <v/>
      </c>
      <c r="B71">
        <f>IF($A71="","",職員マスタ!B71)</f>
        <v/>
      </c>
      <c r="C71">
        <f>IF($A71="","",職員マスタ!C71)</f>
        <v/>
      </c>
      <c r="D71" s="19">
        <f>IF($A71="","",IF(COUNTIFS(請求記録!$B$6:$B$3005,$A71,請求記録!$Z$6:$Z$3005,D$5,請求記録!$AF$6:$AF$3005,"保留中")&gt;0,"保留",IF(COUNTIFS(請求記録!$B$6:$B$3005,$A71,請求記録!$Z$6:$Z$3005,D$5)=0,"",SUMIFS(請求記録!$AE$6:$AE$3005,請求記録!$B$6:$B$3005,$A71,請求記録!$Z$6:$Z$3005,D$5))))</f>
        <v/>
      </c>
      <c r="E71" s="19">
        <f>IF($A71="","",IF(COUNTIFS(請求記録!$B$6:$B$3005,$A71,請求記録!$Z$6:$Z$3005,E$5,請求記録!$AF$6:$AF$3005,"保留中")&gt;0,"保留",IF(COUNTIFS(請求記録!$B$6:$B$3005,$A71,請求記録!$Z$6:$Z$3005,E$5)=0,"",SUMIFS(請求記録!$AE$6:$AE$3005,請求記録!$B$6:$B$3005,$A71,請求記録!$Z$6:$Z$3005,E$5))))</f>
        <v/>
      </c>
      <c r="F71" s="19">
        <f>IF($A71="","",IF(COUNTIFS(請求記録!$B$6:$B$3005,$A71,請求記録!$Z$6:$Z$3005,F$5,請求記録!$AF$6:$AF$3005,"保留中")&gt;0,"保留",IF(COUNTIFS(請求記録!$B$6:$B$3005,$A71,請求記録!$Z$6:$Z$3005,F$5)=0,"",SUMIFS(請求記録!$AE$6:$AE$3005,請求記録!$B$6:$B$3005,$A71,請求記録!$Z$6:$Z$3005,F$5))))</f>
        <v/>
      </c>
      <c r="G71" s="19">
        <f>IF($A71="","",IF(COUNTIFS(請求記録!$B$6:$B$3005,$A71,請求記録!$Z$6:$Z$3005,G$5,請求記録!$AF$6:$AF$3005,"保留中")&gt;0,"保留",IF(COUNTIFS(請求記録!$B$6:$B$3005,$A71,請求記録!$Z$6:$Z$3005,G$5)=0,"",SUMIFS(請求記録!$AE$6:$AE$3005,請求記録!$B$6:$B$3005,$A71,請求記録!$Z$6:$Z$3005,G$5))))</f>
        <v/>
      </c>
      <c r="H71" s="19">
        <f>IF($A71="","",IF(COUNTIFS(請求記録!$B$6:$B$3005,$A71,請求記録!$Z$6:$Z$3005,H$5,請求記録!$AF$6:$AF$3005,"保留中")&gt;0,"保留",IF(COUNTIFS(請求記録!$B$6:$B$3005,$A71,請求記録!$Z$6:$Z$3005,H$5)=0,"",SUMIFS(請求記録!$AE$6:$AE$3005,請求記録!$B$6:$B$3005,$A71,請求記録!$Z$6:$Z$3005,H$5))))</f>
        <v/>
      </c>
      <c r="I71" s="19">
        <f>IF($A71="","",IF(COUNTIFS(請求記録!$B$6:$B$3005,$A71,請求記録!$Z$6:$Z$3005,I$5,請求記録!$AF$6:$AF$3005,"保留中")&gt;0,"保留",IF(COUNTIFS(請求記録!$B$6:$B$3005,$A71,請求記録!$Z$6:$Z$3005,I$5)=0,"",SUMIFS(請求記録!$AE$6:$AE$3005,請求記録!$B$6:$B$3005,$A71,請求記録!$Z$6:$Z$3005,I$5))))</f>
        <v/>
      </c>
      <c r="J71" s="19">
        <f>IF($A71="","",IF(COUNTIFS(請求記録!$B$6:$B$3005,$A71,請求記録!$Z$6:$Z$3005,J$5,請求記録!$AF$6:$AF$3005,"保留中")&gt;0,"保留",IF(COUNTIFS(請求記録!$B$6:$B$3005,$A71,請求記録!$Z$6:$Z$3005,J$5)=0,"",SUMIFS(請求記録!$AE$6:$AE$3005,請求記録!$B$6:$B$3005,$A71,請求記録!$Z$6:$Z$3005,J$5))))</f>
        <v/>
      </c>
      <c r="K71" s="19">
        <f>IF($A71="","",IF(COUNTIFS(請求記録!$B$6:$B$3005,$A71,請求記録!$Z$6:$Z$3005,K$5,請求記録!$AF$6:$AF$3005,"保留中")&gt;0,"保留",IF(COUNTIFS(請求記録!$B$6:$B$3005,$A71,請求記録!$Z$6:$Z$3005,K$5)=0,"",SUMIFS(請求記録!$AE$6:$AE$3005,請求記録!$B$6:$B$3005,$A71,請求記録!$Z$6:$Z$3005,K$5))))</f>
        <v/>
      </c>
      <c r="L71" s="19">
        <f>IF($A71="","",IF(COUNTIFS(請求記録!$B$6:$B$3005,$A71,請求記録!$Z$6:$Z$3005,L$5,請求記録!$AF$6:$AF$3005,"保留中")&gt;0,"保留",IF(COUNTIFS(請求記録!$B$6:$B$3005,$A71,請求記録!$Z$6:$Z$3005,L$5)=0,"",SUMIFS(請求記録!$AE$6:$AE$3005,請求記録!$B$6:$B$3005,$A71,請求記録!$Z$6:$Z$3005,L$5))))</f>
        <v/>
      </c>
      <c r="M71" s="19">
        <f>IF($A71="","",IF(COUNTIFS(請求記録!$B$6:$B$3005,$A71,請求記録!$Z$6:$Z$3005,M$5,請求記録!$AF$6:$AF$3005,"保留中")&gt;0,"保留",IF(COUNTIFS(請求記録!$B$6:$B$3005,$A71,請求記録!$Z$6:$Z$3005,M$5)=0,"",SUMIFS(請求記録!$AE$6:$AE$3005,請求記録!$B$6:$B$3005,$A71,請求記録!$Z$6:$Z$3005,M$5))))</f>
        <v/>
      </c>
      <c r="N71" s="19">
        <f>IF($A71="","",IF(COUNTIFS(請求記録!$B$6:$B$3005,$A71,請求記録!$Z$6:$Z$3005,N$5,請求記録!$AF$6:$AF$3005,"保留中")&gt;0,"保留",IF(COUNTIFS(請求記録!$B$6:$B$3005,$A71,請求記録!$Z$6:$Z$3005,N$5)=0,"",SUMIFS(請求記録!$AE$6:$AE$3005,請求記録!$B$6:$B$3005,$A71,請求記録!$Z$6:$Z$3005,N$5))))</f>
        <v/>
      </c>
      <c r="O71" s="19">
        <f>IF($A71="","",IF(COUNTIFS(請求記録!$B$6:$B$3005,$A71,請求記録!$Z$6:$Z$3005,O$5,請求記録!$AF$6:$AF$3005,"保留中")&gt;0,"保留",IF(COUNTIFS(請求記録!$B$6:$B$3005,$A71,請求記録!$Z$6:$Z$3005,O$5)=0,"",SUMIFS(請求記録!$AE$6:$AE$3005,請求記録!$B$6:$B$3005,$A71,請求記録!$Z$6:$Z$3005,O$5))))</f>
        <v/>
      </c>
      <c r="P71" s="19">
        <f>IF($A71="","",IF(COUNTIFS(請求記録!$B$6:$B$3005,$A71,請求記録!$Z$6:$Z$3005,P$5,請求記録!$AF$6:$AF$3005,"保留中")&gt;0,"保留",IF(COUNTIFS(請求記録!$B$6:$B$3005,$A71,請求記録!$Z$6:$Z$3005,P$5)=0,"",SUMIFS(請求記録!$AE$6:$AE$3005,請求記録!$B$6:$B$3005,$A71,請求記録!$Z$6:$Z$3005,P$5))))</f>
        <v/>
      </c>
      <c r="Q71" s="19">
        <f>IF($A71="","",IF(COUNTIFS(請求記録!$B$6:$B$3005,$A71,請求記録!$Z$6:$Z$3005,Q$5,請求記録!$AF$6:$AF$3005,"保留中")&gt;0,"保留",IF(COUNTIFS(請求記録!$B$6:$B$3005,$A71,請求記録!$Z$6:$Z$3005,Q$5)=0,"",SUMIFS(請求記録!$AE$6:$AE$3005,請求記録!$B$6:$B$3005,$A71,請求記録!$Z$6:$Z$3005,Q$5))))</f>
        <v/>
      </c>
      <c r="R71" s="19">
        <f>IF($A71="","",IF(COUNTIFS(請求記録!$B$6:$B$3005,$A71,請求記録!$Z$6:$Z$3005,R$5,請求記録!$AF$6:$AF$3005,"保留中")&gt;0,"保留",IF(COUNTIFS(請求記録!$B$6:$B$3005,$A71,請求記録!$Z$6:$Z$3005,R$5)=0,"",SUMIFS(請求記録!$AE$6:$AE$3005,請求記録!$B$6:$B$3005,$A71,請求記録!$Z$6:$Z$3005,R$5))))</f>
        <v/>
      </c>
      <c r="S71" s="19">
        <f>IF($A71="","",IF(COUNTIFS(請求記録!$B$6:$B$3005,$A71,請求記録!$Z$6:$Z$3005,S$5,請求記録!$AF$6:$AF$3005,"保留中")&gt;0,"保留",IF(COUNTIFS(請求記録!$B$6:$B$3005,$A71,請求記録!$Z$6:$Z$3005,S$5)=0,"",SUMIFS(請求記録!$AE$6:$AE$3005,請求記録!$B$6:$B$3005,$A71,請求記録!$Z$6:$Z$3005,S$5))))</f>
        <v/>
      </c>
      <c r="T71" s="19">
        <f>IF($A71="","",IF(COUNTIFS(請求記録!$B$6:$B$3005,$A71,請求記録!$Z$6:$Z$3005,T$5,請求記録!$AF$6:$AF$3005,"保留中")&gt;0,"保留",IF(COUNTIFS(請求記録!$B$6:$B$3005,$A71,請求記録!$Z$6:$Z$3005,T$5)=0,"",SUMIFS(請求記録!$AE$6:$AE$3005,請求記録!$B$6:$B$3005,$A71,請求記録!$Z$6:$Z$3005,T$5))))</f>
        <v/>
      </c>
      <c r="U71" s="19">
        <f>IF($A71="","",IF(COUNTIFS(請求記録!$B$6:$B$3005,$A71,請求記録!$Z$6:$Z$3005,U$5,請求記録!$AF$6:$AF$3005,"保留中")&gt;0,"保留",IF(COUNTIFS(請求記録!$B$6:$B$3005,$A71,請求記録!$Z$6:$Z$3005,U$5)=0,"",SUMIFS(請求記録!$AE$6:$AE$3005,請求記録!$B$6:$B$3005,$A71,請求記録!$Z$6:$Z$3005,U$5))))</f>
        <v/>
      </c>
      <c r="V71" s="19">
        <f>IF($A71="","",IF(COUNTIFS(請求記録!$B$6:$B$3005,$A71,請求記録!$Z$6:$Z$3005,V$5,請求記録!$AF$6:$AF$3005,"保留中")&gt;0,"保留",IF(COUNTIFS(請求記録!$B$6:$B$3005,$A71,請求記録!$Z$6:$Z$3005,V$5)=0,"",SUMIFS(請求記録!$AE$6:$AE$3005,請求記録!$B$6:$B$3005,$A71,請求記録!$Z$6:$Z$3005,V$5))))</f>
        <v/>
      </c>
      <c r="W71" s="19">
        <f>IF($A71="","",IF(COUNTIFS(請求記録!$B$6:$B$3005,$A71,請求記録!$Z$6:$Z$3005,W$5,請求記録!$AF$6:$AF$3005,"保留中")&gt;0,"保留",IF(COUNTIFS(請求記録!$B$6:$B$3005,$A71,請求記録!$Z$6:$Z$3005,W$5)=0,"",SUMIFS(請求記録!$AE$6:$AE$3005,請求記録!$B$6:$B$3005,$A71,請求記録!$Z$6:$Z$3005,W$5))))</f>
        <v/>
      </c>
      <c r="X71" s="19">
        <f>IF($A71="","",IF(COUNTIFS(請求記録!$B$6:$B$3005,$A71,請求記録!$Z$6:$Z$3005,X$5,請求記録!$AF$6:$AF$3005,"保留中")&gt;0,"保留",IF(COUNTIFS(請求記録!$B$6:$B$3005,$A71,請求記録!$Z$6:$Z$3005,X$5)=0,"",SUMIFS(請求記録!$AE$6:$AE$3005,請求記録!$B$6:$B$3005,$A71,請求記録!$Z$6:$Z$3005,X$5))))</f>
        <v/>
      </c>
      <c r="Y71" s="19">
        <f>IF($A71="","",IF(COUNTIFS(請求記録!$B$6:$B$3005,$A71,請求記録!$Z$6:$Z$3005,Y$5,請求記録!$AF$6:$AF$3005,"保留中")&gt;0,"保留",IF(COUNTIFS(請求記録!$B$6:$B$3005,$A71,請求記録!$Z$6:$Z$3005,Y$5)=0,"",SUMIFS(請求記録!$AE$6:$AE$3005,請求記録!$B$6:$B$3005,$A71,請求記録!$Z$6:$Z$3005,Y$5))))</f>
        <v/>
      </c>
      <c r="Z71" s="19">
        <f>IF($A71="","",IF(COUNTIFS(請求記録!$B$6:$B$3005,$A71,請求記録!$Z$6:$Z$3005,Z$5,請求記録!$AF$6:$AF$3005,"保留中")&gt;0,"保留",IF(COUNTIFS(請求記録!$B$6:$B$3005,$A71,請求記録!$Z$6:$Z$3005,Z$5)=0,"",SUMIFS(請求記録!$AE$6:$AE$3005,請求記録!$B$6:$B$3005,$A71,請求記録!$Z$6:$Z$3005,Z$5))))</f>
        <v/>
      </c>
      <c r="AA71" s="19">
        <f>IF($A71="","",IF(COUNTIFS(請求記録!$B$6:$B$3005,$A71,請求記録!$Z$6:$Z$3005,AA$5,請求記録!$AF$6:$AF$3005,"保留中")&gt;0,"保留",IF(COUNTIFS(請求記録!$B$6:$B$3005,$A71,請求記録!$Z$6:$Z$3005,AA$5)=0,"",SUMIFS(請求記録!$AE$6:$AE$3005,請求記録!$B$6:$B$3005,$A71,請求記録!$Z$6:$Z$3005,AA$5))))</f>
        <v/>
      </c>
      <c r="AB71">
        <f>IF(職員マスタ!P71="保留中",職員マスタ!M71,"")</f>
        <v/>
      </c>
    </row>
    <row r="72">
      <c r="A72">
        <f>IF(職員マスタ!A72="","",職員マスタ!A72)</f>
        <v/>
      </c>
      <c r="B72">
        <f>IF($A72="","",職員マスタ!B72)</f>
        <v/>
      </c>
      <c r="C72">
        <f>IF($A72="","",職員マスタ!C72)</f>
        <v/>
      </c>
      <c r="D72" s="19">
        <f>IF($A72="","",IF(COUNTIFS(請求記録!$B$6:$B$3005,$A72,請求記録!$Z$6:$Z$3005,D$5,請求記録!$AF$6:$AF$3005,"保留中")&gt;0,"保留",IF(COUNTIFS(請求記録!$B$6:$B$3005,$A72,請求記録!$Z$6:$Z$3005,D$5)=0,"",SUMIFS(請求記録!$AE$6:$AE$3005,請求記録!$B$6:$B$3005,$A72,請求記録!$Z$6:$Z$3005,D$5))))</f>
        <v/>
      </c>
      <c r="E72" s="19">
        <f>IF($A72="","",IF(COUNTIFS(請求記録!$B$6:$B$3005,$A72,請求記録!$Z$6:$Z$3005,E$5,請求記録!$AF$6:$AF$3005,"保留中")&gt;0,"保留",IF(COUNTIFS(請求記録!$B$6:$B$3005,$A72,請求記録!$Z$6:$Z$3005,E$5)=0,"",SUMIFS(請求記録!$AE$6:$AE$3005,請求記録!$B$6:$B$3005,$A72,請求記録!$Z$6:$Z$3005,E$5))))</f>
        <v/>
      </c>
      <c r="F72" s="19">
        <f>IF($A72="","",IF(COUNTIFS(請求記録!$B$6:$B$3005,$A72,請求記録!$Z$6:$Z$3005,F$5,請求記録!$AF$6:$AF$3005,"保留中")&gt;0,"保留",IF(COUNTIFS(請求記録!$B$6:$B$3005,$A72,請求記録!$Z$6:$Z$3005,F$5)=0,"",SUMIFS(請求記録!$AE$6:$AE$3005,請求記録!$B$6:$B$3005,$A72,請求記録!$Z$6:$Z$3005,F$5))))</f>
        <v/>
      </c>
      <c r="G72" s="19">
        <f>IF($A72="","",IF(COUNTIFS(請求記録!$B$6:$B$3005,$A72,請求記録!$Z$6:$Z$3005,G$5,請求記録!$AF$6:$AF$3005,"保留中")&gt;0,"保留",IF(COUNTIFS(請求記録!$B$6:$B$3005,$A72,請求記録!$Z$6:$Z$3005,G$5)=0,"",SUMIFS(請求記録!$AE$6:$AE$3005,請求記録!$B$6:$B$3005,$A72,請求記録!$Z$6:$Z$3005,G$5))))</f>
        <v/>
      </c>
      <c r="H72" s="19">
        <f>IF($A72="","",IF(COUNTIFS(請求記録!$B$6:$B$3005,$A72,請求記録!$Z$6:$Z$3005,H$5,請求記録!$AF$6:$AF$3005,"保留中")&gt;0,"保留",IF(COUNTIFS(請求記録!$B$6:$B$3005,$A72,請求記録!$Z$6:$Z$3005,H$5)=0,"",SUMIFS(請求記録!$AE$6:$AE$3005,請求記録!$B$6:$B$3005,$A72,請求記録!$Z$6:$Z$3005,H$5))))</f>
        <v/>
      </c>
      <c r="I72" s="19">
        <f>IF($A72="","",IF(COUNTIFS(請求記録!$B$6:$B$3005,$A72,請求記録!$Z$6:$Z$3005,I$5,請求記録!$AF$6:$AF$3005,"保留中")&gt;0,"保留",IF(COUNTIFS(請求記録!$B$6:$B$3005,$A72,請求記録!$Z$6:$Z$3005,I$5)=0,"",SUMIFS(請求記録!$AE$6:$AE$3005,請求記録!$B$6:$B$3005,$A72,請求記録!$Z$6:$Z$3005,I$5))))</f>
        <v/>
      </c>
      <c r="J72" s="19">
        <f>IF($A72="","",IF(COUNTIFS(請求記録!$B$6:$B$3005,$A72,請求記録!$Z$6:$Z$3005,J$5,請求記録!$AF$6:$AF$3005,"保留中")&gt;0,"保留",IF(COUNTIFS(請求記録!$B$6:$B$3005,$A72,請求記録!$Z$6:$Z$3005,J$5)=0,"",SUMIFS(請求記録!$AE$6:$AE$3005,請求記録!$B$6:$B$3005,$A72,請求記録!$Z$6:$Z$3005,J$5))))</f>
        <v/>
      </c>
      <c r="K72" s="19">
        <f>IF($A72="","",IF(COUNTIFS(請求記録!$B$6:$B$3005,$A72,請求記録!$Z$6:$Z$3005,K$5,請求記録!$AF$6:$AF$3005,"保留中")&gt;0,"保留",IF(COUNTIFS(請求記録!$B$6:$B$3005,$A72,請求記録!$Z$6:$Z$3005,K$5)=0,"",SUMIFS(請求記録!$AE$6:$AE$3005,請求記録!$B$6:$B$3005,$A72,請求記録!$Z$6:$Z$3005,K$5))))</f>
        <v/>
      </c>
      <c r="L72" s="19">
        <f>IF($A72="","",IF(COUNTIFS(請求記録!$B$6:$B$3005,$A72,請求記録!$Z$6:$Z$3005,L$5,請求記録!$AF$6:$AF$3005,"保留中")&gt;0,"保留",IF(COUNTIFS(請求記録!$B$6:$B$3005,$A72,請求記録!$Z$6:$Z$3005,L$5)=0,"",SUMIFS(請求記録!$AE$6:$AE$3005,請求記録!$B$6:$B$3005,$A72,請求記録!$Z$6:$Z$3005,L$5))))</f>
        <v/>
      </c>
      <c r="M72" s="19">
        <f>IF($A72="","",IF(COUNTIFS(請求記録!$B$6:$B$3005,$A72,請求記録!$Z$6:$Z$3005,M$5,請求記録!$AF$6:$AF$3005,"保留中")&gt;0,"保留",IF(COUNTIFS(請求記録!$B$6:$B$3005,$A72,請求記録!$Z$6:$Z$3005,M$5)=0,"",SUMIFS(請求記録!$AE$6:$AE$3005,請求記録!$B$6:$B$3005,$A72,請求記録!$Z$6:$Z$3005,M$5))))</f>
        <v/>
      </c>
      <c r="N72" s="19">
        <f>IF($A72="","",IF(COUNTIFS(請求記録!$B$6:$B$3005,$A72,請求記録!$Z$6:$Z$3005,N$5,請求記録!$AF$6:$AF$3005,"保留中")&gt;0,"保留",IF(COUNTIFS(請求記録!$B$6:$B$3005,$A72,請求記録!$Z$6:$Z$3005,N$5)=0,"",SUMIFS(請求記録!$AE$6:$AE$3005,請求記録!$B$6:$B$3005,$A72,請求記録!$Z$6:$Z$3005,N$5))))</f>
        <v/>
      </c>
      <c r="O72" s="19">
        <f>IF($A72="","",IF(COUNTIFS(請求記録!$B$6:$B$3005,$A72,請求記録!$Z$6:$Z$3005,O$5,請求記録!$AF$6:$AF$3005,"保留中")&gt;0,"保留",IF(COUNTIFS(請求記録!$B$6:$B$3005,$A72,請求記録!$Z$6:$Z$3005,O$5)=0,"",SUMIFS(請求記録!$AE$6:$AE$3005,請求記録!$B$6:$B$3005,$A72,請求記録!$Z$6:$Z$3005,O$5))))</f>
        <v/>
      </c>
      <c r="P72" s="19">
        <f>IF($A72="","",IF(COUNTIFS(請求記録!$B$6:$B$3005,$A72,請求記録!$Z$6:$Z$3005,P$5,請求記録!$AF$6:$AF$3005,"保留中")&gt;0,"保留",IF(COUNTIFS(請求記録!$B$6:$B$3005,$A72,請求記録!$Z$6:$Z$3005,P$5)=0,"",SUMIFS(請求記録!$AE$6:$AE$3005,請求記録!$B$6:$B$3005,$A72,請求記録!$Z$6:$Z$3005,P$5))))</f>
        <v/>
      </c>
      <c r="Q72" s="19">
        <f>IF($A72="","",IF(COUNTIFS(請求記録!$B$6:$B$3005,$A72,請求記録!$Z$6:$Z$3005,Q$5,請求記録!$AF$6:$AF$3005,"保留中")&gt;0,"保留",IF(COUNTIFS(請求記録!$B$6:$B$3005,$A72,請求記録!$Z$6:$Z$3005,Q$5)=0,"",SUMIFS(請求記録!$AE$6:$AE$3005,請求記録!$B$6:$B$3005,$A72,請求記録!$Z$6:$Z$3005,Q$5))))</f>
        <v/>
      </c>
      <c r="R72" s="19">
        <f>IF($A72="","",IF(COUNTIFS(請求記録!$B$6:$B$3005,$A72,請求記録!$Z$6:$Z$3005,R$5,請求記録!$AF$6:$AF$3005,"保留中")&gt;0,"保留",IF(COUNTIFS(請求記録!$B$6:$B$3005,$A72,請求記録!$Z$6:$Z$3005,R$5)=0,"",SUMIFS(請求記録!$AE$6:$AE$3005,請求記録!$B$6:$B$3005,$A72,請求記録!$Z$6:$Z$3005,R$5))))</f>
        <v/>
      </c>
      <c r="S72" s="19">
        <f>IF($A72="","",IF(COUNTIFS(請求記録!$B$6:$B$3005,$A72,請求記録!$Z$6:$Z$3005,S$5,請求記録!$AF$6:$AF$3005,"保留中")&gt;0,"保留",IF(COUNTIFS(請求記録!$B$6:$B$3005,$A72,請求記録!$Z$6:$Z$3005,S$5)=0,"",SUMIFS(請求記録!$AE$6:$AE$3005,請求記録!$B$6:$B$3005,$A72,請求記録!$Z$6:$Z$3005,S$5))))</f>
        <v/>
      </c>
      <c r="T72" s="19">
        <f>IF($A72="","",IF(COUNTIFS(請求記録!$B$6:$B$3005,$A72,請求記録!$Z$6:$Z$3005,T$5,請求記録!$AF$6:$AF$3005,"保留中")&gt;0,"保留",IF(COUNTIFS(請求記録!$B$6:$B$3005,$A72,請求記録!$Z$6:$Z$3005,T$5)=0,"",SUMIFS(請求記録!$AE$6:$AE$3005,請求記録!$B$6:$B$3005,$A72,請求記録!$Z$6:$Z$3005,T$5))))</f>
        <v/>
      </c>
      <c r="U72" s="19">
        <f>IF($A72="","",IF(COUNTIFS(請求記録!$B$6:$B$3005,$A72,請求記録!$Z$6:$Z$3005,U$5,請求記録!$AF$6:$AF$3005,"保留中")&gt;0,"保留",IF(COUNTIFS(請求記録!$B$6:$B$3005,$A72,請求記録!$Z$6:$Z$3005,U$5)=0,"",SUMIFS(請求記録!$AE$6:$AE$3005,請求記録!$B$6:$B$3005,$A72,請求記録!$Z$6:$Z$3005,U$5))))</f>
        <v/>
      </c>
      <c r="V72" s="19">
        <f>IF($A72="","",IF(COUNTIFS(請求記録!$B$6:$B$3005,$A72,請求記録!$Z$6:$Z$3005,V$5,請求記録!$AF$6:$AF$3005,"保留中")&gt;0,"保留",IF(COUNTIFS(請求記録!$B$6:$B$3005,$A72,請求記録!$Z$6:$Z$3005,V$5)=0,"",SUMIFS(請求記録!$AE$6:$AE$3005,請求記録!$B$6:$B$3005,$A72,請求記録!$Z$6:$Z$3005,V$5))))</f>
        <v/>
      </c>
      <c r="W72" s="19">
        <f>IF($A72="","",IF(COUNTIFS(請求記録!$B$6:$B$3005,$A72,請求記録!$Z$6:$Z$3005,W$5,請求記録!$AF$6:$AF$3005,"保留中")&gt;0,"保留",IF(COUNTIFS(請求記録!$B$6:$B$3005,$A72,請求記録!$Z$6:$Z$3005,W$5)=0,"",SUMIFS(請求記録!$AE$6:$AE$3005,請求記録!$B$6:$B$3005,$A72,請求記録!$Z$6:$Z$3005,W$5))))</f>
        <v/>
      </c>
      <c r="X72" s="19">
        <f>IF($A72="","",IF(COUNTIFS(請求記録!$B$6:$B$3005,$A72,請求記録!$Z$6:$Z$3005,X$5,請求記録!$AF$6:$AF$3005,"保留中")&gt;0,"保留",IF(COUNTIFS(請求記録!$B$6:$B$3005,$A72,請求記録!$Z$6:$Z$3005,X$5)=0,"",SUMIFS(請求記録!$AE$6:$AE$3005,請求記録!$B$6:$B$3005,$A72,請求記録!$Z$6:$Z$3005,X$5))))</f>
        <v/>
      </c>
      <c r="Y72" s="19">
        <f>IF($A72="","",IF(COUNTIFS(請求記録!$B$6:$B$3005,$A72,請求記録!$Z$6:$Z$3005,Y$5,請求記録!$AF$6:$AF$3005,"保留中")&gt;0,"保留",IF(COUNTIFS(請求記録!$B$6:$B$3005,$A72,請求記録!$Z$6:$Z$3005,Y$5)=0,"",SUMIFS(請求記録!$AE$6:$AE$3005,請求記録!$B$6:$B$3005,$A72,請求記録!$Z$6:$Z$3005,Y$5))))</f>
        <v/>
      </c>
      <c r="Z72" s="19">
        <f>IF($A72="","",IF(COUNTIFS(請求記録!$B$6:$B$3005,$A72,請求記録!$Z$6:$Z$3005,Z$5,請求記録!$AF$6:$AF$3005,"保留中")&gt;0,"保留",IF(COUNTIFS(請求記録!$B$6:$B$3005,$A72,請求記録!$Z$6:$Z$3005,Z$5)=0,"",SUMIFS(請求記録!$AE$6:$AE$3005,請求記録!$B$6:$B$3005,$A72,請求記録!$Z$6:$Z$3005,Z$5))))</f>
        <v/>
      </c>
      <c r="AA72" s="19">
        <f>IF($A72="","",IF(COUNTIFS(請求記録!$B$6:$B$3005,$A72,請求記録!$Z$6:$Z$3005,AA$5,請求記録!$AF$6:$AF$3005,"保留中")&gt;0,"保留",IF(COUNTIFS(請求記録!$B$6:$B$3005,$A72,請求記録!$Z$6:$Z$3005,AA$5)=0,"",SUMIFS(請求記録!$AE$6:$AE$3005,請求記録!$B$6:$B$3005,$A72,請求記録!$Z$6:$Z$3005,AA$5))))</f>
        <v/>
      </c>
      <c r="AB72">
        <f>IF(職員マスタ!P72="保留中",職員マスタ!M72,"")</f>
        <v/>
      </c>
    </row>
    <row r="73">
      <c r="A73">
        <f>IF(職員マスタ!A73="","",職員マスタ!A73)</f>
        <v/>
      </c>
      <c r="B73">
        <f>IF($A73="","",職員マスタ!B73)</f>
        <v/>
      </c>
      <c r="C73">
        <f>IF($A73="","",職員マスタ!C73)</f>
        <v/>
      </c>
      <c r="D73" s="19">
        <f>IF($A73="","",IF(COUNTIFS(請求記録!$B$6:$B$3005,$A73,請求記録!$Z$6:$Z$3005,D$5,請求記録!$AF$6:$AF$3005,"保留中")&gt;0,"保留",IF(COUNTIFS(請求記録!$B$6:$B$3005,$A73,請求記録!$Z$6:$Z$3005,D$5)=0,"",SUMIFS(請求記録!$AE$6:$AE$3005,請求記録!$B$6:$B$3005,$A73,請求記録!$Z$6:$Z$3005,D$5))))</f>
        <v/>
      </c>
      <c r="E73" s="19">
        <f>IF($A73="","",IF(COUNTIFS(請求記録!$B$6:$B$3005,$A73,請求記録!$Z$6:$Z$3005,E$5,請求記録!$AF$6:$AF$3005,"保留中")&gt;0,"保留",IF(COUNTIFS(請求記録!$B$6:$B$3005,$A73,請求記録!$Z$6:$Z$3005,E$5)=0,"",SUMIFS(請求記録!$AE$6:$AE$3005,請求記録!$B$6:$B$3005,$A73,請求記録!$Z$6:$Z$3005,E$5))))</f>
        <v/>
      </c>
      <c r="F73" s="19">
        <f>IF($A73="","",IF(COUNTIFS(請求記録!$B$6:$B$3005,$A73,請求記録!$Z$6:$Z$3005,F$5,請求記録!$AF$6:$AF$3005,"保留中")&gt;0,"保留",IF(COUNTIFS(請求記録!$B$6:$B$3005,$A73,請求記録!$Z$6:$Z$3005,F$5)=0,"",SUMIFS(請求記録!$AE$6:$AE$3005,請求記録!$B$6:$B$3005,$A73,請求記録!$Z$6:$Z$3005,F$5))))</f>
        <v/>
      </c>
      <c r="G73" s="19">
        <f>IF($A73="","",IF(COUNTIFS(請求記録!$B$6:$B$3005,$A73,請求記録!$Z$6:$Z$3005,G$5,請求記録!$AF$6:$AF$3005,"保留中")&gt;0,"保留",IF(COUNTIFS(請求記録!$B$6:$B$3005,$A73,請求記録!$Z$6:$Z$3005,G$5)=0,"",SUMIFS(請求記録!$AE$6:$AE$3005,請求記録!$B$6:$B$3005,$A73,請求記録!$Z$6:$Z$3005,G$5))))</f>
        <v/>
      </c>
      <c r="H73" s="19">
        <f>IF($A73="","",IF(COUNTIFS(請求記録!$B$6:$B$3005,$A73,請求記録!$Z$6:$Z$3005,H$5,請求記録!$AF$6:$AF$3005,"保留中")&gt;0,"保留",IF(COUNTIFS(請求記録!$B$6:$B$3005,$A73,請求記録!$Z$6:$Z$3005,H$5)=0,"",SUMIFS(請求記録!$AE$6:$AE$3005,請求記録!$B$6:$B$3005,$A73,請求記録!$Z$6:$Z$3005,H$5))))</f>
        <v/>
      </c>
      <c r="I73" s="19">
        <f>IF($A73="","",IF(COUNTIFS(請求記録!$B$6:$B$3005,$A73,請求記録!$Z$6:$Z$3005,I$5,請求記録!$AF$6:$AF$3005,"保留中")&gt;0,"保留",IF(COUNTIFS(請求記録!$B$6:$B$3005,$A73,請求記録!$Z$6:$Z$3005,I$5)=0,"",SUMIFS(請求記録!$AE$6:$AE$3005,請求記録!$B$6:$B$3005,$A73,請求記録!$Z$6:$Z$3005,I$5))))</f>
        <v/>
      </c>
      <c r="J73" s="19">
        <f>IF($A73="","",IF(COUNTIFS(請求記録!$B$6:$B$3005,$A73,請求記録!$Z$6:$Z$3005,J$5,請求記録!$AF$6:$AF$3005,"保留中")&gt;0,"保留",IF(COUNTIFS(請求記録!$B$6:$B$3005,$A73,請求記録!$Z$6:$Z$3005,J$5)=0,"",SUMIFS(請求記録!$AE$6:$AE$3005,請求記録!$B$6:$B$3005,$A73,請求記録!$Z$6:$Z$3005,J$5))))</f>
        <v/>
      </c>
      <c r="K73" s="19">
        <f>IF($A73="","",IF(COUNTIFS(請求記録!$B$6:$B$3005,$A73,請求記録!$Z$6:$Z$3005,K$5,請求記録!$AF$6:$AF$3005,"保留中")&gt;0,"保留",IF(COUNTIFS(請求記録!$B$6:$B$3005,$A73,請求記録!$Z$6:$Z$3005,K$5)=0,"",SUMIFS(請求記録!$AE$6:$AE$3005,請求記録!$B$6:$B$3005,$A73,請求記録!$Z$6:$Z$3005,K$5))))</f>
        <v/>
      </c>
      <c r="L73" s="19">
        <f>IF($A73="","",IF(COUNTIFS(請求記録!$B$6:$B$3005,$A73,請求記録!$Z$6:$Z$3005,L$5,請求記録!$AF$6:$AF$3005,"保留中")&gt;0,"保留",IF(COUNTIFS(請求記録!$B$6:$B$3005,$A73,請求記録!$Z$6:$Z$3005,L$5)=0,"",SUMIFS(請求記録!$AE$6:$AE$3005,請求記録!$B$6:$B$3005,$A73,請求記録!$Z$6:$Z$3005,L$5))))</f>
        <v/>
      </c>
      <c r="M73" s="19">
        <f>IF($A73="","",IF(COUNTIFS(請求記録!$B$6:$B$3005,$A73,請求記録!$Z$6:$Z$3005,M$5,請求記録!$AF$6:$AF$3005,"保留中")&gt;0,"保留",IF(COUNTIFS(請求記録!$B$6:$B$3005,$A73,請求記録!$Z$6:$Z$3005,M$5)=0,"",SUMIFS(請求記録!$AE$6:$AE$3005,請求記録!$B$6:$B$3005,$A73,請求記録!$Z$6:$Z$3005,M$5))))</f>
        <v/>
      </c>
      <c r="N73" s="19">
        <f>IF($A73="","",IF(COUNTIFS(請求記録!$B$6:$B$3005,$A73,請求記録!$Z$6:$Z$3005,N$5,請求記録!$AF$6:$AF$3005,"保留中")&gt;0,"保留",IF(COUNTIFS(請求記録!$B$6:$B$3005,$A73,請求記録!$Z$6:$Z$3005,N$5)=0,"",SUMIFS(請求記録!$AE$6:$AE$3005,請求記録!$B$6:$B$3005,$A73,請求記録!$Z$6:$Z$3005,N$5))))</f>
        <v/>
      </c>
      <c r="O73" s="19">
        <f>IF($A73="","",IF(COUNTIFS(請求記録!$B$6:$B$3005,$A73,請求記録!$Z$6:$Z$3005,O$5,請求記録!$AF$6:$AF$3005,"保留中")&gt;0,"保留",IF(COUNTIFS(請求記録!$B$6:$B$3005,$A73,請求記録!$Z$6:$Z$3005,O$5)=0,"",SUMIFS(請求記録!$AE$6:$AE$3005,請求記録!$B$6:$B$3005,$A73,請求記録!$Z$6:$Z$3005,O$5))))</f>
        <v/>
      </c>
      <c r="P73" s="19">
        <f>IF($A73="","",IF(COUNTIFS(請求記録!$B$6:$B$3005,$A73,請求記録!$Z$6:$Z$3005,P$5,請求記録!$AF$6:$AF$3005,"保留中")&gt;0,"保留",IF(COUNTIFS(請求記録!$B$6:$B$3005,$A73,請求記録!$Z$6:$Z$3005,P$5)=0,"",SUMIFS(請求記録!$AE$6:$AE$3005,請求記録!$B$6:$B$3005,$A73,請求記録!$Z$6:$Z$3005,P$5))))</f>
        <v/>
      </c>
      <c r="Q73" s="19">
        <f>IF($A73="","",IF(COUNTIFS(請求記録!$B$6:$B$3005,$A73,請求記録!$Z$6:$Z$3005,Q$5,請求記録!$AF$6:$AF$3005,"保留中")&gt;0,"保留",IF(COUNTIFS(請求記録!$B$6:$B$3005,$A73,請求記録!$Z$6:$Z$3005,Q$5)=0,"",SUMIFS(請求記録!$AE$6:$AE$3005,請求記録!$B$6:$B$3005,$A73,請求記録!$Z$6:$Z$3005,Q$5))))</f>
        <v/>
      </c>
      <c r="R73" s="19">
        <f>IF($A73="","",IF(COUNTIFS(請求記録!$B$6:$B$3005,$A73,請求記録!$Z$6:$Z$3005,R$5,請求記録!$AF$6:$AF$3005,"保留中")&gt;0,"保留",IF(COUNTIFS(請求記録!$B$6:$B$3005,$A73,請求記録!$Z$6:$Z$3005,R$5)=0,"",SUMIFS(請求記録!$AE$6:$AE$3005,請求記録!$B$6:$B$3005,$A73,請求記録!$Z$6:$Z$3005,R$5))))</f>
        <v/>
      </c>
      <c r="S73" s="19">
        <f>IF($A73="","",IF(COUNTIFS(請求記録!$B$6:$B$3005,$A73,請求記録!$Z$6:$Z$3005,S$5,請求記録!$AF$6:$AF$3005,"保留中")&gt;0,"保留",IF(COUNTIFS(請求記録!$B$6:$B$3005,$A73,請求記録!$Z$6:$Z$3005,S$5)=0,"",SUMIFS(請求記録!$AE$6:$AE$3005,請求記録!$B$6:$B$3005,$A73,請求記録!$Z$6:$Z$3005,S$5))))</f>
        <v/>
      </c>
      <c r="T73" s="19">
        <f>IF($A73="","",IF(COUNTIFS(請求記録!$B$6:$B$3005,$A73,請求記録!$Z$6:$Z$3005,T$5,請求記録!$AF$6:$AF$3005,"保留中")&gt;0,"保留",IF(COUNTIFS(請求記録!$B$6:$B$3005,$A73,請求記録!$Z$6:$Z$3005,T$5)=0,"",SUMIFS(請求記録!$AE$6:$AE$3005,請求記録!$B$6:$B$3005,$A73,請求記録!$Z$6:$Z$3005,T$5))))</f>
        <v/>
      </c>
      <c r="U73" s="19">
        <f>IF($A73="","",IF(COUNTIFS(請求記録!$B$6:$B$3005,$A73,請求記録!$Z$6:$Z$3005,U$5,請求記録!$AF$6:$AF$3005,"保留中")&gt;0,"保留",IF(COUNTIFS(請求記録!$B$6:$B$3005,$A73,請求記録!$Z$6:$Z$3005,U$5)=0,"",SUMIFS(請求記録!$AE$6:$AE$3005,請求記録!$B$6:$B$3005,$A73,請求記録!$Z$6:$Z$3005,U$5))))</f>
        <v/>
      </c>
      <c r="V73" s="19">
        <f>IF($A73="","",IF(COUNTIFS(請求記録!$B$6:$B$3005,$A73,請求記録!$Z$6:$Z$3005,V$5,請求記録!$AF$6:$AF$3005,"保留中")&gt;0,"保留",IF(COUNTIFS(請求記録!$B$6:$B$3005,$A73,請求記録!$Z$6:$Z$3005,V$5)=0,"",SUMIFS(請求記録!$AE$6:$AE$3005,請求記録!$B$6:$B$3005,$A73,請求記録!$Z$6:$Z$3005,V$5))))</f>
        <v/>
      </c>
      <c r="W73" s="19">
        <f>IF($A73="","",IF(COUNTIFS(請求記録!$B$6:$B$3005,$A73,請求記録!$Z$6:$Z$3005,W$5,請求記録!$AF$6:$AF$3005,"保留中")&gt;0,"保留",IF(COUNTIFS(請求記録!$B$6:$B$3005,$A73,請求記録!$Z$6:$Z$3005,W$5)=0,"",SUMIFS(請求記録!$AE$6:$AE$3005,請求記録!$B$6:$B$3005,$A73,請求記録!$Z$6:$Z$3005,W$5))))</f>
        <v/>
      </c>
      <c r="X73" s="19">
        <f>IF($A73="","",IF(COUNTIFS(請求記録!$B$6:$B$3005,$A73,請求記録!$Z$6:$Z$3005,X$5,請求記録!$AF$6:$AF$3005,"保留中")&gt;0,"保留",IF(COUNTIFS(請求記録!$B$6:$B$3005,$A73,請求記録!$Z$6:$Z$3005,X$5)=0,"",SUMIFS(請求記録!$AE$6:$AE$3005,請求記録!$B$6:$B$3005,$A73,請求記録!$Z$6:$Z$3005,X$5))))</f>
        <v/>
      </c>
      <c r="Y73" s="19">
        <f>IF($A73="","",IF(COUNTIFS(請求記録!$B$6:$B$3005,$A73,請求記録!$Z$6:$Z$3005,Y$5,請求記録!$AF$6:$AF$3005,"保留中")&gt;0,"保留",IF(COUNTIFS(請求記録!$B$6:$B$3005,$A73,請求記録!$Z$6:$Z$3005,Y$5)=0,"",SUMIFS(請求記録!$AE$6:$AE$3005,請求記録!$B$6:$B$3005,$A73,請求記録!$Z$6:$Z$3005,Y$5))))</f>
        <v/>
      </c>
      <c r="Z73" s="19">
        <f>IF($A73="","",IF(COUNTIFS(請求記録!$B$6:$B$3005,$A73,請求記録!$Z$6:$Z$3005,Z$5,請求記録!$AF$6:$AF$3005,"保留中")&gt;0,"保留",IF(COUNTIFS(請求記録!$B$6:$B$3005,$A73,請求記録!$Z$6:$Z$3005,Z$5)=0,"",SUMIFS(請求記録!$AE$6:$AE$3005,請求記録!$B$6:$B$3005,$A73,請求記録!$Z$6:$Z$3005,Z$5))))</f>
        <v/>
      </c>
      <c r="AA73" s="19">
        <f>IF($A73="","",IF(COUNTIFS(請求記録!$B$6:$B$3005,$A73,請求記録!$Z$6:$Z$3005,AA$5,請求記録!$AF$6:$AF$3005,"保留中")&gt;0,"保留",IF(COUNTIFS(請求記録!$B$6:$B$3005,$A73,請求記録!$Z$6:$Z$3005,AA$5)=0,"",SUMIFS(請求記録!$AE$6:$AE$3005,請求記録!$B$6:$B$3005,$A73,請求記録!$Z$6:$Z$3005,AA$5))))</f>
        <v/>
      </c>
      <c r="AB73">
        <f>IF(職員マスタ!P73="保留中",職員マスタ!M73,"")</f>
        <v/>
      </c>
    </row>
    <row r="74">
      <c r="A74">
        <f>IF(職員マスタ!A74="","",職員マスタ!A74)</f>
        <v/>
      </c>
      <c r="B74">
        <f>IF($A74="","",職員マスタ!B74)</f>
        <v/>
      </c>
      <c r="C74">
        <f>IF($A74="","",職員マスタ!C74)</f>
        <v/>
      </c>
      <c r="D74" s="19">
        <f>IF($A74="","",IF(COUNTIFS(請求記録!$B$6:$B$3005,$A74,請求記録!$Z$6:$Z$3005,D$5,請求記録!$AF$6:$AF$3005,"保留中")&gt;0,"保留",IF(COUNTIFS(請求記録!$B$6:$B$3005,$A74,請求記録!$Z$6:$Z$3005,D$5)=0,"",SUMIFS(請求記録!$AE$6:$AE$3005,請求記録!$B$6:$B$3005,$A74,請求記録!$Z$6:$Z$3005,D$5))))</f>
        <v/>
      </c>
      <c r="E74" s="19">
        <f>IF($A74="","",IF(COUNTIFS(請求記録!$B$6:$B$3005,$A74,請求記録!$Z$6:$Z$3005,E$5,請求記録!$AF$6:$AF$3005,"保留中")&gt;0,"保留",IF(COUNTIFS(請求記録!$B$6:$B$3005,$A74,請求記録!$Z$6:$Z$3005,E$5)=0,"",SUMIFS(請求記録!$AE$6:$AE$3005,請求記録!$B$6:$B$3005,$A74,請求記録!$Z$6:$Z$3005,E$5))))</f>
        <v/>
      </c>
      <c r="F74" s="19">
        <f>IF($A74="","",IF(COUNTIFS(請求記録!$B$6:$B$3005,$A74,請求記録!$Z$6:$Z$3005,F$5,請求記録!$AF$6:$AF$3005,"保留中")&gt;0,"保留",IF(COUNTIFS(請求記録!$B$6:$B$3005,$A74,請求記録!$Z$6:$Z$3005,F$5)=0,"",SUMIFS(請求記録!$AE$6:$AE$3005,請求記録!$B$6:$B$3005,$A74,請求記録!$Z$6:$Z$3005,F$5))))</f>
        <v/>
      </c>
      <c r="G74" s="19">
        <f>IF($A74="","",IF(COUNTIFS(請求記録!$B$6:$B$3005,$A74,請求記録!$Z$6:$Z$3005,G$5,請求記録!$AF$6:$AF$3005,"保留中")&gt;0,"保留",IF(COUNTIFS(請求記録!$B$6:$B$3005,$A74,請求記録!$Z$6:$Z$3005,G$5)=0,"",SUMIFS(請求記録!$AE$6:$AE$3005,請求記録!$B$6:$B$3005,$A74,請求記録!$Z$6:$Z$3005,G$5))))</f>
        <v/>
      </c>
      <c r="H74" s="19">
        <f>IF($A74="","",IF(COUNTIFS(請求記録!$B$6:$B$3005,$A74,請求記録!$Z$6:$Z$3005,H$5,請求記録!$AF$6:$AF$3005,"保留中")&gt;0,"保留",IF(COUNTIFS(請求記録!$B$6:$B$3005,$A74,請求記録!$Z$6:$Z$3005,H$5)=0,"",SUMIFS(請求記録!$AE$6:$AE$3005,請求記録!$B$6:$B$3005,$A74,請求記録!$Z$6:$Z$3005,H$5))))</f>
        <v/>
      </c>
      <c r="I74" s="19">
        <f>IF($A74="","",IF(COUNTIFS(請求記録!$B$6:$B$3005,$A74,請求記録!$Z$6:$Z$3005,I$5,請求記録!$AF$6:$AF$3005,"保留中")&gt;0,"保留",IF(COUNTIFS(請求記録!$B$6:$B$3005,$A74,請求記録!$Z$6:$Z$3005,I$5)=0,"",SUMIFS(請求記録!$AE$6:$AE$3005,請求記録!$B$6:$B$3005,$A74,請求記録!$Z$6:$Z$3005,I$5))))</f>
        <v/>
      </c>
      <c r="J74" s="19">
        <f>IF($A74="","",IF(COUNTIFS(請求記録!$B$6:$B$3005,$A74,請求記録!$Z$6:$Z$3005,J$5,請求記録!$AF$6:$AF$3005,"保留中")&gt;0,"保留",IF(COUNTIFS(請求記録!$B$6:$B$3005,$A74,請求記録!$Z$6:$Z$3005,J$5)=0,"",SUMIFS(請求記録!$AE$6:$AE$3005,請求記録!$B$6:$B$3005,$A74,請求記録!$Z$6:$Z$3005,J$5))))</f>
        <v/>
      </c>
      <c r="K74" s="19">
        <f>IF($A74="","",IF(COUNTIFS(請求記録!$B$6:$B$3005,$A74,請求記録!$Z$6:$Z$3005,K$5,請求記録!$AF$6:$AF$3005,"保留中")&gt;0,"保留",IF(COUNTIFS(請求記録!$B$6:$B$3005,$A74,請求記録!$Z$6:$Z$3005,K$5)=0,"",SUMIFS(請求記録!$AE$6:$AE$3005,請求記録!$B$6:$B$3005,$A74,請求記録!$Z$6:$Z$3005,K$5))))</f>
        <v/>
      </c>
      <c r="L74" s="19">
        <f>IF($A74="","",IF(COUNTIFS(請求記録!$B$6:$B$3005,$A74,請求記録!$Z$6:$Z$3005,L$5,請求記録!$AF$6:$AF$3005,"保留中")&gt;0,"保留",IF(COUNTIFS(請求記録!$B$6:$B$3005,$A74,請求記録!$Z$6:$Z$3005,L$5)=0,"",SUMIFS(請求記録!$AE$6:$AE$3005,請求記録!$B$6:$B$3005,$A74,請求記録!$Z$6:$Z$3005,L$5))))</f>
        <v/>
      </c>
      <c r="M74" s="19">
        <f>IF($A74="","",IF(COUNTIFS(請求記録!$B$6:$B$3005,$A74,請求記録!$Z$6:$Z$3005,M$5,請求記録!$AF$6:$AF$3005,"保留中")&gt;0,"保留",IF(COUNTIFS(請求記録!$B$6:$B$3005,$A74,請求記録!$Z$6:$Z$3005,M$5)=0,"",SUMIFS(請求記録!$AE$6:$AE$3005,請求記録!$B$6:$B$3005,$A74,請求記録!$Z$6:$Z$3005,M$5))))</f>
        <v/>
      </c>
      <c r="N74" s="19">
        <f>IF($A74="","",IF(COUNTIFS(請求記録!$B$6:$B$3005,$A74,請求記録!$Z$6:$Z$3005,N$5,請求記録!$AF$6:$AF$3005,"保留中")&gt;0,"保留",IF(COUNTIFS(請求記録!$B$6:$B$3005,$A74,請求記録!$Z$6:$Z$3005,N$5)=0,"",SUMIFS(請求記録!$AE$6:$AE$3005,請求記録!$B$6:$B$3005,$A74,請求記録!$Z$6:$Z$3005,N$5))))</f>
        <v/>
      </c>
      <c r="O74" s="19">
        <f>IF($A74="","",IF(COUNTIFS(請求記録!$B$6:$B$3005,$A74,請求記録!$Z$6:$Z$3005,O$5,請求記録!$AF$6:$AF$3005,"保留中")&gt;0,"保留",IF(COUNTIFS(請求記録!$B$6:$B$3005,$A74,請求記録!$Z$6:$Z$3005,O$5)=0,"",SUMIFS(請求記録!$AE$6:$AE$3005,請求記録!$B$6:$B$3005,$A74,請求記録!$Z$6:$Z$3005,O$5))))</f>
        <v/>
      </c>
      <c r="P74" s="19">
        <f>IF($A74="","",IF(COUNTIFS(請求記録!$B$6:$B$3005,$A74,請求記録!$Z$6:$Z$3005,P$5,請求記録!$AF$6:$AF$3005,"保留中")&gt;0,"保留",IF(COUNTIFS(請求記録!$B$6:$B$3005,$A74,請求記録!$Z$6:$Z$3005,P$5)=0,"",SUMIFS(請求記録!$AE$6:$AE$3005,請求記録!$B$6:$B$3005,$A74,請求記録!$Z$6:$Z$3005,P$5))))</f>
        <v/>
      </c>
      <c r="Q74" s="19">
        <f>IF($A74="","",IF(COUNTIFS(請求記録!$B$6:$B$3005,$A74,請求記録!$Z$6:$Z$3005,Q$5,請求記録!$AF$6:$AF$3005,"保留中")&gt;0,"保留",IF(COUNTIFS(請求記録!$B$6:$B$3005,$A74,請求記録!$Z$6:$Z$3005,Q$5)=0,"",SUMIFS(請求記録!$AE$6:$AE$3005,請求記録!$B$6:$B$3005,$A74,請求記録!$Z$6:$Z$3005,Q$5))))</f>
        <v/>
      </c>
      <c r="R74" s="19">
        <f>IF($A74="","",IF(COUNTIFS(請求記録!$B$6:$B$3005,$A74,請求記録!$Z$6:$Z$3005,R$5,請求記録!$AF$6:$AF$3005,"保留中")&gt;0,"保留",IF(COUNTIFS(請求記録!$B$6:$B$3005,$A74,請求記録!$Z$6:$Z$3005,R$5)=0,"",SUMIFS(請求記録!$AE$6:$AE$3005,請求記録!$B$6:$B$3005,$A74,請求記録!$Z$6:$Z$3005,R$5))))</f>
        <v/>
      </c>
      <c r="S74" s="19">
        <f>IF($A74="","",IF(COUNTIFS(請求記録!$B$6:$B$3005,$A74,請求記録!$Z$6:$Z$3005,S$5,請求記録!$AF$6:$AF$3005,"保留中")&gt;0,"保留",IF(COUNTIFS(請求記録!$B$6:$B$3005,$A74,請求記録!$Z$6:$Z$3005,S$5)=0,"",SUMIFS(請求記録!$AE$6:$AE$3005,請求記録!$B$6:$B$3005,$A74,請求記録!$Z$6:$Z$3005,S$5))))</f>
        <v/>
      </c>
      <c r="T74" s="19">
        <f>IF($A74="","",IF(COUNTIFS(請求記録!$B$6:$B$3005,$A74,請求記録!$Z$6:$Z$3005,T$5,請求記録!$AF$6:$AF$3005,"保留中")&gt;0,"保留",IF(COUNTIFS(請求記録!$B$6:$B$3005,$A74,請求記録!$Z$6:$Z$3005,T$5)=0,"",SUMIFS(請求記録!$AE$6:$AE$3005,請求記録!$B$6:$B$3005,$A74,請求記録!$Z$6:$Z$3005,T$5))))</f>
        <v/>
      </c>
      <c r="U74" s="19">
        <f>IF($A74="","",IF(COUNTIFS(請求記録!$B$6:$B$3005,$A74,請求記録!$Z$6:$Z$3005,U$5,請求記録!$AF$6:$AF$3005,"保留中")&gt;0,"保留",IF(COUNTIFS(請求記録!$B$6:$B$3005,$A74,請求記録!$Z$6:$Z$3005,U$5)=0,"",SUMIFS(請求記録!$AE$6:$AE$3005,請求記録!$B$6:$B$3005,$A74,請求記録!$Z$6:$Z$3005,U$5))))</f>
        <v/>
      </c>
      <c r="V74" s="19">
        <f>IF($A74="","",IF(COUNTIFS(請求記録!$B$6:$B$3005,$A74,請求記録!$Z$6:$Z$3005,V$5,請求記録!$AF$6:$AF$3005,"保留中")&gt;0,"保留",IF(COUNTIFS(請求記録!$B$6:$B$3005,$A74,請求記録!$Z$6:$Z$3005,V$5)=0,"",SUMIFS(請求記録!$AE$6:$AE$3005,請求記録!$B$6:$B$3005,$A74,請求記録!$Z$6:$Z$3005,V$5))))</f>
        <v/>
      </c>
      <c r="W74" s="19">
        <f>IF($A74="","",IF(COUNTIFS(請求記録!$B$6:$B$3005,$A74,請求記録!$Z$6:$Z$3005,W$5,請求記録!$AF$6:$AF$3005,"保留中")&gt;0,"保留",IF(COUNTIFS(請求記録!$B$6:$B$3005,$A74,請求記録!$Z$6:$Z$3005,W$5)=0,"",SUMIFS(請求記録!$AE$6:$AE$3005,請求記録!$B$6:$B$3005,$A74,請求記録!$Z$6:$Z$3005,W$5))))</f>
        <v/>
      </c>
      <c r="X74" s="19">
        <f>IF($A74="","",IF(COUNTIFS(請求記録!$B$6:$B$3005,$A74,請求記録!$Z$6:$Z$3005,X$5,請求記録!$AF$6:$AF$3005,"保留中")&gt;0,"保留",IF(COUNTIFS(請求記録!$B$6:$B$3005,$A74,請求記録!$Z$6:$Z$3005,X$5)=0,"",SUMIFS(請求記録!$AE$6:$AE$3005,請求記録!$B$6:$B$3005,$A74,請求記録!$Z$6:$Z$3005,X$5))))</f>
        <v/>
      </c>
      <c r="Y74" s="19">
        <f>IF($A74="","",IF(COUNTIFS(請求記録!$B$6:$B$3005,$A74,請求記録!$Z$6:$Z$3005,Y$5,請求記録!$AF$6:$AF$3005,"保留中")&gt;0,"保留",IF(COUNTIFS(請求記録!$B$6:$B$3005,$A74,請求記録!$Z$6:$Z$3005,Y$5)=0,"",SUMIFS(請求記録!$AE$6:$AE$3005,請求記録!$B$6:$B$3005,$A74,請求記録!$Z$6:$Z$3005,Y$5))))</f>
        <v/>
      </c>
      <c r="Z74" s="19">
        <f>IF($A74="","",IF(COUNTIFS(請求記録!$B$6:$B$3005,$A74,請求記録!$Z$6:$Z$3005,Z$5,請求記録!$AF$6:$AF$3005,"保留中")&gt;0,"保留",IF(COUNTIFS(請求記録!$B$6:$B$3005,$A74,請求記録!$Z$6:$Z$3005,Z$5)=0,"",SUMIFS(請求記録!$AE$6:$AE$3005,請求記録!$B$6:$B$3005,$A74,請求記録!$Z$6:$Z$3005,Z$5))))</f>
        <v/>
      </c>
      <c r="AA74" s="19">
        <f>IF($A74="","",IF(COUNTIFS(請求記録!$B$6:$B$3005,$A74,請求記録!$Z$6:$Z$3005,AA$5,請求記録!$AF$6:$AF$3005,"保留中")&gt;0,"保留",IF(COUNTIFS(請求記録!$B$6:$B$3005,$A74,請求記録!$Z$6:$Z$3005,AA$5)=0,"",SUMIFS(請求記録!$AE$6:$AE$3005,請求記録!$B$6:$B$3005,$A74,請求記録!$Z$6:$Z$3005,AA$5))))</f>
        <v/>
      </c>
      <c r="AB74">
        <f>IF(職員マスタ!P74="保留中",職員マスタ!M74,"")</f>
        <v/>
      </c>
    </row>
    <row r="75">
      <c r="A75">
        <f>IF(職員マスタ!A75="","",職員マスタ!A75)</f>
        <v/>
      </c>
      <c r="B75">
        <f>IF($A75="","",職員マスタ!B75)</f>
        <v/>
      </c>
      <c r="C75">
        <f>IF($A75="","",職員マスタ!C75)</f>
        <v/>
      </c>
      <c r="D75" s="19">
        <f>IF($A75="","",IF(COUNTIFS(請求記録!$B$6:$B$3005,$A75,請求記録!$Z$6:$Z$3005,D$5,請求記録!$AF$6:$AF$3005,"保留中")&gt;0,"保留",IF(COUNTIFS(請求記録!$B$6:$B$3005,$A75,請求記録!$Z$6:$Z$3005,D$5)=0,"",SUMIFS(請求記録!$AE$6:$AE$3005,請求記録!$B$6:$B$3005,$A75,請求記録!$Z$6:$Z$3005,D$5))))</f>
        <v/>
      </c>
      <c r="E75" s="19">
        <f>IF($A75="","",IF(COUNTIFS(請求記録!$B$6:$B$3005,$A75,請求記録!$Z$6:$Z$3005,E$5,請求記録!$AF$6:$AF$3005,"保留中")&gt;0,"保留",IF(COUNTIFS(請求記録!$B$6:$B$3005,$A75,請求記録!$Z$6:$Z$3005,E$5)=0,"",SUMIFS(請求記録!$AE$6:$AE$3005,請求記録!$B$6:$B$3005,$A75,請求記録!$Z$6:$Z$3005,E$5))))</f>
        <v/>
      </c>
      <c r="F75" s="19">
        <f>IF($A75="","",IF(COUNTIFS(請求記録!$B$6:$B$3005,$A75,請求記録!$Z$6:$Z$3005,F$5,請求記録!$AF$6:$AF$3005,"保留中")&gt;0,"保留",IF(COUNTIFS(請求記録!$B$6:$B$3005,$A75,請求記録!$Z$6:$Z$3005,F$5)=0,"",SUMIFS(請求記録!$AE$6:$AE$3005,請求記録!$B$6:$B$3005,$A75,請求記録!$Z$6:$Z$3005,F$5))))</f>
        <v/>
      </c>
      <c r="G75" s="19">
        <f>IF($A75="","",IF(COUNTIFS(請求記録!$B$6:$B$3005,$A75,請求記録!$Z$6:$Z$3005,G$5,請求記録!$AF$6:$AF$3005,"保留中")&gt;0,"保留",IF(COUNTIFS(請求記録!$B$6:$B$3005,$A75,請求記録!$Z$6:$Z$3005,G$5)=0,"",SUMIFS(請求記録!$AE$6:$AE$3005,請求記録!$B$6:$B$3005,$A75,請求記録!$Z$6:$Z$3005,G$5))))</f>
        <v/>
      </c>
      <c r="H75" s="19">
        <f>IF($A75="","",IF(COUNTIFS(請求記録!$B$6:$B$3005,$A75,請求記録!$Z$6:$Z$3005,H$5,請求記録!$AF$6:$AF$3005,"保留中")&gt;0,"保留",IF(COUNTIFS(請求記録!$B$6:$B$3005,$A75,請求記録!$Z$6:$Z$3005,H$5)=0,"",SUMIFS(請求記録!$AE$6:$AE$3005,請求記録!$B$6:$B$3005,$A75,請求記録!$Z$6:$Z$3005,H$5))))</f>
        <v/>
      </c>
      <c r="I75" s="19">
        <f>IF($A75="","",IF(COUNTIFS(請求記録!$B$6:$B$3005,$A75,請求記録!$Z$6:$Z$3005,I$5,請求記録!$AF$6:$AF$3005,"保留中")&gt;0,"保留",IF(COUNTIFS(請求記録!$B$6:$B$3005,$A75,請求記録!$Z$6:$Z$3005,I$5)=0,"",SUMIFS(請求記録!$AE$6:$AE$3005,請求記録!$B$6:$B$3005,$A75,請求記録!$Z$6:$Z$3005,I$5))))</f>
        <v/>
      </c>
      <c r="J75" s="19">
        <f>IF($A75="","",IF(COUNTIFS(請求記録!$B$6:$B$3005,$A75,請求記録!$Z$6:$Z$3005,J$5,請求記録!$AF$6:$AF$3005,"保留中")&gt;0,"保留",IF(COUNTIFS(請求記録!$B$6:$B$3005,$A75,請求記録!$Z$6:$Z$3005,J$5)=0,"",SUMIFS(請求記録!$AE$6:$AE$3005,請求記録!$B$6:$B$3005,$A75,請求記録!$Z$6:$Z$3005,J$5))))</f>
        <v/>
      </c>
      <c r="K75" s="19">
        <f>IF($A75="","",IF(COUNTIFS(請求記録!$B$6:$B$3005,$A75,請求記録!$Z$6:$Z$3005,K$5,請求記録!$AF$6:$AF$3005,"保留中")&gt;0,"保留",IF(COUNTIFS(請求記録!$B$6:$B$3005,$A75,請求記録!$Z$6:$Z$3005,K$5)=0,"",SUMIFS(請求記録!$AE$6:$AE$3005,請求記録!$B$6:$B$3005,$A75,請求記録!$Z$6:$Z$3005,K$5))))</f>
        <v/>
      </c>
      <c r="L75" s="19">
        <f>IF($A75="","",IF(COUNTIFS(請求記録!$B$6:$B$3005,$A75,請求記録!$Z$6:$Z$3005,L$5,請求記録!$AF$6:$AF$3005,"保留中")&gt;0,"保留",IF(COUNTIFS(請求記録!$B$6:$B$3005,$A75,請求記録!$Z$6:$Z$3005,L$5)=0,"",SUMIFS(請求記録!$AE$6:$AE$3005,請求記録!$B$6:$B$3005,$A75,請求記録!$Z$6:$Z$3005,L$5))))</f>
        <v/>
      </c>
      <c r="M75" s="19">
        <f>IF($A75="","",IF(COUNTIFS(請求記録!$B$6:$B$3005,$A75,請求記録!$Z$6:$Z$3005,M$5,請求記録!$AF$6:$AF$3005,"保留中")&gt;0,"保留",IF(COUNTIFS(請求記録!$B$6:$B$3005,$A75,請求記録!$Z$6:$Z$3005,M$5)=0,"",SUMIFS(請求記録!$AE$6:$AE$3005,請求記録!$B$6:$B$3005,$A75,請求記録!$Z$6:$Z$3005,M$5))))</f>
        <v/>
      </c>
      <c r="N75" s="19">
        <f>IF($A75="","",IF(COUNTIFS(請求記録!$B$6:$B$3005,$A75,請求記録!$Z$6:$Z$3005,N$5,請求記録!$AF$6:$AF$3005,"保留中")&gt;0,"保留",IF(COUNTIFS(請求記録!$B$6:$B$3005,$A75,請求記録!$Z$6:$Z$3005,N$5)=0,"",SUMIFS(請求記録!$AE$6:$AE$3005,請求記録!$B$6:$B$3005,$A75,請求記録!$Z$6:$Z$3005,N$5))))</f>
        <v/>
      </c>
      <c r="O75" s="19">
        <f>IF($A75="","",IF(COUNTIFS(請求記録!$B$6:$B$3005,$A75,請求記録!$Z$6:$Z$3005,O$5,請求記録!$AF$6:$AF$3005,"保留中")&gt;0,"保留",IF(COUNTIFS(請求記録!$B$6:$B$3005,$A75,請求記録!$Z$6:$Z$3005,O$5)=0,"",SUMIFS(請求記録!$AE$6:$AE$3005,請求記録!$B$6:$B$3005,$A75,請求記録!$Z$6:$Z$3005,O$5))))</f>
        <v/>
      </c>
      <c r="P75" s="19">
        <f>IF($A75="","",IF(COUNTIFS(請求記録!$B$6:$B$3005,$A75,請求記録!$Z$6:$Z$3005,P$5,請求記録!$AF$6:$AF$3005,"保留中")&gt;0,"保留",IF(COUNTIFS(請求記録!$B$6:$B$3005,$A75,請求記録!$Z$6:$Z$3005,P$5)=0,"",SUMIFS(請求記録!$AE$6:$AE$3005,請求記録!$B$6:$B$3005,$A75,請求記録!$Z$6:$Z$3005,P$5))))</f>
        <v/>
      </c>
      <c r="Q75" s="19">
        <f>IF($A75="","",IF(COUNTIFS(請求記録!$B$6:$B$3005,$A75,請求記録!$Z$6:$Z$3005,Q$5,請求記録!$AF$6:$AF$3005,"保留中")&gt;0,"保留",IF(COUNTIFS(請求記録!$B$6:$B$3005,$A75,請求記録!$Z$6:$Z$3005,Q$5)=0,"",SUMIFS(請求記録!$AE$6:$AE$3005,請求記録!$B$6:$B$3005,$A75,請求記録!$Z$6:$Z$3005,Q$5))))</f>
        <v/>
      </c>
      <c r="R75" s="19">
        <f>IF($A75="","",IF(COUNTIFS(請求記録!$B$6:$B$3005,$A75,請求記録!$Z$6:$Z$3005,R$5,請求記録!$AF$6:$AF$3005,"保留中")&gt;0,"保留",IF(COUNTIFS(請求記録!$B$6:$B$3005,$A75,請求記録!$Z$6:$Z$3005,R$5)=0,"",SUMIFS(請求記録!$AE$6:$AE$3005,請求記録!$B$6:$B$3005,$A75,請求記録!$Z$6:$Z$3005,R$5))))</f>
        <v/>
      </c>
      <c r="S75" s="19">
        <f>IF($A75="","",IF(COUNTIFS(請求記録!$B$6:$B$3005,$A75,請求記録!$Z$6:$Z$3005,S$5,請求記録!$AF$6:$AF$3005,"保留中")&gt;0,"保留",IF(COUNTIFS(請求記録!$B$6:$B$3005,$A75,請求記録!$Z$6:$Z$3005,S$5)=0,"",SUMIFS(請求記録!$AE$6:$AE$3005,請求記録!$B$6:$B$3005,$A75,請求記録!$Z$6:$Z$3005,S$5))))</f>
        <v/>
      </c>
      <c r="T75" s="19">
        <f>IF($A75="","",IF(COUNTIFS(請求記録!$B$6:$B$3005,$A75,請求記録!$Z$6:$Z$3005,T$5,請求記録!$AF$6:$AF$3005,"保留中")&gt;0,"保留",IF(COUNTIFS(請求記録!$B$6:$B$3005,$A75,請求記録!$Z$6:$Z$3005,T$5)=0,"",SUMIFS(請求記録!$AE$6:$AE$3005,請求記録!$B$6:$B$3005,$A75,請求記録!$Z$6:$Z$3005,T$5))))</f>
        <v/>
      </c>
      <c r="U75" s="19">
        <f>IF($A75="","",IF(COUNTIFS(請求記録!$B$6:$B$3005,$A75,請求記録!$Z$6:$Z$3005,U$5,請求記録!$AF$6:$AF$3005,"保留中")&gt;0,"保留",IF(COUNTIFS(請求記録!$B$6:$B$3005,$A75,請求記録!$Z$6:$Z$3005,U$5)=0,"",SUMIFS(請求記録!$AE$6:$AE$3005,請求記録!$B$6:$B$3005,$A75,請求記録!$Z$6:$Z$3005,U$5))))</f>
        <v/>
      </c>
      <c r="V75" s="19">
        <f>IF($A75="","",IF(COUNTIFS(請求記録!$B$6:$B$3005,$A75,請求記録!$Z$6:$Z$3005,V$5,請求記録!$AF$6:$AF$3005,"保留中")&gt;0,"保留",IF(COUNTIFS(請求記録!$B$6:$B$3005,$A75,請求記録!$Z$6:$Z$3005,V$5)=0,"",SUMIFS(請求記録!$AE$6:$AE$3005,請求記録!$B$6:$B$3005,$A75,請求記録!$Z$6:$Z$3005,V$5))))</f>
        <v/>
      </c>
      <c r="W75" s="19">
        <f>IF($A75="","",IF(COUNTIFS(請求記録!$B$6:$B$3005,$A75,請求記録!$Z$6:$Z$3005,W$5,請求記録!$AF$6:$AF$3005,"保留中")&gt;0,"保留",IF(COUNTIFS(請求記録!$B$6:$B$3005,$A75,請求記録!$Z$6:$Z$3005,W$5)=0,"",SUMIFS(請求記録!$AE$6:$AE$3005,請求記録!$B$6:$B$3005,$A75,請求記録!$Z$6:$Z$3005,W$5))))</f>
        <v/>
      </c>
      <c r="X75" s="19">
        <f>IF($A75="","",IF(COUNTIFS(請求記録!$B$6:$B$3005,$A75,請求記録!$Z$6:$Z$3005,X$5,請求記録!$AF$6:$AF$3005,"保留中")&gt;0,"保留",IF(COUNTIFS(請求記録!$B$6:$B$3005,$A75,請求記録!$Z$6:$Z$3005,X$5)=0,"",SUMIFS(請求記録!$AE$6:$AE$3005,請求記録!$B$6:$B$3005,$A75,請求記録!$Z$6:$Z$3005,X$5))))</f>
        <v/>
      </c>
      <c r="Y75" s="19">
        <f>IF($A75="","",IF(COUNTIFS(請求記録!$B$6:$B$3005,$A75,請求記録!$Z$6:$Z$3005,Y$5,請求記録!$AF$6:$AF$3005,"保留中")&gt;0,"保留",IF(COUNTIFS(請求記録!$B$6:$B$3005,$A75,請求記録!$Z$6:$Z$3005,Y$5)=0,"",SUMIFS(請求記録!$AE$6:$AE$3005,請求記録!$B$6:$B$3005,$A75,請求記録!$Z$6:$Z$3005,Y$5))))</f>
        <v/>
      </c>
      <c r="Z75" s="19">
        <f>IF($A75="","",IF(COUNTIFS(請求記録!$B$6:$B$3005,$A75,請求記録!$Z$6:$Z$3005,Z$5,請求記録!$AF$6:$AF$3005,"保留中")&gt;0,"保留",IF(COUNTIFS(請求記録!$B$6:$B$3005,$A75,請求記録!$Z$6:$Z$3005,Z$5)=0,"",SUMIFS(請求記録!$AE$6:$AE$3005,請求記録!$B$6:$B$3005,$A75,請求記録!$Z$6:$Z$3005,Z$5))))</f>
        <v/>
      </c>
      <c r="AA75" s="19">
        <f>IF($A75="","",IF(COUNTIFS(請求記録!$B$6:$B$3005,$A75,請求記録!$Z$6:$Z$3005,AA$5,請求記録!$AF$6:$AF$3005,"保留中")&gt;0,"保留",IF(COUNTIFS(請求記録!$B$6:$B$3005,$A75,請求記録!$Z$6:$Z$3005,AA$5)=0,"",SUMIFS(請求記録!$AE$6:$AE$3005,請求記録!$B$6:$B$3005,$A75,請求記録!$Z$6:$Z$3005,AA$5))))</f>
        <v/>
      </c>
      <c r="AB75">
        <f>IF(職員マスタ!P75="保留中",職員マスタ!M75,"")</f>
        <v/>
      </c>
    </row>
    <row r="76">
      <c r="A76">
        <f>IF(職員マスタ!A76="","",職員マスタ!A76)</f>
        <v/>
      </c>
      <c r="B76">
        <f>IF($A76="","",職員マスタ!B76)</f>
        <v/>
      </c>
      <c r="C76">
        <f>IF($A76="","",職員マスタ!C76)</f>
        <v/>
      </c>
      <c r="D76" s="19">
        <f>IF($A76="","",IF(COUNTIFS(請求記録!$B$6:$B$3005,$A76,請求記録!$Z$6:$Z$3005,D$5,請求記録!$AF$6:$AF$3005,"保留中")&gt;0,"保留",IF(COUNTIFS(請求記録!$B$6:$B$3005,$A76,請求記録!$Z$6:$Z$3005,D$5)=0,"",SUMIFS(請求記録!$AE$6:$AE$3005,請求記録!$B$6:$B$3005,$A76,請求記録!$Z$6:$Z$3005,D$5))))</f>
        <v/>
      </c>
      <c r="E76" s="19">
        <f>IF($A76="","",IF(COUNTIFS(請求記録!$B$6:$B$3005,$A76,請求記録!$Z$6:$Z$3005,E$5,請求記録!$AF$6:$AF$3005,"保留中")&gt;0,"保留",IF(COUNTIFS(請求記録!$B$6:$B$3005,$A76,請求記録!$Z$6:$Z$3005,E$5)=0,"",SUMIFS(請求記録!$AE$6:$AE$3005,請求記録!$B$6:$B$3005,$A76,請求記録!$Z$6:$Z$3005,E$5))))</f>
        <v/>
      </c>
      <c r="F76" s="19">
        <f>IF($A76="","",IF(COUNTIFS(請求記録!$B$6:$B$3005,$A76,請求記録!$Z$6:$Z$3005,F$5,請求記録!$AF$6:$AF$3005,"保留中")&gt;0,"保留",IF(COUNTIFS(請求記録!$B$6:$B$3005,$A76,請求記録!$Z$6:$Z$3005,F$5)=0,"",SUMIFS(請求記録!$AE$6:$AE$3005,請求記録!$B$6:$B$3005,$A76,請求記録!$Z$6:$Z$3005,F$5))))</f>
        <v/>
      </c>
      <c r="G76" s="19">
        <f>IF($A76="","",IF(COUNTIFS(請求記録!$B$6:$B$3005,$A76,請求記録!$Z$6:$Z$3005,G$5,請求記録!$AF$6:$AF$3005,"保留中")&gt;0,"保留",IF(COUNTIFS(請求記録!$B$6:$B$3005,$A76,請求記録!$Z$6:$Z$3005,G$5)=0,"",SUMIFS(請求記録!$AE$6:$AE$3005,請求記録!$B$6:$B$3005,$A76,請求記録!$Z$6:$Z$3005,G$5))))</f>
        <v/>
      </c>
      <c r="H76" s="19">
        <f>IF($A76="","",IF(COUNTIFS(請求記録!$B$6:$B$3005,$A76,請求記録!$Z$6:$Z$3005,H$5,請求記録!$AF$6:$AF$3005,"保留中")&gt;0,"保留",IF(COUNTIFS(請求記録!$B$6:$B$3005,$A76,請求記録!$Z$6:$Z$3005,H$5)=0,"",SUMIFS(請求記録!$AE$6:$AE$3005,請求記録!$B$6:$B$3005,$A76,請求記録!$Z$6:$Z$3005,H$5))))</f>
        <v/>
      </c>
      <c r="I76" s="19">
        <f>IF($A76="","",IF(COUNTIFS(請求記録!$B$6:$B$3005,$A76,請求記録!$Z$6:$Z$3005,I$5,請求記録!$AF$6:$AF$3005,"保留中")&gt;0,"保留",IF(COUNTIFS(請求記録!$B$6:$B$3005,$A76,請求記録!$Z$6:$Z$3005,I$5)=0,"",SUMIFS(請求記録!$AE$6:$AE$3005,請求記録!$B$6:$B$3005,$A76,請求記録!$Z$6:$Z$3005,I$5))))</f>
        <v/>
      </c>
      <c r="J76" s="19">
        <f>IF($A76="","",IF(COUNTIFS(請求記録!$B$6:$B$3005,$A76,請求記録!$Z$6:$Z$3005,J$5,請求記録!$AF$6:$AF$3005,"保留中")&gt;0,"保留",IF(COUNTIFS(請求記録!$B$6:$B$3005,$A76,請求記録!$Z$6:$Z$3005,J$5)=0,"",SUMIFS(請求記録!$AE$6:$AE$3005,請求記録!$B$6:$B$3005,$A76,請求記録!$Z$6:$Z$3005,J$5))))</f>
        <v/>
      </c>
      <c r="K76" s="19">
        <f>IF($A76="","",IF(COUNTIFS(請求記録!$B$6:$B$3005,$A76,請求記録!$Z$6:$Z$3005,K$5,請求記録!$AF$6:$AF$3005,"保留中")&gt;0,"保留",IF(COUNTIFS(請求記録!$B$6:$B$3005,$A76,請求記録!$Z$6:$Z$3005,K$5)=0,"",SUMIFS(請求記録!$AE$6:$AE$3005,請求記録!$B$6:$B$3005,$A76,請求記録!$Z$6:$Z$3005,K$5))))</f>
        <v/>
      </c>
      <c r="L76" s="19">
        <f>IF($A76="","",IF(COUNTIFS(請求記録!$B$6:$B$3005,$A76,請求記録!$Z$6:$Z$3005,L$5,請求記録!$AF$6:$AF$3005,"保留中")&gt;0,"保留",IF(COUNTIFS(請求記録!$B$6:$B$3005,$A76,請求記録!$Z$6:$Z$3005,L$5)=0,"",SUMIFS(請求記録!$AE$6:$AE$3005,請求記録!$B$6:$B$3005,$A76,請求記録!$Z$6:$Z$3005,L$5))))</f>
        <v/>
      </c>
      <c r="M76" s="19">
        <f>IF($A76="","",IF(COUNTIFS(請求記録!$B$6:$B$3005,$A76,請求記録!$Z$6:$Z$3005,M$5,請求記録!$AF$6:$AF$3005,"保留中")&gt;0,"保留",IF(COUNTIFS(請求記録!$B$6:$B$3005,$A76,請求記録!$Z$6:$Z$3005,M$5)=0,"",SUMIFS(請求記録!$AE$6:$AE$3005,請求記録!$B$6:$B$3005,$A76,請求記録!$Z$6:$Z$3005,M$5))))</f>
        <v/>
      </c>
      <c r="N76" s="19">
        <f>IF($A76="","",IF(COUNTIFS(請求記録!$B$6:$B$3005,$A76,請求記録!$Z$6:$Z$3005,N$5,請求記録!$AF$6:$AF$3005,"保留中")&gt;0,"保留",IF(COUNTIFS(請求記録!$B$6:$B$3005,$A76,請求記録!$Z$6:$Z$3005,N$5)=0,"",SUMIFS(請求記録!$AE$6:$AE$3005,請求記録!$B$6:$B$3005,$A76,請求記録!$Z$6:$Z$3005,N$5))))</f>
        <v/>
      </c>
      <c r="O76" s="19">
        <f>IF($A76="","",IF(COUNTIFS(請求記録!$B$6:$B$3005,$A76,請求記録!$Z$6:$Z$3005,O$5,請求記録!$AF$6:$AF$3005,"保留中")&gt;0,"保留",IF(COUNTIFS(請求記録!$B$6:$B$3005,$A76,請求記録!$Z$6:$Z$3005,O$5)=0,"",SUMIFS(請求記録!$AE$6:$AE$3005,請求記録!$B$6:$B$3005,$A76,請求記録!$Z$6:$Z$3005,O$5))))</f>
        <v/>
      </c>
      <c r="P76" s="19">
        <f>IF($A76="","",IF(COUNTIFS(請求記録!$B$6:$B$3005,$A76,請求記録!$Z$6:$Z$3005,P$5,請求記録!$AF$6:$AF$3005,"保留中")&gt;0,"保留",IF(COUNTIFS(請求記録!$B$6:$B$3005,$A76,請求記録!$Z$6:$Z$3005,P$5)=0,"",SUMIFS(請求記録!$AE$6:$AE$3005,請求記録!$B$6:$B$3005,$A76,請求記録!$Z$6:$Z$3005,P$5))))</f>
        <v/>
      </c>
      <c r="Q76" s="19">
        <f>IF($A76="","",IF(COUNTIFS(請求記録!$B$6:$B$3005,$A76,請求記録!$Z$6:$Z$3005,Q$5,請求記録!$AF$6:$AF$3005,"保留中")&gt;0,"保留",IF(COUNTIFS(請求記録!$B$6:$B$3005,$A76,請求記録!$Z$6:$Z$3005,Q$5)=0,"",SUMIFS(請求記録!$AE$6:$AE$3005,請求記録!$B$6:$B$3005,$A76,請求記録!$Z$6:$Z$3005,Q$5))))</f>
        <v/>
      </c>
      <c r="R76" s="19">
        <f>IF($A76="","",IF(COUNTIFS(請求記録!$B$6:$B$3005,$A76,請求記録!$Z$6:$Z$3005,R$5,請求記録!$AF$6:$AF$3005,"保留中")&gt;0,"保留",IF(COUNTIFS(請求記録!$B$6:$B$3005,$A76,請求記録!$Z$6:$Z$3005,R$5)=0,"",SUMIFS(請求記録!$AE$6:$AE$3005,請求記録!$B$6:$B$3005,$A76,請求記録!$Z$6:$Z$3005,R$5))))</f>
        <v/>
      </c>
      <c r="S76" s="19">
        <f>IF($A76="","",IF(COUNTIFS(請求記録!$B$6:$B$3005,$A76,請求記録!$Z$6:$Z$3005,S$5,請求記録!$AF$6:$AF$3005,"保留中")&gt;0,"保留",IF(COUNTIFS(請求記録!$B$6:$B$3005,$A76,請求記録!$Z$6:$Z$3005,S$5)=0,"",SUMIFS(請求記録!$AE$6:$AE$3005,請求記録!$B$6:$B$3005,$A76,請求記録!$Z$6:$Z$3005,S$5))))</f>
        <v/>
      </c>
      <c r="T76" s="19">
        <f>IF($A76="","",IF(COUNTIFS(請求記録!$B$6:$B$3005,$A76,請求記録!$Z$6:$Z$3005,T$5,請求記録!$AF$6:$AF$3005,"保留中")&gt;0,"保留",IF(COUNTIFS(請求記録!$B$6:$B$3005,$A76,請求記録!$Z$6:$Z$3005,T$5)=0,"",SUMIFS(請求記録!$AE$6:$AE$3005,請求記録!$B$6:$B$3005,$A76,請求記録!$Z$6:$Z$3005,T$5))))</f>
        <v/>
      </c>
      <c r="U76" s="19">
        <f>IF($A76="","",IF(COUNTIFS(請求記録!$B$6:$B$3005,$A76,請求記録!$Z$6:$Z$3005,U$5,請求記録!$AF$6:$AF$3005,"保留中")&gt;0,"保留",IF(COUNTIFS(請求記録!$B$6:$B$3005,$A76,請求記録!$Z$6:$Z$3005,U$5)=0,"",SUMIFS(請求記録!$AE$6:$AE$3005,請求記録!$B$6:$B$3005,$A76,請求記録!$Z$6:$Z$3005,U$5))))</f>
        <v/>
      </c>
      <c r="V76" s="19">
        <f>IF($A76="","",IF(COUNTIFS(請求記録!$B$6:$B$3005,$A76,請求記録!$Z$6:$Z$3005,V$5,請求記録!$AF$6:$AF$3005,"保留中")&gt;0,"保留",IF(COUNTIFS(請求記録!$B$6:$B$3005,$A76,請求記録!$Z$6:$Z$3005,V$5)=0,"",SUMIFS(請求記録!$AE$6:$AE$3005,請求記録!$B$6:$B$3005,$A76,請求記録!$Z$6:$Z$3005,V$5))))</f>
        <v/>
      </c>
      <c r="W76" s="19">
        <f>IF($A76="","",IF(COUNTIFS(請求記録!$B$6:$B$3005,$A76,請求記録!$Z$6:$Z$3005,W$5,請求記録!$AF$6:$AF$3005,"保留中")&gt;0,"保留",IF(COUNTIFS(請求記録!$B$6:$B$3005,$A76,請求記録!$Z$6:$Z$3005,W$5)=0,"",SUMIFS(請求記録!$AE$6:$AE$3005,請求記録!$B$6:$B$3005,$A76,請求記録!$Z$6:$Z$3005,W$5))))</f>
        <v/>
      </c>
      <c r="X76" s="19">
        <f>IF($A76="","",IF(COUNTIFS(請求記録!$B$6:$B$3005,$A76,請求記録!$Z$6:$Z$3005,X$5,請求記録!$AF$6:$AF$3005,"保留中")&gt;0,"保留",IF(COUNTIFS(請求記録!$B$6:$B$3005,$A76,請求記録!$Z$6:$Z$3005,X$5)=0,"",SUMIFS(請求記録!$AE$6:$AE$3005,請求記録!$B$6:$B$3005,$A76,請求記録!$Z$6:$Z$3005,X$5))))</f>
        <v/>
      </c>
      <c r="Y76" s="19">
        <f>IF($A76="","",IF(COUNTIFS(請求記録!$B$6:$B$3005,$A76,請求記録!$Z$6:$Z$3005,Y$5,請求記録!$AF$6:$AF$3005,"保留中")&gt;0,"保留",IF(COUNTIFS(請求記録!$B$6:$B$3005,$A76,請求記録!$Z$6:$Z$3005,Y$5)=0,"",SUMIFS(請求記録!$AE$6:$AE$3005,請求記録!$B$6:$B$3005,$A76,請求記録!$Z$6:$Z$3005,Y$5))))</f>
        <v/>
      </c>
      <c r="Z76" s="19">
        <f>IF($A76="","",IF(COUNTIFS(請求記録!$B$6:$B$3005,$A76,請求記録!$Z$6:$Z$3005,Z$5,請求記録!$AF$6:$AF$3005,"保留中")&gt;0,"保留",IF(COUNTIFS(請求記録!$B$6:$B$3005,$A76,請求記録!$Z$6:$Z$3005,Z$5)=0,"",SUMIFS(請求記録!$AE$6:$AE$3005,請求記録!$B$6:$B$3005,$A76,請求記録!$Z$6:$Z$3005,Z$5))))</f>
        <v/>
      </c>
      <c r="AA76" s="19">
        <f>IF($A76="","",IF(COUNTIFS(請求記録!$B$6:$B$3005,$A76,請求記録!$Z$6:$Z$3005,AA$5,請求記録!$AF$6:$AF$3005,"保留中")&gt;0,"保留",IF(COUNTIFS(請求記録!$B$6:$B$3005,$A76,請求記録!$Z$6:$Z$3005,AA$5)=0,"",SUMIFS(請求記録!$AE$6:$AE$3005,請求記録!$B$6:$B$3005,$A76,請求記録!$Z$6:$Z$3005,AA$5))))</f>
        <v/>
      </c>
      <c r="AB76">
        <f>IF(職員マスタ!P76="保留中",職員マスタ!M76,"")</f>
        <v/>
      </c>
    </row>
    <row r="77">
      <c r="A77">
        <f>IF(職員マスタ!A77="","",職員マスタ!A77)</f>
        <v/>
      </c>
      <c r="B77">
        <f>IF($A77="","",職員マスタ!B77)</f>
        <v/>
      </c>
      <c r="C77">
        <f>IF($A77="","",職員マスタ!C77)</f>
        <v/>
      </c>
      <c r="D77" s="19">
        <f>IF($A77="","",IF(COUNTIFS(請求記録!$B$6:$B$3005,$A77,請求記録!$Z$6:$Z$3005,D$5,請求記録!$AF$6:$AF$3005,"保留中")&gt;0,"保留",IF(COUNTIFS(請求記録!$B$6:$B$3005,$A77,請求記録!$Z$6:$Z$3005,D$5)=0,"",SUMIFS(請求記録!$AE$6:$AE$3005,請求記録!$B$6:$B$3005,$A77,請求記録!$Z$6:$Z$3005,D$5))))</f>
        <v/>
      </c>
      <c r="E77" s="19">
        <f>IF($A77="","",IF(COUNTIFS(請求記録!$B$6:$B$3005,$A77,請求記録!$Z$6:$Z$3005,E$5,請求記録!$AF$6:$AF$3005,"保留中")&gt;0,"保留",IF(COUNTIFS(請求記録!$B$6:$B$3005,$A77,請求記録!$Z$6:$Z$3005,E$5)=0,"",SUMIFS(請求記録!$AE$6:$AE$3005,請求記録!$B$6:$B$3005,$A77,請求記録!$Z$6:$Z$3005,E$5))))</f>
        <v/>
      </c>
      <c r="F77" s="19">
        <f>IF($A77="","",IF(COUNTIFS(請求記録!$B$6:$B$3005,$A77,請求記録!$Z$6:$Z$3005,F$5,請求記録!$AF$6:$AF$3005,"保留中")&gt;0,"保留",IF(COUNTIFS(請求記録!$B$6:$B$3005,$A77,請求記録!$Z$6:$Z$3005,F$5)=0,"",SUMIFS(請求記録!$AE$6:$AE$3005,請求記録!$B$6:$B$3005,$A77,請求記録!$Z$6:$Z$3005,F$5))))</f>
        <v/>
      </c>
      <c r="G77" s="19">
        <f>IF($A77="","",IF(COUNTIFS(請求記録!$B$6:$B$3005,$A77,請求記録!$Z$6:$Z$3005,G$5,請求記録!$AF$6:$AF$3005,"保留中")&gt;0,"保留",IF(COUNTIFS(請求記録!$B$6:$B$3005,$A77,請求記録!$Z$6:$Z$3005,G$5)=0,"",SUMIFS(請求記録!$AE$6:$AE$3005,請求記録!$B$6:$B$3005,$A77,請求記録!$Z$6:$Z$3005,G$5))))</f>
        <v/>
      </c>
      <c r="H77" s="19">
        <f>IF($A77="","",IF(COUNTIFS(請求記録!$B$6:$B$3005,$A77,請求記録!$Z$6:$Z$3005,H$5,請求記録!$AF$6:$AF$3005,"保留中")&gt;0,"保留",IF(COUNTIFS(請求記録!$B$6:$B$3005,$A77,請求記録!$Z$6:$Z$3005,H$5)=0,"",SUMIFS(請求記録!$AE$6:$AE$3005,請求記録!$B$6:$B$3005,$A77,請求記録!$Z$6:$Z$3005,H$5))))</f>
        <v/>
      </c>
      <c r="I77" s="19">
        <f>IF($A77="","",IF(COUNTIFS(請求記録!$B$6:$B$3005,$A77,請求記録!$Z$6:$Z$3005,I$5,請求記録!$AF$6:$AF$3005,"保留中")&gt;0,"保留",IF(COUNTIFS(請求記録!$B$6:$B$3005,$A77,請求記録!$Z$6:$Z$3005,I$5)=0,"",SUMIFS(請求記録!$AE$6:$AE$3005,請求記録!$B$6:$B$3005,$A77,請求記録!$Z$6:$Z$3005,I$5))))</f>
        <v/>
      </c>
      <c r="J77" s="19">
        <f>IF($A77="","",IF(COUNTIFS(請求記録!$B$6:$B$3005,$A77,請求記録!$Z$6:$Z$3005,J$5,請求記録!$AF$6:$AF$3005,"保留中")&gt;0,"保留",IF(COUNTIFS(請求記録!$B$6:$B$3005,$A77,請求記録!$Z$6:$Z$3005,J$5)=0,"",SUMIFS(請求記録!$AE$6:$AE$3005,請求記録!$B$6:$B$3005,$A77,請求記録!$Z$6:$Z$3005,J$5))))</f>
        <v/>
      </c>
      <c r="K77" s="19">
        <f>IF($A77="","",IF(COUNTIFS(請求記録!$B$6:$B$3005,$A77,請求記録!$Z$6:$Z$3005,K$5,請求記録!$AF$6:$AF$3005,"保留中")&gt;0,"保留",IF(COUNTIFS(請求記録!$B$6:$B$3005,$A77,請求記録!$Z$6:$Z$3005,K$5)=0,"",SUMIFS(請求記録!$AE$6:$AE$3005,請求記録!$B$6:$B$3005,$A77,請求記録!$Z$6:$Z$3005,K$5))))</f>
        <v/>
      </c>
      <c r="L77" s="19">
        <f>IF($A77="","",IF(COUNTIFS(請求記録!$B$6:$B$3005,$A77,請求記録!$Z$6:$Z$3005,L$5,請求記録!$AF$6:$AF$3005,"保留中")&gt;0,"保留",IF(COUNTIFS(請求記録!$B$6:$B$3005,$A77,請求記録!$Z$6:$Z$3005,L$5)=0,"",SUMIFS(請求記録!$AE$6:$AE$3005,請求記録!$B$6:$B$3005,$A77,請求記録!$Z$6:$Z$3005,L$5))))</f>
        <v/>
      </c>
      <c r="M77" s="19">
        <f>IF($A77="","",IF(COUNTIFS(請求記録!$B$6:$B$3005,$A77,請求記録!$Z$6:$Z$3005,M$5,請求記録!$AF$6:$AF$3005,"保留中")&gt;0,"保留",IF(COUNTIFS(請求記録!$B$6:$B$3005,$A77,請求記録!$Z$6:$Z$3005,M$5)=0,"",SUMIFS(請求記録!$AE$6:$AE$3005,請求記録!$B$6:$B$3005,$A77,請求記録!$Z$6:$Z$3005,M$5))))</f>
        <v/>
      </c>
      <c r="N77" s="19">
        <f>IF($A77="","",IF(COUNTIFS(請求記録!$B$6:$B$3005,$A77,請求記録!$Z$6:$Z$3005,N$5,請求記録!$AF$6:$AF$3005,"保留中")&gt;0,"保留",IF(COUNTIFS(請求記録!$B$6:$B$3005,$A77,請求記録!$Z$6:$Z$3005,N$5)=0,"",SUMIFS(請求記録!$AE$6:$AE$3005,請求記録!$B$6:$B$3005,$A77,請求記録!$Z$6:$Z$3005,N$5))))</f>
        <v/>
      </c>
      <c r="O77" s="19">
        <f>IF($A77="","",IF(COUNTIFS(請求記録!$B$6:$B$3005,$A77,請求記録!$Z$6:$Z$3005,O$5,請求記録!$AF$6:$AF$3005,"保留中")&gt;0,"保留",IF(COUNTIFS(請求記録!$B$6:$B$3005,$A77,請求記録!$Z$6:$Z$3005,O$5)=0,"",SUMIFS(請求記録!$AE$6:$AE$3005,請求記録!$B$6:$B$3005,$A77,請求記録!$Z$6:$Z$3005,O$5))))</f>
        <v/>
      </c>
      <c r="P77" s="19">
        <f>IF($A77="","",IF(COUNTIFS(請求記録!$B$6:$B$3005,$A77,請求記録!$Z$6:$Z$3005,P$5,請求記録!$AF$6:$AF$3005,"保留中")&gt;0,"保留",IF(COUNTIFS(請求記録!$B$6:$B$3005,$A77,請求記録!$Z$6:$Z$3005,P$5)=0,"",SUMIFS(請求記録!$AE$6:$AE$3005,請求記録!$B$6:$B$3005,$A77,請求記録!$Z$6:$Z$3005,P$5))))</f>
        <v/>
      </c>
      <c r="Q77" s="19">
        <f>IF($A77="","",IF(COUNTIFS(請求記録!$B$6:$B$3005,$A77,請求記録!$Z$6:$Z$3005,Q$5,請求記録!$AF$6:$AF$3005,"保留中")&gt;0,"保留",IF(COUNTIFS(請求記録!$B$6:$B$3005,$A77,請求記録!$Z$6:$Z$3005,Q$5)=0,"",SUMIFS(請求記録!$AE$6:$AE$3005,請求記録!$B$6:$B$3005,$A77,請求記録!$Z$6:$Z$3005,Q$5))))</f>
        <v/>
      </c>
      <c r="R77" s="19">
        <f>IF($A77="","",IF(COUNTIFS(請求記録!$B$6:$B$3005,$A77,請求記録!$Z$6:$Z$3005,R$5,請求記録!$AF$6:$AF$3005,"保留中")&gt;0,"保留",IF(COUNTIFS(請求記録!$B$6:$B$3005,$A77,請求記録!$Z$6:$Z$3005,R$5)=0,"",SUMIFS(請求記録!$AE$6:$AE$3005,請求記録!$B$6:$B$3005,$A77,請求記録!$Z$6:$Z$3005,R$5))))</f>
        <v/>
      </c>
      <c r="S77" s="19">
        <f>IF($A77="","",IF(COUNTIFS(請求記録!$B$6:$B$3005,$A77,請求記録!$Z$6:$Z$3005,S$5,請求記録!$AF$6:$AF$3005,"保留中")&gt;0,"保留",IF(COUNTIFS(請求記録!$B$6:$B$3005,$A77,請求記録!$Z$6:$Z$3005,S$5)=0,"",SUMIFS(請求記録!$AE$6:$AE$3005,請求記録!$B$6:$B$3005,$A77,請求記録!$Z$6:$Z$3005,S$5))))</f>
        <v/>
      </c>
      <c r="T77" s="19">
        <f>IF($A77="","",IF(COUNTIFS(請求記録!$B$6:$B$3005,$A77,請求記録!$Z$6:$Z$3005,T$5,請求記録!$AF$6:$AF$3005,"保留中")&gt;0,"保留",IF(COUNTIFS(請求記録!$B$6:$B$3005,$A77,請求記録!$Z$6:$Z$3005,T$5)=0,"",SUMIFS(請求記録!$AE$6:$AE$3005,請求記録!$B$6:$B$3005,$A77,請求記録!$Z$6:$Z$3005,T$5))))</f>
        <v/>
      </c>
      <c r="U77" s="19">
        <f>IF($A77="","",IF(COUNTIFS(請求記録!$B$6:$B$3005,$A77,請求記録!$Z$6:$Z$3005,U$5,請求記録!$AF$6:$AF$3005,"保留中")&gt;0,"保留",IF(COUNTIFS(請求記録!$B$6:$B$3005,$A77,請求記録!$Z$6:$Z$3005,U$5)=0,"",SUMIFS(請求記録!$AE$6:$AE$3005,請求記録!$B$6:$B$3005,$A77,請求記録!$Z$6:$Z$3005,U$5))))</f>
        <v/>
      </c>
      <c r="V77" s="19">
        <f>IF($A77="","",IF(COUNTIFS(請求記録!$B$6:$B$3005,$A77,請求記録!$Z$6:$Z$3005,V$5,請求記録!$AF$6:$AF$3005,"保留中")&gt;0,"保留",IF(COUNTIFS(請求記録!$B$6:$B$3005,$A77,請求記録!$Z$6:$Z$3005,V$5)=0,"",SUMIFS(請求記録!$AE$6:$AE$3005,請求記録!$B$6:$B$3005,$A77,請求記録!$Z$6:$Z$3005,V$5))))</f>
        <v/>
      </c>
      <c r="W77" s="19">
        <f>IF($A77="","",IF(COUNTIFS(請求記録!$B$6:$B$3005,$A77,請求記録!$Z$6:$Z$3005,W$5,請求記録!$AF$6:$AF$3005,"保留中")&gt;0,"保留",IF(COUNTIFS(請求記録!$B$6:$B$3005,$A77,請求記録!$Z$6:$Z$3005,W$5)=0,"",SUMIFS(請求記録!$AE$6:$AE$3005,請求記録!$B$6:$B$3005,$A77,請求記録!$Z$6:$Z$3005,W$5))))</f>
        <v/>
      </c>
      <c r="X77" s="19">
        <f>IF($A77="","",IF(COUNTIFS(請求記録!$B$6:$B$3005,$A77,請求記録!$Z$6:$Z$3005,X$5,請求記録!$AF$6:$AF$3005,"保留中")&gt;0,"保留",IF(COUNTIFS(請求記録!$B$6:$B$3005,$A77,請求記録!$Z$6:$Z$3005,X$5)=0,"",SUMIFS(請求記録!$AE$6:$AE$3005,請求記録!$B$6:$B$3005,$A77,請求記録!$Z$6:$Z$3005,X$5))))</f>
        <v/>
      </c>
      <c r="Y77" s="19">
        <f>IF($A77="","",IF(COUNTIFS(請求記録!$B$6:$B$3005,$A77,請求記録!$Z$6:$Z$3005,Y$5,請求記録!$AF$6:$AF$3005,"保留中")&gt;0,"保留",IF(COUNTIFS(請求記録!$B$6:$B$3005,$A77,請求記録!$Z$6:$Z$3005,Y$5)=0,"",SUMIFS(請求記録!$AE$6:$AE$3005,請求記録!$B$6:$B$3005,$A77,請求記録!$Z$6:$Z$3005,Y$5))))</f>
        <v/>
      </c>
      <c r="Z77" s="19">
        <f>IF($A77="","",IF(COUNTIFS(請求記録!$B$6:$B$3005,$A77,請求記録!$Z$6:$Z$3005,Z$5,請求記録!$AF$6:$AF$3005,"保留中")&gt;0,"保留",IF(COUNTIFS(請求記録!$B$6:$B$3005,$A77,請求記録!$Z$6:$Z$3005,Z$5)=0,"",SUMIFS(請求記録!$AE$6:$AE$3005,請求記録!$B$6:$B$3005,$A77,請求記録!$Z$6:$Z$3005,Z$5))))</f>
        <v/>
      </c>
      <c r="AA77" s="19">
        <f>IF($A77="","",IF(COUNTIFS(請求記録!$B$6:$B$3005,$A77,請求記録!$Z$6:$Z$3005,AA$5,請求記録!$AF$6:$AF$3005,"保留中")&gt;0,"保留",IF(COUNTIFS(請求記録!$B$6:$B$3005,$A77,請求記録!$Z$6:$Z$3005,AA$5)=0,"",SUMIFS(請求記録!$AE$6:$AE$3005,請求記録!$B$6:$B$3005,$A77,請求記録!$Z$6:$Z$3005,AA$5))))</f>
        <v/>
      </c>
      <c r="AB77">
        <f>IF(職員マスタ!P77="保留中",職員マスタ!M77,"")</f>
        <v/>
      </c>
    </row>
    <row r="78">
      <c r="A78">
        <f>IF(職員マスタ!A78="","",職員マスタ!A78)</f>
        <v/>
      </c>
      <c r="B78">
        <f>IF($A78="","",職員マスタ!B78)</f>
        <v/>
      </c>
      <c r="C78">
        <f>IF($A78="","",職員マスタ!C78)</f>
        <v/>
      </c>
      <c r="D78" s="19">
        <f>IF($A78="","",IF(COUNTIFS(請求記録!$B$6:$B$3005,$A78,請求記録!$Z$6:$Z$3005,D$5,請求記録!$AF$6:$AF$3005,"保留中")&gt;0,"保留",IF(COUNTIFS(請求記録!$B$6:$B$3005,$A78,請求記録!$Z$6:$Z$3005,D$5)=0,"",SUMIFS(請求記録!$AE$6:$AE$3005,請求記録!$B$6:$B$3005,$A78,請求記録!$Z$6:$Z$3005,D$5))))</f>
        <v/>
      </c>
      <c r="E78" s="19">
        <f>IF($A78="","",IF(COUNTIFS(請求記録!$B$6:$B$3005,$A78,請求記録!$Z$6:$Z$3005,E$5,請求記録!$AF$6:$AF$3005,"保留中")&gt;0,"保留",IF(COUNTIFS(請求記録!$B$6:$B$3005,$A78,請求記録!$Z$6:$Z$3005,E$5)=0,"",SUMIFS(請求記録!$AE$6:$AE$3005,請求記録!$B$6:$B$3005,$A78,請求記録!$Z$6:$Z$3005,E$5))))</f>
        <v/>
      </c>
      <c r="F78" s="19">
        <f>IF($A78="","",IF(COUNTIFS(請求記録!$B$6:$B$3005,$A78,請求記録!$Z$6:$Z$3005,F$5,請求記録!$AF$6:$AF$3005,"保留中")&gt;0,"保留",IF(COUNTIFS(請求記録!$B$6:$B$3005,$A78,請求記録!$Z$6:$Z$3005,F$5)=0,"",SUMIFS(請求記録!$AE$6:$AE$3005,請求記録!$B$6:$B$3005,$A78,請求記録!$Z$6:$Z$3005,F$5))))</f>
        <v/>
      </c>
      <c r="G78" s="19">
        <f>IF($A78="","",IF(COUNTIFS(請求記録!$B$6:$B$3005,$A78,請求記録!$Z$6:$Z$3005,G$5,請求記録!$AF$6:$AF$3005,"保留中")&gt;0,"保留",IF(COUNTIFS(請求記録!$B$6:$B$3005,$A78,請求記録!$Z$6:$Z$3005,G$5)=0,"",SUMIFS(請求記録!$AE$6:$AE$3005,請求記録!$B$6:$B$3005,$A78,請求記録!$Z$6:$Z$3005,G$5))))</f>
        <v/>
      </c>
      <c r="H78" s="19">
        <f>IF($A78="","",IF(COUNTIFS(請求記録!$B$6:$B$3005,$A78,請求記録!$Z$6:$Z$3005,H$5,請求記録!$AF$6:$AF$3005,"保留中")&gt;0,"保留",IF(COUNTIFS(請求記録!$B$6:$B$3005,$A78,請求記録!$Z$6:$Z$3005,H$5)=0,"",SUMIFS(請求記録!$AE$6:$AE$3005,請求記録!$B$6:$B$3005,$A78,請求記録!$Z$6:$Z$3005,H$5))))</f>
        <v/>
      </c>
      <c r="I78" s="19">
        <f>IF($A78="","",IF(COUNTIFS(請求記録!$B$6:$B$3005,$A78,請求記録!$Z$6:$Z$3005,I$5,請求記録!$AF$6:$AF$3005,"保留中")&gt;0,"保留",IF(COUNTIFS(請求記録!$B$6:$B$3005,$A78,請求記録!$Z$6:$Z$3005,I$5)=0,"",SUMIFS(請求記録!$AE$6:$AE$3005,請求記録!$B$6:$B$3005,$A78,請求記録!$Z$6:$Z$3005,I$5))))</f>
        <v/>
      </c>
      <c r="J78" s="19">
        <f>IF($A78="","",IF(COUNTIFS(請求記録!$B$6:$B$3005,$A78,請求記録!$Z$6:$Z$3005,J$5,請求記録!$AF$6:$AF$3005,"保留中")&gt;0,"保留",IF(COUNTIFS(請求記録!$B$6:$B$3005,$A78,請求記録!$Z$6:$Z$3005,J$5)=0,"",SUMIFS(請求記録!$AE$6:$AE$3005,請求記録!$B$6:$B$3005,$A78,請求記録!$Z$6:$Z$3005,J$5))))</f>
        <v/>
      </c>
      <c r="K78" s="19">
        <f>IF($A78="","",IF(COUNTIFS(請求記録!$B$6:$B$3005,$A78,請求記録!$Z$6:$Z$3005,K$5,請求記録!$AF$6:$AF$3005,"保留中")&gt;0,"保留",IF(COUNTIFS(請求記録!$B$6:$B$3005,$A78,請求記録!$Z$6:$Z$3005,K$5)=0,"",SUMIFS(請求記録!$AE$6:$AE$3005,請求記録!$B$6:$B$3005,$A78,請求記録!$Z$6:$Z$3005,K$5))))</f>
        <v/>
      </c>
      <c r="L78" s="19">
        <f>IF($A78="","",IF(COUNTIFS(請求記録!$B$6:$B$3005,$A78,請求記録!$Z$6:$Z$3005,L$5,請求記録!$AF$6:$AF$3005,"保留中")&gt;0,"保留",IF(COUNTIFS(請求記録!$B$6:$B$3005,$A78,請求記録!$Z$6:$Z$3005,L$5)=0,"",SUMIFS(請求記録!$AE$6:$AE$3005,請求記録!$B$6:$B$3005,$A78,請求記録!$Z$6:$Z$3005,L$5))))</f>
        <v/>
      </c>
      <c r="M78" s="19">
        <f>IF($A78="","",IF(COUNTIFS(請求記録!$B$6:$B$3005,$A78,請求記録!$Z$6:$Z$3005,M$5,請求記録!$AF$6:$AF$3005,"保留中")&gt;0,"保留",IF(COUNTIFS(請求記録!$B$6:$B$3005,$A78,請求記録!$Z$6:$Z$3005,M$5)=0,"",SUMIFS(請求記録!$AE$6:$AE$3005,請求記録!$B$6:$B$3005,$A78,請求記録!$Z$6:$Z$3005,M$5))))</f>
        <v/>
      </c>
      <c r="N78" s="19">
        <f>IF($A78="","",IF(COUNTIFS(請求記録!$B$6:$B$3005,$A78,請求記録!$Z$6:$Z$3005,N$5,請求記録!$AF$6:$AF$3005,"保留中")&gt;0,"保留",IF(COUNTIFS(請求記録!$B$6:$B$3005,$A78,請求記録!$Z$6:$Z$3005,N$5)=0,"",SUMIFS(請求記録!$AE$6:$AE$3005,請求記録!$B$6:$B$3005,$A78,請求記録!$Z$6:$Z$3005,N$5))))</f>
        <v/>
      </c>
      <c r="O78" s="19">
        <f>IF($A78="","",IF(COUNTIFS(請求記録!$B$6:$B$3005,$A78,請求記録!$Z$6:$Z$3005,O$5,請求記録!$AF$6:$AF$3005,"保留中")&gt;0,"保留",IF(COUNTIFS(請求記録!$B$6:$B$3005,$A78,請求記録!$Z$6:$Z$3005,O$5)=0,"",SUMIFS(請求記録!$AE$6:$AE$3005,請求記録!$B$6:$B$3005,$A78,請求記録!$Z$6:$Z$3005,O$5))))</f>
        <v/>
      </c>
      <c r="P78" s="19">
        <f>IF($A78="","",IF(COUNTIFS(請求記録!$B$6:$B$3005,$A78,請求記録!$Z$6:$Z$3005,P$5,請求記録!$AF$6:$AF$3005,"保留中")&gt;0,"保留",IF(COUNTIFS(請求記録!$B$6:$B$3005,$A78,請求記録!$Z$6:$Z$3005,P$5)=0,"",SUMIFS(請求記録!$AE$6:$AE$3005,請求記録!$B$6:$B$3005,$A78,請求記録!$Z$6:$Z$3005,P$5))))</f>
        <v/>
      </c>
      <c r="Q78" s="19">
        <f>IF($A78="","",IF(COUNTIFS(請求記録!$B$6:$B$3005,$A78,請求記録!$Z$6:$Z$3005,Q$5,請求記録!$AF$6:$AF$3005,"保留中")&gt;0,"保留",IF(COUNTIFS(請求記録!$B$6:$B$3005,$A78,請求記録!$Z$6:$Z$3005,Q$5)=0,"",SUMIFS(請求記録!$AE$6:$AE$3005,請求記録!$B$6:$B$3005,$A78,請求記録!$Z$6:$Z$3005,Q$5))))</f>
        <v/>
      </c>
      <c r="R78" s="19">
        <f>IF($A78="","",IF(COUNTIFS(請求記録!$B$6:$B$3005,$A78,請求記録!$Z$6:$Z$3005,R$5,請求記録!$AF$6:$AF$3005,"保留中")&gt;0,"保留",IF(COUNTIFS(請求記録!$B$6:$B$3005,$A78,請求記録!$Z$6:$Z$3005,R$5)=0,"",SUMIFS(請求記録!$AE$6:$AE$3005,請求記録!$B$6:$B$3005,$A78,請求記録!$Z$6:$Z$3005,R$5))))</f>
        <v/>
      </c>
      <c r="S78" s="19">
        <f>IF($A78="","",IF(COUNTIFS(請求記録!$B$6:$B$3005,$A78,請求記録!$Z$6:$Z$3005,S$5,請求記録!$AF$6:$AF$3005,"保留中")&gt;0,"保留",IF(COUNTIFS(請求記録!$B$6:$B$3005,$A78,請求記録!$Z$6:$Z$3005,S$5)=0,"",SUMIFS(請求記録!$AE$6:$AE$3005,請求記録!$B$6:$B$3005,$A78,請求記録!$Z$6:$Z$3005,S$5))))</f>
        <v/>
      </c>
      <c r="T78" s="19">
        <f>IF($A78="","",IF(COUNTIFS(請求記録!$B$6:$B$3005,$A78,請求記録!$Z$6:$Z$3005,T$5,請求記録!$AF$6:$AF$3005,"保留中")&gt;0,"保留",IF(COUNTIFS(請求記録!$B$6:$B$3005,$A78,請求記録!$Z$6:$Z$3005,T$5)=0,"",SUMIFS(請求記録!$AE$6:$AE$3005,請求記録!$B$6:$B$3005,$A78,請求記録!$Z$6:$Z$3005,T$5))))</f>
        <v/>
      </c>
      <c r="U78" s="19">
        <f>IF($A78="","",IF(COUNTIFS(請求記録!$B$6:$B$3005,$A78,請求記録!$Z$6:$Z$3005,U$5,請求記録!$AF$6:$AF$3005,"保留中")&gt;0,"保留",IF(COUNTIFS(請求記録!$B$6:$B$3005,$A78,請求記録!$Z$6:$Z$3005,U$5)=0,"",SUMIFS(請求記録!$AE$6:$AE$3005,請求記録!$B$6:$B$3005,$A78,請求記録!$Z$6:$Z$3005,U$5))))</f>
        <v/>
      </c>
      <c r="V78" s="19">
        <f>IF($A78="","",IF(COUNTIFS(請求記録!$B$6:$B$3005,$A78,請求記録!$Z$6:$Z$3005,V$5,請求記録!$AF$6:$AF$3005,"保留中")&gt;0,"保留",IF(COUNTIFS(請求記録!$B$6:$B$3005,$A78,請求記録!$Z$6:$Z$3005,V$5)=0,"",SUMIFS(請求記録!$AE$6:$AE$3005,請求記録!$B$6:$B$3005,$A78,請求記録!$Z$6:$Z$3005,V$5))))</f>
        <v/>
      </c>
      <c r="W78" s="19">
        <f>IF($A78="","",IF(COUNTIFS(請求記録!$B$6:$B$3005,$A78,請求記録!$Z$6:$Z$3005,W$5,請求記録!$AF$6:$AF$3005,"保留中")&gt;0,"保留",IF(COUNTIFS(請求記録!$B$6:$B$3005,$A78,請求記録!$Z$6:$Z$3005,W$5)=0,"",SUMIFS(請求記録!$AE$6:$AE$3005,請求記録!$B$6:$B$3005,$A78,請求記録!$Z$6:$Z$3005,W$5))))</f>
        <v/>
      </c>
      <c r="X78" s="19">
        <f>IF($A78="","",IF(COUNTIFS(請求記録!$B$6:$B$3005,$A78,請求記録!$Z$6:$Z$3005,X$5,請求記録!$AF$6:$AF$3005,"保留中")&gt;0,"保留",IF(COUNTIFS(請求記録!$B$6:$B$3005,$A78,請求記録!$Z$6:$Z$3005,X$5)=0,"",SUMIFS(請求記録!$AE$6:$AE$3005,請求記録!$B$6:$B$3005,$A78,請求記録!$Z$6:$Z$3005,X$5))))</f>
        <v/>
      </c>
      <c r="Y78" s="19">
        <f>IF($A78="","",IF(COUNTIFS(請求記録!$B$6:$B$3005,$A78,請求記録!$Z$6:$Z$3005,Y$5,請求記録!$AF$6:$AF$3005,"保留中")&gt;0,"保留",IF(COUNTIFS(請求記録!$B$6:$B$3005,$A78,請求記録!$Z$6:$Z$3005,Y$5)=0,"",SUMIFS(請求記録!$AE$6:$AE$3005,請求記録!$B$6:$B$3005,$A78,請求記録!$Z$6:$Z$3005,Y$5))))</f>
        <v/>
      </c>
      <c r="Z78" s="19">
        <f>IF($A78="","",IF(COUNTIFS(請求記録!$B$6:$B$3005,$A78,請求記録!$Z$6:$Z$3005,Z$5,請求記録!$AF$6:$AF$3005,"保留中")&gt;0,"保留",IF(COUNTIFS(請求記録!$B$6:$B$3005,$A78,請求記録!$Z$6:$Z$3005,Z$5)=0,"",SUMIFS(請求記録!$AE$6:$AE$3005,請求記録!$B$6:$B$3005,$A78,請求記録!$Z$6:$Z$3005,Z$5))))</f>
        <v/>
      </c>
      <c r="AA78" s="19">
        <f>IF($A78="","",IF(COUNTIFS(請求記録!$B$6:$B$3005,$A78,請求記録!$Z$6:$Z$3005,AA$5,請求記録!$AF$6:$AF$3005,"保留中")&gt;0,"保留",IF(COUNTIFS(請求記録!$B$6:$B$3005,$A78,請求記録!$Z$6:$Z$3005,AA$5)=0,"",SUMIFS(請求記録!$AE$6:$AE$3005,請求記録!$B$6:$B$3005,$A78,請求記録!$Z$6:$Z$3005,AA$5))))</f>
        <v/>
      </c>
      <c r="AB78">
        <f>IF(職員マスタ!P78="保留中",職員マスタ!M78,"")</f>
        <v/>
      </c>
    </row>
    <row r="79">
      <c r="A79">
        <f>IF(職員マスタ!A79="","",職員マスタ!A79)</f>
        <v/>
      </c>
      <c r="B79">
        <f>IF($A79="","",職員マスタ!B79)</f>
        <v/>
      </c>
      <c r="C79">
        <f>IF($A79="","",職員マスタ!C79)</f>
        <v/>
      </c>
      <c r="D79" s="19">
        <f>IF($A79="","",IF(COUNTIFS(請求記録!$B$6:$B$3005,$A79,請求記録!$Z$6:$Z$3005,D$5,請求記録!$AF$6:$AF$3005,"保留中")&gt;0,"保留",IF(COUNTIFS(請求記録!$B$6:$B$3005,$A79,請求記録!$Z$6:$Z$3005,D$5)=0,"",SUMIFS(請求記録!$AE$6:$AE$3005,請求記録!$B$6:$B$3005,$A79,請求記録!$Z$6:$Z$3005,D$5))))</f>
        <v/>
      </c>
      <c r="E79" s="19">
        <f>IF($A79="","",IF(COUNTIFS(請求記録!$B$6:$B$3005,$A79,請求記録!$Z$6:$Z$3005,E$5,請求記録!$AF$6:$AF$3005,"保留中")&gt;0,"保留",IF(COUNTIFS(請求記録!$B$6:$B$3005,$A79,請求記録!$Z$6:$Z$3005,E$5)=0,"",SUMIFS(請求記録!$AE$6:$AE$3005,請求記録!$B$6:$B$3005,$A79,請求記録!$Z$6:$Z$3005,E$5))))</f>
        <v/>
      </c>
      <c r="F79" s="19">
        <f>IF($A79="","",IF(COUNTIFS(請求記録!$B$6:$B$3005,$A79,請求記録!$Z$6:$Z$3005,F$5,請求記録!$AF$6:$AF$3005,"保留中")&gt;0,"保留",IF(COUNTIFS(請求記録!$B$6:$B$3005,$A79,請求記録!$Z$6:$Z$3005,F$5)=0,"",SUMIFS(請求記録!$AE$6:$AE$3005,請求記録!$B$6:$B$3005,$A79,請求記録!$Z$6:$Z$3005,F$5))))</f>
        <v/>
      </c>
      <c r="G79" s="19">
        <f>IF($A79="","",IF(COUNTIFS(請求記録!$B$6:$B$3005,$A79,請求記録!$Z$6:$Z$3005,G$5,請求記録!$AF$6:$AF$3005,"保留中")&gt;0,"保留",IF(COUNTIFS(請求記録!$B$6:$B$3005,$A79,請求記録!$Z$6:$Z$3005,G$5)=0,"",SUMIFS(請求記録!$AE$6:$AE$3005,請求記録!$B$6:$B$3005,$A79,請求記録!$Z$6:$Z$3005,G$5))))</f>
        <v/>
      </c>
      <c r="H79" s="19">
        <f>IF($A79="","",IF(COUNTIFS(請求記録!$B$6:$B$3005,$A79,請求記録!$Z$6:$Z$3005,H$5,請求記録!$AF$6:$AF$3005,"保留中")&gt;0,"保留",IF(COUNTIFS(請求記録!$B$6:$B$3005,$A79,請求記録!$Z$6:$Z$3005,H$5)=0,"",SUMIFS(請求記録!$AE$6:$AE$3005,請求記録!$B$6:$B$3005,$A79,請求記録!$Z$6:$Z$3005,H$5))))</f>
        <v/>
      </c>
      <c r="I79" s="19">
        <f>IF($A79="","",IF(COUNTIFS(請求記録!$B$6:$B$3005,$A79,請求記録!$Z$6:$Z$3005,I$5,請求記録!$AF$6:$AF$3005,"保留中")&gt;0,"保留",IF(COUNTIFS(請求記録!$B$6:$B$3005,$A79,請求記録!$Z$6:$Z$3005,I$5)=0,"",SUMIFS(請求記録!$AE$6:$AE$3005,請求記録!$B$6:$B$3005,$A79,請求記録!$Z$6:$Z$3005,I$5))))</f>
        <v/>
      </c>
      <c r="J79" s="19">
        <f>IF($A79="","",IF(COUNTIFS(請求記録!$B$6:$B$3005,$A79,請求記録!$Z$6:$Z$3005,J$5,請求記録!$AF$6:$AF$3005,"保留中")&gt;0,"保留",IF(COUNTIFS(請求記録!$B$6:$B$3005,$A79,請求記録!$Z$6:$Z$3005,J$5)=0,"",SUMIFS(請求記録!$AE$6:$AE$3005,請求記録!$B$6:$B$3005,$A79,請求記録!$Z$6:$Z$3005,J$5))))</f>
        <v/>
      </c>
      <c r="K79" s="19">
        <f>IF($A79="","",IF(COUNTIFS(請求記録!$B$6:$B$3005,$A79,請求記録!$Z$6:$Z$3005,K$5,請求記録!$AF$6:$AF$3005,"保留中")&gt;0,"保留",IF(COUNTIFS(請求記録!$B$6:$B$3005,$A79,請求記録!$Z$6:$Z$3005,K$5)=0,"",SUMIFS(請求記録!$AE$6:$AE$3005,請求記録!$B$6:$B$3005,$A79,請求記録!$Z$6:$Z$3005,K$5))))</f>
        <v/>
      </c>
      <c r="L79" s="19">
        <f>IF($A79="","",IF(COUNTIFS(請求記録!$B$6:$B$3005,$A79,請求記録!$Z$6:$Z$3005,L$5,請求記録!$AF$6:$AF$3005,"保留中")&gt;0,"保留",IF(COUNTIFS(請求記録!$B$6:$B$3005,$A79,請求記録!$Z$6:$Z$3005,L$5)=0,"",SUMIFS(請求記録!$AE$6:$AE$3005,請求記録!$B$6:$B$3005,$A79,請求記録!$Z$6:$Z$3005,L$5))))</f>
        <v/>
      </c>
      <c r="M79" s="19">
        <f>IF($A79="","",IF(COUNTIFS(請求記録!$B$6:$B$3005,$A79,請求記録!$Z$6:$Z$3005,M$5,請求記録!$AF$6:$AF$3005,"保留中")&gt;0,"保留",IF(COUNTIFS(請求記録!$B$6:$B$3005,$A79,請求記録!$Z$6:$Z$3005,M$5)=0,"",SUMIFS(請求記録!$AE$6:$AE$3005,請求記録!$B$6:$B$3005,$A79,請求記録!$Z$6:$Z$3005,M$5))))</f>
        <v/>
      </c>
      <c r="N79" s="19">
        <f>IF($A79="","",IF(COUNTIFS(請求記録!$B$6:$B$3005,$A79,請求記録!$Z$6:$Z$3005,N$5,請求記録!$AF$6:$AF$3005,"保留中")&gt;0,"保留",IF(COUNTIFS(請求記録!$B$6:$B$3005,$A79,請求記録!$Z$6:$Z$3005,N$5)=0,"",SUMIFS(請求記録!$AE$6:$AE$3005,請求記録!$B$6:$B$3005,$A79,請求記録!$Z$6:$Z$3005,N$5))))</f>
        <v/>
      </c>
      <c r="O79" s="19">
        <f>IF($A79="","",IF(COUNTIFS(請求記録!$B$6:$B$3005,$A79,請求記録!$Z$6:$Z$3005,O$5,請求記録!$AF$6:$AF$3005,"保留中")&gt;0,"保留",IF(COUNTIFS(請求記録!$B$6:$B$3005,$A79,請求記録!$Z$6:$Z$3005,O$5)=0,"",SUMIFS(請求記録!$AE$6:$AE$3005,請求記録!$B$6:$B$3005,$A79,請求記録!$Z$6:$Z$3005,O$5))))</f>
        <v/>
      </c>
      <c r="P79" s="19">
        <f>IF($A79="","",IF(COUNTIFS(請求記録!$B$6:$B$3005,$A79,請求記録!$Z$6:$Z$3005,P$5,請求記録!$AF$6:$AF$3005,"保留中")&gt;0,"保留",IF(COUNTIFS(請求記録!$B$6:$B$3005,$A79,請求記録!$Z$6:$Z$3005,P$5)=0,"",SUMIFS(請求記録!$AE$6:$AE$3005,請求記録!$B$6:$B$3005,$A79,請求記録!$Z$6:$Z$3005,P$5))))</f>
        <v/>
      </c>
      <c r="Q79" s="19">
        <f>IF($A79="","",IF(COUNTIFS(請求記録!$B$6:$B$3005,$A79,請求記録!$Z$6:$Z$3005,Q$5,請求記録!$AF$6:$AF$3005,"保留中")&gt;0,"保留",IF(COUNTIFS(請求記録!$B$6:$B$3005,$A79,請求記録!$Z$6:$Z$3005,Q$5)=0,"",SUMIFS(請求記録!$AE$6:$AE$3005,請求記録!$B$6:$B$3005,$A79,請求記録!$Z$6:$Z$3005,Q$5))))</f>
        <v/>
      </c>
      <c r="R79" s="19">
        <f>IF($A79="","",IF(COUNTIFS(請求記録!$B$6:$B$3005,$A79,請求記録!$Z$6:$Z$3005,R$5,請求記録!$AF$6:$AF$3005,"保留中")&gt;0,"保留",IF(COUNTIFS(請求記録!$B$6:$B$3005,$A79,請求記録!$Z$6:$Z$3005,R$5)=0,"",SUMIFS(請求記録!$AE$6:$AE$3005,請求記録!$B$6:$B$3005,$A79,請求記録!$Z$6:$Z$3005,R$5))))</f>
        <v/>
      </c>
      <c r="S79" s="19">
        <f>IF($A79="","",IF(COUNTIFS(請求記録!$B$6:$B$3005,$A79,請求記録!$Z$6:$Z$3005,S$5,請求記録!$AF$6:$AF$3005,"保留中")&gt;0,"保留",IF(COUNTIFS(請求記録!$B$6:$B$3005,$A79,請求記録!$Z$6:$Z$3005,S$5)=0,"",SUMIFS(請求記録!$AE$6:$AE$3005,請求記録!$B$6:$B$3005,$A79,請求記録!$Z$6:$Z$3005,S$5))))</f>
        <v/>
      </c>
      <c r="T79" s="19">
        <f>IF($A79="","",IF(COUNTIFS(請求記録!$B$6:$B$3005,$A79,請求記録!$Z$6:$Z$3005,T$5,請求記録!$AF$6:$AF$3005,"保留中")&gt;0,"保留",IF(COUNTIFS(請求記録!$B$6:$B$3005,$A79,請求記録!$Z$6:$Z$3005,T$5)=0,"",SUMIFS(請求記録!$AE$6:$AE$3005,請求記録!$B$6:$B$3005,$A79,請求記録!$Z$6:$Z$3005,T$5))))</f>
        <v/>
      </c>
      <c r="U79" s="19">
        <f>IF($A79="","",IF(COUNTIFS(請求記録!$B$6:$B$3005,$A79,請求記録!$Z$6:$Z$3005,U$5,請求記録!$AF$6:$AF$3005,"保留中")&gt;0,"保留",IF(COUNTIFS(請求記録!$B$6:$B$3005,$A79,請求記録!$Z$6:$Z$3005,U$5)=0,"",SUMIFS(請求記録!$AE$6:$AE$3005,請求記録!$B$6:$B$3005,$A79,請求記録!$Z$6:$Z$3005,U$5))))</f>
        <v/>
      </c>
      <c r="V79" s="19">
        <f>IF($A79="","",IF(COUNTIFS(請求記録!$B$6:$B$3005,$A79,請求記録!$Z$6:$Z$3005,V$5,請求記録!$AF$6:$AF$3005,"保留中")&gt;0,"保留",IF(COUNTIFS(請求記録!$B$6:$B$3005,$A79,請求記録!$Z$6:$Z$3005,V$5)=0,"",SUMIFS(請求記録!$AE$6:$AE$3005,請求記録!$B$6:$B$3005,$A79,請求記録!$Z$6:$Z$3005,V$5))))</f>
        <v/>
      </c>
      <c r="W79" s="19">
        <f>IF($A79="","",IF(COUNTIFS(請求記録!$B$6:$B$3005,$A79,請求記録!$Z$6:$Z$3005,W$5,請求記録!$AF$6:$AF$3005,"保留中")&gt;0,"保留",IF(COUNTIFS(請求記録!$B$6:$B$3005,$A79,請求記録!$Z$6:$Z$3005,W$5)=0,"",SUMIFS(請求記録!$AE$6:$AE$3005,請求記録!$B$6:$B$3005,$A79,請求記録!$Z$6:$Z$3005,W$5))))</f>
        <v/>
      </c>
      <c r="X79" s="19">
        <f>IF($A79="","",IF(COUNTIFS(請求記録!$B$6:$B$3005,$A79,請求記録!$Z$6:$Z$3005,X$5,請求記録!$AF$6:$AF$3005,"保留中")&gt;0,"保留",IF(COUNTIFS(請求記録!$B$6:$B$3005,$A79,請求記録!$Z$6:$Z$3005,X$5)=0,"",SUMIFS(請求記録!$AE$6:$AE$3005,請求記録!$B$6:$B$3005,$A79,請求記録!$Z$6:$Z$3005,X$5))))</f>
        <v/>
      </c>
      <c r="Y79" s="19">
        <f>IF($A79="","",IF(COUNTIFS(請求記録!$B$6:$B$3005,$A79,請求記録!$Z$6:$Z$3005,Y$5,請求記録!$AF$6:$AF$3005,"保留中")&gt;0,"保留",IF(COUNTIFS(請求記録!$B$6:$B$3005,$A79,請求記録!$Z$6:$Z$3005,Y$5)=0,"",SUMIFS(請求記録!$AE$6:$AE$3005,請求記録!$B$6:$B$3005,$A79,請求記録!$Z$6:$Z$3005,Y$5))))</f>
        <v/>
      </c>
      <c r="Z79" s="19">
        <f>IF($A79="","",IF(COUNTIFS(請求記録!$B$6:$B$3005,$A79,請求記録!$Z$6:$Z$3005,Z$5,請求記録!$AF$6:$AF$3005,"保留中")&gt;0,"保留",IF(COUNTIFS(請求記録!$B$6:$B$3005,$A79,請求記録!$Z$6:$Z$3005,Z$5)=0,"",SUMIFS(請求記録!$AE$6:$AE$3005,請求記録!$B$6:$B$3005,$A79,請求記録!$Z$6:$Z$3005,Z$5))))</f>
        <v/>
      </c>
      <c r="AA79" s="19">
        <f>IF($A79="","",IF(COUNTIFS(請求記録!$B$6:$B$3005,$A79,請求記録!$Z$6:$Z$3005,AA$5,請求記録!$AF$6:$AF$3005,"保留中")&gt;0,"保留",IF(COUNTIFS(請求記録!$B$6:$B$3005,$A79,請求記録!$Z$6:$Z$3005,AA$5)=0,"",SUMIFS(請求記録!$AE$6:$AE$3005,請求記録!$B$6:$B$3005,$A79,請求記録!$Z$6:$Z$3005,AA$5))))</f>
        <v/>
      </c>
      <c r="AB79">
        <f>IF(職員マスタ!P79="保留中",職員マスタ!M79,"")</f>
        <v/>
      </c>
    </row>
    <row r="80">
      <c r="A80">
        <f>IF(職員マスタ!A80="","",職員マスタ!A80)</f>
        <v/>
      </c>
      <c r="B80">
        <f>IF($A80="","",職員マスタ!B80)</f>
        <v/>
      </c>
      <c r="C80">
        <f>IF($A80="","",職員マスタ!C80)</f>
        <v/>
      </c>
      <c r="D80" s="19">
        <f>IF($A80="","",IF(COUNTIFS(請求記録!$B$6:$B$3005,$A80,請求記録!$Z$6:$Z$3005,D$5,請求記録!$AF$6:$AF$3005,"保留中")&gt;0,"保留",IF(COUNTIFS(請求記録!$B$6:$B$3005,$A80,請求記録!$Z$6:$Z$3005,D$5)=0,"",SUMIFS(請求記録!$AE$6:$AE$3005,請求記録!$B$6:$B$3005,$A80,請求記録!$Z$6:$Z$3005,D$5))))</f>
        <v/>
      </c>
      <c r="E80" s="19">
        <f>IF($A80="","",IF(COUNTIFS(請求記録!$B$6:$B$3005,$A80,請求記録!$Z$6:$Z$3005,E$5,請求記録!$AF$6:$AF$3005,"保留中")&gt;0,"保留",IF(COUNTIFS(請求記録!$B$6:$B$3005,$A80,請求記録!$Z$6:$Z$3005,E$5)=0,"",SUMIFS(請求記録!$AE$6:$AE$3005,請求記録!$B$6:$B$3005,$A80,請求記録!$Z$6:$Z$3005,E$5))))</f>
        <v/>
      </c>
      <c r="F80" s="19">
        <f>IF($A80="","",IF(COUNTIFS(請求記録!$B$6:$B$3005,$A80,請求記録!$Z$6:$Z$3005,F$5,請求記録!$AF$6:$AF$3005,"保留中")&gt;0,"保留",IF(COUNTIFS(請求記録!$B$6:$B$3005,$A80,請求記録!$Z$6:$Z$3005,F$5)=0,"",SUMIFS(請求記録!$AE$6:$AE$3005,請求記録!$B$6:$B$3005,$A80,請求記録!$Z$6:$Z$3005,F$5))))</f>
        <v/>
      </c>
      <c r="G80" s="19">
        <f>IF($A80="","",IF(COUNTIFS(請求記録!$B$6:$B$3005,$A80,請求記録!$Z$6:$Z$3005,G$5,請求記録!$AF$6:$AF$3005,"保留中")&gt;0,"保留",IF(COUNTIFS(請求記録!$B$6:$B$3005,$A80,請求記録!$Z$6:$Z$3005,G$5)=0,"",SUMIFS(請求記録!$AE$6:$AE$3005,請求記録!$B$6:$B$3005,$A80,請求記録!$Z$6:$Z$3005,G$5))))</f>
        <v/>
      </c>
      <c r="H80" s="19">
        <f>IF($A80="","",IF(COUNTIFS(請求記録!$B$6:$B$3005,$A80,請求記録!$Z$6:$Z$3005,H$5,請求記録!$AF$6:$AF$3005,"保留中")&gt;0,"保留",IF(COUNTIFS(請求記録!$B$6:$B$3005,$A80,請求記録!$Z$6:$Z$3005,H$5)=0,"",SUMIFS(請求記録!$AE$6:$AE$3005,請求記録!$B$6:$B$3005,$A80,請求記録!$Z$6:$Z$3005,H$5))))</f>
        <v/>
      </c>
      <c r="I80" s="19">
        <f>IF($A80="","",IF(COUNTIFS(請求記録!$B$6:$B$3005,$A80,請求記録!$Z$6:$Z$3005,I$5,請求記録!$AF$6:$AF$3005,"保留中")&gt;0,"保留",IF(COUNTIFS(請求記録!$B$6:$B$3005,$A80,請求記録!$Z$6:$Z$3005,I$5)=0,"",SUMIFS(請求記録!$AE$6:$AE$3005,請求記録!$B$6:$B$3005,$A80,請求記録!$Z$6:$Z$3005,I$5))))</f>
        <v/>
      </c>
      <c r="J80" s="19">
        <f>IF($A80="","",IF(COUNTIFS(請求記録!$B$6:$B$3005,$A80,請求記録!$Z$6:$Z$3005,J$5,請求記録!$AF$6:$AF$3005,"保留中")&gt;0,"保留",IF(COUNTIFS(請求記録!$B$6:$B$3005,$A80,請求記録!$Z$6:$Z$3005,J$5)=0,"",SUMIFS(請求記録!$AE$6:$AE$3005,請求記録!$B$6:$B$3005,$A80,請求記録!$Z$6:$Z$3005,J$5))))</f>
        <v/>
      </c>
      <c r="K80" s="19">
        <f>IF($A80="","",IF(COUNTIFS(請求記録!$B$6:$B$3005,$A80,請求記録!$Z$6:$Z$3005,K$5,請求記録!$AF$6:$AF$3005,"保留中")&gt;0,"保留",IF(COUNTIFS(請求記録!$B$6:$B$3005,$A80,請求記録!$Z$6:$Z$3005,K$5)=0,"",SUMIFS(請求記録!$AE$6:$AE$3005,請求記録!$B$6:$B$3005,$A80,請求記録!$Z$6:$Z$3005,K$5))))</f>
        <v/>
      </c>
      <c r="L80" s="19">
        <f>IF($A80="","",IF(COUNTIFS(請求記録!$B$6:$B$3005,$A80,請求記録!$Z$6:$Z$3005,L$5,請求記録!$AF$6:$AF$3005,"保留中")&gt;0,"保留",IF(COUNTIFS(請求記録!$B$6:$B$3005,$A80,請求記録!$Z$6:$Z$3005,L$5)=0,"",SUMIFS(請求記録!$AE$6:$AE$3005,請求記録!$B$6:$B$3005,$A80,請求記録!$Z$6:$Z$3005,L$5))))</f>
        <v/>
      </c>
      <c r="M80" s="19">
        <f>IF($A80="","",IF(COUNTIFS(請求記録!$B$6:$B$3005,$A80,請求記録!$Z$6:$Z$3005,M$5,請求記録!$AF$6:$AF$3005,"保留中")&gt;0,"保留",IF(COUNTIFS(請求記録!$B$6:$B$3005,$A80,請求記録!$Z$6:$Z$3005,M$5)=0,"",SUMIFS(請求記録!$AE$6:$AE$3005,請求記録!$B$6:$B$3005,$A80,請求記録!$Z$6:$Z$3005,M$5))))</f>
        <v/>
      </c>
      <c r="N80" s="19">
        <f>IF($A80="","",IF(COUNTIFS(請求記録!$B$6:$B$3005,$A80,請求記録!$Z$6:$Z$3005,N$5,請求記録!$AF$6:$AF$3005,"保留中")&gt;0,"保留",IF(COUNTIFS(請求記録!$B$6:$B$3005,$A80,請求記録!$Z$6:$Z$3005,N$5)=0,"",SUMIFS(請求記録!$AE$6:$AE$3005,請求記録!$B$6:$B$3005,$A80,請求記録!$Z$6:$Z$3005,N$5))))</f>
        <v/>
      </c>
      <c r="O80" s="19">
        <f>IF($A80="","",IF(COUNTIFS(請求記録!$B$6:$B$3005,$A80,請求記録!$Z$6:$Z$3005,O$5,請求記録!$AF$6:$AF$3005,"保留中")&gt;0,"保留",IF(COUNTIFS(請求記録!$B$6:$B$3005,$A80,請求記録!$Z$6:$Z$3005,O$5)=0,"",SUMIFS(請求記録!$AE$6:$AE$3005,請求記録!$B$6:$B$3005,$A80,請求記録!$Z$6:$Z$3005,O$5))))</f>
        <v/>
      </c>
      <c r="P80" s="19">
        <f>IF($A80="","",IF(COUNTIFS(請求記録!$B$6:$B$3005,$A80,請求記録!$Z$6:$Z$3005,P$5,請求記録!$AF$6:$AF$3005,"保留中")&gt;0,"保留",IF(COUNTIFS(請求記録!$B$6:$B$3005,$A80,請求記録!$Z$6:$Z$3005,P$5)=0,"",SUMIFS(請求記録!$AE$6:$AE$3005,請求記録!$B$6:$B$3005,$A80,請求記録!$Z$6:$Z$3005,P$5))))</f>
        <v/>
      </c>
      <c r="Q80" s="19">
        <f>IF($A80="","",IF(COUNTIFS(請求記録!$B$6:$B$3005,$A80,請求記録!$Z$6:$Z$3005,Q$5,請求記録!$AF$6:$AF$3005,"保留中")&gt;0,"保留",IF(COUNTIFS(請求記録!$B$6:$B$3005,$A80,請求記録!$Z$6:$Z$3005,Q$5)=0,"",SUMIFS(請求記録!$AE$6:$AE$3005,請求記録!$B$6:$B$3005,$A80,請求記録!$Z$6:$Z$3005,Q$5))))</f>
        <v/>
      </c>
      <c r="R80" s="19">
        <f>IF($A80="","",IF(COUNTIFS(請求記録!$B$6:$B$3005,$A80,請求記録!$Z$6:$Z$3005,R$5,請求記録!$AF$6:$AF$3005,"保留中")&gt;0,"保留",IF(COUNTIFS(請求記録!$B$6:$B$3005,$A80,請求記録!$Z$6:$Z$3005,R$5)=0,"",SUMIFS(請求記録!$AE$6:$AE$3005,請求記録!$B$6:$B$3005,$A80,請求記録!$Z$6:$Z$3005,R$5))))</f>
        <v/>
      </c>
      <c r="S80" s="19">
        <f>IF($A80="","",IF(COUNTIFS(請求記録!$B$6:$B$3005,$A80,請求記録!$Z$6:$Z$3005,S$5,請求記録!$AF$6:$AF$3005,"保留中")&gt;0,"保留",IF(COUNTIFS(請求記録!$B$6:$B$3005,$A80,請求記録!$Z$6:$Z$3005,S$5)=0,"",SUMIFS(請求記録!$AE$6:$AE$3005,請求記録!$B$6:$B$3005,$A80,請求記録!$Z$6:$Z$3005,S$5))))</f>
        <v/>
      </c>
      <c r="T80" s="19">
        <f>IF($A80="","",IF(COUNTIFS(請求記録!$B$6:$B$3005,$A80,請求記録!$Z$6:$Z$3005,T$5,請求記録!$AF$6:$AF$3005,"保留中")&gt;0,"保留",IF(COUNTIFS(請求記録!$B$6:$B$3005,$A80,請求記録!$Z$6:$Z$3005,T$5)=0,"",SUMIFS(請求記録!$AE$6:$AE$3005,請求記録!$B$6:$B$3005,$A80,請求記録!$Z$6:$Z$3005,T$5))))</f>
        <v/>
      </c>
      <c r="U80" s="19">
        <f>IF($A80="","",IF(COUNTIFS(請求記録!$B$6:$B$3005,$A80,請求記録!$Z$6:$Z$3005,U$5,請求記録!$AF$6:$AF$3005,"保留中")&gt;0,"保留",IF(COUNTIFS(請求記録!$B$6:$B$3005,$A80,請求記録!$Z$6:$Z$3005,U$5)=0,"",SUMIFS(請求記録!$AE$6:$AE$3005,請求記録!$B$6:$B$3005,$A80,請求記録!$Z$6:$Z$3005,U$5))))</f>
        <v/>
      </c>
      <c r="V80" s="19">
        <f>IF($A80="","",IF(COUNTIFS(請求記録!$B$6:$B$3005,$A80,請求記録!$Z$6:$Z$3005,V$5,請求記録!$AF$6:$AF$3005,"保留中")&gt;0,"保留",IF(COUNTIFS(請求記録!$B$6:$B$3005,$A80,請求記録!$Z$6:$Z$3005,V$5)=0,"",SUMIFS(請求記録!$AE$6:$AE$3005,請求記録!$B$6:$B$3005,$A80,請求記録!$Z$6:$Z$3005,V$5))))</f>
        <v/>
      </c>
      <c r="W80" s="19">
        <f>IF($A80="","",IF(COUNTIFS(請求記録!$B$6:$B$3005,$A80,請求記録!$Z$6:$Z$3005,W$5,請求記録!$AF$6:$AF$3005,"保留中")&gt;0,"保留",IF(COUNTIFS(請求記録!$B$6:$B$3005,$A80,請求記録!$Z$6:$Z$3005,W$5)=0,"",SUMIFS(請求記録!$AE$6:$AE$3005,請求記録!$B$6:$B$3005,$A80,請求記録!$Z$6:$Z$3005,W$5))))</f>
        <v/>
      </c>
      <c r="X80" s="19">
        <f>IF($A80="","",IF(COUNTIFS(請求記録!$B$6:$B$3005,$A80,請求記録!$Z$6:$Z$3005,X$5,請求記録!$AF$6:$AF$3005,"保留中")&gt;0,"保留",IF(COUNTIFS(請求記録!$B$6:$B$3005,$A80,請求記録!$Z$6:$Z$3005,X$5)=0,"",SUMIFS(請求記録!$AE$6:$AE$3005,請求記録!$B$6:$B$3005,$A80,請求記録!$Z$6:$Z$3005,X$5))))</f>
        <v/>
      </c>
      <c r="Y80" s="19">
        <f>IF($A80="","",IF(COUNTIFS(請求記録!$B$6:$B$3005,$A80,請求記録!$Z$6:$Z$3005,Y$5,請求記録!$AF$6:$AF$3005,"保留中")&gt;0,"保留",IF(COUNTIFS(請求記録!$B$6:$B$3005,$A80,請求記録!$Z$6:$Z$3005,Y$5)=0,"",SUMIFS(請求記録!$AE$6:$AE$3005,請求記録!$B$6:$B$3005,$A80,請求記録!$Z$6:$Z$3005,Y$5))))</f>
        <v/>
      </c>
      <c r="Z80" s="19">
        <f>IF($A80="","",IF(COUNTIFS(請求記録!$B$6:$B$3005,$A80,請求記録!$Z$6:$Z$3005,Z$5,請求記録!$AF$6:$AF$3005,"保留中")&gt;0,"保留",IF(COUNTIFS(請求記録!$B$6:$B$3005,$A80,請求記録!$Z$6:$Z$3005,Z$5)=0,"",SUMIFS(請求記録!$AE$6:$AE$3005,請求記録!$B$6:$B$3005,$A80,請求記録!$Z$6:$Z$3005,Z$5))))</f>
        <v/>
      </c>
      <c r="AA80" s="19">
        <f>IF($A80="","",IF(COUNTIFS(請求記録!$B$6:$B$3005,$A80,請求記録!$Z$6:$Z$3005,AA$5,請求記録!$AF$6:$AF$3005,"保留中")&gt;0,"保留",IF(COUNTIFS(請求記録!$B$6:$B$3005,$A80,請求記録!$Z$6:$Z$3005,AA$5)=0,"",SUMIFS(請求記録!$AE$6:$AE$3005,請求記録!$B$6:$B$3005,$A80,請求記録!$Z$6:$Z$3005,AA$5))))</f>
        <v/>
      </c>
      <c r="AB80">
        <f>IF(職員マスタ!P80="保留中",職員マスタ!M80,"")</f>
        <v/>
      </c>
    </row>
    <row r="81">
      <c r="A81">
        <f>IF(職員マスタ!A81="","",職員マスタ!A81)</f>
        <v/>
      </c>
      <c r="B81">
        <f>IF($A81="","",職員マスタ!B81)</f>
        <v/>
      </c>
      <c r="C81">
        <f>IF($A81="","",職員マスタ!C81)</f>
        <v/>
      </c>
      <c r="D81" s="19">
        <f>IF($A81="","",IF(COUNTIFS(請求記録!$B$6:$B$3005,$A81,請求記録!$Z$6:$Z$3005,D$5,請求記録!$AF$6:$AF$3005,"保留中")&gt;0,"保留",IF(COUNTIFS(請求記録!$B$6:$B$3005,$A81,請求記録!$Z$6:$Z$3005,D$5)=0,"",SUMIFS(請求記録!$AE$6:$AE$3005,請求記録!$B$6:$B$3005,$A81,請求記録!$Z$6:$Z$3005,D$5))))</f>
        <v/>
      </c>
      <c r="E81" s="19">
        <f>IF($A81="","",IF(COUNTIFS(請求記録!$B$6:$B$3005,$A81,請求記録!$Z$6:$Z$3005,E$5,請求記録!$AF$6:$AF$3005,"保留中")&gt;0,"保留",IF(COUNTIFS(請求記録!$B$6:$B$3005,$A81,請求記録!$Z$6:$Z$3005,E$5)=0,"",SUMIFS(請求記録!$AE$6:$AE$3005,請求記録!$B$6:$B$3005,$A81,請求記録!$Z$6:$Z$3005,E$5))))</f>
        <v/>
      </c>
      <c r="F81" s="19">
        <f>IF($A81="","",IF(COUNTIFS(請求記録!$B$6:$B$3005,$A81,請求記録!$Z$6:$Z$3005,F$5,請求記録!$AF$6:$AF$3005,"保留中")&gt;0,"保留",IF(COUNTIFS(請求記録!$B$6:$B$3005,$A81,請求記録!$Z$6:$Z$3005,F$5)=0,"",SUMIFS(請求記録!$AE$6:$AE$3005,請求記録!$B$6:$B$3005,$A81,請求記録!$Z$6:$Z$3005,F$5))))</f>
        <v/>
      </c>
      <c r="G81" s="19">
        <f>IF($A81="","",IF(COUNTIFS(請求記録!$B$6:$B$3005,$A81,請求記録!$Z$6:$Z$3005,G$5,請求記録!$AF$6:$AF$3005,"保留中")&gt;0,"保留",IF(COUNTIFS(請求記録!$B$6:$B$3005,$A81,請求記録!$Z$6:$Z$3005,G$5)=0,"",SUMIFS(請求記録!$AE$6:$AE$3005,請求記録!$B$6:$B$3005,$A81,請求記録!$Z$6:$Z$3005,G$5))))</f>
        <v/>
      </c>
      <c r="H81" s="19">
        <f>IF($A81="","",IF(COUNTIFS(請求記録!$B$6:$B$3005,$A81,請求記録!$Z$6:$Z$3005,H$5,請求記録!$AF$6:$AF$3005,"保留中")&gt;0,"保留",IF(COUNTIFS(請求記録!$B$6:$B$3005,$A81,請求記録!$Z$6:$Z$3005,H$5)=0,"",SUMIFS(請求記録!$AE$6:$AE$3005,請求記録!$B$6:$B$3005,$A81,請求記録!$Z$6:$Z$3005,H$5))))</f>
        <v/>
      </c>
      <c r="I81" s="19">
        <f>IF($A81="","",IF(COUNTIFS(請求記録!$B$6:$B$3005,$A81,請求記録!$Z$6:$Z$3005,I$5,請求記録!$AF$6:$AF$3005,"保留中")&gt;0,"保留",IF(COUNTIFS(請求記録!$B$6:$B$3005,$A81,請求記録!$Z$6:$Z$3005,I$5)=0,"",SUMIFS(請求記録!$AE$6:$AE$3005,請求記録!$B$6:$B$3005,$A81,請求記録!$Z$6:$Z$3005,I$5))))</f>
        <v/>
      </c>
      <c r="J81" s="19">
        <f>IF($A81="","",IF(COUNTIFS(請求記録!$B$6:$B$3005,$A81,請求記録!$Z$6:$Z$3005,J$5,請求記録!$AF$6:$AF$3005,"保留中")&gt;0,"保留",IF(COUNTIFS(請求記録!$B$6:$B$3005,$A81,請求記録!$Z$6:$Z$3005,J$5)=0,"",SUMIFS(請求記録!$AE$6:$AE$3005,請求記録!$B$6:$B$3005,$A81,請求記録!$Z$6:$Z$3005,J$5))))</f>
        <v/>
      </c>
      <c r="K81" s="19">
        <f>IF($A81="","",IF(COUNTIFS(請求記録!$B$6:$B$3005,$A81,請求記録!$Z$6:$Z$3005,K$5,請求記録!$AF$6:$AF$3005,"保留中")&gt;0,"保留",IF(COUNTIFS(請求記録!$B$6:$B$3005,$A81,請求記録!$Z$6:$Z$3005,K$5)=0,"",SUMIFS(請求記録!$AE$6:$AE$3005,請求記録!$B$6:$B$3005,$A81,請求記録!$Z$6:$Z$3005,K$5))))</f>
        <v/>
      </c>
      <c r="L81" s="19">
        <f>IF($A81="","",IF(COUNTIFS(請求記録!$B$6:$B$3005,$A81,請求記録!$Z$6:$Z$3005,L$5,請求記録!$AF$6:$AF$3005,"保留中")&gt;0,"保留",IF(COUNTIFS(請求記録!$B$6:$B$3005,$A81,請求記録!$Z$6:$Z$3005,L$5)=0,"",SUMIFS(請求記録!$AE$6:$AE$3005,請求記録!$B$6:$B$3005,$A81,請求記録!$Z$6:$Z$3005,L$5))))</f>
        <v/>
      </c>
      <c r="M81" s="19">
        <f>IF($A81="","",IF(COUNTIFS(請求記録!$B$6:$B$3005,$A81,請求記録!$Z$6:$Z$3005,M$5,請求記録!$AF$6:$AF$3005,"保留中")&gt;0,"保留",IF(COUNTIFS(請求記録!$B$6:$B$3005,$A81,請求記録!$Z$6:$Z$3005,M$5)=0,"",SUMIFS(請求記録!$AE$6:$AE$3005,請求記録!$B$6:$B$3005,$A81,請求記録!$Z$6:$Z$3005,M$5))))</f>
        <v/>
      </c>
      <c r="N81" s="19">
        <f>IF($A81="","",IF(COUNTIFS(請求記録!$B$6:$B$3005,$A81,請求記録!$Z$6:$Z$3005,N$5,請求記録!$AF$6:$AF$3005,"保留中")&gt;0,"保留",IF(COUNTIFS(請求記録!$B$6:$B$3005,$A81,請求記録!$Z$6:$Z$3005,N$5)=0,"",SUMIFS(請求記録!$AE$6:$AE$3005,請求記録!$B$6:$B$3005,$A81,請求記録!$Z$6:$Z$3005,N$5))))</f>
        <v/>
      </c>
      <c r="O81" s="19">
        <f>IF($A81="","",IF(COUNTIFS(請求記録!$B$6:$B$3005,$A81,請求記録!$Z$6:$Z$3005,O$5,請求記録!$AF$6:$AF$3005,"保留中")&gt;0,"保留",IF(COUNTIFS(請求記録!$B$6:$B$3005,$A81,請求記録!$Z$6:$Z$3005,O$5)=0,"",SUMIFS(請求記録!$AE$6:$AE$3005,請求記録!$B$6:$B$3005,$A81,請求記録!$Z$6:$Z$3005,O$5))))</f>
        <v/>
      </c>
      <c r="P81" s="19">
        <f>IF($A81="","",IF(COUNTIFS(請求記録!$B$6:$B$3005,$A81,請求記録!$Z$6:$Z$3005,P$5,請求記録!$AF$6:$AF$3005,"保留中")&gt;0,"保留",IF(COUNTIFS(請求記録!$B$6:$B$3005,$A81,請求記録!$Z$6:$Z$3005,P$5)=0,"",SUMIFS(請求記録!$AE$6:$AE$3005,請求記録!$B$6:$B$3005,$A81,請求記録!$Z$6:$Z$3005,P$5))))</f>
        <v/>
      </c>
      <c r="Q81" s="19">
        <f>IF($A81="","",IF(COUNTIFS(請求記録!$B$6:$B$3005,$A81,請求記録!$Z$6:$Z$3005,Q$5,請求記録!$AF$6:$AF$3005,"保留中")&gt;0,"保留",IF(COUNTIFS(請求記録!$B$6:$B$3005,$A81,請求記録!$Z$6:$Z$3005,Q$5)=0,"",SUMIFS(請求記録!$AE$6:$AE$3005,請求記録!$B$6:$B$3005,$A81,請求記録!$Z$6:$Z$3005,Q$5))))</f>
        <v/>
      </c>
      <c r="R81" s="19">
        <f>IF($A81="","",IF(COUNTIFS(請求記録!$B$6:$B$3005,$A81,請求記録!$Z$6:$Z$3005,R$5,請求記録!$AF$6:$AF$3005,"保留中")&gt;0,"保留",IF(COUNTIFS(請求記録!$B$6:$B$3005,$A81,請求記録!$Z$6:$Z$3005,R$5)=0,"",SUMIFS(請求記録!$AE$6:$AE$3005,請求記録!$B$6:$B$3005,$A81,請求記録!$Z$6:$Z$3005,R$5))))</f>
        <v/>
      </c>
      <c r="S81" s="19">
        <f>IF($A81="","",IF(COUNTIFS(請求記録!$B$6:$B$3005,$A81,請求記録!$Z$6:$Z$3005,S$5,請求記録!$AF$6:$AF$3005,"保留中")&gt;0,"保留",IF(COUNTIFS(請求記録!$B$6:$B$3005,$A81,請求記録!$Z$6:$Z$3005,S$5)=0,"",SUMIFS(請求記録!$AE$6:$AE$3005,請求記録!$B$6:$B$3005,$A81,請求記録!$Z$6:$Z$3005,S$5))))</f>
        <v/>
      </c>
      <c r="T81" s="19">
        <f>IF($A81="","",IF(COUNTIFS(請求記録!$B$6:$B$3005,$A81,請求記録!$Z$6:$Z$3005,T$5,請求記録!$AF$6:$AF$3005,"保留中")&gt;0,"保留",IF(COUNTIFS(請求記録!$B$6:$B$3005,$A81,請求記録!$Z$6:$Z$3005,T$5)=0,"",SUMIFS(請求記録!$AE$6:$AE$3005,請求記録!$B$6:$B$3005,$A81,請求記録!$Z$6:$Z$3005,T$5))))</f>
        <v/>
      </c>
      <c r="U81" s="19">
        <f>IF($A81="","",IF(COUNTIFS(請求記録!$B$6:$B$3005,$A81,請求記録!$Z$6:$Z$3005,U$5,請求記録!$AF$6:$AF$3005,"保留中")&gt;0,"保留",IF(COUNTIFS(請求記録!$B$6:$B$3005,$A81,請求記録!$Z$6:$Z$3005,U$5)=0,"",SUMIFS(請求記録!$AE$6:$AE$3005,請求記録!$B$6:$B$3005,$A81,請求記録!$Z$6:$Z$3005,U$5))))</f>
        <v/>
      </c>
      <c r="V81" s="19">
        <f>IF($A81="","",IF(COUNTIFS(請求記録!$B$6:$B$3005,$A81,請求記録!$Z$6:$Z$3005,V$5,請求記録!$AF$6:$AF$3005,"保留中")&gt;0,"保留",IF(COUNTIFS(請求記録!$B$6:$B$3005,$A81,請求記録!$Z$6:$Z$3005,V$5)=0,"",SUMIFS(請求記録!$AE$6:$AE$3005,請求記録!$B$6:$B$3005,$A81,請求記録!$Z$6:$Z$3005,V$5))))</f>
        <v/>
      </c>
      <c r="W81" s="19">
        <f>IF($A81="","",IF(COUNTIFS(請求記録!$B$6:$B$3005,$A81,請求記録!$Z$6:$Z$3005,W$5,請求記録!$AF$6:$AF$3005,"保留中")&gt;0,"保留",IF(COUNTIFS(請求記録!$B$6:$B$3005,$A81,請求記録!$Z$6:$Z$3005,W$5)=0,"",SUMIFS(請求記録!$AE$6:$AE$3005,請求記録!$B$6:$B$3005,$A81,請求記録!$Z$6:$Z$3005,W$5))))</f>
        <v/>
      </c>
      <c r="X81" s="19">
        <f>IF($A81="","",IF(COUNTIFS(請求記録!$B$6:$B$3005,$A81,請求記録!$Z$6:$Z$3005,X$5,請求記録!$AF$6:$AF$3005,"保留中")&gt;0,"保留",IF(COUNTIFS(請求記録!$B$6:$B$3005,$A81,請求記録!$Z$6:$Z$3005,X$5)=0,"",SUMIFS(請求記録!$AE$6:$AE$3005,請求記録!$B$6:$B$3005,$A81,請求記録!$Z$6:$Z$3005,X$5))))</f>
        <v/>
      </c>
      <c r="Y81" s="19">
        <f>IF($A81="","",IF(COUNTIFS(請求記録!$B$6:$B$3005,$A81,請求記録!$Z$6:$Z$3005,Y$5,請求記録!$AF$6:$AF$3005,"保留中")&gt;0,"保留",IF(COUNTIFS(請求記録!$B$6:$B$3005,$A81,請求記録!$Z$6:$Z$3005,Y$5)=0,"",SUMIFS(請求記録!$AE$6:$AE$3005,請求記録!$B$6:$B$3005,$A81,請求記録!$Z$6:$Z$3005,Y$5))))</f>
        <v/>
      </c>
      <c r="Z81" s="19">
        <f>IF($A81="","",IF(COUNTIFS(請求記録!$B$6:$B$3005,$A81,請求記録!$Z$6:$Z$3005,Z$5,請求記録!$AF$6:$AF$3005,"保留中")&gt;0,"保留",IF(COUNTIFS(請求記録!$B$6:$B$3005,$A81,請求記録!$Z$6:$Z$3005,Z$5)=0,"",SUMIFS(請求記録!$AE$6:$AE$3005,請求記録!$B$6:$B$3005,$A81,請求記録!$Z$6:$Z$3005,Z$5))))</f>
        <v/>
      </c>
      <c r="AA81" s="19">
        <f>IF($A81="","",IF(COUNTIFS(請求記録!$B$6:$B$3005,$A81,請求記録!$Z$6:$Z$3005,AA$5,請求記録!$AF$6:$AF$3005,"保留中")&gt;0,"保留",IF(COUNTIFS(請求記録!$B$6:$B$3005,$A81,請求記録!$Z$6:$Z$3005,AA$5)=0,"",SUMIFS(請求記録!$AE$6:$AE$3005,請求記録!$B$6:$B$3005,$A81,請求記録!$Z$6:$Z$3005,AA$5))))</f>
        <v/>
      </c>
      <c r="AB81">
        <f>IF(職員マスタ!P81="保留中",職員マスタ!M81,"")</f>
        <v/>
      </c>
    </row>
    <row r="82">
      <c r="A82">
        <f>IF(職員マスタ!A82="","",職員マスタ!A82)</f>
        <v/>
      </c>
      <c r="B82">
        <f>IF($A82="","",職員マスタ!B82)</f>
        <v/>
      </c>
      <c r="C82">
        <f>IF($A82="","",職員マスタ!C82)</f>
        <v/>
      </c>
      <c r="D82" s="19">
        <f>IF($A82="","",IF(COUNTIFS(請求記録!$B$6:$B$3005,$A82,請求記録!$Z$6:$Z$3005,D$5,請求記録!$AF$6:$AF$3005,"保留中")&gt;0,"保留",IF(COUNTIFS(請求記録!$B$6:$B$3005,$A82,請求記録!$Z$6:$Z$3005,D$5)=0,"",SUMIFS(請求記録!$AE$6:$AE$3005,請求記録!$B$6:$B$3005,$A82,請求記録!$Z$6:$Z$3005,D$5))))</f>
        <v/>
      </c>
      <c r="E82" s="19">
        <f>IF($A82="","",IF(COUNTIFS(請求記録!$B$6:$B$3005,$A82,請求記録!$Z$6:$Z$3005,E$5,請求記録!$AF$6:$AF$3005,"保留中")&gt;0,"保留",IF(COUNTIFS(請求記録!$B$6:$B$3005,$A82,請求記録!$Z$6:$Z$3005,E$5)=0,"",SUMIFS(請求記録!$AE$6:$AE$3005,請求記録!$B$6:$B$3005,$A82,請求記録!$Z$6:$Z$3005,E$5))))</f>
        <v/>
      </c>
      <c r="F82" s="19">
        <f>IF($A82="","",IF(COUNTIFS(請求記録!$B$6:$B$3005,$A82,請求記録!$Z$6:$Z$3005,F$5,請求記録!$AF$6:$AF$3005,"保留中")&gt;0,"保留",IF(COUNTIFS(請求記録!$B$6:$B$3005,$A82,請求記録!$Z$6:$Z$3005,F$5)=0,"",SUMIFS(請求記録!$AE$6:$AE$3005,請求記録!$B$6:$B$3005,$A82,請求記録!$Z$6:$Z$3005,F$5))))</f>
        <v/>
      </c>
      <c r="G82" s="19">
        <f>IF($A82="","",IF(COUNTIFS(請求記録!$B$6:$B$3005,$A82,請求記録!$Z$6:$Z$3005,G$5,請求記録!$AF$6:$AF$3005,"保留中")&gt;0,"保留",IF(COUNTIFS(請求記録!$B$6:$B$3005,$A82,請求記録!$Z$6:$Z$3005,G$5)=0,"",SUMIFS(請求記録!$AE$6:$AE$3005,請求記録!$B$6:$B$3005,$A82,請求記録!$Z$6:$Z$3005,G$5))))</f>
        <v/>
      </c>
      <c r="H82" s="19">
        <f>IF($A82="","",IF(COUNTIFS(請求記録!$B$6:$B$3005,$A82,請求記録!$Z$6:$Z$3005,H$5,請求記録!$AF$6:$AF$3005,"保留中")&gt;0,"保留",IF(COUNTIFS(請求記録!$B$6:$B$3005,$A82,請求記録!$Z$6:$Z$3005,H$5)=0,"",SUMIFS(請求記録!$AE$6:$AE$3005,請求記録!$B$6:$B$3005,$A82,請求記録!$Z$6:$Z$3005,H$5))))</f>
        <v/>
      </c>
      <c r="I82" s="19">
        <f>IF($A82="","",IF(COUNTIFS(請求記録!$B$6:$B$3005,$A82,請求記録!$Z$6:$Z$3005,I$5,請求記録!$AF$6:$AF$3005,"保留中")&gt;0,"保留",IF(COUNTIFS(請求記録!$B$6:$B$3005,$A82,請求記録!$Z$6:$Z$3005,I$5)=0,"",SUMIFS(請求記録!$AE$6:$AE$3005,請求記録!$B$6:$B$3005,$A82,請求記録!$Z$6:$Z$3005,I$5))))</f>
        <v/>
      </c>
      <c r="J82" s="19">
        <f>IF($A82="","",IF(COUNTIFS(請求記録!$B$6:$B$3005,$A82,請求記録!$Z$6:$Z$3005,J$5,請求記録!$AF$6:$AF$3005,"保留中")&gt;0,"保留",IF(COUNTIFS(請求記録!$B$6:$B$3005,$A82,請求記録!$Z$6:$Z$3005,J$5)=0,"",SUMIFS(請求記録!$AE$6:$AE$3005,請求記録!$B$6:$B$3005,$A82,請求記録!$Z$6:$Z$3005,J$5))))</f>
        <v/>
      </c>
      <c r="K82" s="19">
        <f>IF($A82="","",IF(COUNTIFS(請求記録!$B$6:$B$3005,$A82,請求記録!$Z$6:$Z$3005,K$5,請求記録!$AF$6:$AF$3005,"保留中")&gt;0,"保留",IF(COUNTIFS(請求記録!$B$6:$B$3005,$A82,請求記録!$Z$6:$Z$3005,K$5)=0,"",SUMIFS(請求記録!$AE$6:$AE$3005,請求記録!$B$6:$B$3005,$A82,請求記録!$Z$6:$Z$3005,K$5))))</f>
        <v/>
      </c>
      <c r="L82" s="19">
        <f>IF($A82="","",IF(COUNTIFS(請求記録!$B$6:$B$3005,$A82,請求記録!$Z$6:$Z$3005,L$5,請求記録!$AF$6:$AF$3005,"保留中")&gt;0,"保留",IF(COUNTIFS(請求記録!$B$6:$B$3005,$A82,請求記録!$Z$6:$Z$3005,L$5)=0,"",SUMIFS(請求記録!$AE$6:$AE$3005,請求記録!$B$6:$B$3005,$A82,請求記録!$Z$6:$Z$3005,L$5))))</f>
        <v/>
      </c>
      <c r="M82" s="19">
        <f>IF($A82="","",IF(COUNTIFS(請求記録!$B$6:$B$3005,$A82,請求記録!$Z$6:$Z$3005,M$5,請求記録!$AF$6:$AF$3005,"保留中")&gt;0,"保留",IF(COUNTIFS(請求記録!$B$6:$B$3005,$A82,請求記録!$Z$6:$Z$3005,M$5)=0,"",SUMIFS(請求記録!$AE$6:$AE$3005,請求記録!$B$6:$B$3005,$A82,請求記録!$Z$6:$Z$3005,M$5))))</f>
        <v/>
      </c>
      <c r="N82" s="19">
        <f>IF($A82="","",IF(COUNTIFS(請求記録!$B$6:$B$3005,$A82,請求記録!$Z$6:$Z$3005,N$5,請求記録!$AF$6:$AF$3005,"保留中")&gt;0,"保留",IF(COUNTIFS(請求記録!$B$6:$B$3005,$A82,請求記録!$Z$6:$Z$3005,N$5)=0,"",SUMIFS(請求記録!$AE$6:$AE$3005,請求記録!$B$6:$B$3005,$A82,請求記録!$Z$6:$Z$3005,N$5))))</f>
        <v/>
      </c>
      <c r="O82" s="19">
        <f>IF($A82="","",IF(COUNTIFS(請求記録!$B$6:$B$3005,$A82,請求記録!$Z$6:$Z$3005,O$5,請求記録!$AF$6:$AF$3005,"保留中")&gt;0,"保留",IF(COUNTIFS(請求記録!$B$6:$B$3005,$A82,請求記録!$Z$6:$Z$3005,O$5)=0,"",SUMIFS(請求記録!$AE$6:$AE$3005,請求記録!$B$6:$B$3005,$A82,請求記録!$Z$6:$Z$3005,O$5))))</f>
        <v/>
      </c>
      <c r="P82" s="19">
        <f>IF($A82="","",IF(COUNTIFS(請求記録!$B$6:$B$3005,$A82,請求記録!$Z$6:$Z$3005,P$5,請求記録!$AF$6:$AF$3005,"保留中")&gt;0,"保留",IF(COUNTIFS(請求記録!$B$6:$B$3005,$A82,請求記録!$Z$6:$Z$3005,P$5)=0,"",SUMIFS(請求記録!$AE$6:$AE$3005,請求記録!$B$6:$B$3005,$A82,請求記録!$Z$6:$Z$3005,P$5))))</f>
        <v/>
      </c>
      <c r="Q82" s="19">
        <f>IF($A82="","",IF(COUNTIFS(請求記録!$B$6:$B$3005,$A82,請求記録!$Z$6:$Z$3005,Q$5,請求記録!$AF$6:$AF$3005,"保留中")&gt;0,"保留",IF(COUNTIFS(請求記録!$B$6:$B$3005,$A82,請求記録!$Z$6:$Z$3005,Q$5)=0,"",SUMIFS(請求記録!$AE$6:$AE$3005,請求記録!$B$6:$B$3005,$A82,請求記録!$Z$6:$Z$3005,Q$5))))</f>
        <v/>
      </c>
      <c r="R82" s="19">
        <f>IF($A82="","",IF(COUNTIFS(請求記録!$B$6:$B$3005,$A82,請求記録!$Z$6:$Z$3005,R$5,請求記録!$AF$6:$AF$3005,"保留中")&gt;0,"保留",IF(COUNTIFS(請求記録!$B$6:$B$3005,$A82,請求記録!$Z$6:$Z$3005,R$5)=0,"",SUMIFS(請求記録!$AE$6:$AE$3005,請求記録!$B$6:$B$3005,$A82,請求記録!$Z$6:$Z$3005,R$5))))</f>
        <v/>
      </c>
      <c r="S82" s="19">
        <f>IF($A82="","",IF(COUNTIFS(請求記録!$B$6:$B$3005,$A82,請求記録!$Z$6:$Z$3005,S$5,請求記録!$AF$6:$AF$3005,"保留中")&gt;0,"保留",IF(COUNTIFS(請求記録!$B$6:$B$3005,$A82,請求記録!$Z$6:$Z$3005,S$5)=0,"",SUMIFS(請求記録!$AE$6:$AE$3005,請求記録!$B$6:$B$3005,$A82,請求記録!$Z$6:$Z$3005,S$5))))</f>
        <v/>
      </c>
      <c r="T82" s="19">
        <f>IF($A82="","",IF(COUNTIFS(請求記録!$B$6:$B$3005,$A82,請求記録!$Z$6:$Z$3005,T$5,請求記録!$AF$6:$AF$3005,"保留中")&gt;0,"保留",IF(COUNTIFS(請求記録!$B$6:$B$3005,$A82,請求記録!$Z$6:$Z$3005,T$5)=0,"",SUMIFS(請求記録!$AE$6:$AE$3005,請求記録!$B$6:$B$3005,$A82,請求記録!$Z$6:$Z$3005,T$5))))</f>
        <v/>
      </c>
      <c r="U82" s="19">
        <f>IF($A82="","",IF(COUNTIFS(請求記録!$B$6:$B$3005,$A82,請求記録!$Z$6:$Z$3005,U$5,請求記録!$AF$6:$AF$3005,"保留中")&gt;0,"保留",IF(COUNTIFS(請求記録!$B$6:$B$3005,$A82,請求記録!$Z$6:$Z$3005,U$5)=0,"",SUMIFS(請求記録!$AE$6:$AE$3005,請求記録!$B$6:$B$3005,$A82,請求記録!$Z$6:$Z$3005,U$5))))</f>
        <v/>
      </c>
      <c r="V82" s="19">
        <f>IF($A82="","",IF(COUNTIFS(請求記録!$B$6:$B$3005,$A82,請求記録!$Z$6:$Z$3005,V$5,請求記録!$AF$6:$AF$3005,"保留中")&gt;0,"保留",IF(COUNTIFS(請求記録!$B$6:$B$3005,$A82,請求記録!$Z$6:$Z$3005,V$5)=0,"",SUMIFS(請求記録!$AE$6:$AE$3005,請求記録!$B$6:$B$3005,$A82,請求記録!$Z$6:$Z$3005,V$5))))</f>
        <v/>
      </c>
      <c r="W82" s="19">
        <f>IF($A82="","",IF(COUNTIFS(請求記録!$B$6:$B$3005,$A82,請求記録!$Z$6:$Z$3005,W$5,請求記録!$AF$6:$AF$3005,"保留中")&gt;0,"保留",IF(COUNTIFS(請求記録!$B$6:$B$3005,$A82,請求記録!$Z$6:$Z$3005,W$5)=0,"",SUMIFS(請求記録!$AE$6:$AE$3005,請求記録!$B$6:$B$3005,$A82,請求記録!$Z$6:$Z$3005,W$5))))</f>
        <v/>
      </c>
      <c r="X82" s="19">
        <f>IF($A82="","",IF(COUNTIFS(請求記録!$B$6:$B$3005,$A82,請求記録!$Z$6:$Z$3005,X$5,請求記録!$AF$6:$AF$3005,"保留中")&gt;0,"保留",IF(COUNTIFS(請求記録!$B$6:$B$3005,$A82,請求記録!$Z$6:$Z$3005,X$5)=0,"",SUMIFS(請求記録!$AE$6:$AE$3005,請求記録!$B$6:$B$3005,$A82,請求記録!$Z$6:$Z$3005,X$5))))</f>
        <v/>
      </c>
      <c r="Y82" s="19">
        <f>IF($A82="","",IF(COUNTIFS(請求記録!$B$6:$B$3005,$A82,請求記録!$Z$6:$Z$3005,Y$5,請求記録!$AF$6:$AF$3005,"保留中")&gt;0,"保留",IF(COUNTIFS(請求記録!$B$6:$B$3005,$A82,請求記録!$Z$6:$Z$3005,Y$5)=0,"",SUMIFS(請求記録!$AE$6:$AE$3005,請求記録!$B$6:$B$3005,$A82,請求記録!$Z$6:$Z$3005,Y$5))))</f>
        <v/>
      </c>
      <c r="Z82" s="19">
        <f>IF($A82="","",IF(COUNTIFS(請求記録!$B$6:$B$3005,$A82,請求記録!$Z$6:$Z$3005,Z$5,請求記録!$AF$6:$AF$3005,"保留中")&gt;0,"保留",IF(COUNTIFS(請求記録!$B$6:$B$3005,$A82,請求記録!$Z$6:$Z$3005,Z$5)=0,"",SUMIFS(請求記録!$AE$6:$AE$3005,請求記録!$B$6:$B$3005,$A82,請求記録!$Z$6:$Z$3005,Z$5))))</f>
        <v/>
      </c>
      <c r="AA82" s="19">
        <f>IF($A82="","",IF(COUNTIFS(請求記録!$B$6:$B$3005,$A82,請求記録!$Z$6:$Z$3005,AA$5,請求記録!$AF$6:$AF$3005,"保留中")&gt;0,"保留",IF(COUNTIFS(請求記録!$B$6:$B$3005,$A82,請求記録!$Z$6:$Z$3005,AA$5)=0,"",SUMIFS(請求記録!$AE$6:$AE$3005,請求記録!$B$6:$B$3005,$A82,請求記録!$Z$6:$Z$3005,AA$5))))</f>
        <v/>
      </c>
      <c r="AB82">
        <f>IF(職員マスタ!P82="保留中",職員マスタ!M82,"")</f>
        <v/>
      </c>
    </row>
    <row r="83">
      <c r="A83">
        <f>IF(職員マスタ!A83="","",職員マスタ!A83)</f>
        <v/>
      </c>
      <c r="B83">
        <f>IF($A83="","",職員マスタ!B83)</f>
        <v/>
      </c>
      <c r="C83">
        <f>IF($A83="","",職員マスタ!C83)</f>
        <v/>
      </c>
      <c r="D83" s="19">
        <f>IF($A83="","",IF(COUNTIFS(請求記録!$B$6:$B$3005,$A83,請求記録!$Z$6:$Z$3005,D$5,請求記録!$AF$6:$AF$3005,"保留中")&gt;0,"保留",IF(COUNTIFS(請求記録!$B$6:$B$3005,$A83,請求記録!$Z$6:$Z$3005,D$5)=0,"",SUMIFS(請求記録!$AE$6:$AE$3005,請求記録!$B$6:$B$3005,$A83,請求記録!$Z$6:$Z$3005,D$5))))</f>
        <v/>
      </c>
      <c r="E83" s="19">
        <f>IF($A83="","",IF(COUNTIFS(請求記録!$B$6:$B$3005,$A83,請求記録!$Z$6:$Z$3005,E$5,請求記録!$AF$6:$AF$3005,"保留中")&gt;0,"保留",IF(COUNTIFS(請求記録!$B$6:$B$3005,$A83,請求記録!$Z$6:$Z$3005,E$5)=0,"",SUMIFS(請求記録!$AE$6:$AE$3005,請求記録!$B$6:$B$3005,$A83,請求記録!$Z$6:$Z$3005,E$5))))</f>
        <v/>
      </c>
      <c r="F83" s="19">
        <f>IF($A83="","",IF(COUNTIFS(請求記録!$B$6:$B$3005,$A83,請求記録!$Z$6:$Z$3005,F$5,請求記録!$AF$6:$AF$3005,"保留中")&gt;0,"保留",IF(COUNTIFS(請求記録!$B$6:$B$3005,$A83,請求記録!$Z$6:$Z$3005,F$5)=0,"",SUMIFS(請求記録!$AE$6:$AE$3005,請求記録!$B$6:$B$3005,$A83,請求記録!$Z$6:$Z$3005,F$5))))</f>
        <v/>
      </c>
      <c r="G83" s="19">
        <f>IF($A83="","",IF(COUNTIFS(請求記録!$B$6:$B$3005,$A83,請求記録!$Z$6:$Z$3005,G$5,請求記録!$AF$6:$AF$3005,"保留中")&gt;0,"保留",IF(COUNTIFS(請求記録!$B$6:$B$3005,$A83,請求記録!$Z$6:$Z$3005,G$5)=0,"",SUMIFS(請求記録!$AE$6:$AE$3005,請求記録!$B$6:$B$3005,$A83,請求記録!$Z$6:$Z$3005,G$5))))</f>
        <v/>
      </c>
      <c r="H83" s="19">
        <f>IF($A83="","",IF(COUNTIFS(請求記録!$B$6:$B$3005,$A83,請求記録!$Z$6:$Z$3005,H$5,請求記録!$AF$6:$AF$3005,"保留中")&gt;0,"保留",IF(COUNTIFS(請求記録!$B$6:$B$3005,$A83,請求記録!$Z$6:$Z$3005,H$5)=0,"",SUMIFS(請求記録!$AE$6:$AE$3005,請求記録!$B$6:$B$3005,$A83,請求記録!$Z$6:$Z$3005,H$5))))</f>
        <v/>
      </c>
      <c r="I83" s="19">
        <f>IF($A83="","",IF(COUNTIFS(請求記録!$B$6:$B$3005,$A83,請求記録!$Z$6:$Z$3005,I$5,請求記録!$AF$6:$AF$3005,"保留中")&gt;0,"保留",IF(COUNTIFS(請求記録!$B$6:$B$3005,$A83,請求記録!$Z$6:$Z$3005,I$5)=0,"",SUMIFS(請求記録!$AE$6:$AE$3005,請求記録!$B$6:$B$3005,$A83,請求記録!$Z$6:$Z$3005,I$5))))</f>
        <v/>
      </c>
      <c r="J83" s="19">
        <f>IF($A83="","",IF(COUNTIFS(請求記録!$B$6:$B$3005,$A83,請求記録!$Z$6:$Z$3005,J$5,請求記録!$AF$6:$AF$3005,"保留中")&gt;0,"保留",IF(COUNTIFS(請求記録!$B$6:$B$3005,$A83,請求記録!$Z$6:$Z$3005,J$5)=0,"",SUMIFS(請求記録!$AE$6:$AE$3005,請求記録!$B$6:$B$3005,$A83,請求記録!$Z$6:$Z$3005,J$5))))</f>
        <v/>
      </c>
      <c r="K83" s="19">
        <f>IF($A83="","",IF(COUNTIFS(請求記録!$B$6:$B$3005,$A83,請求記録!$Z$6:$Z$3005,K$5,請求記録!$AF$6:$AF$3005,"保留中")&gt;0,"保留",IF(COUNTIFS(請求記録!$B$6:$B$3005,$A83,請求記録!$Z$6:$Z$3005,K$5)=0,"",SUMIFS(請求記録!$AE$6:$AE$3005,請求記録!$B$6:$B$3005,$A83,請求記録!$Z$6:$Z$3005,K$5))))</f>
        <v/>
      </c>
      <c r="L83" s="19">
        <f>IF($A83="","",IF(COUNTIFS(請求記録!$B$6:$B$3005,$A83,請求記録!$Z$6:$Z$3005,L$5,請求記録!$AF$6:$AF$3005,"保留中")&gt;0,"保留",IF(COUNTIFS(請求記録!$B$6:$B$3005,$A83,請求記録!$Z$6:$Z$3005,L$5)=0,"",SUMIFS(請求記録!$AE$6:$AE$3005,請求記録!$B$6:$B$3005,$A83,請求記録!$Z$6:$Z$3005,L$5))))</f>
        <v/>
      </c>
      <c r="M83" s="19">
        <f>IF($A83="","",IF(COUNTIFS(請求記録!$B$6:$B$3005,$A83,請求記録!$Z$6:$Z$3005,M$5,請求記録!$AF$6:$AF$3005,"保留中")&gt;0,"保留",IF(COUNTIFS(請求記録!$B$6:$B$3005,$A83,請求記録!$Z$6:$Z$3005,M$5)=0,"",SUMIFS(請求記録!$AE$6:$AE$3005,請求記録!$B$6:$B$3005,$A83,請求記録!$Z$6:$Z$3005,M$5))))</f>
        <v/>
      </c>
      <c r="N83" s="19">
        <f>IF($A83="","",IF(COUNTIFS(請求記録!$B$6:$B$3005,$A83,請求記録!$Z$6:$Z$3005,N$5,請求記録!$AF$6:$AF$3005,"保留中")&gt;0,"保留",IF(COUNTIFS(請求記録!$B$6:$B$3005,$A83,請求記録!$Z$6:$Z$3005,N$5)=0,"",SUMIFS(請求記録!$AE$6:$AE$3005,請求記録!$B$6:$B$3005,$A83,請求記録!$Z$6:$Z$3005,N$5))))</f>
        <v/>
      </c>
      <c r="O83" s="19">
        <f>IF($A83="","",IF(COUNTIFS(請求記録!$B$6:$B$3005,$A83,請求記録!$Z$6:$Z$3005,O$5,請求記録!$AF$6:$AF$3005,"保留中")&gt;0,"保留",IF(COUNTIFS(請求記録!$B$6:$B$3005,$A83,請求記録!$Z$6:$Z$3005,O$5)=0,"",SUMIFS(請求記録!$AE$6:$AE$3005,請求記録!$B$6:$B$3005,$A83,請求記録!$Z$6:$Z$3005,O$5))))</f>
        <v/>
      </c>
      <c r="P83" s="19">
        <f>IF($A83="","",IF(COUNTIFS(請求記録!$B$6:$B$3005,$A83,請求記録!$Z$6:$Z$3005,P$5,請求記録!$AF$6:$AF$3005,"保留中")&gt;0,"保留",IF(COUNTIFS(請求記録!$B$6:$B$3005,$A83,請求記録!$Z$6:$Z$3005,P$5)=0,"",SUMIFS(請求記録!$AE$6:$AE$3005,請求記録!$B$6:$B$3005,$A83,請求記録!$Z$6:$Z$3005,P$5))))</f>
        <v/>
      </c>
      <c r="Q83" s="19">
        <f>IF($A83="","",IF(COUNTIFS(請求記録!$B$6:$B$3005,$A83,請求記録!$Z$6:$Z$3005,Q$5,請求記録!$AF$6:$AF$3005,"保留中")&gt;0,"保留",IF(COUNTIFS(請求記録!$B$6:$B$3005,$A83,請求記録!$Z$6:$Z$3005,Q$5)=0,"",SUMIFS(請求記録!$AE$6:$AE$3005,請求記録!$B$6:$B$3005,$A83,請求記録!$Z$6:$Z$3005,Q$5))))</f>
        <v/>
      </c>
      <c r="R83" s="19">
        <f>IF($A83="","",IF(COUNTIFS(請求記録!$B$6:$B$3005,$A83,請求記録!$Z$6:$Z$3005,R$5,請求記録!$AF$6:$AF$3005,"保留中")&gt;0,"保留",IF(COUNTIFS(請求記録!$B$6:$B$3005,$A83,請求記録!$Z$6:$Z$3005,R$5)=0,"",SUMIFS(請求記録!$AE$6:$AE$3005,請求記録!$B$6:$B$3005,$A83,請求記録!$Z$6:$Z$3005,R$5))))</f>
        <v/>
      </c>
      <c r="S83" s="19">
        <f>IF($A83="","",IF(COUNTIFS(請求記録!$B$6:$B$3005,$A83,請求記録!$Z$6:$Z$3005,S$5,請求記録!$AF$6:$AF$3005,"保留中")&gt;0,"保留",IF(COUNTIFS(請求記録!$B$6:$B$3005,$A83,請求記録!$Z$6:$Z$3005,S$5)=0,"",SUMIFS(請求記録!$AE$6:$AE$3005,請求記録!$B$6:$B$3005,$A83,請求記録!$Z$6:$Z$3005,S$5))))</f>
        <v/>
      </c>
      <c r="T83" s="19">
        <f>IF($A83="","",IF(COUNTIFS(請求記録!$B$6:$B$3005,$A83,請求記録!$Z$6:$Z$3005,T$5,請求記録!$AF$6:$AF$3005,"保留中")&gt;0,"保留",IF(COUNTIFS(請求記録!$B$6:$B$3005,$A83,請求記録!$Z$6:$Z$3005,T$5)=0,"",SUMIFS(請求記録!$AE$6:$AE$3005,請求記録!$B$6:$B$3005,$A83,請求記録!$Z$6:$Z$3005,T$5))))</f>
        <v/>
      </c>
      <c r="U83" s="19">
        <f>IF($A83="","",IF(COUNTIFS(請求記録!$B$6:$B$3005,$A83,請求記録!$Z$6:$Z$3005,U$5,請求記録!$AF$6:$AF$3005,"保留中")&gt;0,"保留",IF(COUNTIFS(請求記録!$B$6:$B$3005,$A83,請求記録!$Z$6:$Z$3005,U$5)=0,"",SUMIFS(請求記録!$AE$6:$AE$3005,請求記録!$B$6:$B$3005,$A83,請求記録!$Z$6:$Z$3005,U$5))))</f>
        <v/>
      </c>
      <c r="V83" s="19">
        <f>IF($A83="","",IF(COUNTIFS(請求記録!$B$6:$B$3005,$A83,請求記録!$Z$6:$Z$3005,V$5,請求記録!$AF$6:$AF$3005,"保留中")&gt;0,"保留",IF(COUNTIFS(請求記録!$B$6:$B$3005,$A83,請求記録!$Z$6:$Z$3005,V$5)=0,"",SUMIFS(請求記録!$AE$6:$AE$3005,請求記録!$B$6:$B$3005,$A83,請求記録!$Z$6:$Z$3005,V$5))))</f>
        <v/>
      </c>
      <c r="W83" s="19">
        <f>IF($A83="","",IF(COUNTIFS(請求記録!$B$6:$B$3005,$A83,請求記録!$Z$6:$Z$3005,W$5,請求記録!$AF$6:$AF$3005,"保留中")&gt;0,"保留",IF(COUNTIFS(請求記録!$B$6:$B$3005,$A83,請求記録!$Z$6:$Z$3005,W$5)=0,"",SUMIFS(請求記録!$AE$6:$AE$3005,請求記録!$B$6:$B$3005,$A83,請求記録!$Z$6:$Z$3005,W$5))))</f>
        <v/>
      </c>
      <c r="X83" s="19">
        <f>IF($A83="","",IF(COUNTIFS(請求記録!$B$6:$B$3005,$A83,請求記録!$Z$6:$Z$3005,X$5,請求記録!$AF$6:$AF$3005,"保留中")&gt;0,"保留",IF(COUNTIFS(請求記録!$B$6:$B$3005,$A83,請求記録!$Z$6:$Z$3005,X$5)=0,"",SUMIFS(請求記録!$AE$6:$AE$3005,請求記録!$B$6:$B$3005,$A83,請求記録!$Z$6:$Z$3005,X$5))))</f>
        <v/>
      </c>
      <c r="Y83" s="19">
        <f>IF($A83="","",IF(COUNTIFS(請求記録!$B$6:$B$3005,$A83,請求記録!$Z$6:$Z$3005,Y$5,請求記録!$AF$6:$AF$3005,"保留中")&gt;0,"保留",IF(COUNTIFS(請求記録!$B$6:$B$3005,$A83,請求記録!$Z$6:$Z$3005,Y$5)=0,"",SUMIFS(請求記録!$AE$6:$AE$3005,請求記録!$B$6:$B$3005,$A83,請求記録!$Z$6:$Z$3005,Y$5))))</f>
        <v/>
      </c>
      <c r="Z83" s="19">
        <f>IF($A83="","",IF(COUNTIFS(請求記録!$B$6:$B$3005,$A83,請求記録!$Z$6:$Z$3005,Z$5,請求記録!$AF$6:$AF$3005,"保留中")&gt;0,"保留",IF(COUNTIFS(請求記録!$B$6:$B$3005,$A83,請求記録!$Z$6:$Z$3005,Z$5)=0,"",SUMIFS(請求記録!$AE$6:$AE$3005,請求記録!$B$6:$B$3005,$A83,請求記録!$Z$6:$Z$3005,Z$5))))</f>
        <v/>
      </c>
      <c r="AA83" s="19">
        <f>IF($A83="","",IF(COUNTIFS(請求記録!$B$6:$B$3005,$A83,請求記録!$Z$6:$Z$3005,AA$5,請求記録!$AF$6:$AF$3005,"保留中")&gt;0,"保留",IF(COUNTIFS(請求記録!$B$6:$B$3005,$A83,請求記録!$Z$6:$Z$3005,AA$5)=0,"",SUMIFS(請求記録!$AE$6:$AE$3005,請求記録!$B$6:$B$3005,$A83,請求記録!$Z$6:$Z$3005,AA$5))))</f>
        <v/>
      </c>
      <c r="AB83">
        <f>IF(職員マスタ!P83="保留中",職員マスタ!M83,"")</f>
        <v/>
      </c>
    </row>
    <row r="84">
      <c r="A84">
        <f>IF(職員マスタ!A84="","",職員マスタ!A84)</f>
        <v/>
      </c>
      <c r="B84">
        <f>IF($A84="","",職員マスタ!B84)</f>
        <v/>
      </c>
      <c r="C84">
        <f>IF($A84="","",職員マスタ!C84)</f>
        <v/>
      </c>
      <c r="D84" s="19">
        <f>IF($A84="","",IF(COUNTIFS(請求記録!$B$6:$B$3005,$A84,請求記録!$Z$6:$Z$3005,D$5,請求記録!$AF$6:$AF$3005,"保留中")&gt;0,"保留",IF(COUNTIFS(請求記録!$B$6:$B$3005,$A84,請求記録!$Z$6:$Z$3005,D$5)=0,"",SUMIFS(請求記録!$AE$6:$AE$3005,請求記録!$B$6:$B$3005,$A84,請求記録!$Z$6:$Z$3005,D$5))))</f>
        <v/>
      </c>
      <c r="E84" s="19">
        <f>IF($A84="","",IF(COUNTIFS(請求記録!$B$6:$B$3005,$A84,請求記録!$Z$6:$Z$3005,E$5,請求記録!$AF$6:$AF$3005,"保留中")&gt;0,"保留",IF(COUNTIFS(請求記録!$B$6:$B$3005,$A84,請求記録!$Z$6:$Z$3005,E$5)=0,"",SUMIFS(請求記録!$AE$6:$AE$3005,請求記録!$B$6:$B$3005,$A84,請求記録!$Z$6:$Z$3005,E$5))))</f>
        <v/>
      </c>
      <c r="F84" s="19">
        <f>IF($A84="","",IF(COUNTIFS(請求記録!$B$6:$B$3005,$A84,請求記録!$Z$6:$Z$3005,F$5,請求記録!$AF$6:$AF$3005,"保留中")&gt;0,"保留",IF(COUNTIFS(請求記録!$B$6:$B$3005,$A84,請求記録!$Z$6:$Z$3005,F$5)=0,"",SUMIFS(請求記録!$AE$6:$AE$3005,請求記録!$B$6:$B$3005,$A84,請求記録!$Z$6:$Z$3005,F$5))))</f>
        <v/>
      </c>
      <c r="G84" s="19">
        <f>IF($A84="","",IF(COUNTIFS(請求記録!$B$6:$B$3005,$A84,請求記録!$Z$6:$Z$3005,G$5,請求記録!$AF$6:$AF$3005,"保留中")&gt;0,"保留",IF(COUNTIFS(請求記録!$B$6:$B$3005,$A84,請求記録!$Z$6:$Z$3005,G$5)=0,"",SUMIFS(請求記録!$AE$6:$AE$3005,請求記録!$B$6:$B$3005,$A84,請求記録!$Z$6:$Z$3005,G$5))))</f>
        <v/>
      </c>
      <c r="H84" s="19">
        <f>IF($A84="","",IF(COUNTIFS(請求記録!$B$6:$B$3005,$A84,請求記録!$Z$6:$Z$3005,H$5,請求記録!$AF$6:$AF$3005,"保留中")&gt;0,"保留",IF(COUNTIFS(請求記録!$B$6:$B$3005,$A84,請求記録!$Z$6:$Z$3005,H$5)=0,"",SUMIFS(請求記録!$AE$6:$AE$3005,請求記録!$B$6:$B$3005,$A84,請求記録!$Z$6:$Z$3005,H$5))))</f>
        <v/>
      </c>
      <c r="I84" s="19">
        <f>IF($A84="","",IF(COUNTIFS(請求記録!$B$6:$B$3005,$A84,請求記録!$Z$6:$Z$3005,I$5,請求記録!$AF$6:$AF$3005,"保留中")&gt;0,"保留",IF(COUNTIFS(請求記録!$B$6:$B$3005,$A84,請求記録!$Z$6:$Z$3005,I$5)=0,"",SUMIFS(請求記録!$AE$6:$AE$3005,請求記録!$B$6:$B$3005,$A84,請求記録!$Z$6:$Z$3005,I$5))))</f>
        <v/>
      </c>
      <c r="J84" s="19">
        <f>IF($A84="","",IF(COUNTIFS(請求記録!$B$6:$B$3005,$A84,請求記録!$Z$6:$Z$3005,J$5,請求記録!$AF$6:$AF$3005,"保留中")&gt;0,"保留",IF(COUNTIFS(請求記録!$B$6:$B$3005,$A84,請求記録!$Z$6:$Z$3005,J$5)=0,"",SUMIFS(請求記録!$AE$6:$AE$3005,請求記録!$B$6:$B$3005,$A84,請求記録!$Z$6:$Z$3005,J$5))))</f>
        <v/>
      </c>
      <c r="K84" s="19">
        <f>IF($A84="","",IF(COUNTIFS(請求記録!$B$6:$B$3005,$A84,請求記録!$Z$6:$Z$3005,K$5,請求記録!$AF$6:$AF$3005,"保留中")&gt;0,"保留",IF(COUNTIFS(請求記録!$B$6:$B$3005,$A84,請求記録!$Z$6:$Z$3005,K$5)=0,"",SUMIFS(請求記録!$AE$6:$AE$3005,請求記録!$B$6:$B$3005,$A84,請求記録!$Z$6:$Z$3005,K$5))))</f>
        <v/>
      </c>
      <c r="L84" s="19">
        <f>IF($A84="","",IF(COUNTIFS(請求記録!$B$6:$B$3005,$A84,請求記録!$Z$6:$Z$3005,L$5,請求記録!$AF$6:$AF$3005,"保留中")&gt;0,"保留",IF(COUNTIFS(請求記録!$B$6:$B$3005,$A84,請求記録!$Z$6:$Z$3005,L$5)=0,"",SUMIFS(請求記録!$AE$6:$AE$3005,請求記録!$B$6:$B$3005,$A84,請求記録!$Z$6:$Z$3005,L$5))))</f>
        <v/>
      </c>
      <c r="M84" s="19">
        <f>IF($A84="","",IF(COUNTIFS(請求記録!$B$6:$B$3005,$A84,請求記録!$Z$6:$Z$3005,M$5,請求記録!$AF$6:$AF$3005,"保留中")&gt;0,"保留",IF(COUNTIFS(請求記録!$B$6:$B$3005,$A84,請求記録!$Z$6:$Z$3005,M$5)=0,"",SUMIFS(請求記録!$AE$6:$AE$3005,請求記録!$B$6:$B$3005,$A84,請求記録!$Z$6:$Z$3005,M$5))))</f>
        <v/>
      </c>
      <c r="N84" s="19">
        <f>IF($A84="","",IF(COUNTIFS(請求記録!$B$6:$B$3005,$A84,請求記録!$Z$6:$Z$3005,N$5,請求記録!$AF$6:$AF$3005,"保留中")&gt;0,"保留",IF(COUNTIFS(請求記録!$B$6:$B$3005,$A84,請求記録!$Z$6:$Z$3005,N$5)=0,"",SUMIFS(請求記録!$AE$6:$AE$3005,請求記録!$B$6:$B$3005,$A84,請求記録!$Z$6:$Z$3005,N$5))))</f>
        <v/>
      </c>
      <c r="O84" s="19">
        <f>IF($A84="","",IF(COUNTIFS(請求記録!$B$6:$B$3005,$A84,請求記録!$Z$6:$Z$3005,O$5,請求記録!$AF$6:$AF$3005,"保留中")&gt;0,"保留",IF(COUNTIFS(請求記録!$B$6:$B$3005,$A84,請求記録!$Z$6:$Z$3005,O$5)=0,"",SUMIFS(請求記録!$AE$6:$AE$3005,請求記録!$B$6:$B$3005,$A84,請求記録!$Z$6:$Z$3005,O$5))))</f>
        <v/>
      </c>
      <c r="P84" s="19">
        <f>IF($A84="","",IF(COUNTIFS(請求記録!$B$6:$B$3005,$A84,請求記録!$Z$6:$Z$3005,P$5,請求記録!$AF$6:$AF$3005,"保留中")&gt;0,"保留",IF(COUNTIFS(請求記録!$B$6:$B$3005,$A84,請求記録!$Z$6:$Z$3005,P$5)=0,"",SUMIFS(請求記録!$AE$6:$AE$3005,請求記録!$B$6:$B$3005,$A84,請求記録!$Z$6:$Z$3005,P$5))))</f>
        <v/>
      </c>
      <c r="Q84" s="19">
        <f>IF($A84="","",IF(COUNTIFS(請求記録!$B$6:$B$3005,$A84,請求記録!$Z$6:$Z$3005,Q$5,請求記録!$AF$6:$AF$3005,"保留中")&gt;0,"保留",IF(COUNTIFS(請求記録!$B$6:$B$3005,$A84,請求記録!$Z$6:$Z$3005,Q$5)=0,"",SUMIFS(請求記録!$AE$6:$AE$3005,請求記録!$B$6:$B$3005,$A84,請求記録!$Z$6:$Z$3005,Q$5))))</f>
        <v/>
      </c>
      <c r="R84" s="19">
        <f>IF($A84="","",IF(COUNTIFS(請求記録!$B$6:$B$3005,$A84,請求記録!$Z$6:$Z$3005,R$5,請求記録!$AF$6:$AF$3005,"保留中")&gt;0,"保留",IF(COUNTIFS(請求記録!$B$6:$B$3005,$A84,請求記録!$Z$6:$Z$3005,R$5)=0,"",SUMIFS(請求記録!$AE$6:$AE$3005,請求記録!$B$6:$B$3005,$A84,請求記録!$Z$6:$Z$3005,R$5))))</f>
        <v/>
      </c>
      <c r="S84" s="19">
        <f>IF($A84="","",IF(COUNTIFS(請求記録!$B$6:$B$3005,$A84,請求記録!$Z$6:$Z$3005,S$5,請求記録!$AF$6:$AF$3005,"保留中")&gt;0,"保留",IF(COUNTIFS(請求記録!$B$6:$B$3005,$A84,請求記録!$Z$6:$Z$3005,S$5)=0,"",SUMIFS(請求記録!$AE$6:$AE$3005,請求記録!$B$6:$B$3005,$A84,請求記録!$Z$6:$Z$3005,S$5))))</f>
        <v/>
      </c>
      <c r="T84" s="19">
        <f>IF($A84="","",IF(COUNTIFS(請求記録!$B$6:$B$3005,$A84,請求記録!$Z$6:$Z$3005,T$5,請求記録!$AF$6:$AF$3005,"保留中")&gt;0,"保留",IF(COUNTIFS(請求記録!$B$6:$B$3005,$A84,請求記録!$Z$6:$Z$3005,T$5)=0,"",SUMIFS(請求記録!$AE$6:$AE$3005,請求記録!$B$6:$B$3005,$A84,請求記録!$Z$6:$Z$3005,T$5))))</f>
        <v/>
      </c>
      <c r="U84" s="19">
        <f>IF($A84="","",IF(COUNTIFS(請求記録!$B$6:$B$3005,$A84,請求記録!$Z$6:$Z$3005,U$5,請求記録!$AF$6:$AF$3005,"保留中")&gt;0,"保留",IF(COUNTIFS(請求記録!$B$6:$B$3005,$A84,請求記録!$Z$6:$Z$3005,U$5)=0,"",SUMIFS(請求記録!$AE$6:$AE$3005,請求記録!$B$6:$B$3005,$A84,請求記録!$Z$6:$Z$3005,U$5))))</f>
        <v/>
      </c>
      <c r="V84" s="19">
        <f>IF($A84="","",IF(COUNTIFS(請求記録!$B$6:$B$3005,$A84,請求記録!$Z$6:$Z$3005,V$5,請求記録!$AF$6:$AF$3005,"保留中")&gt;0,"保留",IF(COUNTIFS(請求記録!$B$6:$B$3005,$A84,請求記録!$Z$6:$Z$3005,V$5)=0,"",SUMIFS(請求記録!$AE$6:$AE$3005,請求記録!$B$6:$B$3005,$A84,請求記録!$Z$6:$Z$3005,V$5))))</f>
        <v/>
      </c>
      <c r="W84" s="19">
        <f>IF($A84="","",IF(COUNTIFS(請求記録!$B$6:$B$3005,$A84,請求記録!$Z$6:$Z$3005,W$5,請求記録!$AF$6:$AF$3005,"保留中")&gt;0,"保留",IF(COUNTIFS(請求記録!$B$6:$B$3005,$A84,請求記録!$Z$6:$Z$3005,W$5)=0,"",SUMIFS(請求記録!$AE$6:$AE$3005,請求記録!$B$6:$B$3005,$A84,請求記録!$Z$6:$Z$3005,W$5))))</f>
        <v/>
      </c>
      <c r="X84" s="19">
        <f>IF($A84="","",IF(COUNTIFS(請求記録!$B$6:$B$3005,$A84,請求記録!$Z$6:$Z$3005,X$5,請求記録!$AF$6:$AF$3005,"保留中")&gt;0,"保留",IF(COUNTIFS(請求記録!$B$6:$B$3005,$A84,請求記録!$Z$6:$Z$3005,X$5)=0,"",SUMIFS(請求記録!$AE$6:$AE$3005,請求記録!$B$6:$B$3005,$A84,請求記録!$Z$6:$Z$3005,X$5))))</f>
        <v/>
      </c>
      <c r="Y84" s="19">
        <f>IF($A84="","",IF(COUNTIFS(請求記録!$B$6:$B$3005,$A84,請求記録!$Z$6:$Z$3005,Y$5,請求記録!$AF$6:$AF$3005,"保留中")&gt;0,"保留",IF(COUNTIFS(請求記録!$B$6:$B$3005,$A84,請求記録!$Z$6:$Z$3005,Y$5)=0,"",SUMIFS(請求記録!$AE$6:$AE$3005,請求記録!$B$6:$B$3005,$A84,請求記録!$Z$6:$Z$3005,Y$5))))</f>
        <v/>
      </c>
      <c r="Z84" s="19">
        <f>IF($A84="","",IF(COUNTIFS(請求記録!$B$6:$B$3005,$A84,請求記録!$Z$6:$Z$3005,Z$5,請求記録!$AF$6:$AF$3005,"保留中")&gt;0,"保留",IF(COUNTIFS(請求記録!$B$6:$B$3005,$A84,請求記録!$Z$6:$Z$3005,Z$5)=0,"",SUMIFS(請求記録!$AE$6:$AE$3005,請求記録!$B$6:$B$3005,$A84,請求記録!$Z$6:$Z$3005,Z$5))))</f>
        <v/>
      </c>
      <c r="AA84" s="19">
        <f>IF($A84="","",IF(COUNTIFS(請求記録!$B$6:$B$3005,$A84,請求記録!$Z$6:$Z$3005,AA$5,請求記録!$AF$6:$AF$3005,"保留中")&gt;0,"保留",IF(COUNTIFS(請求記録!$B$6:$B$3005,$A84,請求記録!$Z$6:$Z$3005,AA$5)=0,"",SUMIFS(請求記録!$AE$6:$AE$3005,請求記録!$B$6:$B$3005,$A84,請求記録!$Z$6:$Z$3005,AA$5))))</f>
        <v/>
      </c>
      <c r="AB84">
        <f>IF(職員マスタ!P84="保留中",職員マスタ!M84,"")</f>
        <v/>
      </c>
    </row>
    <row r="85">
      <c r="A85">
        <f>IF(職員マスタ!A85="","",職員マスタ!A85)</f>
        <v/>
      </c>
      <c r="B85">
        <f>IF($A85="","",職員マスタ!B85)</f>
        <v/>
      </c>
      <c r="C85">
        <f>IF($A85="","",職員マスタ!C85)</f>
        <v/>
      </c>
      <c r="D85" s="19">
        <f>IF($A85="","",IF(COUNTIFS(請求記録!$B$6:$B$3005,$A85,請求記録!$Z$6:$Z$3005,D$5,請求記録!$AF$6:$AF$3005,"保留中")&gt;0,"保留",IF(COUNTIFS(請求記録!$B$6:$B$3005,$A85,請求記録!$Z$6:$Z$3005,D$5)=0,"",SUMIFS(請求記録!$AE$6:$AE$3005,請求記録!$B$6:$B$3005,$A85,請求記録!$Z$6:$Z$3005,D$5))))</f>
        <v/>
      </c>
      <c r="E85" s="19">
        <f>IF($A85="","",IF(COUNTIFS(請求記録!$B$6:$B$3005,$A85,請求記録!$Z$6:$Z$3005,E$5,請求記録!$AF$6:$AF$3005,"保留中")&gt;0,"保留",IF(COUNTIFS(請求記録!$B$6:$B$3005,$A85,請求記録!$Z$6:$Z$3005,E$5)=0,"",SUMIFS(請求記録!$AE$6:$AE$3005,請求記録!$B$6:$B$3005,$A85,請求記録!$Z$6:$Z$3005,E$5))))</f>
        <v/>
      </c>
      <c r="F85" s="19">
        <f>IF($A85="","",IF(COUNTIFS(請求記録!$B$6:$B$3005,$A85,請求記録!$Z$6:$Z$3005,F$5,請求記録!$AF$6:$AF$3005,"保留中")&gt;0,"保留",IF(COUNTIFS(請求記録!$B$6:$B$3005,$A85,請求記録!$Z$6:$Z$3005,F$5)=0,"",SUMIFS(請求記録!$AE$6:$AE$3005,請求記録!$B$6:$B$3005,$A85,請求記録!$Z$6:$Z$3005,F$5))))</f>
        <v/>
      </c>
      <c r="G85" s="19">
        <f>IF($A85="","",IF(COUNTIFS(請求記録!$B$6:$B$3005,$A85,請求記録!$Z$6:$Z$3005,G$5,請求記録!$AF$6:$AF$3005,"保留中")&gt;0,"保留",IF(COUNTIFS(請求記録!$B$6:$B$3005,$A85,請求記録!$Z$6:$Z$3005,G$5)=0,"",SUMIFS(請求記録!$AE$6:$AE$3005,請求記録!$B$6:$B$3005,$A85,請求記録!$Z$6:$Z$3005,G$5))))</f>
        <v/>
      </c>
      <c r="H85" s="19">
        <f>IF($A85="","",IF(COUNTIFS(請求記録!$B$6:$B$3005,$A85,請求記録!$Z$6:$Z$3005,H$5,請求記録!$AF$6:$AF$3005,"保留中")&gt;0,"保留",IF(COUNTIFS(請求記録!$B$6:$B$3005,$A85,請求記録!$Z$6:$Z$3005,H$5)=0,"",SUMIFS(請求記録!$AE$6:$AE$3005,請求記録!$B$6:$B$3005,$A85,請求記録!$Z$6:$Z$3005,H$5))))</f>
        <v/>
      </c>
      <c r="I85" s="19">
        <f>IF($A85="","",IF(COUNTIFS(請求記録!$B$6:$B$3005,$A85,請求記録!$Z$6:$Z$3005,I$5,請求記録!$AF$6:$AF$3005,"保留中")&gt;0,"保留",IF(COUNTIFS(請求記録!$B$6:$B$3005,$A85,請求記録!$Z$6:$Z$3005,I$5)=0,"",SUMIFS(請求記録!$AE$6:$AE$3005,請求記録!$B$6:$B$3005,$A85,請求記録!$Z$6:$Z$3005,I$5))))</f>
        <v/>
      </c>
      <c r="J85" s="19">
        <f>IF($A85="","",IF(COUNTIFS(請求記録!$B$6:$B$3005,$A85,請求記録!$Z$6:$Z$3005,J$5,請求記録!$AF$6:$AF$3005,"保留中")&gt;0,"保留",IF(COUNTIFS(請求記録!$B$6:$B$3005,$A85,請求記録!$Z$6:$Z$3005,J$5)=0,"",SUMIFS(請求記録!$AE$6:$AE$3005,請求記録!$B$6:$B$3005,$A85,請求記録!$Z$6:$Z$3005,J$5))))</f>
        <v/>
      </c>
      <c r="K85" s="19">
        <f>IF($A85="","",IF(COUNTIFS(請求記録!$B$6:$B$3005,$A85,請求記録!$Z$6:$Z$3005,K$5,請求記録!$AF$6:$AF$3005,"保留中")&gt;0,"保留",IF(COUNTIFS(請求記録!$B$6:$B$3005,$A85,請求記録!$Z$6:$Z$3005,K$5)=0,"",SUMIFS(請求記録!$AE$6:$AE$3005,請求記録!$B$6:$B$3005,$A85,請求記録!$Z$6:$Z$3005,K$5))))</f>
        <v/>
      </c>
      <c r="L85" s="19">
        <f>IF($A85="","",IF(COUNTIFS(請求記録!$B$6:$B$3005,$A85,請求記録!$Z$6:$Z$3005,L$5,請求記録!$AF$6:$AF$3005,"保留中")&gt;0,"保留",IF(COUNTIFS(請求記録!$B$6:$B$3005,$A85,請求記録!$Z$6:$Z$3005,L$5)=0,"",SUMIFS(請求記録!$AE$6:$AE$3005,請求記録!$B$6:$B$3005,$A85,請求記録!$Z$6:$Z$3005,L$5))))</f>
        <v/>
      </c>
      <c r="M85" s="19">
        <f>IF($A85="","",IF(COUNTIFS(請求記録!$B$6:$B$3005,$A85,請求記録!$Z$6:$Z$3005,M$5,請求記録!$AF$6:$AF$3005,"保留中")&gt;0,"保留",IF(COUNTIFS(請求記録!$B$6:$B$3005,$A85,請求記録!$Z$6:$Z$3005,M$5)=0,"",SUMIFS(請求記録!$AE$6:$AE$3005,請求記録!$B$6:$B$3005,$A85,請求記録!$Z$6:$Z$3005,M$5))))</f>
        <v/>
      </c>
      <c r="N85" s="19">
        <f>IF($A85="","",IF(COUNTIFS(請求記録!$B$6:$B$3005,$A85,請求記録!$Z$6:$Z$3005,N$5,請求記録!$AF$6:$AF$3005,"保留中")&gt;0,"保留",IF(COUNTIFS(請求記録!$B$6:$B$3005,$A85,請求記録!$Z$6:$Z$3005,N$5)=0,"",SUMIFS(請求記録!$AE$6:$AE$3005,請求記録!$B$6:$B$3005,$A85,請求記録!$Z$6:$Z$3005,N$5))))</f>
        <v/>
      </c>
      <c r="O85" s="19">
        <f>IF($A85="","",IF(COUNTIFS(請求記録!$B$6:$B$3005,$A85,請求記録!$Z$6:$Z$3005,O$5,請求記録!$AF$6:$AF$3005,"保留中")&gt;0,"保留",IF(COUNTIFS(請求記録!$B$6:$B$3005,$A85,請求記録!$Z$6:$Z$3005,O$5)=0,"",SUMIFS(請求記録!$AE$6:$AE$3005,請求記録!$B$6:$B$3005,$A85,請求記録!$Z$6:$Z$3005,O$5))))</f>
        <v/>
      </c>
      <c r="P85" s="19">
        <f>IF($A85="","",IF(COUNTIFS(請求記録!$B$6:$B$3005,$A85,請求記録!$Z$6:$Z$3005,P$5,請求記録!$AF$6:$AF$3005,"保留中")&gt;0,"保留",IF(COUNTIFS(請求記録!$B$6:$B$3005,$A85,請求記録!$Z$6:$Z$3005,P$5)=0,"",SUMIFS(請求記録!$AE$6:$AE$3005,請求記録!$B$6:$B$3005,$A85,請求記録!$Z$6:$Z$3005,P$5))))</f>
        <v/>
      </c>
      <c r="Q85" s="19">
        <f>IF($A85="","",IF(COUNTIFS(請求記録!$B$6:$B$3005,$A85,請求記録!$Z$6:$Z$3005,Q$5,請求記録!$AF$6:$AF$3005,"保留中")&gt;0,"保留",IF(COUNTIFS(請求記録!$B$6:$B$3005,$A85,請求記録!$Z$6:$Z$3005,Q$5)=0,"",SUMIFS(請求記録!$AE$6:$AE$3005,請求記録!$B$6:$B$3005,$A85,請求記録!$Z$6:$Z$3005,Q$5))))</f>
        <v/>
      </c>
      <c r="R85" s="19">
        <f>IF($A85="","",IF(COUNTIFS(請求記録!$B$6:$B$3005,$A85,請求記録!$Z$6:$Z$3005,R$5,請求記録!$AF$6:$AF$3005,"保留中")&gt;0,"保留",IF(COUNTIFS(請求記録!$B$6:$B$3005,$A85,請求記録!$Z$6:$Z$3005,R$5)=0,"",SUMIFS(請求記録!$AE$6:$AE$3005,請求記録!$B$6:$B$3005,$A85,請求記録!$Z$6:$Z$3005,R$5))))</f>
        <v/>
      </c>
      <c r="S85" s="19">
        <f>IF($A85="","",IF(COUNTIFS(請求記録!$B$6:$B$3005,$A85,請求記録!$Z$6:$Z$3005,S$5,請求記録!$AF$6:$AF$3005,"保留中")&gt;0,"保留",IF(COUNTIFS(請求記録!$B$6:$B$3005,$A85,請求記録!$Z$6:$Z$3005,S$5)=0,"",SUMIFS(請求記録!$AE$6:$AE$3005,請求記録!$B$6:$B$3005,$A85,請求記録!$Z$6:$Z$3005,S$5))))</f>
        <v/>
      </c>
      <c r="T85" s="19">
        <f>IF($A85="","",IF(COUNTIFS(請求記録!$B$6:$B$3005,$A85,請求記録!$Z$6:$Z$3005,T$5,請求記録!$AF$6:$AF$3005,"保留中")&gt;0,"保留",IF(COUNTIFS(請求記録!$B$6:$B$3005,$A85,請求記録!$Z$6:$Z$3005,T$5)=0,"",SUMIFS(請求記録!$AE$6:$AE$3005,請求記録!$B$6:$B$3005,$A85,請求記録!$Z$6:$Z$3005,T$5))))</f>
        <v/>
      </c>
      <c r="U85" s="19">
        <f>IF($A85="","",IF(COUNTIFS(請求記録!$B$6:$B$3005,$A85,請求記録!$Z$6:$Z$3005,U$5,請求記録!$AF$6:$AF$3005,"保留中")&gt;0,"保留",IF(COUNTIFS(請求記録!$B$6:$B$3005,$A85,請求記録!$Z$6:$Z$3005,U$5)=0,"",SUMIFS(請求記録!$AE$6:$AE$3005,請求記録!$B$6:$B$3005,$A85,請求記録!$Z$6:$Z$3005,U$5))))</f>
        <v/>
      </c>
      <c r="V85" s="19">
        <f>IF($A85="","",IF(COUNTIFS(請求記録!$B$6:$B$3005,$A85,請求記録!$Z$6:$Z$3005,V$5,請求記録!$AF$6:$AF$3005,"保留中")&gt;0,"保留",IF(COUNTIFS(請求記録!$B$6:$B$3005,$A85,請求記録!$Z$6:$Z$3005,V$5)=0,"",SUMIFS(請求記録!$AE$6:$AE$3005,請求記録!$B$6:$B$3005,$A85,請求記録!$Z$6:$Z$3005,V$5))))</f>
        <v/>
      </c>
      <c r="W85" s="19">
        <f>IF($A85="","",IF(COUNTIFS(請求記録!$B$6:$B$3005,$A85,請求記録!$Z$6:$Z$3005,W$5,請求記録!$AF$6:$AF$3005,"保留中")&gt;0,"保留",IF(COUNTIFS(請求記録!$B$6:$B$3005,$A85,請求記録!$Z$6:$Z$3005,W$5)=0,"",SUMIFS(請求記録!$AE$6:$AE$3005,請求記録!$B$6:$B$3005,$A85,請求記録!$Z$6:$Z$3005,W$5))))</f>
        <v/>
      </c>
      <c r="X85" s="19">
        <f>IF($A85="","",IF(COUNTIFS(請求記録!$B$6:$B$3005,$A85,請求記録!$Z$6:$Z$3005,X$5,請求記録!$AF$6:$AF$3005,"保留中")&gt;0,"保留",IF(COUNTIFS(請求記録!$B$6:$B$3005,$A85,請求記録!$Z$6:$Z$3005,X$5)=0,"",SUMIFS(請求記録!$AE$6:$AE$3005,請求記録!$B$6:$B$3005,$A85,請求記録!$Z$6:$Z$3005,X$5))))</f>
        <v/>
      </c>
      <c r="Y85" s="19">
        <f>IF($A85="","",IF(COUNTIFS(請求記録!$B$6:$B$3005,$A85,請求記録!$Z$6:$Z$3005,Y$5,請求記録!$AF$6:$AF$3005,"保留中")&gt;0,"保留",IF(COUNTIFS(請求記録!$B$6:$B$3005,$A85,請求記録!$Z$6:$Z$3005,Y$5)=0,"",SUMIFS(請求記録!$AE$6:$AE$3005,請求記録!$B$6:$B$3005,$A85,請求記録!$Z$6:$Z$3005,Y$5))))</f>
        <v/>
      </c>
      <c r="Z85" s="19">
        <f>IF($A85="","",IF(COUNTIFS(請求記録!$B$6:$B$3005,$A85,請求記録!$Z$6:$Z$3005,Z$5,請求記録!$AF$6:$AF$3005,"保留中")&gt;0,"保留",IF(COUNTIFS(請求記録!$B$6:$B$3005,$A85,請求記録!$Z$6:$Z$3005,Z$5)=0,"",SUMIFS(請求記録!$AE$6:$AE$3005,請求記録!$B$6:$B$3005,$A85,請求記録!$Z$6:$Z$3005,Z$5))))</f>
        <v/>
      </c>
      <c r="AA85" s="19">
        <f>IF($A85="","",IF(COUNTIFS(請求記録!$B$6:$B$3005,$A85,請求記録!$Z$6:$Z$3005,AA$5,請求記録!$AF$6:$AF$3005,"保留中")&gt;0,"保留",IF(COUNTIFS(請求記録!$B$6:$B$3005,$A85,請求記録!$Z$6:$Z$3005,AA$5)=0,"",SUMIFS(請求記録!$AE$6:$AE$3005,請求記録!$B$6:$B$3005,$A85,請求記録!$Z$6:$Z$3005,AA$5))))</f>
        <v/>
      </c>
      <c r="AB85">
        <f>IF(職員マスタ!P85="保留中",職員マスタ!M85,"")</f>
        <v/>
      </c>
    </row>
    <row r="86">
      <c r="A86">
        <f>IF(職員マスタ!A86="","",職員マスタ!A86)</f>
        <v/>
      </c>
      <c r="B86">
        <f>IF($A86="","",職員マスタ!B86)</f>
        <v/>
      </c>
      <c r="C86">
        <f>IF($A86="","",職員マスタ!C86)</f>
        <v/>
      </c>
      <c r="D86" s="19">
        <f>IF($A86="","",IF(COUNTIFS(請求記録!$B$6:$B$3005,$A86,請求記録!$Z$6:$Z$3005,D$5,請求記録!$AF$6:$AF$3005,"保留中")&gt;0,"保留",IF(COUNTIFS(請求記録!$B$6:$B$3005,$A86,請求記録!$Z$6:$Z$3005,D$5)=0,"",SUMIFS(請求記録!$AE$6:$AE$3005,請求記録!$B$6:$B$3005,$A86,請求記録!$Z$6:$Z$3005,D$5))))</f>
        <v/>
      </c>
      <c r="E86" s="19">
        <f>IF($A86="","",IF(COUNTIFS(請求記録!$B$6:$B$3005,$A86,請求記録!$Z$6:$Z$3005,E$5,請求記録!$AF$6:$AF$3005,"保留中")&gt;0,"保留",IF(COUNTIFS(請求記録!$B$6:$B$3005,$A86,請求記録!$Z$6:$Z$3005,E$5)=0,"",SUMIFS(請求記録!$AE$6:$AE$3005,請求記録!$B$6:$B$3005,$A86,請求記録!$Z$6:$Z$3005,E$5))))</f>
        <v/>
      </c>
      <c r="F86" s="19">
        <f>IF($A86="","",IF(COUNTIFS(請求記録!$B$6:$B$3005,$A86,請求記録!$Z$6:$Z$3005,F$5,請求記録!$AF$6:$AF$3005,"保留中")&gt;0,"保留",IF(COUNTIFS(請求記録!$B$6:$B$3005,$A86,請求記録!$Z$6:$Z$3005,F$5)=0,"",SUMIFS(請求記録!$AE$6:$AE$3005,請求記録!$B$6:$B$3005,$A86,請求記録!$Z$6:$Z$3005,F$5))))</f>
        <v/>
      </c>
      <c r="G86" s="19">
        <f>IF($A86="","",IF(COUNTIFS(請求記録!$B$6:$B$3005,$A86,請求記録!$Z$6:$Z$3005,G$5,請求記録!$AF$6:$AF$3005,"保留中")&gt;0,"保留",IF(COUNTIFS(請求記録!$B$6:$B$3005,$A86,請求記録!$Z$6:$Z$3005,G$5)=0,"",SUMIFS(請求記録!$AE$6:$AE$3005,請求記録!$B$6:$B$3005,$A86,請求記録!$Z$6:$Z$3005,G$5))))</f>
        <v/>
      </c>
      <c r="H86" s="19">
        <f>IF($A86="","",IF(COUNTIFS(請求記録!$B$6:$B$3005,$A86,請求記録!$Z$6:$Z$3005,H$5,請求記録!$AF$6:$AF$3005,"保留中")&gt;0,"保留",IF(COUNTIFS(請求記録!$B$6:$B$3005,$A86,請求記録!$Z$6:$Z$3005,H$5)=0,"",SUMIFS(請求記録!$AE$6:$AE$3005,請求記録!$B$6:$B$3005,$A86,請求記録!$Z$6:$Z$3005,H$5))))</f>
        <v/>
      </c>
      <c r="I86" s="19">
        <f>IF($A86="","",IF(COUNTIFS(請求記録!$B$6:$B$3005,$A86,請求記録!$Z$6:$Z$3005,I$5,請求記録!$AF$6:$AF$3005,"保留中")&gt;0,"保留",IF(COUNTIFS(請求記録!$B$6:$B$3005,$A86,請求記録!$Z$6:$Z$3005,I$5)=0,"",SUMIFS(請求記録!$AE$6:$AE$3005,請求記録!$B$6:$B$3005,$A86,請求記録!$Z$6:$Z$3005,I$5))))</f>
        <v/>
      </c>
      <c r="J86" s="19">
        <f>IF($A86="","",IF(COUNTIFS(請求記録!$B$6:$B$3005,$A86,請求記録!$Z$6:$Z$3005,J$5,請求記録!$AF$6:$AF$3005,"保留中")&gt;0,"保留",IF(COUNTIFS(請求記録!$B$6:$B$3005,$A86,請求記録!$Z$6:$Z$3005,J$5)=0,"",SUMIFS(請求記録!$AE$6:$AE$3005,請求記録!$B$6:$B$3005,$A86,請求記録!$Z$6:$Z$3005,J$5))))</f>
        <v/>
      </c>
      <c r="K86" s="19">
        <f>IF($A86="","",IF(COUNTIFS(請求記録!$B$6:$B$3005,$A86,請求記録!$Z$6:$Z$3005,K$5,請求記録!$AF$6:$AF$3005,"保留中")&gt;0,"保留",IF(COUNTIFS(請求記録!$B$6:$B$3005,$A86,請求記録!$Z$6:$Z$3005,K$5)=0,"",SUMIFS(請求記録!$AE$6:$AE$3005,請求記録!$B$6:$B$3005,$A86,請求記録!$Z$6:$Z$3005,K$5))))</f>
        <v/>
      </c>
      <c r="L86" s="19">
        <f>IF($A86="","",IF(COUNTIFS(請求記録!$B$6:$B$3005,$A86,請求記録!$Z$6:$Z$3005,L$5,請求記録!$AF$6:$AF$3005,"保留中")&gt;0,"保留",IF(COUNTIFS(請求記録!$B$6:$B$3005,$A86,請求記録!$Z$6:$Z$3005,L$5)=0,"",SUMIFS(請求記録!$AE$6:$AE$3005,請求記録!$B$6:$B$3005,$A86,請求記録!$Z$6:$Z$3005,L$5))))</f>
        <v/>
      </c>
      <c r="M86" s="19">
        <f>IF($A86="","",IF(COUNTIFS(請求記録!$B$6:$B$3005,$A86,請求記録!$Z$6:$Z$3005,M$5,請求記録!$AF$6:$AF$3005,"保留中")&gt;0,"保留",IF(COUNTIFS(請求記録!$B$6:$B$3005,$A86,請求記録!$Z$6:$Z$3005,M$5)=0,"",SUMIFS(請求記録!$AE$6:$AE$3005,請求記録!$B$6:$B$3005,$A86,請求記録!$Z$6:$Z$3005,M$5))))</f>
        <v/>
      </c>
      <c r="N86" s="19">
        <f>IF($A86="","",IF(COUNTIFS(請求記録!$B$6:$B$3005,$A86,請求記録!$Z$6:$Z$3005,N$5,請求記録!$AF$6:$AF$3005,"保留中")&gt;0,"保留",IF(COUNTIFS(請求記録!$B$6:$B$3005,$A86,請求記録!$Z$6:$Z$3005,N$5)=0,"",SUMIFS(請求記録!$AE$6:$AE$3005,請求記録!$B$6:$B$3005,$A86,請求記録!$Z$6:$Z$3005,N$5))))</f>
        <v/>
      </c>
      <c r="O86" s="19">
        <f>IF($A86="","",IF(COUNTIFS(請求記録!$B$6:$B$3005,$A86,請求記録!$Z$6:$Z$3005,O$5,請求記録!$AF$6:$AF$3005,"保留中")&gt;0,"保留",IF(COUNTIFS(請求記録!$B$6:$B$3005,$A86,請求記録!$Z$6:$Z$3005,O$5)=0,"",SUMIFS(請求記録!$AE$6:$AE$3005,請求記録!$B$6:$B$3005,$A86,請求記録!$Z$6:$Z$3005,O$5))))</f>
        <v/>
      </c>
      <c r="P86" s="19">
        <f>IF($A86="","",IF(COUNTIFS(請求記録!$B$6:$B$3005,$A86,請求記録!$Z$6:$Z$3005,P$5,請求記録!$AF$6:$AF$3005,"保留中")&gt;0,"保留",IF(COUNTIFS(請求記録!$B$6:$B$3005,$A86,請求記録!$Z$6:$Z$3005,P$5)=0,"",SUMIFS(請求記録!$AE$6:$AE$3005,請求記録!$B$6:$B$3005,$A86,請求記録!$Z$6:$Z$3005,P$5))))</f>
        <v/>
      </c>
      <c r="Q86" s="19">
        <f>IF($A86="","",IF(COUNTIFS(請求記録!$B$6:$B$3005,$A86,請求記録!$Z$6:$Z$3005,Q$5,請求記録!$AF$6:$AF$3005,"保留中")&gt;0,"保留",IF(COUNTIFS(請求記録!$B$6:$B$3005,$A86,請求記録!$Z$6:$Z$3005,Q$5)=0,"",SUMIFS(請求記録!$AE$6:$AE$3005,請求記録!$B$6:$B$3005,$A86,請求記録!$Z$6:$Z$3005,Q$5))))</f>
        <v/>
      </c>
      <c r="R86" s="19">
        <f>IF($A86="","",IF(COUNTIFS(請求記録!$B$6:$B$3005,$A86,請求記録!$Z$6:$Z$3005,R$5,請求記録!$AF$6:$AF$3005,"保留中")&gt;0,"保留",IF(COUNTIFS(請求記録!$B$6:$B$3005,$A86,請求記録!$Z$6:$Z$3005,R$5)=0,"",SUMIFS(請求記録!$AE$6:$AE$3005,請求記録!$B$6:$B$3005,$A86,請求記録!$Z$6:$Z$3005,R$5))))</f>
        <v/>
      </c>
      <c r="S86" s="19">
        <f>IF($A86="","",IF(COUNTIFS(請求記録!$B$6:$B$3005,$A86,請求記録!$Z$6:$Z$3005,S$5,請求記録!$AF$6:$AF$3005,"保留中")&gt;0,"保留",IF(COUNTIFS(請求記録!$B$6:$B$3005,$A86,請求記録!$Z$6:$Z$3005,S$5)=0,"",SUMIFS(請求記録!$AE$6:$AE$3005,請求記録!$B$6:$B$3005,$A86,請求記録!$Z$6:$Z$3005,S$5))))</f>
        <v/>
      </c>
      <c r="T86" s="19">
        <f>IF($A86="","",IF(COUNTIFS(請求記録!$B$6:$B$3005,$A86,請求記録!$Z$6:$Z$3005,T$5,請求記録!$AF$6:$AF$3005,"保留中")&gt;0,"保留",IF(COUNTIFS(請求記録!$B$6:$B$3005,$A86,請求記録!$Z$6:$Z$3005,T$5)=0,"",SUMIFS(請求記録!$AE$6:$AE$3005,請求記録!$B$6:$B$3005,$A86,請求記録!$Z$6:$Z$3005,T$5))))</f>
        <v/>
      </c>
      <c r="U86" s="19">
        <f>IF($A86="","",IF(COUNTIFS(請求記録!$B$6:$B$3005,$A86,請求記録!$Z$6:$Z$3005,U$5,請求記録!$AF$6:$AF$3005,"保留中")&gt;0,"保留",IF(COUNTIFS(請求記録!$B$6:$B$3005,$A86,請求記録!$Z$6:$Z$3005,U$5)=0,"",SUMIFS(請求記録!$AE$6:$AE$3005,請求記録!$B$6:$B$3005,$A86,請求記録!$Z$6:$Z$3005,U$5))))</f>
        <v/>
      </c>
      <c r="V86" s="19">
        <f>IF($A86="","",IF(COUNTIFS(請求記録!$B$6:$B$3005,$A86,請求記録!$Z$6:$Z$3005,V$5,請求記録!$AF$6:$AF$3005,"保留中")&gt;0,"保留",IF(COUNTIFS(請求記録!$B$6:$B$3005,$A86,請求記録!$Z$6:$Z$3005,V$5)=0,"",SUMIFS(請求記録!$AE$6:$AE$3005,請求記録!$B$6:$B$3005,$A86,請求記録!$Z$6:$Z$3005,V$5))))</f>
        <v/>
      </c>
      <c r="W86" s="19">
        <f>IF($A86="","",IF(COUNTIFS(請求記録!$B$6:$B$3005,$A86,請求記録!$Z$6:$Z$3005,W$5,請求記録!$AF$6:$AF$3005,"保留中")&gt;0,"保留",IF(COUNTIFS(請求記録!$B$6:$B$3005,$A86,請求記録!$Z$6:$Z$3005,W$5)=0,"",SUMIFS(請求記録!$AE$6:$AE$3005,請求記録!$B$6:$B$3005,$A86,請求記録!$Z$6:$Z$3005,W$5))))</f>
        <v/>
      </c>
      <c r="X86" s="19">
        <f>IF($A86="","",IF(COUNTIFS(請求記録!$B$6:$B$3005,$A86,請求記録!$Z$6:$Z$3005,X$5,請求記録!$AF$6:$AF$3005,"保留中")&gt;0,"保留",IF(COUNTIFS(請求記録!$B$6:$B$3005,$A86,請求記録!$Z$6:$Z$3005,X$5)=0,"",SUMIFS(請求記録!$AE$6:$AE$3005,請求記録!$B$6:$B$3005,$A86,請求記録!$Z$6:$Z$3005,X$5))))</f>
        <v/>
      </c>
      <c r="Y86" s="19">
        <f>IF($A86="","",IF(COUNTIFS(請求記録!$B$6:$B$3005,$A86,請求記録!$Z$6:$Z$3005,Y$5,請求記録!$AF$6:$AF$3005,"保留中")&gt;0,"保留",IF(COUNTIFS(請求記録!$B$6:$B$3005,$A86,請求記録!$Z$6:$Z$3005,Y$5)=0,"",SUMIFS(請求記録!$AE$6:$AE$3005,請求記録!$B$6:$B$3005,$A86,請求記録!$Z$6:$Z$3005,Y$5))))</f>
        <v/>
      </c>
      <c r="Z86" s="19">
        <f>IF($A86="","",IF(COUNTIFS(請求記録!$B$6:$B$3005,$A86,請求記録!$Z$6:$Z$3005,Z$5,請求記録!$AF$6:$AF$3005,"保留中")&gt;0,"保留",IF(COUNTIFS(請求記録!$B$6:$B$3005,$A86,請求記録!$Z$6:$Z$3005,Z$5)=0,"",SUMIFS(請求記録!$AE$6:$AE$3005,請求記録!$B$6:$B$3005,$A86,請求記録!$Z$6:$Z$3005,Z$5))))</f>
        <v/>
      </c>
      <c r="AA86" s="19">
        <f>IF($A86="","",IF(COUNTIFS(請求記録!$B$6:$B$3005,$A86,請求記録!$Z$6:$Z$3005,AA$5,請求記録!$AF$6:$AF$3005,"保留中")&gt;0,"保留",IF(COUNTIFS(請求記録!$B$6:$B$3005,$A86,請求記録!$Z$6:$Z$3005,AA$5)=0,"",SUMIFS(請求記録!$AE$6:$AE$3005,請求記録!$B$6:$B$3005,$A86,請求記録!$Z$6:$Z$3005,AA$5))))</f>
        <v/>
      </c>
      <c r="AB86">
        <f>IF(職員マスタ!P86="保留中",職員マスタ!M86,"")</f>
        <v/>
      </c>
    </row>
    <row r="87">
      <c r="A87">
        <f>IF(職員マスタ!A87="","",職員マスタ!A87)</f>
        <v/>
      </c>
      <c r="B87">
        <f>IF($A87="","",職員マスタ!B87)</f>
        <v/>
      </c>
      <c r="C87">
        <f>IF($A87="","",職員マスタ!C87)</f>
        <v/>
      </c>
      <c r="D87" s="19">
        <f>IF($A87="","",IF(COUNTIFS(請求記録!$B$6:$B$3005,$A87,請求記録!$Z$6:$Z$3005,D$5,請求記録!$AF$6:$AF$3005,"保留中")&gt;0,"保留",IF(COUNTIFS(請求記録!$B$6:$B$3005,$A87,請求記録!$Z$6:$Z$3005,D$5)=0,"",SUMIFS(請求記録!$AE$6:$AE$3005,請求記録!$B$6:$B$3005,$A87,請求記録!$Z$6:$Z$3005,D$5))))</f>
        <v/>
      </c>
      <c r="E87" s="19">
        <f>IF($A87="","",IF(COUNTIFS(請求記録!$B$6:$B$3005,$A87,請求記録!$Z$6:$Z$3005,E$5,請求記録!$AF$6:$AF$3005,"保留中")&gt;0,"保留",IF(COUNTIFS(請求記録!$B$6:$B$3005,$A87,請求記録!$Z$6:$Z$3005,E$5)=0,"",SUMIFS(請求記録!$AE$6:$AE$3005,請求記録!$B$6:$B$3005,$A87,請求記録!$Z$6:$Z$3005,E$5))))</f>
        <v/>
      </c>
      <c r="F87" s="19">
        <f>IF($A87="","",IF(COUNTIFS(請求記録!$B$6:$B$3005,$A87,請求記録!$Z$6:$Z$3005,F$5,請求記録!$AF$6:$AF$3005,"保留中")&gt;0,"保留",IF(COUNTIFS(請求記録!$B$6:$B$3005,$A87,請求記録!$Z$6:$Z$3005,F$5)=0,"",SUMIFS(請求記録!$AE$6:$AE$3005,請求記録!$B$6:$B$3005,$A87,請求記録!$Z$6:$Z$3005,F$5))))</f>
        <v/>
      </c>
      <c r="G87" s="19">
        <f>IF($A87="","",IF(COUNTIFS(請求記録!$B$6:$B$3005,$A87,請求記録!$Z$6:$Z$3005,G$5,請求記録!$AF$6:$AF$3005,"保留中")&gt;0,"保留",IF(COUNTIFS(請求記録!$B$6:$B$3005,$A87,請求記録!$Z$6:$Z$3005,G$5)=0,"",SUMIFS(請求記録!$AE$6:$AE$3005,請求記録!$B$6:$B$3005,$A87,請求記録!$Z$6:$Z$3005,G$5))))</f>
        <v/>
      </c>
      <c r="H87" s="19">
        <f>IF($A87="","",IF(COUNTIFS(請求記録!$B$6:$B$3005,$A87,請求記録!$Z$6:$Z$3005,H$5,請求記録!$AF$6:$AF$3005,"保留中")&gt;0,"保留",IF(COUNTIFS(請求記録!$B$6:$B$3005,$A87,請求記録!$Z$6:$Z$3005,H$5)=0,"",SUMIFS(請求記録!$AE$6:$AE$3005,請求記録!$B$6:$B$3005,$A87,請求記録!$Z$6:$Z$3005,H$5))))</f>
        <v/>
      </c>
      <c r="I87" s="19">
        <f>IF($A87="","",IF(COUNTIFS(請求記録!$B$6:$B$3005,$A87,請求記録!$Z$6:$Z$3005,I$5,請求記録!$AF$6:$AF$3005,"保留中")&gt;0,"保留",IF(COUNTIFS(請求記録!$B$6:$B$3005,$A87,請求記録!$Z$6:$Z$3005,I$5)=0,"",SUMIFS(請求記録!$AE$6:$AE$3005,請求記録!$B$6:$B$3005,$A87,請求記録!$Z$6:$Z$3005,I$5))))</f>
        <v/>
      </c>
      <c r="J87" s="19">
        <f>IF($A87="","",IF(COUNTIFS(請求記録!$B$6:$B$3005,$A87,請求記録!$Z$6:$Z$3005,J$5,請求記録!$AF$6:$AF$3005,"保留中")&gt;0,"保留",IF(COUNTIFS(請求記録!$B$6:$B$3005,$A87,請求記録!$Z$6:$Z$3005,J$5)=0,"",SUMIFS(請求記録!$AE$6:$AE$3005,請求記録!$B$6:$B$3005,$A87,請求記録!$Z$6:$Z$3005,J$5))))</f>
        <v/>
      </c>
      <c r="K87" s="19">
        <f>IF($A87="","",IF(COUNTIFS(請求記録!$B$6:$B$3005,$A87,請求記録!$Z$6:$Z$3005,K$5,請求記録!$AF$6:$AF$3005,"保留中")&gt;0,"保留",IF(COUNTIFS(請求記録!$B$6:$B$3005,$A87,請求記録!$Z$6:$Z$3005,K$5)=0,"",SUMIFS(請求記録!$AE$6:$AE$3005,請求記録!$B$6:$B$3005,$A87,請求記録!$Z$6:$Z$3005,K$5))))</f>
        <v/>
      </c>
      <c r="L87" s="19">
        <f>IF($A87="","",IF(COUNTIFS(請求記録!$B$6:$B$3005,$A87,請求記録!$Z$6:$Z$3005,L$5,請求記録!$AF$6:$AF$3005,"保留中")&gt;0,"保留",IF(COUNTIFS(請求記録!$B$6:$B$3005,$A87,請求記録!$Z$6:$Z$3005,L$5)=0,"",SUMIFS(請求記録!$AE$6:$AE$3005,請求記録!$B$6:$B$3005,$A87,請求記録!$Z$6:$Z$3005,L$5))))</f>
        <v/>
      </c>
      <c r="M87" s="19">
        <f>IF($A87="","",IF(COUNTIFS(請求記録!$B$6:$B$3005,$A87,請求記録!$Z$6:$Z$3005,M$5,請求記録!$AF$6:$AF$3005,"保留中")&gt;0,"保留",IF(COUNTIFS(請求記録!$B$6:$B$3005,$A87,請求記録!$Z$6:$Z$3005,M$5)=0,"",SUMIFS(請求記録!$AE$6:$AE$3005,請求記録!$B$6:$B$3005,$A87,請求記録!$Z$6:$Z$3005,M$5))))</f>
        <v/>
      </c>
      <c r="N87" s="19">
        <f>IF($A87="","",IF(COUNTIFS(請求記録!$B$6:$B$3005,$A87,請求記録!$Z$6:$Z$3005,N$5,請求記録!$AF$6:$AF$3005,"保留中")&gt;0,"保留",IF(COUNTIFS(請求記録!$B$6:$B$3005,$A87,請求記録!$Z$6:$Z$3005,N$5)=0,"",SUMIFS(請求記録!$AE$6:$AE$3005,請求記録!$B$6:$B$3005,$A87,請求記録!$Z$6:$Z$3005,N$5))))</f>
        <v/>
      </c>
      <c r="O87" s="19">
        <f>IF($A87="","",IF(COUNTIFS(請求記録!$B$6:$B$3005,$A87,請求記録!$Z$6:$Z$3005,O$5,請求記録!$AF$6:$AF$3005,"保留中")&gt;0,"保留",IF(COUNTIFS(請求記録!$B$6:$B$3005,$A87,請求記録!$Z$6:$Z$3005,O$5)=0,"",SUMIFS(請求記録!$AE$6:$AE$3005,請求記録!$B$6:$B$3005,$A87,請求記録!$Z$6:$Z$3005,O$5))))</f>
        <v/>
      </c>
      <c r="P87" s="19">
        <f>IF($A87="","",IF(COUNTIFS(請求記録!$B$6:$B$3005,$A87,請求記録!$Z$6:$Z$3005,P$5,請求記録!$AF$6:$AF$3005,"保留中")&gt;0,"保留",IF(COUNTIFS(請求記録!$B$6:$B$3005,$A87,請求記録!$Z$6:$Z$3005,P$5)=0,"",SUMIFS(請求記録!$AE$6:$AE$3005,請求記録!$B$6:$B$3005,$A87,請求記録!$Z$6:$Z$3005,P$5))))</f>
        <v/>
      </c>
      <c r="Q87" s="19">
        <f>IF($A87="","",IF(COUNTIFS(請求記録!$B$6:$B$3005,$A87,請求記録!$Z$6:$Z$3005,Q$5,請求記録!$AF$6:$AF$3005,"保留中")&gt;0,"保留",IF(COUNTIFS(請求記録!$B$6:$B$3005,$A87,請求記録!$Z$6:$Z$3005,Q$5)=0,"",SUMIFS(請求記録!$AE$6:$AE$3005,請求記録!$B$6:$B$3005,$A87,請求記録!$Z$6:$Z$3005,Q$5))))</f>
        <v/>
      </c>
      <c r="R87" s="19">
        <f>IF($A87="","",IF(COUNTIFS(請求記録!$B$6:$B$3005,$A87,請求記録!$Z$6:$Z$3005,R$5,請求記録!$AF$6:$AF$3005,"保留中")&gt;0,"保留",IF(COUNTIFS(請求記録!$B$6:$B$3005,$A87,請求記録!$Z$6:$Z$3005,R$5)=0,"",SUMIFS(請求記録!$AE$6:$AE$3005,請求記録!$B$6:$B$3005,$A87,請求記録!$Z$6:$Z$3005,R$5))))</f>
        <v/>
      </c>
      <c r="S87" s="19">
        <f>IF($A87="","",IF(COUNTIFS(請求記録!$B$6:$B$3005,$A87,請求記録!$Z$6:$Z$3005,S$5,請求記録!$AF$6:$AF$3005,"保留中")&gt;0,"保留",IF(COUNTIFS(請求記録!$B$6:$B$3005,$A87,請求記録!$Z$6:$Z$3005,S$5)=0,"",SUMIFS(請求記録!$AE$6:$AE$3005,請求記録!$B$6:$B$3005,$A87,請求記録!$Z$6:$Z$3005,S$5))))</f>
        <v/>
      </c>
      <c r="T87" s="19">
        <f>IF($A87="","",IF(COUNTIFS(請求記録!$B$6:$B$3005,$A87,請求記録!$Z$6:$Z$3005,T$5,請求記録!$AF$6:$AF$3005,"保留中")&gt;0,"保留",IF(COUNTIFS(請求記録!$B$6:$B$3005,$A87,請求記録!$Z$6:$Z$3005,T$5)=0,"",SUMIFS(請求記録!$AE$6:$AE$3005,請求記録!$B$6:$B$3005,$A87,請求記録!$Z$6:$Z$3005,T$5))))</f>
        <v/>
      </c>
      <c r="U87" s="19">
        <f>IF($A87="","",IF(COUNTIFS(請求記録!$B$6:$B$3005,$A87,請求記録!$Z$6:$Z$3005,U$5,請求記録!$AF$6:$AF$3005,"保留中")&gt;0,"保留",IF(COUNTIFS(請求記録!$B$6:$B$3005,$A87,請求記録!$Z$6:$Z$3005,U$5)=0,"",SUMIFS(請求記録!$AE$6:$AE$3005,請求記録!$B$6:$B$3005,$A87,請求記録!$Z$6:$Z$3005,U$5))))</f>
        <v/>
      </c>
      <c r="V87" s="19">
        <f>IF($A87="","",IF(COUNTIFS(請求記録!$B$6:$B$3005,$A87,請求記録!$Z$6:$Z$3005,V$5,請求記録!$AF$6:$AF$3005,"保留中")&gt;0,"保留",IF(COUNTIFS(請求記録!$B$6:$B$3005,$A87,請求記録!$Z$6:$Z$3005,V$5)=0,"",SUMIFS(請求記録!$AE$6:$AE$3005,請求記録!$B$6:$B$3005,$A87,請求記録!$Z$6:$Z$3005,V$5))))</f>
        <v/>
      </c>
      <c r="W87" s="19">
        <f>IF($A87="","",IF(COUNTIFS(請求記録!$B$6:$B$3005,$A87,請求記録!$Z$6:$Z$3005,W$5,請求記録!$AF$6:$AF$3005,"保留中")&gt;0,"保留",IF(COUNTIFS(請求記録!$B$6:$B$3005,$A87,請求記録!$Z$6:$Z$3005,W$5)=0,"",SUMIFS(請求記録!$AE$6:$AE$3005,請求記録!$B$6:$B$3005,$A87,請求記録!$Z$6:$Z$3005,W$5))))</f>
        <v/>
      </c>
      <c r="X87" s="19">
        <f>IF($A87="","",IF(COUNTIFS(請求記録!$B$6:$B$3005,$A87,請求記録!$Z$6:$Z$3005,X$5,請求記録!$AF$6:$AF$3005,"保留中")&gt;0,"保留",IF(COUNTIFS(請求記録!$B$6:$B$3005,$A87,請求記録!$Z$6:$Z$3005,X$5)=0,"",SUMIFS(請求記録!$AE$6:$AE$3005,請求記録!$B$6:$B$3005,$A87,請求記録!$Z$6:$Z$3005,X$5))))</f>
        <v/>
      </c>
      <c r="Y87" s="19">
        <f>IF($A87="","",IF(COUNTIFS(請求記録!$B$6:$B$3005,$A87,請求記録!$Z$6:$Z$3005,Y$5,請求記録!$AF$6:$AF$3005,"保留中")&gt;0,"保留",IF(COUNTIFS(請求記録!$B$6:$B$3005,$A87,請求記録!$Z$6:$Z$3005,Y$5)=0,"",SUMIFS(請求記録!$AE$6:$AE$3005,請求記録!$B$6:$B$3005,$A87,請求記録!$Z$6:$Z$3005,Y$5))))</f>
        <v/>
      </c>
      <c r="Z87" s="19">
        <f>IF($A87="","",IF(COUNTIFS(請求記録!$B$6:$B$3005,$A87,請求記録!$Z$6:$Z$3005,Z$5,請求記録!$AF$6:$AF$3005,"保留中")&gt;0,"保留",IF(COUNTIFS(請求記録!$B$6:$B$3005,$A87,請求記録!$Z$6:$Z$3005,Z$5)=0,"",SUMIFS(請求記録!$AE$6:$AE$3005,請求記録!$B$6:$B$3005,$A87,請求記録!$Z$6:$Z$3005,Z$5))))</f>
        <v/>
      </c>
      <c r="AA87" s="19">
        <f>IF($A87="","",IF(COUNTIFS(請求記録!$B$6:$B$3005,$A87,請求記録!$Z$6:$Z$3005,AA$5,請求記録!$AF$6:$AF$3005,"保留中")&gt;0,"保留",IF(COUNTIFS(請求記録!$B$6:$B$3005,$A87,請求記録!$Z$6:$Z$3005,AA$5)=0,"",SUMIFS(請求記録!$AE$6:$AE$3005,請求記録!$B$6:$B$3005,$A87,請求記録!$Z$6:$Z$3005,AA$5))))</f>
        <v/>
      </c>
      <c r="AB87">
        <f>IF(職員マスタ!P87="保留中",職員マスタ!M87,"")</f>
        <v/>
      </c>
    </row>
    <row r="88">
      <c r="A88">
        <f>IF(職員マスタ!A88="","",職員マスタ!A88)</f>
        <v/>
      </c>
      <c r="B88">
        <f>IF($A88="","",職員マスタ!B88)</f>
        <v/>
      </c>
      <c r="C88">
        <f>IF($A88="","",職員マスタ!C88)</f>
        <v/>
      </c>
      <c r="D88" s="19">
        <f>IF($A88="","",IF(COUNTIFS(請求記録!$B$6:$B$3005,$A88,請求記録!$Z$6:$Z$3005,D$5,請求記録!$AF$6:$AF$3005,"保留中")&gt;0,"保留",IF(COUNTIFS(請求記録!$B$6:$B$3005,$A88,請求記録!$Z$6:$Z$3005,D$5)=0,"",SUMIFS(請求記録!$AE$6:$AE$3005,請求記録!$B$6:$B$3005,$A88,請求記録!$Z$6:$Z$3005,D$5))))</f>
        <v/>
      </c>
      <c r="E88" s="19">
        <f>IF($A88="","",IF(COUNTIFS(請求記録!$B$6:$B$3005,$A88,請求記録!$Z$6:$Z$3005,E$5,請求記録!$AF$6:$AF$3005,"保留中")&gt;0,"保留",IF(COUNTIFS(請求記録!$B$6:$B$3005,$A88,請求記録!$Z$6:$Z$3005,E$5)=0,"",SUMIFS(請求記録!$AE$6:$AE$3005,請求記録!$B$6:$B$3005,$A88,請求記録!$Z$6:$Z$3005,E$5))))</f>
        <v/>
      </c>
      <c r="F88" s="19">
        <f>IF($A88="","",IF(COUNTIFS(請求記録!$B$6:$B$3005,$A88,請求記録!$Z$6:$Z$3005,F$5,請求記録!$AF$6:$AF$3005,"保留中")&gt;0,"保留",IF(COUNTIFS(請求記録!$B$6:$B$3005,$A88,請求記録!$Z$6:$Z$3005,F$5)=0,"",SUMIFS(請求記録!$AE$6:$AE$3005,請求記録!$B$6:$B$3005,$A88,請求記録!$Z$6:$Z$3005,F$5))))</f>
        <v/>
      </c>
      <c r="G88" s="19">
        <f>IF($A88="","",IF(COUNTIFS(請求記録!$B$6:$B$3005,$A88,請求記録!$Z$6:$Z$3005,G$5,請求記録!$AF$6:$AF$3005,"保留中")&gt;0,"保留",IF(COUNTIFS(請求記録!$B$6:$B$3005,$A88,請求記録!$Z$6:$Z$3005,G$5)=0,"",SUMIFS(請求記録!$AE$6:$AE$3005,請求記録!$B$6:$B$3005,$A88,請求記録!$Z$6:$Z$3005,G$5))))</f>
        <v/>
      </c>
      <c r="H88" s="19">
        <f>IF($A88="","",IF(COUNTIFS(請求記録!$B$6:$B$3005,$A88,請求記録!$Z$6:$Z$3005,H$5,請求記録!$AF$6:$AF$3005,"保留中")&gt;0,"保留",IF(COUNTIFS(請求記録!$B$6:$B$3005,$A88,請求記録!$Z$6:$Z$3005,H$5)=0,"",SUMIFS(請求記録!$AE$6:$AE$3005,請求記録!$B$6:$B$3005,$A88,請求記録!$Z$6:$Z$3005,H$5))))</f>
        <v/>
      </c>
      <c r="I88" s="19">
        <f>IF($A88="","",IF(COUNTIFS(請求記録!$B$6:$B$3005,$A88,請求記録!$Z$6:$Z$3005,I$5,請求記録!$AF$6:$AF$3005,"保留中")&gt;0,"保留",IF(COUNTIFS(請求記録!$B$6:$B$3005,$A88,請求記録!$Z$6:$Z$3005,I$5)=0,"",SUMIFS(請求記録!$AE$6:$AE$3005,請求記録!$B$6:$B$3005,$A88,請求記録!$Z$6:$Z$3005,I$5))))</f>
        <v/>
      </c>
      <c r="J88" s="19">
        <f>IF($A88="","",IF(COUNTIFS(請求記録!$B$6:$B$3005,$A88,請求記録!$Z$6:$Z$3005,J$5,請求記録!$AF$6:$AF$3005,"保留中")&gt;0,"保留",IF(COUNTIFS(請求記録!$B$6:$B$3005,$A88,請求記録!$Z$6:$Z$3005,J$5)=0,"",SUMIFS(請求記録!$AE$6:$AE$3005,請求記録!$B$6:$B$3005,$A88,請求記録!$Z$6:$Z$3005,J$5))))</f>
        <v/>
      </c>
      <c r="K88" s="19">
        <f>IF($A88="","",IF(COUNTIFS(請求記録!$B$6:$B$3005,$A88,請求記録!$Z$6:$Z$3005,K$5,請求記録!$AF$6:$AF$3005,"保留中")&gt;0,"保留",IF(COUNTIFS(請求記録!$B$6:$B$3005,$A88,請求記録!$Z$6:$Z$3005,K$5)=0,"",SUMIFS(請求記録!$AE$6:$AE$3005,請求記録!$B$6:$B$3005,$A88,請求記録!$Z$6:$Z$3005,K$5))))</f>
        <v/>
      </c>
      <c r="L88" s="19">
        <f>IF($A88="","",IF(COUNTIFS(請求記録!$B$6:$B$3005,$A88,請求記録!$Z$6:$Z$3005,L$5,請求記録!$AF$6:$AF$3005,"保留中")&gt;0,"保留",IF(COUNTIFS(請求記録!$B$6:$B$3005,$A88,請求記録!$Z$6:$Z$3005,L$5)=0,"",SUMIFS(請求記録!$AE$6:$AE$3005,請求記録!$B$6:$B$3005,$A88,請求記録!$Z$6:$Z$3005,L$5))))</f>
        <v/>
      </c>
      <c r="M88" s="19">
        <f>IF($A88="","",IF(COUNTIFS(請求記録!$B$6:$B$3005,$A88,請求記録!$Z$6:$Z$3005,M$5,請求記録!$AF$6:$AF$3005,"保留中")&gt;0,"保留",IF(COUNTIFS(請求記録!$B$6:$B$3005,$A88,請求記録!$Z$6:$Z$3005,M$5)=0,"",SUMIFS(請求記録!$AE$6:$AE$3005,請求記録!$B$6:$B$3005,$A88,請求記録!$Z$6:$Z$3005,M$5))))</f>
        <v/>
      </c>
      <c r="N88" s="19">
        <f>IF($A88="","",IF(COUNTIFS(請求記録!$B$6:$B$3005,$A88,請求記録!$Z$6:$Z$3005,N$5,請求記録!$AF$6:$AF$3005,"保留中")&gt;0,"保留",IF(COUNTIFS(請求記録!$B$6:$B$3005,$A88,請求記録!$Z$6:$Z$3005,N$5)=0,"",SUMIFS(請求記録!$AE$6:$AE$3005,請求記録!$B$6:$B$3005,$A88,請求記録!$Z$6:$Z$3005,N$5))))</f>
        <v/>
      </c>
      <c r="O88" s="19">
        <f>IF($A88="","",IF(COUNTIFS(請求記録!$B$6:$B$3005,$A88,請求記録!$Z$6:$Z$3005,O$5,請求記録!$AF$6:$AF$3005,"保留中")&gt;0,"保留",IF(COUNTIFS(請求記録!$B$6:$B$3005,$A88,請求記録!$Z$6:$Z$3005,O$5)=0,"",SUMIFS(請求記録!$AE$6:$AE$3005,請求記録!$B$6:$B$3005,$A88,請求記録!$Z$6:$Z$3005,O$5))))</f>
        <v/>
      </c>
      <c r="P88" s="19">
        <f>IF($A88="","",IF(COUNTIFS(請求記録!$B$6:$B$3005,$A88,請求記録!$Z$6:$Z$3005,P$5,請求記録!$AF$6:$AF$3005,"保留中")&gt;0,"保留",IF(COUNTIFS(請求記録!$B$6:$B$3005,$A88,請求記録!$Z$6:$Z$3005,P$5)=0,"",SUMIFS(請求記録!$AE$6:$AE$3005,請求記録!$B$6:$B$3005,$A88,請求記録!$Z$6:$Z$3005,P$5))))</f>
        <v/>
      </c>
      <c r="Q88" s="19">
        <f>IF($A88="","",IF(COUNTIFS(請求記録!$B$6:$B$3005,$A88,請求記録!$Z$6:$Z$3005,Q$5,請求記録!$AF$6:$AF$3005,"保留中")&gt;0,"保留",IF(COUNTIFS(請求記録!$B$6:$B$3005,$A88,請求記録!$Z$6:$Z$3005,Q$5)=0,"",SUMIFS(請求記録!$AE$6:$AE$3005,請求記録!$B$6:$B$3005,$A88,請求記録!$Z$6:$Z$3005,Q$5))))</f>
        <v/>
      </c>
      <c r="R88" s="19">
        <f>IF($A88="","",IF(COUNTIFS(請求記録!$B$6:$B$3005,$A88,請求記録!$Z$6:$Z$3005,R$5,請求記録!$AF$6:$AF$3005,"保留中")&gt;0,"保留",IF(COUNTIFS(請求記録!$B$6:$B$3005,$A88,請求記録!$Z$6:$Z$3005,R$5)=0,"",SUMIFS(請求記録!$AE$6:$AE$3005,請求記録!$B$6:$B$3005,$A88,請求記録!$Z$6:$Z$3005,R$5))))</f>
        <v/>
      </c>
      <c r="S88" s="19">
        <f>IF($A88="","",IF(COUNTIFS(請求記録!$B$6:$B$3005,$A88,請求記録!$Z$6:$Z$3005,S$5,請求記録!$AF$6:$AF$3005,"保留中")&gt;0,"保留",IF(COUNTIFS(請求記録!$B$6:$B$3005,$A88,請求記録!$Z$6:$Z$3005,S$5)=0,"",SUMIFS(請求記録!$AE$6:$AE$3005,請求記録!$B$6:$B$3005,$A88,請求記録!$Z$6:$Z$3005,S$5))))</f>
        <v/>
      </c>
      <c r="T88" s="19">
        <f>IF($A88="","",IF(COUNTIFS(請求記録!$B$6:$B$3005,$A88,請求記録!$Z$6:$Z$3005,T$5,請求記録!$AF$6:$AF$3005,"保留中")&gt;0,"保留",IF(COUNTIFS(請求記録!$B$6:$B$3005,$A88,請求記録!$Z$6:$Z$3005,T$5)=0,"",SUMIFS(請求記録!$AE$6:$AE$3005,請求記録!$B$6:$B$3005,$A88,請求記録!$Z$6:$Z$3005,T$5))))</f>
        <v/>
      </c>
      <c r="U88" s="19">
        <f>IF($A88="","",IF(COUNTIFS(請求記録!$B$6:$B$3005,$A88,請求記録!$Z$6:$Z$3005,U$5,請求記録!$AF$6:$AF$3005,"保留中")&gt;0,"保留",IF(COUNTIFS(請求記録!$B$6:$B$3005,$A88,請求記録!$Z$6:$Z$3005,U$5)=0,"",SUMIFS(請求記録!$AE$6:$AE$3005,請求記録!$B$6:$B$3005,$A88,請求記録!$Z$6:$Z$3005,U$5))))</f>
        <v/>
      </c>
      <c r="V88" s="19">
        <f>IF($A88="","",IF(COUNTIFS(請求記録!$B$6:$B$3005,$A88,請求記録!$Z$6:$Z$3005,V$5,請求記録!$AF$6:$AF$3005,"保留中")&gt;0,"保留",IF(COUNTIFS(請求記録!$B$6:$B$3005,$A88,請求記録!$Z$6:$Z$3005,V$5)=0,"",SUMIFS(請求記録!$AE$6:$AE$3005,請求記録!$B$6:$B$3005,$A88,請求記録!$Z$6:$Z$3005,V$5))))</f>
        <v/>
      </c>
      <c r="W88" s="19">
        <f>IF($A88="","",IF(COUNTIFS(請求記録!$B$6:$B$3005,$A88,請求記録!$Z$6:$Z$3005,W$5,請求記録!$AF$6:$AF$3005,"保留中")&gt;0,"保留",IF(COUNTIFS(請求記録!$B$6:$B$3005,$A88,請求記録!$Z$6:$Z$3005,W$5)=0,"",SUMIFS(請求記録!$AE$6:$AE$3005,請求記録!$B$6:$B$3005,$A88,請求記録!$Z$6:$Z$3005,W$5))))</f>
        <v/>
      </c>
      <c r="X88" s="19">
        <f>IF($A88="","",IF(COUNTIFS(請求記録!$B$6:$B$3005,$A88,請求記録!$Z$6:$Z$3005,X$5,請求記録!$AF$6:$AF$3005,"保留中")&gt;0,"保留",IF(COUNTIFS(請求記録!$B$6:$B$3005,$A88,請求記録!$Z$6:$Z$3005,X$5)=0,"",SUMIFS(請求記録!$AE$6:$AE$3005,請求記録!$B$6:$B$3005,$A88,請求記録!$Z$6:$Z$3005,X$5))))</f>
        <v/>
      </c>
      <c r="Y88" s="19">
        <f>IF($A88="","",IF(COUNTIFS(請求記録!$B$6:$B$3005,$A88,請求記録!$Z$6:$Z$3005,Y$5,請求記録!$AF$6:$AF$3005,"保留中")&gt;0,"保留",IF(COUNTIFS(請求記録!$B$6:$B$3005,$A88,請求記録!$Z$6:$Z$3005,Y$5)=0,"",SUMIFS(請求記録!$AE$6:$AE$3005,請求記録!$B$6:$B$3005,$A88,請求記録!$Z$6:$Z$3005,Y$5))))</f>
        <v/>
      </c>
      <c r="Z88" s="19">
        <f>IF($A88="","",IF(COUNTIFS(請求記録!$B$6:$B$3005,$A88,請求記録!$Z$6:$Z$3005,Z$5,請求記録!$AF$6:$AF$3005,"保留中")&gt;0,"保留",IF(COUNTIFS(請求記録!$B$6:$B$3005,$A88,請求記録!$Z$6:$Z$3005,Z$5)=0,"",SUMIFS(請求記録!$AE$6:$AE$3005,請求記録!$B$6:$B$3005,$A88,請求記録!$Z$6:$Z$3005,Z$5))))</f>
        <v/>
      </c>
      <c r="AA88" s="19">
        <f>IF($A88="","",IF(COUNTIFS(請求記録!$B$6:$B$3005,$A88,請求記録!$Z$6:$Z$3005,AA$5,請求記録!$AF$6:$AF$3005,"保留中")&gt;0,"保留",IF(COUNTIFS(請求記録!$B$6:$B$3005,$A88,請求記録!$Z$6:$Z$3005,AA$5)=0,"",SUMIFS(請求記録!$AE$6:$AE$3005,請求記録!$B$6:$B$3005,$A88,請求記録!$Z$6:$Z$3005,AA$5))))</f>
        <v/>
      </c>
      <c r="AB88">
        <f>IF(職員マスタ!P88="保留中",職員マスタ!M88,"")</f>
        <v/>
      </c>
    </row>
    <row r="89">
      <c r="A89">
        <f>IF(職員マスタ!A89="","",職員マスタ!A89)</f>
        <v/>
      </c>
      <c r="B89">
        <f>IF($A89="","",職員マスタ!B89)</f>
        <v/>
      </c>
      <c r="C89">
        <f>IF($A89="","",職員マスタ!C89)</f>
        <v/>
      </c>
      <c r="D89" s="19">
        <f>IF($A89="","",IF(COUNTIFS(請求記録!$B$6:$B$3005,$A89,請求記録!$Z$6:$Z$3005,D$5,請求記録!$AF$6:$AF$3005,"保留中")&gt;0,"保留",IF(COUNTIFS(請求記録!$B$6:$B$3005,$A89,請求記録!$Z$6:$Z$3005,D$5)=0,"",SUMIFS(請求記録!$AE$6:$AE$3005,請求記録!$B$6:$B$3005,$A89,請求記録!$Z$6:$Z$3005,D$5))))</f>
        <v/>
      </c>
      <c r="E89" s="19">
        <f>IF($A89="","",IF(COUNTIFS(請求記録!$B$6:$B$3005,$A89,請求記録!$Z$6:$Z$3005,E$5,請求記録!$AF$6:$AF$3005,"保留中")&gt;0,"保留",IF(COUNTIFS(請求記録!$B$6:$B$3005,$A89,請求記録!$Z$6:$Z$3005,E$5)=0,"",SUMIFS(請求記録!$AE$6:$AE$3005,請求記録!$B$6:$B$3005,$A89,請求記録!$Z$6:$Z$3005,E$5))))</f>
        <v/>
      </c>
      <c r="F89" s="19">
        <f>IF($A89="","",IF(COUNTIFS(請求記録!$B$6:$B$3005,$A89,請求記録!$Z$6:$Z$3005,F$5,請求記録!$AF$6:$AF$3005,"保留中")&gt;0,"保留",IF(COUNTIFS(請求記録!$B$6:$B$3005,$A89,請求記録!$Z$6:$Z$3005,F$5)=0,"",SUMIFS(請求記録!$AE$6:$AE$3005,請求記録!$B$6:$B$3005,$A89,請求記録!$Z$6:$Z$3005,F$5))))</f>
        <v/>
      </c>
      <c r="G89" s="19">
        <f>IF($A89="","",IF(COUNTIFS(請求記録!$B$6:$B$3005,$A89,請求記録!$Z$6:$Z$3005,G$5,請求記録!$AF$6:$AF$3005,"保留中")&gt;0,"保留",IF(COUNTIFS(請求記録!$B$6:$B$3005,$A89,請求記録!$Z$6:$Z$3005,G$5)=0,"",SUMIFS(請求記録!$AE$6:$AE$3005,請求記録!$B$6:$B$3005,$A89,請求記録!$Z$6:$Z$3005,G$5))))</f>
        <v/>
      </c>
      <c r="H89" s="19">
        <f>IF($A89="","",IF(COUNTIFS(請求記録!$B$6:$B$3005,$A89,請求記録!$Z$6:$Z$3005,H$5,請求記録!$AF$6:$AF$3005,"保留中")&gt;0,"保留",IF(COUNTIFS(請求記録!$B$6:$B$3005,$A89,請求記録!$Z$6:$Z$3005,H$5)=0,"",SUMIFS(請求記録!$AE$6:$AE$3005,請求記録!$B$6:$B$3005,$A89,請求記録!$Z$6:$Z$3005,H$5))))</f>
        <v/>
      </c>
      <c r="I89" s="19">
        <f>IF($A89="","",IF(COUNTIFS(請求記録!$B$6:$B$3005,$A89,請求記録!$Z$6:$Z$3005,I$5,請求記録!$AF$6:$AF$3005,"保留中")&gt;0,"保留",IF(COUNTIFS(請求記録!$B$6:$B$3005,$A89,請求記録!$Z$6:$Z$3005,I$5)=0,"",SUMIFS(請求記録!$AE$6:$AE$3005,請求記録!$B$6:$B$3005,$A89,請求記録!$Z$6:$Z$3005,I$5))))</f>
        <v/>
      </c>
      <c r="J89" s="19">
        <f>IF($A89="","",IF(COUNTIFS(請求記録!$B$6:$B$3005,$A89,請求記録!$Z$6:$Z$3005,J$5,請求記録!$AF$6:$AF$3005,"保留中")&gt;0,"保留",IF(COUNTIFS(請求記録!$B$6:$B$3005,$A89,請求記録!$Z$6:$Z$3005,J$5)=0,"",SUMIFS(請求記録!$AE$6:$AE$3005,請求記録!$B$6:$B$3005,$A89,請求記録!$Z$6:$Z$3005,J$5))))</f>
        <v/>
      </c>
      <c r="K89" s="19">
        <f>IF($A89="","",IF(COUNTIFS(請求記録!$B$6:$B$3005,$A89,請求記録!$Z$6:$Z$3005,K$5,請求記録!$AF$6:$AF$3005,"保留中")&gt;0,"保留",IF(COUNTIFS(請求記録!$B$6:$B$3005,$A89,請求記録!$Z$6:$Z$3005,K$5)=0,"",SUMIFS(請求記録!$AE$6:$AE$3005,請求記録!$B$6:$B$3005,$A89,請求記録!$Z$6:$Z$3005,K$5))))</f>
        <v/>
      </c>
      <c r="L89" s="19">
        <f>IF($A89="","",IF(COUNTIFS(請求記録!$B$6:$B$3005,$A89,請求記録!$Z$6:$Z$3005,L$5,請求記録!$AF$6:$AF$3005,"保留中")&gt;0,"保留",IF(COUNTIFS(請求記録!$B$6:$B$3005,$A89,請求記録!$Z$6:$Z$3005,L$5)=0,"",SUMIFS(請求記録!$AE$6:$AE$3005,請求記録!$B$6:$B$3005,$A89,請求記録!$Z$6:$Z$3005,L$5))))</f>
        <v/>
      </c>
      <c r="M89" s="19">
        <f>IF($A89="","",IF(COUNTIFS(請求記録!$B$6:$B$3005,$A89,請求記録!$Z$6:$Z$3005,M$5,請求記録!$AF$6:$AF$3005,"保留中")&gt;0,"保留",IF(COUNTIFS(請求記録!$B$6:$B$3005,$A89,請求記録!$Z$6:$Z$3005,M$5)=0,"",SUMIFS(請求記録!$AE$6:$AE$3005,請求記録!$B$6:$B$3005,$A89,請求記録!$Z$6:$Z$3005,M$5))))</f>
        <v/>
      </c>
      <c r="N89" s="19">
        <f>IF($A89="","",IF(COUNTIFS(請求記録!$B$6:$B$3005,$A89,請求記録!$Z$6:$Z$3005,N$5,請求記録!$AF$6:$AF$3005,"保留中")&gt;0,"保留",IF(COUNTIFS(請求記録!$B$6:$B$3005,$A89,請求記録!$Z$6:$Z$3005,N$5)=0,"",SUMIFS(請求記録!$AE$6:$AE$3005,請求記録!$B$6:$B$3005,$A89,請求記録!$Z$6:$Z$3005,N$5))))</f>
        <v/>
      </c>
      <c r="O89" s="19">
        <f>IF($A89="","",IF(COUNTIFS(請求記録!$B$6:$B$3005,$A89,請求記録!$Z$6:$Z$3005,O$5,請求記録!$AF$6:$AF$3005,"保留中")&gt;0,"保留",IF(COUNTIFS(請求記録!$B$6:$B$3005,$A89,請求記録!$Z$6:$Z$3005,O$5)=0,"",SUMIFS(請求記録!$AE$6:$AE$3005,請求記録!$B$6:$B$3005,$A89,請求記録!$Z$6:$Z$3005,O$5))))</f>
        <v/>
      </c>
      <c r="P89" s="19">
        <f>IF($A89="","",IF(COUNTIFS(請求記録!$B$6:$B$3005,$A89,請求記録!$Z$6:$Z$3005,P$5,請求記録!$AF$6:$AF$3005,"保留中")&gt;0,"保留",IF(COUNTIFS(請求記録!$B$6:$B$3005,$A89,請求記録!$Z$6:$Z$3005,P$5)=0,"",SUMIFS(請求記録!$AE$6:$AE$3005,請求記録!$B$6:$B$3005,$A89,請求記録!$Z$6:$Z$3005,P$5))))</f>
        <v/>
      </c>
      <c r="Q89" s="19">
        <f>IF($A89="","",IF(COUNTIFS(請求記録!$B$6:$B$3005,$A89,請求記録!$Z$6:$Z$3005,Q$5,請求記録!$AF$6:$AF$3005,"保留中")&gt;0,"保留",IF(COUNTIFS(請求記録!$B$6:$B$3005,$A89,請求記録!$Z$6:$Z$3005,Q$5)=0,"",SUMIFS(請求記録!$AE$6:$AE$3005,請求記録!$B$6:$B$3005,$A89,請求記録!$Z$6:$Z$3005,Q$5))))</f>
        <v/>
      </c>
      <c r="R89" s="19">
        <f>IF($A89="","",IF(COUNTIFS(請求記録!$B$6:$B$3005,$A89,請求記録!$Z$6:$Z$3005,R$5,請求記録!$AF$6:$AF$3005,"保留中")&gt;0,"保留",IF(COUNTIFS(請求記録!$B$6:$B$3005,$A89,請求記録!$Z$6:$Z$3005,R$5)=0,"",SUMIFS(請求記録!$AE$6:$AE$3005,請求記録!$B$6:$B$3005,$A89,請求記録!$Z$6:$Z$3005,R$5))))</f>
        <v/>
      </c>
      <c r="S89" s="19">
        <f>IF($A89="","",IF(COUNTIFS(請求記録!$B$6:$B$3005,$A89,請求記録!$Z$6:$Z$3005,S$5,請求記録!$AF$6:$AF$3005,"保留中")&gt;0,"保留",IF(COUNTIFS(請求記録!$B$6:$B$3005,$A89,請求記録!$Z$6:$Z$3005,S$5)=0,"",SUMIFS(請求記録!$AE$6:$AE$3005,請求記録!$B$6:$B$3005,$A89,請求記録!$Z$6:$Z$3005,S$5))))</f>
        <v/>
      </c>
      <c r="T89" s="19">
        <f>IF($A89="","",IF(COUNTIFS(請求記録!$B$6:$B$3005,$A89,請求記録!$Z$6:$Z$3005,T$5,請求記録!$AF$6:$AF$3005,"保留中")&gt;0,"保留",IF(COUNTIFS(請求記録!$B$6:$B$3005,$A89,請求記録!$Z$6:$Z$3005,T$5)=0,"",SUMIFS(請求記録!$AE$6:$AE$3005,請求記録!$B$6:$B$3005,$A89,請求記録!$Z$6:$Z$3005,T$5))))</f>
        <v/>
      </c>
      <c r="U89" s="19">
        <f>IF($A89="","",IF(COUNTIFS(請求記録!$B$6:$B$3005,$A89,請求記録!$Z$6:$Z$3005,U$5,請求記録!$AF$6:$AF$3005,"保留中")&gt;0,"保留",IF(COUNTIFS(請求記録!$B$6:$B$3005,$A89,請求記録!$Z$6:$Z$3005,U$5)=0,"",SUMIFS(請求記録!$AE$6:$AE$3005,請求記録!$B$6:$B$3005,$A89,請求記録!$Z$6:$Z$3005,U$5))))</f>
        <v/>
      </c>
      <c r="V89" s="19">
        <f>IF($A89="","",IF(COUNTIFS(請求記録!$B$6:$B$3005,$A89,請求記録!$Z$6:$Z$3005,V$5,請求記録!$AF$6:$AF$3005,"保留中")&gt;0,"保留",IF(COUNTIFS(請求記録!$B$6:$B$3005,$A89,請求記録!$Z$6:$Z$3005,V$5)=0,"",SUMIFS(請求記録!$AE$6:$AE$3005,請求記録!$B$6:$B$3005,$A89,請求記録!$Z$6:$Z$3005,V$5))))</f>
        <v/>
      </c>
      <c r="W89" s="19">
        <f>IF($A89="","",IF(COUNTIFS(請求記録!$B$6:$B$3005,$A89,請求記録!$Z$6:$Z$3005,W$5,請求記録!$AF$6:$AF$3005,"保留中")&gt;0,"保留",IF(COUNTIFS(請求記録!$B$6:$B$3005,$A89,請求記録!$Z$6:$Z$3005,W$5)=0,"",SUMIFS(請求記録!$AE$6:$AE$3005,請求記録!$B$6:$B$3005,$A89,請求記録!$Z$6:$Z$3005,W$5))))</f>
        <v/>
      </c>
      <c r="X89" s="19">
        <f>IF($A89="","",IF(COUNTIFS(請求記録!$B$6:$B$3005,$A89,請求記録!$Z$6:$Z$3005,X$5,請求記録!$AF$6:$AF$3005,"保留中")&gt;0,"保留",IF(COUNTIFS(請求記録!$B$6:$B$3005,$A89,請求記録!$Z$6:$Z$3005,X$5)=0,"",SUMIFS(請求記録!$AE$6:$AE$3005,請求記録!$B$6:$B$3005,$A89,請求記録!$Z$6:$Z$3005,X$5))))</f>
        <v/>
      </c>
      <c r="Y89" s="19">
        <f>IF($A89="","",IF(COUNTIFS(請求記録!$B$6:$B$3005,$A89,請求記録!$Z$6:$Z$3005,Y$5,請求記録!$AF$6:$AF$3005,"保留中")&gt;0,"保留",IF(COUNTIFS(請求記録!$B$6:$B$3005,$A89,請求記録!$Z$6:$Z$3005,Y$5)=0,"",SUMIFS(請求記録!$AE$6:$AE$3005,請求記録!$B$6:$B$3005,$A89,請求記録!$Z$6:$Z$3005,Y$5))))</f>
        <v/>
      </c>
      <c r="Z89" s="19">
        <f>IF($A89="","",IF(COUNTIFS(請求記録!$B$6:$B$3005,$A89,請求記録!$Z$6:$Z$3005,Z$5,請求記録!$AF$6:$AF$3005,"保留中")&gt;0,"保留",IF(COUNTIFS(請求記録!$B$6:$B$3005,$A89,請求記録!$Z$6:$Z$3005,Z$5)=0,"",SUMIFS(請求記録!$AE$6:$AE$3005,請求記録!$B$6:$B$3005,$A89,請求記録!$Z$6:$Z$3005,Z$5))))</f>
        <v/>
      </c>
      <c r="AA89" s="19">
        <f>IF($A89="","",IF(COUNTIFS(請求記録!$B$6:$B$3005,$A89,請求記録!$Z$6:$Z$3005,AA$5,請求記録!$AF$6:$AF$3005,"保留中")&gt;0,"保留",IF(COUNTIFS(請求記録!$B$6:$B$3005,$A89,請求記録!$Z$6:$Z$3005,AA$5)=0,"",SUMIFS(請求記録!$AE$6:$AE$3005,請求記録!$B$6:$B$3005,$A89,請求記録!$Z$6:$Z$3005,AA$5))))</f>
        <v/>
      </c>
      <c r="AB89">
        <f>IF(職員マスタ!P89="保留中",職員マスタ!M89,"")</f>
        <v/>
      </c>
    </row>
    <row r="90">
      <c r="A90">
        <f>IF(職員マスタ!A90="","",職員マスタ!A90)</f>
        <v/>
      </c>
      <c r="B90">
        <f>IF($A90="","",職員マスタ!B90)</f>
        <v/>
      </c>
      <c r="C90">
        <f>IF($A90="","",職員マスタ!C90)</f>
        <v/>
      </c>
      <c r="D90" s="19">
        <f>IF($A90="","",IF(COUNTIFS(請求記録!$B$6:$B$3005,$A90,請求記録!$Z$6:$Z$3005,D$5,請求記録!$AF$6:$AF$3005,"保留中")&gt;0,"保留",IF(COUNTIFS(請求記録!$B$6:$B$3005,$A90,請求記録!$Z$6:$Z$3005,D$5)=0,"",SUMIFS(請求記録!$AE$6:$AE$3005,請求記録!$B$6:$B$3005,$A90,請求記録!$Z$6:$Z$3005,D$5))))</f>
        <v/>
      </c>
      <c r="E90" s="19">
        <f>IF($A90="","",IF(COUNTIFS(請求記録!$B$6:$B$3005,$A90,請求記録!$Z$6:$Z$3005,E$5,請求記録!$AF$6:$AF$3005,"保留中")&gt;0,"保留",IF(COUNTIFS(請求記録!$B$6:$B$3005,$A90,請求記録!$Z$6:$Z$3005,E$5)=0,"",SUMIFS(請求記録!$AE$6:$AE$3005,請求記録!$B$6:$B$3005,$A90,請求記録!$Z$6:$Z$3005,E$5))))</f>
        <v/>
      </c>
      <c r="F90" s="19">
        <f>IF($A90="","",IF(COUNTIFS(請求記録!$B$6:$B$3005,$A90,請求記録!$Z$6:$Z$3005,F$5,請求記録!$AF$6:$AF$3005,"保留中")&gt;0,"保留",IF(COUNTIFS(請求記録!$B$6:$B$3005,$A90,請求記録!$Z$6:$Z$3005,F$5)=0,"",SUMIFS(請求記録!$AE$6:$AE$3005,請求記録!$B$6:$B$3005,$A90,請求記録!$Z$6:$Z$3005,F$5))))</f>
        <v/>
      </c>
      <c r="G90" s="19">
        <f>IF($A90="","",IF(COUNTIFS(請求記録!$B$6:$B$3005,$A90,請求記録!$Z$6:$Z$3005,G$5,請求記録!$AF$6:$AF$3005,"保留中")&gt;0,"保留",IF(COUNTIFS(請求記録!$B$6:$B$3005,$A90,請求記録!$Z$6:$Z$3005,G$5)=0,"",SUMIFS(請求記録!$AE$6:$AE$3005,請求記録!$B$6:$B$3005,$A90,請求記録!$Z$6:$Z$3005,G$5))))</f>
        <v/>
      </c>
      <c r="H90" s="19">
        <f>IF($A90="","",IF(COUNTIFS(請求記録!$B$6:$B$3005,$A90,請求記録!$Z$6:$Z$3005,H$5,請求記録!$AF$6:$AF$3005,"保留中")&gt;0,"保留",IF(COUNTIFS(請求記録!$B$6:$B$3005,$A90,請求記録!$Z$6:$Z$3005,H$5)=0,"",SUMIFS(請求記録!$AE$6:$AE$3005,請求記録!$B$6:$B$3005,$A90,請求記録!$Z$6:$Z$3005,H$5))))</f>
        <v/>
      </c>
      <c r="I90" s="19">
        <f>IF($A90="","",IF(COUNTIFS(請求記録!$B$6:$B$3005,$A90,請求記録!$Z$6:$Z$3005,I$5,請求記録!$AF$6:$AF$3005,"保留中")&gt;0,"保留",IF(COUNTIFS(請求記録!$B$6:$B$3005,$A90,請求記録!$Z$6:$Z$3005,I$5)=0,"",SUMIFS(請求記録!$AE$6:$AE$3005,請求記録!$B$6:$B$3005,$A90,請求記録!$Z$6:$Z$3005,I$5))))</f>
        <v/>
      </c>
      <c r="J90" s="19">
        <f>IF($A90="","",IF(COUNTIFS(請求記録!$B$6:$B$3005,$A90,請求記録!$Z$6:$Z$3005,J$5,請求記録!$AF$6:$AF$3005,"保留中")&gt;0,"保留",IF(COUNTIFS(請求記録!$B$6:$B$3005,$A90,請求記録!$Z$6:$Z$3005,J$5)=0,"",SUMIFS(請求記録!$AE$6:$AE$3005,請求記録!$B$6:$B$3005,$A90,請求記録!$Z$6:$Z$3005,J$5))))</f>
        <v/>
      </c>
      <c r="K90" s="19">
        <f>IF($A90="","",IF(COUNTIFS(請求記録!$B$6:$B$3005,$A90,請求記録!$Z$6:$Z$3005,K$5,請求記録!$AF$6:$AF$3005,"保留中")&gt;0,"保留",IF(COUNTIFS(請求記録!$B$6:$B$3005,$A90,請求記録!$Z$6:$Z$3005,K$5)=0,"",SUMIFS(請求記録!$AE$6:$AE$3005,請求記録!$B$6:$B$3005,$A90,請求記録!$Z$6:$Z$3005,K$5))))</f>
        <v/>
      </c>
      <c r="L90" s="19">
        <f>IF($A90="","",IF(COUNTIFS(請求記録!$B$6:$B$3005,$A90,請求記録!$Z$6:$Z$3005,L$5,請求記録!$AF$6:$AF$3005,"保留中")&gt;0,"保留",IF(COUNTIFS(請求記録!$B$6:$B$3005,$A90,請求記録!$Z$6:$Z$3005,L$5)=0,"",SUMIFS(請求記録!$AE$6:$AE$3005,請求記録!$B$6:$B$3005,$A90,請求記録!$Z$6:$Z$3005,L$5))))</f>
        <v/>
      </c>
      <c r="M90" s="19">
        <f>IF($A90="","",IF(COUNTIFS(請求記録!$B$6:$B$3005,$A90,請求記録!$Z$6:$Z$3005,M$5,請求記録!$AF$6:$AF$3005,"保留中")&gt;0,"保留",IF(COUNTIFS(請求記録!$B$6:$B$3005,$A90,請求記録!$Z$6:$Z$3005,M$5)=0,"",SUMIFS(請求記録!$AE$6:$AE$3005,請求記録!$B$6:$B$3005,$A90,請求記録!$Z$6:$Z$3005,M$5))))</f>
        <v/>
      </c>
      <c r="N90" s="19">
        <f>IF($A90="","",IF(COUNTIFS(請求記録!$B$6:$B$3005,$A90,請求記録!$Z$6:$Z$3005,N$5,請求記録!$AF$6:$AF$3005,"保留中")&gt;0,"保留",IF(COUNTIFS(請求記録!$B$6:$B$3005,$A90,請求記録!$Z$6:$Z$3005,N$5)=0,"",SUMIFS(請求記録!$AE$6:$AE$3005,請求記録!$B$6:$B$3005,$A90,請求記録!$Z$6:$Z$3005,N$5))))</f>
        <v/>
      </c>
      <c r="O90" s="19">
        <f>IF($A90="","",IF(COUNTIFS(請求記録!$B$6:$B$3005,$A90,請求記録!$Z$6:$Z$3005,O$5,請求記録!$AF$6:$AF$3005,"保留中")&gt;0,"保留",IF(COUNTIFS(請求記録!$B$6:$B$3005,$A90,請求記録!$Z$6:$Z$3005,O$5)=0,"",SUMIFS(請求記録!$AE$6:$AE$3005,請求記録!$B$6:$B$3005,$A90,請求記録!$Z$6:$Z$3005,O$5))))</f>
        <v/>
      </c>
      <c r="P90" s="19">
        <f>IF($A90="","",IF(COUNTIFS(請求記録!$B$6:$B$3005,$A90,請求記録!$Z$6:$Z$3005,P$5,請求記録!$AF$6:$AF$3005,"保留中")&gt;0,"保留",IF(COUNTIFS(請求記録!$B$6:$B$3005,$A90,請求記録!$Z$6:$Z$3005,P$5)=0,"",SUMIFS(請求記録!$AE$6:$AE$3005,請求記録!$B$6:$B$3005,$A90,請求記録!$Z$6:$Z$3005,P$5))))</f>
        <v/>
      </c>
      <c r="Q90" s="19">
        <f>IF($A90="","",IF(COUNTIFS(請求記録!$B$6:$B$3005,$A90,請求記録!$Z$6:$Z$3005,Q$5,請求記録!$AF$6:$AF$3005,"保留中")&gt;0,"保留",IF(COUNTIFS(請求記録!$B$6:$B$3005,$A90,請求記録!$Z$6:$Z$3005,Q$5)=0,"",SUMIFS(請求記録!$AE$6:$AE$3005,請求記録!$B$6:$B$3005,$A90,請求記録!$Z$6:$Z$3005,Q$5))))</f>
        <v/>
      </c>
      <c r="R90" s="19">
        <f>IF($A90="","",IF(COUNTIFS(請求記録!$B$6:$B$3005,$A90,請求記録!$Z$6:$Z$3005,R$5,請求記録!$AF$6:$AF$3005,"保留中")&gt;0,"保留",IF(COUNTIFS(請求記録!$B$6:$B$3005,$A90,請求記録!$Z$6:$Z$3005,R$5)=0,"",SUMIFS(請求記録!$AE$6:$AE$3005,請求記録!$B$6:$B$3005,$A90,請求記録!$Z$6:$Z$3005,R$5))))</f>
        <v/>
      </c>
      <c r="S90" s="19">
        <f>IF($A90="","",IF(COUNTIFS(請求記録!$B$6:$B$3005,$A90,請求記録!$Z$6:$Z$3005,S$5,請求記録!$AF$6:$AF$3005,"保留中")&gt;0,"保留",IF(COUNTIFS(請求記録!$B$6:$B$3005,$A90,請求記録!$Z$6:$Z$3005,S$5)=0,"",SUMIFS(請求記録!$AE$6:$AE$3005,請求記録!$B$6:$B$3005,$A90,請求記録!$Z$6:$Z$3005,S$5))))</f>
        <v/>
      </c>
      <c r="T90" s="19">
        <f>IF($A90="","",IF(COUNTIFS(請求記録!$B$6:$B$3005,$A90,請求記録!$Z$6:$Z$3005,T$5,請求記録!$AF$6:$AF$3005,"保留中")&gt;0,"保留",IF(COUNTIFS(請求記録!$B$6:$B$3005,$A90,請求記録!$Z$6:$Z$3005,T$5)=0,"",SUMIFS(請求記録!$AE$6:$AE$3005,請求記録!$B$6:$B$3005,$A90,請求記録!$Z$6:$Z$3005,T$5))))</f>
        <v/>
      </c>
      <c r="U90" s="19">
        <f>IF($A90="","",IF(COUNTIFS(請求記録!$B$6:$B$3005,$A90,請求記録!$Z$6:$Z$3005,U$5,請求記録!$AF$6:$AF$3005,"保留中")&gt;0,"保留",IF(COUNTIFS(請求記録!$B$6:$B$3005,$A90,請求記録!$Z$6:$Z$3005,U$5)=0,"",SUMIFS(請求記録!$AE$6:$AE$3005,請求記録!$B$6:$B$3005,$A90,請求記録!$Z$6:$Z$3005,U$5))))</f>
        <v/>
      </c>
      <c r="V90" s="19">
        <f>IF($A90="","",IF(COUNTIFS(請求記録!$B$6:$B$3005,$A90,請求記録!$Z$6:$Z$3005,V$5,請求記録!$AF$6:$AF$3005,"保留中")&gt;0,"保留",IF(COUNTIFS(請求記録!$B$6:$B$3005,$A90,請求記録!$Z$6:$Z$3005,V$5)=0,"",SUMIFS(請求記録!$AE$6:$AE$3005,請求記録!$B$6:$B$3005,$A90,請求記録!$Z$6:$Z$3005,V$5))))</f>
        <v/>
      </c>
      <c r="W90" s="19">
        <f>IF($A90="","",IF(COUNTIFS(請求記録!$B$6:$B$3005,$A90,請求記録!$Z$6:$Z$3005,W$5,請求記録!$AF$6:$AF$3005,"保留中")&gt;0,"保留",IF(COUNTIFS(請求記録!$B$6:$B$3005,$A90,請求記録!$Z$6:$Z$3005,W$5)=0,"",SUMIFS(請求記録!$AE$6:$AE$3005,請求記録!$B$6:$B$3005,$A90,請求記録!$Z$6:$Z$3005,W$5))))</f>
        <v/>
      </c>
      <c r="X90" s="19">
        <f>IF($A90="","",IF(COUNTIFS(請求記録!$B$6:$B$3005,$A90,請求記録!$Z$6:$Z$3005,X$5,請求記録!$AF$6:$AF$3005,"保留中")&gt;0,"保留",IF(COUNTIFS(請求記録!$B$6:$B$3005,$A90,請求記録!$Z$6:$Z$3005,X$5)=0,"",SUMIFS(請求記録!$AE$6:$AE$3005,請求記録!$B$6:$B$3005,$A90,請求記録!$Z$6:$Z$3005,X$5))))</f>
        <v/>
      </c>
      <c r="Y90" s="19">
        <f>IF($A90="","",IF(COUNTIFS(請求記録!$B$6:$B$3005,$A90,請求記録!$Z$6:$Z$3005,Y$5,請求記録!$AF$6:$AF$3005,"保留中")&gt;0,"保留",IF(COUNTIFS(請求記録!$B$6:$B$3005,$A90,請求記録!$Z$6:$Z$3005,Y$5)=0,"",SUMIFS(請求記録!$AE$6:$AE$3005,請求記録!$B$6:$B$3005,$A90,請求記録!$Z$6:$Z$3005,Y$5))))</f>
        <v/>
      </c>
      <c r="Z90" s="19">
        <f>IF($A90="","",IF(COUNTIFS(請求記録!$B$6:$B$3005,$A90,請求記録!$Z$6:$Z$3005,Z$5,請求記録!$AF$6:$AF$3005,"保留中")&gt;0,"保留",IF(COUNTIFS(請求記録!$B$6:$B$3005,$A90,請求記録!$Z$6:$Z$3005,Z$5)=0,"",SUMIFS(請求記録!$AE$6:$AE$3005,請求記録!$B$6:$B$3005,$A90,請求記録!$Z$6:$Z$3005,Z$5))))</f>
        <v/>
      </c>
      <c r="AA90" s="19">
        <f>IF($A90="","",IF(COUNTIFS(請求記録!$B$6:$B$3005,$A90,請求記録!$Z$6:$Z$3005,AA$5,請求記録!$AF$6:$AF$3005,"保留中")&gt;0,"保留",IF(COUNTIFS(請求記録!$B$6:$B$3005,$A90,請求記録!$Z$6:$Z$3005,AA$5)=0,"",SUMIFS(請求記録!$AE$6:$AE$3005,請求記録!$B$6:$B$3005,$A90,請求記録!$Z$6:$Z$3005,AA$5))))</f>
        <v/>
      </c>
      <c r="AB90">
        <f>IF(職員マスタ!P90="保留中",職員マスタ!M90,"")</f>
        <v/>
      </c>
    </row>
    <row r="91">
      <c r="A91">
        <f>IF(職員マスタ!A91="","",職員マスタ!A91)</f>
        <v/>
      </c>
      <c r="B91">
        <f>IF($A91="","",職員マスタ!B91)</f>
        <v/>
      </c>
      <c r="C91">
        <f>IF($A91="","",職員マスタ!C91)</f>
        <v/>
      </c>
      <c r="D91" s="19">
        <f>IF($A91="","",IF(COUNTIFS(請求記録!$B$6:$B$3005,$A91,請求記録!$Z$6:$Z$3005,D$5,請求記録!$AF$6:$AF$3005,"保留中")&gt;0,"保留",IF(COUNTIFS(請求記録!$B$6:$B$3005,$A91,請求記録!$Z$6:$Z$3005,D$5)=0,"",SUMIFS(請求記録!$AE$6:$AE$3005,請求記録!$B$6:$B$3005,$A91,請求記録!$Z$6:$Z$3005,D$5))))</f>
        <v/>
      </c>
      <c r="E91" s="19">
        <f>IF($A91="","",IF(COUNTIFS(請求記録!$B$6:$B$3005,$A91,請求記録!$Z$6:$Z$3005,E$5,請求記録!$AF$6:$AF$3005,"保留中")&gt;0,"保留",IF(COUNTIFS(請求記録!$B$6:$B$3005,$A91,請求記録!$Z$6:$Z$3005,E$5)=0,"",SUMIFS(請求記録!$AE$6:$AE$3005,請求記録!$B$6:$B$3005,$A91,請求記録!$Z$6:$Z$3005,E$5))))</f>
        <v/>
      </c>
      <c r="F91" s="19">
        <f>IF($A91="","",IF(COUNTIFS(請求記録!$B$6:$B$3005,$A91,請求記録!$Z$6:$Z$3005,F$5,請求記録!$AF$6:$AF$3005,"保留中")&gt;0,"保留",IF(COUNTIFS(請求記録!$B$6:$B$3005,$A91,請求記録!$Z$6:$Z$3005,F$5)=0,"",SUMIFS(請求記録!$AE$6:$AE$3005,請求記録!$B$6:$B$3005,$A91,請求記録!$Z$6:$Z$3005,F$5))))</f>
        <v/>
      </c>
      <c r="G91" s="19">
        <f>IF($A91="","",IF(COUNTIFS(請求記録!$B$6:$B$3005,$A91,請求記録!$Z$6:$Z$3005,G$5,請求記録!$AF$6:$AF$3005,"保留中")&gt;0,"保留",IF(COUNTIFS(請求記録!$B$6:$B$3005,$A91,請求記録!$Z$6:$Z$3005,G$5)=0,"",SUMIFS(請求記録!$AE$6:$AE$3005,請求記録!$B$6:$B$3005,$A91,請求記録!$Z$6:$Z$3005,G$5))))</f>
        <v/>
      </c>
      <c r="H91" s="19">
        <f>IF($A91="","",IF(COUNTIFS(請求記録!$B$6:$B$3005,$A91,請求記録!$Z$6:$Z$3005,H$5,請求記録!$AF$6:$AF$3005,"保留中")&gt;0,"保留",IF(COUNTIFS(請求記録!$B$6:$B$3005,$A91,請求記録!$Z$6:$Z$3005,H$5)=0,"",SUMIFS(請求記録!$AE$6:$AE$3005,請求記録!$B$6:$B$3005,$A91,請求記録!$Z$6:$Z$3005,H$5))))</f>
        <v/>
      </c>
      <c r="I91" s="19">
        <f>IF($A91="","",IF(COUNTIFS(請求記録!$B$6:$B$3005,$A91,請求記録!$Z$6:$Z$3005,I$5,請求記録!$AF$6:$AF$3005,"保留中")&gt;0,"保留",IF(COUNTIFS(請求記録!$B$6:$B$3005,$A91,請求記録!$Z$6:$Z$3005,I$5)=0,"",SUMIFS(請求記録!$AE$6:$AE$3005,請求記録!$B$6:$B$3005,$A91,請求記録!$Z$6:$Z$3005,I$5))))</f>
        <v/>
      </c>
      <c r="J91" s="19">
        <f>IF($A91="","",IF(COUNTIFS(請求記録!$B$6:$B$3005,$A91,請求記録!$Z$6:$Z$3005,J$5,請求記録!$AF$6:$AF$3005,"保留中")&gt;0,"保留",IF(COUNTIFS(請求記録!$B$6:$B$3005,$A91,請求記録!$Z$6:$Z$3005,J$5)=0,"",SUMIFS(請求記録!$AE$6:$AE$3005,請求記録!$B$6:$B$3005,$A91,請求記録!$Z$6:$Z$3005,J$5))))</f>
        <v/>
      </c>
      <c r="K91" s="19">
        <f>IF($A91="","",IF(COUNTIFS(請求記録!$B$6:$B$3005,$A91,請求記録!$Z$6:$Z$3005,K$5,請求記録!$AF$6:$AF$3005,"保留中")&gt;0,"保留",IF(COUNTIFS(請求記録!$B$6:$B$3005,$A91,請求記録!$Z$6:$Z$3005,K$5)=0,"",SUMIFS(請求記録!$AE$6:$AE$3005,請求記録!$B$6:$B$3005,$A91,請求記録!$Z$6:$Z$3005,K$5))))</f>
        <v/>
      </c>
      <c r="L91" s="19">
        <f>IF($A91="","",IF(COUNTIFS(請求記録!$B$6:$B$3005,$A91,請求記録!$Z$6:$Z$3005,L$5,請求記録!$AF$6:$AF$3005,"保留中")&gt;0,"保留",IF(COUNTIFS(請求記録!$B$6:$B$3005,$A91,請求記録!$Z$6:$Z$3005,L$5)=0,"",SUMIFS(請求記録!$AE$6:$AE$3005,請求記録!$B$6:$B$3005,$A91,請求記録!$Z$6:$Z$3005,L$5))))</f>
        <v/>
      </c>
      <c r="M91" s="19">
        <f>IF($A91="","",IF(COUNTIFS(請求記録!$B$6:$B$3005,$A91,請求記録!$Z$6:$Z$3005,M$5,請求記録!$AF$6:$AF$3005,"保留中")&gt;0,"保留",IF(COUNTIFS(請求記録!$B$6:$B$3005,$A91,請求記録!$Z$6:$Z$3005,M$5)=0,"",SUMIFS(請求記録!$AE$6:$AE$3005,請求記録!$B$6:$B$3005,$A91,請求記録!$Z$6:$Z$3005,M$5))))</f>
        <v/>
      </c>
      <c r="N91" s="19">
        <f>IF($A91="","",IF(COUNTIFS(請求記録!$B$6:$B$3005,$A91,請求記録!$Z$6:$Z$3005,N$5,請求記録!$AF$6:$AF$3005,"保留中")&gt;0,"保留",IF(COUNTIFS(請求記録!$B$6:$B$3005,$A91,請求記録!$Z$6:$Z$3005,N$5)=0,"",SUMIFS(請求記録!$AE$6:$AE$3005,請求記録!$B$6:$B$3005,$A91,請求記録!$Z$6:$Z$3005,N$5))))</f>
        <v/>
      </c>
      <c r="O91" s="19">
        <f>IF($A91="","",IF(COUNTIFS(請求記録!$B$6:$B$3005,$A91,請求記録!$Z$6:$Z$3005,O$5,請求記録!$AF$6:$AF$3005,"保留中")&gt;0,"保留",IF(COUNTIFS(請求記録!$B$6:$B$3005,$A91,請求記録!$Z$6:$Z$3005,O$5)=0,"",SUMIFS(請求記録!$AE$6:$AE$3005,請求記録!$B$6:$B$3005,$A91,請求記録!$Z$6:$Z$3005,O$5))))</f>
        <v/>
      </c>
      <c r="P91" s="19">
        <f>IF($A91="","",IF(COUNTIFS(請求記録!$B$6:$B$3005,$A91,請求記録!$Z$6:$Z$3005,P$5,請求記録!$AF$6:$AF$3005,"保留中")&gt;0,"保留",IF(COUNTIFS(請求記録!$B$6:$B$3005,$A91,請求記録!$Z$6:$Z$3005,P$5)=0,"",SUMIFS(請求記録!$AE$6:$AE$3005,請求記録!$B$6:$B$3005,$A91,請求記録!$Z$6:$Z$3005,P$5))))</f>
        <v/>
      </c>
      <c r="Q91" s="19">
        <f>IF($A91="","",IF(COUNTIFS(請求記録!$B$6:$B$3005,$A91,請求記録!$Z$6:$Z$3005,Q$5,請求記録!$AF$6:$AF$3005,"保留中")&gt;0,"保留",IF(COUNTIFS(請求記録!$B$6:$B$3005,$A91,請求記録!$Z$6:$Z$3005,Q$5)=0,"",SUMIFS(請求記録!$AE$6:$AE$3005,請求記録!$B$6:$B$3005,$A91,請求記録!$Z$6:$Z$3005,Q$5))))</f>
        <v/>
      </c>
      <c r="R91" s="19">
        <f>IF($A91="","",IF(COUNTIFS(請求記録!$B$6:$B$3005,$A91,請求記録!$Z$6:$Z$3005,R$5,請求記録!$AF$6:$AF$3005,"保留中")&gt;0,"保留",IF(COUNTIFS(請求記録!$B$6:$B$3005,$A91,請求記録!$Z$6:$Z$3005,R$5)=0,"",SUMIFS(請求記録!$AE$6:$AE$3005,請求記録!$B$6:$B$3005,$A91,請求記録!$Z$6:$Z$3005,R$5))))</f>
        <v/>
      </c>
      <c r="S91" s="19">
        <f>IF($A91="","",IF(COUNTIFS(請求記録!$B$6:$B$3005,$A91,請求記録!$Z$6:$Z$3005,S$5,請求記録!$AF$6:$AF$3005,"保留中")&gt;0,"保留",IF(COUNTIFS(請求記録!$B$6:$B$3005,$A91,請求記録!$Z$6:$Z$3005,S$5)=0,"",SUMIFS(請求記録!$AE$6:$AE$3005,請求記録!$B$6:$B$3005,$A91,請求記録!$Z$6:$Z$3005,S$5))))</f>
        <v/>
      </c>
      <c r="T91" s="19">
        <f>IF($A91="","",IF(COUNTIFS(請求記録!$B$6:$B$3005,$A91,請求記録!$Z$6:$Z$3005,T$5,請求記録!$AF$6:$AF$3005,"保留中")&gt;0,"保留",IF(COUNTIFS(請求記録!$B$6:$B$3005,$A91,請求記録!$Z$6:$Z$3005,T$5)=0,"",SUMIFS(請求記録!$AE$6:$AE$3005,請求記録!$B$6:$B$3005,$A91,請求記録!$Z$6:$Z$3005,T$5))))</f>
        <v/>
      </c>
      <c r="U91" s="19">
        <f>IF($A91="","",IF(COUNTIFS(請求記録!$B$6:$B$3005,$A91,請求記録!$Z$6:$Z$3005,U$5,請求記録!$AF$6:$AF$3005,"保留中")&gt;0,"保留",IF(COUNTIFS(請求記録!$B$6:$B$3005,$A91,請求記録!$Z$6:$Z$3005,U$5)=0,"",SUMIFS(請求記録!$AE$6:$AE$3005,請求記録!$B$6:$B$3005,$A91,請求記録!$Z$6:$Z$3005,U$5))))</f>
        <v/>
      </c>
      <c r="V91" s="19">
        <f>IF($A91="","",IF(COUNTIFS(請求記録!$B$6:$B$3005,$A91,請求記録!$Z$6:$Z$3005,V$5,請求記録!$AF$6:$AF$3005,"保留中")&gt;0,"保留",IF(COUNTIFS(請求記録!$B$6:$B$3005,$A91,請求記録!$Z$6:$Z$3005,V$5)=0,"",SUMIFS(請求記録!$AE$6:$AE$3005,請求記録!$B$6:$B$3005,$A91,請求記録!$Z$6:$Z$3005,V$5))))</f>
        <v/>
      </c>
      <c r="W91" s="19">
        <f>IF($A91="","",IF(COUNTIFS(請求記録!$B$6:$B$3005,$A91,請求記録!$Z$6:$Z$3005,W$5,請求記録!$AF$6:$AF$3005,"保留中")&gt;0,"保留",IF(COUNTIFS(請求記録!$B$6:$B$3005,$A91,請求記録!$Z$6:$Z$3005,W$5)=0,"",SUMIFS(請求記録!$AE$6:$AE$3005,請求記録!$B$6:$B$3005,$A91,請求記録!$Z$6:$Z$3005,W$5))))</f>
        <v/>
      </c>
      <c r="X91" s="19">
        <f>IF($A91="","",IF(COUNTIFS(請求記録!$B$6:$B$3005,$A91,請求記録!$Z$6:$Z$3005,X$5,請求記録!$AF$6:$AF$3005,"保留中")&gt;0,"保留",IF(COUNTIFS(請求記録!$B$6:$B$3005,$A91,請求記録!$Z$6:$Z$3005,X$5)=0,"",SUMIFS(請求記録!$AE$6:$AE$3005,請求記録!$B$6:$B$3005,$A91,請求記録!$Z$6:$Z$3005,X$5))))</f>
        <v/>
      </c>
      <c r="Y91" s="19">
        <f>IF($A91="","",IF(COUNTIFS(請求記録!$B$6:$B$3005,$A91,請求記録!$Z$6:$Z$3005,Y$5,請求記録!$AF$6:$AF$3005,"保留中")&gt;0,"保留",IF(COUNTIFS(請求記録!$B$6:$B$3005,$A91,請求記録!$Z$6:$Z$3005,Y$5)=0,"",SUMIFS(請求記録!$AE$6:$AE$3005,請求記録!$B$6:$B$3005,$A91,請求記録!$Z$6:$Z$3005,Y$5))))</f>
        <v/>
      </c>
      <c r="Z91" s="19">
        <f>IF($A91="","",IF(COUNTIFS(請求記録!$B$6:$B$3005,$A91,請求記録!$Z$6:$Z$3005,Z$5,請求記録!$AF$6:$AF$3005,"保留中")&gt;0,"保留",IF(COUNTIFS(請求記録!$B$6:$B$3005,$A91,請求記録!$Z$6:$Z$3005,Z$5)=0,"",SUMIFS(請求記録!$AE$6:$AE$3005,請求記録!$B$6:$B$3005,$A91,請求記録!$Z$6:$Z$3005,Z$5))))</f>
        <v/>
      </c>
      <c r="AA91" s="19">
        <f>IF($A91="","",IF(COUNTIFS(請求記録!$B$6:$B$3005,$A91,請求記録!$Z$6:$Z$3005,AA$5,請求記録!$AF$6:$AF$3005,"保留中")&gt;0,"保留",IF(COUNTIFS(請求記録!$B$6:$B$3005,$A91,請求記録!$Z$6:$Z$3005,AA$5)=0,"",SUMIFS(請求記録!$AE$6:$AE$3005,請求記録!$B$6:$B$3005,$A91,請求記録!$Z$6:$Z$3005,AA$5))))</f>
        <v/>
      </c>
      <c r="AB91">
        <f>IF(職員マスタ!P91="保留中",職員マスタ!M91,"")</f>
        <v/>
      </c>
    </row>
    <row r="92">
      <c r="A92">
        <f>IF(職員マスタ!A92="","",職員マスタ!A92)</f>
        <v/>
      </c>
      <c r="B92">
        <f>IF($A92="","",職員マスタ!B92)</f>
        <v/>
      </c>
      <c r="C92">
        <f>IF($A92="","",職員マスタ!C92)</f>
        <v/>
      </c>
      <c r="D92" s="19">
        <f>IF($A92="","",IF(COUNTIFS(請求記録!$B$6:$B$3005,$A92,請求記録!$Z$6:$Z$3005,D$5,請求記録!$AF$6:$AF$3005,"保留中")&gt;0,"保留",IF(COUNTIFS(請求記録!$B$6:$B$3005,$A92,請求記録!$Z$6:$Z$3005,D$5)=0,"",SUMIFS(請求記録!$AE$6:$AE$3005,請求記録!$B$6:$B$3005,$A92,請求記録!$Z$6:$Z$3005,D$5))))</f>
        <v/>
      </c>
      <c r="E92" s="19">
        <f>IF($A92="","",IF(COUNTIFS(請求記録!$B$6:$B$3005,$A92,請求記録!$Z$6:$Z$3005,E$5,請求記録!$AF$6:$AF$3005,"保留中")&gt;0,"保留",IF(COUNTIFS(請求記録!$B$6:$B$3005,$A92,請求記録!$Z$6:$Z$3005,E$5)=0,"",SUMIFS(請求記録!$AE$6:$AE$3005,請求記録!$B$6:$B$3005,$A92,請求記録!$Z$6:$Z$3005,E$5))))</f>
        <v/>
      </c>
      <c r="F92" s="19">
        <f>IF($A92="","",IF(COUNTIFS(請求記録!$B$6:$B$3005,$A92,請求記録!$Z$6:$Z$3005,F$5,請求記録!$AF$6:$AF$3005,"保留中")&gt;0,"保留",IF(COUNTIFS(請求記録!$B$6:$B$3005,$A92,請求記録!$Z$6:$Z$3005,F$5)=0,"",SUMIFS(請求記録!$AE$6:$AE$3005,請求記録!$B$6:$B$3005,$A92,請求記録!$Z$6:$Z$3005,F$5))))</f>
        <v/>
      </c>
      <c r="G92" s="19">
        <f>IF($A92="","",IF(COUNTIFS(請求記録!$B$6:$B$3005,$A92,請求記録!$Z$6:$Z$3005,G$5,請求記録!$AF$6:$AF$3005,"保留中")&gt;0,"保留",IF(COUNTIFS(請求記録!$B$6:$B$3005,$A92,請求記録!$Z$6:$Z$3005,G$5)=0,"",SUMIFS(請求記録!$AE$6:$AE$3005,請求記録!$B$6:$B$3005,$A92,請求記録!$Z$6:$Z$3005,G$5))))</f>
        <v/>
      </c>
      <c r="H92" s="19">
        <f>IF($A92="","",IF(COUNTIFS(請求記録!$B$6:$B$3005,$A92,請求記録!$Z$6:$Z$3005,H$5,請求記録!$AF$6:$AF$3005,"保留中")&gt;0,"保留",IF(COUNTIFS(請求記録!$B$6:$B$3005,$A92,請求記録!$Z$6:$Z$3005,H$5)=0,"",SUMIFS(請求記録!$AE$6:$AE$3005,請求記録!$B$6:$B$3005,$A92,請求記録!$Z$6:$Z$3005,H$5))))</f>
        <v/>
      </c>
      <c r="I92" s="19">
        <f>IF($A92="","",IF(COUNTIFS(請求記録!$B$6:$B$3005,$A92,請求記録!$Z$6:$Z$3005,I$5,請求記録!$AF$6:$AF$3005,"保留中")&gt;0,"保留",IF(COUNTIFS(請求記録!$B$6:$B$3005,$A92,請求記録!$Z$6:$Z$3005,I$5)=0,"",SUMIFS(請求記録!$AE$6:$AE$3005,請求記録!$B$6:$B$3005,$A92,請求記録!$Z$6:$Z$3005,I$5))))</f>
        <v/>
      </c>
      <c r="J92" s="19">
        <f>IF($A92="","",IF(COUNTIFS(請求記録!$B$6:$B$3005,$A92,請求記録!$Z$6:$Z$3005,J$5,請求記録!$AF$6:$AF$3005,"保留中")&gt;0,"保留",IF(COUNTIFS(請求記録!$B$6:$B$3005,$A92,請求記録!$Z$6:$Z$3005,J$5)=0,"",SUMIFS(請求記録!$AE$6:$AE$3005,請求記録!$B$6:$B$3005,$A92,請求記録!$Z$6:$Z$3005,J$5))))</f>
        <v/>
      </c>
      <c r="K92" s="19">
        <f>IF($A92="","",IF(COUNTIFS(請求記録!$B$6:$B$3005,$A92,請求記録!$Z$6:$Z$3005,K$5,請求記録!$AF$6:$AF$3005,"保留中")&gt;0,"保留",IF(COUNTIFS(請求記録!$B$6:$B$3005,$A92,請求記録!$Z$6:$Z$3005,K$5)=0,"",SUMIFS(請求記録!$AE$6:$AE$3005,請求記録!$B$6:$B$3005,$A92,請求記録!$Z$6:$Z$3005,K$5))))</f>
        <v/>
      </c>
      <c r="L92" s="19">
        <f>IF($A92="","",IF(COUNTIFS(請求記録!$B$6:$B$3005,$A92,請求記録!$Z$6:$Z$3005,L$5,請求記録!$AF$6:$AF$3005,"保留中")&gt;0,"保留",IF(COUNTIFS(請求記録!$B$6:$B$3005,$A92,請求記録!$Z$6:$Z$3005,L$5)=0,"",SUMIFS(請求記録!$AE$6:$AE$3005,請求記録!$B$6:$B$3005,$A92,請求記録!$Z$6:$Z$3005,L$5))))</f>
        <v/>
      </c>
      <c r="M92" s="19">
        <f>IF($A92="","",IF(COUNTIFS(請求記録!$B$6:$B$3005,$A92,請求記録!$Z$6:$Z$3005,M$5,請求記録!$AF$6:$AF$3005,"保留中")&gt;0,"保留",IF(COUNTIFS(請求記録!$B$6:$B$3005,$A92,請求記録!$Z$6:$Z$3005,M$5)=0,"",SUMIFS(請求記録!$AE$6:$AE$3005,請求記録!$B$6:$B$3005,$A92,請求記録!$Z$6:$Z$3005,M$5))))</f>
        <v/>
      </c>
      <c r="N92" s="19">
        <f>IF($A92="","",IF(COUNTIFS(請求記録!$B$6:$B$3005,$A92,請求記録!$Z$6:$Z$3005,N$5,請求記録!$AF$6:$AF$3005,"保留中")&gt;0,"保留",IF(COUNTIFS(請求記録!$B$6:$B$3005,$A92,請求記録!$Z$6:$Z$3005,N$5)=0,"",SUMIFS(請求記録!$AE$6:$AE$3005,請求記録!$B$6:$B$3005,$A92,請求記録!$Z$6:$Z$3005,N$5))))</f>
        <v/>
      </c>
      <c r="O92" s="19">
        <f>IF($A92="","",IF(COUNTIFS(請求記録!$B$6:$B$3005,$A92,請求記録!$Z$6:$Z$3005,O$5,請求記録!$AF$6:$AF$3005,"保留中")&gt;0,"保留",IF(COUNTIFS(請求記録!$B$6:$B$3005,$A92,請求記録!$Z$6:$Z$3005,O$5)=0,"",SUMIFS(請求記録!$AE$6:$AE$3005,請求記録!$B$6:$B$3005,$A92,請求記録!$Z$6:$Z$3005,O$5))))</f>
        <v/>
      </c>
      <c r="P92" s="19">
        <f>IF($A92="","",IF(COUNTIFS(請求記録!$B$6:$B$3005,$A92,請求記録!$Z$6:$Z$3005,P$5,請求記録!$AF$6:$AF$3005,"保留中")&gt;0,"保留",IF(COUNTIFS(請求記録!$B$6:$B$3005,$A92,請求記録!$Z$6:$Z$3005,P$5)=0,"",SUMIFS(請求記録!$AE$6:$AE$3005,請求記録!$B$6:$B$3005,$A92,請求記録!$Z$6:$Z$3005,P$5))))</f>
        <v/>
      </c>
      <c r="Q92" s="19">
        <f>IF($A92="","",IF(COUNTIFS(請求記録!$B$6:$B$3005,$A92,請求記録!$Z$6:$Z$3005,Q$5,請求記録!$AF$6:$AF$3005,"保留中")&gt;0,"保留",IF(COUNTIFS(請求記録!$B$6:$B$3005,$A92,請求記録!$Z$6:$Z$3005,Q$5)=0,"",SUMIFS(請求記録!$AE$6:$AE$3005,請求記録!$B$6:$B$3005,$A92,請求記録!$Z$6:$Z$3005,Q$5))))</f>
        <v/>
      </c>
      <c r="R92" s="19">
        <f>IF($A92="","",IF(COUNTIFS(請求記録!$B$6:$B$3005,$A92,請求記録!$Z$6:$Z$3005,R$5,請求記録!$AF$6:$AF$3005,"保留中")&gt;0,"保留",IF(COUNTIFS(請求記録!$B$6:$B$3005,$A92,請求記録!$Z$6:$Z$3005,R$5)=0,"",SUMIFS(請求記録!$AE$6:$AE$3005,請求記録!$B$6:$B$3005,$A92,請求記録!$Z$6:$Z$3005,R$5))))</f>
        <v/>
      </c>
      <c r="S92" s="19">
        <f>IF($A92="","",IF(COUNTIFS(請求記録!$B$6:$B$3005,$A92,請求記録!$Z$6:$Z$3005,S$5,請求記録!$AF$6:$AF$3005,"保留中")&gt;0,"保留",IF(COUNTIFS(請求記録!$B$6:$B$3005,$A92,請求記録!$Z$6:$Z$3005,S$5)=0,"",SUMIFS(請求記録!$AE$6:$AE$3005,請求記録!$B$6:$B$3005,$A92,請求記録!$Z$6:$Z$3005,S$5))))</f>
        <v/>
      </c>
      <c r="T92" s="19">
        <f>IF($A92="","",IF(COUNTIFS(請求記録!$B$6:$B$3005,$A92,請求記録!$Z$6:$Z$3005,T$5,請求記録!$AF$6:$AF$3005,"保留中")&gt;0,"保留",IF(COUNTIFS(請求記録!$B$6:$B$3005,$A92,請求記録!$Z$6:$Z$3005,T$5)=0,"",SUMIFS(請求記録!$AE$6:$AE$3005,請求記録!$B$6:$B$3005,$A92,請求記録!$Z$6:$Z$3005,T$5))))</f>
        <v/>
      </c>
      <c r="U92" s="19">
        <f>IF($A92="","",IF(COUNTIFS(請求記録!$B$6:$B$3005,$A92,請求記録!$Z$6:$Z$3005,U$5,請求記録!$AF$6:$AF$3005,"保留中")&gt;0,"保留",IF(COUNTIFS(請求記録!$B$6:$B$3005,$A92,請求記録!$Z$6:$Z$3005,U$5)=0,"",SUMIFS(請求記録!$AE$6:$AE$3005,請求記録!$B$6:$B$3005,$A92,請求記録!$Z$6:$Z$3005,U$5))))</f>
        <v/>
      </c>
      <c r="V92" s="19">
        <f>IF($A92="","",IF(COUNTIFS(請求記録!$B$6:$B$3005,$A92,請求記録!$Z$6:$Z$3005,V$5,請求記録!$AF$6:$AF$3005,"保留中")&gt;0,"保留",IF(COUNTIFS(請求記録!$B$6:$B$3005,$A92,請求記録!$Z$6:$Z$3005,V$5)=0,"",SUMIFS(請求記録!$AE$6:$AE$3005,請求記録!$B$6:$B$3005,$A92,請求記録!$Z$6:$Z$3005,V$5))))</f>
        <v/>
      </c>
      <c r="W92" s="19">
        <f>IF($A92="","",IF(COUNTIFS(請求記録!$B$6:$B$3005,$A92,請求記録!$Z$6:$Z$3005,W$5,請求記録!$AF$6:$AF$3005,"保留中")&gt;0,"保留",IF(COUNTIFS(請求記録!$B$6:$B$3005,$A92,請求記録!$Z$6:$Z$3005,W$5)=0,"",SUMIFS(請求記録!$AE$6:$AE$3005,請求記録!$B$6:$B$3005,$A92,請求記録!$Z$6:$Z$3005,W$5))))</f>
        <v/>
      </c>
      <c r="X92" s="19">
        <f>IF($A92="","",IF(COUNTIFS(請求記録!$B$6:$B$3005,$A92,請求記録!$Z$6:$Z$3005,X$5,請求記録!$AF$6:$AF$3005,"保留中")&gt;0,"保留",IF(COUNTIFS(請求記録!$B$6:$B$3005,$A92,請求記録!$Z$6:$Z$3005,X$5)=0,"",SUMIFS(請求記録!$AE$6:$AE$3005,請求記録!$B$6:$B$3005,$A92,請求記録!$Z$6:$Z$3005,X$5))))</f>
        <v/>
      </c>
      <c r="Y92" s="19">
        <f>IF($A92="","",IF(COUNTIFS(請求記録!$B$6:$B$3005,$A92,請求記録!$Z$6:$Z$3005,Y$5,請求記録!$AF$6:$AF$3005,"保留中")&gt;0,"保留",IF(COUNTIFS(請求記録!$B$6:$B$3005,$A92,請求記録!$Z$6:$Z$3005,Y$5)=0,"",SUMIFS(請求記録!$AE$6:$AE$3005,請求記録!$B$6:$B$3005,$A92,請求記録!$Z$6:$Z$3005,Y$5))))</f>
        <v/>
      </c>
      <c r="Z92" s="19">
        <f>IF($A92="","",IF(COUNTIFS(請求記録!$B$6:$B$3005,$A92,請求記録!$Z$6:$Z$3005,Z$5,請求記録!$AF$6:$AF$3005,"保留中")&gt;0,"保留",IF(COUNTIFS(請求記録!$B$6:$B$3005,$A92,請求記録!$Z$6:$Z$3005,Z$5)=0,"",SUMIFS(請求記録!$AE$6:$AE$3005,請求記録!$B$6:$B$3005,$A92,請求記録!$Z$6:$Z$3005,Z$5))))</f>
        <v/>
      </c>
      <c r="AA92" s="19">
        <f>IF($A92="","",IF(COUNTIFS(請求記録!$B$6:$B$3005,$A92,請求記録!$Z$6:$Z$3005,AA$5,請求記録!$AF$6:$AF$3005,"保留中")&gt;0,"保留",IF(COUNTIFS(請求記録!$B$6:$B$3005,$A92,請求記録!$Z$6:$Z$3005,AA$5)=0,"",SUMIFS(請求記録!$AE$6:$AE$3005,請求記録!$B$6:$B$3005,$A92,請求記録!$Z$6:$Z$3005,AA$5))))</f>
        <v/>
      </c>
      <c r="AB92">
        <f>IF(職員マスタ!P92="保留中",職員マスタ!M92,"")</f>
        <v/>
      </c>
    </row>
    <row r="93">
      <c r="A93">
        <f>IF(職員マスタ!A93="","",職員マスタ!A93)</f>
        <v/>
      </c>
      <c r="B93">
        <f>IF($A93="","",職員マスタ!B93)</f>
        <v/>
      </c>
      <c r="C93">
        <f>IF($A93="","",職員マスタ!C93)</f>
        <v/>
      </c>
      <c r="D93" s="19">
        <f>IF($A93="","",IF(COUNTIFS(請求記録!$B$6:$B$3005,$A93,請求記録!$Z$6:$Z$3005,D$5,請求記録!$AF$6:$AF$3005,"保留中")&gt;0,"保留",IF(COUNTIFS(請求記録!$B$6:$B$3005,$A93,請求記録!$Z$6:$Z$3005,D$5)=0,"",SUMIFS(請求記録!$AE$6:$AE$3005,請求記録!$B$6:$B$3005,$A93,請求記録!$Z$6:$Z$3005,D$5))))</f>
        <v/>
      </c>
      <c r="E93" s="19">
        <f>IF($A93="","",IF(COUNTIFS(請求記録!$B$6:$B$3005,$A93,請求記録!$Z$6:$Z$3005,E$5,請求記録!$AF$6:$AF$3005,"保留中")&gt;0,"保留",IF(COUNTIFS(請求記録!$B$6:$B$3005,$A93,請求記録!$Z$6:$Z$3005,E$5)=0,"",SUMIFS(請求記録!$AE$6:$AE$3005,請求記録!$B$6:$B$3005,$A93,請求記録!$Z$6:$Z$3005,E$5))))</f>
        <v/>
      </c>
      <c r="F93" s="19">
        <f>IF($A93="","",IF(COUNTIFS(請求記録!$B$6:$B$3005,$A93,請求記録!$Z$6:$Z$3005,F$5,請求記録!$AF$6:$AF$3005,"保留中")&gt;0,"保留",IF(COUNTIFS(請求記録!$B$6:$B$3005,$A93,請求記録!$Z$6:$Z$3005,F$5)=0,"",SUMIFS(請求記録!$AE$6:$AE$3005,請求記録!$B$6:$B$3005,$A93,請求記録!$Z$6:$Z$3005,F$5))))</f>
        <v/>
      </c>
      <c r="G93" s="19">
        <f>IF($A93="","",IF(COUNTIFS(請求記録!$B$6:$B$3005,$A93,請求記録!$Z$6:$Z$3005,G$5,請求記録!$AF$6:$AF$3005,"保留中")&gt;0,"保留",IF(COUNTIFS(請求記録!$B$6:$B$3005,$A93,請求記録!$Z$6:$Z$3005,G$5)=0,"",SUMIFS(請求記録!$AE$6:$AE$3005,請求記録!$B$6:$B$3005,$A93,請求記録!$Z$6:$Z$3005,G$5))))</f>
        <v/>
      </c>
      <c r="H93" s="19">
        <f>IF($A93="","",IF(COUNTIFS(請求記録!$B$6:$B$3005,$A93,請求記録!$Z$6:$Z$3005,H$5,請求記録!$AF$6:$AF$3005,"保留中")&gt;0,"保留",IF(COUNTIFS(請求記録!$B$6:$B$3005,$A93,請求記録!$Z$6:$Z$3005,H$5)=0,"",SUMIFS(請求記録!$AE$6:$AE$3005,請求記録!$B$6:$B$3005,$A93,請求記録!$Z$6:$Z$3005,H$5))))</f>
        <v/>
      </c>
      <c r="I93" s="19">
        <f>IF($A93="","",IF(COUNTIFS(請求記録!$B$6:$B$3005,$A93,請求記録!$Z$6:$Z$3005,I$5,請求記録!$AF$6:$AF$3005,"保留中")&gt;0,"保留",IF(COUNTIFS(請求記録!$B$6:$B$3005,$A93,請求記録!$Z$6:$Z$3005,I$5)=0,"",SUMIFS(請求記録!$AE$6:$AE$3005,請求記録!$B$6:$B$3005,$A93,請求記録!$Z$6:$Z$3005,I$5))))</f>
        <v/>
      </c>
      <c r="J93" s="19">
        <f>IF($A93="","",IF(COUNTIFS(請求記録!$B$6:$B$3005,$A93,請求記録!$Z$6:$Z$3005,J$5,請求記録!$AF$6:$AF$3005,"保留中")&gt;0,"保留",IF(COUNTIFS(請求記録!$B$6:$B$3005,$A93,請求記録!$Z$6:$Z$3005,J$5)=0,"",SUMIFS(請求記録!$AE$6:$AE$3005,請求記録!$B$6:$B$3005,$A93,請求記録!$Z$6:$Z$3005,J$5))))</f>
        <v/>
      </c>
      <c r="K93" s="19">
        <f>IF($A93="","",IF(COUNTIFS(請求記録!$B$6:$B$3005,$A93,請求記録!$Z$6:$Z$3005,K$5,請求記録!$AF$6:$AF$3005,"保留中")&gt;0,"保留",IF(COUNTIFS(請求記録!$B$6:$B$3005,$A93,請求記録!$Z$6:$Z$3005,K$5)=0,"",SUMIFS(請求記録!$AE$6:$AE$3005,請求記録!$B$6:$B$3005,$A93,請求記録!$Z$6:$Z$3005,K$5))))</f>
        <v/>
      </c>
      <c r="L93" s="19">
        <f>IF($A93="","",IF(COUNTIFS(請求記録!$B$6:$B$3005,$A93,請求記録!$Z$6:$Z$3005,L$5,請求記録!$AF$6:$AF$3005,"保留中")&gt;0,"保留",IF(COUNTIFS(請求記録!$B$6:$B$3005,$A93,請求記録!$Z$6:$Z$3005,L$5)=0,"",SUMIFS(請求記録!$AE$6:$AE$3005,請求記録!$B$6:$B$3005,$A93,請求記録!$Z$6:$Z$3005,L$5))))</f>
        <v/>
      </c>
      <c r="M93" s="19">
        <f>IF($A93="","",IF(COUNTIFS(請求記録!$B$6:$B$3005,$A93,請求記録!$Z$6:$Z$3005,M$5,請求記録!$AF$6:$AF$3005,"保留中")&gt;0,"保留",IF(COUNTIFS(請求記録!$B$6:$B$3005,$A93,請求記録!$Z$6:$Z$3005,M$5)=0,"",SUMIFS(請求記録!$AE$6:$AE$3005,請求記録!$B$6:$B$3005,$A93,請求記録!$Z$6:$Z$3005,M$5))))</f>
        <v/>
      </c>
      <c r="N93" s="19">
        <f>IF($A93="","",IF(COUNTIFS(請求記録!$B$6:$B$3005,$A93,請求記録!$Z$6:$Z$3005,N$5,請求記録!$AF$6:$AF$3005,"保留中")&gt;0,"保留",IF(COUNTIFS(請求記録!$B$6:$B$3005,$A93,請求記録!$Z$6:$Z$3005,N$5)=0,"",SUMIFS(請求記録!$AE$6:$AE$3005,請求記録!$B$6:$B$3005,$A93,請求記録!$Z$6:$Z$3005,N$5))))</f>
        <v/>
      </c>
      <c r="O93" s="19">
        <f>IF($A93="","",IF(COUNTIFS(請求記録!$B$6:$B$3005,$A93,請求記録!$Z$6:$Z$3005,O$5,請求記録!$AF$6:$AF$3005,"保留中")&gt;0,"保留",IF(COUNTIFS(請求記録!$B$6:$B$3005,$A93,請求記録!$Z$6:$Z$3005,O$5)=0,"",SUMIFS(請求記録!$AE$6:$AE$3005,請求記録!$B$6:$B$3005,$A93,請求記録!$Z$6:$Z$3005,O$5))))</f>
        <v/>
      </c>
      <c r="P93" s="19">
        <f>IF($A93="","",IF(COUNTIFS(請求記録!$B$6:$B$3005,$A93,請求記録!$Z$6:$Z$3005,P$5,請求記録!$AF$6:$AF$3005,"保留中")&gt;0,"保留",IF(COUNTIFS(請求記録!$B$6:$B$3005,$A93,請求記録!$Z$6:$Z$3005,P$5)=0,"",SUMIFS(請求記録!$AE$6:$AE$3005,請求記録!$B$6:$B$3005,$A93,請求記録!$Z$6:$Z$3005,P$5))))</f>
        <v/>
      </c>
      <c r="Q93" s="19">
        <f>IF($A93="","",IF(COUNTIFS(請求記録!$B$6:$B$3005,$A93,請求記録!$Z$6:$Z$3005,Q$5,請求記録!$AF$6:$AF$3005,"保留中")&gt;0,"保留",IF(COUNTIFS(請求記録!$B$6:$B$3005,$A93,請求記録!$Z$6:$Z$3005,Q$5)=0,"",SUMIFS(請求記録!$AE$6:$AE$3005,請求記録!$B$6:$B$3005,$A93,請求記録!$Z$6:$Z$3005,Q$5))))</f>
        <v/>
      </c>
      <c r="R93" s="19">
        <f>IF($A93="","",IF(COUNTIFS(請求記録!$B$6:$B$3005,$A93,請求記録!$Z$6:$Z$3005,R$5,請求記録!$AF$6:$AF$3005,"保留中")&gt;0,"保留",IF(COUNTIFS(請求記録!$B$6:$B$3005,$A93,請求記録!$Z$6:$Z$3005,R$5)=0,"",SUMIFS(請求記録!$AE$6:$AE$3005,請求記録!$B$6:$B$3005,$A93,請求記録!$Z$6:$Z$3005,R$5))))</f>
        <v/>
      </c>
      <c r="S93" s="19">
        <f>IF($A93="","",IF(COUNTIFS(請求記録!$B$6:$B$3005,$A93,請求記録!$Z$6:$Z$3005,S$5,請求記録!$AF$6:$AF$3005,"保留中")&gt;0,"保留",IF(COUNTIFS(請求記録!$B$6:$B$3005,$A93,請求記録!$Z$6:$Z$3005,S$5)=0,"",SUMIFS(請求記録!$AE$6:$AE$3005,請求記録!$B$6:$B$3005,$A93,請求記録!$Z$6:$Z$3005,S$5))))</f>
        <v/>
      </c>
      <c r="T93" s="19">
        <f>IF($A93="","",IF(COUNTIFS(請求記録!$B$6:$B$3005,$A93,請求記録!$Z$6:$Z$3005,T$5,請求記録!$AF$6:$AF$3005,"保留中")&gt;0,"保留",IF(COUNTIFS(請求記録!$B$6:$B$3005,$A93,請求記録!$Z$6:$Z$3005,T$5)=0,"",SUMIFS(請求記録!$AE$6:$AE$3005,請求記録!$B$6:$B$3005,$A93,請求記録!$Z$6:$Z$3005,T$5))))</f>
        <v/>
      </c>
      <c r="U93" s="19">
        <f>IF($A93="","",IF(COUNTIFS(請求記録!$B$6:$B$3005,$A93,請求記録!$Z$6:$Z$3005,U$5,請求記録!$AF$6:$AF$3005,"保留中")&gt;0,"保留",IF(COUNTIFS(請求記録!$B$6:$B$3005,$A93,請求記録!$Z$6:$Z$3005,U$5)=0,"",SUMIFS(請求記録!$AE$6:$AE$3005,請求記録!$B$6:$B$3005,$A93,請求記録!$Z$6:$Z$3005,U$5))))</f>
        <v/>
      </c>
      <c r="V93" s="19">
        <f>IF($A93="","",IF(COUNTIFS(請求記録!$B$6:$B$3005,$A93,請求記録!$Z$6:$Z$3005,V$5,請求記録!$AF$6:$AF$3005,"保留中")&gt;0,"保留",IF(COUNTIFS(請求記録!$B$6:$B$3005,$A93,請求記録!$Z$6:$Z$3005,V$5)=0,"",SUMIFS(請求記録!$AE$6:$AE$3005,請求記録!$B$6:$B$3005,$A93,請求記録!$Z$6:$Z$3005,V$5))))</f>
        <v/>
      </c>
      <c r="W93" s="19">
        <f>IF($A93="","",IF(COUNTIFS(請求記録!$B$6:$B$3005,$A93,請求記録!$Z$6:$Z$3005,W$5,請求記録!$AF$6:$AF$3005,"保留中")&gt;0,"保留",IF(COUNTIFS(請求記録!$B$6:$B$3005,$A93,請求記録!$Z$6:$Z$3005,W$5)=0,"",SUMIFS(請求記録!$AE$6:$AE$3005,請求記録!$B$6:$B$3005,$A93,請求記録!$Z$6:$Z$3005,W$5))))</f>
        <v/>
      </c>
      <c r="X93" s="19">
        <f>IF($A93="","",IF(COUNTIFS(請求記録!$B$6:$B$3005,$A93,請求記録!$Z$6:$Z$3005,X$5,請求記録!$AF$6:$AF$3005,"保留中")&gt;0,"保留",IF(COUNTIFS(請求記録!$B$6:$B$3005,$A93,請求記録!$Z$6:$Z$3005,X$5)=0,"",SUMIFS(請求記録!$AE$6:$AE$3005,請求記録!$B$6:$B$3005,$A93,請求記録!$Z$6:$Z$3005,X$5))))</f>
        <v/>
      </c>
      <c r="Y93" s="19">
        <f>IF($A93="","",IF(COUNTIFS(請求記録!$B$6:$B$3005,$A93,請求記録!$Z$6:$Z$3005,Y$5,請求記録!$AF$6:$AF$3005,"保留中")&gt;0,"保留",IF(COUNTIFS(請求記録!$B$6:$B$3005,$A93,請求記録!$Z$6:$Z$3005,Y$5)=0,"",SUMIFS(請求記録!$AE$6:$AE$3005,請求記録!$B$6:$B$3005,$A93,請求記録!$Z$6:$Z$3005,Y$5))))</f>
        <v/>
      </c>
      <c r="Z93" s="19">
        <f>IF($A93="","",IF(COUNTIFS(請求記録!$B$6:$B$3005,$A93,請求記録!$Z$6:$Z$3005,Z$5,請求記録!$AF$6:$AF$3005,"保留中")&gt;0,"保留",IF(COUNTIFS(請求記録!$B$6:$B$3005,$A93,請求記録!$Z$6:$Z$3005,Z$5)=0,"",SUMIFS(請求記録!$AE$6:$AE$3005,請求記録!$B$6:$B$3005,$A93,請求記録!$Z$6:$Z$3005,Z$5))))</f>
        <v/>
      </c>
      <c r="AA93" s="19">
        <f>IF($A93="","",IF(COUNTIFS(請求記録!$B$6:$B$3005,$A93,請求記録!$Z$6:$Z$3005,AA$5,請求記録!$AF$6:$AF$3005,"保留中")&gt;0,"保留",IF(COUNTIFS(請求記録!$B$6:$B$3005,$A93,請求記録!$Z$6:$Z$3005,AA$5)=0,"",SUMIFS(請求記録!$AE$6:$AE$3005,請求記録!$B$6:$B$3005,$A93,請求記録!$Z$6:$Z$3005,AA$5))))</f>
        <v/>
      </c>
      <c r="AB93">
        <f>IF(職員マスタ!P93="保留中",職員マスタ!M93,"")</f>
        <v/>
      </c>
    </row>
    <row r="94">
      <c r="A94">
        <f>IF(職員マスタ!A94="","",職員マスタ!A94)</f>
        <v/>
      </c>
      <c r="B94">
        <f>IF($A94="","",職員マスタ!B94)</f>
        <v/>
      </c>
      <c r="C94">
        <f>IF($A94="","",職員マスタ!C94)</f>
        <v/>
      </c>
      <c r="D94" s="19">
        <f>IF($A94="","",IF(COUNTIFS(請求記録!$B$6:$B$3005,$A94,請求記録!$Z$6:$Z$3005,D$5,請求記録!$AF$6:$AF$3005,"保留中")&gt;0,"保留",IF(COUNTIFS(請求記録!$B$6:$B$3005,$A94,請求記録!$Z$6:$Z$3005,D$5)=0,"",SUMIFS(請求記録!$AE$6:$AE$3005,請求記録!$B$6:$B$3005,$A94,請求記録!$Z$6:$Z$3005,D$5))))</f>
        <v/>
      </c>
      <c r="E94" s="19">
        <f>IF($A94="","",IF(COUNTIFS(請求記録!$B$6:$B$3005,$A94,請求記録!$Z$6:$Z$3005,E$5,請求記録!$AF$6:$AF$3005,"保留中")&gt;0,"保留",IF(COUNTIFS(請求記録!$B$6:$B$3005,$A94,請求記録!$Z$6:$Z$3005,E$5)=0,"",SUMIFS(請求記録!$AE$6:$AE$3005,請求記録!$B$6:$B$3005,$A94,請求記録!$Z$6:$Z$3005,E$5))))</f>
        <v/>
      </c>
      <c r="F94" s="19">
        <f>IF($A94="","",IF(COUNTIFS(請求記録!$B$6:$B$3005,$A94,請求記録!$Z$6:$Z$3005,F$5,請求記録!$AF$6:$AF$3005,"保留中")&gt;0,"保留",IF(COUNTIFS(請求記録!$B$6:$B$3005,$A94,請求記録!$Z$6:$Z$3005,F$5)=0,"",SUMIFS(請求記録!$AE$6:$AE$3005,請求記録!$B$6:$B$3005,$A94,請求記録!$Z$6:$Z$3005,F$5))))</f>
        <v/>
      </c>
      <c r="G94" s="19">
        <f>IF($A94="","",IF(COUNTIFS(請求記録!$B$6:$B$3005,$A94,請求記録!$Z$6:$Z$3005,G$5,請求記録!$AF$6:$AF$3005,"保留中")&gt;0,"保留",IF(COUNTIFS(請求記録!$B$6:$B$3005,$A94,請求記録!$Z$6:$Z$3005,G$5)=0,"",SUMIFS(請求記録!$AE$6:$AE$3005,請求記録!$B$6:$B$3005,$A94,請求記録!$Z$6:$Z$3005,G$5))))</f>
        <v/>
      </c>
      <c r="H94" s="19">
        <f>IF($A94="","",IF(COUNTIFS(請求記録!$B$6:$B$3005,$A94,請求記録!$Z$6:$Z$3005,H$5,請求記録!$AF$6:$AF$3005,"保留中")&gt;0,"保留",IF(COUNTIFS(請求記録!$B$6:$B$3005,$A94,請求記録!$Z$6:$Z$3005,H$5)=0,"",SUMIFS(請求記録!$AE$6:$AE$3005,請求記録!$B$6:$B$3005,$A94,請求記録!$Z$6:$Z$3005,H$5))))</f>
        <v/>
      </c>
      <c r="I94" s="19">
        <f>IF($A94="","",IF(COUNTIFS(請求記録!$B$6:$B$3005,$A94,請求記録!$Z$6:$Z$3005,I$5,請求記録!$AF$6:$AF$3005,"保留中")&gt;0,"保留",IF(COUNTIFS(請求記録!$B$6:$B$3005,$A94,請求記録!$Z$6:$Z$3005,I$5)=0,"",SUMIFS(請求記録!$AE$6:$AE$3005,請求記録!$B$6:$B$3005,$A94,請求記録!$Z$6:$Z$3005,I$5))))</f>
        <v/>
      </c>
      <c r="J94" s="19">
        <f>IF($A94="","",IF(COUNTIFS(請求記録!$B$6:$B$3005,$A94,請求記録!$Z$6:$Z$3005,J$5,請求記録!$AF$6:$AF$3005,"保留中")&gt;0,"保留",IF(COUNTIFS(請求記録!$B$6:$B$3005,$A94,請求記録!$Z$6:$Z$3005,J$5)=0,"",SUMIFS(請求記録!$AE$6:$AE$3005,請求記録!$B$6:$B$3005,$A94,請求記録!$Z$6:$Z$3005,J$5))))</f>
        <v/>
      </c>
      <c r="K94" s="19">
        <f>IF($A94="","",IF(COUNTIFS(請求記録!$B$6:$B$3005,$A94,請求記録!$Z$6:$Z$3005,K$5,請求記録!$AF$6:$AF$3005,"保留中")&gt;0,"保留",IF(COUNTIFS(請求記録!$B$6:$B$3005,$A94,請求記録!$Z$6:$Z$3005,K$5)=0,"",SUMIFS(請求記録!$AE$6:$AE$3005,請求記録!$B$6:$B$3005,$A94,請求記録!$Z$6:$Z$3005,K$5))))</f>
        <v/>
      </c>
      <c r="L94" s="19">
        <f>IF($A94="","",IF(COUNTIFS(請求記録!$B$6:$B$3005,$A94,請求記録!$Z$6:$Z$3005,L$5,請求記録!$AF$6:$AF$3005,"保留中")&gt;0,"保留",IF(COUNTIFS(請求記録!$B$6:$B$3005,$A94,請求記録!$Z$6:$Z$3005,L$5)=0,"",SUMIFS(請求記録!$AE$6:$AE$3005,請求記録!$B$6:$B$3005,$A94,請求記録!$Z$6:$Z$3005,L$5))))</f>
        <v/>
      </c>
      <c r="M94" s="19">
        <f>IF($A94="","",IF(COUNTIFS(請求記録!$B$6:$B$3005,$A94,請求記録!$Z$6:$Z$3005,M$5,請求記録!$AF$6:$AF$3005,"保留中")&gt;0,"保留",IF(COUNTIFS(請求記録!$B$6:$B$3005,$A94,請求記録!$Z$6:$Z$3005,M$5)=0,"",SUMIFS(請求記録!$AE$6:$AE$3005,請求記録!$B$6:$B$3005,$A94,請求記録!$Z$6:$Z$3005,M$5))))</f>
        <v/>
      </c>
      <c r="N94" s="19">
        <f>IF($A94="","",IF(COUNTIFS(請求記録!$B$6:$B$3005,$A94,請求記録!$Z$6:$Z$3005,N$5,請求記録!$AF$6:$AF$3005,"保留中")&gt;0,"保留",IF(COUNTIFS(請求記録!$B$6:$B$3005,$A94,請求記録!$Z$6:$Z$3005,N$5)=0,"",SUMIFS(請求記録!$AE$6:$AE$3005,請求記録!$B$6:$B$3005,$A94,請求記録!$Z$6:$Z$3005,N$5))))</f>
        <v/>
      </c>
      <c r="O94" s="19">
        <f>IF($A94="","",IF(COUNTIFS(請求記録!$B$6:$B$3005,$A94,請求記録!$Z$6:$Z$3005,O$5,請求記録!$AF$6:$AF$3005,"保留中")&gt;0,"保留",IF(COUNTIFS(請求記録!$B$6:$B$3005,$A94,請求記録!$Z$6:$Z$3005,O$5)=0,"",SUMIFS(請求記録!$AE$6:$AE$3005,請求記録!$B$6:$B$3005,$A94,請求記録!$Z$6:$Z$3005,O$5))))</f>
        <v/>
      </c>
      <c r="P94" s="19">
        <f>IF($A94="","",IF(COUNTIFS(請求記録!$B$6:$B$3005,$A94,請求記録!$Z$6:$Z$3005,P$5,請求記録!$AF$6:$AF$3005,"保留中")&gt;0,"保留",IF(COUNTIFS(請求記録!$B$6:$B$3005,$A94,請求記録!$Z$6:$Z$3005,P$5)=0,"",SUMIFS(請求記録!$AE$6:$AE$3005,請求記録!$B$6:$B$3005,$A94,請求記録!$Z$6:$Z$3005,P$5))))</f>
        <v/>
      </c>
      <c r="Q94" s="19">
        <f>IF($A94="","",IF(COUNTIFS(請求記録!$B$6:$B$3005,$A94,請求記録!$Z$6:$Z$3005,Q$5,請求記録!$AF$6:$AF$3005,"保留中")&gt;0,"保留",IF(COUNTIFS(請求記録!$B$6:$B$3005,$A94,請求記録!$Z$6:$Z$3005,Q$5)=0,"",SUMIFS(請求記録!$AE$6:$AE$3005,請求記録!$B$6:$B$3005,$A94,請求記録!$Z$6:$Z$3005,Q$5))))</f>
        <v/>
      </c>
      <c r="R94" s="19">
        <f>IF($A94="","",IF(COUNTIFS(請求記録!$B$6:$B$3005,$A94,請求記録!$Z$6:$Z$3005,R$5,請求記録!$AF$6:$AF$3005,"保留中")&gt;0,"保留",IF(COUNTIFS(請求記録!$B$6:$B$3005,$A94,請求記録!$Z$6:$Z$3005,R$5)=0,"",SUMIFS(請求記録!$AE$6:$AE$3005,請求記録!$B$6:$B$3005,$A94,請求記録!$Z$6:$Z$3005,R$5))))</f>
        <v/>
      </c>
      <c r="S94" s="19">
        <f>IF($A94="","",IF(COUNTIFS(請求記録!$B$6:$B$3005,$A94,請求記録!$Z$6:$Z$3005,S$5,請求記録!$AF$6:$AF$3005,"保留中")&gt;0,"保留",IF(COUNTIFS(請求記録!$B$6:$B$3005,$A94,請求記録!$Z$6:$Z$3005,S$5)=0,"",SUMIFS(請求記録!$AE$6:$AE$3005,請求記録!$B$6:$B$3005,$A94,請求記録!$Z$6:$Z$3005,S$5))))</f>
        <v/>
      </c>
      <c r="T94" s="19">
        <f>IF($A94="","",IF(COUNTIFS(請求記録!$B$6:$B$3005,$A94,請求記録!$Z$6:$Z$3005,T$5,請求記録!$AF$6:$AF$3005,"保留中")&gt;0,"保留",IF(COUNTIFS(請求記録!$B$6:$B$3005,$A94,請求記録!$Z$6:$Z$3005,T$5)=0,"",SUMIFS(請求記録!$AE$6:$AE$3005,請求記録!$B$6:$B$3005,$A94,請求記録!$Z$6:$Z$3005,T$5))))</f>
        <v/>
      </c>
      <c r="U94" s="19">
        <f>IF($A94="","",IF(COUNTIFS(請求記録!$B$6:$B$3005,$A94,請求記録!$Z$6:$Z$3005,U$5,請求記録!$AF$6:$AF$3005,"保留中")&gt;0,"保留",IF(COUNTIFS(請求記録!$B$6:$B$3005,$A94,請求記録!$Z$6:$Z$3005,U$5)=0,"",SUMIFS(請求記録!$AE$6:$AE$3005,請求記録!$B$6:$B$3005,$A94,請求記録!$Z$6:$Z$3005,U$5))))</f>
        <v/>
      </c>
      <c r="V94" s="19">
        <f>IF($A94="","",IF(COUNTIFS(請求記録!$B$6:$B$3005,$A94,請求記録!$Z$6:$Z$3005,V$5,請求記録!$AF$6:$AF$3005,"保留中")&gt;0,"保留",IF(COUNTIFS(請求記録!$B$6:$B$3005,$A94,請求記録!$Z$6:$Z$3005,V$5)=0,"",SUMIFS(請求記録!$AE$6:$AE$3005,請求記録!$B$6:$B$3005,$A94,請求記録!$Z$6:$Z$3005,V$5))))</f>
        <v/>
      </c>
      <c r="W94" s="19">
        <f>IF($A94="","",IF(COUNTIFS(請求記録!$B$6:$B$3005,$A94,請求記録!$Z$6:$Z$3005,W$5,請求記録!$AF$6:$AF$3005,"保留中")&gt;0,"保留",IF(COUNTIFS(請求記録!$B$6:$B$3005,$A94,請求記録!$Z$6:$Z$3005,W$5)=0,"",SUMIFS(請求記録!$AE$6:$AE$3005,請求記録!$B$6:$B$3005,$A94,請求記録!$Z$6:$Z$3005,W$5))))</f>
        <v/>
      </c>
      <c r="X94" s="19">
        <f>IF($A94="","",IF(COUNTIFS(請求記録!$B$6:$B$3005,$A94,請求記録!$Z$6:$Z$3005,X$5,請求記録!$AF$6:$AF$3005,"保留中")&gt;0,"保留",IF(COUNTIFS(請求記録!$B$6:$B$3005,$A94,請求記録!$Z$6:$Z$3005,X$5)=0,"",SUMIFS(請求記録!$AE$6:$AE$3005,請求記録!$B$6:$B$3005,$A94,請求記録!$Z$6:$Z$3005,X$5))))</f>
        <v/>
      </c>
      <c r="Y94" s="19">
        <f>IF($A94="","",IF(COUNTIFS(請求記録!$B$6:$B$3005,$A94,請求記録!$Z$6:$Z$3005,Y$5,請求記録!$AF$6:$AF$3005,"保留中")&gt;0,"保留",IF(COUNTIFS(請求記録!$B$6:$B$3005,$A94,請求記録!$Z$6:$Z$3005,Y$5)=0,"",SUMIFS(請求記録!$AE$6:$AE$3005,請求記録!$B$6:$B$3005,$A94,請求記録!$Z$6:$Z$3005,Y$5))))</f>
        <v/>
      </c>
      <c r="Z94" s="19">
        <f>IF($A94="","",IF(COUNTIFS(請求記録!$B$6:$B$3005,$A94,請求記録!$Z$6:$Z$3005,Z$5,請求記録!$AF$6:$AF$3005,"保留中")&gt;0,"保留",IF(COUNTIFS(請求記録!$B$6:$B$3005,$A94,請求記録!$Z$6:$Z$3005,Z$5)=0,"",SUMIFS(請求記録!$AE$6:$AE$3005,請求記録!$B$6:$B$3005,$A94,請求記録!$Z$6:$Z$3005,Z$5))))</f>
        <v/>
      </c>
      <c r="AA94" s="19">
        <f>IF($A94="","",IF(COUNTIFS(請求記録!$B$6:$B$3005,$A94,請求記録!$Z$6:$Z$3005,AA$5,請求記録!$AF$6:$AF$3005,"保留中")&gt;0,"保留",IF(COUNTIFS(請求記録!$B$6:$B$3005,$A94,請求記録!$Z$6:$Z$3005,AA$5)=0,"",SUMIFS(請求記録!$AE$6:$AE$3005,請求記録!$B$6:$B$3005,$A94,請求記録!$Z$6:$Z$3005,AA$5))))</f>
        <v/>
      </c>
      <c r="AB94">
        <f>IF(職員マスタ!P94="保留中",職員マスタ!M94,"")</f>
        <v/>
      </c>
    </row>
    <row r="95">
      <c r="A95">
        <f>IF(職員マスタ!A95="","",職員マスタ!A95)</f>
        <v/>
      </c>
      <c r="B95">
        <f>IF($A95="","",職員マスタ!B95)</f>
        <v/>
      </c>
      <c r="C95">
        <f>IF($A95="","",職員マスタ!C95)</f>
        <v/>
      </c>
      <c r="D95" s="19">
        <f>IF($A95="","",IF(COUNTIFS(請求記録!$B$6:$B$3005,$A95,請求記録!$Z$6:$Z$3005,D$5,請求記録!$AF$6:$AF$3005,"保留中")&gt;0,"保留",IF(COUNTIFS(請求記録!$B$6:$B$3005,$A95,請求記録!$Z$6:$Z$3005,D$5)=0,"",SUMIFS(請求記録!$AE$6:$AE$3005,請求記録!$B$6:$B$3005,$A95,請求記録!$Z$6:$Z$3005,D$5))))</f>
        <v/>
      </c>
      <c r="E95" s="19">
        <f>IF($A95="","",IF(COUNTIFS(請求記録!$B$6:$B$3005,$A95,請求記録!$Z$6:$Z$3005,E$5,請求記録!$AF$6:$AF$3005,"保留中")&gt;0,"保留",IF(COUNTIFS(請求記録!$B$6:$B$3005,$A95,請求記録!$Z$6:$Z$3005,E$5)=0,"",SUMIFS(請求記録!$AE$6:$AE$3005,請求記録!$B$6:$B$3005,$A95,請求記録!$Z$6:$Z$3005,E$5))))</f>
        <v/>
      </c>
      <c r="F95" s="19">
        <f>IF($A95="","",IF(COUNTIFS(請求記録!$B$6:$B$3005,$A95,請求記録!$Z$6:$Z$3005,F$5,請求記録!$AF$6:$AF$3005,"保留中")&gt;0,"保留",IF(COUNTIFS(請求記録!$B$6:$B$3005,$A95,請求記録!$Z$6:$Z$3005,F$5)=0,"",SUMIFS(請求記録!$AE$6:$AE$3005,請求記録!$B$6:$B$3005,$A95,請求記録!$Z$6:$Z$3005,F$5))))</f>
        <v/>
      </c>
      <c r="G95" s="19">
        <f>IF($A95="","",IF(COUNTIFS(請求記録!$B$6:$B$3005,$A95,請求記録!$Z$6:$Z$3005,G$5,請求記録!$AF$6:$AF$3005,"保留中")&gt;0,"保留",IF(COUNTIFS(請求記録!$B$6:$B$3005,$A95,請求記録!$Z$6:$Z$3005,G$5)=0,"",SUMIFS(請求記録!$AE$6:$AE$3005,請求記録!$B$6:$B$3005,$A95,請求記録!$Z$6:$Z$3005,G$5))))</f>
        <v/>
      </c>
      <c r="H95" s="19">
        <f>IF($A95="","",IF(COUNTIFS(請求記録!$B$6:$B$3005,$A95,請求記録!$Z$6:$Z$3005,H$5,請求記録!$AF$6:$AF$3005,"保留中")&gt;0,"保留",IF(COUNTIFS(請求記録!$B$6:$B$3005,$A95,請求記録!$Z$6:$Z$3005,H$5)=0,"",SUMIFS(請求記録!$AE$6:$AE$3005,請求記録!$B$6:$B$3005,$A95,請求記録!$Z$6:$Z$3005,H$5))))</f>
        <v/>
      </c>
      <c r="I95" s="19">
        <f>IF($A95="","",IF(COUNTIFS(請求記録!$B$6:$B$3005,$A95,請求記録!$Z$6:$Z$3005,I$5,請求記録!$AF$6:$AF$3005,"保留中")&gt;0,"保留",IF(COUNTIFS(請求記録!$B$6:$B$3005,$A95,請求記録!$Z$6:$Z$3005,I$5)=0,"",SUMIFS(請求記録!$AE$6:$AE$3005,請求記録!$B$6:$B$3005,$A95,請求記録!$Z$6:$Z$3005,I$5))))</f>
        <v/>
      </c>
      <c r="J95" s="19">
        <f>IF($A95="","",IF(COUNTIFS(請求記録!$B$6:$B$3005,$A95,請求記録!$Z$6:$Z$3005,J$5,請求記録!$AF$6:$AF$3005,"保留中")&gt;0,"保留",IF(COUNTIFS(請求記録!$B$6:$B$3005,$A95,請求記録!$Z$6:$Z$3005,J$5)=0,"",SUMIFS(請求記録!$AE$6:$AE$3005,請求記録!$B$6:$B$3005,$A95,請求記録!$Z$6:$Z$3005,J$5))))</f>
        <v/>
      </c>
      <c r="K95" s="19">
        <f>IF($A95="","",IF(COUNTIFS(請求記録!$B$6:$B$3005,$A95,請求記録!$Z$6:$Z$3005,K$5,請求記録!$AF$6:$AF$3005,"保留中")&gt;0,"保留",IF(COUNTIFS(請求記録!$B$6:$B$3005,$A95,請求記録!$Z$6:$Z$3005,K$5)=0,"",SUMIFS(請求記録!$AE$6:$AE$3005,請求記録!$B$6:$B$3005,$A95,請求記録!$Z$6:$Z$3005,K$5))))</f>
        <v/>
      </c>
      <c r="L95" s="19">
        <f>IF($A95="","",IF(COUNTIFS(請求記録!$B$6:$B$3005,$A95,請求記録!$Z$6:$Z$3005,L$5,請求記録!$AF$6:$AF$3005,"保留中")&gt;0,"保留",IF(COUNTIFS(請求記録!$B$6:$B$3005,$A95,請求記録!$Z$6:$Z$3005,L$5)=0,"",SUMIFS(請求記録!$AE$6:$AE$3005,請求記録!$B$6:$B$3005,$A95,請求記録!$Z$6:$Z$3005,L$5))))</f>
        <v/>
      </c>
      <c r="M95" s="19">
        <f>IF($A95="","",IF(COUNTIFS(請求記録!$B$6:$B$3005,$A95,請求記録!$Z$6:$Z$3005,M$5,請求記録!$AF$6:$AF$3005,"保留中")&gt;0,"保留",IF(COUNTIFS(請求記録!$B$6:$B$3005,$A95,請求記録!$Z$6:$Z$3005,M$5)=0,"",SUMIFS(請求記録!$AE$6:$AE$3005,請求記録!$B$6:$B$3005,$A95,請求記録!$Z$6:$Z$3005,M$5))))</f>
        <v/>
      </c>
      <c r="N95" s="19">
        <f>IF($A95="","",IF(COUNTIFS(請求記録!$B$6:$B$3005,$A95,請求記録!$Z$6:$Z$3005,N$5,請求記録!$AF$6:$AF$3005,"保留中")&gt;0,"保留",IF(COUNTIFS(請求記録!$B$6:$B$3005,$A95,請求記録!$Z$6:$Z$3005,N$5)=0,"",SUMIFS(請求記録!$AE$6:$AE$3005,請求記録!$B$6:$B$3005,$A95,請求記録!$Z$6:$Z$3005,N$5))))</f>
        <v/>
      </c>
      <c r="O95" s="19">
        <f>IF($A95="","",IF(COUNTIFS(請求記録!$B$6:$B$3005,$A95,請求記録!$Z$6:$Z$3005,O$5,請求記録!$AF$6:$AF$3005,"保留中")&gt;0,"保留",IF(COUNTIFS(請求記録!$B$6:$B$3005,$A95,請求記録!$Z$6:$Z$3005,O$5)=0,"",SUMIFS(請求記録!$AE$6:$AE$3005,請求記録!$B$6:$B$3005,$A95,請求記録!$Z$6:$Z$3005,O$5))))</f>
        <v/>
      </c>
      <c r="P95" s="19">
        <f>IF($A95="","",IF(COUNTIFS(請求記録!$B$6:$B$3005,$A95,請求記録!$Z$6:$Z$3005,P$5,請求記録!$AF$6:$AF$3005,"保留中")&gt;0,"保留",IF(COUNTIFS(請求記録!$B$6:$B$3005,$A95,請求記録!$Z$6:$Z$3005,P$5)=0,"",SUMIFS(請求記録!$AE$6:$AE$3005,請求記録!$B$6:$B$3005,$A95,請求記録!$Z$6:$Z$3005,P$5))))</f>
        <v/>
      </c>
      <c r="Q95" s="19">
        <f>IF($A95="","",IF(COUNTIFS(請求記録!$B$6:$B$3005,$A95,請求記録!$Z$6:$Z$3005,Q$5,請求記録!$AF$6:$AF$3005,"保留中")&gt;0,"保留",IF(COUNTIFS(請求記録!$B$6:$B$3005,$A95,請求記録!$Z$6:$Z$3005,Q$5)=0,"",SUMIFS(請求記録!$AE$6:$AE$3005,請求記録!$B$6:$B$3005,$A95,請求記録!$Z$6:$Z$3005,Q$5))))</f>
        <v/>
      </c>
      <c r="R95" s="19">
        <f>IF($A95="","",IF(COUNTIFS(請求記録!$B$6:$B$3005,$A95,請求記録!$Z$6:$Z$3005,R$5,請求記録!$AF$6:$AF$3005,"保留中")&gt;0,"保留",IF(COUNTIFS(請求記録!$B$6:$B$3005,$A95,請求記録!$Z$6:$Z$3005,R$5)=0,"",SUMIFS(請求記録!$AE$6:$AE$3005,請求記録!$B$6:$B$3005,$A95,請求記録!$Z$6:$Z$3005,R$5))))</f>
        <v/>
      </c>
      <c r="S95" s="19">
        <f>IF($A95="","",IF(COUNTIFS(請求記録!$B$6:$B$3005,$A95,請求記録!$Z$6:$Z$3005,S$5,請求記録!$AF$6:$AF$3005,"保留中")&gt;0,"保留",IF(COUNTIFS(請求記録!$B$6:$B$3005,$A95,請求記録!$Z$6:$Z$3005,S$5)=0,"",SUMIFS(請求記録!$AE$6:$AE$3005,請求記録!$B$6:$B$3005,$A95,請求記録!$Z$6:$Z$3005,S$5))))</f>
        <v/>
      </c>
      <c r="T95" s="19">
        <f>IF($A95="","",IF(COUNTIFS(請求記録!$B$6:$B$3005,$A95,請求記録!$Z$6:$Z$3005,T$5,請求記録!$AF$6:$AF$3005,"保留中")&gt;0,"保留",IF(COUNTIFS(請求記録!$B$6:$B$3005,$A95,請求記録!$Z$6:$Z$3005,T$5)=0,"",SUMIFS(請求記録!$AE$6:$AE$3005,請求記録!$B$6:$B$3005,$A95,請求記録!$Z$6:$Z$3005,T$5))))</f>
        <v/>
      </c>
      <c r="U95" s="19">
        <f>IF($A95="","",IF(COUNTIFS(請求記録!$B$6:$B$3005,$A95,請求記録!$Z$6:$Z$3005,U$5,請求記録!$AF$6:$AF$3005,"保留中")&gt;0,"保留",IF(COUNTIFS(請求記録!$B$6:$B$3005,$A95,請求記録!$Z$6:$Z$3005,U$5)=0,"",SUMIFS(請求記録!$AE$6:$AE$3005,請求記録!$B$6:$B$3005,$A95,請求記録!$Z$6:$Z$3005,U$5))))</f>
        <v/>
      </c>
      <c r="V95" s="19">
        <f>IF($A95="","",IF(COUNTIFS(請求記録!$B$6:$B$3005,$A95,請求記録!$Z$6:$Z$3005,V$5,請求記録!$AF$6:$AF$3005,"保留中")&gt;0,"保留",IF(COUNTIFS(請求記録!$B$6:$B$3005,$A95,請求記録!$Z$6:$Z$3005,V$5)=0,"",SUMIFS(請求記録!$AE$6:$AE$3005,請求記録!$B$6:$B$3005,$A95,請求記録!$Z$6:$Z$3005,V$5))))</f>
        <v/>
      </c>
      <c r="W95" s="19">
        <f>IF($A95="","",IF(COUNTIFS(請求記録!$B$6:$B$3005,$A95,請求記録!$Z$6:$Z$3005,W$5,請求記録!$AF$6:$AF$3005,"保留中")&gt;0,"保留",IF(COUNTIFS(請求記録!$B$6:$B$3005,$A95,請求記録!$Z$6:$Z$3005,W$5)=0,"",SUMIFS(請求記録!$AE$6:$AE$3005,請求記録!$B$6:$B$3005,$A95,請求記録!$Z$6:$Z$3005,W$5))))</f>
        <v/>
      </c>
      <c r="X95" s="19">
        <f>IF($A95="","",IF(COUNTIFS(請求記録!$B$6:$B$3005,$A95,請求記録!$Z$6:$Z$3005,X$5,請求記録!$AF$6:$AF$3005,"保留中")&gt;0,"保留",IF(COUNTIFS(請求記録!$B$6:$B$3005,$A95,請求記録!$Z$6:$Z$3005,X$5)=0,"",SUMIFS(請求記録!$AE$6:$AE$3005,請求記録!$B$6:$B$3005,$A95,請求記録!$Z$6:$Z$3005,X$5))))</f>
        <v/>
      </c>
      <c r="Y95" s="19">
        <f>IF($A95="","",IF(COUNTIFS(請求記録!$B$6:$B$3005,$A95,請求記録!$Z$6:$Z$3005,Y$5,請求記録!$AF$6:$AF$3005,"保留中")&gt;0,"保留",IF(COUNTIFS(請求記録!$B$6:$B$3005,$A95,請求記録!$Z$6:$Z$3005,Y$5)=0,"",SUMIFS(請求記録!$AE$6:$AE$3005,請求記録!$B$6:$B$3005,$A95,請求記録!$Z$6:$Z$3005,Y$5))))</f>
        <v/>
      </c>
      <c r="Z95" s="19">
        <f>IF($A95="","",IF(COUNTIFS(請求記録!$B$6:$B$3005,$A95,請求記録!$Z$6:$Z$3005,Z$5,請求記録!$AF$6:$AF$3005,"保留中")&gt;0,"保留",IF(COUNTIFS(請求記録!$B$6:$B$3005,$A95,請求記録!$Z$6:$Z$3005,Z$5)=0,"",SUMIFS(請求記録!$AE$6:$AE$3005,請求記録!$B$6:$B$3005,$A95,請求記録!$Z$6:$Z$3005,Z$5))))</f>
        <v/>
      </c>
      <c r="AA95" s="19">
        <f>IF($A95="","",IF(COUNTIFS(請求記録!$B$6:$B$3005,$A95,請求記録!$Z$6:$Z$3005,AA$5,請求記録!$AF$6:$AF$3005,"保留中")&gt;0,"保留",IF(COUNTIFS(請求記録!$B$6:$B$3005,$A95,請求記録!$Z$6:$Z$3005,AA$5)=0,"",SUMIFS(請求記録!$AE$6:$AE$3005,請求記録!$B$6:$B$3005,$A95,請求記録!$Z$6:$Z$3005,AA$5))))</f>
        <v/>
      </c>
      <c r="AB95">
        <f>IF(職員マスタ!P95="保留中",職員マスタ!M95,"")</f>
        <v/>
      </c>
    </row>
    <row r="96">
      <c r="A96">
        <f>IF(職員マスタ!A96="","",職員マスタ!A96)</f>
        <v/>
      </c>
      <c r="B96">
        <f>IF($A96="","",職員マスタ!B96)</f>
        <v/>
      </c>
      <c r="C96">
        <f>IF($A96="","",職員マスタ!C96)</f>
        <v/>
      </c>
      <c r="D96" s="19">
        <f>IF($A96="","",IF(COUNTIFS(請求記録!$B$6:$B$3005,$A96,請求記録!$Z$6:$Z$3005,D$5,請求記録!$AF$6:$AF$3005,"保留中")&gt;0,"保留",IF(COUNTIFS(請求記録!$B$6:$B$3005,$A96,請求記録!$Z$6:$Z$3005,D$5)=0,"",SUMIFS(請求記録!$AE$6:$AE$3005,請求記録!$B$6:$B$3005,$A96,請求記録!$Z$6:$Z$3005,D$5))))</f>
        <v/>
      </c>
      <c r="E96" s="19">
        <f>IF($A96="","",IF(COUNTIFS(請求記録!$B$6:$B$3005,$A96,請求記録!$Z$6:$Z$3005,E$5,請求記録!$AF$6:$AF$3005,"保留中")&gt;0,"保留",IF(COUNTIFS(請求記録!$B$6:$B$3005,$A96,請求記録!$Z$6:$Z$3005,E$5)=0,"",SUMIFS(請求記録!$AE$6:$AE$3005,請求記録!$B$6:$B$3005,$A96,請求記録!$Z$6:$Z$3005,E$5))))</f>
        <v/>
      </c>
      <c r="F96" s="19">
        <f>IF($A96="","",IF(COUNTIFS(請求記録!$B$6:$B$3005,$A96,請求記録!$Z$6:$Z$3005,F$5,請求記録!$AF$6:$AF$3005,"保留中")&gt;0,"保留",IF(COUNTIFS(請求記録!$B$6:$B$3005,$A96,請求記録!$Z$6:$Z$3005,F$5)=0,"",SUMIFS(請求記録!$AE$6:$AE$3005,請求記録!$B$6:$B$3005,$A96,請求記録!$Z$6:$Z$3005,F$5))))</f>
        <v/>
      </c>
      <c r="G96" s="19">
        <f>IF($A96="","",IF(COUNTIFS(請求記録!$B$6:$B$3005,$A96,請求記録!$Z$6:$Z$3005,G$5,請求記録!$AF$6:$AF$3005,"保留中")&gt;0,"保留",IF(COUNTIFS(請求記録!$B$6:$B$3005,$A96,請求記録!$Z$6:$Z$3005,G$5)=0,"",SUMIFS(請求記録!$AE$6:$AE$3005,請求記録!$B$6:$B$3005,$A96,請求記録!$Z$6:$Z$3005,G$5))))</f>
        <v/>
      </c>
      <c r="H96" s="19">
        <f>IF($A96="","",IF(COUNTIFS(請求記録!$B$6:$B$3005,$A96,請求記録!$Z$6:$Z$3005,H$5,請求記録!$AF$6:$AF$3005,"保留中")&gt;0,"保留",IF(COUNTIFS(請求記録!$B$6:$B$3005,$A96,請求記録!$Z$6:$Z$3005,H$5)=0,"",SUMIFS(請求記録!$AE$6:$AE$3005,請求記録!$B$6:$B$3005,$A96,請求記録!$Z$6:$Z$3005,H$5))))</f>
        <v/>
      </c>
      <c r="I96" s="19">
        <f>IF($A96="","",IF(COUNTIFS(請求記録!$B$6:$B$3005,$A96,請求記録!$Z$6:$Z$3005,I$5,請求記録!$AF$6:$AF$3005,"保留中")&gt;0,"保留",IF(COUNTIFS(請求記録!$B$6:$B$3005,$A96,請求記録!$Z$6:$Z$3005,I$5)=0,"",SUMIFS(請求記録!$AE$6:$AE$3005,請求記録!$B$6:$B$3005,$A96,請求記録!$Z$6:$Z$3005,I$5))))</f>
        <v/>
      </c>
      <c r="J96" s="19">
        <f>IF($A96="","",IF(COUNTIFS(請求記録!$B$6:$B$3005,$A96,請求記録!$Z$6:$Z$3005,J$5,請求記録!$AF$6:$AF$3005,"保留中")&gt;0,"保留",IF(COUNTIFS(請求記録!$B$6:$B$3005,$A96,請求記録!$Z$6:$Z$3005,J$5)=0,"",SUMIFS(請求記録!$AE$6:$AE$3005,請求記録!$B$6:$B$3005,$A96,請求記録!$Z$6:$Z$3005,J$5))))</f>
        <v/>
      </c>
      <c r="K96" s="19">
        <f>IF($A96="","",IF(COUNTIFS(請求記録!$B$6:$B$3005,$A96,請求記録!$Z$6:$Z$3005,K$5,請求記録!$AF$6:$AF$3005,"保留中")&gt;0,"保留",IF(COUNTIFS(請求記録!$B$6:$B$3005,$A96,請求記録!$Z$6:$Z$3005,K$5)=0,"",SUMIFS(請求記録!$AE$6:$AE$3005,請求記録!$B$6:$B$3005,$A96,請求記録!$Z$6:$Z$3005,K$5))))</f>
        <v/>
      </c>
      <c r="L96" s="19">
        <f>IF($A96="","",IF(COUNTIFS(請求記録!$B$6:$B$3005,$A96,請求記録!$Z$6:$Z$3005,L$5,請求記録!$AF$6:$AF$3005,"保留中")&gt;0,"保留",IF(COUNTIFS(請求記録!$B$6:$B$3005,$A96,請求記録!$Z$6:$Z$3005,L$5)=0,"",SUMIFS(請求記録!$AE$6:$AE$3005,請求記録!$B$6:$B$3005,$A96,請求記録!$Z$6:$Z$3005,L$5))))</f>
        <v/>
      </c>
      <c r="M96" s="19">
        <f>IF($A96="","",IF(COUNTIFS(請求記録!$B$6:$B$3005,$A96,請求記録!$Z$6:$Z$3005,M$5,請求記録!$AF$6:$AF$3005,"保留中")&gt;0,"保留",IF(COUNTIFS(請求記録!$B$6:$B$3005,$A96,請求記録!$Z$6:$Z$3005,M$5)=0,"",SUMIFS(請求記録!$AE$6:$AE$3005,請求記録!$B$6:$B$3005,$A96,請求記録!$Z$6:$Z$3005,M$5))))</f>
        <v/>
      </c>
      <c r="N96" s="19">
        <f>IF($A96="","",IF(COUNTIFS(請求記録!$B$6:$B$3005,$A96,請求記録!$Z$6:$Z$3005,N$5,請求記録!$AF$6:$AF$3005,"保留中")&gt;0,"保留",IF(COUNTIFS(請求記録!$B$6:$B$3005,$A96,請求記録!$Z$6:$Z$3005,N$5)=0,"",SUMIFS(請求記録!$AE$6:$AE$3005,請求記録!$B$6:$B$3005,$A96,請求記録!$Z$6:$Z$3005,N$5))))</f>
        <v/>
      </c>
      <c r="O96" s="19">
        <f>IF($A96="","",IF(COUNTIFS(請求記録!$B$6:$B$3005,$A96,請求記録!$Z$6:$Z$3005,O$5,請求記録!$AF$6:$AF$3005,"保留中")&gt;0,"保留",IF(COUNTIFS(請求記録!$B$6:$B$3005,$A96,請求記録!$Z$6:$Z$3005,O$5)=0,"",SUMIFS(請求記録!$AE$6:$AE$3005,請求記録!$B$6:$B$3005,$A96,請求記録!$Z$6:$Z$3005,O$5))))</f>
        <v/>
      </c>
      <c r="P96" s="19">
        <f>IF($A96="","",IF(COUNTIFS(請求記録!$B$6:$B$3005,$A96,請求記録!$Z$6:$Z$3005,P$5,請求記録!$AF$6:$AF$3005,"保留中")&gt;0,"保留",IF(COUNTIFS(請求記録!$B$6:$B$3005,$A96,請求記録!$Z$6:$Z$3005,P$5)=0,"",SUMIFS(請求記録!$AE$6:$AE$3005,請求記録!$B$6:$B$3005,$A96,請求記録!$Z$6:$Z$3005,P$5))))</f>
        <v/>
      </c>
      <c r="Q96" s="19">
        <f>IF($A96="","",IF(COUNTIFS(請求記録!$B$6:$B$3005,$A96,請求記録!$Z$6:$Z$3005,Q$5,請求記録!$AF$6:$AF$3005,"保留中")&gt;0,"保留",IF(COUNTIFS(請求記録!$B$6:$B$3005,$A96,請求記録!$Z$6:$Z$3005,Q$5)=0,"",SUMIFS(請求記録!$AE$6:$AE$3005,請求記録!$B$6:$B$3005,$A96,請求記録!$Z$6:$Z$3005,Q$5))))</f>
        <v/>
      </c>
      <c r="R96" s="19">
        <f>IF($A96="","",IF(COUNTIFS(請求記録!$B$6:$B$3005,$A96,請求記録!$Z$6:$Z$3005,R$5,請求記録!$AF$6:$AF$3005,"保留中")&gt;0,"保留",IF(COUNTIFS(請求記録!$B$6:$B$3005,$A96,請求記録!$Z$6:$Z$3005,R$5)=0,"",SUMIFS(請求記録!$AE$6:$AE$3005,請求記録!$B$6:$B$3005,$A96,請求記録!$Z$6:$Z$3005,R$5))))</f>
        <v/>
      </c>
      <c r="S96" s="19">
        <f>IF($A96="","",IF(COUNTIFS(請求記録!$B$6:$B$3005,$A96,請求記録!$Z$6:$Z$3005,S$5,請求記録!$AF$6:$AF$3005,"保留中")&gt;0,"保留",IF(COUNTIFS(請求記録!$B$6:$B$3005,$A96,請求記録!$Z$6:$Z$3005,S$5)=0,"",SUMIFS(請求記録!$AE$6:$AE$3005,請求記録!$B$6:$B$3005,$A96,請求記録!$Z$6:$Z$3005,S$5))))</f>
        <v/>
      </c>
      <c r="T96" s="19">
        <f>IF($A96="","",IF(COUNTIFS(請求記録!$B$6:$B$3005,$A96,請求記録!$Z$6:$Z$3005,T$5,請求記録!$AF$6:$AF$3005,"保留中")&gt;0,"保留",IF(COUNTIFS(請求記録!$B$6:$B$3005,$A96,請求記録!$Z$6:$Z$3005,T$5)=0,"",SUMIFS(請求記録!$AE$6:$AE$3005,請求記録!$B$6:$B$3005,$A96,請求記録!$Z$6:$Z$3005,T$5))))</f>
        <v/>
      </c>
      <c r="U96" s="19">
        <f>IF($A96="","",IF(COUNTIFS(請求記録!$B$6:$B$3005,$A96,請求記録!$Z$6:$Z$3005,U$5,請求記録!$AF$6:$AF$3005,"保留中")&gt;0,"保留",IF(COUNTIFS(請求記録!$B$6:$B$3005,$A96,請求記録!$Z$6:$Z$3005,U$5)=0,"",SUMIFS(請求記録!$AE$6:$AE$3005,請求記録!$B$6:$B$3005,$A96,請求記録!$Z$6:$Z$3005,U$5))))</f>
        <v/>
      </c>
      <c r="V96" s="19">
        <f>IF($A96="","",IF(COUNTIFS(請求記録!$B$6:$B$3005,$A96,請求記録!$Z$6:$Z$3005,V$5,請求記録!$AF$6:$AF$3005,"保留中")&gt;0,"保留",IF(COUNTIFS(請求記録!$B$6:$B$3005,$A96,請求記録!$Z$6:$Z$3005,V$5)=0,"",SUMIFS(請求記録!$AE$6:$AE$3005,請求記録!$B$6:$B$3005,$A96,請求記録!$Z$6:$Z$3005,V$5))))</f>
        <v/>
      </c>
      <c r="W96" s="19">
        <f>IF($A96="","",IF(COUNTIFS(請求記録!$B$6:$B$3005,$A96,請求記録!$Z$6:$Z$3005,W$5,請求記録!$AF$6:$AF$3005,"保留中")&gt;0,"保留",IF(COUNTIFS(請求記録!$B$6:$B$3005,$A96,請求記録!$Z$6:$Z$3005,W$5)=0,"",SUMIFS(請求記録!$AE$6:$AE$3005,請求記録!$B$6:$B$3005,$A96,請求記録!$Z$6:$Z$3005,W$5))))</f>
        <v/>
      </c>
      <c r="X96" s="19">
        <f>IF($A96="","",IF(COUNTIFS(請求記録!$B$6:$B$3005,$A96,請求記録!$Z$6:$Z$3005,X$5,請求記録!$AF$6:$AF$3005,"保留中")&gt;0,"保留",IF(COUNTIFS(請求記録!$B$6:$B$3005,$A96,請求記録!$Z$6:$Z$3005,X$5)=0,"",SUMIFS(請求記録!$AE$6:$AE$3005,請求記録!$B$6:$B$3005,$A96,請求記録!$Z$6:$Z$3005,X$5))))</f>
        <v/>
      </c>
      <c r="Y96" s="19">
        <f>IF($A96="","",IF(COUNTIFS(請求記録!$B$6:$B$3005,$A96,請求記録!$Z$6:$Z$3005,Y$5,請求記録!$AF$6:$AF$3005,"保留中")&gt;0,"保留",IF(COUNTIFS(請求記録!$B$6:$B$3005,$A96,請求記録!$Z$6:$Z$3005,Y$5)=0,"",SUMIFS(請求記録!$AE$6:$AE$3005,請求記録!$B$6:$B$3005,$A96,請求記録!$Z$6:$Z$3005,Y$5))))</f>
        <v/>
      </c>
      <c r="Z96" s="19">
        <f>IF($A96="","",IF(COUNTIFS(請求記録!$B$6:$B$3005,$A96,請求記録!$Z$6:$Z$3005,Z$5,請求記録!$AF$6:$AF$3005,"保留中")&gt;0,"保留",IF(COUNTIFS(請求記録!$B$6:$B$3005,$A96,請求記録!$Z$6:$Z$3005,Z$5)=0,"",SUMIFS(請求記録!$AE$6:$AE$3005,請求記録!$B$6:$B$3005,$A96,請求記録!$Z$6:$Z$3005,Z$5))))</f>
        <v/>
      </c>
      <c r="AA96" s="19">
        <f>IF($A96="","",IF(COUNTIFS(請求記録!$B$6:$B$3005,$A96,請求記録!$Z$6:$Z$3005,AA$5,請求記録!$AF$6:$AF$3005,"保留中")&gt;0,"保留",IF(COUNTIFS(請求記録!$B$6:$B$3005,$A96,請求記録!$Z$6:$Z$3005,AA$5)=0,"",SUMIFS(請求記録!$AE$6:$AE$3005,請求記録!$B$6:$B$3005,$A96,請求記録!$Z$6:$Z$3005,AA$5))))</f>
        <v/>
      </c>
      <c r="AB96">
        <f>IF(職員マスタ!P96="保留中",職員マスタ!M96,"")</f>
        <v/>
      </c>
    </row>
    <row r="97">
      <c r="A97">
        <f>IF(職員マスタ!A97="","",職員マスタ!A97)</f>
        <v/>
      </c>
      <c r="B97">
        <f>IF($A97="","",職員マスタ!B97)</f>
        <v/>
      </c>
      <c r="C97">
        <f>IF($A97="","",職員マスタ!C97)</f>
        <v/>
      </c>
      <c r="D97" s="19">
        <f>IF($A97="","",IF(COUNTIFS(請求記録!$B$6:$B$3005,$A97,請求記録!$Z$6:$Z$3005,D$5,請求記録!$AF$6:$AF$3005,"保留中")&gt;0,"保留",IF(COUNTIFS(請求記録!$B$6:$B$3005,$A97,請求記録!$Z$6:$Z$3005,D$5)=0,"",SUMIFS(請求記録!$AE$6:$AE$3005,請求記録!$B$6:$B$3005,$A97,請求記録!$Z$6:$Z$3005,D$5))))</f>
        <v/>
      </c>
      <c r="E97" s="19">
        <f>IF($A97="","",IF(COUNTIFS(請求記録!$B$6:$B$3005,$A97,請求記録!$Z$6:$Z$3005,E$5,請求記録!$AF$6:$AF$3005,"保留中")&gt;0,"保留",IF(COUNTIFS(請求記録!$B$6:$B$3005,$A97,請求記録!$Z$6:$Z$3005,E$5)=0,"",SUMIFS(請求記録!$AE$6:$AE$3005,請求記録!$B$6:$B$3005,$A97,請求記録!$Z$6:$Z$3005,E$5))))</f>
        <v/>
      </c>
      <c r="F97" s="19">
        <f>IF($A97="","",IF(COUNTIFS(請求記録!$B$6:$B$3005,$A97,請求記録!$Z$6:$Z$3005,F$5,請求記録!$AF$6:$AF$3005,"保留中")&gt;0,"保留",IF(COUNTIFS(請求記録!$B$6:$B$3005,$A97,請求記録!$Z$6:$Z$3005,F$5)=0,"",SUMIFS(請求記録!$AE$6:$AE$3005,請求記録!$B$6:$B$3005,$A97,請求記録!$Z$6:$Z$3005,F$5))))</f>
        <v/>
      </c>
      <c r="G97" s="19">
        <f>IF($A97="","",IF(COUNTIFS(請求記録!$B$6:$B$3005,$A97,請求記録!$Z$6:$Z$3005,G$5,請求記録!$AF$6:$AF$3005,"保留中")&gt;0,"保留",IF(COUNTIFS(請求記録!$B$6:$B$3005,$A97,請求記録!$Z$6:$Z$3005,G$5)=0,"",SUMIFS(請求記録!$AE$6:$AE$3005,請求記録!$B$6:$B$3005,$A97,請求記録!$Z$6:$Z$3005,G$5))))</f>
        <v/>
      </c>
      <c r="H97" s="19">
        <f>IF($A97="","",IF(COUNTIFS(請求記録!$B$6:$B$3005,$A97,請求記録!$Z$6:$Z$3005,H$5,請求記録!$AF$6:$AF$3005,"保留中")&gt;0,"保留",IF(COUNTIFS(請求記録!$B$6:$B$3005,$A97,請求記録!$Z$6:$Z$3005,H$5)=0,"",SUMIFS(請求記録!$AE$6:$AE$3005,請求記録!$B$6:$B$3005,$A97,請求記録!$Z$6:$Z$3005,H$5))))</f>
        <v/>
      </c>
      <c r="I97" s="19">
        <f>IF($A97="","",IF(COUNTIFS(請求記録!$B$6:$B$3005,$A97,請求記録!$Z$6:$Z$3005,I$5,請求記録!$AF$6:$AF$3005,"保留中")&gt;0,"保留",IF(COUNTIFS(請求記録!$B$6:$B$3005,$A97,請求記録!$Z$6:$Z$3005,I$5)=0,"",SUMIFS(請求記録!$AE$6:$AE$3005,請求記録!$B$6:$B$3005,$A97,請求記録!$Z$6:$Z$3005,I$5))))</f>
        <v/>
      </c>
      <c r="J97" s="19">
        <f>IF($A97="","",IF(COUNTIFS(請求記録!$B$6:$B$3005,$A97,請求記録!$Z$6:$Z$3005,J$5,請求記録!$AF$6:$AF$3005,"保留中")&gt;0,"保留",IF(COUNTIFS(請求記録!$B$6:$B$3005,$A97,請求記録!$Z$6:$Z$3005,J$5)=0,"",SUMIFS(請求記録!$AE$6:$AE$3005,請求記録!$B$6:$B$3005,$A97,請求記録!$Z$6:$Z$3005,J$5))))</f>
        <v/>
      </c>
      <c r="K97" s="19">
        <f>IF($A97="","",IF(COUNTIFS(請求記録!$B$6:$B$3005,$A97,請求記録!$Z$6:$Z$3005,K$5,請求記録!$AF$6:$AF$3005,"保留中")&gt;0,"保留",IF(COUNTIFS(請求記録!$B$6:$B$3005,$A97,請求記録!$Z$6:$Z$3005,K$5)=0,"",SUMIFS(請求記録!$AE$6:$AE$3005,請求記録!$B$6:$B$3005,$A97,請求記録!$Z$6:$Z$3005,K$5))))</f>
        <v/>
      </c>
      <c r="L97" s="19">
        <f>IF($A97="","",IF(COUNTIFS(請求記録!$B$6:$B$3005,$A97,請求記録!$Z$6:$Z$3005,L$5,請求記録!$AF$6:$AF$3005,"保留中")&gt;0,"保留",IF(COUNTIFS(請求記録!$B$6:$B$3005,$A97,請求記録!$Z$6:$Z$3005,L$5)=0,"",SUMIFS(請求記録!$AE$6:$AE$3005,請求記録!$B$6:$B$3005,$A97,請求記録!$Z$6:$Z$3005,L$5))))</f>
        <v/>
      </c>
      <c r="M97" s="19">
        <f>IF($A97="","",IF(COUNTIFS(請求記録!$B$6:$B$3005,$A97,請求記録!$Z$6:$Z$3005,M$5,請求記録!$AF$6:$AF$3005,"保留中")&gt;0,"保留",IF(COUNTIFS(請求記録!$B$6:$B$3005,$A97,請求記録!$Z$6:$Z$3005,M$5)=0,"",SUMIFS(請求記録!$AE$6:$AE$3005,請求記録!$B$6:$B$3005,$A97,請求記録!$Z$6:$Z$3005,M$5))))</f>
        <v/>
      </c>
      <c r="N97" s="19">
        <f>IF($A97="","",IF(COUNTIFS(請求記録!$B$6:$B$3005,$A97,請求記録!$Z$6:$Z$3005,N$5,請求記録!$AF$6:$AF$3005,"保留中")&gt;0,"保留",IF(COUNTIFS(請求記録!$B$6:$B$3005,$A97,請求記録!$Z$6:$Z$3005,N$5)=0,"",SUMIFS(請求記録!$AE$6:$AE$3005,請求記録!$B$6:$B$3005,$A97,請求記録!$Z$6:$Z$3005,N$5))))</f>
        <v/>
      </c>
      <c r="O97" s="19">
        <f>IF($A97="","",IF(COUNTIFS(請求記録!$B$6:$B$3005,$A97,請求記録!$Z$6:$Z$3005,O$5,請求記録!$AF$6:$AF$3005,"保留中")&gt;0,"保留",IF(COUNTIFS(請求記録!$B$6:$B$3005,$A97,請求記録!$Z$6:$Z$3005,O$5)=0,"",SUMIFS(請求記録!$AE$6:$AE$3005,請求記録!$B$6:$B$3005,$A97,請求記録!$Z$6:$Z$3005,O$5))))</f>
        <v/>
      </c>
      <c r="P97" s="19">
        <f>IF($A97="","",IF(COUNTIFS(請求記録!$B$6:$B$3005,$A97,請求記録!$Z$6:$Z$3005,P$5,請求記録!$AF$6:$AF$3005,"保留中")&gt;0,"保留",IF(COUNTIFS(請求記録!$B$6:$B$3005,$A97,請求記録!$Z$6:$Z$3005,P$5)=0,"",SUMIFS(請求記録!$AE$6:$AE$3005,請求記録!$B$6:$B$3005,$A97,請求記録!$Z$6:$Z$3005,P$5))))</f>
        <v/>
      </c>
      <c r="Q97" s="19">
        <f>IF($A97="","",IF(COUNTIFS(請求記録!$B$6:$B$3005,$A97,請求記録!$Z$6:$Z$3005,Q$5,請求記録!$AF$6:$AF$3005,"保留中")&gt;0,"保留",IF(COUNTIFS(請求記録!$B$6:$B$3005,$A97,請求記録!$Z$6:$Z$3005,Q$5)=0,"",SUMIFS(請求記録!$AE$6:$AE$3005,請求記録!$B$6:$B$3005,$A97,請求記録!$Z$6:$Z$3005,Q$5))))</f>
        <v/>
      </c>
      <c r="R97" s="19">
        <f>IF($A97="","",IF(COUNTIFS(請求記録!$B$6:$B$3005,$A97,請求記録!$Z$6:$Z$3005,R$5,請求記録!$AF$6:$AF$3005,"保留中")&gt;0,"保留",IF(COUNTIFS(請求記録!$B$6:$B$3005,$A97,請求記録!$Z$6:$Z$3005,R$5)=0,"",SUMIFS(請求記録!$AE$6:$AE$3005,請求記録!$B$6:$B$3005,$A97,請求記録!$Z$6:$Z$3005,R$5))))</f>
        <v/>
      </c>
      <c r="S97" s="19">
        <f>IF($A97="","",IF(COUNTIFS(請求記録!$B$6:$B$3005,$A97,請求記録!$Z$6:$Z$3005,S$5,請求記録!$AF$6:$AF$3005,"保留中")&gt;0,"保留",IF(COUNTIFS(請求記録!$B$6:$B$3005,$A97,請求記録!$Z$6:$Z$3005,S$5)=0,"",SUMIFS(請求記録!$AE$6:$AE$3005,請求記録!$B$6:$B$3005,$A97,請求記録!$Z$6:$Z$3005,S$5))))</f>
        <v/>
      </c>
      <c r="T97" s="19">
        <f>IF($A97="","",IF(COUNTIFS(請求記録!$B$6:$B$3005,$A97,請求記録!$Z$6:$Z$3005,T$5,請求記録!$AF$6:$AF$3005,"保留中")&gt;0,"保留",IF(COUNTIFS(請求記録!$B$6:$B$3005,$A97,請求記録!$Z$6:$Z$3005,T$5)=0,"",SUMIFS(請求記録!$AE$6:$AE$3005,請求記録!$B$6:$B$3005,$A97,請求記録!$Z$6:$Z$3005,T$5))))</f>
        <v/>
      </c>
      <c r="U97" s="19">
        <f>IF($A97="","",IF(COUNTIFS(請求記録!$B$6:$B$3005,$A97,請求記録!$Z$6:$Z$3005,U$5,請求記録!$AF$6:$AF$3005,"保留中")&gt;0,"保留",IF(COUNTIFS(請求記録!$B$6:$B$3005,$A97,請求記録!$Z$6:$Z$3005,U$5)=0,"",SUMIFS(請求記録!$AE$6:$AE$3005,請求記録!$B$6:$B$3005,$A97,請求記録!$Z$6:$Z$3005,U$5))))</f>
        <v/>
      </c>
      <c r="V97" s="19">
        <f>IF($A97="","",IF(COUNTIFS(請求記録!$B$6:$B$3005,$A97,請求記録!$Z$6:$Z$3005,V$5,請求記録!$AF$6:$AF$3005,"保留中")&gt;0,"保留",IF(COUNTIFS(請求記録!$B$6:$B$3005,$A97,請求記録!$Z$6:$Z$3005,V$5)=0,"",SUMIFS(請求記録!$AE$6:$AE$3005,請求記録!$B$6:$B$3005,$A97,請求記録!$Z$6:$Z$3005,V$5))))</f>
        <v/>
      </c>
      <c r="W97" s="19">
        <f>IF($A97="","",IF(COUNTIFS(請求記録!$B$6:$B$3005,$A97,請求記録!$Z$6:$Z$3005,W$5,請求記録!$AF$6:$AF$3005,"保留中")&gt;0,"保留",IF(COUNTIFS(請求記録!$B$6:$B$3005,$A97,請求記録!$Z$6:$Z$3005,W$5)=0,"",SUMIFS(請求記録!$AE$6:$AE$3005,請求記録!$B$6:$B$3005,$A97,請求記録!$Z$6:$Z$3005,W$5))))</f>
        <v/>
      </c>
      <c r="X97" s="19">
        <f>IF($A97="","",IF(COUNTIFS(請求記録!$B$6:$B$3005,$A97,請求記録!$Z$6:$Z$3005,X$5,請求記録!$AF$6:$AF$3005,"保留中")&gt;0,"保留",IF(COUNTIFS(請求記録!$B$6:$B$3005,$A97,請求記録!$Z$6:$Z$3005,X$5)=0,"",SUMIFS(請求記録!$AE$6:$AE$3005,請求記録!$B$6:$B$3005,$A97,請求記録!$Z$6:$Z$3005,X$5))))</f>
        <v/>
      </c>
      <c r="Y97" s="19">
        <f>IF($A97="","",IF(COUNTIFS(請求記録!$B$6:$B$3005,$A97,請求記録!$Z$6:$Z$3005,Y$5,請求記録!$AF$6:$AF$3005,"保留中")&gt;0,"保留",IF(COUNTIFS(請求記録!$B$6:$B$3005,$A97,請求記録!$Z$6:$Z$3005,Y$5)=0,"",SUMIFS(請求記録!$AE$6:$AE$3005,請求記録!$B$6:$B$3005,$A97,請求記録!$Z$6:$Z$3005,Y$5))))</f>
        <v/>
      </c>
      <c r="Z97" s="19">
        <f>IF($A97="","",IF(COUNTIFS(請求記録!$B$6:$B$3005,$A97,請求記録!$Z$6:$Z$3005,Z$5,請求記録!$AF$6:$AF$3005,"保留中")&gt;0,"保留",IF(COUNTIFS(請求記録!$B$6:$B$3005,$A97,請求記録!$Z$6:$Z$3005,Z$5)=0,"",SUMIFS(請求記録!$AE$6:$AE$3005,請求記録!$B$6:$B$3005,$A97,請求記録!$Z$6:$Z$3005,Z$5))))</f>
        <v/>
      </c>
      <c r="AA97" s="19">
        <f>IF($A97="","",IF(COUNTIFS(請求記録!$B$6:$B$3005,$A97,請求記録!$Z$6:$Z$3005,AA$5,請求記録!$AF$6:$AF$3005,"保留中")&gt;0,"保留",IF(COUNTIFS(請求記録!$B$6:$B$3005,$A97,請求記録!$Z$6:$Z$3005,AA$5)=0,"",SUMIFS(請求記録!$AE$6:$AE$3005,請求記録!$B$6:$B$3005,$A97,請求記録!$Z$6:$Z$3005,AA$5))))</f>
        <v/>
      </c>
      <c r="AB97">
        <f>IF(職員マスタ!P97="保留中",職員マスタ!M97,"")</f>
        <v/>
      </c>
    </row>
    <row r="98">
      <c r="A98">
        <f>IF(職員マスタ!A98="","",職員マスタ!A98)</f>
        <v/>
      </c>
      <c r="B98">
        <f>IF($A98="","",職員マスタ!B98)</f>
        <v/>
      </c>
      <c r="C98">
        <f>IF($A98="","",職員マスタ!C98)</f>
        <v/>
      </c>
      <c r="D98" s="19">
        <f>IF($A98="","",IF(COUNTIFS(請求記録!$B$6:$B$3005,$A98,請求記録!$Z$6:$Z$3005,D$5,請求記録!$AF$6:$AF$3005,"保留中")&gt;0,"保留",IF(COUNTIFS(請求記録!$B$6:$B$3005,$A98,請求記録!$Z$6:$Z$3005,D$5)=0,"",SUMIFS(請求記録!$AE$6:$AE$3005,請求記録!$B$6:$B$3005,$A98,請求記録!$Z$6:$Z$3005,D$5))))</f>
        <v/>
      </c>
      <c r="E98" s="19">
        <f>IF($A98="","",IF(COUNTIFS(請求記録!$B$6:$B$3005,$A98,請求記録!$Z$6:$Z$3005,E$5,請求記録!$AF$6:$AF$3005,"保留中")&gt;0,"保留",IF(COUNTIFS(請求記録!$B$6:$B$3005,$A98,請求記録!$Z$6:$Z$3005,E$5)=0,"",SUMIFS(請求記録!$AE$6:$AE$3005,請求記録!$B$6:$B$3005,$A98,請求記録!$Z$6:$Z$3005,E$5))))</f>
        <v/>
      </c>
      <c r="F98" s="19">
        <f>IF($A98="","",IF(COUNTIFS(請求記録!$B$6:$B$3005,$A98,請求記録!$Z$6:$Z$3005,F$5,請求記録!$AF$6:$AF$3005,"保留中")&gt;0,"保留",IF(COUNTIFS(請求記録!$B$6:$B$3005,$A98,請求記録!$Z$6:$Z$3005,F$5)=0,"",SUMIFS(請求記録!$AE$6:$AE$3005,請求記録!$B$6:$B$3005,$A98,請求記録!$Z$6:$Z$3005,F$5))))</f>
        <v/>
      </c>
      <c r="G98" s="19">
        <f>IF($A98="","",IF(COUNTIFS(請求記録!$B$6:$B$3005,$A98,請求記録!$Z$6:$Z$3005,G$5,請求記録!$AF$6:$AF$3005,"保留中")&gt;0,"保留",IF(COUNTIFS(請求記録!$B$6:$B$3005,$A98,請求記録!$Z$6:$Z$3005,G$5)=0,"",SUMIFS(請求記録!$AE$6:$AE$3005,請求記録!$B$6:$B$3005,$A98,請求記録!$Z$6:$Z$3005,G$5))))</f>
        <v/>
      </c>
      <c r="H98" s="19">
        <f>IF($A98="","",IF(COUNTIFS(請求記録!$B$6:$B$3005,$A98,請求記録!$Z$6:$Z$3005,H$5,請求記録!$AF$6:$AF$3005,"保留中")&gt;0,"保留",IF(COUNTIFS(請求記録!$B$6:$B$3005,$A98,請求記録!$Z$6:$Z$3005,H$5)=0,"",SUMIFS(請求記録!$AE$6:$AE$3005,請求記録!$B$6:$B$3005,$A98,請求記録!$Z$6:$Z$3005,H$5))))</f>
        <v/>
      </c>
      <c r="I98" s="19">
        <f>IF($A98="","",IF(COUNTIFS(請求記録!$B$6:$B$3005,$A98,請求記録!$Z$6:$Z$3005,I$5,請求記録!$AF$6:$AF$3005,"保留中")&gt;0,"保留",IF(COUNTIFS(請求記録!$B$6:$B$3005,$A98,請求記録!$Z$6:$Z$3005,I$5)=0,"",SUMIFS(請求記録!$AE$6:$AE$3005,請求記録!$B$6:$B$3005,$A98,請求記録!$Z$6:$Z$3005,I$5))))</f>
        <v/>
      </c>
      <c r="J98" s="19">
        <f>IF($A98="","",IF(COUNTIFS(請求記録!$B$6:$B$3005,$A98,請求記録!$Z$6:$Z$3005,J$5,請求記録!$AF$6:$AF$3005,"保留中")&gt;0,"保留",IF(COUNTIFS(請求記録!$B$6:$B$3005,$A98,請求記録!$Z$6:$Z$3005,J$5)=0,"",SUMIFS(請求記録!$AE$6:$AE$3005,請求記録!$B$6:$B$3005,$A98,請求記録!$Z$6:$Z$3005,J$5))))</f>
        <v/>
      </c>
      <c r="K98" s="19">
        <f>IF($A98="","",IF(COUNTIFS(請求記録!$B$6:$B$3005,$A98,請求記録!$Z$6:$Z$3005,K$5,請求記録!$AF$6:$AF$3005,"保留中")&gt;0,"保留",IF(COUNTIFS(請求記録!$B$6:$B$3005,$A98,請求記録!$Z$6:$Z$3005,K$5)=0,"",SUMIFS(請求記録!$AE$6:$AE$3005,請求記録!$B$6:$B$3005,$A98,請求記録!$Z$6:$Z$3005,K$5))))</f>
        <v/>
      </c>
      <c r="L98" s="19">
        <f>IF($A98="","",IF(COUNTIFS(請求記録!$B$6:$B$3005,$A98,請求記録!$Z$6:$Z$3005,L$5,請求記録!$AF$6:$AF$3005,"保留中")&gt;0,"保留",IF(COUNTIFS(請求記録!$B$6:$B$3005,$A98,請求記録!$Z$6:$Z$3005,L$5)=0,"",SUMIFS(請求記録!$AE$6:$AE$3005,請求記録!$B$6:$B$3005,$A98,請求記録!$Z$6:$Z$3005,L$5))))</f>
        <v/>
      </c>
      <c r="M98" s="19">
        <f>IF($A98="","",IF(COUNTIFS(請求記録!$B$6:$B$3005,$A98,請求記録!$Z$6:$Z$3005,M$5,請求記録!$AF$6:$AF$3005,"保留中")&gt;0,"保留",IF(COUNTIFS(請求記録!$B$6:$B$3005,$A98,請求記録!$Z$6:$Z$3005,M$5)=0,"",SUMIFS(請求記録!$AE$6:$AE$3005,請求記録!$B$6:$B$3005,$A98,請求記録!$Z$6:$Z$3005,M$5))))</f>
        <v/>
      </c>
      <c r="N98" s="19">
        <f>IF($A98="","",IF(COUNTIFS(請求記録!$B$6:$B$3005,$A98,請求記録!$Z$6:$Z$3005,N$5,請求記録!$AF$6:$AF$3005,"保留中")&gt;0,"保留",IF(COUNTIFS(請求記録!$B$6:$B$3005,$A98,請求記録!$Z$6:$Z$3005,N$5)=0,"",SUMIFS(請求記録!$AE$6:$AE$3005,請求記録!$B$6:$B$3005,$A98,請求記録!$Z$6:$Z$3005,N$5))))</f>
        <v/>
      </c>
      <c r="O98" s="19">
        <f>IF($A98="","",IF(COUNTIFS(請求記録!$B$6:$B$3005,$A98,請求記録!$Z$6:$Z$3005,O$5,請求記録!$AF$6:$AF$3005,"保留中")&gt;0,"保留",IF(COUNTIFS(請求記録!$B$6:$B$3005,$A98,請求記録!$Z$6:$Z$3005,O$5)=0,"",SUMIFS(請求記録!$AE$6:$AE$3005,請求記録!$B$6:$B$3005,$A98,請求記録!$Z$6:$Z$3005,O$5))))</f>
        <v/>
      </c>
      <c r="P98" s="19">
        <f>IF($A98="","",IF(COUNTIFS(請求記録!$B$6:$B$3005,$A98,請求記録!$Z$6:$Z$3005,P$5,請求記録!$AF$6:$AF$3005,"保留中")&gt;0,"保留",IF(COUNTIFS(請求記録!$B$6:$B$3005,$A98,請求記録!$Z$6:$Z$3005,P$5)=0,"",SUMIFS(請求記録!$AE$6:$AE$3005,請求記録!$B$6:$B$3005,$A98,請求記録!$Z$6:$Z$3005,P$5))))</f>
        <v/>
      </c>
      <c r="Q98" s="19">
        <f>IF($A98="","",IF(COUNTIFS(請求記録!$B$6:$B$3005,$A98,請求記録!$Z$6:$Z$3005,Q$5,請求記録!$AF$6:$AF$3005,"保留中")&gt;0,"保留",IF(COUNTIFS(請求記録!$B$6:$B$3005,$A98,請求記録!$Z$6:$Z$3005,Q$5)=0,"",SUMIFS(請求記録!$AE$6:$AE$3005,請求記録!$B$6:$B$3005,$A98,請求記録!$Z$6:$Z$3005,Q$5))))</f>
        <v/>
      </c>
      <c r="R98" s="19">
        <f>IF($A98="","",IF(COUNTIFS(請求記録!$B$6:$B$3005,$A98,請求記録!$Z$6:$Z$3005,R$5,請求記録!$AF$6:$AF$3005,"保留中")&gt;0,"保留",IF(COUNTIFS(請求記録!$B$6:$B$3005,$A98,請求記録!$Z$6:$Z$3005,R$5)=0,"",SUMIFS(請求記録!$AE$6:$AE$3005,請求記録!$B$6:$B$3005,$A98,請求記録!$Z$6:$Z$3005,R$5))))</f>
        <v/>
      </c>
      <c r="S98" s="19">
        <f>IF($A98="","",IF(COUNTIFS(請求記録!$B$6:$B$3005,$A98,請求記録!$Z$6:$Z$3005,S$5,請求記録!$AF$6:$AF$3005,"保留中")&gt;0,"保留",IF(COUNTIFS(請求記録!$B$6:$B$3005,$A98,請求記録!$Z$6:$Z$3005,S$5)=0,"",SUMIFS(請求記録!$AE$6:$AE$3005,請求記録!$B$6:$B$3005,$A98,請求記録!$Z$6:$Z$3005,S$5))))</f>
        <v/>
      </c>
      <c r="T98" s="19">
        <f>IF($A98="","",IF(COUNTIFS(請求記録!$B$6:$B$3005,$A98,請求記録!$Z$6:$Z$3005,T$5,請求記録!$AF$6:$AF$3005,"保留中")&gt;0,"保留",IF(COUNTIFS(請求記録!$B$6:$B$3005,$A98,請求記録!$Z$6:$Z$3005,T$5)=0,"",SUMIFS(請求記録!$AE$6:$AE$3005,請求記録!$B$6:$B$3005,$A98,請求記録!$Z$6:$Z$3005,T$5))))</f>
        <v/>
      </c>
      <c r="U98" s="19">
        <f>IF($A98="","",IF(COUNTIFS(請求記録!$B$6:$B$3005,$A98,請求記録!$Z$6:$Z$3005,U$5,請求記録!$AF$6:$AF$3005,"保留中")&gt;0,"保留",IF(COUNTIFS(請求記録!$B$6:$B$3005,$A98,請求記録!$Z$6:$Z$3005,U$5)=0,"",SUMIFS(請求記録!$AE$6:$AE$3005,請求記録!$B$6:$B$3005,$A98,請求記録!$Z$6:$Z$3005,U$5))))</f>
        <v/>
      </c>
      <c r="V98" s="19">
        <f>IF($A98="","",IF(COUNTIFS(請求記録!$B$6:$B$3005,$A98,請求記録!$Z$6:$Z$3005,V$5,請求記録!$AF$6:$AF$3005,"保留中")&gt;0,"保留",IF(COUNTIFS(請求記録!$B$6:$B$3005,$A98,請求記録!$Z$6:$Z$3005,V$5)=0,"",SUMIFS(請求記録!$AE$6:$AE$3005,請求記録!$B$6:$B$3005,$A98,請求記録!$Z$6:$Z$3005,V$5))))</f>
        <v/>
      </c>
      <c r="W98" s="19">
        <f>IF($A98="","",IF(COUNTIFS(請求記録!$B$6:$B$3005,$A98,請求記録!$Z$6:$Z$3005,W$5,請求記録!$AF$6:$AF$3005,"保留中")&gt;0,"保留",IF(COUNTIFS(請求記録!$B$6:$B$3005,$A98,請求記録!$Z$6:$Z$3005,W$5)=0,"",SUMIFS(請求記録!$AE$6:$AE$3005,請求記録!$B$6:$B$3005,$A98,請求記録!$Z$6:$Z$3005,W$5))))</f>
        <v/>
      </c>
      <c r="X98" s="19">
        <f>IF($A98="","",IF(COUNTIFS(請求記録!$B$6:$B$3005,$A98,請求記録!$Z$6:$Z$3005,X$5,請求記録!$AF$6:$AF$3005,"保留中")&gt;0,"保留",IF(COUNTIFS(請求記録!$B$6:$B$3005,$A98,請求記録!$Z$6:$Z$3005,X$5)=0,"",SUMIFS(請求記録!$AE$6:$AE$3005,請求記録!$B$6:$B$3005,$A98,請求記録!$Z$6:$Z$3005,X$5))))</f>
        <v/>
      </c>
      <c r="Y98" s="19">
        <f>IF($A98="","",IF(COUNTIFS(請求記録!$B$6:$B$3005,$A98,請求記録!$Z$6:$Z$3005,Y$5,請求記録!$AF$6:$AF$3005,"保留中")&gt;0,"保留",IF(COUNTIFS(請求記録!$B$6:$B$3005,$A98,請求記録!$Z$6:$Z$3005,Y$5)=0,"",SUMIFS(請求記録!$AE$6:$AE$3005,請求記録!$B$6:$B$3005,$A98,請求記録!$Z$6:$Z$3005,Y$5))))</f>
        <v/>
      </c>
      <c r="Z98" s="19">
        <f>IF($A98="","",IF(COUNTIFS(請求記録!$B$6:$B$3005,$A98,請求記録!$Z$6:$Z$3005,Z$5,請求記録!$AF$6:$AF$3005,"保留中")&gt;0,"保留",IF(COUNTIFS(請求記録!$B$6:$B$3005,$A98,請求記録!$Z$6:$Z$3005,Z$5)=0,"",SUMIFS(請求記録!$AE$6:$AE$3005,請求記録!$B$6:$B$3005,$A98,請求記録!$Z$6:$Z$3005,Z$5))))</f>
        <v/>
      </c>
      <c r="AA98" s="19">
        <f>IF($A98="","",IF(COUNTIFS(請求記録!$B$6:$B$3005,$A98,請求記録!$Z$6:$Z$3005,AA$5,請求記録!$AF$6:$AF$3005,"保留中")&gt;0,"保留",IF(COUNTIFS(請求記録!$B$6:$B$3005,$A98,請求記録!$Z$6:$Z$3005,AA$5)=0,"",SUMIFS(請求記録!$AE$6:$AE$3005,請求記録!$B$6:$B$3005,$A98,請求記録!$Z$6:$Z$3005,AA$5))))</f>
        <v/>
      </c>
      <c r="AB98">
        <f>IF(職員マスタ!P98="保留中",職員マスタ!M98,"")</f>
        <v/>
      </c>
    </row>
    <row r="99">
      <c r="A99">
        <f>IF(職員マスタ!A99="","",職員マスタ!A99)</f>
        <v/>
      </c>
      <c r="B99">
        <f>IF($A99="","",職員マスタ!B99)</f>
        <v/>
      </c>
      <c r="C99">
        <f>IF($A99="","",職員マスタ!C99)</f>
        <v/>
      </c>
      <c r="D99" s="19">
        <f>IF($A99="","",IF(COUNTIFS(請求記録!$B$6:$B$3005,$A99,請求記録!$Z$6:$Z$3005,D$5,請求記録!$AF$6:$AF$3005,"保留中")&gt;0,"保留",IF(COUNTIFS(請求記録!$B$6:$B$3005,$A99,請求記録!$Z$6:$Z$3005,D$5)=0,"",SUMIFS(請求記録!$AE$6:$AE$3005,請求記録!$B$6:$B$3005,$A99,請求記録!$Z$6:$Z$3005,D$5))))</f>
        <v/>
      </c>
      <c r="E99" s="19">
        <f>IF($A99="","",IF(COUNTIFS(請求記録!$B$6:$B$3005,$A99,請求記録!$Z$6:$Z$3005,E$5,請求記録!$AF$6:$AF$3005,"保留中")&gt;0,"保留",IF(COUNTIFS(請求記録!$B$6:$B$3005,$A99,請求記録!$Z$6:$Z$3005,E$5)=0,"",SUMIFS(請求記録!$AE$6:$AE$3005,請求記録!$B$6:$B$3005,$A99,請求記録!$Z$6:$Z$3005,E$5))))</f>
        <v/>
      </c>
      <c r="F99" s="19">
        <f>IF($A99="","",IF(COUNTIFS(請求記録!$B$6:$B$3005,$A99,請求記録!$Z$6:$Z$3005,F$5,請求記録!$AF$6:$AF$3005,"保留中")&gt;0,"保留",IF(COUNTIFS(請求記録!$B$6:$B$3005,$A99,請求記録!$Z$6:$Z$3005,F$5)=0,"",SUMIFS(請求記録!$AE$6:$AE$3005,請求記録!$B$6:$B$3005,$A99,請求記録!$Z$6:$Z$3005,F$5))))</f>
        <v/>
      </c>
      <c r="G99" s="19">
        <f>IF($A99="","",IF(COUNTIFS(請求記録!$B$6:$B$3005,$A99,請求記録!$Z$6:$Z$3005,G$5,請求記録!$AF$6:$AF$3005,"保留中")&gt;0,"保留",IF(COUNTIFS(請求記録!$B$6:$B$3005,$A99,請求記録!$Z$6:$Z$3005,G$5)=0,"",SUMIFS(請求記録!$AE$6:$AE$3005,請求記録!$B$6:$B$3005,$A99,請求記録!$Z$6:$Z$3005,G$5))))</f>
        <v/>
      </c>
      <c r="H99" s="19">
        <f>IF($A99="","",IF(COUNTIFS(請求記録!$B$6:$B$3005,$A99,請求記録!$Z$6:$Z$3005,H$5,請求記録!$AF$6:$AF$3005,"保留中")&gt;0,"保留",IF(COUNTIFS(請求記録!$B$6:$B$3005,$A99,請求記録!$Z$6:$Z$3005,H$5)=0,"",SUMIFS(請求記録!$AE$6:$AE$3005,請求記録!$B$6:$B$3005,$A99,請求記録!$Z$6:$Z$3005,H$5))))</f>
        <v/>
      </c>
      <c r="I99" s="19">
        <f>IF($A99="","",IF(COUNTIFS(請求記録!$B$6:$B$3005,$A99,請求記録!$Z$6:$Z$3005,I$5,請求記録!$AF$6:$AF$3005,"保留中")&gt;0,"保留",IF(COUNTIFS(請求記録!$B$6:$B$3005,$A99,請求記録!$Z$6:$Z$3005,I$5)=0,"",SUMIFS(請求記録!$AE$6:$AE$3005,請求記録!$B$6:$B$3005,$A99,請求記録!$Z$6:$Z$3005,I$5))))</f>
        <v/>
      </c>
      <c r="J99" s="19">
        <f>IF($A99="","",IF(COUNTIFS(請求記録!$B$6:$B$3005,$A99,請求記録!$Z$6:$Z$3005,J$5,請求記録!$AF$6:$AF$3005,"保留中")&gt;0,"保留",IF(COUNTIFS(請求記録!$B$6:$B$3005,$A99,請求記録!$Z$6:$Z$3005,J$5)=0,"",SUMIFS(請求記録!$AE$6:$AE$3005,請求記録!$B$6:$B$3005,$A99,請求記録!$Z$6:$Z$3005,J$5))))</f>
        <v/>
      </c>
      <c r="K99" s="19">
        <f>IF($A99="","",IF(COUNTIFS(請求記録!$B$6:$B$3005,$A99,請求記録!$Z$6:$Z$3005,K$5,請求記録!$AF$6:$AF$3005,"保留中")&gt;0,"保留",IF(COUNTIFS(請求記録!$B$6:$B$3005,$A99,請求記録!$Z$6:$Z$3005,K$5)=0,"",SUMIFS(請求記録!$AE$6:$AE$3005,請求記録!$B$6:$B$3005,$A99,請求記録!$Z$6:$Z$3005,K$5))))</f>
        <v/>
      </c>
      <c r="L99" s="19">
        <f>IF($A99="","",IF(COUNTIFS(請求記録!$B$6:$B$3005,$A99,請求記録!$Z$6:$Z$3005,L$5,請求記録!$AF$6:$AF$3005,"保留中")&gt;0,"保留",IF(COUNTIFS(請求記録!$B$6:$B$3005,$A99,請求記録!$Z$6:$Z$3005,L$5)=0,"",SUMIFS(請求記録!$AE$6:$AE$3005,請求記録!$B$6:$B$3005,$A99,請求記録!$Z$6:$Z$3005,L$5))))</f>
        <v/>
      </c>
      <c r="M99" s="19">
        <f>IF($A99="","",IF(COUNTIFS(請求記録!$B$6:$B$3005,$A99,請求記録!$Z$6:$Z$3005,M$5,請求記録!$AF$6:$AF$3005,"保留中")&gt;0,"保留",IF(COUNTIFS(請求記録!$B$6:$B$3005,$A99,請求記録!$Z$6:$Z$3005,M$5)=0,"",SUMIFS(請求記録!$AE$6:$AE$3005,請求記録!$B$6:$B$3005,$A99,請求記録!$Z$6:$Z$3005,M$5))))</f>
        <v/>
      </c>
      <c r="N99" s="19">
        <f>IF($A99="","",IF(COUNTIFS(請求記録!$B$6:$B$3005,$A99,請求記録!$Z$6:$Z$3005,N$5,請求記録!$AF$6:$AF$3005,"保留中")&gt;0,"保留",IF(COUNTIFS(請求記録!$B$6:$B$3005,$A99,請求記録!$Z$6:$Z$3005,N$5)=0,"",SUMIFS(請求記録!$AE$6:$AE$3005,請求記録!$B$6:$B$3005,$A99,請求記録!$Z$6:$Z$3005,N$5))))</f>
        <v/>
      </c>
      <c r="O99" s="19">
        <f>IF($A99="","",IF(COUNTIFS(請求記録!$B$6:$B$3005,$A99,請求記録!$Z$6:$Z$3005,O$5,請求記録!$AF$6:$AF$3005,"保留中")&gt;0,"保留",IF(COUNTIFS(請求記録!$B$6:$B$3005,$A99,請求記録!$Z$6:$Z$3005,O$5)=0,"",SUMIFS(請求記録!$AE$6:$AE$3005,請求記録!$B$6:$B$3005,$A99,請求記録!$Z$6:$Z$3005,O$5))))</f>
        <v/>
      </c>
      <c r="P99" s="19">
        <f>IF($A99="","",IF(COUNTIFS(請求記録!$B$6:$B$3005,$A99,請求記録!$Z$6:$Z$3005,P$5,請求記録!$AF$6:$AF$3005,"保留中")&gt;0,"保留",IF(COUNTIFS(請求記録!$B$6:$B$3005,$A99,請求記録!$Z$6:$Z$3005,P$5)=0,"",SUMIFS(請求記録!$AE$6:$AE$3005,請求記録!$B$6:$B$3005,$A99,請求記録!$Z$6:$Z$3005,P$5))))</f>
        <v/>
      </c>
      <c r="Q99" s="19">
        <f>IF($A99="","",IF(COUNTIFS(請求記録!$B$6:$B$3005,$A99,請求記録!$Z$6:$Z$3005,Q$5,請求記録!$AF$6:$AF$3005,"保留中")&gt;0,"保留",IF(COUNTIFS(請求記録!$B$6:$B$3005,$A99,請求記録!$Z$6:$Z$3005,Q$5)=0,"",SUMIFS(請求記録!$AE$6:$AE$3005,請求記録!$B$6:$B$3005,$A99,請求記録!$Z$6:$Z$3005,Q$5))))</f>
        <v/>
      </c>
      <c r="R99" s="19">
        <f>IF($A99="","",IF(COUNTIFS(請求記録!$B$6:$B$3005,$A99,請求記録!$Z$6:$Z$3005,R$5,請求記録!$AF$6:$AF$3005,"保留中")&gt;0,"保留",IF(COUNTIFS(請求記録!$B$6:$B$3005,$A99,請求記録!$Z$6:$Z$3005,R$5)=0,"",SUMIFS(請求記録!$AE$6:$AE$3005,請求記録!$B$6:$B$3005,$A99,請求記録!$Z$6:$Z$3005,R$5))))</f>
        <v/>
      </c>
      <c r="S99" s="19">
        <f>IF($A99="","",IF(COUNTIFS(請求記録!$B$6:$B$3005,$A99,請求記録!$Z$6:$Z$3005,S$5,請求記録!$AF$6:$AF$3005,"保留中")&gt;0,"保留",IF(COUNTIFS(請求記録!$B$6:$B$3005,$A99,請求記録!$Z$6:$Z$3005,S$5)=0,"",SUMIFS(請求記録!$AE$6:$AE$3005,請求記録!$B$6:$B$3005,$A99,請求記録!$Z$6:$Z$3005,S$5))))</f>
        <v/>
      </c>
      <c r="T99" s="19">
        <f>IF($A99="","",IF(COUNTIFS(請求記録!$B$6:$B$3005,$A99,請求記録!$Z$6:$Z$3005,T$5,請求記録!$AF$6:$AF$3005,"保留中")&gt;0,"保留",IF(COUNTIFS(請求記録!$B$6:$B$3005,$A99,請求記録!$Z$6:$Z$3005,T$5)=0,"",SUMIFS(請求記録!$AE$6:$AE$3005,請求記録!$B$6:$B$3005,$A99,請求記録!$Z$6:$Z$3005,T$5))))</f>
        <v/>
      </c>
      <c r="U99" s="19">
        <f>IF($A99="","",IF(COUNTIFS(請求記録!$B$6:$B$3005,$A99,請求記録!$Z$6:$Z$3005,U$5,請求記録!$AF$6:$AF$3005,"保留中")&gt;0,"保留",IF(COUNTIFS(請求記録!$B$6:$B$3005,$A99,請求記録!$Z$6:$Z$3005,U$5)=0,"",SUMIFS(請求記録!$AE$6:$AE$3005,請求記録!$B$6:$B$3005,$A99,請求記録!$Z$6:$Z$3005,U$5))))</f>
        <v/>
      </c>
      <c r="V99" s="19">
        <f>IF($A99="","",IF(COUNTIFS(請求記録!$B$6:$B$3005,$A99,請求記録!$Z$6:$Z$3005,V$5,請求記録!$AF$6:$AF$3005,"保留中")&gt;0,"保留",IF(COUNTIFS(請求記録!$B$6:$B$3005,$A99,請求記録!$Z$6:$Z$3005,V$5)=0,"",SUMIFS(請求記録!$AE$6:$AE$3005,請求記録!$B$6:$B$3005,$A99,請求記録!$Z$6:$Z$3005,V$5))))</f>
        <v/>
      </c>
      <c r="W99" s="19">
        <f>IF($A99="","",IF(COUNTIFS(請求記録!$B$6:$B$3005,$A99,請求記録!$Z$6:$Z$3005,W$5,請求記録!$AF$6:$AF$3005,"保留中")&gt;0,"保留",IF(COUNTIFS(請求記録!$B$6:$B$3005,$A99,請求記録!$Z$6:$Z$3005,W$5)=0,"",SUMIFS(請求記録!$AE$6:$AE$3005,請求記録!$B$6:$B$3005,$A99,請求記録!$Z$6:$Z$3005,W$5))))</f>
        <v/>
      </c>
      <c r="X99" s="19">
        <f>IF($A99="","",IF(COUNTIFS(請求記録!$B$6:$B$3005,$A99,請求記録!$Z$6:$Z$3005,X$5,請求記録!$AF$6:$AF$3005,"保留中")&gt;0,"保留",IF(COUNTIFS(請求記録!$B$6:$B$3005,$A99,請求記録!$Z$6:$Z$3005,X$5)=0,"",SUMIFS(請求記録!$AE$6:$AE$3005,請求記録!$B$6:$B$3005,$A99,請求記録!$Z$6:$Z$3005,X$5))))</f>
        <v/>
      </c>
      <c r="Y99" s="19">
        <f>IF($A99="","",IF(COUNTIFS(請求記録!$B$6:$B$3005,$A99,請求記録!$Z$6:$Z$3005,Y$5,請求記録!$AF$6:$AF$3005,"保留中")&gt;0,"保留",IF(COUNTIFS(請求記録!$B$6:$B$3005,$A99,請求記録!$Z$6:$Z$3005,Y$5)=0,"",SUMIFS(請求記録!$AE$6:$AE$3005,請求記録!$B$6:$B$3005,$A99,請求記録!$Z$6:$Z$3005,Y$5))))</f>
        <v/>
      </c>
      <c r="Z99" s="19">
        <f>IF($A99="","",IF(COUNTIFS(請求記録!$B$6:$B$3005,$A99,請求記録!$Z$6:$Z$3005,Z$5,請求記録!$AF$6:$AF$3005,"保留中")&gt;0,"保留",IF(COUNTIFS(請求記録!$B$6:$B$3005,$A99,請求記録!$Z$6:$Z$3005,Z$5)=0,"",SUMIFS(請求記録!$AE$6:$AE$3005,請求記録!$B$6:$B$3005,$A99,請求記録!$Z$6:$Z$3005,Z$5))))</f>
        <v/>
      </c>
      <c r="AA99" s="19">
        <f>IF($A99="","",IF(COUNTIFS(請求記録!$B$6:$B$3005,$A99,請求記録!$Z$6:$Z$3005,AA$5,請求記録!$AF$6:$AF$3005,"保留中")&gt;0,"保留",IF(COUNTIFS(請求記録!$B$6:$B$3005,$A99,請求記録!$Z$6:$Z$3005,AA$5)=0,"",SUMIFS(請求記録!$AE$6:$AE$3005,請求記録!$B$6:$B$3005,$A99,請求記録!$Z$6:$Z$3005,AA$5))))</f>
        <v/>
      </c>
      <c r="AB99">
        <f>IF(職員マスタ!P99="保留中",職員マスタ!M99,"")</f>
        <v/>
      </c>
    </row>
    <row r="100">
      <c r="A100">
        <f>IF(職員マスタ!A100="","",職員マスタ!A100)</f>
        <v/>
      </c>
      <c r="B100">
        <f>IF($A100="","",職員マスタ!B100)</f>
        <v/>
      </c>
      <c r="C100">
        <f>IF($A100="","",職員マスタ!C100)</f>
        <v/>
      </c>
      <c r="D100" s="19">
        <f>IF($A100="","",IF(COUNTIFS(請求記録!$B$6:$B$3005,$A100,請求記録!$Z$6:$Z$3005,D$5,請求記録!$AF$6:$AF$3005,"保留中")&gt;0,"保留",IF(COUNTIFS(請求記録!$B$6:$B$3005,$A100,請求記録!$Z$6:$Z$3005,D$5)=0,"",SUMIFS(請求記録!$AE$6:$AE$3005,請求記録!$B$6:$B$3005,$A100,請求記録!$Z$6:$Z$3005,D$5))))</f>
        <v/>
      </c>
      <c r="E100" s="19">
        <f>IF($A100="","",IF(COUNTIFS(請求記録!$B$6:$B$3005,$A100,請求記録!$Z$6:$Z$3005,E$5,請求記録!$AF$6:$AF$3005,"保留中")&gt;0,"保留",IF(COUNTIFS(請求記録!$B$6:$B$3005,$A100,請求記録!$Z$6:$Z$3005,E$5)=0,"",SUMIFS(請求記録!$AE$6:$AE$3005,請求記録!$B$6:$B$3005,$A100,請求記録!$Z$6:$Z$3005,E$5))))</f>
        <v/>
      </c>
      <c r="F100" s="19">
        <f>IF($A100="","",IF(COUNTIFS(請求記録!$B$6:$B$3005,$A100,請求記録!$Z$6:$Z$3005,F$5,請求記録!$AF$6:$AF$3005,"保留中")&gt;0,"保留",IF(COUNTIFS(請求記録!$B$6:$B$3005,$A100,請求記録!$Z$6:$Z$3005,F$5)=0,"",SUMIFS(請求記録!$AE$6:$AE$3005,請求記録!$B$6:$B$3005,$A100,請求記録!$Z$6:$Z$3005,F$5))))</f>
        <v/>
      </c>
      <c r="G100" s="19">
        <f>IF($A100="","",IF(COUNTIFS(請求記録!$B$6:$B$3005,$A100,請求記録!$Z$6:$Z$3005,G$5,請求記録!$AF$6:$AF$3005,"保留中")&gt;0,"保留",IF(COUNTIFS(請求記録!$B$6:$B$3005,$A100,請求記録!$Z$6:$Z$3005,G$5)=0,"",SUMIFS(請求記録!$AE$6:$AE$3005,請求記録!$B$6:$B$3005,$A100,請求記録!$Z$6:$Z$3005,G$5))))</f>
        <v/>
      </c>
      <c r="H100" s="19">
        <f>IF($A100="","",IF(COUNTIFS(請求記録!$B$6:$B$3005,$A100,請求記録!$Z$6:$Z$3005,H$5,請求記録!$AF$6:$AF$3005,"保留中")&gt;0,"保留",IF(COUNTIFS(請求記録!$B$6:$B$3005,$A100,請求記録!$Z$6:$Z$3005,H$5)=0,"",SUMIFS(請求記録!$AE$6:$AE$3005,請求記録!$B$6:$B$3005,$A100,請求記録!$Z$6:$Z$3005,H$5))))</f>
        <v/>
      </c>
      <c r="I100" s="19">
        <f>IF($A100="","",IF(COUNTIFS(請求記録!$B$6:$B$3005,$A100,請求記録!$Z$6:$Z$3005,I$5,請求記録!$AF$6:$AF$3005,"保留中")&gt;0,"保留",IF(COUNTIFS(請求記録!$B$6:$B$3005,$A100,請求記録!$Z$6:$Z$3005,I$5)=0,"",SUMIFS(請求記録!$AE$6:$AE$3005,請求記録!$B$6:$B$3005,$A100,請求記録!$Z$6:$Z$3005,I$5))))</f>
        <v/>
      </c>
      <c r="J100" s="19">
        <f>IF($A100="","",IF(COUNTIFS(請求記録!$B$6:$B$3005,$A100,請求記録!$Z$6:$Z$3005,J$5,請求記録!$AF$6:$AF$3005,"保留中")&gt;0,"保留",IF(COUNTIFS(請求記録!$B$6:$B$3005,$A100,請求記録!$Z$6:$Z$3005,J$5)=0,"",SUMIFS(請求記録!$AE$6:$AE$3005,請求記録!$B$6:$B$3005,$A100,請求記録!$Z$6:$Z$3005,J$5))))</f>
        <v/>
      </c>
      <c r="K100" s="19">
        <f>IF($A100="","",IF(COUNTIFS(請求記録!$B$6:$B$3005,$A100,請求記録!$Z$6:$Z$3005,K$5,請求記録!$AF$6:$AF$3005,"保留中")&gt;0,"保留",IF(COUNTIFS(請求記録!$B$6:$B$3005,$A100,請求記録!$Z$6:$Z$3005,K$5)=0,"",SUMIFS(請求記録!$AE$6:$AE$3005,請求記録!$B$6:$B$3005,$A100,請求記録!$Z$6:$Z$3005,K$5))))</f>
        <v/>
      </c>
      <c r="L100" s="19">
        <f>IF($A100="","",IF(COUNTIFS(請求記録!$B$6:$B$3005,$A100,請求記録!$Z$6:$Z$3005,L$5,請求記録!$AF$6:$AF$3005,"保留中")&gt;0,"保留",IF(COUNTIFS(請求記録!$B$6:$B$3005,$A100,請求記録!$Z$6:$Z$3005,L$5)=0,"",SUMIFS(請求記録!$AE$6:$AE$3005,請求記録!$B$6:$B$3005,$A100,請求記録!$Z$6:$Z$3005,L$5))))</f>
        <v/>
      </c>
      <c r="M100" s="19">
        <f>IF($A100="","",IF(COUNTIFS(請求記録!$B$6:$B$3005,$A100,請求記録!$Z$6:$Z$3005,M$5,請求記録!$AF$6:$AF$3005,"保留中")&gt;0,"保留",IF(COUNTIFS(請求記録!$B$6:$B$3005,$A100,請求記録!$Z$6:$Z$3005,M$5)=0,"",SUMIFS(請求記録!$AE$6:$AE$3005,請求記録!$B$6:$B$3005,$A100,請求記録!$Z$6:$Z$3005,M$5))))</f>
        <v/>
      </c>
      <c r="N100" s="19">
        <f>IF($A100="","",IF(COUNTIFS(請求記録!$B$6:$B$3005,$A100,請求記録!$Z$6:$Z$3005,N$5,請求記録!$AF$6:$AF$3005,"保留中")&gt;0,"保留",IF(COUNTIFS(請求記録!$B$6:$B$3005,$A100,請求記録!$Z$6:$Z$3005,N$5)=0,"",SUMIFS(請求記録!$AE$6:$AE$3005,請求記録!$B$6:$B$3005,$A100,請求記録!$Z$6:$Z$3005,N$5))))</f>
        <v/>
      </c>
      <c r="O100" s="19">
        <f>IF($A100="","",IF(COUNTIFS(請求記録!$B$6:$B$3005,$A100,請求記録!$Z$6:$Z$3005,O$5,請求記録!$AF$6:$AF$3005,"保留中")&gt;0,"保留",IF(COUNTIFS(請求記録!$B$6:$B$3005,$A100,請求記録!$Z$6:$Z$3005,O$5)=0,"",SUMIFS(請求記録!$AE$6:$AE$3005,請求記録!$B$6:$B$3005,$A100,請求記録!$Z$6:$Z$3005,O$5))))</f>
        <v/>
      </c>
      <c r="P100" s="19">
        <f>IF($A100="","",IF(COUNTIFS(請求記録!$B$6:$B$3005,$A100,請求記録!$Z$6:$Z$3005,P$5,請求記録!$AF$6:$AF$3005,"保留中")&gt;0,"保留",IF(COUNTIFS(請求記録!$B$6:$B$3005,$A100,請求記録!$Z$6:$Z$3005,P$5)=0,"",SUMIFS(請求記録!$AE$6:$AE$3005,請求記録!$B$6:$B$3005,$A100,請求記録!$Z$6:$Z$3005,P$5))))</f>
        <v/>
      </c>
      <c r="Q100" s="19">
        <f>IF($A100="","",IF(COUNTIFS(請求記録!$B$6:$B$3005,$A100,請求記録!$Z$6:$Z$3005,Q$5,請求記録!$AF$6:$AF$3005,"保留中")&gt;0,"保留",IF(COUNTIFS(請求記録!$B$6:$B$3005,$A100,請求記録!$Z$6:$Z$3005,Q$5)=0,"",SUMIFS(請求記録!$AE$6:$AE$3005,請求記録!$B$6:$B$3005,$A100,請求記録!$Z$6:$Z$3005,Q$5))))</f>
        <v/>
      </c>
      <c r="R100" s="19">
        <f>IF($A100="","",IF(COUNTIFS(請求記録!$B$6:$B$3005,$A100,請求記録!$Z$6:$Z$3005,R$5,請求記録!$AF$6:$AF$3005,"保留中")&gt;0,"保留",IF(COUNTIFS(請求記録!$B$6:$B$3005,$A100,請求記録!$Z$6:$Z$3005,R$5)=0,"",SUMIFS(請求記録!$AE$6:$AE$3005,請求記録!$B$6:$B$3005,$A100,請求記録!$Z$6:$Z$3005,R$5))))</f>
        <v/>
      </c>
      <c r="S100" s="19">
        <f>IF($A100="","",IF(COUNTIFS(請求記録!$B$6:$B$3005,$A100,請求記録!$Z$6:$Z$3005,S$5,請求記録!$AF$6:$AF$3005,"保留中")&gt;0,"保留",IF(COUNTIFS(請求記録!$B$6:$B$3005,$A100,請求記録!$Z$6:$Z$3005,S$5)=0,"",SUMIFS(請求記録!$AE$6:$AE$3005,請求記録!$B$6:$B$3005,$A100,請求記録!$Z$6:$Z$3005,S$5))))</f>
        <v/>
      </c>
      <c r="T100" s="19">
        <f>IF($A100="","",IF(COUNTIFS(請求記録!$B$6:$B$3005,$A100,請求記録!$Z$6:$Z$3005,T$5,請求記録!$AF$6:$AF$3005,"保留中")&gt;0,"保留",IF(COUNTIFS(請求記録!$B$6:$B$3005,$A100,請求記録!$Z$6:$Z$3005,T$5)=0,"",SUMIFS(請求記録!$AE$6:$AE$3005,請求記録!$B$6:$B$3005,$A100,請求記録!$Z$6:$Z$3005,T$5))))</f>
        <v/>
      </c>
      <c r="U100" s="19">
        <f>IF($A100="","",IF(COUNTIFS(請求記録!$B$6:$B$3005,$A100,請求記録!$Z$6:$Z$3005,U$5,請求記録!$AF$6:$AF$3005,"保留中")&gt;0,"保留",IF(COUNTIFS(請求記録!$B$6:$B$3005,$A100,請求記録!$Z$6:$Z$3005,U$5)=0,"",SUMIFS(請求記録!$AE$6:$AE$3005,請求記録!$B$6:$B$3005,$A100,請求記録!$Z$6:$Z$3005,U$5))))</f>
        <v/>
      </c>
      <c r="V100" s="19">
        <f>IF($A100="","",IF(COUNTIFS(請求記録!$B$6:$B$3005,$A100,請求記録!$Z$6:$Z$3005,V$5,請求記録!$AF$6:$AF$3005,"保留中")&gt;0,"保留",IF(COUNTIFS(請求記録!$B$6:$B$3005,$A100,請求記録!$Z$6:$Z$3005,V$5)=0,"",SUMIFS(請求記録!$AE$6:$AE$3005,請求記録!$B$6:$B$3005,$A100,請求記録!$Z$6:$Z$3005,V$5))))</f>
        <v/>
      </c>
      <c r="W100" s="19">
        <f>IF($A100="","",IF(COUNTIFS(請求記録!$B$6:$B$3005,$A100,請求記録!$Z$6:$Z$3005,W$5,請求記録!$AF$6:$AF$3005,"保留中")&gt;0,"保留",IF(COUNTIFS(請求記録!$B$6:$B$3005,$A100,請求記録!$Z$6:$Z$3005,W$5)=0,"",SUMIFS(請求記録!$AE$6:$AE$3005,請求記録!$B$6:$B$3005,$A100,請求記録!$Z$6:$Z$3005,W$5))))</f>
        <v/>
      </c>
      <c r="X100" s="19">
        <f>IF($A100="","",IF(COUNTIFS(請求記録!$B$6:$B$3005,$A100,請求記録!$Z$6:$Z$3005,X$5,請求記録!$AF$6:$AF$3005,"保留中")&gt;0,"保留",IF(COUNTIFS(請求記録!$B$6:$B$3005,$A100,請求記録!$Z$6:$Z$3005,X$5)=0,"",SUMIFS(請求記録!$AE$6:$AE$3005,請求記録!$B$6:$B$3005,$A100,請求記録!$Z$6:$Z$3005,X$5))))</f>
        <v/>
      </c>
      <c r="Y100" s="19">
        <f>IF($A100="","",IF(COUNTIFS(請求記録!$B$6:$B$3005,$A100,請求記録!$Z$6:$Z$3005,Y$5,請求記録!$AF$6:$AF$3005,"保留中")&gt;0,"保留",IF(COUNTIFS(請求記録!$B$6:$B$3005,$A100,請求記録!$Z$6:$Z$3005,Y$5)=0,"",SUMIFS(請求記録!$AE$6:$AE$3005,請求記録!$B$6:$B$3005,$A100,請求記録!$Z$6:$Z$3005,Y$5))))</f>
        <v/>
      </c>
      <c r="Z100" s="19">
        <f>IF($A100="","",IF(COUNTIFS(請求記録!$B$6:$B$3005,$A100,請求記録!$Z$6:$Z$3005,Z$5,請求記録!$AF$6:$AF$3005,"保留中")&gt;0,"保留",IF(COUNTIFS(請求記録!$B$6:$B$3005,$A100,請求記録!$Z$6:$Z$3005,Z$5)=0,"",SUMIFS(請求記録!$AE$6:$AE$3005,請求記録!$B$6:$B$3005,$A100,請求記録!$Z$6:$Z$3005,Z$5))))</f>
        <v/>
      </c>
      <c r="AA100" s="19">
        <f>IF($A100="","",IF(COUNTIFS(請求記録!$B$6:$B$3005,$A100,請求記録!$Z$6:$Z$3005,AA$5,請求記録!$AF$6:$AF$3005,"保留中")&gt;0,"保留",IF(COUNTIFS(請求記録!$B$6:$B$3005,$A100,請求記録!$Z$6:$Z$3005,AA$5)=0,"",SUMIFS(請求記録!$AE$6:$AE$3005,請求記録!$B$6:$B$3005,$A100,請求記録!$Z$6:$Z$3005,AA$5))))</f>
        <v/>
      </c>
      <c r="AB100">
        <f>IF(職員マスタ!P100="保留中",職員マスタ!M100,"")</f>
        <v/>
      </c>
    </row>
    <row r="101">
      <c r="A101">
        <f>IF(職員マスタ!A101="","",職員マスタ!A101)</f>
        <v/>
      </c>
      <c r="B101">
        <f>IF($A101="","",職員マスタ!B101)</f>
        <v/>
      </c>
      <c r="C101">
        <f>IF($A101="","",職員マスタ!C101)</f>
        <v/>
      </c>
      <c r="D101" s="19">
        <f>IF($A101="","",IF(COUNTIFS(請求記録!$B$6:$B$3005,$A101,請求記録!$Z$6:$Z$3005,D$5,請求記録!$AF$6:$AF$3005,"保留中")&gt;0,"保留",IF(COUNTIFS(請求記録!$B$6:$B$3005,$A101,請求記録!$Z$6:$Z$3005,D$5)=0,"",SUMIFS(請求記録!$AE$6:$AE$3005,請求記録!$B$6:$B$3005,$A101,請求記録!$Z$6:$Z$3005,D$5))))</f>
        <v/>
      </c>
      <c r="E101" s="19">
        <f>IF($A101="","",IF(COUNTIFS(請求記録!$B$6:$B$3005,$A101,請求記録!$Z$6:$Z$3005,E$5,請求記録!$AF$6:$AF$3005,"保留中")&gt;0,"保留",IF(COUNTIFS(請求記録!$B$6:$B$3005,$A101,請求記録!$Z$6:$Z$3005,E$5)=0,"",SUMIFS(請求記録!$AE$6:$AE$3005,請求記録!$B$6:$B$3005,$A101,請求記録!$Z$6:$Z$3005,E$5))))</f>
        <v/>
      </c>
      <c r="F101" s="19">
        <f>IF($A101="","",IF(COUNTIFS(請求記録!$B$6:$B$3005,$A101,請求記録!$Z$6:$Z$3005,F$5,請求記録!$AF$6:$AF$3005,"保留中")&gt;0,"保留",IF(COUNTIFS(請求記録!$B$6:$B$3005,$A101,請求記録!$Z$6:$Z$3005,F$5)=0,"",SUMIFS(請求記録!$AE$6:$AE$3005,請求記録!$B$6:$B$3005,$A101,請求記録!$Z$6:$Z$3005,F$5))))</f>
        <v/>
      </c>
      <c r="G101" s="19">
        <f>IF($A101="","",IF(COUNTIFS(請求記録!$B$6:$B$3005,$A101,請求記録!$Z$6:$Z$3005,G$5,請求記録!$AF$6:$AF$3005,"保留中")&gt;0,"保留",IF(COUNTIFS(請求記録!$B$6:$B$3005,$A101,請求記録!$Z$6:$Z$3005,G$5)=0,"",SUMIFS(請求記録!$AE$6:$AE$3005,請求記録!$B$6:$B$3005,$A101,請求記録!$Z$6:$Z$3005,G$5))))</f>
        <v/>
      </c>
      <c r="H101" s="19">
        <f>IF($A101="","",IF(COUNTIFS(請求記録!$B$6:$B$3005,$A101,請求記録!$Z$6:$Z$3005,H$5,請求記録!$AF$6:$AF$3005,"保留中")&gt;0,"保留",IF(COUNTIFS(請求記録!$B$6:$B$3005,$A101,請求記録!$Z$6:$Z$3005,H$5)=0,"",SUMIFS(請求記録!$AE$6:$AE$3005,請求記録!$B$6:$B$3005,$A101,請求記録!$Z$6:$Z$3005,H$5))))</f>
        <v/>
      </c>
      <c r="I101" s="19">
        <f>IF($A101="","",IF(COUNTIFS(請求記録!$B$6:$B$3005,$A101,請求記録!$Z$6:$Z$3005,I$5,請求記録!$AF$6:$AF$3005,"保留中")&gt;0,"保留",IF(COUNTIFS(請求記録!$B$6:$B$3005,$A101,請求記録!$Z$6:$Z$3005,I$5)=0,"",SUMIFS(請求記録!$AE$6:$AE$3005,請求記録!$B$6:$B$3005,$A101,請求記録!$Z$6:$Z$3005,I$5))))</f>
        <v/>
      </c>
      <c r="J101" s="19">
        <f>IF($A101="","",IF(COUNTIFS(請求記録!$B$6:$B$3005,$A101,請求記録!$Z$6:$Z$3005,J$5,請求記録!$AF$6:$AF$3005,"保留中")&gt;0,"保留",IF(COUNTIFS(請求記録!$B$6:$B$3005,$A101,請求記録!$Z$6:$Z$3005,J$5)=0,"",SUMIFS(請求記録!$AE$6:$AE$3005,請求記録!$B$6:$B$3005,$A101,請求記録!$Z$6:$Z$3005,J$5))))</f>
        <v/>
      </c>
      <c r="K101" s="19">
        <f>IF($A101="","",IF(COUNTIFS(請求記録!$B$6:$B$3005,$A101,請求記録!$Z$6:$Z$3005,K$5,請求記録!$AF$6:$AF$3005,"保留中")&gt;0,"保留",IF(COUNTIFS(請求記録!$B$6:$B$3005,$A101,請求記録!$Z$6:$Z$3005,K$5)=0,"",SUMIFS(請求記録!$AE$6:$AE$3005,請求記録!$B$6:$B$3005,$A101,請求記録!$Z$6:$Z$3005,K$5))))</f>
        <v/>
      </c>
      <c r="L101" s="19">
        <f>IF($A101="","",IF(COUNTIFS(請求記録!$B$6:$B$3005,$A101,請求記録!$Z$6:$Z$3005,L$5,請求記録!$AF$6:$AF$3005,"保留中")&gt;0,"保留",IF(COUNTIFS(請求記録!$B$6:$B$3005,$A101,請求記録!$Z$6:$Z$3005,L$5)=0,"",SUMIFS(請求記録!$AE$6:$AE$3005,請求記録!$B$6:$B$3005,$A101,請求記録!$Z$6:$Z$3005,L$5))))</f>
        <v/>
      </c>
      <c r="M101" s="19">
        <f>IF($A101="","",IF(COUNTIFS(請求記録!$B$6:$B$3005,$A101,請求記録!$Z$6:$Z$3005,M$5,請求記録!$AF$6:$AF$3005,"保留中")&gt;0,"保留",IF(COUNTIFS(請求記録!$B$6:$B$3005,$A101,請求記録!$Z$6:$Z$3005,M$5)=0,"",SUMIFS(請求記録!$AE$6:$AE$3005,請求記録!$B$6:$B$3005,$A101,請求記録!$Z$6:$Z$3005,M$5))))</f>
        <v/>
      </c>
      <c r="N101" s="19">
        <f>IF($A101="","",IF(COUNTIFS(請求記録!$B$6:$B$3005,$A101,請求記録!$Z$6:$Z$3005,N$5,請求記録!$AF$6:$AF$3005,"保留中")&gt;0,"保留",IF(COUNTIFS(請求記録!$B$6:$B$3005,$A101,請求記録!$Z$6:$Z$3005,N$5)=0,"",SUMIFS(請求記録!$AE$6:$AE$3005,請求記録!$B$6:$B$3005,$A101,請求記録!$Z$6:$Z$3005,N$5))))</f>
        <v/>
      </c>
      <c r="O101" s="19">
        <f>IF($A101="","",IF(COUNTIFS(請求記録!$B$6:$B$3005,$A101,請求記録!$Z$6:$Z$3005,O$5,請求記録!$AF$6:$AF$3005,"保留中")&gt;0,"保留",IF(COUNTIFS(請求記録!$B$6:$B$3005,$A101,請求記録!$Z$6:$Z$3005,O$5)=0,"",SUMIFS(請求記録!$AE$6:$AE$3005,請求記録!$B$6:$B$3005,$A101,請求記録!$Z$6:$Z$3005,O$5))))</f>
        <v/>
      </c>
      <c r="P101" s="19">
        <f>IF($A101="","",IF(COUNTIFS(請求記録!$B$6:$B$3005,$A101,請求記録!$Z$6:$Z$3005,P$5,請求記録!$AF$6:$AF$3005,"保留中")&gt;0,"保留",IF(COUNTIFS(請求記録!$B$6:$B$3005,$A101,請求記録!$Z$6:$Z$3005,P$5)=0,"",SUMIFS(請求記録!$AE$6:$AE$3005,請求記録!$B$6:$B$3005,$A101,請求記録!$Z$6:$Z$3005,P$5))))</f>
        <v/>
      </c>
      <c r="Q101" s="19">
        <f>IF($A101="","",IF(COUNTIFS(請求記録!$B$6:$B$3005,$A101,請求記録!$Z$6:$Z$3005,Q$5,請求記録!$AF$6:$AF$3005,"保留中")&gt;0,"保留",IF(COUNTIFS(請求記録!$B$6:$B$3005,$A101,請求記録!$Z$6:$Z$3005,Q$5)=0,"",SUMIFS(請求記録!$AE$6:$AE$3005,請求記録!$B$6:$B$3005,$A101,請求記録!$Z$6:$Z$3005,Q$5))))</f>
        <v/>
      </c>
      <c r="R101" s="19">
        <f>IF($A101="","",IF(COUNTIFS(請求記録!$B$6:$B$3005,$A101,請求記録!$Z$6:$Z$3005,R$5,請求記録!$AF$6:$AF$3005,"保留中")&gt;0,"保留",IF(COUNTIFS(請求記録!$B$6:$B$3005,$A101,請求記録!$Z$6:$Z$3005,R$5)=0,"",SUMIFS(請求記録!$AE$6:$AE$3005,請求記録!$B$6:$B$3005,$A101,請求記録!$Z$6:$Z$3005,R$5))))</f>
        <v/>
      </c>
      <c r="S101" s="19">
        <f>IF($A101="","",IF(COUNTIFS(請求記録!$B$6:$B$3005,$A101,請求記録!$Z$6:$Z$3005,S$5,請求記録!$AF$6:$AF$3005,"保留中")&gt;0,"保留",IF(COUNTIFS(請求記録!$B$6:$B$3005,$A101,請求記録!$Z$6:$Z$3005,S$5)=0,"",SUMIFS(請求記録!$AE$6:$AE$3005,請求記録!$B$6:$B$3005,$A101,請求記録!$Z$6:$Z$3005,S$5))))</f>
        <v/>
      </c>
      <c r="T101" s="19">
        <f>IF($A101="","",IF(COUNTIFS(請求記録!$B$6:$B$3005,$A101,請求記録!$Z$6:$Z$3005,T$5,請求記録!$AF$6:$AF$3005,"保留中")&gt;0,"保留",IF(COUNTIFS(請求記録!$B$6:$B$3005,$A101,請求記録!$Z$6:$Z$3005,T$5)=0,"",SUMIFS(請求記録!$AE$6:$AE$3005,請求記録!$B$6:$B$3005,$A101,請求記録!$Z$6:$Z$3005,T$5))))</f>
        <v/>
      </c>
      <c r="U101" s="19">
        <f>IF($A101="","",IF(COUNTIFS(請求記録!$B$6:$B$3005,$A101,請求記録!$Z$6:$Z$3005,U$5,請求記録!$AF$6:$AF$3005,"保留中")&gt;0,"保留",IF(COUNTIFS(請求記録!$B$6:$B$3005,$A101,請求記録!$Z$6:$Z$3005,U$5)=0,"",SUMIFS(請求記録!$AE$6:$AE$3005,請求記録!$B$6:$B$3005,$A101,請求記録!$Z$6:$Z$3005,U$5))))</f>
        <v/>
      </c>
      <c r="V101" s="19">
        <f>IF($A101="","",IF(COUNTIFS(請求記録!$B$6:$B$3005,$A101,請求記録!$Z$6:$Z$3005,V$5,請求記録!$AF$6:$AF$3005,"保留中")&gt;0,"保留",IF(COUNTIFS(請求記録!$B$6:$B$3005,$A101,請求記録!$Z$6:$Z$3005,V$5)=0,"",SUMIFS(請求記録!$AE$6:$AE$3005,請求記録!$B$6:$B$3005,$A101,請求記録!$Z$6:$Z$3005,V$5))))</f>
        <v/>
      </c>
      <c r="W101" s="19">
        <f>IF($A101="","",IF(COUNTIFS(請求記録!$B$6:$B$3005,$A101,請求記録!$Z$6:$Z$3005,W$5,請求記録!$AF$6:$AF$3005,"保留中")&gt;0,"保留",IF(COUNTIFS(請求記録!$B$6:$B$3005,$A101,請求記録!$Z$6:$Z$3005,W$5)=0,"",SUMIFS(請求記録!$AE$6:$AE$3005,請求記録!$B$6:$B$3005,$A101,請求記録!$Z$6:$Z$3005,W$5))))</f>
        <v/>
      </c>
      <c r="X101" s="19">
        <f>IF($A101="","",IF(COUNTIFS(請求記録!$B$6:$B$3005,$A101,請求記録!$Z$6:$Z$3005,X$5,請求記録!$AF$6:$AF$3005,"保留中")&gt;0,"保留",IF(COUNTIFS(請求記録!$B$6:$B$3005,$A101,請求記録!$Z$6:$Z$3005,X$5)=0,"",SUMIFS(請求記録!$AE$6:$AE$3005,請求記録!$B$6:$B$3005,$A101,請求記録!$Z$6:$Z$3005,X$5))))</f>
        <v/>
      </c>
      <c r="Y101" s="19">
        <f>IF($A101="","",IF(COUNTIFS(請求記録!$B$6:$B$3005,$A101,請求記録!$Z$6:$Z$3005,Y$5,請求記録!$AF$6:$AF$3005,"保留中")&gt;0,"保留",IF(COUNTIFS(請求記録!$B$6:$B$3005,$A101,請求記録!$Z$6:$Z$3005,Y$5)=0,"",SUMIFS(請求記録!$AE$6:$AE$3005,請求記録!$B$6:$B$3005,$A101,請求記録!$Z$6:$Z$3005,Y$5))))</f>
        <v/>
      </c>
      <c r="Z101" s="19">
        <f>IF($A101="","",IF(COUNTIFS(請求記録!$B$6:$B$3005,$A101,請求記録!$Z$6:$Z$3005,Z$5,請求記録!$AF$6:$AF$3005,"保留中")&gt;0,"保留",IF(COUNTIFS(請求記録!$B$6:$B$3005,$A101,請求記録!$Z$6:$Z$3005,Z$5)=0,"",SUMIFS(請求記録!$AE$6:$AE$3005,請求記録!$B$6:$B$3005,$A101,請求記録!$Z$6:$Z$3005,Z$5))))</f>
        <v/>
      </c>
      <c r="AA101" s="19">
        <f>IF($A101="","",IF(COUNTIFS(請求記録!$B$6:$B$3005,$A101,請求記録!$Z$6:$Z$3005,AA$5,請求記録!$AF$6:$AF$3005,"保留中")&gt;0,"保留",IF(COUNTIFS(請求記録!$B$6:$B$3005,$A101,請求記録!$Z$6:$Z$3005,AA$5)=0,"",SUMIFS(請求記録!$AE$6:$AE$3005,請求記録!$B$6:$B$3005,$A101,請求記録!$Z$6:$Z$3005,AA$5))))</f>
        <v/>
      </c>
      <c r="AB101">
        <f>IF(職員マスタ!P101="保留中",職員マスタ!M101,"")</f>
        <v/>
      </c>
    </row>
    <row r="102">
      <c r="A102">
        <f>IF(職員マスタ!A102="","",職員マスタ!A102)</f>
        <v/>
      </c>
      <c r="B102">
        <f>IF($A102="","",職員マスタ!B102)</f>
        <v/>
      </c>
      <c r="C102">
        <f>IF($A102="","",職員マスタ!C102)</f>
        <v/>
      </c>
      <c r="D102" s="19">
        <f>IF($A102="","",IF(COUNTIFS(請求記録!$B$6:$B$3005,$A102,請求記録!$Z$6:$Z$3005,D$5,請求記録!$AF$6:$AF$3005,"保留中")&gt;0,"保留",IF(COUNTIFS(請求記録!$B$6:$B$3005,$A102,請求記録!$Z$6:$Z$3005,D$5)=0,"",SUMIFS(請求記録!$AE$6:$AE$3005,請求記録!$B$6:$B$3005,$A102,請求記録!$Z$6:$Z$3005,D$5))))</f>
        <v/>
      </c>
      <c r="E102" s="19">
        <f>IF($A102="","",IF(COUNTIFS(請求記録!$B$6:$B$3005,$A102,請求記録!$Z$6:$Z$3005,E$5,請求記録!$AF$6:$AF$3005,"保留中")&gt;0,"保留",IF(COUNTIFS(請求記録!$B$6:$B$3005,$A102,請求記録!$Z$6:$Z$3005,E$5)=0,"",SUMIFS(請求記録!$AE$6:$AE$3005,請求記録!$B$6:$B$3005,$A102,請求記録!$Z$6:$Z$3005,E$5))))</f>
        <v/>
      </c>
      <c r="F102" s="19">
        <f>IF($A102="","",IF(COUNTIFS(請求記録!$B$6:$B$3005,$A102,請求記録!$Z$6:$Z$3005,F$5,請求記録!$AF$6:$AF$3005,"保留中")&gt;0,"保留",IF(COUNTIFS(請求記録!$B$6:$B$3005,$A102,請求記録!$Z$6:$Z$3005,F$5)=0,"",SUMIFS(請求記録!$AE$6:$AE$3005,請求記録!$B$6:$B$3005,$A102,請求記録!$Z$6:$Z$3005,F$5))))</f>
        <v/>
      </c>
      <c r="G102" s="19">
        <f>IF($A102="","",IF(COUNTIFS(請求記録!$B$6:$B$3005,$A102,請求記録!$Z$6:$Z$3005,G$5,請求記録!$AF$6:$AF$3005,"保留中")&gt;0,"保留",IF(COUNTIFS(請求記録!$B$6:$B$3005,$A102,請求記録!$Z$6:$Z$3005,G$5)=0,"",SUMIFS(請求記録!$AE$6:$AE$3005,請求記録!$B$6:$B$3005,$A102,請求記録!$Z$6:$Z$3005,G$5))))</f>
        <v/>
      </c>
      <c r="H102" s="19">
        <f>IF($A102="","",IF(COUNTIFS(請求記録!$B$6:$B$3005,$A102,請求記録!$Z$6:$Z$3005,H$5,請求記録!$AF$6:$AF$3005,"保留中")&gt;0,"保留",IF(COUNTIFS(請求記録!$B$6:$B$3005,$A102,請求記録!$Z$6:$Z$3005,H$5)=0,"",SUMIFS(請求記録!$AE$6:$AE$3005,請求記録!$B$6:$B$3005,$A102,請求記録!$Z$6:$Z$3005,H$5))))</f>
        <v/>
      </c>
      <c r="I102" s="19">
        <f>IF($A102="","",IF(COUNTIFS(請求記録!$B$6:$B$3005,$A102,請求記録!$Z$6:$Z$3005,I$5,請求記録!$AF$6:$AF$3005,"保留中")&gt;0,"保留",IF(COUNTIFS(請求記録!$B$6:$B$3005,$A102,請求記録!$Z$6:$Z$3005,I$5)=0,"",SUMIFS(請求記録!$AE$6:$AE$3005,請求記録!$B$6:$B$3005,$A102,請求記録!$Z$6:$Z$3005,I$5))))</f>
        <v/>
      </c>
      <c r="J102" s="19">
        <f>IF($A102="","",IF(COUNTIFS(請求記録!$B$6:$B$3005,$A102,請求記録!$Z$6:$Z$3005,J$5,請求記録!$AF$6:$AF$3005,"保留中")&gt;0,"保留",IF(COUNTIFS(請求記録!$B$6:$B$3005,$A102,請求記録!$Z$6:$Z$3005,J$5)=0,"",SUMIFS(請求記録!$AE$6:$AE$3005,請求記録!$B$6:$B$3005,$A102,請求記録!$Z$6:$Z$3005,J$5))))</f>
        <v/>
      </c>
      <c r="K102" s="19">
        <f>IF($A102="","",IF(COUNTIFS(請求記録!$B$6:$B$3005,$A102,請求記録!$Z$6:$Z$3005,K$5,請求記録!$AF$6:$AF$3005,"保留中")&gt;0,"保留",IF(COUNTIFS(請求記録!$B$6:$B$3005,$A102,請求記録!$Z$6:$Z$3005,K$5)=0,"",SUMIFS(請求記録!$AE$6:$AE$3005,請求記録!$B$6:$B$3005,$A102,請求記録!$Z$6:$Z$3005,K$5))))</f>
        <v/>
      </c>
      <c r="L102" s="19">
        <f>IF($A102="","",IF(COUNTIFS(請求記録!$B$6:$B$3005,$A102,請求記録!$Z$6:$Z$3005,L$5,請求記録!$AF$6:$AF$3005,"保留中")&gt;0,"保留",IF(COUNTIFS(請求記録!$B$6:$B$3005,$A102,請求記録!$Z$6:$Z$3005,L$5)=0,"",SUMIFS(請求記録!$AE$6:$AE$3005,請求記録!$B$6:$B$3005,$A102,請求記録!$Z$6:$Z$3005,L$5))))</f>
        <v/>
      </c>
      <c r="M102" s="19">
        <f>IF($A102="","",IF(COUNTIFS(請求記録!$B$6:$B$3005,$A102,請求記録!$Z$6:$Z$3005,M$5,請求記録!$AF$6:$AF$3005,"保留中")&gt;0,"保留",IF(COUNTIFS(請求記録!$B$6:$B$3005,$A102,請求記録!$Z$6:$Z$3005,M$5)=0,"",SUMIFS(請求記録!$AE$6:$AE$3005,請求記録!$B$6:$B$3005,$A102,請求記録!$Z$6:$Z$3005,M$5))))</f>
        <v/>
      </c>
      <c r="N102" s="19">
        <f>IF($A102="","",IF(COUNTIFS(請求記録!$B$6:$B$3005,$A102,請求記録!$Z$6:$Z$3005,N$5,請求記録!$AF$6:$AF$3005,"保留中")&gt;0,"保留",IF(COUNTIFS(請求記録!$B$6:$B$3005,$A102,請求記録!$Z$6:$Z$3005,N$5)=0,"",SUMIFS(請求記録!$AE$6:$AE$3005,請求記録!$B$6:$B$3005,$A102,請求記録!$Z$6:$Z$3005,N$5))))</f>
        <v/>
      </c>
      <c r="O102" s="19">
        <f>IF($A102="","",IF(COUNTIFS(請求記録!$B$6:$B$3005,$A102,請求記録!$Z$6:$Z$3005,O$5,請求記録!$AF$6:$AF$3005,"保留中")&gt;0,"保留",IF(COUNTIFS(請求記録!$B$6:$B$3005,$A102,請求記録!$Z$6:$Z$3005,O$5)=0,"",SUMIFS(請求記録!$AE$6:$AE$3005,請求記録!$B$6:$B$3005,$A102,請求記録!$Z$6:$Z$3005,O$5))))</f>
        <v/>
      </c>
      <c r="P102" s="19">
        <f>IF($A102="","",IF(COUNTIFS(請求記録!$B$6:$B$3005,$A102,請求記録!$Z$6:$Z$3005,P$5,請求記録!$AF$6:$AF$3005,"保留中")&gt;0,"保留",IF(COUNTIFS(請求記録!$B$6:$B$3005,$A102,請求記録!$Z$6:$Z$3005,P$5)=0,"",SUMIFS(請求記録!$AE$6:$AE$3005,請求記録!$B$6:$B$3005,$A102,請求記録!$Z$6:$Z$3005,P$5))))</f>
        <v/>
      </c>
      <c r="Q102" s="19">
        <f>IF($A102="","",IF(COUNTIFS(請求記録!$B$6:$B$3005,$A102,請求記録!$Z$6:$Z$3005,Q$5,請求記録!$AF$6:$AF$3005,"保留中")&gt;0,"保留",IF(COUNTIFS(請求記録!$B$6:$B$3005,$A102,請求記録!$Z$6:$Z$3005,Q$5)=0,"",SUMIFS(請求記録!$AE$6:$AE$3005,請求記録!$B$6:$B$3005,$A102,請求記録!$Z$6:$Z$3005,Q$5))))</f>
        <v/>
      </c>
      <c r="R102" s="19">
        <f>IF($A102="","",IF(COUNTIFS(請求記録!$B$6:$B$3005,$A102,請求記録!$Z$6:$Z$3005,R$5,請求記録!$AF$6:$AF$3005,"保留中")&gt;0,"保留",IF(COUNTIFS(請求記録!$B$6:$B$3005,$A102,請求記録!$Z$6:$Z$3005,R$5)=0,"",SUMIFS(請求記録!$AE$6:$AE$3005,請求記録!$B$6:$B$3005,$A102,請求記録!$Z$6:$Z$3005,R$5))))</f>
        <v/>
      </c>
      <c r="S102" s="19">
        <f>IF($A102="","",IF(COUNTIFS(請求記録!$B$6:$B$3005,$A102,請求記録!$Z$6:$Z$3005,S$5,請求記録!$AF$6:$AF$3005,"保留中")&gt;0,"保留",IF(COUNTIFS(請求記録!$B$6:$B$3005,$A102,請求記録!$Z$6:$Z$3005,S$5)=0,"",SUMIFS(請求記録!$AE$6:$AE$3005,請求記録!$B$6:$B$3005,$A102,請求記録!$Z$6:$Z$3005,S$5))))</f>
        <v/>
      </c>
      <c r="T102" s="19">
        <f>IF($A102="","",IF(COUNTIFS(請求記録!$B$6:$B$3005,$A102,請求記録!$Z$6:$Z$3005,T$5,請求記録!$AF$6:$AF$3005,"保留中")&gt;0,"保留",IF(COUNTIFS(請求記録!$B$6:$B$3005,$A102,請求記録!$Z$6:$Z$3005,T$5)=0,"",SUMIFS(請求記録!$AE$6:$AE$3005,請求記録!$B$6:$B$3005,$A102,請求記録!$Z$6:$Z$3005,T$5))))</f>
        <v/>
      </c>
      <c r="U102" s="19">
        <f>IF($A102="","",IF(COUNTIFS(請求記録!$B$6:$B$3005,$A102,請求記録!$Z$6:$Z$3005,U$5,請求記録!$AF$6:$AF$3005,"保留中")&gt;0,"保留",IF(COUNTIFS(請求記録!$B$6:$B$3005,$A102,請求記録!$Z$6:$Z$3005,U$5)=0,"",SUMIFS(請求記録!$AE$6:$AE$3005,請求記録!$B$6:$B$3005,$A102,請求記録!$Z$6:$Z$3005,U$5))))</f>
        <v/>
      </c>
      <c r="V102" s="19">
        <f>IF($A102="","",IF(COUNTIFS(請求記録!$B$6:$B$3005,$A102,請求記録!$Z$6:$Z$3005,V$5,請求記録!$AF$6:$AF$3005,"保留中")&gt;0,"保留",IF(COUNTIFS(請求記録!$B$6:$B$3005,$A102,請求記録!$Z$6:$Z$3005,V$5)=0,"",SUMIFS(請求記録!$AE$6:$AE$3005,請求記録!$B$6:$B$3005,$A102,請求記録!$Z$6:$Z$3005,V$5))))</f>
        <v/>
      </c>
      <c r="W102" s="19">
        <f>IF($A102="","",IF(COUNTIFS(請求記録!$B$6:$B$3005,$A102,請求記録!$Z$6:$Z$3005,W$5,請求記録!$AF$6:$AF$3005,"保留中")&gt;0,"保留",IF(COUNTIFS(請求記録!$B$6:$B$3005,$A102,請求記録!$Z$6:$Z$3005,W$5)=0,"",SUMIFS(請求記録!$AE$6:$AE$3005,請求記録!$B$6:$B$3005,$A102,請求記録!$Z$6:$Z$3005,W$5))))</f>
        <v/>
      </c>
      <c r="X102" s="19">
        <f>IF($A102="","",IF(COUNTIFS(請求記録!$B$6:$B$3005,$A102,請求記録!$Z$6:$Z$3005,X$5,請求記録!$AF$6:$AF$3005,"保留中")&gt;0,"保留",IF(COUNTIFS(請求記録!$B$6:$B$3005,$A102,請求記録!$Z$6:$Z$3005,X$5)=0,"",SUMIFS(請求記録!$AE$6:$AE$3005,請求記録!$B$6:$B$3005,$A102,請求記録!$Z$6:$Z$3005,X$5))))</f>
        <v/>
      </c>
      <c r="Y102" s="19">
        <f>IF($A102="","",IF(COUNTIFS(請求記録!$B$6:$B$3005,$A102,請求記録!$Z$6:$Z$3005,Y$5,請求記録!$AF$6:$AF$3005,"保留中")&gt;0,"保留",IF(COUNTIFS(請求記録!$B$6:$B$3005,$A102,請求記録!$Z$6:$Z$3005,Y$5)=0,"",SUMIFS(請求記録!$AE$6:$AE$3005,請求記録!$B$6:$B$3005,$A102,請求記録!$Z$6:$Z$3005,Y$5))))</f>
        <v/>
      </c>
      <c r="Z102" s="19">
        <f>IF($A102="","",IF(COUNTIFS(請求記録!$B$6:$B$3005,$A102,請求記録!$Z$6:$Z$3005,Z$5,請求記録!$AF$6:$AF$3005,"保留中")&gt;0,"保留",IF(COUNTIFS(請求記録!$B$6:$B$3005,$A102,請求記録!$Z$6:$Z$3005,Z$5)=0,"",SUMIFS(請求記録!$AE$6:$AE$3005,請求記録!$B$6:$B$3005,$A102,請求記録!$Z$6:$Z$3005,Z$5))))</f>
        <v/>
      </c>
      <c r="AA102" s="19">
        <f>IF($A102="","",IF(COUNTIFS(請求記録!$B$6:$B$3005,$A102,請求記録!$Z$6:$Z$3005,AA$5,請求記録!$AF$6:$AF$3005,"保留中")&gt;0,"保留",IF(COUNTIFS(請求記録!$B$6:$B$3005,$A102,請求記録!$Z$6:$Z$3005,AA$5)=0,"",SUMIFS(請求記録!$AE$6:$AE$3005,請求記録!$B$6:$B$3005,$A102,請求記録!$Z$6:$Z$3005,AA$5))))</f>
        <v/>
      </c>
      <c r="AB102">
        <f>IF(職員マスタ!P102="保留中",職員マスタ!M102,"")</f>
        <v/>
      </c>
    </row>
    <row r="103">
      <c r="A103">
        <f>IF(職員マスタ!A103="","",職員マスタ!A103)</f>
        <v/>
      </c>
      <c r="B103">
        <f>IF($A103="","",職員マスタ!B103)</f>
        <v/>
      </c>
      <c r="C103">
        <f>IF($A103="","",職員マスタ!C103)</f>
        <v/>
      </c>
      <c r="D103" s="19">
        <f>IF($A103="","",IF(COUNTIFS(請求記録!$B$6:$B$3005,$A103,請求記録!$Z$6:$Z$3005,D$5,請求記録!$AF$6:$AF$3005,"保留中")&gt;0,"保留",IF(COUNTIFS(請求記録!$B$6:$B$3005,$A103,請求記録!$Z$6:$Z$3005,D$5)=0,"",SUMIFS(請求記録!$AE$6:$AE$3005,請求記録!$B$6:$B$3005,$A103,請求記録!$Z$6:$Z$3005,D$5))))</f>
        <v/>
      </c>
      <c r="E103" s="19">
        <f>IF($A103="","",IF(COUNTIFS(請求記録!$B$6:$B$3005,$A103,請求記録!$Z$6:$Z$3005,E$5,請求記録!$AF$6:$AF$3005,"保留中")&gt;0,"保留",IF(COUNTIFS(請求記録!$B$6:$B$3005,$A103,請求記録!$Z$6:$Z$3005,E$5)=0,"",SUMIFS(請求記録!$AE$6:$AE$3005,請求記録!$B$6:$B$3005,$A103,請求記録!$Z$6:$Z$3005,E$5))))</f>
        <v/>
      </c>
      <c r="F103" s="19">
        <f>IF($A103="","",IF(COUNTIFS(請求記録!$B$6:$B$3005,$A103,請求記録!$Z$6:$Z$3005,F$5,請求記録!$AF$6:$AF$3005,"保留中")&gt;0,"保留",IF(COUNTIFS(請求記録!$B$6:$B$3005,$A103,請求記録!$Z$6:$Z$3005,F$5)=0,"",SUMIFS(請求記録!$AE$6:$AE$3005,請求記録!$B$6:$B$3005,$A103,請求記録!$Z$6:$Z$3005,F$5))))</f>
        <v/>
      </c>
      <c r="G103" s="19">
        <f>IF($A103="","",IF(COUNTIFS(請求記録!$B$6:$B$3005,$A103,請求記録!$Z$6:$Z$3005,G$5,請求記録!$AF$6:$AF$3005,"保留中")&gt;0,"保留",IF(COUNTIFS(請求記録!$B$6:$B$3005,$A103,請求記録!$Z$6:$Z$3005,G$5)=0,"",SUMIFS(請求記録!$AE$6:$AE$3005,請求記録!$B$6:$B$3005,$A103,請求記録!$Z$6:$Z$3005,G$5))))</f>
        <v/>
      </c>
      <c r="H103" s="19">
        <f>IF($A103="","",IF(COUNTIFS(請求記録!$B$6:$B$3005,$A103,請求記録!$Z$6:$Z$3005,H$5,請求記録!$AF$6:$AF$3005,"保留中")&gt;0,"保留",IF(COUNTIFS(請求記録!$B$6:$B$3005,$A103,請求記録!$Z$6:$Z$3005,H$5)=0,"",SUMIFS(請求記録!$AE$6:$AE$3005,請求記録!$B$6:$B$3005,$A103,請求記録!$Z$6:$Z$3005,H$5))))</f>
        <v/>
      </c>
      <c r="I103" s="19">
        <f>IF($A103="","",IF(COUNTIFS(請求記録!$B$6:$B$3005,$A103,請求記録!$Z$6:$Z$3005,I$5,請求記録!$AF$6:$AF$3005,"保留中")&gt;0,"保留",IF(COUNTIFS(請求記録!$B$6:$B$3005,$A103,請求記録!$Z$6:$Z$3005,I$5)=0,"",SUMIFS(請求記録!$AE$6:$AE$3005,請求記録!$B$6:$B$3005,$A103,請求記録!$Z$6:$Z$3005,I$5))))</f>
        <v/>
      </c>
      <c r="J103" s="19">
        <f>IF($A103="","",IF(COUNTIFS(請求記録!$B$6:$B$3005,$A103,請求記録!$Z$6:$Z$3005,J$5,請求記録!$AF$6:$AF$3005,"保留中")&gt;0,"保留",IF(COUNTIFS(請求記録!$B$6:$B$3005,$A103,請求記録!$Z$6:$Z$3005,J$5)=0,"",SUMIFS(請求記録!$AE$6:$AE$3005,請求記録!$B$6:$B$3005,$A103,請求記録!$Z$6:$Z$3005,J$5))))</f>
        <v/>
      </c>
      <c r="K103" s="19">
        <f>IF($A103="","",IF(COUNTIFS(請求記録!$B$6:$B$3005,$A103,請求記録!$Z$6:$Z$3005,K$5,請求記録!$AF$6:$AF$3005,"保留中")&gt;0,"保留",IF(COUNTIFS(請求記録!$B$6:$B$3005,$A103,請求記録!$Z$6:$Z$3005,K$5)=0,"",SUMIFS(請求記録!$AE$6:$AE$3005,請求記録!$B$6:$B$3005,$A103,請求記録!$Z$6:$Z$3005,K$5))))</f>
        <v/>
      </c>
      <c r="L103" s="19">
        <f>IF($A103="","",IF(COUNTIFS(請求記録!$B$6:$B$3005,$A103,請求記録!$Z$6:$Z$3005,L$5,請求記録!$AF$6:$AF$3005,"保留中")&gt;0,"保留",IF(COUNTIFS(請求記録!$B$6:$B$3005,$A103,請求記録!$Z$6:$Z$3005,L$5)=0,"",SUMIFS(請求記録!$AE$6:$AE$3005,請求記録!$B$6:$B$3005,$A103,請求記録!$Z$6:$Z$3005,L$5))))</f>
        <v/>
      </c>
      <c r="M103" s="19">
        <f>IF($A103="","",IF(COUNTIFS(請求記録!$B$6:$B$3005,$A103,請求記録!$Z$6:$Z$3005,M$5,請求記録!$AF$6:$AF$3005,"保留中")&gt;0,"保留",IF(COUNTIFS(請求記録!$B$6:$B$3005,$A103,請求記録!$Z$6:$Z$3005,M$5)=0,"",SUMIFS(請求記録!$AE$6:$AE$3005,請求記録!$B$6:$B$3005,$A103,請求記録!$Z$6:$Z$3005,M$5))))</f>
        <v/>
      </c>
      <c r="N103" s="19">
        <f>IF($A103="","",IF(COUNTIFS(請求記録!$B$6:$B$3005,$A103,請求記録!$Z$6:$Z$3005,N$5,請求記録!$AF$6:$AF$3005,"保留中")&gt;0,"保留",IF(COUNTIFS(請求記録!$B$6:$B$3005,$A103,請求記録!$Z$6:$Z$3005,N$5)=0,"",SUMIFS(請求記録!$AE$6:$AE$3005,請求記録!$B$6:$B$3005,$A103,請求記録!$Z$6:$Z$3005,N$5))))</f>
        <v/>
      </c>
      <c r="O103" s="19">
        <f>IF($A103="","",IF(COUNTIFS(請求記録!$B$6:$B$3005,$A103,請求記録!$Z$6:$Z$3005,O$5,請求記録!$AF$6:$AF$3005,"保留中")&gt;0,"保留",IF(COUNTIFS(請求記録!$B$6:$B$3005,$A103,請求記録!$Z$6:$Z$3005,O$5)=0,"",SUMIFS(請求記録!$AE$6:$AE$3005,請求記録!$B$6:$B$3005,$A103,請求記録!$Z$6:$Z$3005,O$5))))</f>
        <v/>
      </c>
      <c r="P103" s="19">
        <f>IF($A103="","",IF(COUNTIFS(請求記録!$B$6:$B$3005,$A103,請求記録!$Z$6:$Z$3005,P$5,請求記録!$AF$6:$AF$3005,"保留中")&gt;0,"保留",IF(COUNTIFS(請求記録!$B$6:$B$3005,$A103,請求記録!$Z$6:$Z$3005,P$5)=0,"",SUMIFS(請求記録!$AE$6:$AE$3005,請求記録!$B$6:$B$3005,$A103,請求記録!$Z$6:$Z$3005,P$5))))</f>
        <v/>
      </c>
      <c r="Q103" s="19">
        <f>IF($A103="","",IF(COUNTIFS(請求記録!$B$6:$B$3005,$A103,請求記録!$Z$6:$Z$3005,Q$5,請求記録!$AF$6:$AF$3005,"保留中")&gt;0,"保留",IF(COUNTIFS(請求記録!$B$6:$B$3005,$A103,請求記録!$Z$6:$Z$3005,Q$5)=0,"",SUMIFS(請求記録!$AE$6:$AE$3005,請求記録!$B$6:$B$3005,$A103,請求記録!$Z$6:$Z$3005,Q$5))))</f>
        <v/>
      </c>
      <c r="R103" s="19">
        <f>IF($A103="","",IF(COUNTIFS(請求記録!$B$6:$B$3005,$A103,請求記録!$Z$6:$Z$3005,R$5,請求記録!$AF$6:$AF$3005,"保留中")&gt;0,"保留",IF(COUNTIFS(請求記録!$B$6:$B$3005,$A103,請求記録!$Z$6:$Z$3005,R$5)=0,"",SUMIFS(請求記録!$AE$6:$AE$3005,請求記録!$B$6:$B$3005,$A103,請求記録!$Z$6:$Z$3005,R$5))))</f>
        <v/>
      </c>
      <c r="S103" s="19">
        <f>IF($A103="","",IF(COUNTIFS(請求記録!$B$6:$B$3005,$A103,請求記録!$Z$6:$Z$3005,S$5,請求記録!$AF$6:$AF$3005,"保留中")&gt;0,"保留",IF(COUNTIFS(請求記録!$B$6:$B$3005,$A103,請求記録!$Z$6:$Z$3005,S$5)=0,"",SUMIFS(請求記録!$AE$6:$AE$3005,請求記録!$B$6:$B$3005,$A103,請求記録!$Z$6:$Z$3005,S$5))))</f>
        <v/>
      </c>
      <c r="T103" s="19">
        <f>IF($A103="","",IF(COUNTIFS(請求記録!$B$6:$B$3005,$A103,請求記録!$Z$6:$Z$3005,T$5,請求記録!$AF$6:$AF$3005,"保留中")&gt;0,"保留",IF(COUNTIFS(請求記録!$B$6:$B$3005,$A103,請求記録!$Z$6:$Z$3005,T$5)=0,"",SUMIFS(請求記録!$AE$6:$AE$3005,請求記録!$B$6:$B$3005,$A103,請求記録!$Z$6:$Z$3005,T$5))))</f>
        <v/>
      </c>
      <c r="U103" s="19">
        <f>IF($A103="","",IF(COUNTIFS(請求記録!$B$6:$B$3005,$A103,請求記録!$Z$6:$Z$3005,U$5,請求記録!$AF$6:$AF$3005,"保留中")&gt;0,"保留",IF(COUNTIFS(請求記録!$B$6:$B$3005,$A103,請求記録!$Z$6:$Z$3005,U$5)=0,"",SUMIFS(請求記録!$AE$6:$AE$3005,請求記録!$B$6:$B$3005,$A103,請求記録!$Z$6:$Z$3005,U$5))))</f>
        <v/>
      </c>
      <c r="V103" s="19">
        <f>IF($A103="","",IF(COUNTIFS(請求記録!$B$6:$B$3005,$A103,請求記録!$Z$6:$Z$3005,V$5,請求記録!$AF$6:$AF$3005,"保留中")&gt;0,"保留",IF(COUNTIFS(請求記録!$B$6:$B$3005,$A103,請求記録!$Z$6:$Z$3005,V$5)=0,"",SUMIFS(請求記録!$AE$6:$AE$3005,請求記録!$B$6:$B$3005,$A103,請求記録!$Z$6:$Z$3005,V$5))))</f>
        <v/>
      </c>
      <c r="W103" s="19">
        <f>IF($A103="","",IF(COUNTIFS(請求記録!$B$6:$B$3005,$A103,請求記録!$Z$6:$Z$3005,W$5,請求記録!$AF$6:$AF$3005,"保留中")&gt;0,"保留",IF(COUNTIFS(請求記録!$B$6:$B$3005,$A103,請求記録!$Z$6:$Z$3005,W$5)=0,"",SUMIFS(請求記録!$AE$6:$AE$3005,請求記録!$B$6:$B$3005,$A103,請求記録!$Z$6:$Z$3005,W$5))))</f>
        <v/>
      </c>
      <c r="X103" s="19">
        <f>IF($A103="","",IF(COUNTIFS(請求記録!$B$6:$B$3005,$A103,請求記録!$Z$6:$Z$3005,X$5,請求記録!$AF$6:$AF$3005,"保留中")&gt;0,"保留",IF(COUNTIFS(請求記録!$B$6:$B$3005,$A103,請求記録!$Z$6:$Z$3005,X$5)=0,"",SUMIFS(請求記録!$AE$6:$AE$3005,請求記録!$B$6:$B$3005,$A103,請求記録!$Z$6:$Z$3005,X$5))))</f>
        <v/>
      </c>
      <c r="Y103" s="19">
        <f>IF($A103="","",IF(COUNTIFS(請求記録!$B$6:$B$3005,$A103,請求記録!$Z$6:$Z$3005,Y$5,請求記録!$AF$6:$AF$3005,"保留中")&gt;0,"保留",IF(COUNTIFS(請求記録!$B$6:$B$3005,$A103,請求記録!$Z$6:$Z$3005,Y$5)=0,"",SUMIFS(請求記録!$AE$6:$AE$3005,請求記録!$B$6:$B$3005,$A103,請求記録!$Z$6:$Z$3005,Y$5))))</f>
        <v/>
      </c>
      <c r="Z103" s="19">
        <f>IF($A103="","",IF(COUNTIFS(請求記録!$B$6:$B$3005,$A103,請求記録!$Z$6:$Z$3005,Z$5,請求記録!$AF$6:$AF$3005,"保留中")&gt;0,"保留",IF(COUNTIFS(請求記録!$B$6:$B$3005,$A103,請求記録!$Z$6:$Z$3005,Z$5)=0,"",SUMIFS(請求記録!$AE$6:$AE$3005,請求記録!$B$6:$B$3005,$A103,請求記録!$Z$6:$Z$3005,Z$5))))</f>
        <v/>
      </c>
      <c r="AA103" s="19">
        <f>IF($A103="","",IF(COUNTIFS(請求記録!$B$6:$B$3005,$A103,請求記録!$Z$6:$Z$3005,AA$5,請求記録!$AF$6:$AF$3005,"保留中")&gt;0,"保留",IF(COUNTIFS(請求記録!$B$6:$B$3005,$A103,請求記録!$Z$6:$Z$3005,AA$5)=0,"",SUMIFS(請求記録!$AE$6:$AE$3005,請求記録!$B$6:$B$3005,$A103,請求記録!$Z$6:$Z$3005,AA$5))))</f>
        <v/>
      </c>
      <c r="AB103">
        <f>IF(職員マスタ!P103="保留中",職員マスタ!M103,"")</f>
        <v/>
      </c>
    </row>
    <row r="104">
      <c r="A104">
        <f>IF(職員マスタ!A104="","",職員マスタ!A104)</f>
        <v/>
      </c>
      <c r="B104">
        <f>IF($A104="","",職員マスタ!B104)</f>
        <v/>
      </c>
      <c r="C104">
        <f>IF($A104="","",職員マスタ!C104)</f>
        <v/>
      </c>
      <c r="D104" s="19">
        <f>IF($A104="","",IF(COUNTIFS(請求記録!$B$6:$B$3005,$A104,請求記録!$Z$6:$Z$3005,D$5,請求記録!$AF$6:$AF$3005,"保留中")&gt;0,"保留",IF(COUNTIFS(請求記録!$B$6:$B$3005,$A104,請求記録!$Z$6:$Z$3005,D$5)=0,"",SUMIFS(請求記録!$AE$6:$AE$3005,請求記録!$B$6:$B$3005,$A104,請求記録!$Z$6:$Z$3005,D$5))))</f>
        <v/>
      </c>
      <c r="E104" s="19">
        <f>IF($A104="","",IF(COUNTIFS(請求記録!$B$6:$B$3005,$A104,請求記録!$Z$6:$Z$3005,E$5,請求記録!$AF$6:$AF$3005,"保留中")&gt;0,"保留",IF(COUNTIFS(請求記録!$B$6:$B$3005,$A104,請求記録!$Z$6:$Z$3005,E$5)=0,"",SUMIFS(請求記録!$AE$6:$AE$3005,請求記録!$B$6:$B$3005,$A104,請求記録!$Z$6:$Z$3005,E$5))))</f>
        <v/>
      </c>
      <c r="F104" s="19">
        <f>IF($A104="","",IF(COUNTIFS(請求記録!$B$6:$B$3005,$A104,請求記録!$Z$6:$Z$3005,F$5,請求記録!$AF$6:$AF$3005,"保留中")&gt;0,"保留",IF(COUNTIFS(請求記録!$B$6:$B$3005,$A104,請求記録!$Z$6:$Z$3005,F$5)=0,"",SUMIFS(請求記録!$AE$6:$AE$3005,請求記録!$B$6:$B$3005,$A104,請求記録!$Z$6:$Z$3005,F$5))))</f>
        <v/>
      </c>
      <c r="G104" s="19">
        <f>IF($A104="","",IF(COUNTIFS(請求記録!$B$6:$B$3005,$A104,請求記録!$Z$6:$Z$3005,G$5,請求記録!$AF$6:$AF$3005,"保留中")&gt;0,"保留",IF(COUNTIFS(請求記録!$B$6:$B$3005,$A104,請求記録!$Z$6:$Z$3005,G$5)=0,"",SUMIFS(請求記録!$AE$6:$AE$3005,請求記録!$B$6:$B$3005,$A104,請求記録!$Z$6:$Z$3005,G$5))))</f>
        <v/>
      </c>
      <c r="H104" s="19">
        <f>IF($A104="","",IF(COUNTIFS(請求記録!$B$6:$B$3005,$A104,請求記録!$Z$6:$Z$3005,H$5,請求記録!$AF$6:$AF$3005,"保留中")&gt;0,"保留",IF(COUNTIFS(請求記録!$B$6:$B$3005,$A104,請求記録!$Z$6:$Z$3005,H$5)=0,"",SUMIFS(請求記録!$AE$6:$AE$3005,請求記録!$B$6:$B$3005,$A104,請求記録!$Z$6:$Z$3005,H$5))))</f>
        <v/>
      </c>
      <c r="I104" s="19">
        <f>IF($A104="","",IF(COUNTIFS(請求記録!$B$6:$B$3005,$A104,請求記録!$Z$6:$Z$3005,I$5,請求記録!$AF$6:$AF$3005,"保留中")&gt;0,"保留",IF(COUNTIFS(請求記録!$B$6:$B$3005,$A104,請求記録!$Z$6:$Z$3005,I$5)=0,"",SUMIFS(請求記録!$AE$6:$AE$3005,請求記録!$B$6:$B$3005,$A104,請求記録!$Z$6:$Z$3005,I$5))))</f>
        <v/>
      </c>
      <c r="J104" s="19">
        <f>IF($A104="","",IF(COUNTIFS(請求記録!$B$6:$B$3005,$A104,請求記録!$Z$6:$Z$3005,J$5,請求記録!$AF$6:$AF$3005,"保留中")&gt;0,"保留",IF(COUNTIFS(請求記録!$B$6:$B$3005,$A104,請求記録!$Z$6:$Z$3005,J$5)=0,"",SUMIFS(請求記録!$AE$6:$AE$3005,請求記録!$B$6:$B$3005,$A104,請求記録!$Z$6:$Z$3005,J$5))))</f>
        <v/>
      </c>
      <c r="K104" s="19">
        <f>IF($A104="","",IF(COUNTIFS(請求記録!$B$6:$B$3005,$A104,請求記録!$Z$6:$Z$3005,K$5,請求記録!$AF$6:$AF$3005,"保留中")&gt;0,"保留",IF(COUNTIFS(請求記録!$B$6:$B$3005,$A104,請求記録!$Z$6:$Z$3005,K$5)=0,"",SUMIFS(請求記録!$AE$6:$AE$3005,請求記録!$B$6:$B$3005,$A104,請求記録!$Z$6:$Z$3005,K$5))))</f>
        <v/>
      </c>
      <c r="L104" s="19">
        <f>IF($A104="","",IF(COUNTIFS(請求記録!$B$6:$B$3005,$A104,請求記録!$Z$6:$Z$3005,L$5,請求記録!$AF$6:$AF$3005,"保留中")&gt;0,"保留",IF(COUNTIFS(請求記録!$B$6:$B$3005,$A104,請求記録!$Z$6:$Z$3005,L$5)=0,"",SUMIFS(請求記録!$AE$6:$AE$3005,請求記録!$B$6:$B$3005,$A104,請求記録!$Z$6:$Z$3005,L$5))))</f>
        <v/>
      </c>
      <c r="M104" s="19">
        <f>IF($A104="","",IF(COUNTIFS(請求記録!$B$6:$B$3005,$A104,請求記録!$Z$6:$Z$3005,M$5,請求記録!$AF$6:$AF$3005,"保留中")&gt;0,"保留",IF(COUNTIFS(請求記録!$B$6:$B$3005,$A104,請求記録!$Z$6:$Z$3005,M$5)=0,"",SUMIFS(請求記録!$AE$6:$AE$3005,請求記録!$B$6:$B$3005,$A104,請求記録!$Z$6:$Z$3005,M$5))))</f>
        <v/>
      </c>
      <c r="N104" s="19">
        <f>IF($A104="","",IF(COUNTIFS(請求記録!$B$6:$B$3005,$A104,請求記録!$Z$6:$Z$3005,N$5,請求記録!$AF$6:$AF$3005,"保留中")&gt;0,"保留",IF(COUNTIFS(請求記録!$B$6:$B$3005,$A104,請求記録!$Z$6:$Z$3005,N$5)=0,"",SUMIFS(請求記録!$AE$6:$AE$3005,請求記録!$B$6:$B$3005,$A104,請求記録!$Z$6:$Z$3005,N$5))))</f>
        <v/>
      </c>
      <c r="O104" s="19">
        <f>IF($A104="","",IF(COUNTIFS(請求記録!$B$6:$B$3005,$A104,請求記録!$Z$6:$Z$3005,O$5,請求記録!$AF$6:$AF$3005,"保留中")&gt;0,"保留",IF(COUNTIFS(請求記録!$B$6:$B$3005,$A104,請求記録!$Z$6:$Z$3005,O$5)=0,"",SUMIFS(請求記録!$AE$6:$AE$3005,請求記録!$B$6:$B$3005,$A104,請求記録!$Z$6:$Z$3005,O$5))))</f>
        <v/>
      </c>
      <c r="P104" s="19">
        <f>IF($A104="","",IF(COUNTIFS(請求記録!$B$6:$B$3005,$A104,請求記録!$Z$6:$Z$3005,P$5,請求記録!$AF$6:$AF$3005,"保留中")&gt;0,"保留",IF(COUNTIFS(請求記録!$B$6:$B$3005,$A104,請求記録!$Z$6:$Z$3005,P$5)=0,"",SUMIFS(請求記録!$AE$6:$AE$3005,請求記録!$B$6:$B$3005,$A104,請求記録!$Z$6:$Z$3005,P$5))))</f>
        <v/>
      </c>
      <c r="Q104" s="19">
        <f>IF($A104="","",IF(COUNTIFS(請求記録!$B$6:$B$3005,$A104,請求記録!$Z$6:$Z$3005,Q$5,請求記録!$AF$6:$AF$3005,"保留中")&gt;0,"保留",IF(COUNTIFS(請求記録!$B$6:$B$3005,$A104,請求記録!$Z$6:$Z$3005,Q$5)=0,"",SUMIFS(請求記録!$AE$6:$AE$3005,請求記録!$B$6:$B$3005,$A104,請求記録!$Z$6:$Z$3005,Q$5))))</f>
        <v/>
      </c>
      <c r="R104" s="19">
        <f>IF($A104="","",IF(COUNTIFS(請求記録!$B$6:$B$3005,$A104,請求記録!$Z$6:$Z$3005,R$5,請求記録!$AF$6:$AF$3005,"保留中")&gt;0,"保留",IF(COUNTIFS(請求記録!$B$6:$B$3005,$A104,請求記録!$Z$6:$Z$3005,R$5)=0,"",SUMIFS(請求記録!$AE$6:$AE$3005,請求記録!$B$6:$B$3005,$A104,請求記録!$Z$6:$Z$3005,R$5))))</f>
        <v/>
      </c>
      <c r="S104" s="19">
        <f>IF($A104="","",IF(COUNTIFS(請求記録!$B$6:$B$3005,$A104,請求記録!$Z$6:$Z$3005,S$5,請求記録!$AF$6:$AF$3005,"保留中")&gt;0,"保留",IF(COUNTIFS(請求記録!$B$6:$B$3005,$A104,請求記録!$Z$6:$Z$3005,S$5)=0,"",SUMIFS(請求記録!$AE$6:$AE$3005,請求記録!$B$6:$B$3005,$A104,請求記録!$Z$6:$Z$3005,S$5))))</f>
        <v/>
      </c>
      <c r="T104" s="19">
        <f>IF($A104="","",IF(COUNTIFS(請求記録!$B$6:$B$3005,$A104,請求記録!$Z$6:$Z$3005,T$5,請求記録!$AF$6:$AF$3005,"保留中")&gt;0,"保留",IF(COUNTIFS(請求記録!$B$6:$B$3005,$A104,請求記録!$Z$6:$Z$3005,T$5)=0,"",SUMIFS(請求記録!$AE$6:$AE$3005,請求記録!$B$6:$B$3005,$A104,請求記録!$Z$6:$Z$3005,T$5))))</f>
        <v/>
      </c>
      <c r="U104" s="19">
        <f>IF($A104="","",IF(COUNTIFS(請求記録!$B$6:$B$3005,$A104,請求記録!$Z$6:$Z$3005,U$5,請求記録!$AF$6:$AF$3005,"保留中")&gt;0,"保留",IF(COUNTIFS(請求記録!$B$6:$B$3005,$A104,請求記録!$Z$6:$Z$3005,U$5)=0,"",SUMIFS(請求記録!$AE$6:$AE$3005,請求記録!$B$6:$B$3005,$A104,請求記録!$Z$6:$Z$3005,U$5))))</f>
        <v/>
      </c>
      <c r="V104" s="19">
        <f>IF($A104="","",IF(COUNTIFS(請求記録!$B$6:$B$3005,$A104,請求記録!$Z$6:$Z$3005,V$5,請求記録!$AF$6:$AF$3005,"保留中")&gt;0,"保留",IF(COUNTIFS(請求記録!$B$6:$B$3005,$A104,請求記録!$Z$6:$Z$3005,V$5)=0,"",SUMIFS(請求記録!$AE$6:$AE$3005,請求記録!$B$6:$B$3005,$A104,請求記録!$Z$6:$Z$3005,V$5))))</f>
        <v/>
      </c>
      <c r="W104" s="19">
        <f>IF($A104="","",IF(COUNTIFS(請求記録!$B$6:$B$3005,$A104,請求記録!$Z$6:$Z$3005,W$5,請求記録!$AF$6:$AF$3005,"保留中")&gt;0,"保留",IF(COUNTIFS(請求記録!$B$6:$B$3005,$A104,請求記録!$Z$6:$Z$3005,W$5)=0,"",SUMIFS(請求記録!$AE$6:$AE$3005,請求記録!$B$6:$B$3005,$A104,請求記録!$Z$6:$Z$3005,W$5))))</f>
        <v/>
      </c>
      <c r="X104" s="19">
        <f>IF($A104="","",IF(COUNTIFS(請求記録!$B$6:$B$3005,$A104,請求記録!$Z$6:$Z$3005,X$5,請求記録!$AF$6:$AF$3005,"保留中")&gt;0,"保留",IF(COUNTIFS(請求記録!$B$6:$B$3005,$A104,請求記録!$Z$6:$Z$3005,X$5)=0,"",SUMIFS(請求記録!$AE$6:$AE$3005,請求記録!$B$6:$B$3005,$A104,請求記録!$Z$6:$Z$3005,X$5))))</f>
        <v/>
      </c>
      <c r="Y104" s="19">
        <f>IF($A104="","",IF(COUNTIFS(請求記録!$B$6:$B$3005,$A104,請求記録!$Z$6:$Z$3005,Y$5,請求記録!$AF$6:$AF$3005,"保留中")&gt;0,"保留",IF(COUNTIFS(請求記録!$B$6:$B$3005,$A104,請求記録!$Z$6:$Z$3005,Y$5)=0,"",SUMIFS(請求記録!$AE$6:$AE$3005,請求記録!$B$6:$B$3005,$A104,請求記録!$Z$6:$Z$3005,Y$5))))</f>
        <v/>
      </c>
      <c r="Z104" s="19">
        <f>IF($A104="","",IF(COUNTIFS(請求記録!$B$6:$B$3005,$A104,請求記録!$Z$6:$Z$3005,Z$5,請求記録!$AF$6:$AF$3005,"保留中")&gt;0,"保留",IF(COUNTIFS(請求記録!$B$6:$B$3005,$A104,請求記録!$Z$6:$Z$3005,Z$5)=0,"",SUMIFS(請求記録!$AE$6:$AE$3005,請求記録!$B$6:$B$3005,$A104,請求記録!$Z$6:$Z$3005,Z$5))))</f>
        <v/>
      </c>
      <c r="AA104" s="19">
        <f>IF($A104="","",IF(COUNTIFS(請求記録!$B$6:$B$3005,$A104,請求記録!$Z$6:$Z$3005,AA$5,請求記録!$AF$6:$AF$3005,"保留中")&gt;0,"保留",IF(COUNTIFS(請求記録!$B$6:$B$3005,$A104,請求記録!$Z$6:$Z$3005,AA$5)=0,"",SUMIFS(請求記録!$AE$6:$AE$3005,請求記録!$B$6:$B$3005,$A104,請求記録!$Z$6:$Z$3005,AA$5))))</f>
        <v/>
      </c>
      <c r="AB104">
        <f>IF(職員マスタ!P104="保留中",職員マスタ!M104,"")</f>
        <v/>
      </c>
    </row>
    <row r="105">
      <c r="A105">
        <f>IF(職員マスタ!A105="","",職員マスタ!A105)</f>
        <v/>
      </c>
      <c r="B105">
        <f>IF($A105="","",職員マスタ!B105)</f>
        <v/>
      </c>
      <c r="C105">
        <f>IF($A105="","",職員マスタ!C105)</f>
        <v/>
      </c>
      <c r="D105" s="19">
        <f>IF($A105="","",IF(COUNTIFS(請求記録!$B$6:$B$3005,$A105,請求記録!$Z$6:$Z$3005,D$5,請求記録!$AF$6:$AF$3005,"保留中")&gt;0,"保留",IF(COUNTIFS(請求記録!$B$6:$B$3005,$A105,請求記録!$Z$6:$Z$3005,D$5)=0,"",SUMIFS(請求記録!$AE$6:$AE$3005,請求記録!$B$6:$B$3005,$A105,請求記録!$Z$6:$Z$3005,D$5))))</f>
        <v/>
      </c>
      <c r="E105" s="19">
        <f>IF($A105="","",IF(COUNTIFS(請求記録!$B$6:$B$3005,$A105,請求記録!$Z$6:$Z$3005,E$5,請求記録!$AF$6:$AF$3005,"保留中")&gt;0,"保留",IF(COUNTIFS(請求記録!$B$6:$B$3005,$A105,請求記録!$Z$6:$Z$3005,E$5)=0,"",SUMIFS(請求記録!$AE$6:$AE$3005,請求記録!$B$6:$B$3005,$A105,請求記録!$Z$6:$Z$3005,E$5))))</f>
        <v/>
      </c>
      <c r="F105" s="19">
        <f>IF($A105="","",IF(COUNTIFS(請求記録!$B$6:$B$3005,$A105,請求記録!$Z$6:$Z$3005,F$5,請求記録!$AF$6:$AF$3005,"保留中")&gt;0,"保留",IF(COUNTIFS(請求記録!$B$6:$B$3005,$A105,請求記録!$Z$6:$Z$3005,F$5)=0,"",SUMIFS(請求記録!$AE$6:$AE$3005,請求記録!$B$6:$B$3005,$A105,請求記録!$Z$6:$Z$3005,F$5))))</f>
        <v/>
      </c>
      <c r="G105" s="19">
        <f>IF($A105="","",IF(COUNTIFS(請求記録!$B$6:$B$3005,$A105,請求記録!$Z$6:$Z$3005,G$5,請求記録!$AF$6:$AF$3005,"保留中")&gt;0,"保留",IF(COUNTIFS(請求記録!$B$6:$B$3005,$A105,請求記録!$Z$6:$Z$3005,G$5)=0,"",SUMIFS(請求記録!$AE$6:$AE$3005,請求記録!$B$6:$B$3005,$A105,請求記録!$Z$6:$Z$3005,G$5))))</f>
        <v/>
      </c>
      <c r="H105" s="19">
        <f>IF($A105="","",IF(COUNTIFS(請求記録!$B$6:$B$3005,$A105,請求記録!$Z$6:$Z$3005,H$5,請求記録!$AF$6:$AF$3005,"保留中")&gt;0,"保留",IF(COUNTIFS(請求記録!$B$6:$B$3005,$A105,請求記録!$Z$6:$Z$3005,H$5)=0,"",SUMIFS(請求記録!$AE$6:$AE$3005,請求記録!$B$6:$B$3005,$A105,請求記録!$Z$6:$Z$3005,H$5))))</f>
        <v/>
      </c>
      <c r="I105" s="19">
        <f>IF($A105="","",IF(COUNTIFS(請求記録!$B$6:$B$3005,$A105,請求記録!$Z$6:$Z$3005,I$5,請求記録!$AF$6:$AF$3005,"保留中")&gt;0,"保留",IF(COUNTIFS(請求記録!$B$6:$B$3005,$A105,請求記録!$Z$6:$Z$3005,I$5)=0,"",SUMIFS(請求記録!$AE$6:$AE$3005,請求記録!$B$6:$B$3005,$A105,請求記録!$Z$6:$Z$3005,I$5))))</f>
        <v/>
      </c>
      <c r="J105" s="19">
        <f>IF($A105="","",IF(COUNTIFS(請求記録!$B$6:$B$3005,$A105,請求記録!$Z$6:$Z$3005,J$5,請求記録!$AF$6:$AF$3005,"保留中")&gt;0,"保留",IF(COUNTIFS(請求記録!$B$6:$B$3005,$A105,請求記録!$Z$6:$Z$3005,J$5)=0,"",SUMIFS(請求記録!$AE$6:$AE$3005,請求記録!$B$6:$B$3005,$A105,請求記録!$Z$6:$Z$3005,J$5))))</f>
        <v/>
      </c>
      <c r="K105" s="19">
        <f>IF($A105="","",IF(COUNTIFS(請求記録!$B$6:$B$3005,$A105,請求記録!$Z$6:$Z$3005,K$5,請求記録!$AF$6:$AF$3005,"保留中")&gt;0,"保留",IF(COUNTIFS(請求記録!$B$6:$B$3005,$A105,請求記録!$Z$6:$Z$3005,K$5)=0,"",SUMIFS(請求記録!$AE$6:$AE$3005,請求記録!$B$6:$B$3005,$A105,請求記録!$Z$6:$Z$3005,K$5))))</f>
        <v/>
      </c>
      <c r="L105" s="19">
        <f>IF($A105="","",IF(COUNTIFS(請求記録!$B$6:$B$3005,$A105,請求記録!$Z$6:$Z$3005,L$5,請求記録!$AF$6:$AF$3005,"保留中")&gt;0,"保留",IF(COUNTIFS(請求記録!$B$6:$B$3005,$A105,請求記録!$Z$6:$Z$3005,L$5)=0,"",SUMIFS(請求記録!$AE$6:$AE$3005,請求記録!$B$6:$B$3005,$A105,請求記録!$Z$6:$Z$3005,L$5))))</f>
        <v/>
      </c>
      <c r="M105" s="19">
        <f>IF($A105="","",IF(COUNTIFS(請求記録!$B$6:$B$3005,$A105,請求記録!$Z$6:$Z$3005,M$5,請求記録!$AF$6:$AF$3005,"保留中")&gt;0,"保留",IF(COUNTIFS(請求記録!$B$6:$B$3005,$A105,請求記録!$Z$6:$Z$3005,M$5)=0,"",SUMIFS(請求記録!$AE$6:$AE$3005,請求記録!$B$6:$B$3005,$A105,請求記録!$Z$6:$Z$3005,M$5))))</f>
        <v/>
      </c>
      <c r="N105" s="19">
        <f>IF($A105="","",IF(COUNTIFS(請求記録!$B$6:$B$3005,$A105,請求記録!$Z$6:$Z$3005,N$5,請求記録!$AF$6:$AF$3005,"保留中")&gt;0,"保留",IF(COUNTIFS(請求記録!$B$6:$B$3005,$A105,請求記録!$Z$6:$Z$3005,N$5)=0,"",SUMIFS(請求記録!$AE$6:$AE$3005,請求記録!$B$6:$B$3005,$A105,請求記録!$Z$6:$Z$3005,N$5))))</f>
        <v/>
      </c>
      <c r="O105" s="19">
        <f>IF($A105="","",IF(COUNTIFS(請求記録!$B$6:$B$3005,$A105,請求記録!$Z$6:$Z$3005,O$5,請求記録!$AF$6:$AF$3005,"保留中")&gt;0,"保留",IF(COUNTIFS(請求記録!$B$6:$B$3005,$A105,請求記録!$Z$6:$Z$3005,O$5)=0,"",SUMIFS(請求記録!$AE$6:$AE$3005,請求記録!$B$6:$B$3005,$A105,請求記録!$Z$6:$Z$3005,O$5))))</f>
        <v/>
      </c>
      <c r="P105" s="19">
        <f>IF($A105="","",IF(COUNTIFS(請求記録!$B$6:$B$3005,$A105,請求記録!$Z$6:$Z$3005,P$5,請求記録!$AF$6:$AF$3005,"保留中")&gt;0,"保留",IF(COUNTIFS(請求記録!$B$6:$B$3005,$A105,請求記録!$Z$6:$Z$3005,P$5)=0,"",SUMIFS(請求記録!$AE$6:$AE$3005,請求記録!$B$6:$B$3005,$A105,請求記録!$Z$6:$Z$3005,P$5))))</f>
        <v/>
      </c>
      <c r="Q105" s="19">
        <f>IF($A105="","",IF(COUNTIFS(請求記録!$B$6:$B$3005,$A105,請求記録!$Z$6:$Z$3005,Q$5,請求記録!$AF$6:$AF$3005,"保留中")&gt;0,"保留",IF(COUNTIFS(請求記録!$B$6:$B$3005,$A105,請求記録!$Z$6:$Z$3005,Q$5)=0,"",SUMIFS(請求記録!$AE$6:$AE$3005,請求記録!$B$6:$B$3005,$A105,請求記録!$Z$6:$Z$3005,Q$5))))</f>
        <v/>
      </c>
      <c r="R105" s="19">
        <f>IF($A105="","",IF(COUNTIFS(請求記録!$B$6:$B$3005,$A105,請求記録!$Z$6:$Z$3005,R$5,請求記録!$AF$6:$AF$3005,"保留中")&gt;0,"保留",IF(COUNTIFS(請求記録!$B$6:$B$3005,$A105,請求記録!$Z$6:$Z$3005,R$5)=0,"",SUMIFS(請求記録!$AE$6:$AE$3005,請求記録!$B$6:$B$3005,$A105,請求記録!$Z$6:$Z$3005,R$5))))</f>
        <v/>
      </c>
      <c r="S105" s="19">
        <f>IF($A105="","",IF(COUNTIFS(請求記録!$B$6:$B$3005,$A105,請求記録!$Z$6:$Z$3005,S$5,請求記録!$AF$6:$AF$3005,"保留中")&gt;0,"保留",IF(COUNTIFS(請求記録!$B$6:$B$3005,$A105,請求記録!$Z$6:$Z$3005,S$5)=0,"",SUMIFS(請求記録!$AE$6:$AE$3005,請求記録!$B$6:$B$3005,$A105,請求記録!$Z$6:$Z$3005,S$5))))</f>
        <v/>
      </c>
      <c r="T105" s="19">
        <f>IF($A105="","",IF(COUNTIFS(請求記録!$B$6:$B$3005,$A105,請求記録!$Z$6:$Z$3005,T$5,請求記録!$AF$6:$AF$3005,"保留中")&gt;0,"保留",IF(COUNTIFS(請求記録!$B$6:$B$3005,$A105,請求記録!$Z$6:$Z$3005,T$5)=0,"",SUMIFS(請求記録!$AE$6:$AE$3005,請求記録!$B$6:$B$3005,$A105,請求記録!$Z$6:$Z$3005,T$5))))</f>
        <v/>
      </c>
      <c r="U105" s="19">
        <f>IF($A105="","",IF(COUNTIFS(請求記録!$B$6:$B$3005,$A105,請求記録!$Z$6:$Z$3005,U$5,請求記録!$AF$6:$AF$3005,"保留中")&gt;0,"保留",IF(COUNTIFS(請求記録!$B$6:$B$3005,$A105,請求記録!$Z$6:$Z$3005,U$5)=0,"",SUMIFS(請求記録!$AE$6:$AE$3005,請求記録!$B$6:$B$3005,$A105,請求記録!$Z$6:$Z$3005,U$5))))</f>
        <v/>
      </c>
      <c r="V105" s="19">
        <f>IF($A105="","",IF(COUNTIFS(請求記録!$B$6:$B$3005,$A105,請求記録!$Z$6:$Z$3005,V$5,請求記録!$AF$6:$AF$3005,"保留中")&gt;0,"保留",IF(COUNTIFS(請求記録!$B$6:$B$3005,$A105,請求記録!$Z$6:$Z$3005,V$5)=0,"",SUMIFS(請求記録!$AE$6:$AE$3005,請求記録!$B$6:$B$3005,$A105,請求記録!$Z$6:$Z$3005,V$5))))</f>
        <v/>
      </c>
      <c r="W105" s="19">
        <f>IF($A105="","",IF(COUNTIFS(請求記録!$B$6:$B$3005,$A105,請求記録!$Z$6:$Z$3005,W$5,請求記録!$AF$6:$AF$3005,"保留中")&gt;0,"保留",IF(COUNTIFS(請求記録!$B$6:$B$3005,$A105,請求記録!$Z$6:$Z$3005,W$5)=0,"",SUMIFS(請求記録!$AE$6:$AE$3005,請求記録!$B$6:$B$3005,$A105,請求記録!$Z$6:$Z$3005,W$5))))</f>
        <v/>
      </c>
      <c r="X105" s="19">
        <f>IF($A105="","",IF(COUNTIFS(請求記録!$B$6:$B$3005,$A105,請求記録!$Z$6:$Z$3005,X$5,請求記録!$AF$6:$AF$3005,"保留中")&gt;0,"保留",IF(COUNTIFS(請求記録!$B$6:$B$3005,$A105,請求記録!$Z$6:$Z$3005,X$5)=0,"",SUMIFS(請求記録!$AE$6:$AE$3005,請求記録!$B$6:$B$3005,$A105,請求記録!$Z$6:$Z$3005,X$5))))</f>
        <v/>
      </c>
      <c r="Y105" s="19">
        <f>IF($A105="","",IF(COUNTIFS(請求記録!$B$6:$B$3005,$A105,請求記録!$Z$6:$Z$3005,Y$5,請求記録!$AF$6:$AF$3005,"保留中")&gt;0,"保留",IF(COUNTIFS(請求記録!$B$6:$B$3005,$A105,請求記録!$Z$6:$Z$3005,Y$5)=0,"",SUMIFS(請求記録!$AE$6:$AE$3005,請求記録!$B$6:$B$3005,$A105,請求記録!$Z$6:$Z$3005,Y$5))))</f>
        <v/>
      </c>
      <c r="Z105" s="19">
        <f>IF($A105="","",IF(COUNTIFS(請求記録!$B$6:$B$3005,$A105,請求記録!$Z$6:$Z$3005,Z$5,請求記録!$AF$6:$AF$3005,"保留中")&gt;0,"保留",IF(COUNTIFS(請求記録!$B$6:$B$3005,$A105,請求記録!$Z$6:$Z$3005,Z$5)=0,"",SUMIFS(請求記録!$AE$6:$AE$3005,請求記録!$B$6:$B$3005,$A105,請求記録!$Z$6:$Z$3005,Z$5))))</f>
        <v/>
      </c>
      <c r="AA105" s="19">
        <f>IF($A105="","",IF(COUNTIFS(請求記録!$B$6:$B$3005,$A105,請求記録!$Z$6:$Z$3005,AA$5,請求記録!$AF$6:$AF$3005,"保留中")&gt;0,"保留",IF(COUNTIFS(請求記録!$B$6:$B$3005,$A105,請求記録!$Z$6:$Z$3005,AA$5)=0,"",SUMIFS(請求記録!$AE$6:$AE$3005,請求記録!$B$6:$B$3005,$A105,請求記録!$Z$6:$Z$3005,AA$5))))</f>
        <v/>
      </c>
      <c r="AB105">
        <f>IF(職員マスタ!P105="保留中",職員マスタ!M105,"")</f>
        <v/>
      </c>
    </row>
    <row r="106">
      <c r="A106">
        <f>IF(職員マスタ!A106="","",職員マスタ!A106)</f>
        <v/>
      </c>
      <c r="B106">
        <f>IF($A106="","",職員マスタ!B106)</f>
        <v/>
      </c>
      <c r="C106">
        <f>IF($A106="","",職員マスタ!C106)</f>
        <v/>
      </c>
      <c r="D106" s="19">
        <f>IF($A106="","",IF(COUNTIFS(請求記録!$B$6:$B$3005,$A106,請求記録!$Z$6:$Z$3005,D$5,請求記録!$AF$6:$AF$3005,"保留中")&gt;0,"保留",IF(COUNTIFS(請求記録!$B$6:$B$3005,$A106,請求記録!$Z$6:$Z$3005,D$5)=0,"",SUMIFS(請求記録!$AE$6:$AE$3005,請求記録!$B$6:$B$3005,$A106,請求記録!$Z$6:$Z$3005,D$5))))</f>
        <v/>
      </c>
      <c r="E106" s="19">
        <f>IF($A106="","",IF(COUNTIFS(請求記録!$B$6:$B$3005,$A106,請求記録!$Z$6:$Z$3005,E$5,請求記録!$AF$6:$AF$3005,"保留中")&gt;0,"保留",IF(COUNTIFS(請求記録!$B$6:$B$3005,$A106,請求記録!$Z$6:$Z$3005,E$5)=0,"",SUMIFS(請求記録!$AE$6:$AE$3005,請求記録!$B$6:$B$3005,$A106,請求記録!$Z$6:$Z$3005,E$5))))</f>
        <v/>
      </c>
      <c r="F106" s="19">
        <f>IF($A106="","",IF(COUNTIFS(請求記録!$B$6:$B$3005,$A106,請求記録!$Z$6:$Z$3005,F$5,請求記録!$AF$6:$AF$3005,"保留中")&gt;0,"保留",IF(COUNTIFS(請求記録!$B$6:$B$3005,$A106,請求記録!$Z$6:$Z$3005,F$5)=0,"",SUMIFS(請求記録!$AE$6:$AE$3005,請求記録!$B$6:$B$3005,$A106,請求記録!$Z$6:$Z$3005,F$5))))</f>
        <v/>
      </c>
      <c r="G106" s="19">
        <f>IF($A106="","",IF(COUNTIFS(請求記録!$B$6:$B$3005,$A106,請求記録!$Z$6:$Z$3005,G$5,請求記録!$AF$6:$AF$3005,"保留中")&gt;0,"保留",IF(COUNTIFS(請求記録!$B$6:$B$3005,$A106,請求記録!$Z$6:$Z$3005,G$5)=0,"",SUMIFS(請求記録!$AE$6:$AE$3005,請求記録!$B$6:$B$3005,$A106,請求記録!$Z$6:$Z$3005,G$5))))</f>
        <v/>
      </c>
      <c r="H106" s="19">
        <f>IF($A106="","",IF(COUNTIFS(請求記録!$B$6:$B$3005,$A106,請求記録!$Z$6:$Z$3005,H$5,請求記録!$AF$6:$AF$3005,"保留中")&gt;0,"保留",IF(COUNTIFS(請求記録!$B$6:$B$3005,$A106,請求記録!$Z$6:$Z$3005,H$5)=0,"",SUMIFS(請求記録!$AE$6:$AE$3005,請求記録!$B$6:$B$3005,$A106,請求記録!$Z$6:$Z$3005,H$5))))</f>
        <v/>
      </c>
      <c r="I106" s="19">
        <f>IF($A106="","",IF(COUNTIFS(請求記録!$B$6:$B$3005,$A106,請求記録!$Z$6:$Z$3005,I$5,請求記録!$AF$6:$AF$3005,"保留中")&gt;0,"保留",IF(COUNTIFS(請求記録!$B$6:$B$3005,$A106,請求記録!$Z$6:$Z$3005,I$5)=0,"",SUMIFS(請求記録!$AE$6:$AE$3005,請求記録!$B$6:$B$3005,$A106,請求記録!$Z$6:$Z$3005,I$5))))</f>
        <v/>
      </c>
      <c r="J106" s="19">
        <f>IF($A106="","",IF(COUNTIFS(請求記録!$B$6:$B$3005,$A106,請求記録!$Z$6:$Z$3005,J$5,請求記録!$AF$6:$AF$3005,"保留中")&gt;0,"保留",IF(COUNTIFS(請求記録!$B$6:$B$3005,$A106,請求記録!$Z$6:$Z$3005,J$5)=0,"",SUMIFS(請求記録!$AE$6:$AE$3005,請求記録!$B$6:$B$3005,$A106,請求記録!$Z$6:$Z$3005,J$5))))</f>
        <v/>
      </c>
      <c r="K106" s="19">
        <f>IF($A106="","",IF(COUNTIFS(請求記録!$B$6:$B$3005,$A106,請求記録!$Z$6:$Z$3005,K$5,請求記録!$AF$6:$AF$3005,"保留中")&gt;0,"保留",IF(COUNTIFS(請求記録!$B$6:$B$3005,$A106,請求記録!$Z$6:$Z$3005,K$5)=0,"",SUMIFS(請求記録!$AE$6:$AE$3005,請求記録!$B$6:$B$3005,$A106,請求記録!$Z$6:$Z$3005,K$5))))</f>
        <v/>
      </c>
      <c r="L106" s="19">
        <f>IF($A106="","",IF(COUNTIFS(請求記録!$B$6:$B$3005,$A106,請求記録!$Z$6:$Z$3005,L$5,請求記録!$AF$6:$AF$3005,"保留中")&gt;0,"保留",IF(COUNTIFS(請求記録!$B$6:$B$3005,$A106,請求記録!$Z$6:$Z$3005,L$5)=0,"",SUMIFS(請求記録!$AE$6:$AE$3005,請求記録!$B$6:$B$3005,$A106,請求記録!$Z$6:$Z$3005,L$5))))</f>
        <v/>
      </c>
      <c r="M106" s="19">
        <f>IF($A106="","",IF(COUNTIFS(請求記録!$B$6:$B$3005,$A106,請求記録!$Z$6:$Z$3005,M$5,請求記録!$AF$6:$AF$3005,"保留中")&gt;0,"保留",IF(COUNTIFS(請求記録!$B$6:$B$3005,$A106,請求記録!$Z$6:$Z$3005,M$5)=0,"",SUMIFS(請求記録!$AE$6:$AE$3005,請求記録!$B$6:$B$3005,$A106,請求記録!$Z$6:$Z$3005,M$5))))</f>
        <v/>
      </c>
      <c r="N106" s="19">
        <f>IF($A106="","",IF(COUNTIFS(請求記録!$B$6:$B$3005,$A106,請求記録!$Z$6:$Z$3005,N$5,請求記録!$AF$6:$AF$3005,"保留中")&gt;0,"保留",IF(COUNTIFS(請求記録!$B$6:$B$3005,$A106,請求記録!$Z$6:$Z$3005,N$5)=0,"",SUMIFS(請求記録!$AE$6:$AE$3005,請求記録!$B$6:$B$3005,$A106,請求記録!$Z$6:$Z$3005,N$5))))</f>
        <v/>
      </c>
      <c r="O106" s="19">
        <f>IF($A106="","",IF(COUNTIFS(請求記録!$B$6:$B$3005,$A106,請求記録!$Z$6:$Z$3005,O$5,請求記録!$AF$6:$AF$3005,"保留中")&gt;0,"保留",IF(COUNTIFS(請求記録!$B$6:$B$3005,$A106,請求記録!$Z$6:$Z$3005,O$5)=0,"",SUMIFS(請求記録!$AE$6:$AE$3005,請求記録!$B$6:$B$3005,$A106,請求記録!$Z$6:$Z$3005,O$5))))</f>
        <v/>
      </c>
      <c r="P106" s="19">
        <f>IF($A106="","",IF(COUNTIFS(請求記録!$B$6:$B$3005,$A106,請求記録!$Z$6:$Z$3005,P$5,請求記録!$AF$6:$AF$3005,"保留中")&gt;0,"保留",IF(COUNTIFS(請求記録!$B$6:$B$3005,$A106,請求記録!$Z$6:$Z$3005,P$5)=0,"",SUMIFS(請求記録!$AE$6:$AE$3005,請求記録!$B$6:$B$3005,$A106,請求記録!$Z$6:$Z$3005,P$5))))</f>
        <v/>
      </c>
      <c r="Q106" s="19">
        <f>IF($A106="","",IF(COUNTIFS(請求記録!$B$6:$B$3005,$A106,請求記録!$Z$6:$Z$3005,Q$5,請求記録!$AF$6:$AF$3005,"保留中")&gt;0,"保留",IF(COUNTIFS(請求記録!$B$6:$B$3005,$A106,請求記録!$Z$6:$Z$3005,Q$5)=0,"",SUMIFS(請求記録!$AE$6:$AE$3005,請求記録!$B$6:$B$3005,$A106,請求記録!$Z$6:$Z$3005,Q$5))))</f>
        <v/>
      </c>
      <c r="R106" s="19">
        <f>IF($A106="","",IF(COUNTIFS(請求記録!$B$6:$B$3005,$A106,請求記録!$Z$6:$Z$3005,R$5,請求記録!$AF$6:$AF$3005,"保留中")&gt;0,"保留",IF(COUNTIFS(請求記録!$B$6:$B$3005,$A106,請求記録!$Z$6:$Z$3005,R$5)=0,"",SUMIFS(請求記録!$AE$6:$AE$3005,請求記録!$B$6:$B$3005,$A106,請求記録!$Z$6:$Z$3005,R$5))))</f>
        <v/>
      </c>
      <c r="S106" s="19">
        <f>IF($A106="","",IF(COUNTIFS(請求記録!$B$6:$B$3005,$A106,請求記録!$Z$6:$Z$3005,S$5,請求記録!$AF$6:$AF$3005,"保留中")&gt;0,"保留",IF(COUNTIFS(請求記録!$B$6:$B$3005,$A106,請求記録!$Z$6:$Z$3005,S$5)=0,"",SUMIFS(請求記録!$AE$6:$AE$3005,請求記録!$B$6:$B$3005,$A106,請求記録!$Z$6:$Z$3005,S$5))))</f>
        <v/>
      </c>
      <c r="T106" s="19">
        <f>IF($A106="","",IF(COUNTIFS(請求記録!$B$6:$B$3005,$A106,請求記録!$Z$6:$Z$3005,T$5,請求記録!$AF$6:$AF$3005,"保留中")&gt;0,"保留",IF(COUNTIFS(請求記録!$B$6:$B$3005,$A106,請求記録!$Z$6:$Z$3005,T$5)=0,"",SUMIFS(請求記録!$AE$6:$AE$3005,請求記録!$B$6:$B$3005,$A106,請求記録!$Z$6:$Z$3005,T$5))))</f>
        <v/>
      </c>
      <c r="U106" s="19">
        <f>IF($A106="","",IF(COUNTIFS(請求記録!$B$6:$B$3005,$A106,請求記録!$Z$6:$Z$3005,U$5,請求記録!$AF$6:$AF$3005,"保留中")&gt;0,"保留",IF(COUNTIFS(請求記録!$B$6:$B$3005,$A106,請求記録!$Z$6:$Z$3005,U$5)=0,"",SUMIFS(請求記録!$AE$6:$AE$3005,請求記録!$B$6:$B$3005,$A106,請求記録!$Z$6:$Z$3005,U$5))))</f>
        <v/>
      </c>
      <c r="V106" s="19">
        <f>IF($A106="","",IF(COUNTIFS(請求記録!$B$6:$B$3005,$A106,請求記録!$Z$6:$Z$3005,V$5,請求記録!$AF$6:$AF$3005,"保留中")&gt;0,"保留",IF(COUNTIFS(請求記録!$B$6:$B$3005,$A106,請求記録!$Z$6:$Z$3005,V$5)=0,"",SUMIFS(請求記録!$AE$6:$AE$3005,請求記録!$B$6:$B$3005,$A106,請求記録!$Z$6:$Z$3005,V$5))))</f>
        <v/>
      </c>
      <c r="W106" s="19">
        <f>IF($A106="","",IF(COUNTIFS(請求記録!$B$6:$B$3005,$A106,請求記録!$Z$6:$Z$3005,W$5,請求記録!$AF$6:$AF$3005,"保留中")&gt;0,"保留",IF(COUNTIFS(請求記録!$B$6:$B$3005,$A106,請求記録!$Z$6:$Z$3005,W$5)=0,"",SUMIFS(請求記録!$AE$6:$AE$3005,請求記録!$B$6:$B$3005,$A106,請求記録!$Z$6:$Z$3005,W$5))))</f>
        <v/>
      </c>
      <c r="X106" s="19">
        <f>IF($A106="","",IF(COUNTIFS(請求記録!$B$6:$B$3005,$A106,請求記録!$Z$6:$Z$3005,X$5,請求記録!$AF$6:$AF$3005,"保留中")&gt;0,"保留",IF(COUNTIFS(請求記録!$B$6:$B$3005,$A106,請求記録!$Z$6:$Z$3005,X$5)=0,"",SUMIFS(請求記録!$AE$6:$AE$3005,請求記録!$B$6:$B$3005,$A106,請求記録!$Z$6:$Z$3005,X$5))))</f>
        <v/>
      </c>
      <c r="Y106" s="19">
        <f>IF($A106="","",IF(COUNTIFS(請求記録!$B$6:$B$3005,$A106,請求記録!$Z$6:$Z$3005,Y$5,請求記録!$AF$6:$AF$3005,"保留中")&gt;0,"保留",IF(COUNTIFS(請求記録!$B$6:$B$3005,$A106,請求記録!$Z$6:$Z$3005,Y$5)=0,"",SUMIFS(請求記録!$AE$6:$AE$3005,請求記録!$B$6:$B$3005,$A106,請求記録!$Z$6:$Z$3005,Y$5))))</f>
        <v/>
      </c>
      <c r="Z106" s="19">
        <f>IF($A106="","",IF(COUNTIFS(請求記録!$B$6:$B$3005,$A106,請求記録!$Z$6:$Z$3005,Z$5,請求記録!$AF$6:$AF$3005,"保留中")&gt;0,"保留",IF(COUNTIFS(請求記録!$B$6:$B$3005,$A106,請求記録!$Z$6:$Z$3005,Z$5)=0,"",SUMIFS(請求記録!$AE$6:$AE$3005,請求記録!$B$6:$B$3005,$A106,請求記録!$Z$6:$Z$3005,Z$5))))</f>
        <v/>
      </c>
      <c r="AA106" s="19">
        <f>IF($A106="","",IF(COUNTIFS(請求記録!$B$6:$B$3005,$A106,請求記録!$Z$6:$Z$3005,AA$5,請求記録!$AF$6:$AF$3005,"保留中")&gt;0,"保留",IF(COUNTIFS(請求記録!$B$6:$B$3005,$A106,請求記録!$Z$6:$Z$3005,AA$5)=0,"",SUMIFS(請求記録!$AE$6:$AE$3005,請求記録!$B$6:$B$3005,$A106,請求記録!$Z$6:$Z$3005,AA$5))))</f>
        <v/>
      </c>
      <c r="AB106">
        <f>IF(職員マスタ!P106="保留中",職員マスタ!M106,"")</f>
        <v/>
      </c>
    </row>
    <row r="107">
      <c r="A107">
        <f>IF(職員マスタ!A107="","",職員マスタ!A107)</f>
        <v/>
      </c>
      <c r="B107">
        <f>IF($A107="","",職員マスタ!B107)</f>
        <v/>
      </c>
      <c r="C107">
        <f>IF($A107="","",職員マスタ!C107)</f>
        <v/>
      </c>
      <c r="D107" s="19">
        <f>IF($A107="","",IF(COUNTIFS(請求記録!$B$6:$B$3005,$A107,請求記録!$Z$6:$Z$3005,D$5,請求記録!$AF$6:$AF$3005,"保留中")&gt;0,"保留",IF(COUNTIFS(請求記録!$B$6:$B$3005,$A107,請求記録!$Z$6:$Z$3005,D$5)=0,"",SUMIFS(請求記録!$AE$6:$AE$3005,請求記録!$B$6:$B$3005,$A107,請求記録!$Z$6:$Z$3005,D$5))))</f>
        <v/>
      </c>
      <c r="E107" s="19">
        <f>IF($A107="","",IF(COUNTIFS(請求記録!$B$6:$B$3005,$A107,請求記録!$Z$6:$Z$3005,E$5,請求記録!$AF$6:$AF$3005,"保留中")&gt;0,"保留",IF(COUNTIFS(請求記録!$B$6:$B$3005,$A107,請求記録!$Z$6:$Z$3005,E$5)=0,"",SUMIFS(請求記録!$AE$6:$AE$3005,請求記録!$B$6:$B$3005,$A107,請求記録!$Z$6:$Z$3005,E$5))))</f>
        <v/>
      </c>
      <c r="F107" s="19">
        <f>IF($A107="","",IF(COUNTIFS(請求記録!$B$6:$B$3005,$A107,請求記録!$Z$6:$Z$3005,F$5,請求記録!$AF$6:$AF$3005,"保留中")&gt;0,"保留",IF(COUNTIFS(請求記録!$B$6:$B$3005,$A107,請求記録!$Z$6:$Z$3005,F$5)=0,"",SUMIFS(請求記録!$AE$6:$AE$3005,請求記録!$B$6:$B$3005,$A107,請求記録!$Z$6:$Z$3005,F$5))))</f>
        <v/>
      </c>
      <c r="G107" s="19">
        <f>IF($A107="","",IF(COUNTIFS(請求記録!$B$6:$B$3005,$A107,請求記録!$Z$6:$Z$3005,G$5,請求記録!$AF$6:$AF$3005,"保留中")&gt;0,"保留",IF(COUNTIFS(請求記録!$B$6:$B$3005,$A107,請求記録!$Z$6:$Z$3005,G$5)=0,"",SUMIFS(請求記録!$AE$6:$AE$3005,請求記録!$B$6:$B$3005,$A107,請求記録!$Z$6:$Z$3005,G$5))))</f>
        <v/>
      </c>
      <c r="H107" s="19">
        <f>IF($A107="","",IF(COUNTIFS(請求記録!$B$6:$B$3005,$A107,請求記録!$Z$6:$Z$3005,H$5,請求記録!$AF$6:$AF$3005,"保留中")&gt;0,"保留",IF(COUNTIFS(請求記録!$B$6:$B$3005,$A107,請求記録!$Z$6:$Z$3005,H$5)=0,"",SUMIFS(請求記録!$AE$6:$AE$3005,請求記録!$B$6:$B$3005,$A107,請求記録!$Z$6:$Z$3005,H$5))))</f>
        <v/>
      </c>
      <c r="I107" s="19">
        <f>IF($A107="","",IF(COUNTIFS(請求記録!$B$6:$B$3005,$A107,請求記録!$Z$6:$Z$3005,I$5,請求記録!$AF$6:$AF$3005,"保留中")&gt;0,"保留",IF(COUNTIFS(請求記録!$B$6:$B$3005,$A107,請求記録!$Z$6:$Z$3005,I$5)=0,"",SUMIFS(請求記録!$AE$6:$AE$3005,請求記録!$B$6:$B$3005,$A107,請求記録!$Z$6:$Z$3005,I$5))))</f>
        <v/>
      </c>
      <c r="J107" s="19">
        <f>IF($A107="","",IF(COUNTIFS(請求記録!$B$6:$B$3005,$A107,請求記録!$Z$6:$Z$3005,J$5,請求記録!$AF$6:$AF$3005,"保留中")&gt;0,"保留",IF(COUNTIFS(請求記録!$B$6:$B$3005,$A107,請求記録!$Z$6:$Z$3005,J$5)=0,"",SUMIFS(請求記録!$AE$6:$AE$3005,請求記録!$B$6:$B$3005,$A107,請求記録!$Z$6:$Z$3005,J$5))))</f>
        <v/>
      </c>
      <c r="K107" s="19">
        <f>IF($A107="","",IF(COUNTIFS(請求記録!$B$6:$B$3005,$A107,請求記録!$Z$6:$Z$3005,K$5,請求記録!$AF$6:$AF$3005,"保留中")&gt;0,"保留",IF(COUNTIFS(請求記録!$B$6:$B$3005,$A107,請求記録!$Z$6:$Z$3005,K$5)=0,"",SUMIFS(請求記録!$AE$6:$AE$3005,請求記録!$B$6:$B$3005,$A107,請求記録!$Z$6:$Z$3005,K$5))))</f>
        <v/>
      </c>
      <c r="L107" s="19">
        <f>IF($A107="","",IF(COUNTIFS(請求記録!$B$6:$B$3005,$A107,請求記録!$Z$6:$Z$3005,L$5,請求記録!$AF$6:$AF$3005,"保留中")&gt;0,"保留",IF(COUNTIFS(請求記録!$B$6:$B$3005,$A107,請求記録!$Z$6:$Z$3005,L$5)=0,"",SUMIFS(請求記録!$AE$6:$AE$3005,請求記録!$B$6:$B$3005,$A107,請求記録!$Z$6:$Z$3005,L$5))))</f>
        <v/>
      </c>
      <c r="M107" s="19">
        <f>IF($A107="","",IF(COUNTIFS(請求記録!$B$6:$B$3005,$A107,請求記録!$Z$6:$Z$3005,M$5,請求記録!$AF$6:$AF$3005,"保留中")&gt;0,"保留",IF(COUNTIFS(請求記録!$B$6:$B$3005,$A107,請求記録!$Z$6:$Z$3005,M$5)=0,"",SUMIFS(請求記録!$AE$6:$AE$3005,請求記録!$B$6:$B$3005,$A107,請求記録!$Z$6:$Z$3005,M$5))))</f>
        <v/>
      </c>
      <c r="N107" s="19">
        <f>IF($A107="","",IF(COUNTIFS(請求記録!$B$6:$B$3005,$A107,請求記録!$Z$6:$Z$3005,N$5,請求記録!$AF$6:$AF$3005,"保留中")&gt;0,"保留",IF(COUNTIFS(請求記録!$B$6:$B$3005,$A107,請求記録!$Z$6:$Z$3005,N$5)=0,"",SUMIFS(請求記録!$AE$6:$AE$3005,請求記録!$B$6:$B$3005,$A107,請求記録!$Z$6:$Z$3005,N$5))))</f>
        <v/>
      </c>
      <c r="O107" s="19">
        <f>IF($A107="","",IF(COUNTIFS(請求記録!$B$6:$B$3005,$A107,請求記録!$Z$6:$Z$3005,O$5,請求記録!$AF$6:$AF$3005,"保留中")&gt;0,"保留",IF(COUNTIFS(請求記録!$B$6:$B$3005,$A107,請求記録!$Z$6:$Z$3005,O$5)=0,"",SUMIFS(請求記録!$AE$6:$AE$3005,請求記録!$B$6:$B$3005,$A107,請求記録!$Z$6:$Z$3005,O$5))))</f>
        <v/>
      </c>
      <c r="P107" s="19">
        <f>IF($A107="","",IF(COUNTIFS(請求記録!$B$6:$B$3005,$A107,請求記録!$Z$6:$Z$3005,P$5,請求記録!$AF$6:$AF$3005,"保留中")&gt;0,"保留",IF(COUNTIFS(請求記録!$B$6:$B$3005,$A107,請求記録!$Z$6:$Z$3005,P$5)=0,"",SUMIFS(請求記録!$AE$6:$AE$3005,請求記録!$B$6:$B$3005,$A107,請求記録!$Z$6:$Z$3005,P$5))))</f>
        <v/>
      </c>
      <c r="Q107" s="19">
        <f>IF($A107="","",IF(COUNTIFS(請求記録!$B$6:$B$3005,$A107,請求記録!$Z$6:$Z$3005,Q$5,請求記録!$AF$6:$AF$3005,"保留中")&gt;0,"保留",IF(COUNTIFS(請求記録!$B$6:$B$3005,$A107,請求記録!$Z$6:$Z$3005,Q$5)=0,"",SUMIFS(請求記録!$AE$6:$AE$3005,請求記録!$B$6:$B$3005,$A107,請求記録!$Z$6:$Z$3005,Q$5))))</f>
        <v/>
      </c>
      <c r="R107" s="19">
        <f>IF($A107="","",IF(COUNTIFS(請求記録!$B$6:$B$3005,$A107,請求記録!$Z$6:$Z$3005,R$5,請求記録!$AF$6:$AF$3005,"保留中")&gt;0,"保留",IF(COUNTIFS(請求記録!$B$6:$B$3005,$A107,請求記録!$Z$6:$Z$3005,R$5)=0,"",SUMIFS(請求記録!$AE$6:$AE$3005,請求記録!$B$6:$B$3005,$A107,請求記録!$Z$6:$Z$3005,R$5))))</f>
        <v/>
      </c>
      <c r="S107" s="19">
        <f>IF($A107="","",IF(COUNTIFS(請求記録!$B$6:$B$3005,$A107,請求記録!$Z$6:$Z$3005,S$5,請求記録!$AF$6:$AF$3005,"保留中")&gt;0,"保留",IF(COUNTIFS(請求記録!$B$6:$B$3005,$A107,請求記録!$Z$6:$Z$3005,S$5)=0,"",SUMIFS(請求記録!$AE$6:$AE$3005,請求記録!$B$6:$B$3005,$A107,請求記録!$Z$6:$Z$3005,S$5))))</f>
        <v/>
      </c>
      <c r="T107" s="19">
        <f>IF($A107="","",IF(COUNTIFS(請求記録!$B$6:$B$3005,$A107,請求記録!$Z$6:$Z$3005,T$5,請求記録!$AF$6:$AF$3005,"保留中")&gt;0,"保留",IF(COUNTIFS(請求記録!$B$6:$B$3005,$A107,請求記録!$Z$6:$Z$3005,T$5)=0,"",SUMIFS(請求記録!$AE$6:$AE$3005,請求記録!$B$6:$B$3005,$A107,請求記録!$Z$6:$Z$3005,T$5))))</f>
        <v/>
      </c>
      <c r="U107" s="19">
        <f>IF($A107="","",IF(COUNTIFS(請求記録!$B$6:$B$3005,$A107,請求記録!$Z$6:$Z$3005,U$5,請求記録!$AF$6:$AF$3005,"保留中")&gt;0,"保留",IF(COUNTIFS(請求記録!$B$6:$B$3005,$A107,請求記録!$Z$6:$Z$3005,U$5)=0,"",SUMIFS(請求記録!$AE$6:$AE$3005,請求記録!$B$6:$B$3005,$A107,請求記録!$Z$6:$Z$3005,U$5))))</f>
        <v/>
      </c>
      <c r="V107" s="19">
        <f>IF($A107="","",IF(COUNTIFS(請求記録!$B$6:$B$3005,$A107,請求記録!$Z$6:$Z$3005,V$5,請求記録!$AF$6:$AF$3005,"保留中")&gt;0,"保留",IF(COUNTIFS(請求記録!$B$6:$B$3005,$A107,請求記録!$Z$6:$Z$3005,V$5)=0,"",SUMIFS(請求記録!$AE$6:$AE$3005,請求記録!$B$6:$B$3005,$A107,請求記録!$Z$6:$Z$3005,V$5))))</f>
        <v/>
      </c>
      <c r="W107" s="19">
        <f>IF($A107="","",IF(COUNTIFS(請求記録!$B$6:$B$3005,$A107,請求記録!$Z$6:$Z$3005,W$5,請求記録!$AF$6:$AF$3005,"保留中")&gt;0,"保留",IF(COUNTIFS(請求記録!$B$6:$B$3005,$A107,請求記録!$Z$6:$Z$3005,W$5)=0,"",SUMIFS(請求記録!$AE$6:$AE$3005,請求記録!$B$6:$B$3005,$A107,請求記録!$Z$6:$Z$3005,W$5))))</f>
        <v/>
      </c>
      <c r="X107" s="19">
        <f>IF($A107="","",IF(COUNTIFS(請求記録!$B$6:$B$3005,$A107,請求記録!$Z$6:$Z$3005,X$5,請求記録!$AF$6:$AF$3005,"保留中")&gt;0,"保留",IF(COUNTIFS(請求記録!$B$6:$B$3005,$A107,請求記録!$Z$6:$Z$3005,X$5)=0,"",SUMIFS(請求記録!$AE$6:$AE$3005,請求記録!$B$6:$B$3005,$A107,請求記録!$Z$6:$Z$3005,X$5))))</f>
        <v/>
      </c>
      <c r="Y107" s="19">
        <f>IF($A107="","",IF(COUNTIFS(請求記録!$B$6:$B$3005,$A107,請求記録!$Z$6:$Z$3005,Y$5,請求記録!$AF$6:$AF$3005,"保留中")&gt;0,"保留",IF(COUNTIFS(請求記録!$B$6:$B$3005,$A107,請求記録!$Z$6:$Z$3005,Y$5)=0,"",SUMIFS(請求記録!$AE$6:$AE$3005,請求記録!$B$6:$B$3005,$A107,請求記録!$Z$6:$Z$3005,Y$5))))</f>
        <v/>
      </c>
      <c r="Z107" s="19">
        <f>IF($A107="","",IF(COUNTIFS(請求記録!$B$6:$B$3005,$A107,請求記録!$Z$6:$Z$3005,Z$5,請求記録!$AF$6:$AF$3005,"保留中")&gt;0,"保留",IF(COUNTIFS(請求記録!$B$6:$B$3005,$A107,請求記録!$Z$6:$Z$3005,Z$5)=0,"",SUMIFS(請求記録!$AE$6:$AE$3005,請求記録!$B$6:$B$3005,$A107,請求記録!$Z$6:$Z$3005,Z$5))))</f>
        <v/>
      </c>
      <c r="AA107" s="19">
        <f>IF($A107="","",IF(COUNTIFS(請求記録!$B$6:$B$3005,$A107,請求記録!$Z$6:$Z$3005,AA$5,請求記録!$AF$6:$AF$3005,"保留中")&gt;0,"保留",IF(COUNTIFS(請求記録!$B$6:$B$3005,$A107,請求記録!$Z$6:$Z$3005,AA$5)=0,"",SUMIFS(請求記録!$AE$6:$AE$3005,請求記録!$B$6:$B$3005,$A107,請求記録!$Z$6:$Z$3005,AA$5))))</f>
        <v/>
      </c>
      <c r="AB107">
        <f>IF(職員マスタ!P107="保留中",職員マスタ!M107,"")</f>
        <v/>
      </c>
    </row>
    <row r="108">
      <c r="A108">
        <f>IF(職員マスタ!A108="","",職員マスタ!A108)</f>
        <v/>
      </c>
      <c r="B108">
        <f>IF($A108="","",職員マスタ!B108)</f>
        <v/>
      </c>
      <c r="C108">
        <f>IF($A108="","",職員マスタ!C108)</f>
        <v/>
      </c>
      <c r="D108" s="19">
        <f>IF($A108="","",IF(COUNTIFS(請求記録!$B$6:$B$3005,$A108,請求記録!$Z$6:$Z$3005,D$5,請求記録!$AF$6:$AF$3005,"保留中")&gt;0,"保留",IF(COUNTIFS(請求記録!$B$6:$B$3005,$A108,請求記録!$Z$6:$Z$3005,D$5)=0,"",SUMIFS(請求記録!$AE$6:$AE$3005,請求記録!$B$6:$B$3005,$A108,請求記録!$Z$6:$Z$3005,D$5))))</f>
        <v/>
      </c>
      <c r="E108" s="19">
        <f>IF($A108="","",IF(COUNTIFS(請求記録!$B$6:$B$3005,$A108,請求記録!$Z$6:$Z$3005,E$5,請求記録!$AF$6:$AF$3005,"保留中")&gt;0,"保留",IF(COUNTIFS(請求記録!$B$6:$B$3005,$A108,請求記録!$Z$6:$Z$3005,E$5)=0,"",SUMIFS(請求記録!$AE$6:$AE$3005,請求記録!$B$6:$B$3005,$A108,請求記録!$Z$6:$Z$3005,E$5))))</f>
        <v/>
      </c>
      <c r="F108" s="19">
        <f>IF($A108="","",IF(COUNTIFS(請求記録!$B$6:$B$3005,$A108,請求記録!$Z$6:$Z$3005,F$5,請求記録!$AF$6:$AF$3005,"保留中")&gt;0,"保留",IF(COUNTIFS(請求記録!$B$6:$B$3005,$A108,請求記録!$Z$6:$Z$3005,F$5)=0,"",SUMIFS(請求記録!$AE$6:$AE$3005,請求記録!$B$6:$B$3005,$A108,請求記録!$Z$6:$Z$3005,F$5))))</f>
        <v/>
      </c>
      <c r="G108" s="19">
        <f>IF($A108="","",IF(COUNTIFS(請求記録!$B$6:$B$3005,$A108,請求記録!$Z$6:$Z$3005,G$5,請求記録!$AF$6:$AF$3005,"保留中")&gt;0,"保留",IF(COUNTIFS(請求記録!$B$6:$B$3005,$A108,請求記録!$Z$6:$Z$3005,G$5)=0,"",SUMIFS(請求記録!$AE$6:$AE$3005,請求記録!$B$6:$B$3005,$A108,請求記録!$Z$6:$Z$3005,G$5))))</f>
        <v/>
      </c>
      <c r="H108" s="19">
        <f>IF($A108="","",IF(COUNTIFS(請求記録!$B$6:$B$3005,$A108,請求記録!$Z$6:$Z$3005,H$5,請求記録!$AF$6:$AF$3005,"保留中")&gt;0,"保留",IF(COUNTIFS(請求記録!$B$6:$B$3005,$A108,請求記録!$Z$6:$Z$3005,H$5)=0,"",SUMIFS(請求記録!$AE$6:$AE$3005,請求記録!$B$6:$B$3005,$A108,請求記録!$Z$6:$Z$3005,H$5))))</f>
        <v/>
      </c>
      <c r="I108" s="19">
        <f>IF($A108="","",IF(COUNTIFS(請求記録!$B$6:$B$3005,$A108,請求記録!$Z$6:$Z$3005,I$5,請求記録!$AF$6:$AF$3005,"保留中")&gt;0,"保留",IF(COUNTIFS(請求記録!$B$6:$B$3005,$A108,請求記録!$Z$6:$Z$3005,I$5)=0,"",SUMIFS(請求記録!$AE$6:$AE$3005,請求記録!$B$6:$B$3005,$A108,請求記録!$Z$6:$Z$3005,I$5))))</f>
        <v/>
      </c>
      <c r="J108" s="19">
        <f>IF($A108="","",IF(COUNTIFS(請求記録!$B$6:$B$3005,$A108,請求記録!$Z$6:$Z$3005,J$5,請求記録!$AF$6:$AF$3005,"保留中")&gt;0,"保留",IF(COUNTIFS(請求記録!$B$6:$B$3005,$A108,請求記録!$Z$6:$Z$3005,J$5)=0,"",SUMIFS(請求記録!$AE$6:$AE$3005,請求記録!$B$6:$B$3005,$A108,請求記録!$Z$6:$Z$3005,J$5))))</f>
        <v/>
      </c>
      <c r="K108" s="19">
        <f>IF($A108="","",IF(COUNTIFS(請求記録!$B$6:$B$3005,$A108,請求記録!$Z$6:$Z$3005,K$5,請求記録!$AF$6:$AF$3005,"保留中")&gt;0,"保留",IF(COUNTIFS(請求記録!$B$6:$B$3005,$A108,請求記録!$Z$6:$Z$3005,K$5)=0,"",SUMIFS(請求記録!$AE$6:$AE$3005,請求記録!$B$6:$B$3005,$A108,請求記録!$Z$6:$Z$3005,K$5))))</f>
        <v/>
      </c>
      <c r="L108" s="19">
        <f>IF($A108="","",IF(COUNTIFS(請求記録!$B$6:$B$3005,$A108,請求記録!$Z$6:$Z$3005,L$5,請求記録!$AF$6:$AF$3005,"保留中")&gt;0,"保留",IF(COUNTIFS(請求記録!$B$6:$B$3005,$A108,請求記録!$Z$6:$Z$3005,L$5)=0,"",SUMIFS(請求記録!$AE$6:$AE$3005,請求記録!$B$6:$B$3005,$A108,請求記録!$Z$6:$Z$3005,L$5))))</f>
        <v/>
      </c>
      <c r="M108" s="19">
        <f>IF($A108="","",IF(COUNTIFS(請求記録!$B$6:$B$3005,$A108,請求記録!$Z$6:$Z$3005,M$5,請求記録!$AF$6:$AF$3005,"保留中")&gt;0,"保留",IF(COUNTIFS(請求記録!$B$6:$B$3005,$A108,請求記録!$Z$6:$Z$3005,M$5)=0,"",SUMIFS(請求記録!$AE$6:$AE$3005,請求記録!$B$6:$B$3005,$A108,請求記録!$Z$6:$Z$3005,M$5))))</f>
        <v/>
      </c>
      <c r="N108" s="19">
        <f>IF($A108="","",IF(COUNTIFS(請求記録!$B$6:$B$3005,$A108,請求記録!$Z$6:$Z$3005,N$5,請求記録!$AF$6:$AF$3005,"保留中")&gt;0,"保留",IF(COUNTIFS(請求記録!$B$6:$B$3005,$A108,請求記録!$Z$6:$Z$3005,N$5)=0,"",SUMIFS(請求記録!$AE$6:$AE$3005,請求記録!$B$6:$B$3005,$A108,請求記録!$Z$6:$Z$3005,N$5))))</f>
        <v/>
      </c>
      <c r="O108" s="19">
        <f>IF($A108="","",IF(COUNTIFS(請求記録!$B$6:$B$3005,$A108,請求記録!$Z$6:$Z$3005,O$5,請求記録!$AF$6:$AF$3005,"保留中")&gt;0,"保留",IF(COUNTIFS(請求記録!$B$6:$B$3005,$A108,請求記録!$Z$6:$Z$3005,O$5)=0,"",SUMIFS(請求記録!$AE$6:$AE$3005,請求記録!$B$6:$B$3005,$A108,請求記録!$Z$6:$Z$3005,O$5))))</f>
        <v/>
      </c>
      <c r="P108" s="19">
        <f>IF($A108="","",IF(COUNTIFS(請求記録!$B$6:$B$3005,$A108,請求記録!$Z$6:$Z$3005,P$5,請求記録!$AF$6:$AF$3005,"保留中")&gt;0,"保留",IF(COUNTIFS(請求記録!$B$6:$B$3005,$A108,請求記録!$Z$6:$Z$3005,P$5)=0,"",SUMIFS(請求記録!$AE$6:$AE$3005,請求記録!$B$6:$B$3005,$A108,請求記録!$Z$6:$Z$3005,P$5))))</f>
        <v/>
      </c>
      <c r="Q108" s="19">
        <f>IF($A108="","",IF(COUNTIFS(請求記録!$B$6:$B$3005,$A108,請求記録!$Z$6:$Z$3005,Q$5,請求記録!$AF$6:$AF$3005,"保留中")&gt;0,"保留",IF(COUNTIFS(請求記録!$B$6:$B$3005,$A108,請求記録!$Z$6:$Z$3005,Q$5)=0,"",SUMIFS(請求記録!$AE$6:$AE$3005,請求記録!$B$6:$B$3005,$A108,請求記録!$Z$6:$Z$3005,Q$5))))</f>
        <v/>
      </c>
      <c r="R108" s="19">
        <f>IF($A108="","",IF(COUNTIFS(請求記録!$B$6:$B$3005,$A108,請求記録!$Z$6:$Z$3005,R$5,請求記録!$AF$6:$AF$3005,"保留中")&gt;0,"保留",IF(COUNTIFS(請求記録!$B$6:$B$3005,$A108,請求記録!$Z$6:$Z$3005,R$5)=0,"",SUMIFS(請求記録!$AE$6:$AE$3005,請求記録!$B$6:$B$3005,$A108,請求記録!$Z$6:$Z$3005,R$5))))</f>
        <v/>
      </c>
      <c r="S108" s="19">
        <f>IF($A108="","",IF(COUNTIFS(請求記録!$B$6:$B$3005,$A108,請求記録!$Z$6:$Z$3005,S$5,請求記録!$AF$6:$AF$3005,"保留中")&gt;0,"保留",IF(COUNTIFS(請求記録!$B$6:$B$3005,$A108,請求記録!$Z$6:$Z$3005,S$5)=0,"",SUMIFS(請求記録!$AE$6:$AE$3005,請求記録!$B$6:$B$3005,$A108,請求記録!$Z$6:$Z$3005,S$5))))</f>
        <v/>
      </c>
      <c r="T108" s="19">
        <f>IF($A108="","",IF(COUNTIFS(請求記録!$B$6:$B$3005,$A108,請求記録!$Z$6:$Z$3005,T$5,請求記録!$AF$6:$AF$3005,"保留中")&gt;0,"保留",IF(COUNTIFS(請求記録!$B$6:$B$3005,$A108,請求記録!$Z$6:$Z$3005,T$5)=0,"",SUMIFS(請求記録!$AE$6:$AE$3005,請求記録!$B$6:$B$3005,$A108,請求記録!$Z$6:$Z$3005,T$5))))</f>
        <v/>
      </c>
      <c r="U108" s="19">
        <f>IF($A108="","",IF(COUNTIFS(請求記録!$B$6:$B$3005,$A108,請求記録!$Z$6:$Z$3005,U$5,請求記録!$AF$6:$AF$3005,"保留中")&gt;0,"保留",IF(COUNTIFS(請求記録!$B$6:$B$3005,$A108,請求記録!$Z$6:$Z$3005,U$5)=0,"",SUMIFS(請求記録!$AE$6:$AE$3005,請求記録!$B$6:$B$3005,$A108,請求記録!$Z$6:$Z$3005,U$5))))</f>
        <v/>
      </c>
      <c r="V108" s="19">
        <f>IF($A108="","",IF(COUNTIFS(請求記録!$B$6:$B$3005,$A108,請求記録!$Z$6:$Z$3005,V$5,請求記録!$AF$6:$AF$3005,"保留中")&gt;0,"保留",IF(COUNTIFS(請求記録!$B$6:$B$3005,$A108,請求記録!$Z$6:$Z$3005,V$5)=0,"",SUMIFS(請求記録!$AE$6:$AE$3005,請求記録!$B$6:$B$3005,$A108,請求記録!$Z$6:$Z$3005,V$5))))</f>
        <v/>
      </c>
      <c r="W108" s="19">
        <f>IF($A108="","",IF(COUNTIFS(請求記録!$B$6:$B$3005,$A108,請求記録!$Z$6:$Z$3005,W$5,請求記録!$AF$6:$AF$3005,"保留中")&gt;0,"保留",IF(COUNTIFS(請求記録!$B$6:$B$3005,$A108,請求記録!$Z$6:$Z$3005,W$5)=0,"",SUMIFS(請求記録!$AE$6:$AE$3005,請求記録!$B$6:$B$3005,$A108,請求記録!$Z$6:$Z$3005,W$5))))</f>
        <v/>
      </c>
      <c r="X108" s="19">
        <f>IF($A108="","",IF(COUNTIFS(請求記録!$B$6:$B$3005,$A108,請求記録!$Z$6:$Z$3005,X$5,請求記録!$AF$6:$AF$3005,"保留中")&gt;0,"保留",IF(COUNTIFS(請求記録!$B$6:$B$3005,$A108,請求記録!$Z$6:$Z$3005,X$5)=0,"",SUMIFS(請求記録!$AE$6:$AE$3005,請求記録!$B$6:$B$3005,$A108,請求記録!$Z$6:$Z$3005,X$5))))</f>
        <v/>
      </c>
      <c r="Y108" s="19">
        <f>IF($A108="","",IF(COUNTIFS(請求記録!$B$6:$B$3005,$A108,請求記録!$Z$6:$Z$3005,Y$5,請求記録!$AF$6:$AF$3005,"保留中")&gt;0,"保留",IF(COUNTIFS(請求記録!$B$6:$B$3005,$A108,請求記録!$Z$6:$Z$3005,Y$5)=0,"",SUMIFS(請求記録!$AE$6:$AE$3005,請求記録!$B$6:$B$3005,$A108,請求記録!$Z$6:$Z$3005,Y$5))))</f>
        <v/>
      </c>
      <c r="Z108" s="19">
        <f>IF($A108="","",IF(COUNTIFS(請求記録!$B$6:$B$3005,$A108,請求記録!$Z$6:$Z$3005,Z$5,請求記録!$AF$6:$AF$3005,"保留中")&gt;0,"保留",IF(COUNTIFS(請求記録!$B$6:$B$3005,$A108,請求記録!$Z$6:$Z$3005,Z$5)=0,"",SUMIFS(請求記録!$AE$6:$AE$3005,請求記録!$B$6:$B$3005,$A108,請求記録!$Z$6:$Z$3005,Z$5))))</f>
        <v/>
      </c>
      <c r="AA108" s="19">
        <f>IF($A108="","",IF(COUNTIFS(請求記録!$B$6:$B$3005,$A108,請求記録!$Z$6:$Z$3005,AA$5,請求記録!$AF$6:$AF$3005,"保留中")&gt;0,"保留",IF(COUNTIFS(請求記録!$B$6:$B$3005,$A108,請求記録!$Z$6:$Z$3005,AA$5)=0,"",SUMIFS(請求記録!$AE$6:$AE$3005,請求記録!$B$6:$B$3005,$A108,請求記録!$Z$6:$Z$3005,AA$5))))</f>
        <v/>
      </c>
      <c r="AB108">
        <f>IF(職員マスタ!P108="保留中",職員マスタ!M108,"")</f>
        <v/>
      </c>
    </row>
    <row r="109">
      <c r="A109">
        <f>IF(職員マスタ!A109="","",職員マスタ!A109)</f>
        <v/>
      </c>
      <c r="B109">
        <f>IF($A109="","",職員マスタ!B109)</f>
        <v/>
      </c>
      <c r="C109">
        <f>IF($A109="","",職員マスタ!C109)</f>
        <v/>
      </c>
      <c r="D109" s="19">
        <f>IF($A109="","",IF(COUNTIFS(請求記録!$B$6:$B$3005,$A109,請求記録!$Z$6:$Z$3005,D$5,請求記録!$AF$6:$AF$3005,"保留中")&gt;0,"保留",IF(COUNTIFS(請求記録!$B$6:$B$3005,$A109,請求記録!$Z$6:$Z$3005,D$5)=0,"",SUMIFS(請求記録!$AE$6:$AE$3005,請求記録!$B$6:$B$3005,$A109,請求記録!$Z$6:$Z$3005,D$5))))</f>
        <v/>
      </c>
      <c r="E109" s="19">
        <f>IF($A109="","",IF(COUNTIFS(請求記録!$B$6:$B$3005,$A109,請求記録!$Z$6:$Z$3005,E$5,請求記録!$AF$6:$AF$3005,"保留中")&gt;0,"保留",IF(COUNTIFS(請求記録!$B$6:$B$3005,$A109,請求記録!$Z$6:$Z$3005,E$5)=0,"",SUMIFS(請求記録!$AE$6:$AE$3005,請求記録!$B$6:$B$3005,$A109,請求記録!$Z$6:$Z$3005,E$5))))</f>
        <v/>
      </c>
      <c r="F109" s="19">
        <f>IF($A109="","",IF(COUNTIFS(請求記録!$B$6:$B$3005,$A109,請求記録!$Z$6:$Z$3005,F$5,請求記録!$AF$6:$AF$3005,"保留中")&gt;0,"保留",IF(COUNTIFS(請求記録!$B$6:$B$3005,$A109,請求記録!$Z$6:$Z$3005,F$5)=0,"",SUMIFS(請求記録!$AE$6:$AE$3005,請求記録!$B$6:$B$3005,$A109,請求記録!$Z$6:$Z$3005,F$5))))</f>
        <v/>
      </c>
      <c r="G109" s="19">
        <f>IF($A109="","",IF(COUNTIFS(請求記録!$B$6:$B$3005,$A109,請求記録!$Z$6:$Z$3005,G$5,請求記録!$AF$6:$AF$3005,"保留中")&gt;0,"保留",IF(COUNTIFS(請求記録!$B$6:$B$3005,$A109,請求記録!$Z$6:$Z$3005,G$5)=0,"",SUMIFS(請求記録!$AE$6:$AE$3005,請求記録!$B$6:$B$3005,$A109,請求記録!$Z$6:$Z$3005,G$5))))</f>
        <v/>
      </c>
      <c r="H109" s="19">
        <f>IF($A109="","",IF(COUNTIFS(請求記録!$B$6:$B$3005,$A109,請求記録!$Z$6:$Z$3005,H$5,請求記録!$AF$6:$AF$3005,"保留中")&gt;0,"保留",IF(COUNTIFS(請求記録!$B$6:$B$3005,$A109,請求記録!$Z$6:$Z$3005,H$5)=0,"",SUMIFS(請求記録!$AE$6:$AE$3005,請求記録!$B$6:$B$3005,$A109,請求記録!$Z$6:$Z$3005,H$5))))</f>
        <v/>
      </c>
      <c r="I109" s="19">
        <f>IF($A109="","",IF(COUNTIFS(請求記録!$B$6:$B$3005,$A109,請求記録!$Z$6:$Z$3005,I$5,請求記録!$AF$6:$AF$3005,"保留中")&gt;0,"保留",IF(COUNTIFS(請求記録!$B$6:$B$3005,$A109,請求記録!$Z$6:$Z$3005,I$5)=0,"",SUMIFS(請求記録!$AE$6:$AE$3005,請求記録!$B$6:$B$3005,$A109,請求記録!$Z$6:$Z$3005,I$5))))</f>
        <v/>
      </c>
      <c r="J109" s="19">
        <f>IF($A109="","",IF(COUNTIFS(請求記録!$B$6:$B$3005,$A109,請求記録!$Z$6:$Z$3005,J$5,請求記録!$AF$6:$AF$3005,"保留中")&gt;0,"保留",IF(COUNTIFS(請求記録!$B$6:$B$3005,$A109,請求記録!$Z$6:$Z$3005,J$5)=0,"",SUMIFS(請求記録!$AE$6:$AE$3005,請求記録!$B$6:$B$3005,$A109,請求記録!$Z$6:$Z$3005,J$5))))</f>
        <v/>
      </c>
      <c r="K109" s="19">
        <f>IF($A109="","",IF(COUNTIFS(請求記録!$B$6:$B$3005,$A109,請求記録!$Z$6:$Z$3005,K$5,請求記録!$AF$6:$AF$3005,"保留中")&gt;0,"保留",IF(COUNTIFS(請求記録!$B$6:$B$3005,$A109,請求記録!$Z$6:$Z$3005,K$5)=0,"",SUMIFS(請求記録!$AE$6:$AE$3005,請求記録!$B$6:$B$3005,$A109,請求記録!$Z$6:$Z$3005,K$5))))</f>
        <v/>
      </c>
      <c r="L109" s="19">
        <f>IF($A109="","",IF(COUNTIFS(請求記録!$B$6:$B$3005,$A109,請求記録!$Z$6:$Z$3005,L$5,請求記録!$AF$6:$AF$3005,"保留中")&gt;0,"保留",IF(COUNTIFS(請求記録!$B$6:$B$3005,$A109,請求記録!$Z$6:$Z$3005,L$5)=0,"",SUMIFS(請求記録!$AE$6:$AE$3005,請求記録!$B$6:$B$3005,$A109,請求記録!$Z$6:$Z$3005,L$5))))</f>
        <v/>
      </c>
      <c r="M109" s="19">
        <f>IF($A109="","",IF(COUNTIFS(請求記録!$B$6:$B$3005,$A109,請求記録!$Z$6:$Z$3005,M$5,請求記録!$AF$6:$AF$3005,"保留中")&gt;0,"保留",IF(COUNTIFS(請求記録!$B$6:$B$3005,$A109,請求記録!$Z$6:$Z$3005,M$5)=0,"",SUMIFS(請求記録!$AE$6:$AE$3005,請求記録!$B$6:$B$3005,$A109,請求記録!$Z$6:$Z$3005,M$5))))</f>
        <v/>
      </c>
      <c r="N109" s="19">
        <f>IF($A109="","",IF(COUNTIFS(請求記録!$B$6:$B$3005,$A109,請求記録!$Z$6:$Z$3005,N$5,請求記録!$AF$6:$AF$3005,"保留中")&gt;0,"保留",IF(COUNTIFS(請求記録!$B$6:$B$3005,$A109,請求記録!$Z$6:$Z$3005,N$5)=0,"",SUMIFS(請求記録!$AE$6:$AE$3005,請求記録!$B$6:$B$3005,$A109,請求記録!$Z$6:$Z$3005,N$5))))</f>
        <v/>
      </c>
      <c r="O109" s="19">
        <f>IF($A109="","",IF(COUNTIFS(請求記録!$B$6:$B$3005,$A109,請求記録!$Z$6:$Z$3005,O$5,請求記録!$AF$6:$AF$3005,"保留中")&gt;0,"保留",IF(COUNTIFS(請求記録!$B$6:$B$3005,$A109,請求記録!$Z$6:$Z$3005,O$5)=0,"",SUMIFS(請求記録!$AE$6:$AE$3005,請求記録!$B$6:$B$3005,$A109,請求記録!$Z$6:$Z$3005,O$5))))</f>
        <v/>
      </c>
      <c r="P109" s="19">
        <f>IF($A109="","",IF(COUNTIFS(請求記録!$B$6:$B$3005,$A109,請求記録!$Z$6:$Z$3005,P$5,請求記録!$AF$6:$AF$3005,"保留中")&gt;0,"保留",IF(COUNTIFS(請求記録!$B$6:$B$3005,$A109,請求記録!$Z$6:$Z$3005,P$5)=0,"",SUMIFS(請求記録!$AE$6:$AE$3005,請求記録!$B$6:$B$3005,$A109,請求記録!$Z$6:$Z$3005,P$5))))</f>
        <v/>
      </c>
      <c r="Q109" s="19">
        <f>IF($A109="","",IF(COUNTIFS(請求記録!$B$6:$B$3005,$A109,請求記録!$Z$6:$Z$3005,Q$5,請求記録!$AF$6:$AF$3005,"保留中")&gt;0,"保留",IF(COUNTIFS(請求記録!$B$6:$B$3005,$A109,請求記録!$Z$6:$Z$3005,Q$5)=0,"",SUMIFS(請求記録!$AE$6:$AE$3005,請求記録!$B$6:$B$3005,$A109,請求記録!$Z$6:$Z$3005,Q$5))))</f>
        <v/>
      </c>
      <c r="R109" s="19">
        <f>IF($A109="","",IF(COUNTIFS(請求記録!$B$6:$B$3005,$A109,請求記録!$Z$6:$Z$3005,R$5,請求記録!$AF$6:$AF$3005,"保留中")&gt;0,"保留",IF(COUNTIFS(請求記録!$B$6:$B$3005,$A109,請求記録!$Z$6:$Z$3005,R$5)=0,"",SUMIFS(請求記録!$AE$6:$AE$3005,請求記録!$B$6:$B$3005,$A109,請求記録!$Z$6:$Z$3005,R$5))))</f>
        <v/>
      </c>
      <c r="S109" s="19">
        <f>IF($A109="","",IF(COUNTIFS(請求記録!$B$6:$B$3005,$A109,請求記録!$Z$6:$Z$3005,S$5,請求記録!$AF$6:$AF$3005,"保留中")&gt;0,"保留",IF(COUNTIFS(請求記録!$B$6:$B$3005,$A109,請求記録!$Z$6:$Z$3005,S$5)=0,"",SUMIFS(請求記録!$AE$6:$AE$3005,請求記録!$B$6:$B$3005,$A109,請求記録!$Z$6:$Z$3005,S$5))))</f>
        <v/>
      </c>
      <c r="T109" s="19">
        <f>IF($A109="","",IF(COUNTIFS(請求記録!$B$6:$B$3005,$A109,請求記録!$Z$6:$Z$3005,T$5,請求記録!$AF$6:$AF$3005,"保留中")&gt;0,"保留",IF(COUNTIFS(請求記録!$B$6:$B$3005,$A109,請求記録!$Z$6:$Z$3005,T$5)=0,"",SUMIFS(請求記録!$AE$6:$AE$3005,請求記録!$B$6:$B$3005,$A109,請求記録!$Z$6:$Z$3005,T$5))))</f>
        <v/>
      </c>
      <c r="U109" s="19">
        <f>IF($A109="","",IF(COUNTIFS(請求記録!$B$6:$B$3005,$A109,請求記録!$Z$6:$Z$3005,U$5,請求記録!$AF$6:$AF$3005,"保留中")&gt;0,"保留",IF(COUNTIFS(請求記録!$B$6:$B$3005,$A109,請求記録!$Z$6:$Z$3005,U$5)=0,"",SUMIFS(請求記録!$AE$6:$AE$3005,請求記録!$B$6:$B$3005,$A109,請求記録!$Z$6:$Z$3005,U$5))))</f>
        <v/>
      </c>
      <c r="V109" s="19">
        <f>IF($A109="","",IF(COUNTIFS(請求記録!$B$6:$B$3005,$A109,請求記録!$Z$6:$Z$3005,V$5,請求記録!$AF$6:$AF$3005,"保留中")&gt;0,"保留",IF(COUNTIFS(請求記録!$B$6:$B$3005,$A109,請求記録!$Z$6:$Z$3005,V$5)=0,"",SUMIFS(請求記録!$AE$6:$AE$3005,請求記録!$B$6:$B$3005,$A109,請求記録!$Z$6:$Z$3005,V$5))))</f>
        <v/>
      </c>
      <c r="W109" s="19">
        <f>IF($A109="","",IF(COUNTIFS(請求記録!$B$6:$B$3005,$A109,請求記録!$Z$6:$Z$3005,W$5,請求記録!$AF$6:$AF$3005,"保留中")&gt;0,"保留",IF(COUNTIFS(請求記録!$B$6:$B$3005,$A109,請求記録!$Z$6:$Z$3005,W$5)=0,"",SUMIFS(請求記録!$AE$6:$AE$3005,請求記録!$B$6:$B$3005,$A109,請求記録!$Z$6:$Z$3005,W$5))))</f>
        <v/>
      </c>
      <c r="X109" s="19">
        <f>IF($A109="","",IF(COUNTIFS(請求記録!$B$6:$B$3005,$A109,請求記録!$Z$6:$Z$3005,X$5,請求記録!$AF$6:$AF$3005,"保留中")&gt;0,"保留",IF(COUNTIFS(請求記録!$B$6:$B$3005,$A109,請求記録!$Z$6:$Z$3005,X$5)=0,"",SUMIFS(請求記録!$AE$6:$AE$3005,請求記録!$B$6:$B$3005,$A109,請求記録!$Z$6:$Z$3005,X$5))))</f>
        <v/>
      </c>
      <c r="Y109" s="19">
        <f>IF($A109="","",IF(COUNTIFS(請求記録!$B$6:$B$3005,$A109,請求記録!$Z$6:$Z$3005,Y$5,請求記録!$AF$6:$AF$3005,"保留中")&gt;0,"保留",IF(COUNTIFS(請求記録!$B$6:$B$3005,$A109,請求記録!$Z$6:$Z$3005,Y$5)=0,"",SUMIFS(請求記録!$AE$6:$AE$3005,請求記録!$B$6:$B$3005,$A109,請求記録!$Z$6:$Z$3005,Y$5))))</f>
        <v/>
      </c>
      <c r="Z109" s="19">
        <f>IF($A109="","",IF(COUNTIFS(請求記録!$B$6:$B$3005,$A109,請求記録!$Z$6:$Z$3005,Z$5,請求記録!$AF$6:$AF$3005,"保留中")&gt;0,"保留",IF(COUNTIFS(請求記録!$B$6:$B$3005,$A109,請求記録!$Z$6:$Z$3005,Z$5)=0,"",SUMIFS(請求記録!$AE$6:$AE$3005,請求記録!$B$6:$B$3005,$A109,請求記録!$Z$6:$Z$3005,Z$5))))</f>
        <v/>
      </c>
      <c r="AA109" s="19">
        <f>IF($A109="","",IF(COUNTIFS(請求記録!$B$6:$B$3005,$A109,請求記録!$Z$6:$Z$3005,AA$5,請求記録!$AF$6:$AF$3005,"保留中")&gt;0,"保留",IF(COUNTIFS(請求記録!$B$6:$B$3005,$A109,請求記録!$Z$6:$Z$3005,AA$5)=0,"",SUMIFS(請求記録!$AE$6:$AE$3005,請求記録!$B$6:$B$3005,$A109,請求記録!$Z$6:$Z$3005,AA$5))))</f>
        <v/>
      </c>
      <c r="AB109">
        <f>IF(職員マスタ!P109="保留中",職員マスタ!M109,"")</f>
        <v/>
      </c>
    </row>
    <row r="110">
      <c r="A110">
        <f>IF(職員マスタ!A110="","",職員マスタ!A110)</f>
        <v/>
      </c>
      <c r="B110">
        <f>IF($A110="","",職員マスタ!B110)</f>
        <v/>
      </c>
      <c r="C110">
        <f>IF($A110="","",職員マスタ!C110)</f>
        <v/>
      </c>
      <c r="D110" s="19">
        <f>IF($A110="","",IF(COUNTIFS(請求記録!$B$6:$B$3005,$A110,請求記録!$Z$6:$Z$3005,D$5,請求記録!$AF$6:$AF$3005,"保留中")&gt;0,"保留",IF(COUNTIFS(請求記録!$B$6:$B$3005,$A110,請求記録!$Z$6:$Z$3005,D$5)=0,"",SUMIFS(請求記録!$AE$6:$AE$3005,請求記録!$B$6:$B$3005,$A110,請求記録!$Z$6:$Z$3005,D$5))))</f>
        <v/>
      </c>
      <c r="E110" s="19">
        <f>IF($A110="","",IF(COUNTIFS(請求記録!$B$6:$B$3005,$A110,請求記録!$Z$6:$Z$3005,E$5,請求記録!$AF$6:$AF$3005,"保留中")&gt;0,"保留",IF(COUNTIFS(請求記録!$B$6:$B$3005,$A110,請求記録!$Z$6:$Z$3005,E$5)=0,"",SUMIFS(請求記録!$AE$6:$AE$3005,請求記録!$B$6:$B$3005,$A110,請求記録!$Z$6:$Z$3005,E$5))))</f>
        <v/>
      </c>
      <c r="F110" s="19">
        <f>IF($A110="","",IF(COUNTIFS(請求記録!$B$6:$B$3005,$A110,請求記録!$Z$6:$Z$3005,F$5,請求記録!$AF$6:$AF$3005,"保留中")&gt;0,"保留",IF(COUNTIFS(請求記録!$B$6:$B$3005,$A110,請求記録!$Z$6:$Z$3005,F$5)=0,"",SUMIFS(請求記録!$AE$6:$AE$3005,請求記録!$B$6:$B$3005,$A110,請求記録!$Z$6:$Z$3005,F$5))))</f>
        <v/>
      </c>
      <c r="G110" s="19">
        <f>IF($A110="","",IF(COUNTIFS(請求記録!$B$6:$B$3005,$A110,請求記録!$Z$6:$Z$3005,G$5,請求記録!$AF$6:$AF$3005,"保留中")&gt;0,"保留",IF(COUNTIFS(請求記録!$B$6:$B$3005,$A110,請求記録!$Z$6:$Z$3005,G$5)=0,"",SUMIFS(請求記録!$AE$6:$AE$3005,請求記録!$B$6:$B$3005,$A110,請求記録!$Z$6:$Z$3005,G$5))))</f>
        <v/>
      </c>
      <c r="H110" s="19">
        <f>IF($A110="","",IF(COUNTIFS(請求記録!$B$6:$B$3005,$A110,請求記録!$Z$6:$Z$3005,H$5,請求記録!$AF$6:$AF$3005,"保留中")&gt;0,"保留",IF(COUNTIFS(請求記録!$B$6:$B$3005,$A110,請求記録!$Z$6:$Z$3005,H$5)=0,"",SUMIFS(請求記録!$AE$6:$AE$3005,請求記録!$B$6:$B$3005,$A110,請求記録!$Z$6:$Z$3005,H$5))))</f>
        <v/>
      </c>
      <c r="I110" s="19">
        <f>IF($A110="","",IF(COUNTIFS(請求記録!$B$6:$B$3005,$A110,請求記録!$Z$6:$Z$3005,I$5,請求記録!$AF$6:$AF$3005,"保留中")&gt;0,"保留",IF(COUNTIFS(請求記録!$B$6:$B$3005,$A110,請求記録!$Z$6:$Z$3005,I$5)=0,"",SUMIFS(請求記録!$AE$6:$AE$3005,請求記録!$B$6:$B$3005,$A110,請求記録!$Z$6:$Z$3005,I$5))))</f>
        <v/>
      </c>
      <c r="J110" s="19">
        <f>IF($A110="","",IF(COUNTIFS(請求記録!$B$6:$B$3005,$A110,請求記録!$Z$6:$Z$3005,J$5,請求記録!$AF$6:$AF$3005,"保留中")&gt;0,"保留",IF(COUNTIFS(請求記録!$B$6:$B$3005,$A110,請求記録!$Z$6:$Z$3005,J$5)=0,"",SUMIFS(請求記録!$AE$6:$AE$3005,請求記録!$B$6:$B$3005,$A110,請求記録!$Z$6:$Z$3005,J$5))))</f>
        <v/>
      </c>
      <c r="K110" s="19">
        <f>IF($A110="","",IF(COUNTIFS(請求記録!$B$6:$B$3005,$A110,請求記録!$Z$6:$Z$3005,K$5,請求記録!$AF$6:$AF$3005,"保留中")&gt;0,"保留",IF(COUNTIFS(請求記録!$B$6:$B$3005,$A110,請求記録!$Z$6:$Z$3005,K$5)=0,"",SUMIFS(請求記録!$AE$6:$AE$3005,請求記録!$B$6:$B$3005,$A110,請求記録!$Z$6:$Z$3005,K$5))))</f>
        <v/>
      </c>
      <c r="L110" s="19">
        <f>IF($A110="","",IF(COUNTIFS(請求記録!$B$6:$B$3005,$A110,請求記録!$Z$6:$Z$3005,L$5,請求記録!$AF$6:$AF$3005,"保留中")&gt;0,"保留",IF(COUNTIFS(請求記録!$B$6:$B$3005,$A110,請求記録!$Z$6:$Z$3005,L$5)=0,"",SUMIFS(請求記録!$AE$6:$AE$3005,請求記録!$B$6:$B$3005,$A110,請求記録!$Z$6:$Z$3005,L$5))))</f>
        <v/>
      </c>
      <c r="M110" s="19">
        <f>IF($A110="","",IF(COUNTIFS(請求記録!$B$6:$B$3005,$A110,請求記録!$Z$6:$Z$3005,M$5,請求記録!$AF$6:$AF$3005,"保留中")&gt;0,"保留",IF(COUNTIFS(請求記録!$B$6:$B$3005,$A110,請求記録!$Z$6:$Z$3005,M$5)=0,"",SUMIFS(請求記録!$AE$6:$AE$3005,請求記録!$B$6:$B$3005,$A110,請求記録!$Z$6:$Z$3005,M$5))))</f>
        <v/>
      </c>
      <c r="N110" s="19">
        <f>IF($A110="","",IF(COUNTIFS(請求記録!$B$6:$B$3005,$A110,請求記録!$Z$6:$Z$3005,N$5,請求記録!$AF$6:$AF$3005,"保留中")&gt;0,"保留",IF(COUNTIFS(請求記録!$B$6:$B$3005,$A110,請求記録!$Z$6:$Z$3005,N$5)=0,"",SUMIFS(請求記録!$AE$6:$AE$3005,請求記録!$B$6:$B$3005,$A110,請求記録!$Z$6:$Z$3005,N$5))))</f>
        <v/>
      </c>
      <c r="O110" s="19">
        <f>IF($A110="","",IF(COUNTIFS(請求記録!$B$6:$B$3005,$A110,請求記録!$Z$6:$Z$3005,O$5,請求記録!$AF$6:$AF$3005,"保留中")&gt;0,"保留",IF(COUNTIFS(請求記録!$B$6:$B$3005,$A110,請求記録!$Z$6:$Z$3005,O$5)=0,"",SUMIFS(請求記録!$AE$6:$AE$3005,請求記録!$B$6:$B$3005,$A110,請求記録!$Z$6:$Z$3005,O$5))))</f>
        <v/>
      </c>
      <c r="P110" s="19">
        <f>IF($A110="","",IF(COUNTIFS(請求記録!$B$6:$B$3005,$A110,請求記録!$Z$6:$Z$3005,P$5,請求記録!$AF$6:$AF$3005,"保留中")&gt;0,"保留",IF(COUNTIFS(請求記録!$B$6:$B$3005,$A110,請求記録!$Z$6:$Z$3005,P$5)=0,"",SUMIFS(請求記録!$AE$6:$AE$3005,請求記録!$B$6:$B$3005,$A110,請求記録!$Z$6:$Z$3005,P$5))))</f>
        <v/>
      </c>
      <c r="Q110" s="19">
        <f>IF($A110="","",IF(COUNTIFS(請求記録!$B$6:$B$3005,$A110,請求記録!$Z$6:$Z$3005,Q$5,請求記録!$AF$6:$AF$3005,"保留中")&gt;0,"保留",IF(COUNTIFS(請求記録!$B$6:$B$3005,$A110,請求記録!$Z$6:$Z$3005,Q$5)=0,"",SUMIFS(請求記録!$AE$6:$AE$3005,請求記録!$B$6:$B$3005,$A110,請求記録!$Z$6:$Z$3005,Q$5))))</f>
        <v/>
      </c>
      <c r="R110" s="19">
        <f>IF($A110="","",IF(COUNTIFS(請求記録!$B$6:$B$3005,$A110,請求記録!$Z$6:$Z$3005,R$5,請求記録!$AF$6:$AF$3005,"保留中")&gt;0,"保留",IF(COUNTIFS(請求記録!$B$6:$B$3005,$A110,請求記録!$Z$6:$Z$3005,R$5)=0,"",SUMIFS(請求記録!$AE$6:$AE$3005,請求記録!$B$6:$B$3005,$A110,請求記録!$Z$6:$Z$3005,R$5))))</f>
        <v/>
      </c>
      <c r="S110" s="19">
        <f>IF($A110="","",IF(COUNTIFS(請求記録!$B$6:$B$3005,$A110,請求記録!$Z$6:$Z$3005,S$5,請求記録!$AF$6:$AF$3005,"保留中")&gt;0,"保留",IF(COUNTIFS(請求記録!$B$6:$B$3005,$A110,請求記録!$Z$6:$Z$3005,S$5)=0,"",SUMIFS(請求記録!$AE$6:$AE$3005,請求記録!$B$6:$B$3005,$A110,請求記録!$Z$6:$Z$3005,S$5))))</f>
        <v/>
      </c>
      <c r="T110" s="19">
        <f>IF($A110="","",IF(COUNTIFS(請求記録!$B$6:$B$3005,$A110,請求記録!$Z$6:$Z$3005,T$5,請求記録!$AF$6:$AF$3005,"保留中")&gt;0,"保留",IF(COUNTIFS(請求記録!$B$6:$B$3005,$A110,請求記録!$Z$6:$Z$3005,T$5)=0,"",SUMIFS(請求記録!$AE$6:$AE$3005,請求記録!$B$6:$B$3005,$A110,請求記録!$Z$6:$Z$3005,T$5))))</f>
        <v/>
      </c>
      <c r="U110" s="19">
        <f>IF($A110="","",IF(COUNTIFS(請求記録!$B$6:$B$3005,$A110,請求記録!$Z$6:$Z$3005,U$5,請求記録!$AF$6:$AF$3005,"保留中")&gt;0,"保留",IF(COUNTIFS(請求記録!$B$6:$B$3005,$A110,請求記録!$Z$6:$Z$3005,U$5)=0,"",SUMIFS(請求記録!$AE$6:$AE$3005,請求記録!$B$6:$B$3005,$A110,請求記録!$Z$6:$Z$3005,U$5))))</f>
        <v/>
      </c>
      <c r="V110" s="19">
        <f>IF($A110="","",IF(COUNTIFS(請求記録!$B$6:$B$3005,$A110,請求記録!$Z$6:$Z$3005,V$5,請求記録!$AF$6:$AF$3005,"保留中")&gt;0,"保留",IF(COUNTIFS(請求記録!$B$6:$B$3005,$A110,請求記録!$Z$6:$Z$3005,V$5)=0,"",SUMIFS(請求記録!$AE$6:$AE$3005,請求記録!$B$6:$B$3005,$A110,請求記録!$Z$6:$Z$3005,V$5))))</f>
        <v/>
      </c>
      <c r="W110" s="19">
        <f>IF($A110="","",IF(COUNTIFS(請求記録!$B$6:$B$3005,$A110,請求記録!$Z$6:$Z$3005,W$5,請求記録!$AF$6:$AF$3005,"保留中")&gt;0,"保留",IF(COUNTIFS(請求記録!$B$6:$B$3005,$A110,請求記録!$Z$6:$Z$3005,W$5)=0,"",SUMIFS(請求記録!$AE$6:$AE$3005,請求記録!$B$6:$B$3005,$A110,請求記録!$Z$6:$Z$3005,W$5))))</f>
        <v/>
      </c>
      <c r="X110" s="19">
        <f>IF($A110="","",IF(COUNTIFS(請求記録!$B$6:$B$3005,$A110,請求記録!$Z$6:$Z$3005,X$5,請求記録!$AF$6:$AF$3005,"保留中")&gt;0,"保留",IF(COUNTIFS(請求記録!$B$6:$B$3005,$A110,請求記録!$Z$6:$Z$3005,X$5)=0,"",SUMIFS(請求記録!$AE$6:$AE$3005,請求記録!$B$6:$B$3005,$A110,請求記録!$Z$6:$Z$3005,X$5))))</f>
        <v/>
      </c>
      <c r="Y110" s="19">
        <f>IF($A110="","",IF(COUNTIFS(請求記録!$B$6:$B$3005,$A110,請求記録!$Z$6:$Z$3005,Y$5,請求記録!$AF$6:$AF$3005,"保留中")&gt;0,"保留",IF(COUNTIFS(請求記録!$B$6:$B$3005,$A110,請求記録!$Z$6:$Z$3005,Y$5)=0,"",SUMIFS(請求記録!$AE$6:$AE$3005,請求記録!$B$6:$B$3005,$A110,請求記録!$Z$6:$Z$3005,Y$5))))</f>
        <v/>
      </c>
      <c r="Z110" s="19">
        <f>IF($A110="","",IF(COUNTIFS(請求記録!$B$6:$B$3005,$A110,請求記録!$Z$6:$Z$3005,Z$5,請求記録!$AF$6:$AF$3005,"保留中")&gt;0,"保留",IF(COUNTIFS(請求記録!$B$6:$B$3005,$A110,請求記録!$Z$6:$Z$3005,Z$5)=0,"",SUMIFS(請求記録!$AE$6:$AE$3005,請求記録!$B$6:$B$3005,$A110,請求記録!$Z$6:$Z$3005,Z$5))))</f>
        <v/>
      </c>
      <c r="AA110" s="19">
        <f>IF($A110="","",IF(COUNTIFS(請求記録!$B$6:$B$3005,$A110,請求記録!$Z$6:$Z$3005,AA$5,請求記録!$AF$6:$AF$3005,"保留中")&gt;0,"保留",IF(COUNTIFS(請求記録!$B$6:$B$3005,$A110,請求記録!$Z$6:$Z$3005,AA$5)=0,"",SUMIFS(請求記録!$AE$6:$AE$3005,請求記録!$B$6:$B$3005,$A110,請求記録!$Z$6:$Z$3005,AA$5))))</f>
        <v/>
      </c>
      <c r="AB110">
        <f>IF(職員マスタ!P110="保留中",職員マスタ!M110,"")</f>
        <v/>
      </c>
    </row>
    <row r="111">
      <c r="A111">
        <f>IF(職員マスタ!A111="","",職員マスタ!A111)</f>
        <v/>
      </c>
      <c r="B111">
        <f>IF($A111="","",職員マスタ!B111)</f>
        <v/>
      </c>
      <c r="C111">
        <f>IF($A111="","",職員マスタ!C111)</f>
        <v/>
      </c>
      <c r="D111" s="19">
        <f>IF($A111="","",IF(COUNTIFS(請求記録!$B$6:$B$3005,$A111,請求記録!$Z$6:$Z$3005,D$5,請求記録!$AF$6:$AF$3005,"保留中")&gt;0,"保留",IF(COUNTIFS(請求記録!$B$6:$B$3005,$A111,請求記録!$Z$6:$Z$3005,D$5)=0,"",SUMIFS(請求記録!$AE$6:$AE$3005,請求記録!$B$6:$B$3005,$A111,請求記録!$Z$6:$Z$3005,D$5))))</f>
        <v/>
      </c>
      <c r="E111" s="19">
        <f>IF($A111="","",IF(COUNTIFS(請求記録!$B$6:$B$3005,$A111,請求記録!$Z$6:$Z$3005,E$5,請求記録!$AF$6:$AF$3005,"保留中")&gt;0,"保留",IF(COUNTIFS(請求記録!$B$6:$B$3005,$A111,請求記録!$Z$6:$Z$3005,E$5)=0,"",SUMIFS(請求記録!$AE$6:$AE$3005,請求記録!$B$6:$B$3005,$A111,請求記録!$Z$6:$Z$3005,E$5))))</f>
        <v/>
      </c>
      <c r="F111" s="19">
        <f>IF($A111="","",IF(COUNTIFS(請求記録!$B$6:$B$3005,$A111,請求記録!$Z$6:$Z$3005,F$5,請求記録!$AF$6:$AF$3005,"保留中")&gt;0,"保留",IF(COUNTIFS(請求記録!$B$6:$B$3005,$A111,請求記録!$Z$6:$Z$3005,F$5)=0,"",SUMIFS(請求記録!$AE$6:$AE$3005,請求記録!$B$6:$B$3005,$A111,請求記録!$Z$6:$Z$3005,F$5))))</f>
        <v/>
      </c>
      <c r="G111" s="19">
        <f>IF($A111="","",IF(COUNTIFS(請求記録!$B$6:$B$3005,$A111,請求記録!$Z$6:$Z$3005,G$5,請求記録!$AF$6:$AF$3005,"保留中")&gt;0,"保留",IF(COUNTIFS(請求記録!$B$6:$B$3005,$A111,請求記録!$Z$6:$Z$3005,G$5)=0,"",SUMIFS(請求記録!$AE$6:$AE$3005,請求記録!$B$6:$B$3005,$A111,請求記録!$Z$6:$Z$3005,G$5))))</f>
        <v/>
      </c>
      <c r="H111" s="19">
        <f>IF($A111="","",IF(COUNTIFS(請求記録!$B$6:$B$3005,$A111,請求記録!$Z$6:$Z$3005,H$5,請求記録!$AF$6:$AF$3005,"保留中")&gt;0,"保留",IF(COUNTIFS(請求記録!$B$6:$B$3005,$A111,請求記録!$Z$6:$Z$3005,H$5)=0,"",SUMIFS(請求記録!$AE$6:$AE$3005,請求記録!$B$6:$B$3005,$A111,請求記録!$Z$6:$Z$3005,H$5))))</f>
        <v/>
      </c>
      <c r="I111" s="19">
        <f>IF($A111="","",IF(COUNTIFS(請求記録!$B$6:$B$3005,$A111,請求記録!$Z$6:$Z$3005,I$5,請求記録!$AF$6:$AF$3005,"保留中")&gt;0,"保留",IF(COUNTIFS(請求記録!$B$6:$B$3005,$A111,請求記録!$Z$6:$Z$3005,I$5)=0,"",SUMIFS(請求記録!$AE$6:$AE$3005,請求記録!$B$6:$B$3005,$A111,請求記録!$Z$6:$Z$3005,I$5))))</f>
        <v/>
      </c>
      <c r="J111" s="19">
        <f>IF($A111="","",IF(COUNTIFS(請求記録!$B$6:$B$3005,$A111,請求記録!$Z$6:$Z$3005,J$5,請求記録!$AF$6:$AF$3005,"保留中")&gt;0,"保留",IF(COUNTIFS(請求記録!$B$6:$B$3005,$A111,請求記録!$Z$6:$Z$3005,J$5)=0,"",SUMIFS(請求記録!$AE$6:$AE$3005,請求記録!$B$6:$B$3005,$A111,請求記録!$Z$6:$Z$3005,J$5))))</f>
        <v/>
      </c>
      <c r="K111" s="19">
        <f>IF($A111="","",IF(COUNTIFS(請求記録!$B$6:$B$3005,$A111,請求記録!$Z$6:$Z$3005,K$5,請求記録!$AF$6:$AF$3005,"保留中")&gt;0,"保留",IF(COUNTIFS(請求記録!$B$6:$B$3005,$A111,請求記録!$Z$6:$Z$3005,K$5)=0,"",SUMIFS(請求記録!$AE$6:$AE$3005,請求記録!$B$6:$B$3005,$A111,請求記録!$Z$6:$Z$3005,K$5))))</f>
        <v/>
      </c>
      <c r="L111" s="19">
        <f>IF($A111="","",IF(COUNTIFS(請求記録!$B$6:$B$3005,$A111,請求記録!$Z$6:$Z$3005,L$5,請求記録!$AF$6:$AF$3005,"保留中")&gt;0,"保留",IF(COUNTIFS(請求記録!$B$6:$B$3005,$A111,請求記録!$Z$6:$Z$3005,L$5)=0,"",SUMIFS(請求記録!$AE$6:$AE$3005,請求記録!$B$6:$B$3005,$A111,請求記録!$Z$6:$Z$3005,L$5))))</f>
        <v/>
      </c>
      <c r="M111" s="19">
        <f>IF($A111="","",IF(COUNTIFS(請求記録!$B$6:$B$3005,$A111,請求記録!$Z$6:$Z$3005,M$5,請求記録!$AF$6:$AF$3005,"保留中")&gt;0,"保留",IF(COUNTIFS(請求記録!$B$6:$B$3005,$A111,請求記録!$Z$6:$Z$3005,M$5)=0,"",SUMIFS(請求記録!$AE$6:$AE$3005,請求記録!$B$6:$B$3005,$A111,請求記録!$Z$6:$Z$3005,M$5))))</f>
        <v/>
      </c>
      <c r="N111" s="19">
        <f>IF($A111="","",IF(COUNTIFS(請求記録!$B$6:$B$3005,$A111,請求記録!$Z$6:$Z$3005,N$5,請求記録!$AF$6:$AF$3005,"保留中")&gt;0,"保留",IF(COUNTIFS(請求記録!$B$6:$B$3005,$A111,請求記録!$Z$6:$Z$3005,N$5)=0,"",SUMIFS(請求記録!$AE$6:$AE$3005,請求記録!$B$6:$B$3005,$A111,請求記録!$Z$6:$Z$3005,N$5))))</f>
        <v/>
      </c>
      <c r="O111" s="19">
        <f>IF($A111="","",IF(COUNTIFS(請求記録!$B$6:$B$3005,$A111,請求記録!$Z$6:$Z$3005,O$5,請求記録!$AF$6:$AF$3005,"保留中")&gt;0,"保留",IF(COUNTIFS(請求記録!$B$6:$B$3005,$A111,請求記録!$Z$6:$Z$3005,O$5)=0,"",SUMIFS(請求記録!$AE$6:$AE$3005,請求記録!$B$6:$B$3005,$A111,請求記録!$Z$6:$Z$3005,O$5))))</f>
        <v/>
      </c>
      <c r="P111" s="19">
        <f>IF($A111="","",IF(COUNTIFS(請求記録!$B$6:$B$3005,$A111,請求記録!$Z$6:$Z$3005,P$5,請求記録!$AF$6:$AF$3005,"保留中")&gt;0,"保留",IF(COUNTIFS(請求記録!$B$6:$B$3005,$A111,請求記録!$Z$6:$Z$3005,P$5)=0,"",SUMIFS(請求記録!$AE$6:$AE$3005,請求記録!$B$6:$B$3005,$A111,請求記録!$Z$6:$Z$3005,P$5))))</f>
        <v/>
      </c>
      <c r="Q111" s="19">
        <f>IF($A111="","",IF(COUNTIFS(請求記録!$B$6:$B$3005,$A111,請求記録!$Z$6:$Z$3005,Q$5,請求記録!$AF$6:$AF$3005,"保留中")&gt;0,"保留",IF(COUNTIFS(請求記録!$B$6:$B$3005,$A111,請求記録!$Z$6:$Z$3005,Q$5)=0,"",SUMIFS(請求記録!$AE$6:$AE$3005,請求記録!$B$6:$B$3005,$A111,請求記録!$Z$6:$Z$3005,Q$5))))</f>
        <v/>
      </c>
      <c r="R111" s="19">
        <f>IF($A111="","",IF(COUNTIFS(請求記録!$B$6:$B$3005,$A111,請求記録!$Z$6:$Z$3005,R$5,請求記録!$AF$6:$AF$3005,"保留中")&gt;0,"保留",IF(COUNTIFS(請求記録!$B$6:$B$3005,$A111,請求記録!$Z$6:$Z$3005,R$5)=0,"",SUMIFS(請求記録!$AE$6:$AE$3005,請求記録!$B$6:$B$3005,$A111,請求記録!$Z$6:$Z$3005,R$5))))</f>
        <v/>
      </c>
      <c r="S111" s="19">
        <f>IF($A111="","",IF(COUNTIFS(請求記録!$B$6:$B$3005,$A111,請求記録!$Z$6:$Z$3005,S$5,請求記録!$AF$6:$AF$3005,"保留中")&gt;0,"保留",IF(COUNTIFS(請求記録!$B$6:$B$3005,$A111,請求記録!$Z$6:$Z$3005,S$5)=0,"",SUMIFS(請求記録!$AE$6:$AE$3005,請求記録!$B$6:$B$3005,$A111,請求記録!$Z$6:$Z$3005,S$5))))</f>
        <v/>
      </c>
      <c r="T111" s="19">
        <f>IF($A111="","",IF(COUNTIFS(請求記録!$B$6:$B$3005,$A111,請求記録!$Z$6:$Z$3005,T$5,請求記録!$AF$6:$AF$3005,"保留中")&gt;0,"保留",IF(COUNTIFS(請求記録!$B$6:$B$3005,$A111,請求記録!$Z$6:$Z$3005,T$5)=0,"",SUMIFS(請求記録!$AE$6:$AE$3005,請求記録!$B$6:$B$3005,$A111,請求記録!$Z$6:$Z$3005,T$5))))</f>
        <v/>
      </c>
      <c r="U111" s="19">
        <f>IF($A111="","",IF(COUNTIFS(請求記録!$B$6:$B$3005,$A111,請求記録!$Z$6:$Z$3005,U$5,請求記録!$AF$6:$AF$3005,"保留中")&gt;0,"保留",IF(COUNTIFS(請求記録!$B$6:$B$3005,$A111,請求記録!$Z$6:$Z$3005,U$5)=0,"",SUMIFS(請求記録!$AE$6:$AE$3005,請求記録!$B$6:$B$3005,$A111,請求記録!$Z$6:$Z$3005,U$5))))</f>
        <v/>
      </c>
      <c r="V111" s="19">
        <f>IF($A111="","",IF(COUNTIFS(請求記録!$B$6:$B$3005,$A111,請求記録!$Z$6:$Z$3005,V$5,請求記録!$AF$6:$AF$3005,"保留中")&gt;0,"保留",IF(COUNTIFS(請求記録!$B$6:$B$3005,$A111,請求記録!$Z$6:$Z$3005,V$5)=0,"",SUMIFS(請求記録!$AE$6:$AE$3005,請求記録!$B$6:$B$3005,$A111,請求記録!$Z$6:$Z$3005,V$5))))</f>
        <v/>
      </c>
      <c r="W111" s="19">
        <f>IF($A111="","",IF(COUNTIFS(請求記録!$B$6:$B$3005,$A111,請求記録!$Z$6:$Z$3005,W$5,請求記録!$AF$6:$AF$3005,"保留中")&gt;0,"保留",IF(COUNTIFS(請求記録!$B$6:$B$3005,$A111,請求記録!$Z$6:$Z$3005,W$5)=0,"",SUMIFS(請求記録!$AE$6:$AE$3005,請求記録!$B$6:$B$3005,$A111,請求記録!$Z$6:$Z$3005,W$5))))</f>
        <v/>
      </c>
      <c r="X111" s="19">
        <f>IF($A111="","",IF(COUNTIFS(請求記録!$B$6:$B$3005,$A111,請求記録!$Z$6:$Z$3005,X$5,請求記録!$AF$6:$AF$3005,"保留中")&gt;0,"保留",IF(COUNTIFS(請求記録!$B$6:$B$3005,$A111,請求記録!$Z$6:$Z$3005,X$5)=0,"",SUMIFS(請求記録!$AE$6:$AE$3005,請求記録!$B$6:$B$3005,$A111,請求記録!$Z$6:$Z$3005,X$5))))</f>
        <v/>
      </c>
      <c r="Y111" s="19">
        <f>IF($A111="","",IF(COUNTIFS(請求記録!$B$6:$B$3005,$A111,請求記録!$Z$6:$Z$3005,Y$5,請求記録!$AF$6:$AF$3005,"保留中")&gt;0,"保留",IF(COUNTIFS(請求記録!$B$6:$B$3005,$A111,請求記録!$Z$6:$Z$3005,Y$5)=0,"",SUMIFS(請求記録!$AE$6:$AE$3005,請求記録!$B$6:$B$3005,$A111,請求記録!$Z$6:$Z$3005,Y$5))))</f>
        <v/>
      </c>
      <c r="Z111" s="19">
        <f>IF($A111="","",IF(COUNTIFS(請求記録!$B$6:$B$3005,$A111,請求記録!$Z$6:$Z$3005,Z$5,請求記録!$AF$6:$AF$3005,"保留中")&gt;0,"保留",IF(COUNTIFS(請求記録!$B$6:$B$3005,$A111,請求記録!$Z$6:$Z$3005,Z$5)=0,"",SUMIFS(請求記録!$AE$6:$AE$3005,請求記録!$B$6:$B$3005,$A111,請求記録!$Z$6:$Z$3005,Z$5))))</f>
        <v/>
      </c>
      <c r="AA111" s="19">
        <f>IF($A111="","",IF(COUNTIFS(請求記録!$B$6:$B$3005,$A111,請求記録!$Z$6:$Z$3005,AA$5,請求記録!$AF$6:$AF$3005,"保留中")&gt;0,"保留",IF(COUNTIFS(請求記録!$B$6:$B$3005,$A111,請求記録!$Z$6:$Z$3005,AA$5)=0,"",SUMIFS(請求記録!$AE$6:$AE$3005,請求記録!$B$6:$B$3005,$A111,請求記録!$Z$6:$Z$3005,AA$5))))</f>
        <v/>
      </c>
      <c r="AB111">
        <f>IF(職員マスタ!P111="保留中",職員マスタ!M111,"")</f>
        <v/>
      </c>
    </row>
    <row r="112">
      <c r="A112">
        <f>IF(職員マスタ!A112="","",職員マスタ!A112)</f>
        <v/>
      </c>
      <c r="B112">
        <f>IF($A112="","",職員マスタ!B112)</f>
        <v/>
      </c>
      <c r="C112">
        <f>IF($A112="","",職員マスタ!C112)</f>
        <v/>
      </c>
      <c r="D112" s="19">
        <f>IF($A112="","",IF(COUNTIFS(請求記録!$B$6:$B$3005,$A112,請求記録!$Z$6:$Z$3005,D$5,請求記録!$AF$6:$AF$3005,"保留中")&gt;0,"保留",IF(COUNTIFS(請求記録!$B$6:$B$3005,$A112,請求記録!$Z$6:$Z$3005,D$5)=0,"",SUMIFS(請求記録!$AE$6:$AE$3005,請求記録!$B$6:$B$3005,$A112,請求記録!$Z$6:$Z$3005,D$5))))</f>
        <v/>
      </c>
      <c r="E112" s="19">
        <f>IF($A112="","",IF(COUNTIFS(請求記録!$B$6:$B$3005,$A112,請求記録!$Z$6:$Z$3005,E$5,請求記録!$AF$6:$AF$3005,"保留中")&gt;0,"保留",IF(COUNTIFS(請求記録!$B$6:$B$3005,$A112,請求記録!$Z$6:$Z$3005,E$5)=0,"",SUMIFS(請求記録!$AE$6:$AE$3005,請求記録!$B$6:$B$3005,$A112,請求記録!$Z$6:$Z$3005,E$5))))</f>
        <v/>
      </c>
      <c r="F112" s="19">
        <f>IF($A112="","",IF(COUNTIFS(請求記録!$B$6:$B$3005,$A112,請求記録!$Z$6:$Z$3005,F$5,請求記録!$AF$6:$AF$3005,"保留中")&gt;0,"保留",IF(COUNTIFS(請求記録!$B$6:$B$3005,$A112,請求記録!$Z$6:$Z$3005,F$5)=0,"",SUMIFS(請求記録!$AE$6:$AE$3005,請求記録!$B$6:$B$3005,$A112,請求記録!$Z$6:$Z$3005,F$5))))</f>
        <v/>
      </c>
      <c r="G112" s="19">
        <f>IF($A112="","",IF(COUNTIFS(請求記録!$B$6:$B$3005,$A112,請求記録!$Z$6:$Z$3005,G$5,請求記録!$AF$6:$AF$3005,"保留中")&gt;0,"保留",IF(COUNTIFS(請求記録!$B$6:$B$3005,$A112,請求記録!$Z$6:$Z$3005,G$5)=0,"",SUMIFS(請求記録!$AE$6:$AE$3005,請求記録!$B$6:$B$3005,$A112,請求記録!$Z$6:$Z$3005,G$5))))</f>
        <v/>
      </c>
      <c r="H112" s="19">
        <f>IF($A112="","",IF(COUNTIFS(請求記録!$B$6:$B$3005,$A112,請求記録!$Z$6:$Z$3005,H$5,請求記録!$AF$6:$AF$3005,"保留中")&gt;0,"保留",IF(COUNTIFS(請求記録!$B$6:$B$3005,$A112,請求記録!$Z$6:$Z$3005,H$5)=0,"",SUMIFS(請求記録!$AE$6:$AE$3005,請求記録!$B$6:$B$3005,$A112,請求記録!$Z$6:$Z$3005,H$5))))</f>
        <v/>
      </c>
      <c r="I112" s="19">
        <f>IF($A112="","",IF(COUNTIFS(請求記録!$B$6:$B$3005,$A112,請求記録!$Z$6:$Z$3005,I$5,請求記録!$AF$6:$AF$3005,"保留中")&gt;0,"保留",IF(COUNTIFS(請求記録!$B$6:$B$3005,$A112,請求記録!$Z$6:$Z$3005,I$5)=0,"",SUMIFS(請求記録!$AE$6:$AE$3005,請求記録!$B$6:$B$3005,$A112,請求記録!$Z$6:$Z$3005,I$5))))</f>
        <v/>
      </c>
      <c r="J112" s="19">
        <f>IF($A112="","",IF(COUNTIFS(請求記録!$B$6:$B$3005,$A112,請求記録!$Z$6:$Z$3005,J$5,請求記録!$AF$6:$AF$3005,"保留中")&gt;0,"保留",IF(COUNTIFS(請求記録!$B$6:$B$3005,$A112,請求記録!$Z$6:$Z$3005,J$5)=0,"",SUMIFS(請求記録!$AE$6:$AE$3005,請求記録!$B$6:$B$3005,$A112,請求記録!$Z$6:$Z$3005,J$5))))</f>
        <v/>
      </c>
      <c r="K112" s="19">
        <f>IF($A112="","",IF(COUNTIFS(請求記録!$B$6:$B$3005,$A112,請求記録!$Z$6:$Z$3005,K$5,請求記録!$AF$6:$AF$3005,"保留中")&gt;0,"保留",IF(COUNTIFS(請求記録!$B$6:$B$3005,$A112,請求記録!$Z$6:$Z$3005,K$5)=0,"",SUMIFS(請求記録!$AE$6:$AE$3005,請求記録!$B$6:$B$3005,$A112,請求記録!$Z$6:$Z$3005,K$5))))</f>
        <v/>
      </c>
      <c r="L112" s="19">
        <f>IF($A112="","",IF(COUNTIFS(請求記録!$B$6:$B$3005,$A112,請求記録!$Z$6:$Z$3005,L$5,請求記録!$AF$6:$AF$3005,"保留中")&gt;0,"保留",IF(COUNTIFS(請求記録!$B$6:$B$3005,$A112,請求記録!$Z$6:$Z$3005,L$5)=0,"",SUMIFS(請求記録!$AE$6:$AE$3005,請求記録!$B$6:$B$3005,$A112,請求記録!$Z$6:$Z$3005,L$5))))</f>
        <v/>
      </c>
      <c r="M112" s="19">
        <f>IF($A112="","",IF(COUNTIFS(請求記録!$B$6:$B$3005,$A112,請求記録!$Z$6:$Z$3005,M$5,請求記録!$AF$6:$AF$3005,"保留中")&gt;0,"保留",IF(COUNTIFS(請求記録!$B$6:$B$3005,$A112,請求記録!$Z$6:$Z$3005,M$5)=0,"",SUMIFS(請求記録!$AE$6:$AE$3005,請求記録!$B$6:$B$3005,$A112,請求記録!$Z$6:$Z$3005,M$5))))</f>
        <v/>
      </c>
      <c r="N112" s="19">
        <f>IF($A112="","",IF(COUNTIFS(請求記録!$B$6:$B$3005,$A112,請求記録!$Z$6:$Z$3005,N$5,請求記録!$AF$6:$AF$3005,"保留中")&gt;0,"保留",IF(COUNTIFS(請求記録!$B$6:$B$3005,$A112,請求記録!$Z$6:$Z$3005,N$5)=0,"",SUMIFS(請求記録!$AE$6:$AE$3005,請求記録!$B$6:$B$3005,$A112,請求記録!$Z$6:$Z$3005,N$5))))</f>
        <v/>
      </c>
      <c r="O112" s="19">
        <f>IF($A112="","",IF(COUNTIFS(請求記録!$B$6:$B$3005,$A112,請求記録!$Z$6:$Z$3005,O$5,請求記録!$AF$6:$AF$3005,"保留中")&gt;0,"保留",IF(COUNTIFS(請求記録!$B$6:$B$3005,$A112,請求記録!$Z$6:$Z$3005,O$5)=0,"",SUMIFS(請求記録!$AE$6:$AE$3005,請求記録!$B$6:$B$3005,$A112,請求記録!$Z$6:$Z$3005,O$5))))</f>
        <v/>
      </c>
      <c r="P112" s="19">
        <f>IF($A112="","",IF(COUNTIFS(請求記録!$B$6:$B$3005,$A112,請求記録!$Z$6:$Z$3005,P$5,請求記録!$AF$6:$AF$3005,"保留中")&gt;0,"保留",IF(COUNTIFS(請求記録!$B$6:$B$3005,$A112,請求記録!$Z$6:$Z$3005,P$5)=0,"",SUMIFS(請求記録!$AE$6:$AE$3005,請求記録!$B$6:$B$3005,$A112,請求記録!$Z$6:$Z$3005,P$5))))</f>
        <v/>
      </c>
      <c r="Q112" s="19">
        <f>IF($A112="","",IF(COUNTIFS(請求記録!$B$6:$B$3005,$A112,請求記録!$Z$6:$Z$3005,Q$5,請求記録!$AF$6:$AF$3005,"保留中")&gt;0,"保留",IF(COUNTIFS(請求記録!$B$6:$B$3005,$A112,請求記録!$Z$6:$Z$3005,Q$5)=0,"",SUMIFS(請求記録!$AE$6:$AE$3005,請求記録!$B$6:$B$3005,$A112,請求記録!$Z$6:$Z$3005,Q$5))))</f>
        <v/>
      </c>
      <c r="R112" s="19">
        <f>IF($A112="","",IF(COUNTIFS(請求記録!$B$6:$B$3005,$A112,請求記録!$Z$6:$Z$3005,R$5,請求記録!$AF$6:$AF$3005,"保留中")&gt;0,"保留",IF(COUNTIFS(請求記録!$B$6:$B$3005,$A112,請求記録!$Z$6:$Z$3005,R$5)=0,"",SUMIFS(請求記録!$AE$6:$AE$3005,請求記録!$B$6:$B$3005,$A112,請求記録!$Z$6:$Z$3005,R$5))))</f>
        <v/>
      </c>
      <c r="S112" s="19">
        <f>IF($A112="","",IF(COUNTIFS(請求記録!$B$6:$B$3005,$A112,請求記録!$Z$6:$Z$3005,S$5,請求記録!$AF$6:$AF$3005,"保留中")&gt;0,"保留",IF(COUNTIFS(請求記録!$B$6:$B$3005,$A112,請求記録!$Z$6:$Z$3005,S$5)=0,"",SUMIFS(請求記録!$AE$6:$AE$3005,請求記録!$B$6:$B$3005,$A112,請求記録!$Z$6:$Z$3005,S$5))))</f>
        <v/>
      </c>
      <c r="T112" s="19">
        <f>IF($A112="","",IF(COUNTIFS(請求記録!$B$6:$B$3005,$A112,請求記録!$Z$6:$Z$3005,T$5,請求記録!$AF$6:$AF$3005,"保留中")&gt;0,"保留",IF(COUNTIFS(請求記録!$B$6:$B$3005,$A112,請求記録!$Z$6:$Z$3005,T$5)=0,"",SUMIFS(請求記録!$AE$6:$AE$3005,請求記録!$B$6:$B$3005,$A112,請求記録!$Z$6:$Z$3005,T$5))))</f>
        <v/>
      </c>
      <c r="U112" s="19">
        <f>IF($A112="","",IF(COUNTIFS(請求記録!$B$6:$B$3005,$A112,請求記録!$Z$6:$Z$3005,U$5,請求記録!$AF$6:$AF$3005,"保留中")&gt;0,"保留",IF(COUNTIFS(請求記録!$B$6:$B$3005,$A112,請求記録!$Z$6:$Z$3005,U$5)=0,"",SUMIFS(請求記録!$AE$6:$AE$3005,請求記録!$B$6:$B$3005,$A112,請求記録!$Z$6:$Z$3005,U$5))))</f>
        <v/>
      </c>
      <c r="V112" s="19">
        <f>IF($A112="","",IF(COUNTIFS(請求記録!$B$6:$B$3005,$A112,請求記録!$Z$6:$Z$3005,V$5,請求記録!$AF$6:$AF$3005,"保留中")&gt;0,"保留",IF(COUNTIFS(請求記録!$B$6:$B$3005,$A112,請求記録!$Z$6:$Z$3005,V$5)=0,"",SUMIFS(請求記録!$AE$6:$AE$3005,請求記録!$B$6:$B$3005,$A112,請求記録!$Z$6:$Z$3005,V$5))))</f>
        <v/>
      </c>
      <c r="W112" s="19">
        <f>IF($A112="","",IF(COUNTIFS(請求記録!$B$6:$B$3005,$A112,請求記録!$Z$6:$Z$3005,W$5,請求記録!$AF$6:$AF$3005,"保留中")&gt;0,"保留",IF(COUNTIFS(請求記録!$B$6:$B$3005,$A112,請求記録!$Z$6:$Z$3005,W$5)=0,"",SUMIFS(請求記録!$AE$6:$AE$3005,請求記録!$B$6:$B$3005,$A112,請求記録!$Z$6:$Z$3005,W$5))))</f>
        <v/>
      </c>
      <c r="X112" s="19">
        <f>IF($A112="","",IF(COUNTIFS(請求記録!$B$6:$B$3005,$A112,請求記録!$Z$6:$Z$3005,X$5,請求記録!$AF$6:$AF$3005,"保留中")&gt;0,"保留",IF(COUNTIFS(請求記録!$B$6:$B$3005,$A112,請求記録!$Z$6:$Z$3005,X$5)=0,"",SUMIFS(請求記録!$AE$6:$AE$3005,請求記録!$B$6:$B$3005,$A112,請求記録!$Z$6:$Z$3005,X$5))))</f>
        <v/>
      </c>
      <c r="Y112" s="19">
        <f>IF($A112="","",IF(COUNTIFS(請求記録!$B$6:$B$3005,$A112,請求記録!$Z$6:$Z$3005,Y$5,請求記録!$AF$6:$AF$3005,"保留中")&gt;0,"保留",IF(COUNTIFS(請求記録!$B$6:$B$3005,$A112,請求記録!$Z$6:$Z$3005,Y$5)=0,"",SUMIFS(請求記録!$AE$6:$AE$3005,請求記録!$B$6:$B$3005,$A112,請求記録!$Z$6:$Z$3005,Y$5))))</f>
        <v/>
      </c>
      <c r="Z112" s="19">
        <f>IF($A112="","",IF(COUNTIFS(請求記録!$B$6:$B$3005,$A112,請求記録!$Z$6:$Z$3005,Z$5,請求記録!$AF$6:$AF$3005,"保留中")&gt;0,"保留",IF(COUNTIFS(請求記録!$B$6:$B$3005,$A112,請求記録!$Z$6:$Z$3005,Z$5)=0,"",SUMIFS(請求記録!$AE$6:$AE$3005,請求記録!$B$6:$B$3005,$A112,請求記録!$Z$6:$Z$3005,Z$5))))</f>
        <v/>
      </c>
      <c r="AA112" s="19">
        <f>IF($A112="","",IF(COUNTIFS(請求記録!$B$6:$B$3005,$A112,請求記録!$Z$6:$Z$3005,AA$5,請求記録!$AF$6:$AF$3005,"保留中")&gt;0,"保留",IF(COUNTIFS(請求記録!$B$6:$B$3005,$A112,請求記録!$Z$6:$Z$3005,AA$5)=0,"",SUMIFS(請求記録!$AE$6:$AE$3005,請求記録!$B$6:$B$3005,$A112,請求記録!$Z$6:$Z$3005,AA$5))))</f>
        <v/>
      </c>
      <c r="AB112">
        <f>IF(職員マスタ!P112="保留中",職員マスタ!M112,"")</f>
        <v/>
      </c>
    </row>
    <row r="113">
      <c r="A113">
        <f>IF(職員マスタ!A113="","",職員マスタ!A113)</f>
        <v/>
      </c>
      <c r="B113">
        <f>IF($A113="","",職員マスタ!B113)</f>
        <v/>
      </c>
      <c r="C113">
        <f>IF($A113="","",職員マスタ!C113)</f>
        <v/>
      </c>
      <c r="D113" s="19">
        <f>IF($A113="","",IF(COUNTIFS(請求記録!$B$6:$B$3005,$A113,請求記録!$Z$6:$Z$3005,D$5,請求記録!$AF$6:$AF$3005,"保留中")&gt;0,"保留",IF(COUNTIFS(請求記録!$B$6:$B$3005,$A113,請求記録!$Z$6:$Z$3005,D$5)=0,"",SUMIFS(請求記録!$AE$6:$AE$3005,請求記録!$B$6:$B$3005,$A113,請求記録!$Z$6:$Z$3005,D$5))))</f>
        <v/>
      </c>
      <c r="E113" s="19">
        <f>IF($A113="","",IF(COUNTIFS(請求記録!$B$6:$B$3005,$A113,請求記録!$Z$6:$Z$3005,E$5,請求記録!$AF$6:$AF$3005,"保留中")&gt;0,"保留",IF(COUNTIFS(請求記録!$B$6:$B$3005,$A113,請求記録!$Z$6:$Z$3005,E$5)=0,"",SUMIFS(請求記録!$AE$6:$AE$3005,請求記録!$B$6:$B$3005,$A113,請求記録!$Z$6:$Z$3005,E$5))))</f>
        <v/>
      </c>
      <c r="F113" s="19">
        <f>IF($A113="","",IF(COUNTIFS(請求記録!$B$6:$B$3005,$A113,請求記録!$Z$6:$Z$3005,F$5,請求記録!$AF$6:$AF$3005,"保留中")&gt;0,"保留",IF(COUNTIFS(請求記録!$B$6:$B$3005,$A113,請求記録!$Z$6:$Z$3005,F$5)=0,"",SUMIFS(請求記録!$AE$6:$AE$3005,請求記録!$B$6:$B$3005,$A113,請求記録!$Z$6:$Z$3005,F$5))))</f>
        <v/>
      </c>
      <c r="G113" s="19">
        <f>IF($A113="","",IF(COUNTIFS(請求記録!$B$6:$B$3005,$A113,請求記録!$Z$6:$Z$3005,G$5,請求記録!$AF$6:$AF$3005,"保留中")&gt;0,"保留",IF(COUNTIFS(請求記録!$B$6:$B$3005,$A113,請求記録!$Z$6:$Z$3005,G$5)=0,"",SUMIFS(請求記録!$AE$6:$AE$3005,請求記録!$B$6:$B$3005,$A113,請求記録!$Z$6:$Z$3005,G$5))))</f>
        <v/>
      </c>
      <c r="H113" s="19">
        <f>IF($A113="","",IF(COUNTIFS(請求記録!$B$6:$B$3005,$A113,請求記録!$Z$6:$Z$3005,H$5,請求記録!$AF$6:$AF$3005,"保留中")&gt;0,"保留",IF(COUNTIFS(請求記録!$B$6:$B$3005,$A113,請求記録!$Z$6:$Z$3005,H$5)=0,"",SUMIFS(請求記録!$AE$6:$AE$3005,請求記録!$B$6:$B$3005,$A113,請求記録!$Z$6:$Z$3005,H$5))))</f>
        <v/>
      </c>
      <c r="I113" s="19">
        <f>IF($A113="","",IF(COUNTIFS(請求記録!$B$6:$B$3005,$A113,請求記録!$Z$6:$Z$3005,I$5,請求記録!$AF$6:$AF$3005,"保留中")&gt;0,"保留",IF(COUNTIFS(請求記録!$B$6:$B$3005,$A113,請求記録!$Z$6:$Z$3005,I$5)=0,"",SUMIFS(請求記録!$AE$6:$AE$3005,請求記録!$B$6:$B$3005,$A113,請求記録!$Z$6:$Z$3005,I$5))))</f>
        <v/>
      </c>
      <c r="J113" s="19">
        <f>IF($A113="","",IF(COUNTIFS(請求記録!$B$6:$B$3005,$A113,請求記録!$Z$6:$Z$3005,J$5,請求記録!$AF$6:$AF$3005,"保留中")&gt;0,"保留",IF(COUNTIFS(請求記録!$B$6:$B$3005,$A113,請求記録!$Z$6:$Z$3005,J$5)=0,"",SUMIFS(請求記録!$AE$6:$AE$3005,請求記録!$B$6:$B$3005,$A113,請求記録!$Z$6:$Z$3005,J$5))))</f>
        <v/>
      </c>
      <c r="K113" s="19">
        <f>IF($A113="","",IF(COUNTIFS(請求記録!$B$6:$B$3005,$A113,請求記録!$Z$6:$Z$3005,K$5,請求記録!$AF$6:$AF$3005,"保留中")&gt;0,"保留",IF(COUNTIFS(請求記録!$B$6:$B$3005,$A113,請求記録!$Z$6:$Z$3005,K$5)=0,"",SUMIFS(請求記録!$AE$6:$AE$3005,請求記録!$B$6:$B$3005,$A113,請求記録!$Z$6:$Z$3005,K$5))))</f>
        <v/>
      </c>
      <c r="L113" s="19">
        <f>IF($A113="","",IF(COUNTIFS(請求記録!$B$6:$B$3005,$A113,請求記録!$Z$6:$Z$3005,L$5,請求記録!$AF$6:$AF$3005,"保留中")&gt;0,"保留",IF(COUNTIFS(請求記録!$B$6:$B$3005,$A113,請求記録!$Z$6:$Z$3005,L$5)=0,"",SUMIFS(請求記録!$AE$6:$AE$3005,請求記録!$B$6:$B$3005,$A113,請求記録!$Z$6:$Z$3005,L$5))))</f>
        <v/>
      </c>
      <c r="M113" s="19">
        <f>IF($A113="","",IF(COUNTIFS(請求記録!$B$6:$B$3005,$A113,請求記録!$Z$6:$Z$3005,M$5,請求記録!$AF$6:$AF$3005,"保留中")&gt;0,"保留",IF(COUNTIFS(請求記録!$B$6:$B$3005,$A113,請求記録!$Z$6:$Z$3005,M$5)=0,"",SUMIFS(請求記録!$AE$6:$AE$3005,請求記録!$B$6:$B$3005,$A113,請求記録!$Z$6:$Z$3005,M$5))))</f>
        <v/>
      </c>
      <c r="N113" s="19">
        <f>IF($A113="","",IF(COUNTIFS(請求記録!$B$6:$B$3005,$A113,請求記録!$Z$6:$Z$3005,N$5,請求記録!$AF$6:$AF$3005,"保留中")&gt;0,"保留",IF(COUNTIFS(請求記録!$B$6:$B$3005,$A113,請求記録!$Z$6:$Z$3005,N$5)=0,"",SUMIFS(請求記録!$AE$6:$AE$3005,請求記録!$B$6:$B$3005,$A113,請求記録!$Z$6:$Z$3005,N$5))))</f>
        <v/>
      </c>
      <c r="O113" s="19">
        <f>IF($A113="","",IF(COUNTIFS(請求記録!$B$6:$B$3005,$A113,請求記録!$Z$6:$Z$3005,O$5,請求記録!$AF$6:$AF$3005,"保留中")&gt;0,"保留",IF(COUNTIFS(請求記録!$B$6:$B$3005,$A113,請求記録!$Z$6:$Z$3005,O$5)=0,"",SUMIFS(請求記録!$AE$6:$AE$3005,請求記録!$B$6:$B$3005,$A113,請求記録!$Z$6:$Z$3005,O$5))))</f>
        <v/>
      </c>
      <c r="P113" s="19">
        <f>IF($A113="","",IF(COUNTIFS(請求記録!$B$6:$B$3005,$A113,請求記録!$Z$6:$Z$3005,P$5,請求記録!$AF$6:$AF$3005,"保留中")&gt;0,"保留",IF(COUNTIFS(請求記録!$B$6:$B$3005,$A113,請求記録!$Z$6:$Z$3005,P$5)=0,"",SUMIFS(請求記録!$AE$6:$AE$3005,請求記録!$B$6:$B$3005,$A113,請求記録!$Z$6:$Z$3005,P$5))))</f>
        <v/>
      </c>
      <c r="Q113" s="19">
        <f>IF($A113="","",IF(COUNTIFS(請求記録!$B$6:$B$3005,$A113,請求記録!$Z$6:$Z$3005,Q$5,請求記録!$AF$6:$AF$3005,"保留中")&gt;0,"保留",IF(COUNTIFS(請求記録!$B$6:$B$3005,$A113,請求記録!$Z$6:$Z$3005,Q$5)=0,"",SUMIFS(請求記録!$AE$6:$AE$3005,請求記録!$B$6:$B$3005,$A113,請求記録!$Z$6:$Z$3005,Q$5))))</f>
        <v/>
      </c>
      <c r="R113" s="19">
        <f>IF($A113="","",IF(COUNTIFS(請求記録!$B$6:$B$3005,$A113,請求記録!$Z$6:$Z$3005,R$5,請求記録!$AF$6:$AF$3005,"保留中")&gt;0,"保留",IF(COUNTIFS(請求記録!$B$6:$B$3005,$A113,請求記録!$Z$6:$Z$3005,R$5)=0,"",SUMIFS(請求記録!$AE$6:$AE$3005,請求記録!$B$6:$B$3005,$A113,請求記録!$Z$6:$Z$3005,R$5))))</f>
        <v/>
      </c>
      <c r="S113" s="19">
        <f>IF($A113="","",IF(COUNTIFS(請求記録!$B$6:$B$3005,$A113,請求記録!$Z$6:$Z$3005,S$5,請求記録!$AF$6:$AF$3005,"保留中")&gt;0,"保留",IF(COUNTIFS(請求記録!$B$6:$B$3005,$A113,請求記録!$Z$6:$Z$3005,S$5)=0,"",SUMIFS(請求記録!$AE$6:$AE$3005,請求記録!$B$6:$B$3005,$A113,請求記録!$Z$6:$Z$3005,S$5))))</f>
        <v/>
      </c>
      <c r="T113" s="19">
        <f>IF($A113="","",IF(COUNTIFS(請求記録!$B$6:$B$3005,$A113,請求記録!$Z$6:$Z$3005,T$5,請求記録!$AF$6:$AF$3005,"保留中")&gt;0,"保留",IF(COUNTIFS(請求記録!$B$6:$B$3005,$A113,請求記録!$Z$6:$Z$3005,T$5)=0,"",SUMIFS(請求記録!$AE$6:$AE$3005,請求記録!$B$6:$B$3005,$A113,請求記録!$Z$6:$Z$3005,T$5))))</f>
        <v/>
      </c>
      <c r="U113" s="19">
        <f>IF($A113="","",IF(COUNTIFS(請求記録!$B$6:$B$3005,$A113,請求記録!$Z$6:$Z$3005,U$5,請求記録!$AF$6:$AF$3005,"保留中")&gt;0,"保留",IF(COUNTIFS(請求記録!$B$6:$B$3005,$A113,請求記録!$Z$6:$Z$3005,U$5)=0,"",SUMIFS(請求記録!$AE$6:$AE$3005,請求記録!$B$6:$B$3005,$A113,請求記録!$Z$6:$Z$3005,U$5))))</f>
        <v/>
      </c>
      <c r="V113" s="19">
        <f>IF($A113="","",IF(COUNTIFS(請求記録!$B$6:$B$3005,$A113,請求記録!$Z$6:$Z$3005,V$5,請求記録!$AF$6:$AF$3005,"保留中")&gt;0,"保留",IF(COUNTIFS(請求記録!$B$6:$B$3005,$A113,請求記録!$Z$6:$Z$3005,V$5)=0,"",SUMIFS(請求記録!$AE$6:$AE$3005,請求記録!$B$6:$B$3005,$A113,請求記録!$Z$6:$Z$3005,V$5))))</f>
        <v/>
      </c>
      <c r="W113" s="19">
        <f>IF($A113="","",IF(COUNTIFS(請求記録!$B$6:$B$3005,$A113,請求記録!$Z$6:$Z$3005,W$5,請求記録!$AF$6:$AF$3005,"保留中")&gt;0,"保留",IF(COUNTIFS(請求記録!$B$6:$B$3005,$A113,請求記録!$Z$6:$Z$3005,W$5)=0,"",SUMIFS(請求記録!$AE$6:$AE$3005,請求記録!$B$6:$B$3005,$A113,請求記録!$Z$6:$Z$3005,W$5))))</f>
        <v/>
      </c>
      <c r="X113" s="19">
        <f>IF($A113="","",IF(COUNTIFS(請求記録!$B$6:$B$3005,$A113,請求記録!$Z$6:$Z$3005,X$5,請求記録!$AF$6:$AF$3005,"保留中")&gt;0,"保留",IF(COUNTIFS(請求記録!$B$6:$B$3005,$A113,請求記録!$Z$6:$Z$3005,X$5)=0,"",SUMIFS(請求記録!$AE$6:$AE$3005,請求記録!$B$6:$B$3005,$A113,請求記録!$Z$6:$Z$3005,X$5))))</f>
        <v/>
      </c>
      <c r="Y113" s="19">
        <f>IF($A113="","",IF(COUNTIFS(請求記録!$B$6:$B$3005,$A113,請求記録!$Z$6:$Z$3005,Y$5,請求記録!$AF$6:$AF$3005,"保留中")&gt;0,"保留",IF(COUNTIFS(請求記録!$B$6:$B$3005,$A113,請求記録!$Z$6:$Z$3005,Y$5)=0,"",SUMIFS(請求記録!$AE$6:$AE$3005,請求記録!$B$6:$B$3005,$A113,請求記録!$Z$6:$Z$3005,Y$5))))</f>
        <v/>
      </c>
      <c r="Z113" s="19">
        <f>IF($A113="","",IF(COUNTIFS(請求記録!$B$6:$B$3005,$A113,請求記録!$Z$6:$Z$3005,Z$5,請求記録!$AF$6:$AF$3005,"保留中")&gt;0,"保留",IF(COUNTIFS(請求記録!$B$6:$B$3005,$A113,請求記録!$Z$6:$Z$3005,Z$5)=0,"",SUMIFS(請求記録!$AE$6:$AE$3005,請求記録!$B$6:$B$3005,$A113,請求記録!$Z$6:$Z$3005,Z$5))))</f>
        <v/>
      </c>
      <c r="AA113" s="19">
        <f>IF($A113="","",IF(COUNTIFS(請求記録!$B$6:$B$3005,$A113,請求記録!$Z$6:$Z$3005,AA$5,請求記録!$AF$6:$AF$3005,"保留中")&gt;0,"保留",IF(COUNTIFS(請求記録!$B$6:$B$3005,$A113,請求記録!$Z$6:$Z$3005,AA$5)=0,"",SUMIFS(請求記録!$AE$6:$AE$3005,請求記録!$B$6:$B$3005,$A113,請求記録!$Z$6:$Z$3005,AA$5))))</f>
        <v/>
      </c>
      <c r="AB113">
        <f>IF(職員マスタ!P113="保留中",職員マスタ!M113,"")</f>
        <v/>
      </c>
    </row>
    <row r="114">
      <c r="A114">
        <f>IF(職員マスタ!A114="","",職員マスタ!A114)</f>
        <v/>
      </c>
      <c r="B114">
        <f>IF($A114="","",職員マスタ!B114)</f>
        <v/>
      </c>
      <c r="C114">
        <f>IF($A114="","",職員マスタ!C114)</f>
        <v/>
      </c>
      <c r="D114" s="19">
        <f>IF($A114="","",IF(COUNTIFS(請求記録!$B$6:$B$3005,$A114,請求記録!$Z$6:$Z$3005,D$5,請求記録!$AF$6:$AF$3005,"保留中")&gt;0,"保留",IF(COUNTIFS(請求記録!$B$6:$B$3005,$A114,請求記録!$Z$6:$Z$3005,D$5)=0,"",SUMIFS(請求記録!$AE$6:$AE$3005,請求記録!$B$6:$B$3005,$A114,請求記録!$Z$6:$Z$3005,D$5))))</f>
        <v/>
      </c>
      <c r="E114" s="19">
        <f>IF($A114="","",IF(COUNTIFS(請求記録!$B$6:$B$3005,$A114,請求記録!$Z$6:$Z$3005,E$5,請求記録!$AF$6:$AF$3005,"保留中")&gt;0,"保留",IF(COUNTIFS(請求記録!$B$6:$B$3005,$A114,請求記録!$Z$6:$Z$3005,E$5)=0,"",SUMIFS(請求記録!$AE$6:$AE$3005,請求記録!$B$6:$B$3005,$A114,請求記録!$Z$6:$Z$3005,E$5))))</f>
        <v/>
      </c>
      <c r="F114" s="19">
        <f>IF($A114="","",IF(COUNTIFS(請求記録!$B$6:$B$3005,$A114,請求記録!$Z$6:$Z$3005,F$5,請求記録!$AF$6:$AF$3005,"保留中")&gt;0,"保留",IF(COUNTIFS(請求記録!$B$6:$B$3005,$A114,請求記録!$Z$6:$Z$3005,F$5)=0,"",SUMIFS(請求記録!$AE$6:$AE$3005,請求記録!$B$6:$B$3005,$A114,請求記録!$Z$6:$Z$3005,F$5))))</f>
        <v/>
      </c>
      <c r="G114" s="19">
        <f>IF($A114="","",IF(COUNTIFS(請求記録!$B$6:$B$3005,$A114,請求記録!$Z$6:$Z$3005,G$5,請求記録!$AF$6:$AF$3005,"保留中")&gt;0,"保留",IF(COUNTIFS(請求記録!$B$6:$B$3005,$A114,請求記録!$Z$6:$Z$3005,G$5)=0,"",SUMIFS(請求記録!$AE$6:$AE$3005,請求記録!$B$6:$B$3005,$A114,請求記録!$Z$6:$Z$3005,G$5))))</f>
        <v/>
      </c>
      <c r="H114" s="19">
        <f>IF($A114="","",IF(COUNTIFS(請求記録!$B$6:$B$3005,$A114,請求記録!$Z$6:$Z$3005,H$5,請求記録!$AF$6:$AF$3005,"保留中")&gt;0,"保留",IF(COUNTIFS(請求記録!$B$6:$B$3005,$A114,請求記録!$Z$6:$Z$3005,H$5)=0,"",SUMIFS(請求記録!$AE$6:$AE$3005,請求記録!$B$6:$B$3005,$A114,請求記録!$Z$6:$Z$3005,H$5))))</f>
        <v/>
      </c>
      <c r="I114" s="19">
        <f>IF($A114="","",IF(COUNTIFS(請求記録!$B$6:$B$3005,$A114,請求記録!$Z$6:$Z$3005,I$5,請求記録!$AF$6:$AF$3005,"保留中")&gt;0,"保留",IF(COUNTIFS(請求記録!$B$6:$B$3005,$A114,請求記録!$Z$6:$Z$3005,I$5)=0,"",SUMIFS(請求記録!$AE$6:$AE$3005,請求記録!$B$6:$B$3005,$A114,請求記録!$Z$6:$Z$3005,I$5))))</f>
        <v/>
      </c>
      <c r="J114" s="19">
        <f>IF($A114="","",IF(COUNTIFS(請求記録!$B$6:$B$3005,$A114,請求記録!$Z$6:$Z$3005,J$5,請求記録!$AF$6:$AF$3005,"保留中")&gt;0,"保留",IF(COUNTIFS(請求記録!$B$6:$B$3005,$A114,請求記録!$Z$6:$Z$3005,J$5)=0,"",SUMIFS(請求記録!$AE$6:$AE$3005,請求記録!$B$6:$B$3005,$A114,請求記録!$Z$6:$Z$3005,J$5))))</f>
        <v/>
      </c>
      <c r="K114" s="19">
        <f>IF($A114="","",IF(COUNTIFS(請求記録!$B$6:$B$3005,$A114,請求記録!$Z$6:$Z$3005,K$5,請求記録!$AF$6:$AF$3005,"保留中")&gt;0,"保留",IF(COUNTIFS(請求記録!$B$6:$B$3005,$A114,請求記録!$Z$6:$Z$3005,K$5)=0,"",SUMIFS(請求記録!$AE$6:$AE$3005,請求記録!$B$6:$B$3005,$A114,請求記録!$Z$6:$Z$3005,K$5))))</f>
        <v/>
      </c>
      <c r="L114" s="19">
        <f>IF($A114="","",IF(COUNTIFS(請求記録!$B$6:$B$3005,$A114,請求記録!$Z$6:$Z$3005,L$5,請求記録!$AF$6:$AF$3005,"保留中")&gt;0,"保留",IF(COUNTIFS(請求記録!$B$6:$B$3005,$A114,請求記録!$Z$6:$Z$3005,L$5)=0,"",SUMIFS(請求記録!$AE$6:$AE$3005,請求記録!$B$6:$B$3005,$A114,請求記録!$Z$6:$Z$3005,L$5))))</f>
        <v/>
      </c>
      <c r="M114" s="19">
        <f>IF($A114="","",IF(COUNTIFS(請求記録!$B$6:$B$3005,$A114,請求記録!$Z$6:$Z$3005,M$5,請求記録!$AF$6:$AF$3005,"保留中")&gt;0,"保留",IF(COUNTIFS(請求記録!$B$6:$B$3005,$A114,請求記録!$Z$6:$Z$3005,M$5)=0,"",SUMIFS(請求記録!$AE$6:$AE$3005,請求記録!$B$6:$B$3005,$A114,請求記録!$Z$6:$Z$3005,M$5))))</f>
        <v/>
      </c>
      <c r="N114" s="19">
        <f>IF($A114="","",IF(COUNTIFS(請求記録!$B$6:$B$3005,$A114,請求記録!$Z$6:$Z$3005,N$5,請求記録!$AF$6:$AF$3005,"保留中")&gt;0,"保留",IF(COUNTIFS(請求記録!$B$6:$B$3005,$A114,請求記録!$Z$6:$Z$3005,N$5)=0,"",SUMIFS(請求記録!$AE$6:$AE$3005,請求記録!$B$6:$B$3005,$A114,請求記録!$Z$6:$Z$3005,N$5))))</f>
        <v/>
      </c>
      <c r="O114" s="19">
        <f>IF($A114="","",IF(COUNTIFS(請求記録!$B$6:$B$3005,$A114,請求記録!$Z$6:$Z$3005,O$5,請求記録!$AF$6:$AF$3005,"保留中")&gt;0,"保留",IF(COUNTIFS(請求記録!$B$6:$B$3005,$A114,請求記録!$Z$6:$Z$3005,O$5)=0,"",SUMIFS(請求記録!$AE$6:$AE$3005,請求記録!$B$6:$B$3005,$A114,請求記録!$Z$6:$Z$3005,O$5))))</f>
        <v/>
      </c>
      <c r="P114" s="19">
        <f>IF($A114="","",IF(COUNTIFS(請求記録!$B$6:$B$3005,$A114,請求記録!$Z$6:$Z$3005,P$5,請求記録!$AF$6:$AF$3005,"保留中")&gt;0,"保留",IF(COUNTIFS(請求記録!$B$6:$B$3005,$A114,請求記録!$Z$6:$Z$3005,P$5)=0,"",SUMIFS(請求記録!$AE$6:$AE$3005,請求記録!$B$6:$B$3005,$A114,請求記録!$Z$6:$Z$3005,P$5))))</f>
        <v/>
      </c>
      <c r="Q114" s="19">
        <f>IF($A114="","",IF(COUNTIFS(請求記録!$B$6:$B$3005,$A114,請求記録!$Z$6:$Z$3005,Q$5,請求記録!$AF$6:$AF$3005,"保留中")&gt;0,"保留",IF(COUNTIFS(請求記録!$B$6:$B$3005,$A114,請求記録!$Z$6:$Z$3005,Q$5)=0,"",SUMIFS(請求記録!$AE$6:$AE$3005,請求記録!$B$6:$B$3005,$A114,請求記録!$Z$6:$Z$3005,Q$5))))</f>
        <v/>
      </c>
      <c r="R114" s="19">
        <f>IF($A114="","",IF(COUNTIFS(請求記録!$B$6:$B$3005,$A114,請求記録!$Z$6:$Z$3005,R$5,請求記録!$AF$6:$AF$3005,"保留中")&gt;0,"保留",IF(COUNTIFS(請求記録!$B$6:$B$3005,$A114,請求記録!$Z$6:$Z$3005,R$5)=0,"",SUMIFS(請求記録!$AE$6:$AE$3005,請求記録!$B$6:$B$3005,$A114,請求記録!$Z$6:$Z$3005,R$5))))</f>
        <v/>
      </c>
      <c r="S114" s="19">
        <f>IF($A114="","",IF(COUNTIFS(請求記録!$B$6:$B$3005,$A114,請求記録!$Z$6:$Z$3005,S$5,請求記録!$AF$6:$AF$3005,"保留中")&gt;0,"保留",IF(COUNTIFS(請求記録!$B$6:$B$3005,$A114,請求記録!$Z$6:$Z$3005,S$5)=0,"",SUMIFS(請求記録!$AE$6:$AE$3005,請求記録!$B$6:$B$3005,$A114,請求記録!$Z$6:$Z$3005,S$5))))</f>
        <v/>
      </c>
      <c r="T114" s="19">
        <f>IF($A114="","",IF(COUNTIFS(請求記録!$B$6:$B$3005,$A114,請求記録!$Z$6:$Z$3005,T$5,請求記録!$AF$6:$AF$3005,"保留中")&gt;0,"保留",IF(COUNTIFS(請求記録!$B$6:$B$3005,$A114,請求記録!$Z$6:$Z$3005,T$5)=0,"",SUMIFS(請求記録!$AE$6:$AE$3005,請求記録!$B$6:$B$3005,$A114,請求記録!$Z$6:$Z$3005,T$5))))</f>
        <v/>
      </c>
      <c r="U114" s="19">
        <f>IF($A114="","",IF(COUNTIFS(請求記録!$B$6:$B$3005,$A114,請求記録!$Z$6:$Z$3005,U$5,請求記録!$AF$6:$AF$3005,"保留中")&gt;0,"保留",IF(COUNTIFS(請求記録!$B$6:$B$3005,$A114,請求記録!$Z$6:$Z$3005,U$5)=0,"",SUMIFS(請求記録!$AE$6:$AE$3005,請求記録!$B$6:$B$3005,$A114,請求記録!$Z$6:$Z$3005,U$5))))</f>
        <v/>
      </c>
      <c r="V114" s="19">
        <f>IF($A114="","",IF(COUNTIFS(請求記録!$B$6:$B$3005,$A114,請求記録!$Z$6:$Z$3005,V$5,請求記録!$AF$6:$AF$3005,"保留中")&gt;0,"保留",IF(COUNTIFS(請求記録!$B$6:$B$3005,$A114,請求記録!$Z$6:$Z$3005,V$5)=0,"",SUMIFS(請求記録!$AE$6:$AE$3005,請求記録!$B$6:$B$3005,$A114,請求記録!$Z$6:$Z$3005,V$5))))</f>
        <v/>
      </c>
      <c r="W114" s="19">
        <f>IF($A114="","",IF(COUNTIFS(請求記録!$B$6:$B$3005,$A114,請求記録!$Z$6:$Z$3005,W$5,請求記録!$AF$6:$AF$3005,"保留中")&gt;0,"保留",IF(COUNTIFS(請求記録!$B$6:$B$3005,$A114,請求記録!$Z$6:$Z$3005,W$5)=0,"",SUMIFS(請求記録!$AE$6:$AE$3005,請求記録!$B$6:$B$3005,$A114,請求記録!$Z$6:$Z$3005,W$5))))</f>
        <v/>
      </c>
      <c r="X114" s="19">
        <f>IF($A114="","",IF(COUNTIFS(請求記録!$B$6:$B$3005,$A114,請求記録!$Z$6:$Z$3005,X$5,請求記録!$AF$6:$AF$3005,"保留中")&gt;0,"保留",IF(COUNTIFS(請求記録!$B$6:$B$3005,$A114,請求記録!$Z$6:$Z$3005,X$5)=0,"",SUMIFS(請求記録!$AE$6:$AE$3005,請求記録!$B$6:$B$3005,$A114,請求記録!$Z$6:$Z$3005,X$5))))</f>
        <v/>
      </c>
      <c r="Y114" s="19">
        <f>IF($A114="","",IF(COUNTIFS(請求記録!$B$6:$B$3005,$A114,請求記録!$Z$6:$Z$3005,Y$5,請求記録!$AF$6:$AF$3005,"保留中")&gt;0,"保留",IF(COUNTIFS(請求記録!$B$6:$B$3005,$A114,請求記録!$Z$6:$Z$3005,Y$5)=0,"",SUMIFS(請求記録!$AE$6:$AE$3005,請求記録!$B$6:$B$3005,$A114,請求記録!$Z$6:$Z$3005,Y$5))))</f>
        <v/>
      </c>
      <c r="Z114" s="19">
        <f>IF($A114="","",IF(COUNTIFS(請求記録!$B$6:$B$3005,$A114,請求記録!$Z$6:$Z$3005,Z$5,請求記録!$AF$6:$AF$3005,"保留中")&gt;0,"保留",IF(COUNTIFS(請求記録!$B$6:$B$3005,$A114,請求記録!$Z$6:$Z$3005,Z$5)=0,"",SUMIFS(請求記録!$AE$6:$AE$3005,請求記録!$B$6:$B$3005,$A114,請求記録!$Z$6:$Z$3005,Z$5))))</f>
        <v/>
      </c>
      <c r="AA114" s="19">
        <f>IF($A114="","",IF(COUNTIFS(請求記録!$B$6:$B$3005,$A114,請求記録!$Z$6:$Z$3005,AA$5,請求記録!$AF$6:$AF$3005,"保留中")&gt;0,"保留",IF(COUNTIFS(請求記録!$B$6:$B$3005,$A114,請求記録!$Z$6:$Z$3005,AA$5)=0,"",SUMIFS(請求記録!$AE$6:$AE$3005,請求記録!$B$6:$B$3005,$A114,請求記録!$Z$6:$Z$3005,AA$5))))</f>
        <v/>
      </c>
      <c r="AB114">
        <f>IF(職員マスタ!P114="保留中",職員マスタ!M114,"")</f>
        <v/>
      </c>
    </row>
    <row r="115">
      <c r="A115">
        <f>IF(職員マスタ!A115="","",職員マスタ!A115)</f>
        <v/>
      </c>
      <c r="B115">
        <f>IF($A115="","",職員マスタ!B115)</f>
        <v/>
      </c>
      <c r="C115">
        <f>IF($A115="","",職員マスタ!C115)</f>
        <v/>
      </c>
      <c r="D115" s="19">
        <f>IF($A115="","",IF(COUNTIFS(請求記録!$B$6:$B$3005,$A115,請求記録!$Z$6:$Z$3005,D$5,請求記録!$AF$6:$AF$3005,"保留中")&gt;0,"保留",IF(COUNTIFS(請求記録!$B$6:$B$3005,$A115,請求記録!$Z$6:$Z$3005,D$5)=0,"",SUMIFS(請求記録!$AE$6:$AE$3005,請求記録!$B$6:$B$3005,$A115,請求記録!$Z$6:$Z$3005,D$5))))</f>
        <v/>
      </c>
      <c r="E115" s="19">
        <f>IF($A115="","",IF(COUNTIFS(請求記録!$B$6:$B$3005,$A115,請求記録!$Z$6:$Z$3005,E$5,請求記録!$AF$6:$AF$3005,"保留中")&gt;0,"保留",IF(COUNTIFS(請求記録!$B$6:$B$3005,$A115,請求記録!$Z$6:$Z$3005,E$5)=0,"",SUMIFS(請求記録!$AE$6:$AE$3005,請求記録!$B$6:$B$3005,$A115,請求記録!$Z$6:$Z$3005,E$5))))</f>
        <v/>
      </c>
      <c r="F115" s="19">
        <f>IF($A115="","",IF(COUNTIFS(請求記録!$B$6:$B$3005,$A115,請求記録!$Z$6:$Z$3005,F$5,請求記録!$AF$6:$AF$3005,"保留中")&gt;0,"保留",IF(COUNTIFS(請求記録!$B$6:$B$3005,$A115,請求記録!$Z$6:$Z$3005,F$5)=0,"",SUMIFS(請求記録!$AE$6:$AE$3005,請求記録!$B$6:$B$3005,$A115,請求記録!$Z$6:$Z$3005,F$5))))</f>
        <v/>
      </c>
      <c r="G115" s="19">
        <f>IF($A115="","",IF(COUNTIFS(請求記録!$B$6:$B$3005,$A115,請求記録!$Z$6:$Z$3005,G$5,請求記録!$AF$6:$AF$3005,"保留中")&gt;0,"保留",IF(COUNTIFS(請求記録!$B$6:$B$3005,$A115,請求記録!$Z$6:$Z$3005,G$5)=0,"",SUMIFS(請求記録!$AE$6:$AE$3005,請求記録!$B$6:$B$3005,$A115,請求記録!$Z$6:$Z$3005,G$5))))</f>
        <v/>
      </c>
      <c r="H115" s="19">
        <f>IF($A115="","",IF(COUNTIFS(請求記録!$B$6:$B$3005,$A115,請求記録!$Z$6:$Z$3005,H$5,請求記録!$AF$6:$AF$3005,"保留中")&gt;0,"保留",IF(COUNTIFS(請求記録!$B$6:$B$3005,$A115,請求記録!$Z$6:$Z$3005,H$5)=0,"",SUMIFS(請求記録!$AE$6:$AE$3005,請求記録!$B$6:$B$3005,$A115,請求記録!$Z$6:$Z$3005,H$5))))</f>
        <v/>
      </c>
      <c r="I115" s="19">
        <f>IF($A115="","",IF(COUNTIFS(請求記録!$B$6:$B$3005,$A115,請求記録!$Z$6:$Z$3005,I$5,請求記録!$AF$6:$AF$3005,"保留中")&gt;0,"保留",IF(COUNTIFS(請求記録!$B$6:$B$3005,$A115,請求記録!$Z$6:$Z$3005,I$5)=0,"",SUMIFS(請求記録!$AE$6:$AE$3005,請求記録!$B$6:$B$3005,$A115,請求記録!$Z$6:$Z$3005,I$5))))</f>
        <v/>
      </c>
      <c r="J115" s="19">
        <f>IF($A115="","",IF(COUNTIFS(請求記録!$B$6:$B$3005,$A115,請求記録!$Z$6:$Z$3005,J$5,請求記録!$AF$6:$AF$3005,"保留中")&gt;0,"保留",IF(COUNTIFS(請求記録!$B$6:$B$3005,$A115,請求記録!$Z$6:$Z$3005,J$5)=0,"",SUMIFS(請求記録!$AE$6:$AE$3005,請求記録!$B$6:$B$3005,$A115,請求記録!$Z$6:$Z$3005,J$5))))</f>
        <v/>
      </c>
      <c r="K115" s="19">
        <f>IF($A115="","",IF(COUNTIFS(請求記録!$B$6:$B$3005,$A115,請求記録!$Z$6:$Z$3005,K$5,請求記録!$AF$6:$AF$3005,"保留中")&gt;0,"保留",IF(COUNTIFS(請求記録!$B$6:$B$3005,$A115,請求記録!$Z$6:$Z$3005,K$5)=0,"",SUMIFS(請求記録!$AE$6:$AE$3005,請求記録!$B$6:$B$3005,$A115,請求記録!$Z$6:$Z$3005,K$5))))</f>
        <v/>
      </c>
      <c r="L115" s="19">
        <f>IF($A115="","",IF(COUNTIFS(請求記録!$B$6:$B$3005,$A115,請求記録!$Z$6:$Z$3005,L$5,請求記録!$AF$6:$AF$3005,"保留中")&gt;0,"保留",IF(COUNTIFS(請求記録!$B$6:$B$3005,$A115,請求記録!$Z$6:$Z$3005,L$5)=0,"",SUMIFS(請求記録!$AE$6:$AE$3005,請求記録!$B$6:$B$3005,$A115,請求記録!$Z$6:$Z$3005,L$5))))</f>
        <v/>
      </c>
      <c r="M115" s="19">
        <f>IF($A115="","",IF(COUNTIFS(請求記録!$B$6:$B$3005,$A115,請求記録!$Z$6:$Z$3005,M$5,請求記録!$AF$6:$AF$3005,"保留中")&gt;0,"保留",IF(COUNTIFS(請求記録!$B$6:$B$3005,$A115,請求記録!$Z$6:$Z$3005,M$5)=0,"",SUMIFS(請求記録!$AE$6:$AE$3005,請求記録!$B$6:$B$3005,$A115,請求記録!$Z$6:$Z$3005,M$5))))</f>
        <v/>
      </c>
      <c r="N115" s="19">
        <f>IF($A115="","",IF(COUNTIFS(請求記録!$B$6:$B$3005,$A115,請求記録!$Z$6:$Z$3005,N$5,請求記録!$AF$6:$AF$3005,"保留中")&gt;0,"保留",IF(COUNTIFS(請求記録!$B$6:$B$3005,$A115,請求記録!$Z$6:$Z$3005,N$5)=0,"",SUMIFS(請求記録!$AE$6:$AE$3005,請求記録!$B$6:$B$3005,$A115,請求記録!$Z$6:$Z$3005,N$5))))</f>
        <v/>
      </c>
      <c r="O115" s="19">
        <f>IF($A115="","",IF(COUNTIFS(請求記録!$B$6:$B$3005,$A115,請求記録!$Z$6:$Z$3005,O$5,請求記録!$AF$6:$AF$3005,"保留中")&gt;0,"保留",IF(COUNTIFS(請求記録!$B$6:$B$3005,$A115,請求記録!$Z$6:$Z$3005,O$5)=0,"",SUMIFS(請求記録!$AE$6:$AE$3005,請求記録!$B$6:$B$3005,$A115,請求記録!$Z$6:$Z$3005,O$5))))</f>
        <v/>
      </c>
      <c r="P115" s="19">
        <f>IF($A115="","",IF(COUNTIFS(請求記録!$B$6:$B$3005,$A115,請求記録!$Z$6:$Z$3005,P$5,請求記録!$AF$6:$AF$3005,"保留中")&gt;0,"保留",IF(COUNTIFS(請求記録!$B$6:$B$3005,$A115,請求記録!$Z$6:$Z$3005,P$5)=0,"",SUMIFS(請求記録!$AE$6:$AE$3005,請求記録!$B$6:$B$3005,$A115,請求記録!$Z$6:$Z$3005,P$5))))</f>
        <v/>
      </c>
      <c r="Q115" s="19">
        <f>IF($A115="","",IF(COUNTIFS(請求記録!$B$6:$B$3005,$A115,請求記録!$Z$6:$Z$3005,Q$5,請求記録!$AF$6:$AF$3005,"保留中")&gt;0,"保留",IF(COUNTIFS(請求記録!$B$6:$B$3005,$A115,請求記録!$Z$6:$Z$3005,Q$5)=0,"",SUMIFS(請求記録!$AE$6:$AE$3005,請求記録!$B$6:$B$3005,$A115,請求記録!$Z$6:$Z$3005,Q$5))))</f>
        <v/>
      </c>
      <c r="R115" s="19">
        <f>IF($A115="","",IF(COUNTIFS(請求記録!$B$6:$B$3005,$A115,請求記録!$Z$6:$Z$3005,R$5,請求記録!$AF$6:$AF$3005,"保留中")&gt;0,"保留",IF(COUNTIFS(請求記録!$B$6:$B$3005,$A115,請求記録!$Z$6:$Z$3005,R$5)=0,"",SUMIFS(請求記録!$AE$6:$AE$3005,請求記録!$B$6:$B$3005,$A115,請求記録!$Z$6:$Z$3005,R$5))))</f>
        <v/>
      </c>
      <c r="S115" s="19">
        <f>IF($A115="","",IF(COUNTIFS(請求記録!$B$6:$B$3005,$A115,請求記録!$Z$6:$Z$3005,S$5,請求記録!$AF$6:$AF$3005,"保留中")&gt;0,"保留",IF(COUNTIFS(請求記録!$B$6:$B$3005,$A115,請求記録!$Z$6:$Z$3005,S$5)=0,"",SUMIFS(請求記録!$AE$6:$AE$3005,請求記録!$B$6:$B$3005,$A115,請求記録!$Z$6:$Z$3005,S$5))))</f>
        <v/>
      </c>
      <c r="T115" s="19">
        <f>IF($A115="","",IF(COUNTIFS(請求記録!$B$6:$B$3005,$A115,請求記録!$Z$6:$Z$3005,T$5,請求記録!$AF$6:$AF$3005,"保留中")&gt;0,"保留",IF(COUNTIFS(請求記録!$B$6:$B$3005,$A115,請求記録!$Z$6:$Z$3005,T$5)=0,"",SUMIFS(請求記録!$AE$6:$AE$3005,請求記録!$B$6:$B$3005,$A115,請求記録!$Z$6:$Z$3005,T$5))))</f>
        <v/>
      </c>
      <c r="U115" s="19">
        <f>IF($A115="","",IF(COUNTIFS(請求記録!$B$6:$B$3005,$A115,請求記録!$Z$6:$Z$3005,U$5,請求記録!$AF$6:$AF$3005,"保留中")&gt;0,"保留",IF(COUNTIFS(請求記録!$B$6:$B$3005,$A115,請求記録!$Z$6:$Z$3005,U$5)=0,"",SUMIFS(請求記録!$AE$6:$AE$3005,請求記録!$B$6:$B$3005,$A115,請求記録!$Z$6:$Z$3005,U$5))))</f>
        <v/>
      </c>
      <c r="V115" s="19">
        <f>IF($A115="","",IF(COUNTIFS(請求記録!$B$6:$B$3005,$A115,請求記録!$Z$6:$Z$3005,V$5,請求記録!$AF$6:$AF$3005,"保留中")&gt;0,"保留",IF(COUNTIFS(請求記録!$B$6:$B$3005,$A115,請求記録!$Z$6:$Z$3005,V$5)=0,"",SUMIFS(請求記録!$AE$6:$AE$3005,請求記録!$B$6:$B$3005,$A115,請求記録!$Z$6:$Z$3005,V$5))))</f>
        <v/>
      </c>
      <c r="W115" s="19">
        <f>IF($A115="","",IF(COUNTIFS(請求記録!$B$6:$B$3005,$A115,請求記録!$Z$6:$Z$3005,W$5,請求記録!$AF$6:$AF$3005,"保留中")&gt;0,"保留",IF(COUNTIFS(請求記録!$B$6:$B$3005,$A115,請求記録!$Z$6:$Z$3005,W$5)=0,"",SUMIFS(請求記録!$AE$6:$AE$3005,請求記録!$B$6:$B$3005,$A115,請求記録!$Z$6:$Z$3005,W$5))))</f>
        <v/>
      </c>
      <c r="X115" s="19">
        <f>IF($A115="","",IF(COUNTIFS(請求記録!$B$6:$B$3005,$A115,請求記録!$Z$6:$Z$3005,X$5,請求記録!$AF$6:$AF$3005,"保留中")&gt;0,"保留",IF(COUNTIFS(請求記録!$B$6:$B$3005,$A115,請求記録!$Z$6:$Z$3005,X$5)=0,"",SUMIFS(請求記録!$AE$6:$AE$3005,請求記録!$B$6:$B$3005,$A115,請求記録!$Z$6:$Z$3005,X$5))))</f>
        <v/>
      </c>
      <c r="Y115" s="19">
        <f>IF($A115="","",IF(COUNTIFS(請求記録!$B$6:$B$3005,$A115,請求記録!$Z$6:$Z$3005,Y$5,請求記録!$AF$6:$AF$3005,"保留中")&gt;0,"保留",IF(COUNTIFS(請求記録!$B$6:$B$3005,$A115,請求記録!$Z$6:$Z$3005,Y$5)=0,"",SUMIFS(請求記録!$AE$6:$AE$3005,請求記録!$B$6:$B$3005,$A115,請求記録!$Z$6:$Z$3005,Y$5))))</f>
        <v/>
      </c>
      <c r="Z115" s="19">
        <f>IF($A115="","",IF(COUNTIFS(請求記録!$B$6:$B$3005,$A115,請求記録!$Z$6:$Z$3005,Z$5,請求記録!$AF$6:$AF$3005,"保留中")&gt;0,"保留",IF(COUNTIFS(請求記録!$B$6:$B$3005,$A115,請求記録!$Z$6:$Z$3005,Z$5)=0,"",SUMIFS(請求記録!$AE$6:$AE$3005,請求記録!$B$6:$B$3005,$A115,請求記録!$Z$6:$Z$3005,Z$5))))</f>
        <v/>
      </c>
      <c r="AA115" s="19">
        <f>IF($A115="","",IF(COUNTIFS(請求記録!$B$6:$B$3005,$A115,請求記録!$Z$6:$Z$3005,AA$5,請求記録!$AF$6:$AF$3005,"保留中")&gt;0,"保留",IF(COUNTIFS(請求記録!$B$6:$B$3005,$A115,請求記録!$Z$6:$Z$3005,AA$5)=0,"",SUMIFS(請求記録!$AE$6:$AE$3005,請求記録!$B$6:$B$3005,$A115,請求記録!$Z$6:$Z$3005,AA$5))))</f>
        <v/>
      </c>
      <c r="AB115">
        <f>IF(職員マスタ!P115="保留中",職員マスタ!M115,"")</f>
        <v/>
      </c>
    </row>
    <row r="116">
      <c r="A116">
        <f>IF(職員マスタ!A116="","",職員マスタ!A116)</f>
        <v/>
      </c>
      <c r="B116">
        <f>IF($A116="","",職員マスタ!B116)</f>
        <v/>
      </c>
      <c r="C116">
        <f>IF($A116="","",職員マスタ!C116)</f>
        <v/>
      </c>
      <c r="D116" s="19">
        <f>IF($A116="","",IF(COUNTIFS(請求記録!$B$6:$B$3005,$A116,請求記録!$Z$6:$Z$3005,D$5,請求記録!$AF$6:$AF$3005,"保留中")&gt;0,"保留",IF(COUNTIFS(請求記録!$B$6:$B$3005,$A116,請求記録!$Z$6:$Z$3005,D$5)=0,"",SUMIFS(請求記録!$AE$6:$AE$3005,請求記録!$B$6:$B$3005,$A116,請求記録!$Z$6:$Z$3005,D$5))))</f>
        <v/>
      </c>
      <c r="E116" s="19">
        <f>IF($A116="","",IF(COUNTIFS(請求記録!$B$6:$B$3005,$A116,請求記録!$Z$6:$Z$3005,E$5,請求記録!$AF$6:$AF$3005,"保留中")&gt;0,"保留",IF(COUNTIFS(請求記録!$B$6:$B$3005,$A116,請求記録!$Z$6:$Z$3005,E$5)=0,"",SUMIFS(請求記録!$AE$6:$AE$3005,請求記録!$B$6:$B$3005,$A116,請求記録!$Z$6:$Z$3005,E$5))))</f>
        <v/>
      </c>
      <c r="F116" s="19">
        <f>IF($A116="","",IF(COUNTIFS(請求記録!$B$6:$B$3005,$A116,請求記録!$Z$6:$Z$3005,F$5,請求記録!$AF$6:$AF$3005,"保留中")&gt;0,"保留",IF(COUNTIFS(請求記録!$B$6:$B$3005,$A116,請求記録!$Z$6:$Z$3005,F$5)=0,"",SUMIFS(請求記録!$AE$6:$AE$3005,請求記録!$B$6:$B$3005,$A116,請求記録!$Z$6:$Z$3005,F$5))))</f>
        <v/>
      </c>
      <c r="G116" s="19">
        <f>IF($A116="","",IF(COUNTIFS(請求記録!$B$6:$B$3005,$A116,請求記録!$Z$6:$Z$3005,G$5,請求記録!$AF$6:$AF$3005,"保留中")&gt;0,"保留",IF(COUNTIFS(請求記録!$B$6:$B$3005,$A116,請求記録!$Z$6:$Z$3005,G$5)=0,"",SUMIFS(請求記録!$AE$6:$AE$3005,請求記録!$B$6:$B$3005,$A116,請求記録!$Z$6:$Z$3005,G$5))))</f>
        <v/>
      </c>
      <c r="H116" s="19">
        <f>IF($A116="","",IF(COUNTIFS(請求記録!$B$6:$B$3005,$A116,請求記録!$Z$6:$Z$3005,H$5,請求記録!$AF$6:$AF$3005,"保留中")&gt;0,"保留",IF(COUNTIFS(請求記録!$B$6:$B$3005,$A116,請求記録!$Z$6:$Z$3005,H$5)=0,"",SUMIFS(請求記録!$AE$6:$AE$3005,請求記録!$B$6:$B$3005,$A116,請求記録!$Z$6:$Z$3005,H$5))))</f>
        <v/>
      </c>
      <c r="I116" s="19">
        <f>IF($A116="","",IF(COUNTIFS(請求記録!$B$6:$B$3005,$A116,請求記録!$Z$6:$Z$3005,I$5,請求記録!$AF$6:$AF$3005,"保留中")&gt;0,"保留",IF(COUNTIFS(請求記録!$B$6:$B$3005,$A116,請求記録!$Z$6:$Z$3005,I$5)=0,"",SUMIFS(請求記録!$AE$6:$AE$3005,請求記録!$B$6:$B$3005,$A116,請求記録!$Z$6:$Z$3005,I$5))))</f>
        <v/>
      </c>
      <c r="J116" s="19">
        <f>IF($A116="","",IF(COUNTIFS(請求記録!$B$6:$B$3005,$A116,請求記録!$Z$6:$Z$3005,J$5,請求記録!$AF$6:$AF$3005,"保留中")&gt;0,"保留",IF(COUNTIFS(請求記録!$B$6:$B$3005,$A116,請求記録!$Z$6:$Z$3005,J$5)=0,"",SUMIFS(請求記録!$AE$6:$AE$3005,請求記録!$B$6:$B$3005,$A116,請求記録!$Z$6:$Z$3005,J$5))))</f>
        <v/>
      </c>
      <c r="K116" s="19">
        <f>IF($A116="","",IF(COUNTIFS(請求記録!$B$6:$B$3005,$A116,請求記録!$Z$6:$Z$3005,K$5,請求記録!$AF$6:$AF$3005,"保留中")&gt;0,"保留",IF(COUNTIFS(請求記録!$B$6:$B$3005,$A116,請求記録!$Z$6:$Z$3005,K$5)=0,"",SUMIFS(請求記録!$AE$6:$AE$3005,請求記録!$B$6:$B$3005,$A116,請求記録!$Z$6:$Z$3005,K$5))))</f>
        <v/>
      </c>
      <c r="L116" s="19">
        <f>IF($A116="","",IF(COUNTIFS(請求記録!$B$6:$B$3005,$A116,請求記録!$Z$6:$Z$3005,L$5,請求記録!$AF$6:$AF$3005,"保留中")&gt;0,"保留",IF(COUNTIFS(請求記録!$B$6:$B$3005,$A116,請求記録!$Z$6:$Z$3005,L$5)=0,"",SUMIFS(請求記録!$AE$6:$AE$3005,請求記録!$B$6:$B$3005,$A116,請求記録!$Z$6:$Z$3005,L$5))))</f>
        <v/>
      </c>
      <c r="M116" s="19">
        <f>IF($A116="","",IF(COUNTIFS(請求記録!$B$6:$B$3005,$A116,請求記録!$Z$6:$Z$3005,M$5,請求記録!$AF$6:$AF$3005,"保留中")&gt;0,"保留",IF(COUNTIFS(請求記録!$B$6:$B$3005,$A116,請求記録!$Z$6:$Z$3005,M$5)=0,"",SUMIFS(請求記録!$AE$6:$AE$3005,請求記録!$B$6:$B$3005,$A116,請求記録!$Z$6:$Z$3005,M$5))))</f>
        <v/>
      </c>
      <c r="N116" s="19">
        <f>IF($A116="","",IF(COUNTIFS(請求記録!$B$6:$B$3005,$A116,請求記録!$Z$6:$Z$3005,N$5,請求記録!$AF$6:$AF$3005,"保留中")&gt;0,"保留",IF(COUNTIFS(請求記録!$B$6:$B$3005,$A116,請求記録!$Z$6:$Z$3005,N$5)=0,"",SUMIFS(請求記録!$AE$6:$AE$3005,請求記録!$B$6:$B$3005,$A116,請求記録!$Z$6:$Z$3005,N$5))))</f>
        <v/>
      </c>
      <c r="O116" s="19">
        <f>IF($A116="","",IF(COUNTIFS(請求記録!$B$6:$B$3005,$A116,請求記録!$Z$6:$Z$3005,O$5,請求記録!$AF$6:$AF$3005,"保留中")&gt;0,"保留",IF(COUNTIFS(請求記録!$B$6:$B$3005,$A116,請求記録!$Z$6:$Z$3005,O$5)=0,"",SUMIFS(請求記録!$AE$6:$AE$3005,請求記録!$B$6:$B$3005,$A116,請求記録!$Z$6:$Z$3005,O$5))))</f>
        <v/>
      </c>
      <c r="P116" s="19">
        <f>IF($A116="","",IF(COUNTIFS(請求記録!$B$6:$B$3005,$A116,請求記録!$Z$6:$Z$3005,P$5,請求記録!$AF$6:$AF$3005,"保留中")&gt;0,"保留",IF(COUNTIFS(請求記録!$B$6:$B$3005,$A116,請求記録!$Z$6:$Z$3005,P$5)=0,"",SUMIFS(請求記録!$AE$6:$AE$3005,請求記録!$B$6:$B$3005,$A116,請求記録!$Z$6:$Z$3005,P$5))))</f>
        <v/>
      </c>
      <c r="Q116" s="19">
        <f>IF($A116="","",IF(COUNTIFS(請求記録!$B$6:$B$3005,$A116,請求記録!$Z$6:$Z$3005,Q$5,請求記録!$AF$6:$AF$3005,"保留中")&gt;0,"保留",IF(COUNTIFS(請求記録!$B$6:$B$3005,$A116,請求記録!$Z$6:$Z$3005,Q$5)=0,"",SUMIFS(請求記録!$AE$6:$AE$3005,請求記録!$B$6:$B$3005,$A116,請求記録!$Z$6:$Z$3005,Q$5))))</f>
        <v/>
      </c>
      <c r="R116" s="19">
        <f>IF($A116="","",IF(COUNTIFS(請求記録!$B$6:$B$3005,$A116,請求記録!$Z$6:$Z$3005,R$5,請求記録!$AF$6:$AF$3005,"保留中")&gt;0,"保留",IF(COUNTIFS(請求記録!$B$6:$B$3005,$A116,請求記録!$Z$6:$Z$3005,R$5)=0,"",SUMIFS(請求記録!$AE$6:$AE$3005,請求記録!$B$6:$B$3005,$A116,請求記録!$Z$6:$Z$3005,R$5))))</f>
        <v/>
      </c>
      <c r="S116" s="19">
        <f>IF($A116="","",IF(COUNTIFS(請求記録!$B$6:$B$3005,$A116,請求記録!$Z$6:$Z$3005,S$5,請求記録!$AF$6:$AF$3005,"保留中")&gt;0,"保留",IF(COUNTIFS(請求記録!$B$6:$B$3005,$A116,請求記録!$Z$6:$Z$3005,S$5)=0,"",SUMIFS(請求記録!$AE$6:$AE$3005,請求記録!$B$6:$B$3005,$A116,請求記録!$Z$6:$Z$3005,S$5))))</f>
        <v/>
      </c>
      <c r="T116" s="19">
        <f>IF($A116="","",IF(COUNTIFS(請求記録!$B$6:$B$3005,$A116,請求記録!$Z$6:$Z$3005,T$5,請求記録!$AF$6:$AF$3005,"保留中")&gt;0,"保留",IF(COUNTIFS(請求記録!$B$6:$B$3005,$A116,請求記録!$Z$6:$Z$3005,T$5)=0,"",SUMIFS(請求記録!$AE$6:$AE$3005,請求記録!$B$6:$B$3005,$A116,請求記録!$Z$6:$Z$3005,T$5))))</f>
        <v/>
      </c>
      <c r="U116" s="19">
        <f>IF($A116="","",IF(COUNTIFS(請求記録!$B$6:$B$3005,$A116,請求記録!$Z$6:$Z$3005,U$5,請求記録!$AF$6:$AF$3005,"保留中")&gt;0,"保留",IF(COUNTIFS(請求記録!$B$6:$B$3005,$A116,請求記録!$Z$6:$Z$3005,U$5)=0,"",SUMIFS(請求記録!$AE$6:$AE$3005,請求記録!$B$6:$B$3005,$A116,請求記録!$Z$6:$Z$3005,U$5))))</f>
        <v/>
      </c>
      <c r="V116" s="19">
        <f>IF($A116="","",IF(COUNTIFS(請求記録!$B$6:$B$3005,$A116,請求記録!$Z$6:$Z$3005,V$5,請求記録!$AF$6:$AF$3005,"保留中")&gt;0,"保留",IF(COUNTIFS(請求記録!$B$6:$B$3005,$A116,請求記録!$Z$6:$Z$3005,V$5)=0,"",SUMIFS(請求記録!$AE$6:$AE$3005,請求記録!$B$6:$B$3005,$A116,請求記録!$Z$6:$Z$3005,V$5))))</f>
        <v/>
      </c>
      <c r="W116" s="19">
        <f>IF($A116="","",IF(COUNTIFS(請求記録!$B$6:$B$3005,$A116,請求記録!$Z$6:$Z$3005,W$5,請求記録!$AF$6:$AF$3005,"保留中")&gt;0,"保留",IF(COUNTIFS(請求記録!$B$6:$B$3005,$A116,請求記録!$Z$6:$Z$3005,W$5)=0,"",SUMIFS(請求記録!$AE$6:$AE$3005,請求記録!$B$6:$B$3005,$A116,請求記録!$Z$6:$Z$3005,W$5))))</f>
        <v/>
      </c>
      <c r="X116" s="19">
        <f>IF($A116="","",IF(COUNTIFS(請求記録!$B$6:$B$3005,$A116,請求記録!$Z$6:$Z$3005,X$5,請求記録!$AF$6:$AF$3005,"保留中")&gt;0,"保留",IF(COUNTIFS(請求記録!$B$6:$B$3005,$A116,請求記録!$Z$6:$Z$3005,X$5)=0,"",SUMIFS(請求記録!$AE$6:$AE$3005,請求記録!$B$6:$B$3005,$A116,請求記録!$Z$6:$Z$3005,X$5))))</f>
        <v/>
      </c>
      <c r="Y116" s="19">
        <f>IF($A116="","",IF(COUNTIFS(請求記録!$B$6:$B$3005,$A116,請求記録!$Z$6:$Z$3005,Y$5,請求記録!$AF$6:$AF$3005,"保留中")&gt;0,"保留",IF(COUNTIFS(請求記録!$B$6:$B$3005,$A116,請求記録!$Z$6:$Z$3005,Y$5)=0,"",SUMIFS(請求記録!$AE$6:$AE$3005,請求記録!$B$6:$B$3005,$A116,請求記録!$Z$6:$Z$3005,Y$5))))</f>
        <v/>
      </c>
      <c r="Z116" s="19">
        <f>IF($A116="","",IF(COUNTIFS(請求記録!$B$6:$B$3005,$A116,請求記録!$Z$6:$Z$3005,Z$5,請求記録!$AF$6:$AF$3005,"保留中")&gt;0,"保留",IF(COUNTIFS(請求記録!$B$6:$B$3005,$A116,請求記録!$Z$6:$Z$3005,Z$5)=0,"",SUMIFS(請求記録!$AE$6:$AE$3005,請求記録!$B$6:$B$3005,$A116,請求記録!$Z$6:$Z$3005,Z$5))))</f>
        <v/>
      </c>
      <c r="AA116" s="19">
        <f>IF($A116="","",IF(COUNTIFS(請求記録!$B$6:$B$3005,$A116,請求記録!$Z$6:$Z$3005,AA$5,請求記録!$AF$6:$AF$3005,"保留中")&gt;0,"保留",IF(COUNTIFS(請求記録!$B$6:$B$3005,$A116,請求記録!$Z$6:$Z$3005,AA$5)=0,"",SUMIFS(請求記録!$AE$6:$AE$3005,請求記録!$B$6:$B$3005,$A116,請求記録!$Z$6:$Z$3005,AA$5))))</f>
        <v/>
      </c>
      <c r="AB116">
        <f>IF(職員マスタ!P116="保留中",職員マスタ!M116,"")</f>
        <v/>
      </c>
    </row>
    <row r="117">
      <c r="A117">
        <f>IF(職員マスタ!A117="","",職員マスタ!A117)</f>
        <v/>
      </c>
      <c r="B117">
        <f>IF($A117="","",職員マスタ!B117)</f>
        <v/>
      </c>
      <c r="C117">
        <f>IF($A117="","",職員マスタ!C117)</f>
        <v/>
      </c>
      <c r="D117" s="19">
        <f>IF($A117="","",IF(COUNTIFS(請求記録!$B$6:$B$3005,$A117,請求記録!$Z$6:$Z$3005,D$5,請求記録!$AF$6:$AF$3005,"保留中")&gt;0,"保留",IF(COUNTIFS(請求記録!$B$6:$B$3005,$A117,請求記録!$Z$6:$Z$3005,D$5)=0,"",SUMIFS(請求記録!$AE$6:$AE$3005,請求記録!$B$6:$B$3005,$A117,請求記録!$Z$6:$Z$3005,D$5))))</f>
        <v/>
      </c>
      <c r="E117" s="19">
        <f>IF($A117="","",IF(COUNTIFS(請求記録!$B$6:$B$3005,$A117,請求記録!$Z$6:$Z$3005,E$5,請求記録!$AF$6:$AF$3005,"保留中")&gt;0,"保留",IF(COUNTIFS(請求記録!$B$6:$B$3005,$A117,請求記録!$Z$6:$Z$3005,E$5)=0,"",SUMIFS(請求記録!$AE$6:$AE$3005,請求記録!$B$6:$B$3005,$A117,請求記録!$Z$6:$Z$3005,E$5))))</f>
        <v/>
      </c>
      <c r="F117" s="19">
        <f>IF($A117="","",IF(COUNTIFS(請求記録!$B$6:$B$3005,$A117,請求記録!$Z$6:$Z$3005,F$5,請求記録!$AF$6:$AF$3005,"保留中")&gt;0,"保留",IF(COUNTIFS(請求記録!$B$6:$B$3005,$A117,請求記録!$Z$6:$Z$3005,F$5)=0,"",SUMIFS(請求記録!$AE$6:$AE$3005,請求記録!$B$6:$B$3005,$A117,請求記録!$Z$6:$Z$3005,F$5))))</f>
        <v/>
      </c>
      <c r="G117" s="19">
        <f>IF($A117="","",IF(COUNTIFS(請求記録!$B$6:$B$3005,$A117,請求記録!$Z$6:$Z$3005,G$5,請求記録!$AF$6:$AF$3005,"保留中")&gt;0,"保留",IF(COUNTIFS(請求記録!$B$6:$B$3005,$A117,請求記録!$Z$6:$Z$3005,G$5)=0,"",SUMIFS(請求記録!$AE$6:$AE$3005,請求記録!$B$6:$B$3005,$A117,請求記録!$Z$6:$Z$3005,G$5))))</f>
        <v/>
      </c>
      <c r="H117" s="19">
        <f>IF($A117="","",IF(COUNTIFS(請求記録!$B$6:$B$3005,$A117,請求記録!$Z$6:$Z$3005,H$5,請求記録!$AF$6:$AF$3005,"保留中")&gt;0,"保留",IF(COUNTIFS(請求記録!$B$6:$B$3005,$A117,請求記録!$Z$6:$Z$3005,H$5)=0,"",SUMIFS(請求記録!$AE$6:$AE$3005,請求記録!$B$6:$B$3005,$A117,請求記録!$Z$6:$Z$3005,H$5))))</f>
        <v/>
      </c>
      <c r="I117" s="19">
        <f>IF($A117="","",IF(COUNTIFS(請求記録!$B$6:$B$3005,$A117,請求記録!$Z$6:$Z$3005,I$5,請求記録!$AF$6:$AF$3005,"保留中")&gt;0,"保留",IF(COUNTIFS(請求記録!$B$6:$B$3005,$A117,請求記録!$Z$6:$Z$3005,I$5)=0,"",SUMIFS(請求記録!$AE$6:$AE$3005,請求記録!$B$6:$B$3005,$A117,請求記録!$Z$6:$Z$3005,I$5))))</f>
        <v/>
      </c>
      <c r="J117" s="19">
        <f>IF($A117="","",IF(COUNTIFS(請求記録!$B$6:$B$3005,$A117,請求記録!$Z$6:$Z$3005,J$5,請求記録!$AF$6:$AF$3005,"保留中")&gt;0,"保留",IF(COUNTIFS(請求記録!$B$6:$B$3005,$A117,請求記録!$Z$6:$Z$3005,J$5)=0,"",SUMIFS(請求記録!$AE$6:$AE$3005,請求記録!$B$6:$B$3005,$A117,請求記録!$Z$6:$Z$3005,J$5))))</f>
        <v/>
      </c>
      <c r="K117" s="19">
        <f>IF($A117="","",IF(COUNTIFS(請求記録!$B$6:$B$3005,$A117,請求記録!$Z$6:$Z$3005,K$5,請求記録!$AF$6:$AF$3005,"保留中")&gt;0,"保留",IF(COUNTIFS(請求記録!$B$6:$B$3005,$A117,請求記録!$Z$6:$Z$3005,K$5)=0,"",SUMIFS(請求記録!$AE$6:$AE$3005,請求記録!$B$6:$B$3005,$A117,請求記録!$Z$6:$Z$3005,K$5))))</f>
        <v/>
      </c>
      <c r="L117" s="19">
        <f>IF($A117="","",IF(COUNTIFS(請求記録!$B$6:$B$3005,$A117,請求記録!$Z$6:$Z$3005,L$5,請求記録!$AF$6:$AF$3005,"保留中")&gt;0,"保留",IF(COUNTIFS(請求記録!$B$6:$B$3005,$A117,請求記録!$Z$6:$Z$3005,L$5)=0,"",SUMIFS(請求記録!$AE$6:$AE$3005,請求記録!$B$6:$B$3005,$A117,請求記録!$Z$6:$Z$3005,L$5))))</f>
        <v/>
      </c>
      <c r="M117" s="19">
        <f>IF($A117="","",IF(COUNTIFS(請求記録!$B$6:$B$3005,$A117,請求記録!$Z$6:$Z$3005,M$5,請求記録!$AF$6:$AF$3005,"保留中")&gt;0,"保留",IF(COUNTIFS(請求記録!$B$6:$B$3005,$A117,請求記録!$Z$6:$Z$3005,M$5)=0,"",SUMIFS(請求記録!$AE$6:$AE$3005,請求記録!$B$6:$B$3005,$A117,請求記録!$Z$6:$Z$3005,M$5))))</f>
        <v/>
      </c>
      <c r="N117" s="19">
        <f>IF($A117="","",IF(COUNTIFS(請求記録!$B$6:$B$3005,$A117,請求記録!$Z$6:$Z$3005,N$5,請求記録!$AF$6:$AF$3005,"保留中")&gt;0,"保留",IF(COUNTIFS(請求記録!$B$6:$B$3005,$A117,請求記録!$Z$6:$Z$3005,N$5)=0,"",SUMIFS(請求記録!$AE$6:$AE$3005,請求記録!$B$6:$B$3005,$A117,請求記録!$Z$6:$Z$3005,N$5))))</f>
        <v/>
      </c>
      <c r="O117" s="19">
        <f>IF($A117="","",IF(COUNTIFS(請求記録!$B$6:$B$3005,$A117,請求記録!$Z$6:$Z$3005,O$5,請求記録!$AF$6:$AF$3005,"保留中")&gt;0,"保留",IF(COUNTIFS(請求記録!$B$6:$B$3005,$A117,請求記録!$Z$6:$Z$3005,O$5)=0,"",SUMIFS(請求記録!$AE$6:$AE$3005,請求記録!$B$6:$B$3005,$A117,請求記録!$Z$6:$Z$3005,O$5))))</f>
        <v/>
      </c>
      <c r="P117" s="19">
        <f>IF($A117="","",IF(COUNTIFS(請求記録!$B$6:$B$3005,$A117,請求記録!$Z$6:$Z$3005,P$5,請求記録!$AF$6:$AF$3005,"保留中")&gt;0,"保留",IF(COUNTIFS(請求記録!$B$6:$B$3005,$A117,請求記録!$Z$6:$Z$3005,P$5)=0,"",SUMIFS(請求記録!$AE$6:$AE$3005,請求記録!$B$6:$B$3005,$A117,請求記録!$Z$6:$Z$3005,P$5))))</f>
        <v/>
      </c>
      <c r="Q117" s="19">
        <f>IF($A117="","",IF(COUNTIFS(請求記録!$B$6:$B$3005,$A117,請求記録!$Z$6:$Z$3005,Q$5,請求記録!$AF$6:$AF$3005,"保留中")&gt;0,"保留",IF(COUNTIFS(請求記録!$B$6:$B$3005,$A117,請求記録!$Z$6:$Z$3005,Q$5)=0,"",SUMIFS(請求記録!$AE$6:$AE$3005,請求記録!$B$6:$B$3005,$A117,請求記録!$Z$6:$Z$3005,Q$5))))</f>
        <v/>
      </c>
      <c r="R117" s="19">
        <f>IF($A117="","",IF(COUNTIFS(請求記録!$B$6:$B$3005,$A117,請求記録!$Z$6:$Z$3005,R$5,請求記録!$AF$6:$AF$3005,"保留中")&gt;0,"保留",IF(COUNTIFS(請求記録!$B$6:$B$3005,$A117,請求記録!$Z$6:$Z$3005,R$5)=0,"",SUMIFS(請求記録!$AE$6:$AE$3005,請求記録!$B$6:$B$3005,$A117,請求記録!$Z$6:$Z$3005,R$5))))</f>
        <v/>
      </c>
      <c r="S117" s="19">
        <f>IF($A117="","",IF(COUNTIFS(請求記録!$B$6:$B$3005,$A117,請求記録!$Z$6:$Z$3005,S$5,請求記録!$AF$6:$AF$3005,"保留中")&gt;0,"保留",IF(COUNTIFS(請求記録!$B$6:$B$3005,$A117,請求記録!$Z$6:$Z$3005,S$5)=0,"",SUMIFS(請求記録!$AE$6:$AE$3005,請求記録!$B$6:$B$3005,$A117,請求記録!$Z$6:$Z$3005,S$5))))</f>
        <v/>
      </c>
      <c r="T117" s="19">
        <f>IF($A117="","",IF(COUNTIFS(請求記録!$B$6:$B$3005,$A117,請求記録!$Z$6:$Z$3005,T$5,請求記録!$AF$6:$AF$3005,"保留中")&gt;0,"保留",IF(COUNTIFS(請求記録!$B$6:$B$3005,$A117,請求記録!$Z$6:$Z$3005,T$5)=0,"",SUMIFS(請求記録!$AE$6:$AE$3005,請求記録!$B$6:$B$3005,$A117,請求記録!$Z$6:$Z$3005,T$5))))</f>
        <v/>
      </c>
      <c r="U117" s="19">
        <f>IF($A117="","",IF(COUNTIFS(請求記録!$B$6:$B$3005,$A117,請求記録!$Z$6:$Z$3005,U$5,請求記録!$AF$6:$AF$3005,"保留中")&gt;0,"保留",IF(COUNTIFS(請求記録!$B$6:$B$3005,$A117,請求記録!$Z$6:$Z$3005,U$5)=0,"",SUMIFS(請求記録!$AE$6:$AE$3005,請求記録!$B$6:$B$3005,$A117,請求記録!$Z$6:$Z$3005,U$5))))</f>
        <v/>
      </c>
      <c r="V117" s="19">
        <f>IF($A117="","",IF(COUNTIFS(請求記録!$B$6:$B$3005,$A117,請求記録!$Z$6:$Z$3005,V$5,請求記録!$AF$6:$AF$3005,"保留中")&gt;0,"保留",IF(COUNTIFS(請求記録!$B$6:$B$3005,$A117,請求記録!$Z$6:$Z$3005,V$5)=0,"",SUMIFS(請求記録!$AE$6:$AE$3005,請求記録!$B$6:$B$3005,$A117,請求記録!$Z$6:$Z$3005,V$5))))</f>
        <v/>
      </c>
      <c r="W117" s="19">
        <f>IF($A117="","",IF(COUNTIFS(請求記録!$B$6:$B$3005,$A117,請求記録!$Z$6:$Z$3005,W$5,請求記録!$AF$6:$AF$3005,"保留中")&gt;0,"保留",IF(COUNTIFS(請求記録!$B$6:$B$3005,$A117,請求記録!$Z$6:$Z$3005,W$5)=0,"",SUMIFS(請求記録!$AE$6:$AE$3005,請求記録!$B$6:$B$3005,$A117,請求記録!$Z$6:$Z$3005,W$5))))</f>
        <v/>
      </c>
      <c r="X117" s="19">
        <f>IF($A117="","",IF(COUNTIFS(請求記録!$B$6:$B$3005,$A117,請求記録!$Z$6:$Z$3005,X$5,請求記録!$AF$6:$AF$3005,"保留中")&gt;0,"保留",IF(COUNTIFS(請求記録!$B$6:$B$3005,$A117,請求記録!$Z$6:$Z$3005,X$5)=0,"",SUMIFS(請求記録!$AE$6:$AE$3005,請求記録!$B$6:$B$3005,$A117,請求記録!$Z$6:$Z$3005,X$5))))</f>
        <v/>
      </c>
      <c r="Y117" s="19">
        <f>IF($A117="","",IF(COUNTIFS(請求記録!$B$6:$B$3005,$A117,請求記録!$Z$6:$Z$3005,Y$5,請求記録!$AF$6:$AF$3005,"保留中")&gt;0,"保留",IF(COUNTIFS(請求記録!$B$6:$B$3005,$A117,請求記録!$Z$6:$Z$3005,Y$5)=0,"",SUMIFS(請求記録!$AE$6:$AE$3005,請求記録!$B$6:$B$3005,$A117,請求記録!$Z$6:$Z$3005,Y$5))))</f>
        <v/>
      </c>
      <c r="Z117" s="19">
        <f>IF($A117="","",IF(COUNTIFS(請求記録!$B$6:$B$3005,$A117,請求記録!$Z$6:$Z$3005,Z$5,請求記録!$AF$6:$AF$3005,"保留中")&gt;0,"保留",IF(COUNTIFS(請求記録!$B$6:$B$3005,$A117,請求記録!$Z$6:$Z$3005,Z$5)=0,"",SUMIFS(請求記録!$AE$6:$AE$3005,請求記録!$B$6:$B$3005,$A117,請求記録!$Z$6:$Z$3005,Z$5))))</f>
        <v/>
      </c>
      <c r="AA117" s="19">
        <f>IF($A117="","",IF(COUNTIFS(請求記録!$B$6:$B$3005,$A117,請求記録!$Z$6:$Z$3005,AA$5,請求記録!$AF$6:$AF$3005,"保留中")&gt;0,"保留",IF(COUNTIFS(請求記録!$B$6:$B$3005,$A117,請求記録!$Z$6:$Z$3005,AA$5)=0,"",SUMIFS(請求記録!$AE$6:$AE$3005,請求記録!$B$6:$B$3005,$A117,請求記録!$Z$6:$Z$3005,AA$5))))</f>
        <v/>
      </c>
      <c r="AB117">
        <f>IF(職員マスタ!P117="保留中",職員マスタ!M117,"")</f>
        <v/>
      </c>
    </row>
    <row r="118">
      <c r="A118">
        <f>IF(職員マスタ!A118="","",職員マスタ!A118)</f>
        <v/>
      </c>
      <c r="B118">
        <f>IF($A118="","",職員マスタ!B118)</f>
        <v/>
      </c>
      <c r="C118">
        <f>IF($A118="","",職員マスタ!C118)</f>
        <v/>
      </c>
      <c r="D118" s="19">
        <f>IF($A118="","",IF(COUNTIFS(請求記録!$B$6:$B$3005,$A118,請求記録!$Z$6:$Z$3005,D$5,請求記録!$AF$6:$AF$3005,"保留中")&gt;0,"保留",IF(COUNTIFS(請求記録!$B$6:$B$3005,$A118,請求記録!$Z$6:$Z$3005,D$5)=0,"",SUMIFS(請求記録!$AE$6:$AE$3005,請求記録!$B$6:$B$3005,$A118,請求記録!$Z$6:$Z$3005,D$5))))</f>
        <v/>
      </c>
      <c r="E118" s="19">
        <f>IF($A118="","",IF(COUNTIFS(請求記録!$B$6:$B$3005,$A118,請求記録!$Z$6:$Z$3005,E$5,請求記録!$AF$6:$AF$3005,"保留中")&gt;0,"保留",IF(COUNTIFS(請求記録!$B$6:$B$3005,$A118,請求記録!$Z$6:$Z$3005,E$5)=0,"",SUMIFS(請求記録!$AE$6:$AE$3005,請求記録!$B$6:$B$3005,$A118,請求記録!$Z$6:$Z$3005,E$5))))</f>
        <v/>
      </c>
      <c r="F118" s="19">
        <f>IF($A118="","",IF(COUNTIFS(請求記録!$B$6:$B$3005,$A118,請求記録!$Z$6:$Z$3005,F$5,請求記録!$AF$6:$AF$3005,"保留中")&gt;0,"保留",IF(COUNTIFS(請求記録!$B$6:$B$3005,$A118,請求記録!$Z$6:$Z$3005,F$5)=0,"",SUMIFS(請求記録!$AE$6:$AE$3005,請求記録!$B$6:$B$3005,$A118,請求記録!$Z$6:$Z$3005,F$5))))</f>
        <v/>
      </c>
      <c r="G118" s="19">
        <f>IF($A118="","",IF(COUNTIFS(請求記録!$B$6:$B$3005,$A118,請求記録!$Z$6:$Z$3005,G$5,請求記録!$AF$6:$AF$3005,"保留中")&gt;0,"保留",IF(COUNTIFS(請求記録!$B$6:$B$3005,$A118,請求記録!$Z$6:$Z$3005,G$5)=0,"",SUMIFS(請求記録!$AE$6:$AE$3005,請求記録!$B$6:$B$3005,$A118,請求記録!$Z$6:$Z$3005,G$5))))</f>
        <v/>
      </c>
      <c r="H118" s="19">
        <f>IF($A118="","",IF(COUNTIFS(請求記録!$B$6:$B$3005,$A118,請求記録!$Z$6:$Z$3005,H$5,請求記録!$AF$6:$AF$3005,"保留中")&gt;0,"保留",IF(COUNTIFS(請求記録!$B$6:$B$3005,$A118,請求記録!$Z$6:$Z$3005,H$5)=0,"",SUMIFS(請求記録!$AE$6:$AE$3005,請求記録!$B$6:$B$3005,$A118,請求記録!$Z$6:$Z$3005,H$5))))</f>
        <v/>
      </c>
      <c r="I118" s="19">
        <f>IF($A118="","",IF(COUNTIFS(請求記録!$B$6:$B$3005,$A118,請求記録!$Z$6:$Z$3005,I$5,請求記録!$AF$6:$AF$3005,"保留中")&gt;0,"保留",IF(COUNTIFS(請求記録!$B$6:$B$3005,$A118,請求記録!$Z$6:$Z$3005,I$5)=0,"",SUMIFS(請求記録!$AE$6:$AE$3005,請求記録!$B$6:$B$3005,$A118,請求記録!$Z$6:$Z$3005,I$5))))</f>
        <v/>
      </c>
      <c r="J118" s="19">
        <f>IF($A118="","",IF(COUNTIFS(請求記録!$B$6:$B$3005,$A118,請求記録!$Z$6:$Z$3005,J$5,請求記録!$AF$6:$AF$3005,"保留中")&gt;0,"保留",IF(COUNTIFS(請求記録!$B$6:$B$3005,$A118,請求記録!$Z$6:$Z$3005,J$5)=0,"",SUMIFS(請求記録!$AE$6:$AE$3005,請求記録!$B$6:$B$3005,$A118,請求記録!$Z$6:$Z$3005,J$5))))</f>
        <v/>
      </c>
      <c r="K118" s="19">
        <f>IF($A118="","",IF(COUNTIFS(請求記録!$B$6:$B$3005,$A118,請求記録!$Z$6:$Z$3005,K$5,請求記録!$AF$6:$AF$3005,"保留中")&gt;0,"保留",IF(COUNTIFS(請求記録!$B$6:$B$3005,$A118,請求記録!$Z$6:$Z$3005,K$5)=0,"",SUMIFS(請求記録!$AE$6:$AE$3005,請求記録!$B$6:$B$3005,$A118,請求記録!$Z$6:$Z$3005,K$5))))</f>
        <v/>
      </c>
      <c r="L118" s="19">
        <f>IF($A118="","",IF(COUNTIFS(請求記録!$B$6:$B$3005,$A118,請求記録!$Z$6:$Z$3005,L$5,請求記録!$AF$6:$AF$3005,"保留中")&gt;0,"保留",IF(COUNTIFS(請求記録!$B$6:$B$3005,$A118,請求記録!$Z$6:$Z$3005,L$5)=0,"",SUMIFS(請求記録!$AE$6:$AE$3005,請求記録!$B$6:$B$3005,$A118,請求記録!$Z$6:$Z$3005,L$5))))</f>
        <v/>
      </c>
      <c r="M118" s="19">
        <f>IF($A118="","",IF(COUNTIFS(請求記録!$B$6:$B$3005,$A118,請求記録!$Z$6:$Z$3005,M$5,請求記録!$AF$6:$AF$3005,"保留中")&gt;0,"保留",IF(COUNTIFS(請求記録!$B$6:$B$3005,$A118,請求記録!$Z$6:$Z$3005,M$5)=0,"",SUMIFS(請求記録!$AE$6:$AE$3005,請求記録!$B$6:$B$3005,$A118,請求記録!$Z$6:$Z$3005,M$5))))</f>
        <v/>
      </c>
      <c r="N118" s="19">
        <f>IF($A118="","",IF(COUNTIFS(請求記録!$B$6:$B$3005,$A118,請求記録!$Z$6:$Z$3005,N$5,請求記録!$AF$6:$AF$3005,"保留中")&gt;0,"保留",IF(COUNTIFS(請求記録!$B$6:$B$3005,$A118,請求記録!$Z$6:$Z$3005,N$5)=0,"",SUMIFS(請求記録!$AE$6:$AE$3005,請求記録!$B$6:$B$3005,$A118,請求記録!$Z$6:$Z$3005,N$5))))</f>
        <v/>
      </c>
      <c r="O118" s="19">
        <f>IF($A118="","",IF(COUNTIFS(請求記録!$B$6:$B$3005,$A118,請求記録!$Z$6:$Z$3005,O$5,請求記録!$AF$6:$AF$3005,"保留中")&gt;0,"保留",IF(COUNTIFS(請求記録!$B$6:$B$3005,$A118,請求記録!$Z$6:$Z$3005,O$5)=0,"",SUMIFS(請求記録!$AE$6:$AE$3005,請求記録!$B$6:$B$3005,$A118,請求記録!$Z$6:$Z$3005,O$5))))</f>
        <v/>
      </c>
      <c r="P118" s="19">
        <f>IF($A118="","",IF(COUNTIFS(請求記録!$B$6:$B$3005,$A118,請求記録!$Z$6:$Z$3005,P$5,請求記録!$AF$6:$AF$3005,"保留中")&gt;0,"保留",IF(COUNTIFS(請求記録!$B$6:$B$3005,$A118,請求記録!$Z$6:$Z$3005,P$5)=0,"",SUMIFS(請求記録!$AE$6:$AE$3005,請求記録!$B$6:$B$3005,$A118,請求記録!$Z$6:$Z$3005,P$5))))</f>
        <v/>
      </c>
      <c r="Q118" s="19">
        <f>IF($A118="","",IF(COUNTIFS(請求記録!$B$6:$B$3005,$A118,請求記録!$Z$6:$Z$3005,Q$5,請求記録!$AF$6:$AF$3005,"保留中")&gt;0,"保留",IF(COUNTIFS(請求記録!$B$6:$B$3005,$A118,請求記録!$Z$6:$Z$3005,Q$5)=0,"",SUMIFS(請求記録!$AE$6:$AE$3005,請求記録!$B$6:$B$3005,$A118,請求記録!$Z$6:$Z$3005,Q$5))))</f>
        <v/>
      </c>
      <c r="R118" s="19">
        <f>IF($A118="","",IF(COUNTIFS(請求記録!$B$6:$B$3005,$A118,請求記録!$Z$6:$Z$3005,R$5,請求記録!$AF$6:$AF$3005,"保留中")&gt;0,"保留",IF(COUNTIFS(請求記録!$B$6:$B$3005,$A118,請求記録!$Z$6:$Z$3005,R$5)=0,"",SUMIFS(請求記録!$AE$6:$AE$3005,請求記録!$B$6:$B$3005,$A118,請求記録!$Z$6:$Z$3005,R$5))))</f>
        <v/>
      </c>
      <c r="S118" s="19">
        <f>IF($A118="","",IF(COUNTIFS(請求記録!$B$6:$B$3005,$A118,請求記録!$Z$6:$Z$3005,S$5,請求記録!$AF$6:$AF$3005,"保留中")&gt;0,"保留",IF(COUNTIFS(請求記録!$B$6:$B$3005,$A118,請求記録!$Z$6:$Z$3005,S$5)=0,"",SUMIFS(請求記録!$AE$6:$AE$3005,請求記録!$B$6:$B$3005,$A118,請求記録!$Z$6:$Z$3005,S$5))))</f>
        <v/>
      </c>
      <c r="T118" s="19">
        <f>IF($A118="","",IF(COUNTIFS(請求記録!$B$6:$B$3005,$A118,請求記録!$Z$6:$Z$3005,T$5,請求記録!$AF$6:$AF$3005,"保留中")&gt;0,"保留",IF(COUNTIFS(請求記録!$B$6:$B$3005,$A118,請求記録!$Z$6:$Z$3005,T$5)=0,"",SUMIFS(請求記録!$AE$6:$AE$3005,請求記録!$B$6:$B$3005,$A118,請求記録!$Z$6:$Z$3005,T$5))))</f>
        <v/>
      </c>
      <c r="U118" s="19">
        <f>IF($A118="","",IF(COUNTIFS(請求記録!$B$6:$B$3005,$A118,請求記録!$Z$6:$Z$3005,U$5,請求記録!$AF$6:$AF$3005,"保留中")&gt;0,"保留",IF(COUNTIFS(請求記録!$B$6:$B$3005,$A118,請求記録!$Z$6:$Z$3005,U$5)=0,"",SUMIFS(請求記録!$AE$6:$AE$3005,請求記録!$B$6:$B$3005,$A118,請求記録!$Z$6:$Z$3005,U$5))))</f>
        <v/>
      </c>
      <c r="V118" s="19">
        <f>IF($A118="","",IF(COUNTIFS(請求記録!$B$6:$B$3005,$A118,請求記録!$Z$6:$Z$3005,V$5,請求記録!$AF$6:$AF$3005,"保留中")&gt;0,"保留",IF(COUNTIFS(請求記録!$B$6:$B$3005,$A118,請求記録!$Z$6:$Z$3005,V$5)=0,"",SUMIFS(請求記録!$AE$6:$AE$3005,請求記録!$B$6:$B$3005,$A118,請求記録!$Z$6:$Z$3005,V$5))))</f>
        <v/>
      </c>
      <c r="W118" s="19">
        <f>IF($A118="","",IF(COUNTIFS(請求記録!$B$6:$B$3005,$A118,請求記録!$Z$6:$Z$3005,W$5,請求記録!$AF$6:$AF$3005,"保留中")&gt;0,"保留",IF(COUNTIFS(請求記録!$B$6:$B$3005,$A118,請求記録!$Z$6:$Z$3005,W$5)=0,"",SUMIFS(請求記録!$AE$6:$AE$3005,請求記録!$B$6:$B$3005,$A118,請求記録!$Z$6:$Z$3005,W$5))))</f>
        <v/>
      </c>
      <c r="X118" s="19">
        <f>IF($A118="","",IF(COUNTIFS(請求記録!$B$6:$B$3005,$A118,請求記録!$Z$6:$Z$3005,X$5,請求記録!$AF$6:$AF$3005,"保留中")&gt;0,"保留",IF(COUNTIFS(請求記録!$B$6:$B$3005,$A118,請求記録!$Z$6:$Z$3005,X$5)=0,"",SUMIFS(請求記録!$AE$6:$AE$3005,請求記録!$B$6:$B$3005,$A118,請求記録!$Z$6:$Z$3005,X$5))))</f>
        <v/>
      </c>
      <c r="Y118" s="19">
        <f>IF($A118="","",IF(COUNTIFS(請求記録!$B$6:$B$3005,$A118,請求記録!$Z$6:$Z$3005,Y$5,請求記録!$AF$6:$AF$3005,"保留中")&gt;0,"保留",IF(COUNTIFS(請求記録!$B$6:$B$3005,$A118,請求記録!$Z$6:$Z$3005,Y$5)=0,"",SUMIFS(請求記録!$AE$6:$AE$3005,請求記録!$B$6:$B$3005,$A118,請求記録!$Z$6:$Z$3005,Y$5))))</f>
        <v/>
      </c>
      <c r="Z118" s="19">
        <f>IF($A118="","",IF(COUNTIFS(請求記録!$B$6:$B$3005,$A118,請求記録!$Z$6:$Z$3005,Z$5,請求記録!$AF$6:$AF$3005,"保留中")&gt;0,"保留",IF(COUNTIFS(請求記録!$B$6:$B$3005,$A118,請求記録!$Z$6:$Z$3005,Z$5)=0,"",SUMIFS(請求記録!$AE$6:$AE$3005,請求記録!$B$6:$B$3005,$A118,請求記録!$Z$6:$Z$3005,Z$5))))</f>
        <v/>
      </c>
      <c r="AA118" s="19">
        <f>IF($A118="","",IF(COUNTIFS(請求記録!$B$6:$B$3005,$A118,請求記録!$Z$6:$Z$3005,AA$5,請求記録!$AF$6:$AF$3005,"保留中")&gt;0,"保留",IF(COUNTIFS(請求記録!$B$6:$B$3005,$A118,請求記録!$Z$6:$Z$3005,AA$5)=0,"",SUMIFS(請求記録!$AE$6:$AE$3005,請求記録!$B$6:$B$3005,$A118,請求記録!$Z$6:$Z$3005,AA$5))))</f>
        <v/>
      </c>
      <c r="AB118">
        <f>IF(職員マスタ!P118="保留中",職員マスタ!M118,"")</f>
        <v/>
      </c>
    </row>
    <row r="119">
      <c r="A119">
        <f>IF(職員マスタ!A119="","",職員マスタ!A119)</f>
        <v/>
      </c>
      <c r="B119">
        <f>IF($A119="","",職員マスタ!B119)</f>
        <v/>
      </c>
      <c r="C119">
        <f>IF($A119="","",職員マスタ!C119)</f>
        <v/>
      </c>
      <c r="D119" s="19">
        <f>IF($A119="","",IF(COUNTIFS(請求記録!$B$6:$B$3005,$A119,請求記録!$Z$6:$Z$3005,D$5,請求記録!$AF$6:$AF$3005,"保留中")&gt;0,"保留",IF(COUNTIFS(請求記録!$B$6:$B$3005,$A119,請求記録!$Z$6:$Z$3005,D$5)=0,"",SUMIFS(請求記録!$AE$6:$AE$3005,請求記録!$B$6:$B$3005,$A119,請求記録!$Z$6:$Z$3005,D$5))))</f>
        <v/>
      </c>
      <c r="E119" s="19">
        <f>IF($A119="","",IF(COUNTIFS(請求記録!$B$6:$B$3005,$A119,請求記録!$Z$6:$Z$3005,E$5,請求記録!$AF$6:$AF$3005,"保留中")&gt;0,"保留",IF(COUNTIFS(請求記録!$B$6:$B$3005,$A119,請求記録!$Z$6:$Z$3005,E$5)=0,"",SUMIFS(請求記録!$AE$6:$AE$3005,請求記録!$B$6:$B$3005,$A119,請求記録!$Z$6:$Z$3005,E$5))))</f>
        <v/>
      </c>
      <c r="F119" s="19">
        <f>IF($A119="","",IF(COUNTIFS(請求記録!$B$6:$B$3005,$A119,請求記録!$Z$6:$Z$3005,F$5,請求記録!$AF$6:$AF$3005,"保留中")&gt;0,"保留",IF(COUNTIFS(請求記録!$B$6:$B$3005,$A119,請求記録!$Z$6:$Z$3005,F$5)=0,"",SUMIFS(請求記録!$AE$6:$AE$3005,請求記録!$B$6:$B$3005,$A119,請求記録!$Z$6:$Z$3005,F$5))))</f>
        <v/>
      </c>
      <c r="G119" s="19">
        <f>IF($A119="","",IF(COUNTIFS(請求記録!$B$6:$B$3005,$A119,請求記録!$Z$6:$Z$3005,G$5,請求記録!$AF$6:$AF$3005,"保留中")&gt;0,"保留",IF(COUNTIFS(請求記録!$B$6:$B$3005,$A119,請求記録!$Z$6:$Z$3005,G$5)=0,"",SUMIFS(請求記録!$AE$6:$AE$3005,請求記録!$B$6:$B$3005,$A119,請求記録!$Z$6:$Z$3005,G$5))))</f>
        <v/>
      </c>
      <c r="H119" s="19">
        <f>IF($A119="","",IF(COUNTIFS(請求記録!$B$6:$B$3005,$A119,請求記録!$Z$6:$Z$3005,H$5,請求記録!$AF$6:$AF$3005,"保留中")&gt;0,"保留",IF(COUNTIFS(請求記録!$B$6:$B$3005,$A119,請求記録!$Z$6:$Z$3005,H$5)=0,"",SUMIFS(請求記録!$AE$6:$AE$3005,請求記録!$B$6:$B$3005,$A119,請求記録!$Z$6:$Z$3005,H$5))))</f>
        <v/>
      </c>
      <c r="I119" s="19">
        <f>IF($A119="","",IF(COUNTIFS(請求記録!$B$6:$B$3005,$A119,請求記録!$Z$6:$Z$3005,I$5,請求記録!$AF$6:$AF$3005,"保留中")&gt;0,"保留",IF(COUNTIFS(請求記録!$B$6:$B$3005,$A119,請求記録!$Z$6:$Z$3005,I$5)=0,"",SUMIFS(請求記録!$AE$6:$AE$3005,請求記録!$B$6:$B$3005,$A119,請求記録!$Z$6:$Z$3005,I$5))))</f>
        <v/>
      </c>
      <c r="J119" s="19">
        <f>IF($A119="","",IF(COUNTIFS(請求記録!$B$6:$B$3005,$A119,請求記録!$Z$6:$Z$3005,J$5,請求記録!$AF$6:$AF$3005,"保留中")&gt;0,"保留",IF(COUNTIFS(請求記録!$B$6:$B$3005,$A119,請求記録!$Z$6:$Z$3005,J$5)=0,"",SUMIFS(請求記録!$AE$6:$AE$3005,請求記録!$B$6:$B$3005,$A119,請求記録!$Z$6:$Z$3005,J$5))))</f>
        <v/>
      </c>
      <c r="K119" s="19">
        <f>IF($A119="","",IF(COUNTIFS(請求記録!$B$6:$B$3005,$A119,請求記録!$Z$6:$Z$3005,K$5,請求記録!$AF$6:$AF$3005,"保留中")&gt;0,"保留",IF(COUNTIFS(請求記録!$B$6:$B$3005,$A119,請求記録!$Z$6:$Z$3005,K$5)=0,"",SUMIFS(請求記録!$AE$6:$AE$3005,請求記録!$B$6:$B$3005,$A119,請求記録!$Z$6:$Z$3005,K$5))))</f>
        <v/>
      </c>
      <c r="L119" s="19">
        <f>IF($A119="","",IF(COUNTIFS(請求記録!$B$6:$B$3005,$A119,請求記録!$Z$6:$Z$3005,L$5,請求記録!$AF$6:$AF$3005,"保留中")&gt;0,"保留",IF(COUNTIFS(請求記録!$B$6:$B$3005,$A119,請求記録!$Z$6:$Z$3005,L$5)=0,"",SUMIFS(請求記録!$AE$6:$AE$3005,請求記録!$B$6:$B$3005,$A119,請求記録!$Z$6:$Z$3005,L$5))))</f>
        <v/>
      </c>
      <c r="M119" s="19">
        <f>IF($A119="","",IF(COUNTIFS(請求記録!$B$6:$B$3005,$A119,請求記録!$Z$6:$Z$3005,M$5,請求記録!$AF$6:$AF$3005,"保留中")&gt;0,"保留",IF(COUNTIFS(請求記録!$B$6:$B$3005,$A119,請求記録!$Z$6:$Z$3005,M$5)=0,"",SUMIFS(請求記録!$AE$6:$AE$3005,請求記録!$B$6:$B$3005,$A119,請求記録!$Z$6:$Z$3005,M$5))))</f>
        <v/>
      </c>
      <c r="N119" s="19">
        <f>IF($A119="","",IF(COUNTIFS(請求記録!$B$6:$B$3005,$A119,請求記録!$Z$6:$Z$3005,N$5,請求記録!$AF$6:$AF$3005,"保留中")&gt;0,"保留",IF(COUNTIFS(請求記録!$B$6:$B$3005,$A119,請求記録!$Z$6:$Z$3005,N$5)=0,"",SUMIFS(請求記録!$AE$6:$AE$3005,請求記録!$B$6:$B$3005,$A119,請求記録!$Z$6:$Z$3005,N$5))))</f>
        <v/>
      </c>
      <c r="O119" s="19">
        <f>IF($A119="","",IF(COUNTIFS(請求記録!$B$6:$B$3005,$A119,請求記録!$Z$6:$Z$3005,O$5,請求記録!$AF$6:$AF$3005,"保留中")&gt;0,"保留",IF(COUNTIFS(請求記録!$B$6:$B$3005,$A119,請求記録!$Z$6:$Z$3005,O$5)=0,"",SUMIFS(請求記録!$AE$6:$AE$3005,請求記録!$B$6:$B$3005,$A119,請求記録!$Z$6:$Z$3005,O$5))))</f>
        <v/>
      </c>
      <c r="P119" s="19">
        <f>IF($A119="","",IF(COUNTIFS(請求記録!$B$6:$B$3005,$A119,請求記録!$Z$6:$Z$3005,P$5,請求記録!$AF$6:$AF$3005,"保留中")&gt;0,"保留",IF(COUNTIFS(請求記録!$B$6:$B$3005,$A119,請求記録!$Z$6:$Z$3005,P$5)=0,"",SUMIFS(請求記録!$AE$6:$AE$3005,請求記録!$B$6:$B$3005,$A119,請求記録!$Z$6:$Z$3005,P$5))))</f>
        <v/>
      </c>
      <c r="Q119" s="19">
        <f>IF($A119="","",IF(COUNTIFS(請求記録!$B$6:$B$3005,$A119,請求記録!$Z$6:$Z$3005,Q$5,請求記録!$AF$6:$AF$3005,"保留中")&gt;0,"保留",IF(COUNTIFS(請求記録!$B$6:$B$3005,$A119,請求記録!$Z$6:$Z$3005,Q$5)=0,"",SUMIFS(請求記録!$AE$6:$AE$3005,請求記録!$B$6:$B$3005,$A119,請求記録!$Z$6:$Z$3005,Q$5))))</f>
        <v/>
      </c>
      <c r="R119" s="19">
        <f>IF($A119="","",IF(COUNTIFS(請求記録!$B$6:$B$3005,$A119,請求記録!$Z$6:$Z$3005,R$5,請求記録!$AF$6:$AF$3005,"保留中")&gt;0,"保留",IF(COUNTIFS(請求記録!$B$6:$B$3005,$A119,請求記録!$Z$6:$Z$3005,R$5)=0,"",SUMIFS(請求記録!$AE$6:$AE$3005,請求記録!$B$6:$B$3005,$A119,請求記録!$Z$6:$Z$3005,R$5))))</f>
        <v/>
      </c>
      <c r="S119" s="19">
        <f>IF($A119="","",IF(COUNTIFS(請求記録!$B$6:$B$3005,$A119,請求記録!$Z$6:$Z$3005,S$5,請求記録!$AF$6:$AF$3005,"保留中")&gt;0,"保留",IF(COUNTIFS(請求記録!$B$6:$B$3005,$A119,請求記録!$Z$6:$Z$3005,S$5)=0,"",SUMIFS(請求記録!$AE$6:$AE$3005,請求記録!$B$6:$B$3005,$A119,請求記録!$Z$6:$Z$3005,S$5))))</f>
        <v/>
      </c>
      <c r="T119" s="19">
        <f>IF($A119="","",IF(COUNTIFS(請求記録!$B$6:$B$3005,$A119,請求記録!$Z$6:$Z$3005,T$5,請求記録!$AF$6:$AF$3005,"保留中")&gt;0,"保留",IF(COUNTIFS(請求記録!$B$6:$B$3005,$A119,請求記録!$Z$6:$Z$3005,T$5)=0,"",SUMIFS(請求記録!$AE$6:$AE$3005,請求記録!$B$6:$B$3005,$A119,請求記録!$Z$6:$Z$3005,T$5))))</f>
        <v/>
      </c>
      <c r="U119" s="19">
        <f>IF($A119="","",IF(COUNTIFS(請求記録!$B$6:$B$3005,$A119,請求記録!$Z$6:$Z$3005,U$5,請求記録!$AF$6:$AF$3005,"保留中")&gt;0,"保留",IF(COUNTIFS(請求記録!$B$6:$B$3005,$A119,請求記録!$Z$6:$Z$3005,U$5)=0,"",SUMIFS(請求記録!$AE$6:$AE$3005,請求記録!$B$6:$B$3005,$A119,請求記録!$Z$6:$Z$3005,U$5))))</f>
        <v/>
      </c>
      <c r="V119" s="19">
        <f>IF($A119="","",IF(COUNTIFS(請求記録!$B$6:$B$3005,$A119,請求記録!$Z$6:$Z$3005,V$5,請求記録!$AF$6:$AF$3005,"保留中")&gt;0,"保留",IF(COUNTIFS(請求記録!$B$6:$B$3005,$A119,請求記録!$Z$6:$Z$3005,V$5)=0,"",SUMIFS(請求記録!$AE$6:$AE$3005,請求記録!$B$6:$B$3005,$A119,請求記録!$Z$6:$Z$3005,V$5))))</f>
        <v/>
      </c>
      <c r="W119" s="19">
        <f>IF($A119="","",IF(COUNTIFS(請求記録!$B$6:$B$3005,$A119,請求記録!$Z$6:$Z$3005,W$5,請求記録!$AF$6:$AF$3005,"保留中")&gt;0,"保留",IF(COUNTIFS(請求記録!$B$6:$B$3005,$A119,請求記録!$Z$6:$Z$3005,W$5)=0,"",SUMIFS(請求記録!$AE$6:$AE$3005,請求記録!$B$6:$B$3005,$A119,請求記録!$Z$6:$Z$3005,W$5))))</f>
        <v/>
      </c>
      <c r="X119" s="19">
        <f>IF($A119="","",IF(COUNTIFS(請求記録!$B$6:$B$3005,$A119,請求記録!$Z$6:$Z$3005,X$5,請求記録!$AF$6:$AF$3005,"保留中")&gt;0,"保留",IF(COUNTIFS(請求記録!$B$6:$B$3005,$A119,請求記録!$Z$6:$Z$3005,X$5)=0,"",SUMIFS(請求記録!$AE$6:$AE$3005,請求記録!$B$6:$B$3005,$A119,請求記録!$Z$6:$Z$3005,X$5))))</f>
        <v/>
      </c>
      <c r="Y119" s="19">
        <f>IF($A119="","",IF(COUNTIFS(請求記録!$B$6:$B$3005,$A119,請求記録!$Z$6:$Z$3005,Y$5,請求記録!$AF$6:$AF$3005,"保留中")&gt;0,"保留",IF(COUNTIFS(請求記録!$B$6:$B$3005,$A119,請求記録!$Z$6:$Z$3005,Y$5)=0,"",SUMIFS(請求記録!$AE$6:$AE$3005,請求記録!$B$6:$B$3005,$A119,請求記録!$Z$6:$Z$3005,Y$5))))</f>
        <v/>
      </c>
      <c r="Z119" s="19">
        <f>IF($A119="","",IF(COUNTIFS(請求記録!$B$6:$B$3005,$A119,請求記録!$Z$6:$Z$3005,Z$5,請求記録!$AF$6:$AF$3005,"保留中")&gt;0,"保留",IF(COUNTIFS(請求記録!$B$6:$B$3005,$A119,請求記録!$Z$6:$Z$3005,Z$5)=0,"",SUMIFS(請求記録!$AE$6:$AE$3005,請求記録!$B$6:$B$3005,$A119,請求記録!$Z$6:$Z$3005,Z$5))))</f>
        <v/>
      </c>
      <c r="AA119" s="19">
        <f>IF($A119="","",IF(COUNTIFS(請求記録!$B$6:$B$3005,$A119,請求記録!$Z$6:$Z$3005,AA$5,請求記録!$AF$6:$AF$3005,"保留中")&gt;0,"保留",IF(COUNTIFS(請求記録!$B$6:$B$3005,$A119,請求記録!$Z$6:$Z$3005,AA$5)=0,"",SUMIFS(請求記録!$AE$6:$AE$3005,請求記録!$B$6:$B$3005,$A119,請求記録!$Z$6:$Z$3005,AA$5))))</f>
        <v/>
      </c>
      <c r="AB119">
        <f>IF(職員マスタ!P119="保留中",職員マスタ!M119,"")</f>
        <v/>
      </c>
    </row>
    <row r="120">
      <c r="A120">
        <f>IF(職員マスタ!A120="","",職員マスタ!A120)</f>
        <v/>
      </c>
      <c r="B120">
        <f>IF($A120="","",職員マスタ!B120)</f>
        <v/>
      </c>
      <c r="C120">
        <f>IF($A120="","",職員マスタ!C120)</f>
        <v/>
      </c>
      <c r="D120" s="19">
        <f>IF($A120="","",IF(COUNTIFS(請求記録!$B$6:$B$3005,$A120,請求記録!$Z$6:$Z$3005,D$5,請求記録!$AF$6:$AF$3005,"保留中")&gt;0,"保留",IF(COUNTIFS(請求記録!$B$6:$B$3005,$A120,請求記録!$Z$6:$Z$3005,D$5)=0,"",SUMIFS(請求記録!$AE$6:$AE$3005,請求記録!$B$6:$B$3005,$A120,請求記録!$Z$6:$Z$3005,D$5))))</f>
        <v/>
      </c>
      <c r="E120" s="19">
        <f>IF($A120="","",IF(COUNTIFS(請求記録!$B$6:$B$3005,$A120,請求記録!$Z$6:$Z$3005,E$5,請求記録!$AF$6:$AF$3005,"保留中")&gt;0,"保留",IF(COUNTIFS(請求記録!$B$6:$B$3005,$A120,請求記録!$Z$6:$Z$3005,E$5)=0,"",SUMIFS(請求記録!$AE$6:$AE$3005,請求記録!$B$6:$B$3005,$A120,請求記録!$Z$6:$Z$3005,E$5))))</f>
        <v/>
      </c>
      <c r="F120" s="19">
        <f>IF($A120="","",IF(COUNTIFS(請求記録!$B$6:$B$3005,$A120,請求記録!$Z$6:$Z$3005,F$5,請求記録!$AF$6:$AF$3005,"保留中")&gt;0,"保留",IF(COUNTIFS(請求記録!$B$6:$B$3005,$A120,請求記録!$Z$6:$Z$3005,F$5)=0,"",SUMIFS(請求記録!$AE$6:$AE$3005,請求記録!$B$6:$B$3005,$A120,請求記録!$Z$6:$Z$3005,F$5))))</f>
        <v/>
      </c>
      <c r="G120" s="19">
        <f>IF($A120="","",IF(COUNTIFS(請求記録!$B$6:$B$3005,$A120,請求記録!$Z$6:$Z$3005,G$5,請求記録!$AF$6:$AF$3005,"保留中")&gt;0,"保留",IF(COUNTIFS(請求記録!$B$6:$B$3005,$A120,請求記録!$Z$6:$Z$3005,G$5)=0,"",SUMIFS(請求記録!$AE$6:$AE$3005,請求記録!$B$6:$B$3005,$A120,請求記録!$Z$6:$Z$3005,G$5))))</f>
        <v/>
      </c>
      <c r="H120" s="19">
        <f>IF($A120="","",IF(COUNTIFS(請求記録!$B$6:$B$3005,$A120,請求記録!$Z$6:$Z$3005,H$5,請求記録!$AF$6:$AF$3005,"保留中")&gt;0,"保留",IF(COUNTIFS(請求記録!$B$6:$B$3005,$A120,請求記録!$Z$6:$Z$3005,H$5)=0,"",SUMIFS(請求記録!$AE$6:$AE$3005,請求記録!$B$6:$B$3005,$A120,請求記録!$Z$6:$Z$3005,H$5))))</f>
        <v/>
      </c>
      <c r="I120" s="19">
        <f>IF($A120="","",IF(COUNTIFS(請求記録!$B$6:$B$3005,$A120,請求記録!$Z$6:$Z$3005,I$5,請求記録!$AF$6:$AF$3005,"保留中")&gt;0,"保留",IF(COUNTIFS(請求記録!$B$6:$B$3005,$A120,請求記録!$Z$6:$Z$3005,I$5)=0,"",SUMIFS(請求記録!$AE$6:$AE$3005,請求記録!$B$6:$B$3005,$A120,請求記録!$Z$6:$Z$3005,I$5))))</f>
        <v/>
      </c>
      <c r="J120" s="19">
        <f>IF($A120="","",IF(COUNTIFS(請求記録!$B$6:$B$3005,$A120,請求記録!$Z$6:$Z$3005,J$5,請求記録!$AF$6:$AF$3005,"保留中")&gt;0,"保留",IF(COUNTIFS(請求記録!$B$6:$B$3005,$A120,請求記録!$Z$6:$Z$3005,J$5)=0,"",SUMIFS(請求記録!$AE$6:$AE$3005,請求記録!$B$6:$B$3005,$A120,請求記録!$Z$6:$Z$3005,J$5))))</f>
        <v/>
      </c>
      <c r="K120" s="19">
        <f>IF($A120="","",IF(COUNTIFS(請求記録!$B$6:$B$3005,$A120,請求記録!$Z$6:$Z$3005,K$5,請求記録!$AF$6:$AF$3005,"保留中")&gt;0,"保留",IF(COUNTIFS(請求記録!$B$6:$B$3005,$A120,請求記録!$Z$6:$Z$3005,K$5)=0,"",SUMIFS(請求記録!$AE$6:$AE$3005,請求記録!$B$6:$B$3005,$A120,請求記録!$Z$6:$Z$3005,K$5))))</f>
        <v/>
      </c>
      <c r="L120" s="19">
        <f>IF($A120="","",IF(COUNTIFS(請求記録!$B$6:$B$3005,$A120,請求記録!$Z$6:$Z$3005,L$5,請求記録!$AF$6:$AF$3005,"保留中")&gt;0,"保留",IF(COUNTIFS(請求記録!$B$6:$B$3005,$A120,請求記録!$Z$6:$Z$3005,L$5)=0,"",SUMIFS(請求記録!$AE$6:$AE$3005,請求記録!$B$6:$B$3005,$A120,請求記録!$Z$6:$Z$3005,L$5))))</f>
        <v/>
      </c>
      <c r="M120" s="19">
        <f>IF($A120="","",IF(COUNTIFS(請求記録!$B$6:$B$3005,$A120,請求記録!$Z$6:$Z$3005,M$5,請求記録!$AF$6:$AF$3005,"保留中")&gt;0,"保留",IF(COUNTIFS(請求記録!$B$6:$B$3005,$A120,請求記録!$Z$6:$Z$3005,M$5)=0,"",SUMIFS(請求記録!$AE$6:$AE$3005,請求記録!$B$6:$B$3005,$A120,請求記録!$Z$6:$Z$3005,M$5))))</f>
        <v/>
      </c>
      <c r="N120" s="19">
        <f>IF($A120="","",IF(COUNTIFS(請求記録!$B$6:$B$3005,$A120,請求記録!$Z$6:$Z$3005,N$5,請求記録!$AF$6:$AF$3005,"保留中")&gt;0,"保留",IF(COUNTIFS(請求記録!$B$6:$B$3005,$A120,請求記録!$Z$6:$Z$3005,N$5)=0,"",SUMIFS(請求記録!$AE$6:$AE$3005,請求記録!$B$6:$B$3005,$A120,請求記録!$Z$6:$Z$3005,N$5))))</f>
        <v/>
      </c>
      <c r="O120" s="19">
        <f>IF($A120="","",IF(COUNTIFS(請求記録!$B$6:$B$3005,$A120,請求記録!$Z$6:$Z$3005,O$5,請求記録!$AF$6:$AF$3005,"保留中")&gt;0,"保留",IF(COUNTIFS(請求記録!$B$6:$B$3005,$A120,請求記録!$Z$6:$Z$3005,O$5)=0,"",SUMIFS(請求記録!$AE$6:$AE$3005,請求記録!$B$6:$B$3005,$A120,請求記録!$Z$6:$Z$3005,O$5))))</f>
        <v/>
      </c>
      <c r="P120" s="19">
        <f>IF($A120="","",IF(COUNTIFS(請求記録!$B$6:$B$3005,$A120,請求記録!$Z$6:$Z$3005,P$5,請求記録!$AF$6:$AF$3005,"保留中")&gt;0,"保留",IF(COUNTIFS(請求記録!$B$6:$B$3005,$A120,請求記録!$Z$6:$Z$3005,P$5)=0,"",SUMIFS(請求記録!$AE$6:$AE$3005,請求記録!$B$6:$B$3005,$A120,請求記録!$Z$6:$Z$3005,P$5))))</f>
        <v/>
      </c>
      <c r="Q120" s="19">
        <f>IF($A120="","",IF(COUNTIFS(請求記録!$B$6:$B$3005,$A120,請求記録!$Z$6:$Z$3005,Q$5,請求記録!$AF$6:$AF$3005,"保留中")&gt;0,"保留",IF(COUNTIFS(請求記録!$B$6:$B$3005,$A120,請求記録!$Z$6:$Z$3005,Q$5)=0,"",SUMIFS(請求記録!$AE$6:$AE$3005,請求記録!$B$6:$B$3005,$A120,請求記録!$Z$6:$Z$3005,Q$5))))</f>
        <v/>
      </c>
      <c r="R120" s="19">
        <f>IF($A120="","",IF(COUNTIFS(請求記録!$B$6:$B$3005,$A120,請求記録!$Z$6:$Z$3005,R$5,請求記録!$AF$6:$AF$3005,"保留中")&gt;0,"保留",IF(COUNTIFS(請求記録!$B$6:$B$3005,$A120,請求記録!$Z$6:$Z$3005,R$5)=0,"",SUMIFS(請求記録!$AE$6:$AE$3005,請求記録!$B$6:$B$3005,$A120,請求記録!$Z$6:$Z$3005,R$5))))</f>
        <v/>
      </c>
      <c r="S120" s="19">
        <f>IF($A120="","",IF(COUNTIFS(請求記録!$B$6:$B$3005,$A120,請求記録!$Z$6:$Z$3005,S$5,請求記録!$AF$6:$AF$3005,"保留中")&gt;0,"保留",IF(COUNTIFS(請求記録!$B$6:$B$3005,$A120,請求記録!$Z$6:$Z$3005,S$5)=0,"",SUMIFS(請求記録!$AE$6:$AE$3005,請求記録!$B$6:$B$3005,$A120,請求記録!$Z$6:$Z$3005,S$5))))</f>
        <v/>
      </c>
      <c r="T120" s="19">
        <f>IF($A120="","",IF(COUNTIFS(請求記録!$B$6:$B$3005,$A120,請求記録!$Z$6:$Z$3005,T$5,請求記録!$AF$6:$AF$3005,"保留中")&gt;0,"保留",IF(COUNTIFS(請求記録!$B$6:$B$3005,$A120,請求記録!$Z$6:$Z$3005,T$5)=0,"",SUMIFS(請求記録!$AE$6:$AE$3005,請求記録!$B$6:$B$3005,$A120,請求記録!$Z$6:$Z$3005,T$5))))</f>
        <v/>
      </c>
      <c r="U120" s="19">
        <f>IF($A120="","",IF(COUNTIFS(請求記録!$B$6:$B$3005,$A120,請求記録!$Z$6:$Z$3005,U$5,請求記録!$AF$6:$AF$3005,"保留中")&gt;0,"保留",IF(COUNTIFS(請求記録!$B$6:$B$3005,$A120,請求記録!$Z$6:$Z$3005,U$5)=0,"",SUMIFS(請求記録!$AE$6:$AE$3005,請求記録!$B$6:$B$3005,$A120,請求記録!$Z$6:$Z$3005,U$5))))</f>
        <v/>
      </c>
      <c r="V120" s="19">
        <f>IF($A120="","",IF(COUNTIFS(請求記録!$B$6:$B$3005,$A120,請求記録!$Z$6:$Z$3005,V$5,請求記録!$AF$6:$AF$3005,"保留中")&gt;0,"保留",IF(COUNTIFS(請求記録!$B$6:$B$3005,$A120,請求記録!$Z$6:$Z$3005,V$5)=0,"",SUMIFS(請求記録!$AE$6:$AE$3005,請求記録!$B$6:$B$3005,$A120,請求記録!$Z$6:$Z$3005,V$5))))</f>
        <v/>
      </c>
      <c r="W120" s="19">
        <f>IF($A120="","",IF(COUNTIFS(請求記録!$B$6:$B$3005,$A120,請求記録!$Z$6:$Z$3005,W$5,請求記録!$AF$6:$AF$3005,"保留中")&gt;0,"保留",IF(COUNTIFS(請求記録!$B$6:$B$3005,$A120,請求記録!$Z$6:$Z$3005,W$5)=0,"",SUMIFS(請求記録!$AE$6:$AE$3005,請求記録!$B$6:$B$3005,$A120,請求記録!$Z$6:$Z$3005,W$5))))</f>
        <v/>
      </c>
      <c r="X120" s="19">
        <f>IF($A120="","",IF(COUNTIFS(請求記録!$B$6:$B$3005,$A120,請求記録!$Z$6:$Z$3005,X$5,請求記録!$AF$6:$AF$3005,"保留中")&gt;0,"保留",IF(COUNTIFS(請求記録!$B$6:$B$3005,$A120,請求記録!$Z$6:$Z$3005,X$5)=0,"",SUMIFS(請求記録!$AE$6:$AE$3005,請求記録!$B$6:$B$3005,$A120,請求記録!$Z$6:$Z$3005,X$5))))</f>
        <v/>
      </c>
      <c r="Y120" s="19">
        <f>IF($A120="","",IF(COUNTIFS(請求記録!$B$6:$B$3005,$A120,請求記録!$Z$6:$Z$3005,Y$5,請求記録!$AF$6:$AF$3005,"保留中")&gt;0,"保留",IF(COUNTIFS(請求記録!$B$6:$B$3005,$A120,請求記録!$Z$6:$Z$3005,Y$5)=0,"",SUMIFS(請求記録!$AE$6:$AE$3005,請求記録!$B$6:$B$3005,$A120,請求記録!$Z$6:$Z$3005,Y$5))))</f>
        <v/>
      </c>
      <c r="Z120" s="19">
        <f>IF($A120="","",IF(COUNTIFS(請求記録!$B$6:$B$3005,$A120,請求記録!$Z$6:$Z$3005,Z$5,請求記録!$AF$6:$AF$3005,"保留中")&gt;0,"保留",IF(COUNTIFS(請求記録!$B$6:$B$3005,$A120,請求記録!$Z$6:$Z$3005,Z$5)=0,"",SUMIFS(請求記録!$AE$6:$AE$3005,請求記録!$B$6:$B$3005,$A120,請求記録!$Z$6:$Z$3005,Z$5))))</f>
        <v/>
      </c>
      <c r="AA120" s="19">
        <f>IF($A120="","",IF(COUNTIFS(請求記録!$B$6:$B$3005,$A120,請求記録!$Z$6:$Z$3005,AA$5,請求記録!$AF$6:$AF$3005,"保留中")&gt;0,"保留",IF(COUNTIFS(請求記録!$B$6:$B$3005,$A120,請求記録!$Z$6:$Z$3005,AA$5)=0,"",SUMIFS(請求記録!$AE$6:$AE$3005,請求記録!$B$6:$B$3005,$A120,請求記録!$Z$6:$Z$3005,AA$5))))</f>
        <v/>
      </c>
      <c r="AB120">
        <f>IF(職員マスタ!P120="保留中",職員マスタ!M120,"")</f>
        <v/>
      </c>
    </row>
    <row r="121">
      <c r="A121">
        <f>IF(職員マスタ!A121="","",職員マスタ!A121)</f>
        <v/>
      </c>
      <c r="B121">
        <f>IF($A121="","",職員マスタ!B121)</f>
        <v/>
      </c>
      <c r="C121">
        <f>IF($A121="","",職員マスタ!C121)</f>
        <v/>
      </c>
      <c r="D121" s="19">
        <f>IF($A121="","",IF(COUNTIFS(請求記録!$B$6:$B$3005,$A121,請求記録!$Z$6:$Z$3005,D$5,請求記録!$AF$6:$AF$3005,"保留中")&gt;0,"保留",IF(COUNTIFS(請求記録!$B$6:$B$3005,$A121,請求記録!$Z$6:$Z$3005,D$5)=0,"",SUMIFS(請求記録!$AE$6:$AE$3005,請求記録!$B$6:$B$3005,$A121,請求記録!$Z$6:$Z$3005,D$5))))</f>
        <v/>
      </c>
      <c r="E121" s="19">
        <f>IF($A121="","",IF(COUNTIFS(請求記録!$B$6:$B$3005,$A121,請求記録!$Z$6:$Z$3005,E$5,請求記録!$AF$6:$AF$3005,"保留中")&gt;0,"保留",IF(COUNTIFS(請求記録!$B$6:$B$3005,$A121,請求記録!$Z$6:$Z$3005,E$5)=0,"",SUMIFS(請求記録!$AE$6:$AE$3005,請求記録!$B$6:$B$3005,$A121,請求記録!$Z$6:$Z$3005,E$5))))</f>
        <v/>
      </c>
      <c r="F121" s="19">
        <f>IF($A121="","",IF(COUNTIFS(請求記録!$B$6:$B$3005,$A121,請求記録!$Z$6:$Z$3005,F$5,請求記録!$AF$6:$AF$3005,"保留中")&gt;0,"保留",IF(COUNTIFS(請求記録!$B$6:$B$3005,$A121,請求記録!$Z$6:$Z$3005,F$5)=0,"",SUMIFS(請求記録!$AE$6:$AE$3005,請求記録!$B$6:$B$3005,$A121,請求記録!$Z$6:$Z$3005,F$5))))</f>
        <v/>
      </c>
      <c r="G121" s="19">
        <f>IF($A121="","",IF(COUNTIFS(請求記録!$B$6:$B$3005,$A121,請求記録!$Z$6:$Z$3005,G$5,請求記録!$AF$6:$AF$3005,"保留中")&gt;0,"保留",IF(COUNTIFS(請求記録!$B$6:$B$3005,$A121,請求記録!$Z$6:$Z$3005,G$5)=0,"",SUMIFS(請求記録!$AE$6:$AE$3005,請求記録!$B$6:$B$3005,$A121,請求記録!$Z$6:$Z$3005,G$5))))</f>
        <v/>
      </c>
      <c r="H121" s="19">
        <f>IF($A121="","",IF(COUNTIFS(請求記録!$B$6:$B$3005,$A121,請求記録!$Z$6:$Z$3005,H$5,請求記録!$AF$6:$AF$3005,"保留中")&gt;0,"保留",IF(COUNTIFS(請求記録!$B$6:$B$3005,$A121,請求記録!$Z$6:$Z$3005,H$5)=0,"",SUMIFS(請求記録!$AE$6:$AE$3005,請求記録!$B$6:$B$3005,$A121,請求記録!$Z$6:$Z$3005,H$5))))</f>
        <v/>
      </c>
      <c r="I121" s="19">
        <f>IF($A121="","",IF(COUNTIFS(請求記録!$B$6:$B$3005,$A121,請求記録!$Z$6:$Z$3005,I$5,請求記録!$AF$6:$AF$3005,"保留中")&gt;0,"保留",IF(COUNTIFS(請求記録!$B$6:$B$3005,$A121,請求記録!$Z$6:$Z$3005,I$5)=0,"",SUMIFS(請求記録!$AE$6:$AE$3005,請求記録!$B$6:$B$3005,$A121,請求記録!$Z$6:$Z$3005,I$5))))</f>
        <v/>
      </c>
      <c r="J121" s="19">
        <f>IF($A121="","",IF(COUNTIFS(請求記録!$B$6:$B$3005,$A121,請求記録!$Z$6:$Z$3005,J$5,請求記録!$AF$6:$AF$3005,"保留中")&gt;0,"保留",IF(COUNTIFS(請求記録!$B$6:$B$3005,$A121,請求記録!$Z$6:$Z$3005,J$5)=0,"",SUMIFS(請求記録!$AE$6:$AE$3005,請求記録!$B$6:$B$3005,$A121,請求記録!$Z$6:$Z$3005,J$5))))</f>
        <v/>
      </c>
      <c r="K121" s="19">
        <f>IF($A121="","",IF(COUNTIFS(請求記録!$B$6:$B$3005,$A121,請求記録!$Z$6:$Z$3005,K$5,請求記録!$AF$6:$AF$3005,"保留中")&gt;0,"保留",IF(COUNTIFS(請求記録!$B$6:$B$3005,$A121,請求記録!$Z$6:$Z$3005,K$5)=0,"",SUMIFS(請求記録!$AE$6:$AE$3005,請求記録!$B$6:$B$3005,$A121,請求記録!$Z$6:$Z$3005,K$5))))</f>
        <v/>
      </c>
      <c r="L121" s="19">
        <f>IF($A121="","",IF(COUNTIFS(請求記録!$B$6:$B$3005,$A121,請求記録!$Z$6:$Z$3005,L$5,請求記録!$AF$6:$AF$3005,"保留中")&gt;0,"保留",IF(COUNTIFS(請求記録!$B$6:$B$3005,$A121,請求記録!$Z$6:$Z$3005,L$5)=0,"",SUMIFS(請求記録!$AE$6:$AE$3005,請求記録!$B$6:$B$3005,$A121,請求記録!$Z$6:$Z$3005,L$5))))</f>
        <v/>
      </c>
      <c r="M121" s="19">
        <f>IF($A121="","",IF(COUNTIFS(請求記録!$B$6:$B$3005,$A121,請求記録!$Z$6:$Z$3005,M$5,請求記録!$AF$6:$AF$3005,"保留中")&gt;0,"保留",IF(COUNTIFS(請求記録!$B$6:$B$3005,$A121,請求記録!$Z$6:$Z$3005,M$5)=0,"",SUMIFS(請求記録!$AE$6:$AE$3005,請求記録!$B$6:$B$3005,$A121,請求記録!$Z$6:$Z$3005,M$5))))</f>
        <v/>
      </c>
      <c r="N121" s="19">
        <f>IF($A121="","",IF(COUNTIFS(請求記録!$B$6:$B$3005,$A121,請求記録!$Z$6:$Z$3005,N$5,請求記録!$AF$6:$AF$3005,"保留中")&gt;0,"保留",IF(COUNTIFS(請求記録!$B$6:$B$3005,$A121,請求記録!$Z$6:$Z$3005,N$5)=0,"",SUMIFS(請求記録!$AE$6:$AE$3005,請求記録!$B$6:$B$3005,$A121,請求記録!$Z$6:$Z$3005,N$5))))</f>
        <v/>
      </c>
      <c r="O121" s="19">
        <f>IF($A121="","",IF(COUNTIFS(請求記録!$B$6:$B$3005,$A121,請求記録!$Z$6:$Z$3005,O$5,請求記録!$AF$6:$AF$3005,"保留中")&gt;0,"保留",IF(COUNTIFS(請求記録!$B$6:$B$3005,$A121,請求記録!$Z$6:$Z$3005,O$5)=0,"",SUMIFS(請求記録!$AE$6:$AE$3005,請求記録!$B$6:$B$3005,$A121,請求記録!$Z$6:$Z$3005,O$5))))</f>
        <v/>
      </c>
      <c r="P121" s="19">
        <f>IF($A121="","",IF(COUNTIFS(請求記録!$B$6:$B$3005,$A121,請求記録!$Z$6:$Z$3005,P$5,請求記録!$AF$6:$AF$3005,"保留中")&gt;0,"保留",IF(COUNTIFS(請求記録!$B$6:$B$3005,$A121,請求記録!$Z$6:$Z$3005,P$5)=0,"",SUMIFS(請求記録!$AE$6:$AE$3005,請求記録!$B$6:$B$3005,$A121,請求記録!$Z$6:$Z$3005,P$5))))</f>
        <v/>
      </c>
      <c r="Q121" s="19">
        <f>IF($A121="","",IF(COUNTIFS(請求記録!$B$6:$B$3005,$A121,請求記録!$Z$6:$Z$3005,Q$5,請求記録!$AF$6:$AF$3005,"保留中")&gt;0,"保留",IF(COUNTIFS(請求記録!$B$6:$B$3005,$A121,請求記録!$Z$6:$Z$3005,Q$5)=0,"",SUMIFS(請求記録!$AE$6:$AE$3005,請求記録!$B$6:$B$3005,$A121,請求記録!$Z$6:$Z$3005,Q$5))))</f>
        <v/>
      </c>
      <c r="R121" s="19">
        <f>IF($A121="","",IF(COUNTIFS(請求記録!$B$6:$B$3005,$A121,請求記録!$Z$6:$Z$3005,R$5,請求記録!$AF$6:$AF$3005,"保留中")&gt;0,"保留",IF(COUNTIFS(請求記録!$B$6:$B$3005,$A121,請求記録!$Z$6:$Z$3005,R$5)=0,"",SUMIFS(請求記録!$AE$6:$AE$3005,請求記録!$B$6:$B$3005,$A121,請求記録!$Z$6:$Z$3005,R$5))))</f>
        <v/>
      </c>
      <c r="S121" s="19">
        <f>IF($A121="","",IF(COUNTIFS(請求記録!$B$6:$B$3005,$A121,請求記録!$Z$6:$Z$3005,S$5,請求記録!$AF$6:$AF$3005,"保留中")&gt;0,"保留",IF(COUNTIFS(請求記録!$B$6:$B$3005,$A121,請求記録!$Z$6:$Z$3005,S$5)=0,"",SUMIFS(請求記録!$AE$6:$AE$3005,請求記録!$B$6:$B$3005,$A121,請求記録!$Z$6:$Z$3005,S$5))))</f>
        <v/>
      </c>
      <c r="T121" s="19">
        <f>IF($A121="","",IF(COUNTIFS(請求記録!$B$6:$B$3005,$A121,請求記録!$Z$6:$Z$3005,T$5,請求記録!$AF$6:$AF$3005,"保留中")&gt;0,"保留",IF(COUNTIFS(請求記録!$B$6:$B$3005,$A121,請求記録!$Z$6:$Z$3005,T$5)=0,"",SUMIFS(請求記録!$AE$6:$AE$3005,請求記録!$B$6:$B$3005,$A121,請求記録!$Z$6:$Z$3005,T$5))))</f>
        <v/>
      </c>
      <c r="U121" s="19">
        <f>IF($A121="","",IF(COUNTIFS(請求記録!$B$6:$B$3005,$A121,請求記録!$Z$6:$Z$3005,U$5,請求記録!$AF$6:$AF$3005,"保留中")&gt;0,"保留",IF(COUNTIFS(請求記録!$B$6:$B$3005,$A121,請求記録!$Z$6:$Z$3005,U$5)=0,"",SUMIFS(請求記録!$AE$6:$AE$3005,請求記録!$B$6:$B$3005,$A121,請求記録!$Z$6:$Z$3005,U$5))))</f>
        <v/>
      </c>
      <c r="V121" s="19">
        <f>IF($A121="","",IF(COUNTIFS(請求記録!$B$6:$B$3005,$A121,請求記録!$Z$6:$Z$3005,V$5,請求記録!$AF$6:$AF$3005,"保留中")&gt;0,"保留",IF(COUNTIFS(請求記録!$B$6:$B$3005,$A121,請求記録!$Z$6:$Z$3005,V$5)=0,"",SUMIFS(請求記録!$AE$6:$AE$3005,請求記録!$B$6:$B$3005,$A121,請求記録!$Z$6:$Z$3005,V$5))))</f>
        <v/>
      </c>
      <c r="W121" s="19">
        <f>IF($A121="","",IF(COUNTIFS(請求記録!$B$6:$B$3005,$A121,請求記録!$Z$6:$Z$3005,W$5,請求記録!$AF$6:$AF$3005,"保留中")&gt;0,"保留",IF(COUNTIFS(請求記録!$B$6:$B$3005,$A121,請求記録!$Z$6:$Z$3005,W$5)=0,"",SUMIFS(請求記録!$AE$6:$AE$3005,請求記録!$B$6:$B$3005,$A121,請求記録!$Z$6:$Z$3005,W$5))))</f>
        <v/>
      </c>
      <c r="X121" s="19">
        <f>IF($A121="","",IF(COUNTIFS(請求記録!$B$6:$B$3005,$A121,請求記録!$Z$6:$Z$3005,X$5,請求記録!$AF$6:$AF$3005,"保留中")&gt;0,"保留",IF(COUNTIFS(請求記録!$B$6:$B$3005,$A121,請求記録!$Z$6:$Z$3005,X$5)=0,"",SUMIFS(請求記録!$AE$6:$AE$3005,請求記録!$B$6:$B$3005,$A121,請求記録!$Z$6:$Z$3005,X$5))))</f>
        <v/>
      </c>
      <c r="Y121" s="19">
        <f>IF($A121="","",IF(COUNTIFS(請求記録!$B$6:$B$3005,$A121,請求記録!$Z$6:$Z$3005,Y$5,請求記録!$AF$6:$AF$3005,"保留中")&gt;0,"保留",IF(COUNTIFS(請求記録!$B$6:$B$3005,$A121,請求記録!$Z$6:$Z$3005,Y$5)=0,"",SUMIFS(請求記録!$AE$6:$AE$3005,請求記録!$B$6:$B$3005,$A121,請求記録!$Z$6:$Z$3005,Y$5))))</f>
        <v/>
      </c>
      <c r="Z121" s="19">
        <f>IF($A121="","",IF(COUNTIFS(請求記録!$B$6:$B$3005,$A121,請求記録!$Z$6:$Z$3005,Z$5,請求記録!$AF$6:$AF$3005,"保留中")&gt;0,"保留",IF(COUNTIFS(請求記録!$B$6:$B$3005,$A121,請求記録!$Z$6:$Z$3005,Z$5)=0,"",SUMIFS(請求記録!$AE$6:$AE$3005,請求記録!$B$6:$B$3005,$A121,請求記録!$Z$6:$Z$3005,Z$5))))</f>
        <v/>
      </c>
      <c r="AA121" s="19">
        <f>IF($A121="","",IF(COUNTIFS(請求記録!$B$6:$B$3005,$A121,請求記録!$Z$6:$Z$3005,AA$5,請求記録!$AF$6:$AF$3005,"保留中")&gt;0,"保留",IF(COUNTIFS(請求記録!$B$6:$B$3005,$A121,請求記録!$Z$6:$Z$3005,AA$5)=0,"",SUMIFS(請求記録!$AE$6:$AE$3005,請求記録!$B$6:$B$3005,$A121,請求記録!$Z$6:$Z$3005,AA$5))))</f>
        <v/>
      </c>
      <c r="AB121">
        <f>IF(職員マスタ!P121="保留中",職員マスタ!M121,"")</f>
        <v/>
      </c>
    </row>
    <row r="122">
      <c r="A122">
        <f>IF(職員マスタ!A122="","",職員マスタ!A122)</f>
        <v/>
      </c>
      <c r="B122">
        <f>IF($A122="","",職員マスタ!B122)</f>
        <v/>
      </c>
      <c r="C122">
        <f>IF($A122="","",職員マスタ!C122)</f>
        <v/>
      </c>
      <c r="D122" s="19">
        <f>IF($A122="","",IF(COUNTIFS(請求記録!$B$6:$B$3005,$A122,請求記録!$Z$6:$Z$3005,D$5,請求記録!$AF$6:$AF$3005,"保留中")&gt;0,"保留",IF(COUNTIFS(請求記録!$B$6:$B$3005,$A122,請求記録!$Z$6:$Z$3005,D$5)=0,"",SUMIFS(請求記録!$AE$6:$AE$3005,請求記録!$B$6:$B$3005,$A122,請求記録!$Z$6:$Z$3005,D$5))))</f>
        <v/>
      </c>
      <c r="E122" s="19">
        <f>IF($A122="","",IF(COUNTIFS(請求記録!$B$6:$B$3005,$A122,請求記録!$Z$6:$Z$3005,E$5,請求記録!$AF$6:$AF$3005,"保留中")&gt;0,"保留",IF(COUNTIFS(請求記録!$B$6:$B$3005,$A122,請求記録!$Z$6:$Z$3005,E$5)=0,"",SUMIFS(請求記録!$AE$6:$AE$3005,請求記録!$B$6:$B$3005,$A122,請求記録!$Z$6:$Z$3005,E$5))))</f>
        <v/>
      </c>
      <c r="F122" s="19">
        <f>IF($A122="","",IF(COUNTIFS(請求記録!$B$6:$B$3005,$A122,請求記録!$Z$6:$Z$3005,F$5,請求記録!$AF$6:$AF$3005,"保留中")&gt;0,"保留",IF(COUNTIFS(請求記録!$B$6:$B$3005,$A122,請求記録!$Z$6:$Z$3005,F$5)=0,"",SUMIFS(請求記録!$AE$6:$AE$3005,請求記録!$B$6:$B$3005,$A122,請求記録!$Z$6:$Z$3005,F$5))))</f>
        <v/>
      </c>
      <c r="G122" s="19">
        <f>IF($A122="","",IF(COUNTIFS(請求記録!$B$6:$B$3005,$A122,請求記録!$Z$6:$Z$3005,G$5,請求記録!$AF$6:$AF$3005,"保留中")&gt;0,"保留",IF(COUNTIFS(請求記録!$B$6:$B$3005,$A122,請求記録!$Z$6:$Z$3005,G$5)=0,"",SUMIFS(請求記録!$AE$6:$AE$3005,請求記録!$B$6:$B$3005,$A122,請求記録!$Z$6:$Z$3005,G$5))))</f>
        <v/>
      </c>
      <c r="H122" s="19">
        <f>IF($A122="","",IF(COUNTIFS(請求記録!$B$6:$B$3005,$A122,請求記録!$Z$6:$Z$3005,H$5,請求記録!$AF$6:$AF$3005,"保留中")&gt;0,"保留",IF(COUNTIFS(請求記録!$B$6:$B$3005,$A122,請求記録!$Z$6:$Z$3005,H$5)=0,"",SUMIFS(請求記録!$AE$6:$AE$3005,請求記録!$B$6:$B$3005,$A122,請求記録!$Z$6:$Z$3005,H$5))))</f>
        <v/>
      </c>
      <c r="I122" s="19">
        <f>IF($A122="","",IF(COUNTIFS(請求記録!$B$6:$B$3005,$A122,請求記録!$Z$6:$Z$3005,I$5,請求記録!$AF$6:$AF$3005,"保留中")&gt;0,"保留",IF(COUNTIFS(請求記録!$B$6:$B$3005,$A122,請求記録!$Z$6:$Z$3005,I$5)=0,"",SUMIFS(請求記録!$AE$6:$AE$3005,請求記録!$B$6:$B$3005,$A122,請求記録!$Z$6:$Z$3005,I$5))))</f>
        <v/>
      </c>
      <c r="J122" s="19">
        <f>IF($A122="","",IF(COUNTIFS(請求記録!$B$6:$B$3005,$A122,請求記録!$Z$6:$Z$3005,J$5,請求記録!$AF$6:$AF$3005,"保留中")&gt;0,"保留",IF(COUNTIFS(請求記録!$B$6:$B$3005,$A122,請求記録!$Z$6:$Z$3005,J$5)=0,"",SUMIFS(請求記録!$AE$6:$AE$3005,請求記録!$B$6:$B$3005,$A122,請求記録!$Z$6:$Z$3005,J$5))))</f>
        <v/>
      </c>
      <c r="K122" s="19">
        <f>IF($A122="","",IF(COUNTIFS(請求記録!$B$6:$B$3005,$A122,請求記録!$Z$6:$Z$3005,K$5,請求記録!$AF$6:$AF$3005,"保留中")&gt;0,"保留",IF(COUNTIFS(請求記録!$B$6:$B$3005,$A122,請求記録!$Z$6:$Z$3005,K$5)=0,"",SUMIFS(請求記録!$AE$6:$AE$3005,請求記録!$B$6:$B$3005,$A122,請求記録!$Z$6:$Z$3005,K$5))))</f>
        <v/>
      </c>
      <c r="L122" s="19">
        <f>IF($A122="","",IF(COUNTIFS(請求記録!$B$6:$B$3005,$A122,請求記録!$Z$6:$Z$3005,L$5,請求記録!$AF$6:$AF$3005,"保留中")&gt;0,"保留",IF(COUNTIFS(請求記録!$B$6:$B$3005,$A122,請求記録!$Z$6:$Z$3005,L$5)=0,"",SUMIFS(請求記録!$AE$6:$AE$3005,請求記録!$B$6:$B$3005,$A122,請求記録!$Z$6:$Z$3005,L$5))))</f>
        <v/>
      </c>
      <c r="M122" s="19">
        <f>IF($A122="","",IF(COUNTIFS(請求記録!$B$6:$B$3005,$A122,請求記録!$Z$6:$Z$3005,M$5,請求記録!$AF$6:$AF$3005,"保留中")&gt;0,"保留",IF(COUNTIFS(請求記録!$B$6:$B$3005,$A122,請求記録!$Z$6:$Z$3005,M$5)=0,"",SUMIFS(請求記録!$AE$6:$AE$3005,請求記録!$B$6:$B$3005,$A122,請求記録!$Z$6:$Z$3005,M$5))))</f>
        <v/>
      </c>
      <c r="N122" s="19">
        <f>IF($A122="","",IF(COUNTIFS(請求記録!$B$6:$B$3005,$A122,請求記録!$Z$6:$Z$3005,N$5,請求記録!$AF$6:$AF$3005,"保留中")&gt;0,"保留",IF(COUNTIFS(請求記録!$B$6:$B$3005,$A122,請求記録!$Z$6:$Z$3005,N$5)=0,"",SUMIFS(請求記録!$AE$6:$AE$3005,請求記録!$B$6:$B$3005,$A122,請求記録!$Z$6:$Z$3005,N$5))))</f>
        <v/>
      </c>
      <c r="O122" s="19">
        <f>IF($A122="","",IF(COUNTIFS(請求記録!$B$6:$B$3005,$A122,請求記録!$Z$6:$Z$3005,O$5,請求記録!$AF$6:$AF$3005,"保留中")&gt;0,"保留",IF(COUNTIFS(請求記録!$B$6:$B$3005,$A122,請求記録!$Z$6:$Z$3005,O$5)=0,"",SUMIFS(請求記録!$AE$6:$AE$3005,請求記録!$B$6:$B$3005,$A122,請求記録!$Z$6:$Z$3005,O$5))))</f>
        <v/>
      </c>
      <c r="P122" s="19">
        <f>IF($A122="","",IF(COUNTIFS(請求記録!$B$6:$B$3005,$A122,請求記録!$Z$6:$Z$3005,P$5,請求記録!$AF$6:$AF$3005,"保留中")&gt;0,"保留",IF(COUNTIFS(請求記録!$B$6:$B$3005,$A122,請求記録!$Z$6:$Z$3005,P$5)=0,"",SUMIFS(請求記録!$AE$6:$AE$3005,請求記録!$B$6:$B$3005,$A122,請求記録!$Z$6:$Z$3005,P$5))))</f>
        <v/>
      </c>
      <c r="Q122" s="19">
        <f>IF($A122="","",IF(COUNTIFS(請求記録!$B$6:$B$3005,$A122,請求記録!$Z$6:$Z$3005,Q$5,請求記録!$AF$6:$AF$3005,"保留中")&gt;0,"保留",IF(COUNTIFS(請求記録!$B$6:$B$3005,$A122,請求記録!$Z$6:$Z$3005,Q$5)=0,"",SUMIFS(請求記録!$AE$6:$AE$3005,請求記録!$B$6:$B$3005,$A122,請求記録!$Z$6:$Z$3005,Q$5))))</f>
        <v/>
      </c>
      <c r="R122" s="19">
        <f>IF($A122="","",IF(COUNTIFS(請求記録!$B$6:$B$3005,$A122,請求記録!$Z$6:$Z$3005,R$5,請求記録!$AF$6:$AF$3005,"保留中")&gt;0,"保留",IF(COUNTIFS(請求記録!$B$6:$B$3005,$A122,請求記録!$Z$6:$Z$3005,R$5)=0,"",SUMIFS(請求記録!$AE$6:$AE$3005,請求記録!$B$6:$B$3005,$A122,請求記録!$Z$6:$Z$3005,R$5))))</f>
        <v/>
      </c>
      <c r="S122" s="19">
        <f>IF($A122="","",IF(COUNTIFS(請求記録!$B$6:$B$3005,$A122,請求記録!$Z$6:$Z$3005,S$5,請求記録!$AF$6:$AF$3005,"保留中")&gt;0,"保留",IF(COUNTIFS(請求記録!$B$6:$B$3005,$A122,請求記録!$Z$6:$Z$3005,S$5)=0,"",SUMIFS(請求記録!$AE$6:$AE$3005,請求記録!$B$6:$B$3005,$A122,請求記録!$Z$6:$Z$3005,S$5))))</f>
        <v/>
      </c>
      <c r="T122" s="19">
        <f>IF($A122="","",IF(COUNTIFS(請求記録!$B$6:$B$3005,$A122,請求記録!$Z$6:$Z$3005,T$5,請求記録!$AF$6:$AF$3005,"保留中")&gt;0,"保留",IF(COUNTIFS(請求記録!$B$6:$B$3005,$A122,請求記録!$Z$6:$Z$3005,T$5)=0,"",SUMIFS(請求記録!$AE$6:$AE$3005,請求記録!$B$6:$B$3005,$A122,請求記録!$Z$6:$Z$3005,T$5))))</f>
        <v/>
      </c>
      <c r="U122" s="19">
        <f>IF($A122="","",IF(COUNTIFS(請求記録!$B$6:$B$3005,$A122,請求記録!$Z$6:$Z$3005,U$5,請求記録!$AF$6:$AF$3005,"保留中")&gt;0,"保留",IF(COUNTIFS(請求記録!$B$6:$B$3005,$A122,請求記録!$Z$6:$Z$3005,U$5)=0,"",SUMIFS(請求記録!$AE$6:$AE$3005,請求記録!$B$6:$B$3005,$A122,請求記録!$Z$6:$Z$3005,U$5))))</f>
        <v/>
      </c>
      <c r="V122" s="19">
        <f>IF($A122="","",IF(COUNTIFS(請求記録!$B$6:$B$3005,$A122,請求記録!$Z$6:$Z$3005,V$5,請求記録!$AF$6:$AF$3005,"保留中")&gt;0,"保留",IF(COUNTIFS(請求記録!$B$6:$B$3005,$A122,請求記録!$Z$6:$Z$3005,V$5)=0,"",SUMIFS(請求記録!$AE$6:$AE$3005,請求記録!$B$6:$B$3005,$A122,請求記録!$Z$6:$Z$3005,V$5))))</f>
        <v/>
      </c>
      <c r="W122" s="19">
        <f>IF($A122="","",IF(COUNTIFS(請求記録!$B$6:$B$3005,$A122,請求記録!$Z$6:$Z$3005,W$5,請求記録!$AF$6:$AF$3005,"保留中")&gt;0,"保留",IF(COUNTIFS(請求記録!$B$6:$B$3005,$A122,請求記録!$Z$6:$Z$3005,W$5)=0,"",SUMIFS(請求記録!$AE$6:$AE$3005,請求記録!$B$6:$B$3005,$A122,請求記録!$Z$6:$Z$3005,W$5))))</f>
        <v/>
      </c>
      <c r="X122" s="19">
        <f>IF($A122="","",IF(COUNTIFS(請求記録!$B$6:$B$3005,$A122,請求記録!$Z$6:$Z$3005,X$5,請求記録!$AF$6:$AF$3005,"保留中")&gt;0,"保留",IF(COUNTIFS(請求記録!$B$6:$B$3005,$A122,請求記録!$Z$6:$Z$3005,X$5)=0,"",SUMIFS(請求記録!$AE$6:$AE$3005,請求記録!$B$6:$B$3005,$A122,請求記録!$Z$6:$Z$3005,X$5))))</f>
        <v/>
      </c>
      <c r="Y122" s="19">
        <f>IF($A122="","",IF(COUNTIFS(請求記録!$B$6:$B$3005,$A122,請求記録!$Z$6:$Z$3005,Y$5,請求記録!$AF$6:$AF$3005,"保留中")&gt;0,"保留",IF(COUNTIFS(請求記録!$B$6:$B$3005,$A122,請求記録!$Z$6:$Z$3005,Y$5)=0,"",SUMIFS(請求記録!$AE$6:$AE$3005,請求記録!$B$6:$B$3005,$A122,請求記録!$Z$6:$Z$3005,Y$5))))</f>
        <v/>
      </c>
      <c r="Z122" s="19">
        <f>IF($A122="","",IF(COUNTIFS(請求記録!$B$6:$B$3005,$A122,請求記録!$Z$6:$Z$3005,Z$5,請求記録!$AF$6:$AF$3005,"保留中")&gt;0,"保留",IF(COUNTIFS(請求記録!$B$6:$B$3005,$A122,請求記録!$Z$6:$Z$3005,Z$5)=0,"",SUMIFS(請求記録!$AE$6:$AE$3005,請求記録!$B$6:$B$3005,$A122,請求記録!$Z$6:$Z$3005,Z$5))))</f>
        <v/>
      </c>
      <c r="AA122" s="19">
        <f>IF($A122="","",IF(COUNTIFS(請求記録!$B$6:$B$3005,$A122,請求記録!$Z$6:$Z$3005,AA$5,請求記録!$AF$6:$AF$3005,"保留中")&gt;0,"保留",IF(COUNTIFS(請求記録!$B$6:$B$3005,$A122,請求記録!$Z$6:$Z$3005,AA$5)=0,"",SUMIFS(請求記録!$AE$6:$AE$3005,請求記録!$B$6:$B$3005,$A122,請求記録!$Z$6:$Z$3005,AA$5))))</f>
        <v/>
      </c>
      <c r="AB122">
        <f>IF(職員マスタ!P122="保留中",職員マスタ!M122,"")</f>
        <v/>
      </c>
    </row>
    <row r="123">
      <c r="A123">
        <f>IF(職員マスタ!A123="","",職員マスタ!A123)</f>
        <v/>
      </c>
      <c r="B123">
        <f>IF($A123="","",職員マスタ!B123)</f>
        <v/>
      </c>
      <c r="C123">
        <f>IF($A123="","",職員マスタ!C123)</f>
        <v/>
      </c>
      <c r="D123" s="19">
        <f>IF($A123="","",IF(COUNTIFS(請求記録!$B$6:$B$3005,$A123,請求記録!$Z$6:$Z$3005,D$5,請求記録!$AF$6:$AF$3005,"保留中")&gt;0,"保留",IF(COUNTIFS(請求記録!$B$6:$B$3005,$A123,請求記録!$Z$6:$Z$3005,D$5)=0,"",SUMIFS(請求記録!$AE$6:$AE$3005,請求記録!$B$6:$B$3005,$A123,請求記録!$Z$6:$Z$3005,D$5))))</f>
        <v/>
      </c>
      <c r="E123" s="19">
        <f>IF($A123="","",IF(COUNTIFS(請求記録!$B$6:$B$3005,$A123,請求記録!$Z$6:$Z$3005,E$5,請求記録!$AF$6:$AF$3005,"保留中")&gt;0,"保留",IF(COUNTIFS(請求記録!$B$6:$B$3005,$A123,請求記録!$Z$6:$Z$3005,E$5)=0,"",SUMIFS(請求記録!$AE$6:$AE$3005,請求記録!$B$6:$B$3005,$A123,請求記録!$Z$6:$Z$3005,E$5))))</f>
        <v/>
      </c>
      <c r="F123" s="19">
        <f>IF($A123="","",IF(COUNTIFS(請求記録!$B$6:$B$3005,$A123,請求記録!$Z$6:$Z$3005,F$5,請求記録!$AF$6:$AF$3005,"保留中")&gt;0,"保留",IF(COUNTIFS(請求記録!$B$6:$B$3005,$A123,請求記録!$Z$6:$Z$3005,F$5)=0,"",SUMIFS(請求記録!$AE$6:$AE$3005,請求記録!$B$6:$B$3005,$A123,請求記録!$Z$6:$Z$3005,F$5))))</f>
        <v/>
      </c>
      <c r="G123" s="19">
        <f>IF($A123="","",IF(COUNTIFS(請求記録!$B$6:$B$3005,$A123,請求記録!$Z$6:$Z$3005,G$5,請求記録!$AF$6:$AF$3005,"保留中")&gt;0,"保留",IF(COUNTIFS(請求記録!$B$6:$B$3005,$A123,請求記録!$Z$6:$Z$3005,G$5)=0,"",SUMIFS(請求記録!$AE$6:$AE$3005,請求記録!$B$6:$B$3005,$A123,請求記録!$Z$6:$Z$3005,G$5))))</f>
        <v/>
      </c>
      <c r="H123" s="19">
        <f>IF($A123="","",IF(COUNTIFS(請求記録!$B$6:$B$3005,$A123,請求記録!$Z$6:$Z$3005,H$5,請求記録!$AF$6:$AF$3005,"保留中")&gt;0,"保留",IF(COUNTIFS(請求記録!$B$6:$B$3005,$A123,請求記録!$Z$6:$Z$3005,H$5)=0,"",SUMIFS(請求記録!$AE$6:$AE$3005,請求記録!$B$6:$B$3005,$A123,請求記録!$Z$6:$Z$3005,H$5))))</f>
        <v/>
      </c>
      <c r="I123" s="19">
        <f>IF($A123="","",IF(COUNTIFS(請求記録!$B$6:$B$3005,$A123,請求記録!$Z$6:$Z$3005,I$5,請求記録!$AF$6:$AF$3005,"保留中")&gt;0,"保留",IF(COUNTIFS(請求記録!$B$6:$B$3005,$A123,請求記録!$Z$6:$Z$3005,I$5)=0,"",SUMIFS(請求記録!$AE$6:$AE$3005,請求記録!$B$6:$B$3005,$A123,請求記録!$Z$6:$Z$3005,I$5))))</f>
        <v/>
      </c>
      <c r="J123" s="19">
        <f>IF($A123="","",IF(COUNTIFS(請求記録!$B$6:$B$3005,$A123,請求記録!$Z$6:$Z$3005,J$5,請求記録!$AF$6:$AF$3005,"保留中")&gt;0,"保留",IF(COUNTIFS(請求記録!$B$6:$B$3005,$A123,請求記録!$Z$6:$Z$3005,J$5)=0,"",SUMIFS(請求記録!$AE$6:$AE$3005,請求記録!$B$6:$B$3005,$A123,請求記録!$Z$6:$Z$3005,J$5))))</f>
        <v/>
      </c>
      <c r="K123" s="19">
        <f>IF($A123="","",IF(COUNTIFS(請求記録!$B$6:$B$3005,$A123,請求記録!$Z$6:$Z$3005,K$5,請求記録!$AF$6:$AF$3005,"保留中")&gt;0,"保留",IF(COUNTIFS(請求記録!$B$6:$B$3005,$A123,請求記録!$Z$6:$Z$3005,K$5)=0,"",SUMIFS(請求記録!$AE$6:$AE$3005,請求記録!$B$6:$B$3005,$A123,請求記録!$Z$6:$Z$3005,K$5))))</f>
        <v/>
      </c>
      <c r="L123" s="19">
        <f>IF($A123="","",IF(COUNTIFS(請求記録!$B$6:$B$3005,$A123,請求記録!$Z$6:$Z$3005,L$5,請求記録!$AF$6:$AF$3005,"保留中")&gt;0,"保留",IF(COUNTIFS(請求記録!$B$6:$B$3005,$A123,請求記録!$Z$6:$Z$3005,L$5)=0,"",SUMIFS(請求記録!$AE$6:$AE$3005,請求記録!$B$6:$B$3005,$A123,請求記録!$Z$6:$Z$3005,L$5))))</f>
        <v/>
      </c>
      <c r="M123" s="19">
        <f>IF($A123="","",IF(COUNTIFS(請求記録!$B$6:$B$3005,$A123,請求記録!$Z$6:$Z$3005,M$5,請求記録!$AF$6:$AF$3005,"保留中")&gt;0,"保留",IF(COUNTIFS(請求記録!$B$6:$B$3005,$A123,請求記録!$Z$6:$Z$3005,M$5)=0,"",SUMIFS(請求記録!$AE$6:$AE$3005,請求記録!$B$6:$B$3005,$A123,請求記録!$Z$6:$Z$3005,M$5))))</f>
        <v/>
      </c>
      <c r="N123" s="19">
        <f>IF($A123="","",IF(COUNTIFS(請求記録!$B$6:$B$3005,$A123,請求記録!$Z$6:$Z$3005,N$5,請求記録!$AF$6:$AF$3005,"保留中")&gt;0,"保留",IF(COUNTIFS(請求記録!$B$6:$B$3005,$A123,請求記録!$Z$6:$Z$3005,N$5)=0,"",SUMIFS(請求記録!$AE$6:$AE$3005,請求記録!$B$6:$B$3005,$A123,請求記録!$Z$6:$Z$3005,N$5))))</f>
        <v/>
      </c>
      <c r="O123" s="19">
        <f>IF($A123="","",IF(COUNTIFS(請求記録!$B$6:$B$3005,$A123,請求記録!$Z$6:$Z$3005,O$5,請求記録!$AF$6:$AF$3005,"保留中")&gt;0,"保留",IF(COUNTIFS(請求記録!$B$6:$B$3005,$A123,請求記録!$Z$6:$Z$3005,O$5)=0,"",SUMIFS(請求記録!$AE$6:$AE$3005,請求記録!$B$6:$B$3005,$A123,請求記録!$Z$6:$Z$3005,O$5))))</f>
        <v/>
      </c>
      <c r="P123" s="19">
        <f>IF($A123="","",IF(COUNTIFS(請求記録!$B$6:$B$3005,$A123,請求記録!$Z$6:$Z$3005,P$5,請求記録!$AF$6:$AF$3005,"保留中")&gt;0,"保留",IF(COUNTIFS(請求記録!$B$6:$B$3005,$A123,請求記録!$Z$6:$Z$3005,P$5)=0,"",SUMIFS(請求記録!$AE$6:$AE$3005,請求記録!$B$6:$B$3005,$A123,請求記録!$Z$6:$Z$3005,P$5))))</f>
        <v/>
      </c>
      <c r="Q123" s="19">
        <f>IF($A123="","",IF(COUNTIFS(請求記録!$B$6:$B$3005,$A123,請求記録!$Z$6:$Z$3005,Q$5,請求記録!$AF$6:$AF$3005,"保留中")&gt;0,"保留",IF(COUNTIFS(請求記録!$B$6:$B$3005,$A123,請求記録!$Z$6:$Z$3005,Q$5)=0,"",SUMIFS(請求記録!$AE$6:$AE$3005,請求記録!$B$6:$B$3005,$A123,請求記録!$Z$6:$Z$3005,Q$5))))</f>
        <v/>
      </c>
      <c r="R123" s="19">
        <f>IF($A123="","",IF(COUNTIFS(請求記録!$B$6:$B$3005,$A123,請求記録!$Z$6:$Z$3005,R$5,請求記録!$AF$6:$AF$3005,"保留中")&gt;0,"保留",IF(COUNTIFS(請求記録!$B$6:$B$3005,$A123,請求記録!$Z$6:$Z$3005,R$5)=0,"",SUMIFS(請求記録!$AE$6:$AE$3005,請求記録!$B$6:$B$3005,$A123,請求記録!$Z$6:$Z$3005,R$5))))</f>
        <v/>
      </c>
      <c r="S123" s="19">
        <f>IF($A123="","",IF(COUNTIFS(請求記録!$B$6:$B$3005,$A123,請求記録!$Z$6:$Z$3005,S$5,請求記録!$AF$6:$AF$3005,"保留中")&gt;0,"保留",IF(COUNTIFS(請求記録!$B$6:$B$3005,$A123,請求記録!$Z$6:$Z$3005,S$5)=0,"",SUMIFS(請求記録!$AE$6:$AE$3005,請求記録!$B$6:$B$3005,$A123,請求記録!$Z$6:$Z$3005,S$5))))</f>
        <v/>
      </c>
      <c r="T123" s="19">
        <f>IF($A123="","",IF(COUNTIFS(請求記録!$B$6:$B$3005,$A123,請求記録!$Z$6:$Z$3005,T$5,請求記録!$AF$6:$AF$3005,"保留中")&gt;0,"保留",IF(COUNTIFS(請求記録!$B$6:$B$3005,$A123,請求記録!$Z$6:$Z$3005,T$5)=0,"",SUMIFS(請求記録!$AE$6:$AE$3005,請求記録!$B$6:$B$3005,$A123,請求記録!$Z$6:$Z$3005,T$5))))</f>
        <v/>
      </c>
      <c r="U123" s="19">
        <f>IF($A123="","",IF(COUNTIFS(請求記録!$B$6:$B$3005,$A123,請求記録!$Z$6:$Z$3005,U$5,請求記録!$AF$6:$AF$3005,"保留中")&gt;0,"保留",IF(COUNTIFS(請求記録!$B$6:$B$3005,$A123,請求記録!$Z$6:$Z$3005,U$5)=0,"",SUMIFS(請求記録!$AE$6:$AE$3005,請求記録!$B$6:$B$3005,$A123,請求記録!$Z$6:$Z$3005,U$5))))</f>
        <v/>
      </c>
      <c r="V123" s="19">
        <f>IF($A123="","",IF(COUNTIFS(請求記録!$B$6:$B$3005,$A123,請求記録!$Z$6:$Z$3005,V$5,請求記録!$AF$6:$AF$3005,"保留中")&gt;0,"保留",IF(COUNTIFS(請求記録!$B$6:$B$3005,$A123,請求記録!$Z$6:$Z$3005,V$5)=0,"",SUMIFS(請求記録!$AE$6:$AE$3005,請求記録!$B$6:$B$3005,$A123,請求記録!$Z$6:$Z$3005,V$5))))</f>
        <v/>
      </c>
      <c r="W123" s="19">
        <f>IF($A123="","",IF(COUNTIFS(請求記録!$B$6:$B$3005,$A123,請求記録!$Z$6:$Z$3005,W$5,請求記録!$AF$6:$AF$3005,"保留中")&gt;0,"保留",IF(COUNTIFS(請求記録!$B$6:$B$3005,$A123,請求記録!$Z$6:$Z$3005,W$5)=0,"",SUMIFS(請求記録!$AE$6:$AE$3005,請求記録!$B$6:$B$3005,$A123,請求記録!$Z$6:$Z$3005,W$5))))</f>
        <v/>
      </c>
      <c r="X123" s="19">
        <f>IF($A123="","",IF(COUNTIFS(請求記録!$B$6:$B$3005,$A123,請求記録!$Z$6:$Z$3005,X$5,請求記録!$AF$6:$AF$3005,"保留中")&gt;0,"保留",IF(COUNTIFS(請求記録!$B$6:$B$3005,$A123,請求記録!$Z$6:$Z$3005,X$5)=0,"",SUMIFS(請求記録!$AE$6:$AE$3005,請求記録!$B$6:$B$3005,$A123,請求記録!$Z$6:$Z$3005,X$5))))</f>
        <v/>
      </c>
      <c r="Y123" s="19">
        <f>IF($A123="","",IF(COUNTIFS(請求記録!$B$6:$B$3005,$A123,請求記録!$Z$6:$Z$3005,Y$5,請求記録!$AF$6:$AF$3005,"保留中")&gt;0,"保留",IF(COUNTIFS(請求記録!$B$6:$B$3005,$A123,請求記録!$Z$6:$Z$3005,Y$5)=0,"",SUMIFS(請求記録!$AE$6:$AE$3005,請求記録!$B$6:$B$3005,$A123,請求記録!$Z$6:$Z$3005,Y$5))))</f>
        <v/>
      </c>
      <c r="Z123" s="19">
        <f>IF($A123="","",IF(COUNTIFS(請求記録!$B$6:$B$3005,$A123,請求記録!$Z$6:$Z$3005,Z$5,請求記録!$AF$6:$AF$3005,"保留中")&gt;0,"保留",IF(COUNTIFS(請求記録!$B$6:$B$3005,$A123,請求記録!$Z$6:$Z$3005,Z$5)=0,"",SUMIFS(請求記録!$AE$6:$AE$3005,請求記録!$B$6:$B$3005,$A123,請求記録!$Z$6:$Z$3005,Z$5))))</f>
        <v/>
      </c>
      <c r="AA123" s="19">
        <f>IF($A123="","",IF(COUNTIFS(請求記録!$B$6:$B$3005,$A123,請求記録!$Z$6:$Z$3005,AA$5,請求記録!$AF$6:$AF$3005,"保留中")&gt;0,"保留",IF(COUNTIFS(請求記録!$B$6:$B$3005,$A123,請求記録!$Z$6:$Z$3005,AA$5)=0,"",SUMIFS(請求記録!$AE$6:$AE$3005,請求記録!$B$6:$B$3005,$A123,請求記録!$Z$6:$Z$3005,AA$5))))</f>
        <v/>
      </c>
      <c r="AB123">
        <f>IF(職員マスタ!P123="保留中",職員マスタ!M123,"")</f>
        <v/>
      </c>
    </row>
    <row r="124">
      <c r="A124">
        <f>IF(職員マスタ!A124="","",職員マスタ!A124)</f>
        <v/>
      </c>
      <c r="B124">
        <f>IF($A124="","",職員マスタ!B124)</f>
        <v/>
      </c>
      <c r="C124">
        <f>IF($A124="","",職員マスタ!C124)</f>
        <v/>
      </c>
      <c r="D124" s="19">
        <f>IF($A124="","",IF(COUNTIFS(請求記録!$B$6:$B$3005,$A124,請求記録!$Z$6:$Z$3005,D$5,請求記録!$AF$6:$AF$3005,"保留中")&gt;0,"保留",IF(COUNTIFS(請求記録!$B$6:$B$3005,$A124,請求記録!$Z$6:$Z$3005,D$5)=0,"",SUMIFS(請求記録!$AE$6:$AE$3005,請求記録!$B$6:$B$3005,$A124,請求記録!$Z$6:$Z$3005,D$5))))</f>
        <v/>
      </c>
      <c r="E124" s="19">
        <f>IF($A124="","",IF(COUNTIFS(請求記録!$B$6:$B$3005,$A124,請求記録!$Z$6:$Z$3005,E$5,請求記録!$AF$6:$AF$3005,"保留中")&gt;0,"保留",IF(COUNTIFS(請求記録!$B$6:$B$3005,$A124,請求記録!$Z$6:$Z$3005,E$5)=0,"",SUMIFS(請求記録!$AE$6:$AE$3005,請求記録!$B$6:$B$3005,$A124,請求記録!$Z$6:$Z$3005,E$5))))</f>
        <v/>
      </c>
      <c r="F124" s="19">
        <f>IF($A124="","",IF(COUNTIFS(請求記録!$B$6:$B$3005,$A124,請求記録!$Z$6:$Z$3005,F$5,請求記録!$AF$6:$AF$3005,"保留中")&gt;0,"保留",IF(COUNTIFS(請求記録!$B$6:$B$3005,$A124,請求記録!$Z$6:$Z$3005,F$5)=0,"",SUMIFS(請求記録!$AE$6:$AE$3005,請求記録!$B$6:$B$3005,$A124,請求記録!$Z$6:$Z$3005,F$5))))</f>
        <v/>
      </c>
      <c r="G124" s="19">
        <f>IF($A124="","",IF(COUNTIFS(請求記録!$B$6:$B$3005,$A124,請求記録!$Z$6:$Z$3005,G$5,請求記録!$AF$6:$AF$3005,"保留中")&gt;0,"保留",IF(COUNTIFS(請求記録!$B$6:$B$3005,$A124,請求記録!$Z$6:$Z$3005,G$5)=0,"",SUMIFS(請求記録!$AE$6:$AE$3005,請求記録!$B$6:$B$3005,$A124,請求記録!$Z$6:$Z$3005,G$5))))</f>
        <v/>
      </c>
      <c r="H124" s="19">
        <f>IF($A124="","",IF(COUNTIFS(請求記録!$B$6:$B$3005,$A124,請求記録!$Z$6:$Z$3005,H$5,請求記録!$AF$6:$AF$3005,"保留中")&gt;0,"保留",IF(COUNTIFS(請求記録!$B$6:$B$3005,$A124,請求記録!$Z$6:$Z$3005,H$5)=0,"",SUMIFS(請求記録!$AE$6:$AE$3005,請求記録!$B$6:$B$3005,$A124,請求記録!$Z$6:$Z$3005,H$5))))</f>
        <v/>
      </c>
      <c r="I124" s="19">
        <f>IF($A124="","",IF(COUNTIFS(請求記録!$B$6:$B$3005,$A124,請求記録!$Z$6:$Z$3005,I$5,請求記録!$AF$6:$AF$3005,"保留中")&gt;0,"保留",IF(COUNTIFS(請求記録!$B$6:$B$3005,$A124,請求記録!$Z$6:$Z$3005,I$5)=0,"",SUMIFS(請求記録!$AE$6:$AE$3005,請求記録!$B$6:$B$3005,$A124,請求記録!$Z$6:$Z$3005,I$5))))</f>
        <v/>
      </c>
      <c r="J124" s="19">
        <f>IF($A124="","",IF(COUNTIFS(請求記録!$B$6:$B$3005,$A124,請求記録!$Z$6:$Z$3005,J$5,請求記録!$AF$6:$AF$3005,"保留中")&gt;0,"保留",IF(COUNTIFS(請求記録!$B$6:$B$3005,$A124,請求記録!$Z$6:$Z$3005,J$5)=0,"",SUMIFS(請求記録!$AE$6:$AE$3005,請求記録!$B$6:$B$3005,$A124,請求記録!$Z$6:$Z$3005,J$5))))</f>
        <v/>
      </c>
      <c r="K124" s="19">
        <f>IF($A124="","",IF(COUNTIFS(請求記録!$B$6:$B$3005,$A124,請求記録!$Z$6:$Z$3005,K$5,請求記録!$AF$6:$AF$3005,"保留中")&gt;0,"保留",IF(COUNTIFS(請求記録!$B$6:$B$3005,$A124,請求記録!$Z$6:$Z$3005,K$5)=0,"",SUMIFS(請求記録!$AE$6:$AE$3005,請求記録!$B$6:$B$3005,$A124,請求記録!$Z$6:$Z$3005,K$5))))</f>
        <v/>
      </c>
      <c r="L124" s="19">
        <f>IF($A124="","",IF(COUNTIFS(請求記録!$B$6:$B$3005,$A124,請求記録!$Z$6:$Z$3005,L$5,請求記録!$AF$6:$AF$3005,"保留中")&gt;0,"保留",IF(COUNTIFS(請求記録!$B$6:$B$3005,$A124,請求記録!$Z$6:$Z$3005,L$5)=0,"",SUMIFS(請求記録!$AE$6:$AE$3005,請求記録!$B$6:$B$3005,$A124,請求記録!$Z$6:$Z$3005,L$5))))</f>
        <v/>
      </c>
      <c r="M124" s="19">
        <f>IF($A124="","",IF(COUNTIFS(請求記録!$B$6:$B$3005,$A124,請求記録!$Z$6:$Z$3005,M$5,請求記録!$AF$6:$AF$3005,"保留中")&gt;0,"保留",IF(COUNTIFS(請求記録!$B$6:$B$3005,$A124,請求記録!$Z$6:$Z$3005,M$5)=0,"",SUMIFS(請求記録!$AE$6:$AE$3005,請求記録!$B$6:$B$3005,$A124,請求記録!$Z$6:$Z$3005,M$5))))</f>
        <v/>
      </c>
      <c r="N124" s="19">
        <f>IF($A124="","",IF(COUNTIFS(請求記録!$B$6:$B$3005,$A124,請求記録!$Z$6:$Z$3005,N$5,請求記録!$AF$6:$AF$3005,"保留中")&gt;0,"保留",IF(COUNTIFS(請求記録!$B$6:$B$3005,$A124,請求記録!$Z$6:$Z$3005,N$5)=0,"",SUMIFS(請求記録!$AE$6:$AE$3005,請求記録!$B$6:$B$3005,$A124,請求記録!$Z$6:$Z$3005,N$5))))</f>
        <v/>
      </c>
      <c r="O124" s="19">
        <f>IF($A124="","",IF(COUNTIFS(請求記録!$B$6:$B$3005,$A124,請求記録!$Z$6:$Z$3005,O$5,請求記録!$AF$6:$AF$3005,"保留中")&gt;0,"保留",IF(COUNTIFS(請求記録!$B$6:$B$3005,$A124,請求記録!$Z$6:$Z$3005,O$5)=0,"",SUMIFS(請求記録!$AE$6:$AE$3005,請求記録!$B$6:$B$3005,$A124,請求記録!$Z$6:$Z$3005,O$5))))</f>
        <v/>
      </c>
      <c r="P124" s="19">
        <f>IF($A124="","",IF(COUNTIFS(請求記録!$B$6:$B$3005,$A124,請求記録!$Z$6:$Z$3005,P$5,請求記録!$AF$6:$AF$3005,"保留中")&gt;0,"保留",IF(COUNTIFS(請求記録!$B$6:$B$3005,$A124,請求記録!$Z$6:$Z$3005,P$5)=0,"",SUMIFS(請求記録!$AE$6:$AE$3005,請求記録!$B$6:$B$3005,$A124,請求記録!$Z$6:$Z$3005,P$5))))</f>
        <v/>
      </c>
      <c r="Q124" s="19">
        <f>IF($A124="","",IF(COUNTIFS(請求記録!$B$6:$B$3005,$A124,請求記録!$Z$6:$Z$3005,Q$5,請求記録!$AF$6:$AF$3005,"保留中")&gt;0,"保留",IF(COUNTIFS(請求記録!$B$6:$B$3005,$A124,請求記録!$Z$6:$Z$3005,Q$5)=0,"",SUMIFS(請求記録!$AE$6:$AE$3005,請求記録!$B$6:$B$3005,$A124,請求記録!$Z$6:$Z$3005,Q$5))))</f>
        <v/>
      </c>
      <c r="R124" s="19">
        <f>IF($A124="","",IF(COUNTIFS(請求記録!$B$6:$B$3005,$A124,請求記録!$Z$6:$Z$3005,R$5,請求記録!$AF$6:$AF$3005,"保留中")&gt;0,"保留",IF(COUNTIFS(請求記録!$B$6:$B$3005,$A124,請求記録!$Z$6:$Z$3005,R$5)=0,"",SUMIFS(請求記録!$AE$6:$AE$3005,請求記録!$B$6:$B$3005,$A124,請求記録!$Z$6:$Z$3005,R$5))))</f>
        <v/>
      </c>
      <c r="S124" s="19">
        <f>IF($A124="","",IF(COUNTIFS(請求記録!$B$6:$B$3005,$A124,請求記録!$Z$6:$Z$3005,S$5,請求記録!$AF$6:$AF$3005,"保留中")&gt;0,"保留",IF(COUNTIFS(請求記録!$B$6:$B$3005,$A124,請求記録!$Z$6:$Z$3005,S$5)=0,"",SUMIFS(請求記録!$AE$6:$AE$3005,請求記録!$B$6:$B$3005,$A124,請求記録!$Z$6:$Z$3005,S$5))))</f>
        <v/>
      </c>
      <c r="T124" s="19">
        <f>IF($A124="","",IF(COUNTIFS(請求記録!$B$6:$B$3005,$A124,請求記録!$Z$6:$Z$3005,T$5,請求記録!$AF$6:$AF$3005,"保留中")&gt;0,"保留",IF(COUNTIFS(請求記録!$B$6:$B$3005,$A124,請求記録!$Z$6:$Z$3005,T$5)=0,"",SUMIFS(請求記録!$AE$6:$AE$3005,請求記録!$B$6:$B$3005,$A124,請求記録!$Z$6:$Z$3005,T$5))))</f>
        <v/>
      </c>
      <c r="U124" s="19">
        <f>IF($A124="","",IF(COUNTIFS(請求記録!$B$6:$B$3005,$A124,請求記録!$Z$6:$Z$3005,U$5,請求記録!$AF$6:$AF$3005,"保留中")&gt;0,"保留",IF(COUNTIFS(請求記録!$B$6:$B$3005,$A124,請求記録!$Z$6:$Z$3005,U$5)=0,"",SUMIFS(請求記録!$AE$6:$AE$3005,請求記録!$B$6:$B$3005,$A124,請求記録!$Z$6:$Z$3005,U$5))))</f>
        <v/>
      </c>
      <c r="V124" s="19">
        <f>IF($A124="","",IF(COUNTIFS(請求記録!$B$6:$B$3005,$A124,請求記録!$Z$6:$Z$3005,V$5,請求記録!$AF$6:$AF$3005,"保留中")&gt;0,"保留",IF(COUNTIFS(請求記録!$B$6:$B$3005,$A124,請求記録!$Z$6:$Z$3005,V$5)=0,"",SUMIFS(請求記録!$AE$6:$AE$3005,請求記録!$B$6:$B$3005,$A124,請求記録!$Z$6:$Z$3005,V$5))))</f>
        <v/>
      </c>
      <c r="W124" s="19">
        <f>IF($A124="","",IF(COUNTIFS(請求記録!$B$6:$B$3005,$A124,請求記録!$Z$6:$Z$3005,W$5,請求記録!$AF$6:$AF$3005,"保留中")&gt;0,"保留",IF(COUNTIFS(請求記録!$B$6:$B$3005,$A124,請求記録!$Z$6:$Z$3005,W$5)=0,"",SUMIFS(請求記録!$AE$6:$AE$3005,請求記録!$B$6:$B$3005,$A124,請求記録!$Z$6:$Z$3005,W$5))))</f>
        <v/>
      </c>
      <c r="X124" s="19">
        <f>IF($A124="","",IF(COUNTIFS(請求記録!$B$6:$B$3005,$A124,請求記録!$Z$6:$Z$3005,X$5,請求記録!$AF$6:$AF$3005,"保留中")&gt;0,"保留",IF(COUNTIFS(請求記録!$B$6:$B$3005,$A124,請求記録!$Z$6:$Z$3005,X$5)=0,"",SUMIFS(請求記録!$AE$6:$AE$3005,請求記録!$B$6:$B$3005,$A124,請求記録!$Z$6:$Z$3005,X$5))))</f>
        <v/>
      </c>
      <c r="Y124" s="19">
        <f>IF($A124="","",IF(COUNTIFS(請求記録!$B$6:$B$3005,$A124,請求記録!$Z$6:$Z$3005,Y$5,請求記録!$AF$6:$AF$3005,"保留中")&gt;0,"保留",IF(COUNTIFS(請求記録!$B$6:$B$3005,$A124,請求記録!$Z$6:$Z$3005,Y$5)=0,"",SUMIFS(請求記録!$AE$6:$AE$3005,請求記録!$B$6:$B$3005,$A124,請求記録!$Z$6:$Z$3005,Y$5))))</f>
        <v/>
      </c>
      <c r="Z124" s="19">
        <f>IF($A124="","",IF(COUNTIFS(請求記録!$B$6:$B$3005,$A124,請求記録!$Z$6:$Z$3005,Z$5,請求記録!$AF$6:$AF$3005,"保留中")&gt;0,"保留",IF(COUNTIFS(請求記録!$B$6:$B$3005,$A124,請求記録!$Z$6:$Z$3005,Z$5)=0,"",SUMIFS(請求記録!$AE$6:$AE$3005,請求記録!$B$6:$B$3005,$A124,請求記録!$Z$6:$Z$3005,Z$5))))</f>
        <v/>
      </c>
      <c r="AA124" s="19">
        <f>IF($A124="","",IF(COUNTIFS(請求記録!$B$6:$B$3005,$A124,請求記録!$Z$6:$Z$3005,AA$5,請求記録!$AF$6:$AF$3005,"保留中")&gt;0,"保留",IF(COUNTIFS(請求記録!$B$6:$B$3005,$A124,請求記録!$Z$6:$Z$3005,AA$5)=0,"",SUMIFS(請求記録!$AE$6:$AE$3005,請求記録!$B$6:$B$3005,$A124,請求記録!$Z$6:$Z$3005,AA$5))))</f>
        <v/>
      </c>
      <c r="AB124">
        <f>IF(職員マスタ!P124="保留中",職員マスタ!M124,"")</f>
        <v/>
      </c>
    </row>
    <row r="125">
      <c r="A125">
        <f>IF(職員マスタ!A125="","",職員マスタ!A125)</f>
        <v/>
      </c>
      <c r="B125">
        <f>IF($A125="","",職員マスタ!B125)</f>
        <v/>
      </c>
      <c r="C125">
        <f>IF($A125="","",職員マスタ!C125)</f>
        <v/>
      </c>
      <c r="D125" s="19">
        <f>IF($A125="","",IF(COUNTIFS(請求記録!$B$6:$B$3005,$A125,請求記録!$Z$6:$Z$3005,D$5,請求記録!$AF$6:$AF$3005,"保留中")&gt;0,"保留",IF(COUNTIFS(請求記録!$B$6:$B$3005,$A125,請求記録!$Z$6:$Z$3005,D$5)=0,"",SUMIFS(請求記録!$AE$6:$AE$3005,請求記録!$B$6:$B$3005,$A125,請求記録!$Z$6:$Z$3005,D$5))))</f>
        <v/>
      </c>
      <c r="E125" s="19">
        <f>IF($A125="","",IF(COUNTIFS(請求記録!$B$6:$B$3005,$A125,請求記録!$Z$6:$Z$3005,E$5,請求記録!$AF$6:$AF$3005,"保留中")&gt;0,"保留",IF(COUNTIFS(請求記録!$B$6:$B$3005,$A125,請求記録!$Z$6:$Z$3005,E$5)=0,"",SUMIFS(請求記録!$AE$6:$AE$3005,請求記録!$B$6:$B$3005,$A125,請求記録!$Z$6:$Z$3005,E$5))))</f>
        <v/>
      </c>
      <c r="F125" s="19">
        <f>IF($A125="","",IF(COUNTIFS(請求記録!$B$6:$B$3005,$A125,請求記録!$Z$6:$Z$3005,F$5,請求記録!$AF$6:$AF$3005,"保留中")&gt;0,"保留",IF(COUNTIFS(請求記録!$B$6:$B$3005,$A125,請求記録!$Z$6:$Z$3005,F$5)=0,"",SUMIFS(請求記録!$AE$6:$AE$3005,請求記録!$B$6:$B$3005,$A125,請求記録!$Z$6:$Z$3005,F$5))))</f>
        <v/>
      </c>
      <c r="G125" s="19">
        <f>IF($A125="","",IF(COUNTIFS(請求記録!$B$6:$B$3005,$A125,請求記録!$Z$6:$Z$3005,G$5,請求記録!$AF$6:$AF$3005,"保留中")&gt;0,"保留",IF(COUNTIFS(請求記録!$B$6:$B$3005,$A125,請求記録!$Z$6:$Z$3005,G$5)=0,"",SUMIFS(請求記録!$AE$6:$AE$3005,請求記録!$B$6:$B$3005,$A125,請求記録!$Z$6:$Z$3005,G$5))))</f>
        <v/>
      </c>
      <c r="H125" s="19">
        <f>IF($A125="","",IF(COUNTIFS(請求記録!$B$6:$B$3005,$A125,請求記録!$Z$6:$Z$3005,H$5,請求記録!$AF$6:$AF$3005,"保留中")&gt;0,"保留",IF(COUNTIFS(請求記録!$B$6:$B$3005,$A125,請求記録!$Z$6:$Z$3005,H$5)=0,"",SUMIFS(請求記録!$AE$6:$AE$3005,請求記録!$B$6:$B$3005,$A125,請求記録!$Z$6:$Z$3005,H$5))))</f>
        <v/>
      </c>
      <c r="I125" s="19">
        <f>IF($A125="","",IF(COUNTIFS(請求記録!$B$6:$B$3005,$A125,請求記録!$Z$6:$Z$3005,I$5,請求記録!$AF$6:$AF$3005,"保留中")&gt;0,"保留",IF(COUNTIFS(請求記録!$B$6:$B$3005,$A125,請求記録!$Z$6:$Z$3005,I$5)=0,"",SUMIFS(請求記録!$AE$6:$AE$3005,請求記録!$B$6:$B$3005,$A125,請求記録!$Z$6:$Z$3005,I$5))))</f>
        <v/>
      </c>
      <c r="J125" s="19">
        <f>IF($A125="","",IF(COUNTIFS(請求記録!$B$6:$B$3005,$A125,請求記録!$Z$6:$Z$3005,J$5,請求記録!$AF$6:$AF$3005,"保留中")&gt;0,"保留",IF(COUNTIFS(請求記録!$B$6:$B$3005,$A125,請求記録!$Z$6:$Z$3005,J$5)=0,"",SUMIFS(請求記録!$AE$6:$AE$3005,請求記録!$B$6:$B$3005,$A125,請求記録!$Z$6:$Z$3005,J$5))))</f>
        <v/>
      </c>
      <c r="K125" s="19">
        <f>IF($A125="","",IF(COUNTIFS(請求記録!$B$6:$B$3005,$A125,請求記録!$Z$6:$Z$3005,K$5,請求記録!$AF$6:$AF$3005,"保留中")&gt;0,"保留",IF(COUNTIFS(請求記録!$B$6:$B$3005,$A125,請求記録!$Z$6:$Z$3005,K$5)=0,"",SUMIFS(請求記録!$AE$6:$AE$3005,請求記録!$B$6:$B$3005,$A125,請求記録!$Z$6:$Z$3005,K$5))))</f>
        <v/>
      </c>
      <c r="L125" s="19">
        <f>IF($A125="","",IF(COUNTIFS(請求記録!$B$6:$B$3005,$A125,請求記録!$Z$6:$Z$3005,L$5,請求記録!$AF$6:$AF$3005,"保留中")&gt;0,"保留",IF(COUNTIFS(請求記録!$B$6:$B$3005,$A125,請求記録!$Z$6:$Z$3005,L$5)=0,"",SUMIFS(請求記録!$AE$6:$AE$3005,請求記録!$B$6:$B$3005,$A125,請求記録!$Z$6:$Z$3005,L$5))))</f>
        <v/>
      </c>
      <c r="M125" s="19">
        <f>IF($A125="","",IF(COUNTIFS(請求記録!$B$6:$B$3005,$A125,請求記録!$Z$6:$Z$3005,M$5,請求記録!$AF$6:$AF$3005,"保留中")&gt;0,"保留",IF(COUNTIFS(請求記録!$B$6:$B$3005,$A125,請求記録!$Z$6:$Z$3005,M$5)=0,"",SUMIFS(請求記録!$AE$6:$AE$3005,請求記録!$B$6:$B$3005,$A125,請求記録!$Z$6:$Z$3005,M$5))))</f>
        <v/>
      </c>
      <c r="N125" s="19">
        <f>IF($A125="","",IF(COUNTIFS(請求記録!$B$6:$B$3005,$A125,請求記録!$Z$6:$Z$3005,N$5,請求記録!$AF$6:$AF$3005,"保留中")&gt;0,"保留",IF(COUNTIFS(請求記録!$B$6:$B$3005,$A125,請求記録!$Z$6:$Z$3005,N$5)=0,"",SUMIFS(請求記録!$AE$6:$AE$3005,請求記録!$B$6:$B$3005,$A125,請求記録!$Z$6:$Z$3005,N$5))))</f>
        <v/>
      </c>
      <c r="O125" s="19">
        <f>IF($A125="","",IF(COUNTIFS(請求記録!$B$6:$B$3005,$A125,請求記録!$Z$6:$Z$3005,O$5,請求記録!$AF$6:$AF$3005,"保留中")&gt;0,"保留",IF(COUNTIFS(請求記録!$B$6:$B$3005,$A125,請求記録!$Z$6:$Z$3005,O$5)=0,"",SUMIFS(請求記録!$AE$6:$AE$3005,請求記録!$B$6:$B$3005,$A125,請求記録!$Z$6:$Z$3005,O$5))))</f>
        <v/>
      </c>
      <c r="P125" s="19">
        <f>IF($A125="","",IF(COUNTIFS(請求記録!$B$6:$B$3005,$A125,請求記録!$Z$6:$Z$3005,P$5,請求記録!$AF$6:$AF$3005,"保留中")&gt;0,"保留",IF(COUNTIFS(請求記録!$B$6:$B$3005,$A125,請求記録!$Z$6:$Z$3005,P$5)=0,"",SUMIFS(請求記録!$AE$6:$AE$3005,請求記録!$B$6:$B$3005,$A125,請求記録!$Z$6:$Z$3005,P$5))))</f>
        <v/>
      </c>
      <c r="Q125" s="19">
        <f>IF($A125="","",IF(COUNTIFS(請求記録!$B$6:$B$3005,$A125,請求記録!$Z$6:$Z$3005,Q$5,請求記録!$AF$6:$AF$3005,"保留中")&gt;0,"保留",IF(COUNTIFS(請求記録!$B$6:$B$3005,$A125,請求記録!$Z$6:$Z$3005,Q$5)=0,"",SUMIFS(請求記録!$AE$6:$AE$3005,請求記録!$B$6:$B$3005,$A125,請求記録!$Z$6:$Z$3005,Q$5))))</f>
        <v/>
      </c>
      <c r="R125" s="19">
        <f>IF($A125="","",IF(COUNTIFS(請求記録!$B$6:$B$3005,$A125,請求記録!$Z$6:$Z$3005,R$5,請求記録!$AF$6:$AF$3005,"保留中")&gt;0,"保留",IF(COUNTIFS(請求記録!$B$6:$B$3005,$A125,請求記録!$Z$6:$Z$3005,R$5)=0,"",SUMIFS(請求記録!$AE$6:$AE$3005,請求記録!$B$6:$B$3005,$A125,請求記録!$Z$6:$Z$3005,R$5))))</f>
        <v/>
      </c>
      <c r="S125" s="19">
        <f>IF($A125="","",IF(COUNTIFS(請求記録!$B$6:$B$3005,$A125,請求記録!$Z$6:$Z$3005,S$5,請求記録!$AF$6:$AF$3005,"保留中")&gt;0,"保留",IF(COUNTIFS(請求記録!$B$6:$B$3005,$A125,請求記録!$Z$6:$Z$3005,S$5)=0,"",SUMIFS(請求記録!$AE$6:$AE$3005,請求記録!$B$6:$B$3005,$A125,請求記録!$Z$6:$Z$3005,S$5))))</f>
        <v/>
      </c>
      <c r="T125" s="19">
        <f>IF($A125="","",IF(COUNTIFS(請求記録!$B$6:$B$3005,$A125,請求記録!$Z$6:$Z$3005,T$5,請求記録!$AF$6:$AF$3005,"保留中")&gt;0,"保留",IF(COUNTIFS(請求記録!$B$6:$B$3005,$A125,請求記録!$Z$6:$Z$3005,T$5)=0,"",SUMIFS(請求記録!$AE$6:$AE$3005,請求記録!$B$6:$B$3005,$A125,請求記録!$Z$6:$Z$3005,T$5))))</f>
        <v/>
      </c>
      <c r="U125" s="19">
        <f>IF($A125="","",IF(COUNTIFS(請求記録!$B$6:$B$3005,$A125,請求記録!$Z$6:$Z$3005,U$5,請求記録!$AF$6:$AF$3005,"保留中")&gt;0,"保留",IF(COUNTIFS(請求記録!$B$6:$B$3005,$A125,請求記録!$Z$6:$Z$3005,U$5)=0,"",SUMIFS(請求記録!$AE$6:$AE$3005,請求記録!$B$6:$B$3005,$A125,請求記録!$Z$6:$Z$3005,U$5))))</f>
        <v/>
      </c>
      <c r="V125" s="19">
        <f>IF($A125="","",IF(COUNTIFS(請求記録!$B$6:$B$3005,$A125,請求記録!$Z$6:$Z$3005,V$5,請求記録!$AF$6:$AF$3005,"保留中")&gt;0,"保留",IF(COUNTIFS(請求記録!$B$6:$B$3005,$A125,請求記録!$Z$6:$Z$3005,V$5)=0,"",SUMIFS(請求記録!$AE$6:$AE$3005,請求記録!$B$6:$B$3005,$A125,請求記録!$Z$6:$Z$3005,V$5))))</f>
        <v/>
      </c>
      <c r="W125" s="19">
        <f>IF($A125="","",IF(COUNTIFS(請求記録!$B$6:$B$3005,$A125,請求記録!$Z$6:$Z$3005,W$5,請求記録!$AF$6:$AF$3005,"保留中")&gt;0,"保留",IF(COUNTIFS(請求記録!$B$6:$B$3005,$A125,請求記録!$Z$6:$Z$3005,W$5)=0,"",SUMIFS(請求記録!$AE$6:$AE$3005,請求記録!$B$6:$B$3005,$A125,請求記録!$Z$6:$Z$3005,W$5))))</f>
        <v/>
      </c>
      <c r="X125" s="19">
        <f>IF($A125="","",IF(COUNTIFS(請求記録!$B$6:$B$3005,$A125,請求記録!$Z$6:$Z$3005,X$5,請求記録!$AF$6:$AF$3005,"保留中")&gt;0,"保留",IF(COUNTIFS(請求記録!$B$6:$B$3005,$A125,請求記録!$Z$6:$Z$3005,X$5)=0,"",SUMIFS(請求記録!$AE$6:$AE$3005,請求記録!$B$6:$B$3005,$A125,請求記録!$Z$6:$Z$3005,X$5))))</f>
        <v/>
      </c>
      <c r="Y125" s="19">
        <f>IF($A125="","",IF(COUNTIFS(請求記録!$B$6:$B$3005,$A125,請求記録!$Z$6:$Z$3005,Y$5,請求記録!$AF$6:$AF$3005,"保留中")&gt;0,"保留",IF(COUNTIFS(請求記録!$B$6:$B$3005,$A125,請求記録!$Z$6:$Z$3005,Y$5)=0,"",SUMIFS(請求記録!$AE$6:$AE$3005,請求記録!$B$6:$B$3005,$A125,請求記録!$Z$6:$Z$3005,Y$5))))</f>
        <v/>
      </c>
      <c r="Z125" s="19">
        <f>IF($A125="","",IF(COUNTIFS(請求記録!$B$6:$B$3005,$A125,請求記録!$Z$6:$Z$3005,Z$5,請求記録!$AF$6:$AF$3005,"保留中")&gt;0,"保留",IF(COUNTIFS(請求記録!$B$6:$B$3005,$A125,請求記録!$Z$6:$Z$3005,Z$5)=0,"",SUMIFS(請求記録!$AE$6:$AE$3005,請求記録!$B$6:$B$3005,$A125,請求記録!$Z$6:$Z$3005,Z$5))))</f>
        <v/>
      </c>
      <c r="AA125" s="19">
        <f>IF($A125="","",IF(COUNTIFS(請求記録!$B$6:$B$3005,$A125,請求記録!$Z$6:$Z$3005,AA$5,請求記録!$AF$6:$AF$3005,"保留中")&gt;0,"保留",IF(COUNTIFS(請求記録!$B$6:$B$3005,$A125,請求記録!$Z$6:$Z$3005,AA$5)=0,"",SUMIFS(請求記録!$AE$6:$AE$3005,請求記録!$B$6:$B$3005,$A125,請求記録!$Z$6:$Z$3005,AA$5))))</f>
        <v/>
      </c>
      <c r="AB125">
        <f>IF(職員マスタ!P125="保留中",職員マスタ!M125,"")</f>
        <v/>
      </c>
    </row>
    <row r="126">
      <c r="A126">
        <f>IF(職員マスタ!A126="","",職員マスタ!A126)</f>
        <v/>
      </c>
      <c r="B126">
        <f>IF($A126="","",職員マスタ!B126)</f>
        <v/>
      </c>
      <c r="C126">
        <f>IF($A126="","",職員マスタ!C126)</f>
        <v/>
      </c>
      <c r="D126" s="19">
        <f>IF($A126="","",IF(COUNTIFS(請求記録!$B$6:$B$3005,$A126,請求記録!$Z$6:$Z$3005,D$5,請求記録!$AF$6:$AF$3005,"保留中")&gt;0,"保留",IF(COUNTIFS(請求記録!$B$6:$B$3005,$A126,請求記録!$Z$6:$Z$3005,D$5)=0,"",SUMIFS(請求記録!$AE$6:$AE$3005,請求記録!$B$6:$B$3005,$A126,請求記録!$Z$6:$Z$3005,D$5))))</f>
        <v/>
      </c>
      <c r="E126" s="19">
        <f>IF($A126="","",IF(COUNTIFS(請求記録!$B$6:$B$3005,$A126,請求記録!$Z$6:$Z$3005,E$5,請求記録!$AF$6:$AF$3005,"保留中")&gt;0,"保留",IF(COUNTIFS(請求記録!$B$6:$B$3005,$A126,請求記録!$Z$6:$Z$3005,E$5)=0,"",SUMIFS(請求記録!$AE$6:$AE$3005,請求記録!$B$6:$B$3005,$A126,請求記録!$Z$6:$Z$3005,E$5))))</f>
        <v/>
      </c>
      <c r="F126" s="19">
        <f>IF($A126="","",IF(COUNTIFS(請求記録!$B$6:$B$3005,$A126,請求記録!$Z$6:$Z$3005,F$5,請求記録!$AF$6:$AF$3005,"保留中")&gt;0,"保留",IF(COUNTIFS(請求記録!$B$6:$B$3005,$A126,請求記録!$Z$6:$Z$3005,F$5)=0,"",SUMIFS(請求記録!$AE$6:$AE$3005,請求記録!$B$6:$B$3005,$A126,請求記録!$Z$6:$Z$3005,F$5))))</f>
        <v/>
      </c>
      <c r="G126" s="19">
        <f>IF($A126="","",IF(COUNTIFS(請求記録!$B$6:$B$3005,$A126,請求記録!$Z$6:$Z$3005,G$5,請求記録!$AF$6:$AF$3005,"保留中")&gt;0,"保留",IF(COUNTIFS(請求記録!$B$6:$B$3005,$A126,請求記録!$Z$6:$Z$3005,G$5)=0,"",SUMIFS(請求記録!$AE$6:$AE$3005,請求記録!$B$6:$B$3005,$A126,請求記録!$Z$6:$Z$3005,G$5))))</f>
        <v/>
      </c>
      <c r="H126" s="19">
        <f>IF($A126="","",IF(COUNTIFS(請求記録!$B$6:$B$3005,$A126,請求記録!$Z$6:$Z$3005,H$5,請求記録!$AF$6:$AF$3005,"保留中")&gt;0,"保留",IF(COUNTIFS(請求記録!$B$6:$B$3005,$A126,請求記録!$Z$6:$Z$3005,H$5)=0,"",SUMIFS(請求記録!$AE$6:$AE$3005,請求記録!$B$6:$B$3005,$A126,請求記録!$Z$6:$Z$3005,H$5))))</f>
        <v/>
      </c>
      <c r="I126" s="19">
        <f>IF($A126="","",IF(COUNTIFS(請求記録!$B$6:$B$3005,$A126,請求記録!$Z$6:$Z$3005,I$5,請求記録!$AF$6:$AF$3005,"保留中")&gt;0,"保留",IF(COUNTIFS(請求記録!$B$6:$B$3005,$A126,請求記録!$Z$6:$Z$3005,I$5)=0,"",SUMIFS(請求記録!$AE$6:$AE$3005,請求記録!$B$6:$B$3005,$A126,請求記録!$Z$6:$Z$3005,I$5))))</f>
        <v/>
      </c>
      <c r="J126" s="19">
        <f>IF($A126="","",IF(COUNTIFS(請求記録!$B$6:$B$3005,$A126,請求記録!$Z$6:$Z$3005,J$5,請求記録!$AF$6:$AF$3005,"保留中")&gt;0,"保留",IF(COUNTIFS(請求記録!$B$6:$B$3005,$A126,請求記録!$Z$6:$Z$3005,J$5)=0,"",SUMIFS(請求記録!$AE$6:$AE$3005,請求記録!$B$6:$B$3005,$A126,請求記録!$Z$6:$Z$3005,J$5))))</f>
        <v/>
      </c>
      <c r="K126" s="19">
        <f>IF($A126="","",IF(COUNTIFS(請求記録!$B$6:$B$3005,$A126,請求記録!$Z$6:$Z$3005,K$5,請求記録!$AF$6:$AF$3005,"保留中")&gt;0,"保留",IF(COUNTIFS(請求記録!$B$6:$B$3005,$A126,請求記録!$Z$6:$Z$3005,K$5)=0,"",SUMIFS(請求記録!$AE$6:$AE$3005,請求記録!$B$6:$B$3005,$A126,請求記録!$Z$6:$Z$3005,K$5))))</f>
        <v/>
      </c>
      <c r="L126" s="19">
        <f>IF($A126="","",IF(COUNTIFS(請求記録!$B$6:$B$3005,$A126,請求記録!$Z$6:$Z$3005,L$5,請求記録!$AF$6:$AF$3005,"保留中")&gt;0,"保留",IF(COUNTIFS(請求記録!$B$6:$B$3005,$A126,請求記録!$Z$6:$Z$3005,L$5)=0,"",SUMIFS(請求記録!$AE$6:$AE$3005,請求記録!$B$6:$B$3005,$A126,請求記録!$Z$6:$Z$3005,L$5))))</f>
        <v/>
      </c>
      <c r="M126" s="19">
        <f>IF($A126="","",IF(COUNTIFS(請求記録!$B$6:$B$3005,$A126,請求記録!$Z$6:$Z$3005,M$5,請求記録!$AF$6:$AF$3005,"保留中")&gt;0,"保留",IF(COUNTIFS(請求記録!$B$6:$B$3005,$A126,請求記録!$Z$6:$Z$3005,M$5)=0,"",SUMIFS(請求記録!$AE$6:$AE$3005,請求記録!$B$6:$B$3005,$A126,請求記録!$Z$6:$Z$3005,M$5))))</f>
        <v/>
      </c>
      <c r="N126" s="19">
        <f>IF($A126="","",IF(COUNTIFS(請求記録!$B$6:$B$3005,$A126,請求記録!$Z$6:$Z$3005,N$5,請求記録!$AF$6:$AF$3005,"保留中")&gt;0,"保留",IF(COUNTIFS(請求記録!$B$6:$B$3005,$A126,請求記録!$Z$6:$Z$3005,N$5)=0,"",SUMIFS(請求記録!$AE$6:$AE$3005,請求記録!$B$6:$B$3005,$A126,請求記録!$Z$6:$Z$3005,N$5))))</f>
        <v/>
      </c>
      <c r="O126" s="19">
        <f>IF($A126="","",IF(COUNTIFS(請求記録!$B$6:$B$3005,$A126,請求記録!$Z$6:$Z$3005,O$5,請求記録!$AF$6:$AF$3005,"保留中")&gt;0,"保留",IF(COUNTIFS(請求記録!$B$6:$B$3005,$A126,請求記録!$Z$6:$Z$3005,O$5)=0,"",SUMIFS(請求記録!$AE$6:$AE$3005,請求記録!$B$6:$B$3005,$A126,請求記録!$Z$6:$Z$3005,O$5))))</f>
        <v/>
      </c>
      <c r="P126" s="19">
        <f>IF($A126="","",IF(COUNTIFS(請求記録!$B$6:$B$3005,$A126,請求記録!$Z$6:$Z$3005,P$5,請求記録!$AF$6:$AF$3005,"保留中")&gt;0,"保留",IF(COUNTIFS(請求記録!$B$6:$B$3005,$A126,請求記録!$Z$6:$Z$3005,P$5)=0,"",SUMIFS(請求記録!$AE$6:$AE$3005,請求記録!$B$6:$B$3005,$A126,請求記録!$Z$6:$Z$3005,P$5))))</f>
        <v/>
      </c>
      <c r="Q126" s="19">
        <f>IF($A126="","",IF(COUNTIFS(請求記録!$B$6:$B$3005,$A126,請求記録!$Z$6:$Z$3005,Q$5,請求記録!$AF$6:$AF$3005,"保留中")&gt;0,"保留",IF(COUNTIFS(請求記録!$B$6:$B$3005,$A126,請求記録!$Z$6:$Z$3005,Q$5)=0,"",SUMIFS(請求記録!$AE$6:$AE$3005,請求記録!$B$6:$B$3005,$A126,請求記録!$Z$6:$Z$3005,Q$5))))</f>
        <v/>
      </c>
      <c r="R126" s="19">
        <f>IF($A126="","",IF(COUNTIFS(請求記録!$B$6:$B$3005,$A126,請求記録!$Z$6:$Z$3005,R$5,請求記録!$AF$6:$AF$3005,"保留中")&gt;0,"保留",IF(COUNTIFS(請求記録!$B$6:$B$3005,$A126,請求記録!$Z$6:$Z$3005,R$5)=0,"",SUMIFS(請求記録!$AE$6:$AE$3005,請求記録!$B$6:$B$3005,$A126,請求記録!$Z$6:$Z$3005,R$5))))</f>
        <v/>
      </c>
      <c r="S126" s="19">
        <f>IF($A126="","",IF(COUNTIFS(請求記録!$B$6:$B$3005,$A126,請求記録!$Z$6:$Z$3005,S$5,請求記録!$AF$6:$AF$3005,"保留中")&gt;0,"保留",IF(COUNTIFS(請求記録!$B$6:$B$3005,$A126,請求記録!$Z$6:$Z$3005,S$5)=0,"",SUMIFS(請求記録!$AE$6:$AE$3005,請求記録!$B$6:$B$3005,$A126,請求記録!$Z$6:$Z$3005,S$5))))</f>
        <v/>
      </c>
      <c r="T126" s="19">
        <f>IF($A126="","",IF(COUNTIFS(請求記録!$B$6:$B$3005,$A126,請求記録!$Z$6:$Z$3005,T$5,請求記録!$AF$6:$AF$3005,"保留中")&gt;0,"保留",IF(COUNTIFS(請求記録!$B$6:$B$3005,$A126,請求記録!$Z$6:$Z$3005,T$5)=0,"",SUMIFS(請求記録!$AE$6:$AE$3005,請求記録!$B$6:$B$3005,$A126,請求記録!$Z$6:$Z$3005,T$5))))</f>
        <v/>
      </c>
      <c r="U126" s="19">
        <f>IF($A126="","",IF(COUNTIFS(請求記録!$B$6:$B$3005,$A126,請求記録!$Z$6:$Z$3005,U$5,請求記録!$AF$6:$AF$3005,"保留中")&gt;0,"保留",IF(COUNTIFS(請求記録!$B$6:$B$3005,$A126,請求記録!$Z$6:$Z$3005,U$5)=0,"",SUMIFS(請求記録!$AE$6:$AE$3005,請求記録!$B$6:$B$3005,$A126,請求記録!$Z$6:$Z$3005,U$5))))</f>
        <v/>
      </c>
      <c r="V126" s="19">
        <f>IF($A126="","",IF(COUNTIFS(請求記録!$B$6:$B$3005,$A126,請求記録!$Z$6:$Z$3005,V$5,請求記録!$AF$6:$AF$3005,"保留中")&gt;0,"保留",IF(COUNTIFS(請求記録!$B$6:$B$3005,$A126,請求記録!$Z$6:$Z$3005,V$5)=0,"",SUMIFS(請求記録!$AE$6:$AE$3005,請求記録!$B$6:$B$3005,$A126,請求記録!$Z$6:$Z$3005,V$5))))</f>
        <v/>
      </c>
      <c r="W126" s="19">
        <f>IF($A126="","",IF(COUNTIFS(請求記録!$B$6:$B$3005,$A126,請求記録!$Z$6:$Z$3005,W$5,請求記録!$AF$6:$AF$3005,"保留中")&gt;0,"保留",IF(COUNTIFS(請求記録!$B$6:$B$3005,$A126,請求記録!$Z$6:$Z$3005,W$5)=0,"",SUMIFS(請求記録!$AE$6:$AE$3005,請求記録!$B$6:$B$3005,$A126,請求記録!$Z$6:$Z$3005,W$5))))</f>
        <v/>
      </c>
      <c r="X126" s="19">
        <f>IF($A126="","",IF(COUNTIFS(請求記録!$B$6:$B$3005,$A126,請求記録!$Z$6:$Z$3005,X$5,請求記録!$AF$6:$AF$3005,"保留中")&gt;0,"保留",IF(COUNTIFS(請求記録!$B$6:$B$3005,$A126,請求記録!$Z$6:$Z$3005,X$5)=0,"",SUMIFS(請求記録!$AE$6:$AE$3005,請求記録!$B$6:$B$3005,$A126,請求記録!$Z$6:$Z$3005,X$5))))</f>
        <v/>
      </c>
      <c r="Y126" s="19">
        <f>IF($A126="","",IF(COUNTIFS(請求記録!$B$6:$B$3005,$A126,請求記録!$Z$6:$Z$3005,Y$5,請求記録!$AF$6:$AF$3005,"保留中")&gt;0,"保留",IF(COUNTIFS(請求記録!$B$6:$B$3005,$A126,請求記録!$Z$6:$Z$3005,Y$5)=0,"",SUMIFS(請求記録!$AE$6:$AE$3005,請求記録!$B$6:$B$3005,$A126,請求記録!$Z$6:$Z$3005,Y$5))))</f>
        <v/>
      </c>
      <c r="Z126" s="19">
        <f>IF($A126="","",IF(COUNTIFS(請求記録!$B$6:$B$3005,$A126,請求記録!$Z$6:$Z$3005,Z$5,請求記録!$AF$6:$AF$3005,"保留中")&gt;0,"保留",IF(COUNTIFS(請求記録!$B$6:$B$3005,$A126,請求記録!$Z$6:$Z$3005,Z$5)=0,"",SUMIFS(請求記録!$AE$6:$AE$3005,請求記録!$B$6:$B$3005,$A126,請求記録!$Z$6:$Z$3005,Z$5))))</f>
        <v/>
      </c>
      <c r="AA126" s="19">
        <f>IF($A126="","",IF(COUNTIFS(請求記録!$B$6:$B$3005,$A126,請求記録!$Z$6:$Z$3005,AA$5,請求記録!$AF$6:$AF$3005,"保留中")&gt;0,"保留",IF(COUNTIFS(請求記録!$B$6:$B$3005,$A126,請求記録!$Z$6:$Z$3005,AA$5)=0,"",SUMIFS(請求記録!$AE$6:$AE$3005,請求記録!$B$6:$B$3005,$A126,請求記録!$Z$6:$Z$3005,AA$5))))</f>
        <v/>
      </c>
      <c r="AB126">
        <f>IF(職員マスタ!P126="保留中",職員マスタ!M126,"")</f>
        <v/>
      </c>
    </row>
    <row r="127">
      <c r="A127">
        <f>IF(職員マスタ!A127="","",職員マスタ!A127)</f>
        <v/>
      </c>
      <c r="B127">
        <f>IF($A127="","",職員マスタ!B127)</f>
        <v/>
      </c>
      <c r="C127">
        <f>IF($A127="","",職員マスタ!C127)</f>
        <v/>
      </c>
      <c r="D127" s="19">
        <f>IF($A127="","",IF(COUNTIFS(請求記録!$B$6:$B$3005,$A127,請求記録!$Z$6:$Z$3005,D$5,請求記録!$AF$6:$AF$3005,"保留中")&gt;0,"保留",IF(COUNTIFS(請求記録!$B$6:$B$3005,$A127,請求記録!$Z$6:$Z$3005,D$5)=0,"",SUMIFS(請求記録!$AE$6:$AE$3005,請求記録!$B$6:$B$3005,$A127,請求記録!$Z$6:$Z$3005,D$5))))</f>
        <v/>
      </c>
      <c r="E127" s="19">
        <f>IF($A127="","",IF(COUNTIFS(請求記録!$B$6:$B$3005,$A127,請求記録!$Z$6:$Z$3005,E$5,請求記録!$AF$6:$AF$3005,"保留中")&gt;0,"保留",IF(COUNTIFS(請求記録!$B$6:$B$3005,$A127,請求記録!$Z$6:$Z$3005,E$5)=0,"",SUMIFS(請求記録!$AE$6:$AE$3005,請求記録!$B$6:$B$3005,$A127,請求記録!$Z$6:$Z$3005,E$5))))</f>
        <v/>
      </c>
      <c r="F127" s="19">
        <f>IF($A127="","",IF(COUNTIFS(請求記録!$B$6:$B$3005,$A127,請求記録!$Z$6:$Z$3005,F$5,請求記録!$AF$6:$AF$3005,"保留中")&gt;0,"保留",IF(COUNTIFS(請求記録!$B$6:$B$3005,$A127,請求記録!$Z$6:$Z$3005,F$5)=0,"",SUMIFS(請求記録!$AE$6:$AE$3005,請求記録!$B$6:$B$3005,$A127,請求記録!$Z$6:$Z$3005,F$5))))</f>
        <v/>
      </c>
      <c r="G127" s="19">
        <f>IF($A127="","",IF(COUNTIFS(請求記録!$B$6:$B$3005,$A127,請求記録!$Z$6:$Z$3005,G$5,請求記録!$AF$6:$AF$3005,"保留中")&gt;0,"保留",IF(COUNTIFS(請求記録!$B$6:$B$3005,$A127,請求記録!$Z$6:$Z$3005,G$5)=0,"",SUMIFS(請求記録!$AE$6:$AE$3005,請求記録!$B$6:$B$3005,$A127,請求記録!$Z$6:$Z$3005,G$5))))</f>
        <v/>
      </c>
      <c r="H127" s="19">
        <f>IF($A127="","",IF(COUNTIFS(請求記録!$B$6:$B$3005,$A127,請求記録!$Z$6:$Z$3005,H$5,請求記録!$AF$6:$AF$3005,"保留中")&gt;0,"保留",IF(COUNTIFS(請求記録!$B$6:$B$3005,$A127,請求記録!$Z$6:$Z$3005,H$5)=0,"",SUMIFS(請求記録!$AE$6:$AE$3005,請求記録!$B$6:$B$3005,$A127,請求記録!$Z$6:$Z$3005,H$5))))</f>
        <v/>
      </c>
      <c r="I127" s="19">
        <f>IF($A127="","",IF(COUNTIFS(請求記録!$B$6:$B$3005,$A127,請求記録!$Z$6:$Z$3005,I$5,請求記録!$AF$6:$AF$3005,"保留中")&gt;0,"保留",IF(COUNTIFS(請求記録!$B$6:$B$3005,$A127,請求記録!$Z$6:$Z$3005,I$5)=0,"",SUMIFS(請求記録!$AE$6:$AE$3005,請求記録!$B$6:$B$3005,$A127,請求記録!$Z$6:$Z$3005,I$5))))</f>
        <v/>
      </c>
      <c r="J127" s="19">
        <f>IF($A127="","",IF(COUNTIFS(請求記録!$B$6:$B$3005,$A127,請求記録!$Z$6:$Z$3005,J$5,請求記録!$AF$6:$AF$3005,"保留中")&gt;0,"保留",IF(COUNTIFS(請求記録!$B$6:$B$3005,$A127,請求記録!$Z$6:$Z$3005,J$5)=0,"",SUMIFS(請求記録!$AE$6:$AE$3005,請求記録!$B$6:$B$3005,$A127,請求記録!$Z$6:$Z$3005,J$5))))</f>
        <v/>
      </c>
      <c r="K127" s="19">
        <f>IF($A127="","",IF(COUNTIFS(請求記録!$B$6:$B$3005,$A127,請求記録!$Z$6:$Z$3005,K$5,請求記録!$AF$6:$AF$3005,"保留中")&gt;0,"保留",IF(COUNTIFS(請求記録!$B$6:$B$3005,$A127,請求記録!$Z$6:$Z$3005,K$5)=0,"",SUMIFS(請求記録!$AE$6:$AE$3005,請求記録!$B$6:$B$3005,$A127,請求記録!$Z$6:$Z$3005,K$5))))</f>
        <v/>
      </c>
      <c r="L127" s="19">
        <f>IF($A127="","",IF(COUNTIFS(請求記録!$B$6:$B$3005,$A127,請求記録!$Z$6:$Z$3005,L$5,請求記録!$AF$6:$AF$3005,"保留中")&gt;0,"保留",IF(COUNTIFS(請求記録!$B$6:$B$3005,$A127,請求記録!$Z$6:$Z$3005,L$5)=0,"",SUMIFS(請求記録!$AE$6:$AE$3005,請求記録!$B$6:$B$3005,$A127,請求記録!$Z$6:$Z$3005,L$5))))</f>
        <v/>
      </c>
      <c r="M127" s="19">
        <f>IF($A127="","",IF(COUNTIFS(請求記録!$B$6:$B$3005,$A127,請求記録!$Z$6:$Z$3005,M$5,請求記録!$AF$6:$AF$3005,"保留中")&gt;0,"保留",IF(COUNTIFS(請求記録!$B$6:$B$3005,$A127,請求記録!$Z$6:$Z$3005,M$5)=0,"",SUMIFS(請求記録!$AE$6:$AE$3005,請求記録!$B$6:$B$3005,$A127,請求記録!$Z$6:$Z$3005,M$5))))</f>
        <v/>
      </c>
      <c r="N127" s="19">
        <f>IF($A127="","",IF(COUNTIFS(請求記録!$B$6:$B$3005,$A127,請求記録!$Z$6:$Z$3005,N$5,請求記録!$AF$6:$AF$3005,"保留中")&gt;0,"保留",IF(COUNTIFS(請求記録!$B$6:$B$3005,$A127,請求記録!$Z$6:$Z$3005,N$5)=0,"",SUMIFS(請求記録!$AE$6:$AE$3005,請求記録!$B$6:$B$3005,$A127,請求記録!$Z$6:$Z$3005,N$5))))</f>
        <v/>
      </c>
      <c r="O127" s="19">
        <f>IF($A127="","",IF(COUNTIFS(請求記録!$B$6:$B$3005,$A127,請求記録!$Z$6:$Z$3005,O$5,請求記録!$AF$6:$AF$3005,"保留中")&gt;0,"保留",IF(COUNTIFS(請求記録!$B$6:$B$3005,$A127,請求記録!$Z$6:$Z$3005,O$5)=0,"",SUMIFS(請求記録!$AE$6:$AE$3005,請求記録!$B$6:$B$3005,$A127,請求記録!$Z$6:$Z$3005,O$5))))</f>
        <v/>
      </c>
      <c r="P127" s="19">
        <f>IF($A127="","",IF(COUNTIFS(請求記録!$B$6:$B$3005,$A127,請求記録!$Z$6:$Z$3005,P$5,請求記録!$AF$6:$AF$3005,"保留中")&gt;0,"保留",IF(COUNTIFS(請求記録!$B$6:$B$3005,$A127,請求記録!$Z$6:$Z$3005,P$5)=0,"",SUMIFS(請求記録!$AE$6:$AE$3005,請求記録!$B$6:$B$3005,$A127,請求記録!$Z$6:$Z$3005,P$5))))</f>
        <v/>
      </c>
      <c r="Q127" s="19">
        <f>IF($A127="","",IF(COUNTIFS(請求記録!$B$6:$B$3005,$A127,請求記録!$Z$6:$Z$3005,Q$5,請求記録!$AF$6:$AF$3005,"保留中")&gt;0,"保留",IF(COUNTIFS(請求記録!$B$6:$B$3005,$A127,請求記録!$Z$6:$Z$3005,Q$5)=0,"",SUMIFS(請求記録!$AE$6:$AE$3005,請求記録!$B$6:$B$3005,$A127,請求記録!$Z$6:$Z$3005,Q$5))))</f>
        <v/>
      </c>
      <c r="R127" s="19">
        <f>IF($A127="","",IF(COUNTIFS(請求記録!$B$6:$B$3005,$A127,請求記録!$Z$6:$Z$3005,R$5,請求記録!$AF$6:$AF$3005,"保留中")&gt;0,"保留",IF(COUNTIFS(請求記録!$B$6:$B$3005,$A127,請求記録!$Z$6:$Z$3005,R$5)=0,"",SUMIFS(請求記録!$AE$6:$AE$3005,請求記録!$B$6:$B$3005,$A127,請求記録!$Z$6:$Z$3005,R$5))))</f>
        <v/>
      </c>
      <c r="S127" s="19">
        <f>IF($A127="","",IF(COUNTIFS(請求記録!$B$6:$B$3005,$A127,請求記録!$Z$6:$Z$3005,S$5,請求記録!$AF$6:$AF$3005,"保留中")&gt;0,"保留",IF(COUNTIFS(請求記録!$B$6:$B$3005,$A127,請求記録!$Z$6:$Z$3005,S$5)=0,"",SUMIFS(請求記録!$AE$6:$AE$3005,請求記録!$B$6:$B$3005,$A127,請求記録!$Z$6:$Z$3005,S$5))))</f>
        <v/>
      </c>
      <c r="T127" s="19">
        <f>IF($A127="","",IF(COUNTIFS(請求記録!$B$6:$B$3005,$A127,請求記録!$Z$6:$Z$3005,T$5,請求記録!$AF$6:$AF$3005,"保留中")&gt;0,"保留",IF(COUNTIFS(請求記録!$B$6:$B$3005,$A127,請求記録!$Z$6:$Z$3005,T$5)=0,"",SUMIFS(請求記録!$AE$6:$AE$3005,請求記録!$B$6:$B$3005,$A127,請求記録!$Z$6:$Z$3005,T$5))))</f>
        <v/>
      </c>
      <c r="U127" s="19">
        <f>IF($A127="","",IF(COUNTIFS(請求記録!$B$6:$B$3005,$A127,請求記録!$Z$6:$Z$3005,U$5,請求記録!$AF$6:$AF$3005,"保留中")&gt;0,"保留",IF(COUNTIFS(請求記録!$B$6:$B$3005,$A127,請求記録!$Z$6:$Z$3005,U$5)=0,"",SUMIFS(請求記録!$AE$6:$AE$3005,請求記録!$B$6:$B$3005,$A127,請求記録!$Z$6:$Z$3005,U$5))))</f>
        <v/>
      </c>
      <c r="V127" s="19">
        <f>IF($A127="","",IF(COUNTIFS(請求記録!$B$6:$B$3005,$A127,請求記録!$Z$6:$Z$3005,V$5,請求記録!$AF$6:$AF$3005,"保留中")&gt;0,"保留",IF(COUNTIFS(請求記録!$B$6:$B$3005,$A127,請求記録!$Z$6:$Z$3005,V$5)=0,"",SUMIFS(請求記録!$AE$6:$AE$3005,請求記録!$B$6:$B$3005,$A127,請求記録!$Z$6:$Z$3005,V$5))))</f>
        <v/>
      </c>
      <c r="W127" s="19">
        <f>IF($A127="","",IF(COUNTIFS(請求記録!$B$6:$B$3005,$A127,請求記録!$Z$6:$Z$3005,W$5,請求記録!$AF$6:$AF$3005,"保留中")&gt;0,"保留",IF(COUNTIFS(請求記録!$B$6:$B$3005,$A127,請求記録!$Z$6:$Z$3005,W$5)=0,"",SUMIFS(請求記録!$AE$6:$AE$3005,請求記録!$B$6:$B$3005,$A127,請求記録!$Z$6:$Z$3005,W$5))))</f>
        <v/>
      </c>
      <c r="X127" s="19">
        <f>IF($A127="","",IF(COUNTIFS(請求記録!$B$6:$B$3005,$A127,請求記録!$Z$6:$Z$3005,X$5,請求記録!$AF$6:$AF$3005,"保留中")&gt;0,"保留",IF(COUNTIFS(請求記録!$B$6:$B$3005,$A127,請求記録!$Z$6:$Z$3005,X$5)=0,"",SUMIFS(請求記録!$AE$6:$AE$3005,請求記録!$B$6:$B$3005,$A127,請求記録!$Z$6:$Z$3005,X$5))))</f>
        <v/>
      </c>
      <c r="Y127" s="19">
        <f>IF($A127="","",IF(COUNTIFS(請求記録!$B$6:$B$3005,$A127,請求記録!$Z$6:$Z$3005,Y$5,請求記録!$AF$6:$AF$3005,"保留中")&gt;0,"保留",IF(COUNTIFS(請求記録!$B$6:$B$3005,$A127,請求記録!$Z$6:$Z$3005,Y$5)=0,"",SUMIFS(請求記録!$AE$6:$AE$3005,請求記録!$B$6:$B$3005,$A127,請求記録!$Z$6:$Z$3005,Y$5))))</f>
        <v/>
      </c>
      <c r="Z127" s="19">
        <f>IF($A127="","",IF(COUNTIFS(請求記録!$B$6:$B$3005,$A127,請求記録!$Z$6:$Z$3005,Z$5,請求記録!$AF$6:$AF$3005,"保留中")&gt;0,"保留",IF(COUNTIFS(請求記録!$B$6:$B$3005,$A127,請求記録!$Z$6:$Z$3005,Z$5)=0,"",SUMIFS(請求記録!$AE$6:$AE$3005,請求記録!$B$6:$B$3005,$A127,請求記録!$Z$6:$Z$3005,Z$5))))</f>
        <v/>
      </c>
      <c r="AA127" s="19">
        <f>IF($A127="","",IF(COUNTIFS(請求記録!$B$6:$B$3005,$A127,請求記録!$Z$6:$Z$3005,AA$5,請求記録!$AF$6:$AF$3005,"保留中")&gt;0,"保留",IF(COUNTIFS(請求記録!$B$6:$B$3005,$A127,請求記録!$Z$6:$Z$3005,AA$5)=0,"",SUMIFS(請求記録!$AE$6:$AE$3005,請求記録!$B$6:$B$3005,$A127,請求記録!$Z$6:$Z$3005,AA$5))))</f>
        <v/>
      </c>
      <c r="AB127">
        <f>IF(職員マスタ!P127="保留中",職員マスタ!M127,"")</f>
        <v/>
      </c>
    </row>
    <row r="128">
      <c r="A128">
        <f>IF(職員マスタ!A128="","",職員マスタ!A128)</f>
        <v/>
      </c>
      <c r="B128">
        <f>IF($A128="","",職員マスタ!B128)</f>
        <v/>
      </c>
      <c r="C128">
        <f>IF($A128="","",職員マスタ!C128)</f>
        <v/>
      </c>
      <c r="D128" s="19">
        <f>IF($A128="","",IF(COUNTIFS(請求記録!$B$6:$B$3005,$A128,請求記録!$Z$6:$Z$3005,D$5,請求記録!$AF$6:$AF$3005,"保留中")&gt;0,"保留",IF(COUNTIFS(請求記録!$B$6:$B$3005,$A128,請求記録!$Z$6:$Z$3005,D$5)=0,"",SUMIFS(請求記録!$AE$6:$AE$3005,請求記録!$B$6:$B$3005,$A128,請求記録!$Z$6:$Z$3005,D$5))))</f>
        <v/>
      </c>
      <c r="E128" s="19">
        <f>IF($A128="","",IF(COUNTIFS(請求記録!$B$6:$B$3005,$A128,請求記録!$Z$6:$Z$3005,E$5,請求記録!$AF$6:$AF$3005,"保留中")&gt;0,"保留",IF(COUNTIFS(請求記録!$B$6:$B$3005,$A128,請求記録!$Z$6:$Z$3005,E$5)=0,"",SUMIFS(請求記録!$AE$6:$AE$3005,請求記録!$B$6:$B$3005,$A128,請求記録!$Z$6:$Z$3005,E$5))))</f>
        <v/>
      </c>
      <c r="F128" s="19">
        <f>IF($A128="","",IF(COUNTIFS(請求記録!$B$6:$B$3005,$A128,請求記録!$Z$6:$Z$3005,F$5,請求記録!$AF$6:$AF$3005,"保留中")&gt;0,"保留",IF(COUNTIFS(請求記録!$B$6:$B$3005,$A128,請求記録!$Z$6:$Z$3005,F$5)=0,"",SUMIFS(請求記録!$AE$6:$AE$3005,請求記録!$B$6:$B$3005,$A128,請求記録!$Z$6:$Z$3005,F$5))))</f>
        <v/>
      </c>
      <c r="G128" s="19">
        <f>IF($A128="","",IF(COUNTIFS(請求記録!$B$6:$B$3005,$A128,請求記録!$Z$6:$Z$3005,G$5,請求記録!$AF$6:$AF$3005,"保留中")&gt;0,"保留",IF(COUNTIFS(請求記録!$B$6:$B$3005,$A128,請求記録!$Z$6:$Z$3005,G$5)=0,"",SUMIFS(請求記録!$AE$6:$AE$3005,請求記録!$B$6:$B$3005,$A128,請求記録!$Z$6:$Z$3005,G$5))))</f>
        <v/>
      </c>
      <c r="H128" s="19">
        <f>IF($A128="","",IF(COUNTIFS(請求記録!$B$6:$B$3005,$A128,請求記録!$Z$6:$Z$3005,H$5,請求記録!$AF$6:$AF$3005,"保留中")&gt;0,"保留",IF(COUNTIFS(請求記録!$B$6:$B$3005,$A128,請求記録!$Z$6:$Z$3005,H$5)=0,"",SUMIFS(請求記録!$AE$6:$AE$3005,請求記録!$B$6:$B$3005,$A128,請求記録!$Z$6:$Z$3005,H$5))))</f>
        <v/>
      </c>
      <c r="I128" s="19">
        <f>IF($A128="","",IF(COUNTIFS(請求記録!$B$6:$B$3005,$A128,請求記録!$Z$6:$Z$3005,I$5,請求記録!$AF$6:$AF$3005,"保留中")&gt;0,"保留",IF(COUNTIFS(請求記録!$B$6:$B$3005,$A128,請求記録!$Z$6:$Z$3005,I$5)=0,"",SUMIFS(請求記録!$AE$6:$AE$3005,請求記録!$B$6:$B$3005,$A128,請求記録!$Z$6:$Z$3005,I$5))))</f>
        <v/>
      </c>
      <c r="J128" s="19">
        <f>IF($A128="","",IF(COUNTIFS(請求記録!$B$6:$B$3005,$A128,請求記録!$Z$6:$Z$3005,J$5,請求記録!$AF$6:$AF$3005,"保留中")&gt;0,"保留",IF(COUNTIFS(請求記録!$B$6:$B$3005,$A128,請求記録!$Z$6:$Z$3005,J$5)=0,"",SUMIFS(請求記録!$AE$6:$AE$3005,請求記録!$B$6:$B$3005,$A128,請求記録!$Z$6:$Z$3005,J$5))))</f>
        <v/>
      </c>
      <c r="K128" s="19">
        <f>IF($A128="","",IF(COUNTIFS(請求記録!$B$6:$B$3005,$A128,請求記録!$Z$6:$Z$3005,K$5,請求記録!$AF$6:$AF$3005,"保留中")&gt;0,"保留",IF(COUNTIFS(請求記録!$B$6:$B$3005,$A128,請求記録!$Z$6:$Z$3005,K$5)=0,"",SUMIFS(請求記録!$AE$6:$AE$3005,請求記録!$B$6:$B$3005,$A128,請求記録!$Z$6:$Z$3005,K$5))))</f>
        <v/>
      </c>
      <c r="L128" s="19">
        <f>IF($A128="","",IF(COUNTIFS(請求記録!$B$6:$B$3005,$A128,請求記録!$Z$6:$Z$3005,L$5,請求記録!$AF$6:$AF$3005,"保留中")&gt;0,"保留",IF(COUNTIFS(請求記録!$B$6:$B$3005,$A128,請求記録!$Z$6:$Z$3005,L$5)=0,"",SUMIFS(請求記録!$AE$6:$AE$3005,請求記録!$B$6:$B$3005,$A128,請求記録!$Z$6:$Z$3005,L$5))))</f>
        <v/>
      </c>
      <c r="M128" s="19">
        <f>IF($A128="","",IF(COUNTIFS(請求記録!$B$6:$B$3005,$A128,請求記録!$Z$6:$Z$3005,M$5,請求記録!$AF$6:$AF$3005,"保留中")&gt;0,"保留",IF(COUNTIFS(請求記録!$B$6:$B$3005,$A128,請求記録!$Z$6:$Z$3005,M$5)=0,"",SUMIFS(請求記録!$AE$6:$AE$3005,請求記録!$B$6:$B$3005,$A128,請求記録!$Z$6:$Z$3005,M$5))))</f>
        <v/>
      </c>
      <c r="N128" s="19">
        <f>IF($A128="","",IF(COUNTIFS(請求記録!$B$6:$B$3005,$A128,請求記録!$Z$6:$Z$3005,N$5,請求記録!$AF$6:$AF$3005,"保留中")&gt;0,"保留",IF(COUNTIFS(請求記録!$B$6:$B$3005,$A128,請求記録!$Z$6:$Z$3005,N$5)=0,"",SUMIFS(請求記録!$AE$6:$AE$3005,請求記録!$B$6:$B$3005,$A128,請求記録!$Z$6:$Z$3005,N$5))))</f>
        <v/>
      </c>
      <c r="O128" s="19">
        <f>IF($A128="","",IF(COUNTIFS(請求記録!$B$6:$B$3005,$A128,請求記録!$Z$6:$Z$3005,O$5,請求記録!$AF$6:$AF$3005,"保留中")&gt;0,"保留",IF(COUNTIFS(請求記録!$B$6:$B$3005,$A128,請求記録!$Z$6:$Z$3005,O$5)=0,"",SUMIFS(請求記録!$AE$6:$AE$3005,請求記録!$B$6:$B$3005,$A128,請求記録!$Z$6:$Z$3005,O$5))))</f>
        <v/>
      </c>
      <c r="P128" s="19">
        <f>IF($A128="","",IF(COUNTIFS(請求記録!$B$6:$B$3005,$A128,請求記録!$Z$6:$Z$3005,P$5,請求記録!$AF$6:$AF$3005,"保留中")&gt;0,"保留",IF(COUNTIFS(請求記録!$B$6:$B$3005,$A128,請求記録!$Z$6:$Z$3005,P$5)=0,"",SUMIFS(請求記録!$AE$6:$AE$3005,請求記録!$B$6:$B$3005,$A128,請求記録!$Z$6:$Z$3005,P$5))))</f>
        <v/>
      </c>
      <c r="Q128" s="19">
        <f>IF($A128="","",IF(COUNTIFS(請求記録!$B$6:$B$3005,$A128,請求記録!$Z$6:$Z$3005,Q$5,請求記録!$AF$6:$AF$3005,"保留中")&gt;0,"保留",IF(COUNTIFS(請求記録!$B$6:$B$3005,$A128,請求記録!$Z$6:$Z$3005,Q$5)=0,"",SUMIFS(請求記録!$AE$6:$AE$3005,請求記録!$B$6:$B$3005,$A128,請求記録!$Z$6:$Z$3005,Q$5))))</f>
        <v/>
      </c>
      <c r="R128" s="19">
        <f>IF($A128="","",IF(COUNTIFS(請求記録!$B$6:$B$3005,$A128,請求記録!$Z$6:$Z$3005,R$5,請求記録!$AF$6:$AF$3005,"保留中")&gt;0,"保留",IF(COUNTIFS(請求記録!$B$6:$B$3005,$A128,請求記録!$Z$6:$Z$3005,R$5)=0,"",SUMIFS(請求記録!$AE$6:$AE$3005,請求記録!$B$6:$B$3005,$A128,請求記録!$Z$6:$Z$3005,R$5))))</f>
        <v/>
      </c>
      <c r="S128" s="19">
        <f>IF($A128="","",IF(COUNTIFS(請求記録!$B$6:$B$3005,$A128,請求記録!$Z$6:$Z$3005,S$5,請求記録!$AF$6:$AF$3005,"保留中")&gt;0,"保留",IF(COUNTIFS(請求記録!$B$6:$B$3005,$A128,請求記録!$Z$6:$Z$3005,S$5)=0,"",SUMIFS(請求記録!$AE$6:$AE$3005,請求記録!$B$6:$B$3005,$A128,請求記録!$Z$6:$Z$3005,S$5))))</f>
        <v/>
      </c>
      <c r="T128" s="19">
        <f>IF($A128="","",IF(COUNTIFS(請求記録!$B$6:$B$3005,$A128,請求記録!$Z$6:$Z$3005,T$5,請求記録!$AF$6:$AF$3005,"保留中")&gt;0,"保留",IF(COUNTIFS(請求記録!$B$6:$B$3005,$A128,請求記録!$Z$6:$Z$3005,T$5)=0,"",SUMIFS(請求記録!$AE$6:$AE$3005,請求記録!$B$6:$B$3005,$A128,請求記録!$Z$6:$Z$3005,T$5))))</f>
        <v/>
      </c>
      <c r="U128" s="19">
        <f>IF($A128="","",IF(COUNTIFS(請求記録!$B$6:$B$3005,$A128,請求記録!$Z$6:$Z$3005,U$5,請求記録!$AF$6:$AF$3005,"保留中")&gt;0,"保留",IF(COUNTIFS(請求記録!$B$6:$B$3005,$A128,請求記録!$Z$6:$Z$3005,U$5)=0,"",SUMIFS(請求記録!$AE$6:$AE$3005,請求記録!$B$6:$B$3005,$A128,請求記録!$Z$6:$Z$3005,U$5))))</f>
        <v/>
      </c>
      <c r="V128" s="19">
        <f>IF($A128="","",IF(COUNTIFS(請求記録!$B$6:$B$3005,$A128,請求記録!$Z$6:$Z$3005,V$5,請求記録!$AF$6:$AF$3005,"保留中")&gt;0,"保留",IF(COUNTIFS(請求記録!$B$6:$B$3005,$A128,請求記録!$Z$6:$Z$3005,V$5)=0,"",SUMIFS(請求記録!$AE$6:$AE$3005,請求記録!$B$6:$B$3005,$A128,請求記録!$Z$6:$Z$3005,V$5))))</f>
        <v/>
      </c>
      <c r="W128" s="19">
        <f>IF($A128="","",IF(COUNTIFS(請求記録!$B$6:$B$3005,$A128,請求記録!$Z$6:$Z$3005,W$5,請求記録!$AF$6:$AF$3005,"保留中")&gt;0,"保留",IF(COUNTIFS(請求記録!$B$6:$B$3005,$A128,請求記録!$Z$6:$Z$3005,W$5)=0,"",SUMIFS(請求記録!$AE$6:$AE$3005,請求記録!$B$6:$B$3005,$A128,請求記録!$Z$6:$Z$3005,W$5))))</f>
        <v/>
      </c>
      <c r="X128" s="19">
        <f>IF($A128="","",IF(COUNTIFS(請求記録!$B$6:$B$3005,$A128,請求記録!$Z$6:$Z$3005,X$5,請求記録!$AF$6:$AF$3005,"保留中")&gt;0,"保留",IF(COUNTIFS(請求記録!$B$6:$B$3005,$A128,請求記録!$Z$6:$Z$3005,X$5)=0,"",SUMIFS(請求記録!$AE$6:$AE$3005,請求記録!$B$6:$B$3005,$A128,請求記録!$Z$6:$Z$3005,X$5))))</f>
        <v/>
      </c>
      <c r="Y128" s="19">
        <f>IF($A128="","",IF(COUNTIFS(請求記録!$B$6:$B$3005,$A128,請求記録!$Z$6:$Z$3005,Y$5,請求記録!$AF$6:$AF$3005,"保留中")&gt;0,"保留",IF(COUNTIFS(請求記録!$B$6:$B$3005,$A128,請求記録!$Z$6:$Z$3005,Y$5)=0,"",SUMIFS(請求記録!$AE$6:$AE$3005,請求記録!$B$6:$B$3005,$A128,請求記録!$Z$6:$Z$3005,Y$5))))</f>
        <v/>
      </c>
      <c r="Z128" s="19">
        <f>IF($A128="","",IF(COUNTIFS(請求記録!$B$6:$B$3005,$A128,請求記録!$Z$6:$Z$3005,Z$5,請求記録!$AF$6:$AF$3005,"保留中")&gt;0,"保留",IF(COUNTIFS(請求記録!$B$6:$B$3005,$A128,請求記録!$Z$6:$Z$3005,Z$5)=0,"",SUMIFS(請求記録!$AE$6:$AE$3005,請求記録!$B$6:$B$3005,$A128,請求記録!$Z$6:$Z$3005,Z$5))))</f>
        <v/>
      </c>
      <c r="AA128" s="19">
        <f>IF($A128="","",IF(COUNTIFS(請求記録!$B$6:$B$3005,$A128,請求記録!$Z$6:$Z$3005,AA$5,請求記録!$AF$6:$AF$3005,"保留中")&gt;0,"保留",IF(COUNTIFS(請求記録!$B$6:$B$3005,$A128,請求記録!$Z$6:$Z$3005,AA$5)=0,"",SUMIFS(請求記録!$AE$6:$AE$3005,請求記録!$B$6:$B$3005,$A128,請求記録!$Z$6:$Z$3005,AA$5))))</f>
        <v/>
      </c>
      <c r="AB128">
        <f>IF(職員マスタ!P128="保留中",職員マスタ!M128,"")</f>
        <v/>
      </c>
    </row>
    <row r="129">
      <c r="A129">
        <f>IF(職員マスタ!A129="","",職員マスタ!A129)</f>
        <v/>
      </c>
      <c r="B129">
        <f>IF($A129="","",職員マスタ!B129)</f>
        <v/>
      </c>
      <c r="C129">
        <f>IF($A129="","",職員マスタ!C129)</f>
        <v/>
      </c>
      <c r="D129" s="19">
        <f>IF($A129="","",IF(COUNTIFS(請求記録!$B$6:$B$3005,$A129,請求記録!$Z$6:$Z$3005,D$5,請求記録!$AF$6:$AF$3005,"保留中")&gt;0,"保留",IF(COUNTIFS(請求記録!$B$6:$B$3005,$A129,請求記録!$Z$6:$Z$3005,D$5)=0,"",SUMIFS(請求記録!$AE$6:$AE$3005,請求記録!$B$6:$B$3005,$A129,請求記録!$Z$6:$Z$3005,D$5))))</f>
        <v/>
      </c>
      <c r="E129" s="19">
        <f>IF($A129="","",IF(COUNTIFS(請求記録!$B$6:$B$3005,$A129,請求記録!$Z$6:$Z$3005,E$5,請求記録!$AF$6:$AF$3005,"保留中")&gt;0,"保留",IF(COUNTIFS(請求記録!$B$6:$B$3005,$A129,請求記録!$Z$6:$Z$3005,E$5)=0,"",SUMIFS(請求記録!$AE$6:$AE$3005,請求記録!$B$6:$B$3005,$A129,請求記録!$Z$6:$Z$3005,E$5))))</f>
        <v/>
      </c>
      <c r="F129" s="19">
        <f>IF($A129="","",IF(COUNTIFS(請求記録!$B$6:$B$3005,$A129,請求記録!$Z$6:$Z$3005,F$5,請求記録!$AF$6:$AF$3005,"保留中")&gt;0,"保留",IF(COUNTIFS(請求記録!$B$6:$B$3005,$A129,請求記録!$Z$6:$Z$3005,F$5)=0,"",SUMIFS(請求記録!$AE$6:$AE$3005,請求記録!$B$6:$B$3005,$A129,請求記録!$Z$6:$Z$3005,F$5))))</f>
        <v/>
      </c>
      <c r="G129" s="19">
        <f>IF($A129="","",IF(COUNTIFS(請求記録!$B$6:$B$3005,$A129,請求記録!$Z$6:$Z$3005,G$5,請求記録!$AF$6:$AF$3005,"保留中")&gt;0,"保留",IF(COUNTIFS(請求記録!$B$6:$B$3005,$A129,請求記録!$Z$6:$Z$3005,G$5)=0,"",SUMIFS(請求記録!$AE$6:$AE$3005,請求記録!$B$6:$B$3005,$A129,請求記録!$Z$6:$Z$3005,G$5))))</f>
        <v/>
      </c>
      <c r="H129" s="19">
        <f>IF($A129="","",IF(COUNTIFS(請求記録!$B$6:$B$3005,$A129,請求記録!$Z$6:$Z$3005,H$5,請求記録!$AF$6:$AF$3005,"保留中")&gt;0,"保留",IF(COUNTIFS(請求記録!$B$6:$B$3005,$A129,請求記録!$Z$6:$Z$3005,H$5)=0,"",SUMIFS(請求記録!$AE$6:$AE$3005,請求記録!$B$6:$B$3005,$A129,請求記録!$Z$6:$Z$3005,H$5))))</f>
        <v/>
      </c>
      <c r="I129" s="19">
        <f>IF($A129="","",IF(COUNTIFS(請求記録!$B$6:$B$3005,$A129,請求記録!$Z$6:$Z$3005,I$5,請求記録!$AF$6:$AF$3005,"保留中")&gt;0,"保留",IF(COUNTIFS(請求記録!$B$6:$B$3005,$A129,請求記録!$Z$6:$Z$3005,I$5)=0,"",SUMIFS(請求記録!$AE$6:$AE$3005,請求記録!$B$6:$B$3005,$A129,請求記録!$Z$6:$Z$3005,I$5))))</f>
        <v/>
      </c>
      <c r="J129" s="19">
        <f>IF($A129="","",IF(COUNTIFS(請求記録!$B$6:$B$3005,$A129,請求記録!$Z$6:$Z$3005,J$5,請求記録!$AF$6:$AF$3005,"保留中")&gt;0,"保留",IF(COUNTIFS(請求記録!$B$6:$B$3005,$A129,請求記録!$Z$6:$Z$3005,J$5)=0,"",SUMIFS(請求記録!$AE$6:$AE$3005,請求記録!$B$6:$B$3005,$A129,請求記録!$Z$6:$Z$3005,J$5))))</f>
        <v/>
      </c>
      <c r="K129" s="19">
        <f>IF($A129="","",IF(COUNTIFS(請求記録!$B$6:$B$3005,$A129,請求記録!$Z$6:$Z$3005,K$5,請求記録!$AF$6:$AF$3005,"保留中")&gt;0,"保留",IF(COUNTIFS(請求記録!$B$6:$B$3005,$A129,請求記録!$Z$6:$Z$3005,K$5)=0,"",SUMIFS(請求記録!$AE$6:$AE$3005,請求記録!$B$6:$B$3005,$A129,請求記録!$Z$6:$Z$3005,K$5))))</f>
        <v/>
      </c>
      <c r="L129" s="19">
        <f>IF($A129="","",IF(COUNTIFS(請求記録!$B$6:$B$3005,$A129,請求記録!$Z$6:$Z$3005,L$5,請求記録!$AF$6:$AF$3005,"保留中")&gt;0,"保留",IF(COUNTIFS(請求記録!$B$6:$B$3005,$A129,請求記録!$Z$6:$Z$3005,L$5)=0,"",SUMIFS(請求記録!$AE$6:$AE$3005,請求記録!$B$6:$B$3005,$A129,請求記録!$Z$6:$Z$3005,L$5))))</f>
        <v/>
      </c>
      <c r="M129" s="19">
        <f>IF($A129="","",IF(COUNTIFS(請求記録!$B$6:$B$3005,$A129,請求記録!$Z$6:$Z$3005,M$5,請求記録!$AF$6:$AF$3005,"保留中")&gt;0,"保留",IF(COUNTIFS(請求記録!$B$6:$B$3005,$A129,請求記録!$Z$6:$Z$3005,M$5)=0,"",SUMIFS(請求記録!$AE$6:$AE$3005,請求記録!$B$6:$B$3005,$A129,請求記録!$Z$6:$Z$3005,M$5))))</f>
        <v/>
      </c>
      <c r="N129" s="19">
        <f>IF($A129="","",IF(COUNTIFS(請求記録!$B$6:$B$3005,$A129,請求記録!$Z$6:$Z$3005,N$5,請求記録!$AF$6:$AF$3005,"保留中")&gt;0,"保留",IF(COUNTIFS(請求記録!$B$6:$B$3005,$A129,請求記録!$Z$6:$Z$3005,N$5)=0,"",SUMIFS(請求記録!$AE$6:$AE$3005,請求記録!$B$6:$B$3005,$A129,請求記録!$Z$6:$Z$3005,N$5))))</f>
        <v/>
      </c>
      <c r="O129" s="19">
        <f>IF($A129="","",IF(COUNTIFS(請求記録!$B$6:$B$3005,$A129,請求記録!$Z$6:$Z$3005,O$5,請求記録!$AF$6:$AF$3005,"保留中")&gt;0,"保留",IF(COUNTIFS(請求記録!$B$6:$B$3005,$A129,請求記録!$Z$6:$Z$3005,O$5)=0,"",SUMIFS(請求記録!$AE$6:$AE$3005,請求記録!$B$6:$B$3005,$A129,請求記録!$Z$6:$Z$3005,O$5))))</f>
        <v/>
      </c>
      <c r="P129" s="19">
        <f>IF($A129="","",IF(COUNTIFS(請求記録!$B$6:$B$3005,$A129,請求記録!$Z$6:$Z$3005,P$5,請求記録!$AF$6:$AF$3005,"保留中")&gt;0,"保留",IF(COUNTIFS(請求記録!$B$6:$B$3005,$A129,請求記録!$Z$6:$Z$3005,P$5)=0,"",SUMIFS(請求記録!$AE$6:$AE$3005,請求記録!$B$6:$B$3005,$A129,請求記録!$Z$6:$Z$3005,P$5))))</f>
        <v/>
      </c>
      <c r="Q129" s="19">
        <f>IF($A129="","",IF(COUNTIFS(請求記録!$B$6:$B$3005,$A129,請求記録!$Z$6:$Z$3005,Q$5,請求記録!$AF$6:$AF$3005,"保留中")&gt;0,"保留",IF(COUNTIFS(請求記録!$B$6:$B$3005,$A129,請求記録!$Z$6:$Z$3005,Q$5)=0,"",SUMIFS(請求記録!$AE$6:$AE$3005,請求記録!$B$6:$B$3005,$A129,請求記録!$Z$6:$Z$3005,Q$5))))</f>
        <v/>
      </c>
      <c r="R129" s="19">
        <f>IF($A129="","",IF(COUNTIFS(請求記録!$B$6:$B$3005,$A129,請求記録!$Z$6:$Z$3005,R$5,請求記録!$AF$6:$AF$3005,"保留中")&gt;0,"保留",IF(COUNTIFS(請求記録!$B$6:$B$3005,$A129,請求記録!$Z$6:$Z$3005,R$5)=0,"",SUMIFS(請求記録!$AE$6:$AE$3005,請求記録!$B$6:$B$3005,$A129,請求記録!$Z$6:$Z$3005,R$5))))</f>
        <v/>
      </c>
      <c r="S129" s="19">
        <f>IF($A129="","",IF(COUNTIFS(請求記録!$B$6:$B$3005,$A129,請求記録!$Z$6:$Z$3005,S$5,請求記録!$AF$6:$AF$3005,"保留中")&gt;0,"保留",IF(COUNTIFS(請求記録!$B$6:$B$3005,$A129,請求記録!$Z$6:$Z$3005,S$5)=0,"",SUMIFS(請求記録!$AE$6:$AE$3005,請求記録!$B$6:$B$3005,$A129,請求記録!$Z$6:$Z$3005,S$5))))</f>
        <v/>
      </c>
      <c r="T129" s="19">
        <f>IF($A129="","",IF(COUNTIFS(請求記録!$B$6:$B$3005,$A129,請求記録!$Z$6:$Z$3005,T$5,請求記録!$AF$6:$AF$3005,"保留中")&gt;0,"保留",IF(COUNTIFS(請求記録!$B$6:$B$3005,$A129,請求記録!$Z$6:$Z$3005,T$5)=0,"",SUMIFS(請求記録!$AE$6:$AE$3005,請求記録!$B$6:$B$3005,$A129,請求記録!$Z$6:$Z$3005,T$5))))</f>
        <v/>
      </c>
      <c r="U129" s="19">
        <f>IF($A129="","",IF(COUNTIFS(請求記録!$B$6:$B$3005,$A129,請求記録!$Z$6:$Z$3005,U$5,請求記録!$AF$6:$AF$3005,"保留中")&gt;0,"保留",IF(COUNTIFS(請求記録!$B$6:$B$3005,$A129,請求記録!$Z$6:$Z$3005,U$5)=0,"",SUMIFS(請求記録!$AE$6:$AE$3005,請求記録!$B$6:$B$3005,$A129,請求記録!$Z$6:$Z$3005,U$5))))</f>
        <v/>
      </c>
      <c r="V129" s="19">
        <f>IF($A129="","",IF(COUNTIFS(請求記録!$B$6:$B$3005,$A129,請求記録!$Z$6:$Z$3005,V$5,請求記録!$AF$6:$AF$3005,"保留中")&gt;0,"保留",IF(COUNTIFS(請求記録!$B$6:$B$3005,$A129,請求記録!$Z$6:$Z$3005,V$5)=0,"",SUMIFS(請求記録!$AE$6:$AE$3005,請求記録!$B$6:$B$3005,$A129,請求記録!$Z$6:$Z$3005,V$5))))</f>
        <v/>
      </c>
      <c r="W129" s="19">
        <f>IF($A129="","",IF(COUNTIFS(請求記録!$B$6:$B$3005,$A129,請求記録!$Z$6:$Z$3005,W$5,請求記録!$AF$6:$AF$3005,"保留中")&gt;0,"保留",IF(COUNTIFS(請求記録!$B$6:$B$3005,$A129,請求記録!$Z$6:$Z$3005,W$5)=0,"",SUMIFS(請求記録!$AE$6:$AE$3005,請求記録!$B$6:$B$3005,$A129,請求記録!$Z$6:$Z$3005,W$5))))</f>
        <v/>
      </c>
      <c r="X129" s="19">
        <f>IF($A129="","",IF(COUNTIFS(請求記録!$B$6:$B$3005,$A129,請求記録!$Z$6:$Z$3005,X$5,請求記録!$AF$6:$AF$3005,"保留中")&gt;0,"保留",IF(COUNTIFS(請求記録!$B$6:$B$3005,$A129,請求記録!$Z$6:$Z$3005,X$5)=0,"",SUMIFS(請求記録!$AE$6:$AE$3005,請求記録!$B$6:$B$3005,$A129,請求記録!$Z$6:$Z$3005,X$5))))</f>
        <v/>
      </c>
      <c r="Y129" s="19">
        <f>IF($A129="","",IF(COUNTIFS(請求記録!$B$6:$B$3005,$A129,請求記録!$Z$6:$Z$3005,Y$5,請求記録!$AF$6:$AF$3005,"保留中")&gt;0,"保留",IF(COUNTIFS(請求記録!$B$6:$B$3005,$A129,請求記録!$Z$6:$Z$3005,Y$5)=0,"",SUMIFS(請求記録!$AE$6:$AE$3005,請求記録!$B$6:$B$3005,$A129,請求記録!$Z$6:$Z$3005,Y$5))))</f>
        <v/>
      </c>
      <c r="Z129" s="19">
        <f>IF($A129="","",IF(COUNTIFS(請求記録!$B$6:$B$3005,$A129,請求記録!$Z$6:$Z$3005,Z$5,請求記録!$AF$6:$AF$3005,"保留中")&gt;0,"保留",IF(COUNTIFS(請求記録!$B$6:$B$3005,$A129,請求記録!$Z$6:$Z$3005,Z$5)=0,"",SUMIFS(請求記録!$AE$6:$AE$3005,請求記録!$B$6:$B$3005,$A129,請求記録!$Z$6:$Z$3005,Z$5))))</f>
        <v/>
      </c>
      <c r="AA129" s="19">
        <f>IF($A129="","",IF(COUNTIFS(請求記録!$B$6:$B$3005,$A129,請求記録!$Z$6:$Z$3005,AA$5,請求記録!$AF$6:$AF$3005,"保留中")&gt;0,"保留",IF(COUNTIFS(請求記録!$B$6:$B$3005,$A129,請求記録!$Z$6:$Z$3005,AA$5)=0,"",SUMIFS(請求記録!$AE$6:$AE$3005,請求記録!$B$6:$B$3005,$A129,請求記録!$Z$6:$Z$3005,AA$5))))</f>
        <v/>
      </c>
      <c r="AB129">
        <f>IF(職員マスタ!P129="保留中",職員マスタ!M129,"")</f>
        <v/>
      </c>
    </row>
    <row r="130">
      <c r="A130">
        <f>IF(職員マスタ!A130="","",職員マスタ!A130)</f>
        <v/>
      </c>
      <c r="B130">
        <f>IF($A130="","",職員マスタ!B130)</f>
        <v/>
      </c>
      <c r="C130">
        <f>IF($A130="","",職員マスタ!C130)</f>
        <v/>
      </c>
      <c r="D130" s="19">
        <f>IF($A130="","",IF(COUNTIFS(請求記録!$B$6:$B$3005,$A130,請求記録!$Z$6:$Z$3005,D$5,請求記録!$AF$6:$AF$3005,"保留中")&gt;0,"保留",IF(COUNTIFS(請求記録!$B$6:$B$3005,$A130,請求記録!$Z$6:$Z$3005,D$5)=0,"",SUMIFS(請求記録!$AE$6:$AE$3005,請求記録!$B$6:$B$3005,$A130,請求記録!$Z$6:$Z$3005,D$5))))</f>
        <v/>
      </c>
      <c r="E130" s="19">
        <f>IF($A130="","",IF(COUNTIFS(請求記録!$B$6:$B$3005,$A130,請求記録!$Z$6:$Z$3005,E$5,請求記録!$AF$6:$AF$3005,"保留中")&gt;0,"保留",IF(COUNTIFS(請求記録!$B$6:$B$3005,$A130,請求記録!$Z$6:$Z$3005,E$5)=0,"",SUMIFS(請求記録!$AE$6:$AE$3005,請求記録!$B$6:$B$3005,$A130,請求記録!$Z$6:$Z$3005,E$5))))</f>
        <v/>
      </c>
      <c r="F130" s="19">
        <f>IF($A130="","",IF(COUNTIFS(請求記録!$B$6:$B$3005,$A130,請求記録!$Z$6:$Z$3005,F$5,請求記録!$AF$6:$AF$3005,"保留中")&gt;0,"保留",IF(COUNTIFS(請求記録!$B$6:$B$3005,$A130,請求記録!$Z$6:$Z$3005,F$5)=0,"",SUMIFS(請求記録!$AE$6:$AE$3005,請求記録!$B$6:$B$3005,$A130,請求記録!$Z$6:$Z$3005,F$5))))</f>
        <v/>
      </c>
      <c r="G130" s="19">
        <f>IF($A130="","",IF(COUNTIFS(請求記録!$B$6:$B$3005,$A130,請求記録!$Z$6:$Z$3005,G$5,請求記録!$AF$6:$AF$3005,"保留中")&gt;0,"保留",IF(COUNTIFS(請求記録!$B$6:$B$3005,$A130,請求記録!$Z$6:$Z$3005,G$5)=0,"",SUMIFS(請求記録!$AE$6:$AE$3005,請求記録!$B$6:$B$3005,$A130,請求記録!$Z$6:$Z$3005,G$5))))</f>
        <v/>
      </c>
      <c r="H130" s="19">
        <f>IF($A130="","",IF(COUNTIFS(請求記録!$B$6:$B$3005,$A130,請求記録!$Z$6:$Z$3005,H$5,請求記録!$AF$6:$AF$3005,"保留中")&gt;0,"保留",IF(COUNTIFS(請求記録!$B$6:$B$3005,$A130,請求記録!$Z$6:$Z$3005,H$5)=0,"",SUMIFS(請求記録!$AE$6:$AE$3005,請求記録!$B$6:$B$3005,$A130,請求記録!$Z$6:$Z$3005,H$5))))</f>
        <v/>
      </c>
      <c r="I130" s="19">
        <f>IF($A130="","",IF(COUNTIFS(請求記録!$B$6:$B$3005,$A130,請求記録!$Z$6:$Z$3005,I$5,請求記録!$AF$6:$AF$3005,"保留中")&gt;0,"保留",IF(COUNTIFS(請求記録!$B$6:$B$3005,$A130,請求記録!$Z$6:$Z$3005,I$5)=0,"",SUMIFS(請求記録!$AE$6:$AE$3005,請求記録!$B$6:$B$3005,$A130,請求記録!$Z$6:$Z$3005,I$5))))</f>
        <v/>
      </c>
      <c r="J130" s="19">
        <f>IF($A130="","",IF(COUNTIFS(請求記録!$B$6:$B$3005,$A130,請求記録!$Z$6:$Z$3005,J$5,請求記録!$AF$6:$AF$3005,"保留中")&gt;0,"保留",IF(COUNTIFS(請求記録!$B$6:$B$3005,$A130,請求記録!$Z$6:$Z$3005,J$5)=0,"",SUMIFS(請求記録!$AE$6:$AE$3005,請求記録!$B$6:$B$3005,$A130,請求記録!$Z$6:$Z$3005,J$5))))</f>
        <v/>
      </c>
      <c r="K130" s="19">
        <f>IF($A130="","",IF(COUNTIFS(請求記録!$B$6:$B$3005,$A130,請求記録!$Z$6:$Z$3005,K$5,請求記録!$AF$6:$AF$3005,"保留中")&gt;0,"保留",IF(COUNTIFS(請求記録!$B$6:$B$3005,$A130,請求記録!$Z$6:$Z$3005,K$5)=0,"",SUMIFS(請求記録!$AE$6:$AE$3005,請求記録!$B$6:$B$3005,$A130,請求記録!$Z$6:$Z$3005,K$5))))</f>
        <v/>
      </c>
      <c r="L130" s="19">
        <f>IF($A130="","",IF(COUNTIFS(請求記録!$B$6:$B$3005,$A130,請求記録!$Z$6:$Z$3005,L$5,請求記録!$AF$6:$AF$3005,"保留中")&gt;0,"保留",IF(COUNTIFS(請求記録!$B$6:$B$3005,$A130,請求記録!$Z$6:$Z$3005,L$5)=0,"",SUMIFS(請求記録!$AE$6:$AE$3005,請求記録!$B$6:$B$3005,$A130,請求記録!$Z$6:$Z$3005,L$5))))</f>
        <v/>
      </c>
      <c r="M130" s="19">
        <f>IF($A130="","",IF(COUNTIFS(請求記録!$B$6:$B$3005,$A130,請求記録!$Z$6:$Z$3005,M$5,請求記録!$AF$6:$AF$3005,"保留中")&gt;0,"保留",IF(COUNTIFS(請求記録!$B$6:$B$3005,$A130,請求記録!$Z$6:$Z$3005,M$5)=0,"",SUMIFS(請求記録!$AE$6:$AE$3005,請求記録!$B$6:$B$3005,$A130,請求記録!$Z$6:$Z$3005,M$5))))</f>
        <v/>
      </c>
      <c r="N130" s="19">
        <f>IF($A130="","",IF(COUNTIFS(請求記録!$B$6:$B$3005,$A130,請求記録!$Z$6:$Z$3005,N$5,請求記録!$AF$6:$AF$3005,"保留中")&gt;0,"保留",IF(COUNTIFS(請求記録!$B$6:$B$3005,$A130,請求記録!$Z$6:$Z$3005,N$5)=0,"",SUMIFS(請求記録!$AE$6:$AE$3005,請求記録!$B$6:$B$3005,$A130,請求記録!$Z$6:$Z$3005,N$5))))</f>
        <v/>
      </c>
      <c r="O130" s="19">
        <f>IF($A130="","",IF(COUNTIFS(請求記録!$B$6:$B$3005,$A130,請求記録!$Z$6:$Z$3005,O$5,請求記録!$AF$6:$AF$3005,"保留中")&gt;0,"保留",IF(COUNTIFS(請求記録!$B$6:$B$3005,$A130,請求記録!$Z$6:$Z$3005,O$5)=0,"",SUMIFS(請求記録!$AE$6:$AE$3005,請求記録!$B$6:$B$3005,$A130,請求記録!$Z$6:$Z$3005,O$5))))</f>
        <v/>
      </c>
      <c r="P130" s="19">
        <f>IF($A130="","",IF(COUNTIFS(請求記録!$B$6:$B$3005,$A130,請求記録!$Z$6:$Z$3005,P$5,請求記録!$AF$6:$AF$3005,"保留中")&gt;0,"保留",IF(COUNTIFS(請求記録!$B$6:$B$3005,$A130,請求記録!$Z$6:$Z$3005,P$5)=0,"",SUMIFS(請求記録!$AE$6:$AE$3005,請求記録!$B$6:$B$3005,$A130,請求記録!$Z$6:$Z$3005,P$5))))</f>
        <v/>
      </c>
      <c r="Q130" s="19">
        <f>IF($A130="","",IF(COUNTIFS(請求記録!$B$6:$B$3005,$A130,請求記録!$Z$6:$Z$3005,Q$5,請求記録!$AF$6:$AF$3005,"保留中")&gt;0,"保留",IF(COUNTIFS(請求記録!$B$6:$B$3005,$A130,請求記録!$Z$6:$Z$3005,Q$5)=0,"",SUMIFS(請求記録!$AE$6:$AE$3005,請求記録!$B$6:$B$3005,$A130,請求記録!$Z$6:$Z$3005,Q$5))))</f>
        <v/>
      </c>
      <c r="R130" s="19">
        <f>IF($A130="","",IF(COUNTIFS(請求記録!$B$6:$B$3005,$A130,請求記録!$Z$6:$Z$3005,R$5,請求記録!$AF$6:$AF$3005,"保留中")&gt;0,"保留",IF(COUNTIFS(請求記録!$B$6:$B$3005,$A130,請求記録!$Z$6:$Z$3005,R$5)=0,"",SUMIFS(請求記録!$AE$6:$AE$3005,請求記録!$B$6:$B$3005,$A130,請求記録!$Z$6:$Z$3005,R$5))))</f>
        <v/>
      </c>
      <c r="S130" s="19">
        <f>IF($A130="","",IF(COUNTIFS(請求記録!$B$6:$B$3005,$A130,請求記録!$Z$6:$Z$3005,S$5,請求記録!$AF$6:$AF$3005,"保留中")&gt;0,"保留",IF(COUNTIFS(請求記録!$B$6:$B$3005,$A130,請求記録!$Z$6:$Z$3005,S$5)=0,"",SUMIFS(請求記録!$AE$6:$AE$3005,請求記録!$B$6:$B$3005,$A130,請求記録!$Z$6:$Z$3005,S$5))))</f>
        <v/>
      </c>
      <c r="T130" s="19">
        <f>IF($A130="","",IF(COUNTIFS(請求記録!$B$6:$B$3005,$A130,請求記録!$Z$6:$Z$3005,T$5,請求記録!$AF$6:$AF$3005,"保留中")&gt;0,"保留",IF(COUNTIFS(請求記録!$B$6:$B$3005,$A130,請求記録!$Z$6:$Z$3005,T$5)=0,"",SUMIFS(請求記録!$AE$6:$AE$3005,請求記録!$B$6:$B$3005,$A130,請求記録!$Z$6:$Z$3005,T$5))))</f>
        <v/>
      </c>
      <c r="U130" s="19">
        <f>IF($A130="","",IF(COUNTIFS(請求記録!$B$6:$B$3005,$A130,請求記録!$Z$6:$Z$3005,U$5,請求記録!$AF$6:$AF$3005,"保留中")&gt;0,"保留",IF(COUNTIFS(請求記録!$B$6:$B$3005,$A130,請求記録!$Z$6:$Z$3005,U$5)=0,"",SUMIFS(請求記録!$AE$6:$AE$3005,請求記録!$B$6:$B$3005,$A130,請求記録!$Z$6:$Z$3005,U$5))))</f>
        <v/>
      </c>
      <c r="V130" s="19">
        <f>IF($A130="","",IF(COUNTIFS(請求記録!$B$6:$B$3005,$A130,請求記録!$Z$6:$Z$3005,V$5,請求記録!$AF$6:$AF$3005,"保留中")&gt;0,"保留",IF(COUNTIFS(請求記録!$B$6:$B$3005,$A130,請求記録!$Z$6:$Z$3005,V$5)=0,"",SUMIFS(請求記録!$AE$6:$AE$3005,請求記録!$B$6:$B$3005,$A130,請求記録!$Z$6:$Z$3005,V$5))))</f>
        <v/>
      </c>
      <c r="W130" s="19">
        <f>IF($A130="","",IF(COUNTIFS(請求記録!$B$6:$B$3005,$A130,請求記録!$Z$6:$Z$3005,W$5,請求記録!$AF$6:$AF$3005,"保留中")&gt;0,"保留",IF(COUNTIFS(請求記録!$B$6:$B$3005,$A130,請求記録!$Z$6:$Z$3005,W$5)=0,"",SUMIFS(請求記録!$AE$6:$AE$3005,請求記録!$B$6:$B$3005,$A130,請求記録!$Z$6:$Z$3005,W$5))))</f>
        <v/>
      </c>
      <c r="X130" s="19">
        <f>IF($A130="","",IF(COUNTIFS(請求記録!$B$6:$B$3005,$A130,請求記録!$Z$6:$Z$3005,X$5,請求記録!$AF$6:$AF$3005,"保留中")&gt;0,"保留",IF(COUNTIFS(請求記録!$B$6:$B$3005,$A130,請求記録!$Z$6:$Z$3005,X$5)=0,"",SUMIFS(請求記録!$AE$6:$AE$3005,請求記録!$B$6:$B$3005,$A130,請求記録!$Z$6:$Z$3005,X$5))))</f>
        <v/>
      </c>
      <c r="Y130" s="19">
        <f>IF($A130="","",IF(COUNTIFS(請求記録!$B$6:$B$3005,$A130,請求記録!$Z$6:$Z$3005,Y$5,請求記録!$AF$6:$AF$3005,"保留中")&gt;0,"保留",IF(COUNTIFS(請求記録!$B$6:$B$3005,$A130,請求記録!$Z$6:$Z$3005,Y$5)=0,"",SUMIFS(請求記録!$AE$6:$AE$3005,請求記録!$B$6:$B$3005,$A130,請求記録!$Z$6:$Z$3005,Y$5))))</f>
        <v/>
      </c>
      <c r="Z130" s="19">
        <f>IF($A130="","",IF(COUNTIFS(請求記録!$B$6:$B$3005,$A130,請求記録!$Z$6:$Z$3005,Z$5,請求記録!$AF$6:$AF$3005,"保留中")&gt;0,"保留",IF(COUNTIFS(請求記録!$B$6:$B$3005,$A130,請求記録!$Z$6:$Z$3005,Z$5)=0,"",SUMIFS(請求記録!$AE$6:$AE$3005,請求記録!$B$6:$B$3005,$A130,請求記録!$Z$6:$Z$3005,Z$5))))</f>
        <v/>
      </c>
      <c r="AA130" s="19">
        <f>IF($A130="","",IF(COUNTIFS(請求記録!$B$6:$B$3005,$A130,請求記録!$Z$6:$Z$3005,AA$5,請求記録!$AF$6:$AF$3005,"保留中")&gt;0,"保留",IF(COUNTIFS(請求記録!$B$6:$B$3005,$A130,請求記録!$Z$6:$Z$3005,AA$5)=0,"",SUMIFS(請求記録!$AE$6:$AE$3005,請求記録!$B$6:$B$3005,$A130,請求記録!$Z$6:$Z$3005,AA$5))))</f>
        <v/>
      </c>
      <c r="AB130">
        <f>IF(職員マスタ!P130="保留中",職員マスタ!M130,"")</f>
        <v/>
      </c>
    </row>
    <row r="131">
      <c r="A131">
        <f>IF(職員マスタ!A131="","",職員マスタ!A131)</f>
        <v/>
      </c>
      <c r="B131">
        <f>IF($A131="","",職員マスタ!B131)</f>
        <v/>
      </c>
      <c r="C131">
        <f>IF($A131="","",職員マスタ!C131)</f>
        <v/>
      </c>
      <c r="D131" s="19">
        <f>IF($A131="","",IF(COUNTIFS(請求記録!$B$6:$B$3005,$A131,請求記録!$Z$6:$Z$3005,D$5,請求記録!$AF$6:$AF$3005,"保留中")&gt;0,"保留",IF(COUNTIFS(請求記録!$B$6:$B$3005,$A131,請求記録!$Z$6:$Z$3005,D$5)=0,"",SUMIFS(請求記録!$AE$6:$AE$3005,請求記録!$B$6:$B$3005,$A131,請求記録!$Z$6:$Z$3005,D$5))))</f>
        <v/>
      </c>
      <c r="E131" s="19">
        <f>IF($A131="","",IF(COUNTIFS(請求記録!$B$6:$B$3005,$A131,請求記録!$Z$6:$Z$3005,E$5,請求記録!$AF$6:$AF$3005,"保留中")&gt;0,"保留",IF(COUNTIFS(請求記録!$B$6:$B$3005,$A131,請求記録!$Z$6:$Z$3005,E$5)=0,"",SUMIFS(請求記録!$AE$6:$AE$3005,請求記録!$B$6:$B$3005,$A131,請求記録!$Z$6:$Z$3005,E$5))))</f>
        <v/>
      </c>
      <c r="F131" s="19">
        <f>IF($A131="","",IF(COUNTIFS(請求記録!$B$6:$B$3005,$A131,請求記録!$Z$6:$Z$3005,F$5,請求記録!$AF$6:$AF$3005,"保留中")&gt;0,"保留",IF(COUNTIFS(請求記録!$B$6:$B$3005,$A131,請求記録!$Z$6:$Z$3005,F$5)=0,"",SUMIFS(請求記録!$AE$6:$AE$3005,請求記録!$B$6:$B$3005,$A131,請求記録!$Z$6:$Z$3005,F$5))))</f>
        <v/>
      </c>
      <c r="G131" s="19">
        <f>IF($A131="","",IF(COUNTIFS(請求記録!$B$6:$B$3005,$A131,請求記録!$Z$6:$Z$3005,G$5,請求記録!$AF$6:$AF$3005,"保留中")&gt;0,"保留",IF(COUNTIFS(請求記録!$B$6:$B$3005,$A131,請求記録!$Z$6:$Z$3005,G$5)=0,"",SUMIFS(請求記録!$AE$6:$AE$3005,請求記録!$B$6:$B$3005,$A131,請求記録!$Z$6:$Z$3005,G$5))))</f>
        <v/>
      </c>
      <c r="H131" s="19">
        <f>IF($A131="","",IF(COUNTIFS(請求記録!$B$6:$B$3005,$A131,請求記録!$Z$6:$Z$3005,H$5,請求記録!$AF$6:$AF$3005,"保留中")&gt;0,"保留",IF(COUNTIFS(請求記録!$B$6:$B$3005,$A131,請求記録!$Z$6:$Z$3005,H$5)=0,"",SUMIFS(請求記録!$AE$6:$AE$3005,請求記録!$B$6:$B$3005,$A131,請求記録!$Z$6:$Z$3005,H$5))))</f>
        <v/>
      </c>
      <c r="I131" s="19">
        <f>IF($A131="","",IF(COUNTIFS(請求記録!$B$6:$B$3005,$A131,請求記録!$Z$6:$Z$3005,I$5,請求記録!$AF$6:$AF$3005,"保留中")&gt;0,"保留",IF(COUNTIFS(請求記録!$B$6:$B$3005,$A131,請求記録!$Z$6:$Z$3005,I$5)=0,"",SUMIFS(請求記録!$AE$6:$AE$3005,請求記録!$B$6:$B$3005,$A131,請求記録!$Z$6:$Z$3005,I$5))))</f>
        <v/>
      </c>
      <c r="J131" s="19">
        <f>IF($A131="","",IF(COUNTIFS(請求記録!$B$6:$B$3005,$A131,請求記録!$Z$6:$Z$3005,J$5,請求記録!$AF$6:$AF$3005,"保留中")&gt;0,"保留",IF(COUNTIFS(請求記録!$B$6:$B$3005,$A131,請求記録!$Z$6:$Z$3005,J$5)=0,"",SUMIFS(請求記録!$AE$6:$AE$3005,請求記録!$B$6:$B$3005,$A131,請求記録!$Z$6:$Z$3005,J$5))))</f>
        <v/>
      </c>
      <c r="K131" s="19">
        <f>IF($A131="","",IF(COUNTIFS(請求記録!$B$6:$B$3005,$A131,請求記録!$Z$6:$Z$3005,K$5,請求記録!$AF$6:$AF$3005,"保留中")&gt;0,"保留",IF(COUNTIFS(請求記録!$B$6:$B$3005,$A131,請求記録!$Z$6:$Z$3005,K$5)=0,"",SUMIFS(請求記録!$AE$6:$AE$3005,請求記録!$B$6:$B$3005,$A131,請求記録!$Z$6:$Z$3005,K$5))))</f>
        <v/>
      </c>
      <c r="L131" s="19">
        <f>IF($A131="","",IF(COUNTIFS(請求記録!$B$6:$B$3005,$A131,請求記録!$Z$6:$Z$3005,L$5,請求記録!$AF$6:$AF$3005,"保留中")&gt;0,"保留",IF(COUNTIFS(請求記録!$B$6:$B$3005,$A131,請求記録!$Z$6:$Z$3005,L$5)=0,"",SUMIFS(請求記録!$AE$6:$AE$3005,請求記録!$B$6:$B$3005,$A131,請求記録!$Z$6:$Z$3005,L$5))))</f>
        <v/>
      </c>
      <c r="M131" s="19">
        <f>IF($A131="","",IF(COUNTIFS(請求記録!$B$6:$B$3005,$A131,請求記録!$Z$6:$Z$3005,M$5,請求記録!$AF$6:$AF$3005,"保留中")&gt;0,"保留",IF(COUNTIFS(請求記録!$B$6:$B$3005,$A131,請求記録!$Z$6:$Z$3005,M$5)=0,"",SUMIFS(請求記録!$AE$6:$AE$3005,請求記録!$B$6:$B$3005,$A131,請求記録!$Z$6:$Z$3005,M$5))))</f>
        <v/>
      </c>
      <c r="N131" s="19">
        <f>IF($A131="","",IF(COUNTIFS(請求記録!$B$6:$B$3005,$A131,請求記録!$Z$6:$Z$3005,N$5,請求記録!$AF$6:$AF$3005,"保留中")&gt;0,"保留",IF(COUNTIFS(請求記録!$B$6:$B$3005,$A131,請求記録!$Z$6:$Z$3005,N$5)=0,"",SUMIFS(請求記録!$AE$6:$AE$3005,請求記録!$B$6:$B$3005,$A131,請求記録!$Z$6:$Z$3005,N$5))))</f>
        <v/>
      </c>
      <c r="O131" s="19">
        <f>IF($A131="","",IF(COUNTIFS(請求記録!$B$6:$B$3005,$A131,請求記録!$Z$6:$Z$3005,O$5,請求記録!$AF$6:$AF$3005,"保留中")&gt;0,"保留",IF(COUNTIFS(請求記録!$B$6:$B$3005,$A131,請求記録!$Z$6:$Z$3005,O$5)=0,"",SUMIFS(請求記録!$AE$6:$AE$3005,請求記録!$B$6:$B$3005,$A131,請求記録!$Z$6:$Z$3005,O$5))))</f>
        <v/>
      </c>
      <c r="P131" s="19">
        <f>IF($A131="","",IF(COUNTIFS(請求記録!$B$6:$B$3005,$A131,請求記録!$Z$6:$Z$3005,P$5,請求記録!$AF$6:$AF$3005,"保留中")&gt;0,"保留",IF(COUNTIFS(請求記録!$B$6:$B$3005,$A131,請求記録!$Z$6:$Z$3005,P$5)=0,"",SUMIFS(請求記録!$AE$6:$AE$3005,請求記録!$B$6:$B$3005,$A131,請求記録!$Z$6:$Z$3005,P$5))))</f>
        <v/>
      </c>
      <c r="Q131" s="19">
        <f>IF($A131="","",IF(COUNTIFS(請求記録!$B$6:$B$3005,$A131,請求記録!$Z$6:$Z$3005,Q$5,請求記録!$AF$6:$AF$3005,"保留中")&gt;0,"保留",IF(COUNTIFS(請求記録!$B$6:$B$3005,$A131,請求記録!$Z$6:$Z$3005,Q$5)=0,"",SUMIFS(請求記録!$AE$6:$AE$3005,請求記録!$B$6:$B$3005,$A131,請求記録!$Z$6:$Z$3005,Q$5))))</f>
        <v/>
      </c>
      <c r="R131" s="19">
        <f>IF($A131="","",IF(COUNTIFS(請求記録!$B$6:$B$3005,$A131,請求記録!$Z$6:$Z$3005,R$5,請求記録!$AF$6:$AF$3005,"保留中")&gt;0,"保留",IF(COUNTIFS(請求記録!$B$6:$B$3005,$A131,請求記録!$Z$6:$Z$3005,R$5)=0,"",SUMIFS(請求記録!$AE$6:$AE$3005,請求記録!$B$6:$B$3005,$A131,請求記録!$Z$6:$Z$3005,R$5))))</f>
        <v/>
      </c>
      <c r="S131" s="19">
        <f>IF($A131="","",IF(COUNTIFS(請求記録!$B$6:$B$3005,$A131,請求記録!$Z$6:$Z$3005,S$5,請求記録!$AF$6:$AF$3005,"保留中")&gt;0,"保留",IF(COUNTIFS(請求記録!$B$6:$B$3005,$A131,請求記録!$Z$6:$Z$3005,S$5)=0,"",SUMIFS(請求記録!$AE$6:$AE$3005,請求記録!$B$6:$B$3005,$A131,請求記録!$Z$6:$Z$3005,S$5))))</f>
        <v/>
      </c>
      <c r="T131" s="19">
        <f>IF($A131="","",IF(COUNTIFS(請求記録!$B$6:$B$3005,$A131,請求記録!$Z$6:$Z$3005,T$5,請求記録!$AF$6:$AF$3005,"保留中")&gt;0,"保留",IF(COUNTIFS(請求記録!$B$6:$B$3005,$A131,請求記録!$Z$6:$Z$3005,T$5)=0,"",SUMIFS(請求記録!$AE$6:$AE$3005,請求記録!$B$6:$B$3005,$A131,請求記録!$Z$6:$Z$3005,T$5))))</f>
        <v/>
      </c>
      <c r="U131" s="19">
        <f>IF($A131="","",IF(COUNTIFS(請求記録!$B$6:$B$3005,$A131,請求記録!$Z$6:$Z$3005,U$5,請求記録!$AF$6:$AF$3005,"保留中")&gt;0,"保留",IF(COUNTIFS(請求記録!$B$6:$B$3005,$A131,請求記録!$Z$6:$Z$3005,U$5)=0,"",SUMIFS(請求記録!$AE$6:$AE$3005,請求記録!$B$6:$B$3005,$A131,請求記録!$Z$6:$Z$3005,U$5))))</f>
        <v/>
      </c>
      <c r="V131" s="19">
        <f>IF($A131="","",IF(COUNTIFS(請求記録!$B$6:$B$3005,$A131,請求記録!$Z$6:$Z$3005,V$5,請求記録!$AF$6:$AF$3005,"保留中")&gt;0,"保留",IF(COUNTIFS(請求記録!$B$6:$B$3005,$A131,請求記録!$Z$6:$Z$3005,V$5)=0,"",SUMIFS(請求記録!$AE$6:$AE$3005,請求記録!$B$6:$B$3005,$A131,請求記録!$Z$6:$Z$3005,V$5))))</f>
        <v/>
      </c>
      <c r="W131" s="19">
        <f>IF($A131="","",IF(COUNTIFS(請求記録!$B$6:$B$3005,$A131,請求記録!$Z$6:$Z$3005,W$5,請求記録!$AF$6:$AF$3005,"保留中")&gt;0,"保留",IF(COUNTIFS(請求記録!$B$6:$B$3005,$A131,請求記録!$Z$6:$Z$3005,W$5)=0,"",SUMIFS(請求記録!$AE$6:$AE$3005,請求記録!$B$6:$B$3005,$A131,請求記録!$Z$6:$Z$3005,W$5))))</f>
        <v/>
      </c>
      <c r="X131" s="19">
        <f>IF($A131="","",IF(COUNTIFS(請求記録!$B$6:$B$3005,$A131,請求記録!$Z$6:$Z$3005,X$5,請求記録!$AF$6:$AF$3005,"保留中")&gt;0,"保留",IF(COUNTIFS(請求記録!$B$6:$B$3005,$A131,請求記録!$Z$6:$Z$3005,X$5)=0,"",SUMIFS(請求記録!$AE$6:$AE$3005,請求記録!$B$6:$B$3005,$A131,請求記録!$Z$6:$Z$3005,X$5))))</f>
        <v/>
      </c>
      <c r="Y131" s="19">
        <f>IF($A131="","",IF(COUNTIFS(請求記録!$B$6:$B$3005,$A131,請求記録!$Z$6:$Z$3005,Y$5,請求記録!$AF$6:$AF$3005,"保留中")&gt;0,"保留",IF(COUNTIFS(請求記録!$B$6:$B$3005,$A131,請求記録!$Z$6:$Z$3005,Y$5)=0,"",SUMIFS(請求記録!$AE$6:$AE$3005,請求記録!$B$6:$B$3005,$A131,請求記録!$Z$6:$Z$3005,Y$5))))</f>
        <v/>
      </c>
      <c r="Z131" s="19">
        <f>IF($A131="","",IF(COUNTIFS(請求記録!$B$6:$B$3005,$A131,請求記録!$Z$6:$Z$3005,Z$5,請求記録!$AF$6:$AF$3005,"保留中")&gt;0,"保留",IF(COUNTIFS(請求記録!$B$6:$B$3005,$A131,請求記録!$Z$6:$Z$3005,Z$5)=0,"",SUMIFS(請求記録!$AE$6:$AE$3005,請求記録!$B$6:$B$3005,$A131,請求記録!$Z$6:$Z$3005,Z$5))))</f>
        <v/>
      </c>
      <c r="AA131" s="19">
        <f>IF($A131="","",IF(COUNTIFS(請求記録!$B$6:$B$3005,$A131,請求記録!$Z$6:$Z$3005,AA$5,請求記録!$AF$6:$AF$3005,"保留中")&gt;0,"保留",IF(COUNTIFS(請求記録!$B$6:$B$3005,$A131,請求記録!$Z$6:$Z$3005,AA$5)=0,"",SUMIFS(請求記録!$AE$6:$AE$3005,請求記録!$B$6:$B$3005,$A131,請求記録!$Z$6:$Z$3005,AA$5))))</f>
        <v/>
      </c>
      <c r="AB131">
        <f>IF(職員マスタ!P131="保留中",職員マスタ!M131,"")</f>
        <v/>
      </c>
    </row>
    <row r="132">
      <c r="A132">
        <f>IF(職員マスタ!A132="","",職員マスタ!A132)</f>
        <v/>
      </c>
      <c r="B132">
        <f>IF($A132="","",職員マスタ!B132)</f>
        <v/>
      </c>
      <c r="C132">
        <f>IF($A132="","",職員マスタ!C132)</f>
        <v/>
      </c>
      <c r="D132" s="19">
        <f>IF($A132="","",IF(COUNTIFS(請求記録!$B$6:$B$3005,$A132,請求記録!$Z$6:$Z$3005,D$5,請求記録!$AF$6:$AF$3005,"保留中")&gt;0,"保留",IF(COUNTIFS(請求記録!$B$6:$B$3005,$A132,請求記録!$Z$6:$Z$3005,D$5)=0,"",SUMIFS(請求記録!$AE$6:$AE$3005,請求記録!$B$6:$B$3005,$A132,請求記録!$Z$6:$Z$3005,D$5))))</f>
        <v/>
      </c>
      <c r="E132" s="19">
        <f>IF($A132="","",IF(COUNTIFS(請求記録!$B$6:$B$3005,$A132,請求記録!$Z$6:$Z$3005,E$5,請求記録!$AF$6:$AF$3005,"保留中")&gt;0,"保留",IF(COUNTIFS(請求記録!$B$6:$B$3005,$A132,請求記録!$Z$6:$Z$3005,E$5)=0,"",SUMIFS(請求記録!$AE$6:$AE$3005,請求記録!$B$6:$B$3005,$A132,請求記録!$Z$6:$Z$3005,E$5))))</f>
        <v/>
      </c>
      <c r="F132" s="19">
        <f>IF($A132="","",IF(COUNTIFS(請求記録!$B$6:$B$3005,$A132,請求記録!$Z$6:$Z$3005,F$5,請求記録!$AF$6:$AF$3005,"保留中")&gt;0,"保留",IF(COUNTIFS(請求記録!$B$6:$B$3005,$A132,請求記録!$Z$6:$Z$3005,F$5)=0,"",SUMIFS(請求記録!$AE$6:$AE$3005,請求記録!$B$6:$B$3005,$A132,請求記録!$Z$6:$Z$3005,F$5))))</f>
        <v/>
      </c>
      <c r="G132" s="19">
        <f>IF($A132="","",IF(COUNTIFS(請求記録!$B$6:$B$3005,$A132,請求記録!$Z$6:$Z$3005,G$5,請求記録!$AF$6:$AF$3005,"保留中")&gt;0,"保留",IF(COUNTIFS(請求記録!$B$6:$B$3005,$A132,請求記録!$Z$6:$Z$3005,G$5)=0,"",SUMIFS(請求記録!$AE$6:$AE$3005,請求記録!$B$6:$B$3005,$A132,請求記録!$Z$6:$Z$3005,G$5))))</f>
        <v/>
      </c>
      <c r="H132" s="19">
        <f>IF($A132="","",IF(COUNTIFS(請求記録!$B$6:$B$3005,$A132,請求記録!$Z$6:$Z$3005,H$5,請求記録!$AF$6:$AF$3005,"保留中")&gt;0,"保留",IF(COUNTIFS(請求記録!$B$6:$B$3005,$A132,請求記録!$Z$6:$Z$3005,H$5)=0,"",SUMIFS(請求記録!$AE$6:$AE$3005,請求記録!$B$6:$B$3005,$A132,請求記録!$Z$6:$Z$3005,H$5))))</f>
        <v/>
      </c>
      <c r="I132" s="19">
        <f>IF($A132="","",IF(COUNTIFS(請求記録!$B$6:$B$3005,$A132,請求記録!$Z$6:$Z$3005,I$5,請求記録!$AF$6:$AF$3005,"保留中")&gt;0,"保留",IF(COUNTIFS(請求記録!$B$6:$B$3005,$A132,請求記録!$Z$6:$Z$3005,I$5)=0,"",SUMIFS(請求記録!$AE$6:$AE$3005,請求記録!$B$6:$B$3005,$A132,請求記録!$Z$6:$Z$3005,I$5))))</f>
        <v/>
      </c>
      <c r="J132" s="19">
        <f>IF($A132="","",IF(COUNTIFS(請求記録!$B$6:$B$3005,$A132,請求記録!$Z$6:$Z$3005,J$5,請求記録!$AF$6:$AF$3005,"保留中")&gt;0,"保留",IF(COUNTIFS(請求記録!$B$6:$B$3005,$A132,請求記録!$Z$6:$Z$3005,J$5)=0,"",SUMIFS(請求記録!$AE$6:$AE$3005,請求記録!$B$6:$B$3005,$A132,請求記録!$Z$6:$Z$3005,J$5))))</f>
        <v/>
      </c>
      <c r="K132" s="19">
        <f>IF($A132="","",IF(COUNTIFS(請求記録!$B$6:$B$3005,$A132,請求記録!$Z$6:$Z$3005,K$5,請求記録!$AF$6:$AF$3005,"保留中")&gt;0,"保留",IF(COUNTIFS(請求記録!$B$6:$B$3005,$A132,請求記録!$Z$6:$Z$3005,K$5)=0,"",SUMIFS(請求記録!$AE$6:$AE$3005,請求記録!$B$6:$B$3005,$A132,請求記録!$Z$6:$Z$3005,K$5))))</f>
        <v/>
      </c>
      <c r="L132" s="19">
        <f>IF($A132="","",IF(COUNTIFS(請求記録!$B$6:$B$3005,$A132,請求記録!$Z$6:$Z$3005,L$5,請求記録!$AF$6:$AF$3005,"保留中")&gt;0,"保留",IF(COUNTIFS(請求記録!$B$6:$B$3005,$A132,請求記録!$Z$6:$Z$3005,L$5)=0,"",SUMIFS(請求記録!$AE$6:$AE$3005,請求記録!$B$6:$B$3005,$A132,請求記録!$Z$6:$Z$3005,L$5))))</f>
        <v/>
      </c>
      <c r="M132" s="19">
        <f>IF($A132="","",IF(COUNTIFS(請求記録!$B$6:$B$3005,$A132,請求記録!$Z$6:$Z$3005,M$5,請求記録!$AF$6:$AF$3005,"保留中")&gt;0,"保留",IF(COUNTIFS(請求記録!$B$6:$B$3005,$A132,請求記録!$Z$6:$Z$3005,M$5)=0,"",SUMIFS(請求記録!$AE$6:$AE$3005,請求記録!$B$6:$B$3005,$A132,請求記録!$Z$6:$Z$3005,M$5))))</f>
        <v/>
      </c>
      <c r="N132" s="19">
        <f>IF($A132="","",IF(COUNTIFS(請求記録!$B$6:$B$3005,$A132,請求記録!$Z$6:$Z$3005,N$5,請求記録!$AF$6:$AF$3005,"保留中")&gt;0,"保留",IF(COUNTIFS(請求記録!$B$6:$B$3005,$A132,請求記録!$Z$6:$Z$3005,N$5)=0,"",SUMIFS(請求記録!$AE$6:$AE$3005,請求記録!$B$6:$B$3005,$A132,請求記録!$Z$6:$Z$3005,N$5))))</f>
        <v/>
      </c>
      <c r="O132" s="19">
        <f>IF($A132="","",IF(COUNTIFS(請求記録!$B$6:$B$3005,$A132,請求記録!$Z$6:$Z$3005,O$5,請求記録!$AF$6:$AF$3005,"保留中")&gt;0,"保留",IF(COUNTIFS(請求記録!$B$6:$B$3005,$A132,請求記録!$Z$6:$Z$3005,O$5)=0,"",SUMIFS(請求記録!$AE$6:$AE$3005,請求記録!$B$6:$B$3005,$A132,請求記録!$Z$6:$Z$3005,O$5))))</f>
        <v/>
      </c>
      <c r="P132" s="19">
        <f>IF($A132="","",IF(COUNTIFS(請求記録!$B$6:$B$3005,$A132,請求記録!$Z$6:$Z$3005,P$5,請求記録!$AF$6:$AF$3005,"保留中")&gt;0,"保留",IF(COUNTIFS(請求記録!$B$6:$B$3005,$A132,請求記録!$Z$6:$Z$3005,P$5)=0,"",SUMIFS(請求記録!$AE$6:$AE$3005,請求記録!$B$6:$B$3005,$A132,請求記録!$Z$6:$Z$3005,P$5))))</f>
        <v/>
      </c>
      <c r="Q132" s="19">
        <f>IF($A132="","",IF(COUNTIFS(請求記録!$B$6:$B$3005,$A132,請求記録!$Z$6:$Z$3005,Q$5,請求記録!$AF$6:$AF$3005,"保留中")&gt;0,"保留",IF(COUNTIFS(請求記録!$B$6:$B$3005,$A132,請求記録!$Z$6:$Z$3005,Q$5)=0,"",SUMIFS(請求記録!$AE$6:$AE$3005,請求記録!$B$6:$B$3005,$A132,請求記録!$Z$6:$Z$3005,Q$5))))</f>
        <v/>
      </c>
      <c r="R132" s="19">
        <f>IF($A132="","",IF(COUNTIFS(請求記録!$B$6:$B$3005,$A132,請求記録!$Z$6:$Z$3005,R$5,請求記録!$AF$6:$AF$3005,"保留中")&gt;0,"保留",IF(COUNTIFS(請求記録!$B$6:$B$3005,$A132,請求記録!$Z$6:$Z$3005,R$5)=0,"",SUMIFS(請求記録!$AE$6:$AE$3005,請求記録!$B$6:$B$3005,$A132,請求記録!$Z$6:$Z$3005,R$5))))</f>
        <v/>
      </c>
      <c r="S132" s="19">
        <f>IF($A132="","",IF(COUNTIFS(請求記録!$B$6:$B$3005,$A132,請求記録!$Z$6:$Z$3005,S$5,請求記録!$AF$6:$AF$3005,"保留中")&gt;0,"保留",IF(COUNTIFS(請求記録!$B$6:$B$3005,$A132,請求記録!$Z$6:$Z$3005,S$5)=0,"",SUMIFS(請求記録!$AE$6:$AE$3005,請求記録!$B$6:$B$3005,$A132,請求記録!$Z$6:$Z$3005,S$5))))</f>
        <v/>
      </c>
      <c r="T132" s="19">
        <f>IF($A132="","",IF(COUNTIFS(請求記録!$B$6:$B$3005,$A132,請求記録!$Z$6:$Z$3005,T$5,請求記録!$AF$6:$AF$3005,"保留中")&gt;0,"保留",IF(COUNTIFS(請求記録!$B$6:$B$3005,$A132,請求記録!$Z$6:$Z$3005,T$5)=0,"",SUMIFS(請求記録!$AE$6:$AE$3005,請求記録!$B$6:$B$3005,$A132,請求記録!$Z$6:$Z$3005,T$5))))</f>
        <v/>
      </c>
      <c r="U132" s="19">
        <f>IF($A132="","",IF(COUNTIFS(請求記録!$B$6:$B$3005,$A132,請求記録!$Z$6:$Z$3005,U$5,請求記録!$AF$6:$AF$3005,"保留中")&gt;0,"保留",IF(COUNTIFS(請求記録!$B$6:$B$3005,$A132,請求記録!$Z$6:$Z$3005,U$5)=0,"",SUMIFS(請求記録!$AE$6:$AE$3005,請求記録!$B$6:$B$3005,$A132,請求記録!$Z$6:$Z$3005,U$5))))</f>
        <v/>
      </c>
      <c r="V132" s="19">
        <f>IF($A132="","",IF(COUNTIFS(請求記録!$B$6:$B$3005,$A132,請求記録!$Z$6:$Z$3005,V$5,請求記録!$AF$6:$AF$3005,"保留中")&gt;0,"保留",IF(COUNTIFS(請求記録!$B$6:$B$3005,$A132,請求記録!$Z$6:$Z$3005,V$5)=0,"",SUMIFS(請求記録!$AE$6:$AE$3005,請求記録!$B$6:$B$3005,$A132,請求記録!$Z$6:$Z$3005,V$5))))</f>
        <v/>
      </c>
      <c r="W132" s="19">
        <f>IF($A132="","",IF(COUNTIFS(請求記録!$B$6:$B$3005,$A132,請求記録!$Z$6:$Z$3005,W$5,請求記録!$AF$6:$AF$3005,"保留中")&gt;0,"保留",IF(COUNTIFS(請求記録!$B$6:$B$3005,$A132,請求記録!$Z$6:$Z$3005,W$5)=0,"",SUMIFS(請求記録!$AE$6:$AE$3005,請求記録!$B$6:$B$3005,$A132,請求記録!$Z$6:$Z$3005,W$5))))</f>
        <v/>
      </c>
      <c r="X132" s="19">
        <f>IF($A132="","",IF(COUNTIFS(請求記録!$B$6:$B$3005,$A132,請求記録!$Z$6:$Z$3005,X$5,請求記録!$AF$6:$AF$3005,"保留中")&gt;0,"保留",IF(COUNTIFS(請求記録!$B$6:$B$3005,$A132,請求記録!$Z$6:$Z$3005,X$5)=0,"",SUMIFS(請求記録!$AE$6:$AE$3005,請求記録!$B$6:$B$3005,$A132,請求記録!$Z$6:$Z$3005,X$5))))</f>
        <v/>
      </c>
      <c r="Y132" s="19">
        <f>IF($A132="","",IF(COUNTIFS(請求記録!$B$6:$B$3005,$A132,請求記録!$Z$6:$Z$3005,Y$5,請求記録!$AF$6:$AF$3005,"保留中")&gt;0,"保留",IF(COUNTIFS(請求記録!$B$6:$B$3005,$A132,請求記録!$Z$6:$Z$3005,Y$5)=0,"",SUMIFS(請求記録!$AE$6:$AE$3005,請求記録!$B$6:$B$3005,$A132,請求記録!$Z$6:$Z$3005,Y$5))))</f>
        <v/>
      </c>
      <c r="Z132" s="19">
        <f>IF($A132="","",IF(COUNTIFS(請求記録!$B$6:$B$3005,$A132,請求記録!$Z$6:$Z$3005,Z$5,請求記録!$AF$6:$AF$3005,"保留中")&gt;0,"保留",IF(COUNTIFS(請求記録!$B$6:$B$3005,$A132,請求記録!$Z$6:$Z$3005,Z$5)=0,"",SUMIFS(請求記録!$AE$6:$AE$3005,請求記録!$B$6:$B$3005,$A132,請求記録!$Z$6:$Z$3005,Z$5))))</f>
        <v/>
      </c>
      <c r="AA132" s="19">
        <f>IF($A132="","",IF(COUNTIFS(請求記録!$B$6:$B$3005,$A132,請求記録!$Z$6:$Z$3005,AA$5,請求記録!$AF$6:$AF$3005,"保留中")&gt;0,"保留",IF(COUNTIFS(請求記録!$B$6:$B$3005,$A132,請求記録!$Z$6:$Z$3005,AA$5)=0,"",SUMIFS(請求記録!$AE$6:$AE$3005,請求記録!$B$6:$B$3005,$A132,請求記録!$Z$6:$Z$3005,AA$5))))</f>
        <v/>
      </c>
      <c r="AB132">
        <f>IF(職員マスタ!P132="保留中",職員マスタ!M132,"")</f>
        <v/>
      </c>
    </row>
    <row r="133">
      <c r="A133">
        <f>IF(職員マスタ!A133="","",職員マスタ!A133)</f>
        <v/>
      </c>
      <c r="B133">
        <f>IF($A133="","",職員マスタ!B133)</f>
        <v/>
      </c>
      <c r="C133">
        <f>IF($A133="","",職員マスタ!C133)</f>
        <v/>
      </c>
      <c r="D133" s="19">
        <f>IF($A133="","",IF(COUNTIFS(請求記録!$B$6:$B$3005,$A133,請求記録!$Z$6:$Z$3005,D$5,請求記録!$AF$6:$AF$3005,"保留中")&gt;0,"保留",IF(COUNTIFS(請求記録!$B$6:$B$3005,$A133,請求記録!$Z$6:$Z$3005,D$5)=0,"",SUMIFS(請求記録!$AE$6:$AE$3005,請求記録!$B$6:$B$3005,$A133,請求記録!$Z$6:$Z$3005,D$5))))</f>
        <v/>
      </c>
      <c r="E133" s="19">
        <f>IF($A133="","",IF(COUNTIFS(請求記録!$B$6:$B$3005,$A133,請求記録!$Z$6:$Z$3005,E$5,請求記録!$AF$6:$AF$3005,"保留中")&gt;0,"保留",IF(COUNTIFS(請求記録!$B$6:$B$3005,$A133,請求記録!$Z$6:$Z$3005,E$5)=0,"",SUMIFS(請求記録!$AE$6:$AE$3005,請求記録!$B$6:$B$3005,$A133,請求記録!$Z$6:$Z$3005,E$5))))</f>
        <v/>
      </c>
      <c r="F133" s="19">
        <f>IF($A133="","",IF(COUNTIFS(請求記録!$B$6:$B$3005,$A133,請求記録!$Z$6:$Z$3005,F$5,請求記録!$AF$6:$AF$3005,"保留中")&gt;0,"保留",IF(COUNTIFS(請求記録!$B$6:$B$3005,$A133,請求記録!$Z$6:$Z$3005,F$5)=0,"",SUMIFS(請求記録!$AE$6:$AE$3005,請求記録!$B$6:$B$3005,$A133,請求記録!$Z$6:$Z$3005,F$5))))</f>
        <v/>
      </c>
      <c r="G133" s="19">
        <f>IF($A133="","",IF(COUNTIFS(請求記録!$B$6:$B$3005,$A133,請求記録!$Z$6:$Z$3005,G$5,請求記録!$AF$6:$AF$3005,"保留中")&gt;0,"保留",IF(COUNTIFS(請求記録!$B$6:$B$3005,$A133,請求記録!$Z$6:$Z$3005,G$5)=0,"",SUMIFS(請求記録!$AE$6:$AE$3005,請求記録!$B$6:$B$3005,$A133,請求記録!$Z$6:$Z$3005,G$5))))</f>
        <v/>
      </c>
      <c r="H133" s="19">
        <f>IF($A133="","",IF(COUNTIFS(請求記録!$B$6:$B$3005,$A133,請求記録!$Z$6:$Z$3005,H$5,請求記録!$AF$6:$AF$3005,"保留中")&gt;0,"保留",IF(COUNTIFS(請求記録!$B$6:$B$3005,$A133,請求記録!$Z$6:$Z$3005,H$5)=0,"",SUMIFS(請求記録!$AE$6:$AE$3005,請求記録!$B$6:$B$3005,$A133,請求記録!$Z$6:$Z$3005,H$5))))</f>
        <v/>
      </c>
      <c r="I133" s="19">
        <f>IF($A133="","",IF(COUNTIFS(請求記録!$B$6:$B$3005,$A133,請求記録!$Z$6:$Z$3005,I$5,請求記録!$AF$6:$AF$3005,"保留中")&gt;0,"保留",IF(COUNTIFS(請求記録!$B$6:$B$3005,$A133,請求記録!$Z$6:$Z$3005,I$5)=0,"",SUMIFS(請求記録!$AE$6:$AE$3005,請求記録!$B$6:$B$3005,$A133,請求記録!$Z$6:$Z$3005,I$5))))</f>
        <v/>
      </c>
      <c r="J133" s="19">
        <f>IF($A133="","",IF(COUNTIFS(請求記録!$B$6:$B$3005,$A133,請求記録!$Z$6:$Z$3005,J$5,請求記録!$AF$6:$AF$3005,"保留中")&gt;0,"保留",IF(COUNTIFS(請求記録!$B$6:$B$3005,$A133,請求記録!$Z$6:$Z$3005,J$5)=0,"",SUMIFS(請求記録!$AE$6:$AE$3005,請求記録!$B$6:$B$3005,$A133,請求記録!$Z$6:$Z$3005,J$5))))</f>
        <v/>
      </c>
      <c r="K133" s="19">
        <f>IF($A133="","",IF(COUNTIFS(請求記録!$B$6:$B$3005,$A133,請求記録!$Z$6:$Z$3005,K$5,請求記録!$AF$6:$AF$3005,"保留中")&gt;0,"保留",IF(COUNTIFS(請求記録!$B$6:$B$3005,$A133,請求記録!$Z$6:$Z$3005,K$5)=0,"",SUMIFS(請求記録!$AE$6:$AE$3005,請求記録!$B$6:$B$3005,$A133,請求記録!$Z$6:$Z$3005,K$5))))</f>
        <v/>
      </c>
      <c r="L133" s="19">
        <f>IF($A133="","",IF(COUNTIFS(請求記録!$B$6:$B$3005,$A133,請求記録!$Z$6:$Z$3005,L$5,請求記録!$AF$6:$AF$3005,"保留中")&gt;0,"保留",IF(COUNTIFS(請求記録!$B$6:$B$3005,$A133,請求記録!$Z$6:$Z$3005,L$5)=0,"",SUMIFS(請求記録!$AE$6:$AE$3005,請求記録!$B$6:$B$3005,$A133,請求記録!$Z$6:$Z$3005,L$5))))</f>
        <v/>
      </c>
      <c r="M133" s="19">
        <f>IF($A133="","",IF(COUNTIFS(請求記録!$B$6:$B$3005,$A133,請求記録!$Z$6:$Z$3005,M$5,請求記録!$AF$6:$AF$3005,"保留中")&gt;0,"保留",IF(COUNTIFS(請求記録!$B$6:$B$3005,$A133,請求記録!$Z$6:$Z$3005,M$5)=0,"",SUMIFS(請求記録!$AE$6:$AE$3005,請求記録!$B$6:$B$3005,$A133,請求記録!$Z$6:$Z$3005,M$5))))</f>
        <v/>
      </c>
      <c r="N133" s="19">
        <f>IF($A133="","",IF(COUNTIFS(請求記録!$B$6:$B$3005,$A133,請求記録!$Z$6:$Z$3005,N$5,請求記録!$AF$6:$AF$3005,"保留中")&gt;0,"保留",IF(COUNTIFS(請求記録!$B$6:$B$3005,$A133,請求記録!$Z$6:$Z$3005,N$5)=0,"",SUMIFS(請求記録!$AE$6:$AE$3005,請求記録!$B$6:$B$3005,$A133,請求記録!$Z$6:$Z$3005,N$5))))</f>
        <v/>
      </c>
      <c r="O133" s="19">
        <f>IF($A133="","",IF(COUNTIFS(請求記録!$B$6:$B$3005,$A133,請求記録!$Z$6:$Z$3005,O$5,請求記録!$AF$6:$AF$3005,"保留中")&gt;0,"保留",IF(COUNTIFS(請求記録!$B$6:$B$3005,$A133,請求記録!$Z$6:$Z$3005,O$5)=0,"",SUMIFS(請求記録!$AE$6:$AE$3005,請求記録!$B$6:$B$3005,$A133,請求記録!$Z$6:$Z$3005,O$5))))</f>
        <v/>
      </c>
      <c r="P133" s="19">
        <f>IF($A133="","",IF(COUNTIFS(請求記録!$B$6:$B$3005,$A133,請求記録!$Z$6:$Z$3005,P$5,請求記録!$AF$6:$AF$3005,"保留中")&gt;0,"保留",IF(COUNTIFS(請求記録!$B$6:$B$3005,$A133,請求記録!$Z$6:$Z$3005,P$5)=0,"",SUMIFS(請求記録!$AE$6:$AE$3005,請求記録!$B$6:$B$3005,$A133,請求記録!$Z$6:$Z$3005,P$5))))</f>
        <v/>
      </c>
      <c r="Q133" s="19">
        <f>IF($A133="","",IF(COUNTIFS(請求記録!$B$6:$B$3005,$A133,請求記録!$Z$6:$Z$3005,Q$5,請求記録!$AF$6:$AF$3005,"保留中")&gt;0,"保留",IF(COUNTIFS(請求記録!$B$6:$B$3005,$A133,請求記録!$Z$6:$Z$3005,Q$5)=0,"",SUMIFS(請求記録!$AE$6:$AE$3005,請求記録!$B$6:$B$3005,$A133,請求記録!$Z$6:$Z$3005,Q$5))))</f>
        <v/>
      </c>
      <c r="R133" s="19">
        <f>IF($A133="","",IF(COUNTIFS(請求記録!$B$6:$B$3005,$A133,請求記録!$Z$6:$Z$3005,R$5,請求記録!$AF$6:$AF$3005,"保留中")&gt;0,"保留",IF(COUNTIFS(請求記録!$B$6:$B$3005,$A133,請求記録!$Z$6:$Z$3005,R$5)=0,"",SUMIFS(請求記録!$AE$6:$AE$3005,請求記録!$B$6:$B$3005,$A133,請求記録!$Z$6:$Z$3005,R$5))))</f>
        <v/>
      </c>
      <c r="S133" s="19">
        <f>IF($A133="","",IF(COUNTIFS(請求記録!$B$6:$B$3005,$A133,請求記録!$Z$6:$Z$3005,S$5,請求記録!$AF$6:$AF$3005,"保留中")&gt;0,"保留",IF(COUNTIFS(請求記録!$B$6:$B$3005,$A133,請求記録!$Z$6:$Z$3005,S$5)=0,"",SUMIFS(請求記録!$AE$6:$AE$3005,請求記録!$B$6:$B$3005,$A133,請求記録!$Z$6:$Z$3005,S$5))))</f>
        <v/>
      </c>
      <c r="T133" s="19">
        <f>IF($A133="","",IF(COUNTIFS(請求記録!$B$6:$B$3005,$A133,請求記録!$Z$6:$Z$3005,T$5,請求記録!$AF$6:$AF$3005,"保留中")&gt;0,"保留",IF(COUNTIFS(請求記録!$B$6:$B$3005,$A133,請求記録!$Z$6:$Z$3005,T$5)=0,"",SUMIFS(請求記録!$AE$6:$AE$3005,請求記録!$B$6:$B$3005,$A133,請求記録!$Z$6:$Z$3005,T$5))))</f>
        <v/>
      </c>
      <c r="U133" s="19">
        <f>IF($A133="","",IF(COUNTIFS(請求記録!$B$6:$B$3005,$A133,請求記録!$Z$6:$Z$3005,U$5,請求記録!$AF$6:$AF$3005,"保留中")&gt;0,"保留",IF(COUNTIFS(請求記録!$B$6:$B$3005,$A133,請求記録!$Z$6:$Z$3005,U$5)=0,"",SUMIFS(請求記録!$AE$6:$AE$3005,請求記録!$B$6:$B$3005,$A133,請求記録!$Z$6:$Z$3005,U$5))))</f>
        <v/>
      </c>
      <c r="V133" s="19">
        <f>IF($A133="","",IF(COUNTIFS(請求記録!$B$6:$B$3005,$A133,請求記録!$Z$6:$Z$3005,V$5,請求記録!$AF$6:$AF$3005,"保留中")&gt;0,"保留",IF(COUNTIFS(請求記録!$B$6:$B$3005,$A133,請求記録!$Z$6:$Z$3005,V$5)=0,"",SUMIFS(請求記録!$AE$6:$AE$3005,請求記録!$B$6:$B$3005,$A133,請求記録!$Z$6:$Z$3005,V$5))))</f>
        <v/>
      </c>
      <c r="W133" s="19">
        <f>IF($A133="","",IF(COUNTIFS(請求記録!$B$6:$B$3005,$A133,請求記録!$Z$6:$Z$3005,W$5,請求記録!$AF$6:$AF$3005,"保留中")&gt;0,"保留",IF(COUNTIFS(請求記録!$B$6:$B$3005,$A133,請求記録!$Z$6:$Z$3005,W$5)=0,"",SUMIFS(請求記録!$AE$6:$AE$3005,請求記録!$B$6:$B$3005,$A133,請求記録!$Z$6:$Z$3005,W$5))))</f>
        <v/>
      </c>
      <c r="X133" s="19">
        <f>IF($A133="","",IF(COUNTIFS(請求記録!$B$6:$B$3005,$A133,請求記録!$Z$6:$Z$3005,X$5,請求記録!$AF$6:$AF$3005,"保留中")&gt;0,"保留",IF(COUNTIFS(請求記録!$B$6:$B$3005,$A133,請求記録!$Z$6:$Z$3005,X$5)=0,"",SUMIFS(請求記録!$AE$6:$AE$3005,請求記録!$B$6:$B$3005,$A133,請求記録!$Z$6:$Z$3005,X$5))))</f>
        <v/>
      </c>
      <c r="Y133" s="19">
        <f>IF($A133="","",IF(COUNTIFS(請求記録!$B$6:$B$3005,$A133,請求記録!$Z$6:$Z$3005,Y$5,請求記録!$AF$6:$AF$3005,"保留中")&gt;0,"保留",IF(COUNTIFS(請求記録!$B$6:$B$3005,$A133,請求記録!$Z$6:$Z$3005,Y$5)=0,"",SUMIFS(請求記録!$AE$6:$AE$3005,請求記録!$B$6:$B$3005,$A133,請求記録!$Z$6:$Z$3005,Y$5))))</f>
        <v/>
      </c>
      <c r="Z133" s="19">
        <f>IF($A133="","",IF(COUNTIFS(請求記録!$B$6:$B$3005,$A133,請求記録!$Z$6:$Z$3005,Z$5,請求記録!$AF$6:$AF$3005,"保留中")&gt;0,"保留",IF(COUNTIFS(請求記録!$B$6:$B$3005,$A133,請求記録!$Z$6:$Z$3005,Z$5)=0,"",SUMIFS(請求記録!$AE$6:$AE$3005,請求記録!$B$6:$B$3005,$A133,請求記録!$Z$6:$Z$3005,Z$5))))</f>
        <v/>
      </c>
      <c r="AA133" s="19">
        <f>IF($A133="","",IF(COUNTIFS(請求記録!$B$6:$B$3005,$A133,請求記録!$Z$6:$Z$3005,AA$5,請求記録!$AF$6:$AF$3005,"保留中")&gt;0,"保留",IF(COUNTIFS(請求記録!$B$6:$B$3005,$A133,請求記録!$Z$6:$Z$3005,AA$5)=0,"",SUMIFS(請求記録!$AE$6:$AE$3005,請求記録!$B$6:$B$3005,$A133,請求記録!$Z$6:$Z$3005,AA$5))))</f>
        <v/>
      </c>
      <c r="AB133">
        <f>IF(職員マスタ!P133="保留中",職員マスタ!M133,"")</f>
        <v/>
      </c>
    </row>
    <row r="134">
      <c r="A134">
        <f>IF(職員マスタ!A134="","",職員マスタ!A134)</f>
        <v/>
      </c>
      <c r="B134">
        <f>IF($A134="","",職員マスタ!B134)</f>
        <v/>
      </c>
      <c r="C134">
        <f>IF($A134="","",職員マスタ!C134)</f>
        <v/>
      </c>
      <c r="D134" s="19">
        <f>IF($A134="","",IF(COUNTIFS(請求記録!$B$6:$B$3005,$A134,請求記録!$Z$6:$Z$3005,D$5,請求記録!$AF$6:$AF$3005,"保留中")&gt;0,"保留",IF(COUNTIFS(請求記録!$B$6:$B$3005,$A134,請求記録!$Z$6:$Z$3005,D$5)=0,"",SUMIFS(請求記録!$AE$6:$AE$3005,請求記録!$B$6:$B$3005,$A134,請求記録!$Z$6:$Z$3005,D$5))))</f>
        <v/>
      </c>
      <c r="E134" s="19">
        <f>IF($A134="","",IF(COUNTIFS(請求記録!$B$6:$B$3005,$A134,請求記録!$Z$6:$Z$3005,E$5,請求記録!$AF$6:$AF$3005,"保留中")&gt;0,"保留",IF(COUNTIFS(請求記録!$B$6:$B$3005,$A134,請求記録!$Z$6:$Z$3005,E$5)=0,"",SUMIFS(請求記録!$AE$6:$AE$3005,請求記録!$B$6:$B$3005,$A134,請求記録!$Z$6:$Z$3005,E$5))))</f>
        <v/>
      </c>
      <c r="F134" s="19">
        <f>IF($A134="","",IF(COUNTIFS(請求記録!$B$6:$B$3005,$A134,請求記録!$Z$6:$Z$3005,F$5,請求記録!$AF$6:$AF$3005,"保留中")&gt;0,"保留",IF(COUNTIFS(請求記録!$B$6:$B$3005,$A134,請求記録!$Z$6:$Z$3005,F$5)=0,"",SUMIFS(請求記録!$AE$6:$AE$3005,請求記録!$B$6:$B$3005,$A134,請求記録!$Z$6:$Z$3005,F$5))))</f>
        <v/>
      </c>
      <c r="G134" s="19">
        <f>IF($A134="","",IF(COUNTIFS(請求記録!$B$6:$B$3005,$A134,請求記録!$Z$6:$Z$3005,G$5,請求記録!$AF$6:$AF$3005,"保留中")&gt;0,"保留",IF(COUNTIFS(請求記録!$B$6:$B$3005,$A134,請求記録!$Z$6:$Z$3005,G$5)=0,"",SUMIFS(請求記録!$AE$6:$AE$3005,請求記録!$B$6:$B$3005,$A134,請求記録!$Z$6:$Z$3005,G$5))))</f>
        <v/>
      </c>
      <c r="H134" s="19">
        <f>IF($A134="","",IF(COUNTIFS(請求記録!$B$6:$B$3005,$A134,請求記録!$Z$6:$Z$3005,H$5,請求記録!$AF$6:$AF$3005,"保留中")&gt;0,"保留",IF(COUNTIFS(請求記録!$B$6:$B$3005,$A134,請求記録!$Z$6:$Z$3005,H$5)=0,"",SUMIFS(請求記録!$AE$6:$AE$3005,請求記録!$B$6:$B$3005,$A134,請求記録!$Z$6:$Z$3005,H$5))))</f>
        <v/>
      </c>
      <c r="I134" s="19">
        <f>IF($A134="","",IF(COUNTIFS(請求記録!$B$6:$B$3005,$A134,請求記録!$Z$6:$Z$3005,I$5,請求記録!$AF$6:$AF$3005,"保留中")&gt;0,"保留",IF(COUNTIFS(請求記録!$B$6:$B$3005,$A134,請求記録!$Z$6:$Z$3005,I$5)=0,"",SUMIFS(請求記録!$AE$6:$AE$3005,請求記録!$B$6:$B$3005,$A134,請求記録!$Z$6:$Z$3005,I$5))))</f>
        <v/>
      </c>
      <c r="J134" s="19">
        <f>IF($A134="","",IF(COUNTIFS(請求記録!$B$6:$B$3005,$A134,請求記録!$Z$6:$Z$3005,J$5,請求記録!$AF$6:$AF$3005,"保留中")&gt;0,"保留",IF(COUNTIFS(請求記録!$B$6:$B$3005,$A134,請求記録!$Z$6:$Z$3005,J$5)=0,"",SUMIFS(請求記録!$AE$6:$AE$3005,請求記録!$B$6:$B$3005,$A134,請求記録!$Z$6:$Z$3005,J$5))))</f>
        <v/>
      </c>
      <c r="K134" s="19">
        <f>IF($A134="","",IF(COUNTIFS(請求記録!$B$6:$B$3005,$A134,請求記録!$Z$6:$Z$3005,K$5,請求記録!$AF$6:$AF$3005,"保留中")&gt;0,"保留",IF(COUNTIFS(請求記録!$B$6:$B$3005,$A134,請求記録!$Z$6:$Z$3005,K$5)=0,"",SUMIFS(請求記録!$AE$6:$AE$3005,請求記録!$B$6:$B$3005,$A134,請求記録!$Z$6:$Z$3005,K$5))))</f>
        <v/>
      </c>
      <c r="L134" s="19">
        <f>IF($A134="","",IF(COUNTIFS(請求記録!$B$6:$B$3005,$A134,請求記録!$Z$6:$Z$3005,L$5,請求記録!$AF$6:$AF$3005,"保留中")&gt;0,"保留",IF(COUNTIFS(請求記録!$B$6:$B$3005,$A134,請求記録!$Z$6:$Z$3005,L$5)=0,"",SUMIFS(請求記録!$AE$6:$AE$3005,請求記録!$B$6:$B$3005,$A134,請求記録!$Z$6:$Z$3005,L$5))))</f>
        <v/>
      </c>
      <c r="M134" s="19">
        <f>IF($A134="","",IF(COUNTIFS(請求記録!$B$6:$B$3005,$A134,請求記録!$Z$6:$Z$3005,M$5,請求記録!$AF$6:$AF$3005,"保留中")&gt;0,"保留",IF(COUNTIFS(請求記録!$B$6:$B$3005,$A134,請求記録!$Z$6:$Z$3005,M$5)=0,"",SUMIFS(請求記録!$AE$6:$AE$3005,請求記録!$B$6:$B$3005,$A134,請求記録!$Z$6:$Z$3005,M$5))))</f>
        <v/>
      </c>
      <c r="N134" s="19">
        <f>IF($A134="","",IF(COUNTIFS(請求記録!$B$6:$B$3005,$A134,請求記録!$Z$6:$Z$3005,N$5,請求記録!$AF$6:$AF$3005,"保留中")&gt;0,"保留",IF(COUNTIFS(請求記録!$B$6:$B$3005,$A134,請求記録!$Z$6:$Z$3005,N$5)=0,"",SUMIFS(請求記録!$AE$6:$AE$3005,請求記録!$B$6:$B$3005,$A134,請求記録!$Z$6:$Z$3005,N$5))))</f>
        <v/>
      </c>
      <c r="O134" s="19">
        <f>IF($A134="","",IF(COUNTIFS(請求記録!$B$6:$B$3005,$A134,請求記録!$Z$6:$Z$3005,O$5,請求記録!$AF$6:$AF$3005,"保留中")&gt;0,"保留",IF(COUNTIFS(請求記録!$B$6:$B$3005,$A134,請求記録!$Z$6:$Z$3005,O$5)=0,"",SUMIFS(請求記録!$AE$6:$AE$3005,請求記録!$B$6:$B$3005,$A134,請求記録!$Z$6:$Z$3005,O$5))))</f>
        <v/>
      </c>
      <c r="P134" s="19">
        <f>IF($A134="","",IF(COUNTIFS(請求記録!$B$6:$B$3005,$A134,請求記録!$Z$6:$Z$3005,P$5,請求記録!$AF$6:$AF$3005,"保留中")&gt;0,"保留",IF(COUNTIFS(請求記録!$B$6:$B$3005,$A134,請求記録!$Z$6:$Z$3005,P$5)=0,"",SUMIFS(請求記録!$AE$6:$AE$3005,請求記録!$B$6:$B$3005,$A134,請求記録!$Z$6:$Z$3005,P$5))))</f>
        <v/>
      </c>
      <c r="Q134" s="19">
        <f>IF($A134="","",IF(COUNTIFS(請求記録!$B$6:$B$3005,$A134,請求記録!$Z$6:$Z$3005,Q$5,請求記録!$AF$6:$AF$3005,"保留中")&gt;0,"保留",IF(COUNTIFS(請求記録!$B$6:$B$3005,$A134,請求記録!$Z$6:$Z$3005,Q$5)=0,"",SUMIFS(請求記録!$AE$6:$AE$3005,請求記録!$B$6:$B$3005,$A134,請求記録!$Z$6:$Z$3005,Q$5))))</f>
        <v/>
      </c>
      <c r="R134" s="19">
        <f>IF($A134="","",IF(COUNTIFS(請求記録!$B$6:$B$3005,$A134,請求記録!$Z$6:$Z$3005,R$5,請求記録!$AF$6:$AF$3005,"保留中")&gt;0,"保留",IF(COUNTIFS(請求記録!$B$6:$B$3005,$A134,請求記録!$Z$6:$Z$3005,R$5)=0,"",SUMIFS(請求記録!$AE$6:$AE$3005,請求記録!$B$6:$B$3005,$A134,請求記録!$Z$6:$Z$3005,R$5))))</f>
        <v/>
      </c>
      <c r="S134" s="19">
        <f>IF($A134="","",IF(COUNTIFS(請求記録!$B$6:$B$3005,$A134,請求記録!$Z$6:$Z$3005,S$5,請求記録!$AF$6:$AF$3005,"保留中")&gt;0,"保留",IF(COUNTIFS(請求記録!$B$6:$B$3005,$A134,請求記録!$Z$6:$Z$3005,S$5)=0,"",SUMIFS(請求記録!$AE$6:$AE$3005,請求記録!$B$6:$B$3005,$A134,請求記録!$Z$6:$Z$3005,S$5))))</f>
        <v/>
      </c>
      <c r="T134" s="19">
        <f>IF($A134="","",IF(COUNTIFS(請求記録!$B$6:$B$3005,$A134,請求記録!$Z$6:$Z$3005,T$5,請求記録!$AF$6:$AF$3005,"保留中")&gt;0,"保留",IF(COUNTIFS(請求記録!$B$6:$B$3005,$A134,請求記録!$Z$6:$Z$3005,T$5)=0,"",SUMIFS(請求記録!$AE$6:$AE$3005,請求記録!$B$6:$B$3005,$A134,請求記録!$Z$6:$Z$3005,T$5))))</f>
        <v/>
      </c>
      <c r="U134" s="19">
        <f>IF($A134="","",IF(COUNTIFS(請求記録!$B$6:$B$3005,$A134,請求記録!$Z$6:$Z$3005,U$5,請求記録!$AF$6:$AF$3005,"保留中")&gt;0,"保留",IF(COUNTIFS(請求記録!$B$6:$B$3005,$A134,請求記録!$Z$6:$Z$3005,U$5)=0,"",SUMIFS(請求記録!$AE$6:$AE$3005,請求記録!$B$6:$B$3005,$A134,請求記録!$Z$6:$Z$3005,U$5))))</f>
        <v/>
      </c>
      <c r="V134" s="19">
        <f>IF($A134="","",IF(COUNTIFS(請求記録!$B$6:$B$3005,$A134,請求記録!$Z$6:$Z$3005,V$5,請求記録!$AF$6:$AF$3005,"保留中")&gt;0,"保留",IF(COUNTIFS(請求記録!$B$6:$B$3005,$A134,請求記録!$Z$6:$Z$3005,V$5)=0,"",SUMIFS(請求記録!$AE$6:$AE$3005,請求記録!$B$6:$B$3005,$A134,請求記録!$Z$6:$Z$3005,V$5))))</f>
        <v/>
      </c>
      <c r="W134" s="19">
        <f>IF($A134="","",IF(COUNTIFS(請求記録!$B$6:$B$3005,$A134,請求記録!$Z$6:$Z$3005,W$5,請求記録!$AF$6:$AF$3005,"保留中")&gt;0,"保留",IF(COUNTIFS(請求記録!$B$6:$B$3005,$A134,請求記録!$Z$6:$Z$3005,W$5)=0,"",SUMIFS(請求記録!$AE$6:$AE$3005,請求記録!$B$6:$B$3005,$A134,請求記録!$Z$6:$Z$3005,W$5))))</f>
        <v/>
      </c>
      <c r="X134" s="19">
        <f>IF($A134="","",IF(COUNTIFS(請求記録!$B$6:$B$3005,$A134,請求記録!$Z$6:$Z$3005,X$5,請求記録!$AF$6:$AF$3005,"保留中")&gt;0,"保留",IF(COUNTIFS(請求記録!$B$6:$B$3005,$A134,請求記録!$Z$6:$Z$3005,X$5)=0,"",SUMIFS(請求記録!$AE$6:$AE$3005,請求記録!$B$6:$B$3005,$A134,請求記録!$Z$6:$Z$3005,X$5))))</f>
        <v/>
      </c>
      <c r="Y134" s="19">
        <f>IF($A134="","",IF(COUNTIFS(請求記録!$B$6:$B$3005,$A134,請求記録!$Z$6:$Z$3005,Y$5,請求記録!$AF$6:$AF$3005,"保留中")&gt;0,"保留",IF(COUNTIFS(請求記録!$B$6:$B$3005,$A134,請求記録!$Z$6:$Z$3005,Y$5)=0,"",SUMIFS(請求記録!$AE$6:$AE$3005,請求記録!$B$6:$B$3005,$A134,請求記録!$Z$6:$Z$3005,Y$5))))</f>
        <v/>
      </c>
      <c r="Z134" s="19">
        <f>IF($A134="","",IF(COUNTIFS(請求記録!$B$6:$B$3005,$A134,請求記録!$Z$6:$Z$3005,Z$5,請求記録!$AF$6:$AF$3005,"保留中")&gt;0,"保留",IF(COUNTIFS(請求記録!$B$6:$B$3005,$A134,請求記録!$Z$6:$Z$3005,Z$5)=0,"",SUMIFS(請求記録!$AE$6:$AE$3005,請求記録!$B$6:$B$3005,$A134,請求記録!$Z$6:$Z$3005,Z$5))))</f>
        <v/>
      </c>
      <c r="AA134" s="19">
        <f>IF($A134="","",IF(COUNTIFS(請求記録!$B$6:$B$3005,$A134,請求記録!$Z$6:$Z$3005,AA$5,請求記録!$AF$6:$AF$3005,"保留中")&gt;0,"保留",IF(COUNTIFS(請求記録!$B$6:$B$3005,$A134,請求記録!$Z$6:$Z$3005,AA$5)=0,"",SUMIFS(請求記録!$AE$6:$AE$3005,請求記録!$B$6:$B$3005,$A134,請求記録!$Z$6:$Z$3005,AA$5))))</f>
        <v/>
      </c>
      <c r="AB134">
        <f>IF(職員マスタ!P134="保留中",職員マスタ!M134,"")</f>
        <v/>
      </c>
    </row>
    <row r="135">
      <c r="A135">
        <f>IF(職員マスタ!A135="","",職員マスタ!A135)</f>
        <v/>
      </c>
      <c r="B135">
        <f>IF($A135="","",職員マスタ!B135)</f>
        <v/>
      </c>
      <c r="C135">
        <f>IF($A135="","",職員マスタ!C135)</f>
        <v/>
      </c>
      <c r="D135" s="19">
        <f>IF($A135="","",IF(COUNTIFS(請求記録!$B$6:$B$3005,$A135,請求記録!$Z$6:$Z$3005,D$5,請求記録!$AF$6:$AF$3005,"保留中")&gt;0,"保留",IF(COUNTIFS(請求記録!$B$6:$B$3005,$A135,請求記録!$Z$6:$Z$3005,D$5)=0,"",SUMIFS(請求記録!$AE$6:$AE$3005,請求記録!$B$6:$B$3005,$A135,請求記録!$Z$6:$Z$3005,D$5))))</f>
        <v/>
      </c>
      <c r="E135" s="19">
        <f>IF($A135="","",IF(COUNTIFS(請求記録!$B$6:$B$3005,$A135,請求記録!$Z$6:$Z$3005,E$5,請求記録!$AF$6:$AF$3005,"保留中")&gt;0,"保留",IF(COUNTIFS(請求記録!$B$6:$B$3005,$A135,請求記録!$Z$6:$Z$3005,E$5)=0,"",SUMIFS(請求記録!$AE$6:$AE$3005,請求記録!$B$6:$B$3005,$A135,請求記録!$Z$6:$Z$3005,E$5))))</f>
        <v/>
      </c>
      <c r="F135" s="19">
        <f>IF($A135="","",IF(COUNTIFS(請求記録!$B$6:$B$3005,$A135,請求記録!$Z$6:$Z$3005,F$5,請求記録!$AF$6:$AF$3005,"保留中")&gt;0,"保留",IF(COUNTIFS(請求記録!$B$6:$B$3005,$A135,請求記録!$Z$6:$Z$3005,F$5)=0,"",SUMIFS(請求記録!$AE$6:$AE$3005,請求記録!$B$6:$B$3005,$A135,請求記録!$Z$6:$Z$3005,F$5))))</f>
        <v/>
      </c>
      <c r="G135" s="19">
        <f>IF($A135="","",IF(COUNTIFS(請求記録!$B$6:$B$3005,$A135,請求記録!$Z$6:$Z$3005,G$5,請求記録!$AF$6:$AF$3005,"保留中")&gt;0,"保留",IF(COUNTIFS(請求記録!$B$6:$B$3005,$A135,請求記録!$Z$6:$Z$3005,G$5)=0,"",SUMIFS(請求記録!$AE$6:$AE$3005,請求記録!$B$6:$B$3005,$A135,請求記録!$Z$6:$Z$3005,G$5))))</f>
        <v/>
      </c>
      <c r="H135" s="19">
        <f>IF($A135="","",IF(COUNTIFS(請求記録!$B$6:$B$3005,$A135,請求記録!$Z$6:$Z$3005,H$5,請求記録!$AF$6:$AF$3005,"保留中")&gt;0,"保留",IF(COUNTIFS(請求記録!$B$6:$B$3005,$A135,請求記録!$Z$6:$Z$3005,H$5)=0,"",SUMIFS(請求記録!$AE$6:$AE$3005,請求記録!$B$6:$B$3005,$A135,請求記録!$Z$6:$Z$3005,H$5))))</f>
        <v/>
      </c>
      <c r="I135" s="19">
        <f>IF($A135="","",IF(COUNTIFS(請求記録!$B$6:$B$3005,$A135,請求記録!$Z$6:$Z$3005,I$5,請求記録!$AF$6:$AF$3005,"保留中")&gt;0,"保留",IF(COUNTIFS(請求記録!$B$6:$B$3005,$A135,請求記録!$Z$6:$Z$3005,I$5)=0,"",SUMIFS(請求記録!$AE$6:$AE$3005,請求記録!$B$6:$B$3005,$A135,請求記録!$Z$6:$Z$3005,I$5))))</f>
        <v/>
      </c>
      <c r="J135" s="19">
        <f>IF($A135="","",IF(COUNTIFS(請求記録!$B$6:$B$3005,$A135,請求記録!$Z$6:$Z$3005,J$5,請求記録!$AF$6:$AF$3005,"保留中")&gt;0,"保留",IF(COUNTIFS(請求記録!$B$6:$B$3005,$A135,請求記録!$Z$6:$Z$3005,J$5)=0,"",SUMIFS(請求記録!$AE$6:$AE$3005,請求記録!$B$6:$B$3005,$A135,請求記録!$Z$6:$Z$3005,J$5))))</f>
        <v/>
      </c>
      <c r="K135" s="19">
        <f>IF($A135="","",IF(COUNTIFS(請求記録!$B$6:$B$3005,$A135,請求記録!$Z$6:$Z$3005,K$5,請求記録!$AF$6:$AF$3005,"保留中")&gt;0,"保留",IF(COUNTIFS(請求記録!$B$6:$B$3005,$A135,請求記録!$Z$6:$Z$3005,K$5)=0,"",SUMIFS(請求記録!$AE$6:$AE$3005,請求記録!$B$6:$B$3005,$A135,請求記録!$Z$6:$Z$3005,K$5))))</f>
        <v/>
      </c>
      <c r="L135" s="19">
        <f>IF($A135="","",IF(COUNTIFS(請求記録!$B$6:$B$3005,$A135,請求記録!$Z$6:$Z$3005,L$5,請求記録!$AF$6:$AF$3005,"保留中")&gt;0,"保留",IF(COUNTIFS(請求記録!$B$6:$B$3005,$A135,請求記録!$Z$6:$Z$3005,L$5)=0,"",SUMIFS(請求記録!$AE$6:$AE$3005,請求記録!$B$6:$B$3005,$A135,請求記録!$Z$6:$Z$3005,L$5))))</f>
        <v/>
      </c>
      <c r="M135" s="19">
        <f>IF($A135="","",IF(COUNTIFS(請求記録!$B$6:$B$3005,$A135,請求記録!$Z$6:$Z$3005,M$5,請求記録!$AF$6:$AF$3005,"保留中")&gt;0,"保留",IF(COUNTIFS(請求記録!$B$6:$B$3005,$A135,請求記録!$Z$6:$Z$3005,M$5)=0,"",SUMIFS(請求記録!$AE$6:$AE$3005,請求記録!$B$6:$B$3005,$A135,請求記録!$Z$6:$Z$3005,M$5))))</f>
        <v/>
      </c>
      <c r="N135" s="19">
        <f>IF($A135="","",IF(COUNTIFS(請求記録!$B$6:$B$3005,$A135,請求記録!$Z$6:$Z$3005,N$5,請求記録!$AF$6:$AF$3005,"保留中")&gt;0,"保留",IF(COUNTIFS(請求記録!$B$6:$B$3005,$A135,請求記録!$Z$6:$Z$3005,N$5)=0,"",SUMIFS(請求記録!$AE$6:$AE$3005,請求記録!$B$6:$B$3005,$A135,請求記録!$Z$6:$Z$3005,N$5))))</f>
        <v/>
      </c>
      <c r="O135" s="19">
        <f>IF($A135="","",IF(COUNTIFS(請求記録!$B$6:$B$3005,$A135,請求記録!$Z$6:$Z$3005,O$5,請求記録!$AF$6:$AF$3005,"保留中")&gt;0,"保留",IF(COUNTIFS(請求記録!$B$6:$B$3005,$A135,請求記録!$Z$6:$Z$3005,O$5)=0,"",SUMIFS(請求記録!$AE$6:$AE$3005,請求記録!$B$6:$B$3005,$A135,請求記録!$Z$6:$Z$3005,O$5))))</f>
        <v/>
      </c>
      <c r="P135" s="19">
        <f>IF($A135="","",IF(COUNTIFS(請求記録!$B$6:$B$3005,$A135,請求記録!$Z$6:$Z$3005,P$5,請求記録!$AF$6:$AF$3005,"保留中")&gt;0,"保留",IF(COUNTIFS(請求記録!$B$6:$B$3005,$A135,請求記録!$Z$6:$Z$3005,P$5)=0,"",SUMIFS(請求記録!$AE$6:$AE$3005,請求記録!$B$6:$B$3005,$A135,請求記録!$Z$6:$Z$3005,P$5))))</f>
        <v/>
      </c>
      <c r="Q135" s="19">
        <f>IF($A135="","",IF(COUNTIFS(請求記録!$B$6:$B$3005,$A135,請求記録!$Z$6:$Z$3005,Q$5,請求記録!$AF$6:$AF$3005,"保留中")&gt;0,"保留",IF(COUNTIFS(請求記録!$B$6:$B$3005,$A135,請求記録!$Z$6:$Z$3005,Q$5)=0,"",SUMIFS(請求記録!$AE$6:$AE$3005,請求記録!$B$6:$B$3005,$A135,請求記録!$Z$6:$Z$3005,Q$5))))</f>
        <v/>
      </c>
      <c r="R135" s="19">
        <f>IF($A135="","",IF(COUNTIFS(請求記録!$B$6:$B$3005,$A135,請求記録!$Z$6:$Z$3005,R$5,請求記録!$AF$6:$AF$3005,"保留中")&gt;0,"保留",IF(COUNTIFS(請求記録!$B$6:$B$3005,$A135,請求記録!$Z$6:$Z$3005,R$5)=0,"",SUMIFS(請求記録!$AE$6:$AE$3005,請求記録!$B$6:$B$3005,$A135,請求記録!$Z$6:$Z$3005,R$5))))</f>
        <v/>
      </c>
      <c r="S135" s="19">
        <f>IF($A135="","",IF(COUNTIFS(請求記録!$B$6:$B$3005,$A135,請求記録!$Z$6:$Z$3005,S$5,請求記録!$AF$6:$AF$3005,"保留中")&gt;0,"保留",IF(COUNTIFS(請求記録!$B$6:$B$3005,$A135,請求記録!$Z$6:$Z$3005,S$5)=0,"",SUMIFS(請求記録!$AE$6:$AE$3005,請求記録!$B$6:$B$3005,$A135,請求記録!$Z$6:$Z$3005,S$5))))</f>
        <v/>
      </c>
      <c r="T135" s="19">
        <f>IF($A135="","",IF(COUNTIFS(請求記録!$B$6:$B$3005,$A135,請求記録!$Z$6:$Z$3005,T$5,請求記録!$AF$6:$AF$3005,"保留中")&gt;0,"保留",IF(COUNTIFS(請求記録!$B$6:$B$3005,$A135,請求記録!$Z$6:$Z$3005,T$5)=0,"",SUMIFS(請求記録!$AE$6:$AE$3005,請求記録!$B$6:$B$3005,$A135,請求記録!$Z$6:$Z$3005,T$5))))</f>
        <v/>
      </c>
      <c r="U135" s="19">
        <f>IF($A135="","",IF(COUNTIFS(請求記録!$B$6:$B$3005,$A135,請求記録!$Z$6:$Z$3005,U$5,請求記録!$AF$6:$AF$3005,"保留中")&gt;0,"保留",IF(COUNTIFS(請求記録!$B$6:$B$3005,$A135,請求記録!$Z$6:$Z$3005,U$5)=0,"",SUMIFS(請求記録!$AE$6:$AE$3005,請求記録!$B$6:$B$3005,$A135,請求記録!$Z$6:$Z$3005,U$5))))</f>
        <v/>
      </c>
      <c r="V135" s="19">
        <f>IF($A135="","",IF(COUNTIFS(請求記録!$B$6:$B$3005,$A135,請求記録!$Z$6:$Z$3005,V$5,請求記録!$AF$6:$AF$3005,"保留中")&gt;0,"保留",IF(COUNTIFS(請求記録!$B$6:$B$3005,$A135,請求記録!$Z$6:$Z$3005,V$5)=0,"",SUMIFS(請求記録!$AE$6:$AE$3005,請求記録!$B$6:$B$3005,$A135,請求記録!$Z$6:$Z$3005,V$5))))</f>
        <v/>
      </c>
      <c r="W135" s="19">
        <f>IF($A135="","",IF(COUNTIFS(請求記録!$B$6:$B$3005,$A135,請求記録!$Z$6:$Z$3005,W$5,請求記録!$AF$6:$AF$3005,"保留中")&gt;0,"保留",IF(COUNTIFS(請求記録!$B$6:$B$3005,$A135,請求記録!$Z$6:$Z$3005,W$5)=0,"",SUMIFS(請求記録!$AE$6:$AE$3005,請求記録!$B$6:$B$3005,$A135,請求記録!$Z$6:$Z$3005,W$5))))</f>
        <v/>
      </c>
      <c r="X135" s="19">
        <f>IF($A135="","",IF(COUNTIFS(請求記録!$B$6:$B$3005,$A135,請求記録!$Z$6:$Z$3005,X$5,請求記録!$AF$6:$AF$3005,"保留中")&gt;0,"保留",IF(COUNTIFS(請求記録!$B$6:$B$3005,$A135,請求記録!$Z$6:$Z$3005,X$5)=0,"",SUMIFS(請求記録!$AE$6:$AE$3005,請求記録!$B$6:$B$3005,$A135,請求記録!$Z$6:$Z$3005,X$5))))</f>
        <v/>
      </c>
      <c r="Y135" s="19">
        <f>IF($A135="","",IF(COUNTIFS(請求記録!$B$6:$B$3005,$A135,請求記録!$Z$6:$Z$3005,Y$5,請求記録!$AF$6:$AF$3005,"保留中")&gt;0,"保留",IF(COUNTIFS(請求記録!$B$6:$B$3005,$A135,請求記録!$Z$6:$Z$3005,Y$5)=0,"",SUMIFS(請求記録!$AE$6:$AE$3005,請求記録!$B$6:$B$3005,$A135,請求記録!$Z$6:$Z$3005,Y$5))))</f>
        <v/>
      </c>
      <c r="Z135" s="19">
        <f>IF($A135="","",IF(COUNTIFS(請求記録!$B$6:$B$3005,$A135,請求記録!$Z$6:$Z$3005,Z$5,請求記録!$AF$6:$AF$3005,"保留中")&gt;0,"保留",IF(COUNTIFS(請求記録!$B$6:$B$3005,$A135,請求記録!$Z$6:$Z$3005,Z$5)=0,"",SUMIFS(請求記録!$AE$6:$AE$3005,請求記録!$B$6:$B$3005,$A135,請求記録!$Z$6:$Z$3005,Z$5))))</f>
        <v/>
      </c>
      <c r="AA135" s="19">
        <f>IF($A135="","",IF(COUNTIFS(請求記録!$B$6:$B$3005,$A135,請求記録!$Z$6:$Z$3005,AA$5,請求記録!$AF$6:$AF$3005,"保留中")&gt;0,"保留",IF(COUNTIFS(請求記録!$B$6:$B$3005,$A135,請求記録!$Z$6:$Z$3005,AA$5)=0,"",SUMIFS(請求記録!$AE$6:$AE$3005,請求記録!$B$6:$B$3005,$A135,請求記録!$Z$6:$Z$3005,AA$5))))</f>
        <v/>
      </c>
      <c r="AB135">
        <f>IF(職員マスタ!P135="保留中",職員マスタ!M135,"")</f>
        <v/>
      </c>
    </row>
    <row r="136">
      <c r="A136">
        <f>IF(職員マスタ!A136="","",職員マスタ!A136)</f>
        <v/>
      </c>
      <c r="B136">
        <f>IF($A136="","",職員マスタ!B136)</f>
        <v/>
      </c>
      <c r="C136">
        <f>IF($A136="","",職員マスタ!C136)</f>
        <v/>
      </c>
      <c r="D136" s="19">
        <f>IF($A136="","",IF(COUNTIFS(請求記録!$B$6:$B$3005,$A136,請求記録!$Z$6:$Z$3005,D$5,請求記録!$AF$6:$AF$3005,"保留中")&gt;0,"保留",IF(COUNTIFS(請求記録!$B$6:$B$3005,$A136,請求記録!$Z$6:$Z$3005,D$5)=0,"",SUMIFS(請求記録!$AE$6:$AE$3005,請求記録!$B$6:$B$3005,$A136,請求記録!$Z$6:$Z$3005,D$5))))</f>
        <v/>
      </c>
      <c r="E136" s="19">
        <f>IF($A136="","",IF(COUNTIFS(請求記録!$B$6:$B$3005,$A136,請求記録!$Z$6:$Z$3005,E$5,請求記録!$AF$6:$AF$3005,"保留中")&gt;0,"保留",IF(COUNTIFS(請求記録!$B$6:$B$3005,$A136,請求記録!$Z$6:$Z$3005,E$5)=0,"",SUMIFS(請求記録!$AE$6:$AE$3005,請求記録!$B$6:$B$3005,$A136,請求記録!$Z$6:$Z$3005,E$5))))</f>
        <v/>
      </c>
      <c r="F136" s="19">
        <f>IF($A136="","",IF(COUNTIFS(請求記録!$B$6:$B$3005,$A136,請求記録!$Z$6:$Z$3005,F$5,請求記録!$AF$6:$AF$3005,"保留中")&gt;0,"保留",IF(COUNTIFS(請求記録!$B$6:$B$3005,$A136,請求記録!$Z$6:$Z$3005,F$5)=0,"",SUMIFS(請求記録!$AE$6:$AE$3005,請求記録!$B$6:$B$3005,$A136,請求記録!$Z$6:$Z$3005,F$5))))</f>
        <v/>
      </c>
      <c r="G136" s="19">
        <f>IF($A136="","",IF(COUNTIFS(請求記録!$B$6:$B$3005,$A136,請求記録!$Z$6:$Z$3005,G$5,請求記録!$AF$6:$AF$3005,"保留中")&gt;0,"保留",IF(COUNTIFS(請求記録!$B$6:$B$3005,$A136,請求記録!$Z$6:$Z$3005,G$5)=0,"",SUMIFS(請求記録!$AE$6:$AE$3005,請求記録!$B$6:$B$3005,$A136,請求記録!$Z$6:$Z$3005,G$5))))</f>
        <v/>
      </c>
      <c r="H136" s="19">
        <f>IF($A136="","",IF(COUNTIFS(請求記録!$B$6:$B$3005,$A136,請求記録!$Z$6:$Z$3005,H$5,請求記録!$AF$6:$AF$3005,"保留中")&gt;0,"保留",IF(COUNTIFS(請求記録!$B$6:$B$3005,$A136,請求記録!$Z$6:$Z$3005,H$5)=0,"",SUMIFS(請求記録!$AE$6:$AE$3005,請求記録!$B$6:$B$3005,$A136,請求記録!$Z$6:$Z$3005,H$5))))</f>
        <v/>
      </c>
      <c r="I136" s="19">
        <f>IF($A136="","",IF(COUNTIFS(請求記録!$B$6:$B$3005,$A136,請求記録!$Z$6:$Z$3005,I$5,請求記録!$AF$6:$AF$3005,"保留中")&gt;0,"保留",IF(COUNTIFS(請求記録!$B$6:$B$3005,$A136,請求記録!$Z$6:$Z$3005,I$5)=0,"",SUMIFS(請求記録!$AE$6:$AE$3005,請求記録!$B$6:$B$3005,$A136,請求記録!$Z$6:$Z$3005,I$5))))</f>
        <v/>
      </c>
      <c r="J136" s="19">
        <f>IF($A136="","",IF(COUNTIFS(請求記録!$B$6:$B$3005,$A136,請求記録!$Z$6:$Z$3005,J$5,請求記録!$AF$6:$AF$3005,"保留中")&gt;0,"保留",IF(COUNTIFS(請求記録!$B$6:$B$3005,$A136,請求記録!$Z$6:$Z$3005,J$5)=0,"",SUMIFS(請求記録!$AE$6:$AE$3005,請求記録!$B$6:$B$3005,$A136,請求記録!$Z$6:$Z$3005,J$5))))</f>
        <v/>
      </c>
      <c r="K136" s="19">
        <f>IF($A136="","",IF(COUNTIFS(請求記録!$B$6:$B$3005,$A136,請求記録!$Z$6:$Z$3005,K$5,請求記録!$AF$6:$AF$3005,"保留中")&gt;0,"保留",IF(COUNTIFS(請求記録!$B$6:$B$3005,$A136,請求記録!$Z$6:$Z$3005,K$5)=0,"",SUMIFS(請求記録!$AE$6:$AE$3005,請求記録!$B$6:$B$3005,$A136,請求記録!$Z$6:$Z$3005,K$5))))</f>
        <v/>
      </c>
      <c r="L136" s="19">
        <f>IF($A136="","",IF(COUNTIFS(請求記録!$B$6:$B$3005,$A136,請求記録!$Z$6:$Z$3005,L$5,請求記録!$AF$6:$AF$3005,"保留中")&gt;0,"保留",IF(COUNTIFS(請求記録!$B$6:$B$3005,$A136,請求記録!$Z$6:$Z$3005,L$5)=0,"",SUMIFS(請求記録!$AE$6:$AE$3005,請求記録!$B$6:$B$3005,$A136,請求記録!$Z$6:$Z$3005,L$5))))</f>
        <v/>
      </c>
      <c r="M136" s="19">
        <f>IF($A136="","",IF(COUNTIFS(請求記録!$B$6:$B$3005,$A136,請求記録!$Z$6:$Z$3005,M$5,請求記録!$AF$6:$AF$3005,"保留中")&gt;0,"保留",IF(COUNTIFS(請求記録!$B$6:$B$3005,$A136,請求記録!$Z$6:$Z$3005,M$5)=0,"",SUMIFS(請求記録!$AE$6:$AE$3005,請求記録!$B$6:$B$3005,$A136,請求記録!$Z$6:$Z$3005,M$5))))</f>
        <v/>
      </c>
      <c r="N136" s="19">
        <f>IF($A136="","",IF(COUNTIFS(請求記録!$B$6:$B$3005,$A136,請求記録!$Z$6:$Z$3005,N$5,請求記録!$AF$6:$AF$3005,"保留中")&gt;0,"保留",IF(COUNTIFS(請求記録!$B$6:$B$3005,$A136,請求記録!$Z$6:$Z$3005,N$5)=0,"",SUMIFS(請求記録!$AE$6:$AE$3005,請求記録!$B$6:$B$3005,$A136,請求記録!$Z$6:$Z$3005,N$5))))</f>
        <v/>
      </c>
      <c r="O136" s="19">
        <f>IF($A136="","",IF(COUNTIFS(請求記録!$B$6:$B$3005,$A136,請求記録!$Z$6:$Z$3005,O$5,請求記録!$AF$6:$AF$3005,"保留中")&gt;0,"保留",IF(COUNTIFS(請求記録!$B$6:$B$3005,$A136,請求記録!$Z$6:$Z$3005,O$5)=0,"",SUMIFS(請求記録!$AE$6:$AE$3005,請求記録!$B$6:$B$3005,$A136,請求記録!$Z$6:$Z$3005,O$5))))</f>
        <v/>
      </c>
      <c r="P136" s="19">
        <f>IF($A136="","",IF(COUNTIFS(請求記録!$B$6:$B$3005,$A136,請求記録!$Z$6:$Z$3005,P$5,請求記録!$AF$6:$AF$3005,"保留中")&gt;0,"保留",IF(COUNTIFS(請求記録!$B$6:$B$3005,$A136,請求記録!$Z$6:$Z$3005,P$5)=0,"",SUMIFS(請求記録!$AE$6:$AE$3005,請求記録!$B$6:$B$3005,$A136,請求記録!$Z$6:$Z$3005,P$5))))</f>
        <v/>
      </c>
      <c r="Q136" s="19">
        <f>IF($A136="","",IF(COUNTIFS(請求記録!$B$6:$B$3005,$A136,請求記録!$Z$6:$Z$3005,Q$5,請求記録!$AF$6:$AF$3005,"保留中")&gt;0,"保留",IF(COUNTIFS(請求記録!$B$6:$B$3005,$A136,請求記録!$Z$6:$Z$3005,Q$5)=0,"",SUMIFS(請求記録!$AE$6:$AE$3005,請求記録!$B$6:$B$3005,$A136,請求記録!$Z$6:$Z$3005,Q$5))))</f>
        <v/>
      </c>
      <c r="R136" s="19">
        <f>IF($A136="","",IF(COUNTIFS(請求記録!$B$6:$B$3005,$A136,請求記録!$Z$6:$Z$3005,R$5,請求記録!$AF$6:$AF$3005,"保留中")&gt;0,"保留",IF(COUNTIFS(請求記録!$B$6:$B$3005,$A136,請求記録!$Z$6:$Z$3005,R$5)=0,"",SUMIFS(請求記録!$AE$6:$AE$3005,請求記録!$B$6:$B$3005,$A136,請求記録!$Z$6:$Z$3005,R$5))))</f>
        <v/>
      </c>
      <c r="S136" s="19">
        <f>IF($A136="","",IF(COUNTIFS(請求記録!$B$6:$B$3005,$A136,請求記録!$Z$6:$Z$3005,S$5,請求記録!$AF$6:$AF$3005,"保留中")&gt;0,"保留",IF(COUNTIFS(請求記録!$B$6:$B$3005,$A136,請求記録!$Z$6:$Z$3005,S$5)=0,"",SUMIFS(請求記録!$AE$6:$AE$3005,請求記録!$B$6:$B$3005,$A136,請求記録!$Z$6:$Z$3005,S$5))))</f>
        <v/>
      </c>
      <c r="T136" s="19">
        <f>IF($A136="","",IF(COUNTIFS(請求記録!$B$6:$B$3005,$A136,請求記録!$Z$6:$Z$3005,T$5,請求記録!$AF$6:$AF$3005,"保留中")&gt;0,"保留",IF(COUNTIFS(請求記録!$B$6:$B$3005,$A136,請求記録!$Z$6:$Z$3005,T$5)=0,"",SUMIFS(請求記録!$AE$6:$AE$3005,請求記録!$B$6:$B$3005,$A136,請求記録!$Z$6:$Z$3005,T$5))))</f>
        <v/>
      </c>
      <c r="U136" s="19">
        <f>IF($A136="","",IF(COUNTIFS(請求記録!$B$6:$B$3005,$A136,請求記録!$Z$6:$Z$3005,U$5,請求記録!$AF$6:$AF$3005,"保留中")&gt;0,"保留",IF(COUNTIFS(請求記録!$B$6:$B$3005,$A136,請求記録!$Z$6:$Z$3005,U$5)=0,"",SUMIFS(請求記録!$AE$6:$AE$3005,請求記録!$B$6:$B$3005,$A136,請求記録!$Z$6:$Z$3005,U$5))))</f>
        <v/>
      </c>
      <c r="V136" s="19">
        <f>IF($A136="","",IF(COUNTIFS(請求記録!$B$6:$B$3005,$A136,請求記録!$Z$6:$Z$3005,V$5,請求記録!$AF$6:$AF$3005,"保留中")&gt;0,"保留",IF(COUNTIFS(請求記録!$B$6:$B$3005,$A136,請求記録!$Z$6:$Z$3005,V$5)=0,"",SUMIFS(請求記録!$AE$6:$AE$3005,請求記録!$B$6:$B$3005,$A136,請求記録!$Z$6:$Z$3005,V$5))))</f>
        <v/>
      </c>
      <c r="W136" s="19">
        <f>IF($A136="","",IF(COUNTIFS(請求記録!$B$6:$B$3005,$A136,請求記録!$Z$6:$Z$3005,W$5,請求記録!$AF$6:$AF$3005,"保留中")&gt;0,"保留",IF(COUNTIFS(請求記録!$B$6:$B$3005,$A136,請求記録!$Z$6:$Z$3005,W$5)=0,"",SUMIFS(請求記録!$AE$6:$AE$3005,請求記録!$B$6:$B$3005,$A136,請求記録!$Z$6:$Z$3005,W$5))))</f>
        <v/>
      </c>
      <c r="X136" s="19">
        <f>IF($A136="","",IF(COUNTIFS(請求記録!$B$6:$B$3005,$A136,請求記録!$Z$6:$Z$3005,X$5,請求記録!$AF$6:$AF$3005,"保留中")&gt;0,"保留",IF(COUNTIFS(請求記録!$B$6:$B$3005,$A136,請求記録!$Z$6:$Z$3005,X$5)=0,"",SUMIFS(請求記録!$AE$6:$AE$3005,請求記録!$B$6:$B$3005,$A136,請求記録!$Z$6:$Z$3005,X$5))))</f>
        <v/>
      </c>
      <c r="Y136" s="19">
        <f>IF($A136="","",IF(COUNTIFS(請求記録!$B$6:$B$3005,$A136,請求記録!$Z$6:$Z$3005,Y$5,請求記録!$AF$6:$AF$3005,"保留中")&gt;0,"保留",IF(COUNTIFS(請求記録!$B$6:$B$3005,$A136,請求記録!$Z$6:$Z$3005,Y$5)=0,"",SUMIFS(請求記録!$AE$6:$AE$3005,請求記録!$B$6:$B$3005,$A136,請求記録!$Z$6:$Z$3005,Y$5))))</f>
        <v/>
      </c>
      <c r="Z136" s="19">
        <f>IF($A136="","",IF(COUNTIFS(請求記録!$B$6:$B$3005,$A136,請求記録!$Z$6:$Z$3005,Z$5,請求記録!$AF$6:$AF$3005,"保留中")&gt;0,"保留",IF(COUNTIFS(請求記録!$B$6:$B$3005,$A136,請求記録!$Z$6:$Z$3005,Z$5)=0,"",SUMIFS(請求記録!$AE$6:$AE$3005,請求記録!$B$6:$B$3005,$A136,請求記録!$Z$6:$Z$3005,Z$5))))</f>
        <v/>
      </c>
      <c r="AA136" s="19">
        <f>IF($A136="","",IF(COUNTIFS(請求記録!$B$6:$B$3005,$A136,請求記録!$Z$6:$Z$3005,AA$5,請求記録!$AF$6:$AF$3005,"保留中")&gt;0,"保留",IF(COUNTIFS(請求記録!$B$6:$B$3005,$A136,請求記録!$Z$6:$Z$3005,AA$5)=0,"",SUMIFS(請求記録!$AE$6:$AE$3005,請求記録!$B$6:$B$3005,$A136,請求記録!$Z$6:$Z$3005,AA$5))))</f>
        <v/>
      </c>
      <c r="AB136">
        <f>IF(職員マスタ!P136="保留中",職員マスタ!M136,"")</f>
        <v/>
      </c>
    </row>
    <row r="137">
      <c r="A137">
        <f>IF(職員マスタ!A137="","",職員マスタ!A137)</f>
        <v/>
      </c>
      <c r="B137">
        <f>IF($A137="","",職員マスタ!B137)</f>
        <v/>
      </c>
      <c r="C137">
        <f>IF($A137="","",職員マスタ!C137)</f>
        <v/>
      </c>
      <c r="D137" s="19">
        <f>IF($A137="","",IF(COUNTIFS(請求記録!$B$6:$B$3005,$A137,請求記録!$Z$6:$Z$3005,D$5,請求記録!$AF$6:$AF$3005,"保留中")&gt;0,"保留",IF(COUNTIFS(請求記録!$B$6:$B$3005,$A137,請求記録!$Z$6:$Z$3005,D$5)=0,"",SUMIFS(請求記録!$AE$6:$AE$3005,請求記録!$B$6:$B$3005,$A137,請求記録!$Z$6:$Z$3005,D$5))))</f>
        <v/>
      </c>
      <c r="E137" s="19">
        <f>IF($A137="","",IF(COUNTIFS(請求記録!$B$6:$B$3005,$A137,請求記録!$Z$6:$Z$3005,E$5,請求記録!$AF$6:$AF$3005,"保留中")&gt;0,"保留",IF(COUNTIFS(請求記録!$B$6:$B$3005,$A137,請求記録!$Z$6:$Z$3005,E$5)=0,"",SUMIFS(請求記録!$AE$6:$AE$3005,請求記録!$B$6:$B$3005,$A137,請求記録!$Z$6:$Z$3005,E$5))))</f>
        <v/>
      </c>
      <c r="F137" s="19">
        <f>IF($A137="","",IF(COUNTIFS(請求記録!$B$6:$B$3005,$A137,請求記録!$Z$6:$Z$3005,F$5,請求記録!$AF$6:$AF$3005,"保留中")&gt;0,"保留",IF(COUNTIFS(請求記録!$B$6:$B$3005,$A137,請求記録!$Z$6:$Z$3005,F$5)=0,"",SUMIFS(請求記録!$AE$6:$AE$3005,請求記録!$B$6:$B$3005,$A137,請求記録!$Z$6:$Z$3005,F$5))))</f>
        <v/>
      </c>
      <c r="G137" s="19">
        <f>IF($A137="","",IF(COUNTIFS(請求記録!$B$6:$B$3005,$A137,請求記録!$Z$6:$Z$3005,G$5,請求記録!$AF$6:$AF$3005,"保留中")&gt;0,"保留",IF(COUNTIFS(請求記録!$B$6:$B$3005,$A137,請求記録!$Z$6:$Z$3005,G$5)=0,"",SUMIFS(請求記録!$AE$6:$AE$3005,請求記録!$B$6:$B$3005,$A137,請求記録!$Z$6:$Z$3005,G$5))))</f>
        <v/>
      </c>
      <c r="H137" s="19">
        <f>IF($A137="","",IF(COUNTIFS(請求記録!$B$6:$B$3005,$A137,請求記録!$Z$6:$Z$3005,H$5,請求記録!$AF$6:$AF$3005,"保留中")&gt;0,"保留",IF(COUNTIFS(請求記録!$B$6:$B$3005,$A137,請求記録!$Z$6:$Z$3005,H$5)=0,"",SUMIFS(請求記録!$AE$6:$AE$3005,請求記録!$B$6:$B$3005,$A137,請求記録!$Z$6:$Z$3005,H$5))))</f>
        <v/>
      </c>
      <c r="I137" s="19">
        <f>IF($A137="","",IF(COUNTIFS(請求記録!$B$6:$B$3005,$A137,請求記録!$Z$6:$Z$3005,I$5,請求記録!$AF$6:$AF$3005,"保留中")&gt;0,"保留",IF(COUNTIFS(請求記録!$B$6:$B$3005,$A137,請求記録!$Z$6:$Z$3005,I$5)=0,"",SUMIFS(請求記録!$AE$6:$AE$3005,請求記録!$B$6:$B$3005,$A137,請求記録!$Z$6:$Z$3005,I$5))))</f>
        <v/>
      </c>
      <c r="J137" s="19">
        <f>IF($A137="","",IF(COUNTIFS(請求記録!$B$6:$B$3005,$A137,請求記録!$Z$6:$Z$3005,J$5,請求記録!$AF$6:$AF$3005,"保留中")&gt;0,"保留",IF(COUNTIFS(請求記録!$B$6:$B$3005,$A137,請求記録!$Z$6:$Z$3005,J$5)=0,"",SUMIFS(請求記録!$AE$6:$AE$3005,請求記録!$B$6:$B$3005,$A137,請求記録!$Z$6:$Z$3005,J$5))))</f>
        <v/>
      </c>
      <c r="K137" s="19">
        <f>IF($A137="","",IF(COUNTIFS(請求記録!$B$6:$B$3005,$A137,請求記録!$Z$6:$Z$3005,K$5,請求記録!$AF$6:$AF$3005,"保留中")&gt;0,"保留",IF(COUNTIFS(請求記録!$B$6:$B$3005,$A137,請求記録!$Z$6:$Z$3005,K$5)=0,"",SUMIFS(請求記録!$AE$6:$AE$3005,請求記録!$B$6:$B$3005,$A137,請求記録!$Z$6:$Z$3005,K$5))))</f>
        <v/>
      </c>
      <c r="L137" s="19">
        <f>IF($A137="","",IF(COUNTIFS(請求記録!$B$6:$B$3005,$A137,請求記録!$Z$6:$Z$3005,L$5,請求記録!$AF$6:$AF$3005,"保留中")&gt;0,"保留",IF(COUNTIFS(請求記録!$B$6:$B$3005,$A137,請求記録!$Z$6:$Z$3005,L$5)=0,"",SUMIFS(請求記録!$AE$6:$AE$3005,請求記録!$B$6:$B$3005,$A137,請求記録!$Z$6:$Z$3005,L$5))))</f>
        <v/>
      </c>
      <c r="M137" s="19">
        <f>IF($A137="","",IF(COUNTIFS(請求記録!$B$6:$B$3005,$A137,請求記録!$Z$6:$Z$3005,M$5,請求記録!$AF$6:$AF$3005,"保留中")&gt;0,"保留",IF(COUNTIFS(請求記録!$B$6:$B$3005,$A137,請求記録!$Z$6:$Z$3005,M$5)=0,"",SUMIFS(請求記録!$AE$6:$AE$3005,請求記録!$B$6:$B$3005,$A137,請求記録!$Z$6:$Z$3005,M$5))))</f>
        <v/>
      </c>
      <c r="N137" s="19">
        <f>IF($A137="","",IF(COUNTIFS(請求記録!$B$6:$B$3005,$A137,請求記録!$Z$6:$Z$3005,N$5,請求記録!$AF$6:$AF$3005,"保留中")&gt;0,"保留",IF(COUNTIFS(請求記録!$B$6:$B$3005,$A137,請求記録!$Z$6:$Z$3005,N$5)=0,"",SUMIFS(請求記録!$AE$6:$AE$3005,請求記録!$B$6:$B$3005,$A137,請求記録!$Z$6:$Z$3005,N$5))))</f>
        <v/>
      </c>
      <c r="O137" s="19">
        <f>IF($A137="","",IF(COUNTIFS(請求記録!$B$6:$B$3005,$A137,請求記録!$Z$6:$Z$3005,O$5,請求記録!$AF$6:$AF$3005,"保留中")&gt;0,"保留",IF(COUNTIFS(請求記録!$B$6:$B$3005,$A137,請求記録!$Z$6:$Z$3005,O$5)=0,"",SUMIFS(請求記録!$AE$6:$AE$3005,請求記録!$B$6:$B$3005,$A137,請求記録!$Z$6:$Z$3005,O$5))))</f>
        <v/>
      </c>
      <c r="P137" s="19">
        <f>IF($A137="","",IF(COUNTIFS(請求記録!$B$6:$B$3005,$A137,請求記録!$Z$6:$Z$3005,P$5,請求記録!$AF$6:$AF$3005,"保留中")&gt;0,"保留",IF(COUNTIFS(請求記録!$B$6:$B$3005,$A137,請求記録!$Z$6:$Z$3005,P$5)=0,"",SUMIFS(請求記録!$AE$6:$AE$3005,請求記録!$B$6:$B$3005,$A137,請求記録!$Z$6:$Z$3005,P$5))))</f>
        <v/>
      </c>
      <c r="Q137" s="19">
        <f>IF($A137="","",IF(COUNTIFS(請求記録!$B$6:$B$3005,$A137,請求記録!$Z$6:$Z$3005,Q$5,請求記録!$AF$6:$AF$3005,"保留中")&gt;0,"保留",IF(COUNTIFS(請求記録!$B$6:$B$3005,$A137,請求記録!$Z$6:$Z$3005,Q$5)=0,"",SUMIFS(請求記録!$AE$6:$AE$3005,請求記録!$B$6:$B$3005,$A137,請求記録!$Z$6:$Z$3005,Q$5))))</f>
        <v/>
      </c>
      <c r="R137" s="19">
        <f>IF($A137="","",IF(COUNTIFS(請求記録!$B$6:$B$3005,$A137,請求記録!$Z$6:$Z$3005,R$5,請求記録!$AF$6:$AF$3005,"保留中")&gt;0,"保留",IF(COUNTIFS(請求記録!$B$6:$B$3005,$A137,請求記録!$Z$6:$Z$3005,R$5)=0,"",SUMIFS(請求記録!$AE$6:$AE$3005,請求記録!$B$6:$B$3005,$A137,請求記録!$Z$6:$Z$3005,R$5))))</f>
        <v/>
      </c>
      <c r="S137" s="19">
        <f>IF($A137="","",IF(COUNTIFS(請求記録!$B$6:$B$3005,$A137,請求記録!$Z$6:$Z$3005,S$5,請求記録!$AF$6:$AF$3005,"保留中")&gt;0,"保留",IF(COUNTIFS(請求記録!$B$6:$B$3005,$A137,請求記録!$Z$6:$Z$3005,S$5)=0,"",SUMIFS(請求記録!$AE$6:$AE$3005,請求記録!$B$6:$B$3005,$A137,請求記録!$Z$6:$Z$3005,S$5))))</f>
        <v/>
      </c>
      <c r="T137" s="19">
        <f>IF($A137="","",IF(COUNTIFS(請求記録!$B$6:$B$3005,$A137,請求記録!$Z$6:$Z$3005,T$5,請求記録!$AF$6:$AF$3005,"保留中")&gt;0,"保留",IF(COUNTIFS(請求記録!$B$6:$B$3005,$A137,請求記録!$Z$6:$Z$3005,T$5)=0,"",SUMIFS(請求記録!$AE$6:$AE$3005,請求記録!$B$6:$B$3005,$A137,請求記録!$Z$6:$Z$3005,T$5))))</f>
        <v/>
      </c>
      <c r="U137" s="19">
        <f>IF($A137="","",IF(COUNTIFS(請求記録!$B$6:$B$3005,$A137,請求記録!$Z$6:$Z$3005,U$5,請求記録!$AF$6:$AF$3005,"保留中")&gt;0,"保留",IF(COUNTIFS(請求記録!$B$6:$B$3005,$A137,請求記録!$Z$6:$Z$3005,U$5)=0,"",SUMIFS(請求記録!$AE$6:$AE$3005,請求記録!$B$6:$B$3005,$A137,請求記録!$Z$6:$Z$3005,U$5))))</f>
        <v/>
      </c>
      <c r="V137" s="19">
        <f>IF($A137="","",IF(COUNTIFS(請求記録!$B$6:$B$3005,$A137,請求記録!$Z$6:$Z$3005,V$5,請求記録!$AF$6:$AF$3005,"保留中")&gt;0,"保留",IF(COUNTIFS(請求記録!$B$6:$B$3005,$A137,請求記録!$Z$6:$Z$3005,V$5)=0,"",SUMIFS(請求記録!$AE$6:$AE$3005,請求記録!$B$6:$B$3005,$A137,請求記録!$Z$6:$Z$3005,V$5))))</f>
        <v/>
      </c>
      <c r="W137" s="19">
        <f>IF($A137="","",IF(COUNTIFS(請求記録!$B$6:$B$3005,$A137,請求記録!$Z$6:$Z$3005,W$5,請求記録!$AF$6:$AF$3005,"保留中")&gt;0,"保留",IF(COUNTIFS(請求記録!$B$6:$B$3005,$A137,請求記録!$Z$6:$Z$3005,W$5)=0,"",SUMIFS(請求記録!$AE$6:$AE$3005,請求記録!$B$6:$B$3005,$A137,請求記録!$Z$6:$Z$3005,W$5))))</f>
        <v/>
      </c>
      <c r="X137" s="19">
        <f>IF($A137="","",IF(COUNTIFS(請求記録!$B$6:$B$3005,$A137,請求記録!$Z$6:$Z$3005,X$5,請求記録!$AF$6:$AF$3005,"保留中")&gt;0,"保留",IF(COUNTIFS(請求記録!$B$6:$B$3005,$A137,請求記録!$Z$6:$Z$3005,X$5)=0,"",SUMIFS(請求記録!$AE$6:$AE$3005,請求記録!$B$6:$B$3005,$A137,請求記録!$Z$6:$Z$3005,X$5))))</f>
        <v/>
      </c>
      <c r="Y137" s="19">
        <f>IF($A137="","",IF(COUNTIFS(請求記録!$B$6:$B$3005,$A137,請求記録!$Z$6:$Z$3005,Y$5,請求記録!$AF$6:$AF$3005,"保留中")&gt;0,"保留",IF(COUNTIFS(請求記録!$B$6:$B$3005,$A137,請求記録!$Z$6:$Z$3005,Y$5)=0,"",SUMIFS(請求記録!$AE$6:$AE$3005,請求記録!$B$6:$B$3005,$A137,請求記録!$Z$6:$Z$3005,Y$5))))</f>
        <v/>
      </c>
      <c r="Z137" s="19">
        <f>IF($A137="","",IF(COUNTIFS(請求記録!$B$6:$B$3005,$A137,請求記録!$Z$6:$Z$3005,Z$5,請求記録!$AF$6:$AF$3005,"保留中")&gt;0,"保留",IF(COUNTIFS(請求記録!$B$6:$B$3005,$A137,請求記録!$Z$6:$Z$3005,Z$5)=0,"",SUMIFS(請求記録!$AE$6:$AE$3005,請求記録!$B$6:$B$3005,$A137,請求記録!$Z$6:$Z$3005,Z$5))))</f>
        <v/>
      </c>
      <c r="AA137" s="19">
        <f>IF($A137="","",IF(COUNTIFS(請求記録!$B$6:$B$3005,$A137,請求記録!$Z$6:$Z$3005,AA$5,請求記録!$AF$6:$AF$3005,"保留中")&gt;0,"保留",IF(COUNTIFS(請求記録!$B$6:$B$3005,$A137,請求記録!$Z$6:$Z$3005,AA$5)=0,"",SUMIFS(請求記録!$AE$6:$AE$3005,請求記録!$B$6:$B$3005,$A137,請求記録!$Z$6:$Z$3005,AA$5))))</f>
        <v/>
      </c>
      <c r="AB137">
        <f>IF(職員マスタ!P137="保留中",職員マスタ!M137,"")</f>
        <v/>
      </c>
    </row>
    <row r="138">
      <c r="A138">
        <f>IF(職員マスタ!A138="","",職員マスタ!A138)</f>
        <v/>
      </c>
      <c r="B138">
        <f>IF($A138="","",職員マスタ!B138)</f>
        <v/>
      </c>
      <c r="C138">
        <f>IF($A138="","",職員マスタ!C138)</f>
        <v/>
      </c>
      <c r="D138" s="19">
        <f>IF($A138="","",IF(COUNTIFS(請求記録!$B$6:$B$3005,$A138,請求記録!$Z$6:$Z$3005,D$5,請求記録!$AF$6:$AF$3005,"保留中")&gt;0,"保留",IF(COUNTIFS(請求記録!$B$6:$B$3005,$A138,請求記録!$Z$6:$Z$3005,D$5)=0,"",SUMIFS(請求記録!$AE$6:$AE$3005,請求記録!$B$6:$B$3005,$A138,請求記録!$Z$6:$Z$3005,D$5))))</f>
        <v/>
      </c>
      <c r="E138" s="19">
        <f>IF($A138="","",IF(COUNTIFS(請求記録!$B$6:$B$3005,$A138,請求記録!$Z$6:$Z$3005,E$5,請求記録!$AF$6:$AF$3005,"保留中")&gt;0,"保留",IF(COUNTIFS(請求記録!$B$6:$B$3005,$A138,請求記録!$Z$6:$Z$3005,E$5)=0,"",SUMIFS(請求記録!$AE$6:$AE$3005,請求記録!$B$6:$B$3005,$A138,請求記録!$Z$6:$Z$3005,E$5))))</f>
        <v/>
      </c>
      <c r="F138" s="19">
        <f>IF($A138="","",IF(COUNTIFS(請求記録!$B$6:$B$3005,$A138,請求記録!$Z$6:$Z$3005,F$5,請求記録!$AF$6:$AF$3005,"保留中")&gt;0,"保留",IF(COUNTIFS(請求記録!$B$6:$B$3005,$A138,請求記録!$Z$6:$Z$3005,F$5)=0,"",SUMIFS(請求記録!$AE$6:$AE$3005,請求記録!$B$6:$B$3005,$A138,請求記録!$Z$6:$Z$3005,F$5))))</f>
        <v/>
      </c>
      <c r="G138" s="19">
        <f>IF($A138="","",IF(COUNTIFS(請求記録!$B$6:$B$3005,$A138,請求記録!$Z$6:$Z$3005,G$5,請求記録!$AF$6:$AF$3005,"保留中")&gt;0,"保留",IF(COUNTIFS(請求記録!$B$6:$B$3005,$A138,請求記録!$Z$6:$Z$3005,G$5)=0,"",SUMIFS(請求記録!$AE$6:$AE$3005,請求記録!$B$6:$B$3005,$A138,請求記録!$Z$6:$Z$3005,G$5))))</f>
        <v/>
      </c>
      <c r="H138" s="19">
        <f>IF($A138="","",IF(COUNTIFS(請求記録!$B$6:$B$3005,$A138,請求記録!$Z$6:$Z$3005,H$5,請求記録!$AF$6:$AF$3005,"保留中")&gt;0,"保留",IF(COUNTIFS(請求記録!$B$6:$B$3005,$A138,請求記録!$Z$6:$Z$3005,H$5)=0,"",SUMIFS(請求記録!$AE$6:$AE$3005,請求記録!$B$6:$B$3005,$A138,請求記録!$Z$6:$Z$3005,H$5))))</f>
        <v/>
      </c>
      <c r="I138" s="19">
        <f>IF($A138="","",IF(COUNTIFS(請求記録!$B$6:$B$3005,$A138,請求記録!$Z$6:$Z$3005,I$5,請求記録!$AF$6:$AF$3005,"保留中")&gt;0,"保留",IF(COUNTIFS(請求記録!$B$6:$B$3005,$A138,請求記録!$Z$6:$Z$3005,I$5)=0,"",SUMIFS(請求記録!$AE$6:$AE$3005,請求記録!$B$6:$B$3005,$A138,請求記録!$Z$6:$Z$3005,I$5))))</f>
        <v/>
      </c>
      <c r="J138" s="19">
        <f>IF($A138="","",IF(COUNTIFS(請求記録!$B$6:$B$3005,$A138,請求記録!$Z$6:$Z$3005,J$5,請求記録!$AF$6:$AF$3005,"保留中")&gt;0,"保留",IF(COUNTIFS(請求記録!$B$6:$B$3005,$A138,請求記録!$Z$6:$Z$3005,J$5)=0,"",SUMIFS(請求記録!$AE$6:$AE$3005,請求記録!$B$6:$B$3005,$A138,請求記録!$Z$6:$Z$3005,J$5))))</f>
        <v/>
      </c>
      <c r="K138" s="19">
        <f>IF($A138="","",IF(COUNTIFS(請求記録!$B$6:$B$3005,$A138,請求記録!$Z$6:$Z$3005,K$5,請求記録!$AF$6:$AF$3005,"保留中")&gt;0,"保留",IF(COUNTIFS(請求記録!$B$6:$B$3005,$A138,請求記録!$Z$6:$Z$3005,K$5)=0,"",SUMIFS(請求記録!$AE$6:$AE$3005,請求記録!$B$6:$B$3005,$A138,請求記録!$Z$6:$Z$3005,K$5))))</f>
        <v/>
      </c>
      <c r="L138" s="19">
        <f>IF($A138="","",IF(COUNTIFS(請求記録!$B$6:$B$3005,$A138,請求記録!$Z$6:$Z$3005,L$5,請求記録!$AF$6:$AF$3005,"保留中")&gt;0,"保留",IF(COUNTIFS(請求記録!$B$6:$B$3005,$A138,請求記録!$Z$6:$Z$3005,L$5)=0,"",SUMIFS(請求記録!$AE$6:$AE$3005,請求記録!$B$6:$B$3005,$A138,請求記録!$Z$6:$Z$3005,L$5))))</f>
        <v/>
      </c>
      <c r="M138" s="19">
        <f>IF($A138="","",IF(COUNTIFS(請求記録!$B$6:$B$3005,$A138,請求記録!$Z$6:$Z$3005,M$5,請求記録!$AF$6:$AF$3005,"保留中")&gt;0,"保留",IF(COUNTIFS(請求記録!$B$6:$B$3005,$A138,請求記録!$Z$6:$Z$3005,M$5)=0,"",SUMIFS(請求記録!$AE$6:$AE$3005,請求記録!$B$6:$B$3005,$A138,請求記録!$Z$6:$Z$3005,M$5))))</f>
        <v/>
      </c>
      <c r="N138" s="19">
        <f>IF($A138="","",IF(COUNTIFS(請求記録!$B$6:$B$3005,$A138,請求記録!$Z$6:$Z$3005,N$5,請求記録!$AF$6:$AF$3005,"保留中")&gt;0,"保留",IF(COUNTIFS(請求記録!$B$6:$B$3005,$A138,請求記録!$Z$6:$Z$3005,N$5)=0,"",SUMIFS(請求記録!$AE$6:$AE$3005,請求記録!$B$6:$B$3005,$A138,請求記録!$Z$6:$Z$3005,N$5))))</f>
        <v/>
      </c>
      <c r="O138" s="19">
        <f>IF($A138="","",IF(COUNTIFS(請求記録!$B$6:$B$3005,$A138,請求記録!$Z$6:$Z$3005,O$5,請求記録!$AF$6:$AF$3005,"保留中")&gt;0,"保留",IF(COUNTIFS(請求記録!$B$6:$B$3005,$A138,請求記録!$Z$6:$Z$3005,O$5)=0,"",SUMIFS(請求記録!$AE$6:$AE$3005,請求記録!$B$6:$B$3005,$A138,請求記録!$Z$6:$Z$3005,O$5))))</f>
        <v/>
      </c>
      <c r="P138" s="19">
        <f>IF($A138="","",IF(COUNTIFS(請求記録!$B$6:$B$3005,$A138,請求記録!$Z$6:$Z$3005,P$5,請求記録!$AF$6:$AF$3005,"保留中")&gt;0,"保留",IF(COUNTIFS(請求記録!$B$6:$B$3005,$A138,請求記録!$Z$6:$Z$3005,P$5)=0,"",SUMIFS(請求記録!$AE$6:$AE$3005,請求記録!$B$6:$B$3005,$A138,請求記録!$Z$6:$Z$3005,P$5))))</f>
        <v/>
      </c>
      <c r="Q138" s="19">
        <f>IF($A138="","",IF(COUNTIFS(請求記録!$B$6:$B$3005,$A138,請求記録!$Z$6:$Z$3005,Q$5,請求記録!$AF$6:$AF$3005,"保留中")&gt;0,"保留",IF(COUNTIFS(請求記録!$B$6:$B$3005,$A138,請求記録!$Z$6:$Z$3005,Q$5)=0,"",SUMIFS(請求記録!$AE$6:$AE$3005,請求記録!$B$6:$B$3005,$A138,請求記録!$Z$6:$Z$3005,Q$5))))</f>
        <v/>
      </c>
      <c r="R138" s="19">
        <f>IF($A138="","",IF(COUNTIFS(請求記録!$B$6:$B$3005,$A138,請求記録!$Z$6:$Z$3005,R$5,請求記録!$AF$6:$AF$3005,"保留中")&gt;0,"保留",IF(COUNTIFS(請求記録!$B$6:$B$3005,$A138,請求記録!$Z$6:$Z$3005,R$5)=0,"",SUMIFS(請求記録!$AE$6:$AE$3005,請求記録!$B$6:$B$3005,$A138,請求記録!$Z$6:$Z$3005,R$5))))</f>
        <v/>
      </c>
      <c r="S138" s="19">
        <f>IF($A138="","",IF(COUNTIFS(請求記録!$B$6:$B$3005,$A138,請求記録!$Z$6:$Z$3005,S$5,請求記録!$AF$6:$AF$3005,"保留中")&gt;0,"保留",IF(COUNTIFS(請求記録!$B$6:$B$3005,$A138,請求記録!$Z$6:$Z$3005,S$5)=0,"",SUMIFS(請求記録!$AE$6:$AE$3005,請求記録!$B$6:$B$3005,$A138,請求記録!$Z$6:$Z$3005,S$5))))</f>
        <v/>
      </c>
      <c r="T138" s="19">
        <f>IF($A138="","",IF(COUNTIFS(請求記録!$B$6:$B$3005,$A138,請求記録!$Z$6:$Z$3005,T$5,請求記録!$AF$6:$AF$3005,"保留中")&gt;0,"保留",IF(COUNTIFS(請求記録!$B$6:$B$3005,$A138,請求記録!$Z$6:$Z$3005,T$5)=0,"",SUMIFS(請求記録!$AE$6:$AE$3005,請求記録!$B$6:$B$3005,$A138,請求記録!$Z$6:$Z$3005,T$5))))</f>
        <v/>
      </c>
      <c r="U138" s="19">
        <f>IF($A138="","",IF(COUNTIFS(請求記録!$B$6:$B$3005,$A138,請求記録!$Z$6:$Z$3005,U$5,請求記録!$AF$6:$AF$3005,"保留中")&gt;0,"保留",IF(COUNTIFS(請求記録!$B$6:$B$3005,$A138,請求記録!$Z$6:$Z$3005,U$5)=0,"",SUMIFS(請求記録!$AE$6:$AE$3005,請求記録!$B$6:$B$3005,$A138,請求記録!$Z$6:$Z$3005,U$5))))</f>
        <v/>
      </c>
      <c r="V138" s="19">
        <f>IF($A138="","",IF(COUNTIFS(請求記録!$B$6:$B$3005,$A138,請求記録!$Z$6:$Z$3005,V$5,請求記録!$AF$6:$AF$3005,"保留中")&gt;0,"保留",IF(COUNTIFS(請求記録!$B$6:$B$3005,$A138,請求記録!$Z$6:$Z$3005,V$5)=0,"",SUMIFS(請求記録!$AE$6:$AE$3005,請求記録!$B$6:$B$3005,$A138,請求記録!$Z$6:$Z$3005,V$5))))</f>
        <v/>
      </c>
      <c r="W138" s="19">
        <f>IF($A138="","",IF(COUNTIFS(請求記録!$B$6:$B$3005,$A138,請求記録!$Z$6:$Z$3005,W$5,請求記録!$AF$6:$AF$3005,"保留中")&gt;0,"保留",IF(COUNTIFS(請求記録!$B$6:$B$3005,$A138,請求記録!$Z$6:$Z$3005,W$5)=0,"",SUMIFS(請求記録!$AE$6:$AE$3005,請求記録!$B$6:$B$3005,$A138,請求記録!$Z$6:$Z$3005,W$5))))</f>
        <v/>
      </c>
      <c r="X138" s="19">
        <f>IF($A138="","",IF(COUNTIFS(請求記録!$B$6:$B$3005,$A138,請求記録!$Z$6:$Z$3005,X$5,請求記録!$AF$6:$AF$3005,"保留中")&gt;0,"保留",IF(COUNTIFS(請求記録!$B$6:$B$3005,$A138,請求記録!$Z$6:$Z$3005,X$5)=0,"",SUMIFS(請求記録!$AE$6:$AE$3005,請求記録!$B$6:$B$3005,$A138,請求記録!$Z$6:$Z$3005,X$5))))</f>
        <v/>
      </c>
      <c r="Y138" s="19">
        <f>IF($A138="","",IF(COUNTIFS(請求記録!$B$6:$B$3005,$A138,請求記録!$Z$6:$Z$3005,Y$5,請求記録!$AF$6:$AF$3005,"保留中")&gt;0,"保留",IF(COUNTIFS(請求記録!$B$6:$B$3005,$A138,請求記録!$Z$6:$Z$3005,Y$5)=0,"",SUMIFS(請求記録!$AE$6:$AE$3005,請求記録!$B$6:$B$3005,$A138,請求記録!$Z$6:$Z$3005,Y$5))))</f>
        <v/>
      </c>
      <c r="Z138" s="19">
        <f>IF($A138="","",IF(COUNTIFS(請求記録!$B$6:$B$3005,$A138,請求記録!$Z$6:$Z$3005,Z$5,請求記録!$AF$6:$AF$3005,"保留中")&gt;0,"保留",IF(COUNTIFS(請求記録!$B$6:$B$3005,$A138,請求記録!$Z$6:$Z$3005,Z$5)=0,"",SUMIFS(請求記録!$AE$6:$AE$3005,請求記録!$B$6:$B$3005,$A138,請求記録!$Z$6:$Z$3005,Z$5))))</f>
        <v/>
      </c>
      <c r="AA138" s="19">
        <f>IF($A138="","",IF(COUNTIFS(請求記録!$B$6:$B$3005,$A138,請求記録!$Z$6:$Z$3005,AA$5,請求記録!$AF$6:$AF$3005,"保留中")&gt;0,"保留",IF(COUNTIFS(請求記録!$B$6:$B$3005,$A138,請求記録!$Z$6:$Z$3005,AA$5)=0,"",SUMIFS(請求記録!$AE$6:$AE$3005,請求記録!$B$6:$B$3005,$A138,請求記録!$Z$6:$Z$3005,AA$5))))</f>
        <v/>
      </c>
      <c r="AB138">
        <f>IF(職員マスタ!P138="保留中",職員マスタ!M138,"")</f>
        <v/>
      </c>
    </row>
    <row r="139">
      <c r="A139">
        <f>IF(職員マスタ!A139="","",職員マスタ!A139)</f>
        <v/>
      </c>
      <c r="B139">
        <f>IF($A139="","",職員マスタ!B139)</f>
        <v/>
      </c>
      <c r="C139">
        <f>IF($A139="","",職員マスタ!C139)</f>
        <v/>
      </c>
      <c r="D139" s="19">
        <f>IF($A139="","",IF(COUNTIFS(請求記録!$B$6:$B$3005,$A139,請求記録!$Z$6:$Z$3005,D$5,請求記録!$AF$6:$AF$3005,"保留中")&gt;0,"保留",IF(COUNTIFS(請求記録!$B$6:$B$3005,$A139,請求記録!$Z$6:$Z$3005,D$5)=0,"",SUMIFS(請求記録!$AE$6:$AE$3005,請求記録!$B$6:$B$3005,$A139,請求記録!$Z$6:$Z$3005,D$5))))</f>
        <v/>
      </c>
      <c r="E139" s="19">
        <f>IF($A139="","",IF(COUNTIFS(請求記録!$B$6:$B$3005,$A139,請求記録!$Z$6:$Z$3005,E$5,請求記録!$AF$6:$AF$3005,"保留中")&gt;0,"保留",IF(COUNTIFS(請求記録!$B$6:$B$3005,$A139,請求記録!$Z$6:$Z$3005,E$5)=0,"",SUMIFS(請求記録!$AE$6:$AE$3005,請求記録!$B$6:$B$3005,$A139,請求記録!$Z$6:$Z$3005,E$5))))</f>
        <v/>
      </c>
      <c r="F139" s="19">
        <f>IF($A139="","",IF(COUNTIFS(請求記録!$B$6:$B$3005,$A139,請求記録!$Z$6:$Z$3005,F$5,請求記録!$AF$6:$AF$3005,"保留中")&gt;0,"保留",IF(COUNTIFS(請求記録!$B$6:$B$3005,$A139,請求記録!$Z$6:$Z$3005,F$5)=0,"",SUMIFS(請求記録!$AE$6:$AE$3005,請求記録!$B$6:$B$3005,$A139,請求記録!$Z$6:$Z$3005,F$5))))</f>
        <v/>
      </c>
      <c r="G139" s="19">
        <f>IF($A139="","",IF(COUNTIFS(請求記録!$B$6:$B$3005,$A139,請求記録!$Z$6:$Z$3005,G$5,請求記録!$AF$6:$AF$3005,"保留中")&gt;0,"保留",IF(COUNTIFS(請求記録!$B$6:$B$3005,$A139,請求記録!$Z$6:$Z$3005,G$5)=0,"",SUMIFS(請求記録!$AE$6:$AE$3005,請求記録!$B$6:$B$3005,$A139,請求記録!$Z$6:$Z$3005,G$5))))</f>
        <v/>
      </c>
      <c r="H139" s="19">
        <f>IF($A139="","",IF(COUNTIFS(請求記録!$B$6:$B$3005,$A139,請求記録!$Z$6:$Z$3005,H$5,請求記録!$AF$6:$AF$3005,"保留中")&gt;0,"保留",IF(COUNTIFS(請求記録!$B$6:$B$3005,$A139,請求記録!$Z$6:$Z$3005,H$5)=0,"",SUMIFS(請求記録!$AE$6:$AE$3005,請求記録!$B$6:$B$3005,$A139,請求記録!$Z$6:$Z$3005,H$5))))</f>
        <v/>
      </c>
      <c r="I139" s="19">
        <f>IF($A139="","",IF(COUNTIFS(請求記録!$B$6:$B$3005,$A139,請求記録!$Z$6:$Z$3005,I$5,請求記録!$AF$6:$AF$3005,"保留中")&gt;0,"保留",IF(COUNTIFS(請求記録!$B$6:$B$3005,$A139,請求記録!$Z$6:$Z$3005,I$5)=0,"",SUMIFS(請求記録!$AE$6:$AE$3005,請求記録!$B$6:$B$3005,$A139,請求記録!$Z$6:$Z$3005,I$5))))</f>
        <v/>
      </c>
      <c r="J139" s="19">
        <f>IF($A139="","",IF(COUNTIFS(請求記録!$B$6:$B$3005,$A139,請求記録!$Z$6:$Z$3005,J$5,請求記録!$AF$6:$AF$3005,"保留中")&gt;0,"保留",IF(COUNTIFS(請求記録!$B$6:$B$3005,$A139,請求記録!$Z$6:$Z$3005,J$5)=0,"",SUMIFS(請求記録!$AE$6:$AE$3005,請求記録!$B$6:$B$3005,$A139,請求記録!$Z$6:$Z$3005,J$5))))</f>
        <v/>
      </c>
      <c r="K139" s="19">
        <f>IF($A139="","",IF(COUNTIFS(請求記録!$B$6:$B$3005,$A139,請求記録!$Z$6:$Z$3005,K$5,請求記録!$AF$6:$AF$3005,"保留中")&gt;0,"保留",IF(COUNTIFS(請求記録!$B$6:$B$3005,$A139,請求記録!$Z$6:$Z$3005,K$5)=0,"",SUMIFS(請求記録!$AE$6:$AE$3005,請求記録!$B$6:$B$3005,$A139,請求記録!$Z$6:$Z$3005,K$5))))</f>
        <v/>
      </c>
      <c r="L139" s="19">
        <f>IF($A139="","",IF(COUNTIFS(請求記録!$B$6:$B$3005,$A139,請求記録!$Z$6:$Z$3005,L$5,請求記録!$AF$6:$AF$3005,"保留中")&gt;0,"保留",IF(COUNTIFS(請求記録!$B$6:$B$3005,$A139,請求記録!$Z$6:$Z$3005,L$5)=0,"",SUMIFS(請求記録!$AE$6:$AE$3005,請求記録!$B$6:$B$3005,$A139,請求記録!$Z$6:$Z$3005,L$5))))</f>
        <v/>
      </c>
      <c r="M139" s="19">
        <f>IF($A139="","",IF(COUNTIFS(請求記録!$B$6:$B$3005,$A139,請求記録!$Z$6:$Z$3005,M$5,請求記録!$AF$6:$AF$3005,"保留中")&gt;0,"保留",IF(COUNTIFS(請求記録!$B$6:$B$3005,$A139,請求記録!$Z$6:$Z$3005,M$5)=0,"",SUMIFS(請求記録!$AE$6:$AE$3005,請求記録!$B$6:$B$3005,$A139,請求記録!$Z$6:$Z$3005,M$5))))</f>
        <v/>
      </c>
      <c r="N139" s="19">
        <f>IF($A139="","",IF(COUNTIFS(請求記録!$B$6:$B$3005,$A139,請求記録!$Z$6:$Z$3005,N$5,請求記録!$AF$6:$AF$3005,"保留中")&gt;0,"保留",IF(COUNTIFS(請求記録!$B$6:$B$3005,$A139,請求記録!$Z$6:$Z$3005,N$5)=0,"",SUMIFS(請求記録!$AE$6:$AE$3005,請求記録!$B$6:$B$3005,$A139,請求記録!$Z$6:$Z$3005,N$5))))</f>
        <v/>
      </c>
      <c r="O139" s="19">
        <f>IF($A139="","",IF(COUNTIFS(請求記録!$B$6:$B$3005,$A139,請求記録!$Z$6:$Z$3005,O$5,請求記録!$AF$6:$AF$3005,"保留中")&gt;0,"保留",IF(COUNTIFS(請求記録!$B$6:$B$3005,$A139,請求記録!$Z$6:$Z$3005,O$5)=0,"",SUMIFS(請求記録!$AE$6:$AE$3005,請求記録!$B$6:$B$3005,$A139,請求記録!$Z$6:$Z$3005,O$5))))</f>
        <v/>
      </c>
      <c r="P139" s="19">
        <f>IF($A139="","",IF(COUNTIFS(請求記録!$B$6:$B$3005,$A139,請求記録!$Z$6:$Z$3005,P$5,請求記録!$AF$6:$AF$3005,"保留中")&gt;0,"保留",IF(COUNTIFS(請求記録!$B$6:$B$3005,$A139,請求記録!$Z$6:$Z$3005,P$5)=0,"",SUMIFS(請求記録!$AE$6:$AE$3005,請求記録!$B$6:$B$3005,$A139,請求記録!$Z$6:$Z$3005,P$5))))</f>
        <v/>
      </c>
      <c r="Q139" s="19">
        <f>IF($A139="","",IF(COUNTIFS(請求記録!$B$6:$B$3005,$A139,請求記録!$Z$6:$Z$3005,Q$5,請求記録!$AF$6:$AF$3005,"保留中")&gt;0,"保留",IF(COUNTIFS(請求記録!$B$6:$B$3005,$A139,請求記録!$Z$6:$Z$3005,Q$5)=0,"",SUMIFS(請求記録!$AE$6:$AE$3005,請求記録!$B$6:$B$3005,$A139,請求記録!$Z$6:$Z$3005,Q$5))))</f>
        <v/>
      </c>
      <c r="R139" s="19">
        <f>IF($A139="","",IF(COUNTIFS(請求記録!$B$6:$B$3005,$A139,請求記録!$Z$6:$Z$3005,R$5,請求記録!$AF$6:$AF$3005,"保留中")&gt;0,"保留",IF(COUNTIFS(請求記録!$B$6:$B$3005,$A139,請求記録!$Z$6:$Z$3005,R$5)=0,"",SUMIFS(請求記録!$AE$6:$AE$3005,請求記録!$B$6:$B$3005,$A139,請求記録!$Z$6:$Z$3005,R$5))))</f>
        <v/>
      </c>
      <c r="S139" s="19">
        <f>IF($A139="","",IF(COUNTIFS(請求記録!$B$6:$B$3005,$A139,請求記録!$Z$6:$Z$3005,S$5,請求記録!$AF$6:$AF$3005,"保留中")&gt;0,"保留",IF(COUNTIFS(請求記録!$B$6:$B$3005,$A139,請求記録!$Z$6:$Z$3005,S$5)=0,"",SUMIFS(請求記録!$AE$6:$AE$3005,請求記録!$B$6:$B$3005,$A139,請求記録!$Z$6:$Z$3005,S$5))))</f>
        <v/>
      </c>
      <c r="T139" s="19">
        <f>IF($A139="","",IF(COUNTIFS(請求記録!$B$6:$B$3005,$A139,請求記録!$Z$6:$Z$3005,T$5,請求記録!$AF$6:$AF$3005,"保留中")&gt;0,"保留",IF(COUNTIFS(請求記録!$B$6:$B$3005,$A139,請求記録!$Z$6:$Z$3005,T$5)=0,"",SUMIFS(請求記録!$AE$6:$AE$3005,請求記録!$B$6:$B$3005,$A139,請求記録!$Z$6:$Z$3005,T$5))))</f>
        <v/>
      </c>
      <c r="U139" s="19">
        <f>IF($A139="","",IF(COUNTIFS(請求記録!$B$6:$B$3005,$A139,請求記録!$Z$6:$Z$3005,U$5,請求記録!$AF$6:$AF$3005,"保留中")&gt;0,"保留",IF(COUNTIFS(請求記録!$B$6:$B$3005,$A139,請求記録!$Z$6:$Z$3005,U$5)=0,"",SUMIFS(請求記録!$AE$6:$AE$3005,請求記録!$B$6:$B$3005,$A139,請求記録!$Z$6:$Z$3005,U$5))))</f>
        <v/>
      </c>
      <c r="V139" s="19">
        <f>IF($A139="","",IF(COUNTIFS(請求記録!$B$6:$B$3005,$A139,請求記録!$Z$6:$Z$3005,V$5,請求記録!$AF$6:$AF$3005,"保留中")&gt;0,"保留",IF(COUNTIFS(請求記録!$B$6:$B$3005,$A139,請求記録!$Z$6:$Z$3005,V$5)=0,"",SUMIFS(請求記録!$AE$6:$AE$3005,請求記録!$B$6:$B$3005,$A139,請求記録!$Z$6:$Z$3005,V$5))))</f>
        <v/>
      </c>
      <c r="W139" s="19">
        <f>IF($A139="","",IF(COUNTIFS(請求記録!$B$6:$B$3005,$A139,請求記録!$Z$6:$Z$3005,W$5,請求記録!$AF$6:$AF$3005,"保留中")&gt;0,"保留",IF(COUNTIFS(請求記録!$B$6:$B$3005,$A139,請求記録!$Z$6:$Z$3005,W$5)=0,"",SUMIFS(請求記録!$AE$6:$AE$3005,請求記録!$B$6:$B$3005,$A139,請求記録!$Z$6:$Z$3005,W$5))))</f>
        <v/>
      </c>
      <c r="X139" s="19">
        <f>IF($A139="","",IF(COUNTIFS(請求記録!$B$6:$B$3005,$A139,請求記録!$Z$6:$Z$3005,X$5,請求記録!$AF$6:$AF$3005,"保留中")&gt;0,"保留",IF(COUNTIFS(請求記録!$B$6:$B$3005,$A139,請求記録!$Z$6:$Z$3005,X$5)=0,"",SUMIFS(請求記録!$AE$6:$AE$3005,請求記録!$B$6:$B$3005,$A139,請求記録!$Z$6:$Z$3005,X$5))))</f>
        <v/>
      </c>
      <c r="Y139" s="19">
        <f>IF($A139="","",IF(COUNTIFS(請求記録!$B$6:$B$3005,$A139,請求記録!$Z$6:$Z$3005,Y$5,請求記録!$AF$6:$AF$3005,"保留中")&gt;0,"保留",IF(COUNTIFS(請求記録!$B$6:$B$3005,$A139,請求記録!$Z$6:$Z$3005,Y$5)=0,"",SUMIFS(請求記録!$AE$6:$AE$3005,請求記録!$B$6:$B$3005,$A139,請求記録!$Z$6:$Z$3005,Y$5))))</f>
        <v/>
      </c>
      <c r="Z139" s="19">
        <f>IF($A139="","",IF(COUNTIFS(請求記録!$B$6:$B$3005,$A139,請求記録!$Z$6:$Z$3005,Z$5,請求記録!$AF$6:$AF$3005,"保留中")&gt;0,"保留",IF(COUNTIFS(請求記録!$B$6:$B$3005,$A139,請求記録!$Z$6:$Z$3005,Z$5)=0,"",SUMIFS(請求記録!$AE$6:$AE$3005,請求記録!$B$6:$B$3005,$A139,請求記録!$Z$6:$Z$3005,Z$5))))</f>
        <v/>
      </c>
      <c r="AA139" s="19">
        <f>IF($A139="","",IF(COUNTIFS(請求記録!$B$6:$B$3005,$A139,請求記録!$Z$6:$Z$3005,AA$5,請求記録!$AF$6:$AF$3005,"保留中")&gt;0,"保留",IF(COUNTIFS(請求記録!$B$6:$B$3005,$A139,請求記録!$Z$6:$Z$3005,AA$5)=0,"",SUMIFS(請求記録!$AE$6:$AE$3005,請求記録!$B$6:$B$3005,$A139,請求記録!$Z$6:$Z$3005,AA$5))))</f>
        <v/>
      </c>
      <c r="AB139">
        <f>IF(職員マスタ!P139="保留中",職員マスタ!M139,"")</f>
        <v/>
      </c>
    </row>
    <row r="140">
      <c r="A140">
        <f>IF(職員マスタ!A140="","",職員マスタ!A140)</f>
        <v/>
      </c>
      <c r="B140">
        <f>IF($A140="","",職員マスタ!B140)</f>
        <v/>
      </c>
      <c r="C140">
        <f>IF($A140="","",職員マスタ!C140)</f>
        <v/>
      </c>
      <c r="D140" s="19">
        <f>IF($A140="","",IF(COUNTIFS(請求記録!$B$6:$B$3005,$A140,請求記録!$Z$6:$Z$3005,D$5,請求記録!$AF$6:$AF$3005,"保留中")&gt;0,"保留",IF(COUNTIFS(請求記録!$B$6:$B$3005,$A140,請求記録!$Z$6:$Z$3005,D$5)=0,"",SUMIFS(請求記録!$AE$6:$AE$3005,請求記録!$B$6:$B$3005,$A140,請求記録!$Z$6:$Z$3005,D$5))))</f>
        <v/>
      </c>
      <c r="E140" s="19">
        <f>IF($A140="","",IF(COUNTIFS(請求記録!$B$6:$B$3005,$A140,請求記録!$Z$6:$Z$3005,E$5,請求記録!$AF$6:$AF$3005,"保留中")&gt;0,"保留",IF(COUNTIFS(請求記録!$B$6:$B$3005,$A140,請求記録!$Z$6:$Z$3005,E$5)=0,"",SUMIFS(請求記録!$AE$6:$AE$3005,請求記録!$B$6:$B$3005,$A140,請求記録!$Z$6:$Z$3005,E$5))))</f>
        <v/>
      </c>
      <c r="F140" s="19">
        <f>IF($A140="","",IF(COUNTIFS(請求記録!$B$6:$B$3005,$A140,請求記録!$Z$6:$Z$3005,F$5,請求記録!$AF$6:$AF$3005,"保留中")&gt;0,"保留",IF(COUNTIFS(請求記録!$B$6:$B$3005,$A140,請求記録!$Z$6:$Z$3005,F$5)=0,"",SUMIFS(請求記録!$AE$6:$AE$3005,請求記録!$B$6:$B$3005,$A140,請求記録!$Z$6:$Z$3005,F$5))))</f>
        <v/>
      </c>
      <c r="G140" s="19">
        <f>IF($A140="","",IF(COUNTIFS(請求記録!$B$6:$B$3005,$A140,請求記録!$Z$6:$Z$3005,G$5,請求記録!$AF$6:$AF$3005,"保留中")&gt;0,"保留",IF(COUNTIFS(請求記録!$B$6:$B$3005,$A140,請求記録!$Z$6:$Z$3005,G$5)=0,"",SUMIFS(請求記録!$AE$6:$AE$3005,請求記録!$B$6:$B$3005,$A140,請求記録!$Z$6:$Z$3005,G$5))))</f>
        <v/>
      </c>
      <c r="H140" s="19">
        <f>IF($A140="","",IF(COUNTIFS(請求記録!$B$6:$B$3005,$A140,請求記録!$Z$6:$Z$3005,H$5,請求記録!$AF$6:$AF$3005,"保留中")&gt;0,"保留",IF(COUNTIFS(請求記録!$B$6:$B$3005,$A140,請求記録!$Z$6:$Z$3005,H$5)=0,"",SUMIFS(請求記録!$AE$6:$AE$3005,請求記録!$B$6:$B$3005,$A140,請求記録!$Z$6:$Z$3005,H$5))))</f>
        <v/>
      </c>
      <c r="I140" s="19">
        <f>IF($A140="","",IF(COUNTIFS(請求記録!$B$6:$B$3005,$A140,請求記録!$Z$6:$Z$3005,I$5,請求記録!$AF$6:$AF$3005,"保留中")&gt;0,"保留",IF(COUNTIFS(請求記録!$B$6:$B$3005,$A140,請求記録!$Z$6:$Z$3005,I$5)=0,"",SUMIFS(請求記録!$AE$6:$AE$3005,請求記録!$B$6:$B$3005,$A140,請求記録!$Z$6:$Z$3005,I$5))))</f>
        <v/>
      </c>
      <c r="J140" s="19">
        <f>IF($A140="","",IF(COUNTIFS(請求記録!$B$6:$B$3005,$A140,請求記録!$Z$6:$Z$3005,J$5,請求記録!$AF$6:$AF$3005,"保留中")&gt;0,"保留",IF(COUNTIFS(請求記録!$B$6:$B$3005,$A140,請求記録!$Z$6:$Z$3005,J$5)=0,"",SUMIFS(請求記録!$AE$6:$AE$3005,請求記録!$B$6:$B$3005,$A140,請求記録!$Z$6:$Z$3005,J$5))))</f>
        <v/>
      </c>
      <c r="K140" s="19">
        <f>IF($A140="","",IF(COUNTIFS(請求記録!$B$6:$B$3005,$A140,請求記録!$Z$6:$Z$3005,K$5,請求記録!$AF$6:$AF$3005,"保留中")&gt;0,"保留",IF(COUNTIFS(請求記録!$B$6:$B$3005,$A140,請求記録!$Z$6:$Z$3005,K$5)=0,"",SUMIFS(請求記録!$AE$6:$AE$3005,請求記録!$B$6:$B$3005,$A140,請求記録!$Z$6:$Z$3005,K$5))))</f>
        <v/>
      </c>
      <c r="L140" s="19">
        <f>IF($A140="","",IF(COUNTIFS(請求記録!$B$6:$B$3005,$A140,請求記録!$Z$6:$Z$3005,L$5,請求記録!$AF$6:$AF$3005,"保留中")&gt;0,"保留",IF(COUNTIFS(請求記録!$B$6:$B$3005,$A140,請求記録!$Z$6:$Z$3005,L$5)=0,"",SUMIFS(請求記録!$AE$6:$AE$3005,請求記録!$B$6:$B$3005,$A140,請求記録!$Z$6:$Z$3005,L$5))))</f>
        <v/>
      </c>
      <c r="M140" s="19">
        <f>IF($A140="","",IF(COUNTIFS(請求記録!$B$6:$B$3005,$A140,請求記録!$Z$6:$Z$3005,M$5,請求記録!$AF$6:$AF$3005,"保留中")&gt;0,"保留",IF(COUNTIFS(請求記録!$B$6:$B$3005,$A140,請求記録!$Z$6:$Z$3005,M$5)=0,"",SUMIFS(請求記録!$AE$6:$AE$3005,請求記録!$B$6:$B$3005,$A140,請求記録!$Z$6:$Z$3005,M$5))))</f>
        <v/>
      </c>
      <c r="N140" s="19">
        <f>IF($A140="","",IF(COUNTIFS(請求記録!$B$6:$B$3005,$A140,請求記録!$Z$6:$Z$3005,N$5,請求記録!$AF$6:$AF$3005,"保留中")&gt;0,"保留",IF(COUNTIFS(請求記録!$B$6:$B$3005,$A140,請求記録!$Z$6:$Z$3005,N$5)=0,"",SUMIFS(請求記録!$AE$6:$AE$3005,請求記録!$B$6:$B$3005,$A140,請求記録!$Z$6:$Z$3005,N$5))))</f>
        <v/>
      </c>
      <c r="O140" s="19">
        <f>IF($A140="","",IF(COUNTIFS(請求記録!$B$6:$B$3005,$A140,請求記録!$Z$6:$Z$3005,O$5,請求記録!$AF$6:$AF$3005,"保留中")&gt;0,"保留",IF(COUNTIFS(請求記録!$B$6:$B$3005,$A140,請求記録!$Z$6:$Z$3005,O$5)=0,"",SUMIFS(請求記録!$AE$6:$AE$3005,請求記録!$B$6:$B$3005,$A140,請求記録!$Z$6:$Z$3005,O$5))))</f>
        <v/>
      </c>
      <c r="P140" s="19">
        <f>IF($A140="","",IF(COUNTIFS(請求記録!$B$6:$B$3005,$A140,請求記録!$Z$6:$Z$3005,P$5,請求記録!$AF$6:$AF$3005,"保留中")&gt;0,"保留",IF(COUNTIFS(請求記録!$B$6:$B$3005,$A140,請求記録!$Z$6:$Z$3005,P$5)=0,"",SUMIFS(請求記録!$AE$6:$AE$3005,請求記録!$B$6:$B$3005,$A140,請求記録!$Z$6:$Z$3005,P$5))))</f>
        <v/>
      </c>
      <c r="Q140" s="19">
        <f>IF($A140="","",IF(COUNTIFS(請求記録!$B$6:$B$3005,$A140,請求記録!$Z$6:$Z$3005,Q$5,請求記録!$AF$6:$AF$3005,"保留中")&gt;0,"保留",IF(COUNTIFS(請求記録!$B$6:$B$3005,$A140,請求記録!$Z$6:$Z$3005,Q$5)=0,"",SUMIFS(請求記録!$AE$6:$AE$3005,請求記録!$B$6:$B$3005,$A140,請求記録!$Z$6:$Z$3005,Q$5))))</f>
        <v/>
      </c>
      <c r="R140" s="19">
        <f>IF($A140="","",IF(COUNTIFS(請求記録!$B$6:$B$3005,$A140,請求記録!$Z$6:$Z$3005,R$5,請求記録!$AF$6:$AF$3005,"保留中")&gt;0,"保留",IF(COUNTIFS(請求記録!$B$6:$B$3005,$A140,請求記録!$Z$6:$Z$3005,R$5)=0,"",SUMIFS(請求記録!$AE$6:$AE$3005,請求記録!$B$6:$B$3005,$A140,請求記録!$Z$6:$Z$3005,R$5))))</f>
        <v/>
      </c>
      <c r="S140" s="19">
        <f>IF($A140="","",IF(COUNTIFS(請求記録!$B$6:$B$3005,$A140,請求記録!$Z$6:$Z$3005,S$5,請求記録!$AF$6:$AF$3005,"保留中")&gt;0,"保留",IF(COUNTIFS(請求記録!$B$6:$B$3005,$A140,請求記録!$Z$6:$Z$3005,S$5)=0,"",SUMIFS(請求記録!$AE$6:$AE$3005,請求記録!$B$6:$B$3005,$A140,請求記録!$Z$6:$Z$3005,S$5))))</f>
        <v/>
      </c>
      <c r="T140" s="19">
        <f>IF($A140="","",IF(COUNTIFS(請求記録!$B$6:$B$3005,$A140,請求記録!$Z$6:$Z$3005,T$5,請求記録!$AF$6:$AF$3005,"保留中")&gt;0,"保留",IF(COUNTIFS(請求記録!$B$6:$B$3005,$A140,請求記録!$Z$6:$Z$3005,T$5)=0,"",SUMIFS(請求記録!$AE$6:$AE$3005,請求記録!$B$6:$B$3005,$A140,請求記録!$Z$6:$Z$3005,T$5))))</f>
        <v/>
      </c>
      <c r="U140" s="19">
        <f>IF($A140="","",IF(COUNTIFS(請求記録!$B$6:$B$3005,$A140,請求記録!$Z$6:$Z$3005,U$5,請求記録!$AF$6:$AF$3005,"保留中")&gt;0,"保留",IF(COUNTIFS(請求記録!$B$6:$B$3005,$A140,請求記録!$Z$6:$Z$3005,U$5)=0,"",SUMIFS(請求記録!$AE$6:$AE$3005,請求記録!$B$6:$B$3005,$A140,請求記録!$Z$6:$Z$3005,U$5))))</f>
        <v/>
      </c>
      <c r="V140" s="19">
        <f>IF($A140="","",IF(COUNTIFS(請求記録!$B$6:$B$3005,$A140,請求記録!$Z$6:$Z$3005,V$5,請求記録!$AF$6:$AF$3005,"保留中")&gt;0,"保留",IF(COUNTIFS(請求記録!$B$6:$B$3005,$A140,請求記録!$Z$6:$Z$3005,V$5)=0,"",SUMIFS(請求記録!$AE$6:$AE$3005,請求記録!$B$6:$B$3005,$A140,請求記録!$Z$6:$Z$3005,V$5))))</f>
        <v/>
      </c>
      <c r="W140" s="19">
        <f>IF($A140="","",IF(COUNTIFS(請求記録!$B$6:$B$3005,$A140,請求記録!$Z$6:$Z$3005,W$5,請求記録!$AF$6:$AF$3005,"保留中")&gt;0,"保留",IF(COUNTIFS(請求記録!$B$6:$B$3005,$A140,請求記録!$Z$6:$Z$3005,W$5)=0,"",SUMIFS(請求記録!$AE$6:$AE$3005,請求記録!$B$6:$B$3005,$A140,請求記録!$Z$6:$Z$3005,W$5))))</f>
        <v/>
      </c>
      <c r="X140" s="19">
        <f>IF($A140="","",IF(COUNTIFS(請求記録!$B$6:$B$3005,$A140,請求記録!$Z$6:$Z$3005,X$5,請求記録!$AF$6:$AF$3005,"保留中")&gt;0,"保留",IF(COUNTIFS(請求記録!$B$6:$B$3005,$A140,請求記録!$Z$6:$Z$3005,X$5)=0,"",SUMIFS(請求記録!$AE$6:$AE$3005,請求記録!$B$6:$B$3005,$A140,請求記録!$Z$6:$Z$3005,X$5))))</f>
        <v/>
      </c>
      <c r="Y140" s="19">
        <f>IF($A140="","",IF(COUNTIFS(請求記録!$B$6:$B$3005,$A140,請求記録!$Z$6:$Z$3005,Y$5,請求記録!$AF$6:$AF$3005,"保留中")&gt;0,"保留",IF(COUNTIFS(請求記録!$B$6:$B$3005,$A140,請求記録!$Z$6:$Z$3005,Y$5)=0,"",SUMIFS(請求記録!$AE$6:$AE$3005,請求記録!$B$6:$B$3005,$A140,請求記録!$Z$6:$Z$3005,Y$5))))</f>
        <v/>
      </c>
      <c r="Z140" s="19">
        <f>IF($A140="","",IF(COUNTIFS(請求記録!$B$6:$B$3005,$A140,請求記録!$Z$6:$Z$3005,Z$5,請求記録!$AF$6:$AF$3005,"保留中")&gt;0,"保留",IF(COUNTIFS(請求記録!$B$6:$B$3005,$A140,請求記録!$Z$6:$Z$3005,Z$5)=0,"",SUMIFS(請求記録!$AE$6:$AE$3005,請求記録!$B$6:$B$3005,$A140,請求記録!$Z$6:$Z$3005,Z$5))))</f>
        <v/>
      </c>
      <c r="AA140" s="19">
        <f>IF($A140="","",IF(COUNTIFS(請求記録!$B$6:$B$3005,$A140,請求記録!$Z$6:$Z$3005,AA$5,請求記録!$AF$6:$AF$3005,"保留中")&gt;0,"保留",IF(COUNTIFS(請求記録!$B$6:$B$3005,$A140,請求記録!$Z$6:$Z$3005,AA$5)=0,"",SUMIFS(請求記録!$AE$6:$AE$3005,請求記録!$B$6:$B$3005,$A140,請求記録!$Z$6:$Z$3005,AA$5))))</f>
        <v/>
      </c>
      <c r="AB140">
        <f>IF(職員マスタ!P140="保留中",職員マスタ!M140,"")</f>
        <v/>
      </c>
    </row>
    <row r="141">
      <c r="A141">
        <f>IF(職員マスタ!A141="","",職員マスタ!A141)</f>
        <v/>
      </c>
      <c r="B141">
        <f>IF($A141="","",職員マスタ!B141)</f>
        <v/>
      </c>
      <c r="C141">
        <f>IF($A141="","",職員マスタ!C141)</f>
        <v/>
      </c>
      <c r="D141" s="19">
        <f>IF($A141="","",IF(COUNTIFS(請求記録!$B$6:$B$3005,$A141,請求記録!$Z$6:$Z$3005,D$5,請求記録!$AF$6:$AF$3005,"保留中")&gt;0,"保留",IF(COUNTIFS(請求記録!$B$6:$B$3005,$A141,請求記録!$Z$6:$Z$3005,D$5)=0,"",SUMIFS(請求記録!$AE$6:$AE$3005,請求記録!$B$6:$B$3005,$A141,請求記録!$Z$6:$Z$3005,D$5))))</f>
        <v/>
      </c>
      <c r="E141" s="19">
        <f>IF($A141="","",IF(COUNTIFS(請求記録!$B$6:$B$3005,$A141,請求記録!$Z$6:$Z$3005,E$5,請求記録!$AF$6:$AF$3005,"保留中")&gt;0,"保留",IF(COUNTIFS(請求記録!$B$6:$B$3005,$A141,請求記録!$Z$6:$Z$3005,E$5)=0,"",SUMIFS(請求記録!$AE$6:$AE$3005,請求記録!$B$6:$B$3005,$A141,請求記録!$Z$6:$Z$3005,E$5))))</f>
        <v/>
      </c>
      <c r="F141" s="19">
        <f>IF($A141="","",IF(COUNTIFS(請求記録!$B$6:$B$3005,$A141,請求記録!$Z$6:$Z$3005,F$5,請求記録!$AF$6:$AF$3005,"保留中")&gt;0,"保留",IF(COUNTIFS(請求記録!$B$6:$B$3005,$A141,請求記録!$Z$6:$Z$3005,F$5)=0,"",SUMIFS(請求記録!$AE$6:$AE$3005,請求記録!$B$6:$B$3005,$A141,請求記録!$Z$6:$Z$3005,F$5))))</f>
        <v/>
      </c>
      <c r="G141" s="19">
        <f>IF($A141="","",IF(COUNTIFS(請求記録!$B$6:$B$3005,$A141,請求記録!$Z$6:$Z$3005,G$5,請求記録!$AF$6:$AF$3005,"保留中")&gt;0,"保留",IF(COUNTIFS(請求記録!$B$6:$B$3005,$A141,請求記録!$Z$6:$Z$3005,G$5)=0,"",SUMIFS(請求記録!$AE$6:$AE$3005,請求記録!$B$6:$B$3005,$A141,請求記録!$Z$6:$Z$3005,G$5))))</f>
        <v/>
      </c>
      <c r="H141" s="19">
        <f>IF($A141="","",IF(COUNTIFS(請求記録!$B$6:$B$3005,$A141,請求記録!$Z$6:$Z$3005,H$5,請求記録!$AF$6:$AF$3005,"保留中")&gt;0,"保留",IF(COUNTIFS(請求記録!$B$6:$B$3005,$A141,請求記録!$Z$6:$Z$3005,H$5)=0,"",SUMIFS(請求記録!$AE$6:$AE$3005,請求記録!$B$6:$B$3005,$A141,請求記録!$Z$6:$Z$3005,H$5))))</f>
        <v/>
      </c>
      <c r="I141" s="19">
        <f>IF($A141="","",IF(COUNTIFS(請求記録!$B$6:$B$3005,$A141,請求記録!$Z$6:$Z$3005,I$5,請求記録!$AF$6:$AF$3005,"保留中")&gt;0,"保留",IF(COUNTIFS(請求記録!$B$6:$B$3005,$A141,請求記録!$Z$6:$Z$3005,I$5)=0,"",SUMIFS(請求記録!$AE$6:$AE$3005,請求記録!$B$6:$B$3005,$A141,請求記録!$Z$6:$Z$3005,I$5))))</f>
        <v/>
      </c>
      <c r="J141" s="19">
        <f>IF($A141="","",IF(COUNTIFS(請求記録!$B$6:$B$3005,$A141,請求記録!$Z$6:$Z$3005,J$5,請求記録!$AF$6:$AF$3005,"保留中")&gt;0,"保留",IF(COUNTIFS(請求記録!$B$6:$B$3005,$A141,請求記録!$Z$6:$Z$3005,J$5)=0,"",SUMIFS(請求記録!$AE$6:$AE$3005,請求記録!$B$6:$B$3005,$A141,請求記録!$Z$6:$Z$3005,J$5))))</f>
        <v/>
      </c>
      <c r="K141" s="19">
        <f>IF($A141="","",IF(COUNTIFS(請求記録!$B$6:$B$3005,$A141,請求記録!$Z$6:$Z$3005,K$5,請求記録!$AF$6:$AF$3005,"保留中")&gt;0,"保留",IF(COUNTIFS(請求記録!$B$6:$B$3005,$A141,請求記録!$Z$6:$Z$3005,K$5)=0,"",SUMIFS(請求記録!$AE$6:$AE$3005,請求記録!$B$6:$B$3005,$A141,請求記録!$Z$6:$Z$3005,K$5))))</f>
        <v/>
      </c>
      <c r="L141" s="19">
        <f>IF($A141="","",IF(COUNTIFS(請求記録!$B$6:$B$3005,$A141,請求記録!$Z$6:$Z$3005,L$5,請求記録!$AF$6:$AF$3005,"保留中")&gt;0,"保留",IF(COUNTIFS(請求記録!$B$6:$B$3005,$A141,請求記録!$Z$6:$Z$3005,L$5)=0,"",SUMIFS(請求記録!$AE$6:$AE$3005,請求記録!$B$6:$B$3005,$A141,請求記録!$Z$6:$Z$3005,L$5))))</f>
        <v/>
      </c>
      <c r="M141" s="19">
        <f>IF($A141="","",IF(COUNTIFS(請求記録!$B$6:$B$3005,$A141,請求記録!$Z$6:$Z$3005,M$5,請求記録!$AF$6:$AF$3005,"保留中")&gt;0,"保留",IF(COUNTIFS(請求記録!$B$6:$B$3005,$A141,請求記録!$Z$6:$Z$3005,M$5)=0,"",SUMIFS(請求記録!$AE$6:$AE$3005,請求記録!$B$6:$B$3005,$A141,請求記録!$Z$6:$Z$3005,M$5))))</f>
        <v/>
      </c>
      <c r="N141" s="19">
        <f>IF($A141="","",IF(COUNTIFS(請求記録!$B$6:$B$3005,$A141,請求記録!$Z$6:$Z$3005,N$5,請求記録!$AF$6:$AF$3005,"保留中")&gt;0,"保留",IF(COUNTIFS(請求記録!$B$6:$B$3005,$A141,請求記録!$Z$6:$Z$3005,N$5)=0,"",SUMIFS(請求記録!$AE$6:$AE$3005,請求記録!$B$6:$B$3005,$A141,請求記録!$Z$6:$Z$3005,N$5))))</f>
        <v/>
      </c>
      <c r="O141" s="19">
        <f>IF($A141="","",IF(COUNTIFS(請求記録!$B$6:$B$3005,$A141,請求記録!$Z$6:$Z$3005,O$5,請求記録!$AF$6:$AF$3005,"保留中")&gt;0,"保留",IF(COUNTIFS(請求記録!$B$6:$B$3005,$A141,請求記録!$Z$6:$Z$3005,O$5)=0,"",SUMIFS(請求記録!$AE$6:$AE$3005,請求記録!$B$6:$B$3005,$A141,請求記録!$Z$6:$Z$3005,O$5))))</f>
        <v/>
      </c>
      <c r="P141" s="19">
        <f>IF($A141="","",IF(COUNTIFS(請求記録!$B$6:$B$3005,$A141,請求記録!$Z$6:$Z$3005,P$5,請求記録!$AF$6:$AF$3005,"保留中")&gt;0,"保留",IF(COUNTIFS(請求記録!$B$6:$B$3005,$A141,請求記録!$Z$6:$Z$3005,P$5)=0,"",SUMIFS(請求記録!$AE$6:$AE$3005,請求記録!$B$6:$B$3005,$A141,請求記録!$Z$6:$Z$3005,P$5))))</f>
        <v/>
      </c>
      <c r="Q141" s="19">
        <f>IF($A141="","",IF(COUNTIFS(請求記録!$B$6:$B$3005,$A141,請求記録!$Z$6:$Z$3005,Q$5,請求記録!$AF$6:$AF$3005,"保留中")&gt;0,"保留",IF(COUNTIFS(請求記録!$B$6:$B$3005,$A141,請求記録!$Z$6:$Z$3005,Q$5)=0,"",SUMIFS(請求記録!$AE$6:$AE$3005,請求記録!$B$6:$B$3005,$A141,請求記録!$Z$6:$Z$3005,Q$5))))</f>
        <v/>
      </c>
      <c r="R141" s="19">
        <f>IF($A141="","",IF(COUNTIFS(請求記録!$B$6:$B$3005,$A141,請求記録!$Z$6:$Z$3005,R$5,請求記録!$AF$6:$AF$3005,"保留中")&gt;0,"保留",IF(COUNTIFS(請求記録!$B$6:$B$3005,$A141,請求記録!$Z$6:$Z$3005,R$5)=0,"",SUMIFS(請求記録!$AE$6:$AE$3005,請求記録!$B$6:$B$3005,$A141,請求記録!$Z$6:$Z$3005,R$5))))</f>
        <v/>
      </c>
      <c r="S141" s="19">
        <f>IF($A141="","",IF(COUNTIFS(請求記録!$B$6:$B$3005,$A141,請求記録!$Z$6:$Z$3005,S$5,請求記録!$AF$6:$AF$3005,"保留中")&gt;0,"保留",IF(COUNTIFS(請求記録!$B$6:$B$3005,$A141,請求記録!$Z$6:$Z$3005,S$5)=0,"",SUMIFS(請求記録!$AE$6:$AE$3005,請求記録!$B$6:$B$3005,$A141,請求記録!$Z$6:$Z$3005,S$5))))</f>
        <v/>
      </c>
      <c r="T141" s="19">
        <f>IF($A141="","",IF(COUNTIFS(請求記録!$B$6:$B$3005,$A141,請求記録!$Z$6:$Z$3005,T$5,請求記録!$AF$6:$AF$3005,"保留中")&gt;0,"保留",IF(COUNTIFS(請求記録!$B$6:$B$3005,$A141,請求記録!$Z$6:$Z$3005,T$5)=0,"",SUMIFS(請求記録!$AE$6:$AE$3005,請求記録!$B$6:$B$3005,$A141,請求記録!$Z$6:$Z$3005,T$5))))</f>
        <v/>
      </c>
      <c r="U141" s="19">
        <f>IF($A141="","",IF(COUNTIFS(請求記録!$B$6:$B$3005,$A141,請求記録!$Z$6:$Z$3005,U$5,請求記録!$AF$6:$AF$3005,"保留中")&gt;0,"保留",IF(COUNTIFS(請求記録!$B$6:$B$3005,$A141,請求記録!$Z$6:$Z$3005,U$5)=0,"",SUMIFS(請求記録!$AE$6:$AE$3005,請求記録!$B$6:$B$3005,$A141,請求記録!$Z$6:$Z$3005,U$5))))</f>
        <v/>
      </c>
      <c r="V141" s="19">
        <f>IF($A141="","",IF(COUNTIFS(請求記録!$B$6:$B$3005,$A141,請求記録!$Z$6:$Z$3005,V$5,請求記録!$AF$6:$AF$3005,"保留中")&gt;0,"保留",IF(COUNTIFS(請求記録!$B$6:$B$3005,$A141,請求記録!$Z$6:$Z$3005,V$5)=0,"",SUMIFS(請求記録!$AE$6:$AE$3005,請求記録!$B$6:$B$3005,$A141,請求記録!$Z$6:$Z$3005,V$5))))</f>
        <v/>
      </c>
      <c r="W141" s="19">
        <f>IF($A141="","",IF(COUNTIFS(請求記録!$B$6:$B$3005,$A141,請求記録!$Z$6:$Z$3005,W$5,請求記録!$AF$6:$AF$3005,"保留中")&gt;0,"保留",IF(COUNTIFS(請求記録!$B$6:$B$3005,$A141,請求記録!$Z$6:$Z$3005,W$5)=0,"",SUMIFS(請求記録!$AE$6:$AE$3005,請求記録!$B$6:$B$3005,$A141,請求記録!$Z$6:$Z$3005,W$5))))</f>
        <v/>
      </c>
      <c r="X141" s="19">
        <f>IF($A141="","",IF(COUNTIFS(請求記録!$B$6:$B$3005,$A141,請求記録!$Z$6:$Z$3005,X$5,請求記録!$AF$6:$AF$3005,"保留中")&gt;0,"保留",IF(COUNTIFS(請求記録!$B$6:$B$3005,$A141,請求記録!$Z$6:$Z$3005,X$5)=0,"",SUMIFS(請求記録!$AE$6:$AE$3005,請求記録!$B$6:$B$3005,$A141,請求記録!$Z$6:$Z$3005,X$5))))</f>
        <v/>
      </c>
      <c r="Y141" s="19">
        <f>IF($A141="","",IF(COUNTIFS(請求記録!$B$6:$B$3005,$A141,請求記録!$Z$6:$Z$3005,Y$5,請求記録!$AF$6:$AF$3005,"保留中")&gt;0,"保留",IF(COUNTIFS(請求記録!$B$6:$B$3005,$A141,請求記録!$Z$6:$Z$3005,Y$5)=0,"",SUMIFS(請求記録!$AE$6:$AE$3005,請求記録!$B$6:$B$3005,$A141,請求記録!$Z$6:$Z$3005,Y$5))))</f>
        <v/>
      </c>
      <c r="Z141" s="19">
        <f>IF($A141="","",IF(COUNTIFS(請求記録!$B$6:$B$3005,$A141,請求記録!$Z$6:$Z$3005,Z$5,請求記録!$AF$6:$AF$3005,"保留中")&gt;0,"保留",IF(COUNTIFS(請求記録!$B$6:$B$3005,$A141,請求記録!$Z$6:$Z$3005,Z$5)=0,"",SUMIFS(請求記録!$AE$6:$AE$3005,請求記録!$B$6:$B$3005,$A141,請求記録!$Z$6:$Z$3005,Z$5))))</f>
        <v/>
      </c>
      <c r="AA141" s="19">
        <f>IF($A141="","",IF(COUNTIFS(請求記録!$B$6:$B$3005,$A141,請求記録!$Z$6:$Z$3005,AA$5,請求記録!$AF$6:$AF$3005,"保留中")&gt;0,"保留",IF(COUNTIFS(請求記録!$B$6:$B$3005,$A141,請求記録!$Z$6:$Z$3005,AA$5)=0,"",SUMIFS(請求記録!$AE$6:$AE$3005,請求記録!$B$6:$B$3005,$A141,請求記録!$Z$6:$Z$3005,AA$5))))</f>
        <v/>
      </c>
      <c r="AB141">
        <f>IF(職員マスタ!P141="保留中",職員マスタ!M141,"")</f>
        <v/>
      </c>
    </row>
    <row r="142">
      <c r="A142">
        <f>IF(職員マスタ!A142="","",職員マスタ!A142)</f>
        <v/>
      </c>
      <c r="B142">
        <f>IF($A142="","",職員マスタ!B142)</f>
        <v/>
      </c>
      <c r="C142">
        <f>IF($A142="","",職員マスタ!C142)</f>
        <v/>
      </c>
      <c r="D142" s="19">
        <f>IF($A142="","",IF(COUNTIFS(請求記録!$B$6:$B$3005,$A142,請求記録!$Z$6:$Z$3005,D$5,請求記録!$AF$6:$AF$3005,"保留中")&gt;0,"保留",IF(COUNTIFS(請求記録!$B$6:$B$3005,$A142,請求記録!$Z$6:$Z$3005,D$5)=0,"",SUMIFS(請求記録!$AE$6:$AE$3005,請求記録!$B$6:$B$3005,$A142,請求記録!$Z$6:$Z$3005,D$5))))</f>
        <v/>
      </c>
      <c r="E142" s="19">
        <f>IF($A142="","",IF(COUNTIFS(請求記録!$B$6:$B$3005,$A142,請求記録!$Z$6:$Z$3005,E$5,請求記録!$AF$6:$AF$3005,"保留中")&gt;0,"保留",IF(COUNTIFS(請求記録!$B$6:$B$3005,$A142,請求記録!$Z$6:$Z$3005,E$5)=0,"",SUMIFS(請求記録!$AE$6:$AE$3005,請求記録!$B$6:$B$3005,$A142,請求記録!$Z$6:$Z$3005,E$5))))</f>
        <v/>
      </c>
      <c r="F142" s="19">
        <f>IF($A142="","",IF(COUNTIFS(請求記録!$B$6:$B$3005,$A142,請求記録!$Z$6:$Z$3005,F$5,請求記録!$AF$6:$AF$3005,"保留中")&gt;0,"保留",IF(COUNTIFS(請求記録!$B$6:$B$3005,$A142,請求記録!$Z$6:$Z$3005,F$5)=0,"",SUMIFS(請求記録!$AE$6:$AE$3005,請求記録!$B$6:$B$3005,$A142,請求記録!$Z$6:$Z$3005,F$5))))</f>
        <v/>
      </c>
      <c r="G142" s="19">
        <f>IF($A142="","",IF(COUNTIFS(請求記録!$B$6:$B$3005,$A142,請求記録!$Z$6:$Z$3005,G$5,請求記録!$AF$6:$AF$3005,"保留中")&gt;0,"保留",IF(COUNTIFS(請求記録!$B$6:$B$3005,$A142,請求記録!$Z$6:$Z$3005,G$5)=0,"",SUMIFS(請求記録!$AE$6:$AE$3005,請求記録!$B$6:$B$3005,$A142,請求記録!$Z$6:$Z$3005,G$5))))</f>
        <v/>
      </c>
      <c r="H142" s="19">
        <f>IF($A142="","",IF(COUNTIFS(請求記録!$B$6:$B$3005,$A142,請求記録!$Z$6:$Z$3005,H$5,請求記録!$AF$6:$AF$3005,"保留中")&gt;0,"保留",IF(COUNTIFS(請求記録!$B$6:$B$3005,$A142,請求記録!$Z$6:$Z$3005,H$5)=0,"",SUMIFS(請求記録!$AE$6:$AE$3005,請求記録!$B$6:$B$3005,$A142,請求記録!$Z$6:$Z$3005,H$5))))</f>
        <v/>
      </c>
      <c r="I142" s="19">
        <f>IF($A142="","",IF(COUNTIFS(請求記録!$B$6:$B$3005,$A142,請求記録!$Z$6:$Z$3005,I$5,請求記録!$AF$6:$AF$3005,"保留中")&gt;0,"保留",IF(COUNTIFS(請求記録!$B$6:$B$3005,$A142,請求記録!$Z$6:$Z$3005,I$5)=0,"",SUMIFS(請求記録!$AE$6:$AE$3005,請求記録!$B$6:$B$3005,$A142,請求記録!$Z$6:$Z$3005,I$5))))</f>
        <v/>
      </c>
      <c r="J142" s="19">
        <f>IF($A142="","",IF(COUNTIFS(請求記録!$B$6:$B$3005,$A142,請求記録!$Z$6:$Z$3005,J$5,請求記録!$AF$6:$AF$3005,"保留中")&gt;0,"保留",IF(COUNTIFS(請求記録!$B$6:$B$3005,$A142,請求記録!$Z$6:$Z$3005,J$5)=0,"",SUMIFS(請求記録!$AE$6:$AE$3005,請求記録!$B$6:$B$3005,$A142,請求記録!$Z$6:$Z$3005,J$5))))</f>
        <v/>
      </c>
      <c r="K142" s="19">
        <f>IF($A142="","",IF(COUNTIFS(請求記録!$B$6:$B$3005,$A142,請求記録!$Z$6:$Z$3005,K$5,請求記録!$AF$6:$AF$3005,"保留中")&gt;0,"保留",IF(COUNTIFS(請求記録!$B$6:$B$3005,$A142,請求記録!$Z$6:$Z$3005,K$5)=0,"",SUMIFS(請求記録!$AE$6:$AE$3005,請求記録!$B$6:$B$3005,$A142,請求記録!$Z$6:$Z$3005,K$5))))</f>
        <v/>
      </c>
      <c r="L142" s="19">
        <f>IF($A142="","",IF(COUNTIFS(請求記録!$B$6:$B$3005,$A142,請求記録!$Z$6:$Z$3005,L$5,請求記録!$AF$6:$AF$3005,"保留中")&gt;0,"保留",IF(COUNTIFS(請求記録!$B$6:$B$3005,$A142,請求記録!$Z$6:$Z$3005,L$5)=0,"",SUMIFS(請求記録!$AE$6:$AE$3005,請求記録!$B$6:$B$3005,$A142,請求記録!$Z$6:$Z$3005,L$5))))</f>
        <v/>
      </c>
      <c r="M142" s="19">
        <f>IF($A142="","",IF(COUNTIFS(請求記録!$B$6:$B$3005,$A142,請求記録!$Z$6:$Z$3005,M$5,請求記録!$AF$6:$AF$3005,"保留中")&gt;0,"保留",IF(COUNTIFS(請求記録!$B$6:$B$3005,$A142,請求記録!$Z$6:$Z$3005,M$5)=0,"",SUMIFS(請求記録!$AE$6:$AE$3005,請求記録!$B$6:$B$3005,$A142,請求記録!$Z$6:$Z$3005,M$5))))</f>
        <v/>
      </c>
      <c r="N142" s="19">
        <f>IF($A142="","",IF(COUNTIFS(請求記録!$B$6:$B$3005,$A142,請求記録!$Z$6:$Z$3005,N$5,請求記録!$AF$6:$AF$3005,"保留中")&gt;0,"保留",IF(COUNTIFS(請求記録!$B$6:$B$3005,$A142,請求記録!$Z$6:$Z$3005,N$5)=0,"",SUMIFS(請求記録!$AE$6:$AE$3005,請求記録!$B$6:$B$3005,$A142,請求記録!$Z$6:$Z$3005,N$5))))</f>
        <v/>
      </c>
      <c r="O142" s="19">
        <f>IF($A142="","",IF(COUNTIFS(請求記録!$B$6:$B$3005,$A142,請求記録!$Z$6:$Z$3005,O$5,請求記録!$AF$6:$AF$3005,"保留中")&gt;0,"保留",IF(COUNTIFS(請求記録!$B$6:$B$3005,$A142,請求記録!$Z$6:$Z$3005,O$5)=0,"",SUMIFS(請求記録!$AE$6:$AE$3005,請求記録!$B$6:$B$3005,$A142,請求記録!$Z$6:$Z$3005,O$5))))</f>
        <v/>
      </c>
      <c r="P142" s="19">
        <f>IF($A142="","",IF(COUNTIFS(請求記録!$B$6:$B$3005,$A142,請求記録!$Z$6:$Z$3005,P$5,請求記録!$AF$6:$AF$3005,"保留中")&gt;0,"保留",IF(COUNTIFS(請求記録!$B$6:$B$3005,$A142,請求記録!$Z$6:$Z$3005,P$5)=0,"",SUMIFS(請求記録!$AE$6:$AE$3005,請求記録!$B$6:$B$3005,$A142,請求記録!$Z$6:$Z$3005,P$5))))</f>
        <v/>
      </c>
      <c r="Q142" s="19">
        <f>IF($A142="","",IF(COUNTIFS(請求記録!$B$6:$B$3005,$A142,請求記録!$Z$6:$Z$3005,Q$5,請求記録!$AF$6:$AF$3005,"保留中")&gt;0,"保留",IF(COUNTIFS(請求記録!$B$6:$B$3005,$A142,請求記録!$Z$6:$Z$3005,Q$5)=0,"",SUMIFS(請求記録!$AE$6:$AE$3005,請求記録!$B$6:$B$3005,$A142,請求記録!$Z$6:$Z$3005,Q$5))))</f>
        <v/>
      </c>
      <c r="R142" s="19">
        <f>IF($A142="","",IF(COUNTIFS(請求記録!$B$6:$B$3005,$A142,請求記録!$Z$6:$Z$3005,R$5,請求記録!$AF$6:$AF$3005,"保留中")&gt;0,"保留",IF(COUNTIFS(請求記録!$B$6:$B$3005,$A142,請求記録!$Z$6:$Z$3005,R$5)=0,"",SUMIFS(請求記録!$AE$6:$AE$3005,請求記録!$B$6:$B$3005,$A142,請求記録!$Z$6:$Z$3005,R$5))))</f>
        <v/>
      </c>
      <c r="S142" s="19">
        <f>IF($A142="","",IF(COUNTIFS(請求記録!$B$6:$B$3005,$A142,請求記録!$Z$6:$Z$3005,S$5,請求記録!$AF$6:$AF$3005,"保留中")&gt;0,"保留",IF(COUNTIFS(請求記録!$B$6:$B$3005,$A142,請求記録!$Z$6:$Z$3005,S$5)=0,"",SUMIFS(請求記録!$AE$6:$AE$3005,請求記録!$B$6:$B$3005,$A142,請求記録!$Z$6:$Z$3005,S$5))))</f>
        <v/>
      </c>
      <c r="T142" s="19">
        <f>IF($A142="","",IF(COUNTIFS(請求記録!$B$6:$B$3005,$A142,請求記録!$Z$6:$Z$3005,T$5,請求記録!$AF$6:$AF$3005,"保留中")&gt;0,"保留",IF(COUNTIFS(請求記録!$B$6:$B$3005,$A142,請求記録!$Z$6:$Z$3005,T$5)=0,"",SUMIFS(請求記録!$AE$6:$AE$3005,請求記録!$B$6:$B$3005,$A142,請求記録!$Z$6:$Z$3005,T$5))))</f>
        <v/>
      </c>
      <c r="U142" s="19">
        <f>IF($A142="","",IF(COUNTIFS(請求記録!$B$6:$B$3005,$A142,請求記録!$Z$6:$Z$3005,U$5,請求記録!$AF$6:$AF$3005,"保留中")&gt;0,"保留",IF(COUNTIFS(請求記録!$B$6:$B$3005,$A142,請求記録!$Z$6:$Z$3005,U$5)=0,"",SUMIFS(請求記録!$AE$6:$AE$3005,請求記録!$B$6:$B$3005,$A142,請求記録!$Z$6:$Z$3005,U$5))))</f>
        <v/>
      </c>
      <c r="V142" s="19">
        <f>IF($A142="","",IF(COUNTIFS(請求記録!$B$6:$B$3005,$A142,請求記録!$Z$6:$Z$3005,V$5,請求記録!$AF$6:$AF$3005,"保留中")&gt;0,"保留",IF(COUNTIFS(請求記録!$B$6:$B$3005,$A142,請求記録!$Z$6:$Z$3005,V$5)=0,"",SUMIFS(請求記録!$AE$6:$AE$3005,請求記録!$B$6:$B$3005,$A142,請求記録!$Z$6:$Z$3005,V$5))))</f>
        <v/>
      </c>
      <c r="W142" s="19">
        <f>IF($A142="","",IF(COUNTIFS(請求記録!$B$6:$B$3005,$A142,請求記録!$Z$6:$Z$3005,W$5,請求記録!$AF$6:$AF$3005,"保留中")&gt;0,"保留",IF(COUNTIFS(請求記録!$B$6:$B$3005,$A142,請求記録!$Z$6:$Z$3005,W$5)=0,"",SUMIFS(請求記録!$AE$6:$AE$3005,請求記録!$B$6:$B$3005,$A142,請求記録!$Z$6:$Z$3005,W$5))))</f>
        <v/>
      </c>
      <c r="X142" s="19">
        <f>IF($A142="","",IF(COUNTIFS(請求記録!$B$6:$B$3005,$A142,請求記録!$Z$6:$Z$3005,X$5,請求記録!$AF$6:$AF$3005,"保留中")&gt;0,"保留",IF(COUNTIFS(請求記録!$B$6:$B$3005,$A142,請求記録!$Z$6:$Z$3005,X$5)=0,"",SUMIFS(請求記録!$AE$6:$AE$3005,請求記録!$B$6:$B$3005,$A142,請求記録!$Z$6:$Z$3005,X$5))))</f>
        <v/>
      </c>
      <c r="Y142" s="19">
        <f>IF($A142="","",IF(COUNTIFS(請求記録!$B$6:$B$3005,$A142,請求記録!$Z$6:$Z$3005,Y$5,請求記録!$AF$6:$AF$3005,"保留中")&gt;0,"保留",IF(COUNTIFS(請求記録!$B$6:$B$3005,$A142,請求記録!$Z$6:$Z$3005,Y$5)=0,"",SUMIFS(請求記録!$AE$6:$AE$3005,請求記録!$B$6:$B$3005,$A142,請求記録!$Z$6:$Z$3005,Y$5))))</f>
        <v/>
      </c>
      <c r="Z142" s="19">
        <f>IF($A142="","",IF(COUNTIFS(請求記録!$B$6:$B$3005,$A142,請求記録!$Z$6:$Z$3005,Z$5,請求記録!$AF$6:$AF$3005,"保留中")&gt;0,"保留",IF(COUNTIFS(請求記録!$B$6:$B$3005,$A142,請求記録!$Z$6:$Z$3005,Z$5)=0,"",SUMIFS(請求記録!$AE$6:$AE$3005,請求記録!$B$6:$B$3005,$A142,請求記録!$Z$6:$Z$3005,Z$5))))</f>
        <v/>
      </c>
      <c r="AA142" s="19">
        <f>IF($A142="","",IF(COUNTIFS(請求記録!$B$6:$B$3005,$A142,請求記録!$Z$6:$Z$3005,AA$5,請求記録!$AF$6:$AF$3005,"保留中")&gt;0,"保留",IF(COUNTIFS(請求記録!$B$6:$B$3005,$A142,請求記録!$Z$6:$Z$3005,AA$5)=0,"",SUMIFS(請求記録!$AE$6:$AE$3005,請求記録!$B$6:$B$3005,$A142,請求記録!$Z$6:$Z$3005,AA$5))))</f>
        <v/>
      </c>
      <c r="AB142">
        <f>IF(職員マスタ!P142="保留中",職員マスタ!M142,"")</f>
        <v/>
      </c>
    </row>
    <row r="143">
      <c r="A143">
        <f>IF(職員マスタ!A143="","",職員マスタ!A143)</f>
        <v/>
      </c>
      <c r="B143">
        <f>IF($A143="","",職員マスタ!B143)</f>
        <v/>
      </c>
      <c r="C143">
        <f>IF($A143="","",職員マスタ!C143)</f>
        <v/>
      </c>
      <c r="D143" s="19">
        <f>IF($A143="","",IF(COUNTIFS(請求記録!$B$6:$B$3005,$A143,請求記録!$Z$6:$Z$3005,D$5,請求記録!$AF$6:$AF$3005,"保留中")&gt;0,"保留",IF(COUNTIFS(請求記録!$B$6:$B$3005,$A143,請求記録!$Z$6:$Z$3005,D$5)=0,"",SUMIFS(請求記録!$AE$6:$AE$3005,請求記録!$B$6:$B$3005,$A143,請求記録!$Z$6:$Z$3005,D$5))))</f>
        <v/>
      </c>
      <c r="E143" s="19">
        <f>IF($A143="","",IF(COUNTIFS(請求記録!$B$6:$B$3005,$A143,請求記録!$Z$6:$Z$3005,E$5,請求記録!$AF$6:$AF$3005,"保留中")&gt;0,"保留",IF(COUNTIFS(請求記録!$B$6:$B$3005,$A143,請求記録!$Z$6:$Z$3005,E$5)=0,"",SUMIFS(請求記録!$AE$6:$AE$3005,請求記録!$B$6:$B$3005,$A143,請求記録!$Z$6:$Z$3005,E$5))))</f>
        <v/>
      </c>
      <c r="F143" s="19">
        <f>IF($A143="","",IF(COUNTIFS(請求記録!$B$6:$B$3005,$A143,請求記録!$Z$6:$Z$3005,F$5,請求記録!$AF$6:$AF$3005,"保留中")&gt;0,"保留",IF(COUNTIFS(請求記録!$B$6:$B$3005,$A143,請求記録!$Z$6:$Z$3005,F$5)=0,"",SUMIFS(請求記録!$AE$6:$AE$3005,請求記録!$B$6:$B$3005,$A143,請求記録!$Z$6:$Z$3005,F$5))))</f>
        <v/>
      </c>
      <c r="G143" s="19">
        <f>IF($A143="","",IF(COUNTIFS(請求記録!$B$6:$B$3005,$A143,請求記録!$Z$6:$Z$3005,G$5,請求記録!$AF$6:$AF$3005,"保留中")&gt;0,"保留",IF(COUNTIFS(請求記録!$B$6:$B$3005,$A143,請求記録!$Z$6:$Z$3005,G$5)=0,"",SUMIFS(請求記録!$AE$6:$AE$3005,請求記録!$B$6:$B$3005,$A143,請求記録!$Z$6:$Z$3005,G$5))))</f>
        <v/>
      </c>
      <c r="H143" s="19">
        <f>IF($A143="","",IF(COUNTIFS(請求記録!$B$6:$B$3005,$A143,請求記録!$Z$6:$Z$3005,H$5,請求記録!$AF$6:$AF$3005,"保留中")&gt;0,"保留",IF(COUNTIFS(請求記録!$B$6:$B$3005,$A143,請求記録!$Z$6:$Z$3005,H$5)=0,"",SUMIFS(請求記録!$AE$6:$AE$3005,請求記録!$B$6:$B$3005,$A143,請求記録!$Z$6:$Z$3005,H$5))))</f>
        <v/>
      </c>
      <c r="I143" s="19">
        <f>IF($A143="","",IF(COUNTIFS(請求記録!$B$6:$B$3005,$A143,請求記録!$Z$6:$Z$3005,I$5,請求記録!$AF$6:$AF$3005,"保留中")&gt;0,"保留",IF(COUNTIFS(請求記録!$B$6:$B$3005,$A143,請求記録!$Z$6:$Z$3005,I$5)=0,"",SUMIFS(請求記録!$AE$6:$AE$3005,請求記録!$B$6:$B$3005,$A143,請求記録!$Z$6:$Z$3005,I$5))))</f>
        <v/>
      </c>
      <c r="J143" s="19">
        <f>IF($A143="","",IF(COUNTIFS(請求記録!$B$6:$B$3005,$A143,請求記録!$Z$6:$Z$3005,J$5,請求記録!$AF$6:$AF$3005,"保留中")&gt;0,"保留",IF(COUNTIFS(請求記録!$B$6:$B$3005,$A143,請求記録!$Z$6:$Z$3005,J$5)=0,"",SUMIFS(請求記録!$AE$6:$AE$3005,請求記録!$B$6:$B$3005,$A143,請求記録!$Z$6:$Z$3005,J$5))))</f>
        <v/>
      </c>
      <c r="K143" s="19">
        <f>IF($A143="","",IF(COUNTIFS(請求記録!$B$6:$B$3005,$A143,請求記録!$Z$6:$Z$3005,K$5,請求記録!$AF$6:$AF$3005,"保留中")&gt;0,"保留",IF(COUNTIFS(請求記録!$B$6:$B$3005,$A143,請求記録!$Z$6:$Z$3005,K$5)=0,"",SUMIFS(請求記録!$AE$6:$AE$3005,請求記録!$B$6:$B$3005,$A143,請求記録!$Z$6:$Z$3005,K$5))))</f>
        <v/>
      </c>
      <c r="L143" s="19">
        <f>IF($A143="","",IF(COUNTIFS(請求記録!$B$6:$B$3005,$A143,請求記録!$Z$6:$Z$3005,L$5,請求記録!$AF$6:$AF$3005,"保留中")&gt;0,"保留",IF(COUNTIFS(請求記録!$B$6:$B$3005,$A143,請求記録!$Z$6:$Z$3005,L$5)=0,"",SUMIFS(請求記録!$AE$6:$AE$3005,請求記録!$B$6:$B$3005,$A143,請求記録!$Z$6:$Z$3005,L$5))))</f>
        <v/>
      </c>
      <c r="M143" s="19">
        <f>IF($A143="","",IF(COUNTIFS(請求記録!$B$6:$B$3005,$A143,請求記録!$Z$6:$Z$3005,M$5,請求記録!$AF$6:$AF$3005,"保留中")&gt;0,"保留",IF(COUNTIFS(請求記録!$B$6:$B$3005,$A143,請求記録!$Z$6:$Z$3005,M$5)=0,"",SUMIFS(請求記録!$AE$6:$AE$3005,請求記録!$B$6:$B$3005,$A143,請求記録!$Z$6:$Z$3005,M$5))))</f>
        <v/>
      </c>
      <c r="N143" s="19">
        <f>IF($A143="","",IF(COUNTIFS(請求記録!$B$6:$B$3005,$A143,請求記録!$Z$6:$Z$3005,N$5,請求記録!$AF$6:$AF$3005,"保留中")&gt;0,"保留",IF(COUNTIFS(請求記録!$B$6:$B$3005,$A143,請求記録!$Z$6:$Z$3005,N$5)=0,"",SUMIFS(請求記録!$AE$6:$AE$3005,請求記録!$B$6:$B$3005,$A143,請求記録!$Z$6:$Z$3005,N$5))))</f>
        <v/>
      </c>
      <c r="O143" s="19">
        <f>IF($A143="","",IF(COUNTIFS(請求記録!$B$6:$B$3005,$A143,請求記録!$Z$6:$Z$3005,O$5,請求記録!$AF$6:$AF$3005,"保留中")&gt;0,"保留",IF(COUNTIFS(請求記録!$B$6:$B$3005,$A143,請求記録!$Z$6:$Z$3005,O$5)=0,"",SUMIFS(請求記録!$AE$6:$AE$3005,請求記録!$B$6:$B$3005,$A143,請求記録!$Z$6:$Z$3005,O$5))))</f>
        <v/>
      </c>
      <c r="P143" s="19">
        <f>IF($A143="","",IF(COUNTIFS(請求記録!$B$6:$B$3005,$A143,請求記録!$Z$6:$Z$3005,P$5,請求記録!$AF$6:$AF$3005,"保留中")&gt;0,"保留",IF(COUNTIFS(請求記録!$B$6:$B$3005,$A143,請求記録!$Z$6:$Z$3005,P$5)=0,"",SUMIFS(請求記録!$AE$6:$AE$3005,請求記録!$B$6:$B$3005,$A143,請求記録!$Z$6:$Z$3005,P$5))))</f>
        <v/>
      </c>
      <c r="Q143" s="19">
        <f>IF($A143="","",IF(COUNTIFS(請求記録!$B$6:$B$3005,$A143,請求記録!$Z$6:$Z$3005,Q$5,請求記録!$AF$6:$AF$3005,"保留中")&gt;0,"保留",IF(COUNTIFS(請求記録!$B$6:$B$3005,$A143,請求記録!$Z$6:$Z$3005,Q$5)=0,"",SUMIFS(請求記録!$AE$6:$AE$3005,請求記録!$B$6:$B$3005,$A143,請求記録!$Z$6:$Z$3005,Q$5))))</f>
        <v/>
      </c>
      <c r="R143" s="19">
        <f>IF($A143="","",IF(COUNTIFS(請求記録!$B$6:$B$3005,$A143,請求記録!$Z$6:$Z$3005,R$5,請求記録!$AF$6:$AF$3005,"保留中")&gt;0,"保留",IF(COUNTIFS(請求記録!$B$6:$B$3005,$A143,請求記録!$Z$6:$Z$3005,R$5)=0,"",SUMIFS(請求記録!$AE$6:$AE$3005,請求記録!$B$6:$B$3005,$A143,請求記録!$Z$6:$Z$3005,R$5))))</f>
        <v/>
      </c>
      <c r="S143" s="19">
        <f>IF($A143="","",IF(COUNTIFS(請求記録!$B$6:$B$3005,$A143,請求記録!$Z$6:$Z$3005,S$5,請求記録!$AF$6:$AF$3005,"保留中")&gt;0,"保留",IF(COUNTIFS(請求記録!$B$6:$B$3005,$A143,請求記録!$Z$6:$Z$3005,S$5)=0,"",SUMIFS(請求記録!$AE$6:$AE$3005,請求記録!$B$6:$B$3005,$A143,請求記録!$Z$6:$Z$3005,S$5))))</f>
        <v/>
      </c>
      <c r="T143" s="19">
        <f>IF($A143="","",IF(COUNTIFS(請求記録!$B$6:$B$3005,$A143,請求記録!$Z$6:$Z$3005,T$5,請求記録!$AF$6:$AF$3005,"保留中")&gt;0,"保留",IF(COUNTIFS(請求記録!$B$6:$B$3005,$A143,請求記録!$Z$6:$Z$3005,T$5)=0,"",SUMIFS(請求記録!$AE$6:$AE$3005,請求記録!$B$6:$B$3005,$A143,請求記録!$Z$6:$Z$3005,T$5))))</f>
        <v/>
      </c>
      <c r="U143" s="19">
        <f>IF($A143="","",IF(COUNTIFS(請求記録!$B$6:$B$3005,$A143,請求記録!$Z$6:$Z$3005,U$5,請求記録!$AF$6:$AF$3005,"保留中")&gt;0,"保留",IF(COUNTIFS(請求記録!$B$6:$B$3005,$A143,請求記録!$Z$6:$Z$3005,U$5)=0,"",SUMIFS(請求記録!$AE$6:$AE$3005,請求記録!$B$6:$B$3005,$A143,請求記録!$Z$6:$Z$3005,U$5))))</f>
        <v/>
      </c>
      <c r="V143" s="19">
        <f>IF($A143="","",IF(COUNTIFS(請求記録!$B$6:$B$3005,$A143,請求記録!$Z$6:$Z$3005,V$5,請求記録!$AF$6:$AF$3005,"保留中")&gt;0,"保留",IF(COUNTIFS(請求記録!$B$6:$B$3005,$A143,請求記録!$Z$6:$Z$3005,V$5)=0,"",SUMIFS(請求記録!$AE$6:$AE$3005,請求記録!$B$6:$B$3005,$A143,請求記録!$Z$6:$Z$3005,V$5))))</f>
        <v/>
      </c>
      <c r="W143" s="19">
        <f>IF($A143="","",IF(COUNTIFS(請求記録!$B$6:$B$3005,$A143,請求記録!$Z$6:$Z$3005,W$5,請求記録!$AF$6:$AF$3005,"保留中")&gt;0,"保留",IF(COUNTIFS(請求記録!$B$6:$B$3005,$A143,請求記録!$Z$6:$Z$3005,W$5)=0,"",SUMIFS(請求記録!$AE$6:$AE$3005,請求記録!$B$6:$B$3005,$A143,請求記録!$Z$6:$Z$3005,W$5))))</f>
        <v/>
      </c>
      <c r="X143" s="19">
        <f>IF($A143="","",IF(COUNTIFS(請求記録!$B$6:$B$3005,$A143,請求記録!$Z$6:$Z$3005,X$5,請求記録!$AF$6:$AF$3005,"保留中")&gt;0,"保留",IF(COUNTIFS(請求記録!$B$6:$B$3005,$A143,請求記録!$Z$6:$Z$3005,X$5)=0,"",SUMIFS(請求記録!$AE$6:$AE$3005,請求記録!$B$6:$B$3005,$A143,請求記録!$Z$6:$Z$3005,X$5))))</f>
        <v/>
      </c>
      <c r="Y143" s="19">
        <f>IF($A143="","",IF(COUNTIFS(請求記録!$B$6:$B$3005,$A143,請求記録!$Z$6:$Z$3005,Y$5,請求記録!$AF$6:$AF$3005,"保留中")&gt;0,"保留",IF(COUNTIFS(請求記録!$B$6:$B$3005,$A143,請求記録!$Z$6:$Z$3005,Y$5)=0,"",SUMIFS(請求記録!$AE$6:$AE$3005,請求記録!$B$6:$B$3005,$A143,請求記録!$Z$6:$Z$3005,Y$5))))</f>
        <v/>
      </c>
      <c r="Z143" s="19">
        <f>IF($A143="","",IF(COUNTIFS(請求記録!$B$6:$B$3005,$A143,請求記録!$Z$6:$Z$3005,Z$5,請求記録!$AF$6:$AF$3005,"保留中")&gt;0,"保留",IF(COUNTIFS(請求記録!$B$6:$B$3005,$A143,請求記録!$Z$6:$Z$3005,Z$5)=0,"",SUMIFS(請求記録!$AE$6:$AE$3005,請求記録!$B$6:$B$3005,$A143,請求記録!$Z$6:$Z$3005,Z$5))))</f>
        <v/>
      </c>
      <c r="AA143" s="19">
        <f>IF($A143="","",IF(COUNTIFS(請求記録!$B$6:$B$3005,$A143,請求記録!$Z$6:$Z$3005,AA$5,請求記録!$AF$6:$AF$3005,"保留中")&gt;0,"保留",IF(COUNTIFS(請求記録!$B$6:$B$3005,$A143,請求記録!$Z$6:$Z$3005,AA$5)=0,"",SUMIFS(請求記録!$AE$6:$AE$3005,請求記録!$B$6:$B$3005,$A143,請求記録!$Z$6:$Z$3005,AA$5))))</f>
        <v/>
      </c>
      <c r="AB143">
        <f>IF(職員マスタ!P143="保留中",職員マスタ!M143,"")</f>
        <v/>
      </c>
    </row>
    <row r="144">
      <c r="A144">
        <f>IF(職員マスタ!A144="","",職員マスタ!A144)</f>
        <v/>
      </c>
      <c r="B144">
        <f>IF($A144="","",職員マスタ!B144)</f>
        <v/>
      </c>
      <c r="C144">
        <f>IF($A144="","",職員マスタ!C144)</f>
        <v/>
      </c>
      <c r="D144" s="19">
        <f>IF($A144="","",IF(COUNTIFS(請求記録!$B$6:$B$3005,$A144,請求記録!$Z$6:$Z$3005,D$5,請求記録!$AF$6:$AF$3005,"保留中")&gt;0,"保留",IF(COUNTIFS(請求記録!$B$6:$B$3005,$A144,請求記録!$Z$6:$Z$3005,D$5)=0,"",SUMIFS(請求記録!$AE$6:$AE$3005,請求記録!$B$6:$B$3005,$A144,請求記録!$Z$6:$Z$3005,D$5))))</f>
        <v/>
      </c>
      <c r="E144" s="19">
        <f>IF($A144="","",IF(COUNTIFS(請求記録!$B$6:$B$3005,$A144,請求記録!$Z$6:$Z$3005,E$5,請求記録!$AF$6:$AF$3005,"保留中")&gt;0,"保留",IF(COUNTIFS(請求記録!$B$6:$B$3005,$A144,請求記録!$Z$6:$Z$3005,E$5)=0,"",SUMIFS(請求記録!$AE$6:$AE$3005,請求記録!$B$6:$B$3005,$A144,請求記録!$Z$6:$Z$3005,E$5))))</f>
        <v/>
      </c>
      <c r="F144" s="19">
        <f>IF($A144="","",IF(COUNTIFS(請求記録!$B$6:$B$3005,$A144,請求記録!$Z$6:$Z$3005,F$5,請求記録!$AF$6:$AF$3005,"保留中")&gt;0,"保留",IF(COUNTIFS(請求記録!$B$6:$B$3005,$A144,請求記録!$Z$6:$Z$3005,F$5)=0,"",SUMIFS(請求記録!$AE$6:$AE$3005,請求記録!$B$6:$B$3005,$A144,請求記録!$Z$6:$Z$3005,F$5))))</f>
        <v/>
      </c>
      <c r="G144" s="19">
        <f>IF($A144="","",IF(COUNTIFS(請求記録!$B$6:$B$3005,$A144,請求記録!$Z$6:$Z$3005,G$5,請求記録!$AF$6:$AF$3005,"保留中")&gt;0,"保留",IF(COUNTIFS(請求記録!$B$6:$B$3005,$A144,請求記録!$Z$6:$Z$3005,G$5)=0,"",SUMIFS(請求記録!$AE$6:$AE$3005,請求記録!$B$6:$B$3005,$A144,請求記録!$Z$6:$Z$3005,G$5))))</f>
        <v/>
      </c>
      <c r="H144" s="19">
        <f>IF($A144="","",IF(COUNTIFS(請求記録!$B$6:$B$3005,$A144,請求記録!$Z$6:$Z$3005,H$5,請求記録!$AF$6:$AF$3005,"保留中")&gt;0,"保留",IF(COUNTIFS(請求記録!$B$6:$B$3005,$A144,請求記録!$Z$6:$Z$3005,H$5)=0,"",SUMIFS(請求記録!$AE$6:$AE$3005,請求記録!$B$6:$B$3005,$A144,請求記録!$Z$6:$Z$3005,H$5))))</f>
        <v/>
      </c>
      <c r="I144" s="19">
        <f>IF($A144="","",IF(COUNTIFS(請求記録!$B$6:$B$3005,$A144,請求記録!$Z$6:$Z$3005,I$5,請求記録!$AF$6:$AF$3005,"保留中")&gt;0,"保留",IF(COUNTIFS(請求記録!$B$6:$B$3005,$A144,請求記録!$Z$6:$Z$3005,I$5)=0,"",SUMIFS(請求記録!$AE$6:$AE$3005,請求記録!$B$6:$B$3005,$A144,請求記録!$Z$6:$Z$3005,I$5))))</f>
        <v/>
      </c>
      <c r="J144" s="19">
        <f>IF($A144="","",IF(COUNTIFS(請求記録!$B$6:$B$3005,$A144,請求記録!$Z$6:$Z$3005,J$5,請求記録!$AF$6:$AF$3005,"保留中")&gt;0,"保留",IF(COUNTIFS(請求記録!$B$6:$B$3005,$A144,請求記録!$Z$6:$Z$3005,J$5)=0,"",SUMIFS(請求記録!$AE$6:$AE$3005,請求記録!$B$6:$B$3005,$A144,請求記録!$Z$6:$Z$3005,J$5))))</f>
        <v/>
      </c>
      <c r="K144" s="19">
        <f>IF($A144="","",IF(COUNTIFS(請求記録!$B$6:$B$3005,$A144,請求記録!$Z$6:$Z$3005,K$5,請求記録!$AF$6:$AF$3005,"保留中")&gt;0,"保留",IF(COUNTIFS(請求記録!$B$6:$B$3005,$A144,請求記録!$Z$6:$Z$3005,K$5)=0,"",SUMIFS(請求記録!$AE$6:$AE$3005,請求記録!$B$6:$B$3005,$A144,請求記録!$Z$6:$Z$3005,K$5))))</f>
        <v/>
      </c>
      <c r="L144" s="19">
        <f>IF($A144="","",IF(COUNTIFS(請求記録!$B$6:$B$3005,$A144,請求記録!$Z$6:$Z$3005,L$5,請求記録!$AF$6:$AF$3005,"保留中")&gt;0,"保留",IF(COUNTIFS(請求記録!$B$6:$B$3005,$A144,請求記録!$Z$6:$Z$3005,L$5)=0,"",SUMIFS(請求記録!$AE$6:$AE$3005,請求記録!$B$6:$B$3005,$A144,請求記録!$Z$6:$Z$3005,L$5))))</f>
        <v/>
      </c>
      <c r="M144" s="19">
        <f>IF($A144="","",IF(COUNTIFS(請求記録!$B$6:$B$3005,$A144,請求記録!$Z$6:$Z$3005,M$5,請求記録!$AF$6:$AF$3005,"保留中")&gt;0,"保留",IF(COUNTIFS(請求記録!$B$6:$B$3005,$A144,請求記録!$Z$6:$Z$3005,M$5)=0,"",SUMIFS(請求記録!$AE$6:$AE$3005,請求記録!$B$6:$B$3005,$A144,請求記録!$Z$6:$Z$3005,M$5))))</f>
        <v/>
      </c>
      <c r="N144" s="19">
        <f>IF($A144="","",IF(COUNTIFS(請求記録!$B$6:$B$3005,$A144,請求記録!$Z$6:$Z$3005,N$5,請求記録!$AF$6:$AF$3005,"保留中")&gt;0,"保留",IF(COUNTIFS(請求記録!$B$6:$B$3005,$A144,請求記録!$Z$6:$Z$3005,N$5)=0,"",SUMIFS(請求記録!$AE$6:$AE$3005,請求記録!$B$6:$B$3005,$A144,請求記録!$Z$6:$Z$3005,N$5))))</f>
        <v/>
      </c>
      <c r="O144" s="19">
        <f>IF($A144="","",IF(COUNTIFS(請求記録!$B$6:$B$3005,$A144,請求記録!$Z$6:$Z$3005,O$5,請求記録!$AF$6:$AF$3005,"保留中")&gt;0,"保留",IF(COUNTIFS(請求記録!$B$6:$B$3005,$A144,請求記録!$Z$6:$Z$3005,O$5)=0,"",SUMIFS(請求記録!$AE$6:$AE$3005,請求記録!$B$6:$B$3005,$A144,請求記録!$Z$6:$Z$3005,O$5))))</f>
        <v/>
      </c>
      <c r="P144" s="19">
        <f>IF($A144="","",IF(COUNTIFS(請求記録!$B$6:$B$3005,$A144,請求記録!$Z$6:$Z$3005,P$5,請求記録!$AF$6:$AF$3005,"保留中")&gt;0,"保留",IF(COUNTIFS(請求記録!$B$6:$B$3005,$A144,請求記録!$Z$6:$Z$3005,P$5)=0,"",SUMIFS(請求記録!$AE$6:$AE$3005,請求記録!$B$6:$B$3005,$A144,請求記録!$Z$6:$Z$3005,P$5))))</f>
        <v/>
      </c>
      <c r="Q144" s="19">
        <f>IF($A144="","",IF(COUNTIFS(請求記録!$B$6:$B$3005,$A144,請求記録!$Z$6:$Z$3005,Q$5,請求記録!$AF$6:$AF$3005,"保留中")&gt;0,"保留",IF(COUNTIFS(請求記録!$B$6:$B$3005,$A144,請求記録!$Z$6:$Z$3005,Q$5)=0,"",SUMIFS(請求記録!$AE$6:$AE$3005,請求記録!$B$6:$B$3005,$A144,請求記録!$Z$6:$Z$3005,Q$5))))</f>
        <v/>
      </c>
      <c r="R144" s="19">
        <f>IF($A144="","",IF(COUNTIFS(請求記録!$B$6:$B$3005,$A144,請求記録!$Z$6:$Z$3005,R$5,請求記録!$AF$6:$AF$3005,"保留中")&gt;0,"保留",IF(COUNTIFS(請求記録!$B$6:$B$3005,$A144,請求記録!$Z$6:$Z$3005,R$5)=0,"",SUMIFS(請求記録!$AE$6:$AE$3005,請求記録!$B$6:$B$3005,$A144,請求記録!$Z$6:$Z$3005,R$5))))</f>
        <v/>
      </c>
      <c r="S144" s="19">
        <f>IF($A144="","",IF(COUNTIFS(請求記録!$B$6:$B$3005,$A144,請求記録!$Z$6:$Z$3005,S$5,請求記録!$AF$6:$AF$3005,"保留中")&gt;0,"保留",IF(COUNTIFS(請求記録!$B$6:$B$3005,$A144,請求記録!$Z$6:$Z$3005,S$5)=0,"",SUMIFS(請求記録!$AE$6:$AE$3005,請求記録!$B$6:$B$3005,$A144,請求記録!$Z$6:$Z$3005,S$5))))</f>
        <v/>
      </c>
      <c r="T144" s="19">
        <f>IF($A144="","",IF(COUNTIFS(請求記録!$B$6:$B$3005,$A144,請求記録!$Z$6:$Z$3005,T$5,請求記録!$AF$6:$AF$3005,"保留中")&gt;0,"保留",IF(COUNTIFS(請求記録!$B$6:$B$3005,$A144,請求記録!$Z$6:$Z$3005,T$5)=0,"",SUMIFS(請求記録!$AE$6:$AE$3005,請求記録!$B$6:$B$3005,$A144,請求記録!$Z$6:$Z$3005,T$5))))</f>
        <v/>
      </c>
      <c r="U144" s="19">
        <f>IF($A144="","",IF(COUNTIFS(請求記録!$B$6:$B$3005,$A144,請求記録!$Z$6:$Z$3005,U$5,請求記録!$AF$6:$AF$3005,"保留中")&gt;0,"保留",IF(COUNTIFS(請求記録!$B$6:$B$3005,$A144,請求記録!$Z$6:$Z$3005,U$5)=0,"",SUMIFS(請求記録!$AE$6:$AE$3005,請求記録!$B$6:$B$3005,$A144,請求記録!$Z$6:$Z$3005,U$5))))</f>
        <v/>
      </c>
      <c r="V144" s="19">
        <f>IF($A144="","",IF(COUNTIFS(請求記録!$B$6:$B$3005,$A144,請求記録!$Z$6:$Z$3005,V$5,請求記録!$AF$6:$AF$3005,"保留中")&gt;0,"保留",IF(COUNTIFS(請求記録!$B$6:$B$3005,$A144,請求記録!$Z$6:$Z$3005,V$5)=0,"",SUMIFS(請求記録!$AE$6:$AE$3005,請求記録!$B$6:$B$3005,$A144,請求記録!$Z$6:$Z$3005,V$5))))</f>
        <v/>
      </c>
      <c r="W144" s="19">
        <f>IF($A144="","",IF(COUNTIFS(請求記録!$B$6:$B$3005,$A144,請求記録!$Z$6:$Z$3005,W$5,請求記録!$AF$6:$AF$3005,"保留中")&gt;0,"保留",IF(COUNTIFS(請求記録!$B$6:$B$3005,$A144,請求記録!$Z$6:$Z$3005,W$5)=0,"",SUMIFS(請求記録!$AE$6:$AE$3005,請求記録!$B$6:$B$3005,$A144,請求記録!$Z$6:$Z$3005,W$5))))</f>
        <v/>
      </c>
      <c r="X144" s="19">
        <f>IF($A144="","",IF(COUNTIFS(請求記録!$B$6:$B$3005,$A144,請求記録!$Z$6:$Z$3005,X$5,請求記録!$AF$6:$AF$3005,"保留中")&gt;0,"保留",IF(COUNTIFS(請求記録!$B$6:$B$3005,$A144,請求記録!$Z$6:$Z$3005,X$5)=0,"",SUMIFS(請求記録!$AE$6:$AE$3005,請求記録!$B$6:$B$3005,$A144,請求記録!$Z$6:$Z$3005,X$5))))</f>
        <v/>
      </c>
      <c r="Y144" s="19">
        <f>IF($A144="","",IF(COUNTIFS(請求記録!$B$6:$B$3005,$A144,請求記録!$Z$6:$Z$3005,Y$5,請求記録!$AF$6:$AF$3005,"保留中")&gt;0,"保留",IF(COUNTIFS(請求記録!$B$6:$B$3005,$A144,請求記録!$Z$6:$Z$3005,Y$5)=0,"",SUMIFS(請求記録!$AE$6:$AE$3005,請求記録!$B$6:$B$3005,$A144,請求記録!$Z$6:$Z$3005,Y$5))))</f>
        <v/>
      </c>
      <c r="Z144" s="19">
        <f>IF($A144="","",IF(COUNTIFS(請求記録!$B$6:$B$3005,$A144,請求記録!$Z$6:$Z$3005,Z$5,請求記録!$AF$6:$AF$3005,"保留中")&gt;0,"保留",IF(COUNTIFS(請求記録!$B$6:$B$3005,$A144,請求記録!$Z$6:$Z$3005,Z$5)=0,"",SUMIFS(請求記録!$AE$6:$AE$3005,請求記録!$B$6:$B$3005,$A144,請求記録!$Z$6:$Z$3005,Z$5))))</f>
        <v/>
      </c>
      <c r="AA144" s="19">
        <f>IF($A144="","",IF(COUNTIFS(請求記録!$B$6:$B$3005,$A144,請求記録!$Z$6:$Z$3005,AA$5,請求記録!$AF$6:$AF$3005,"保留中")&gt;0,"保留",IF(COUNTIFS(請求記録!$B$6:$B$3005,$A144,請求記録!$Z$6:$Z$3005,AA$5)=0,"",SUMIFS(請求記録!$AE$6:$AE$3005,請求記録!$B$6:$B$3005,$A144,請求記録!$Z$6:$Z$3005,AA$5))))</f>
        <v/>
      </c>
      <c r="AB144">
        <f>IF(職員マスタ!P144="保留中",職員マスタ!M144,"")</f>
        <v/>
      </c>
    </row>
    <row r="145">
      <c r="A145">
        <f>IF(職員マスタ!A145="","",職員マスタ!A145)</f>
        <v/>
      </c>
      <c r="B145">
        <f>IF($A145="","",職員マスタ!B145)</f>
        <v/>
      </c>
      <c r="C145">
        <f>IF($A145="","",職員マスタ!C145)</f>
        <v/>
      </c>
      <c r="D145" s="19">
        <f>IF($A145="","",IF(COUNTIFS(請求記録!$B$6:$B$3005,$A145,請求記録!$Z$6:$Z$3005,D$5,請求記録!$AF$6:$AF$3005,"保留中")&gt;0,"保留",IF(COUNTIFS(請求記録!$B$6:$B$3005,$A145,請求記録!$Z$6:$Z$3005,D$5)=0,"",SUMIFS(請求記録!$AE$6:$AE$3005,請求記録!$B$6:$B$3005,$A145,請求記録!$Z$6:$Z$3005,D$5))))</f>
        <v/>
      </c>
      <c r="E145" s="19">
        <f>IF($A145="","",IF(COUNTIFS(請求記録!$B$6:$B$3005,$A145,請求記録!$Z$6:$Z$3005,E$5,請求記録!$AF$6:$AF$3005,"保留中")&gt;0,"保留",IF(COUNTIFS(請求記録!$B$6:$B$3005,$A145,請求記録!$Z$6:$Z$3005,E$5)=0,"",SUMIFS(請求記録!$AE$6:$AE$3005,請求記録!$B$6:$B$3005,$A145,請求記録!$Z$6:$Z$3005,E$5))))</f>
        <v/>
      </c>
      <c r="F145" s="19">
        <f>IF($A145="","",IF(COUNTIFS(請求記録!$B$6:$B$3005,$A145,請求記録!$Z$6:$Z$3005,F$5,請求記録!$AF$6:$AF$3005,"保留中")&gt;0,"保留",IF(COUNTIFS(請求記録!$B$6:$B$3005,$A145,請求記録!$Z$6:$Z$3005,F$5)=0,"",SUMIFS(請求記録!$AE$6:$AE$3005,請求記録!$B$6:$B$3005,$A145,請求記録!$Z$6:$Z$3005,F$5))))</f>
        <v/>
      </c>
      <c r="G145" s="19">
        <f>IF($A145="","",IF(COUNTIFS(請求記録!$B$6:$B$3005,$A145,請求記録!$Z$6:$Z$3005,G$5,請求記録!$AF$6:$AF$3005,"保留中")&gt;0,"保留",IF(COUNTIFS(請求記録!$B$6:$B$3005,$A145,請求記録!$Z$6:$Z$3005,G$5)=0,"",SUMIFS(請求記録!$AE$6:$AE$3005,請求記録!$B$6:$B$3005,$A145,請求記録!$Z$6:$Z$3005,G$5))))</f>
        <v/>
      </c>
      <c r="H145" s="19">
        <f>IF($A145="","",IF(COUNTIFS(請求記録!$B$6:$B$3005,$A145,請求記録!$Z$6:$Z$3005,H$5,請求記録!$AF$6:$AF$3005,"保留中")&gt;0,"保留",IF(COUNTIFS(請求記録!$B$6:$B$3005,$A145,請求記録!$Z$6:$Z$3005,H$5)=0,"",SUMIFS(請求記録!$AE$6:$AE$3005,請求記録!$B$6:$B$3005,$A145,請求記録!$Z$6:$Z$3005,H$5))))</f>
        <v/>
      </c>
      <c r="I145" s="19">
        <f>IF($A145="","",IF(COUNTIFS(請求記録!$B$6:$B$3005,$A145,請求記録!$Z$6:$Z$3005,I$5,請求記録!$AF$6:$AF$3005,"保留中")&gt;0,"保留",IF(COUNTIFS(請求記録!$B$6:$B$3005,$A145,請求記録!$Z$6:$Z$3005,I$5)=0,"",SUMIFS(請求記録!$AE$6:$AE$3005,請求記録!$B$6:$B$3005,$A145,請求記録!$Z$6:$Z$3005,I$5))))</f>
        <v/>
      </c>
      <c r="J145" s="19">
        <f>IF($A145="","",IF(COUNTIFS(請求記録!$B$6:$B$3005,$A145,請求記録!$Z$6:$Z$3005,J$5,請求記録!$AF$6:$AF$3005,"保留中")&gt;0,"保留",IF(COUNTIFS(請求記録!$B$6:$B$3005,$A145,請求記録!$Z$6:$Z$3005,J$5)=0,"",SUMIFS(請求記録!$AE$6:$AE$3005,請求記録!$B$6:$B$3005,$A145,請求記録!$Z$6:$Z$3005,J$5))))</f>
        <v/>
      </c>
      <c r="K145" s="19">
        <f>IF($A145="","",IF(COUNTIFS(請求記録!$B$6:$B$3005,$A145,請求記録!$Z$6:$Z$3005,K$5,請求記録!$AF$6:$AF$3005,"保留中")&gt;0,"保留",IF(COUNTIFS(請求記録!$B$6:$B$3005,$A145,請求記録!$Z$6:$Z$3005,K$5)=0,"",SUMIFS(請求記録!$AE$6:$AE$3005,請求記録!$B$6:$B$3005,$A145,請求記録!$Z$6:$Z$3005,K$5))))</f>
        <v/>
      </c>
      <c r="L145" s="19">
        <f>IF($A145="","",IF(COUNTIFS(請求記録!$B$6:$B$3005,$A145,請求記録!$Z$6:$Z$3005,L$5,請求記録!$AF$6:$AF$3005,"保留中")&gt;0,"保留",IF(COUNTIFS(請求記録!$B$6:$B$3005,$A145,請求記録!$Z$6:$Z$3005,L$5)=0,"",SUMIFS(請求記録!$AE$6:$AE$3005,請求記録!$B$6:$B$3005,$A145,請求記録!$Z$6:$Z$3005,L$5))))</f>
        <v/>
      </c>
      <c r="M145" s="19">
        <f>IF($A145="","",IF(COUNTIFS(請求記録!$B$6:$B$3005,$A145,請求記録!$Z$6:$Z$3005,M$5,請求記録!$AF$6:$AF$3005,"保留中")&gt;0,"保留",IF(COUNTIFS(請求記録!$B$6:$B$3005,$A145,請求記録!$Z$6:$Z$3005,M$5)=0,"",SUMIFS(請求記録!$AE$6:$AE$3005,請求記録!$B$6:$B$3005,$A145,請求記録!$Z$6:$Z$3005,M$5))))</f>
        <v/>
      </c>
      <c r="N145" s="19">
        <f>IF($A145="","",IF(COUNTIFS(請求記録!$B$6:$B$3005,$A145,請求記録!$Z$6:$Z$3005,N$5,請求記録!$AF$6:$AF$3005,"保留中")&gt;0,"保留",IF(COUNTIFS(請求記録!$B$6:$B$3005,$A145,請求記録!$Z$6:$Z$3005,N$5)=0,"",SUMIFS(請求記録!$AE$6:$AE$3005,請求記録!$B$6:$B$3005,$A145,請求記録!$Z$6:$Z$3005,N$5))))</f>
        <v/>
      </c>
      <c r="O145" s="19">
        <f>IF($A145="","",IF(COUNTIFS(請求記録!$B$6:$B$3005,$A145,請求記録!$Z$6:$Z$3005,O$5,請求記録!$AF$6:$AF$3005,"保留中")&gt;0,"保留",IF(COUNTIFS(請求記録!$B$6:$B$3005,$A145,請求記録!$Z$6:$Z$3005,O$5)=0,"",SUMIFS(請求記録!$AE$6:$AE$3005,請求記録!$B$6:$B$3005,$A145,請求記録!$Z$6:$Z$3005,O$5))))</f>
        <v/>
      </c>
      <c r="P145" s="19">
        <f>IF($A145="","",IF(COUNTIFS(請求記録!$B$6:$B$3005,$A145,請求記録!$Z$6:$Z$3005,P$5,請求記録!$AF$6:$AF$3005,"保留中")&gt;0,"保留",IF(COUNTIFS(請求記録!$B$6:$B$3005,$A145,請求記録!$Z$6:$Z$3005,P$5)=0,"",SUMIFS(請求記録!$AE$6:$AE$3005,請求記録!$B$6:$B$3005,$A145,請求記録!$Z$6:$Z$3005,P$5))))</f>
        <v/>
      </c>
      <c r="Q145" s="19">
        <f>IF($A145="","",IF(COUNTIFS(請求記録!$B$6:$B$3005,$A145,請求記録!$Z$6:$Z$3005,Q$5,請求記録!$AF$6:$AF$3005,"保留中")&gt;0,"保留",IF(COUNTIFS(請求記録!$B$6:$B$3005,$A145,請求記録!$Z$6:$Z$3005,Q$5)=0,"",SUMIFS(請求記録!$AE$6:$AE$3005,請求記録!$B$6:$B$3005,$A145,請求記録!$Z$6:$Z$3005,Q$5))))</f>
        <v/>
      </c>
      <c r="R145" s="19">
        <f>IF($A145="","",IF(COUNTIFS(請求記録!$B$6:$B$3005,$A145,請求記録!$Z$6:$Z$3005,R$5,請求記録!$AF$6:$AF$3005,"保留中")&gt;0,"保留",IF(COUNTIFS(請求記録!$B$6:$B$3005,$A145,請求記録!$Z$6:$Z$3005,R$5)=0,"",SUMIFS(請求記録!$AE$6:$AE$3005,請求記録!$B$6:$B$3005,$A145,請求記録!$Z$6:$Z$3005,R$5))))</f>
        <v/>
      </c>
      <c r="S145" s="19">
        <f>IF($A145="","",IF(COUNTIFS(請求記録!$B$6:$B$3005,$A145,請求記録!$Z$6:$Z$3005,S$5,請求記録!$AF$6:$AF$3005,"保留中")&gt;0,"保留",IF(COUNTIFS(請求記録!$B$6:$B$3005,$A145,請求記録!$Z$6:$Z$3005,S$5)=0,"",SUMIFS(請求記録!$AE$6:$AE$3005,請求記録!$B$6:$B$3005,$A145,請求記録!$Z$6:$Z$3005,S$5))))</f>
        <v/>
      </c>
      <c r="T145" s="19">
        <f>IF($A145="","",IF(COUNTIFS(請求記録!$B$6:$B$3005,$A145,請求記録!$Z$6:$Z$3005,T$5,請求記録!$AF$6:$AF$3005,"保留中")&gt;0,"保留",IF(COUNTIFS(請求記録!$B$6:$B$3005,$A145,請求記録!$Z$6:$Z$3005,T$5)=0,"",SUMIFS(請求記録!$AE$6:$AE$3005,請求記録!$B$6:$B$3005,$A145,請求記録!$Z$6:$Z$3005,T$5))))</f>
        <v/>
      </c>
      <c r="U145" s="19">
        <f>IF($A145="","",IF(COUNTIFS(請求記録!$B$6:$B$3005,$A145,請求記録!$Z$6:$Z$3005,U$5,請求記録!$AF$6:$AF$3005,"保留中")&gt;0,"保留",IF(COUNTIFS(請求記録!$B$6:$B$3005,$A145,請求記録!$Z$6:$Z$3005,U$5)=0,"",SUMIFS(請求記録!$AE$6:$AE$3005,請求記録!$B$6:$B$3005,$A145,請求記録!$Z$6:$Z$3005,U$5))))</f>
        <v/>
      </c>
      <c r="V145" s="19">
        <f>IF($A145="","",IF(COUNTIFS(請求記録!$B$6:$B$3005,$A145,請求記録!$Z$6:$Z$3005,V$5,請求記録!$AF$6:$AF$3005,"保留中")&gt;0,"保留",IF(COUNTIFS(請求記録!$B$6:$B$3005,$A145,請求記録!$Z$6:$Z$3005,V$5)=0,"",SUMIFS(請求記録!$AE$6:$AE$3005,請求記録!$B$6:$B$3005,$A145,請求記録!$Z$6:$Z$3005,V$5))))</f>
        <v/>
      </c>
      <c r="W145" s="19">
        <f>IF($A145="","",IF(COUNTIFS(請求記録!$B$6:$B$3005,$A145,請求記録!$Z$6:$Z$3005,W$5,請求記録!$AF$6:$AF$3005,"保留中")&gt;0,"保留",IF(COUNTIFS(請求記録!$B$6:$B$3005,$A145,請求記録!$Z$6:$Z$3005,W$5)=0,"",SUMIFS(請求記録!$AE$6:$AE$3005,請求記録!$B$6:$B$3005,$A145,請求記録!$Z$6:$Z$3005,W$5))))</f>
        <v/>
      </c>
      <c r="X145" s="19">
        <f>IF($A145="","",IF(COUNTIFS(請求記録!$B$6:$B$3005,$A145,請求記録!$Z$6:$Z$3005,X$5,請求記録!$AF$6:$AF$3005,"保留中")&gt;0,"保留",IF(COUNTIFS(請求記録!$B$6:$B$3005,$A145,請求記録!$Z$6:$Z$3005,X$5)=0,"",SUMIFS(請求記録!$AE$6:$AE$3005,請求記録!$B$6:$B$3005,$A145,請求記録!$Z$6:$Z$3005,X$5))))</f>
        <v/>
      </c>
      <c r="Y145" s="19">
        <f>IF($A145="","",IF(COUNTIFS(請求記録!$B$6:$B$3005,$A145,請求記録!$Z$6:$Z$3005,Y$5,請求記録!$AF$6:$AF$3005,"保留中")&gt;0,"保留",IF(COUNTIFS(請求記録!$B$6:$B$3005,$A145,請求記録!$Z$6:$Z$3005,Y$5)=0,"",SUMIFS(請求記録!$AE$6:$AE$3005,請求記録!$B$6:$B$3005,$A145,請求記録!$Z$6:$Z$3005,Y$5))))</f>
        <v/>
      </c>
      <c r="Z145" s="19">
        <f>IF($A145="","",IF(COUNTIFS(請求記録!$B$6:$B$3005,$A145,請求記録!$Z$6:$Z$3005,Z$5,請求記録!$AF$6:$AF$3005,"保留中")&gt;0,"保留",IF(COUNTIFS(請求記録!$B$6:$B$3005,$A145,請求記録!$Z$6:$Z$3005,Z$5)=0,"",SUMIFS(請求記録!$AE$6:$AE$3005,請求記録!$B$6:$B$3005,$A145,請求記録!$Z$6:$Z$3005,Z$5))))</f>
        <v/>
      </c>
      <c r="AA145" s="19">
        <f>IF($A145="","",IF(COUNTIFS(請求記録!$B$6:$B$3005,$A145,請求記録!$Z$6:$Z$3005,AA$5,請求記録!$AF$6:$AF$3005,"保留中")&gt;0,"保留",IF(COUNTIFS(請求記録!$B$6:$B$3005,$A145,請求記録!$Z$6:$Z$3005,AA$5)=0,"",SUMIFS(請求記録!$AE$6:$AE$3005,請求記録!$B$6:$B$3005,$A145,請求記録!$Z$6:$Z$3005,AA$5))))</f>
        <v/>
      </c>
      <c r="AB145">
        <f>IF(職員マスタ!P145="保留中",職員マスタ!M145,"")</f>
        <v/>
      </c>
    </row>
    <row r="146">
      <c r="A146">
        <f>IF(職員マスタ!A146="","",職員マスタ!A146)</f>
        <v/>
      </c>
      <c r="B146">
        <f>IF($A146="","",職員マスタ!B146)</f>
        <v/>
      </c>
      <c r="C146">
        <f>IF($A146="","",職員マスタ!C146)</f>
        <v/>
      </c>
      <c r="D146" s="19">
        <f>IF($A146="","",IF(COUNTIFS(請求記録!$B$6:$B$3005,$A146,請求記録!$Z$6:$Z$3005,D$5,請求記録!$AF$6:$AF$3005,"保留中")&gt;0,"保留",IF(COUNTIFS(請求記録!$B$6:$B$3005,$A146,請求記録!$Z$6:$Z$3005,D$5)=0,"",SUMIFS(請求記録!$AE$6:$AE$3005,請求記録!$B$6:$B$3005,$A146,請求記録!$Z$6:$Z$3005,D$5))))</f>
        <v/>
      </c>
      <c r="E146" s="19">
        <f>IF($A146="","",IF(COUNTIFS(請求記録!$B$6:$B$3005,$A146,請求記録!$Z$6:$Z$3005,E$5,請求記録!$AF$6:$AF$3005,"保留中")&gt;0,"保留",IF(COUNTIFS(請求記録!$B$6:$B$3005,$A146,請求記録!$Z$6:$Z$3005,E$5)=0,"",SUMIFS(請求記録!$AE$6:$AE$3005,請求記録!$B$6:$B$3005,$A146,請求記録!$Z$6:$Z$3005,E$5))))</f>
        <v/>
      </c>
      <c r="F146" s="19">
        <f>IF($A146="","",IF(COUNTIFS(請求記録!$B$6:$B$3005,$A146,請求記録!$Z$6:$Z$3005,F$5,請求記録!$AF$6:$AF$3005,"保留中")&gt;0,"保留",IF(COUNTIFS(請求記録!$B$6:$B$3005,$A146,請求記録!$Z$6:$Z$3005,F$5)=0,"",SUMIFS(請求記録!$AE$6:$AE$3005,請求記録!$B$6:$B$3005,$A146,請求記録!$Z$6:$Z$3005,F$5))))</f>
        <v/>
      </c>
      <c r="G146" s="19">
        <f>IF($A146="","",IF(COUNTIFS(請求記録!$B$6:$B$3005,$A146,請求記録!$Z$6:$Z$3005,G$5,請求記録!$AF$6:$AF$3005,"保留中")&gt;0,"保留",IF(COUNTIFS(請求記録!$B$6:$B$3005,$A146,請求記録!$Z$6:$Z$3005,G$5)=0,"",SUMIFS(請求記録!$AE$6:$AE$3005,請求記録!$B$6:$B$3005,$A146,請求記録!$Z$6:$Z$3005,G$5))))</f>
        <v/>
      </c>
      <c r="H146" s="19">
        <f>IF($A146="","",IF(COUNTIFS(請求記録!$B$6:$B$3005,$A146,請求記録!$Z$6:$Z$3005,H$5,請求記録!$AF$6:$AF$3005,"保留中")&gt;0,"保留",IF(COUNTIFS(請求記録!$B$6:$B$3005,$A146,請求記録!$Z$6:$Z$3005,H$5)=0,"",SUMIFS(請求記録!$AE$6:$AE$3005,請求記録!$B$6:$B$3005,$A146,請求記録!$Z$6:$Z$3005,H$5))))</f>
        <v/>
      </c>
      <c r="I146" s="19">
        <f>IF($A146="","",IF(COUNTIFS(請求記録!$B$6:$B$3005,$A146,請求記録!$Z$6:$Z$3005,I$5,請求記録!$AF$6:$AF$3005,"保留中")&gt;0,"保留",IF(COUNTIFS(請求記録!$B$6:$B$3005,$A146,請求記録!$Z$6:$Z$3005,I$5)=0,"",SUMIFS(請求記録!$AE$6:$AE$3005,請求記録!$B$6:$B$3005,$A146,請求記録!$Z$6:$Z$3005,I$5))))</f>
        <v/>
      </c>
      <c r="J146" s="19">
        <f>IF($A146="","",IF(COUNTIFS(請求記録!$B$6:$B$3005,$A146,請求記録!$Z$6:$Z$3005,J$5,請求記録!$AF$6:$AF$3005,"保留中")&gt;0,"保留",IF(COUNTIFS(請求記録!$B$6:$B$3005,$A146,請求記録!$Z$6:$Z$3005,J$5)=0,"",SUMIFS(請求記録!$AE$6:$AE$3005,請求記録!$B$6:$B$3005,$A146,請求記録!$Z$6:$Z$3005,J$5))))</f>
        <v/>
      </c>
      <c r="K146" s="19">
        <f>IF($A146="","",IF(COUNTIFS(請求記録!$B$6:$B$3005,$A146,請求記録!$Z$6:$Z$3005,K$5,請求記録!$AF$6:$AF$3005,"保留中")&gt;0,"保留",IF(COUNTIFS(請求記録!$B$6:$B$3005,$A146,請求記録!$Z$6:$Z$3005,K$5)=0,"",SUMIFS(請求記録!$AE$6:$AE$3005,請求記録!$B$6:$B$3005,$A146,請求記録!$Z$6:$Z$3005,K$5))))</f>
        <v/>
      </c>
      <c r="L146" s="19">
        <f>IF($A146="","",IF(COUNTIFS(請求記録!$B$6:$B$3005,$A146,請求記録!$Z$6:$Z$3005,L$5,請求記録!$AF$6:$AF$3005,"保留中")&gt;0,"保留",IF(COUNTIFS(請求記録!$B$6:$B$3005,$A146,請求記録!$Z$6:$Z$3005,L$5)=0,"",SUMIFS(請求記録!$AE$6:$AE$3005,請求記録!$B$6:$B$3005,$A146,請求記録!$Z$6:$Z$3005,L$5))))</f>
        <v/>
      </c>
      <c r="M146" s="19">
        <f>IF($A146="","",IF(COUNTIFS(請求記録!$B$6:$B$3005,$A146,請求記録!$Z$6:$Z$3005,M$5,請求記録!$AF$6:$AF$3005,"保留中")&gt;0,"保留",IF(COUNTIFS(請求記録!$B$6:$B$3005,$A146,請求記録!$Z$6:$Z$3005,M$5)=0,"",SUMIFS(請求記録!$AE$6:$AE$3005,請求記録!$B$6:$B$3005,$A146,請求記録!$Z$6:$Z$3005,M$5))))</f>
        <v/>
      </c>
      <c r="N146" s="19">
        <f>IF($A146="","",IF(COUNTIFS(請求記録!$B$6:$B$3005,$A146,請求記録!$Z$6:$Z$3005,N$5,請求記録!$AF$6:$AF$3005,"保留中")&gt;0,"保留",IF(COUNTIFS(請求記録!$B$6:$B$3005,$A146,請求記録!$Z$6:$Z$3005,N$5)=0,"",SUMIFS(請求記録!$AE$6:$AE$3005,請求記録!$B$6:$B$3005,$A146,請求記録!$Z$6:$Z$3005,N$5))))</f>
        <v/>
      </c>
      <c r="O146" s="19">
        <f>IF($A146="","",IF(COUNTIFS(請求記録!$B$6:$B$3005,$A146,請求記録!$Z$6:$Z$3005,O$5,請求記録!$AF$6:$AF$3005,"保留中")&gt;0,"保留",IF(COUNTIFS(請求記録!$B$6:$B$3005,$A146,請求記録!$Z$6:$Z$3005,O$5)=0,"",SUMIFS(請求記録!$AE$6:$AE$3005,請求記録!$B$6:$B$3005,$A146,請求記録!$Z$6:$Z$3005,O$5))))</f>
        <v/>
      </c>
      <c r="P146" s="19">
        <f>IF($A146="","",IF(COUNTIFS(請求記録!$B$6:$B$3005,$A146,請求記録!$Z$6:$Z$3005,P$5,請求記録!$AF$6:$AF$3005,"保留中")&gt;0,"保留",IF(COUNTIFS(請求記録!$B$6:$B$3005,$A146,請求記録!$Z$6:$Z$3005,P$5)=0,"",SUMIFS(請求記録!$AE$6:$AE$3005,請求記録!$B$6:$B$3005,$A146,請求記録!$Z$6:$Z$3005,P$5))))</f>
        <v/>
      </c>
      <c r="Q146" s="19">
        <f>IF($A146="","",IF(COUNTIFS(請求記録!$B$6:$B$3005,$A146,請求記録!$Z$6:$Z$3005,Q$5,請求記録!$AF$6:$AF$3005,"保留中")&gt;0,"保留",IF(COUNTIFS(請求記録!$B$6:$B$3005,$A146,請求記録!$Z$6:$Z$3005,Q$5)=0,"",SUMIFS(請求記録!$AE$6:$AE$3005,請求記録!$B$6:$B$3005,$A146,請求記録!$Z$6:$Z$3005,Q$5))))</f>
        <v/>
      </c>
      <c r="R146" s="19">
        <f>IF($A146="","",IF(COUNTIFS(請求記録!$B$6:$B$3005,$A146,請求記録!$Z$6:$Z$3005,R$5,請求記録!$AF$6:$AF$3005,"保留中")&gt;0,"保留",IF(COUNTIFS(請求記録!$B$6:$B$3005,$A146,請求記録!$Z$6:$Z$3005,R$5)=0,"",SUMIFS(請求記録!$AE$6:$AE$3005,請求記録!$B$6:$B$3005,$A146,請求記録!$Z$6:$Z$3005,R$5))))</f>
        <v/>
      </c>
      <c r="S146" s="19">
        <f>IF($A146="","",IF(COUNTIFS(請求記録!$B$6:$B$3005,$A146,請求記録!$Z$6:$Z$3005,S$5,請求記録!$AF$6:$AF$3005,"保留中")&gt;0,"保留",IF(COUNTIFS(請求記録!$B$6:$B$3005,$A146,請求記録!$Z$6:$Z$3005,S$5)=0,"",SUMIFS(請求記録!$AE$6:$AE$3005,請求記録!$B$6:$B$3005,$A146,請求記録!$Z$6:$Z$3005,S$5))))</f>
        <v/>
      </c>
      <c r="T146" s="19">
        <f>IF($A146="","",IF(COUNTIFS(請求記録!$B$6:$B$3005,$A146,請求記録!$Z$6:$Z$3005,T$5,請求記録!$AF$6:$AF$3005,"保留中")&gt;0,"保留",IF(COUNTIFS(請求記録!$B$6:$B$3005,$A146,請求記録!$Z$6:$Z$3005,T$5)=0,"",SUMIFS(請求記録!$AE$6:$AE$3005,請求記録!$B$6:$B$3005,$A146,請求記録!$Z$6:$Z$3005,T$5))))</f>
        <v/>
      </c>
      <c r="U146" s="19">
        <f>IF($A146="","",IF(COUNTIFS(請求記録!$B$6:$B$3005,$A146,請求記録!$Z$6:$Z$3005,U$5,請求記録!$AF$6:$AF$3005,"保留中")&gt;0,"保留",IF(COUNTIFS(請求記録!$B$6:$B$3005,$A146,請求記録!$Z$6:$Z$3005,U$5)=0,"",SUMIFS(請求記録!$AE$6:$AE$3005,請求記録!$B$6:$B$3005,$A146,請求記録!$Z$6:$Z$3005,U$5))))</f>
        <v/>
      </c>
      <c r="V146" s="19">
        <f>IF($A146="","",IF(COUNTIFS(請求記録!$B$6:$B$3005,$A146,請求記録!$Z$6:$Z$3005,V$5,請求記録!$AF$6:$AF$3005,"保留中")&gt;0,"保留",IF(COUNTIFS(請求記録!$B$6:$B$3005,$A146,請求記録!$Z$6:$Z$3005,V$5)=0,"",SUMIFS(請求記録!$AE$6:$AE$3005,請求記録!$B$6:$B$3005,$A146,請求記録!$Z$6:$Z$3005,V$5))))</f>
        <v/>
      </c>
      <c r="W146" s="19">
        <f>IF($A146="","",IF(COUNTIFS(請求記録!$B$6:$B$3005,$A146,請求記録!$Z$6:$Z$3005,W$5,請求記録!$AF$6:$AF$3005,"保留中")&gt;0,"保留",IF(COUNTIFS(請求記録!$B$6:$B$3005,$A146,請求記録!$Z$6:$Z$3005,W$5)=0,"",SUMIFS(請求記録!$AE$6:$AE$3005,請求記録!$B$6:$B$3005,$A146,請求記録!$Z$6:$Z$3005,W$5))))</f>
        <v/>
      </c>
      <c r="X146" s="19">
        <f>IF($A146="","",IF(COUNTIFS(請求記録!$B$6:$B$3005,$A146,請求記録!$Z$6:$Z$3005,X$5,請求記録!$AF$6:$AF$3005,"保留中")&gt;0,"保留",IF(COUNTIFS(請求記録!$B$6:$B$3005,$A146,請求記録!$Z$6:$Z$3005,X$5)=0,"",SUMIFS(請求記録!$AE$6:$AE$3005,請求記録!$B$6:$B$3005,$A146,請求記録!$Z$6:$Z$3005,X$5))))</f>
        <v/>
      </c>
      <c r="Y146" s="19">
        <f>IF($A146="","",IF(COUNTIFS(請求記録!$B$6:$B$3005,$A146,請求記録!$Z$6:$Z$3005,Y$5,請求記録!$AF$6:$AF$3005,"保留中")&gt;0,"保留",IF(COUNTIFS(請求記録!$B$6:$B$3005,$A146,請求記録!$Z$6:$Z$3005,Y$5)=0,"",SUMIFS(請求記録!$AE$6:$AE$3005,請求記録!$B$6:$B$3005,$A146,請求記録!$Z$6:$Z$3005,Y$5))))</f>
        <v/>
      </c>
      <c r="Z146" s="19">
        <f>IF($A146="","",IF(COUNTIFS(請求記録!$B$6:$B$3005,$A146,請求記録!$Z$6:$Z$3005,Z$5,請求記録!$AF$6:$AF$3005,"保留中")&gt;0,"保留",IF(COUNTIFS(請求記録!$B$6:$B$3005,$A146,請求記録!$Z$6:$Z$3005,Z$5)=0,"",SUMIFS(請求記録!$AE$6:$AE$3005,請求記録!$B$6:$B$3005,$A146,請求記録!$Z$6:$Z$3005,Z$5))))</f>
        <v/>
      </c>
      <c r="AA146" s="19">
        <f>IF($A146="","",IF(COUNTIFS(請求記録!$B$6:$B$3005,$A146,請求記録!$Z$6:$Z$3005,AA$5,請求記録!$AF$6:$AF$3005,"保留中")&gt;0,"保留",IF(COUNTIFS(請求記録!$B$6:$B$3005,$A146,請求記録!$Z$6:$Z$3005,AA$5)=0,"",SUMIFS(請求記録!$AE$6:$AE$3005,請求記録!$B$6:$B$3005,$A146,請求記録!$Z$6:$Z$3005,AA$5))))</f>
        <v/>
      </c>
      <c r="AB146">
        <f>IF(職員マスタ!P146="保留中",職員マスタ!M146,"")</f>
        <v/>
      </c>
    </row>
    <row r="147">
      <c r="A147">
        <f>IF(職員マスタ!A147="","",職員マスタ!A147)</f>
        <v/>
      </c>
      <c r="B147">
        <f>IF($A147="","",職員マスタ!B147)</f>
        <v/>
      </c>
      <c r="C147">
        <f>IF($A147="","",職員マスタ!C147)</f>
        <v/>
      </c>
      <c r="D147" s="19">
        <f>IF($A147="","",IF(COUNTIFS(請求記録!$B$6:$B$3005,$A147,請求記録!$Z$6:$Z$3005,D$5,請求記録!$AF$6:$AF$3005,"保留中")&gt;0,"保留",IF(COUNTIFS(請求記録!$B$6:$B$3005,$A147,請求記録!$Z$6:$Z$3005,D$5)=0,"",SUMIFS(請求記録!$AE$6:$AE$3005,請求記録!$B$6:$B$3005,$A147,請求記録!$Z$6:$Z$3005,D$5))))</f>
        <v/>
      </c>
      <c r="E147" s="19">
        <f>IF($A147="","",IF(COUNTIFS(請求記録!$B$6:$B$3005,$A147,請求記録!$Z$6:$Z$3005,E$5,請求記録!$AF$6:$AF$3005,"保留中")&gt;0,"保留",IF(COUNTIFS(請求記録!$B$6:$B$3005,$A147,請求記録!$Z$6:$Z$3005,E$5)=0,"",SUMIFS(請求記録!$AE$6:$AE$3005,請求記録!$B$6:$B$3005,$A147,請求記録!$Z$6:$Z$3005,E$5))))</f>
        <v/>
      </c>
      <c r="F147" s="19">
        <f>IF($A147="","",IF(COUNTIFS(請求記録!$B$6:$B$3005,$A147,請求記録!$Z$6:$Z$3005,F$5,請求記録!$AF$6:$AF$3005,"保留中")&gt;0,"保留",IF(COUNTIFS(請求記録!$B$6:$B$3005,$A147,請求記録!$Z$6:$Z$3005,F$5)=0,"",SUMIFS(請求記録!$AE$6:$AE$3005,請求記録!$B$6:$B$3005,$A147,請求記録!$Z$6:$Z$3005,F$5))))</f>
        <v/>
      </c>
      <c r="G147" s="19">
        <f>IF($A147="","",IF(COUNTIFS(請求記録!$B$6:$B$3005,$A147,請求記録!$Z$6:$Z$3005,G$5,請求記録!$AF$6:$AF$3005,"保留中")&gt;0,"保留",IF(COUNTIFS(請求記録!$B$6:$B$3005,$A147,請求記録!$Z$6:$Z$3005,G$5)=0,"",SUMIFS(請求記録!$AE$6:$AE$3005,請求記録!$B$6:$B$3005,$A147,請求記録!$Z$6:$Z$3005,G$5))))</f>
        <v/>
      </c>
      <c r="H147" s="19">
        <f>IF($A147="","",IF(COUNTIFS(請求記録!$B$6:$B$3005,$A147,請求記録!$Z$6:$Z$3005,H$5,請求記録!$AF$6:$AF$3005,"保留中")&gt;0,"保留",IF(COUNTIFS(請求記録!$B$6:$B$3005,$A147,請求記録!$Z$6:$Z$3005,H$5)=0,"",SUMIFS(請求記録!$AE$6:$AE$3005,請求記録!$B$6:$B$3005,$A147,請求記録!$Z$6:$Z$3005,H$5))))</f>
        <v/>
      </c>
      <c r="I147" s="19">
        <f>IF($A147="","",IF(COUNTIFS(請求記録!$B$6:$B$3005,$A147,請求記録!$Z$6:$Z$3005,I$5,請求記録!$AF$6:$AF$3005,"保留中")&gt;0,"保留",IF(COUNTIFS(請求記録!$B$6:$B$3005,$A147,請求記録!$Z$6:$Z$3005,I$5)=0,"",SUMIFS(請求記録!$AE$6:$AE$3005,請求記録!$B$6:$B$3005,$A147,請求記録!$Z$6:$Z$3005,I$5))))</f>
        <v/>
      </c>
      <c r="J147" s="19">
        <f>IF($A147="","",IF(COUNTIFS(請求記録!$B$6:$B$3005,$A147,請求記録!$Z$6:$Z$3005,J$5,請求記録!$AF$6:$AF$3005,"保留中")&gt;0,"保留",IF(COUNTIFS(請求記録!$B$6:$B$3005,$A147,請求記録!$Z$6:$Z$3005,J$5)=0,"",SUMIFS(請求記録!$AE$6:$AE$3005,請求記録!$B$6:$B$3005,$A147,請求記録!$Z$6:$Z$3005,J$5))))</f>
        <v/>
      </c>
      <c r="K147" s="19">
        <f>IF($A147="","",IF(COUNTIFS(請求記録!$B$6:$B$3005,$A147,請求記録!$Z$6:$Z$3005,K$5,請求記録!$AF$6:$AF$3005,"保留中")&gt;0,"保留",IF(COUNTIFS(請求記録!$B$6:$B$3005,$A147,請求記録!$Z$6:$Z$3005,K$5)=0,"",SUMIFS(請求記録!$AE$6:$AE$3005,請求記録!$B$6:$B$3005,$A147,請求記録!$Z$6:$Z$3005,K$5))))</f>
        <v/>
      </c>
      <c r="L147" s="19">
        <f>IF($A147="","",IF(COUNTIFS(請求記録!$B$6:$B$3005,$A147,請求記録!$Z$6:$Z$3005,L$5,請求記録!$AF$6:$AF$3005,"保留中")&gt;0,"保留",IF(COUNTIFS(請求記録!$B$6:$B$3005,$A147,請求記録!$Z$6:$Z$3005,L$5)=0,"",SUMIFS(請求記録!$AE$6:$AE$3005,請求記録!$B$6:$B$3005,$A147,請求記録!$Z$6:$Z$3005,L$5))))</f>
        <v/>
      </c>
      <c r="M147" s="19">
        <f>IF($A147="","",IF(COUNTIFS(請求記録!$B$6:$B$3005,$A147,請求記録!$Z$6:$Z$3005,M$5,請求記録!$AF$6:$AF$3005,"保留中")&gt;0,"保留",IF(COUNTIFS(請求記録!$B$6:$B$3005,$A147,請求記録!$Z$6:$Z$3005,M$5)=0,"",SUMIFS(請求記録!$AE$6:$AE$3005,請求記録!$B$6:$B$3005,$A147,請求記録!$Z$6:$Z$3005,M$5))))</f>
        <v/>
      </c>
      <c r="N147" s="19">
        <f>IF($A147="","",IF(COUNTIFS(請求記録!$B$6:$B$3005,$A147,請求記録!$Z$6:$Z$3005,N$5,請求記録!$AF$6:$AF$3005,"保留中")&gt;0,"保留",IF(COUNTIFS(請求記録!$B$6:$B$3005,$A147,請求記録!$Z$6:$Z$3005,N$5)=0,"",SUMIFS(請求記録!$AE$6:$AE$3005,請求記録!$B$6:$B$3005,$A147,請求記録!$Z$6:$Z$3005,N$5))))</f>
        <v/>
      </c>
      <c r="O147" s="19">
        <f>IF($A147="","",IF(COUNTIFS(請求記録!$B$6:$B$3005,$A147,請求記録!$Z$6:$Z$3005,O$5,請求記録!$AF$6:$AF$3005,"保留中")&gt;0,"保留",IF(COUNTIFS(請求記録!$B$6:$B$3005,$A147,請求記録!$Z$6:$Z$3005,O$5)=0,"",SUMIFS(請求記録!$AE$6:$AE$3005,請求記録!$B$6:$B$3005,$A147,請求記録!$Z$6:$Z$3005,O$5))))</f>
        <v/>
      </c>
      <c r="P147" s="19">
        <f>IF($A147="","",IF(COUNTIFS(請求記録!$B$6:$B$3005,$A147,請求記録!$Z$6:$Z$3005,P$5,請求記録!$AF$6:$AF$3005,"保留中")&gt;0,"保留",IF(COUNTIFS(請求記録!$B$6:$B$3005,$A147,請求記録!$Z$6:$Z$3005,P$5)=0,"",SUMIFS(請求記録!$AE$6:$AE$3005,請求記録!$B$6:$B$3005,$A147,請求記録!$Z$6:$Z$3005,P$5))))</f>
        <v/>
      </c>
      <c r="Q147" s="19">
        <f>IF($A147="","",IF(COUNTIFS(請求記録!$B$6:$B$3005,$A147,請求記録!$Z$6:$Z$3005,Q$5,請求記録!$AF$6:$AF$3005,"保留中")&gt;0,"保留",IF(COUNTIFS(請求記録!$B$6:$B$3005,$A147,請求記録!$Z$6:$Z$3005,Q$5)=0,"",SUMIFS(請求記録!$AE$6:$AE$3005,請求記録!$B$6:$B$3005,$A147,請求記録!$Z$6:$Z$3005,Q$5))))</f>
        <v/>
      </c>
      <c r="R147" s="19">
        <f>IF($A147="","",IF(COUNTIFS(請求記録!$B$6:$B$3005,$A147,請求記録!$Z$6:$Z$3005,R$5,請求記録!$AF$6:$AF$3005,"保留中")&gt;0,"保留",IF(COUNTIFS(請求記録!$B$6:$B$3005,$A147,請求記録!$Z$6:$Z$3005,R$5)=0,"",SUMIFS(請求記録!$AE$6:$AE$3005,請求記録!$B$6:$B$3005,$A147,請求記録!$Z$6:$Z$3005,R$5))))</f>
        <v/>
      </c>
      <c r="S147" s="19">
        <f>IF($A147="","",IF(COUNTIFS(請求記録!$B$6:$B$3005,$A147,請求記録!$Z$6:$Z$3005,S$5,請求記録!$AF$6:$AF$3005,"保留中")&gt;0,"保留",IF(COUNTIFS(請求記録!$B$6:$B$3005,$A147,請求記録!$Z$6:$Z$3005,S$5)=0,"",SUMIFS(請求記録!$AE$6:$AE$3005,請求記録!$B$6:$B$3005,$A147,請求記録!$Z$6:$Z$3005,S$5))))</f>
        <v/>
      </c>
      <c r="T147" s="19">
        <f>IF($A147="","",IF(COUNTIFS(請求記録!$B$6:$B$3005,$A147,請求記録!$Z$6:$Z$3005,T$5,請求記録!$AF$6:$AF$3005,"保留中")&gt;0,"保留",IF(COUNTIFS(請求記録!$B$6:$B$3005,$A147,請求記録!$Z$6:$Z$3005,T$5)=0,"",SUMIFS(請求記録!$AE$6:$AE$3005,請求記録!$B$6:$B$3005,$A147,請求記録!$Z$6:$Z$3005,T$5))))</f>
        <v/>
      </c>
      <c r="U147" s="19">
        <f>IF($A147="","",IF(COUNTIFS(請求記録!$B$6:$B$3005,$A147,請求記録!$Z$6:$Z$3005,U$5,請求記録!$AF$6:$AF$3005,"保留中")&gt;0,"保留",IF(COUNTIFS(請求記録!$B$6:$B$3005,$A147,請求記録!$Z$6:$Z$3005,U$5)=0,"",SUMIFS(請求記録!$AE$6:$AE$3005,請求記録!$B$6:$B$3005,$A147,請求記録!$Z$6:$Z$3005,U$5))))</f>
        <v/>
      </c>
      <c r="V147" s="19">
        <f>IF($A147="","",IF(COUNTIFS(請求記録!$B$6:$B$3005,$A147,請求記録!$Z$6:$Z$3005,V$5,請求記録!$AF$6:$AF$3005,"保留中")&gt;0,"保留",IF(COUNTIFS(請求記録!$B$6:$B$3005,$A147,請求記録!$Z$6:$Z$3005,V$5)=0,"",SUMIFS(請求記録!$AE$6:$AE$3005,請求記録!$B$6:$B$3005,$A147,請求記録!$Z$6:$Z$3005,V$5))))</f>
        <v/>
      </c>
      <c r="W147" s="19">
        <f>IF($A147="","",IF(COUNTIFS(請求記録!$B$6:$B$3005,$A147,請求記録!$Z$6:$Z$3005,W$5,請求記録!$AF$6:$AF$3005,"保留中")&gt;0,"保留",IF(COUNTIFS(請求記録!$B$6:$B$3005,$A147,請求記録!$Z$6:$Z$3005,W$5)=0,"",SUMIFS(請求記録!$AE$6:$AE$3005,請求記録!$B$6:$B$3005,$A147,請求記録!$Z$6:$Z$3005,W$5))))</f>
        <v/>
      </c>
      <c r="X147" s="19">
        <f>IF($A147="","",IF(COUNTIFS(請求記録!$B$6:$B$3005,$A147,請求記録!$Z$6:$Z$3005,X$5,請求記録!$AF$6:$AF$3005,"保留中")&gt;0,"保留",IF(COUNTIFS(請求記録!$B$6:$B$3005,$A147,請求記録!$Z$6:$Z$3005,X$5)=0,"",SUMIFS(請求記録!$AE$6:$AE$3005,請求記録!$B$6:$B$3005,$A147,請求記録!$Z$6:$Z$3005,X$5))))</f>
        <v/>
      </c>
      <c r="Y147" s="19">
        <f>IF($A147="","",IF(COUNTIFS(請求記録!$B$6:$B$3005,$A147,請求記録!$Z$6:$Z$3005,Y$5,請求記録!$AF$6:$AF$3005,"保留中")&gt;0,"保留",IF(COUNTIFS(請求記録!$B$6:$B$3005,$A147,請求記録!$Z$6:$Z$3005,Y$5)=0,"",SUMIFS(請求記録!$AE$6:$AE$3005,請求記録!$B$6:$B$3005,$A147,請求記録!$Z$6:$Z$3005,Y$5))))</f>
        <v/>
      </c>
      <c r="Z147" s="19">
        <f>IF($A147="","",IF(COUNTIFS(請求記録!$B$6:$B$3005,$A147,請求記録!$Z$6:$Z$3005,Z$5,請求記録!$AF$6:$AF$3005,"保留中")&gt;0,"保留",IF(COUNTIFS(請求記録!$B$6:$B$3005,$A147,請求記録!$Z$6:$Z$3005,Z$5)=0,"",SUMIFS(請求記録!$AE$6:$AE$3005,請求記録!$B$6:$B$3005,$A147,請求記録!$Z$6:$Z$3005,Z$5))))</f>
        <v/>
      </c>
      <c r="AA147" s="19">
        <f>IF($A147="","",IF(COUNTIFS(請求記録!$B$6:$B$3005,$A147,請求記録!$Z$6:$Z$3005,AA$5,請求記録!$AF$6:$AF$3005,"保留中")&gt;0,"保留",IF(COUNTIFS(請求記録!$B$6:$B$3005,$A147,請求記録!$Z$6:$Z$3005,AA$5)=0,"",SUMIFS(請求記録!$AE$6:$AE$3005,請求記録!$B$6:$B$3005,$A147,請求記録!$Z$6:$Z$3005,AA$5))))</f>
        <v/>
      </c>
      <c r="AB147">
        <f>IF(職員マスタ!P147="保留中",職員マスタ!M147,"")</f>
        <v/>
      </c>
    </row>
    <row r="148">
      <c r="A148">
        <f>IF(職員マスタ!A148="","",職員マスタ!A148)</f>
        <v/>
      </c>
      <c r="B148">
        <f>IF($A148="","",職員マスタ!B148)</f>
        <v/>
      </c>
      <c r="C148">
        <f>IF($A148="","",職員マスタ!C148)</f>
        <v/>
      </c>
      <c r="D148" s="19">
        <f>IF($A148="","",IF(COUNTIFS(請求記録!$B$6:$B$3005,$A148,請求記録!$Z$6:$Z$3005,D$5,請求記録!$AF$6:$AF$3005,"保留中")&gt;0,"保留",IF(COUNTIFS(請求記録!$B$6:$B$3005,$A148,請求記録!$Z$6:$Z$3005,D$5)=0,"",SUMIFS(請求記録!$AE$6:$AE$3005,請求記録!$B$6:$B$3005,$A148,請求記録!$Z$6:$Z$3005,D$5))))</f>
        <v/>
      </c>
      <c r="E148" s="19">
        <f>IF($A148="","",IF(COUNTIFS(請求記録!$B$6:$B$3005,$A148,請求記録!$Z$6:$Z$3005,E$5,請求記録!$AF$6:$AF$3005,"保留中")&gt;0,"保留",IF(COUNTIFS(請求記録!$B$6:$B$3005,$A148,請求記録!$Z$6:$Z$3005,E$5)=0,"",SUMIFS(請求記録!$AE$6:$AE$3005,請求記録!$B$6:$B$3005,$A148,請求記録!$Z$6:$Z$3005,E$5))))</f>
        <v/>
      </c>
      <c r="F148" s="19">
        <f>IF($A148="","",IF(COUNTIFS(請求記録!$B$6:$B$3005,$A148,請求記録!$Z$6:$Z$3005,F$5,請求記録!$AF$6:$AF$3005,"保留中")&gt;0,"保留",IF(COUNTIFS(請求記録!$B$6:$B$3005,$A148,請求記録!$Z$6:$Z$3005,F$5)=0,"",SUMIFS(請求記録!$AE$6:$AE$3005,請求記録!$B$6:$B$3005,$A148,請求記録!$Z$6:$Z$3005,F$5))))</f>
        <v/>
      </c>
      <c r="G148" s="19">
        <f>IF($A148="","",IF(COUNTIFS(請求記録!$B$6:$B$3005,$A148,請求記録!$Z$6:$Z$3005,G$5,請求記録!$AF$6:$AF$3005,"保留中")&gt;0,"保留",IF(COUNTIFS(請求記録!$B$6:$B$3005,$A148,請求記録!$Z$6:$Z$3005,G$5)=0,"",SUMIFS(請求記録!$AE$6:$AE$3005,請求記録!$B$6:$B$3005,$A148,請求記録!$Z$6:$Z$3005,G$5))))</f>
        <v/>
      </c>
      <c r="H148" s="19">
        <f>IF($A148="","",IF(COUNTIFS(請求記録!$B$6:$B$3005,$A148,請求記録!$Z$6:$Z$3005,H$5,請求記録!$AF$6:$AF$3005,"保留中")&gt;0,"保留",IF(COUNTIFS(請求記録!$B$6:$B$3005,$A148,請求記録!$Z$6:$Z$3005,H$5)=0,"",SUMIFS(請求記録!$AE$6:$AE$3005,請求記録!$B$6:$B$3005,$A148,請求記録!$Z$6:$Z$3005,H$5))))</f>
        <v/>
      </c>
      <c r="I148" s="19">
        <f>IF($A148="","",IF(COUNTIFS(請求記録!$B$6:$B$3005,$A148,請求記録!$Z$6:$Z$3005,I$5,請求記録!$AF$6:$AF$3005,"保留中")&gt;0,"保留",IF(COUNTIFS(請求記録!$B$6:$B$3005,$A148,請求記録!$Z$6:$Z$3005,I$5)=0,"",SUMIFS(請求記録!$AE$6:$AE$3005,請求記録!$B$6:$B$3005,$A148,請求記録!$Z$6:$Z$3005,I$5))))</f>
        <v/>
      </c>
      <c r="J148" s="19">
        <f>IF($A148="","",IF(COUNTIFS(請求記録!$B$6:$B$3005,$A148,請求記録!$Z$6:$Z$3005,J$5,請求記録!$AF$6:$AF$3005,"保留中")&gt;0,"保留",IF(COUNTIFS(請求記録!$B$6:$B$3005,$A148,請求記録!$Z$6:$Z$3005,J$5)=0,"",SUMIFS(請求記録!$AE$6:$AE$3005,請求記録!$B$6:$B$3005,$A148,請求記録!$Z$6:$Z$3005,J$5))))</f>
        <v/>
      </c>
      <c r="K148" s="19">
        <f>IF($A148="","",IF(COUNTIFS(請求記録!$B$6:$B$3005,$A148,請求記録!$Z$6:$Z$3005,K$5,請求記録!$AF$6:$AF$3005,"保留中")&gt;0,"保留",IF(COUNTIFS(請求記録!$B$6:$B$3005,$A148,請求記録!$Z$6:$Z$3005,K$5)=0,"",SUMIFS(請求記録!$AE$6:$AE$3005,請求記録!$B$6:$B$3005,$A148,請求記録!$Z$6:$Z$3005,K$5))))</f>
        <v/>
      </c>
      <c r="L148" s="19">
        <f>IF($A148="","",IF(COUNTIFS(請求記録!$B$6:$B$3005,$A148,請求記録!$Z$6:$Z$3005,L$5,請求記録!$AF$6:$AF$3005,"保留中")&gt;0,"保留",IF(COUNTIFS(請求記録!$B$6:$B$3005,$A148,請求記録!$Z$6:$Z$3005,L$5)=0,"",SUMIFS(請求記録!$AE$6:$AE$3005,請求記録!$B$6:$B$3005,$A148,請求記録!$Z$6:$Z$3005,L$5))))</f>
        <v/>
      </c>
      <c r="M148" s="19">
        <f>IF($A148="","",IF(COUNTIFS(請求記録!$B$6:$B$3005,$A148,請求記録!$Z$6:$Z$3005,M$5,請求記録!$AF$6:$AF$3005,"保留中")&gt;0,"保留",IF(COUNTIFS(請求記録!$B$6:$B$3005,$A148,請求記録!$Z$6:$Z$3005,M$5)=0,"",SUMIFS(請求記録!$AE$6:$AE$3005,請求記録!$B$6:$B$3005,$A148,請求記録!$Z$6:$Z$3005,M$5))))</f>
        <v/>
      </c>
      <c r="N148" s="19">
        <f>IF($A148="","",IF(COUNTIFS(請求記録!$B$6:$B$3005,$A148,請求記録!$Z$6:$Z$3005,N$5,請求記録!$AF$6:$AF$3005,"保留中")&gt;0,"保留",IF(COUNTIFS(請求記録!$B$6:$B$3005,$A148,請求記録!$Z$6:$Z$3005,N$5)=0,"",SUMIFS(請求記録!$AE$6:$AE$3005,請求記録!$B$6:$B$3005,$A148,請求記録!$Z$6:$Z$3005,N$5))))</f>
        <v/>
      </c>
      <c r="O148" s="19">
        <f>IF($A148="","",IF(COUNTIFS(請求記録!$B$6:$B$3005,$A148,請求記録!$Z$6:$Z$3005,O$5,請求記録!$AF$6:$AF$3005,"保留中")&gt;0,"保留",IF(COUNTIFS(請求記録!$B$6:$B$3005,$A148,請求記録!$Z$6:$Z$3005,O$5)=0,"",SUMIFS(請求記録!$AE$6:$AE$3005,請求記録!$B$6:$B$3005,$A148,請求記録!$Z$6:$Z$3005,O$5))))</f>
        <v/>
      </c>
      <c r="P148" s="19">
        <f>IF($A148="","",IF(COUNTIFS(請求記録!$B$6:$B$3005,$A148,請求記録!$Z$6:$Z$3005,P$5,請求記録!$AF$6:$AF$3005,"保留中")&gt;0,"保留",IF(COUNTIFS(請求記録!$B$6:$B$3005,$A148,請求記録!$Z$6:$Z$3005,P$5)=0,"",SUMIFS(請求記録!$AE$6:$AE$3005,請求記録!$B$6:$B$3005,$A148,請求記録!$Z$6:$Z$3005,P$5))))</f>
        <v/>
      </c>
      <c r="Q148" s="19">
        <f>IF($A148="","",IF(COUNTIFS(請求記録!$B$6:$B$3005,$A148,請求記録!$Z$6:$Z$3005,Q$5,請求記録!$AF$6:$AF$3005,"保留中")&gt;0,"保留",IF(COUNTIFS(請求記録!$B$6:$B$3005,$A148,請求記録!$Z$6:$Z$3005,Q$5)=0,"",SUMIFS(請求記録!$AE$6:$AE$3005,請求記録!$B$6:$B$3005,$A148,請求記録!$Z$6:$Z$3005,Q$5))))</f>
        <v/>
      </c>
      <c r="R148" s="19">
        <f>IF($A148="","",IF(COUNTIFS(請求記録!$B$6:$B$3005,$A148,請求記録!$Z$6:$Z$3005,R$5,請求記録!$AF$6:$AF$3005,"保留中")&gt;0,"保留",IF(COUNTIFS(請求記録!$B$6:$B$3005,$A148,請求記録!$Z$6:$Z$3005,R$5)=0,"",SUMIFS(請求記録!$AE$6:$AE$3005,請求記録!$B$6:$B$3005,$A148,請求記録!$Z$6:$Z$3005,R$5))))</f>
        <v/>
      </c>
      <c r="S148" s="19">
        <f>IF($A148="","",IF(COUNTIFS(請求記録!$B$6:$B$3005,$A148,請求記録!$Z$6:$Z$3005,S$5,請求記録!$AF$6:$AF$3005,"保留中")&gt;0,"保留",IF(COUNTIFS(請求記録!$B$6:$B$3005,$A148,請求記録!$Z$6:$Z$3005,S$5)=0,"",SUMIFS(請求記録!$AE$6:$AE$3005,請求記録!$B$6:$B$3005,$A148,請求記録!$Z$6:$Z$3005,S$5))))</f>
        <v/>
      </c>
      <c r="T148" s="19">
        <f>IF($A148="","",IF(COUNTIFS(請求記録!$B$6:$B$3005,$A148,請求記録!$Z$6:$Z$3005,T$5,請求記録!$AF$6:$AF$3005,"保留中")&gt;0,"保留",IF(COUNTIFS(請求記録!$B$6:$B$3005,$A148,請求記録!$Z$6:$Z$3005,T$5)=0,"",SUMIFS(請求記録!$AE$6:$AE$3005,請求記録!$B$6:$B$3005,$A148,請求記録!$Z$6:$Z$3005,T$5))))</f>
        <v/>
      </c>
      <c r="U148" s="19">
        <f>IF($A148="","",IF(COUNTIFS(請求記録!$B$6:$B$3005,$A148,請求記録!$Z$6:$Z$3005,U$5,請求記録!$AF$6:$AF$3005,"保留中")&gt;0,"保留",IF(COUNTIFS(請求記録!$B$6:$B$3005,$A148,請求記録!$Z$6:$Z$3005,U$5)=0,"",SUMIFS(請求記録!$AE$6:$AE$3005,請求記録!$B$6:$B$3005,$A148,請求記録!$Z$6:$Z$3005,U$5))))</f>
        <v/>
      </c>
      <c r="V148" s="19">
        <f>IF($A148="","",IF(COUNTIFS(請求記録!$B$6:$B$3005,$A148,請求記録!$Z$6:$Z$3005,V$5,請求記録!$AF$6:$AF$3005,"保留中")&gt;0,"保留",IF(COUNTIFS(請求記録!$B$6:$B$3005,$A148,請求記録!$Z$6:$Z$3005,V$5)=0,"",SUMIFS(請求記録!$AE$6:$AE$3005,請求記録!$B$6:$B$3005,$A148,請求記録!$Z$6:$Z$3005,V$5))))</f>
        <v/>
      </c>
      <c r="W148" s="19">
        <f>IF($A148="","",IF(COUNTIFS(請求記録!$B$6:$B$3005,$A148,請求記録!$Z$6:$Z$3005,W$5,請求記録!$AF$6:$AF$3005,"保留中")&gt;0,"保留",IF(COUNTIFS(請求記録!$B$6:$B$3005,$A148,請求記録!$Z$6:$Z$3005,W$5)=0,"",SUMIFS(請求記録!$AE$6:$AE$3005,請求記録!$B$6:$B$3005,$A148,請求記録!$Z$6:$Z$3005,W$5))))</f>
        <v/>
      </c>
      <c r="X148" s="19">
        <f>IF($A148="","",IF(COUNTIFS(請求記録!$B$6:$B$3005,$A148,請求記録!$Z$6:$Z$3005,X$5,請求記録!$AF$6:$AF$3005,"保留中")&gt;0,"保留",IF(COUNTIFS(請求記録!$B$6:$B$3005,$A148,請求記録!$Z$6:$Z$3005,X$5)=0,"",SUMIFS(請求記録!$AE$6:$AE$3005,請求記録!$B$6:$B$3005,$A148,請求記録!$Z$6:$Z$3005,X$5))))</f>
        <v/>
      </c>
      <c r="Y148" s="19">
        <f>IF($A148="","",IF(COUNTIFS(請求記録!$B$6:$B$3005,$A148,請求記録!$Z$6:$Z$3005,Y$5,請求記録!$AF$6:$AF$3005,"保留中")&gt;0,"保留",IF(COUNTIFS(請求記録!$B$6:$B$3005,$A148,請求記録!$Z$6:$Z$3005,Y$5)=0,"",SUMIFS(請求記録!$AE$6:$AE$3005,請求記録!$B$6:$B$3005,$A148,請求記録!$Z$6:$Z$3005,Y$5))))</f>
        <v/>
      </c>
      <c r="Z148" s="19">
        <f>IF($A148="","",IF(COUNTIFS(請求記録!$B$6:$B$3005,$A148,請求記録!$Z$6:$Z$3005,Z$5,請求記録!$AF$6:$AF$3005,"保留中")&gt;0,"保留",IF(COUNTIFS(請求記録!$B$6:$B$3005,$A148,請求記録!$Z$6:$Z$3005,Z$5)=0,"",SUMIFS(請求記録!$AE$6:$AE$3005,請求記録!$B$6:$B$3005,$A148,請求記録!$Z$6:$Z$3005,Z$5))))</f>
        <v/>
      </c>
      <c r="AA148" s="19">
        <f>IF($A148="","",IF(COUNTIFS(請求記録!$B$6:$B$3005,$A148,請求記録!$Z$6:$Z$3005,AA$5,請求記録!$AF$6:$AF$3005,"保留中")&gt;0,"保留",IF(COUNTIFS(請求記録!$B$6:$B$3005,$A148,請求記録!$Z$6:$Z$3005,AA$5)=0,"",SUMIFS(請求記録!$AE$6:$AE$3005,請求記録!$B$6:$B$3005,$A148,請求記録!$Z$6:$Z$3005,AA$5))))</f>
        <v/>
      </c>
      <c r="AB148">
        <f>IF(職員マスタ!P148="保留中",職員マスタ!M148,"")</f>
        <v/>
      </c>
    </row>
    <row r="149">
      <c r="A149">
        <f>IF(職員マスタ!A149="","",職員マスタ!A149)</f>
        <v/>
      </c>
      <c r="B149">
        <f>IF($A149="","",職員マスタ!B149)</f>
        <v/>
      </c>
      <c r="C149">
        <f>IF($A149="","",職員マスタ!C149)</f>
        <v/>
      </c>
      <c r="D149" s="19">
        <f>IF($A149="","",IF(COUNTIFS(請求記録!$B$6:$B$3005,$A149,請求記録!$Z$6:$Z$3005,D$5,請求記録!$AF$6:$AF$3005,"保留中")&gt;0,"保留",IF(COUNTIFS(請求記録!$B$6:$B$3005,$A149,請求記録!$Z$6:$Z$3005,D$5)=0,"",SUMIFS(請求記録!$AE$6:$AE$3005,請求記録!$B$6:$B$3005,$A149,請求記録!$Z$6:$Z$3005,D$5))))</f>
        <v/>
      </c>
      <c r="E149" s="19">
        <f>IF($A149="","",IF(COUNTIFS(請求記録!$B$6:$B$3005,$A149,請求記録!$Z$6:$Z$3005,E$5,請求記録!$AF$6:$AF$3005,"保留中")&gt;0,"保留",IF(COUNTIFS(請求記録!$B$6:$B$3005,$A149,請求記録!$Z$6:$Z$3005,E$5)=0,"",SUMIFS(請求記録!$AE$6:$AE$3005,請求記録!$B$6:$B$3005,$A149,請求記録!$Z$6:$Z$3005,E$5))))</f>
        <v/>
      </c>
      <c r="F149" s="19">
        <f>IF($A149="","",IF(COUNTIFS(請求記録!$B$6:$B$3005,$A149,請求記録!$Z$6:$Z$3005,F$5,請求記録!$AF$6:$AF$3005,"保留中")&gt;0,"保留",IF(COUNTIFS(請求記録!$B$6:$B$3005,$A149,請求記録!$Z$6:$Z$3005,F$5)=0,"",SUMIFS(請求記録!$AE$6:$AE$3005,請求記録!$B$6:$B$3005,$A149,請求記録!$Z$6:$Z$3005,F$5))))</f>
        <v/>
      </c>
      <c r="G149" s="19">
        <f>IF($A149="","",IF(COUNTIFS(請求記録!$B$6:$B$3005,$A149,請求記録!$Z$6:$Z$3005,G$5,請求記録!$AF$6:$AF$3005,"保留中")&gt;0,"保留",IF(COUNTIFS(請求記録!$B$6:$B$3005,$A149,請求記録!$Z$6:$Z$3005,G$5)=0,"",SUMIFS(請求記録!$AE$6:$AE$3005,請求記録!$B$6:$B$3005,$A149,請求記録!$Z$6:$Z$3005,G$5))))</f>
        <v/>
      </c>
      <c r="H149" s="19">
        <f>IF($A149="","",IF(COUNTIFS(請求記録!$B$6:$B$3005,$A149,請求記録!$Z$6:$Z$3005,H$5,請求記録!$AF$6:$AF$3005,"保留中")&gt;0,"保留",IF(COUNTIFS(請求記録!$B$6:$B$3005,$A149,請求記録!$Z$6:$Z$3005,H$5)=0,"",SUMIFS(請求記録!$AE$6:$AE$3005,請求記録!$B$6:$B$3005,$A149,請求記録!$Z$6:$Z$3005,H$5))))</f>
        <v/>
      </c>
      <c r="I149" s="19">
        <f>IF($A149="","",IF(COUNTIFS(請求記録!$B$6:$B$3005,$A149,請求記録!$Z$6:$Z$3005,I$5,請求記録!$AF$6:$AF$3005,"保留中")&gt;0,"保留",IF(COUNTIFS(請求記録!$B$6:$B$3005,$A149,請求記録!$Z$6:$Z$3005,I$5)=0,"",SUMIFS(請求記録!$AE$6:$AE$3005,請求記録!$B$6:$B$3005,$A149,請求記録!$Z$6:$Z$3005,I$5))))</f>
        <v/>
      </c>
      <c r="J149" s="19">
        <f>IF($A149="","",IF(COUNTIFS(請求記録!$B$6:$B$3005,$A149,請求記録!$Z$6:$Z$3005,J$5,請求記録!$AF$6:$AF$3005,"保留中")&gt;0,"保留",IF(COUNTIFS(請求記録!$B$6:$B$3005,$A149,請求記録!$Z$6:$Z$3005,J$5)=0,"",SUMIFS(請求記録!$AE$6:$AE$3005,請求記録!$B$6:$B$3005,$A149,請求記録!$Z$6:$Z$3005,J$5))))</f>
        <v/>
      </c>
      <c r="K149" s="19">
        <f>IF($A149="","",IF(COUNTIFS(請求記録!$B$6:$B$3005,$A149,請求記録!$Z$6:$Z$3005,K$5,請求記録!$AF$6:$AF$3005,"保留中")&gt;0,"保留",IF(COUNTIFS(請求記録!$B$6:$B$3005,$A149,請求記録!$Z$6:$Z$3005,K$5)=0,"",SUMIFS(請求記録!$AE$6:$AE$3005,請求記録!$B$6:$B$3005,$A149,請求記録!$Z$6:$Z$3005,K$5))))</f>
        <v/>
      </c>
      <c r="L149" s="19">
        <f>IF($A149="","",IF(COUNTIFS(請求記録!$B$6:$B$3005,$A149,請求記録!$Z$6:$Z$3005,L$5,請求記録!$AF$6:$AF$3005,"保留中")&gt;0,"保留",IF(COUNTIFS(請求記録!$B$6:$B$3005,$A149,請求記録!$Z$6:$Z$3005,L$5)=0,"",SUMIFS(請求記録!$AE$6:$AE$3005,請求記録!$B$6:$B$3005,$A149,請求記録!$Z$6:$Z$3005,L$5))))</f>
        <v/>
      </c>
      <c r="M149" s="19">
        <f>IF($A149="","",IF(COUNTIFS(請求記録!$B$6:$B$3005,$A149,請求記録!$Z$6:$Z$3005,M$5,請求記録!$AF$6:$AF$3005,"保留中")&gt;0,"保留",IF(COUNTIFS(請求記録!$B$6:$B$3005,$A149,請求記録!$Z$6:$Z$3005,M$5)=0,"",SUMIFS(請求記録!$AE$6:$AE$3005,請求記録!$B$6:$B$3005,$A149,請求記録!$Z$6:$Z$3005,M$5))))</f>
        <v/>
      </c>
      <c r="N149" s="19">
        <f>IF($A149="","",IF(COUNTIFS(請求記録!$B$6:$B$3005,$A149,請求記録!$Z$6:$Z$3005,N$5,請求記録!$AF$6:$AF$3005,"保留中")&gt;0,"保留",IF(COUNTIFS(請求記録!$B$6:$B$3005,$A149,請求記録!$Z$6:$Z$3005,N$5)=0,"",SUMIFS(請求記録!$AE$6:$AE$3005,請求記録!$B$6:$B$3005,$A149,請求記録!$Z$6:$Z$3005,N$5))))</f>
        <v/>
      </c>
      <c r="O149" s="19">
        <f>IF($A149="","",IF(COUNTIFS(請求記録!$B$6:$B$3005,$A149,請求記録!$Z$6:$Z$3005,O$5,請求記録!$AF$6:$AF$3005,"保留中")&gt;0,"保留",IF(COUNTIFS(請求記録!$B$6:$B$3005,$A149,請求記録!$Z$6:$Z$3005,O$5)=0,"",SUMIFS(請求記録!$AE$6:$AE$3005,請求記録!$B$6:$B$3005,$A149,請求記録!$Z$6:$Z$3005,O$5))))</f>
        <v/>
      </c>
      <c r="P149" s="19">
        <f>IF($A149="","",IF(COUNTIFS(請求記録!$B$6:$B$3005,$A149,請求記録!$Z$6:$Z$3005,P$5,請求記録!$AF$6:$AF$3005,"保留中")&gt;0,"保留",IF(COUNTIFS(請求記録!$B$6:$B$3005,$A149,請求記録!$Z$6:$Z$3005,P$5)=0,"",SUMIFS(請求記録!$AE$6:$AE$3005,請求記録!$B$6:$B$3005,$A149,請求記録!$Z$6:$Z$3005,P$5))))</f>
        <v/>
      </c>
      <c r="Q149" s="19">
        <f>IF($A149="","",IF(COUNTIFS(請求記録!$B$6:$B$3005,$A149,請求記録!$Z$6:$Z$3005,Q$5,請求記録!$AF$6:$AF$3005,"保留中")&gt;0,"保留",IF(COUNTIFS(請求記録!$B$6:$B$3005,$A149,請求記録!$Z$6:$Z$3005,Q$5)=0,"",SUMIFS(請求記録!$AE$6:$AE$3005,請求記録!$B$6:$B$3005,$A149,請求記録!$Z$6:$Z$3005,Q$5))))</f>
        <v/>
      </c>
      <c r="R149" s="19">
        <f>IF($A149="","",IF(COUNTIFS(請求記録!$B$6:$B$3005,$A149,請求記録!$Z$6:$Z$3005,R$5,請求記録!$AF$6:$AF$3005,"保留中")&gt;0,"保留",IF(COUNTIFS(請求記録!$B$6:$B$3005,$A149,請求記録!$Z$6:$Z$3005,R$5)=0,"",SUMIFS(請求記録!$AE$6:$AE$3005,請求記録!$B$6:$B$3005,$A149,請求記録!$Z$6:$Z$3005,R$5))))</f>
        <v/>
      </c>
      <c r="S149" s="19">
        <f>IF($A149="","",IF(COUNTIFS(請求記録!$B$6:$B$3005,$A149,請求記録!$Z$6:$Z$3005,S$5,請求記録!$AF$6:$AF$3005,"保留中")&gt;0,"保留",IF(COUNTIFS(請求記録!$B$6:$B$3005,$A149,請求記録!$Z$6:$Z$3005,S$5)=0,"",SUMIFS(請求記録!$AE$6:$AE$3005,請求記録!$B$6:$B$3005,$A149,請求記録!$Z$6:$Z$3005,S$5))))</f>
        <v/>
      </c>
      <c r="T149" s="19">
        <f>IF($A149="","",IF(COUNTIFS(請求記録!$B$6:$B$3005,$A149,請求記録!$Z$6:$Z$3005,T$5,請求記録!$AF$6:$AF$3005,"保留中")&gt;0,"保留",IF(COUNTIFS(請求記録!$B$6:$B$3005,$A149,請求記録!$Z$6:$Z$3005,T$5)=0,"",SUMIFS(請求記録!$AE$6:$AE$3005,請求記録!$B$6:$B$3005,$A149,請求記録!$Z$6:$Z$3005,T$5))))</f>
        <v/>
      </c>
      <c r="U149" s="19">
        <f>IF($A149="","",IF(COUNTIFS(請求記録!$B$6:$B$3005,$A149,請求記録!$Z$6:$Z$3005,U$5,請求記録!$AF$6:$AF$3005,"保留中")&gt;0,"保留",IF(COUNTIFS(請求記録!$B$6:$B$3005,$A149,請求記録!$Z$6:$Z$3005,U$5)=0,"",SUMIFS(請求記録!$AE$6:$AE$3005,請求記録!$B$6:$B$3005,$A149,請求記録!$Z$6:$Z$3005,U$5))))</f>
        <v/>
      </c>
      <c r="V149" s="19">
        <f>IF($A149="","",IF(COUNTIFS(請求記録!$B$6:$B$3005,$A149,請求記録!$Z$6:$Z$3005,V$5,請求記録!$AF$6:$AF$3005,"保留中")&gt;0,"保留",IF(COUNTIFS(請求記録!$B$6:$B$3005,$A149,請求記録!$Z$6:$Z$3005,V$5)=0,"",SUMIFS(請求記録!$AE$6:$AE$3005,請求記録!$B$6:$B$3005,$A149,請求記録!$Z$6:$Z$3005,V$5))))</f>
        <v/>
      </c>
      <c r="W149" s="19">
        <f>IF($A149="","",IF(COUNTIFS(請求記録!$B$6:$B$3005,$A149,請求記録!$Z$6:$Z$3005,W$5,請求記録!$AF$6:$AF$3005,"保留中")&gt;0,"保留",IF(COUNTIFS(請求記録!$B$6:$B$3005,$A149,請求記録!$Z$6:$Z$3005,W$5)=0,"",SUMIFS(請求記録!$AE$6:$AE$3005,請求記録!$B$6:$B$3005,$A149,請求記録!$Z$6:$Z$3005,W$5))))</f>
        <v/>
      </c>
      <c r="X149" s="19">
        <f>IF($A149="","",IF(COUNTIFS(請求記録!$B$6:$B$3005,$A149,請求記録!$Z$6:$Z$3005,X$5,請求記録!$AF$6:$AF$3005,"保留中")&gt;0,"保留",IF(COUNTIFS(請求記録!$B$6:$B$3005,$A149,請求記録!$Z$6:$Z$3005,X$5)=0,"",SUMIFS(請求記録!$AE$6:$AE$3005,請求記録!$B$6:$B$3005,$A149,請求記録!$Z$6:$Z$3005,X$5))))</f>
        <v/>
      </c>
      <c r="Y149" s="19">
        <f>IF($A149="","",IF(COUNTIFS(請求記録!$B$6:$B$3005,$A149,請求記録!$Z$6:$Z$3005,Y$5,請求記録!$AF$6:$AF$3005,"保留中")&gt;0,"保留",IF(COUNTIFS(請求記録!$B$6:$B$3005,$A149,請求記録!$Z$6:$Z$3005,Y$5)=0,"",SUMIFS(請求記録!$AE$6:$AE$3005,請求記録!$B$6:$B$3005,$A149,請求記録!$Z$6:$Z$3005,Y$5))))</f>
        <v/>
      </c>
      <c r="Z149" s="19">
        <f>IF($A149="","",IF(COUNTIFS(請求記録!$B$6:$B$3005,$A149,請求記録!$Z$6:$Z$3005,Z$5,請求記録!$AF$6:$AF$3005,"保留中")&gt;0,"保留",IF(COUNTIFS(請求記録!$B$6:$B$3005,$A149,請求記録!$Z$6:$Z$3005,Z$5)=0,"",SUMIFS(請求記録!$AE$6:$AE$3005,請求記録!$B$6:$B$3005,$A149,請求記録!$Z$6:$Z$3005,Z$5))))</f>
        <v/>
      </c>
      <c r="AA149" s="19">
        <f>IF($A149="","",IF(COUNTIFS(請求記録!$B$6:$B$3005,$A149,請求記録!$Z$6:$Z$3005,AA$5,請求記録!$AF$6:$AF$3005,"保留中")&gt;0,"保留",IF(COUNTIFS(請求記録!$B$6:$B$3005,$A149,請求記録!$Z$6:$Z$3005,AA$5)=0,"",SUMIFS(請求記録!$AE$6:$AE$3005,請求記録!$B$6:$B$3005,$A149,請求記録!$Z$6:$Z$3005,AA$5))))</f>
        <v/>
      </c>
      <c r="AB149">
        <f>IF(職員マスタ!P149="保留中",職員マスタ!M149,"")</f>
        <v/>
      </c>
    </row>
    <row r="150">
      <c r="A150">
        <f>IF(職員マスタ!A150="","",職員マスタ!A150)</f>
        <v/>
      </c>
      <c r="B150">
        <f>IF($A150="","",職員マスタ!B150)</f>
        <v/>
      </c>
      <c r="C150">
        <f>IF($A150="","",職員マスタ!C150)</f>
        <v/>
      </c>
      <c r="D150" s="19">
        <f>IF($A150="","",IF(COUNTIFS(請求記録!$B$6:$B$3005,$A150,請求記録!$Z$6:$Z$3005,D$5,請求記録!$AF$6:$AF$3005,"保留中")&gt;0,"保留",IF(COUNTIFS(請求記録!$B$6:$B$3005,$A150,請求記録!$Z$6:$Z$3005,D$5)=0,"",SUMIFS(請求記録!$AE$6:$AE$3005,請求記録!$B$6:$B$3005,$A150,請求記録!$Z$6:$Z$3005,D$5))))</f>
        <v/>
      </c>
      <c r="E150" s="19">
        <f>IF($A150="","",IF(COUNTIFS(請求記録!$B$6:$B$3005,$A150,請求記録!$Z$6:$Z$3005,E$5,請求記録!$AF$6:$AF$3005,"保留中")&gt;0,"保留",IF(COUNTIFS(請求記録!$B$6:$B$3005,$A150,請求記録!$Z$6:$Z$3005,E$5)=0,"",SUMIFS(請求記録!$AE$6:$AE$3005,請求記録!$B$6:$B$3005,$A150,請求記録!$Z$6:$Z$3005,E$5))))</f>
        <v/>
      </c>
      <c r="F150" s="19">
        <f>IF($A150="","",IF(COUNTIFS(請求記録!$B$6:$B$3005,$A150,請求記録!$Z$6:$Z$3005,F$5,請求記録!$AF$6:$AF$3005,"保留中")&gt;0,"保留",IF(COUNTIFS(請求記録!$B$6:$B$3005,$A150,請求記録!$Z$6:$Z$3005,F$5)=0,"",SUMIFS(請求記録!$AE$6:$AE$3005,請求記録!$B$6:$B$3005,$A150,請求記録!$Z$6:$Z$3005,F$5))))</f>
        <v/>
      </c>
      <c r="G150" s="19">
        <f>IF($A150="","",IF(COUNTIFS(請求記録!$B$6:$B$3005,$A150,請求記録!$Z$6:$Z$3005,G$5,請求記録!$AF$6:$AF$3005,"保留中")&gt;0,"保留",IF(COUNTIFS(請求記録!$B$6:$B$3005,$A150,請求記録!$Z$6:$Z$3005,G$5)=0,"",SUMIFS(請求記録!$AE$6:$AE$3005,請求記録!$B$6:$B$3005,$A150,請求記録!$Z$6:$Z$3005,G$5))))</f>
        <v/>
      </c>
      <c r="H150" s="19">
        <f>IF($A150="","",IF(COUNTIFS(請求記録!$B$6:$B$3005,$A150,請求記録!$Z$6:$Z$3005,H$5,請求記録!$AF$6:$AF$3005,"保留中")&gt;0,"保留",IF(COUNTIFS(請求記録!$B$6:$B$3005,$A150,請求記録!$Z$6:$Z$3005,H$5)=0,"",SUMIFS(請求記録!$AE$6:$AE$3005,請求記録!$B$6:$B$3005,$A150,請求記録!$Z$6:$Z$3005,H$5))))</f>
        <v/>
      </c>
      <c r="I150" s="19">
        <f>IF($A150="","",IF(COUNTIFS(請求記録!$B$6:$B$3005,$A150,請求記録!$Z$6:$Z$3005,I$5,請求記録!$AF$6:$AF$3005,"保留中")&gt;0,"保留",IF(COUNTIFS(請求記録!$B$6:$B$3005,$A150,請求記録!$Z$6:$Z$3005,I$5)=0,"",SUMIFS(請求記録!$AE$6:$AE$3005,請求記録!$B$6:$B$3005,$A150,請求記録!$Z$6:$Z$3005,I$5))))</f>
        <v/>
      </c>
      <c r="J150" s="19">
        <f>IF($A150="","",IF(COUNTIFS(請求記録!$B$6:$B$3005,$A150,請求記録!$Z$6:$Z$3005,J$5,請求記録!$AF$6:$AF$3005,"保留中")&gt;0,"保留",IF(COUNTIFS(請求記録!$B$6:$B$3005,$A150,請求記録!$Z$6:$Z$3005,J$5)=0,"",SUMIFS(請求記録!$AE$6:$AE$3005,請求記録!$B$6:$B$3005,$A150,請求記録!$Z$6:$Z$3005,J$5))))</f>
        <v/>
      </c>
      <c r="K150" s="19">
        <f>IF($A150="","",IF(COUNTIFS(請求記録!$B$6:$B$3005,$A150,請求記録!$Z$6:$Z$3005,K$5,請求記録!$AF$6:$AF$3005,"保留中")&gt;0,"保留",IF(COUNTIFS(請求記録!$B$6:$B$3005,$A150,請求記録!$Z$6:$Z$3005,K$5)=0,"",SUMIFS(請求記録!$AE$6:$AE$3005,請求記録!$B$6:$B$3005,$A150,請求記録!$Z$6:$Z$3005,K$5))))</f>
        <v/>
      </c>
      <c r="L150" s="19">
        <f>IF($A150="","",IF(COUNTIFS(請求記録!$B$6:$B$3005,$A150,請求記録!$Z$6:$Z$3005,L$5,請求記録!$AF$6:$AF$3005,"保留中")&gt;0,"保留",IF(COUNTIFS(請求記録!$B$6:$B$3005,$A150,請求記録!$Z$6:$Z$3005,L$5)=0,"",SUMIFS(請求記録!$AE$6:$AE$3005,請求記録!$B$6:$B$3005,$A150,請求記録!$Z$6:$Z$3005,L$5))))</f>
        <v/>
      </c>
      <c r="M150" s="19">
        <f>IF($A150="","",IF(COUNTIFS(請求記録!$B$6:$B$3005,$A150,請求記録!$Z$6:$Z$3005,M$5,請求記録!$AF$6:$AF$3005,"保留中")&gt;0,"保留",IF(COUNTIFS(請求記録!$B$6:$B$3005,$A150,請求記録!$Z$6:$Z$3005,M$5)=0,"",SUMIFS(請求記録!$AE$6:$AE$3005,請求記録!$B$6:$B$3005,$A150,請求記録!$Z$6:$Z$3005,M$5))))</f>
        <v/>
      </c>
      <c r="N150" s="19">
        <f>IF($A150="","",IF(COUNTIFS(請求記録!$B$6:$B$3005,$A150,請求記録!$Z$6:$Z$3005,N$5,請求記録!$AF$6:$AF$3005,"保留中")&gt;0,"保留",IF(COUNTIFS(請求記録!$B$6:$B$3005,$A150,請求記録!$Z$6:$Z$3005,N$5)=0,"",SUMIFS(請求記録!$AE$6:$AE$3005,請求記録!$B$6:$B$3005,$A150,請求記録!$Z$6:$Z$3005,N$5))))</f>
        <v/>
      </c>
      <c r="O150" s="19">
        <f>IF($A150="","",IF(COUNTIFS(請求記録!$B$6:$B$3005,$A150,請求記録!$Z$6:$Z$3005,O$5,請求記録!$AF$6:$AF$3005,"保留中")&gt;0,"保留",IF(COUNTIFS(請求記録!$B$6:$B$3005,$A150,請求記録!$Z$6:$Z$3005,O$5)=0,"",SUMIFS(請求記録!$AE$6:$AE$3005,請求記録!$B$6:$B$3005,$A150,請求記録!$Z$6:$Z$3005,O$5))))</f>
        <v/>
      </c>
      <c r="P150" s="19">
        <f>IF($A150="","",IF(COUNTIFS(請求記録!$B$6:$B$3005,$A150,請求記録!$Z$6:$Z$3005,P$5,請求記録!$AF$6:$AF$3005,"保留中")&gt;0,"保留",IF(COUNTIFS(請求記録!$B$6:$B$3005,$A150,請求記録!$Z$6:$Z$3005,P$5)=0,"",SUMIFS(請求記録!$AE$6:$AE$3005,請求記録!$B$6:$B$3005,$A150,請求記録!$Z$6:$Z$3005,P$5))))</f>
        <v/>
      </c>
      <c r="Q150" s="19">
        <f>IF($A150="","",IF(COUNTIFS(請求記録!$B$6:$B$3005,$A150,請求記録!$Z$6:$Z$3005,Q$5,請求記録!$AF$6:$AF$3005,"保留中")&gt;0,"保留",IF(COUNTIFS(請求記録!$B$6:$B$3005,$A150,請求記録!$Z$6:$Z$3005,Q$5)=0,"",SUMIFS(請求記録!$AE$6:$AE$3005,請求記録!$B$6:$B$3005,$A150,請求記録!$Z$6:$Z$3005,Q$5))))</f>
        <v/>
      </c>
      <c r="R150" s="19">
        <f>IF($A150="","",IF(COUNTIFS(請求記録!$B$6:$B$3005,$A150,請求記録!$Z$6:$Z$3005,R$5,請求記録!$AF$6:$AF$3005,"保留中")&gt;0,"保留",IF(COUNTIFS(請求記録!$B$6:$B$3005,$A150,請求記録!$Z$6:$Z$3005,R$5)=0,"",SUMIFS(請求記録!$AE$6:$AE$3005,請求記録!$B$6:$B$3005,$A150,請求記録!$Z$6:$Z$3005,R$5))))</f>
        <v/>
      </c>
      <c r="S150" s="19">
        <f>IF($A150="","",IF(COUNTIFS(請求記録!$B$6:$B$3005,$A150,請求記録!$Z$6:$Z$3005,S$5,請求記録!$AF$6:$AF$3005,"保留中")&gt;0,"保留",IF(COUNTIFS(請求記録!$B$6:$B$3005,$A150,請求記録!$Z$6:$Z$3005,S$5)=0,"",SUMIFS(請求記録!$AE$6:$AE$3005,請求記録!$B$6:$B$3005,$A150,請求記録!$Z$6:$Z$3005,S$5))))</f>
        <v/>
      </c>
      <c r="T150" s="19">
        <f>IF($A150="","",IF(COUNTIFS(請求記録!$B$6:$B$3005,$A150,請求記録!$Z$6:$Z$3005,T$5,請求記録!$AF$6:$AF$3005,"保留中")&gt;0,"保留",IF(COUNTIFS(請求記録!$B$6:$B$3005,$A150,請求記録!$Z$6:$Z$3005,T$5)=0,"",SUMIFS(請求記録!$AE$6:$AE$3005,請求記録!$B$6:$B$3005,$A150,請求記録!$Z$6:$Z$3005,T$5))))</f>
        <v/>
      </c>
      <c r="U150" s="19">
        <f>IF($A150="","",IF(COUNTIFS(請求記録!$B$6:$B$3005,$A150,請求記録!$Z$6:$Z$3005,U$5,請求記録!$AF$6:$AF$3005,"保留中")&gt;0,"保留",IF(COUNTIFS(請求記録!$B$6:$B$3005,$A150,請求記録!$Z$6:$Z$3005,U$5)=0,"",SUMIFS(請求記録!$AE$6:$AE$3005,請求記録!$B$6:$B$3005,$A150,請求記録!$Z$6:$Z$3005,U$5))))</f>
        <v/>
      </c>
      <c r="V150" s="19">
        <f>IF($A150="","",IF(COUNTIFS(請求記録!$B$6:$B$3005,$A150,請求記録!$Z$6:$Z$3005,V$5,請求記録!$AF$6:$AF$3005,"保留中")&gt;0,"保留",IF(COUNTIFS(請求記録!$B$6:$B$3005,$A150,請求記録!$Z$6:$Z$3005,V$5)=0,"",SUMIFS(請求記録!$AE$6:$AE$3005,請求記録!$B$6:$B$3005,$A150,請求記録!$Z$6:$Z$3005,V$5))))</f>
        <v/>
      </c>
      <c r="W150" s="19">
        <f>IF($A150="","",IF(COUNTIFS(請求記録!$B$6:$B$3005,$A150,請求記録!$Z$6:$Z$3005,W$5,請求記録!$AF$6:$AF$3005,"保留中")&gt;0,"保留",IF(COUNTIFS(請求記録!$B$6:$B$3005,$A150,請求記録!$Z$6:$Z$3005,W$5)=0,"",SUMIFS(請求記録!$AE$6:$AE$3005,請求記録!$B$6:$B$3005,$A150,請求記録!$Z$6:$Z$3005,W$5))))</f>
        <v/>
      </c>
      <c r="X150" s="19">
        <f>IF($A150="","",IF(COUNTIFS(請求記録!$B$6:$B$3005,$A150,請求記録!$Z$6:$Z$3005,X$5,請求記録!$AF$6:$AF$3005,"保留中")&gt;0,"保留",IF(COUNTIFS(請求記録!$B$6:$B$3005,$A150,請求記録!$Z$6:$Z$3005,X$5)=0,"",SUMIFS(請求記録!$AE$6:$AE$3005,請求記録!$B$6:$B$3005,$A150,請求記録!$Z$6:$Z$3005,X$5))))</f>
        <v/>
      </c>
      <c r="Y150" s="19">
        <f>IF($A150="","",IF(COUNTIFS(請求記録!$B$6:$B$3005,$A150,請求記録!$Z$6:$Z$3005,Y$5,請求記録!$AF$6:$AF$3005,"保留中")&gt;0,"保留",IF(COUNTIFS(請求記録!$B$6:$B$3005,$A150,請求記録!$Z$6:$Z$3005,Y$5)=0,"",SUMIFS(請求記録!$AE$6:$AE$3005,請求記録!$B$6:$B$3005,$A150,請求記録!$Z$6:$Z$3005,Y$5))))</f>
        <v/>
      </c>
      <c r="Z150" s="19">
        <f>IF($A150="","",IF(COUNTIFS(請求記録!$B$6:$B$3005,$A150,請求記録!$Z$6:$Z$3005,Z$5,請求記録!$AF$6:$AF$3005,"保留中")&gt;0,"保留",IF(COUNTIFS(請求記録!$B$6:$B$3005,$A150,請求記録!$Z$6:$Z$3005,Z$5)=0,"",SUMIFS(請求記録!$AE$6:$AE$3005,請求記録!$B$6:$B$3005,$A150,請求記録!$Z$6:$Z$3005,Z$5))))</f>
        <v/>
      </c>
      <c r="AA150" s="19">
        <f>IF($A150="","",IF(COUNTIFS(請求記録!$B$6:$B$3005,$A150,請求記録!$Z$6:$Z$3005,AA$5,請求記録!$AF$6:$AF$3005,"保留中")&gt;0,"保留",IF(COUNTIFS(請求記録!$B$6:$B$3005,$A150,請求記録!$Z$6:$Z$3005,AA$5)=0,"",SUMIFS(請求記録!$AE$6:$AE$3005,請求記録!$B$6:$B$3005,$A150,請求記録!$Z$6:$Z$3005,AA$5))))</f>
        <v/>
      </c>
      <c r="AB150">
        <f>IF(職員マスタ!P150="保留中",職員マスタ!M150,"")</f>
        <v/>
      </c>
    </row>
    <row r="151">
      <c r="A151">
        <f>IF(職員マスタ!A151="","",職員マスタ!A151)</f>
        <v/>
      </c>
      <c r="B151">
        <f>IF($A151="","",職員マスタ!B151)</f>
        <v/>
      </c>
      <c r="C151">
        <f>IF($A151="","",職員マスタ!C151)</f>
        <v/>
      </c>
      <c r="D151" s="19">
        <f>IF($A151="","",IF(COUNTIFS(請求記録!$B$6:$B$3005,$A151,請求記録!$Z$6:$Z$3005,D$5,請求記録!$AF$6:$AF$3005,"保留中")&gt;0,"保留",IF(COUNTIFS(請求記録!$B$6:$B$3005,$A151,請求記録!$Z$6:$Z$3005,D$5)=0,"",SUMIFS(請求記録!$AE$6:$AE$3005,請求記録!$B$6:$B$3005,$A151,請求記録!$Z$6:$Z$3005,D$5))))</f>
        <v/>
      </c>
      <c r="E151" s="19">
        <f>IF($A151="","",IF(COUNTIFS(請求記録!$B$6:$B$3005,$A151,請求記録!$Z$6:$Z$3005,E$5,請求記録!$AF$6:$AF$3005,"保留中")&gt;0,"保留",IF(COUNTIFS(請求記録!$B$6:$B$3005,$A151,請求記録!$Z$6:$Z$3005,E$5)=0,"",SUMIFS(請求記録!$AE$6:$AE$3005,請求記録!$B$6:$B$3005,$A151,請求記録!$Z$6:$Z$3005,E$5))))</f>
        <v/>
      </c>
      <c r="F151" s="19">
        <f>IF($A151="","",IF(COUNTIFS(請求記録!$B$6:$B$3005,$A151,請求記録!$Z$6:$Z$3005,F$5,請求記録!$AF$6:$AF$3005,"保留中")&gt;0,"保留",IF(COUNTIFS(請求記録!$B$6:$B$3005,$A151,請求記録!$Z$6:$Z$3005,F$5)=0,"",SUMIFS(請求記録!$AE$6:$AE$3005,請求記録!$B$6:$B$3005,$A151,請求記録!$Z$6:$Z$3005,F$5))))</f>
        <v/>
      </c>
      <c r="G151" s="19">
        <f>IF($A151="","",IF(COUNTIFS(請求記録!$B$6:$B$3005,$A151,請求記録!$Z$6:$Z$3005,G$5,請求記録!$AF$6:$AF$3005,"保留中")&gt;0,"保留",IF(COUNTIFS(請求記録!$B$6:$B$3005,$A151,請求記録!$Z$6:$Z$3005,G$5)=0,"",SUMIFS(請求記録!$AE$6:$AE$3005,請求記録!$B$6:$B$3005,$A151,請求記録!$Z$6:$Z$3005,G$5))))</f>
        <v/>
      </c>
      <c r="H151" s="19">
        <f>IF($A151="","",IF(COUNTIFS(請求記録!$B$6:$B$3005,$A151,請求記録!$Z$6:$Z$3005,H$5,請求記録!$AF$6:$AF$3005,"保留中")&gt;0,"保留",IF(COUNTIFS(請求記録!$B$6:$B$3005,$A151,請求記録!$Z$6:$Z$3005,H$5)=0,"",SUMIFS(請求記録!$AE$6:$AE$3005,請求記録!$B$6:$B$3005,$A151,請求記録!$Z$6:$Z$3005,H$5))))</f>
        <v/>
      </c>
      <c r="I151" s="19">
        <f>IF($A151="","",IF(COUNTIFS(請求記録!$B$6:$B$3005,$A151,請求記録!$Z$6:$Z$3005,I$5,請求記録!$AF$6:$AF$3005,"保留中")&gt;0,"保留",IF(COUNTIFS(請求記録!$B$6:$B$3005,$A151,請求記録!$Z$6:$Z$3005,I$5)=0,"",SUMIFS(請求記録!$AE$6:$AE$3005,請求記録!$B$6:$B$3005,$A151,請求記録!$Z$6:$Z$3005,I$5))))</f>
        <v/>
      </c>
      <c r="J151" s="19">
        <f>IF($A151="","",IF(COUNTIFS(請求記録!$B$6:$B$3005,$A151,請求記録!$Z$6:$Z$3005,J$5,請求記録!$AF$6:$AF$3005,"保留中")&gt;0,"保留",IF(COUNTIFS(請求記録!$B$6:$B$3005,$A151,請求記録!$Z$6:$Z$3005,J$5)=0,"",SUMIFS(請求記録!$AE$6:$AE$3005,請求記録!$B$6:$B$3005,$A151,請求記録!$Z$6:$Z$3005,J$5))))</f>
        <v/>
      </c>
      <c r="K151" s="19">
        <f>IF($A151="","",IF(COUNTIFS(請求記録!$B$6:$B$3005,$A151,請求記録!$Z$6:$Z$3005,K$5,請求記録!$AF$6:$AF$3005,"保留中")&gt;0,"保留",IF(COUNTIFS(請求記録!$B$6:$B$3005,$A151,請求記録!$Z$6:$Z$3005,K$5)=0,"",SUMIFS(請求記録!$AE$6:$AE$3005,請求記録!$B$6:$B$3005,$A151,請求記録!$Z$6:$Z$3005,K$5))))</f>
        <v/>
      </c>
      <c r="L151" s="19">
        <f>IF($A151="","",IF(COUNTIFS(請求記録!$B$6:$B$3005,$A151,請求記録!$Z$6:$Z$3005,L$5,請求記録!$AF$6:$AF$3005,"保留中")&gt;0,"保留",IF(COUNTIFS(請求記録!$B$6:$B$3005,$A151,請求記録!$Z$6:$Z$3005,L$5)=0,"",SUMIFS(請求記録!$AE$6:$AE$3005,請求記録!$B$6:$B$3005,$A151,請求記録!$Z$6:$Z$3005,L$5))))</f>
        <v/>
      </c>
      <c r="M151" s="19">
        <f>IF($A151="","",IF(COUNTIFS(請求記録!$B$6:$B$3005,$A151,請求記録!$Z$6:$Z$3005,M$5,請求記録!$AF$6:$AF$3005,"保留中")&gt;0,"保留",IF(COUNTIFS(請求記録!$B$6:$B$3005,$A151,請求記録!$Z$6:$Z$3005,M$5)=0,"",SUMIFS(請求記録!$AE$6:$AE$3005,請求記録!$B$6:$B$3005,$A151,請求記録!$Z$6:$Z$3005,M$5))))</f>
        <v/>
      </c>
      <c r="N151" s="19">
        <f>IF($A151="","",IF(COUNTIFS(請求記録!$B$6:$B$3005,$A151,請求記録!$Z$6:$Z$3005,N$5,請求記録!$AF$6:$AF$3005,"保留中")&gt;0,"保留",IF(COUNTIFS(請求記録!$B$6:$B$3005,$A151,請求記録!$Z$6:$Z$3005,N$5)=0,"",SUMIFS(請求記録!$AE$6:$AE$3005,請求記録!$B$6:$B$3005,$A151,請求記録!$Z$6:$Z$3005,N$5))))</f>
        <v/>
      </c>
      <c r="O151" s="19">
        <f>IF($A151="","",IF(COUNTIFS(請求記録!$B$6:$B$3005,$A151,請求記録!$Z$6:$Z$3005,O$5,請求記録!$AF$6:$AF$3005,"保留中")&gt;0,"保留",IF(COUNTIFS(請求記録!$B$6:$B$3005,$A151,請求記録!$Z$6:$Z$3005,O$5)=0,"",SUMIFS(請求記録!$AE$6:$AE$3005,請求記録!$B$6:$B$3005,$A151,請求記録!$Z$6:$Z$3005,O$5))))</f>
        <v/>
      </c>
      <c r="P151" s="19">
        <f>IF($A151="","",IF(COUNTIFS(請求記録!$B$6:$B$3005,$A151,請求記録!$Z$6:$Z$3005,P$5,請求記録!$AF$6:$AF$3005,"保留中")&gt;0,"保留",IF(COUNTIFS(請求記録!$B$6:$B$3005,$A151,請求記録!$Z$6:$Z$3005,P$5)=0,"",SUMIFS(請求記録!$AE$6:$AE$3005,請求記録!$B$6:$B$3005,$A151,請求記録!$Z$6:$Z$3005,P$5))))</f>
        <v/>
      </c>
      <c r="Q151" s="19">
        <f>IF($A151="","",IF(COUNTIFS(請求記録!$B$6:$B$3005,$A151,請求記録!$Z$6:$Z$3005,Q$5,請求記録!$AF$6:$AF$3005,"保留中")&gt;0,"保留",IF(COUNTIFS(請求記録!$B$6:$B$3005,$A151,請求記録!$Z$6:$Z$3005,Q$5)=0,"",SUMIFS(請求記録!$AE$6:$AE$3005,請求記録!$B$6:$B$3005,$A151,請求記録!$Z$6:$Z$3005,Q$5))))</f>
        <v/>
      </c>
      <c r="R151" s="19">
        <f>IF($A151="","",IF(COUNTIFS(請求記録!$B$6:$B$3005,$A151,請求記録!$Z$6:$Z$3005,R$5,請求記録!$AF$6:$AF$3005,"保留中")&gt;0,"保留",IF(COUNTIFS(請求記録!$B$6:$B$3005,$A151,請求記録!$Z$6:$Z$3005,R$5)=0,"",SUMIFS(請求記録!$AE$6:$AE$3005,請求記録!$B$6:$B$3005,$A151,請求記録!$Z$6:$Z$3005,R$5))))</f>
        <v/>
      </c>
      <c r="S151" s="19">
        <f>IF($A151="","",IF(COUNTIFS(請求記録!$B$6:$B$3005,$A151,請求記録!$Z$6:$Z$3005,S$5,請求記録!$AF$6:$AF$3005,"保留中")&gt;0,"保留",IF(COUNTIFS(請求記録!$B$6:$B$3005,$A151,請求記録!$Z$6:$Z$3005,S$5)=0,"",SUMIFS(請求記録!$AE$6:$AE$3005,請求記録!$B$6:$B$3005,$A151,請求記録!$Z$6:$Z$3005,S$5))))</f>
        <v/>
      </c>
      <c r="T151" s="19">
        <f>IF($A151="","",IF(COUNTIFS(請求記録!$B$6:$B$3005,$A151,請求記録!$Z$6:$Z$3005,T$5,請求記録!$AF$6:$AF$3005,"保留中")&gt;0,"保留",IF(COUNTIFS(請求記録!$B$6:$B$3005,$A151,請求記録!$Z$6:$Z$3005,T$5)=0,"",SUMIFS(請求記録!$AE$6:$AE$3005,請求記録!$B$6:$B$3005,$A151,請求記録!$Z$6:$Z$3005,T$5))))</f>
        <v/>
      </c>
      <c r="U151" s="19">
        <f>IF($A151="","",IF(COUNTIFS(請求記録!$B$6:$B$3005,$A151,請求記録!$Z$6:$Z$3005,U$5,請求記録!$AF$6:$AF$3005,"保留中")&gt;0,"保留",IF(COUNTIFS(請求記録!$B$6:$B$3005,$A151,請求記録!$Z$6:$Z$3005,U$5)=0,"",SUMIFS(請求記録!$AE$6:$AE$3005,請求記録!$B$6:$B$3005,$A151,請求記録!$Z$6:$Z$3005,U$5))))</f>
        <v/>
      </c>
      <c r="V151" s="19">
        <f>IF($A151="","",IF(COUNTIFS(請求記録!$B$6:$B$3005,$A151,請求記録!$Z$6:$Z$3005,V$5,請求記録!$AF$6:$AF$3005,"保留中")&gt;0,"保留",IF(COUNTIFS(請求記録!$B$6:$B$3005,$A151,請求記録!$Z$6:$Z$3005,V$5)=0,"",SUMIFS(請求記録!$AE$6:$AE$3005,請求記録!$B$6:$B$3005,$A151,請求記録!$Z$6:$Z$3005,V$5))))</f>
        <v/>
      </c>
      <c r="W151" s="19">
        <f>IF($A151="","",IF(COUNTIFS(請求記録!$B$6:$B$3005,$A151,請求記録!$Z$6:$Z$3005,W$5,請求記録!$AF$6:$AF$3005,"保留中")&gt;0,"保留",IF(COUNTIFS(請求記録!$B$6:$B$3005,$A151,請求記録!$Z$6:$Z$3005,W$5)=0,"",SUMIFS(請求記録!$AE$6:$AE$3005,請求記録!$B$6:$B$3005,$A151,請求記録!$Z$6:$Z$3005,W$5))))</f>
        <v/>
      </c>
      <c r="X151" s="19">
        <f>IF($A151="","",IF(COUNTIFS(請求記録!$B$6:$B$3005,$A151,請求記録!$Z$6:$Z$3005,X$5,請求記録!$AF$6:$AF$3005,"保留中")&gt;0,"保留",IF(COUNTIFS(請求記録!$B$6:$B$3005,$A151,請求記録!$Z$6:$Z$3005,X$5)=0,"",SUMIFS(請求記録!$AE$6:$AE$3005,請求記録!$B$6:$B$3005,$A151,請求記録!$Z$6:$Z$3005,X$5))))</f>
        <v/>
      </c>
      <c r="Y151" s="19">
        <f>IF($A151="","",IF(COUNTIFS(請求記録!$B$6:$B$3005,$A151,請求記録!$Z$6:$Z$3005,Y$5,請求記録!$AF$6:$AF$3005,"保留中")&gt;0,"保留",IF(COUNTIFS(請求記録!$B$6:$B$3005,$A151,請求記録!$Z$6:$Z$3005,Y$5)=0,"",SUMIFS(請求記録!$AE$6:$AE$3005,請求記録!$B$6:$B$3005,$A151,請求記録!$Z$6:$Z$3005,Y$5))))</f>
        <v/>
      </c>
      <c r="Z151" s="19">
        <f>IF($A151="","",IF(COUNTIFS(請求記録!$B$6:$B$3005,$A151,請求記録!$Z$6:$Z$3005,Z$5,請求記録!$AF$6:$AF$3005,"保留中")&gt;0,"保留",IF(COUNTIFS(請求記録!$B$6:$B$3005,$A151,請求記録!$Z$6:$Z$3005,Z$5)=0,"",SUMIFS(請求記録!$AE$6:$AE$3005,請求記録!$B$6:$B$3005,$A151,請求記録!$Z$6:$Z$3005,Z$5))))</f>
        <v/>
      </c>
      <c r="AA151" s="19">
        <f>IF($A151="","",IF(COUNTIFS(請求記録!$B$6:$B$3005,$A151,請求記録!$Z$6:$Z$3005,AA$5,請求記録!$AF$6:$AF$3005,"保留中")&gt;0,"保留",IF(COUNTIFS(請求記録!$B$6:$B$3005,$A151,請求記録!$Z$6:$Z$3005,AA$5)=0,"",SUMIFS(請求記録!$AE$6:$AE$3005,請求記録!$B$6:$B$3005,$A151,請求記録!$Z$6:$Z$3005,AA$5))))</f>
        <v/>
      </c>
      <c r="AB151">
        <f>IF(職員マスタ!P151="保留中",職員マスタ!M151,"")</f>
        <v/>
      </c>
    </row>
    <row r="152">
      <c r="A152">
        <f>IF(職員マスタ!A152="","",職員マスタ!A152)</f>
        <v/>
      </c>
      <c r="B152">
        <f>IF($A152="","",職員マスタ!B152)</f>
        <v/>
      </c>
      <c r="C152">
        <f>IF($A152="","",職員マスタ!C152)</f>
        <v/>
      </c>
      <c r="D152" s="19">
        <f>IF($A152="","",IF(COUNTIFS(請求記録!$B$6:$B$3005,$A152,請求記録!$Z$6:$Z$3005,D$5,請求記録!$AF$6:$AF$3005,"保留中")&gt;0,"保留",IF(COUNTIFS(請求記録!$B$6:$B$3005,$A152,請求記録!$Z$6:$Z$3005,D$5)=0,"",SUMIFS(請求記録!$AE$6:$AE$3005,請求記録!$B$6:$B$3005,$A152,請求記録!$Z$6:$Z$3005,D$5))))</f>
        <v/>
      </c>
      <c r="E152" s="19">
        <f>IF($A152="","",IF(COUNTIFS(請求記録!$B$6:$B$3005,$A152,請求記録!$Z$6:$Z$3005,E$5,請求記録!$AF$6:$AF$3005,"保留中")&gt;0,"保留",IF(COUNTIFS(請求記録!$B$6:$B$3005,$A152,請求記録!$Z$6:$Z$3005,E$5)=0,"",SUMIFS(請求記録!$AE$6:$AE$3005,請求記録!$B$6:$B$3005,$A152,請求記録!$Z$6:$Z$3005,E$5))))</f>
        <v/>
      </c>
      <c r="F152" s="19">
        <f>IF($A152="","",IF(COUNTIFS(請求記録!$B$6:$B$3005,$A152,請求記録!$Z$6:$Z$3005,F$5,請求記録!$AF$6:$AF$3005,"保留中")&gt;0,"保留",IF(COUNTIFS(請求記録!$B$6:$B$3005,$A152,請求記録!$Z$6:$Z$3005,F$5)=0,"",SUMIFS(請求記録!$AE$6:$AE$3005,請求記録!$B$6:$B$3005,$A152,請求記録!$Z$6:$Z$3005,F$5))))</f>
        <v/>
      </c>
      <c r="G152" s="19">
        <f>IF($A152="","",IF(COUNTIFS(請求記録!$B$6:$B$3005,$A152,請求記録!$Z$6:$Z$3005,G$5,請求記録!$AF$6:$AF$3005,"保留中")&gt;0,"保留",IF(COUNTIFS(請求記録!$B$6:$B$3005,$A152,請求記録!$Z$6:$Z$3005,G$5)=0,"",SUMIFS(請求記録!$AE$6:$AE$3005,請求記録!$B$6:$B$3005,$A152,請求記録!$Z$6:$Z$3005,G$5))))</f>
        <v/>
      </c>
      <c r="H152" s="19">
        <f>IF($A152="","",IF(COUNTIFS(請求記録!$B$6:$B$3005,$A152,請求記録!$Z$6:$Z$3005,H$5,請求記録!$AF$6:$AF$3005,"保留中")&gt;0,"保留",IF(COUNTIFS(請求記録!$B$6:$B$3005,$A152,請求記録!$Z$6:$Z$3005,H$5)=0,"",SUMIFS(請求記録!$AE$6:$AE$3005,請求記録!$B$6:$B$3005,$A152,請求記録!$Z$6:$Z$3005,H$5))))</f>
        <v/>
      </c>
      <c r="I152" s="19">
        <f>IF($A152="","",IF(COUNTIFS(請求記録!$B$6:$B$3005,$A152,請求記録!$Z$6:$Z$3005,I$5,請求記録!$AF$6:$AF$3005,"保留中")&gt;0,"保留",IF(COUNTIFS(請求記録!$B$6:$B$3005,$A152,請求記録!$Z$6:$Z$3005,I$5)=0,"",SUMIFS(請求記録!$AE$6:$AE$3005,請求記録!$B$6:$B$3005,$A152,請求記録!$Z$6:$Z$3005,I$5))))</f>
        <v/>
      </c>
      <c r="J152" s="19">
        <f>IF($A152="","",IF(COUNTIFS(請求記録!$B$6:$B$3005,$A152,請求記録!$Z$6:$Z$3005,J$5,請求記録!$AF$6:$AF$3005,"保留中")&gt;0,"保留",IF(COUNTIFS(請求記録!$B$6:$B$3005,$A152,請求記録!$Z$6:$Z$3005,J$5)=0,"",SUMIFS(請求記録!$AE$6:$AE$3005,請求記録!$B$6:$B$3005,$A152,請求記録!$Z$6:$Z$3005,J$5))))</f>
        <v/>
      </c>
      <c r="K152" s="19">
        <f>IF($A152="","",IF(COUNTIFS(請求記録!$B$6:$B$3005,$A152,請求記録!$Z$6:$Z$3005,K$5,請求記録!$AF$6:$AF$3005,"保留中")&gt;0,"保留",IF(COUNTIFS(請求記録!$B$6:$B$3005,$A152,請求記録!$Z$6:$Z$3005,K$5)=0,"",SUMIFS(請求記録!$AE$6:$AE$3005,請求記録!$B$6:$B$3005,$A152,請求記録!$Z$6:$Z$3005,K$5))))</f>
        <v/>
      </c>
      <c r="L152" s="19">
        <f>IF($A152="","",IF(COUNTIFS(請求記録!$B$6:$B$3005,$A152,請求記録!$Z$6:$Z$3005,L$5,請求記録!$AF$6:$AF$3005,"保留中")&gt;0,"保留",IF(COUNTIFS(請求記録!$B$6:$B$3005,$A152,請求記録!$Z$6:$Z$3005,L$5)=0,"",SUMIFS(請求記録!$AE$6:$AE$3005,請求記録!$B$6:$B$3005,$A152,請求記録!$Z$6:$Z$3005,L$5))))</f>
        <v/>
      </c>
      <c r="M152" s="19">
        <f>IF($A152="","",IF(COUNTIFS(請求記録!$B$6:$B$3005,$A152,請求記録!$Z$6:$Z$3005,M$5,請求記録!$AF$6:$AF$3005,"保留中")&gt;0,"保留",IF(COUNTIFS(請求記録!$B$6:$B$3005,$A152,請求記録!$Z$6:$Z$3005,M$5)=0,"",SUMIFS(請求記録!$AE$6:$AE$3005,請求記録!$B$6:$B$3005,$A152,請求記録!$Z$6:$Z$3005,M$5))))</f>
        <v/>
      </c>
      <c r="N152" s="19">
        <f>IF($A152="","",IF(COUNTIFS(請求記録!$B$6:$B$3005,$A152,請求記録!$Z$6:$Z$3005,N$5,請求記録!$AF$6:$AF$3005,"保留中")&gt;0,"保留",IF(COUNTIFS(請求記録!$B$6:$B$3005,$A152,請求記録!$Z$6:$Z$3005,N$5)=0,"",SUMIFS(請求記録!$AE$6:$AE$3005,請求記録!$B$6:$B$3005,$A152,請求記録!$Z$6:$Z$3005,N$5))))</f>
        <v/>
      </c>
      <c r="O152" s="19">
        <f>IF($A152="","",IF(COUNTIFS(請求記録!$B$6:$B$3005,$A152,請求記録!$Z$6:$Z$3005,O$5,請求記録!$AF$6:$AF$3005,"保留中")&gt;0,"保留",IF(COUNTIFS(請求記録!$B$6:$B$3005,$A152,請求記録!$Z$6:$Z$3005,O$5)=0,"",SUMIFS(請求記録!$AE$6:$AE$3005,請求記録!$B$6:$B$3005,$A152,請求記録!$Z$6:$Z$3005,O$5))))</f>
        <v/>
      </c>
      <c r="P152" s="19">
        <f>IF($A152="","",IF(COUNTIFS(請求記録!$B$6:$B$3005,$A152,請求記録!$Z$6:$Z$3005,P$5,請求記録!$AF$6:$AF$3005,"保留中")&gt;0,"保留",IF(COUNTIFS(請求記録!$B$6:$B$3005,$A152,請求記録!$Z$6:$Z$3005,P$5)=0,"",SUMIFS(請求記録!$AE$6:$AE$3005,請求記録!$B$6:$B$3005,$A152,請求記録!$Z$6:$Z$3005,P$5))))</f>
        <v/>
      </c>
      <c r="Q152" s="19">
        <f>IF($A152="","",IF(COUNTIFS(請求記録!$B$6:$B$3005,$A152,請求記録!$Z$6:$Z$3005,Q$5,請求記録!$AF$6:$AF$3005,"保留中")&gt;0,"保留",IF(COUNTIFS(請求記録!$B$6:$B$3005,$A152,請求記録!$Z$6:$Z$3005,Q$5)=0,"",SUMIFS(請求記録!$AE$6:$AE$3005,請求記録!$B$6:$B$3005,$A152,請求記録!$Z$6:$Z$3005,Q$5))))</f>
        <v/>
      </c>
      <c r="R152" s="19">
        <f>IF($A152="","",IF(COUNTIFS(請求記録!$B$6:$B$3005,$A152,請求記録!$Z$6:$Z$3005,R$5,請求記録!$AF$6:$AF$3005,"保留中")&gt;0,"保留",IF(COUNTIFS(請求記録!$B$6:$B$3005,$A152,請求記録!$Z$6:$Z$3005,R$5)=0,"",SUMIFS(請求記録!$AE$6:$AE$3005,請求記録!$B$6:$B$3005,$A152,請求記録!$Z$6:$Z$3005,R$5))))</f>
        <v/>
      </c>
      <c r="S152" s="19">
        <f>IF($A152="","",IF(COUNTIFS(請求記録!$B$6:$B$3005,$A152,請求記録!$Z$6:$Z$3005,S$5,請求記録!$AF$6:$AF$3005,"保留中")&gt;0,"保留",IF(COUNTIFS(請求記録!$B$6:$B$3005,$A152,請求記録!$Z$6:$Z$3005,S$5)=0,"",SUMIFS(請求記録!$AE$6:$AE$3005,請求記録!$B$6:$B$3005,$A152,請求記録!$Z$6:$Z$3005,S$5))))</f>
        <v/>
      </c>
      <c r="T152" s="19">
        <f>IF($A152="","",IF(COUNTIFS(請求記録!$B$6:$B$3005,$A152,請求記録!$Z$6:$Z$3005,T$5,請求記録!$AF$6:$AF$3005,"保留中")&gt;0,"保留",IF(COUNTIFS(請求記録!$B$6:$B$3005,$A152,請求記録!$Z$6:$Z$3005,T$5)=0,"",SUMIFS(請求記録!$AE$6:$AE$3005,請求記録!$B$6:$B$3005,$A152,請求記録!$Z$6:$Z$3005,T$5))))</f>
        <v/>
      </c>
      <c r="U152" s="19">
        <f>IF($A152="","",IF(COUNTIFS(請求記録!$B$6:$B$3005,$A152,請求記録!$Z$6:$Z$3005,U$5,請求記録!$AF$6:$AF$3005,"保留中")&gt;0,"保留",IF(COUNTIFS(請求記録!$B$6:$B$3005,$A152,請求記録!$Z$6:$Z$3005,U$5)=0,"",SUMIFS(請求記録!$AE$6:$AE$3005,請求記録!$B$6:$B$3005,$A152,請求記録!$Z$6:$Z$3005,U$5))))</f>
        <v/>
      </c>
      <c r="V152" s="19">
        <f>IF($A152="","",IF(COUNTIFS(請求記録!$B$6:$B$3005,$A152,請求記録!$Z$6:$Z$3005,V$5,請求記録!$AF$6:$AF$3005,"保留中")&gt;0,"保留",IF(COUNTIFS(請求記録!$B$6:$B$3005,$A152,請求記録!$Z$6:$Z$3005,V$5)=0,"",SUMIFS(請求記録!$AE$6:$AE$3005,請求記録!$B$6:$B$3005,$A152,請求記録!$Z$6:$Z$3005,V$5))))</f>
        <v/>
      </c>
      <c r="W152" s="19">
        <f>IF($A152="","",IF(COUNTIFS(請求記録!$B$6:$B$3005,$A152,請求記録!$Z$6:$Z$3005,W$5,請求記録!$AF$6:$AF$3005,"保留中")&gt;0,"保留",IF(COUNTIFS(請求記録!$B$6:$B$3005,$A152,請求記録!$Z$6:$Z$3005,W$5)=0,"",SUMIFS(請求記録!$AE$6:$AE$3005,請求記録!$B$6:$B$3005,$A152,請求記録!$Z$6:$Z$3005,W$5))))</f>
        <v/>
      </c>
      <c r="X152" s="19">
        <f>IF($A152="","",IF(COUNTIFS(請求記録!$B$6:$B$3005,$A152,請求記録!$Z$6:$Z$3005,X$5,請求記録!$AF$6:$AF$3005,"保留中")&gt;0,"保留",IF(COUNTIFS(請求記録!$B$6:$B$3005,$A152,請求記録!$Z$6:$Z$3005,X$5)=0,"",SUMIFS(請求記録!$AE$6:$AE$3005,請求記録!$B$6:$B$3005,$A152,請求記録!$Z$6:$Z$3005,X$5))))</f>
        <v/>
      </c>
      <c r="Y152" s="19">
        <f>IF($A152="","",IF(COUNTIFS(請求記録!$B$6:$B$3005,$A152,請求記録!$Z$6:$Z$3005,Y$5,請求記録!$AF$6:$AF$3005,"保留中")&gt;0,"保留",IF(COUNTIFS(請求記録!$B$6:$B$3005,$A152,請求記録!$Z$6:$Z$3005,Y$5)=0,"",SUMIFS(請求記録!$AE$6:$AE$3005,請求記録!$B$6:$B$3005,$A152,請求記録!$Z$6:$Z$3005,Y$5))))</f>
        <v/>
      </c>
      <c r="Z152" s="19">
        <f>IF($A152="","",IF(COUNTIFS(請求記録!$B$6:$B$3005,$A152,請求記録!$Z$6:$Z$3005,Z$5,請求記録!$AF$6:$AF$3005,"保留中")&gt;0,"保留",IF(COUNTIFS(請求記録!$B$6:$B$3005,$A152,請求記録!$Z$6:$Z$3005,Z$5)=0,"",SUMIFS(請求記録!$AE$6:$AE$3005,請求記録!$B$6:$B$3005,$A152,請求記録!$Z$6:$Z$3005,Z$5))))</f>
        <v/>
      </c>
      <c r="AA152" s="19">
        <f>IF($A152="","",IF(COUNTIFS(請求記録!$B$6:$B$3005,$A152,請求記録!$Z$6:$Z$3005,AA$5,請求記録!$AF$6:$AF$3005,"保留中")&gt;0,"保留",IF(COUNTIFS(請求記録!$B$6:$B$3005,$A152,請求記録!$Z$6:$Z$3005,AA$5)=0,"",SUMIFS(請求記録!$AE$6:$AE$3005,請求記録!$B$6:$B$3005,$A152,請求記録!$Z$6:$Z$3005,AA$5))))</f>
        <v/>
      </c>
      <c r="AB152">
        <f>IF(職員マスタ!P152="保留中",職員マスタ!M152,"")</f>
        <v/>
      </c>
    </row>
    <row r="153">
      <c r="A153">
        <f>IF(職員マスタ!A153="","",職員マスタ!A153)</f>
        <v/>
      </c>
      <c r="B153">
        <f>IF($A153="","",職員マスタ!B153)</f>
        <v/>
      </c>
      <c r="C153">
        <f>IF($A153="","",職員マスタ!C153)</f>
        <v/>
      </c>
      <c r="D153" s="19">
        <f>IF($A153="","",IF(COUNTIFS(請求記録!$B$6:$B$3005,$A153,請求記録!$Z$6:$Z$3005,D$5,請求記録!$AF$6:$AF$3005,"保留中")&gt;0,"保留",IF(COUNTIFS(請求記録!$B$6:$B$3005,$A153,請求記録!$Z$6:$Z$3005,D$5)=0,"",SUMIFS(請求記録!$AE$6:$AE$3005,請求記録!$B$6:$B$3005,$A153,請求記録!$Z$6:$Z$3005,D$5))))</f>
        <v/>
      </c>
      <c r="E153" s="19">
        <f>IF($A153="","",IF(COUNTIFS(請求記録!$B$6:$B$3005,$A153,請求記録!$Z$6:$Z$3005,E$5,請求記録!$AF$6:$AF$3005,"保留中")&gt;0,"保留",IF(COUNTIFS(請求記録!$B$6:$B$3005,$A153,請求記録!$Z$6:$Z$3005,E$5)=0,"",SUMIFS(請求記録!$AE$6:$AE$3005,請求記録!$B$6:$B$3005,$A153,請求記録!$Z$6:$Z$3005,E$5))))</f>
        <v/>
      </c>
      <c r="F153" s="19">
        <f>IF($A153="","",IF(COUNTIFS(請求記録!$B$6:$B$3005,$A153,請求記録!$Z$6:$Z$3005,F$5,請求記録!$AF$6:$AF$3005,"保留中")&gt;0,"保留",IF(COUNTIFS(請求記録!$B$6:$B$3005,$A153,請求記録!$Z$6:$Z$3005,F$5)=0,"",SUMIFS(請求記録!$AE$6:$AE$3005,請求記録!$B$6:$B$3005,$A153,請求記録!$Z$6:$Z$3005,F$5))))</f>
        <v/>
      </c>
      <c r="G153" s="19">
        <f>IF($A153="","",IF(COUNTIFS(請求記録!$B$6:$B$3005,$A153,請求記録!$Z$6:$Z$3005,G$5,請求記録!$AF$6:$AF$3005,"保留中")&gt;0,"保留",IF(COUNTIFS(請求記録!$B$6:$B$3005,$A153,請求記録!$Z$6:$Z$3005,G$5)=0,"",SUMIFS(請求記録!$AE$6:$AE$3005,請求記録!$B$6:$B$3005,$A153,請求記録!$Z$6:$Z$3005,G$5))))</f>
        <v/>
      </c>
      <c r="H153" s="19">
        <f>IF($A153="","",IF(COUNTIFS(請求記録!$B$6:$B$3005,$A153,請求記録!$Z$6:$Z$3005,H$5,請求記録!$AF$6:$AF$3005,"保留中")&gt;0,"保留",IF(COUNTIFS(請求記録!$B$6:$B$3005,$A153,請求記録!$Z$6:$Z$3005,H$5)=0,"",SUMIFS(請求記録!$AE$6:$AE$3005,請求記録!$B$6:$B$3005,$A153,請求記録!$Z$6:$Z$3005,H$5))))</f>
        <v/>
      </c>
      <c r="I153" s="19">
        <f>IF($A153="","",IF(COUNTIFS(請求記録!$B$6:$B$3005,$A153,請求記録!$Z$6:$Z$3005,I$5,請求記録!$AF$6:$AF$3005,"保留中")&gt;0,"保留",IF(COUNTIFS(請求記録!$B$6:$B$3005,$A153,請求記録!$Z$6:$Z$3005,I$5)=0,"",SUMIFS(請求記録!$AE$6:$AE$3005,請求記録!$B$6:$B$3005,$A153,請求記録!$Z$6:$Z$3005,I$5))))</f>
        <v/>
      </c>
      <c r="J153" s="19">
        <f>IF($A153="","",IF(COUNTIFS(請求記録!$B$6:$B$3005,$A153,請求記録!$Z$6:$Z$3005,J$5,請求記録!$AF$6:$AF$3005,"保留中")&gt;0,"保留",IF(COUNTIFS(請求記録!$B$6:$B$3005,$A153,請求記録!$Z$6:$Z$3005,J$5)=0,"",SUMIFS(請求記録!$AE$6:$AE$3005,請求記録!$B$6:$B$3005,$A153,請求記録!$Z$6:$Z$3005,J$5))))</f>
        <v/>
      </c>
      <c r="K153" s="19">
        <f>IF($A153="","",IF(COUNTIFS(請求記録!$B$6:$B$3005,$A153,請求記録!$Z$6:$Z$3005,K$5,請求記録!$AF$6:$AF$3005,"保留中")&gt;0,"保留",IF(COUNTIFS(請求記録!$B$6:$B$3005,$A153,請求記録!$Z$6:$Z$3005,K$5)=0,"",SUMIFS(請求記録!$AE$6:$AE$3005,請求記録!$B$6:$B$3005,$A153,請求記録!$Z$6:$Z$3005,K$5))))</f>
        <v/>
      </c>
      <c r="L153" s="19">
        <f>IF($A153="","",IF(COUNTIFS(請求記録!$B$6:$B$3005,$A153,請求記録!$Z$6:$Z$3005,L$5,請求記録!$AF$6:$AF$3005,"保留中")&gt;0,"保留",IF(COUNTIFS(請求記録!$B$6:$B$3005,$A153,請求記録!$Z$6:$Z$3005,L$5)=0,"",SUMIFS(請求記録!$AE$6:$AE$3005,請求記録!$B$6:$B$3005,$A153,請求記録!$Z$6:$Z$3005,L$5))))</f>
        <v/>
      </c>
      <c r="M153" s="19">
        <f>IF($A153="","",IF(COUNTIFS(請求記録!$B$6:$B$3005,$A153,請求記録!$Z$6:$Z$3005,M$5,請求記録!$AF$6:$AF$3005,"保留中")&gt;0,"保留",IF(COUNTIFS(請求記録!$B$6:$B$3005,$A153,請求記録!$Z$6:$Z$3005,M$5)=0,"",SUMIFS(請求記録!$AE$6:$AE$3005,請求記録!$B$6:$B$3005,$A153,請求記録!$Z$6:$Z$3005,M$5))))</f>
        <v/>
      </c>
      <c r="N153" s="19">
        <f>IF($A153="","",IF(COUNTIFS(請求記録!$B$6:$B$3005,$A153,請求記録!$Z$6:$Z$3005,N$5,請求記録!$AF$6:$AF$3005,"保留中")&gt;0,"保留",IF(COUNTIFS(請求記録!$B$6:$B$3005,$A153,請求記録!$Z$6:$Z$3005,N$5)=0,"",SUMIFS(請求記録!$AE$6:$AE$3005,請求記録!$B$6:$B$3005,$A153,請求記録!$Z$6:$Z$3005,N$5))))</f>
        <v/>
      </c>
      <c r="O153" s="19">
        <f>IF($A153="","",IF(COUNTIFS(請求記録!$B$6:$B$3005,$A153,請求記録!$Z$6:$Z$3005,O$5,請求記録!$AF$6:$AF$3005,"保留中")&gt;0,"保留",IF(COUNTIFS(請求記録!$B$6:$B$3005,$A153,請求記録!$Z$6:$Z$3005,O$5)=0,"",SUMIFS(請求記録!$AE$6:$AE$3005,請求記録!$B$6:$B$3005,$A153,請求記録!$Z$6:$Z$3005,O$5))))</f>
        <v/>
      </c>
      <c r="P153" s="19">
        <f>IF($A153="","",IF(COUNTIFS(請求記録!$B$6:$B$3005,$A153,請求記録!$Z$6:$Z$3005,P$5,請求記録!$AF$6:$AF$3005,"保留中")&gt;0,"保留",IF(COUNTIFS(請求記録!$B$6:$B$3005,$A153,請求記録!$Z$6:$Z$3005,P$5)=0,"",SUMIFS(請求記録!$AE$6:$AE$3005,請求記録!$B$6:$B$3005,$A153,請求記録!$Z$6:$Z$3005,P$5))))</f>
        <v/>
      </c>
      <c r="Q153" s="19">
        <f>IF($A153="","",IF(COUNTIFS(請求記録!$B$6:$B$3005,$A153,請求記録!$Z$6:$Z$3005,Q$5,請求記録!$AF$6:$AF$3005,"保留中")&gt;0,"保留",IF(COUNTIFS(請求記録!$B$6:$B$3005,$A153,請求記録!$Z$6:$Z$3005,Q$5)=0,"",SUMIFS(請求記録!$AE$6:$AE$3005,請求記録!$B$6:$B$3005,$A153,請求記録!$Z$6:$Z$3005,Q$5))))</f>
        <v/>
      </c>
      <c r="R153" s="19">
        <f>IF($A153="","",IF(COUNTIFS(請求記録!$B$6:$B$3005,$A153,請求記録!$Z$6:$Z$3005,R$5,請求記録!$AF$6:$AF$3005,"保留中")&gt;0,"保留",IF(COUNTIFS(請求記録!$B$6:$B$3005,$A153,請求記録!$Z$6:$Z$3005,R$5)=0,"",SUMIFS(請求記録!$AE$6:$AE$3005,請求記録!$B$6:$B$3005,$A153,請求記録!$Z$6:$Z$3005,R$5))))</f>
        <v/>
      </c>
      <c r="S153" s="19">
        <f>IF($A153="","",IF(COUNTIFS(請求記録!$B$6:$B$3005,$A153,請求記録!$Z$6:$Z$3005,S$5,請求記録!$AF$6:$AF$3005,"保留中")&gt;0,"保留",IF(COUNTIFS(請求記録!$B$6:$B$3005,$A153,請求記録!$Z$6:$Z$3005,S$5)=0,"",SUMIFS(請求記録!$AE$6:$AE$3005,請求記録!$B$6:$B$3005,$A153,請求記録!$Z$6:$Z$3005,S$5))))</f>
        <v/>
      </c>
      <c r="T153" s="19">
        <f>IF($A153="","",IF(COUNTIFS(請求記録!$B$6:$B$3005,$A153,請求記録!$Z$6:$Z$3005,T$5,請求記録!$AF$6:$AF$3005,"保留中")&gt;0,"保留",IF(COUNTIFS(請求記録!$B$6:$B$3005,$A153,請求記録!$Z$6:$Z$3005,T$5)=0,"",SUMIFS(請求記録!$AE$6:$AE$3005,請求記録!$B$6:$B$3005,$A153,請求記録!$Z$6:$Z$3005,T$5))))</f>
        <v/>
      </c>
      <c r="U153" s="19">
        <f>IF($A153="","",IF(COUNTIFS(請求記録!$B$6:$B$3005,$A153,請求記録!$Z$6:$Z$3005,U$5,請求記録!$AF$6:$AF$3005,"保留中")&gt;0,"保留",IF(COUNTIFS(請求記録!$B$6:$B$3005,$A153,請求記録!$Z$6:$Z$3005,U$5)=0,"",SUMIFS(請求記録!$AE$6:$AE$3005,請求記録!$B$6:$B$3005,$A153,請求記録!$Z$6:$Z$3005,U$5))))</f>
        <v/>
      </c>
      <c r="V153" s="19">
        <f>IF($A153="","",IF(COUNTIFS(請求記録!$B$6:$B$3005,$A153,請求記録!$Z$6:$Z$3005,V$5,請求記録!$AF$6:$AF$3005,"保留中")&gt;0,"保留",IF(COUNTIFS(請求記録!$B$6:$B$3005,$A153,請求記録!$Z$6:$Z$3005,V$5)=0,"",SUMIFS(請求記録!$AE$6:$AE$3005,請求記録!$B$6:$B$3005,$A153,請求記録!$Z$6:$Z$3005,V$5))))</f>
        <v/>
      </c>
      <c r="W153" s="19">
        <f>IF($A153="","",IF(COUNTIFS(請求記録!$B$6:$B$3005,$A153,請求記録!$Z$6:$Z$3005,W$5,請求記録!$AF$6:$AF$3005,"保留中")&gt;0,"保留",IF(COUNTIFS(請求記録!$B$6:$B$3005,$A153,請求記録!$Z$6:$Z$3005,W$5)=0,"",SUMIFS(請求記録!$AE$6:$AE$3005,請求記録!$B$6:$B$3005,$A153,請求記録!$Z$6:$Z$3005,W$5))))</f>
        <v/>
      </c>
      <c r="X153" s="19">
        <f>IF($A153="","",IF(COUNTIFS(請求記録!$B$6:$B$3005,$A153,請求記録!$Z$6:$Z$3005,X$5,請求記録!$AF$6:$AF$3005,"保留中")&gt;0,"保留",IF(COUNTIFS(請求記録!$B$6:$B$3005,$A153,請求記録!$Z$6:$Z$3005,X$5)=0,"",SUMIFS(請求記録!$AE$6:$AE$3005,請求記録!$B$6:$B$3005,$A153,請求記録!$Z$6:$Z$3005,X$5))))</f>
        <v/>
      </c>
      <c r="Y153" s="19">
        <f>IF($A153="","",IF(COUNTIFS(請求記録!$B$6:$B$3005,$A153,請求記録!$Z$6:$Z$3005,Y$5,請求記録!$AF$6:$AF$3005,"保留中")&gt;0,"保留",IF(COUNTIFS(請求記録!$B$6:$B$3005,$A153,請求記録!$Z$6:$Z$3005,Y$5)=0,"",SUMIFS(請求記録!$AE$6:$AE$3005,請求記録!$B$6:$B$3005,$A153,請求記録!$Z$6:$Z$3005,Y$5))))</f>
        <v/>
      </c>
      <c r="Z153" s="19">
        <f>IF($A153="","",IF(COUNTIFS(請求記録!$B$6:$B$3005,$A153,請求記録!$Z$6:$Z$3005,Z$5,請求記録!$AF$6:$AF$3005,"保留中")&gt;0,"保留",IF(COUNTIFS(請求記録!$B$6:$B$3005,$A153,請求記録!$Z$6:$Z$3005,Z$5)=0,"",SUMIFS(請求記録!$AE$6:$AE$3005,請求記録!$B$6:$B$3005,$A153,請求記録!$Z$6:$Z$3005,Z$5))))</f>
        <v/>
      </c>
      <c r="AA153" s="19">
        <f>IF($A153="","",IF(COUNTIFS(請求記録!$B$6:$B$3005,$A153,請求記録!$Z$6:$Z$3005,AA$5,請求記録!$AF$6:$AF$3005,"保留中")&gt;0,"保留",IF(COUNTIFS(請求記録!$B$6:$B$3005,$A153,請求記録!$Z$6:$Z$3005,AA$5)=0,"",SUMIFS(請求記録!$AE$6:$AE$3005,請求記録!$B$6:$B$3005,$A153,請求記録!$Z$6:$Z$3005,AA$5))))</f>
        <v/>
      </c>
      <c r="AB153">
        <f>IF(職員マスタ!P153="保留中",職員マスタ!M153,"")</f>
        <v/>
      </c>
    </row>
    <row r="154">
      <c r="A154">
        <f>IF(職員マスタ!A154="","",職員マスタ!A154)</f>
        <v/>
      </c>
      <c r="B154">
        <f>IF($A154="","",職員マスタ!B154)</f>
        <v/>
      </c>
      <c r="C154">
        <f>IF($A154="","",職員マスタ!C154)</f>
        <v/>
      </c>
      <c r="D154" s="19">
        <f>IF($A154="","",IF(COUNTIFS(請求記録!$B$6:$B$3005,$A154,請求記録!$Z$6:$Z$3005,D$5,請求記録!$AF$6:$AF$3005,"保留中")&gt;0,"保留",IF(COUNTIFS(請求記録!$B$6:$B$3005,$A154,請求記録!$Z$6:$Z$3005,D$5)=0,"",SUMIFS(請求記録!$AE$6:$AE$3005,請求記録!$B$6:$B$3005,$A154,請求記録!$Z$6:$Z$3005,D$5))))</f>
        <v/>
      </c>
      <c r="E154" s="19">
        <f>IF($A154="","",IF(COUNTIFS(請求記録!$B$6:$B$3005,$A154,請求記録!$Z$6:$Z$3005,E$5,請求記録!$AF$6:$AF$3005,"保留中")&gt;0,"保留",IF(COUNTIFS(請求記録!$B$6:$B$3005,$A154,請求記録!$Z$6:$Z$3005,E$5)=0,"",SUMIFS(請求記録!$AE$6:$AE$3005,請求記録!$B$6:$B$3005,$A154,請求記録!$Z$6:$Z$3005,E$5))))</f>
        <v/>
      </c>
      <c r="F154" s="19">
        <f>IF($A154="","",IF(COUNTIFS(請求記録!$B$6:$B$3005,$A154,請求記録!$Z$6:$Z$3005,F$5,請求記録!$AF$6:$AF$3005,"保留中")&gt;0,"保留",IF(COUNTIFS(請求記録!$B$6:$B$3005,$A154,請求記録!$Z$6:$Z$3005,F$5)=0,"",SUMIFS(請求記録!$AE$6:$AE$3005,請求記録!$B$6:$B$3005,$A154,請求記録!$Z$6:$Z$3005,F$5))))</f>
        <v/>
      </c>
      <c r="G154" s="19">
        <f>IF($A154="","",IF(COUNTIFS(請求記録!$B$6:$B$3005,$A154,請求記録!$Z$6:$Z$3005,G$5,請求記録!$AF$6:$AF$3005,"保留中")&gt;0,"保留",IF(COUNTIFS(請求記録!$B$6:$B$3005,$A154,請求記録!$Z$6:$Z$3005,G$5)=0,"",SUMIFS(請求記録!$AE$6:$AE$3005,請求記録!$B$6:$B$3005,$A154,請求記録!$Z$6:$Z$3005,G$5))))</f>
        <v/>
      </c>
      <c r="H154" s="19">
        <f>IF($A154="","",IF(COUNTIFS(請求記録!$B$6:$B$3005,$A154,請求記録!$Z$6:$Z$3005,H$5,請求記録!$AF$6:$AF$3005,"保留中")&gt;0,"保留",IF(COUNTIFS(請求記録!$B$6:$B$3005,$A154,請求記録!$Z$6:$Z$3005,H$5)=0,"",SUMIFS(請求記録!$AE$6:$AE$3005,請求記録!$B$6:$B$3005,$A154,請求記録!$Z$6:$Z$3005,H$5))))</f>
        <v/>
      </c>
      <c r="I154" s="19">
        <f>IF($A154="","",IF(COUNTIFS(請求記録!$B$6:$B$3005,$A154,請求記録!$Z$6:$Z$3005,I$5,請求記録!$AF$6:$AF$3005,"保留中")&gt;0,"保留",IF(COUNTIFS(請求記録!$B$6:$B$3005,$A154,請求記録!$Z$6:$Z$3005,I$5)=0,"",SUMIFS(請求記録!$AE$6:$AE$3005,請求記録!$B$6:$B$3005,$A154,請求記録!$Z$6:$Z$3005,I$5))))</f>
        <v/>
      </c>
      <c r="J154" s="19">
        <f>IF($A154="","",IF(COUNTIFS(請求記録!$B$6:$B$3005,$A154,請求記録!$Z$6:$Z$3005,J$5,請求記録!$AF$6:$AF$3005,"保留中")&gt;0,"保留",IF(COUNTIFS(請求記録!$B$6:$B$3005,$A154,請求記録!$Z$6:$Z$3005,J$5)=0,"",SUMIFS(請求記録!$AE$6:$AE$3005,請求記録!$B$6:$B$3005,$A154,請求記録!$Z$6:$Z$3005,J$5))))</f>
        <v/>
      </c>
      <c r="K154" s="19">
        <f>IF($A154="","",IF(COUNTIFS(請求記録!$B$6:$B$3005,$A154,請求記録!$Z$6:$Z$3005,K$5,請求記録!$AF$6:$AF$3005,"保留中")&gt;0,"保留",IF(COUNTIFS(請求記録!$B$6:$B$3005,$A154,請求記録!$Z$6:$Z$3005,K$5)=0,"",SUMIFS(請求記録!$AE$6:$AE$3005,請求記録!$B$6:$B$3005,$A154,請求記録!$Z$6:$Z$3005,K$5))))</f>
        <v/>
      </c>
      <c r="L154" s="19">
        <f>IF($A154="","",IF(COUNTIFS(請求記録!$B$6:$B$3005,$A154,請求記録!$Z$6:$Z$3005,L$5,請求記録!$AF$6:$AF$3005,"保留中")&gt;0,"保留",IF(COUNTIFS(請求記録!$B$6:$B$3005,$A154,請求記録!$Z$6:$Z$3005,L$5)=0,"",SUMIFS(請求記録!$AE$6:$AE$3005,請求記録!$B$6:$B$3005,$A154,請求記録!$Z$6:$Z$3005,L$5))))</f>
        <v/>
      </c>
      <c r="M154" s="19">
        <f>IF($A154="","",IF(COUNTIFS(請求記録!$B$6:$B$3005,$A154,請求記録!$Z$6:$Z$3005,M$5,請求記録!$AF$6:$AF$3005,"保留中")&gt;0,"保留",IF(COUNTIFS(請求記録!$B$6:$B$3005,$A154,請求記録!$Z$6:$Z$3005,M$5)=0,"",SUMIFS(請求記録!$AE$6:$AE$3005,請求記録!$B$6:$B$3005,$A154,請求記録!$Z$6:$Z$3005,M$5))))</f>
        <v/>
      </c>
      <c r="N154" s="19">
        <f>IF($A154="","",IF(COUNTIFS(請求記録!$B$6:$B$3005,$A154,請求記録!$Z$6:$Z$3005,N$5,請求記録!$AF$6:$AF$3005,"保留中")&gt;0,"保留",IF(COUNTIFS(請求記録!$B$6:$B$3005,$A154,請求記録!$Z$6:$Z$3005,N$5)=0,"",SUMIFS(請求記録!$AE$6:$AE$3005,請求記録!$B$6:$B$3005,$A154,請求記録!$Z$6:$Z$3005,N$5))))</f>
        <v/>
      </c>
      <c r="O154" s="19">
        <f>IF($A154="","",IF(COUNTIFS(請求記録!$B$6:$B$3005,$A154,請求記録!$Z$6:$Z$3005,O$5,請求記録!$AF$6:$AF$3005,"保留中")&gt;0,"保留",IF(COUNTIFS(請求記録!$B$6:$B$3005,$A154,請求記録!$Z$6:$Z$3005,O$5)=0,"",SUMIFS(請求記録!$AE$6:$AE$3005,請求記録!$B$6:$B$3005,$A154,請求記録!$Z$6:$Z$3005,O$5))))</f>
        <v/>
      </c>
      <c r="P154" s="19">
        <f>IF($A154="","",IF(COUNTIFS(請求記録!$B$6:$B$3005,$A154,請求記録!$Z$6:$Z$3005,P$5,請求記録!$AF$6:$AF$3005,"保留中")&gt;0,"保留",IF(COUNTIFS(請求記録!$B$6:$B$3005,$A154,請求記録!$Z$6:$Z$3005,P$5)=0,"",SUMIFS(請求記録!$AE$6:$AE$3005,請求記録!$B$6:$B$3005,$A154,請求記録!$Z$6:$Z$3005,P$5))))</f>
        <v/>
      </c>
      <c r="Q154" s="19">
        <f>IF($A154="","",IF(COUNTIFS(請求記録!$B$6:$B$3005,$A154,請求記録!$Z$6:$Z$3005,Q$5,請求記録!$AF$6:$AF$3005,"保留中")&gt;0,"保留",IF(COUNTIFS(請求記録!$B$6:$B$3005,$A154,請求記録!$Z$6:$Z$3005,Q$5)=0,"",SUMIFS(請求記録!$AE$6:$AE$3005,請求記録!$B$6:$B$3005,$A154,請求記録!$Z$6:$Z$3005,Q$5))))</f>
        <v/>
      </c>
      <c r="R154" s="19">
        <f>IF($A154="","",IF(COUNTIFS(請求記録!$B$6:$B$3005,$A154,請求記録!$Z$6:$Z$3005,R$5,請求記録!$AF$6:$AF$3005,"保留中")&gt;0,"保留",IF(COUNTIFS(請求記録!$B$6:$B$3005,$A154,請求記録!$Z$6:$Z$3005,R$5)=0,"",SUMIFS(請求記録!$AE$6:$AE$3005,請求記録!$B$6:$B$3005,$A154,請求記録!$Z$6:$Z$3005,R$5))))</f>
        <v/>
      </c>
      <c r="S154" s="19">
        <f>IF($A154="","",IF(COUNTIFS(請求記録!$B$6:$B$3005,$A154,請求記録!$Z$6:$Z$3005,S$5,請求記録!$AF$6:$AF$3005,"保留中")&gt;0,"保留",IF(COUNTIFS(請求記録!$B$6:$B$3005,$A154,請求記録!$Z$6:$Z$3005,S$5)=0,"",SUMIFS(請求記録!$AE$6:$AE$3005,請求記録!$B$6:$B$3005,$A154,請求記録!$Z$6:$Z$3005,S$5))))</f>
        <v/>
      </c>
      <c r="T154" s="19">
        <f>IF($A154="","",IF(COUNTIFS(請求記録!$B$6:$B$3005,$A154,請求記録!$Z$6:$Z$3005,T$5,請求記録!$AF$6:$AF$3005,"保留中")&gt;0,"保留",IF(COUNTIFS(請求記録!$B$6:$B$3005,$A154,請求記録!$Z$6:$Z$3005,T$5)=0,"",SUMIFS(請求記録!$AE$6:$AE$3005,請求記録!$B$6:$B$3005,$A154,請求記録!$Z$6:$Z$3005,T$5))))</f>
        <v/>
      </c>
      <c r="U154" s="19">
        <f>IF($A154="","",IF(COUNTIFS(請求記録!$B$6:$B$3005,$A154,請求記録!$Z$6:$Z$3005,U$5,請求記録!$AF$6:$AF$3005,"保留中")&gt;0,"保留",IF(COUNTIFS(請求記録!$B$6:$B$3005,$A154,請求記録!$Z$6:$Z$3005,U$5)=0,"",SUMIFS(請求記録!$AE$6:$AE$3005,請求記録!$B$6:$B$3005,$A154,請求記録!$Z$6:$Z$3005,U$5))))</f>
        <v/>
      </c>
      <c r="V154" s="19">
        <f>IF($A154="","",IF(COUNTIFS(請求記録!$B$6:$B$3005,$A154,請求記録!$Z$6:$Z$3005,V$5,請求記録!$AF$6:$AF$3005,"保留中")&gt;0,"保留",IF(COUNTIFS(請求記録!$B$6:$B$3005,$A154,請求記録!$Z$6:$Z$3005,V$5)=0,"",SUMIFS(請求記録!$AE$6:$AE$3005,請求記録!$B$6:$B$3005,$A154,請求記録!$Z$6:$Z$3005,V$5))))</f>
        <v/>
      </c>
      <c r="W154" s="19">
        <f>IF($A154="","",IF(COUNTIFS(請求記録!$B$6:$B$3005,$A154,請求記録!$Z$6:$Z$3005,W$5,請求記録!$AF$6:$AF$3005,"保留中")&gt;0,"保留",IF(COUNTIFS(請求記録!$B$6:$B$3005,$A154,請求記録!$Z$6:$Z$3005,W$5)=0,"",SUMIFS(請求記録!$AE$6:$AE$3005,請求記録!$B$6:$B$3005,$A154,請求記録!$Z$6:$Z$3005,W$5))))</f>
        <v/>
      </c>
      <c r="X154" s="19">
        <f>IF($A154="","",IF(COUNTIFS(請求記録!$B$6:$B$3005,$A154,請求記録!$Z$6:$Z$3005,X$5,請求記録!$AF$6:$AF$3005,"保留中")&gt;0,"保留",IF(COUNTIFS(請求記録!$B$6:$B$3005,$A154,請求記録!$Z$6:$Z$3005,X$5)=0,"",SUMIFS(請求記録!$AE$6:$AE$3005,請求記録!$B$6:$B$3005,$A154,請求記録!$Z$6:$Z$3005,X$5))))</f>
        <v/>
      </c>
      <c r="Y154" s="19">
        <f>IF($A154="","",IF(COUNTIFS(請求記録!$B$6:$B$3005,$A154,請求記録!$Z$6:$Z$3005,Y$5,請求記録!$AF$6:$AF$3005,"保留中")&gt;0,"保留",IF(COUNTIFS(請求記録!$B$6:$B$3005,$A154,請求記録!$Z$6:$Z$3005,Y$5)=0,"",SUMIFS(請求記録!$AE$6:$AE$3005,請求記録!$B$6:$B$3005,$A154,請求記録!$Z$6:$Z$3005,Y$5))))</f>
        <v/>
      </c>
      <c r="Z154" s="19">
        <f>IF($A154="","",IF(COUNTIFS(請求記録!$B$6:$B$3005,$A154,請求記録!$Z$6:$Z$3005,Z$5,請求記録!$AF$6:$AF$3005,"保留中")&gt;0,"保留",IF(COUNTIFS(請求記録!$B$6:$B$3005,$A154,請求記録!$Z$6:$Z$3005,Z$5)=0,"",SUMIFS(請求記録!$AE$6:$AE$3005,請求記録!$B$6:$B$3005,$A154,請求記録!$Z$6:$Z$3005,Z$5))))</f>
        <v/>
      </c>
      <c r="AA154" s="19">
        <f>IF($A154="","",IF(COUNTIFS(請求記録!$B$6:$B$3005,$A154,請求記録!$Z$6:$Z$3005,AA$5,請求記録!$AF$6:$AF$3005,"保留中")&gt;0,"保留",IF(COUNTIFS(請求記録!$B$6:$B$3005,$A154,請求記録!$Z$6:$Z$3005,AA$5)=0,"",SUMIFS(請求記録!$AE$6:$AE$3005,請求記録!$B$6:$B$3005,$A154,請求記録!$Z$6:$Z$3005,AA$5))))</f>
        <v/>
      </c>
      <c r="AB154">
        <f>IF(職員マスタ!P154="保留中",職員マスタ!M154,"")</f>
        <v/>
      </c>
    </row>
    <row r="155">
      <c r="A155">
        <f>IF(職員マスタ!A155="","",職員マスタ!A155)</f>
        <v/>
      </c>
      <c r="B155">
        <f>IF($A155="","",職員マスタ!B155)</f>
        <v/>
      </c>
      <c r="C155">
        <f>IF($A155="","",職員マスタ!C155)</f>
        <v/>
      </c>
      <c r="D155" s="19">
        <f>IF($A155="","",IF(COUNTIFS(請求記録!$B$6:$B$3005,$A155,請求記録!$Z$6:$Z$3005,D$5,請求記録!$AF$6:$AF$3005,"保留中")&gt;0,"保留",IF(COUNTIFS(請求記録!$B$6:$B$3005,$A155,請求記録!$Z$6:$Z$3005,D$5)=0,"",SUMIFS(請求記録!$AE$6:$AE$3005,請求記録!$B$6:$B$3005,$A155,請求記録!$Z$6:$Z$3005,D$5))))</f>
        <v/>
      </c>
      <c r="E155" s="19">
        <f>IF($A155="","",IF(COUNTIFS(請求記録!$B$6:$B$3005,$A155,請求記録!$Z$6:$Z$3005,E$5,請求記録!$AF$6:$AF$3005,"保留中")&gt;0,"保留",IF(COUNTIFS(請求記録!$B$6:$B$3005,$A155,請求記録!$Z$6:$Z$3005,E$5)=0,"",SUMIFS(請求記録!$AE$6:$AE$3005,請求記録!$B$6:$B$3005,$A155,請求記録!$Z$6:$Z$3005,E$5))))</f>
        <v/>
      </c>
      <c r="F155" s="19">
        <f>IF($A155="","",IF(COUNTIFS(請求記録!$B$6:$B$3005,$A155,請求記録!$Z$6:$Z$3005,F$5,請求記録!$AF$6:$AF$3005,"保留中")&gt;0,"保留",IF(COUNTIFS(請求記録!$B$6:$B$3005,$A155,請求記録!$Z$6:$Z$3005,F$5)=0,"",SUMIFS(請求記録!$AE$6:$AE$3005,請求記録!$B$6:$B$3005,$A155,請求記録!$Z$6:$Z$3005,F$5))))</f>
        <v/>
      </c>
      <c r="G155" s="19">
        <f>IF($A155="","",IF(COUNTIFS(請求記録!$B$6:$B$3005,$A155,請求記録!$Z$6:$Z$3005,G$5,請求記録!$AF$6:$AF$3005,"保留中")&gt;0,"保留",IF(COUNTIFS(請求記録!$B$6:$B$3005,$A155,請求記録!$Z$6:$Z$3005,G$5)=0,"",SUMIFS(請求記録!$AE$6:$AE$3005,請求記録!$B$6:$B$3005,$A155,請求記録!$Z$6:$Z$3005,G$5))))</f>
        <v/>
      </c>
      <c r="H155" s="19">
        <f>IF($A155="","",IF(COUNTIFS(請求記録!$B$6:$B$3005,$A155,請求記録!$Z$6:$Z$3005,H$5,請求記録!$AF$6:$AF$3005,"保留中")&gt;0,"保留",IF(COUNTIFS(請求記録!$B$6:$B$3005,$A155,請求記録!$Z$6:$Z$3005,H$5)=0,"",SUMIFS(請求記録!$AE$6:$AE$3005,請求記録!$B$6:$B$3005,$A155,請求記録!$Z$6:$Z$3005,H$5))))</f>
        <v/>
      </c>
      <c r="I155" s="19">
        <f>IF($A155="","",IF(COUNTIFS(請求記録!$B$6:$B$3005,$A155,請求記録!$Z$6:$Z$3005,I$5,請求記録!$AF$6:$AF$3005,"保留中")&gt;0,"保留",IF(COUNTIFS(請求記録!$B$6:$B$3005,$A155,請求記録!$Z$6:$Z$3005,I$5)=0,"",SUMIFS(請求記録!$AE$6:$AE$3005,請求記録!$B$6:$B$3005,$A155,請求記録!$Z$6:$Z$3005,I$5))))</f>
        <v/>
      </c>
      <c r="J155" s="19">
        <f>IF($A155="","",IF(COUNTIFS(請求記録!$B$6:$B$3005,$A155,請求記録!$Z$6:$Z$3005,J$5,請求記録!$AF$6:$AF$3005,"保留中")&gt;0,"保留",IF(COUNTIFS(請求記録!$B$6:$B$3005,$A155,請求記録!$Z$6:$Z$3005,J$5)=0,"",SUMIFS(請求記録!$AE$6:$AE$3005,請求記録!$B$6:$B$3005,$A155,請求記録!$Z$6:$Z$3005,J$5))))</f>
        <v/>
      </c>
      <c r="K155" s="19">
        <f>IF($A155="","",IF(COUNTIFS(請求記録!$B$6:$B$3005,$A155,請求記録!$Z$6:$Z$3005,K$5,請求記録!$AF$6:$AF$3005,"保留中")&gt;0,"保留",IF(COUNTIFS(請求記録!$B$6:$B$3005,$A155,請求記録!$Z$6:$Z$3005,K$5)=0,"",SUMIFS(請求記録!$AE$6:$AE$3005,請求記録!$B$6:$B$3005,$A155,請求記録!$Z$6:$Z$3005,K$5))))</f>
        <v/>
      </c>
      <c r="L155" s="19">
        <f>IF($A155="","",IF(COUNTIFS(請求記録!$B$6:$B$3005,$A155,請求記録!$Z$6:$Z$3005,L$5,請求記録!$AF$6:$AF$3005,"保留中")&gt;0,"保留",IF(COUNTIFS(請求記録!$B$6:$B$3005,$A155,請求記録!$Z$6:$Z$3005,L$5)=0,"",SUMIFS(請求記録!$AE$6:$AE$3005,請求記録!$B$6:$B$3005,$A155,請求記録!$Z$6:$Z$3005,L$5))))</f>
        <v/>
      </c>
      <c r="M155" s="19">
        <f>IF($A155="","",IF(COUNTIFS(請求記録!$B$6:$B$3005,$A155,請求記録!$Z$6:$Z$3005,M$5,請求記録!$AF$6:$AF$3005,"保留中")&gt;0,"保留",IF(COUNTIFS(請求記録!$B$6:$B$3005,$A155,請求記録!$Z$6:$Z$3005,M$5)=0,"",SUMIFS(請求記録!$AE$6:$AE$3005,請求記録!$B$6:$B$3005,$A155,請求記録!$Z$6:$Z$3005,M$5))))</f>
        <v/>
      </c>
      <c r="N155" s="19">
        <f>IF($A155="","",IF(COUNTIFS(請求記録!$B$6:$B$3005,$A155,請求記録!$Z$6:$Z$3005,N$5,請求記録!$AF$6:$AF$3005,"保留中")&gt;0,"保留",IF(COUNTIFS(請求記録!$B$6:$B$3005,$A155,請求記録!$Z$6:$Z$3005,N$5)=0,"",SUMIFS(請求記録!$AE$6:$AE$3005,請求記録!$B$6:$B$3005,$A155,請求記録!$Z$6:$Z$3005,N$5))))</f>
        <v/>
      </c>
      <c r="O155" s="19">
        <f>IF($A155="","",IF(COUNTIFS(請求記録!$B$6:$B$3005,$A155,請求記録!$Z$6:$Z$3005,O$5,請求記録!$AF$6:$AF$3005,"保留中")&gt;0,"保留",IF(COUNTIFS(請求記録!$B$6:$B$3005,$A155,請求記録!$Z$6:$Z$3005,O$5)=0,"",SUMIFS(請求記録!$AE$6:$AE$3005,請求記録!$B$6:$B$3005,$A155,請求記録!$Z$6:$Z$3005,O$5))))</f>
        <v/>
      </c>
      <c r="P155" s="19">
        <f>IF($A155="","",IF(COUNTIFS(請求記録!$B$6:$B$3005,$A155,請求記録!$Z$6:$Z$3005,P$5,請求記録!$AF$6:$AF$3005,"保留中")&gt;0,"保留",IF(COUNTIFS(請求記録!$B$6:$B$3005,$A155,請求記録!$Z$6:$Z$3005,P$5)=0,"",SUMIFS(請求記録!$AE$6:$AE$3005,請求記録!$B$6:$B$3005,$A155,請求記録!$Z$6:$Z$3005,P$5))))</f>
        <v/>
      </c>
      <c r="Q155" s="19">
        <f>IF($A155="","",IF(COUNTIFS(請求記録!$B$6:$B$3005,$A155,請求記録!$Z$6:$Z$3005,Q$5,請求記録!$AF$6:$AF$3005,"保留中")&gt;0,"保留",IF(COUNTIFS(請求記録!$B$6:$B$3005,$A155,請求記録!$Z$6:$Z$3005,Q$5)=0,"",SUMIFS(請求記録!$AE$6:$AE$3005,請求記録!$B$6:$B$3005,$A155,請求記録!$Z$6:$Z$3005,Q$5))))</f>
        <v/>
      </c>
      <c r="R155" s="19">
        <f>IF($A155="","",IF(COUNTIFS(請求記録!$B$6:$B$3005,$A155,請求記録!$Z$6:$Z$3005,R$5,請求記録!$AF$6:$AF$3005,"保留中")&gt;0,"保留",IF(COUNTIFS(請求記録!$B$6:$B$3005,$A155,請求記録!$Z$6:$Z$3005,R$5)=0,"",SUMIFS(請求記録!$AE$6:$AE$3005,請求記録!$B$6:$B$3005,$A155,請求記録!$Z$6:$Z$3005,R$5))))</f>
        <v/>
      </c>
      <c r="S155" s="19">
        <f>IF($A155="","",IF(COUNTIFS(請求記録!$B$6:$B$3005,$A155,請求記録!$Z$6:$Z$3005,S$5,請求記録!$AF$6:$AF$3005,"保留中")&gt;0,"保留",IF(COUNTIFS(請求記録!$B$6:$B$3005,$A155,請求記録!$Z$6:$Z$3005,S$5)=0,"",SUMIFS(請求記録!$AE$6:$AE$3005,請求記録!$B$6:$B$3005,$A155,請求記録!$Z$6:$Z$3005,S$5))))</f>
        <v/>
      </c>
      <c r="T155" s="19">
        <f>IF($A155="","",IF(COUNTIFS(請求記録!$B$6:$B$3005,$A155,請求記録!$Z$6:$Z$3005,T$5,請求記録!$AF$6:$AF$3005,"保留中")&gt;0,"保留",IF(COUNTIFS(請求記録!$B$6:$B$3005,$A155,請求記録!$Z$6:$Z$3005,T$5)=0,"",SUMIFS(請求記録!$AE$6:$AE$3005,請求記録!$B$6:$B$3005,$A155,請求記録!$Z$6:$Z$3005,T$5))))</f>
        <v/>
      </c>
      <c r="U155" s="19">
        <f>IF($A155="","",IF(COUNTIFS(請求記録!$B$6:$B$3005,$A155,請求記録!$Z$6:$Z$3005,U$5,請求記録!$AF$6:$AF$3005,"保留中")&gt;0,"保留",IF(COUNTIFS(請求記録!$B$6:$B$3005,$A155,請求記録!$Z$6:$Z$3005,U$5)=0,"",SUMIFS(請求記録!$AE$6:$AE$3005,請求記録!$B$6:$B$3005,$A155,請求記録!$Z$6:$Z$3005,U$5))))</f>
        <v/>
      </c>
      <c r="V155" s="19">
        <f>IF($A155="","",IF(COUNTIFS(請求記録!$B$6:$B$3005,$A155,請求記録!$Z$6:$Z$3005,V$5,請求記録!$AF$6:$AF$3005,"保留中")&gt;0,"保留",IF(COUNTIFS(請求記録!$B$6:$B$3005,$A155,請求記録!$Z$6:$Z$3005,V$5)=0,"",SUMIFS(請求記録!$AE$6:$AE$3005,請求記録!$B$6:$B$3005,$A155,請求記録!$Z$6:$Z$3005,V$5))))</f>
        <v/>
      </c>
      <c r="W155" s="19">
        <f>IF($A155="","",IF(COUNTIFS(請求記録!$B$6:$B$3005,$A155,請求記録!$Z$6:$Z$3005,W$5,請求記録!$AF$6:$AF$3005,"保留中")&gt;0,"保留",IF(COUNTIFS(請求記録!$B$6:$B$3005,$A155,請求記録!$Z$6:$Z$3005,W$5)=0,"",SUMIFS(請求記録!$AE$6:$AE$3005,請求記録!$B$6:$B$3005,$A155,請求記録!$Z$6:$Z$3005,W$5))))</f>
        <v/>
      </c>
      <c r="X155" s="19">
        <f>IF($A155="","",IF(COUNTIFS(請求記録!$B$6:$B$3005,$A155,請求記録!$Z$6:$Z$3005,X$5,請求記録!$AF$6:$AF$3005,"保留中")&gt;0,"保留",IF(COUNTIFS(請求記録!$B$6:$B$3005,$A155,請求記録!$Z$6:$Z$3005,X$5)=0,"",SUMIFS(請求記録!$AE$6:$AE$3005,請求記録!$B$6:$B$3005,$A155,請求記録!$Z$6:$Z$3005,X$5))))</f>
        <v/>
      </c>
      <c r="Y155" s="19">
        <f>IF($A155="","",IF(COUNTIFS(請求記録!$B$6:$B$3005,$A155,請求記録!$Z$6:$Z$3005,Y$5,請求記録!$AF$6:$AF$3005,"保留中")&gt;0,"保留",IF(COUNTIFS(請求記録!$B$6:$B$3005,$A155,請求記録!$Z$6:$Z$3005,Y$5)=0,"",SUMIFS(請求記録!$AE$6:$AE$3005,請求記録!$B$6:$B$3005,$A155,請求記録!$Z$6:$Z$3005,Y$5))))</f>
        <v/>
      </c>
      <c r="Z155" s="19">
        <f>IF($A155="","",IF(COUNTIFS(請求記録!$B$6:$B$3005,$A155,請求記録!$Z$6:$Z$3005,Z$5,請求記録!$AF$6:$AF$3005,"保留中")&gt;0,"保留",IF(COUNTIFS(請求記録!$B$6:$B$3005,$A155,請求記録!$Z$6:$Z$3005,Z$5)=0,"",SUMIFS(請求記録!$AE$6:$AE$3005,請求記録!$B$6:$B$3005,$A155,請求記録!$Z$6:$Z$3005,Z$5))))</f>
        <v/>
      </c>
      <c r="AA155" s="19">
        <f>IF($A155="","",IF(COUNTIFS(請求記録!$B$6:$B$3005,$A155,請求記録!$Z$6:$Z$3005,AA$5,請求記録!$AF$6:$AF$3005,"保留中")&gt;0,"保留",IF(COUNTIFS(請求記録!$B$6:$B$3005,$A155,請求記録!$Z$6:$Z$3005,AA$5)=0,"",SUMIFS(請求記録!$AE$6:$AE$3005,請求記録!$B$6:$B$3005,$A155,請求記録!$Z$6:$Z$3005,AA$5))))</f>
        <v/>
      </c>
      <c r="AB155">
        <f>IF(職員マスタ!P155="保留中",職員マスタ!M155,"")</f>
        <v/>
      </c>
    </row>
    <row r="156">
      <c r="A156">
        <f>IF(職員マスタ!A156="","",職員マスタ!A156)</f>
        <v/>
      </c>
      <c r="B156">
        <f>IF($A156="","",職員マスタ!B156)</f>
        <v/>
      </c>
      <c r="C156">
        <f>IF($A156="","",職員マスタ!C156)</f>
        <v/>
      </c>
      <c r="D156" s="19">
        <f>IF($A156="","",IF(COUNTIFS(請求記録!$B$6:$B$3005,$A156,請求記録!$Z$6:$Z$3005,D$5,請求記録!$AF$6:$AF$3005,"保留中")&gt;0,"保留",IF(COUNTIFS(請求記録!$B$6:$B$3005,$A156,請求記録!$Z$6:$Z$3005,D$5)=0,"",SUMIFS(請求記録!$AE$6:$AE$3005,請求記録!$B$6:$B$3005,$A156,請求記録!$Z$6:$Z$3005,D$5))))</f>
        <v/>
      </c>
      <c r="E156" s="19">
        <f>IF($A156="","",IF(COUNTIFS(請求記録!$B$6:$B$3005,$A156,請求記録!$Z$6:$Z$3005,E$5,請求記録!$AF$6:$AF$3005,"保留中")&gt;0,"保留",IF(COUNTIFS(請求記録!$B$6:$B$3005,$A156,請求記録!$Z$6:$Z$3005,E$5)=0,"",SUMIFS(請求記録!$AE$6:$AE$3005,請求記録!$B$6:$B$3005,$A156,請求記録!$Z$6:$Z$3005,E$5))))</f>
        <v/>
      </c>
      <c r="F156" s="19">
        <f>IF($A156="","",IF(COUNTIFS(請求記録!$B$6:$B$3005,$A156,請求記録!$Z$6:$Z$3005,F$5,請求記録!$AF$6:$AF$3005,"保留中")&gt;0,"保留",IF(COUNTIFS(請求記録!$B$6:$B$3005,$A156,請求記録!$Z$6:$Z$3005,F$5)=0,"",SUMIFS(請求記録!$AE$6:$AE$3005,請求記録!$B$6:$B$3005,$A156,請求記録!$Z$6:$Z$3005,F$5))))</f>
        <v/>
      </c>
      <c r="G156" s="19">
        <f>IF($A156="","",IF(COUNTIFS(請求記録!$B$6:$B$3005,$A156,請求記録!$Z$6:$Z$3005,G$5,請求記録!$AF$6:$AF$3005,"保留中")&gt;0,"保留",IF(COUNTIFS(請求記録!$B$6:$B$3005,$A156,請求記録!$Z$6:$Z$3005,G$5)=0,"",SUMIFS(請求記録!$AE$6:$AE$3005,請求記録!$B$6:$B$3005,$A156,請求記録!$Z$6:$Z$3005,G$5))))</f>
        <v/>
      </c>
      <c r="H156" s="19">
        <f>IF($A156="","",IF(COUNTIFS(請求記録!$B$6:$B$3005,$A156,請求記録!$Z$6:$Z$3005,H$5,請求記録!$AF$6:$AF$3005,"保留中")&gt;0,"保留",IF(COUNTIFS(請求記録!$B$6:$B$3005,$A156,請求記録!$Z$6:$Z$3005,H$5)=0,"",SUMIFS(請求記録!$AE$6:$AE$3005,請求記録!$B$6:$B$3005,$A156,請求記録!$Z$6:$Z$3005,H$5))))</f>
        <v/>
      </c>
      <c r="I156" s="19">
        <f>IF($A156="","",IF(COUNTIFS(請求記録!$B$6:$B$3005,$A156,請求記録!$Z$6:$Z$3005,I$5,請求記録!$AF$6:$AF$3005,"保留中")&gt;0,"保留",IF(COUNTIFS(請求記録!$B$6:$B$3005,$A156,請求記録!$Z$6:$Z$3005,I$5)=0,"",SUMIFS(請求記録!$AE$6:$AE$3005,請求記録!$B$6:$B$3005,$A156,請求記録!$Z$6:$Z$3005,I$5))))</f>
        <v/>
      </c>
      <c r="J156" s="19">
        <f>IF($A156="","",IF(COUNTIFS(請求記録!$B$6:$B$3005,$A156,請求記録!$Z$6:$Z$3005,J$5,請求記録!$AF$6:$AF$3005,"保留中")&gt;0,"保留",IF(COUNTIFS(請求記録!$B$6:$B$3005,$A156,請求記録!$Z$6:$Z$3005,J$5)=0,"",SUMIFS(請求記録!$AE$6:$AE$3005,請求記録!$B$6:$B$3005,$A156,請求記録!$Z$6:$Z$3005,J$5))))</f>
        <v/>
      </c>
      <c r="K156" s="19">
        <f>IF($A156="","",IF(COUNTIFS(請求記録!$B$6:$B$3005,$A156,請求記録!$Z$6:$Z$3005,K$5,請求記録!$AF$6:$AF$3005,"保留中")&gt;0,"保留",IF(COUNTIFS(請求記録!$B$6:$B$3005,$A156,請求記録!$Z$6:$Z$3005,K$5)=0,"",SUMIFS(請求記録!$AE$6:$AE$3005,請求記録!$B$6:$B$3005,$A156,請求記録!$Z$6:$Z$3005,K$5))))</f>
        <v/>
      </c>
      <c r="L156" s="19">
        <f>IF($A156="","",IF(COUNTIFS(請求記録!$B$6:$B$3005,$A156,請求記録!$Z$6:$Z$3005,L$5,請求記録!$AF$6:$AF$3005,"保留中")&gt;0,"保留",IF(COUNTIFS(請求記録!$B$6:$B$3005,$A156,請求記録!$Z$6:$Z$3005,L$5)=0,"",SUMIFS(請求記録!$AE$6:$AE$3005,請求記録!$B$6:$B$3005,$A156,請求記録!$Z$6:$Z$3005,L$5))))</f>
        <v/>
      </c>
      <c r="M156" s="19">
        <f>IF($A156="","",IF(COUNTIFS(請求記録!$B$6:$B$3005,$A156,請求記録!$Z$6:$Z$3005,M$5,請求記録!$AF$6:$AF$3005,"保留中")&gt;0,"保留",IF(COUNTIFS(請求記録!$B$6:$B$3005,$A156,請求記録!$Z$6:$Z$3005,M$5)=0,"",SUMIFS(請求記録!$AE$6:$AE$3005,請求記録!$B$6:$B$3005,$A156,請求記録!$Z$6:$Z$3005,M$5))))</f>
        <v/>
      </c>
      <c r="N156" s="19">
        <f>IF($A156="","",IF(COUNTIFS(請求記録!$B$6:$B$3005,$A156,請求記録!$Z$6:$Z$3005,N$5,請求記録!$AF$6:$AF$3005,"保留中")&gt;0,"保留",IF(COUNTIFS(請求記録!$B$6:$B$3005,$A156,請求記録!$Z$6:$Z$3005,N$5)=0,"",SUMIFS(請求記録!$AE$6:$AE$3005,請求記録!$B$6:$B$3005,$A156,請求記録!$Z$6:$Z$3005,N$5))))</f>
        <v/>
      </c>
      <c r="O156" s="19">
        <f>IF($A156="","",IF(COUNTIFS(請求記録!$B$6:$B$3005,$A156,請求記録!$Z$6:$Z$3005,O$5,請求記録!$AF$6:$AF$3005,"保留中")&gt;0,"保留",IF(COUNTIFS(請求記録!$B$6:$B$3005,$A156,請求記録!$Z$6:$Z$3005,O$5)=0,"",SUMIFS(請求記録!$AE$6:$AE$3005,請求記録!$B$6:$B$3005,$A156,請求記録!$Z$6:$Z$3005,O$5))))</f>
        <v/>
      </c>
      <c r="P156" s="19">
        <f>IF($A156="","",IF(COUNTIFS(請求記録!$B$6:$B$3005,$A156,請求記録!$Z$6:$Z$3005,P$5,請求記録!$AF$6:$AF$3005,"保留中")&gt;0,"保留",IF(COUNTIFS(請求記録!$B$6:$B$3005,$A156,請求記録!$Z$6:$Z$3005,P$5)=0,"",SUMIFS(請求記録!$AE$6:$AE$3005,請求記録!$B$6:$B$3005,$A156,請求記録!$Z$6:$Z$3005,P$5))))</f>
        <v/>
      </c>
      <c r="Q156" s="19">
        <f>IF($A156="","",IF(COUNTIFS(請求記録!$B$6:$B$3005,$A156,請求記録!$Z$6:$Z$3005,Q$5,請求記録!$AF$6:$AF$3005,"保留中")&gt;0,"保留",IF(COUNTIFS(請求記録!$B$6:$B$3005,$A156,請求記録!$Z$6:$Z$3005,Q$5)=0,"",SUMIFS(請求記録!$AE$6:$AE$3005,請求記録!$B$6:$B$3005,$A156,請求記録!$Z$6:$Z$3005,Q$5))))</f>
        <v/>
      </c>
      <c r="R156" s="19">
        <f>IF($A156="","",IF(COUNTIFS(請求記録!$B$6:$B$3005,$A156,請求記録!$Z$6:$Z$3005,R$5,請求記録!$AF$6:$AF$3005,"保留中")&gt;0,"保留",IF(COUNTIFS(請求記録!$B$6:$B$3005,$A156,請求記録!$Z$6:$Z$3005,R$5)=0,"",SUMIFS(請求記録!$AE$6:$AE$3005,請求記録!$B$6:$B$3005,$A156,請求記録!$Z$6:$Z$3005,R$5))))</f>
        <v/>
      </c>
      <c r="S156" s="19">
        <f>IF($A156="","",IF(COUNTIFS(請求記録!$B$6:$B$3005,$A156,請求記録!$Z$6:$Z$3005,S$5,請求記録!$AF$6:$AF$3005,"保留中")&gt;0,"保留",IF(COUNTIFS(請求記録!$B$6:$B$3005,$A156,請求記録!$Z$6:$Z$3005,S$5)=0,"",SUMIFS(請求記録!$AE$6:$AE$3005,請求記録!$B$6:$B$3005,$A156,請求記録!$Z$6:$Z$3005,S$5))))</f>
        <v/>
      </c>
      <c r="T156" s="19">
        <f>IF($A156="","",IF(COUNTIFS(請求記録!$B$6:$B$3005,$A156,請求記録!$Z$6:$Z$3005,T$5,請求記録!$AF$6:$AF$3005,"保留中")&gt;0,"保留",IF(COUNTIFS(請求記録!$B$6:$B$3005,$A156,請求記録!$Z$6:$Z$3005,T$5)=0,"",SUMIFS(請求記録!$AE$6:$AE$3005,請求記録!$B$6:$B$3005,$A156,請求記録!$Z$6:$Z$3005,T$5))))</f>
        <v/>
      </c>
      <c r="U156" s="19">
        <f>IF($A156="","",IF(COUNTIFS(請求記録!$B$6:$B$3005,$A156,請求記録!$Z$6:$Z$3005,U$5,請求記録!$AF$6:$AF$3005,"保留中")&gt;0,"保留",IF(COUNTIFS(請求記録!$B$6:$B$3005,$A156,請求記録!$Z$6:$Z$3005,U$5)=0,"",SUMIFS(請求記録!$AE$6:$AE$3005,請求記録!$B$6:$B$3005,$A156,請求記録!$Z$6:$Z$3005,U$5))))</f>
        <v/>
      </c>
      <c r="V156" s="19">
        <f>IF($A156="","",IF(COUNTIFS(請求記録!$B$6:$B$3005,$A156,請求記録!$Z$6:$Z$3005,V$5,請求記録!$AF$6:$AF$3005,"保留中")&gt;0,"保留",IF(COUNTIFS(請求記録!$B$6:$B$3005,$A156,請求記録!$Z$6:$Z$3005,V$5)=0,"",SUMIFS(請求記録!$AE$6:$AE$3005,請求記録!$B$6:$B$3005,$A156,請求記録!$Z$6:$Z$3005,V$5))))</f>
        <v/>
      </c>
      <c r="W156" s="19">
        <f>IF($A156="","",IF(COUNTIFS(請求記録!$B$6:$B$3005,$A156,請求記録!$Z$6:$Z$3005,W$5,請求記録!$AF$6:$AF$3005,"保留中")&gt;0,"保留",IF(COUNTIFS(請求記録!$B$6:$B$3005,$A156,請求記録!$Z$6:$Z$3005,W$5)=0,"",SUMIFS(請求記録!$AE$6:$AE$3005,請求記録!$B$6:$B$3005,$A156,請求記録!$Z$6:$Z$3005,W$5))))</f>
        <v/>
      </c>
      <c r="X156" s="19">
        <f>IF($A156="","",IF(COUNTIFS(請求記録!$B$6:$B$3005,$A156,請求記録!$Z$6:$Z$3005,X$5,請求記録!$AF$6:$AF$3005,"保留中")&gt;0,"保留",IF(COUNTIFS(請求記録!$B$6:$B$3005,$A156,請求記録!$Z$6:$Z$3005,X$5)=0,"",SUMIFS(請求記録!$AE$6:$AE$3005,請求記録!$B$6:$B$3005,$A156,請求記録!$Z$6:$Z$3005,X$5))))</f>
        <v/>
      </c>
      <c r="Y156" s="19">
        <f>IF($A156="","",IF(COUNTIFS(請求記録!$B$6:$B$3005,$A156,請求記録!$Z$6:$Z$3005,Y$5,請求記録!$AF$6:$AF$3005,"保留中")&gt;0,"保留",IF(COUNTIFS(請求記録!$B$6:$B$3005,$A156,請求記録!$Z$6:$Z$3005,Y$5)=0,"",SUMIFS(請求記録!$AE$6:$AE$3005,請求記録!$B$6:$B$3005,$A156,請求記録!$Z$6:$Z$3005,Y$5))))</f>
        <v/>
      </c>
      <c r="Z156" s="19">
        <f>IF($A156="","",IF(COUNTIFS(請求記録!$B$6:$B$3005,$A156,請求記録!$Z$6:$Z$3005,Z$5,請求記録!$AF$6:$AF$3005,"保留中")&gt;0,"保留",IF(COUNTIFS(請求記録!$B$6:$B$3005,$A156,請求記録!$Z$6:$Z$3005,Z$5)=0,"",SUMIFS(請求記録!$AE$6:$AE$3005,請求記録!$B$6:$B$3005,$A156,請求記録!$Z$6:$Z$3005,Z$5))))</f>
        <v/>
      </c>
      <c r="AA156" s="19">
        <f>IF($A156="","",IF(COUNTIFS(請求記録!$B$6:$B$3005,$A156,請求記録!$Z$6:$Z$3005,AA$5,請求記録!$AF$6:$AF$3005,"保留中")&gt;0,"保留",IF(COUNTIFS(請求記録!$B$6:$B$3005,$A156,請求記録!$Z$6:$Z$3005,AA$5)=0,"",SUMIFS(請求記録!$AE$6:$AE$3005,請求記録!$B$6:$B$3005,$A156,請求記録!$Z$6:$Z$3005,AA$5))))</f>
        <v/>
      </c>
      <c r="AB156">
        <f>IF(職員マスタ!P156="保留中",職員マスタ!M156,"")</f>
        <v/>
      </c>
    </row>
    <row r="157">
      <c r="A157">
        <f>IF(職員マスタ!A157="","",職員マスタ!A157)</f>
        <v/>
      </c>
      <c r="B157">
        <f>IF($A157="","",職員マスタ!B157)</f>
        <v/>
      </c>
      <c r="C157">
        <f>IF($A157="","",職員マスタ!C157)</f>
        <v/>
      </c>
      <c r="D157" s="19">
        <f>IF($A157="","",IF(COUNTIFS(請求記録!$B$6:$B$3005,$A157,請求記録!$Z$6:$Z$3005,D$5,請求記録!$AF$6:$AF$3005,"保留中")&gt;0,"保留",IF(COUNTIFS(請求記録!$B$6:$B$3005,$A157,請求記録!$Z$6:$Z$3005,D$5)=0,"",SUMIFS(請求記録!$AE$6:$AE$3005,請求記録!$B$6:$B$3005,$A157,請求記録!$Z$6:$Z$3005,D$5))))</f>
        <v/>
      </c>
      <c r="E157" s="19">
        <f>IF($A157="","",IF(COUNTIFS(請求記録!$B$6:$B$3005,$A157,請求記録!$Z$6:$Z$3005,E$5,請求記録!$AF$6:$AF$3005,"保留中")&gt;0,"保留",IF(COUNTIFS(請求記録!$B$6:$B$3005,$A157,請求記録!$Z$6:$Z$3005,E$5)=0,"",SUMIFS(請求記録!$AE$6:$AE$3005,請求記録!$B$6:$B$3005,$A157,請求記録!$Z$6:$Z$3005,E$5))))</f>
        <v/>
      </c>
      <c r="F157" s="19">
        <f>IF($A157="","",IF(COUNTIFS(請求記録!$B$6:$B$3005,$A157,請求記録!$Z$6:$Z$3005,F$5,請求記録!$AF$6:$AF$3005,"保留中")&gt;0,"保留",IF(COUNTIFS(請求記録!$B$6:$B$3005,$A157,請求記録!$Z$6:$Z$3005,F$5)=0,"",SUMIFS(請求記録!$AE$6:$AE$3005,請求記録!$B$6:$B$3005,$A157,請求記録!$Z$6:$Z$3005,F$5))))</f>
        <v/>
      </c>
      <c r="G157" s="19">
        <f>IF($A157="","",IF(COUNTIFS(請求記録!$B$6:$B$3005,$A157,請求記録!$Z$6:$Z$3005,G$5,請求記録!$AF$6:$AF$3005,"保留中")&gt;0,"保留",IF(COUNTIFS(請求記録!$B$6:$B$3005,$A157,請求記録!$Z$6:$Z$3005,G$5)=0,"",SUMIFS(請求記録!$AE$6:$AE$3005,請求記録!$B$6:$B$3005,$A157,請求記録!$Z$6:$Z$3005,G$5))))</f>
        <v/>
      </c>
      <c r="H157" s="19">
        <f>IF($A157="","",IF(COUNTIFS(請求記録!$B$6:$B$3005,$A157,請求記録!$Z$6:$Z$3005,H$5,請求記録!$AF$6:$AF$3005,"保留中")&gt;0,"保留",IF(COUNTIFS(請求記録!$B$6:$B$3005,$A157,請求記録!$Z$6:$Z$3005,H$5)=0,"",SUMIFS(請求記録!$AE$6:$AE$3005,請求記録!$B$6:$B$3005,$A157,請求記録!$Z$6:$Z$3005,H$5))))</f>
        <v/>
      </c>
      <c r="I157" s="19">
        <f>IF($A157="","",IF(COUNTIFS(請求記録!$B$6:$B$3005,$A157,請求記録!$Z$6:$Z$3005,I$5,請求記録!$AF$6:$AF$3005,"保留中")&gt;0,"保留",IF(COUNTIFS(請求記録!$B$6:$B$3005,$A157,請求記録!$Z$6:$Z$3005,I$5)=0,"",SUMIFS(請求記録!$AE$6:$AE$3005,請求記録!$B$6:$B$3005,$A157,請求記録!$Z$6:$Z$3005,I$5))))</f>
        <v/>
      </c>
      <c r="J157" s="19">
        <f>IF($A157="","",IF(COUNTIFS(請求記録!$B$6:$B$3005,$A157,請求記録!$Z$6:$Z$3005,J$5,請求記録!$AF$6:$AF$3005,"保留中")&gt;0,"保留",IF(COUNTIFS(請求記録!$B$6:$B$3005,$A157,請求記録!$Z$6:$Z$3005,J$5)=0,"",SUMIFS(請求記録!$AE$6:$AE$3005,請求記録!$B$6:$B$3005,$A157,請求記録!$Z$6:$Z$3005,J$5))))</f>
        <v/>
      </c>
      <c r="K157" s="19">
        <f>IF($A157="","",IF(COUNTIFS(請求記録!$B$6:$B$3005,$A157,請求記録!$Z$6:$Z$3005,K$5,請求記録!$AF$6:$AF$3005,"保留中")&gt;0,"保留",IF(COUNTIFS(請求記録!$B$6:$B$3005,$A157,請求記録!$Z$6:$Z$3005,K$5)=0,"",SUMIFS(請求記録!$AE$6:$AE$3005,請求記録!$B$6:$B$3005,$A157,請求記録!$Z$6:$Z$3005,K$5))))</f>
        <v/>
      </c>
      <c r="L157" s="19">
        <f>IF($A157="","",IF(COUNTIFS(請求記録!$B$6:$B$3005,$A157,請求記録!$Z$6:$Z$3005,L$5,請求記録!$AF$6:$AF$3005,"保留中")&gt;0,"保留",IF(COUNTIFS(請求記録!$B$6:$B$3005,$A157,請求記録!$Z$6:$Z$3005,L$5)=0,"",SUMIFS(請求記録!$AE$6:$AE$3005,請求記録!$B$6:$B$3005,$A157,請求記録!$Z$6:$Z$3005,L$5))))</f>
        <v/>
      </c>
      <c r="M157" s="19">
        <f>IF($A157="","",IF(COUNTIFS(請求記録!$B$6:$B$3005,$A157,請求記録!$Z$6:$Z$3005,M$5,請求記録!$AF$6:$AF$3005,"保留中")&gt;0,"保留",IF(COUNTIFS(請求記録!$B$6:$B$3005,$A157,請求記録!$Z$6:$Z$3005,M$5)=0,"",SUMIFS(請求記録!$AE$6:$AE$3005,請求記録!$B$6:$B$3005,$A157,請求記録!$Z$6:$Z$3005,M$5))))</f>
        <v/>
      </c>
      <c r="N157" s="19">
        <f>IF($A157="","",IF(COUNTIFS(請求記録!$B$6:$B$3005,$A157,請求記録!$Z$6:$Z$3005,N$5,請求記録!$AF$6:$AF$3005,"保留中")&gt;0,"保留",IF(COUNTIFS(請求記録!$B$6:$B$3005,$A157,請求記録!$Z$6:$Z$3005,N$5)=0,"",SUMIFS(請求記録!$AE$6:$AE$3005,請求記録!$B$6:$B$3005,$A157,請求記録!$Z$6:$Z$3005,N$5))))</f>
        <v/>
      </c>
      <c r="O157" s="19">
        <f>IF($A157="","",IF(COUNTIFS(請求記録!$B$6:$B$3005,$A157,請求記録!$Z$6:$Z$3005,O$5,請求記録!$AF$6:$AF$3005,"保留中")&gt;0,"保留",IF(COUNTIFS(請求記録!$B$6:$B$3005,$A157,請求記録!$Z$6:$Z$3005,O$5)=0,"",SUMIFS(請求記録!$AE$6:$AE$3005,請求記録!$B$6:$B$3005,$A157,請求記録!$Z$6:$Z$3005,O$5))))</f>
        <v/>
      </c>
      <c r="P157" s="19">
        <f>IF($A157="","",IF(COUNTIFS(請求記録!$B$6:$B$3005,$A157,請求記録!$Z$6:$Z$3005,P$5,請求記録!$AF$6:$AF$3005,"保留中")&gt;0,"保留",IF(COUNTIFS(請求記録!$B$6:$B$3005,$A157,請求記録!$Z$6:$Z$3005,P$5)=0,"",SUMIFS(請求記録!$AE$6:$AE$3005,請求記録!$B$6:$B$3005,$A157,請求記録!$Z$6:$Z$3005,P$5))))</f>
        <v/>
      </c>
      <c r="Q157" s="19">
        <f>IF($A157="","",IF(COUNTIFS(請求記録!$B$6:$B$3005,$A157,請求記録!$Z$6:$Z$3005,Q$5,請求記録!$AF$6:$AF$3005,"保留中")&gt;0,"保留",IF(COUNTIFS(請求記録!$B$6:$B$3005,$A157,請求記録!$Z$6:$Z$3005,Q$5)=0,"",SUMIFS(請求記録!$AE$6:$AE$3005,請求記録!$B$6:$B$3005,$A157,請求記録!$Z$6:$Z$3005,Q$5))))</f>
        <v/>
      </c>
      <c r="R157" s="19">
        <f>IF($A157="","",IF(COUNTIFS(請求記録!$B$6:$B$3005,$A157,請求記録!$Z$6:$Z$3005,R$5,請求記録!$AF$6:$AF$3005,"保留中")&gt;0,"保留",IF(COUNTIFS(請求記録!$B$6:$B$3005,$A157,請求記録!$Z$6:$Z$3005,R$5)=0,"",SUMIFS(請求記録!$AE$6:$AE$3005,請求記録!$B$6:$B$3005,$A157,請求記録!$Z$6:$Z$3005,R$5))))</f>
        <v/>
      </c>
      <c r="S157" s="19">
        <f>IF($A157="","",IF(COUNTIFS(請求記録!$B$6:$B$3005,$A157,請求記録!$Z$6:$Z$3005,S$5,請求記録!$AF$6:$AF$3005,"保留中")&gt;0,"保留",IF(COUNTIFS(請求記録!$B$6:$B$3005,$A157,請求記録!$Z$6:$Z$3005,S$5)=0,"",SUMIFS(請求記録!$AE$6:$AE$3005,請求記録!$B$6:$B$3005,$A157,請求記録!$Z$6:$Z$3005,S$5))))</f>
        <v/>
      </c>
      <c r="T157" s="19">
        <f>IF($A157="","",IF(COUNTIFS(請求記録!$B$6:$B$3005,$A157,請求記録!$Z$6:$Z$3005,T$5,請求記録!$AF$6:$AF$3005,"保留中")&gt;0,"保留",IF(COUNTIFS(請求記録!$B$6:$B$3005,$A157,請求記録!$Z$6:$Z$3005,T$5)=0,"",SUMIFS(請求記録!$AE$6:$AE$3005,請求記録!$B$6:$B$3005,$A157,請求記録!$Z$6:$Z$3005,T$5))))</f>
        <v/>
      </c>
      <c r="U157" s="19">
        <f>IF($A157="","",IF(COUNTIFS(請求記録!$B$6:$B$3005,$A157,請求記録!$Z$6:$Z$3005,U$5,請求記録!$AF$6:$AF$3005,"保留中")&gt;0,"保留",IF(COUNTIFS(請求記録!$B$6:$B$3005,$A157,請求記録!$Z$6:$Z$3005,U$5)=0,"",SUMIFS(請求記録!$AE$6:$AE$3005,請求記録!$B$6:$B$3005,$A157,請求記録!$Z$6:$Z$3005,U$5))))</f>
        <v/>
      </c>
      <c r="V157" s="19">
        <f>IF($A157="","",IF(COUNTIFS(請求記録!$B$6:$B$3005,$A157,請求記録!$Z$6:$Z$3005,V$5,請求記録!$AF$6:$AF$3005,"保留中")&gt;0,"保留",IF(COUNTIFS(請求記録!$B$6:$B$3005,$A157,請求記録!$Z$6:$Z$3005,V$5)=0,"",SUMIFS(請求記録!$AE$6:$AE$3005,請求記録!$B$6:$B$3005,$A157,請求記録!$Z$6:$Z$3005,V$5))))</f>
        <v/>
      </c>
      <c r="W157" s="19">
        <f>IF($A157="","",IF(COUNTIFS(請求記録!$B$6:$B$3005,$A157,請求記録!$Z$6:$Z$3005,W$5,請求記録!$AF$6:$AF$3005,"保留中")&gt;0,"保留",IF(COUNTIFS(請求記録!$B$6:$B$3005,$A157,請求記録!$Z$6:$Z$3005,W$5)=0,"",SUMIFS(請求記録!$AE$6:$AE$3005,請求記録!$B$6:$B$3005,$A157,請求記録!$Z$6:$Z$3005,W$5))))</f>
        <v/>
      </c>
      <c r="X157" s="19">
        <f>IF($A157="","",IF(COUNTIFS(請求記録!$B$6:$B$3005,$A157,請求記録!$Z$6:$Z$3005,X$5,請求記録!$AF$6:$AF$3005,"保留中")&gt;0,"保留",IF(COUNTIFS(請求記録!$B$6:$B$3005,$A157,請求記録!$Z$6:$Z$3005,X$5)=0,"",SUMIFS(請求記録!$AE$6:$AE$3005,請求記録!$B$6:$B$3005,$A157,請求記録!$Z$6:$Z$3005,X$5))))</f>
        <v/>
      </c>
      <c r="Y157" s="19">
        <f>IF($A157="","",IF(COUNTIFS(請求記録!$B$6:$B$3005,$A157,請求記録!$Z$6:$Z$3005,Y$5,請求記録!$AF$6:$AF$3005,"保留中")&gt;0,"保留",IF(COUNTIFS(請求記録!$B$6:$B$3005,$A157,請求記録!$Z$6:$Z$3005,Y$5)=0,"",SUMIFS(請求記録!$AE$6:$AE$3005,請求記録!$B$6:$B$3005,$A157,請求記録!$Z$6:$Z$3005,Y$5))))</f>
        <v/>
      </c>
      <c r="Z157" s="19">
        <f>IF($A157="","",IF(COUNTIFS(請求記録!$B$6:$B$3005,$A157,請求記録!$Z$6:$Z$3005,Z$5,請求記録!$AF$6:$AF$3005,"保留中")&gt;0,"保留",IF(COUNTIFS(請求記録!$B$6:$B$3005,$A157,請求記録!$Z$6:$Z$3005,Z$5)=0,"",SUMIFS(請求記録!$AE$6:$AE$3005,請求記録!$B$6:$B$3005,$A157,請求記録!$Z$6:$Z$3005,Z$5))))</f>
        <v/>
      </c>
      <c r="AA157" s="19">
        <f>IF($A157="","",IF(COUNTIFS(請求記録!$B$6:$B$3005,$A157,請求記録!$Z$6:$Z$3005,AA$5,請求記録!$AF$6:$AF$3005,"保留中")&gt;0,"保留",IF(COUNTIFS(請求記録!$B$6:$B$3005,$A157,請求記録!$Z$6:$Z$3005,AA$5)=0,"",SUMIFS(請求記録!$AE$6:$AE$3005,請求記録!$B$6:$B$3005,$A157,請求記録!$Z$6:$Z$3005,AA$5))))</f>
        <v/>
      </c>
      <c r="AB157">
        <f>IF(職員マスタ!P157="保留中",職員マスタ!M157,"")</f>
        <v/>
      </c>
    </row>
    <row r="158">
      <c r="A158">
        <f>IF(職員マスタ!A158="","",職員マスタ!A158)</f>
        <v/>
      </c>
      <c r="B158">
        <f>IF($A158="","",職員マスタ!B158)</f>
        <v/>
      </c>
      <c r="C158">
        <f>IF($A158="","",職員マスタ!C158)</f>
        <v/>
      </c>
      <c r="D158" s="19">
        <f>IF($A158="","",IF(COUNTIFS(請求記録!$B$6:$B$3005,$A158,請求記録!$Z$6:$Z$3005,D$5,請求記録!$AF$6:$AF$3005,"保留中")&gt;0,"保留",IF(COUNTIFS(請求記録!$B$6:$B$3005,$A158,請求記録!$Z$6:$Z$3005,D$5)=0,"",SUMIFS(請求記録!$AE$6:$AE$3005,請求記録!$B$6:$B$3005,$A158,請求記録!$Z$6:$Z$3005,D$5))))</f>
        <v/>
      </c>
      <c r="E158" s="19">
        <f>IF($A158="","",IF(COUNTIFS(請求記録!$B$6:$B$3005,$A158,請求記録!$Z$6:$Z$3005,E$5,請求記録!$AF$6:$AF$3005,"保留中")&gt;0,"保留",IF(COUNTIFS(請求記録!$B$6:$B$3005,$A158,請求記録!$Z$6:$Z$3005,E$5)=0,"",SUMIFS(請求記録!$AE$6:$AE$3005,請求記録!$B$6:$B$3005,$A158,請求記録!$Z$6:$Z$3005,E$5))))</f>
        <v/>
      </c>
      <c r="F158" s="19">
        <f>IF($A158="","",IF(COUNTIFS(請求記録!$B$6:$B$3005,$A158,請求記録!$Z$6:$Z$3005,F$5,請求記録!$AF$6:$AF$3005,"保留中")&gt;0,"保留",IF(COUNTIFS(請求記録!$B$6:$B$3005,$A158,請求記録!$Z$6:$Z$3005,F$5)=0,"",SUMIFS(請求記録!$AE$6:$AE$3005,請求記録!$B$6:$B$3005,$A158,請求記録!$Z$6:$Z$3005,F$5))))</f>
        <v/>
      </c>
      <c r="G158" s="19">
        <f>IF($A158="","",IF(COUNTIFS(請求記録!$B$6:$B$3005,$A158,請求記録!$Z$6:$Z$3005,G$5,請求記録!$AF$6:$AF$3005,"保留中")&gt;0,"保留",IF(COUNTIFS(請求記録!$B$6:$B$3005,$A158,請求記録!$Z$6:$Z$3005,G$5)=0,"",SUMIFS(請求記録!$AE$6:$AE$3005,請求記録!$B$6:$B$3005,$A158,請求記録!$Z$6:$Z$3005,G$5))))</f>
        <v/>
      </c>
      <c r="H158" s="19">
        <f>IF($A158="","",IF(COUNTIFS(請求記録!$B$6:$B$3005,$A158,請求記録!$Z$6:$Z$3005,H$5,請求記録!$AF$6:$AF$3005,"保留中")&gt;0,"保留",IF(COUNTIFS(請求記録!$B$6:$B$3005,$A158,請求記録!$Z$6:$Z$3005,H$5)=0,"",SUMIFS(請求記録!$AE$6:$AE$3005,請求記録!$B$6:$B$3005,$A158,請求記録!$Z$6:$Z$3005,H$5))))</f>
        <v/>
      </c>
      <c r="I158" s="19">
        <f>IF($A158="","",IF(COUNTIFS(請求記録!$B$6:$B$3005,$A158,請求記録!$Z$6:$Z$3005,I$5,請求記録!$AF$6:$AF$3005,"保留中")&gt;0,"保留",IF(COUNTIFS(請求記録!$B$6:$B$3005,$A158,請求記録!$Z$6:$Z$3005,I$5)=0,"",SUMIFS(請求記録!$AE$6:$AE$3005,請求記録!$B$6:$B$3005,$A158,請求記録!$Z$6:$Z$3005,I$5))))</f>
        <v/>
      </c>
      <c r="J158" s="19">
        <f>IF($A158="","",IF(COUNTIFS(請求記録!$B$6:$B$3005,$A158,請求記録!$Z$6:$Z$3005,J$5,請求記録!$AF$6:$AF$3005,"保留中")&gt;0,"保留",IF(COUNTIFS(請求記録!$B$6:$B$3005,$A158,請求記録!$Z$6:$Z$3005,J$5)=0,"",SUMIFS(請求記録!$AE$6:$AE$3005,請求記録!$B$6:$B$3005,$A158,請求記録!$Z$6:$Z$3005,J$5))))</f>
        <v/>
      </c>
      <c r="K158" s="19">
        <f>IF($A158="","",IF(COUNTIFS(請求記録!$B$6:$B$3005,$A158,請求記録!$Z$6:$Z$3005,K$5,請求記録!$AF$6:$AF$3005,"保留中")&gt;0,"保留",IF(COUNTIFS(請求記録!$B$6:$B$3005,$A158,請求記録!$Z$6:$Z$3005,K$5)=0,"",SUMIFS(請求記録!$AE$6:$AE$3005,請求記録!$B$6:$B$3005,$A158,請求記録!$Z$6:$Z$3005,K$5))))</f>
        <v/>
      </c>
      <c r="L158" s="19">
        <f>IF($A158="","",IF(COUNTIFS(請求記録!$B$6:$B$3005,$A158,請求記録!$Z$6:$Z$3005,L$5,請求記録!$AF$6:$AF$3005,"保留中")&gt;0,"保留",IF(COUNTIFS(請求記録!$B$6:$B$3005,$A158,請求記録!$Z$6:$Z$3005,L$5)=0,"",SUMIFS(請求記録!$AE$6:$AE$3005,請求記録!$B$6:$B$3005,$A158,請求記録!$Z$6:$Z$3005,L$5))))</f>
        <v/>
      </c>
      <c r="M158" s="19">
        <f>IF($A158="","",IF(COUNTIFS(請求記録!$B$6:$B$3005,$A158,請求記録!$Z$6:$Z$3005,M$5,請求記録!$AF$6:$AF$3005,"保留中")&gt;0,"保留",IF(COUNTIFS(請求記録!$B$6:$B$3005,$A158,請求記録!$Z$6:$Z$3005,M$5)=0,"",SUMIFS(請求記録!$AE$6:$AE$3005,請求記録!$B$6:$B$3005,$A158,請求記録!$Z$6:$Z$3005,M$5))))</f>
        <v/>
      </c>
      <c r="N158" s="19">
        <f>IF($A158="","",IF(COUNTIFS(請求記録!$B$6:$B$3005,$A158,請求記録!$Z$6:$Z$3005,N$5,請求記録!$AF$6:$AF$3005,"保留中")&gt;0,"保留",IF(COUNTIFS(請求記録!$B$6:$B$3005,$A158,請求記録!$Z$6:$Z$3005,N$5)=0,"",SUMIFS(請求記録!$AE$6:$AE$3005,請求記録!$B$6:$B$3005,$A158,請求記録!$Z$6:$Z$3005,N$5))))</f>
        <v/>
      </c>
      <c r="O158" s="19">
        <f>IF($A158="","",IF(COUNTIFS(請求記録!$B$6:$B$3005,$A158,請求記録!$Z$6:$Z$3005,O$5,請求記録!$AF$6:$AF$3005,"保留中")&gt;0,"保留",IF(COUNTIFS(請求記録!$B$6:$B$3005,$A158,請求記録!$Z$6:$Z$3005,O$5)=0,"",SUMIFS(請求記録!$AE$6:$AE$3005,請求記録!$B$6:$B$3005,$A158,請求記録!$Z$6:$Z$3005,O$5))))</f>
        <v/>
      </c>
      <c r="P158" s="19">
        <f>IF($A158="","",IF(COUNTIFS(請求記録!$B$6:$B$3005,$A158,請求記録!$Z$6:$Z$3005,P$5,請求記録!$AF$6:$AF$3005,"保留中")&gt;0,"保留",IF(COUNTIFS(請求記録!$B$6:$B$3005,$A158,請求記録!$Z$6:$Z$3005,P$5)=0,"",SUMIFS(請求記録!$AE$6:$AE$3005,請求記録!$B$6:$B$3005,$A158,請求記録!$Z$6:$Z$3005,P$5))))</f>
        <v/>
      </c>
      <c r="Q158" s="19">
        <f>IF($A158="","",IF(COUNTIFS(請求記録!$B$6:$B$3005,$A158,請求記録!$Z$6:$Z$3005,Q$5,請求記録!$AF$6:$AF$3005,"保留中")&gt;0,"保留",IF(COUNTIFS(請求記録!$B$6:$B$3005,$A158,請求記録!$Z$6:$Z$3005,Q$5)=0,"",SUMIFS(請求記録!$AE$6:$AE$3005,請求記録!$B$6:$B$3005,$A158,請求記録!$Z$6:$Z$3005,Q$5))))</f>
        <v/>
      </c>
      <c r="R158" s="19">
        <f>IF($A158="","",IF(COUNTIFS(請求記録!$B$6:$B$3005,$A158,請求記録!$Z$6:$Z$3005,R$5,請求記録!$AF$6:$AF$3005,"保留中")&gt;0,"保留",IF(COUNTIFS(請求記録!$B$6:$B$3005,$A158,請求記録!$Z$6:$Z$3005,R$5)=0,"",SUMIFS(請求記録!$AE$6:$AE$3005,請求記録!$B$6:$B$3005,$A158,請求記録!$Z$6:$Z$3005,R$5))))</f>
        <v/>
      </c>
      <c r="S158" s="19">
        <f>IF($A158="","",IF(COUNTIFS(請求記録!$B$6:$B$3005,$A158,請求記録!$Z$6:$Z$3005,S$5,請求記録!$AF$6:$AF$3005,"保留中")&gt;0,"保留",IF(COUNTIFS(請求記録!$B$6:$B$3005,$A158,請求記録!$Z$6:$Z$3005,S$5)=0,"",SUMIFS(請求記録!$AE$6:$AE$3005,請求記録!$B$6:$B$3005,$A158,請求記録!$Z$6:$Z$3005,S$5))))</f>
        <v/>
      </c>
      <c r="T158" s="19">
        <f>IF($A158="","",IF(COUNTIFS(請求記録!$B$6:$B$3005,$A158,請求記録!$Z$6:$Z$3005,T$5,請求記録!$AF$6:$AF$3005,"保留中")&gt;0,"保留",IF(COUNTIFS(請求記録!$B$6:$B$3005,$A158,請求記録!$Z$6:$Z$3005,T$5)=0,"",SUMIFS(請求記録!$AE$6:$AE$3005,請求記録!$B$6:$B$3005,$A158,請求記録!$Z$6:$Z$3005,T$5))))</f>
        <v/>
      </c>
      <c r="U158" s="19">
        <f>IF($A158="","",IF(COUNTIFS(請求記録!$B$6:$B$3005,$A158,請求記録!$Z$6:$Z$3005,U$5,請求記録!$AF$6:$AF$3005,"保留中")&gt;0,"保留",IF(COUNTIFS(請求記録!$B$6:$B$3005,$A158,請求記録!$Z$6:$Z$3005,U$5)=0,"",SUMIFS(請求記録!$AE$6:$AE$3005,請求記録!$B$6:$B$3005,$A158,請求記録!$Z$6:$Z$3005,U$5))))</f>
        <v/>
      </c>
      <c r="V158" s="19">
        <f>IF($A158="","",IF(COUNTIFS(請求記録!$B$6:$B$3005,$A158,請求記録!$Z$6:$Z$3005,V$5,請求記録!$AF$6:$AF$3005,"保留中")&gt;0,"保留",IF(COUNTIFS(請求記録!$B$6:$B$3005,$A158,請求記録!$Z$6:$Z$3005,V$5)=0,"",SUMIFS(請求記録!$AE$6:$AE$3005,請求記録!$B$6:$B$3005,$A158,請求記録!$Z$6:$Z$3005,V$5))))</f>
        <v/>
      </c>
      <c r="W158" s="19">
        <f>IF($A158="","",IF(COUNTIFS(請求記録!$B$6:$B$3005,$A158,請求記録!$Z$6:$Z$3005,W$5,請求記録!$AF$6:$AF$3005,"保留中")&gt;0,"保留",IF(COUNTIFS(請求記録!$B$6:$B$3005,$A158,請求記録!$Z$6:$Z$3005,W$5)=0,"",SUMIFS(請求記録!$AE$6:$AE$3005,請求記録!$B$6:$B$3005,$A158,請求記録!$Z$6:$Z$3005,W$5))))</f>
        <v/>
      </c>
      <c r="X158" s="19">
        <f>IF($A158="","",IF(COUNTIFS(請求記録!$B$6:$B$3005,$A158,請求記録!$Z$6:$Z$3005,X$5,請求記録!$AF$6:$AF$3005,"保留中")&gt;0,"保留",IF(COUNTIFS(請求記録!$B$6:$B$3005,$A158,請求記録!$Z$6:$Z$3005,X$5)=0,"",SUMIFS(請求記録!$AE$6:$AE$3005,請求記録!$B$6:$B$3005,$A158,請求記録!$Z$6:$Z$3005,X$5))))</f>
        <v/>
      </c>
      <c r="Y158" s="19">
        <f>IF($A158="","",IF(COUNTIFS(請求記録!$B$6:$B$3005,$A158,請求記録!$Z$6:$Z$3005,Y$5,請求記録!$AF$6:$AF$3005,"保留中")&gt;0,"保留",IF(COUNTIFS(請求記録!$B$6:$B$3005,$A158,請求記録!$Z$6:$Z$3005,Y$5)=0,"",SUMIFS(請求記録!$AE$6:$AE$3005,請求記録!$B$6:$B$3005,$A158,請求記録!$Z$6:$Z$3005,Y$5))))</f>
        <v/>
      </c>
      <c r="Z158" s="19">
        <f>IF($A158="","",IF(COUNTIFS(請求記録!$B$6:$B$3005,$A158,請求記録!$Z$6:$Z$3005,Z$5,請求記録!$AF$6:$AF$3005,"保留中")&gt;0,"保留",IF(COUNTIFS(請求記録!$B$6:$B$3005,$A158,請求記録!$Z$6:$Z$3005,Z$5)=0,"",SUMIFS(請求記録!$AE$6:$AE$3005,請求記録!$B$6:$B$3005,$A158,請求記録!$Z$6:$Z$3005,Z$5))))</f>
        <v/>
      </c>
      <c r="AA158" s="19">
        <f>IF($A158="","",IF(COUNTIFS(請求記録!$B$6:$B$3005,$A158,請求記録!$Z$6:$Z$3005,AA$5,請求記録!$AF$6:$AF$3005,"保留中")&gt;0,"保留",IF(COUNTIFS(請求記録!$B$6:$B$3005,$A158,請求記録!$Z$6:$Z$3005,AA$5)=0,"",SUMIFS(請求記録!$AE$6:$AE$3005,請求記録!$B$6:$B$3005,$A158,請求記録!$Z$6:$Z$3005,AA$5))))</f>
        <v/>
      </c>
      <c r="AB158">
        <f>IF(職員マスタ!P158="保留中",職員マスタ!M158,"")</f>
        <v/>
      </c>
    </row>
    <row r="159">
      <c r="A159">
        <f>IF(職員マスタ!A159="","",職員マスタ!A159)</f>
        <v/>
      </c>
      <c r="B159">
        <f>IF($A159="","",職員マスタ!B159)</f>
        <v/>
      </c>
      <c r="C159">
        <f>IF($A159="","",職員マスタ!C159)</f>
        <v/>
      </c>
      <c r="D159" s="19">
        <f>IF($A159="","",IF(COUNTIFS(請求記録!$B$6:$B$3005,$A159,請求記録!$Z$6:$Z$3005,D$5,請求記録!$AF$6:$AF$3005,"保留中")&gt;0,"保留",IF(COUNTIFS(請求記録!$B$6:$B$3005,$A159,請求記録!$Z$6:$Z$3005,D$5)=0,"",SUMIFS(請求記録!$AE$6:$AE$3005,請求記録!$B$6:$B$3005,$A159,請求記録!$Z$6:$Z$3005,D$5))))</f>
        <v/>
      </c>
      <c r="E159" s="19">
        <f>IF($A159="","",IF(COUNTIFS(請求記録!$B$6:$B$3005,$A159,請求記録!$Z$6:$Z$3005,E$5,請求記録!$AF$6:$AF$3005,"保留中")&gt;0,"保留",IF(COUNTIFS(請求記録!$B$6:$B$3005,$A159,請求記録!$Z$6:$Z$3005,E$5)=0,"",SUMIFS(請求記録!$AE$6:$AE$3005,請求記録!$B$6:$B$3005,$A159,請求記録!$Z$6:$Z$3005,E$5))))</f>
        <v/>
      </c>
      <c r="F159" s="19">
        <f>IF($A159="","",IF(COUNTIFS(請求記録!$B$6:$B$3005,$A159,請求記録!$Z$6:$Z$3005,F$5,請求記録!$AF$6:$AF$3005,"保留中")&gt;0,"保留",IF(COUNTIFS(請求記録!$B$6:$B$3005,$A159,請求記録!$Z$6:$Z$3005,F$5)=0,"",SUMIFS(請求記録!$AE$6:$AE$3005,請求記録!$B$6:$B$3005,$A159,請求記録!$Z$6:$Z$3005,F$5))))</f>
        <v/>
      </c>
      <c r="G159" s="19">
        <f>IF($A159="","",IF(COUNTIFS(請求記録!$B$6:$B$3005,$A159,請求記録!$Z$6:$Z$3005,G$5,請求記録!$AF$6:$AF$3005,"保留中")&gt;0,"保留",IF(COUNTIFS(請求記録!$B$6:$B$3005,$A159,請求記録!$Z$6:$Z$3005,G$5)=0,"",SUMIFS(請求記録!$AE$6:$AE$3005,請求記録!$B$6:$B$3005,$A159,請求記録!$Z$6:$Z$3005,G$5))))</f>
        <v/>
      </c>
      <c r="H159" s="19">
        <f>IF($A159="","",IF(COUNTIFS(請求記録!$B$6:$B$3005,$A159,請求記録!$Z$6:$Z$3005,H$5,請求記録!$AF$6:$AF$3005,"保留中")&gt;0,"保留",IF(COUNTIFS(請求記録!$B$6:$B$3005,$A159,請求記録!$Z$6:$Z$3005,H$5)=0,"",SUMIFS(請求記録!$AE$6:$AE$3005,請求記録!$B$6:$B$3005,$A159,請求記録!$Z$6:$Z$3005,H$5))))</f>
        <v/>
      </c>
      <c r="I159" s="19">
        <f>IF($A159="","",IF(COUNTIFS(請求記録!$B$6:$B$3005,$A159,請求記録!$Z$6:$Z$3005,I$5,請求記録!$AF$6:$AF$3005,"保留中")&gt;0,"保留",IF(COUNTIFS(請求記録!$B$6:$B$3005,$A159,請求記録!$Z$6:$Z$3005,I$5)=0,"",SUMIFS(請求記録!$AE$6:$AE$3005,請求記録!$B$6:$B$3005,$A159,請求記録!$Z$6:$Z$3005,I$5))))</f>
        <v/>
      </c>
      <c r="J159" s="19">
        <f>IF($A159="","",IF(COUNTIFS(請求記録!$B$6:$B$3005,$A159,請求記録!$Z$6:$Z$3005,J$5,請求記録!$AF$6:$AF$3005,"保留中")&gt;0,"保留",IF(COUNTIFS(請求記録!$B$6:$B$3005,$A159,請求記録!$Z$6:$Z$3005,J$5)=0,"",SUMIFS(請求記録!$AE$6:$AE$3005,請求記録!$B$6:$B$3005,$A159,請求記録!$Z$6:$Z$3005,J$5))))</f>
        <v/>
      </c>
      <c r="K159" s="19">
        <f>IF($A159="","",IF(COUNTIFS(請求記録!$B$6:$B$3005,$A159,請求記録!$Z$6:$Z$3005,K$5,請求記録!$AF$6:$AF$3005,"保留中")&gt;0,"保留",IF(COUNTIFS(請求記録!$B$6:$B$3005,$A159,請求記録!$Z$6:$Z$3005,K$5)=0,"",SUMIFS(請求記録!$AE$6:$AE$3005,請求記録!$B$6:$B$3005,$A159,請求記録!$Z$6:$Z$3005,K$5))))</f>
        <v/>
      </c>
      <c r="L159" s="19">
        <f>IF($A159="","",IF(COUNTIFS(請求記録!$B$6:$B$3005,$A159,請求記録!$Z$6:$Z$3005,L$5,請求記録!$AF$6:$AF$3005,"保留中")&gt;0,"保留",IF(COUNTIFS(請求記録!$B$6:$B$3005,$A159,請求記録!$Z$6:$Z$3005,L$5)=0,"",SUMIFS(請求記録!$AE$6:$AE$3005,請求記録!$B$6:$B$3005,$A159,請求記録!$Z$6:$Z$3005,L$5))))</f>
        <v/>
      </c>
      <c r="M159" s="19">
        <f>IF($A159="","",IF(COUNTIFS(請求記録!$B$6:$B$3005,$A159,請求記録!$Z$6:$Z$3005,M$5,請求記録!$AF$6:$AF$3005,"保留中")&gt;0,"保留",IF(COUNTIFS(請求記録!$B$6:$B$3005,$A159,請求記録!$Z$6:$Z$3005,M$5)=0,"",SUMIFS(請求記録!$AE$6:$AE$3005,請求記録!$B$6:$B$3005,$A159,請求記録!$Z$6:$Z$3005,M$5))))</f>
        <v/>
      </c>
      <c r="N159" s="19">
        <f>IF($A159="","",IF(COUNTIFS(請求記録!$B$6:$B$3005,$A159,請求記録!$Z$6:$Z$3005,N$5,請求記録!$AF$6:$AF$3005,"保留中")&gt;0,"保留",IF(COUNTIFS(請求記録!$B$6:$B$3005,$A159,請求記録!$Z$6:$Z$3005,N$5)=0,"",SUMIFS(請求記録!$AE$6:$AE$3005,請求記録!$B$6:$B$3005,$A159,請求記録!$Z$6:$Z$3005,N$5))))</f>
        <v/>
      </c>
      <c r="O159" s="19">
        <f>IF($A159="","",IF(COUNTIFS(請求記録!$B$6:$B$3005,$A159,請求記録!$Z$6:$Z$3005,O$5,請求記録!$AF$6:$AF$3005,"保留中")&gt;0,"保留",IF(COUNTIFS(請求記録!$B$6:$B$3005,$A159,請求記録!$Z$6:$Z$3005,O$5)=0,"",SUMIFS(請求記録!$AE$6:$AE$3005,請求記録!$B$6:$B$3005,$A159,請求記録!$Z$6:$Z$3005,O$5))))</f>
        <v/>
      </c>
      <c r="P159" s="19">
        <f>IF($A159="","",IF(COUNTIFS(請求記録!$B$6:$B$3005,$A159,請求記録!$Z$6:$Z$3005,P$5,請求記録!$AF$6:$AF$3005,"保留中")&gt;0,"保留",IF(COUNTIFS(請求記録!$B$6:$B$3005,$A159,請求記録!$Z$6:$Z$3005,P$5)=0,"",SUMIFS(請求記録!$AE$6:$AE$3005,請求記録!$B$6:$B$3005,$A159,請求記録!$Z$6:$Z$3005,P$5))))</f>
        <v/>
      </c>
      <c r="Q159" s="19">
        <f>IF($A159="","",IF(COUNTIFS(請求記録!$B$6:$B$3005,$A159,請求記録!$Z$6:$Z$3005,Q$5,請求記録!$AF$6:$AF$3005,"保留中")&gt;0,"保留",IF(COUNTIFS(請求記録!$B$6:$B$3005,$A159,請求記録!$Z$6:$Z$3005,Q$5)=0,"",SUMIFS(請求記録!$AE$6:$AE$3005,請求記録!$B$6:$B$3005,$A159,請求記録!$Z$6:$Z$3005,Q$5))))</f>
        <v/>
      </c>
      <c r="R159" s="19">
        <f>IF($A159="","",IF(COUNTIFS(請求記録!$B$6:$B$3005,$A159,請求記録!$Z$6:$Z$3005,R$5,請求記録!$AF$6:$AF$3005,"保留中")&gt;0,"保留",IF(COUNTIFS(請求記録!$B$6:$B$3005,$A159,請求記録!$Z$6:$Z$3005,R$5)=0,"",SUMIFS(請求記録!$AE$6:$AE$3005,請求記録!$B$6:$B$3005,$A159,請求記録!$Z$6:$Z$3005,R$5))))</f>
        <v/>
      </c>
      <c r="S159" s="19">
        <f>IF($A159="","",IF(COUNTIFS(請求記録!$B$6:$B$3005,$A159,請求記録!$Z$6:$Z$3005,S$5,請求記録!$AF$6:$AF$3005,"保留中")&gt;0,"保留",IF(COUNTIFS(請求記録!$B$6:$B$3005,$A159,請求記録!$Z$6:$Z$3005,S$5)=0,"",SUMIFS(請求記録!$AE$6:$AE$3005,請求記録!$B$6:$B$3005,$A159,請求記録!$Z$6:$Z$3005,S$5))))</f>
        <v/>
      </c>
      <c r="T159" s="19">
        <f>IF($A159="","",IF(COUNTIFS(請求記録!$B$6:$B$3005,$A159,請求記録!$Z$6:$Z$3005,T$5,請求記録!$AF$6:$AF$3005,"保留中")&gt;0,"保留",IF(COUNTIFS(請求記録!$B$6:$B$3005,$A159,請求記録!$Z$6:$Z$3005,T$5)=0,"",SUMIFS(請求記録!$AE$6:$AE$3005,請求記録!$B$6:$B$3005,$A159,請求記録!$Z$6:$Z$3005,T$5))))</f>
        <v/>
      </c>
      <c r="U159" s="19">
        <f>IF($A159="","",IF(COUNTIFS(請求記録!$B$6:$B$3005,$A159,請求記録!$Z$6:$Z$3005,U$5,請求記録!$AF$6:$AF$3005,"保留中")&gt;0,"保留",IF(COUNTIFS(請求記録!$B$6:$B$3005,$A159,請求記録!$Z$6:$Z$3005,U$5)=0,"",SUMIFS(請求記録!$AE$6:$AE$3005,請求記録!$B$6:$B$3005,$A159,請求記録!$Z$6:$Z$3005,U$5))))</f>
        <v/>
      </c>
      <c r="V159" s="19">
        <f>IF($A159="","",IF(COUNTIFS(請求記録!$B$6:$B$3005,$A159,請求記録!$Z$6:$Z$3005,V$5,請求記録!$AF$6:$AF$3005,"保留中")&gt;0,"保留",IF(COUNTIFS(請求記録!$B$6:$B$3005,$A159,請求記録!$Z$6:$Z$3005,V$5)=0,"",SUMIFS(請求記録!$AE$6:$AE$3005,請求記録!$B$6:$B$3005,$A159,請求記録!$Z$6:$Z$3005,V$5))))</f>
        <v/>
      </c>
      <c r="W159" s="19">
        <f>IF($A159="","",IF(COUNTIFS(請求記録!$B$6:$B$3005,$A159,請求記録!$Z$6:$Z$3005,W$5,請求記録!$AF$6:$AF$3005,"保留中")&gt;0,"保留",IF(COUNTIFS(請求記録!$B$6:$B$3005,$A159,請求記録!$Z$6:$Z$3005,W$5)=0,"",SUMIFS(請求記録!$AE$6:$AE$3005,請求記録!$B$6:$B$3005,$A159,請求記録!$Z$6:$Z$3005,W$5))))</f>
        <v/>
      </c>
      <c r="X159" s="19">
        <f>IF($A159="","",IF(COUNTIFS(請求記録!$B$6:$B$3005,$A159,請求記録!$Z$6:$Z$3005,X$5,請求記録!$AF$6:$AF$3005,"保留中")&gt;0,"保留",IF(COUNTIFS(請求記録!$B$6:$B$3005,$A159,請求記録!$Z$6:$Z$3005,X$5)=0,"",SUMIFS(請求記録!$AE$6:$AE$3005,請求記録!$B$6:$B$3005,$A159,請求記録!$Z$6:$Z$3005,X$5))))</f>
        <v/>
      </c>
      <c r="Y159" s="19">
        <f>IF($A159="","",IF(COUNTIFS(請求記録!$B$6:$B$3005,$A159,請求記録!$Z$6:$Z$3005,Y$5,請求記録!$AF$6:$AF$3005,"保留中")&gt;0,"保留",IF(COUNTIFS(請求記録!$B$6:$B$3005,$A159,請求記録!$Z$6:$Z$3005,Y$5)=0,"",SUMIFS(請求記録!$AE$6:$AE$3005,請求記録!$B$6:$B$3005,$A159,請求記録!$Z$6:$Z$3005,Y$5))))</f>
        <v/>
      </c>
      <c r="Z159" s="19">
        <f>IF($A159="","",IF(COUNTIFS(請求記録!$B$6:$B$3005,$A159,請求記録!$Z$6:$Z$3005,Z$5,請求記録!$AF$6:$AF$3005,"保留中")&gt;0,"保留",IF(COUNTIFS(請求記録!$B$6:$B$3005,$A159,請求記録!$Z$6:$Z$3005,Z$5)=0,"",SUMIFS(請求記録!$AE$6:$AE$3005,請求記録!$B$6:$B$3005,$A159,請求記録!$Z$6:$Z$3005,Z$5))))</f>
        <v/>
      </c>
      <c r="AA159" s="19">
        <f>IF($A159="","",IF(COUNTIFS(請求記録!$B$6:$B$3005,$A159,請求記録!$Z$6:$Z$3005,AA$5,請求記録!$AF$6:$AF$3005,"保留中")&gt;0,"保留",IF(COUNTIFS(請求記録!$B$6:$B$3005,$A159,請求記録!$Z$6:$Z$3005,AA$5)=0,"",SUMIFS(請求記録!$AE$6:$AE$3005,請求記録!$B$6:$B$3005,$A159,請求記録!$Z$6:$Z$3005,AA$5))))</f>
        <v/>
      </c>
      <c r="AB159">
        <f>IF(職員マスタ!P159="保留中",職員マスタ!M159,"")</f>
        <v/>
      </c>
    </row>
    <row r="160">
      <c r="A160">
        <f>IF(職員マスタ!A160="","",職員マスタ!A160)</f>
        <v/>
      </c>
      <c r="B160">
        <f>IF($A160="","",職員マスタ!B160)</f>
        <v/>
      </c>
      <c r="C160">
        <f>IF($A160="","",職員マスタ!C160)</f>
        <v/>
      </c>
      <c r="D160" s="19">
        <f>IF($A160="","",IF(COUNTIFS(請求記録!$B$6:$B$3005,$A160,請求記録!$Z$6:$Z$3005,D$5,請求記録!$AF$6:$AF$3005,"保留中")&gt;0,"保留",IF(COUNTIFS(請求記録!$B$6:$B$3005,$A160,請求記録!$Z$6:$Z$3005,D$5)=0,"",SUMIFS(請求記録!$AE$6:$AE$3005,請求記録!$B$6:$B$3005,$A160,請求記録!$Z$6:$Z$3005,D$5))))</f>
        <v/>
      </c>
      <c r="E160" s="19">
        <f>IF($A160="","",IF(COUNTIFS(請求記録!$B$6:$B$3005,$A160,請求記録!$Z$6:$Z$3005,E$5,請求記録!$AF$6:$AF$3005,"保留中")&gt;0,"保留",IF(COUNTIFS(請求記録!$B$6:$B$3005,$A160,請求記録!$Z$6:$Z$3005,E$5)=0,"",SUMIFS(請求記録!$AE$6:$AE$3005,請求記録!$B$6:$B$3005,$A160,請求記録!$Z$6:$Z$3005,E$5))))</f>
        <v/>
      </c>
      <c r="F160" s="19">
        <f>IF($A160="","",IF(COUNTIFS(請求記録!$B$6:$B$3005,$A160,請求記録!$Z$6:$Z$3005,F$5,請求記録!$AF$6:$AF$3005,"保留中")&gt;0,"保留",IF(COUNTIFS(請求記録!$B$6:$B$3005,$A160,請求記録!$Z$6:$Z$3005,F$5)=0,"",SUMIFS(請求記録!$AE$6:$AE$3005,請求記録!$B$6:$B$3005,$A160,請求記録!$Z$6:$Z$3005,F$5))))</f>
        <v/>
      </c>
      <c r="G160" s="19">
        <f>IF($A160="","",IF(COUNTIFS(請求記録!$B$6:$B$3005,$A160,請求記録!$Z$6:$Z$3005,G$5,請求記録!$AF$6:$AF$3005,"保留中")&gt;0,"保留",IF(COUNTIFS(請求記録!$B$6:$B$3005,$A160,請求記録!$Z$6:$Z$3005,G$5)=0,"",SUMIFS(請求記録!$AE$6:$AE$3005,請求記録!$B$6:$B$3005,$A160,請求記録!$Z$6:$Z$3005,G$5))))</f>
        <v/>
      </c>
      <c r="H160" s="19">
        <f>IF($A160="","",IF(COUNTIFS(請求記録!$B$6:$B$3005,$A160,請求記録!$Z$6:$Z$3005,H$5,請求記録!$AF$6:$AF$3005,"保留中")&gt;0,"保留",IF(COUNTIFS(請求記録!$B$6:$B$3005,$A160,請求記録!$Z$6:$Z$3005,H$5)=0,"",SUMIFS(請求記録!$AE$6:$AE$3005,請求記録!$B$6:$B$3005,$A160,請求記録!$Z$6:$Z$3005,H$5))))</f>
        <v/>
      </c>
      <c r="I160" s="19">
        <f>IF($A160="","",IF(COUNTIFS(請求記録!$B$6:$B$3005,$A160,請求記録!$Z$6:$Z$3005,I$5,請求記録!$AF$6:$AF$3005,"保留中")&gt;0,"保留",IF(COUNTIFS(請求記録!$B$6:$B$3005,$A160,請求記録!$Z$6:$Z$3005,I$5)=0,"",SUMIFS(請求記録!$AE$6:$AE$3005,請求記録!$B$6:$B$3005,$A160,請求記録!$Z$6:$Z$3005,I$5))))</f>
        <v/>
      </c>
      <c r="J160" s="19">
        <f>IF($A160="","",IF(COUNTIFS(請求記録!$B$6:$B$3005,$A160,請求記録!$Z$6:$Z$3005,J$5,請求記録!$AF$6:$AF$3005,"保留中")&gt;0,"保留",IF(COUNTIFS(請求記録!$B$6:$B$3005,$A160,請求記録!$Z$6:$Z$3005,J$5)=0,"",SUMIFS(請求記録!$AE$6:$AE$3005,請求記録!$B$6:$B$3005,$A160,請求記録!$Z$6:$Z$3005,J$5))))</f>
        <v/>
      </c>
      <c r="K160" s="19">
        <f>IF($A160="","",IF(COUNTIFS(請求記録!$B$6:$B$3005,$A160,請求記録!$Z$6:$Z$3005,K$5,請求記録!$AF$6:$AF$3005,"保留中")&gt;0,"保留",IF(COUNTIFS(請求記録!$B$6:$B$3005,$A160,請求記録!$Z$6:$Z$3005,K$5)=0,"",SUMIFS(請求記録!$AE$6:$AE$3005,請求記録!$B$6:$B$3005,$A160,請求記録!$Z$6:$Z$3005,K$5))))</f>
        <v/>
      </c>
      <c r="L160" s="19">
        <f>IF($A160="","",IF(COUNTIFS(請求記録!$B$6:$B$3005,$A160,請求記録!$Z$6:$Z$3005,L$5,請求記録!$AF$6:$AF$3005,"保留中")&gt;0,"保留",IF(COUNTIFS(請求記録!$B$6:$B$3005,$A160,請求記録!$Z$6:$Z$3005,L$5)=0,"",SUMIFS(請求記録!$AE$6:$AE$3005,請求記録!$B$6:$B$3005,$A160,請求記録!$Z$6:$Z$3005,L$5))))</f>
        <v/>
      </c>
      <c r="M160" s="19">
        <f>IF($A160="","",IF(COUNTIFS(請求記録!$B$6:$B$3005,$A160,請求記録!$Z$6:$Z$3005,M$5,請求記録!$AF$6:$AF$3005,"保留中")&gt;0,"保留",IF(COUNTIFS(請求記録!$B$6:$B$3005,$A160,請求記録!$Z$6:$Z$3005,M$5)=0,"",SUMIFS(請求記録!$AE$6:$AE$3005,請求記録!$B$6:$B$3005,$A160,請求記録!$Z$6:$Z$3005,M$5))))</f>
        <v/>
      </c>
      <c r="N160" s="19">
        <f>IF($A160="","",IF(COUNTIFS(請求記録!$B$6:$B$3005,$A160,請求記録!$Z$6:$Z$3005,N$5,請求記録!$AF$6:$AF$3005,"保留中")&gt;0,"保留",IF(COUNTIFS(請求記録!$B$6:$B$3005,$A160,請求記録!$Z$6:$Z$3005,N$5)=0,"",SUMIFS(請求記録!$AE$6:$AE$3005,請求記録!$B$6:$B$3005,$A160,請求記録!$Z$6:$Z$3005,N$5))))</f>
        <v/>
      </c>
      <c r="O160" s="19">
        <f>IF($A160="","",IF(COUNTIFS(請求記録!$B$6:$B$3005,$A160,請求記録!$Z$6:$Z$3005,O$5,請求記録!$AF$6:$AF$3005,"保留中")&gt;0,"保留",IF(COUNTIFS(請求記録!$B$6:$B$3005,$A160,請求記録!$Z$6:$Z$3005,O$5)=0,"",SUMIFS(請求記録!$AE$6:$AE$3005,請求記録!$B$6:$B$3005,$A160,請求記録!$Z$6:$Z$3005,O$5))))</f>
        <v/>
      </c>
      <c r="P160" s="19">
        <f>IF($A160="","",IF(COUNTIFS(請求記録!$B$6:$B$3005,$A160,請求記録!$Z$6:$Z$3005,P$5,請求記録!$AF$6:$AF$3005,"保留中")&gt;0,"保留",IF(COUNTIFS(請求記録!$B$6:$B$3005,$A160,請求記録!$Z$6:$Z$3005,P$5)=0,"",SUMIFS(請求記録!$AE$6:$AE$3005,請求記録!$B$6:$B$3005,$A160,請求記録!$Z$6:$Z$3005,P$5))))</f>
        <v/>
      </c>
      <c r="Q160" s="19">
        <f>IF($A160="","",IF(COUNTIFS(請求記録!$B$6:$B$3005,$A160,請求記録!$Z$6:$Z$3005,Q$5,請求記録!$AF$6:$AF$3005,"保留中")&gt;0,"保留",IF(COUNTIFS(請求記録!$B$6:$B$3005,$A160,請求記録!$Z$6:$Z$3005,Q$5)=0,"",SUMIFS(請求記録!$AE$6:$AE$3005,請求記録!$B$6:$B$3005,$A160,請求記録!$Z$6:$Z$3005,Q$5))))</f>
        <v/>
      </c>
      <c r="R160" s="19">
        <f>IF($A160="","",IF(COUNTIFS(請求記録!$B$6:$B$3005,$A160,請求記録!$Z$6:$Z$3005,R$5,請求記録!$AF$6:$AF$3005,"保留中")&gt;0,"保留",IF(COUNTIFS(請求記録!$B$6:$B$3005,$A160,請求記録!$Z$6:$Z$3005,R$5)=0,"",SUMIFS(請求記録!$AE$6:$AE$3005,請求記録!$B$6:$B$3005,$A160,請求記録!$Z$6:$Z$3005,R$5))))</f>
        <v/>
      </c>
      <c r="S160" s="19">
        <f>IF($A160="","",IF(COUNTIFS(請求記録!$B$6:$B$3005,$A160,請求記録!$Z$6:$Z$3005,S$5,請求記録!$AF$6:$AF$3005,"保留中")&gt;0,"保留",IF(COUNTIFS(請求記録!$B$6:$B$3005,$A160,請求記録!$Z$6:$Z$3005,S$5)=0,"",SUMIFS(請求記録!$AE$6:$AE$3005,請求記録!$B$6:$B$3005,$A160,請求記録!$Z$6:$Z$3005,S$5))))</f>
        <v/>
      </c>
      <c r="T160" s="19">
        <f>IF($A160="","",IF(COUNTIFS(請求記録!$B$6:$B$3005,$A160,請求記録!$Z$6:$Z$3005,T$5,請求記録!$AF$6:$AF$3005,"保留中")&gt;0,"保留",IF(COUNTIFS(請求記録!$B$6:$B$3005,$A160,請求記録!$Z$6:$Z$3005,T$5)=0,"",SUMIFS(請求記録!$AE$6:$AE$3005,請求記録!$B$6:$B$3005,$A160,請求記録!$Z$6:$Z$3005,T$5))))</f>
        <v/>
      </c>
      <c r="U160" s="19">
        <f>IF($A160="","",IF(COUNTIFS(請求記録!$B$6:$B$3005,$A160,請求記録!$Z$6:$Z$3005,U$5,請求記録!$AF$6:$AF$3005,"保留中")&gt;0,"保留",IF(COUNTIFS(請求記録!$B$6:$B$3005,$A160,請求記録!$Z$6:$Z$3005,U$5)=0,"",SUMIFS(請求記録!$AE$6:$AE$3005,請求記録!$B$6:$B$3005,$A160,請求記録!$Z$6:$Z$3005,U$5))))</f>
        <v/>
      </c>
      <c r="V160" s="19">
        <f>IF($A160="","",IF(COUNTIFS(請求記録!$B$6:$B$3005,$A160,請求記録!$Z$6:$Z$3005,V$5,請求記録!$AF$6:$AF$3005,"保留中")&gt;0,"保留",IF(COUNTIFS(請求記録!$B$6:$B$3005,$A160,請求記録!$Z$6:$Z$3005,V$5)=0,"",SUMIFS(請求記録!$AE$6:$AE$3005,請求記録!$B$6:$B$3005,$A160,請求記録!$Z$6:$Z$3005,V$5))))</f>
        <v/>
      </c>
      <c r="W160" s="19">
        <f>IF($A160="","",IF(COUNTIFS(請求記録!$B$6:$B$3005,$A160,請求記録!$Z$6:$Z$3005,W$5,請求記録!$AF$6:$AF$3005,"保留中")&gt;0,"保留",IF(COUNTIFS(請求記録!$B$6:$B$3005,$A160,請求記録!$Z$6:$Z$3005,W$5)=0,"",SUMIFS(請求記録!$AE$6:$AE$3005,請求記録!$B$6:$B$3005,$A160,請求記録!$Z$6:$Z$3005,W$5))))</f>
        <v/>
      </c>
      <c r="X160" s="19">
        <f>IF($A160="","",IF(COUNTIFS(請求記録!$B$6:$B$3005,$A160,請求記録!$Z$6:$Z$3005,X$5,請求記録!$AF$6:$AF$3005,"保留中")&gt;0,"保留",IF(COUNTIFS(請求記録!$B$6:$B$3005,$A160,請求記録!$Z$6:$Z$3005,X$5)=0,"",SUMIFS(請求記録!$AE$6:$AE$3005,請求記録!$B$6:$B$3005,$A160,請求記録!$Z$6:$Z$3005,X$5))))</f>
        <v/>
      </c>
      <c r="Y160" s="19">
        <f>IF($A160="","",IF(COUNTIFS(請求記録!$B$6:$B$3005,$A160,請求記録!$Z$6:$Z$3005,Y$5,請求記録!$AF$6:$AF$3005,"保留中")&gt;0,"保留",IF(COUNTIFS(請求記録!$B$6:$B$3005,$A160,請求記録!$Z$6:$Z$3005,Y$5)=0,"",SUMIFS(請求記録!$AE$6:$AE$3005,請求記録!$B$6:$B$3005,$A160,請求記録!$Z$6:$Z$3005,Y$5))))</f>
        <v/>
      </c>
      <c r="Z160" s="19">
        <f>IF($A160="","",IF(COUNTIFS(請求記録!$B$6:$B$3005,$A160,請求記録!$Z$6:$Z$3005,Z$5,請求記録!$AF$6:$AF$3005,"保留中")&gt;0,"保留",IF(COUNTIFS(請求記録!$B$6:$B$3005,$A160,請求記録!$Z$6:$Z$3005,Z$5)=0,"",SUMIFS(請求記録!$AE$6:$AE$3005,請求記録!$B$6:$B$3005,$A160,請求記録!$Z$6:$Z$3005,Z$5))))</f>
        <v/>
      </c>
      <c r="AA160" s="19">
        <f>IF($A160="","",IF(COUNTIFS(請求記録!$B$6:$B$3005,$A160,請求記録!$Z$6:$Z$3005,AA$5,請求記録!$AF$6:$AF$3005,"保留中")&gt;0,"保留",IF(COUNTIFS(請求記録!$B$6:$B$3005,$A160,請求記録!$Z$6:$Z$3005,AA$5)=0,"",SUMIFS(請求記録!$AE$6:$AE$3005,請求記録!$B$6:$B$3005,$A160,請求記録!$Z$6:$Z$3005,AA$5))))</f>
        <v/>
      </c>
      <c r="AB160">
        <f>IF(職員マスタ!P160="保留中",職員マスタ!M160,"")</f>
        <v/>
      </c>
    </row>
    <row r="161">
      <c r="A161">
        <f>IF(職員マスタ!A161="","",職員マスタ!A161)</f>
        <v/>
      </c>
      <c r="B161">
        <f>IF($A161="","",職員マスタ!B161)</f>
        <v/>
      </c>
      <c r="C161">
        <f>IF($A161="","",職員マスタ!C161)</f>
        <v/>
      </c>
      <c r="D161" s="19">
        <f>IF($A161="","",IF(COUNTIFS(請求記録!$B$6:$B$3005,$A161,請求記録!$Z$6:$Z$3005,D$5,請求記録!$AF$6:$AF$3005,"保留中")&gt;0,"保留",IF(COUNTIFS(請求記録!$B$6:$B$3005,$A161,請求記録!$Z$6:$Z$3005,D$5)=0,"",SUMIFS(請求記録!$AE$6:$AE$3005,請求記録!$B$6:$B$3005,$A161,請求記録!$Z$6:$Z$3005,D$5))))</f>
        <v/>
      </c>
      <c r="E161" s="19">
        <f>IF($A161="","",IF(COUNTIFS(請求記録!$B$6:$B$3005,$A161,請求記録!$Z$6:$Z$3005,E$5,請求記録!$AF$6:$AF$3005,"保留中")&gt;0,"保留",IF(COUNTIFS(請求記録!$B$6:$B$3005,$A161,請求記録!$Z$6:$Z$3005,E$5)=0,"",SUMIFS(請求記録!$AE$6:$AE$3005,請求記録!$B$6:$B$3005,$A161,請求記録!$Z$6:$Z$3005,E$5))))</f>
        <v/>
      </c>
      <c r="F161" s="19">
        <f>IF($A161="","",IF(COUNTIFS(請求記録!$B$6:$B$3005,$A161,請求記録!$Z$6:$Z$3005,F$5,請求記録!$AF$6:$AF$3005,"保留中")&gt;0,"保留",IF(COUNTIFS(請求記録!$B$6:$B$3005,$A161,請求記録!$Z$6:$Z$3005,F$5)=0,"",SUMIFS(請求記録!$AE$6:$AE$3005,請求記録!$B$6:$B$3005,$A161,請求記録!$Z$6:$Z$3005,F$5))))</f>
        <v/>
      </c>
      <c r="G161" s="19">
        <f>IF($A161="","",IF(COUNTIFS(請求記録!$B$6:$B$3005,$A161,請求記録!$Z$6:$Z$3005,G$5,請求記録!$AF$6:$AF$3005,"保留中")&gt;0,"保留",IF(COUNTIFS(請求記録!$B$6:$B$3005,$A161,請求記録!$Z$6:$Z$3005,G$5)=0,"",SUMIFS(請求記録!$AE$6:$AE$3005,請求記録!$B$6:$B$3005,$A161,請求記録!$Z$6:$Z$3005,G$5))))</f>
        <v/>
      </c>
      <c r="H161" s="19">
        <f>IF($A161="","",IF(COUNTIFS(請求記録!$B$6:$B$3005,$A161,請求記録!$Z$6:$Z$3005,H$5,請求記録!$AF$6:$AF$3005,"保留中")&gt;0,"保留",IF(COUNTIFS(請求記録!$B$6:$B$3005,$A161,請求記録!$Z$6:$Z$3005,H$5)=0,"",SUMIFS(請求記録!$AE$6:$AE$3005,請求記録!$B$6:$B$3005,$A161,請求記録!$Z$6:$Z$3005,H$5))))</f>
        <v/>
      </c>
      <c r="I161" s="19">
        <f>IF($A161="","",IF(COUNTIFS(請求記録!$B$6:$B$3005,$A161,請求記録!$Z$6:$Z$3005,I$5,請求記録!$AF$6:$AF$3005,"保留中")&gt;0,"保留",IF(COUNTIFS(請求記録!$B$6:$B$3005,$A161,請求記録!$Z$6:$Z$3005,I$5)=0,"",SUMIFS(請求記録!$AE$6:$AE$3005,請求記録!$B$6:$B$3005,$A161,請求記録!$Z$6:$Z$3005,I$5))))</f>
        <v/>
      </c>
      <c r="J161" s="19">
        <f>IF($A161="","",IF(COUNTIFS(請求記録!$B$6:$B$3005,$A161,請求記録!$Z$6:$Z$3005,J$5,請求記録!$AF$6:$AF$3005,"保留中")&gt;0,"保留",IF(COUNTIFS(請求記録!$B$6:$B$3005,$A161,請求記録!$Z$6:$Z$3005,J$5)=0,"",SUMIFS(請求記録!$AE$6:$AE$3005,請求記録!$B$6:$B$3005,$A161,請求記録!$Z$6:$Z$3005,J$5))))</f>
        <v/>
      </c>
      <c r="K161" s="19">
        <f>IF($A161="","",IF(COUNTIFS(請求記録!$B$6:$B$3005,$A161,請求記録!$Z$6:$Z$3005,K$5,請求記録!$AF$6:$AF$3005,"保留中")&gt;0,"保留",IF(COUNTIFS(請求記録!$B$6:$B$3005,$A161,請求記録!$Z$6:$Z$3005,K$5)=0,"",SUMIFS(請求記録!$AE$6:$AE$3005,請求記録!$B$6:$B$3005,$A161,請求記録!$Z$6:$Z$3005,K$5))))</f>
        <v/>
      </c>
      <c r="L161" s="19">
        <f>IF($A161="","",IF(COUNTIFS(請求記録!$B$6:$B$3005,$A161,請求記録!$Z$6:$Z$3005,L$5,請求記録!$AF$6:$AF$3005,"保留中")&gt;0,"保留",IF(COUNTIFS(請求記録!$B$6:$B$3005,$A161,請求記録!$Z$6:$Z$3005,L$5)=0,"",SUMIFS(請求記録!$AE$6:$AE$3005,請求記録!$B$6:$B$3005,$A161,請求記録!$Z$6:$Z$3005,L$5))))</f>
        <v/>
      </c>
      <c r="M161" s="19">
        <f>IF($A161="","",IF(COUNTIFS(請求記録!$B$6:$B$3005,$A161,請求記録!$Z$6:$Z$3005,M$5,請求記録!$AF$6:$AF$3005,"保留中")&gt;0,"保留",IF(COUNTIFS(請求記録!$B$6:$B$3005,$A161,請求記録!$Z$6:$Z$3005,M$5)=0,"",SUMIFS(請求記録!$AE$6:$AE$3005,請求記録!$B$6:$B$3005,$A161,請求記録!$Z$6:$Z$3005,M$5))))</f>
        <v/>
      </c>
      <c r="N161" s="19">
        <f>IF($A161="","",IF(COUNTIFS(請求記録!$B$6:$B$3005,$A161,請求記録!$Z$6:$Z$3005,N$5,請求記録!$AF$6:$AF$3005,"保留中")&gt;0,"保留",IF(COUNTIFS(請求記録!$B$6:$B$3005,$A161,請求記録!$Z$6:$Z$3005,N$5)=0,"",SUMIFS(請求記録!$AE$6:$AE$3005,請求記録!$B$6:$B$3005,$A161,請求記録!$Z$6:$Z$3005,N$5))))</f>
        <v/>
      </c>
      <c r="O161" s="19">
        <f>IF($A161="","",IF(COUNTIFS(請求記録!$B$6:$B$3005,$A161,請求記録!$Z$6:$Z$3005,O$5,請求記録!$AF$6:$AF$3005,"保留中")&gt;0,"保留",IF(COUNTIFS(請求記録!$B$6:$B$3005,$A161,請求記録!$Z$6:$Z$3005,O$5)=0,"",SUMIFS(請求記録!$AE$6:$AE$3005,請求記録!$B$6:$B$3005,$A161,請求記録!$Z$6:$Z$3005,O$5))))</f>
        <v/>
      </c>
      <c r="P161" s="19">
        <f>IF($A161="","",IF(COUNTIFS(請求記録!$B$6:$B$3005,$A161,請求記録!$Z$6:$Z$3005,P$5,請求記録!$AF$6:$AF$3005,"保留中")&gt;0,"保留",IF(COUNTIFS(請求記録!$B$6:$B$3005,$A161,請求記録!$Z$6:$Z$3005,P$5)=0,"",SUMIFS(請求記録!$AE$6:$AE$3005,請求記録!$B$6:$B$3005,$A161,請求記録!$Z$6:$Z$3005,P$5))))</f>
        <v/>
      </c>
      <c r="Q161" s="19">
        <f>IF($A161="","",IF(COUNTIFS(請求記録!$B$6:$B$3005,$A161,請求記録!$Z$6:$Z$3005,Q$5,請求記録!$AF$6:$AF$3005,"保留中")&gt;0,"保留",IF(COUNTIFS(請求記録!$B$6:$B$3005,$A161,請求記録!$Z$6:$Z$3005,Q$5)=0,"",SUMIFS(請求記録!$AE$6:$AE$3005,請求記録!$B$6:$B$3005,$A161,請求記録!$Z$6:$Z$3005,Q$5))))</f>
        <v/>
      </c>
      <c r="R161" s="19">
        <f>IF($A161="","",IF(COUNTIFS(請求記録!$B$6:$B$3005,$A161,請求記録!$Z$6:$Z$3005,R$5,請求記録!$AF$6:$AF$3005,"保留中")&gt;0,"保留",IF(COUNTIFS(請求記録!$B$6:$B$3005,$A161,請求記録!$Z$6:$Z$3005,R$5)=0,"",SUMIFS(請求記録!$AE$6:$AE$3005,請求記録!$B$6:$B$3005,$A161,請求記録!$Z$6:$Z$3005,R$5))))</f>
        <v/>
      </c>
      <c r="S161" s="19">
        <f>IF($A161="","",IF(COUNTIFS(請求記録!$B$6:$B$3005,$A161,請求記録!$Z$6:$Z$3005,S$5,請求記録!$AF$6:$AF$3005,"保留中")&gt;0,"保留",IF(COUNTIFS(請求記録!$B$6:$B$3005,$A161,請求記録!$Z$6:$Z$3005,S$5)=0,"",SUMIFS(請求記録!$AE$6:$AE$3005,請求記録!$B$6:$B$3005,$A161,請求記録!$Z$6:$Z$3005,S$5))))</f>
        <v/>
      </c>
      <c r="T161" s="19">
        <f>IF($A161="","",IF(COUNTIFS(請求記録!$B$6:$B$3005,$A161,請求記録!$Z$6:$Z$3005,T$5,請求記録!$AF$6:$AF$3005,"保留中")&gt;0,"保留",IF(COUNTIFS(請求記録!$B$6:$B$3005,$A161,請求記録!$Z$6:$Z$3005,T$5)=0,"",SUMIFS(請求記録!$AE$6:$AE$3005,請求記録!$B$6:$B$3005,$A161,請求記録!$Z$6:$Z$3005,T$5))))</f>
        <v/>
      </c>
      <c r="U161" s="19">
        <f>IF($A161="","",IF(COUNTIFS(請求記録!$B$6:$B$3005,$A161,請求記録!$Z$6:$Z$3005,U$5,請求記録!$AF$6:$AF$3005,"保留中")&gt;0,"保留",IF(COUNTIFS(請求記録!$B$6:$B$3005,$A161,請求記録!$Z$6:$Z$3005,U$5)=0,"",SUMIFS(請求記録!$AE$6:$AE$3005,請求記録!$B$6:$B$3005,$A161,請求記録!$Z$6:$Z$3005,U$5))))</f>
        <v/>
      </c>
      <c r="V161" s="19">
        <f>IF($A161="","",IF(COUNTIFS(請求記録!$B$6:$B$3005,$A161,請求記録!$Z$6:$Z$3005,V$5,請求記録!$AF$6:$AF$3005,"保留中")&gt;0,"保留",IF(COUNTIFS(請求記録!$B$6:$B$3005,$A161,請求記録!$Z$6:$Z$3005,V$5)=0,"",SUMIFS(請求記録!$AE$6:$AE$3005,請求記録!$B$6:$B$3005,$A161,請求記録!$Z$6:$Z$3005,V$5))))</f>
        <v/>
      </c>
      <c r="W161" s="19">
        <f>IF($A161="","",IF(COUNTIFS(請求記録!$B$6:$B$3005,$A161,請求記録!$Z$6:$Z$3005,W$5,請求記録!$AF$6:$AF$3005,"保留中")&gt;0,"保留",IF(COUNTIFS(請求記録!$B$6:$B$3005,$A161,請求記録!$Z$6:$Z$3005,W$5)=0,"",SUMIFS(請求記録!$AE$6:$AE$3005,請求記録!$B$6:$B$3005,$A161,請求記録!$Z$6:$Z$3005,W$5))))</f>
        <v/>
      </c>
      <c r="X161" s="19">
        <f>IF($A161="","",IF(COUNTIFS(請求記録!$B$6:$B$3005,$A161,請求記録!$Z$6:$Z$3005,X$5,請求記録!$AF$6:$AF$3005,"保留中")&gt;0,"保留",IF(COUNTIFS(請求記録!$B$6:$B$3005,$A161,請求記録!$Z$6:$Z$3005,X$5)=0,"",SUMIFS(請求記録!$AE$6:$AE$3005,請求記録!$B$6:$B$3005,$A161,請求記録!$Z$6:$Z$3005,X$5))))</f>
        <v/>
      </c>
      <c r="Y161" s="19">
        <f>IF($A161="","",IF(COUNTIFS(請求記録!$B$6:$B$3005,$A161,請求記録!$Z$6:$Z$3005,Y$5,請求記録!$AF$6:$AF$3005,"保留中")&gt;0,"保留",IF(COUNTIFS(請求記録!$B$6:$B$3005,$A161,請求記録!$Z$6:$Z$3005,Y$5)=0,"",SUMIFS(請求記録!$AE$6:$AE$3005,請求記録!$B$6:$B$3005,$A161,請求記録!$Z$6:$Z$3005,Y$5))))</f>
        <v/>
      </c>
      <c r="Z161" s="19">
        <f>IF($A161="","",IF(COUNTIFS(請求記録!$B$6:$B$3005,$A161,請求記録!$Z$6:$Z$3005,Z$5,請求記録!$AF$6:$AF$3005,"保留中")&gt;0,"保留",IF(COUNTIFS(請求記録!$B$6:$B$3005,$A161,請求記録!$Z$6:$Z$3005,Z$5)=0,"",SUMIFS(請求記録!$AE$6:$AE$3005,請求記録!$B$6:$B$3005,$A161,請求記録!$Z$6:$Z$3005,Z$5))))</f>
        <v/>
      </c>
      <c r="AA161" s="19">
        <f>IF($A161="","",IF(COUNTIFS(請求記録!$B$6:$B$3005,$A161,請求記録!$Z$6:$Z$3005,AA$5,請求記録!$AF$6:$AF$3005,"保留中")&gt;0,"保留",IF(COUNTIFS(請求記録!$B$6:$B$3005,$A161,請求記録!$Z$6:$Z$3005,AA$5)=0,"",SUMIFS(請求記録!$AE$6:$AE$3005,請求記録!$B$6:$B$3005,$A161,請求記録!$Z$6:$Z$3005,AA$5))))</f>
        <v/>
      </c>
      <c r="AB161">
        <f>IF(職員マスタ!P161="保留中",職員マスタ!M161,"")</f>
        <v/>
      </c>
    </row>
    <row r="162">
      <c r="A162">
        <f>IF(職員マスタ!A162="","",職員マスタ!A162)</f>
        <v/>
      </c>
      <c r="B162">
        <f>IF($A162="","",職員マスタ!B162)</f>
        <v/>
      </c>
      <c r="C162">
        <f>IF($A162="","",職員マスタ!C162)</f>
        <v/>
      </c>
      <c r="D162" s="19">
        <f>IF($A162="","",IF(COUNTIFS(請求記録!$B$6:$B$3005,$A162,請求記録!$Z$6:$Z$3005,D$5,請求記録!$AF$6:$AF$3005,"保留中")&gt;0,"保留",IF(COUNTIFS(請求記録!$B$6:$B$3005,$A162,請求記録!$Z$6:$Z$3005,D$5)=0,"",SUMIFS(請求記録!$AE$6:$AE$3005,請求記録!$B$6:$B$3005,$A162,請求記録!$Z$6:$Z$3005,D$5))))</f>
        <v/>
      </c>
      <c r="E162" s="19">
        <f>IF($A162="","",IF(COUNTIFS(請求記録!$B$6:$B$3005,$A162,請求記録!$Z$6:$Z$3005,E$5,請求記録!$AF$6:$AF$3005,"保留中")&gt;0,"保留",IF(COUNTIFS(請求記録!$B$6:$B$3005,$A162,請求記録!$Z$6:$Z$3005,E$5)=0,"",SUMIFS(請求記録!$AE$6:$AE$3005,請求記録!$B$6:$B$3005,$A162,請求記録!$Z$6:$Z$3005,E$5))))</f>
        <v/>
      </c>
      <c r="F162" s="19">
        <f>IF($A162="","",IF(COUNTIFS(請求記録!$B$6:$B$3005,$A162,請求記録!$Z$6:$Z$3005,F$5,請求記録!$AF$6:$AF$3005,"保留中")&gt;0,"保留",IF(COUNTIFS(請求記録!$B$6:$B$3005,$A162,請求記録!$Z$6:$Z$3005,F$5)=0,"",SUMIFS(請求記録!$AE$6:$AE$3005,請求記録!$B$6:$B$3005,$A162,請求記録!$Z$6:$Z$3005,F$5))))</f>
        <v/>
      </c>
      <c r="G162" s="19">
        <f>IF($A162="","",IF(COUNTIFS(請求記録!$B$6:$B$3005,$A162,請求記録!$Z$6:$Z$3005,G$5,請求記録!$AF$6:$AF$3005,"保留中")&gt;0,"保留",IF(COUNTIFS(請求記録!$B$6:$B$3005,$A162,請求記録!$Z$6:$Z$3005,G$5)=0,"",SUMIFS(請求記録!$AE$6:$AE$3005,請求記録!$B$6:$B$3005,$A162,請求記録!$Z$6:$Z$3005,G$5))))</f>
        <v/>
      </c>
      <c r="H162" s="19">
        <f>IF($A162="","",IF(COUNTIFS(請求記録!$B$6:$B$3005,$A162,請求記録!$Z$6:$Z$3005,H$5,請求記録!$AF$6:$AF$3005,"保留中")&gt;0,"保留",IF(COUNTIFS(請求記録!$B$6:$B$3005,$A162,請求記録!$Z$6:$Z$3005,H$5)=0,"",SUMIFS(請求記録!$AE$6:$AE$3005,請求記録!$B$6:$B$3005,$A162,請求記録!$Z$6:$Z$3005,H$5))))</f>
        <v/>
      </c>
      <c r="I162" s="19">
        <f>IF($A162="","",IF(COUNTIFS(請求記録!$B$6:$B$3005,$A162,請求記録!$Z$6:$Z$3005,I$5,請求記録!$AF$6:$AF$3005,"保留中")&gt;0,"保留",IF(COUNTIFS(請求記録!$B$6:$B$3005,$A162,請求記録!$Z$6:$Z$3005,I$5)=0,"",SUMIFS(請求記録!$AE$6:$AE$3005,請求記録!$B$6:$B$3005,$A162,請求記録!$Z$6:$Z$3005,I$5))))</f>
        <v/>
      </c>
      <c r="J162" s="19">
        <f>IF($A162="","",IF(COUNTIFS(請求記録!$B$6:$B$3005,$A162,請求記録!$Z$6:$Z$3005,J$5,請求記録!$AF$6:$AF$3005,"保留中")&gt;0,"保留",IF(COUNTIFS(請求記録!$B$6:$B$3005,$A162,請求記録!$Z$6:$Z$3005,J$5)=0,"",SUMIFS(請求記録!$AE$6:$AE$3005,請求記録!$B$6:$B$3005,$A162,請求記録!$Z$6:$Z$3005,J$5))))</f>
        <v/>
      </c>
      <c r="K162" s="19">
        <f>IF($A162="","",IF(COUNTIFS(請求記録!$B$6:$B$3005,$A162,請求記録!$Z$6:$Z$3005,K$5,請求記録!$AF$6:$AF$3005,"保留中")&gt;0,"保留",IF(COUNTIFS(請求記録!$B$6:$B$3005,$A162,請求記録!$Z$6:$Z$3005,K$5)=0,"",SUMIFS(請求記録!$AE$6:$AE$3005,請求記録!$B$6:$B$3005,$A162,請求記録!$Z$6:$Z$3005,K$5))))</f>
        <v/>
      </c>
      <c r="L162" s="19">
        <f>IF($A162="","",IF(COUNTIFS(請求記録!$B$6:$B$3005,$A162,請求記録!$Z$6:$Z$3005,L$5,請求記録!$AF$6:$AF$3005,"保留中")&gt;0,"保留",IF(COUNTIFS(請求記録!$B$6:$B$3005,$A162,請求記録!$Z$6:$Z$3005,L$5)=0,"",SUMIFS(請求記録!$AE$6:$AE$3005,請求記録!$B$6:$B$3005,$A162,請求記録!$Z$6:$Z$3005,L$5))))</f>
        <v/>
      </c>
      <c r="M162" s="19">
        <f>IF($A162="","",IF(COUNTIFS(請求記録!$B$6:$B$3005,$A162,請求記録!$Z$6:$Z$3005,M$5,請求記録!$AF$6:$AF$3005,"保留中")&gt;0,"保留",IF(COUNTIFS(請求記録!$B$6:$B$3005,$A162,請求記録!$Z$6:$Z$3005,M$5)=0,"",SUMIFS(請求記録!$AE$6:$AE$3005,請求記録!$B$6:$B$3005,$A162,請求記録!$Z$6:$Z$3005,M$5))))</f>
        <v/>
      </c>
      <c r="N162" s="19">
        <f>IF($A162="","",IF(COUNTIFS(請求記録!$B$6:$B$3005,$A162,請求記録!$Z$6:$Z$3005,N$5,請求記録!$AF$6:$AF$3005,"保留中")&gt;0,"保留",IF(COUNTIFS(請求記録!$B$6:$B$3005,$A162,請求記録!$Z$6:$Z$3005,N$5)=0,"",SUMIFS(請求記録!$AE$6:$AE$3005,請求記録!$B$6:$B$3005,$A162,請求記録!$Z$6:$Z$3005,N$5))))</f>
        <v/>
      </c>
      <c r="O162" s="19">
        <f>IF($A162="","",IF(COUNTIFS(請求記録!$B$6:$B$3005,$A162,請求記録!$Z$6:$Z$3005,O$5,請求記録!$AF$6:$AF$3005,"保留中")&gt;0,"保留",IF(COUNTIFS(請求記録!$B$6:$B$3005,$A162,請求記録!$Z$6:$Z$3005,O$5)=0,"",SUMIFS(請求記録!$AE$6:$AE$3005,請求記録!$B$6:$B$3005,$A162,請求記録!$Z$6:$Z$3005,O$5))))</f>
        <v/>
      </c>
      <c r="P162" s="19">
        <f>IF($A162="","",IF(COUNTIFS(請求記録!$B$6:$B$3005,$A162,請求記録!$Z$6:$Z$3005,P$5,請求記録!$AF$6:$AF$3005,"保留中")&gt;0,"保留",IF(COUNTIFS(請求記録!$B$6:$B$3005,$A162,請求記録!$Z$6:$Z$3005,P$5)=0,"",SUMIFS(請求記録!$AE$6:$AE$3005,請求記録!$B$6:$B$3005,$A162,請求記録!$Z$6:$Z$3005,P$5))))</f>
        <v/>
      </c>
      <c r="Q162" s="19">
        <f>IF($A162="","",IF(COUNTIFS(請求記録!$B$6:$B$3005,$A162,請求記録!$Z$6:$Z$3005,Q$5,請求記録!$AF$6:$AF$3005,"保留中")&gt;0,"保留",IF(COUNTIFS(請求記録!$B$6:$B$3005,$A162,請求記録!$Z$6:$Z$3005,Q$5)=0,"",SUMIFS(請求記録!$AE$6:$AE$3005,請求記録!$B$6:$B$3005,$A162,請求記録!$Z$6:$Z$3005,Q$5))))</f>
        <v/>
      </c>
      <c r="R162" s="19">
        <f>IF($A162="","",IF(COUNTIFS(請求記録!$B$6:$B$3005,$A162,請求記録!$Z$6:$Z$3005,R$5,請求記録!$AF$6:$AF$3005,"保留中")&gt;0,"保留",IF(COUNTIFS(請求記録!$B$6:$B$3005,$A162,請求記録!$Z$6:$Z$3005,R$5)=0,"",SUMIFS(請求記録!$AE$6:$AE$3005,請求記録!$B$6:$B$3005,$A162,請求記録!$Z$6:$Z$3005,R$5))))</f>
        <v/>
      </c>
      <c r="S162" s="19">
        <f>IF($A162="","",IF(COUNTIFS(請求記録!$B$6:$B$3005,$A162,請求記録!$Z$6:$Z$3005,S$5,請求記録!$AF$6:$AF$3005,"保留中")&gt;0,"保留",IF(COUNTIFS(請求記録!$B$6:$B$3005,$A162,請求記録!$Z$6:$Z$3005,S$5)=0,"",SUMIFS(請求記録!$AE$6:$AE$3005,請求記録!$B$6:$B$3005,$A162,請求記録!$Z$6:$Z$3005,S$5))))</f>
        <v/>
      </c>
      <c r="T162" s="19">
        <f>IF($A162="","",IF(COUNTIFS(請求記録!$B$6:$B$3005,$A162,請求記録!$Z$6:$Z$3005,T$5,請求記録!$AF$6:$AF$3005,"保留中")&gt;0,"保留",IF(COUNTIFS(請求記録!$B$6:$B$3005,$A162,請求記録!$Z$6:$Z$3005,T$5)=0,"",SUMIFS(請求記録!$AE$6:$AE$3005,請求記録!$B$6:$B$3005,$A162,請求記録!$Z$6:$Z$3005,T$5))))</f>
        <v/>
      </c>
      <c r="U162" s="19">
        <f>IF($A162="","",IF(COUNTIFS(請求記録!$B$6:$B$3005,$A162,請求記録!$Z$6:$Z$3005,U$5,請求記録!$AF$6:$AF$3005,"保留中")&gt;0,"保留",IF(COUNTIFS(請求記録!$B$6:$B$3005,$A162,請求記録!$Z$6:$Z$3005,U$5)=0,"",SUMIFS(請求記録!$AE$6:$AE$3005,請求記録!$B$6:$B$3005,$A162,請求記録!$Z$6:$Z$3005,U$5))))</f>
        <v/>
      </c>
      <c r="V162" s="19">
        <f>IF($A162="","",IF(COUNTIFS(請求記録!$B$6:$B$3005,$A162,請求記録!$Z$6:$Z$3005,V$5,請求記録!$AF$6:$AF$3005,"保留中")&gt;0,"保留",IF(COUNTIFS(請求記録!$B$6:$B$3005,$A162,請求記録!$Z$6:$Z$3005,V$5)=0,"",SUMIFS(請求記録!$AE$6:$AE$3005,請求記録!$B$6:$B$3005,$A162,請求記録!$Z$6:$Z$3005,V$5))))</f>
        <v/>
      </c>
      <c r="W162" s="19">
        <f>IF($A162="","",IF(COUNTIFS(請求記録!$B$6:$B$3005,$A162,請求記録!$Z$6:$Z$3005,W$5,請求記録!$AF$6:$AF$3005,"保留中")&gt;0,"保留",IF(COUNTIFS(請求記録!$B$6:$B$3005,$A162,請求記録!$Z$6:$Z$3005,W$5)=0,"",SUMIFS(請求記録!$AE$6:$AE$3005,請求記録!$B$6:$B$3005,$A162,請求記録!$Z$6:$Z$3005,W$5))))</f>
        <v/>
      </c>
      <c r="X162" s="19">
        <f>IF($A162="","",IF(COUNTIFS(請求記録!$B$6:$B$3005,$A162,請求記録!$Z$6:$Z$3005,X$5,請求記録!$AF$6:$AF$3005,"保留中")&gt;0,"保留",IF(COUNTIFS(請求記録!$B$6:$B$3005,$A162,請求記録!$Z$6:$Z$3005,X$5)=0,"",SUMIFS(請求記録!$AE$6:$AE$3005,請求記録!$B$6:$B$3005,$A162,請求記録!$Z$6:$Z$3005,X$5))))</f>
        <v/>
      </c>
      <c r="Y162" s="19">
        <f>IF($A162="","",IF(COUNTIFS(請求記録!$B$6:$B$3005,$A162,請求記録!$Z$6:$Z$3005,Y$5,請求記録!$AF$6:$AF$3005,"保留中")&gt;0,"保留",IF(COUNTIFS(請求記録!$B$6:$B$3005,$A162,請求記録!$Z$6:$Z$3005,Y$5)=0,"",SUMIFS(請求記録!$AE$6:$AE$3005,請求記録!$B$6:$B$3005,$A162,請求記録!$Z$6:$Z$3005,Y$5))))</f>
        <v/>
      </c>
      <c r="Z162" s="19">
        <f>IF($A162="","",IF(COUNTIFS(請求記録!$B$6:$B$3005,$A162,請求記録!$Z$6:$Z$3005,Z$5,請求記録!$AF$6:$AF$3005,"保留中")&gt;0,"保留",IF(COUNTIFS(請求記録!$B$6:$B$3005,$A162,請求記録!$Z$6:$Z$3005,Z$5)=0,"",SUMIFS(請求記録!$AE$6:$AE$3005,請求記録!$B$6:$B$3005,$A162,請求記録!$Z$6:$Z$3005,Z$5))))</f>
        <v/>
      </c>
      <c r="AA162" s="19">
        <f>IF($A162="","",IF(COUNTIFS(請求記録!$B$6:$B$3005,$A162,請求記録!$Z$6:$Z$3005,AA$5,請求記録!$AF$6:$AF$3005,"保留中")&gt;0,"保留",IF(COUNTIFS(請求記録!$B$6:$B$3005,$A162,請求記録!$Z$6:$Z$3005,AA$5)=0,"",SUMIFS(請求記録!$AE$6:$AE$3005,請求記録!$B$6:$B$3005,$A162,請求記録!$Z$6:$Z$3005,AA$5))))</f>
        <v/>
      </c>
      <c r="AB162">
        <f>IF(職員マスタ!P162="保留中",職員マスタ!M162,"")</f>
        <v/>
      </c>
    </row>
    <row r="163">
      <c r="A163">
        <f>IF(職員マスタ!A163="","",職員マスタ!A163)</f>
        <v/>
      </c>
      <c r="B163">
        <f>IF($A163="","",職員マスタ!B163)</f>
        <v/>
      </c>
      <c r="C163">
        <f>IF($A163="","",職員マスタ!C163)</f>
        <v/>
      </c>
      <c r="D163" s="19">
        <f>IF($A163="","",IF(COUNTIFS(請求記録!$B$6:$B$3005,$A163,請求記録!$Z$6:$Z$3005,D$5,請求記録!$AF$6:$AF$3005,"保留中")&gt;0,"保留",IF(COUNTIFS(請求記録!$B$6:$B$3005,$A163,請求記録!$Z$6:$Z$3005,D$5)=0,"",SUMIFS(請求記録!$AE$6:$AE$3005,請求記録!$B$6:$B$3005,$A163,請求記録!$Z$6:$Z$3005,D$5))))</f>
        <v/>
      </c>
      <c r="E163" s="19">
        <f>IF($A163="","",IF(COUNTIFS(請求記録!$B$6:$B$3005,$A163,請求記録!$Z$6:$Z$3005,E$5,請求記録!$AF$6:$AF$3005,"保留中")&gt;0,"保留",IF(COUNTIFS(請求記録!$B$6:$B$3005,$A163,請求記録!$Z$6:$Z$3005,E$5)=0,"",SUMIFS(請求記録!$AE$6:$AE$3005,請求記録!$B$6:$B$3005,$A163,請求記録!$Z$6:$Z$3005,E$5))))</f>
        <v/>
      </c>
      <c r="F163" s="19">
        <f>IF($A163="","",IF(COUNTIFS(請求記録!$B$6:$B$3005,$A163,請求記録!$Z$6:$Z$3005,F$5,請求記録!$AF$6:$AF$3005,"保留中")&gt;0,"保留",IF(COUNTIFS(請求記録!$B$6:$B$3005,$A163,請求記録!$Z$6:$Z$3005,F$5)=0,"",SUMIFS(請求記録!$AE$6:$AE$3005,請求記録!$B$6:$B$3005,$A163,請求記録!$Z$6:$Z$3005,F$5))))</f>
        <v/>
      </c>
      <c r="G163" s="19">
        <f>IF($A163="","",IF(COUNTIFS(請求記録!$B$6:$B$3005,$A163,請求記録!$Z$6:$Z$3005,G$5,請求記録!$AF$6:$AF$3005,"保留中")&gt;0,"保留",IF(COUNTIFS(請求記録!$B$6:$B$3005,$A163,請求記録!$Z$6:$Z$3005,G$5)=0,"",SUMIFS(請求記録!$AE$6:$AE$3005,請求記録!$B$6:$B$3005,$A163,請求記録!$Z$6:$Z$3005,G$5))))</f>
        <v/>
      </c>
      <c r="H163" s="19">
        <f>IF($A163="","",IF(COUNTIFS(請求記録!$B$6:$B$3005,$A163,請求記録!$Z$6:$Z$3005,H$5,請求記録!$AF$6:$AF$3005,"保留中")&gt;0,"保留",IF(COUNTIFS(請求記録!$B$6:$B$3005,$A163,請求記録!$Z$6:$Z$3005,H$5)=0,"",SUMIFS(請求記録!$AE$6:$AE$3005,請求記録!$B$6:$B$3005,$A163,請求記録!$Z$6:$Z$3005,H$5))))</f>
        <v/>
      </c>
      <c r="I163" s="19">
        <f>IF($A163="","",IF(COUNTIFS(請求記録!$B$6:$B$3005,$A163,請求記録!$Z$6:$Z$3005,I$5,請求記録!$AF$6:$AF$3005,"保留中")&gt;0,"保留",IF(COUNTIFS(請求記録!$B$6:$B$3005,$A163,請求記録!$Z$6:$Z$3005,I$5)=0,"",SUMIFS(請求記録!$AE$6:$AE$3005,請求記録!$B$6:$B$3005,$A163,請求記録!$Z$6:$Z$3005,I$5))))</f>
        <v/>
      </c>
      <c r="J163" s="19">
        <f>IF($A163="","",IF(COUNTIFS(請求記録!$B$6:$B$3005,$A163,請求記録!$Z$6:$Z$3005,J$5,請求記録!$AF$6:$AF$3005,"保留中")&gt;0,"保留",IF(COUNTIFS(請求記録!$B$6:$B$3005,$A163,請求記録!$Z$6:$Z$3005,J$5)=0,"",SUMIFS(請求記録!$AE$6:$AE$3005,請求記録!$B$6:$B$3005,$A163,請求記録!$Z$6:$Z$3005,J$5))))</f>
        <v/>
      </c>
      <c r="K163" s="19">
        <f>IF($A163="","",IF(COUNTIFS(請求記録!$B$6:$B$3005,$A163,請求記録!$Z$6:$Z$3005,K$5,請求記録!$AF$6:$AF$3005,"保留中")&gt;0,"保留",IF(COUNTIFS(請求記録!$B$6:$B$3005,$A163,請求記録!$Z$6:$Z$3005,K$5)=0,"",SUMIFS(請求記録!$AE$6:$AE$3005,請求記録!$B$6:$B$3005,$A163,請求記録!$Z$6:$Z$3005,K$5))))</f>
        <v/>
      </c>
      <c r="L163" s="19">
        <f>IF($A163="","",IF(COUNTIFS(請求記録!$B$6:$B$3005,$A163,請求記録!$Z$6:$Z$3005,L$5,請求記録!$AF$6:$AF$3005,"保留中")&gt;0,"保留",IF(COUNTIFS(請求記録!$B$6:$B$3005,$A163,請求記録!$Z$6:$Z$3005,L$5)=0,"",SUMIFS(請求記録!$AE$6:$AE$3005,請求記録!$B$6:$B$3005,$A163,請求記録!$Z$6:$Z$3005,L$5))))</f>
        <v/>
      </c>
      <c r="M163" s="19">
        <f>IF($A163="","",IF(COUNTIFS(請求記録!$B$6:$B$3005,$A163,請求記録!$Z$6:$Z$3005,M$5,請求記録!$AF$6:$AF$3005,"保留中")&gt;0,"保留",IF(COUNTIFS(請求記録!$B$6:$B$3005,$A163,請求記録!$Z$6:$Z$3005,M$5)=0,"",SUMIFS(請求記録!$AE$6:$AE$3005,請求記録!$B$6:$B$3005,$A163,請求記録!$Z$6:$Z$3005,M$5))))</f>
        <v/>
      </c>
      <c r="N163" s="19">
        <f>IF($A163="","",IF(COUNTIFS(請求記録!$B$6:$B$3005,$A163,請求記録!$Z$6:$Z$3005,N$5,請求記録!$AF$6:$AF$3005,"保留中")&gt;0,"保留",IF(COUNTIFS(請求記録!$B$6:$B$3005,$A163,請求記録!$Z$6:$Z$3005,N$5)=0,"",SUMIFS(請求記録!$AE$6:$AE$3005,請求記録!$B$6:$B$3005,$A163,請求記録!$Z$6:$Z$3005,N$5))))</f>
        <v/>
      </c>
      <c r="O163" s="19">
        <f>IF($A163="","",IF(COUNTIFS(請求記録!$B$6:$B$3005,$A163,請求記録!$Z$6:$Z$3005,O$5,請求記録!$AF$6:$AF$3005,"保留中")&gt;0,"保留",IF(COUNTIFS(請求記録!$B$6:$B$3005,$A163,請求記録!$Z$6:$Z$3005,O$5)=0,"",SUMIFS(請求記録!$AE$6:$AE$3005,請求記録!$B$6:$B$3005,$A163,請求記録!$Z$6:$Z$3005,O$5))))</f>
        <v/>
      </c>
      <c r="P163" s="19">
        <f>IF($A163="","",IF(COUNTIFS(請求記録!$B$6:$B$3005,$A163,請求記録!$Z$6:$Z$3005,P$5,請求記録!$AF$6:$AF$3005,"保留中")&gt;0,"保留",IF(COUNTIFS(請求記録!$B$6:$B$3005,$A163,請求記録!$Z$6:$Z$3005,P$5)=0,"",SUMIFS(請求記録!$AE$6:$AE$3005,請求記録!$B$6:$B$3005,$A163,請求記録!$Z$6:$Z$3005,P$5))))</f>
        <v/>
      </c>
      <c r="Q163" s="19">
        <f>IF($A163="","",IF(COUNTIFS(請求記録!$B$6:$B$3005,$A163,請求記録!$Z$6:$Z$3005,Q$5,請求記録!$AF$6:$AF$3005,"保留中")&gt;0,"保留",IF(COUNTIFS(請求記録!$B$6:$B$3005,$A163,請求記録!$Z$6:$Z$3005,Q$5)=0,"",SUMIFS(請求記録!$AE$6:$AE$3005,請求記録!$B$6:$B$3005,$A163,請求記録!$Z$6:$Z$3005,Q$5))))</f>
        <v/>
      </c>
      <c r="R163" s="19">
        <f>IF($A163="","",IF(COUNTIFS(請求記録!$B$6:$B$3005,$A163,請求記録!$Z$6:$Z$3005,R$5,請求記録!$AF$6:$AF$3005,"保留中")&gt;0,"保留",IF(COUNTIFS(請求記録!$B$6:$B$3005,$A163,請求記録!$Z$6:$Z$3005,R$5)=0,"",SUMIFS(請求記録!$AE$6:$AE$3005,請求記録!$B$6:$B$3005,$A163,請求記録!$Z$6:$Z$3005,R$5))))</f>
        <v/>
      </c>
      <c r="S163" s="19">
        <f>IF($A163="","",IF(COUNTIFS(請求記録!$B$6:$B$3005,$A163,請求記録!$Z$6:$Z$3005,S$5,請求記録!$AF$6:$AF$3005,"保留中")&gt;0,"保留",IF(COUNTIFS(請求記録!$B$6:$B$3005,$A163,請求記録!$Z$6:$Z$3005,S$5)=0,"",SUMIFS(請求記録!$AE$6:$AE$3005,請求記録!$B$6:$B$3005,$A163,請求記録!$Z$6:$Z$3005,S$5))))</f>
        <v/>
      </c>
      <c r="T163" s="19">
        <f>IF($A163="","",IF(COUNTIFS(請求記録!$B$6:$B$3005,$A163,請求記録!$Z$6:$Z$3005,T$5,請求記録!$AF$6:$AF$3005,"保留中")&gt;0,"保留",IF(COUNTIFS(請求記録!$B$6:$B$3005,$A163,請求記録!$Z$6:$Z$3005,T$5)=0,"",SUMIFS(請求記録!$AE$6:$AE$3005,請求記録!$B$6:$B$3005,$A163,請求記録!$Z$6:$Z$3005,T$5))))</f>
        <v/>
      </c>
      <c r="U163" s="19">
        <f>IF($A163="","",IF(COUNTIFS(請求記録!$B$6:$B$3005,$A163,請求記録!$Z$6:$Z$3005,U$5,請求記録!$AF$6:$AF$3005,"保留中")&gt;0,"保留",IF(COUNTIFS(請求記録!$B$6:$B$3005,$A163,請求記録!$Z$6:$Z$3005,U$5)=0,"",SUMIFS(請求記録!$AE$6:$AE$3005,請求記録!$B$6:$B$3005,$A163,請求記録!$Z$6:$Z$3005,U$5))))</f>
        <v/>
      </c>
      <c r="V163" s="19">
        <f>IF($A163="","",IF(COUNTIFS(請求記録!$B$6:$B$3005,$A163,請求記録!$Z$6:$Z$3005,V$5,請求記録!$AF$6:$AF$3005,"保留中")&gt;0,"保留",IF(COUNTIFS(請求記録!$B$6:$B$3005,$A163,請求記録!$Z$6:$Z$3005,V$5)=0,"",SUMIFS(請求記録!$AE$6:$AE$3005,請求記録!$B$6:$B$3005,$A163,請求記録!$Z$6:$Z$3005,V$5))))</f>
        <v/>
      </c>
      <c r="W163" s="19">
        <f>IF($A163="","",IF(COUNTIFS(請求記録!$B$6:$B$3005,$A163,請求記録!$Z$6:$Z$3005,W$5,請求記録!$AF$6:$AF$3005,"保留中")&gt;0,"保留",IF(COUNTIFS(請求記録!$B$6:$B$3005,$A163,請求記録!$Z$6:$Z$3005,W$5)=0,"",SUMIFS(請求記録!$AE$6:$AE$3005,請求記録!$B$6:$B$3005,$A163,請求記録!$Z$6:$Z$3005,W$5))))</f>
        <v/>
      </c>
      <c r="X163" s="19">
        <f>IF($A163="","",IF(COUNTIFS(請求記録!$B$6:$B$3005,$A163,請求記録!$Z$6:$Z$3005,X$5,請求記録!$AF$6:$AF$3005,"保留中")&gt;0,"保留",IF(COUNTIFS(請求記録!$B$6:$B$3005,$A163,請求記録!$Z$6:$Z$3005,X$5)=0,"",SUMIFS(請求記録!$AE$6:$AE$3005,請求記録!$B$6:$B$3005,$A163,請求記録!$Z$6:$Z$3005,X$5))))</f>
        <v/>
      </c>
      <c r="Y163" s="19">
        <f>IF($A163="","",IF(COUNTIFS(請求記録!$B$6:$B$3005,$A163,請求記録!$Z$6:$Z$3005,Y$5,請求記録!$AF$6:$AF$3005,"保留中")&gt;0,"保留",IF(COUNTIFS(請求記録!$B$6:$B$3005,$A163,請求記録!$Z$6:$Z$3005,Y$5)=0,"",SUMIFS(請求記録!$AE$6:$AE$3005,請求記録!$B$6:$B$3005,$A163,請求記録!$Z$6:$Z$3005,Y$5))))</f>
        <v/>
      </c>
      <c r="Z163" s="19">
        <f>IF($A163="","",IF(COUNTIFS(請求記録!$B$6:$B$3005,$A163,請求記録!$Z$6:$Z$3005,Z$5,請求記録!$AF$6:$AF$3005,"保留中")&gt;0,"保留",IF(COUNTIFS(請求記録!$B$6:$B$3005,$A163,請求記録!$Z$6:$Z$3005,Z$5)=0,"",SUMIFS(請求記録!$AE$6:$AE$3005,請求記録!$B$6:$B$3005,$A163,請求記録!$Z$6:$Z$3005,Z$5))))</f>
        <v/>
      </c>
      <c r="AA163" s="19">
        <f>IF($A163="","",IF(COUNTIFS(請求記録!$B$6:$B$3005,$A163,請求記録!$Z$6:$Z$3005,AA$5,請求記録!$AF$6:$AF$3005,"保留中")&gt;0,"保留",IF(COUNTIFS(請求記録!$B$6:$B$3005,$A163,請求記録!$Z$6:$Z$3005,AA$5)=0,"",SUMIFS(請求記録!$AE$6:$AE$3005,請求記録!$B$6:$B$3005,$A163,請求記録!$Z$6:$Z$3005,AA$5))))</f>
        <v/>
      </c>
      <c r="AB163">
        <f>IF(職員マスタ!P163="保留中",職員マスタ!M163,"")</f>
        <v/>
      </c>
    </row>
    <row r="164">
      <c r="A164">
        <f>IF(職員マスタ!A164="","",職員マスタ!A164)</f>
        <v/>
      </c>
      <c r="B164">
        <f>IF($A164="","",職員マスタ!B164)</f>
        <v/>
      </c>
      <c r="C164">
        <f>IF($A164="","",職員マスタ!C164)</f>
        <v/>
      </c>
      <c r="D164" s="19">
        <f>IF($A164="","",IF(COUNTIFS(請求記録!$B$6:$B$3005,$A164,請求記録!$Z$6:$Z$3005,D$5,請求記録!$AF$6:$AF$3005,"保留中")&gt;0,"保留",IF(COUNTIFS(請求記録!$B$6:$B$3005,$A164,請求記録!$Z$6:$Z$3005,D$5)=0,"",SUMIFS(請求記録!$AE$6:$AE$3005,請求記録!$B$6:$B$3005,$A164,請求記録!$Z$6:$Z$3005,D$5))))</f>
        <v/>
      </c>
      <c r="E164" s="19">
        <f>IF($A164="","",IF(COUNTIFS(請求記録!$B$6:$B$3005,$A164,請求記録!$Z$6:$Z$3005,E$5,請求記録!$AF$6:$AF$3005,"保留中")&gt;0,"保留",IF(COUNTIFS(請求記録!$B$6:$B$3005,$A164,請求記録!$Z$6:$Z$3005,E$5)=0,"",SUMIFS(請求記録!$AE$6:$AE$3005,請求記録!$B$6:$B$3005,$A164,請求記録!$Z$6:$Z$3005,E$5))))</f>
        <v/>
      </c>
      <c r="F164" s="19">
        <f>IF($A164="","",IF(COUNTIFS(請求記録!$B$6:$B$3005,$A164,請求記録!$Z$6:$Z$3005,F$5,請求記録!$AF$6:$AF$3005,"保留中")&gt;0,"保留",IF(COUNTIFS(請求記録!$B$6:$B$3005,$A164,請求記録!$Z$6:$Z$3005,F$5)=0,"",SUMIFS(請求記録!$AE$6:$AE$3005,請求記録!$B$6:$B$3005,$A164,請求記録!$Z$6:$Z$3005,F$5))))</f>
        <v/>
      </c>
      <c r="G164" s="19">
        <f>IF($A164="","",IF(COUNTIFS(請求記録!$B$6:$B$3005,$A164,請求記録!$Z$6:$Z$3005,G$5,請求記録!$AF$6:$AF$3005,"保留中")&gt;0,"保留",IF(COUNTIFS(請求記録!$B$6:$B$3005,$A164,請求記録!$Z$6:$Z$3005,G$5)=0,"",SUMIFS(請求記録!$AE$6:$AE$3005,請求記録!$B$6:$B$3005,$A164,請求記録!$Z$6:$Z$3005,G$5))))</f>
        <v/>
      </c>
      <c r="H164" s="19">
        <f>IF($A164="","",IF(COUNTIFS(請求記録!$B$6:$B$3005,$A164,請求記録!$Z$6:$Z$3005,H$5,請求記録!$AF$6:$AF$3005,"保留中")&gt;0,"保留",IF(COUNTIFS(請求記録!$B$6:$B$3005,$A164,請求記録!$Z$6:$Z$3005,H$5)=0,"",SUMIFS(請求記録!$AE$6:$AE$3005,請求記録!$B$6:$B$3005,$A164,請求記録!$Z$6:$Z$3005,H$5))))</f>
        <v/>
      </c>
      <c r="I164" s="19">
        <f>IF($A164="","",IF(COUNTIFS(請求記録!$B$6:$B$3005,$A164,請求記録!$Z$6:$Z$3005,I$5,請求記録!$AF$6:$AF$3005,"保留中")&gt;0,"保留",IF(COUNTIFS(請求記録!$B$6:$B$3005,$A164,請求記録!$Z$6:$Z$3005,I$5)=0,"",SUMIFS(請求記録!$AE$6:$AE$3005,請求記録!$B$6:$B$3005,$A164,請求記録!$Z$6:$Z$3005,I$5))))</f>
        <v/>
      </c>
      <c r="J164" s="19">
        <f>IF($A164="","",IF(COUNTIFS(請求記録!$B$6:$B$3005,$A164,請求記録!$Z$6:$Z$3005,J$5,請求記録!$AF$6:$AF$3005,"保留中")&gt;0,"保留",IF(COUNTIFS(請求記録!$B$6:$B$3005,$A164,請求記録!$Z$6:$Z$3005,J$5)=0,"",SUMIFS(請求記録!$AE$6:$AE$3005,請求記録!$B$6:$B$3005,$A164,請求記録!$Z$6:$Z$3005,J$5))))</f>
        <v/>
      </c>
      <c r="K164" s="19">
        <f>IF($A164="","",IF(COUNTIFS(請求記録!$B$6:$B$3005,$A164,請求記録!$Z$6:$Z$3005,K$5,請求記録!$AF$6:$AF$3005,"保留中")&gt;0,"保留",IF(COUNTIFS(請求記録!$B$6:$B$3005,$A164,請求記録!$Z$6:$Z$3005,K$5)=0,"",SUMIFS(請求記録!$AE$6:$AE$3005,請求記録!$B$6:$B$3005,$A164,請求記録!$Z$6:$Z$3005,K$5))))</f>
        <v/>
      </c>
      <c r="L164" s="19">
        <f>IF($A164="","",IF(COUNTIFS(請求記録!$B$6:$B$3005,$A164,請求記録!$Z$6:$Z$3005,L$5,請求記録!$AF$6:$AF$3005,"保留中")&gt;0,"保留",IF(COUNTIFS(請求記録!$B$6:$B$3005,$A164,請求記録!$Z$6:$Z$3005,L$5)=0,"",SUMIFS(請求記録!$AE$6:$AE$3005,請求記録!$B$6:$B$3005,$A164,請求記録!$Z$6:$Z$3005,L$5))))</f>
        <v/>
      </c>
      <c r="M164" s="19">
        <f>IF($A164="","",IF(COUNTIFS(請求記録!$B$6:$B$3005,$A164,請求記録!$Z$6:$Z$3005,M$5,請求記録!$AF$6:$AF$3005,"保留中")&gt;0,"保留",IF(COUNTIFS(請求記録!$B$6:$B$3005,$A164,請求記録!$Z$6:$Z$3005,M$5)=0,"",SUMIFS(請求記録!$AE$6:$AE$3005,請求記録!$B$6:$B$3005,$A164,請求記録!$Z$6:$Z$3005,M$5))))</f>
        <v/>
      </c>
      <c r="N164" s="19">
        <f>IF($A164="","",IF(COUNTIFS(請求記録!$B$6:$B$3005,$A164,請求記録!$Z$6:$Z$3005,N$5,請求記録!$AF$6:$AF$3005,"保留中")&gt;0,"保留",IF(COUNTIFS(請求記録!$B$6:$B$3005,$A164,請求記録!$Z$6:$Z$3005,N$5)=0,"",SUMIFS(請求記録!$AE$6:$AE$3005,請求記録!$B$6:$B$3005,$A164,請求記録!$Z$6:$Z$3005,N$5))))</f>
        <v/>
      </c>
      <c r="O164" s="19">
        <f>IF($A164="","",IF(COUNTIFS(請求記録!$B$6:$B$3005,$A164,請求記録!$Z$6:$Z$3005,O$5,請求記録!$AF$6:$AF$3005,"保留中")&gt;0,"保留",IF(COUNTIFS(請求記録!$B$6:$B$3005,$A164,請求記録!$Z$6:$Z$3005,O$5)=0,"",SUMIFS(請求記録!$AE$6:$AE$3005,請求記録!$B$6:$B$3005,$A164,請求記録!$Z$6:$Z$3005,O$5))))</f>
        <v/>
      </c>
      <c r="P164" s="19">
        <f>IF($A164="","",IF(COUNTIFS(請求記録!$B$6:$B$3005,$A164,請求記録!$Z$6:$Z$3005,P$5,請求記録!$AF$6:$AF$3005,"保留中")&gt;0,"保留",IF(COUNTIFS(請求記録!$B$6:$B$3005,$A164,請求記録!$Z$6:$Z$3005,P$5)=0,"",SUMIFS(請求記録!$AE$6:$AE$3005,請求記録!$B$6:$B$3005,$A164,請求記録!$Z$6:$Z$3005,P$5))))</f>
        <v/>
      </c>
      <c r="Q164" s="19">
        <f>IF($A164="","",IF(COUNTIFS(請求記録!$B$6:$B$3005,$A164,請求記録!$Z$6:$Z$3005,Q$5,請求記録!$AF$6:$AF$3005,"保留中")&gt;0,"保留",IF(COUNTIFS(請求記録!$B$6:$B$3005,$A164,請求記録!$Z$6:$Z$3005,Q$5)=0,"",SUMIFS(請求記録!$AE$6:$AE$3005,請求記録!$B$6:$B$3005,$A164,請求記録!$Z$6:$Z$3005,Q$5))))</f>
        <v/>
      </c>
      <c r="R164" s="19">
        <f>IF($A164="","",IF(COUNTIFS(請求記録!$B$6:$B$3005,$A164,請求記録!$Z$6:$Z$3005,R$5,請求記録!$AF$6:$AF$3005,"保留中")&gt;0,"保留",IF(COUNTIFS(請求記録!$B$6:$B$3005,$A164,請求記録!$Z$6:$Z$3005,R$5)=0,"",SUMIFS(請求記録!$AE$6:$AE$3005,請求記録!$B$6:$B$3005,$A164,請求記録!$Z$6:$Z$3005,R$5))))</f>
        <v/>
      </c>
      <c r="S164" s="19">
        <f>IF($A164="","",IF(COUNTIFS(請求記録!$B$6:$B$3005,$A164,請求記録!$Z$6:$Z$3005,S$5,請求記録!$AF$6:$AF$3005,"保留中")&gt;0,"保留",IF(COUNTIFS(請求記録!$B$6:$B$3005,$A164,請求記録!$Z$6:$Z$3005,S$5)=0,"",SUMIFS(請求記録!$AE$6:$AE$3005,請求記録!$B$6:$B$3005,$A164,請求記録!$Z$6:$Z$3005,S$5))))</f>
        <v/>
      </c>
      <c r="T164" s="19">
        <f>IF($A164="","",IF(COUNTIFS(請求記録!$B$6:$B$3005,$A164,請求記録!$Z$6:$Z$3005,T$5,請求記録!$AF$6:$AF$3005,"保留中")&gt;0,"保留",IF(COUNTIFS(請求記録!$B$6:$B$3005,$A164,請求記録!$Z$6:$Z$3005,T$5)=0,"",SUMIFS(請求記録!$AE$6:$AE$3005,請求記録!$B$6:$B$3005,$A164,請求記録!$Z$6:$Z$3005,T$5))))</f>
        <v/>
      </c>
      <c r="U164" s="19">
        <f>IF($A164="","",IF(COUNTIFS(請求記録!$B$6:$B$3005,$A164,請求記録!$Z$6:$Z$3005,U$5,請求記録!$AF$6:$AF$3005,"保留中")&gt;0,"保留",IF(COUNTIFS(請求記録!$B$6:$B$3005,$A164,請求記録!$Z$6:$Z$3005,U$5)=0,"",SUMIFS(請求記録!$AE$6:$AE$3005,請求記録!$B$6:$B$3005,$A164,請求記録!$Z$6:$Z$3005,U$5))))</f>
        <v/>
      </c>
      <c r="V164" s="19">
        <f>IF($A164="","",IF(COUNTIFS(請求記録!$B$6:$B$3005,$A164,請求記録!$Z$6:$Z$3005,V$5,請求記録!$AF$6:$AF$3005,"保留中")&gt;0,"保留",IF(COUNTIFS(請求記録!$B$6:$B$3005,$A164,請求記録!$Z$6:$Z$3005,V$5)=0,"",SUMIFS(請求記録!$AE$6:$AE$3005,請求記録!$B$6:$B$3005,$A164,請求記録!$Z$6:$Z$3005,V$5))))</f>
        <v/>
      </c>
      <c r="W164" s="19">
        <f>IF($A164="","",IF(COUNTIFS(請求記録!$B$6:$B$3005,$A164,請求記録!$Z$6:$Z$3005,W$5,請求記録!$AF$6:$AF$3005,"保留中")&gt;0,"保留",IF(COUNTIFS(請求記録!$B$6:$B$3005,$A164,請求記録!$Z$6:$Z$3005,W$5)=0,"",SUMIFS(請求記録!$AE$6:$AE$3005,請求記録!$B$6:$B$3005,$A164,請求記録!$Z$6:$Z$3005,W$5))))</f>
        <v/>
      </c>
      <c r="X164" s="19">
        <f>IF($A164="","",IF(COUNTIFS(請求記録!$B$6:$B$3005,$A164,請求記録!$Z$6:$Z$3005,X$5,請求記録!$AF$6:$AF$3005,"保留中")&gt;0,"保留",IF(COUNTIFS(請求記録!$B$6:$B$3005,$A164,請求記録!$Z$6:$Z$3005,X$5)=0,"",SUMIFS(請求記録!$AE$6:$AE$3005,請求記録!$B$6:$B$3005,$A164,請求記録!$Z$6:$Z$3005,X$5))))</f>
        <v/>
      </c>
      <c r="Y164" s="19">
        <f>IF($A164="","",IF(COUNTIFS(請求記録!$B$6:$B$3005,$A164,請求記録!$Z$6:$Z$3005,Y$5,請求記録!$AF$6:$AF$3005,"保留中")&gt;0,"保留",IF(COUNTIFS(請求記録!$B$6:$B$3005,$A164,請求記録!$Z$6:$Z$3005,Y$5)=0,"",SUMIFS(請求記録!$AE$6:$AE$3005,請求記録!$B$6:$B$3005,$A164,請求記録!$Z$6:$Z$3005,Y$5))))</f>
        <v/>
      </c>
      <c r="Z164" s="19">
        <f>IF($A164="","",IF(COUNTIFS(請求記録!$B$6:$B$3005,$A164,請求記録!$Z$6:$Z$3005,Z$5,請求記録!$AF$6:$AF$3005,"保留中")&gt;0,"保留",IF(COUNTIFS(請求記録!$B$6:$B$3005,$A164,請求記録!$Z$6:$Z$3005,Z$5)=0,"",SUMIFS(請求記録!$AE$6:$AE$3005,請求記録!$B$6:$B$3005,$A164,請求記録!$Z$6:$Z$3005,Z$5))))</f>
        <v/>
      </c>
      <c r="AA164" s="19">
        <f>IF($A164="","",IF(COUNTIFS(請求記録!$B$6:$B$3005,$A164,請求記録!$Z$6:$Z$3005,AA$5,請求記録!$AF$6:$AF$3005,"保留中")&gt;0,"保留",IF(COUNTIFS(請求記録!$B$6:$B$3005,$A164,請求記録!$Z$6:$Z$3005,AA$5)=0,"",SUMIFS(請求記録!$AE$6:$AE$3005,請求記録!$B$6:$B$3005,$A164,請求記録!$Z$6:$Z$3005,AA$5))))</f>
        <v/>
      </c>
      <c r="AB164">
        <f>IF(職員マスタ!P164="保留中",職員マスタ!M164,"")</f>
        <v/>
      </c>
    </row>
    <row r="165">
      <c r="A165">
        <f>IF(職員マスタ!A165="","",職員マスタ!A165)</f>
        <v/>
      </c>
      <c r="B165">
        <f>IF($A165="","",職員マスタ!B165)</f>
        <v/>
      </c>
      <c r="C165">
        <f>IF($A165="","",職員マスタ!C165)</f>
        <v/>
      </c>
      <c r="D165" s="19">
        <f>IF($A165="","",IF(COUNTIFS(請求記録!$B$6:$B$3005,$A165,請求記録!$Z$6:$Z$3005,D$5,請求記録!$AF$6:$AF$3005,"保留中")&gt;0,"保留",IF(COUNTIFS(請求記録!$B$6:$B$3005,$A165,請求記録!$Z$6:$Z$3005,D$5)=0,"",SUMIFS(請求記録!$AE$6:$AE$3005,請求記録!$B$6:$B$3005,$A165,請求記録!$Z$6:$Z$3005,D$5))))</f>
        <v/>
      </c>
      <c r="E165" s="19">
        <f>IF($A165="","",IF(COUNTIFS(請求記録!$B$6:$B$3005,$A165,請求記録!$Z$6:$Z$3005,E$5,請求記録!$AF$6:$AF$3005,"保留中")&gt;0,"保留",IF(COUNTIFS(請求記録!$B$6:$B$3005,$A165,請求記録!$Z$6:$Z$3005,E$5)=0,"",SUMIFS(請求記録!$AE$6:$AE$3005,請求記録!$B$6:$B$3005,$A165,請求記録!$Z$6:$Z$3005,E$5))))</f>
        <v/>
      </c>
      <c r="F165" s="19">
        <f>IF($A165="","",IF(COUNTIFS(請求記録!$B$6:$B$3005,$A165,請求記録!$Z$6:$Z$3005,F$5,請求記録!$AF$6:$AF$3005,"保留中")&gt;0,"保留",IF(COUNTIFS(請求記録!$B$6:$B$3005,$A165,請求記録!$Z$6:$Z$3005,F$5)=0,"",SUMIFS(請求記録!$AE$6:$AE$3005,請求記録!$B$6:$B$3005,$A165,請求記録!$Z$6:$Z$3005,F$5))))</f>
        <v/>
      </c>
      <c r="G165" s="19">
        <f>IF($A165="","",IF(COUNTIFS(請求記録!$B$6:$B$3005,$A165,請求記録!$Z$6:$Z$3005,G$5,請求記録!$AF$6:$AF$3005,"保留中")&gt;0,"保留",IF(COUNTIFS(請求記録!$B$6:$B$3005,$A165,請求記録!$Z$6:$Z$3005,G$5)=0,"",SUMIFS(請求記録!$AE$6:$AE$3005,請求記録!$B$6:$B$3005,$A165,請求記録!$Z$6:$Z$3005,G$5))))</f>
        <v/>
      </c>
      <c r="H165" s="19">
        <f>IF($A165="","",IF(COUNTIFS(請求記録!$B$6:$B$3005,$A165,請求記録!$Z$6:$Z$3005,H$5,請求記録!$AF$6:$AF$3005,"保留中")&gt;0,"保留",IF(COUNTIFS(請求記録!$B$6:$B$3005,$A165,請求記録!$Z$6:$Z$3005,H$5)=0,"",SUMIFS(請求記録!$AE$6:$AE$3005,請求記録!$B$6:$B$3005,$A165,請求記録!$Z$6:$Z$3005,H$5))))</f>
        <v/>
      </c>
      <c r="I165" s="19">
        <f>IF($A165="","",IF(COUNTIFS(請求記録!$B$6:$B$3005,$A165,請求記録!$Z$6:$Z$3005,I$5,請求記録!$AF$6:$AF$3005,"保留中")&gt;0,"保留",IF(COUNTIFS(請求記録!$B$6:$B$3005,$A165,請求記録!$Z$6:$Z$3005,I$5)=0,"",SUMIFS(請求記録!$AE$6:$AE$3005,請求記録!$B$6:$B$3005,$A165,請求記録!$Z$6:$Z$3005,I$5))))</f>
        <v/>
      </c>
      <c r="J165" s="19">
        <f>IF($A165="","",IF(COUNTIFS(請求記録!$B$6:$B$3005,$A165,請求記録!$Z$6:$Z$3005,J$5,請求記録!$AF$6:$AF$3005,"保留中")&gt;0,"保留",IF(COUNTIFS(請求記録!$B$6:$B$3005,$A165,請求記録!$Z$6:$Z$3005,J$5)=0,"",SUMIFS(請求記録!$AE$6:$AE$3005,請求記録!$B$6:$B$3005,$A165,請求記録!$Z$6:$Z$3005,J$5))))</f>
        <v/>
      </c>
      <c r="K165" s="19">
        <f>IF($A165="","",IF(COUNTIFS(請求記録!$B$6:$B$3005,$A165,請求記録!$Z$6:$Z$3005,K$5,請求記録!$AF$6:$AF$3005,"保留中")&gt;0,"保留",IF(COUNTIFS(請求記録!$B$6:$B$3005,$A165,請求記録!$Z$6:$Z$3005,K$5)=0,"",SUMIFS(請求記録!$AE$6:$AE$3005,請求記録!$B$6:$B$3005,$A165,請求記録!$Z$6:$Z$3005,K$5))))</f>
        <v/>
      </c>
      <c r="L165" s="19">
        <f>IF($A165="","",IF(COUNTIFS(請求記録!$B$6:$B$3005,$A165,請求記録!$Z$6:$Z$3005,L$5,請求記録!$AF$6:$AF$3005,"保留中")&gt;0,"保留",IF(COUNTIFS(請求記録!$B$6:$B$3005,$A165,請求記録!$Z$6:$Z$3005,L$5)=0,"",SUMIFS(請求記録!$AE$6:$AE$3005,請求記録!$B$6:$B$3005,$A165,請求記録!$Z$6:$Z$3005,L$5))))</f>
        <v/>
      </c>
      <c r="M165" s="19">
        <f>IF($A165="","",IF(COUNTIFS(請求記録!$B$6:$B$3005,$A165,請求記録!$Z$6:$Z$3005,M$5,請求記録!$AF$6:$AF$3005,"保留中")&gt;0,"保留",IF(COUNTIFS(請求記録!$B$6:$B$3005,$A165,請求記録!$Z$6:$Z$3005,M$5)=0,"",SUMIFS(請求記録!$AE$6:$AE$3005,請求記録!$B$6:$B$3005,$A165,請求記録!$Z$6:$Z$3005,M$5))))</f>
        <v/>
      </c>
      <c r="N165" s="19">
        <f>IF($A165="","",IF(COUNTIFS(請求記録!$B$6:$B$3005,$A165,請求記録!$Z$6:$Z$3005,N$5,請求記録!$AF$6:$AF$3005,"保留中")&gt;0,"保留",IF(COUNTIFS(請求記録!$B$6:$B$3005,$A165,請求記録!$Z$6:$Z$3005,N$5)=0,"",SUMIFS(請求記録!$AE$6:$AE$3005,請求記録!$B$6:$B$3005,$A165,請求記録!$Z$6:$Z$3005,N$5))))</f>
        <v/>
      </c>
      <c r="O165" s="19">
        <f>IF($A165="","",IF(COUNTIFS(請求記録!$B$6:$B$3005,$A165,請求記録!$Z$6:$Z$3005,O$5,請求記録!$AF$6:$AF$3005,"保留中")&gt;0,"保留",IF(COUNTIFS(請求記録!$B$6:$B$3005,$A165,請求記録!$Z$6:$Z$3005,O$5)=0,"",SUMIFS(請求記録!$AE$6:$AE$3005,請求記録!$B$6:$B$3005,$A165,請求記録!$Z$6:$Z$3005,O$5))))</f>
        <v/>
      </c>
      <c r="P165" s="19">
        <f>IF($A165="","",IF(COUNTIFS(請求記録!$B$6:$B$3005,$A165,請求記録!$Z$6:$Z$3005,P$5,請求記録!$AF$6:$AF$3005,"保留中")&gt;0,"保留",IF(COUNTIFS(請求記録!$B$6:$B$3005,$A165,請求記録!$Z$6:$Z$3005,P$5)=0,"",SUMIFS(請求記録!$AE$6:$AE$3005,請求記録!$B$6:$B$3005,$A165,請求記録!$Z$6:$Z$3005,P$5))))</f>
        <v/>
      </c>
      <c r="Q165" s="19">
        <f>IF($A165="","",IF(COUNTIFS(請求記録!$B$6:$B$3005,$A165,請求記録!$Z$6:$Z$3005,Q$5,請求記録!$AF$6:$AF$3005,"保留中")&gt;0,"保留",IF(COUNTIFS(請求記録!$B$6:$B$3005,$A165,請求記録!$Z$6:$Z$3005,Q$5)=0,"",SUMIFS(請求記録!$AE$6:$AE$3005,請求記録!$B$6:$B$3005,$A165,請求記録!$Z$6:$Z$3005,Q$5))))</f>
        <v/>
      </c>
      <c r="R165" s="19">
        <f>IF($A165="","",IF(COUNTIFS(請求記録!$B$6:$B$3005,$A165,請求記録!$Z$6:$Z$3005,R$5,請求記録!$AF$6:$AF$3005,"保留中")&gt;0,"保留",IF(COUNTIFS(請求記録!$B$6:$B$3005,$A165,請求記録!$Z$6:$Z$3005,R$5)=0,"",SUMIFS(請求記録!$AE$6:$AE$3005,請求記録!$B$6:$B$3005,$A165,請求記録!$Z$6:$Z$3005,R$5))))</f>
        <v/>
      </c>
      <c r="S165" s="19">
        <f>IF($A165="","",IF(COUNTIFS(請求記録!$B$6:$B$3005,$A165,請求記録!$Z$6:$Z$3005,S$5,請求記録!$AF$6:$AF$3005,"保留中")&gt;0,"保留",IF(COUNTIFS(請求記録!$B$6:$B$3005,$A165,請求記録!$Z$6:$Z$3005,S$5)=0,"",SUMIFS(請求記録!$AE$6:$AE$3005,請求記録!$B$6:$B$3005,$A165,請求記録!$Z$6:$Z$3005,S$5))))</f>
        <v/>
      </c>
      <c r="T165" s="19">
        <f>IF($A165="","",IF(COUNTIFS(請求記録!$B$6:$B$3005,$A165,請求記録!$Z$6:$Z$3005,T$5,請求記録!$AF$6:$AF$3005,"保留中")&gt;0,"保留",IF(COUNTIFS(請求記録!$B$6:$B$3005,$A165,請求記録!$Z$6:$Z$3005,T$5)=0,"",SUMIFS(請求記録!$AE$6:$AE$3005,請求記録!$B$6:$B$3005,$A165,請求記録!$Z$6:$Z$3005,T$5))))</f>
        <v/>
      </c>
      <c r="U165" s="19">
        <f>IF($A165="","",IF(COUNTIFS(請求記録!$B$6:$B$3005,$A165,請求記録!$Z$6:$Z$3005,U$5,請求記録!$AF$6:$AF$3005,"保留中")&gt;0,"保留",IF(COUNTIFS(請求記録!$B$6:$B$3005,$A165,請求記録!$Z$6:$Z$3005,U$5)=0,"",SUMIFS(請求記録!$AE$6:$AE$3005,請求記録!$B$6:$B$3005,$A165,請求記録!$Z$6:$Z$3005,U$5))))</f>
        <v/>
      </c>
      <c r="V165" s="19">
        <f>IF($A165="","",IF(COUNTIFS(請求記録!$B$6:$B$3005,$A165,請求記録!$Z$6:$Z$3005,V$5,請求記録!$AF$6:$AF$3005,"保留中")&gt;0,"保留",IF(COUNTIFS(請求記録!$B$6:$B$3005,$A165,請求記録!$Z$6:$Z$3005,V$5)=0,"",SUMIFS(請求記録!$AE$6:$AE$3005,請求記録!$B$6:$B$3005,$A165,請求記録!$Z$6:$Z$3005,V$5))))</f>
        <v/>
      </c>
      <c r="W165" s="19">
        <f>IF($A165="","",IF(COUNTIFS(請求記録!$B$6:$B$3005,$A165,請求記録!$Z$6:$Z$3005,W$5,請求記録!$AF$6:$AF$3005,"保留中")&gt;0,"保留",IF(COUNTIFS(請求記録!$B$6:$B$3005,$A165,請求記録!$Z$6:$Z$3005,W$5)=0,"",SUMIFS(請求記録!$AE$6:$AE$3005,請求記録!$B$6:$B$3005,$A165,請求記録!$Z$6:$Z$3005,W$5))))</f>
        <v/>
      </c>
      <c r="X165" s="19">
        <f>IF($A165="","",IF(COUNTIFS(請求記録!$B$6:$B$3005,$A165,請求記録!$Z$6:$Z$3005,X$5,請求記録!$AF$6:$AF$3005,"保留中")&gt;0,"保留",IF(COUNTIFS(請求記録!$B$6:$B$3005,$A165,請求記録!$Z$6:$Z$3005,X$5)=0,"",SUMIFS(請求記録!$AE$6:$AE$3005,請求記録!$B$6:$B$3005,$A165,請求記録!$Z$6:$Z$3005,X$5))))</f>
        <v/>
      </c>
      <c r="Y165" s="19">
        <f>IF($A165="","",IF(COUNTIFS(請求記録!$B$6:$B$3005,$A165,請求記録!$Z$6:$Z$3005,Y$5,請求記録!$AF$6:$AF$3005,"保留中")&gt;0,"保留",IF(COUNTIFS(請求記録!$B$6:$B$3005,$A165,請求記録!$Z$6:$Z$3005,Y$5)=0,"",SUMIFS(請求記録!$AE$6:$AE$3005,請求記録!$B$6:$B$3005,$A165,請求記録!$Z$6:$Z$3005,Y$5))))</f>
        <v/>
      </c>
      <c r="Z165" s="19">
        <f>IF($A165="","",IF(COUNTIFS(請求記録!$B$6:$B$3005,$A165,請求記録!$Z$6:$Z$3005,Z$5,請求記録!$AF$6:$AF$3005,"保留中")&gt;0,"保留",IF(COUNTIFS(請求記録!$B$6:$B$3005,$A165,請求記録!$Z$6:$Z$3005,Z$5)=0,"",SUMIFS(請求記録!$AE$6:$AE$3005,請求記録!$B$6:$B$3005,$A165,請求記録!$Z$6:$Z$3005,Z$5))))</f>
        <v/>
      </c>
      <c r="AA165" s="19">
        <f>IF($A165="","",IF(COUNTIFS(請求記録!$B$6:$B$3005,$A165,請求記録!$Z$6:$Z$3005,AA$5,請求記録!$AF$6:$AF$3005,"保留中")&gt;0,"保留",IF(COUNTIFS(請求記録!$B$6:$B$3005,$A165,請求記録!$Z$6:$Z$3005,AA$5)=0,"",SUMIFS(請求記録!$AE$6:$AE$3005,請求記録!$B$6:$B$3005,$A165,請求記録!$Z$6:$Z$3005,AA$5))))</f>
        <v/>
      </c>
      <c r="AB165">
        <f>IF(職員マスタ!P165="保留中",職員マスタ!M165,"")</f>
        <v/>
      </c>
    </row>
    <row r="166">
      <c r="A166">
        <f>IF(職員マスタ!A166="","",職員マスタ!A166)</f>
        <v/>
      </c>
      <c r="B166">
        <f>IF($A166="","",職員マスタ!B166)</f>
        <v/>
      </c>
      <c r="C166">
        <f>IF($A166="","",職員マスタ!C166)</f>
        <v/>
      </c>
      <c r="D166" s="19">
        <f>IF($A166="","",IF(COUNTIFS(請求記録!$B$6:$B$3005,$A166,請求記録!$Z$6:$Z$3005,D$5,請求記録!$AF$6:$AF$3005,"保留中")&gt;0,"保留",IF(COUNTIFS(請求記録!$B$6:$B$3005,$A166,請求記録!$Z$6:$Z$3005,D$5)=0,"",SUMIFS(請求記録!$AE$6:$AE$3005,請求記録!$B$6:$B$3005,$A166,請求記録!$Z$6:$Z$3005,D$5))))</f>
        <v/>
      </c>
      <c r="E166" s="19">
        <f>IF($A166="","",IF(COUNTIFS(請求記録!$B$6:$B$3005,$A166,請求記録!$Z$6:$Z$3005,E$5,請求記録!$AF$6:$AF$3005,"保留中")&gt;0,"保留",IF(COUNTIFS(請求記録!$B$6:$B$3005,$A166,請求記録!$Z$6:$Z$3005,E$5)=0,"",SUMIFS(請求記録!$AE$6:$AE$3005,請求記録!$B$6:$B$3005,$A166,請求記録!$Z$6:$Z$3005,E$5))))</f>
        <v/>
      </c>
      <c r="F166" s="19">
        <f>IF($A166="","",IF(COUNTIFS(請求記録!$B$6:$B$3005,$A166,請求記録!$Z$6:$Z$3005,F$5,請求記録!$AF$6:$AF$3005,"保留中")&gt;0,"保留",IF(COUNTIFS(請求記録!$B$6:$B$3005,$A166,請求記録!$Z$6:$Z$3005,F$5)=0,"",SUMIFS(請求記録!$AE$6:$AE$3005,請求記録!$B$6:$B$3005,$A166,請求記録!$Z$6:$Z$3005,F$5))))</f>
        <v/>
      </c>
      <c r="G166" s="19">
        <f>IF($A166="","",IF(COUNTIFS(請求記録!$B$6:$B$3005,$A166,請求記録!$Z$6:$Z$3005,G$5,請求記録!$AF$6:$AF$3005,"保留中")&gt;0,"保留",IF(COUNTIFS(請求記録!$B$6:$B$3005,$A166,請求記録!$Z$6:$Z$3005,G$5)=0,"",SUMIFS(請求記録!$AE$6:$AE$3005,請求記録!$B$6:$B$3005,$A166,請求記録!$Z$6:$Z$3005,G$5))))</f>
        <v/>
      </c>
      <c r="H166" s="19">
        <f>IF($A166="","",IF(COUNTIFS(請求記録!$B$6:$B$3005,$A166,請求記録!$Z$6:$Z$3005,H$5,請求記録!$AF$6:$AF$3005,"保留中")&gt;0,"保留",IF(COUNTIFS(請求記録!$B$6:$B$3005,$A166,請求記録!$Z$6:$Z$3005,H$5)=0,"",SUMIFS(請求記録!$AE$6:$AE$3005,請求記録!$B$6:$B$3005,$A166,請求記録!$Z$6:$Z$3005,H$5))))</f>
        <v/>
      </c>
      <c r="I166" s="19">
        <f>IF($A166="","",IF(COUNTIFS(請求記録!$B$6:$B$3005,$A166,請求記録!$Z$6:$Z$3005,I$5,請求記録!$AF$6:$AF$3005,"保留中")&gt;0,"保留",IF(COUNTIFS(請求記録!$B$6:$B$3005,$A166,請求記録!$Z$6:$Z$3005,I$5)=0,"",SUMIFS(請求記録!$AE$6:$AE$3005,請求記録!$B$6:$B$3005,$A166,請求記録!$Z$6:$Z$3005,I$5))))</f>
        <v/>
      </c>
      <c r="J166" s="19">
        <f>IF($A166="","",IF(COUNTIFS(請求記録!$B$6:$B$3005,$A166,請求記録!$Z$6:$Z$3005,J$5,請求記録!$AF$6:$AF$3005,"保留中")&gt;0,"保留",IF(COUNTIFS(請求記録!$B$6:$B$3005,$A166,請求記録!$Z$6:$Z$3005,J$5)=0,"",SUMIFS(請求記録!$AE$6:$AE$3005,請求記録!$B$6:$B$3005,$A166,請求記録!$Z$6:$Z$3005,J$5))))</f>
        <v/>
      </c>
      <c r="K166" s="19">
        <f>IF($A166="","",IF(COUNTIFS(請求記録!$B$6:$B$3005,$A166,請求記録!$Z$6:$Z$3005,K$5,請求記録!$AF$6:$AF$3005,"保留中")&gt;0,"保留",IF(COUNTIFS(請求記録!$B$6:$B$3005,$A166,請求記録!$Z$6:$Z$3005,K$5)=0,"",SUMIFS(請求記録!$AE$6:$AE$3005,請求記録!$B$6:$B$3005,$A166,請求記録!$Z$6:$Z$3005,K$5))))</f>
        <v/>
      </c>
      <c r="L166" s="19">
        <f>IF($A166="","",IF(COUNTIFS(請求記録!$B$6:$B$3005,$A166,請求記録!$Z$6:$Z$3005,L$5,請求記録!$AF$6:$AF$3005,"保留中")&gt;0,"保留",IF(COUNTIFS(請求記録!$B$6:$B$3005,$A166,請求記録!$Z$6:$Z$3005,L$5)=0,"",SUMIFS(請求記録!$AE$6:$AE$3005,請求記録!$B$6:$B$3005,$A166,請求記録!$Z$6:$Z$3005,L$5))))</f>
        <v/>
      </c>
      <c r="M166" s="19">
        <f>IF($A166="","",IF(COUNTIFS(請求記録!$B$6:$B$3005,$A166,請求記録!$Z$6:$Z$3005,M$5,請求記録!$AF$6:$AF$3005,"保留中")&gt;0,"保留",IF(COUNTIFS(請求記録!$B$6:$B$3005,$A166,請求記録!$Z$6:$Z$3005,M$5)=0,"",SUMIFS(請求記録!$AE$6:$AE$3005,請求記録!$B$6:$B$3005,$A166,請求記録!$Z$6:$Z$3005,M$5))))</f>
        <v/>
      </c>
      <c r="N166" s="19">
        <f>IF($A166="","",IF(COUNTIFS(請求記録!$B$6:$B$3005,$A166,請求記録!$Z$6:$Z$3005,N$5,請求記録!$AF$6:$AF$3005,"保留中")&gt;0,"保留",IF(COUNTIFS(請求記録!$B$6:$B$3005,$A166,請求記録!$Z$6:$Z$3005,N$5)=0,"",SUMIFS(請求記録!$AE$6:$AE$3005,請求記録!$B$6:$B$3005,$A166,請求記録!$Z$6:$Z$3005,N$5))))</f>
        <v/>
      </c>
      <c r="O166" s="19">
        <f>IF($A166="","",IF(COUNTIFS(請求記録!$B$6:$B$3005,$A166,請求記録!$Z$6:$Z$3005,O$5,請求記録!$AF$6:$AF$3005,"保留中")&gt;0,"保留",IF(COUNTIFS(請求記録!$B$6:$B$3005,$A166,請求記録!$Z$6:$Z$3005,O$5)=0,"",SUMIFS(請求記録!$AE$6:$AE$3005,請求記録!$B$6:$B$3005,$A166,請求記録!$Z$6:$Z$3005,O$5))))</f>
        <v/>
      </c>
      <c r="P166" s="19">
        <f>IF($A166="","",IF(COUNTIFS(請求記録!$B$6:$B$3005,$A166,請求記録!$Z$6:$Z$3005,P$5,請求記録!$AF$6:$AF$3005,"保留中")&gt;0,"保留",IF(COUNTIFS(請求記録!$B$6:$B$3005,$A166,請求記録!$Z$6:$Z$3005,P$5)=0,"",SUMIFS(請求記録!$AE$6:$AE$3005,請求記録!$B$6:$B$3005,$A166,請求記録!$Z$6:$Z$3005,P$5))))</f>
        <v/>
      </c>
      <c r="Q166" s="19">
        <f>IF($A166="","",IF(COUNTIFS(請求記録!$B$6:$B$3005,$A166,請求記録!$Z$6:$Z$3005,Q$5,請求記録!$AF$6:$AF$3005,"保留中")&gt;0,"保留",IF(COUNTIFS(請求記録!$B$6:$B$3005,$A166,請求記録!$Z$6:$Z$3005,Q$5)=0,"",SUMIFS(請求記録!$AE$6:$AE$3005,請求記録!$B$6:$B$3005,$A166,請求記録!$Z$6:$Z$3005,Q$5))))</f>
        <v/>
      </c>
      <c r="R166" s="19">
        <f>IF($A166="","",IF(COUNTIFS(請求記録!$B$6:$B$3005,$A166,請求記録!$Z$6:$Z$3005,R$5,請求記録!$AF$6:$AF$3005,"保留中")&gt;0,"保留",IF(COUNTIFS(請求記録!$B$6:$B$3005,$A166,請求記録!$Z$6:$Z$3005,R$5)=0,"",SUMIFS(請求記録!$AE$6:$AE$3005,請求記録!$B$6:$B$3005,$A166,請求記録!$Z$6:$Z$3005,R$5))))</f>
        <v/>
      </c>
      <c r="S166" s="19">
        <f>IF($A166="","",IF(COUNTIFS(請求記録!$B$6:$B$3005,$A166,請求記録!$Z$6:$Z$3005,S$5,請求記録!$AF$6:$AF$3005,"保留中")&gt;0,"保留",IF(COUNTIFS(請求記録!$B$6:$B$3005,$A166,請求記録!$Z$6:$Z$3005,S$5)=0,"",SUMIFS(請求記録!$AE$6:$AE$3005,請求記録!$B$6:$B$3005,$A166,請求記録!$Z$6:$Z$3005,S$5))))</f>
        <v/>
      </c>
      <c r="T166" s="19">
        <f>IF($A166="","",IF(COUNTIFS(請求記録!$B$6:$B$3005,$A166,請求記録!$Z$6:$Z$3005,T$5,請求記録!$AF$6:$AF$3005,"保留中")&gt;0,"保留",IF(COUNTIFS(請求記録!$B$6:$B$3005,$A166,請求記録!$Z$6:$Z$3005,T$5)=0,"",SUMIFS(請求記録!$AE$6:$AE$3005,請求記録!$B$6:$B$3005,$A166,請求記録!$Z$6:$Z$3005,T$5))))</f>
        <v/>
      </c>
      <c r="U166" s="19">
        <f>IF($A166="","",IF(COUNTIFS(請求記録!$B$6:$B$3005,$A166,請求記録!$Z$6:$Z$3005,U$5,請求記録!$AF$6:$AF$3005,"保留中")&gt;0,"保留",IF(COUNTIFS(請求記録!$B$6:$B$3005,$A166,請求記録!$Z$6:$Z$3005,U$5)=0,"",SUMIFS(請求記録!$AE$6:$AE$3005,請求記録!$B$6:$B$3005,$A166,請求記録!$Z$6:$Z$3005,U$5))))</f>
        <v/>
      </c>
      <c r="V166" s="19">
        <f>IF($A166="","",IF(COUNTIFS(請求記録!$B$6:$B$3005,$A166,請求記録!$Z$6:$Z$3005,V$5,請求記録!$AF$6:$AF$3005,"保留中")&gt;0,"保留",IF(COUNTIFS(請求記録!$B$6:$B$3005,$A166,請求記録!$Z$6:$Z$3005,V$5)=0,"",SUMIFS(請求記録!$AE$6:$AE$3005,請求記録!$B$6:$B$3005,$A166,請求記録!$Z$6:$Z$3005,V$5))))</f>
        <v/>
      </c>
      <c r="W166" s="19">
        <f>IF($A166="","",IF(COUNTIFS(請求記録!$B$6:$B$3005,$A166,請求記録!$Z$6:$Z$3005,W$5,請求記録!$AF$6:$AF$3005,"保留中")&gt;0,"保留",IF(COUNTIFS(請求記録!$B$6:$B$3005,$A166,請求記録!$Z$6:$Z$3005,W$5)=0,"",SUMIFS(請求記録!$AE$6:$AE$3005,請求記録!$B$6:$B$3005,$A166,請求記録!$Z$6:$Z$3005,W$5))))</f>
        <v/>
      </c>
      <c r="X166" s="19">
        <f>IF($A166="","",IF(COUNTIFS(請求記録!$B$6:$B$3005,$A166,請求記録!$Z$6:$Z$3005,X$5,請求記録!$AF$6:$AF$3005,"保留中")&gt;0,"保留",IF(COUNTIFS(請求記録!$B$6:$B$3005,$A166,請求記録!$Z$6:$Z$3005,X$5)=0,"",SUMIFS(請求記録!$AE$6:$AE$3005,請求記録!$B$6:$B$3005,$A166,請求記録!$Z$6:$Z$3005,X$5))))</f>
        <v/>
      </c>
      <c r="Y166" s="19">
        <f>IF($A166="","",IF(COUNTIFS(請求記録!$B$6:$B$3005,$A166,請求記録!$Z$6:$Z$3005,Y$5,請求記録!$AF$6:$AF$3005,"保留中")&gt;0,"保留",IF(COUNTIFS(請求記録!$B$6:$B$3005,$A166,請求記録!$Z$6:$Z$3005,Y$5)=0,"",SUMIFS(請求記録!$AE$6:$AE$3005,請求記録!$B$6:$B$3005,$A166,請求記録!$Z$6:$Z$3005,Y$5))))</f>
        <v/>
      </c>
      <c r="Z166" s="19">
        <f>IF($A166="","",IF(COUNTIFS(請求記録!$B$6:$B$3005,$A166,請求記録!$Z$6:$Z$3005,Z$5,請求記録!$AF$6:$AF$3005,"保留中")&gt;0,"保留",IF(COUNTIFS(請求記録!$B$6:$B$3005,$A166,請求記録!$Z$6:$Z$3005,Z$5)=0,"",SUMIFS(請求記録!$AE$6:$AE$3005,請求記録!$B$6:$B$3005,$A166,請求記録!$Z$6:$Z$3005,Z$5))))</f>
        <v/>
      </c>
      <c r="AA166" s="19">
        <f>IF($A166="","",IF(COUNTIFS(請求記録!$B$6:$B$3005,$A166,請求記録!$Z$6:$Z$3005,AA$5,請求記録!$AF$6:$AF$3005,"保留中")&gt;0,"保留",IF(COUNTIFS(請求記録!$B$6:$B$3005,$A166,請求記録!$Z$6:$Z$3005,AA$5)=0,"",SUMIFS(請求記録!$AE$6:$AE$3005,請求記録!$B$6:$B$3005,$A166,請求記録!$Z$6:$Z$3005,AA$5))))</f>
        <v/>
      </c>
      <c r="AB166">
        <f>IF(職員マスタ!P166="保留中",職員マスタ!M166,"")</f>
        <v/>
      </c>
    </row>
    <row r="167">
      <c r="A167">
        <f>IF(職員マスタ!A167="","",職員マスタ!A167)</f>
        <v/>
      </c>
      <c r="B167">
        <f>IF($A167="","",職員マスタ!B167)</f>
        <v/>
      </c>
      <c r="C167">
        <f>IF($A167="","",職員マスタ!C167)</f>
        <v/>
      </c>
      <c r="D167" s="19">
        <f>IF($A167="","",IF(COUNTIFS(請求記録!$B$6:$B$3005,$A167,請求記録!$Z$6:$Z$3005,D$5,請求記録!$AF$6:$AF$3005,"保留中")&gt;0,"保留",IF(COUNTIFS(請求記録!$B$6:$B$3005,$A167,請求記録!$Z$6:$Z$3005,D$5)=0,"",SUMIFS(請求記録!$AE$6:$AE$3005,請求記録!$B$6:$B$3005,$A167,請求記録!$Z$6:$Z$3005,D$5))))</f>
        <v/>
      </c>
      <c r="E167" s="19">
        <f>IF($A167="","",IF(COUNTIFS(請求記録!$B$6:$B$3005,$A167,請求記録!$Z$6:$Z$3005,E$5,請求記録!$AF$6:$AF$3005,"保留中")&gt;0,"保留",IF(COUNTIFS(請求記録!$B$6:$B$3005,$A167,請求記録!$Z$6:$Z$3005,E$5)=0,"",SUMIFS(請求記録!$AE$6:$AE$3005,請求記録!$B$6:$B$3005,$A167,請求記録!$Z$6:$Z$3005,E$5))))</f>
        <v/>
      </c>
      <c r="F167" s="19">
        <f>IF($A167="","",IF(COUNTIFS(請求記録!$B$6:$B$3005,$A167,請求記録!$Z$6:$Z$3005,F$5,請求記録!$AF$6:$AF$3005,"保留中")&gt;0,"保留",IF(COUNTIFS(請求記録!$B$6:$B$3005,$A167,請求記録!$Z$6:$Z$3005,F$5)=0,"",SUMIFS(請求記録!$AE$6:$AE$3005,請求記録!$B$6:$B$3005,$A167,請求記録!$Z$6:$Z$3005,F$5))))</f>
        <v/>
      </c>
      <c r="G167" s="19">
        <f>IF($A167="","",IF(COUNTIFS(請求記録!$B$6:$B$3005,$A167,請求記録!$Z$6:$Z$3005,G$5,請求記録!$AF$6:$AF$3005,"保留中")&gt;0,"保留",IF(COUNTIFS(請求記録!$B$6:$B$3005,$A167,請求記録!$Z$6:$Z$3005,G$5)=0,"",SUMIFS(請求記録!$AE$6:$AE$3005,請求記録!$B$6:$B$3005,$A167,請求記録!$Z$6:$Z$3005,G$5))))</f>
        <v/>
      </c>
      <c r="H167" s="19">
        <f>IF($A167="","",IF(COUNTIFS(請求記録!$B$6:$B$3005,$A167,請求記録!$Z$6:$Z$3005,H$5,請求記録!$AF$6:$AF$3005,"保留中")&gt;0,"保留",IF(COUNTIFS(請求記録!$B$6:$B$3005,$A167,請求記録!$Z$6:$Z$3005,H$5)=0,"",SUMIFS(請求記録!$AE$6:$AE$3005,請求記録!$B$6:$B$3005,$A167,請求記録!$Z$6:$Z$3005,H$5))))</f>
        <v/>
      </c>
      <c r="I167" s="19">
        <f>IF($A167="","",IF(COUNTIFS(請求記録!$B$6:$B$3005,$A167,請求記録!$Z$6:$Z$3005,I$5,請求記録!$AF$6:$AF$3005,"保留中")&gt;0,"保留",IF(COUNTIFS(請求記録!$B$6:$B$3005,$A167,請求記録!$Z$6:$Z$3005,I$5)=0,"",SUMIFS(請求記録!$AE$6:$AE$3005,請求記録!$B$6:$B$3005,$A167,請求記録!$Z$6:$Z$3005,I$5))))</f>
        <v/>
      </c>
      <c r="J167" s="19">
        <f>IF($A167="","",IF(COUNTIFS(請求記録!$B$6:$B$3005,$A167,請求記録!$Z$6:$Z$3005,J$5,請求記録!$AF$6:$AF$3005,"保留中")&gt;0,"保留",IF(COUNTIFS(請求記録!$B$6:$B$3005,$A167,請求記録!$Z$6:$Z$3005,J$5)=0,"",SUMIFS(請求記録!$AE$6:$AE$3005,請求記録!$B$6:$B$3005,$A167,請求記録!$Z$6:$Z$3005,J$5))))</f>
        <v/>
      </c>
      <c r="K167" s="19">
        <f>IF($A167="","",IF(COUNTIFS(請求記録!$B$6:$B$3005,$A167,請求記録!$Z$6:$Z$3005,K$5,請求記録!$AF$6:$AF$3005,"保留中")&gt;0,"保留",IF(COUNTIFS(請求記録!$B$6:$B$3005,$A167,請求記録!$Z$6:$Z$3005,K$5)=0,"",SUMIFS(請求記録!$AE$6:$AE$3005,請求記録!$B$6:$B$3005,$A167,請求記録!$Z$6:$Z$3005,K$5))))</f>
        <v/>
      </c>
      <c r="L167" s="19">
        <f>IF($A167="","",IF(COUNTIFS(請求記録!$B$6:$B$3005,$A167,請求記録!$Z$6:$Z$3005,L$5,請求記録!$AF$6:$AF$3005,"保留中")&gt;0,"保留",IF(COUNTIFS(請求記録!$B$6:$B$3005,$A167,請求記録!$Z$6:$Z$3005,L$5)=0,"",SUMIFS(請求記録!$AE$6:$AE$3005,請求記録!$B$6:$B$3005,$A167,請求記録!$Z$6:$Z$3005,L$5))))</f>
        <v/>
      </c>
      <c r="M167" s="19">
        <f>IF($A167="","",IF(COUNTIFS(請求記録!$B$6:$B$3005,$A167,請求記録!$Z$6:$Z$3005,M$5,請求記録!$AF$6:$AF$3005,"保留中")&gt;0,"保留",IF(COUNTIFS(請求記録!$B$6:$B$3005,$A167,請求記録!$Z$6:$Z$3005,M$5)=0,"",SUMIFS(請求記録!$AE$6:$AE$3005,請求記録!$B$6:$B$3005,$A167,請求記録!$Z$6:$Z$3005,M$5))))</f>
        <v/>
      </c>
      <c r="N167" s="19">
        <f>IF($A167="","",IF(COUNTIFS(請求記録!$B$6:$B$3005,$A167,請求記録!$Z$6:$Z$3005,N$5,請求記録!$AF$6:$AF$3005,"保留中")&gt;0,"保留",IF(COUNTIFS(請求記録!$B$6:$B$3005,$A167,請求記録!$Z$6:$Z$3005,N$5)=0,"",SUMIFS(請求記録!$AE$6:$AE$3005,請求記録!$B$6:$B$3005,$A167,請求記録!$Z$6:$Z$3005,N$5))))</f>
        <v/>
      </c>
      <c r="O167" s="19">
        <f>IF($A167="","",IF(COUNTIFS(請求記録!$B$6:$B$3005,$A167,請求記録!$Z$6:$Z$3005,O$5,請求記録!$AF$6:$AF$3005,"保留中")&gt;0,"保留",IF(COUNTIFS(請求記録!$B$6:$B$3005,$A167,請求記録!$Z$6:$Z$3005,O$5)=0,"",SUMIFS(請求記録!$AE$6:$AE$3005,請求記録!$B$6:$B$3005,$A167,請求記録!$Z$6:$Z$3005,O$5))))</f>
        <v/>
      </c>
      <c r="P167" s="19">
        <f>IF($A167="","",IF(COUNTIFS(請求記録!$B$6:$B$3005,$A167,請求記録!$Z$6:$Z$3005,P$5,請求記録!$AF$6:$AF$3005,"保留中")&gt;0,"保留",IF(COUNTIFS(請求記録!$B$6:$B$3005,$A167,請求記録!$Z$6:$Z$3005,P$5)=0,"",SUMIFS(請求記録!$AE$6:$AE$3005,請求記録!$B$6:$B$3005,$A167,請求記録!$Z$6:$Z$3005,P$5))))</f>
        <v/>
      </c>
      <c r="Q167" s="19">
        <f>IF($A167="","",IF(COUNTIFS(請求記録!$B$6:$B$3005,$A167,請求記録!$Z$6:$Z$3005,Q$5,請求記録!$AF$6:$AF$3005,"保留中")&gt;0,"保留",IF(COUNTIFS(請求記録!$B$6:$B$3005,$A167,請求記録!$Z$6:$Z$3005,Q$5)=0,"",SUMIFS(請求記録!$AE$6:$AE$3005,請求記録!$B$6:$B$3005,$A167,請求記録!$Z$6:$Z$3005,Q$5))))</f>
        <v/>
      </c>
      <c r="R167" s="19">
        <f>IF($A167="","",IF(COUNTIFS(請求記録!$B$6:$B$3005,$A167,請求記録!$Z$6:$Z$3005,R$5,請求記録!$AF$6:$AF$3005,"保留中")&gt;0,"保留",IF(COUNTIFS(請求記録!$B$6:$B$3005,$A167,請求記録!$Z$6:$Z$3005,R$5)=0,"",SUMIFS(請求記録!$AE$6:$AE$3005,請求記録!$B$6:$B$3005,$A167,請求記録!$Z$6:$Z$3005,R$5))))</f>
        <v/>
      </c>
      <c r="S167" s="19">
        <f>IF($A167="","",IF(COUNTIFS(請求記録!$B$6:$B$3005,$A167,請求記録!$Z$6:$Z$3005,S$5,請求記録!$AF$6:$AF$3005,"保留中")&gt;0,"保留",IF(COUNTIFS(請求記録!$B$6:$B$3005,$A167,請求記録!$Z$6:$Z$3005,S$5)=0,"",SUMIFS(請求記録!$AE$6:$AE$3005,請求記録!$B$6:$B$3005,$A167,請求記録!$Z$6:$Z$3005,S$5))))</f>
        <v/>
      </c>
      <c r="T167" s="19">
        <f>IF($A167="","",IF(COUNTIFS(請求記録!$B$6:$B$3005,$A167,請求記録!$Z$6:$Z$3005,T$5,請求記録!$AF$6:$AF$3005,"保留中")&gt;0,"保留",IF(COUNTIFS(請求記録!$B$6:$B$3005,$A167,請求記録!$Z$6:$Z$3005,T$5)=0,"",SUMIFS(請求記録!$AE$6:$AE$3005,請求記録!$B$6:$B$3005,$A167,請求記録!$Z$6:$Z$3005,T$5))))</f>
        <v/>
      </c>
      <c r="U167" s="19">
        <f>IF($A167="","",IF(COUNTIFS(請求記録!$B$6:$B$3005,$A167,請求記録!$Z$6:$Z$3005,U$5,請求記録!$AF$6:$AF$3005,"保留中")&gt;0,"保留",IF(COUNTIFS(請求記録!$B$6:$B$3005,$A167,請求記録!$Z$6:$Z$3005,U$5)=0,"",SUMIFS(請求記録!$AE$6:$AE$3005,請求記録!$B$6:$B$3005,$A167,請求記録!$Z$6:$Z$3005,U$5))))</f>
        <v/>
      </c>
      <c r="V167" s="19">
        <f>IF($A167="","",IF(COUNTIFS(請求記録!$B$6:$B$3005,$A167,請求記録!$Z$6:$Z$3005,V$5,請求記録!$AF$6:$AF$3005,"保留中")&gt;0,"保留",IF(COUNTIFS(請求記録!$B$6:$B$3005,$A167,請求記録!$Z$6:$Z$3005,V$5)=0,"",SUMIFS(請求記録!$AE$6:$AE$3005,請求記録!$B$6:$B$3005,$A167,請求記録!$Z$6:$Z$3005,V$5))))</f>
        <v/>
      </c>
      <c r="W167" s="19">
        <f>IF($A167="","",IF(COUNTIFS(請求記録!$B$6:$B$3005,$A167,請求記録!$Z$6:$Z$3005,W$5,請求記録!$AF$6:$AF$3005,"保留中")&gt;0,"保留",IF(COUNTIFS(請求記録!$B$6:$B$3005,$A167,請求記録!$Z$6:$Z$3005,W$5)=0,"",SUMIFS(請求記録!$AE$6:$AE$3005,請求記録!$B$6:$B$3005,$A167,請求記録!$Z$6:$Z$3005,W$5))))</f>
        <v/>
      </c>
      <c r="X167" s="19">
        <f>IF($A167="","",IF(COUNTIFS(請求記録!$B$6:$B$3005,$A167,請求記録!$Z$6:$Z$3005,X$5,請求記録!$AF$6:$AF$3005,"保留中")&gt;0,"保留",IF(COUNTIFS(請求記録!$B$6:$B$3005,$A167,請求記録!$Z$6:$Z$3005,X$5)=0,"",SUMIFS(請求記録!$AE$6:$AE$3005,請求記録!$B$6:$B$3005,$A167,請求記録!$Z$6:$Z$3005,X$5))))</f>
        <v/>
      </c>
      <c r="Y167" s="19">
        <f>IF($A167="","",IF(COUNTIFS(請求記録!$B$6:$B$3005,$A167,請求記録!$Z$6:$Z$3005,Y$5,請求記録!$AF$6:$AF$3005,"保留中")&gt;0,"保留",IF(COUNTIFS(請求記録!$B$6:$B$3005,$A167,請求記録!$Z$6:$Z$3005,Y$5)=0,"",SUMIFS(請求記録!$AE$6:$AE$3005,請求記録!$B$6:$B$3005,$A167,請求記録!$Z$6:$Z$3005,Y$5))))</f>
        <v/>
      </c>
      <c r="Z167" s="19">
        <f>IF($A167="","",IF(COUNTIFS(請求記録!$B$6:$B$3005,$A167,請求記録!$Z$6:$Z$3005,Z$5,請求記録!$AF$6:$AF$3005,"保留中")&gt;0,"保留",IF(COUNTIFS(請求記録!$B$6:$B$3005,$A167,請求記録!$Z$6:$Z$3005,Z$5)=0,"",SUMIFS(請求記録!$AE$6:$AE$3005,請求記録!$B$6:$B$3005,$A167,請求記録!$Z$6:$Z$3005,Z$5))))</f>
        <v/>
      </c>
      <c r="AA167" s="19">
        <f>IF($A167="","",IF(COUNTIFS(請求記録!$B$6:$B$3005,$A167,請求記録!$Z$6:$Z$3005,AA$5,請求記録!$AF$6:$AF$3005,"保留中")&gt;0,"保留",IF(COUNTIFS(請求記録!$B$6:$B$3005,$A167,請求記録!$Z$6:$Z$3005,AA$5)=0,"",SUMIFS(請求記録!$AE$6:$AE$3005,請求記録!$B$6:$B$3005,$A167,請求記録!$Z$6:$Z$3005,AA$5))))</f>
        <v/>
      </c>
      <c r="AB167">
        <f>IF(職員マスタ!P167="保留中",職員マスタ!M167,"")</f>
        <v/>
      </c>
    </row>
    <row r="168">
      <c r="A168">
        <f>IF(職員マスタ!A168="","",職員マスタ!A168)</f>
        <v/>
      </c>
      <c r="B168">
        <f>IF($A168="","",職員マスタ!B168)</f>
        <v/>
      </c>
      <c r="C168">
        <f>IF($A168="","",職員マスタ!C168)</f>
        <v/>
      </c>
      <c r="D168" s="19">
        <f>IF($A168="","",IF(COUNTIFS(請求記録!$B$6:$B$3005,$A168,請求記録!$Z$6:$Z$3005,D$5,請求記録!$AF$6:$AF$3005,"保留中")&gt;0,"保留",IF(COUNTIFS(請求記録!$B$6:$B$3005,$A168,請求記録!$Z$6:$Z$3005,D$5)=0,"",SUMIFS(請求記録!$AE$6:$AE$3005,請求記録!$B$6:$B$3005,$A168,請求記録!$Z$6:$Z$3005,D$5))))</f>
        <v/>
      </c>
      <c r="E168" s="19">
        <f>IF($A168="","",IF(COUNTIFS(請求記録!$B$6:$B$3005,$A168,請求記録!$Z$6:$Z$3005,E$5,請求記録!$AF$6:$AF$3005,"保留中")&gt;0,"保留",IF(COUNTIFS(請求記録!$B$6:$B$3005,$A168,請求記録!$Z$6:$Z$3005,E$5)=0,"",SUMIFS(請求記録!$AE$6:$AE$3005,請求記録!$B$6:$B$3005,$A168,請求記録!$Z$6:$Z$3005,E$5))))</f>
        <v/>
      </c>
      <c r="F168" s="19">
        <f>IF($A168="","",IF(COUNTIFS(請求記録!$B$6:$B$3005,$A168,請求記録!$Z$6:$Z$3005,F$5,請求記録!$AF$6:$AF$3005,"保留中")&gt;0,"保留",IF(COUNTIFS(請求記録!$B$6:$B$3005,$A168,請求記録!$Z$6:$Z$3005,F$5)=0,"",SUMIFS(請求記録!$AE$6:$AE$3005,請求記録!$B$6:$B$3005,$A168,請求記録!$Z$6:$Z$3005,F$5))))</f>
        <v/>
      </c>
      <c r="G168" s="19">
        <f>IF($A168="","",IF(COUNTIFS(請求記録!$B$6:$B$3005,$A168,請求記録!$Z$6:$Z$3005,G$5,請求記録!$AF$6:$AF$3005,"保留中")&gt;0,"保留",IF(COUNTIFS(請求記録!$B$6:$B$3005,$A168,請求記録!$Z$6:$Z$3005,G$5)=0,"",SUMIFS(請求記録!$AE$6:$AE$3005,請求記録!$B$6:$B$3005,$A168,請求記録!$Z$6:$Z$3005,G$5))))</f>
        <v/>
      </c>
      <c r="H168" s="19">
        <f>IF($A168="","",IF(COUNTIFS(請求記録!$B$6:$B$3005,$A168,請求記録!$Z$6:$Z$3005,H$5,請求記録!$AF$6:$AF$3005,"保留中")&gt;0,"保留",IF(COUNTIFS(請求記録!$B$6:$B$3005,$A168,請求記録!$Z$6:$Z$3005,H$5)=0,"",SUMIFS(請求記録!$AE$6:$AE$3005,請求記録!$B$6:$B$3005,$A168,請求記録!$Z$6:$Z$3005,H$5))))</f>
        <v/>
      </c>
      <c r="I168" s="19">
        <f>IF($A168="","",IF(COUNTIFS(請求記録!$B$6:$B$3005,$A168,請求記録!$Z$6:$Z$3005,I$5,請求記録!$AF$6:$AF$3005,"保留中")&gt;0,"保留",IF(COUNTIFS(請求記録!$B$6:$B$3005,$A168,請求記録!$Z$6:$Z$3005,I$5)=0,"",SUMIFS(請求記録!$AE$6:$AE$3005,請求記録!$B$6:$B$3005,$A168,請求記録!$Z$6:$Z$3005,I$5))))</f>
        <v/>
      </c>
      <c r="J168" s="19">
        <f>IF($A168="","",IF(COUNTIFS(請求記録!$B$6:$B$3005,$A168,請求記録!$Z$6:$Z$3005,J$5,請求記録!$AF$6:$AF$3005,"保留中")&gt;0,"保留",IF(COUNTIFS(請求記録!$B$6:$B$3005,$A168,請求記録!$Z$6:$Z$3005,J$5)=0,"",SUMIFS(請求記録!$AE$6:$AE$3005,請求記録!$B$6:$B$3005,$A168,請求記録!$Z$6:$Z$3005,J$5))))</f>
        <v/>
      </c>
      <c r="K168" s="19">
        <f>IF($A168="","",IF(COUNTIFS(請求記録!$B$6:$B$3005,$A168,請求記録!$Z$6:$Z$3005,K$5,請求記録!$AF$6:$AF$3005,"保留中")&gt;0,"保留",IF(COUNTIFS(請求記録!$B$6:$B$3005,$A168,請求記録!$Z$6:$Z$3005,K$5)=0,"",SUMIFS(請求記録!$AE$6:$AE$3005,請求記録!$B$6:$B$3005,$A168,請求記録!$Z$6:$Z$3005,K$5))))</f>
        <v/>
      </c>
      <c r="L168" s="19">
        <f>IF($A168="","",IF(COUNTIFS(請求記録!$B$6:$B$3005,$A168,請求記録!$Z$6:$Z$3005,L$5,請求記録!$AF$6:$AF$3005,"保留中")&gt;0,"保留",IF(COUNTIFS(請求記録!$B$6:$B$3005,$A168,請求記録!$Z$6:$Z$3005,L$5)=0,"",SUMIFS(請求記録!$AE$6:$AE$3005,請求記録!$B$6:$B$3005,$A168,請求記録!$Z$6:$Z$3005,L$5))))</f>
        <v/>
      </c>
      <c r="M168" s="19">
        <f>IF($A168="","",IF(COUNTIFS(請求記録!$B$6:$B$3005,$A168,請求記録!$Z$6:$Z$3005,M$5,請求記録!$AF$6:$AF$3005,"保留中")&gt;0,"保留",IF(COUNTIFS(請求記録!$B$6:$B$3005,$A168,請求記録!$Z$6:$Z$3005,M$5)=0,"",SUMIFS(請求記録!$AE$6:$AE$3005,請求記録!$B$6:$B$3005,$A168,請求記録!$Z$6:$Z$3005,M$5))))</f>
        <v/>
      </c>
      <c r="N168" s="19">
        <f>IF($A168="","",IF(COUNTIFS(請求記録!$B$6:$B$3005,$A168,請求記録!$Z$6:$Z$3005,N$5,請求記録!$AF$6:$AF$3005,"保留中")&gt;0,"保留",IF(COUNTIFS(請求記録!$B$6:$B$3005,$A168,請求記録!$Z$6:$Z$3005,N$5)=0,"",SUMIFS(請求記録!$AE$6:$AE$3005,請求記録!$B$6:$B$3005,$A168,請求記録!$Z$6:$Z$3005,N$5))))</f>
        <v/>
      </c>
      <c r="O168" s="19">
        <f>IF($A168="","",IF(COUNTIFS(請求記録!$B$6:$B$3005,$A168,請求記録!$Z$6:$Z$3005,O$5,請求記録!$AF$6:$AF$3005,"保留中")&gt;0,"保留",IF(COUNTIFS(請求記録!$B$6:$B$3005,$A168,請求記録!$Z$6:$Z$3005,O$5)=0,"",SUMIFS(請求記録!$AE$6:$AE$3005,請求記録!$B$6:$B$3005,$A168,請求記録!$Z$6:$Z$3005,O$5))))</f>
        <v/>
      </c>
      <c r="P168" s="19">
        <f>IF($A168="","",IF(COUNTIFS(請求記録!$B$6:$B$3005,$A168,請求記録!$Z$6:$Z$3005,P$5,請求記録!$AF$6:$AF$3005,"保留中")&gt;0,"保留",IF(COUNTIFS(請求記録!$B$6:$B$3005,$A168,請求記録!$Z$6:$Z$3005,P$5)=0,"",SUMIFS(請求記録!$AE$6:$AE$3005,請求記録!$B$6:$B$3005,$A168,請求記録!$Z$6:$Z$3005,P$5))))</f>
        <v/>
      </c>
      <c r="Q168" s="19">
        <f>IF($A168="","",IF(COUNTIFS(請求記録!$B$6:$B$3005,$A168,請求記録!$Z$6:$Z$3005,Q$5,請求記録!$AF$6:$AF$3005,"保留中")&gt;0,"保留",IF(COUNTIFS(請求記録!$B$6:$B$3005,$A168,請求記録!$Z$6:$Z$3005,Q$5)=0,"",SUMIFS(請求記録!$AE$6:$AE$3005,請求記録!$B$6:$B$3005,$A168,請求記録!$Z$6:$Z$3005,Q$5))))</f>
        <v/>
      </c>
      <c r="R168" s="19">
        <f>IF($A168="","",IF(COUNTIFS(請求記録!$B$6:$B$3005,$A168,請求記録!$Z$6:$Z$3005,R$5,請求記録!$AF$6:$AF$3005,"保留中")&gt;0,"保留",IF(COUNTIFS(請求記録!$B$6:$B$3005,$A168,請求記録!$Z$6:$Z$3005,R$5)=0,"",SUMIFS(請求記録!$AE$6:$AE$3005,請求記録!$B$6:$B$3005,$A168,請求記録!$Z$6:$Z$3005,R$5))))</f>
        <v/>
      </c>
      <c r="S168" s="19">
        <f>IF($A168="","",IF(COUNTIFS(請求記録!$B$6:$B$3005,$A168,請求記録!$Z$6:$Z$3005,S$5,請求記録!$AF$6:$AF$3005,"保留中")&gt;0,"保留",IF(COUNTIFS(請求記録!$B$6:$B$3005,$A168,請求記録!$Z$6:$Z$3005,S$5)=0,"",SUMIFS(請求記録!$AE$6:$AE$3005,請求記録!$B$6:$B$3005,$A168,請求記録!$Z$6:$Z$3005,S$5))))</f>
        <v/>
      </c>
      <c r="T168" s="19">
        <f>IF($A168="","",IF(COUNTIFS(請求記録!$B$6:$B$3005,$A168,請求記録!$Z$6:$Z$3005,T$5,請求記録!$AF$6:$AF$3005,"保留中")&gt;0,"保留",IF(COUNTIFS(請求記録!$B$6:$B$3005,$A168,請求記録!$Z$6:$Z$3005,T$5)=0,"",SUMIFS(請求記録!$AE$6:$AE$3005,請求記録!$B$6:$B$3005,$A168,請求記録!$Z$6:$Z$3005,T$5))))</f>
        <v/>
      </c>
      <c r="U168" s="19">
        <f>IF($A168="","",IF(COUNTIFS(請求記録!$B$6:$B$3005,$A168,請求記録!$Z$6:$Z$3005,U$5,請求記録!$AF$6:$AF$3005,"保留中")&gt;0,"保留",IF(COUNTIFS(請求記録!$B$6:$B$3005,$A168,請求記録!$Z$6:$Z$3005,U$5)=0,"",SUMIFS(請求記録!$AE$6:$AE$3005,請求記録!$B$6:$B$3005,$A168,請求記録!$Z$6:$Z$3005,U$5))))</f>
        <v/>
      </c>
      <c r="V168" s="19">
        <f>IF($A168="","",IF(COUNTIFS(請求記録!$B$6:$B$3005,$A168,請求記録!$Z$6:$Z$3005,V$5,請求記録!$AF$6:$AF$3005,"保留中")&gt;0,"保留",IF(COUNTIFS(請求記録!$B$6:$B$3005,$A168,請求記録!$Z$6:$Z$3005,V$5)=0,"",SUMIFS(請求記録!$AE$6:$AE$3005,請求記録!$B$6:$B$3005,$A168,請求記録!$Z$6:$Z$3005,V$5))))</f>
        <v/>
      </c>
      <c r="W168" s="19">
        <f>IF($A168="","",IF(COUNTIFS(請求記録!$B$6:$B$3005,$A168,請求記録!$Z$6:$Z$3005,W$5,請求記録!$AF$6:$AF$3005,"保留中")&gt;0,"保留",IF(COUNTIFS(請求記録!$B$6:$B$3005,$A168,請求記録!$Z$6:$Z$3005,W$5)=0,"",SUMIFS(請求記録!$AE$6:$AE$3005,請求記録!$B$6:$B$3005,$A168,請求記録!$Z$6:$Z$3005,W$5))))</f>
        <v/>
      </c>
      <c r="X168" s="19">
        <f>IF($A168="","",IF(COUNTIFS(請求記録!$B$6:$B$3005,$A168,請求記録!$Z$6:$Z$3005,X$5,請求記録!$AF$6:$AF$3005,"保留中")&gt;0,"保留",IF(COUNTIFS(請求記録!$B$6:$B$3005,$A168,請求記録!$Z$6:$Z$3005,X$5)=0,"",SUMIFS(請求記録!$AE$6:$AE$3005,請求記録!$B$6:$B$3005,$A168,請求記録!$Z$6:$Z$3005,X$5))))</f>
        <v/>
      </c>
      <c r="Y168" s="19">
        <f>IF($A168="","",IF(COUNTIFS(請求記録!$B$6:$B$3005,$A168,請求記録!$Z$6:$Z$3005,Y$5,請求記録!$AF$6:$AF$3005,"保留中")&gt;0,"保留",IF(COUNTIFS(請求記録!$B$6:$B$3005,$A168,請求記録!$Z$6:$Z$3005,Y$5)=0,"",SUMIFS(請求記録!$AE$6:$AE$3005,請求記録!$B$6:$B$3005,$A168,請求記録!$Z$6:$Z$3005,Y$5))))</f>
        <v/>
      </c>
      <c r="Z168" s="19">
        <f>IF($A168="","",IF(COUNTIFS(請求記録!$B$6:$B$3005,$A168,請求記録!$Z$6:$Z$3005,Z$5,請求記録!$AF$6:$AF$3005,"保留中")&gt;0,"保留",IF(COUNTIFS(請求記録!$B$6:$B$3005,$A168,請求記録!$Z$6:$Z$3005,Z$5)=0,"",SUMIFS(請求記録!$AE$6:$AE$3005,請求記録!$B$6:$B$3005,$A168,請求記録!$Z$6:$Z$3005,Z$5))))</f>
        <v/>
      </c>
      <c r="AA168" s="19">
        <f>IF($A168="","",IF(COUNTIFS(請求記録!$B$6:$B$3005,$A168,請求記録!$Z$6:$Z$3005,AA$5,請求記録!$AF$6:$AF$3005,"保留中")&gt;0,"保留",IF(COUNTIFS(請求記録!$B$6:$B$3005,$A168,請求記録!$Z$6:$Z$3005,AA$5)=0,"",SUMIFS(請求記録!$AE$6:$AE$3005,請求記録!$B$6:$B$3005,$A168,請求記録!$Z$6:$Z$3005,AA$5))))</f>
        <v/>
      </c>
      <c r="AB168">
        <f>IF(職員マスタ!P168="保留中",職員マスタ!M168,"")</f>
        <v/>
      </c>
    </row>
    <row r="169">
      <c r="A169">
        <f>IF(職員マスタ!A169="","",職員マスタ!A169)</f>
        <v/>
      </c>
      <c r="B169">
        <f>IF($A169="","",職員マスタ!B169)</f>
        <v/>
      </c>
      <c r="C169">
        <f>IF($A169="","",職員マスタ!C169)</f>
        <v/>
      </c>
      <c r="D169" s="19">
        <f>IF($A169="","",IF(COUNTIFS(請求記録!$B$6:$B$3005,$A169,請求記録!$Z$6:$Z$3005,D$5,請求記録!$AF$6:$AF$3005,"保留中")&gt;0,"保留",IF(COUNTIFS(請求記録!$B$6:$B$3005,$A169,請求記録!$Z$6:$Z$3005,D$5)=0,"",SUMIFS(請求記録!$AE$6:$AE$3005,請求記録!$B$6:$B$3005,$A169,請求記録!$Z$6:$Z$3005,D$5))))</f>
        <v/>
      </c>
      <c r="E169" s="19">
        <f>IF($A169="","",IF(COUNTIFS(請求記録!$B$6:$B$3005,$A169,請求記録!$Z$6:$Z$3005,E$5,請求記録!$AF$6:$AF$3005,"保留中")&gt;0,"保留",IF(COUNTIFS(請求記録!$B$6:$B$3005,$A169,請求記録!$Z$6:$Z$3005,E$5)=0,"",SUMIFS(請求記録!$AE$6:$AE$3005,請求記録!$B$6:$B$3005,$A169,請求記録!$Z$6:$Z$3005,E$5))))</f>
        <v/>
      </c>
      <c r="F169" s="19">
        <f>IF($A169="","",IF(COUNTIFS(請求記録!$B$6:$B$3005,$A169,請求記録!$Z$6:$Z$3005,F$5,請求記録!$AF$6:$AF$3005,"保留中")&gt;0,"保留",IF(COUNTIFS(請求記録!$B$6:$B$3005,$A169,請求記録!$Z$6:$Z$3005,F$5)=0,"",SUMIFS(請求記録!$AE$6:$AE$3005,請求記録!$B$6:$B$3005,$A169,請求記録!$Z$6:$Z$3005,F$5))))</f>
        <v/>
      </c>
      <c r="G169" s="19">
        <f>IF($A169="","",IF(COUNTIFS(請求記録!$B$6:$B$3005,$A169,請求記録!$Z$6:$Z$3005,G$5,請求記録!$AF$6:$AF$3005,"保留中")&gt;0,"保留",IF(COUNTIFS(請求記録!$B$6:$B$3005,$A169,請求記録!$Z$6:$Z$3005,G$5)=0,"",SUMIFS(請求記録!$AE$6:$AE$3005,請求記録!$B$6:$B$3005,$A169,請求記録!$Z$6:$Z$3005,G$5))))</f>
        <v/>
      </c>
      <c r="H169" s="19">
        <f>IF($A169="","",IF(COUNTIFS(請求記録!$B$6:$B$3005,$A169,請求記録!$Z$6:$Z$3005,H$5,請求記録!$AF$6:$AF$3005,"保留中")&gt;0,"保留",IF(COUNTIFS(請求記録!$B$6:$B$3005,$A169,請求記録!$Z$6:$Z$3005,H$5)=0,"",SUMIFS(請求記録!$AE$6:$AE$3005,請求記録!$B$6:$B$3005,$A169,請求記録!$Z$6:$Z$3005,H$5))))</f>
        <v/>
      </c>
      <c r="I169" s="19">
        <f>IF($A169="","",IF(COUNTIFS(請求記録!$B$6:$B$3005,$A169,請求記録!$Z$6:$Z$3005,I$5,請求記録!$AF$6:$AF$3005,"保留中")&gt;0,"保留",IF(COUNTIFS(請求記録!$B$6:$B$3005,$A169,請求記録!$Z$6:$Z$3005,I$5)=0,"",SUMIFS(請求記録!$AE$6:$AE$3005,請求記録!$B$6:$B$3005,$A169,請求記録!$Z$6:$Z$3005,I$5))))</f>
        <v/>
      </c>
      <c r="J169" s="19">
        <f>IF($A169="","",IF(COUNTIFS(請求記録!$B$6:$B$3005,$A169,請求記録!$Z$6:$Z$3005,J$5,請求記録!$AF$6:$AF$3005,"保留中")&gt;0,"保留",IF(COUNTIFS(請求記録!$B$6:$B$3005,$A169,請求記録!$Z$6:$Z$3005,J$5)=0,"",SUMIFS(請求記録!$AE$6:$AE$3005,請求記録!$B$6:$B$3005,$A169,請求記録!$Z$6:$Z$3005,J$5))))</f>
        <v/>
      </c>
      <c r="K169" s="19">
        <f>IF($A169="","",IF(COUNTIFS(請求記録!$B$6:$B$3005,$A169,請求記録!$Z$6:$Z$3005,K$5,請求記録!$AF$6:$AF$3005,"保留中")&gt;0,"保留",IF(COUNTIFS(請求記録!$B$6:$B$3005,$A169,請求記録!$Z$6:$Z$3005,K$5)=0,"",SUMIFS(請求記録!$AE$6:$AE$3005,請求記録!$B$6:$B$3005,$A169,請求記録!$Z$6:$Z$3005,K$5))))</f>
        <v/>
      </c>
      <c r="L169" s="19">
        <f>IF($A169="","",IF(COUNTIFS(請求記録!$B$6:$B$3005,$A169,請求記録!$Z$6:$Z$3005,L$5,請求記録!$AF$6:$AF$3005,"保留中")&gt;0,"保留",IF(COUNTIFS(請求記録!$B$6:$B$3005,$A169,請求記録!$Z$6:$Z$3005,L$5)=0,"",SUMIFS(請求記録!$AE$6:$AE$3005,請求記録!$B$6:$B$3005,$A169,請求記録!$Z$6:$Z$3005,L$5))))</f>
        <v/>
      </c>
      <c r="M169" s="19">
        <f>IF($A169="","",IF(COUNTIFS(請求記録!$B$6:$B$3005,$A169,請求記録!$Z$6:$Z$3005,M$5,請求記録!$AF$6:$AF$3005,"保留中")&gt;0,"保留",IF(COUNTIFS(請求記録!$B$6:$B$3005,$A169,請求記録!$Z$6:$Z$3005,M$5)=0,"",SUMIFS(請求記録!$AE$6:$AE$3005,請求記録!$B$6:$B$3005,$A169,請求記録!$Z$6:$Z$3005,M$5))))</f>
        <v/>
      </c>
      <c r="N169" s="19">
        <f>IF($A169="","",IF(COUNTIFS(請求記録!$B$6:$B$3005,$A169,請求記録!$Z$6:$Z$3005,N$5,請求記録!$AF$6:$AF$3005,"保留中")&gt;0,"保留",IF(COUNTIFS(請求記録!$B$6:$B$3005,$A169,請求記録!$Z$6:$Z$3005,N$5)=0,"",SUMIFS(請求記録!$AE$6:$AE$3005,請求記録!$B$6:$B$3005,$A169,請求記録!$Z$6:$Z$3005,N$5))))</f>
        <v/>
      </c>
      <c r="O169" s="19">
        <f>IF($A169="","",IF(COUNTIFS(請求記録!$B$6:$B$3005,$A169,請求記録!$Z$6:$Z$3005,O$5,請求記録!$AF$6:$AF$3005,"保留中")&gt;0,"保留",IF(COUNTIFS(請求記録!$B$6:$B$3005,$A169,請求記録!$Z$6:$Z$3005,O$5)=0,"",SUMIFS(請求記録!$AE$6:$AE$3005,請求記録!$B$6:$B$3005,$A169,請求記録!$Z$6:$Z$3005,O$5))))</f>
        <v/>
      </c>
      <c r="P169" s="19">
        <f>IF($A169="","",IF(COUNTIFS(請求記録!$B$6:$B$3005,$A169,請求記録!$Z$6:$Z$3005,P$5,請求記録!$AF$6:$AF$3005,"保留中")&gt;0,"保留",IF(COUNTIFS(請求記録!$B$6:$B$3005,$A169,請求記録!$Z$6:$Z$3005,P$5)=0,"",SUMIFS(請求記録!$AE$6:$AE$3005,請求記録!$B$6:$B$3005,$A169,請求記録!$Z$6:$Z$3005,P$5))))</f>
        <v/>
      </c>
      <c r="Q169" s="19">
        <f>IF($A169="","",IF(COUNTIFS(請求記録!$B$6:$B$3005,$A169,請求記録!$Z$6:$Z$3005,Q$5,請求記録!$AF$6:$AF$3005,"保留中")&gt;0,"保留",IF(COUNTIFS(請求記録!$B$6:$B$3005,$A169,請求記録!$Z$6:$Z$3005,Q$5)=0,"",SUMIFS(請求記録!$AE$6:$AE$3005,請求記録!$B$6:$B$3005,$A169,請求記録!$Z$6:$Z$3005,Q$5))))</f>
        <v/>
      </c>
      <c r="R169" s="19">
        <f>IF($A169="","",IF(COUNTIFS(請求記録!$B$6:$B$3005,$A169,請求記録!$Z$6:$Z$3005,R$5,請求記録!$AF$6:$AF$3005,"保留中")&gt;0,"保留",IF(COUNTIFS(請求記録!$B$6:$B$3005,$A169,請求記録!$Z$6:$Z$3005,R$5)=0,"",SUMIFS(請求記録!$AE$6:$AE$3005,請求記録!$B$6:$B$3005,$A169,請求記録!$Z$6:$Z$3005,R$5))))</f>
        <v/>
      </c>
      <c r="S169" s="19">
        <f>IF($A169="","",IF(COUNTIFS(請求記録!$B$6:$B$3005,$A169,請求記録!$Z$6:$Z$3005,S$5,請求記録!$AF$6:$AF$3005,"保留中")&gt;0,"保留",IF(COUNTIFS(請求記録!$B$6:$B$3005,$A169,請求記録!$Z$6:$Z$3005,S$5)=0,"",SUMIFS(請求記録!$AE$6:$AE$3005,請求記録!$B$6:$B$3005,$A169,請求記録!$Z$6:$Z$3005,S$5))))</f>
        <v/>
      </c>
      <c r="T169" s="19">
        <f>IF($A169="","",IF(COUNTIFS(請求記録!$B$6:$B$3005,$A169,請求記録!$Z$6:$Z$3005,T$5,請求記録!$AF$6:$AF$3005,"保留中")&gt;0,"保留",IF(COUNTIFS(請求記録!$B$6:$B$3005,$A169,請求記録!$Z$6:$Z$3005,T$5)=0,"",SUMIFS(請求記録!$AE$6:$AE$3005,請求記録!$B$6:$B$3005,$A169,請求記録!$Z$6:$Z$3005,T$5))))</f>
        <v/>
      </c>
      <c r="U169" s="19">
        <f>IF($A169="","",IF(COUNTIFS(請求記録!$B$6:$B$3005,$A169,請求記録!$Z$6:$Z$3005,U$5,請求記録!$AF$6:$AF$3005,"保留中")&gt;0,"保留",IF(COUNTIFS(請求記録!$B$6:$B$3005,$A169,請求記録!$Z$6:$Z$3005,U$5)=0,"",SUMIFS(請求記録!$AE$6:$AE$3005,請求記録!$B$6:$B$3005,$A169,請求記録!$Z$6:$Z$3005,U$5))))</f>
        <v/>
      </c>
      <c r="V169" s="19">
        <f>IF($A169="","",IF(COUNTIFS(請求記録!$B$6:$B$3005,$A169,請求記録!$Z$6:$Z$3005,V$5,請求記録!$AF$6:$AF$3005,"保留中")&gt;0,"保留",IF(COUNTIFS(請求記録!$B$6:$B$3005,$A169,請求記録!$Z$6:$Z$3005,V$5)=0,"",SUMIFS(請求記録!$AE$6:$AE$3005,請求記録!$B$6:$B$3005,$A169,請求記録!$Z$6:$Z$3005,V$5))))</f>
        <v/>
      </c>
      <c r="W169" s="19">
        <f>IF($A169="","",IF(COUNTIFS(請求記録!$B$6:$B$3005,$A169,請求記録!$Z$6:$Z$3005,W$5,請求記録!$AF$6:$AF$3005,"保留中")&gt;0,"保留",IF(COUNTIFS(請求記録!$B$6:$B$3005,$A169,請求記録!$Z$6:$Z$3005,W$5)=0,"",SUMIFS(請求記録!$AE$6:$AE$3005,請求記録!$B$6:$B$3005,$A169,請求記録!$Z$6:$Z$3005,W$5))))</f>
        <v/>
      </c>
      <c r="X169" s="19">
        <f>IF($A169="","",IF(COUNTIFS(請求記録!$B$6:$B$3005,$A169,請求記録!$Z$6:$Z$3005,X$5,請求記録!$AF$6:$AF$3005,"保留中")&gt;0,"保留",IF(COUNTIFS(請求記録!$B$6:$B$3005,$A169,請求記録!$Z$6:$Z$3005,X$5)=0,"",SUMIFS(請求記録!$AE$6:$AE$3005,請求記録!$B$6:$B$3005,$A169,請求記録!$Z$6:$Z$3005,X$5))))</f>
        <v/>
      </c>
      <c r="Y169" s="19">
        <f>IF($A169="","",IF(COUNTIFS(請求記録!$B$6:$B$3005,$A169,請求記録!$Z$6:$Z$3005,Y$5,請求記録!$AF$6:$AF$3005,"保留中")&gt;0,"保留",IF(COUNTIFS(請求記録!$B$6:$B$3005,$A169,請求記録!$Z$6:$Z$3005,Y$5)=0,"",SUMIFS(請求記録!$AE$6:$AE$3005,請求記録!$B$6:$B$3005,$A169,請求記録!$Z$6:$Z$3005,Y$5))))</f>
        <v/>
      </c>
      <c r="Z169" s="19">
        <f>IF($A169="","",IF(COUNTIFS(請求記録!$B$6:$B$3005,$A169,請求記録!$Z$6:$Z$3005,Z$5,請求記録!$AF$6:$AF$3005,"保留中")&gt;0,"保留",IF(COUNTIFS(請求記録!$B$6:$B$3005,$A169,請求記録!$Z$6:$Z$3005,Z$5)=0,"",SUMIFS(請求記録!$AE$6:$AE$3005,請求記録!$B$6:$B$3005,$A169,請求記録!$Z$6:$Z$3005,Z$5))))</f>
        <v/>
      </c>
      <c r="AA169" s="19">
        <f>IF($A169="","",IF(COUNTIFS(請求記録!$B$6:$B$3005,$A169,請求記録!$Z$6:$Z$3005,AA$5,請求記録!$AF$6:$AF$3005,"保留中")&gt;0,"保留",IF(COUNTIFS(請求記録!$B$6:$B$3005,$A169,請求記録!$Z$6:$Z$3005,AA$5)=0,"",SUMIFS(請求記録!$AE$6:$AE$3005,請求記録!$B$6:$B$3005,$A169,請求記録!$Z$6:$Z$3005,AA$5))))</f>
        <v/>
      </c>
      <c r="AB169">
        <f>IF(職員マスタ!P169="保留中",職員マスタ!M169,"")</f>
        <v/>
      </c>
    </row>
    <row r="170">
      <c r="A170">
        <f>IF(職員マスタ!A170="","",職員マスタ!A170)</f>
        <v/>
      </c>
      <c r="B170">
        <f>IF($A170="","",職員マスタ!B170)</f>
        <v/>
      </c>
      <c r="C170">
        <f>IF($A170="","",職員マスタ!C170)</f>
        <v/>
      </c>
      <c r="D170" s="19">
        <f>IF($A170="","",IF(COUNTIFS(請求記録!$B$6:$B$3005,$A170,請求記録!$Z$6:$Z$3005,D$5,請求記録!$AF$6:$AF$3005,"保留中")&gt;0,"保留",IF(COUNTIFS(請求記録!$B$6:$B$3005,$A170,請求記録!$Z$6:$Z$3005,D$5)=0,"",SUMIFS(請求記録!$AE$6:$AE$3005,請求記録!$B$6:$B$3005,$A170,請求記録!$Z$6:$Z$3005,D$5))))</f>
        <v/>
      </c>
      <c r="E170" s="19">
        <f>IF($A170="","",IF(COUNTIFS(請求記録!$B$6:$B$3005,$A170,請求記録!$Z$6:$Z$3005,E$5,請求記録!$AF$6:$AF$3005,"保留中")&gt;0,"保留",IF(COUNTIFS(請求記録!$B$6:$B$3005,$A170,請求記録!$Z$6:$Z$3005,E$5)=0,"",SUMIFS(請求記録!$AE$6:$AE$3005,請求記録!$B$6:$B$3005,$A170,請求記録!$Z$6:$Z$3005,E$5))))</f>
        <v/>
      </c>
      <c r="F170" s="19">
        <f>IF($A170="","",IF(COUNTIFS(請求記録!$B$6:$B$3005,$A170,請求記録!$Z$6:$Z$3005,F$5,請求記録!$AF$6:$AF$3005,"保留中")&gt;0,"保留",IF(COUNTIFS(請求記録!$B$6:$B$3005,$A170,請求記録!$Z$6:$Z$3005,F$5)=0,"",SUMIFS(請求記録!$AE$6:$AE$3005,請求記録!$B$6:$B$3005,$A170,請求記録!$Z$6:$Z$3005,F$5))))</f>
        <v/>
      </c>
      <c r="G170" s="19">
        <f>IF($A170="","",IF(COUNTIFS(請求記録!$B$6:$B$3005,$A170,請求記録!$Z$6:$Z$3005,G$5,請求記録!$AF$6:$AF$3005,"保留中")&gt;0,"保留",IF(COUNTIFS(請求記録!$B$6:$B$3005,$A170,請求記録!$Z$6:$Z$3005,G$5)=0,"",SUMIFS(請求記録!$AE$6:$AE$3005,請求記録!$B$6:$B$3005,$A170,請求記録!$Z$6:$Z$3005,G$5))))</f>
        <v/>
      </c>
      <c r="H170" s="19">
        <f>IF($A170="","",IF(COUNTIFS(請求記録!$B$6:$B$3005,$A170,請求記録!$Z$6:$Z$3005,H$5,請求記録!$AF$6:$AF$3005,"保留中")&gt;0,"保留",IF(COUNTIFS(請求記録!$B$6:$B$3005,$A170,請求記録!$Z$6:$Z$3005,H$5)=0,"",SUMIFS(請求記録!$AE$6:$AE$3005,請求記録!$B$6:$B$3005,$A170,請求記録!$Z$6:$Z$3005,H$5))))</f>
        <v/>
      </c>
      <c r="I170" s="19">
        <f>IF($A170="","",IF(COUNTIFS(請求記録!$B$6:$B$3005,$A170,請求記録!$Z$6:$Z$3005,I$5,請求記録!$AF$6:$AF$3005,"保留中")&gt;0,"保留",IF(COUNTIFS(請求記録!$B$6:$B$3005,$A170,請求記録!$Z$6:$Z$3005,I$5)=0,"",SUMIFS(請求記録!$AE$6:$AE$3005,請求記録!$B$6:$B$3005,$A170,請求記録!$Z$6:$Z$3005,I$5))))</f>
        <v/>
      </c>
      <c r="J170" s="19">
        <f>IF($A170="","",IF(COUNTIFS(請求記録!$B$6:$B$3005,$A170,請求記録!$Z$6:$Z$3005,J$5,請求記録!$AF$6:$AF$3005,"保留中")&gt;0,"保留",IF(COUNTIFS(請求記録!$B$6:$B$3005,$A170,請求記録!$Z$6:$Z$3005,J$5)=0,"",SUMIFS(請求記録!$AE$6:$AE$3005,請求記録!$B$6:$B$3005,$A170,請求記録!$Z$6:$Z$3005,J$5))))</f>
        <v/>
      </c>
      <c r="K170" s="19">
        <f>IF($A170="","",IF(COUNTIFS(請求記録!$B$6:$B$3005,$A170,請求記録!$Z$6:$Z$3005,K$5,請求記録!$AF$6:$AF$3005,"保留中")&gt;0,"保留",IF(COUNTIFS(請求記録!$B$6:$B$3005,$A170,請求記録!$Z$6:$Z$3005,K$5)=0,"",SUMIFS(請求記録!$AE$6:$AE$3005,請求記録!$B$6:$B$3005,$A170,請求記録!$Z$6:$Z$3005,K$5))))</f>
        <v/>
      </c>
      <c r="L170" s="19">
        <f>IF($A170="","",IF(COUNTIFS(請求記録!$B$6:$B$3005,$A170,請求記録!$Z$6:$Z$3005,L$5,請求記録!$AF$6:$AF$3005,"保留中")&gt;0,"保留",IF(COUNTIFS(請求記録!$B$6:$B$3005,$A170,請求記録!$Z$6:$Z$3005,L$5)=0,"",SUMIFS(請求記録!$AE$6:$AE$3005,請求記録!$B$6:$B$3005,$A170,請求記録!$Z$6:$Z$3005,L$5))))</f>
        <v/>
      </c>
      <c r="M170" s="19">
        <f>IF($A170="","",IF(COUNTIFS(請求記録!$B$6:$B$3005,$A170,請求記録!$Z$6:$Z$3005,M$5,請求記録!$AF$6:$AF$3005,"保留中")&gt;0,"保留",IF(COUNTIFS(請求記録!$B$6:$B$3005,$A170,請求記録!$Z$6:$Z$3005,M$5)=0,"",SUMIFS(請求記録!$AE$6:$AE$3005,請求記録!$B$6:$B$3005,$A170,請求記録!$Z$6:$Z$3005,M$5))))</f>
        <v/>
      </c>
      <c r="N170" s="19">
        <f>IF($A170="","",IF(COUNTIFS(請求記録!$B$6:$B$3005,$A170,請求記録!$Z$6:$Z$3005,N$5,請求記録!$AF$6:$AF$3005,"保留中")&gt;0,"保留",IF(COUNTIFS(請求記録!$B$6:$B$3005,$A170,請求記録!$Z$6:$Z$3005,N$5)=0,"",SUMIFS(請求記録!$AE$6:$AE$3005,請求記録!$B$6:$B$3005,$A170,請求記録!$Z$6:$Z$3005,N$5))))</f>
        <v/>
      </c>
      <c r="O170" s="19">
        <f>IF($A170="","",IF(COUNTIFS(請求記録!$B$6:$B$3005,$A170,請求記録!$Z$6:$Z$3005,O$5,請求記録!$AF$6:$AF$3005,"保留中")&gt;0,"保留",IF(COUNTIFS(請求記録!$B$6:$B$3005,$A170,請求記録!$Z$6:$Z$3005,O$5)=0,"",SUMIFS(請求記録!$AE$6:$AE$3005,請求記録!$B$6:$B$3005,$A170,請求記録!$Z$6:$Z$3005,O$5))))</f>
        <v/>
      </c>
      <c r="P170" s="19">
        <f>IF($A170="","",IF(COUNTIFS(請求記録!$B$6:$B$3005,$A170,請求記録!$Z$6:$Z$3005,P$5,請求記録!$AF$6:$AF$3005,"保留中")&gt;0,"保留",IF(COUNTIFS(請求記録!$B$6:$B$3005,$A170,請求記録!$Z$6:$Z$3005,P$5)=0,"",SUMIFS(請求記録!$AE$6:$AE$3005,請求記録!$B$6:$B$3005,$A170,請求記録!$Z$6:$Z$3005,P$5))))</f>
        <v/>
      </c>
      <c r="Q170" s="19">
        <f>IF($A170="","",IF(COUNTIFS(請求記録!$B$6:$B$3005,$A170,請求記録!$Z$6:$Z$3005,Q$5,請求記録!$AF$6:$AF$3005,"保留中")&gt;0,"保留",IF(COUNTIFS(請求記録!$B$6:$B$3005,$A170,請求記録!$Z$6:$Z$3005,Q$5)=0,"",SUMIFS(請求記録!$AE$6:$AE$3005,請求記録!$B$6:$B$3005,$A170,請求記録!$Z$6:$Z$3005,Q$5))))</f>
        <v/>
      </c>
      <c r="R170" s="19">
        <f>IF($A170="","",IF(COUNTIFS(請求記録!$B$6:$B$3005,$A170,請求記録!$Z$6:$Z$3005,R$5,請求記録!$AF$6:$AF$3005,"保留中")&gt;0,"保留",IF(COUNTIFS(請求記録!$B$6:$B$3005,$A170,請求記録!$Z$6:$Z$3005,R$5)=0,"",SUMIFS(請求記録!$AE$6:$AE$3005,請求記録!$B$6:$B$3005,$A170,請求記録!$Z$6:$Z$3005,R$5))))</f>
        <v/>
      </c>
      <c r="S170" s="19">
        <f>IF($A170="","",IF(COUNTIFS(請求記録!$B$6:$B$3005,$A170,請求記録!$Z$6:$Z$3005,S$5,請求記録!$AF$6:$AF$3005,"保留中")&gt;0,"保留",IF(COUNTIFS(請求記録!$B$6:$B$3005,$A170,請求記録!$Z$6:$Z$3005,S$5)=0,"",SUMIFS(請求記録!$AE$6:$AE$3005,請求記録!$B$6:$B$3005,$A170,請求記録!$Z$6:$Z$3005,S$5))))</f>
        <v/>
      </c>
      <c r="T170" s="19">
        <f>IF($A170="","",IF(COUNTIFS(請求記録!$B$6:$B$3005,$A170,請求記録!$Z$6:$Z$3005,T$5,請求記録!$AF$6:$AF$3005,"保留中")&gt;0,"保留",IF(COUNTIFS(請求記録!$B$6:$B$3005,$A170,請求記録!$Z$6:$Z$3005,T$5)=0,"",SUMIFS(請求記録!$AE$6:$AE$3005,請求記録!$B$6:$B$3005,$A170,請求記録!$Z$6:$Z$3005,T$5))))</f>
        <v/>
      </c>
      <c r="U170" s="19">
        <f>IF($A170="","",IF(COUNTIFS(請求記録!$B$6:$B$3005,$A170,請求記録!$Z$6:$Z$3005,U$5,請求記録!$AF$6:$AF$3005,"保留中")&gt;0,"保留",IF(COUNTIFS(請求記録!$B$6:$B$3005,$A170,請求記録!$Z$6:$Z$3005,U$5)=0,"",SUMIFS(請求記録!$AE$6:$AE$3005,請求記録!$B$6:$B$3005,$A170,請求記録!$Z$6:$Z$3005,U$5))))</f>
        <v/>
      </c>
      <c r="V170" s="19">
        <f>IF($A170="","",IF(COUNTIFS(請求記録!$B$6:$B$3005,$A170,請求記録!$Z$6:$Z$3005,V$5,請求記録!$AF$6:$AF$3005,"保留中")&gt;0,"保留",IF(COUNTIFS(請求記録!$B$6:$B$3005,$A170,請求記録!$Z$6:$Z$3005,V$5)=0,"",SUMIFS(請求記録!$AE$6:$AE$3005,請求記録!$B$6:$B$3005,$A170,請求記録!$Z$6:$Z$3005,V$5))))</f>
        <v/>
      </c>
      <c r="W170" s="19">
        <f>IF($A170="","",IF(COUNTIFS(請求記録!$B$6:$B$3005,$A170,請求記録!$Z$6:$Z$3005,W$5,請求記録!$AF$6:$AF$3005,"保留中")&gt;0,"保留",IF(COUNTIFS(請求記録!$B$6:$B$3005,$A170,請求記録!$Z$6:$Z$3005,W$5)=0,"",SUMIFS(請求記録!$AE$6:$AE$3005,請求記録!$B$6:$B$3005,$A170,請求記録!$Z$6:$Z$3005,W$5))))</f>
        <v/>
      </c>
      <c r="X170" s="19">
        <f>IF($A170="","",IF(COUNTIFS(請求記録!$B$6:$B$3005,$A170,請求記録!$Z$6:$Z$3005,X$5,請求記録!$AF$6:$AF$3005,"保留中")&gt;0,"保留",IF(COUNTIFS(請求記録!$B$6:$B$3005,$A170,請求記録!$Z$6:$Z$3005,X$5)=0,"",SUMIFS(請求記録!$AE$6:$AE$3005,請求記録!$B$6:$B$3005,$A170,請求記録!$Z$6:$Z$3005,X$5))))</f>
        <v/>
      </c>
      <c r="Y170" s="19">
        <f>IF($A170="","",IF(COUNTIFS(請求記録!$B$6:$B$3005,$A170,請求記録!$Z$6:$Z$3005,Y$5,請求記録!$AF$6:$AF$3005,"保留中")&gt;0,"保留",IF(COUNTIFS(請求記録!$B$6:$B$3005,$A170,請求記録!$Z$6:$Z$3005,Y$5)=0,"",SUMIFS(請求記録!$AE$6:$AE$3005,請求記録!$B$6:$B$3005,$A170,請求記録!$Z$6:$Z$3005,Y$5))))</f>
        <v/>
      </c>
      <c r="Z170" s="19">
        <f>IF($A170="","",IF(COUNTIFS(請求記録!$B$6:$B$3005,$A170,請求記録!$Z$6:$Z$3005,Z$5,請求記録!$AF$6:$AF$3005,"保留中")&gt;0,"保留",IF(COUNTIFS(請求記録!$B$6:$B$3005,$A170,請求記録!$Z$6:$Z$3005,Z$5)=0,"",SUMIFS(請求記録!$AE$6:$AE$3005,請求記録!$B$6:$B$3005,$A170,請求記録!$Z$6:$Z$3005,Z$5))))</f>
        <v/>
      </c>
      <c r="AA170" s="19">
        <f>IF($A170="","",IF(COUNTIFS(請求記録!$B$6:$B$3005,$A170,請求記録!$Z$6:$Z$3005,AA$5,請求記録!$AF$6:$AF$3005,"保留中")&gt;0,"保留",IF(COUNTIFS(請求記録!$B$6:$B$3005,$A170,請求記録!$Z$6:$Z$3005,AA$5)=0,"",SUMIFS(請求記録!$AE$6:$AE$3005,請求記録!$B$6:$B$3005,$A170,請求記録!$Z$6:$Z$3005,AA$5))))</f>
        <v/>
      </c>
      <c r="AB170">
        <f>IF(職員マスタ!P170="保留中",職員マスタ!M170,"")</f>
        <v/>
      </c>
    </row>
    <row r="171">
      <c r="A171">
        <f>IF(職員マスタ!A171="","",職員マスタ!A171)</f>
        <v/>
      </c>
      <c r="B171">
        <f>IF($A171="","",職員マスタ!B171)</f>
        <v/>
      </c>
      <c r="C171">
        <f>IF($A171="","",職員マスタ!C171)</f>
        <v/>
      </c>
      <c r="D171" s="19">
        <f>IF($A171="","",IF(COUNTIFS(請求記録!$B$6:$B$3005,$A171,請求記録!$Z$6:$Z$3005,D$5,請求記録!$AF$6:$AF$3005,"保留中")&gt;0,"保留",IF(COUNTIFS(請求記録!$B$6:$B$3005,$A171,請求記録!$Z$6:$Z$3005,D$5)=0,"",SUMIFS(請求記録!$AE$6:$AE$3005,請求記録!$B$6:$B$3005,$A171,請求記録!$Z$6:$Z$3005,D$5))))</f>
        <v/>
      </c>
      <c r="E171" s="19">
        <f>IF($A171="","",IF(COUNTIFS(請求記録!$B$6:$B$3005,$A171,請求記録!$Z$6:$Z$3005,E$5,請求記録!$AF$6:$AF$3005,"保留中")&gt;0,"保留",IF(COUNTIFS(請求記録!$B$6:$B$3005,$A171,請求記録!$Z$6:$Z$3005,E$5)=0,"",SUMIFS(請求記録!$AE$6:$AE$3005,請求記録!$B$6:$B$3005,$A171,請求記録!$Z$6:$Z$3005,E$5))))</f>
        <v/>
      </c>
      <c r="F171" s="19">
        <f>IF($A171="","",IF(COUNTIFS(請求記録!$B$6:$B$3005,$A171,請求記録!$Z$6:$Z$3005,F$5,請求記録!$AF$6:$AF$3005,"保留中")&gt;0,"保留",IF(COUNTIFS(請求記録!$B$6:$B$3005,$A171,請求記録!$Z$6:$Z$3005,F$5)=0,"",SUMIFS(請求記録!$AE$6:$AE$3005,請求記録!$B$6:$B$3005,$A171,請求記録!$Z$6:$Z$3005,F$5))))</f>
        <v/>
      </c>
      <c r="G171" s="19">
        <f>IF($A171="","",IF(COUNTIFS(請求記録!$B$6:$B$3005,$A171,請求記録!$Z$6:$Z$3005,G$5,請求記録!$AF$6:$AF$3005,"保留中")&gt;0,"保留",IF(COUNTIFS(請求記録!$B$6:$B$3005,$A171,請求記録!$Z$6:$Z$3005,G$5)=0,"",SUMIFS(請求記録!$AE$6:$AE$3005,請求記録!$B$6:$B$3005,$A171,請求記録!$Z$6:$Z$3005,G$5))))</f>
        <v/>
      </c>
      <c r="H171" s="19">
        <f>IF($A171="","",IF(COUNTIFS(請求記録!$B$6:$B$3005,$A171,請求記録!$Z$6:$Z$3005,H$5,請求記録!$AF$6:$AF$3005,"保留中")&gt;0,"保留",IF(COUNTIFS(請求記録!$B$6:$B$3005,$A171,請求記録!$Z$6:$Z$3005,H$5)=0,"",SUMIFS(請求記録!$AE$6:$AE$3005,請求記録!$B$6:$B$3005,$A171,請求記録!$Z$6:$Z$3005,H$5))))</f>
        <v/>
      </c>
      <c r="I171" s="19">
        <f>IF($A171="","",IF(COUNTIFS(請求記録!$B$6:$B$3005,$A171,請求記録!$Z$6:$Z$3005,I$5,請求記録!$AF$6:$AF$3005,"保留中")&gt;0,"保留",IF(COUNTIFS(請求記録!$B$6:$B$3005,$A171,請求記録!$Z$6:$Z$3005,I$5)=0,"",SUMIFS(請求記録!$AE$6:$AE$3005,請求記録!$B$6:$B$3005,$A171,請求記録!$Z$6:$Z$3005,I$5))))</f>
        <v/>
      </c>
      <c r="J171" s="19">
        <f>IF($A171="","",IF(COUNTIFS(請求記録!$B$6:$B$3005,$A171,請求記録!$Z$6:$Z$3005,J$5,請求記録!$AF$6:$AF$3005,"保留中")&gt;0,"保留",IF(COUNTIFS(請求記録!$B$6:$B$3005,$A171,請求記録!$Z$6:$Z$3005,J$5)=0,"",SUMIFS(請求記録!$AE$6:$AE$3005,請求記録!$B$6:$B$3005,$A171,請求記録!$Z$6:$Z$3005,J$5))))</f>
        <v/>
      </c>
      <c r="K171" s="19">
        <f>IF($A171="","",IF(COUNTIFS(請求記録!$B$6:$B$3005,$A171,請求記録!$Z$6:$Z$3005,K$5,請求記録!$AF$6:$AF$3005,"保留中")&gt;0,"保留",IF(COUNTIFS(請求記録!$B$6:$B$3005,$A171,請求記録!$Z$6:$Z$3005,K$5)=0,"",SUMIFS(請求記録!$AE$6:$AE$3005,請求記録!$B$6:$B$3005,$A171,請求記録!$Z$6:$Z$3005,K$5))))</f>
        <v/>
      </c>
      <c r="L171" s="19">
        <f>IF($A171="","",IF(COUNTIFS(請求記録!$B$6:$B$3005,$A171,請求記録!$Z$6:$Z$3005,L$5,請求記録!$AF$6:$AF$3005,"保留中")&gt;0,"保留",IF(COUNTIFS(請求記録!$B$6:$B$3005,$A171,請求記録!$Z$6:$Z$3005,L$5)=0,"",SUMIFS(請求記録!$AE$6:$AE$3005,請求記録!$B$6:$B$3005,$A171,請求記録!$Z$6:$Z$3005,L$5))))</f>
        <v/>
      </c>
      <c r="M171" s="19">
        <f>IF($A171="","",IF(COUNTIFS(請求記録!$B$6:$B$3005,$A171,請求記録!$Z$6:$Z$3005,M$5,請求記録!$AF$6:$AF$3005,"保留中")&gt;0,"保留",IF(COUNTIFS(請求記録!$B$6:$B$3005,$A171,請求記録!$Z$6:$Z$3005,M$5)=0,"",SUMIFS(請求記録!$AE$6:$AE$3005,請求記録!$B$6:$B$3005,$A171,請求記録!$Z$6:$Z$3005,M$5))))</f>
        <v/>
      </c>
      <c r="N171" s="19">
        <f>IF($A171="","",IF(COUNTIFS(請求記録!$B$6:$B$3005,$A171,請求記録!$Z$6:$Z$3005,N$5,請求記録!$AF$6:$AF$3005,"保留中")&gt;0,"保留",IF(COUNTIFS(請求記録!$B$6:$B$3005,$A171,請求記録!$Z$6:$Z$3005,N$5)=0,"",SUMIFS(請求記録!$AE$6:$AE$3005,請求記録!$B$6:$B$3005,$A171,請求記録!$Z$6:$Z$3005,N$5))))</f>
        <v/>
      </c>
      <c r="O171" s="19">
        <f>IF($A171="","",IF(COUNTIFS(請求記録!$B$6:$B$3005,$A171,請求記録!$Z$6:$Z$3005,O$5,請求記録!$AF$6:$AF$3005,"保留中")&gt;0,"保留",IF(COUNTIFS(請求記録!$B$6:$B$3005,$A171,請求記録!$Z$6:$Z$3005,O$5)=0,"",SUMIFS(請求記録!$AE$6:$AE$3005,請求記録!$B$6:$B$3005,$A171,請求記録!$Z$6:$Z$3005,O$5))))</f>
        <v/>
      </c>
      <c r="P171" s="19">
        <f>IF($A171="","",IF(COUNTIFS(請求記録!$B$6:$B$3005,$A171,請求記録!$Z$6:$Z$3005,P$5,請求記録!$AF$6:$AF$3005,"保留中")&gt;0,"保留",IF(COUNTIFS(請求記録!$B$6:$B$3005,$A171,請求記録!$Z$6:$Z$3005,P$5)=0,"",SUMIFS(請求記録!$AE$6:$AE$3005,請求記録!$B$6:$B$3005,$A171,請求記録!$Z$6:$Z$3005,P$5))))</f>
        <v/>
      </c>
      <c r="Q171" s="19">
        <f>IF($A171="","",IF(COUNTIFS(請求記録!$B$6:$B$3005,$A171,請求記録!$Z$6:$Z$3005,Q$5,請求記録!$AF$6:$AF$3005,"保留中")&gt;0,"保留",IF(COUNTIFS(請求記録!$B$6:$B$3005,$A171,請求記録!$Z$6:$Z$3005,Q$5)=0,"",SUMIFS(請求記録!$AE$6:$AE$3005,請求記録!$B$6:$B$3005,$A171,請求記録!$Z$6:$Z$3005,Q$5))))</f>
        <v/>
      </c>
      <c r="R171" s="19">
        <f>IF($A171="","",IF(COUNTIFS(請求記録!$B$6:$B$3005,$A171,請求記録!$Z$6:$Z$3005,R$5,請求記録!$AF$6:$AF$3005,"保留中")&gt;0,"保留",IF(COUNTIFS(請求記録!$B$6:$B$3005,$A171,請求記録!$Z$6:$Z$3005,R$5)=0,"",SUMIFS(請求記録!$AE$6:$AE$3005,請求記録!$B$6:$B$3005,$A171,請求記録!$Z$6:$Z$3005,R$5))))</f>
        <v/>
      </c>
      <c r="S171" s="19">
        <f>IF($A171="","",IF(COUNTIFS(請求記録!$B$6:$B$3005,$A171,請求記録!$Z$6:$Z$3005,S$5,請求記録!$AF$6:$AF$3005,"保留中")&gt;0,"保留",IF(COUNTIFS(請求記録!$B$6:$B$3005,$A171,請求記録!$Z$6:$Z$3005,S$5)=0,"",SUMIFS(請求記録!$AE$6:$AE$3005,請求記録!$B$6:$B$3005,$A171,請求記録!$Z$6:$Z$3005,S$5))))</f>
        <v/>
      </c>
      <c r="T171" s="19">
        <f>IF($A171="","",IF(COUNTIFS(請求記録!$B$6:$B$3005,$A171,請求記録!$Z$6:$Z$3005,T$5,請求記録!$AF$6:$AF$3005,"保留中")&gt;0,"保留",IF(COUNTIFS(請求記録!$B$6:$B$3005,$A171,請求記録!$Z$6:$Z$3005,T$5)=0,"",SUMIFS(請求記録!$AE$6:$AE$3005,請求記録!$B$6:$B$3005,$A171,請求記録!$Z$6:$Z$3005,T$5))))</f>
        <v/>
      </c>
      <c r="U171" s="19">
        <f>IF($A171="","",IF(COUNTIFS(請求記録!$B$6:$B$3005,$A171,請求記録!$Z$6:$Z$3005,U$5,請求記録!$AF$6:$AF$3005,"保留中")&gt;0,"保留",IF(COUNTIFS(請求記録!$B$6:$B$3005,$A171,請求記録!$Z$6:$Z$3005,U$5)=0,"",SUMIFS(請求記録!$AE$6:$AE$3005,請求記録!$B$6:$B$3005,$A171,請求記録!$Z$6:$Z$3005,U$5))))</f>
        <v/>
      </c>
      <c r="V171" s="19">
        <f>IF($A171="","",IF(COUNTIFS(請求記録!$B$6:$B$3005,$A171,請求記録!$Z$6:$Z$3005,V$5,請求記録!$AF$6:$AF$3005,"保留中")&gt;0,"保留",IF(COUNTIFS(請求記録!$B$6:$B$3005,$A171,請求記録!$Z$6:$Z$3005,V$5)=0,"",SUMIFS(請求記録!$AE$6:$AE$3005,請求記録!$B$6:$B$3005,$A171,請求記録!$Z$6:$Z$3005,V$5))))</f>
        <v/>
      </c>
      <c r="W171" s="19">
        <f>IF($A171="","",IF(COUNTIFS(請求記録!$B$6:$B$3005,$A171,請求記録!$Z$6:$Z$3005,W$5,請求記録!$AF$6:$AF$3005,"保留中")&gt;0,"保留",IF(COUNTIFS(請求記録!$B$6:$B$3005,$A171,請求記録!$Z$6:$Z$3005,W$5)=0,"",SUMIFS(請求記録!$AE$6:$AE$3005,請求記録!$B$6:$B$3005,$A171,請求記録!$Z$6:$Z$3005,W$5))))</f>
        <v/>
      </c>
      <c r="X171" s="19">
        <f>IF($A171="","",IF(COUNTIFS(請求記録!$B$6:$B$3005,$A171,請求記録!$Z$6:$Z$3005,X$5,請求記録!$AF$6:$AF$3005,"保留中")&gt;0,"保留",IF(COUNTIFS(請求記録!$B$6:$B$3005,$A171,請求記録!$Z$6:$Z$3005,X$5)=0,"",SUMIFS(請求記録!$AE$6:$AE$3005,請求記録!$B$6:$B$3005,$A171,請求記録!$Z$6:$Z$3005,X$5))))</f>
        <v/>
      </c>
      <c r="Y171" s="19">
        <f>IF($A171="","",IF(COUNTIFS(請求記録!$B$6:$B$3005,$A171,請求記録!$Z$6:$Z$3005,Y$5,請求記録!$AF$6:$AF$3005,"保留中")&gt;0,"保留",IF(COUNTIFS(請求記録!$B$6:$B$3005,$A171,請求記録!$Z$6:$Z$3005,Y$5)=0,"",SUMIFS(請求記録!$AE$6:$AE$3005,請求記録!$B$6:$B$3005,$A171,請求記録!$Z$6:$Z$3005,Y$5))))</f>
        <v/>
      </c>
      <c r="Z171" s="19">
        <f>IF($A171="","",IF(COUNTIFS(請求記録!$B$6:$B$3005,$A171,請求記録!$Z$6:$Z$3005,Z$5,請求記録!$AF$6:$AF$3005,"保留中")&gt;0,"保留",IF(COUNTIFS(請求記録!$B$6:$B$3005,$A171,請求記録!$Z$6:$Z$3005,Z$5)=0,"",SUMIFS(請求記録!$AE$6:$AE$3005,請求記録!$B$6:$B$3005,$A171,請求記録!$Z$6:$Z$3005,Z$5))))</f>
        <v/>
      </c>
      <c r="AA171" s="19">
        <f>IF($A171="","",IF(COUNTIFS(請求記録!$B$6:$B$3005,$A171,請求記録!$Z$6:$Z$3005,AA$5,請求記録!$AF$6:$AF$3005,"保留中")&gt;0,"保留",IF(COUNTIFS(請求記録!$B$6:$B$3005,$A171,請求記録!$Z$6:$Z$3005,AA$5)=0,"",SUMIFS(請求記録!$AE$6:$AE$3005,請求記録!$B$6:$B$3005,$A171,請求記録!$Z$6:$Z$3005,AA$5))))</f>
        <v/>
      </c>
      <c r="AB171">
        <f>IF(職員マスタ!P171="保留中",職員マスタ!M171,"")</f>
        <v/>
      </c>
    </row>
    <row r="172">
      <c r="A172">
        <f>IF(職員マスタ!A172="","",職員マスタ!A172)</f>
        <v/>
      </c>
      <c r="B172">
        <f>IF($A172="","",職員マスタ!B172)</f>
        <v/>
      </c>
      <c r="C172">
        <f>IF($A172="","",職員マスタ!C172)</f>
        <v/>
      </c>
      <c r="D172" s="19">
        <f>IF($A172="","",IF(COUNTIFS(請求記録!$B$6:$B$3005,$A172,請求記録!$Z$6:$Z$3005,D$5,請求記録!$AF$6:$AF$3005,"保留中")&gt;0,"保留",IF(COUNTIFS(請求記録!$B$6:$B$3005,$A172,請求記録!$Z$6:$Z$3005,D$5)=0,"",SUMIFS(請求記録!$AE$6:$AE$3005,請求記録!$B$6:$B$3005,$A172,請求記録!$Z$6:$Z$3005,D$5))))</f>
        <v/>
      </c>
      <c r="E172" s="19">
        <f>IF($A172="","",IF(COUNTIFS(請求記録!$B$6:$B$3005,$A172,請求記録!$Z$6:$Z$3005,E$5,請求記録!$AF$6:$AF$3005,"保留中")&gt;0,"保留",IF(COUNTIFS(請求記録!$B$6:$B$3005,$A172,請求記録!$Z$6:$Z$3005,E$5)=0,"",SUMIFS(請求記録!$AE$6:$AE$3005,請求記録!$B$6:$B$3005,$A172,請求記録!$Z$6:$Z$3005,E$5))))</f>
        <v/>
      </c>
      <c r="F172" s="19">
        <f>IF($A172="","",IF(COUNTIFS(請求記録!$B$6:$B$3005,$A172,請求記録!$Z$6:$Z$3005,F$5,請求記録!$AF$6:$AF$3005,"保留中")&gt;0,"保留",IF(COUNTIFS(請求記録!$B$6:$B$3005,$A172,請求記録!$Z$6:$Z$3005,F$5)=0,"",SUMIFS(請求記録!$AE$6:$AE$3005,請求記録!$B$6:$B$3005,$A172,請求記録!$Z$6:$Z$3005,F$5))))</f>
        <v/>
      </c>
      <c r="G172" s="19">
        <f>IF($A172="","",IF(COUNTIFS(請求記録!$B$6:$B$3005,$A172,請求記録!$Z$6:$Z$3005,G$5,請求記録!$AF$6:$AF$3005,"保留中")&gt;0,"保留",IF(COUNTIFS(請求記録!$B$6:$B$3005,$A172,請求記録!$Z$6:$Z$3005,G$5)=0,"",SUMIFS(請求記録!$AE$6:$AE$3005,請求記録!$B$6:$B$3005,$A172,請求記録!$Z$6:$Z$3005,G$5))))</f>
        <v/>
      </c>
      <c r="H172" s="19">
        <f>IF($A172="","",IF(COUNTIFS(請求記録!$B$6:$B$3005,$A172,請求記録!$Z$6:$Z$3005,H$5,請求記録!$AF$6:$AF$3005,"保留中")&gt;0,"保留",IF(COUNTIFS(請求記録!$B$6:$B$3005,$A172,請求記録!$Z$6:$Z$3005,H$5)=0,"",SUMIFS(請求記録!$AE$6:$AE$3005,請求記録!$B$6:$B$3005,$A172,請求記録!$Z$6:$Z$3005,H$5))))</f>
        <v/>
      </c>
      <c r="I172" s="19">
        <f>IF($A172="","",IF(COUNTIFS(請求記録!$B$6:$B$3005,$A172,請求記録!$Z$6:$Z$3005,I$5,請求記録!$AF$6:$AF$3005,"保留中")&gt;0,"保留",IF(COUNTIFS(請求記録!$B$6:$B$3005,$A172,請求記録!$Z$6:$Z$3005,I$5)=0,"",SUMIFS(請求記録!$AE$6:$AE$3005,請求記録!$B$6:$B$3005,$A172,請求記録!$Z$6:$Z$3005,I$5))))</f>
        <v/>
      </c>
      <c r="J172" s="19">
        <f>IF($A172="","",IF(COUNTIFS(請求記録!$B$6:$B$3005,$A172,請求記録!$Z$6:$Z$3005,J$5,請求記録!$AF$6:$AF$3005,"保留中")&gt;0,"保留",IF(COUNTIFS(請求記録!$B$6:$B$3005,$A172,請求記録!$Z$6:$Z$3005,J$5)=0,"",SUMIFS(請求記録!$AE$6:$AE$3005,請求記録!$B$6:$B$3005,$A172,請求記録!$Z$6:$Z$3005,J$5))))</f>
        <v/>
      </c>
      <c r="K172" s="19">
        <f>IF($A172="","",IF(COUNTIFS(請求記録!$B$6:$B$3005,$A172,請求記録!$Z$6:$Z$3005,K$5,請求記録!$AF$6:$AF$3005,"保留中")&gt;0,"保留",IF(COUNTIFS(請求記録!$B$6:$B$3005,$A172,請求記録!$Z$6:$Z$3005,K$5)=0,"",SUMIFS(請求記録!$AE$6:$AE$3005,請求記録!$B$6:$B$3005,$A172,請求記録!$Z$6:$Z$3005,K$5))))</f>
        <v/>
      </c>
      <c r="L172" s="19">
        <f>IF($A172="","",IF(COUNTIFS(請求記録!$B$6:$B$3005,$A172,請求記録!$Z$6:$Z$3005,L$5,請求記録!$AF$6:$AF$3005,"保留中")&gt;0,"保留",IF(COUNTIFS(請求記録!$B$6:$B$3005,$A172,請求記録!$Z$6:$Z$3005,L$5)=0,"",SUMIFS(請求記録!$AE$6:$AE$3005,請求記録!$B$6:$B$3005,$A172,請求記録!$Z$6:$Z$3005,L$5))))</f>
        <v/>
      </c>
      <c r="M172" s="19">
        <f>IF($A172="","",IF(COUNTIFS(請求記録!$B$6:$B$3005,$A172,請求記録!$Z$6:$Z$3005,M$5,請求記録!$AF$6:$AF$3005,"保留中")&gt;0,"保留",IF(COUNTIFS(請求記録!$B$6:$B$3005,$A172,請求記録!$Z$6:$Z$3005,M$5)=0,"",SUMIFS(請求記録!$AE$6:$AE$3005,請求記録!$B$6:$B$3005,$A172,請求記録!$Z$6:$Z$3005,M$5))))</f>
        <v/>
      </c>
      <c r="N172" s="19">
        <f>IF($A172="","",IF(COUNTIFS(請求記録!$B$6:$B$3005,$A172,請求記録!$Z$6:$Z$3005,N$5,請求記録!$AF$6:$AF$3005,"保留中")&gt;0,"保留",IF(COUNTIFS(請求記録!$B$6:$B$3005,$A172,請求記録!$Z$6:$Z$3005,N$5)=0,"",SUMIFS(請求記録!$AE$6:$AE$3005,請求記録!$B$6:$B$3005,$A172,請求記録!$Z$6:$Z$3005,N$5))))</f>
        <v/>
      </c>
      <c r="O172" s="19">
        <f>IF($A172="","",IF(COUNTIFS(請求記録!$B$6:$B$3005,$A172,請求記録!$Z$6:$Z$3005,O$5,請求記録!$AF$6:$AF$3005,"保留中")&gt;0,"保留",IF(COUNTIFS(請求記録!$B$6:$B$3005,$A172,請求記録!$Z$6:$Z$3005,O$5)=0,"",SUMIFS(請求記録!$AE$6:$AE$3005,請求記録!$B$6:$B$3005,$A172,請求記録!$Z$6:$Z$3005,O$5))))</f>
        <v/>
      </c>
      <c r="P172" s="19">
        <f>IF($A172="","",IF(COUNTIFS(請求記録!$B$6:$B$3005,$A172,請求記録!$Z$6:$Z$3005,P$5,請求記録!$AF$6:$AF$3005,"保留中")&gt;0,"保留",IF(COUNTIFS(請求記録!$B$6:$B$3005,$A172,請求記録!$Z$6:$Z$3005,P$5)=0,"",SUMIFS(請求記録!$AE$6:$AE$3005,請求記録!$B$6:$B$3005,$A172,請求記録!$Z$6:$Z$3005,P$5))))</f>
        <v/>
      </c>
      <c r="Q172" s="19">
        <f>IF($A172="","",IF(COUNTIFS(請求記録!$B$6:$B$3005,$A172,請求記録!$Z$6:$Z$3005,Q$5,請求記録!$AF$6:$AF$3005,"保留中")&gt;0,"保留",IF(COUNTIFS(請求記録!$B$6:$B$3005,$A172,請求記録!$Z$6:$Z$3005,Q$5)=0,"",SUMIFS(請求記録!$AE$6:$AE$3005,請求記録!$B$6:$B$3005,$A172,請求記録!$Z$6:$Z$3005,Q$5))))</f>
        <v/>
      </c>
      <c r="R172" s="19">
        <f>IF($A172="","",IF(COUNTIFS(請求記録!$B$6:$B$3005,$A172,請求記録!$Z$6:$Z$3005,R$5,請求記録!$AF$6:$AF$3005,"保留中")&gt;0,"保留",IF(COUNTIFS(請求記録!$B$6:$B$3005,$A172,請求記録!$Z$6:$Z$3005,R$5)=0,"",SUMIFS(請求記録!$AE$6:$AE$3005,請求記録!$B$6:$B$3005,$A172,請求記録!$Z$6:$Z$3005,R$5))))</f>
        <v/>
      </c>
      <c r="S172" s="19">
        <f>IF($A172="","",IF(COUNTIFS(請求記録!$B$6:$B$3005,$A172,請求記録!$Z$6:$Z$3005,S$5,請求記録!$AF$6:$AF$3005,"保留中")&gt;0,"保留",IF(COUNTIFS(請求記録!$B$6:$B$3005,$A172,請求記録!$Z$6:$Z$3005,S$5)=0,"",SUMIFS(請求記録!$AE$6:$AE$3005,請求記録!$B$6:$B$3005,$A172,請求記録!$Z$6:$Z$3005,S$5))))</f>
        <v/>
      </c>
      <c r="T172" s="19">
        <f>IF($A172="","",IF(COUNTIFS(請求記録!$B$6:$B$3005,$A172,請求記録!$Z$6:$Z$3005,T$5,請求記録!$AF$6:$AF$3005,"保留中")&gt;0,"保留",IF(COUNTIFS(請求記録!$B$6:$B$3005,$A172,請求記録!$Z$6:$Z$3005,T$5)=0,"",SUMIFS(請求記録!$AE$6:$AE$3005,請求記録!$B$6:$B$3005,$A172,請求記録!$Z$6:$Z$3005,T$5))))</f>
        <v/>
      </c>
      <c r="U172" s="19">
        <f>IF($A172="","",IF(COUNTIFS(請求記録!$B$6:$B$3005,$A172,請求記録!$Z$6:$Z$3005,U$5,請求記録!$AF$6:$AF$3005,"保留中")&gt;0,"保留",IF(COUNTIFS(請求記録!$B$6:$B$3005,$A172,請求記録!$Z$6:$Z$3005,U$5)=0,"",SUMIFS(請求記録!$AE$6:$AE$3005,請求記録!$B$6:$B$3005,$A172,請求記録!$Z$6:$Z$3005,U$5))))</f>
        <v/>
      </c>
      <c r="V172" s="19">
        <f>IF($A172="","",IF(COUNTIFS(請求記録!$B$6:$B$3005,$A172,請求記録!$Z$6:$Z$3005,V$5,請求記録!$AF$6:$AF$3005,"保留中")&gt;0,"保留",IF(COUNTIFS(請求記録!$B$6:$B$3005,$A172,請求記録!$Z$6:$Z$3005,V$5)=0,"",SUMIFS(請求記録!$AE$6:$AE$3005,請求記録!$B$6:$B$3005,$A172,請求記録!$Z$6:$Z$3005,V$5))))</f>
        <v/>
      </c>
      <c r="W172" s="19">
        <f>IF($A172="","",IF(COUNTIFS(請求記録!$B$6:$B$3005,$A172,請求記録!$Z$6:$Z$3005,W$5,請求記録!$AF$6:$AF$3005,"保留中")&gt;0,"保留",IF(COUNTIFS(請求記録!$B$6:$B$3005,$A172,請求記録!$Z$6:$Z$3005,W$5)=0,"",SUMIFS(請求記録!$AE$6:$AE$3005,請求記録!$B$6:$B$3005,$A172,請求記録!$Z$6:$Z$3005,W$5))))</f>
        <v/>
      </c>
      <c r="X172" s="19">
        <f>IF($A172="","",IF(COUNTIFS(請求記録!$B$6:$B$3005,$A172,請求記録!$Z$6:$Z$3005,X$5,請求記録!$AF$6:$AF$3005,"保留中")&gt;0,"保留",IF(COUNTIFS(請求記録!$B$6:$B$3005,$A172,請求記録!$Z$6:$Z$3005,X$5)=0,"",SUMIFS(請求記録!$AE$6:$AE$3005,請求記録!$B$6:$B$3005,$A172,請求記録!$Z$6:$Z$3005,X$5))))</f>
        <v/>
      </c>
      <c r="Y172" s="19">
        <f>IF($A172="","",IF(COUNTIFS(請求記録!$B$6:$B$3005,$A172,請求記録!$Z$6:$Z$3005,Y$5,請求記録!$AF$6:$AF$3005,"保留中")&gt;0,"保留",IF(COUNTIFS(請求記録!$B$6:$B$3005,$A172,請求記録!$Z$6:$Z$3005,Y$5)=0,"",SUMIFS(請求記録!$AE$6:$AE$3005,請求記録!$B$6:$B$3005,$A172,請求記録!$Z$6:$Z$3005,Y$5))))</f>
        <v/>
      </c>
      <c r="Z172" s="19">
        <f>IF($A172="","",IF(COUNTIFS(請求記録!$B$6:$B$3005,$A172,請求記録!$Z$6:$Z$3005,Z$5,請求記録!$AF$6:$AF$3005,"保留中")&gt;0,"保留",IF(COUNTIFS(請求記録!$B$6:$B$3005,$A172,請求記録!$Z$6:$Z$3005,Z$5)=0,"",SUMIFS(請求記録!$AE$6:$AE$3005,請求記録!$B$6:$B$3005,$A172,請求記録!$Z$6:$Z$3005,Z$5))))</f>
        <v/>
      </c>
      <c r="AA172" s="19">
        <f>IF($A172="","",IF(COUNTIFS(請求記録!$B$6:$B$3005,$A172,請求記録!$Z$6:$Z$3005,AA$5,請求記録!$AF$6:$AF$3005,"保留中")&gt;0,"保留",IF(COUNTIFS(請求記録!$B$6:$B$3005,$A172,請求記録!$Z$6:$Z$3005,AA$5)=0,"",SUMIFS(請求記録!$AE$6:$AE$3005,請求記録!$B$6:$B$3005,$A172,請求記録!$Z$6:$Z$3005,AA$5))))</f>
        <v/>
      </c>
      <c r="AB172">
        <f>IF(職員マスタ!P172="保留中",職員マスタ!M172,"")</f>
        <v/>
      </c>
    </row>
    <row r="173">
      <c r="A173">
        <f>IF(職員マスタ!A173="","",職員マスタ!A173)</f>
        <v/>
      </c>
      <c r="B173">
        <f>IF($A173="","",職員マスタ!B173)</f>
        <v/>
      </c>
      <c r="C173">
        <f>IF($A173="","",職員マスタ!C173)</f>
        <v/>
      </c>
      <c r="D173" s="19">
        <f>IF($A173="","",IF(COUNTIFS(請求記録!$B$6:$B$3005,$A173,請求記録!$Z$6:$Z$3005,D$5,請求記録!$AF$6:$AF$3005,"保留中")&gt;0,"保留",IF(COUNTIFS(請求記録!$B$6:$B$3005,$A173,請求記録!$Z$6:$Z$3005,D$5)=0,"",SUMIFS(請求記録!$AE$6:$AE$3005,請求記録!$B$6:$B$3005,$A173,請求記録!$Z$6:$Z$3005,D$5))))</f>
        <v/>
      </c>
      <c r="E173" s="19">
        <f>IF($A173="","",IF(COUNTIFS(請求記録!$B$6:$B$3005,$A173,請求記録!$Z$6:$Z$3005,E$5,請求記録!$AF$6:$AF$3005,"保留中")&gt;0,"保留",IF(COUNTIFS(請求記録!$B$6:$B$3005,$A173,請求記録!$Z$6:$Z$3005,E$5)=0,"",SUMIFS(請求記録!$AE$6:$AE$3005,請求記録!$B$6:$B$3005,$A173,請求記録!$Z$6:$Z$3005,E$5))))</f>
        <v/>
      </c>
      <c r="F173" s="19">
        <f>IF($A173="","",IF(COUNTIFS(請求記録!$B$6:$B$3005,$A173,請求記録!$Z$6:$Z$3005,F$5,請求記録!$AF$6:$AF$3005,"保留中")&gt;0,"保留",IF(COUNTIFS(請求記録!$B$6:$B$3005,$A173,請求記録!$Z$6:$Z$3005,F$5)=0,"",SUMIFS(請求記録!$AE$6:$AE$3005,請求記録!$B$6:$B$3005,$A173,請求記録!$Z$6:$Z$3005,F$5))))</f>
        <v/>
      </c>
      <c r="G173" s="19">
        <f>IF($A173="","",IF(COUNTIFS(請求記録!$B$6:$B$3005,$A173,請求記録!$Z$6:$Z$3005,G$5,請求記録!$AF$6:$AF$3005,"保留中")&gt;0,"保留",IF(COUNTIFS(請求記録!$B$6:$B$3005,$A173,請求記録!$Z$6:$Z$3005,G$5)=0,"",SUMIFS(請求記録!$AE$6:$AE$3005,請求記録!$B$6:$B$3005,$A173,請求記録!$Z$6:$Z$3005,G$5))))</f>
        <v/>
      </c>
      <c r="H173" s="19">
        <f>IF($A173="","",IF(COUNTIFS(請求記録!$B$6:$B$3005,$A173,請求記録!$Z$6:$Z$3005,H$5,請求記録!$AF$6:$AF$3005,"保留中")&gt;0,"保留",IF(COUNTIFS(請求記録!$B$6:$B$3005,$A173,請求記録!$Z$6:$Z$3005,H$5)=0,"",SUMIFS(請求記録!$AE$6:$AE$3005,請求記録!$B$6:$B$3005,$A173,請求記録!$Z$6:$Z$3005,H$5))))</f>
        <v/>
      </c>
      <c r="I173" s="19">
        <f>IF($A173="","",IF(COUNTIFS(請求記録!$B$6:$B$3005,$A173,請求記録!$Z$6:$Z$3005,I$5,請求記録!$AF$6:$AF$3005,"保留中")&gt;0,"保留",IF(COUNTIFS(請求記録!$B$6:$B$3005,$A173,請求記録!$Z$6:$Z$3005,I$5)=0,"",SUMIFS(請求記録!$AE$6:$AE$3005,請求記録!$B$6:$B$3005,$A173,請求記録!$Z$6:$Z$3005,I$5))))</f>
        <v/>
      </c>
      <c r="J173" s="19">
        <f>IF($A173="","",IF(COUNTIFS(請求記録!$B$6:$B$3005,$A173,請求記録!$Z$6:$Z$3005,J$5,請求記録!$AF$6:$AF$3005,"保留中")&gt;0,"保留",IF(COUNTIFS(請求記録!$B$6:$B$3005,$A173,請求記録!$Z$6:$Z$3005,J$5)=0,"",SUMIFS(請求記録!$AE$6:$AE$3005,請求記録!$B$6:$B$3005,$A173,請求記録!$Z$6:$Z$3005,J$5))))</f>
        <v/>
      </c>
      <c r="K173" s="19">
        <f>IF($A173="","",IF(COUNTIFS(請求記録!$B$6:$B$3005,$A173,請求記録!$Z$6:$Z$3005,K$5,請求記録!$AF$6:$AF$3005,"保留中")&gt;0,"保留",IF(COUNTIFS(請求記録!$B$6:$B$3005,$A173,請求記録!$Z$6:$Z$3005,K$5)=0,"",SUMIFS(請求記録!$AE$6:$AE$3005,請求記録!$B$6:$B$3005,$A173,請求記録!$Z$6:$Z$3005,K$5))))</f>
        <v/>
      </c>
      <c r="L173" s="19">
        <f>IF($A173="","",IF(COUNTIFS(請求記録!$B$6:$B$3005,$A173,請求記録!$Z$6:$Z$3005,L$5,請求記録!$AF$6:$AF$3005,"保留中")&gt;0,"保留",IF(COUNTIFS(請求記録!$B$6:$B$3005,$A173,請求記録!$Z$6:$Z$3005,L$5)=0,"",SUMIFS(請求記録!$AE$6:$AE$3005,請求記録!$B$6:$B$3005,$A173,請求記録!$Z$6:$Z$3005,L$5))))</f>
        <v/>
      </c>
      <c r="M173" s="19">
        <f>IF($A173="","",IF(COUNTIFS(請求記録!$B$6:$B$3005,$A173,請求記録!$Z$6:$Z$3005,M$5,請求記録!$AF$6:$AF$3005,"保留中")&gt;0,"保留",IF(COUNTIFS(請求記録!$B$6:$B$3005,$A173,請求記録!$Z$6:$Z$3005,M$5)=0,"",SUMIFS(請求記録!$AE$6:$AE$3005,請求記録!$B$6:$B$3005,$A173,請求記録!$Z$6:$Z$3005,M$5))))</f>
        <v/>
      </c>
      <c r="N173" s="19">
        <f>IF($A173="","",IF(COUNTIFS(請求記録!$B$6:$B$3005,$A173,請求記録!$Z$6:$Z$3005,N$5,請求記録!$AF$6:$AF$3005,"保留中")&gt;0,"保留",IF(COUNTIFS(請求記録!$B$6:$B$3005,$A173,請求記録!$Z$6:$Z$3005,N$5)=0,"",SUMIFS(請求記録!$AE$6:$AE$3005,請求記録!$B$6:$B$3005,$A173,請求記録!$Z$6:$Z$3005,N$5))))</f>
        <v/>
      </c>
      <c r="O173" s="19">
        <f>IF($A173="","",IF(COUNTIFS(請求記録!$B$6:$B$3005,$A173,請求記録!$Z$6:$Z$3005,O$5,請求記録!$AF$6:$AF$3005,"保留中")&gt;0,"保留",IF(COUNTIFS(請求記録!$B$6:$B$3005,$A173,請求記録!$Z$6:$Z$3005,O$5)=0,"",SUMIFS(請求記録!$AE$6:$AE$3005,請求記録!$B$6:$B$3005,$A173,請求記録!$Z$6:$Z$3005,O$5))))</f>
        <v/>
      </c>
      <c r="P173" s="19">
        <f>IF($A173="","",IF(COUNTIFS(請求記録!$B$6:$B$3005,$A173,請求記録!$Z$6:$Z$3005,P$5,請求記録!$AF$6:$AF$3005,"保留中")&gt;0,"保留",IF(COUNTIFS(請求記録!$B$6:$B$3005,$A173,請求記録!$Z$6:$Z$3005,P$5)=0,"",SUMIFS(請求記録!$AE$6:$AE$3005,請求記録!$B$6:$B$3005,$A173,請求記録!$Z$6:$Z$3005,P$5))))</f>
        <v/>
      </c>
      <c r="Q173" s="19">
        <f>IF($A173="","",IF(COUNTIFS(請求記録!$B$6:$B$3005,$A173,請求記録!$Z$6:$Z$3005,Q$5,請求記録!$AF$6:$AF$3005,"保留中")&gt;0,"保留",IF(COUNTIFS(請求記録!$B$6:$B$3005,$A173,請求記録!$Z$6:$Z$3005,Q$5)=0,"",SUMIFS(請求記録!$AE$6:$AE$3005,請求記録!$B$6:$B$3005,$A173,請求記録!$Z$6:$Z$3005,Q$5))))</f>
        <v/>
      </c>
      <c r="R173" s="19">
        <f>IF($A173="","",IF(COUNTIFS(請求記録!$B$6:$B$3005,$A173,請求記録!$Z$6:$Z$3005,R$5,請求記録!$AF$6:$AF$3005,"保留中")&gt;0,"保留",IF(COUNTIFS(請求記録!$B$6:$B$3005,$A173,請求記録!$Z$6:$Z$3005,R$5)=0,"",SUMIFS(請求記録!$AE$6:$AE$3005,請求記録!$B$6:$B$3005,$A173,請求記録!$Z$6:$Z$3005,R$5))))</f>
        <v/>
      </c>
      <c r="S173" s="19">
        <f>IF($A173="","",IF(COUNTIFS(請求記録!$B$6:$B$3005,$A173,請求記録!$Z$6:$Z$3005,S$5,請求記録!$AF$6:$AF$3005,"保留中")&gt;0,"保留",IF(COUNTIFS(請求記録!$B$6:$B$3005,$A173,請求記録!$Z$6:$Z$3005,S$5)=0,"",SUMIFS(請求記録!$AE$6:$AE$3005,請求記録!$B$6:$B$3005,$A173,請求記録!$Z$6:$Z$3005,S$5))))</f>
        <v/>
      </c>
      <c r="T173" s="19">
        <f>IF($A173="","",IF(COUNTIFS(請求記録!$B$6:$B$3005,$A173,請求記録!$Z$6:$Z$3005,T$5,請求記録!$AF$6:$AF$3005,"保留中")&gt;0,"保留",IF(COUNTIFS(請求記録!$B$6:$B$3005,$A173,請求記録!$Z$6:$Z$3005,T$5)=0,"",SUMIFS(請求記録!$AE$6:$AE$3005,請求記録!$B$6:$B$3005,$A173,請求記録!$Z$6:$Z$3005,T$5))))</f>
        <v/>
      </c>
      <c r="U173" s="19">
        <f>IF($A173="","",IF(COUNTIFS(請求記録!$B$6:$B$3005,$A173,請求記録!$Z$6:$Z$3005,U$5,請求記録!$AF$6:$AF$3005,"保留中")&gt;0,"保留",IF(COUNTIFS(請求記録!$B$6:$B$3005,$A173,請求記録!$Z$6:$Z$3005,U$5)=0,"",SUMIFS(請求記録!$AE$6:$AE$3005,請求記録!$B$6:$B$3005,$A173,請求記録!$Z$6:$Z$3005,U$5))))</f>
        <v/>
      </c>
      <c r="V173" s="19">
        <f>IF($A173="","",IF(COUNTIFS(請求記録!$B$6:$B$3005,$A173,請求記録!$Z$6:$Z$3005,V$5,請求記録!$AF$6:$AF$3005,"保留中")&gt;0,"保留",IF(COUNTIFS(請求記録!$B$6:$B$3005,$A173,請求記録!$Z$6:$Z$3005,V$5)=0,"",SUMIFS(請求記録!$AE$6:$AE$3005,請求記録!$B$6:$B$3005,$A173,請求記録!$Z$6:$Z$3005,V$5))))</f>
        <v/>
      </c>
      <c r="W173" s="19">
        <f>IF($A173="","",IF(COUNTIFS(請求記録!$B$6:$B$3005,$A173,請求記録!$Z$6:$Z$3005,W$5,請求記録!$AF$6:$AF$3005,"保留中")&gt;0,"保留",IF(COUNTIFS(請求記録!$B$6:$B$3005,$A173,請求記録!$Z$6:$Z$3005,W$5)=0,"",SUMIFS(請求記録!$AE$6:$AE$3005,請求記録!$B$6:$B$3005,$A173,請求記録!$Z$6:$Z$3005,W$5))))</f>
        <v/>
      </c>
      <c r="X173" s="19">
        <f>IF($A173="","",IF(COUNTIFS(請求記録!$B$6:$B$3005,$A173,請求記録!$Z$6:$Z$3005,X$5,請求記録!$AF$6:$AF$3005,"保留中")&gt;0,"保留",IF(COUNTIFS(請求記録!$B$6:$B$3005,$A173,請求記録!$Z$6:$Z$3005,X$5)=0,"",SUMIFS(請求記録!$AE$6:$AE$3005,請求記録!$B$6:$B$3005,$A173,請求記録!$Z$6:$Z$3005,X$5))))</f>
        <v/>
      </c>
      <c r="Y173" s="19">
        <f>IF($A173="","",IF(COUNTIFS(請求記録!$B$6:$B$3005,$A173,請求記録!$Z$6:$Z$3005,Y$5,請求記録!$AF$6:$AF$3005,"保留中")&gt;0,"保留",IF(COUNTIFS(請求記録!$B$6:$B$3005,$A173,請求記録!$Z$6:$Z$3005,Y$5)=0,"",SUMIFS(請求記録!$AE$6:$AE$3005,請求記録!$B$6:$B$3005,$A173,請求記録!$Z$6:$Z$3005,Y$5))))</f>
        <v/>
      </c>
      <c r="Z173" s="19">
        <f>IF($A173="","",IF(COUNTIFS(請求記録!$B$6:$B$3005,$A173,請求記録!$Z$6:$Z$3005,Z$5,請求記録!$AF$6:$AF$3005,"保留中")&gt;0,"保留",IF(COUNTIFS(請求記録!$B$6:$B$3005,$A173,請求記録!$Z$6:$Z$3005,Z$5)=0,"",SUMIFS(請求記録!$AE$6:$AE$3005,請求記録!$B$6:$B$3005,$A173,請求記録!$Z$6:$Z$3005,Z$5))))</f>
        <v/>
      </c>
      <c r="AA173" s="19">
        <f>IF($A173="","",IF(COUNTIFS(請求記録!$B$6:$B$3005,$A173,請求記録!$Z$6:$Z$3005,AA$5,請求記録!$AF$6:$AF$3005,"保留中")&gt;0,"保留",IF(COUNTIFS(請求記録!$B$6:$B$3005,$A173,請求記録!$Z$6:$Z$3005,AA$5)=0,"",SUMIFS(請求記録!$AE$6:$AE$3005,請求記録!$B$6:$B$3005,$A173,請求記録!$Z$6:$Z$3005,AA$5))))</f>
        <v/>
      </c>
      <c r="AB173">
        <f>IF(職員マスタ!P173="保留中",職員マスタ!M173,"")</f>
        <v/>
      </c>
    </row>
    <row r="174">
      <c r="A174">
        <f>IF(職員マスタ!A174="","",職員マスタ!A174)</f>
        <v/>
      </c>
      <c r="B174">
        <f>IF($A174="","",職員マスタ!B174)</f>
        <v/>
      </c>
      <c r="C174">
        <f>IF($A174="","",職員マスタ!C174)</f>
        <v/>
      </c>
      <c r="D174" s="19">
        <f>IF($A174="","",IF(COUNTIFS(請求記録!$B$6:$B$3005,$A174,請求記録!$Z$6:$Z$3005,D$5,請求記録!$AF$6:$AF$3005,"保留中")&gt;0,"保留",IF(COUNTIFS(請求記録!$B$6:$B$3005,$A174,請求記録!$Z$6:$Z$3005,D$5)=0,"",SUMIFS(請求記録!$AE$6:$AE$3005,請求記録!$B$6:$B$3005,$A174,請求記録!$Z$6:$Z$3005,D$5))))</f>
        <v/>
      </c>
      <c r="E174" s="19">
        <f>IF($A174="","",IF(COUNTIFS(請求記録!$B$6:$B$3005,$A174,請求記録!$Z$6:$Z$3005,E$5,請求記録!$AF$6:$AF$3005,"保留中")&gt;0,"保留",IF(COUNTIFS(請求記録!$B$6:$B$3005,$A174,請求記録!$Z$6:$Z$3005,E$5)=0,"",SUMIFS(請求記録!$AE$6:$AE$3005,請求記録!$B$6:$B$3005,$A174,請求記録!$Z$6:$Z$3005,E$5))))</f>
        <v/>
      </c>
      <c r="F174" s="19">
        <f>IF($A174="","",IF(COUNTIFS(請求記録!$B$6:$B$3005,$A174,請求記録!$Z$6:$Z$3005,F$5,請求記録!$AF$6:$AF$3005,"保留中")&gt;0,"保留",IF(COUNTIFS(請求記録!$B$6:$B$3005,$A174,請求記録!$Z$6:$Z$3005,F$5)=0,"",SUMIFS(請求記録!$AE$6:$AE$3005,請求記録!$B$6:$B$3005,$A174,請求記録!$Z$6:$Z$3005,F$5))))</f>
        <v/>
      </c>
      <c r="G174" s="19">
        <f>IF($A174="","",IF(COUNTIFS(請求記録!$B$6:$B$3005,$A174,請求記録!$Z$6:$Z$3005,G$5,請求記録!$AF$6:$AF$3005,"保留中")&gt;0,"保留",IF(COUNTIFS(請求記録!$B$6:$B$3005,$A174,請求記録!$Z$6:$Z$3005,G$5)=0,"",SUMIFS(請求記録!$AE$6:$AE$3005,請求記録!$B$6:$B$3005,$A174,請求記録!$Z$6:$Z$3005,G$5))))</f>
        <v/>
      </c>
      <c r="H174" s="19">
        <f>IF($A174="","",IF(COUNTIFS(請求記録!$B$6:$B$3005,$A174,請求記録!$Z$6:$Z$3005,H$5,請求記録!$AF$6:$AF$3005,"保留中")&gt;0,"保留",IF(COUNTIFS(請求記録!$B$6:$B$3005,$A174,請求記録!$Z$6:$Z$3005,H$5)=0,"",SUMIFS(請求記録!$AE$6:$AE$3005,請求記録!$B$6:$B$3005,$A174,請求記録!$Z$6:$Z$3005,H$5))))</f>
        <v/>
      </c>
      <c r="I174" s="19">
        <f>IF($A174="","",IF(COUNTIFS(請求記録!$B$6:$B$3005,$A174,請求記録!$Z$6:$Z$3005,I$5,請求記録!$AF$6:$AF$3005,"保留中")&gt;0,"保留",IF(COUNTIFS(請求記録!$B$6:$B$3005,$A174,請求記録!$Z$6:$Z$3005,I$5)=0,"",SUMIFS(請求記録!$AE$6:$AE$3005,請求記録!$B$6:$B$3005,$A174,請求記録!$Z$6:$Z$3005,I$5))))</f>
        <v/>
      </c>
      <c r="J174" s="19">
        <f>IF($A174="","",IF(COUNTIFS(請求記録!$B$6:$B$3005,$A174,請求記録!$Z$6:$Z$3005,J$5,請求記録!$AF$6:$AF$3005,"保留中")&gt;0,"保留",IF(COUNTIFS(請求記録!$B$6:$B$3005,$A174,請求記録!$Z$6:$Z$3005,J$5)=0,"",SUMIFS(請求記録!$AE$6:$AE$3005,請求記録!$B$6:$B$3005,$A174,請求記録!$Z$6:$Z$3005,J$5))))</f>
        <v/>
      </c>
      <c r="K174" s="19">
        <f>IF($A174="","",IF(COUNTIFS(請求記録!$B$6:$B$3005,$A174,請求記録!$Z$6:$Z$3005,K$5,請求記録!$AF$6:$AF$3005,"保留中")&gt;0,"保留",IF(COUNTIFS(請求記録!$B$6:$B$3005,$A174,請求記録!$Z$6:$Z$3005,K$5)=0,"",SUMIFS(請求記録!$AE$6:$AE$3005,請求記録!$B$6:$B$3005,$A174,請求記録!$Z$6:$Z$3005,K$5))))</f>
        <v/>
      </c>
      <c r="L174" s="19">
        <f>IF($A174="","",IF(COUNTIFS(請求記録!$B$6:$B$3005,$A174,請求記録!$Z$6:$Z$3005,L$5,請求記録!$AF$6:$AF$3005,"保留中")&gt;0,"保留",IF(COUNTIFS(請求記録!$B$6:$B$3005,$A174,請求記録!$Z$6:$Z$3005,L$5)=0,"",SUMIFS(請求記録!$AE$6:$AE$3005,請求記録!$B$6:$B$3005,$A174,請求記録!$Z$6:$Z$3005,L$5))))</f>
        <v/>
      </c>
      <c r="M174" s="19">
        <f>IF($A174="","",IF(COUNTIFS(請求記録!$B$6:$B$3005,$A174,請求記録!$Z$6:$Z$3005,M$5,請求記録!$AF$6:$AF$3005,"保留中")&gt;0,"保留",IF(COUNTIFS(請求記録!$B$6:$B$3005,$A174,請求記録!$Z$6:$Z$3005,M$5)=0,"",SUMIFS(請求記録!$AE$6:$AE$3005,請求記録!$B$6:$B$3005,$A174,請求記録!$Z$6:$Z$3005,M$5))))</f>
        <v/>
      </c>
      <c r="N174" s="19">
        <f>IF($A174="","",IF(COUNTIFS(請求記録!$B$6:$B$3005,$A174,請求記録!$Z$6:$Z$3005,N$5,請求記録!$AF$6:$AF$3005,"保留中")&gt;0,"保留",IF(COUNTIFS(請求記録!$B$6:$B$3005,$A174,請求記録!$Z$6:$Z$3005,N$5)=0,"",SUMIFS(請求記録!$AE$6:$AE$3005,請求記録!$B$6:$B$3005,$A174,請求記録!$Z$6:$Z$3005,N$5))))</f>
        <v/>
      </c>
      <c r="O174" s="19">
        <f>IF($A174="","",IF(COUNTIFS(請求記録!$B$6:$B$3005,$A174,請求記録!$Z$6:$Z$3005,O$5,請求記録!$AF$6:$AF$3005,"保留中")&gt;0,"保留",IF(COUNTIFS(請求記録!$B$6:$B$3005,$A174,請求記録!$Z$6:$Z$3005,O$5)=0,"",SUMIFS(請求記録!$AE$6:$AE$3005,請求記録!$B$6:$B$3005,$A174,請求記録!$Z$6:$Z$3005,O$5))))</f>
        <v/>
      </c>
      <c r="P174" s="19">
        <f>IF($A174="","",IF(COUNTIFS(請求記録!$B$6:$B$3005,$A174,請求記録!$Z$6:$Z$3005,P$5,請求記録!$AF$6:$AF$3005,"保留中")&gt;0,"保留",IF(COUNTIFS(請求記録!$B$6:$B$3005,$A174,請求記録!$Z$6:$Z$3005,P$5)=0,"",SUMIFS(請求記録!$AE$6:$AE$3005,請求記録!$B$6:$B$3005,$A174,請求記録!$Z$6:$Z$3005,P$5))))</f>
        <v/>
      </c>
      <c r="Q174" s="19">
        <f>IF($A174="","",IF(COUNTIFS(請求記録!$B$6:$B$3005,$A174,請求記録!$Z$6:$Z$3005,Q$5,請求記録!$AF$6:$AF$3005,"保留中")&gt;0,"保留",IF(COUNTIFS(請求記録!$B$6:$B$3005,$A174,請求記録!$Z$6:$Z$3005,Q$5)=0,"",SUMIFS(請求記録!$AE$6:$AE$3005,請求記録!$B$6:$B$3005,$A174,請求記録!$Z$6:$Z$3005,Q$5))))</f>
        <v/>
      </c>
      <c r="R174" s="19">
        <f>IF($A174="","",IF(COUNTIFS(請求記録!$B$6:$B$3005,$A174,請求記録!$Z$6:$Z$3005,R$5,請求記録!$AF$6:$AF$3005,"保留中")&gt;0,"保留",IF(COUNTIFS(請求記録!$B$6:$B$3005,$A174,請求記録!$Z$6:$Z$3005,R$5)=0,"",SUMIFS(請求記録!$AE$6:$AE$3005,請求記録!$B$6:$B$3005,$A174,請求記録!$Z$6:$Z$3005,R$5))))</f>
        <v/>
      </c>
      <c r="S174" s="19">
        <f>IF($A174="","",IF(COUNTIFS(請求記録!$B$6:$B$3005,$A174,請求記録!$Z$6:$Z$3005,S$5,請求記録!$AF$6:$AF$3005,"保留中")&gt;0,"保留",IF(COUNTIFS(請求記録!$B$6:$B$3005,$A174,請求記録!$Z$6:$Z$3005,S$5)=0,"",SUMIFS(請求記録!$AE$6:$AE$3005,請求記録!$B$6:$B$3005,$A174,請求記録!$Z$6:$Z$3005,S$5))))</f>
        <v/>
      </c>
      <c r="T174" s="19">
        <f>IF($A174="","",IF(COUNTIFS(請求記録!$B$6:$B$3005,$A174,請求記録!$Z$6:$Z$3005,T$5,請求記録!$AF$6:$AF$3005,"保留中")&gt;0,"保留",IF(COUNTIFS(請求記録!$B$6:$B$3005,$A174,請求記録!$Z$6:$Z$3005,T$5)=0,"",SUMIFS(請求記録!$AE$6:$AE$3005,請求記録!$B$6:$B$3005,$A174,請求記録!$Z$6:$Z$3005,T$5))))</f>
        <v/>
      </c>
      <c r="U174" s="19">
        <f>IF($A174="","",IF(COUNTIFS(請求記録!$B$6:$B$3005,$A174,請求記録!$Z$6:$Z$3005,U$5,請求記録!$AF$6:$AF$3005,"保留中")&gt;0,"保留",IF(COUNTIFS(請求記録!$B$6:$B$3005,$A174,請求記録!$Z$6:$Z$3005,U$5)=0,"",SUMIFS(請求記録!$AE$6:$AE$3005,請求記録!$B$6:$B$3005,$A174,請求記録!$Z$6:$Z$3005,U$5))))</f>
        <v/>
      </c>
      <c r="V174" s="19">
        <f>IF($A174="","",IF(COUNTIFS(請求記録!$B$6:$B$3005,$A174,請求記録!$Z$6:$Z$3005,V$5,請求記録!$AF$6:$AF$3005,"保留中")&gt;0,"保留",IF(COUNTIFS(請求記録!$B$6:$B$3005,$A174,請求記録!$Z$6:$Z$3005,V$5)=0,"",SUMIFS(請求記録!$AE$6:$AE$3005,請求記録!$B$6:$B$3005,$A174,請求記録!$Z$6:$Z$3005,V$5))))</f>
        <v/>
      </c>
      <c r="W174" s="19">
        <f>IF($A174="","",IF(COUNTIFS(請求記録!$B$6:$B$3005,$A174,請求記録!$Z$6:$Z$3005,W$5,請求記録!$AF$6:$AF$3005,"保留中")&gt;0,"保留",IF(COUNTIFS(請求記録!$B$6:$B$3005,$A174,請求記録!$Z$6:$Z$3005,W$5)=0,"",SUMIFS(請求記録!$AE$6:$AE$3005,請求記録!$B$6:$B$3005,$A174,請求記録!$Z$6:$Z$3005,W$5))))</f>
        <v/>
      </c>
      <c r="X174" s="19">
        <f>IF($A174="","",IF(COUNTIFS(請求記録!$B$6:$B$3005,$A174,請求記録!$Z$6:$Z$3005,X$5,請求記録!$AF$6:$AF$3005,"保留中")&gt;0,"保留",IF(COUNTIFS(請求記録!$B$6:$B$3005,$A174,請求記録!$Z$6:$Z$3005,X$5)=0,"",SUMIFS(請求記録!$AE$6:$AE$3005,請求記録!$B$6:$B$3005,$A174,請求記録!$Z$6:$Z$3005,X$5))))</f>
        <v/>
      </c>
      <c r="Y174" s="19">
        <f>IF($A174="","",IF(COUNTIFS(請求記録!$B$6:$B$3005,$A174,請求記録!$Z$6:$Z$3005,Y$5,請求記録!$AF$6:$AF$3005,"保留中")&gt;0,"保留",IF(COUNTIFS(請求記録!$B$6:$B$3005,$A174,請求記録!$Z$6:$Z$3005,Y$5)=0,"",SUMIFS(請求記録!$AE$6:$AE$3005,請求記録!$B$6:$B$3005,$A174,請求記録!$Z$6:$Z$3005,Y$5))))</f>
        <v/>
      </c>
      <c r="Z174" s="19">
        <f>IF($A174="","",IF(COUNTIFS(請求記録!$B$6:$B$3005,$A174,請求記録!$Z$6:$Z$3005,Z$5,請求記録!$AF$6:$AF$3005,"保留中")&gt;0,"保留",IF(COUNTIFS(請求記録!$B$6:$B$3005,$A174,請求記録!$Z$6:$Z$3005,Z$5)=0,"",SUMIFS(請求記録!$AE$6:$AE$3005,請求記録!$B$6:$B$3005,$A174,請求記録!$Z$6:$Z$3005,Z$5))))</f>
        <v/>
      </c>
      <c r="AA174" s="19">
        <f>IF($A174="","",IF(COUNTIFS(請求記録!$B$6:$B$3005,$A174,請求記録!$Z$6:$Z$3005,AA$5,請求記録!$AF$6:$AF$3005,"保留中")&gt;0,"保留",IF(COUNTIFS(請求記録!$B$6:$B$3005,$A174,請求記録!$Z$6:$Z$3005,AA$5)=0,"",SUMIFS(請求記録!$AE$6:$AE$3005,請求記録!$B$6:$B$3005,$A174,請求記録!$Z$6:$Z$3005,AA$5))))</f>
        <v/>
      </c>
      <c r="AB174">
        <f>IF(職員マスタ!P174="保留中",職員マスタ!M174,"")</f>
        <v/>
      </c>
    </row>
    <row r="175">
      <c r="A175">
        <f>IF(職員マスタ!A175="","",職員マスタ!A175)</f>
        <v/>
      </c>
      <c r="B175">
        <f>IF($A175="","",職員マスタ!B175)</f>
        <v/>
      </c>
      <c r="C175">
        <f>IF($A175="","",職員マスタ!C175)</f>
        <v/>
      </c>
      <c r="D175" s="19">
        <f>IF($A175="","",IF(COUNTIFS(請求記録!$B$6:$B$3005,$A175,請求記録!$Z$6:$Z$3005,D$5,請求記録!$AF$6:$AF$3005,"保留中")&gt;0,"保留",IF(COUNTIFS(請求記録!$B$6:$B$3005,$A175,請求記録!$Z$6:$Z$3005,D$5)=0,"",SUMIFS(請求記録!$AE$6:$AE$3005,請求記録!$B$6:$B$3005,$A175,請求記録!$Z$6:$Z$3005,D$5))))</f>
        <v/>
      </c>
      <c r="E175" s="19">
        <f>IF($A175="","",IF(COUNTIFS(請求記録!$B$6:$B$3005,$A175,請求記録!$Z$6:$Z$3005,E$5,請求記録!$AF$6:$AF$3005,"保留中")&gt;0,"保留",IF(COUNTIFS(請求記録!$B$6:$B$3005,$A175,請求記録!$Z$6:$Z$3005,E$5)=0,"",SUMIFS(請求記録!$AE$6:$AE$3005,請求記録!$B$6:$B$3005,$A175,請求記録!$Z$6:$Z$3005,E$5))))</f>
        <v/>
      </c>
      <c r="F175" s="19">
        <f>IF($A175="","",IF(COUNTIFS(請求記録!$B$6:$B$3005,$A175,請求記録!$Z$6:$Z$3005,F$5,請求記録!$AF$6:$AF$3005,"保留中")&gt;0,"保留",IF(COUNTIFS(請求記録!$B$6:$B$3005,$A175,請求記録!$Z$6:$Z$3005,F$5)=0,"",SUMIFS(請求記録!$AE$6:$AE$3005,請求記録!$B$6:$B$3005,$A175,請求記録!$Z$6:$Z$3005,F$5))))</f>
        <v/>
      </c>
      <c r="G175" s="19">
        <f>IF($A175="","",IF(COUNTIFS(請求記録!$B$6:$B$3005,$A175,請求記録!$Z$6:$Z$3005,G$5,請求記録!$AF$6:$AF$3005,"保留中")&gt;0,"保留",IF(COUNTIFS(請求記録!$B$6:$B$3005,$A175,請求記録!$Z$6:$Z$3005,G$5)=0,"",SUMIFS(請求記録!$AE$6:$AE$3005,請求記録!$B$6:$B$3005,$A175,請求記録!$Z$6:$Z$3005,G$5))))</f>
        <v/>
      </c>
      <c r="H175" s="19">
        <f>IF($A175="","",IF(COUNTIFS(請求記録!$B$6:$B$3005,$A175,請求記録!$Z$6:$Z$3005,H$5,請求記録!$AF$6:$AF$3005,"保留中")&gt;0,"保留",IF(COUNTIFS(請求記録!$B$6:$B$3005,$A175,請求記録!$Z$6:$Z$3005,H$5)=0,"",SUMIFS(請求記録!$AE$6:$AE$3005,請求記録!$B$6:$B$3005,$A175,請求記録!$Z$6:$Z$3005,H$5))))</f>
        <v/>
      </c>
      <c r="I175" s="19">
        <f>IF($A175="","",IF(COUNTIFS(請求記録!$B$6:$B$3005,$A175,請求記録!$Z$6:$Z$3005,I$5,請求記録!$AF$6:$AF$3005,"保留中")&gt;0,"保留",IF(COUNTIFS(請求記録!$B$6:$B$3005,$A175,請求記録!$Z$6:$Z$3005,I$5)=0,"",SUMIFS(請求記録!$AE$6:$AE$3005,請求記録!$B$6:$B$3005,$A175,請求記録!$Z$6:$Z$3005,I$5))))</f>
        <v/>
      </c>
      <c r="J175" s="19">
        <f>IF($A175="","",IF(COUNTIFS(請求記録!$B$6:$B$3005,$A175,請求記録!$Z$6:$Z$3005,J$5,請求記録!$AF$6:$AF$3005,"保留中")&gt;0,"保留",IF(COUNTIFS(請求記録!$B$6:$B$3005,$A175,請求記録!$Z$6:$Z$3005,J$5)=0,"",SUMIFS(請求記録!$AE$6:$AE$3005,請求記録!$B$6:$B$3005,$A175,請求記録!$Z$6:$Z$3005,J$5))))</f>
        <v/>
      </c>
      <c r="K175" s="19">
        <f>IF($A175="","",IF(COUNTIFS(請求記録!$B$6:$B$3005,$A175,請求記録!$Z$6:$Z$3005,K$5,請求記録!$AF$6:$AF$3005,"保留中")&gt;0,"保留",IF(COUNTIFS(請求記録!$B$6:$B$3005,$A175,請求記録!$Z$6:$Z$3005,K$5)=0,"",SUMIFS(請求記録!$AE$6:$AE$3005,請求記録!$B$6:$B$3005,$A175,請求記録!$Z$6:$Z$3005,K$5))))</f>
        <v/>
      </c>
      <c r="L175" s="19">
        <f>IF($A175="","",IF(COUNTIFS(請求記録!$B$6:$B$3005,$A175,請求記録!$Z$6:$Z$3005,L$5,請求記録!$AF$6:$AF$3005,"保留中")&gt;0,"保留",IF(COUNTIFS(請求記録!$B$6:$B$3005,$A175,請求記録!$Z$6:$Z$3005,L$5)=0,"",SUMIFS(請求記録!$AE$6:$AE$3005,請求記録!$B$6:$B$3005,$A175,請求記録!$Z$6:$Z$3005,L$5))))</f>
        <v/>
      </c>
      <c r="M175" s="19">
        <f>IF($A175="","",IF(COUNTIFS(請求記録!$B$6:$B$3005,$A175,請求記録!$Z$6:$Z$3005,M$5,請求記録!$AF$6:$AF$3005,"保留中")&gt;0,"保留",IF(COUNTIFS(請求記録!$B$6:$B$3005,$A175,請求記録!$Z$6:$Z$3005,M$5)=0,"",SUMIFS(請求記録!$AE$6:$AE$3005,請求記録!$B$6:$B$3005,$A175,請求記録!$Z$6:$Z$3005,M$5))))</f>
        <v/>
      </c>
      <c r="N175" s="19">
        <f>IF($A175="","",IF(COUNTIFS(請求記録!$B$6:$B$3005,$A175,請求記録!$Z$6:$Z$3005,N$5,請求記録!$AF$6:$AF$3005,"保留中")&gt;0,"保留",IF(COUNTIFS(請求記録!$B$6:$B$3005,$A175,請求記録!$Z$6:$Z$3005,N$5)=0,"",SUMIFS(請求記録!$AE$6:$AE$3005,請求記録!$B$6:$B$3005,$A175,請求記録!$Z$6:$Z$3005,N$5))))</f>
        <v/>
      </c>
      <c r="O175" s="19">
        <f>IF($A175="","",IF(COUNTIFS(請求記録!$B$6:$B$3005,$A175,請求記録!$Z$6:$Z$3005,O$5,請求記録!$AF$6:$AF$3005,"保留中")&gt;0,"保留",IF(COUNTIFS(請求記録!$B$6:$B$3005,$A175,請求記録!$Z$6:$Z$3005,O$5)=0,"",SUMIFS(請求記録!$AE$6:$AE$3005,請求記録!$B$6:$B$3005,$A175,請求記録!$Z$6:$Z$3005,O$5))))</f>
        <v/>
      </c>
      <c r="P175" s="19">
        <f>IF($A175="","",IF(COUNTIFS(請求記録!$B$6:$B$3005,$A175,請求記録!$Z$6:$Z$3005,P$5,請求記録!$AF$6:$AF$3005,"保留中")&gt;0,"保留",IF(COUNTIFS(請求記録!$B$6:$B$3005,$A175,請求記録!$Z$6:$Z$3005,P$5)=0,"",SUMIFS(請求記録!$AE$6:$AE$3005,請求記録!$B$6:$B$3005,$A175,請求記録!$Z$6:$Z$3005,P$5))))</f>
        <v/>
      </c>
      <c r="Q175" s="19">
        <f>IF($A175="","",IF(COUNTIFS(請求記録!$B$6:$B$3005,$A175,請求記録!$Z$6:$Z$3005,Q$5,請求記録!$AF$6:$AF$3005,"保留中")&gt;0,"保留",IF(COUNTIFS(請求記録!$B$6:$B$3005,$A175,請求記録!$Z$6:$Z$3005,Q$5)=0,"",SUMIFS(請求記録!$AE$6:$AE$3005,請求記録!$B$6:$B$3005,$A175,請求記録!$Z$6:$Z$3005,Q$5))))</f>
        <v/>
      </c>
      <c r="R175" s="19">
        <f>IF($A175="","",IF(COUNTIFS(請求記録!$B$6:$B$3005,$A175,請求記録!$Z$6:$Z$3005,R$5,請求記録!$AF$6:$AF$3005,"保留中")&gt;0,"保留",IF(COUNTIFS(請求記録!$B$6:$B$3005,$A175,請求記録!$Z$6:$Z$3005,R$5)=0,"",SUMIFS(請求記録!$AE$6:$AE$3005,請求記録!$B$6:$B$3005,$A175,請求記録!$Z$6:$Z$3005,R$5))))</f>
        <v/>
      </c>
      <c r="S175" s="19">
        <f>IF($A175="","",IF(COUNTIFS(請求記録!$B$6:$B$3005,$A175,請求記録!$Z$6:$Z$3005,S$5,請求記録!$AF$6:$AF$3005,"保留中")&gt;0,"保留",IF(COUNTIFS(請求記録!$B$6:$B$3005,$A175,請求記録!$Z$6:$Z$3005,S$5)=0,"",SUMIFS(請求記録!$AE$6:$AE$3005,請求記録!$B$6:$B$3005,$A175,請求記録!$Z$6:$Z$3005,S$5))))</f>
        <v/>
      </c>
      <c r="T175" s="19">
        <f>IF($A175="","",IF(COUNTIFS(請求記録!$B$6:$B$3005,$A175,請求記録!$Z$6:$Z$3005,T$5,請求記録!$AF$6:$AF$3005,"保留中")&gt;0,"保留",IF(COUNTIFS(請求記録!$B$6:$B$3005,$A175,請求記録!$Z$6:$Z$3005,T$5)=0,"",SUMIFS(請求記録!$AE$6:$AE$3005,請求記録!$B$6:$B$3005,$A175,請求記録!$Z$6:$Z$3005,T$5))))</f>
        <v/>
      </c>
      <c r="U175" s="19">
        <f>IF($A175="","",IF(COUNTIFS(請求記録!$B$6:$B$3005,$A175,請求記録!$Z$6:$Z$3005,U$5,請求記録!$AF$6:$AF$3005,"保留中")&gt;0,"保留",IF(COUNTIFS(請求記録!$B$6:$B$3005,$A175,請求記録!$Z$6:$Z$3005,U$5)=0,"",SUMIFS(請求記録!$AE$6:$AE$3005,請求記録!$B$6:$B$3005,$A175,請求記録!$Z$6:$Z$3005,U$5))))</f>
        <v/>
      </c>
      <c r="V175" s="19">
        <f>IF($A175="","",IF(COUNTIFS(請求記録!$B$6:$B$3005,$A175,請求記録!$Z$6:$Z$3005,V$5,請求記録!$AF$6:$AF$3005,"保留中")&gt;0,"保留",IF(COUNTIFS(請求記録!$B$6:$B$3005,$A175,請求記録!$Z$6:$Z$3005,V$5)=0,"",SUMIFS(請求記録!$AE$6:$AE$3005,請求記録!$B$6:$B$3005,$A175,請求記録!$Z$6:$Z$3005,V$5))))</f>
        <v/>
      </c>
      <c r="W175" s="19">
        <f>IF($A175="","",IF(COUNTIFS(請求記録!$B$6:$B$3005,$A175,請求記録!$Z$6:$Z$3005,W$5,請求記録!$AF$6:$AF$3005,"保留中")&gt;0,"保留",IF(COUNTIFS(請求記録!$B$6:$B$3005,$A175,請求記録!$Z$6:$Z$3005,W$5)=0,"",SUMIFS(請求記録!$AE$6:$AE$3005,請求記録!$B$6:$B$3005,$A175,請求記録!$Z$6:$Z$3005,W$5))))</f>
        <v/>
      </c>
      <c r="X175" s="19">
        <f>IF($A175="","",IF(COUNTIFS(請求記録!$B$6:$B$3005,$A175,請求記録!$Z$6:$Z$3005,X$5,請求記録!$AF$6:$AF$3005,"保留中")&gt;0,"保留",IF(COUNTIFS(請求記録!$B$6:$B$3005,$A175,請求記録!$Z$6:$Z$3005,X$5)=0,"",SUMIFS(請求記録!$AE$6:$AE$3005,請求記録!$B$6:$B$3005,$A175,請求記録!$Z$6:$Z$3005,X$5))))</f>
        <v/>
      </c>
      <c r="Y175" s="19">
        <f>IF($A175="","",IF(COUNTIFS(請求記録!$B$6:$B$3005,$A175,請求記録!$Z$6:$Z$3005,Y$5,請求記録!$AF$6:$AF$3005,"保留中")&gt;0,"保留",IF(COUNTIFS(請求記録!$B$6:$B$3005,$A175,請求記録!$Z$6:$Z$3005,Y$5)=0,"",SUMIFS(請求記録!$AE$6:$AE$3005,請求記録!$B$6:$B$3005,$A175,請求記録!$Z$6:$Z$3005,Y$5))))</f>
        <v/>
      </c>
      <c r="Z175" s="19">
        <f>IF($A175="","",IF(COUNTIFS(請求記録!$B$6:$B$3005,$A175,請求記録!$Z$6:$Z$3005,Z$5,請求記録!$AF$6:$AF$3005,"保留中")&gt;0,"保留",IF(COUNTIFS(請求記録!$B$6:$B$3005,$A175,請求記録!$Z$6:$Z$3005,Z$5)=0,"",SUMIFS(請求記録!$AE$6:$AE$3005,請求記録!$B$6:$B$3005,$A175,請求記録!$Z$6:$Z$3005,Z$5))))</f>
        <v/>
      </c>
      <c r="AA175" s="19">
        <f>IF($A175="","",IF(COUNTIFS(請求記録!$B$6:$B$3005,$A175,請求記録!$Z$6:$Z$3005,AA$5,請求記録!$AF$6:$AF$3005,"保留中")&gt;0,"保留",IF(COUNTIFS(請求記録!$B$6:$B$3005,$A175,請求記録!$Z$6:$Z$3005,AA$5)=0,"",SUMIFS(請求記録!$AE$6:$AE$3005,請求記録!$B$6:$B$3005,$A175,請求記録!$Z$6:$Z$3005,AA$5))))</f>
        <v/>
      </c>
      <c r="AB175">
        <f>IF(職員マスタ!P175="保留中",職員マスタ!M175,"")</f>
        <v/>
      </c>
    </row>
    <row r="176">
      <c r="A176">
        <f>IF(職員マスタ!A176="","",職員マスタ!A176)</f>
        <v/>
      </c>
      <c r="B176">
        <f>IF($A176="","",職員マスタ!B176)</f>
        <v/>
      </c>
      <c r="C176">
        <f>IF($A176="","",職員マスタ!C176)</f>
        <v/>
      </c>
      <c r="D176" s="19">
        <f>IF($A176="","",IF(COUNTIFS(請求記録!$B$6:$B$3005,$A176,請求記録!$Z$6:$Z$3005,D$5,請求記録!$AF$6:$AF$3005,"保留中")&gt;0,"保留",IF(COUNTIFS(請求記録!$B$6:$B$3005,$A176,請求記録!$Z$6:$Z$3005,D$5)=0,"",SUMIFS(請求記録!$AE$6:$AE$3005,請求記録!$B$6:$B$3005,$A176,請求記録!$Z$6:$Z$3005,D$5))))</f>
        <v/>
      </c>
      <c r="E176" s="19">
        <f>IF($A176="","",IF(COUNTIFS(請求記録!$B$6:$B$3005,$A176,請求記録!$Z$6:$Z$3005,E$5,請求記録!$AF$6:$AF$3005,"保留中")&gt;0,"保留",IF(COUNTIFS(請求記録!$B$6:$B$3005,$A176,請求記録!$Z$6:$Z$3005,E$5)=0,"",SUMIFS(請求記録!$AE$6:$AE$3005,請求記録!$B$6:$B$3005,$A176,請求記録!$Z$6:$Z$3005,E$5))))</f>
        <v/>
      </c>
      <c r="F176" s="19">
        <f>IF($A176="","",IF(COUNTIFS(請求記録!$B$6:$B$3005,$A176,請求記録!$Z$6:$Z$3005,F$5,請求記録!$AF$6:$AF$3005,"保留中")&gt;0,"保留",IF(COUNTIFS(請求記録!$B$6:$B$3005,$A176,請求記録!$Z$6:$Z$3005,F$5)=0,"",SUMIFS(請求記録!$AE$6:$AE$3005,請求記録!$B$6:$B$3005,$A176,請求記録!$Z$6:$Z$3005,F$5))))</f>
        <v/>
      </c>
      <c r="G176" s="19">
        <f>IF($A176="","",IF(COUNTIFS(請求記録!$B$6:$B$3005,$A176,請求記録!$Z$6:$Z$3005,G$5,請求記録!$AF$6:$AF$3005,"保留中")&gt;0,"保留",IF(COUNTIFS(請求記録!$B$6:$B$3005,$A176,請求記録!$Z$6:$Z$3005,G$5)=0,"",SUMIFS(請求記録!$AE$6:$AE$3005,請求記録!$B$6:$B$3005,$A176,請求記録!$Z$6:$Z$3005,G$5))))</f>
        <v/>
      </c>
      <c r="H176" s="19">
        <f>IF($A176="","",IF(COUNTIFS(請求記録!$B$6:$B$3005,$A176,請求記録!$Z$6:$Z$3005,H$5,請求記録!$AF$6:$AF$3005,"保留中")&gt;0,"保留",IF(COUNTIFS(請求記録!$B$6:$B$3005,$A176,請求記録!$Z$6:$Z$3005,H$5)=0,"",SUMIFS(請求記録!$AE$6:$AE$3005,請求記録!$B$6:$B$3005,$A176,請求記録!$Z$6:$Z$3005,H$5))))</f>
        <v/>
      </c>
      <c r="I176" s="19">
        <f>IF($A176="","",IF(COUNTIFS(請求記録!$B$6:$B$3005,$A176,請求記録!$Z$6:$Z$3005,I$5,請求記録!$AF$6:$AF$3005,"保留中")&gt;0,"保留",IF(COUNTIFS(請求記録!$B$6:$B$3005,$A176,請求記録!$Z$6:$Z$3005,I$5)=0,"",SUMIFS(請求記録!$AE$6:$AE$3005,請求記録!$B$6:$B$3005,$A176,請求記録!$Z$6:$Z$3005,I$5))))</f>
        <v/>
      </c>
      <c r="J176" s="19">
        <f>IF($A176="","",IF(COUNTIFS(請求記録!$B$6:$B$3005,$A176,請求記録!$Z$6:$Z$3005,J$5,請求記録!$AF$6:$AF$3005,"保留中")&gt;0,"保留",IF(COUNTIFS(請求記録!$B$6:$B$3005,$A176,請求記録!$Z$6:$Z$3005,J$5)=0,"",SUMIFS(請求記録!$AE$6:$AE$3005,請求記録!$B$6:$B$3005,$A176,請求記録!$Z$6:$Z$3005,J$5))))</f>
        <v/>
      </c>
      <c r="K176" s="19">
        <f>IF($A176="","",IF(COUNTIFS(請求記録!$B$6:$B$3005,$A176,請求記録!$Z$6:$Z$3005,K$5,請求記録!$AF$6:$AF$3005,"保留中")&gt;0,"保留",IF(COUNTIFS(請求記録!$B$6:$B$3005,$A176,請求記録!$Z$6:$Z$3005,K$5)=0,"",SUMIFS(請求記録!$AE$6:$AE$3005,請求記録!$B$6:$B$3005,$A176,請求記録!$Z$6:$Z$3005,K$5))))</f>
        <v/>
      </c>
      <c r="L176" s="19">
        <f>IF($A176="","",IF(COUNTIFS(請求記録!$B$6:$B$3005,$A176,請求記録!$Z$6:$Z$3005,L$5,請求記録!$AF$6:$AF$3005,"保留中")&gt;0,"保留",IF(COUNTIFS(請求記録!$B$6:$B$3005,$A176,請求記録!$Z$6:$Z$3005,L$5)=0,"",SUMIFS(請求記録!$AE$6:$AE$3005,請求記録!$B$6:$B$3005,$A176,請求記録!$Z$6:$Z$3005,L$5))))</f>
        <v/>
      </c>
      <c r="M176" s="19">
        <f>IF($A176="","",IF(COUNTIFS(請求記録!$B$6:$B$3005,$A176,請求記録!$Z$6:$Z$3005,M$5,請求記録!$AF$6:$AF$3005,"保留中")&gt;0,"保留",IF(COUNTIFS(請求記録!$B$6:$B$3005,$A176,請求記録!$Z$6:$Z$3005,M$5)=0,"",SUMIFS(請求記録!$AE$6:$AE$3005,請求記録!$B$6:$B$3005,$A176,請求記録!$Z$6:$Z$3005,M$5))))</f>
        <v/>
      </c>
      <c r="N176" s="19">
        <f>IF($A176="","",IF(COUNTIFS(請求記録!$B$6:$B$3005,$A176,請求記録!$Z$6:$Z$3005,N$5,請求記録!$AF$6:$AF$3005,"保留中")&gt;0,"保留",IF(COUNTIFS(請求記録!$B$6:$B$3005,$A176,請求記録!$Z$6:$Z$3005,N$5)=0,"",SUMIFS(請求記録!$AE$6:$AE$3005,請求記録!$B$6:$B$3005,$A176,請求記録!$Z$6:$Z$3005,N$5))))</f>
        <v/>
      </c>
      <c r="O176" s="19">
        <f>IF($A176="","",IF(COUNTIFS(請求記録!$B$6:$B$3005,$A176,請求記録!$Z$6:$Z$3005,O$5,請求記録!$AF$6:$AF$3005,"保留中")&gt;0,"保留",IF(COUNTIFS(請求記録!$B$6:$B$3005,$A176,請求記録!$Z$6:$Z$3005,O$5)=0,"",SUMIFS(請求記録!$AE$6:$AE$3005,請求記録!$B$6:$B$3005,$A176,請求記録!$Z$6:$Z$3005,O$5))))</f>
        <v/>
      </c>
      <c r="P176" s="19">
        <f>IF($A176="","",IF(COUNTIFS(請求記録!$B$6:$B$3005,$A176,請求記録!$Z$6:$Z$3005,P$5,請求記録!$AF$6:$AF$3005,"保留中")&gt;0,"保留",IF(COUNTIFS(請求記録!$B$6:$B$3005,$A176,請求記録!$Z$6:$Z$3005,P$5)=0,"",SUMIFS(請求記録!$AE$6:$AE$3005,請求記録!$B$6:$B$3005,$A176,請求記録!$Z$6:$Z$3005,P$5))))</f>
        <v/>
      </c>
      <c r="Q176" s="19">
        <f>IF($A176="","",IF(COUNTIFS(請求記録!$B$6:$B$3005,$A176,請求記録!$Z$6:$Z$3005,Q$5,請求記録!$AF$6:$AF$3005,"保留中")&gt;0,"保留",IF(COUNTIFS(請求記録!$B$6:$B$3005,$A176,請求記録!$Z$6:$Z$3005,Q$5)=0,"",SUMIFS(請求記録!$AE$6:$AE$3005,請求記録!$B$6:$B$3005,$A176,請求記録!$Z$6:$Z$3005,Q$5))))</f>
        <v/>
      </c>
      <c r="R176" s="19">
        <f>IF($A176="","",IF(COUNTIFS(請求記録!$B$6:$B$3005,$A176,請求記録!$Z$6:$Z$3005,R$5,請求記録!$AF$6:$AF$3005,"保留中")&gt;0,"保留",IF(COUNTIFS(請求記録!$B$6:$B$3005,$A176,請求記録!$Z$6:$Z$3005,R$5)=0,"",SUMIFS(請求記録!$AE$6:$AE$3005,請求記録!$B$6:$B$3005,$A176,請求記録!$Z$6:$Z$3005,R$5))))</f>
        <v/>
      </c>
      <c r="S176" s="19">
        <f>IF($A176="","",IF(COUNTIFS(請求記録!$B$6:$B$3005,$A176,請求記録!$Z$6:$Z$3005,S$5,請求記録!$AF$6:$AF$3005,"保留中")&gt;0,"保留",IF(COUNTIFS(請求記録!$B$6:$B$3005,$A176,請求記録!$Z$6:$Z$3005,S$5)=0,"",SUMIFS(請求記録!$AE$6:$AE$3005,請求記録!$B$6:$B$3005,$A176,請求記録!$Z$6:$Z$3005,S$5))))</f>
        <v/>
      </c>
      <c r="T176" s="19">
        <f>IF($A176="","",IF(COUNTIFS(請求記録!$B$6:$B$3005,$A176,請求記録!$Z$6:$Z$3005,T$5,請求記録!$AF$6:$AF$3005,"保留中")&gt;0,"保留",IF(COUNTIFS(請求記録!$B$6:$B$3005,$A176,請求記録!$Z$6:$Z$3005,T$5)=0,"",SUMIFS(請求記録!$AE$6:$AE$3005,請求記録!$B$6:$B$3005,$A176,請求記録!$Z$6:$Z$3005,T$5))))</f>
        <v/>
      </c>
      <c r="U176" s="19">
        <f>IF($A176="","",IF(COUNTIFS(請求記録!$B$6:$B$3005,$A176,請求記録!$Z$6:$Z$3005,U$5,請求記録!$AF$6:$AF$3005,"保留中")&gt;0,"保留",IF(COUNTIFS(請求記録!$B$6:$B$3005,$A176,請求記録!$Z$6:$Z$3005,U$5)=0,"",SUMIFS(請求記録!$AE$6:$AE$3005,請求記録!$B$6:$B$3005,$A176,請求記録!$Z$6:$Z$3005,U$5))))</f>
        <v/>
      </c>
      <c r="V176" s="19">
        <f>IF($A176="","",IF(COUNTIFS(請求記録!$B$6:$B$3005,$A176,請求記録!$Z$6:$Z$3005,V$5,請求記録!$AF$6:$AF$3005,"保留中")&gt;0,"保留",IF(COUNTIFS(請求記録!$B$6:$B$3005,$A176,請求記録!$Z$6:$Z$3005,V$5)=0,"",SUMIFS(請求記録!$AE$6:$AE$3005,請求記録!$B$6:$B$3005,$A176,請求記録!$Z$6:$Z$3005,V$5))))</f>
        <v/>
      </c>
      <c r="W176" s="19">
        <f>IF($A176="","",IF(COUNTIFS(請求記録!$B$6:$B$3005,$A176,請求記録!$Z$6:$Z$3005,W$5,請求記録!$AF$6:$AF$3005,"保留中")&gt;0,"保留",IF(COUNTIFS(請求記録!$B$6:$B$3005,$A176,請求記録!$Z$6:$Z$3005,W$5)=0,"",SUMIFS(請求記録!$AE$6:$AE$3005,請求記録!$B$6:$B$3005,$A176,請求記録!$Z$6:$Z$3005,W$5))))</f>
        <v/>
      </c>
      <c r="X176" s="19">
        <f>IF($A176="","",IF(COUNTIFS(請求記録!$B$6:$B$3005,$A176,請求記録!$Z$6:$Z$3005,X$5,請求記録!$AF$6:$AF$3005,"保留中")&gt;0,"保留",IF(COUNTIFS(請求記録!$B$6:$B$3005,$A176,請求記録!$Z$6:$Z$3005,X$5)=0,"",SUMIFS(請求記録!$AE$6:$AE$3005,請求記録!$B$6:$B$3005,$A176,請求記録!$Z$6:$Z$3005,X$5))))</f>
        <v/>
      </c>
      <c r="Y176" s="19">
        <f>IF($A176="","",IF(COUNTIFS(請求記録!$B$6:$B$3005,$A176,請求記録!$Z$6:$Z$3005,Y$5,請求記録!$AF$6:$AF$3005,"保留中")&gt;0,"保留",IF(COUNTIFS(請求記録!$B$6:$B$3005,$A176,請求記録!$Z$6:$Z$3005,Y$5)=0,"",SUMIFS(請求記録!$AE$6:$AE$3005,請求記録!$B$6:$B$3005,$A176,請求記録!$Z$6:$Z$3005,Y$5))))</f>
        <v/>
      </c>
      <c r="Z176" s="19">
        <f>IF($A176="","",IF(COUNTIFS(請求記録!$B$6:$B$3005,$A176,請求記録!$Z$6:$Z$3005,Z$5,請求記録!$AF$6:$AF$3005,"保留中")&gt;0,"保留",IF(COUNTIFS(請求記録!$B$6:$B$3005,$A176,請求記録!$Z$6:$Z$3005,Z$5)=0,"",SUMIFS(請求記録!$AE$6:$AE$3005,請求記録!$B$6:$B$3005,$A176,請求記録!$Z$6:$Z$3005,Z$5))))</f>
        <v/>
      </c>
      <c r="AA176" s="19">
        <f>IF($A176="","",IF(COUNTIFS(請求記録!$B$6:$B$3005,$A176,請求記録!$Z$6:$Z$3005,AA$5,請求記録!$AF$6:$AF$3005,"保留中")&gt;0,"保留",IF(COUNTIFS(請求記録!$B$6:$B$3005,$A176,請求記録!$Z$6:$Z$3005,AA$5)=0,"",SUMIFS(請求記録!$AE$6:$AE$3005,請求記録!$B$6:$B$3005,$A176,請求記録!$Z$6:$Z$3005,AA$5))))</f>
        <v/>
      </c>
      <c r="AB176">
        <f>IF(職員マスタ!P176="保留中",職員マスタ!M176,"")</f>
        <v/>
      </c>
    </row>
    <row r="177">
      <c r="A177">
        <f>IF(職員マスタ!A177="","",職員マスタ!A177)</f>
        <v/>
      </c>
      <c r="B177">
        <f>IF($A177="","",職員マスタ!B177)</f>
        <v/>
      </c>
      <c r="C177">
        <f>IF($A177="","",職員マスタ!C177)</f>
        <v/>
      </c>
      <c r="D177" s="19">
        <f>IF($A177="","",IF(COUNTIFS(請求記録!$B$6:$B$3005,$A177,請求記録!$Z$6:$Z$3005,D$5,請求記録!$AF$6:$AF$3005,"保留中")&gt;0,"保留",IF(COUNTIFS(請求記録!$B$6:$B$3005,$A177,請求記録!$Z$6:$Z$3005,D$5)=0,"",SUMIFS(請求記録!$AE$6:$AE$3005,請求記録!$B$6:$B$3005,$A177,請求記録!$Z$6:$Z$3005,D$5))))</f>
        <v/>
      </c>
      <c r="E177" s="19">
        <f>IF($A177="","",IF(COUNTIFS(請求記録!$B$6:$B$3005,$A177,請求記録!$Z$6:$Z$3005,E$5,請求記録!$AF$6:$AF$3005,"保留中")&gt;0,"保留",IF(COUNTIFS(請求記録!$B$6:$B$3005,$A177,請求記録!$Z$6:$Z$3005,E$5)=0,"",SUMIFS(請求記録!$AE$6:$AE$3005,請求記録!$B$6:$B$3005,$A177,請求記録!$Z$6:$Z$3005,E$5))))</f>
        <v/>
      </c>
      <c r="F177" s="19">
        <f>IF($A177="","",IF(COUNTIFS(請求記録!$B$6:$B$3005,$A177,請求記録!$Z$6:$Z$3005,F$5,請求記録!$AF$6:$AF$3005,"保留中")&gt;0,"保留",IF(COUNTIFS(請求記録!$B$6:$B$3005,$A177,請求記録!$Z$6:$Z$3005,F$5)=0,"",SUMIFS(請求記録!$AE$6:$AE$3005,請求記録!$B$6:$B$3005,$A177,請求記録!$Z$6:$Z$3005,F$5))))</f>
        <v/>
      </c>
      <c r="G177" s="19">
        <f>IF($A177="","",IF(COUNTIFS(請求記録!$B$6:$B$3005,$A177,請求記録!$Z$6:$Z$3005,G$5,請求記録!$AF$6:$AF$3005,"保留中")&gt;0,"保留",IF(COUNTIFS(請求記録!$B$6:$B$3005,$A177,請求記録!$Z$6:$Z$3005,G$5)=0,"",SUMIFS(請求記録!$AE$6:$AE$3005,請求記録!$B$6:$B$3005,$A177,請求記録!$Z$6:$Z$3005,G$5))))</f>
        <v/>
      </c>
      <c r="H177" s="19">
        <f>IF($A177="","",IF(COUNTIFS(請求記録!$B$6:$B$3005,$A177,請求記録!$Z$6:$Z$3005,H$5,請求記録!$AF$6:$AF$3005,"保留中")&gt;0,"保留",IF(COUNTIFS(請求記録!$B$6:$B$3005,$A177,請求記録!$Z$6:$Z$3005,H$5)=0,"",SUMIFS(請求記録!$AE$6:$AE$3005,請求記録!$B$6:$B$3005,$A177,請求記録!$Z$6:$Z$3005,H$5))))</f>
        <v/>
      </c>
      <c r="I177" s="19">
        <f>IF($A177="","",IF(COUNTIFS(請求記録!$B$6:$B$3005,$A177,請求記録!$Z$6:$Z$3005,I$5,請求記録!$AF$6:$AF$3005,"保留中")&gt;0,"保留",IF(COUNTIFS(請求記録!$B$6:$B$3005,$A177,請求記録!$Z$6:$Z$3005,I$5)=0,"",SUMIFS(請求記録!$AE$6:$AE$3005,請求記録!$B$6:$B$3005,$A177,請求記録!$Z$6:$Z$3005,I$5))))</f>
        <v/>
      </c>
      <c r="J177" s="19">
        <f>IF($A177="","",IF(COUNTIFS(請求記録!$B$6:$B$3005,$A177,請求記録!$Z$6:$Z$3005,J$5,請求記録!$AF$6:$AF$3005,"保留中")&gt;0,"保留",IF(COUNTIFS(請求記録!$B$6:$B$3005,$A177,請求記録!$Z$6:$Z$3005,J$5)=0,"",SUMIFS(請求記録!$AE$6:$AE$3005,請求記録!$B$6:$B$3005,$A177,請求記録!$Z$6:$Z$3005,J$5))))</f>
        <v/>
      </c>
      <c r="K177" s="19">
        <f>IF($A177="","",IF(COUNTIFS(請求記録!$B$6:$B$3005,$A177,請求記録!$Z$6:$Z$3005,K$5,請求記録!$AF$6:$AF$3005,"保留中")&gt;0,"保留",IF(COUNTIFS(請求記録!$B$6:$B$3005,$A177,請求記録!$Z$6:$Z$3005,K$5)=0,"",SUMIFS(請求記録!$AE$6:$AE$3005,請求記録!$B$6:$B$3005,$A177,請求記録!$Z$6:$Z$3005,K$5))))</f>
        <v/>
      </c>
      <c r="L177" s="19">
        <f>IF($A177="","",IF(COUNTIFS(請求記録!$B$6:$B$3005,$A177,請求記録!$Z$6:$Z$3005,L$5,請求記録!$AF$6:$AF$3005,"保留中")&gt;0,"保留",IF(COUNTIFS(請求記録!$B$6:$B$3005,$A177,請求記録!$Z$6:$Z$3005,L$5)=0,"",SUMIFS(請求記録!$AE$6:$AE$3005,請求記録!$B$6:$B$3005,$A177,請求記録!$Z$6:$Z$3005,L$5))))</f>
        <v/>
      </c>
      <c r="M177" s="19">
        <f>IF($A177="","",IF(COUNTIFS(請求記録!$B$6:$B$3005,$A177,請求記録!$Z$6:$Z$3005,M$5,請求記録!$AF$6:$AF$3005,"保留中")&gt;0,"保留",IF(COUNTIFS(請求記録!$B$6:$B$3005,$A177,請求記録!$Z$6:$Z$3005,M$5)=0,"",SUMIFS(請求記録!$AE$6:$AE$3005,請求記録!$B$6:$B$3005,$A177,請求記録!$Z$6:$Z$3005,M$5))))</f>
        <v/>
      </c>
      <c r="N177" s="19">
        <f>IF($A177="","",IF(COUNTIFS(請求記録!$B$6:$B$3005,$A177,請求記録!$Z$6:$Z$3005,N$5,請求記録!$AF$6:$AF$3005,"保留中")&gt;0,"保留",IF(COUNTIFS(請求記録!$B$6:$B$3005,$A177,請求記録!$Z$6:$Z$3005,N$5)=0,"",SUMIFS(請求記録!$AE$6:$AE$3005,請求記録!$B$6:$B$3005,$A177,請求記録!$Z$6:$Z$3005,N$5))))</f>
        <v/>
      </c>
      <c r="O177" s="19">
        <f>IF($A177="","",IF(COUNTIFS(請求記録!$B$6:$B$3005,$A177,請求記録!$Z$6:$Z$3005,O$5,請求記録!$AF$6:$AF$3005,"保留中")&gt;0,"保留",IF(COUNTIFS(請求記録!$B$6:$B$3005,$A177,請求記録!$Z$6:$Z$3005,O$5)=0,"",SUMIFS(請求記録!$AE$6:$AE$3005,請求記録!$B$6:$B$3005,$A177,請求記録!$Z$6:$Z$3005,O$5))))</f>
        <v/>
      </c>
      <c r="P177" s="19">
        <f>IF($A177="","",IF(COUNTIFS(請求記録!$B$6:$B$3005,$A177,請求記録!$Z$6:$Z$3005,P$5,請求記録!$AF$6:$AF$3005,"保留中")&gt;0,"保留",IF(COUNTIFS(請求記録!$B$6:$B$3005,$A177,請求記録!$Z$6:$Z$3005,P$5)=0,"",SUMIFS(請求記録!$AE$6:$AE$3005,請求記録!$B$6:$B$3005,$A177,請求記録!$Z$6:$Z$3005,P$5))))</f>
        <v/>
      </c>
      <c r="Q177" s="19">
        <f>IF($A177="","",IF(COUNTIFS(請求記録!$B$6:$B$3005,$A177,請求記録!$Z$6:$Z$3005,Q$5,請求記録!$AF$6:$AF$3005,"保留中")&gt;0,"保留",IF(COUNTIFS(請求記録!$B$6:$B$3005,$A177,請求記録!$Z$6:$Z$3005,Q$5)=0,"",SUMIFS(請求記録!$AE$6:$AE$3005,請求記録!$B$6:$B$3005,$A177,請求記録!$Z$6:$Z$3005,Q$5))))</f>
        <v/>
      </c>
      <c r="R177" s="19">
        <f>IF($A177="","",IF(COUNTIFS(請求記録!$B$6:$B$3005,$A177,請求記録!$Z$6:$Z$3005,R$5,請求記録!$AF$6:$AF$3005,"保留中")&gt;0,"保留",IF(COUNTIFS(請求記録!$B$6:$B$3005,$A177,請求記録!$Z$6:$Z$3005,R$5)=0,"",SUMIFS(請求記録!$AE$6:$AE$3005,請求記録!$B$6:$B$3005,$A177,請求記録!$Z$6:$Z$3005,R$5))))</f>
        <v/>
      </c>
      <c r="S177" s="19">
        <f>IF($A177="","",IF(COUNTIFS(請求記録!$B$6:$B$3005,$A177,請求記録!$Z$6:$Z$3005,S$5,請求記録!$AF$6:$AF$3005,"保留中")&gt;0,"保留",IF(COUNTIFS(請求記録!$B$6:$B$3005,$A177,請求記録!$Z$6:$Z$3005,S$5)=0,"",SUMIFS(請求記録!$AE$6:$AE$3005,請求記録!$B$6:$B$3005,$A177,請求記録!$Z$6:$Z$3005,S$5))))</f>
        <v/>
      </c>
      <c r="T177" s="19">
        <f>IF($A177="","",IF(COUNTIFS(請求記録!$B$6:$B$3005,$A177,請求記録!$Z$6:$Z$3005,T$5,請求記録!$AF$6:$AF$3005,"保留中")&gt;0,"保留",IF(COUNTIFS(請求記録!$B$6:$B$3005,$A177,請求記録!$Z$6:$Z$3005,T$5)=0,"",SUMIFS(請求記録!$AE$6:$AE$3005,請求記録!$B$6:$B$3005,$A177,請求記録!$Z$6:$Z$3005,T$5))))</f>
        <v/>
      </c>
      <c r="U177" s="19">
        <f>IF($A177="","",IF(COUNTIFS(請求記録!$B$6:$B$3005,$A177,請求記録!$Z$6:$Z$3005,U$5,請求記録!$AF$6:$AF$3005,"保留中")&gt;0,"保留",IF(COUNTIFS(請求記録!$B$6:$B$3005,$A177,請求記録!$Z$6:$Z$3005,U$5)=0,"",SUMIFS(請求記録!$AE$6:$AE$3005,請求記録!$B$6:$B$3005,$A177,請求記録!$Z$6:$Z$3005,U$5))))</f>
        <v/>
      </c>
      <c r="V177" s="19">
        <f>IF($A177="","",IF(COUNTIFS(請求記録!$B$6:$B$3005,$A177,請求記録!$Z$6:$Z$3005,V$5,請求記録!$AF$6:$AF$3005,"保留中")&gt;0,"保留",IF(COUNTIFS(請求記録!$B$6:$B$3005,$A177,請求記録!$Z$6:$Z$3005,V$5)=0,"",SUMIFS(請求記録!$AE$6:$AE$3005,請求記録!$B$6:$B$3005,$A177,請求記録!$Z$6:$Z$3005,V$5))))</f>
        <v/>
      </c>
      <c r="W177" s="19">
        <f>IF($A177="","",IF(COUNTIFS(請求記録!$B$6:$B$3005,$A177,請求記録!$Z$6:$Z$3005,W$5,請求記録!$AF$6:$AF$3005,"保留中")&gt;0,"保留",IF(COUNTIFS(請求記録!$B$6:$B$3005,$A177,請求記録!$Z$6:$Z$3005,W$5)=0,"",SUMIFS(請求記録!$AE$6:$AE$3005,請求記録!$B$6:$B$3005,$A177,請求記録!$Z$6:$Z$3005,W$5))))</f>
        <v/>
      </c>
      <c r="X177" s="19">
        <f>IF($A177="","",IF(COUNTIFS(請求記録!$B$6:$B$3005,$A177,請求記録!$Z$6:$Z$3005,X$5,請求記録!$AF$6:$AF$3005,"保留中")&gt;0,"保留",IF(COUNTIFS(請求記録!$B$6:$B$3005,$A177,請求記録!$Z$6:$Z$3005,X$5)=0,"",SUMIFS(請求記録!$AE$6:$AE$3005,請求記録!$B$6:$B$3005,$A177,請求記録!$Z$6:$Z$3005,X$5))))</f>
        <v/>
      </c>
      <c r="Y177" s="19">
        <f>IF($A177="","",IF(COUNTIFS(請求記録!$B$6:$B$3005,$A177,請求記録!$Z$6:$Z$3005,Y$5,請求記録!$AF$6:$AF$3005,"保留中")&gt;0,"保留",IF(COUNTIFS(請求記録!$B$6:$B$3005,$A177,請求記録!$Z$6:$Z$3005,Y$5)=0,"",SUMIFS(請求記録!$AE$6:$AE$3005,請求記録!$B$6:$B$3005,$A177,請求記録!$Z$6:$Z$3005,Y$5))))</f>
        <v/>
      </c>
      <c r="Z177" s="19">
        <f>IF($A177="","",IF(COUNTIFS(請求記録!$B$6:$B$3005,$A177,請求記録!$Z$6:$Z$3005,Z$5,請求記録!$AF$6:$AF$3005,"保留中")&gt;0,"保留",IF(COUNTIFS(請求記録!$B$6:$B$3005,$A177,請求記録!$Z$6:$Z$3005,Z$5)=0,"",SUMIFS(請求記録!$AE$6:$AE$3005,請求記録!$B$6:$B$3005,$A177,請求記録!$Z$6:$Z$3005,Z$5))))</f>
        <v/>
      </c>
      <c r="AA177" s="19">
        <f>IF($A177="","",IF(COUNTIFS(請求記録!$B$6:$B$3005,$A177,請求記録!$Z$6:$Z$3005,AA$5,請求記録!$AF$6:$AF$3005,"保留中")&gt;0,"保留",IF(COUNTIFS(請求記録!$B$6:$B$3005,$A177,請求記録!$Z$6:$Z$3005,AA$5)=0,"",SUMIFS(請求記録!$AE$6:$AE$3005,請求記録!$B$6:$B$3005,$A177,請求記録!$Z$6:$Z$3005,AA$5))))</f>
        <v/>
      </c>
      <c r="AB177">
        <f>IF(職員マスタ!P177="保留中",職員マスタ!M177,"")</f>
        <v/>
      </c>
    </row>
    <row r="178">
      <c r="A178">
        <f>IF(職員マスタ!A178="","",職員マスタ!A178)</f>
        <v/>
      </c>
      <c r="B178">
        <f>IF($A178="","",職員マスタ!B178)</f>
        <v/>
      </c>
      <c r="C178">
        <f>IF($A178="","",職員マスタ!C178)</f>
        <v/>
      </c>
      <c r="D178" s="19">
        <f>IF($A178="","",IF(COUNTIFS(請求記録!$B$6:$B$3005,$A178,請求記録!$Z$6:$Z$3005,D$5,請求記録!$AF$6:$AF$3005,"保留中")&gt;0,"保留",IF(COUNTIFS(請求記録!$B$6:$B$3005,$A178,請求記録!$Z$6:$Z$3005,D$5)=0,"",SUMIFS(請求記録!$AE$6:$AE$3005,請求記録!$B$6:$B$3005,$A178,請求記録!$Z$6:$Z$3005,D$5))))</f>
        <v/>
      </c>
      <c r="E178" s="19">
        <f>IF($A178="","",IF(COUNTIFS(請求記録!$B$6:$B$3005,$A178,請求記録!$Z$6:$Z$3005,E$5,請求記録!$AF$6:$AF$3005,"保留中")&gt;0,"保留",IF(COUNTIFS(請求記録!$B$6:$B$3005,$A178,請求記録!$Z$6:$Z$3005,E$5)=0,"",SUMIFS(請求記録!$AE$6:$AE$3005,請求記録!$B$6:$B$3005,$A178,請求記録!$Z$6:$Z$3005,E$5))))</f>
        <v/>
      </c>
      <c r="F178" s="19">
        <f>IF($A178="","",IF(COUNTIFS(請求記録!$B$6:$B$3005,$A178,請求記録!$Z$6:$Z$3005,F$5,請求記録!$AF$6:$AF$3005,"保留中")&gt;0,"保留",IF(COUNTIFS(請求記録!$B$6:$B$3005,$A178,請求記録!$Z$6:$Z$3005,F$5)=0,"",SUMIFS(請求記録!$AE$6:$AE$3005,請求記録!$B$6:$B$3005,$A178,請求記録!$Z$6:$Z$3005,F$5))))</f>
        <v/>
      </c>
      <c r="G178" s="19">
        <f>IF($A178="","",IF(COUNTIFS(請求記録!$B$6:$B$3005,$A178,請求記録!$Z$6:$Z$3005,G$5,請求記録!$AF$6:$AF$3005,"保留中")&gt;0,"保留",IF(COUNTIFS(請求記録!$B$6:$B$3005,$A178,請求記録!$Z$6:$Z$3005,G$5)=0,"",SUMIFS(請求記録!$AE$6:$AE$3005,請求記録!$B$6:$B$3005,$A178,請求記録!$Z$6:$Z$3005,G$5))))</f>
        <v/>
      </c>
      <c r="H178" s="19">
        <f>IF($A178="","",IF(COUNTIFS(請求記録!$B$6:$B$3005,$A178,請求記録!$Z$6:$Z$3005,H$5,請求記録!$AF$6:$AF$3005,"保留中")&gt;0,"保留",IF(COUNTIFS(請求記録!$B$6:$B$3005,$A178,請求記録!$Z$6:$Z$3005,H$5)=0,"",SUMIFS(請求記録!$AE$6:$AE$3005,請求記録!$B$6:$B$3005,$A178,請求記録!$Z$6:$Z$3005,H$5))))</f>
        <v/>
      </c>
      <c r="I178" s="19">
        <f>IF($A178="","",IF(COUNTIFS(請求記録!$B$6:$B$3005,$A178,請求記録!$Z$6:$Z$3005,I$5,請求記録!$AF$6:$AF$3005,"保留中")&gt;0,"保留",IF(COUNTIFS(請求記録!$B$6:$B$3005,$A178,請求記録!$Z$6:$Z$3005,I$5)=0,"",SUMIFS(請求記録!$AE$6:$AE$3005,請求記録!$B$6:$B$3005,$A178,請求記録!$Z$6:$Z$3005,I$5))))</f>
        <v/>
      </c>
      <c r="J178" s="19">
        <f>IF($A178="","",IF(COUNTIFS(請求記録!$B$6:$B$3005,$A178,請求記録!$Z$6:$Z$3005,J$5,請求記録!$AF$6:$AF$3005,"保留中")&gt;0,"保留",IF(COUNTIFS(請求記録!$B$6:$B$3005,$A178,請求記録!$Z$6:$Z$3005,J$5)=0,"",SUMIFS(請求記録!$AE$6:$AE$3005,請求記録!$B$6:$B$3005,$A178,請求記録!$Z$6:$Z$3005,J$5))))</f>
        <v/>
      </c>
      <c r="K178" s="19">
        <f>IF($A178="","",IF(COUNTIFS(請求記録!$B$6:$B$3005,$A178,請求記録!$Z$6:$Z$3005,K$5,請求記録!$AF$6:$AF$3005,"保留中")&gt;0,"保留",IF(COUNTIFS(請求記録!$B$6:$B$3005,$A178,請求記録!$Z$6:$Z$3005,K$5)=0,"",SUMIFS(請求記録!$AE$6:$AE$3005,請求記録!$B$6:$B$3005,$A178,請求記録!$Z$6:$Z$3005,K$5))))</f>
        <v/>
      </c>
      <c r="L178" s="19">
        <f>IF($A178="","",IF(COUNTIFS(請求記録!$B$6:$B$3005,$A178,請求記録!$Z$6:$Z$3005,L$5,請求記録!$AF$6:$AF$3005,"保留中")&gt;0,"保留",IF(COUNTIFS(請求記録!$B$6:$B$3005,$A178,請求記録!$Z$6:$Z$3005,L$5)=0,"",SUMIFS(請求記録!$AE$6:$AE$3005,請求記録!$B$6:$B$3005,$A178,請求記録!$Z$6:$Z$3005,L$5))))</f>
        <v/>
      </c>
      <c r="M178" s="19">
        <f>IF($A178="","",IF(COUNTIFS(請求記録!$B$6:$B$3005,$A178,請求記録!$Z$6:$Z$3005,M$5,請求記録!$AF$6:$AF$3005,"保留中")&gt;0,"保留",IF(COUNTIFS(請求記録!$B$6:$B$3005,$A178,請求記録!$Z$6:$Z$3005,M$5)=0,"",SUMIFS(請求記録!$AE$6:$AE$3005,請求記録!$B$6:$B$3005,$A178,請求記録!$Z$6:$Z$3005,M$5))))</f>
        <v/>
      </c>
      <c r="N178" s="19">
        <f>IF($A178="","",IF(COUNTIFS(請求記録!$B$6:$B$3005,$A178,請求記録!$Z$6:$Z$3005,N$5,請求記録!$AF$6:$AF$3005,"保留中")&gt;0,"保留",IF(COUNTIFS(請求記録!$B$6:$B$3005,$A178,請求記録!$Z$6:$Z$3005,N$5)=0,"",SUMIFS(請求記録!$AE$6:$AE$3005,請求記録!$B$6:$B$3005,$A178,請求記録!$Z$6:$Z$3005,N$5))))</f>
        <v/>
      </c>
      <c r="O178" s="19">
        <f>IF($A178="","",IF(COUNTIFS(請求記録!$B$6:$B$3005,$A178,請求記録!$Z$6:$Z$3005,O$5,請求記録!$AF$6:$AF$3005,"保留中")&gt;0,"保留",IF(COUNTIFS(請求記録!$B$6:$B$3005,$A178,請求記録!$Z$6:$Z$3005,O$5)=0,"",SUMIFS(請求記録!$AE$6:$AE$3005,請求記録!$B$6:$B$3005,$A178,請求記録!$Z$6:$Z$3005,O$5))))</f>
        <v/>
      </c>
      <c r="P178" s="19">
        <f>IF($A178="","",IF(COUNTIFS(請求記録!$B$6:$B$3005,$A178,請求記録!$Z$6:$Z$3005,P$5,請求記録!$AF$6:$AF$3005,"保留中")&gt;0,"保留",IF(COUNTIFS(請求記録!$B$6:$B$3005,$A178,請求記録!$Z$6:$Z$3005,P$5)=0,"",SUMIFS(請求記録!$AE$6:$AE$3005,請求記録!$B$6:$B$3005,$A178,請求記録!$Z$6:$Z$3005,P$5))))</f>
        <v/>
      </c>
      <c r="Q178" s="19">
        <f>IF($A178="","",IF(COUNTIFS(請求記録!$B$6:$B$3005,$A178,請求記録!$Z$6:$Z$3005,Q$5,請求記録!$AF$6:$AF$3005,"保留中")&gt;0,"保留",IF(COUNTIFS(請求記録!$B$6:$B$3005,$A178,請求記録!$Z$6:$Z$3005,Q$5)=0,"",SUMIFS(請求記録!$AE$6:$AE$3005,請求記録!$B$6:$B$3005,$A178,請求記録!$Z$6:$Z$3005,Q$5))))</f>
        <v/>
      </c>
      <c r="R178" s="19">
        <f>IF($A178="","",IF(COUNTIFS(請求記録!$B$6:$B$3005,$A178,請求記録!$Z$6:$Z$3005,R$5,請求記録!$AF$6:$AF$3005,"保留中")&gt;0,"保留",IF(COUNTIFS(請求記録!$B$6:$B$3005,$A178,請求記録!$Z$6:$Z$3005,R$5)=0,"",SUMIFS(請求記録!$AE$6:$AE$3005,請求記録!$B$6:$B$3005,$A178,請求記録!$Z$6:$Z$3005,R$5))))</f>
        <v/>
      </c>
      <c r="S178" s="19">
        <f>IF($A178="","",IF(COUNTIFS(請求記録!$B$6:$B$3005,$A178,請求記録!$Z$6:$Z$3005,S$5,請求記録!$AF$6:$AF$3005,"保留中")&gt;0,"保留",IF(COUNTIFS(請求記録!$B$6:$B$3005,$A178,請求記録!$Z$6:$Z$3005,S$5)=0,"",SUMIFS(請求記録!$AE$6:$AE$3005,請求記録!$B$6:$B$3005,$A178,請求記録!$Z$6:$Z$3005,S$5))))</f>
        <v/>
      </c>
      <c r="T178" s="19">
        <f>IF($A178="","",IF(COUNTIFS(請求記録!$B$6:$B$3005,$A178,請求記録!$Z$6:$Z$3005,T$5,請求記録!$AF$6:$AF$3005,"保留中")&gt;0,"保留",IF(COUNTIFS(請求記録!$B$6:$B$3005,$A178,請求記録!$Z$6:$Z$3005,T$5)=0,"",SUMIFS(請求記録!$AE$6:$AE$3005,請求記録!$B$6:$B$3005,$A178,請求記録!$Z$6:$Z$3005,T$5))))</f>
        <v/>
      </c>
      <c r="U178" s="19">
        <f>IF($A178="","",IF(COUNTIFS(請求記録!$B$6:$B$3005,$A178,請求記録!$Z$6:$Z$3005,U$5,請求記録!$AF$6:$AF$3005,"保留中")&gt;0,"保留",IF(COUNTIFS(請求記録!$B$6:$B$3005,$A178,請求記録!$Z$6:$Z$3005,U$5)=0,"",SUMIFS(請求記録!$AE$6:$AE$3005,請求記録!$B$6:$B$3005,$A178,請求記録!$Z$6:$Z$3005,U$5))))</f>
        <v/>
      </c>
      <c r="V178" s="19">
        <f>IF($A178="","",IF(COUNTIFS(請求記録!$B$6:$B$3005,$A178,請求記録!$Z$6:$Z$3005,V$5,請求記録!$AF$6:$AF$3005,"保留中")&gt;0,"保留",IF(COUNTIFS(請求記録!$B$6:$B$3005,$A178,請求記録!$Z$6:$Z$3005,V$5)=0,"",SUMIFS(請求記録!$AE$6:$AE$3005,請求記録!$B$6:$B$3005,$A178,請求記録!$Z$6:$Z$3005,V$5))))</f>
        <v/>
      </c>
      <c r="W178" s="19">
        <f>IF($A178="","",IF(COUNTIFS(請求記録!$B$6:$B$3005,$A178,請求記録!$Z$6:$Z$3005,W$5,請求記録!$AF$6:$AF$3005,"保留中")&gt;0,"保留",IF(COUNTIFS(請求記録!$B$6:$B$3005,$A178,請求記録!$Z$6:$Z$3005,W$5)=0,"",SUMIFS(請求記録!$AE$6:$AE$3005,請求記録!$B$6:$B$3005,$A178,請求記録!$Z$6:$Z$3005,W$5))))</f>
        <v/>
      </c>
      <c r="X178" s="19">
        <f>IF($A178="","",IF(COUNTIFS(請求記録!$B$6:$B$3005,$A178,請求記録!$Z$6:$Z$3005,X$5,請求記録!$AF$6:$AF$3005,"保留中")&gt;0,"保留",IF(COUNTIFS(請求記録!$B$6:$B$3005,$A178,請求記録!$Z$6:$Z$3005,X$5)=0,"",SUMIFS(請求記録!$AE$6:$AE$3005,請求記録!$B$6:$B$3005,$A178,請求記録!$Z$6:$Z$3005,X$5))))</f>
        <v/>
      </c>
      <c r="Y178" s="19">
        <f>IF($A178="","",IF(COUNTIFS(請求記録!$B$6:$B$3005,$A178,請求記録!$Z$6:$Z$3005,Y$5,請求記録!$AF$6:$AF$3005,"保留中")&gt;0,"保留",IF(COUNTIFS(請求記録!$B$6:$B$3005,$A178,請求記録!$Z$6:$Z$3005,Y$5)=0,"",SUMIFS(請求記録!$AE$6:$AE$3005,請求記録!$B$6:$B$3005,$A178,請求記録!$Z$6:$Z$3005,Y$5))))</f>
        <v/>
      </c>
      <c r="Z178" s="19">
        <f>IF($A178="","",IF(COUNTIFS(請求記録!$B$6:$B$3005,$A178,請求記録!$Z$6:$Z$3005,Z$5,請求記録!$AF$6:$AF$3005,"保留中")&gt;0,"保留",IF(COUNTIFS(請求記録!$B$6:$B$3005,$A178,請求記録!$Z$6:$Z$3005,Z$5)=0,"",SUMIFS(請求記録!$AE$6:$AE$3005,請求記録!$B$6:$B$3005,$A178,請求記録!$Z$6:$Z$3005,Z$5))))</f>
        <v/>
      </c>
      <c r="AA178" s="19">
        <f>IF($A178="","",IF(COUNTIFS(請求記録!$B$6:$B$3005,$A178,請求記録!$Z$6:$Z$3005,AA$5,請求記録!$AF$6:$AF$3005,"保留中")&gt;0,"保留",IF(COUNTIFS(請求記録!$B$6:$B$3005,$A178,請求記録!$Z$6:$Z$3005,AA$5)=0,"",SUMIFS(請求記録!$AE$6:$AE$3005,請求記録!$B$6:$B$3005,$A178,請求記録!$Z$6:$Z$3005,AA$5))))</f>
        <v/>
      </c>
      <c r="AB178">
        <f>IF(職員マスタ!P178="保留中",職員マスタ!M178,"")</f>
        <v/>
      </c>
    </row>
    <row r="179">
      <c r="A179">
        <f>IF(職員マスタ!A179="","",職員マスタ!A179)</f>
        <v/>
      </c>
      <c r="B179">
        <f>IF($A179="","",職員マスタ!B179)</f>
        <v/>
      </c>
      <c r="C179">
        <f>IF($A179="","",職員マスタ!C179)</f>
        <v/>
      </c>
      <c r="D179" s="19">
        <f>IF($A179="","",IF(COUNTIFS(請求記録!$B$6:$B$3005,$A179,請求記録!$Z$6:$Z$3005,D$5,請求記録!$AF$6:$AF$3005,"保留中")&gt;0,"保留",IF(COUNTIFS(請求記録!$B$6:$B$3005,$A179,請求記録!$Z$6:$Z$3005,D$5)=0,"",SUMIFS(請求記録!$AE$6:$AE$3005,請求記録!$B$6:$B$3005,$A179,請求記録!$Z$6:$Z$3005,D$5))))</f>
        <v/>
      </c>
      <c r="E179" s="19">
        <f>IF($A179="","",IF(COUNTIFS(請求記録!$B$6:$B$3005,$A179,請求記録!$Z$6:$Z$3005,E$5,請求記録!$AF$6:$AF$3005,"保留中")&gt;0,"保留",IF(COUNTIFS(請求記録!$B$6:$B$3005,$A179,請求記録!$Z$6:$Z$3005,E$5)=0,"",SUMIFS(請求記録!$AE$6:$AE$3005,請求記録!$B$6:$B$3005,$A179,請求記録!$Z$6:$Z$3005,E$5))))</f>
        <v/>
      </c>
      <c r="F179" s="19">
        <f>IF($A179="","",IF(COUNTIFS(請求記録!$B$6:$B$3005,$A179,請求記録!$Z$6:$Z$3005,F$5,請求記録!$AF$6:$AF$3005,"保留中")&gt;0,"保留",IF(COUNTIFS(請求記録!$B$6:$B$3005,$A179,請求記録!$Z$6:$Z$3005,F$5)=0,"",SUMIFS(請求記録!$AE$6:$AE$3005,請求記録!$B$6:$B$3005,$A179,請求記録!$Z$6:$Z$3005,F$5))))</f>
        <v/>
      </c>
      <c r="G179" s="19">
        <f>IF($A179="","",IF(COUNTIFS(請求記録!$B$6:$B$3005,$A179,請求記録!$Z$6:$Z$3005,G$5,請求記録!$AF$6:$AF$3005,"保留中")&gt;0,"保留",IF(COUNTIFS(請求記録!$B$6:$B$3005,$A179,請求記録!$Z$6:$Z$3005,G$5)=0,"",SUMIFS(請求記録!$AE$6:$AE$3005,請求記録!$B$6:$B$3005,$A179,請求記録!$Z$6:$Z$3005,G$5))))</f>
        <v/>
      </c>
      <c r="H179" s="19">
        <f>IF($A179="","",IF(COUNTIFS(請求記録!$B$6:$B$3005,$A179,請求記録!$Z$6:$Z$3005,H$5,請求記録!$AF$6:$AF$3005,"保留中")&gt;0,"保留",IF(COUNTIFS(請求記録!$B$6:$B$3005,$A179,請求記録!$Z$6:$Z$3005,H$5)=0,"",SUMIFS(請求記録!$AE$6:$AE$3005,請求記録!$B$6:$B$3005,$A179,請求記録!$Z$6:$Z$3005,H$5))))</f>
        <v/>
      </c>
      <c r="I179" s="19">
        <f>IF($A179="","",IF(COUNTIFS(請求記録!$B$6:$B$3005,$A179,請求記録!$Z$6:$Z$3005,I$5,請求記録!$AF$6:$AF$3005,"保留中")&gt;0,"保留",IF(COUNTIFS(請求記録!$B$6:$B$3005,$A179,請求記録!$Z$6:$Z$3005,I$5)=0,"",SUMIFS(請求記録!$AE$6:$AE$3005,請求記録!$B$6:$B$3005,$A179,請求記録!$Z$6:$Z$3005,I$5))))</f>
        <v/>
      </c>
      <c r="J179" s="19">
        <f>IF($A179="","",IF(COUNTIFS(請求記録!$B$6:$B$3005,$A179,請求記録!$Z$6:$Z$3005,J$5,請求記録!$AF$6:$AF$3005,"保留中")&gt;0,"保留",IF(COUNTIFS(請求記録!$B$6:$B$3005,$A179,請求記録!$Z$6:$Z$3005,J$5)=0,"",SUMIFS(請求記録!$AE$6:$AE$3005,請求記録!$B$6:$B$3005,$A179,請求記録!$Z$6:$Z$3005,J$5))))</f>
        <v/>
      </c>
      <c r="K179" s="19">
        <f>IF($A179="","",IF(COUNTIFS(請求記録!$B$6:$B$3005,$A179,請求記録!$Z$6:$Z$3005,K$5,請求記録!$AF$6:$AF$3005,"保留中")&gt;0,"保留",IF(COUNTIFS(請求記録!$B$6:$B$3005,$A179,請求記録!$Z$6:$Z$3005,K$5)=0,"",SUMIFS(請求記録!$AE$6:$AE$3005,請求記録!$B$6:$B$3005,$A179,請求記録!$Z$6:$Z$3005,K$5))))</f>
        <v/>
      </c>
      <c r="L179" s="19">
        <f>IF($A179="","",IF(COUNTIFS(請求記録!$B$6:$B$3005,$A179,請求記録!$Z$6:$Z$3005,L$5,請求記録!$AF$6:$AF$3005,"保留中")&gt;0,"保留",IF(COUNTIFS(請求記録!$B$6:$B$3005,$A179,請求記録!$Z$6:$Z$3005,L$5)=0,"",SUMIFS(請求記録!$AE$6:$AE$3005,請求記録!$B$6:$B$3005,$A179,請求記録!$Z$6:$Z$3005,L$5))))</f>
        <v/>
      </c>
      <c r="M179" s="19">
        <f>IF($A179="","",IF(COUNTIFS(請求記録!$B$6:$B$3005,$A179,請求記録!$Z$6:$Z$3005,M$5,請求記録!$AF$6:$AF$3005,"保留中")&gt;0,"保留",IF(COUNTIFS(請求記録!$B$6:$B$3005,$A179,請求記録!$Z$6:$Z$3005,M$5)=0,"",SUMIFS(請求記録!$AE$6:$AE$3005,請求記録!$B$6:$B$3005,$A179,請求記録!$Z$6:$Z$3005,M$5))))</f>
        <v/>
      </c>
      <c r="N179" s="19">
        <f>IF($A179="","",IF(COUNTIFS(請求記録!$B$6:$B$3005,$A179,請求記録!$Z$6:$Z$3005,N$5,請求記録!$AF$6:$AF$3005,"保留中")&gt;0,"保留",IF(COUNTIFS(請求記録!$B$6:$B$3005,$A179,請求記録!$Z$6:$Z$3005,N$5)=0,"",SUMIFS(請求記録!$AE$6:$AE$3005,請求記録!$B$6:$B$3005,$A179,請求記録!$Z$6:$Z$3005,N$5))))</f>
        <v/>
      </c>
      <c r="O179" s="19">
        <f>IF($A179="","",IF(COUNTIFS(請求記録!$B$6:$B$3005,$A179,請求記録!$Z$6:$Z$3005,O$5,請求記録!$AF$6:$AF$3005,"保留中")&gt;0,"保留",IF(COUNTIFS(請求記録!$B$6:$B$3005,$A179,請求記録!$Z$6:$Z$3005,O$5)=0,"",SUMIFS(請求記録!$AE$6:$AE$3005,請求記録!$B$6:$B$3005,$A179,請求記録!$Z$6:$Z$3005,O$5))))</f>
        <v/>
      </c>
      <c r="P179" s="19">
        <f>IF($A179="","",IF(COUNTIFS(請求記録!$B$6:$B$3005,$A179,請求記録!$Z$6:$Z$3005,P$5,請求記録!$AF$6:$AF$3005,"保留中")&gt;0,"保留",IF(COUNTIFS(請求記録!$B$6:$B$3005,$A179,請求記録!$Z$6:$Z$3005,P$5)=0,"",SUMIFS(請求記録!$AE$6:$AE$3005,請求記録!$B$6:$B$3005,$A179,請求記録!$Z$6:$Z$3005,P$5))))</f>
        <v/>
      </c>
      <c r="Q179" s="19">
        <f>IF($A179="","",IF(COUNTIFS(請求記録!$B$6:$B$3005,$A179,請求記録!$Z$6:$Z$3005,Q$5,請求記録!$AF$6:$AF$3005,"保留中")&gt;0,"保留",IF(COUNTIFS(請求記録!$B$6:$B$3005,$A179,請求記録!$Z$6:$Z$3005,Q$5)=0,"",SUMIFS(請求記録!$AE$6:$AE$3005,請求記録!$B$6:$B$3005,$A179,請求記録!$Z$6:$Z$3005,Q$5))))</f>
        <v/>
      </c>
      <c r="R179" s="19">
        <f>IF($A179="","",IF(COUNTIFS(請求記録!$B$6:$B$3005,$A179,請求記録!$Z$6:$Z$3005,R$5,請求記録!$AF$6:$AF$3005,"保留中")&gt;0,"保留",IF(COUNTIFS(請求記録!$B$6:$B$3005,$A179,請求記録!$Z$6:$Z$3005,R$5)=0,"",SUMIFS(請求記録!$AE$6:$AE$3005,請求記録!$B$6:$B$3005,$A179,請求記録!$Z$6:$Z$3005,R$5))))</f>
        <v/>
      </c>
      <c r="S179" s="19">
        <f>IF($A179="","",IF(COUNTIFS(請求記録!$B$6:$B$3005,$A179,請求記録!$Z$6:$Z$3005,S$5,請求記録!$AF$6:$AF$3005,"保留中")&gt;0,"保留",IF(COUNTIFS(請求記録!$B$6:$B$3005,$A179,請求記録!$Z$6:$Z$3005,S$5)=0,"",SUMIFS(請求記録!$AE$6:$AE$3005,請求記録!$B$6:$B$3005,$A179,請求記録!$Z$6:$Z$3005,S$5))))</f>
        <v/>
      </c>
      <c r="T179" s="19">
        <f>IF($A179="","",IF(COUNTIFS(請求記録!$B$6:$B$3005,$A179,請求記録!$Z$6:$Z$3005,T$5,請求記録!$AF$6:$AF$3005,"保留中")&gt;0,"保留",IF(COUNTIFS(請求記録!$B$6:$B$3005,$A179,請求記録!$Z$6:$Z$3005,T$5)=0,"",SUMIFS(請求記録!$AE$6:$AE$3005,請求記録!$B$6:$B$3005,$A179,請求記録!$Z$6:$Z$3005,T$5))))</f>
        <v/>
      </c>
      <c r="U179" s="19">
        <f>IF($A179="","",IF(COUNTIFS(請求記録!$B$6:$B$3005,$A179,請求記録!$Z$6:$Z$3005,U$5,請求記録!$AF$6:$AF$3005,"保留中")&gt;0,"保留",IF(COUNTIFS(請求記録!$B$6:$B$3005,$A179,請求記録!$Z$6:$Z$3005,U$5)=0,"",SUMIFS(請求記録!$AE$6:$AE$3005,請求記録!$B$6:$B$3005,$A179,請求記録!$Z$6:$Z$3005,U$5))))</f>
        <v/>
      </c>
      <c r="V179" s="19">
        <f>IF($A179="","",IF(COUNTIFS(請求記録!$B$6:$B$3005,$A179,請求記録!$Z$6:$Z$3005,V$5,請求記録!$AF$6:$AF$3005,"保留中")&gt;0,"保留",IF(COUNTIFS(請求記録!$B$6:$B$3005,$A179,請求記録!$Z$6:$Z$3005,V$5)=0,"",SUMIFS(請求記録!$AE$6:$AE$3005,請求記録!$B$6:$B$3005,$A179,請求記録!$Z$6:$Z$3005,V$5))))</f>
        <v/>
      </c>
      <c r="W179" s="19">
        <f>IF($A179="","",IF(COUNTIFS(請求記録!$B$6:$B$3005,$A179,請求記録!$Z$6:$Z$3005,W$5,請求記録!$AF$6:$AF$3005,"保留中")&gt;0,"保留",IF(COUNTIFS(請求記録!$B$6:$B$3005,$A179,請求記録!$Z$6:$Z$3005,W$5)=0,"",SUMIFS(請求記録!$AE$6:$AE$3005,請求記録!$B$6:$B$3005,$A179,請求記録!$Z$6:$Z$3005,W$5))))</f>
        <v/>
      </c>
      <c r="X179" s="19">
        <f>IF($A179="","",IF(COUNTIFS(請求記録!$B$6:$B$3005,$A179,請求記録!$Z$6:$Z$3005,X$5,請求記録!$AF$6:$AF$3005,"保留中")&gt;0,"保留",IF(COUNTIFS(請求記録!$B$6:$B$3005,$A179,請求記録!$Z$6:$Z$3005,X$5)=0,"",SUMIFS(請求記録!$AE$6:$AE$3005,請求記録!$B$6:$B$3005,$A179,請求記録!$Z$6:$Z$3005,X$5))))</f>
        <v/>
      </c>
      <c r="Y179" s="19">
        <f>IF($A179="","",IF(COUNTIFS(請求記録!$B$6:$B$3005,$A179,請求記録!$Z$6:$Z$3005,Y$5,請求記録!$AF$6:$AF$3005,"保留中")&gt;0,"保留",IF(COUNTIFS(請求記録!$B$6:$B$3005,$A179,請求記録!$Z$6:$Z$3005,Y$5)=0,"",SUMIFS(請求記録!$AE$6:$AE$3005,請求記録!$B$6:$B$3005,$A179,請求記録!$Z$6:$Z$3005,Y$5))))</f>
        <v/>
      </c>
      <c r="Z179" s="19">
        <f>IF($A179="","",IF(COUNTIFS(請求記録!$B$6:$B$3005,$A179,請求記録!$Z$6:$Z$3005,Z$5,請求記録!$AF$6:$AF$3005,"保留中")&gt;0,"保留",IF(COUNTIFS(請求記録!$B$6:$B$3005,$A179,請求記録!$Z$6:$Z$3005,Z$5)=0,"",SUMIFS(請求記録!$AE$6:$AE$3005,請求記録!$B$6:$B$3005,$A179,請求記録!$Z$6:$Z$3005,Z$5))))</f>
        <v/>
      </c>
      <c r="AA179" s="19">
        <f>IF($A179="","",IF(COUNTIFS(請求記録!$B$6:$B$3005,$A179,請求記録!$Z$6:$Z$3005,AA$5,請求記録!$AF$6:$AF$3005,"保留中")&gt;0,"保留",IF(COUNTIFS(請求記録!$B$6:$B$3005,$A179,請求記録!$Z$6:$Z$3005,AA$5)=0,"",SUMIFS(請求記録!$AE$6:$AE$3005,請求記録!$B$6:$B$3005,$A179,請求記録!$Z$6:$Z$3005,AA$5))))</f>
        <v/>
      </c>
      <c r="AB179">
        <f>IF(職員マスタ!P179="保留中",職員マスタ!M179,"")</f>
        <v/>
      </c>
    </row>
    <row r="180">
      <c r="A180">
        <f>IF(職員マスタ!A180="","",職員マスタ!A180)</f>
        <v/>
      </c>
      <c r="B180">
        <f>IF($A180="","",職員マスタ!B180)</f>
        <v/>
      </c>
      <c r="C180">
        <f>IF($A180="","",職員マスタ!C180)</f>
        <v/>
      </c>
      <c r="D180" s="19">
        <f>IF($A180="","",IF(COUNTIFS(請求記録!$B$6:$B$3005,$A180,請求記録!$Z$6:$Z$3005,D$5,請求記録!$AF$6:$AF$3005,"保留中")&gt;0,"保留",IF(COUNTIFS(請求記録!$B$6:$B$3005,$A180,請求記録!$Z$6:$Z$3005,D$5)=0,"",SUMIFS(請求記録!$AE$6:$AE$3005,請求記録!$B$6:$B$3005,$A180,請求記録!$Z$6:$Z$3005,D$5))))</f>
        <v/>
      </c>
      <c r="E180" s="19">
        <f>IF($A180="","",IF(COUNTIFS(請求記録!$B$6:$B$3005,$A180,請求記録!$Z$6:$Z$3005,E$5,請求記録!$AF$6:$AF$3005,"保留中")&gt;0,"保留",IF(COUNTIFS(請求記録!$B$6:$B$3005,$A180,請求記録!$Z$6:$Z$3005,E$5)=0,"",SUMIFS(請求記録!$AE$6:$AE$3005,請求記録!$B$6:$B$3005,$A180,請求記録!$Z$6:$Z$3005,E$5))))</f>
        <v/>
      </c>
      <c r="F180" s="19">
        <f>IF($A180="","",IF(COUNTIFS(請求記録!$B$6:$B$3005,$A180,請求記録!$Z$6:$Z$3005,F$5,請求記録!$AF$6:$AF$3005,"保留中")&gt;0,"保留",IF(COUNTIFS(請求記録!$B$6:$B$3005,$A180,請求記録!$Z$6:$Z$3005,F$5)=0,"",SUMIFS(請求記録!$AE$6:$AE$3005,請求記録!$B$6:$B$3005,$A180,請求記録!$Z$6:$Z$3005,F$5))))</f>
        <v/>
      </c>
      <c r="G180" s="19">
        <f>IF($A180="","",IF(COUNTIFS(請求記録!$B$6:$B$3005,$A180,請求記録!$Z$6:$Z$3005,G$5,請求記録!$AF$6:$AF$3005,"保留中")&gt;0,"保留",IF(COUNTIFS(請求記録!$B$6:$B$3005,$A180,請求記録!$Z$6:$Z$3005,G$5)=0,"",SUMIFS(請求記録!$AE$6:$AE$3005,請求記録!$B$6:$B$3005,$A180,請求記録!$Z$6:$Z$3005,G$5))))</f>
        <v/>
      </c>
      <c r="H180" s="19">
        <f>IF($A180="","",IF(COUNTIFS(請求記録!$B$6:$B$3005,$A180,請求記録!$Z$6:$Z$3005,H$5,請求記録!$AF$6:$AF$3005,"保留中")&gt;0,"保留",IF(COUNTIFS(請求記録!$B$6:$B$3005,$A180,請求記録!$Z$6:$Z$3005,H$5)=0,"",SUMIFS(請求記録!$AE$6:$AE$3005,請求記録!$B$6:$B$3005,$A180,請求記録!$Z$6:$Z$3005,H$5))))</f>
        <v/>
      </c>
      <c r="I180" s="19">
        <f>IF($A180="","",IF(COUNTIFS(請求記録!$B$6:$B$3005,$A180,請求記録!$Z$6:$Z$3005,I$5,請求記録!$AF$6:$AF$3005,"保留中")&gt;0,"保留",IF(COUNTIFS(請求記録!$B$6:$B$3005,$A180,請求記録!$Z$6:$Z$3005,I$5)=0,"",SUMIFS(請求記録!$AE$6:$AE$3005,請求記録!$B$6:$B$3005,$A180,請求記録!$Z$6:$Z$3005,I$5))))</f>
        <v/>
      </c>
      <c r="J180" s="19">
        <f>IF($A180="","",IF(COUNTIFS(請求記録!$B$6:$B$3005,$A180,請求記録!$Z$6:$Z$3005,J$5,請求記録!$AF$6:$AF$3005,"保留中")&gt;0,"保留",IF(COUNTIFS(請求記録!$B$6:$B$3005,$A180,請求記録!$Z$6:$Z$3005,J$5)=0,"",SUMIFS(請求記録!$AE$6:$AE$3005,請求記録!$B$6:$B$3005,$A180,請求記録!$Z$6:$Z$3005,J$5))))</f>
        <v/>
      </c>
      <c r="K180" s="19">
        <f>IF($A180="","",IF(COUNTIFS(請求記録!$B$6:$B$3005,$A180,請求記録!$Z$6:$Z$3005,K$5,請求記録!$AF$6:$AF$3005,"保留中")&gt;0,"保留",IF(COUNTIFS(請求記録!$B$6:$B$3005,$A180,請求記録!$Z$6:$Z$3005,K$5)=0,"",SUMIFS(請求記録!$AE$6:$AE$3005,請求記録!$B$6:$B$3005,$A180,請求記録!$Z$6:$Z$3005,K$5))))</f>
        <v/>
      </c>
      <c r="L180" s="19">
        <f>IF($A180="","",IF(COUNTIFS(請求記録!$B$6:$B$3005,$A180,請求記録!$Z$6:$Z$3005,L$5,請求記録!$AF$6:$AF$3005,"保留中")&gt;0,"保留",IF(COUNTIFS(請求記録!$B$6:$B$3005,$A180,請求記録!$Z$6:$Z$3005,L$5)=0,"",SUMIFS(請求記録!$AE$6:$AE$3005,請求記録!$B$6:$B$3005,$A180,請求記録!$Z$6:$Z$3005,L$5))))</f>
        <v/>
      </c>
      <c r="M180" s="19">
        <f>IF($A180="","",IF(COUNTIFS(請求記録!$B$6:$B$3005,$A180,請求記録!$Z$6:$Z$3005,M$5,請求記録!$AF$6:$AF$3005,"保留中")&gt;0,"保留",IF(COUNTIFS(請求記録!$B$6:$B$3005,$A180,請求記録!$Z$6:$Z$3005,M$5)=0,"",SUMIFS(請求記録!$AE$6:$AE$3005,請求記録!$B$6:$B$3005,$A180,請求記録!$Z$6:$Z$3005,M$5))))</f>
        <v/>
      </c>
      <c r="N180" s="19">
        <f>IF($A180="","",IF(COUNTIFS(請求記録!$B$6:$B$3005,$A180,請求記録!$Z$6:$Z$3005,N$5,請求記録!$AF$6:$AF$3005,"保留中")&gt;0,"保留",IF(COUNTIFS(請求記録!$B$6:$B$3005,$A180,請求記録!$Z$6:$Z$3005,N$5)=0,"",SUMIFS(請求記録!$AE$6:$AE$3005,請求記録!$B$6:$B$3005,$A180,請求記録!$Z$6:$Z$3005,N$5))))</f>
        <v/>
      </c>
      <c r="O180" s="19">
        <f>IF($A180="","",IF(COUNTIFS(請求記録!$B$6:$B$3005,$A180,請求記録!$Z$6:$Z$3005,O$5,請求記録!$AF$6:$AF$3005,"保留中")&gt;0,"保留",IF(COUNTIFS(請求記録!$B$6:$B$3005,$A180,請求記録!$Z$6:$Z$3005,O$5)=0,"",SUMIFS(請求記録!$AE$6:$AE$3005,請求記録!$B$6:$B$3005,$A180,請求記録!$Z$6:$Z$3005,O$5))))</f>
        <v/>
      </c>
      <c r="P180" s="19">
        <f>IF($A180="","",IF(COUNTIFS(請求記録!$B$6:$B$3005,$A180,請求記録!$Z$6:$Z$3005,P$5,請求記録!$AF$6:$AF$3005,"保留中")&gt;0,"保留",IF(COUNTIFS(請求記録!$B$6:$B$3005,$A180,請求記録!$Z$6:$Z$3005,P$5)=0,"",SUMIFS(請求記録!$AE$6:$AE$3005,請求記録!$B$6:$B$3005,$A180,請求記録!$Z$6:$Z$3005,P$5))))</f>
        <v/>
      </c>
      <c r="Q180" s="19">
        <f>IF($A180="","",IF(COUNTIFS(請求記録!$B$6:$B$3005,$A180,請求記録!$Z$6:$Z$3005,Q$5,請求記録!$AF$6:$AF$3005,"保留中")&gt;0,"保留",IF(COUNTIFS(請求記録!$B$6:$B$3005,$A180,請求記録!$Z$6:$Z$3005,Q$5)=0,"",SUMIFS(請求記録!$AE$6:$AE$3005,請求記録!$B$6:$B$3005,$A180,請求記録!$Z$6:$Z$3005,Q$5))))</f>
        <v/>
      </c>
      <c r="R180" s="19">
        <f>IF($A180="","",IF(COUNTIFS(請求記録!$B$6:$B$3005,$A180,請求記録!$Z$6:$Z$3005,R$5,請求記録!$AF$6:$AF$3005,"保留中")&gt;0,"保留",IF(COUNTIFS(請求記録!$B$6:$B$3005,$A180,請求記録!$Z$6:$Z$3005,R$5)=0,"",SUMIFS(請求記録!$AE$6:$AE$3005,請求記録!$B$6:$B$3005,$A180,請求記録!$Z$6:$Z$3005,R$5))))</f>
        <v/>
      </c>
      <c r="S180" s="19">
        <f>IF($A180="","",IF(COUNTIFS(請求記録!$B$6:$B$3005,$A180,請求記録!$Z$6:$Z$3005,S$5,請求記録!$AF$6:$AF$3005,"保留中")&gt;0,"保留",IF(COUNTIFS(請求記録!$B$6:$B$3005,$A180,請求記録!$Z$6:$Z$3005,S$5)=0,"",SUMIFS(請求記録!$AE$6:$AE$3005,請求記録!$B$6:$B$3005,$A180,請求記録!$Z$6:$Z$3005,S$5))))</f>
        <v/>
      </c>
      <c r="T180" s="19">
        <f>IF($A180="","",IF(COUNTIFS(請求記録!$B$6:$B$3005,$A180,請求記録!$Z$6:$Z$3005,T$5,請求記録!$AF$6:$AF$3005,"保留中")&gt;0,"保留",IF(COUNTIFS(請求記録!$B$6:$B$3005,$A180,請求記録!$Z$6:$Z$3005,T$5)=0,"",SUMIFS(請求記録!$AE$6:$AE$3005,請求記録!$B$6:$B$3005,$A180,請求記録!$Z$6:$Z$3005,T$5))))</f>
        <v/>
      </c>
      <c r="U180" s="19">
        <f>IF($A180="","",IF(COUNTIFS(請求記録!$B$6:$B$3005,$A180,請求記録!$Z$6:$Z$3005,U$5,請求記録!$AF$6:$AF$3005,"保留中")&gt;0,"保留",IF(COUNTIFS(請求記録!$B$6:$B$3005,$A180,請求記録!$Z$6:$Z$3005,U$5)=0,"",SUMIFS(請求記録!$AE$6:$AE$3005,請求記録!$B$6:$B$3005,$A180,請求記録!$Z$6:$Z$3005,U$5))))</f>
        <v/>
      </c>
      <c r="V180" s="19">
        <f>IF($A180="","",IF(COUNTIFS(請求記録!$B$6:$B$3005,$A180,請求記録!$Z$6:$Z$3005,V$5,請求記録!$AF$6:$AF$3005,"保留中")&gt;0,"保留",IF(COUNTIFS(請求記録!$B$6:$B$3005,$A180,請求記録!$Z$6:$Z$3005,V$5)=0,"",SUMIFS(請求記録!$AE$6:$AE$3005,請求記録!$B$6:$B$3005,$A180,請求記録!$Z$6:$Z$3005,V$5))))</f>
        <v/>
      </c>
      <c r="W180" s="19">
        <f>IF($A180="","",IF(COUNTIFS(請求記録!$B$6:$B$3005,$A180,請求記録!$Z$6:$Z$3005,W$5,請求記録!$AF$6:$AF$3005,"保留中")&gt;0,"保留",IF(COUNTIFS(請求記録!$B$6:$B$3005,$A180,請求記録!$Z$6:$Z$3005,W$5)=0,"",SUMIFS(請求記録!$AE$6:$AE$3005,請求記録!$B$6:$B$3005,$A180,請求記録!$Z$6:$Z$3005,W$5))))</f>
        <v/>
      </c>
      <c r="X180" s="19">
        <f>IF($A180="","",IF(COUNTIFS(請求記録!$B$6:$B$3005,$A180,請求記録!$Z$6:$Z$3005,X$5,請求記録!$AF$6:$AF$3005,"保留中")&gt;0,"保留",IF(COUNTIFS(請求記録!$B$6:$B$3005,$A180,請求記録!$Z$6:$Z$3005,X$5)=0,"",SUMIFS(請求記録!$AE$6:$AE$3005,請求記録!$B$6:$B$3005,$A180,請求記録!$Z$6:$Z$3005,X$5))))</f>
        <v/>
      </c>
      <c r="Y180" s="19">
        <f>IF($A180="","",IF(COUNTIFS(請求記録!$B$6:$B$3005,$A180,請求記録!$Z$6:$Z$3005,Y$5,請求記録!$AF$6:$AF$3005,"保留中")&gt;0,"保留",IF(COUNTIFS(請求記録!$B$6:$B$3005,$A180,請求記録!$Z$6:$Z$3005,Y$5)=0,"",SUMIFS(請求記録!$AE$6:$AE$3005,請求記録!$B$6:$B$3005,$A180,請求記録!$Z$6:$Z$3005,Y$5))))</f>
        <v/>
      </c>
      <c r="Z180" s="19">
        <f>IF($A180="","",IF(COUNTIFS(請求記録!$B$6:$B$3005,$A180,請求記録!$Z$6:$Z$3005,Z$5,請求記録!$AF$6:$AF$3005,"保留中")&gt;0,"保留",IF(COUNTIFS(請求記録!$B$6:$B$3005,$A180,請求記録!$Z$6:$Z$3005,Z$5)=0,"",SUMIFS(請求記録!$AE$6:$AE$3005,請求記録!$B$6:$B$3005,$A180,請求記録!$Z$6:$Z$3005,Z$5))))</f>
        <v/>
      </c>
      <c r="AA180" s="19">
        <f>IF($A180="","",IF(COUNTIFS(請求記録!$B$6:$B$3005,$A180,請求記録!$Z$6:$Z$3005,AA$5,請求記録!$AF$6:$AF$3005,"保留中")&gt;0,"保留",IF(COUNTIFS(請求記録!$B$6:$B$3005,$A180,請求記録!$Z$6:$Z$3005,AA$5)=0,"",SUMIFS(請求記録!$AE$6:$AE$3005,請求記録!$B$6:$B$3005,$A180,請求記録!$Z$6:$Z$3005,AA$5))))</f>
        <v/>
      </c>
      <c r="AB180">
        <f>IF(職員マスタ!P180="保留中",職員マスタ!M180,"")</f>
        <v/>
      </c>
    </row>
    <row r="181">
      <c r="A181">
        <f>IF(職員マスタ!A181="","",職員マスタ!A181)</f>
        <v/>
      </c>
      <c r="B181">
        <f>IF($A181="","",職員マスタ!B181)</f>
        <v/>
      </c>
      <c r="C181">
        <f>IF($A181="","",職員マスタ!C181)</f>
        <v/>
      </c>
      <c r="D181" s="19">
        <f>IF($A181="","",IF(COUNTIFS(請求記録!$B$6:$B$3005,$A181,請求記録!$Z$6:$Z$3005,D$5,請求記録!$AF$6:$AF$3005,"保留中")&gt;0,"保留",IF(COUNTIFS(請求記録!$B$6:$B$3005,$A181,請求記録!$Z$6:$Z$3005,D$5)=0,"",SUMIFS(請求記録!$AE$6:$AE$3005,請求記録!$B$6:$B$3005,$A181,請求記録!$Z$6:$Z$3005,D$5))))</f>
        <v/>
      </c>
      <c r="E181" s="19">
        <f>IF($A181="","",IF(COUNTIFS(請求記録!$B$6:$B$3005,$A181,請求記録!$Z$6:$Z$3005,E$5,請求記録!$AF$6:$AF$3005,"保留中")&gt;0,"保留",IF(COUNTIFS(請求記録!$B$6:$B$3005,$A181,請求記録!$Z$6:$Z$3005,E$5)=0,"",SUMIFS(請求記録!$AE$6:$AE$3005,請求記録!$B$6:$B$3005,$A181,請求記録!$Z$6:$Z$3005,E$5))))</f>
        <v/>
      </c>
      <c r="F181" s="19">
        <f>IF($A181="","",IF(COUNTIFS(請求記録!$B$6:$B$3005,$A181,請求記録!$Z$6:$Z$3005,F$5,請求記録!$AF$6:$AF$3005,"保留中")&gt;0,"保留",IF(COUNTIFS(請求記録!$B$6:$B$3005,$A181,請求記録!$Z$6:$Z$3005,F$5)=0,"",SUMIFS(請求記録!$AE$6:$AE$3005,請求記録!$B$6:$B$3005,$A181,請求記録!$Z$6:$Z$3005,F$5))))</f>
        <v/>
      </c>
      <c r="G181" s="19">
        <f>IF($A181="","",IF(COUNTIFS(請求記録!$B$6:$B$3005,$A181,請求記録!$Z$6:$Z$3005,G$5,請求記録!$AF$6:$AF$3005,"保留中")&gt;0,"保留",IF(COUNTIFS(請求記録!$B$6:$B$3005,$A181,請求記録!$Z$6:$Z$3005,G$5)=0,"",SUMIFS(請求記録!$AE$6:$AE$3005,請求記録!$B$6:$B$3005,$A181,請求記録!$Z$6:$Z$3005,G$5))))</f>
        <v/>
      </c>
      <c r="H181" s="19">
        <f>IF($A181="","",IF(COUNTIFS(請求記録!$B$6:$B$3005,$A181,請求記録!$Z$6:$Z$3005,H$5,請求記録!$AF$6:$AF$3005,"保留中")&gt;0,"保留",IF(COUNTIFS(請求記録!$B$6:$B$3005,$A181,請求記録!$Z$6:$Z$3005,H$5)=0,"",SUMIFS(請求記録!$AE$6:$AE$3005,請求記録!$B$6:$B$3005,$A181,請求記録!$Z$6:$Z$3005,H$5))))</f>
        <v/>
      </c>
      <c r="I181" s="19">
        <f>IF($A181="","",IF(COUNTIFS(請求記録!$B$6:$B$3005,$A181,請求記録!$Z$6:$Z$3005,I$5,請求記録!$AF$6:$AF$3005,"保留中")&gt;0,"保留",IF(COUNTIFS(請求記録!$B$6:$B$3005,$A181,請求記録!$Z$6:$Z$3005,I$5)=0,"",SUMIFS(請求記録!$AE$6:$AE$3005,請求記録!$B$6:$B$3005,$A181,請求記録!$Z$6:$Z$3005,I$5))))</f>
        <v/>
      </c>
      <c r="J181" s="19">
        <f>IF($A181="","",IF(COUNTIFS(請求記録!$B$6:$B$3005,$A181,請求記録!$Z$6:$Z$3005,J$5,請求記録!$AF$6:$AF$3005,"保留中")&gt;0,"保留",IF(COUNTIFS(請求記録!$B$6:$B$3005,$A181,請求記録!$Z$6:$Z$3005,J$5)=0,"",SUMIFS(請求記録!$AE$6:$AE$3005,請求記録!$B$6:$B$3005,$A181,請求記録!$Z$6:$Z$3005,J$5))))</f>
        <v/>
      </c>
      <c r="K181" s="19">
        <f>IF($A181="","",IF(COUNTIFS(請求記録!$B$6:$B$3005,$A181,請求記録!$Z$6:$Z$3005,K$5,請求記録!$AF$6:$AF$3005,"保留中")&gt;0,"保留",IF(COUNTIFS(請求記録!$B$6:$B$3005,$A181,請求記録!$Z$6:$Z$3005,K$5)=0,"",SUMIFS(請求記録!$AE$6:$AE$3005,請求記録!$B$6:$B$3005,$A181,請求記録!$Z$6:$Z$3005,K$5))))</f>
        <v/>
      </c>
      <c r="L181" s="19">
        <f>IF($A181="","",IF(COUNTIFS(請求記録!$B$6:$B$3005,$A181,請求記録!$Z$6:$Z$3005,L$5,請求記録!$AF$6:$AF$3005,"保留中")&gt;0,"保留",IF(COUNTIFS(請求記録!$B$6:$B$3005,$A181,請求記録!$Z$6:$Z$3005,L$5)=0,"",SUMIFS(請求記録!$AE$6:$AE$3005,請求記録!$B$6:$B$3005,$A181,請求記録!$Z$6:$Z$3005,L$5))))</f>
        <v/>
      </c>
      <c r="M181" s="19">
        <f>IF($A181="","",IF(COUNTIFS(請求記録!$B$6:$B$3005,$A181,請求記録!$Z$6:$Z$3005,M$5,請求記録!$AF$6:$AF$3005,"保留中")&gt;0,"保留",IF(COUNTIFS(請求記録!$B$6:$B$3005,$A181,請求記録!$Z$6:$Z$3005,M$5)=0,"",SUMIFS(請求記録!$AE$6:$AE$3005,請求記録!$B$6:$B$3005,$A181,請求記録!$Z$6:$Z$3005,M$5))))</f>
        <v/>
      </c>
      <c r="N181" s="19">
        <f>IF($A181="","",IF(COUNTIFS(請求記録!$B$6:$B$3005,$A181,請求記録!$Z$6:$Z$3005,N$5,請求記録!$AF$6:$AF$3005,"保留中")&gt;0,"保留",IF(COUNTIFS(請求記録!$B$6:$B$3005,$A181,請求記録!$Z$6:$Z$3005,N$5)=0,"",SUMIFS(請求記録!$AE$6:$AE$3005,請求記録!$B$6:$B$3005,$A181,請求記録!$Z$6:$Z$3005,N$5))))</f>
        <v/>
      </c>
      <c r="O181" s="19">
        <f>IF($A181="","",IF(COUNTIFS(請求記録!$B$6:$B$3005,$A181,請求記録!$Z$6:$Z$3005,O$5,請求記録!$AF$6:$AF$3005,"保留中")&gt;0,"保留",IF(COUNTIFS(請求記録!$B$6:$B$3005,$A181,請求記録!$Z$6:$Z$3005,O$5)=0,"",SUMIFS(請求記録!$AE$6:$AE$3005,請求記録!$B$6:$B$3005,$A181,請求記録!$Z$6:$Z$3005,O$5))))</f>
        <v/>
      </c>
      <c r="P181" s="19">
        <f>IF($A181="","",IF(COUNTIFS(請求記録!$B$6:$B$3005,$A181,請求記録!$Z$6:$Z$3005,P$5,請求記録!$AF$6:$AF$3005,"保留中")&gt;0,"保留",IF(COUNTIFS(請求記録!$B$6:$B$3005,$A181,請求記録!$Z$6:$Z$3005,P$5)=0,"",SUMIFS(請求記録!$AE$6:$AE$3005,請求記録!$B$6:$B$3005,$A181,請求記録!$Z$6:$Z$3005,P$5))))</f>
        <v/>
      </c>
      <c r="Q181" s="19">
        <f>IF($A181="","",IF(COUNTIFS(請求記録!$B$6:$B$3005,$A181,請求記録!$Z$6:$Z$3005,Q$5,請求記録!$AF$6:$AF$3005,"保留中")&gt;0,"保留",IF(COUNTIFS(請求記録!$B$6:$B$3005,$A181,請求記録!$Z$6:$Z$3005,Q$5)=0,"",SUMIFS(請求記録!$AE$6:$AE$3005,請求記録!$B$6:$B$3005,$A181,請求記録!$Z$6:$Z$3005,Q$5))))</f>
        <v/>
      </c>
      <c r="R181" s="19">
        <f>IF($A181="","",IF(COUNTIFS(請求記録!$B$6:$B$3005,$A181,請求記録!$Z$6:$Z$3005,R$5,請求記録!$AF$6:$AF$3005,"保留中")&gt;0,"保留",IF(COUNTIFS(請求記録!$B$6:$B$3005,$A181,請求記録!$Z$6:$Z$3005,R$5)=0,"",SUMIFS(請求記録!$AE$6:$AE$3005,請求記録!$B$6:$B$3005,$A181,請求記録!$Z$6:$Z$3005,R$5))))</f>
        <v/>
      </c>
      <c r="S181" s="19">
        <f>IF($A181="","",IF(COUNTIFS(請求記録!$B$6:$B$3005,$A181,請求記録!$Z$6:$Z$3005,S$5,請求記録!$AF$6:$AF$3005,"保留中")&gt;0,"保留",IF(COUNTIFS(請求記録!$B$6:$B$3005,$A181,請求記録!$Z$6:$Z$3005,S$5)=0,"",SUMIFS(請求記録!$AE$6:$AE$3005,請求記録!$B$6:$B$3005,$A181,請求記録!$Z$6:$Z$3005,S$5))))</f>
        <v/>
      </c>
      <c r="T181" s="19">
        <f>IF($A181="","",IF(COUNTIFS(請求記録!$B$6:$B$3005,$A181,請求記録!$Z$6:$Z$3005,T$5,請求記録!$AF$6:$AF$3005,"保留中")&gt;0,"保留",IF(COUNTIFS(請求記録!$B$6:$B$3005,$A181,請求記録!$Z$6:$Z$3005,T$5)=0,"",SUMIFS(請求記録!$AE$6:$AE$3005,請求記録!$B$6:$B$3005,$A181,請求記録!$Z$6:$Z$3005,T$5))))</f>
        <v/>
      </c>
      <c r="U181" s="19">
        <f>IF($A181="","",IF(COUNTIFS(請求記録!$B$6:$B$3005,$A181,請求記録!$Z$6:$Z$3005,U$5,請求記録!$AF$6:$AF$3005,"保留中")&gt;0,"保留",IF(COUNTIFS(請求記録!$B$6:$B$3005,$A181,請求記録!$Z$6:$Z$3005,U$5)=0,"",SUMIFS(請求記録!$AE$6:$AE$3005,請求記録!$B$6:$B$3005,$A181,請求記録!$Z$6:$Z$3005,U$5))))</f>
        <v/>
      </c>
      <c r="V181" s="19">
        <f>IF($A181="","",IF(COUNTIFS(請求記録!$B$6:$B$3005,$A181,請求記録!$Z$6:$Z$3005,V$5,請求記録!$AF$6:$AF$3005,"保留中")&gt;0,"保留",IF(COUNTIFS(請求記録!$B$6:$B$3005,$A181,請求記録!$Z$6:$Z$3005,V$5)=0,"",SUMIFS(請求記録!$AE$6:$AE$3005,請求記録!$B$6:$B$3005,$A181,請求記録!$Z$6:$Z$3005,V$5))))</f>
        <v/>
      </c>
      <c r="W181" s="19">
        <f>IF($A181="","",IF(COUNTIFS(請求記録!$B$6:$B$3005,$A181,請求記録!$Z$6:$Z$3005,W$5,請求記録!$AF$6:$AF$3005,"保留中")&gt;0,"保留",IF(COUNTIFS(請求記録!$B$6:$B$3005,$A181,請求記録!$Z$6:$Z$3005,W$5)=0,"",SUMIFS(請求記録!$AE$6:$AE$3005,請求記録!$B$6:$B$3005,$A181,請求記録!$Z$6:$Z$3005,W$5))))</f>
        <v/>
      </c>
      <c r="X181" s="19">
        <f>IF($A181="","",IF(COUNTIFS(請求記録!$B$6:$B$3005,$A181,請求記録!$Z$6:$Z$3005,X$5,請求記録!$AF$6:$AF$3005,"保留中")&gt;0,"保留",IF(COUNTIFS(請求記録!$B$6:$B$3005,$A181,請求記録!$Z$6:$Z$3005,X$5)=0,"",SUMIFS(請求記録!$AE$6:$AE$3005,請求記録!$B$6:$B$3005,$A181,請求記録!$Z$6:$Z$3005,X$5))))</f>
        <v/>
      </c>
      <c r="Y181" s="19">
        <f>IF($A181="","",IF(COUNTIFS(請求記録!$B$6:$B$3005,$A181,請求記録!$Z$6:$Z$3005,Y$5,請求記録!$AF$6:$AF$3005,"保留中")&gt;0,"保留",IF(COUNTIFS(請求記録!$B$6:$B$3005,$A181,請求記録!$Z$6:$Z$3005,Y$5)=0,"",SUMIFS(請求記録!$AE$6:$AE$3005,請求記録!$B$6:$B$3005,$A181,請求記録!$Z$6:$Z$3005,Y$5))))</f>
        <v/>
      </c>
      <c r="Z181" s="19">
        <f>IF($A181="","",IF(COUNTIFS(請求記録!$B$6:$B$3005,$A181,請求記録!$Z$6:$Z$3005,Z$5,請求記録!$AF$6:$AF$3005,"保留中")&gt;0,"保留",IF(COUNTIFS(請求記録!$B$6:$B$3005,$A181,請求記録!$Z$6:$Z$3005,Z$5)=0,"",SUMIFS(請求記録!$AE$6:$AE$3005,請求記録!$B$6:$B$3005,$A181,請求記録!$Z$6:$Z$3005,Z$5))))</f>
        <v/>
      </c>
      <c r="AA181" s="19">
        <f>IF($A181="","",IF(COUNTIFS(請求記録!$B$6:$B$3005,$A181,請求記録!$Z$6:$Z$3005,AA$5,請求記録!$AF$6:$AF$3005,"保留中")&gt;0,"保留",IF(COUNTIFS(請求記録!$B$6:$B$3005,$A181,請求記録!$Z$6:$Z$3005,AA$5)=0,"",SUMIFS(請求記録!$AE$6:$AE$3005,請求記録!$B$6:$B$3005,$A181,請求記録!$Z$6:$Z$3005,AA$5))))</f>
        <v/>
      </c>
      <c r="AB181">
        <f>IF(職員マスタ!P181="保留中",職員マスタ!M181,"")</f>
        <v/>
      </c>
    </row>
    <row r="182">
      <c r="A182">
        <f>IF(職員マスタ!A182="","",職員マスタ!A182)</f>
        <v/>
      </c>
      <c r="B182">
        <f>IF($A182="","",職員マスタ!B182)</f>
        <v/>
      </c>
      <c r="C182">
        <f>IF($A182="","",職員マスタ!C182)</f>
        <v/>
      </c>
      <c r="D182" s="19">
        <f>IF($A182="","",IF(COUNTIFS(請求記録!$B$6:$B$3005,$A182,請求記録!$Z$6:$Z$3005,D$5,請求記録!$AF$6:$AF$3005,"保留中")&gt;0,"保留",IF(COUNTIFS(請求記録!$B$6:$B$3005,$A182,請求記録!$Z$6:$Z$3005,D$5)=0,"",SUMIFS(請求記録!$AE$6:$AE$3005,請求記録!$B$6:$B$3005,$A182,請求記録!$Z$6:$Z$3005,D$5))))</f>
        <v/>
      </c>
      <c r="E182" s="19">
        <f>IF($A182="","",IF(COUNTIFS(請求記録!$B$6:$B$3005,$A182,請求記録!$Z$6:$Z$3005,E$5,請求記録!$AF$6:$AF$3005,"保留中")&gt;0,"保留",IF(COUNTIFS(請求記録!$B$6:$B$3005,$A182,請求記録!$Z$6:$Z$3005,E$5)=0,"",SUMIFS(請求記録!$AE$6:$AE$3005,請求記録!$B$6:$B$3005,$A182,請求記録!$Z$6:$Z$3005,E$5))))</f>
        <v/>
      </c>
      <c r="F182" s="19">
        <f>IF($A182="","",IF(COUNTIFS(請求記録!$B$6:$B$3005,$A182,請求記録!$Z$6:$Z$3005,F$5,請求記録!$AF$6:$AF$3005,"保留中")&gt;0,"保留",IF(COUNTIFS(請求記録!$B$6:$B$3005,$A182,請求記録!$Z$6:$Z$3005,F$5)=0,"",SUMIFS(請求記録!$AE$6:$AE$3005,請求記録!$B$6:$B$3005,$A182,請求記録!$Z$6:$Z$3005,F$5))))</f>
        <v/>
      </c>
      <c r="G182" s="19">
        <f>IF($A182="","",IF(COUNTIFS(請求記録!$B$6:$B$3005,$A182,請求記録!$Z$6:$Z$3005,G$5,請求記録!$AF$6:$AF$3005,"保留中")&gt;0,"保留",IF(COUNTIFS(請求記録!$B$6:$B$3005,$A182,請求記録!$Z$6:$Z$3005,G$5)=0,"",SUMIFS(請求記録!$AE$6:$AE$3005,請求記録!$B$6:$B$3005,$A182,請求記録!$Z$6:$Z$3005,G$5))))</f>
        <v/>
      </c>
      <c r="H182" s="19">
        <f>IF($A182="","",IF(COUNTIFS(請求記録!$B$6:$B$3005,$A182,請求記録!$Z$6:$Z$3005,H$5,請求記録!$AF$6:$AF$3005,"保留中")&gt;0,"保留",IF(COUNTIFS(請求記録!$B$6:$B$3005,$A182,請求記録!$Z$6:$Z$3005,H$5)=0,"",SUMIFS(請求記録!$AE$6:$AE$3005,請求記録!$B$6:$B$3005,$A182,請求記録!$Z$6:$Z$3005,H$5))))</f>
        <v/>
      </c>
      <c r="I182" s="19">
        <f>IF($A182="","",IF(COUNTIFS(請求記録!$B$6:$B$3005,$A182,請求記録!$Z$6:$Z$3005,I$5,請求記録!$AF$6:$AF$3005,"保留中")&gt;0,"保留",IF(COUNTIFS(請求記録!$B$6:$B$3005,$A182,請求記録!$Z$6:$Z$3005,I$5)=0,"",SUMIFS(請求記録!$AE$6:$AE$3005,請求記録!$B$6:$B$3005,$A182,請求記録!$Z$6:$Z$3005,I$5))))</f>
        <v/>
      </c>
      <c r="J182" s="19">
        <f>IF($A182="","",IF(COUNTIFS(請求記録!$B$6:$B$3005,$A182,請求記録!$Z$6:$Z$3005,J$5,請求記録!$AF$6:$AF$3005,"保留中")&gt;0,"保留",IF(COUNTIFS(請求記録!$B$6:$B$3005,$A182,請求記録!$Z$6:$Z$3005,J$5)=0,"",SUMIFS(請求記録!$AE$6:$AE$3005,請求記録!$B$6:$B$3005,$A182,請求記録!$Z$6:$Z$3005,J$5))))</f>
        <v/>
      </c>
      <c r="K182" s="19">
        <f>IF($A182="","",IF(COUNTIFS(請求記録!$B$6:$B$3005,$A182,請求記録!$Z$6:$Z$3005,K$5,請求記録!$AF$6:$AF$3005,"保留中")&gt;0,"保留",IF(COUNTIFS(請求記録!$B$6:$B$3005,$A182,請求記録!$Z$6:$Z$3005,K$5)=0,"",SUMIFS(請求記録!$AE$6:$AE$3005,請求記録!$B$6:$B$3005,$A182,請求記録!$Z$6:$Z$3005,K$5))))</f>
        <v/>
      </c>
      <c r="L182" s="19">
        <f>IF($A182="","",IF(COUNTIFS(請求記録!$B$6:$B$3005,$A182,請求記録!$Z$6:$Z$3005,L$5,請求記録!$AF$6:$AF$3005,"保留中")&gt;0,"保留",IF(COUNTIFS(請求記録!$B$6:$B$3005,$A182,請求記録!$Z$6:$Z$3005,L$5)=0,"",SUMIFS(請求記録!$AE$6:$AE$3005,請求記録!$B$6:$B$3005,$A182,請求記録!$Z$6:$Z$3005,L$5))))</f>
        <v/>
      </c>
      <c r="M182" s="19">
        <f>IF($A182="","",IF(COUNTIFS(請求記録!$B$6:$B$3005,$A182,請求記録!$Z$6:$Z$3005,M$5,請求記録!$AF$6:$AF$3005,"保留中")&gt;0,"保留",IF(COUNTIFS(請求記録!$B$6:$B$3005,$A182,請求記録!$Z$6:$Z$3005,M$5)=0,"",SUMIFS(請求記録!$AE$6:$AE$3005,請求記録!$B$6:$B$3005,$A182,請求記録!$Z$6:$Z$3005,M$5))))</f>
        <v/>
      </c>
      <c r="N182" s="19">
        <f>IF($A182="","",IF(COUNTIFS(請求記録!$B$6:$B$3005,$A182,請求記録!$Z$6:$Z$3005,N$5,請求記録!$AF$6:$AF$3005,"保留中")&gt;0,"保留",IF(COUNTIFS(請求記録!$B$6:$B$3005,$A182,請求記録!$Z$6:$Z$3005,N$5)=0,"",SUMIFS(請求記録!$AE$6:$AE$3005,請求記録!$B$6:$B$3005,$A182,請求記録!$Z$6:$Z$3005,N$5))))</f>
        <v/>
      </c>
      <c r="O182" s="19">
        <f>IF($A182="","",IF(COUNTIFS(請求記録!$B$6:$B$3005,$A182,請求記録!$Z$6:$Z$3005,O$5,請求記録!$AF$6:$AF$3005,"保留中")&gt;0,"保留",IF(COUNTIFS(請求記録!$B$6:$B$3005,$A182,請求記録!$Z$6:$Z$3005,O$5)=0,"",SUMIFS(請求記録!$AE$6:$AE$3005,請求記録!$B$6:$B$3005,$A182,請求記録!$Z$6:$Z$3005,O$5))))</f>
        <v/>
      </c>
      <c r="P182" s="19">
        <f>IF($A182="","",IF(COUNTIFS(請求記録!$B$6:$B$3005,$A182,請求記録!$Z$6:$Z$3005,P$5,請求記録!$AF$6:$AF$3005,"保留中")&gt;0,"保留",IF(COUNTIFS(請求記録!$B$6:$B$3005,$A182,請求記録!$Z$6:$Z$3005,P$5)=0,"",SUMIFS(請求記録!$AE$6:$AE$3005,請求記録!$B$6:$B$3005,$A182,請求記録!$Z$6:$Z$3005,P$5))))</f>
        <v/>
      </c>
      <c r="Q182" s="19">
        <f>IF($A182="","",IF(COUNTIFS(請求記録!$B$6:$B$3005,$A182,請求記録!$Z$6:$Z$3005,Q$5,請求記録!$AF$6:$AF$3005,"保留中")&gt;0,"保留",IF(COUNTIFS(請求記録!$B$6:$B$3005,$A182,請求記録!$Z$6:$Z$3005,Q$5)=0,"",SUMIFS(請求記録!$AE$6:$AE$3005,請求記録!$B$6:$B$3005,$A182,請求記録!$Z$6:$Z$3005,Q$5))))</f>
        <v/>
      </c>
      <c r="R182" s="19">
        <f>IF($A182="","",IF(COUNTIFS(請求記録!$B$6:$B$3005,$A182,請求記録!$Z$6:$Z$3005,R$5,請求記録!$AF$6:$AF$3005,"保留中")&gt;0,"保留",IF(COUNTIFS(請求記録!$B$6:$B$3005,$A182,請求記録!$Z$6:$Z$3005,R$5)=0,"",SUMIFS(請求記録!$AE$6:$AE$3005,請求記録!$B$6:$B$3005,$A182,請求記録!$Z$6:$Z$3005,R$5))))</f>
        <v/>
      </c>
      <c r="S182" s="19">
        <f>IF($A182="","",IF(COUNTIFS(請求記録!$B$6:$B$3005,$A182,請求記録!$Z$6:$Z$3005,S$5,請求記録!$AF$6:$AF$3005,"保留中")&gt;0,"保留",IF(COUNTIFS(請求記録!$B$6:$B$3005,$A182,請求記録!$Z$6:$Z$3005,S$5)=0,"",SUMIFS(請求記録!$AE$6:$AE$3005,請求記録!$B$6:$B$3005,$A182,請求記録!$Z$6:$Z$3005,S$5))))</f>
        <v/>
      </c>
      <c r="T182" s="19">
        <f>IF($A182="","",IF(COUNTIFS(請求記録!$B$6:$B$3005,$A182,請求記録!$Z$6:$Z$3005,T$5,請求記録!$AF$6:$AF$3005,"保留中")&gt;0,"保留",IF(COUNTIFS(請求記録!$B$6:$B$3005,$A182,請求記録!$Z$6:$Z$3005,T$5)=0,"",SUMIFS(請求記録!$AE$6:$AE$3005,請求記録!$B$6:$B$3005,$A182,請求記録!$Z$6:$Z$3005,T$5))))</f>
        <v/>
      </c>
      <c r="U182" s="19">
        <f>IF($A182="","",IF(COUNTIFS(請求記録!$B$6:$B$3005,$A182,請求記録!$Z$6:$Z$3005,U$5,請求記録!$AF$6:$AF$3005,"保留中")&gt;0,"保留",IF(COUNTIFS(請求記録!$B$6:$B$3005,$A182,請求記録!$Z$6:$Z$3005,U$5)=0,"",SUMIFS(請求記録!$AE$6:$AE$3005,請求記録!$B$6:$B$3005,$A182,請求記録!$Z$6:$Z$3005,U$5))))</f>
        <v/>
      </c>
      <c r="V182" s="19">
        <f>IF($A182="","",IF(COUNTIFS(請求記録!$B$6:$B$3005,$A182,請求記録!$Z$6:$Z$3005,V$5,請求記録!$AF$6:$AF$3005,"保留中")&gt;0,"保留",IF(COUNTIFS(請求記録!$B$6:$B$3005,$A182,請求記録!$Z$6:$Z$3005,V$5)=0,"",SUMIFS(請求記録!$AE$6:$AE$3005,請求記録!$B$6:$B$3005,$A182,請求記録!$Z$6:$Z$3005,V$5))))</f>
        <v/>
      </c>
      <c r="W182" s="19">
        <f>IF($A182="","",IF(COUNTIFS(請求記録!$B$6:$B$3005,$A182,請求記録!$Z$6:$Z$3005,W$5,請求記録!$AF$6:$AF$3005,"保留中")&gt;0,"保留",IF(COUNTIFS(請求記録!$B$6:$B$3005,$A182,請求記録!$Z$6:$Z$3005,W$5)=0,"",SUMIFS(請求記録!$AE$6:$AE$3005,請求記録!$B$6:$B$3005,$A182,請求記録!$Z$6:$Z$3005,W$5))))</f>
        <v/>
      </c>
      <c r="X182" s="19">
        <f>IF($A182="","",IF(COUNTIFS(請求記録!$B$6:$B$3005,$A182,請求記録!$Z$6:$Z$3005,X$5,請求記録!$AF$6:$AF$3005,"保留中")&gt;0,"保留",IF(COUNTIFS(請求記録!$B$6:$B$3005,$A182,請求記録!$Z$6:$Z$3005,X$5)=0,"",SUMIFS(請求記録!$AE$6:$AE$3005,請求記録!$B$6:$B$3005,$A182,請求記録!$Z$6:$Z$3005,X$5))))</f>
        <v/>
      </c>
      <c r="Y182" s="19">
        <f>IF($A182="","",IF(COUNTIFS(請求記録!$B$6:$B$3005,$A182,請求記録!$Z$6:$Z$3005,Y$5,請求記録!$AF$6:$AF$3005,"保留中")&gt;0,"保留",IF(COUNTIFS(請求記録!$B$6:$B$3005,$A182,請求記録!$Z$6:$Z$3005,Y$5)=0,"",SUMIFS(請求記録!$AE$6:$AE$3005,請求記録!$B$6:$B$3005,$A182,請求記録!$Z$6:$Z$3005,Y$5))))</f>
        <v/>
      </c>
      <c r="Z182" s="19">
        <f>IF($A182="","",IF(COUNTIFS(請求記録!$B$6:$B$3005,$A182,請求記録!$Z$6:$Z$3005,Z$5,請求記録!$AF$6:$AF$3005,"保留中")&gt;0,"保留",IF(COUNTIFS(請求記録!$B$6:$B$3005,$A182,請求記録!$Z$6:$Z$3005,Z$5)=0,"",SUMIFS(請求記録!$AE$6:$AE$3005,請求記録!$B$6:$B$3005,$A182,請求記録!$Z$6:$Z$3005,Z$5))))</f>
        <v/>
      </c>
      <c r="AA182" s="19">
        <f>IF($A182="","",IF(COUNTIFS(請求記録!$B$6:$B$3005,$A182,請求記録!$Z$6:$Z$3005,AA$5,請求記録!$AF$6:$AF$3005,"保留中")&gt;0,"保留",IF(COUNTIFS(請求記録!$B$6:$B$3005,$A182,請求記録!$Z$6:$Z$3005,AA$5)=0,"",SUMIFS(請求記録!$AE$6:$AE$3005,請求記録!$B$6:$B$3005,$A182,請求記録!$Z$6:$Z$3005,AA$5))))</f>
        <v/>
      </c>
      <c r="AB182">
        <f>IF(職員マスタ!P182="保留中",職員マスタ!M182,"")</f>
        <v/>
      </c>
    </row>
    <row r="183">
      <c r="A183">
        <f>IF(職員マスタ!A183="","",職員マスタ!A183)</f>
        <v/>
      </c>
      <c r="B183">
        <f>IF($A183="","",職員マスタ!B183)</f>
        <v/>
      </c>
      <c r="C183">
        <f>IF($A183="","",職員マスタ!C183)</f>
        <v/>
      </c>
      <c r="D183" s="19">
        <f>IF($A183="","",IF(COUNTIFS(請求記録!$B$6:$B$3005,$A183,請求記録!$Z$6:$Z$3005,D$5,請求記録!$AF$6:$AF$3005,"保留中")&gt;0,"保留",IF(COUNTIFS(請求記録!$B$6:$B$3005,$A183,請求記録!$Z$6:$Z$3005,D$5)=0,"",SUMIFS(請求記録!$AE$6:$AE$3005,請求記録!$B$6:$B$3005,$A183,請求記録!$Z$6:$Z$3005,D$5))))</f>
        <v/>
      </c>
      <c r="E183" s="19">
        <f>IF($A183="","",IF(COUNTIFS(請求記録!$B$6:$B$3005,$A183,請求記録!$Z$6:$Z$3005,E$5,請求記録!$AF$6:$AF$3005,"保留中")&gt;0,"保留",IF(COUNTIFS(請求記録!$B$6:$B$3005,$A183,請求記録!$Z$6:$Z$3005,E$5)=0,"",SUMIFS(請求記録!$AE$6:$AE$3005,請求記録!$B$6:$B$3005,$A183,請求記録!$Z$6:$Z$3005,E$5))))</f>
        <v/>
      </c>
      <c r="F183" s="19">
        <f>IF($A183="","",IF(COUNTIFS(請求記録!$B$6:$B$3005,$A183,請求記録!$Z$6:$Z$3005,F$5,請求記録!$AF$6:$AF$3005,"保留中")&gt;0,"保留",IF(COUNTIFS(請求記録!$B$6:$B$3005,$A183,請求記録!$Z$6:$Z$3005,F$5)=0,"",SUMIFS(請求記録!$AE$6:$AE$3005,請求記録!$B$6:$B$3005,$A183,請求記録!$Z$6:$Z$3005,F$5))))</f>
        <v/>
      </c>
      <c r="G183" s="19">
        <f>IF($A183="","",IF(COUNTIFS(請求記録!$B$6:$B$3005,$A183,請求記録!$Z$6:$Z$3005,G$5,請求記録!$AF$6:$AF$3005,"保留中")&gt;0,"保留",IF(COUNTIFS(請求記録!$B$6:$B$3005,$A183,請求記録!$Z$6:$Z$3005,G$5)=0,"",SUMIFS(請求記録!$AE$6:$AE$3005,請求記録!$B$6:$B$3005,$A183,請求記録!$Z$6:$Z$3005,G$5))))</f>
        <v/>
      </c>
      <c r="H183" s="19">
        <f>IF($A183="","",IF(COUNTIFS(請求記録!$B$6:$B$3005,$A183,請求記録!$Z$6:$Z$3005,H$5,請求記録!$AF$6:$AF$3005,"保留中")&gt;0,"保留",IF(COUNTIFS(請求記録!$B$6:$B$3005,$A183,請求記録!$Z$6:$Z$3005,H$5)=0,"",SUMIFS(請求記録!$AE$6:$AE$3005,請求記録!$B$6:$B$3005,$A183,請求記録!$Z$6:$Z$3005,H$5))))</f>
        <v/>
      </c>
      <c r="I183" s="19">
        <f>IF($A183="","",IF(COUNTIFS(請求記録!$B$6:$B$3005,$A183,請求記録!$Z$6:$Z$3005,I$5,請求記録!$AF$6:$AF$3005,"保留中")&gt;0,"保留",IF(COUNTIFS(請求記録!$B$6:$B$3005,$A183,請求記録!$Z$6:$Z$3005,I$5)=0,"",SUMIFS(請求記録!$AE$6:$AE$3005,請求記録!$B$6:$B$3005,$A183,請求記録!$Z$6:$Z$3005,I$5))))</f>
        <v/>
      </c>
      <c r="J183" s="19">
        <f>IF($A183="","",IF(COUNTIFS(請求記録!$B$6:$B$3005,$A183,請求記録!$Z$6:$Z$3005,J$5,請求記録!$AF$6:$AF$3005,"保留中")&gt;0,"保留",IF(COUNTIFS(請求記録!$B$6:$B$3005,$A183,請求記録!$Z$6:$Z$3005,J$5)=0,"",SUMIFS(請求記録!$AE$6:$AE$3005,請求記録!$B$6:$B$3005,$A183,請求記録!$Z$6:$Z$3005,J$5))))</f>
        <v/>
      </c>
      <c r="K183" s="19">
        <f>IF($A183="","",IF(COUNTIFS(請求記録!$B$6:$B$3005,$A183,請求記録!$Z$6:$Z$3005,K$5,請求記録!$AF$6:$AF$3005,"保留中")&gt;0,"保留",IF(COUNTIFS(請求記録!$B$6:$B$3005,$A183,請求記録!$Z$6:$Z$3005,K$5)=0,"",SUMIFS(請求記録!$AE$6:$AE$3005,請求記録!$B$6:$B$3005,$A183,請求記録!$Z$6:$Z$3005,K$5))))</f>
        <v/>
      </c>
      <c r="L183" s="19">
        <f>IF($A183="","",IF(COUNTIFS(請求記録!$B$6:$B$3005,$A183,請求記録!$Z$6:$Z$3005,L$5,請求記録!$AF$6:$AF$3005,"保留中")&gt;0,"保留",IF(COUNTIFS(請求記録!$B$6:$B$3005,$A183,請求記録!$Z$6:$Z$3005,L$5)=0,"",SUMIFS(請求記録!$AE$6:$AE$3005,請求記録!$B$6:$B$3005,$A183,請求記録!$Z$6:$Z$3005,L$5))))</f>
        <v/>
      </c>
      <c r="M183" s="19">
        <f>IF($A183="","",IF(COUNTIFS(請求記録!$B$6:$B$3005,$A183,請求記録!$Z$6:$Z$3005,M$5,請求記録!$AF$6:$AF$3005,"保留中")&gt;0,"保留",IF(COUNTIFS(請求記録!$B$6:$B$3005,$A183,請求記録!$Z$6:$Z$3005,M$5)=0,"",SUMIFS(請求記録!$AE$6:$AE$3005,請求記録!$B$6:$B$3005,$A183,請求記録!$Z$6:$Z$3005,M$5))))</f>
        <v/>
      </c>
      <c r="N183" s="19">
        <f>IF($A183="","",IF(COUNTIFS(請求記録!$B$6:$B$3005,$A183,請求記録!$Z$6:$Z$3005,N$5,請求記録!$AF$6:$AF$3005,"保留中")&gt;0,"保留",IF(COUNTIFS(請求記録!$B$6:$B$3005,$A183,請求記録!$Z$6:$Z$3005,N$5)=0,"",SUMIFS(請求記録!$AE$6:$AE$3005,請求記録!$B$6:$B$3005,$A183,請求記録!$Z$6:$Z$3005,N$5))))</f>
        <v/>
      </c>
      <c r="O183" s="19">
        <f>IF($A183="","",IF(COUNTIFS(請求記録!$B$6:$B$3005,$A183,請求記録!$Z$6:$Z$3005,O$5,請求記録!$AF$6:$AF$3005,"保留中")&gt;0,"保留",IF(COUNTIFS(請求記録!$B$6:$B$3005,$A183,請求記録!$Z$6:$Z$3005,O$5)=0,"",SUMIFS(請求記録!$AE$6:$AE$3005,請求記録!$B$6:$B$3005,$A183,請求記録!$Z$6:$Z$3005,O$5))))</f>
        <v/>
      </c>
      <c r="P183" s="19">
        <f>IF($A183="","",IF(COUNTIFS(請求記録!$B$6:$B$3005,$A183,請求記録!$Z$6:$Z$3005,P$5,請求記録!$AF$6:$AF$3005,"保留中")&gt;0,"保留",IF(COUNTIFS(請求記録!$B$6:$B$3005,$A183,請求記録!$Z$6:$Z$3005,P$5)=0,"",SUMIFS(請求記録!$AE$6:$AE$3005,請求記録!$B$6:$B$3005,$A183,請求記録!$Z$6:$Z$3005,P$5))))</f>
        <v/>
      </c>
      <c r="Q183" s="19">
        <f>IF($A183="","",IF(COUNTIFS(請求記録!$B$6:$B$3005,$A183,請求記録!$Z$6:$Z$3005,Q$5,請求記録!$AF$6:$AF$3005,"保留中")&gt;0,"保留",IF(COUNTIFS(請求記録!$B$6:$B$3005,$A183,請求記録!$Z$6:$Z$3005,Q$5)=0,"",SUMIFS(請求記録!$AE$6:$AE$3005,請求記録!$B$6:$B$3005,$A183,請求記録!$Z$6:$Z$3005,Q$5))))</f>
        <v/>
      </c>
      <c r="R183" s="19">
        <f>IF($A183="","",IF(COUNTIFS(請求記録!$B$6:$B$3005,$A183,請求記録!$Z$6:$Z$3005,R$5,請求記録!$AF$6:$AF$3005,"保留中")&gt;0,"保留",IF(COUNTIFS(請求記録!$B$6:$B$3005,$A183,請求記録!$Z$6:$Z$3005,R$5)=0,"",SUMIFS(請求記録!$AE$6:$AE$3005,請求記録!$B$6:$B$3005,$A183,請求記録!$Z$6:$Z$3005,R$5))))</f>
        <v/>
      </c>
      <c r="S183" s="19">
        <f>IF($A183="","",IF(COUNTIFS(請求記録!$B$6:$B$3005,$A183,請求記録!$Z$6:$Z$3005,S$5,請求記録!$AF$6:$AF$3005,"保留中")&gt;0,"保留",IF(COUNTIFS(請求記録!$B$6:$B$3005,$A183,請求記録!$Z$6:$Z$3005,S$5)=0,"",SUMIFS(請求記録!$AE$6:$AE$3005,請求記録!$B$6:$B$3005,$A183,請求記録!$Z$6:$Z$3005,S$5))))</f>
        <v/>
      </c>
      <c r="T183" s="19">
        <f>IF($A183="","",IF(COUNTIFS(請求記録!$B$6:$B$3005,$A183,請求記録!$Z$6:$Z$3005,T$5,請求記録!$AF$6:$AF$3005,"保留中")&gt;0,"保留",IF(COUNTIFS(請求記録!$B$6:$B$3005,$A183,請求記録!$Z$6:$Z$3005,T$5)=0,"",SUMIFS(請求記録!$AE$6:$AE$3005,請求記録!$B$6:$B$3005,$A183,請求記録!$Z$6:$Z$3005,T$5))))</f>
        <v/>
      </c>
      <c r="U183" s="19">
        <f>IF($A183="","",IF(COUNTIFS(請求記録!$B$6:$B$3005,$A183,請求記録!$Z$6:$Z$3005,U$5,請求記録!$AF$6:$AF$3005,"保留中")&gt;0,"保留",IF(COUNTIFS(請求記録!$B$6:$B$3005,$A183,請求記録!$Z$6:$Z$3005,U$5)=0,"",SUMIFS(請求記録!$AE$6:$AE$3005,請求記録!$B$6:$B$3005,$A183,請求記録!$Z$6:$Z$3005,U$5))))</f>
        <v/>
      </c>
      <c r="V183" s="19">
        <f>IF($A183="","",IF(COUNTIFS(請求記録!$B$6:$B$3005,$A183,請求記録!$Z$6:$Z$3005,V$5,請求記録!$AF$6:$AF$3005,"保留中")&gt;0,"保留",IF(COUNTIFS(請求記録!$B$6:$B$3005,$A183,請求記録!$Z$6:$Z$3005,V$5)=0,"",SUMIFS(請求記録!$AE$6:$AE$3005,請求記録!$B$6:$B$3005,$A183,請求記録!$Z$6:$Z$3005,V$5))))</f>
        <v/>
      </c>
      <c r="W183" s="19">
        <f>IF($A183="","",IF(COUNTIFS(請求記録!$B$6:$B$3005,$A183,請求記録!$Z$6:$Z$3005,W$5,請求記録!$AF$6:$AF$3005,"保留中")&gt;0,"保留",IF(COUNTIFS(請求記録!$B$6:$B$3005,$A183,請求記録!$Z$6:$Z$3005,W$5)=0,"",SUMIFS(請求記録!$AE$6:$AE$3005,請求記録!$B$6:$B$3005,$A183,請求記録!$Z$6:$Z$3005,W$5))))</f>
        <v/>
      </c>
      <c r="X183" s="19">
        <f>IF($A183="","",IF(COUNTIFS(請求記録!$B$6:$B$3005,$A183,請求記録!$Z$6:$Z$3005,X$5,請求記録!$AF$6:$AF$3005,"保留中")&gt;0,"保留",IF(COUNTIFS(請求記録!$B$6:$B$3005,$A183,請求記録!$Z$6:$Z$3005,X$5)=0,"",SUMIFS(請求記録!$AE$6:$AE$3005,請求記録!$B$6:$B$3005,$A183,請求記録!$Z$6:$Z$3005,X$5))))</f>
        <v/>
      </c>
      <c r="Y183" s="19">
        <f>IF($A183="","",IF(COUNTIFS(請求記録!$B$6:$B$3005,$A183,請求記録!$Z$6:$Z$3005,Y$5,請求記録!$AF$6:$AF$3005,"保留中")&gt;0,"保留",IF(COUNTIFS(請求記録!$B$6:$B$3005,$A183,請求記録!$Z$6:$Z$3005,Y$5)=0,"",SUMIFS(請求記録!$AE$6:$AE$3005,請求記録!$B$6:$B$3005,$A183,請求記録!$Z$6:$Z$3005,Y$5))))</f>
        <v/>
      </c>
      <c r="Z183" s="19">
        <f>IF($A183="","",IF(COUNTIFS(請求記録!$B$6:$B$3005,$A183,請求記録!$Z$6:$Z$3005,Z$5,請求記録!$AF$6:$AF$3005,"保留中")&gt;0,"保留",IF(COUNTIFS(請求記録!$B$6:$B$3005,$A183,請求記録!$Z$6:$Z$3005,Z$5)=0,"",SUMIFS(請求記録!$AE$6:$AE$3005,請求記録!$B$6:$B$3005,$A183,請求記録!$Z$6:$Z$3005,Z$5))))</f>
        <v/>
      </c>
      <c r="AA183" s="19">
        <f>IF($A183="","",IF(COUNTIFS(請求記録!$B$6:$B$3005,$A183,請求記録!$Z$6:$Z$3005,AA$5,請求記録!$AF$6:$AF$3005,"保留中")&gt;0,"保留",IF(COUNTIFS(請求記録!$B$6:$B$3005,$A183,請求記録!$Z$6:$Z$3005,AA$5)=0,"",SUMIFS(請求記録!$AE$6:$AE$3005,請求記録!$B$6:$B$3005,$A183,請求記録!$Z$6:$Z$3005,AA$5))))</f>
        <v/>
      </c>
      <c r="AB183">
        <f>IF(職員マスタ!P183="保留中",職員マスタ!M183,"")</f>
        <v/>
      </c>
    </row>
    <row r="184">
      <c r="A184">
        <f>IF(職員マスタ!A184="","",職員マスタ!A184)</f>
        <v/>
      </c>
      <c r="B184">
        <f>IF($A184="","",職員マスタ!B184)</f>
        <v/>
      </c>
      <c r="C184">
        <f>IF($A184="","",職員マスタ!C184)</f>
        <v/>
      </c>
      <c r="D184" s="19">
        <f>IF($A184="","",IF(COUNTIFS(請求記録!$B$6:$B$3005,$A184,請求記録!$Z$6:$Z$3005,D$5,請求記録!$AF$6:$AF$3005,"保留中")&gt;0,"保留",IF(COUNTIFS(請求記録!$B$6:$B$3005,$A184,請求記録!$Z$6:$Z$3005,D$5)=0,"",SUMIFS(請求記録!$AE$6:$AE$3005,請求記録!$B$6:$B$3005,$A184,請求記録!$Z$6:$Z$3005,D$5))))</f>
        <v/>
      </c>
      <c r="E184" s="19">
        <f>IF($A184="","",IF(COUNTIFS(請求記録!$B$6:$B$3005,$A184,請求記録!$Z$6:$Z$3005,E$5,請求記録!$AF$6:$AF$3005,"保留中")&gt;0,"保留",IF(COUNTIFS(請求記録!$B$6:$B$3005,$A184,請求記録!$Z$6:$Z$3005,E$5)=0,"",SUMIFS(請求記録!$AE$6:$AE$3005,請求記録!$B$6:$B$3005,$A184,請求記録!$Z$6:$Z$3005,E$5))))</f>
        <v/>
      </c>
      <c r="F184" s="19">
        <f>IF($A184="","",IF(COUNTIFS(請求記録!$B$6:$B$3005,$A184,請求記録!$Z$6:$Z$3005,F$5,請求記録!$AF$6:$AF$3005,"保留中")&gt;0,"保留",IF(COUNTIFS(請求記録!$B$6:$B$3005,$A184,請求記録!$Z$6:$Z$3005,F$5)=0,"",SUMIFS(請求記録!$AE$6:$AE$3005,請求記録!$B$6:$B$3005,$A184,請求記録!$Z$6:$Z$3005,F$5))))</f>
        <v/>
      </c>
      <c r="G184" s="19">
        <f>IF($A184="","",IF(COUNTIFS(請求記録!$B$6:$B$3005,$A184,請求記録!$Z$6:$Z$3005,G$5,請求記録!$AF$6:$AF$3005,"保留中")&gt;0,"保留",IF(COUNTIFS(請求記録!$B$6:$B$3005,$A184,請求記録!$Z$6:$Z$3005,G$5)=0,"",SUMIFS(請求記録!$AE$6:$AE$3005,請求記録!$B$6:$B$3005,$A184,請求記録!$Z$6:$Z$3005,G$5))))</f>
        <v/>
      </c>
      <c r="H184" s="19">
        <f>IF($A184="","",IF(COUNTIFS(請求記録!$B$6:$B$3005,$A184,請求記録!$Z$6:$Z$3005,H$5,請求記録!$AF$6:$AF$3005,"保留中")&gt;0,"保留",IF(COUNTIFS(請求記録!$B$6:$B$3005,$A184,請求記録!$Z$6:$Z$3005,H$5)=0,"",SUMIFS(請求記録!$AE$6:$AE$3005,請求記録!$B$6:$B$3005,$A184,請求記録!$Z$6:$Z$3005,H$5))))</f>
        <v/>
      </c>
      <c r="I184" s="19">
        <f>IF($A184="","",IF(COUNTIFS(請求記録!$B$6:$B$3005,$A184,請求記録!$Z$6:$Z$3005,I$5,請求記録!$AF$6:$AF$3005,"保留中")&gt;0,"保留",IF(COUNTIFS(請求記録!$B$6:$B$3005,$A184,請求記録!$Z$6:$Z$3005,I$5)=0,"",SUMIFS(請求記録!$AE$6:$AE$3005,請求記録!$B$6:$B$3005,$A184,請求記録!$Z$6:$Z$3005,I$5))))</f>
        <v/>
      </c>
      <c r="J184" s="19">
        <f>IF($A184="","",IF(COUNTIFS(請求記録!$B$6:$B$3005,$A184,請求記録!$Z$6:$Z$3005,J$5,請求記録!$AF$6:$AF$3005,"保留中")&gt;0,"保留",IF(COUNTIFS(請求記録!$B$6:$B$3005,$A184,請求記録!$Z$6:$Z$3005,J$5)=0,"",SUMIFS(請求記録!$AE$6:$AE$3005,請求記録!$B$6:$B$3005,$A184,請求記録!$Z$6:$Z$3005,J$5))))</f>
        <v/>
      </c>
      <c r="K184" s="19">
        <f>IF($A184="","",IF(COUNTIFS(請求記録!$B$6:$B$3005,$A184,請求記録!$Z$6:$Z$3005,K$5,請求記録!$AF$6:$AF$3005,"保留中")&gt;0,"保留",IF(COUNTIFS(請求記録!$B$6:$B$3005,$A184,請求記録!$Z$6:$Z$3005,K$5)=0,"",SUMIFS(請求記録!$AE$6:$AE$3005,請求記録!$B$6:$B$3005,$A184,請求記録!$Z$6:$Z$3005,K$5))))</f>
        <v/>
      </c>
      <c r="L184" s="19">
        <f>IF($A184="","",IF(COUNTIFS(請求記録!$B$6:$B$3005,$A184,請求記録!$Z$6:$Z$3005,L$5,請求記録!$AF$6:$AF$3005,"保留中")&gt;0,"保留",IF(COUNTIFS(請求記録!$B$6:$B$3005,$A184,請求記録!$Z$6:$Z$3005,L$5)=0,"",SUMIFS(請求記録!$AE$6:$AE$3005,請求記録!$B$6:$B$3005,$A184,請求記録!$Z$6:$Z$3005,L$5))))</f>
        <v/>
      </c>
      <c r="M184" s="19">
        <f>IF($A184="","",IF(COUNTIFS(請求記録!$B$6:$B$3005,$A184,請求記録!$Z$6:$Z$3005,M$5,請求記録!$AF$6:$AF$3005,"保留中")&gt;0,"保留",IF(COUNTIFS(請求記録!$B$6:$B$3005,$A184,請求記録!$Z$6:$Z$3005,M$5)=0,"",SUMIFS(請求記録!$AE$6:$AE$3005,請求記録!$B$6:$B$3005,$A184,請求記録!$Z$6:$Z$3005,M$5))))</f>
        <v/>
      </c>
      <c r="N184" s="19">
        <f>IF($A184="","",IF(COUNTIFS(請求記録!$B$6:$B$3005,$A184,請求記録!$Z$6:$Z$3005,N$5,請求記録!$AF$6:$AF$3005,"保留中")&gt;0,"保留",IF(COUNTIFS(請求記録!$B$6:$B$3005,$A184,請求記録!$Z$6:$Z$3005,N$5)=0,"",SUMIFS(請求記録!$AE$6:$AE$3005,請求記録!$B$6:$B$3005,$A184,請求記録!$Z$6:$Z$3005,N$5))))</f>
        <v/>
      </c>
      <c r="O184" s="19">
        <f>IF($A184="","",IF(COUNTIFS(請求記録!$B$6:$B$3005,$A184,請求記録!$Z$6:$Z$3005,O$5,請求記録!$AF$6:$AF$3005,"保留中")&gt;0,"保留",IF(COUNTIFS(請求記録!$B$6:$B$3005,$A184,請求記録!$Z$6:$Z$3005,O$5)=0,"",SUMIFS(請求記録!$AE$6:$AE$3005,請求記録!$B$6:$B$3005,$A184,請求記録!$Z$6:$Z$3005,O$5))))</f>
        <v/>
      </c>
      <c r="P184" s="19">
        <f>IF($A184="","",IF(COUNTIFS(請求記録!$B$6:$B$3005,$A184,請求記録!$Z$6:$Z$3005,P$5,請求記録!$AF$6:$AF$3005,"保留中")&gt;0,"保留",IF(COUNTIFS(請求記録!$B$6:$B$3005,$A184,請求記録!$Z$6:$Z$3005,P$5)=0,"",SUMIFS(請求記録!$AE$6:$AE$3005,請求記録!$B$6:$B$3005,$A184,請求記録!$Z$6:$Z$3005,P$5))))</f>
        <v/>
      </c>
      <c r="Q184" s="19">
        <f>IF($A184="","",IF(COUNTIFS(請求記録!$B$6:$B$3005,$A184,請求記録!$Z$6:$Z$3005,Q$5,請求記録!$AF$6:$AF$3005,"保留中")&gt;0,"保留",IF(COUNTIFS(請求記録!$B$6:$B$3005,$A184,請求記録!$Z$6:$Z$3005,Q$5)=0,"",SUMIFS(請求記録!$AE$6:$AE$3005,請求記録!$B$6:$B$3005,$A184,請求記録!$Z$6:$Z$3005,Q$5))))</f>
        <v/>
      </c>
      <c r="R184" s="19">
        <f>IF($A184="","",IF(COUNTIFS(請求記録!$B$6:$B$3005,$A184,請求記録!$Z$6:$Z$3005,R$5,請求記録!$AF$6:$AF$3005,"保留中")&gt;0,"保留",IF(COUNTIFS(請求記録!$B$6:$B$3005,$A184,請求記録!$Z$6:$Z$3005,R$5)=0,"",SUMIFS(請求記録!$AE$6:$AE$3005,請求記録!$B$6:$B$3005,$A184,請求記録!$Z$6:$Z$3005,R$5))))</f>
        <v/>
      </c>
      <c r="S184" s="19">
        <f>IF($A184="","",IF(COUNTIFS(請求記録!$B$6:$B$3005,$A184,請求記録!$Z$6:$Z$3005,S$5,請求記録!$AF$6:$AF$3005,"保留中")&gt;0,"保留",IF(COUNTIFS(請求記録!$B$6:$B$3005,$A184,請求記録!$Z$6:$Z$3005,S$5)=0,"",SUMIFS(請求記録!$AE$6:$AE$3005,請求記録!$B$6:$B$3005,$A184,請求記録!$Z$6:$Z$3005,S$5))))</f>
        <v/>
      </c>
      <c r="T184" s="19">
        <f>IF($A184="","",IF(COUNTIFS(請求記録!$B$6:$B$3005,$A184,請求記録!$Z$6:$Z$3005,T$5,請求記録!$AF$6:$AF$3005,"保留中")&gt;0,"保留",IF(COUNTIFS(請求記録!$B$6:$B$3005,$A184,請求記録!$Z$6:$Z$3005,T$5)=0,"",SUMIFS(請求記録!$AE$6:$AE$3005,請求記録!$B$6:$B$3005,$A184,請求記録!$Z$6:$Z$3005,T$5))))</f>
        <v/>
      </c>
      <c r="U184" s="19">
        <f>IF($A184="","",IF(COUNTIFS(請求記録!$B$6:$B$3005,$A184,請求記録!$Z$6:$Z$3005,U$5,請求記録!$AF$6:$AF$3005,"保留中")&gt;0,"保留",IF(COUNTIFS(請求記録!$B$6:$B$3005,$A184,請求記録!$Z$6:$Z$3005,U$5)=0,"",SUMIFS(請求記録!$AE$6:$AE$3005,請求記録!$B$6:$B$3005,$A184,請求記録!$Z$6:$Z$3005,U$5))))</f>
        <v/>
      </c>
      <c r="V184" s="19">
        <f>IF($A184="","",IF(COUNTIFS(請求記録!$B$6:$B$3005,$A184,請求記録!$Z$6:$Z$3005,V$5,請求記録!$AF$6:$AF$3005,"保留中")&gt;0,"保留",IF(COUNTIFS(請求記録!$B$6:$B$3005,$A184,請求記録!$Z$6:$Z$3005,V$5)=0,"",SUMIFS(請求記録!$AE$6:$AE$3005,請求記録!$B$6:$B$3005,$A184,請求記録!$Z$6:$Z$3005,V$5))))</f>
        <v/>
      </c>
      <c r="W184" s="19">
        <f>IF($A184="","",IF(COUNTIFS(請求記録!$B$6:$B$3005,$A184,請求記録!$Z$6:$Z$3005,W$5,請求記録!$AF$6:$AF$3005,"保留中")&gt;0,"保留",IF(COUNTIFS(請求記録!$B$6:$B$3005,$A184,請求記録!$Z$6:$Z$3005,W$5)=0,"",SUMIFS(請求記録!$AE$6:$AE$3005,請求記録!$B$6:$B$3005,$A184,請求記録!$Z$6:$Z$3005,W$5))))</f>
        <v/>
      </c>
      <c r="X184" s="19">
        <f>IF($A184="","",IF(COUNTIFS(請求記録!$B$6:$B$3005,$A184,請求記録!$Z$6:$Z$3005,X$5,請求記録!$AF$6:$AF$3005,"保留中")&gt;0,"保留",IF(COUNTIFS(請求記録!$B$6:$B$3005,$A184,請求記録!$Z$6:$Z$3005,X$5)=0,"",SUMIFS(請求記録!$AE$6:$AE$3005,請求記録!$B$6:$B$3005,$A184,請求記録!$Z$6:$Z$3005,X$5))))</f>
        <v/>
      </c>
      <c r="Y184" s="19">
        <f>IF($A184="","",IF(COUNTIFS(請求記録!$B$6:$B$3005,$A184,請求記録!$Z$6:$Z$3005,Y$5,請求記録!$AF$6:$AF$3005,"保留中")&gt;0,"保留",IF(COUNTIFS(請求記録!$B$6:$B$3005,$A184,請求記録!$Z$6:$Z$3005,Y$5)=0,"",SUMIFS(請求記録!$AE$6:$AE$3005,請求記録!$B$6:$B$3005,$A184,請求記録!$Z$6:$Z$3005,Y$5))))</f>
        <v/>
      </c>
      <c r="Z184" s="19">
        <f>IF($A184="","",IF(COUNTIFS(請求記録!$B$6:$B$3005,$A184,請求記録!$Z$6:$Z$3005,Z$5,請求記録!$AF$6:$AF$3005,"保留中")&gt;0,"保留",IF(COUNTIFS(請求記録!$B$6:$B$3005,$A184,請求記録!$Z$6:$Z$3005,Z$5)=0,"",SUMIFS(請求記録!$AE$6:$AE$3005,請求記録!$B$6:$B$3005,$A184,請求記録!$Z$6:$Z$3005,Z$5))))</f>
        <v/>
      </c>
      <c r="AA184" s="19">
        <f>IF($A184="","",IF(COUNTIFS(請求記録!$B$6:$B$3005,$A184,請求記録!$Z$6:$Z$3005,AA$5,請求記録!$AF$6:$AF$3005,"保留中")&gt;0,"保留",IF(COUNTIFS(請求記録!$B$6:$B$3005,$A184,請求記録!$Z$6:$Z$3005,AA$5)=0,"",SUMIFS(請求記録!$AE$6:$AE$3005,請求記録!$B$6:$B$3005,$A184,請求記録!$Z$6:$Z$3005,AA$5))))</f>
        <v/>
      </c>
      <c r="AB184">
        <f>IF(職員マスタ!P184="保留中",職員マスタ!M184,"")</f>
        <v/>
      </c>
    </row>
    <row r="185">
      <c r="A185">
        <f>IF(職員マスタ!A185="","",職員マスタ!A185)</f>
        <v/>
      </c>
      <c r="B185">
        <f>IF($A185="","",職員マスタ!B185)</f>
        <v/>
      </c>
      <c r="C185">
        <f>IF($A185="","",職員マスタ!C185)</f>
        <v/>
      </c>
      <c r="D185" s="19">
        <f>IF($A185="","",IF(COUNTIFS(請求記録!$B$6:$B$3005,$A185,請求記録!$Z$6:$Z$3005,D$5,請求記録!$AF$6:$AF$3005,"保留中")&gt;0,"保留",IF(COUNTIFS(請求記録!$B$6:$B$3005,$A185,請求記録!$Z$6:$Z$3005,D$5)=0,"",SUMIFS(請求記録!$AE$6:$AE$3005,請求記録!$B$6:$B$3005,$A185,請求記録!$Z$6:$Z$3005,D$5))))</f>
        <v/>
      </c>
      <c r="E185" s="19">
        <f>IF($A185="","",IF(COUNTIFS(請求記録!$B$6:$B$3005,$A185,請求記録!$Z$6:$Z$3005,E$5,請求記録!$AF$6:$AF$3005,"保留中")&gt;0,"保留",IF(COUNTIFS(請求記録!$B$6:$B$3005,$A185,請求記録!$Z$6:$Z$3005,E$5)=0,"",SUMIFS(請求記録!$AE$6:$AE$3005,請求記録!$B$6:$B$3005,$A185,請求記録!$Z$6:$Z$3005,E$5))))</f>
        <v/>
      </c>
      <c r="F185" s="19">
        <f>IF($A185="","",IF(COUNTIFS(請求記録!$B$6:$B$3005,$A185,請求記録!$Z$6:$Z$3005,F$5,請求記録!$AF$6:$AF$3005,"保留中")&gt;0,"保留",IF(COUNTIFS(請求記録!$B$6:$B$3005,$A185,請求記録!$Z$6:$Z$3005,F$5)=0,"",SUMIFS(請求記録!$AE$6:$AE$3005,請求記録!$B$6:$B$3005,$A185,請求記録!$Z$6:$Z$3005,F$5))))</f>
        <v/>
      </c>
      <c r="G185" s="19">
        <f>IF($A185="","",IF(COUNTIFS(請求記録!$B$6:$B$3005,$A185,請求記録!$Z$6:$Z$3005,G$5,請求記録!$AF$6:$AF$3005,"保留中")&gt;0,"保留",IF(COUNTIFS(請求記録!$B$6:$B$3005,$A185,請求記録!$Z$6:$Z$3005,G$5)=0,"",SUMIFS(請求記録!$AE$6:$AE$3005,請求記録!$B$6:$B$3005,$A185,請求記録!$Z$6:$Z$3005,G$5))))</f>
        <v/>
      </c>
      <c r="H185" s="19">
        <f>IF($A185="","",IF(COUNTIFS(請求記録!$B$6:$B$3005,$A185,請求記録!$Z$6:$Z$3005,H$5,請求記録!$AF$6:$AF$3005,"保留中")&gt;0,"保留",IF(COUNTIFS(請求記録!$B$6:$B$3005,$A185,請求記録!$Z$6:$Z$3005,H$5)=0,"",SUMIFS(請求記録!$AE$6:$AE$3005,請求記録!$B$6:$B$3005,$A185,請求記録!$Z$6:$Z$3005,H$5))))</f>
        <v/>
      </c>
      <c r="I185" s="19">
        <f>IF($A185="","",IF(COUNTIFS(請求記録!$B$6:$B$3005,$A185,請求記録!$Z$6:$Z$3005,I$5,請求記録!$AF$6:$AF$3005,"保留中")&gt;0,"保留",IF(COUNTIFS(請求記録!$B$6:$B$3005,$A185,請求記録!$Z$6:$Z$3005,I$5)=0,"",SUMIFS(請求記録!$AE$6:$AE$3005,請求記録!$B$6:$B$3005,$A185,請求記録!$Z$6:$Z$3005,I$5))))</f>
        <v/>
      </c>
      <c r="J185" s="19">
        <f>IF($A185="","",IF(COUNTIFS(請求記録!$B$6:$B$3005,$A185,請求記録!$Z$6:$Z$3005,J$5,請求記録!$AF$6:$AF$3005,"保留中")&gt;0,"保留",IF(COUNTIFS(請求記録!$B$6:$B$3005,$A185,請求記録!$Z$6:$Z$3005,J$5)=0,"",SUMIFS(請求記録!$AE$6:$AE$3005,請求記録!$B$6:$B$3005,$A185,請求記録!$Z$6:$Z$3005,J$5))))</f>
        <v/>
      </c>
      <c r="K185" s="19">
        <f>IF($A185="","",IF(COUNTIFS(請求記録!$B$6:$B$3005,$A185,請求記録!$Z$6:$Z$3005,K$5,請求記録!$AF$6:$AF$3005,"保留中")&gt;0,"保留",IF(COUNTIFS(請求記録!$B$6:$B$3005,$A185,請求記録!$Z$6:$Z$3005,K$5)=0,"",SUMIFS(請求記録!$AE$6:$AE$3005,請求記録!$B$6:$B$3005,$A185,請求記録!$Z$6:$Z$3005,K$5))))</f>
        <v/>
      </c>
      <c r="L185" s="19">
        <f>IF($A185="","",IF(COUNTIFS(請求記録!$B$6:$B$3005,$A185,請求記録!$Z$6:$Z$3005,L$5,請求記録!$AF$6:$AF$3005,"保留中")&gt;0,"保留",IF(COUNTIFS(請求記録!$B$6:$B$3005,$A185,請求記録!$Z$6:$Z$3005,L$5)=0,"",SUMIFS(請求記録!$AE$6:$AE$3005,請求記録!$B$6:$B$3005,$A185,請求記録!$Z$6:$Z$3005,L$5))))</f>
        <v/>
      </c>
      <c r="M185" s="19">
        <f>IF($A185="","",IF(COUNTIFS(請求記録!$B$6:$B$3005,$A185,請求記録!$Z$6:$Z$3005,M$5,請求記録!$AF$6:$AF$3005,"保留中")&gt;0,"保留",IF(COUNTIFS(請求記録!$B$6:$B$3005,$A185,請求記録!$Z$6:$Z$3005,M$5)=0,"",SUMIFS(請求記録!$AE$6:$AE$3005,請求記録!$B$6:$B$3005,$A185,請求記録!$Z$6:$Z$3005,M$5))))</f>
        <v/>
      </c>
      <c r="N185" s="19">
        <f>IF($A185="","",IF(COUNTIFS(請求記録!$B$6:$B$3005,$A185,請求記録!$Z$6:$Z$3005,N$5,請求記録!$AF$6:$AF$3005,"保留中")&gt;0,"保留",IF(COUNTIFS(請求記録!$B$6:$B$3005,$A185,請求記録!$Z$6:$Z$3005,N$5)=0,"",SUMIFS(請求記録!$AE$6:$AE$3005,請求記録!$B$6:$B$3005,$A185,請求記録!$Z$6:$Z$3005,N$5))))</f>
        <v/>
      </c>
      <c r="O185" s="19">
        <f>IF($A185="","",IF(COUNTIFS(請求記録!$B$6:$B$3005,$A185,請求記録!$Z$6:$Z$3005,O$5,請求記録!$AF$6:$AF$3005,"保留中")&gt;0,"保留",IF(COUNTIFS(請求記録!$B$6:$B$3005,$A185,請求記録!$Z$6:$Z$3005,O$5)=0,"",SUMIFS(請求記録!$AE$6:$AE$3005,請求記録!$B$6:$B$3005,$A185,請求記録!$Z$6:$Z$3005,O$5))))</f>
        <v/>
      </c>
      <c r="P185" s="19">
        <f>IF($A185="","",IF(COUNTIFS(請求記録!$B$6:$B$3005,$A185,請求記録!$Z$6:$Z$3005,P$5,請求記録!$AF$6:$AF$3005,"保留中")&gt;0,"保留",IF(COUNTIFS(請求記録!$B$6:$B$3005,$A185,請求記録!$Z$6:$Z$3005,P$5)=0,"",SUMIFS(請求記録!$AE$6:$AE$3005,請求記録!$B$6:$B$3005,$A185,請求記録!$Z$6:$Z$3005,P$5))))</f>
        <v/>
      </c>
      <c r="Q185" s="19">
        <f>IF($A185="","",IF(COUNTIFS(請求記録!$B$6:$B$3005,$A185,請求記録!$Z$6:$Z$3005,Q$5,請求記録!$AF$6:$AF$3005,"保留中")&gt;0,"保留",IF(COUNTIFS(請求記録!$B$6:$B$3005,$A185,請求記録!$Z$6:$Z$3005,Q$5)=0,"",SUMIFS(請求記録!$AE$6:$AE$3005,請求記録!$B$6:$B$3005,$A185,請求記録!$Z$6:$Z$3005,Q$5))))</f>
        <v/>
      </c>
      <c r="R185" s="19">
        <f>IF($A185="","",IF(COUNTIFS(請求記録!$B$6:$B$3005,$A185,請求記録!$Z$6:$Z$3005,R$5,請求記録!$AF$6:$AF$3005,"保留中")&gt;0,"保留",IF(COUNTIFS(請求記録!$B$6:$B$3005,$A185,請求記録!$Z$6:$Z$3005,R$5)=0,"",SUMIFS(請求記録!$AE$6:$AE$3005,請求記録!$B$6:$B$3005,$A185,請求記録!$Z$6:$Z$3005,R$5))))</f>
        <v/>
      </c>
      <c r="S185" s="19">
        <f>IF($A185="","",IF(COUNTIFS(請求記録!$B$6:$B$3005,$A185,請求記録!$Z$6:$Z$3005,S$5,請求記録!$AF$6:$AF$3005,"保留中")&gt;0,"保留",IF(COUNTIFS(請求記録!$B$6:$B$3005,$A185,請求記録!$Z$6:$Z$3005,S$5)=0,"",SUMIFS(請求記録!$AE$6:$AE$3005,請求記録!$B$6:$B$3005,$A185,請求記録!$Z$6:$Z$3005,S$5))))</f>
        <v/>
      </c>
      <c r="T185" s="19">
        <f>IF($A185="","",IF(COUNTIFS(請求記録!$B$6:$B$3005,$A185,請求記録!$Z$6:$Z$3005,T$5,請求記録!$AF$6:$AF$3005,"保留中")&gt;0,"保留",IF(COUNTIFS(請求記録!$B$6:$B$3005,$A185,請求記録!$Z$6:$Z$3005,T$5)=0,"",SUMIFS(請求記録!$AE$6:$AE$3005,請求記録!$B$6:$B$3005,$A185,請求記録!$Z$6:$Z$3005,T$5))))</f>
        <v/>
      </c>
      <c r="U185" s="19">
        <f>IF($A185="","",IF(COUNTIFS(請求記録!$B$6:$B$3005,$A185,請求記録!$Z$6:$Z$3005,U$5,請求記録!$AF$6:$AF$3005,"保留中")&gt;0,"保留",IF(COUNTIFS(請求記録!$B$6:$B$3005,$A185,請求記録!$Z$6:$Z$3005,U$5)=0,"",SUMIFS(請求記録!$AE$6:$AE$3005,請求記録!$B$6:$B$3005,$A185,請求記録!$Z$6:$Z$3005,U$5))))</f>
        <v/>
      </c>
      <c r="V185" s="19">
        <f>IF($A185="","",IF(COUNTIFS(請求記録!$B$6:$B$3005,$A185,請求記録!$Z$6:$Z$3005,V$5,請求記録!$AF$6:$AF$3005,"保留中")&gt;0,"保留",IF(COUNTIFS(請求記録!$B$6:$B$3005,$A185,請求記録!$Z$6:$Z$3005,V$5)=0,"",SUMIFS(請求記録!$AE$6:$AE$3005,請求記録!$B$6:$B$3005,$A185,請求記録!$Z$6:$Z$3005,V$5))))</f>
        <v/>
      </c>
      <c r="W185" s="19">
        <f>IF($A185="","",IF(COUNTIFS(請求記録!$B$6:$B$3005,$A185,請求記録!$Z$6:$Z$3005,W$5,請求記録!$AF$6:$AF$3005,"保留中")&gt;0,"保留",IF(COUNTIFS(請求記録!$B$6:$B$3005,$A185,請求記録!$Z$6:$Z$3005,W$5)=0,"",SUMIFS(請求記録!$AE$6:$AE$3005,請求記録!$B$6:$B$3005,$A185,請求記録!$Z$6:$Z$3005,W$5))))</f>
        <v/>
      </c>
      <c r="X185" s="19">
        <f>IF($A185="","",IF(COUNTIFS(請求記録!$B$6:$B$3005,$A185,請求記録!$Z$6:$Z$3005,X$5,請求記録!$AF$6:$AF$3005,"保留中")&gt;0,"保留",IF(COUNTIFS(請求記録!$B$6:$B$3005,$A185,請求記録!$Z$6:$Z$3005,X$5)=0,"",SUMIFS(請求記録!$AE$6:$AE$3005,請求記録!$B$6:$B$3005,$A185,請求記録!$Z$6:$Z$3005,X$5))))</f>
        <v/>
      </c>
      <c r="Y185" s="19">
        <f>IF($A185="","",IF(COUNTIFS(請求記録!$B$6:$B$3005,$A185,請求記録!$Z$6:$Z$3005,Y$5,請求記録!$AF$6:$AF$3005,"保留中")&gt;0,"保留",IF(COUNTIFS(請求記録!$B$6:$B$3005,$A185,請求記録!$Z$6:$Z$3005,Y$5)=0,"",SUMIFS(請求記録!$AE$6:$AE$3005,請求記録!$B$6:$B$3005,$A185,請求記録!$Z$6:$Z$3005,Y$5))))</f>
        <v/>
      </c>
      <c r="Z185" s="19">
        <f>IF($A185="","",IF(COUNTIFS(請求記録!$B$6:$B$3005,$A185,請求記録!$Z$6:$Z$3005,Z$5,請求記録!$AF$6:$AF$3005,"保留中")&gt;0,"保留",IF(COUNTIFS(請求記録!$B$6:$B$3005,$A185,請求記録!$Z$6:$Z$3005,Z$5)=0,"",SUMIFS(請求記録!$AE$6:$AE$3005,請求記録!$B$6:$B$3005,$A185,請求記録!$Z$6:$Z$3005,Z$5))))</f>
        <v/>
      </c>
      <c r="AA185" s="19">
        <f>IF($A185="","",IF(COUNTIFS(請求記録!$B$6:$B$3005,$A185,請求記録!$Z$6:$Z$3005,AA$5,請求記録!$AF$6:$AF$3005,"保留中")&gt;0,"保留",IF(COUNTIFS(請求記録!$B$6:$B$3005,$A185,請求記録!$Z$6:$Z$3005,AA$5)=0,"",SUMIFS(請求記録!$AE$6:$AE$3005,請求記録!$B$6:$B$3005,$A185,請求記録!$Z$6:$Z$3005,AA$5))))</f>
        <v/>
      </c>
      <c r="AB185">
        <f>IF(職員マスタ!P185="保留中",職員マスタ!M185,"")</f>
        <v/>
      </c>
    </row>
    <row r="186">
      <c r="A186">
        <f>IF(職員マスタ!A186="","",職員マスタ!A186)</f>
        <v/>
      </c>
      <c r="B186">
        <f>IF($A186="","",職員マスタ!B186)</f>
        <v/>
      </c>
      <c r="C186">
        <f>IF($A186="","",職員マスタ!C186)</f>
        <v/>
      </c>
      <c r="D186" s="19">
        <f>IF($A186="","",IF(COUNTIFS(請求記録!$B$6:$B$3005,$A186,請求記録!$Z$6:$Z$3005,D$5,請求記録!$AF$6:$AF$3005,"保留中")&gt;0,"保留",IF(COUNTIFS(請求記録!$B$6:$B$3005,$A186,請求記録!$Z$6:$Z$3005,D$5)=0,"",SUMIFS(請求記録!$AE$6:$AE$3005,請求記録!$B$6:$B$3005,$A186,請求記録!$Z$6:$Z$3005,D$5))))</f>
        <v/>
      </c>
      <c r="E186" s="19">
        <f>IF($A186="","",IF(COUNTIFS(請求記録!$B$6:$B$3005,$A186,請求記録!$Z$6:$Z$3005,E$5,請求記録!$AF$6:$AF$3005,"保留中")&gt;0,"保留",IF(COUNTIFS(請求記録!$B$6:$B$3005,$A186,請求記録!$Z$6:$Z$3005,E$5)=0,"",SUMIFS(請求記録!$AE$6:$AE$3005,請求記録!$B$6:$B$3005,$A186,請求記録!$Z$6:$Z$3005,E$5))))</f>
        <v/>
      </c>
      <c r="F186" s="19">
        <f>IF($A186="","",IF(COUNTIFS(請求記録!$B$6:$B$3005,$A186,請求記録!$Z$6:$Z$3005,F$5,請求記録!$AF$6:$AF$3005,"保留中")&gt;0,"保留",IF(COUNTIFS(請求記録!$B$6:$B$3005,$A186,請求記録!$Z$6:$Z$3005,F$5)=0,"",SUMIFS(請求記録!$AE$6:$AE$3005,請求記録!$B$6:$B$3005,$A186,請求記録!$Z$6:$Z$3005,F$5))))</f>
        <v/>
      </c>
      <c r="G186" s="19">
        <f>IF($A186="","",IF(COUNTIFS(請求記録!$B$6:$B$3005,$A186,請求記録!$Z$6:$Z$3005,G$5,請求記録!$AF$6:$AF$3005,"保留中")&gt;0,"保留",IF(COUNTIFS(請求記録!$B$6:$B$3005,$A186,請求記録!$Z$6:$Z$3005,G$5)=0,"",SUMIFS(請求記録!$AE$6:$AE$3005,請求記録!$B$6:$B$3005,$A186,請求記録!$Z$6:$Z$3005,G$5))))</f>
        <v/>
      </c>
      <c r="H186" s="19">
        <f>IF($A186="","",IF(COUNTIFS(請求記録!$B$6:$B$3005,$A186,請求記録!$Z$6:$Z$3005,H$5,請求記録!$AF$6:$AF$3005,"保留中")&gt;0,"保留",IF(COUNTIFS(請求記録!$B$6:$B$3005,$A186,請求記録!$Z$6:$Z$3005,H$5)=0,"",SUMIFS(請求記録!$AE$6:$AE$3005,請求記録!$B$6:$B$3005,$A186,請求記録!$Z$6:$Z$3005,H$5))))</f>
        <v/>
      </c>
      <c r="I186" s="19">
        <f>IF($A186="","",IF(COUNTIFS(請求記録!$B$6:$B$3005,$A186,請求記録!$Z$6:$Z$3005,I$5,請求記録!$AF$6:$AF$3005,"保留中")&gt;0,"保留",IF(COUNTIFS(請求記録!$B$6:$B$3005,$A186,請求記録!$Z$6:$Z$3005,I$5)=0,"",SUMIFS(請求記録!$AE$6:$AE$3005,請求記録!$B$6:$B$3005,$A186,請求記録!$Z$6:$Z$3005,I$5))))</f>
        <v/>
      </c>
      <c r="J186" s="19">
        <f>IF($A186="","",IF(COUNTIFS(請求記録!$B$6:$B$3005,$A186,請求記録!$Z$6:$Z$3005,J$5,請求記録!$AF$6:$AF$3005,"保留中")&gt;0,"保留",IF(COUNTIFS(請求記録!$B$6:$B$3005,$A186,請求記録!$Z$6:$Z$3005,J$5)=0,"",SUMIFS(請求記録!$AE$6:$AE$3005,請求記録!$B$6:$B$3005,$A186,請求記録!$Z$6:$Z$3005,J$5))))</f>
        <v/>
      </c>
      <c r="K186" s="19">
        <f>IF($A186="","",IF(COUNTIFS(請求記録!$B$6:$B$3005,$A186,請求記録!$Z$6:$Z$3005,K$5,請求記録!$AF$6:$AF$3005,"保留中")&gt;0,"保留",IF(COUNTIFS(請求記録!$B$6:$B$3005,$A186,請求記録!$Z$6:$Z$3005,K$5)=0,"",SUMIFS(請求記録!$AE$6:$AE$3005,請求記録!$B$6:$B$3005,$A186,請求記録!$Z$6:$Z$3005,K$5))))</f>
        <v/>
      </c>
      <c r="L186" s="19">
        <f>IF($A186="","",IF(COUNTIFS(請求記録!$B$6:$B$3005,$A186,請求記録!$Z$6:$Z$3005,L$5,請求記録!$AF$6:$AF$3005,"保留中")&gt;0,"保留",IF(COUNTIFS(請求記録!$B$6:$B$3005,$A186,請求記録!$Z$6:$Z$3005,L$5)=0,"",SUMIFS(請求記録!$AE$6:$AE$3005,請求記録!$B$6:$B$3005,$A186,請求記録!$Z$6:$Z$3005,L$5))))</f>
        <v/>
      </c>
      <c r="M186" s="19">
        <f>IF($A186="","",IF(COUNTIFS(請求記録!$B$6:$B$3005,$A186,請求記録!$Z$6:$Z$3005,M$5,請求記録!$AF$6:$AF$3005,"保留中")&gt;0,"保留",IF(COUNTIFS(請求記録!$B$6:$B$3005,$A186,請求記録!$Z$6:$Z$3005,M$5)=0,"",SUMIFS(請求記録!$AE$6:$AE$3005,請求記録!$B$6:$B$3005,$A186,請求記録!$Z$6:$Z$3005,M$5))))</f>
        <v/>
      </c>
      <c r="N186" s="19">
        <f>IF($A186="","",IF(COUNTIFS(請求記録!$B$6:$B$3005,$A186,請求記録!$Z$6:$Z$3005,N$5,請求記録!$AF$6:$AF$3005,"保留中")&gt;0,"保留",IF(COUNTIFS(請求記録!$B$6:$B$3005,$A186,請求記録!$Z$6:$Z$3005,N$5)=0,"",SUMIFS(請求記録!$AE$6:$AE$3005,請求記録!$B$6:$B$3005,$A186,請求記録!$Z$6:$Z$3005,N$5))))</f>
        <v/>
      </c>
      <c r="O186" s="19">
        <f>IF($A186="","",IF(COUNTIFS(請求記録!$B$6:$B$3005,$A186,請求記録!$Z$6:$Z$3005,O$5,請求記録!$AF$6:$AF$3005,"保留中")&gt;0,"保留",IF(COUNTIFS(請求記録!$B$6:$B$3005,$A186,請求記録!$Z$6:$Z$3005,O$5)=0,"",SUMIFS(請求記録!$AE$6:$AE$3005,請求記録!$B$6:$B$3005,$A186,請求記録!$Z$6:$Z$3005,O$5))))</f>
        <v/>
      </c>
      <c r="P186" s="19">
        <f>IF($A186="","",IF(COUNTIFS(請求記録!$B$6:$B$3005,$A186,請求記録!$Z$6:$Z$3005,P$5,請求記録!$AF$6:$AF$3005,"保留中")&gt;0,"保留",IF(COUNTIFS(請求記録!$B$6:$B$3005,$A186,請求記録!$Z$6:$Z$3005,P$5)=0,"",SUMIFS(請求記録!$AE$6:$AE$3005,請求記録!$B$6:$B$3005,$A186,請求記録!$Z$6:$Z$3005,P$5))))</f>
        <v/>
      </c>
      <c r="Q186" s="19">
        <f>IF($A186="","",IF(COUNTIFS(請求記録!$B$6:$B$3005,$A186,請求記録!$Z$6:$Z$3005,Q$5,請求記録!$AF$6:$AF$3005,"保留中")&gt;0,"保留",IF(COUNTIFS(請求記録!$B$6:$B$3005,$A186,請求記録!$Z$6:$Z$3005,Q$5)=0,"",SUMIFS(請求記録!$AE$6:$AE$3005,請求記録!$B$6:$B$3005,$A186,請求記録!$Z$6:$Z$3005,Q$5))))</f>
        <v/>
      </c>
      <c r="R186" s="19">
        <f>IF($A186="","",IF(COUNTIFS(請求記録!$B$6:$B$3005,$A186,請求記録!$Z$6:$Z$3005,R$5,請求記録!$AF$6:$AF$3005,"保留中")&gt;0,"保留",IF(COUNTIFS(請求記録!$B$6:$B$3005,$A186,請求記録!$Z$6:$Z$3005,R$5)=0,"",SUMIFS(請求記録!$AE$6:$AE$3005,請求記録!$B$6:$B$3005,$A186,請求記録!$Z$6:$Z$3005,R$5))))</f>
        <v/>
      </c>
      <c r="S186" s="19">
        <f>IF($A186="","",IF(COUNTIFS(請求記録!$B$6:$B$3005,$A186,請求記録!$Z$6:$Z$3005,S$5,請求記録!$AF$6:$AF$3005,"保留中")&gt;0,"保留",IF(COUNTIFS(請求記録!$B$6:$B$3005,$A186,請求記録!$Z$6:$Z$3005,S$5)=0,"",SUMIFS(請求記録!$AE$6:$AE$3005,請求記録!$B$6:$B$3005,$A186,請求記録!$Z$6:$Z$3005,S$5))))</f>
        <v/>
      </c>
      <c r="T186" s="19">
        <f>IF($A186="","",IF(COUNTIFS(請求記録!$B$6:$B$3005,$A186,請求記録!$Z$6:$Z$3005,T$5,請求記録!$AF$6:$AF$3005,"保留中")&gt;0,"保留",IF(COUNTIFS(請求記録!$B$6:$B$3005,$A186,請求記録!$Z$6:$Z$3005,T$5)=0,"",SUMIFS(請求記録!$AE$6:$AE$3005,請求記録!$B$6:$B$3005,$A186,請求記録!$Z$6:$Z$3005,T$5))))</f>
        <v/>
      </c>
      <c r="U186" s="19">
        <f>IF($A186="","",IF(COUNTIFS(請求記録!$B$6:$B$3005,$A186,請求記録!$Z$6:$Z$3005,U$5,請求記録!$AF$6:$AF$3005,"保留中")&gt;0,"保留",IF(COUNTIFS(請求記録!$B$6:$B$3005,$A186,請求記録!$Z$6:$Z$3005,U$5)=0,"",SUMIFS(請求記録!$AE$6:$AE$3005,請求記録!$B$6:$B$3005,$A186,請求記録!$Z$6:$Z$3005,U$5))))</f>
        <v/>
      </c>
      <c r="V186" s="19">
        <f>IF($A186="","",IF(COUNTIFS(請求記録!$B$6:$B$3005,$A186,請求記録!$Z$6:$Z$3005,V$5,請求記録!$AF$6:$AF$3005,"保留中")&gt;0,"保留",IF(COUNTIFS(請求記録!$B$6:$B$3005,$A186,請求記録!$Z$6:$Z$3005,V$5)=0,"",SUMIFS(請求記録!$AE$6:$AE$3005,請求記録!$B$6:$B$3005,$A186,請求記録!$Z$6:$Z$3005,V$5))))</f>
        <v/>
      </c>
      <c r="W186" s="19">
        <f>IF($A186="","",IF(COUNTIFS(請求記録!$B$6:$B$3005,$A186,請求記録!$Z$6:$Z$3005,W$5,請求記録!$AF$6:$AF$3005,"保留中")&gt;0,"保留",IF(COUNTIFS(請求記録!$B$6:$B$3005,$A186,請求記録!$Z$6:$Z$3005,W$5)=0,"",SUMIFS(請求記録!$AE$6:$AE$3005,請求記録!$B$6:$B$3005,$A186,請求記録!$Z$6:$Z$3005,W$5))))</f>
        <v/>
      </c>
      <c r="X186" s="19">
        <f>IF($A186="","",IF(COUNTIFS(請求記録!$B$6:$B$3005,$A186,請求記録!$Z$6:$Z$3005,X$5,請求記録!$AF$6:$AF$3005,"保留中")&gt;0,"保留",IF(COUNTIFS(請求記録!$B$6:$B$3005,$A186,請求記録!$Z$6:$Z$3005,X$5)=0,"",SUMIFS(請求記録!$AE$6:$AE$3005,請求記録!$B$6:$B$3005,$A186,請求記録!$Z$6:$Z$3005,X$5))))</f>
        <v/>
      </c>
      <c r="Y186" s="19">
        <f>IF($A186="","",IF(COUNTIFS(請求記録!$B$6:$B$3005,$A186,請求記録!$Z$6:$Z$3005,Y$5,請求記録!$AF$6:$AF$3005,"保留中")&gt;0,"保留",IF(COUNTIFS(請求記録!$B$6:$B$3005,$A186,請求記録!$Z$6:$Z$3005,Y$5)=0,"",SUMIFS(請求記録!$AE$6:$AE$3005,請求記録!$B$6:$B$3005,$A186,請求記録!$Z$6:$Z$3005,Y$5))))</f>
        <v/>
      </c>
      <c r="Z186" s="19">
        <f>IF($A186="","",IF(COUNTIFS(請求記録!$B$6:$B$3005,$A186,請求記録!$Z$6:$Z$3005,Z$5,請求記録!$AF$6:$AF$3005,"保留中")&gt;0,"保留",IF(COUNTIFS(請求記録!$B$6:$B$3005,$A186,請求記録!$Z$6:$Z$3005,Z$5)=0,"",SUMIFS(請求記録!$AE$6:$AE$3005,請求記録!$B$6:$B$3005,$A186,請求記録!$Z$6:$Z$3005,Z$5))))</f>
        <v/>
      </c>
      <c r="AA186" s="19">
        <f>IF($A186="","",IF(COUNTIFS(請求記録!$B$6:$B$3005,$A186,請求記録!$Z$6:$Z$3005,AA$5,請求記録!$AF$6:$AF$3005,"保留中")&gt;0,"保留",IF(COUNTIFS(請求記録!$B$6:$B$3005,$A186,請求記録!$Z$6:$Z$3005,AA$5)=0,"",SUMIFS(請求記録!$AE$6:$AE$3005,請求記録!$B$6:$B$3005,$A186,請求記録!$Z$6:$Z$3005,AA$5))))</f>
        <v/>
      </c>
      <c r="AB186">
        <f>IF(職員マスタ!P186="保留中",職員マスタ!M186,"")</f>
        <v/>
      </c>
    </row>
    <row r="187">
      <c r="A187">
        <f>IF(職員マスタ!A187="","",職員マスタ!A187)</f>
        <v/>
      </c>
      <c r="B187">
        <f>IF($A187="","",職員マスタ!B187)</f>
        <v/>
      </c>
      <c r="C187">
        <f>IF($A187="","",職員マスタ!C187)</f>
        <v/>
      </c>
      <c r="D187" s="19">
        <f>IF($A187="","",IF(COUNTIFS(請求記録!$B$6:$B$3005,$A187,請求記録!$Z$6:$Z$3005,D$5,請求記録!$AF$6:$AF$3005,"保留中")&gt;0,"保留",IF(COUNTIFS(請求記録!$B$6:$B$3005,$A187,請求記録!$Z$6:$Z$3005,D$5)=0,"",SUMIFS(請求記録!$AE$6:$AE$3005,請求記録!$B$6:$B$3005,$A187,請求記録!$Z$6:$Z$3005,D$5))))</f>
        <v/>
      </c>
      <c r="E187" s="19">
        <f>IF($A187="","",IF(COUNTIFS(請求記録!$B$6:$B$3005,$A187,請求記録!$Z$6:$Z$3005,E$5,請求記録!$AF$6:$AF$3005,"保留中")&gt;0,"保留",IF(COUNTIFS(請求記録!$B$6:$B$3005,$A187,請求記録!$Z$6:$Z$3005,E$5)=0,"",SUMIFS(請求記録!$AE$6:$AE$3005,請求記録!$B$6:$B$3005,$A187,請求記録!$Z$6:$Z$3005,E$5))))</f>
        <v/>
      </c>
      <c r="F187" s="19">
        <f>IF($A187="","",IF(COUNTIFS(請求記録!$B$6:$B$3005,$A187,請求記録!$Z$6:$Z$3005,F$5,請求記録!$AF$6:$AF$3005,"保留中")&gt;0,"保留",IF(COUNTIFS(請求記録!$B$6:$B$3005,$A187,請求記録!$Z$6:$Z$3005,F$5)=0,"",SUMIFS(請求記録!$AE$6:$AE$3005,請求記録!$B$6:$B$3005,$A187,請求記録!$Z$6:$Z$3005,F$5))))</f>
        <v/>
      </c>
      <c r="G187" s="19">
        <f>IF($A187="","",IF(COUNTIFS(請求記録!$B$6:$B$3005,$A187,請求記録!$Z$6:$Z$3005,G$5,請求記録!$AF$6:$AF$3005,"保留中")&gt;0,"保留",IF(COUNTIFS(請求記録!$B$6:$B$3005,$A187,請求記録!$Z$6:$Z$3005,G$5)=0,"",SUMIFS(請求記録!$AE$6:$AE$3005,請求記録!$B$6:$B$3005,$A187,請求記録!$Z$6:$Z$3005,G$5))))</f>
        <v/>
      </c>
      <c r="H187" s="19">
        <f>IF($A187="","",IF(COUNTIFS(請求記録!$B$6:$B$3005,$A187,請求記録!$Z$6:$Z$3005,H$5,請求記録!$AF$6:$AF$3005,"保留中")&gt;0,"保留",IF(COUNTIFS(請求記録!$B$6:$B$3005,$A187,請求記録!$Z$6:$Z$3005,H$5)=0,"",SUMIFS(請求記録!$AE$6:$AE$3005,請求記録!$B$6:$B$3005,$A187,請求記録!$Z$6:$Z$3005,H$5))))</f>
        <v/>
      </c>
      <c r="I187" s="19">
        <f>IF($A187="","",IF(COUNTIFS(請求記録!$B$6:$B$3005,$A187,請求記録!$Z$6:$Z$3005,I$5,請求記録!$AF$6:$AF$3005,"保留中")&gt;0,"保留",IF(COUNTIFS(請求記録!$B$6:$B$3005,$A187,請求記録!$Z$6:$Z$3005,I$5)=0,"",SUMIFS(請求記録!$AE$6:$AE$3005,請求記録!$B$6:$B$3005,$A187,請求記録!$Z$6:$Z$3005,I$5))))</f>
        <v/>
      </c>
      <c r="J187" s="19">
        <f>IF($A187="","",IF(COUNTIFS(請求記録!$B$6:$B$3005,$A187,請求記録!$Z$6:$Z$3005,J$5,請求記録!$AF$6:$AF$3005,"保留中")&gt;0,"保留",IF(COUNTIFS(請求記録!$B$6:$B$3005,$A187,請求記録!$Z$6:$Z$3005,J$5)=0,"",SUMIFS(請求記録!$AE$6:$AE$3005,請求記録!$B$6:$B$3005,$A187,請求記録!$Z$6:$Z$3005,J$5))))</f>
        <v/>
      </c>
      <c r="K187" s="19">
        <f>IF($A187="","",IF(COUNTIFS(請求記録!$B$6:$B$3005,$A187,請求記録!$Z$6:$Z$3005,K$5,請求記録!$AF$6:$AF$3005,"保留中")&gt;0,"保留",IF(COUNTIFS(請求記録!$B$6:$B$3005,$A187,請求記録!$Z$6:$Z$3005,K$5)=0,"",SUMIFS(請求記録!$AE$6:$AE$3005,請求記録!$B$6:$B$3005,$A187,請求記録!$Z$6:$Z$3005,K$5))))</f>
        <v/>
      </c>
      <c r="L187" s="19">
        <f>IF($A187="","",IF(COUNTIFS(請求記録!$B$6:$B$3005,$A187,請求記録!$Z$6:$Z$3005,L$5,請求記録!$AF$6:$AF$3005,"保留中")&gt;0,"保留",IF(COUNTIFS(請求記録!$B$6:$B$3005,$A187,請求記録!$Z$6:$Z$3005,L$5)=0,"",SUMIFS(請求記録!$AE$6:$AE$3005,請求記録!$B$6:$B$3005,$A187,請求記録!$Z$6:$Z$3005,L$5))))</f>
        <v/>
      </c>
      <c r="M187" s="19">
        <f>IF($A187="","",IF(COUNTIFS(請求記録!$B$6:$B$3005,$A187,請求記録!$Z$6:$Z$3005,M$5,請求記録!$AF$6:$AF$3005,"保留中")&gt;0,"保留",IF(COUNTIFS(請求記録!$B$6:$B$3005,$A187,請求記録!$Z$6:$Z$3005,M$5)=0,"",SUMIFS(請求記録!$AE$6:$AE$3005,請求記録!$B$6:$B$3005,$A187,請求記録!$Z$6:$Z$3005,M$5))))</f>
        <v/>
      </c>
      <c r="N187" s="19">
        <f>IF($A187="","",IF(COUNTIFS(請求記録!$B$6:$B$3005,$A187,請求記録!$Z$6:$Z$3005,N$5,請求記録!$AF$6:$AF$3005,"保留中")&gt;0,"保留",IF(COUNTIFS(請求記録!$B$6:$B$3005,$A187,請求記録!$Z$6:$Z$3005,N$5)=0,"",SUMIFS(請求記録!$AE$6:$AE$3005,請求記録!$B$6:$B$3005,$A187,請求記録!$Z$6:$Z$3005,N$5))))</f>
        <v/>
      </c>
      <c r="O187" s="19">
        <f>IF($A187="","",IF(COUNTIFS(請求記録!$B$6:$B$3005,$A187,請求記録!$Z$6:$Z$3005,O$5,請求記録!$AF$6:$AF$3005,"保留中")&gt;0,"保留",IF(COUNTIFS(請求記録!$B$6:$B$3005,$A187,請求記録!$Z$6:$Z$3005,O$5)=0,"",SUMIFS(請求記録!$AE$6:$AE$3005,請求記録!$B$6:$B$3005,$A187,請求記録!$Z$6:$Z$3005,O$5))))</f>
        <v/>
      </c>
      <c r="P187" s="19">
        <f>IF($A187="","",IF(COUNTIFS(請求記録!$B$6:$B$3005,$A187,請求記録!$Z$6:$Z$3005,P$5,請求記録!$AF$6:$AF$3005,"保留中")&gt;0,"保留",IF(COUNTIFS(請求記録!$B$6:$B$3005,$A187,請求記録!$Z$6:$Z$3005,P$5)=0,"",SUMIFS(請求記録!$AE$6:$AE$3005,請求記録!$B$6:$B$3005,$A187,請求記録!$Z$6:$Z$3005,P$5))))</f>
        <v/>
      </c>
      <c r="Q187" s="19">
        <f>IF($A187="","",IF(COUNTIFS(請求記録!$B$6:$B$3005,$A187,請求記録!$Z$6:$Z$3005,Q$5,請求記録!$AF$6:$AF$3005,"保留中")&gt;0,"保留",IF(COUNTIFS(請求記録!$B$6:$B$3005,$A187,請求記録!$Z$6:$Z$3005,Q$5)=0,"",SUMIFS(請求記録!$AE$6:$AE$3005,請求記録!$B$6:$B$3005,$A187,請求記録!$Z$6:$Z$3005,Q$5))))</f>
        <v/>
      </c>
      <c r="R187" s="19">
        <f>IF($A187="","",IF(COUNTIFS(請求記録!$B$6:$B$3005,$A187,請求記録!$Z$6:$Z$3005,R$5,請求記録!$AF$6:$AF$3005,"保留中")&gt;0,"保留",IF(COUNTIFS(請求記録!$B$6:$B$3005,$A187,請求記録!$Z$6:$Z$3005,R$5)=0,"",SUMIFS(請求記録!$AE$6:$AE$3005,請求記録!$B$6:$B$3005,$A187,請求記録!$Z$6:$Z$3005,R$5))))</f>
        <v/>
      </c>
      <c r="S187" s="19">
        <f>IF($A187="","",IF(COUNTIFS(請求記録!$B$6:$B$3005,$A187,請求記録!$Z$6:$Z$3005,S$5,請求記録!$AF$6:$AF$3005,"保留中")&gt;0,"保留",IF(COUNTIFS(請求記録!$B$6:$B$3005,$A187,請求記録!$Z$6:$Z$3005,S$5)=0,"",SUMIFS(請求記録!$AE$6:$AE$3005,請求記録!$B$6:$B$3005,$A187,請求記録!$Z$6:$Z$3005,S$5))))</f>
        <v/>
      </c>
      <c r="T187" s="19">
        <f>IF($A187="","",IF(COUNTIFS(請求記録!$B$6:$B$3005,$A187,請求記録!$Z$6:$Z$3005,T$5,請求記録!$AF$6:$AF$3005,"保留中")&gt;0,"保留",IF(COUNTIFS(請求記録!$B$6:$B$3005,$A187,請求記録!$Z$6:$Z$3005,T$5)=0,"",SUMIFS(請求記録!$AE$6:$AE$3005,請求記録!$B$6:$B$3005,$A187,請求記録!$Z$6:$Z$3005,T$5))))</f>
        <v/>
      </c>
      <c r="U187" s="19">
        <f>IF($A187="","",IF(COUNTIFS(請求記録!$B$6:$B$3005,$A187,請求記録!$Z$6:$Z$3005,U$5,請求記録!$AF$6:$AF$3005,"保留中")&gt;0,"保留",IF(COUNTIFS(請求記録!$B$6:$B$3005,$A187,請求記録!$Z$6:$Z$3005,U$5)=0,"",SUMIFS(請求記録!$AE$6:$AE$3005,請求記録!$B$6:$B$3005,$A187,請求記録!$Z$6:$Z$3005,U$5))))</f>
        <v/>
      </c>
      <c r="V187" s="19">
        <f>IF($A187="","",IF(COUNTIFS(請求記録!$B$6:$B$3005,$A187,請求記録!$Z$6:$Z$3005,V$5,請求記録!$AF$6:$AF$3005,"保留中")&gt;0,"保留",IF(COUNTIFS(請求記録!$B$6:$B$3005,$A187,請求記録!$Z$6:$Z$3005,V$5)=0,"",SUMIFS(請求記録!$AE$6:$AE$3005,請求記録!$B$6:$B$3005,$A187,請求記録!$Z$6:$Z$3005,V$5))))</f>
        <v/>
      </c>
      <c r="W187" s="19">
        <f>IF($A187="","",IF(COUNTIFS(請求記録!$B$6:$B$3005,$A187,請求記録!$Z$6:$Z$3005,W$5,請求記録!$AF$6:$AF$3005,"保留中")&gt;0,"保留",IF(COUNTIFS(請求記録!$B$6:$B$3005,$A187,請求記録!$Z$6:$Z$3005,W$5)=0,"",SUMIFS(請求記録!$AE$6:$AE$3005,請求記録!$B$6:$B$3005,$A187,請求記録!$Z$6:$Z$3005,W$5))))</f>
        <v/>
      </c>
      <c r="X187" s="19">
        <f>IF($A187="","",IF(COUNTIFS(請求記録!$B$6:$B$3005,$A187,請求記録!$Z$6:$Z$3005,X$5,請求記録!$AF$6:$AF$3005,"保留中")&gt;0,"保留",IF(COUNTIFS(請求記録!$B$6:$B$3005,$A187,請求記録!$Z$6:$Z$3005,X$5)=0,"",SUMIFS(請求記録!$AE$6:$AE$3005,請求記録!$B$6:$B$3005,$A187,請求記録!$Z$6:$Z$3005,X$5))))</f>
        <v/>
      </c>
      <c r="Y187" s="19">
        <f>IF($A187="","",IF(COUNTIFS(請求記録!$B$6:$B$3005,$A187,請求記録!$Z$6:$Z$3005,Y$5,請求記録!$AF$6:$AF$3005,"保留中")&gt;0,"保留",IF(COUNTIFS(請求記録!$B$6:$B$3005,$A187,請求記録!$Z$6:$Z$3005,Y$5)=0,"",SUMIFS(請求記録!$AE$6:$AE$3005,請求記録!$B$6:$B$3005,$A187,請求記録!$Z$6:$Z$3005,Y$5))))</f>
        <v/>
      </c>
      <c r="Z187" s="19">
        <f>IF($A187="","",IF(COUNTIFS(請求記録!$B$6:$B$3005,$A187,請求記録!$Z$6:$Z$3005,Z$5,請求記録!$AF$6:$AF$3005,"保留中")&gt;0,"保留",IF(COUNTIFS(請求記録!$B$6:$B$3005,$A187,請求記録!$Z$6:$Z$3005,Z$5)=0,"",SUMIFS(請求記録!$AE$6:$AE$3005,請求記録!$B$6:$B$3005,$A187,請求記録!$Z$6:$Z$3005,Z$5))))</f>
        <v/>
      </c>
      <c r="AA187" s="19">
        <f>IF($A187="","",IF(COUNTIFS(請求記録!$B$6:$B$3005,$A187,請求記録!$Z$6:$Z$3005,AA$5,請求記録!$AF$6:$AF$3005,"保留中")&gt;0,"保留",IF(COUNTIFS(請求記録!$B$6:$B$3005,$A187,請求記録!$Z$6:$Z$3005,AA$5)=0,"",SUMIFS(請求記録!$AE$6:$AE$3005,請求記録!$B$6:$B$3005,$A187,請求記録!$Z$6:$Z$3005,AA$5))))</f>
        <v/>
      </c>
      <c r="AB187">
        <f>IF(職員マスタ!P187="保留中",職員マスタ!M187,"")</f>
        <v/>
      </c>
    </row>
    <row r="188">
      <c r="A188">
        <f>IF(職員マスタ!A188="","",職員マスタ!A188)</f>
        <v/>
      </c>
      <c r="B188">
        <f>IF($A188="","",職員マスタ!B188)</f>
        <v/>
      </c>
      <c r="C188">
        <f>IF($A188="","",職員マスタ!C188)</f>
        <v/>
      </c>
      <c r="D188" s="19">
        <f>IF($A188="","",IF(COUNTIFS(請求記録!$B$6:$B$3005,$A188,請求記録!$Z$6:$Z$3005,D$5,請求記録!$AF$6:$AF$3005,"保留中")&gt;0,"保留",IF(COUNTIFS(請求記録!$B$6:$B$3005,$A188,請求記録!$Z$6:$Z$3005,D$5)=0,"",SUMIFS(請求記録!$AE$6:$AE$3005,請求記録!$B$6:$B$3005,$A188,請求記録!$Z$6:$Z$3005,D$5))))</f>
        <v/>
      </c>
      <c r="E188" s="19">
        <f>IF($A188="","",IF(COUNTIFS(請求記録!$B$6:$B$3005,$A188,請求記録!$Z$6:$Z$3005,E$5,請求記録!$AF$6:$AF$3005,"保留中")&gt;0,"保留",IF(COUNTIFS(請求記録!$B$6:$B$3005,$A188,請求記録!$Z$6:$Z$3005,E$5)=0,"",SUMIFS(請求記録!$AE$6:$AE$3005,請求記録!$B$6:$B$3005,$A188,請求記録!$Z$6:$Z$3005,E$5))))</f>
        <v/>
      </c>
      <c r="F188" s="19">
        <f>IF($A188="","",IF(COUNTIFS(請求記録!$B$6:$B$3005,$A188,請求記録!$Z$6:$Z$3005,F$5,請求記録!$AF$6:$AF$3005,"保留中")&gt;0,"保留",IF(COUNTIFS(請求記録!$B$6:$B$3005,$A188,請求記録!$Z$6:$Z$3005,F$5)=0,"",SUMIFS(請求記録!$AE$6:$AE$3005,請求記録!$B$6:$B$3005,$A188,請求記録!$Z$6:$Z$3005,F$5))))</f>
        <v/>
      </c>
      <c r="G188" s="19">
        <f>IF($A188="","",IF(COUNTIFS(請求記録!$B$6:$B$3005,$A188,請求記録!$Z$6:$Z$3005,G$5,請求記録!$AF$6:$AF$3005,"保留中")&gt;0,"保留",IF(COUNTIFS(請求記録!$B$6:$B$3005,$A188,請求記録!$Z$6:$Z$3005,G$5)=0,"",SUMIFS(請求記録!$AE$6:$AE$3005,請求記録!$B$6:$B$3005,$A188,請求記録!$Z$6:$Z$3005,G$5))))</f>
        <v/>
      </c>
      <c r="H188" s="19">
        <f>IF($A188="","",IF(COUNTIFS(請求記録!$B$6:$B$3005,$A188,請求記録!$Z$6:$Z$3005,H$5,請求記録!$AF$6:$AF$3005,"保留中")&gt;0,"保留",IF(COUNTIFS(請求記録!$B$6:$B$3005,$A188,請求記録!$Z$6:$Z$3005,H$5)=0,"",SUMIFS(請求記録!$AE$6:$AE$3005,請求記録!$B$6:$B$3005,$A188,請求記録!$Z$6:$Z$3005,H$5))))</f>
        <v/>
      </c>
      <c r="I188" s="19">
        <f>IF($A188="","",IF(COUNTIFS(請求記録!$B$6:$B$3005,$A188,請求記録!$Z$6:$Z$3005,I$5,請求記録!$AF$6:$AF$3005,"保留中")&gt;0,"保留",IF(COUNTIFS(請求記録!$B$6:$B$3005,$A188,請求記録!$Z$6:$Z$3005,I$5)=0,"",SUMIFS(請求記録!$AE$6:$AE$3005,請求記録!$B$6:$B$3005,$A188,請求記録!$Z$6:$Z$3005,I$5))))</f>
        <v/>
      </c>
      <c r="J188" s="19">
        <f>IF($A188="","",IF(COUNTIFS(請求記録!$B$6:$B$3005,$A188,請求記録!$Z$6:$Z$3005,J$5,請求記録!$AF$6:$AF$3005,"保留中")&gt;0,"保留",IF(COUNTIFS(請求記録!$B$6:$B$3005,$A188,請求記録!$Z$6:$Z$3005,J$5)=0,"",SUMIFS(請求記録!$AE$6:$AE$3005,請求記録!$B$6:$B$3005,$A188,請求記録!$Z$6:$Z$3005,J$5))))</f>
        <v/>
      </c>
      <c r="K188" s="19">
        <f>IF($A188="","",IF(COUNTIFS(請求記録!$B$6:$B$3005,$A188,請求記録!$Z$6:$Z$3005,K$5,請求記録!$AF$6:$AF$3005,"保留中")&gt;0,"保留",IF(COUNTIFS(請求記録!$B$6:$B$3005,$A188,請求記録!$Z$6:$Z$3005,K$5)=0,"",SUMIFS(請求記録!$AE$6:$AE$3005,請求記録!$B$6:$B$3005,$A188,請求記録!$Z$6:$Z$3005,K$5))))</f>
        <v/>
      </c>
      <c r="L188" s="19">
        <f>IF($A188="","",IF(COUNTIFS(請求記録!$B$6:$B$3005,$A188,請求記録!$Z$6:$Z$3005,L$5,請求記録!$AF$6:$AF$3005,"保留中")&gt;0,"保留",IF(COUNTIFS(請求記録!$B$6:$B$3005,$A188,請求記録!$Z$6:$Z$3005,L$5)=0,"",SUMIFS(請求記録!$AE$6:$AE$3005,請求記録!$B$6:$B$3005,$A188,請求記録!$Z$6:$Z$3005,L$5))))</f>
        <v/>
      </c>
      <c r="M188" s="19">
        <f>IF($A188="","",IF(COUNTIFS(請求記録!$B$6:$B$3005,$A188,請求記録!$Z$6:$Z$3005,M$5,請求記録!$AF$6:$AF$3005,"保留中")&gt;0,"保留",IF(COUNTIFS(請求記録!$B$6:$B$3005,$A188,請求記録!$Z$6:$Z$3005,M$5)=0,"",SUMIFS(請求記録!$AE$6:$AE$3005,請求記録!$B$6:$B$3005,$A188,請求記録!$Z$6:$Z$3005,M$5))))</f>
        <v/>
      </c>
      <c r="N188" s="19">
        <f>IF($A188="","",IF(COUNTIFS(請求記録!$B$6:$B$3005,$A188,請求記録!$Z$6:$Z$3005,N$5,請求記録!$AF$6:$AF$3005,"保留中")&gt;0,"保留",IF(COUNTIFS(請求記録!$B$6:$B$3005,$A188,請求記録!$Z$6:$Z$3005,N$5)=0,"",SUMIFS(請求記録!$AE$6:$AE$3005,請求記録!$B$6:$B$3005,$A188,請求記録!$Z$6:$Z$3005,N$5))))</f>
        <v/>
      </c>
      <c r="O188" s="19">
        <f>IF($A188="","",IF(COUNTIFS(請求記録!$B$6:$B$3005,$A188,請求記録!$Z$6:$Z$3005,O$5,請求記録!$AF$6:$AF$3005,"保留中")&gt;0,"保留",IF(COUNTIFS(請求記録!$B$6:$B$3005,$A188,請求記録!$Z$6:$Z$3005,O$5)=0,"",SUMIFS(請求記録!$AE$6:$AE$3005,請求記録!$B$6:$B$3005,$A188,請求記録!$Z$6:$Z$3005,O$5))))</f>
        <v/>
      </c>
      <c r="P188" s="19">
        <f>IF($A188="","",IF(COUNTIFS(請求記録!$B$6:$B$3005,$A188,請求記録!$Z$6:$Z$3005,P$5,請求記録!$AF$6:$AF$3005,"保留中")&gt;0,"保留",IF(COUNTIFS(請求記録!$B$6:$B$3005,$A188,請求記録!$Z$6:$Z$3005,P$5)=0,"",SUMIFS(請求記録!$AE$6:$AE$3005,請求記録!$B$6:$B$3005,$A188,請求記録!$Z$6:$Z$3005,P$5))))</f>
        <v/>
      </c>
      <c r="Q188" s="19">
        <f>IF($A188="","",IF(COUNTIFS(請求記録!$B$6:$B$3005,$A188,請求記録!$Z$6:$Z$3005,Q$5,請求記録!$AF$6:$AF$3005,"保留中")&gt;0,"保留",IF(COUNTIFS(請求記録!$B$6:$B$3005,$A188,請求記録!$Z$6:$Z$3005,Q$5)=0,"",SUMIFS(請求記録!$AE$6:$AE$3005,請求記録!$B$6:$B$3005,$A188,請求記録!$Z$6:$Z$3005,Q$5))))</f>
        <v/>
      </c>
      <c r="R188" s="19">
        <f>IF($A188="","",IF(COUNTIFS(請求記録!$B$6:$B$3005,$A188,請求記録!$Z$6:$Z$3005,R$5,請求記録!$AF$6:$AF$3005,"保留中")&gt;0,"保留",IF(COUNTIFS(請求記録!$B$6:$B$3005,$A188,請求記録!$Z$6:$Z$3005,R$5)=0,"",SUMIFS(請求記録!$AE$6:$AE$3005,請求記録!$B$6:$B$3005,$A188,請求記録!$Z$6:$Z$3005,R$5))))</f>
        <v/>
      </c>
      <c r="S188" s="19">
        <f>IF($A188="","",IF(COUNTIFS(請求記録!$B$6:$B$3005,$A188,請求記録!$Z$6:$Z$3005,S$5,請求記録!$AF$6:$AF$3005,"保留中")&gt;0,"保留",IF(COUNTIFS(請求記録!$B$6:$B$3005,$A188,請求記録!$Z$6:$Z$3005,S$5)=0,"",SUMIFS(請求記録!$AE$6:$AE$3005,請求記録!$B$6:$B$3005,$A188,請求記録!$Z$6:$Z$3005,S$5))))</f>
        <v/>
      </c>
      <c r="T188" s="19">
        <f>IF($A188="","",IF(COUNTIFS(請求記録!$B$6:$B$3005,$A188,請求記録!$Z$6:$Z$3005,T$5,請求記録!$AF$6:$AF$3005,"保留中")&gt;0,"保留",IF(COUNTIFS(請求記録!$B$6:$B$3005,$A188,請求記録!$Z$6:$Z$3005,T$5)=0,"",SUMIFS(請求記録!$AE$6:$AE$3005,請求記録!$B$6:$B$3005,$A188,請求記録!$Z$6:$Z$3005,T$5))))</f>
        <v/>
      </c>
      <c r="U188" s="19">
        <f>IF($A188="","",IF(COUNTIFS(請求記録!$B$6:$B$3005,$A188,請求記録!$Z$6:$Z$3005,U$5,請求記録!$AF$6:$AF$3005,"保留中")&gt;0,"保留",IF(COUNTIFS(請求記録!$B$6:$B$3005,$A188,請求記録!$Z$6:$Z$3005,U$5)=0,"",SUMIFS(請求記録!$AE$6:$AE$3005,請求記録!$B$6:$B$3005,$A188,請求記録!$Z$6:$Z$3005,U$5))))</f>
        <v/>
      </c>
      <c r="V188" s="19">
        <f>IF($A188="","",IF(COUNTIFS(請求記録!$B$6:$B$3005,$A188,請求記録!$Z$6:$Z$3005,V$5,請求記録!$AF$6:$AF$3005,"保留中")&gt;0,"保留",IF(COUNTIFS(請求記録!$B$6:$B$3005,$A188,請求記録!$Z$6:$Z$3005,V$5)=0,"",SUMIFS(請求記録!$AE$6:$AE$3005,請求記録!$B$6:$B$3005,$A188,請求記録!$Z$6:$Z$3005,V$5))))</f>
        <v/>
      </c>
      <c r="W188" s="19">
        <f>IF($A188="","",IF(COUNTIFS(請求記録!$B$6:$B$3005,$A188,請求記録!$Z$6:$Z$3005,W$5,請求記録!$AF$6:$AF$3005,"保留中")&gt;0,"保留",IF(COUNTIFS(請求記録!$B$6:$B$3005,$A188,請求記録!$Z$6:$Z$3005,W$5)=0,"",SUMIFS(請求記録!$AE$6:$AE$3005,請求記録!$B$6:$B$3005,$A188,請求記録!$Z$6:$Z$3005,W$5))))</f>
        <v/>
      </c>
      <c r="X188" s="19">
        <f>IF($A188="","",IF(COUNTIFS(請求記録!$B$6:$B$3005,$A188,請求記録!$Z$6:$Z$3005,X$5,請求記録!$AF$6:$AF$3005,"保留中")&gt;0,"保留",IF(COUNTIFS(請求記録!$B$6:$B$3005,$A188,請求記録!$Z$6:$Z$3005,X$5)=0,"",SUMIFS(請求記録!$AE$6:$AE$3005,請求記録!$B$6:$B$3005,$A188,請求記録!$Z$6:$Z$3005,X$5))))</f>
        <v/>
      </c>
      <c r="Y188" s="19">
        <f>IF($A188="","",IF(COUNTIFS(請求記録!$B$6:$B$3005,$A188,請求記録!$Z$6:$Z$3005,Y$5,請求記録!$AF$6:$AF$3005,"保留中")&gt;0,"保留",IF(COUNTIFS(請求記録!$B$6:$B$3005,$A188,請求記録!$Z$6:$Z$3005,Y$5)=0,"",SUMIFS(請求記録!$AE$6:$AE$3005,請求記録!$B$6:$B$3005,$A188,請求記録!$Z$6:$Z$3005,Y$5))))</f>
        <v/>
      </c>
      <c r="Z188" s="19">
        <f>IF($A188="","",IF(COUNTIFS(請求記録!$B$6:$B$3005,$A188,請求記録!$Z$6:$Z$3005,Z$5,請求記録!$AF$6:$AF$3005,"保留中")&gt;0,"保留",IF(COUNTIFS(請求記録!$B$6:$B$3005,$A188,請求記録!$Z$6:$Z$3005,Z$5)=0,"",SUMIFS(請求記録!$AE$6:$AE$3005,請求記録!$B$6:$B$3005,$A188,請求記録!$Z$6:$Z$3005,Z$5))))</f>
        <v/>
      </c>
      <c r="AA188" s="19">
        <f>IF($A188="","",IF(COUNTIFS(請求記録!$B$6:$B$3005,$A188,請求記録!$Z$6:$Z$3005,AA$5,請求記録!$AF$6:$AF$3005,"保留中")&gt;0,"保留",IF(COUNTIFS(請求記録!$B$6:$B$3005,$A188,請求記録!$Z$6:$Z$3005,AA$5)=0,"",SUMIFS(請求記録!$AE$6:$AE$3005,請求記録!$B$6:$B$3005,$A188,請求記録!$Z$6:$Z$3005,AA$5))))</f>
        <v/>
      </c>
      <c r="AB188">
        <f>IF(職員マスタ!P188="保留中",職員マスタ!M188,"")</f>
        <v/>
      </c>
    </row>
    <row r="189">
      <c r="A189">
        <f>IF(職員マスタ!A189="","",職員マスタ!A189)</f>
        <v/>
      </c>
      <c r="B189">
        <f>IF($A189="","",職員マスタ!B189)</f>
        <v/>
      </c>
      <c r="C189">
        <f>IF($A189="","",職員マスタ!C189)</f>
        <v/>
      </c>
      <c r="D189" s="19">
        <f>IF($A189="","",IF(COUNTIFS(請求記録!$B$6:$B$3005,$A189,請求記録!$Z$6:$Z$3005,D$5,請求記録!$AF$6:$AF$3005,"保留中")&gt;0,"保留",IF(COUNTIFS(請求記録!$B$6:$B$3005,$A189,請求記録!$Z$6:$Z$3005,D$5)=0,"",SUMIFS(請求記録!$AE$6:$AE$3005,請求記録!$B$6:$B$3005,$A189,請求記録!$Z$6:$Z$3005,D$5))))</f>
        <v/>
      </c>
      <c r="E189" s="19">
        <f>IF($A189="","",IF(COUNTIFS(請求記録!$B$6:$B$3005,$A189,請求記録!$Z$6:$Z$3005,E$5,請求記録!$AF$6:$AF$3005,"保留中")&gt;0,"保留",IF(COUNTIFS(請求記録!$B$6:$B$3005,$A189,請求記録!$Z$6:$Z$3005,E$5)=0,"",SUMIFS(請求記録!$AE$6:$AE$3005,請求記録!$B$6:$B$3005,$A189,請求記録!$Z$6:$Z$3005,E$5))))</f>
        <v/>
      </c>
      <c r="F189" s="19">
        <f>IF($A189="","",IF(COUNTIFS(請求記録!$B$6:$B$3005,$A189,請求記録!$Z$6:$Z$3005,F$5,請求記録!$AF$6:$AF$3005,"保留中")&gt;0,"保留",IF(COUNTIFS(請求記録!$B$6:$B$3005,$A189,請求記録!$Z$6:$Z$3005,F$5)=0,"",SUMIFS(請求記録!$AE$6:$AE$3005,請求記録!$B$6:$B$3005,$A189,請求記録!$Z$6:$Z$3005,F$5))))</f>
        <v/>
      </c>
      <c r="G189" s="19">
        <f>IF($A189="","",IF(COUNTIFS(請求記録!$B$6:$B$3005,$A189,請求記録!$Z$6:$Z$3005,G$5,請求記録!$AF$6:$AF$3005,"保留中")&gt;0,"保留",IF(COUNTIFS(請求記録!$B$6:$B$3005,$A189,請求記録!$Z$6:$Z$3005,G$5)=0,"",SUMIFS(請求記録!$AE$6:$AE$3005,請求記録!$B$6:$B$3005,$A189,請求記録!$Z$6:$Z$3005,G$5))))</f>
        <v/>
      </c>
      <c r="H189" s="19">
        <f>IF($A189="","",IF(COUNTIFS(請求記録!$B$6:$B$3005,$A189,請求記録!$Z$6:$Z$3005,H$5,請求記録!$AF$6:$AF$3005,"保留中")&gt;0,"保留",IF(COUNTIFS(請求記録!$B$6:$B$3005,$A189,請求記録!$Z$6:$Z$3005,H$5)=0,"",SUMIFS(請求記録!$AE$6:$AE$3005,請求記録!$B$6:$B$3005,$A189,請求記録!$Z$6:$Z$3005,H$5))))</f>
        <v/>
      </c>
      <c r="I189" s="19">
        <f>IF($A189="","",IF(COUNTIFS(請求記録!$B$6:$B$3005,$A189,請求記録!$Z$6:$Z$3005,I$5,請求記録!$AF$6:$AF$3005,"保留中")&gt;0,"保留",IF(COUNTIFS(請求記録!$B$6:$B$3005,$A189,請求記録!$Z$6:$Z$3005,I$5)=0,"",SUMIFS(請求記録!$AE$6:$AE$3005,請求記録!$B$6:$B$3005,$A189,請求記録!$Z$6:$Z$3005,I$5))))</f>
        <v/>
      </c>
      <c r="J189" s="19">
        <f>IF($A189="","",IF(COUNTIFS(請求記録!$B$6:$B$3005,$A189,請求記録!$Z$6:$Z$3005,J$5,請求記録!$AF$6:$AF$3005,"保留中")&gt;0,"保留",IF(COUNTIFS(請求記録!$B$6:$B$3005,$A189,請求記録!$Z$6:$Z$3005,J$5)=0,"",SUMIFS(請求記録!$AE$6:$AE$3005,請求記録!$B$6:$B$3005,$A189,請求記録!$Z$6:$Z$3005,J$5))))</f>
        <v/>
      </c>
      <c r="K189" s="19">
        <f>IF($A189="","",IF(COUNTIFS(請求記録!$B$6:$B$3005,$A189,請求記録!$Z$6:$Z$3005,K$5,請求記録!$AF$6:$AF$3005,"保留中")&gt;0,"保留",IF(COUNTIFS(請求記録!$B$6:$B$3005,$A189,請求記録!$Z$6:$Z$3005,K$5)=0,"",SUMIFS(請求記録!$AE$6:$AE$3005,請求記録!$B$6:$B$3005,$A189,請求記録!$Z$6:$Z$3005,K$5))))</f>
        <v/>
      </c>
      <c r="L189" s="19">
        <f>IF($A189="","",IF(COUNTIFS(請求記録!$B$6:$B$3005,$A189,請求記録!$Z$6:$Z$3005,L$5,請求記録!$AF$6:$AF$3005,"保留中")&gt;0,"保留",IF(COUNTIFS(請求記録!$B$6:$B$3005,$A189,請求記録!$Z$6:$Z$3005,L$5)=0,"",SUMIFS(請求記録!$AE$6:$AE$3005,請求記録!$B$6:$B$3005,$A189,請求記録!$Z$6:$Z$3005,L$5))))</f>
        <v/>
      </c>
      <c r="M189" s="19">
        <f>IF($A189="","",IF(COUNTIFS(請求記録!$B$6:$B$3005,$A189,請求記録!$Z$6:$Z$3005,M$5,請求記録!$AF$6:$AF$3005,"保留中")&gt;0,"保留",IF(COUNTIFS(請求記録!$B$6:$B$3005,$A189,請求記録!$Z$6:$Z$3005,M$5)=0,"",SUMIFS(請求記録!$AE$6:$AE$3005,請求記録!$B$6:$B$3005,$A189,請求記録!$Z$6:$Z$3005,M$5))))</f>
        <v/>
      </c>
      <c r="N189" s="19">
        <f>IF($A189="","",IF(COUNTIFS(請求記録!$B$6:$B$3005,$A189,請求記録!$Z$6:$Z$3005,N$5,請求記録!$AF$6:$AF$3005,"保留中")&gt;0,"保留",IF(COUNTIFS(請求記録!$B$6:$B$3005,$A189,請求記録!$Z$6:$Z$3005,N$5)=0,"",SUMIFS(請求記録!$AE$6:$AE$3005,請求記録!$B$6:$B$3005,$A189,請求記録!$Z$6:$Z$3005,N$5))))</f>
        <v/>
      </c>
      <c r="O189" s="19">
        <f>IF($A189="","",IF(COUNTIFS(請求記録!$B$6:$B$3005,$A189,請求記録!$Z$6:$Z$3005,O$5,請求記録!$AF$6:$AF$3005,"保留中")&gt;0,"保留",IF(COUNTIFS(請求記録!$B$6:$B$3005,$A189,請求記録!$Z$6:$Z$3005,O$5)=0,"",SUMIFS(請求記録!$AE$6:$AE$3005,請求記録!$B$6:$B$3005,$A189,請求記録!$Z$6:$Z$3005,O$5))))</f>
        <v/>
      </c>
      <c r="P189" s="19">
        <f>IF($A189="","",IF(COUNTIFS(請求記録!$B$6:$B$3005,$A189,請求記録!$Z$6:$Z$3005,P$5,請求記録!$AF$6:$AF$3005,"保留中")&gt;0,"保留",IF(COUNTIFS(請求記録!$B$6:$B$3005,$A189,請求記録!$Z$6:$Z$3005,P$5)=0,"",SUMIFS(請求記録!$AE$6:$AE$3005,請求記録!$B$6:$B$3005,$A189,請求記録!$Z$6:$Z$3005,P$5))))</f>
        <v/>
      </c>
      <c r="Q189" s="19">
        <f>IF($A189="","",IF(COUNTIFS(請求記録!$B$6:$B$3005,$A189,請求記録!$Z$6:$Z$3005,Q$5,請求記録!$AF$6:$AF$3005,"保留中")&gt;0,"保留",IF(COUNTIFS(請求記録!$B$6:$B$3005,$A189,請求記録!$Z$6:$Z$3005,Q$5)=0,"",SUMIFS(請求記録!$AE$6:$AE$3005,請求記録!$B$6:$B$3005,$A189,請求記録!$Z$6:$Z$3005,Q$5))))</f>
        <v/>
      </c>
      <c r="R189" s="19">
        <f>IF($A189="","",IF(COUNTIFS(請求記録!$B$6:$B$3005,$A189,請求記録!$Z$6:$Z$3005,R$5,請求記録!$AF$6:$AF$3005,"保留中")&gt;0,"保留",IF(COUNTIFS(請求記録!$B$6:$B$3005,$A189,請求記録!$Z$6:$Z$3005,R$5)=0,"",SUMIFS(請求記録!$AE$6:$AE$3005,請求記録!$B$6:$B$3005,$A189,請求記録!$Z$6:$Z$3005,R$5))))</f>
        <v/>
      </c>
      <c r="S189" s="19">
        <f>IF($A189="","",IF(COUNTIFS(請求記録!$B$6:$B$3005,$A189,請求記録!$Z$6:$Z$3005,S$5,請求記録!$AF$6:$AF$3005,"保留中")&gt;0,"保留",IF(COUNTIFS(請求記録!$B$6:$B$3005,$A189,請求記録!$Z$6:$Z$3005,S$5)=0,"",SUMIFS(請求記録!$AE$6:$AE$3005,請求記録!$B$6:$B$3005,$A189,請求記録!$Z$6:$Z$3005,S$5))))</f>
        <v/>
      </c>
      <c r="T189" s="19">
        <f>IF($A189="","",IF(COUNTIFS(請求記録!$B$6:$B$3005,$A189,請求記録!$Z$6:$Z$3005,T$5,請求記録!$AF$6:$AF$3005,"保留中")&gt;0,"保留",IF(COUNTIFS(請求記録!$B$6:$B$3005,$A189,請求記録!$Z$6:$Z$3005,T$5)=0,"",SUMIFS(請求記録!$AE$6:$AE$3005,請求記録!$B$6:$B$3005,$A189,請求記録!$Z$6:$Z$3005,T$5))))</f>
        <v/>
      </c>
      <c r="U189" s="19">
        <f>IF($A189="","",IF(COUNTIFS(請求記録!$B$6:$B$3005,$A189,請求記録!$Z$6:$Z$3005,U$5,請求記録!$AF$6:$AF$3005,"保留中")&gt;0,"保留",IF(COUNTIFS(請求記録!$B$6:$B$3005,$A189,請求記録!$Z$6:$Z$3005,U$5)=0,"",SUMIFS(請求記録!$AE$6:$AE$3005,請求記録!$B$6:$B$3005,$A189,請求記録!$Z$6:$Z$3005,U$5))))</f>
        <v/>
      </c>
      <c r="V189" s="19">
        <f>IF($A189="","",IF(COUNTIFS(請求記録!$B$6:$B$3005,$A189,請求記録!$Z$6:$Z$3005,V$5,請求記録!$AF$6:$AF$3005,"保留中")&gt;0,"保留",IF(COUNTIFS(請求記録!$B$6:$B$3005,$A189,請求記録!$Z$6:$Z$3005,V$5)=0,"",SUMIFS(請求記録!$AE$6:$AE$3005,請求記録!$B$6:$B$3005,$A189,請求記録!$Z$6:$Z$3005,V$5))))</f>
        <v/>
      </c>
      <c r="W189" s="19">
        <f>IF($A189="","",IF(COUNTIFS(請求記録!$B$6:$B$3005,$A189,請求記録!$Z$6:$Z$3005,W$5,請求記録!$AF$6:$AF$3005,"保留中")&gt;0,"保留",IF(COUNTIFS(請求記録!$B$6:$B$3005,$A189,請求記録!$Z$6:$Z$3005,W$5)=0,"",SUMIFS(請求記録!$AE$6:$AE$3005,請求記録!$B$6:$B$3005,$A189,請求記録!$Z$6:$Z$3005,W$5))))</f>
        <v/>
      </c>
      <c r="X189" s="19">
        <f>IF($A189="","",IF(COUNTIFS(請求記録!$B$6:$B$3005,$A189,請求記録!$Z$6:$Z$3005,X$5,請求記録!$AF$6:$AF$3005,"保留中")&gt;0,"保留",IF(COUNTIFS(請求記録!$B$6:$B$3005,$A189,請求記録!$Z$6:$Z$3005,X$5)=0,"",SUMIFS(請求記録!$AE$6:$AE$3005,請求記録!$B$6:$B$3005,$A189,請求記録!$Z$6:$Z$3005,X$5))))</f>
        <v/>
      </c>
      <c r="Y189" s="19">
        <f>IF($A189="","",IF(COUNTIFS(請求記録!$B$6:$B$3005,$A189,請求記録!$Z$6:$Z$3005,Y$5,請求記録!$AF$6:$AF$3005,"保留中")&gt;0,"保留",IF(COUNTIFS(請求記録!$B$6:$B$3005,$A189,請求記録!$Z$6:$Z$3005,Y$5)=0,"",SUMIFS(請求記録!$AE$6:$AE$3005,請求記録!$B$6:$B$3005,$A189,請求記録!$Z$6:$Z$3005,Y$5))))</f>
        <v/>
      </c>
      <c r="Z189" s="19">
        <f>IF($A189="","",IF(COUNTIFS(請求記録!$B$6:$B$3005,$A189,請求記録!$Z$6:$Z$3005,Z$5,請求記録!$AF$6:$AF$3005,"保留中")&gt;0,"保留",IF(COUNTIFS(請求記録!$B$6:$B$3005,$A189,請求記録!$Z$6:$Z$3005,Z$5)=0,"",SUMIFS(請求記録!$AE$6:$AE$3005,請求記録!$B$6:$B$3005,$A189,請求記録!$Z$6:$Z$3005,Z$5))))</f>
        <v/>
      </c>
      <c r="AA189" s="19">
        <f>IF($A189="","",IF(COUNTIFS(請求記録!$B$6:$B$3005,$A189,請求記録!$Z$6:$Z$3005,AA$5,請求記録!$AF$6:$AF$3005,"保留中")&gt;0,"保留",IF(COUNTIFS(請求記録!$B$6:$B$3005,$A189,請求記録!$Z$6:$Z$3005,AA$5)=0,"",SUMIFS(請求記録!$AE$6:$AE$3005,請求記録!$B$6:$B$3005,$A189,請求記録!$Z$6:$Z$3005,AA$5))))</f>
        <v/>
      </c>
      <c r="AB189">
        <f>IF(職員マスタ!P189="保留中",職員マスタ!M189,"")</f>
        <v/>
      </c>
    </row>
    <row r="190">
      <c r="A190">
        <f>IF(職員マスタ!A190="","",職員マスタ!A190)</f>
        <v/>
      </c>
      <c r="B190">
        <f>IF($A190="","",職員マスタ!B190)</f>
        <v/>
      </c>
      <c r="C190">
        <f>IF($A190="","",職員マスタ!C190)</f>
        <v/>
      </c>
      <c r="D190" s="19">
        <f>IF($A190="","",IF(COUNTIFS(請求記録!$B$6:$B$3005,$A190,請求記録!$Z$6:$Z$3005,D$5,請求記録!$AF$6:$AF$3005,"保留中")&gt;0,"保留",IF(COUNTIFS(請求記録!$B$6:$B$3005,$A190,請求記録!$Z$6:$Z$3005,D$5)=0,"",SUMIFS(請求記録!$AE$6:$AE$3005,請求記録!$B$6:$B$3005,$A190,請求記録!$Z$6:$Z$3005,D$5))))</f>
        <v/>
      </c>
      <c r="E190" s="19">
        <f>IF($A190="","",IF(COUNTIFS(請求記録!$B$6:$B$3005,$A190,請求記録!$Z$6:$Z$3005,E$5,請求記録!$AF$6:$AF$3005,"保留中")&gt;0,"保留",IF(COUNTIFS(請求記録!$B$6:$B$3005,$A190,請求記録!$Z$6:$Z$3005,E$5)=0,"",SUMIFS(請求記録!$AE$6:$AE$3005,請求記録!$B$6:$B$3005,$A190,請求記録!$Z$6:$Z$3005,E$5))))</f>
        <v/>
      </c>
      <c r="F190" s="19">
        <f>IF($A190="","",IF(COUNTIFS(請求記録!$B$6:$B$3005,$A190,請求記録!$Z$6:$Z$3005,F$5,請求記録!$AF$6:$AF$3005,"保留中")&gt;0,"保留",IF(COUNTIFS(請求記録!$B$6:$B$3005,$A190,請求記録!$Z$6:$Z$3005,F$5)=0,"",SUMIFS(請求記録!$AE$6:$AE$3005,請求記録!$B$6:$B$3005,$A190,請求記録!$Z$6:$Z$3005,F$5))))</f>
        <v/>
      </c>
      <c r="G190" s="19">
        <f>IF($A190="","",IF(COUNTIFS(請求記録!$B$6:$B$3005,$A190,請求記録!$Z$6:$Z$3005,G$5,請求記録!$AF$6:$AF$3005,"保留中")&gt;0,"保留",IF(COUNTIFS(請求記録!$B$6:$B$3005,$A190,請求記録!$Z$6:$Z$3005,G$5)=0,"",SUMIFS(請求記録!$AE$6:$AE$3005,請求記録!$B$6:$B$3005,$A190,請求記録!$Z$6:$Z$3005,G$5))))</f>
        <v/>
      </c>
      <c r="H190" s="19">
        <f>IF($A190="","",IF(COUNTIFS(請求記録!$B$6:$B$3005,$A190,請求記録!$Z$6:$Z$3005,H$5,請求記録!$AF$6:$AF$3005,"保留中")&gt;0,"保留",IF(COUNTIFS(請求記録!$B$6:$B$3005,$A190,請求記録!$Z$6:$Z$3005,H$5)=0,"",SUMIFS(請求記録!$AE$6:$AE$3005,請求記録!$B$6:$B$3005,$A190,請求記録!$Z$6:$Z$3005,H$5))))</f>
        <v/>
      </c>
      <c r="I190" s="19">
        <f>IF($A190="","",IF(COUNTIFS(請求記録!$B$6:$B$3005,$A190,請求記録!$Z$6:$Z$3005,I$5,請求記録!$AF$6:$AF$3005,"保留中")&gt;0,"保留",IF(COUNTIFS(請求記録!$B$6:$B$3005,$A190,請求記録!$Z$6:$Z$3005,I$5)=0,"",SUMIFS(請求記録!$AE$6:$AE$3005,請求記録!$B$6:$B$3005,$A190,請求記録!$Z$6:$Z$3005,I$5))))</f>
        <v/>
      </c>
      <c r="J190" s="19">
        <f>IF($A190="","",IF(COUNTIFS(請求記録!$B$6:$B$3005,$A190,請求記録!$Z$6:$Z$3005,J$5,請求記録!$AF$6:$AF$3005,"保留中")&gt;0,"保留",IF(COUNTIFS(請求記録!$B$6:$B$3005,$A190,請求記録!$Z$6:$Z$3005,J$5)=0,"",SUMIFS(請求記録!$AE$6:$AE$3005,請求記録!$B$6:$B$3005,$A190,請求記録!$Z$6:$Z$3005,J$5))))</f>
        <v/>
      </c>
      <c r="K190" s="19">
        <f>IF($A190="","",IF(COUNTIFS(請求記録!$B$6:$B$3005,$A190,請求記録!$Z$6:$Z$3005,K$5,請求記録!$AF$6:$AF$3005,"保留中")&gt;0,"保留",IF(COUNTIFS(請求記録!$B$6:$B$3005,$A190,請求記録!$Z$6:$Z$3005,K$5)=0,"",SUMIFS(請求記録!$AE$6:$AE$3005,請求記録!$B$6:$B$3005,$A190,請求記録!$Z$6:$Z$3005,K$5))))</f>
        <v/>
      </c>
      <c r="L190" s="19">
        <f>IF($A190="","",IF(COUNTIFS(請求記録!$B$6:$B$3005,$A190,請求記録!$Z$6:$Z$3005,L$5,請求記録!$AF$6:$AF$3005,"保留中")&gt;0,"保留",IF(COUNTIFS(請求記録!$B$6:$B$3005,$A190,請求記録!$Z$6:$Z$3005,L$5)=0,"",SUMIFS(請求記録!$AE$6:$AE$3005,請求記録!$B$6:$B$3005,$A190,請求記録!$Z$6:$Z$3005,L$5))))</f>
        <v/>
      </c>
      <c r="M190" s="19">
        <f>IF($A190="","",IF(COUNTIFS(請求記録!$B$6:$B$3005,$A190,請求記録!$Z$6:$Z$3005,M$5,請求記録!$AF$6:$AF$3005,"保留中")&gt;0,"保留",IF(COUNTIFS(請求記録!$B$6:$B$3005,$A190,請求記録!$Z$6:$Z$3005,M$5)=0,"",SUMIFS(請求記録!$AE$6:$AE$3005,請求記録!$B$6:$B$3005,$A190,請求記録!$Z$6:$Z$3005,M$5))))</f>
        <v/>
      </c>
      <c r="N190" s="19">
        <f>IF($A190="","",IF(COUNTIFS(請求記録!$B$6:$B$3005,$A190,請求記録!$Z$6:$Z$3005,N$5,請求記録!$AF$6:$AF$3005,"保留中")&gt;0,"保留",IF(COUNTIFS(請求記録!$B$6:$B$3005,$A190,請求記録!$Z$6:$Z$3005,N$5)=0,"",SUMIFS(請求記録!$AE$6:$AE$3005,請求記録!$B$6:$B$3005,$A190,請求記録!$Z$6:$Z$3005,N$5))))</f>
        <v/>
      </c>
      <c r="O190" s="19">
        <f>IF($A190="","",IF(COUNTIFS(請求記録!$B$6:$B$3005,$A190,請求記録!$Z$6:$Z$3005,O$5,請求記録!$AF$6:$AF$3005,"保留中")&gt;0,"保留",IF(COUNTIFS(請求記録!$B$6:$B$3005,$A190,請求記録!$Z$6:$Z$3005,O$5)=0,"",SUMIFS(請求記録!$AE$6:$AE$3005,請求記録!$B$6:$B$3005,$A190,請求記録!$Z$6:$Z$3005,O$5))))</f>
        <v/>
      </c>
      <c r="P190" s="19">
        <f>IF($A190="","",IF(COUNTIFS(請求記録!$B$6:$B$3005,$A190,請求記録!$Z$6:$Z$3005,P$5,請求記録!$AF$6:$AF$3005,"保留中")&gt;0,"保留",IF(COUNTIFS(請求記録!$B$6:$B$3005,$A190,請求記録!$Z$6:$Z$3005,P$5)=0,"",SUMIFS(請求記録!$AE$6:$AE$3005,請求記録!$B$6:$B$3005,$A190,請求記録!$Z$6:$Z$3005,P$5))))</f>
        <v/>
      </c>
      <c r="Q190" s="19">
        <f>IF($A190="","",IF(COUNTIFS(請求記録!$B$6:$B$3005,$A190,請求記録!$Z$6:$Z$3005,Q$5,請求記録!$AF$6:$AF$3005,"保留中")&gt;0,"保留",IF(COUNTIFS(請求記録!$B$6:$B$3005,$A190,請求記録!$Z$6:$Z$3005,Q$5)=0,"",SUMIFS(請求記録!$AE$6:$AE$3005,請求記録!$B$6:$B$3005,$A190,請求記録!$Z$6:$Z$3005,Q$5))))</f>
        <v/>
      </c>
      <c r="R190" s="19">
        <f>IF($A190="","",IF(COUNTIFS(請求記録!$B$6:$B$3005,$A190,請求記録!$Z$6:$Z$3005,R$5,請求記録!$AF$6:$AF$3005,"保留中")&gt;0,"保留",IF(COUNTIFS(請求記録!$B$6:$B$3005,$A190,請求記録!$Z$6:$Z$3005,R$5)=0,"",SUMIFS(請求記録!$AE$6:$AE$3005,請求記録!$B$6:$B$3005,$A190,請求記録!$Z$6:$Z$3005,R$5))))</f>
        <v/>
      </c>
      <c r="S190" s="19">
        <f>IF($A190="","",IF(COUNTIFS(請求記録!$B$6:$B$3005,$A190,請求記録!$Z$6:$Z$3005,S$5,請求記録!$AF$6:$AF$3005,"保留中")&gt;0,"保留",IF(COUNTIFS(請求記録!$B$6:$B$3005,$A190,請求記録!$Z$6:$Z$3005,S$5)=0,"",SUMIFS(請求記録!$AE$6:$AE$3005,請求記録!$B$6:$B$3005,$A190,請求記録!$Z$6:$Z$3005,S$5))))</f>
        <v/>
      </c>
      <c r="T190" s="19">
        <f>IF($A190="","",IF(COUNTIFS(請求記録!$B$6:$B$3005,$A190,請求記録!$Z$6:$Z$3005,T$5,請求記録!$AF$6:$AF$3005,"保留中")&gt;0,"保留",IF(COUNTIFS(請求記録!$B$6:$B$3005,$A190,請求記録!$Z$6:$Z$3005,T$5)=0,"",SUMIFS(請求記録!$AE$6:$AE$3005,請求記録!$B$6:$B$3005,$A190,請求記録!$Z$6:$Z$3005,T$5))))</f>
        <v/>
      </c>
      <c r="U190" s="19">
        <f>IF($A190="","",IF(COUNTIFS(請求記録!$B$6:$B$3005,$A190,請求記録!$Z$6:$Z$3005,U$5,請求記録!$AF$6:$AF$3005,"保留中")&gt;0,"保留",IF(COUNTIFS(請求記録!$B$6:$B$3005,$A190,請求記録!$Z$6:$Z$3005,U$5)=0,"",SUMIFS(請求記録!$AE$6:$AE$3005,請求記録!$B$6:$B$3005,$A190,請求記録!$Z$6:$Z$3005,U$5))))</f>
        <v/>
      </c>
      <c r="V190" s="19">
        <f>IF($A190="","",IF(COUNTIFS(請求記録!$B$6:$B$3005,$A190,請求記録!$Z$6:$Z$3005,V$5,請求記録!$AF$6:$AF$3005,"保留中")&gt;0,"保留",IF(COUNTIFS(請求記録!$B$6:$B$3005,$A190,請求記録!$Z$6:$Z$3005,V$5)=0,"",SUMIFS(請求記録!$AE$6:$AE$3005,請求記録!$B$6:$B$3005,$A190,請求記録!$Z$6:$Z$3005,V$5))))</f>
        <v/>
      </c>
      <c r="W190" s="19">
        <f>IF($A190="","",IF(COUNTIFS(請求記録!$B$6:$B$3005,$A190,請求記録!$Z$6:$Z$3005,W$5,請求記録!$AF$6:$AF$3005,"保留中")&gt;0,"保留",IF(COUNTIFS(請求記録!$B$6:$B$3005,$A190,請求記録!$Z$6:$Z$3005,W$5)=0,"",SUMIFS(請求記録!$AE$6:$AE$3005,請求記録!$B$6:$B$3005,$A190,請求記録!$Z$6:$Z$3005,W$5))))</f>
        <v/>
      </c>
      <c r="X190" s="19">
        <f>IF($A190="","",IF(COUNTIFS(請求記録!$B$6:$B$3005,$A190,請求記録!$Z$6:$Z$3005,X$5,請求記録!$AF$6:$AF$3005,"保留中")&gt;0,"保留",IF(COUNTIFS(請求記録!$B$6:$B$3005,$A190,請求記録!$Z$6:$Z$3005,X$5)=0,"",SUMIFS(請求記録!$AE$6:$AE$3005,請求記録!$B$6:$B$3005,$A190,請求記録!$Z$6:$Z$3005,X$5))))</f>
        <v/>
      </c>
      <c r="Y190" s="19">
        <f>IF($A190="","",IF(COUNTIFS(請求記録!$B$6:$B$3005,$A190,請求記録!$Z$6:$Z$3005,Y$5,請求記録!$AF$6:$AF$3005,"保留中")&gt;0,"保留",IF(COUNTIFS(請求記録!$B$6:$B$3005,$A190,請求記録!$Z$6:$Z$3005,Y$5)=0,"",SUMIFS(請求記録!$AE$6:$AE$3005,請求記録!$B$6:$B$3005,$A190,請求記録!$Z$6:$Z$3005,Y$5))))</f>
        <v/>
      </c>
      <c r="Z190" s="19">
        <f>IF($A190="","",IF(COUNTIFS(請求記録!$B$6:$B$3005,$A190,請求記録!$Z$6:$Z$3005,Z$5,請求記録!$AF$6:$AF$3005,"保留中")&gt;0,"保留",IF(COUNTIFS(請求記録!$B$6:$B$3005,$A190,請求記録!$Z$6:$Z$3005,Z$5)=0,"",SUMIFS(請求記録!$AE$6:$AE$3005,請求記録!$B$6:$B$3005,$A190,請求記録!$Z$6:$Z$3005,Z$5))))</f>
        <v/>
      </c>
      <c r="AA190" s="19">
        <f>IF($A190="","",IF(COUNTIFS(請求記録!$B$6:$B$3005,$A190,請求記録!$Z$6:$Z$3005,AA$5,請求記録!$AF$6:$AF$3005,"保留中")&gt;0,"保留",IF(COUNTIFS(請求記録!$B$6:$B$3005,$A190,請求記録!$Z$6:$Z$3005,AA$5)=0,"",SUMIFS(請求記録!$AE$6:$AE$3005,請求記録!$B$6:$B$3005,$A190,請求記録!$Z$6:$Z$3005,AA$5))))</f>
        <v/>
      </c>
      <c r="AB190">
        <f>IF(職員マスタ!P190="保留中",職員マスタ!M190,"")</f>
        <v/>
      </c>
    </row>
    <row r="191">
      <c r="A191">
        <f>IF(職員マスタ!A191="","",職員マスタ!A191)</f>
        <v/>
      </c>
      <c r="B191">
        <f>IF($A191="","",職員マスタ!B191)</f>
        <v/>
      </c>
      <c r="C191">
        <f>IF($A191="","",職員マスタ!C191)</f>
        <v/>
      </c>
      <c r="D191" s="19">
        <f>IF($A191="","",IF(COUNTIFS(請求記録!$B$6:$B$3005,$A191,請求記録!$Z$6:$Z$3005,D$5,請求記録!$AF$6:$AF$3005,"保留中")&gt;0,"保留",IF(COUNTIFS(請求記録!$B$6:$B$3005,$A191,請求記録!$Z$6:$Z$3005,D$5)=0,"",SUMIFS(請求記録!$AE$6:$AE$3005,請求記録!$B$6:$B$3005,$A191,請求記録!$Z$6:$Z$3005,D$5))))</f>
        <v/>
      </c>
      <c r="E191" s="19">
        <f>IF($A191="","",IF(COUNTIFS(請求記録!$B$6:$B$3005,$A191,請求記録!$Z$6:$Z$3005,E$5,請求記録!$AF$6:$AF$3005,"保留中")&gt;0,"保留",IF(COUNTIFS(請求記録!$B$6:$B$3005,$A191,請求記録!$Z$6:$Z$3005,E$5)=0,"",SUMIFS(請求記録!$AE$6:$AE$3005,請求記録!$B$6:$B$3005,$A191,請求記録!$Z$6:$Z$3005,E$5))))</f>
        <v/>
      </c>
      <c r="F191" s="19">
        <f>IF($A191="","",IF(COUNTIFS(請求記録!$B$6:$B$3005,$A191,請求記録!$Z$6:$Z$3005,F$5,請求記録!$AF$6:$AF$3005,"保留中")&gt;0,"保留",IF(COUNTIFS(請求記録!$B$6:$B$3005,$A191,請求記録!$Z$6:$Z$3005,F$5)=0,"",SUMIFS(請求記録!$AE$6:$AE$3005,請求記録!$B$6:$B$3005,$A191,請求記録!$Z$6:$Z$3005,F$5))))</f>
        <v/>
      </c>
      <c r="G191" s="19">
        <f>IF($A191="","",IF(COUNTIFS(請求記録!$B$6:$B$3005,$A191,請求記録!$Z$6:$Z$3005,G$5,請求記録!$AF$6:$AF$3005,"保留中")&gt;0,"保留",IF(COUNTIFS(請求記録!$B$6:$B$3005,$A191,請求記録!$Z$6:$Z$3005,G$5)=0,"",SUMIFS(請求記録!$AE$6:$AE$3005,請求記録!$B$6:$B$3005,$A191,請求記録!$Z$6:$Z$3005,G$5))))</f>
        <v/>
      </c>
      <c r="H191" s="19">
        <f>IF($A191="","",IF(COUNTIFS(請求記録!$B$6:$B$3005,$A191,請求記録!$Z$6:$Z$3005,H$5,請求記録!$AF$6:$AF$3005,"保留中")&gt;0,"保留",IF(COUNTIFS(請求記録!$B$6:$B$3005,$A191,請求記録!$Z$6:$Z$3005,H$5)=0,"",SUMIFS(請求記録!$AE$6:$AE$3005,請求記録!$B$6:$B$3005,$A191,請求記録!$Z$6:$Z$3005,H$5))))</f>
        <v/>
      </c>
      <c r="I191" s="19">
        <f>IF($A191="","",IF(COUNTIFS(請求記録!$B$6:$B$3005,$A191,請求記録!$Z$6:$Z$3005,I$5,請求記録!$AF$6:$AF$3005,"保留中")&gt;0,"保留",IF(COUNTIFS(請求記録!$B$6:$B$3005,$A191,請求記録!$Z$6:$Z$3005,I$5)=0,"",SUMIFS(請求記録!$AE$6:$AE$3005,請求記録!$B$6:$B$3005,$A191,請求記録!$Z$6:$Z$3005,I$5))))</f>
        <v/>
      </c>
      <c r="J191" s="19">
        <f>IF($A191="","",IF(COUNTIFS(請求記録!$B$6:$B$3005,$A191,請求記録!$Z$6:$Z$3005,J$5,請求記録!$AF$6:$AF$3005,"保留中")&gt;0,"保留",IF(COUNTIFS(請求記録!$B$6:$B$3005,$A191,請求記録!$Z$6:$Z$3005,J$5)=0,"",SUMIFS(請求記録!$AE$6:$AE$3005,請求記録!$B$6:$B$3005,$A191,請求記録!$Z$6:$Z$3005,J$5))))</f>
        <v/>
      </c>
      <c r="K191" s="19">
        <f>IF($A191="","",IF(COUNTIFS(請求記録!$B$6:$B$3005,$A191,請求記録!$Z$6:$Z$3005,K$5,請求記録!$AF$6:$AF$3005,"保留中")&gt;0,"保留",IF(COUNTIFS(請求記録!$B$6:$B$3005,$A191,請求記録!$Z$6:$Z$3005,K$5)=0,"",SUMIFS(請求記録!$AE$6:$AE$3005,請求記録!$B$6:$B$3005,$A191,請求記録!$Z$6:$Z$3005,K$5))))</f>
        <v/>
      </c>
      <c r="L191" s="19">
        <f>IF($A191="","",IF(COUNTIFS(請求記録!$B$6:$B$3005,$A191,請求記録!$Z$6:$Z$3005,L$5,請求記録!$AF$6:$AF$3005,"保留中")&gt;0,"保留",IF(COUNTIFS(請求記録!$B$6:$B$3005,$A191,請求記録!$Z$6:$Z$3005,L$5)=0,"",SUMIFS(請求記録!$AE$6:$AE$3005,請求記録!$B$6:$B$3005,$A191,請求記録!$Z$6:$Z$3005,L$5))))</f>
        <v/>
      </c>
      <c r="M191" s="19">
        <f>IF($A191="","",IF(COUNTIFS(請求記録!$B$6:$B$3005,$A191,請求記録!$Z$6:$Z$3005,M$5,請求記録!$AF$6:$AF$3005,"保留中")&gt;0,"保留",IF(COUNTIFS(請求記録!$B$6:$B$3005,$A191,請求記録!$Z$6:$Z$3005,M$5)=0,"",SUMIFS(請求記録!$AE$6:$AE$3005,請求記録!$B$6:$B$3005,$A191,請求記録!$Z$6:$Z$3005,M$5))))</f>
        <v/>
      </c>
      <c r="N191" s="19">
        <f>IF($A191="","",IF(COUNTIFS(請求記録!$B$6:$B$3005,$A191,請求記録!$Z$6:$Z$3005,N$5,請求記録!$AF$6:$AF$3005,"保留中")&gt;0,"保留",IF(COUNTIFS(請求記録!$B$6:$B$3005,$A191,請求記録!$Z$6:$Z$3005,N$5)=0,"",SUMIFS(請求記録!$AE$6:$AE$3005,請求記録!$B$6:$B$3005,$A191,請求記録!$Z$6:$Z$3005,N$5))))</f>
        <v/>
      </c>
      <c r="O191" s="19">
        <f>IF($A191="","",IF(COUNTIFS(請求記録!$B$6:$B$3005,$A191,請求記録!$Z$6:$Z$3005,O$5,請求記録!$AF$6:$AF$3005,"保留中")&gt;0,"保留",IF(COUNTIFS(請求記録!$B$6:$B$3005,$A191,請求記録!$Z$6:$Z$3005,O$5)=0,"",SUMIFS(請求記録!$AE$6:$AE$3005,請求記録!$B$6:$B$3005,$A191,請求記録!$Z$6:$Z$3005,O$5))))</f>
        <v/>
      </c>
      <c r="P191" s="19">
        <f>IF($A191="","",IF(COUNTIFS(請求記録!$B$6:$B$3005,$A191,請求記録!$Z$6:$Z$3005,P$5,請求記録!$AF$6:$AF$3005,"保留中")&gt;0,"保留",IF(COUNTIFS(請求記録!$B$6:$B$3005,$A191,請求記録!$Z$6:$Z$3005,P$5)=0,"",SUMIFS(請求記録!$AE$6:$AE$3005,請求記録!$B$6:$B$3005,$A191,請求記録!$Z$6:$Z$3005,P$5))))</f>
        <v/>
      </c>
      <c r="Q191" s="19">
        <f>IF($A191="","",IF(COUNTIFS(請求記録!$B$6:$B$3005,$A191,請求記録!$Z$6:$Z$3005,Q$5,請求記録!$AF$6:$AF$3005,"保留中")&gt;0,"保留",IF(COUNTIFS(請求記録!$B$6:$B$3005,$A191,請求記録!$Z$6:$Z$3005,Q$5)=0,"",SUMIFS(請求記録!$AE$6:$AE$3005,請求記録!$B$6:$B$3005,$A191,請求記録!$Z$6:$Z$3005,Q$5))))</f>
        <v/>
      </c>
      <c r="R191" s="19">
        <f>IF($A191="","",IF(COUNTIFS(請求記録!$B$6:$B$3005,$A191,請求記録!$Z$6:$Z$3005,R$5,請求記録!$AF$6:$AF$3005,"保留中")&gt;0,"保留",IF(COUNTIFS(請求記録!$B$6:$B$3005,$A191,請求記録!$Z$6:$Z$3005,R$5)=0,"",SUMIFS(請求記録!$AE$6:$AE$3005,請求記録!$B$6:$B$3005,$A191,請求記録!$Z$6:$Z$3005,R$5))))</f>
        <v/>
      </c>
      <c r="S191" s="19">
        <f>IF($A191="","",IF(COUNTIFS(請求記録!$B$6:$B$3005,$A191,請求記録!$Z$6:$Z$3005,S$5,請求記録!$AF$6:$AF$3005,"保留中")&gt;0,"保留",IF(COUNTIFS(請求記録!$B$6:$B$3005,$A191,請求記録!$Z$6:$Z$3005,S$5)=0,"",SUMIFS(請求記録!$AE$6:$AE$3005,請求記録!$B$6:$B$3005,$A191,請求記録!$Z$6:$Z$3005,S$5))))</f>
        <v/>
      </c>
      <c r="T191" s="19">
        <f>IF($A191="","",IF(COUNTIFS(請求記録!$B$6:$B$3005,$A191,請求記録!$Z$6:$Z$3005,T$5,請求記録!$AF$6:$AF$3005,"保留中")&gt;0,"保留",IF(COUNTIFS(請求記録!$B$6:$B$3005,$A191,請求記録!$Z$6:$Z$3005,T$5)=0,"",SUMIFS(請求記録!$AE$6:$AE$3005,請求記録!$B$6:$B$3005,$A191,請求記録!$Z$6:$Z$3005,T$5))))</f>
        <v/>
      </c>
      <c r="U191" s="19">
        <f>IF($A191="","",IF(COUNTIFS(請求記録!$B$6:$B$3005,$A191,請求記録!$Z$6:$Z$3005,U$5,請求記録!$AF$6:$AF$3005,"保留中")&gt;0,"保留",IF(COUNTIFS(請求記録!$B$6:$B$3005,$A191,請求記録!$Z$6:$Z$3005,U$5)=0,"",SUMIFS(請求記録!$AE$6:$AE$3005,請求記録!$B$6:$B$3005,$A191,請求記録!$Z$6:$Z$3005,U$5))))</f>
        <v/>
      </c>
      <c r="V191" s="19">
        <f>IF($A191="","",IF(COUNTIFS(請求記録!$B$6:$B$3005,$A191,請求記録!$Z$6:$Z$3005,V$5,請求記録!$AF$6:$AF$3005,"保留中")&gt;0,"保留",IF(COUNTIFS(請求記録!$B$6:$B$3005,$A191,請求記録!$Z$6:$Z$3005,V$5)=0,"",SUMIFS(請求記録!$AE$6:$AE$3005,請求記録!$B$6:$B$3005,$A191,請求記録!$Z$6:$Z$3005,V$5))))</f>
        <v/>
      </c>
      <c r="W191" s="19">
        <f>IF($A191="","",IF(COUNTIFS(請求記録!$B$6:$B$3005,$A191,請求記録!$Z$6:$Z$3005,W$5,請求記録!$AF$6:$AF$3005,"保留中")&gt;0,"保留",IF(COUNTIFS(請求記録!$B$6:$B$3005,$A191,請求記録!$Z$6:$Z$3005,W$5)=0,"",SUMIFS(請求記録!$AE$6:$AE$3005,請求記録!$B$6:$B$3005,$A191,請求記録!$Z$6:$Z$3005,W$5))))</f>
        <v/>
      </c>
      <c r="X191" s="19">
        <f>IF($A191="","",IF(COUNTIFS(請求記録!$B$6:$B$3005,$A191,請求記録!$Z$6:$Z$3005,X$5,請求記録!$AF$6:$AF$3005,"保留中")&gt;0,"保留",IF(COUNTIFS(請求記録!$B$6:$B$3005,$A191,請求記録!$Z$6:$Z$3005,X$5)=0,"",SUMIFS(請求記録!$AE$6:$AE$3005,請求記録!$B$6:$B$3005,$A191,請求記録!$Z$6:$Z$3005,X$5))))</f>
        <v/>
      </c>
      <c r="Y191" s="19">
        <f>IF($A191="","",IF(COUNTIFS(請求記録!$B$6:$B$3005,$A191,請求記録!$Z$6:$Z$3005,Y$5,請求記録!$AF$6:$AF$3005,"保留中")&gt;0,"保留",IF(COUNTIFS(請求記録!$B$6:$B$3005,$A191,請求記録!$Z$6:$Z$3005,Y$5)=0,"",SUMIFS(請求記録!$AE$6:$AE$3005,請求記録!$B$6:$B$3005,$A191,請求記録!$Z$6:$Z$3005,Y$5))))</f>
        <v/>
      </c>
      <c r="Z191" s="19">
        <f>IF($A191="","",IF(COUNTIFS(請求記録!$B$6:$B$3005,$A191,請求記録!$Z$6:$Z$3005,Z$5,請求記録!$AF$6:$AF$3005,"保留中")&gt;0,"保留",IF(COUNTIFS(請求記録!$B$6:$B$3005,$A191,請求記録!$Z$6:$Z$3005,Z$5)=0,"",SUMIFS(請求記録!$AE$6:$AE$3005,請求記録!$B$6:$B$3005,$A191,請求記録!$Z$6:$Z$3005,Z$5))))</f>
        <v/>
      </c>
      <c r="AA191" s="19">
        <f>IF($A191="","",IF(COUNTIFS(請求記録!$B$6:$B$3005,$A191,請求記録!$Z$6:$Z$3005,AA$5,請求記録!$AF$6:$AF$3005,"保留中")&gt;0,"保留",IF(COUNTIFS(請求記録!$B$6:$B$3005,$A191,請求記録!$Z$6:$Z$3005,AA$5)=0,"",SUMIFS(請求記録!$AE$6:$AE$3005,請求記録!$B$6:$B$3005,$A191,請求記録!$Z$6:$Z$3005,AA$5))))</f>
        <v/>
      </c>
      <c r="AB191">
        <f>IF(職員マスタ!P191="保留中",職員マスタ!M191,"")</f>
        <v/>
      </c>
    </row>
    <row r="192">
      <c r="A192">
        <f>IF(職員マスタ!A192="","",職員マスタ!A192)</f>
        <v/>
      </c>
      <c r="B192">
        <f>IF($A192="","",職員マスタ!B192)</f>
        <v/>
      </c>
      <c r="C192">
        <f>IF($A192="","",職員マスタ!C192)</f>
        <v/>
      </c>
      <c r="D192" s="19">
        <f>IF($A192="","",IF(COUNTIFS(請求記録!$B$6:$B$3005,$A192,請求記録!$Z$6:$Z$3005,D$5,請求記録!$AF$6:$AF$3005,"保留中")&gt;0,"保留",IF(COUNTIFS(請求記録!$B$6:$B$3005,$A192,請求記録!$Z$6:$Z$3005,D$5)=0,"",SUMIFS(請求記録!$AE$6:$AE$3005,請求記録!$B$6:$B$3005,$A192,請求記録!$Z$6:$Z$3005,D$5))))</f>
        <v/>
      </c>
      <c r="E192" s="19">
        <f>IF($A192="","",IF(COUNTIFS(請求記録!$B$6:$B$3005,$A192,請求記録!$Z$6:$Z$3005,E$5,請求記録!$AF$6:$AF$3005,"保留中")&gt;0,"保留",IF(COUNTIFS(請求記録!$B$6:$B$3005,$A192,請求記録!$Z$6:$Z$3005,E$5)=0,"",SUMIFS(請求記録!$AE$6:$AE$3005,請求記録!$B$6:$B$3005,$A192,請求記録!$Z$6:$Z$3005,E$5))))</f>
        <v/>
      </c>
      <c r="F192" s="19">
        <f>IF($A192="","",IF(COUNTIFS(請求記録!$B$6:$B$3005,$A192,請求記録!$Z$6:$Z$3005,F$5,請求記録!$AF$6:$AF$3005,"保留中")&gt;0,"保留",IF(COUNTIFS(請求記録!$B$6:$B$3005,$A192,請求記録!$Z$6:$Z$3005,F$5)=0,"",SUMIFS(請求記録!$AE$6:$AE$3005,請求記録!$B$6:$B$3005,$A192,請求記録!$Z$6:$Z$3005,F$5))))</f>
        <v/>
      </c>
      <c r="G192" s="19">
        <f>IF($A192="","",IF(COUNTIFS(請求記録!$B$6:$B$3005,$A192,請求記録!$Z$6:$Z$3005,G$5,請求記録!$AF$6:$AF$3005,"保留中")&gt;0,"保留",IF(COUNTIFS(請求記録!$B$6:$B$3005,$A192,請求記録!$Z$6:$Z$3005,G$5)=0,"",SUMIFS(請求記録!$AE$6:$AE$3005,請求記録!$B$6:$B$3005,$A192,請求記録!$Z$6:$Z$3005,G$5))))</f>
        <v/>
      </c>
      <c r="H192" s="19">
        <f>IF($A192="","",IF(COUNTIFS(請求記録!$B$6:$B$3005,$A192,請求記録!$Z$6:$Z$3005,H$5,請求記録!$AF$6:$AF$3005,"保留中")&gt;0,"保留",IF(COUNTIFS(請求記録!$B$6:$B$3005,$A192,請求記録!$Z$6:$Z$3005,H$5)=0,"",SUMIFS(請求記録!$AE$6:$AE$3005,請求記録!$B$6:$B$3005,$A192,請求記録!$Z$6:$Z$3005,H$5))))</f>
        <v/>
      </c>
      <c r="I192" s="19">
        <f>IF($A192="","",IF(COUNTIFS(請求記録!$B$6:$B$3005,$A192,請求記録!$Z$6:$Z$3005,I$5,請求記録!$AF$6:$AF$3005,"保留中")&gt;0,"保留",IF(COUNTIFS(請求記録!$B$6:$B$3005,$A192,請求記録!$Z$6:$Z$3005,I$5)=0,"",SUMIFS(請求記録!$AE$6:$AE$3005,請求記録!$B$6:$B$3005,$A192,請求記録!$Z$6:$Z$3005,I$5))))</f>
        <v/>
      </c>
      <c r="J192" s="19">
        <f>IF($A192="","",IF(COUNTIFS(請求記録!$B$6:$B$3005,$A192,請求記録!$Z$6:$Z$3005,J$5,請求記録!$AF$6:$AF$3005,"保留中")&gt;0,"保留",IF(COUNTIFS(請求記録!$B$6:$B$3005,$A192,請求記録!$Z$6:$Z$3005,J$5)=0,"",SUMIFS(請求記録!$AE$6:$AE$3005,請求記録!$B$6:$B$3005,$A192,請求記録!$Z$6:$Z$3005,J$5))))</f>
        <v/>
      </c>
      <c r="K192" s="19">
        <f>IF($A192="","",IF(COUNTIFS(請求記録!$B$6:$B$3005,$A192,請求記録!$Z$6:$Z$3005,K$5,請求記録!$AF$6:$AF$3005,"保留中")&gt;0,"保留",IF(COUNTIFS(請求記録!$B$6:$B$3005,$A192,請求記録!$Z$6:$Z$3005,K$5)=0,"",SUMIFS(請求記録!$AE$6:$AE$3005,請求記録!$B$6:$B$3005,$A192,請求記録!$Z$6:$Z$3005,K$5))))</f>
        <v/>
      </c>
      <c r="L192" s="19">
        <f>IF($A192="","",IF(COUNTIFS(請求記録!$B$6:$B$3005,$A192,請求記録!$Z$6:$Z$3005,L$5,請求記録!$AF$6:$AF$3005,"保留中")&gt;0,"保留",IF(COUNTIFS(請求記録!$B$6:$B$3005,$A192,請求記録!$Z$6:$Z$3005,L$5)=0,"",SUMIFS(請求記録!$AE$6:$AE$3005,請求記録!$B$6:$B$3005,$A192,請求記録!$Z$6:$Z$3005,L$5))))</f>
        <v/>
      </c>
      <c r="M192" s="19">
        <f>IF($A192="","",IF(COUNTIFS(請求記録!$B$6:$B$3005,$A192,請求記録!$Z$6:$Z$3005,M$5,請求記録!$AF$6:$AF$3005,"保留中")&gt;0,"保留",IF(COUNTIFS(請求記録!$B$6:$B$3005,$A192,請求記録!$Z$6:$Z$3005,M$5)=0,"",SUMIFS(請求記録!$AE$6:$AE$3005,請求記録!$B$6:$B$3005,$A192,請求記録!$Z$6:$Z$3005,M$5))))</f>
        <v/>
      </c>
      <c r="N192" s="19">
        <f>IF($A192="","",IF(COUNTIFS(請求記録!$B$6:$B$3005,$A192,請求記録!$Z$6:$Z$3005,N$5,請求記録!$AF$6:$AF$3005,"保留中")&gt;0,"保留",IF(COUNTIFS(請求記録!$B$6:$B$3005,$A192,請求記録!$Z$6:$Z$3005,N$5)=0,"",SUMIFS(請求記録!$AE$6:$AE$3005,請求記録!$B$6:$B$3005,$A192,請求記録!$Z$6:$Z$3005,N$5))))</f>
        <v/>
      </c>
      <c r="O192" s="19">
        <f>IF($A192="","",IF(COUNTIFS(請求記録!$B$6:$B$3005,$A192,請求記録!$Z$6:$Z$3005,O$5,請求記録!$AF$6:$AF$3005,"保留中")&gt;0,"保留",IF(COUNTIFS(請求記録!$B$6:$B$3005,$A192,請求記録!$Z$6:$Z$3005,O$5)=0,"",SUMIFS(請求記録!$AE$6:$AE$3005,請求記録!$B$6:$B$3005,$A192,請求記録!$Z$6:$Z$3005,O$5))))</f>
        <v/>
      </c>
      <c r="P192" s="19">
        <f>IF($A192="","",IF(COUNTIFS(請求記録!$B$6:$B$3005,$A192,請求記録!$Z$6:$Z$3005,P$5,請求記録!$AF$6:$AF$3005,"保留中")&gt;0,"保留",IF(COUNTIFS(請求記録!$B$6:$B$3005,$A192,請求記録!$Z$6:$Z$3005,P$5)=0,"",SUMIFS(請求記録!$AE$6:$AE$3005,請求記録!$B$6:$B$3005,$A192,請求記録!$Z$6:$Z$3005,P$5))))</f>
        <v/>
      </c>
      <c r="Q192" s="19">
        <f>IF($A192="","",IF(COUNTIFS(請求記録!$B$6:$B$3005,$A192,請求記録!$Z$6:$Z$3005,Q$5,請求記録!$AF$6:$AF$3005,"保留中")&gt;0,"保留",IF(COUNTIFS(請求記録!$B$6:$B$3005,$A192,請求記録!$Z$6:$Z$3005,Q$5)=0,"",SUMIFS(請求記録!$AE$6:$AE$3005,請求記録!$B$6:$B$3005,$A192,請求記録!$Z$6:$Z$3005,Q$5))))</f>
        <v/>
      </c>
      <c r="R192" s="19">
        <f>IF($A192="","",IF(COUNTIFS(請求記録!$B$6:$B$3005,$A192,請求記録!$Z$6:$Z$3005,R$5,請求記録!$AF$6:$AF$3005,"保留中")&gt;0,"保留",IF(COUNTIFS(請求記録!$B$6:$B$3005,$A192,請求記録!$Z$6:$Z$3005,R$5)=0,"",SUMIFS(請求記録!$AE$6:$AE$3005,請求記録!$B$6:$B$3005,$A192,請求記録!$Z$6:$Z$3005,R$5))))</f>
        <v/>
      </c>
      <c r="S192" s="19">
        <f>IF($A192="","",IF(COUNTIFS(請求記録!$B$6:$B$3005,$A192,請求記録!$Z$6:$Z$3005,S$5,請求記録!$AF$6:$AF$3005,"保留中")&gt;0,"保留",IF(COUNTIFS(請求記録!$B$6:$B$3005,$A192,請求記録!$Z$6:$Z$3005,S$5)=0,"",SUMIFS(請求記録!$AE$6:$AE$3005,請求記録!$B$6:$B$3005,$A192,請求記録!$Z$6:$Z$3005,S$5))))</f>
        <v/>
      </c>
      <c r="T192" s="19">
        <f>IF($A192="","",IF(COUNTIFS(請求記録!$B$6:$B$3005,$A192,請求記録!$Z$6:$Z$3005,T$5,請求記録!$AF$6:$AF$3005,"保留中")&gt;0,"保留",IF(COUNTIFS(請求記録!$B$6:$B$3005,$A192,請求記録!$Z$6:$Z$3005,T$5)=0,"",SUMIFS(請求記録!$AE$6:$AE$3005,請求記録!$B$6:$B$3005,$A192,請求記録!$Z$6:$Z$3005,T$5))))</f>
        <v/>
      </c>
      <c r="U192" s="19">
        <f>IF($A192="","",IF(COUNTIFS(請求記録!$B$6:$B$3005,$A192,請求記録!$Z$6:$Z$3005,U$5,請求記録!$AF$6:$AF$3005,"保留中")&gt;0,"保留",IF(COUNTIFS(請求記録!$B$6:$B$3005,$A192,請求記録!$Z$6:$Z$3005,U$5)=0,"",SUMIFS(請求記録!$AE$6:$AE$3005,請求記録!$B$6:$B$3005,$A192,請求記録!$Z$6:$Z$3005,U$5))))</f>
        <v/>
      </c>
      <c r="V192" s="19">
        <f>IF($A192="","",IF(COUNTIFS(請求記録!$B$6:$B$3005,$A192,請求記録!$Z$6:$Z$3005,V$5,請求記録!$AF$6:$AF$3005,"保留中")&gt;0,"保留",IF(COUNTIFS(請求記録!$B$6:$B$3005,$A192,請求記録!$Z$6:$Z$3005,V$5)=0,"",SUMIFS(請求記録!$AE$6:$AE$3005,請求記録!$B$6:$B$3005,$A192,請求記録!$Z$6:$Z$3005,V$5))))</f>
        <v/>
      </c>
      <c r="W192" s="19">
        <f>IF($A192="","",IF(COUNTIFS(請求記録!$B$6:$B$3005,$A192,請求記録!$Z$6:$Z$3005,W$5,請求記録!$AF$6:$AF$3005,"保留中")&gt;0,"保留",IF(COUNTIFS(請求記録!$B$6:$B$3005,$A192,請求記録!$Z$6:$Z$3005,W$5)=0,"",SUMIFS(請求記録!$AE$6:$AE$3005,請求記録!$B$6:$B$3005,$A192,請求記録!$Z$6:$Z$3005,W$5))))</f>
        <v/>
      </c>
      <c r="X192" s="19">
        <f>IF($A192="","",IF(COUNTIFS(請求記録!$B$6:$B$3005,$A192,請求記録!$Z$6:$Z$3005,X$5,請求記録!$AF$6:$AF$3005,"保留中")&gt;0,"保留",IF(COUNTIFS(請求記録!$B$6:$B$3005,$A192,請求記録!$Z$6:$Z$3005,X$5)=0,"",SUMIFS(請求記録!$AE$6:$AE$3005,請求記録!$B$6:$B$3005,$A192,請求記録!$Z$6:$Z$3005,X$5))))</f>
        <v/>
      </c>
      <c r="Y192" s="19">
        <f>IF($A192="","",IF(COUNTIFS(請求記録!$B$6:$B$3005,$A192,請求記録!$Z$6:$Z$3005,Y$5,請求記録!$AF$6:$AF$3005,"保留中")&gt;0,"保留",IF(COUNTIFS(請求記録!$B$6:$B$3005,$A192,請求記録!$Z$6:$Z$3005,Y$5)=0,"",SUMIFS(請求記録!$AE$6:$AE$3005,請求記録!$B$6:$B$3005,$A192,請求記録!$Z$6:$Z$3005,Y$5))))</f>
        <v/>
      </c>
      <c r="Z192" s="19">
        <f>IF($A192="","",IF(COUNTIFS(請求記録!$B$6:$B$3005,$A192,請求記録!$Z$6:$Z$3005,Z$5,請求記録!$AF$6:$AF$3005,"保留中")&gt;0,"保留",IF(COUNTIFS(請求記録!$B$6:$B$3005,$A192,請求記録!$Z$6:$Z$3005,Z$5)=0,"",SUMIFS(請求記録!$AE$6:$AE$3005,請求記録!$B$6:$B$3005,$A192,請求記録!$Z$6:$Z$3005,Z$5))))</f>
        <v/>
      </c>
      <c r="AA192" s="19">
        <f>IF($A192="","",IF(COUNTIFS(請求記録!$B$6:$B$3005,$A192,請求記録!$Z$6:$Z$3005,AA$5,請求記録!$AF$6:$AF$3005,"保留中")&gt;0,"保留",IF(COUNTIFS(請求記録!$B$6:$B$3005,$A192,請求記録!$Z$6:$Z$3005,AA$5)=0,"",SUMIFS(請求記録!$AE$6:$AE$3005,請求記録!$B$6:$B$3005,$A192,請求記録!$Z$6:$Z$3005,AA$5))))</f>
        <v/>
      </c>
      <c r="AB192">
        <f>IF(職員マスタ!P192="保留中",職員マスタ!M192,"")</f>
        <v/>
      </c>
    </row>
    <row r="193">
      <c r="A193">
        <f>IF(職員マスタ!A193="","",職員マスタ!A193)</f>
        <v/>
      </c>
      <c r="B193">
        <f>IF($A193="","",職員マスタ!B193)</f>
        <v/>
      </c>
      <c r="C193">
        <f>IF($A193="","",職員マスタ!C193)</f>
        <v/>
      </c>
      <c r="D193" s="19">
        <f>IF($A193="","",IF(COUNTIFS(請求記録!$B$6:$B$3005,$A193,請求記録!$Z$6:$Z$3005,D$5,請求記録!$AF$6:$AF$3005,"保留中")&gt;0,"保留",IF(COUNTIFS(請求記録!$B$6:$B$3005,$A193,請求記録!$Z$6:$Z$3005,D$5)=0,"",SUMIFS(請求記録!$AE$6:$AE$3005,請求記録!$B$6:$B$3005,$A193,請求記録!$Z$6:$Z$3005,D$5))))</f>
        <v/>
      </c>
      <c r="E193" s="19">
        <f>IF($A193="","",IF(COUNTIFS(請求記録!$B$6:$B$3005,$A193,請求記録!$Z$6:$Z$3005,E$5,請求記録!$AF$6:$AF$3005,"保留中")&gt;0,"保留",IF(COUNTIFS(請求記録!$B$6:$B$3005,$A193,請求記録!$Z$6:$Z$3005,E$5)=0,"",SUMIFS(請求記録!$AE$6:$AE$3005,請求記録!$B$6:$B$3005,$A193,請求記録!$Z$6:$Z$3005,E$5))))</f>
        <v/>
      </c>
      <c r="F193" s="19">
        <f>IF($A193="","",IF(COUNTIFS(請求記録!$B$6:$B$3005,$A193,請求記録!$Z$6:$Z$3005,F$5,請求記録!$AF$6:$AF$3005,"保留中")&gt;0,"保留",IF(COUNTIFS(請求記録!$B$6:$B$3005,$A193,請求記録!$Z$6:$Z$3005,F$5)=0,"",SUMIFS(請求記録!$AE$6:$AE$3005,請求記録!$B$6:$B$3005,$A193,請求記録!$Z$6:$Z$3005,F$5))))</f>
        <v/>
      </c>
      <c r="G193" s="19">
        <f>IF($A193="","",IF(COUNTIFS(請求記録!$B$6:$B$3005,$A193,請求記録!$Z$6:$Z$3005,G$5,請求記録!$AF$6:$AF$3005,"保留中")&gt;0,"保留",IF(COUNTIFS(請求記録!$B$6:$B$3005,$A193,請求記録!$Z$6:$Z$3005,G$5)=0,"",SUMIFS(請求記録!$AE$6:$AE$3005,請求記録!$B$6:$B$3005,$A193,請求記録!$Z$6:$Z$3005,G$5))))</f>
        <v/>
      </c>
      <c r="H193" s="19">
        <f>IF($A193="","",IF(COUNTIFS(請求記録!$B$6:$B$3005,$A193,請求記録!$Z$6:$Z$3005,H$5,請求記録!$AF$6:$AF$3005,"保留中")&gt;0,"保留",IF(COUNTIFS(請求記録!$B$6:$B$3005,$A193,請求記録!$Z$6:$Z$3005,H$5)=0,"",SUMIFS(請求記録!$AE$6:$AE$3005,請求記録!$B$6:$B$3005,$A193,請求記録!$Z$6:$Z$3005,H$5))))</f>
        <v/>
      </c>
      <c r="I193" s="19">
        <f>IF($A193="","",IF(COUNTIFS(請求記録!$B$6:$B$3005,$A193,請求記録!$Z$6:$Z$3005,I$5,請求記録!$AF$6:$AF$3005,"保留中")&gt;0,"保留",IF(COUNTIFS(請求記録!$B$6:$B$3005,$A193,請求記録!$Z$6:$Z$3005,I$5)=0,"",SUMIFS(請求記録!$AE$6:$AE$3005,請求記録!$B$6:$B$3005,$A193,請求記録!$Z$6:$Z$3005,I$5))))</f>
        <v/>
      </c>
      <c r="J193" s="19">
        <f>IF($A193="","",IF(COUNTIFS(請求記録!$B$6:$B$3005,$A193,請求記録!$Z$6:$Z$3005,J$5,請求記録!$AF$6:$AF$3005,"保留中")&gt;0,"保留",IF(COUNTIFS(請求記録!$B$6:$B$3005,$A193,請求記録!$Z$6:$Z$3005,J$5)=0,"",SUMIFS(請求記録!$AE$6:$AE$3005,請求記録!$B$6:$B$3005,$A193,請求記録!$Z$6:$Z$3005,J$5))))</f>
        <v/>
      </c>
      <c r="K193" s="19">
        <f>IF($A193="","",IF(COUNTIFS(請求記録!$B$6:$B$3005,$A193,請求記録!$Z$6:$Z$3005,K$5,請求記録!$AF$6:$AF$3005,"保留中")&gt;0,"保留",IF(COUNTIFS(請求記録!$B$6:$B$3005,$A193,請求記録!$Z$6:$Z$3005,K$5)=0,"",SUMIFS(請求記録!$AE$6:$AE$3005,請求記録!$B$6:$B$3005,$A193,請求記録!$Z$6:$Z$3005,K$5))))</f>
        <v/>
      </c>
      <c r="L193" s="19">
        <f>IF($A193="","",IF(COUNTIFS(請求記録!$B$6:$B$3005,$A193,請求記録!$Z$6:$Z$3005,L$5,請求記録!$AF$6:$AF$3005,"保留中")&gt;0,"保留",IF(COUNTIFS(請求記録!$B$6:$B$3005,$A193,請求記録!$Z$6:$Z$3005,L$5)=0,"",SUMIFS(請求記録!$AE$6:$AE$3005,請求記録!$B$6:$B$3005,$A193,請求記録!$Z$6:$Z$3005,L$5))))</f>
        <v/>
      </c>
      <c r="M193" s="19">
        <f>IF($A193="","",IF(COUNTIFS(請求記録!$B$6:$B$3005,$A193,請求記録!$Z$6:$Z$3005,M$5,請求記録!$AF$6:$AF$3005,"保留中")&gt;0,"保留",IF(COUNTIFS(請求記録!$B$6:$B$3005,$A193,請求記録!$Z$6:$Z$3005,M$5)=0,"",SUMIFS(請求記録!$AE$6:$AE$3005,請求記録!$B$6:$B$3005,$A193,請求記録!$Z$6:$Z$3005,M$5))))</f>
        <v/>
      </c>
      <c r="N193" s="19">
        <f>IF($A193="","",IF(COUNTIFS(請求記録!$B$6:$B$3005,$A193,請求記録!$Z$6:$Z$3005,N$5,請求記録!$AF$6:$AF$3005,"保留中")&gt;0,"保留",IF(COUNTIFS(請求記録!$B$6:$B$3005,$A193,請求記録!$Z$6:$Z$3005,N$5)=0,"",SUMIFS(請求記録!$AE$6:$AE$3005,請求記録!$B$6:$B$3005,$A193,請求記録!$Z$6:$Z$3005,N$5))))</f>
        <v/>
      </c>
      <c r="O193" s="19">
        <f>IF($A193="","",IF(COUNTIFS(請求記録!$B$6:$B$3005,$A193,請求記録!$Z$6:$Z$3005,O$5,請求記録!$AF$6:$AF$3005,"保留中")&gt;0,"保留",IF(COUNTIFS(請求記録!$B$6:$B$3005,$A193,請求記録!$Z$6:$Z$3005,O$5)=0,"",SUMIFS(請求記録!$AE$6:$AE$3005,請求記録!$B$6:$B$3005,$A193,請求記録!$Z$6:$Z$3005,O$5))))</f>
        <v/>
      </c>
      <c r="P193" s="19">
        <f>IF($A193="","",IF(COUNTIFS(請求記録!$B$6:$B$3005,$A193,請求記録!$Z$6:$Z$3005,P$5,請求記録!$AF$6:$AF$3005,"保留中")&gt;0,"保留",IF(COUNTIFS(請求記録!$B$6:$B$3005,$A193,請求記録!$Z$6:$Z$3005,P$5)=0,"",SUMIFS(請求記録!$AE$6:$AE$3005,請求記録!$B$6:$B$3005,$A193,請求記録!$Z$6:$Z$3005,P$5))))</f>
        <v/>
      </c>
      <c r="Q193" s="19">
        <f>IF($A193="","",IF(COUNTIFS(請求記録!$B$6:$B$3005,$A193,請求記録!$Z$6:$Z$3005,Q$5,請求記録!$AF$6:$AF$3005,"保留中")&gt;0,"保留",IF(COUNTIFS(請求記録!$B$6:$B$3005,$A193,請求記録!$Z$6:$Z$3005,Q$5)=0,"",SUMIFS(請求記録!$AE$6:$AE$3005,請求記録!$B$6:$B$3005,$A193,請求記録!$Z$6:$Z$3005,Q$5))))</f>
        <v/>
      </c>
      <c r="R193" s="19">
        <f>IF($A193="","",IF(COUNTIFS(請求記録!$B$6:$B$3005,$A193,請求記録!$Z$6:$Z$3005,R$5,請求記録!$AF$6:$AF$3005,"保留中")&gt;0,"保留",IF(COUNTIFS(請求記録!$B$6:$B$3005,$A193,請求記録!$Z$6:$Z$3005,R$5)=0,"",SUMIFS(請求記録!$AE$6:$AE$3005,請求記録!$B$6:$B$3005,$A193,請求記録!$Z$6:$Z$3005,R$5))))</f>
        <v/>
      </c>
      <c r="S193" s="19">
        <f>IF($A193="","",IF(COUNTIFS(請求記録!$B$6:$B$3005,$A193,請求記録!$Z$6:$Z$3005,S$5,請求記録!$AF$6:$AF$3005,"保留中")&gt;0,"保留",IF(COUNTIFS(請求記録!$B$6:$B$3005,$A193,請求記録!$Z$6:$Z$3005,S$5)=0,"",SUMIFS(請求記録!$AE$6:$AE$3005,請求記録!$B$6:$B$3005,$A193,請求記録!$Z$6:$Z$3005,S$5))))</f>
        <v/>
      </c>
      <c r="T193" s="19">
        <f>IF($A193="","",IF(COUNTIFS(請求記録!$B$6:$B$3005,$A193,請求記録!$Z$6:$Z$3005,T$5,請求記録!$AF$6:$AF$3005,"保留中")&gt;0,"保留",IF(COUNTIFS(請求記録!$B$6:$B$3005,$A193,請求記録!$Z$6:$Z$3005,T$5)=0,"",SUMIFS(請求記録!$AE$6:$AE$3005,請求記録!$B$6:$B$3005,$A193,請求記録!$Z$6:$Z$3005,T$5))))</f>
        <v/>
      </c>
      <c r="U193" s="19">
        <f>IF($A193="","",IF(COUNTIFS(請求記録!$B$6:$B$3005,$A193,請求記録!$Z$6:$Z$3005,U$5,請求記録!$AF$6:$AF$3005,"保留中")&gt;0,"保留",IF(COUNTIFS(請求記録!$B$6:$B$3005,$A193,請求記録!$Z$6:$Z$3005,U$5)=0,"",SUMIFS(請求記録!$AE$6:$AE$3005,請求記録!$B$6:$B$3005,$A193,請求記録!$Z$6:$Z$3005,U$5))))</f>
        <v/>
      </c>
      <c r="V193" s="19">
        <f>IF($A193="","",IF(COUNTIFS(請求記録!$B$6:$B$3005,$A193,請求記録!$Z$6:$Z$3005,V$5,請求記録!$AF$6:$AF$3005,"保留中")&gt;0,"保留",IF(COUNTIFS(請求記録!$B$6:$B$3005,$A193,請求記録!$Z$6:$Z$3005,V$5)=0,"",SUMIFS(請求記録!$AE$6:$AE$3005,請求記録!$B$6:$B$3005,$A193,請求記録!$Z$6:$Z$3005,V$5))))</f>
        <v/>
      </c>
      <c r="W193" s="19">
        <f>IF($A193="","",IF(COUNTIFS(請求記録!$B$6:$B$3005,$A193,請求記録!$Z$6:$Z$3005,W$5,請求記録!$AF$6:$AF$3005,"保留中")&gt;0,"保留",IF(COUNTIFS(請求記録!$B$6:$B$3005,$A193,請求記録!$Z$6:$Z$3005,W$5)=0,"",SUMIFS(請求記録!$AE$6:$AE$3005,請求記録!$B$6:$B$3005,$A193,請求記録!$Z$6:$Z$3005,W$5))))</f>
        <v/>
      </c>
      <c r="X193" s="19">
        <f>IF($A193="","",IF(COUNTIFS(請求記録!$B$6:$B$3005,$A193,請求記録!$Z$6:$Z$3005,X$5,請求記録!$AF$6:$AF$3005,"保留中")&gt;0,"保留",IF(COUNTIFS(請求記録!$B$6:$B$3005,$A193,請求記録!$Z$6:$Z$3005,X$5)=0,"",SUMIFS(請求記録!$AE$6:$AE$3005,請求記録!$B$6:$B$3005,$A193,請求記録!$Z$6:$Z$3005,X$5))))</f>
        <v/>
      </c>
      <c r="Y193" s="19">
        <f>IF($A193="","",IF(COUNTIFS(請求記録!$B$6:$B$3005,$A193,請求記録!$Z$6:$Z$3005,Y$5,請求記録!$AF$6:$AF$3005,"保留中")&gt;0,"保留",IF(COUNTIFS(請求記録!$B$6:$B$3005,$A193,請求記録!$Z$6:$Z$3005,Y$5)=0,"",SUMIFS(請求記録!$AE$6:$AE$3005,請求記録!$B$6:$B$3005,$A193,請求記録!$Z$6:$Z$3005,Y$5))))</f>
        <v/>
      </c>
      <c r="Z193" s="19">
        <f>IF($A193="","",IF(COUNTIFS(請求記録!$B$6:$B$3005,$A193,請求記録!$Z$6:$Z$3005,Z$5,請求記録!$AF$6:$AF$3005,"保留中")&gt;0,"保留",IF(COUNTIFS(請求記録!$B$6:$B$3005,$A193,請求記録!$Z$6:$Z$3005,Z$5)=0,"",SUMIFS(請求記録!$AE$6:$AE$3005,請求記録!$B$6:$B$3005,$A193,請求記録!$Z$6:$Z$3005,Z$5))))</f>
        <v/>
      </c>
      <c r="AA193" s="19">
        <f>IF($A193="","",IF(COUNTIFS(請求記録!$B$6:$B$3005,$A193,請求記録!$Z$6:$Z$3005,AA$5,請求記録!$AF$6:$AF$3005,"保留中")&gt;0,"保留",IF(COUNTIFS(請求記録!$B$6:$B$3005,$A193,請求記録!$Z$6:$Z$3005,AA$5)=0,"",SUMIFS(請求記録!$AE$6:$AE$3005,請求記録!$B$6:$B$3005,$A193,請求記録!$Z$6:$Z$3005,AA$5))))</f>
        <v/>
      </c>
      <c r="AB193">
        <f>IF(職員マスタ!P193="保留中",職員マスタ!M193,"")</f>
        <v/>
      </c>
    </row>
    <row r="194">
      <c r="A194">
        <f>IF(職員マスタ!A194="","",職員マスタ!A194)</f>
        <v/>
      </c>
      <c r="B194">
        <f>IF($A194="","",職員マスタ!B194)</f>
        <v/>
      </c>
      <c r="C194">
        <f>IF($A194="","",職員マスタ!C194)</f>
        <v/>
      </c>
      <c r="D194" s="19">
        <f>IF($A194="","",IF(COUNTIFS(請求記録!$B$6:$B$3005,$A194,請求記録!$Z$6:$Z$3005,D$5,請求記録!$AF$6:$AF$3005,"保留中")&gt;0,"保留",IF(COUNTIFS(請求記録!$B$6:$B$3005,$A194,請求記録!$Z$6:$Z$3005,D$5)=0,"",SUMIFS(請求記録!$AE$6:$AE$3005,請求記録!$B$6:$B$3005,$A194,請求記録!$Z$6:$Z$3005,D$5))))</f>
        <v/>
      </c>
      <c r="E194" s="19">
        <f>IF($A194="","",IF(COUNTIFS(請求記録!$B$6:$B$3005,$A194,請求記録!$Z$6:$Z$3005,E$5,請求記録!$AF$6:$AF$3005,"保留中")&gt;0,"保留",IF(COUNTIFS(請求記録!$B$6:$B$3005,$A194,請求記録!$Z$6:$Z$3005,E$5)=0,"",SUMIFS(請求記録!$AE$6:$AE$3005,請求記録!$B$6:$B$3005,$A194,請求記録!$Z$6:$Z$3005,E$5))))</f>
        <v/>
      </c>
      <c r="F194" s="19">
        <f>IF($A194="","",IF(COUNTIFS(請求記録!$B$6:$B$3005,$A194,請求記録!$Z$6:$Z$3005,F$5,請求記録!$AF$6:$AF$3005,"保留中")&gt;0,"保留",IF(COUNTIFS(請求記録!$B$6:$B$3005,$A194,請求記録!$Z$6:$Z$3005,F$5)=0,"",SUMIFS(請求記録!$AE$6:$AE$3005,請求記録!$B$6:$B$3005,$A194,請求記録!$Z$6:$Z$3005,F$5))))</f>
        <v/>
      </c>
      <c r="G194" s="19">
        <f>IF($A194="","",IF(COUNTIFS(請求記録!$B$6:$B$3005,$A194,請求記録!$Z$6:$Z$3005,G$5,請求記録!$AF$6:$AF$3005,"保留中")&gt;0,"保留",IF(COUNTIFS(請求記録!$B$6:$B$3005,$A194,請求記録!$Z$6:$Z$3005,G$5)=0,"",SUMIFS(請求記録!$AE$6:$AE$3005,請求記録!$B$6:$B$3005,$A194,請求記録!$Z$6:$Z$3005,G$5))))</f>
        <v/>
      </c>
      <c r="H194" s="19">
        <f>IF($A194="","",IF(COUNTIFS(請求記録!$B$6:$B$3005,$A194,請求記録!$Z$6:$Z$3005,H$5,請求記録!$AF$6:$AF$3005,"保留中")&gt;0,"保留",IF(COUNTIFS(請求記録!$B$6:$B$3005,$A194,請求記録!$Z$6:$Z$3005,H$5)=0,"",SUMIFS(請求記録!$AE$6:$AE$3005,請求記録!$B$6:$B$3005,$A194,請求記録!$Z$6:$Z$3005,H$5))))</f>
        <v/>
      </c>
      <c r="I194" s="19">
        <f>IF($A194="","",IF(COUNTIFS(請求記録!$B$6:$B$3005,$A194,請求記録!$Z$6:$Z$3005,I$5,請求記録!$AF$6:$AF$3005,"保留中")&gt;0,"保留",IF(COUNTIFS(請求記録!$B$6:$B$3005,$A194,請求記録!$Z$6:$Z$3005,I$5)=0,"",SUMIFS(請求記録!$AE$6:$AE$3005,請求記録!$B$6:$B$3005,$A194,請求記録!$Z$6:$Z$3005,I$5))))</f>
        <v/>
      </c>
      <c r="J194" s="19">
        <f>IF($A194="","",IF(COUNTIFS(請求記録!$B$6:$B$3005,$A194,請求記録!$Z$6:$Z$3005,J$5,請求記録!$AF$6:$AF$3005,"保留中")&gt;0,"保留",IF(COUNTIFS(請求記録!$B$6:$B$3005,$A194,請求記録!$Z$6:$Z$3005,J$5)=0,"",SUMIFS(請求記録!$AE$6:$AE$3005,請求記録!$B$6:$B$3005,$A194,請求記録!$Z$6:$Z$3005,J$5))))</f>
        <v/>
      </c>
      <c r="K194" s="19">
        <f>IF($A194="","",IF(COUNTIFS(請求記録!$B$6:$B$3005,$A194,請求記録!$Z$6:$Z$3005,K$5,請求記録!$AF$6:$AF$3005,"保留中")&gt;0,"保留",IF(COUNTIFS(請求記録!$B$6:$B$3005,$A194,請求記録!$Z$6:$Z$3005,K$5)=0,"",SUMIFS(請求記録!$AE$6:$AE$3005,請求記録!$B$6:$B$3005,$A194,請求記録!$Z$6:$Z$3005,K$5))))</f>
        <v/>
      </c>
      <c r="L194" s="19">
        <f>IF($A194="","",IF(COUNTIFS(請求記録!$B$6:$B$3005,$A194,請求記録!$Z$6:$Z$3005,L$5,請求記録!$AF$6:$AF$3005,"保留中")&gt;0,"保留",IF(COUNTIFS(請求記録!$B$6:$B$3005,$A194,請求記録!$Z$6:$Z$3005,L$5)=0,"",SUMIFS(請求記録!$AE$6:$AE$3005,請求記録!$B$6:$B$3005,$A194,請求記録!$Z$6:$Z$3005,L$5))))</f>
        <v/>
      </c>
      <c r="M194" s="19">
        <f>IF($A194="","",IF(COUNTIFS(請求記録!$B$6:$B$3005,$A194,請求記録!$Z$6:$Z$3005,M$5,請求記録!$AF$6:$AF$3005,"保留中")&gt;0,"保留",IF(COUNTIFS(請求記録!$B$6:$B$3005,$A194,請求記録!$Z$6:$Z$3005,M$5)=0,"",SUMIFS(請求記録!$AE$6:$AE$3005,請求記録!$B$6:$B$3005,$A194,請求記録!$Z$6:$Z$3005,M$5))))</f>
        <v/>
      </c>
      <c r="N194" s="19">
        <f>IF($A194="","",IF(COUNTIFS(請求記録!$B$6:$B$3005,$A194,請求記録!$Z$6:$Z$3005,N$5,請求記録!$AF$6:$AF$3005,"保留中")&gt;0,"保留",IF(COUNTIFS(請求記録!$B$6:$B$3005,$A194,請求記録!$Z$6:$Z$3005,N$5)=0,"",SUMIFS(請求記録!$AE$6:$AE$3005,請求記録!$B$6:$B$3005,$A194,請求記録!$Z$6:$Z$3005,N$5))))</f>
        <v/>
      </c>
      <c r="O194" s="19">
        <f>IF($A194="","",IF(COUNTIFS(請求記録!$B$6:$B$3005,$A194,請求記録!$Z$6:$Z$3005,O$5,請求記録!$AF$6:$AF$3005,"保留中")&gt;0,"保留",IF(COUNTIFS(請求記録!$B$6:$B$3005,$A194,請求記録!$Z$6:$Z$3005,O$5)=0,"",SUMIFS(請求記録!$AE$6:$AE$3005,請求記録!$B$6:$B$3005,$A194,請求記録!$Z$6:$Z$3005,O$5))))</f>
        <v/>
      </c>
      <c r="P194" s="19">
        <f>IF($A194="","",IF(COUNTIFS(請求記録!$B$6:$B$3005,$A194,請求記録!$Z$6:$Z$3005,P$5,請求記録!$AF$6:$AF$3005,"保留中")&gt;0,"保留",IF(COUNTIFS(請求記録!$B$6:$B$3005,$A194,請求記録!$Z$6:$Z$3005,P$5)=0,"",SUMIFS(請求記録!$AE$6:$AE$3005,請求記録!$B$6:$B$3005,$A194,請求記録!$Z$6:$Z$3005,P$5))))</f>
        <v/>
      </c>
      <c r="Q194" s="19">
        <f>IF($A194="","",IF(COUNTIFS(請求記録!$B$6:$B$3005,$A194,請求記録!$Z$6:$Z$3005,Q$5,請求記録!$AF$6:$AF$3005,"保留中")&gt;0,"保留",IF(COUNTIFS(請求記録!$B$6:$B$3005,$A194,請求記録!$Z$6:$Z$3005,Q$5)=0,"",SUMIFS(請求記録!$AE$6:$AE$3005,請求記録!$B$6:$B$3005,$A194,請求記録!$Z$6:$Z$3005,Q$5))))</f>
        <v/>
      </c>
      <c r="R194" s="19">
        <f>IF($A194="","",IF(COUNTIFS(請求記録!$B$6:$B$3005,$A194,請求記録!$Z$6:$Z$3005,R$5,請求記録!$AF$6:$AF$3005,"保留中")&gt;0,"保留",IF(COUNTIFS(請求記録!$B$6:$B$3005,$A194,請求記録!$Z$6:$Z$3005,R$5)=0,"",SUMIFS(請求記録!$AE$6:$AE$3005,請求記録!$B$6:$B$3005,$A194,請求記録!$Z$6:$Z$3005,R$5))))</f>
        <v/>
      </c>
      <c r="S194" s="19">
        <f>IF($A194="","",IF(COUNTIFS(請求記録!$B$6:$B$3005,$A194,請求記録!$Z$6:$Z$3005,S$5,請求記録!$AF$6:$AF$3005,"保留中")&gt;0,"保留",IF(COUNTIFS(請求記録!$B$6:$B$3005,$A194,請求記録!$Z$6:$Z$3005,S$5)=0,"",SUMIFS(請求記録!$AE$6:$AE$3005,請求記録!$B$6:$B$3005,$A194,請求記録!$Z$6:$Z$3005,S$5))))</f>
        <v/>
      </c>
      <c r="T194" s="19">
        <f>IF($A194="","",IF(COUNTIFS(請求記録!$B$6:$B$3005,$A194,請求記録!$Z$6:$Z$3005,T$5,請求記録!$AF$6:$AF$3005,"保留中")&gt;0,"保留",IF(COUNTIFS(請求記録!$B$6:$B$3005,$A194,請求記録!$Z$6:$Z$3005,T$5)=0,"",SUMIFS(請求記録!$AE$6:$AE$3005,請求記録!$B$6:$B$3005,$A194,請求記録!$Z$6:$Z$3005,T$5))))</f>
        <v/>
      </c>
      <c r="U194" s="19">
        <f>IF($A194="","",IF(COUNTIFS(請求記録!$B$6:$B$3005,$A194,請求記録!$Z$6:$Z$3005,U$5,請求記録!$AF$6:$AF$3005,"保留中")&gt;0,"保留",IF(COUNTIFS(請求記録!$B$6:$B$3005,$A194,請求記録!$Z$6:$Z$3005,U$5)=0,"",SUMIFS(請求記録!$AE$6:$AE$3005,請求記録!$B$6:$B$3005,$A194,請求記録!$Z$6:$Z$3005,U$5))))</f>
        <v/>
      </c>
      <c r="V194" s="19">
        <f>IF($A194="","",IF(COUNTIFS(請求記録!$B$6:$B$3005,$A194,請求記録!$Z$6:$Z$3005,V$5,請求記録!$AF$6:$AF$3005,"保留中")&gt;0,"保留",IF(COUNTIFS(請求記録!$B$6:$B$3005,$A194,請求記録!$Z$6:$Z$3005,V$5)=0,"",SUMIFS(請求記録!$AE$6:$AE$3005,請求記録!$B$6:$B$3005,$A194,請求記録!$Z$6:$Z$3005,V$5))))</f>
        <v/>
      </c>
      <c r="W194" s="19">
        <f>IF($A194="","",IF(COUNTIFS(請求記録!$B$6:$B$3005,$A194,請求記録!$Z$6:$Z$3005,W$5,請求記録!$AF$6:$AF$3005,"保留中")&gt;0,"保留",IF(COUNTIFS(請求記録!$B$6:$B$3005,$A194,請求記録!$Z$6:$Z$3005,W$5)=0,"",SUMIFS(請求記録!$AE$6:$AE$3005,請求記録!$B$6:$B$3005,$A194,請求記録!$Z$6:$Z$3005,W$5))))</f>
        <v/>
      </c>
      <c r="X194" s="19">
        <f>IF($A194="","",IF(COUNTIFS(請求記録!$B$6:$B$3005,$A194,請求記録!$Z$6:$Z$3005,X$5,請求記録!$AF$6:$AF$3005,"保留中")&gt;0,"保留",IF(COUNTIFS(請求記録!$B$6:$B$3005,$A194,請求記録!$Z$6:$Z$3005,X$5)=0,"",SUMIFS(請求記録!$AE$6:$AE$3005,請求記録!$B$6:$B$3005,$A194,請求記録!$Z$6:$Z$3005,X$5))))</f>
        <v/>
      </c>
      <c r="Y194" s="19">
        <f>IF($A194="","",IF(COUNTIFS(請求記録!$B$6:$B$3005,$A194,請求記録!$Z$6:$Z$3005,Y$5,請求記録!$AF$6:$AF$3005,"保留中")&gt;0,"保留",IF(COUNTIFS(請求記録!$B$6:$B$3005,$A194,請求記録!$Z$6:$Z$3005,Y$5)=0,"",SUMIFS(請求記録!$AE$6:$AE$3005,請求記録!$B$6:$B$3005,$A194,請求記録!$Z$6:$Z$3005,Y$5))))</f>
        <v/>
      </c>
      <c r="Z194" s="19">
        <f>IF($A194="","",IF(COUNTIFS(請求記録!$B$6:$B$3005,$A194,請求記録!$Z$6:$Z$3005,Z$5,請求記録!$AF$6:$AF$3005,"保留中")&gt;0,"保留",IF(COUNTIFS(請求記録!$B$6:$B$3005,$A194,請求記録!$Z$6:$Z$3005,Z$5)=0,"",SUMIFS(請求記録!$AE$6:$AE$3005,請求記録!$B$6:$B$3005,$A194,請求記録!$Z$6:$Z$3005,Z$5))))</f>
        <v/>
      </c>
      <c r="AA194" s="19">
        <f>IF($A194="","",IF(COUNTIFS(請求記録!$B$6:$B$3005,$A194,請求記録!$Z$6:$Z$3005,AA$5,請求記録!$AF$6:$AF$3005,"保留中")&gt;0,"保留",IF(COUNTIFS(請求記録!$B$6:$B$3005,$A194,請求記録!$Z$6:$Z$3005,AA$5)=0,"",SUMIFS(請求記録!$AE$6:$AE$3005,請求記録!$B$6:$B$3005,$A194,請求記録!$Z$6:$Z$3005,AA$5))))</f>
        <v/>
      </c>
      <c r="AB194">
        <f>IF(職員マスタ!P194="保留中",職員マスタ!M194,"")</f>
        <v/>
      </c>
    </row>
    <row r="195">
      <c r="A195">
        <f>IF(職員マスタ!A195="","",職員マスタ!A195)</f>
        <v/>
      </c>
      <c r="B195">
        <f>IF($A195="","",職員マスタ!B195)</f>
        <v/>
      </c>
      <c r="C195">
        <f>IF($A195="","",職員マスタ!C195)</f>
        <v/>
      </c>
      <c r="D195" s="19">
        <f>IF($A195="","",IF(COUNTIFS(請求記録!$B$6:$B$3005,$A195,請求記録!$Z$6:$Z$3005,D$5,請求記録!$AF$6:$AF$3005,"保留中")&gt;0,"保留",IF(COUNTIFS(請求記録!$B$6:$B$3005,$A195,請求記録!$Z$6:$Z$3005,D$5)=0,"",SUMIFS(請求記録!$AE$6:$AE$3005,請求記録!$B$6:$B$3005,$A195,請求記録!$Z$6:$Z$3005,D$5))))</f>
        <v/>
      </c>
      <c r="E195" s="19">
        <f>IF($A195="","",IF(COUNTIFS(請求記録!$B$6:$B$3005,$A195,請求記録!$Z$6:$Z$3005,E$5,請求記録!$AF$6:$AF$3005,"保留中")&gt;0,"保留",IF(COUNTIFS(請求記録!$B$6:$B$3005,$A195,請求記録!$Z$6:$Z$3005,E$5)=0,"",SUMIFS(請求記録!$AE$6:$AE$3005,請求記録!$B$6:$B$3005,$A195,請求記録!$Z$6:$Z$3005,E$5))))</f>
        <v/>
      </c>
      <c r="F195" s="19">
        <f>IF($A195="","",IF(COUNTIFS(請求記録!$B$6:$B$3005,$A195,請求記録!$Z$6:$Z$3005,F$5,請求記録!$AF$6:$AF$3005,"保留中")&gt;0,"保留",IF(COUNTIFS(請求記録!$B$6:$B$3005,$A195,請求記録!$Z$6:$Z$3005,F$5)=0,"",SUMIFS(請求記録!$AE$6:$AE$3005,請求記録!$B$6:$B$3005,$A195,請求記録!$Z$6:$Z$3005,F$5))))</f>
        <v/>
      </c>
      <c r="G195" s="19">
        <f>IF($A195="","",IF(COUNTIFS(請求記録!$B$6:$B$3005,$A195,請求記録!$Z$6:$Z$3005,G$5,請求記録!$AF$6:$AF$3005,"保留中")&gt;0,"保留",IF(COUNTIFS(請求記録!$B$6:$B$3005,$A195,請求記録!$Z$6:$Z$3005,G$5)=0,"",SUMIFS(請求記録!$AE$6:$AE$3005,請求記録!$B$6:$B$3005,$A195,請求記録!$Z$6:$Z$3005,G$5))))</f>
        <v/>
      </c>
      <c r="H195" s="19">
        <f>IF($A195="","",IF(COUNTIFS(請求記録!$B$6:$B$3005,$A195,請求記録!$Z$6:$Z$3005,H$5,請求記録!$AF$6:$AF$3005,"保留中")&gt;0,"保留",IF(COUNTIFS(請求記録!$B$6:$B$3005,$A195,請求記録!$Z$6:$Z$3005,H$5)=0,"",SUMIFS(請求記録!$AE$6:$AE$3005,請求記録!$B$6:$B$3005,$A195,請求記録!$Z$6:$Z$3005,H$5))))</f>
        <v/>
      </c>
      <c r="I195" s="19">
        <f>IF($A195="","",IF(COUNTIFS(請求記録!$B$6:$B$3005,$A195,請求記録!$Z$6:$Z$3005,I$5,請求記録!$AF$6:$AF$3005,"保留中")&gt;0,"保留",IF(COUNTIFS(請求記録!$B$6:$B$3005,$A195,請求記録!$Z$6:$Z$3005,I$5)=0,"",SUMIFS(請求記録!$AE$6:$AE$3005,請求記録!$B$6:$B$3005,$A195,請求記録!$Z$6:$Z$3005,I$5))))</f>
        <v/>
      </c>
      <c r="J195" s="19">
        <f>IF($A195="","",IF(COUNTIFS(請求記録!$B$6:$B$3005,$A195,請求記録!$Z$6:$Z$3005,J$5,請求記録!$AF$6:$AF$3005,"保留中")&gt;0,"保留",IF(COUNTIFS(請求記録!$B$6:$B$3005,$A195,請求記録!$Z$6:$Z$3005,J$5)=0,"",SUMIFS(請求記録!$AE$6:$AE$3005,請求記録!$B$6:$B$3005,$A195,請求記録!$Z$6:$Z$3005,J$5))))</f>
        <v/>
      </c>
      <c r="K195" s="19">
        <f>IF($A195="","",IF(COUNTIFS(請求記録!$B$6:$B$3005,$A195,請求記録!$Z$6:$Z$3005,K$5,請求記録!$AF$6:$AF$3005,"保留中")&gt;0,"保留",IF(COUNTIFS(請求記録!$B$6:$B$3005,$A195,請求記録!$Z$6:$Z$3005,K$5)=0,"",SUMIFS(請求記録!$AE$6:$AE$3005,請求記録!$B$6:$B$3005,$A195,請求記録!$Z$6:$Z$3005,K$5))))</f>
        <v/>
      </c>
      <c r="L195" s="19">
        <f>IF($A195="","",IF(COUNTIFS(請求記録!$B$6:$B$3005,$A195,請求記録!$Z$6:$Z$3005,L$5,請求記録!$AF$6:$AF$3005,"保留中")&gt;0,"保留",IF(COUNTIFS(請求記録!$B$6:$B$3005,$A195,請求記録!$Z$6:$Z$3005,L$5)=0,"",SUMIFS(請求記録!$AE$6:$AE$3005,請求記録!$B$6:$B$3005,$A195,請求記録!$Z$6:$Z$3005,L$5))))</f>
        <v/>
      </c>
      <c r="M195" s="19">
        <f>IF($A195="","",IF(COUNTIFS(請求記録!$B$6:$B$3005,$A195,請求記録!$Z$6:$Z$3005,M$5,請求記録!$AF$6:$AF$3005,"保留中")&gt;0,"保留",IF(COUNTIFS(請求記録!$B$6:$B$3005,$A195,請求記録!$Z$6:$Z$3005,M$5)=0,"",SUMIFS(請求記録!$AE$6:$AE$3005,請求記録!$B$6:$B$3005,$A195,請求記録!$Z$6:$Z$3005,M$5))))</f>
        <v/>
      </c>
      <c r="N195" s="19">
        <f>IF($A195="","",IF(COUNTIFS(請求記録!$B$6:$B$3005,$A195,請求記録!$Z$6:$Z$3005,N$5,請求記録!$AF$6:$AF$3005,"保留中")&gt;0,"保留",IF(COUNTIFS(請求記録!$B$6:$B$3005,$A195,請求記録!$Z$6:$Z$3005,N$5)=0,"",SUMIFS(請求記録!$AE$6:$AE$3005,請求記録!$B$6:$B$3005,$A195,請求記録!$Z$6:$Z$3005,N$5))))</f>
        <v/>
      </c>
      <c r="O195" s="19">
        <f>IF($A195="","",IF(COUNTIFS(請求記録!$B$6:$B$3005,$A195,請求記録!$Z$6:$Z$3005,O$5,請求記録!$AF$6:$AF$3005,"保留中")&gt;0,"保留",IF(COUNTIFS(請求記録!$B$6:$B$3005,$A195,請求記録!$Z$6:$Z$3005,O$5)=0,"",SUMIFS(請求記録!$AE$6:$AE$3005,請求記録!$B$6:$B$3005,$A195,請求記録!$Z$6:$Z$3005,O$5))))</f>
        <v/>
      </c>
      <c r="P195" s="19">
        <f>IF($A195="","",IF(COUNTIFS(請求記録!$B$6:$B$3005,$A195,請求記録!$Z$6:$Z$3005,P$5,請求記録!$AF$6:$AF$3005,"保留中")&gt;0,"保留",IF(COUNTIFS(請求記録!$B$6:$B$3005,$A195,請求記録!$Z$6:$Z$3005,P$5)=0,"",SUMIFS(請求記録!$AE$6:$AE$3005,請求記録!$B$6:$B$3005,$A195,請求記録!$Z$6:$Z$3005,P$5))))</f>
        <v/>
      </c>
      <c r="Q195" s="19">
        <f>IF($A195="","",IF(COUNTIFS(請求記録!$B$6:$B$3005,$A195,請求記録!$Z$6:$Z$3005,Q$5,請求記録!$AF$6:$AF$3005,"保留中")&gt;0,"保留",IF(COUNTIFS(請求記録!$B$6:$B$3005,$A195,請求記録!$Z$6:$Z$3005,Q$5)=0,"",SUMIFS(請求記録!$AE$6:$AE$3005,請求記録!$B$6:$B$3005,$A195,請求記録!$Z$6:$Z$3005,Q$5))))</f>
        <v/>
      </c>
      <c r="R195" s="19">
        <f>IF($A195="","",IF(COUNTIFS(請求記録!$B$6:$B$3005,$A195,請求記録!$Z$6:$Z$3005,R$5,請求記録!$AF$6:$AF$3005,"保留中")&gt;0,"保留",IF(COUNTIFS(請求記録!$B$6:$B$3005,$A195,請求記録!$Z$6:$Z$3005,R$5)=0,"",SUMIFS(請求記録!$AE$6:$AE$3005,請求記録!$B$6:$B$3005,$A195,請求記録!$Z$6:$Z$3005,R$5))))</f>
        <v/>
      </c>
      <c r="S195" s="19">
        <f>IF($A195="","",IF(COUNTIFS(請求記録!$B$6:$B$3005,$A195,請求記録!$Z$6:$Z$3005,S$5,請求記録!$AF$6:$AF$3005,"保留中")&gt;0,"保留",IF(COUNTIFS(請求記録!$B$6:$B$3005,$A195,請求記録!$Z$6:$Z$3005,S$5)=0,"",SUMIFS(請求記録!$AE$6:$AE$3005,請求記録!$B$6:$B$3005,$A195,請求記録!$Z$6:$Z$3005,S$5))))</f>
        <v/>
      </c>
      <c r="T195" s="19">
        <f>IF($A195="","",IF(COUNTIFS(請求記録!$B$6:$B$3005,$A195,請求記録!$Z$6:$Z$3005,T$5,請求記録!$AF$6:$AF$3005,"保留中")&gt;0,"保留",IF(COUNTIFS(請求記録!$B$6:$B$3005,$A195,請求記録!$Z$6:$Z$3005,T$5)=0,"",SUMIFS(請求記録!$AE$6:$AE$3005,請求記録!$B$6:$B$3005,$A195,請求記録!$Z$6:$Z$3005,T$5))))</f>
        <v/>
      </c>
      <c r="U195" s="19">
        <f>IF($A195="","",IF(COUNTIFS(請求記録!$B$6:$B$3005,$A195,請求記録!$Z$6:$Z$3005,U$5,請求記録!$AF$6:$AF$3005,"保留中")&gt;0,"保留",IF(COUNTIFS(請求記録!$B$6:$B$3005,$A195,請求記録!$Z$6:$Z$3005,U$5)=0,"",SUMIFS(請求記録!$AE$6:$AE$3005,請求記録!$B$6:$B$3005,$A195,請求記録!$Z$6:$Z$3005,U$5))))</f>
        <v/>
      </c>
      <c r="V195" s="19">
        <f>IF($A195="","",IF(COUNTIFS(請求記録!$B$6:$B$3005,$A195,請求記録!$Z$6:$Z$3005,V$5,請求記録!$AF$6:$AF$3005,"保留中")&gt;0,"保留",IF(COUNTIFS(請求記録!$B$6:$B$3005,$A195,請求記録!$Z$6:$Z$3005,V$5)=0,"",SUMIFS(請求記録!$AE$6:$AE$3005,請求記録!$B$6:$B$3005,$A195,請求記録!$Z$6:$Z$3005,V$5))))</f>
        <v/>
      </c>
      <c r="W195" s="19">
        <f>IF($A195="","",IF(COUNTIFS(請求記録!$B$6:$B$3005,$A195,請求記録!$Z$6:$Z$3005,W$5,請求記録!$AF$6:$AF$3005,"保留中")&gt;0,"保留",IF(COUNTIFS(請求記録!$B$6:$B$3005,$A195,請求記録!$Z$6:$Z$3005,W$5)=0,"",SUMIFS(請求記録!$AE$6:$AE$3005,請求記録!$B$6:$B$3005,$A195,請求記録!$Z$6:$Z$3005,W$5))))</f>
        <v/>
      </c>
      <c r="X195" s="19">
        <f>IF($A195="","",IF(COUNTIFS(請求記録!$B$6:$B$3005,$A195,請求記録!$Z$6:$Z$3005,X$5,請求記録!$AF$6:$AF$3005,"保留中")&gt;0,"保留",IF(COUNTIFS(請求記録!$B$6:$B$3005,$A195,請求記録!$Z$6:$Z$3005,X$5)=0,"",SUMIFS(請求記録!$AE$6:$AE$3005,請求記録!$B$6:$B$3005,$A195,請求記録!$Z$6:$Z$3005,X$5))))</f>
        <v/>
      </c>
      <c r="Y195" s="19">
        <f>IF($A195="","",IF(COUNTIFS(請求記録!$B$6:$B$3005,$A195,請求記録!$Z$6:$Z$3005,Y$5,請求記録!$AF$6:$AF$3005,"保留中")&gt;0,"保留",IF(COUNTIFS(請求記録!$B$6:$B$3005,$A195,請求記録!$Z$6:$Z$3005,Y$5)=0,"",SUMIFS(請求記録!$AE$6:$AE$3005,請求記録!$B$6:$B$3005,$A195,請求記録!$Z$6:$Z$3005,Y$5))))</f>
        <v/>
      </c>
      <c r="Z195" s="19">
        <f>IF($A195="","",IF(COUNTIFS(請求記録!$B$6:$B$3005,$A195,請求記録!$Z$6:$Z$3005,Z$5,請求記録!$AF$6:$AF$3005,"保留中")&gt;0,"保留",IF(COUNTIFS(請求記録!$B$6:$B$3005,$A195,請求記録!$Z$6:$Z$3005,Z$5)=0,"",SUMIFS(請求記録!$AE$6:$AE$3005,請求記録!$B$6:$B$3005,$A195,請求記録!$Z$6:$Z$3005,Z$5))))</f>
        <v/>
      </c>
      <c r="AA195" s="19">
        <f>IF($A195="","",IF(COUNTIFS(請求記録!$B$6:$B$3005,$A195,請求記録!$Z$6:$Z$3005,AA$5,請求記録!$AF$6:$AF$3005,"保留中")&gt;0,"保留",IF(COUNTIFS(請求記録!$B$6:$B$3005,$A195,請求記録!$Z$6:$Z$3005,AA$5)=0,"",SUMIFS(請求記録!$AE$6:$AE$3005,請求記録!$B$6:$B$3005,$A195,請求記録!$Z$6:$Z$3005,AA$5))))</f>
        <v/>
      </c>
      <c r="AB195">
        <f>IF(職員マスタ!P195="保留中",職員マスタ!M195,"")</f>
        <v/>
      </c>
    </row>
    <row r="196">
      <c r="A196">
        <f>IF(職員マスタ!A196="","",職員マスタ!A196)</f>
        <v/>
      </c>
      <c r="B196">
        <f>IF($A196="","",職員マスタ!B196)</f>
        <v/>
      </c>
      <c r="C196">
        <f>IF($A196="","",職員マスタ!C196)</f>
        <v/>
      </c>
      <c r="D196" s="19">
        <f>IF($A196="","",IF(COUNTIFS(請求記録!$B$6:$B$3005,$A196,請求記録!$Z$6:$Z$3005,D$5,請求記録!$AF$6:$AF$3005,"保留中")&gt;0,"保留",IF(COUNTIFS(請求記録!$B$6:$B$3005,$A196,請求記録!$Z$6:$Z$3005,D$5)=0,"",SUMIFS(請求記録!$AE$6:$AE$3005,請求記録!$B$6:$B$3005,$A196,請求記録!$Z$6:$Z$3005,D$5))))</f>
        <v/>
      </c>
      <c r="E196" s="19">
        <f>IF($A196="","",IF(COUNTIFS(請求記録!$B$6:$B$3005,$A196,請求記録!$Z$6:$Z$3005,E$5,請求記録!$AF$6:$AF$3005,"保留中")&gt;0,"保留",IF(COUNTIFS(請求記録!$B$6:$B$3005,$A196,請求記録!$Z$6:$Z$3005,E$5)=0,"",SUMIFS(請求記録!$AE$6:$AE$3005,請求記録!$B$6:$B$3005,$A196,請求記録!$Z$6:$Z$3005,E$5))))</f>
        <v/>
      </c>
      <c r="F196" s="19">
        <f>IF($A196="","",IF(COUNTIFS(請求記録!$B$6:$B$3005,$A196,請求記録!$Z$6:$Z$3005,F$5,請求記録!$AF$6:$AF$3005,"保留中")&gt;0,"保留",IF(COUNTIFS(請求記録!$B$6:$B$3005,$A196,請求記録!$Z$6:$Z$3005,F$5)=0,"",SUMIFS(請求記録!$AE$6:$AE$3005,請求記録!$B$6:$B$3005,$A196,請求記録!$Z$6:$Z$3005,F$5))))</f>
        <v/>
      </c>
      <c r="G196" s="19">
        <f>IF($A196="","",IF(COUNTIFS(請求記録!$B$6:$B$3005,$A196,請求記録!$Z$6:$Z$3005,G$5,請求記録!$AF$6:$AF$3005,"保留中")&gt;0,"保留",IF(COUNTIFS(請求記録!$B$6:$B$3005,$A196,請求記録!$Z$6:$Z$3005,G$5)=0,"",SUMIFS(請求記録!$AE$6:$AE$3005,請求記録!$B$6:$B$3005,$A196,請求記録!$Z$6:$Z$3005,G$5))))</f>
        <v/>
      </c>
      <c r="H196" s="19">
        <f>IF($A196="","",IF(COUNTIFS(請求記録!$B$6:$B$3005,$A196,請求記録!$Z$6:$Z$3005,H$5,請求記録!$AF$6:$AF$3005,"保留中")&gt;0,"保留",IF(COUNTIFS(請求記録!$B$6:$B$3005,$A196,請求記録!$Z$6:$Z$3005,H$5)=0,"",SUMIFS(請求記録!$AE$6:$AE$3005,請求記録!$B$6:$B$3005,$A196,請求記録!$Z$6:$Z$3005,H$5))))</f>
        <v/>
      </c>
      <c r="I196" s="19">
        <f>IF($A196="","",IF(COUNTIFS(請求記録!$B$6:$B$3005,$A196,請求記録!$Z$6:$Z$3005,I$5,請求記録!$AF$6:$AF$3005,"保留中")&gt;0,"保留",IF(COUNTIFS(請求記録!$B$6:$B$3005,$A196,請求記録!$Z$6:$Z$3005,I$5)=0,"",SUMIFS(請求記録!$AE$6:$AE$3005,請求記録!$B$6:$B$3005,$A196,請求記録!$Z$6:$Z$3005,I$5))))</f>
        <v/>
      </c>
      <c r="J196" s="19">
        <f>IF($A196="","",IF(COUNTIFS(請求記録!$B$6:$B$3005,$A196,請求記録!$Z$6:$Z$3005,J$5,請求記録!$AF$6:$AF$3005,"保留中")&gt;0,"保留",IF(COUNTIFS(請求記録!$B$6:$B$3005,$A196,請求記録!$Z$6:$Z$3005,J$5)=0,"",SUMIFS(請求記録!$AE$6:$AE$3005,請求記録!$B$6:$B$3005,$A196,請求記録!$Z$6:$Z$3005,J$5))))</f>
        <v/>
      </c>
      <c r="K196" s="19">
        <f>IF($A196="","",IF(COUNTIFS(請求記録!$B$6:$B$3005,$A196,請求記録!$Z$6:$Z$3005,K$5,請求記録!$AF$6:$AF$3005,"保留中")&gt;0,"保留",IF(COUNTIFS(請求記録!$B$6:$B$3005,$A196,請求記録!$Z$6:$Z$3005,K$5)=0,"",SUMIFS(請求記録!$AE$6:$AE$3005,請求記録!$B$6:$B$3005,$A196,請求記録!$Z$6:$Z$3005,K$5))))</f>
        <v/>
      </c>
      <c r="L196" s="19">
        <f>IF($A196="","",IF(COUNTIFS(請求記録!$B$6:$B$3005,$A196,請求記録!$Z$6:$Z$3005,L$5,請求記録!$AF$6:$AF$3005,"保留中")&gt;0,"保留",IF(COUNTIFS(請求記録!$B$6:$B$3005,$A196,請求記録!$Z$6:$Z$3005,L$5)=0,"",SUMIFS(請求記録!$AE$6:$AE$3005,請求記録!$B$6:$B$3005,$A196,請求記録!$Z$6:$Z$3005,L$5))))</f>
        <v/>
      </c>
      <c r="M196" s="19">
        <f>IF($A196="","",IF(COUNTIFS(請求記録!$B$6:$B$3005,$A196,請求記録!$Z$6:$Z$3005,M$5,請求記録!$AF$6:$AF$3005,"保留中")&gt;0,"保留",IF(COUNTIFS(請求記録!$B$6:$B$3005,$A196,請求記録!$Z$6:$Z$3005,M$5)=0,"",SUMIFS(請求記録!$AE$6:$AE$3005,請求記録!$B$6:$B$3005,$A196,請求記録!$Z$6:$Z$3005,M$5))))</f>
        <v/>
      </c>
      <c r="N196" s="19">
        <f>IF($A196="","",IF(COUNTIFS(請求記録!$B$6:$B$3005,$A196,請求記録!$Z$6:$Z$3005,N$5,請求記録!$AF$6:$AF$3005,"保留中")&gt;0,"保留",IF(COUNTIFS(請求記録!$B$6:$B$3005,$A196,請求記録!$Z$6:$Z$3005,N$5)=0,"",SUMIFS(請求記録!$AE$6:$AE$3005,請求記録!$B$6:$B$3005,$A196,請求記録!$Z$6:$Z$3005,N$5))))</f>
        <v/>
      </c>
      <c r="O196" s="19">
        <f>IF($A196="","",IF(COUNTIFS(請求記録!$B$6:$B$3005,$A196,請求記録!$Z$6:$Z$3005,O$5,請求記録!$AF$6:$AF$3005,"保留中")&gt;0,"保留",IF(COUNTIFS(請求記録!$B$6:$B$3005,$A196,請求記録!$Z$6:$Z$3005,O$5)=0,"",SUMIFS(請求記録!$AE$6:$AE$3005,請求記録!$B$6:$B$3005,$A196,請求記録!$Z$6:$Z$3005,O$5))))</f>
        <v/>
      </c>
      <c r="P196" s="19">
        <f>IF($A196="","",IF(COUNTIFS(請求記録!$B$6:$B$3005,$A196,請求記録!$Z$6:$Z$3005,P$5,請求記録!$AF$6:$AF$3005,"保留中")&gt;0,"保留",IF(COUNTIFS(請求記録!$B$6:$B$3005,$A196,請求記録!$Z$6:$Z$3005,P$5)=0,"",SUMIFS(請求記録!$AE$6:$AE$3005,請求記録!$B$6:$B$3005,$A196,請求記録!$Z$6:$Z$3005,P$5))))</f>
        <v/>
      </c>
      <c r="Q196" s="19">
        <f>IF($A196="","",IF(COUNTIFS(請求記録!$B$6:$B$3005,$A196,請求記録!$Z$6:$Z$3005,Q$5,請求記録!$AF$6:$AF$3005,"保留中")&gt;0,"保留",IF(COUNTIFS(請求記録!$B$6:$B$3005,$A196,請求記録!$Z$6:$Z$3005,Q$5)=0,"",SUMIFS(請求記録!$AE$6:$AE$3005,請求記録!$B$6:$B$3005,$A196,請求記録!$Z$6:$Z$3005,Q$5))))</f>
        <v/>
      </c>
      <c r="R196" s="19">
        <f>IF($A196="","",IF(COUNTIFS(請求記録!$B$6:$B$3005,$A196,請求記録!$Z$6:$Z$3005,R$5,請求記録!$AF$6:$AF$3005,"保留中")&gt;0,"保留",IF(COUNTIFS(請求記録!$B$6:$B$3005,$A196,請求記録!$Z$6:$Z$3005,R$5)=0,"",SUMIFS(請求記録!$AE$6:$AE$3005,請求記録!$B$6:$B$3005,$A196,請求記録!$Z$6:$Z$3005,R$5))))</f>
        <v/>
      </c>
      <c r="S196" s="19">
        <f>IF($A196="","",IF(COUNTIFS(請求記録!$B$6:$B$3005,$A196,請求記録!$Z$6:$Z$3005,S$5,請求記録!$AF$6:$AF$3005,"保留中")&gt;0,"保留",IF(COUNTIFS(請求記録!$B$6:$B$3005,$A196,請求記録!$Z$6:$Z$3005,S$5)=0,"",SUMIFS(請求記録!$AE$6:$AE$3005,請求記録!$B$6:$B$3005,$A196,請求記録!$Z$6:$Z$3005,S$5))))</f>
        <v/>
      </c>
      <c r="T196" s="19">
        <f>IF($A196="","",IF(COUNTIFS(請求記録!$B$6:$B$3005,$A196,請求記録!$Z$6:$Z$3005,T$5,請求記録!$AF$6:$AF$3005,"保留中")&gt;0,"保留",IF(COUNTIFS(請求記録!$B$6:$B$3005,$A196,請求記録!$Z$6:$Z$3005,T$5)=0,"",SUMIFS(請求記録!$AE$6:$AE$3005,請求記録!$B$6:$B$3005,$A196,請求記録!$Z$6:$Z$3005,T$5))))</f>
        <v/>
      </c>
      <c r="U196" s="19">
        <f>IF($A196="","",IF(COUNTIFS(請求記録!$B$6:$B$3005,$A196,請求記録!$Z$6:$Z$3005,U$5,請求記録!$AF$6:$AF$3005,"保留中")&gt;0,"保留",IF(COUNTIFS(請求記録!$B$6:$B$3005,$A196,請求記録!$Z$6:$Z$3005,U$5)=0,"",SUMIFS(請求記録!$AE$6:$AE$3005,請求記録!$B$6:$B$3005,$A196,請求記録!$Z$6:$Z$3005,U$5))))</f>
        <v/>
      </c>
      <c r="V196" s="19">
        <f>IF($A196="","",IF(COUNTIFS(請求記録!$B$6:$B$3005,$A196,請求記録!$Z$6:$Z$3005,V$5,請求記録!$AF$6:$AF$3005,"保留中")&gt;0,"保留",IF(COUNTIFS(請求記録!$B$6:$B$3005,$A196,請求記録!$Z$6:$Z$3005,V$5)=0,"",SUMIFS(請求記録!$AE$6:$AE$3005,請求記録!$B$6:$B$3005,$A196,請求記録!$Z$6:$Z$3005,V$5))))</f>
        <v/>
      </c>
      <c r="W196" s="19">
        <f>IF($A196="","",IF(COUNTIFS(請求記録!$B$6:$B$3005,$A196,請求記録!$Z$6:$Z$3005,W$5,請求記録!$AF$6:$AF$3005,"保留中")&gt;0,"保留",IF(COUNTIFS(請求記録!$B$6:$B$3005,$A196,請求記録!$Z$6:$Z$3005,W$5)=0,"",SUMIFS(請求記録!$AE$6:$AE$3005,請求記録!$B$6:$B$3005,$A196,請求記録!$Z$6:$Z$3005,W$5))))</f>
        <v/>
      </c>
      <c r="X196" s="19">
        <f>IF($A196="","",IF(COUNTIFS(請求記録!$B$6:$B$3005,$A196,請求記録!$Z$6:$Z$3005,X$5,請求記録!$AF$6:$AF$3005,"保留中")&gt;0,"保留",IF(COUNTIFS(請求記録!$B$6:$B$3005,$A196,請求記録!$Z$6:$Z$3005,X$5)=0,"",SUMIFS(請求記録!$AE$6:$AE$3005,請求記録!$B$6:$B$3005,$A196,請求記録!$Z$6:$Z$3005,X$5))))</f>
        <v/>
      </c>
      <c r="Y196" s="19">
        <f>IF($A196="","",IF(COUNTIFS(請求記録!$B$6:$B$3005,$A196,請求記録!$Z$6:$Z$3005,Y$5,請求記録!$AF$6:$AF$3005,"保留中")&gt;0,"保留",IF(COUNTIFS(請求記録!$B$6:$B$3005,$A196,請求記録!$Z$6:$Z$3005,Y$5)=0,"",SUMIFS(請求記録!$AE$6:$AE$3005,請求記録!$B$6:$B$3005,$A196,請求記録!$Z$6:$Z$3005,Y$5))))</f>
        <v/>
      </c>
      <c r="Z196" s="19">
        <f>IF($A196="","",IF(COUNTIFS(請求記録!$B$6:$B$3005,$A196,請求記録!$Z$6:$Z$3005,Z$5,請求記録!$AF$6:$AF$3005,"保留中")&gt;0,"保留",IF(COUNTIFS(請求記録!$B$6:$B$3005,$A196,請求記録!$Z$6:$Z$3005,Z$5)=0,"",SUMIFS(請求記録!$AE$6:$AE$3005,請求記録!$B$6:$B$3005,$A196,請求記録!$Z$6:$Z$3005,Z$5))))</f>
        <v/>
      </c>
      <c r="AA196" s="19">
        <f>IF($A196="","",IF(COUNTIFS(請求記録!$B$6:$B$3005,$A196,請求記録!$Z$6:$Z$3005,AA$5,請求記録!$AF$6:$AF$3005,"保留中")&gt;0,"保留",IF(COUNTIFS(請求記録!$B$6:$B$3005,$A196,請求記録!$Z$6:$Z$3005,AA$5)=0,"",SUMIFS(請求記録!$AE$6:$AE$3005,請求記録!$B$6:$B$3005,$A196,請求記録!$Z$6:$Z$3005,AA$5))))</f>
        <v/>
      </c>
      <c r="AB196">
        <f>IF(職員マスタ!P196="保留中",職員マスタ!M196,"")</f>
        <v/>
      </c>
    </row>
    <row r="197">
      <c r="A197">
        <f>IF(職員マスタ!A197="","",職員マスタ!A197)</f>
        <v/>
      </c>
      <c r="B197">
        <f>IF($A197="","",職員マスタ!B197)</f>
        <v/>
      </c>
      <c r="C197">
        <f>IF($A197="","",職員マスタ!C197)</f>
        <v/>
      </c>
      <c r="D197" s="19">
        <f>IF($A197="","",IF(COUNTIFS(請求記録!$B$6:$B$3005,$A197,請求記録!$Z$6:$Z$3005,D$5,請求記録!$AF$6:$AF$3005,"保留中")&gt;0,"保留",IF(COUNTIFS(請求記録!$B$6:$B$3005,$A197,請求記録!$Z$6:$Z$3005,D$5)=0,"",SUMIFS(請求記録!$AE$6:$AE$3005,請求記録!$B$6:$B$3005,$A197,請求記録!$Z$6:$Z$3005,D$5))))</f>
        <v/>
      </c>
      <c r="E197" s="19">
        <f>IF($A197="","",IF(COUNTIFS(請求記録!$B$6:$B$3005,$A197,請求記録!$Z$6:$Z$3005,E$5,請求記録!$AF$6:$AF$3005,"保留中")&gt;0,"保留",IF(COUNTIFS(請求記録!$B$6:$B$3005,$A197,請求記録!$Z$6:$Z$3005,E$5)=0,"",SUMIFS(請求記録!$AE$6:$AE$3005,請求記録!$B$6:$B$3005,$A197,請求記録!$Z$6:$Z$3005,E$5))))</f>
        <v/>
      </c>
      <c r="F197" s="19">
        <f>IF($A197="","",IF(COUNTIFS(請求記録!$B$6:$B$3005,$A197,請求記録!$Z$6:$Z$3005,F$5,請求記録!$AF$6:$AF$3005,"保留中")&gt;0,"保留",IF(COUNTIFS(請求記録!$B$6:$B$3005,$A197,請求記録!$Z$6:$Z$3005,F$5)=0,"",SUMIFS(請求記録!$AE$6:$AE$3005,請求記録!$B$6:$B$3005,$A197,請求記録!$Z$6:$Z$3005,F$5))))</f>
        <v/>
      </c>
      <c r="G197" s="19">
        <f>IF($A197="","",IF(COUNTIFS(請求記録!$B$6:$B$3005,$A197,請求記録!$Z$6:$Z$3005,G$5,請求記録!$AF$6:$AF$3005,"保留中")&gt;0,"保留",IF(COUNTIFS(請求記録!$B$6:$B$3005,$A197,請求記録!$Z$6:$Z$3005,G$5)=0,"",SUMIFS(請求記録!$AE$6:$AE$3005,請求記録!$B$6:$B$3005,$A197,請求記録!$Z$6:$Z$3005,G$5))))</f>
        <v/>
      </c>
      <c r="H197" s="19">
        <f>IF($A197="","",IF(COUNTIFS(請求記録!$B$6:$B$3005,$A197,請求記録!$Z$6:$Z$3005,H$5,請求記録!$AF$6:$AF$3005,"保留中")&gt;0,"保留",IF(COUNTIFS(請求記録!$B$6:$B$3005,$A197,請求記録!$Z$6:$Z$3005,H$5)=0,"",SUMIFS(請求記録!$AE$6:$AE$3005,請求記録!$B$6:$B$3005,$A197,請求記録!$Z$6:$Z$3005,H$5))))</f>
        <v/>
      </c>
      <c r="I197" s="19">
        <f>IF($A197="","",IF(COUNTIFS(請求記録!$B$6:$B$3005,$A197,請求記録!$Z$6:$Z$3005,I$5,請求記録!$AF$6:$AF$3005,"保留中")&gt;0,"保留",IF(COUNTIFS(請求記録!$B$6:$B$3005,$A197,請求記録!$Z$6:$Z$3005,I$5)=0,"",SUMIFS(請求記録!$AE$6:$AE$3005,請求記録!$B$6:$B$3005,$A197,請求記録!$Z$6:$Z$3005,I$5))))</f>
        <v/>
      </c>
      <c r="J197" s="19">
        <f>IF($A197="","",IF(COUNTIFS(請求記録!$B$6:$B$3005,$A197,請求記録!$Z$6:$Z$3005,J$5,請求記録!$AF$6:$AF$3005,"保留中")&gt;0,"保留",IF(COUNTIFS(請求記録!$B$6:$B$3005,$A197,請求記録!$Z$6:$Z$3005,J$5)=0,"",SUMIFS(請求記録!$AE$6:$AE$3005,請求記録!$B$6:$B$3005,$A197,請求記録!$Z$6:$Z$3005,J$5))))</f>
        <v/>
      </c>
      <c r="K197" s="19">
        <f>IF($A197="","",IF(COUNTIFS(請求記録!$B$6:$B$3005,$A197,請求記録!$Z$6:$Z$3005,K$5,請求記録!$AF$6:$AF$3005,"保留中")&gt;0,"保留",IF(COUNTIFS(請求記録!$B$6:$B$3005,$A197,請求記録!$Z$6:$Z$3005,K$5)=0,"",SUMIFS(請求記録!$AE$6:$AE$3005,請求記録!$B$6:$B$3005,$A197,請求記録!$Z$6:$Z$3005,K$5))))</f>
        <v/>
      </c>
      <c r="L197" s="19">
        <f>IF($A197="","",IF(COUNTIFS(請求記録!$B$6:$B$3005,$A197,請求記録!$Z$6:$Z$3005,L$5,請求記録!$AF$6:$AF$3005,"保留中")&gt;0,"保留",IF(COUNTIFS(請求記録!$B$6:$B$3005,$A197,請求記録!$Z$6:$Z$3005,L$5)=0,"",SUMIFS(請求記録!$AE$6:$AE$3005,請求記録!$B$6:$B$3005,$A197,請求記録!$Z$6:$Z$3005,L$5))))</f>
        <v/>
      </c>
      <c r="M197" s="19">
        <f>IF($A197="","",IF(COUNTIFS(請求記録!$B$6:$B$3005,$A197,請求記録!$Z$6:$Z$3005,M$5,請求記録!$AF$6:$AF$3005,"保留中")&gt;0,"保留",IF(COUNTIFS(請求記録!$B$6:$B$3005,$A197,請求記録!$Z$6:$Z$3005,M$5)=0,"",SUMIFS(請求記録!$AE$6:$AE$3005,請求記録!$B$6:$B$3005,$A197,請求記録!$Z$6:$Z$3005,M$5))))</f>
        <v/>
      </c>
      <c r="N197" s="19">
        <f>IF($A197="","",IF(COUNTIFS(請求記録!$B$6:$B$3005,$A197,請求記録!$Z$6:$Z$3005,N$5,請求記録!$AF$6:$AF$3005,"保留中")&gt;0,"保留",IF(COUNTIFS(請求記録!$B$6:$B$3005,$A197,請求記録!$Z$6:$Z$3005,N$5)=0,"",SUMIFS(請求記録!$AE$6:$AE$3005,請求記録!$B$6:$B$3005,$A197,請求記録!$Z$6:$Z$3005,N$5))))</f>
        <v/>
      </c>
      <c r="O197" s="19">
        <f>IF($A197="","",IF(COUNTIFS(請求記録!$B$6:$B$3005,$A197,請求記録!$Z$6:$Z$3005,O$5,請求記録!$AF$6:$AF$3005,"保留中")&gt;0,"保留",IF(COUNTIFS(請求記録!$B$6:$B$3005,$A197,請求記録!$Z$6:$Z$3005,O$5)=0,"",SUMIFS(請求記録!$AE$6:$AE$3005,請求記録!$B$6:$B$3005,$A197,請求記録!$Z$6:$Z$3005,O$5))))</f>
        <v/>
      </c>
      <c r="P197" s="19">
        <f>IF($A197="","",IF(COUNTIFS(請求記録!$B$6:$B$3005,$A197,請求記録!$Z$6:$Z$3005,P$5,請求記録!$AF$6:$AF$3005,"保留中")&gt;0,"保留",IF(COUNTIFS(請求記録!$B$6:$B$3005,$A197,請求記録!$Z$6:$Z$3005,P$5)=0,"",SUMIFS(請求記録!$AE$6:$AE$3005,請求記録!$B$6:$B$3005,$A197,請求記録!$Z$6:$Z$3005,P$5))))</f>
        <v/>
      </c>
      <c r="Q197" s="19">
        <f>IF($A197="","",IF(COUNTIFS(請求記録!$B$6:$B$3005,$A197,請求記録!$Z$6:$Z$3005,Q$5,請求記録!$AF$6:$AF$3005,"保留中")&gt;0,"保留",IF(COUNTIFS(請求記録!$B$6:$B$3005,$A197,請求記録!$Z$6:$Z$3005,Q$5)=0,"",SUMIFS(請求記録!$AE$6:$AE$3005,請求記録!$B$6:$B$3005,$A197,請求記録!$Z$6:$Z$3005,Q$5))))</f>
        <v/>
      </c>
      <c r="R197" s="19">
        <f>IF($A197="","",IF(COUNTIFS(請求記録!$B$6:$B$3005,$A197,請求記録!$Z$6:$Z$3005,R$5,請求記録!$AF$6:$AF$3005,"保留中")&gt;0,"保留",IF(COUNTIFS(請求記録!$B$6:$B$3005,$A197,請求記録!$Z$6:$Z$3005,R$5)=0,"",SUMIFS(請求記録!$AE$6:$AE$3005,請求記録!$B$6:$B$3005,$A197,請求記録!$Z$6:$Z$3005,R$5))))</f>
        <v/>
      </c>
      <c r="S197" s="19">
        <f>IF($A197="","",IF(COUNTIFS(請求記録!$B$6:$B$3005,$A197,請求記録!$Z$6:$Z$3005,S$5,請求記録!$AF$6:$AF$3005,"保留中")&gt;0,"保留",IF(COUNTIFS(請求記録!$B$6:$B$3005,$A197,請求記録!$Z$6:$Z$3005,S$5)=0,"",SUMIFS(請求記録!$AE$6:$AE$3005,請求記録!$B$6:$B$3005,$A197,請求記録!$Z$6:$Z$3005,S$5))))</f>
        <v/>
      </c>
      <c r="T197" s="19">
        <f>IF($A197="","",IF(COUNTIFS(請求記録!$B$6:$B$3005,$A197,請求記録!$Z$6:$Z$3005,T$5,請求記録!$AF$6:$AF$3005,"保留中")&gt;0,"保留",IF(COUNTIFS(請求記録!$B$6:$B$3005,$A197,請求記録!$Z$6:$Z$3005,T$5)=0,"",SUMIFS(請求記録!$AE$6:$AE$3005,請求記録!$B$6:$B$3005,$A197,請求記録!$Z$6:$Z$3005,T$5))))</f>
        <v/>
      </c>
      <c r="U197" s="19">
        <f>IF($A197="","",IF(COUNTIFS(請求記録!$B$6:$B$3005,$A197,請求記録!$Z$6:$Z$3005,U$5,請求記録!$AF$6:$AF$3005,"保留中")&gt;0,"保留",IF(COUNTIFS(請求記録!$B$6:$B$3005,$A197,請求記録!$Z$6:$Z$3005,U$5)=0,"",SUMIFS(請求記録!$AE$6:$AE$3005,請求記録!$B$6:$B$3005,$A197,請求記録!$Z$6:$Z$3005,U$5))))</f>
        <v/>
      </c>
      <c r="V197" s="19">
        <f>IF($A197="","",IF(COUNTIFS(請求記録!$B$6:$B$3005,$A197,請求記録!$Z$6:$Z$3005,V$5,請求記録!$AF$6:$AF$3005,"保留中")&gt;0,"保留",IF(COUNTIFS(請求記録!$B$6:$B$3005,$A197,請求記録!$Z$6:$Z$3005,V$5)=0,"",SUMIFS(請求記録!$AE$6:$AE$3005,請求記録!$B$6:$B$3005,$A197,請求記録!$Z$6:$Z$3005,V$5))))</f>
        <v/>
      </c>
      <c r="W197" s="19">
        <f>IF($A197="","",IF(COUNTIFS(請求記録!$B$6:$B$3005,$A197,請求記録!$Z$6:$Z$3005,W$5,請求記録!$AF$6:$AF$3005,"保留中")&gt;0,"保留",IF(COUNTIFS(請求記録!$B$6:$B$3005,$A197,請求記録!$Z$6:$Z$3005,W$5)=0,"",SUMIFS(請求記録!$AE$6:$AE$3005,請求記録!$B$6:$B$3005,$A197,請求記録!$Z$6:$Z$3005,W$5))))</f>
        <v/>
      </c>
      <c r="X197" s="19">
        <f>IF($A197="","",IF(COUNTIFS(請求記録!$B$6:$B$3005,$A197,請求記録!$Z$6:$Z$3005,X$5,請求記録!$AF$6:$AF$3005,"保留中")&gt;0,"保留",IF(COUNTIFS(請求記録!$B$6:$B$3005,$A197,請求記録!$Z$6:$Z$3005,X$5)=0,"",SUMIFS(請求記録!$AE$6:$AE$3005,請求記録!$B$6:$B$3005,$A197,請求記録!$Z$6:$Z$3005,X$5))))</f>
        <v/>
      </c>
      <c r="Y197" s="19">
        <f>IF($A197="","",IF(COUNTIFS(請求記録!$B$6:$B$3005,$A197,請求記録!$Z$6:$Z$3005,Y$5,請求記録!$AF$6:$AF$3005,"保留中")&gt;0,"保留",IF(COUNTIFS(請求記録!$B$6:$B$3005,$A197,請求記録!$Z$6:$Z$3005,Y$5)=0,"",SUMIFS(請求記録!$AE$6:$AE$3005,請求記録!$B$6:$B$3005,$A197,請求記録!$Z$6:$Z$3005,Y$5))))</f>
        <v/>
      </c>
      <c r="Z197" s="19">
        <f>IF($A197="","",IF(COUNTIFS(請求記録!$B$6:$B$3005,$A197,請求記録!$Z$6:$Z$3005,Z$5,請求記録!$AF$6:$AF$3005,"保留中")&gt;0,"保留",IF(COUNTIFS(請求記録!$B$6:$B$3005,$A197,請求記録!$Z$6:$Z$3005,Z$5)=0,"",SUMIFS(請求記録!$AE$6:$AE$3005,請求記録!$B$6:$B$3005,$A197,請求記録!$Z$6:$Z$3005,Z$5))))</f>
        <v/>
      </c>
      <c r="AA197" s="19">
        <f>IF($A197="","",IF(COUNTIFS(請求記録!$B$6:$B$3005,$A197,請求記録!$Z$6:$Z$3005,AA$5,請求記録!$AF$6:$AF$3005,"保留中")&gt;0,"保留",IF(COUNTIFS(請求記録!$B$6:$B$3005,$A197,請求記録!$Z$6:$Z$3005,AA$5)=0,"",SUMIFS(請求記録!$AE$6:$AE$3005,請求記録!$B$6:$B$3005,$A197,請求記録!$Z$6:$Z$3005,AA$5))))</f>
        <v/>
      </c>
      <c r="AB197">
        <f>IF(職員マスタ!P197="保留中",職員マスタ!M197,"")</f>
        <v/>
      </c>
    </row>
    <row r="198">
      <c r="A198">
        <f>IF(職員マスタ!A198="","",職員マスタ!A198)</f>
        <v/>
      </c>
      <c r="B198">
        <f>IF($A198="","",職員マスタ!B198)</f>
        <v/>
      </c>
      <c r="C198">
        <f>IF($A198="","",職員マスタ!C198)</f>
        <v/>
      </c>
      <c r="D198" s="19">
        <f>IF($A198="","",IF(COUNTIFS(請求記録!$B$6:$B$3005,$A198,請求記録!$Z$6:$Z$3005,D$5,請求記録!$AF$6:$AF$3005,"保留中")&gt;0,"保留",IF(COUNTIFS(請求記録!$B$6:$B$3005,$A198,請求記録!$Z$6:$Z$3005,D$5)=0,"",SUMIFS(請求記録!$AE$6:$AE$3005,請求記録!$B$6:$B$3005,$A198,請求記録!$Z$6:$Z$3005,D$5))))</f>
        <v/>
      </c>
      <c r="E198" s="19">
        <f>IF($A198="","",IF(COUNTIFS(請求記録!$B$6:$B$3005,$A198,請求記録!$Z$6:$Z$3005,E$5,請求記録!$AF$6:$AF$3005,"保留中")&gt;0,"保留",IF(COUNTIFS(請求記録!$B$6:$B$3005,$A198,請求記録!$Z$6:$Z$3005,E$5)=0,"",SUMIFS(請求記録!$AE$6:$AE$3005,請求記録!$B$6:$B$3005,$A198,請求記録!$Z$6:$Z$3005,E$5))))</f>
        <v/>
      </c>
      <c r="F198" s="19">
        <f>IF($A198="","",IF(COUNTIFS(請求記録!$B$6:$B$3005,$A198,請求記録!$Z$6:$Z$3005,F$5,請求記録!$AF$6:$AF$3005,"保留中")&gt;0,"保留",IF(COUNTIFS(請求記録!$B$6:$B$3005,$A198,請求記録!$Z$6:$Z$3005,F$5)=0,"",SUMIFS(請求記録!$AE$6:$AE$3005,請求記録!$B$6:$B$3005,$A198,請求記録!$Z$6:$Z$3005,F$5))))</f>
        <v/>
      </c>
      <c r="G198" s="19">
        <f>IF($A198="","",IF(COUNTIFS(請求記録!$B$6:$B$3005,$A198,請求記録!$Z$6:$Z$3005,G$5,請求記録!$AF$6:$AF$3005,"保留中")&gt;0,"保留",IF(COUNTIFS(請求記録!$B$6:$B$3005,$A198,請求記録!$Z$6:$Z$3005,G$5)=0,"",SUMIFS(請求記録!$AE$6:$AE$3005,請求記録!$B$6:$B$3005,$A198,請求記録!$Z$6:$Z$3005,G$5))))</f>
        <v/>
      </c>
      <c r="H198" s="19">
        <f>IF($A198="","",IF(COUNTIFS(請求記録!$B$6:$B$3005,$A198,請求記録!$Z$6:$Z$3005,H$5,請求記録!$AF$6:$AF$3005,"保留中")&gt;0,"保留",IF(COUNTIFS(請求記録!$B$6:$B$3005,$A198,請求記録!$Z$6:$Z$3005,H$5)=0,"",SUMIFS(請求記録!$AE$6:$AE$3005,請求記録!$B$6:$B$3005,$A198,請求記録!$Z$6:$Z$3005,H$5))))</f>
        <v/>
      </c>
      <c r="I198" s="19">
        <f>IF($A198="","",IF(COUNTIFS(請求記録!$B$6:$B$3005,$A198,請求記録!$Z$6:$Z$3005,I$5,請求記録!$AF$6:$AF$3005,"保留中")&gt;0,"保留",IF(COUNTIFS(請求記録!$B$6:$B$3005,$A198,請求記録!$Z$6:$Z$3005,I$5)=0,"",SUMIFS(請求記録!$AE$6:$AE$3005,請求記録!$B$6:$B$3005,$A198,請求記録!$Z$6:$Z$3005,I$5))))</f>
        <v/>
      </c>
      <c r="J198" s="19">
        <f>IF($A198="","",IF(COUNTIFS(請求記録!$B$6:$B$3005,$A198,請求記録!$Z$6:$Z$3005,J$5,請求記録!$AF$6:$AF$3005,"保留中")&gt;0,"保留",IF(COUNTIFS(請求記録!$B$6:$B$3005,$A198,請求記録!$Z$6:$Z$3005,J$5)=0,"",SUMIFS(請求記録!$AE$6:$AE$3005,請求記録!$B$6:$B$3005,$A198,請求記録!$Z$6:$Z$3005,J$5))))</f>
        <v/>
      </c>
      <c r="K198" s="19">
        <f>IF($A198="","",IF(COUNTIFS(請求記録!$B$6:$B$3005,$A198,請求記録!$Z$6:$Z$3005,K$5,請求記録!$AF$6:$AF$3005,"保留中")&gt;0,"保留",IF(COUNTIFS(請求記録!$B$6:$B$3005,$A198,請求記録!$Z$6:$Z$3005,K$5)=0,"",SUMIFS(請求記録!$AE$6:$AE$3005,請求記録!$B$6:$B$3005,$A198,請求記録!$Z$6:$Z$3005,K$5))))</f>
        <v/>
      </c>
      <c r="L198" s="19">
        <f>IF($A198="","",IF(COUNTIFS(請求記録!$B$6:$B$3005,$A198,請求記録!$Z$6:$Z$3005,L$5,請求記録!$AF$6:$AF$3005,"保留中")&gt;0,"保留",IF(COUNTIFS(請求記録!$B$6:$B$3005,$A198,請求記録!$Z$6:$Z$3005,L$5)=0,"",SUMIFS(請求記録!$AE$6:$AE$3005,請求記録!$B$6:$B$3005,$A198,請求記録!$Z$6:$Z$3005,L$5))))</f>
        <v/>
      </c>
      <c r="M198" s="19">
        <f>IF($A198="","",IF(COUNTIFS(請求記録!$B$6:$B$3005,$A198,請求記録!$Z$6:$Z$3005,M$5,請求記録!$AF$6:$AF$3005,"保留中")&gt;0,"保留",IF(COUNTIFS(請求記録!$B$6:$B$3005,$A198,請求記録!$Z$6:$Z$3005,M$5)=0,"",SUMIFS(請求記録!$AE$6:$AE$3005,請求記録!$B$6:$B$3005,$A198,請求記録!$Z$6:$Z$3005,M$5))))</f>
        <v/>
      </c>
      <c r="N198" s="19">
        <f>IF($A198="","",IF(COUNTIFS(請求記録!$B$6:$B$3005,$A198,請求記録!$Z$6:$Z$3005,N$5,請求記録!$AF$6:$AF$3005,"保留中")&gt;0,"保留",IF(COUNTIFS(請求記録!$B$6:$B$3005,$A198,請求記録!$Z$6:$Z$3005,N$5)=0,"",SUMIFS(請求記録!$AE$6:$AE$3005,請求記録!$B$6:$B$3005,$A198,請求記録!$Z$6:$Z$3005,N$5))))</f>
        <v/>
      </c>
      <c r="O198" s="19">
        <f>IF($A198="","",IF(COUNTIFS(請求記録!$B$6:$B$3005,$A198,請求記録!$Z$6:$Z$3005,O$5,請求記録!$AF$6:$AF$3005,"保留中")&gt;0,"保留",IF(COUNTIFS(請求記録!$B$6:$B$3005,$A198,請求記録!$Z$6:$Z$3005,O$5)=0,"",SUMIFS(請求記録!$AE$6:$AE$3005,請求記録!$B$6:$B$3005,$A198,請求記録!$Z$6:$Z$3005,O$5))))</f>
        <v/>
      </c>
      <c r="P198" s="19">
        <f>IF($A198="","",IF(COUNTIFS(請求記録!$B$6:$B$3005,$A198,請求記録!$Z$6:$Z$3005,P$5,請求記録!$AF$6:$AF$3005,"保留中")&gt;0,"保留",IF(COUNTIFS(請求記録!$B$6:$B$3005,$A198,請求記録!$Z$6:$Z$3005,P$5)=0,"",SUMIFS(請求記録!$AE$6:$AE$3005,請求記録!$B$6:$B$3005,$A198,請求記録!$Z$6:$Z$3005,P$5))))</f>
        <v/>
      </c>
      <c r="Q198" s="19">
        <f>IF($A198="","",IF(COUNTIFS(請求記録!$B$6:$B$3005,$A198,請求記録!$Z$6:$Z$3005,Q$5,請求記録!$AF$6:$AF$3005,"保留中")&gt;0,"保留",IF(COUNTIFS(請求記録!$B$6:$B$3005,$A198,請求記録!$Z$6:$Z$3005,Q$5)=0,"",SUMIFS(請求記録!$AE$6:$AE$3005,請求記録!$B$6:$B$3005,$A198,請求記録!$Z$6:$Z$3005,Q$5))))</f>
        <v/>
      </c>
      <c r="R198" s="19">
        <f>IF($A198="","",IF(COUNTIFS(請求記録!$B$6:$B$3005,$A198,請求記録!$Z$6:$Z$3005,R$5,請求記録!$AF$6:$AF$3005,"保留中")&gt;0,"保留",IF(COUNTIFS(請求記録!$B$6:$B$3005,$A198,請求記録!$Z$6:$Z$3005,R$5)=0,"",SUMIFS(請求記録!$AE$6:$AE$3005,請求記録!$B$6:$B$3005,$A198,請求記録!$Z$6:$Z$3005,R$5))))</f>
        <v/>
      </c>
      <c r="S198" s="19">
        <f>IF($A198="","",IF(COUNTIFS(請求記録!$B$6:$B$3005,$A198,請求記録!$Z$6:$Z$3005,S$5,請求記録!$AF$6:$AF$3005,"保留中")&gt;0,"保留",IF(COUNTIFS(請求記録!$B$6:$B$3005,$A198,請求記録!$Z$6:$Z$3005,S$5)=0,"",SUMIFS(請求記録!$AE$6:$AE$3005,請求記録!$B$6:$B$3005,$A198,請求記録!$Z$6:$Z$3005,S$5))))</f>
        <v/>
      </c>
      <c r="T198" s="19">
        <f>IF($A198="","",IF(COUNTIFS(請求記録!$B$6:$B$3005,$A198,請求記録!$Z$6:$Z$3005,T$5,請求記録!$AF$6:$AF$3005,"保留中")&gt;0,"保留",IF(COUNTIFS(請求記録!$B$6:$B$3005,$A198,請求記録!$Z$6:$Z$3005,T$5)=0,"",SUMIFS(請求記録!$AE$6:$AE$3005,請求記録!$B$6:$B$3005,$A198,請求記録!$Z$6:$Z$3005,T$5))))</f>
        <v/>
      </c>
      <c r="U198" s="19">
        <f>IF($A198="","",IF(COUNTIFS(請求記録!$B$6:$B$3005,$A198,請求記録!$Z$6:$Z$3005,U$5,請求記録!$AF$6:$AF$3005,"保留中")&gt;0,"保留",IF(COUNTIFS(請求記録!$B$6:$B$3005,$A198,請求記録!$Z$6:$Z$3005,U$5)=0,"",SUMIFS(請求記録!$AE$6:$AE$3005,請求記録!$B$6:$B$3005,$A198,請求記録!$Z$6:$Z$3005,U$5))))</f>
        <v/>
      </c>
      <c r="V198" s="19">
        <f>IF($A198="","",IF(COUNTIFS(請求記録!$B$6:$B$3005,$A198,請求記録!$Z$6:$Z$3005,V$5,請求記録!$AF$6:$AF$3005,"保留中")&gt;0,"保留",IF(COUNTIFS(請求記録!$B$6:$B$3005,$A198,請求記録!$Z$6:$Z$3005,V$5)=0,"",SUMIFS(請求記録!$AE$6:$AE$3005,請求記録!$B$6:$B$3005,$A198,請求記録!$Z$6:$Z$3005,V$5))))</f>
        <v/>
      </c>
      <c r="W198" s="19">
        <f>IF($A198="","",IF(COUNTIFS(請求記録!$B$6:$B$3005,$A198,請求記録!$Z$6:$Z$3005,W$5,請求記録!$AF$6:$AF$3005,"保留中")&gt;0,"保留",IF(COUNTIFS(請求記録!$B$6:$B$3005,$A198,請求記録!$Z$6:$Z$3005,W$5)=0,"",SUMIFS(請求記録!$AE$6:$AE$3005,請求記録!$B$6:$B$3005,$A198,請求記録!$Z$6:$Z$3005,W$5))))</f>
        <v/>
      </c>
      <c r="X198" s="19">
        <f>IF($A198="","",IF(COUNTIFS(請求記録!$B$6:$B$3005,$A198,請求記録!$Z$6:$Z$3005,X$5,請求記録!$AF$6:$AF$3005,"保留中")&gt;0,"保留",IF(COUNTIFS(請求記録!$B$6:$B$3005,$A198,請求記録!$Z$6:$Z$3005,X$5)=0,"",SUMIFS(請求記録!$AE$6:$AE$3005,請求記録!$B$6:$B$3005,$A198,請求記録!$Z$6:$Z$3005,X$5))))</f>
        <v/>
      </c>
      <c r="Y198" s="19">
        <f>IF($A198="","",IF(COUNTIFS(請求記録!$B$6:$B$3005,$A198,請求記録!$Z$6:$Z$3005,Y$5,請求記録!$AF$6:$AF$3005,"保留中")&gt;0,"保留",IF(COUNTIFS(請求記録!$B$6:$B$3005,$A198,請求記録!$Z$6:$Z$3005,Y$5)=0,"",SUMIFS(請求記録!$AE$6:$AE$3005,請求記録!$B$6:$B$3005,$A198,請求記録!$Z$6:$Z$3005,Y$5))))</f>
        <v/>
      </c>
      <c r="Z198" s="19">
        <f>IF($A198="","",IF(COUNTIFS(請求記録!$B$6:$B$3005,$A198,請求記録!$Z$6:$Z$3005,Z$5,請求記録!$AF$6:$AF$3005,"保留中")&gt;0,"保留",IF(COUNTIFS(請求記録!$B$6:$B$3005,$A198,請求記録!$Z$6:$Z$3005,Z$5)=0,"",SUMIFS(請求記録!$AE$6:$AE$3005,請求記録!$B$6:$B$3005,$A198,請求記録!$Z$6:$Z$3005,Z$5))))</f>
        <v/>
      </c>
      <c r="AA198" s="19">
        <f>IF($A198="","",IF(COUNTIFS(請求記録!$B$6:$B$3005,$A198,請求記録!$Z$6:$Z$3005,AA$5,請求記録!$AF$6:$AF$3005,"保留中")&gt;0,"保留",IF(COUNTIFS(請求記録!$B$6:$B$3005,$A198,請求記録!$Z$6:$Z$3005,AA$5)=0,"",SUMIFS(請求記録!$AE$6:$AE$3005,請求記録!$B$6:$B$3005,$A198,請求記録!$Z$6:$Z$3005,AA$5))))</f>
        <v/>
      </c>
      <c r="AB198">
        <f>IF(職員マスタ!P198="保留中",職員マスタ!M198,"")</f>
        <v/>
      </c>
    </row>
    <row r="199">
      <c r="A199">
        <f>IF(職員マスタ!A199="","",職員マスタ!A199)</f>
        <v/>
      </c>
      <c r="B199">
        <f>IF($A199="","",職員マスタ!B199)</f>
        <v/>
      </c>
      <c r="C199">
        <f>IF($A199="","",職員マスタ!C199)</f>
        <v/>
      </c>
      <c r="D199" s="19">
        <f>IF($A199="","",IF(COUNTIFS(請求記録!$B$6:$B$3005,$A199,請求記録!$Z$6:$Z$3005,D$5,請求記録!$AF$6:$AF$3005,"保留中")&gt;0,"保留",IF(COUNTIFS(請求記録!$B$6:$B$3005,$A199,請求記録!$Z$6:$Z$3005,D$5)=0,"",SUMIFS(請求記録!$AE$6:$AE$3005,請求記録!$B$6:$B$3005,$A199,請求記録!$Z$6:$Z$3005,D$5))))</f>
        <v/>
      </c>
      <c r="E199" s="19">
        <f>IF($A199="","",IF(COUNTIFS(請求記録!$B$6:$B$3005,$A199,請求記録!$Z$6:$Z$3005,E$5,請求記録!$AF$6:$AF$3005,"保留中")&gt;0,"保留",IF(COUNTIFS(請求記録!$B$6:$B$3005,$A199,請求記録!$Z$6:$Z$3005,E$5)=0,"",SUMIFS(請求記録!$AE$6:$AE$3005,請求記録!$B$6:$B$3005,$A199,請求記録!$Z$6:$Z$3005,E$5))))</f>
        <v/>
      </c>
      <c r="F199" s="19">
        <f>IF($A199="","",IF(COUNTIFS(請求記録!$B$6:$B$3005,$A199,請求記録!$Z$6:$Z$3005,F$5,請求記録!$AF$6:$AF$3005,"保留中")&gt;0,"保留",IF(COUNTIFS(請求記録!$B$6:$B$3005,$A199,請求記録!$Z$6:$Z$3005,F$5)=0,"",SUMIFS(請求記録!$AE$6:$AE$3005,請求記録!$B$6:$B$3005,$A199,請求記録!$Z$6:$Z$3005,F$5))))</f>
        <v/>
      </c>
      <c r="G199" s="19">
        <f>IF($A199="","",IF(COUNTIFS(請求記録!$B$6:$B$3005,$A199,請求記録!$Z$6:$Z$3005,G$5,請求記録!$AF$6:$AF$3005,"保留中")&gt;0,"保留",IF(COUNTIFS(請求記録!$B$6:$B$3005,$A199,請求記録!$Z$6:$Z$3005,G$5)=0,"",SUMIFS(請求記録!$AE$6:$AE$3005,請求記録!$B$6:$B$3005,$A199,請求記録!$Z$6:$Z$3005,G$5))))</f>
        <v/>
      </c>
      <c r="H199" s="19">
        <f>IF($A199="","",IF(COUNTIFS(請求記録!$B$6:$B$3005,$A199,請求記録!$Z$6:$Z$3005,H$5,請求記録!$AF$6:$AF$3005,"保留中")&gt;0,"保留",IF(COUNTIFS(請求記録!$B$6:$B$3005,$A199,請求記録!$Z$6:$Z$3005,H$5)=0,"",SUMIFS(請求記録!$AE$6:$AE$3005,請求記録!$B$6:$B$3005,$A199,請求記録!$Z$6:$Z$3005,H$5))))</f>
        <v/>
      </c>
      <c r="I199" s="19">
        <f>IF($A199="","",IF(COUNTIFS(請求記録!$B$6:$B$3005,$A199,請求記録!$Z$6:$Z$3005,I$5,請求記録!$AF$6:$AF$3005,"保留中")&gt;0,"保留",IF(COUNTIFS(請求記録!$B$6:$B$3005,$A199,請求記録!$Z$6:$Z$3005,I$5)=0,"",SUMIFS(請求記録!$AE$6:$AE$3005,請求記録!$B$6:$B$3005,$A199,請求記録!$Z$6:$Z$3005,I$5))))</f>
        <v/>
      </c>
      <c r="J199" s="19">
        <f>IF($A199="","",IF(COUNTIFS(請求記録!$B$6:$B$3005,$A199,請求記録!$Z$6:$Z$3005,J$5,請求記録!$AF$6:$AF$3005,"保留中")&gt;0,"保留",IF(COUNTIFS(請求記録!$B$6:$B$3005,$A199,請求記録!$Z$6:$Z$3005,J$5)=0,"",SUMIFS(請求記録!$AE$6:$AE$3005,請求記録!$B$6:$B$3005,$A199,請求記録!$Z$6:$Z$3005,J$5))))</f>
        <v/>
      </c>
      <c r="K199" s="19">
        <f>IF($A199="","",IF(COUNTIFS(請求記録!$B$6:$B$3005,$A199,請求記録!$Z$6:$Z$3005,K$5,請求記録!$AF$6:$AF$3005,"保留中")&gt;0,"保留",IF(COUNTIFS(請求記録!$B$6:$B$3005,$A199,請求記録!$Z$6:$Z$3005,K$5)=0,"",SUMIFS(請求記録!$AE$6:$AE$3005,請求記録!$B$6:$B$3005,$A199,請求記録!$Z$6:$Z$3005,K$5))))</f>
        <v/>
      </c>
      <c r="L199" s="19">
        <f>IF($A199="","",IF(COUNTIFS(請求記録!$B$6:$B$3005,$A199,請求記録!$Z$6:$Z$3005,L$5,請求記録!$AF$6:$AF$3005,"保留中")&gt;0,"保留",IF(COUNTIFS(請求記録!$B$6:$B$3005,$A199,請求記録!$Z$6:$Z$3005,L$5)=0,"",SUMIFS(請求記録!$AE$6:$AE$3005,請求記録!$B$6:$B$3005,$A199,請求記録!$Z$6:$Z$3005,L$5))))</f>
        <v/>
      </c>
      <c r="M199" s="19">
        <f>IF($A199="","",IF(COUNTIFS(請求記録!$B$6:$B$3005,$A199,請求記録!$Z$6:$Z$3005,M$5,請求記録!$AF$6:$AF$3005,"保留中")&gt;0,"保留",IF(COUNTIFS(請求記録!$B$6:$B$3005,$A199,請求記録!$Z$6:$Z$3005,M$5)=0,"",SUMIFS(請求記録!$AE$6:$AE$3005,請求記録!$B$6:$B$3005,$A199,請求記録!$Z$6:$Z$3005,M$5))))</f>
        <v/>
      </c>
      <c r="N199" s="19">
        <f>IF($A199="","",IF(COUNTIFS(請求記録!$B$6:$B$3005,$A199,請求記録!$Z$6:$Z$3005,N$5,請求記録!$AF$6:$AF$3005,"保留中")&gt;0,"保留",IF(COUNTIFS(請求記録!$B$6:$B$3005,$A199,請求記録!$Z$6:$Z$3005,N$5)=0,"",SUMIFS(請求記録!$AE$6:$AE$3005,請求記録!$B$6:$B$3005,$A199,請求記録!$Z$6:$Z$3005,N$5))))</f>
        <v/>
      </c>
      <c r="O199" s="19">
        <f>IF($A199="","",IF(COUNTIFS(請求記録!$B$6:$B$3005,$A199,請求記録!$Z$6:$Z$3005,O$5,請求記録!$AF$6:$AF$3005,"保留中")&gt;0,"保留",IF(COUNTIFS(請求記録!$B$6:$B$3005,$A199,請求記録!$Z$6:$Z$3005,O$5)=0,"",SUMIFS(請求記録!$AE$6:$AE$3005,請求記録!$B$6:$B$3005,$A199,請求記録!$Z$6:$Z$3005,O$5))))</f>
        <v/>
      </c>
      <c r="P199" s="19">
        <f>IF($A199="","",IF(COUNTIFS(請求記録!$B$6:$B$3005,$A199,請求記録!$Z$6:$Z$3005,P$5,請求記録!$AF$6:$AF$3005,"保留中")&gt;0,"保留",IF(COUNTIFS(請求記録!$B$6:$B$3005,$A199,請求記録!$Z$6:$Z$3005,P$5)=0,"",SUMIFS(請求記録!$AE$6:$AE$3005,請求記録!$B$6:$B$3005,$A199,請求記録!$Z$6:$Z$3005,P$5))))</f>
        <v/>
      </c>
      <c r="Q199" s="19">
        <f>IF($A199="","",IF(COUNTIFS(請求記録!$B$6:$B$3005,$A199,請求記録!$Z$6:$Z$3005,Q$5,請求記録!$AF$6:$AF$3005,"保留中")&gt;0,"保留",IF(COUNTIFS(請求記録!$B$6:$B$3005,$A199,請求記録!$Z$6:$Z$3005,Q$5)=0,"",SUMIFS(請求記録!$AE$6:$AE$3005,請求記録!$B$6:$B$3005,$A199,請求記録!$Z$6:$Z$3005,Q$5))))</f>
        <v/>
      </c>
      <c r="R199" s="19">
        <f>IF($A199="","",IF(COUNTIFS(請求記録!$B$6:$B$3005,$A199,請求記録!$Z$6:$Z$3005,R$5,請求記録!$AF$6:$AF$3005,"保留中")&gt;0,"保留",IF(COUNTIFS(請求記録!$B$6:$B$3005,$A199,請求記録!$Z$6:$Z$3005,R$5)=0,"",SUMIFS(請求記録!$AE$6:$AE$3005,請求記録!$B$6:$B$3005,$A199,請求記録!$Z$6:$Z$3005,R$5))))</f>
        <v/>
      </c>
      <c r="S199" s="19">
        <f>IF($A199="","",IF(COUNTIFS(請求記録!$B$6:$B$3005,$A199,請求記録!$Z$6:$Z$3005,S$5,請求記録!$AF$6:$AF$3005,"保留中")&gt;0,"保留",IF(COUNTIFS(請求記録!$B$6:$B$3005,$A199,請求記録!$Z$6:$Z$3005,S$5)=0,"",SUMIFS(請求記録!$AE$6:$AE$3005,請求記録!$B$6:$B$3005,$A199,請求記録!$Z$6:$Z$3005,S$5))))</f>
        <v/>
      </c>
      <c r="T199" s="19">
        <f>IF($A199="","",IF(COUNTIFS(請求記録!$B$6:$B$3005,$A199,請求記録!$Z$6:$Z$3005,T$5,請求記録!$AF$6:$AF$3005,"保留中")&gt;0,"保留",IF(COUNTIFS(請求記録!$B$6:$B$3005,$A199,請求記録!$Z$6:$Z$3005,T$5)=0,"",SUMIFS(請求記録!$AE$6:$AE$3005,請求記録!$B$6:$B$3005,$A199,請求記録!$Z$6:$Z$3005,T$5))))</f>
        <v/>
      </c>
      <c r="U199" s="19">
        <f>IF($A199="","",IF(COUNTIFS(請求記録!$B$6:$B$3005,$A199,請求記録!$Z$6:$Z$3005,U$5,請求記録!$AF$6:$AF$3005,"保留中")&gt;0,"保留",IF(COUNTIFS(請求記録!$B$6:$B$3005,$A199,請求記録!$Z$6:$Z$3005,U$5)=0,"",SUMIFS(請求記録!$AE$6:$AE$3005,請求記録!$B$6:$B$3005,$A199,請求記録!$Z$6:$Z$3005,U$5))))</f>
        <v/>
      </c>
      <c r="V199" s="19">
        <f>IF($A199="","",IF(COUNTIFS(請求記録!$B$6:$B$3005,$A199,請求記録!$Z$6:$Z$3005,V$5,請求記録!$AF$6:$AF$3005,"保留中")&gt;0,"保留",IF(COUNTIFS(請求記録!$B$6:$B$3005,$A199,請求記録!$Z$6:$Z$3005,V$5)=0,"",SUMIFS(請求記録!$AE$6:$AE$3005,請求記録!$B$6:$B$3005,$A199,請求記録!$Z$6:$Z$3005,V$5))))</f>
        <v/>
      </c>
      <c r="W199" s="19">
        <f>IF($A199="","",IF(COUNTIFS(請求記録!$B$6:$B$3005,$A199,請求記録!$Z$6:$Z$3005,W$5,請求記録!$AF$6:$AF$3005,"保留中")&gt;0,"保留",IF(COUNTIFS(請求記録!$B$6:$B$3005,$A199,請求記録!$Z$6:$Z$3005,W$5)=0,"",SUMIFS(請求記録!$AE$6:$AE$3005,請求記録!$B$6:$B$3005,$A199,請求記録!$Z$6:$Z$3005,W$5))))</f>
        <v/>
      </c>
      <c r="X199" s="19">
        <f>IF($A199="","",IF(COUNTIFS(請求記録!$B$6:$B$3005,$A199,請求記録!$Z$6:$Z$3005,X$5,請求記録!$AF$6:$AF$3005,"保留中")&gt;0,"保留",IF(COUNTIFS(請求記録!$B$6:$B$3005,$A199,請求記録!$Z$6:$Z$3005,X$5)=0,"",SUMIFS(請求記録!$AE$6:$AE$3005,請求記録!$B$6:$B$3005,$A199,請求記録!$Z$6:$Z$3005,X$5))))</f>
        <v/>
      </c>
      <c r="Y199" s="19">
        <f>IF($A199="","",IF(COUNTIFS(請求記録!$B$6:$B$3005,$A199,請求記録!$Z$6:$Z$3005,Y$5,請求記録!$AF$6:$AF$3005,"保留中")&gt;0,"保留",IF(COUNTIFS(請求記録!$B$6:$B$3005,$A199,請求記録!$Z$6:$Z$3005,Y$5)=0,"",SUMIFS(請求記録!$AE$6:$AE$3005,請求記録!$B$6:$B$3005,$A199,請求記録!$Z$6:$Z$3005,Y$5))))</f>
        <v/>
      </c>
      <c r="Z199" s="19">
        <f>IF($A199="","",IF(COUNTIFS(請求記録!$B$6:$B$3005,$A199,請求記録!$Z$6:$Z$3005,Z$5,請求記録!$AF$6:$AF$3005,"保留中")&gt;0,"保留",IF(COUNTIFS(請求記録!$B$6:$B$3005,$A199,請求記録!$Z$6:$Z$3005,Z$5)=0,"",SUMIFS(請求記録!$AE$6:$AE$3005,請求記録!$B$6:$B$3005,$A199,請求記録!$Z$6:$Z$3005,Z$5))))</f>
        <v/>
      </c>
      <c r="AA199" s="19">
        <f>IF($A199="","",IF(COUNTIFS(請求記録!$B$6:$B$3005,$A199,請求記録!$Z$6:$Z$3005,AA$5,請求記録!$AF$6:$AF$3005,"保留中")&gt;0,"保留",IF(COUNTIFS(請求記録!$B$6:$B$3005,$A199,請求記録!$Z$6:$Z$3005,AA$5)=0,"",SUMIFS(請求記録!$AE$6:$AE$3005,請求記録!$B$6:$B$3005,$A199,請求記録!$Z$6:$Z$3005,AA$5))))</f>
        <v/>
      </c>
      <c r="AB199">
        <f>IF(職員マスタ!P199="保留中",職員マスタ!M199,"")</f>
        <v/>
      </c>
    </row>
    <row r="200">
      <c r="A200">
        <f>IF(職員マスタ!A200="","",職員マスタ!A200)</f>
        <v/>
      </c>
      <c r="B200">
        <f>IF($A200="","",職員マスタ!B200)</f>
        <v/>
      </c>
      <c r="C200">
        <f>IF($A200="","",職員マスタ!C200)</f>
        <v/>
      </c>
      <c r="D200" s="19">
        <f>IF($A200="","",IF(COUNTIFS(請求記録!$B$6:$B$3005,$A200,請求記録!$Z$6:$Z$3005,D$5,請求記録!$AF$6:$AF$3005,"保留中")&gt;0,"保留",IF(COUNTIFS(請求記録!$B$6:$B$3005,$A200,請求記録!$Z$6:$Z$3005,D$5)=0,"",SUMIFS(請求記録!$AE$6:$AE$3005,請求記録!$B$6:$B$3005,$A200,請求記録!$Z$6:$Z$3005,D$5))))</f>
        <v/>
      </c>
      <c r="E200" s="19">
        <f>IF($A200="","",IF(COUNTIFS(請求記録!$B$6:$B$3005,$A200,請求記録!$Z$6:$Z$3005,E$5,請求記録!$AF$6:$AF$3005,"保留中")&gt;0,"保留",IF(COUNTIFS(請求記録!$B$6:$B$3005,$A200,請求記録!$Z$6:$Z$3005,E$5)=0,"",SUMIFS(請求記録!$AE$6:$AE$3005,請求記録!$B$6:$B$3005,$A200,請求記録!$Z$6:$Z$3005,E$5))))</f>
        <v/>
      </c>
      <c r="F200" s="19">
        <f>IF($A200="","",IF(COUNTIFS(請求記録!$B$6:$B$3005,$A200,請求記録!$Z$6:$Z$3005,F$5,請求記録!$AF$6:$AF$3005,"保留中")&gt;0,"保留",IF(COUNTIFS(請求記録!$B$6:$B$3005,$A200,請求記録!$Z$6:$Z$3005,F$5)=0,"",SUMIFS(請求記録!$AE$6:$AE$3005,請求記録!$B$6:$B$3005,$A200,請求記録!$Z$6:$Z$3005,F$5))))</f>
        <v/>
      </c>
      <c r="G200" s="19">
        <f>IF($A200="","",IF(COUNTIFS(請求記録!$B$6:$B$3005,$A200,請求記録!$Z$6:$Z$3005,G$5,請求記録!$AF$6:$AF$3005,"保留中")&gt;0,"保留",IF(COUNTIFS(請求記録!$B$6:$B$3005,$A200,請求記録!$Z$6:$Z$3005,G$5)=0,"",SUMIFS(請求記録!$AE$6:$AE$3005,請求記録!$B$6:$B$3005,$A200,請求記録!$Z$6:$Z$3005,G$5))))</f>
        <v/>
      </c>
      <c r="H200" s="19">
        <f>IF($A200="","",IF(COUNTIFS(請求記録!$B$6:$B$3005,$A200,請求記録!$Z$6:$Z$3005,H$5,請求記録!$AF$6:$AF$3005,"保留中")&gt;0,"保留",IF(COUNTIFS(請求記録!$B$6:$B$3005,$A200,請求記録!$Z$6:$Z$3005,H$5)=0,"",SUMIFS(請求記録!$AE$6:$AE$3005,請求記録!$B$6:$B$3005,$A200,請求記録!$Z$6:$Z$3005,H$5))))</f>
        <v/>
      </c>
      <c r="I200" s="19">
        <f>IF($A200="","",IF(COUNTIFS(請求記録!$B$6:$B$3005,$A200,請求記録!$Z$6:$Z$3005,I$5,請求記録!$AF$6:$AF$3005,"保留中")&gt;0,"保留",IF(COUNTIFS(請求記録!$B$6:$B$3005,$A200,請求記録!$Z$6:$Z$3005,I$5)=0,"",SUMIFS(請求記録!$AE$6:$AE$3005,請求記録!$B$6:$B$3005,$A200,請求記録!$Z$6:$Z$3005,I$5))))</f>
        <v/>
      </c>
      <c r="J200" s="19">
        <f>IF($A200="","",IF(COUNTIFS(請求記録!$B$6:$B$3005,$A200,請求記録!$Z$6:$Z$3005,J$5,請求記録!$AF$6:$AF$3005,"保留中")&gt;0,"保留",IF(COUNTIFS(請求記録!$B$6:$B$3005,$A200,請求記録!$Z$6:$Z$3005,J$5)=0,"",SUMIFS(請求記録!$AE$6:$AE$3005,請求記録!$B$6:$B$3005,$A200,請求記録!$Z$6:$Z$3005,J$5))))</f>
        <v/>
      </c>
      <c r="K200" s="19">
        <f>IF($A200="","",IF(COUNTIFS(請求記録!$B$6:$B$3005,$A200,請求記録!$Z$6:$Z$3005,K$5,請求記録!$AF$6:$AF$3005,"保留中")&gt;0,"保留",IF(COUNTIFS(請求記録!$B$6:$B$3005,$A200,請求記録!$Z$6:$Z$3005,K$5)=0,"",SUMIFS(請求記録!$AE$6:$AE$3005,請求記録!$B$6:$B$3005,$A200,請求記録!$Z$6:$Z$3005,K$5))))</f>
        <v/>
      </c>
      <c r="L200" s="19">
        <f>IF($A200="","",IF(COUNTIFS(請求記録!$B$6:$B$3005,$A200,請求記録!$Z$6:$Z$3005,L$5,請求記録!$AF$6:$AF$3005,"保留中")&gt;0,"保留",IF(COUNTIFS(請求記録!$B$6:$B$3005,$A200,請求記録!$Z$6:$Z$3005,L$5)=0,"",SUMIFS(請求記録!$AE$6:$AE$3005,請求記録!$B$6:$B$3005,$A200,請求記録!$Z$6:$Z$3005,L$5))))</f>
        <v/>
      </c>
      <c r="M200" s="19">
        <f>IF($A200="","",IF(COUNTIFS(請求記録!$B$6:$B$3005,$A200,請求記録!$Z$6:$Z$3005,M$5,請求記録!$AF$6:$AF$3005,"保留中")&gt;0,"保留",IF(COUNTIFS(請求記録!$B$6:$B$3005,$A200,請求記録!$Z$6:$Z$3005,M$5)=0,"",SUMIFS(請求記録!$AE$6:$AE$3005,請求記録!$B$6:$B$3005,$A200,請求記録!$Z$6:$Z$3005,M$5))))</f>
        <v/>
      </c>
      <c r="N200" s="19">
        <f>IF($A200="","",IF(COUNTIFS(請求記録!$B$6:$B$3005,$A200,請求記録!$Z$6:$Z$3005,N$5,請求記録!$AF$6:$AF$3005,"保留中")&gt;0,"保留",IF(COUNTIFS(請求記録!$B$6:$B$3005,$A200,請求記録!$Z$6:$Z$3005,N$5)=0,"",SUMIFS(請求記録!$AE$6:$AE$3005,請求記録!$B$6:$B$3005,$A200,請求記録!$Z$6:$Z$3005,N$5))))</f>
        <v/>
      </c>
      <c r="O200" s="19">
        <f>IF($A200="","",IF(COUNTIFS(請求記録!$B$6:$B$3005,$A200,請求記録!$Z$6:$Z$3005,O$5,請求記録!$AF$6:$AF$3005,"保留中")&gt;0,"保留",IF(COUNTIFS(請求記録!$B$6:$B$3005,$A200,請求記録!$Z$6:$Z$3005,O$5)=0,"",SUMIFS(請求記録!$AE$6:$AE$3005,請求記録!$B$6:$B$3005,$A200,請求記録!$Z$6:$Z$3005,O$5))))</f>
        <v/>
      </c>
      <c r="P200" s="19">
        <f>IF($A200="","",IF(COUNTIFS(請求記録!$B$6:$B$3005,$A200,請求記録!$Z$6:$Z$3005,P$5,請求記録!$AF$6:$AF$3005,"保留中")&gt;0,"保留",IF(COUNTIFS(請求記録!$B$6:$B$3005,$A200,請求記録!$Z$6:$Z$3005,P$5)=0,"",SUMIFS(請求記録!$AE$6:$AE$3005,請求記録!$B$6:$B$3005,$A200,請求記録!$Z$6:$Z$3005,P$5))))</f>
        <v/>
      </c>
      <c r="Q200" s="19">
        <f>IF($A200="","",IF(COUNTIFS(請求記録!$B$6:$B$3005,$A200,請求記録!$Z$6:$Z$3005,Q$5,請求記録!$AF$6:$AF$3005,"保留中")&gt;0,"保留",IF(COUNTIFS(請求記録!$B$6:$B$3005,$A200,請求記録!$Z$6:$Z$3005,Q$5)=0,"",SUMIFS(請求記録!$AE$6:$AE$3005,請求記録!$B$6:$B$3005,$A200,請求記録!$Z$6:$Z$3005,Q$5))))</f>
        <v/>
      </c>
      <c r="R200" s="19">
        <f>IF($A200="","",IF(COUNTIFS(請求記録!$B$6:$B$3005,$A200,請求記録!$Z$6:$Z$3005,R$5,請求記録!$AF$6:$AF$3005,"保留中")&gt;0,"保留",IF(COUNTIFS(請求記録!$B$6:$B$3005,$A200,請求記録!$Z$6:$Z$3005,R$5)=0,"",SUMIFS(請求記録!$AE$6:$AE$3005,請求記録!$B$6:$B$3005,$A200,請求記録!$Z$6:$Z$3005,R$5))))</f>
        <v/>
      </c>
      <c r="S200" s="19">
        <f>IF($A200="","",IF(COUNTIFS(請求記録!$B$6:$B$3005,$A200,請求記録!$Z$6:$Z$3005,S$5,請求記録!$AF$6:$AF$3005,"保留中")&gt;0,"保留",IF(COUNTIFS(請求記録!$B$6:$B$3005,$A200,請求記録!$Z$6:$Z$3005,S$5)=0,"",SUMIFS(請求記録!$AE$6:$AE$3005,請求記録!$B$6:$B$3005,$A200,請求記録!$Z$6:$Z$3005,S$5))))</f>
        <v/>
      </c>
      <c r="T200" s="19">
        <f>IF($A200="","",IF(COUNTIFS(請求記録!$B$6:$B$3005,$A200,請求記録!$Z$6:$Z$3005,T$5,請求記録!$AF$6:$AF$3005,"保留中")&gt;0,"保留",IF(COUNTIFS(請求記録!$B$6:$B$3005,$A200,請求記録!$Z$6:$Z$3005,T$5)=0,"",SUMIFS(請求記録!$AE$6:$AE$3005,請求記録!$B$6:$B$3005,$A200,請求記録!$Z$6:$Z$3005,T$5))))</f>
        <v/>
      </c>
      <c r="U200" s="19">
        <f>IF($A200="","",IF(COUNTIFS(請求記録!$B$6:$B$3005,$A200,請求記録!$Z$6:$Z$3005,U$5,請求記録!$AF$6:$AF$3005,"保留中")&gt;0,"保留",IF(COUNTIFS(請求記録!$B$6:$B$3005,$A200,請求記録!$Z$6:$Z$3005,U$5)=0,"",SUMIFS(請求記録!$AE$6:$AE$3005,請求記録!$B$6:$B$3005,$A200,請求記録!$Z$6:$Z$3005,U$5))))</f>
        <v/>
      </c>
      <c r="V200" s="19">
        <f>IF($A200="","",IF(COUNTIFS(請求記録!$B$6:$B$3005,$A200,請求記録!$Z$6:$Z$3005,V$5,請求記録!$AF$6:$AF$3005,"保留中")&gt;0,"保留",IF(COUNTIFS(請求記録!$B$6:$B$3005,$A200,請求記録!$Z$6:$Z$3005,V$5)=0,"",SUMIFS(請求記録!$AE$6:$AE$3005,請求記録!$B$6:$B$3005,$A200,請求記録!$Z$6:$Z$3005,V$5))))</f>
        <v/>
      </c>
      <c r="W200" s="19">
        <f>IF($A200="","",IF(COUNTIFS(請求記録!$B$6:$B$3005,$A200,請求記録!$Z$6:$Z$3005,W$5,請求記録!$AF$6:$AF$3005,"保留中")&gt;0,"保留",IF(COUNTIFS(請求記録!$B$6:$B$3005,$A200,請求記録!$Z$6:$Z$3005,W$5)=0,"",SUMIFS(請求記録!$AE$6:$AE$3005,請求記録!$B$6:$B$3005,$A200,請求記録!$Z$6:$Z$3005,W$5))))</f>
        <v/>
      </c>
      <c r="X200" s="19">
        <f>IF($A200="","",IF(COUNTIFS(請求記録!$B$6:$B$3005,$A200,請求記録!$Z$6:$Z$3005,X$5,請求記録!$AF$6:$AF$3005,"保留中")&gt;0,"保留",IF(COUNTIFS(請求記録!$B$6:$B$3005,$A200,請求記録!$Z$6:$Z$3005,X$5)=0,"",SUMIFS(請求記録!$AE$6:$AE$3005,請求記録!$B$6:$B$3005,$A200,請求記録!$Z$6:$Z$3005,X$5))))</f>
        <v/>
      </c>
      <c r="Y200" s="19">
        <f>IF($A200="","",IF(COUNTIFS(請求記録!$B$6:$B$3005,$A200,請求記録!$Z$6:$Z$3005,Y$5,請求記録!$AF$6:$AF$3005,"保留中")&gt;0,"保留",IF(COUNTIFS(請求記録!$B$6:$B$3005,$A200,請求記録!$Z$6:$Z$3005,Y$5)=0,"",SUMIFS(請求記録!$AE$6:$AE$3005,請求記録!$B$6:$B$3005,$A200,請求記録!$Z$6:$Z$3005,Y$5))))</f>
        <v/>
      </c>
      <c r="Z200" s="19">
        <f>IF($A200="","",IF(COUNTIFS(請求記録!$B$6:$B$3005,$A200,請求記録!$Z$6:$Z$3005,Z$5,請求記録!$AF$6:$AF$3005,"保留中")&gt;0,"保留",IF(COUNTIFS(請求記録!$B$6:$B$3005,$A200,請求記録!$Z$6:$Z$3005,Z$5)=0,"",SUMIFS(請求記録!$AE$6:$AE$3005,請求記録!$B$6:$B$3005,$A200,請求記録!$Z$6:$Z$3005,Z$5))))</f>
        <v/>
      </c>
      <c r="AA200" s="19">
        <f>IF($A200="","",IF(COUNTIFS(請求記録!$B$6:$B$3005,$A200,請求記録!$Z$6:$Z$3005,AA$5,請求記録!$AF$6:$AF$3005,"保留中")&gt;0,"保留",IF(COUNTIFS(請求記録!$B$6:$B$3005,$A200,請求記録!$Z$6:$Z$3005,AA$5)=0,"",SUMIFS(請求記録!$AE$6:$AE$3005,請求記録!$B$6:$B$3005,$A200,請求記録!$Z$6:$Z$3005,AA$5))))</f>
        <v/>
      </c>
      <c r="AB200">
        <f>IF(職員マスタ!P200="保留中",職員マスタ!M200,"")</f>
        <v/>
      </c>
    </row>
    <row r="201">
      <c r="A201">
        <f>IF(職員マスタ!A201="","",職員マスタ!A201)</f>
        <v/>
      </c>
      <c r="B201">
        <f>IF($A201="","",職員マスタ!B201)</f>
        <v/>
      </c>
      <c r="C201">
        <f>IF($A201="","",職員マスタ!C201)</f>
        <v/>
      </c>
      <c r="D201" s="19">
        <f>IF($A201="","",IF(COUNTIFS(請求記録!$B$6:$B$3005,$A201,請求記録!$Z$6:$Z$3005,D$5,請求記録!$AF$6:$AF$3005,"保留中")&gt;0,"保留",IF(COUNTIFS(請求記録!$B$6:$B$3005,$A201,請求記録!$Z$6:$Z$3005,D$5)=0,"",SUMIFS(請求記録!$AE$6:$AE$3005,請求記録!$B$6:$B$3005,$A201,請求記録!$Z$6:$Z$3005,D$5))))</f>
        <v/>
      </c>
      <c r="E201" s="19">
        <f>IF($A201="","",IF(COUNTIFS(請求記録!$B$6:$B$3005,$A201,請求記録!$Z$6:$Z$3005,E$5,請求記録!$AF$6:$AF$3005,"保留中")&gt;0,"保留",IF(COUNTIFS(請求記録!$B$6:$B$3005,$A201,請求記録!$Z$6:$Z$3005,E$5)=0,"",SUMIFS(請求記録!$AE$6:$AE$3005,請求記録!$B$6:$B$3005,$A201,請求記録!$Z$6:$Z$3005,E$5))))</f>
        <v/>
      </c>
      <c r="F201" s="19">
        <f>IF($A201="","",IF(COUNTIFS(請求記録!$B$6:$B$3005,$A201,請求記録!$Z$6:$Z$3005,F$5,請求記録!$AF$6:$AF$3005,"保留中")&gt;0,"保留",IF(COUNTIFS(請求記録!$B$6:$B$3005,$A201,請求記録!$Z$6:$Z$3005,F$5)=0,"",SUMIFS(請求記録!$AE$6:$AE$3005,請求記録!$B$6:$B$3005,$A201,請求記録!$Z$6:$Z$3005,F$5))))</f>
        <v/>
      </c>
      <c r="G201" s="19">
        <f>IF($A201="","",IF(COUNTIFS(請求記録!$B$6:$B$3005,$A201,請求記録!$Z$6:$Z$3005,G$5,請求記録!$AF$6:$AF$3005,"保留中")&gt;0,"保留",IF(COUNTIFS(請求記録!$B$6:$B$3005,$A201,請求記録!$Z$6:$Z$3005,G$5)=0,"",SUMIFS(請求記録!$AE$6:$AE$3005,請求記録!$B$6:$B$3005,$A201,請求記録!$Z$6:$Z$3005,G$5))))</f>
        <v/>
      </c>
      <c r="H201" s="19">
        <f>IF($A201="","",IF(COUNTIFS(請求記録!$B$6:$B$3005,$A201,請求記録!$Z$6:$Z$3005,H$5,請求記録!$AF$6:$AF$3005,"保留中")&gt;0,"保留",IF(COUNTIFS(請求記録!$B$6:$B$3005,$A201,請求記録!$Z$6:$Z$3005,H$5)=0,"",SUMIFS(請求記録!$AE$6:$AE$3005,請求記録!$B$6:$B$3005,$A201,請求記録!$Z$6:$Z$3005,H$5))))</f>
        <v/>
      </c>
      <c r="I201" s="19">
        <f>IF($A201="","",IF(COUNTIFS(請求記録!$B$6:$B$3005,$A201,請求記録!$Z$6:$Z$3005,I$5,請求記録!$AF$6:$AF$3005,"保留中")&gt;0,"保留",IF(COUNTIFS(請求記録!$B$6:$B$3005,$A201,請求記録!$Z$6:$Z$3005,I$5)=0,"",SUMIFS(請求記録!$AE$6:$AE$3005,請求記録!$B$6:$B$3005,$A201,請求記録!$Z$6:$Z$3005,I$5))))</f>
        <v/>
      </c>
      <c r="J201" s="19">
        <f>IF($A201="","",IF(COUNTIFS(請求記録!$B$6:$B$3005,$A201,請求記録!$Z$6:$Z$3005,J$5,請求記録!$AF$6:$AF$3005,"保留中")&gt;0,"保留",IF(COUNTIFS(請求記録!$B$6:$B$3005,$A201,請求記録!$Z$6:$Z$3005,J$5)=0,"",SUMIFS(請求記録!$AE$6:$AE$3005,請求記録!$B$6:$B$3005,$A201,請求記録!$Z$6:$Z$3005,J$5))))</f>
        <v/>
      </c>
      <c r="K201" s="19">
        <f>IF($A201="","",IF(COUNTIFS(請求記録!$B$6:$B$3005,$A201,請求記録!$Z$6:$Z$3005,K$5,請求記録!$AF$6:$AF$3005,"保留中")&gt;0,"保留",IF(COUNTIFS(請求記録!$B$6:$B$3005,$A201,請求記録!$Z$6:$Z$3005,K$5)=0,"",SUMIFS(請求記録!$AE$6:$AE$3005,請求記録!$B$6:$B$3005,$A201,請求記録!$Z$6:$Z$3005,K$5))))</f>
        <v/>
      </c>
      <c r="L201" s="19">
        <f>IF($A201="","",IF(COUNTIFS(請求記録!$B$6:$B$3005,$A201,請求記録!$Z$6:$Z$3005,L$5,請求記録!$AF$6:$AF$3005,"保留中")&gt;0,"保留",IF(COUNTIFS(請求記録!$B$6:$B$3005,$A201,請求記録!$Z$6:$Z$3005,L$5)=0,"",SUMIFS(請求記録!$AE$6:$AE$3005,請求記録!$B$6:$B$3005,$A201,請求記録!$Z$6:$Z$3005,L$5))))</f>
        <v/>
      </c>
      <c r="M201" s="19">
        <f>IF($A201="","",IF(COUNTIFS(請求記録!$B$6:$B$3005,$A201,請求記録!$Z$6:$Z$3005,M$5,請求記録!$AF$6:$AF$3005,"保留中")&gt;0,"保留",IF(COUNTIFS(請求記録!$B$6:$B$3005,$A201,請求記録!$Z$6:$Z$3005,M$5)=0,"",SUMIFS(請求記録!$AE$6:$AE$3005,請求記録!$B$6:$B$3005,$A201,請求記録!$Z$6:$Z$3005,M$5))))</f>
        <v/>
      </c>
      <c r="N201" s="19">
        <f>IF($A201="","",IF(COUNTIFS(請求記録!$B$6:$B$3005,$A201,請求記録!$Z$6:$Z$3005,N$5,請求記録!$AF$6:$AF$3005,"保留中")&gt;0,"保留",IF(COUNTIFS(請求記録!$B$6:$B$3005,$A201,請求記録!$Z$6:$Z$3005,N$5)=0,"",SUMIFS(請求記録!$AE$6:$AE$3005,請求記録!$B$6:$B$3005,$A201,請求記録!$Z$6:$Z$3005,N$5))))</f>
        <v/>
      </c>
      <c r="O201" s="19">
        <f>IF($A201="","",IF(COUNTIFS(請求記録!$B$6:$B$3005,$A201,請求記録!$Z$6:$Z$3005,O$5,請求記録!$AF$6:$AF$3005,"保留中")&gt;0,"保留",IF(COUNTIFS(請求記録!$B$6:$B$3005,$A201,請求記録!$Z$6:$Z$3005,O$5)=0,"",SUMIFS(請求記録!$AE$6:$AE$3005,請求記録!$B$6:$B$3005,$A201,請求記録!$Z$6:$Z$3005,O$5))))</f>
        <v/>
      </c>
      <c r="P201" s="19">
        <f>IF($A201="","",IF(COUNTIFS(請求記録!$B$6:$B$3005,$A201,請求記録!$Z$6:$Z$3005,P$5,請求記録!$AF$6:$AF$3005,"保留中")&gt;0,"保留",IF(COUNTIFS(請求記録!$B$6:$B$3005,$A201,請求記録!$Z$6:$Z$3005,P$5)=0,"",SUMIFS(請求記録!$AE$6:$AE$3005,請求記録!$B$6:$B$3005,$A201,請求記録!$Z$6:$Z$3005,P$5))))</f>
        <v/>
      </c>
      <c r="Q201" s="19">
        <f>IF($A201="","",IF(COUNTIFS(請求記録!$B$6:$B$3005,$A201,請求記録!$Z$6:$Z$3005,Q$5,請求記録!$AF$6:$AF$3005,"保留中")&gt;0,"保留",IF(COUNTIFS(請求記録!$B$6:$B$3005,$A201,請求記録!$Z$6:$Z$3005,Q$5)=0,"",SUMIFS(請求記録!$AE$6:$AE$3005,請求記録!$B$6:$B$3005,$A201,請求記録!$Z$6:$Z$3005,Q$5))))</f>
        <v/>
      </c>
      <c r="R201" s="19">
        <f>IF($A201="","",IF(COUNTIFS(請求記録!$B$6:$B$3005,$A201,請求記録!$Z$6:$Z$3005,R$5,請求記録!$AF$6:$AF$3005,"保留中")&gt;0,"保留",IF(COUNTIFS(請求記録!$B$6:$B$3005,$A201,請求記録!$Z$6:$Z$3005,R$5)=0,"",SUMIFS(請求記録!$AE$6:$AE$3005,請求記録!$B$6:$B$3005,$A201,請求記録!$Z$6:$Z$3005,R$5))))</f>
        <v/>
      </c>
      <c r="S201" s="19">
        <f>IF($A201="","",IF(COUNTIFS(請求記録!$B$6:$B$3005,$A201,請求記録!$Z$6:$Z$3005,S$5,請求記録!$AF$6:$AF$3005,"保留中")&gt;0,"保留",IF(COUNTIFS(請求記録!$B$6:$B$3005,$A201,請求記録!$Z$6:$Z$3005,S$5)=0,"",SUMIFS(請求記録!$AE$6:$AE$3005,請求記録!$B$6:$B$3005,$A201,請求記録!$Z$6:$Z$3005,S$5))))</f>
        <v/>
      </c>
      <c r="T201" s="19">
        <f>IF($A201="","",IF(COUNTIFS(請求記録!$B$6:$B$3005,$A201,請求記録!$Z$6:$Z$3005,T$5,請求記録!$AF$6:$AF$3005,"保留中")&gt;0,"保留",IF(COUNTIFS(請求記録!$B$6:$B$3005,$A201,請求記録!$Z$6:$Z$3005,T$5)=0,"",SUMIFS(請求記録!$AE$6:$AE$3005,請求記録!$B$6:$B$3005,$A201,請求記録!$Z$6:$Z$3005,T$5))))</f>
        <v/>
      </c>
      <c r="U201" s="19">
        <f>IF($A201="","",IF(COUNTIFS(請求記録!$B$6:$B$3005,$A201,請求記録!$Z$6:$Z$3005,U$5,請求記録!$AF$6:$AF$3005,"保留中")&gt;0,"保留",IF(COUNTIFS(請求記録!$B$6:$B$3005,$A201,請求記録!$Z$6:$Z$3005,U$5)=0,"",SUMIFS(請求記録!$AE$6:$AE$3005,請求記録!$B$6:$B$3005,$A201,請求記録!$Z$6:$Z$3005,U$5))))</f>
        <v/>
      </c>
      <c r="V201" s="19">
        <f>IF($A201="","",IF(COUNTIFS(請求記録!$B$6:$B$3005,$A201,請求記録!$Z$6:$Z$3005,V$5,請求記録!$AF$6:$AF$3005,"保留中")&gt;0,"保留",IF(COUNTIFS(請求記録!$B$6:$B$3005,$A201,請求記録!$Z$6:$Z$3005,V$5)=0,"",SUMIFS(請求記録!$AE$6:$AE$3005,請求記録!$B$6:$B$3005,$A201,請求記録!$Z$6:$Z$3005,V$5))))</f>
        <v/>
      </c>
      <c r="W201" s="19">
        <f>IF($A201="","",IF(COUNTIFS(請求記録!$B$6:$B$3005,$A201,請求記録!$Z$6:$Z$3005,W$5,請求記録!$AF$6:$AF$3005,"保留中")&gt;0,"保留",IF(COUNTIFS(請求記録!$B$6:$B$3005,$A201,請求記録!$Z$6:$Z$3005,W$5)=0,"",SUMIFS(請求記録!$AE$6:$AE$3005,請求記録!$B$6:$B$3005,$A201,請求記録!$Z$6:$Z$3005,W$5))))</f>
        <v/>
      </c>
      <c r="X201" s="19">
        <f>IF($A201="","",IF(COUNTIFS(請求記録!$B$6:$B$3005,$A201,請求記録!$Z$6:$Z$3005,X$5,請求記録!$AF$6:$AF$3005,"保留中")&gt;0,"保留",IF(COUNTIFS(請求記録!$B$6:$B$3005,$A201,請求記録!$Z$6:$Z$3005,X$5)=0,"",SUMIFS(請求記録!$AE$6:$AE$3005,請求記録!$B$6:$B$3005,$A201,請求記録!$Z$6:$Z$3005,X$5))))</f>
        <v/>
      </c>
      <c r="Y201" s="19">
        <f>IF($A201="","",IF(COUNTIFS(請求記録!$B$6:$B$3005,$A201,請求記録!$Z$6:$Z$3005,Y$5,請求記録!$AF$6:$AF$3005,"保留中")&gt;0,"保留",IF(COUNTIFS(請求記録!$B$6:$B$3005,$A201,請求記録!$Z$6:$Z$3005,Y$5)=0,"",SUMIFS(請求記録!$AE$6:$AE$3005,請求記録!$B$6:$B$3005,$A201,請求記録!$Z$6:$Z$3005,Y$5))))</f>
        <v/>
      </c>
      <c r="Z201" s="19">
        <f>IF($A201="","",IF(COUNTIFS(請求記録!$B$6:$B$3005,$A201,請求記録!$Z$6:$Z$3005,Z$5,請求記録!$AF$6:$AF$3005,"保留中")&gt;0,"保留",IF(COUNTIFS(請求記録!$B$6:$B$3005,$A201,請求記録!$Z$6:$Z$3005,Z$5)=0,"",SUMIFS(請求記録!$AE$6:$AE$3005,請求記録!$B$6:$B$3005,$A201,請求記録!$Z$6:$Z$3005,Z$5))))</f>
        <v/>
      </c>
      <c r="AA201" s="19">
        <f>IF($A201="","",IF(COUNTIFS(請求記録!$B$6:$B$3005,$A201,請求記録!$Z$6:$Z$3005,AA$5,請求記録!$AF$6:$AF$3005,"保留中")&gt;0,"保留",IF(COUNTIFS(請求記録!$B$6:$B$3005,$A201,請求記録!$Z$6:$Z$3005,AA$5)=0,"",SUMIFS(請求記録!$AE$6:$AE$3005,請求記録!$B$6:$B$3005,$A201,請求記録!$Z$6:$Z$3005,AA$5))))</f>
        <v/>
      </c>
      <c r="AB201">
        <f>IF(職員マスタ!P201="保留中",職員マスタ!M201,"")</f>
        <v/>
      </c>
    </row>
    <row r="202">
      <c r="A202">
        <f>IF(職員マスタ!A202="","",職員マスタ!A202)</f>
        <v/>
      </c>
      <c r="B202">
        <f>IF($A202="","",職員マスタ!B202)</f>
        <v/>
      </c>
      <c r="C202">
        <f>IF($A202="","",職員マスタ!C202)</f>
        <v/>
      </c>
      <c r="D202" s="19">
        <f>IF($A202="","",IF(COUNTIFS(請求記録!$B$6:$B$3005,$A202,請求記録!$Z$6:$Z$3005,D$5,請求記録!$AF$6:$AF$3005,"保留中")&gt;0,"保留",IF(COUNTIFS(請求記録!$B$6:$B$3005,$A202,請求記録!$Z$6:$Z$3005,D$5)=0,"",SUMIFS(請求記録!$AE$6:$AE$3005,請求記録!$B$6:$B$3005,$A202,請求記録!$Z$6:$Z$3005,D$5))))</f>
        <v/>
      </c>
      <c r="E202" s="19">
        <f>IF($A202="","",IF(COUNTIFS(請求記録!$B$6:$B$3005,$A202,請求記録!$Z$6:$Z$3005,E$5,請求記録!$AF$6:$AF$3005,"保留中")&gt;0,"保留",IF(COUNTIFS(請求記録!$B$6:$B$3005,$A202,請求記録!$Z$6:$Z$3005,E$5)=0,"",SUMIFS(請求記録!$AE$6:$AE$3005,請求記録!$B$6:$B$3005,$A202,請求記録!$Z$6:$Z$3005,E$5))))</f>
        <v/>
      </c>
      <c r="F202" s="19">
        <f>IF($A202="","",IF(COUNTIFS(請求記録!$B$6:$B$3005,$A202,請求記録!$Z$6:$Z$3005,F$5,請求記録!$AF$6:$AF$3005,"保留中")&gt;0,"保留",IF(COUNTIFS(請求記録!$B$6:$B$3005,$A202,請求記録!$Z$6:$Z$3005,F$5)=0,"",SUMIFS(請求記録!$AE$6:$AE$3005,請求記録!$B$6:$B$3005,$A202,請求記録!$Z$6:$Z$3005,F$5))))</f>
        <v/>
      </c>
      <c r="G202" s="19">
        <f>IF($A202="","",IF(COUNTIFS(請求記録!$B$6:$B$3005,$A202,請求記録!$Z$6:$Z$3005,G$5,請求記録!$AF$6:$AF$3005,"保留中")&gt;0,"保留",IF(COUNTIFS(請求記録!$B$6:$B$3005,$A202,請求記録!$Z$6:$Z$3005,G$5)=0,"",SUMIFS(請求記録!$AE$6:$AE$3005,請求記録!$B$6:$B$3005,$A202,請求記録!$Z$6:$Z$3005,G$5))))</f>
        <v/>
      </c>
      <c r="H202" s="19">
        <f>IF($A202="","",IF(COUNTIFS(請求記録!$B$6:$B$3005,$A202,請求記録!$Z$6:$Z$3005,H$5,請求記録!$AF$6:$AF$3005,"保留中")&gt;0,"保留",IF(COUNTIFS(請求記録!$B$6:$B$3005,$A202,請求記録!$Z$6:$Z$3005,H$5)=0,"",SUMIFS(請求記録!$AE$6:$AE$3005,請求記録!$B$6:$B$3005,$A202,請求記録!$Z$6:$Z$3005,H$5))))</f>
        <v/>
      </c>
      <c r="I202" s="19">
        <f>IF($A202="","",IF(COUNTIFS(請求記録!$B$6:$B$3005,$A202,請求記録!$Z$6:$Z$3005,I$5,請求記録!$AF$6:$AF$3005,"保留中")&gt;0,"保留",IF(COUNTIFS(請求記録!$B$6:$B$3005,$A202,請求記録!$Z$6:$Z$3005,I$5)=0,"",SUMIFS(請求記録!$AE$6:$AE$3005,請求記録!$B$6:$B$3005,$A202,請求記録!$Z$6:$Z$3005,I$5))))</f>
        <v/>
      </c>
      <c r="J202" s="19">
        <f>IF($A202="","",IF(COUNTIFS(請求記録!$B$6:$B$3005,$A202,請求記録!$Z$6:$Z$3005,J$5,請求記録!$AF$6:$AF$3005,"保留中")&gt;0,"保留",IF(COUNTIFS(請求記録!$B$6:$B$3005,$A202,請求記録!$Z$6:$Z$3005,J$5)=0,"",SUMIFS(請求記録!$AE$6:$AE$3005,請求記録!$B$6:$B$3005,$A202,請求記録!$Z$6:$Z$3005,J$5))))</f>
        <v/>
      </c>
      <c r="K202" s="19">
        <f>IF($A202="","",IF(COUNTIFS(請求記録!$B$6:$B$3005,$A202,請求記録!$Z$6:$Z$3005,K$5,請求記録!$AF$6:$AF$3005,"保留中")&gt;0,"保留",IF(COUNTIFS(請求記録!$B$6:$B$3005,$A202,請求記録!$Z$6:$Z$3005,K$5)=0,"",SUMIFS(請求記録!$AE$6:$AE$3005,請求記録!$B$6:$B$3005,$A202,請求記録!$Z$6:$Z$3005,K$5))))</f>
        <v/>
      </c>
      <c r="L202" s="19">
        <f>IF($A202="","",IF(COUNTIFS(請求記録!$B$6:$B$3005,$A202,請求記録!$Z$6:$Z$3005,L$5,請求記録!$AF$6:$AF$3005,"保留中")&gt;0,"保留",IF(COUNTIFS(請求記録!$B$6:$B$3005,$A202,請求記録!$Z$6:$Z$3005,L$5)=0,"",SUMIFS(請求記録!$AE$6:$AE$3005,請求記録!$B$6:$B$3005,$A202,請求記録!$Z$6:$Z$3005,L$5))))</f>
        <v/>
      </c>
      <c r="M202" s="19">
        <f>IF($A202="","",IF(COUNTIFS(請求記録!$B$6:$B$3005,$A202,請求記録!$Z$6:$Z$3005,M$5,請求記録!$AF$6:$AF$3005,"保留中")&gt;0,"保留",IF(COUNTIFS(請求記録!$B$6:$B$3005,$A202,請求記録!$Z$6:$Z$3005,M$5)=0,"",SUMIFS(請求記録!$AE$6:$AE$3005,請求記録!$B$6:$B$3005,$A202,請求記録!$Z$6:$Z$3005,M$5))))</f>
        <v/>
      </c>
      <c r="N202" s="19">
        <f>IF($A202="","",IF(COUNTIFS(請求記録!$B$6:$B$3005,$A202,請求記録!$Z$6:$Z$3005,N$5,請求記録!$AF$6:$AF$3005,"保留中")&gt;0,"保留",IF(COUNTIFS(請求記録!$B$6:$B$3005,$A202,請求記録!$Z$6:$Z$3005,N$5)=0,"",SUMIFS(請求記録!$AE$6:$AE$3005,請求記録!$B$6:$B$3005,$A202,請求記録!$Z$6:$Z$3005,N$5))))</f>
        <v/>
      </c>
      <c r="O202" s="19">
        <f>IF($A202="","",IF(COUNTIFS(請求記録!$B$6:$B$3005,$A202,請求記録!$Z$6:$Z$3005,O$5,請求記録!$AF$6:$AF$3005,"保留中")&gt;0,"保留",IF(COUNTIFS(請求記録!$B$6:$B$3005,$A202,請求記録!$Z$6:$Z$3005,O$5)=0,"",SUMIFS(請求記録!$AE$6:$AE$3005,請求記録!$B$6:$B$3005,$A202,請求記録!$Z$6:$Z$3005,O$5))))</f>
        <v/>
      </c>
      <c r="P202" s="19">
        <f>IF($A202="","",IF(COUNTIFS(請求記録!$B$6:$B$3005,$A202,請求記録!$Z$6:$Z$3005,P$5,請求記録!$AF$6:$AF$3005,"保留中")&gt;0,"保留",IF(COUNTIFS(請求記録!$B$6:$B$3005,$A202,請求記録!$Z$6:$Z$3005,P$5)=0,"",SUMIFS(請求記録!$AE$6:$AE$3005,請求記録!$B$6:$B$3005,$A202,請求記録!$Z$6:$Z$3005,P$5))))</f>
        <v/>
      </c>
      <c r="Q202" s="19">
        <f>IF($A202="","",IF(COUNTIFS(請求記録!$B$6:$B$3005,$A202,請求記録!$Z$6:$Z$3005,Q$5,請求記録!$AF$6:$AF$3005,"保留中")&gt;0,"保留",IF(COUNTIFS(請求記録!$B$6:$B$3005,$A202,請求記録!$Z$6:$Z$3005,Q$5)=0,"",SUMIFS(請求記録!$AE$6:$AE$3005,請求記録!$B$6:$B$3005,$A202,請求記録!$Z$6:$Z$3005,Q$5))))</f>
        <v/>
      </c>
      <c r="R202" s="19">
        <f>IF($A202="","",IF(COUNTIFS(請求記録!$B$6:$B$3005,$A202,請求記録!$Z$6:$Z$3005,R$5,請求記録!$AF$6:$AF$3005,"保留中")&gt;0,"保留",IF(COUNTIFS(請求記録!$B$6:$B$3005,$A202,請求記録!$Z$6:$Z$3005,R$5)=0,"",SUMIFS(請求記録!$AE$6:$AE$3005,請求記録!$B$6:$B$3005,$A202,請求記録!$Z$6:$Z$3005,R$5))))</f>
        <v/>
      </c>
      <c r="S202" s="19">
        <f>IF($A202="","",IF(COUNTIFS(請求記録!$B$6:$B$3005,$A202,請求記録!$Z$6:$Z$3005,S$5,請求記録!$AF$6:$AF$3005,"保留中")&gt;0,"保留",IF(COUNTIFS(請求記録!$B$6:$B$3005,$A202,請求記録!$Z$6:$Z$3005,S$5)=0,"",SUMIFS(請求記録!$AE$6:$AE$3005,請求記録!$B$6:$B$3005,$A202,請求記録!$Z$6:$Z$3005,S$5))))</f>
        <v/>
      </c>
      <c r="T202" s="19">
        <f>IF($A202="","",IF(COUNTIFS(請求記録!$B$6:$B$3005,$A202,請求記録!$Z$6:$Z$3005,T$5,請求記録!$AF$6:$AF$3005,"保留中")&gt;0,"保留",IF(COUNTIFS(請求記録!$B$6:$B$3005,$A202,請求記録!$Z$6:$Z$3005,T$5)=0,"",SUMIFS(請求記録!$AE$6:$AE$3005,請求記録!$B$6:$B$3005,$A202,請求記録!$Z$6:$Z$3005,T$5))))</f>
        <v/>
      </c>
      <c r="U202" s="19">
        <f>IF($A202="","",IF(COUNTIFS(請求記録!$B$6:$B$3005,$A202,請求記録!$Z$6:$Z$3005,U$5,請求記録!$AF$6:$AF$3005,"保留中")&gt;0,"保留",IF(COUNTIFS(請求記録!$B$6:$B$3005,$A202,請求記録!$Z$6:$Z$3005,U$5)=0,"",SUMIFS(請求記録!$AE$6:$AE$3005,請求記録!$B$6:$B$3005,$A202,請求記録!$Z$6:$Z$3005,U$5))))</f>
        <v/>
      </c>
      <c r="V202" s="19">
        <f>IF($A202="","",IF(COUNTIFS(請求記録!$B$6:$B$3005,$A202,請求記録!$Z$6:$Z$3005,V$5,請求記録!$AF$6:$AF$3005,"保留中")&gt;0,"保留",IF(COUNTIFS(請求記録!$B$6:$B$3005,$A202,請求記録!$Z$6:$Z$3005,V$5)=0,"",SUMIFS(請求記録!$AE$6:$AE$3005,請求記録!$B$6:$B$3005,$A202,請求記録!$Z$6:$Z$3005,V$5))))</f>
        <v/>
      </c>
      <c r="W202" s="19">
        <f>IF($A202="","",IF(COUNTIFS(請求記録!$B$6:$B$3005,$A202,請求記録!$Z$6:$Z$3005,W$5,請求記録!$AF$6:$AF$3005,"保留中")&gt;0,"保留",IF(COUNTIFS(請求記録!$B$6:$B$3005,$A202,請求記録!$Z$6:$Z$3005,W$5)=0,"",SUMIFS(請求記録!$AE$6:$AE$3005,請求記録!$B$6:$B$3005,$A202,請求記録!$Z$6:$Z$3005,W$5))))</f>
        <v/>
      </c>
      <c r="X202" s="19">
        <f>IF($A202="","",IF(COUNTIFS(請求記録!$B$6:$B$3005,$A202,請求記録!$Z$6:$Z$3005,X$5,請求記録!$AF$6:$AF$3005,"保留中")&gt;0,"保留",IF(COUNTIFS(請求記録!$B$6:$B$3005,$A202,請求記録!$Z$6:$Z$3005,X$5)=0,"",SUMIFS(請求記録!$AE$6:$AE$3005,請求記録!$B$6:$B$3005,$A202,請求記録!$Z$6:$Z$3005,X$5))))</f>
        <v/>
      </c>
      <c r="Y202" s="19">
        <f>IF($A202="","",IF(COUNTIFS(請求記録!$B$6:$B$3005,$A202,請求記録!$Z$6:$Z$3005,Y$5,請求記録!$AF$6:$AF$3005,"保留中")&gt;0,"保留",IF(COUNTIFS(請求記録!$B$6:$B$3005,$A202,請求記録!$Z$6:$Z$3005,Y$5)=0,"",SUMIFS(請求記録!$AE$6:$AE$3005,請求記録!$B$6:$B$3005,$A202,請求記録!$Z$6:$Z$3005,Y$5))))</f>
        <v/>
      </c>
      <c r="Z202" s="19">
        <f>IF($A202="","",IF(COUNTIFS(請求記録!$B$6:$B$3005,$A202,請求記録!$Z$6:$Z$3005,Z$5,請求記録!$AF$6:$AF$3005,"保留中")&gt;0,"保留",IF(COUNTIFS(請求記録!$B$6:$B$3005,$A202,請求記録!$Z$6:$Z$3005,Z$5)=0,"",SUMIFS(請求記録!$AE$6:$AE$3005,請求記録!$B$6:$B$3005,$A202,請求記録!$Z$6:$Z$3005,Z$5))))</f>
        <v/>
      </c>
      <c r="AA202" s="19">
        <f>IF($A202="","",IF(COUNTIFS(請求記録!$B$6:$B$3005,$A202,請求記録!$Z$6:$Z$3005,AA$5,請求記録!$AF$6:$AF$3005,"保留中")&gt;0,"保留",IF(COUNTIFS(請求記録!$B$6:$B$3005,$A202,請求記録!$Z$6:$Z$3005,AA$5)=0,"",SUMIFS(請求記録!$AE$6:$AE$3005,請求記録!$B$6:$B$3005,$A202,請求記録!$Z$6:$Z$3005,AA$5))))</f>
        <v/>
      </c>
      <c r="AB202">
        <f>IF(職員マスタ!P202="保留中",職員マスタ!M202,"")</f>
        <v/>
      </c>
    </row>
    <row r="203">
      <c r="A203">
        <f>IF(職員マスタ!A203="","",職員マスタ!A203)</f>
        <v/>
      </c>
      <c r="B203">
        <f>IF($A203="","",職員マスタ!B203)</f>
        <v/>
      </c>
      <c r="C203">
        <f>IF($A203="","",職員マスタ!C203)</f>
        <v/>
      </c>
      <c r="D203" s="19">
        <f>IF($A203="","",IF(COUNTIFS(請求記録!$B$6:$B$3005,$A203,請求記録!$Z$6:$Z$3005,D$5,請求記録!$AF$6:$AF$3005,"保留中")&gt;0,"保留",IF(COUNTIFS(請求記録!$B$6:$B$3005,$A203,請求記録!$Z$6:$Z$3005,D$5)=0,"",SUMIFS(請求記録!$AE$6:$AE$3005,請求記録!$B$6:$B$3005,$A203,請求記録!$Z$6:$Z$3005,D$5))))</f>
        <v/>
      </c>
      <c r="E203" s="19">
        <f>IF($A203="","",IF(COUNTIFS(請求記録!$B$6:$B$3005,$A203,請求記録!$Z$6:$Z$3005,E$5,請求記録!$AF$6:$AF$3005,"保留中")&gt;0,"保留",IF(COUNTIFS(請求記録!$B$6:$B$3005,$A203,請求記録!$Z$6:$Z$3005,E$5)=0,"",SUMIFS(請求記録!$AE$6:$AE$3005,請求記録!$B$6:$B$3005,$A203,請求記録!$Z$6:$Z$3005,E$5))))</f>
        <v/>
      </c>
      <c r="F203" s="19">
        <f>IF($A203="","",IF(COUNTIFS(請求記録!$B$6:$B$3005,$A203,請求記録!$Z$6:$Z$3005,F$5,請求記録!$AF$6:$AF$3005,"保留中")&gt;0,"保留",IF(COUNTIFS(請求記録!$B$6:$B$3005,$A203,請求記録!$Z$6:$Z$3005,F$5)=0,"",SUMIFS(請求記録!$AE$6:$AE$3005,請求記録!$B$6:$B$3005,$A203,請求記録!$Z$6:$Z$3005,F$5))))</f>
        <v/>
      </c>
      <c r="G203" s="19">
        <f>IF($A203="","",IF(COUNTIFS(請求記録!$B$6:$B$3005,$A203,請求記録!$Z$6:$Z$3005,G$5,請求記録!$AF$6:$AF$3005,"保留中")&gt;0,"保留",IF(COUNTIFS(請求記録!$B$6:$B$3005,$A203,請求記録!$Z$6:$Z$3005,G$5)=0,"",SUMIFS(請求記録!$AE$6:$AE$3005,請求記録!$B$6:$B$3005,$A203,請求記録!$Z$6:$Z$3005,G$5))))</f>
        <v/>
      </c>
      <c r="H203" s="19">
        <f>IF($A203="","",IF(COUNTIFS(請求記録!$B$6:$B$3005,$A203,請求記録!$Z$6:$Z$3005,H$5,請求記録!$AF$6:$AF$3005,"保留中")&gt;0,"保留",IF(COUNTIFS(請求記録!$B$6:$B$3005,$A203,請求記録!$Z$6:$Z$3005,H$5)=0,"",SUMIFS(請求記録!$AE$6:$AE$3005,請求記録!$B$6:$B$3005,$A203,請求記録!$Z$6:$Z$3005,H$5))))</f>
        <v/>
      </c>
      <c r="I203" s="19">
        <f>IF($A203="","",IF(COUNTIFS(請求記録!$B$6:$B$3005,$A203,請求記録!$Z$6:$Z$3005,I$5,請求記録!$AF$6:$AF$3005,"保留中")&gt;0,"保留",IF(COUNTIFS(請求記録!$B$6:$B$3005,$A203,請求記録!$Z$6:$Z$3005,I$5)=0,"",SUMIFS(請求記録!$AE$6:$AE$3005,請求記録!$B$6:$B$3005,$A203,請求記録!$Z$6:$Z$3005,I$5))))</f>
        <v/>
      </c>
      <c r="J203" s="19">
        <f>IF($A203="","",IF(COUNTIFS(請求記録!$B$6:$B$3005,$A203,請求記録!$Z$6:$Z$3005,J$5,請求記録!$AF$6:$AF$3005,"保留中")&gt;0,"保留",IF(COUNTIFS(請求記録!$B$6:$B$3005,$A203,請求記録!$Z$6:$Z$3005,J$5)=0,"",SUMIFS(請求記録!$AE$6:$AE$3005,請求記録!$B$6:$B$3005,$A203,請求記録!$Z$6:$Z$3005,J$5))))</f>
        <v/>
      </c>
      <c r="K203" s="19">
        <f>IF($A203="","",IF(COUNTIFS(請求記録!$B$6:$B$3005,$A203,請求記録!$Z$6:$Z$3005,K$5,請求記録!$AF$6:$AF$3005,"保留中")&gt;0,"保留",IF(COUNTIFS(請求記録!$B$6:$B$3005,$A203,請求記録!$Z$6:$Z$3005,K$5)=0,"",SUMIFS(請求記録!$AE$6:$AE$3005,請求記録!$B$6:$B$3005,$A203,請求記録!$Z$6:$Z$3005,K$5))))</f>
        <v/>
      </c>
      <c r="L203" s="19">
        <f>IF($A203="","",IF(COUNTIFS(請求記録!$B$6:$B$3005,$A203,請求記録!$Z$6:$Z$3005,L$5,請求記録!$AF$6:$AF$3005,"保留中")&gt;0,"保留",IF(COUNTIFS(請求記録!$B$6:$B$3005,$A203,請求記録!$Z$6:$Z$3005,L$5)=0,"",SUMIFS(請求記録!$AE$6:$AE$3005,請求記録!$B$6:$B$3005,$A203,請求記録!$Z$6:$Z$3005,L$5))))</f>
        <v/>
      </c>
      <c r="M203" s="19">
        <f>IF($A203="","",IF(COUNTIFS(請求記録!$B$6:$B$3005,$A203,請求記録!$Z$6:$Z$3005,M$5,請求記録!$AF$6:$AF$3005,"保留中")&gt;0,"保留",IF(COUNTIFS(請求記録!$B$6:$B$3005,$A203,請求記録!$Z$6:$Z$3005,M$5)=0,"",SUMIFS(請求記録!$AE$6:$AE$3005,請求記録!$B$6:$B$3005,$A203,請求記録!$Z$6:$Z$3005,M$5))))</f>
        <v/>
      </c>
      <c r="N203" s="19">
        <f>IF($A203="","",IF(COUNTIFS(請求記録!$B$6:$B$3005,$A203,請求記録!$Z$6:$Z$3005,N$5,請求記録!$AF$6:$AF$3005,"保留中")&gt;0,"保留",IF(COUNTIFS(請求記録!$B$6:$B$3005,$A203,請求記録!$Z$6:$Z$3005,N$5)=0,"",SUMIFS(請求記録!$AE$6:$AE$3005,請求記録!$B$6:$B$3005,$A203,請求記録!$Z$6:$Z$3005,N$5))))</f>
        <v/>
      </c>
      <c r="O203" s="19">
        <f>IF($A203="","",IF(COUNTIFS(請求記録!$B$6:$B$3005,$A203,請求記録!$Z$6:$Z$3005,O$5,請求記録!$AF$6:$AF$3005,"保留中")&gt;0,"保留",IF(COUNTIFS(請求記録!$B$6:$B$3005,$A203,請求記録!$Z$6:$Z$3005,O$5)=0,"",SUMIFS(請求記録!$AE$6:$AE$3005,請求記録!$B$6:$B$3005,$A203,請求記録!$Z$6:$Z$3005,O$5))))</f>
        <v/>
      </c>
      <c r="P203" s="19">
        <f>IF($A203="","",IF(COUNTIFS(請求記録!$B$6:$B$3005,$A203,請求記録!$Z$6:$Z$3005,P$5,請求記録!$AF$6:$AF$3005,"保留中")&gt;0,"保留",IF(COUNTIFS(請求記録!$B$6:$B$3005,$A203,請求記録!$Z$6:$Z$3005,P$5)=0,"",SUMIFS(請求記録!$AE$6:$AE$3005,請求記録!$B$6:$B$3005,$A203,請求記録!$Z$6:$Z$3005,P$5))))</f>
        <v/>
      </c>
      <c r="Q203" s="19">
        <f>IF($A203="","",IF(COUNTIFS(請求記録!$B$6:$B$3005,$A203,請求記録!$Z$6:$Z$3005,Q$5,請求記録!$AF$6:$AF$3005,"保留中")&gt;0,"保留",IF(COUNTIFS(請求記録!$B$6:$B$3005,$A203,請求記録!$Z$6:$Z$3005,Q$5)=0,"",SUMIFS(請求記録!$AE$6:$AE$3005,請求記録!$B$6:$B$3005,$A203,請求記録!$Z$6:$Z$3005,Q$5))))</f>
        <v/>
      </c>
      <c r="R203" s="19">
        <f>IF($A203="","",IF(COUNTIFS(請求記録!$B$6:$B$3005,$A203,請求記録!$Z$6:$Z$3005,R$5,請求記録!$AF$6:$AF$3005,"保留中")&gt;0,"保留",IF(COUNTIFS(請求記録!$B$6:$B$3005,$A203,請求記録!$Z$6:$Z$3005,R$5)=0,"",SUMIFS(請求記録!$AE$6:$AE$3005,請求記録!$B$6:$B$3005,$A203,請求記録!$Z$6:$Z$3005,R$5))))</f>
        <v/>
      </c>
      <c r="S203" s="19">
        <f>IF($A203="","",IF(COUNTIFS(請求記録!$B$6:$B$3005,$A203,請求記録!$Z$6:$Z$3005,S$5,請求記録!$AF$6:$AF$3005,"保留中")&gt;0,"保留",IF(COUNTIFS(請求記録!$B$6:$B$3005,$A203,請求記録!$Z$6:$Z$3005,S$5)=0,"",SUMIFS(請求記録!$AE$6:$AE$3005,請求記録!$B$6:$B$3005,$A203,請求記録!$Z$6:$Z$3005,S$5))))</f>
        <v/>
      </c>
      <c r="T203" s="19">
        <f>IF($A203="","",IF(COUNTIFS(請求記録!$B$6:$B$3005,$A203,請求記録!$Z$6:$Z$3005,T$5,請求記録!$AF$6:$AF$3005,"保留中")&gt;0,"保留",IF(COUNTIFS(請求記録!$B$6:$B$3005,$A203,請求記録!$Z$6:$Z$3005,T$5)=0,"",SUMIFS(請求記録!$AE$6:$AE$3005,請求記録!$B$6:$B$3005,$A203,請求記録!$Z$6:$Z$3005,T$5))))</f>
        <v/>
      </c>
      <c r="U203" s="19">
        <f>IF($A203="","",IF(COUNTIFS(請求記録!$B$6:$B$3005,$A203,請求記録!$Z$6:$Z$3005,U$5,請求記録!$AF$6:$AF$3005,"保留中")&gt;0,"保留",IF(COUNTIFS(請求記録!$B$6:$B$3005,$A203,請求記録!$Z$6:$Z$3005,U$5)=0,"",SUMIFS(請求記録!$AE$6:$AE$3005,請求記録!$B$6:$B$3005,$A203,請求記録!$Z$6:$Z$3005,U$5))))</f>
        <v/>
      </c>
      <c r="V203" s="19">
        <f>IF($A203="","",IF(COUNTIFS(請求記録!$B$6:$B$3005,$A203,請求記録!$Z$6:$Z$3005,V$5,請求記録!$AF$6:$AF$3005,"保留中")&gt;0,"保留",IF(COUNTIFS(請求記録!$B$6:$B$3005,$A203,請求記録!$Z$6:$Z$3005,V$5)=0,"",SUMIFS(請求記録!$AE$6:$AE$3005,請求記録!$B$6:$B$3005,$A203,請求記録!$Z$6:$Z$3005,V$5))))</f>
        <v/>
      </c>
      <c r="W203" s="19">
        <f>IF($A203="","",IF(COUNTIFS(請求記録!$B$6:$B$3005,$A203,請求記録!$Z$6:$Z$3005,W$5,請求記録!$AF$6:$AF$3005,"保留中")&gt;0,"保留",IF(COUNTIFS(請求記録!$B$6:$B$3005,$A203,請求記録!$Z$6:$Z$3005,W$5)=0,"",SUMIFS(請求記録!$AE$6:$AE$3005,請求記録!$B$6:$B$3005,$A203,請求記録!$Z$6:$Z$3005,W$5))))</f>
        <v/>
      </c>
      <c r="X203" s="19">
        <f>IF($A203="","",IF(COUNTIFS(請求記録!$B$6:$B$3005,$A203,請求記録!$Z$6:$Z$3005,X$5,請求記録!$AF$6:$AF$3005,"保留中")&gt;0,"保留",IF(COUNTIFS(請求記録!$B$6:$B$3005,$A203,請求記録!$Z$6:$Z$3005,X$5)=0,"",SUMIFS(請求記録!$AE$6:$AE$3005,請求記録!$B$6:$B$3005,$A203,請求記録!$Z$6:$Z$3005,X$5))))</f>
        <v/>
      </c>
      <c r="Y203" s="19">
        <f>IF($A203="","",IF(COUNTIFS(請求記録!$B$6:$B$3005,$A203,請求記録!$Z$6:$Z$3005,Y$5,請求記録!$AF$6:$AF$3005,"保留中")&gt;0,"保留",IF(COUNTIFS(請求記録!$B$6:$B$3005,$A203,請求記録!$Z$6:$Z$3005,Y$5)=0,"",SUMIFS(請求記録!$AE$6:$AE$3005,請求記録!$B$6:$B$3005,$A203,請求記録!$Z$6:$Z$3005,Y$5))))</f>
        <v/>
      </c>
      <c r="Z203" s="19">
        <f>IF($A203="","",IF(COUNTIFS(請求記録!$B$6:$B$3005,$A203,請求記録!$Z$6:$Z$3005,Z$5,請求記録!$AF$6:$AF$3005,"保留中")&gt;0,"保留",IF(COUNTIFS(請求記録!$B$6:$B$3005,$A203,請求記録!$Z$6:$Z$3005,Z$5)=0,"",SUMIFS(請求記録!$AE$6:$AE$3005,請求記録!$B$6:$B$3005,$A203,請求記録!$Z$6:$Z$3005,Z$5))))</f>
        <v/>
      </c>
      <c r="AA203" s="19">
        <f>IF($A203="","",IF(COUNTIFS(請求記録!$B$6:$B$3005,$A203,請求記録!$Z$6:$Z$3005,AA$5,請求記録!$AF$6:$AF$3005,"保留中")&gt;0,"保留",IF(COUNTIFS(請求記録!$B$6:$B$3005,$A203,請求記録!$Z$6:$Z$3005,AA$5)=0,"",SUMIFS(請求記録!$AE$6:$AE$3005,請求記録!$B$6:$B$3005,$A203,請求記録!$Z$6:$Z$3005,AA$5))))</f>
        <v/>
      </c>
      <c r="AB203">
        <f>IF(職員マスタ!P203="保留中",職員マスタ!M203,"")</f>
        <v/>
      </c>
    </row>
    <row r="204">
      <c r="A204">
        <f>IF(職員マスタ!A204="","",職員マスタ!A204)</f>
        <v/>
      </c>
      <c r="B204">
        <f>IF($A204="","",職員マスタ!B204)</f>
        <v/>
      </c>
      <c r="C204">
        <f>IF($A204="","",職員マスタ!C204)</f>
        <v/>
      </c>
      <c r="D204" s="19">
        <f>IF($A204="","",IF(COUNTIFS(請求記録!$B$6:$B$3005,$A204,請求記録!$Z$6:$Z$3005,D$5,請求記録!$AF$6:$AF$3005,"保留中")&gt;0,"保留",IF(COUNTIFS(請求記録!$B$6:$B$3005,$A204,請求記録!$Z$6:$Z$3005,D$5)=0,"",SUMIFS(請求記録!$AE$6:$AE$3005,請求記録!$B$6:$B$3005,$A204,請求記録!$Z$6:$Z$3005,D$5))))</f>
        <v/>
      </c>
      <c r="E204" s="19">
        <f>IF($A204="","",IF(COUNTIFS(請求記録!$B$6:$B$3005,$A204,請求記録!$Z$6:$Z$3005,E$5,請求記録!$AF$6:$AF$3005,"保留中")&gt;0,"保留",IF(COUNTIFS(請求記録!$B$6:$B$3005,$A204,請求記録!$Z$6:$Z$3005,E$5)=0,"",SUMIFS(請求記録!$AE$6:$AE$3005,請求記録!$B$6:$B$3005,$A204,請求記録!$Z$6:$Z$3005,E$5))))</f>
        <v/>
      </c>
      <c r="F204" s="19">
        <f>IF($A204="","",IF(COUNTIFS(請求記録!$B$6:$B$3005,$A204,請求記録!$Z$6:$Z$3005,F$5,請求記録!$AF$6:$AF$3005,"保留中")&gt;0,"保留",IF(COUNTIFS(請求記録!$B$6:$B$3005,$A204,請求記録!$Z$6:$Z$3005,F$5)=0,"",SUMIFS(請求記録!$AE$6:$AE$3005,請求記録!$B$6:$B$3005,$A204,請求記録!$Z$6:$Z$3005,F$5))))</f>
        <v/>
      </c>
      <c r="G204" s="19">
        <f>IF($A204="","",IF(COUNTIFS(請求記録!$B$6:$B$3005,$A204,請求記録!$Z$6:$Z$3005,G$5,請求記録!$AF$6:$AF$3005,"保留中")&gt;0,"保留",IF(COUNTIFS(請求記録!$B$6:$B$3005,$A204,請求記録!$Z$6:$Z$3005,G$5)=0,"",SUMIFS(請求記録!$AE$6:$AE$3005,請求記録!$B$6:$B$3005,$A204,請求記録!$Z$6:$Z$3005,G$5))))</f>
        <v/>
      </c>
      <c r="H204" s="19">
        <f>IF($A204="","",IF(COUNTIFS(請求記録!$B$6:$B$3005,$A204,請求記録!$Z$6:$Z$3005,H$5,請求記録!$AF$6:$AF$3005,"保留中")&gt;0,"保留",IF(COUNTIFS(請求記録!$B$6:$B$3005,$A204,請求記録!$Z$6:$Z$3005,H$5)=0,"",SUMIFS(請求記録!$AE$6:$AE$3005,請求記録!$B$6:$B$3005,$A204,請求記録!$Z$6:$Z$3005,H$5))))</f>
        <v/>
      </c>
      <c r="I204" s="19">
        <f>IF($A204="","",IF(COUNTIFS(請求記録!$B$6:$B$3005,$A204,請求記録!$Z$6:$Z$3005,I$5,請求記録!$AF$6:$AF$3005,"保留中")&gt;0,"保留",IF(COUNTIFS(請求記録!$B$6:$B$3005,$A204,請求記録!$Z$6:$Z$3005,I$5)=0,"",SUMIFS(請求記録!$AE$6:$AE$3005,請求記録!$B$6:$B$3005,$A204,請求記録!$Z$6:$Z$3005,I$5))))</f>
        <v/>
      </c>
      <c r="J204" s="19">
        <f>IF($A204="","",IF(COUNTIFS(請求記録!$B$6:$B$3005,$A204,請求記録!$Z$6:$Z$3005,J$5,請求記録!$AF$6:$AF$3005,"保留中")&gt;0,"保留",IF(COUNTIFS(請求記録!$B$6:$B$3005,$A204,請求記録!$Z$6:$Z$3005,J$5)=0,"",SUMIFS(請求記録!$AE$6:$AE$3005,請求記録!$B$6:$B$3005,$A204,請求記録!$Z$6:$Z$3005,J$5))))</f>
        <v/>
      </c>
      <c r="K204" s="19">
        <f>IF($A204="","",IF(COUNTIFS(請求記録!$B$6:$B$3005,$A204,請求記録!$Z$6:$Z$3005,K$5,請求記録!$AF$6:$AF$3005,"保留中")&gt;0,"保留",IF(COUNTIFS(請求記録!$B$6:$B$3005,$A204,請求記録!$Z$6:$Z$3005,K$5)=0,"",SUMIFS(請求記録!$AE$6:$AE$3005,請求記録!$B$6:$B$3005,$A204,請求記録!$Z$6:$Z$3005,K$5))))</f>
        <v/>
      </c>
      <c r="L204" s="19">
        <f>IF($A204="","",IF(COUNTIFS(請求記録!$B$6:$B$3005,$A204,請求記録!$Z$6:$Z$3005,L$5,請求記録!$AF$6:$AF$3005,"保留中")&gt;0,"保留",IF(COUNTIFS(請求記録!$B$6:$B$3005,$A204,請求記録!$Z$6:$Z$3005,L$5)=0,"",SUMIFS(請求記録!$AE$6:$AE$3005,請求記録!$B$6:$B$3005,$A204,請求記録!$Z$6:$Z$3005,L$5))))</f>
        <v/>
      </c>
      <c r="M204" s="19">
        <f>IF($A204="","",IF(COUNTIFS(請求記録!$B$6:$B$3005,$A204,請求記録!$Z$6:$Z$3005,M$5,請求記録!$AF$6:$AF$3005,"保留中")&gt;0,"保留",IF(COUNTIFS(請求記録!$B$6:$B$3005,$A204,請求記録!$Z$6:$Z$3005,M$5)=0,"",SUMIFS(請求記録!$AE$6:$AE$3005,請求記録!$B$6:$B$3005,$A204,請求記録!$Z$6:$Z$3005,M$5))))</f>
        <v/>
      </c>
      <c r="N204" s="19">
        <f>IF($A204="","",IF(COUNTIFS(請求記録!$B$6:$B$3005,$A204,請求記録!$Z$6:$Z$3005,N$5,請求記録!$AF$6:$AF$3005,"保留中")&gt;0,"保留",IF(COUNTIFS(請求記録!$B$6:$B$3005,$A204,請求記録!$Z$6:$Z$3005,N$5)=0,"",SUMIFS(請求記録!$AE$6:$AE$3005,請求記録!$B$6:$B$3005,$A204,請求記録!$Z$6:$Z$3005,N$5))))</f>
        <v/>
      </c>
      <c r="O204" s="19">
        <f>IF($A204="","",IF(COUNTIFS(請求記録!$B$6:$B$3005,$A204,請求記録!$Z$6:$Z$3005,O$5,請求記録!$AF$6:$AF$3005,"保留中")&gt;0,"保留",IF(COUNTIFS(請求記録!$B$6:$B$3005,$A204,請求記録!$Z$6:$Z$3005,O$5)=0,"",SUMIFS(請求記録!$AE$6:$AE$3005,請求記録!$B$6:$B$3005,$A204,請求記録!$Z$6:$Z$3005,O$5))))</f>
        <v/>
      </c>
      <c r="P204" s="19">
        <f>IF($A204="","",IF(COUNTIFS(請求記録!$B$6:$B$3005,$A204,請求記録!$Z$6:$Z$3005,P$5,請求記録!$AF$6:$AF$3005,"保留中")&gt;0,"保留",IF(COUNTIFS(請求記録!$B$6:$B$3005,$A204,請求記録!$Z$6:$Z$3005,P$5)=0,"",SUMIFS(請求記録!$AE$6:$AE$3005,請求記録!$B$6:$B$3005,$A204,請求記録!$Z$6:$Z$3005,P$5))))</f>
        <v/>
      </c>
      <c r="Q204" s="19">
        <f>IF($A204="","",IF(COUNTIFS(請求記録!$B$6:$B$3005,$A204,請求記録!$Z$6:$Z$3005,Q$5,請求記録!$AF$6:$AF$3005,"保留中")&gt;0,"保留",IF(COUNTIFS(請求記録!$B$6:$B$3005,$A204,請求記録!$Z$6:$Z$3005,Q$5)=0,"",SUMIFS(請求記録!$AE$6:$AE$3005,請求記録!$B$6:$B$3005,$A204,請求記録!$Z$6:$Z$3005,Q$5))))</f>
        <v/>
      </c>
      <c r="R204" s="19">
        <f>IF($A204="","",IF(COUNTIFS(請求記録!$B$6:$B$3005,$A204,請求記録!$Z$6:$Z$3005,R$5,請求記録!$AF$6:$AF$3005,"保留中")&gt;0,"保留",IF(COUNTIFS(請求記録!$B$6:$B$3005,$A204,請求記録!$Z$6:$Z$3005,R$5)=0,"",SUMIFS(請求記録!$AE$6:$AE$3005,請求記録!$B$6:$B$3005,$A204,請求記録!$Z$6:$Z$3005,R$5))))</f>
        <v/>
      </c>
      <c r="S204" s="19">
        <f>IF($A204="","",IF(COUNTIFS(請求記録!$B$6:$B$3005,$A204,請求記録!$Z$6:$Z$3005,S$5,請求記録!$AF$6:$AF$3005,"保留中")&gt;0,"保留",IF(COUNTIFS(請求記録!$B$6:$B$3005,$A204,請求記録!$Z$6:$Z$3005,S$5)=0,"",SUMIFS(請求記録!$AE$6:$AE$3005,請求記録!$B$6:$B$3005,$A204,請求記録!$Z$6:$Z$3005,S$5))))</f>
        <v/>
      </c>
      <c r="T204" s="19">
        <f>IF($A204="","",IF(COUNTIFS(請求記録!$B$6:$B$3005,$A204,請求記録!$Z$6:$Z$3005,T$5,請求記録!$AF$6:$AF$3005,"保留中")&gt;0,"保留",IF(COUNTIFS(請求記録!$B$6:$B$3005,$A204,請求記録!$Z$6:$Z$3005,T$5)=0,"",SUMIFS(請求記録!$AE$6:$AE$3005,請求記録!$B$6:$B$3005,$A204,請求記録!$Z$6:$Z$3005,T$5))))</f>
        <v/>
      </c>
      <c r="U204" s="19">
        <f>IF($A204="","",IF(COUNTIFS(請求記録!$B$6:$B$3005,$A204,請求記録!$Z$6:$Z$3005,U$5,請求記録!$AF$6:$AF$3005,"保留中")&gt;0,"保留",IF(COUNTIFS(請求記録!$B$6:$B$3005,$A204,請求記録!$Z$6:$Z$3005,U$5)=0,"",SUMIFS(請求記録!$AE$6:$AE$3005,請求記録!$B$6:$B$3005,$A204,請求記録!$Z$6:$Z$3005,U$5))))</f>
        <v/>
      </c>
      <c r="V204" s="19">
        <f>IF($A204="","",IF(COUNTIFS(請求記録!$B$6:$B$3005,$A204,請求記録!$Z$6:$Z$3005,V$5,請求記録!$AF$6:$AF$3005,"保留中")&gt;0,"保留",IF(COUNTIFS(請求記録!$B$6:$B$3005,$A204,請求記録!$Z$6:$Z$3005,V$5)=0,"",SUMIFS(請求記録!$AE$6:$AE$3005,請求記録!$B$6:$B$3005,$A204,請求記録!$Z$6:$Z$3005,V$5))))</f>
        <v/>
      </c>
      <c r="W204" s="19">
        <f>IF($A204="","",IF(COUNTIFS(請求記録!$B$6:$B$3005,$A204,請求記録!$Z$6:$Z$3005,W$5,請求記録!$AF$6:$AF$3005,"保留中")&gt;0,"保留",IF(COUNTIFS(請求記録!$B$6:$B$3005,$A204,請求記録!$Z$6:$Z$3005,W$5)=0,"",SUMIFS(請求記録!$AE$6:$AE$3005,請求記録!$B$6:$B$3005,$A204,請求記録!$Z$6:$Z$3005,W$5))))</f>
        <v/>
      </c>
      <c r="X204" s="19">
        <f>IF($A204="","",IF(COUNTIFS(請求記録!$B$6:$B$3005,$A204,請求記録!$Z$6:$Z$3005,X$5,請求記録!$AF$6:$AF$3005,"保留中")&gt;0,"保留",IF(COUNTIFS(請求記録!$B$6:$B$3005,$A204,請求記録!$Z$6:$Z$3005,X$5)=0,"",SUMIFS(請求記録!$AE$6:$AE$3005,請求記録!$B$6:$B$3005,$A204,請求記録!$Z$6:$Z$3005,X$5))))</f>
        <v/>
      </c>
      <c r="Y204" s="19">
        <f>IF($A204="","",IF(COUNTIFS(請求記録!$B$6:$B$3005,$A204,請求記録!$Z$6:$Z$3005,Y$5,請求記録!$AF$6:$AF$3005,"保留中")&gt;0,"保留",IF(COUNTIFS(請求記録!$B$6:$B$3005,$A204,請求記録!$Z$6:$Z$3005,Y$5)=0,"",SUMIFS(請求記録!$AE$6:$AE$3005,請求記録!$B$6:$B$3005,$A204,請求記録!$Z$6:$Z$3005,Y$5))))</f>
        <v/>
      </c>
      <c r="Z204" s="19">
        <f>IF($A204="","",IF(COUNTIFS(請求記録!$B$6:$B$3005,$A204,請求記録!$Z$6:$Z$3005,Z$5,請求記録!$AF$6:$AF$3005,"保留中")&gt;0,"保留",IF(COUNTIFS(請求記録!$B$6:$B$3005,$A204,請求記録!$Z$6:$Z$3005,Z$5)=0,"",SUMIFS(請求記録!$AE$6:$AE$3005,請求記録!$B$6:$B$3005,$A204,請求記録!$Z$6:$Z$3005,Z$5))))</f>
        <v/>
      </c>
      <c r="AA204" s="19">
        <f>IF($A204="","",IF(COUNTIFS(請求記録!$B$6:$B$3005,$A204,請求記録!$Z$6:$Z$3005,AA$5,請求記録!$AF$6:$AF$3005,"保留中")&gt;0,"保留",IF(COUNTIFS(請求記録!$B$6:$B$3005,$A204,請求記録!$Z$6:$Z$3005,AA$5)=0,"",SUMIFS(請求記録!$AE$6:$AE$3005,請求記録!$B$6:$B$3005,$A204,請求記録!$Z$6:$Z$3005,AA$5))))</f>
        <v/>
      </c>
      <c r="AB204">
        <f>IF(職員マスタ!P204="保留中",職員マスタ!M204,"")</f>
        <v/>
      </c>
    </row>
    <row r="205">
      <c r="A205">
        <f>IF(職員マスタ!A205="","",職員マスタ!A205)</f>
        <v/>
      </c>
      <c r="B205">
        <f>IF($A205="","",職員マスタ!B205)</f>
        <v/>
      </c>
      <c r="C205">
        <f>IF($A205="","",職員マスタ!C205)</f>
        <v/>
      </c>
      <c r="D205" s="19">
        <f>IF($A205="","",IF(COUNTIFS(請求記録!$B$6:$B$3005,$A205,請求記録!$Z$6:$Z$3005,D$5,請求記録!$AF$6:$AF$3005,"保留中")&gt;0,"保留",IF(COUNTIFS(請求記録!$B$6:$B$3005,$A205,請求記録!$Z$6:$Z$3005,D$5)=0,"",SUMIFS(請求記録!$AE$6:$AE$3005,請求記録!$B$6:$B$3005,$A205,請求記録!$Z$6:$Z$3005,D$5))))</f>
        <v/>
      </c>
      <c r="E205" s="19">
        <f>IF($A205="","",IF(COUNTIFS(請求記録!$B$6:$B$3005,$A205,請求記録!$Z$6:$Z$3005,E$5,請求記録!$AF$6:$AF$3005,"保留中")&gt;0,"保留",IF(COUNTIFS(請求記録!$B$6:$B$3005,$A205,請求記録!$Z$6:$Z$3005,E$5)=0,"",SUMIFS(請求記録!$AE$6:$AE$3005,請求記録!$B$6:$B$3005,$A205,請求記録!$Z$6:$Z$3005,E$5))))</f>
        <v/>
      </c>
      <c r="F205" s="19">
        <f>IF($A205="","",IF(COUNTIFS(請求記録!$B$6:$B$3005,$A205,請求記録!$Z$6:$Z$3005,F$5,請求記録!$AF$6:$AF$3005,"保留中")&gt;0,"保留",IF(COUNTIFS(請求記録!$B$6:$B$3005,$A205,請求記録!$Z$6:$Z$3005,F$5)=0,"",SUMIFS(請求記録!$AE$6:$AE$3005,請求記録!$B$6:$B$3005,$A205,請求記録!$Z$6:$Z$3005,F$5))))</f>
        <v/>
      </c>
      <c r="G205" s="19">
        <f>IF($A205="","",IF(COUNTIFS(請求記録!$B$6:$B$3005,$A205,請求記録!$Z$6:$Z$3005,G$5,請求記録!$AF$6:$AF$3005,"保留中")&gt;0,"保留",IF(COUNTIFS(請求記録!$B$6:$B$3005,$A205,請求記録!$Z$6:$Z$3005,G$5)=0,"",SUMIFS(請求記録!$AE$6:$AE$3005,請求記録!$B$6:$B$3005,$A205,請求記録!$Z$6:$Z$3005,G$5))))</f>
        <v/>
      </c>
      <c r="H205" s="19">
        <f>IF($A205="","",IF(COUNTIFS(請求記録!$B$6:$B$3005,$A205,請求記録!$Z$6:$Z$3005,H$5,請求記録!$AF$6:$AF$3005,"保留中")&gt;0,"保留",IF(COUNTIFS(請求記録!$B$6:$B$3005,$A205,請求記録!$Z$6:$Z$3005,H$5)=0,"",SUMIFS(請求記録!$AE$6:$AE$3005,請求記録!$B$6:$B$3005,$A205,請求記録!$Z$6:$Z$3005,H$5))))</f>
        <v/>
      </c>
      <c r="I205" s="19">
        <f>IF($A205="","",IF(COUNTIFS(請求記録!$B$6:$B$3005,$A205,請求記録!$Z$6:$Z$3005,I$5,請求記録!$AF$6:$AF$3005,"保留中")&gt;0,"保留",IF(COUNTIFS(請求記録!$B$6:$B$3005,$A205,請求記録!$Z$6:$Z$3005,I$5)=0,"",SUMIFS(請求記録!$AE$6:$AE$3005,請求記録!$B$6:$B$3005,$A205,請求記録!$Z$6:$Z$3005,I$5))))</f>
        <v/>
      </c>
      <c r="J205" s="19">
        <f>IF($A205="","",IF(COUNTIFS(請求記録!$B$6:$B$3005,$A205,請求記録!$Z$6:$Z$3005,J$5,請求記録!$AF$6:$AF$3005,"保留中")&gt;0,"保留",IF(COUNTIFS(請求記録!$B$6:$B$3005,$A205,請求記録!$Z$6:$Z$3005,J$5)=0,"",SUMIFS(請求記録!$AE$6:$AE$3005,請求記録!$B$6:$B$3005,$A205,請求記録!$Z$6:$Z$3005,J$5))))</f>
        <v/>
      </c>
      <c r="K205" s="19">
        <f>IF($A205="","",IF(COUNTIFS(請求記録!$B$6:$B$3005,$A205,請求記録!$Z$6:$Z$3005,K$5,請求記録!$AF$6:$AF$3005,"保留中")&gt;0,"保留",IF(COUNTIFS(請求記録!$B$6:$B$3005,$A205,請求記録!$Z$6:$Z$3005,K$5)=0,"",SUMIFS(請求記録!$AE$6:$AE$3005,請求記録!$B$6:$B$3005,$A205,請求記録!$Z$6:$Z$3005,K$5))))</f>
        <v/>
      </c>
      <c r="L205" s="19">
        <f>IF($A205="","",IF(COUNTIFS(請求記録!$B$6:$B$3005,$A205,請求記録!$Z$6:$Z$3005,L$5,請求記録!$AF$6:$AF$3005,"保留中")&gt;0,"保留",IF(COUNTIFS(請求記録!$B$6:$B$3005,$A205,請求記録!$Z$6:$Z$3005,L$5)=0,"",SUMIFS(請求記録!$AE$6:$AE$3005,請求記録!$B$6:$B$3005,$A205,請求記録!$Z$6:$Z$3005,L$5))))</f>
        <v/>
      </c>
      <c r="M205" s="19">
        <f>IF($A205="","",IF(COUNTIFS(請求記録!$B$6:$B$3005,$A205,請求記録!$Z$6:$Z$3005,M$5,請求記録!$AF$6:$AF$3005,"保留中")&gt;0,"保留",IF(COUNTIFS(請求記録!$B$6:$B$3005,$A205,請求記録!$Z$6:$Z$3005,M$5)=0,"",SUMIFS(請求記録!$AE$6:$AE$3005,請求記録!$B$6:$B$3005,$A205,請求記録!$Z$6:$Z$3005,M$5))))</f>
        <v/>
      </c>
      <c r="N205" s="19">
        <f>IF($A205="","",IF(COUNTIFS(請求記録!$B$6:$B$3005,$A205,請求記録!$Z$6:$Z$3005,N$5,請求記録!$AF$6:$AF$3005,"保留中")&gt;0,"保留",IF(COUNTIFS(請求記録!$B$6:$B$3005,$A205,請求記録!$Z$6:$Z$3005,N$5)=0,"",SUMIFS(請求記録!$AE$6:$AE$3005,請求記録!$B$6:$B$3005,$A205,請求記録!$Z$6:$Z$3005,N$5))))</f>
        <v/>
      </c>
      <c r="O205" s="19">
        <f>IF($A205="","",IF(COUNTIFS(請求記録!$B$6:$B$3005,$A205,請求記録!$Z$6:$Z$3005,O$5,請求記録!$AF$6:$AF$3005,"保留中")&gt;0,"保留",IF(COUNTIFS(請求記録!$B$6:$B$3005,$A205,請求記録!$Z$6:$Z$3005,O$5)=0,"",SUMIFS(請求記録!$AE$6:$AE$3005,請求記録!$B$6:$B$3005,$A205,請求記録!$Z$6:$Z$3005,O$5))))</f>
        <v/>
      </c>
      <c r="P205" s="19">
        <f>IF($A205="","",IF(COUNTIFS(請求記録!$B$6:$B$3005,$A205,請求記録!$Z$6:$Z$3005,P$5,請求記録!$AF$6:$AF$3005,"保留中")&gt;0,"保留",IF(COUNTIFS(請求記録!$B$6:$B$3005,$A205,請求記録!$Z$6:$Z$3005,P$5)=0,"",SUMIFS(請求記録!$AE$6:$AE$3005,請求記録!$B$6:$B$3005,$A205,請求記録!$Z$6:$Z$3005,P$5))))</f>
        <v/>
      </c>
      <c r="Q205" s="19">
        <f>IF($A205="","",IF(COUNTIFS(請求記録!$B$6:$B$3005,$A205,請求記録!$Z$6:$Z$3005,Q$5,請求記録!$AF$6:$AF$3005,"保留中")&gt;0,"保留",IF(COUNTIFS(請求記録!$B$6:$B$3005,$A205,請求記録!$Z$6:$Z$3005,Q$5)=0,"",SUMIFS(請求記録!$AE$6:$AE$3005,請求記録!$B$6:$B$3005,$A205,請求記録!$Z$6:$Z$3005,Q$5))))</f>
        <v/>
      </c>
      <c r="R205" s="19">
        <f>IF($A205="","",IF(COUNTIFS(請求記録!$B$6:$B$3005,$A205,請求記録!$Z$6:$Z$3005,R$5,請求記録!$AF$6:$AF$3005,"保留中")&gt;0,"保留",IF(COUNTIFS(請求記録!$B$6:$B$3005,$A205,請求記録!$Z$6:$Z$3005,R$5)=0,"",SUMIFS(請求記録!$AE$6:$AE$3005,請求記録!$B$6:$B$3005,$A205,請求記録!$Z$6:$Z$3005,R$5))))</f>
        <v/>
      </c>
      <c r="S205" s="19">
        <f>IF($A205="","",IF(COUNTIFS(請求記録!$B$6:$B$3005,$A205,請求記録!$Z$6:$Z$3005,S$5,請求記録!$AF$6:$AF$3005,"保留中")&gt;0,"保留",IF(COUNTIFS(請求記録!$B$6:$B$3005,$A205,請求記録!$Z$6:$Z$3005,S$5)=0,"",SUMIFS(請求記録!$AE$6:$AE$3005,請求記録!$B$6:$B$3005,$A205,請求記録!$Z$6:$Z$3005,S$5))))</f>
        <v/>
      </c>
      <c r="T205" s="19">
        <f>IF($A205="","",IF(COUNTIFS(請求記録!$B$6:$B$3005,$A205,請求記録!$Z$6:$Z$3005,T$5,請求記録!$AF$6:$AF$3005,"保留中")&gt;0,"保留",IF(COUNTIFS(請求記録!$B$6:$B$3005,$A205,請求記録!$Z$6:$Z$3005,T$5)=0,"",SUMIFS(請求記録!$AE$6:$AE$3005,請求記録!$B$6:$B$3005,$A205,請求記録!$Z$6:$Z$3005,T$5))))</f>
        <v/>
      </c>
      <c r="U205" s="19">
        <f>IF($A205="","",IF(COUNTIFS(請求記録!$B$6:$B$3005,$A205,請求記録!$Z$6:$Z$3005,U$5,請求記録!$AF$6:$AF$3005,"保留中")&gt;0,"保留",IF(COUNTIFS(請求記録!$B$6:$B$3005,$A205,請求記録!$Z$6:$Z$3005,U$5)=0,"",SUMIFS(請求記録!$AE$6:$AE$3005,請求記録!$B$6:$B$3005,$A205,請求記録!$Z$6:$Z$3005,U$5))))</f>
        <v/>
      </c>
      <c r="V205" s="19">
        <f>IF($A205="","",IF(COUNTIFS(請求記録!$B$6:$B$3005,$A205,請求記録!$Z$6:$Z$3005,V$5,請求記録!$AF$6:$AF$3005,"保留中")&gt;0,"保留",IF(COUNTIFS(請求記録!$B$6:$B$3005,$A205,請求記録!$Z$6:$Z$3005,V$5)=0,"",SUMIFS(請求記録!$AE$6:$AE$3005,請求記録!$B$6:$B$3005,$A205,請求記録!$Z$6:$Z$3005,V$5))))</f>
        <v/>
      </c>
      <c r="W205" s="19">
        <f>IF($A205="","",IF(COUNTIFS(請求記録!$B$6:$B$3005,$A205,請求記録!$Z$6:$Z$3005,W$5,請求記録!$AF$6:$AF$3005,"保留中")&gt;0,"保留",IF(COUNTIFS(請求記録!$B$6:$B$3005,$A205,請求記録!$Z$6:$Z$3005,W$5)=0,"",SUMIFS(請求記録!$AE$6:$AE$3005,請求記録!$B$6:$B$3005,$A205,請求記録!$Z$6:$Z$3005,W$5))))</f>
        <v/>
      </c>
      <c r="X205" s="19">
        <f>IF($A205="","",IF(COUNTIFS(請求記録!$B$6:$B$3005,$A205,請求記録!$Z$6:$Z$3005,X$5,請求記録!$AF$6:$AF$3005,"保留中")&gt;0,"保留",IF(COUNTIFS(請求記録!$B$6:$B$3005,$A205,請求記録!$Z$6:$Z$3005,X$5)=0,"",SUMIFS(請求記録!$AE$6:$AE$3005,請求記録!$B$6:$B$3005,$A205,請求記録!$Z$6:$Z$3005,X$5))))</f>
        <v/>
      </c>
      <c r="Y205" s="19">
        <f>IF($A205="","",IF(COUNTIFS(請求記録!$B$6:$B$3005,$A205,請求記録!$Z$6:$Z$3005,Y$5,請求記録!$AF$6:$AF$3005,"保留中")&gt;0,"保留",IF(COUNTIFS(請求記録!$B$6:$B$3005,$A205,請求記録!$Z$6:$Z$3005,Y$5)=0,"",SUMIFS(請求記録!$AE$6:$AE$3005,請求記録!$B$6:$B$3005,$A205,請求記録!$Z$6:$Z$3005,Y$5))))</f>
        <v/>
      </c>
      <c r="Z205" s="19">
        <f>IF($A205="","",IF(COUNTIFS(請求記録!$B$6:$B$3005,$A205,請求記録!$Z$6:$Z$3005,Z$5,請求記録!$AF$6:$AF$3005,"保留中")&gt;0,"保留",IF(COUNTIFS(請求記録!$B$6:$B$3005,$A205,請求記録!$Z$6:$Z$3005,Z$5)=0,"",SUMIFS(請求記録!$AE$6:$AE$3005,請求記録!$B$6:$B$3005,$A205,請求記録!$Z$6:$Z$3005,Z$5))))</f>
        <v/>
      </c>
      <c r="AA205" s="19">
        <f>IF($A205="","",IF(COUNTIFS(請求記録!$B$6:$B$3005,$A205,請求記録!$Z$6:$Z$3005,AA$5,請求記録!$AF$6:$AF$3005,"保留中")&gt;0,"保留",IF(COUNTIFS(請求記録!$B$6:$B$3005,$A205,請求記録!$Z$6:$Z$3005,AA$5)=0,"",SUMIFS(請求記録!$AE$6:$AE$3005,請求記録!$B$6:$B$3005,$A205,請求記録!$Z$6:$Z$3005,AA$5))))</f>
        <v/>
      </c>
      <c r="AB205">
        <f>IF(職員マスタ!P205="保留中",職員マスタ!M205,"")</f>
        <v/>
      </c>
    </row>
    <row r="206">
      <c r="A206">
        <f>IF(職員マスタ!A206="","",職員マスタ!A206)</f>
        <v/>
      </c>
      <c r="B206">
        <f>IF($A206="","",職員マスタ!B206)</f>
        <v/>
      </c>
      <c r="C206">
        <f>IF($A206="","",職員マスタ!C206)</f>
        <v/>
      </c>
      <c r="D206" s="19">
        <f>IF($A206="","",IF(COUNTIFS(請求記録!$B$6:$B$3005,$A206,請求記録!$Z$6:$Z$3005,D$5,請求記録!$AF$6:$AF$3005,"保留中")&gt;0,"保留",IF(COUNTIFS(請求記録!$B$6:$B$3005,$A206,請求記録!$Z$6:$Z$3005,D$5)=0,"",SUMIFS(請求記録!$AE$6:$AE$3005,請求記録!$B$6:$B$3005,$A206,請求記録!$Z$6:$Z$3005,D$5))))</f>
        <v/>
      </c>
      <c r="E206" s="19">
        <f>IF($A206="","",IF(COUNTIFS(請求記録!$B$6:$B$3005,$A206,請求記録!$Z$6:$Z$3005,E$5,請求記録!$AF$6:$AF$3005,"保留中")&gt;0,"保留",IF(COUNTIFS(請求記録!$B$6:$B$3005,$A206,請求記録!$Z$6:$Z$3005,E$5)=0,"",SUMIFS(請求記録!$AE$6:$AE$3005,請求記録!$B$6:$B$3005,$A206,請求記録!$Z$6:$Z$3005,E$5))))</f>
        <v/>
      </c>
      <c r="F206" s="19">
        <f>IF($A206="","",IF(COUNTIFS(請求記録!$B$6:$B$3005,$A206,請求記録!$Z$6:$Z$3005,F$5,請求記録!$AF$6:$AF$3005,"保留中")&gt;0,"保留",IF(COUNTIFS(請求記録!$B$6:$B$3005,$A206,請求記録!$Z$6:$Z$3005,F$5)=0,"",SUMIFS(請求記録!$AE$6:$AE$3005,請求記録!$B$6:$B$3005,$A206,請求記録!$Z$6:$Z$3005,F$5))))</f>
        <v/>
      </c>
      <c r="G206" s="19">
        <f>IF($A206="","",IF(COUNTIFS(請求記録!$B$6:$B$3005,$A206,請求記録!$Z$6:$Z$3005,G$5,請求記録!$AF$6:$AF$3005,"保留中")&gt;0,"保留",IF(COUNTIFS(請求記録!$B$6:$B$3005,$A206,請求記録!$Z$6:$Z$3005,G$5)=0,"",SUMIFS(請求記録!$AE$6:$AE$3005,請求記録!$B$6:$B$3005,$A206,請求記録!$Z$6:$Z$3005,G$5))))</f>
        <v/>
      </c>
      <c r="H206" s="19">
        <f>IF($A206="","",IF(COUNTIFS(請求記録!$B$6:$B$3005,$A206,請求記録!$Z$6:$Z$3005,H$5,請求記録!$AF$6:$AF$3005,"保留中")&gt;0,"保留",IF(COUNTIFS(請求記録!$B$6:$B$3005,$A206,請求記録!$Z$6:$Z$3005,H$5)=0,"",SUMIFS(請求記録!$AE$6:$AE$3005,請求記録!$B$6:$B$3005,$A206,請求記録!$Z$6:$Z$3005,H$5))))</f>
        <v/>
      </c>
      <c r="I206" s="19">
        <f>IF($A206="","",IF(COUNTIFS(請求記録!$B$6:$B$3005,$A206,請求記録!$Z$6:$Z$3005,I$5,請求記録!$AF$6:$AF$3005,"保留中")&gt;0,"保留",IF(COUNTIFS(請求記録!$B$6:$B$3005,$A206,請求記録!$Z$6:$Z$3005,I$5)=0,"",SUMIFS(請求記録!$AE$6:$AE$3005,請求記録!$B$6:$B$3005,$A206,請求記録!$Z$6:$Z$3005,I$5))))</f>
        <v/>
      </c>
      <c r="J206" s="19">
        <f>IF($A206="","",IF(COUNTIFS(請求記録!$B$6:$B$3005,$A206,請求記録!$Z$6:$Z$3005,J$5,請求記録!$AF$6:$AF$3005,"保留中")&gt;0,"保留",IF(COUNTIFS(請求記録!$B$6:$B$3005,$A206,請求記録!$Z$6:$Z$3005,J$5)=0,"",SUMIFS(請求記録!$AE$6:$AE$3005,請求記録!$B$6:$B$3005,$A206,請求記録!$Z$6:$Z$3005,J$5))))</f>
        <v/>
      </c>
      <c r="K206" s="19">
        <f>IF($A206="","",IF(COUNTIFS(請求記録!$B$6:$B$3005,$A206,請求記録!$Z$6:$Z$3005,K$5,請求記録!$AF$6:$AF$3005,"保留中")&gt;0,"保留",IF(COUNTIFS(請求記録!$B$6:$B$3005,$A206,請求記録!$Z$6:$Z$3005,K$5)=0,"",SUMIFS(請求記録!$AE$6:$AE$3005,請求記録!$B$6:$B$3005,$A206,請求記録!$Z$6:$Z$3005,K$5))))</f>
        <v/>
      </c>
      <c r="L206" s="19">
        <f>IF($A206="","",IF(COUNTIFS(請求記録!$B$6:$B$3005,$A206,請求記録!$Z$6:$Z$3005,L$5,請求記録!$AF$6:$AF$3005,"保留中")&gt;0,"保留",IF(COUNTIFS(請求記録!$B$6:$B$3005,$A206,請求記録!$Z$6:$Z$3005,L$5)=0,"",SUMIFS(請求記録!$AE$6:$AE$3005,請求記録!$B$6:$B$3005,$A206,請求記録!$Z$6:$Z$3005,L$5))))</f>
        <v/>
      </c>
      <c r="M206" s="19">
        <f>IF($A206="","",IF(COUNTIFS(請求記録!$B$6:$B$3005,$A206,請求記録!$Z$6:$Z$3005,M$5,請求記録!$AF$6:$AF$3005,"保留中")&gt;0,"保留",IF(COUNTIFS(請求記録!$B$6:$B$3005,$A206,請求記録!$Z$6:$Z$3005,M$5)=0,"",SUMIFS(請求記録!$AE$6:$AE$3005,請求記録!$B$6:$B$3005,$A206,請求記録!$Z$6:$Z$3005,M$5))))</f>
        <v/>
      </c>
      <c r="N206" s="19">
        <f>IF($A206="","",IF(COUNTIFS(請求記録!$B$6:$B$3005,$A206,請求記録!$Z$6:$Z$3005,N$5,請求記録!$AF$6:$AF$3005,"保留中")&gt;0,"保留",IF(COUNTIFS(請求記録!$B$6:$B$3005,$A206,請求記録!$Z$6:$Z$3005,N$5)=0,"",SUMIFS(請求記録!$AE$6:$AE$3005,請求記録!$B$6:$B$3005,$A206,請求記録!$Z$6:$Z$3005,N$5))))</f>
        <v/>
      </c>
      <c r="O206" s="19">
        <f>IF($A206="","",IF(COUNTIFS(請求記録!$B$6:$B$3005,$A206,請求記録!$Z$6:$Z$3005,O$5,請求記録!$AF$6:$AF$3005,"保留中")&gt;0,"保留",IF(COUNTIFS(請求記録!$B$6:$B$3005,$A206,請求記録!$Z$6:$Z$3005,O$5)=0,"",SUMIFS(請求記録!$AE$6:$AE$3005,請求記録!$B$6:$B$3005,$A206,請求記録!$Z$6:$Z$3005,O$5))))</f>
        <v/>
      </c>
      <c r="P206" s="19">
        <f>IF($A206="","",IF(COUNTIFS(請求記録!$B$6:$B$3005,$A206,請求記録!$Z$6:$Z$3005,P$5,請求記録!$AF$6:$AF$3005,"保留中")&gt;0,"保留",IF(COUNTIFS(請求記録!$B$6:$B$3005,$A206,請求記録!$Z$6:$Z$3005,P$5)=0,"",SUMIFS(請求記録!$AE$6:$AE$3005,請求記録!$B$6:$B$3005,$A206,請求記録!$Z$6:$Z$3005,P$5))))</f>
        <v/>
      </c>
      <c r="Q206" s="19">
        <f>IF($A206="","",IF(COUNTIFS(請求記録!$B$6:$B$3005,$A206,請求記録!$Z$6:$Z$3005,Q$5,請求記録!$AF$6:$AF$3005,"保留中")&gt;0,"保留",IF(COUNTIFS(請求記録!$B$6:$B$3005,$A206,請求記録!$Z$6:$Z$3005,Q$5)=0,"",SUMIFS(請求記録!$AE$6:$AE$3005,請求記録!$B$6:$B$3005,$A206,請求記録!$Z$6:$Z$3005,Q$5))))</f>
        <v/>
      </c>
      <c r="R206" s="19">
        <f>IF($A206="","",IF(COUNTIFS(請求記録!$B$6:$B$3005,$A206,請求記録!$Z$6:$Z$3005,R$5,請求記録!$AF$6:$AF$3005,"保留中")&gt;0,"保留",IF(COUNTIFS(請求記録!$B$6:$B$3005,$A206,請求記録!$Z$6:$Z$3005,R$5)=0,"",SUMIFS(請求記録!$AE$6:$AE$3005,請求記録!$B$6:$B$3005,$A206,請求記録!$Z$6:$Z$3005,R$5))))</f>
        <v/>
      </c>
      <c r="S206" s="19">
        <f>IF($A206="","",IF(COUNTIFS(請求記録!$B$6:$B$3005,$A206,請求記録!$Z$6:$Z$3005,S$5,請求記録!$AF$6:$AF$3005,"保留中")&gt;0,"保留",IF(COUNTIFS(請求記録!$B$6:$B$3005,$A206,請求記録!$Z$6:$Z$3005,S$5)=0,"",SUMIFS(請求記録!$AE$6:$AE$3005,請求記録!$B$6:$B$3005,$A206,請求記録!$Z$6:$Z$3005,S$5))))</f>
        <v/>
      </c>
      <c r="T206" s="19">
        <f>IF($A206="","",IF(COUNTIFS(請求記録!$B$6:$B$3005,$A206,請求記録!$Z$6:$Z$3005,T$5,請求記録!$AF$6:$AF$3005,"保留中")&gt;0,"保留",IF(COUNTIFS(請求記録!$B$6:$B$3005,$A206,請求記録!$Z$6:$Z$3005,T$5)=0,"",SUMIFS(請求記録!$AE$6:$AE$3005,請求記録!$B$6:$B$3005,$A206,請求記録!$Z$6:$Z$3005,T$5))))</f>
        <v/>
      </c>
      <c r="U206" s="19">
        <f>IF($A206="","",IF(COUNTIFS(請求記録!$B$6:$B$3005,$A206,請求記録!$Z$6:$Z$3005,U$5,請求記録!$AF$6:$AF$3005,"保留中")&gt;0,"保留",IF(COUNTIFS(請求記録!$B$6:$B$3005,$A206,請求記録!$Z$6:$Z$3005,U$5)=0,"",SUMIFS(請求記録!$AE$6:$AE$3005,請求記録!$B$6:$B$3005,$A206,請求記録!$Z$6:$Z$3005,U$5))))</f>
        <v/>
      </c>
      <c r="V206" s="19">
        <f>IF($A206="","",IF(COUNTIFS(請求記録!$B$6:$B$3005,$A206,請求記録!$Z$6:$Z$3005,V$5,請求記録!$AF$6:$AF$3005,"保留中")&gt;0,"保留",IF(COUNTIFS(請求記録!$B$6:$B$3005,$A206,請求記録!$Z$6:$Z$3005,V$5)=0,"",SUMIFS(請求記録!$AE$6:$AE$3005,請求記録!$B$6:$B$3005,$A206,請求記録!$Z$6:$Z$3005,V$5))))</f>
        <v/>
      </c>
      <c r="W206" s="19">
        <f>IF($A206="","",IF(COUNTIFS(請求記録!$B$6:$B$3005,$A206,請求記録!$Z$6:$Z$3005,W$5,請求記録!$AF$6:$AF$3005,"保留中")&gt;0,"保留",IF(COUNTIFS(請求記録!$B$6:$B$3005,$A206,請求記録!$Z$6:$Z$3005,W$5)=0,"",SUMIFS(請求記録!$AE$6:$AE$3005,請求記録!$B$6:$B$3005,$A206,請求記録!$Z$6:$Z$3005,W$5))))</f>
        <v/>
      </c>
      <c r="X206" s="19">
        <f>IF($A206="","",IF(COUNTIFS(請求記録!$B$6:$B$3005,$A206,請求記録!$Z$6:$Z$3005,X$5,請求記録!$AF$6:$AF$3005,"保留中")&gt;0,"保留",IF(COUNTIFS(請求記録!$B$6:$B$3005,$A206,請求記録!$Z$6:$Z$3005,X$5)=0,"",SUMIFS(請求記録!$AE$6:$AE$3005,請求記録!$B$6:$B$3005,$A206,請求記録!$Z$6:$Z$3005,X$5))))</f>
        <v/>
      </c>
      <c r="Y206" s="19">
        <f>IF($A206="","",IF(COUNTIFS(請求記録!$B$6:$B$3005,$A206,請求記録!$Z$6:$Z$3005,Y$5,請求記録!$AF$6:$AF$3005,"保留中")&gt;0,"保留",IF(COUNTIFS(請求記録!$B$6:$B$3005,$A206,請求記録!$Z$6:$Z$3005,Y$5)=0,"",SUMIFS(請求記録!$AE$6:$AE$3005,請求記録!$B$6:$B$3005,$A206,請求記録!$Z$6:$Z$3005,Y$5))))</f>
        <v/>
      </c>
      <c r="Z206" s="19">
        <f>IF($A206="","",IF(COUNTIFS(請求記録!$B$6:$B$3005,$A206,請求記録!$Z$6:$Z$3005,Z$5,請求記録!$AF$6:$AF$3005,"保留中")&gt;0,"保留",IF(COUNTIFS(請求記録!$B$6:$B$3005,$A206,請求記録!$Z$6:$Z$3005,Z$5)=0,"",SUMIFS(請求記録!$AE$6:$AE$3005,請求記録!$B$6:$B$3005,$A206,請求記録!$Z$6:$Z$3005,Z$5))))</f>
        <v/>
      </c>
      <c r="AA206" s="19">
        <f>IF($A206="","",IF(COUNTIFS(請求記録!$B$6:$B$3005,$A206,請求記録!$Z$6:$Z$3005,AA$5,請求記録!$AF$6:$AF$3005,"保留中")&gt;0,"保留",IF(COUNTIFS(請求記録!$B$6:$B$3005,$A206,請求記録!$Z$6:$Z$3005,AA$5)=0,"",SUMIFS(請求記録!$AE$6:$AE$3005,請求記録!$B$6:$B$3005,$A206,請求記録!$Z$6:$Z$3005,AA$5))))</f>
        <v/>
      </c>
      <c r="AB206">
        <f>IF(職員マスタ!P206="保留中",職員マスタ!M206,"")</f>
        <v/>
      </c>
    </row>
    <row r="207">
      <c r="A207">
        <f>IF(職員マスタ!A207="","",職員マスタ!A207)</f>
        <v/>
      </c>
      <c r="B207">
        <f>IF($A207="","",職員マスタ!B207)</f>
        <v/>
      </c>
      <c r="C207">
        <f>IF($A207="","",職員マスタ!C207)</f>
        <v/>
      </c>
      <c r="D207" s="19">
        <f>IF($A207="","",IF(COUNTIFS(請求記録!$B$6:$B$3005,$A207,請求記録!$Z$6:$Z$3005,D$5,請求記録!$AF$6:$AF$3005,"保留中")&gt;0,"保留",IF(COUNTIFS(請求記録!$B$6:$B$3005,$A207,請求記録!$Z$6:$Z$3005,D$5)=0,"",SUMIFS(請求記録!$AE$6:$AE$3005,請求記録!$B$6:$B$3005,$A207,請求記録!$Z$6:$Z$3005,D$5))))</f>
        <v/>
      </c>
      <c r="E207" s="19">
        <f>IF($A207="","",IF(COUNTIFS(請求記録!$B$6:$B$3005,$A207,請求記録!$Z$6:$Z$3005,E$5,請求記録!$AF$6:$AF$3005,"保留中")&gt;0,"保留",IF(COUNTIFS(請求記録!$B$6:$B$3005,$A207,請求記録!$Z$6:$Z$3005,E$5)=0,"",SUMIFS(請求記録!$AE$6:$AE$3005,請求記録!$B$6:$B$3005,$A207,請求記録!$Z$6:$Z$3005,E$5))))</f>
        <v/>
      </c>
      <c r="F207" s="19">
        <f>IF($A207="","",IF(COUNTIFS(請求記録!$B$6:$B$3005,$A207,請求記録!$Z$6:$Z$3005,F$5,請求記録!$AF$6:$AF$3005,"保留中")&gt;0,"保留",IF(COUNTIFS(請求記録!$B$6:$B$3005,$A207,請求記録!$Z$6:$Z$3005,F$5)=0,"",SUMIFS(請求記録!$AE$6:$AE$3005,請求記録!$B$6:$B$3005,$A207,請求記録!$Z$6:$Z$3005,F$5))))</f>
        <v/>
      </c>
      <c r="G207" s="19">
        <f>IF($A207="","",IF(COUNTIFS(請求記録!$B$6:$B$3005,$A207,請求記録!$Z$6:$Z$3005,G$5,請求記録!$AF$6:$AF$3005,"保留中")&gt;0,"保留",IF(COUNTIFS(請求記録!$B$6:$B$3005,$A207,請求記録!$Z$6:$Z$3005,G$5)=0,"",SUMIFS(請求記録!$AE$6:$AE$3005,請求記録!$B$6:$B$3005,$A207,請求記録!$Z$6:$Z$3005,G$5))))</f>
        <v/>
      </c>
      <c r="H207" s="19">
        <f>IF($A207="","",IF(COUNTIFS(請求記録!$B$6:$B$3005,$A207,請求記録!$Z$6:$Z$3005,H$5,請求記録!$AF$6:$AF$3005,"保留中")&gt;0,"保留",IF(COUNTIFS(請求記録!$B$6:$B$3005,$A207,請求記録!$Z$6:$Z$3005,H$5)=0,"",SUMIFS(請求記録!$AE$6:$AE$3005,請求記録!$B$6:$B$3005,$A207,請求記録!$Z$6:$Z$3005,H$5))))</f>
        <v/>
      </c>
      <c r="I207" s="19">
        <f>IF($A207="","",IF(COUNTIFS(請求記録!$B$6:$B$3005,$A207,請求記録!$Z$6:$Z$3005,I$5,請求記録!$AF$6:$AF$3005,"保留中")&gt;0,"保留",IF(COUNTIFS(請求記録!$B$6:$B$3005,$A207,請求記録!$Z$6:$Z$3005,I$5)=0,"",SUMIFS(請求記録!$AE$6:$AE$3005,請求記録!$B$6:$B$3005,$A207,請求記録!$Z$6:$Z$3005,I$5))))</f>
        <v/>
      </c>
      <c r="J207" s="19">
        <f>IF($A207="","",IF(COUNTIFS(請求記録!$B$6:$B$3005,$A207,請求記録!$Z$6:$Z$3005,J$5,請求記録!$AF$6:$AF$3005,"保留中")&gt;0,"保留",IF(COUNTIFS(請求記録!$B$6:$B$3005,$A207,請求記録!$Z$6:$Z$3005,J$5)=0,"",SUMIFS(請求記録!$AE$6:$AE$3005,請求記録!$B$6:$B$3005,$A207,請求記録!$Z$6:$Z$3005,J$5))))</f>
        <v/>
      </c>
      <c r="K207" s="19">
        <f>IF($A207="","",IF(COUNTIFS(請求記録!$B$6:$B$3005,$A207,請求記録!$Z$6:$Z$3005,K$5,請求記録!$AF$6:$AF$3005,"保留中")&gt;0,"保留",IF(COUNTIFS(請求記録!$B$6:$B$3005,$A207,請求記録!$Z$6:$Z$3005,K$5)=0,"",SUMIFS(請求記録!$AE$6:$AE$3005,請求記録!$B$6:$B$3005,$A207,請求記録!$Z$6:$Z$3005,K$5))))</f>
        <v/>
      </c>
      <c r="L207" s="19">
        <f>IF($A207="","",IF(COUNTIFS(請求記録!$B$6:$B$3005,$A207,請求記録!$Z$6:$Z$3005,L$5,請求記録!$AF$6:$AF$3005,"保留中")&gt;0,"保留",IF(COUNTIFS(請求記録!$B$6:$B$3005,$A207,請求記録!$Z$6:$Z$3005,L$5)=0,"",SUMIFS(請求記録!$AE$6:$AE$3005,請求記録!$B$6:$B$3005,$A207,請求記録!$Z$6:$Z$3005,L$5))))</f>
        <v/>
      </c>
      <c r="M207" s="19">
        <f>IF($A207="","",IF(COUNTIFS(請求記録!$B$6:$B$3005,$A207,請求記録!$Z$6:$Z$3005,M$5,請求記録!$AF$6:$AF$3005,"保留中")&gt;0,"保留",IF(COUNTIFS(請求記録!$B$6:$B$3005,$A207,請求記録!$Z$6:$Z$3005,M$5)=0,"",SUMIFS(請求記録!$AE$6:$AE$3005,請求記録!$B$6:$B$3005,$A207,請求記録!$Z$6:$Z$3005,M$5))))</f>
        <v/>
      </c>
      <c r="N207" s="19">
        <f>IF($A207="","",IF(COUNTIFS(請求記録!$B$6:$B$3005,$A207,請求記録!$Z$6:$Z$3005,N$5,請求記録!$AF$6:$AF$3005,"保留中")&gt;0,"保留",IF(COUNTIFS(請求記録!$B$6:$B$3005,$A207,請求記録!$Z$6:$Z$3005,N$5)=0,"",SUMIFS(請求記録!$AE$6:$AE$3005,請求記録!$B$6:$B$3005,$A207,請求記録!$Z$6:$Z$3005,N$5))))</f>
        <v/>
      </c>
      <c r="O207" s="19">
        <f>IF($A207="","",IF(COUNTIFS(請求記録!$B$6:$B$3005,$A207,請求記録!$Z$6:$Z$3005,O$5,請求記録!$AF$6:$AF$3005,"保留中")&gt;0,"保留",IF(COUNTIFS(請求記録!$B$6:$B$3005,$A207,請求記録!$Z$6:$Z$3005,O$5)=0,"",SUMIFS(請求記録!$AE$6:$AE$3005,請求記録!$B$6:$B$3005,$A207,請求記録!$Z$6:$Z$3005,O$5))))</f>
        <v/>
      </c>
      <c r="P207" s="19">
        <f>IF($A207="","",IF(COUNTIFS(請求記録!$B$6:$B$3005,$A207,請求記録!$Z$6:$Z$3005,P$5,請求記録!$AF$6:$AF$3005,"保留中")&gt;0,"保留",IF(COUNTIFS(請求記録!$B$6:$B$3005,$A207,請求記録!$Z$6:$Z$3005,P$5)=0,"",SUMIFS(請求記録!$AE$6:$AE$3005,請求記録!$B$6:$B$3005,$A207,請求記録!$Z$6:$Z$3005,P$5))))</f>
        <v/>
      </c>
      <c r="Q207" s="19">
        <f>IF($A207="","",IF(COUNTIFS(請求記録!$B$6:$B$3005,$A207,請求記録!$Z$6:$Z$3005,Q$5,請求記録!$AF$6:$AF$3005,"保留中")&gt;0,"保留",IF(COUNTIFS(請求記録!$B$6:$B$3005,$A207,請求記録!$Z$6:$Z$3005,Q$5)=0,"",SUMIFS(請求記録!$AE$6:$AE$3005,請求記録!$B$6:$B$3005,$A207,請求記録!$Z$6:$Z$3005,Q$5))))</f>
        <v/>
      </c>
      <c r="R207" s="19">
        <f>IF($A207="","",IF(COUNTIFS(請求記録!$B$6:$B$3005,$A207,請求記録!$Z$6:$Z$3005,R$5,請求記録!$AF$6:$AF$3005,"保留中")&gt;0,"保留",IF(COUNTIFS(請求記録!$B$6:$B$3005,$A207,請求記録!$Z$6:$Z$3005,R$5)=0,"",SUMIFS(請求記録!$AE$6:$AE$3005,請求記録!$B$6:$B$3005,$A207,請求記録!$Z$6:$Z$3005,R$5))))</f>
        <v/>
      </c>
      <c r="S207" s="19">
        <f>IF($A207="","",IF(COUNTIFS(請求記録!$B$6:$B$3005,$A207,請求記録!$Z$6:$Z$3005,S$5,請求記録!$AF$6:$AF$3005,"保留中")&gt;0,"保留",IF(COUNTIFS(請求記録!$B$6:$B$3005,$A207,請求記録!$Z$6:$Z$3005,S$5)=0,"",SUMIFS(請求記録!$AE$6:$AE$3005,請求記録!$B$6:$B$3005,$A207,請求記録!$Z$6:$Z$3005,S$5))))</f>
        <v/>
      </c>
      <c r="T207" s="19">
        <f>IF($A207="","",IF(COUNTIFS(請求記録!$B$6:$B$3005,$A207,請求記録!$Z$6:$Z$3005,T$5,請求記録!$AF$6:$AF$3005,"保留中")&gt;0,"保留",IF(COUNTIFS(請求記録!$B$6:$B$3005,$A207,請求記録!$Z$6:$Z$3005,T$5)=0,"",SUMIFS(請求記録!$AE$6:$AE$3005,請求記録!$B$6:$B$3005,$A207,請求記録!$Z$6:$Z$3005,T$5))))</f>
        <v/>
      </c>
      <c r="U207" s="19">
        <f>IF($A207="","",IF(COUNTIFS(請求記録!$B$6:$B$3005,$A207,請求記録!$Z$6:$Z$3005,U$5,請求記録!$AF$6:$AF$3005,"保留中")&gt;0,"保留",IF(COUNTIFS(請求記録!$B$6:$B$3005,$A207,請求記録!$Z$6:$Z$3005,U$5)=0,"",SUMIFS(請求記録!$AE$6:$AE$3005,請求記録!$B$6:$B$3005,$A207,請求記録!$Z$6:$Z$3005,U$5))))</f>
        <v/>
      </c>
      <c r="V207" s="19">
        <f>IF($A207="","",IF(COUNTIFS(請求記録!$B$6:$B$3005,$A207,請求記録!$Z$6:$Z$3005,V$5,請求記録!$AF$6:$AF$3005,"保留中")&gt;0,"保留",IF(COUNTIFS(請求記録!$B$6:$B$3005,$A207,請求記録!$Z$6:$Z$3005,V$5)=0,"",SUMIFS(請求記録!$AE$6:$AE$3005,請求記録!$B$6:$B$3005,$A207,請求記録!$Z$6:$Z$3005,V$5))))</f>
        <v/>
      </c>
      <c r="W207" s="19">
        <f>IF($A207="","",IF(COUNTIFS(請求記録!$B$6:$B$3005,$A207,請求記録!$Z$6:$Z$3005,W$5,請求記録!$AF$6:$AF$3005,"保留中")&gt;0,"保留",IF(COUNTIFS(請求記録!$B$6:$B$3005,$A207,請求記録!$Z$6:$Z$3005,W$5)=0,"",SUMIFS(請求記録!$AE$6:$AE$3005,請求記録!$B$6:$B$3005,$A207,請求記録!$Z$6:$Z$3005,W$5))))</f>
        <v/>
      </c>
      <c r="X207" s="19">
        <f>IF($A207="","",IF(COUNTIFS(請求記録!$B$6:$B$3005,$A207,請求記録!$Z$6:$Z$3005,X$5,請求記録!$AF$6:$AF$3005,"保留中")&gt;0,"保留",IF(COUNTIFS(請求記録!$B$6:$B$3005,$A207,請求記録!$Z$6:$Z$3005,X$5)=0,"",SUMIFS(請求記録!$AE$6:$AE$3005,請求記録!$B$6:$B$3005,$A207,請求記録!$Z$6:$Z$3005,X$5))))</f>
        <v/>
      </c>
      <c r="Y207" s="19">
        <f>IF($A207="","",IF(COUNTIFS(請求記録!$B$6:$B$3005,$A207,請求記録!$Z$6:$Z$3005,Y$5,請求記録!$AF$6:$AF$3005,"保留中")&gt;0,"保留",IF(COUNTIFS(請求記録!$B$6:$B$3005,$A207,請求記録!$Z$6:$Z$3005,Y$5)=0,"",SUMIFS(請求記録!$AE$6:$AE$3005,請求記録!$B$6:$B$3005,$A207,請求記録!$Z$6:$Z$3005,Y$5))))</f>
        <v/>
      </c>
      <c r="Z207" s="19">
        <f>IF($A207="","",IF(COUNTIFS(請求記録!$B$6:$B$3005,$A207,請求記録!$Z$6:$Z$3005,Z$5,請求記録!$AF$6:$AF$3005,"保留中")&gt;0,"保留",IF(COUNTIFS(請求記録!$B$6:$B$3005,$A207,請求記録!$Z$6:$Z$3005,Z$5)=0,"",SUMIFS(請求記録!$AE$6:$AE$3005,請求記録!$B$6:$B$3005,$A207,請求記録!$Z$6:$Z$3005,Z$5))))</f>
        <v/>
      </c>
      <c r="AA207" s="19">
        <f>IF($A207="","",IF(COUNTIFS(請求記録!$B$6:$B$3005,$A207,請求記録!$Z$6:$Z$3005,AA$5,請求記録!$AF$6:$AF$3005,"保留中")&gt;0,"保留",IF(COUNTIFS(請求記録!$B$6:$B$3005,$A207,請求記録!$Z$6:$Z$3005,AA$5)=0,"",SUMIFS(請求記録!$AE$6:$AE$3005,請求記録!$B$6:$B$3005,$A207,請求記録!$Z$6:$Z$3005,AA$5))))</f>
        <v/>
      </c>
      <c r="AB207">
        <f>IF(職員マスタ!P207="保留中",職員マスタ!M207,"")</f>
        <v/>
      </c>
    </row>
    <row r="208">
      <c r="A208">
        <f>IF(職員マスタ!A208="","",職員マスタ!A208)</f>
        <v/>
      </c>
      <c r="B208">
        <f>IF($A208="","",職員マスタ!B208)</f>
        <v/>
      </c>
      <c r="C208">
        <f>IF($A208="","",職員マスタ!C208)</f>
        <v/>
      </c>
      <c r="D208" s="19">
        <f>IF($A208="","",IF(COUNTIFS(請求記録!$B$6:$B$3005,$A208,請求記録!$Z$6:$Z$3005,D$5,請求記録!$AF$6:$AF$3005,"保留中")&gt;0,"保留",IF(COUNTIFS(請求記録!$B$6:$B$3005,$A208,請求記録!$Z$6:$Z$3005,D$5)=0,"",SUMIFS(請求記録!$AE$6:$AE$3005,請求記録!$B$6:$B$3005,$A208,請求記録!$Z$6:$Z$3005,D$5))))</f>
        <v/>
      </c>
      <c r="E208" s="19">
        <f>IF($A208="","",IF(COUNTIFS(請求記録!$B$6:$B$3005,$A208,請求記録!$Z$6:$Z$3005,E$5,請求記録!$AF$6:$AF$3005,"保留中")&gt;0,"保留",IF(COUNTIFS(請求記録!$B$6:$B$3005,$A208,請求記録!$Z$6:$Z$3005,E$5)=0,"",SUMIFS(請求記録!$AE$6:$AE$3005,請求記録!$B$6:$B$3005,$A208,請求記録!$Z$6:$Z$3005,E$5))))</f>
        <v/>
      </c>
      <c r="F208" s="19">
        <f>IF($A208="","",IF(COUNTIFS(請求記録!$B$6:$B$3005,$A208,請求記録!$Z$6:$Z$3005,F$5,請求記録!$AF$6:$AF$3005,"保留中")&gt;0,"保留",IF(COUNTIFS(請求記録!$B$6:$B$3005,$A208,請求記録!$Z$6:$Z$3005,F$5)=0,"",SUMIFS(請求記録!$AE$6:$AE$3005,請求記録!$B$6:$B$3005,$A208,請求記録!$Z$6:$Z$3005,F$5))))</f>
        <v/>
      </c>
      <c r="G208" s="19">
        <f>IF($A208="","",IF(COUNTIFS(請求記録!$B$6:$B$3005,$A208,請求記録!$Z$6:$Z$3005,G$5,請求記録!$AF$6:$AF$3005,"保留中")&gt;0,"保留",IF(COUNTIFS(請求記録!$B$6:$B$3005,$A208,請求記録!$Z$6:$Z$3005,G$5)=0,"",SUMIFS(請求記録!$AE$6:$AE$3005,請求記録!$B$6:$B$3005,$A208,請求記録!$Z$6:$Z$3005,G$5))))</f>
        <v/>
      </c>
      <c r="H208" s="19">
        <f>IF($A208="","",IF(COUNTIFS(請求記録!$B$6:$B$3005,$A208,請求記録!$Z$6:$Z$3005,H$5,請求記録!$AF$6:$AF$3005,"保留中")&gt;0,"保留",IF(COUNTIFS(請求記録!$B$6:$B$3005,$A208,請求記録!$Z$6:$Z$3005,H$5)=0,"",SUMIFS(請求記録!$AE$6:$AE$3005,請求記録!$B$6:$B$3005,$A208,請求記録!$Z$6:$Z$3005,H$5))))</f>
        <v/>
      </c>
      <c r="I208" s="19">
        <f>IF($A208="","",IF(COUNTIFS(請求記録!$B$6:$B$3005,$A208,請求記録!$Z$6:$Z$3005,I$5,請求記録!$AF$6:$AF$3005,"保留中")&gt;0,"保留",IF(COUNTIFS(請求記録!$B$6:$B$3005,$A208,請求記録!$Z$6:$Z$3005,I$5)=0,"",SUMIFS(請求記録!$AE$6:$AE$3005,請求記録!$B$6:$B$3005,$A208,請求記録!$Z$6:$Z$3005,I$5))))</f>
        <v/>
      </c>
      <c r="J208" s="19">
        <f>IF($A208="","",IF(COUNTIFS(請求記録!$B$6:$B$3005,$A208,請求記録!$Z$6:$Z$3005,J$5,請求記録!$AF$6:$AF$3005,"保留中")&gt;0,"保留",IF(COUNTIFS(請求記録!$B$6:$B$3005,$A208,請求記録!$Z$6:$Z$3005,J$5)=0,"",SUMIFS(請求記録!$AE$6:$AE$3005,請求記録!$B$6:$B$3005,$A208,請求記録!$Z$6:$Z$3005,J$5))))</f>
        <v/>
      </c>
      <c r="K208" s="19">
        <f>IF($A208="","",IF(COUNTIFS(請求記録!$B$6:$B$3005,$A208,請求記録!$Z$6:$Z$3005,K$5,請求記録!$AF$6:$AF$3005,"保留中")&gt;0,"保留",IF(COUNTIFS(請求記録!$B$6:$B$3005,$A208,請求記録!$Z$6:$Z$3005,K$5)=0,"",SUMIFS(請求記録!$AE$6:$AE$3005,請求記録!$B$6:$B$3005,$A208,請求記録!$Z$6:$Z$3005,K$5))))</f>
        <v/>
      </c>
      <c r="L208" s="19">
        <f>IF($A208="","",IF(COUNTIFS(請求記録!$B$6:$B$3005,$A208,請求記録!$Z$6:$Z$3005,L$5,請求記録!$AF$6:$AF$3005,"保留中")&gt;0,"保留",IF(COUNTIFS(請求記録!$B$6:$B$3005,$A208,請求記録!$Z$6:$Z$3005,L$5)=0,"",SUMIFS(請求記録!$AE$6:$AE$3005,請求記録!$B$6:$B$3005,$A208,請求記録!$Z$6:$Z$3005,L$5))))</f>
        <v/>
      </c>
      <c r="M208" s="19">
        <f>IF($A208="","",IF(COUNTIFS(請求記録!$B$6:$B$3005,$A208,請求記録!$Z$6:$Z$3005,M$5,請求記録!$AF$6:$AF$3005,"保留中")&gt;0,"保留",IF(COUNTIFS(請求記録!$B$6:$B$3005,$A208,請求記録!$Z$6:$Z$3005,M$5)=0,"",SUMIFS(請求記録!$AE$6:$AE$3005,請求記録!$B$6:$B$3005,$A208,請求記録!$Z$6:$Z$3005,M$5))))</f>
        <v/>
      </c>
      <c r="N208" s="19">
        <f>IF($A208="","",IF(COUNTIFS(請求記録!$B$6:$B$3005,$A208,請求記録!$Z$6:$Z$3005,N$5,請求記録!$AF$6:$AF$3005,"保留中")&gt;0,"保留",IF(COUNTIFS(請求記録!$B$6:$B$3005,$A208,請求記録!$Z$6:$Z$3005,N$5)=0,"",SUMIFS(請求記録!$AE$6:$AE$3005,請求記録!$B$6:$B$3005,$A208,請求記録!$Z$6:$Z$3005,N$5))))</f>
        <v/>
      </c>
      <c r="O208" s="19">
        <f>IF($A208="","",IF(COUNTIFS(請求記録!$B$6:$B$3005,$A208,請求記録!$Z$6:$Z$3005,O$5,請求記録!$AF$6:$AF$3005,"保留中")&gt;0,"保留",IF(COUNTIFS(請求記録!$B$6:$B$3005,$A208,請求記録!$Z$6:$Z$3005,O$5)=0,"",SUMIFS(請求記録!$AE$6:$AE$3005,請求記録!$B$6:$B$3005,$A208,請求記録!$Z$6:$Z$3005,O$5))))</f>
        <v/>
      </c>
      <c r="P208" s="19">
        <f>IF($A208="","",IF(COUNTIFS(請求記録!$B$6:$B$3005,$A208,請求記録!$Z$6:$Z$3005,P$5,請求記録!$AF$6:$AF$3005,"保留中")&gt;0,"保留",IF(COUNTIFS(請求記録!$B$6:$B$3005,$A208,請求記録!$Z$6:$Z$3005,P$5)=0,"",SUMIFS(請求記録!$AE$6:$AE$3005,請求記録!$B$6:$B$3005,$A208,請求記録!$Z$6:$Z$3005,P$5))))</f>
        <v/>
      </c>
      <c r="Q208" s="19">
        <f>IF($A208="","",IF(COUNTIFS(請求記録!$B$6:$B$3005,$A208,請求記録!$Z$6:$Z$3005,Q$5,請求記録!$AF$6:$AF$3005,"保留中")&gt;0,"保留",IF(COUNTIFS(請求記録!$B$6:$B$3005,$A208,請求記録!$Z$6:$Z$3005,Q$5)=0,"",SUMIFS(請求記録!$AE$6:$AE$3005,請求記録!$B$6:$B$3005,$A208,請求記録!$Z$6:$Z$3005,Q$5))))</f>
        <v/>
      </c>
      <c r="R208" s="19">
        <f>IF($A208="","",IF(COUNTIFS(請求記録!$B$6:$B$3005,$A208,請求記録!$Z$6:$Z$3005,R$5,請求記録!$AF$6:$AF$3005,"保留中")&gt;0,"保留",IF(COUNTIFS(請求記録!$B$6:$B$3005,$A208,請求記録!$Z$6:$Z$3005,R$5)=0,"",SUMIFS(請求記録!$AE$6:$AE$3005,請求記録!$B$6:$B$3005,$A208,請求記録!$Z$6:$Z$3005,R$5))))</f>
        <v/>
      </c>
      <c r="S208" s="19">
        <f>IF($A208="","",IF(COUNTIFS(請求記録!$B$6:$B$3005,$A208,請求記録!$Z$6:$Z$3005,S$5,請求記録!$AF$6:$AF$3005,"保留中")&gt;0,"保留",IF(COUNTIFS(請求記録!$B$6:$B$3005,$A208,請求記録!$Z$6:$Z$3005,S$5)=0,"",SUMIFS(請求記録!$AE$6:$AE$3005,請求記録!$B$6:$B$3005,$A208,請求記録!$Z$6:$Z$3005,S$5))))</f>
        <v/>
      </c>
      <c r="T208" s="19">
        <f>IF($A208="","",IF(COUNTIFS(請求記録!$B$6:$B$3005,$A208,請求記録!$Z$6:$Z$3005,T$5,請求記録!$AF$6:$AF$3005,"保留中")&gt;0,"保留",IF(COUNTIFS(請求記録!$B$6:$B$3005,$A208,請求記録!$Z$6:$Z$3005,T$5)=0,"",SUMIFS(請求記録!$AE$6:$AE$3005,請求記録!$B$6:$B$3005,$A208,請求記録!$Z$6:$Z$3005,T$5))))</f>
        <v/>
      </c>
      <c r="U208" s="19">
        <f>IF($A208="","",IF(COUNTIFS(請求記録!$B$6:$B$3005,$A208,請求記録!$Z$6:$Z$3005,U$5,請求記録!$AF$6:$AF$3005,"保留中")&gt;0,"保留",IF(COUNTIFS(請求記録!$B$6:$B$3005,$A208,請求記録!$Z$6:$Z$3005,U$5)=0,"",SUMIFS(請求記録!$AE$6:$AE$3005,請求記録!$B$6:$B$3005,$A208,請求記録!$Z$6:$Z$3005,U$5))))</f>
        <v/>
      </c>
      <c r="V208" s="19">
        <f>IF($A208="","",IF(COUNTIFS(請求記録!$B$6:$B$3005,$A208,請求記録!$Z$6:$Z$3005,V$5,請求記録!$AF$6:$AF$3005,"保留中")&gt;0,"保留",IF(COUNTIFS(請求記録!$B$6:$B$3005,$A208,請求記録!$Z$6:$Z$3005,V$5)=0,"",SUMIFS(請求記録!$AE$6:$AE$3005,請求記録!$B$6:$B$3005,$A208,請求記録!$Z$6:$Z$3005,V$5))))</f>
        <v/>
      </c>
      <c r="W208" s="19">
        <f>IF($A208="","",IF(COUNTIFS(請求記録!$B$6:$B$3005,$A208,請求記録!$Z$6:$Z$3005,W$5,請求記録!$AF$6:$AF$3005,"保留中")&gt;0,"保留",IF(COUNTIFS(請求記録!$B$6:$B$3005,$A208,請求記録!$Z$6:$Z$3005,W$5)=0,"",SUMIFS(請求記録!$AE$6:$AE$3005,請求記録!$B$6:$B$3005,$A208,請求記録!$Z$6:$Z$3005,W$5))))</f>
        <v/>
      </c>
      <c r="X208" s="19">
        <f>IF($A208="","",IF(COUNTIFS(請求記録!$B$6:$B$3005,$A208,請求記録!$Z$6:$Z$3005,X$5,請求記録!$AF$6:$AF$3005,"保留中")&gt;0,"保留",IF(COUNTIFS(請求記録!$B$6:$B$3005,$A208,請求記録!$Z$6:$Z$3005,X$5)=0,"",SUMIFS(請求記録!$AE$6:$AE$3005,請求記録!$B$6:$B$3005,$A208,請求記録!$Z$6:$Z$3005,X$5))))</f>
        <v/>
      </c>
      <c r="Y208" s="19">
        <f>IF($A208="","",IF(COUNTIFS(請求記録!$B$6:$B$3005,$A208,請求記録!$Z$6:$Z$3005,Y$5,請求記録!$AF$6:$AF$3005,"保留中")&gt;0,"保留",IF(COUNTIFS(請求記録!$B$6:$B$3005,$A208,請求記録!$Z$6:$Z$3005,Y$5)=0,"",SUMIFS(請求記録!$AE$6:$AE$3005,請求記録!$B$6:$B$3005,$A208,請求記録!$Z$6:$Z$3005,Y$5))))</f>
        <v/>
      </c>
      <c r="Z208" s="19">
        <f>IF($A208="","",IF(COUNTIFS(請求記録!$B$6:$B$3005,$A208,請求記録!$Z$6:$Z$3005,Z$5,請求記録!$AF$6:$AF$3005,"保留中")&gt;0,"保留",IF(COUNTIFS(請求記録!$B$6:$B$3005,$A208,請求記録!$Z$6:$Z$3005,Z$5)=0,"",SUMIFS(請求記録!$AE$6:$AE$3005,請求記録!$B$6:$B$3005,$A208,請求記録!$Z$6:$Z$3005,Z$5))))</f>
        <v/>
      </c>
      <c r="AA208" s="19">
        <f>IF($A208="","",IF(COUNTIFS(請求記録!$B$6:$B$3005,$A208,請求記録!$Z$6:$Z$3005,AA$5,請求記録!$AF$6:$AF$3005,"保留中")&gt;0,"保留",IF(COUNTIFS(請求記録!$B$6:$B$3005,$A208,請求記録!$Z$6:$Z$3005,AA$5)=0,"",SUMIFS(請求記録!$AE$6:$AE$3005,請求記録!$B$6:$B$3005,$A208,請求記録!$Z$6:$Z$3005,AA$5))))</f>
        <v/>
      </c>
      <c r="AB208">
        <f>IF(職員マスタ!P208="保留中",職員マスタ!M208,"")</f>
        <v/>
      </c>
    </row>
    <row r="209">
      <c r="A209">
        <f>IF(職員マスタ!A209="","",職員マスタ!A209)</f>
        <v/>
      </c>
      <c r="B209">
        <f>IF($A209="","",職員マスタ!B209)</f>
        <v/>
      </c>
      <c r="C209">
        <f>IF($A209="","",職員マスタ!C209)</f>
        <v/>
      </c>
      <c r="D209" s="19">
        <f>IF($A209="","",IF(COUNTIFS(請求記録!$B$6:$B$3005,$A209,請求記録!$Z$6:$Z$3005,D$5,請求記録!$AF$6:$AF$3005,"保留中")&gt;0,"保留",IF(COUNTIFS(請求記録!$B$6:$B$3005,$A209,請求記録!$Z$6:$Z$3005,D$5)=0,"",SUMIFS(請求記録!$AE$6:$AE$3005,請求記録!$B$6:$B$3005,$A209,請求記録!$Z$6:$Z$3005,D$5))))</f>
        <v/>
      </c>
      <c r="E209" s="19">
        <f>IF($A209="","",IF(COUNTIFS(請求記録!$B$6:$B$3005,$A209,請求記録!$Z$6:$Z$3005,E$5,請求記録!$AF$6:$AF$3005,"保留中")&gt;0,"保留",IF(COUNTIFS(請求記録!$B$6:$B$3005,$A209,請求記録!$Z$6:$Z$3005,E$5)=0,"",SUMIFS(請求記録!$AE$6:$AE$3005,請求記録!$B$6:$B$3005,$A209,請求記録!$Z$6:$Z$3005,E$5))))</f>
        <v/>
      </c>
      <c r="F209" s="19">
        <f>IF($A209="","",IF(COUNTIFS(請求記録!$B$6:$B$3005,$A209,請求記録!$Z$6:$Z$3005,F$5,請求記録!$AF$6:$AF$3005,"保留中")&gt;0,"保留",IF(COUNTIFS(請求記録!$B$6:$B$3005,$A209,請求記録!$Z$6:$Z$3005,F$5)=0,"",SUMIFS(請求記録!$AE$6:$AE$3005,請求記録!$B$6:$B$3005,$A209,請求記録!$Z$6:$Z$3005,F$5))))</f>
        <v/>
      </c>
      <c r="G209" s="19">
        <f>IF($A209="","",IF(COUNTIFS(請求記録!$B$6:$B$3005,$A209,請求記録!$Z$6:$Z$3005,G$5,請求記録!$AF$6:$AF$3005,"保留中")&gt;0,"保留",IF(COUNTIFS(請求記録!$B$6:$B$3005,$A209,請求記録!$Z$6:$Z$3005,G$5)=0,"",SUMIFS(請求記録!$AE$6:$AE$3005,請求記録!$B$6:$B$3005,$A209,請求記録!$Z$6:$Z$3005,G$5))))</f>
        <v/>
      </c>
      <c r="H209" s="19">
        <f>IF($A209="","",IF(COUNTIFS(請求記録!$B$6:$B$3005,$A209,請求記録!$Z$6:$Z$3005,H$5,請求記録!$AF$6:$AF$3005,"保留中")&gt;0,"保留",IF(COUNTIFS(請求記録!$B$6:$B$3005,$A209,請求記録!$Z$6:$Z$3005,H$5)=0,"",SUMIFS(請求記録!$AE$6:$AE$3005,請求記録!$B$6:$B$3005,$A209,請求記録!$Z$6:$Z$3005,H$5))))</f>
        <v/>
      </c>
      <c r="I209" s="19">
        <f>IF($A209="","",IF(COUNTIFS(請求記録!$B$6:$B$3005,$A209,請求記録!$Z$6:$Z$3005,I$5,請求記録!$AF$6:$AF$3005,"保留中")&gt;0,"保留",IF(COUNTIFS(請求記録!$B$6:$B$3005,$A209,請求記録!$Z$6:$Z$3005,I$5)=0,"",SUMIFS(請求記録!$AE$6:$AE$3005,請求記録!$B$6:$B$3005,$A209,請求記録!$Z$6:$Z$3005,I$5))))</f>
        <v/>
      </c>
      <c r="J209" s="19">
        <f>IF($A209="","",IF(COUNTIFS(請求記録!$B$6:$B$3005,$A209,請求記録!$Z$6:$Z$3005,J$5,請求記録!$AF$6:$AF$3005,"保留中")&gt;0,"保留",IF(COUNTIFS(請求記録!$B$6:$B$3005,$A209,請求記録!$Z$6:$Z$3005,J$5)=0,"",SUMIFS(請求記録!$AE$6:$AE$3005,請求記録!$B$6:$B$3005,$A209,請求記録!$Z$6:$Z$3005,J$5))))</f>
        <v/>
      </c>
      <c r="K209" s="19">
        <f>IF($A209="","",IF(COUNTIFS(請求記録!$B$6:$B$3005,$A209,請求記録!$Z$6:$Z$3005,K$5,請求記録!$AF$6:$AF$3005,"保留中")&gt;0,"保留",IF(COUNTIFS(請求記録!$B$6:$B$3005,$A209,請求記録!$Z$6:$Z$3005,K$5)=0,"",SUMIFS(請求記録!$AE$6:$AE$3005,請求記録!$B$6:$B$3005,$A209,請求記録!$Z$6:$Z$3005,K$5))))</f>
        <v/>
      </c>
      <c r="L209" s="19">
        <f>IF($A209="","",IF(COUNTIFS(請求記録!$B$6:$B$3005,$A209,請求記録!$Z$6:$Z$3005,L$5,請求記録!$AF$6:$AF$3005,"保留中")&gt;0,"保留",IF(COUNTIFS(請求記録!$B$6:$B$3005,$A209,請求記録!$Z$6:$Z$3005,L$5)=0,"",SUMIFS(請求記録!$AE$6:$AE$3005,請求記録!$B$6:$B$3005,$A209,請求記録!$Z$6:$Z$3005,L$5))))</f>
        <v/>
      </c>
      <c r="M209" s="19">
        <f>IF($A209="","",IF(COUNTIFS(請求記録!$B$6:$B$3005,$A209,請求記録!$Z$6:$Z$3005,M$5,請求記録!$AF$6:$AF$3005,"保留中")&gt;0,"保留",IF(COUNTIFS(請求記録!$B$6:$B$3005,$A209,請求記録!$Z$6:$Z$3005,M$5)=0,"",SUMIFS(請求記録!$AE$6:$AE$3005,請求記録!$B$6:$B$3005,$A209,請求記録!$Z$6:$Z$3005,M$5))))</f>
        <v/>
      </c>
      <c r="N209" s="19">
        <f>IF($A209="","",IF(COUNTIFS(請求記録!$B$6:$B$3005,$A209,請求記録!$Z$6:$Z$3005,N$5,請求記録!$AF$6:$AF$3005,"保留中")&gt;0,"保留",IF(COUNTIFS(請求記録!$B$6:$B$3005,$A209,請求記録!$Z$6:$Z$3005,N$5)=0,"",SUMIFS(請求記録!$AE$6:$AE$3005,請求記録!$B$6:$B$3005,$A209,請求記録!$Z$6:$Z$3005,N$5))))</f>
        <v/>
      </c>
      <c r="O209" s="19">
        <f>IF($A209="","",IF(COUNTIFS(請求記録!$B$6:$B$3005,$A209,請求記録!$Z$6:$Z$3005,O$5,請求記録!$AF$6:$AF$3005,"保留中")&gt;0,"保留",IF(COUNTIFS(請求記録!$B$6:$B$3005,$A209,請求記録!$Z$6:$Z$3005,O$5)=0,"",SUMIFS(請求記録!$AE$6:$AE$3005,請求記録!$B$6:$B$3005,$A209,請求記録!$Z$6:$Z$3005,O$5))))</f>
        <v/>
      </c>
      <c r="P209" s="19">
        <f>IF($A209="","",IF(COUNTIFS(請求記録!$B$6:$B$3005,$A209,請求記録!$Z$6:$Z$3005,P$5,請求記録!$AF$6:$AF$3005,"保留中")&gt;0,"保留",IF(COUNTIFS(請求記録!$B$6:$B$3005,$A209,請求記録!$Z$6:$Z$3005,P$5)=0,"",SUMIFS(請求記録!$AE$6:$AE$3005,請求記録!$B$6:$B$3005,$A209,請求記録!$Z$6:$Z$3005,P$5))))</f>
        <v/>
      </c>
      <c r="Q209" s="19">
        <f>IF($A209="","",IF(COUNTIFS(請求記録!$B$6:$B$3005,$A209,請求記録!$Z$6:$Z$3005,Q$5,請求記録!$AF$6:$AF$3005,"保留中")&gt;0,"保留",IF(COUNTIFS(請求記録!$B$6:$B$3005,$A209,請求記録!$Z$6:$Z$3005,Q$5)=0,"",SUMIFS(請求記録!$AE$6:$AE$3005,請求記録!$B$6:$B$3005,$A209,請求記録!$Z$6:$Z$3005,Q$5))))</f>
        <v/>
      </c>
      <c r="R209" s="19">
        <f>IF($A209="","",IF(COUNTIFS(請求記録!$B$6:$B$3005,$A209,請求記録!$Z$6:$Z$3005,R$5,請求記録!$AF$6:$AF$3005,"保留中")&gt;0,"保留",IF(COUNTIFS(請求記録!$B$6:$B$3005,$A209,請求記録!$Z$6:$Z$3005,R$5)=0,"",SUMIFS(請求記録!$AE$6:$AE$3005,請求記録!$B$6:$B$3005,$A209,請求記録!$Z$6:$Z$3005,R$5))))</f>
        <v/>
      </c>
      <c r="S209" s="19">
        <f>IF($A209="","",IF(COUNTIFS(請求記録!$B$6:$B$3005,$A209,請求記録!$Z$6:$Z$3005,S$5,請求記録!$AF$6:$AF$3005,"保留中")&gt;0,"保留",IF(COUNTIFS(請求記録!$B$6:$B$3005,$A209,請求記録!$Z$6:$Z$3005,S$5)=0,"",SUMIFS(請求記録!$AE$6:$AE$3005,請求記録!$B$6:$B$3005,$A209,請求記録!$Z$6:$Z$3005,S$5))))</f>
        <v/>
      </c>
      <c r="T209" s="19">
        <f>IF($A209="","",IF(COUNTIFS(請求記録!$B$6:$B$3005,$A209,請求記録!$Z$6:$Z$3005,T$5,請求記録!$AF$6:$AF$3005,"保留中")&gt;0,"保留",IF(COUNTIFS(請求記録!$B$6:$B$3005,$A209,請求記録!$Z$6:$Z$3005,T$5)=0,"",SUMIFS(請求記録!$AE$6:$AE$3005,請求記録!$B$6:$B$3005,$A209,請求記録!$Z$6:$Z$3005,T$5))))</f>
        <v/>
      </c>
      <c r="U209" s="19">
        <f>IF($A209="","",IF(COUNTIFS(請求記録!$B$6:$B$3005,$A209,請求記録!$Z$6:$Z$3005,U$5,請求記録!$AF$6:$AF$3005,"保留中")&gt;0,"保留",IF(COUNTIFS(請求記録!$B$6:$B$3005,$A209,請求記録!$Z$6:$Z$3005,U$5)=0,"",SUMIFS(請求記録!$AE$6:$AE$3005,請求記録!$B$6:$B$3005,$A209,請求記録!$Z$6:$Z$3005,U$5))))</f>
        <v/>
      </c>
      <c r="V209" s="19">
        <f>IF($A209="","",IF(COUNTIFS(請求記録!$B$6:$B$3005,$A209,請求記録!$Z$6:$Z$3005,V$5,請求記録!$AF$6:$AF$3005,"保留中")&gt;0,"保留",IF(COUNTIFS(請求記録!$B$6:$B$3005,$A209,請求記録!$Z$6:$Z$3005,V$5)=0,"",SUMIFS(請求記録!$AE$6:$AE$3005,請求記録!$B$6:$B$3005,$A209,請求記録!$Z$6:$Z$3005,V$5))))</f>
        <v/>
      </c>
      <c r="W209" s="19">
        <f>IF($A209="","",IF(COUNTIFS(請求記録!$B$6:$B$3005,$A209,請求記録!$Z$6:$Z$3005,W$5,請求記録!$AF$6:$AF$3005,"保留中")&gt;0,"保留",IF(COUNTIFS(請求記録!$B$6:$B$3005,$A209,請求記録!$Z$6:$Z$3005,W$5)=0,"",SUMIFS(請求記録!$AE$6:$AE$3005,請求記録!$B$6:$B$3005,$A209,請求記録!$Z$6:$Z$3005,W$5))))</f>
        <v/>
      </c>
      <c r="X209" s="19">
        <f>IF($A209="","",IF(COUNTIFS(請求記録!$B$6:$B$3005,$A209,請求記録!$Z$6:$Z$3005,X$5,請求記録!$AF$6:$AF$3005,"保留中")&gt;0,"保留",IF(COUNTIFS(請求記録!$B$6:$B$3005,$A209,請求記録!$Z$6:$Z$3005,X$5)=0,"",SUMIFS(請求記録!$AE$6:$AE$3005,請求記録!$B$6:$B$3005,$A209,請求記録!$Z$6:$Z$3005,X$5))))</f>
        <v/>
      </c>
      <c r="Y209" s="19">
        <f>IF($A209="","",IF(COUNTIFS(請求記録!$B$6:$B$3005,$A209,請求記録!$Z$6:$Z$3005,Y$5,請求記録!$AF$6:$AF$3005,"保留中")&gt;0,"保留",IF(COUNTIFS(請求記録!$B$6:$B$3005,$A209,請求記録!$Z$6:$Z$3005,Y$5)=0,"",SUMIFS(請求記録!$AE$6:$AE$3005,請求記録!$B$6:$B$3005,$A209,請求記録!$Z$6:$Z$3005,Y$5))))</f>
        <v/>
      </c>
      <c r="Z209" s="19">
        <f>IF($A209="","",IF(COUNTIFS(請求記録!$B$6:$B$3005,$A209,請求記録!$Z$6:$Z$3005,Z$5,請求記録!$AF$6:$AF$3005,"保留中")&gt;0,"保留",IF(COUNTIFS(請求記録!$B$6:$B$3005,$A209,請求記録!$Z$6:$Z$3005,Z$5)=0,"",SUMIFS(請求記録!$AE$6:$AE$3005,請求記録!$B$6:$B$3005,$A209,請求記録!$Z$6:$Z$3005,Z$5))))</f>
        <v/>
      </c>
      <c r="AA209" s="19">
        <f>IF($A209="","",IF(COUNTIFS(請求記録!$B$6:$B$3005,$A209,請求記録!$Z$6:$Z$3005,AA$5,請求記録!$AF$6:$AF$3005,"保留中")&gt;0,"保留",IF(COUNTIFS(請求記録!$B$6:$B$3005,$A209,請求記録!$Z$6:$Z$3005,AA$5)=0,"",SUMIFS(請求記録!$AE$6:$AE$3005,請求記録!$B$6:$B$3005,$A209,請求記録!$Z$6:$Z$3005,AA$5))))</f>
        <v/>
      </c>
      <c r="AB209">
        <f>IF(職員マスタ!P209="保留中",職員マスタ!M209,"")</f>
        <v/>
      </c>
    </row>
    <row r="210">
      <c r="A210">
        <f>IF(職員マスタ!A210="","",職員マスタ!A210)</f>
        <v/>
      </c>
      <c r="B210">
        <f>IF($A210="","",職員マスタ!B210)</f>
        <v/>
      </c>
      <c r="C210">
        <f>IF($A210="","",職員マスタ!C210)</f>
        <v/>
      </c>
      <c r="D210" s="19">
        <f>IF($A210="","",IF(COUNTIFS(請求記録!$B$6:$B$3005,$A210,請求記録!$Z$6:$Z$3005,D$5,請求記録!$AF$6:$AF$3005,"保留中")&gt;0,"保留",IF(COUNTIFS(請求記録!$B$6:$B$3005,$A210,請求記録!$Z$6:$Z$3005,D$5)=0,"",SUMIFS(請求記録!$AE$6:$AE$3005,請求記録!$B$6:$B$3005,$A210,請求記録!$Z$6:$Z$3005,D$5))))</f>
        <v/>
      </c>
      <c r="E210" s="19">
        <f>IF($A210="","",IF(COUNTIFS(請求記録!$B$6:$B$3005,$A210,請求記録!$Z$6:$Z$3005,E$5,請求記録!$AF$6:$AF$3005,"保留中")&gt;0,"保留",IF(COUNTIFS(請求記録!$B$6:$B$3005,$A210,請求記録!$Z$6:$Z$3005,E$5)=0,"",SUMIFS(請求記録!$AE$6:$AE$3005,請求記録!$B$6:$B$3005,$A210,請求記録!$Z$6:$Z$3005,E$5))))</f>
        <v/>
      </c>
      <c r="F210" s="19">
        <f>IF($A210="","",IF(COUNTIFS(請求記録!$B$6:$B$3005,$A210,請求記録!$Z$6:$Z$3005,F$5,請求記録!$AF$6:$AF$3005,"保留中")&gt;0,"保留",IF(COUNTIFS(請求記録!$B$6:$B$3005,$A210,請求記録!$Z$6:$Z$3005,F$5)=0,"",SUMIFS(請求記録!$AE$6:$AE$3005,請求記録!$B$6:$B$3005,$A210,請求記録!$Z$6:$Z$3005,F$5))))</f>
        <v/>
      </c>
      <c r="G210" s="19">
        <f>IF($A210="","",IF(COUNTIFS(請求記録!$B$6:$B$3005,$A210,請求記録!$Z$6:$Z$3005,G$5,請求記録!$AF$6:$AF$3005,"保留中")&gt;0,"保留",IF(COUNTIFS(請求記録!$B$6:$B$3005,$A210,請求記録!$Z$6:$Z$3005,G$5)=0,"",SUMIFS(請求記録!$AE$6:$AE$3005,請求記録!$B$6:$B$3005,$A210,請求記録!$Z$6:$Z$3005,G$5))))</f>
        <v/>
      </c>
      <c r="H210" s="19">
        <f>IF($A210="","",IF(COUNTIFS(請求記録!$B$6:$B$3005,$A210,請求記録!$Z$6:$Z$3005,H$5,請求記録!$AF$6:$AF$3005,"保留中")&gt;0,"保留",IF(COUNTIFS(請求記録!$B$6:$B$3005,$A210,請求記録!$Z$6:$Z$3005,H$5)=0,"",SUMIFS(請求記録!$AE$6:$AE$3005,請求記録!$B$6:$B$3005,$A210,請求記録!$Z$6:$Z$3005,H$5))))</f>
        <v/>
      </c>
      <c r="I210" s="19">
        <f>IF($A210="","",IF(COUNTIFS(請求記録!$B$6:$B$3005,$A210,請求記録!$Z$6:$Z$3005,I$5,請求記録!$AF$6:$AF$3005,"保留中")&gt;0,"保留",IF(COUNTIFS(請求記録!$B$6:$B$3005,$A210,請求記録!$Z$6:$Z$3005,I$5)=0,"",SUMIFS(請求記録!$AE$6:$AE$3005,請求記録!$B$6:$B$3005,$A210,請求記録!$Z$6:$Z$3005,I$5))))</f>
        <v/>
      </c>
      <c r="J210" s="19">
        <f>IF($A210="","",IF(COUNTIFS(請求記録!$B$6:$B$3005,$A210,請求記録!$Z$6:$Z$3005,J$5,請求記録!$AF$6:$AF$3005,"保留中")&gt;0,"保留",IF(COUNTIFS(請求記録!$B$6:$B$3005,$A210,請求記録!$Z$6:$Z$3005,J$5)=0,"",SUMIFS(請求記録!$AE$6:$AE$3005,請求記録!$B$6:$B$3005,$A210,請求記録!$Z$6:$Z$3005,J$5))))</f>
        <v/>
      </c>
      <c r="K210" s="19">
        <f>IF($A210="","",IF(COUNTIFS(請求記録!$B$6:$B$3005,$A210,請求記録!$Z$6:$Z$3005,K$5,請求記録!$AF$6:$AF$3005,"保留中")&gt;0,"保留",IF(COUNTIFS(請求記録!$B$6:$B$3005,$A210,請求記録!$Z$6:$Z$3005,K$5)=0,"",SUMIFS(請求記録!$AE$6:$AE$3005,請求記録!$B$6:$B$3005,$A210,請求記録!$Z$6:$Z$3005,K$5))))</f>
        <v/>
      </c>
      <c r="L210" s="19">
        <f>IF($A210="","",IF(COUNTIFS(請求記録!$B$6:$B$3005,$A210,請求記録!$Z$6:$Z$3005,L$5,請求記録!$AF$6:$AF$3005,"保留中")&gt;0,"保留",IF(COUNTIFS(請求記録!$B$6:$B$3005,$A210,請求記録!$Z$6:$Z$3005,L$5)=0,"",SUMIFS(請求記録!$AE$6:$AE$3005,請求記録!$B$6:$B$3005,$A210,請求記録!$Z$6:$Z$3005,L$5))))</f>
        <v/>
      </c>
      <c r="M210" s="19">
        <f>IF($A210="","",IF(COUNTIFS(請求記録!$B$6:$B$3005,$A210,請求記録!$Z$6:$Z$3005,M$5,請求記録!$AF$6:$AF$3005,"保留中")&gt;0,"保留",IF(COUNTIFS(請求記録!$B$6:$B$3005,$A210,請求記録!$Z$6:$Z$3005,M$5)=0,"",SUMIFS(請求記録!$AE$6:$AE$3005,請求記録!$B$6:$B$3005,$A210,請求記録!$Z$6:$Z$3005,M$5))))</f>
        <v/>
      </c>
      <c r="N210" s="19">
        <f>IF($A210="","",IF(COUNTIFS(請求記録!$B$6:$B$3005,$A210,請求記録!$Z$6:$Z$3005,N$5,請求記録!$AF$6:$AF$3005,"保留中")&gt;0,"保留",IF(COUNTIFS(請求記録!$B$6:$B$3005,$A210,請求記録!$Z$6:$Z$3005,N$5)=0,"",SUMIFS(請求記録!$AE$6:$AE$3005,請求記録!$B$6:$B$3005,$A210,請求記録!$Z$6:$Z$3005,N$5))))</f>
        <v/>
      </c>
      <c r="O210" s="19">
        <f>IF($A210="","",IF(COUNTIFS(請求記録!$B$6:$B$3005,$A210,請求記録!$Z$6:$Z$3005,O$5,請求記録!$AF$6:$AF$3005,"保留中")&gt;0,"保留",IF(COUNTIFS(請求記録!$B$6:$B$3005,$A210,請求記録!$Z$6:$Z$3005,O$5)=0,"",SUMIFS(請求記録!$AE$6:$AE$3005,請求記録!$B$6:$B$3005,$A210,請求記録!$Z$6:$Z$3005,O$5))))</f>
        <v/>
      </c>
      <c r="P210" s="19">
        <f>IF($A210="","",IF(COUNTIFS(請求記録!$B$6:$B$3005,$A210,請求記録!$Z$6:$Z$3005,P$5,請求記録!$AF$6:$AF$3005,"保留中")&gt;0,"保留",IF(COUNTIFS(請求記録!$B$6:$B$3005,$A210,請求記録!$Z$6:$Z$3005,P$5)=0,"",SUMIFS(請求記録!$AE$6:$AE$3005,請求記録!$B$6:$B$3005,$A210,請求記録!$Z$6:$Z$3005,P$5))))</f>
        <v/>
      </c>
      <c r="Q210" s="19">
        <f>IF($A210="","",IF(COUNTIFS(請求記録!$B$6:$B$3005,$A210,請求記録!$Z$6:$Z$3005,Q$5,請求記録!$AF$6:$AF$3005,"保留中")&gt;0,"保留",IF(COUNTIFS(請求記録!$B$6:$B$3005,$A210,請求記録!$Z$6:$Z$3005,Q$5)=0,"",SUMIFS(請求記録!$AE$6:$AE$3005,請求記録!$B$6:$B$3005,$A210,請求記録!$Z$6:$Z$3005,Q$5))))</f>
        <v/>
      </c>
      <c r="R210" s="19">
        <f>IF($A210="","",IF(COUNTIFS(請求記録!$B$6:$B$3005,$A210,請求記録!$Z$6:$Z$3005,R$5,請求記録!$AF$6:$AF$3005,"保留中")&gt;0,"保留",IF(COUNTIFS(請求記録!$B$6:$B$3005,$A210,請求記録!$Z$6:$Z$3005,R$5)=0,"",SUMIFS(請求記録!$AE$6:$AE$3005,請求記録!$B$6:$B$3005,$A210,請求記録!$Z$6:$Z$3005,R$5))))</f>
        <v/>
      </c>
      <c r="S210" s="19">
        <f>IF($A210="","",IF(COUNTIFS(請求記録!$B$6:$B$3005,$A210,請求記録!$Z$6:$Z$3005,S$5,請求記録!$AF$6:$AF$3005,"保留中")&gt;0,"保留",IF(COUNTIFS(請求記録!$B$6:$B$3005,$A210,請求記録!$Z$6:$Z$3005,S$5)=0,"",SUMIFS(請求記録!$AE$6:$AE$3005,請求記録!$B$6:$B$3005,$A210,請求記録!$Z$6:$Z$3005,S$5))))</f>
        <v/>
      </c>
      <c r="T210" s="19">
        <f>IF($A210="","",IF(COUNTIFS(請求記録!$B$6:$B$3005,$A210,請求記録!$Z$6:$Z$3005,T$5,請求記録!$AF$6:$AF$3005,"保留中")&gt;0,"保留",IF(COUNTIFS(請求記録!$B$6:$B$3005,$A210,請求記録!$Z$6:$Z$3005,T$5)=0,"",SUMIFS(請求記録!$AE$6:$AE$3005,請求記録!$B$6:$B$3005,$A210,請求記録!$Z$6:$Z$3005,T$5))))</f>
        <v/>
      </c>
      <c r="U210" s="19">
        <f>IF($A210="","",IF(COUNTIFS(請求記録!$B$6:$B$3005,$A210,請求記録!$Z$6:$Z$3005,U$5,請求記録!$AF$6:$AF$3005,"保留中")&gt;0,"保留",IF(COUNTIFS(請求記録!$B$6:$B$3005,$A210,請求記録!$Z$6:$Z$3005,U$5)=0,"",SUMIFS(請求記録!$AE$6:$AE$3005,請求記録!$B$6:$B$3005,$A210,請求記録!$Z$6:$Z$3005,U$5))))</f>
        <v/>
      </c>
      <c r="V210" s="19">
        <f>IF($A210="","",IF(COUNTIFS(請求記録!$B$6:$B$3005,$A210,請求記録!$Z$6:$Z$3005,V$5,請求記録!$AF$6:$AF$3005,"保留中")&gt;0,"保留",IF(COUNTIFS(請求記録!$B$6:$B$3005,$A210,請求記録!$Z$6:$Z$3005,V$5)=0,"",SUMIFS(請求記録!$AE$6:$AE$3005,請求記録!$B$6:$B$3005,$A210,請求記録!$Z$6:$Z$3005,V$5))))</f>
        <v/>
      </c>
      <c r="W210" s="19">
        <f>IF($A210="","",IF(COUNTIFS(請求記録!$B$6:$B$3005,$A210,請求記録!$Z$6:$Z$3005,W$5,請求記録!$AF$6:$AF$3005,"保留中")&gt;0,"保留",IF(COUNTIFS(請求記録!$B$6:$B$3005,$A210,請求記録!$Z$6:$Z$3005,W$5)=0,"",SUMIFS(請求記録!$AE$6:$AE$3005,請求記録!$B$6:$B$3005,$A210,請求記録!$Z$6:$Z$3005,W$5))))</f>
        <v/>
      </c>
      <c r="X210" s="19">
        <f>IF($A210="","",IF(COUNTIFS(請求記録!$B$6:$B$3005,$A210,請求記録!$Z$6:$Z$3005,X$5,請求記録!$AF$6:$AF$3005,"保留中")&gt;0,"保留",IF(COUNTIFS(請求記録!$B$6:$B$3005,$A210,請求記録!$Z$6:$Z$3005,X$5)=0,"",SUMIFS(請求記録!$AE$6:$AE$3005,請求記録!$B$6:$B$3005,$A210,請求記録!$Z$6:$Z$3005,X$5))))</f>
        <v/>
      </c>
      <c r="Y210" s="19">
        <f>IF($A210="","",IF(COUNTIFS(請求記録!$B$6:$B$3005,$A210,請求記録!$Z$6:$Z$3005,Y$5,請求記録!$AF$6:$AF$3005,"保留中")&gt;0,"保留",IF(COUNTIFS(請求記録!$B$6:$B$3005,$A210,請求記録!$Z$6:$Z$3005,Y$5)=0,"",SUMIFS(請求記録!$AE$6:$AE$3005,請求記録!$B$6:$B$3005,$A210,請求記録!$Z$6:$Z$3005,Y$5))))</f>
        <v/>
      </c>
      <c r="Z210" s="19">
        <f>IF($A210="","",IF(COUNTIFS(請求記録!$B$6:$B$3005,$A210,請求記録!$Z$6:$Z$3005,Z$5,請求記録!$AF$6:$AF$3005,"保留中")&gt;0,"保留",IF(COUNTIFS(請求記録!$B$6:$B$3005,$A210,請求記録!$Z$6:$Z$3005,Z$5)=0,"",SUMIFS(請求記録!$AE$6:$AE$3005,請求記録!$B$6:$B$3005,$A210,請求記録!$Z$6:$Z$3005,Z$5))))</f>
        <v/>
      </c>
      <c r="AA210" s="19">
        <f>IF($A210="","",IF(COUNTIFS(請求記録!$B$6:$B$3005,$A210,請求記録!$Z$6:$Z$3005,AA$5,請求記録!$AF$6:$AF$3005,"保留中")&gt;0,"保留",IF(COUNTIFS(請求記録!$B$6:$B$3005,$A210,請求記録!$Z$6:$Z$3005,AA$5)=0,"",SUMIFS(請求記録!$AE$6:$AE$3005,請求記録!$B$6:$B$3005,$A210,請求記録!$Z$6:$Z$3005,AA$5))))</f>
        <v/>
      </c>
      <c r="AB210">
        <f>IF(職員マスタ!P210="保留中",職員マスタ!M210,"")</f>
        <v/>
      </c>
    </row>
    <row r="211">
      <c r="A211">
        <f>IF(職員マスタ!A211="","",職員マスタ!A211)</f>
        <v/>
      </c>
      <c r="B211">
        <f>IF($A211="","",職員マスタ!B211)</f>
        <v/>
      </c>
      <c r="C211">
        <f>IF($A211="","",職員マスタ!C211)</f>
        <v/>
      </c>
      <c r="D211" s="19">
        <f>IF($A211="","",IF(COUNTIFS(請求記録!$B$6:$B$3005,$A211,請求記録!$Z$6:$Z$3005,D$5,請求記録!$AF$6:$AF$3005,"保留中")&gt;0,"保留",IF(COUNTIFS(請求記録!$B$6:$B$3005,$A211,請求記録!$Z$6:$Z$3005,D$5)=0,"",SUMIFS(請求記録!$AE$6:$AE$3005,請求記録!$B$6:$B$3005,$A211,請求記録!$Z$6:$Z$3005,D$5))))</f>
        <v/>
      </c>
      <c r="E211" s="19">
        <f>IF($A211="","",IF(COUNTIFS(請求記録!$B$6:$B$3005,$A211,請求記録!$Z$6:$Z$3005,E$5,請求記録!$AF$6:$AF$3005,"保留中")&gt;0,"保留",IF(COUNTIFS(請求記録!$B$6:$B$3005,$A211,請求記録!$Z$6:$Z$3005,E$5)=0,"",SUMIFS(請求記録!$AE$6:$AE$3005,請求記録!$B$6:$B$3005,$A211,請求記録!$Z$6:$Z$3005,E$5))))</f>
        <v/>
      </c>
      <c r="F211" s="19">
        <f>IF($A211="","",IF(COUNTIFS(請求記録!$B$6:$B$3005,$A211,請求記録!$Z$6:$Z$3005,F$5,請求記録!$AF$6:$AF$3005,"保留中")&gt;0,"保留",IF(COUNTIFS(請求記録!$B$6:$B$3005,$A211,請求記録!$Z$6:$Z$3005,F$5)=0,"",SUMIFS(請求記録!$AE$6:$AE$3005,請求記録!$B$6:$B$3005,$A211,請求記録!$Z$6:$Z$3005,F$5))))</f>
        <v/>
      </c>
      <c r="G211" s="19">
        <f>IF($A211="","",IF(COUNTIFS(請求記録!$B$6:$B$3005,$A211,請求記録!$Z$6:$Z$3005,G$5,請求記録!$AF$6:$AF$3005,"保留中")&gt;0,"保留",IF(COUNTIFS(請求記録!$B$6:$B$3005,$A211,請求記録!$Z$6:$Z$3005,G$5)=0,"",SUMIFS(請求記録!$AE$6:$AE$3005,請求記録!$B$6:$B$3005,$A211,請求記録!$Z$6:$Z$3005,G$5))))</f>
        <v/>
      </c>
      <c r="H211" s="19">
        <f>IF($A211="","",IF(COUNTIFS(請求記録!$B$6:$B$3005,$A211,請求記録!$Z$6:$Z$3005,H$5,請求記録!$AF$6:$AF$3005,"保留中")&gt;0,"保留",IF(COUNTIFS(請求記録!$B$6:$B$3005,$A211,請求記録!$Z$6:$Z$3005,H$5)=0,"",SUMIFS(請求記録!$AE$6:$AE$3005,請求記録!$B$6:$B$3005,$A211,請求記録!$Z$6:$Z$3005,H$5))))</f>
        <v/>
      </c>
      <c r="I211" s="19">
        <f>IF($A211="","",IF(COUNTIFS(請求記録!$B$6:$B$3005,$A211,請求記録!$Z$6:$Z$3005,I$5,請求記録!$AF$6:$AF$3005,"保留中")&gt;0,"保留",IF(COUNTIFS(請求記録!$B$6:$B$3005,$A211,請求記録!$Z$6:$Z$3005,I$5)=0,"",SUMIFS(請求記録!$AE$6:$AE$3005,請求記録!$B$6:$B$3005,$A211,請求記録!$Z$6:$Z$3005,I$5))))</f>
        <v/>
      </c>
      <c r="J211" s="19">
        <f>IF($A211="","",IF(COUNTIFS(請求記録!$B$6:$B$3005,$A211,請求記録!$Z$6:$Z$3005,J$5,請求記録!$AF$6:$AF$3005,"保留中")&gt;0,"保留",IF(COUNTIFS(請求記録!$B$6:$B$3005,$A211,請求記録!$Z$6:$Z$3005,J$5)=0,"",SUMIFS(請求記録!$AE$6:$AE$3005,請求記録!$B$6:$B$3005,$A211,請求記録!$Z$6:$Z$3005,J$5))))</f>
        <v/>
      </c>
      <c r="K211" s="19">
        <f>IF($A211="","",IF(COUNTIFS(請求記録!$B$6:$B$3005,$A211,請求記録!$Z$6:$Z$3005,K$5,請求記録!$AF$6:$AF$3005,"保留中")&gt;0,"保留",IF(COUNTIFS(請求記録!$B$6:$B$3005,$A211,請求記録!$Z$6:$Z$3005,K$5)=0,"",SUMIFS(請求記録!$AE$6:$AE$3005,請求記録!$B$6:$B$3005,$A211,請求記録!$Z$6:$Z$3005,K$5))))</f>
        <v/>
      </c>
      <c r="L211" s="19">
        <f>IF($A211="","",IF(COUNTIFS(請求記録!$B$6:$B$3005,$A211,請求記録!$Z$6:$Z$3005,L$5,請求記録!$AF$6:$AF$3005,"保留中")&gt;0,"保留",IF(COUNTIFS(請求記録!$B$6:$B$3005,$A211,請求記録!$Z$6:$Z$3005,L$5)=0,"",SUMIFS(請求記録!$AE$6:$AE$3005,請求記録!$B$6:$B$3005,$A211,請求記録!$Z$6:$Z$3005,L$5))))</f>
        <v/>
      </c>
      <c r="M211" s="19">
        <f>IF($A211="","",IF(COUNTIFS(請求記録!$B$6:$B$3005,$A211,請求記録!$Z$6:$Z$3005,M$5,請求記録!$AF$6:$AF$3005,"保留中")&gt;0,"保留",IF(COUNTIFS(請求記録!$B$6:$B$3005,$A211,請求記録!$Z$6:$Z$3005,M$5)=0,"",SUMIFS(請求記録!$AE$6:$AE$3005,請求記録!$B$6:$B$3005,$A211,請求記録!$Z$6:$Z$3005,M$5))))</f>
        <v/>
      </c>
      <c r="N211" s="19">
        <f>IF($A211="","",IF(COUNTIFS(請求記録!$B$6:$B$3005,$A211,請求記録!$Z$6:$Z$3005,N$5,請求記録!$AF$6:$AF$3005,"保留中")&gt;0,"保留",IF(COUNTIFS(請求記録!$B$6:$B$3005,$A211,請求記録!$Z$6:$Z$3005,N$5)=0,"",SUMIFS(請求記録!$AE$6:$AE$3005,請求記録!$B$6:$B$3005,$A211,請求記録!$Z$6:$Z$3005,N$5))))</f>
        <v/>
      </c>
      <c r="O211" s="19">
        <f>IF($A211="","",IF(COUNTIFS(請求記録!$B$6:$B$3005,$A211,請求記録!$Z$6:$Z$3005,O$5,請求記録!$AF$6:$AF$3005,"保留中")&gt;0,"保留",IF(COUNTIFS(請求記録!$B$6:$B$3005,$A211,請求記録!$Z$6:$Z$3005,O$5)=0,"",SUMIFS(請求記録!$AE$6:$AE$3005,請求記録!$B$6:$B$3005,$A211,請求記録!$Z$6:$Z$3005,O$5))))</f>
        <v/>
      </c>
      <c r="P211" s="19">
        <f>IF($A211="","",IF(COUNTIFS(請求記録!$B$6:$B$3005,$A211,請求記録!$Z$6:$Z$3005,P$5,請求記録!$AF$6:$AF$3005,"保留中")&gt;0,"保留",IF(COUNTIFS(請求記録!$B$6:$B$3005,$A211,請求記録!$Z$6:$Z$3005,P$5)=0,"",SUMIFS(請求記録!$AE$6:$AE$3005,請求記録!$B$6:$B$3005,$A211,請求記録!$Z$6:$Z$3005,P$5))))</f>
        <v/>
      </c>
      <c r="Q211" s="19">
        <f>IF($A211="","",IF(COUNTIFS(請求記録!$B$6:$B$3005,$A211,請求記録!$Z$6:$Z$3005,Q$5,請求記録!$AF$6:$AF$3005,"保留中")&gt;0,"保留",IF(COUNTIFS(請求記録!$B$6:$B$3005,$A211,請求記録!$Z$6:$Z$3005,Q$5)=0,"",SUMIFS(請求記録!$AE$6:$AE$3005,請求記録!$B$6:$B$3005,$A211,請求記録!$Z$6:$Z$3005,Q$5))))</f>
        <v/>
      </c>
      <c r="R211" s="19">
        <f>IF($A211="","",IF(COUNTIFS(請求記録!$B$6:$B$3005,$A211,請求記録!$Z$6:$Z$3005,R$5,請求記録!$AF$6:$AF$3005,"保留中")&gt;0,"保留",IF(COUNTIFS(請求記録!$B$6:$B$3005,$A211,請求記録!$Z$6:$Z$3005,R$5)=0,"",SUMIFS(請求記録!$AE$6:$AE$3005,請求記録!$B$6:$B$3005,$A211,請求記録!$Z$6:$Z$3005,R$5))))</f>
        <v/>
      </c>
      <c r="S211" s="19">
        <f>IF($A211="","",IF(COUNTIFS(請求記録!$B$6:$B$3005,$A211,請求記録!$Z$6:$Z$3005,S$5,請求記録!$AF$6:$AF$3005,"保留中")&gt;0,"保留",IF(COUNTIFS(請求記録!$B$6:$B$3005,$A211,請求記録!$Z$6:$Z$3005,S$5)=0,"",SUMIFS(請求記録!$AE$6:$AE$3005,請求記録!$B$6:$B$3005,$A211,請求記録!$Z$6:$Z$3005,S$5))))</f>
        <v/>
      </c>
      <c r="T211" s="19">
        <f>IF($A211="","",IF(COUNTIFS(請求記録!$B$6:$B$3005,$A211,請求記録!$Z$6:$Z$3005,T$5,請求記録!$AF$6:$AF$3005,"保留中")&gt;0,"保留",IF(COUNTIFS(請求記録!$B$6:$B$3005,$A211,請求記録!$Z$6:$Z$3005,T$5)=0,"",SUMIFS(請求記録!$AE$6:$AE$3005,請求記録!$B$6:$B$3005,$A211,請求記録!$Z$6:$Z$3005,T$5))))</f>
        <v/>
      </c>
      <c r="U211" s="19">
        <f>IF($A211="","",IF(COUNTIFS(請求記録!$B$6:$B$3005,$A211,請求記録!$Z$6:$Z$3005,U$5,請求記録!$AF$6:$AF$3005,"保留中")&gt;0,"保留",IF(COUNTIFS(請求記録!$B$6:$B$3005,$A211,請求記録!$Z$6:$Z$3005,U$5)=0,"",SUMIFS(請求記録!$AE$6:$AE$3005,請求記録!$B$6:$B$3005,$A211,請求記録!$Z$6:$Z$3005,U$5))))</f>
        <v/>
      </c>
      <c r="V211" s="19">
        <f>IF($A211="","",IF(COUNTIFS(請求記録!$B$6:$B$3005,$A211,請求記録!$Z$6:$Z$3005,V$5,請求記録!$AF$6:$AF$3005,"保留中")&gt;0,"保留",IF(COUNTIFS(請求記録!$B$6:$B$3005,$A211,請求記録!$Z$6:$Z$3005,V$5)=0,"",SUMIFS(請求記録!$AE$6:$AE$3005,請求記録!$B$6:$B$3005,$A211,請求記録!$Z$6:$Z$3005,V$5))))</f>
        <v/>
      </c>
      <c r="W211" s="19">
        <f>IF($A211="","",IF(COUNTIFS(請求記録!$B$6:$B$3005,$A211,請求記録!$Z$6:$Z$3005,W$5,請求記録!$AF$6:$AF$3005,"保留中")&gt;0,"保留",IF(COUNTIFS(請求記録!$B$6:$B$3005,$A211,請求記録!$Z$6:$Z$3005,W$5)=0,"",SUMIFS(請求記録!$AE$6:$AE$3005,請求記録!$B$6:$B$3005,$A211,請求記録!$Z$6:$Z$3005,W$5))))</f>
        <v/>
      </c>
      <c r="X211" s="19">
        <f>IF($A211="","",IF(COUNTIFS(請求記録!$B$6:$B$3005,$A211,請求記録!$Z$6:$Z$3005,X$5,請求記録!$AF$6:$AF$3005,"保留中")&gt;0,"保留",IF(COUNTIFS(請求記録!$B$6:$B$3005,$A211,請求記録!$Z$6:$Z$3005,X$5)=0,"",SUMIFS(請求記録!$AE$6:$AE$3005,請求記録!$B$6:$B$3005,$A211,請求記録!$Z$6:$Z$3005,X$5))))</f>
        <v/>
      </c>
      <c r="Y211" s="19">
        <f>IF($A211="","",IF(COUNTIFS(請求記録!$B$6:$B$3005,$A211,請求記録!$Z$6:$Z$3005,Y$5,請求記録!$AF$6:$AF$3005,"保留中")&gt;0,"保留",IF(COUNTIFS(請求記録!$B$6:$B$3005,$A211,請求記録!$Z$6:$Z$3005,Y$5)=0,"",SUMIFS(請求記録!$AE$6:$AE$3005,請求記録!$B$6:$B$3005,$A211,請求記録!$Z$6:$Z$3005,Y$5))))</f>
        <v/>
      </c>
      <c r="Z211" s="19">
        <f>IF($A211="","",IF(COUNTIFS(請求記録!$B$6:$B$3005,$A211,請求記録!$Z$6:$Z$3005,Z$5,請求記録!$AF$6:$AF$3005,"保留中")&gt;0,"保留",IF(COUNTIFS(請求記録!$B$6:$B$3005,$A211,請求記録!$Z$6:$Z$3005,Z$5)=0,"",SUMIFS(請求記録!$AE$6:$AE$3005,請求記録!$B$6:$B$3005,$A211,請求記録!$Z$6:$Z$3005,Z$5))))</f>
        <v/>
      </c>
      <c r="AA211" s="19">
        <f>IF($A211="","",IF(COUNTIFS(請求記録!$B$6:$B$3005,$A211,請求記録!$Z$6:$Z$3005,AA$5,請求記録!$AF$6:$AF$3005,"保留中")&gt;0,"保留",IF(COUNTIFS(請求記録!$B$6:$B$3005,$A211,請求記録!$Z$6:$Z$3005,AA$5)=0,"",SUMIFS(請求記録!$AE$6:$AE$3005,請求記録!$B$6:$B$3005,$A211,請求記録!$Z$6:$Z$3005,AA$5))))</f>
        <v/>
      </c>
      <c r="AB211">
        <f>IF(職員マスタ!P211="保留中",職員マスタ!M211,"")</f>
        <v/>
      </c>
    </row>
    <row r="212">
      <c r="A212">
        <f>IF(職員マスタ!A212="","",職員マスタ!A212)</f>
        <v/>
      </c>
      <c r="B212">
        <f>IF($A212="","",職員マスタ!B212)</f>
        <v/>
      </c>
      <c r="C212">
        <f>IF($A212="","",職員マスタ!C212)</f>
        <v/>
      </c>
      <c r="D212" s="19">
        <f>IF($A212="","",IF(COUNTIFS(請求記録!$B$6:$B$3005,$A212,請求記録!$Z$6:$Z$3005,D$5,請求記録!$AF$6:$AF$3005,"保留中")&gt;0,"保留",IF(COUNTIFS(請求記録!$B$6:$B$3005,$A212,請求記録!$Z$6:$Z$3005,D$5)=0,"",SUMIFS(請求記録!$AE$6:$AE$3005,請求記録!$B$6:$B$3005,$A212,請求記録!$Z$6:$Z$3005,D$5))))</f>
        <v/>
      </c>
      <c r="E212" s="19">
        <f>IF($A212="","",IF(COUNTIFS(請求記録!$B$6:$B$3005,$A212,請求記録!$Z$6:$Z$3005,E$5,請求記録!$AF$6:$AF$3005,"保留中")&gt;0,"保留",IF(COUNTIFS(請求記録!$B$6:$B$3005,$A212,請求記録!$Z$6:$Z$3005,E$5)=0,"",SUMIFS(請求記録!$AE$6:$AE$3005,請求記録!$B$6:$B$3005,$A212,請求記録!$Z$6:$Z$3005,E$5))))</f>
        <v/>
      </c>
      <c r="F212" s="19">
        <f>IF($A212="","",IF(COUNTIFS(請求記録!$B$6:$B$3005,$A212,請求記録!$Z$6:$Z$3005,F$5,請求記録!$AF$6:$AF$3005,"保留中")&gt;0,"保留",IF(COUNTIFS(請求記録!$B$6:$B$3005,$A212,請求記録!$Z$6:$Z$3005,F$5)=0,"",SUMIFS(請求記録!$AE$6:$AE$3005,請求記録!$B$6:$B$3005,$A212,請求記録!$Z$6:$Z$3005,F$5))))</f>
        <v/>
      </c>
      <c r="G212" s="19">
        <f>IF($A212="","",IF(COUNTIFS(請求記録!$B$6:$B$3005,$A212,請求記録!$Z$6:$Z$3005,G$5,請求記録!$AF$6:$AF$3005,"保留中")&gt;0,"保留",IF(COUNTIFS(請求記録!$B$6:$B$3005,$A212,請求記録!$Z$6:$Z$3005,G$5)=0,"",SUMIFS(請求記録!$AE$6:$AE$3005,請求記録!$B$6:$B$3005,$A212,請求記録!$Z$6:$Z$3005,G$5))))</f>
        <v/>
      </c>
      <c r="H212" s="19">
        <f>IF($A212="","",IF(COUNTIFS(請求記録!$B$6:$B$3005,$A212,請求記録!$Z$6:$Z$3005,H$5,請求記録!$AF$6:$AF$3005,"保留中")&gt;0,"保留",IF(COUNTIFS(請求記録!$B$6:$B$3005,$A212,請求記録!$Z$6:$Z$3005,H$5)=0,"",SUMIFS(請求記録!$AE$6:$AE$3005,請求記録!$B$6:$B$3005,$A212,請求記録!$Z$6:$Z$3005,H$5))))</f>
        <v/>
      </c>
      <c r="I212" s="19">
        <f>IF($A212="","",IF(COUNTIFS(請求記録!$B$6:$B$3005,$A212,請求記録!$Z$6:$Z$3005,I$5,請求記録!$AF$6:$AF$3005,"保留中")&gt;0,"保留",IF(COUNTIFS(請求記録!$B$6:$B$3005,$A212,請求記録!$Z$6:$Z$3005,I$5)=0,"",SUMIFS(請求記録!$AE$6:$AE$3005,請求記録!$B$6:$B$3005,$A212,請求記録!$Z$6:$Z$3005,I$5))))</f>
        <v/>
      </c>
      <c r="J212" s="19">
        <f>IF($A212="","",IF(COUNTIFS(請求記録!$B$6:$B$3005,$A212,請求記録!$Z$6:$Z$3005,J$5,請求記録!$AF$6:$AF$3005,"保留中")&gt;0,"保留",IF(COUNTIFS(請求記録!$B$6:$B$3005,$A212,請求記録!$Z$6:$Z$3005,J$5)=0,"",SUMIFS(請求記録!$AE$6:$AE$3005,請求記録!$B$6:$B$3005,$A212,請求記録!$Z$6:$Z$3005,J$5))))</f>
        <v/>
      </c>
      <c r="K212" s="19">
        <f>IF($A212="","",IF(COUNTIFS(請求記録!$B$6:$B$3005,$A212,請求記録!$Z$6:$Z$3005,K$5,請求記録!$AF$6:$AF$3005,"保留中")&gt;0,"保留",IF(COUNTIFS(請求記録!$B$6:$B$3005,$A212,請求記録!$Z$6:$Z$3005,K$5)=0,"",SUMIFS(請求記録!$AE$6:$AE$3005,請求記録!$B$6:$B$3005,$A212,請求記録!$Z$6:$Z$3005,K$5))))</f>
        <v/>
      </c>
      <c r="L212" s="19">
        <f>IF($A212="","",IF(COUNTIFS(請求記録!$B$6:$B$3005,$A212,請求記録!$Z$6:$Z$3005,L$5,請求記録!$AF$6:$AF$3005,"保留中")&gt;0,"保留",IF(COUNTIFS(請求記録!$B$6:$B$3005,$A212,請求記録!$Z$6:$Z$3005,L$5)=0,"",SUMIFS(請求記録!$AE$6:$AE$3005,請求記録!$B$6:$B$3005,$A212,請求記録!$Z$6:$Z$3005,L$5))))</f>
        <v/>
      </c>
      <c r="M212" s="19">
        <f>IF($A212="","",IF(COUNTIFS(請求記録!$B$6:$B$3005,$A212,請求記録!$Z$6:$Z$3005,M$5,請求記録!$AF$6:$AF$3005,"保留中")&gt;0,"保留",IF(COUNTIFS(請求記録!$B$6:$B$3005,$A212,請求記録!$Z$6:$Z$3005,M$5)=0,"",SUMIFS(請求記録!$AE$6:$AE$3005,請求記録!$B$6:$B$3005,$A212,請求記録!$Z$6:$Z$3005,M$5))))</f>
        <v/>
      </c>
      <c r="N212" s="19">
        <f>IF($A212="","",IF(COUNTIFS(請求記録!$B$6:$B$3005,$A212,請求記録!$Z$6:$Z$3005,N$5,請求記録!$AF$6:$AF$3005,"保留中")&gt;0,"保留",IF(COUNTIFS(請求記録!$B$6:$B$3005,$A212,請求記録!$Z$6:$Z$3005,N$5)=0,"",SUMIFS(請求記録!$AE$6:$AE$3005,請求記録!$B$6:$B$3005,$A212,請求記録!$Z$6:$Z$3005,N$5))))</f>
        <v/>
      </c>
      <c r="O212" s="19">
        <f>IF($A212="","",IF(COUNTIFS(請求記録!$B$6:$B$3005,$A212,請求記録!$Z$6:$Z$3005,O$5,請求記録!$AF$6:$AF$3005,"保留中")&gt;0,"保留",IF(COUNTIFS(請求記録!$B$6:$B$3005,$A212,請求記録!$Z$6:$Z$3005,O$5)=0,"",SUMIFS(請求記録!$AE$6:$AE$3005,請求記録!$B$6:$B$3005,$A212,請求記録!$Z$6:$Z$3005,O$5))))</f>
        <v/>
      </c>
      <c r="P212" s="19">
        <f>IF($A212="","",IF(COUNTIFS(請求記録!$B$6:$B$3005,$A212,請求記録!$Z$6:$Z$3005,P$5,請求記録!$AF$6:$AF$3005,"保留中")&gt;0,"保留",IF(COUNTIFS(請求記録!$B$6:$B$3005,$A212,請求記録!$Z$6:$Z$3005,P$5)=0,"",SUMIFS(請求記録!$AE$6:$AE$3005,請求記録!$B$6:$B$3005,$A212,請求記録!$Z$6:$Z$3005,P$5))))</f>
        <v/>
      </c>
      <c r="Q212" s="19">
        <f>IF($A212="","",IF(COUNTIFS(請求記録!$B$6:$B$3005,$A212,請求記録!$Z$6:$Z$3005,Q$5,請求記録!$AF$6:$AF$3005,"保留中")&gt;0,"保留",IF(COUNTIFS(請求記録!$B$6:$B$3005,$A212,請求記録!$Z$6:$Z$3005,Q$5)=0,"",SUMIFS(請求記録!$AE$6:$AE$3005,請求記録!$B$6:$B$3005,$A212,請求記録!$Z$6:$Z$3005,Q$5))))</f>
        <v/>
      </c>
      <c r="R212" s="19">
        <f>IF($A212="","",IF(COUNTIFS(請求記録!$B$6:$B$3005,$A212,請求記録!$Z$6:$Z$3005,R$5,請求記録!$AF$6:$AF$3005,"保留中")&gt;0,"保留",IF(COUNTIFS(請求記録!$B$6:$B$3005,$A212,請求記録!$Z$6:$Z$3005,R$5)=0,"",SUMIFS(請求記録!$AE$6:$AE$3005,請求記録!$B$6:$B$3005,$A212,請求記録!$Z$6:$Z$3005,R$5))))</f>
        <v/>
      </c>
      <c r="S212" s="19">
        <f>IF($A212="","",IF(COUNTIFS(請求記録!$B$6:$B$3005,$A212,請求記録!$Z$6:$Z$3005,S$5,請求記録!$AF$6:$AF$3005,"保留中")&gt;0,"保留",IF(COUNTIFS(請求記録!$B$6:$B$3005,$A212,請求記録!$Z$6:$Z$3005,S$5)=0,"",SUMIFS(請求記録!$AE$6:$AE$3005,請求記録!$B$6:$B$3005,$A212,請求記録!$Z$6:$Z$3005,S$5))))</f>
        <v/>
      </c>
      <c r="T212" s="19">
        <f>IF($A212="","",IF(COUNTIFS(請求記録!$B$6:$B$3005,$A212,請求記録!$Z$6:$Z$3005,T$5,請求記録!$AF$6:$AF$3005,"保留中")&gt;0,"保留",IF(COUNTIFS(請求記録!$B$6:$B$3005,$A212,請求記録!$Z$6:$Z$3005,T$5)=0,"",SUMIFS(請求記録!$AE$6:$AE$3005,請求記録!$B$6:$B$3005,$A212,請求記録!$Z$6:$Z$3005,T$5))))</f>
        <v/>
      </c>
      <c r="U212" s="19">
        <f>IF($A212="","",IF(COUNTIFS(請求記録!$B$6:$B$3005,$A212,請求記録!$Z$6:$Z$3005,U$5,請求記録!$AF$6:$AF$3005,"保留中")&gt;0,"保留",IF(COUNTIFS(請求記録!$B$6:$B$3005,$A212,請求記録!$Z$6:$Z$3005,U$5)=0,"",SUMIFS(請求記録!$AE$6:$AE$3005,請求記録!$B$6:$B$3005,$A212,請求記録!$Z$6:$Z$3005,U$5))))</f>
        <v/>
      </c>
      <c r="V212" s="19">
        <f>IF($A212="","",IF(COUNTIFS(請求記録!$B$6:$B$3005,$A212,請求記録!$Z$6:$Z$3005,V$5,請求記録!$AF$6:$AF$3005,"保留中")&gt;0,"保留",IF(COUNTIFS(請求記録!$B$6:$B$3005,$A212,請求記録!$Z$6:$Z$3005,V$5)=0,"",SUMIFS(請求記録!$AE$6:$AE$3005,請求記録!$B$6:$B$3005,$A212,請求記録!$Z$6:$Z$3005,V$5))))</f>
        <v/>
      </c>
      <c r="W212" s="19">
        <f>IF($A212="","",IF(COUNTIFS(請求記録!$B$6:$B$3005,$A212,請求記録!$Z$6:$Z$3005,W$5,請求記録!$AF$6:$AF$3005,"保留中")&gt;0,"保留",IF(COUNTIFS(請求記録!$B$6:$B$3005,$A212,請求記録!$Z$6:$Z$3005,W$5)=0,"",SUMIFS(請求記録!$AE$6:$AE$3005,請求記録!$B$6:$B$3005,$A212,請求記録!$Z$6:$Z$3005,W$5))))</f>
        <v/>
      </c>
      <c r="X212" s="19">
        <f>IF($A212="","",IF(COUNTIFS(請求記録!$B$6:$B$3005,$A212,請求記録!$Z$6:$Z$3005,X$5,請求記録!$AF$6:$AF$3005,"保留中")&gt;0,"保留",IF(COUNTIFS(請求記録!$B$6:$B$3005,$A212,請求記録!$Z$6:$Z$3005,X$5)=0,"",SUMIFS(請求記録!$AE$6:$AE$3005,請求記録!$B$6:$B$3005,$A212,請求記録!$Z$6:$Z$3005,X$5))))</f>
        <v/>
      </c>
      <c r="Y212" s="19">
        <f>IF($A212="","",IF(COUNTIFS(請求記録!$B$6:$B$3005,$A212,請求記録!$Z$6:$Z$3005,Y$5,請求記録!$AF$6:$AF$3005,"保留中")&gt;0,"保留",IF(COUNTIFS(請求記録!$B$6:$B$3005,$A212,請求記録!$Z$6:$Z$3005,Y$5)=0,"",SUMIFS(請求記録!$AE$6:$AE$3005,請求記録!$B$6:$B$3005,$A212,請求記録!$Z$6:$Z$3005,Y$5))))</f>
        <v/>
      </c>
      <c r="Z212" s="19">
        <f>IF($A212="","",IF(COUNTIFS(請求記録!$B$6:$B$3005,$A212,請求記録!$Z$6:$Z$3005,Z$5,請求記録!$AF$6:$AF$3005,"保留中")&gt;0,"保留",IF(COUNTIFS(請求記録!$B$6:$B$3005,$A212,請求記録!$Z$6:$Z$3005,Z$5)=0,"",SUMIFS(請求記録!$AE$6:$AE$3005,請求記録!$B$6:$B$3005,$A212,請求記録!$Z$6:$Z$3005,Z$5))))</f>
        <v/>
      </c>
      <c r="AA212" s="19">
        <f>IF($A212="","",IF(COUNTIFS(請求記録!$B$6:$B$3005,$A212,請求記録!$Z$6:$Z$3005,AA$5,請求記録!$AF$6:$AF$3005,"保留中")&gt;0,"保留",IF(COUNTIFS(請求記録!$B$6:$B$3005,$A212,請求記録!$Z$6:$Z$3005,AA$5)=0,"",SUMIFS(請求記録!$AE$6:$AE$3005,請求記録!$B$6:$B$3005,$A212,請求記録!$Z$6:$Z$3005,AA$5))))</f>
        <v/>
      </c>
      <c r="AB212">
        <f>IF(職員マスタ!P212="保留中",職員マスタ!M212,"")</f>
        <v/>
      </c>
    </row>
    <row r="213">
      <c r="A213">
        <f>IF(職員マスタ!A213="","",職員マスタ!A213)</f>
        <v/>
      </c>
      <c r="B213">
        <f>IF($A213="","",職員マスタ!B213)</f>
        <v/>
      </c>
      <c r="C213">
        <f>IF($A213="","",職員マスタ!C213)</f>
        <v/>
      </c>
      <c r="D213" s="19">
        <f>IF($A213="","",IF(COUNTIFS(請求記録!$B$6:$B$3005,$A213,請求記録!$Z$6:$Z$3005,D$5,請求記録!$AF$6:$AF$3005,"保留中")&gt;0,"保留",IF(COUNTIFS(請求記録!$B$6:$B$3005,$A213,請求記録!$Z$6:$Z$3005,D$5)=0,"",SUMIFS(請求記録!$AE$6:$AE$3005,請求記録!$B$6:$B$3005,$A213,請求記録!$Z$6:$Z$3005,D$5))))</f>
        <v/>
      </c>
      <c r="E213" s="19">
        <f>IF($A213="","",IF(COUNTIFS(請求記録!$B$6:$B$3005,$A213,請求記録!$Z$6:$Z$3005,E$5,請求記録!$AF$6:$AF$3005,"保留中")&gt;0,"保留",IF(COUNTIFS(請求記録!$B$6:$B$3005,$A213,請求記録!$Z$6:$Z$3005,E$5)=0,"",SUMIFS(請求記録!$AE$6:$AE$3005,請求記録!$B$6:$B$3005,$A213,請求記録!$Z$6:$Z$3005,E$5))))</f>
        <v/>
      </c>
      <c r="F213" s="19">
        <f>IF($A213="","",IF(COUNTIFS(請求記録!$B$6:$B$3005,$A213,請求記録!$Z$6:$Z$3005,F$5,請求記録!$AF$6:$AF$3005,"保留中")&gt;0,"保留",IF(COUNTIFS(請求記録!$B$6:$B$3005,$A213,請求記録!$Z$6:$Z$3005,F$5)=0,"",SUMIFS(請求記録!$AE$6:$AE$3005,請求記録!$B$6:$B$3005,$A213,請求記録!$Z$6:$Z$3005,F$5))))</f>
        <v/>
      </c>
      <c r="G213" s="19">
        <f>IF($A213="","",IF(COUNTIFS(請求記録!$B$6:$B$3005,$A213,請求記録!$Z$6:$Z$3005,G$5,請求記録!$AF$6:$AF$3005,"保留中")&gt;0,"保留",IF(COUNTIFS(請求記録!$B$6:$B$3005,$A213,請求記録!$Z$6:$Z$3005,G$5)=0,"",SUMIFS(請求記録!$AE$6:$AE$3005,請求記録!$B$6:$B$3005,$A213,請求記録!$Z$6:$Z$3005,G$5))))</f>
        <v/>
      </c>
      <c r="H213" s="19">
        <f>IF($A213="","",IF(COUNTIFS(請求記録!$B$6:$B$3005,$A213,請求記録!$Z$6:$Z$3005,H$5,請求記録!$AF$6:$AF$3005,"保留中")&gt;0,"保留",IF(COUNTIFS(請求記録!$B$6:$B$3005,$A213,請求記録!$Z$6:$Z$3005,H$5)=0,"",SUMIFS(請求記録!$AE$6:$AE$3005,請求記録!$B$6:$B$3005,$A213,請求記録!$Z$6:$Z$3005,H$5))))</f>
        <v/>
      </c>
      <c r="I213" s="19">
        <f>IF($A213="","",IF(COUNTIFS(請求記録!$B$6:$B$3005,$A213,請求記録!$Z$6:$Z$3005,I$5,請求記録!$AF$6:$AF$3005,"保留中")&gt;0,"保留",IF(COUNTIFS(請求記録!$B$6:$B$3005,$A213,請求記録!$Z$6:$Z$3005,I$5)=0,"",SUMIFS(請求記録!$AE$6:$AE$3005,請求記録!$B$6:$B$3005,$A213,請求記録!$Z$6:$Z$3005,I$5))))</f>
        <v/>
      </c>
      <c r="J213" s="19">
        <f>IF($A213="","",IF(COUNTIFS(請求記録!$B$6:$B$3005,$A213,請求記録!$Z$6:$Z$3005,J$5,請求記録!$AF$6:$AF$3005,"保留中")&gt;0,"保留",IF(COUNTIFS(請求記録!$B$6:$B$3005,$A213,請求記録!$Z$6:$Z$3005,J$5)=0,"",SUMIFS(請求記録!$AE$6:$AE$3005,請求記録!$B$6:$B$3005,$A213,請求記録!$Z$6:$Z$3005,J$5))))</f>
        <v/>
      </c>
      <c r="K213" s="19">
        <f>IF($A213="","",IF(COUNTIFS(請求記録!$B$6:$B$3005,$A213,請求記録!$Z$6:$Z$3005,K$5,請求記録!$AF$6:$AF$3005,"保留中")&gt;0,"保留",IF(COUNTIFS(請求記録!$B$6:$B$3005,$A213,請求記録!$Z$6:$Z$3005,K$5)=0,"",SUMIFS(請求記録!$AE$6:$AE$3005,請求記録!$B$6:$B$3005,$A213,請求記録!$Z$6:$Z$3005,K$5))))</f>
        <v/>
      </c>
      <c r="L213" s="19">
        <f>IF($A213="","",IF(COUNTIFS(請求記録!$B$6:$B$3005,$A213,請求記録!$Z$6:$Z$3005,L$5,請求記録!$AF$6:$AF$3005,"保留中")&gt;0,"保留",IF(COUNTIFS(請求記録!$B$6:$B$3005,$A213,請求記録!$Z$6:$Z$3005,L$5)=0,"",SUMIFS(請求記録!$AE$6:$AE$3005,請求記録!$B$6:$B$3005,$A213,請求記録!$Z$6:$Z$3005,L$5))))</f>
        <v/>
      </c>
      <c r="M213" s="19">
        <f>IF($A213="","",IF(COUNTIFS(請求記録!$B$6:$B$3005,$A213,請求記録!$Z$6:$Z$3005,M$5,請求記録!$AF$6:$AF$3005,"保留中")&gt;0,"保留",IF(COUNTIFS(請求記録!$B$6:$B$3005,$A213,請求記録!$Z$6:$Z$3005,M$5)=0,"",SUMIFS(請求記録!$AE$6:$AE$3005,請求記録!$B$6:$B$3005,$A213,請求記録!$Z$6:$Z$3005,M$5))))</f>
        <v/>
      </c>
      <c r="N213" s="19">
        <f>IF($A213="","",IF(COUNTIFS(請求記録!$B$6:$B$3005,$A213,請求記録!$Z$6:$Z$3005,N$5,請求記録!$AF$6:$AF$3005,"保留中")&gt;0,"保留",IF(COUNTIFS(請求記録!$B$6:$B$3005,$A213,請求記録!$Z$6:$Z$3005,N$5)=0,"",SUMIFS(請求記録!$AE$6:$AE$3005,請求記録!$B$6:$B$3005,$A213,請求記録!$Z$6:$Z$3005,N$5))))</f>
        <v/>
      </c>
      <c r="O213" s="19">
        <f>IF($A213="","",IF(COUNTIFS(請求記録!$B$6:$B$3005,$A213,請求記録!$Z$6:$Z$3005,O$5,請求記録!$AF$6:$AF$3005,"保留中")&gt;0,"保留",IF(COUNTIFS(請求記録!$B$6:$B$3005,$A213,請求記録!$Z$6:$Z$3005,O$5)=0,"",SUMIFS(請求記録!$AE$6:$AE$3005,請求記録!$B$6:$B$3005,$A213,請求記録!$Z$6:$Z$3005,O$5))))</f>
        <v/>
      </c>
      <c r="P213" s="19">
        <f>IF($A213="","",IF(COUNTIFS(請求記録!$B$6:$B$3005,$A213,請求記録!$Z$6:$Z$3005,P$5,請求記録!$AF$6:$AF$3005,"保留中")&gt;0,"保留",IF(COUNTIFS(請求記録!$B$6:$B$3005,$A213,請求記録!$Z$6:$Z$3005,P$5)=0,"",SUMIFS(請求記録!$AE$6:$AE$3005,請求記録!$B$6:$B$3005,$A213,請求記録!$Z$6:$Z$3005,P$5))))</f>
        <v/>
      </c>
      <c r="Q213" s="19">
        <f>IF($A213="","",IF(COUNTIFS(請求記録!$B$6:$B$3005,$A213,請求記録!$Z$6:$Z$3005,Q$5,請求記録!$AF$6:$AF$3005,"保留中")&gt;0,"保留",IF(COUNTIFS(請求記録!$B$6:$B$3005,$A213,請求記録!$Z$6:$Z$3005,Q$5)=0,"",SUMIFS(請求記録!$AE$6:$AE$3005,請求記録!$B$6:$B$3005,$A213,請求記録!$Z$6:$Z$3005,Q$5))))</f>
        <v/>
      </c>
      <c r="R213" s="19">
        <f>IF($A213="","",IF(COUNTIFS(請求記録!$B$6:$B$3005,$A213,請求記録!$Z$6:$Z$3005,R$5,請求記録!$AF$6:$AF$3005,"保留中")&gt;0,"保留",IF(COUNTIFS(請求記録!$B$6:$B$3005,$A213,請求記録!$Z$6:$Z$3005,R$5)=0,"",SUMIFS(請求記録!$AE$6:$AE$3005,請求記録!$B$6:$B$3005,$A213,請求記録!$Z$6:$Z$3005,R$5))))</f>
        <v/>
      </c>
      <c r="S213" s="19">
        <f>IF($A213="","",IF(COUNTIFS(請求記録!$B$6:$B$3005,$A213,請求記録!$Z$6:$Z$3005,S$5,請求記録!$AF$6:$AF$3005,"保留中")&gt;0,"保留",IF(COUNTIFS(請求記録!$B$6:$B$3005,$A213,請求記録!$Z$6:$Z$3005,S$5)=0,"",SUMIFS(請求記録!$AE$6:$AE$3005,請求記録!$B$6:$B$3005,$A213,請求記録!$Z$6:$Z$3005,S$5))))</f>
        <v/>
      </c>
      <c r="T213" s="19">
        <f>IF($A213="","",IF(COUNTIFS(請求記録!$B$6:$B$3005,$A213,請求記録!$Z$6:$Z$3005,T$5,請求記録!$AF$6:$AF$3005,"保留中")&gt;0,"保留",IF(COUNTIFS(請求記録!$B$6:$B$3005,$A213,請求記録!$Z$6:$Z$3005,T$5)=0,"",SUMIFS(請求記録!$AE$6:$AE$3005,請求記録!$B$6:$B$3005,$A213,請求記録!$Z$6:$Z$3005,T$5))))</f>
        <v/>
      </c>
      <c r="U213" s="19">
        <f>IF($A213="","",IF(COUNTIFS(請求記録!$B$6:$B$3005,$A213,請求記録!$Z$6:$Z$3005,U$5,請求記録!$AF$6:$AF$3005,"保留中")&gt;0,"保留",IF(COUNTIFS(請求記録!$B$6:$B$3005,$A213,請求記録!$Z$6:$Z$3005,U$5)=0,"",SUMIFS(請求記録!$AE$6:$AE$3005,請求記録!$B$6:$B$3005,$A213,請求記録!$Z$6:$Z$3005,U$5))))</f>
        <v/>
      </c>
      <c r="V213" s="19">
        <f>IF($A213="","",IF(COUNTIFS(請求記録!$B$6:$B$3005,$A213,請求記録!$Z$6:$Z$3005,V$5,請求記録!$AF$6:$AF$3005,"保留中")&gt;0,"保留",IF(COUNTIFS(請求記録!$B$6:$B$3005,$A213,請求記録!$Z$6:$Z$3005,V$5)=0,"",SUMIFS(請求記録!$AE$6:$AE$3005,請求記録!$B$6:$B$3005,$A213,請求記録!$Z$6:$Z$3005,V$5))))</f>
        <v/>
      </c>
      <c r="W213" s="19">
        <f>IF($A213="","",IF(COUNTIFS(請求記録!$B$6:$B$3005,$A213,請求記録!$Z$6:$Z$3005,W$5,請求記録!$AF$6:$AF$3005,"保留中")&gt;0,"保留",IF(COUNTIFS(請求記録!$B$6:$B$3005,$A213,請求記録!$Z$6:$Z$3005,W$5)=0,"",SUMIFS(請求記録!$AE$6:$AE$3005,請求記録!$B$6:$B$3005,$A213,請求記録!$Z$6:$Z$3005,W$5))))</f>
        <v/>
      </c>
      <c r="X213" s="19">
        <f>IF($A213="","",IF(COUNTIFS(請求記録!$B$6:$B$3005,$A213,請求記録!$Z$6:$Z$3005,X$5,請求記録!$AF$6:$AF$3005,"保留中")&gt;0,"保留",IF(COUNTIFS(請求記録!$B$6:$B$3005,$A213,請求記録!$Z$6:$Z$3005,X$5)=0,"",SUMIFS(請求記録!$AE$6:$AE$3005,請求記録!$B$6:$B$3005,$A213,請求記録!$Z$6:$Z$3005,X$5))))</f>
        <v/>
      </c>
      <c r="Y213" s="19">
        <f>IF($A213="","",IF(COUNTIFS(請求記録!$B$6:$B$3005,$A213,請求記録!$Z$6:$Z$3005,Y$5,請求記録!$AF$6:$AF$3005,"保留中")&gt;0,"保留",IF(COUNTIFS(請求記録!$B$6:$B$3005,$A213,請求記録!$Z$6:$Z$3005,Y$5)=0,"",SUMIFS(請求記録!$AE$6:$AE$3005,請求記録!$B$6:$B$3005,$A213,請求記録!$Z$6:$Z$3005,Y$5))))</f>
        <v/>
      </c>
      <c r="Z213" s="19">
        <f>IF($A213="","",IF(COUNTIFS(請求記録!$B$6:$B$3005,$A213,請求記録!$Z$6:$Z$3005,Z$5,請求記録!$AF$6:$AF$3005,"保留中")&gt;0,"保留",IF(COUNTIFS(請求記録!$B$6:$B$3005,$A213,請求記録!$Z$6:$Z$3005,Z$5)=0,"",SUMIFS(請求記録!$AE$6:$AE$3005,請求記録!$B$6:$B$3005,$A213,請求記録!$Z$6:$Z$3005,Z$5))))</f>
        <v/>
      </c>
      <c r="AA213" s="19">
        <f>IF($A213="","",IF(COUNTIFS(請求記録!$B$6:$B$3005,$A213,請求記録!$Z$6:$Z$3005,AA$5,請求記録!$AF$6:$AF$3005,"保留中")&gt;0,"保留",IF(COUNTIFS(請求記録!$B$6:$B$3005,$A213,請求記録!$Z$6:$Z$3005,AA$5)=0,"",SUMIFS(請求記録!$AE$6:$AE$3005,請求記録!$B$6:$B$3005,$A213,請求記録!$Z$6:$Z$3005,AA$5))))</f>
        <v/>
      </c>
      <c r="AB213">
        <f>IF(職員マスタ!P213="保留中",職員マスタ!M213,"")</f>
        <v/>
      </c>
    </row>
    <row r="214">
      <c r="A214">
        <f>IF(職員マスタ!A214="","",職員マスタ!A214)</f>
        <v/>
      </c>
      <c r="B214">
        <f>IF($A214="","",職員マスタ!B214)</f>
        <v/>
      </c>
      <c r="C214">
        <f>IF($A214="","",職員マスタ!C214)</f>
        <v/>
      </c>
      <c r="D214" s="19">
        <f>IF($A214="","",IF(COUNTIFS(請求記録!$B$6:$B$3005,$A214,請求記録!$Z$6:$Z$3005,D$5,請求記録!$AF$6:$AF$3005,"保留中")&gt;0,"保留",IF(COUNTIFS(請求記録!$B$6:$B$3005,$A214,請求記録!$Z$6:$Z$3005,D$5)=0,"",SUMIFS(請求記録!$AE$6:$AE$3005,請求記録!$B$6:$B$3005,$A214,請求記録!$Z$6:$Z$3005,D$5))))</f>
        <v/>
      </c>
      <c r="E214" s="19">
        <f>IF($A214="","",IF(COUNTIFS(請求記録!$B$6:$B$3005,$A214,請求記録!$Z$6:$Z$3005,E$5,請求記録!$AF$6:$AF$3005,"保留中")&gt;0,"保留",IF(COUNTIFS(請求記録!$B$6:$B$3005,$A214,請求記録!$Z$6:$Z$3005,E$5)=0,"",SUMIFS(請求記録!$AE$6:$AE$3005,請求記録!$B$6:$B$3005,$A214,請求記録!$Z$6:$Z$3005,E$5))))</f>
        <v/>
      </c>
      <c r="F214" s="19">
        <f>IF($A214="","",IF(COUNTIFS(請求記録!$B$6:$B$3005,$A214,請求記録!$Z$6:$Z$3005,F$5,請求記録!$AF$6:$AF$3005,"保留中")&gt;0,"保留",IF(COUNTIFS(請求記録!$B$6:$B$3005,$A214,請求記録!$Z$6:$Z$3005,F$5)=0,"",SUMIFS(請求記録!$AE$6:$AE$3005,請求記録!$B$6:$B$3005,$A214,請求記録!$Z$6:$Z$3005,F$5))))</f>
        <v/>
      </c>
      <c r="G214" s="19">
        <f>IF($A214="","",IF(COUNTIFS(請求記録!$B$6:$B$3005,$A214,請求記録!$Z$6:$Z$3005,G$5,請求記録!$AF$6:$AF$3005,"保留中")&gt;0,"保留",IF(COUNTIFS(請求記録!$B$6:$B$3005,$A214,請求記録!$Z$6:$Z$3005,G$5)=0,"",SUMIFS(請求記録!$AE$6:$AE$3005,請求記録!$B$6:$B$3005,$A214,請求記録!$Z$6:$Z$3005,G$5))))</f>
        <v/>
      </c>
      <c r="H214" s="19">
        <f>IF($A214="","",IF(COUNTIFS(請求記録!$B$6:$B$3005,$A214,請求記録!$Z$6:$Z$3005,H$5,請求記録!$AF$6:$AF$3005,"保留中")&gt;0,"保留",IF(COUNTIFS(請求記録!$B$6:$B$3005,$A214,請求記録!$Z$6:$Z$3005,H$5)=0,"",SUMIFS(請求記録!$AE$6:$AE$3005,請求記録!$B$6:$B$3005,$A214,請求記録!$Z$6:$Z$3005,H$5))))</f>
        <v/>
      </c>
      <c r="I214" s="19">
        <f>IF($A214="","",IF(COUNTIFS(請求記録!$B$6:$B$3005,$A214,請求記録!$Z$6:$Z$3005,I$5,請求記録!$AF$6:$AF$3005,"保留中")&gt;0,"保留",IF(COUNTIFS(請求記録!$B$6:$B$3005,$A214,請求記録!$Z$6:$Z$3005,I$5)=0,"",SUMIFS(請求記録!$AE$6:$AE$3005,請求記録!$B$6:$B$3005,$A214,請求記録!$Z$6:$Z$3005,I$5))))</f>
        <v/>
      </c>
      <c r="J214" s="19">
        <f>IF($A214="","",IF(COUNTIFS(請求記録!$B$6:$B$3005,$A214,請求記録!$Z$6:$Z$3005,J$5,請求記録!$AF$6:$AF$3005,"保留中")&gt;0,"保留",IF(COUNTIFS(請求記録!$B$6:$B$3005,$A214,請求記録!$Z$6:$Z$3005,J$5)=0,"",SUMIFS(請求記録!$AE$6:$AE$3005,請求記録!$B$6:$B$3005,$A214,請求記録!$Z$6:$Z$3005,J$5))))</f>
        <v/>
      </c>
      <c r="K214" s="19">
        <f>IF($A214="","",IF(COUNTIFS(請求記録!$B$6:$B$3005,$A214,請求記録!$Z$6:$Z$3005,K$5,請求記録!$AF$6:$AF$3005,"保留中")&gt;0,"保留",IF(COUNTIFS(請求記録!$B$6:$B$3005,$A214,請求記録!$Z$6:$Z$3005,K$5)=0,"",SUMIFS(請求記録!$AE$6:$AE$3005,請求記録!$B$6:$B$3005,$A214,請求記録!$Z$6:$Z$3005,K$5))))</f>
        <v/>
      </c>
      <c r="L214" s="19">
        <f>IF($A214="","",IF(COUNTIFS(請求記録!$B$6:$B$3005,$A214,請求記録!$Z$6:$Z$3005,L$5,請求記録!$AF$6:$AF$3005,"保留中")&gt;0,"保留",IF(COUNTIFS(請求記録!$B$6:$B$3005,$A214,請求記録!$Z$6:$Z$3005,L$5)=0,"",SUMIFS(請求記録!$AE$6:$AE$3005,請求記録!$B$6:$B$3005,$A214,請求記録!$Z$6:$Z$3005,L$5))))</f>
        <v/>
      </c>
      <c r="M214" s="19">
        <f>IF($A214="","",IF(COUNTIFS(請求記録!$B$6:$B$3005,$A214,請求記録!$Z$6:$Z$3005,M$5,請求記録!$AF$6:$AF$3005,"保留中")&gt;0,"保留",IF(COUNTIFS(請求記録!$B$6:$B$3005,$A214,請求記録!$Z$6:$Z$3005,M$5)=0,"",SUMIFS(請求記録!$AE$6:$AE$3005,請求記録!$B$6:$B$3005,$A214,請求記録!$Z$6:$Z$3005,M$5))))</f>
        <v/>
      </c>
      <c r="N214" s="19">
        <f>IF($A214="","",IF(COUNTIFS(請求記録!$B$6:$B$3005,$A214,請求記録!$Z$6:$Z$3005,N$5,請求記録!$AF$6:$AF$3005,"保留中")&gt;0,"保留",IF(COUNTIFS(請求記録!$B$6:$B$3005,$A214,請求記録!$Z$6:$Z$3005,N$5)=0,"",SUMIFS(請求記録!$AE$6:$AE$3005,請求記録!$B$6:$B$3005,$A214,請求記録!$Z$6:$Z$3005,N$5))))</f>
        <v/>
      </c>
      <c r="O214" s="19">
        <f>IF($A214="","",IF(COUNTIFS(請求記録!$B$6:$B$3005,$A214,請求記録!$Z$6:$Z$3005,O$5,請求記録!$AF$6:$AF$3005,"保留中")&gt;0,"保留",IF(COUNTIFS(請求記録!$B$6:$B$3005,$A214,請求記録!$Z$6:$Z$3005,O$5)=0,"",SUMIFS(請求記録!$AE$6:$AE$3005,請求記録!$B$6:$B$3005,$A214,請求記録!$Z$6:$Z$3005,O$5))))</f>
        <v/>
      </c>
      <c r="P214" s="19">
        <f>IF($A214="","",IF(COUNTIFS(請求記録!$B$6:$B$3005,$A214,請求記録!$Z$6:$Z$3005,P$5,請求記録!$AF$6:$AF$3005,"保留中")&gt;0,"保留",IF(COUNTIFS(請求記録!$B$6:$B$3005,$A214,請求記録!$Z$6:$Z$3005,P$5)=0,"",SUMIFS(請求記録!$AE$6:$AE$3005,請求記録!$B$6:$B$3005,$A214,請求記録!$Z$6:$Z$3005,P$5))))</f>
        <v/>
      </c>
      <c r="Q214" s="19">
        <f>IF($A214="","",IF(COUNTIFS(請求記録!$B$6:$B$3005,$A214,請求記録!$Z$6:$Z$3005,Q$5,請求記録!$AF$6:$AF$3005,"保留中")&gt;0,"保留",IF(COUNTIFS(請求記録!$B$6:$B$3005,$A214,請求記録!$Z$6:$Z$3005,Q$5)=0,"",SUMIFS(請求記録!$AE$6:$AE$3005,請求記録!$B$6:$B$3005,$A214,請求記録!$Z$6:$Z$3005,Q$5))))</f>
        <v/>
      </c>
      <c r="R214" s="19">
        <f>IF($A214="","",IF(COUNTIFS(請求記録!$B$6:$B$3005,$A214,請求記録!$Z$6:$Z$3005,R$5,請求記録!$AF$6:$AF$3005,"保留中")&gt;0,"保留",IF(COUNTIFS(請求記録!$B$6:$B$3005,$A214,請求記録!$Z$6:$Z$3005,R$5)=0,"",SUMIFS(請求記録!$AE$6:$AE$3005,請求記録!$B$6:$B$3005,$A214,請求記録!$Z$6:$Z$3005,R$5))))</f>
        <v/>
      </c>
      <c r="S214" s="19">
        <f>IF($A214="","",IF(COUNTIFS(請求記録!$B$6:$B$3005,$A214,請求記録!$Z$6:$Z$3005,S$5,請求記録!$AF$6:$AF$3005,"保留中")&gt;0,"保留",IF(COUNTIFS(請求記録!$B$6:$B$3005,$A214,請求記録!$Z$6:$Z$3005,S$5)=0,"",SUMIFS(請求記録!$AE$6:$AE$3005,請求記録!$B$6:$B$3005,$A214,請求記録!$Z$6:$Z$3005,S$5))))</f>
        <v/>
      </c>
      <c r="T214" s="19">
        <f>IF($A214="","",IF(COUNTIFS(請求記録!$B$6:$B$3005,$A214,請求記録!$Z$6:$Z$3005,T$5,請求記録!$AF$6:$AF$3005,"保留中")&gt;0,"保留",IF(COUNTIFS(請求記録!$B$6:$B$3005,$A214,請求記録!$Z$6:$Z$3005,T$5)=0,"",SUMIFS(請求記録!$AE$6:$AE$3005,請求記録!$B$6:$B$3005,$A214,請求記録!$Z$6:$Z$3005,T$5))))</f>
        <v/>
      </c>
      <c r="U214" s="19">
        <f>IF($A214="","",IF(COUNTIFS(請求記録!$B$6:$B$3005,$A214,請求記録!$Z$6:$Z$3005,U$5,請求記録!$AF$6:$AF$3005,"保留中")&gt;0,"保留",IF(COUNTIFS(請求記録!$B$6:$B$3005,$A214,請求記録!$Z$6:$Z$3005,U$5)=0,"",SUMIFS(請求記録!$AE$6:$AE$3005,請求記録!$B$6:$B$3005,$A214,請求記録!$Z$6:$Z$3005,U$5))))</f>
        <v/>
      </c>
      <c r="V214" s="19">
        <f>IF($A214="","",IF(COUNTIFS(請求記録!$B$6:$B$3005,$A214,請求記録!$Z$6:$Z$3005,V$5,請求記録!$AF$6:$AF$3005,"保留中")&gt;0,"保留",IF(COUNTIFS(請求記録!$B$6:$B$3005,$A214,請求記録!$Z$6:$Z$3005,V$5)=0,"",SUMIFS(請求記録!$AE$6:$AE$3005,請求記録!$B$6:$B$3005,$A214,請求記録!$Z$6:$Z$3005,V$5))))</f>
        <v/>
      </c>
      <c r="W214" s="19">
        <f>IF($A214="","",IF(COUNTIFS(請求記録!$B$6:$B$3005,$A214,請求記録!$Z$6:$Z$3005,W$5,請求記録!$AF$6:$AF$3005,"保留中")&gt;0,"保留",IF(COUNTIFS(請求記録!$B$6:$B$3005,$A214,請求記録!$Z$6:$Z$3005,W$5)=0,"",SUMIFS(請求記録!$AE$6:$AE$3005,請求記録!$B$6:$B$3005,$A214,請求記録!$Z$6:$Z$3005,W$5))))</f>
        <v/>
      </c>
      <c r="X214" s="19">
        <f>IF($A214="","",IF(COUNTIFS(請求記録!$B$6:$B$3005,$A214,請求記録!$Z$6:$Z$3005,X$5,請求記録!$AF$6:$AF$3005,"保留中")&gt;0,"保留",IF(COUNTIFS(請求記録!$B$6:$B$3005,$A214,請求記録!$Z$6:$Z$3005,X$5)=0,"",SUMIFS(請求記録!$AE$6:$AE$3005,請求記録!$B$6:$B$3005,$A214,請求記録!$Z$6:$Z$3005,X$5))))</f>
        <v/>
      </c>
      <c r="Y214" s="19">
        <f>IF($A214="","",IF(COUNTIFS(請求記録!$B$6:$B$3005,$A214,請求記録!$Z$6:$Z$3005,Y$5,請求記録!$AF$6:$AF$3005,"保留中")&gt;0,"保留",IF(COUNTIFS(請求記録!$B$6:$B$3005,$A214,請求記録!$Z$6:$Z$3005,Y$5)=0,"",SUMIFS(請求記録!$AE$6:$AE$3005,請求記録!$B$6:$B$3005,$A214,請求記録!$Z$6:$Z$3005,Y$5))))</f>
        <v/>
      </c>
      <c r="Z214" s="19">
        <f>IF($A214="","",IF(COUNTIFS(請求記録!$B$6:$B$3005,$A214,請求記録!$Z$6:$Z$3005,Z$5,請求記録!$AF$6:$AF$3005,"保留中")&gt;0,"保留",IF(COUNTIFS(請求記録!$B$6:$B$3005,$A214,請求記録!$Z$6:$Z$3005,Z$5)=0,"",SUMIFS(請求記録!$AE$6:$AE$3005,請求記録!$B$6:$B$3005,$A214,請求記録!$Z$6:$Z$3005,Z$5))))</f>
        <v/>
      </c>
      <c r="AA214" s="19">
        <f>IF($A214="","",IF(COUNTIFS(請求記録!$B$6:$B$3005,$A214,請求記録!$Z$6:$Z$3005,AA$5,請求記録!$AF$6:$AF$3005,"保留中")&gt;0,"保留",IF(COUNTIFS(請求記録!$B$6:$B$3005,$A214,請求記録!$Z$6:$Z$3005,AA$5)=0,"",SUMIFS(請求記録!$AE$6:$AE$3005,請求記録!$B$6:$B$3005,$A214,請求記録!$Z$6:$Z$3005,AA$5))))</f>
        <v/>
      </c>
      <c r="AB214">
        <f>IF(職員マスタ!P214="保留中",職員マスタ!M214,"")</f>
        <v/>
      </c>
    </row>
    <row r="215">
      <c r="A215">
        <f>IF(職員マスタ!A215="","",職員マスタ!A215)</f>
        <v/>
      </c>
      <c r="B215">
        <f>IF($A215="","",職員マスタ!B215)</f>
        <v/>
      </c>
      <c r="C215">
        <f>IF($A215="","",職員マスタ!C215)</f>
        <v/>
      </c>
      <c r="D215" s="19">
        <f>IF($A215="","",IF(COUNTIFS(請求記録!$B$6:$B$3005,$A215,請求記録!$Z$6:$Z$3005,D$5,請求記録!$AF$6:$AF$3005,"保留中")&gt;0,"保留",IF(COUNTIFS(請求記録!$B$6:$B$3005,$A215,請求記録!$Z$6:$Z$3005,D$5)=0,"",SUMIFS(請求記録!$AE$6:$AE$3005,請求記録!$B$6:$B$3005,$A215,請求記録!$Z$6:$Z$3005,D$5))))</f>
        <v/>
      </c>
      <c r="E215" s="19">
        <f>IF($A215="","",IF(COUNTIFS(請求記録!$B$6:$B$3005,$A215,請求記録!$Z$6:$Z$3005,E$5,請求記録!$AF$6:$AF$3005,"保留中")&gt;0,"保留",IF(COUNTIFS(請求記録!$B$6:$B$3005,$A215,請求記録!$Z$6:$Z$3005,E$5)=0,"",SUMIFS(請求記録!$AE$6:$AE$3005,請求記録!$B$6:$B$3005,$A215,請求記録!$Z$6:$Z$3005,E$5))))</f>
        <v/>
      </c>
      <c r="F215" s="19">
        <f>IF($A215="","",IF(COUNTIFS(請求記録!$B$6:$B$3005,$A215,請求記録!$Z$6:$Z$3005,F$5,請求記録!$AF$6:$AF$3005,"保留中")&gt;0,"保留",IF(COUNTIFS(請求記録!$B$6:$B$3005,$A215,請求記録!$Z$6:$Z$3005,F$5)=0,"",SUMIFS(請求記録!$AE$6:$AE$3005,請求記録!$B$6:$B$3005,$A215,請求記録!$Z$6:$Z$3005,F$5))))</f>
        <v/>
      </c>
      <c r="G215" s="19">
        <f>IF($A215="","",IF(COUNTIFS(請求記録!$B$6:$B$3005,$A215,請求記録!$Z$6:$Z$3005,G$5,請求記録!$AF$6:$AF$3005,"保留中")&gt;0,"保留",IF(COUNTIFS(請求記録!$B$6:$B$3005,$A215,請求記録!$Z$6:$Z$3005,G$5)=0,"",SUMIFS(請求記録!$AE$6:$AE$3005,請求記録!$B$6:$B$3005,$A215,請求記録!$Z$6:$Z$3005,G$5))))</f>
        <v/>
      </c>
      <c r="H215" s="19">
        <f>IF($A215="","",IF(COUNTIFS(請求記録!$B$6:$B$3005,$A215,請求記録!$Z$6:$Z$3005,H$5,請求記録!$AF$6:$AF$3005,"保留中")&gt;0,"保留",IF(COUNTIFS(請求記録!$B$6:$B$3005,$A215,請求記録!$Z$6:$Z$3005,H$5)=0,"",SUMIFS(請求記録!$AE$6:$AE$3005,請求記録!$B$6:$B$3005,$A215,請求記録!$Z$6:$Z$3005,H$5))))</f>
        <v/>
      </c>
      <c r="I215" s="19">
        <f>IF($A215="","",IF(COUNTIFS(請求記録!$B$6:$B$3005,$A215,請求記録!$Z$6:$Z$3005,I$5,請求記録!$AF$6:$AF$3005,"保留中")&gt;0,"保留",IF(COUNTIFS(請求記録!$B$6:$B$3005,$A215,請求記録!$Z$6:$Z$3005,I$5)=0,"",SUMIFS(請求記録!$AE$6:$AE$3005,請求記録!$B$6:$B$3005,$A215,請求記録!$Z$6:$Z$3005,I$5))))</f>
        <v/>
      </c>
      <c r="J215" s="19">
        <f>IF($A215="","",IF(COUNTIFS(請求記録!$B$6:$B$3005,$A215,請求記録!$Z$6:$Z$3005,J$5,請求記録!$AF$6:$AF$3005,"保留中")&gt;0,"保留",IF(COUNTIFS(請求記録!$B$6:$B$3005,$A215,請求記録!$Z$6:$Z$3005,J$5)=0,"",SUMIFS(請求記録!$AE$6:$AE$3005,請求記録!$B$6:$B$3005,$A215,請求記録!$Z$6:$Z$3005,J$5))))</f>
        <v/>
      </c>
      <c r="K215" s="19">
        <f>IF($A215="","",IF(COUNTIFS(請求記録!$B$6:$B$3005,$A215,請求記録!$Z$6:$Z$3005,K$5,請求記録!$AF$6:$AF$3005,"保留中")&gt;0,"保留",IF(COUNTIFS(請求記録!$B$6:$B$3005,$A215,請求記録!$Z$6:$Z$3005,K$5)=0,"",SUMIFS(請求記録!$AE$6:$AE$3005,請求記録!$B$6:$B$3005,$A215,請求記録!$Z$6:$Z$3005,K$5))))</f>
        <v/>
      </c>
      <c r="L215" s="19">
        <f>IF($A215="","",IF(COUNTIFS(請求記録!$B$6:$B$3005,$A215,請求記録!$Z$6:$Z$3005,L$5,請求記録!$AF$6:$AF$3005,"保留中")&gt;0,"保留",IF(COUNTIFS(請求記録!$B$6:$B$3005,$A215,請求記録!$Z$6:$Z$3005,L$5)=0,"",SUMIFS(請求記録!$AE$6:$AE$3005,請求記録!$B$6:$B$3005,$A215,請求記録!$Z$6:$Z$3005,L$5))))</f>
        <v/>
      </c>
      <c r="M215" s="19">
        <f>IF($A215="","",IF(COUNTIFS(請求記録!$B$6:$B$3005,$A215,請求記録!$Z$6:$Z$3005,M$5,請求記録!$AF$6:$AF$3005,"保留中")&gt;0,"保留",IF(COUNTIFS(請求記録!$B$6:$B$3005,$A215,請求記録!$Z$6:$Z$3005,M$5)=0,"",SUMIFS(請求記録!$AE$6:$AE$3005,請求記録!$B$6:$B$3005,$A215,請求記録!$Z$6:$Z$3005,M$5))))</f>
        <v/>
      </c>
      <c r="N215" s="19">
        <f>IF($A215="","",IF(COUNTIFS(請求記録!$B$6:$B$3005,$A215,請求記録!$Z$6:$Z$3005,N$5,請求記録!$AF$6:$AF$3005,"保留中")&gt;0,"保留",IF(COUNTIFS(請求記録!$B$6:$B$3005,$A215,請求記録!$Z$6:$Z$3005,N$5)=0,"",SUMIFS(請求記録!$AE$6:$AE$3005,請求記録!$B$6:$B$3005,$A215,請求記録!$Z$6:$Z$3005,N$5))))</f>
        <v/>
      </c>
      <c r="O215" s="19">
        <f>IF($A215="","",IF(COUNTIFS(請求記録!$B$6:$B$3005,$A215,請求記録!$Z$6:$Z$3005,O$5,請求記録!$AF$6:$AF$3005,"保留中")&gt;0,"保留",IF(COUNTIFS(請求記録!$B$6:$B$3005,$A215,請求記録!$Z$6:$Z$3005,O$5)=0,"",SUMIFS(請求記録!$AE$6:$AE$3005,請求記録!$B$6:$B$3005,$A215,請求記録!$Z$6:$Z$3005,O$5))))</f>
        <v/>
      </c>
      <c r="P215" s="19">
        <f>IF($A215="","",IF(COUNTIFS(請求記録!$B$6:$B$3005,$A215,請求記録!$Z$6:$Z$3005,P$5,請求記録!$AF$6:$AF$3005,"保留中")&gt;0,"保留",IF(COUNTIFS(請求記録!$B$6:$B$3005,$A215,請求記録!$Z$6:$Z$3005,P$5)=0,"",SUMIFS(請求記録!$AE$6:$AE$3005,請求記録!$B$6:$B$3005,$A215,請求記録!$Z$6:$Z$3005,P$5))))</f>
        <v/>
      </c>
      <c r="Q215" s="19">
        <f>IF($A215="","",IF(COUNTIFS(請求記録!$B$6:$B$3005,$A215,請求記録!$Z$6:$Z$3005,Q$5,請求記録!$AF$6:$AF$3005,"保留中")&gt;0,"保留",IF(COUNTIFS(請求記録!$B$6:$B$3005,$A215,請求記録!$Z$6:$Z$3005,Q$5)=0,"",SUMIFS(請求記録!$AE$6:$AE$3005,請求記録!$B$6:$B$3005,$A215,請求記録!$Z$6:$Z$3005,Q$5))))</f>
        <v/>
      </c>
      <c r="R215" s="19">
        <f>IF($A215="","",IF(COUNTIFS(請求記録!$B$6:$B$3005,$A215,請求記録!$Z$6:$Z$3005,R$5,請求記録!$AF$6:$AF$3005,"保留中")&gt;0,"保留",IF(COUNTIFS(請求記録!$B$6:$B$3005,$A215,請求記録!$Z$6:$Z$3005,R$5)=0,"",SUMIFS(請求記録!$AE$6:$AE$3005,請求記録!$B$6:$B$3005,$A215,請求記録!$Z$6:$Z$3005,R$5))))</f>
        <v/>
      </c>
      <c r="S215" s="19">
        <f>IF($A215="","",IF(COUNTIFS(請求記録!$B$6:$B$3005,$A215,請求記録!$Z$6:$Z$3005,S$5,請求記録!$AF$6:$AF$3005,"保留中")&gt;0,"保留",IF(COUNTIFS(請求記録!$B$6:$B$3005,$A215,請求記録!$Z$6:$Z$3005,S$5)=0,"",SUMIFS(請求記録!$AE$6:$AE$3005,請求記録!$B$6:$B$3005,$A215,請求記録!$Z$6:$Z$3005,S$5))))</f>
        <v/>
      </c>
      <c r="T215" s="19">
        <f>IF($A215="","",IF(COUNTIFS(請求記録!$B$6:$B$3005,$A215,請求記録!$Z$6:$Z$3005,T$5,請求記録!$AF$6:$AF$3005,"保留中")&gt;0,"保留",IF(COUNTIFS(請求記録!$B$6:$B$3005,$A215,請求記録!$Z$6:$Z$3005,T$5)=0,"",SUMIFS(請求記録!$AE$6:$AE$3005,請求記録!$B$6:$B$3005,$A215,請求記録!$Z$6:$Z$3005,T$5))))</f>
        <v/>
      </c>
      <c r="U215" s="19">
        <f>IF($A215="","",IF(COUNTIFS(請求記録!$B$6:$B$3005,$A215,請求記録!$Z$6:$Z$3005,U$5,請求記録!$AF$6:$AF$3005,"保留中")&gt;0,"保留",IF(COUNTIFS(請求記録!$B$6:$B$3005,$A215,請求記録!$Z$6:$Z$3005,U$5)=0,"",SUMIFS(請求記録!$AE$6:$AE$3005,請求記録!$B$6:$B$3005,$A215,請求記録!$Z$6:$Z$3005,U$5))))</f>
        <v/>
      </c>
      <c r="V215" s="19">
        <f>IF($A215="","",IF(COUNTIFS(請求記録!$B$6:$B$3005,$A215,請求記録!$Z$6:$Z$3005,V$5,請求記録!$AF$6:$AF$3005,"保留中")&gt;0,"保留",IF(COUNTIFS(請求記録!$B$6:$B$3005,$A215,請求記録!$Z$6:$Z$3005,V$5)=0,"",SUMIFS(請求記録!$AE$6:$AE$3005,請求記録!$B$6:$B$3005,$A215,請求記録!$Z$6:$Z$3005,V$5))))</f>
        <v/>
      </c>
      <c r="W215" s="19">
        <f>IF($A215="","",IF(COUNTIFS(請求記録!$B$6:$B$3005,$A215,請求記録!$Z$6:$Z$3005,W$5,請求記録!$AF$6:$AF$3005,"保留中")&gt;0,"保留",IF(COUNTIFS(請求記録!$B$6:$B$3005,$A215,請求記録!$Z$6:$Z$3005,W$5)=0,"",SUMIFS(請求記録!$AE$6:$AE$3005,請求記録!$B$6:$B$3005,$A215,請求記録!$Z$6:$Z$3005,W$5))))</f>
        <v/>
      </c>
      <c r="X215" s="19">
        <f>IF($A215="","",IF(COUNTIFS(請求記録!$B$6:$B$3005,$A215,請求記録!$Z$6:$Z$3005,X$5,請求記録!$AF$6:$AF$3005,"保留中")&gt;0,"保留",IF(COUNTIFS(請求記録!$B$6:$B$3005,$A215,請求記録!$Z$6:$Z$3005,X$5)=0,"",SUMIFS(請求記録!$AE$6:$AE$3005,請求記録!$B$6:$B$3005,$A215,請求記録!$Z$6:$Z$3005,X$5))))</f>
        <v/>
      </c>
      <c r="Y215" s="19">
        <f>IF($A215="","",IF(COUNTIFS(請求記録!$B$6:$B$3005,$A215,請求記録!$Z$6:$Z$3005,Y$5,請求記録!$AF$6:$AF$3005,"保留中")&gt;0,"保留",IF(COUNTIFS(請求記録!$B$6:$B$3005,$A215,請求記録!$Z$6:$Z$3005,Y$5)=0,"",SUMIFS(請求記録!$AE$6:$AE$3005,請求記録!$B$6:$B$3005,$A215,請求記録!$Z$6:$Z$3005,Y$5))))</f>
        <v/>
      </c>
      <c r="Z215" s="19">
        <f>IF($A215="","",IF(COUNTIFS(請求記録!$B$6:$B$3005,$A215,請求記録!$Z$6:$Z$3005,Z$5,請求記録!$AF$6:$AF$3005,"保留中")&gt;0,"保留",IF(COUNTIFS(請求記録!$B$6:$B$3005,$A215,請求記録!$Z$6:$Z$3005,Z$5)=0,"",SUMIFS(請求記録!$AE$6:$AE$3005,請求記録!$B$6:$B$3005,$A215,請求記録!$Z$6:$Z$3005,Z$5))))</f>
        <v/>
      </c>
      <c r="AA215" s="19">
        <f>IF($A215="","",IF(COUNTIFS(請求記録!$B$6:$B$3005,$A215,請求記録!$Z$6:$Z$3005,AA$5,請求記録!$AF$6:$AF$3005,"保留中")&gt;0,"保留",IF(COUNTIFS(請求記録!$B$6:$B$3005,$A215,請求記録!$Z$6:$Z$3005,AA$5)=0,"",SUMIFS(請求記録!$AE$6:$AE$3005,請求記録!$B$6:$B$3005,$A215,請求記録!$Z$6:$Z$3005,AA$5))))</f>
        <v/>
      </c>
      <c r="AB215">
        <f>IF(職員マスタ!P215="保留中",職員マスタ!M215,"")</f>
        <v/>
      </c>
    </row>
    <row r="216">
      <c r="A216">
        <f>IF(職員マスタ!A216="","",職員マスタ!A216)</f>
        <v/>
      </c>
      <c r="B216">
        <f>IF($A216="","",職員マスタ!B216)</f>
        <v/>
      </c>
      <c r="C216">
        <f>IF($A216="","",職員マスタ!C216)</f>
        <v/>
      </c>
      <c r="D216" s="19">
        <f>IF($A216="","",IF(COUNTIFS(請求記録!$B$6:$B$3005,$A216,請求記録!$Z$6:$Z$3005,D$5,請求記録!$AF$6:$AF$3005,"保留中")&gt;0,"保留",IF(COUNTIFS(請求記録!$B$6:$B$3005,$A216,請求記録!$Z$6:$Z$3005,D$5)=0,"",SUMIFS(請求記録!$AE$6:$AE$3005,請求記録!$B$6:$B$3005,$A216,請求記録!$Z$6:$Z$3005,D$5))))</f>
        <v/>
      </c>
      <c r="E216" s="19">
        <f>IF($A216="","",IF(COUNTIFS(請求記録!$B$6:$B$3005,$A216,請求記録!$Z$6:$Z$3005,E$5,請求記録!$AF$6:$AF$3005,"保留中")&gt;0,"保留",IF(COUNTIFS(請求記録!$B$6:$B$3005,$A216,請求記録!$Z$6:$Z$3005,E$5)=0,"",SUMIFS(請求記録!$AE$6:$AE$3005,請求記録!$B$6:$B$3005,$A216,請求記録!$Z$6:$Z$3005,E$5))))</f>
        <v/>
      </c>
      <c r="F216" s="19">
        <f>IF($A216="","",IF(COUNTIFS(請求記録!$B$6:$B$3005,$A216,請求記録!$Z$6:$Z$3005,F$5,請求記録!$AF$6:$AF$3005,"保留中")&gt;0,"保留",IF(COUNTIFS(請求記録!$B$6:$B$3005,$A216,請求記録!$Z$6:$Z$3005,F$5)=0,"",SUMIFS(請求記録!$AE$6:$AE$3005,請求記録!$B$6:$B$3005,$A216,請求記録!$Z$6:$Z$3005,F$5))))</f>
        <v/>
      </c>
      <c r="G216" s="19">
        <f>IF($A216="","",IF(COUNTIFS(請求記録!$B$6:$B$3005,$A216,請求記録!$Z$6:$Z$3005,G$5,請求記録!$AF$6:$AF$3005,"保留中")&gt;0,"保留",IF(COUNTIFS(請求記録!$B$6:$B$3005,$A216,請求記録!$Z$6:$Z$3005,G$5)=0,"",SUMIFS(請求記録!$AE$6:$AE$3005,請求記録!$B$6:$B$3005,$A216,請求記録!$Z$6:$Z$3005,G$5))))</f>
        <v/>
      </c>
      <c r="H216" s="19">
        <f>IF($A216="","",IF(COUNTIFS(請求記録!$B$6:$B$3005,$A216,請求記録!$Z$6:$Z$3005,H$5,請求記録!$AF$6:$AF$3005,"保留中")&gt;0,"保留",IF(COUNTIFS(請求記録!$B$6:$B$3005,$A216,請求記録!$Z$6:$Z$3005,H$5)=0,"",SUMIFS(請求記録!$AE$6:$AE$3005,請求記録!$B$6:$B$3005,$A216,請求記録!$Z$6:$Z$3005,H$5))))</f>
        <v/>
      </c>
      <c r="I216" s="19">
        <f>IF($A216="","",IF(COUNTIFS(請求記録!$B$6:$B$3005,$A216,請求記録!$Z$6:$Z$3005,I$5,請求記録!$AF$6:$AF$3005,"保留中")&gt;0,"保留",IF(COUNTIFS(請求記録!$B$6:$B$3005,$A216,請求記録!$Z$6:$Z$3005,I$5)=0,"",SUMIFS(請求記録!$AE$6:$AE$3005,請求記録!$B$6:$B$3005,$A216,請求記録!$Z$6:$Z$3005,I$5))))</f>
        <v/>
      </c>
      <c r="J216" s="19">
        <f>IF($A216="","",IF(COUNTIFS(請求記録!$B$6:$B$3005,$A216,請求記録!$Z$6:$Z$3005,J$5,請求記録!$AF$6:$AF$3005,"保留中")&gt;0,"保留",IF(COUNTIFS(請求記録!$B$6:$B$3005,$A216,請求記録!$Z$6:$Z$3005,J$5)=0,"",SUMIFS(請求記録!$AE$6:$AE$3005,請求記録!$B$6:$B$3005,$A216,請求記録!$Z$6:$Z$3005,J$5))))</f>
        <v/>
      </c>
      <c r="K216" s="19">
        <f>IF($A216="","",IF(COUNTIFS(請求記録!$B$6:$B$3005,$A216,請求記録!$Z$6:$Z$3005,K$5,請求記録!$AF$6:$AF$3005,"保留中")&gt;0,"保留",IF(COUNTIFS(請求記録!$B$6:$B$3005,$A216,請求記録!$Z$6:$Z$3005,K$5)=0,"",SUMIFS(請求記録!$AE$6:$AE$3005,請求記録!$B$6:$B$3005,$A216,請求記録!$Z$6:$Z$3005,K$5))))</f>
        <v/>
      </c>
      <c r="L216" s="19">
        <f>IF($A216="","",IF(COUNTIFS(請求記録!$B$6:$B$3005,$A216,請求記録!$Z$6:$Z$3005,L$5,請求記録!$AF$6:$AF$3005,"保留中")&gt;0,"保留",IF(COUNTIFS(請求記録!$B$6:$B$3005,$A216,請求記録!$Z$6:$Z$3005,L$5)=0,"",SUMIFS(請求記録!$AE$6:$AE$3005,請求記録!$B$6:$B$3005,$A216,請求記録!$Z$6:$Z$3005,L$5))))</f>
        <v/>
      </c>
      <c r="M216" s="19">
        <f>IF($A216="","",IF(COUNTIFS(請求記録!$B$6:$B$3005,$A216,請求記録!$Z$6:$Z$3005,M$5,請求記録!$AF$6:$AF$3005,"保留中")&gt;0,"保留",IF(COUNTIFS(請求記録!$B$6:$B$3005,$A216,請求記録!$Z$6:$Z$3005,M$5)=0,"",SUMIFS(請求記録!$AE$6:$AE$3005,請求記録!$B$6:$B$3005,$A216,請求記録!$Z$6:$Z$3005,M$5))))</f>
        <v/>
      </c>
      <c r="N216" s="19">
        <f>IF($A216="","",IF(COUNTIFS(請求記録!$B$6:$B$3005,$A216,請求記録!$Z$6:$Z$3005,N$5,請求記録!$AF$6:$AF$3005,"保留中")&gt;0,"保留",IF(COUNTIFS(請求記録!$B$6:$B$3005,$A216,請求記録!$Z$6:$Z$3005,N$5)=0,"",SUMIFS(請求記録!$AE$6:$AE$3005,請求記録!$B$6:$B$3005,$A216,請求記録!$Z$6:$Z$3005,N$5))))</f>
        <v/>
      </c>
      <c r="O216" s="19">
        <f>IF($A216="","",IF(COUNTIFS(請求記録!$B$6:$B$3005,$A216,請求記録!$Z$6:$Z$3005,O$5,請求記録!$AF$6:$AF$3005,"保留中")&gt;0,"保留",IF(COUNTIFS(請求記録!$B$6:$B$3005,$A216,請求記録!$Z$6:$Z$3005,O$5)=0,"",SUMIFS(請求記録!$AE$6:$AE$3005,請求記録!$B$6:$B$3005,$A216,請求記録!$Z$6:$Z$3005,O$5))))</f>
        <v/>
      </c>
      <c r="P216" s="19">
        <f>IF($A216="","",IF(COUNTIFS(請求記録!$B$6:$B$3005,$A216,請求記録!$Z$6:$Z$3005,P$5,請求記録!$AF$6:$AF$3005,"保留中")&gt;0,"保留",IF(COUNTIFS(請求記録!$B$6:$B$3005,$A216,請求記録!$Z$6:$Z$3005,P$5)=0,"",SUMIFS(請求記録!$AE$6:$AE$3005,請求記録!$B$6:$B$3005,$A216,請求記録!$Z$6:$Z$3005,P$5))))</f>
        <v/>
      </c>
      <c r="Q216" s="19">
        <f>IF($A216="","",IF(COUNTIFS(請求記録!$B$6:$B$3005,$A216,請求記録!$Z$6:$Z$3005,Q$5,請求記録!$AF$6:$AF$3005,"保留中")&gt;0,"保留",IF(COUNTIFS(請求記録!$B$6:$B$3005,$A216,請求記録!$Z$6:$Z$3005,Q$5)=0,"",SUMIFS(請求記録!$AE$6:$AE$3005,請求記録!$B$6:$B$3005,$A216,請求記録!$Z$6:$Z$3005,Q$5))))</f>
        <v/>
      </c>
      <c r="R216" s="19">
        <f>IF($A216="","",IF(COUNTIFS(請求記録!$B$6:$B$3005,$A216,請求記録!$Z$6:$Z$3005,R$5,請求記録!$AF$6:$AF$3005,"保留中")&gt;0,"保留",IF(COUNTIFS(請求記録!$B$6:$B$3005,$A216,請求記録!$Z$6:$Z$3005,R$5)=0,"",SUMIFS(請求記録!$AE$6:$AE$3005,請求記録!$B$6:$B$3005,$A216,請求記録!$Z$6:$Z$3005,R$5))))</f>
        <v/>
      </c>
      <c r="S216" s="19">
        <f>IF($A216="","",IF(COUNTIFS(請求記録!$B$6:$B$3005,$A216,請求記録!$Z$6:$Z$3005,S$5,請求記録!$AF$6:$AF$3005,"保留中")&gt;0,"保留",IF(COUNTIFS(請求記録!$B$6:$B$3005,$A216,請求記録!$Z$6:$Z$3005,S$5)=0,"",SUMIFS(請求記録!$AE$6:$AE$3005,請求記録!$B$6:$B$3005,$A216,請求記録!$Z$6:$Z$3005,S$5))))</f>
        <v/>
      </c>
      <c r="T216" s="19">
        <f>IF($A216="","",IF(COUNTIFS(請求記録!$B$6:$B$3005,$A216,請求記録!$Z$6:$Z$3005,T$5,請求記録!$AF$6:$AF$3005,"保留中")&gt;0,"保留",IF(COUNTIFS(請求記録!$B$6:$B$3005,$A216,請求記録!$Z$6:$Z$3005,T$5)=0,"",SUMIFS(請求記録!$AE$6:$AE$3005,請求記録!$B$6:$B$3005,$A216,請求記録!$Z$6:$Z$3005,T$5))))</f>
        <v/>
      </c>
      <c r="U216" s="19">
        <f>IF($A216="","",IF(COUNTIFS(請求記録!$B$6:$B$3005,$A216,請求記録!$Z$6:$Z$3005,U$5,請求記録!$AF$6:$AF$3005,"保留中")&gt;0,"保留",IF(COUNTIFS(請求記録!$B$6:$B$3005,$A216,請求記録!$Z$6:$Z$3005,U$5)=0,"",SUMIFS(請求記録!$AE$6:$AE$3005,請求記録!$B$6:$B$3005,$A216,請求記録!$Z$6:$Z$3005,U$5))))</f>
        <v/>
      </c>
      <c r="V216" s="19">
        <f>IF($A216="","",IF(COUNTIFS(請求記録!$B$6:$B$3005,$A216,請求記録!$Z$6:$Z$3005,V$5,請求記録!$AF$6:$AF$3005,"保留中")&gt;0,"保留",IF(COUNTIFS(請求記録!$B$6:$B$3005,$A216,請求記録!$Z$6:$Z$3005,V$5)=0,"",SUMIFS(請求記録!$AE$6:$AE$3005,請求記録!$B$6:$B$3005,$A216,請求記録!$Z$6:$Z$3005,V$5))))</f>
        <v/>
      </c>
      <c r="W216" s="19">
        <f>IF($A216="","",IF(COUNTIFS(請求記録!$B$6:$B$3005,$A216,請求記録!$Z$6:$Z$3005,W$5,請求記録!$AF$6:$AF$3005,"保留中")&gt;0,"保留",IF(COUNTIFS(請求記録!$B$6:$B$3005,$A216,請求記録!$Z$6:$Z$3005,W$5)=0,"",SUMIFS(請求記録!$AE$6:$AE$3005,請求記録!$B$6:$B$3005,$A216,請求記録!$Z$6:$Z$3005,W$5))))</f>
        <v/>
      </c>
      <c r="X216" s="19">
        <f>IF($A216="","",IF(COUNTIFS(請求記録!$B$6:$B$3005,$A216,請求記録!$Z$6:$Z$3005,X$5,請求記録!$AF$6:$AF$3005,"保留中")&gt;0,"保留",IF(COUNTIFS(請求記録!$B$6:$B$3005,$A216,請求記録!$Z$6:$Z$3005,X$5)=0,"",SUMIFS(請求記録!$AE$6:$AE$3005,請求記録!$B$6:$B$3005,$A216,請求記録!$Z$6:$Z$3005,X$5))))</f>
        <v/>
      </c>
      <c r="Y216" s="19">
        <f>IF($A216="","",IF(COUNTIFS(請求記録!$B$6:$B$3005,$A216,請求記録!$Z$6:$Z$3005,Y$5,請求記録!$AF$6:$AF$3005,"保留中")&gt;0,"保留",IF(COUNTIFS(請求記録!$B$6:$B$3005,$A216,請求記録!$Z$6:$Z$3005,Y$5)=0,"",SUMIFS(請求記録!$AE$6:$AE$3005,請求記録!$B$6:$B$3005,$A216,請求記録!$Z$6:$Z$3005,Y$5))))</f>
        <v/>
      </c>
      <c r="Z216" s="19">
        <f>IF($A216="","",IF(COUNTIFS(請求記録!$B$6:$B$3005,$A216,請求記録!$Z$6:$Z$3005,Z$5,請求記録!$AF$6:$AF$3005,"保留中")&gt;0,"保留",IF(COUNTIFS(請求記録!$B$6:$B$3005,$A216,請求記録!$Z$6:$Z$3005,Z$5)=0,"",SUMIFS(請求記録!$AE$6:$AE$3005,請求記録!$B$6:$B$3005,$A216,請求記録!$Z$6:$Z$3005,Z$5))))</f>
        <v/>
      </c>
      <c r="AA216" s="19">
        <f>IF($A216="","",IF(COUNTIFS(請求記録!$B$6:$B$3005,$A216,請求記録!$Z$6:$Z$3005,AA$5,請求記録!$AF$6:$AF$3005,"保留中")&gt;0,"保留",IF(COUNTIFS(請求記録!$B$6:$B$3005,$A216,請求記録!$Z$6:$Z$3005,AA$5)=0,"",SUMIFS(請求記録!$AE$6:$AE$3005,請求記録!$B$6:$B$3005,$A216,請求記録!$Z$6:$Z$3005,AA$5))))</f>
        <v/>
      </c>
      <c r="AB216">
        <f>IF(職員マスタ!P216="保留中",職員マスタ!M216,"")</f>
        <v/>
      </c>
    </row>
    <row r="217">
      <c r="A217">
        <f>IF(職員マスタ!A217="","",職員マスタ!A217)</f>
        <v/>
      </c>
      <c r="B217">
        <f>IF($A217="","",職員マスタ!B217)</f>
        <v/>
      </c>
      <c r="C217">
        <f>IF($A217="","",職員マスタ!C217)</f>
        <v/>
      </c>
      <c r="D217" s="19">
        <f>IF($A217="","",IF(COUNTIFS(請求記録!$B$6:$B$3005,$A217,請求記録!$Z$6:$Z$3005,D$5,請求記録!$AF$6:$AF$3005,"保留中")&gt;0,"保留",IF(COUNTIFS(請求記録!$B$6:$B$3005,$A217,請求記録!$Z$6:$Z$3005,D$5)=0,"",SUMIFS(請求記録!$AE$6:$AE$3005,請求記録!$B$6:$B$3005,$A217,請求記録!$Z$6:$Z$3005,D$5))))</f>
        <v/>
      </c>
      <c r="E217" s="19">
        <f>IF($A217="","",IF(COUNTIFS(請求記録!$B$6:$B$3005,$A217,請求記録!$Z$6:$Z$3005,E$5,請求記録!$AF$6:$AF$3005,"保留中")&gt;0,"保留",IF(COUNTIFS(請求記録!$B$6:$B$3005,$A217,請求記録!$Z$6:$Z$3005,E$5)=0,"",SUMIFS(請求記録!$AE$6:$AE$3005,請求記録!$B$6:$B$3005,$A217,請求記録!$Z$6:$Z$3005,E$5))))</f>
        <v/>
      </c>
      <c r="F217" s="19">
        <f>IF($A217="","",IF(COUNTIFS(請求記録!$B$6:$B$3005,$A217,請求記録!$Z$6:$Z$3005,F$5,請求記録!$AF$6:$AF$3005,"保留中")&gt;0,"保留",IF(COUNTIFS(請求記録!$B$6:$B$3005,$A217,請求記録!$Z$6:$Z$3005,F$5)=0,"",SUMIFS(請求記録!$AE$6:$AE$3005,請求記録!$B$6:$B$3005,$A217,請求記録!$Z$6:$Z$3005,F$5))))</f>
        <v/>
      </c>
      <c r="G217" s="19">
        <f>IF($A217="","",IF(COUNTIFS(請求記録!$B$6:$B$3005,$A217,請求記録!$Z$6:$Z$3005,G$5,請求記録!$AF$6:$AF$3005,"保留中")&gt;0,"保留",IF(COUNTIFS(請求記録!$B$6:$B$3005,$A217,請求記録!$Z$6:$Z$3005,G$5)=0,"",SUMIFS(請求記録!$AE$6:$AE$3005,請求記録!$B$6:$B$3005,$A217,請求記録!$Z$6:$Z$3005,G$5))))</f>
        <v/>
      </c>
      <c r="H217" s="19">
        <f>IF($A217="","",IF(COUNTIFS(請求記録!$B$6:$B$3005,$A217,請求記録!$Z$6:$Z$3005,H$5,請求記録!$AF$6:$AF$3005,"保留中")&gt;0,"保留",IF(COUNTIFS(請求記録!$B$6:$B$3005,$A217,請求記録!$Z$6:$Z$3005,H$5)=0,"",SUMIFS(請求記録!$AE$6:$AE$3005,請求記録!$B$6:$B$3005,$A217,請求記録!$Z$6:$Z$3005,H$5))))</f>
        <v/>
      </c>
      <c r="I217" s="19">
        <f>IF($A217="","",IF(COUNTIFS(請求記録!$B$6:$B$3005,$A217,請求記録!$Z$6:$Z$3005,I$5,請求記録!$AF$6:$AF$3005,"保留中")&gt;0,"保留",IF(COUNTIFS(請求記録!$B$6:$B$3005,$A217,請求記録!$Z$6:$Z$3005,I$5)=0,"",SUMIFS(請求記録!$AE$6:$AE$3005,請求記録!$B$6:$B$3005,$A217,請求記録!$Z$6:$Z$3005,I$5))))</f>
        <v/>
      </c>
      <c r="J217" s="19">
        <f>IF($A217="","",IF(COUNTIFS(請求記録!$B$6:$B$3005,$A217,請求記録!$Z$6:$Z$3005,J$5,請求記録!$AF$6:$AF$3005,"保留中")&gt;0,"保留",IF(COUNTIFS(請求記録!$B$6:$B$3005,$A217,請求記録!$Z$6:$Z$3005,J$5)=0,"",SUMIFS(請求記録!$AE$6:$AE$3005,請求記録!$B$6:$B$3005,$A217,請求記録!$Z$6:$Z$3005,J$5))))</f>
        <v/>
      </c>
      <c r="K217" s="19">
        <f>IF($A217="","",IF(COUNTIFS(請求記録!$B$6:$B$3005,$A217,請求記録!$Z$6:$Z$3005,K$5,請求記録!$AF$6:$AF$3005,"保留中")&gt;0,"保留",IF(COUNTIFS(請求記録!$B$6:$B$3005,$A217,請求記録!$Z$6:$Z$3005,K$5)=0,"",SUMIFS(請求記録!$AE$6:$AE$3005,請求記録!$B$6:$B$3005,$A217,請求記録!$Z$6:$Z$3005,K$5))))</f>
        <v/>
      </c>
      <c r="L217" s="19">
        <f>IF($A217="","",IF(COUNTIFS(請求記録!$B$6:$B$3005,$A217,請求記録!$Z$6:$Z$3005,L$5,請求記録!$AF$6:$AF$3005,"保留中")&gt;0,"保留",IF(COUNTIFS(請求記録!$B$6:$B$3005,$A217,請求記録!$Z$6:$Z$3005,L$5)=0,"",SUMIFS(請求記録!$AE$6:$AE$3005,請求記録!$B$6:$B$3005,$A217,請求記録!$Z$6:$Z$3005,L$5))))</f>
        <v/>
      </c>
      <c r="M217" s="19">
        <f>IF($A217="","",IF(COUNTIFS(請求記録!$B$6:$B$3005,$A217,請求記録!$Z$6:$Z$3005,M$5,請求記録!$AF$6:$AF$3005,"保留中")&gt;0,"保留",IF(COUNTIFS(請求記録!$B$6:$B$3005,$A217,請求記録!$Z$6:$Z$3005,M$5)=0,"",SUMIFS(請求記録!$AE$6:$AE$3005,請求記録!$B$6:$B$3005,$A217,請求記録!$Z$6:$Z$3005,M$5))))</f>
        <v/>
      </c>
      <c r="N217" s="19">
        <f>IF($A217="","",IF(COUNTIFS(請求記録!$B$6:$B$3005,$A217,請求記録!$Z$6:$Z$3005,N$5,請求記録!$AF$6:$AF$3005,"保留中")&gt;0,"保留",IF(COUNTIFS(請求記録!$B$6:$B$3005,$A217,請求記録!$Z$6:$Z$3005,N$5)=0,"",SUMIFS(請求記録!$AE$6:$AE$3005,請求記録!$B$6:$B$3005,$A217,請求記録!$Z$6:$Z$3005,N$5))))</f>
        <v/>
      </c>
      <c r="O217" s="19">
        <f>IF($A217="","",IF(COUNTIFS(請求記録!$B$6:$B$3005,$A217,請求記録!$Z$6:$Z$3005,O$5,請求記録!$AF$6:$AF$3005,"保留中")&gt;0,"保留",IF(COUNTIFS(請求記録!$B$6:$B$3005,$A217,請求記録!$Z$6:$Z$3005,O$5)=0,"",SUMIFS(請求記録!$AE$6:$AE$3005,請求記録!$B$6:$B$3005,$A217,請求記録!$Z$6:$Z$3005,O$5))))</f>
        <v/>
      </c>
      <c r="P217" s="19">
        <f>IF($A217="","",IF(COUNTIFS(請求記録!$B$6:$B$3005,$A217,請求記録!$Z$6:$Z$3005,P$5,請求記録!$AF$6:$AF$3005,"保留中")&gt;0,"保留",IF(COUNTIFS(請求記録!$B$6:$B$3005,$A217,請求記録!$Z$6:$Z$3005,P$5)=0,"",SUMIFS(請求記録!$AE$6:$AE$3005,請求記録!$B$6:$B$3005,$A217,請求記録!$Z$6:$Z$3005,P$5))))</f>
        <v/>
      </c>
      <c r="Q217" s="19">
        <f>IF($A217="","",IF(COUNTIFS(請求記録!$B$6:$B$3005,$A217,請求記録!$Z$6:$Z$3005,Q$5,請求記録!$AF$6:$AF$3005,"保留中")&gt;0,"保留",IF(COUNTIFS(請求記録!$B$6:$B$3005,$A217,請求記録!$Z$6:$Z$3005,Q$5)=0,"",SUMIFS(請求記録!$AE$6:$AE$3005,請求記録!$B$6:$B$3005,$A217,請求記録!$Z$6:$Z$3005,Q$5))))</f>
        <v/>
      </c>
      <c r="R217" s="19">
        <f>IF($A217="","",IF(COUNTIFS(請求記録!$B$6:$B$3005,$A217,請求記録!$Z$6:$Z$3005,R$5,請求記録!$AF$6:$AF$3005,"保留中")&gt;0,"保留",IF(COUNTIFS(請求記録!$B$6:$B$3005,$A217,請求記録!$Z$6:$Z$3005,R$5)=0,"",SUMIFS(請求記録!$AE$6:$AE$3005,請求記録!$B$6:$B$3005,$A217,請求記録!$Z$6:$Z$3005,R$5))))</f>
        <v/>
      </c>
      <c r="S217" s="19">
        <f>IF($A217="","",IF(COUNTIFS(請求記録!$B$6:$B$3005,$A217,請求記録!$Z$6:$Z$3005,S$5,請求記録!$AF$6:$AF$3005,"保留中")&gt;0,"保留",IF(COUNTIFS(請求記録!$B$6:$B$3005,$A217,請求記録!$Z$6:$Z$3005,S$5)=0,"",SUMIFS(請求記録!$AE$6:$AE$3005,請求記録!$B$6:$B$3005,$A217,請求記録!$Z$6:$Z$3005,S$5))))</f>
        <v/>
      </c>
      <c r="T217" s="19">
        <f>IF($A217="","",IF(COUNTIFS(請求記録!$B$6:$B$3005,$A217,請求記録!$Z$6:$Z$3005,T$5,請求記録!$AF$6:$AF$3005,"保留中")&gt;0,"保留",IF(COUNTIFS(請求記録!$B$6:$B$3005,$A217,請求記録!$Z$6:$Z$3005,T$5)=0,"",SUMIFS(請求記録!$AE$6:$AE$3005,請求記録!$B$6:$B$3005,$A217,請求記録!$Z$6:$Z$3005,T$5))))</f>
        <v/>
      </c>
      <c r="U217" s="19">
        <f>IF($A217="","",IF(COUNTIFS(請求記録!$B$6:$B$3005,$A217,請求記録!$Z$6:$Z$3005,U$5,請求記録!$AF$6:$AF$3005,"保留中")&gt;0,"保留",IF(COUNTIFS(請求記録!$B$6:$B$3005,$A217,請求記録!$Z$6:$Z$3005,U$5)=0,"",SUMIFS(請求記録!$AE$6:$AE$3005,請求記録!$B$6:$B$3005,$A217,請求記録!$Z$6:$Z$3005,U$5))))</f>
        <v/>
      </c>
      <c r="V217" s="19">
        <f>IF($A217="","",IF(COUNTIFS(請求記録!$B$6:$B$3005,$A217,請求記録!$Z$6:$Z$3005,V$5,請求記録!$AF$6:$AF$3005,"保留中")&gt;0,"保留",IF(COUNTIFS(請求記録!$B$6:$B$3005,$A217,請求記録!$Z$6:$Z$3005,V$5)=0,"",SUMIFS(請求記録!$AE$6:$AE$3005,請求記録!$B$6:$B$3005,$A217,請求記録!$Z$6:$Z$3005,V$5))))</f>
        <v/>
      </c>
      <c r="W217" s="19">
        <f>IF($A217="","",IF(COUNTIFS(請求記録!$B$6:$B$3005,$A217,請求記録!$Z$6:$Z$3005,W$5,請求記録!$AF$6:$AF$3005,"保留中")&gt;0,"保留",IF(COUNTIFS(請求記録!$B$6:$B$3005,$A217,請求記録!$Z$6:$Z$3005,W$5)=0,"",SUMIFS(請求記録!$AE$6:$AE$3005,請求記録!$B$6:$B$3005,$A217,請求記録!$Z$6:$Z$3005,W$5))))</f>
        <v/>
      </c>
      <c r="X217" s="19">
        <f>IF($A217="","",IF(COUNTIFS(請求記録!$B$6:$B$3005,$A217,請求記録!$Z$6:$Z$3005,X$5,請求記録!$AF$6:$AF$3005,"保留中")&gt;0,"保留",IF(COUNTIFS(請求記録!$B$6:$B$3005,$A217,請求記録!$Z$6:$Z$3005,X$5)=0,"",SUMIFS(請求記録!$AE$6:$AE$3005,請求記録!$B$6:$B$3005,$A217,請求記録!$Z$6:$Z$3005,X$5))))</f>
        <v/>
      </c>
      <c r="Y217" s="19">
        <f>IF($A217="","",IF(COUNTIFS(請求記録!$B$6:$B$3005,$A217,請求記録!$Z$6:$Z$3005,Y$5,請求記録!$AF$6:$AF$3005,"保留中")&gt;0,"保留",IF(COUNTIFS(請求記録!$B$6:$B$3005,$A217,請求記録!$Z$6:$Z$3005,Y$5)=0,"",SUMIFS(請求記録!$AE$6:$AE$3005,請求記録!$B$6:$B$3005,$A217,請求記録!$Z$6:$Z$3005,Y$5))))</f>
        <v/>
      </c>
      <c r="Z217" s="19">
        <f>IF($A217="","",IF(COUNTIFS(請求記録!$B$6:$B$3005,$A217,請求記録!$Z$6:$Z$3005,Z$5,請求記録!$AF$6:$AF$3005,"保留中")&gt;0,"保留",IF(COUNTIFS(請求記録!$B$6:$B$3005,$A217,請求記録!$Z$6:$Z$3005,Z$5)=0,"",SUMIFS(請求記録!$AE$6:$AE$3005,請求記録!$B$6:$B$3005,$A217,請求記録!$Z$6:$Z$3005,Z$5))))</f>
        <v/>
      </c>
      <c r="AA217" s="19">
        <f>IF($A217="","",IF(COUNTIFS(請求記録!$B$6:$B$3005,$A217,請求記録!$Z$6:$Z$3005,AA$5,請求記録!$AF$6:$AF$3005,"保留中")&gt;0,"保留",IF(COUNTIFS(請求記録!$B$6:$B$3005,$A217,請求記録!$Z$6:$Z$3005,AA$5)=0,"",SUMIFS(請求記録!$AE$6:$AE$3005,請求記録!$B$6:$B$3005,$A217,請求記録!$Z$6:$Z$3005,AA$5))))</f>
        <v/>
      </c>
      <c r="AB217">
        <f>IF(職員マスタ!P217="保留中",職員マスタ!M217,"")</f>
        <v/>
      </c>
    </row>
    <row r="218">
      <c r="A218">
        <f>IF(職員マスタ!A218="","",職員マスタ!A218)</f>
        <v/>
      </c>
      <c r="B218">
        <f>IF($A218="","",職員マスタ!B218)</f>
        <v/>
      </c>
      <c r="C218">
        <f>IF($A218="","",職員マスタ!C218)</f>
        <v/>
      </c>
      <c r="D218" s="19">
        <f>IF($A218="","",IF(COUNTIFS(請求記録!$B$6:$B$3005,$A218,請求記録!$Z$6:$Z$3005,D$5,請求記録!$AF$6:$AF$3005,"保留中")&gt;0,"保留",IF(COUNTIFS(請求記録!$B$6:$B$3005,$A218,請求記録!$Z$6:$Z$3005,D$5)=0,"",SUMIFS(請求記録!$AE$6:$AE$3005,請求記録!$B$6:$B$3005,$A218,請求記録!$Z$6:$Z$3005,D$5))))</f>
        <v/>
      </c>
      <c r="E218" s="19">
        <f>IF($A218="","",IF(COUNTIFS(請求記録!$B$6:$B$3005,$A218,請求記録!$Z$6:$Z$3005,E$5,請求記録!$AF$6:$AF$3005,"保留中")&gt;0,"保留",IF(COUNTIFS(請求記録!$B$6:$B$3005,$A218,請求記録!$Z$6:$Z$3005,E$5)=0,"",SUMIFS(請求記録!$AE$6:$AE$3005,請求記録!$B$6:$B$3005,$A218,請求記録!$Z$6:$Z$3005,E$5))))</f>
        <v/>
      </c>
      <c r="F218" s="19">
        <f>IF($A218="","",IF(COUNTIFS(請求記録!$B$6:$B$3005,$A218,請求記録!$Z$6:$Z$3005,F$5,請求記録!$AF$6:$AF$3005,"保留中")&gt;0,"保留",IF(COUNTIFS(請求記録!$B$6:$B$3005,$A218,請求記録!$Z$6:$Z$3005,F$5)=0,"",SUMIFS(請求記録!$AE$6:$AE$3005,請求記録!$B$6:$B$3005,$A218,請求記録!$Z$6:$Z$3005,F$5))))</f>
        <v/>
      </c>
      <c r="G218" s="19">
        <f>IF($A218="","",IF(COUNTIFS(請求記録!$B$6:$B$3005,$A218,請求記録!$Z$6:$Z$3005,G$5,請求記録!$AF$6:$AF$3005,"保留中")&gt;0,"保留",IF(COUNTIFS(請求記録!$B$6:$B$3005,$A218,請求記録!$Z$6:$Z$3005,G$5)=0,"",SUMIFS(請求記録!$AE$6:$AE$3005,請求記録!$B$6:$B$3005,$A218,請求記録!$Z$6:$Z$3005,G$5))))</f>
        <v/>
      </c>
      <c r="H218" s="19">
        <f>IF($A218="","",IF(COUNTIFS(請求記録!$B$6:$B$3005,$A218,請求記録!$Z$6:$Z$3005,H$5,請求記録!$AF$6:$AF$3005,"保留中")&gt;0,"保留",IF(COUNTIFS(請求記録!$B$6:$B$3005,$A218,請求記録!$Z$6:$Z$3005,H$5)=0,"",SUMIFS(請求記録!$AE$6:$AE$3005,請求記録!$B$6:$B$3005,$A218,請求記録!$Z$6:$Z$3005,H$5))))</f>
        <v/>
      </c>
      <c r="I218" s="19">
        <f>IF($A218="","",IF(COUNTIFS(請求記録!$B$6:$B$3005,$A218,請求記録!$Z$6:$Z$3005,I$5,請求記録!$AF$6:$AF$3005,"保留中")&gt;0,"保留",IF(COUNTIFS(請求記録!$B$6:$B$3005,$A218,請求記録!$Z$6:$Z$3005,I$5)=0,"",SUMIFS(請求記録!$AE$6:$AE$3005,請求記録!$B$6:$B$3005,$A218,請求記録!$Z$6:$Z$3005,I$5))))</f>
        <v/>
      </c>
      <c r="J218" s="19">
        <f>IF($A218="","",IF(COUNTIFS(請求記録!$B$6:$B$3005,$A218,請求記録!$Z$6:$Z$3005,J$5,請求記録!$AF$6:$AF$3005,"保留中")&gt;0,"保留",IF(COUNTIFS(請求記録!$B$6:$B$3005,$A218,請求記録!$Z$6:$Z$3005,J$5)=0,"",SUMIFS(請求記録!$AE$6:$AE$3005,請求記録!$B$6:$B$3005,$A218,請求記録!$Z$6:$Z$3005,J$5))))</f>
        <v/>
      </c>
      <c r="K218" s="19">
        <f>IF($A218="","",IF(COUNTIFS(請求記録!$B$6:$B$3005,$A218,請求記録!$Z$6:$Z$3005,K$5,請求記録!$AF$6:$AF$3005,"保留中")&gt;0,"保留",IF(COUNTIFS(請求記録!$B$6:$B$3005,$A218,請求記録!$Z$6:$Z$3005,K$5)=0,"",SUMIFS(請求記録!$AE$6:$AE$3005,請求記録!$B$6:$B$3005,$A218,請求記録!$Z$6:$Z$3005,K$5))))</f>
        <v/>
      </c>
      <c r="L218" s="19">
        <f>IF($A218="","",IF(COUNTIFS(請求記録!$B$6:$B$3005,$A218,請求記録!$Z$6:$Z$3005,L$5,請求記録!$AF$6:$AF$3005,"保留中")&gt;0,"保留",IF(COUNTIFS(請求記録!$B$6:$B$3005,$A218,請求記録!$Z$6:$Z$3005,L$5)=0,"",SUMIFS(請求記録!$AE$6:$AE$3005,請求記録!$B$6:$B$3005,$A218,請求記録!$Z$6:$Z$3005,L$5))))</f>
        <v/>
      </c>
      <c r="M218" s="19">
        <f>IF($A218="","",IF(COUNTIFS(請求記録!$B$6:$B$3005,$A218,請求記録!$Z$6:$Z$3005,M$5,請求記録!$AF$6:$AF$3005,"保留中")&gt;0,"保留",IF(COUNTIFS(請求記録!$B$6:$B$3005,$A218,請求記録!$Z$6:$Z$3005,M$5)=0,"",SUMIFS(請求記録!$AE$6:$AE$3005,請求記録!$B$6:$B$3005,$A218,請求記録!$Z$6:$Z$3005,M$5))))</f>
        <v/>
      </c>
      <c r="N218" s="19">
        <f>IF($A218="","",IF(COUNTIFS(請求記録!$B$6:$B$3005,$A218,請求記録!$Z$6:$Z$3005,N$5,請求記録!$AF$6:$AF$3005,"保留中")&gt;0,"保留",IF(COUNTIFS(請求記録!$B$6:$B$3005,$A218,請求記録!$Z$6:$Z$3005,N$5)=0,"",SUMIFS(請求記録!$AE$6:$AE$3005,請求記録!$B$6:$B$3005,$A218,請求記録!$Z$6:$Z$3005,N$5))))</f>
        <v/>
      </c>
      <c r="O218" s="19">
        <f>IF($A218="","",IF(COUNTIFS(請求記録!$B$6:$B$3005,$A218,請求記録!$Z$6:$Z$3005,O$5,請求記録!$AF$6:$AF$3005,"保留中")&gt;0,"保留",IF(COUNTIFS(請求記録!$B$6:$B$3005,$A218,請求記録!$Z$6:$Z$3005,O$5)=0,"",SUMIFS(請求記録!$AE$6:$AE$3005,請求記録!$B$6:$B$3005,$A218,請求記録!$Z$6:$Z$3005,O$5))))</f>
        <v/>
      </c>
      <c r="P218" s="19">
        <f>IF($A218="","",IF(COUNTIFS(請求記録!$B$6:$B$3005,$A218,請求記録!$Z$6:$Z$3005,P$5,請求記録!$AF$6:$AF$3005,"保留中")&gt;0,"保留",IF(COUNTIFS(請求記録!$B$6:$B$3005,$A218,請求記録!$Z$6:$Z$3005,P$5)=0,"",SUMIFS(請求記録!$AE$6:$AE$3005,請求記録!$B$6:$B$3005,$A218,請求記録!$Z$6:$Z$3005,P$5))))</f>
        <v/>
      </c>
      <c r="Q218" s="19">
        <f>IF($A218="","",IF(COUNTIFS(請求記録!$B$6:$B$3005,$A218,請求記録!$Z$6:$Z$3005,Q$5,請求記録!$AF$6:$AF$3005,"保留中")&gt;0,"保留",IF(COUNTIFS(請求記録!$B$6:$B$3005,$A218,請求記録!$Z$6:$Z$3005,Q$5)=0,"",SUMIFS(請求記録!$AE$6:$AE$3005,請求記録!$B$6:$B$3005,$A218,請求記録!$Z$6:$Z$3005,Q$5))))</f>
        <v/>
      </c>
      <c r="R218" s="19">
        <f>IF($A218="","",IF(COUNTIFS(請求記録!$B$6:$B$3005,$A218,請求記録!$Z$6:$Z$3005,R$5,請求記録!$AF$6:$AF$3005,"保留中")&gt;0,"保留",IF(COUNTIFS(請求記録!$B$6:$B$3005,$A218,請求記録!$Z$6:$Z$3005,R$5)=0,"",SUMIFS(請求記録!$AE$6:$AE$3005,請求記録!$B$6:$B$3005,$A218,請求記録!$Z$6:$Z$3005,R$5))))</f>
        <v/>
      </c>
      <c r="S218" s="19">
        <f>IF($A218="","",IF(COUNTIFS(請求記録!$B$6:$B$3005,$A218,請求記録!$Z$6:$Z$3005,S$5,請求記録!$AF$6:$AF$3005,"保留中")&gt;0,"保留",IF(COUNTIFS(請求記録!$B$6:$B$3005,$A218,請求記録!$Z$6:$Z$3005,S$5)=0,"",SUMIFS(請求記録!$AE$6:$AE$3005,請求記録!$B$6:$B$3005,$A218,請求記録!$Z$6:$Z$3005,S$5))))</f>
        <v/>
      </c>
      <c r="T218" s="19">
        <f>IF($A218="","",IF(COUNTIFS(請求記録!$B$6:$B$3005,$A218,請求記録!$Z$6:$Z$3005,T$5,請求記録!$AF$6:$AF$3005,"保留中")&gt;0,"保留",IF(COUNTIFS(請求記録!$B$6:$B$3005,$A218,請求記録!$Z$6:$Z$3005,T$5)=0,"",SUMIFS(請求記録!$AE$6:$AE$3005,請求記録!$B$6:$B$3005,$A218,請求記録!$Z$6:$Z$3005,T$5))))</f>
        <v/>
      </c>
      <c r="U218" s="19">
        <f>IF($A218="","",IF(COUNTIFS(請求記録!$B$6:$B$3005,$A218,請求記録!$Z$6:$Z$3005,U$5,請求記録!$AF$6:$AF$3005,"保留中")&gt;0,"保留",IF(COUNTIFS(請求記録!$B$6:$B$3005,$A218,請求記録!$Z$6:$Z$3005,U$5)=0,"",SUMIFS(請求記録!$AE$6:$AE$3005,請求記録!$B$6:$B$3005,$A218,請求記録!$Z$6:$Z$3005,U$5))))</f>
        <v/>
      </c>
      <c r="V218" s="19">
        <f>IF($A218="","",IF(COUNTIFS(請求記録!$B$6:$B$3005,$A218,請求記録!$Z$6:$Z$3005,V$5,請求記録!$AF$6:$AF$3005,"保留中")&gt;0,"保留",IF(COUNTIFS(請求記録!$B$6:$B$3005,$A218,請求記録!$Z$6:$Z$3005,V$5)=0,"",SUMIFS(請求記録!$AE$6:$AE$3005,請求記録!$B$6:$B$3005,$A218,請求記録!$Z$6:$Z$3005,V$5))))</f>
        <v/>
      </c>
      <c r="W218" s="19">
        <f>IF($A218="","",IF(COUNTIFS(請求記録!$B$6:$B$3005,$A218,請求記録!$Z$6:$Z$3005,W$5,請求記録!$AF$6:$AF$3005,"保留中")&gt;0,"保留",IF(COUNTIFS(請求記録!$B$6:$B$3005,$A218,請求記録!$Z$6:$Z$3005,W$5)=0,"",SUMIFS(請求記録!$AE$6:$AE$3005,請求記録!$B$6:$B$3005,$A218,請求記録!$Z$6:$Z$3005,W$5))))</f>
        <v/>
      </c>
      <c r="X218" s="19">
        <f>IF($A218="","",IF(COUNTIFS(請求記録!$B$6:$B$3005,$A218,請求記録!$Z$6:$Z$3005,X$5,請求記録!$AF$6:$AF$3005,"保留中")&gt;0,"保留",IF(COUNTIFS(請求記録!$B$6:$B$3005,$A218,請求記録!$Z$6:$Z$3005,X$5)=0,"",SUMIFS(請求記録!$AE$6:$AE$3005,請求記録!$B$6:$B$3005,$A218,請求記録!$Z$6:$Z$3005,X$5))))</f>
        <v/>
      </c>
      <c r="Y218" s="19">
        <f>IF($A218="","",IF(COUNTIFS(請求記録!$B$6:$B$3005,$A218,請求記録!$Z$6:$Z$3005,Y$5,請求記録!$AF$6:$AF$3005,"保留中")&gt;0,"保留",IF(COUNTIFS(請求記録!$B$6:$B$3005,$A218,請求記録!$Z$6:$Z$3005,Y$5)=0,"",SUMIFS(請求記録!$AE$6:$AE$3005,請求記録!$B$6:$B$3005,$A218,請求記録!$Z$6:$Z$3005,Y$5))))</f>
        <v/>
      </c>
      <c r="Z218" s="19">
        <f>IF($A218="","",IF(COUNTIFS(請求記録!$B$6:$B$3005,$A218,請求記録!$Z$6:$Z$3005,Z$5,請求記録!$AF$6:$AF$3005,"保留中")&gt;0,"保留",IF(COUNTIFS(請求記録!$B$6:$B$3005,$A218,請求記録!$Z$6:$Z$3005,Z$5)=0,"",SUMIFS(請求記録!$AE$6:$AE$3005,請求記録!$B$6:$B$3005,$A218,請求記録!$Z$6:$Z$3005,Z$5))))</f>
        <v/>
      </c>
      <c r="AA218" s="19">
        <f>IF($A218="","",IF(COUNTIFS(請求記録!$B$6:$B$3005,$A218,請求記録!$Z$6:$Z$3005,AA$5,請求記録!$AF$6:$AF$3005,"保留中")&gt;0,"保留",IF(COUNTIFS(請求記録!$B$6:$B$3005,$A218,請求記録!$Z$6:$Z$3005,AA$5)=0,"",SUMIFS(請求記録!$AE$6:$AE$3005,請求記録!$B$6:$B$3005,$A218,請求記録!$Z$6:$Z$3005,AA$5))))</f>
        <v/>
      </c>
      <c r="AB218">
        <f>IF(職員マスタ!P218="保留中",職員マスタ!M218,"")</f>
        <v/>
      </c>
    </row>
    <row r="219">
      <c r="A219">
        <f>IF(職員マスタ!A219="","",職員マスタ!A219)</f>
        <v/>
      </c>
      <c r="B219">
        <f>IF($A219="","",職員マスタ!B219)</f>
        <v/>
      </c>
      <c r="C219">
        <f>IF($A219="","",職員マスタ!C219)</f>
        <v/>
      </c>
      <c r="D219" s="19">
        <f>IF($A219="","",IF(COUNTIFS(請求記録!$B$6:$B$3005,$A219,請求記録!$Z$6:$Z$3005,D$5,請求記録!$AF$6:$AF$3005,"保留中")&gt;0,"保留",IF(COUNTIFS(請求記録!$B$6:$B$3005,$A219,請求記録!$Z$6:$Z$3005,D$5)=0,"",SUMIFS(請求記録!$AE$6:$AE$3005,請求記録!$B$6:$B$3005,$A219,請求記録!$Z$6:$Z$3005,D$5))))</f>
        <v/>
      </c>
      <c r="E219" s="19">
        <f>IF($A219="","",IF(COUNTIFS(請求記録!$B$6:$B$3005,$A219,請求記録!$Z$6:$Z$3005,E$5,請求記録!$AF$6:$AF$3005,"保留中")&gt;0,"保留",IF(COUNTIFS(請求記録!$B$6:$B$3005,$A219,請求記録!$Z$6:$Z$3005,E$5)=0,"",SUMIFS(請求記録!$AE$6:$AE$3005,請求記録!$B$6:$B$3005,$A219,請求記録!$Z$6:$Z$3005,E$5))))</f>
        <v/>
      </c>
      <c r="F219" s="19">
        <f>IF($A219="","",IF(COUNTIFS(請求記録!$B$6:$B$3005,$A219,請求記録!$Z$6:$Z$3005,F$5,請求記録!$AF$6:$AF$3005,"保留中")&gt;0,"保留",IF(COUNTIFS(請求記録!$B$6:$B$3005,$A219,請求記録!$Z$6:$Z$3005,F$5)=0,"",SUMIFS(請求記録!$AE$6:$AE$3005,請求記録!$B$6:$B$3005,$A219,請求記録!$Z$6:$Z$3005,F$5))))</f>
        <v/>
      </c>
      <c r="G219" s="19">
        <f>IF($A219="","",IF(COUNTIFS(請求記録!$B$6:$B$3005,$A219,請求記録!$Z$6:$Z$3005,G$5,請求記録!$AF$6:$AF$3005,"保留中")&gt;0,"保留",IF(COUNTIFS(請求記録!$B$6:$B$3005,$A219,請求記録!$Z$6:$Z$3005,G$5)=0,"",SUMIFS(請求記録!$AE$6:$AE$3005,請求記録!$B$6:$B$3005,$A219,請求記録!$Z$6:$Z$3005,G$5))))</f>
        <v/>
      </c>
      <c r="H219" s="19">
        <f>IF($A219="","",IF(COUNTIFS(請求記録!$B$6:$B$3005,$A219,請求記録!$Z$6:$Z$3005,H$5,請求記録!$AF$6:$AF$3005,"保留中")&gt;0,"保留",IF(COUNTIFS(請求記録!$B$6:$B$3005,$A219,請求記録!$Z$6:$Z$3005,H$5)=0,"",SUMIFS(請求記録!$AE$6:$AE$3005,請求記録!$B$6:$B$3005,$A219,請求記録!$Z$6:$Z$3005,H$5))))</f>
        <v/>
      </c>
      <c r="I219" s="19">
        <f>IF($A219="","",IF(COUNTIFS(請求記録!$B$6:$B$3005,$A219,請求記録!$Z$6:$Z$3005,I$5,請求記録!$AF$6:$AF$3005,"保留中")&gt;0,"保留",IF(COUNTIFS(請求記録!$B$6:$B$3005,$A219,請求記録!$Z$6:$Z$3005,I$5)=0,"",SUMIFS(請求記録!$AE$6:$AE$3005,請求記録!$B$6:$B$3005,$A219,請求記録!$Z$6:$Z$3005,I$5))))</f>
        <v/>
      </c>
      <c r="J219" s="19">
        <f>IF($A219="","",IF(COUNTIFS(請求記録!$B$6:$B$3005,$A219,請求記録!$Z$6:$Z$3005,J$5,請求記録!$AF$6:$AF$3005,"保留中")&gt;0,"保留",IF(COUNTIFS(請求記録!$B$6:$B$3005,$A219,請求記録!$Z$6:$Z$3005,J$5)=0,"",SUMIFS(請求記録!$AE$6:$AE$3005,請求記録!$B$6:$B$3005,$A219,請求記録!$Z$6:$Z$3005,J$5))))</f>
        <v/>
      </c>
      <c r="K219" s="19">
        <f>IF($A219="","",IF(COUNTIFS(請求記録!$B$6:$B$3005,$A219,請求記録!$Z$6:$Z$3005,K$5,請求記録!$AF$6:$AF$3005,"保留中")&gt;0,"保留",IF(COUNTIFS(請求記録!$B$6:$B$3005,$A219,請求記録!$Z$6:$Z$3005,K$5)=0,"",SUMIFS(請求記録!$AE$6:$AE$3005,請求記録!$B$6:$B$3005,$A219,請求記録!$Z$6:$Z$3005,K$5))))</f>
        <v/>
      </c>
      <c r="L219" s="19">
        <f>IF($A219="","",IF(COUNTIFS(請求記録!$B$6:$B$3005,$A219,請求記録!$Z$6:$Z$3005,L$5,請求記録!$AF$6:$AF$3005,"保留中")&gt;0,"保留",IF(COUNTIFS(請求記録!$B$6:$B$3005,$A219,請求記録!$Z$6:$Z$3005,L$5)=0,"",SUMIFS(請求記録!$AE$6:$AE$3005,請求記録!$B$6:$B$3005,$A219,請求記録!$Z$6:$Z$3005,L$5))))</f>
        <v/>
      </c>
      <c r="M219" s="19">
        <f>IF($A219="","",IF(COUNTIFS(請求記録!$B$6:$B$3005,$A219,請求記録!$Z$6:$Z$3005,M$5,請求記録!$AF$6:$AF$3005,"保留中")&gt;0,"保留",IF(COUNTIFS(請求記録!$B$6:$B$3005,$A219,請求記録!$Z$6:$Z$3005,M$5)=0,"",SUMIFS(請求記録!$AE$6:$AE$3005,請求記録!$B$6:$B$3005,$A219,請求記録!$Z$6:$Z$3005,M$5))))</f>
        <v/>
      </c>
      <c r="N219" s="19">
        <f>IF($A219="","",IF(COUNTIFS(請求記録!$B$6:$B$3005,$A219,請求記録!$Z$6:$Z$3005,N$5,請求記録!$AF$6:$AF$3005,"保留中")&gt;0,"保留",IF(COUNTIFS(請求記録!$B$6:$B$3005,$A219,請求記録!$Z$6:$Z$3005,N$5)=0,"",SUMIFS(請求記録!$AE$6:$AE$3005,請求記録!$B$6:$B$3005,$A219,請求記録!$Z$6:$Z$3005,N$5))))</f>
        <v/>
      </c>
      <c r="O219" s="19">
        <f>IF($A219="","",IF(COUNTIFS(請求記録!$B$6:$B$3005,$A219,請求記録!$Z$6:$Z$3005,O$5,請求記録!$AF$6:$AF$3005,"保留中")&gt;0,"保留",IF(COUNTIFS(請求記録!$B$6:$B$3005,$A219,請求記録!$Z$6:$Z$3005,O$5)=0,"",SUMIFS(請求記録!$AE$6:$AE$3005,請求記録!$B$6:$B$3005,$A219,請求記録!$Z$6:$Z$3005,O$5))))</f>
        <v/>
      </c>
      <c r="P219" s="19">
        <f>IF($A219="","",IF(COUNTIFS(請求記録!$B$6:$B$3005,$A219,請求記録!$Z$6:$Z$3005,P$5,請求記録!$AF$6:$AF$3005,"保留中")&gt;0,"保留",IF(COUNTIFS(請求記録!$B$6:$B$3005,$A219,請求記録!$Z$6:$Z$3005,P$5)=0,"",SUMIFS(請求記録!$AE$6:$AE$3005,請求記録!$B$6:$B$3005,$A219,請求記録!$Z$6:$Z$3005,P$5))))</f>
        <v/>
      </c>
      <c r="Q219" s="19">
        <f>IF($A219="","",IF(COUNTIFS(請求記録!$B$6:$B$3005,$A219,請求記録!$Z$6:$Z$3005,Q$5,請求記録!$AF$6:$AF$3005,"保留中")&gt;0,"保留",IF(COUNTIFS(請求記録!$B$6:$B$3005,$A219,請求記録!$Z$6:$Z$3005,Q$5)=0,"",SUMIFS(請求記録!$AE$6:$AE$3005,請求記録!$B$6:$B$3005,$A219,請求記録!$Z$6:$Z$3005,Q$5))))</f>
        <v/>
      </c>
      <c r="R219" s="19">
        <f>IF($A219="","",IF(COUNTIFS(請求記録!$B$6:$B$3005,$A219,請求記録!$Z$6:$Z$3005,R$5,請求記録!$AF$6:$AF$3005,"保留中")&gt;0,"保留",IF(COUNTIFS(請求記録!$B$6:$B$3005,$A219,請求記録!$Z$6:$Z$3005,R$5)=0,"",SUMIFS(請求記録!$AE$6:$AE$3005,請求記録!$B$6:$B$3005,$A219,請求記録!$Z$6:$Z$3005,R$5))))</f>
        <v/>
      </c>
      <c r="S219" s="19">
        <f>IF($A219="","",IF(COUNTIFS(請求記録!$B$6:$B$3005,$A219,請求記録!$Z$6:$Z$3005,S$5,請求記録!$AF$6:$AF$3005,"保留中")&gt;0,"保留",IF(COUNTIFS(請求記録!$B$6:$B$3005,$A219,請求記録!$Z$6:$Z$3005,S$5)=0,"",SUMIFS(請求記録!$AE$6:$AE$3005,請求記録!$B$6:$B$3005,$A219,請求記録!$Z$6:$Z$3005,S$5))))</f>
        <v/>
      </c>
      <c r="T219" s="19">
        <f>IF($A219="","",IF(COUNTIFS(請求記録!$B$6:$B$3005,$A219,請求記録!$Z$6:$Z$3005,T$5,請求記録!$AF$6:$AF$3005,"保留中")&gt;0,"保留",IF(COUNTIFS(請求記録!$B$6:$B$3005,$A219,請求記録!$Z$6:$Z$3005,T$5)=0,"",SUMIFS(請求記録!$AE$6:$AE$3005,請求記録!$B$6:$B$3005,$A219,請求記録!$Z$6:$Z$3005,T$5))))</f>
        <v/>
      </c>
      <c r="U219" s="19">
        <f>IF($A219="","",IF(COUNTIFS(請求記録!$B$6:$B$3005,$A219,請求記録!$Z$6:$Z$3005,U$5,請求記録!$AF$6:$AF$3005,"保留中")&gt;0,"保留",IF(COUNTIFS(請求記録!$B$6:$B$3005,$A219,請求記録!$Z$6:$Z$3005,U$5)=0,"",SUMIFS(請求記録!$AE$6:$AE$3005,請求記録!$B$6:$B$3005,$A219,請求記録!$Z$6:$Z$3005,U$5))))</f>
        <v/>
      </c>
      <c r="V219" s="19">
        <f>IF($A219="","",IF(COUNTIFS(請求記録!$B$6:$B$3005,$A219,請求記録!$Z$6:$Z$3005,V$5,請求記録!$AF$6:$AF$3005,"保留中")&gt;0,"保留",IF(COUNTIFS(請求記録!$B$6:$B$3005,$A219,請求記録!$Z$6:$Z$3005,V$5)=0,"",SUMIFS(請求記録!$AE$6:$AE$3005,請求記録!$B$6:$B$3005,$A219,請求記録!$Z$6:$Z$3005,V$5))))</f>
        <v/>
      </c>
      <c r="W219" s="19">
        <f>IF($A219="","",IF(COUNTIFS(請求記録!$B$6:$B$3005,$A219,請求記録!$Z$6:$Z$3005,W$5,請求記録!$AF$6:$AF$3005,"保留中")&gt;0,"保留",IF(COUNTIFS(請求記録!$B$6:$B$3005,$A219,請求記録!$Z$6:$Z$3005,W$5)=0,"",SUMIFS(請求記録!$AE$6:$AE$3005,請求記録!$B$6:$B$3005,$A219,請求記録!$Z$6:$Z$3005,W$5))))</f>
        <v/>
      </c>
      <c r="X219" s="19">
        <f>IF($A219="","",IF(COUNTIFS(請求記録!$B$6:$B$3005,$A219,請求記録!$Z$6:$Z$3005,X$5,請求記録!$AF$6:$AF$3005,"保留中")&gt;0,"保留",IF(COUNTIFS(請求記録!$B$6:$B$3005,$A219,請求記録!$Z$6:$Z$3005,X$5)=0,"",SUMIFS(請求記録!$AE$6:$AE$3005,請求記録!$B$6:$B$3005,$A219,請求記録!$Z$6:$Z$3005,X$5))))</f>
        <v/>
      </c>
      <c r="Y219" s="19">
        <f>IF($A219="","",IF(COUNTIFS(請求記録!$B$6:$B$3005,$A219,請求記録!$Z$6:$Z$3005,Y$5,請求記録!$AF$6:$AF$3005,"保留中")&gt;0,"保留",IF(COUNTIFS(請求記録!$B$6:$B$3005,$A219,請求記録!$Z$6:$Z$3005,Y$5)=0,"",SUMIFS(請求記録!$AE$6:$AE$3005,請求記録!$B$6:$B$3005,$A219,請求記録!$Z$6:$Z$3005,Y$5))))</f>
        <v/>
      </c>
      <c r="Z219" s="19">
        <f>IF($A219="","",IF(COUNTIFS(請求記録!$B$6:$B$3005,$A219,請求記録!$Z$6:$Z$3005,Z$5,請求記録!$AF$6:$AF$3005,"保留中")&gt;0,"保留",IF(COUNTIFS(請求記録!$B$6:$B$3005,$A219,請求記録!$Z$6:$Z$3005,Z$5)=0,"",SUMIFS(請求記録!$AE$6:$AE$3005,請求記録!$B$6:$B$3005,$A219,請求記録!$Z$6:$Z$3005,Z$5))))</f>
        <v/>
      </c>
      <c r="AA219" s="19">
        <f>IF($A219="","",IF(COUNTIFS(請求記録!$B$6:$B$3005,$A219,請求記録!$Z$6:$Z$3005,AA$5,請求記録!$AF$6:$AF$3005,"保留中")&gt;0,"保留",IF(COUNTIFS(請求記録!$B$6:$B$3005,$A219,請求記録!$Z$6:$Z$3005,AA$5)=0,"",SUMIFS(請求記録!$AE$6:$AE$3005,請求記録!$B$6:$B$3005,$A219,請求記録!$Z$6:$Z$3005,AA$5))))</f>
        <v/>
      </c>
      <c r="AB219">
        <f>IF(職員マスタ!P219="保留中",職員マスタ!M219,"")</f>
        <v/>
      </c>
    </row>
    <row r="220">
      <c r="A220">
        <f>IF(職員マスタ!A220="","",職員マスタ!A220)</f>
        <v/>
      </c>
      <c r="B220">
        <f>IF($A220="","",職員マスタ!B220)</f>
        <v/>
      </c>
      <c r="C220">
        <f>IF($A220="","",職員マスタ!C220)</f>
        <v/>
      </c>
      <c r="D220" s="19">
        <f>IF($A220="","",IF(COUNTIFS(請求記録!$B$6:$B$3005,$A220,請求記録!$Z$6:$Z$3005,D$5,請求記録!$AF$6:$AF$3005,"保留中")&gt;0,"保留",IF(COUNTIFS(請求記録!$B$6:$B$3005,$A220,請求記録!$Z$6:$Z$3005,D$5)=0,"",SUMIFS(請求記録!$AE$6:$AE$3005,請求記録!$B$6:$B$3005,$A220,請求記録!$Z$6:$Z$3005,D$5))))</f>
        <v/>
      </c>
      <c r="E220" s="19">
        <f>IF($A220="","",IF(COUNTIFS(請求記録!$B$6:$B$3005,$A220,請求記録!$Z$6:$Z$3005,E$5,請求記録!$AF$6:$AF$3005,"保留中")&gt;0,"保留",IF(COUNTIFS(請求記録!$B$6:$B$3005,$A220,請求記録!$Z$6:$Z$3005,E$5)=0,"",SUMIFS(請求記録!$AE$6:$AE$3005,請求記録!$B$6:$B$3005,$A220,請求記録!$Z$6:$Z$3005,E$5))))</f>
        <v/>
      </c>
      <c r="F220" s="19">
        <f>IF($A220="","",IF(COUNTIFS(請求記録!$B$6:$B$3005,$A220,請求記録!$Z$6:$Z$3005,F$5,請求記録!$AF$6:$AF$3005,"保留中")&gt;0,"保留",IF(COUNTIFS(請求記録!$B$6:$B$3005,$A220,請求記録!$Z$6:$Z$3005,F$5)=0,"",SUMIFS(請求記録!$AE$6:$AE$3005,請求記録!$B$6:$B$3005,$A220,請求記録!$Z$6:$Z$3005,F$5))))</f>
        <v/>
      </c>
      <c r="G220" s="19">
        <f>IF($A220="","",IF(COUNTIFS(請求記録!$B$6:$B$3005,$A220,請求記録!$Z$6:$Z$3005,G$5,請求記録!$AF$6:$AF$3005,"保留中")&gt;0,"保留",IF(COUNTIFS(請求記録!$B$6:$B$3005,$A220,請求記録!$Z$6:$Z$3005,G$5)=0,"",SUMIFS(請求記録!$AE$6:$AE$3005,請求記録!$B$6:$B$3005,$A220,請求記録!$Z$6:$Z$3005,G$5))))</f>
        <v/>
      </c>
      <c r="H220" s="19">
        <f>IF($A220="","",IF(COUNTIFS(請求記録!$B$6:$B$3005,$A220,請求記録!$Z$6:$Z$3005,H$5,請求記録!$AF$6:$AF$3005,"保留中")&gt;0,"保留",IF(COUNTIFS(請求記録!$B$6:$B$3005,$A220,請求記録!$Z$6:$Z$3005,H$5)=0,"",SUMIFS(請求記録!$AE$6:$AE$3005,請求記録!$B$6:$B$3005,$A220,請求記録!$Z$6:$Z$3005,H$5))))</f>
        <v/>
      </c>
      <c r="I220" s="19">
        <f>IF($A220="","",IF(COUNTIFS(請求記録!$B$6:$B$3005,$A220,請求記録!$Z$6:$Z$3005,I$5,請求記録!$AF$6:$AF$3005,"保留中")&gt;0,"保留",IF(COUNTIFS(請求記録!$B$6:$B$3005,$A220,請求記録!$Z$6:$Z$3005,I$5)=0,"",SUMIFS(請求記録!$AE$6:$AE$3005,請求記録!$B$6:$B$3005,$A220,請求記録!$Z$6:$Z$3005,I$5))))</f>
        <v/>
      </c>
      <c r="J220" s="19">
        <f>IF($A220="","",IF(COUNTIFS(請求記録!$B$6:$B$3005,$A220,請求記録!$Z$6:$Z$3005,J$5,請求記録!$AF$6:$AF$3005,"保留中")&gt;0,"保留",IF(COUNTIFS(請求記録!$B$6:$B$3005,$A220,請求記録!$Z$6:$Z$3005,J$5)=0,"",SUMIFS(請求記録!$AE$6:$AE$3005,請求記録!$B$6:$B$3005,$A220,請求記録!$Z$6:$Z$3005,J$5))))</f>
        <v/>
      </c>
      <c r="K220" s="19">
        <f>IF($A220="","",IF(COUNTIFS(請求記録!$B$6:$B$3005,$A220,請求記録!$Z$6:$Z$3005,K$5,請求記録!$AF$6:$AF$3005,"保留中")&gt;0,"保留",IF(COUNTIFS(請求記録!$B$6:$B$3005,$A220,請求記録!$Z$6:$Z$3005,K$5)=0,"",SUMIFS(請求記録!$AE$6:$AE$3005,請求記録!$B$6:$B$3005,$A220,請求記録!$Z$6:$Z$3005,K$5))))</f>
        <v/>
      </c>
      <c r="L220" s="19">
        <f>IF($A220="","",IF(COUNTIFS(請求記録!$B$6:$B$3005,$A220,請求記録!$Z$6:$Z$3005,L$5,請求記録!$AF$6:$AF$3005,"保留中")&gt;0,"保留",IF(COUNTIFS(請求記録!$B$6:$B$3005,$A220,請求記録!$Z$6:$Z$3005,L$5)=0,"",SUMIFS(請求記録!$AE$6:$AE$3005,請求記録!$B$6:$B$3005,$A220,請求記録!$Z$6:$Z$3005,L$5))))</f>
        <v/>
      </c>
      <c r="M220" s="19">
        <f>IF($A220="","",IF(COUNTIFS(請求記録!$B$6:$B$3005,$A220,請求記録!$Z$6:$Z$3005,M$5,請求記録!$AF$6:$AF$3005,"保留中")&gt;0,"保留",IF(COUNTIFS(請求記録!$B$6:$B$3005,$A220,請求記録!$Z$6:$Z$3005,M$5)=0,"",SUMIFS(請求記録!$AE$6:$AE$3005,請求記録!$B$6:$B$3005,$A220,請求記録!$Z$6:$Z$3005,M$5))))</f>
        <v/>
      </c>
      <c r="N220" s="19">
        <f>IF($A220="","",IF(COUNTIFS(請求記録!$B$6:$B$3005,$A220,請求記録!$Z$6:$Z$3005,N$5,請求記録!$AF$6:$AF$3005,"保留中")&gt;0,"保留",IF(COUNTIFS(請求記録!$B$6:$B$3005,$A220,請求記録!$Z$6:$Z$3005,N$5)=0,"",SUMIFS(請求記録!$AE$6:$AE$3005,請求記録!$B$6:$B$3005,$A220,請求記録!$Z$6:$Z$3005,N$5))))</f>
        <v/>
      </c>
      <c r="O220" s="19">
        <f>IF($A220="","",IF(COUNTIFS(請求記録!$B$6:$B$3005,$A220,請求記録!$Z$6:$Z$3005,O$5,請求記録!$AF$6:$AF$3005,"保留中")&gt;0,"保留",IF(COUNTIFS(請求記録!$B$6:$B$3005,$A220,請求記録!$Z$6:$Z$3005,O$5)=0,"",SUMIFS(請求記録!$AE$6:$AE$3005,請求記録!$B$6:$B$3005,$A220,請求記録!$Z$6:$Z$3005,O$5))))</f>
        <v/>
      </c>
      <c r="P220" s="19">
        <f>IF($A220="","",IF(COUNTIFS(請求記録!$B$6:$B$3005,$A220,請求記録!$Z$6:$Z$3005,P$5,請求記録!$AF$6:$AF$3005,"保留中")&gt;0,"保留",IF(COUNTIFS(請求記録!$B$6:$B$3005,$A220,請求記録!$Z$6:$Z$3005,P$5)=0,"",SUMIFS(請求記録!$AE$6:$AE$3005,請求記録!$B$6:$B$3005,$A220,請求記録!$Z$6:$Z$3005,P$5))))</f>
        <v/>
      </c>
      <c r="Q220" s="19">
        <f>IF($A220="","",IF(COUNTIFS(請求記録!$B$6:$B$3005,$A220,請求記録!$Z$6:$Z$3005,Q$5,請求記録!$AF$6:$AF$3005,"保留中")&gt;0,"保留",IF(COUNTIFS(請求記録!$B$6:$B$3005,$A220,請求記録!$Z$6:$Z$3005,Q$5)=0,"",SUMIFS(請求記録!$AE$6:$AE$3005,請求記録!$B$6:$B$3005,$A220,請求記録!$Z$6:$Z$3005,Q$5))))</f>
        <v/>
      </c>
      <c r="R220" s="19">
        <f>IF($A220="","",IF(COUNTIFS(請求記録!$B$6:$B$3005,$A220,請求記録!$Z$6:$Z$3005,R$5,請求記録!$AF$6:$AF$3005,"保留中")&gt;0,"保留",IF(COUNTIFS(請求記録!$B$6:$B$3005,$A220,請求記録!$Z$6:$Z$3005,R$5)=0,"",SUMIFS(請求記録!$AE$6:$AE$3005,請求記録!$B$6:$B$3005,$A220,請求記録!$Z$6:$Z$3005,R$5))))</f>
        <v/>
      </c>
      <c r="S220" s="19">
        <f>IF($A220="","",IF(COUNTIFS(請求記録!$B$6:$B$3005,$A220,請求記録!$Z$6:$Z$3005,S$5,請求記録!$AF$6:$AF$3005,"保留中")&gt;0,"保留",IF(COUNTIFS(請求記録!$B$6:$B$3005,$A220,請求記録!$Z$6:$Z$3005,S$5)=0,"",SUMIFS(請求記録!$AE$6:$AE$3005,請求記録!$B$6:$B$3005,$A220,請求記録!$Z$6:$Z$3005,S$5))))</f>
        <v/>
      </c>
      <c r="T220" s="19">
        <f>IF($A220="","",IF(COUNTIFS(請求記録!$B$6:$B$3005,$A220,請求記録!$Z$6:$Z$3005,T$5,請求記録!$AF$6:$AF$3005,"保留中")&gt;0,"保留",IF(COUNTIFS(請求記録!$B$6:$B$3005,$A220,請求記録!$Z$6:$Z$3005,T$5)=0,"",SUMIFS(請求記録!$AE$6:$AE$3005,請求記録!$B$6:$B$3005,$A220,請求記録!$Z$6:$Z$3005,T$5))))</f>
        <v/>
      </c>
      <c r="U220" s="19">
        <f>IF($A220="","",IF(COUNTIFS(請求記録!$B$6:$B$3005,$A220,請求記録!$Z$6:$Z$3005,U$5,請求記録!$AF$6:$AF$3005,"保留中")&gt;0,"保留",IF(COUNTIFS(請求記録!$B$6:$B$3005,$A220,請求記録!$Z$6:$Z$3005,U$5)=0,"",SUMIFS(請求記録!$AE$6:$AE$3005,請求記録!$B$6:$B$3005,$A220,請求記録!$Z$6:$Z$3005,U$5))))</f>
        <v/>
      </c>
      <c r="V220" s="19">
        <f>IF($A220="","",IF(COUNTIFS(請求記録!$B$6:$B$3005,$A220,請求記録!$Z$6:$Z$3005,V$5,請求記録!$AF$6:$AF$3005,"保留中")&gt;0,"保留",IF(COUNTIFS(請求記録!$B$6:$B$3005,$A220,請求記録!$Z$6:$Z$3005,V$5)=0,"",SUMIFS(請求記録!$AE$6:$AE$3005,請求記録!$B$6:$B$3005,$A220,請求記録!$Z$6:$Z$3005,V$5))))</f>
        <v/>
      </c>
      <c r="W220" s="19">
        <f>IF($A220="","",IF(COUNTIFS(請求記録!$B$6:$B$3005,$A220,請求記録!$Z$6:$Z$3005,W$5,請求記録!$AF$6:$AF$3005,"保留中")&gt;0,"保留",IF(COUNTIFS(請求記録!$B$6:$B$3005,$A220,請求記録!$Z$6:$Z$3005,W$5)=0,"",SUMIFS(請求記録!$AE$6:$AE$3005,請求記録!$B$6:$B$3005,$A220,請求記録!$Z$6:$Z$3005,W$5))))</f>
        <v/>
      </c>
      <c r="X220" s="19">
        <f>IF($A220="","",IF(COUNTIFS(請求記録!$B$6:$B$3005,$A220,請求記録!$Z$6:$Z$3005,X$5,請求記録!$AF$6:$AF$3005,"保留中")&gt;0,"保留",IF(COUNTIFS(請求記録!$B$6:$B$3005,$A220,請求記録!$Z$6:$Z$3005,X$5)=0,"",SUMIFS(請求記録!$AE$6:$AE$3005,請求記録!$B$6:$B$3005,$A220,請求記録!$Z$6:$Z$3005,X$5))))</f>
        <v/>
      </c>
      <c r="Y220" s="19">
        <f>IF($A220="","",IF(COUNTIFS(請求記録!$B$6:$B$3005,$A220,請求記録!$Z$6:$Z$3005,Y$5,請求記録!$AF$6:$AF$3005,"保留中")&gt;0,"保留",IF(COUNTIFS(請求記録!$B$6:$B$3005,$A220,請求記録!$Z$6:$Z$3005,Y$5)=0,"",SUMIFS(請求記録!$AE$6:$AE$3005,請求記録!$B$6:$B$3005,$A220,請求記録!$Z$6:$Z$3005,Y$5))))</f>
        <v/>
      </c>
      <c r="Z220" s="19">
        <f>IF($A220="","",IF(COUNTIFS(請求記録!$B$6:$B$3005,$A220,請求記録!$Z$6:$Z$3005,Z$5,請求記録!$AF$6:$AF$3005,"保留中")&gt;0,"保留",IF(COUNTIFS(請求記録!$B$6:$B$3005,$A220,請求記録!$Z$6:$Z$3005,Z$5)=0,"",SUMIFS(請求記録!$AE$6:$AE$3005,請求記録!$B$6:$B$3005,$A220,請求記録!$Z$6:$Z$3005,Z$5))))</f>
        <v/>
      </c>
      <c r="AA220" s="19">
        <f>IF($A220="","",IF(COUNTIFS(請求記録!$B$6:$B$3005,$A220,請求記録!$Z$6:$Z$3005,AA$5,請求記録!$AF$6:$AF$3005,"保留中")&gt;0,"保留",IF(COUNTIFS(請求記録!$B$6:$B$3005,$A220,請求記録!$Z$6:$Z$3005,AA$5)=0,"",SUMIFS(請求記録!$AE$6:$AE$3005,請求記録!$B$6:$B$3005,$A220,請求記録!$Z$6:$Z$3005,AA$5))))</f>
        <v/>
      </c>
      <c r="AB220">
        <f>IF(職員マスタ!P220="保留中",職員マスタ!M220,"")</f>
        <v/>
      </c>
    </row>
    <row r="221">
      <c r="A221">
        <f>IF(職員マスタ!A221="","",職員マスタ!A221)</f>
        <v/>
      </c>
      <c r="B221">
        <f>IF($A221="","",職員マスタ!B221)</f>
        <v/>
      </c>
      <c r="C221">
        <f>IF($A221="","",職員マスタ!C221)</f>
        <v/>
      </c>
      <c r="D221" s="19">
        <f>IF($A221="","",IF(COUNTIFS(請求記録!$B$6:$B$3005,$A221,請求記録!$Z$6:$Z$3005,D$5,請求記録!$AF$6:$AF$3005,"保留中")&gt;0,"保留",IF(COUNTIFS(請求記録!$B$6:$B$3005,$A221,請求記録!$Z$6:$Z$3005,D$5)=0,"",SUMIFS(請求記録!$AE$6:$AE$3005,請求記録!$B$6:$B$3005,$A221,請求記録!$Z$6:$Z$3005,D$5))))</f>
        <v/>
      </c>
      <c r="E221" s="19">
        <f>IF($A221="","",IF(COUNTIFS(請求記録!$B$6:$B$3005,$A221,請求記録!$Z$6:$Z$3005,E$5,請求記録!$AF$6:$AF$3005,"保留中")&gt;0,"保留",IF(COUNTIFS(請求記録!$B$6:$B$3005,$A221,請求記録!$Z$6:$Z$3005,E$5)=0,"",SUMIFS(請求記録!$AE$6:$AE$3005,請求記録!$B$6:$B$3005,$A221,請求記録!$Z$6:$Z$3005,E$5))))</f>
        <v/>
      </c>
      <c r="F221" s="19">
        <f>IF($A221="","",IF(COUNTIFS(請求記録!$B$6:$B$3005,$A221,請求記録!$Z$6:$Z$3005,F$5,請求記録!$AF$6:$AF$3005,"保留中")&gt;0,"保留",IF(COUNTIFS(請求記録!$B$6:$B$3005,$A221,請求記録!$Z$6:$Z$3005,F$5)=0,"",SUMIFS(請求記録!$AE$6:$AE$3005,請求記録!$B$6:$B$3005,$A221,請求記録!$Z$6:$Z$3005,F$5))))</f>
        <v/>
      </c>
      <c r="G221" s="19">
        <f>IF($A221="","",IF(COUNTIFS(請求記録!$B$6:$B$3005,$A221,請求記録!$Z$6:$Z$3005,G$5,請求記録!$AF$6:$AF$3005,"保留中")&gt;0,"保留",IF(COUNTIFS(請求記録!$B$6:$B$3005,$A221,請求記録!$Z$6:$Z$3005,G$5)=0,"",SUMIFS(請求記録!$AE$6:$AE$3005,請求記録!$B$6:$B$3005,$A221,請求記録!$Z$6:$Z$3005,G$5))))</f>
        <v/>
      </c>
      <c r="H221" s="19">
        <f>IF($A221="","",IF(COUNTIFS(請求記録!$B$6:$B$3005,$A221,請求記録!$Z$6:$Z$3005,H$5,請求記録!$AF$6:$AF$3005,"保留中")&gt;0,"保留",IF(COUNTIFS(請求記録!$B$6:$B$3005,$A221,請求記録!$Z$6:$Z$3005,H$5)=0,"",SUMIFS(請求記録!$AE$6:$AE$3005,請求記録!$B$6:$B$3005,$A221,請求記録!$Z$6:$Z$3005,H$5))))</f>
        <v/>
      </c>
      <c r="I221" s="19">
        <f>IF($A221="","",IF(COUNTIFS(請求記録!$B$6:$B$3005,$A221,請求記録!$Z$6:$Z$3005,I$5,請求記録!$AF$6:$AF$3005,"保留中")&gt;0,"保留",IF(COUNTIFS(請求記録!$B$6:$B$3005,$A221,請求記録!$Z$6:$Z$3005,I$5)=0,"",SUMIFS(請求記録!$AE$6:$AE$3005,請求記録!$B$6:$B$3005,$A221,請求記録!$Z$6:$Z$3005,I$5))))</f>
        <v/>
      </c>
      <c r="J221" s="19">
        <f>IF($A221="","",IF(COUNTIFS(請求記録!$B$6:$B$3005,$A221,請求記録!$Z$6:$Z$3005,J$5,請求記録!$AF$6:$AF$3005,"保留中")&gt;0,"保留",IF(COUNTIFS(請求記録!$B$6:$B$3005,$A221,請求記録!$Z$6:$Z$3005,J$5)=0,"",SUMIFS(請求記録!$AE$6:$AE$3005,請求記録!$B$6:$B$3005,$A221,請求記録!$Z$6:$Z$3005,J$5))))</f>
        <v/>
      </c>
      <c r="K221" s="19">
        <f>IF($A221="","",IF(COUNTIFS(請求記録!$B$6:$B$3005,$A221,請求記録!$Z$6:$Z$3005,K$5,請求記録!$AF$6:$AF$3005,"保留中")&gt;0,"保留",IF(COUNTIFS(請求記録!$B$6:$B$3005,$A221,請求記録!$Z$6:$Z$3005,K$5)=0,"",SUMIFS(請求記録!$AE$6:$AE$3005,請求記録!$B$6:$B$3005,$A221,請求記録!$Z$6:$Z$3005,K$5))))</f>
        <v/>
      </c>
      <c r="L221" s="19">
        <f>IF($A221="","",IF(COUNTIFS(請求記録!$B$6:$B$3005,$A221,請求記録!$Z$6:$Z$3005,L$5,請求記録!$AF$6:$AF$3005,"保留中")&gt;0,"保留",IF(COUNTIFS(請求記録!$B$6:$B$3005,$A221,請求記録!$Z$6:$Z$3005,L$5)=0,"",SUMIFS(請求記録!$AE$6:$AE$3005,請求記録!$B$6:$B$3005,$A221,請求記録!$Z$6:$Z$3005,L$5))))</f>
        <v/>
      </c>
      <c r="M221" s="19">
        <f>IF($A221="","",IF(COUNTIFS(請求記録!$B$6:$B$3005,$A221,請求記録!$Z$6:$Z$3005,M$5,請求記録!$AF$6:$AF$3005,"保留中")&gt;0,"保留",IF(COUNTIFS(請求記録!$B$6:$B$3005,$A221,請求記録!$Z$6:$Z$3005,M$5)=0,"",SUMIFS(請求記録!$AE$6:$AE$3005,請求記録!$B$6:$B$3005,$A221,請求記録!$Z$6:$Z$3005,M$5))))</f>
        <v/>
      </c>
      <c r="N221" s="19">
        <f>IF($A221="","",IF(COUNTIFS(請求記録!$B$6:$B$3005,$A221,請求記録!$Z$6:$Z$3005,N$5,請求記録!$AF$6:$AF$3005,"保留中")&gt;0,"保留",IF(COUNTIFS(請求記録!$B$6:$B$3005,$A221,請求記録!$Z$6:$Z$3005,N$5)=0,"",SUMIFS(請求記録!$AE$6:$AE$3005,請求記録!$B$6:$B$3005,$A221,請求記録!$Z$6:$Z$3005,N$5))))</f>
        <v/>
      </c>
      <c r="O221" s="19">
        <f>IF($A221="","",IF(COUNTIFS(請求記録!$B$6:$B$3005,$A221,請求記録!$Z$6:$Z$3005,O$5,請求記録!$AF$6:$AF$3005,"保留中")&gt;0,"保留",IF(COUNTIFS(請求記録!$B$6:$B$3005,$A221,請求記録!$Z$6:$Z$3005,O$5)=0,"",SUMIFS(請求記録!$AE$6:$AE$3005,請求記録!$B$6:$B$3005,$A221,請求記録!$Z$6:$Z$3005,O$5))))</f>
        <v/>
      </c>
      <c r="P221" s="19">
        <f>IF($A221="","",IF(COUNTIFS(請求記録!$B$6:$B$3005,$A221,請求記録!$Z$6:$Z$3005,P$5,請求記録!$AF$6:$AF$3005,"保留中")&gt;0,"保留",IF(COUNTIFS(請求記録!$B$6:$B$3005,$A221,請求記録!$Z$6:$Z$3005,P$5)=0,"",SUMIFS(請求記録!$AE$6:$AE$3005,請求記録!$B$6:$B$3005,$A221,請求記録!$Z$6:$Z$3005,P$5))))</f>
        <v/>
      </c>
      <c r="Q221" s="19">
        <f>IF($A221="","",IF(COUNTIFS(請求記録!$B$6:$B$3005,$A221,請求記録!$Z$6:$Z$3005,Q$5,請求記録!$AF$6:$AF$3005,"保留中")&gt;0,"保留",IF(COUNTIFS(請求記録!$B$6:$B$3005,$A221,請求記録!$Z$6:$Z$3005,Q$5)=0,"",SUMIFS(請求記録!$AE$6:$AE$3005,請求記録!$B$6:$B$3005,$A221,請求記録!$Z$6:$Z$3005,Q$5))))</f>
        <v/>
      </c>
      <c r="R221" s="19">
        <f>IF($A221="","",IF(COUNTIFS(請求記録!$B$6:$B$3005,$A221,請求記録!$Z$6:$Z$3005,R$5,請求記録!$AF$6:$AF$3005,"保留中")&gt;0,"保留",IF(COUNTIFS(請求記録!$B$6:$B$3005,$A221,請求記録!$Z$6:$Z$3005,R$5)=0,"",SUMIFS(請求記録!$AE$6:$AE$3005,請求記録!$B$6:$B$3005,$A221,請求記録!$Z$6:$Z$3005,R$5))))</f>
        <v/>
      </c>
      <c r="S221" s="19">
        <f>IF($A221="","",IF(COUNTIFS(請求記録!$B$6:$B$3005,$A221,請求記録!$Z$6:$Z$3005,S$5,請求記録!$AF$6:$AF$3005,"保留中")&gt;0,"保留",IF(COUNTIFS(請求記録!$B$6:$B$3005,$A221,請求記録!$Z$6:$Z$3005,S$5)=0,"",SUMIFS(請求記録!$AE$6:$AE$3005,請求記録!$B$6:$B$3005,$A221,請求記録!$Z$6:$Z$3005,S$5))))</f>
        <v/>
      </c>
      <c r="T221" s="19">
        <f>IF($A221="","",IF(COUNTIFS(請求記録!$B$6:$B$3005,$A221,請求記録!$Z$6:$Z$3005,T$5,請求記録!$AF$6:$AF$3005,"保留中")&gt;0,"保留",IF(COUNTIFS(請求記録!$B$6:$B$3005,$A221,請求記録!$Z$6:$Z$3005,T$5)=0,"",SUMIFS(請求記録!$AE$6:$AE$3005,請求記録!$B$6:$B$3005,$A221,請求記録!$Z$6:$Z$3005,T$5))))</f>
        <v/>
      </c>
      <c r="U221" s="19">
        <f>IF($A221="","",IF(COUNTIFS(請求記録!$B$6:$B$3005,$A221,請求記録!$Z$6:$Z$3005,U$5,請求記録!$AF$6:$AF$3005,"保留中")&gt;0,"保留",IF(COUNTIFS(請求記録!$B$6:$B$3005,$A221,請求記録!$Z$6:$Z$3005,U$5)=0,"",SUMIFS(請求記録!$AE$6:$AE$3005,請求記録!$B$6:$B$3005,$A221,請求記録!$Z$6:$Z$3005,U$5))))</f>
        <v/>
      </c>
      <c r="V221" s="19">
        <f>IF($A221="","",IF(COUNTIFS(請求記録!$B$6:$B$3005,$A221,請求記録!$Z$6:$Z$3005,V$5,請求記録!$AF$6:$AF$3005,"保留中")&gt;0,"保留",IF(COUNTIFS(請求記録!$B$6:$B$3005,$A221,請求記録!$Z$6:$Z$3005,V$5)=0,"",SUMIFS(請求記録!$AE$6:$AE$3005,請求記録!$B$6:$B$3005,$A221,請求記録!$Z$6:$Z$3005,V$5))))</f>
        <v/>
      </c>
      <c r="W221" s="19">
        <f>IF($A221="","",IF(COUNTIFS(請求記録!$B$6:$B$3005,$A221,請求記録!$Z$6:$Z$3005,W$5,請求記録!$AF$6:$AF$3005,"保留中")&gt;0,"保留",IF(COUNTIFS(請求記録!$B$6:$B$3005,$A221,請求記録!$Z$6:$Z$3005,W$5)=0,"",SUMIFS(請求記録!$AE$6:$AE$3005,請求記録!$B$6:$B$3005,$A221,請求記録!$Z$6:$Z$3005,W$5))))</f>
        <v/>
      </c>
      <c r="X221" s="19">
        <f>IF($A221="","",IF(COUNTIFS(請求記録!$B$6:$B$3005,$A221,請求記録!$Z$6:$Z$3005,X$5,請求記録!$AF$6:$AF$3005,"保留中")&gt;0,"保留",IF(COUNTIFS(請求記録!$B$6:$B$3005,$A221,請求記録!$Z$6:$Z$3005,X$5)=0,"",SUMIFS(請求記録!$AE$6:$AE$3005,請求記録!$B$6:$B$3005,$A221,請求記録!$Z$6:$Z$3005,X$5))))</f>
        <v/>
      </c>
      <c r="Y221" s="19">
        <f>IF($A221="","",IF(COUNTIFS(請求記録!$B$6:$B$3005,$A221,請求記録!$Z$6:$Z$3005,Y$5,請求記録!$AF$6:$AF$3005,"保留中")&gt;0,"保留",IF(COUNTIFS(請求記録!$B$6:$B$3005,$A221,請求記録!$Z$6:$Z$3005,Y$5)=0,"",SUMIFS(請求記録!$AE$6:$AE$3005,請求記録!$B$6:$B$3005,$A221,請求記録!$Z$6:$Z$3005,Y$5))))</f>
        <v/>
      </c>
      <c r="Z221" s="19">
        <f>IF($A221="","",IF(COUNTIFS(請求記録!$B$6:$B$3005,$A221,請求記録!$Z$6:$Z$3005,Z$5,請求記録!$AF$6:$AF$3005,"保留中")&gt;0,"保留",IF(COUNTIFS(請求記録!$B$6:$B$3005,$A221,請求記録!$Z$6:$Z$3005,Z$5)=0,"",SUMIFS(請求記録!$AE$6:$AE$3005,請求記録!$B$6:$B$3005,$A221,請求記録!$Z$6:$Z$3005,Z$5))))</f>
        <v/>
      </c>
      <c r="AA221" s="19">
        <f>IF($A221="","",IF(COUNTIFS(請求記録!$B$6:$B$3005,$A221,請求記録!$Z$6:$Z$3005,AA$5,請求記録!$AF$6:$AF$3005,"保留中")&gt;0,"保留",IF(COUNTIFS(請求記録!$B$6:$B$3005,$A221,請求記録!$Z$6:$Z$3005,AA$5)=0,"",SUMIFS(請求記録!$AE$6:$AE$3005,請求記録!$B$6:$B$3005,$A221,請求記録!$Z$6:$Z$3005,AA$5))))</f>
        <v/>
      </c>
      <c r="AB221">
        <f>IF(職員マスタ!P221="保留中",職員マスタ!M221,"")</f>
        <v/>
      </c>
    </row>
    <row r="222">
      <c r="A222">
        <f>IF(職員マスタ!A222="","",職員マスタ!A222)</f>
        <v/>
      </c>
      <c r="B222">
        <f>IF($A222="","",職員マスタ!B222)</f>
        <v/>
      </c>
      <c r="C222">
        <f>IF($A222="","",職員マスタ!C222)</f>
        <v/>
      </c>
      <c r="D222" s="19">
        <f>IF($A222="","",IF(COUNTIFS(請求記録!$B$6:$B$3005,$A222,請求記録!$Z$6:$Z$3005,D$5,請求記録!$AF$6:$AF$3005,"保留中")&gt;0,"保留",IF(COUNTIFS(請求記録!$B$6:$B$3005,$A222,請求記録!$Z$6:$Z$3005,D$5)=0,"",SUMIFS(請求記録!$AE$6:$AE$3005,請求記録!$B$6:$B$3005,$A222,請求記録!$Z$6:$Z$3005,D$5))))</f>
        <v/>
      </c>
      <c r="E222" s="19">
        <f>IF($A222="","",IF(COUNTIFS(請求記録!$B$6:$B$3005,$A222,請求記録!$Z$6:$Z$3005,E$5,請求記録!$AF$6:$AF$3005,"保留中")&gt;0,"保留",IF(COUNTIFS(請求記録!$B$6:$B$3005,$A222,請求記録!$Z$6:$Z$3005,E$5)=0,"",SUMIFS(請求記録!$AE$6:$AE$3005,請求記録!$B$6:$B$3005,$A222,請求記録!$Z$6:$Z$3005,E$5))))</f>
        <v/>
      </c>
      <c r="F222" s="19">
        <f>IF($A222="","",IF(COUNTIFS(請求記録!$B$6:$B$3005,$A222,請求記録!$Z$6:$Z$3005,F$5,請求記録!$AF$6:$AF$3005,"保留中")&gt;0,"保留",IF(COUNTIFS(請求記録!$B$6:$B$3005,$A222,請求記録!$Z$6:$Z$3005,F$5)=0,"",SUMIFS(請求記録!$AE$6:$AE$3005,請求記録!$B$6:$B$3005,$A222,請求記録!$Z$6:$Z$3005,F$5))))</f>
        <v/>
      </c>
      <c r="G222" s="19">
        <f>IF($A222="","",IF(COUNTIFS(請求記録!$B$6:$B$3005,$A222,請求記録!$Z$6:$Z$3005,G$5,請求記録!$AF$6:$AF$3005,"保留中")&gt;0,"保留",IF(COUNTIFS(請求記録!$B$6:$B$3005,$A222,請求記録!$Z$6:$Z$3005,G$5)=0,"",SUMIFS(請求記録!$AE$6:$AE$3005,請求記録!$B$6:$B$3005,$A222,請求記録!$Z$6:$Z$3005,G$5))))</f>
        <v/>
      </c>
      <c r="H222" s="19">
        <f>IF($A222="","",IF(COUNTIFS(請求記録!$B$6:$B$3005,$A222,請求記録!$Z$6:$Z$3005,H$5,請求記録!$AF$6:$AF$3005,"保留中")&gt;0,"保留",IF(COUNTIFS(請求記録!$B$6:$B$3005,$A222,請求記録!$Z$6:$Z$3005,H$5)=0,"",SUMIFS(請求記録!$AE$6:$AE$3005,請求記録!$B$6:$B$3005,$A222,請求記録!$Z$6:$Z$3005,H$5))))</f>
        <v/>
      </c>
      <c r="I222" s="19">
        <f>IF($A222="","",IF(COUNTIFS(請求記録!$B$6:$B$3005,$A222,請求記録!$Z$6:$Z$3005,I$5,請求記録!$AF$6:$AF$3005,"保留中")&gt;0,"保留",IF(COUNTIFS(請求記録!$B$6:$B$3005,$A222,請求記録!$Z$6:$Z$3005,I$5)=0,"",SUMIFS(請求記録!$AE$6:$AE$3005,請求記録!$B$6:$B$3005,$A222,請求記録!$Z$6:$Z$3005,I$5))))</f>
        <v/>
      </c>
      <c r="J222" s="19">
        <f>IF($A222="","",IF(COUNTIFS(請求記録!$B$6:$B$3005,$A222,請求記録!$Z$6:$Z$3005,J$5,請求記録!$AF$6:$AF$3005,"保留中")&gt;0,"保留",IF(COUNTIFS(請求記録!$B$6:$B$3005,$A222,請求記録!$Z$6:$Z$3005,J$5)=0,"",SUMIFS(請求記録!$AE$6:$AE$3005,請求記録!$B$6:$B$3005,$A222,請求記録!$Z$6:$Z$3005,J$5))))</f>
        <v/>
      </c>
      <c r="K222" s="19">
        <f>IF($A222="","",IF(COUNTIFS(請求記録!$B$6:$B$3005,$A222,請求記録!$Z$6:$Z$3005,K$5,請求記録!$AF$6:$AF$3005,"保留中")&gt;0,"保留",IF(COUNTIFS(請求記録!$B$6:$B$3005,$A222,請求記録!$Z$6:$Z$3005,K$5)=0,"",SUMIFS(請求記録!$AE$6:$AE$3005,請求記録!$B$6:$B$3005,$A222,請求記録!$Z$6:$Z$3005,K$5))))</f>
        <v/>
      </c>
      <c r="L222" s="19">
        <f>IF($A222="","",IF(COUNTIFS(請求記録!$B$6:$B$3005,$A222,請求記録!$Z$6:$Z$3005,L$5,請求記録!$AF$6:$AF$3005,"保留中")&gt;0,"保留",IF(COUNTIFS(請求記録!$B$6:$B$3005,$A222,請求記録!$Z$6:$Z$3005,L$5)=0,"",SUMIFS(請求記録!$AE$6:$AE$3005,請求記録!$B$6:$B$3005,$A222,請求記録!$Z$6:$Z$3005,L$5))))</f>
        <v/>
      </c>
      <c r="M222" s="19">
        <f>IF($A222="","",IF(COUNTIFS(請求記録!$B$6:$B$3005,$A222,請求記録!$Z$6:$Z$3005,M$5,請求記録!$AF$6:$AF$3005,"保留中")&gt;0,"保留",IF(COUNTIFS(請求記録!$B$6:$B$3005,$A222,請求記録!$Z$6:$Z$3005,M$5)=0,"",SUMIFS(請求記録!$AE$6:$AE$3005,請求記録!$B$6:$B$3005,$A222,請求記録!$Z$6:$Z$3005,M$5))))</f>
        <v/>
      </c>
      <c r="N222" s="19">
        <f>IF($A222="","",IF(COUNTIFS(請求記録!$B$6:$B$3005,$A222,請求記録!$Z$6:$Z$3005,N$5,請求記録!$AF$6:$AF$3005,"保留中")&gt;0,"保留",IF(COUNTIFS(請求記録!$B$6:$B$3005,$A222,請求記録!$Z$6:$Z$3005,N$5)=0,"",SUMIFS(請求記録!$AE$6:$AE$3005,請求記録!$B$6:$B$3005,$A222,請求記録!$Z$6:$Z$3005,N$5))))</f>
        <v/>
      </c>
      <c r="O222" s="19">
        <f>IF($A222="","",IF(COUNTIFS(請求記録!$B$6:$B$3005,$A222,請求記録!$Z$6:$Z$3005,O$5,請求記録!$AF$6:$AF$3005,"保留中")&gt;0,"保留",IF(COUNTIFS(請求記録!$B$6:$B$3005,$A222,請求記録!$Z$6:$Z$3005,O$5)=0,"",SUMIFS(請求記録!$AE$6:$AE$3005,請求記録!$B$6:$B$3005,$A222,請求記録!$Z$6:$Z$3005,O$5))))</f>
        <v/>
      </c>
      <c r="P222" s="19">
        <f>IF($A222="","",IF(COUNTIFS(請求記録!$B$6:$B$3005,$A222,請求記録!$Z$6:$Z$3005,P$5,請求記録!$AF$6:$AF$3005,"保留中")&gt;0,"保留",IF(COUNTIFS(請求記録!$B$6:$B$3005,$A222,請求記録!$Z$6:$Z$3005,P$5)=0,"",SUMIFS(請求記録!$AE$6:$AE$3005,請求記録!$B$6:$B$3005,$A222,請求記録!$Z$6:$Z$3005,P$5))))</f>
        <v/>
      </c>
      <c r="Q222" s="19">
        <f>IF($A222="","",IF(COUNTIFS(請求記録!$B$6:$B$3005,$A222,請求記録!$Z$6:$Z$3005,Q$5,請求記録!$AF$6:$AF$3005,"保留中")&gt;0,"保留",IF(COUNTIFS(請求記録!$B$6:$B$3005,$A222,請求記録!$Z$6:$Z$3005,Q$5)=0,"",SUMIFS(請求記録!$AE$6:$AE$3005,請求記録!$B$6:$B$3005,$A222,請求記録!$Z$6:$Z$3005,Q$5))))</f>
        <v/>
      </c>
      <c r="R222" s="19">
        <f>IF($A222="","",IF(COUNTIFS(請求記録!$B$6:$B$3005,$A222,請求記録!$Z$6:$Z$3005,R$5,請求記録!$AF$6:$AF$3005,"保留中")&gt;0,"保留",IF(COUNTIFS(請求記録!$B$6:$B$3005,$A222,請求記録!$Z$6:$Z$3005,R$5)=0,"",SUMIFS(請求記録!$AE$6:$AE$3005,請求記録!$B$6:$B$3005,$A222,請求記録!$Z$6:$Z$3005,R$5))))</f>
        <v/>
      </c>
      <c r="S222" s="19">
        <f>IF($A222="","",IF(COUNTIFS(請求記録!$B$6:$B$3005,$A222,請求記録!$Z$6:$Z$3005,S$5,請求記録!$AF$6:$AF$3005,"保留中")&gt;0,"保留",IF(COUNTIFS(請求記録!$B$6:$B$3005,$A222,請求記録!$Z$6:$Z$3005,S$5)=0,"",SUMIFS(請求記録!$AE$6:$AE$3005,請求記録!$B$6:$B$3005,$A222,請求記録!$Z$6:$Z$3005,S$5))))</f>
        <v/>
      </c>
      <c r="T222" s="19">
        <f>IF($A222="","",IF(COUNTIFS(請求記録!$B$6:$B$3005,$A222,請求記録!$Z$6:$Z$3005,T$5,請求記録!$AF$6:$AF$3005,"保留中")&gt;0,"保留",IF(COUNTIFS(請求記録!$B$6:$B$3005,$A222,請求記録!$Z$6:$Z$3005,T$5)=0,"",SUMIFS(請求記録!$AE$6:$AE$3005,請求記録!$B$6:$B$3005,$A222,請求記録!$Z$6:$Z$3005,T$5))))</f>
        <v/>
      </c>
      <c r="U222" s="19">
        <f>IF($A222="","",IF(COUNTIFS(請求記録!$B$6:$B$3005,$A222,請求記録!$Z$6:$Z$3005,U$5,請求記録!$AF$6:$AF$3005,"保留中")&gt;0,"保留",IF(COUNTIFS(請求記録!$B$6:$B$3005,$A222,請求記録!$Z$6:$Z$3005,U$5)=0,"",SUMIFS(請求記録!$AE$6:$AE$3005,請求記録!$B$6:$B$3005,$A222,請求記録!$Z$6:$Z$3005,U$5))))</f>
        <v/>
      </c>
      <c r="V222" s="19">
        <f>IF($A222="","",IF(COUNTIFS(請求記録!$B$6:$B$3005,$A222,請求記録!$Z$6:$Z$3005,V$5,請求記録!$AF$6:$AF$3005,"保留中")&gt;0,"保留",IF(COUNTIFS(請求記録!$B$6:$B$3005,$A222,請求記録!$Z$6:$Z$3005,V$5)=0,"",SUMIFS(請求記録!$AE$6:$AE$3005,請求記録!$B$6:$B$3005,$A222,請求記録!$Z$6:$Z$3005,V$5))))</f>
        <v/>
      </c>
      <c r="W222" s="19">
        <f>IF($A222="","",IF(COUNTIFS(請求記録!$B$6:$B$3005,$A222,請求記録!$Z$6:$Z$3005,W$5,請求記録!$AF$6:$AF$3005,"保留中")&gt;0,"保留",IF(COUNTIFS(請求記録!$B$6:$B$3005,$A222,請求記録!$Z$6:$Z$3005,W$5)=0,"",SUMIFS(請求記録!$AE$6:$AE$3005,請求記録!$B$6:$B$3005,$A222,請求記録!$Z$6:$Z$3005,W$5))))</f>
        <v/>
      </c>
      <c r="X222" s="19">
        <f>IF($A222="","",IF(COUNTIFS(請求記録!$B$6:$B$3005,$A222,請求記録!$Z$6:$Z$3005,X$5,請求記録!$AF$6:$AF$3005,"保留中")&gt;0,"保留",IF(COUNTIFS(請求記録!$B$6:$B$3005,$A222,請求記録!$Z$6:$Z$3005,X$5)=0,"",SUMIFS(請求記録!$AE$6:$AE$3005,請求記録!$B$6:$B$3005,$A222,請求記録!$Z$6:$Z$3005,X$5))))</f>
        <v/>
      </c>
      <c r="Y222" s="19">
        <f>IF($A222="","",IF(COUNTIFS(請求記録!$B$6:$B$3005,$A222,請求記録!$Z$6:$Z$3005,Y$5,請求記録!$AF$6:$AF$3005,"保留中")&gt;0,"保留",IF(COUNTIFS(請求記録!$B$6:$B$3005,$A222,請求記録!$Z$6:$Z$3005,Y$5)=0,"",SUMIFS(請求記録!$AE$6:$AE$3005,請求記録!$B$6:$B$3005,$A222,請求記録!$Z$6:$Z$3005,Y$5))))</f>
        <v/>
      </c>
      <c r="Z222" s="19">
        <f>IF($A222="","",IF(COUNTIFS(請求記録!$B$6:$B$3005,$A222,請求記録!$Z$6:$Z$3005,Z$5,請求記録!$AF$6:$AF$3005,"保留中")&gt;0,"保留",IF(COUNTIFS(請求記録!$B$6:$B$3005,$A222,請求記録!$Z$6:$Z$3005,Z$5)=0,"",SUMIFS(請求記録!$AE$6:$AE$3005,請求記録!$B$6:$B$3005,$A222,請求記録!$Z$6:$Z$3005,Z$5))))</f>
        <v/>
      </c>
      <c r="AA222" s="19">
        <f>IF($A222="","",IF(COUNTIFS(請求記録!$B$6:$B$3005,$A222,請求記録!$Z$6:$Z$3005,AA$5,請求記録!$AF$6:$AF$3005,"保留中")&gt;0,"保留",IF(COUNTIFS(請求記録!$B$6:$B$3005,$A222,請求記録!$Z$6:$Z$3005,AA$5)=0,"",SUMIFS(請求記録!$AE$6:$AE$3005,請求記録!$B$6:$B$3005,$A222,請求記録!$Z$6:$Z$3005,AA$5))))</f>
        <v/>
      </c>
      <c r="AB222">
        <f>IF(職員マスタ!P222="保留中",職員マスタ!M222,"")</f>
        <v/>
      </c>
    </row>
    <row r="223">
      <c r="A223">
        <f>IF(職員マスタ!A223="","",職員マスタ!A223)</f>
        <v/>
      </c>
      <c r="B223">
        <f>IF($A223="","",職員マスタ!B223)</f>
        <v/>
      </c>
      <c r="C223">
        <f>IF($A223="","",職員マスタ!C223)</f>
        <v/>
      </c>
      <c r="D223" s="19">
        <f>IF($A223="","",IF(COUNTIFS(請求記録!$B$6:$B$3005,$A223,請求記録!$Z$6:$Z$3005,D$5,請求記録!$AF$6:$AF$3005,"保留中")&gt;0,"保留",IF(COUNTIFS(請求記録!$B$6:$B$3005,$A223,請求記録!$Z$6:$Z$3005,D$5)=0,"",SUMIFS(請求記録!$AE$6:$AE$3005,請求記録!$B$6:$B$3005,$A223,請求記録!$Z$6:$Z$3005,D$5))))</f>
        <v/>
      </c>
      <c r="E223" s="19">
        <f>IF($A223="","",IF(COUNTIFS(請求記録!$B$6:$B$3005,$A223,請求記録!$Z$6:$Z$3005,E$5,請求記録!$AF$6:$AF$3005,"保留中")&gt;0,"保留",IF(COUNTIFS(請求記録!$B$6:$B$3005,$A223,請求記録!$Z$6:$Z$3005,E$5)=0,"",SUMIFS(請求記録!$AE$6:$AE$3005,請求記録!$B$6:$B$3005,$A223,請求記録!$Z$6:$Z$3005,E$5))))</f>
        <v/>
      </c>
      <c r="F223" s="19">
        <f>IF($A223="","",IF(COUNTIFS(請求記録!$B$6:$B$3005,$A223,請求記録!$Z$6:$Z$3005,F$5,請求記録!$AF$6:$AF$3005,"保留中")&gt;0,"保留",IF(COUNTIFS(請求記録!$B$6:$B$3005,$A223,請求記録!$Z$6:$Z$3005,F$5)=0,"",SUMIFS(請求記録!$AE$6:$AE$3005,請求記録!$B$6:$B$3005,$A223,請求記録!$Z$6:$Z$3005,F$5))))</f>
        <v/>
      </c>
      <c r="G223" s="19">
        <f>IF($A223="","",IF(COUNTIFS(請求記録!$B$6:$B$3005,$A223,請求記録!$Z$6:$Z$3005,G$5,請求記録!$AF$6:$AF$3005,"保留中")&gt;0,"保留",IF(COUNTIFS(請求記録!$B$6:$B$3005,$A223,請求記録!$Z$6:$Z$3005,G$5)=0,"",SUMIFS(請求記録!$AE$6:$AE$3005,請求記録!$B$6:$B$3005,$A223,請求記録!$Z$6:$Z$3005,G$5))))</f>
        <v/>
      </c>
      <c r="H223" s="19">
        <f>IF($A223="","",IF(COUNTIFS(請求記録!$B$6:$B$3005,$A223,請求記録!$Z$6:$Z$3005,H$5,請求記録!$AF$6:$AF$3005,"保留中")&gt;0,"保留",IF(COUNTIFS(請求記録!$B$6:$B$3005,$A223,請求記録!$Z$6:$Z$3005,H$5)=0,"",SUMIFS(請求記録!$AE$6:$AE$3005,請求記録!$B$6:$B$3005,$A223,請求記録!$Z$6:$Z$3005,H$5))))</f>
        <v/>
      </c>
      <c r="I223" s="19">
        <f>IF($A223="","",IF(COUNTIFS(請求記録!$B$6:$B$3005,$A223,請求記録!$Z$6:$Z$3005,I$5,請求記録!$AF$6:$AF$3005,"保留中")&gt;0,"保留",IF(COUNTIFS(請求記録!$B$6:$B$3005,$A223,請求記録!$Z$6:$Z$3005,I$5)=0,"",SUMIFS(請求記録!$AE$6:$AE$3005,請求記録!$B$6:$B$3005,$A223,請求記録!$Z$6:$Z$3005,I$5))))</f>
        <v/>
      </c>
      <c r="J223" s="19">
        <f>IF($A223="","",IF(COUNTIFS(請求記録!$B$6:$B$3005,$A223,請求記録!$Z$6:$Z$3005,J$5,請求記録!$AF$6:$AF$3005,"保留中")&gt;0,"保留",IF(COUNTIFS(請求記録!$B$6:$B$3005,$A223,請求記録!$Z$6:$Z$3005,J$5)=0,"",SUMIFS(請求記録!$AE$6:$AE$3005,請求記録!$B$6:$B$3005,$A223,請求記録!$Z$6:$Z$3005,J$5))))</f>
        <v/>
      </c>
      <c r="K223" s="19">
        <f>IF($A223="","",IF(COUNTIFS(請求記録!$B$6:$B$3005,$A223,請求記録!$Z$6:$Z$3005,K$5,請求記録!$AF$6:$AF$3005,"保留中")&gt;0,"保留",IF(COUNTIFS(請求記録!$B$6:$B$3005,$A223,請求記録!$Z$6:$Z$3005,K$5)=0,"",SUMIFS(請求記録!$AE$6:$AE$3005,請求記録!$B$6:$B$3005,$A223,請求記録!$Z$6:$Z$3005,K$5))))</f>
        <v/>
      </c>
      <c r="L223" s="19">
        <f>IF($A223="","",IF(COUNTIFS(請求記録!$B$6:$B$3005,$A223,請求記録!$Z$6:$Z$3005,L$5,請求記録!$AF$6:$AF$3005,"保留中")&gt;0,"保留",IF(COUNTIFS(請求記録!$B$6:$B$3005,$A223,請求記録!$Z$6:$Z$3005,L$5)=0,"",SUMIFS(請求記録!$AE$6:$AE$3005,請求記録!$B$6:$B$3005,$A223,請求記録!$Z$6:$Z$3005,L$5))))</f>
        <v/>
      </c>
      <c r="M223" s="19">
        <f>IF($A223="","",IF(COUNTIFS(請求記録!$B$6:$B$3005,$A223,請求記録!$Z$6:$Z$3005,M$5,請求記録!$AF$6:$AF$3005,"保留中")&gt;0,"保留",IF(COUNTIFS(請求記録!$B$6:$B$3005,$A223,請求記録!$Z$6:$Z$3005,M$5)=0,"",SUMIFS(請求記録!$AE$6:$AE$3005,請求記録!$B$6:$B$3005,$A223,請求記録!$Z$6:$Z$3005,M$5))))</f>
        <v/>
      </c>
      <c r="N223" s="19">
        <f>IF($A223="","",IF(COUNTIFS(請求記録!$B$6:$B$3005,$A223,請求記録!$Z$6:$Z$3005,N$5,請求記録!$AF$6:$AF$3005,"保留中")&gt;0,"保留",IF(COUNTIFS(請求記録!$B$6:$B$3005,$A223,請求記録!$Z$6:$Z$3005,N$5)=0,"",SUMIFS(請求記録!$AE$6:$AE$3005,請求記録!$B$6:$B$3005,$A223,請求記録!$Z$6:$Z$3005,N$5))))</f>
        <v/>
      </c>
      <c r="O223" s="19">
        <f>IF($A223="","",IF(COUNTIFS(請求記録!$B$6:$B$3005,$A223,請求記録!$Z$6:$Z$3005,O$5,請求記録!$AF$6:$AF$3005,"保留中")&gt;0,"保留",IF(COUNTIFS(請求記録!$B$6:$B$3005,$A223,請求記録!$Z$6:$Z$3005,O$5)=0,"",SUMIFS(請求記録!$AE$6:$AE$3005,請求記録!$B$6:$B$3005,$A223,請求記録!$Z$6:$Z$3005,O$5))))</f>
        <v/>
      </c>
      <c r="P223" s="19">
        <f>IF($A223="","",IF(COUNTIFS(請求記録!$B$6:$B$3005,$A223,請求記録!$Z$6:$Z$3005,P$5,請求記録!$AF$6:$AF$3005,"保留中")&gt;0,"保留",IF(COUNTIFS(請求記録!$B$6:$B$3005,$A223,請求記録!$Z$6:$Z$3005,P$5)=0,"",SUMIFS(請求記録!$AE$6:$AE$3005,請求記録!$B$6:$B$3005,$A223,請求記録!$Z$6:$Z$3005,P$5))))</f>
        <v/>
      </c>
      <c r="Q223" s="19">
        <f>IF($A223="","",IF(COUNTIFS(請求記録!$B$6:$B$3005,$A223,請求記録!$Z$6:$Z$3005,Q$5,請求記録!$AF$6:$AF$3005,"保留中")&gt;0,"保留",IF(COUNTIFS(請求記録!$B$6:$B$3005,$A223,請求記録!$Z$6:$Z$3005,Q$5)=0,"",SUMIFS(請求記録!$AE$6:$AE$3005,請求記録!$B$6:$B$3005,$A223,請求記録!$Z$6:$Z$3005,Q$5))))</f>
        <v/>
      </c>
      <c r="R223" s="19">
        <f>IF($A223="","",IF(COUNTIFS(請求記録!$B$6:$B$3005,$A223,請求記録!$Z$6:$Z$3005,R$5,請求記録!$AF$6:$AF$3005,"保留中")&gt;0,"保留",IF(COUNTIFS(請求記録!$B$6:$B$3005,$A223,請求記録!$Z$6:$Z$3005,R$5)=0,"",SUMIFS(請求記録!$AE$6:$AE$3005,請求記録!$B$6:$B$3005,$A223,請求記録!$Z$6:$Z$3005,R$5))))</f>
        <v/>
      </c>
      <c r="S223" s="19">
        <f>IF($A223="","",IF(COUNTIFS(請求記録!$B$6:$B$3005,$A223,請求記録!$Z$6:$Z$3005,S$5,請求記録!$AF$6:$AF$3005,"保留中")&gt;0,"保留",IF(COUNTIFS(請求記録!$B$6:$B$3005,$A223,請求記録!$Z$6:$Z$3005,S$5)=0,"",SUMIFS(請求記録!$AE$6:$AE$3005,請求記録!$B$6:$B$3005,$A223,請求記録!$Z$6:$Z$3005,S$5))))</f>
        <v/>
      </c>
      <c r="T223" s="19">
        <f>IF($A223="","",IF(COUNTIFS(請求記録!$B$6:$B$3005,$A223,請求記録!$Z$6:$Z$3005,T$5,請求記録!$AF$6:$AF$3005,"保留中")&gt;0,"保留",IF(COUNTIFS(請求記録!$B$6:$B$3005,$A223,請求記録!$Z$6:$Z$3005,T$5)=0,"",SUMIFS(請求記録!$AE$6:$AE$3005,請求記録!$B$6:$B$3005,$A223,請求記録!$Z$6:$Z$3005,T$5))))</f>
        <v/>
      </c>
      <c r="U223" s="19">
        <f>IF($A223="","",IF(COUNTIFS(請求記録!$B$6:$B$3005,$A223,請求記録!$Z$6:$Z$3005,U$5,請求記録!$AF$6:$AF$3005,"保留中")&gt;0,"保留",IF(COUNTIFS(請求記録!$B$6:$B$3005,$A223,請求記録!$Z$6:$Z$3005,U$5)=0,"",SUMIFS(請求記録!$AE$6:$AE$3005,請求記録!$B$6:$B$3005,$A223,請求記録!$Z$6:$Z$3005,U$5))))</f>
        <v/>
      </c>
      <c r="V223" s="19">
        <f>IF($A223="","",IF(COUNTIFS(請求記録!$B$6:$B$3005,$A223,請求記録!$Z$6:$Z$3005,V$5,請求記録!$AF$6:$AF$3005,"保留中")&gt;0,"保留",IF(COUNTIFS(請求記録!$B$6:$B$3005,$A223,請求記録!$Z$6:$Z$3005,V$5)=0,"",SUMIFS(請求記録!$AE$6:$AE$3005,請求記録!$B$6:$B$3005,$A223,請求記録!$Z$6:$Z$3005,V$5))))</f>
        <v/>
      </c>
      <c r="W223" s="19">
        <f>IF($A223="","",IF(COUNTIFS(請求記録!$B$6:$B$3005,$A223,請求記録!$Z$6:$Z$3005,W$5,請求記録!$AF$6:$AF$3005,"保留中")&gt;0,"保留",IF(COUNTIFS(請求記録!$B$6:$B$3005,$A223,請求記録!$Z$6:$Z$3005,W$5)=0,"",SUMIFS(請求記録!$AE$6:$AE$3005,請求記録!$B$6:$B$3005,$A223,請求記録!$Z$6:$Z$3005,W$5))))</f>
        <v/>
      </c>
      <c r="X223" s="19">
        <f>IF($A223="","",IF(COUNTIFS(請求記録!$B$6:$B$3005,$A223,請求記録!$Z$6:$Z$3005,X$5,請求記録!$AF$6:$AF$3005,"保留中")&gt;0,"保留",IF(COUNTIFS(請求記録!$B$6:$B$3005,$A223,請求記録!$Z$6:$Z$3005,X$5)=0,"",SUMIFS(請求記録!$AE$6:$AE$3005,請求記録!$B$6:$B$3005,$A223,請求記録!$Z$6:$Z$3005,X$5))))</f>
        <v/>
      </c>
      <c r="Y223" s="19">
        <f>IF($A223="","",IF(COUNTIFS(請求記録!$B$6:$B$3005,$A223,請求記録!$Z$6:$Z$3005,Y$5,請求記録!$AF$6:$AF$3005,"保留中")&gt;0,"保留",IF(COUNTIFS(請求記録!$B$6:$B$3005,$A223,請求記録!$Z$6:$Z$3005,Y$5)=0,"",SUMIFS(請求記録!$AE$6:$AE$3005,請求記録!$B$6:$B$3005,$A223,請求記録!$Z$6:$Z$3005,Y$5))))</f>
        <v/>
      </c>
      <c r="Z223" s="19">
        <f>IF($A223="","",IF(COUNTIFS(請求記録!$B$6:$B$3005,$A223,請求記録!$Z$6:$Z$3005,Z$5,請求記録!$AF$6:$AF$3005,"保留中")&gt;0,"保留",IF(COUNTIFS(請求記録!$B$6:$B$3005,$A223,請求記録!$Z$6:$Z$3005,Z$5)=0,"",SUMIFS(請求記録!$AE$6:$AE$3005,請求記録!$B$6:$B$3005,$A223,請求記録!$Z$6:$Z$3005,Z$5))))</f>
        <v/>
      </c>
      <c r="AA223" s="19">
        <f>IF($A223="","",IF(COUNTIFS(請求記録!$B$6:$B$3005,$A223,請求記録!$Z$6:$Z$3005,AA$5,請求記録!$AF$6:$AF$3005,"保留中")&gt;0,"保留",IF(COUNTIFS(請求記録!$B$6:$B$3005,$A223,請求記録!$Z$6:$Z$3005,AA$5)=0,"",SUMIFS(請求記録!$AE$6:$AE$3005,請求記録!$B$6:$B$3005,$A223,請求記録!$Z$6:$Z$3005,AA$5))))</f>
        <v/>
      </c>
      <c r="AB223">
        <f>IF(職員マスタ!P223="保留中",職員マスタ!M223,"")</f>
        <v/>
      </c>
    </row>
    <row r="224">
      <c r="A224">
        <f>IF(職員マスタ!A224="","",職員マスタ!A224)</f>
        <v/>
      </c>
      <c r="B224">
        <f>IF($A224="","",職員マスタ!B224)</f>
        <v/>
      </c>
      <c r="C224">
        <f>IF($A224="","",職員マスタ!C224)</f>
        <v/>
      </c>
      <c r="D224" s="19">
        <f>IF($A224="","",IF(COUNTIFS(請求記録!$B$6:$B$3005,$A224,請求記録!$Z$6:$Z$3005,D$5,請求記録!$AF$6:$AF$3005,"保留中")&gt;0,"保留",IF(COUNTIFS(請求記録!$B$6:$B$3005,$A224,請求記録!$Z$6:$Z$3005,D$5)=0,"",SUMIFS(請求記録!$AE$6:$AE$3005,請求記録!$B$6:$B$3005,$A224,請求記録!$Z$6:$Z$3005,D$5))))</f>
        <v/>
      </c>
      <c r="E224" s="19">
        <f>IF($A224="","",IF(COUNTIFS(請求記録!$B$6:$B$3005,$A224,請求記録!$Z$6:$Z$3005,E$5,請求記録!$AF$6:$AF$3005,"保留中")&gt;0,"保留",IF(COUNTIFS(請求記録!$B$6:$B$3005,$A224,請求記録!$Z$6:$Z$3005,E$5)=0,"",SUMIFS(請求記録!$AE$6:$AE$3005,請求記録!$B$6:$B$3005,$A224,請求記録!$Z$6:$Z$3005,E$5))))</f>
        <v/>
      </c>
      <c r="F224" s="19">
        <f>IF($A224="","",IF(COUNTIFS(請求記録!$B$6:$B$3005,$A224,請求記録!$Z$6:$Z$3005,F$5,請求記録!$AF$6:$AF$3005,"保留中")&gt;0,"保留",IF(COUNTIFS(請求記録!$B$6:$B$3005,$A224,請求記録!$Z$6:$Z$3005,F$5)=0,"",SUMIFS(請求記録!$AE$6:$AE$3005,請求記録!$B$6:$B$3005,$A224,請求記録!$Z$6:$Z$3005,F$5))))</f>
        <v/>
      </c>
      <c r="G224" s="19">
        <f>IF($A224="","",IF(COUNTIFS(請求記録!$B$6:$B$3005,$A224,請求記録!$Z$6:$Z$3005,G$5,請求記録!$AF$6:$AF$3005,"保留中")&gt;0,"保留",IF(COUNTIFS(請求記録!$B$6:$B$3005,$A224,請求記録!$Z$6:$Z$3005,G$5)=0,"",SUMIFS(請求記録!$AE$6:$AE$3005,請求記録!$B$6:$B$3005,$A224,請求記録!$Z$6:$Z$3005,G$5))))</f>
        <v/>
      </c>
      <c r="H224" s="19">
        <f>IF($A224="","",IF(COUNTIFS(請求記録!$B$6:$B$3005,$A224,請求記録!$Z$6:$Z$3005,H$5,請求記録!$AF$6:$AF$3005,"保留中")&gt;0,"保留",IF(COUNTIFS(請求記録!$B$6:$B$3005,$A224,請求記録!$Z$6:$Z$3005,H$5)=0,"",SUMIFS(請求記録!$AE$6:$AE$3005,請求記録!$B$6:$B$3005,$A224,請求記録!$Z$6:$Z$3005,H$5))))</f>
        <v/>
      </c>
      <c r="I224" s="19">
        <f>IF($A224="","",IF(COUNTIFS(請求記録!$B$6:$B$3005,$A224,請求記録!$Z$6:$Z$3005,I$5,請求記録!$AF$6:$AF$3005,"保留中")&gt;0,"保留",IF(COUNTIFS(請求記録!$B$6:$B$3005,$A224,請求記録!$Z$6:$Z$3005,I$5)=0,"",SUMIFS(請求記録!$AE$6:$AE$3005,請求記録!$B$6:$B$3005,$A224,請求記録!$Z$6:$Z$3005,I$5))))</f>
        <v/>
      </c>
      <c r="J224" s="19">
        <f>IF($A224="","",IF(COUNTIFS(請求記録!$B$6:$B$3005,$A224,請求記録!$Z$6:$Z$3005,J$5,請求記録!$AF$6:$AF$3005,"保留中")&gt;0,"保留",IF(COUNTIFS(請求記録!$B$6:$B$3005,$A224,請求記録!$Z$6:$Z$3005,J$5)=0,"",SUMIFS(請求記録!$AE$6:$AE$3005,請求記録!$B$6:$B$3005,$A224,請求記録!$Z$6:$Z$3005,J$5))))</f>
        <v/>
      </c>
      <c r="K224" s="19">
        <f>IF($A224="","",IF(COUNTIFS(請求記録!$B$6:$B$3005,$A224,請求記録!$Z$6:$Z$3005,K$5,請求記録!$AF$6:$AF$3005,"保留中")&gt;0,"保留",IF(COUNTIFS(請求記録!$B$6:$B$3005,$A224,請求記録!$Z$6:$Z$3005,K$5)=0,"",SUMIFS(請求記録!$AE$6:$AE$3005,請求記録!$B$6:$B$3005,$A224,請求記録!$Z$6:$Z$3005,K$5))))</f>
        <v/>
      </c>
      <c r="L224" s="19">
        <f>IF($A224="","",IF(COUNTIFS(請求記録!$B$6:$B$3005,$A224,請求記録!$Z$6:$Z$3005,L$5,請求記録!$AF$6:$AF$3005,"保留中")&gt;0,"保留",IF(COUNTIFS(請求記録!$B$6:$B$3005,$A224,請求記録!$Z$6:$Z$3005,L$5)=0,"",SUMIFS(請求記録!$AE$6:$AE$3005,請求記録!$B$6:$B$3005,$A224,請求記録!$Z$6:$Z$3005,L$5))))</f>
        <v/>
      </c>
      <c r="M224" s="19">
        <f>IF($A224="","",IF(COUNTIFS(請求記録!$B$6:$B$3005,$A224,請求記録!$Z$6:$Z$3005,M$5,請求記録!$AF$6:$AF$3005,"保留中")&gt;0,"保留",IF(COUNTIFS(請求記録!$B$6:$B$3005,$A224,請求記録!$Z$6:$Z$3005,M$5)=0,"",SUMIFS(請求記録!$AE$6:$AE$3005,請求記録!$B$6:$B$3005,$A224,請求記録!$Z$6:$Z$3005,M$5))))</f>
        <v/>
      </c>
      <c r="N224" s="19">
        <f>IF($A224="","",IF(COUNTIFS(請求記録!$B$6:$B$3005,$A224,請求記録!$Z$6:$Z$3005,N$5,請求記録!$AF$6:$AF$3005,"保留中")&gt;0,"保留",IF(COUNTIFS(請求記録!$B$6:$B$3005,$A224,請求記録!$Z$6:$Z$3005,N$5)=0,"",SUMIFS(請求記録!$AE$6:$AE$3005,請求記録!$B$6:$B$3005,$A224,請求記録!$Z$6:$Z$3005,N$5))))</f>
        <v/>
      </c>
      <c r="O224" s="19">
        <f>IF($A224="","",IF(COUNTIFS(請求記録!$B$6:$B$3005,$A224,請求記録!$Z$6:$Z$3005,O$5,請求記録!$AF$6:$AF$3005,"保留中")&gt;0,"保留",IF(COUNTIFS(請求記録!$B$6:$B$3005,$A224,請求記録!$Z$6:$Z$3005,O$5)=0,"",SUMIFS(請求記録!$AE$6:$AE$3005,請求記録!$B$6:$B$3005,$A224,請求記録!$Z$6:$Z$3005,O$5))))</f>
        <v/>
      </c>
      <c r="P224" s="19">
        <f>IF($A224="","",IF(COUNTIFS(請求記録!$B$6:$B$3005,$A224,請求記録!$Z$6:$Z$3005,P$5,請求記録!$AF$6:$AF$3005,"保留中")&gt;0,"保留",IF(COUNTIFS(請求記録!$B$6:$B$3005,$A224,請求記録!$Z$6:$Z$3005,P$5)=0,"",SUMIFS(請求記録!$AE$6:$AE$3005,請求記録!$B$6:$B$3005,$A224,請求記録!$Z$6:$Z$3005,P$5))))</f>
        <v/>
      </c>
      <c r="Q224" s="19">
        <f>IF($A224="","",IF(COUNTIFS(請求記録!$B$6:$B$3005,$A224,請求記録!$Z$6:$Z$3005,Q$5,請求記録!$AF$6:$AF$3005,"保留中")&gt;0,"保留",IF(COUNTIFS(請求記録!$B$6:$B$3005,$A224,請求記録!$Z$6:$Z$3005,Q$5)=0,"",SUMIFS(請求記録!$AE$6:$AE$3005,請求記録!$B$6:$B$3005,$A224,請求記録!$Z$6:$Z$3005,Q$5))))</f>
        <v/>
      </c>
      <c r="R224" s="19">
        <f>IF($A224="","",IF(COUNTIFS(請求記録!$B$6:$B$3005,$A224,請求記録!$Z$6:$Z$3005,R$5,請求記録!$AF$6:$AF$3005,"保留中")&gt;0,"保留",IF(COUNTIFS(請求記録!$B$6:$B$3005,$A224,請求記録!$Z$6:$Z$3005,R$5)=0,"",SUMIFS(請求記録!$AE$6:$AE$3005,請求記録!$B$6:$B$3005,$A224,請求記録!$Z$6:$Z$3005,R$5))))</f>
        <v/>
      </c>
      <c r="S224" s="19">
        <f>IF($A224="","",IF(COUNTIFS(請求記録!$B$6:$B$3005,$A224,請求記録!$Z$6:$Z$3005,S$5,請求記録!$AF$6:$AF$3005,"保留中")&gt;0,"保留",IF(COUNTIFS(請求記録!$B$6:$B$3005,$A224,請求記録!$Z$6:$Z$3005,S$5)=0,"",SUMIFS(請求記録!$AE$6:$AE$3005,請求記録!$B$6:$B$3005,$A224,請求記録!$Z$6:$Z$3005,S$5))))</f>
        <v/>
      </c>
      <c r="T224" s="19">
        <f>IF($A224="","",IF(COUNTIFS(請求記録!$B$6:$B$3005,$A224,請求記録!$Z$6:$Z$3005,T$5,請求記録!$AF$6:$AF$3005,"保留中")&gt;0,"保留",IF(COUNTIFS(請求記録!$B$6:$B$3005,$A224,請求記録!$Z$6:$Z$3005,T$5)=0,"",SUMIFS(請求記録!$AE$6:$AE$3005,請求記録!$B$6:$B$3005,$A224,請求記録!$Z$6:$Z$3005,T$5))))</f>
        <v/>
      </c>
      <c r="U224" s="19">
        <f>IF($A224="","",IF(COUNTIFS(請求記録!$B$6:$B$3005,$A224,請求記録!$Z$6:$Z$3005,U$5,請求記録!$AF$6:$AF$3005,"保留中")&gt;0,"保留",IF(COUNTIFS(請求記録!$B$6:$B$3005,$A224,請求記録!$Z$6:$Z$3005,U$5)=0,"",SUMIFS(請求記録!$AE$6:$AE$3005,請求記録!$B$6:$B$3005,$A224,請求記録!$Z$6:$Z$3005,U$5))))</f>
        <v/>
      </c>
      <c r="V224" s="19">
        <f>IF($A224="","",IF(COUNTIFS(請求記録!$B$6:$B$3005,$A224,請求記録!$Z$6:$Z$3005,V$5,請求記録!$AF$6:$AF$3005,"保留中")&gt;0,"保留",IF(COUNTIFS(請求記録!$B$6:$B$3005,$A224,請求記録!$Z$6:$Z$3005,V$5)=0,"",SUMIFS(請求記録!$AE$6:$AE$3005,請求記録!$B$6:$B$3005,$A224,請求記録!$Z$6:$Z$3005,V$5))))</f>
        <v/>
      </c>
      <c r="W224" s="19">
        <f>IF($A224="","",IF(COUNTIFS(請求記録!$B$6:$B$3005,$A224,請求記録!$Z$6:$Z$3005,W$5,請求記録!$AF$6:$AF$3005,"保留中")&gt;0,"保留",IF(COUNTIFS(請求記録!$B$6:$B$3005,$A224,請求記録!$Z$6:$Z$3005,W$5)=0,"",SUMIFS(請求記録!$AE$6:$AE$3005,請求記録!$B$6:$B$3005,$A224,請求記録!$Z$6:$Z$3005,W$5))))</f>
        <v/>
      </c>
      <c r="X224" s="19">
        <f>IF($A224="","",IF(COUNTIFS(請求記録!$B$6:$B$3005,$A224,請求記録!$Z$6:$Z$3005,X$5,請求記録!$AF$6:$AF$3005,"保留中")&gt;0,"保留",IF(COUNTIFS(請求記録!$B$6:$B$3005,$A224,請求記録!$Z$6:$Z$3005,X$5)=0,"",SUMIFS(請求記録!$AE$6:$AE$3005,請求記録!$B$6:$B$3005,$A224,請求記録!$Z$6:$Z$3005,X$5))))</f>
        <v/>
      </c>
      <c r="Y224" s="19">
        <f>IF($A224="","",IF(COUNTIFS(請求記録!$B$6:$B$3005,$A224,請求記録!$Z$6:$Z$3005,Y$5,請求記録!$AF$6:$AF$3005,"保留中")&gt;0,"保留",IF(COUNTIFS(請求記録!$B$6:$B$3005,$A224,請求記録!$Z$6:$Z$3005,Y$5)=0,"",SUMIFS(請求記録!$AE$6:$AE$3005,請求記録!$B$6:$B$3005,$A224,請求記録!$Z$6:$Z$3005,Y$5))))</f>
        <v/>
      </c>
      <c r="Z224" s="19">
        <f>IF($A224="","",IF(COUNTIFS(請求記録!$B$6:$B$3005,$A224,請求記録!$Z$6:$Z$3005,Z$5,請求記録!$AF$6:$AF$3005,"保留中")&gt;0,"保留",IF(COUNTIFS(請求記録!$B$6:$B$3005,$A224,請求記録!$Z$6:$Z$3005,Z$5)=0,"",SUMIFS(請求記録!$AE$6:$AE$3005,請求記録!$B$6:$B$3005,$A224,請求記録!$Z$6:$Z$3005,Z$5))))</f>
        <v/>
      </c>
      <c r="AA224" s="19">
        <f>IF($A224="","",IF(COUNTIFS(請求記録!$B$6:$B$3005,$A224,請求記録!$Z$6:$Z$3005,AA$5,請求記録!$AF$6:$AF$3005,"保留中")&gt;0,"保留",IF(COUNTIFS(請求記録!$B$6:$B$3005,$A224,請求記録!$Z$6:$Z$3005,AA$5)=0,"",SUMIFS(請求記録!$AE$6:$AE$3005,請求記録!$B$6:$B$3005,$A224,請求記録!$Z$6:$Z$3005,AA$5))))</f>
        <v/>
      </c>
      <c r="AB224">
        <f>IF(職員マスタ!P224="保留中",職員マスタ!M224,"")</f>
        <v/>
      </c>
    </row>
    <row r="225">
      <c r="A225">
        <f>IF(職員マスタ!A225="","",職員マスタ!A225)</f>
        <v/>
      </c>
      <c r="B225">
        <f>IF($A225="","",職員マスタ!B225)</f>
        <v/>
      </c>
      <c r="C225">
        <f>IF($A225="","",職員マスタ!C225)</f>
        <v/>
      </c>
      <c r="D225" s="19">
        <f>IF($A225="","",IF(COUNTIFS(請求記録!$B$6:$B$3005,$A225,請求記録!$Z$6:$Z$3005,D$5,請求記録!$AF$6:$AF$3005,"保留中")&gt;0,"保留",IF(COUNTIFS(請求記録!$B$6:$B$3005,$A225,請求記録!$Z$6:$Z$3005,D$5)=0,"",SUMIFS(請求記録!$AE$6:$AE$3005,請求記録!$B$6:$B$3005,$A225,請求記録!$Z$6:$Z$3005,D$5))))</f>
        <v/>
      </c>
      <c r="E225" s="19">
        <f>IF($A225="","",IF(COUNTIFS(請求記録!$B$6:$B$3005,$A225,請求記録!$Z$6:$Z$3005,E$5,請求記録!$AF$6:$AF$3005,"保留中")&gt;0,"保留",IF(COUNTIFS(請求記録!$B$6:$B$3005,$A225,請求記録!$Z$6:$Z$3005,E$5)=0,"",SUMIFS(請求記録!$AE$6:$AE$3005,請求記録!$B$6:$B$3005,$A225,請求記録!$Z$6:$Z$3005,E$5))))</f>
        <v/>
      </c>
      <c r="F225" s="19">
        <f>IF($A225="","",IF(COUNTIFS(請求記録!$B$6:$B$3005,$A225,請求記録!$Z$6:$Z$3005,F$5,請求記録!$AF$6:$AF$3005,"保留中")&gt;0,"保留",IF(COUNTIFS(請求記録!$B$6:$B$3005,$A225,請求記録!$Z$6:$Z$3005,F$5)=0,"",SUMIFS(請求記録!$AE$6:$AE$3005,請求記録!$B$6:$B$3005,$A225,請求記録!$Z$6:$Z$3005,F$5))))</f>
        <v/>
      </c>
      <c r="G225" s="19">
        <f>IF($A225="","",IF(COUNTIFS(請求記録!$B$6:$B$3005,$A225,請求記録!$Z$6:$Z$3005,G$5,請求記録!$AF$6:$AF$3005,"保留中")&gt;0,"保留",IF(COUNTIFS(請求記録!$B$6:$B$3005,$A225,請求記録!$Z$6:$Z$3005,G$5)=0,"",SUMIFS(請求記録!$AE$6:$AE$3005,請求記録!$B$6:$B$3005,$A225,請求記録!$Z$6:$Z$3005,G$5))))</f>
        <v/>
      </c>
      <c r="H225" s="19">
        <f>IF($A225="","",IF(COUNTIFS(請求記録!$B$6:$B$3005,$A225,請求記録!$Z$6:$Z$3005,H$5,請求記録!$AF$6:$AF$3005,"保留中")&gt;0,"保留",IF(COUNTIFS(請求記録!$B$6:$B$3005,$A225,請求記録!$Z$6:$Z$3005,H$5)=0,"",SUMIFS(請求記録!$AE$6:$AE$3005,請求記録!$B$6:$B$3005,$A225,請求記録!$Z$6:$Z$3005,H$5))))</f>
        <v/>
      </c>
      <c r="I225" s="19">
        <f>IF($A225="","",IF(COUNTIFS(請求記録!$B$6:$B$3005,$A225,請求記録!$Z$6:$Z$3005,I$5,請求記録!$AF$6:$AF$3005,"保留中")&gt;0,"保留",IF(COUNTIFS(請求記録!$B$6:$B$3005,$A225,請求記録!$Z$6:$Z$3005,I$5)=0,"",SUMIFS(請求記録!$AE$6:$AE$3005,請求記録!$B$6:$B$3005,$A225,請求記録!$Z$6:$Z$3005,I$5))))</f>
        <v/>
      </c>
      <c r="J225" s="19">
        <f>IF($A225="","",IF(COUNTIFS(請求記録!$B$6:$B$3005,$A225,請求記録!$Z$6:$Z$3005,J$5,請求記録!$AF$6:$AF$3005,"保留中")&gt;0,"保留",IF(COUNTIFS(請求記録!$B$6:$B$3005,$A225,請求記録!$Z$6:$Z$3005,J$5)=0,"",SUMIFS(請求記録!$AE$6:$AE$3005,請求記録!$B$6:$B$3005,$A225,請求記録!$Z$6:$Z$3005,J$5))))</f>
        <v/>
      </c>
      <c r="K225" s="19">
        <f>IF($A225="","",IF(COUNTIFS(請求記録!$B$6:$B$3005,$A225,請求記録!$Z$6:$Z$3005,K$5,請求記録!$AF$6:$AF$3005,"保留中")&gt;0,"保留",IF(COUNTIFS(請求記録!$B$6:$B$3005,$A225,請求記録!$Z$6:$Z$3005,K$5)=0,"",SUMIFS(請求記録!$AE$6:$AE$3005,請求記録!$B$6:$B$3005,$A225,請求記録!$Z$6:$Z$3005,K$5))))</f>
        <v/>
      </c>
      <c r="L225" s="19">
        <f>IF($A225="","",IF(COUNTIFS(請求記録!$B$6:$B$3005,$A225,請求記録!$Z$6:$Z$3005,L$5,請求記録!$AF$6:$AF$3005,"保留中")&gt;0,"保留",IF(COUNTIFS(請求記録!$B$6:$B$3005,$A225,請求記録!$Z$6:$Z$3005,L$5)=0,"",SUMIFS(請求記録!$AE$6:$AE$3005,請求記録!$B$6:$B$3005,$A225,請求記録!$Z$6:$Z$3005,L$5))))</f>
        <v/>
      </c>
      <c r="M225" s="19">
        <f>IF($A225="","",IF(COUNTIFS(請求記録!$B$6:$B$3005,$A225,請求記録!$Z$6:$Z$3005,M$5,請求記録!$AF$6:$AF$3005,"保留中")&gt;0,"保留",IF(COUNTIFS(請求記録!$B$6:$B$3005,$A225,請求記録!$Z$6:$Z$3005,M$5)=0,"",SUMIFS(請求記録!$AE$6:$AE$3005,請求記録!$B$6:$B$3005,$A225,請求記録!$Z$6:$Z$3005,M$5))))</f>
        <v/>
      </c>
      <c r="N225" s="19">
        <f>IF($A225="","",IF(COUNTIFS(請求記録!$B$6:$B$3005,$A225,請求記録!$Z$6:$Z$3005,N$5,請求記録!$AF$6:$AF$3005,"保留中")&gt;0,"保留",IF(COUNTIFS(請求記録!$B$6:$B$3005,$A225,請求記録!$Z$6:$Z$3005,N$5)=0,"",SUMIFS(請求記録!$AE$6:$AE$3005,請求記録!$B$6:$B$3005,$A225,請求記録!$Z$6:$Z$3005,N$5))))</f>
        <v/>
      </c>
      <c r="O225" s="19">
        <f>IF($A225="","",IF(COUNTIFS(請求記録!$B$6:$B$3005,$A225,請求記録!$Z$6:$Z$3005,O$5,請求記録!$AF$6:$AF$3005,"保留中")&gt;0,"保留",IF(COUNTIFS(請求記録!$B$6:$B$3005,$A225,請求記録!$Z$6:$Z$3005,O$5)=0,"",SUMIFS(請求記録!$AE$6:$AE$3005,請求記録!$B$6:$B$3005,$A225,請求記録!$Z$6:$Z$3005,O$5))))</f>
        <v/>
      </c>
      <c r="P225" s="19">
        <f>IF($A225="","",IF(COUNTIFS(請求記録!$B$6:$B$3005,$A225,請求記録!$Z$6:$Z$3005,P$5,請求記録!$AF$6:$AF$3005,"保留中")&gt;0,"保留",IF(COUNTIFS(請求記録!$B$6:$B$3005,$A225,請求記録!$Z$6:$Z$3005,P$5)=0,"",SUMIFS(請求記録!$AE$6:$AE$3005,請求記録!$B$6:$B$3005,$A225,請求記録!$Z$6:$Z$3005,P$5))))</f>
        <v/>
      </c>
      <c r="Q225" s="19">
        <f>IF($A225="","",IF(COUNTIFS(請求記録!$B$6:$B$3005,$A225,請求記録!$Z$6:$Z$3005,Q$5,請求記録!$AF$6:$AF$3005,"保留中")&gt;0,"保留",IF(COUNTIFS(請求記録!$B$6:$B$3005,$A225,請求記録!$Z$6:$Z$3005,Q$5)=0,"",SUMIFS(請求記録!$AE$6:$AE$3005,請求記録!$B$6:$B$3005,$A225,請求記録!$Z$6:$Z$3005,Q$5))))</f>
        <v/>
      </c>
      <c r="R225" s="19">
        <f>IF($A225="","",IF(COUNTIFS(請求記録!$B$6:$B$3005,$A225,請求記録!$Z$6:$Z$3005,R$5,請求記録!$AF$6:$AF$3005,"保留中")&gt;0,"保留",IF(COUNTIFS(請求記録!$B$6:$B$3005,$A225,請求記録!$Z$6:$Z$3005,R$5)=0,"",SUMIFS(請求記録!$AE$6:$AE$3005,請求記録!$B$6:$B$3005,$A225,請求記録!$Z$6:$Z$3005,R$5))))</f>
        <v/>
      </c>
      <c r="S225" s="19">
        <f>IF($A225="","",IF(COUNTIFS(請求記録!$B$6:$B$3005,$A225,請求記録!$Z$6:$Z$3005,S$5,請求記録!$AF$6:$AF$3005,"保留中")&gt;0,"保留",IF(COUNTIFS(請求記録!$B$6:$B$3005,$A225,請求記録!$Z$6:$Z$3005,S$5)=0,"",SUMIFS(請求記録!$AE$6:$AE$3005,請求記録!$B$6:$B$3005,$A225,請求記録!$Z$6:$Z$3005,S$5))))</f>
        <v/>
      </c>
      <c r="T225" s="19">
        <f>IF($A225="","",IF(COUNTIFS(請求記録!$B$6:$B$3005,$A225,請求記録!$Z$6:$Z$3005,T$5,請求記録!$AF$6:$AF$3005,"保留中")&gt;0,"保留",IF(COUNTIFS(請求記録!$B$6:$B$3005,$A225,請求記録!$Z$6:$Z$3005,T$5)=0,"",SUMIFS(請求記録!$AE$6:$AE$3005,請求記録!$B$6:$B$3005,$A225,請求記録!$Z$6:$Z$3005,T$5))))</f>
        <v/>
      </c>
      <c r="U225" s="19">
        <f>IF($A225="","",IF(COUNTIFS(請求記録!$B$6:$B$3005,$A225,請求記録!$Z$6:$Z$3005,U$5,請求記録!$AF$6:$AF$3005,"保留中")&gt;0,"保留",IF(COUNTIFS(請求記録!$B$6:$B$3005,$A225,請求記録!$Z$6:$Z$3005,U$5)=0,"",SUMIFS(請求記録!$AE$6:$AE$3005,請求記録!$B$6:$B$3005,$A225,請求記録!$Z$6:$Z$3005,U$5))))</f>
        <v/>
      </c>
      <c r="V225" s="19">
        <f>IF($A225="","",IF(COUNTIFS(請求記録!$B$6:$B$3005,$A225,請求記録!$Z$6:$Z$3005,V$5,請求記録!$AF$6:$AF$3005,"保留中")&gt;0,"保留",IF(COUNTIFS(請求記録!$B$6:$B$3005,$A225,請求記録!$Z$6:$Z$3005,V$5)=0,"",SUMIFS(請求記録!$AE$6:$AE$3005,請求記録!$B$6:$B$3005,$A225,請求記録!$Z$6:$Z$3005,V$5))))</f>
        <v/>
      </c>
      <c r="W225" s="19">
        <f>IF($A225="","",IF(COUNTIFS(請求記録!$B$6:$B$3005,$A225,請求記録!$Z$6:$Z$3005,W$5,請求記録!$AF$6:$AF$3005,"保留中")&gt;0,"保留",IF(COUNTIFS(請求記録!$B$6:$B$3005,$A225,請求記録!$Z$6:$Z$3005,W$5)=0,"",SUMIFS(請求記録!$AE$6:$AE$3005,請求記録!$B$6:$B$3005,$A225,請求記録!$Z$6:$Z$3005,W$5))))</f>
        <v/>
      </c>
      <c r="X225" s="19">
        <f>IF($A225="","",IF(COUNTIFS(請求記録!$B$6:$B$3005,$A225,請求記録!$Z$6:$Z$3005,X$5,請求記録!$AF$6:$AF$3005,"保留中")&gt;0,"保留",IF(COUNTIFS(請求記録!$B$6:$B$3005,$A225,請求記録!$Z$6:$Z$3005,X$5)=0,"",SUMIFS(請求記録!$AE$6:$AE$3005,請求記録!$B$6:$B$3005,$A225,請求記録!$Z$6:$Z$3005,X$5))))</f>
        <v/>
      </c>
      <c r="Y225" s="19">
        <f>IF($A225="","",IF(COUNTIFS(請求記録!$B$6:$B$3005,$A225,請求記録!$Z$6:$Z$3005,Y$5,請求記録!$AF$6:$AF$3005,"保留中")&gt;0,"保留",IF(COUNTIFS(請求記録!$B$6:$B$3005,$A225,請求記録!$Z$6:$Z$3005,Y$5)=0,"",SUMIFS(請求記録!$AE$6:$AE$3005,請求記録!$B$6:$B$3005,$A225,請求記録!$Z$6:$Z$3005,Y$5))))</f>
        <v/>
      </c>
      <c r="Z225" s="19">
        <f>IF($A225="","",IF(COUNTIFS(請求記録!$B$6:$B$3005,$A225,請求記録!$Z$6:$Z$3005,Z$5,請求記録!$AF$6:$AF$3005,"保留中")&gt;0,"保留",IF(COUNTIFS(請求記録!$B$6:$B$3005,$A225,請求記録!$Z$6:$Z$3005,Z$5)=0,"",SUMIFS(請求記録!$AE$6:$AE$3005,請求記録!$B$6:$B$3005,$A225,請求記録!$Z$6:$Z$3005,Z$5))))</f>
        <v/>
      </c>
      <c r="AA225" s="19">
        <f>IF($A225="","",IF(COUNTIFS(請求記録!$B$6:$B$3005,$A225,請求記録!$Z$6:$Z$3005,AA$5,請求記録!$AF$6:$AF$3005,"保留中")&gt;0,"保留",IF(COUNTIFS(請求記録!$B$6:$B$3005,$A225,請求記録!$Z$6:$Z$3005,AA$5)=0,"",SUMIFS(請求記録!$AE$6:$AE$3005,請求記録!$B$6:$B$3005,$A225,請求記録!$Z$6:$Z$3005,AA$5))))</f>
        <v/>
      </c>
      <c r="AB225">
        <f>IF(職員マスタ!P225="保留中",職員マスタ!M225,"")</f>
        <v/>
      </c>
    </row>
    <row r="226">
      <c r="A226">
        <f>IF(職員マスタ!A226="","",職員マスタ!A226)</f>
        <v/>
      </c>
      <c r="B226">
        <f>IF($A226="","",職員マスタ!B226)</f>
        <v/>
      </c>
      <c r="C226">
        <f>IF($A226="","",職員マスタ!C226)</f>
        <v/>
      </c>
      <c r="D226" s="19">
        <f>IF($A226="","",IF(COUNTIFS(請求記録!$B$6:$B$3005,$A226,請求記録!$Z$6:$Z$3005,D$5,請求記録!$AF$6:$AF$3005,"保留中")&gt;0,"保留",IF(COUNTIFS(請求記録!$B$6:$B$3005,$A226,請求記録!$Z$6:$Z$3005,D$5)=0,"",SUMIFS(請求記録!$AE$6:$AE$3005,請求記録!$B$6:$B$3005,$A226,請求記録!$Z$6:$Z$3005,D$5))))</f>
        <v/>
      </c>
      <c r="E226" s="19">
        <f>IF($A226="","",IF(COUNTIFS(請求記録!$B$6:$B$3005,$A226,請求記録!$Z$6:$Z$3005,E$5,請求記録!$AF$6:$AF$3005,"保留中")&gt;0,"保留",IF(COUNTIFS(請求記録!$B$6:$B$3005,$A226,請求記録!$Z$6:$Z$3005,E$5)=0,"",SUMIFS(請求記録!$AE$6:$AE$3005,請求記録!$B$6:$B$3005,$A226,請求記録!$Z$6:$Z$3005,E$5))))</f>
        <v/>
      </c>
      <c r="F226" s="19">
        <f>IF($A226="","",IF(COUNTIFS(請求記録!$B$6:$B$3005,$A226,請求記録!$Z$6:$Z$3005,F$5,請求記録!$AF$6:$AF$3005,"保留中")&gt;0,"保留",IF(COUNTIFS(請求記録!$B$6:$B$3005,$A226,請求記録!$Z$6:$Z$3005,F$5)=0,"",SUMIFS(請求記録!$AE$6:$AE$3005,請求記録!$B$6:$B$3005,$A226,請求記録!$Z$6:$Z$3005,F$5))))</f>
        <v/>
      </c>
      <c r="G226" s="19">
        <f>IF($A226="","",IF(COUNTIFS(請求記録!$B$6:$B$3005,$A226,請求記録!$Z$6:$Z$3005,G$5,請求記録!$AF$6:$AF$3005,"保留中")&gt;0,"保留",IF(COUNTIFS(請求記録!$B$6:$B$3005,$A226,請求記録!$Z$6:$Z$3005,G$5)=0,"",SUMIFS(請求記録!$AE$6:$AE$3005,請求記録!$B$6:$B$3005,$A226,請求記録!$Z$6:$Z$3005,G$5))))</f>
        <v/>
      </c>
      <c r="H226" s="19">
        <f>IF($A226="","",IF(COUNTIFS(請求記録!$B$6:$B$3005,$A226,請求記録!$Z$6:$Z$3005,H$5,請求記録!$AF$6:$AF$3005,"保留中")&gt;0,"保留",IF(COUNTIFS(請求記録!$B$6:$B$3005,$A226,請求記録!$Z$6:$Z$3005,H$5)=0,"",SUMIFS(請求記録!$AE$6:$AE$3005,請求記録!$B$6:$B$3005,$A226,請求記録!$Z$6:$Z$3005,H$5))))</f>
        <v/>
      </c>
      <c r="I226" s="19">
        <f>IF($A226="","",IF(COUNTIFS(請求記録!$B$6:$B$3005,$A226,請求記録!$Z$6:$Z$3005,I$5,請求記録!$AF$6:$AF$3005,"保留中")&gt;0,"保留",IF(COUNTIFS(請求記録!$B$6:$B$3005,$A226,請求記録!$Z$6:$Z$3005,I$5)=0,"",SUMIFS(請求記録!$AE$6:$AE$3005,請求記録!$B$6:$B$3005,$A226,請求記録!$Z$6:$Z$3005,I$5))))</f>
        <v/>
      </c>
      <c r="J226" s="19">
        <f>IF($A226="","",IF(COUNTIFS(請求記録!$B$6:$B$3005,$A226,請求記録!$Z$6:$Z$3005,J$5,請求記録!$AF$6:$AF$3005,"保留中")&gt;0,"保留",IF(COUNTIFS(請求記録!$B$6:$B$3005,$A226,請求記録!$Z$6:$Z$3005,J$5)=0,"",SUMIFS(請求記録!$AE$6:$AE$3005,請求記録!$B$6:$B$3005,$A226,請求記録!$Z$6:$Z$3005,J$5))))</f>
        <v/>
      </c>
      <c r="K226" s="19">
        <f>IF($A226="","",IF(COUNTIFS(請求記録!$B$6:$B$3005,$A226,請求記録!$Z$6:$Z$3005,K$5,請求記録!$AF$6:$AF$3005,"保留中")&gt;0,"保留",IF(COUNTIFS(請求記録!$B$6:$B$3005,$A226,請求記録!$Z$6:$Z$3005,K$5)=0,"",SUMIFS(請求記録!$AE$6:$AE$3005,請求記録!$B$6:$B$3005,$A226,請求記録!$Z$6:$Z$3005,K$5))))</f>
        <v/>
      </c>
      <c r="L226" s="19">
        <f>IF($A226="","",IF(COUNTIFS(請求記録!$B$6:$B$3005,$A226,請求記録!$Z$6:$Z$3005,L$5,請求記録!$AF$6:$AF$3005,"保留中")&gt;0,"保留",IF(COUNTIFS(請求記録!$B$6:$B$3005,$A226,請求記録!$Z$6:$Z$3005,L$5)=0,"",SUMIFS(請求記録!$AE$6:$AE$3005,請求記録!$B$6:$B$3005,$A226,請求記録!$Z$6:$Z$3005,L$5))))</f>
        <v/>
      </c>
      <c r="M226" s="19">
        <f>IF($A226="","",IF(COUNTIFS(請求記録!$B$6:$B$3005,$A226,請求記録!$Z$6:$Z$3005,M$5,請求記録!$AF$6:$AF$3005,"保留中")&gt;0,"保留",IF(COUNTIFS(請求記録!$B$6:$B$3005,$A226,請求記録!$Z$6:$Z$3005,M$5)=0,"",SUMIFS(請求記録!$AE$6:$AE$3005,請求記録!$B$6:$B$3005,$A226,請求記録!$Z$6:$Z$3005,M$5))))</f>
        <v/>
      </c>
      <c r="N226" s="19">
        <f>IF($A226="","",IF(COUNTIFS(請求記録!$B$6:$B$3005,$A226,請求記録!$Z$6:$Z$3005,N$5,請求記録!$AF$6:$AF$3005,"保留中")&gt;0,"保留",IF(COUNTIFS(請求記録!$B$6:$B$3005,$A226,請求記録!$Z$6:$Z$3005,N$5)=0,"",SUMIFS(請求記録!$AE$6:$AE$3005,請求記録!$B$6:$B$3005,$A226,請求記録!$Z$6:$Z$3005,N$5))))</f>
        <v/>
      </c>
      <c r="O226" s="19">
        <f>IF($A226="","",IF(COUNTIFS(請求記録!$B$6:$B$3005,$A226,請求記録!$Z$6:$Z$3005,O$5,請求記録!$AF$6:$AF$3005,"保留中")&gt;0,"保留",IF(COUNTIFS(請求記録!$B$6:$B$3005,$A226,請求記録!$Z$6:$Z$3005,O$5)=0,"",SUMIFS(請求記録!$AE$6:$AE$3005,請求記録!$B$6:$B$3005,$A226,請求記録!$Z$6:$Z$3005,O$5))))</f>
        <v/>
      </c>
      <c r="P226" s="19">
        <f>IF($A226="","",IF(COUNTIFS(請求記録!$B$6:$B$3005,$A226,請求記録!$Z$6:$Z$3005,P$5,請求記録!$AF$6:$AF$3005,"保留中")&gt;0,"保留",IF(COUNTIFS(請求記録!$B$6:$B$3005,$A226,請求記録!$Z$6:$Z$3005,P$5)=0,"",SUMIFS(請求記録!$AE$6:$AE$3005,請求記録!$B$6:$B$3005,$A226,請求記録!$Z$6:$Z$3005,P$5))))</f>
        <v/>
      </c>
      <c r="Q226" s="19">
        <f>IF($A226="","",IF(COUNTIFS(請求記録!$B$6:$B$3005,$A226,請求記録!$Z$6:$Z$3005,Q$5,請求記録!$AF$6:$AF$3005,"保留中")&gt;0,"保留",IF(COUNTIFS(請求記録!$B$6:$B$3005,$A226,請求記録!$Z$6:$Z$3005,Q$5)=0,"",SUMIFS(請求記録!$AE$6:$AE$3005,請求記録!$B$6:$B$3005,$A226,請求記録!$Z$6:$Z$3005,Q$5))))</f>
        <v/>
      </c>
      <c r="R226" s="19">
        <f>IF($A226="","",IF(COUNTIFS(請求記録!$B$6:$B$3005,$A226,請求記録!$Z$6:$Z$3005,R$5,請求記録!$AF$6:$AF$3005,"保留中")&gt;0,"保留",IF(COUNTIFS(請求記録!$B$6:$B$3005,$A226,請求記録!$Z$6:$Z$3005,R$5)=0,"",SUMIFS(請求記録!$AE$6:$AE$3005,請求記録!$B$6:$B$3005,$A226,請求記録!$Z$6:$Z$3005,R$5))))</f>
        <v/>
      </c>
      <c r="S226" s="19">
        <f>IF($A226="","",IF(COUNTIFS(請求記録!$B$6:$B$3005,$A226,請求記録!$Z$6:$Z$3005,S$5,請求記録!$AF$6:$AF$3005,"保留中")&gt;0,"保留",IF(COUNTIFS(請求記録!$B$6:$B$3005,$A226,請求記録!$Z$6:$Z$3005,S$5)=0,"",SUMIFS(請求記録!$AE$6:$AE$3005,請求記録!$B$6:$B$3005,$A226,請求記録!$Z$6:$Z$3005,S$5))))</f>
        <v/>
      </c>
      <c r="T226" s="19">
        <f>IF($A226="","",IF(COUNTIFS(請求記録!$B$6:$B$3005,$A226,請求記録!$Z$6:$Z$3005,T$5,請求記録!$AF$6:$AF$3005,"保留中")&gt;0,"保留",IF(COUNTIFS(請求記録!$B$6:$B$3005,$A226,請求記録!$Z$6:$Z$3005,T$5)=0,"",SUMIFS(請求記録!$AE$6:$AE$3005,請求記録!$B$6:$B$3005,$A226,請求記録!$Z$6:$Z$3005,T$5))))</f>
        <v/>
      </c>
      <c r="U226" s="19">
        <f>IF($A226="","",IF(COUNTIFS(請求記録!$B$6:$B$3005,$A226,請求記録!$Z$6:$Z$3005,U$5,請求記録!$AF$6:$AF$3005,"保留中")&gt;0,"保留",IF(COUNTIFS(請求記録!$B$6:$B$3005,$A226,請求記録!$Z$6:$Z$3005,U$5)=0,"",SUMIFS(請求記録!$AE$6:$AE$3005,請求記録!$B$6:$B$3005,$A226,請求記録!$Z$6:$Z$3005,U$5))))</f>
        <v/>
      </c>
      <c r="V226" s="19">
        <f>IF($A226="","",IF(COUNTIFS(請求記録!$B$6:$B$3005,$A226,請求記録!$Z$6:$Z$3005,V$5,請求記録!$AF$6:$AF$3005,"保留中")&gt;0,"保留",IF(COUNTIFS(請求記録!$B$6:$B$3005,$A226,請求記録!$Z$6:$Z$3005,V$5)=0,"",SUMIFS(請求記録!$AE$6:$AE$3005,請求記録!$B$6:$B$3005,$A226,請求記録!$Z$6:$Z$3005,V$5))))</f>
        <v/>
      </c>
      <c r="W226" s="19">
        <f>IF($A226="","",IF(COUNTIFS(請求記録!$B$6:$B$3005,$A226,請求記録!$Z$6:$Z$3005,W$5,請求記録!$AF$6:$AF$3005,"保留中")&gt;0,"保留",IF(COUNTIFS(請求記録!$B$6:$B$3005,$A226,請求記録!$Z$6:$Z$3005,W$5)=0,"",SUMIFS(請求記録!$AE$6:$AE$3005,請求記録!$B$6:$B$3005,$A226,請求記録!$Z$6:$Z$3005,W$5))))</f>
        <v/>
      </c>
      <c r="X226" s="19">
        <f>IF($A226="","",IF(COUNTIFS(請求記録!$B$6:$B$3005,$A226,請求記録!$Z$6:$Z$3005,X$5,請求記録!$AF$6:$AF$3005,"保留中")&gt;0,"保留",IF(COUNTIFS(請求記録!$B$6:$B$3005,$A226,請求記録!$Z$6:$Z$3005,X$5)=0,"",SUMIFS(請求記録!$AE$6:$AE$3005,請求記録!$B$6:$B$3005,$A226,請求記録!$Z$6:$Z$3005,X$5))))</f>
        <v/>
      </c>
      <c r="Y226" s="19">
        <f>IF($A226="","",IF(COUNTIFS(請求記録!$B$6:$B$3005,$A226,請求記録!$Z$6:$Z$3005,Y$5,請求記録!$AF$6:$AF$3005,"保留中")&gt;0,"保留",IF(COUNTIFS(請求記録!$B$6:$B$3005,$A226,請求記録!$Z$6:$Z$3005,Y$5)=0,"",SUMIFS(請求記録!$AE$6:$AE$3005,請求記録!$B$6:$B$3005,$A226,請求記録!$Z$6:$Z$3005,Y$5))))</f>
        <v/>
      </c>
      <c r="Z226" s="19">
        <f>IF($A226="","",IF(COUNTIFS(請求記録!$B$6:$B$3005,$A226,請求記録!$Z$6:$Z$3005,Z$5,請求記録!$AF$6:$AF$3005,"保留中")&gt;0,"保留",IF(COUNTIFS(請求記録!$B$6:$B$3005,$A226,請求記録!$Z$6:$Z$3005,Z$5)=0,"",SUMIFS(請求記録!$AE$6:$AE$3005,請求記録!$B$6:$B$3005,$A226,請求記録!$Z$6:$Z$3005,Z$5))))</f>
        <v/>
      </c>
      <c r="AA226" s="19">
        <f>IF($A226="","",IF(COUNTIFS(請求記録!$B$6:$B$3005,$A226,請求記録!$Z$6:$Z$3005,AA$5,請求記録!$AF$6:$AF$3005,"保留中")&gt;0,"保留",IF(COUNTIFS(請求記録!$B$6:$B$3005,$A226,請求記録!$Z$6:$Z$3005,AA$5)=0,"",SUMIFS(請求記録!$AE$6:$AE$3005,請求記録!$B$6:$B$3005,$A226,請求記録!$Z$6:$Z$3005,AA$5))))</f>
        <v/>
      </c>
      <c r="AB226">
        <f>IF(職員マスタ!P226="保留中",職員マスタ!M226,"")</f>
        <v/>
      </c>
    </row>
    <row r="227">
      <c r="A227">
        <f>IF(職員マスタ!A227="","",職員マスタ!A227)</f>
        <v/>
      </c>
      <c r="B227">
        <f>IF($A227="","",職員マスタ!B227)</f>
        <v/>
      </c>
      <c r="C227">
        <f>IF($A227="","",職員マスタ!C227)</f>
        <v/>
      </c>
      <c r="D227" s="19">
        <f>IF($A227="","",IF(COUNTIFS(請求記録!$B$6:$B$3005,$A227,請求記録!$Z$6:$Z$3005,D$5,請求記録!$AF$6:$AF$3005,"保留中")&gt;0,"保留",IF(COUNTIFS(請求記録!$B$6:$B$3005,$A227,請求記録!$Z$6:$Z$3005,D$5)=0,"",SUMIFS(請求記録!$AE$6:$AE$3005,請求記録!$B$6:$B$3005,$A227,請求記録!$Z$6:$Z$3005,D$5))))</f>
        <v/>
      </c>
      <c r="E227" s="19">
        <f>IF($A227="","",IF(COUNTIFS(請求記録!$B$6:$B$3005,$A227,請求記録!$Z$6:$Z$3005,E$5,請求記録!$AF$6:$AF$3005,"保留中")&gt;0,"保留",IF(COUNTIFS(請求記録!$B$6:$B$3005,$A227,請求記録!$Z$6:$Z$3005,E$5)=0,"",SUMIFS(請求記録!$AE$6:$AE$3005,請求記録!$B$6:$B$3005,$A227,請求記録!$Z$6:$Z$3005,E$5))))</f>
        <v/>
      </c>
      <c r="F227" s="19">
        <f>IF($A227="","",IF(COUNTIFS(請求記録!$B$6:$B$3005,$A227,請求記録!$Z$6:$Z$3005,F$5,請求記録!$AF$6:$AF$3005,"保留中")&gt;0,"保留",IF(COUNTIFS(請求記録!$B$6:$B$3005,$A227,請求記録!$Z$6:$Z$3005,F$5)=0,"",SUMIFS(請求記録!$AE$6:$AE$3005,請求記録!$B$6:$B$3005,$A227,請求記録!$Z$6:$Z$3005,F$5))))</f>
        <v/>
      </c>
      <c r="G227" s="19">
        <f>IF($A227="","",IF(COUNTIFS(請求記録!$B$6:$B$3005,$A227,請求記録!$Z$6:$Z$3005,G$5,請求記録!$AF$6:$AF$3005,"保留中")&gt;0,"保留",IF(COUNTIFS(請求記録!$B$6:$B$3005,$A227,請求記録!$Z$6:$Z$3005,G$5)=0,"",SUMIFS(請求記録!$AE$6:$AE$3005,請求記録!$B$6:$B$3005,$A227,請求記録!$Z$6:$Z$3005,G$5))))</f>
        <v/>
      </c>
      <c r="H227" s="19">
        <f>IF($A227="","",IF(COUNTIFS(請求記録!$B$6:$B$3005,$A227,請求記録!$Z$6:$Z$3005,H$5,請求記録!$AF$6:$AF$3005,"保留中")&gt;0,"保留",IF(COUNTIFS(請求記録!$B$6:$B$3005,$A227,請求記録!$Z$6:$Z$3005,H$5)=0,"",SUMIFS(請求記録!$AE$6:$AE$3005,請求記録!$B$6:$B$3005,$A227,請求記録!$Z$6:$Z$3005,H$5))))</f>
        <v/>
      </c>
      <c r="I227" s="19">
        <f>IF($A227="","",IF(COUNTIFS(請求記録!$B$6:$B$3005,$A227,請求記録!$Z$6:$Z$3005,I$5,請求記録!$AF$6:$AF$3005,"保留中")&gt;0,"保留",IF(COUNTIFS(請求記録!$B$6:$B$3005,$A227,請求記録!$Z$6:$Z$3005,I$5)=0,"",SUMIFS(請求記録!$AE$6:$AE$3005,請求記録!$B$6:$B$3005,$A227,請求記録!$Z$6:$Z$3005,I$5))))</f>
        <v/>
      </c>
      <c r="J227" s="19">
        <f>IF($A227="","",IF(COUNTIFS(請求記録!$B$6:$B$3005,$A227,請求記録!$Z$6:$Z$3005,J$5,請求記録!$AF$6:$AF$3005,"保留中")&gt;0,"保留",IF(COUNTIFS(請求記録!$B$6:$B$3005,$A227,請求記録!$Z$6:$Z$3005,J$5)=0,"",SUMIFS(請求記録!$AE$6:$AE$3005,請求記録!$B$6:$B$3005,$A227,請求記録!$Z$6:$Z$3005,J$5))))</f>
        <v/>
      </c>
      <c r="K227" s="19">
        <f>IF($A227="","",IF(COUNTIFS(請求記録!$B$6:$B$3005,$A227,請求記録!$Z$6:$Z$3005,K$5,請求記録!$AF$6:$AF$3005,"保留中")&gt;0,"保留",IF(COUNTIFS(請求記録!$B$6:$B$3005,$A227,請求記録!$Z$6:$Z$3005,K$5)=0,"",SUMIFS(請求記録!$AE$6:$AE$3005,請求記録!$B$6:$B$3005,$A227,請求記録!$Z$6:$Z$3005,K$5))))</f>
        <v/>
      </c>
      <c r="L227" s="19">
        <f>IF($A227="","",IF(COUNTIFS(請求記録!$B$6:$B$3005,$A227,請求記録!$Z$6:$Z$3005,L$5,請求記録!$AF$6:$AF$3005,"保留中")&gt;0,"保留",IF(COUNTIFS(請求記録!$B$6:$B$3005,$A227,請求記録!$Z$6:$Z$3005,L$5)=0,"",SUMIFS(請求記録!$AE$6:$AE$3005,請求記録!$B$6:$B$3005,$A227,請求記録!$Z$6:$Z$3005,L$5))))</f>
        <v/>
      </c>
      <c r="M227" s="19">
        <f>IF($A227="","",IF(COUNTIFS(請求記録!$B$6:$B$3005,$A227,請求記録!$Z$6:$Z$3005,M$5,請求記録!$AF$6:$AF$3005,"保留中")&gt;0,"保留",IF(COUNTIFS(請求記録!$B$6:$B$3005,$A227,請求記録!$Z$6:$Z$3005,M$5)=0,"",SUMIFS(請求記録!$AE$6:$AE$3005,請求記録!$B$6:$B$3005,$A227,請求記録!$Z$6:$Z$3005,M$5))))</f>
        <v/>
      </c>
      <c r="N227" s="19">
        <f>IF($A227="","",IF(COUNTIFS(請求記録!$B$6:$B$3005,$A227,請求記録!$Z$6:$Z$3005,N$5,請求記録!$AF$6:$AF$3005,"保留中")&gt;0,"保留",IF(COUNTIFS(請求記録!$B$6:$B$3005,$A227,請求記録!$Z$6:$Z$3005,N$5)=0,"",SUMIFS(請求記録!$AE$6:$AE$3005,請求記録!$B$6:$B$3005,$A227,請求記録!$Z$6:$Z$3005,N$5))))</f>
        <v/>
      </c>
      <c r="O227" s="19">
        <f>IF($A227="","",IF(COUNTIFS(請求記録!$B$6:$B$3005,$A227,請求記録!$Z$6:$Z$3005,O$5,請求記録!$AF$6:$AF$3005,"保留中")&gt;0,"保留",IF(COUNTIFS(請求記録!$B$6:$B$3005,$A227,請求記録!$Z$6:$Z$3005,O$5)=0,"",SUMIFS(請求記録!$AE$6:$AE$3005,請求記録!$B$6:$B$3005,$A227,請求記録!$Z$6:$Z$3005,O$5))))</f>
        <v/>
      </c>
      <c r="P227" s="19">
        <f>IF($A227="","",IF(COUNTIFS(請求記録!$B$6:$B$3005,$A227,請求記録!$Z$6:$Z$3005,P$5,請求記録!$AF$6:$AF$3005,"保留中")&gt;0,"保留",IF(COUNTIFS(請求記録!$B$6:$B$3005,$A227,請求記録!$Z$6:$Z$3005,P$5)=0,"",SUMIFS(請求記録!$AE$6:$AE$3005,請求記録!$B$6:$B$3005,$A227,請求記録!$Z$6:$Z$3005,P$5))))</f>
        <v/>
      </c>
      <c r="Q227" s="19">
        <f>IF($A227="","",IF(COUNTIFS(請求記録!$B$6:$B$3005,$A227,請求記録!$Z$6:$Z$3005,Q$5,請求記録!$AF$6:$AF$3005,"保留中")&gt;0,"保留",IF(COUNTIFS(請求記録!$B$6:$B$3005,$A227,請求記録!$Z$6:$Z$3005,Q$5)=0,"",SUMIFS(請求記録!$AE$6:$AE$3005,請求記録!$B$6:$B$3005,$A227,請求記録!$Z$6:$Z$3005,Q$5))))</f>
        <v/>
      </c>
      <c r="R227" s="19">
        <f>IF($A227="","",IF(COUNTIFS(請求記録!$B$6:$B$3005,$A227,請求記録!$Z$6:$Z$3005,R$5,請求記録!$AF$6:$AF$3005,"保留中")&gt;0,"保留",IF(COUNTIFS(請求記録!$B$6:$B$3005,$A227,請求記録!$Z$6:$Z$3005,R$5)=0,"",SUMIFS(請求記録!$AE$6:$AE$3005,請求記録!$B$6:$B$3005,$A227,請求記録!$Z$6:$Z$3005,R$5))))</f>
        <v/>
      </c>
      <c r="S227" s="19">
        <f>IF($A227="","",IF(COUNTIFS(請求記録!$B$6:$B$3005,$A227,請求記録!$Z$6:$Z$3005,S$5,請求記録!$AF$6:$AF$3005,"保留中")&gt;0,"保留",IF(COUNTIFS(請求記録!$B$6:$B$3005,$A227,請求記録!$Z$6:$Z$3005,S$5)=0,"",SUMIFS(請求記録!$AE$6:$AE$3005,請求記録!$B$6:$B$3005,$A227,請求記録!$Z$6:$Z$3005,S$5))))</f>
        <v/>
      </c>
      <c r="T227" s="19">
        <f>IF($A227="","",IF(COUNTIFS(請求記録!$B$6:$B$3005,$A227,請求記録!$Z$6:$Z$3005,T$5,請求記録!$AF$6:$AF$3005,"保留中")&gt;0,"保留",IF(COUNTIFS(請求記録!$B$6:$B$3005,$A227,請求記録!$Z$6:$Z$3005,T$5)=0,"",SUMIFS(請求記録!$AE$6:$AE$3005,請求記録!$B$6:$B$3005,$A227,請求記録!$Z$6:$Z$3005,T$5))))</f>
        <v/>
      </c>
      <c r="U227" s="19">
        <f>IF($A227="","",IF(COUNTIFS(請求記録!$B$6:$B$3005,$A227,請求記録!$Z$6:$Z$3005,U$5,請求記録!$AF$6:$AF$3005,"保留中")&gt;0,"保留",IF(COUNTIFS(請求記録!$B$6:$B$3005,$A227,請求記録!$Z$6:$Z$3005,U$5)=0,"",SUMIFS(請求記録!$AE$6:$AE$3005,請求記録!$B$6:$B$3005,$A227,請求記録!$Z$6:$Z$3005,U$5))))</f>
        <v/>
      </c>
      <c r="V227" s="19">
        <f>IF($A227="","",IF(COUNTIFS(請求記録!$B$6:$B$3005,$A227,請求記録!$Z$6:$Z$3005,V$5,請求記録!$AF$6:$AF$3005,"保留中")&gt;0,"保留",IF(COUNTIFS(請求記録!$B$6:$B$3005,$A227,請求記録!$Z$6:$Z$3005,V$5)=0,"",SUMIFS(請求記録!$AE$6:$AE$3005,請求記録!$B$6:$B$3005,$A227,請求記録!$Z$6:$Z$3005,V$5))))</f>
        <v/>
      </c>
      <c r="W227" s="19">
        <f>IF($A227="","",IF(COUNTIFS(請求記録!$B$6:$B$3005,$A227,請求記録!$Z$6:$Z$3005,W$5,請求記録!$AF$6:$AF$3005,"保留中")&gt;0,"保留",IF(COUNTIFS(請求記録!$B$6:$B$3005,$A227,請求記録!$Z$6:$Z$3005,W$5)=0,"",SUMIFS(請求記録!$AE$6:$AE$3005,請求記録!$B$6:$B$3005,$A227,請求記録!$Z$6:$Z$3005,W$5))))</f>
        <v/>
      </c>
      <c r="X227" s="19">
        <f>IF($A227="","",IF(COUNTIFS(請求記録!$B$6:$B$3005,$A227,請求記録!$Z$6:$Z$3005,X$5,請求記録!$AF$6:$AF$3005,"保留中")&gt;0,"保留",IF(COUNTIFS(請求記録!$B$6:$B$3005,$A227,請求記録!$Z$6:$Z$3005,X$5)=0,"",SUMIFS(請求記録!$AE$6:$AE$3005,請求記録!$B$6:$B$3005,$A227,請求記録!$Z$6:$Z$3005,X$5))))</f>
        <v/>
      </c>
      <c r="Y227" s="19">
        <f>IF($A227="","",IF(COUNTIFS(請求記録!$B$6:$B$3005,$A227,請求記録!$Z$6:$Z$3005,Y$5,請求記録!$AF$6:$AF$3005,"保留中")&gt;0,"保留",IF(COUNTIFS(請求記録!$B$6:$B$3005,$A227,請求記録!$Z$6:$Z$3005,Y$5)=0,"",SUMIFS(請求記録!$AE$6:$AE$3005,請求記録!$B$6:$B$3005,$A227,請求記録!$Z$6:$Z$3005,Y$5))))</f>
        <v/>
      </c>
      <c r="Z227" s="19">
        <f>IF($A227="","",IF(COUNTIFS(請求記録!$B$6:$B$3005,$A227,請求記録!$Z$6:$Z$3005,Z$5,請求記録!$AF$6:$AF$3005,"保留中")&gt;0,"保留",IF(COUNTIFS(請求記録!$B$6:$B$3005,$A227,請求記録!$Z$6:$Z$3005,Z$5)=0,"",SUMIFS(請求記録!$AE$6:$AE$3005,請求記録!$B$6:$B$3005,$A227,請求記録!$Z$6:$Z$3005,Z$5))))</f>
        <v/>
      </c>
      <c r="AA227" s="19">
        <f>IF($A227="","",IF(COUNTIFS(請求記録!$B$6:$B$3005,$A227,請求記録!$Z$6:$Z$3005,AA$5,請求記録!$AF$6:$AF$3005,"保留中")&gt;0,"保留",IF(COUNTIFS(請求記録!$B$6:$B$3005,$A227,請求記録!$Z$6:$Z$3005,AA$5)=0,"",SUMIFS(請求記録!$AE$6:$AE$3005,請求記録!$B$6:$B$3005,$A227,請求記録!$Z$6:$Z$3005,AA$5))))</f>
        <v/>
      </c>
      <c r="AB227">
        <f>IF(職員マスタ!P227="保留中",職員マスタ!M227,"")</f>
        <v/>
      </c>
    </row>
    <row r="228">
      <c r="A228">
        <f>IF(職員マスタ!A228="","",職員マスタ!A228)</f>
        <v/>
      </c>
      <c r="B228">
        <f>IF($A228="","",職員マスタ!B228)</f>
        <v/>
      </c>
      <c r="C228">
        <f>IF($A228="","",職員マスタ!C228)</f>
        <v/>
      </c>
      <c r="D228" s="19">
        <f>IF($A228="","",IF(COUNTIFS(請求記録!$B$6:$B$3005,$A228,請求記録!$Z$6:$Z$3005,D$5,請求記録!$AF$6:$AF$3005,"保留中")&gt;0,"保留",IF(COUNTIFS(請求記録!$B$6:$B$3005,$A228,請求記録!$Z$6:$Z$3005,D$5)=0,"",SUMIFS(請求記録!$AE$6:$AE$3005,請求記録!$B$6:$B$3005,$A228,請求記録!$Z$6:$Z$3005,D$5))))</f>
        <v/>
      </c>
      <c r="E228" s="19">
        <f>IF($A228="","",IF(COUNTIFS(請求記録!$B$6:$B$3005,$A228,請求記録!$Z$6:$Z$3005,E$5,請求記録!$AF$6:$AF$3005,"保留中")&gt;0,"保留",IF(COUNTIFS(請求記録!$B$6:$B$3005,$A228,請求記録!$Z$6:$Z$3005,E$5)=0,"",SUMIFS(請求記録!$AE$6:$AE$3005,請求記録!$B$6:$B$3005,$A228,請求記録!$Z$6:$Z$3005,E$5))))</f>
        <v/>
      </c>
      <c r="F228" s="19">
        <f>IF($A228="","",IF(COUNTIFS(請求記録!$B$6:$B$3005,$A228,請求記録!$Z$6:$Z$3005,F$5,請求記録!$AF$6:$AF$3005,"保留中")&gt;0,"保留",IF(COUNTIFS(請求記録!$B$6:$B$3005,$A228,請求記録!$Z$6:$Z$3005,F$5)=0,"",SUMIFS(請求記録!$AE$6:$AE$3005,請求記録!$B$6:$B$3005,$A228,請求記録!$Z$6:$Z$3005,F$5))))</f>
        <v/>
      </c>
      <c r="G228" s="19">
        <f>IF($A228="","",IF(COUNTIFS(請求記録!$B$6:$B$3005,$A228,請求記録!$Z$6:$Z$3005,G$5,請求記録!$AF$6:$AF$3005,"保留中")&gt;0,"保留",IF(COUNTIFS(請求記録!$B$6:$B$3005,$A228,請求記録!$Z$6:$Z$3005,G$5)=0,"",SUMIFS(請求記録!$AE$6:$AE$3005,請求記録!$B$6:$B$3005,$A228,請求記録!$Z$6:$Z$3005,G$5))))</f>
        <v/>
      </c>
      <c r="H228" s="19">
        <f>IF($A228="","",IF(COUNTIFS(請求記録!$B$6:$B$3005,$A228,請求記録!$Z$6:$Z$3005,H$5,請求記録!$AF$6:$AF$3005,"保留中")&gt;0,"保留",IF(COUNTIFS(請求記録!$B$6:$B$3005,$A228,請求記録!$Z$6:$Z$3005,H$5)=0,"",SUMIFS(請求記録!$AE$6:$AE$3005,請求記録!$B$6:$B$3005,$A228,請求記録!$Z$6:$Z$3005,H$5))))</f>
        <v/>
      </c>
      <c r="I228" s="19">
        <f>IF($A228="","",IF(COUNTIFS(請求記録!$B$6:$B$3005,$A228,請求記録!$Z$6:$Z$3005,I$5,請求記録!$AF$6:$AF$3005,"保留中")&gt;0,"保留",IF(COUNTIFS(請求記録!$B$6:$B$3005,$A228,請求記録!$Z$6:$Z$3005,I$5)=0,"",SUMIFS(請求記録!$AE$6:$AE$3005,請求記録!$B$6:$B$3005,$A228,請求記録!$Z$6:$Z$3005,I$5))))</f>
        <v/>
      </c>
      <c r="J228" s="19">
        <f>IF($A228="","",IF(COUNTIFS(請求記録!$B$6:$B$3005,$A228,請求記録!$Z$6:$Z$3005,J$5,請求記録!$AF$6:$AF$3005,"保留中")&gt;0,"保留",IF(COUNTIFS(請求記録!$B$6:$B$3005,$A228,請求記録!$Z$6:$Z$3005,J$5)=0,"",SUMIFS(請求記録!$AE$6:$AE$3005,請求記録!$B$6:$B$3005,$A228,請求記録!$Z$6:$Z$3005,J$5))))</f>
        <v/>
      </c>
      <c r="K228" s="19">
        <f>IF($A228="","",IF(COUNTIFS(請求記録!$B$6:$B$3005,$A228,請求記録!$Z$6:$Z$3005,K$5,請求記録!$AF$6:$AF$3005,"保留中")&gt;0,"保留",IF(COUNTIFS(請求記録!$B$6:$B$3005,$A228,請求記録!$Z$6:$Z$3005,K$5)=0,"",SUMIFS(請求記録!$AE$6:$AE$3005,請求記録!$B$6:$B$3005,$A228,請求記録!$Z$6:$Z$3005,K$5))))</f>
        <v/>
      </c>
      <c r="L228" s="19">
        <f>IF($A228="","",IF(COUNTIFS(請求記録!$B$6:$B$3005,$A228,請求記録!$Z$6:$Z$3005,L$5,請求記録!$AF$6:$AF$3005,"保留中")&gt;0,"保留",IF(COUNTIFS(請求記録!$B$6:$B$3005,$A228,請求記録!$Z$6:$Z$3005,L$5)=0,"",SUMIFS(請求記録!$AE$6:$AE$3005,請求記録!$B$6:$B$3005,$A228,請求記録!$Z$6:$Z$3005,L$5))))</f>
        <v/>
      </c>
      <c r="M228" s="19">
        <f>IF($A228="","",IF(COUNTIFS(請求記録!$B$6:$B$3005,$A228,請求記録!$Z$6:$Z$3005,M$5,請求記録!$AF$6:$AF$3005,"保留中")&gt;0,"保留",IF(COUNTIFS(請求記録!$B$6:$B$3005,$A228,請求記録!$Z$6:$Z$3005,M$5)=0,"",SUMIFS(請求記録!$AE$6:$AE$3005,請求記録!$B$6:$B$3005,$A228,請求記録!$Z$6:$Z$3005,M$5))))</f>
        <v/>
      </c>
      <c r="N228" s="19">
        <f>IF($A228="","",IF(COUNTIFS(請求記録!$B$6:$B$3005,$A228,請求記録!$Z$6:$Z$3005,N$5,請求記録!$AF$6:$AF$3005,"保留中")&gt;0,"保留",IF(COUNTIFS(請求記録!$B$6:$B$3005,$A228,請求記録!$Z$6:$Z$3005,N$5)=0,"",SUMIFS(請求記録!$AE$6:$AE$3005,請求記録!$B$6:$B$3005,$A228,請求記録!$Z$6:$Z$3005,N$5))))</f>
        <v/>
      </c>
      <c r="O228" s="19">
        <f>IF($A228="","",IF(COUNTIFS(請求記録!$B$6:$B$3005,$A228,請求記録!$Z$6:$Z$3005,O$5,請求記録!$AF$6:$AF$3005,"保留中")&gt;0,"保留",IF(COUNTIFS(請求記録!$B$6:$B$3005,$A228,請求記録!$Z$6:$Z$3005,O$5)=0,"",SUMIFS(請求記録!$AE$6:$AE$3005,請求記録!$B$6:$B$3005,$A228,請求記録!$Z$6:$Z$3005,O$5))))</f>
        <v/>
      </c>
      <c r="P228" s="19">
        <f>IF($A228="","",IF(COUNTIFS(請求記録!$B$6:$B$3005,$A228,請求記録!$Z$6:$Z$3005,P$5,請求記録!$AF$6:$AF$3005,"保留中")&gt;0,"保留",IF(COUNTIFS(請求記録!$B$6:$B$3005,$A228,請求記録!$Z$6:$Z$3005,P$5)=0,"",SUMIFS(請求記録!$AE$6:$AE$3005,請求記録!$B$6:$B$3005,$A228,請求記録!$Z$6:$Z$3005,P$5))))</f>
        <v/>
      </c>
      <c r="Q228" s="19">
        <f>IF($A228="","",IF(COUNTIFS(請求記録!$B$6:$B$3005,$A228,請求記録!$Z$6:$Z$3005,Q$5,請求記録!$AF$6:$AF$3005,"保留中")&gt;0,"保留",IF(COUNTIFS(請求記録!$B$6:$B$3005,$A228,請求記録!$Z$6:$Z$3005,Q$5)=0,"",SUMIFS(請求記録!$AE$6:$AE$3005,請求記録!$B$6:$B$3005,$A228,請求記録!$Z$6:$Z$3005,Q$5))))</f>
        <v/>
      </c>
      <c r="R228" s="19">
        <f>IF($A228="","",IF(COUNTIFS(請求記録!$B$6:$B$3005,$A228,請求記録!$Z$6:$Z$3005,R$5,請求記録!$AF$6:$AF$3005,"保留中")&gt;0,"保留",IF(COUNTIFS(請求記録!$B$6:$B$3005,$A228,請求記録!$Z$6:$Z$3005,R$5)=0,"",SUMIFS(請求記録!$AE$6:$AE$3005,請求記録!$B$6:$B$3005,$A228,請求記録!$Z$6:$Z$3005,R$5))))</f>
        <v/>
      </c>
      <c r="S228" s="19">
        <f>IF($A228="","",IF(COUNTIFS(請求記録!$B$6:$B$3005,$A228,請求記録!$Z$6:$Z$3005,S$5,請求記録!$AF$6:$AF$3005,"保留中")&gt;0,"保留",IF(COUNTIFS(請求記録!$B$6:$B$3005,$A228,請求記録!$Z$6:$Z$3005,S$5)=0,"",SUMIFS(請求記録!$AE$6:$AE$3005,請求記録!$B$6:$B$3005,$A228,請求記録!$Z$6:$Z$3005,S$5))))</f>
        <v/>
      </c>
      <c r="T228" s="19">
        <f>IF($A228="","",IF(COUNTIFS(請求記録!$B$6:$B$3005,$A228,請求記録!$Z$6:$Z$3005,T$5,請求記録!$AF$6:$AF$3005,"保留中")&gt;0,"保留",IF(COUNTIFS(請求記録!$B$6:$B$3005,$A228,請求記録!$Z$6:$Z$3005,T$5)=0,"",SUMIFS(請求記録!$AE$6:$AE$3005,請求記録!$B$6:$B$3005,$A228,請求記録!$Z$6:$Z$3005,T$5))))</f>
        <v/>
      </c>
      <c r="U228" s="19">
        <f>IF($A228="","",IF(COUNTIFS(請求記録!$B$6:$B$3005,$A228,請求記録!$Z$6:$Z$3005,U$5,請求記録!$AF$6:$AF$3005,"保留中")&gt;0,"保留",IF(COUNTIFS(請求記録!$B$6:$B$3005,$A228,請求記録!$Z$6:$Z$3005,U$5)=0,"",SUMIFS(請求記録!$AE$6:$AE$3005,請求記録!$B$6:$B$3005,$A228,請求記録!$Z$6:$Z$3005,U$5))))</f>
        <v/>
      </c>
      <c r="V228" s="19">
        <f>IF($A228="","",IF(COUNTIFS(請求記録!$B$6:$B$3005,$A228,請求記録!$Z$6:$Z$3005,V$5,請求記録!$AF$6:$AF$3005,"保留中")&gt;0,"保留",IF(COUNTIFS(請求記録!$B$6:$B$3005,$A228,請求記録!$Z$6:$Z$3005,V$5)=0,"",SUMIFS(請求記録!$AE$6:$AE$3005,請求記録!$B$6:$B$3005,$A228,請求記録!$Z$6:$Z$3005,V$5))))</f>
        <v/>
      </c>
      <c r="W228" s="19">
        <f>IF($A228="","",IF(COUNTIFS(請求記録!$B$6:$B$3005,$A228,請求記録!$Z$6:$Z$3005,W$5,請求記録!$AF$6:$AF$3005,"保留中")&gt;0,"保留",IF(COUNTIFS(請求記録!$B$6:$B$3005,$A228,請求記録!$Z$6:$Z$3005,W$5)=0,"",SUMIFS(請求記録!$AE$6:$AE$3005,請求記録!$B$6:$B$3005,$A228,請求記録!$Z$6:$Z$3005,W$5))))</f>
        <v/>
      </c>
      <c r="X228" s="19">
        <f>IF($A228="","",IF(COUNTIFS(請求記録!$B$6:$B$3005,$A228,請求記録!$Z$6:$Z$3005,X$5,請求記録!$AF$6:$AF$3005,"保留中")&gt;0,"保留",IF(COUNTIFS(請求記録!$B$6:$B$3005,$A228,請求記録!$Z$6:$Z$3005,X$5)=0,"",SUMIFS(請求記録!$AE$6:$AE$3005,請求記録!$B$6:$B$3005,$A228,請求記録!$Z$6:$Z$3005,X$5))))</f>
        <v/>
      </c>
      <c r="Y228" s="19">
        <f>IF($A228="","",IF(COUNTIFS(請求記録!$B$6:$B$3005,$A228,請求記録!$Z$6:$Z$3005,Y$5,請求記録!$AF$6:$AF$3005,"保留中")&gt;0,"保留",IF(COUNTIFS(請求記録!$B$6:$B$3005,$A228,請求記録!$Z$6:$Z$3005,Y$5)=0,"",SUMIFS(請求記録!$AE$6:$AE$3005,請求記録!$B$6:$B$3005,$A228,請求記録!$Z$6:$Z$3005,Y$5))))</f>
        <v/>
      </c>
      <c r="Z228" s="19">
        <f>IF($A228="","",IF(COUNTIFS(請求記録!$B$6:$B$3005,$A228,請求記録!$Z$6:$Z$3005,Z$5,請求記録!$AF$6:$AF$3005,"保留中")&gt;0,"保留",IF(COUNTIFS(請求記録!$B$6:$B$3005,$A228,請求記録!$Z$6:$Z$3005,Z$5)=0,"",SUMIFS(請求記録!$AE$6:$AE$3005,請求記録!$B$6:$B$3005,$A228,請求記録!$Z$6:$Z$3005,Z$5))))</f>
        <v/>
      </c>
      <c r="AA228" s="19">
        <f>IF($A228="","",IF(COUNTIFS(請求記録!$B$6:$B$3005,$A228,請求記録!$Z$6:$Z$3005,AA$5,請求記録!$AF$6:$AF$3005,"保留中")&gt;0,"保留",IF(COUNTIFS(請求記録!$B$6:$B$3005,$A228,請求記録!$Z$6:$Z$3005,AA$5)=0,"",SUMIFS(請求記録!$AE$6:$AE$3005,請求記録!$B$6:$B$3005,$A228,請求記録!$Z$6:$Z$3005,AA$5))))</f>
        <v/>
      </c>
      <c r="AB228">
        <f>IF(職員マスタ!P228="保留中",職員マスタ!M228,"")</f>
        <v/>
      </c>
    </row>
    <row r="229">
      <c r="A229">
        <f>IF(職員マスタ!A229="","",職員マスタ!A229)</f>
        <v/>
      </c>
      <c r="B229">
        <f>IF($A229="","",職員マスタ!B229)</f>
        <v/>
      </c>
      <c r="C229">
        <f>IF($A229="","",職員マスタ!C229)</f>
        <v/>
      </c>
      <c r="D229" s="19">
        <f>IF($A229="","",IF(COUNTIFS(請求記録!$B$6:$B$3005,$A229,請求記録!$Z$6:$Z$3005,D$5,請求記録!$AF$6:$AF$3005,"保留中")&gt;0,"保留",IF(COUNTIFS(請求記録!$B$6:$B$3005,$A229,請求記録!$Z$6:$Z$3005,D$5)=0,"",SUMIFS(請求記録!$AE$6:$AE$3005,請求記録!$B$6:$B$3005,$A229,請求記録!$Z$6:$Z$3005,D$5))))</f>
        <v/>
      </c>
      <c r="E229" s="19">
        <f>IF($A229="","",IF(COUNTIFS(請求記録!$B$6:$B$3005,$A229,請求記録!$Z$6:$Z$3005,E$5,請求記録!$AF$6:$AF$3005,"保留中")&gt;0,"保留",IF(COUNTIFS(請求記録!$B$6:$B$3005,$A229,請求記録!$Z$6:$Z$3005,E$5)=0,"",SUMIFS(請求記録!$AE$6:$AE$3005,請求記録!$B$6:$B$3005,$A229,請求記録!$Z$6:$Z$3005,E$5))))</f>
        <v/>
      </c>
      <c r="F229" s="19">
        <f>IF($A229="","",IF(COUNTIFS(請求記録!$B$6:$B$3005,$A229,請求記録!$Z$6:$Z$3005,F$5,請求記録!$AF$6:$AF$3005,"保留中")&gt;0,"保留",IF(COUNTIFS(請求記録!$B$6:$B$3005,$A229,請求記録!$Z$6:$Z$3005,F$5)=0,"",SUMIFS(請求記録!$AE$6:$AE$3005,請求記録!$B$6:$B$3005,$A229,請求記録!$Z$6:$Z$3005,F$5))))</f>
        <v/>
      </c>
      <c r="G229" s="19">
        <f>IF($A229="","",IF(COUNTIFS(請求記録!$B$6:$B$3005,$A229,請求記録!$Z$6:$Z$3005,G$5,請求記録!$AF$6:$AF$3005,"保留中")&gt;0,"保留",IF(COUNTIFS(請求記録!$B$6:$B$3005,$A229,請求記録!$Z$6:$Z$3005,G$5)=0,"",SUMIFS(請求記録!$AE$6:$AE$3005,請求記録!$B$6:$B$3005,$A229,請求記録!$Z$6:$Z$3005,G$5))))</f>
        <v/>
      </c>
      <c r="H229" s="19">
        <f>IF($A229="","",IF(COUNTIFS(請求記録!$B$6:$B$3005,$A229,請求記録!$Z$6:$Z$3005,H$5,請求記録!$AF$6:$AF$3005,"保留中")&gt;0,"保留",IF(COUNTIFS(請求記録!$B$6:$B$3005,$A229,請求記録!$Z$6:$Z$3005,H$5)=0,"",SUMIFS(請求記録!$AE$6:$AE$3005,請求記録!$B$6:$B$3005,$A229,請求記録!$Z$6:$Z$3005,H$5))))</f>
        <v/>
      </c>
      <c r="I229" s="19">
        <f>IF($A229="","",IF(COUNTIFS(請求記録!$B$6:$B$3005,$A229,請求記録!$Z$6:$Z$3005,I$5,請求記録!$AF$6:$AF$3005,"保留中")&gt;0,"保留",IF(COUNTIFS(請求記録!$B$6:$B$3005,$A229,請求記録!$Z$6:$Z$3005,I$5)=0,"",SUMIFS(請求記録!$AE$6:$AE$3005,請求記録!$B$6:$B$3005,$A229,請求記録!$Z$6:$Z$3005,I$5))))</f>
        <v/>
      </c>
      <c r="J229" s="19">
        <f>IF($A229="","",IF(COUNTIFS(請求記録!$B$6:$B$3005,$A229,請求記録!$Z$6:$Z$3005,J$5,請求記録!$AF$6:$AF$3005,"保留中")&gt;0,"保留",IF(COUNTIFS(請求記録!$B$6:$B$3005,$A229,請求記録!$Z$6:$Z$3005,J$5)=0,"",SUMIFS(請求記録!$AE$6:$AE$3005,請求記録!$B$6:$B$3005,$A229,請求記録!$Z$6:$Z$3005,J$5))))</f>
        <v/>
      </c>
      <c r="K229" s="19">
        <f>IF($A229="","",IF(COUNTIFS(請求記録!$B$6:$B$3005,$A229,請求記録!$Z$6:$Z$3005,K$5,請求記録!$AF$6:$AF$3005,"保留中")&gt;0,"保留",IF(COUNTIFS(請求記録!$B$6:$B$3005,$A229,請求記録!$Z$6:$Z$3005,K$5)=0,"",SUMIFS(請求記録!$AE$6:$AE$3005,請求記録!$B$6:$B$3005,$A229,請求記録!$Z$6:$Z$3005,K$5))))</f>
        <v/>
      </c>
      <c r="L229" s="19">
        <f>IF($A229="","",IF(COUNTIFS(請求記録!$B$6:$B$3005,$A229,請求記録!$Z$6:$Z$3005,L$5,請求記録!$AF$6:$AF$3005,"保留中")&gt;0,"保留",IF(COUNTIFS(請求記録!$B$6:$B$3005,$A229,請求記録!$Z$6:$Z$3005,L$5)=0,"",SUMIFS(請求記録!$AE$6:$AE$3005,請求記録!$B$6:$B$3005,$A229,請求記録!$Z$6:$Z$3005,L$5))))</f>
        <v/>
      </c>
      <c r="M229" s="19">
        <f>IF($A229="","",IF(COUNTIFS(請求記録!$B$6:$B$3005,$A229,請求記録!$Z$6:$Z$3005,M$5,請求記録!$AF$6:$AF$3005,"保留中")&gt;0,"保留",IF(COUNTIFS(請求記録!$B$6:$B$3005,$A229,請求記録!$Z$6:$Z$3005,M$5)=0,"",SUMIFS(請求記録!$AE$6:$AE$3005,請求記録!$B$6:$B$3005,$A229,請求記録!$Z$6:$Z$3005,M$5))))</f>
        <v/>
      </c>
      <c r="N229" s="19">
        <f>IF($A229="","",IF(COUNTIFS(請求記録!$B$6:$B$3005,$A229,請求記録!$Z$6:$Z$3005,N$5,請求記録!$AF$6:$AF$3005,"保留中")&gt;0,"保留",IF(COUNTIFS(請求記録!$B$6:$B$3005,$A229,請求記録!$Z$6:$Z$3005,N$5)=0,"",SUMIFS(請求記録!$AE$6:$AE$3005,請求記録!$B$6:$B$3005,$A229,請求記録!$Z$6:$Z$3005,N$5))))</f>
        <v/>
      </c>
      <c r="O229" s="19">
        <f>IF($A229="","",IF(COUNTIFS(請求記録!$B$6:$B$3005,$A229,請求記録!$Z$6:$Z$3005,O$5,請求記録!$AF$6:$AF$3005,"保留中")&gt;0,"保留",IF(COUNTIFS(請求記録!$B$6:$B$3005,$A229,請求記録!$Z$6:$Z$3005,O$5)=0,"",SUMIFS(請求記録!$AE$6:$AE$3005,請求記録!$B$6:$B$3005,$A229,請求記録!$Z$6:$Z$3005,O$5))))</f>
        <v/>
      </c>
      <c r="P229" s="19">
        <f>IF($A229="","",IF(COUNTIFS(請求記録!$B$6:$B$3005,$A229,請求記録!$Z$6:$Z$3005,P$5,請求記録!$AF$6:$AF$3005,"保留中")&gt;0,"保留",IF(COUNTIFS(請求記録!$B$6:$B$3005,$A229,請求記録!$Z$6:$Z$3005,P$5)=0,"",SUMIFS(請求記録!$AE$6:$AE$3005,請求記録!$B$6:$B$3005,$A229,請求記録!$Z$6:$Z$3005,P$5))))</f>
        <v/>
      </c>
      <c r="Q229" s="19">
        <f>IF($A229="","",IF(COUNTIFS(請求記録!$B$6:$B$3005,$A229,請求記録!$Z$6:$Z$3005,Q$5,請求記録!$AF$6:$AF$3005,"保留中")&gt;0,"保留",IF(COUNTIFS(請求記録!$B$6:$B$3005,$A229,請求記録!$Z$6:$Z$3005,Q$5)=0,"",SUMIFS(請求記録!$AE$6:$AE$3005,請求記録!$B$6:$B$3005,$A229,請求記録!$Z$6:$Z$3005,Q$5))))</f>
        <v/>
      </c>
      <c r="R229" s="19">
        <f>IF($A229="","",IF(COUNTIFS(請求記録!$B$6:$B$3005,$A229,請求記録!$Z$6:$Z$3005,R$5,請求記録!$AF$6:$AF$3005,"保留中")&gt;0,"保留",IF(COUNTIFS(請求記録!$B$6:$B$3005,$A229,請求記録!$Z$6:$Z$3005,R$5)=0,"",SUMIFS(請求記録!$AE$6:$AE$3005,請求記録!$B$6:$B$3005,$A229,請求記録!$Z$6:$Z$3005,R$5))))</f>
        <v/>
      </c>
      <c r="S229" s="19">
        <f>IF($A229="","",IF(COUNTIFS(請求記録!$B$6:$B$3005,$A229,請求記録!$Z$6:$Z$3005,S$5,請求記録!$AF$6:$AF$3005,"保留中")&gt;0,"保留",IF(COUNTIFS(請求記録!$B$6:$B$3005,$A229,請求記録!$Z$6:$Z$3005,S$5)=0,"",SUMIFS(請求記録!$AE$6:$AE$3005,請求記録!$B$6:$B$3005,$A229,請求記録!$Z$6:$Z$3005,S$5))))</f>
        <v/>
      </c>
      <c r="T229" s="19">
        <f>IF($A229="","",IF(COUNTIFS(請求記録!$B$6:$B$3005,$A229,請求記録!$Z$6:$Z$3005,T$5,請求記録!$AF$6:$AF$3005,"保留中")&gt;0,"保留",IF(COUNTIFS(請求記録!$B$6:$B$3005,$A229,請求記録!$Z$6:$Z$3005,T$5)=0,"",SUMIFS(請求記録!$AE$6:$AE$3005,請求記録!$B$6:$B$3005,$A229,請求記録!$Z$6:$Z$3005,T$5))))</f>
        <v/>
      </c>
      <c r="U229" s="19">
        <f>IF($A229="","",IF(COUNTIFS(請求記録!$B$6:$B$3005,$A229,請求記録!$Z$6:$Z$3005,U$5,請求記録!$AF$6:$AF$3005,"保留中")&gt;0,"保留",IF(COUNTIFS(請求記録!$B$6:$B$3005,$A229,請求記録!$Z$6:$Z$3005,U$5)=0,"",SUMIFS(請求記録!$AE$6:$AE$3005,請求記録!$B$6:$B$3005,$A229,請求記録!$Z$6:$Z$3005,U$5))))</f>
        <v/>
      </c>
      <c r="V229" s="19">
        <f>IF($A229="","",IF(COUNTIFS(請求記録!$B$6:$B$3005,$A229,請求記録!$Z$6:$Z$3005,V$5,請求記録!$AF$6:$AF$3005,"保留中")&gt;0,"保留",IF(COUNTIFS(請求記録!$B$6:$B$3005,$A229,請求記録!$Z$6:$Z$3005,V$5)=0,"",SUMIFS(請求記録!$AE$6:$AE$3005,請求記録!$B$6:$B$3005,$A229,請求記録!$Z$6:$Z$3005,V$5))))</f>
        <v/>
      </c>
      <c r="W229" s="19">
        <f>IF($A229="","",IF(COUNTIFS(請求記録!$B$6:$B$3005,$A229,請求記録!$Z$6:$Z$3005,W$5,請求記録!$AF$6:$AF$3005,"保留中")&gt;0,"保留",IF(COUNTIFS(請求記録!$B$6:$B$3005,$A229,請求記録!$Z$6:$Z$3005,W$5)=0,"",SUMIFS(請求記録!$AE$6:$AE$3005,請求記録!$B$6:$B$3005,$A229,請求記録!$Z$6:$Z$3005,W$5))))</f>
        <v/>
      </c>
      <c r="X229" s="19">
        <f>IF($A229="","",IF(COUNTIFS(請求記録!$B$6:$B$3005,$A229,請求記録!$Z$6:$Z$3005,X$5,請求記録!$AF$6:$AF$3005,"保留中")&gt;0,"保留",IF(COUNTIFS(請求記録!$B$6:$B$3005,$A229,請求記録!$Z$6:$Z$3005,X$5)=0,"",SUMIFS(請求記録!$AE$6:$AE$3005,請求記録!$B$6:$B$3005,$A229,請求記録!$Z$6:$Z$3005,X$5))))</f>
        <v/>
      </c>
      <c r="Y229" s="19">
        <f>IF($A229="","",IF(COUNTIFS(請求記録!$B$6:$B$3005,$A229,請求記録!$Z$6:$Z$3005,Y$5,請求記録!$AF$6:$AF$3005,"保留中")&gt;0,"保留",IF(COUNTIFS(請求記録!$B$6:$B$3005,$A229,請求記録!$Z$6:$Z$3005,Y$5)=0,"",SUMIFS(請求記録!$AE$6:$AE$3005,請求記録!$B$6:$B$3005,$A229,請求記録!$Z$6:$Z$3005,Y$5))))</f>
        <v/>
      </c>
      <c r="Z229" s="19">
        <f>IF($A229="","",IF(COUNTIFS(請求記録!$B$6:$B$3005,$A229,請求記録!$Z$6:$Z$3005,Z$5,請求記録!$AF$6:$AF$3005,"保留中")&gt;0,"保留",IF(COUNTIFS(請求記録!$B$6:$B$3005,$A229,請求記録!$Z$6:$Z$3005,Z$5)=0,"",SUMIFS(請求記録!$AE$6:$AE$3005,請求記録!$B$6:$B$3005,$A229,請求記録!$Z$6:$Z$3005,Z$5))))</f>
        <v/>
      </c>
      <c r="AA229" s="19">
        <f>IF($A229="","",IF(COUNTIFS(請求記録!$B$6:$B$3005,$A229,請求記録!$Z$6:$Z$3005,AA$5,請求記録!$AF$6:$AF$3005,"保留中")&gt;0,"保留",IF(COUNTIFS(請求記録!$B$6:$B$3005,$A229,請求記録!$Z$6:$Z$3005,AA$5)=0,"",SUMIFS(請求記録!$AE$6:$AE$3005,請求記録!$B$6:$B$3005,$A229,請求記録!$Z$6:$Z$3005,AA$5))))</f>
        <v/>
      </c>
      <c r="AB229">
        <f>IF(職員マスタ!P229="保留中",職員マスタ!M229,"")</f>
        <v/>
      </c>
    </row>
    <row r="230">
      <c r="A230">
        <f>IF(職員マスタ!A230="","",職員マスタ!A230)</f>
        <v/>
      </c>
      <c r="B230">
        <f>IF($A230="","",職員マスタ!B230)</f>
        <v/>
      </c>
      <c r="C230">
        <f>IF($A230="","",職員マスタ!C230)</f>
        <v/>
      </c>
      <c r="D230" s="19">
        <f>IF($A230="","",IF(COUNTIFS(請求記録!$B$6:$B$3005,$A230,請求記録!$Z$6:$Z$3005,D$5,請求記録!$AF$6:$AF$3005,"保留中")&gt;0,"保留",IF(COUNTIFS(請求記録!$B$6:$B$3005,$A230,請求記録!$Z$6:$Z$3005,D$5)=0,"",SUMIFS(請求記録!$AE$6:$AE$3005,請求記録!$B$6:$B$3005,$A230,請求記録!$Z$6:$Z$3005,D$5))))</f>
        <v/>
      </c>
      <c r="E230" s="19">
        <f>IF($A230="","",IF(COUNTIFS(請求記録!$B$6:$B$3005,$A230,請求記録!$Z$6:$Z$3005,E$5,請求記録!$AF$6:$AF$3005,"保留中")&gt;0,"保留",IF(COUNTIFS(請求記録!$B$6:$B$3005,$A230,請求記録!$Z$6:$Z$3005,E$5)=0,"",SUMIFS(請求記録!$AE$6:$AE$3005,請求記録!$B$6:$B$3005,$A230,請求記録!$Z$6:$Z$3005,E$5))))</f>
        <v/>
      </c>
      <c r="F230" s="19">
        <f>IF($A230="","",IF(COUNTIFS(請求記録!$B$6:$B$3005,$A230,請求記録!$Z$6:$Z$3005,F$5,請求記録!$AF$6:$AF$3005,"保留中")&gt;0,"保留",IF(COUNTIFS(請求記録!$B$6:$B$3005,$A230,請求記録!$Z$6:$Z$3005,F$5)=0,"",SUMIFS(請求記録!$AE$6:$AE$3005,請求記録!$B$6:$B$3005,$A230,請求記録!$Z$6:$Z$3005,F$5))))</f>
        <v/>
      </c>
      <c r="G230" s="19">
        <f>IF($A230="","",IF(COUNTIFS(請求記録!$B$6:$B$3005,$A230,請求記録!$Z$6:$Z$3005,G$5,請求記録!$AF$6:$AF$3005,"保留中")&gt;0,"保留",IF(COUNTIFS(請求記録!$B$6:$B$3005,$A230,請求記録!$Z$6:$Z$3005,G$5)=0,"",SUMIFS(請求記録!$AE$6:$AE$3005,請求記録!$B$6:$B$3005,$A230,請求記録!$Z$6:$Z$3005,G$5))))</f>
        <v/>
      </c>
      <c r="H230" s="19">
        <f>IF($A230="","",IF(COUNTIFS(請求記録!$B$6:$B$3005,$A230,請求記録!$Z$6:$Z$3005,H$5,請求記録!$AF$6:$AF$3005,"保留中")&gt;0,"保留",IF(COUNTIFS(請求記録!$B$6:$B$3005,$A230,請求記録!$Z$6:$Z$3005,H$5)=0,"",SUMIFS(請求記録!$AE$6:$AE$3005,請求記録!$B$6:$B$3005,$A230,請求記録!$Z$6:$Z$3005,H$5))))</f>
        <v/>
      </c>
      <c r="I230" s="19">
        <f>IF($A230="","",IF(COUNTIFS(請求記録!$B$6:$B$3005,$A230,請求記録!$Z$6:$Z$3005,I$5,請求記録!$AF$6:$AF$3005,"保留中")&gt;0,"保留",IF(COUNTIFS(請求記録!$B$6:$B$3005,$A230,請求記録!$Z$6:$Z$3005,I$5)=0,"",SUMIFS(請求記録!$AE$6:$AE$3005,請求記録!$B$6:$B$3005,$A230,請求記録!$Z$6:$Z$3005,I$5))))</f>
        <v/>
      </c>
      <c r="J230" s="19">
        <f>IF($A230="","",IF(COUNTIFS(請求記録!$B$6:$B$3005,$A230,請求記録!$Z$6:$Z$3005,J$5,請求記録!$AF$6:$AF$3005,"保留中")&gt;0,"保留",IF(COUNTIFS(請求記録!$B$6:$B$3005,$A230,請求記録!$Z$6:$Z$3005,J$5)=0,"",SUMIFS(請求記録!$AE$6:$AE$3005,請求記録!$B$6:$B$3005,$A230,請求記録!$Z$6:$Z$3005,J$5))))</f>
        <v/>
      </c>
      <c r="K230" s="19">
        <f>IF($A230="","",IF(COUNTIFS(請求記録!$B$6:$B$3005,$A230,請求記録!$Z$6:$Z$3005,K$5,請求記録!$AF$6:$AF$3005,"保留中")&gt;0,"保留",IF(COUNTIFS(請求記録!$B$6:$B$3005,$A230,請求記録!$Z$6:$Z$3005,K$5)=0,"",SUMIFS(請求記録!$AE$6:$AE$3005,請求記録!$B$6:$B$3005,$A230,請求記録!$Z$6:$Z$3005,K$5))))</f>
        <v/>
      </c>
      <c r="L230" s="19">
        <f>IF($A230="","",IF(COUNTIFS(請求記録!$B$6:$B$3005,$A230,請求記録!$Z$6:$Z$3005,L$5,請求記録!$AF$6:$AF$3005,"保留中")&gt;0,"保留",IF(COUNTIFS(請求記録!$B$6:$B$3005,$A230,請求記録!$Z$6:$Z$3005,L$5)=0,"",SUMIFS(請求記録!$AE$6:$AE$3005,請求記録!$B$6:$B$3005,$A230,請求記録!$Z$6:$Z$3005,L$5))))</f>
        <v/>
      </c>
      <c r="M230" s="19">
        <f>IF($A230="","",IF(COUNTIFS(請求記録!$B$6:$B$3005,$A230,請求記録!$Z$6:$Z$3005,M$5,請求記録!$AF$6:$AF$3005,"保留中")&gt;0,"保留",IF(COUNTIFS(請求記録!$B$6:$B$3005,$A230,請求記録!$Z$6:$Z$3005,M$5)=0,"",SUMIFS(請求記録!$AE$6:$AE$3005,請求記録!$B$6:$B$3005,$A230,請求記録!$Z$6:$Z$3005,M$5))))</f>
        <v/>
      </c>
      <c r="N230" s="19">
        <f>IF($A230="","",IF(COUNTIFS(請求記録!$B$6:$B$3005,$A230,請求記録!$Z$6:$Z$3005,N$5,請求記録!$AF$6:$AF$3005,"保留中")&gt;0,"保留",IF(COUNTIFS(請求記録!$B$6:$B$3005,$A230,請求記録!$Z$6:$Z$3005,N$5)=0,"",SUMIFS(請求記録!$AE$6:$AE$3005,請求記録!$B$6:$B$3005,$A230,請求記録!$Z$6:$Z$3005,N$5))))</f>
        <v/>
      </c>
      <c r="O230" s="19">
        <f>IF($A230="","",IF(COUNTIFS(請求記録!$B$6:$B$3005,$A230,請求記録!$Z$6:$Z$3005,O$5,請求記録!$AF$6:$AF$3005,"保留中")&gt;0,"保留",IF(COUNTIFS(請求記録!$B$6:$B$3005,$A230,請求記録!$Z$6:$Z$3005,O$5)=0,"",SUMIFS(請求記録!$AE$6:$AE$3005,請求記録!$B$6:$B$3005,$A230,請求記録!$Z$6:$Z$3005,O$5))))</f>
        <v/>
      </c>
      <c r="P230" s="19">
        <f>IF($A230="","",IF(COUNTIFS(請求記録!$B$6:$B$3005,$A230,請求記録!$Z$6:$Z$3005,P$5,請求記録!$AF$6:$AF$3005,"保留中")&gt;0,"保留",IF(COUNTIFS(請求記録!$B$6:$B$3005,$A230,請求記録!$Z$6:$Z$3005,P$5)=0,"",SUMIFS(請求記録!$AE$6:$AE$3005,請求記録!$B$6:$B$3005,$A230,請求記録!$Z$6:$Z$3005,P$5))))</f>
        <v/>
      </c>
      <c r="Q230" s="19">
        <f>IF($A230="","",IF(COUNTIFS(請求記録!$B$6:$B$3005,$A230,請求記録!$Z$6:$Z$3005,Q$5,請求記録!$AF$6:$AF$3005,"保留中")&gt;0,"保留",IF(COUNTIFS(請求記録!$B$6:$B$3005,$A230,請求記録!$Z$6:$Z$3005,Q$5)=0,"",SUMIFS(請求記録!$AE$6:$AE$3005,請求記録!$B$6:$B$3005,$A230,請求記録!$Z$6:$Z$3005,Q$5))))</f>
        <v/>
      </c>
      <c r="R230" s="19">
        <f>IF($A230="","",IF(COUNTIFS(請求記録!$B$6:$B$3005,$A230,請求記録!$Z$6:$Z$3005,R$5,請求記録!$AF$6:$AF$3005,"保留中")&gt;0,"保留",IF(COUNTIFS(請求記録!$B$6:$B$3005,$A230,請求記録!$Z$6:$Z$3005,R$5)=0,"",SUMIFS(請求記録!$AE$6:$AE$3005,請求記録!$B$6:$B$3005,$A230,請求記録!$Z$6:$Z$3005,R$5))))</f>
        <v/>
      </c>
      <c r="S230" s="19">
        <f>IF($A230="","",IF(COUNTIFS(請求記録!$B$6:$B$3005,$A230,請求記録!$Z$6:$Z$3005,S$5,請求記録!$AF$6:$AF$3005,"保留中")&gt;0,"保留",IF(COUNTIFS(請求記録!$B$6:$B$3005,$A230,請求記録!$Z$6:$Z$3005,S$5)=0,"",SUMIFS(請求記録!$AE$6:$AE$3005,請求記録!$B$6:$B$3005,$A230,請求記録!$Z$6:$Z$3005,S$5))))</f>
        <v/>
      </c>
      <c r="T230" s="19">
        <f>IF($A230="","",IF(COUNTIFS(請求記録!$B$6:$B$3005,$A230,請求記録!$Z$6:$Z$3005,T$5,請求記録!$AF$6:$AF$3005,"保留中")&gt;0,"保留",IF(COUNTIFS(請求記録!$B$6:$B$3005,$A230,請求記録!$Z$6:$Z$3005,T$5)=0,"",SUMIFS(請求記録!$AE$6:$AE$3005,請求記録!$B$6:$B$3005,$A230,請求記録!$Z$6:$Z$3005,T$5))))</f>
        <v/>
      </c>
      <c r="U230" s="19">
        <f>IF($A230="","",IF(COUNTIFS(請求記録!$B$6:$B$3005,$A230,請求記録!$Z$6:$Z$3005,U$5,請求記録!$AF$6:$AF$3005,"保留中")&gt;0,"保留",IF(COUNTIFS(請求記録!$B$6:$B$3005,$A230,請求記録!$Z$6:$Z$3005,U$5)=0,"",SUMIFS(請求記録!$AE$6:$AE$3005,請求記録!$B$6:$B$3005,$A230,請求記録!$Z$6:$Z$3005,U$5))))</f>
        <v/>
      </c>
      <c r="V230" s="19">
        <f>IF($A230="","",IF(COUNTIFS(請求記録!$B$6:$B$3005,$A230,請求記録!$Z$6:$Z$3005,V$5,請求記録!$AF$6:$AF$3005,"保留中")&gt;0,"保留",IF(COUNTIFS(請求記録!$B$6:$B$3005,$A230,請求記録!$Z$6:$Z$3005,V$5)=0,"",SUMIFS(請求記録!$AE$6:$AE$3005,請求記録!$B$6:$B$3005,$A230,請求記録!$Z$6:$Z$3005,V$5))))</f>
        <v/>
      </c>
      <c r="W230" s="19">
        <f>IF($A230="","",IF(COUNTIFS(請求記録!$B$6:$B$3005,$A230,請求記録!$Z$6:$Z$3005,W$5,請求記録!$AF$6:$AF$3005,"保留中")&gt;0,"保留",IF(COUNTIFS(請求記録!$B$6:$B$3005,$A230,請求記録!$Z$6:$Z$3005,W$5)=0,"",SUMIFS(請求記録!$AE$6:$AE$3005,請求記録!$B$6:$B$3005,$A230,請求記録!$Z$6:$Z$3005,W$5))))</f>
        <v/>
      </c>
      <c r="X230" s="19">
        <f>IF($A230="","",IF(COUNTIFS(請求記録!$B$6:$B$3005,$A230,請求記録!$Z$6:$Z$3005,X$5,請求記録!$AF$6:$AF$3005,"保留中")&gt;0,"保留",IF(COUNTIFS(請求記録!$B$6:$B$3005,$A230,請求記録!$Z$6:$Z$3005,X$5)=0,"",SUMIFS(請求記録!$AE$6:$AE$3005,請求記録!$B$6:$B$3005,$A230,請求記録!$Z$6:$Z$3005,X$5))))</f>
        <v/>
      </c>
      <c r="Y230" s="19">
        <f>IF($A230="","",IF(COUNTIFS(請求記録!$B$6:$B$3005,$A230,請求記録!$Z$6:$Z$3005,Y$5,請求記録!$AF$6:$AF$3005,"保留中")&gt;0,"保留",IF(COUNTIFS(請求記録!$B$6:$B$3005,$A230,請求記録!$Z$6:$Z$3005,Y$5)=0,"",SUMIFS(請求記録!$AE$6:$AE$3005,請求記録!$B$6:$B$3005,$A230,請求記録!$Z$6:$Z$3005,Y$5))))</f>
        <v/>
      </c>
      <c r="Z230" s="19">
        <f>IF($A230="","",IF(COUNTIFS(請求記録!$B$6:$B$3005,$A230,請求記録!$Z$6:$Z$3005,Z$5,請求記録!$AF$6:$AF$3005,"保留中")&gt;0,"保留",IF(COUNTIFS(請求記録!$B$6:$B$3005,$A230,請求記録!$Z$6:$Z$3005,Z$5)=0,"",SUMIFS(請求記録!$AE$6:$AE$3005,請求記録!$B$6:$B$3005,$A230,請求記録!$Z$6:$Z$3005,Z$5))))</f>
        <v/>
      </c>
      <c r="AA230" s="19">
        <f>IF($A230="","",IF(COUNTIFS(請求記録!$B$6:$B$3005,$A230,請求記録!$Z$6:$Z$3005,AA$5,請求記録!$AF$6:$AF$3005,"保留中")&gt;0,"保留",IF(COUNTIFS(請求記録!$B$6:$B$3005,$A230,請求記録!$Z$6:$Z$3005,AA$5)=0,"",SUMIFS(請求記録!$AE$6:$AE$3005,請求記録!$B$6:$B$3005,$A230,請求記録!$Z$6:$Z$3005,AA$5))))</f>
        <v/>
      </c>
      <c r="AB230">
        <f>IF(職員マスタ!P230="保留中",職員マスタ!M230,"")</f>
        <v/>
      </c>
    </row>
    <row r="231">
      <c r="A231">
        <f>IF(職員マスタ!A231="","",職員マスタ!A231)</f>
        <v/>
      </c>
      <c r="B231">
        <f>IF($A231="","",職員マスタ!B231)</f>
        <v/>
      </c>
      <c r="C231">
        <f>IF($A231="","",職員マスタ!C231)</f>
        <v/>
      </c>
      <c r="D231" s="19">
        <f>IF($A231="","",IF(COUNTIFS(請求記録!$B$6:$B$3005,$A231,請求記録!$Z$6:$Z$3005,D$5,請求記録!$AF$6:$AF$3005,"保留中")&gt;0,"保留",IF(COUNTIFS(請求記録!$B$6:$B$3005,$A231,請求記録!$Z$6:$Z$3005,D$5)=0,"",SUMIFS(請求記録!$AE$6:$AE$3005,請求記録!$B$6:$B$3005,$A231,請求記録!$Z$6:$Z$3005,D$5))))</f>
        <v/>
      </c>
      <c r="E231" s="19">
        <f>IF($A231="","",IF(COUNTIFS(請求記録!$B$6:$B$3005,$A231,請求記録!$Z$6:$Z$3005,E$5,請求記録!$AF$6:$AF$3005,"保留中")&gt;0,"保留",IF(COUNTIFS(請求記録!$B$6:$B$3005,$A231,請求記録!$Z$6:$Z$3005,E$5)=0,"",SUMIFS(請求記録!$AE$6:$AE$3005,請求記録!$B$6:$B$3005,$A231,請求記録!$Z$6:$Z$3005,E$5))))</f>
        <v/>
      </c>
      <c r="F231" s="19">
        <f>IF($A231="","",IF(COUNTIFS(請求記録!$B$6:$B$3005,$A231,請求記録!$Z$6:$Z$3005,F$5,請求記録!$AF$6:$AF$3005,"保留中")&gt;0,"保留",IF(COUNTIFS(請求記録!$B$6:$B$3005,$A231,請求記録!$Z$6:$Z$3005,F$5)=0,"",SUMIFS(請求記録!$AE$6:$AE$3005,請求記録!$B$6:$B$3005,$A231,請求記録!$Z$6:$Z$3005,F$5))))</f>
        <v/>
      </c>
      <c r="G231" s="19">
        <f>IF($A231="","",IF(COUNTIFS(請求記録!$B$6:$B$3005,$A231,請求記録!$Z$6:$Z$3005,G$5,請求記録!$AF$6:$AF$3005,"保留中")&gt;0,"保留",IF(COUNTIFS(請求記録!$B$6:$B$3005,$A231,請求記録!$Z$6:$Z$3005,G$5)=0,"",SUMIFS(請求記録!$AE$6:$AE$3005,請求記録!$B$6:$B$3005,$A231,請求記録!$Z$6:$Z$3005,G$5))))</f>
        <v/>
      </c>
      <c r="H231" s="19">
        <f>IF($A231="","",IF(COUNTIFS(請求記録!$B$6:$B$3005,$A231,請求記録!$Z$6:$Z$3005,H$5,請求記録!$AF$6:$AF$3005,"保留中")&gt;0,"保留",IF(COUNTIFS(請求記録!$B$6:$B$3005,$A231,請求記録!$Z$6:$Z$3005,H$5)=0,"",SUMIFS(請求記録!$AE$6:$AE$3005,請求記録!$B$6:$B$3005,$A231,請求記録!$Z$6:$Z$3005,H$5))))</f>
        <v/>
      </c>
      <c r="I231" s="19">
        <f>IF($A231="","",IF(COUNTIFS(請求記録!$B$6:$B$3005,$A231,請求記録!$Z$6:$Z$3005,I$5,請求記録!$AF$6:$AF$3005,"保留中")&gt;0,"保留",IF(COUNTIFS(請求記録!$B$6:$B$3005,$A231,請求記録!$Z$6:$Z$3005,I$5)=0,"",SUMIFS(請求記録!$AE$6:$AE$3005,請求記録!$B$6:$B$3005,$A231,請求記録!$Z$6:$Z$3005,I$5))))</f>
        <v/>
      </c>
      <c r="J231" s="19">
        <f>IF($A231="","",IF(COUNTIFS(請求記録!$B$6:$B$3005,$A231,請求記録!$Z$6:$Z$3005,J$5,請求記録!$AF$6:$AF$3005,"保留中")&gt;0,"保留",IF(COUNTIFS(請求記録!$B$6:$B$3005,$A231,請求記録!$Z$6:$Z$3005,J$5)=0,"",SUMIFS(請求記録!$AE$6:$AE$3005,請求記録!$B$6:$B$3005,$A231,請求記録!$Z$6:$Z$3005,J$5))))</f>
        <v/>
      </c>
      <c r="K231" s="19">
        <f>IF($A231="","",IF(COUNTIFS(請求記録!$B$6:$B$3005,$A231,請求記録!$Z$6:$Z$3005,K$5,請求記録!$AF$6:$AF$3005,"保留中")&gt;0,"保留",IF(COUNTIFS(請求記録!$B$6:$B$3005,$A231,請求記録!$Z$6:$Z$3005,K$5)=0,"",SUMIFS(請求記録!$AE$6:$AE$3005,請求記録!$B$6:$B$3005,$A231,請求記録!$Z$6:$Z$3005,K$5))))</f>
        <v/>
      </c>
      <c r="L231" s="19">
        <f>IF($A231="","",IF(COUNTIFS(請求記録!$B$6:$B$3005,$A231,請求記録!$Z$6:$Z$3005,L$5,請求記録!$AF$6:$AF$3005,"保留中")&gt;0,"保留",IF(COUNTIFS(請求記録!$B$6:$B$3005,$A231,請求記録!$Z$6:$Z$3005,L$5)=0,"",SUMIFS(請求記録!$AE$6:$AE$3005,請求記録!$B$6:$B$3005,$A231,請求記録!$Z$6:$Z$3005,L$5))))</f>
        <v/>
      </c>
      <c r="M231" s="19">
        <f>IF($A231="","",IF(COUNTIFS(請求記録!$B$6:$B$3005,$A231,請求記録!$Z$6:$Z$3005,M$5,請求記録!$AF$6:$AF$3005,"保留中")&gt;0,"保留",IF(COUNTIFS(請求記録!$B$6:$B$3005,$A231,請求記録!$Z$6:$Z$3005,M$5)=0,"",SUMIFS(請求記録!$AE$6:$AE$3005,請求記録!$B$6:$B$3005,$A231,請求記録!$Z$6:$Z$3005,M$5))))</f>
        <v/>
      </c>
      <c r="N231" s="19">
        <f>IF($A231="","",IF(COUNTIFS(請求記録!$B$6:$B$3005,$A231,請求記録!$Z$6:$Z$3005,N$5,請求記録!$AF$6:$AF$3005,"保留中")&gt;0,"保留",IF(COUNTIFS(請求記録!$B$6:$B$3005,$A231,請求記録!$Z$6:$Z$3005,N$5)=0,"",SUMIFS(請求記録!$AE$6:$AE$3005,請求記録!$B$6:$B$3005,$A231,請求記録!$Z$6:$Z$3005,N$5))))</f>
        <v/>
      </c>
      <c r="O231" s="19">
        <f>IF($A231="","",IF(COUNTIFS(請求記録!$B$6:$B$3005,$A231,請求記録!$Z$6:$Z$3005,O$5,請求記録!$AF$6:$AF$3005,"保留中")&gt;0,"保留",IF(COUNTIFS(請求記録!$B$6:$B$3005,$A231,請求記録!$Z$6:$Z$3005,O$5)=0,"",SUMIFS(請求記録!$AE$6:$AE$3005,請求記録!$B$6:$B$3005,$A231,請求記録!$Z$6:$Z$3005,O$5))))</f>
        <v/>
      </c>
      <c r="P231" s="19">
        <f>IF($A231="","",IF(COUNTIFS(請求記録!$B$6:$B$3005,$A231,請求記録!$Z$6:$Z$3005,P$5,請求記録!$AF$6:$AF$3005,"保留中")&gt;0,"保留",IF(COUNTIFS(請求記録!$B$6:$B$3005,$A231,請求記録!$Z$6:$Z$3005,P$5)=0,"",SUMIFS(請求記録!$AE$6:$AE$3005,請求記録!$B$6:$B$3005,$A231,請求記録!$Z$6:$Z$3005,P$5))))</f>
        <v/>
      </c>
      <c r="Q231" s="19">
        <f>IF($A231="","",IF(COUNTIFS(請求記録!$B$6:$B$3005,$A231,請求記録!$Z$6:$Z$3005,Q$5,請求記録!$AF$6:$AF$3005,"保留中")&gt;0,"保留",IF(COUNTIFS(請求記録!$B$6:$B$3005,$A231,請求記録!$Z$6:$Z$3005,Q$5)=0,"",SUMIFS(請求記録!$AE$6:$AE$3005,請求記録!$B$6:$B$3005,$A231,請求記録!$Z$6:$Z$3005,Q$5))))</f>
        <v/>
      </c>
      <c r="R231" s="19">
        <f>IF($A231="","",IF(COUNTIFS(請求記録!$B$6:$B$3005,$A231,請求記録!$Z$6:$Z$3005,R$5,請求記録!$AF$6:$AF$3005,"保留中")&gt;0,"保留",IF(COUNTIFS(請求記録!$B$6:$B$3005,$A231,請求記録!$Z$6:$Z$3005,R$5)=0,"",SUMIFS(請求記録!$AE$6:$AE$3005,請求記録!$B$6:$B$3005,$A231,請求記録!$Z$6:$Z$3005,R$5))))</f>
        <v/>
      </c>
      <c r="S231" s="19">
        <f>IF($A231="","",IF(COUNTIFS(請求記録!$B$6:$B$3005,$A231,請求記録!$Z$6:$Z$3005,S$5,請求記録!$AF$6:$AF$3005,"保留中")&gt;0,"保留",IF(COUNTIFS(請求記録!$B$6:$B$3005,$A231,請求記録!$Z$6:$Z$3005,S$5)=0,"",SUMIFS(請求記録!$AE$6:$AE$3005,請求記録!$B$6:$B$3005,$A231,請求記録!$Z$6:$Z$3005,S$5))))</f>
        <v/>
      </c>
      <c r="T231" s="19">
        <f>IF($A231="","",IF(COUNTIFS(請求記録!$B$6:$B$3005,$A231,請求記録!$Z$6:$Z$3005,T$5,請求記録!$AF$6:$AF$3005,"保留中")&gt;0,"保留",IF(COUNTIFS(請求記録!$B$6:$B$3005,$A231,請求記録!$Z$6:$Z$3005,T$5)=0,"",SUMIFS(請求記録!$AE$6:$AE$3005,請求記録!$B$6:$B$3005,$A231,請求記録!$Z$6:$Z$3005,T$5))))</f>
        <v/>
      </c>
      <c r="U231" s="19">
        <f>IF($A231="","",IF(COUNTIFS(請求記録!$B$6:$B$3005,$A231,請求記録!$Z$6:$Z$3005,U$5,請求記録!$AF$6:$AF$3005,"保留中")&gt;0,"保留",IF(COUNTIFS(請求記録!$B$6:$B$3005,$A231,請求記録!$Z$6:$Z$3005,U$5)=0,"",SUMIFS(請求記録!$AE$6:$AE$3005,請求記録!$B$6:$B$3005,$A231,請求記録!$Z$6:$Z$3005,U$5))))</f>
        <v/>
      </c>
      <c r="V231" s="19">
        <f>IF($A231="","",IF(COUNTIFS(請求記録!$B$6:$B$3005,$A231,請求記録!$Z$6:$Z$3005,V$5,請求記録!$AF$6:$AF$3005,"保留中")&gt;0,"保留",IF(COUNTIFS(請求記録!$B$6:$B$3005,$A231,請求記録!$Z$6:$Z$3005,V$5)=0,"",SUMIFS(請求記録!$AE$6:$AE$3005,請求記録!$B$6:$B$3005,$A231,請求記録!$Z$6:$Z$3005,V$5))))</f>
        <v/>
      </c>
      <c r="W231" s="19">
        <f>IF($A231="","",IF(COUNTIFS(請求記録!$B$6:$B$3005,$A231,請求記録!$Z$6:$Z$3005,W$5,請求記録!$AF$6:$AF$3005,"保留中")&gt;0,"保留",IF(COUNTIFS(請求記録!$B$6:$B$3005,$A231,請求記録!$Z$6:$Z$3005,W$5)=0,"",SUMIFS(請求記録!$AE$6:$AE$3005,請求記録!$B$6:$B$3005,$A231,請求記録!$Z$6:$Z$3005,W$5))))</f>
        <v/>
      </c>
      <c r="X231" s="19">
        <f>IF($A231="","",IF(COUNTIFS(請求記録!$B$6:$B$3005,$A231,請求記録!$Z$6:$Z$3005,X$5,請求記録!$AF$6:$AF$3005,"保留中")&gt;0,"保留",IF(COUNTIFS(請求記録!$B$6:$B$3005,$A231,請求記録!$Z$6:$Z$3005,X$5)=0,"",SUMIFS(請求記録!$AE$6:$AE$3005,請求記録!$B$6:$B$3005,$A231,請求記録!$Z$6:$Z$3005,X$5))))</f>
        <v/>
      </c>
      <c r="Y231" s="19">
        <f>IF($A231="","",IF(COUNTIFS(請求記録!$B$6:$B$3005,$A231,請求記録!$Z$6:$Z$3005,Y$5,請求記録!$AF$6:$AF$3005,"保留中")&gt;0,"保留",IF(COUNTIFS(請求記録!$B$6:$B$3005,$A231,請求記録!$Z$6:$Z$3005,Y$5)=0,"",SUMIFS(請求記録!$AE$6:$AE$3005,請求記録!$B$6:$B$3005,$A231,請求記録!$Z$6:$Z$3005,Y$5))))</f>
        <v/>
      </c>
      <c r="Z231" s="19">
        <f>IF($A231="","",IF(COUNTIFS(請求記録!$B$6:$B$3005,$A231,請求記録!$Z$6:$Z$3005,Z$5,請求記録!$AF$6:$AF$3005,"保留中")&gt;0,"保留",IF(COUNTIFS(請求記録!$B$6:$B$3005,$A231,請求記録!$Z$6:$Z$3005,Z$5)=0,"",SUMIFS(請求記録!$AE$6:$AE$3005,請求記録!$B$6:$B$3005,$A231,請求記録!$Z$6:$Z$3005,Z$5))))</f>
        <v/>
      </c>
      <c r="AA231" s="19">
        <f>IF($A231="","",IF(COUNTIFS(請求記録!$B$6:$B$3005,$A231,請求記録!$Z$6:$Z$3005,AA$5,請求記録!$AF$6:$AF$3005,"保留中")&gt;0,"保留",IF(COUNTIFS(請求記録!$B$6:$B$3005,$A231,請求記録!$Z$6:$Z$3005,AA$5)=0,"",SUMIFS(請求記録!$AE$6:$AE$3005,請求記録!$B$6:$B$3005,$A231,請求記録!$Z$6:$Z$3005,AA$5))))</f>
        <v/>
      </c>
      <c r="AB231">
        <f>IF(職員マスタ!P231="保留中",職員マスタ!M231,"")</f>
        <v/>
      </c>
    </row>
    <row r="232">
      <c r="A232">
        <f>IF(職員マスタ!A232="","",職員マスタ!A232)</f>
        <v/>
      </c>
      <c r="B232">
        <f>IF($A232="","",職員マスタ!B232)</f>
        <v/>
      </c>
      <c r="C232">
        <f>IF($A232="","",職員マスタ!C232)</f>
        <v/>
      </c>
      <c r="D232" s="19">
        <f>IF($A232="","",IF(COUNTIFS(請求記録!$B$6:$B$3005,$A232,請求記録!$Z$6:$Z$3005,D$5,請求記録!$AF$6:$AF$3005,"保留中")&gt;0,"保留",IF(COUNTIFS(請求記録!$B$6:$B$3005,$A232,請求記録!$Z$6:$Z$3005,D$5)=0,"",SUMIFS(請求記録!$AE$6:$AE$3005,請求記録!$B$6:$B$3005,$A232,請求記録!$Z$6:$Z$3005,D$5))))</f>
        <v/>
      </c>
      <c r="E232" s="19">
        <f>IF($A232="","",IF(COUNTIFS(請求記録!$B$6:$B$3005,$A232,請求記録!$Z$6:$Z$3005,E$5,請求記録!$AF$6:$AF$3005,"保留中")&gt;0,"保留",IF(COUNTIFS(請求記録!$B$6:$B$3005,$A232,請求記録!$Z$6:$Z$3005,E$5)=0,"",SUMIFS(請求記録!$AE$6:$AE$3005,請求記録!$B$6:$B$3005,$A232,請求記録!$Z$6:$Z$3005,E$5))))</f>
        <v/>
      </c>
      <c r="F232" s="19">
        <f>IF($A232="","",IF(COUNTIFS(請求記録!$B$6:$B$3005,$A232,請求記録!$Z$6:$Z$3005,F$5,請求記録!$AF$6:$AF$3005,"保留中")&gt;0,"保留",IF(COUNTIFS(請求記録!$B$6:$B$3005,$A232,請求記録!$Z$6:$Z$3005,F$5)=0,"",SUMIFS(請求記録!$AE$6:$AE$3005,請求記録!$B$6:$B$3005,$A232,請求記録!$Z$6:$Z$3005,F$5))))</f>
        <v/>
      </c>
      <c r="G232" s="19">
        <f>IF($A232="","",IF(COUNTIFS(請求記録!$B$6:$B$3005,$A232,請求記録!$Z$6:$Z$3005,G$5,請求記録!$AF$6:$AF$3005,"保留中")&gt;0,"保留",IF(COUNTIFS(請求記録!$B$6:$B$3005,$A232,請求記録!$Z$6:$Z$3005,G$5)=0,"",SUMIFS(請求記録!$AE$6:$AE$3005,請求記録!$B$6:$B$3005,$A232,請求記録!$Z$6:$Z$3005,G$5))))</f>
        <v/>
      </c>
      <c r="H232" s="19">
        <f>IF($A232="","",IF(COUNTIFS(請求記録!$B$6:$B$3005,$A232,請求記録!$Z$6:$Z$3005,H$5,請求記録!$AF$6:$AF$3005,"保留中")&gt;0,"保留",IF(COUNTIFS(請求記録!$B$6:$B$3005,$A232,請求記録!$Z$6:$Z$3005,H$5)=0,"",SUMIFS(請求記録!$AE$6:$AE$3005,請求記録!$B$6:$B$3005,$A232,請求記録!$Z$6:$Z$3005,H$5))))</f>
        <v/>
      </c>
      <c r="I232" s="19">
        <f>IF($A232="","",IF(COUNTIFS(請求記録!$B$6:$B$3005,$A232,請求記録!$Z$6:$Z$3005,I$5,請求記録!$AF$6:$AF$3005,"保留中")&gt;0,"保留",IF(COUNTIFS(請求記録!$B$6:$B$3005,$A232,請求記録!$Z$6:$Z$3005,I$5)=0,"",SUMIFS(請求記録!$AE$6:$AE$3005,請求記録!$B$6:$B$3005,$A232,請求記録!$Z$6:$Z$3005,I$5))))</f>
        <v/>
      </c>
      <c r="J232" s="19">
        <f>IF($A232="","",IF(COUNTIFS(請求記録!$B$6:$B$3005,$A232,請求記録!$Z$6:$Z$3005,J$5,請求記録!$AF$6:$AF$3005,"保留中")&gt;0,"保留",IF(COUNTIFS(請求記録!$B$6:$B$3005,$A232,請求記録!$Z$6:$Z$3005,J$5)=0,"",SUMIFS(請求記録!$AE$6:$AE$3005,請求記録!$B$6:$B$3005,$A232,請求記録!$Z$6:$Z$3005,J$5))))</f>
        <v/>
      </c>
      <c r="K232" s="19">
        <f>IF($A232="","",IF(COUNTIFS(請求記録!$B$6:$B$3005,$A232,請求記録!$Z$6:$Z$3005,K$5,請求記録!$AF$6:$AF$3005,"保留中")&gt;0,"保留",IF(COUNTIFS(請求記録!$B$6:$B$3005,$A232,請求記録!$Z$6:$Z$3005,K$5)=0,"",SUMIFS(請求記録!$AE$6:$AE$3005,請求記録!$B$6:$B$3005,$A232,請求記録!$Z$6:$Z$3005,K$5))))</f>
        <v/>
      </c>
      <c r="L232" s="19">
        <f>IF($A232="","",IF(COUNTIFS(請求記録!$B$6:$B$3005,$A232,請求記録!$Z$6:$Z$3005,L$5,請求記録!$AF$6:$AF$3005,"保留中")&gt;0,"保留",IF(COUNTIFS(請求記録!$B$6:$B$3005,$A232,請求記録!$Z$6:$Z$3005,L$5)=0,"",SUMIFS(請求記録!$AE$6:$AE$3005,請求記録!$B$6:$B$3005,$A232,請求記録!$Z$6:$Z$3005,L$5))))</f>
        <v/>
      </c>
      <c r="M232" s="19">
        <f>IF($A232="","",IF(COUNTIFS(請求記録!$B$6:$B$3005,$A232,請求記録!$Z$6:$Z$3005,M$5,請求記録!$AF$6:$AF$3005,"保留中")&gt;0,"保留",IF(COUNTIFS(請求記録!$B$6:$B$3005,$A232,請求記録!$Z$6:$Z$3005,M$5)=0,"",SUMIFS(請求記録!$AE$6:$AE$3005,請求記録!$B$6:$B$3005,$A232,請求記録!$Z$6:$Z$3005,M$5))))</f>
        <v/>
      </c>
      <c r="N232" s="19">
        <f>IF($A232="","",IF(COUNTIFS(請求記録!$B$6:$B$3005,$A232,請求記録!$Z$6:$Z$3005,N$5,請求記録!$AF$6:$AF$3005,"保留中")&gt;0,"保留",IF(COUNTIFS(請求記録!$B$6:$B$3005,$A232,請求記録!$Z$6:$Z$3005,N$5)=0,"",SUMIFS(請求記録!$AE$6:$AE$3005,請求記録!$B$6:$B$3005,$A232,請求記録!$Z$6:$Z$3005,N$5))))</f>
        <v/>
      </c>
      <c r="O232" s="19">
        <f>IF($A232="","",IF(COUNTIFS(請求記録!$B$6:$B$3005,$A232,請求記録!$Z$6:$Z$3005,O$5,請求記録!$AF$6:$AF$3005,"保留中")&gt;0,"保留",IF(COUNTIFS(請求記録!$B$6:$B$3005,$A232,請求記録!$Z$6:$Z$3005,O$5)=0,"",SUMIFS(請求記録!$AE$6:$AE$3005,請求記録!$B$6:$B$3005,$A232,請求記録!$Z$6:$Z$3005,O$5))))</f>
        <v/>
      </c>
      <c r="P232" s="19">
        <f>IF($A232="","",IF(COUNTIFS(請求記録!$B$6:$B$3005,$A232,請求記録!$Z$6:$Z$3005,P$5,請求記録!$AF$6:$AF$3005,"保留中")&gt;0,"保留",IF(COUNTIFS(請求記録!$B$6:$B$3005,$A232,請求記録!$Z$6:$Z$3005,P$5)=0,"",SUMIFS(請求記録!$AE$6:$AE$3005,請求記録!$B$6:$B$3005,$A232,請求記録!$Z$6:$Z$3005,P$5))))</f>
        <v/>
      </c>
      <c r="Q232" s="19">
        <f>IF($A232="","",IF(COUNTIFS(請求記録!$B$6:$B$3005,$A232,請求記録!$Z$6:$Z$3005,Q$5,請求記録!$AF$6:$AF$3005,"保留中")&gt;0,"保留",IF(COUNTIFS(請求記録!$B$6:$B$3005,$A232,請求記録!$Z$6:$Z$3005,Q$5)=0,"",SUMIFS(請求記録!$AE$6:$AE$3005,請求記録!$B$6:$B$3005,$A232,請求記録!$Z$6:$Z$3005,Q$5))))</f>
        <v/>
      </c>
      <c r="R232" s="19">
        <f>IF($A232="","",IF(COUNTIFS(請求記録!$B$6:$B$3005,$A232,請求記録!$Z$6:$Z$3005,R$5,請求記録!$AF$6:$AF$3005,"保留中")&gt;0,"保留",IF(COUNTIFS(請求記録!$B$6:$B$3005,$A232,請求記録!$Z$6:$Z$3005,R$5)=0,"",SUMIFS(請求記録!$AE$6:$AE$3005,請求記録!$B$6:$B$3005,$A232,請求記録!$Z$6:$Z$3005,R$5))))</f>
        <v/>
      </c>
      <c r="S232" s="19">
        <f>IF($A232="","",IF(COUNTIFS(請求記録!$B$6:$B$3005,$A232,請求記録!$Z$6:$Z$3005,S$5,請求記録!$AF$6:$AF$3005,"保留中")&gt;0,"保留",IF(COUNTIFS(請求記録!$B$6:$B$3005,$A232,請求記録!$Z$6:$Z$3005,S$5)=0,"",SUMIFS(請求記録!$AE$6:$AE$3005,請求記録!$B$6:$B$3005,$A232,請求記録!$Z$6:$Z$3005,S$5))))</f>
        <v/>
      </c>
      <c r="T232" s="19">
        <f>IF($A232="","",IF(COUNTIFS(請求記録!$B$6:$B$3005,$A232,請求記録!$Z$6:$Z$3005,T$5,請求記録!$AF$6:$AF$3005,"保留中")&gt;0,"保留",IF(COUNTIFS(請求記録!$B$6:$B$3005,$A232,請求記録!$Z$6:$Z$3005,T$5)=0,"",SUMIFS(請求記録!$AE$6:$AE$3005,請求記録!$B$6:$B$3005,$A232,請求記録!$Z$6:$Z$3005,T$5))))</f>
        <v/>
      </c>
      <c r="U232" s="19">
        <f>IF($A232="","",IF(COUNTIFS(請求記録!$B$6:$B$3005,$A232,請求記録!$Z$6:$Z$3005,U$5,請求記録!$AF$6:$AF$3005,"保留中")&gt;0,"保留",IF(COUNTIFS(請求記録!$B$6:$B$3005,$A232,請求記録!$Z$6:$Z$3005,U$5)=0,"",SUMIFS(請求記録!$AE$6:$AE$3005,請求記録!$B$6:$B$3005,$A232,請求記録!$Z$6:$Z$3005,U$5))))</f>
        <v/>
      </c>
      <c r="V232" s="19">
        <f>IF($A232="","",IF(COUNTIFS(請求記録!$B$6:$B$3005,$A232,請求記録!$Z$6:$Z$3005,V$5,請求記録!$AF$6:$AF$3005,"保留中")&gt;0,"保留",IF(COUNTIFS(請求記録!$B$6:$B$3005,$A232,請求記録!$Z$6:$Z$3005,V$5)=0,"",SUMIFS(請求記録!$AE$6:$AE$3005,請求記録!$B$6:$B$3005,$A232,請求記録!$Z$6:$Z$3005,V$5))))</f>
        <v/>
      </c>
      <c r="W232" s="19">
        <f>IF($A232="","",IF(COUNTIFS(請求記録!$B$6:$B$3005,$A232,請求記録!$Z$6:$Z$3005,W$5,請求記録!$AF$6:$AF$3005,"保留中")&gt;0,"保留",IF(COUNTIFS(請求記録!$B$6:$B$3005,$A232,請求記録!$Z$6:$Z$3005,W$5)=0,"",SUMIFS(請求記録!$AE$6:$AE$3005,請求記録!$B$6:$B$3005,$A232,請求記録!$Z$6:$Z$3005,W$5))))</f>
        <v/>
      </c>
      <c r="X232" s="19">
        <f>IF($A232="","",IF(COUNTIFS(請求記録!$B$6:$B$3005,$A232,請求記録!$Z$6:$Z$3005,X$5,請求記録!$AF$6:$AF$3005,"保留中")&gt;0,"保留",IF(COUNTIFS(請求記録!$B$6:$B$3005,$A232,請求記録!$Z$6:$Z$3005,X$5)=0,"",SUMIFS(請求記録!$AE$6:$AE$3005,請求記録!$B$6:$B$3005,$A232,請求記録!$Z$6:$Z$3005,X$5))))</f>
        <v/>
      </c>
      <c r="Y232" s="19">
        <f>IF($A232="","",IF(COUNTIFS(請求記録!$B$6:$B$3005,$A232,請求記録!$Z$6:$Z$3005,Y$5,請求記録!$AF$6:$AF$3005,"保留中")&gt;0,"保留",IF(COUNTIFS(請求記録!$B$6:$B$3005,$A232,請求記録!$Z$6:$Z$3005,Y$5)=0,"",SUMIFS(請求記録!$AE$6:$AE$3005,請求記録!$B$6:$B$3005,$A232,請求記録!$Z$6:$Z$3005,Y$5))))</f>
        <v/>
      </c>
      <c r="Z232" s="19">
        <f>IF($A232="","",IF(COUNTIFS(請求記録!$B$6:$B$3005,$A232,請求記録!$Z$6:$Z$3005,Z$5,請求記録!$AF$6:$AF$3005,"保留中")&gt;0,"保留",IF(COUNTIFS(請求記録!$B$6:$B$3005,$A232,請求記録!$Z$6:$Z$3005,Z$5)=0,"",SUMIFS(請求記録!$AE$6:$AE$3005,請求記録!$B$6:$B$3005,$A232,請求記録!$Z$6:$Z$3005,Z$5))))</f>
        <v/>
      </c>
      <c r="AA232" s="19">
        <f>IF($A232="","",IF(COUNTIFS(請求記録!$B$6:$B$3005,$A232,請求記録!$Z$6:$Z$3005,AA$5,請求記録!$AF$6:$AF$3005,"保留中")&gt;0,"保留",IF(COUNTIFS(請求記録!$B$6:$B$3005,$A232,請求記録!$Z$6:$Z$3005,AA$5)=0,"",SUMIFS(請求記録!$AE$6:$AE$3005,請求記録!$B$6:$B$3005,$A232,請求記録!$Z$6:$Z$3005,AA$5))))</f>
        <v/>
      </c>
      <c r="AB232">
        <f>IF(職員マスタ!P232="保留中",職員マスタ!M232,"")</f>
        <v/>
      </c>
    </row>
    <row r="233">
      <c r="A233">
        <f>IF(職員マスタ!A233="","",職員マスタ!A233)</f>
        <v/>
      </c>
      <c r="B233">
        <f>IF($A233="","",職員マスタ!B233)</f>
        <v/>
      </c>
      <c r="C233">
        <f>IF($A233="","",職員マスタ!C233)</f>
        <v/>
      </c>
      <c r="D233" s="19">
        <f>IF($A233="","",IF(COUNTIFS(請求記録!$B$6:$B$3005,$A233,請求記録!$Z$6:$Z$3005,D$5,請求記録!$AF$6:$AF$3005,"保留中")&gt;0,"保留",IF(COUNTIFS(請求記録!$B$6:$B$3005,$A233,請求記録!$Z$6:$Z$3005,D$5)=0,"",SUMIFS(請求記録!$AE$6:$AE$3005,請求記録!$B$6:$B$3005,$A233,請求記録!$Z$6:$Z$3005,D$5))))</f>
        <v/>
      </c>
      <c r="E233" s="19">
        <f>IF($A233="","",IF(COUNTIFS(請求記録!$B$6:$B$3005,$A233,請求記録!$Z$6:$Z$3005,E$5,請求記録!$AF$6:$AF$3005,"保留中")&gt;0,"保留",IF(COUNTIFS(請求記録!$B$6:$B$3005,$A233,請求記録!$Z$6:$Z$3005,E$5)=0,"",SUMIFS(請求記録!$AE$6:$AE$3005,請求記録!$B$6:$B$3005,$A233,請求記録!$Z$6:$Z$3005,E$5))))</f>
        <v/>
      </c>
      <c r="F233" s="19">
        <f>IF($A233="","",IF(COUNTIFS(請求記録!$B$6:$B$3005,$A233,請求記録!$Z$6:$Z$3005,F$5,請求記録!$AF$6:$AF$3005,"保留中")&gt;0,"保留",IF(COUNTIFS(請求記録!$B$6:$B$3005,$A233,請求記録!$Z$6:$Z$3005,F$5)=0,"",SUMIFS(請求記録!$AE$6:$AE$3005,請求記録!$B$6:$B$3005,$A233,請求記録!$Z$6:$Z$3005,F$5))))</f>
        <v/>
      </c>
      <c r="G233" s="19">
        <f>IF($A233="","",IF(COUNTIFS(請求記録!$B$6:$B$3005,$A233,請求記録!$Z$6:$Z$3005,G$5,請求記録!$AF$6:$AF$3005,"保留中")&gt;0,"保留",IF(COUNTIFS(請求記録!$B$6:$B$3005,$A233,請求記録!$Z$6:$Z$3005,G$5)=0,"",SUMIFS(請求記録!$AE$6:$AE$3005,請求記録!$B$6:$B$3005,$A233,請求記録!$Z$6:$Z$3005,G$5))))</f>
        <v/>
      </c>
      <c r="H233" s="19">
        <f>IF($A233="","",IF(COUNTIFS(請求記録!$B$6:$B$3005,$A233,請求記録!$Z$6:$Z$3005,H$5,請求記録!$AF$6:$AF$3005,"保留中")&gt;0,"保留",IF(COUNTIFS(請求記録!$B$6:$B$3005,$A233,請求記録!$Z$6:$Z$3005,H$5)=0,"",SUMIFS(請求記録!$AE$6:$AE$3005,請求記録!$B$6:$B$3005,$A233,請求記録!$Z$6:$Z$3005,H$5))))</f>
        <v/>
      </c>
      <c r="I233" s="19">
        <f>IF($A233="","",IF(COUNTIFS(請求記録!$B$6:$B$3005,$A233,請求記録!$Z$6:$Z$3005,I$5,請求記録!$AF$6:$AF$3005,"保留中")&gt;0,"保留",IF(COUNTIFS(請求記録!$B$6:$B$3005,$A233,請求記録!$Z$6:$Z$3005,I$5)=0,"",SUMIFS(請求記録!$AE$6:$AE$3005,請求記録!$B$6:$B$3005,$A233,請求記録!$Z$6:$Z$3005,I$5))))</f>
        <v/>
      </c>
      <c r="J233" s="19">
        <f>IF($A233="","",IF(COUNTIFS(請求記録!$B$6:$B$3005,$A233,請求記録!$Z$6:$Z$3005,J$5,請求記録!$AF$6:$AF$3005,"保留中")&gt;0,"保留",IF(COUNTIFS(請求記録!$B$6:$B$3005,$A233,請求記録!$Z$6:$Z$3005,J$5)=0,"",SUMIFS(請求記録!$AE$6:$AE$3005,請求記録!$B$6:$B$3005,$A233,請求記録!$Z$6:$Z$3005,J$5))))</f>
        <v/>
      </c>
      <c r="K233" s="19">
        <f>IF($A233="","",IF(COUNTIFS(請求記録!$B$6:$B$3005,$A233,請求記録!$Z$6:$Z$3005,K$5,請求記録!$AF$6:$AF$3005,"保留中")&gt;0,"保留",IF(COUNTIFS(請求記録!$B$6:$B$3005,$A233,請求記録!$Z$6:$Z$3005,K$5)=0,"",SUMIFS(請求記録!$AE$6:$AE$3005,請求記録!$B$6:$B$3005,$A233,請求記録!$Z$6:$Z$3005,K$5))))</f>
        <v/>
      </c>
      <c r="L233" s="19">
        <f>IF($A233="","",IF(COUNTIFS(請求記録!$B$6:$B$3005,$A233,請求記録!$Z$6:$Z$3005,L$5,請求記録!$AF$6:$AF$3005,"保留中")&gt;0,"保留",IF(COUNTIFS(請求記録!$B$6:$B$3005,$A233,請求記録!$Z$6:$Z$3005,L$5)=0,"",SUMIFS(請求記録!$AE$6:$AE$3005,請求記録!$B$6:$B$3005,$A233,請求記録!$Z$6:$Z$3005,L$5))))</f>
        <v/>
      </c>
      <c r="M233" s="19">
        <f>IF($A233="","",IF(COUNTIFS(請求記録!$B$6:$B$3005,$A233,請求記録!$Z$6:$Z$3005,M$5,請求記録!$AF$6:$AF$3005,"保留中")&gt;0,"保留",IF(COUNTIFS(請求記録!$B$6:$B$3005,$A233,請求記録!$Z$6:$Z$3005,M$5)=0,"",SUMIFS(請求記録!$AE$6:$AE$3005,請求記録!$B$6:$B$3005,$A233,請求記録!$Z$6:$Z$3005,M$5))))</f>
        <v/>
      </c>
      <c r="N233" s="19">
        <f>IF($A233="","",IF(COUNTIFS(請求記録!$B$6:$B$3005,$A233,請求記録!$Z$6:$Z$3005,N$5,請求記録!$AF$6:$AF$3005,"保留中")&gt;0,"保留",IF(COUNTIFS(請求記録!$B$6:$B$3005,$A233,請求記録!$Z$6:$Z$3005,N$5)=0,"",SUMIFS(請求記録!$AE$6:$AE$3005,請求記録!$B$6:$B$3005,$A233,請求記録!$Z$6:$Z$3005,N$5))))</f>
        <v/>
      </c>
      <c r="O233" s="19">
        <f>IF($A233="","",IF(COUNTIFS(請求記録!$B$6:$B$3005,$A233,請求記録!$Z$6:$Z$3005,O$5,請求記録!$AF$6:$AF$3005,"保留中")&gt;0,"保留",IF(COUNTIFS(請求記録!$B$6:$B$3005,$A233,請求記録!$Z$6:$Z$3005,O$5)=0,"",SUMIFS(請求記録!$AE$6:$AE$3005,請求記録!$B$6:$B$3005,$A233,請求記録!$Z$6:$Z$3005,O$5))))</f>
        <v/>
      </c>
      <c r="P233" s="19">
        <f>IF($A233="","",IF(COUNTIFS(請求記録!$B$6:$B$3005,$A233,請求記録!$Z$6:$Z$3005,P$5,請求記録!$AF$6:$AF$3005,"保留中")&gt;0,"保留",IF(COUNTIFS(請求記録!$B$6:$B$3005,$A233,請求記録!$Z$6:$Z$3005,P$5)=0,"",SUMIFS(請求記録!$AE$6:$AE$3005,請求記録!$B$6:$B$3005,$A233,請求記録!$Z$6:$Z$3005,P$5))))</f>
        <v/>
      </c>
      <c r="Q233" s="19">
        <f>IF($A233="","",IF(COUNTIFS(請求記録!$B$6:$B$3005,$A233,請求記録!$Z$6:$Z$3005,Q$5,請求記録!$AF$6:$AF$3005,"保留中")&gt;0,"保留",IF(COUNTIFS(請求記録!$B$6:$B$3005,$A233,請求記録!$Z$6:$Z$3005,Q$5)=0,"",SUMIFS(請求記録!$AE$6:$AE$3005,請求記録!$B$6:$B$3005,$A233,請求記録!$Z$6:$Z$3005,Q$5))))</f>
        <v/>
      </c>
      <c r="R233" s="19">
        <f>IF($A233="","",IF(COUNTIFS(請求記録!$B$6:$B$3005,$A233,請求記録!$Z$6:$Z$3005,R$5,請求記録!$AF$6:$AF$3005,"保留中")&gt;0,"保留",IF(COUNTIFS(請求記録!$B$6:$B$3005,$A233,請求記録!$Z$6:$Z$3005,R$5)=0,"",SUMIFS(請求記録!$AE$6:$AE$3005,請求記録!$B$6:$B$3005,$A233,請求記録!$Z$6:$Z$3005,R$5))))</f>
        <v/>
      </c>
      <c r="S233" s="19">
        <f>IF($A233="","",IF(COUNTIFS(請求記録!$B$6:$B$3005,$A233,請求記録!$Z$6:$Z$3005,S$5,請求記録!$AF$6:$AF$3005,"保留中")&gt;0,"保留",IF(COUNTIFS(請求記録!$B$6:$B$3005,$A233,請求記録!$Z$6:$Z$3005,S$5)=0,"",SUMIFS(請求記録!$AE$6:$AE$3005,請求記録!$B$6:$B$3005,$A233,請求記録!$Z$6:$Z$3005,S$5))))</f>
        <v/>
      </c>
      <c r="T233" s="19">
        <f>IF($A233="","",IF(COUNTIFS(請求記録!$B$6:$B$3005,$A233,請求記録!$Z$6:$Z$3005,T$5,請求記録!$AF$6:$AF$3005,"保留中")&gt;0,"保留",IF(COUNTIFS(請求記録!$B$6:$B$3005,$A233,請求記録!$Z$6:$Z$3005,T$5)=0,"",SUMIFS(請求記録!$AE$6:$AE$3005,請求記録!$B$6:$B$3005,$A233,請求記録!$Z$6:$Z$3005,T$5))))</f>
        <v/>
      </c>
      <c r="U233" s="19">
        <f>IF($A233="","",IF(COUNTIFS(請求記録!$B$6:$B$3005,$A233,請求記録!$Z$6:$Z$3005,U$5,請求記録!$AF$6:$AF$3005,"保留中")&gt;0,"保留",IF(COUNTIFS(請求記録!$B$6:$B$3005,$A233,請求記録!$Z$6:$Z$3005,U$5)=0,"",SUMIFS(請求記録!$AE$6:$AE$3005,請求記録!$B$6:$B$3005,$A233,請求記録!$Z$6:$Z$3005,U$5))))</f>
        <v/>
      </c>
      <c r="V233" s="19">
        <f>IF($A233="","",IF(COUNTIFS(請求記録!$B$6:$B$3005,$A233,請求記録!$Z$6:$Z$3005,V$5,請求記録!$AF$6:$AF$3005,"保留中")&gt;0,"保留",IF(COUNTIFS(請求記録!$B$6:$B$3005,$A233,請求記録!$Z$6:$Z$3005,V$5)=0,"",SUMIFS(請求記録!$AE$6:$AE$3005,請求記録!$B$6:$B$3005,$A233,請求記録!$Z$6:$Z$3005,V$5))))</f>
        <v/>
      </c>
      <c r="W233" s="19">
        <f>IF($A233="","",IF(COUNTIFS(請求記録!$B$6:$B$3005,$A233,請求記録!$Z$6:$Z$3005,W$5,請求記録!$AF$6:$AF$3005,"保留中")&gt;0,"保留",IF(COUNTIFS(請求記録!$B$6:$B$3005,$A233,請求記録!$Z$6:$Z$3005,W$5)=0,"",SUMIFS(請求記録!$AE$6:$AE$3005,請求記録!$B$6:$B$3005,$A233,請求記録!$Z$6:$Z$3005,W$5))))</f>
        <v/>
      </c>
      <c r="X233" s="19">
        <f>IF($A233="","",IF(COUNTIFS(請求記録!$B$6:$B$3005,$A233,請求記録!$Z$6:$Z$3005,X$5,請求記録!$AF$6:$AF$3005,"保留中")&gt;0,"保留",IF(COUNTIFS(請求記録!$B$6:$B$3005,$A233,請求記録!$Z$6:$Z$3005,X$5)=0,"",SUMIFS(請求記録!$AE$6:$AE$3005,請求記録!$B$6:$B$3005,$A233,請求記録!$Z$6:$Z$3005,X$5))))</f>
        <v/>
      </c>
      <c r="Y233" s="19">
        <f>IF($A233="","",IF(COUNTIFS(請求記録!$B$6:$B$3005,$A233,請求記録!$Z$6:$Z$3005,Y$5,請求記録!$AF$6:$AF$3005,"保留中")&gt;0,"保留",IF(COUNTIFS(請求記録!$B$6:$B$3005,$A233,請求記録!$Z$6:$Z$3005,Y$5)=0,"",SUMIFS(請求記録!$AE$6:$AE$3005,請求記録!$B$6:$B$3005,$A233,請求記録!$Z$6:$Z$3005,Y$5))))</f>
        <v/>
      </c>
      <c r="Z233" s="19">
        <f>IF($A233="","",IF(COUNTIFS(請求記録!$B$6:$B$3005,$A233,請求記録!$Z$6:$Z$3005,Z$5,請求記録!$AF$6:$AF$3005,"保留中")&gt;0,"保留",IF(COUNTIFS(請求記録!$B$6:$B$3005,$A233,請求記録!$Z$6:$Z$3005,Z$5)=0,"",SUMIFS(請求記録!$AE$6:$AE$3005,請求記録!$B$6:$B$3005,$A233,請求記録!$Z$6:$Z$3005,Z$5))))</f>
        <v/>
      </c>
      <c r="AA233" s="19">
        <f>IF($A233="","",IF(COUNTIFS(請求記録!$B$6:$B$3005,$A233,請求記録!$Z$6:$Z$3005,AA$5,請求記録!$AF$6:$AF$3005,"保留中")&gt;0,"保留",IF(COUNTIFS(請求記録!$B$6:$B$3005,$A233,請求記録!$Z$6:$Z$3005,AA$5)=0,"",SUMIFS(請求記録!$AE$6:$AE$3005,請求記録!$B$6:$B$3005,$A233,請求記録!$Z$6:$Z$3005,AA$5))))</f>
        <v/>
      </c>
      <c r="AB233">
        <f>IF(職員マスタ!P233="保留中",職員マスタ!M233,"")</f>
        <v/>
      </c>
    </row>
    <row r="234">
      <c r="A234">
        <f>IF(職員マスタ!A234="","",職員マスタ!A234)</f>
        <v/>
      </c>
      <c r="B234">
        <f>IF($A234="","",職員マスタ!B234)</f>
        <v/>
      </c>
      <c r="C234">
        <f>IF($A234="","",職員マスタ!C234)</f>
        <v/>
      </c>
      <c r="D234" s="19">
        <f>IF($A234="","",IF(COUNTIFS(請求記録!$B$6:$B$3005,$A234,請求記録!$Z$6:$Z$3005,D$5,請求記録!$AF$6:$AF$3005,"保留中")&gt;0,"保留",IF(COUNTIFS(請求記録!$B$6:$B$3005,$A234,請求記録!$Z$6:$Z$3005,D$5)=0,"",SUMIFS(請求記録!$AE$6:$AE$3005,請求記録!$B$6:$B$3005,$A234,請求記録!$Z$6:$Z$3005,D$5))))</f>
        <v/>
      </c>
      <c r="E234" s="19">
        <f>IF($A234="","",IF(COUNTIFS(請求記録!$B$6:$B$3005,$A234,請求記録!$Z$6:$Z$3005,E$5,請求記録!$AF$6:$AF$3005,"保留中")&gt;0,"保留",IF(COUNTIFS(請求記録!$B$6:$B$3005,$A234,請求記録!$Z$6:$Z$3005,E$5)=0,"",SUMIFS(請求記録!$AE$6:$AE$3005,請求記録!$B$6:$B$3005,$A234,請求記録!$Z$6:$Z$3005,E$5))))</f>
        <v/>
      </c>
      <c r="F234" s="19">
        <f>IF($A234="","",IF(COUNTIFS(請求記録!$B$6:$B$3005,$A234,請求記録!$Z$6:$Z$3005,F$5,請求記録!$AF$6:$AF$3005,"保留中")&gt;0,"保留",IF(COUNTIFS(請求記録!$B$6:$B$3005,$A234,請求記録!$Z$6:$Z$3005,F$5)=0,"",SUMIFS(請求記録!$AE$6:$AE$3005,請求記録!$B$6:$B$3005,$A234,請求記録!$Z$6:$Z$3005,F$5))))</f>
        <v/>
      </c>
      <c r="G234" s="19">
        <f>IF($A234="","",IF(COUNTIFS(請求記録!$B$6:$B$3005,$A234,請求記録!$Z$6:$Z$3005,G$5,請求記録!$AF$6:$AF$3005,"保留中")&gt;0,"保留",IF(COUNTIFS(請求記録!$B$6:$B$3005,$A234,請求記録!$Z$6:$Z$3005,G$5)=0,"",SUMIFS(請求記録!$AE$6:$AE$3005,請求記録!$B$6:$B$3005,$A234,請求記録!$Z$6:$Z$3005,G$5))))</f>
        <v/>
      </c>
      <c r="H234" s="19">
        <f>IF($A234="","",IF(COUNTIFS(請求記録!$B$6:$B$3005,$A234,請求記録!$Z$6:$Z$3005,H$5,請求記録!$AF$6:$AF$3005,"保留中")&gt;0,"保留",IF(COUNTIFS(請求記録!$B$6:$B$3005,$A234,請求記録!$Z$6:$Z$3005,H$5)=0,"",SUMIFS(請求記録!$AE$6:$AE$3005,請求記録!$B$6:$B$3005,$A234,請求記録!$Z$6:$Z$3005,H$5))))</f>
        <v/>
      </c>
      <c r="I234" s="19">
        <f>IF($A234="","",IF(COUNTIFS(請求記録!$B$6:$B$3005,$A234,請求記録!$Z$6:$Z$3005,I$5,請求記録!$AF$6:$AF$3005,"保留中")&gt;0,"保留",IF(COUNTIFS(請求記録!$B$6:$B$3005,$A234,請求記録!$Z$6:$Z$3005,I$5)=0,"",SUMIFS(請求記録!$AE$6:$AE$3005,請求記録!$B$6:$B$3005,$A234,請求記録!$Z$6:$Z$3005,I$5))))</f>
        <v/>
      </c>
      <c r="J234" s="19">
        <f>IF($A234="","",IF(COUNTIFS(請求記録!$B$6:$B$3005,$A234,請求記録!$Z$6:$Z$3005,J$5,請求記録!$AF$6:$AF$3005,"保留中")&gt;0,"保留",IF(COUNTIFS(請求記録!$B$6:$B$3005,$A234,請求記録!$Z$6:$Z$3005,J$5)=0,"",SUMIFS(請求記録!$AE$6:$AE$3005,請求記録!$B$6:$B$3005,$A234,請求記録!$Z$6:$Z$3005,J$5))))</f>
        <v/>
      </c>
      <c r="K234" s="19">
        <f>IF($A234="","",IF(COUNTIFS(請求記録!$B$6:$B$3005,$A234,請求記録!$Z$6:$Z$3005,K$5,請求記録!$AF$6:$AF$3005,"保留中")&gt;0,"保留",IF(COUNTIFS(請求記録!$B$6:$B$3005,$A234,請求記録!$Z$6:$Z$3005,K$5)=0,"",SUMIFS(請求記録!$AE$6:$AE$3005,請求記録!$B$6:$B$3005,$A234,請求記録!$Z$6:$Z$3005,K$5))))</f>
        <v/>
      </c>
      <c r="L234" s="19">
        <f>IF($A234="","",IF(COUNTIFS(請求記録!$B$6:$B$3005,$A234,請求記録!$Z$6:$Z$3005,L$5,請求記録!$AF$6:$AF$3005,"保留中")&gt;0,"保留",IF(COUNTIFS(請求記録!$B$6:$B$3005,$A234,請求記録!$Z$6:$Z$3005,L$5)=0,"",SUMIFS(請求記録!$AE$6:$AE$3005,請求記録!$B$6:$B$3005,$A234,請求記録!$Z$6:$Z$3005,L$5))))</f>
        <v/>
      </c>
      <c r="M234" s="19">
        <f>IF($A234="","",IF(COUNTIFS(請求記録!$B$6:$B$3005,$A234,請求記録!$Z$6:$Z$3005,M$5,請求記録!$AF$6:$AF$3005,"保留中")&gt;0,"保留",IF(COUNTIFS(請求記録!$B$6:$B$3005,$A234,請求記録!$Z$6:$Z$3005,M$5)=0,"",SUMIFS(請求記録!$AE$6:$AE$3005,請求記録!$B$6:$B$3005,$A234,請求記録!$Z$6:$Z$3005,M$5))))</f>
        <v/>
      </c>
      <c r="N234" s="19">
        <f>IF($A234="","",IF(COUNTIFS(請求記録!$B$6:$B$3005,$A234,請求記録!$Z$6:$Z$3005,N$5,請求記録!$AF$6:$AF$3005,"保留中")&gt;0,"保留",IF(COUNTIFS(請求記録!$B$6:$B$3005,$A234,請求記録!$Z$6:$Z$3005,N$5)=0,"",SUMIFS(請求記録!$AE$6:$AE$3005,請求記録!$B$6:$B$3005,$A234,請求記録!$Z$6:$Z$3005,N$5))))</f>
        <v/>
      </c>
      <c r="O234" s="19">
        <f>IF($A234="","",IF(COUNTIFS(請求記録!$B$6:$B$3005,$A234,請求記録!$Z$6:$Z$3005,O$5,請求記録!$AF$6:$AF$3005,"保留中")&gt;0,"保留",IF(COUNTIFS(請求記録!$B$6:$B$3005,$A234,請求記録!$Z$6:$Z$3005,O$5)=0,"",SUMIFS(請求記録!$AE$6:$AE$3005,請求記録!$B$6:$B$3005,$A234,請求記録!$Z$6:$Z$3005,O$5))))</f>
        <v/>
      </c>
      <c r="P234" s="19">
        <f>IF($A234="","",IF(COUNTIFS(請求記録!$B$6:$B$3005,$A234,請求記録!$Z$6:$Z$3005,P$5,請求記録!$AF$6:$AF$3005,"保留中")&gt;0,"保留",IF(COUNTIFS(請求記録!$B$6:$B$3005,$A234,請求記録!$Z$6:$Z$3005,P$5)=0,"",SUMIFS(請求記録!$AE$6:$AE$3005,請求記録!$B$6:$B$3005,$A234,請求記録!$Z$6:$Z$3005,P$5))))</f>
        <v/>
      </c>
      <c r="Q234" s="19">
        <f>IF($A234="","",IF(COUNTIFS(請求記録!$B$6:$B$3005,$A234,請求記録!$Z$6:$Z$3005,Q$5,請求記録!$AF$6:$AF$3005,"保留中")&gt;0,"保留",IF(COUNTIFS(請求記録!$B$6:$B$3005,$A234,請求記録!$Z$6:$Z$3005,Q$5)=0,"",SUMIFS(請求記録!$AE$6:$AE$3005,請求記録!$B$6:$B$3005,$A234,請求記録!$Z$6:$Z$3005,Q$5))))</f>
        <v/>
      </c>
      <c r="R234" s="19">
        <f>IF($A234="","",IF(COUNTIFS(請求記録!$B$6:$B$3005,$A234,請求記録!$Z$6:$Z$3005,R$5,請求記録!$AF$6:$AF$3005,"保留中")&gt;0,"保留",IF(COUNTIFS(請求記録!$B$6:$B$3005,$A234,請求記録!$Z$6:$Z$3005,R$5)=0,"",SUMIFS(請求記録!$AE$6:$AE$3005,請求記録!$B$6:$B$3005,$A234,請求記録!$Z$6:$Z$3005,R$5))))</f>
        <v/>
      </c>
      <c r="S234" s="19">
        <f>IF($A234="","",IF(COUNTIFS(請求記録!$B$6:$B$3005,$A234,請求記録!$Z$6:$Z$3005,S$5,請求記録!$AF$6:$AF$3005,"保留中")&gt;0,"保留",IF(COUNTIFS(請求記録!$B$6:$B$3005,$A234,請求記録!$Z$6:$Z$3005,S$5)=0,"",SUMIFS(請求記録!$AE$6:$AE$3005,請求記録!$B$6:$B$3005,$A234,請求記録!$Z$6:$Z$3005,S$5))))</f>
        <v/>
      </c>
      <c r="T234" s="19">
        <f>IF($A234="","",IF(COUNTIFS(請求記録!$B$6:$B$3005,$A234,請求記録!$Z$6:$Z$3005,T$5,請求記録!$AF$6:$AF$3005,"保留中")&gt;0,"保留",IF(COUNTIFS(請求記録!$B$6:$B$3005,$A234,請求記録!$Z$6:$Z$3005,T$5)=0,"",SUMIFS(請求記録!$AE$6:$AE$3005,請求記録!$B$6:$B$3005,$A234,請求記録!$Z$6:$Z$3005,T$5))))</f>
        <v/>
      </c>
      <c r="U234" s="19">
        <f>IF($A234="","",IF(COUNTIFS(請求記録!$B$6:$B$3005,$A234,請求記録!$Z$6:$Z$3005,U$5,請求記録!$AF$6:$AF$3005,"保留中")&gt;0,"保留",IF(COUNTIFS(請求記録!$B$6:$B$3005,$A234,請求記録!$Z$6:$Z$3005,U$5)=0,"",SUMIFS(請求記録!$AE$6:$AE$3005,請求記録!$B$6:$B$3005,$A234,請求記録!$Z$6:$Z$3005,U$5))))</f>
        <v/>
      </c>
      <c r="V234" s="19">
        <f>IF($A234="","",IF(COUNTIFS(請求記録!$B$6:$B$3005,$A234,請求記録!$Z$6:$Z$3005,V$5,請求記録!$AF$6:$AF$3005,"保留中")&gt;0,"保留",IF(COUNTIFS(請求記録!$B$6:$B$3005,$A234,請求記録!$Z$6:$Z$3005,V$5)=0,"",SUMIFS(請求記録!$AE$6:$AE$3005,請求記録!$B$6:$B$3005,$A234,請求記録!$Z$6:$Z$3005,V$5))))</f>
        <v/>
      </c>
      <c r="W234" s="19">
        <f>IF($A234="","",IF(COUNTIFS(請求記録!$B$6:$B$3005,$A234,請求記録!$Z$6:$Z$3005,W$5,請求記録!$AF$6:$AF$3005,"保留中")&gt;0,"保留",IF(COUNTIFS(請求記録!$B$6:$B$3005,$A234,請求記録!$Z$6:$Z$3005,W$5)=0,"",SUMIFS(請求記録!$AE$6:$AE$3005,請求記録!$B$6:$B$3005,$A234,請求記録!$Z$6:$Z$3005,W$5))))</f>
        <v/>
      </c>
      <c r="X234" s="19">
        <f>IF($A234="","",IF(COUNTIFS(請求記録!$B$6:$B$3005,$A234,請求記録!$Z$6:$Z$3005,X$5,請求記録!$AF$6:$AF$3005,"保留中")&gt;0,"保留",IF(COUNTIFS(請求記録!$B$6:$B$3005,$A234,請求記録!$Z$6:$Z$3005,X$5)=0,"",SUMIFS(請求記録!$AE$6:$AE$3005,請求記録!$B$6:$B$3005,$A234,請求記録!$Z$6:$Z$3005,X$5))))</f>
        <v/>
      </c>
      <c r="Y234" s="19">
        <f>IF($A234="","",IF(COUNTIFS(請求記録!$B$6:$B$3005,$A234,請求記録!$Z$6:$Z$3005,Y$5,請求記録!$AF$6:$AF$3005,"保留中")&gt;0,"保留",IF(COUNTIFS(請求記録!$B$6:$B$3005,$A234,請求記録!$Z$6:$Z$3005,Y$5)=0,"",SUMIFS(請求記録!$AE$6:$AE$3005,請求記録!$B$6:$B$3005,$A234,請求記録!$Z$6:$Z$3005,Y$5))))</f>
        <v/>
      </c>
      <c r="Z234" s="19">
        <f>IF($A234="","",IF(COUNTIFS(請求記録!$B$6:$B$3005,$A234,請求記録!$Z$6:$Z$3005,Z$5,請求記録!$AF$6:$AF$3005,"保留中")&gt;0,"保留",IF(COUNTIFS(請求記録!$B$6:$B$3005,$A234,請求記録!$Z$6:$Z$3005,Z$5)=0,"",SUMIFS(請求記録!$AE$6:$AE$3005,請求記録!$B$6:$B$3005,$A234,請求記録!$Z$6:$Z$3005,Z$5))))</f>
        <v/>
      </c>
      <c r="AA234" s="19">
        <f>IF($A234="","",IF(COUNTIFS(請求記録!$B$6:$B$3005,$A234,請求記録!$Z$6:$Z$3005,AA$5,請求記録!$AF$6:$AF$3005,"保留中")&gt;0,"保留",IF(COUNTIFS(請求記録!$B$6:$B$3005,$A234,請求記録!$Z$6:$Z$3005,AA$5)=0,"",SUMIFS(請求記録!$AE$6:$AE$3005,請求記録!$B$6:$B$3005,$A234,請求記録!$Z$6:$Z$3005,AA$5))))</f>
        <v/>
      </c>
      <c r="AB234">
        <f>IF(職員マスタ!P234="保留中",職員マスタ!M234,"")</f>
        <v/>
      </c>
    </row>
    <row r="235">
      <c r="A235">
        <f>IF(職員マスタ!A235="","",職員マスタ!A235)</f>
        <v/>
      </c>
      <c r="B235">
        <f>IF($A235="","",職員マスタ!B235)</f>
        <v/>
      </c>
      <c r="C235">
        <f>IF($A235="","",職員マスタ!C235)</f>
        <v/>
      </c>
      <c r="D235" s="19">
        <f>IF($A235="","",IF(COUNTIFS(請求記録!$B$6:$B$3005,$A235,請求記録!$Z$6:$Z$3005,D$5,請求記録!$AF$6:$AF$3005,"保留中")&gt;0,"保留",IF(COUNTIFS(請求記録!$B$6:$B$3005,$A235,請求記録!$Z$6:$Z$3005,D$5)=0,"",SUMIFS(請求記録!$AE$6:$AE$3005,請求記録!$B$6:$B$3005,$A235,請求記録!$Z$6:$Z$3005,D$5))))</f>
        <v/>
      </c>
      <c r="E235" s="19">
        <f>IF($A235="","",IF(COUNTIFS(請求記録!$B$6:$B$3005,$A235,請求記録!$Z$6:$Z$3005,E$5,請求記録!$AF$6:$AF$3005,"保留中")&gt;0,"保留",IF(COUNTIFS(請求記録!$B$6:$B$3005,$A235,請求記録!$Z$6:$Z$3005,E$5)=0,"",SUMIFS(請求記録!$AE$6:$AE$3005,請求記録!$B$6:$B$3005,$A235,請求記録!$Z$6:$Z$3005,E$5))))</f>
        <v/>
      </c>
      <c r="F235" s="19">
        <f>IF($A235="","",IF(COUNTIFS(請求記録!$B$6:$B$3005,$A235,請求記録!$Z$6:$Z$3005,F$5,請求記録!$AF$6:$AF$3005,"保留中")&gt;0,"保留",IF(COUNTIFS(請求記録!$B$6:$B$3005,$A235,請求記録!$Z$6:$Z$3005,F$5)=0,"",SUMIFS(請求記録!$AE$6:$AE$3005,請求記録!$B$6:$B$3005,$A235,請求記録!$Z$6:$Z$3005,F$5))))</f>
        <v/>
      </c>
      <c r="G235" s="19">
        <f>IF($A235="","",IF(COUNTIFS(請求記録!$B$6:$B$3005,$A235,請求記録!$Z$6:$Z$3005,G$5,請求記録!$AF$6:$AF$3005,"保留中")&gt;0,"保留",IF(COUNTIFS(請求記録!$B$6:$B$3005,$A235,請求記録!$Z$6:$Z$3005,G$5)=0,"",SUMIFS(請求記録!$AE$6:$AE$3005,請求記録!$B$6:$B$3005,$A235,請求記録!$Z$6:$Z$3005,G$5))))</f>
        <v/>
      </c>
      <c r="H235" s="19">
        <f>IF($A235="","",IF(COUNTIFS(請求記録!$B$6:$B$3005,$A235,請求記録!$Z$6:$Z$3005,H$5,請求記録!$AF$6:$AF$3005,"保留中")&gt;0,"保留",IF(COUNTIFS(請求記録!$B$6:$B$3005,$A235,請求記録!$Z$6:$Z$3005,H$5)=0,"",SUMIFS(請求記録!$AE$6:$AE$3005,請求記録!$B$6:$B$3005,$A235,請求記録!$Z$6:$Z$3005,H$5))))</f>
        <v/>
      </c>
      <c r="I235" s="19">
        <f>IF($A235="","",IF(COUNTIFS(請求記録!$B$6:$B$3005,$A235,請求記録!$Z$6:$Z$3005,I$5,請求記録!$AF$6:$AF$3005,"保留中")&gt;0,"保留",IF(COUNTIFS(請求記録!$B$6:$B$3005,$A235,請求記録!$Z$6:$Z$3005,I$5)=0,"",SUMIFS(請求記録!$AE$6:$AE$3005,請求記録!$B$6:$B$3005,$A235,請求記録!$Z$6:$Z$3005,I$5))))</f>
        <v/>
      </c>
      <c r="J235" s="19">
        <f>IF($A235="","",IF(COUNTIFS(請求記録!$B$6:$B$3005,$A235,請求記録!$Z$6:$Z$3005,J$5,請求記録!$AF$6:$AF$3005,"保留中")&gt;0,"保留",IF(COUNTIFS(請求記録!$B$6:$B$3005,$A235,請求記録!$Z$6:$Z$3005,J$5)=0,"",SUMIFS(請求記録!$AE$6:$AE$3005,請求記録!$B$6:$B$3005,$A235,請求記録!$Z$6:$Z$3005,J$5))))</f>
        <v/>
      </c>
      <c r="K235" s="19">
        <f>IF($A235="","",IF(COUNTIFS(請求記録!$B$6:$B$3005,$A235,請求記録!$Z$6:$Z$3005,K$5,請求記録!$AF$6:$AF$3005,"保留中")&gt;0,"保留",IF(COUNTIFS(請求記録!$B$6:$B$3005,$A235,請求記録!$Z$6:$Z$3005,K$5)=0,"",SUMIFS(請求記録!$AE$6:$AE$3005,請求記録!$B$6:$B$3005,$A235,請求記録!$Z$6:$Z$3005,K$5))))</f>
        <v/>
      </c>
      <c r="L235" s="19">
        <f>IF($A235="","",IF(COUNTIFS(請求記録!$B$6:$B$3005,$A235,請求記録!$Z$6:$Z$3005,L$5,請求記録!$AF$6:$AF$3005,"保留中")&gt;0,"保留",IF(COUNTIFS(請求記録!$B$6:$B$3005,$A235,請求記録!$Z$6:$Z$3005,L$5)=0,"",SUMIFS(請求記録!$AE$6:$AE$3005,請求記録!$B$6:$B$3005,$A235,請求記録!$Z$6:$Z$3005,L$5))))</f>
        <v/>
      </c>
      <c r="M235" s="19">
        <f>IF($A235="","",IF(COUNTIFS(請求記録!$B$6:$B$3005,$A235,請求記録!$Z$6:$Z$3005,M$5,請求記録!$AF$6:$AF$3005,"保留中")&gt;0,"保留",IF(COUNTIFS(請求記録!$B$6:$B$3005,$A235,請求記録!$Z$6:$Z$3005,M$5)=0,"",SUMIFS(請求記録!$AE$6:$AE$3005,請求記録!$B$6:$B$3005,$A235,請求記録!$Z$6:$Z$3005,M$5))))</f>
        <v/>
      </c>
      <c r="N235" s="19">
        <f>IF($A235="","",IF(COUNTIFS(請求記録!$B$6:$B$3005,$A235,請求記録!$Z$6:$Z$3005,N$5,請求記録!$AF$6:$AF$3005,"保留中")&gt;0,"保留",IF(COUNTIFS(請求記録!$B$6:$B$3005,$A235,請求記録!$Z$6:$Z$3005,N$5)=0,"",SUMIFS(請求記録!$AE$6:$AE$3005,請求記録!$B$6:$B$3005,$A235,請求記録!$Z$6:$Z$3005,N$5))))</f>
        <v/>
      </c>
      <c r="O235" s="19">
        <f>IF($A235="","",IF(COUNTIFS(請求記録!$B$6:$B$3005,$A235,請求記録!$Z$6:$Z$3005,O$5,請求記録!$AF$6:$AF$3005,"保留中")&gt;0,"保留",IF(COUNTIFS(請求記録!$B$6:$B$3005,$A235,請求記録!$Z$6:$Z$3005,O$5)=0,"",SUMIFS(請求記録!$AE$6:$AE$3005,請求記録!$B$6:$B$3005,$A235,請求記録!$Z$6:$Z$3005,O$5))))</f>
        <v/>
      </c>
      <c r="P235" s="19">
        <f>IF($A235="","",IF(COUNTIFS(請求記録!$B$6:$B$3005,$A235,請求記録!$Z$6:$Z$3005,P$5,請求記録!$AF$6:$AF$3005,"保留中")&gt;0,"保留",IF(COUNTIFS(請求記録!$B$6:$B$3005,$A235,請求記録!$Z$6:$Z$3005,P$5)=0,"",SUMIFS(請求記録!$AE$6:$AE$3005,請求記録!$B$6:$B$3005,$A235,請求記録!$Z$6:$Z$3005,P$5))))</f>
        <v/>
      </c>
      <c r="Q235" s="19">
        <f>IF($A235="","",IF(COUNTIFS(請求記録!$B$6:$B$3005,$A235,請求記録!$Z$6:$Z$3005,Q$5,請求記録!$AF$6:$AF$3005,"保留中")&gt;0,"保留",IF(COUNTIFS(請求記録!$B$6:$B$3005,$A235,請求記録!$Z$6:$Z$3005,Q$5)=0,"",SUMIFS(請求記録!$AE$6:$AE$3005,請求記録!$B$6:$B$3005,$A235,請求記録!$Z$6:$Z$3005,Q$5))))</f>
        <v/>
      </c>
      <c r="R235" s="19">
        <f>IF($A235="","",IF(COUNTIFS(請求記録!$B$6:$B$3005,$A235,請求記録!$Z$6:$Z$3005,R$5,請求記録!$AF$6:$AF$3005,"保留中")&gt;0,"保留",IF(COUNTIFS(請求記録!$B$6:$B$3005,$A235,請求記録!$Z$6:$Z$3005,R$5)=0,"",SUMIFS(請求記録!$AE$6:$AE$3005,請求記録!$B$6:$B$3005,$A235,請求記録!$Z$6:$Z$3005,R$5))))</f>
        <v/>
      </c>
      <c r="S235" s="19">
        <f>IF($A235="","",IF(COUNTIFS(請求記録!$B$6:$B$3005,$A235,請求記録!$Z$6:$Z$3005,S$5,請求記録!$AF$6:$AF$3005,"保留中")&gt;0,"保留",IF(COUNTIFS(請求記録!$B$6:$B$3005,$A235,請求記録!$Z$6:$Z$3005,S$5)=0,"",SUMIFS(請求記録!$AE$6:$AE$3005,請求記録!$B$6:$B$3005,$A235,請求記録!$Z$6:$Z$3005,S$5))))</f>
        <v/>
      </c>
      <c r="T235" s="19">
        <f>IF($A235="","",IF(COUNTIFS(請求記録!$B$6:$B$3005,$A235,請求記録!$Z$6:$Z$3005,T$5,請求記録!$AF$6:$AF$3005,"保留中")&gt;0,"保留",IF(COUNTIFS(請求記録!$B$6:$B$3005,$A235,請求記録!$Z$6:$Z$3005,T$5)=0,"",SUMIFS(請求記録!$AE$6:$AE$3005,請求記録!$B$6:$B$3005,$A235,請求記録!$Z$6:$Z$3005,T$5))))</f>
        <v/>
      </c>
      <c r="U235" s="19">
        <f>IF($A235="","",IF(COUNTIFS(請求記録!$B$6:$B$3005,$A235,請求記録!$Z$6:$Z$3005,U$5,請求記録!$AF$6:$AF$3005,"保留中")&gt;0,"保留",IF(COUNTIFS(請求記録!$B$6:$B$3005,$A235,請求記録!$Z$6:$Z$3005,U$5)=0,"",SUMIFS(請求記録!$AE$6:$AE$3005,請求記録!$B$6:$B$3005,$A235,請求記録!$Z$6:$Z$3005,U$5))))</f>
        <v/>
      </c>
      <c r="V235" s="19">
        <f>IF($A235="","",IF(COUNTIFS(請求記録!$B$6:$B$3005,$A235,請求記録!$Z$6:$Z$3005,V$5,請求記録!$AF$6:$AF$3005,"保留中")&gt;0,"保留",IF(COUNTIFS(請求記録!$B$6:$B$3005,$A235,請求記録!$Z$6:$Z$3005,V$5)=0,"",SUMIFS(請求記録!$AE$6:$AE$3005,請求記録!$B$6:$B$3005,$A235,請求記録!$Z$6:$Z$3005,V$5))))</f>
        <v/>
      </c>
      <c r="W235" s="19">
        <f>IF($A235="","",IF(COUNTIFS(請求記録!$B$6:$B$3005,$A235,請求記録!$Z$6:$Z$3005,W$5,請求記録!$AF$6:$AF$3005,"保留中")&gt;0,"保留",IF(COUNTIFS(請求記録!$B$6:$B$3005,$A235,請求記録!$Z$6:$Z$3005,W$5)=0,"",SUMIFS(請求記録!$AE$6:$AE$3005,請求記録!$B$6:$B$3005,$A235,請求記録!$Z$6:$Z$3005,W$5))))</f>
        <v/>
      </c>
      <c r="X235" s="19">
        <f>IF($A235="","",IF(COUNTIFS(請求記録!$B$6:$B$3005,$A235,請求記録!$Z$6:$Z$3005,X$5,請求記録!$AF$6:$AF$3005,"保留中")&gt;0,"保留",IF(COUNTIFS(請求記録!$B$6:$B$3005,$A235,請求記録!$Z$6:$Z$3005,X$5)=0,"",SUMIFS(請求記録!$AE$6:$AE$3005,請求記録!$B$6:$B$3005,$A235,請求記録!$Z$6:$Z$3005,X$5))))</f>
        <v/>
      </c>
      <c r="Y235" s="19">
        <f>IF($A235="","",IF(COUNTIFS(請求記録!$B$6:$B$3005,$A235,請求記録!$Z$6:$Z$3005,Y$5,請求記録!$AF$6:$AF$3005,"保留中")&gt;0,"保留",IF(COUNTIFS(請求記録!$B$6:$B$3005,$A235,請求記録!$Z$6:$Z$3005,Y$5)=0,"",SUMIFS(請求記録!$AE$6:$AE$3005,請求記録!$B$6:$B$3005,$A235,請求記録!$Z$6:$Z$3005,Y$5))))</f>
        <v/>
      </c>
      <c r="Z235" s="19">
        <f>IF($A235="","",IF(COUNTIFS(請求記録!$B$6:$B$3005,$A235,請求記録!$Z$6:$Z$3005,Z$5,請求記録!$AF$6:$AF$3005,"保留中")&gt;0,"保留",IF(COUNTIFS(請求記録!$B$6:$B$3005,$A235,請求記録!$Z$6:$Z$3005,Z$5)=0,"",SUMIFS(請求記録!$AE$6:$AE$3005,請求記録!$B$6:$B$3005,$A235,請求記録!$Z$6:$Z$3005,Z$5))))</f>
        <v/>
      </c>
      <c r="AA235" s="19">
        <f>IF($A235="","",IF(COUNTIFS(請求記録!$B$6:$B$3005,$A235,請求記録!$Z$6:$Z$3005,AA$5,請求記録!$AF$6:$AF$3005,"保留中")&gt;0,"保留",IF(COUNTIFS(請求記録!$B$6:$B$3005,$A235,請求記録!$Z$6:$Z$3005,AA$5)=0,"",SUMIFS(請求記録!$AE$6:$AE$3005,請求記録!$B$6:$B$3005,$A235,請求記録!$Z$6:$Z$3005,AA$5))))</f>
        <v/>
      </c>
      <c r="AB235">
        <f>IF(職員マスタ!P235="保留中",職員マスタ!M235,"")</f>
        <v/>
      </c>
    </row>
    <row r="236">
      <c r="A236">
        <f>IF(職員マスタ!A236="","",職員マスタ!A236)</f>
        <v/>
      </c>
      <c r="B236">
        <f>IF($A236="","",職員マスタ!B236)</f>
        <v/>
      </c>
      <c r="C236">
        <f>IF($A236="","",職員マスタ!C236)</f>
        <v/>
      </c>
      <c r="D236" s="19">
        <f>IF($A236="","",IF(COUNTIFS(請求記録!$B$6:$B$3005,$A236,請求記録!$Z$6:$Z$3005,D$5,請求記録!$AF$6:$AF$3005,"保留中")&gt;0,"保留",IF(COUNTIFS(請求記録!$B$6:$B$3005,$A236,請求記録!$Z$6:$Z$3005,D$5)=0,"",SUMIFS(請求記録!$AE$6:$AE$3005,請求記録!$B$6:$B$3005,$A236,請求記録!$Z$6:$Z$3005,D$5))))</f>
        <v/>
      </c>
      <c r="E236" s="19">
        <f>IF($A236="","",IF(COUNTIFS(請求記録!$B$6:$B$3005,$A236,請求記録!$Z$6:$Z$3005,E$5,請求記録!$AF$6:$AF$3005,"保留中")&gt;0,"保留",IF(COUNTIFS(請求記録!$B$6:$B$3005,$A236,請求記録!$Z$6:$Z$3005,E$5)=0,"",SUMIFS(請求記録!$AE$6:$AE$3005,請求記録!$B$6:$B$3005,$A236,請求記録!$Z$6:$Z$3005,E$5))))</f>
        <v/>
      </c>
      <c r="F236" s="19">
        <f>IF($A236="","",IF(COUNTIFS(請求記録!$B$6:$B$3005,$A236,請求記録!$Z$6:$Z$3005,F$5,請求記録!$AF$6:$AF$3005,"保留中")&gt;0,"保留",IF(COUNTIFS(請求記録!$B$6:$B$3005,$A236,請求記録!$Z$6:$Z$3005,F$5)=0,"",SUMIFS(請求記録!$AE$6:$AE$3005,請求記録!$B$6:$B$3005,$A236,請求記録!$Z$6:$Z$3005,F$5))))</f>
        <v/>
      </c>
      <c r="G236" s="19">
        <f>IF($A236="","",IF(COUNTIFS(請求記録!$B$6:$B$3005,$A236,請求記録!$Z$6:$Z$3005,G$5,請求記録!$AF$6:$AF$3005,"保留中")&gt;0,"保留",IF(COUNTIFS(請求記録!$B$6:$B$3005,$A236,請求記録!$Z$6:$Z$3005,G$5)=0,"",SUMIFS(請求記録!$AE$6:$AE$3005,請求記録!$B$6:$B$3005,$A236,請求記録!$Z$6:$Z$3005,G$5))))</f>
        <v/>
      </c>
      <c r="H236" s="19">
        <f>IF($A236="","",IF(COUNTIFS(請求記録!$B$6:$B$3005,$A236,請求記録!$Z$6:$Z$3005,H$5,請求記録!$AF$6:$AF$3005,"保留中")&gt;0,"保留",IF(COUNTIFS(請求記録!$B$6:$B$3005,$A236,請求記録!$Z$6:$Z$3005,H$5)=0,"",SUMIFS(請求記録!$AE$6:$AE$3005,請求記録!$B$6:$B$3005,$A236,請求記録!$Z$6:$Z$3005,H$5))))</f>
        <v/>
      </c>
      <c r="I236" s="19">
        <f>IF($A236="","",IF(COUNTIFS(請求記録!$B$6:$B$3005,$A236,請求記録!$Z$6:$Z$3005,I$5,請求記録!$AF$6:$AF$3005,"保留中")&gt;0,"保留",IF(COUNTIFS(請求記録!$B$6:$B$3005,$A236,請求記録!$Z$6:$Z$3005,I$5)=0,"",SUMIFS(請求記録!$AE$6:$AE$3005,請求記録!$B$6:$B$3005,$A236,請求記録!$Z$6:$Z$3005,I$5))))</f>
        <v/>
      </c>
      <c r="J236" s="19">
        <f>IF($A236="","",IF(COUNTIFS(請求記録!$B$6:$B$3005,$A236,請求記録!$Z$6:$Z$3005,J$5,請求記録!$AF$6:$AF$3005,"保留中")&gt;0,"保留",IF(COUNTIFS(請求記録!$B$6:$B$3005,$A236,請求記録!$Z$6:$Z$3005,J$5)=0,"",SUMIFS(請求記録!$AE$6:$AE$3005,請求記録!$B$6:$B$3005,$A236,請求記録!$Z$6:$Z$3005,J$5))))</f>
        <v/>
      </c>
      <c r="K236" s="19">
        <f>IF($A236="","",IF(COUNTIFS(請求記録!$B$6:$B$3005,$A236,請求記録!$Z$6:$Z$3005,K$5,請求記録!$AF$6:$AF$3005,"保留中")&gt;0,"保留",IF(COUNTIFS(請求記録!$B$6:$B$3005,$A236,請求記録!$Z$6:$Z$3005,K$5)=0,"",SUMIFS(請求記録!$AE$6:$AE$3005,請求記録!$B$6:$B$3005,$A236,請求記録!$Z$6:$Z$3005,K$5))))</f>
        <v/>
      </c>
      <c r="L236" s="19">
        <f>IF($A236="","",IF(COUNTIFS(請求記録!$B$6:$B$3005,$A236,請求記録!$Z$6:$Z$3005,L$5,請求記録!$AF$6:$AF$3005,"保留中")&gt;0,"保留",IF(COUNTIFS(請求記録!$B$6:$B$3005,$A236,請求記録!$Z$6:$Z$3005,L$5)=0,"",SUMIFS(請求記録!$AE$6:$AE$3005,請求記録!$B$6:$B$3005,$A236,請求記録!$Z$6:$Z$3005,L$5))))</f>
        <v/>
      </c>
      <c r="M236" s="19">
        <f>IF($A236="","",IF(COUNTIFS(請求記録!$B$6:$B$3005,$A236,請求記録!$Z$6:$Z$3005,M$5,請求記録!$AF$6:$AF$3005,"保留中")&gt;0,"保留",IF(COUNTIFS(請求記録!$B$6:$B$3005,$A236,請求記録!$Z$6:$Z$3005,M$5)=0,"",SUMIFS(請求記録!$AE$6:$AE$3005,請求記録!$B$6:$B$3005,$A236,請求記録!$Z$6:$Z$3005,M$5))))</f>
        <v/>
      </c>
      <c r="N236" s="19">
        <f>IF($A236="","",IF(COUNTIFS(請求記録!$B$6:$B$3005,$A236,請求記録!$Z$6:$Z$3005,N$5,請求記録!$AF$6:$AF$3005,"保留中")&gt;0,"保留",IF(COUNTIFS(請求記録!$B$6:$B$3005,$A236,請求記録!$Z$6:$Z$3005,N$5)=0,"",SUMIFS(請求記録!$AE$6:$AE$3005,請求記録!$B$6:$B$3005,$A236,請求記録!$Z$6:$Z$3005,N$5))))</f>
        <v/>
      </c>
      <c r="O236" s="19">
        <f>IF($A236="","",IF(COUNTIFS(請求記録!$B$6:$B$3005,$A236,請求記録!$Z$6:$Z$3005,O$5,請求記録!$AF$6:$AF$3005,"保留中")&gt;0,"保留",IF(COUNTIFS(請求記録!$B$6:$B$3005,$A236,請求記録!$Z$6:$Z$3005,O$5)=0,"",SUMIFS(請求記録!$AE$6:$AE$3005,請求記録!$B$6:$B$3005,$A236,請求記録!$Z$6:$Z$3005,O$5))))</f>
        <v/>
      </c>
      <c r="P236" s="19">
        <f>IF($A236="","",IF(COUNTIFS(請求記録!$B$6:$B$3005,$A236,請求記録!$Z$6:$Z$3005,P$5,請求記録!$AF$6:$AF$3005,"保留中")&gt;0,"保留",IF(COUNTIFS(請求記録!$B$6:$B$3005,$A236,請求記録!$Z$6:$Z$3005,P$5)=0,"",SUMIFS(請求記録!$AE$6:$AE$3005,請求記録!$B$6:$B$3005,$A236,請求記録!$Z$6:$Z$3005,P$5))))</f>
        <v/>
      </c>
      <c r="Q236" s="19">
        <f>IF($A236="","",IF(COUNTIFS(請求記録!$B$6:$B$3005,$A236,請求記録!$Z$6:$Z$3005,Q$5,請求記録!$AF$6:$AF$3005,"保留中")&gt;0,"保留",IF(COUNTIFS(請求記録!$B$6:$B$3005,$A236,請求記録!$Z$6:$Z$3005,Q$5)=0,"",SUMIFS(請求記録!$AE$6:$AE$3005,請求記録!$B$6:$B$3005,$A236,請求記録!$Z$6:$Z$3005,Q$5))))</f>
        <v/>
      </c>
      <c r="R236" s="19">
        <f>IF($A236="","",IF(COUNTIFS(請求記録!$B$6:$B$3005,$A236,請求記録!$Z$6:$Z$3005,R$5,請求記録!$AF$6:$AF$3005,"保留中")&gt;0,"保留",IF(COUNTIFS(請求記録!$B$6:$B$3005,$A236,請求記録!$Z$6:$Z$3005,R$5)=0,"",SUMIFS(請求記録!$AE$6:$AE$3005,請求記録!$B$6:$B$3005,$A236,請求記録!$Z$6:$Z$3005,R$5))))</f>
        <v/>
      </c>
      <c r="S236" s="19">
        <f>IF($A236="","",IF(COUNTIFS(請求記録!$B$6:$B$3005,$A236,請求記録!$Z$6:$Z$3005,S$5,請求記録!$AF$6:$AF$3005,"保留中")&gt;0,"保留",IF(COUNTIFS(請求記録!$B$6:$B$3005,$A236,請求記録!$Z$6:$Z$3005,S$5)=0,"",SUMIFS(請求記録!$AE$6:$AE$3005,請求記録!$B$6:$B$3005,$A236,請求記録!$Z$6:$Z$3005,S$5))))</f>
        <v/>
      </c>
      <c r="T236" s="19">
        <f>IF($A236="","",IF(COUNTIFS(請求記録!$B$6:$B$3005,$A236,請求記録!$Z$6:$Z$3005,T$5,請求記録!$AF$6:$AF$3005,"保留中")&gt;0,"保留",IF(COUNTIFS(請求記録!$B$6:$B$3005,$A236,請求記録!$Z$6:$Z$3005,T$5)=0,"",SUMIFS(請求記録!$AE$6:$AE$3005,請求記録!$B$6:$B$3005,$A236,請求記録!$Z$6:$Z$3005,T$5))))</f>
        <v/>
      </c>
      <c r="U236" s="19">
        <f>IF($A236="","",IF(COUNTIFS(請求記録!$B$6:$B$3005,$A236,請求記録!$Z$6:$Z$3005,U$5,請求記録!$AF$6:$AF$3005,"保留中")&gt;0,"保留",IF(COUNTIFS(請求記録!$B$6:$B$3005,$A236,請求記録!$Z$6:$Z$3005,U$5)=0,"",SUMIFS(請求記録!$AE$6:$AE$3005,請求記録!$B$6:$B$3005,$A236,請求記録!$Z$6:$Z$3005,U$5))))</f>
        <v/>
      </c>
      <c r="V236" s="19">
        <f>IF($A236="","",IF(COUNTIFS(請求記録!$B$6:$B$3005,$A236,請求記録!$Z$6:$Z$3005,V$5,請求記録!$AF$6:$AF$3005,"保留中")&gt;0,"保留",IF(COUNTIFS(請求記録!$B$6:$B$3005,$A236,請求記録!$Z$6:$Z$3005,V$5)=0,"",SUMIFS(請求記録!$AE$6:$AE$3005,請求記録!$B$6:$B$3005,$A236,請求記録!$Z$6:$Z$3005,V$5))))</f>
        <v/>
      </c>
      <c r="W236" s="19">
        <f>IF($A236="","",IF(COUNTIFS(請求記録!$B$6:$B$3005,$A236,請求記録!$Z$6:$Z$3005,W$5,請求記録!$AF$6:$AF$3005,"保留中")&gt;0,"保留",IF(COUNTIFS(請求記録!$B$6:$B$3005,$A236,請求記録!$Z$6:$Z$3005,W$5)=0,"",SUMIFS(請求記録!$AE$6:$AE$3005,請求記録!$B$6:$B$3005,$A236,請求記録!$Z$6:$Z$3005,W$5))))</f>
        <v/>
      </c>
      <c r="X236" s="19">
        <f>IF($A236="","",IF(COUNTIFS(請求記録!$B$6:$B$3005,$A236,請求記録!$Z$6:$Z$3005,X$5,請求記録!$AF$6:$AF$3005,"保留中")&gt;0,"保留",IF(COUNTIFS(請求記録!$B$6:$B$3005,$A236,請求記録!$Z$6:$Z$3005,X$5)=0,"",SUMIFS(請求記録!$AE$6:$AE$3005,請求記録!$B$6:$B$3005,$A236,請求記録!$Z$6:$Z$3005,X$5))))</f>
        <v/>
      </c>
      <c r="Y236" s="19">
        <f>IF($A236="","",IF(COUNTIFS(請求記録!$B$6:$B$3005,$A236,請求記録!$Z$6:$Z$3005,Y$5,請求記録!$AF$6:$AF$3005,"保留中")&gt;0,"保留",IF(COUNTIFS(請求記録!$B$6:$B$3005,$A236,請求記録!$Z$6:$Z$3005,Y$5)=0,"",SUMIFS(請求記録!$AE$6:$AE$3005,請求記録!$B$6:$B$3005,$A236,請求記録!$Z$6:$Z$3005,Y$5))))</f>
        <v/>
      </c>
      <c r="Z236" s="19">
        <f>IF($A236="","",IF(COUNTIFS(請求記録!$B$6:$B$3005,$A236,請求記録!$Z$6:$Z$3005,Z$5,請求記録!$AF$6:$AF$3005,"保留中")&gt;0,"保留",IF(COUNTIFS(請求記録!$B$6:$B$3005,$A236,請求記録!$Z$6:$Z$3005,Z$5)=0,"",SUMIFS(請求記録!$AE$6:$AE$3005,請求記録!$B$6:$B$3005,$A236,請求記録!$Z$6:$Z$3005,Z$5))))</f>
        <v/>
      </c>
      <c r="AA236" s="19">
        <f>IF($A236="","",IF(COUNTIFS(請求記録!$B$6:$B$3005,$A236,請求記録!$Z$6:$Z$3005,AA$5,請求記録!$AF$6:$AF$3005,"保留中")&gt;0,"保留",IF(COUNTIFS(請求記録!$B$6:$B$3005,$A236,請求記録!$Z$6:$Z$3005,AA$5)=0,"",SUMIFS(請求記録!$AE$6:$AE$3005,請求記録!$B$6:$B$3005,$A236,請求記録!$Z$6:$Z$3005,AA$5))))</f>
        <v/>
      </c>
      <c r="AB236">
        <f>IF(職員マスタ!P236="保留中",職員マスタ!M236,"")</f>
        <v/>
      </c>
    </row>
    <row r="237">
      <c r="A237">
        <f>IF(職員マスタ!A237="","",職員マスタ!A237)</f>
        <v/>
      </c>
      <c r="B237">
        <f>IF($A237="","",職員マスタ!B237)</f>
        <v/>
      </c>
      <c r="C237">
        <f>IF($A237="","",職員マスタ!C237)</f>
        <v/>
      </c>
      <c r="D237" s="19">
        <f>IF($A237="","",IF(COUNTIFS(請求記録!$B$6:$B$3005,$A237,請求記録!$Z$6:$Z$3005,D$5,請求記録!$AF$6:$AF$3005,"保留中")&gt;0,"保留",IF(COUNTIFS(請求記録!$B$6:$B$3005,$A237,請求記録!$Z$6:$Z$3005,D$5)=0,"",SUMIFS(請求記録!$AE$6:$AE$3005,請求記録!$B$6:$B$3005,$A237,請求記録!$Z$6:$Z$3005,D$5))))</f>
        <v/>
      </c>
      <c r="E237" s="19">
        <f>IF($A237="","",IF(COUNTIFS(請求記録!$B$6:$B$3005,$A237,請求記録!$Z$6:$Z$3005,E$5,請求記録!$AF$6:$AF$3005,"保留中")&gt;0,"保留",IF(COUNTIFS(請求記録!$B$6:$B$3005,$A237,請求記録!$Z$6:$Z$3005,E$5)=0,"",SUMIFS(請求記録!$AE$6:$AE$3005,請求記録!$B$6:$B$3005,$A237,請求記録!$Z$6:$Z$3005,E$5))))</f>
        <v/>
      </c>
      <c r="F237" s="19">
        <f>IF($A237="","",IF(COUNTIFS(請求記録!$B$6:$B$3005,$A237,請求記録!$Z$6:$Z$3005,F$5,請求記録!$AF$6:$AF$3005,"保留中")&gt;0,"保留",IF(COUNTIFS(請求記録!$B$6:$B$3005,$A237,請求記録!$Z$6:$Z$3005,F$5)=0,"",SUMIFS(請求記録!$AE$6:$AE$3005,請求記録!$B$6:$B$3005,$A237,請求記録!$Z$6:$Z$3005,F$5))))</f>
        <v/>
      </c>
      <c r="G237" s="19">
        <f>IF($A237="","",IF(COUNTIFS(請求記録!$B$6:$B$3005,$A237,請求記録!$Z$6:$Z$3005,G$5,請求記録!$AF$6:$AF$3005,"保留中")&gt;0,"保留",IF(COUNTIFS(請求記録!$B$6:$B$3005,$A237,請求記録!$Z$6:$Z$3005,G$5)=0,"",SUMIFS(請求記録!$AE$6:$AE$3005,請求記録!$B$6:$B$3005,$A237,請求記録!$Z$6:$Z$3005,G$5))))</f>
        <v/>
      </c>
      <c r="H237" s="19">
        <f>IF($A237="","",IF(COUNTIFS(請求記録!$B$6:$B$3005,$A237,請求記録!$Z$6:$Z$3005,H$5,請求記録!$AF$6:$AF$3005,"保留中")&gt;0,"保留",IF(COUNTIFS(請求記録!$B$6:$B$3005,$A237,請求記録!$Z$6:$Z$3005,H$5)=0,"",SUMIFS(請求記録!$AE$6:$AE$3005,請求記録!$B$6:$B$3005,$A237,請求記録!$Z$6:$Z$3005,H$5))))</f>
        <v/>
      </c>
      <c r="I237" s="19">
        <f>IF($A237="","",IF(COUNTIFS(請求記録!$B$6:$B$3005,$A237,請求記録!$Z$6:$Z$3005,I$5,請求記録!$AF$6:$AF$3005,"保留中")&gt;0,"保留",IF(COUNTIFS(請求記録!$B$6:$B$3005,$A237,請求記録!$Z$6:$Z$3005,I$5)=0,"",SUMIFS(請求記録!$AE$6:$AE$3005,請求記録!$B$6:$B$3005,$A237,請求記録!$Z$6:$Z$3005,I$5))))</f>
        <v/>
      </c>
      <c r="J237" s="19">
        <f>IF($A237="","",IF(COUNTIFS(請求記録!$B$6:$B$3005,$A237,請求記録!$Z$6:$Z$3005,J$5,請求記録!$AF$6:$AF$3005,"保留中")&gt;0,"保留",IF(COUNTIFS(請求記録!$B$6:$B$3005,$A237,請求記録!$Z$6:$Z$3005,J$5)=0,"",SUMIFS(請求記録!$AE$6:$AE$3005,請求記録!$B$6:$B$3005,$A237,請求記録!$Z$6:$Z$3005,J$5))))</f>
        <v/>
      </c>
      <c r="K237" s="19">
        <f>IF($A237="","",IF(COUNTIFS(請求記録!$B$6:$B$3005,$A237,請求記録!$Z$6:$Z$3005,K$5,請求記録!$AF$6:$AF$3005,"保留中")&gt;0,"保留",IF(COUNTIFS(請求記録!$B$6:$B$3005,$A237,請求記録!$Z$6:$Z$3005,K$5)=0,"",SUMIFS(請求記録!$AE$6:$AE$3005,請求記録!$B$6:$B$3005,$A237,請求記録!$Z$6:$Z$3005,K$5))))</f>
        <v/>
      </c>
      <c r="L237" s="19">
        <f>IF($A237="","",IF(COUNTIFS(請求記録!$B$6:$B$3005,$A237,請求記録!$Z$6:$Z$3005,L$5,請求記録!$AF$6:$AF$3005,"保留中")&gt;0,"保留",IF(COUNTIFS(請求記録!$B$6:$B$3005,$A237,請求記録!$Z$6:$Z$3005,L$5)=0,"",SUMIFS(請求記録!$AE$6:$AE$3005,請求記録!$B$6:$B$3005,$A237,請求記録!$Z$6:$Z$3005,L$5))))</f>
        <v/>
      </c>
      <c r="M237" s="19">
        <f>IF($A237="","",IF(COUNTIFS(請求記録!$B$6:$B$3005,$A237,請求記録!$Z$6:$Z$3005,M$5,請求記録!$AF$6:$AF$3005,"保留中")&gt;0,"保留",IF(COUNTIFS(請求記録!$B$6:$B$3005,$A237,請求記録!$Z$6:$Z$3005,M$5)=0,"",SUMIFS(請求記録!$AE$6:$AE$3005,請求記録!$B$6:$B$3005,$A237,請求記録!$Z$6:$Z$3005,M$5))))</f>
        <v/>
      </c>
      <c r="N237" s="19">
        <f>IF($A237="","",IF(COUNTIFS(請求記録!$B$6:$B$3005,$A237,請求記録!$Z$6:$Z$3005,N$5,請求記録!$AF$6:$AF$3005,"保留中")&gt;0,"保留",IF(COUNTIFS(請求記録!$B$6:$B$3005,$A237,請求記録!$Z$6:$Z$3005,N$5)=0,"",SUMIFS(請求記録!$AE$6:$AE$3005,請求記録!$B$6:$B$3005,$A237,請求記録!$Z$6:$Z$3005,N$5))))</f>
        <v/>
      </c>
      <c r="O237" s="19">
        <f>IF($A237="","",IF(COUNTIFS(請求記録!$B$6:$B$3005,$A237,請求記録!$Z$6:$Z$3005,O$5,請求記録!$AF$6:$AF$3005,"保留中")&gt;0,"保留",IF(COUNTIFS(請求記録!$B$6:$B$3005,$A237,請求記録!$Z$6:$Z$3005,O$5)=0,"",SUMIFS(請求記録!$AE$6:$AE$3005,請求記録!$B$6:$B$3005,$A237,請求記録!$Z$6:$Z$3005,O$5))))</f>
        <v/>
      </c>
      <c r="P237" s="19">
        <f>IF($A237="","",IF(COUNTIFS(請求記録!$B$6:$B$3005,$A237,請求記録!$Z$6:$Z$3005,P$5,請求記録!$AF$6:$AF$3005,"保留中")&gt;0,"保留",IF(COUNTIFS(請求記録!$B$6:$B$3005,$A237,請求記録!$Z$6:$Z$3005,P$5)=0,"",SUMIFS(請求記録!$AE$6:$AE$3005,請求記録!$B$6:$B$3005,$A237,請求記録!$Z$6:$Z$3005,P$5))))</f>
        <v/>
      </c>
      <c r="Q237" s="19">
        <f>IF($A237="","",IF(COUNTIFS(請求記録!$B$6:$B$3005,$A237,請求記録!$Z$6:$Z$3005,Q$5,請求記録!$AF$6:$AF$3005,"保留中")&gt;0,"保留",IF(COUNTIFS(請求記録!$B$6:$B$3005,$A237,請求記録!$Z$6:$Z$3005,Q$5)=0,"",SUMIFS(請求記録!$AE$6:$AE$3005,請求記録!$B$6:$B$3005,$A237,請求記録!$Z$6:$Z$3005,Q$5))))</f>
        <v/>
      </c>
      <c r="R237" s="19">
        <f>IF($A237="","",IF(COUNTIFS(請求記録!$B$6:$B$3005,$A237,請求記録!$Z$6:$Z$3005,R$5,請求記録!$AF$6:$AF$3005,"保留中")&gt;0,"保留",IF(COUNTIFS(請求記録!$B$6:$B$3005,$A237,請求記録!$Z$6:$Z$3005,R$5)=0,"",SUMIFS(請求記録!$AE$6:$AE$3005,請求記録!$B$6:$B$3005,$A237,請求記録!$Z$6:$Z$3005,R$5))))</f>
        <v/>
      </c>
      <c r="S237" s="19">
        <f>IF($A237="","",IF(COUNTIFS(請求記録!$B$6:$B$3005,$A237,請求記録!$Z$6:$Z$3005,S$5,請求記録!$AF$6:$AF$3005,"保留中")&gt;0,"保留",IF(COUNTIFS(請求記録!$B$6:$B$3005,$A237,請求記録!$Z$6:$Z$3005,S$5)=0,"",SUMIFS(請求記録!$AE$6:$AE$3005,請求記録!$B$6:$B$3005,$A237,請求記録!$Z$6:$Z$3005,S$5))))</f>
        <v/>
      </c>
      <c r="T237" s="19">
        <f>IF($A237="","",IF(COUNTIFS(請求記録!$B$6:$B$3005,$A237,請求記録!$Z$6:$Z$3005,T$5,請求記録!$AF$6:$AF$3005,"保留中")&gt;0,"保留",IF(COUNTIFS(請求記録!$B$6:$B$3005,$A237,請求記録!$Z$6:$Z$3005,T$5)=0,"",SUMIFS(請求記録!$AE$6:$AE$3005,請求記録!$B$6:$B$3005,$A237,請求記録!$Z$6:$Z$3005,T$5))))</f>
        <v/>
      </c>
      <c r="U237" s="19">
        <f>IF($A237="","",IF(COUNTIFS(請求記録!$B$6:$B$3005,$A237,請求記録!$Z$6:$Z$3005,U$5,請求記録!$AF$6:$AF$3005,"保留中")&gt;0,"保留",IF(COUNTIFS(請求記録!$B$6:$B$3005,$A237,請求記録!$Z$6:$Z$3005,U$5)=0,"",SUMIFS(請求記録!$AE$6:$AE$3005,請求記録!$B$6:$B$3005,$A237,請求記録!$Z$6:$Z$3005,U$5))))</f>
        <v/>
      </c>
      <c r="V237" s="19">
        <f>IF($A237="","",IF(COUNTIFS(請求記録!$B$6:$B$3005,$A237,請求記録!$Z$6:$Z$3005,V$5,請求記録!$AF$6:$AF$3005,"保留中")&gt;0,"保留",IF(COUNTIFS(請求記録!$B$6:$B$3005,$A237,請求記録!$Z$6:$Z$3005,V$5)=0,"",SUMIFS(請求記録!$AE$6:$AE$3005,請求記録!$B$6:$B$3005,$A237,請求記録!$Z$6:$Z$3005,V$5))))</f>
        <v/>
      </c>
      <c r="W237" s="19">
        <f>IF($A237="","",IF(COUNTIFS(請求記録!$B$6:$B$3005,$A237,請求記録!$Z$6:$Z$3005,W$5,請求記録!$AF$6:$AF$3005,"保留中")&gt;0,"保留",IF(COUNTIFS(請求記録!$B$6:$B$3005,$A237,請求記録!$Z$6:$Z$3005,W$5)=0,"",SUMIFS(請求記録!$AE$6:$AE$3005,請求記録!$B$6:$B$3005,$A237,請求記録!$Z$6:$Z$3005,W$5))))</f>
        <v/>
      </c>
      <c r="X237" s="19">
        <f>IF($A237="","",IF(COUNTIFS(請求記録!$B$6:$B$3005,$A237,請求記録!$Z$6:$Z$3005,X$5,請求記録!$AF$6:$AF$3005,"保留中")&gt;0,"保留",IF(COUNTIFS(請求記録!$B$6:$B$3005,$A237,請求記録!$Z$6:$Z$3005,X$5)=0,"",SUMIFS(請求記録!$AE$6:$AE$3005,請求記録!$B$6:$B$3005,$A237,請求記録!$Z$6:$Z$3005,X$5))))</f>
        <v/>
      </c>
      <c r="Y237" s="19">
        <f>IF($A237="","",IF(COUNTIFS(請求記録!$B$6:$B$3005,$A237,請求記録!$Z$6:$Z$3005,Y$5,請求記録!$AF$6:$AF$3005,"保留中")&gt;0,"保留",IF(COUNTIFS(請求記録!$B$6:$B$3005,$A237,請求記録!$Z$6:$Z$3005,Y$5)=0,"",SUMIFS(請求記録!$AE$6:$AE$3005,請求記録!$B$6:$B$3005,$A237,請求記録!$Z$6:$Z$3005,Y$5))))</f>
        <v/>
      </c>
      <c r="Z237" s="19">
        <f>IF($A237="","",IF(COUNTIFS(請求記録!$B$6:$B$3005,$A237,請求記録!$Z$6:$Z$3005,Z$5,請求記録!$AF$6:$AF$3005,"保留中")&gt;0,"保留",IF(COUNTIFS(請求記録!$B$6:$B$3005,$A237,請求記録!$Z$6:$Z$3005,Z$5)=0,"",SUMIFS(請求記録!$AE$6:$AE$3005,請求記録!$B$6:$B$3005,$A237,請求記録!$Z$6:$Z$3005,Z$5))))</f>
        <v/>
      </c>
      <c r="AA237" s="19">
        <f>IF($A237="","",IF(COUNTIFS(請求記録!$B$6:$B$3005,$A237,請求記録!$Z$6:$Z$3005,AA$5,請求記録!$AF$6:$AF$3005,"保留中")&gt;0,"保留",IF(COUNTIFS(請求記録!$B$6:$B$3005,$A237,請求記録!$Z$6:$Z$3005,AA$5)=0,"",SUMIFS(請求記録!$AE$6:$AE$3005,請求記録!$B$6:$B$3005,$A237,請求記録!$Z$6:$Z$3005,AA$5))))</f>
        <v/>
      </c>
      <c r="AB237">
        <f>IF(職員マスタ!P237="保留中",職員マスタ!M237,"")</f>
        <v/>
      </c>
    </row>
    <row r="238">
      <c r="A238">
        <f>IF(職員マスタ!A238="","",職員マスタ!A238)</f>
        <v/>
      </c>
      <c r="B238">
        <f>IF($A238="","",職員マスタ!B238)</f>
        <v/>
      </c>
      <c r="C238">
        <f>IF($A238="","",職員マスタ!C238)</f>
        <v/>
      </c>
      <c r="D238" s="19">
        <f>IF($A238="","",IF(COUNTIFS(請求記録!$B$6:$B$3005,$A238,請求記録!$Z$6:$Z$3005,D$5,請求記録!$AF$6:$AF$3005,"保留中")&gt;0,"保留",IF(COUNTIFS(請求記録!$B$6:$B$3005,$A238,請求記録!$Z$6:$Z$3005,D$5)=0,"",SUMIFS(請求記録!$AE$6:$AE$3005,請求記録!$B$6:$B$3005,$A238,請求記録!$Z$6:$Z$3005,D$5))))</f>
        <v/>
      </c>
      <c r="E238" s="19">
        <f>IF($A238="","",IF(COUNTIFS(請求記録!$B$6:$B$3005,$A238,請求記録!$Z$6:$Z$3005,E$5,請求記録!$AF$6:$AF$3005,"保留中")&gt;0,"保留",IF(COUNTIFS(請求記録!$B$6:$B$3005,$A238,請求記録!$Z$6:$Z$3005,E$5)=0,"",SUMIFS(請求記録!$AE$6:$AE$3005,請求記録!$B$6:$B$3005,$A238,請求記録!$Z$6:$Z$3005,E$5))))</f>
        <v/>
      </c>
      <c r="F238" s="19">
        <f>IF($A238="","",IF(COUNTIFS(請求記録!$B$6:$B$3005,$A238,請求記録!$Z$6:$Z$3005,F$5,請求記録!$AF$6:$AF$3005,"保留中")&gt;0,"保留",IF(COUNTIFS(請求記録!$B$6:$B$3005,$A238,請求記録!$Z$6:$Z$3005,F$5)=0,"",SUMIFS(請求記録!$AE$6:$AE$3005,請求記録!$B$6:$B$3005,$A238,請求記録!$Z$6:$Z$3005,F$5))))</f>
        <v/>
      </c>
      <c r="G238" s="19">
        <f>IF($A238="","",IF(COUNTIFS(請求記録!$B$6:$B$3005,$A238,請求記録!$Z$6:$Z$3005,G$5,請求記録!$AF$6:$AF$3005,"保留中")&gt;0,"保留",IF(COUNTIFS(請求記録!$B$6:$B$3005,$A238,請求記録!$Z$6:$Z$3005,G$5)=0,"",SUMIFS(請求記録!$AE$6:$AE$3005,請求記録!$B$6:$B$3005,$A238,請求記録!$Z$6:$Z$3005,G$5))))</f>
        <v/>
      </c>
      <c r="H238" s="19">
        <f>IF($A238="","",IF(COUNTIFS(請求記録!$B$6:$B$3005,$A238,請求記録!$Z$6:$Z$3005,H$5,請求記録!$AF$6:$AF$3005,"保留中")&gt;0,"保留",IF(COUNTIFS(請求記録!$B$6:$B$3005,$A238,請求記録!$Z$6:$Z$3005,H$5)=0,"",SUMIFS(請求記録!$AE$6:$AE$3005,請求記録!$B$6:$B$3005,$A238,請求記録!$Z$6:$Z$3005,H$5))))</f>
        <v/>
      </c>
      <c r="I238" s="19">
        <f>IF($A238="","",IF(COUNTIFS(請求記録!$B$6:$B$3005,$A238,請求記録!$Z$6:$Z$3005,I$5,請求記録!$AF$6:$AF$3005,"保留中")&gt;0,"保留",IF(COUNTIFS(請求記録!$B$6:$B$3005,$A238,請求記録!$Z$6:$Z$3005,I$5)=0,"",SUMIFS(請求記録!$AE$6:$AE$3005,請求記録!$B$6:$B$3005,$A238,請求記録!$Z$6:$Z$3005,I$5))))</f>
        <v/>
      </c>
      <c r="J238" s="19">
        <f>IF($A238="","",IF(COUNTIFS(請求記録!$B$6:$B$3005,$A238,請求記録!$Z$6:$Z$3005,J$5,請求記録!$AF$6:$AF$3005,"保留中")&gt;0,"保留",IF(COUNTIFS(請求記録!$B$6:$B$3005,$A238,請求記録!$Z$6:$Z$3005,J$5)=0,"",SUMIFS(請求記録!$AE$6:$AE$3005,請求記録!$B$6:$B$3005,$A238,請求記録!$Z$6:$Z$3005,J$5))))</f>
        <v/>
      </c>
      <c r="K238" s="19">
        <f>IF($A238="","",IF(COUNTIFS(請求記録!$B$6:$B$3005,$A238,請求記録!$Z$6:$Z$3005,K$5,請求記録!$AF$6:$AF$3005,"保留中")&gt;0,"保留",IF(COUNTIFS(請求記録!$B$6:$B$3005,$A238,請求記録!$Z$6:$Z$3005,K$5)=0,"",SUMIFS(請求記録!$AE$6:$AE$3005,請求記録!$B$6:$B$3005,$A238,請求記録!$Z$6:$Z$3005,K$5))))</f>
        <v/>
      </c>
      <c r="L238" s="19">
        <f>IF($A238="","",IF(COUNTIFS(請求記録!$B$6:$B$3005,$A238,請求記録!$Z$6:$Z$3005,L$5,請求記録!$AF$6:$AF$3005,"保留中")&gt;0,"保留",IF(COUNTIFS(請求記録!$B$6:$B$3005,$A238,請求記録!$Z$6:$Z$3005,L$5)=0,"",SUMIFS(請求記録!$AE$6:$AE$3005,請求記録!$B$6:$B$3005,$A238,請求記録!$Z$6:$Z$3005,L$5))))</f>
        <v/>
      </c>
      <c r="M238" s="19">
        <f>IF($A238="","",IF(COUNTIFS(請求記録!$B$6:$B$3005,$A238,請求記録!$Z$6:$Z$3005,M$5,請求記録!$AF$6:$AF$3005,"保留中")&gt;0,"保留",IF(COUNTIFS(請求記録!$B$6:$B$3005,$A238,請求記録!$Z$6:$Z$3005,M$5)=0,"",SUMIFS(請求記録!$AE$6:$AE$3005,請求記録!$B$6:$B$3005,$A238,請求記録!$Z$6:$Z$3005,M$5))))</f>
        <v/>
      </c>
      <c r="N238" s="19">
        <f>IF($A238="","",IF(COUNTIFS(請求記録!$B$6:$B$3005,$A238,請求記録!$Z$6:$Z$3005,N$5,請求記録!$AF$6:$AF$3005,"保留中")&gt;0,"保留",IF(COUNTIFS(請求記録!$B$6:$B$3005,$A238,請求記録!$Z$6:$Z$3005,N$5)=0,"",SUMIFS(請求記録!$AE$6:$AE$3005,請求記録!$B$6:$B$3005,$A238,請求記録!$Z$6:$Z$3005,N$5))))</f>
        <v/>
      </c>
      <c r="O238" s="19">
        <f>IF($A238="","",IF(COUNTIFS(請求記録!$B$6:$B$3005,$A238,請求記録!$Z$6:$Z$3005,O$5,請求記録!$AF$6:$AF$3005,"保留中")&gt;0,"保留",IF(COUNTIFS(請求記録!$B$6:$B$3005,$A238,請求記録!$Z$6:$Z$3005,O$5)=0,"",SUMIFS(請求記録!$AE$6:$AE$3005,請求記録!$B$6:$B$3005,$A238,請求記録!$Z$6:$Z$3005,O$5))))</f>
        <v/>
      </c>
      <c r="P238" s="19">
        <f>IF($A238="","",IF(COUNTIFS(請求記録!$B$6:$B$3005,$A238,請求記録!$Z$6:$Z$3005,P$5,請求記録!$AF$6:$AF$3005,"保留中")&gt;0,"保留",IF(COUNTIFS(請求記録!$B$6:$B$3005,$A238,請求記録!$Z$6:$Z$3005,P$5)=0,"",SUMIFS(請求記録!$AE$6:$AE$3005,請求記録!$B$6:$B$3005,$A238,請求記録!$Z$6:$Z$3005,P$5))))</f>
        <v/>
      </c>
      <c r="Q238" s="19">
        <f>IF($A238="","",IF(COUNTIFS(請求記録!$B$6:$B$3005,$A238,請求記録!$Z$6:$Z$3005,Q$5,請求記録!$AF$6:$AF$3005,"保留中")&gt;0,"保留",IF(COUNTIFS(請求記録!$B$6:$B$3005,$A238,請求記録!$Z$6:$Z$3005,Q$5)=0,"",SUMIFS(請求記録!$AE$6:$AE$3005,請求記録!$B$6:$B$3005,$A238,請求記録!$Z$6:$Z$3005,Q$5))))</f>
        <v/>
      </c>
      <c r="R238" s="19">
        <f>IF($A238="","",IF(COUNTIFS(請求記録!$B$6:$B$3005,$A238,請求記録!$Z$6:$Z$3005,R$5,請求記録!$AF$6:$AF$3005,"保留中")&gt;0,"保留",IF(COUNTIFS(請求記録!$B$6:$B$3005,$A238,請求記録!$Z$6:$Z$3005,R$5)=0,"",SUMIFS(請求記録!$AE$6:$AE$3005,請求記録!$B$6:$B$3005,$A238,請求記録!$Z$6:$Z$3005,R$5))))</f>
        <v/>
      </c>
      <c r="S238" s="19">
        <f>IF($A238="","",IF(COUNTIFS(請求記録!$B$6:$B$3005,$A238,請求記録!$Z$6:$Z$3005,S$5,請求記録!$AF$6:$AF$3005,"保留中")&gt;0,"保留",IF(COUNTIFS(請求記録!$B$6:$B$3005,$A238,請求記録!$Z$6:$Z$3005,S$5)=0,"",SUMIFS(請求記録!$AE$6:$AE$3005,請求記録!$B$6:$B$3005,$A238,請求記録!$Z$6:$Z$3005,S$5))))</f>
        <v/>
      </c>
      <c r="T238" s="19">
        <f>IF($A238="","",IF(COUNTIFS(請求記録!$B$6:$B$3005,$A238,請求記録!$Z$6:$Z$3005,T$5,請求記録!$AF$6:$AF$3005,"保留中")&gt;0,"保留",IF(COUNTIFS(請求記録!$B$6:$B$3005,$A238,請求記録!$Z$6:$Z$3005,T$5)=0,"",SUMIFS(請求記録!$AE$6:$AE$3005,請求記録!$B$6:$B$3005,$A238,請求記録!$Z$6:$Z$3005,T$5))))</f>
        <v/>
      </c>
      <c r="U238" s="19">
        <f>IF($A238="","",IF(COUNTIFS(請求記録!$B$6:$B$3005,$A238,請求記録!$Z$6:$Z$3005,U$5,請求記録!$AF$6:$AF$3005,"保留中")&gt;0,"保留",IF(COUNTIFS(請求記録!$B$6:$B$3005,$A238,請求記録!$Z$6:$Z$3005,U$5)=0,"",SUMIFS(請求記録!$AE$6:$AE$3005,請求記録!$B$6:$B$3005,$A238,請求記録!$Z$6:$Z$3005,U$5))))</f>
        <v/>
      </c>
      <c r="V238" s="19">
        <f>IF($A238="","",IF(COUNTIFS(請求記録!$B$6:$B$3005,$A238,請求記録!$Z$6:$Z$3005,V$5,請求記録!$AF$6:$AF$3005,"保留中")&gt;0,"保留",IF(COUNTIFS(請求記録!$B$6:$B$3005,$A238,請求記録!$Z$6:$Z$3005,V$5)=0,"",SUMIFS(請求記録!$AE$6:$AE$3005,請求記録!$B$6:$B$3005,$A238,請求記録!$Z$6:$Z$3005,V$5))))</f>
        <v/>
      </c>
      <c r="W238" s="19">
        <f>IF($A238="","",IF(COUNTIFS(請求記録!$B$6:$B$3005,$A238,請求記録!$Z$6:$Z$3005,W$5,請求記録!$AF$6:$AF$3005,"保留中")&gt;0,"保留",IF(COUNTIFS(請求記録!$B$6:$B$3005,$A238,請求記録!$Z$6:$Z$3005,W$5)=0,"",SUMIFS(請求記録!$AE$6:$AE$3005,請求記録!$B$6:$B$3005,$A238,請求記録!$Z$6:$Z$3005,W$5))))</f>
        <v/>
      </c>
      <c r="X238" s="19">
        <f>IF($A238="","",IF(COUNTIFS(請求記録!$B$6:$B$3005,$A238,請求記録!$Z$6:$Z$3005,X$5,請求記録!$AF$6:$AF$3005,"保留中")&gt;0,"保留",IF(COUNTIFS(請求記録!$B$6:$B$3005,$A238,請求記録!$Z$6:$Z$3005,X$5)=0,"",SUMIFS(請求記録!$AE$6:$AE$3005,請求記録!$B$6:$B$3005,$A238,請求記録!$Z$6:$Z$3005,X$5))))</f>
        <v/>
      </c>
      <c r="Y238" s="19">
        <f>IF($A238="","",IF(COUNTIFS(請求記録!$B$6:$B$3005,$A238,請求記録!$Z$6:$Z$3005,Y$5,請求記録!$AF$6:$AF$3005,"保留中")&gt;0,"保留",IF(COUNTIFS(請求記録!$B$6:$B$3005,$A238,請求記録!$Z$6:$Z$3005,Y$5)=0,"",SUMIFS(請求記録!$AE$6:$AE$3005,請求記録!$B$6:$B$3005,$A238,請求記録!$Z$6:$Z$3005,Y$5))))</f>
        <v/>
      </c>
      <c r="Z238" s="19">
        <f>IF($A238="","",IF(COUNTIFS(請求記録!$B$6:$B$3005,$A238,請求記録!$Z$6:$Z$3005,Z$5,請求記録!$AF$6:$AF$3005,"保留中")&gt;0,"保留",IF(COUNTIFS(請求記録!$B$6:$B$3005,$A238,請求記録!$Z$6:$Z$3005,Z$5)=0,"",SUMIFS(請求記録!$AE$6:$AE$3005,請求記録!$B$6:$B$3005,$A238,請求記録!$Z$6:$Z$3005,Z$5))))</f>
        <v/>
      </c>
      <c r="AA238" s="19">
        <f>IF($A238="","",IF(COUNTIFS(請求記録!$B$6:$B$3005,$A238,請求記録!$Z$6:$Z$3005,AA$5,請求記録!$AF$6:$AF$3005,"保留中")&gt;0,"保留",IF(COUNTIFS(請求記録!$B$6:$B$3005,$A238,請求記録!$Z$6:$Z$3005,AA$5)=0,"",SUMIFS(請求記録!$AE$6:$AE$3005,請求記録!$B$6:$B$3005,$A238,請求記録!$Z$6:$Z$3005,AA$5))))</f>
        <v/>
      </c>
      <c r="AB238">
        <f>IF(職員マスタ!P238="保留中",職員マスタ!M238,"")</f>
        <v/>
      </c>
    </row>
    <row r="239">
      <c r="A239">
        <f>IF(職員マスタ!A239="","",職員マスタ!A239)</f>
        <v/>
      </c>
      <c r="B239">
        <f>IF($A239="","",職員マスタ!B239)</f>
        <v/>
      </c>
      <c r="C239">
        <f>IF($A239="","",職員マスタ!C239)</f>
        <v/>
      </c>
      <c r="D239" s="19">
        <f>IF($A239="","",IF(COUNTIFS(請求記録!$B$6:$B$3005,$A239,請求記録!$Z$6:$Z$3005,D$5,請求記録!$AF$6:$AF$3005,"保留中")&gt;0,"保留",IF(COUNTIFS(請求記録!$B$6:$B$3005,$A239,請求記録!$Z$6:$Z$3005,D$5)=0,"",SUMIFS(請求記録!$AE$6:$AE$3005,請求記録!$B$6:$B$3005,$A239,請求記録!$Z$6:$Z$3005,D$5))))</f>
        <v/>
      </c>
      <c r="E239" s="19">
        <f>IF($A239="","",IF(COUNTIFS(請求記録!$B$6:$B$3005,$A239,請求記録!$Z$6:$Z$3005,E$5,請求記録!$AF$6:$AF$3005,"保留中")&gt;0,"保留",IF(COUNTIFS(請求記録!$B$6:$B$3005,$A239,請求記録!$Z$6:$Z$3005,E$5)=0,"",SUMIFS(請求記録!$AE$6:$AE$3005,請求記録!$B$6:$B$3005,$A239,請求記録!$Z$6:$Z$3005,E$5))))</f>
        <v/>
      </c>
      <c r="F239" s="19">
        <f>IF($A239="","",IF(COUNTIFS(請求記録!$B$6:$B$3005,$A239,請求記録!$Z$6:$Z$3005,F$5,請求記録!$AF$6:$AF$3005,"保留中")&gt;0,"保留",IF(COUNTIFS(請求記録!$B$6:$B$3005,$A239,請求記録!$Z$6:$Z$3005,F$5)=0,"",SUMIFS(請求記録!$AE$6:$AE$3005,請求記録!$B$6:$B$3005,$A239,請求記録!$Z$6:$Z$3005,F$5))))</f>
        <v/>
      </c>
      <c r="G239" s="19">
        <f>IF($A239="","",IF(COUNTIFS(請求記録!$B$6:$B$3005,$A239,請求記録!$Z$6:$Z$3005,G$5,請求記録!$AF$6:$AF$3005,"保留中")&gt;0,"保留",IF(COUNTIFS(請求記録!$B$6:$B$3005,$A239,請求記録!$Z$6:$Z$3005,G$5)=0,"",SUMIFS(請求記録!$AE$6:$AE$3005,請求記録!$B$6:$B$3005,$A239,請求記録!$Z$6:$Z$3005,G$5))))</f>
        <v/>
      </c>
      <c r="H239" s="19">
        <f>IF($A239="","",IF(COUNTIFS(請求記録!$B$6:$B$3005,$A239,請求記録!$Z$6:$Z$3005,H$5,請求記録!$AF$6:$AF$3005,"保留中")&gt;0,"保留",IF(COUNTIFS(請求記録!$B$6:$B$3005,$A239,請求記録!$Z$6:$Z$3005,H$5)=0,"",SUMIFS(請求記録!$AE$6:$AE$3005,請求記録!$B$6:$B$3005,$A239,請求記録!$Z$6:$Z$3005,H$5))))</f>
        <v/>
      </c>
      <c r="I239" s="19">
        <f>IF($A239="","",IF(COUNTIFS(請求記録!$B$6:$B$3005,$A239,請求記録!$Z$6:$Z$3005,I$5,請求記録!$AF$6:$AF$3005,"保留中")&gt;0,"保留",IF(COUNTIFS(請求記録!$B$6:$B$3005,$A239,請求記録!$Z$6:$Z$3005,I$5)=0,"",SUMIFS(請求記録!$AE$6:$AE$3005,請求記録!$B$6:$B$3005,$A239,請求記録!$Z$6:$Z$3005,I$5))))</f>
        <v/>
      </c>
      <c r="J239" s="19">
        <f>IF($A239="","",IF(COUNTIFS(請求記録!$B$6:$B$3005,$A239,請求記録!$Z$6:$Z$3005,J$5,請求記録!$AF$6:$AF$3005,"保留中")&gt;0,"保留",IF(COUNTIFS(請求記録!$B$6:$B$3005,$A239,請求記録!$Z$6:$Z$3005,J$5)=0,"",SUMIFS(請求記録!$AE$6:$AE$3005,請求記録!$B$6:$B$3005,$A239,請求記録!$Z$6:$Z$3005,J$5))))</f>
        <v/>
      </c>
      <c r="K239" s="19">
        <f>IF($A239="","",IF(COUNTIFS(請求記録!$B$6:$B$3005,$A239,請求記録!$Z$6:$Z$3005,K$5,請求記録!$AF$6:$AF$3005,"保留中")&gt;0,"保留",IF(COUNTIFS(請求記録!$B$6:$B$3005,$A239,請求記録!$Z$6:$Z$3005,K$5)=0,"",SUMIFS(請求記録!$AE$6:$AE$3005,請求記録!$B$6:$B$3005,$A239,請求記録!$Z$6:$Z$3005,K$5))))</f>
        <v/>
      </c>
      <c r="L239" s="19">
        <f>IF($A239="","",IF(COUNTIFS(請求記録!$B$6:$B$3005,$A239,請求記録!$Z$6:$Z$3005,L$5,請求記録!$AF$6:$AF$3005,"保留中")&gt;0,"保留",IF(COUNTIFS(請求記録!$B$6:$B$3005,$A239,請求記録!$Z$6:$Z$3005,L$5)=0,"",SUMIFS(請求記録!$AE$6:$AE$3005,請求記録!$B$6:$B$3005,$A239,請求記録!$Z$6:$Z$3005,L$5))))</f>
        <v/>
      </c>
      <c r="M239" s="19">
        <f>IF($A239="","",IF(COUNTIFS(請求記録!$B$6:$B$3005,$A239,請求記録!$Z$6:$Z$3005,M$5,請求記録!$AF$6:$AF$3005,"保留中")&gt;0,"保留",IF(COUNTIFS(請求記録!$B$6:$B$3005,$A239,請求記録!$Z$6:$Z$3005,M$5)=0,"",SUMIFS(請求記録!$AE$6:$AE$3005,請求記録!$B$6:$B$3005,$A239,請求記録!$Z$6:$Z$3005,M$5))))</f>
        <v/>
      </c>
      <c r="N239" s="19">
        <f>IF($A239="","",IF(COUNTIFS(請求記録!$B$6:$B$3005,$A239,請求記録!$Z$6:$Z$3005,N$5,請求記録!$AF$6:$AF$3005,"保留中")&gt;0,"保留",IF(COUNTIFS(請求記録!$B$6:$B$3005,$A239,請求記録!$Z$6:$Z$3005,N$5)=0,"",SUMIFS(請求記録!$AE$6:$AE$3005,請求記録!$B$6:$B$3005,$A239,請求記録!$Z$6:$Z$3005,N$5))))</f>
        <v/>
      </c>
      <c r="O239" s="19">
        <f>IF($A239="","",IF(COUNTIFS(請求記録!$B$6:$B$3005,$A239,請求記録!$Z$6:$Z$3005,O$5,請求記録!$AF$6:$AF$3005,"保留中")&gt;0,"保留",IF(COUNTIFS(請求記録!$B$6:$B$3005,$A239,請求記録!$Z$6:$Z$3005,O$5)=0,"",SUMIFS(請求記録!$AE$6:$AE$3005,請求記録!$B$6:$B$3005,$A239,請求記録!$Z$6:$Z$3005,O$5))))</f>
        <v/>
      </c>
      <c r="P239" s="19">
        <f>IF($A239="","",IF(COUNTIFS(請求記録!$B$6:$B$3005,$A239,請求記録!$Z$6:$Z$3005,P$5,請求記録!$AF$6:$AF$3005,"保留中")&gt;0,"保留",IF(COUNTIFS(請求記録!$B$6:$B$3005,$A239,請求記録!$Z$6:$Z$3005,P$5)=0,"",SUMIFS(請求記録!$AE$6:$AE$3005,請求記録!$B$6:$B$3005,$A239,請求記録!$Z$6:$Z$3005,P$5))))</f>
        <v/>
      </c>
      <c r="Q239" s="19">
        <f>IF($A239="","",IF(COUNTIFS(請求記録!$B$6:$B$3005,$A239,請求記録!$Z$6:$Z$3005,Q$5,請求記録!$AF$6:$AF$3005,"保留中")&gt;0,"保留",IF(COUNTIFS(請求記録!$B$6:$B$3005,$A239,請求記録!$Z$6:$Z$3005,Q$5)=0,"",SUMIFS(請求記録!$AE$6:$AE$3005,請求記録!$B$6:$B$3005,$A239,請求記録!$Z$6:$Z$3005,Q$5))))</f>
        <v/>
      </c>
      <c r="R239" s="19">
        <f>IF($A239="","",IF(COUNTIFS(請求記録!$B$6:$B$3005,$A239,請求記録!$Z$6:$Z$3005,R$5,請求記録!$AF$6:$AF$3005,"保留中")&gt;0,"保留",IF(COUNTIFS(請求記録!$B$6:$B$3005,$A239,請求記録!$Z$6:$Z$3005,R$5)=0,"",SUMIFS(請求記録!$AE$6:$AE$3005,請求記録!$B$6:$B$3005,$A239,請求記録!$Z$6:$Z$3005,R$5))))</f>
        <v/>
      </c>
      <c r="S239" s="19">
        <f>IF($A239="","",IF(COUNTIFS(請求記録!$B$6:$B$3005,$A239,請求記録!$Z$6:$Z$3005,S$5,請求記録!$AF$6:$AF$3005,"保留中")&gt;0,"保留",IF(COUNTIFS(請求記録!$B$6:$B$3005,$A239,請求記録!$Z$6:$Z$3005,S$5)=0,"",SUMIFS(請求記録!$AE$6:$AE$3005,請求記録!$B$6:$B$3005,$A239,請求記録!$Z$6:$Z$3005,S$5))))</f>
        <v/>
      </c>
      <c r="T239" s="19">
        <f>IF($A239="","",IF(COUNTIFS(請求記録!$B$6:$B$3005,$A239,請求記録!$Z$6:$Z$3005,T$5,請求記録!$AF$6:$AF$3005,"保留中")&gt;0,"保留",IF(COUNTIFS(請求記録!$B$6:$B$3005,$A239,請求記録!$Z$6:$Z$3005,T$5)=0,"",SUMIFS(請求記録!$AE$6:$AE$3005,請求記録!$B$6:$B$3005,$A239,請求記録!$Z$6:$Z$3005,T$5))))</f>
        <v/>
      </c>
      <c r="U239" s="19">
        <f>IF($A239="","",IF(COUNTIFS(請求記録!$B$6:$B$3005,$A239,請求記録!$Z$6:$Z$3005,U$5,請求記録!$AF$6:$AF$3005,"保留中")&gt;0,"保留",IF(COUNTIFS(請求記録!$B$6:$B$3005,$A239,請求記録!$Z$6:$Z$3005,U$5)=0,"",SUMIFS(請求記録!$AE$6:$AE$3005,請求記録!$B$6:$B$3005,$A239,請求記録!$Z$6:$Z$3005,U$5))))</f>
        <v/>
      </c>
      <c r="V239" s="19">
        <f>IF($A239="","",IF(COUNTIFS(請求記録!$B$6:$B$3005,$A239,請求記録!$Z$6:$Z$3005,V$5,請求記録!$AF$6:$AF$3005,"保留中")&gt;0,"保留",IF(COUNTIFS(請求記録!$B$6:$B$3005,$A239,請求記録!$Z$6:$Z$3005,V$5)=0,"",SUMIFS(請求記録!$AE$6:$AE$3005,請求記録!$B$6:$B$3005,$A239,請求記録!$Z$6:$Z$3005,V$5))))</f>
        <v/>
      </c>
      <c r="W239" s="19">
        <f>IF($A239="","",IF(COUNTIFS(請求記録!$B$6:$B$3005,$A239,請求記録!$Z$6:$Z$3005,W$5,請求記録!$AF$6:$AF$3005,"保留中")&gt;0,"保留",IF(COUNTIFS(請求記録!$B$6:$B$3005,$A239,請求記録!$Z$6:$Z$3005,W$5)=0,"",SUMIFS(請求記録!$AE$6:$AE$3005,請求記録!$B$6:$B$3005,$A239,請求記録!$Z$6:$Z$3005,W$5))))</f>
        <v/>
      </c>
      <c r="X239" s="19">
        <f>IF($A239="","",IF(COUNTIFS(請求記録!$B$6:$B$3005,$A239,請求記録!$Z$6:$Z$3005,X$5,請求記録!$AF$6:$AF$3005,"保留中")&gt;0,"保留",IF(COUNTIFS(請求記録!$B$6:$B$3005,$A239,請求記録!$Z$6:$Z$3005,X$5)=0,"",SUMIFS(請求記録!$AE$6:$AE$3005,請求記録!$B$6:$B$3005,$A239,請求記録!$Z$6:$Z$3005,X$5))))</f>
        <v/>
      </c>
      <c r="Y239" s="19">
        <f>IF($A239="","",IF(COUNTIFS(請求記録!$B$6:$B$3005,$A239,請求記録!$Z$6:$Z$3005,Y$5,請求記録!$AF$6:$AF$3005,"保留中")&gt;0,"保留",IF(COUNTIFS(請求記録!$B$6:$B$3005,$A239,請求記録!$Z$6:$Z$3005,Y$5)=0,"",SUMIFS(請求記録!$AE$6:$AE$3005,請求記録!$B$6:$B$3005,$A239,請求記録!$Z$6:$Z$3005,Y$5))))</f>
        <v/>
      </c>
      <c r="Z239" s="19">
        <f>IF($A239="","",IF(COUNTIFS(請求記録!$B$6:$B$3005,$A239,請求記録!$Z$6:$Z$3005,Z$5,請求記録!$AF$6:$AF$3005,"保留中")&gt;0,"保留",IF(COUNTIFS(請求記録!$B$6:$B$3005,$A239,請求記録!$Z$6:$Z$3005,Z$5)=0,"",SUMIFS(請求記録!$AE$6:$AE$3005,請求記録!$B$6:$B$3005,$A239,請求記録!$Z$6:$Z$3005,Z$5))))</f>
        <v/>
      </c>
      <c r="AA239" s="19">
        <f>IF($A239="","",IF(COUNTIFS(請求記録!$B$6:$B$3005,$A239,請求記録!$Z$6:$Z$3005,AA$5,請求記録!$AF$6:$AF$3005,"保留中")&gt;0,"保留",IF(COUNTIFS(請求記録!$B$6:$B$3005,$A239,請求記録!$Z$6:$Z$3005,AA$5)=0,"",SUMIFS(請求記録!$AE$6:$AE$3005,請求記録!$B$6:$B$3005,$A239,請求記録!$Z$6:$Z$3005,AA$5))))</f>
        <v/>
      </c>
      <c r="AB239">
        <f>IF(職員マスタ!P239="保留中",職員マスタ!M239,"")</f>
        <v/>
      </c>
    </row>
    <row r="240">
      <c r="A240">
        <f>IF(職員マスタ!A240="","",職員マスタ!A240)</f>
        <v/>
      </c>
      <c r="B240">
        <f>IF($A240="","",職員マスタ!B240)</f>
        <v/>
      </c>
      <c r="C240">
        <f>IF($A240="","",職員マスタ!C240)</f>
        <v/>
      </c>
      <c r="D240" s="19">
        <f>IF($A240="","",IF(COUNTIFS(請求記録!$B$6:$B$3005,$A240,請求記録!$Z$6:$Z$3005,D$5,請求記録!$AF$6:$AF$3005,"保留中")&gt;0,"保留",IF(COUNTIFS(請求記録!$B$6:$B$3005,$A240,請求記録!$Z$6:$Z$3005,D$5)=0,"",SUMIFS(請求記録!$AE$6:$AE$3005,請求記録!$B$6:$B$3005,$A240,請求記録!$Z$6:$Z$3005,D$5))))</f>
        <v/>
      </c>
      <c r="E240" s="19">
        <f>IF($A240="","",IF(COUNTIFS(請求記録!$B$6:$B$3005,$A240,請求記録!$Z$6:$Z$3005,E$5,請求記録!$AF$6:$AF$3005,"保留中")&gt;0,"保留",IF(COUNTIFS(請求記録!$B$6:$B$3005,$A240,請求記録!$Z$6:$Z$3005,E$5)=0,"",SUMIFS(請求記録!$AE$6:$AE$3005,請求記録!$B$6:$B$3005,$A240,請求記録!$Z$6:$Z$3005,E$5))))</f>
        <v/>
      </c>
      <c r="F240" s="19">
        <f>IF($A240="","",IF(COUNTIFS(請求記録!$B$6:$B$3005,$A240,請求記録!$Z$6:$Z$3005,F$5,請求記録!$AF$6:$AF$3005,"保留中")&gt;0,"保留",IF(COUNTIFS(請求記録!$B$6:$B$3005,$A240,請求記録!$Z$6:$Z$3005,F$5)=0,"",SUMIFS(請求記録!$AE$6:$AE$3005,請求記録!$B$6:$B$3005,$A240,請求記録!$Z$6:$Z$3005,F$5))))</f>
        <v/>
      </c>
      <c r="G240" s="19">
        <f>IF($A240="","",IF(COUNTIFS(請求記録!$B$6:$B$3005,$A240,請求記録!$Z$6:$Z$3005,G$5,請求記録!$AF$6:$AF$3005,"保留中")&gt;0,"保留",IF(COUNTIFS(請求記録!$B$6:$B$3005,$A240,請求記録!$Z$6:$Z$3005,G$5)=0,"",SUMIFS(請求記録!$AE$6:$AE$3005,請求記録!$B$6:$B$3005,$A240,請求記録!$Z$6:$Z$3005,G$5))))</f>
        <v/>
      </c>
      <c r="H240" s="19">
        <f>IF($A240="","",IF(COUNTIFS(請求記録!$B$6:$B$3005,$A240,請求記録!$Z$6:$Z$3005,H$5,請求記録!$AF$6:$AF$3005,"保留中")&gt;0,"保留",IF(COUNTIFS(請求記録!$B$6:$B$3005,$A240,請求記録!$Z$6:$Z$3005,H$5)=0,"",SUMIFS(請求記録!$AE$6:$AE$3005,請求記録!$B$6:$B$3005,$A240,請求記録!$Z$6:$Z$3005,H$5))))</f>
        <v/>
      </c>
      <c r="I240" s="19">
        <f>IF($A240="","",IF(COUNTIFS(請求記録!$B$6:$B$3005,$A240,請求記録!$Z$6:$Z$3005,I$5,請求記録!$AF$6:$AF$3005,"保留中")&gt;0,"保留",IF(COUNTIFS(請求記録!$B$6:$B$3005,$A240,請求記録!$Z$6:$Z$3005,I$5)=0,"",SUMIFS(請求記録!$AE$6:$AE$3005,請求記録!$B$6:$B$3005,$A240,請求記録!$Z$6:$Z$3005,I$5))))</f>
        <v/>
      </c>
      <c r="J240" s="19">
        <f>IF($A240="","",IF(COUNTIFS(請求記録!$B$6:$B$3005,$A240,請求記録!$Z$6:$Z$3005,J$5,請求記録!$AF$6:$AF$3005,"保留中")&gt;0,"保留",IF(COUNTIFS(請求記録!$B$6:$B$3005,$A240,請求記録!$Z$6:$Z$3005,J$5)=0,"",SUMIFS(請求記録!$AE$6:$AE$3005,請求記録!$B$6:$B$3005,$A240,請求記録!$Z$6:$Z$3005,J$5))))</f>
        <v/>
      </c>
      <c r="K240" s="19">
        <f>IF($A240="","",IF(COUNTIFS(請求記録!$B$6:$B$3005,$A240,請求記録!$Z$6:$Z$3005,K$5,請求記録!$AF$6:$AF$3005,"保留中")&gt;0,"保留",IF(COUNTIFS(請求記録!$B$6:$B$3005,$A240,請求記録!$Z$6:$Z$3005,K$5)=0,"",SUMIFS(請求記録!$AE$6:$AE$3005,請求記録!$B$6:$B$3005,$A240,請求記録!$Z$6:$Z$3005,K$5))))</f>
        <v/>
      </c>
      <c r="L240" s="19">
        <f>IF($A240="","",IF(COUNTIFS(請求記録!$B$6:$B$3005,$A240,請求記録!$Z$6:$Z$3005,L$5,請求記録!$AF$6:$AF$3005,"保留中")&gt;0,"保留",IF(COUNTIFS(請求記録!$B$6:$B$3005,$A240,請求記録!$Z$6:$Z$3005,L$5)=0,"",SUMIFS(請求記録!$AE$6:$AE$3005,請求記録!$B$6:$B$3005,$A240,請求記録!$Z$6:$Z$3005,L$5))))</f>
        <v/>
      </c>
      <c r="M240" s="19">
        <f>IF($A240="","",IF(COUNTIFS(請求記録!$B$6:$B$3005,$A240,請求記録!$Z$6:$Z$3005,M$5,請求記録!$AF$6:$AF$3005,"保留中")&gt;0,"保留",IF(COUNTIFS(請求記録!$B$6:$B$3005,$A240,請求記録!$Z$6:$Z$3005,M$5)=0,"",SUMIFS(請求記録!$AE$6:$AE$3005,請求記録!$B$6:$B$3005,$A240,請求記録!$Z$6:$Z$3005,M$5))))</f>
        <v/>
      </c>
      <c r="N240" s="19">
        <f>IF($A240="","",IF(COUNTIFS(請求記録!$B$6:$B$3005,$A240,請求記録!$Z$6:$Z$3005,N$5,請求記録!$AF$6:$AF$3005,"保留中")&gt;0,"保留",IF(COUNTIFS(請求記録!$B$6:$B$3005,$A240,請求記録!$Z$6:$Z$3005,N$5)=0,"",SUMIFS(請求記録!$AE$6:$AE$3005,請求記録!$B$6:$B$3005,$A240,請求記録!$Z$6:$Z$3005,N$5))))</f>
        <v/>
      </c>
      <c r="O240" s="19">
        <f>IF($A240="","",IF(COUNTIFS(請求記録!$B$6:$B$3005,$A240,請求記録!$Z$6:$Z$3005,O$5,請求記録!$AF$6:$AF$3005,"保留中")&gt;0,"保留",IF(COUNTIFS(請求記録!$B$6:$B$3005,$A240,請求記録!$Z$6:$Z$3005,O$5)=0,"",SUMIFS(請求記録!$AE$6:$AE$3005,請求記録!$B$6:$B$3005,$A240,請求記録!$Z$6:$Z$3005,O$5))))</f>
        <v/>
      </c>
      <c r="P240" s="19">
        <f>IF($A240="","",IF(COUNTIFS(請求記録!$B$6:$B$3005,$A240,請求記録!$Z$6:$Z$3005,P$5,請求記録!$AF$6:$AF$3005,"保留中")&gt;0,"保留",IF(COUNTIFS(請求記録!$B$6:$B$3005,$A240,請求記録!$Z$6:$Z$3005,P$5)=0,"",SUMIFS(請求記録!$AE$6:$AE$3005,請求記録!$B$6:$B$3005,$A240,請求記録!$Z$6:$Z$3005,P$5))))</f>
        <v/>
      </c>
      <c r="Q240" s="19">
        <f>IF($A240="","",IF(COUNTIFS(請求記録!$B$6:$B$3005,$A240,請求記録!$Z$6:$Z$3005,Q$5,請求記録!$AF$6:$AF$3005,"保留中")&gt;0,"保留",IF(COUNTIFS(請求記録!$B$6:$B$3005,$A240,請求記録!$Z$6:$Z$3005,Q$5)=0,"",SUMIFS(請求記録!$AE$6:$AE$3005,請求記録!$B$6:$B$3005,$A240,請求記録!$Z$6:$Z$3005,Q$5))))</f>
        <v/>
      </c>
      <c r="R240" s="19">
        <f>IF($A240="","",IF(COUNTIFS(請求記録!$B$6:$B$3005,$A240,請求記録!$Z$6:$Z$3005,R$5,請求記録!$AF$6:$AF$3005,"保留中")&gt;0,"保留",IF(COUNTIFS(請求記録!$B$6:$B$3005,$A240,請求記録!$Z$6:$Z$3005,R$5)=0,"",SUMIFS(請求記録!$AE$6:$AE$3005,請求記録!$B$6:$B$3005,$A240,請求記録!$Z$6:$Z$3005,R$5))))</f>
        <v/>
      </c>
      <c r="S240" s="19">
        <f>IF($A240="","",IF(COUNTIFS(請求記録!$B$6:$B$3005,$A240,請求記録!$Z$6:$Z$3005,S$5,請求記録!$AF$6:$AF$3005,"保留中")&gt;0,"保留",IF(COUNTIFS(請求記録!$B$6:$B$3005,$A240,請求記録!$Z$6:$Z$3005,S$5)=0,"",SUMIFS(請求記録!$AE$6:$AE$3005,請求記録!$B$6:$B$3005,$A240,請求記録!$Z$6:$Z$3005,S$5))))</f>
        <v/>
      </c>
      <c r="T240" s="19">
        <f>IF($A240="","",IF(COUNTIFS(請求記録!$B$6:$B$3005,$A240,請求記録!$Z$6:$Z$3005,T$5,請求記録!$AF$6:$AF$3005,"保留中")&gt;0,"保留",IF(COUNTIFS(請求記録!$B$6:$B$3005,$A240,請求記録!$Z$6:$Z$3005,T$5)=0,"",SUMIFS(請求記録!$AE$6:$AE$3005,請求記録!$B$6:$B$3005,$A240,請求記録!$Z$6:$Z$3005,T$5))))</f>
        <v/>
      </c>
      <c r="U240" s="19">
        <f>IF($A240="","",IF(COUNTIFS(請求記録!$B$6:$B$3005,$A240,請求記録!$Z$6:$Z$3005,U$5,請求記録!$AF$6:$AF$3005,"保留中")&gt;0,"保留",IF(COUNTIFS(請求記録!$B$6:$B$3005,$A240,請求記録!$Z$6:$Z$3005,U$5)=0,"",SUMIFS(請求記録!$AE$6:$AE$3005,請求記録!$B$6:$B$3005,$A240,請求記録!$Z$6:$Z$3005,U$5))))</f>
        <v/>
      </c>
      <c r="V240" s="19">
        <f>IF($A240="","",IF(COUNTIFS(請求記録!$B$6:$B$3005,$A240,請求記録!$Z$6:$Z$3005,V$5,請求記録!$AF$6:$AF$3005,"保留中")&gt;0,"保留",IF(COUNTIFS(請求記録!$B$6:$B$3005,$A240,請求記録!$Z$6:$Z$3005,V$5)=0,"",SUMIFS(請求記録!$AE$6:$AE$3005,請求記録!$B$6:$B$3005,$A240,請求記録!$Z$6:$Z$3005,V$5))))</f>
        <v/>
      </c>
      <c r="W240" s="19">
        <f>IF($A240="","",IF(COUNTIFS(請求記録!$B$6:$B$3005,$A240,請求記録!$Z$6:$Z$3005,W$5,請求記録!$AF$6:$AF$3005,"保留中")&gt;0,"保留",IF(COUNTIFS(請求記録!$B$6:$B$3005,$A240,請求記録!$Z$6:$Z$3005,W$5)=0,"",SUMIFS(請求記録!$AE$6:$AE$3005,請求記録!$B$6:$B$3005,$A240,請求記録!$Z$6:$Z$3005,W$5))))</f>
        <v/>
      </c>
      <c r="X240" s="19">
        <f>IF($A240="","",IF(COUNTIFS(請求記録!$B$6:$B$3005,$A240,請求記録!$Z$6:$Z$3005,X$5,請求記録!$AF$6:$AF$3005,"保留中")&gt;0,"保留",IF(COUNTIFS(請求記録!$B$6:$B$3005,$A240,請求記録!$Z$6:$Z$3005,X$5)=0,"",SUMIFS(請求記録!$AE$6:$AE$3005,請求記録!$B$6:$B$3005,$A240,請求記録!$Z$6:$Z$3005,X$5))))</f>
        <v/>
      </c>
      <c r="Y240" s="19">
        <f>IF($A240="","",IF(COUNTIFS(請求記録!$B$6:$B$3005,$A240,請求記録!$Z$6:$Z$3005,Y$5,請求記録!$AF$6:$AF$3005,"保留中")&gt;0,"保留",IF(COUNTIFS(請求記録!$B$6:$B$3005,$A240,請求記録!$Z$6:$Z$3005,Y$5)=0,"",SUMIFS(請求記録!$AE$6:$AE$3005,請求記録!$B$6:$B$3005,$A240,請求記録!$Z$6:$Z$3005,Y$5))))</f>
        <v/>
      </c>
      <c r="Z240" s="19">
        <f>IF($A240="","",IF(COUNTIFS(請求記録!$B$6:$B$3005,$A240,請求記録!$Z$6:$Z$3005,Z$5,請求記録!$AF$6:$AF$3005,"保留中")&gt;0,"保留",IF(COUNTIFS(請求記録!$B$6:$B$3005,$A240,請求記録!$Z$6:$Z$3005,Z$5)=0,"",SUMIFS(請求記録!$AE$6:$AE$3005,請求記録!$B$6:$B$3005,$A240,請求記録!$Z$6:$Z$3005,Z$5))))</f>
        <v/>
      </c>
      <c r="AA240" s="19">
        <f>IF($A240="","",IF(COUNTIFS(請求記録!$B$6:$B$3005,$A240,請求記録!$Z$6:$Z$3005,AA$5,請求記録!$AF$6:$AF$3005,"保留中")&gt;0,"保留",IF(COUNTIFS(請求記録!$B$6:$B$3005,$A240,請求記録!$Z$6:$Z$3005,AA$5)=0,"",SUMIFS(請求記録!$AE$6:$AE$3005,請求記録!$B$6:$B$3005,$A240,請求記録!$Z$6:$Z$3005,AA$5))))</f>
        <v/>
      </c>
      <c r="AB240">
        <f>IF(職員マスタ!P240="保留中",職員マスタ!M240,"")</f>
        <v/>
      </c>
    </row>
    <row r="241">
      <c r="A241">
        <f>IF(職員マスタ!A241="","",職員マスタ!A241)</f>
        <v/>
      </c>
      <c r="B241">
        <f>IF($A241="","",職員マスタ!B241)</f>
        <v/>
      </c>
      <c r="C241">
        <f>IF($A241="","",職員マスタ!C241)</f>
        <v/>
      </c>
      <c r="D241" s="19">
        <f>IF($A241="","",IF(COUNTIFS(請求記録!$B$6:$B$3005,$A241,請求記録!$Z$6:$Z$3005,D$5,請求記録!$AF$6:$AF$3005,"保留中")&gt;0,"保留",IF(COUNTIFS(請求記録!$B$6:$B$3005,$A241,請求記録!$Z$6:$Z$3005,D$5)=0,"",SUMIFS(請求記録!$AE$6:$AE$3005,請求記録!$B$6:$B$3005,$A241,請求記録!$Z$6:$Z$3005,D$5))))</f>
        <v/>
      </c>
      <c r="E241" s="19">
        <f>IF($A241="","",IF(COUNTIFS(請求記録!$B$6:$B$3005,$A241,請求記録!$Z$6:$Z$3005,E$5,請求記録!$AF$6:$AF$3005,"保留中")&gt;0,"保留",IF(COUNTIFS(請求記録!$B$6:$B$3005,$A241,請求記録!$Z$6:$Z$3005,E$5)=0,"",SUMIFS(請求記録!$AE$6:$AE$3005,請求記録!$B$6:$B$3005,$A241,請求記録!$Z$6:$Z$3005,E$5))))</f>
        <v/>
      </c>
      <c r="F241" s="19">
        <f>IF($A241="","",IF(COUNTIFS(請求記録!$B$6:$B$3005,$A241,請求記録!$Z$6:$Z$3005,F$5,請求記録!$AF$6:$AF$3005,"保留中")&gt;0,"保留",IF(COUNTIFS(請求記録!$B$6:$B$3005,$A241,請求記録!$Z$6:$Z$3005,F$5)=0,"",SUMIFS(請求記録!$AE$6:$AE$3005,請求記録!$B$6:$B$3005,$A241,請求記録!$Z$6:$Z$3005,F$5))))</f>
        <v/>
      </c>
      <c r="G241" s="19">
        <f>IF($A241="","",IF(COUNTIFS(請求記録!$B$6:$B$3005,$A241,請求記録!$Z$6:$Z$3005,G$5,請求記録!$AF$6:$AF$3005,"保留中")&gt;0,"保留",IF(COUNTIFS(請求記録!$B$6:$B$3005,$A241,請求記録!$Z$6:$Z$3005,G$5)=0,"",SUMIFS(請求記録!$AE$6:$AE$3005,請求記録!$B$6:$B$3005,$A241,請求記録!$Z$6:$Z$3005,G$5))))</f>
        <v/>
      </c>
      <c r="H241" s="19">
        <f>IF($A241="","",IF(COUNTIFS(請求記録!$B$6:$B$3005,$A241,請求記録!$Z$6:$Z$3005,H$5,請求記録!$AF$6:$AF$3005,"保留中")&gt;0,"保留",IF(COUNTIFS(請求記録!$B$6:$B$3005,$A241,請求記録!$Z$6:$Z$3005,H$5)=0,"",SUMIFS(請求記録!$AE$6:$AE$3005,請求記録!$B$6:$B$3005,$A241,請求記録!$Z$6:$Z$3005,H$5))))</f>
        <v/>
      </c>
      <c r="I241" s="19">
        <f>IF($A241="","",IF(COUNTIFS(請求記録!$B$6:$B$3005,$A241,請求記録!$Z$6:$Z$3005,I$5,請求記録!$AF$6:$AF$3005,"保留中")&gt;0,"保留",IF(COUNTIFS(請求記録!$B$6:$B$3005,$A241,請求記録!$Z$6:$Z$3005,I$5)=0,"",SUMIFS(請求記録!$AE$6:$AE$3005,請求記録!$B$6:$B$3005,$A241,請求記録!$Z$6:$Z$3005,I$5))))</f>
        <v/>
      </c>
      <c r="J241" s="19">
        <f>IF($A241="","",IF(COUNTIFS(請求記録!$B$6:$B$3005,$A241,請求記録!$Z$6:$Z$3005,J$5,請求記録!$AF$6:$AF$3005,"保留中")&gt;0,"保留",IF(COUNTIFS(請求記録!$B$6:$B$3005,$A241,請求記録!$Z$6:$Z$3005,J$5)=0,"",SUMIFS(請求記録!$AE$6:$AE$3005,請求記録!$B$6:$B$3005,$A241,請求記録!$Z$6:$Z$3005,J$5))))</f>
        <v/>
      </c>
      <c r="K241" s="19">
        <f>IF($A241="","",IF(COUNTIFS(請求記録!$B$6:$B$3005,$A241,請求記録!$Z$6:$Z$3005,K$5,請求記録!$AF$6:$AF$3005,"保留中")&gt;0,"保留",IF(COUNTIFS(請求記録!$B$6:$B$3005,$A241,請求記録!$Z$6:$Z$3005,K$5)=0,"",SUMIFS(請求記録!$AE$6:$AE$3005,請求記録!$B$6:$B$3005,$A241,請求記録!$Z$6:$Z$3005,K$5))))</f>
        <v/>
      </c>
      <c r="L241" s="19">
        <f>IF($A241="","",IF(COUNTIFS(請求記録!$B$6:$B$3005,$A241,請求記録!$Z$6:$Z$3005,L$5,請求記録!$AF$6:$AF$3005,"保留中")&gt;0,"保留",IF(COUNTIFS(請求記録!$B$6:$B$3005,$A241,請求記録!$Z$6:$Z$3005,L$5)=0,"",SUMIFS(請求記録!$AE$6:$AE$3005,請求記録!$B$6:$B$3005,$A241,請求記録!$Z$6:$Z$3005,L$5))))</f>
        <v/>
      </c>
      <c r="M241" s="19">
        <f>IF($A241="","",IF(COUNTIFS(請求記録!$B$6:$B$3005,$A241,請求記録!$Z$6:$Z$3005,M$5,請求記録!$AF$6:$AF$3005,"保留中")&gt;0,"保留",IF(COUNTIFS(請求記録!$B$6:$B$3005,$A241,請求記録!$Z$6:$Z$3005,M$5)=0,"",SUMIFS(請求記録!$AE$6:$AE$3005,請求記録!$B$6:$B$3005,$A241,請求記録!$Z$6:$Z$3005,M$5))))</f>
        <v/>
      </c>
      <c r="N241" s="19">
        <f>IF($A241="","",IF(COUNTIFS(請求記録!$B$6:$B$3005,$A241,請求記録!$Z$6:$Z$3005,N$5,請求記録!$AF$6:$AF$3005,"保留中")&gt;0,"保留",IF(COUNTIFS(請求記録!$B$6:$B$3005,$A241,請求記録!$Z$6:$Z$3005,N$5)=0,"",SUMIFS(請求記録!$AE$6:$AE$3005,請求記録!$B$6:$B$3005,$A241,請求記録!$Z$6:$Z$3005,N$5))))</f>
        <v/>
      </c>
      <c r="O241" s="19">
        <f>IF($A241="","",IF(COUNTIFS(請求記録!$B$6:$B$3005,$A241,請求記録!$Z$6:$Z$3005,O$5,請求記録!$AF$6:$AF$3005,"保留中")&gt;0,"保留",IF(COUNTIFS(請求記録!$B$6:$B$3005,$A241,請求記録!$Z$6:$Z$3005,O$5)=0,"",SUMIFS(請求記録!$AE$6:$AE$3005,請求記録!$B$6:$B$3005,$A241,請求記録!$Z$6:$Z$3005,O$5))))</f>
        <v/>
      </c>
      <c r="P241" s="19">
        <f>IF($A241="","",IF(COUNTIFS(請求記録!$B$6:$B$3005,$A241,請求記録!$Z$6:$Z$3005,P$5,請求記録!$AF$6:$AF$3005,"保留中")&gt;0,"保留",IF(COUNTIFS(請求記録!$B$6:$B$3005,$A241,請求記録!$Z$6:$Z$3005,P$5)=0,"",SUMIFS(請求記録!$AE$6:$AE$3005,請求記録!$B$6:$B$3005,$A241,請求記録!$Z$6:$Z$3005,P$5))))</f>
        <v/>
      </c>
      <c r="Q241" s="19">
        <f>IF($A241="","",IF(COUNTIFS(請求記録!$B$6:$B$3005,$A241,請求記録!$Z$6:$Z$3005,Q$5,請求記録!$AF$6:$AF$3005,"保留中")&gt;0,"保留",IF(COUNTIFS(請求記録!$B$6:$B$3005,$A241,請求記録!$Z$6:$Z$3005,Q$5)=0,"",SUMIFS(請求記録!$AE$6:$AE$3005,請求記録!$B$6:$B$3005,$A241,請求記録!$Z$6:$Z$3005,Q$5))))</f>
        <v/>
      </c>
      <c r="R241" s="19">
        <f>IF($A241="","",IF(COUNTIFS(請求記録!$B$6:$B$3005,$A241,請求記録!$Z$6:$Z$3005,R$5,請求記録!$AF$6:$AF$3005,"保留中")&gt;0,"保留",IF(COUNTIFS(請求記録!$B$6:$B$3005,$A241,請求記録!$Z$6:$Z$3005,R$5)=0,"",SUMIFS(請求記録!$AE$6:$AE$3005,請求記録!$B$6:$B$3005,$A241,請求記録!$Z$6:$Z$3005,R$5))))</f>
        <v/>
      </c>
      <c r="S241" s="19">
        <f>IF($A241="","",IF(COUNTIFS(請求記録!$B$6:$B$3005,$A241,請求記録!$Z$6:$Z$3005,S$5,請求記録!$AF$6:$AF$3005,"保留中")&gt;0,"保留",IF(COUNTIFS(請求記録!$B$6:$B$3005,$A241,請求記録!$Z$6:$Z$3005,S$5)=0,"",SUMIFS(請求記録!$AE$6:$AE$3005,請求記録!$B$6:$B$3005,$A241,請求記録!$Z$6:$Z$3005,S$5))))</f>
        <v/>
      </c>
      <c r="T241" s="19">
        <f>IF($A241="","",IF(COUNTIFS(請求記録!$B$6:$B$3005,$A241,請求記録!$Z$6:$Z$3005,T$5,請求記録!$AF$6:$AF$3005,"保留中")&gt;0,"保留",IF(COUNTIFS(請求記録!$B$6:$B$3005,$A241,請求記録!$Z$6:$Z$3005,T$5)=0,"",SUMIFS(請求記録!$AE$6:$AE$3005,請求記録!$B$6:$B$3005,$A241,請求記録!$Z$6:$Z$3005,T$5))))</f>
        <v/>
      </c>
      <c r="U241" s="19">
        <f>IF($A241="","",IF(COUNTIFS(請求記録!$B$6:$B$3005,$A241,請求記録!$Z$6:$Z$3005,U$5,請求記録!$AF$6:$AF$3005,"保留中")&gt;0,"保留",IF(COUNTIFS(請求記録!$B$6:$B$3005,$A241,請求記録!$Z$6:$Z$3005,U$5)=0,"",SUMIFS(請求記録!$AE$6:$AE$3005,請求記録!$B$6:$B$3005,$A241,請求記録!$Z$6:$Z$3005,U$5))))</f>
        <v/>
      </c>
      <c r="V241" s="19">
        <f>IF($A241="","",IF(COUNTIFS(請求記録!$B$6:$B$3005,$A241,請求記録!$Z$6:$Z$3005,V$5,請求記録!$AF$6:$AF$3005,"保留中")&gt;0,"保留",IF(COUNTIFS(請求記録!$B$6:$B$3005,$A241,請求記録!$Z$6:$Z$3005,V$5)=0,"",SUMIFS(請求記録!$AE$6:$AE$3005,請求記録!$B$6:$B$3005,$A241,請求記録!$Z$6:$Z$3005,V$5))))</f>
        <v/>
      </c>
      <c r="W241" s="19">
        <f>IF($A241="","",IF(COUNTIFS(請求記録!$B$6:$B$3005,$A241,請求記録!$Z$6:$Z$3005,W$5,請求記録!$AF$6:$AF$3005,"保留中")&gt;0,"保留",IF(COUNTIFS(請求記録!$B$6:$B$3005,$A241,請求記録!$Z$6:$Z$3005,W$5)=0,"",SUMIFS(請求記録!$AE$6:$AE$3005,請求記録!$B$6:$B$3005,$A241,請求記録!$Z$6:$Z$3005,W$5))))</f>
        <v/>
      </c>
      <c r="X241" s="19">
        <f>IF($A241="","",IF(COUNTIFS(請求記録!$B$6:$B$3005,$A241,請求記録!$Z$6:$Z$3005,X$5,請求記録!$AF$6:$AF$3005,"保留中")&gt;0,"保留",IF(COUNTIFS(請求記録!$B$6:$B$3005,$A241,請求記録!$Z$6:$Z$3005,X$5)=0,"",SUMIFS(請求記録!$AE$6:$AE$3005,請求記録!$B$6:$B$3005,$A241,請求記録!$Z$6:$Z$3005,X$5))))</f>
        <v/>
      </c>
      <c r="Y241" s="19">
        <f>IF($A241="","",IF(COUNTIFS(請求記録!$B$6:$B$3005,$A241,請求記録!$Z$6:$Z$3005,Y$5,請求記録!$AF$6:$AF$3005,"保留中")&gt;0,"保留",IF(COUNTIFS(請求記録!$B$6:$B$3005,$A241,請求記録!$Z$6:$Z$3005,Y$5)=0,"",SUMIFS(請求記録!$AE$6:$AE$3005,請求記録!$B$6:$B$3005,$A241,請求記録!$Z$6:$Z$3005,Y$5))))</f>
        <v/>
      </c>
      <c r="Z241" s="19">
        <f>IF($A241="","",IF(COUNTIFS(請求記録!$B$6:$B$3005,$A241,請求記録!$Z$6:$Z$3005,Z$5,請求記録!$AF$6:$AF$3005,"保留中")&gt;0,"保留",IF(COUNTIFS(請求記録!$B$6:$B$3005,$A241,請求記録!$Z$6:$Z$3005,Z$5)=0,"",SUMIFS(請求記録!$AE$6:$AE$3005,請求記録!$B$6:$B$3005,$A241,請求記録!$Z$6:$Z$3005,Z$5))))</f>
        <v/>
      </c>
      <c r="AA241" s="19">
        <f>IF($A241="","",IF(COUNTIFS(請求記録!$B$6:$B$3005,$A241,請求記録!$Z$6:$Z$3005,AA$5,請求記録!$AF$6:$AF$3005,"保留中")&gt;0,"保留",IF(COUNTIFS(請求記録!$B$6:$B$3005,$A241,請求記録!$Z$6:$Z$3005,AA$5)=0,"",SUMIFS(請求記録!$AE$6:$AE$3005,請求記録!$B$6:$B$3005,$A241,請求記録!$Z$6:$Z$3005,AA$5))))</f>
        <v/>
      </c>
      <c r="AB241">
        <f>IF(職員マスタ!P241="保留中",職員マスタ!M241,"")</f>
        <v/>
      </c>
    </row>
    <row r="242">
      <c r="A242">
        <f>IF(職員マスタ!A242="","",職員マスタ!A242)</f>
        <v/>
      </c>
      <c r="B242">
        <f>IF($A242="","",職員マスタ!B242)</f>
        <v/>
      </c>
      <c r="C242">
        <f>IF($A242="","",職員マスタ!C242)</f>
        <v/>
      </c>
      <c r="D242" s="19">
        <f>IF($A242="","",IF(COUNTIFS(請求記録!$B$6:$B$3005,$A242,請求記録!$Z$6:$Z$3005,D$5,請求記録!$AF$6:$AF$3005,"保留中")&gt;0,"保留",IF(COUNTIFS(請求記録!$B$6:$B$3005,$A242,請求記録!$Z$6:$Z$3005,D$5)=0,"",SUMIFS(請求記録!$AE$6:$AE$3005,請求記録!$B$6:$B$3005,$A242,請求記録!$Z$6:$Z$3005,D$5))))</f>
        <v/>
      </c>
      <c r="E242" s="19">
        <f>IF($A242="","",IF(COUNTIFS(請求記録!$B$6:$B$3005,$A242,請求記録!$Z$6:$Z$3005,E$5,請求記録!$AF$6:$AF$3005,"保留中")&gt;0,"保留",IF(COUNTIFS(請求記録!$B$6:$B$3005,$A242,請求記録!$Z$6:$Z$3005,E$5)=0,"",SUMIFS(請求記録!$AE$6:$AE$3005,請求記録!$B$6:$B$3005,$A242,請求記録!$Z$6:$Z$3005,E$5))))</f>
        <v/>
      </c>
      <c r="F242" s="19">
        <f>IF($A242="","",IF(COUNTIFS(請求記録!$B$6:$B$3005,$A242,請求記録!$Z$6:$Z$3005,F$5,請求記録!$AF$6:$AF$3005,"保留中")&gt;0,"保留",IF(COUNTIFS(請求記録!$B$6:$B$3005,$A242,請求記録!$Z$6:$Z$3005,F$5)=0,"",SUMIFS(請求記録!$AE$6:$AE$3005,請求記録!$B$6:$B$3005,$A242,請求記録!$Z$6:$Z$3005,F$5))))</f>
        <v/>
      </c>
      <c r="G242" s="19">
        <f>IF($A242="","",IF(COUNTIFS(請求記録!$B$6:$B$3005,$A242,請求記録!$Z$6:$Z$3005,G$5,請求記録!$AF$6:$AF$3005,"保留中")&gt;0,"保留",IF(COUNTIFS(請求記録!$B$6:$B$3005,$A242,請求記録!$Z$6:$Z$3005,G$5)=0,"",SUMIFS(請求記録!$AE$6:$AE$3005,請求記録!$B$6:$B$3005,$A242,請求記録!$Z$6:$Z$3005,G$5))))</f>
        <v/>
      </c>
      <c r="H242" s="19">
        <f>IF($A242="","",IF(COUNTIFS(請求記録!$B$6:$B$3005,$A242,請求記録!$Z$6:$Z$3005,H$5,請求記録!$AF$6:$AF$3005,"保留中")&gt;0,"保留",IF(COUNTIFS(請求記録!$B$6:$B$3005,$A242,請求記録!$Z$6:$Z$3005,H$5)=0,"",SUMIFS(請求記録!$AE$6:$AE$3005,請求記録!$B$6:$B$3005,$A242,請求記録!$Z$6:$Z$3005,H$5))))</f>
        <v/>
      </c>
      <c r="I242" s="19">
        <f>IF($A242="","",IF(COUNTIFS(請求記録!$B$6:$B$3005,$A242,請求記録!$Z$6:$Z$3005,I$5,請求記録!$AF$6:$AF$3005,"保留中")&gt;0,"保留",IF(COUNTIFS(請求記録!$B$6:$B$3005,$A242,請求記録!$Z$6:$Z$3005,I$5)=0,"",SUMIFS(請求記録!$AE$6:$AE$3005,請求記録!$B$6:$B$3005,$A242,請求記録!$Z$6:$Z$3005,I$5))))</f>
        <v/>
      </c>
      <c r="J242" s="19">
        <f>IF($A242="","",IF(COUNTIFS(請求記録!$B$6:$B$3005,$A242,請求記録!$Z$6:$Z$3005,J$5,請求記録!$AF$6:$AF$3005,"保留中")&gt;0,"保留",IF(COUNTIFS(請求記録!$B$6:$B$3005,$A242,請求記録!$Z$6:$Z$3005,J$5)=0,"",SUMIFS(請求記録!$AE$6:$AE$3005,請求記録!$B$6:$B$3005,$A242,請求記録!$Z$6:$Z$3005,J$5))))</f>
        <v/>
      </c>
      <c r="K242" s="19">
        <f>IF($A242="","",IF(COUNTIFS(請求記録!$B$6:$B$3005,$A242,請求記録!$Z$6:$Z$3005,K$5,請求記録!$AF$6:$AF$3005,"保留中")&gt;0,"保留",IF(COUNTIFS(請求記録!$B$6:$B$3005,$A242,請求記録!$Z$6:$Z$3005,K$5)=0,"",SUMIFS(請求記録!$AE$6:$AE$3005,請求記録!$B$6:$B$3005,$A242,請求記録!$Z$6:$Z$3005,K$5))))</f>
        <v/>
      </c>
      <c r="L242" s="19">
        <f>IF($A242="","",IF(COUNTIFS(請求記録!$B$6:$B$3005,$A242,請求記録!$Z$6:$Z$3005,L$5,請求記録!$AF$6:$AF$3005,"保留中")&gt;0,"保留",IF(COUNTIFS(請求記録!$B$6:$B$3005,$A242,請求記録!$Z$6:$Z$3005,L$5)=0,"",SUMIFS(請求記録!$AE$6:$AE$3005,請求記録!$B$6:$B$3005,$A242,請求記録!$Z$6:$Z$3005,L$5))))</f>
        <v/>
      </c>
      <c r="M242" s="19">
        <f>IF($A242="","",IF(COUNTIFS(請求記録!$B$6:$B$3005,$A242,請求記録!$Z$6:$Z$3005,M$5,請求記録!$AF$6:$AF$3005,"保留中")&gt;0,"保留",IF(COUNTIFS(請求記録!$B$6:$B$3005,$A242,請求記録!$Z$6:$Z$3005,M$5)=0,"",SUMIFS(請求記録!$AE$6:$AE$3005,請求記録!$B$6:$B$3005,$A242,請求記録!$Z$6:$Z$3005,M$5))))</f>
        <v/>
      </c>
      <c r="N242" s="19">
        <f>IF($A242="","",IF(COUNTIFS(請求記録!$B$6:$B$3005,$A242,請求記録!$Z$6:$Z$3005,N$5,請求記録!$AF$6:$AF$3005,"保留中")&gt;0,"保留",IF(COUNTIFS(請求記録!$B$6:$B$3005,$A242,請求記録!$Z$6:$Z$3005,N$5)=0,"",SUMIFS(請求記録!$AE$6:$AE$3005,請求記録!$B$6:$B$3005,$A242,請求記録!$Z$6:$Z$3005,N$5))))</f>
        <v/>
      </c>
      <c r="O242" s="19">
        <f>IF($A242="","",IF(COUNTIFS(請求記録!$B$6:$B$3005,$A242,請求記録!$Z$6:$Z$3005,O$5,請求記録!$AF$6:$AF$3005,"保留中")&gt;0,"保留",IF(COUNTIFS(請求記録!$B$6:$B$3005,$A242,請求記録!$Z$6:$Z$3005,O$5)=0,"",SUMIFS(請求記録!$AE$6:$AE$3005,請求記録!$B$6:$B$3005,$A242,請求記録!$Z$6:$Z$3005,O$5))))</f>
        <v/>
      </c>
      <c r="P242" s="19">
        <f>IF($A242="","",IF(COUNTIFS(請求記録!$B$6:$B$3005,$A242,請求記録!$Z$6:$Z$3005,P$5,請求記録!$AF$6:$AF$3005,"保留中")&gt;0,"保留",IF(COUNTIFS(請求記録!$B$6:$B$3005,$A242,請求記録!$Z$6:$Z$3005,P$5)=0,"",SUMIFS(請求記録!$AE$6:$AE$3005,請求記録!$B$6:$B$3005,$A242,請求記録!$Z$6:$Z$3005,P$5))))</f>
        <v/>
      </c>
      <c r="Q242" s="19">
        <f>IF($A242="","",IF(COUNTIFS(請求記録!$B$6:$B$3005,$A242,請求記録!$Z$6:$Z$3005,Q$5,請求記録!$AF$6:$AF$3005,"保留中")&gt;0,"保留",IF(COUNTIFS(請求記録!$B$6:$B$3005,$A242,請求記録!$Z$6:$Z$3005,Q$5)=0,"",SUMIFS(請求記録!$AE$6:$AE$3005,請求記録!$B$6:$B$3005,$A242,請求記録!$Z$6:$Z$3005,Q$5))))</f>
        <v/>
      </c>
      <c r="R242" s="19">
        <f>IF($A242="","",IF(COUNTIFS(請求記録!$B$6:$B$3005,$A242,請求記録!$Z$6:$Z$3005,R$5,請求記録!$AF$6:$AF$3005,"保留中")&gt;0,"保留",IF(COUNTIFS(請求記録!$B$6:$B$3005,$A242,請求記録!$Z$6:$Z$3005,R$5)=0,"",SUMIFS(請求記録!$AE$6:$AE$3005,請求記録!$B$6:$B$3005,$A242,請求記録!$Z$6:$Z$3005,R$5))))</f>
        <v/>
      </c>
      <c r="S242" s="19">
        <f>IF($A242="","",IF(COUNTIFS(請求記録!$B$6:$B$3005,$A242,請求記録!$Z$6:$Z$3005,S$5,請求記録!$AF$6:$AF$3005,"保留中")&gt;0,"保留",IF(COUNTIFS(請求記録!$B$6:$B$3005,$A242,請求記録!$Z$6:$Z$3005,S$5)=0,"",SUMIFS(請求記録!$AE$6:$AE$3005,請求記録!$B$6:$B$3005,$A242,請求記録!$Z$6:$Z$3005,S$5))))</f>
        <v/>
      </c>
      <c r="T242" s="19">
        <f>IF($A242="","",IF(COUNTIFS(請求記録!$B$6:$B$3005,$A242,請求記録!$Z$6:$Z$3005,T$5,請求記録!$AF$6:$AF$3005,"保留中")&gt;0,"保留",IF(COUNTIFS(請求記録!$B$6:$B$3005,$A242,請求記録!$Z$6:$Z$3005,T$5)=0,"",SUMIFS(請求記録!$AE$6:$AE$3005,請求記録!$B$6:$B$3005,$A242,請求記録!$Z$6:$Z$3005,T$5))))</f>
        <v/>
      </c>
      <c r="U242" s="19">
        <f>IF($A242="","",IF(COUNTIFS(請求記録!$B$6:$B$3005,$A242,請求記録!$Z$6:$Z$3005,U$5,請求記録!$AF$6:$AF$3005,"保留中")&gt;0,"保留",IF(COUNTIFS(請求記録!$B$6:$B$3005,$A242,請求記録!$Z$6:$Z$3005,U$5)=0,"",SUMIFS(請求記録!$AE$6:$AE$3005,請求記録!$B$6:$B$3005,$A242,請求記録!$Z$6:$Z$3005,U$5))))</f>
        <v/>
      </c>
      <c r="V242" s="19">
        <f>IF($A242="","",IF(COUNTIFS(請求記録!$B$6:$B$3005,$A242,請求記録!$Z$6:$Z$3005,V$5,請求記録!$AF$6:$AF$3005,"保留中")&gt;0,"保留",IF(COUNTIFS(請求記録!$B$6:$B$3005,$A242,請求記録!$Z$6:$Z$3005,V$5)=0,"",SUMIFS(請求記録!$AE$6:$AE$3005,請求記録!$B$6:$B$3005,$A242,請求記録!$Z$6:$Z$3005,V$5))))</f>
        <v/>
      </c>
      <c r="W242" s="19">
        <f>IF($A242="","",IF(COUNTIFS(請求記録!$B$6:$B$3005,$A242,請求記録!$Z$6:$Z$3005,W$5,請求記録!$AF$6:$AF$3005,"保留中")&gt;0,"保留",IF(COUNTIFS(請求記録!$B$6:$B$3005,$A242,請求記録!$Z$6:$Z$3005,W$5)=0,"",SUMIFS(請求記録!$AE$6:$AE$3005,請求記録!$B$6:$B$3005,$A242,請求記録!$Z$6:$Z$3005,W$5))))</f>
        <v/>
      </c>
      <c r="X242" s="19">
        <f>IF($A242="","",IF(COUNTIFS(請求記録!$B$6:$B$3005,$A242,請求記録!$Z$6:$Z$3005,X$5,請求記録!$AF$6:$AF$3005,"保留中")&gt;0,"保留",IF(COUNTIFS(請求記録!$B$6:$B$3005,$A242,請求記録!$Z$6:$Z$3005,X$5)=0,"",SUMIFS(請求記録!$AE$6:$AE$3005,請求記録!$B$6:$B$3005,$A242,請求記録!$Z$6:$Z$3005,X$5))))</f>
        <v/>
      </c>
      <c r="Y242" s="19">
        <f>IF($A242="","",IF(COUNTIFS(請求記録!$B$6:$B$3005,$A242,請求記録!$Z$6:$Z$3005,Y$5,請求記録!$AF$6:$AF$3005,"保留中")&gt;0,"保留",IF(COUNTIFS(請求記録!$B$6:$B$3005,$A242,請求記録!$Z$6:$Z$3005,Y$5)=0,"",SUMIFS(請求記録!$AE$6:$AE$3005,請求記録!$B$6:$B$3005,$A242,請求記録!$Z$6:$Z$3005,Y$5))))</f>
        <v/>
      </c>
      <c r="Z242" s="19">
        <f>IF($A242="","",IF(COUNTIFS(請求記録!$B$6:$B$3005,$A242,請求記録!$Z$6:$Z$3005,Z$5,請求記録!$AF$6:$AF$3005,"保留中")&gt;0,"保留",IF(COUNTIFS(請求記録!$B$6:$B$3005,$A242,請求記録!$Z$6:$Z$3005,Z$5)=0,"",SUMIFS(請求記録!$AE$6:$AE$3005,請求記録!$B$6:$B$3005,$A242,請求記録!$Z$6:$Z$3005,Z$5))))</f>
        <v/>
      </c>
      <c r="AA242" s="19">
        <f>IF($A242="","",IF(COUNTIFS(請求記録!$B$6:$B$3005,$A242,請求記録!$Z$6:$Z$3005,AA$5,請求記録!$AF$6:$AF$3005,"保留中")&gt;0,"保留",IF(COUNTIFS(請求記録!$B$6:$B$3005,$A242,請求記録!$Z$6:$Z$3005,AA$5)=0,"",SUMIFS(請求記録!$AE$6:$AE$3005,請求記録!$B$6:$B$3005,$A242,請求記録!$Z$6:$Z$3005,AA$5))))</f>
        <v/>
      </c>
      <c r="AB242">
        <f>IF(職員マスタ!P242="保留中",職員マスタ!M242,"")</f>
        <v/>
      </c>
    </row>
    <row r="243">
      <c r="A243">
        <f>IF(職員マスタ!A243="","",職員マスタ!A243)</f>
        <v/>
      </c>
      <c r="B243">
        <f>IF($A243="","",職員マスタ!B243)</f>
        <v/>
      </c>
      <c r="C243">
        <f>IF($A243="","",職員マスタ!C243)</f>
        <v/>
      </c>
      <c r="D243" s="19">
        <f>IF($A243="","",IF(COUNTIFS(請求記録!$B$6:$B$3005,$A243,請求記録!$Z$6:$Z$3005,D$5,請求記録!$AF$6:$AF$3005,"保留中")&gt;0,"保留",IF(COUNTIFS(請求記録!$B$6:$B$3005,$A243,請求記録!$Z$6:$Z$3005,D$5)=0,"",SUMIFS(請求記録!$AE$6:$AE$3005,請求記録!$B$6:$B$3005,$A243,請求記録!$Z$6:$Z$3005,D$5))))</f>
        <v/>
      </c>
      <c r="E243" s="19">
        <f>IF($A243="","",IF(COUNTIFS(請求記録!$B$6:$B$3005,$A243,請求記録!$Z$6:$Z$3005,E$5,請求記録!$AF$6:$AF$3005,"保留中")&gt;0,"保留",IF(COUNTIFS(請求記録!$B$6:$B$3005,$A243,請求記録!$Z$6:$Z$3005,E$5)=0,"",SUMIFS(請求記録!$AE$6:$AE$3005,請求記録!$B$6:$B$3005,$A243,請求記録!$Z$6:$Z$3005,E$5))))</f>
        <v/>
      </c>
      <c r="F243" s="19">
        <f>IF($A243="","",IF(COUNTIFS(請求記録!$B$6:$B$3005,$A243,請求記録!$Z$6:$Z$3005,F$5,請求記録!$AF$6:$AF$3005,"保留中")&gt;0,"保留",IF(COUNTIFS(請求記録!$B$6:$B$3005,$A243,請求記録!$Z$6:$Z$3005,F$5)=0,"",SUMIFS(請求記録!$AE$6:$AE$3005,請求記録!$B$6:$B$3005,$A243,請求記録!$Z$6:$Z$3005,F$5))))</f>
        <v/>
      </c>
      <c r="G243" s="19">
        <f>IF($A243="","",IF(COUNTIFS(請求記録!$B$6:$B$3005,$A243,請求記録!$Z$6:$Z$3005,G$5,請求記録!$AF$6:$AF$3005,"保留中")&gt;0,"保留",IF(COUNTIFS(請求記録!$B$6:$B$3005,$A243,請求記録!$Z$6:$Z$3005,G$5)=0,"",SUMIFS(請求記録!$AE$6:$AE$3005,請求記録!$B$6:$B$3005,$A243,請求記録!$Z$6:$Z$3005,G$5))))</f>
        <v/>
      </c>
      <c r="H243" s="19">
        <f>IF($A243="","",IF(COUNTIFS(請求記録!$B$6:$B$3005,$A243,請求記録!$Z$6:$Z$3005,H$5,請求記録!$AF$6:$AF$3005,"保留中")&gt;0,"保留",IF(COUNTIFS(請求記録!$B$6:$B$3005,$A243,請求記録!$Z$6:$Z$3005,H$5)=0,"",SUMIFS(請求記録!$AE$6:$AE$3005,請求記録!$B$6:$B$3005,$A243,請求記録!$Z$6:$Z$3005,H$5))))</f>
        <v/>
      </c>
      <c r="I243" s="19">
        <f>IF($A243="","",IF(COUNTIFS(請求記録!$B$6:$B$3005,$A243,請求記録!$Z$6:$Z$3005,I$5,請求記録!$AF$6:$AF$3005,"保留中")&gt;0,"保留",IF(COUNTIFS(請求記録!$B$6:$B$3005,$A243,請求記録!$Z$6:$Z$3005,I$5)=0,"",SUMIFS(請求記録!$AE$6:$AE$3005,請求記録!$B$6:$B$3005,$A243,請求記録!$Z$6:$Z$3005,I$5))))</f>
        <v/>
      </c>
      <c r="J243" s="19">
        <f>IF($A243="","",IF(COUNTIFS(請求記録!$B$6:$B$3005,$A243,請求記録!$Z$6:$Z$3005,J$5,請求記録!$AF$6:$AF$3005,"保留中")&gt;0,"保留",IF(COUNTIFS(請求記録!$B$6:$B$3005,$A243,請求記録!$Z$6:$Z$3005,J$5)=0,"",SUMIFS(請求記録!$AE$6:$AE$3005,請求記録!$B$6:$B$3005,$A243,請求記録!$Z$6:$Z$3005,J$5))))</f>
        <v/>
      </c>
      <c r="K243" s="19">
        <f>IF($A243="","",IF(COUNTIFS(請求記録!$B$6:$B$3005,$A243,請求記録!$Z$6:$Z$3005,K$5,請求記録!$AF$6:$AF$3005,"保留中")&gt;0,"保留",IF(COUNTIFS(請求記録!$B$6:$B$3005,$A243,請求記録!$Z$6:$Z$3005,K$5)=0,"",SUMIFS(請求記録!$AE$6:$AE$3005,請求記録!$B$6:$B$3005,$A243,請求記録!$Z$6:$Z$3005,K$5))))</f>
        <v/>
      </c>
      <c r="L243" s="19">
        <f>IF($A243="","",IF(COUNTIFS(請求記録!$B$6:$B$3005,$A243,請求記録!$Z$6:$Z$3005,L$5,請求記録!$AF$6:$AF$3005,"保留中")&gt;0,"保留",IF(COUNTIFS(請求記録!$B$6:$B$3005,$A243,請求記録!$Z$6:$Z$3005,L$5)=0,"",SUMIFS(請求記録!$AE$6:$AE$3005,請求記録!$B$6:$B$3005,$A243,請求記録!$Z$6:$Z$3005,L$5))))</f>
        <v/>
      </c>
      <c r="M243" s="19">
        <f>IF($A243="","",IF(COUNTIFS(請求記録!$B$6:$B$3005,$A243,請求記録!$Z$6:$Z$3005,M$5,請求記録!$AF$6:$AF$3005,"保留中")&gt;0,"保留",IF(COUNTIFS(請求記録!$B$6:$B$3005,$A243,請求記録!$Z$6:$Z$3005,M$5)=0,"",SUMIFS(請求記録!$AE$6:$AE$3005,請求記録!$B$6:$B$3005,$A243,請求記録!$Z$6:$Z$3005,M$5))))</f>
        <v/>
      </c>
      <c r="N243" s="19">
        <f>IF($A243="","",IF(COUNTIFS(請求記録!$B$6:$B$3005,$A243,請求記録!$Z$6:$Z$3005,N$5,請求記録!$AF$6:$AF$3005,"保留中")&gt;0,"保留",IF(COUNTIFS(請求記録!$B$6:$B$3005,$A243,請求記録!$Z$6:$Z$3005,N$5)=0,"",SUMIFS(請求記録!$AE$6:$AE$3005,請求記録!$B$6:$B$3005,$A243,請求記録!$Z$6:$Z$3005,N$5))))</f>
        <v/>
      </c>
      <c r="O243" s="19">
        <f>IF($A243="","",IF(COUNTIFS(請求記録!$B$6:$B$3005,$A243,請求記録!$Z$6:$Z$3005,O$5,請求記録!$AF$6:$AF$3005,"保留中")&gt;0,"保留",IF(COUNTIFS(請求記録!$B$6:$B$3005,$A243,請求記録!$Z$6:$Z$3005,O$5)=0,"",SUMIFS(請求記録!$AE$6:$AE$3005,請求記録!$B$6:$B$3005,$A243,請求記録!$Z$6:$Z$3005,O$5))))</f>
        <v/>
      </c>
      <c r="P243" s="19">
        <f>IF($A243="","",IF(COUNTIFS(請求記録!$B$6:$B$3005,$A243,請求記録!$Z$6:$Z$3005,P$5,請求記録!$AF$6:$AF$3005,"保留中")&gt;0,"保留",IF(COUNTIFS(請求記録!$B$6:$B$3005,$A243,請求記録!$Z$6:$Z$3005,P$5)=0,"",SUMIFS(請求記録!$AE$6:$AE$3005,請求記録!$B$6:$B$3005,$A243,請求記録!$Z$6:$Z$3005,P$5))))</f>
        <v/>
      </c>
      <c r="Q243" s="19">
        <f>IF($A243="","",IF(COUNTIFS(請求記録!$B$6:$B$3005,$A243,請求記録!$Z$6:$Z$3005,Q$5,請求記録!$AF$6:$AF$3005,"保留中")&gt;0,"保留",IF(COUNTIFS(請求記録!$B$6:$B$3005,$A243,請求記録!$Z$6:$Z$3005,Q$5)=0,"",SUMIFS(請求記録!$AE$6:$AE$3005,請求記録!$B$6:$B$3005,$A243,請求記録!$Z$6:$Z$3005,Q$5))))</f>
        <v/>
      </c>
      <c r="R243" s="19">
        <f>IF($A243="","",IF(COUNTIFS(請求記録!$B$6:$B$3005,$A243,請求記録!$Z$6:$Z$3005,R$5,請求記録!$AF$6:$AF$3005,"保留中")&gt;0,"保留",IF(COUNTIFS(請求記録!$B$6:$B$3005,$A243,請求記録!$Z$6:$Z$3005,R$5)=0,"",SUMIFS(請求記録!$AE$6:$AE$3005,請求記録!$B$6:$B$3005,$A243,請求記録!$Z$6:$Z$3005,R$5))))</f>
        <v/>
      </c>
      <c r="S243" s="19">
        <f>IF($A243="","",IF(COUNTIFS(請求記録!$B$6:$B$3005,$A243,請求記録!$Z$6:$Z$3005,S$5,請求記録!$AF$6:$AF$3005,"保留中")&gt;0,"保留",IF(COUNTIFS(請求記録!$B$6:$B$3005,$A243,請求記録!$Z$6:$Z$3005,S$5)=0,"",SUMIFS(請求記録!$AE$6:$AE$3005,請求記録!$B$6:$B$3005,$A243,請求記録!$Z$6:$Z$3005,S$5))))</f>
        <v/>
      </c>
      <c r="T243" s="19">
        <f>IF($A243="","",IF(COUNTIFS(請求記録!$B$6:$B$3005,$A243,請求記録!$Z$6:$Z$3005,T$5,請求記録!$AF$6:$AF$3005,"保留中")&gt;0,"保留",IF(COUNTIFS(請求記録!$B$6:$B$3005,$A243,請求記録!$Z$6:$Z$3005,T$5)=0,"",SUMIFS(請求記録!$AE$6:$AE$3005,請求記録!$B$6:$B$3005,$A243,請求記録!$Z$6:$Z$3005,T$5))))</f>
        <v/>
      </c>
      <c r="U243" s="19">
        <f>IF($A243="","",IF(COUNTIFS(請求記録!$B$6:$B$3005,$A243,請求記録!$Z$6:$Z$3005,U$5,請求記録!$AF$6:$AF$3005,"保留中")&gt;0,"保留",IF(COUNTIFS(請求記録!$B$6:$B$3005,$A243,請求記録!$Z$6:$Z$3005,U$5)=0,"",SUMIFS(請求記録!$AE$6:$AE$3005,請求記録!$B$6:$B$3005,$A243,請求記録!$Z$6:$Z$3005,U$5))))</f>
        <v/>
      </c>
      <c r="V243" s="19">
        <f>IF($A243="","",IF(COUNTIFS(請求記録!$B$6:$B$3005,$A243,請求記録!$Z$6:$Z$3005,V$5,請求記録!$AF$6:$AF$3005,"保留中")&gt;0,"保留",IF(COUNTIFS(請求記録!$B$6:$B$3005,$A243,請求記録!$Z$6:$Z$3005,V$5)=0,"",SUMIFS(請求記録!$AE$6:$AE$3005,請求記録!$B$6:$B$3005,$A243,請求記録!$Z$6:$Z$3005,V$5))))</f>
        <v/>
      </c>
      <c r="W243" s="19">
        <f>IF($A243="","",IF(COUNTIFS(請求記録!$B$6:$B$3005,$A243,請求記録!$Z$6:$Z$3005,W$5,請求記録!$AF$6:$AF$3005,"保留中")&gt;0,"保留",IF(COUNTIFS(請求記録!$B$6:$B$3005,$A243,請求記録!$Z$6:$Z$3005,W$5)=0,"",SUMIFS(請求記録!$AE$6:$AE$3005,請求記録!$B$6:$B$3005,$A243,請求記録!$Z$6:$Z$3005,W$5))))</f>
        <v/>
      </c>
      <c r="X243" s="19">
        <f>IF($A243="","",IF(COUNTIFS(請求記録!$B$6:$B$3005,$A243,請求記録!$Z$6:$Z$3005,X$5,請求記録!$AF$6:$AF$3005,"保留中")&gt;0,"保留",IF(COUNTIFS(請求記録!$B$6:$B$3005,$A243,請求記録!$Z$6:$Z$3005,X$5)=0,"",SUMIFS(請求記録!$AE$6:$AE$3005,請求記録!$B$6:$B$3005,$A243,請求記録!$Z$6:$Z$3005,X$5))))</f>
        <v/>
      </c>
      <c r="Y243" s="19">
        <f>IF($A243="","",IF(COUNTIFS(請求記録!$B$6:$B$3005,$A243,請求記録!$Z$6:$Z$3005,Y$5,請求記録!$AF$6:$AF$3005,"保留中")&gt;0,"保留",IF(COUNTIFS(請求記録!$B$6:$B$3005,$A243,請求記録!$Z$6:$Z$3005,Y$5)=0,"",SUMIFS(請求記録!$AE$6:$AE$3005,請求記録!$B$6:$B$3005,$A243,請求記録!$Z$6:$Z$3005,Y$5))))</f>
        <v/>
      </c>
      <c r="Z243" s="19">
        <f>IF($A243="","",IF(COUNTIFS(請求記録!$B$6:$B$3005,$A243,請求記録!$Z$6:$Z$3005,Z$5,請求記録!$AF$6:$AF$3005,"保留中")&gt;0,"保留",IF(COUNTIFS(請求記録!$B$6:$B$3005,$A243,請求記録!$Z$6:$Z$3005,Z$5)=0,"",SUMIFS(請求記録!$AE$6:$AE$3005,請求記録!$B$6:$B$3005,$A243,請求記録!$Z$6:$Z$3005,Z$5))))</f>
        <v/>
      </c>
      <c r="AA243" s="19">
        <f>IF($A243="","",IF(COUNTIFS(請求記録!$B$6:$B$3005,$A243,請求記録!$Z$6:$Z$3005,AA$5,請求記録!$AF$6:$AF$3005,"保留中")&gt;0,"保留",IF(COUNTIFS(請求記録!$B$6:$B$3005,$A243,請求記録!$Z$6:$Z$3005,AA$5)=0,"",SUMIFS(請求記録!$AE$6:$AE$3005,請求記録!$B$6:$B$3005,$A243,請求記録!$Z$6:$Z$3005,AA$5))))</f>
        <v/>
      </c>
      <c r="AB243">
        <f>IF(職員マスタ!P243="保留中",職員マスタ!M243,"")</f>
        <v/>
      </c>
    </row>
    <row r="244">
      <c r="A244">
        <f>IF(職員マスタ!A244="","",職員マスタ!A244)</f>
        <v/>
      </c>
      <c r="B244">
        <f>IF($A244="","",職員マスタ!B244)</f>
        <v/>
      </c>
      <c r="C244">
        <f>IF($A244="","",職員マスタ!C244)</f>
        <v/>
      </c>
      <c r="D244" s="19">
        <f>IF($A244="","",IF(COUNTIFS(請求記録!$B$6:$B$3005,$A244,請求記録!$Z$6:$Z$3005,D$5,請求記録!$AF$6:$AF$3005,"保留中")&gt;0,"保留",IF(COUNTIFS(請求記録!$B$6:$B$3005,$A244,請求記録!$Z$6:$Z$3005,D$5)=0,"",SUMIFS(請求記録!$AE$6:$AE$3005,請求記録!$B$6:$B$3005,$A244,請求記録!$Z$6:$Z$3005,D$5))))</f>
        <v/>
      </c>
      <c r="E244" s="19">
        <f>IF($A244="","",IF(COUNTIFS(請求記録!$B$6:$B$3005,$A244,請求記録!$Z$6:$Z$3005,E$5,請求記録!$AF$6:$AF$3005,"保留中")&gt;0,"保留",IF(COUNTIFS(請求記録!$B$6:$B$3005,$A244,請求記録!$Z$6:$Z$3005,E$5)=0,"",SUMIFS(請求記録!$AE$6:$AE$3005,請求記録!$B$6:$B$3005,$A244,請求記録!$Z$6:$Z$3005,E$5))))</f>
        <v/>
      </c>
      <c r="F244" s="19">
        <f>IF($A244="","",IF(COUNTIFS(請求記録!$B$6:$B$3005,$A244,請求記録!$Z$6:$Z$3005,F$5,請求記録!$AF$6:$AF$3005,"保留中")&gt;0,"保留",IF(COUNTIFS(請求記録!$B$6:$B$3005,$A244,請求記録!$Z$6:$Z$3005,F$5)=0,"",SUMIFS(請求記録!$AE$6:$AE$3005,請求記録!$B$6:$B$3005,$A244,請求記録!$Z$6:$Z$3005,F$5))))</f>
        <v/>
      </c>
      <c r="G244" s="19">
        <f>IF($A244="","",IF(COUNTIFS(請求記録!$B$6:$B$3005,$A244,請求記録!$Z$6:$Z$3005,G$5,請求記録!$AF$6:$AF$3005,"保留中")&gt;0,"保留",IF(COUNTIFS(請求記録!$B$6:$B$3005,$A244,請求記録!$Z$6:$Z$3005,G$5)=0,"",SUMIFS(請求記録!$AE$6:$AE$3005,請求記録!$B$6:$B$3005,$A244,請求記録!$Z$6:$Z$3005,G$5))))</f>
        <v/>
      </c>
      <c r="H244" s="19">
        <f>IF($A244="","",IF(COUNTIFS(請求記録!$B$6:$B$3005,$A244,請求記録!$Z$6:$Z$3005,H$5,請求記録!$AF$6:$AF$3005,"保留中")&gt;0,"保留",IF(COUNTIFS(請求記録!$B$6:$B$3005,$A244,請求記録!$Z$6:$Z$3005,H$5)=0,"",SUMIFS(請求記録!$AE$6:$AE$3005,請求記録!$B$6:$B$3005,$A244,請求記録!$Z$6:$Z$3005,H$5))))</f>
        <v/>
      </c>
      <c r="I244" s="19">
        <f>IF($A244="","",IF(COUNTIFS(請求記録!$B$6:$B$3005,$A244,請求記録!$Z$6:$Z$3005,I$5,請求記録!$AF$6:$AF$3005,"保留中")&gt;0,"保留",IF(COUNTIFS(請求記録!$B$6:$B$3005,$A244,請求記録!$Z$6:$Z$3005,I$5)=0,"",SUMIFS(請求記録!$AE$6:$AE$3005,請求記録!$B$6:$B$3005,$A244,請求記録!$Z$6:$Z$3005,I$5))))</f>
        <v/>
      </c>
      <c r="J244" s="19">
        <f>IF($A244="","",IF(COUNTIFS(請求記録!$B$6:$B$3005,$A244,請求記録!$Z$6:$Z$3005,J$5,請求記録!$AF$6:$AF$3005,"保留中")&gt;0,"保留",IF(COUNTIFS(請求記録!$B$6:$B$3005,$A244,請求記録!$Z$6:$Z$3005,J$5)=0,"",SUMIFS(請求記録!$AE$6:$AE$3005,請求記録!$B$6:$B$3005,$A244,請求記録!$Z$6:$Z$3005,J$5))))</f>
        <v/>
      </c>
      <c r="K244" s="19">
        <f>IF($A244="","",IF(COUNTIFS(請求記録!$B$6:$B$3005,$A244,請求記録!$Z$6:$Z$3005,K$5,請求記録!$AF$6:$AF$3005,"保留中")&gt;0,"保留",IF(COUNTIFS(請求記録!$B$6:$B$3005,$A244,請求記録!$Z$6:$Z$3005,K$5)=0,"",SUMIFS(請求記録!$AE$6:$AE$3005,請求記録!$B$6:$B$3005,$A244,請求記録!$Z$6:$Z$3005,K$5))))</f>
        <v/>
      </c>
      <c r="L244" s="19">
        <f>IF($A244="","",IF(COUNTIFS(請求記録!$B$6:$B$3005,$A244,請求記録!$Z$6:$Z$3005,L$5,請求記録!$AF$6:$AF$3005,"保留中")&gt;0,"保留",IF(COUNTIFS(請求記録!$B$6:$B$3005,$A244,請求記録!$Z$6:$Z$3005,L$5)=0,"",SUMIFS(請求記録!$AE$6:$AE$3005,請求記録!$B$6:$B$3005,$A244,請求記録!$Z$6:$Z$3005,L$5))))</f>
        <v/>
      </c>
      <c r="M244" s="19">
        <f>IF($A244="","",IF(COUNTIFS(請求記録!$B$6:$B$3005,$A244,請求記録!$Z$6:$Z$3005,M$5,請求記録!$AF$6:$AF$3005,"保留中")&gt;0,"保留",IF(COUNTIFS(請求記録!$B$6:$B$3005,$A244,請求記録!$Z$6:$Z$3005,M$5)=0,"",SUMIFS(請求記録!$AE$6:$AE$3005,請求記録!$B$6:$B$3005,$A244,請求記録!$Z$6:$Z$3005,M$5))))</f>
        <v/>
      </c>
      <c r="N244" s="19">
        <f>IF($A244="","",IF(COUNTIFS(請求記録!$B$6:$B$3005,$A244,請求記録!$Z$6:$Z$3005,N$5,請求記録!$AF$6:$AF$3005,"保留中")&gt;0,"保留",IF(COUNTIFS(請求記録!$B$6:$B$3005,$A244,請求記録!$Z$6:$Z$3005,N$5)=0,"",SUMIFS(請求記録!$AE$6:$AE$3005,請求記録!$B$6:$B$3005,$A244,請求記録!$Z$6:$Z$3005,N$5))))</f>
        <v/>
      </c>
      <c r="O244" s="19">
        <f>IF($A244="","",IF(COUNTIFS(請求記録!$B$6:$B$3005,$A244,請求記録!$Z$6:$Z$3005,O$5,請求記録!$AF$6:$AF$3005,"保留中")&gt;0,"保留",IF(COUNTIFS(請求記録!$B$6:$B$3005,$A244,請求記録!$Z$6:$Z$3005,O$5)=0,"",SUMIFS(請求記録!$AE$6:$AE$3005,請求記録!$B$6:$B$3005,$A244,請求記録!$Z$6:$Z$3005,O$5))))</f>
        <v/>
      </c>
      <c r="P244" s="19">
        <f>IF($A244="","",IF(COUNTIFS(請求記録!$B$6:$B$3005,$A244,請求記録!$Z$6:$Z$3005,P$5,請求記録!$AF$6:$AF$3005,"保留中")&gt;0,"保留",IF(COUNTIFS(請求記録!$B$6:$B$3005,$A244,請求記録!$Z$6:$Z$3005,P$5)=0,"",SUMIFS(請求記録!$AE$6:$AE$3005,請求記録!$B$6:$B$3005,$A244,請求記録!$Z$6:$Z$3005,P$5))))</f>
        <v/>
      </c>
      <c r="Q244" s="19">
        <f>IF($A244="","",IF(COUNTIFS(請求記録!$B$6:$B$3005,$A244,請求記録!$Z$6:$Z$3005,Q$5,請求記録!$AF$6:$AF$3005,"保留中")&gt;0,"保留",IF(COUNTIFS(請求記録!$B$6:$B$3005,$A244,請求記録!$Z$6:$Z$3005,Q$5)=0,"",SUMIFS(請求記録!$AE$6:$AE$3005,請求記録!$B$6:$B$3005,$A244,請求記録!$Z$6:$Z$3005,Q$5))))</f>
        <v/>
      </c>
      <c r="R244" s="19">
        <f>IF($A244="","",IF(COUNTIFS(請求記録!$B$6:$B$3005,$A244,請求記録!$Z$6:$Z$3005,R$5,請求記録!$AF$6:$AF$3005,"保留中")&gt;0,"保留",IF(COUNTIFS(請求記録!$B$6:$B$3005,$A244,請求記録!$Z$6:$Z$3005,R$5)=0,"",SUMIFS(請求記録!$AE$6:$AE$3005,請求記録!$B$6:$B$3005,$A244,請求記録!$Z$6:$Z$3005,R$5))))</f>
        <v/>
      </c>
      <c r="S244" s="19">
        <f>IF($A244="","",IF(COUNTIFS(請求記録!$B$6:$B$3005,$A244,請求記録!$Z$6:$Z$3005,S$5,請求記録!$AF$6:$AF$3005,"保留中")&gt;0,"保留",IF(COUNTIFS(請求記録!$B$6:$B$3005,$A244,請求記録!$Z$6:$Z$3005,S$5)=0,"",SUMIFS(請求記録!$AE$6:$AE$3005,請求記録!$B$6:$B$3005,$A244,請求記録!$Z$6:$Z$3005,S$5))))</f>
        <v/>
      </c>
      <c r="T244" s="19">
        <f>IF($A244="","",IF(COUNTIFS(請求記録!$B$6:$B$3005,$A244,請求記録!$Z$6:$Z$3005,T$5,請求記録!$AF$6:$AF$3005,"保留中")&gt;0,"保留",IF(COUNTIFS(請求記録!$B$6:$B$3005,$A244,請求記録!$Z$6:$Z$3005,T$5)=0,"",SUMIFS(請求記録!$AE$6:$AE$3005,請求記録!$B$6:$B$3005,$A244,請求記録!$Z$6:$Z$3005,T$5))))</f>
        <v/>
      </c>
      <c r="U244" s="19">
        <f>IF($A244="","",IF(COUNTIFS(請求記録!$B$6:$B$3005,$A244,請求記録!$Z$6:$Z$3005,U$5,請求記録!$AF$6:$AF$3005,"保留中")&gt;0,"保留",IF(COUNTIFS(請求記録!$B$6:$B$3005,$A244,請求記録!$Z$6:$Z$3005,U$5)=0,"",SUMIFS(請求記録!$AE$6:$AE$3005,請求記録!$B$6:$B$3005,$A244,請求記録!$Z$6:$Z$3005,U$5))))</f>
        <v/>
      </c>
      <c r="V244" s="19">
        <f>IF($A244="","",IF(COUNTIFS(請求記録!$B$6:$B$3005,$A244,請求記録!$Z$6:$Z$3005,V$5,請求記録!$AF$6:$AF$3005,"保留中")&gt;0,"保留",IF(COUNTIFS(請求記録!$B$6:$B$3005,$A244,請求記録!$Z$6:$Z$3005,V$5)=0,"",SUMIFS(請求記録!$AE$6:$AE$3005,請求記録!$B$6:$B$3005,$A244,請求記録!$Z$6:$Z$3005,V$5))))</f>
        <v/>
      </c>
      <c r="W244" s="19">
        <f>IF($A244="","",IF(COUNTIFS(請求記録!$B$6:$B$3005,$A244,請求記録!$Z$6:$Z$3005,W$5,請求記録!$AF$6:$AF$3005,"保留中")&gt;0,"保留",IF(COUNTIFS(請求記録!$B$6:$B$3005,$A244,請求記録!$Z$6:$Z$3005,W$5)=0,"",SUMIFS(請求記録!$AE$6:$AE$3005,請求記録!$B$6:$B$3005,$A244,請求記録!$Z$6:$Z$3005,W$5))))</f>
        <v/>
      </c>
      <c r="X244" s="19">
        <f>IF($A244="","",IF(COUNTIFS(請求記録!$B$6:$B$3005,$A244,請求記録!$Z$6:$Z$3005,X$5,請求記録!$AF$6:$AF$3005,"保留中")&gt;0,"保留",IF(COUNTIFS(請求記録!$B$6:$B$3005,$A244,請求記録!$Z$6:$Z$3005,X$5)=0,"",SUMIFS(請求記録!$AE$6:$AE$3005,請求記録!$B$6:$B$3005,$A244,請求記録!$Z$6:$Z$3005,X$5))))</f>
        <v/>
      </c>
      <c r="Y244" s="19">
        <f>IF($A244="","",IF(COUNTIFS(請求記録!$B$6:$B$3005,$A244,請求記録!$Z$6:$Z$3005,Y$5,請求記録!$AF$6:$AF$3005,"保留中")&gt;0,"保留",IF(COUNTIFS(請求記録!$B$6:$B$3005,$A244,請求記録!$Z$6:$Z$3005,Y$5)=0,"",SUMIFS(請求記録!$AE$6:$AE$3005,請求記録!$B$6:$B$3005,$A244,請求記録!$Z$6:$Z$3005,Y$5))))</f>
        <v/>
      </c>
      <c r="Z244" s="19">
        <f>IF($A244="","",IF(COUNTIFS(請求記録!$B$6:$B$3005,$A244,請求記録!$Z$6:$Z$3005,Z$5,請求記録!$AF$6:$AF$3005,"保留中")&gt;0,"保留",IF(COUNTIFS(請求記録!$B$6:$B$3005,$A244,請求記録!$Z$6:$Z$3005,Z$5)=0,"",SUMIFS(請求記録!$AE$6:$AE$3005,請求記録!$B$6:$B$3005,$A244,請求記録!$Z$6:$Z$3005,Z$5))))</f>
        <v/>
      </c>
      <c r="AA244" s="19">
        <f>IF($A244="","",IF(COUNTIFS(請求記録!$B$6:$B$3005,$A244,請求記録!$Z$6:$Z$3005,AA$5,請求記録!$AF$6:$AF$3005,"保留中")&gt;0,"保留",IF(COUNTIFS(請求記録!$B$6:$B$3005,$A244,請求記録!$Z$6:$Z$3005,AA$5)=0,"",SUMIFS(請求記録!$AE$6:$AE$3005,請求記録!$B$6:$B$3005,$A244,請求記録!$Z$6:$Z$3005,AA$5))))</f>
        <v/>
      </c>
      <c r="AB244">
        <f>IF(職員マスタ!P244="保留中",職員マスタ!M244,"")</f>
        <v/>
      </c>
    </row>
    <row r="245">
      <c r="A245">
        <f>IF(職員マスタ!A245="","",職員マスタ!A245)</f>
        <v/>
      </c>
      <c r="B245">
        <f>IF($A245="","",職員マスタ!B245)</f>
        <v/>
      </c>
      <c r="C245">
        <f>IF($A245="","",職員マスタ!C245)</f>
        <v/>
      </c>
      <c r="D245" s="19">
        <f>IF($A245="","",IF(COUNTIFS(請求記録!$B$6:$B$3005,$A245,請求記録!$Z$6:$Z$3005,D$5,請求記録!$AF$6:$AF$3005,"保留中")&gt;0,"保留",IF(COUNTIFS(請求記録!$B$6:$B$3005,$A245,請求記録!$Z$6:$Z$3005,D$5)=0,"",SUMIFS(請求記録!$AE$6:$AE$3005,請求記録!$B$6:$B$3005,$A245,請求記録!$Z$6:$Z$3005,D$5))))</f>
        <v/>
      </c>
      <c r="E245" s="19">
        <f>IF($A245="","",IF(COUNTIFS(請求記録!$B$6:$B$3005,$A245,請求記録!$Z$6:$Z$3005,E$5,請求記録!$AF$6:$AF$3005,"保留中")&gt;0,"保留",IF(COUNTIFS(請求記録!$B$6:$B$3005,$A245,請求記録!$Z$6:$Z$3005,E$5)=0,"",SUMIFS(請求記録!$AE$6:$AE$3005,請求記録!$B$6:$B$3005,$A245,請求記録!$Z$6:$Z$3005,E$5))))</f>
        <v/>
      </c>
      <c r="F245" s="19">
        <f>IF($A245="","",IF(COUNTIFS(請求記録!$B$6:$B$3005,$A245,請求記録!$Z$6:$Z$3005,F$5,請求記録!$AF$6:$AF$3005,"保留中")&gt;0,"保留",IF(COUNTIFS(請求記録!$B$6:$B$3005,$A245,請求記録!$Z$6:$Z$3005,F$5)=0,"",SUMIFS(請求記録!$AE$6:$AE$3005,請求記録!$B$6:$B$3005,$A245,請求記録!$Z$6:$Z$3005,F$5))))</f>
        <v/>
      </c>
      <c r="G245" s="19">
        <f>IF($A245="","",IF(COUNTIFS(請求記録!$B$6:$B$3005,$A245,請求記録!$Z$6:$Z$3005,G$5,請求記録!$AF$6:$AF$3005,"保留中")&gt;0,"保留",IF(COUNTIFS(請求記録!$B$6:$B$3005,$A245,請求記録!$Z$6:$Z$3005,G$5)=0,"",SUMIFS(請求記録!$AE$6:$AE$3005,請求記録!$B$6:$B$3005,$A245,請求記録!$Z$6:$Z$3005,G$5))))</f>
        <v/>
      </c>
      <c r="H245" s="19">
        <f>IF($A245="","",IF(COUNTIFS(請求記録!$B$6:$B$3005,$A245,請求記録!$Z$6:$Z$3005,H$5,請求記録!$AF$6:$AF$3005,"保留中")&gt;0,"保留",IF(COUNTIFS(請求記録!$B$6:$B$3005,$A245,請求記録!$Z$6:$Z$3005,H$5)=0,"",SUMIFS(請求記録!$AE$6:$AE$3005,請求記録!$B$6:$B$3005,$A245,請求記録!$Z$6:$Z$3005,H$5))))</f>
        <v/>
      </c>
      <c r="I245" s="19">
        <f>IF($A245="","",IF(COUNTIFS(請求記録!$B$6:$B$3005,$A245,請求記録!$Z$6:$Z$3005,I$5,請求記録!$AF$6:$AF$3005,"保留中")&gt;0,"保留",IF(COUNTIFS(請求記録!$B$6:$B$3005,$A245,請求記録!$Z$6:$Z$3005,I$5)=0,"",SUMIFS(請求記録!$AE$6:$AE$3005,請求記録!$B$6:$B$3005,$A245,請求記録!$Z$6:$Z$3005,I$5))))</f>
        <v/>
      </c>
      <c r="J245" s="19">
        <f>IF($A245="","",IF(COUNTIFS(請求記録!$B$6:$B$3005,$A245,請求記録!$Z$6:$Z$3005,J$5,請求記録!$AF$6:$AF$3005,"保留中")&gt;0,"保留",IF(COUNTIFS(請求記録!$B$6:$B$3005,$A245,請求記録!$Z$6:$Z$3005,J$5)=0,"",SUMIFS(請求記録!$AE$6:$AE$3005,請求記録!$B$6:$B$3005,$A245,請求記録!$Z$6:$Z$3005,J$5))))</f>
        <v/>
      </c>
      <c r="K245" s="19">
        <f>IF($A245="","",IF(COUNTIFS(請求記録!$B$6:$B$3005,$A245,請求記録!$Z$6:$Z$3005,K$5,請求記録!$AF$6:$AF$3005,"保留中")&gt;0,"保留",IF(COUNTIFS(請求記録!$B$6:$B$3005,$A245,請求記録!$Z$6:$Z$3005,K$5)=0,"",SUMIFS(請求記録!$AE$6:$AE$3005,請求記録!$B$6:$B$3005,$A245,請求記録!$Z$6:$Z$3005,K$5))))</f>
        <v/>
      </c>
      <c r="L245" s="19">
        <f>IF($A245="","",IF(COUNTIFS(請求記録!$B$6:$B$3005,$A245,請求記録!$Z$6:$Z$3005,L$5,請求記録!$AF$6:$AF$3005,"保留中")&gt;0,"保留",IF(COUNTIFS(請求記録!$B$6:$B$3005,$A245,請求記録!$Z$6:$Z$3005,L$5)=0,"",SUMIFS(請求記録!$AE$6:$AE$3005,請求記録!$B$6:$B$3005,$A245,請求記録!$Z$6:$Z$3005,L$5))))</f>
        <v/>
      </c>
      <c r="M245" s="19">
        <f>IF($A245="","",IF(COUNTIFS(請求記録!$B$6:$B$3005,$A245,請求記録!$Z$6:$Z$3005,M$5,請求記録!$AF$6:$AF$3005,"保留中")&gt;0,"保留",IF(COUNTIFS(請求記録!$B$6:$B$3005,$A245,請求記録!$Z$6:$Z$3005,M$5)=0,"",SUMIFS(請求記録!$AE$6:$AE$3005,請求記録!$B$6:$B$3005,$A245,請求記録!$Z$6:$Z$3005,M$5))))</f>
        <v/>
      </c>
      <c r="N245" s="19">
        <f>IF($A245="","",IF(COUNTIFS(請求記録!$B$6:$B$3005,$A245,請求記録!$Z$6:$Z$3005,N$5,請求記録!$AF$6:$AF$3005,"保留中")&gt;0,"保留",IF(COUNTIFS(請求記録!$B$6:$B$3005,$A245,請求記録!$Z$6:$Z$3005,N$5)=0,"",SUMIFS(請求記録!$AE$6:$AE$3005,請求記録!$B$6:$B$3005,$A245,請求記録!$Z$6:$Z$3005,N$5))))</f>
        <v/>
      </c>
      <c r="O245" s="19">
        <f>IF($A245="","",IF(COUNTIFS(請求記録!$B$6:$B$3005,$A245,請求記録!$Z$6:$Z$3005,O$5,請求記録!$AF$6:$AF$3005,"保留中")&gt;0,"保留",IF(COUNTIFS(請求記録!$B$6:$B$3005,$A245,請求記録!$Z$6:$Z$3005,O$5)=0,"",SUMIFS(請求記録!$AE$6:$AE$3005,請求記録!$B$6:$B$3005,$A245,請求記録!$Z$6:$Z$3005,O$5))))</f>
        <v/>
      </c>
      <c r="P245" s="19">
        <f>IF($A245="","",IF(COUNTIFS(請求記録!$B$6:$B$3005,$A245,請求記録!$Z$6:$Z$3005,P$5,請求記録!$AF$6:$AF$3005,"保留中")&gt;0,"保留",IF(COUNTIFS(請求記録!$B$6:$B$3005,$A245,請求記録!$Z$6:$Z$3005,P$5)=0,"",SUMIFS(請求記録!$AE$6:$AE$3005,請求記録!$B$6:$B$3005,$A245,請求記録!$Z$6:$Z$3005,P$5))))</f>
        <v/>
      </c>
      <c r="Q245" s="19">
        <f>IF($A245="","",IF(COUNTIFS(請求記録!$B$6:$B$3005,$A245,請求記録!$Z$6:$Z$3005,Q$5,請求記録!$AF$6:$AF$3005,"保留中")&gt;0,"保留",IF(COUNTIFS(請求記録!$B$6:$B$3005,$A245,請求記録!$Z$6:$Z$3005,Q$5)=0,"",SUMIFS(請求記録!$AE$6:$AE$3005,請求記録!$B$6:$B$3005,$A245,請求記録!$Z$6:$Z$3005,Q$5))))</f>
        <v/>
      </c>
      <c r="R245" s="19">
        <f>IF($A245="","",IF(COUNTIFS(請求記録!$B$6:$B$3005,$A245,請求記録!$Z$6:$Z$3005,R$5,請求記録!$AF$6:$AF$3005,"保留中")&gt;0,"保留",IF(COUNTIFS(請求記録!$B$6:$B$3005,$A245,請求記録!$Z$6:$Z$3005,R$5)=0,"",SUMIFS(請求記録!$AE$6:$AE$3005,請求記録!$B$6:$B$3005,$A245,請求記録!$Z$6:$Z$3005,R$5))))</f>
        <v/>
      </c>
      <c r="S245" s="19">
        <f>IF($A245="","",IF(COUNTIFS(請求記録!$B$6:$B$3005,$A245,請求記録!$Z$6:$Z$3005,S$5,請求記録!$AF$6:$AF$3005,"保留中")&gt;0,"保留",IF(COUNTIFS(請求記録!$B$6:$B$3005,$A245,請求記録!$Z$6:$Z$3005,S$5)=0,"",SUMIFS(請求記録!$AE$6:$AE$3005,請求記録!$B$6:$B$3005,$A245,請求記録!$Z$6:$Z$3005,S$5))))</f>
        <v/>
      </c>
      <c r="T245" s="19">
        <f>IF($A245="","",IF(COUNTIFS(請求記録!$B$6:$B$3005,$A245,請求記録!$Z$6:$Z$3005,T$5,請求記録!$AF$6:$AF$3005,"保留中")&gt;0,"保留",IF(COUNTIFS(請求記録!$B$6:$B$3005,$A245,請求記録!$Z$6:$Z$3005,T$5)=0,"",SUMIFS(請求記録!$AE$6:$AE$3005,請求記録!$B$6:$B$3005,$A245,請求記録!$Z$6:$Z$3005,T$5))))</f>
        <v/>
      </c>
      <c r="U245" s="19">
        <f>IF($A245="","",IF(COUNTIFS(請求記録!$B$6:$B$3005,$A245,請求記録!$Z$6:$Z$3005,U$5,請求記録!$AF$6:$AF$3005,"保留中")&gt;0,"保留",IF(COUNTIFS(請求記録!$B$6:$B$3005,$A245,請求記録!$Z$6:$Z$3005,U$5)=0,"",SUMIFS(請求記録!$AE$6:$AE$3005,請求記録!$B$6:$B$3005,$A245,請求記録!$Z$6:$Z$3005,U$5))))</f>
        <v/>
      </c>
      <c r="V245" s="19">
        <f>IF($A245="","",IF(COUNTIFS(請求記録!$B$6:$B$3005,$A245,請求記録!$Z$6:$Z$3005,V$5,請求記録!$AF$6:$AF$3005,"保留中")&gt;0,"保留",IF(COUNTIFS(請求記録!$B$6:$B$3005,$A245,請求記録!$Z$6:$Z$3005,V$5)=0,"",SUMIFS(請求記録!$AE$6:$AE$3005,請求記録!$B$6:$B$3005,$A245,請求記録!$Z$6:$Z$3005,V$5))))</f>
        <v/>
      </c>
      <c r="W245" s="19">
        <f>IF($A245="","",IF(COUNTIFS(請求記録!$B$6:$B$3005,$A245,請求記録!$Z$6:$Z$3005,W$5,請求記録!$AF$6:$AF$3005,"保留中")&gt;0,"保留",IF(COUNTIFS(請求記録!$B$6:$B$3005,$A245,請求記録!$Z$6:$Z$3005,W$5)=0,"",SUMIFS(請求記録!$AE$6:$AE$3005,請求記録!$B$6:$B$3005,$A245,請求記録!$Z$6:$Z$3005,W$5))))</f>
        <v/>
      </c>
      <c r="X245" s="19">
        <f>IF($A245="","",IF(COUNTIFS(請求記録!$B$6:$B$3005,$A245,請求記録!$Z$6:$Z$3005,X$5,請求記録!$AF$6:$AF$3005,"保留中")&gt;0,"保留",IF(COUNTIFS(請求記録!$B$6:$B$3005,$A245,請求記録!$Z$6:$Z$3005,X$5)=0,"",SUMIFS(請求記録!$AE$6:$AE$3005,請求記録!$B$6:$B$3005,$A245,請求記録!$Z$6:$Z$3005,X$5))))</f>
        <v/>
      </c>
      <c r="Y245" s="19">
        <f>IF($A245="","",IF(COUNTIFS(請求記録!$B$6:$B$3005,$A245,請求記録!$Z$6:$Z$3005,Y$5,請求記録!$AF$6:$AF$3005,"保留中")&gt;0,"保留",IF(COUNTIFS(請求記録!$B$6:$B$3005,$A245,請求記録!$Z$6:$Z$3005,Y$5)=0,"",SUMIFS(請求記録!$AE$6:$AE$3005,請求記録!$B$6:$B$3005,$A245,請求記録!$Z$6:$Z$3005,Y$5))))</f>
        <v/>
      </c>
      <c r="Z245" s="19">
        <f>IF($A245="","",IF(COUNTIFS(請求記録!$B$6:$B$3005,$A245,請求記録!$Z$6:$Z$3005,Z$5,請求記録!$AF$6:$AF$3005,"保留中")&gt;0,"保留",IF(COUNTIFS(請求記録!$B$6:$B$3005,$A245,請求記録!$Z$6:$Z$3005,Z$5)=0,"",SUMIFS(請求記録!$AE$6:$AE$3005,請求記録!$B$6:$B$3005,$A245,請求記録!$Z$6:$Z$3005,Z$5))))</f>
        <v/>
      </c>
      <c r="AA245" s="19">
        <f>IF($A245="","",IF(COUNTIFS(請求記録!$B$6:$B$3005,$A245,請求記録!$Z$6:$Z$3005,AA$5,請求記録!$AF$6:$AF$3005,"保留中")&gt;0,"保留",IF(COUNTIFS(請求記録!$B$6:$B$3005,$A245,請求記録!$Z$6:$Z$3005,AA$5)=0,"",SUMIFS(請求記録!$AE$6:$AE$3005,請求記録!$B$6:$B$3005,$A245,請求記録!$Z$6:$Z$3005,AA$5))))</f>
        <v/>
      </c>
      <c r="AB245">
        <f>IF(職員マスタ!P245="保留中",職員マスタ!M245,"")</f>
        <v/>
      </c>
    </row>
    <row r="246">
      <c r="A246">
        <f>IF(職員マスタ!A246="","",職員マスタ!A246)</f>
        <v/>
      </c>
      <c r="B246">
        <f>IF($A246="","",職員マスタ!B246)</f>
        <v/>
      </c>
      <c r="C246">
        <f>IF($A246="","",職員マスタ!C246)</f>
        <v/>
      </c>
      <c r="D246" s="19">
        <f>IF($A246="","",IF(COUNTIFS(請求記録!$B$6:$B$3005,$A246,請求記録!$Z$6:$Z$3005,D$5,請求記録!$AF$6:$AF$3005,"保留中")&gt;0,"保留",IF(COUNTIFS(請求記録!$B$6:$B$3005,$A246,請求記録!$Z$6:$Z$3005,D$5)=0,"",SUMIFS(請求記録!$AE$6:$AE$3005,請求記録!$B$6:$B$3005,$A246,請求記録!$Z$6:$Z$3005,D$5))))</f>
        <v/>
      </c>
      <c r="E246" s="19">
        <f>IF($A246="","",IF(COUNTIFS(請求記録!$B$6:$B$3005,$A246,請求記録!$Z$6:$Z$3005,E$5,請求記録!$AF$6:$AF$3005,"保留中")&gt;0,"保留",IF(COUNTIFS(請求記録!$B$6:$B$3005,$A246,請求記録!$Z$6:$Z$3005,E$5)=0,"",SUMIFS(請求記録!$AE$6:$AE$3005,請求記録!$B$6:$B$3005,$A246,請求記録!$Z$6:$Z$3005,E$5))))</f>
        <v/>
      </c>
      <c r="F246" s="19">
        <f>IF($A246="","",IF(COUNTIFS(請求記録!$B$6:$B$3005,$A246,請求記録!$Z$6:$Z$3005,F$5,請求記録!$AF$6:$AF$3005,"保留中")&gt;0,"保留",IF(COUNTIFS(請求記録!$B$6:$B$3005,$A246,請求記録!$Z$6:$Z$3005,F$5)=0,"",SUMIFS(請求記録!$AE$6:$AE$3005,請求記録!$B$6:$B$3005,$A246,請求記録!$Z$6:$Z$3005,F$5))))</f>
        <v/>
      </c>
      <c r="G246" s="19">
        <f>IF($A246="","",IF(COUNTIFS(請求記録!$B$6:$B$3005,$A246,請求記録!$Z$6:$Z$3005,G$5,請求記録!$AF$6:$AF$3005,"保留中")&gt;0,"保留",IF(COUNTIFS(請求記録!$B$6:$B$3005,$A246,請求記録!$Z$6:$Z$3005,G$5)=0,"",SUMIFS(請求記録!$AE$6:$AE$3005,請求記録!$B$6:$B$3005,$A246,請求記録!$Z$6:$Z$3005,G$5))))</f>
        <v/>
      </c>
      <c r="H246" s="19">
        <f>IF($A246="","",IF(COUNTIFS(請求記録!$B$6:$B$3005,$A246,請求記録!$Z$6:$Z$3005,H$5,請求記録!$AF$6:$AF$3005,"保留中")&gt;0,"保留",IF(COUNTIFS(請求記録!$B$6:$B$3005,$A246,請求記録!$Z$6:$Z$3005,H$5)=0,"",SUMIFS(請求記録!$AE$6:$AE$3005,請求記録!$B$6:$B$3005,$A246,請求記録!$Z$6:$Z$3005,H$5))))</f>
        <v/>
      </c>
      <c r="I246" s="19">
        <f>IF($A246="","",IF(COUNTIFS(請求記録!$B$6:$B$3005,$A246,請求記録!$Z$6:$Z$3005,I$5,請求記録!$AF$6:$AF$3005,"保留中")&gt;0,"保留",IF(COUNTIFS(請求記録!$B$6:$B$3005,$A246,請求記録!$Z$6:$Z$3005,I$5)=0,"",SUMIFS(請求記録!$AE$6:$AE$3005,請求記録!$B$6:$B$3005,$A246,請求記録!$Z$6:$Z$3005,I$5))))</f>
        <v/>
      </c>
      <c r="J246" s="19">
        <f>IF($A246="","",IF(COUNTIFS(請求記録!$B$6:$B$3005,$A246,請求記録!$Z$6:$Z$3005,J$5,請求記録!$AF$6:$AF$3005,"保留中")&gt;0,"保留",IF(COUNTIFS(請求記録!$B$6:$B$3005,$A246,請求記録!$Z$6:$Z$3005,J$5)=0,"",SUMIFS(請求記録!$AE$6:$AE$3005,請求記録!$B$6:$B$3005,$A246,請求記録!$Z$6:$Z$3005,J$5))))</f>
        <v/>
      </c>
      <c r="K246" s="19">
        <f>IF($A246="","",IF(COUNTIFS(請求記録!$B$6:$B$3005,$A246,請求記録!$Z$6:$Z$3005,K$5,請求記録!$AF$6:$AF$3005,"保留中")&gt;0,"保留",IF(COUNTIFS(請求記録!$B$6:$B$3005,$A246,請求記録!$Z$6:$Z$3005,K$5)=0,"",SUMIFS(請求記録!$AE$6:$AE$3005,請求記録!$B$6:$B$3005,$A246,請求記録!$Z$6:$Z$3005,K$5))))</f>
        <v/>
      </c>
      <c r="L246" s="19">
        <f>IF($A246="","",IF(COUNTIFS(請求記録!$B$6:$B$3005,$A246,請求記録!$Z$6:$Z$3005,L$5,請求記録!$AF$6:$AF$3005,"保留中")&gt;0,"保留",IF(COUNTIFS(請求記録!$B$6:$B$3005,$A246,請求記録!$Z$6:$Z$3005,L$5)=0,"",SUMIFS(請求記録!$AE$6:$AE$3005,請求記録!$B$6:$B$3005,$A246,請求記録!$Z$6:$Z$3005,L$5))))</f>
        <v/>
      </c>
      <c r="M246" s="19">
        <f>IF($A246="","",IF(COUNTIFS(請求記録!$B$6:$B$3005,$A246,請求記録!$Z$6:$Z$3005,M$5,請求記録!$AF$6:$AF$3005,"保留中")&gt;0,"保留",IF(COUNTIFS(請求記録!$B$6:$B$3005,$A246,請求記録!$Z$6:$Z$3005,M$5)=0,"",SUMIFS(請求記録!$AE$6:$AE$3005,請求記録!$B$6:$B$3005,$A246,請求記録!$Z$6:$Z$3005,M$5))))</f>
        <v/>
      </c>
      <c r="N246" s="19">
        <f>IF($A246="","",IF(COUNTIFS(請求記録!$B$6:$B$3005,$A246,請求記録!$Z$6:$Z$3005,N$5,請求記録!$AF$6:$AF$3005,"保留中")&gt;0,"保留",IF(COUNTIFS(請求記録!$B$6:$B$3005,$A246,請求記録!$Z$6:$Z$3005,N$5)=0,"",SUMIFS(請求記録!$AE$6:$AE$3005,請求記録!$B$6:$B$3005,$A246,請求記録!$Z$6:$Z$3005,N$5))))</f>
        <v/>
      </c>
      <c r="O246" s="19">
        <f>IF($A246="","",IF(COUNTIFS(請求記録!$B$6:$B$3005,$A246,請求記録!$Z$6:$Z$3005,O$5,請求記録!$AF$6:$AF$3005,"保留中")&gt;0,"保留",IF(COUNTIFS(請求記録!$B$6:$B$3005,$A246,請求記録!$Z$6:$Z$3005,O$5)=0,"",SUMIFS(請求記録!$AE$6:$AE$3005,請求記録!$B$6:$B$3005,$A246,請求記録!$Z$6:$Z$3005,O$5))))</f>
        <v/>
      </c>
      <c r="P246" s="19">
        <f>IF($A246="","",IF(COUNTIFS(請求記録!$B$6:$B$3005,$A246,請求記録!$Z$6:$Z$3005,P$5,請求記録!$AF$6:$AF$3005,"保留中")&gt;0,"保留",IF(COUNTIFS(請求記録!$B$6:$B$3005,$A246,請求記録!$Z$6:$Z$3005,P$5)=0,"",SUMIFS(請求記録!$AE$6:$AE$3005,請求記録!$B$6:$B$3005,$A246,請求記録!$Z$6:$Z$3005,P$5))))</f>
        <v/>
      </c>
      <c r="Q246" s="19">
        <f>IF($A246="","",IF(COUNTIFS(請求記録!$B$6:$B$3005,$A246,請求記録!$Z$6:$Z$3005,Q$5,請求記録!$AF$6:$AF$3005,"保留中")&gt;0,"保留",IF(COUNTIFS(請求記録!$B$6:$B$3005,$A246,請求記録!$Z$6:$Z$3005,Q$5)=0,"",SUMIFS(請求記録!$AE$6:$AE$3005,請求記録!$B$6:$B$3005,$A246,請求記録!$Z$6:$Z$3005,Q$5))))</f>
        <v/>
      </c>
      <c r="R246" s="19">
        <f>IF($A246="","",IF(COUNTIFS(請求記録!$B$6:$B$3005,$A246,請求記録!$Z$6:$Z$3005,R$5,請求記録!$AF$6:$AF$3005,"保留中")&gt;0,"保留",IF(COUNTIFS(請求記録!$B$6:$B$3005,$A246,請求記録!$Z$6:$Z$3005,R$5)=0,"",SUMIFS(請求記録!$AE$6:$AE$3005,請求記録!$B$6:$B$3005,$A246,請求記録!$Z$6:$Z$3005,R$5))))</f>
        <v/>
      </c>
      <c r="S246" s="19">
        <f>IF($A246="","",IF(COUNTIFS(請求記録!$B$6:$B$3005,$A246,請求記録!$Z$6:$Z$3005,S$5,請求記録!$AF$6:$AF$3005,"保留中")&gt;0,"保留",IF(COUNTIFS(請求記録!$B$6:$B$3005,$A246,請求記録!$Z$6:$Z$3005,S$5)=0,"",SUMIFS(請求記録!$AE$6:$AE$3005,請求記録!$B$6:$B$3005,$A246,請求記録!$Z$6:$Z$3005,S$5))))</f>
        <v/>
      </c>
      <c r="T246" s="19">
        <f>IF($A246="","",IF(COUNTIFS(請求記録!$B$6:$B$3005,$A246,請求記録!$Z$6:$Z$3005,T$5,請求記録!$AF$6:$AF$3005,"保留中")&gt;0,"保留",IF(COUNTIFS(請求記録!$B$6:$B$3005,$A246,請求記録!$Z$6:$Z$3005,T$5)=0,"",SUMIFS(請求記録!$AE$6:$AE$3005,請求記録!$B$6:$B$3005,$A246,請求記録!$Z$6:$Z$3005,T$5))))</f>
        <v/>
      </c>
      <c r="U246" s="19">
        <f>IF($A246="","",IF(COUNTIFS(請求記録!$B$6:$B$3005,$A246,請求記録!$Z$6:$Z$3005,U$5,請求記録!$AF$6:$AF$3005,"保留中")&gt;0,"保留",IF(COUNTIFS(請求記録!$B$6:$B$3005,$A246,請求記録!$Z$6:$Z$3005,U$5)=0,"",SUMIFS(請求記録!$AE$6:$AE$3005,請求記録!$B$6:$B$3005,$A246,請求記録!$Z$6:$Z$3005,U$5))))</f>
        <v/>
      </c>
      <c r="V246" s="19">
        <f>IF($A246="","",IF(COUNTIFS(請求記録!$B$6:$B$3005,$A246,請求記録!$Z$6:$Z$3005,V$5,請求記録!$AF$6:$AF$3005,"保留中")&gt;0,"保留",IF(COUNTIFS(請求記録!$B$6:$B$3005,$A246,請求記録!$Z$6:$Z$3005,V$5)=0,"",SUMIFS(請求記録!$AE$6:$AE$3005,請求記録!$B$6:$B$3005,$A246,請求記録!$Z$6:$Z$3005,V$5))))</f>
        <v/>
      </c>
      <c r="W246" s="19">
        <f>IF($A246="","",IF(COUNTIFS(請求記録!$B$6:$B$3005,$A246,請求記録!$Z$6:$Z$3005,W$5,請求記録!$AF$6:$AF$3005,"保留中")&gt;0,"保留",IF(COUNTIFS(請求記録!$B$6:$B$3005,$A246,請求記録!$Z$6:$Z$3005,W$5)=0,"",SUMIFS(請求記録!$AE$6:$AE$3005,請求記録!$B$6:$B$3005,$A246,請求記録!$Z$6:$Z$3005,W$5))))</f>
        <v/>
      </c>
      <c r="X246" s="19">
        <f>IF($A246="","",IF(COUNTIFS(請求記録!$B$6:$B$3005,$A246,請求記録!$Z$6:$Z$3005,X$5,請求記録!$AF$6:$AF$3005,"保留中")&gt;0,"保留",IF(COUNTIFS(請求記録!$B$6:$B$3005,$A246,請求記録!$Z$6:$Z$3005,X$5)=0,"",SUMIFS(請求記録!$AE$6:$AE$3005,請求記録!$B$6:$B$3005,$A246,請求記録!$Z$6:$Z$3005,X$5))))</f>
        <v/>
      </c>
      <c r="Y246" s="19">
        <f>IF($A246="","",IF(COUNTIFS(請求記録!$B$6:$B$3005,$A246,請求記録!$Z$6:$Z$3005,Y$5,請求記録!$AF$6:$AF$3005,"保留中")&gt;0,"保留",IF(COUNTIFS(請求記録!$B$6:$B$3005,$A246,請求記録!$Z$6:$Z$3005,Y$5)=0,"",SUMIFS(請求記録!$AE$6:$AE$3005,請求記録!$B$6:$B$3005,$A246,請求記録!$Z$6:$Z$3005,Y$5))))</f>
        <v/>
      </c>
      <c r="Z246" s="19">
        <f>IF($A246="","",IF(COUNTIFS(請求記録!$B$6:$B$3005,$A246,請求記録!$Z$6:$Z$3005,Z$5,請求記録!$AF$6:$AF$3005,"保留中")&gt;0,"保留",IF(COUNTIFS(請求記録!$B$6:$B$3005,$A246,請求記録!$Z$6:$Z$3005,Z$5)=0,"",SUMIFS(請求記録!$AE$6:$AE$3005,請求記録!$B$6:$B$3005,$A246,請求記録!$Z$6:$Z$3005,Z$5))))</f>
        <v/>
      </c>
      <c r="AA246" s="19">
        <f>IF($A246="","",IF(COUNTIFS(請求記録!$B$6:$B$3005,$A246,請求記録!$Z$6:$Z$3005,AA$5,請求記録!$AF$6:$AF$3005,"保留中")&gt;0,"保留",IF(COUNTIFS(請求記録!$B$6:$B$3005,$A246,請求記録!$Z$6:$Z$3005,AA$5)=0,"",SUMIFS(請求記録!$AE$6:$AE$3005,請求記録!$B$6:$B$3005,$A246,請求記録!$Z$6:$Z$3005,AA$5))))</f>
        <v/>
      </c>
      <c r="AB246">
        <f>IF(職員マスタ!P246="保留中",職員マスタ!M246,"")</f>
        <v/>
      </c>
    </row>
    <row r="247">
      <c r="A247">
        <f>IF(職員マスタ!A247="","",職員マスタ!A247)</f>
        <v/>
      </c>
      <c r="B247">
        <f>IF($A247="","",職員マスタ!B247)</f>
        <v/>
      </c>
      <c r="C247">
        <f>IF($A247="","",職員マスタ!C247)</f>
        <v/>
      </c>
      <c r="D247" s="19">
        <f>IF($A247="","",IF(COUNTIFS(請求記録!$B$6:$B$3005,$A247,請求記録!$Z$6:$Z$3005,D$5,請求記録!$AF$6:$AF$3005,"保留中")&gt;0,"保留",IF(COUNTIFS(請求記録!$B$6:$B$3005,$A247,請求記録!$Z$6:$Z$3005,D$5)=0,"",SUMIFS(請求記録!$AE$6:$AE$3005,請求記録!$B$6:$B$3005,$A247,請求記録!$Z$6:$Z$3005,D$5))))</f>
        <v/>
      </c>
      <c r="E247" s="19">
        <f>IF($A247="","",IF(COUNTIFS(請求記録!$B$6:$B$3005,$A247,請求記録!$Z$6:$Z$3005,E$5,請求記録!$AF$6:$AF$3005,"保留中")&gt;0,"保留",IF(COUNTIFS(請求記録!$B$6:$B$3005,$A247,請求記録!$Z$6:$Z$3005,E$5)=0,"",SUMIFS(請求記録!$AE$6:$AE$3005,請求記録!$B$6:$B$3005,$A247,請求記録!$Z$6:$Z$3005,E$5))))</f>
        <v/>
      </c>
      <c r="F247" s="19">
        <f>IF($A247="","",IF(COUNTIFS(請求記録!$B$6:$B$3005,$A247,請求記録!$Z$6:$Z$3005,F$5,請求記録!$AF$6:$AF$3005,"保留中")&gt;0,"保留",IF(COUNTIFS(請求記録!$B$6:$B$3005,$A247,請求記録!$Z$6:$Z$3005,F$5)=0,"",SUMIFS(請求記録!$AE$6:$AE$3005,請求記録!$B$6:$B$3005,$A247,請求記録!$Z$6:$Z$3005,F$5))))</f>
        <v/>
      </c>
      <c r="G247" s="19">
        <f>IF($A247="","",IF(COUNTIFS(請求記録!$B$6:$B$3005,$A247,請求記録!$Z$6:$Z$3005,G$5,請求記録!$AF$6:$AF$3005,"保留中")&gt;0,"保留",IF(COUNTIFS(請求記録!$B$6:$B$3005,$A247,請求記録!$Z$6:$Z$3005,G$5)=0,"",SUMIFS(請求記録!$AE$6:$AE$3005,請求記録!$B$6:$B$3005,$A247,請求記録!$Z$6:$Z$3005,G$5))))</f>
        <v/>
      </c>
      <c r="H247" s="19">
        <f>IF($A247="","",IF(COUNTIFS(請求記録!$B$6:$B$3005,$A247,請求記録!$Z$6:$Z$3005,H$5,請求記録!$AF$6:$AF$3005,"保留中")&gt;0,"保留",IF(COUNTIFS(請求記録!$B$6:$B$3005,$A247,請求記録!$Z$6:$Z$3005,H$5)=0,"",SUMIFS(請求記録!$AE$6:$AE$3005,請求記録!$B$6:$B$3005,$A247,請求記録!$Z$6:$Z$3005,H$5))))</f>
        <v/>
      </c>
      <c r="I247" s="19">
        <f>IF($A247="","",IF(COUNTIFS(請求記録!$B$6:$B$3005,$A247,請求記録!$Z$6:$Z$3005,I$5,請求記録!$AF$6:$AF$3005,"保留中")&gt;0,"保留",IF(COUNTIFS(請求記録!$B$6:$B$3005,$A247,請求記録!$Z$6:$Z$3005,I$5)=0,"",SUMIFS(請求記録!$AE$6:$AE$3005,請求記録!$B$6:$B$3005,$A247,請求記録!$Z$6:$Z$3005,I$5))))</f>
        <v/>
      </c>
      <c r="J247" s="19">
        <f>IF($A247="","",IF(COUNTIFS(請求記録!$B$6:$B$3005,$A247,請求記録!$Z$6:$Z$3005,J$5,請求記録!$AF$6:$AF$3005,"保留中")&gt;0,"保留",IF(COUNTIFS(請求記録!$B$6:$B$3005,$A247,請求記録!$Z$6:$Z$3005,J$5)=0,"",SUMIFS(請求記録!$AE$6:$AE$3005,請求記録!$B$6:$B$3005,$A247,請求記録!$Z$6:$Z$3005,J$5))))</f>
        <v/>
      </c>
      <c r="K247" s="19">
        <f>IF($A247="","",IF(COUNTIFS(請求記録!$B$6:$B$3005,$A247,請求記録!$Z$6:$Z$3005,K$5,請求記録!$AF$6:$AF$3005,"保留中")&gt;0,"保留",IF(COUNTIFS(請求記録!$B$6:$B$3005,$A247,請求記録!$Z$6:$Z$3005,K$5)=0,"",SUMIFS(請求記録!$AE$6:$AE$3005,請求記録!$B$6:$B$3005,$A247,請求記録!$Z$6:$Z$3005,K$5))))</f>
        <v/>
      </c>
      <c r="L247" s="19">
        <f>IF($A247="","",IF(COUNTIFS(請求記録!$B$6:$B$3005,$A247,請求記録!$Z$6:$Z$3005,L$5,請求記録!$AF$6:$AF$3005,"保留中")&gt;0,"保留",IF(COUNTIFS(請求記録!$B$6:$B$3005,$A247,請求記録!$Z$6:$Z$3005,L$5)=0,"",SUMIFS(請求記録!$AE$6:$AE$3005,請求記録!$B$6:$B$3005,$A247,請求記録!$Z$6:$Z$3005,L$5))))</f>
        <v/>
      </c>
      <c r="M247" s="19">
        <f>IF($A247="","",IF(COUNTIFS(請求記録!$B$6:$B$3005,$A247,請求記録!$Z$6:$Z$3005,M$5,請求記録!$AF$6:$AF$3005,"保留中")&gt;0,"保留",IF(COUNTIFS(請求記録!$B$6:$B$3005,$A247,請求記録!$Z$6:$Z$3005,M$5)=0,"",SUMIFS(請求記録!$AE$6:$AE$3005,請求記録!$B$6:$B$3005,$A247,請求記録!$Z$6:$Z$3005,M$5))))</f>
        <v/>
      </c>
      <c r="N247" s="19">
        <f>IF($A247="","",IF(COUNTIFS(請求記録!$B$6:$B$3005,$A247,請求記録!$Z$6:$Z$3005,N$5,請求記録!$AF$6:$AF$3005,"保留中")&gt;0,"保留",IF(COUNTIFS(請求記録!$B$6:$B$3005,$A247,請求記録!$Z$6:$Z$3005,N$5)=0,"",SUMIFS(請求記録!$AE$6:$AE$3005,請求記録!$B$6:$B$3005,$A247,請求記録!$Z$6:$Z$3005,N$5))))</f>
        <v/>
      </c>
      <c r="O247" s="19">
        <f>IF($A247="","",IF(COUNTIFS(請求記録!$B$6:$B$3005,$A247,請求記録!$Z$6:$Z$3005,O$5,請求記録!$AF$6:$AF$3005,"保留中")&gt;0,"保留",IF(COUNTIFS(請求記録!$B$6:$B$3005,$A247,請求記録!$Z$6:$Z$3005,O$5)=0,"",SUMIFS(請求記録!$AE$6:$AE$3005,請求記録!$B$6:$B$3005,$A247,請求記録!$Z$6:$Z$3005,O$5))))</f>
        <v/>
      </c>
      <c r="P247" s="19">
        <f>IF($A247="","",IF(COUNTIFS(請求記録!$B$6:$B$3005,$A247,請求記録!$Z$6:$Z$3005,P$5,請求記録!$AF$6:$AF$3005,"保留中")&gt;0,"保留",IF(COUNTIFS(請求記録!$B$6:$B$3005,$A247,請求記録!$Z$6:$Z$3005,P$5)=0,"",SUMIFS(請求記録!$AE$6:$AE$3005,請求記録!$B$6:$B$3005,$A247,請求記録!$Z$6:$Z$3005,P$5))))</f>
        <v/>
      </c>
      <c r="Q247" s="19">
        <f>IF($A247="","",IF(COUNTIFS(請求記録!$B$6:$B$3005,$A247,請求記録!$Z$6:$Z$3005,Q$5,請求記録!$AF$6:$AF$3005,"保留中")&gt;0,"保留",IF(COUNTIFS(請求記録!$B$6:$B$3005,$A247,請求記録!$Z$6:$Z$3005,Q$5)=0,"",SUMIFS(請求記録!$AE$6:$AE$3005,請求記録!$B$6:$B$3005,$A247,請求記録!$Z$6:$Z$3005,Q$5))))</f>
        <v/>
      </c>
      <c r="R247" s="19">
        <f>IF($A247="","",IF(COUNTIFS(請求記録!$B$6:$B$3005,$A247,請求記録!$Z$6:$Z$3005,R$5,請求記録!$AF$6:$AF$3005,"保留中")&gt;0,"保留",IF(COUNTIFS(請求記録!$B$6:$B$3005,$A247,請求記録!$Z$6:$Z$3005,R$5)=0,"",SUMIFS(請求記録!$AE$6:$AE$3005,請求記録!$B$6:$B$3005,$A247,請求記録!$Z$6:$Z$3005,R$5))))</f>
        <v/>
      </c>
      <c r="S247" s="19">
        <f>IF($A247="","",IF(COUNTIFS(請求記録!$B$6:$B$3005,$A247,請求記録!$Z$6:$Z$3005,S$5,請求記録!$AF$6:$AF$3005,"保留中")&gt;0,"保留",IF(COUNTIFS(請求記録!$B$6:$B$3005,$A247,請求記録!$Z$6:$Z$3005,S$5)=0,"",SUMIFS(請求記録!$AE$6:$AE$3005,請求記録!$B$6:$B$3005,$A247,請求記録!$Z$6:$Z$3005,S$5))))</f>
        <v/>
      </c>
      <c r="T247" s="19">
        <f>IF($A247="","",IF(COUNTIFS(請求記録!$B$6:$B$3005,$A247,請求記録!$Z$6:$Z$3005,T$5,請求記録!$AF$6:$AF$3005,"保留中")&gt;0,"保留",IF(COUNTIFS(請求記録!$B$6:$B$3005,$A247,請求記録!$Z$6:$Z$3005,T$5)=0,"",SUMIFS(請求記録!$AE$6:$AE$3005,請求記録!$B$6:$B$3005,$A247,請求記録!$Z$6:$Z$3005,T$5))))</f>
        <v/>
      </c>
      <c r="U247" s="19">
        <f>IF($A247="","",IF(COUNTIFS(請求記録!$B$6:$B$3005,$A247,請求記録!$Z$6:$Z$3005,U$5,請求記録!$AF$6:$AF$3005,"保留中")&gt;0,"保留",IF(COUNTIFS(請求記録!$B$6:$B$3005,$A247,請求記録!$Z$6:$Z$3005,U$5)=0,"",SUMIFS(請求記録!$AE$6:$AE$3005,請求記録!$B$6:$B$3005,$A247,請求記録!$Z$6:$Z$3005,U$5))))</f>
        <v/>
      </c>
      <c r="V247" s="19">
        <f>IF($A247="","",IF(COUNTIFS(請求記録!$B$6:$B$3005,$A247,請求記録!$Z$6:$Z$3005,V$5,請求記録!$AF$6:$AF$3005,"保留中")&gt;0,"保留",IF(COUNTIFS(請求記録!$B$6:$B$3005,$A247,請求記録!$Z$6:$Z$3005,V$5)=0,"",SUMIFS(請求記録!$AE$6:$AE$3005,請求記録!$B$6:$B$3005,$A247,請求記録!$Z$6:$Z$3005,V$5))))</f>
        <v/>
      </c>
      <c r="W247" s="19">
        <f>IF($A247="","",IF(COUNTIFS(請求記録!$B$6:$B$3005,$A247,請求記録!$Z$6:$Z$3005,W$5,請求記録!$AF$6:$AF$3005,"保留中")&gt;0,"保留",IF(COUNTIFS(請求記録!$B$6:$B$3005,$A247,請求記録!$Z$6:$Z$3005,W$5)=0,"",SUMIFS(請求記録!$AE$6:$AE$3005,請求記録!$B$6:$B$3005,$A247,請求記録!$Z$6:$Z$3005,W$5))))</f>
        <v/>
      </c>
      <c r="X247" s="19">
        <f>IF($A247="","",IF(COUNTIFS(請求記録!$B$6:$B$3005,$A247,請求記録!$Z$6:$Z$3005,X$5,請求記録!$AF$6:$AF$3005,"保留中")&gt;0,"保留",IF(COUNTIFS(請求記録!$B$6:$B$3005,$A247,請求記録!$Z$6:$Z$3005,X$5)=0,"",SUMIFS(請求記録!$AE$6:$AE$3005,請求記録!$B$6:$B$3005,$A247,請求記録!$Z$6:$Z$3005,X$5))))</f>
        <v/>
      </c>
      <c r="Y247" s="19">
        <f>IF($A247="","",IF(COUNTIFS(請求記録!$B$6:$B$3005,$A247,請求記録!$Z$6:$Z$3005,Y$5,請求記録!$AF$6:$AF$3005,"保留中")&gt;0,"保留",IF(COUNTIFS(請求記録!$B$6:$B$3005,$A247,請求記録!$Z$6:$Z$3005,Y$5)=0,"",SUMIFS(請求記録!$AE$6:$AE$3005,請求記録!$B$6:$B$3005,$A247,請求記録!$Z$6:$Z$3005,Y$5))))</f>
        <v/>
      </c>
      <c r="Z247" s="19">
        <f>IF($A247="","",IF(COUNTIFS(請求記録!$B$6:$B$3005,$A247,請求記録!$Z$6:$Z$3005,Z$5,請求記録!$AF$6:$AF$3005,"保留中")&gt;0,"保留",IF(COUNTIFS(請求記録!$B$6:$B$3005,$A247,請求記録!$Z$6:$Z$3005,Z$5)=0,"",SUMIFS(請求記録!$AE$6:$AE$3005,請求記録!$B$6:$B$3005,$A247,請求記録!$Z$6:$Z$3005,Z$5))))</f>
        <v/>
      </c>
      <c r="AA247" s="19">
        <f>IF($A247="","",IF(COUNTIFS(請求記録!$B$6:$B$3005,$A247,請求記録!$Z$6:$Z$3005,AA$5,請求記録!$AF$6:$AF$3005,"保留中")&gt;0,"保留",IF(COUNTIFS(請求記録!$B$6:$B$3005,$A247,請求記録!$Z$6:$Z$3005,AA$5)=0,"",SUMIFS(請求記録!$AE$6:$AE$3005,請求記録!$B$6:$B$3005,$A247,請求記録!$Z$6:$Z$3005,AA$5))))</f>
        <v/>
      </c>
      <c r="AB247">
        <f>IF(職員マスタ!P247="保留中",職員マスタ!M247,"")</f>
        <v/>
      </c>
    </row>
    <row r="248">
      <c r="A248">
        <f>IF(職員マスタ!A248="","",職員マスタ!A248)</f>
        <v/>
      </c>
      <c r="B248">
        <f>IF($A248="","",職員マスタ!B248)</f>
        <v/>
      </c>
      <c r="C248">
        <f>IF($A248="","",職員マスタ!C248)</f>
        <v/>
      </c>
      <c r="D248" s="19">
        <f>IF($A248="","",IF(COUNTIFS(請求記録!$B$6:$B$3005,$A248,請求記録!$Z$6:$Z$3005,D$5,請求記録!$AF$6:$AF$3005,"保留中")&gt;0,"保留",IF(COUNTIFS(請求記録!$B$6:$B$3005,$A248,請求記録!$Z$6:$Z$3005,D$5)=0,"",SUMIFS(請求記録!$AE$6:$AE$3005,請求記録!$B$6:$B$3005,$A248,請求記録!$Z$6:$Z$3005,D$5))))</f>
        <v/>
      </c>
      <c r="E248" s="19">
        <f>IF($A248="","",IF(COUNTIFS(請求記録!$B$6:$B$3005,$A248,請求記録!$Z$6:$Z$3005,E$5,請求記録!$AF$6:$AF$3005,"保留中")&gt;0,"保留",IF(COUNTIFS(請求記録!$B$6:$B$3005,$A248,請求記録!$Z$6:$Z$3005,E$5)=0,"",SUMIFS(請求記録!$AE$6:$AE$3005,請求記録!$B$6:$B$3005,$A248,請求記録!$Z$6:$Z$3005,E$5))))</f>
        <v/>
      </c>
      <c r="F248" s="19">
        <f>IF($A248="","",IF(COUNTIFS(請求記録!$B$6:$B$3005,$A248,請求記録!$Z$6:$Z$3005,F$5,請求記録!$AF$6:$AF$3005,"保留中")&gt;0,"保留",IF(COUNTIFS(請求記録!$B$6:$B$3005,$A248,請求記録!$Z$6:$Z$3005,F$5)=0,"",SUMIFS(請求記録!$AE$6:$AE$3005,請求記録!$B$6:$B$3005,$A248,請求記録!$Z$6:$Z$3005,F$5))))</f>
        <v/>
      </c>
      <c r="G248" s="19">
        <f>IF($A248="","",IF(COUNTIFS(請求記録!$B$6:$B$3005,$A248,請求記録!$Z$6:$Z$3005,G$5,請求記録!$AF$6:$AF$3005,"保留中")&gt;0,"保留",IF(COUNTIFS(請求記録!$B$6:$B$3005,$A248,請求記録!$Z$6:$Z$3005,G$5)=0,"",SUMIFS(請求記録!$AE$6:$AE$3005,請求記録!$B$6:$B$3005,$A248,請求記録!$Z$6:$Z$3005,G$5))))</f>
        <v/>
      </c>
      <c r="H248" s="19">
        <f>IF($A248="","",IF(COUNTIFS(請求記録!$B$6:$B$3005,$A248,請求記録!$Z$6:$Z$3005,H$5,請求記録!$AF$6:$AF$3005,"保留中")&gt;0,"保留",IF(COUNTIFS(請求記録!$B$6:$B$3005,$A248,請求記録!$Z$6:$Z$3005,H$5)=0,"",SUMIFS(請求記録!$AE$6:$AE$3005,請求記録!$B$6:$B$3005,$A248,請求記録!$Z$6:$Z$3005,H$5))))</f>
        <v/>
      </c>
      <c r="I248" s="19">
        <f>IF($A248="","",IF(COUNTIFS(請求記録!$B$6:$B$3005,$A248,請求記録!$Z$6:$Z$3005,I$5,請求記録!$AF$6:$AF$3005,"保留中")&gt;0,"保留",IF(COUNTIFS(請求記録!$B$6:$B$3005,$A248,請求記録!$Z$6:$Z$3005,I$5)=0,"",SUMIFS(請求記録!$AE$6:$AE$3005,請求記録!$B$6:$B$3005,$A248,請求記録!$Z$6:$Z$3005,I$5))))</f>
        <v/>
      </c>
      <c r="J248" s="19">
        <f>IF($A248="","",IF(COUNTIFS(請求記録!$B$6:$B$3005,$A248,請求記録!$Z$6:$Z$3005,J$5,請求記録!$AF$6:$AF$3005,"保留中")&gt;0,"保留",IF(COUNTIFS(請求記録!$B$6:$B$3005,$A248,請求記録!$Z$6:$Z$3005,J$5)=0,"",SUMIFS(請求記録!$AE$6:$AE$3005,請求記録!$B$6:$B$3005,$A248,請求記録!$Z$6:$Z$3005,J$5))))</f>
        <v/>
      </c>
      <c r="K248" s="19">
        <f>IF($A248="","",IF(COUNTIFS(請求記録!$B$6:$B$3005,$A248,請求記録!$Z$6:$Z$3005,K$5,請求記録!$AF$6:$AF$3005,"保留中")&gt;0,"保留",IF(COUNTIFS(請求記録!$B$6:$B$3005,$A248,請求記録!$Z$6:$Z$3005,K$5)=0,"",SUMIFS(請求記録!$AE$6:$AE$3005,請求記録!$B$6:$B$3005,$A248,請求記録!$Z$6:$Z$3005,K$5))))</f>
        <v/>
      </c>
      <c r="L248" s="19">
        <f>IF($A248="","",IF(COUNTIFS(請求記録!$B$6:$B$3005,$A248,請求記録!$Z$6:$Z$3005,L$5,請求記録!$AF$6:$AF$3005,"保留中")&gt;0,"保留",IF(COUNTIFS(請求記録!$B$6:$B$3005,$A248,請求記録!$Z$6:$Z$3005,L$5)=0,"",SUMIFS(請求記録!$AE$6:$AE$3005,請求記録!$B$6:$B$3005,$A248,請求記録!$Z$6:$Z$3005,L$5))))</f>
        <v/>
      </c>
      <c r="M248" s="19">
        <f>IF($A248="","",IF(COUNTIFS(請求記録!$B$6:$B$3005,$A248,請求記録!$Z$6:$Z$3005,M$5,請求記録!$AF$6:$AF$3005,"保留中")&gt;0,"保留",IF(COUNTIFS(請求記録!$B$6:$B$3005,$A248,請求記録!$Z$6:$Z$3005,M$5)=0,"",SUMIFS(請求記録!$AE$6:$AE$3005,請求記録!$B$6:$B$3005,$A248,請求記録!$Z$6:$Z$3005,M$5))))</f>
        <v/>
      </c>
      <c r="N248" s="19">
        <f>IF($A248="","",IF(COUNTIFS(請求記録!$B$6:$B$3005,$A248,請求記録!$Z$6:$Z$3005,N$5,請求記録!$AF$6:$AF$3005,"保留中")&gt;0,"保留",IF(COUNTIFS(請求記録!$B$6:$B$3005,$A248,請求記録!$Z$6:$Z$3005,N$5)=0,"",SUMIFS(請求記録!$AE$6:$AE$3005,請求記録!$B$6:$B$3005,$A248,請求記録!$Z$6:$Z$3005,N$5))))</f>
        <v/>
      </c>
      <c r="O248" s="19">
        <f>IF($A248="","",IF(COUNTIFS(請求記録!$B$6:$B$3005,$A248,請求記録!$Z$6:$Z$3005,O$5,請求記録!$AF$6:$AF$3005,"保留中")&gt;0,"保留",IF(COUNTIFS(請求記録!$B$6:$B$3005,$A248,請求記録!$Z$6:$Z$3005,O$5)=0,"",SUMIFS(請求記録!$AE$6:$AE$3005,請求記録!$B$6:$B$3005,$A248,請求記録!$Z$6:$Z$3005,O$5))))</f>
        <v/>
      </c>
      <c r="P248" s="19">
        <f>IF($A248="","",IF(COUNTIFS(請求記録!$B$6:$B$3005,$A248,請求記録!$Z$6:$Z$3005,P$5,請求記録!$AF$6:$AF$3005,"保留中")&gt;0,"保留",IF(COUNTIFS(請求記録!$B$6:$B$3005,$A248,請求記録!$Z$6:$Z$3005,P$5)=0,"",SUMIFS(請求記録!$AE$6:$AE$3005,請求記録!$B$6:$B$3005,$A248,請求記録!$Z$6:$Z$3005,P$5))))</f>
        <v/>
      </c>
      <c r="Q248" s="19">
        <f>IF($A248="","",IF(COUNTIFS(請求記録!$B$6:$B$3005,$A248,請求記録!$Z$6:$Z$3005,Q$5,請求記録!$AF$6:$AF$3005,"保留中")&gt;0,"保留",IF(COUNTIFS(請求記録!$B$6:$B$3005,$A248,請求記録!$Z$6:$Z$3005,Q$5)=0,"",SUMIFS(請求記録!$AE$6:$AE$3005,請求記録!$B$6:$B$3005,$A248,請求記録!$Z$6:$Z$3005,Q$5))))</f>
        <v/>
      </c>
      <c r="R248" s="19">
        <f>IF($A248="","",IF(COUNTIFS(請求記録!$B$6:$B$3005,$A248,請求記録!$Z$6:$Z$3005,R$5,請求記録!$AF$6:$AF$3005,"保留中")&gt;0,"保留",IF(COUNTIFS(請求記録!$B$6:$B$3005,$A248,請求記録!$Z$6:$Z$3005,R$5)=0,"",SUMIFS(請求記録!$AE$6:$AE$3005,請求記録!$B$6:$B$3005,$A248,請求記録!$Z$6:$Z$3005,R$5))))</f>
        <v/>
      </c>
      <c r="S248" s="19">
        <f>IF($A248="","",IF(COUNTIFS(請求記録!$B$6:$B$3005,$A248,請求記録!$Z$6:$Z$3005,S$5,請求記録!$AF$6:$AF$3005,"保留中")&gt;0,"保留",IF(COUNTIFS(請求記録!$B$6:$B$3005,$A248,請求記録!$Z$6:$Z$3005,S$5)=0,"",SUMIFS(請求記録!$AE$6:$AE$3005,請求記録!$B$6:$B$3005,$A248,請求記録!$Z$6:$Z$3005,S$5))))</f>
        <v/>
      </c>
      <c r="T248" s="19">
        <f>IF($A248="","",IF(COUNTIFS(請求記録!$B$6:$B$3005,$A248,請求記録!$Z$6:$Z$3005,T$5,請求記録!$AF$6:$AF$3005,"保留中")&gt;0,"保留",IF(COUNTIFS(請求記録!$B$6:$B$3005,$A248,請求記録!$Z$6:$Z$3005,T$5)=0,"",SUMIFS(請求記録!$AE$6:$AE$3005,請求記録!$B$6:$B$3005,$A248,請求記録!$Z$6:$Z$3005,T$5))))</f>
        <v/>
      </c>
      <c r="U248" s="19">
        <f>IF($A248="","",IF(COUNTIFS(請求記録!$B$6:$B$3005,$A248,請求記録!$Z$6:$Z$3005,U$5,請求記録!$AF$6:$AF$3005,"保留中")&gt;0,"保留",IF(COUNTIFS(請求記録!$B$6:$B$3005,$A248,請求記録!$Z$6:$Z$3005,U$5)=0,"",SUMIFS(請求記録!$AE$6:$AE$3005,請求記録!$B$6:$B$3005,$A248,請求記録!$Z$6:$Z$3005,U$5))))</f>
        <v/>
      </c>
      <c r="V248" s="19">
        <f>IF($A248="","",IF(COUNTIFS(請求記録!$B$6:$B$3005,$A248,請求記録!$Z$6:$Z$3005,V$5,請求記録!$AF$6:$AF$3005,"保留中")&gt;0,"保留",IF(COUNTIFS(請求記録!$B$6:$B$3005,$A248,請求記録!$Z$6:$Z$3005,V$5)=0,"",SUMIFS(請求記録!$AE$6:$AE$3005,請求記録!$B$6:$B$3005,$A248,請求記録!$Z$6:$Z$3005,V$5))))</f>
        <v/>
      </c>
      <c r="W248" s="19">
        <f>IF($A248="","",IF(COUNTIFS(請求記録!$B$6:$B$3005,$A248,請求記録!$Z$6:$Z$3005,W$5,請求記録!$AF$6:$AF$3005,"保留中")&gt;0,"保留",IF(COUNTIFS(請求記録!$B$6:$B$3005,$A248,請求記録!$Z$6:$Z$3005,W$5)=0,"",SUMIFS(請求記録!$AE$6:$AE$3005,請求記録!$B$6:$B$3005,$A248,請求記録!$Z$6:$Z$3005,W$5))))</f>
        <v/>
      </c>
      <c r="X248" s="19">
        <f>IF($A248="","",IF(COUNTIFS(請求記録!$B$6:$B$3005,$A248,請求記録!$Z$6:$Z$3005,X$5,請求記録!$AF$6:$AF$3005,"保留中")&gt;0,"保留",IF(COUNTIFS(請求記録!$B$6:$B$3005,$A248,請求記録!$Z$6:$Z$3005,X$5)=0,"",SUMIFS(請求記録!$AE$6:$AE$3005,請求記録!$B$6:$B$3005,$A248,請求記録!$Z$6:$Z$3005,X$5))))</f>
        <v/>
      </c>
      <c r="Y248" s="19">
        <f>IF($A248="","",IF(COUNTIFS(請求記録!$B$6:$B$3005,$A248,請求記録!$Z$6:$Z$3005,Y$5,請求記録!$AF$6:$AF$3005,"保留中")&gt;0,"保留",IF(COUNTIFS(請求記録!$B$6:$B$3005,$A248,請求記録!$Z$6:$Z$3005,Y$5)=0,"",SUMIFS(請求記録!$AE$6:$AE$3005,請求記録!$B$6:$B$3005,$A248,請求記録!$Z$6:$Z$3005,Y$5))))</f>
        <v/>
      </c>
      <c r="Z248" s="19">
        <f>IF($A248="","",IF(COUNTIFS(請求記録!$B$6:$B$3005,$A248,請求記録!$Z$6:$Z$3005,Z$5,請求記録!$AF$6:$AF$3005,"保留中")&gt;0,"保留",IF(COUNTIFS(請求記録!$B$6:$B$3005,$A248,請求記録!$Z$6:$Z$3005,Z$5)=0,"",SUMIFS(請求記録!$AE$6:$AE$3005,請求記録!$B$6:$B$3005,$A248,請求記録!$Z$6:$Z$3005,Z$5))))</f>
        <v/>
      </c>
      <c r="AA248" s="19">
        <f>IF($A248="","",IF(COUNTIFS(請求記録!$B$6:$B$3005,$A248,請求記録!$Z$6:$Z$3005,AA$5,請求記録!$AF$6:$AF$3005,"保留中")&gt;0,"保留",IF(COUNTIFS(請求記録!$B$6:$B$3005,$A248,請求記録!$Z$6:$Z$3005,AA$5)=0,"",SUMIFS(請求記録!$AE$6:$AE$3005,請求記録!$B$6:$B$3005,$A248,請求記録!$Z$6:$Z$3005,AA$5))))</f>
        <v/>
      </c>
      <c r="AB248">
        <f>IF(職員マスタ!P248="保留中",職員マスタ!M248,"")</f>
        <v/>
      </c>
    </row>
    <row r="249">
      <c r="A249">
        <f>IF(職員マスタ!A249="","",職員マスタ!A249)</f>
        <v/>
      </c>
      <c r="B249">
        <f>IF($A249="","",職員マスタ!B249)</f>
        <v/>
      </c>
      <c r="C249">
        <f>IF($A249="","",職員マスタ!C249)</f>
        <v/>
      </c>
      <c r="D249" s="19">
        <f>IF($A249="","",IF(COUNTIFS(請求記録!$B$6:$B$3005,$A249,請求記録!$Z$6:$Z$3005,D$5,請求記録!$AF$6:$AF$3005,"保留中")&gt;0,"保留",IF(COUNTIFS(請求記録!$B$6:$B$3005,$A249,請求記録!$Z$6:$Z$3005,D$5)=0,"",SUMIFS(請求記録!$AE$6:$AE$3005,請求記録!$B$6:$B$3005,$A249,請求記録!$Z$6:$Z$3005,D$5))))</f>
        <v/>
      </c>
      <c r="E249" s="19">
        <f>IF($A249="","",IF(COUNTIFS(請求記録!$B$6:$B$3005,$A249,請求記録!$Z$6:$Z$3005,E$5,請求記録!$AF$6:$AF$3005,"保留中")&gt;0,"保留",IF(COUNTIFS(請求記録!$B$6:$B$3005,$A249,請求記録!$Z$6:$Z$3005,E$5)=0,"",SUMIFS(請求記録!$AE$6:$AE$3005,請求記録!$B$6:$B$3005,$A249,請求記録!$Z$6:$Z$3005,E$5))))</f>
        <v/>
      </c>
      <c r="F249" s="19">
        <f>IF($A249="","",IF(COUNTIFS(請求記録!$B$6:$B$3005,$A249,請求記録!$Z$6:$Z$3005,F$5,請求記録!$AF$6:$AF$3005,"保留中")&gt;0,"保留",IF(COUNTIFS(請求記録!$B$6:$B$3005,$A249,請求記録!$Z$6:$Z$3005,F$5)=0,"",SUMIFS(請求記録!$AE$6:$AE$3005,請求記録!$B$6:$B$3005,$A249,請求記録!$Z$6:$Z$3005,F$5))))</f>
        <v/>
      </c>
      <c r="G249" s="19">
        <f>IF($A249="","",IF(COUNTIFS(請求記録!$B$6:$B$3005,$A249,請求記録!$Z$6:$Z$3005,G$5,請求記録!$AF$6:$AF$3005,"保留中")&gt;0,"保留",IF(COUNTIFS(請求記録!$B$6:$B$3005,$A249,請求記録!$Z$6:$Z$3005,G$5)=0,"",SUMIFS(請求記録!$AE$6:$AE$3005,請求記録!$B$6:$B$3005,$A249,請求記録!$Z$6:$Z$3005,G$5))))</f>
        <v/>
      </c>
      <c r="H249" s="19">
        <f>IF($A249="","",IF(COUNTIFS(請求記録!$B$6:$B$3005,$A249,請求記録!$Z$6:$Z$3005,H$5,請求記録!$AF$6:$AF$3005,"保留中")&gt;0,"保留",IF(COUNTIFS(請求記録!$B$6:$B$3005,$A249,請求記録!$Z$6:$Z$3005,H$5)=0,"",SUMIFS(請求記録!$AE$6:$AE$3005,請求記録!$B$6:$B$3005,$A249,請求記録!$Z$6:$Z$3005,H$5))))</f>
        <v/>
      </c>
      <c r="I249" s="19">
        <f>IF($A249="","",IF(COUNTIFS(請求記録!$B$6:$B$3005,$A249,請求記録!$Z$6:$Z$3005,I$5,請求記録!$AF$6:$AF$3005,"保留中")&gt;0,"保留",IF(COUNTIFS(請求記録!$B$6:$B$3005,$A249,請求記録!$Z$6:$Z$3005,I$5)=0,"",SUMIFS(請求記録!$AE$6:$AE$3005,請求記録!$B$6:$B$3005,$A249,請求記録!$Z$6:$Z$3005,I$5))))</f>
        <v/>
      </c>
      <c r="J249" s="19">
        <f>IF($A249="","",IF(COUNTIFS(請求記録!$B$6:$B$3005,$A249,請求記録!$Z$6:$Z$3005,J$5,請求記録!$AF$6:$AF$3005,"保留中")&gt;0,"保留",IF(COUNTIFS(請求記録!$B$6:$B$3005,$A249,請求記録!$Z$6:$Z$3005,J$5)=0,"",SUMIFS(請求記録!$AE$6:$AE$3005,請求記録!$B$6:$B$3005,$A249,請求記録!$Z$6:$Z$3005,J$5))))</f>
        <v/>
      </c>
      <c r="K249" s="19">
        <f>IF($A249="","",IF(COUNTIFS(請求記録!$B$6:$B$3005,$A249,請求記録!$Z$6:$Z$3005,K$5,請求記録!$AF$6:$AF$3005,"保留中")&gt;0,"保留",IF(COUNTIFS(請求記録!$B$6:$B$3005,$A249,請求記録!$Z$6:$Z$3005,K$5)=0,"",SUMIFS(請求記録!$AE$6:$AE$3005,請求記録!$B$6:$B$3005,$A249,請求記録!$Z$6:$Z$3005,K$5))))</f>
        <v/>
      </c>
      <c r="L249" s="19">
        <f>IF($A249="","",IF(COUNTIFS(請求記録!$B$6:$B$3005,$A249,請求記録!$Z$6:$Z$3005,L$5,請求記録!$AF$6:$AF$3005,"保留中")&gt;0,"保留",IF(COUNTIFS(請求記録!$B$6:$B$3005,$A249,請求記録!$Z$6:$Z$3005,L$5)=0,"",SUMIFS(請求記録!$AE$6:$AE$3005,請求記録!$B$6:$B$3005,$A249,請求記録!$Z$6:$Z$3005,L$5))))</f>
        <v/>
      </c>
      <c r="M249" s="19">
        <f>IF($A249="","",IF(COUNTIFS(請求記録!$B$6:$B$3005,$A249,請求記録!$Z$6:$Z$3005,M$5,請求記録!$AF$6:$AF$3005,"保留中")&gt;0,"保留",IF(COUNTIFS(請求記録!$B$6:$B$3005,$A249,請求記録!$Z$6:$Z$3005,M$5)=0,"",SUMIFS(請求記録!$AE$6:$AE$3005,請求記録!$B$6:$B$3005,$A249,請求記録!$Z$6:$Z$3005,M$5))))</f>
        <v/>
      </c>
      <c r="N249" s="19">
        <f>IF($A249="","",IF(COUNTIFS(請求記録!$B$6:$B$3005,$A249,請求記録!$Z$6:$Z$3005,N$5,請求記録!$AF$6:$AF$3005,"保留中")&gt;0,"保留",IF(COUNTIFS(請求記録!$B$6:$B$3005,$A249,請求記録!$Z$6:$Z$3005,N$5)=0,"",SUMIFS(請求記録!$AE$6:$AE$3005,請求記録!$B$6:$B$3005,$A249,請求記録!$Z$6:$Z$3005,N$5))))</f>
        <v/>
      </c>
      <c r="O249" s="19">
        <f>IF($A249="","",IF(COUNTIFS(請求記録!$B$6:$B$3005,$A249,請求記録!$Z$6:$Z$3005,O$5,請求記録!$AF$6:$AF$3005,"保留中")&gt;0,"保留",IF(COUNTIFS(請求記録!$B$6:$B$3005,$A249,請求記録!$Z$6:$Z$3005,O$5)=0,"",SUMIFS(請求記録!$AE$6:$AE$3005,請求記録!$B$6:$B$3005,$A249,請求記録!$Z$6:$Z$3005,O$5))))</f>
        <v/>
      </c>
      <c r="P249" s="19">
        <f>IF($A249="","",IF(COUNTIFS(請求記録!$B$6:$B$3005,$A249,請求記録!$Z$6:$Z$3005,P$5,請求記録!$AF$6:$AF$3005,"保留中")&gt;0,"保留",IF(COUNTIFS(請求記録!$B$6:$B$3005,$A249,請求記録!$Z$6:$Z$3005,P$5)=0,"",SUMIFS(請求記録!$AE$6:$AE$3005,請求記録!$B$6:$B$3005,$A249,請求記録!$Z$6:$Z$3005,P$5))))</f>
        <v/>
      </c>
      <c r="Q249" s="19">
        <f>IF($A249="","",IF(COUNTIFS(請求記録!$B$6:$B$3005,$A249,請求記録!$Z$6:$Z$3005,Q$5,請求記録!$AF$6:$AF$3005,"保留中")&gt;0,"保留",IF(COUNTIFS(請求記録!$B$6:$B$3005,$A249,請求記録!$Z$6:$Z$3005,Q$5)=0,"",SUMIFS(請求記録!$AE$6:$AE$3005,請求記録!$B$6:$B$3005,$A249,請求記録!$Z$6:$Z$3005,Q$5))))</f>
        <v/>
      </c>
      <c r="R249" s="19">
        <f>IF($A249="","",IF(COUNTIFS(請求記録!$B$6:$B$3005,$A249,請求記録!$Z$6:$Z$3005,R$5,請求記録!$AF$6:$AF$3005,"保留中")&gt;0,"保留",IF(COUNTIFS(請求記録!$B$6:$B$3005,$A249,請求記録!$Z$6:$Z$3005,R$5)=0,"",SUMIFS(請求記録!$AE$6:$AE$3005,請求記録!$B$6:$B$3005,$A249,請求記録!$Z$6:$Z$3005,R$5))))</f>
        <v/>
      </c>
      <c r="S249" s="19">
        <f>IF($A249="","",IF(COUNTIFS(請求記録!$B$6:$B$3005,$A249,請求記録!$Z$6:$Z$3005,S$5,請求記録!$AF$6:$AF$3005,"保留中")&gt;0,"保留",IF(COUNTIFS(請求記録!$B$6:$B$3005,$A249,請求記録!$Z$6:$Z$3005,S$5)=0,"",SUMIFS(請求記録!$AE$6:$AE$3005,請求記録!$B$6:$B$3005,$A249,請求記録!$Z$6:$Z$3005,S$5))))</f>
        <v/>
      </c>
      <c r="T249" s="19">
        <f>IF($A249="","",IF(COUNTIFS(請求記録!$B$6:$B$3005,$A249,請求記録!$Z$6:$Z$3005,T$5,請求記録!$AF$6:$AF$3005,"保留中")&gt;0,"保留",IF(COUNTIFS(請求記録!$B$6:$B$3005,$A249,請求記録!$Z$6:$Z$3005,T$5)=0,"",SUMIFS(請求記録!$AE$6:$AE$3005,請求記録!$B$6:$B$3005,$A249,請求記録!$Z$6:$Z$3005,T$5))))</f>
        <v/>
      </c>
      <c r="U249" s="19">
        <f>IF($A249="","",IF(COUNTIFS(請求記録!$B$6:$B$3005,$A249,請求記録!$Z$6:$Z$3005,U$5,請求記録!$AF$6:$AF$3005,"保留中")&gt;0,"保留",IF(COUNTIFS(請求記録!$B$6:$B$3005,$A249,請求記録!$Z$6:$Z$3005,U$5)=0,"",SUMIFS(請求記録!$AE$6:$AE$3005,請求記録!$B$6:$B$3005,$A249,請求記録!$Z$6:$Z$3005,U$5))))</f>
        <v/>
      </c>
      <c r="V249" s="19">
        <f>IF($A249="","",IF(COUNTIFS(請求記録!$B$6:$B$3005,$A249,請求記録!$Z$6:$Z$3005,V$5,請求記録!$AF$6:$AF$3005,"保留中")&gt;0,"保留",IF(COUNTIFS(請求記録!$B$6:$B$3005,$A249,請求記録!$Z$6:$Z$3005,V$5)=0,"",SUMIFS(請求記録!$AE$6:$AE$3005,請求記録!$B$6:$B$3005,$A249,請求記録!$Z$6:$Z$3005,V$5))))</f>
        <v/>
      </c>
      <c r="W249" s="19">
        <f>IF($A249="","",IF(COUNTIFS(請求記録!$B$6:$B$3005,$A249,請求記録!$Z$6:$Z$3005,W$5,請求記録!$AF$6:$AF$3005,"保留中")&gt;0,"保留",IF(COUNTIFS(請求記録!$B$6:$B$3005,$A249,請求記録!$Z$6:$Z$3005,W$5)=0,"",SUMIFS(請求記録!$AE$6:$AE$3005,請求記録!$B$6:$B$3005,$A249,請求記録!$Z$6:$Z$3005,W$5))))</f>
        <v/>
      </c>
      <c r="X249" s="19">
        <f>IF($A249="","",IF(COUNTIFS(請求記録!$B$6:$B$3005,$A249,請求記録!$Z$6:$Z$3005,X$5,請求記録!$AF$6:$AF$3005,"保留中")&gt;0,"保留",IF(COUNTIFS(請求記録!$B$6:$B$3005,$A249,請求記録!$Z$6:$Z$3005,X$5)=0,"",SUMIFS(請求記録!$AE$6:$AE$3005,請求記録!$B$6:$B$3005,$A249,請求記録!$Z$6:$Z$3005,X$5))))</f>
        <v/>
      </c>
      <c r="Y249" s="19">
        <f>IF($A249="","",IF(COUNTIFS(請求記録!$B$6:$B$3005,$A249,請求記録!$Z$6:$Z$3005,Y$5,請求記録!$AF$6:$AF$3005,"保留中")&gt;0,"保留",IF(COUNTIFS(請求記録!$B$6:$B$3005,$A249,請求記録!$Z$6:$Z$3005,Y$5)=0,"",SUMIFS(請求記録!$AE$6:$AE$3005,請求記録!$B$6:$B$3005,$A249,請求記録!$Z$6:$Z$3005,Y$5))))</f>
        <v/>
      </c>
      <c r="Z249" s="19">
        <f>IF($A249="","",IF(COUNTIFS(請求記録!$B$6:$B$3005,$A249,請求記録!$Z$6:$Z$3005,Z$5,請求記録!$AF$6:$AF$3005,"保留中")&gt;0,"保留",IF(COUNTIFS(請求記録!$B$6:$B$3005,$A249,請求記録!$Z$6:$Z$3005,Z$5)=0,"",SUMIFS(請求記録!$AE$6:$AE$3005,請求記録!$B$6:$B$3005,$A249,請求記録!$Z$6:$Z$3005,Z$5))))</f>
        <v/>
      </c>
      <c r="AA249" s="19">
        <f>IF($A249="","",IF(COUNTIFS(請求記録!$B$6:$B$3005,$A249,請求記録!$Z$6:$Z$3005,AA$5,請求記録!$AF$6:$AF$3005,"保留中")&gt;0,"保留",IF(COUNTIFS(請求記録!$B$6:$B$3005,$A249,請求記録!$Z$6:$Z$3005,AA$5)=0,"",SUMIFS(請求記録!$AE$6:$AE$3005,請求記録!$B$6:$B$3005,$A249,請求記録!$Z$6:$Z$3005,AA$5))))</f>
        <v/>
      </c>
      <c r="AB249">
        <f>IF(職員マスタ!P249="保留中",職員マスタ!M249,"")</f>
        <v/>
      </c>
    </row>
    <row r="250">
      <c r="A250">
        <f>IF(職員マスタ!A250="","",職員マスタ!A250)</f>
        <v/>
      </c>
      <c r="B250">
        <f>IF($A250="","",職員マスタ!B250)</f>
        <v/>
      </c>
      <c r="C250">
        <f>IF($A250="","",職員マスタ!C250)</f>
        <v/>
      </c>
      <c r="D250" s="19">
        <f>IF($A250="","",IF(COUNTIFS(請求記録!$B$6:$B$3005,$A250,請求記録!$Z$6:$Z$3005,D$5,請求記録!$AF$6:$AF$3005,"保留中")&gt;0,"保留",IF(COUNTIFS(請求記録!$B$6:$B$3005,$A250,請求記録!$Z$6:$Z$3005,D$5)=0,"",SUMIFS(請求記録!$AE$6:$AE$3005,請求記録!$B$6:$B$3005,$A250,請求記録!$Z$6:$Z$3005,D$5))))</f>
        <v/>
      </c>
      <c r="E250" s="19">
        <f>IF($A250="","",IF(COUNTIFS(請求記録!$B$6:$B$3005,$A250,請求記録!$Z$6:$Z$3005,E$5,請求記録!$AF$6:$AF$3005,"保留中")&gt;0,"保留",IF(COUNTIFS(請求記録!$B$6:$B$3005,$A250,請求記録!$Z$6:$Z$3005,E$5)=0,"",SUMIFS(請求記録!$AE$6:$AE$3005,請求記録!$B$6:$B$3005,$A250,請求記録!$Z$6:$Z$3005,E$5))))</f>
        <v/>
      </c>
      <c r="F250" s="19">
        <f>IF($A250="","",IF(COUNTIFS(請求記録!$B$6:$B$3005,$A250,請求記録!$Z$6:$Z$3005,F$5,請求記録!$AF$6:$AF$3005,"保留中")&gt;0,"保留",IF(COUNTIFS(請求記録!$B$6:$B$3005,$A250,請求記録!$Z$6:$Z$3005,F$5)=0,"",SUMIFS(請求記録!$AE$6:$AE$3005,請求記録!$B$6:$B$3005,$A250,請求記録!$Z$6:$Z$3005,F$5))))</f>
        <v/>
      </c>
      <c r="G250" s="19">
        <f>IF($A250="","",IF(COUNTIFS(請求記録!$B$6:$B$3005,$A250,請求記録!$Z$6:$Z$3005,G$5,請求記録!$AF$6:$AF$3005,"保留中")&gt;0,"保留",IF(COUNTIFS(請求記録!$B$6:$B$3005,$A250,請求記録!$Z$6:$Z$3005,G$5)=0,"",SUMIFS(請求記録!$AE$6:$AE$3005,請求記録!$B$6:$B$3005,$A250,請求記録!$Z$6:$Z$3005,G$5))))</f>
        <v/>
      </c>
      <c r="H250" s="19">
        <f>IF($A250="","",IF(COUNTIFS(請求記録!$B$6:$B$3005,$A250,請求記録!$Z$6:$Z$3005,H$5,請求記録!$AF$6:$AF$3005,"保留中")&gt;0,"保留",IF(COUNTIFS(請求記録!$B$6:$B$3005,$A250,請求記録!$Z$6:$Z$3005,H$5)=0,"",SUMIFS(請求記録!$AE$6:$AE$3005,請求記録!$B$6:$B$3005,$A250,請求記録!$Z$6:$Z$3005,H$5))))</f>
        <v/>
      </c>
      <c r="I250" s="19">
        <f>IF($A250="","",IF(COUNTIFS(請求記録!$B$6:$B$3005,$A250,請求記録!$Z$6:$Z$3005,I$5,請求記録!$AF$6:$AF$3005,"保留中")&gt;0,"保留",IF(COUNTIFS(請求記録!$B$6:$B$3005,$A250,請求記録!$Z$6:$Z$3005,I$5)=0,"",SUMIFS(請求記録!$AE$6:$AE$3005,請求記録!$B$6:$B$3005,$A250,請求記録!$Z$6:$Z$3005,I$5))))</f>
        <v/>
      </c>
      <c r="J250" s="19">
        <f>IF($A250="","",IF(COUNTIFS(請求記録!$B$6:$B$3005,$A250,請求記録!$Z$6:$Z$3005,J$5,請求記録!$AF$6:$AF$3005,"保留中")&gt;0,"保留",IF(COUNTIFS(請求記録!$B$6:$B$3005,$A250,請求記録!$Z$6:$Z$3005,J$5)=0,"",SUMIFS(請求記録!$AE$6:$AE$3005,請求記録!$B$6:$B$3005,$A250,請求記録!$Z$6:$Z$3005,J$5))))</f>
        <v/>
      </c>
      <c r="K250" s="19">
        <f>IF($A250="","",IF(COUNTIFS(請求記録!$B$6:$B$3005,$A250,請求記録!$Z$6:$Z$3005,K$5,請求記録!$AF$6:$AF$3005,"保留中")&gt;0,"保留",IF(COUNTIFS(請求記録!$B$6:$B$3005,$A250,請求記録!$Z$6:$Z$3005,K$5)=0,"",SUMIFS(請求記録!$AE$6:$AE$3005,請求記録!$B$6:$B$3005,$A250,請求記録!$Z$6:$Z$3005,K$5))))</f>
        <v/>
      </c>
      <c r="L250" s="19">
        <f>IF($A250="","",IF(COUNTIFS(請求記録!$B$6:$B$3005,$A250,請求記録!$Z$6:$Z$3005,L$5,請求記録!$AF$6:$AF$3005,"保留中")&gt;0,"保留",IF(COUNTIFS(請求記録!$B$6:$B$3005,$A250,請求記録!$Z$6:$Z$3005,L$5)=0,"",SUMIFS(請求記録!$AE$6:$AE$3005,請求記録!$B$6:$B$3005,$A250,請求記録!$Z$6:$Z$3005,L$5))))</f>
        <v/>
      </c>
      <c r="M250" s="19">
        <f>IF($A250="","",IF(COUNTIFS(請求記録!$B$6:$B$3005,$A250,請求記録!$Z$6:$Z$3005,M$5,請求記録!$AF$6:$AF$3005,"保留中")&gt;0,"保留",IF(COUNTIFS(請求記録!$B$6:$B$3005,$A250,請求記録!$Z$6:$Z$3005,M$5)=0,"",SUMIFS(請求記録!$AE$6:$AE$3005,請求記録!$B$6:$B$3005,$A250,請求記録!$Z$6:$Z$3005,M$5))))</f>
        <v/>
      </c>
      <c r="N250" s="19">
        <f>IF($A250="","",IF(COUNTIFS(請求記録!$B$6:$B$3005,$A250,請求記録!$Z$6:$Z$3005,N$5,請求記録!$AF$6:$AF$3005,"保留中")&gt;0,"保留",IF(COUNTIFS(請求記録!$B$6:$B$3005,$A250,請求記録!$Z$6:$Z$3005,N$5)=0,"",SUMIFS(請求記録!$AE$6:$AE$3005,請求記録!$B$6:$B$3005,$A250,請求記録!$Z$6:$Z$3005,N$5))))</f>
        <v/>
      </c>
      <c r="O250" s="19">
        <f>IF($A250="","",IF(COUNTIFS(請求記録!$B$6:$B$3005,$A250,請求記録!$Z$6:$Z$3005,O$5,請求記録!$AF$6:$AF$3005,"保留中")&gt;0,"保留",IF(COUNTIFS(請求記録!$B$6:$B$3005,$A250,請求記録!$Z$6:$Z$3005,O$5)=0,"",SUMIFS(請求記録!$AE$6:$AE$3005,請求記録!$B$6:$B$3005,$A250,請求記録!$Z$6:$Z$3005,O$5))))</f>
        <v/>
      </c>
      <c r="P250" s="19">
        <f>IF($A250="","",IF(COUNTIFS(請求記録!$B$6:$B$3005,$A250,請求記録!$Z$6:$Z$3005,P$5,請求記録!$AF$6:$AF$3005,"保留中")&gt;0,"保留",IF(COUNTIFS(請求記録!$B$6:$B$3005,$A250,請求記録!$Z$6:$Z$3005,P$5)=0,"",SUMIFS(請求記録!$AE$6:$AE$3005,請求記録!$B$6:$B$3005,$A250,請求記録!$Z$6:$Z$3005,P$5))))</f>
        <v/>
      </c>
      <c r="Q250" s="19">
        <f>IF($A250="","",IF(COUNTIFS(請求記録!$B$6:$B$3005,$A250,請求記録!$Z$6:$Z$3005,Q$5,請求記録!$AF$6:$AF$3005,"保留中")&gt;0,"保留",IF(COUNTIFS(請求記録!$B$6:$B$3005,$A250,請求記録!$Z$6:$Z$3005,Q$5)=0,"",SUMIFS(請求記録!$AE$6:$AE$3005,請求記録!$B$6:$B$3005,$A250,請求記録!$Z$6:$Z$3005,Q$5))))</f>
        <v/>
      </c>
      <c r="R250" s="19">
        <f>IF($A250="","",IF(COUNTIFS(請求記録!$B$6:$B$3005,$A250,請求記録!$Z$6:$Z$3005,R$5,請求記録!$AF$6:$AF$3005,"保留中")&gt;0,"保留",IF(COUNTIFS(請求記録!$B$6:$B$3005,$A250,請求記録!$Z$6:$Z$3005,R$5)=0,"",SUMIFS(請求記録!$AE$6:$AE$3005,請求記録!$B$6:$B$3005,$A250,請求記録!$Z$6:$Z$3005,R$5))))</f>
        <v/>
      </c>
      <c r="S250" s="19">
        <f>IF($A250="","",IF(COUNTIFS(請求記録!$B$6:$B$3005,$A250,請求記録!$Z$6:$Z$3005,S$5,請求記録!$AF$6:$AF$3005,"保留中")&gt;0,"保留",IF(COUNTIFS(請求記録!$B$6:$B$3005,$A250,請求記録!$Z$6:$Z$3005,S$5)=0,"",SUMIFS(請求記録!$AE$6:$AE$3005,請求記録!$B$6:$B$3005,$A250,請求記録!$Z$6:$Z$3005,S$5))))</f>
        <v/>
      </c>
      <c r="T250" s="19">
        <f>IF($A250="","",IF(COUNTIFS(請求記録!$B$6:$B$3005,$A250,請求記録!$Z$6:$Z$3005,T$5,請求記録!$AF$6:$AF$3005,"保留中")&gt;0,"保留",IF(COUNTIFS(請求記録!$B$6:$B$3005,$A250,請求記録!$Z$6:$Z$3005,T$5)=0,"",SUMIFS(請求記録!$AE$6:$AE$3005,請求記録!$B$6:$B$3005,$A250,請求記録!$Z$6:$Z$3005,T$5))))</f>
        <v/>
      </c>
      <c r="U250" s="19">
        <f>IF($A250="","",IF(COUNTIFS(請求記録!$B$6:$B$3005,$A250,請求記録!$Z$6:$Z$3005,U$5,請求記録!$AF$6:$AF$3005,"保留中")&gt;0,"保留",IF(COUNTIFS(請求記録!$B$6:$B$3005,$A250,請求記録!$Z$6:$Z$3005,U$5)=0,"",SUMIFS(請求記録!$AE$6:$AE$3005,請求記録!$B$6:$B$3005,$A250,請求記録!$Z$6:$Z$3005,U$5))))</f>
        <v/>
      </c>
      <c r="V250" s="19">
        <f>IF($A250="","",IF(COUNTIFS(請求記録!$B$6:$B$3005,$A250,請求記録!$Z$6:$Z$3005,V$5,請求記録!$AF$6:$AF$3005,"保留中")&gt;0,"保留",IF(COUNTIFS(請求記録!$B$6:$B$3005,$A250,請求記録!$Z$6:$Z$3005,V$5)=0,"",SUMIFS(請求記録!$AE$6:$AE$3005,請求記録!$B$6:$B$3005,$A250,請求記録!$Z$6:$Z$3005,V$5))))</f>
        <v/>
      </c>
      <c r="W250" s="19">
        <f>IF($A250="","",IF(COUNTIFS(請求記録!$B$6:$B$3005,$A250,請求記録!$Z$6:$Z$3005,W$5,請求記録!$AF$6:$AF$3005,"保留中")&gt;0,"保留",IF(COUNTIFS(請求記録!$B$6:$B$3005,$A250,請求記録!$Z$6:$Z$3005,W$5)=0,"",SUMIFS(請求記録!$AE$6:$AE$3005,請求記録!$B$6:$B$3005,$A250,請求記録!$Z$6:$Z$3005,W$5))))</f>
        <v/>
      </c>
      <c r="X250" s="19">
        <f>IF($A250="","",IF(COUNTIFS(請求記録!$B$6:$B$3005,$A250,請求記録!$Z$6:$Z$3005,X$5,請求記録!$AF$6:$AF$3005,"保留中")&gt;0,"保留",IF(COUNTIFS(請求記録!$B$6:$B$3005,$A250,請求記録!$Z$6:$Z$3005,X$5)=0,"",SUMIFS(請求記録!$AE$6:$AE$3005,請求記録!$B$6:$B$3005,$A250,請求記録!$Z$6:$Z$3005,X$5))))</f>
        <v/>
      </c>
      <c r="Y250" s="19">
        <f>IF($A250="","",IF(COUNTIFS(請求記録!$B$6:$B$3005,$A250,請求記録!$Z$6:$Z$3005,Y$5,請求記録!$AF$6:$AF$3005,"保留中")&gt;0,"保留",IF(COUNTIFS(請求記録!$B$6:$B$3005,$A250,請求記録!$Z$6:$Z$3005,Y$5)=0,"",SUMIFS(請求記録!$AE$6:$AE$3005,請求記録!$B$6:$B$3005,$A250,請求記録!$Z$6:$Z$3005,Y$5))))</f>
        <v/>
      </c>
      <c r="Z250" s="19">
        <f>IF($A250="","",IF(COUNTIFS(請求記録!$B$6:$B$3005,$A250,請求記録!$Z$6:$Z$3005,Z$5,請求記録!$AF$6:$AF$3005,"保留中")&gt;0,"保留",IF(COUNTIFS(請求記録!$B$6:$B$3005,$A250,請求記録!$Z$6:$Z$3005,Z$5)=0,"",SUMIFS(請求記録!$AE$6:$AE$3005,請求記録!$B$6:$B$3005,$A250,請求記録!$Z$6:$Z$3005,Z$5))))</f>
        <v/>
      </c>
      <c r="AA250" s="19">
        <f>IF($A250="","",IF(COUNTIFS(請求記録!$B$6:$B$3005,$A250,請求記録!$Z$6:$Z$3005,AA$5,請求記録!$AF$6:$AF$3005,"保留中")&gt;0,"保留",IF(COUNTIFS(請求記録!$B$6:$B$3005,$A250,請求記録!$Z$6:$Z$3005,AA$5)=0,"",SUMIFS(請求記録!$AE$6:$AE$3005,請求記録!$B$6:$B$3005,$A250,請求記録!$Z$6:$Z$3005,AA$5))))</f>
        <v/>
      </c>
      <c r="AB250">
        <f>IF(職員マスタ!P250="保留中",職員マスタ!M250,"")</f>
        <v/>
      </c>
    </row>
    <row r="251">
      <c r="A251">
        <f>IF(職員マスタ!A251="","",職員マスタ!A251)</f>
        <v/>
      </c>
      <c r="B251">
        <f>IF($A251="","",職員マスタ!B251)</f>
        <v/>
      </c>
      <c r="C251">
        <f>IF($A251="","",職員マスタ!C251)</f>
        <v/>
      </c>
      <c r="D251" s="19">
        <f>IF($A251="","",IF(COUNTIFS(請求記録!$B$6:$B$3005,$A251,請求記録!$Z$6:$Z$3005,D$5,請求記録!$AF$6:$AF$3005,"保留中")&gt;0,"保留",IF(COUNTIFS(請求記録!$B$6:$B$3005,$A251,請求記録!$Z$6:$Z$3005,D$5)=0,"",SUMIFS(請求記録!$AE$6:$AE$3005,請求記録!$B$6:$B$3005,$A251,請求記録!$Z$6:$Z$3005,D$5))))</f>
        <v/>
      </c>
      <c r="E251" s="19">
        <f>IF($A251="","",IF(COUNTIFS(請求記録!$B$6:$B$3005,$A251,請求記録!$Z$6:$Z$3005,E$5,請求記録!$AF$6:$AF$3005,"保留中")&gt;0,"保留",IF(COUNTIFS(請求記録!$B$6:$B$3005,$A251,請求記録!$Z$6:$Z$3005,E$5)=0,"",SUMIFS(請求記録!$AE$6:$AE$3005,請求記録!$B$6:$B$3005,$A251,請求記録!$Z$6:$Z$3005,E$5))))</f>
        <v/>
      </c>
      <c r="F251" s="19">
        <f>IF($A251="","",IF(COUNTIFS(請求記録!$B$6:$B$3005,$A251,請求記録!$Z$6:$Z$3005,F$5,請求記録!$AF$6:$AF$3005,"保留中")&gt;0,"保留",IF(COUNTIFS(請求記録!$B$6:$B$3005,$A251,請求記録!$Z$6:$Z$3005,F$5)=0,"",SUMIFS(請求記録!$AE$6:$AE$3005,請求記録!$B$6:$B$3005,$A251,請求記録!$Z$6:$Z$3005,F$5))))</f>
        <v/>
      </c>
      <c r="G251" s="19">
        <f>IF($A251="","",IF(COUNTIFS(請求記録!$B$6:$B$3005,$A251,請求記録!$Z$6:$Z$3005,G$5,請求記録!$AF$6:$AF$3005,"保留中")&gt;0,"保留",IF(COUNTIFS(請求記録!$B$6:$B$3005,$A251,請求記録!$Z$6:$Z$3005,G$5)=0,"",SUMIFS(請求記録!$AE$6:$AE$3005,請求記録!$B$6:$B$3005,$A251,請求記録!$Z$6:$Z$3005,G$5))))</f>
        <v/>
      </c>
      <c r="H251" s="19">
        <f>IF($A251="","",IF(COUNTIFS(請求記録!$B$6:$B$3005,$A251,請求記録!$Z$6:$Z$3005,H$5,請求記録!$AF$6:$AF$3005,"保留中")&gt;0,"保留",IF(COUNTIFS(請求記録!$B$6:$B$3005,$A251,請求記録!$Z$6:$Z$3005,H$5)=0,"",SUMIFS(請求記録!$AE$6:$AE$3005,請求記録!$B$6:$B$3005,$A251,請求記録!$Z$6:$Z$3005,H$5))))</f>
        <v/>
      </c>
      <c r="I251" s="19">
        <f>IF($A251="","",IF(COUNTIFS(請求記録!$B$6:$B$3005,$A251,請求記録!$Z$6:$Z$3005,I$5,請求記録!$AF$6:$AF$3005,"保留中")&gt;0,"保留",IF(COUNTIFS(請求記録!$B$6:$B$3005,$A251,請求記録!$Z$6:$Z$3005,I$5)=0,"",SUMIFS(請求記録!$AE$6:$AE$3005,請求記録!$B$6:$B$3005,$A251,請求記録!$Z$6:$Z$3005,I$5))))</f>
        <v/>
      </c>
      <c r="J251" s="19">
        <f>IF($A251="","",IF(COUNTIFS(請求記録!$B$6:$B$3005,$A251,請求記録!$Z$6:$Z$3005,J$5,請求記録!$AF$6:$AF$3005,"保留中")&gt;0,"保留",IF(COUNTIFS(請求記録!$B$6:$B$3005,$A251,請求記録!$Z$6:$Z$3005,J$5)=0,"",SUMIFS(請求記録!$AE$6:$AE$3005,請求記録!$B$6:$B$3005,$A251,請求記録!$Z$6:$Z$3005,J$5))))</f>
        <v/>
      </c>
      <c r="K251" s="19">
        <f>IF($A251="","",IF(COUNTIFS(請求記録!$B$6:$B$3005,$A251,請求記録!$Z$6:$Z$3005,K$5,請求記録!$AF$6:$AF$3005,"保留中")&gt;0,"保留",IF(COUNTIFS(請求記録!$B$6:$B$3005,$A251,請求記録!$Z$6:$Z$3005,K$5)=0,"",SUMIFS(請求記録!$AE$6:$AE$3005,請求記録!$B$6:$B$3005,$A251,請求記録!$Z$6:$Z$3005,K$5))))</f>
        <v/>
      </c>
      <c r="L251" s="19">
        <f>IF($A251="","",IF(COUNTIFS(請求記録!$B$6:$B$3005,$A251,請求記録!$Z$6:$Z$3005,L$5,請求記録!$AF$6:$AF$3005,"保留中")&gt;0,"保留",IF(COUNTIFS(請求記録!$B$6:$B$3005,$A251,請求記録!$Z$6:$Z$3005,L$5)=0,"",SUMIFS(請求記録!$AE$6:$AE$3005,請求記録!$B$6:$B$3005,$A251,請求記録!$Z$6:$Z$3005,L$5))))</f>
        <v/>
      </c>
      <c r="M251" s="19">
        <f>IF($A251="","",IF(COUNTIFS(請求記録!$B$6:$B$3005,$A251,請求記録!$Z$6:$Z$3005,M$5,請求記録!$AF$6:$AF$3005,"保留中")&gt;0,"保留",IF(COUNTIFS(請求記録!$B$6:$B$3005,$A251,請求記録!$Z$6:$Z$3005,M$5)=0,"",SUMIFS(請求記録!$AE$6:$AE$3005,請求記録!$B$6:$B$3005,$A251,請求記録!$Z$6:$Z$3005,M$5))))</f>
        <v/>
      </c>
      <c r="N251" s="19">
        <f>IF($A251="","",IF(COUNTIFS(請求記録!$B$6:$B$3005,$A251,請求記録!$Z$6:$Z$3005,N$5,請求記録!$AF$6:$AF$3005,"保留中")&gt;0,"保留",IF(COUNTIFS(請求記録!$B$6:$B$3005,$A251,請求記録!$Z$6:$Z$3005,N$5)=0,"",SUMIFS(請求記録!$AE$6:$AE$3005,請求記録!$B$6:$B$3005,$A251,請求記録!$Z$6:$Z$3005,N$5))))</f>
        <v/>
      </c>
      <c r="O251" s="19">
        <f>IF($A251="","",IF(COUNTIFS(請求記録!$B$6:$B$3005,$A251,請求記録!$Z$6:$Z$3005,O$5,請求記録!$AF$6:$AF$3005,"保留中")&gt;0,"保留",IF(COUNTIFS(請求記録!$B$6:$B$3005,$A251,請求記録!$Z$6:$Z$3005,O$5)=0,"",SUMIFS(請求記録!$AE$6:$AE$3005,請求記録!$B$6:$B$3005,$A251,請求記録!$Z$6:$Z$3005,O$5))))</f>
        <v/>
      </c>
      <c r="P251" s="19">
        <f>IF($A251="","",IF(COUNTIFS(請求記録!$B$6:$B$3005,$A251,請求記録!$Z$6:$Z$3005,P$5,請求記録!$AF$6:$AF$3005,"保留中")&gt;0,"保留",IF(COUNTIFS(請求記録!$B$6:$B$3005,$A251,請求記録!$Z$6:$Z$3005,P$5)=0,"",SUMIFS(請求記録!$AE$6:$AE$3005,請求記録!$B$6:$B$3005,$A251,請求記録!$Z$6:$Z$3005,P$5))))</f>
        <v/>
      </c>
      <c r="Q251" s="19">
        <f>IF($A251="","",IF(COUNTIFS(請求記録!$B$6:$B$3005,$A251,請求記録!$Z$6:$Z$3005,Q$5,請求記録!$AF$6:$AF$3005,"保留中")&gt;0,"保留",IF(COUNTIFS(請求記録!$B$6:$B$3005,$A251,請求記録!$Z$6:$Z$3005,Q$5)=0,"",SUMIFS(請求記録!$AE$6:$AE$3005,請求記録!$B$6:$B$3005,$A251,請求記録!$Z$6:$Z$3005,Q$5))))</f>
        <v/>
      </c>
      <c r="R251" s="19">
        <f>IF($A251="","",IF(COUNTIFS(請求記録!$B$6:$B$3005,$A251,請求記録!$Z$6:$Z$3005,R$5,請求記録!$AF$6:$AF$3005,"保留中")&gt;0,"保留",IF(COUNTIFS(請求記録!$B$6:$B$3005,$A251,請求記録!$Z$6:$Z$3005,R$5)=0,"",SUMIFS(請求記録!$AE$6:$AE$3005,請求記録!$B$6:$B$3005,$A251,請求記録!$Z$6:$Z$3005,R$5))))</f>
        <v/>
      </c>
      <c r="S251" s="19">
        <f>IF($A251="","",IF(COUNTIFS(請求記録!$B$6:$B$3005,$A251,請求記録!$Z$6:$Z$3005,S$5,請求記録!$AF$6:$AF$3005,"保留中")&gt;0,"保留",IF(COUNTIFS(請求記録!$B$6:$B$3005,$A251,請求記録!$Z$6:$Z$3005,S$5)=0,"",SUMIFS(請求記録!$AE$6:$AE$3005,請求記録!$B$6:$B$3005,$A251,請求記録!$Z$6:$Z$3005,S$5))))</f>
        <v/>
      </c>
      <c r="T251" s="19">
        <f>IF($A251="","",IF(COUNTIFS(請求記録!$B$6:$B$3005,$A251,請求記録!$Z$6:$Z$3005,T$5,請求記録!$AF$6:$AF$3005,"保留中")&gt;0,"保留",IF(COUNTIFS(請求記録!$B$6:$B$3005,$A251,請求記録!$Z$6:$Z$3005,T$5)=0,"",SUMIFS(請求記録!$AE$6:$AE$3005,請求記録!$B$6:$B$3005,$A251,請求記録!$Z$6:$Z$3005,T$5))))</f>
        <v/>
      </c>
      <c r="U251" s="19">
        <f>IF($A251="","",IF(COUNTIFS(請求記録!$B$6:$B$3005,$A251,請求記録!$Z$6:$Z$3005,U$5,請求記録!$AF$6:$AF$3005,"保留中")&gt;0,"保留",IF(COUNTIFS(請求記録!$B$6:$B$3005,$A251,請求記録!$Z$6:$Z$3005,U$5)=0,"",SUMIFS(請求記録!$AE$6:$AE$3005,請求記録!$B$6:$B$3005,$A251,請求記録!$Z$6:$Z$3005,U$5))))</f>
        <v/>
      </c>
      <c r="V251" s="19">
        <f>IF($A251="","",IF(COUNTIFS(請求記録!$B$6:$B$3005,$A251,請求記録!$Z$6:$Z$3005,V$5,請求記録!$AF$6:$AF$3005,"保留中")&gt;0,"保留",IF(COUNTIFS(請求記録!$B$6:$B$3005,$A251,請求記録!$Z$6:$Z$3005,V$5)=0,"",SUMIFS(請求記録!$AE$6:$AE$3005,請求記録!$B$6:$B$3005,$A251,請求記録!$Z$6:$Z$3005,V$5))))</f>
        <v/>
      </c>
      <c r="W251" s="19">
        <f>IF($A251="","",IF(COUNTIFS(請求記録!$B$6:$B$3005,$A251,請求記録!$Z$6:$Z$3005,W$5,請求記録!$AF$6:$AF$3005,"保留中")&gt;0,"保留",IF(COUNTIFS(請求記録!$B$6:$B$3005,$A251,請求記録!$Z$6:$Z$3005,W$5)=0,"",SUMIFS(請求記録!$AE$6:$AE$3005,請求記録!$B$6:$B$3005,$A251,請求記録!$Z$6:$Z$3005,W$5))))</f>
        <v/>
      </c>
      <c r="X251" s="19">
        <f>IF($A251="","",IF(COUNTIFS(請求記録!$B$6:$B$3005,$A251,請求記録!$Z$6:$Z$3005,X$5,請求記録!$AF$6:$AF$3005,"保留中")&gt;0,"保留",IF(COUNTIFS(請求記録!$B$6:$B$3005,$A251,請求記録!$Z$6:$Z$3005,X$5)=0,"",SUMIFS(請求記録!$AE$6:$AE$3005,請求記録!$B$6:$B$3005,$A251,請求記録!$Z$6:$Z$3005,X$5))))</f>
        <v/>
      </c>
      <c r="Y251" s="19">
        <f>IF($A251="","",IF(COUNTIFS(請求記録!$B$6:$B$3005,$A251,請求記録!$Z$6:$Z$3005,Y$5,請求記録!$AF$6:$AF$3005,"保留中")&gt;0,"保留",IF(COUNTIFS(請求記録!$B$6:$B$3005,$A251,請求記録!$Z$6:$Z$3005,Y$5)=0,"",SUMIFS(請求記録!$AE$6:$AE$3005,請求記録!$B$6:$B$3005,$A251,請求記録!$Z$6:$Z$3005,Y$5))))</f>
        <v/>
      </c>
      <c r="Z251" s="19">
        <f>IF($A251="","",IF(COUNTIFS(請求記録!$B$6:$B$3005,$A251,請求記録!$Z$6:$Z$3005,Z$5,請求記録!$AF$6:$AF$3005,"保留中")&gt;0,"保留",IF(COUNTIFS(請求記録!$B$6:$B$3005,$A251,請求記録!$Z$6:$Z$3005,Z$5)=0,"",SUMIFS(請求記録!$AE$6:$AE$3005,請求記録!$B$6:$B$3005,$A251,請求記録!$Z$6:$Z$3005,Z$5))))</f>
        <v/>
      </c>
      <c r="AA251" s="19">
        <f>IF($A251="","",IF(COUNTIFS(請求記録!$B$6:$B$3005,$A251,請求記録!$Z$6:$Z$3005,AA$5,請求記録!$AF$6:$AF$3005,"保留中")&gt;0,"保留",IF(COUNTIFS(請求記録!$B$6:$B$3005,$A251,請求記録!$Z$6:$Z$3005,AA$5)=0,"",SUMIFS(請求記録!$AE$6:$AE$3005,請求記録!$B$6:$B$3005,$A251,請求記録!$Z$6:$Z$3005,AA$5))))</f>
        <v/>
      </c>
      <c r="AB251">
        <f>IF(職員マスタ!P251="保留中",職員マスタ!M251,"")</f>
        <v/>
      </c>
    </row>
    <row r="252">
      <c r="A252">
        <f>IF(職員マスタ!A252="","",職員マスタ!A252)</f>
        <v/>
      </c>
      <c r="B252">
        <f>IF($A252="","",職員マスタ!B252)</f>
        <v/>
      </c>
      <c r="C252">
        <f>IF($A252="","",職員マスタ!C252)</f>
        <v/>
      </c>
      <c r="D252" s="19">
        <f>IF($A252="","",IF(COUNTIFS(請求記録!$B$6:$B$3005,$A252,請求記録!$Z$6:$Z$3005,D$5,請求記録!$AF$6:$AF$3005,"保留中")&gt;0,"保留",IF(COUNTIFS(請求記録!$B$6:$B$3005,$A252,請求記録!$Z$6:$Z$3005,D$5)=0,"",SUMIFS(請求記録!$AE$6:$AE$3005,請求記録!$B$6:$B$3005,$A252,請求記録!$Z$6:$Z$3005,D$5))))</f>
        <v/>
      </c>
      <c r="E252" s="19">
        <f>IF($A252="","",IF(COUNTIFS(請求記録!$B$6:$B$3005,$A252,請求記録!$Z$6:$Z$3005,E$5,請求記録!$AF$6:$AF$3005,"保留中")&gt;0,"保留",IF(COUNTIFS(請求記録!$B$6:$B$3005,$A252,請求記録!$Z$6:$Z$3005,E$5)=0,"",SUMIFS(請求記録!$AE$6:$AE$3005,請求記録!$B$6:$B$3005,$A252,請求記録!$Z$6:$Z$3005,E$5))))</f>
        <v/>
      </c>
      <c r="F252" s="19">
        <f>IF($A252="","",IF(COUNTIFS(請求記録!$B$6:$B$3005,$A252,請求記録!$Z$6:$Z$3005,F$5,請求記録!$AF$6:$AF$3005,"保留中")&gt;0,"保留",IF(COUNTIFS(請求記録!$B$6:$B$3005,$A252,請求記録!$Z$6:$Z$3005,F$5)=0,"",SUMIFS(請求記録!$AE$6:$AE$3005,請求記録!$B$6:$B$3005,$A252,請求記録!$Z$6:$Z$3005,F$5))))</f>
        <v/>
      </c>
      <c r="G252" s="19">
        <f>IF($A252="","",IF(COUNTIFS(請求記録!$B$6:$B$3005,$A252,請求記録!$Z$6:$Z$3005,G$5,請求記録!$AF$6:$AF$3005,"保留中")&gt;0,"保留",IF(COUNTIFS(請求記録!$B$6:$B$3005,$A252,請求記録!$Z$6:$Z$3005,G$5)=0,"",SUMIFS(請求記録!$AE$6:$AE$3005,請求記録!$B$6:$B$3005,$A252,請求記録!$Z$6:$Z$3005,G$5))))</f>
        <v/>
      </c>
      <c r="H252" s="19">
        <f>IF($A252="","",IF(COUNTIFS(請求記録!$B$6:$B$3005,$A252,請求記録!$Z$6:$Z$3005,H$5,請求記録!$AF$6:$AF$3005,"保留中")&gt;0,"保留",IF(COUNTIFS(請求記録!$B$6:$B$3005,$A252,請求記録!$Z$6:$Z$3005,H$5)=0,"",SUMIFS(請求記録!$AE$6:$AE$3005,請求記録!$B$6:$B$3005,$A252,請求記録!$Z$6:$Z$3005,H$5))))</f>
        <v/>
      </c>
      <c r="I252" s="19">
        <f>IF($A252="","",IF(COUNTIFS(請求記録!$B$6:$B$3005,$A252,請求記録!$Z$6:$Z$3005,I$5,請求記録!$AF$6:$AF$3005,"保留中")&gt;0,"保留",IF(COUNTIFS(請求記録!$B$6:$B$3005,$A252,請求記録!$Z$6:$Z$3005,I$5)=0,"",SUMIFS(請求記録!$AE$6:$AE$3005,請求記録!$B$6:$B$3005,$A252,請求記録!$Z$6:$Z$3005,I$5))))</f>
        <v/>
      </c>
      <c r="J252" s="19">
        <f>IF($A252="","",IF(COUNTIFS(請求記録!$B$6:$B$3005,$A252,請求記録!$Z$6:$Z$3005,J$5,請求記録!$AF$6:$AF$3005,"保留中")&gt;0,"保留",IF(COUNTIFS(請求記録!$B$6:$B$3005,$A252,請求記録!$Z$6:$Z$3005,J$5)=0,"",SUMIFS(請求記録!$AE$6:$AE$3005,請求記録!$B$6:$B$3005,$A252,請求記録!$Z$6:$Z$3005,J$5))))</f>
        <v/>
      </c>
      <c r="K252" s="19">
        <f>IF($A252="","",IF(COUNTIFS(請求記録!$B$6:$B$3005,$A252,請求記録!$Z$6:$Z$3005,K$5,請求記録!$AF$6:$AF$3005,"保留中")&gt;0,"保留",IF(COUNTIFS(請求記録!$B$6:$B$3005,$A252,請求記録!$Z$6:$Z$3005,K$5)=0,"",SUMIFS(請求記録!$AE$6:$AE$3005,請求記録!$B$6:$B$3005,$A252,請求記録!$Z$6:$Z$3005,K$5))))</f>
        <v/>
      </c>
      <c r="L252" s="19">
        <f>IF($A252="","",IF(COUNTIFS(請求記録!$B$6:$B$3005,$A252,請求記録!$Z$6:$Z$3005,L$5,請求記録!$AF$6:$AF$3005,"保留中")&gt;0,"保留",IF(COUNTIFS(請求記録!$B$6:$B$3005,$A252,請求記録!$Z$6:$Z$3005,L$5)=0,"",SUMIFS(請求記録!$AE$6:$AE$3005,請求記録!$B$6:$B$3005,$A252,請求記録!$Z$6:$Z$3005,L$5))))</f>
        <v/>
      </c>
      <c r="M252" s="19">
        <f>IF($A252="","",IF(COUNTIFS(請求記録!$B$6:$B$3005,$A252,請求記録!$Z$6:$Z$3005,M$5,請求記録!$AF$6:$AF$3005,"保留中")&gt;0,"保留",IF(COUNTIFS(請求記録!$B$6:$B$3005,$A252,請求記録!$Z$6:$Z$3005,M$5)=0,"",SUMIFS(請求記録!$AE$6:$AE$3005,請求記録!$B$6:$B$3005,$A252,請求記録!$Z$6:$Z$3005,M$5))))</f>
        <v/>
      </c>
      <c r="N252" s="19">
        <f>IF($A252="","",IF(COUNTIFS(請求記録!$B$6:$B$3005,$A252,請求記録!$Z$6:$Z$3005,N$5,請求記録!$AF$6:$AF$3005,"保留中")&gt;0,"保留",IF(COUNTIFS(請求記録!$B$6:$B$3005,$A252,請求記録!$Z$6:$Z$3005,N$5)=0,"",SUMIFS(請求記録!$AE$6:$AE$3005,請求記録!$B$6:$B$3005,$A252,請求記録!$Z$6:$Z$3005,N$5))))</f>
        <v/>
      </c>
      <c r="O252" s="19">
        <f>IF($A252="","",IF(COUNTIFS(請求記録!$B$6:$B$3005,$A252,請求記録!$Z$6:$Z$3005,O$5,請求記録!$AF$6:$AF$3005,"保留中")&gt;0,"保留",IF(COUNTIFS(請求記録!$B$6:$B$3005,$A252,請求記録!$Z$6:$Z$3005,O$5)=0,"",SUMIFS(請求記録!$AE$6:$AE$3005,請求記録!$B$6:$B$3005,$A252,請求記録!$Z$6:$Z$3005,O$5))))</f>
        <v/>
      </c>
      <c r="P252" s="19">
        <f>IF($A252="","",IF(COUNTIFS(請求記録!$B$6:$B$3005,$A252,請求記録!$Z$6:$Z$3005,P$5,請求記録!$AF$6:$AF$3005,"保留中")&gt;0,"保留",IF(COUNTIFS(請求記録!$B$6:$B$3005,$A252,請求記録!$Z$6:$Z$3005,P$5)=0,"",SUMIFS(請求記録!$AE$6:$AE$3005,請求記録!$B$6:$B$3005,$A252,請求記録!$Z$6:$Z$3005,P$5))))</f>
        <v/>
      </c>
      <c r="Q252" s="19">
        <f>IF($A252="","",IF(COUNTIFS(請求記録!$B$6:$B$3005,$A252,請求記録!$Z$6:$Z$3005,Q$5,請求記録!$AF$6:$AF$3005,"保留中")&gt;0,"保留",IF(COUNTIFS(請求記録!$B$6:$B$3005,$A252,請求記録!$Z$6:$Z$3005,Q$5)=0,"",SUMIFS(請求記録!$AE$6:$AE$3005,請求記録!$B$6:$B$3005,$A252,請求記録!$Z$6:$Z$3005,Q$5))))</f>
        <v/>
      </c>
      <c r="R252" s="19">
        <f>IF($A252="","",IF(COUNTIFS(請求記録!$B$6:$B$3005,$A252,請求記録!$Z$6:$Z$3005,R$5,請求記録!$AF$6:$AF$3005,"保留中")&gt;0,"保留",IF(COUNTIFS(請求記録!$B$6:$B$3005,$A252,請求記録!$Z$6:$Z$3005,R$5)=0,"",SUMIFS(請求記録!$AE$6:$AE$3005,請求記録!$B$6:$B$3005,$A252,請求記録!$Z$6:$Z$3005,R$5))))</f>
        <v/>
      </c>
      <c r="S252" s="19">
        <f>IF($A252="","",IF(COUNTIFS(請求記録!$B$6:$B$3005,$A252,請求記録!$Z$6:$Z$3005,S$5,請求記録!$AF$6:$AF$3005,"保留中")&gt;0,"保留",IF(COUNTIFS(請求記録!$B$6:$B$3005,$A252,請求記録!$Z$6:$Z$3005,S$5)=0,"",SUMIFS(請求記録!$AE$6:$AE$3005,請求記録!$B$6:$B$3005,$A252,請求記録!$Z$6:$Z$3005,S$5))))</f>
        <v/>
      </c>
      <c r="T252" s="19">
        <f>IF($A252="","",IF(COUNTIFS(請求記録!$B$6:$B$3005,$A252,請求記録!$Z$6:$Z$3005,T$5,請求記録!$AF$6:$AF$3005,"保留中")&gt;0,"保留",IF(COUNTIFS(請求記録!$B$6:$B$3005,$A252,請求記録!$Z$6:$Z$3005,T$5)=0,"",SUMIFS(請求記録!$AE$6:$AE$3005,請求記録!$B$6:$B$3005,$A252,請求記録!$Z$6:$Z$3005,T$5))))</f>
        <v/>
      </c>
      <c r="U252" s="19">
        <f>IF($A252="","",IF(COUNTIFS(請求記録!$B$6:$B$3005,$A252,請求記録!$Z$6:$Z$3005,U$5,請求記録!$AF$6:$AF$3005,"保留中")&gt;0,"保留",IF(COUNTIFS(請求記録!$B$6:$B$3005,$A252,請求記録!$Z$6:$Z$3005,U$5)=0,"",SUMIFS(請求記録!$AE$6:$AE$3005,請求記録!$B$6:$B$3005,$A252,請求記録!$Z$6:$Z$3005,U$5))))</f>
        <v/>
      </c>
      <c r="V252" s="19">
        <f>IF($A252="","",IF(COUNTIFS(請求記録!$B$6:$B$3005,$A252,請求記録!$Z$6:$Z$3005,V$5,請求記録!$AF$6:$AF$3005,"保留中")&gt;0,"保留",IF(COUNTIFS(請求記録!$B$6:$B$3005,$A252,請求記録!$Z$6:$Z$3005,V$5)=0,"",SUMIFS(請求記録!$AE$6:$AE$3005,請求記録!$B$6:$B$3005,$A252,請求記録!$Z$6:$Z$3005,V$5))))</f>
        <v/>
      </c>
      <c r="W252" s="19">
        <f>IF($A252="","",IF(COUNTIFS(請求記録!$B$6:$B$3005,$A252,請求記録!$Z$6:$Z$3005,W$5,請求記録!$AF$6:$AF$3005,"保留中")&gt;0,"保留",IF(COUNTIFS(請求記録!$B$6:$B$3005,$A252,請求記録!$Z$6:$Z$3005,W$5)=0,"",SUMIFS(請求記録!$AE$6:$AE$3005,請求記録!$B$6:$B$3005,$A252,請求記録!$Z$6:$Z$3005,W$5))))</f>
        <v/>
      </c>
      <c r="X252" s="19">
        <f>IF($A252="","",IF(COUNTIFS(請求記録!$B$6:$B$3005,$A252,請求記録!$Z$6:$Z$3005,X$5,請求記録!$AF$6:$AF$3005,"保留中")&gt;0,"保留",IF(COUNTIFS(請求記録!$B$6:$B$3005,$A252,請求記録!$Z$6:$Z$3005,X$5)=0,"",SUMIFS(請求記録!$AE$6:$AE$3005,請求記録!$B$6:$B$3005,$A252,請求記録!$Z$6:$Z$3005,X$5))))</f>
        <v/>
      </c>
      <c r="Y252" s="19">
        <f>IF($A252="","",IF(COUNTIFS(請求記録!$B$6:$B$3005,$A252,請求記録!$Z$6:$Z$3005,Y$5,請求記録!$AF$6:$AF$3005,"保留中")&gt;0,"保留",IF(COUNTIFS(請求記録!$B$6:$B$3005,$A252,請求記録!$Z$6:$Z$3005,Y$5)=0,"",SUMIFS(請求記録!$AE$6:$AE$3005,請求記録!$B$6:$B$3005,$A252,請求記録!$Z$6:$Z$3005,Y$5))))</f>
        <v/>
      </c>
      <c r="Z252" s="19">
        <f>IF($A252="","",IF(COUNTIFS(請求記録!$B$6:$B$3005,$A252,請求記録!$Z$6:$Z$3005,Z$5,請求記録!$AF$6:$AF$3005,"保留中")&gt;0,"保留",IF(COUNTIFS(請求記録!$B$6:$B$3005,$A252,請求記録!$Z$6:$Z$3005,Z$5)=0,"",SUMIFS(請求記録!$AE$6:$AE$3005,請求記録!$B$6:$B$3005,$A252,請求記録!$Z$6:$Z$3005,Z$5))))</f>
        <v/>
      </c>
      <c r="AA252" s="19">
        <f>IF($A252="","",IF(COUNTIFS(請求記録!$B$6:$B$3005,$A252,請求記録!$Z$6:$Z$3005,AA$5,請求記録!$AF$6:$AF$3005,"保留中")&gt;0,"保留",IF(COUNTIFS(請求記録!$B$6:$B$3005,$A252,請求記録!$Z$6:$Z$3005,AA$5)=0,"",SUMIFS(請求記録!$AE$6:$AE$3005,請求記録!$B$6:$B$3005,$A252,請求記録!$Z$6:$Z$3005,AA$5))))</f>
        <v/>
      </c>
      <c r="AB252">
        <f>IF(職員マスタ!P252="保留中",職員マスタ!M252,"")</f>
        <v/>
      </c>
    </row>
    <row r="253">
      <c r="A253">
        <f>IF(職員マスタ!A253="","",職員マスタ!A253)</f>
        <v/>
      </c>
      <c r="B253">
        <f>IF($A253="","",職員マスタ!B253)</f>
        <v/>
      </c>
      <c r="C253">
        <f>IF($A253="","",職員マスタ!C253)</f>
        <v/>
      </c>
      <c r="D253" s="19">
        <f>IF($A253="","",IF(COUNTIFS(請求記録!$B$6:$B$3005,$A253,請求記録!$Z$6:$Z$3005,D$5,請求記録!$AF$6:$AF$3005,"保留中")&gt;0,"保留",IF(COUNTIFS(請求記録!$B$6:$B$3005,$A253,請求記録!$Z$6:$Z$3005,D$5)=0,"",SUMIFS(請求記録!$AE$6:$AE$3005,請求記録!$B$6:$B$3005,$A253,請求記録!$Z$6:$Z$3005,D$5))))</f>
        <v/>
      </c>
      <c r="E253" s="19">
        <f>IF($A253="","",IF(COUNTIFS(請求記録!$B$6:$B$3005,$A253,請求記録!$Z$6:$Z$3005,E$5,請求記録!$AF$6:$AF$3005,"保留中")&gt;0,"保留",IF(COUNTIFS(請求記録!$B$6:$B$3005,$A253,請求記録!$Z$6:$Z$3005,E$5)=0,"",SUMIFS(請求記録!$AE$6:$AE$3005,請求記録!$B$6:$B$3005,$A253,請求記録!$Z$6:$Z$3005,E$5))))</f>
        <v/>
      </c>
      <c r="F253" s="19">
        <f>IF($A253="","",IF(COUNTIFS(請求記録!$B$6:$B$3005,$A253,請求記録!$Z$6:$Z$3005,F$5,請求記録!$AF$6:$AF$3005,"保留中")&gt;0,"保留",IF(COUNTIFS(請求記録!$B$6:$B$3005,$A253,請求記録!$Z$6:$Z$3005,F$5)=0,"",SUMIFS(請求記録!$AE$6:$AE$3005,請求記録!$B$6:$B$3005,$A253,請求記録!$Z$6:$Z$3005,F$5))))</f>
        <v/>
      </c>
      <c r="G253" s="19">
        <f>IF($A253="","",IF(COUNTIFS(請求記録!$B$6:$B$3005,$A253,請求記録!$Z$6:$Z$3005,G$5,請求記録!$AF$6:$AF$3005,"保留中")&gt;0,"保留",IF(COUNTIFS(請求記録!$B$6:$B$3005,$A253,請求記録!$Z$6:$Z$3005,G$5)=0,"",SUMIFS(請求記録!$AE$6:$AE$3005,請求記録!$B$6:$B$3005,$A253,請求記録!$Z$6:$Z$3005,G$5))))</f>
        <v/>
      </c>
      <c r="H253" s="19">
        <f>IF($A253="","",IF(COUNTIFS(請求記録!$B$6:$B$3005,$A253,請求記録!$Z$6:$Z$3005,H$5,請求記録!$AF$6:$AF$3005,"保留中")&gt;0,"保留",IF(COUNTIFS(請求記録!$B$6:$B$3005,$A253,請求記録!$Z$6:$Z$3005,H$5)=0,"",SUMIFS(請求記録!$AE$6:$AE$3005,請求記録!$B$6:$B$3005,$A253,請求記録!$Z$6:$Z$3005,H$5))))</f>
        <v/>
      </c>
      <c r="I253" s="19">
        <f>IF($A253="","",IF(COUNTIFS(請求記録!$B$6:$B$3005,$A253,請求記録!$Z$6:$Z$3005,I$5,請求記録!$AF$6:$AF$3005,"保留中")&gt;0,"保留",IF(COUNTIFS(請求記録!$B$6:$B$3005,$A253,請求記録!$Z$6:$Z$3005,I$5)=0,"",SUMIFS(請求記録!$AE$6:$AE$3005,請求記録!$B$6:$B$3005,$A253,請求記録!$Z$6:$Z$3005,I$5))))</f>
        <v/>
      </c>
      <c r="J253" s="19">
        <f>IF($A253="","",IF(COUNTIFS(請求記録!$B$6:$B$3005,$A253,請求記録!$Z$6:$Z$3005,J$5,請求記録!$AF$6:$AF$3005,"保留中")&gt;0,"保留",IF(COUNTIFS(請求記録!$B$6:$B$3005,$A253,請求記録!$Z$6:$Z$3005,J$5)=0,"",SUMIFS(請求記録!$AE$6:$AE$3005,請求記録!$B$6:$B$3005,$A253,請求記録!$Z$6:$Z$3005,J$5))))</f>
        <v/>
      </c>
      <c r="K253" s="19">
        <f>IF($A253="","",IF(COUNTIFS(請求記録!$B$6:$B$3005,$A253,請求記録!$Z$6:$Z$3005,K$5,請求記録!$AF$6:$AF$3005,"保留中")&gt;0,"保留",IF(COUNTIFS(請求記録!$B$6:$B$3005,$A253,請求記録!$Z$6:$Z$3005,K$5)=0,"",SUMIFS(請求記録!$AE$6:$AE$3005,請求記録!$B$6:$B$3005,$A253,請求記録!$Z$6:$Z$3005,K$5))))</f>
        <v/>
      </c>
      <c r="L253" s="19">
        <f>IF($A253="","",IF(COUNTIFS(請求記録!$B$6:$B$3005,$A253,請求記録!$Z$6:$Z$3005,L$5,請求記録!$AF$6:$AF$3005,"保留中")&gt;0,"保留",IF(COUNTIFS(請求記録!$B$6:$B$3005,$A253,請求記録!$Z$6:$Z$3005,L$5)=0,"",SUMIFS(請求記録!$AE$6:$AE$3005,請求記録!$B$6:$B$3005,$A253,請求記録!$Z$6:$Z$3005,L$5))))</f>
        <v/>
      </c>
      <c r="M253" s="19">
        <f>IF($A253="","",IF(COUNTIFS(請求記録!$B$6:$B$3005,$A253,請求記録!$Z$6:$Z$3005,M$5,請求記録!$AF$6:$AF$3005,"保留中")&gt;0,"保留",IF(COUNTIFS(請求記録!$B$6:$B$3005,$A253,請求記録!$Z$6:$Z$3005,M$5)=0,"",SUMIFS(請求記録!$AE$6:$AE$3005,請求記録!$B$6:$B$3005,$A253,請求記録!$Z$6:$Z$3005,M$5))))</f>
        <v/>
      </c>
      <c r="N253" s="19">
        <f>IF($A253="","",IF(COUNTIFS(請求記録!$B$6:$B$3005,$A253,請求記録!$Z$6:$Z$3005,N$5,請求記録!$AF$6:$AF$3005,"保留中")&gt;0,"保留",IF(COUNTIFS(請求記録!$B$6:$B$3005,$A253,請求記録!$Z$6:$Z$3005,N$5)=0,"",SUMIFS(請求記録!$AE$6:$AE$3005,請求記録!$B$6:$B$3005,$A253,請求記録!$Z$6:$Z$3005,N$5))))</f>
        <v/>
      </c>
      <c r="O253" s="19">
        <f>IF($A253="","",IF(COUNTIFS(請求記録!$B$6:$B$3005,$A253,請求記録!$Z$6:$Z$3005,O$5,請求記録!$AF$6:$AF$3005,"保留中")&gt;0,"保留",IF(COUNTIFS(請求記録!$B$6:$B$3005,$A253,請求記録!$Z$6:$Z$3005,O$5)=0,"",SUMIFS(請求記録!$AE$6:$AE$3005,請求記録!$B$6:$B$3005,$A253,請求記録!$Z$6:$Z$3005,O$5))))</f>
        <v/>
      </c>
      <c r="P253" s="19">
        <f>IF($A253="","",IF(COUNTIFS(請求記録!$B$6:$B$3005,$A253,請求記録!$Z$6:$Z$3005,P$5,請求記録!$AF$6:$AF$3005,"保留中")&gt;0,"保留",IF(COUNTIFS(請求記録!$B$6:$B$3005,$A253,請求記録!$Z$6:$Z$3005,P$5)=0,"",SUMIFS(請求記録!$AE$6:$AE$3005,請求記録!$B$6:$B$3005,$A253,請求記録!$Z$6:$Z$3005,P$5))))</f>
        <v/>
      </c>
      <c r="Q253" s="19">
        <f>IF($A253="","",IF(COUNTIFS(請求記録!$B$6:$B$3005,$A253,請求記録!$Z$6:$Z$3005,Q$5,請求記録!$AF$6:$AF$3005,"保留中")&gt;0,"保留",IF(COUNTIFS(請求記録!$B$6:$B$3005,$A253,請求記録!$Z$6:$Z$3005,Q$5)=0,"",SUMIFS(請求記録!$AE$6:$AE$3005,請求記録!$B$6:$B$3005,$A253,請求記録!$Z$6:$Z$3005,Q$5))))</f>
        <v/>
      </c>
      <c r="R253" s="19">
        <f>IF($A253="","",IF(COUNTIFS(請求記録!$B$6:$B$3005,$A253,請求記録!$Z$6:$Z$3005,R$5,請求記録!$AF$6:$AF$3005,"保留中")&gt;0,"保留",IF(COUNTIFS(請求記録!$B$6:$B$3005,$A253,請求記録!$Z$6:$Z$3005,R$5)=0,"",SUMIFS(請求記録!$AE$6:$AE$3005,請求記録!$B$6:$B$3005,$A253,請求記録!$Z$6:$Z$3005,R$5))))</f>
        <v/>
      </c>
      <c r="S253" s="19">
        <f>IF($A253="","",IF(COUNTIFS(請求記録!$B$6:$B$3005,$A253,請求記録!$Z$6:$Z$3005,S$5,請求記録!$AF$6:$AF$3005,"保留中")&gt;0,"保留",IF(COUNTIFS(請求記録!$B$6:$B$3005,$A253,請求記録!$Z$6:$Z$3005,S$5)=0,"",SUMIFS(請求記録!$AE$6:$AE$3005,請求記録!$B$6:$B$3005,$A253,請求記録!$Z$6:$Z$3005,S$5))))</f>
        <v/>
      </c>
      <c r="T253" s="19">
        <f>IF($A253="","",IF(COUNTIFS(請求記録!$B$6:$B$3005,$A253,請求記録!$Z$6:$Z$3005,T$5,請求記録!$AF$6:$AF$3005,"保留中")&gt;0,"保留",IF(COUNTIFS(請求記録!$B$6:$B$3005,$A253,請求記録!$Z$6:$Z$3005,T$5)=0,"",SUMIFS(請求記録!$AE$6:$AE$3005,請求記録!$B$6:$B$3005,$A253,請求記録!$Z$6:$Z$3005,T$5))))</f>
        <v/>
      </c>
      <c r="U253" s="19">
        <f>IF($A253="","",IF(COUNTIFS(請求記録!$B$6:$B$3005,$A253,請求記録!$Z$6:$Z$3005,U$5,請求記録!$AF$6:$AF$3005,"保留中")&gt;0,"保留",IF(COUNTIFS(請求記録!$B$6:$B$3005,$A253,請求記録!$Z$6:$Z$3005,U$5)=0,"",SUMIFS(請求記録!$AE$6:$AE$3005,請求記録!$B$6:$B$3005,$A253,請求記録!$Z$6:$Z$3005,U$5))))</f>
        <v/>
      </c>
      <c r="V253" s="19">
        <f>IF($A253="","",IF(COUNTIFS(請求記録!$B$6:$B$3005,$A253,請求記録!$Z$6:$Z$3005,V$5,請求記録!$AF$6:$AF$3005,"保留中")&gt;0,"保留",IF(COUNTIFS(請求記録!$B$6:$B$3005,$A253,請求記録!$Z$6:$Z$3005,V$5)=0,"",SUMIFS(請求記録!$AE$6:$AE$3005,請求記録!$B$6:$B$3005,$A253,請求記録!$Z$6:$Z$3005,V$5))))</f>
        <v/>
      </c>
      <c r="W253" s="19">
        <f>IF($A253="","",IF(COUNTIFS(請求記録!$B$6:$B$3005,$A253,請求記録!$Z$6:$Z$3005,W$5,請求記録!$AF$6:$AF$3005,"保留中")&gt;0,"保留",IF(COUNTIFS(請求記録!$B$6:$B$3005,$A253,請求記録!$Z$6:$Z$3005,W$5)=0,"",SUMIFS(請求記録!$AE$6:$AE$3005,請求記録!$B$6:$B$3005,$A253,請求記録!$Z$6:$Z$3005,W$5))))</f>
        <v/>
      </c>
      <c r="X253" s="19">
        <f>IF($A253="","",IF(COUNTIFS(請求記録!$B$6:$B$3005,$A253,請求記録!$Z$6:$Z$3005,X$5,請求記録!$AF$6:$AF$3005,"保留中")&gt;0,"保留",IF(COUNTIFS(請求記録!$B$6:$B$3005,$A253,請求記録!$Z$6:$Z$3005,X$5)=0,"",SUMIFS(請求記録!$AE$6:$AE$3005,請求記録!$B$6:$B$3005,$A253,請求記録!$Z$6:$Z$3005,X$5))))</f>
        <v/>
      </c>
      <c r="Y253" s="19">
        <f>IF($A253="","",IF(COUNTIFS(請求記録!$B$6:$B$3005,$A253,請求記録!$Z$6:$Z$3005,Y$5,請求記録!$AF$6:$AF$3005,"保留中")&gt;0,"保留",IF(COUNTIFS(請求記録!$B$6:$B$3005,$A253,請求記録!$Z$6:$Z$3005,Y$5)=0,"",SUMIFS(請求記録!$AE$6:$AE$3005,請求記録!$B$6:$B$3005,$A253,請求記録!$Z$6:$Z$3005,Y$5))))</f>
        <v/>
      </c>
      <c r="Z253" s="19">
        <f>IF($A253="","",IF(COUNTIFS(請求記録!$B$6:$B$3005,$A253,請求記録!$Z$6:$Z$3005,Z$5,請求記録!$AF$6:$AF$3005,"保留中")&gt;0,"保留",IF(COUNTIFS(請求記録!$B$6:$B$3005,$A253,請求記録!$Z$6:$Z$3005,Z$5)=0,"",SUMIFS(請求記録!$AE$6:$AE$3005,請求記録!$B$6:$B$3005,$A253,請求記録!$Z$6:$Z$3005,Z$5))))</f>
        <v/>
      </c>
      <c r="AA253" s="19">
        <f>IF($A253="","",IF(COUNTIFS(請求記録!$B$6:$B$3005,$A253,請求記録!$Z$6:$Z$3005,AA$5,請求記録!$AF$6:$AF$3005,"保留中")&gt;0,"保留",IF(COUNTIFS(請求記録!$B$6:$B$3005,$A253,請求記録!$Z$6:$Z$3005,AA$5)=0,"",SUMIFS(請求記録!$AE$6:$AE$3005,請求記録!$B$6:$B$3005,$A253,請求記録!$Z$6:$Z$3005,AA$5))))</f>
        <v/>
      </c>
      <c r="AB253">
        <f>IF(職員マスタ!P253="保留中",職員マスタ!M253,"")</f>
        <v/>
      </c>
    </row>
    <row r="254">
      <c r="A254">
        <f>IF(職員マスタ!A254="","",職員マスタ!A254)</f>
        <v/>
      </c>
      <c r="B254">
        <f>IF($A254="","",職員マスタ!B254)</f>
        <v/>
      </c>
      <c r="C254">
        <f>IF($A254="","",職員マスタ!C254)</f>
        <v/>
      </c>
      <c r="D254" s="19">
        <f>IF($A254="","",IF(COUNTIFS(請求記録!$B$6:$B$3005,$A254,請求記録!$Z$6:$Z$3005,D$5,請求記録!$AF$6:$AF$3005,"保留中")&gt;0,"保留",IF(COUNTIFS(請求記録!$B$6:$B$3005,$A254,請求記録!$Z$6:$Z$3005,D$5)=0,"",SUMIFS(請求記録!$AE$6:$AE$3005,請求記録!$B$6:$B$3005,$A254,請求記録!$Z$6:$Z$3005,D$5))))</f>
        <v/>
      </c>
      <c r="E254" s="19">
        <f>IF($A254="","",IF(COUNTIFS(請求記録!$B$6:$B$3005,$A254,請求記録!$Z$6:$Z$3005,E$5,請求記録!$AF$6:$AF$3005,"保留中")&gt;0,"保留",IF(COUNTIFS(請求記録!$B$6:$B$3005,$A254,請求記録!$Z$6:$Z$3005,E$5)=0,"",SUMIFS(請求記録!$AE$6:$AE$3005,請求記録!$B$6:$B$3005,$A254,請求記録!$Z$6:$Z$3005,E$5))))</f>
        <v/>
      </c>
      <c r="F254" s="19">
        <f>IF($A254="","",IF(COUNTIFS(請求記録!$B$6:$B$3005,$A254,請求記録!$Z$6:$Z$3005,F$5,請求記録!$AF$6:$AF$3005,"保留中")&gt;0,"保留",IF(COUNTIFS(請求記録!$B$6:$B$3005,$A254,請求記録!$Z$6:$Z$3005,F$5)=0,"",SUMIFS(請求記録!$AE$6:$AE$3005,請求記録!$B$6:$B$3005,$A254,請求記録!$Z$6:$Z$3005,F$5))))</f>
        <v/>
      </c>
      <c r="G254" s="19">
        <f>IF($A254="","",IF(COUNTIFS(請求記録!$B$6:$B$3005,$A254,請求記録!$Z$6:$Z$3005,G$5,請求記録!$AF$6:$AF$3005,"保留中")&gt;0,"保留",IF(COUNTIFS(請求記録!$B$6:$B$3005,$A254,請求記録!$Z$6:$Z$3005,G$5)=0,"",SUMIFS(請求記録!$AE$6:$AE$3005,請求記録!$B$6:$B$3005,$A254,請求記録!$Z$6:$Z$3005,G$5))))</f>
        <v/>
      </c>
      <c r="H254" s="19">
        <f>IF($A254="","",IF(COUNTIFS(請求記録!$B$6:$B$3005,$A254,請求記録!$Z$6:$Z$3005,H$5,請求記録!$AF$6:$AF$3005,"保留中")&gt;0,"保留",IF(COUNTIFS(請求記録!$B$6:$B$3005,$A254,請求記録!$Z$6:$Z$3005,H$5)=0,"",SUMIFS(請求記録!$AE$6:$AE$3005,請求記録!$B$6:$B$3005,$A254,請求記録!$Z$6:$Z$3005,H$5))))</f>
        <v/>
      </c>
      <c r="I254" s="19">
        <f>IF($A254="","",IF(COUNTIFS(請求記録!$B$6:$B$3005,$A254,請求記録!$Z$6:$Z$3005,I$5,請求記録!$AF$6:$AF$3005,"保留中")&gt;0,"保留",IF(COUNTIFS(請求記録!$B$6:$B$3005,$A254,請求記録!$Z$6:$Z$3005,I$5)=0,"",SUMIFS(請求記録!$AE$6:$AE$3005,請求記録!$B$6:$B$3005,$A254,請求記録!$Z$6:$Z$3005,I$5))))</f>
        <v/>
      </c>
      <c r="J254" s="19">
        <f>IF($A254="","",IF(COUNTIFS(請求記録!$B$6:$B$3005,$A254,請求記録!$Z$6:$Z$3005,J$5,請求記録!$AF$6:$AF$3005,"保留中")&gt;0,"保留",IF(COUNTIFS(請求記録!$B$6:$B$3005,$A254,請求記録!$Z$6:$Z$3005,J$5)=0,"",SUMIFS(請求記録!$AE$6:$AE$3005,請求記録!$B$6:$B$3005,$A254,請求記録!$Z$6:$Z$3005,J$5))))</f>
        <v/>
      </c>
      <c r="K254" s="19">
        <f>IF($A254="","",IF(COUNTIFS(請求記録!$B$6:$B$3005,$A254,請求記録!$Z$6:$Z$3005,K$5,請求記録!$AF$6:$AF$3005,"保留中")&gt;0,"保留",IF(COUNTIFS(請求記録!$B$6:$B$3005,$A254,請求記録!$Z$6:$Z$3005,K$5)=0,"",SUMIFS(請求記録!$AE$6:$AE$3005,請求記録!$B$6:$B$3005,$A254,請求記録!$Z$6:$Z$3005,K$5))))</f>
        <v/>
      </c>
      <c r="L254" s="19">
        <f>IF($A254="","",IF(COUNTIFS(請求記録!$B$6:$B$3005,$A254,請求記録!$Z$6:$Z$3005,L$5,請求記録!$AF$6:$AF$3005,"保留中")&gt;0,"保留",IF(COUNTIFS(請求記録!$B$6:$B$3005,$A254,請求記録!$Z$6:$Z$3005,L$5)=0,"",SUMIFS(請求記録!$AE$6:$AE$3005,請求記録!$B$6:$B$3005,$A254,請求記録!$Z$6:$Z$3005,L$5))))</f>
        <v/>
      </c>
      <c r="M254" s="19">
        <f>IF($A254="","",IF(COUNTIFS(請求記録!$B$6:$B$3005,$A254,請求記録!$Z$6:$Z$3005,M$5,請求記録!$AF$6:$AF$3005,"保留中")&gt;0,"保留",IF(COUNTIFS(請求記録!$B$6:$B$3005,$A254,請求記録!$Z$6:$Z$3005,M$5)=0,"",SUMIFS(請求記録!$AE$6:$AE$3005,請求記録!$B$6:$B$3005,$A254,請求記録!$Z$6:$Z$3005,M$5))))</f>
        <v/>
      </c>
      <c r="N254" s="19">
        <f>IF($A254="","",IF(COUNTIFS(請求記録!$B$6:$B$3005,$A254,請求記録!$Z$6:$Z$3005,N$5,請求記録!$AF$6:$AF$3005,"保留中")&gt;0,"保留",IF(COUNTIFS(請求記録!$B$6:$B$3005,$A254,請求記録!$Z$6:$Z$3005,N$5)=0,"",SUMIFS(請求記録!$AE$6:$AE$3005,請求記録!$B$6:$B$3005,$A254,請求記録!$Z$6:$Z$3005,N$5))))</f>
        <v/>
      </c>
      <c r="O254" s="19">
        <f>IF($A254="","",IF(COUNTIFS(請求記録!$B$6:$B$3005,$A254,請求記録!$Z$6:$Z$3005,O$5,請求記録!$AF$6:$AF$3005,"保留中")&gt;0,"保留",IF(COUNTIFS(請求記録!$B$6:$B$3005,$A254,請求記録!$Z$6:$Z$3005,O$5)=0,"",SUMIFS(請求記録!$AE$6:$AE$3005,請求記録!$B$6:$B$3005,$A254,請求記録!$Z$6:$Z$3005,O$5))))</f>
        <v/>
      </c>
      <c r="P254" s="19">
        <f>IF($A254="","",IF(COUNTIFS(請求記録!$B$6:$B$3005,$A254,請求記録!$Z$6:$Z$3005,P$5,請求記録!$AF$6:$AF$3005,"保留中")&gt;0,"保留",IF(COUNTIFS(請求記録!$B$6:$B$3005,$A254,請求記録!$Z$6:$Z$3005,P$5)=0,"",SUMIFS(請求記録!$AE$6:$AE$3005,請求記録!$B$6:$B$3005,$A254,請求記録!$Z$6:$Z$3005,P$5))))</f>
        <v/>
      </c>
      <c r="Q254" s="19">
        <f>IF($A254="","",IF(COUNTIFS(請求記録!$B$6:$B$3005,$A254,請求記録!$Z$6:$Z$3005,Q$5,請求記録!$AF$6:$AF$3005,"保留中")&gt;0,"保留",IF(COUNTIFS(請求記録!$B$6:$B$3005,$A254,請求記録!$Z$6:$Z$3005,Q$5)=0,"",SUMIFS(請求記録!$AE$6:$AE$3005,請求記録!$B$6:$B$3005,$A254,請求記録!$Z$6:$Z$3005,Q$5))))</f>
        <v/>
      </c>
      <c r="R254" s="19">
        <f>IF($A254="","",IF(COUNTIFS(請求記録!$B$6:$B$3005,$A254,請求記録!$Z$6:$Z$3005,R$5,請求記録!$AF$6:$AF$3005,"保留中")&gt;0,"保留",IF(COUNTIFS(請求記録!$B$6:$B$3005,$A254,請求記録!$Z$6:$Z$3005,R$5)=0,"",SUMIFS(請求記録!$AE$6:$AE$3005,請求記録!$B$6:$B$3005,$A254,請求記録!$Z$6:$Z$3005,R$5))))</f>
        <v/>
      </c>
      <c r="S254" s="19">
        <f>IF($A254="","",IF(COUNTIFS(請求記録!$B$6:$B$3005,$A254,請求記録!$Z$6:$Z$3005,S$5,請求記録!$AF$6:$AF$3005,"保留中")&gt;0,"保留",IF(COUNTIFS(請求記録!$B$6:$B$3005,$A254,請求記録!$Z$6:$Z$3005,S$5)=0,"",SUMIFS(請求記録!$AE$6:$AE$3005,請求記録!$B$6:$B$3005,$A254,請求記録!$Z$6:$Z$3005,S$5))))</f>
        <v/>
      </c>
      <c r="T254" s="19">
        <f>IF($A254="","",IF(COUNTIFS(請求記録!$B$6:$B$3005,$A254,請求記録!$Z$6:$Z$3005,T$5,請求記録!$AF$6:$AF$3005,"保留中")&gt;0,"保留",IF(COUNTIFS(請求記録!$B$6:$B$3005,$A254,請求記録!$Z$6:$Z$3005,T$5)=0,"",SUMIFS(請求記録!$AE$6:$AE$3005,請求記録!$B$6:$B$3005,$A254,請求記録!$Z$6:$Z$3005,T$5))))</f>
        <v/>
      </c>
      <c r="U254" s="19">
        <f>IF($A254="","",IF(COUNTIFS(請求記録!$B$6:$B$3005,$A254,請求記録!$Z$6:$Z$3005,U$5,請求記録!$AF$6:$AF$3005,"保留中")&gt;0,"保留",IF(COUNTIFS(請求記録!$B$6:$B$3005,$A254,請求記録!$Z$6:$Z$3005,U$5)=0,"",SUMIFS(請求記録!$AE$6:$AE$3005,請求記録!$B$6:$B$3005,$A254,請求記録!$Z$6:$Z$3005,U$5))))</f>
        <v/>
      </c>
      <c r="V254" s="19">
        <f>IF($A254="","",IF(COUNTIFS(請求記録!$B$6:$B$3005,$A254,請求記録!$Z$6:$Z$3005,V$5,請求記録!$AF$6:$AF$3005,"保留中")&gt;0,"保留",IF(COUNTIFS(請求記録!$B$6:$B$3005,$A254,請求記録!$Z$6:$Z$3005,V$5)=0,"",SUMIFS(請求記録!$AE$6:$AE$3005,請求記録!$B$6:$B$3005,$A254,請求記録!$Z$6:$Z$3005,V$5))))</f>
        <v/>
      </c>
      <c r="W254" s="19">
        <f>IF($A254="","",IF(COUNTIFS(請求記録!$B$6:$B$3005,$A254,請求記録!$Z$6:$Z$3005,W$5,請求記録!$AF$6:$AF$3005,"保留中")&gt;0,"保留",IF(COUNTIFS(請求記録!$B$6:$B$3005,$A254,請求記録!$Z$6:$Z$3005,W$5)=0,"",SUMIFS(請求記録!$AE$6:$AE$3005,請求記録!$B$6:$B$3005,$A254,請求記録!$Z$6:$Z$3005,W$5))))</f>
        <v/>
      </c>
      <c r="X254" s="19">
        <f>IF($A254="","",IF(COUNTIFS(請求記録!$B$6:$B$3005,$A254,請求記録!$Z$6:$Z$3005,X$5,請求記録!$AF$6:$AF$3005,"保留中")&gt;0,"保留",IF(COUNTIFS(請求記録!$B$6:$B$3005,$A254,請求記録!$Z$6:$Z$3005,X$5)=0,"",SUMIFS(請求記録!$AE$6:$AE$3005,請求記録!$B$6:$B$3005,$A254,請求記録!$Z$6:$Z$3005,X$5))))</f>
        <v/>
      </c>
      <c r="Y254" s="19">
        <f>IF($A254="","",IF(COUNTIFS(請求記録!$B$6:$B$3005,$A254,請求記録!$Z$6:$Z$3005,Y$5,請求記録!$AF$6:$AF$3005,"保留中")&gt;0,"保留",IF(COUNTIFS(請求記録!$B$6:$B$3005,$A254,請求記録!$Z$6:$Z$3005,Y$5)=0,"",SUMIFS(請求記録!$AE$6:$AE$3005,請求記録!$B$6:$B$3005,$A254,請求記録!$Z$6:$Z$3005,Y$5))))</f>
        <v/>
      </c>
      <c r="Z254" s="19">
        <f>IF($A254="","",IF(COUNTIFS(請求記録!$B$6:$B$3005,$A254,請求記録!$Z$6:$Z$3005,Z$5,請求記録!$AF$6:$AF$3005,"保留中")&gt;0,"保留",IF(COUNTIFS(請求記録!$B$6:$B$3005,$A254,請求記録!$Z$6:$Z$3005,Z$5)=0,"",SUMIFS(請求記録!$AE$6:$AE$3005,請求記録!$B$6:$B$3005,$A254,請求記録!$Z$6:$Z$3005,Z$5))))</f>
        <v/>
      </c>
      <c r="AA254" s="19">
        <f>IF($A254="","",IF(COUNTIFS(請求記録!$B$6:$B$3005,$A254,請求記録!$Z$6:$Z$3005,AA$5,請求記録!$AF$6:$AF$3005,"保留中")&gt;0,"保留",IF(COUNTIFS(請求記録!$B$6:$B$3005,$A254,請求記録!$Z$6:$Z$3005,AA$5)=0,"",SUMIFS(請求記録!$AE$6:$AE$3005,請求記録!$B$6:$B$3005,$A254,請求記録!$Z$6:$Z$3005,AA$5))))</f>
        <v/>
      </c>
      <c r="AB254">
        <f>IF(職員マスタ!P254="保留中",職員マスタ!M254,"")</f>
        <v/>
      </c>
    </row>
    <row r="255">
      <c r="A255">
        <f>IF(職員マスタ!A255="","",職員マスタ!A255)</f>
        <v/>
      </c>
      <c r="B255">
        <f>IF($A255="","",職員マスタ!B255)</f>
        <v/>
      </c>
      <c r="C255">
        <f>IF($A255="","",職員マスタ!C255)</f>
        <v/>
      </c>
      <c r="D255" s="19">
        <f>IF($A255="","",IF(COUNTIFS(請求記録!$B$6:$B$3005,$A255,請求記録!$Z$6:$Z$3005,D$5,請求記録!$AF$6:$AF$3005,"保留中")&gt;0,"保留",IF(COUNTIFS(請求記録!$B$6:$B$3005,$A255,請求記録!$Z$6:$Z$3005,D$5)=0,"",SUMIFS(請求記録!$AE$6:$AE$3005,請求記録!$B$6:$B$3005,$A255,請求記録!$Z$6:$Z$3005,D$5))))</f>
        <v/>
      </c>
      <c r="E255" s="19">
        <f>IF($A255="","",IF(COUNTIFS(請求記録!$B$6:$B$3005,$A255,請求記録!$Z$6:$Z$3005,E$5,請求記録!$AF$6:$AF$3005,"保留中")&gt;0,"保留",IF(COUNTIFS(請求記録!$B$6:$B$3005,$A255,請求記録!$Z$6:$Z$3005,E$5)=0,"",SUMIFS(請求記録!$AE$6:$AE$3005,請求記録!$B$6:$B$3005,$A255,請求記録!$Z$6:$Z$3005,E$5))))</f>
        <v/>
      </c>
      <c r="F255" s="19">
        <f>IF($A255="","",IF(COUNTIFS(請求記録!$B$6:$B$3005,$A255,請求記録!$Z$6:$Z$3005,F$5,請求記録!$AF$6:$AF$3005,"保留中")&gt;0,"保留",IF(COUNTIFS(請求記録!$B$6:$B$3005,$A255,請求記録!$Z$6:$Z$3005,F$5)=0,"",SUMIFS(請求記録!$AE$6:$AE$3005,請求記録!$B$6:$B$3005,$A255,請求記録!$Z$6:$Z$3005,F$5))))</f>
        <v/>
      </c>
      <c r="G255" s="19">
        <f>IF($A255="","",IF(COUNTIFS(請求記録!$B$6:$B$3005,$A255,請求記録!$Z$6:$Z$3005,G$5,請求記録!$AF$6:$AF$3005,"保留中")&gt;0,"保留",IF(COUNTIFS(請求記録!$B$6:$B$3005,$A255,請求記録!$Z$6:$Z$3005,G$5)=0,"",SUMIFS(請求記録!$AE$6:$AE$3005,請求記録!$B$6:$B$3005,$A255,請求記録!$Z$6:$Z$3005,G$5))))</f>
        <v/>
      </c>
      <c r="H255" s="19">
        <f>IF($A255="","",IF(COUNTIFS(請求記録!$B$6:$B$3005,$A255,請求記録!$Z$6:$Z$3005,H$5,請求記録!$AF$6:$AF$3005,"保留中")&gt;0,"保留",IF(COUNTIFS(請求記録!$B$6:$B$3005,$A255,請求記録!$Z$6:$Z$3005,H$5)=0,"",SUMIFS(請求記録!$AE$6:$AE$3005,請求記録!$B$6:$B$3005,$A255,請求記録!$Z$6:$Z$3005,H$5))))</f>
        <v/>
      </c>
      <c r="I255" s="19">
        <f>IF($A255="","",IF(COUNTIFS(請求記録!$B$6:$B$3005,$A255,請求記録!$Z$6:$Z$3005,I$5,請求記録!$AF$6:$AF$3005,"保留中")&gt;0,"保留",IF(COUNTIFS(請求記録!$B$6:$B$3005,$A255,請求記録!$Z$6:$Z$3005,I$5)=0,"",SUMIFS(請求記録!$AE$6:$AE$3005,請求記録!$B$6:$B$3005,$A255,請求記録!$Z$6:$Z$3005,I$5))))</f>
        <v/>
      </c>
      <c r="J255" s="19">
        <f>IF($A255="","",IF(COUNTIFS(請求記録!$B$6:$B$3005,$A255,請求記録!$Z$6:$Z$3005,J$5,請求記録!$AF$6:$AF$3005,"保留中")&gt;0,"保留",IF(COUNTIFS(請求記録!$B$6:$B$3005,$A255,請求記録!$Z$6:$Z$3005,J$5)=0,"",SUMIFS(請求記録!$AE$6:$AE$3005,請求記録!$B$6:$B$3005,$A255,請求記録!$Z$6:$Z$3005,J$5))))</f>
        <v/>
      </c>
      <c r="K255" s="19">
        <f>IF($A255="","",IF(COUNTIFS(請求記録!$B$6:$B$3005,$A255,請求記録!$Z$6:$Z$3005,K$5,請求記録!$AF$6:$AF$3005,"保留中")&gt;0,"保留",IF(COUNTIFS(請求記録!$B$6:$B$3005,$A255,請求記録!$Z$6:$Z$3005,K$5)=0,"",SUMIFS(請求記録!$AE$6:$AE$3005,請求記録!$B$6:$B$3005,$A255,請求記録!$Z$6:$Z$3005,K$5))))</f>
        <v/>
      </c>
      <c r="L255" s="19">
        <f>IF($A255="","",IF(COUNTIFS(請求記録!$B$6:$B$3005,$A255,請求記録!$Z$6:$Z$3005,L$5,請求記録!$AF$6:$AF$3005,"保留中")&gt;0,"保留",IF(COUNTIFS(請求記録!$B$6:$B$3005,$A255,請求記録!$Z$6:$Z$3005,L$5)=0,"",SUMIFS(請求記録!$AE$6:$AE$3005,請求記録!$B$6:$B$3005,$A255,請求記録!$Z$6:$Z$3005,L$5))))</f>
        <v/>
      </c>
      <c r="M255" s="19">
        <f>IF($A255="","",IF(COUNTIFS(請求記録!$B$6:$B$3005,$A255,請求記録!$Z$6:$Z$3005,M$5,請求記録!$AF$6:$AF$3005,"保留中")&gt;0,"保留",IF(COUNTIFS(請求記録!$B$6:$B$3005,$A255,請求記録!$Z$6:$Z$3005,M$5)=0,"",SUMIFS(請求記録!$AE$6:$AE$3005,請求記録!$B$6:$B$3005,$A255,請求記録!$Z$6:$Z$3005,M$5))))</f>
        <v/>
      </c>
      <c r="N255" s="19">
        <f>IF($A255="","",IF(COUNTIFS(請求記録!$B$6:$B$3005,$A255,請求記録!$Z$6:$Z$3005,N$5,請求記録!$AF$6:$AF$3005,"保留中")&gt;0,"保留",IF(COUNTIFS(請求記録!$B$6:$B$3005,$A255,請求記録!$Z$6:$Z$3005,N$5)=0,"",SUMIFS(請求記録!$AE$6:$AE$3005,請求記録!$B$6:$B$3005,$A255,請求記録!$Z$6:$Z$3005,N$5))))</f>
        <v/>
      </c>
      <c r="O255" s="19">
        <f>IF($A255="","",IF(COUNTIFS(請求記録!$B$6:$B$3005,$A255,請求記録!$Z$6:$Z$3005,O$5,請求記録!$AF$6:$AF$3005,"保留中")&gt;0,"保留",IF(COUNTIFS(請求記録!$B$6:$B$3005,$A255,請求記録!$Z$6:$Z$3005,O$5)=0,"",SUMIFS(請求記録!$AE$6:$AE$3005,請求記録!$B$6:$B$3005,$A255,請求記録!$Z$6:$Z$3005,O$5))))</f>
        <v/>
      </c>
      <c r="P255" s="19">
        <f>IF($A255="","",IF(COUNTIFS(請求記録!$B$6:$B$3005,$A255,請求記録!$Z$6:$Z$3005,P$5,請求記録!$AF$6:$AF$3005,"保留中")&gt;0,"保留",IF(COUNTIFS(請求記録!$B$6:$B$3005,$A255,請求記録!$Z$6:$Z$3005,P$5)=0,"",SUMIFS(請求記録!$AE$6:$AE$3005,請求記録!$B$6:$B$3005,$A255,請求記録!$Z$6:$Z$3005,P$5))))</f>
        <v/>
      </c>
      <c r="Q255" s="19">
        <f>IF($A255="","",IF(COUNTIFS(請求記録!$B$6:$B$3005,$A255,請求記録!$Z$6:$Z$3005,Q$5,請求記録!$AF$6:$AF$3005,"保留中")&gt;0,"保留",IF(COUNTIFS(請求記録!$B$6:$B$3005,$A255,請求記録!$Z$6:$Z$3005,Q$5)=0,"",SUMIFS(請求記録!$AE$6:$AE$3005,請求記録!$B$6:$B$3005,$A255,請求記録!$Z$6:$Z$3005,Q$5))))</f>
        <v/>
      </c>
      <c r="R255" s="19">
        <f>IF($A255="","",IF(COUNTIFS(請求記録!$B$6:$B$3005,$A255,請求記録!$Z$6:$Z$3005,R$5,請求記録!$AF$6:$AF$3005,"保留中")&gt;0,"保留",IF(COUNTIFS(請求記録!$B$6:$B$3005,$A255,請求記録!$Z$6:$Z$3005,R$5)=0,"",SUMIFS(請求記録!$AE$6:$AE$3005,請求記録!$B$6:$B$3005,$A255,請求記録!$Z$6:$Z$3005,R$5))))</f>
        <v/>
      </c>
      <c r="S255" s="19">
        <f>IF($A255="","",IF(COUNTIFS(請求記録!$B$6:$B$3005,$A255,請求記録!$Z$6:$Z$3005,S$5,請求記録!$AF$6:$AF$3005,"保留中")&gt;0,"保留",IF(COUNTIFS(請求記録!$B$6:$B$3005,$A255,請求記録!$Z$6:$Z$3005,S$5)=0,"",SUMIFS(請求記録!$AE$6:$AE$3005,請求記録!$B$6:$B$3005,$A255,請求記録!$Z$6:$Z$3005,S$5))))</f>
        <v/>
      </c>
      <c r="T255" s="19">
        <f>IF($A255="","",IF(COUNTIFS(請求記録!$B$6:$B$3005,$A255,請求記録!$Z$6:$Z$3005,T$5,請求記録!$AF$6:$AF$3005,"保留中")&gt;0,"保留",IF(COUNTIFS(請求記録!$B$6:$B$3005,$A255,請求記録!$Z$6:$Z$3005,T$5)=0,"",SUMIFS(請求記録!$AE$6:$AE$3005,請求記録!$B$6:$B$3005,$A255,請求記録!$Z$6:$Z$3005,T$5))))</f>
        <v/>
      </c>
      <c r="U255" s="19">
        <f>IF($A255="","",IF(COUNTIFS(請求記録!$B$6:$B$3005,$A255,請求記録!$Z$6:$Z$3005,U$5,請求記録!$AF$6:$AF$3005,"保留中")&gt;0,"保留",IF(COUNTIFS(請求記録!$B$6:$B$3005,$A255,請求記録!$Z$6:$Z$3005,U$5)=0,"",SUMIFS(請求記録!$AE$6:$AE$3005,請求記録!$B$6:$B$3005,$A255,請求記録!$Z$6:$Z$3005,U$5))))</f>
        <v/>
      </c>
      <c r="V255" s="19">
        <f>IF($A255="","",IF(COUNTIFS(請求記録!$B$6:$B$3005,$A255,請求記録!$Z$6:$Z$3005,V$5,請求記録!$AF$6:$AF$3005,"保留中")&gt;0,"保留",IF(COUNTIFS(請求記録!$B$6:$B$3005,$A255,請求記録!$Z$6:$Z$3005,V$5)=0,"",SUMIFS(請求記録!$AE$6:$AE$3005,請求記録!$B$6:$B$3005,$A255,請求記録!$Z$6:$Z$3005,V$5))))</f>
        <v/>
      </c>
      <c r="W255" s="19">
        <f>IF($A255="","",IF(COUNTIFS(請求記録!$B$6:$B$3005,$A255,請求記録!$Z$6:$Z$3005,W$5,請求記録!$AF$6:$AF$3005,"保留中")&gt;0,"保留",IF(COUNTIFS(請求記録!$B$6:$B$3005,$A255,請求記録!$Z$6:$Z$3005,W$5)=0,"",SUMIFS(請求記録!$AE$6:$AE$3005,請求記録!$B$6:$B$3005,$A255,請求記録!$Z$6:$Z$3005,W$5))))</f>
        <v/>
      </c>
      <c r="X255" s="19">
        <f>IF($A255="","",IF(COUNTIFS(請求記録!$B$6:$B$3005,$A255,請求記録!$Z$6:$Z$3005,X$5,請求記録!$AF$6:$AF$3005,"保留中")&gt;0,"保留",IF(COUNTIFS(請求記録!$B$6:$B$3005,$A255,請求記録!$Z$6:$Z$3005,X$5)=0,"",SUMIFS(請求記録!$AE$6:$AE$3005,請求記録!$B$6:$B$3005,$A255,請求記録!$Z$6:$Z$3005,X$5))))</f>
        <v/>
      </c>
      <c r="Y255" s="19">
        <f>IF($A255="","",IF(COUNTIFS(請求記録!$B$6:$B$3005,$A255,請求記録!$Z$6:$Z$3005,Y$5,請求記録!$AF$6:$AF$3005,"保留中")&gt;0,"保留",IF(COUNTIFS(請求記録!$B$6:$B$3005,$A255,請求記録!$Z$6:$Z$3005,Y$5)=0,"",SUMIFS(請求記録!$AE$6:$AE$3005,請求記録!$B$6:$B$3005,$A255,請求記録!$Z$6:$Z$3005,Y$5))))</f>
        <v/>
      </c>
      <c r="Z255" s="19">
        <f>IF($A255="","",IF(COUNTIFS(請求記録!$B$6:$B$3005,$A255,請求記録!$Z$6:$Z$3005,Z$5,請求記録!$AF$6:$AF$3005,"保留中")&gt;0,"保留",IF(COUNTIFS(請求記録!$B$6:$B$3005,$A255,請求記録!$Z$6:$Z$3005,Z$5)=0,"",SUMIFS(請求記録!$AE$6:$AE$3005,請求記録!$B$6:$B$3005,$A255,請求記録!$Z$6:$Z$3005,Z$5))))</f>
        <v/>
      </c>
      <c r="AA255" s="19">
        <f>IF($A255="","",IF(COUNTIFS(請求記録!$B$6:$B$3005,$A255,請求記録!$Z$6:$Z$3005,AA$5,請求記録!$AF$6:$AF$3005,"保留中")&gt;0,"保留",IF(COUNTIFS(請求記録!$B$6:$B$3005,$A255,請求記録!$Z$6:$Z$3005,AA$5)=0,"",SUMIFS(請求記録!$AE$6:$AE$3005,請求記録!$B$6:$B$3005,$A255,請求記録!$Z$6:$Z$3005,AA$5))))</f>
        <v/>
      </c>
      <c r="AB255">
        <f>IF(職員マスタ!P255="保留中",職員マスタ!M255,"")</f>
        <v/>
      </c>
    </row>
    <row r="256">
      <c r="A256">
        <f>IF(職員マスタ!A256="","",職員マスタ!A256)</f>
        <v/>
      </c>
      <c r="B256">
        <f>IF($A256="","",職員マスタ!B256)</f>
        <v/>
      </c>
      <c r="C256">
        <f>IF($A256="","",職員マスタ!C256)</f>
        <v/>
      </c>
      <c r="D256" s="19">
        <f>IF($A256="","",IF(COUNTIFS(請求記録!$B$6:$B$3005,$A256,請求記録!$Z$6:$Z$3005,D$5,請求記録!$AF$6:$AF$3005,"保留中")&gt;0,"保留",IF(COUNTIFS(請求記録!$B$6:$B$3005,$A256,請求記録!$Z$6:$Z$3005,D$5)=0,"",SUMIFS(請求記録!$AE$6:$AE$3005,請求記録!$B$6:$B$3005,$A256,請求記録!$Z$6:$Z$3005,D$5))))</f>
        <v/>
      </c>
      <c r="E256" s="19">
        <f>IF($A256="","",IF(COUNTIFS(請求記録!$B$6:$B$3005,$A256,請求記録!$Z$6:$Z$3005,E$5,請求記録!$AF$6:$AF$3005,"保留中")&gt;0,"保留",IF(COUNTIFS(請求記録!$B$6:$B$3005,$A256,請求記録!$Z$6:$Z$3005,E$5)=0,"",SUMIFS(請求記録!$AE$6:$AE$3005,請求記録!$B$6:$B$3005,$A256,請求記録!$Z$6:$Z$3005,E$5))))</f>
        <v/>
      </c>
      <c r="F256" s="19">
        <f>IF($A256="","",IF(COUNTIFS(請求記録!$B$6:$B$3005,$A256,請求記録!$Z$6:$Z$3005,F$5,請求記録!$AF$6:$AF$3005,"保留中")&gt;0,"保留",IF(COUNTIFS(請求記録!$B$6:$B$3005,$A256,請求記録!$Z$6:$Z$3005,F$5)=0,"",SUMIFS(請求記録!$AE$6:$AE$3005,請求記録!$B$6:$B$3005,$A256,請求記録!$Z$6:$Z$3005,F$5))))</f>
        <v/>
      </c>
      <c r="G256" s="19">
        <f>IF($A256="","",IF(COUNTIFS(請求記録!$B$6:$B$3005,$A256,請求記録!$Z$6:$Z$3005,G$5,請求記録!$AF$6:$AF$3005,"保留中")&gt;0,"保留",IF(COUNTIFS(請求記録!$B$6:$B$3005,$A256,請求記録!$Z$6:$Z$3005,G$5)=0,"",SUMIFS(請求記録!$AE$6:$AE$3005,請求記録!$B$6:$B$3005,$A256,請求記録!$Z$6:$Z$3005,G$5))))</f>
        <v/>
      </c>
      <c r="H256" s="19">
        <f>IF($A256="","",IF(COUNTIFS(請求記録!$B$6:$B$3005,$A256,請求記録!$Z$6:$Z$3005,H$5,請求記録!$AF$6:$AF$3005,"保留中")&gt;0,"保留",IF(COUNTIFS(請求記録!$B$6:$B$3005,$A256,請求記録!$Z$6:$Z$3005,H$5)=0,"",SUMIFS(請求記録!$AE$6:$AE$3005,請求記録!$B$6:$B$3005,$A256,請求記録!$Z$6:$Z$3005,H$5))))</f>
        <v/>
      </c>
      <c r="I256" s="19">
        <f>IF($A256="","",IF(COUNTIFS(請求記録!$B$6:$B$3005,$A256,請求記録!$Z$6:$Z$3005,I$5,請求記録!$AF$6:$AF$3005,"保留中")&gt;0,"保留",IF(COUNTIFS(請求記録!$B$6:$B$3005,$A256,請求記録!$Z$6:$Z$3005,I$5)=0,"",SUMIFS(請求記録!$AE$6:$AE$3005,請求記録!$B$6:$B$3005,$A256,請求記録!$Z$6:$Z$3005,I$5))))</f>
        <v/>
      </c>
      <c r="J256" s="19">
        <f>IF($A256="","",IF(COUNTIFS(請求記録!$B$6:$B$3005,$A256,請求記録!$Z$6:$Z$3005,J$5,請求記録!$AF$6:$AF$3005,"保留中")&gt;0,"保留",IF(COUNTIFS(請求記録!$B$6:$B$3005,$A256,請求記録!$Z$6:$Z$3005,J$5)=0,"",SUMIFS(請求記録!$AE$6:$AE$3005,請求記録!$B$6:$B$3005,$A256,請求記録!$Z$6:$Z$3005,J$5))))</f>
        <v/>
      </c>
      <c r="K256" s="19">
        <f>IF($A256="","",IF(COUNTIFS(請求記録!$B$6:$B$3005,$A256,請求記録!$Z$6:$Z$3005,K$5,請求記録!$AF$6:$AF$3005,"保留中")&gt;0,"保留",IF(COUNTIFS(請求記録!$B$6:$B$3005,$A256,請求記録!$Z$6:$Z$3005,K$5)=0,"",SUMIFS(請求記録!$AE$6:$AE$3005,請求記録!$B$6:$B$3005,$A256,請求記録!$Z$6:$Z$3005,K$5))))</f>
        <v/>
      </c>
      <c r="L256" s="19">
        <f>IF($A256="","",IF(COUNTIFS(請求記録!$B$6:$B$3005,$A256,請求記録!$Z$6:$Z$3005,L$5,請求記録!$AF$6:$AF$3005,"保留中")&gt;0,"保留",IF(COUNTIFS(請求記録!$B$6:$B$3005,$A256,請求記録!$Z$6:$Z$3005,L$5)=0,"",SUMIFS(請求記録!$AE$6:$AE$3005,請求記録!$B$6:$B$3005,$A256,請求記録!$Z$6:$Z$3005,L$5))))</f>
        <v/>
      </c>
      <c r="M256" s="19">
        <f>IF($A256="","",IF(COUNTIFS(請求記録!$B$6:$B$3005,$A256,請求記録!$Z$6:$Z$3005,M$5,請求記録!$AF$6:$AF$3005,"保留中")&gt;0,"保留",IF(COUNTIFS(請求記録!$B$6:$B$3005,$A256,請求記録!$Z$6:$Z$3005,M$5)=0,"",SUMIFS(請求記録!$AE$6:$AE$3005,請求記録!$B$6:$B$3005,$A256,請求記録!$Z$6:$Z$3005,M$5))))</f>
        <v/>
      </c>
      <c r="N256" s="19">
        <f>IF($A256="","",IF(COUNTIFS(請求記録!$B$6:$B$3005,$A256,請求記録!$Z$6:$Z$3005,N$5,請求記録!$AF$6:$AF$3005,"保留中")&gt;0,"保留",IF(COUNTIFS(請求記録!$B$6:$B$3005,$A256,請求記録!$Z$6:$Z$3005,N$5)=0,"",SUMIFS(請求記録!$AE$6:$AE$3005,請求記録!$B$6:$B$3005,$A256,請求記録!$Z$6:$Z$3005,N$5))))</f>
        <v/>
      </c>
      <c r="O256" s="19">
        <f>IF($A256="","",IF(COUNTIFS(請求記録!$B$6:$B$3005,$A256,請求記録!$Z$6:$Z$3005,O$5,請求記録!$AF$6:$AF$3005,"保留中")&gt;0,"保留",IF(COUNTIFS(請求記録!$B$6:$B$3005,$A256,請求記録!$Z$6:$Z$3005,O$5)=0,"",SUMIFS(請求記録!$AE$6:$AE$3005,請求記録!$B$6:$B$3005,$A256,請求記録!$Z$6:$Z$3005,O$5))))</f>
        <v/>
      </c>
      <c r="P256" s="19">
        <f>IF($A256="","",IF(COUNTIFS(請求記録!$B$6:$B$3005,$A256,請求記録!$Z$6:$Z$3005,P$5,請求記録!$AF$6:$AF$3005,"保留中")&gt;0,"保留",IF(COUNTIFS(請求記録!$B$6:$B$3005,$A256,請求記録!$Z$6:$Z$3005,P$5)=0,"",SUMIFS(請求記録!$AE$6:$AE$3005,請求記録!$B$6:$B$3005,$A256,請求記録!$Z$6:$Z$3005,P$5))))</f>
        <v/>
      </c>
      <c r="Q256" s="19">
        <f>IF($A256="","",IF(COUNTIFS(請求記録!$B$6:$B$3005,$A256,請求記録!$Z$6:$Z$3005,Q$5,請求記録!$AF$6:$AF$3005,"保留中")&gt;0,"保留",IF(COUNTIFS(請求記録!$B$6:$B$3005,$A256,請求記録!$Z$6:$Z$3005,Q$5)=0,"",SUMIFS(請求記録!$AE$6:$AE$3005,請求記録!$B$6:$B$3005,$A256,請求記録!$Z$6:$Z$3005,Q$5))))</f>
        <v/>
      </c>
      <c r="R256" s="19">
        <f>IF($A256="","",IF(COUNTIFS(請求記録!$B$6:$B$3005,$A256,請求記録!$Z$6:$Z$3005,R$5,請求記録!$AF$6:$AF$3005,"保留中")&gt;0,"保留",IF(COUNTIFS(請求記録!$B$6:$B$3005,$A256,請求記録!$Z$6:$Z$3005,R$5)=0,"",SUMIFS(請求記録!$AE$6:$AE$3005,請求記録!$B$6:$B$3005,$A256,請求記録!$Z$6:$Z$3005,R$5))))</f>
        <v/>
      </c>
      <c r="S256" s="19">
        <f>IF($A256="","",IF(COUNTIFS(請求記録!$B$6:$B$3005,$A256,請求記録!$Z$6:$Z$3005,S$5,請求記録!$AF$6:$AF$3005,"保留中")&gt;0,"保留",IF(COUNTIFS(請求記録!$B$6:$B$3005,$A256,請求記録!$Z$6:$Z$3005,S$5)=0,"",SUMIFS(請求記録!$AE$6:$AE$3005,請求記録!$B$6:$B$3005,$A256,請求記録!$Z$6:$Z$3005,S$5))))</f>
        <v/>
      </c>
      <c r="T256" s="19">
        <f>IF($A256="","",IF(COUNTIFS(請求記録!$B$6:$B$3005,$A256,請求記録!$Z$6:$Z$3005,T$5,請求記録!$AF$6:$AF$3005,"保留中")&gt;0,"保留",IF(COUNTIFS(請求記録!$B$6:$B$3005,$A256,請求記録!$Z$6:$Z$3005,T$5)=0,"",SUMIFS(請求記録!$AE$6:$AE$3005,請求記録!$B$6:$B$3005,$A256,請求記録!$Z$6:$Z$3005,T$5))))</f>
        <v/>
      </c>
      <c r="U256" s="19">
        <f>IF($A256="","",IF(COUNTIFS(請求記録!$B$6:$B$3005,$A256,請求記録!$Z$6:$Z$3005,U$5,請求記録!$AF$6:$AF$3005,"保留中")&gt;0,"保留",IF(COUNTIFS(請求記録!$B$6:$B$3005,$A256,請求記録!$Z$6:$Z$3005,U$5)=0,"",SUMIFS(請求記録!$AE$6:$AE$3005,請求記録!$B$6:$B$3005,$A256,請求記録!$Z$6:$Z$3005,U$5))))</f>
        <v/>
      </c>
      <c r="V256" s="19">
        <f>IF($A256="","",IF(COUNTIFS(請求記録!$B$6:$B$3005,$A256,請求記録!$Z$6:$Z$3005,V$5,請求記録!$AF$6:$AF$3005,"保留中")&gt;0,"保留",IF(COUNTIFS(請求記録!$B$6:$B$3005,$A256,請求記録!$Z$6:$Z$3005,V$5)=0,"",SUMIFS(請求記録!$AE$6:$AE$3005,請求記録!$B$6:$B$3005,$A256,請求記録!$Z$6:$Z$3005,V$5))))</f>
        <v/>
      </c>
      <c r="W256" s="19">
        <f>IF($A256="","",IF(COUNTIFS(請求記録!$B$6:$B$3005,$A256,請求記録!$Z$6:$Z$3005,W$5,請求記録!$AF$6:$AF$3005,"保留中")&gt;0,"保留",IF(COUNTIFS(請求記録!$B$6:$B$3005,$A256,請求記録!$Z$6:$Z$3005,W$5)=0,"",SUMIFS(請求記録!$AE$6:$AE$3005,請求記録!$B$6:$B$3005,$A256,請求記録!$Z$6:$Z$3005,W$5))))</f>
        <v/>
      </c>
      <c r="X256" s="19">
        <f>IF($A256="","",IF(COUNTIFS(請求記録!$B$6:$B$3005,$A256,請求記録!$Z$6:$Z$3005,X$5,請求記録!$AF$6:$AF$3005,"保留中")&gt;0,"保留",IF(COUNTIFS(請求記録!$B$6:$B$3005,$A256,請求記録!$Z$6:$Z$3005,X$5)=0,"",SUMIFS(請求記録!$AE$6:$AE$3005,請求記録!$B$6:$B$3005,$A256,請求記録!$Z$6:$Z$3005,X$5))))</f>
        <v/>
      </c>
      <c r="Y256" s="19">
        <f>IF($A256="","",IF(COUNTIFS(請求記録!$B$6:$B$3005,$A256,請求記録!$Z$6:$Z$3005,Y$5,請求記録!$AF$6:$AF$3005,"保留中")&gt;0,"保留",IF(COUNTIFS(請求記録!$B$6:$B$3005,$A256,請求記録!$Z$6:$Z$3005,Y$5)=0,"",SUMIFS(請求記録!$AE$6:$AE$3005,請求記録!$B$6:$B$3005,$A256,請求記録!$Z$6:$Z$3005,Y$5))))</f>
        <v/>
      </c>
      <c r="Z256" s="19">
        <f>IF($A256="","",IF(COUNTIFS(請求記録!$B$6:$B$3005,$A256,請求記録!$Z$6:$Z$3005,Z$5,請求記録!$AF$6:$AF$3005,"保留中")&gt;0,"保留",IF(COUNTIFS(請求記録!$B$6:$B$3005,$A256,請求記録!$Z$6:$Z$3005,Z$5)=0,"",SUMIFS(請求記録!$AE$6:$AE$3005,請求記録!$B$6:$B$3005,$A256,請求記録!$Z$6:$Z$3005,Z$5))))</f>
        <v/>
      </c>
      <c r="AA256" s="19">
        <f>IF($A256="","",IF(COUNTIFS(請求記録!$B$6:$B$3005,$A256,請求記録!$Z$6:$Z$3005,AA$5,請求記録!$AF$6:$AF$3005,"保留中")&gt;0,"保留",IF(COUNTIFS(請求記録!$B$6:$B$3005,$A256,請求記録!$Z$6:$Z$3005,AA$5)=0,"",SUMIFS(請求記録!$AE$6:$AE$3005,請求記録!$B$6:$B$3005,$A256,請求記録!$Z$6:$Z$3005,AA$5))))</f>
        <v/>
      </c>
      <c r="AB256">
        <f>IF(職員マスタ!P256="保留中",職員マスタ!M256,"")</f>
        <v/>
      </c>
    </row>
    <row r="257">
      <c r="A257">
        <f>IF(職員マスタ!A257="","",職員マスタ!A257)</f>
        <v/>
      </c>
      <c r="B257">
        <f>IF($A257="","",職員マスタ!B257)</f>
        <v/>
      </c>
      <c r="C257">
        <f>IF($A257="","",職員マスタ!C257)</f>
        <v/>
      </c>
      <c r="D257" s="19">
        <f>IF($A257="","",IF(COUNTIFS(請求記録!$B$6:$B$3005,$A257,請求記録!$Z$6:$Z$3005,D$5,請求記録!$AF$6:$AF$3005,"保留中")&gt;0,"保留",IF(COUNTIFS(請求記録!$B$6:$B$3005,$A257,請求記録!$Z$6:$Z$3005,D$5)=0,"",SUMIFS(請求記録!$AE$6:$AE$3005,請求記録!$B$6:$B$3005,$A257,請求記録!$Z$6:$Z$3005,D$5))))</f>
        <v/>
      </c>
      <c r="E257" s="19">
        <f>IF($A257="","",IF(COUNTIFS(請求記録!$B$6:$B$3005,$A257,請求記録!$Z$6:$Z$3005,E$5,請求記録!$AF$6:$AF$3005,"保留中")&gt;0,"保留",IF(COUNTIFS(請求記録!$B$6:$B$3005,$A257,請求記録!$Z$6:$Z$3005,E$5)=0,"",SUMIFS(請求記録!$AE$6:$AE$3005,請求記録!$B$6:$B$3005,$A257,請求記録!$Z$6:$Z$3005,E$5))))</f>
        <v/>
      </c>
      <c r="F257" s="19">
        <f>IF($A257="","",IF(COUNTIFS(請求記録!$B$6:$B$3005,$A257,請求記録!$Z$6:$Z$3005,F$5,請求記録!$AF$6:$AF$3005,"保留中")&gt;0,"保留",IF(COUNTIFS(請求記録!$B$6:$B$3005,$A257,請求記録!$Z$6:$Z$3005,F$5)=0,"",SUMIFS(請求記録!$AE$6:$AE$3005,請求記録!$B$6:$B$3005,$A257,請求記録!$Z$6:$Z$3005,F$5))))</f>
        <v/>
      </c>
      <c r="G257" s="19">
        <f>IF($A257="","",IF(COUNTIFS(請求記録!$B$6:$B$3005,$A257,請求記録!$Z$6:$Z$3005,G$5,請求記録!$AF$6:$AF$3005,"保留中")&gt;0,"保留",IF(COUNTIFS(請求記録!$B$6:$B$3005,$A257,請求記録!$Z$6:$Z$3005,G$5)=0,"",SUMIFS(請求記録!$AE$6:$AE$3005,請求記録!$B$6:$B$3005,$A257,請求記録!$Z$6:$Z$3005,G$5))))</f>
        <v/>
      </c>
      <c r="H257" s="19">
        <f>IF($A257="","",IF(COUNTIFS(請求記録!$B$6:$B$3005,$A257,請求記録!$Z$6:$Z$3005,H$5,請求記録!$AF$6:$AF$3005,"保留中")&gt;0,"保留",IF(COUNTIFS(請求記録!$B$6:$B$3005,$A257,請求記録!$Z$6:$Z$3005,H$5)=0,"",SUMIFS(請求記録!$AE$6:$AE$3005,請求記録!$B$6:$B$3005,$A257,請求記録!$Z$6:$Z$3005,H$5))))</f>
        <v/>
      </c>
      <c r="I257" s="19">
        <f>IF($A257="","",IF(COUNTIFS(請求記録!$B$6:$B$3005,$A257,請求記録!$Z$6:$Z$3005,I$5,請求記録!$AF$6:$AF$3005,"保留中")&gt;0,"保留",IF(COUNTIFS(請求記録!$B$6:$B$3005,$A257,請求記録!$Z$6:$Z$3005,I$5)=0,"",SUMIFS(請求記録!$AE$6:$AE$3005,請求記録!$B$6:$B$3005,$A257,請求記録!$Z$6:$Z$3005,I$5))))</f>
        <v/>
      </c>
      <c r="J257" s="19">
        <f>IF($A257="","",IF(COUNTIFS(請求記録!$B$6:$B$3005,$A257,請求記録!$Z$6:$Z$3005,J$5,請求記録!$AF$6:$AF$3005,"保留中")&gt;0,"保留",IF(COUNTIFS(請求記録!$B$6:$B$3005,$A257,請求記録!$Z$6:$Z$3005,J$5)=0,"",SUMIFS(請求記録!$AE$6:$AE$3005,請求記録!$B$6:$B$3005,$A257,請求記録!$Z$6:$Z$3005,J$5))))</f>
        <v/>
      </c>
      <c r="K257" s="19">
        <f>IF($A257="","",IF(COUNTIFS(請求記録!$B$6:$B$3005,$A257,請求記録!$Z$6:$Z$3005,K$5,請求記録!$AF$6:$AF$3005,"保留中")&gt;0,"保留",IF(COUNTIFS(請求記録!$B$6:$B$3005,$A257,請求記録!$Z$6:$Z$3005,K$5)=0,"",SUMIFS(請求記録!$AE$6:$AE$3005,請求記録!$B$6:$B$3005,$A257,請求記録!$Z$6:$Z$3005,K$5))))</f>
        <v/>
      </c>
      <c r="L257" s="19">
        <f>IF($A257="","",IF(COUNTIFS(請求記録!$B$6:$B$3005,$A257,請求記録!$Z$6:$Z$3005,L$5,請求記録!$AF$6:$AF$3005,"保留中")&gt;0,"保留",IF(COUNTIFS(請求記録!$B$6:$B$3005,$A257,請求記録!$Z$6:$Z$3005,L$5)=0,"",SUMIFS(請求記録!$AE$6:$AE$3005,請求記録!$B$6:$B$3005,$A257,請求記録!$Z$6:$Z$3005,L$5))))</f>
        <v/>
      </c>
      <c r="M257" s="19">
        <f>IF($A257="","",IF(COUNTIFS(請求記録!$B$6:$B$3005,$A257,請求記録!$Z$6:$Z$3005,M$5,請求記録!$AF$6:$AF$3005,"保留中")&gt;0,"保留",IF(COUNTIFS(請求記録!$B$6:$B$3005,$A257,請求記録!$Z$6:$Z$3005,M$5)=0,"",SUMIFS(請求記録!$AE$6:$AE$3005,請求記録!$B$6:$B$3005,$A257,請求記録!$Z$6:$Z$3005,M$5))))</f>
        <v/>
      </c>
      <c r="N257" s="19">
        <f>IF($A257="","",IF(COUNTIFS(請求記録!$B$6:$B$3005,$A257,請求記録!$Z$6:$Z$3005,N$5,請求記録!$AF$6:$AF$3005,"保留中")&gt;0,"保留",IF(COUNTIFS(請求記録!$B$6:$B$3005,$A257,請求記録!$Z$6:$Z$3005,N$5)=0,"",SUMIFS(請求記録!$AE$6:$AE$3005,請求記録!$B$6:$B$3005,$A257,請求記録!$Z$6:$Z$3005,N$5))))</f>
        <v/>
      </c>
      <c r="O257" s="19">
        <f>IF($A257="","",IF(COUNTIFS(請求記録!$B$6:$B$3005,$A257,請求記録!$Z$6:$Z$3005,O$5,請求記録!$AF$6:$AF$3005,"保留中")&gt;0,"保留",IF(COUNTIFS(請求記録!$B$6:$B$3005,$A257,請求記録!$Z$6:$Z$3005,O$5)=0,"",SUMIFS(請求記録!$AE$6:$AE$3005,請求記録!$B$6:$B$3005,$A257,請求記録!$Z$6:$Z$3005,O$5))))</f>
        <v/>
      </c>
      <c r="P257" s="19">
        <f>IF($A257="","",IF(COUNTIFS(請求記録!$B$6:$B$3005,$A257,請求記録!$Z$6:$Z$3005,P$5,請求記録!$AF$6:$AF$3005,"保留中")&gt;0,"保留",IF(COUNTIFS(請求記録!$B$6:$B$3005,$A257,請求記録!$Z$6:$Z$3005,P$5)=0,"",SUMIFS(請求記録!$AE$6:$AE$3005,請求記録!$B$6:$B$3005,$A257,請求記録!$Z$6:$Z$3005,P$5))))</f>
        <v/>
      </c>
      <c r="Q257" s="19">
        <f>IF($A257="","",IF(COUNTIFS(請求記録!$B$6:$B$3005,$A257,請求記録!$Z$6:$Z$3005,Q$5,請求記録!$AF$6:$AF$3005,"保留中")&gt;0,"保留",IF(COUNTIFS(請求記録!$B$6:$B$3005,$A257,請求記録!$Z$6:$Z$3005,Q$5)=0,"",SUMIFS(請求記録!$AE$6:$AE$3005,請求記録!$B$6:$B$3005,$A257,請求記録!$Z$6:$Z$3005,Q$5))))</f>
        <v/>
      </c>
      <c r="R257" s="19">
        <f>IF($A257="","",IF(COUNTIFS(請求記録!$B$6:$B$3005,$A257,請求記録!$Z$6:$Z$3005,R$5,請求記録!$AF$6:$AF$3005,"保留中")&gt;0,"保留",IF(COUNTIFS(請求記録!$B$6:$B$3005,$A257,請求記録!$Z$6:$Z$3005,R$5)=0,"",SUMIFS(請求記録!$AE$6:$AE$3005,請求記録!$B$6:$B$3005,$A257,請求記録!$Z$6:$Z$3005,R$5))))</f>
        <v/>
      </c>
      <c r="S257" s="19">
        <f>IF($A257="","",IF(COUNTIFS(請求記録!$B$6:$B$3005,$A257,請求記録!$Z$6:$Z$3005,S$5,請求記録!$AF$6:$AF$3005,"保留中")&gt;0,"保留",IF(COUNTIFS(請求記録!$B$6:$B$3005,$A257,請求記録!$Z$6:$Z$3005,S$5)=0,"",SUMIFS(請求記録!$AE$6:$AE$3005,請求記録!$B$6:$B$3005,$A257,請求記録!$Z$6:$Z$3005,S$5))))</f>
        <v/>
      </c>
      <c r="T257" s="19">
        <f>IF($A257="","",IF(COUNTIFS(請求記録!$B$6:$B$3005,$A257,請求記録!$Z$6:$Z$3005,T$5,請求記録!$AF$6:$AF$3005,"保留中")&gt;0,"保留",IF(COUNTIFS(請求記録!$B$6:$B$3005,$A257,請求記録!$Z$6:$Z$3005,T$5)=0,"",SUMIFS(請求記録!$AE$6:$AE$3005,請求記録!$B$6:$B$3005,$A257,請求記録!$Z$6:$Z$3005,T$5))))</f>
        <v/>
      </c>
      <c r="U257" s="19">
        <f>IF($A257="","",IF(COUNTIFS(請求記録!$B$6:$B$3005,$A257,請求記録!$Z$6:$Z$3005,U$5,請求記録!$AF$6:$AF$3005,"保留中")&gt;0,"保留",IF(COUNTIFS(請求記録!$B$6:$B$3005,$A257,請求記録!$Z$6:$Z$3005,U$5)=0,"",SUMIFS(請求記録!$AE$6:$AE$3005,請求記録!$B$6:$B$3005,$A257,請求記録!$Z$6:$Z$3005,U$5))))</f>
        <v/>
      </c>
      <c r="V257" s="19">
        <f>IF($A257="","",IF(COUNTIFS(請求記録!$B$6:$B$3005,$A257,請求記録!$Z$6:$Z$3005,V$5,請求記録!$AF$6:$AF$3005,"保留中")&gt;0,"保留",IF(COUNTIFS(請求記録!$B$6:$B$3005,$A257,請求記録!$Z$6:$Z$3005,V$5)=0,"",SUMIFS(請求記録!$AE$6:$AE$3005,請求記録!$B$6:$B$3005,$A257,請求記録!$Z$6:$Z$3005,V$5))))</f>
        <v/>
      </c>
      <c r="W257" s="19">
        <f>IF($A257="","",IF(COUNTIFS(請求記録!$B$6:$B$3005,$A257,請求記録!$Z$6:$Z$3005,W$5,請求記録!$AF$6:$AF$3005,"保留中")&gt;0,"保留",IF(COUNTIFS(請求記録!$B$6:$B$3005,$A257,請求記録!$Z$6:$Z$3005,W$5)=0,"",SUMIFS(請求記録!$AE$6:$AE$3005,請求記録!$B$6:$B$3005,$A257,請求記録!$Z$6:$Z$3005,W$5))))</f>
        <v/>
      </c>
      <c r="X257" s="19">
        <f>IF($A257="","",IF(COUNTIFS(請求記録!$B$6:$B$3005,$A257,請求記録!$Z$6:$Z$3005,X$5,請求記録!$AF$6:$AF$3005,"保留中")&gt;0,"保留",IF(COUNTIFS(請求記録!$B$6:$B$3005,$A257,請求記録!$Z$6:$Z$3005,X$5)=0,"",SUMIFS(請求記録!$AE$6:$AE$3005,請求記録!$B$6:$B$3005,$A257,請求記録!$Z$6:$Z$3005,X$5))))</f>
        <v/>
      </c>
      <c r="Y257" s="19">
        <f>IF($A257="","",IF(COUNTIFS(請求記録!$B$6:$B$3005,$A257,請求記録!$Z$6:$Z$3005,Y$5,請求記録!$AF$6:$AF$3005,"保留中")&gt;0,"保留",IF(COUNTIFS(請求記録!$B$6:$B$3005,$A257,請求記録!$Z$6:$Z$3005,Y$5)=0,"",SUMIFS(請求記録!$AE$6:$AE$3005,請求記録!$B$6:$B$3005,$A257,請求記録!$Z$6:$Z$3005,Y$5))))</f>
        <v/>
      </c>
      <c r="Z257" s="19">
        <f>IF($A257="","",IF(COUNTIFS(請求記録!$B$6:$B$3005,$A257,請求記録!$Z$6:$Z$3005,Z$5,請求記録!$AF$6:$AF$3005,"保留中")&gt;0,"保留",IF(COUNTIFS(請求記録!$B$6:$B$3005,$A257,請求記録!$Z$6:$Z$3005,Z$5)=0,"",SUMIFS(請求記録!$AE$6:$AE$3005,請求記録!$B$6:$B$3005,$A257,請求記録!$Z$6:$Z$3005,Z$5))))</f>
        <v/>
      </c>
      <c r="AA257" s="19">
        <f>IF($A257="","",IF(COUNTIFS(請求記録!$B$6:$B$3005,$A257,請求記録!$Z$6:$Z$3005,AA$5,請求記録!$AF$6:$AF$3005,"保留中")&gt;0,"保留",IF(COUNTIFS(請求記録!$B$6:$B$3005,$A257,請求記録!$Z$6:$Z$3005,AA$5)=0,"",SUMIFS(請求記録!$AE$6:$AE$3005,請求記録!$B$6:$B$3005,$A257,請求記録!$Z$6:$Z$3005,AA$5))))</f>
        <v/>
      </c>
      <c r="AB257">
        <f>IF(職員マスタ!P257="保留中",職員マスタ!M257,"")</f>
        <v/>
      </c>
    </row>
    <row r="258">
      <c r="A258">
        <f>IF(職員マスタ!A258="","",職員マスタ!A258)</f>
        <v/>
      </c>
      <c r="B258">
        <f>IF($A258="","",職員マスタ!B258)</f>
        <v/>
      </c>
      <c r="C258">
        <f>IF($A258="","",職員マスタ!C258)</f>
        <v/>
      </c>
      <c r="D258" s="19">
        <f>IF($A258="","",IF(COUNTIFS(請求記録!$B$6:$B$3005,$A258,請求記録!$Z$6:$Z$3005,D$5,請求記録!$AF$6:$AF$3005,"保留中")&gt;0,"保留",IF(COUNTIFS(請求記録!$B$6:$B$3005,$A258,請求記録!$Z$6:$Z$3005,D$5)=0,"",SUMIFS(請求記録!$AE$6:$AE$3005,請求記録!$B$6:$B$3005,$A258,請求記録!$Z$6:$Z$3005,D$5))))</f>
        <v/>
      </c>
      <c r="E258" s="19">
        <f>IF($A258="","",IF(COUNTIFS(請求記録!$B$6:$B$3005,$A258,請求記録!$Z$6:$Z$3005,E$5,請求記録!$AF$6:$AF$3005,"保留中")&gt;0,"保留",IF(COUNTIFS(請求記録!$B$6:$B$3005,$A258,請求記録!$Z$6:$Z$3005,E$5)=0,"",SUMIFS(請求記録!$AE$6:$AE$3005,請求記録!$B$6:$B$3005,$A258,請求記録!$Z$6:$Z$3005,E$5))))</f>
        <v/>
      </c>
      <c r="F258" s="19">
        <f>IF($A258="","",IF(COUNTIFS(請求記録!$B$6:$B$3005,$A258,請求記録!$Z$6:$Z$3005,F$5,請求記録!$AF$6:$AF$3005,"保留中")&gt;0,"保留",IF(COUNTIFS(請求記録!$B$6:$B$3005,$A258,請求記録!$Z$6:$Z$3005,F$5)=0,"",SUMIFS(請求記録!$AE$6:$AE$3005,請求記録!$B$6:$B$3005,$A258,請求記録!$Z$6:$Z$3005,F$5))))</f>
        <v/>
      </c>
      <c r="G258" s="19">
        <f>IF($A258="","",IF(COUNTIFS(請求記録!$B$6:$B$3005,$A258,請求記録!$Z$6:$Z$3005,G$5,請求記録!$AF$6:$AF$3005,"保留中")&gt;0,"保留",IF(COUNTIFS(請求記録!$B$6:$B$3005,$A258,請求記録!$Z$6:$Z$3005,G$5)=0,"",SUMIFS(請求記録!$AE$6:$AE$3005,請求記録!$B$6:$B$3005,$A258,請求記録!$Z$6:$Z$3005,G$5))))</f>
        <v/>
      </c>
      <c r="H258" s="19">
        <f>IF($A258="","",IF(COUNTIFS(請求記録!$B$6:$B$3005,$A258,請求記録!$Z$6:$Z$3005,H$5,請求記録!$AF$6:$AF$3005,"保留中")&gt;0,"保留",IF(COUNTIFS(請求記録!$B$6:$B$3005,$A258,請求記録!$Z$6:$Z$3005,H$5)=0,"",SUMIFS(請求記録!$AE$6:$AE$3005,請求記録!$B$6:$B$3005,$A258,請求記録!$Z$6:$Z$3005,H$5))))</f>
        <v/>
      </c>
      <c r="I258" s="19">
        <f>IF($A258="","",IF(COUNTIFS(請求記録!$B$6:$B$3005,$A258,請求記録!$Z$6:$Z$3005,I$5,請求記録!$AF$6:$AF$3005,"保留中")&gt;0,"保留",IF(COUNTIFS(請求記録!$B$6:$B$3005,$A258,請求記録!$Z$6:$Z$3005,I$5)=0,"",SUMIFS(請求記録!$AE$6:$AE$3005,請求記録!$B$6:$B$3005,$A258,請求記録!$Z$6:$Z$3005,I$5))))</f>
        <v/>
      </c>
      <c r="J258" s="19">
        <f>IF($A258="","",IF(COUNTIFS(請求記録!$B$6:$B$3005,$A258,請求記録!$Z$6:$Z$3005,J$5,請求記録!$AF$6:$AF$3005,"保留中")&gt;0,"保留",IF(COUNTIFS(請求記録!$B$6:$B$3005,$A258,請求記録!$Z$6:$Z$3005,J$5)=0,"",SUMIFS(請求記録!$AE$6:$AE$3005,請求記録!$B$6:$B$3005,$A258,請求記録!$Z$6:$Z$3005,J$5))))</f>
        <v/>
      </c>
      <c r="K258" s="19">
        <f>IF($A258="","",IF(COUNTIFS(請求記録!$B$6:$B$3005,$A258,請求記録!$Z$6:$Z$3005,K$5,請求記録!$AF$6:$AF$3005,"保留中")&gt;0,"保留",IF(COUNTIFS(請求記録!$B$6:$B$3005,$A258,請求記録!$Z$6:$Z$3005,K$5)=0,"",SUMIFS(請求記録!$AE$6:$AE$3005,請求記録!$B$6:$B$3005,$A258,請求記録!$Z$6:$Z$3005,K$5))))</f>
        <v/>
      </c>
      <c r="L258" s="19">
        <f>IF($A258="","",IF(COUNTIFS(請求記録!$B$6:$B$3005,$A258,請求記録!$Z$6:$Z$3005,L$5,請求記録!$AF$6:$AF$3005,"保留中")&gt;0,"保留",IF(COUNTIFS(請求記録!$B$6:$B$3005,$A258,請求記録!$Z$6:$Z$3005,L$5)=0,"",SUMIFS(請求記録!$AE$6:$AE$3005,請求記録!$B$6:$B$3005,$A258,請求記録!$Z$6:$Z$3005,L$5))))</f>
        <v/>
      </c>
      <c r="M258" s="19">
        <f>IF($A258="","",IF(COUNTIFS(請求記録!$B$6:$B$3005,$A258,請求記録!$Z$6:$Z$3005,M$5,請求記録!$AF$6:$AF$3005,"保留中")&gt;0,"保留",IF(COUNTIFS(請求記録!$B$6:$B$3005,$A258,請求記録!$Z$6:$Z$3005,M$5)=0,"",SUMIFS(請求記録!$AE$6:$AE$3005,請求記録!$B$6:$B$3005,$A258,請求記録!$Z$6:$Z$3005,M$5))))</f>
        <v/>
      </c>
      <c r="N258" s="19">
        <f>IF($A258="","",IF(COUNTIFS(請求記録!$B$6:$B$3005,$A258,請求記録!$Z$6:$Z$3005,N$5,請求記録!$AF$6:$AF$3005,"保留中")&gt;0,"保留",IF(COUNTIFS(請求記録!$B$6:$B$3005,$A258,請求記録!$Z$6:$Z$3005,N$5)=0,"",SUMIFS(請求記録!$AE$6:$AE$3005,請求記録!$B$6:$B$3005,$A258,請求記録!$Z$6:$Z$3005,N$5))))</f>
        <v/>
      </c>
      <c r="O258" s="19">
        <f>IF($A258="","",IF(COUNTIFS(請求記録!$B$6:$B$3005,$A258,請求記録!$Z$6:$Z$3005,O$5,請求記録!$AF$6:$AF$3005,"保留中")&gt;0,"保留",IF(COUNTIFS(請求記録!$B$6:$B$3005,$A258,請求記録!$Z$6:$Z$3005,O$5)=0,"",SUMIFS(請求記録!$AE$6:$AE$3005,請求記録!$B$6:$B$3005,$A258,請求記録!$Z$6:$Z$3005,O$5))))</f>
        <v/>
      </c>
      <c r="P258" s="19">
        <f>IF($A258="","",IF(COUNTIFS(請求記録!$B$6:$B$3005,$A258,請求記録!$Z$6:$Z$3005,P$5,請求記録!$AF$6:$AF$3005,"保留中")&gt;0,"保留",IF(COUNTIFS(請求記録!$B$6:$B$3005,$A258,請求記録!$Z$6:$Z$3005,P$5)=0,"",SUMIFS(請求記録!$AE$6:$AE$3005,請求記録!$B$6:$B$3005,$A258,請求記録!$Z$6:$Z$3005,P$5))))</f>
        <v/>
      </c>
      <c r="Q258" s="19">
        <f>IF($A258="","",IF(COUNTIFS(請求記録!$B$6:$B$3005,$A258,請求記録!$Z$6:$Z$3005,Q$5,請求記録!$AF$6:$AF$3005,"保留中")&gt;0,"保留",IF(COUNTIFS(請求記録!$B$6:$B$3005,$A258,請求記録!$Z$6:$Z$3005,Q$5)=0,"",SUMIFS(請求記録!$AE$6:$AE$3005,請求記録!$B$6:$B$3005,$A258,請求記録!$Z$6:$Z$3005,Q$5))))</f>
        <v/>
      </c>
      <c r="R258" s="19">
        <f>IF($A258="","",IF(COUNTIFS(請求記録!$B$6:$B$3005,$A258,請求記録!$Z$6:$Z$3005,R$5,請求記録!$AF$6:$AF$3005,"保留中")&gt;0,"保留",IF(COUNTIFS(請求記録!$B$6:$B$3005,$A258,請求記録!$Z$6:$Z$3005,R$5)=0,"",SUMIFS(請求記録!$AE$6:$AE$3005,請求記録!$B$6:$B$3005,$A258,請求記録!$Z$6:$Z$3005,R$5))))</f>
        <v/>
      </c>
      <c r="S258" s="19">
        <f>IF($A258="","",IF(COUNTIFS(請求記録!$B$6:$B$3005,$A258,請求記録!$Z$6:$Z$3005,S$5,請求記録!$AF$6:$AF$3005,"保留中")&gt;0,"保留",IF(COUNTIFS(請求記録!$B$6:$B$3005,$A258,請求記録!$Z$6:$Z$3005,S$5)=0,"",SUMIFS(請求記録!$AE$6:$AE$3005,請求記録!$B$6:$B$3005,$A258,請求記録!$Z$6:$Z$3005,S$5))))</f>
        <v/>
      </c>
      <c r="T258" s="19">
        <f>IF($A258="","",IF(COUNTIFS(請求記録!$B$6:$B$3005,$A258,請求記録!$Z$6:$Z$3005,T$5,請求記録!$AF$6:$AF$3005,"保留中")&gt;0,"保留",IF(COUNTIFS(請求記録!$B$6:$B$3005,$A258,請求記録!$Z$6:$Z$3005,T$5)=0,"",SUMIFS(請求記録!$AE$6:$AE$3005,請求記録!$B$6:$B$3005,$A258,請求記録!$Z$6:$Z$3005,T$5))))</f>
        <v/>
      </c>
      <c r="U258" s="19">
        <f>IF($A258="","",IF(COUNTIFS(請求記録!$B$6:$B$3005,$A258,請求記録!$Z$6:$Z$3005,U$5,請求記録!$AF$6:$AF$3005,"保留中")&gt;0,"保留",IF(COUNTIFS(請求記録!$B$6:$B$3005,$A258,請求記録!$Z$6:$Z$3005,U$5)=0,"",SUMIFS(請求記録!$AE$6:$AE$3005,請求記録!$B$6:$B$3005,$A258,請求記録!$Z$6:$Z$3005,U$5))))</f>
        <v/>
      </c>
      <c r="V258" s="19">
        <f>IF($A258="","",IF(COUNTIFS(請求記録!$B$6:$B$3005,$A258,請求記録!$Z$6:$Z$3005,V$5,請求記録!$AF$6:$AF$3005,"保留中")&gt;0,"保留",IF(COUNTIFS(請求記録!$B$6:$B$3005,$A258,請求記録!$Z$6:$Z$3005,V$5)=0,"",SUMIFS(請求記録!$AE$6:$AE$3005,請求記録!$B$6:$B$3005,$A258,請求記録!$Z$6:$Z$3005,V$5))))</f>
        <v/>
      </c>
      <c r="W258" s="19">
        <f>IF($A258="","",IF(COUNTIFS(請求記録!$B$6:$B$3005,$A258,請求記録!$Z$6:$Z$3005,W$5,請求記録!$AF$6:$AF$3005,"保留中")&gt;0,"保留",IF(COUNTIFS(請求記録!$B$6:$B$3005,$A258,請求記録!$Z$6:$Z$3005,W$5)=0,"",SUMIFS(請求記録!$AE$6:$AE$3005,請求記録!$B$6:$B$3005,$A258,請求記録!$Z$6:$Z$3005,W$5))))</f>
        <v/>
      </c>
      <c r="X258" s="19">
        <f>IF($A258="","",IF(COUNTIFS(請求記録!$B$6:$B$3005,$A258,請求記録!$Z$6:$Z$3005,X$5,請求記録!$AF$6:$AF$3005,"保留中")&gt;0,"保留",IF(COUNTIFS(請求記録!$B$6:$B$3005,$A258,請求記録!$Z$6:$Z$3005,X$5)=0,"",SUMIFS(請求記録!$AE$6:$AE$3005,請求記録!$B$6:$B$3005,$A258,請求記録!$Z$6:$Z$3005,X$5))))</f>
        <v/>
      </c>
      <c r="Y258" s="19">
        <f>IF($A258="","",IF(COUNTIFS(請求記録!$B$6:$B$3005,$A258,請求記録!$Z$6:$Z$3005,Y$5,請求記録!$AF$6:$AF$3005,"保留中")&gt;0,"保留",IF(COUNTIFS(請求記録!$B$6:$B$3005,$A258,請求記録!$Z$6:$Z$3005,Y$5)=0,"",SUMIFS(請求記録!$AE$6:$AE$3005,請求記録!$B$6:$B$3005,$A258,請求記録!$Z$6:$Z$3005,Y$5))))</f>
        <v/>
      </c>
      <c r="Z258" s="19">
        <f>IF($A258="","",IF(COUNTIFS(請求記録!$B$6:$B$3005,$A258,請求記録!$Z$6:$Z$3005,Z$5,請求記録!$AF$6:$AF$3005,"保留中")&gt;0,"保留",IF(COUNTIFS(請求記録!$B$6:$B$3005,$A258,請求記録!$Z$6:$Z$3005,Z$5)=0,"",SUMIFS(請求記録!$AE$6:$AE$3005,請求記録!$B$6:$B$3005,$A258,請求記録!$Z$6:$Z$3005,Z$5))))</f>
        <v/>
      </c>
      <c r="AA258" s="19">
        <f>IF($A258="","",IF(COUNTIFS(請求記録!$B$6:$B$3005,$A258,請求記録!$Z$6:$Z$3005,AA$5,請求記録!$AF$6:$AF$3005,"保留中")&gt;0,"保留",IF(COUNTIFS(請求記録!$B$6:$B$3005,$A258,請求記録!$Z$6:$Z$3005,AA$5)=0,"",SUMIFS(請求記録!$AE$6:$AE$3005,請求記録!$B$6:$B$3005,$A258,請求記録!$Z$6:$Z$3005,AA$5))))</f>
        <v/>
      </c>
      <c r="AB258">
        <f>IF(職員マスタ!P258="保留中",職員マスタ!M258,"")</f>
        <v/>
      </c>
    </row>
    <row r="259">
      <c r="A259">
        <f>IF(職員マスタ!A259="","",職員マスタ!A259)</f>
        <v/>
      </c>
      <c r="B259">
        <f>IF($A259="","",職員マスタ!B259)</f>
        <v/>
      </c>
      <c r="C259">
        <f>IF($A259="","",職員マスタ!C259)</f>
        <v/>
      </c>
      <c r="D259" s="19">
        <f>IF($A259="","",IF(COUNTIFS(請求記録!$B$6:$B$3005,$A259,請求記録!$Z$6:$Z$3005,D$5,請求記録!$AF$6:$AF$3005,"保留中")&gt;0,"保留",IF(COUNTIFS(請求記録!$B$6:$B$3005,$A259,請求記録!$Z$6:$Z$3005,D$5)=0,"",SUMIFS(請求記録!$AE$6:$AE$3005,請求記録!$B$6:$B$3005,$A259,請求記録!$Z$6:$Z$3005,D$5))))</f>
        <v/>
      </c>
      <c r="E259" s="19">
        <f>IF($A259="","",IF(COUNTIFS(請求記録!$B$6:$B$3005,$A259,請求記録!$Z$6:$Z$3005,E$5,請求記録!$AF$6:$AF$3005,"保留中")&gt;0,"保留",IF(COUNTIFS(請求記録!$B$6:$B$3005,$A259,請求記録!$Z$6:$Z$3005,E$5)=0,"",SUMIFS(請求記録!$AE$6:$AE$3005,請求記録!$B$6:$B$3005,$A259,請求記録!$Z$6:$Z$3005,E$5))))</f>
        <v/>
      </c>
      <c r="F259" s="19">
        <f>IF($A259="","",IF(COUNTIFS(請求記録!$B$6:$B$3005,$A259,請求記録!$Z$6:$Z$3005,F$5,請求記録!$AF$6:$AF$3005,"保留中")&gt;0,"保留",IF(COUNTIFS(請求記録!$B$6:$B$3005,$A259,請求記録!$Z$6:$Z$3005,F$5)=0,"",SUMIFS(請求記録!$AE$6:$AE$3005,請求記録!$B$6:$B$3005,$A259,請求記録!$Z$6:$Z$3005,F$5))))</f>
        <v/>
      </c>
      <c r="G259" s="19">
        <f>IF($A259="","",IF(COUNTIFS(請求記録!$B$6:$B$3005,$A259,請求記録!$Z$6:$Z$3005,G$5,請求記録!$AF$6:$AF$3005,"保留中")&gt;0,"保留",IF(COUNTIFS(請求記録!$B$6:$B$3005,$A259,請求記録!$Z$6:$Z$3005,G$5)=0,"",SUMIFS(請求記録!$AE$6:$AE$3005,請求記録!$B$6:$B$3005,$A259,請求記録!$Z$6:$Z$3005,G$5))))</f>
        <v/>
      </c>
      <c r="H259" s="19">
        <f>IF($A259="","",IF(COUNTIFS(請求記録!$B$6:$B$3005,$A259,請求記録!$Z$6:$Z$3005,H$5,請求記録!$AF$6:$AF$3005,"保留中")&gt;0,"保留",IF(COUNTIFS(請求記録!$B$6:$B$3005,$A259,請求記録!$Z$6:$Z$3005,H$5)=0,"",SUMIFS(請求記録!$AE$6:$AE$3005,請求記録!$B$6:$B$3005,$A259,請求記録!$Z$6:$Z$3005,H$5))))</f>
        <v/>
      </c>
      <c r="I259" s="19">
        <f>IF($A259="","",IF(COUNTIFS(請求記録!$B$6:$B$3005,$A259,請求記録!$Z$6:$Z$3005,I$5,請求記録!$AF$6:$AF$3005,"保留中")&gt;0,"保留",IF(COUNTIFS(請求記録!$B$6:$B$3005,$A259,請求記録!$Z$6:$Z$3005,I$5)=0,"",SUMIFS(請求記録!$AE$6:$AE$3005,請求記録!$B$6:$B$3005,$A259,請求記録!$Z$6:$Z$3005,I$5))))</f>
        <v/>
      </c>
      <c r="J259" s="19">
        <f>IF($A259="","",IF(COUNTIFS(請求記録!$B$6:$B$3005,$A259,請求記録!$Z$6:$Z$3005,J$5,請求記録!$AF$6:$AF$3005,"保留中")&gt;0,"保留",IF(COUNTIFS(請求記録!$B$6:$B$3005,$A259,請求記録!$Z$6:$Z$3005,J$5)=0,"",SUMIFS(請求記録!$AE$6:$AE$3005,請求記録!$B$6:$B$3005,$A259,請求記録!$Z$6:$Z$3005,J$5))))</f>
        <v/>
      </c>
      <c r="K259" s="19">
        <f>IF($A259="","",IF(COUNTIFS(請求記録!$B$6:$B$3005,$A259,請求記録!$Z$6:$Z$3005,K$5,請求記録!$AF$6:$AF$3005,"保留中")&gt;0,"保留",IF(COUNTIFS(請求記録!$B$6:$B$3005,$A259,請求記録!$Z$6:$Z$3005,K$5)=0,"",SUMIFS(請求記録!$AE$6:$AE$3005,請求記録!$B$6:$B$3005,$A259,請求記録!$Z$6:$Z$3005,K$5))))</f>
        <v/>
      </c>
      <c r="L259" s="19">
        <f>IF($A259="","",IF(COUNTIFS(請求記録!$B$6:$B$3005,$A259,請求記録!$Z$6:$Z$3005,L$5,請求記録!$AF$6:$AF$3005,"保留中")&gt;0,"保留",IF(COUNTIFS(請求記録!$B$6:$B$3005,$A259,請求記録!$Z$6:$Z$3005,L$5)=0,"",SUMIFS(請求記録!$AE$6:$AE$3005,請求記録!$B$6:$B$3005,$A259,請求記録!$Z$6:$Z$3005,L$5))))</f>
        <v/>
      </c>
      <c r="M259" s="19">
        <f>IF($A259="","",IF(COUNTIFS(請求記録!$B$6:$B$3005,$A259,請求記録!$Z$6:$Z$3005,M$5,請求記録!$AF$6:$AF$3005,"保留中")&gt;0,"保留",IF(COUNTIFS(請求記録!$B$6:$B$3005,$A259,請求記録!$Z$6:$Z$3005,M$5)=0,"",SUMIFS(請求記録!$AE$6:$AE$3005,請求記録!$B$6:$B$3005,$A259,請求記録!$Z$6:$Z$3005,M$5))))</f>
        <v/>
      </c>
      <c r="N259" s="19">
        <f>IF($A259="","",IF(COUNTIFS(請求記録!$B$6:$B$3005,$A259,請求記録!$Z$6:$Z$3005,N$5,請求記録!$AF$6:$AF$3005,"保留中")&gt;0,"保留",IF(COUNTIFS(請求記録!$B$6:$B$3005,$A259,請求記録!$Z$6:$Z$3005,N$5)=0,"",SUMIFS(請求記録!$AE$6:$AE$3005,請求記録!$B$6:$B$3005,$A259,請求記録!$Z$6:$Z$3005,N$5))))</f>
        <v/>
      </c>
      <c r="O259" s="19">
        <f>IF($A259="","",IF(COUNTIFS(請求記録!$B$6:$B$3005,$A259,請求記録!$Z$6:$Z$3005,O$5,請求記録!$AF$6:$AF$3005,"保留中")&gt;0,"保留",IF(COUNTIFS(請求記録!$B$6:$B$3005,$A259,請求記録!$Z$6:$Z$3005,O$5)=0,"",SUMIFS(請求記録!$AE$6:$AE$3005,請求記録!$B$6:$B$3005,$A259,請求記録!$Z$6:$Z$3005,O$5))))</f>
        <v/>
      </c>
      <c r="P259" s="19">
        <f>IF($A259="","",IF(COUNTIFS(請求記録!$B$6:$B$3005,$A259,請求記録!$Z$6:$Z$3005,P$5,請求記録!$AF$6:$AF$3005,"保留中")&gt;0,"保留",IF(COUNTIFS(請求記録!$B$6:$B$3005,$A259,請求記録!$Z$6:$Z$3005,P$5)=0,"",SUMIFS(請求記録!$AE$6:$AE$3005,請求記録!$B$6:$B$3005,$A259,請求記録!$Z$6:$Z$3005,P$5))))</f>
        <v/>
      </c>
      <c r="Q259" s="19">
        <f>IF($A259="","",IF(COUNTIFS(請求記録!$B$6:$B$3005,$A259,請求記録!$Z$6:$Z$3005,Q$5,請求記録!$AF$6:$AF$3005,"保留中")&gt;0,"保留",IF(COUNTIFS(請求記録!$B$6:$B$3005,$A259,請求記録!$Z$6:$Z$3005,Q$5)=0,"",SUMIFS(請求記録!$AE$6:$AE$3005,請求記録!$B$6:$B$3005,$A259,請求記録!$Z$6:$Z$3005,Q$5))))</f>
        <v/>
      </c>
      <c r="R259" s="19">
        <f>IF($A259="","",IF(COUNTIFS(請求記録!$B$6:$B$3005,$A259,請求記録!$Z$6:$Z$3005,R$5,請求記録!$AF$6:$AF$3005,"保留中")&gt;0,"保留",IF(COUNTIFS(請求記録!$B$6:$B$3005,$A259,請求記録!$Z$6:$Z$3005,R$5)=0,"",SUMIFS(請求記録!$AE$6:$AE$3005,請求記録!$B$6:$B$3005,$A259,請求記録!$Z$6:$Z$3005,R$5))))</f>
        <v/>
      </c>
      <c r="S259" s="19">
        <f>IF($A259="","",IF(COUNTIFS(請求記録!$B$6:$B$3005,$A259,請求記録!$Z$6:$Z$3005,S$5,請求記録!$AF$6:$AF$3005,"保留中")&gt;0,"保留",IF(COUNTIFS(請求記録!$B$6:$B$3005,$A259,請求記録!$Z$6:$Z$3005,S$5)=0,"",SUMIFS(請求記録!$AE$6:$AE$3005,請求記録!$B$6:$B$3005,$A259,請求記録!$Z$6:$Z$3005,S$5))))</f>
        <v/>
      </c>
      <c r="T259" s="19">
        <f>IF($A259="","",IF(COUNTIFS(請求記録!$B$6:$B$3005,$A259,請求記録!$Z$6:$Z$3005,T$5,請求記録!$AF$6:$AF$3005,"保留中")&gt;0,"保留",IF(COUNTIFS(請求記録!$B$6:$B$3005,$A259,請求記録!$Z$6:$Z$3005,T$5)=0,"",SUMIFS(請求記録!$AE$6:$AE$3005,請求記録!$B$6:$B$3005,$A259,請求記録!$Z$6:$Z$3005,T$5))))</f>
        <v/>
      </c>
      <c r="U259" s="19">
        <f>IF($A259="","",IF(COUNTIFS(請求記録!$B$6:$B$3005,$A259,請求記録!$Z$6:$Z$3005,U$5,請求記録!$AF$6:$AF$3005,"保留中")&gt;0,"保留",IF(COUNTIFS(請求記録!$B$6:$B$3005,$A259,請求記録!$Z$6:$Z$3005,U$5)=0,"",SUMIFS(請求記録!$AE$6:$AE$3005,請求記録!$B$6:$B$3005,$A259,請求記録!$Z$6:$Z$3005,U$5))))</f>
        <v/>
      </c>
      <c r="V259" s="19">
        <f>IF($A259="","",IF(COUNTIFS(請求記録!$B$6:$B$3005,$A259,請求記録!$Z$6:$Z$3005,V$5,請求記録!$AF$6:$AF$3005,"保留中")&gt;0,"保留",IF(COUNTIFS(請求記録!$B$6:$B$3005,$A259,請求記録!$Z$6:$Z$3005,V$5)=0,"",SUMIFS(請求記録!$AE$6:$AE$3005,請求記録!$B$6:$B$3005,$A259,請求記録!$Z$6:$Z$3005,V$5))))</f>
        <v/>
      </c>
      <c r="W259" s="19">
        <f>IF($A259="","",IF(COUNTIFS(請求記録!$B$6:$B$3005,$A259,請求記録!$Z$6:$Z$3005,W$5,請求記録!$AF$6:$AF$3005,"保留中")&gt;0,"保留",IF(COUNTIFS(請求記録!$B$6:$B$3005,$A259,請求記録!$Z$6:$Z$3005,W$5)=0,"",SUMIFS(請求記録!$AE$6:$AE$3005,請求記録!$B$6:$B$3005,$A259,請求記録!$Z$6:$Z$3005,W$5))))</f>
        <v/>
      </c>
      <c r="X259" s="19">
        <f>IF($A259="","",IF(COUNTIFS(請求記録!$B$6:$B$3005,$A259,請求記録!$Z$6:$Z$3005,X$5,請求記録!$AF$6:$AF$3005,"保留中")&gt;0,"保留",IF(COUNTIFS(請求記録!$B$6:$B$3005,$A259,請求記録!$Z$6:$Z$3005,X$5)=0,"",SUMIFS(請求記録!$AE$6:$AE$3005,請求記録!$B$6:$B$3005,$A259,請求記録!$Z$6:$Z$3005,X$5))))</f>
        <v/>
      </c>
      <c r="Y259" s="19">
        <f>IF($A259="","",IF(COUNTIFS(請求記録!$B$6:$B$3005,$A259,請求記録!$Z$6:$Z$3005,Y$5,請求記録!$AF$6:$AF$3005,"保留中")&gt;0,"保留",IF(COUNTIFS(請求記録!$B$6:$B$3005,$A259,請求記録!$Z$6:$Z$3005,Y$5)=0,"",SUMIFS(請求記録!$AE$6:$AE$3005,請求記録!$B$6:$B$3005,$A259,請求記録!$Z$6:$Z$3005,Y$5))))</f>
        <v/>
      </c>
      <c r="Z259" s="19">
        <f>IF($A259="","",IF(COUNTIFS(請求記録!$B$6:$B$3005,$A259,請求記録!$Z$6:$Z$3005,Z$5,請求記録!$AF$6:$AF$3005,"保留中")&gt;0,"保留",IF(COUNTIFS(請求記録!$B$6:$B$3005,$A259,請求記録!$Z$6:$Z$3005,Z$5)=0,"",SUMIFS(請求記録!$AE$6:$AE$3005,請求記録!$B$6:$B$3005,$A259,請求記録!$Z$6:$Z$3005,Z$5))))</f>
        <v/>
      </c>
      <c r="AA259" s="19">
        <f>IF($A259="","",IF(COUNTIFS(請求記録!$B$6:$B$3005,$A259,請求記録!$Z$6:$Z$3005,AA$5,請求記録!$AF$6:$AF$3005,"保留中")&gt;0,"保留",IF(COUNTIFS(請求記録!$B$6:$B$3005,$A259,請求記録!$Z$6:$Z$3005,AA$5)=0,"",SUMIFS(請求記録!$AE$6:$AE$3005,請求記録!$B$6:$B$3005,$A259,請求記録!$Z$6:$Z$3005,AA$5))))</f>
        <v/>
      </c>
      <c r="AB259">
        <f>IF(職員マスタ!P259="保留中",職員マスタ!M259,"")</f>
        <v/>
      </c>
    </row>
    <row r="260">
      <c r="A260">
        <f>IF(職員マスタ!A260="","",職員マスタ!A260)</f>
        <v/>
      </c>
      <c r="B260">
        <f>IF($A260="","",職員マスタ!B260)</f>
        <v/>
      </c>
      <c r="C260">
        <f>IF($A260="","",職員マスタ!C260)</f>
        <v/>
      </c>
      <c r="D260" s="19">
        <f>IF($A260="","",IF(COUNTIFS(請求記録!$B$6:$B$3005,$A260,請求記録!$Z$6:$Z$3005,D$5,請求記録!$AF$6:$AF$3005,"保留中")&gt;0,"保留",IF(COUNTIFS(請求記録!$B$6:$B$3005,$A260,請求記録!$Z$6:$Z$3005,D$5)=0,"",SUMIFS(請求記録!$AE$6:$AE$3005,請求記録!$B$6:$B$3005,$A260,請求記録!$Z$6:$Z$3005,D$5))))</f>
        <v/>
      </c>
      <c r="E260" s="19">
        <f>IF($A260="","",IF(COUNTIFS(請求記録!$B$6:$B$3005,$A260,請求記録!$Z$6:$Z$3005,E$5,請求記録!$AF$6:$AF$3005,"保留中")&gt;0,"保留",IF(COUNTIFS(請求記録!$B$6:$B$3005,$A260,請求記録!$Z$6:$Z$3005,E$5)=0,"",SUMIFS(請求記録!$AE$6:$AE$3005,請求記録!$B$6:$B$3005,$A260,請求記録!$Z$6:$Z$3005,E$5))))</f>
        <v/>
      </c>
      <c r="F260" s="19">
        <f>IF($A260="","",IF(COUNTIFS(請求記録!$B$6:$B$3005,$A260,請求記録!$Z$6:$Z$3005,F$5,請求記録!$AF$6:$AF$3005,"保留中")&gt;0,"保留",IF(COUNTIFS(請求記録!$B$6:$B$3005,$A260,請求記録!$Z$6:$Z$3005,F$5)=0,"",SUMIFS(請求記録!$AE$6:$AE$3005,請求記録!$B$6:$B$3005,$A260,請求記録!$Z$6:$Z$3005,F$5))))</f>
        <v/>
      </c>
      <c r="G260" s="19">
        <f>IF($A260="","",IF(COUNTIFS(請求記録!$B$6:$B$3005,$A260,請求記録!$Z$6:$Z$3005,G$5,請求記録!$AF$6:$AF$3005,"保留中")&gt;0,"保留",IF(COUNTIFS(請求記録!$B$6:$B$3005,$A260,請求記録!$Z$6:$Z$3005,G$5)=0,"",SUMIFS(請求記録!$AE$6:$AE$3005,請求記録!$B$6:$B$3005,$A260,請求記録!$Z$6:$Z$3005,G$5))))</f>
        <v/>
      </c>
      <c r="H260" s="19">
        <f>IF($A260="","",IF(COUNTIFS(請求記録!$B$6:$B$3005,$A260,請求記録!$Z$6:$Z$3005,H$5,請求記録!$AF$6:$AF$3005,"保留中")&gt;0,"保留",IF(COUNTIFS(請求記録!$B$6:$B$3005,$A260,請求記録!$Z$6:$Z$3005,H$5)=0,"",SUMIFS(請求記録!$AE$6:$AE$3005,請求記録!$B$6:$B$3005,$A260,請求記録!$Z$6:$Z$3005,H$5))))</f>
        <v/>
      </c>
      <c r="I260" s="19">
        <f>IF($A260="","",IF(COUNTIFS(請求記録!$B$6:$B$3005,$A260,請求記録!$Z$6:$Z$3005,I$5,請求記録!$AF$6:$AF$3005,"保留中")&gt;0,"保留",IF(COUNTIFS(請求記録!$B$6:$B$3005,$A260,請求記録!$Z$6:$Z$3005,I$5)=0,"",SUMIFS(請求記録!$AE$6:$AE$3005,請求記録!$B$6:$B$3005,$A260,請求記録!$Z$6:$Z$3005,I$5))))</f>
        <v/>
      </c>
      <c r="J260" s="19">
        <f>IF($A260="","",IF(COUNTIFS(請求記録!$B$6:$B$3005,$A260,請求記録!$Z$6:$Z$3005,J$5,請求記録!$AF$6:$AF$3005,"保留中")&gt;0,"保留",IF(COUNTIFS(請求記録!$B$6:$B$3005,$A260,請求記録!$Z$6:$Z$3005,J$5)=0,"",SUMIFS(請求記録!$AE$6:$AE$3005,請求記録!$B$6:$B$3005,$A260,請求記録!$Z$6:$Z$3005,J$5))))</f>
        <v/>
      </c>
      <c r="K260" s="19">
        <f>IF($A260="","",IF(COUNTIFS(請求記録!$B$6:$B$3005,$A260,請求記録!$Z$6:$Z$3005,K$5,請求記録!$AF$6:$AF$3005,"保留中")&gt;0,"保留",IF(COUNTIFS(請求記録!$B$6:$B$3005,$A260,請求記録!$Z$6:$Z$3005,K$5)=0,"",SUMIFS(請求記録!$AE$6:$AE$3005,請求記録!$B$6:$B$3005,$A260,請求記録!$Z$6:$Z$3005,K$5))))</f>
        <v/>
      </c>
      <c r="L260" s="19">
        <f>IF($A260="","",IF(COUNTIFS(請求記録!$B$6:$B$3005,$A260,請求記録!$Z$6:$Z$3005,L$5,請求記録!$AF$6:$AF$3005,"保留中")&gt;0,"保留",IF(COUNTIFS(請求記録!$B$6:$B$3005,$A260,請求記録!$Z$6:$Z$3005,L$5)=0,"",SUMIFS(請求記録!$AE$6:$AE$3005,請求記録!$B$6:$B$3005,$A260,請求記録!$Z$6:$Z$3005,L$5))))</f>
        <v/>
      </c>
      <c r="M260" s="19">
        <f>IF($A260="","",IF(COUNTIFS(請求記録!$B$6:$B$3005,$A260,請求記録!$Z$6:$Z$3005,M$5,請求記録!$AF$6:$AF$3005,"保留中")&gt;0,"保留",IF(COUNTIFS(請求記録!$B$6:$B$3005,$A260,請求記録!$Z$6:$Z$3005,M$5)=0,"",SUMIFS(請求記録!$AE$6:$AE$3005,請求記録!$B$6:$B$3005,$A260,請求記録!$Z$6:$Z$3005,M$5))))</f>
        <v/>
      </c>
      <c r="N260" s="19">
        <f>IF($A260="","",IF(COUNTIFS(請求記録!$B$6:$B$3005,$A260,請求記録!$Z$6:$Z$3005,N$5,請求記録!$AF$6:$AF$3005,"保留中")&gt;0,"保留",IF(COUNTIFS(請求記録!$B$6:$B$3005,$A260,請求記録!$Z$6:$Z$3005,N$5)=0,"",SUMIFS(請求記録!$AE$6:$AE$3005,請求記録!$B$6:$B$3005,$A260,請求記録!$Z$6:$Z$3005,N$5))))</f>
        <v/>
      </c>
      <c r="O260" s="19">
        <f>IF($A260="","",IF(COUNTIFS(請求記録!$B$6:$B$3005,$A260,請求記録!$Z$6:$Z$3005,O$5,請求記録!$AF$6:$AF$3005,"保留中")&gt;0,"保留",IF(COUNTIFS(請求記録!$B$6:$B$3005,$A260,請求記録!$Z$6:$Z$3005,O$5)=0,"",SUMIFS(請求記録!$AE$6:$AE$3005,請求記録!$B$6:$B$3005,$A260,請求記録!$Z$6:$Z$3005,O$5))))</f>
        <v/>
      </c>
      <c r="P260" s="19">
        <f>IF($A260="","",IF(COUNTIFS(請求記録!$B$6:$B$3005,$A260,請求記録!$Z$6:$Z$3005,P$5,請求記録!$AF$6:$AF$3005,"保留中")&gt;0,"保留",IF(COUNTIFS(請求記録!$B$6:$B$3005,$A260,請求記録!$Z$6:$Z$3005,P$5)=0,"",SUMIFS(請求記録!$AE$6:$AE$3005,請求記録!$B$6:$B$3005,$A260,請求記録!$Z$6:$Z$3005,P$5))))</f>
        <v/>
      </c>
      <c r="Q260" s="19">
        <f>IF($A260="","",IF(COUNTIFS(請求記録!$B$6:$B$3005,$A260,請求記録!$Z$6:$Z$3005,Q$5,請求記録!$AF$6:$AF$3005,"保留中")&gt;0,"保留",IF(COUNTIFS(請求記録!$B$6:$B$3005,$A260,請求記録!$Z$6:$Z$3005,Q$5)=0,"",SUMIFS(請求記録!$AE$6:$AE$3005,請求記録!$B$6:$B$3005,$A260,請求記録!$Z$6:$Z$3005,Q$5))))</f>
        <v/>
      </c>
      <c r="R260" s="19">
        <f>IF($A260="","",IF(COUNTIFS(請求記録!$B$6:$B$3005,$A260,請求記録!$Z$6:$Z$3005,R$5,請求記録!$AF$6:$AF$3005,"保留中")&gt;0,"保留",IF(COUNTIFS(請求記録!$B$6:$B$3005,$A260,請求記録!$Z$6:$Z$3005,R$5)=0,"",SUMIFS(請求記録!$AE$6:$AE$3005,請求記録!$B$6:$B$3005,$A260,請求記録!$Z$6:$Z$3005,R$5))))</f>
        <v/>
      </c>
      <c r="S260" s="19">
        <f>IF($A260="","",IF(COUNTIFS(請求記録!$B$6:$B$3005,$A260,請求記録!$Z$6:$Z$3005,S$5,請求記録!$AF$6:$AF$3005,"保留中")&gt;0,"保留",IF(COUNTIFS(請求記録!$B$6:$B$3005,$A260,請求記録!$Z$6:$Z$3005,S$5)=0,"",SUMIFS(請求記録!$AE$6:$AE$3005,請求記録!$B$6:$B$3005,$A260,請求記録!$Z$6:$Z$3005,S$5))))</f>
        <v/>
      </c>
      <c r="T260" s="19">
        <f>IF($A260="","",IF(COUNTIFS(請求記録!$B$6:$B$3005,$A260,請求記録!$Z$6:$Z$3005,T$5,請求記録!$AF$6:$AF$3005,"保留中")&gt;0,"保留",IF(COUNTIFS(請求記録!$B$6:$B$3005,$A260,請求記録!$Z$6:$Z$3005,T$5)=0,"",SUMIFS(請求記録!$AE$6:$AE$3005,請求記録!$B$6:$B$3005,$A260,請求記録!$Z$6:$Z$3005,T$5))))</f>
        <v/>
      </c>
      <c r="U260" s="19">
        <f>IF($A260="","",IF(COUNTIFS(請求記録!$B$6:$B$3005,$A260,請求記録!$Z$6:$Z$3005,U$5,請求記録!$AF$6:$AF$3005,"保留中")&gt;0,"保留",IF(COUNTIFS(請求記録!$B$6:$B$3005,$A260,請求記録!$Z$6:$Z$3005,U$5)=0,"",SUMIFS(請求記録!$AE$6:$AE$3005,請求記録!$B$6:$B$3005,$A260,請求記録!$Z$6:$Z$3005,U$5))))</f>
        <v/>
      </c>
      <c r="V260" s="19">
        <f>IF($A260="","",IF(COUNTIFS(請求記録!$B$6:$B$3005,$A260,請求記録!$Z$6:$Z$3005,V$5,請求記録!$AF$6:$AF$3005,"保留中")&gt;0,"保留",IF(COUNTIFS(請求記録!$B$6:$B$3005,$A260,請求記録!$Z$6:$Z$3005,V$5)=0,"",SUMIFS(請求記録!$AE$6:$AE$3005,請求記録!$B$6:$B$3005,$A260,請求記録!$Z$6:$Z$3005,V$5))))</f>
        <v/>
      </c>
      <c r="W260" s="19">
        <f>IF($A260="","",IF(COUNTIFS(請求記録!$B$6:$B$3005,$A260,請求記録!$Z$6:$Z$3005,W$5,請求記録!$AF$6:$AF$3005,"保留中")&gt;0,"保留",IF(COUNTIFS(請求記録!$B$6:$B$3005,$A260,請求記録!$Z$6:$Z$3005,W$5)=0,"",SUMIFS(請求記録!$AE$6:$AE$3005,請求記録!$B$6:$B$3005,$A260,請求記録!$Z$6:$Z$3005,W$5))))</f>
        <v/>
      </c>
      <c r="X260" s="19">
        <f>IF($A260="","",IF(COUNTIFS(請求記録!$B$6:$B$3005,$A260,請求記録!$Z$6:$Z$3005,X$5,請求記録!$AF$6:$AF$3005,"保留中")&gt;0,"保留",IF(COUNTIFS(請求記録!$B$6:$B$3005,$A260,請求記録!$Z$6:$Z$3005,X$5)=0,"",SUMIFS(請求記録!$AE$6:$AE$3005,請求記録!$B$6:$B$3005,$A260,請求記録!$Z$6:$Z$3005,X$5))))</f>
        <v/>
      </c>
      <c r="Y260" s="19">
        <f>IF($A260="","",IF(COUNTIFS(請求記録!$B$6:$B$3005,$A260,請求記録!$Z$6:$Z$3005,Y$5,請求記録!$AF$6:$AF$3005,"保留中")&gt;0,"保留",IF(COUNTIFS(請求記録!$B$6:$B$3005,$A260,請求記録!$Z$6:$Z$3005,Y$5)=0,"",SUMIFS(請求記録!$AE$6:$AE$3005,請求記録!$B$6:$B$3005,$A260,請求記録!$Z$6:$Z$3005,Y$5))))</f>
        <v/>
      </c>
      <c r="Z260" s="19">
        <f>IF($A260="","",IF(COUNTIFS(請求記録!$B$6:$B$3005,$A260,請求記録!$Z$6:$Z$3005,Z$5,請求記録!$AF$6:$AF$3005,"保留中")&gt;0,"保留",IF(COUNTIFS(請求記録!$B$6:$B$3005,$A260,請求記録!$Z$6:$Z$3005,Z$5)=0,"",SUMIFS(請求記録!$AE$6:$AE$3005,請求記録!$B$6:$B$3005,$A260,請求記録!$Z$6:$Z$3005,Z$5))))</f>
        <v/>
      </c>
      <c r="AA260" s="19">
        <f>IF($A260="","",IF(COUNTIFS(請求記録!$B$6:$B$3005,$A260,請求記録!$Z$6:$Z$3005,AA$5,請求記録!$AF$6:$AF$3005,"保留中")&gt;0,"保留",IF(COUNTIFS(請求記録!$B$6:$B$3005,$A260,請求記録!$Z$6:$Z$3005,AA$5)=0,"",SUMIFS(請求記録!$AE$6:$AE$3005,請求記録!$B$6:$B$3005,$A260,請求記録!$Z$6:$Z$3005,AA$5))))</f>
        <v/>
      </c>
      <c r="AB260">
        <f>IF(職員マスタ!P260="保留中",職員マスタ!M260,"")</f>
        <v/>
      </c>
    </row>
    <row r="261">
      <c r="A261">
        <f>IF(職員マスタ!A261="","",職員マスタ!A261)</f>
        <v/>
      </c>
      <c r="B261">
        <f>IF($A261="","",職員マスタ!B261)</f>
        <v/>
      </c>
      <c r="C261">
        <f>IF($A261="","",職員マスタ!C261)</f>
        <v/>
      </c>
      <c r="D261" s="19">
        <f>IF($A261="","",IF(COUNTIFS(請求記録!$B$6:$B$3005,$A261,請求記録!$Z$6:$Z$3005,D$5,請求記録!$AF$6:$AF$3005,"保留中")&gt;0,"保留",IF(COUNTIFS(請求記録!$B$6:$B$3005,$A261,請求記録!$Z$6:$Z$3005,D$5)=0,"",SUMIFS(請求記録!$AE$6:$AE$3005,請求記録!$B$6:$B$3005,$A261,請求記録!$Z$6:$Z$3005,D$5))))</f>
        <v/>
      </c>
      <c r="E261" s="19">
        <f>IF($A261="","",IF(COUNTIFS(請求記録!$B$6:$B$3005,$A261,請求記録!$Z$6:$Z$3005,E$5,請求記録!$AF$6:$AF$3005,"保留中")&gt;0,"保留",IF(COUNTIFS(請求記録!$B$6:$B$3005,$A261,請求記録!$Z$6:$Z$3005,E$5)=0,"",SUMIFS(請求記録!$AE$6:$AE$3005,請求記録!$B$6:$B$3005,$A261,請求記録!$Z$6:$Z$3005,E$5))))</f>
        <v/>
      </c>
      <c r="F261" s="19">
        <f>IF($A261="","",IF(COUNTIFS(請求記録!$B$6:$B$3005,$A261,請求記録!$Z$6:$Z$3005,F$5,請求記録!$AF$6:$AF$3005,"保留中")&gt;0,"保留",IF(COUNTIFS(請求記録!$B$6:$B$3005,$A261,請求記録!$Z$6:$Z$3005,F$5)=0,"",SUMIFS(請求記録!$AE$6:$AE$3005,請求記録!$B$6:$B$3005,$A261,請求記録!$Z$6:$Z$3005,F$5))))</f>
        <v/>
      </c>
      <c r="G261" s="19">
        <f>IF($A261="","",IF(COUNTIFS(請求記録!$B$6:$B$3005,$A261,請求記録!$Z$6:$Z$3005,G$5,請求記録!$AF$6:$AF$3005,"保留中")&gt;0,"保留",IF(COUNTIFS(請求記録!$B$6:$B$3005,$A261,請求記録!$Z$6:$Z$3005,G$5)=0,"",SUMIFS(請求記録!$AE$6:$AE$3005,請求記録!$B$6:$B$3005,$A261,請求記録!$Z$6:$Z$3005,G$5))))</f>
        <v/>
      </c>
      <c r="H261" s="19">
        <f>IF($A261="","",IF(COUNTIFS(請求記録!$B$6:$B$3005,$A261,請求記録!$Z$6:$Z$3005,H$5,請求記録!$AF$6:$AF$3005,"保留中")&gt;0,"保留",IF(COUNTIFS(請求記録!$B$6:$B$3005,$A261,請求記録!$Z$6:$Z$3005,H$5)=0,"",SUMIFS(請求記録!$AE$6:$AE$3005,請求記録!$B$6:$B$3005,$A261,請求記録!$Z$6:$Z$3005,H$5))))</f>
        <v/>
      </c>
      <c r="I261" s="19">
        <f>IF($A261="","",IF(COUNTIFS(請求記録!$B$6:$B$3005,$A261,請求記録!$Z$6:$Z$3005,I$5,請求記録!$AF$6:$AF$3005,"保留中")&gt;0,"保留",IF(COUNTIFS(請求記録!$B$6:$B$3005,$A261,請求記録!$Z$6:$Z$3005,I$5)=0,"",SUMIFS(請求記録!$AE$6:$AE$3005,請求記録!$B$6:$B$3005,$A261,請求記録!$Z$6:$Z$3005,I$5))))</f>
        <v/>
      </c>
      <c r="J261" s="19">
        <f>IF($A261="","",IF(COUNTIFS(請求記録!$B$6:$B$3005,$A261,請求記録!$Z$6:$Z$3005,J$5,請求記録!$AF$6:$AF$3005,"保留中")&gt;0,"保留",IF(COUNTIFS(請求記録!$B$6:$B$3005,$A261,請求記録!$Z$6:$Z$3005,J$5)=0,"",SUMIFS(請求記録!$AE$6:$AE$3005,請求記録!$B$6:$B$3005,$A261,請求記録!$Z$6:$Z$3005,J$5))))</f>
        <v/>
      </c>
      <c r="K261" s="19">
        <f>IF($A261="","",IF(COUNTIFS(請求記録!$B$6:$B$3005,$A261,請求記録!$Z$6:$Z$3005,K$5,請求記録!$AF$6:$AF$3005,"保留中")&gt;0,"保留",IF(COUNTIFS(請求記録!$B$6:$B$3005,$A261,請求記録!$Z$6:$Z$3005,K$5)=0,"",SUMIFS(請求記録!$AE$6:$AE$3005,請求記録!$B$6:$B$3005,$A261,請求記録!$Z$6:$Z$3005,K$5))))</f>
        <v/>
      </c>
      <c r="L261" s="19">
        <f>IF($A261="","",IF(COUNTIFS(請求記録!$B$6:$B$3005,$A261,請求記録!$Z$6:$Z$3005,L$5,請求記録!$AF$6:$AF$3005,"保留中")&gt;0,"保留",IF(COUNTIFS(請求記録!$B$6:$B$3005,$A261,請求記録!$Z$6:$Z$3005,L$5)=0,"",SUMIFS(請求記録!$AE$6:$AE$3005,請求記録!$B$6:$B$3005,$A261,請求記録!$Z$6:$Z$3005,L$5))))</f>
        <v/>
      </c>
      <c r="M261" s="19">
        <f>IF($A261="","",IF(COUNTIFS(請求記録!$B$6:$B$3005,$A261,請求記録!$Z$6:$Z$3005,M$5,請求記録!$AF$6:$AF$3005,"保留中")&gt;0,"保留",IF(COUNTIFS(請求記録!$B$6:$B$3005,$A261,請求記録!$Z$6:$Z$3005,M$5)=0,"",SUMIFS(請求記録!$AE$6:$AE$3005,請求記録!$B$6:$B$3005,$A261,請求記録!$Z$6:$Z$3005,M$5))))</f>
        <v/>
      </c>
      <c r="N261" s="19">
        <f>IF($A261="","",IF(COUNTIFS(請求記録!$B$6:$B$3005,$A261,請求記録!$Z$6:$Z$3005,N$5,請求記録!$AF$6:$AF$3005,"保留中")&gt;0,"保留",IF(COUNTIFS(請求記録!$B$6:$B$3005,$A261,請求記録!$Z$6:$Z$3005,N$5)=0,"",SUMIFS(請求記録!$AE$6:$AE$3005,請求記録!$B$6:$B$3005,$A261,請求記録!$Z$6:$Z$3005,N$5))))</f>
        <v/>
      </c>
      <c r="O261" s="19">
        <f>IF($A261="","",IF(COUNTIFS(請求記録!$B$6:$B$3005,$A261,請求記録!$Z$6:$Z$3005,O$5,請求記録!$AF$6:$AF$3005,"保留中")&gt;0,"保留",IF(COUNTIFS(請求記録!$B$6:$B$3005,$A261,請求記録!$Z$6:$Z$3005,O$5)=0,"",SUMIFS(請求記録!$AE$6:$AE$3005,請求記録!$B$6:$B$3005,$A261,請求記録!$Z$6:$Z$3005,O$5))))</f>
        <v/>
      </c>
      <c r="P261" s="19">
        <f>IF($A261="","",IF(COUNTIFS(請求記録!$B$6:$B$3005,$A261,請求記録!$Z$6:$Z$3005,P$5,請求記録!$AF$6:$AF$3005,"保留中")&gt;0,"保留",IF(COUNTIFS(請求記録!$B$6:$B$3005,$A261,請求記録!$Z$6:$Z$3005,P$5)=0,"",SUMIFS(請求記録!$AE$6:$AE$3005,請求記録!$B$6:$B$3005,$A261,請求記録!$Z$6:$Z$3005,P$5))))</f>
        <v/>
      </c>
      <c r="Q261" s="19">
        <f>IF($A261="","",IF(COUNTIFS(請求記録!$B$6:$B$3005,$A261,請求記録!$Z$6:$Z$3005,Q$5,請求記録!$AF$6:$AF$3005,"保留中")&gt;0,"保留",IF(COUNTIFS(請求記録!$B$6:$B$3005,$A261,請求記録!$Z$6:$Z$3005,Q$5)=0,"",SUMIFS(請求記録!$AE$6:$AE$3005,請求記録!$B$6:$B$3005,$A261,請求記録!$Z$6:$Z$3005,Q$5))))</f>
        <v/>
      </c>
      <c r="R261" s="19">
        <f>IF($A261="","",IF(COUNTIFS(請求記録!$B$6:$B$3005,$A261,請求記録!$Z$6:$Z$3005,R$5,請求記録!$AF$6:$AF$3005,"保留中")&gt;0,"保留",IF(COUNTIFS(請求記録!$B$6:$B$3005,$A261,請求記録!$Z$6:$Z$3005,R$5)=0,"",SUMIFS(請求記録!$AE$6:$AE$3005,請求記録!$B$6:$B$3005,$A261,請求記録!$Z$6:$Z$3005,R$5))))</f>
        <v/>
      </c>
      <c r="S261" s="19">
        <f>IF($A261="","",IF(COUNTIFS(請求記録!$B$6:$B$3005,$A261,請求記録!$Z$6:$Z$3005,S$5,請求記録!$AF$6:$AF$3005,"保留中")&gt;0,"保留",IF(COUNTIFS(請求記録!$B$6:$B$3005,$A261,請求記録!$Z$6:$Z$3005,S$5)=0,"",SUMIFS(請求記録!$AE$6:$AE$3005,請求記録!$B$6:$B$3005,$A261,請求記録!$Z$6:$Z$3005,S$5))))</f>
        <v/>
      </c>
      <c r="T261" s="19">
        <f>IF($A261="","",IF(COUNTIFS(請求記録!$B$6:$B$3005,$A261,請求記録!$Z$6:$Z$3005,T$5,請求記録!$AF$6:$AF$3005,"保留中")&gt;0,"保留",IF(COUNTIFS(請求記録!$B$6:$B$3005,$A261,請求記録!$Z$6:$Z$3005,T$5)=0,"",SUMIFS(請求記録!$AE$6:$AE$3005,請求記録!$B$6:$B$3005,$A261,請求記録!$Z$6:$Z$3005,T$5))))</f>
        <v/>
      </c>
      <c r="U261" s="19">
        <f>IF($A261="","",IF(COUNTIFS(請求記録!$B$6:$B$3005,$A261,請求記録!$Z$6:$Z$3005,U$5,請求記録!$AF$6:$AF$3005,"保留中")&gt;0,"保留",IF(COUNTIFS(請求記録!$B$6:$B$3005,$A261,請求記録!$Z$6:$Z$3005,U$5)=0,"",SUMIFS(請求記録!$AE$6:$AE$3005,請求記録!$B$6:$B$3005,$A261,請求記録!$Z$6:$Z$3005,U$5))))</f>
        <v/>
      </c>
      <c r="V261" s="19">
        <f>IF($A261="","",IF(COUNTIFS(請求記録!$B$6:$B$3005,$A261,請求記録!$Z$6:$Z$3005,V$5,請求記録!$AF$6:$AF$3005,"保留中")&gt;0,"保留",IF(COUNTIFS(請求記録!$B$6:$B$3005,$A261,請求記録!$Z$6:$Z$3005,V$5)=0,"",SUMIFS(請求記録!$AE$6:$AE$3005,請求記録!$B$6:$B$3005,$A261,請求記録!$Z$6:$Z$3005,V$5))))</f>
        <v/>
      </c>
      <c r="W261" s="19">
        <f>IF($A261="","",IF(COUNTIFS(請求記録!$B$6:$B$3005,$A261,請求記録!$Z$6:$Z$3005,W$5,請求記録!$AF$6:$AF$3005,"保留中")&gt;0,"保留",IF(COUNTIFS(請求記録!$B$6:$B$3005,$A261,請求記録!$Z$6:$Z$3005,W$5)=0,"",SUMIFS(請求記録!$AE$6:$AE$3005,請求記録!$B$6:$B$3005,$A261,請求記録!$Z$6:$Z$3005,W$5))))</f>
        <v/>
      </c>
      <c r="X261" s="19">
        <f>IF($A261="","",IF(COUNTIFS(請求記録!$B$6:$B$3005,$A261,請求記録!$Z$6:$Z$3005,X$5,請求記録!$AF$6:$AF$3005,"保留中")&gt;0,"保留",IF(COUNTIFS(請求記録!$B$6:$B$3005,$A261,請求記録!$Z$6:$Z$3005,X$5)=0,"",SUMIFS(請求記録!$AE$6:$AE$3005,請求記録!$B$6:$B$3005,$A261,請求記録!$Z$6:$Z$3005,X$5))))</f>
        <v/>
      </c>
      <c r="Y261" s="19">
        <f>IF($A261="","",IF(COUNTIFS(請求記録!$B$6:$B$3005,$A261,請求記録!$Z$6:$Z$3005,Y$5,請求記録!$AF$6:$AF$3005,"保留中")&gt;0,"保留",IF(COUNTIFS(請求記録!$B$6:$B$3005,$A261,請求記録!$Z$6:$Z$3005,Y$5)=0,"",SUMIFS(請求記録!$AE$6:$AE$3005,請求記録!$B$6:$B$3005,$A261,請求記録!$Z$6:$Z$3005,Y$5))))</f>
        <v/>
      </c>
      <c r="Z261" s="19">
        <f>IF($A261="","",IF(COUNTIFS(請求記録!$B$6:$B$3005,$A261,請求記録!$Z$6:$Z$3005,Z$5,請求記録!$AF$6:$AF$3005,"保留中")&gt;0,"保留",IF(COUNTIFS(請求記録!$B$6:$B$3005,$A261,請求記録!$Z$6:$Z$3005,Z$5)=0,"",SUMIFS(請求記録!$AE$6:$AE$3005,請求記録!$B$6:$B$3005,$A261,請求記録!$Z$6:$Z$3005,Z$5))))</f>
        <v/>
      </c>
      <c r="AA261" s="19">
        <f>IF($A261="","",IF(COUNTIFS(請求記録!$B$6:$B$3005,$A261,請求記録!$Z$6:$Z$3005,AA$5,請求記録!$AF$6:$AF$3005,"保留中")&gt;0,"保留",IF(COUNTIFS(請求記録!$B$6:$B$3005,$A261,請求記録!$Z$6:$Z$3005,AA$5)=0,"",SUMIFS(請求記録!$AE$6:$AE$3005,請求記録!$B$6:$B$3005,$A261,請求記録!$Z$6:$Z$3005,AA$5))))</f>
        <v/>
      </c>
      <c r="AB261">
        <f>IF(職員マスタ!P261="保留中",職員マスタ!M261,"")</f>
        <v/>
      </c>
    </row>
    <row r="262">
      <c r="A262">
        <f>IF(職員マスタ!A262="","",職員マスタ!A262)</f>
        <v/>
      </c>
      <c r="B262">
        <f>IF($A262="","",職員マスタ!B262)</f>
        <v/>
      </c>
      <c r="C262">
        <f>IF($A262="","",職員マスタ!C262)</f>
        <v/>
      </c>
      <c r="D262" s="19">
        <f>IF($A262="","",IF(COUNTIFS(請求記録!$B$6:$B$3005,$A262,請求記録!$Z$6:$Z$3005,D$5,請求記録!$AF$6:$AF$3005,"保留中")&gt;0,"保留",IF(COUNTIFS(請求記録!$B$6:$B$3005,$A262,請求記録!$Z$6:$Z$3005,D$5)=0,"",SUMIFS(請求記録!$AE$6:$AE$3005,請求記録!$B$6:$B$3005,$A262,請求記録!$Z$6:$Z$3005,D$5))))</f>
        <v/>
      </c>
      <c r="E262" s="19">
        <f>IF($A262="","",IF(COUNTIFS(請求記録!$B$6:$B$3005,$A262,請求記録!$Z$6:$Z$3005,E$5,請求記録!$AF$6:$AF$3005,"保留中")&gt;0,"保留",IF(COUNTIFS(請求記録!$B$6:$B$3005,$A262,請求記録!$Z$6:$Z$3005,E$5)=0,"",SUMIFS(請求記録!$AE$6:$AE$3005,請求記録!$B$6:$B$3005,$A262,請求記録!$Z$6:$Z$3005,E$5))))</f>
        <v/>
      </c>
      <c r="F262" s="19">
        <f>IF($A262="","",IF(COUNTIFS(請求記録!$B$6:$B$3005,$A262,請求記録!$Z$6:$Z$3005,F$5,請求記録!$AF$6:$AF$3005,"保留中")&gt;0,"保留",IF(COUNTIFS(請求記録!$B$6:$B$3005,$A262,請求記録!$Z$6:$Z$3005,F$5)=0,"",SUMIFS(請求記録!$AE$6:$AE$3005,請求記録!$B$6:$B$3005,$A262,請求記録!$Z$6:$Z$3005,F$5))))</f>
        <v/>
      </c>
      <c r="G262" s="19">
        <f>IF($A262="","",IF(COUNTIFS(請求記録!$B$6:$B$3005,$A262,請求記録!$Z$6:$Z$3005,G$5,請求記録!$AF$6:$AF$3005,"保留中")&gt;0,"保留",IF(COUNTIFS(請求記録!$B$6:$B$3005,$A262,請求記録!$Z$6:$Z$3005,G$5)=0,"",SUMIFS(請求記録!$AE$6:$AE$3005,請求記録!$B$6:$B$3005,$A262,請求記録!$Z$6:$Z$3005,G$5))))</f>
        <v/>
      </c>
      <c r="H262" s="19">
        <f>IF($A262="","",IF(COUNTIFS(請求記録!$B$6:$B$3005,$A262,請求記録!$Z$6:$Z$3005,H$5,請求記録!$AF$6:$AF$3005,"保留中")&gt;0,"保留",IF(COUNTIFS(請求記録!$B$6:$B$3005,$A262,請求記録!$Z$6:$Z$3005,H$5)=0,"",SUMIFS(請求記録!$AE$6:$AE$3005,請求記録!$B$6:$B$3005,$A262,請求記録!$Z$6:$Z$3005,H$5))))</f>
        <v/>
      </c>
      <c r="I262" s="19">
        <f>IF($A262="","",IF(COUNTIFS(請求記録!$B$6:$B$3005,$A262,請求記録!$Z$6:$Z$3005,I$5,請求記録!$AF$6:$AF$3005,"保留中")&gt;0,"保留",IF(COUNTIFS(請求記録!$B$6:$B$3005,$A262,請求記録!$Z$6:$Z$3005,I$5)=0,"",SUMIFS(請求記録!$AE$6:$AE$3005,請求記録!$B$6:$B$3005,$A262,請求記録!$Z$6:$Z$3005,I$5))))</f>
        <v/>
      </c>
      <c r="J262" s="19">
        <f>IF($A262="","",IF(COUNTIFS(請求記録!$B$6:$B$3005,$A262,請求記録!$Z$6:$Z$3005,J$5,請求記録!$AF$6:$AF$3005,"保留中")&gt;0,"保留",IF(COUNTIFS(請求記録!$B$6:$B$3005,$A262,請求記録!$Z$6:$Z$3005,J$5)=0,"",SUMIFS(請求記録!$AE$6:$AE$3005,請求記録!$B$6:$B$3005,$A262,請求記録!$Z$6:$Z$3005,J$5))))</f>
        <v/>
      </c>
      <c r="K262" s="19">
        <f>IF($A262="","",IF(COUNTIFS(請求記録!$B$6:$B$3005,$A262,請求記録!$Z$6:$Z$3005,K$5,請求記録!$AF$6:$AF$3005,"保留中")&gt;0,"保留",IF(COUNTIFS(請求記録!$B$6:$B$3005,$A262,請求記録!$Z$6:$Z$3005,K$5)=0,"",SUMIFS(請求記録!$AE$6:$AE$3005,請求記録!$B$6:$B$3005,$A262,請求記録!$Z$6:$Z$3005,K$5))))</f>
        <v/>
      </c>
      <c r="L262" s="19">
        <f>IF($A262="","",IF(COUNTIFS(請求記録!$B$6:$B$3005,$A262,請求記録!$Z$6:$Z$3005,L$5,請求記録!$AF$6:$AF$3005,"保留中")&gt;0,"保留",IF(COUNTIFS(請求記録!$B$6:$B$3005,$A262,請求記録!$Z$6:$Z$3005,L$5)=0,"",SUMIFS(請求記録!$AE$6:$AE$3005,請求記録!$B$6:$B$3005,$A262,請求記録!$Z$6:$Z$3005,L$5))))</f>
        <v/>
      </c>
      <c r="M262" s="19">
        <f>IF($A262="","",IF(COUNTIFS(請求記録!$B$6:$B$3005,$A262,請求記録!$Z$6:$Z$3005,M$5,請求記録!$AF$6:$AF$3005,"保留中")&gt;0,"保留",IF(COUNTIFS(請求記録!$B$6:$B$3005,$A262,請求記録!$Z$6:$Z$3005,M$5)=0,"",SUMIFS(請求記録!$AE$6:$AE$3005,請求記録!$B$6:$B$3005,$A262,請求記録!$Z$6:$Z$3005,M$5))))</f>
        <v/>
      </c>
      <c r="N262" s="19">
        <f>IF($A262="","",IF(COUNTIFS(請求記録!$B$6:$B$3005,$A262,請求記録!$Z$6:$Z$3005,N$5,請求記録!$AF$6:$AF$3005,"保留中")&gt;0,"保留",IF(COUNTIFS(請求記録!$B$6:$B$3005,$A262,請求記録!$Z$6:$Z$3005,N$5)=0,"",SUMIFS(請求記録!$AE$6:$AE$3005,請求記録!$B$6:$B$3005,$A262,請求記録!$Z$6:$Z$3005,N$5))))</f>
        <v/>
      </c>
      <c r="O262" s="19">
        <f>IF($A262="","",IF(COUNTIFS(請求記録!$B$6:$B$3005,$A262,請求記録!$Z$6:$Z$3005,O$5,請求記録!$AF$6:$AF$3005,"保留中")&gt;0,"保留",IF(COUNTIFS(請求記録!$B$6:$B$3005,$A262,請求記録!$Z$6:$Z$3005,O$5)=0,"",SUMIFS(請求記録!$AE$6:$AE$3005,請求記録!$B$6:$B$3005,$A262,請求記録!$Z$6:$Z$3005,O$5))))</f>
        <v/>
      </c>
      <c r="P262" s="19">
        <f>IF($A262="","",IF(COUNTIFS(請求記録!$B$6:$B$3005,$A262,請求記録!$Z$6:$Z$3005,P$5,請求記録!$AF$6:$AF$3005,"保留中")&gt;0,"保留",IF(COUNTIFS(請求記録!$B$6:$B$3005,$A262,請求記録!$Z$6:$Z$3005,P$5)=0,"",SUMIFS(請求記録!$AE$6:$AE$3005,請求記録!$B$6:$B$3005,$A262,請求記録!$Z$6:$Z$3005,P$5))))</f>
        <v/>
      </c>
      <c r="Q262" s="19">
        <f>IF($A262="","",IF(COUNTIFS(請求記録!$B$6:$B$3005,$A262,請求記録!$Z$6:$Z$3005,Q$5,請求記録!$AF$6:$AF$3005,"保留中")&gt;0,"保留",IF(COUNTIFS(請求記録!$B$6:$B$3005,$A262,請求記録!$Z$6:$Z$3005,Q$5)=0,"",SUMIFS(請求記録!$AE$6:$AE$3005,請求記録!$B$6:$B$3005,$A262,請求記録!$Z$6:$Z$3005,Q$5))))</f>
        <v/>
      </c>
      <c r="R262" s="19">
        <f>IF($A262="","",IF(COUNTIFS(請求記録!$B$6:$B$3005,$A262,請求記録!$Z$6:$Z$3005,R$5,請求記録!$AF$6:$AF$3005,"保留中")&gt;0,"保留",IF(COUNTIFS(請求記録!$B$6:$B$3005,$A262,請求記録!$Z$6:$Z$3005,R$5)=0,"",SUMIFS(請求記録!$AE$6:$AE$3005,請求記録!$B$6:$B$3005,$A262,請求記録!$Z$6:$Z$3005,R$5))))</f>
        <v/>
      </c>
      <c r="S262" s="19">
        <f>IF($A262="","",IF(COUNTIFS(請求記録!$B$6:$B$3005,$A262,請求記録!$Z$6:$Z$3005,S$5,請求記録!$AF$6:$AF$3005,"保留中")&gt;0,"保留",IF(COUNTIFS(請求記録!$B$6:$B$3005,$A262,請求記録!$Z$6:$Z$3005,S$5)=0,"",SUMIFS(請求記録!$AE$6:$AE$3005,請求記録!$B$6:$B$3005,$A262,請求記録!$Z$6:$Z$3005,S$5))))</f>
        <v/>
      </c>
      <c r="T262" s="19">
        <f>IF($A262="","",IF(COUNTIFS(請求記録!$B$6:$B$3005,$A262,請求記録!$Z$6:$Z$3005,T$5,請求記録!$AF$6:$AF$3005,"保留中")&gt;0,"保留",IF(COUNTIFS(請求記録!$B$6:$B$3005,$A262,請求記録!$Z$6:$Z$3005,T$5)=0,"",SUMIFS(請求記録!$AE$6:$AE$3005,請求記録!$B$6:$B$3005,$A262,請求記録!$Z$6:$Z$3005,T$5))))</f>
        <v/>
      </c>
      <c r="U262" s="19">
        <f>IF($A262="","",IF(COUNTIFS(請求記録!$B$6:$B$3005,$A262,請求記録!$Z$6:$Z$3005,U$5,請求記録!$AF$6:$AF$3005,"保留中")&gt;0,"保留",IF(COUNTIFS(請求記録!$B$6:$B$3005,$A262,請求記録!$Z$6:$Z$3005,U$5)=0,"",SUMIFS(請求記録!$AE$6:$AE$3005,請求記録!$B$6:$B$3005,$A262,請求記録!$Z$6:$Z$3005,U$5))))</f>
        <v/>
      </c>
      <c r="V262" s="19">
        <f>IF($A262="","",IF(COUNTIFS(請求記録!$B$6:$B$3005,$A262,請求記録!$Z$6:$Z$3005,V$5,請求記録!$AF$6:$AF$3005,"保留中")&gt;0,"保留",IF(COUNTIFS(請求記録!$B$6:$B$3005,$A262,請求記録!$Z$6:$Z$3005,V$5)=0,"",SUMIFS(請求記録!$AE$6:$AE$3005,請求記録!$B$6:$B$3005,$A262,請求記録!$Z$6:$Z$3005,V$5))))</f>
        <v/>
      </c>
      <c r="W262" s="19">
        <f>IF($A262="","",IF(COUNTIFS(請求記録!$B$6:$B$3005,$A262,請求記録!$Z$6:$Z$3005,W$5,請求記録!$AF$6:$AF$3005,"保留中")&gt;0,"保留",IF(COUNTIFS(請求記録!$B$6:$B$3005,$A262,請求記録!$Z$6:$Z$3005,W$5)=0,"",SUMIFS(請求記録!$AE$6:$AE$3005,請求記録!$B$6:$B$3005,$A262,請求記録!$Z$6:$Z$3005,W$5))))</f>
        <v/>
      </c>
      <c r="X262" s="19">
        <f>IF($A262="","",IF(COUNTIFS(請求記録!$B$6:$B$3005,$A262,請求記録!$Z$6:$Z$3005,X$5,請求記録!$AF$6:$AF$3005,"保留中")&gt;0,"保留",IF(COUNTIFS(請求記録!$B$6:$B$3005,$A262,請求記録!$Z$6:$Z$3005,X$5)=0,"",SUMIFS(請求記録!$AE$6:$AE$3005,請求記録!$B$6:$B$3005,$A262,請求記録!$Z$6:$Z$3005,X$5))))</f>
        <v/>
      </c>
      <c r="Y262" s="19">
        <f>IF($A262="","",IF(COUNTIFS(請求記録!$B$6:$B$3005,$A262,請求記録!$Z$6:$Z$3005,Y$5,請求記録!$AF$6:$AF$3005,"保留中")&gt;0,"保留",IF(COUNTIFS(請求記録!$B$6:$B$3005,$A262,請求記録!$Z$6:$Z$3005,Y$5)=0,"",SUMIFS(請求記録!$AE$6:$AE$3005,請求記録!$B$6:$B$3005,$A262,請求記録!$Z$6:$Z$3005,Y$5))))</f>
        <v/>
      </c>
      <c r="Z262" s="19">
        <f>IF($A262="","",IF(COUNTIFS(請求記録!$B$6:$B$3005,$A262,請求記録!$Z$6:$Z$3005,Z$5,請求記録!$AF$6:$AF$3005,"保留中")&gt;0,"保留",IF(COUNTIFS(請求記録!$B$6:$B$3005,$A262,請求記録!$Z$6:$Z$3005,Z$5)=0,"",SUMIFS(請求記録!$AE$6:$AE$3005,請求記録!$B$6:$B$3005,$A262,請求記録!$Z$6:$Z$3005,Z$5))))</f>
        <v/>
      </c>
      <c r="AA262" s="19">
        <f>IF($A262="","",IF(COUNTIFS(請求記録!$B$6:$B$3005,$A262,請求記録!$Z$6:$Z$3005,AA$5,請求記録!$AF$6:$AF$3005,"保留中")&gt;0,"保留",IF(COUNTIFS(請求記録!$B$6:$B$3005,$A262,請求記録!$Z$6:$Z$3005,AA$5)=0,"",SUMIFS(請求記録!$AE$6:$AE$3005,請求記録!$B$6:$B$3005,$A262,請求記録!$Z$6:$Z$3005,AA$5))))</f>
        <v/>
      </c>
      <c r="AB262">
        <f>IF(職員マスタ!P262="保留中",職員マスタ!M262,"")</f>
        <v/>
      </c>
    </row>
    <row r="263">
      <c r="A263">
        <f>IF(職員マスタ!A263="","",職員マスタ!A263)</f>
        <v/>
      </c>
      <c r="B263">
        <f>IF($A263="","",職員マスタ!B263)</f>
        <v/>
      </c>
      <c r="C263">
        <f>IF($A263="","",職員マスタ!C263)</f>
        <v/>
      </c>
      <c r="D263" s="19">
        <f>IF($A263="","",IF(COUNTIFS(請求記録!$B$6:$B$3005,$A263,請求記録!$Z$6:$Z$3005,D$5,請求記録!$AF$6:$AF$3005,"保留中")&gt;0,"保留",IF(COUNTIFS(請求記録!$B$6:$B$3005,$A263,請求記録!$Z$6:$Z$3005,D$5)=0,"",SUMIFS(請求記録!$AE$6:$AE$3005,請求記録!$B$6:$B$3005,$A263,請求記録!$Z$6:$Z$3005,D$5))))</f>
        <v/>
      </c>
      <c r="E263" s="19">
        <f>IF($A263="","",IF(COUNTIFS(請求記録!$B$6:$B$3005,$A263,請求記録!$Z$6:$Z$3005,E$5,請求記録!$AF$6:$AF$3005,"保留中")&gt;0,"保留",IF(COUNTIFS(請求記録!$B$6:$B$3005,$A263,請求記録!$Z$6:$Z$3005,E$5)=0,"",SUMIFS(請求記録!$AE$6:$AE$3005,請求記録!$B$6:$B$3005,$A263,請求記録!$Z$6:$Z$3005,E$5))))</f>
        <v/>
      </c>
      <c r="F263" s="19">
        <f>IF($A263="","",IF(COUNTIFS(請求記録!$B$6:$B$3005,$A263,請求記録!$Z$6:$Z$3005,F$5,請求記録!$AF$6:$AF$3005,"保留中")&gt;0,"保留",IF(COUNTIFS(請求記録!$B$6:$B$3005,$A263,請求記録!$Z$6:$Z$3005,F$5)=0,"",SUMIFS(請求記録!$AE$6:$AE$3005,請求記録!$B$6:$B$3005,$A263,請求記録!$Z$6:$Z$3005,F$5))))</f>
        <v/>
      </c>
      <c r="G263" s="19">
        <f>IF($A263="","",IF(COUNTIFS(請求記録!$B$6:$B$3005,$A263,請求記録!$Z$6:$Z$3005,G$5,請求記録!$AF$6:$AF$3005,"保留中")&gt;0,"保留",IF(COUNTIFS(請求記録!$B$6:$B$3005,$A263,請求記録!$Z$6:$Z$3005,G$5)=0,"",SUMIFS(請求記録!$AE$6:$AE$3005,請求記録!$B$6:$B$3005,$A263,請求記録!$Z$6:$Z$3005,G$5))))</f>
        <v/>
      </c>
      <c r="H263" s="19">
        <f>IF($A263="","",IF(COUNTIFS(請求記録!$B$6:$B$3005,$A263,請求記録!$Z$6:$Z$3005,H$5,請求記録!$AF$6:$AF$3005,"保留中")&gt;0,"保留",IF(COUNTIFS(請求記録!$B$6:$B$3005,$A263,請求記録!$Z$6:$Z$3005,H$5)=0,"",SUMIFS(請求記録!$AE$6:$AE$3005,請求記録!$B$6:$B$3005,$A263,請求記録!$Z$6:$Z$3005,H$5))))</f>
        <v/>
      </c>
      <c r="I263" s="19">
        <f>IF($A263="","",IF(COUNTIFS(請求記録!$B$6:$B$3005,$A263,請求記録!$Z$6:$Z$3005,I$5,請求記録!$AF$6:$AF$3005,"保留中")&gt;0,"保留",IF(COUNTIFS(請求記録!$B$6:$B$3005,$A263,請求記録!$Z$6:$Z$3005,I$5)=0,"",SUMIFS(請求記録!$AE$6:$AE$3005,請求記録!$B$6:$B$3005,$A263,請求記録!$Z$6:$Z$3005,I$5))))</f>
        <v/>
      </c>
      <c r="J263" s="19">
        <f>IF($A263="","",IF(COUNTIFS(請求記録!$B$6:$B$3005,$A263,請求記録!$Z$6:$Z$3005,J$5,請求記録!$AF$6:$AF$3005,"保留中")&gt;0,"保留",IF(COUNTIFS(請求記録!$B$6:$B$3005,$A263,請求記録!$Z$6:$Z$3005,J$5)=0,"",SUMIFS(請求記録!$AE$6:$AE$3005,請求記録!$B$6:$B$3005,$A263,請求記録!$Z$6:$Z$3005,J$5))))</f>
        <v/>
      </c>
      <c r="K263" s="19">
        <f>IF($A263="","",IF(COUNTIFS(請求記録!$B$6:$B$3005,$A263,請求記録!$Z$6:$Z$3005,K$5,請求記録!$AF$6:$AF$3005,"保留中")&gt;0,"保留",IF(COUNTIFS(請求記録!$B$6:$B$3005,$A263,請求記録!$Z$6:$Z$3005,K$5)=0,"",SUMIFS(請求記録!$AE$6:$AE$3005,請求記録!$B$6:$B$3005,$A263,請求記録!$Z$6:$Z$3005,K$5))))</f>
        <v/>
      </c>
      <c r="L263" s="19">
        <f>IF($A263="","",IF(COUNTIFS(請求記録!$B$6:$B$3005,$A263,請求記録!$Z$6:$Z$3005,L$5,請求記録!$AF$6:$AF$3005,"保留中")&gt;0,"保留",IF(COUNTIFS(請求記録!$B$6:$B$3005,$A263,請求記録!$Z$6:$Z$3005,L$5)=0,"",SUMIFS(請求記録!$AE$6:$AE$3005,請求記録!$B$6:$B$3005,$A263,請求記録!$Z$6:$Z$3005,L$5))))</f>
        <v/>
      </c>
      <c r="M263" s="19">
        <f>IF($A263="","",IF(COUNTIFS(請求記録!$B$6:$B$3005,$A263,請求記録!$Z$6:$Z$3005,M$5,請求記録!$AF$6:$AF$3005,"保留中")&gt;0,"保留",IF(COUNTIFS(請求記録!$B$6:$B$3005,$A263,請求記録!$Z$6:$Z$3005,M$5)=0,"",SUMIFS(請求記録!$AE$6:$AE$3005,請求記録!$B$6:$B$3005,$A263,請求記録!$Z$6:$Z$3005,M$5))))</f>
        <v/>
      </c>
      <c r="N263" s="19">
        <f>IF($A263="","",IF(COUNTIFS(請求記録!$B$6:$B$3005,$A263,請求記録!$Z$6:$Z$3005,N$5,請求記録!$AF$6:$AF$3005,"保留中")&gt;0,"保留",IF(COUNTIFS(請求記録!$B$6:$B$3005,$A263,請求記録!$Z$6:$Z$3005,N$5)=0,"",SUMIFS(請求記録!$AE$6:$AE$3005,請求記録!$B$6:$B$3005,$A263,請求記録!$Z$6:$Z$3005,N$5))))</f>
        <v/>
      </c>
      <c r="O263" s="19">
        <f>IF($A263="","",IF(COUNTIFS(請求記録!$B$6:$B$3005,$A263,請求記録!$Z$6:$Z$3005,O$5,請求記録!$AF$6:$AF$3005,"保留中")&gt;0,"保留",IF(COUNTIFS(請求記録!$B$6:$B$3005,$A263,請求記録!$Z$6:$Z$3005,O$5)=0,"",SUMIFS(請求記録!$AE$6:$AE$3005,請求記録!$B$6:$B$3005,$A263,請求記録!$Z$6:$Z$3005,O$5))))</f>
        <v/>
      </c>
      <c r="P263" s="19">
        <f>IF($A263="","",IF(COUNTIFS(請求記録!$B$6:$B$3005,$A263,請求記録!$Z$6:$Z$3005,P$5,請求記録!$AF$6:$AF$3005,"保留中")&gt;0,"保留",IF(COUNTIFS(請求記録!$B$6:$B$3005,$A263,請求記録!$Z$6:$Z$3005,P$5)=0,"",SUMIFS(請求記録!$AE$6:$AE$3005,請求記録!$B$6:$B$3005,$A263,請求記録!$Z$6:$Z$3005,P$5))))</f>
        <v/>
      </c>
      <c r="Q263" s="19">
        <f>IF($A263="","",IF(COUNTIFS(請求記録!$B$6:$B$3005,$A263,請求記録!$Z$6:$Z$3005,Q$5,請求記録!$AF$6:$AF$3005,"保留中")&gt;0,"保留",IF(COUNTIFS(請求記録!$B$6:$B$3005,$A263,請求記録!$Z$6:$Z$3005,Q$5)=0,"",SUMIFS(請求記録!$AE$6:$AE$3005,請求記録!$B$6:$B$3005,$A263,請求記録!$Z$6:$Z$3005,Q$5))))</f>
        <v/>
      </c>
      <c r="R263" s="19">
        <f>IF($A263="","",IF(COUNTIFS(請求記録!$B$6:$B$3005,$A263,請求記録!$Z$6:$Z$3005,R$5,請求記録!$AF$6:$AF$3005,"保留中")&gt;0,"保留",IF(COUNTIFS(請求記録!$B$6:$B$3005,$A263,請求記録!$Z$6:$Z$3005,R$5)=0,"",SUMIFS(請求記録!$AE$6:$AE$3005,請求記録!$B$6:$B$3005,$A263,請求記録!$Z$6:$Z$3005,R$5))))</f>
        <v/>
      </c>
      <c r="S263" s="19">
        <f>IF($A263="","",IF(COUNTIFS(請求記録!$B$6:$B$3005,$A263,請求記録!$Z$6:$Z$3005,S$5,請求記録!$AF$6:$AF$3005,"保留中")&gt;0,"保留",IF(COUNTIFS(請求記録!$B$6:$B$3005,$A263,請求記録!$Z$6:$Z$3005,S$5)=0,"",SUMIFS(請求記録!$AE$6:$AE$3005,請求記録!$B$6:$B$3005,$A263,請求記録!$Z$6:$Z$3005,S$5))))</f>
        <v/>
      </c>
      <c r="T263" s="19">
        <f>IF($A263="","",IF(COUNTIFS(請求記録!$B$6:$B$3005,$A263,請求記録!$Z$6:$Z$3005,T$5,請求記録!$AF$6:$AF$3005,"保留中")&gt;0,"保留",IF(COUNTIFS(請求記録!$B$6:$B$3005,$A263,請求記録!$Z$6:$Z$3005,T$5)=0,"",SUMIFS(請求記録!$AE$6:$AE$3005,請求記録!$B$6:$B$3005,$A263,請求記録!$Z$6:$Z$3005,T$5))))</f>
        <v/>
      </c>
      <c r="U263" s="19">
        <f>IF($A263="","",IF(COUNTIFS(請求記録!$B$6:$B$3005,$A263,請求記録!$Z$6:$Z$3005,U$5,請求記録!$AF$6:$AF$3005,"保留中")&gt;0,"保留",IF(COUNTIFS(請求記録!$B$6:$B$3005,$A263,請求記録!$Z$6:$Z$3005,U$5)=0,"",SUMIFS(請求記録!$AE$6:$AE$3005,請求記録!$B$6:$B$3005,$A263,請求記録!$Z$6:$Z$3005,U$5))))</f>
        <v/>
      </c>
      <c r="V263" s="19">
        <f>IF($A263="","",IF(COUNTIFS(請求記録!$B$6:$B$3005,$A263,請求記録!$Z$6:$Z$3005,V$5,請求記録!$AF$6:$AF$3005,"保留中")&gt;0,"保留",IF(COUNTIFS(請求記録!$B$6:$B$3005,$A263,請求記録!$Z$6:$Z$3005,V$5)=0,"",SUMIFS(請求記録!$AE$6:$AE$3005,請求記録!$B$6:$B$3005,$A263,請求記録!$Z$6:$Z$3005,V$5))))</f>
        <v/>
      </c>
      <c r="W263" s="19">
        <f>IF($A263="","",IF(COUNTIFS(請求記録!$B$6:$B$3005,$A263,請求記録!$Z$6:$Z$3005,W$5,請求記録!$AF$6:$AF$3005,"保留中")&gt;0,"保留",IF(COUNTIFS(請求記録!$B$6:$B$3005,$A263,請求記録!$Z$6:$Z$3005,W$5)=0,"",SUMIFS(請求記録!$AE$6:$AE$3005,請求記録!$B$6:$B$3005,$A263,請求記録!$Z$6:$Z$3005,W$5))))</f>
        <v/>
      </c>
      <c r="X263" s="19">
        <f>IF($A263="","",IF(COUNTIFS(請求記録!$B$6:$B$3005,$A263,請求記録!$Z$6:$Z$3005,X$5,請求記録!$AF$6:$AF$3005,"保留中")&gt;0,"保留",IF(COUNTIFS(請求記録!$B$6:$B$3005,$A263,請求記録!$Z$6:$Z$3005,X$5)=0,"",SUMIFS(請求記録!$AE$6:$AE$3005,請求記録!$B$6:$B$3005,$A263,請求記録!$Z$6:$Z$3005,X$5))))</f>
        <v/>
      </c>
      <c r="Y263" s="19">
        <f>IF($A263="","",IF(COUNTIFS(請求記録!$B$6:$B$3005,$A263,請求記録!$Z$6:$Z$3005,Y$5,請求記録!$AF$6:$AF$3005,"保留中")&gt;0,"保留",IF(COUNTIFS(請求記録!$B$6:$B$3005,$A263,請求記録!$Z$6:$Z$3005,Y$5)=0,"",SUMIFS(請求記録!$AE$6:$AE$3005,請求記録!$B$6:$B$3005,$A263,請求記録!$Z$6:$Z$3005,Y$5))))</f>
        <v/>
      </c>
      <c r="Z263" s="19">
        <f>IF($A263="","",IF(COUNTIFS(請求記録!$B$6:$B$3005,$A263,請求記録!$Z$6:$Z$3005,Z$5,請求記録!$AF$6:$AF$3005,"保留中")&gt;0,"保留",IF(COUNTIFS(請求記録!$B$6:$B$3005,$A263,請求記録!$Z$6:$Z$3005,Z$5)=0,"",SUMIFS(請求記録!$AE$6:$AE$3005,請求記録!$B$6:$B$3005,$A263,請求記録!$Z$6:$Z$3005,Z$5))))</f>
        <v/>
      </c>
      <c r="AA263" s="19">
        <f>IF($A263="","",IF(COUNTIFS(請求記録!$B$6:$B$3005,$A263,請求記録!$Z$6:$Z$3005,AA$5,請求記録!$AF$6:$AF$3005,"保留中")&gt;0,"保留",IF(COUNTIFS(請求記録!$B$6:$B$3005,$A263,請求記録!$Z$6:$Z$3005,AA$5)=0,"",SUMIFS(請求記録!$AE$6:$AE$3005,請求記録!$B$6:$B$3005,$A263,請求記録!$Z$6:$Z$3005,AA$5))))</f>
        <v/>
      </c>
      <c r="AB263">
        <f>IF(職員マスタ!P263="保留中",職員マスタ!M263,"")</f>
        <v/>
      </c>
    </row>
    <row r="264">
      <c r="A264">
        <f>IF(職員マスタ!A264="","",職員マスタ!A264)</f>
        <v/>
      </c>
      <c r="B264">
        <f>IF($A264="","",職員マスタ!B264)</f>
        <v/>
      </c>
      <c r="C264">
        <f>IF($A264="","",職員マスタ!C264)</f>
        <v/>
      </c>
      <c r="D264" s="19">
        <f>IF($A264="","",IF(COUNTIFS(請求記録!$B$6:$B$3005,$A264,請求記録!$Z$6:$Z$3005,D$5,請求記録!$AF$6:$AF$3005,"保留中")&gt;0,"保留",IF(COUNTIFS(請求記録!$B$6:$B$3005,$A264,請求記録!$Z$6:$Z$3005,D$5)=0,"",SUMIFS(請求記録!$AE$6:$AE$3005,請求記録!$B$6:$B$3005,$A264,請求記録!$Z$6:$Z$3005,D$5))))</f>
        <v/>
      </c>
      <c r="E264" s="19">
        <f>IF($A264="","",IF(COUNTIFS(請求記録!$B$6:$B$3005,$A264,請求記録!$Z$6:$Z$3005,E$5,請求記録!$AF$6:$AF$3005,"保留中")&gt;0,"保留",IF(COUNTIFS(請求記録!$B$6:$B$3005,$A264,請求記録!$Z$6:$Z$3005,E$5)=0,"",SUMIFS(請求記録!$AE$6:$AE$3005,請求記録!$B$6:$B$3005,$A264,請求記録!$Z$6:$Z$3005,E$5))))</f>
        <v/>
      </c>
      <c r="F264" s="19">
        <f>IF($A264="","",IF(COUNTIFS(請求記録!$B$6:$B$3005,$A264,請求記録!$Z$6:$Z$3005,F$5,請求記録!$AF$6:$AF$3005,"保留中")&gt;0,"保留",IF(COUNTIFS(請求記録!$B$6:$B$3005,$A264,請求記録!$Z$6:$Z$3005,F$5)=0,"",SUMIFS(請求記録!$AE$6:$AE$3005,請求記録!$B$6:$B$3005,$A264,請求記録!$Z$6:$Z$3005,F$5))))</f>
        <v/>
      </c>
      <c r="G264" s="19">
        <f>IF($A264="","",IF(COUNTIFS(請求記録!$B$6:$B$3005,$A264,請求記録!$Z$6:$Z$3005,G$5,請求記録!$AF$6:$AF$3005,"保留中")&gt;0,"保留",IF(COUNTIFS(請求記録!$B$6:$B$3005,$A264,請求記録!$Z$6:$Z$3005,G$5)=0,"",SUMIFS(請求記録!$AE$6:$AE$3005,請求記録!$B$6:$B$3005,$A264,請求記録!$Z$6:$Z$3005,G$5))))</f>
        <v/>
      </c>
      <c r="H264" s="19">
        <f>IF($A264="","",IF(COUNTIFS(請求記録!$B$6:$B$3005,$A264,請求記録!$Z$6:$Z$3005,H$5,請求記録!$AF$6:$AF$3005,"保留中")&gt;0,"保留",IF(COUNTIFS(請求記録!$B$6:$B$3005,$A264,請求記録!$Z$6:$Z$3005,H$5)=0,"",SUMIFS(請求記録!$AE$6:$AE$3005,請求記録!$B$6:$B$3005,$A264,請求記録!$Z$6:$Z$3005,H$5))))</f>
        <v/>
      </c>
      <c r="I264" s="19">
        <f>IF($A264="","",IF(COUNTIFS(請求記録!$B$6:$B$3005,$A264,請求記録!$Z$6:$Z$3005,I$5,請求記録!$AF$6:$AF$3005,"保留中")&gt;0,"保留",IF(COUNTIFS(請求記録!$B$6:$B$3005,$A264,請求記録!$Z$6:$Z$3005,I$5)=0,"",SUMIFS(請求記録!$AE$6:$AE$3005,請求記録!$B$6:$B$3005,$A264,請求記録!$Z$6:$Z$3005,I$5))))</f>
        <v/>
      </c>
      <c r="J264" s="19">
        <f>IF($A264="","",IF(COUNTIFS(請求記録!$B$6:$B$3005,$A264,請求記録!$Z$6:$Z$3005,J$5,請求記録!$AF$6:$AF$3005,"保留中")&gt;0,"保留",IF(COUNTIFS(請求記録!$B$6:$B$3005,$A264,請求記録!$Z$6:$Z$3005,J$5)=0,"",SUMIFS(請求記録!$AE$6:$AE$3005,請求記録!$B$6:$B$3005,$A264,請求記録!$Z$6:$Z$3005,J$5))))</f>
        <v/>
      </c>
      <c r="K264" s="19">
        <f>IF($A264="","",IF(COUNTIFS(請求記録!$B$6:$B$3005,$A264,請求記録!$Z$6:$Z$3005,K$5,請求記録!$AF$6:$AF$3005,"保留中")&gt;0,"保留",IF(COUNTIFS(請求記録!$B$6:$B$3005,$A264,請求記録!$Z$6:$Z$3005,K$5)=0,"",SUMIFS(請求記録!$AE$6:$AE$3005,請求記録!$B$6:$B$3005,$A264,請求記録!$Z$6:$Z$3005,K$5))))</f>
        <v/>
      </c>
      <c r="L264" s="19">
        <f>IF($A264="","",IF(COUNTIFS(請求記録!$B$6:$B$3005,$A264,請求記録!$Z$6:$Z$3005,L$5,請求記録!$AF$6:$AF$3005,"保留中")&gt;0,"保留",IF(COUNTIFS(請求記録!$B$6:$B$3005,$A264,請求記録!$Z$6:$Z$3005,L$5)=0,"",SUMIFS(請求記録!$AE$6:$AE$3005,請求記録!$B$6:$B$3005,$A264,請求記録!$Z$6:$Z$3005,L$5))))</f>
        <v/>
      </c>
      <c r="M264" s="19">
        <f>IF($A264="","",IF(COUNTIFS(請求記録!$B$6:$B$3005,$A264,請求記録!$Z$6:$Z$3005,M$5,請求記録!$AF$6:$AF$3005,"保留中")&gt;0,"保留",IF(COUNTIFS(請求記録!$B$6:$B$3005,$A264,請求記録!$Z$6:$Z$3005,M$5)=0,"",SUMIFS(請求記録!$AE$6:$AE$3005,請求記録!$B$6:$B$3005,$A264,請求記録!$Z$6:$Z$3005,M$5))))</f>
        <v/>
      </c>
      <c r="N264" s="19">
        <f>IF($A264="","",IF(COUNTIFS(請求記録!$B$6:$B$3005,$A264,請求記録!$Z$6:$Z$3005,N$5,請求記録!$AF$6:$AF$3005,"保留中")&gt;0,"保留",IF(COUNTIFS(請求記録!$B$6:$B$3005,$A264,請求記録!$Z$6:$Z$3005,N$5)=0,"",SUMIFS(請求記録!$AE$6:$AE$3005,請求記録!$B$6:$B$3005,$A264,請求記録!$Z$6:$Z$3005,N$5))))</f>
        <v/>
      </c>
      <c r="O264" s="19">
        <f>IF($A264="","",IF(COUNTIFS(請求記録!$B$6:$B$3005,$A264,請求記録!$Z$6:$Z$3005,O$5,請求記録!$AF$6:$AF$3005,"保留中")&gt;0,"保留",IF(COUNTIFS(請求記録!$B$6:$B$3005,$A264,請求記録!$Z$6:$Z$3005,O$5)=0,"",SUMIFS(請求記録!$AE$6:$AE$3005,請求記録!$B$6:$B$3005,$A264,請求記録!$Z$6:$Z$3005,O$5))))</f>
        <v/>
      </c>
      <c r="P264" s="19">
        <f>IF($A264="","",IF(COUNTIFS(請求記録!$B$6:$B$3005,$A264,請求記録!$Z$6:$Z$3005,P$5,請求記録!$AF$6:$AF$3005,"保留中")&gt;0,"保留",IF(COUNTIFS(請求記録!$B$6:$B$3005,$A264,請求記録!$Z$6:$Z$3005,P$5)=0,"",SUMIFS(請求記録!$AE$6:$AE$3005,請求記録!$B$6:$B$3005,$A264,請求記録!$Z$6:$Z$3005,P$5))))</f>
        <v/>
      </c>
      <c r="Q264" s="19">
        <f>IF($A264="","",IF(COUNTIFS(請求記録!$B$6:$B$3005,$A264,請求記録!$Z$6:$Z$3005,Q$5,請求記録!$AF$6:$AF$3005,"保留中")&gt;0,"保留",IF(COUNTIFS(請求記録!$B$6:$B$3005,$A264,請求記録!$Z$6:$Z$3005,Q$5)=0,"",SUMIFS(請求記録!$AE$6:$AE$3005,請求記録!$B$6:$B$3005,$A264,請求記録!$Z$6:$Z$3005,Q$5))))</f>
        <v/>
      </c>
      <c r="R264" s="19">
        <f>IF($A264="","",IF(COUNTIFS(請求記録!$B$6:$B$3005,$A264,請求記録!$Z$6:$Z$3005,R$5,請求記録!$AF$6:$AF$3005,"保留中")&gt;0,"保留",IF(COUNTIFS(請求記録!$B$6:$B$3005,$A264,請求記録!$Z$6:$Z$3005,R$5)=0,"",SUMIFS(請求記録!$AE$6:$AE$3005,請求記録!$B$6:$B$3005,$A264,請求記録!$Z$6:$Z$3005,R$5))))</f>
        <v/>
      </c>
      <c r="S264" s="19">
        <f>IF($A264="","",IF(COUNTIFS(請求記録!$B$6:$B$3005,$A264,請求記録!$Z$6:$Z$3005,S$5,請求記録!$AF$6:$AF$3005,"保留中")&gt;0,"保留",IF(COUNTIFS(請求記録!$B$6:$B$3005,$A264,請求記録!$Z$6:$Z$3005,S$5)=0,"",SUMIFS(請求記録!$AE$6:$AE$3005,請求記録!$B$6:$B$3005,$A264,請求記録!$Z$6:$Z$3005,S$5))))</f>
        <v/>
      </c>
      <c r="T264" s="19">
        <f>IF($A264="","",IF(COUNTIFS(請求記録!$B$6:$B$3005,$A264,請求記録!$Z$6:$Z$3005,T$5,請求記録!$AF$6:$AF$3005,"保留中")&gt;0,"保留",IF(COUNTIFS(請求記録!$B$6:$B$3005,$A264,請求記録!$Z$6:$Z$3005,T$5)=0,"",SUMIFS(請求記録!$AE$6:$AE$3005,請求記録!$B$6:$B$3005,$A264,請求記録!$Z$6:$Z$3005,T$5))))</f>
        <v/>
      </c>
      <c r="U264" s="19">
        <f>IF($A264="","",IF(COUNTIFS(請求記録!$B$6:$B$3005,$A264,請求記録!$Z$6:$Z$3005,U$5,請求記録!$AF$6:$AF$3005,"保留中")&gt;0,"保留",IF(COUNTIFS(請求記録!$B$6:$B$3005,$A264,請求記録!$Z$6:$Z$3005,U$5)=0,"",SUMIFS(請求記録!$AE$6:$AE$3005,請求記録!$B$6:$B$3005,$A264,請求記録!$Z$6:$Z$3005,U$5))))</f>
        <v/>
      </c>
      <c r="V264" s="19">
        <f>IF($A264="","",IF(COUNTIFS(請求記録!$B$6:$B$3005,$A264,請求記録!$Z$6:$Z$3005,V$5,請求記録!$AF$6:$AF$3005,"保留中")&gt;0,"保留",IF(COUNTIFS(請求記録!$B$6:$B$3005,$A264,請求記録!$Z$6:$Z$3005,V$5)=0,"",SUMIFS(請求記録!$AE$6:$AE$3005,請求記録!$B$6:$B$3005,$A264,請求記録!$Z$6:$Z$3005,V$5))))</f>
        <v/>
      </c>
      <c r="W264" s="19">
        <f>IF($A264="","",IF(COUNTIFS(請求記録!$B$6:$B$3005,$A264,請求記録!$Z$6:$Z$3005,W$5,請求記録!$AF$6:$AF$3005,"保留中")&gt;0,"保留",IF(COUNTIFS(請求記録!$B$6:$B$3005,$A264,請求記録!$Z$6:$Z$3005,W$5)=0,"",SUMIFS(請求記録!$AE$6:$AE$3005,請求記録!$B$6:$B$3005,$A264,請求記録!$Z$6:$Z$3005,W$5))))</f>
        <v/>
      </c>
      <c r="X264" s="19">
        <f>IF($A264="","",IF(COUNTIFS(請求記録!$B$6:$B$3005,$A264,請求記録!$Z$6:$Z$3005,X$5,請求記録!$AF$6:$AF$3005,"保留中")&gt;0,"保留",IF(COUNTIFS(請求記録!$B$6:$B$3005,$A264,請求記録!$Z$6:$Z$3005,X$5)=0,"",SUMIFS(請求記録!$AE$6:$AE$3005,請求記録!$B$6:$B$3005,$A264,請求記録!$Z$6:$Z$3005,X$5))))</f>
        <v/>
      </c>
      <c r="Y264" s="19">
        <f>IF($A264="","",IF(COUNTIFS(請求記録!$B$6:$B$3005,$A264,請求記録!$Z$6:$Z$3005,Y$5,請求記録!$AF$6:$AF$3005,"保留中")&gt;0,"保留",IF(COUNTIFS(請求記録!$B$6:$B$3005,$A264,請求記録!$Z$6:$Z$3005,Y$5)=0,"",SUMIFS(請求記録!$AE$6:$AE$3005,請求記録!$B$6:$B$3005,$A264,請求記録!$Z$6:$Z$3005,Y$5))))</f>
        <v/>
      </c>
      <c r="Z264" s="19">
        <f>IF($A264="","",IF(COUNTIFS(請求記録!$B$6:$B$3005,$A264,請求記録!$Z$6:$Z$3005,Z$5,請求記録!$AF$6:$AF$3005,"保留中")&gt;0,"保留",IF(COUNTIFS(請求記録!$B$6:$B$3005,$A264,請求記録!$Z$6:$Z$3005,Z$5)=0,"",SUMIFS(請求記録!$AE$6:$AE$3005,請求記録!$B$6:$B$3005,$A264,請求記録!$Z$6:$Z$3005,Z$5))))</f>
        <v/>
      </c>
      <c r="AA264" s="19">
        <f>IF($A264="","",IF(COUNTIFS(請求記録!$B$6:$B$3005,$A264,請求記録!$Z$6:$Z$3005,AA$5,請求記録!$AF$6:$AF$3005,"保留中")&gt;0,"保留",IF(COUNTIFS(請求記録!$B$6:$B$3005,$A264,請求記録!$Z$6:$Z$3005,AA$5)=0,"",SUMIFS(請求記録!$AE$6:$AE$3005,請求記録!$B$6:$B$3005,$A264,請求記録!$Z$6:$Z$3005,AA$5))))</f>
        <v/>
      </c>
      <c r="AB264">
        <f>IF(職員マスタ!P264="保留中",職員マスタ!M264,"")</f>
        <v/>
      </c>
    </row>
    <row r="265">
      <c r="A265">
        <f>IF(職員マスタ!A265="","",職員マスタ!A265)</f>
        <v/>
      </c>
      <c r="B265">
        <f>IF($A265="","",職員マスタ!B265)</f>
        <v/>
      </c>
      <c r="C265">
        <f>IF($A265="","",職員マスタ!C265)</f>
        <v/>
      </c>
      <c r="D265" s="19">
        <f>IF($A265="","",IF(COUNTIFS(請求記録!$B$6:$B$3005,$A265,請求記録!$Z$6:$Z$3005,D$5,請求記録!$AF$6:$AF$3005,"保留中")&gt;0,"保留",IF(COUNTIFS(請求記録!$B$6:$B$3005,$A265,請求記録!$Z$6:$Z$3005,D$5)=0,"",SUMIFS(請求記録!$AE$6:$AE$3005,請求記録!$B$6:$B$3005,$A265,請求記録!$Z$6:$Z$3005,D$5))))</f>
        <v/>
      </c>
      <c r="E265" s="19">
        <f>IF($A265="","",IF(COUNTIFS(請求記録!$B$6:$B$3005,$A265,請求記録!$Z$6:$Z$3005,E$5,請求記録!$AF$6:$AF$3005,"保留中")&gt;0,"保留",IF(COUNTIFS(請求記録!$B$6:$B$3005,$A265,請求記録!$Z$6:$Z$3005,E$5)=0,"",SUMIFS(請求記録!$AE$6:$AE$3005,請求記録!$B$6:$B$3005,$A265,請求記録!$Z$6:$Z$3005,E$5))))</f>
        <v/>
      </c>
      <c r="F265" s="19">
        <f>IF($A265="","",IF(COUNTIFS(請求記録!$B$6:$B$3005,$A265,請求記録!$Z$6:$Z$3005,F$5,請求記録!$AF$6:$AF$3005,"保留中")&gt;0,"保留",IF(COUNTIFS(請求記録!$B$6:$B$3005,$A265,請求記録!$Z$6:$Z$3005,F$5)=0,"",SUMIFS(請求記録!$AE$6:$AE$3005,請求記録!$B$6:$B$3005,$A265,請求記録!$Z$6:$Z$3005,F$5))))</f>
        <v/>
      </c>
      <c r="G265" s="19">
        <f>IF($A265="","",IF(COUNTIFS(請求記録!$B$6:$B$3005,$A265,請求記録!$Z$6:$Z$3005,G$5,請求記録!$AF$6:$AF$3005,"保留中")&gt;0,"保留",IF(COUNTIFS(請求記録!$B$6:$B$3005,$A265,請求記録!$Z$6:$Z$3005,G$5)=0,"",SUMIFS(請求記録!$AE$6:$AE$3005,請求記録!$B$6:$B$3005,$A265,請求記録!$Z$6:$Z$3005,G$5))))</f>
        <v/>
      </c>
      <c r="H265" s="19">
        <f>IF($A265="","",IF(COUNTIFS(請求記録!$B$6:$B$3005,$A265,請求記録!$Z$6:$Z$3005,H$5,請求記録!$AF$6:$AF$3005,"保留中")&gt;0,"保留",IF(COUNTIFS(請求記録!$B$6:$B$3005,$A265,請求記録!$Z$6:$Z$3005,H$5)=0,"",SUMIFS(請求記録!$AE$6:$AE$3005,請求記録!$B$6:$B$3005,$A265,請求記録!$Z$6:$Z$3005,H$5))))</f>
        <v/>
      </c>
      <c r="I265" s="19">
        <f>IF($A265="","",IF(COUNTIFS(請求記録!$B$6:$B$3005,$A265,請求記録!$Z$6:$Z$3005,I$5,請求記録!$AF$6:$AF$3005,"保留中")&gt;0,"保留",IF(COUNTIFS(請求記録!$B$6:$B$3005,$A265,請求記録!$Z$6:$Z$3005,I$5)=0,"",SUMIFS(請求記録!$AE$6:$AE$3005,請求記録!$B$6:$B$3005,$A265,請求記録!$Z$6:$Z$3005,I$5))))</f>
        <v/>
      </c>
      <c r="J265" s="19">
        <f>IF($A265="","",IF(COUNTIFS(請求記録!$B$6:$B$3005,$A265,請求記録!$Z$6:$Z$3005,J$5,請求記録!$AF$6:$AF$3005,"保留中")&gt;0,"保留",IF(COUNTIFS(請求記録!$B$6:$B$3005,$A265,請求記録!$Z$6:$Z$3005,J$5)=0,"",SUMIFS(請求記録!$AE$6:$AE$3005,請求記録!$B$6:$B$3005,$A265,請求記録!$Z$6:$Z$3005,J$5))))</f>
        <v/>
      </c>
      <c r="K265" s="19">
        <f>IF($A265="","",IF(COUNTIFS(請求記録!$B$6:$B$3005,$A265,請求記録!$Z$6:$Z$3005,K$5,請求記録!$AF$6:$AF$3005,"保留中")&gt;0,"保留",IF(COUNTIFS(請求記録!$B$6:$B$3005,$A265,請求記録!$Z$6:$Z$3005,K$5)=0,"",SUMIFS(請求記録!$AE$6:$AE$3005,請求記録!$B$6:$B$3005,$A265,請求記録!$Z$6:$Z$3005,K$5))))</f>
        <v/>
      </c>
      <c r="L265" s="19">
        <f>IF($A265="","",IF(COUNTIFS(請求記録!$B$6:$B$3005,$A265,請求記録!$Z$6:$Z$3005,L$5,請求記録!$AF$6:$AF$3005,"保留中")&gt;0,"保留",IF(COUNTIFS(請求記録!$B$6:$B$3005,$A265,請求記録!$Z$6:$Z$3005,L$5)=0,"",SUMIFS(請求記録!$AE$6:$AE$3005,請求記録!$B$6:$B$3005,$A265,請求記録!$Z$6:$Z$3005,L$5))))</f>
        <v/>
      </c>
      <c r="M265" s="19">
        <f>IF($A265="","",IF(COUNTIFS(請求記録!$B$6:$B$3005,$A265,請求記録!$Z$6:$Z$3005,M$5,請求記録!$AF$6:$AF$3005,"保留中")&gt;0,"保留",IF(COUNTIFS(請求記録!$B$6:$B$3005,$A265,請求記録!$Z$6:$Z$3005,M$5)=0,"",SUMIFS(請求記録!$AE$6:$AE$3005,請求記録!$B$6:$B$3005,$A265,請求記録!$Z$6:$Z$3005,M$5))))</f>
        <v/>
      </c>
      <c r="N265" s="19">
        <f>IF($A265="","",IF(COUNTIFS(請求記録!$B$6:$B$3005,$A265,請求記録!$Z$6:$Z$3005,N$5,請求記録!$AF$6:$AF$3005,"保留中")&gt;0,"保留",IF(COUNTIFS(請求記録!$B$6:$B$3005,$A265,請求記録!$Z$6:$Z$3005,N$5)=0,"",SUMIFS(請求記録!$AE$6:$AE$3005,請求記録!$B$6:$B$3005,$A265,請求記録!$Z$6:$Z$3005,N$5))))</f>
        <v/>
      </c>
      <c r="O265" s="19">
        <f>IF($A265="","",IF(COUNTIFS(請求記録!$B$6:$B$3005,$A265,請求記録!$Z$6:$Z$3005,O$5,請求記録!$AF$6:$AF$3005,"保留中")&gt;0,"保留",IF(COUNTIFS(請求記録!$B$6:$B$3005,$A265,請求記録!$Z$6:$Z$3005,O$5)=0,"",SUMIFS(請求記録!$AE$6:$AE$3005,請求記録!$B$6:$B$3005,$A265,請求記録!$Z$6:$Z$3005,O$5))))</f>
        <v/>
      </c>
      <c r="P265" s="19">
        <f>IF($A265="","",IF(COUNTIFS(請求記録!$B$6:$B$3005,$A265,請求記録!$Z$6:$Z$3005,P$5,請求記録!$AF$6:$AF$3005,"保留中")&gt;0,"保留",IF(COUNTIFS(請求記録!$B$6:$B$3005,$A265,請求記録!$Z$6:$Z$3005,P$5)=0,"",SUMIFS(請求記録!$AE$6:$AE$3005,請求記録!$B$6:$B$3005,$A265,請求記録!$Z$6:$Z$3005,P$5))))</f>
        <v/>
      </c>
      <c r="Q265" s="19">
        <f>IF($A265="","",IF(COUNTIFS(請求記録!$B$6:$B$3005,$A265,請求記録!$Z$6:$Z$3005,Q$5,請求記録!$AF$6:$AF$3005,"保留中")&gt;0,"保留",IF(COUNTIFS(請求記録!$B$6:$B$3005,$A265,請求記録!$Z$6:$Z$3005,Q$5)=0,"",SUMIFS(請求記録!$AE$6:$AE$3005,請求記録!$B$6:$B$3005,$A265,請求記録!$Z$6:$Z$3005,Q$5))))</f>
        <v/>
      </c>
      <c r="R265" s="19">
        <f>IF($A265="","",IF(COUNTIFS(請求記録!$B$6:$B$3005,$A265,請求記録!$Z$6:$Z$3005,R$5,請求記録!$AF$6:$AF$3005,"保留中")&gt;0,"保留",IF(COUNTIFS(請求記録!$B$6:$B$3005,$A265,請求記録!$Z$6:$Z$3005,R$5)=0,"",SUMIFS(請求記録!$AE$6:$AE$3005,請求記録!$B$6:$B$3005,$A265,請求記録!$Z$6:$Z$3005,R$5))))</f>
        <v/>
      </c>
      <c r="S265" s="19">
        <f>IF($A265="","",IF(COUNTIFS(請求記録!$B$6:$B$3005,$A265,請求記録!$Z$6:$Z$3005,S$5,請求記録!$AF$6:$AF$3005,"保留中")&gt;0,"保留",IF(COUNTIFS(請求記録!$B$6:$B$3005,$A265,請求記録!$Z$6:$Z$3005,S$5)=0,"",SUMIFS(請求記録!$AE$6:$AE$3005,請求記録!$B$6:$B$3005,$A265,請求記録!$Z$6:$Z$3005,S$5))))</f>
        <v/>
      </c>
      <c r="T265" s="19">
        <f>IF($A265="","",IF(COUNTIFS(請求記録!$B$6:$B$3005,$A265,請求記録!$Z$6:$Z$3005,T$5,請求記録!$AF$6:$AF$3005,"保留中")&gt;0,"保留",IF(COUNTIFS(請求記録!$B$6:$B$3005,$A265,請求記録!$Z$6:$Z$3005,T$5)=0,"",SUMIFS(請求記録!$AE$6:$AE$3005,請求記録!$B$6:$B$3005,$A265,請求記録!$Z$6:$Z$3005,T$5))))</f>
        <v/>
      </c>
      <c r="U265" s="19">
        <f>IF($A265="","",IF(COUNTIFS(請求記録!$B$6:$B$3005,$A265,請求記録!$Z$6:$Z$3005,U$5,請求記録!$AF$6:$AF$3005,"保留中")&gt;0,"保留",IF(COUNTIFS(請求記録!$B$6:$B$3005,$A265,請求記録!$Z$6:$Z$3005,U$5)=0,"",SUMIFS(請求記録!$AE$6:$AE$3005,請求記録!$B$6:$B$3005,$A265,請求記録!$Z$6:$Z$3005,U$5))))</f>
        <v/>
      </c>
      <c r="V265" s="19">
        <f>IF($A265="","",IF(COUNTIFS(請求記録!$B$6:$B$3005,$A265,請求記録!$Z$6:$Z$3005,V$5,請求記録!$AF$6:$AF$3005,"保留中")&gt;0,"保留",IF(COUNTIFS(請求記録!$B$6:$B$3005,$A265,請求記録!$Z$6:$Z$3005,V$5)=0,"",SUMIFS(請求記録!$AE$6:$AE$3005,請求記録!$B$6:$B$3005,$A265,請求記録!$Z$6:$Z$3005,V$5))))</f>
        <v/>
      </c>
      <c r="W265" s="19">
        <f>IF($A265="","",IF(COUNTIFS(請求記録!$B$6:$B$3005,$A265,請求記録!$Z$6:$Z$3005,W$5,請求記録!$AF$6:$AF$3005,"保留中")&gt;0,"保留",IF(COUNTIFS(請求記録!$B$6:$B$3005,$A265,請求記録!$Z$6:$Z$3005,W$5)=0,"",SUMIFS(請求記録!$AE$6:$AE$3005,請求記録!$B$6:$B$3005,$A265,請求記録!$Z$6:$Z$3005,W$5))))</f>
        <v/>
      </c>
      <c r="X265" s="19">
        <f>IF($A265="","",IF(COUNTIFS(請求記録!$B$6:$B$3005,$A265,請求記録!$Z$6:$Z$3005,X$5,請求記録!$AF$6:$AF$3005,"保留中")&gt;0,"保留",IF(COUNTIFS(請求記録!$B$6:$B$3005,$A265,請求記録!$Z$6:$Z$3005,X$5)=0,"",SUMIFS(請求記録!$AE$6:$AE$3005,請求記録!$B$6:$B$3005,$A265,請求記録!$Z$6:$Z$3005,X$5))))</f>
        <v/>
      </c>
      <c r="Y265" s="19">
        <f>IF($A265="","",IF(COUNTIFS(請求記録!$B$6:$B$3005,$A265,請求記録!$Z$6:$Z$3005,Y$5,請求記録!$AF$6:$AF$3005,"保留中")&gt;0,"保留",IF(COUNTIFS(請求記録!$B$6:$B$3005,$A265,請求記録!$Z$6:$Z$3005,Y$5)=0,"",SUMIFS(請求記録!$AE$6:$AE$3005,請求記録!$B$6:$B$3005,$A265,請求記録!$Z$6:$Z$3005,Y$5))))</f>
        <v/>
      </c>
      <c r="Z265" s="19">
        <f>IF($A265="","",IF(COUNTIFS(請求記録!$B$6:$B$3005,$A265,請求記録!$Z$6:$Z$3005,Z$5,請求記録!$AF$6:$AF$3005,"保留中")&gt;0,"保留",IF(COUNTIFS(請求記録!$B$6:$B$3005,$A265,請求記録!$Z$6:$Z$3005,Z$5)=0,"",SUMIFS(請求記録!$AE$6:$AE$3005,請求記録!$B$6:$B$3005,$A265,請求記録!$Z$6:$Z$3005,Z$5))))</f>
        <v/>
      </c>
      <c r="AA265" s="19">
        <f>IF($A265="","",IF(COUNTIFS(請求記録!$B$6:$B$3005,$A265,請求記録!$Z$6:$Z$3005,AA$5,請求記録!$AF$6:$AF$3005,"保留中")&gt;0,"保留",IF(COUNTIFS(請求記録!$B$6:$B$3005,$A265,請求記録!$Z$6:$Z$3005,AA$5)=0,"",SUMIFS(請求記録!$AE$6:$AE$3005,請求記録!$B$6:$B$3005,$A265,請求記録!$Z$6:$Z$3005,AA$5))))</f>
        <v/>
      </c>
      <c r="AB265">
        <f>IF(職員マスタ!P265="保留中",職員マスタ!M265,"")</f>
        <v/>
      </c>
    </row>
    <row r="266">
      <c r="A266">
        <f>IF(職員マスタ!A266="","",職員マスタ!A266)</f>
        <v/>
      </c>
      <c r="B266">
        <f>IF($A266="","",職員マスタ!B266)</f>
        <v/>
      </c>
      <c r="C266">
        <f>IF($A266="","",職員マスタ!C266)</f>
        <v/>
      </c>
      <c r="D266" s="19">
        <f>IF($A266="","",IF(COUNTIFS(請求記録!$B$6:$B$3005,$A266,請求記録!$Z$6:$Z$3005,D$5,請求記録!$AF$6:$AF$3005,"保留中")&gt;0,"保留",IF(COUNTIFS(請求記録!$B$6:$B$3005,$A266,請求記録!$Z$6:$Z$3005,D$5)=0,"",SUMIFS(請求記録!$AE$6:$AE$3005,請求記録!$B$6:$B$3005,$A266,請求記録!$Z$6:$Z$3005,D$5))))</f>
        <v/>
      </c>
      <c r="E266" s="19">
        <f>IF($A266="","",IF(COUNTIFS(請求記録!$B$6:$B$3005,$A266,請求記録!$Z$6:$Z$3005,E$5,請求記録!$AF$6:$AF$3005,"保留中")&gt;0,"保留",IF(COUNTIFS(請求記録!$B$6:$B$3005,$A266,請求記録!$Z$6:$Z$3005,E$5)=0,"",SUMIFS(請求記録!$AE$6:$AE$3005,請求記録!$B$6:$B$3005,$A266,請求記録!$Z$6:$Z$3005,E$5))))</f>
        <v/>
      </c>
      <c r="F266" s="19">
        <f>IF($A266="","",IF(COUNTIFS(請求記録!$B$6:$B$3005,$A266,請求記録!$Z$6:$Z$3005,F$5,請求記録!$AF$6:$AF$3005,"保留中")&gt;0,"保留",IF(COUNTIFS(請求記録!$B$6:$B$3005,$A266,請求記録!$Z$6:$Z$3005,F$5)=0,"",SUMIFS(請求記録!$AE$6:$AE$3005,請求記録!$B$6:$B$3005,$A266,請求記録!$Z$6:$Z$3005,F$5))))</f>
        <v/>
      </c>
      <c r="G266" s="19">
        <f>IF($A266="","",IF(COUNTIFS(請求記録!$B$6:$B$3005,$A266,請求記録!$Z$6:$Z$3005,G$5,請求記録!$AF$6:$AF$3005,"保留中")&gt;0,"保留",IF(COUNTIFS(請求記録!$B$6:$B$3005,$A266,請求記録!$Z$6:$Z$3005,G$5)=0,"",SUMIFS(請求記録!$AE$6:$AE$3005,請求記録!$B$6:$B$3005,$A266,請求記録!$Z$6:$Z$3005,G$5))))</f>
        <v/>
      </c>
      <c r="H266" s="19">
        <f>IF($A266="","",IF(COUNTIFS(請求記録!$B$6:$B$3005,$A266,請求記録!$Z$6:$Z$3005,H$5,請求記録!$AF$6:$AF$3005,"保留中")&gt;0,"保留",IF(COUNTIFS(請求記録!$B$6:$B$3005,$A266,請求記録!$Z$6:$Z$3005,H$5)=0,"",SUMIFS(請求記録!$AE$6:$AE$3005,請求記録!$B$6:$B$3005,$A266,請求記録!$Z$6:$Z$3005,H$5))))</f>
        <v/>
      </c>
      <c r="I266" s="19">
        <f>IF($A266="","",IF(COUNTIFS(請求記録!$B$6:$B$3005,$A266,請求記録!$Z$6:$Z$3005,I$5,請求記録!$AF$6:$AF$3005,"保留中")&gt;0,"保留",IF(COUNTIFS(請求記録!$B$6:$B$3005,$A266,請求記録!$Z$6:$Z$3005,I$5)=0,"",SUMIFS(請求記録!$AE$6:$AE$3005,請求記録!$B$6:$B$3005,$A266,請求記録!$Z$6:$Z$3005,I$5))))</f>
        <v/>
      </c>
      <c r="J266" s="19">
        <f>IF($A266="","",IF(COUNTIFS(請求記録!$B$6:$B$3005,$A266,請求記録!$Z$6:$Z$3005,J$5,請求記録!$AF$6:$AF$3005,"保留中")&gt;0,"保留",IF(COUNTIFS(請求記録!$B$6:$B$3005,$A266,請求記録!$Z$6:$Z$3005,J$5)=0,"",SUMIFS(請求記録!$AE$6:$AE$3005,請求記録!$B$6:$B$3005,$A266,請求記録!$Z$6:$Z$3005,J$5))))</f>
        <v/>
      </c>
      <c r="K266" s="19">
        <f>IF($A266="","",IF(COUNTIFS(請求記録!$B$6:$B$3005,$A266,請求記録!$Z$6:$Z$3005,K$5,請求記録!$AF$6:$AF$3005,"保留中")&gt;0,"保留",IF(COUNTIFS(請求記録!$B$6:$B$3005,$A266,請求記録!$Z$6:$Z$3005,K$5)=0,"",SUMIFS(請求記録!$AE$6:$AE$3005,請求記録!$B$6:$B$3005,$A266,請求記録!$Z$6:$Z$3005,K$5))))</f>
        <v/>
      </c>
      <c r="L266" s="19">
        <f>IF($A266="","",IF(COUNTIFS(請求記録!$B$6:$B$3005,$A266,請求記録!$Z$6:$Z$3005,L$5,請求記録!$AF$6:$AF$3005,"保留中")&gt;0,"保留",IF(COUNTIFS(請求記録!$B$6:$B$3005,$A266,請求記録!$Z$6:$Z$3005,L$5)=0,"",SUMIFS(請求記録!$AE$6:$AE$3005,請求記録!$B$6:$B$3005,$A266,請求記録!$Z$6:$Z$3005,L$5))))</f>
        <v/>
      </c>
      <c r="M266" s="19">
        <f>IF($A266="","",IF(COUNTIFS(請求記録!$B$6:$B$3005,$A266,請求記録!$Z$6:$Z$3005,M$5,請求記録!$AF$6:$AF$3005,"保留中")&gt;0,"保留",IF(COUNTIFS(請求記録!$B$6:$B$3005,$A266,請求記録!$Z$6:$Z$3005,M$5)=0,"",SUMIFS(請求記録!$AE$6:$AE$3005,請求記録!$B$6:$B$3005,$A266,請求記録!$Z$6:$Z$3005,M$5))))</f>
        <v/>
      </c>
      <c r="N266" s="19">
        <f>IF($A266="","",IF(COUNTIFS(請求記録!$B$6:$B$3005,$A266,請求記録!$Z$6:$Z$3005,N$5,請求記録!$AF$6:$AF$3005,"保留中")&gt;0,"保留",IF(COUNTIFS(請求記録!$B$6:$B$3005,$A266,請求記録!$Z$6:$Z$3005,N$5)=0,"",SUMIFS(請求記録!$AE$6:$AE$3005,請求記録!$B$6:$B$3005,$A266,請求記録!$Z$6:$Z$3005,N$5))))</f>
        <v/>
      </c>
      <c r="O266" s="19">
        <f>IF($A266="","",IF(COUNTIFS(請求記録!$B$6:$B$3005,$A266,請求記録!$Z$6:$Z$3005,O$5,請求記録!$AF$6:$AF$3005,"保留中")&gt;0,"保留",IF(COUNTIFS(請求記録!$B$6:$B$3005,$A266,請求記録!$Z$6:$Z$3005,O$5)=0,"",SUMIFS(請求記録!$AE$6:$AE$3005,請求記録!$B$6:$B$3005,$A266,請求記録!$Z$6:$Z$3005,O$5))))</f>
        <v/>
      </c>
      <c r="P266" s="19">
        <f>IF($A266="","",IF(COUNTIFS(請求記録!$B$6:$B$3005,$A266,請求記録!$Z$6:$Z$3005,P$5,請求記録!$AF$6:$AF$3005,"保留中")&gt;0,"保留",IF(COUNTIFS(請求記録!$B$6:$B$3005,$A266,請求記録!$Z$6:$Z$3005,P$5)=0,"",SUMIFS(請求記録!$AE$6:$AE$3005,請求記録!$B$6:$B$3005,$A266,請求記録!$Z$6:$Z$3005,P$5))))</f>
        <v/>
      </c>
      <c r="Q266" s="19">
        <f>IF($A266="","",IF(COUNTIFS(請求記録!$B$6:$B$3005,$A266,請求記録!$Z$6:$Z$3005,Q$5,請求記録!$AF$6:$AF$3005,"保留中")&gt;0,"保留",IF(COUNTIFS(請求記録!$B$6:$B$3005,$A266,請求記録!$Z$6:$Z$3005,Q$5)=0,"",SUMIFS(請求記録!$AE$6:$AE$3005,請求記録!$B$6:$B$3005,$A266,請求記録!$Z$6:$Z$3005,Q$5))))</f>
        <v/>
      </c>
      <c r="R266" s="19">
        <f>IF($A266="","",IF(COUNTIFS(請求記録!$B$6:$B$3005,$A266,請求記録!$Z$6:$Z$3005,R$5,請求記録!$AF$6:$AF$3005,"保留中")&gt;0,"保留",IF(COUNTIFS(請求記録!$B$6:$B$3005,$A266,請求記録!$Z$6:$Z$3005,R$5)=0,"",SUMIFS(請求記録!$AE$6:$AE$3005,請求記録!$B$6:$B$3005,$A266,請求記録!$Z$6:$Z$3005,R$5))))</f>
        <v/>
      </c>
      <c r="S266" s="19">
        <f>IF($A266="","",IF(COUNTIFS(請求記録!$B$6:$B$3005,$A266,請求記録!$Z$6:$Z$3005,S$5,請求記録!$AF$6:$AF$3005,"保留中")&gt;0,"保留",IF(COUNTIFS(請求記録!$B$6:$B$3005,$A266,請求記録!$Z$6:$Z$3005,S$5)=0,"",SUMIFS(請求記録!$AE$6:$AE$3005,請求記録!$B$6:$B$3005,$A266,請求記録!$Z$6:$Z$3005,S$5))))</f>
        <v/>
      </c>
      <c r="T266" s="19">
        <f>IF($A266="","",IF(COUNTIFS(請求記録!$B$6:$B$3005,$A266,請求記録!$Z$6:$Z$3005,T$5,請求記録!$AF$6:$AF$3005,"保留中")&gt;0,"保留",IF(COUNTIFS(請求記録!$B$6:$B$3005,$A266,請求記録!$Z$6:$Z$3005,T$5)=0,"",SUMIFS(請求記録!$AE$6:$AE$3005,請求記録!$B$6:$B$3005,$A266,請求記録!$Z$6:$Z$3005,T$5))))</f>
        <v/>
      </c>
      <c r="U266" s="19">
        <f>IF($A266="","",IF(COUNTIFS(請求記録!$B$6:$B$3005,$A266,請求記録!$Z$6:$Z$3005,U$5,請求記録!$AF$6:$AF$3005,"保留中")&gt;0,"保留",IF(COUNTIFS(請求記録!$B$6:$B$3005,$A266,請求記録!$Z$6:$Z$3005,U$5)=0,"",SUMIFS(請求記録!$AE$6:$AE$3005,請求記録!$B$6:$B$3005,$A266,請求記録!$Z$6:$Z$3005,U$5))))</f>
        <v/>
      </c>
      <c r="V266" s="19">
        <f>IF($A266="","",IF(COUNTIFS(請求記録!$B$6:$B$3005,$A266,請求記録!$Z$6:$Z$3005,V$5,請求記録!$AF$6:$AF$3005,"保留中")&gt;0,"保留",IF(COUNTIFS(請求記録!$B$6:$B$3005,$A266,請求記録!$Z$6:$Z$3005,V$5)=0,"",SUMIFS(請求記録!$AE$6:$AE$3005,請求記録!$B$6:$B$3005,$A266,請求記録!$Z$6:$Z$3005,V$5))))</f>
        <v/>
      </c>
      <c r="W266" s="19">
        <f>IF($A266="","",IF(COUNTIFS(請求記録!$B$6:$B$3005,$A266,請求記録!$Z$6:$Z$3005,W$5,請求記録!$AF$6:$AF$3005,"保留中")&gt;0,"保留",IF(COUNTIFS(請求記録!$B$6:$B$3005,$A266,請求記録!$Z$6:$Z$3005,W$5)=0,"",SUMIFS(請求記録!$AE$6:$AE$3005,請求記録!$B$6:$B$3005,$A266,請求記録!$Z$6:$Z$3005,W$5))))</f>
        <v/>
      </c>
      <c r="X266" s="19">
        <f>IF($A266="","",IF(COUNTIFS(請求記録!$B$6:$B$3005,$A266,請求記録!$Z$6:$Z$3005,X$5,請求記録!$AF$6:$AF$3005,"保留中")&gt;0,"保留",IF(COUNTIFS(請求記録!$B$6:$B$3005,$A266,請求記録!$Z$6:$Z$3005,X$5)=0,"",SUMIFS(請求記録!$AE$6:$AE$3005,請求記録!$B$6:$B$3005,$A266,請求記録!$Z$6:$Z$3005,X$5))))</f>
        <v/>
      </c>
      <c r="Y266" s="19">
        <f>IF($A266="","",IF(COUNTIFS(請求記録!$B$6:$B$3005,$A266,請求記録!$Z$6:$Z$3005,Y$5,請求記録!$AF$6:$AF$3005,"保留中")&gt;0,"保留",IF(COUNTIFS(請求記録!$B$6:$B$3005,$A266,請求記録!$Z$6:$Z$3005,Y$5)=0,"",SUMIFS(請求記録!$AE$6:$AE$3005,請求記録!$B$6:$B$3005,$A266,請求記録!$Z$6:$Z$3005,Y$5))))</f>
        <v/>
      </c>
      <c r="Z266" s="19">
        <f>IF($A266="","",IF(COUNTIFS(請求記録!$B$6:$B$3005,$A266,請求記録!$Z$6:$Z$3005,Z$5,請求記録!$AF$6:$AF$3005,"保留中")&gt;0,"保留",IF(COUNTIFS(請求記録!$B$6:$B$3005,$A266,請求記録!$Z$6:$Z$3005,Z$5)=0,"",SUMIFS(請求記録!$AE$6:$AE$3005,請求記録!$B$6:$B$3005,$A266,請求記録!$Z$6:$Z$3005,Z$5))))</f>
        <v/>
      </c>
      <c r="AA266" s="19">
        <f>IF($A266="","",IF(COUNTIFS(請求記録!$B$6:$B$3005,$A266,請求記録!$Z$6:$Z$3005,AA$5,請求記録!$AF$6:$AF$3005,"保留中")&gt;0,"保留",IF(COUNTIFS(請求記録!$B$6:$B$3005,$A266,請求記録!$Z$6:$Z$3005,AA$5)=0,"",SUMIFS(請求記録!$AE$6:$AE$3005,請求記録!$B$6:$B$3005,$A266,請求記録!$Z$6:$Z$3005,AA$5))))</f>
        <v/>
      </c>
      <c r="AB266">
        <f>IF(職員マスタ!P266="保留中",職員マスタ!M266,"")</f>
        <v/>
      </c>
    </row>
    <row r="267">
      <c r="A267">
        <f>IF(職員マスタ!A267="","",職員マスタ!A267)</f>
        <v/>
      </c>
      <c r="B267">
        <f>IF($A267="","",職員マスタ!B267)</f>
        <v/>
      </c>
      <c r="C267">
        <f>IF($A267="","",職員マスタ!C267)</f>
        <v/>
      </c>
      <c r="D267" s="19">
        <f>IF($A267="","",IF(COUNTIFS(請求記録!$B$6:$B$3005,$A267,請求記録!$Z$6:$Z$3005,D$5,請求記録!$AF$6:$AF$3005,"保留中")&gt;0,"保留",IF(COUNTIFS(請求記録!$B$6:$B$3005,$A267,請求記録!$Z$6:$Z$3005,D$5)=0,"",SUMIFS(請求記録!$AE$6:$AE$3005,請求記録!$B$6:$B$3005,$A267,請求記録!$Z$6:$Z$3005,D$5))))</f>
        <v/>
      </c>
      <c r="E267" s="19">
        <f>IF($A267="","",IF(COUNTIFS(請求記録!$B$6:$B$3005,$A267,請求記録!$Z$6:$Z$3005,E$5,請求記録!$AF$6:$AF$3005,"保留中")&gt;0,"保留",IF(COUNTIFS(請求記録!$B$6:$B$3005,$A267,請求記録!$Z$6:$Z$3005,E$5)=0,"",SUMIFS(請求記録!$AE$6:$AE$3005,請求記録!$B$6:$B$3005,$A267,請求記録!$Z$6:$Z$3005,E$5))))</f>
        <v/>
      </c>
      <c r="F267" s="19">
        <f>IF($A267="","",IF(COUNTIFS(請求記録!$B$6:$B$3005,$A267,請求記録!$Z$6:$Z$3005,F$5,請求記録!$AF$6:$AF$3005,"保留中")&gt;0,"保留",IF(COUNTIFS(請求記録!$B$6:$B$3005,$A267,請求記録!$Z$6:$Z$3005,F$5)=0,"",SUMIFS(請求記録!$AE$6:$AE$3005,請求記録!$B$6:$B$3005,$A267,請求記録!$Z$6:$Z$3005,F$5))))</f>
        <v/>
      </c>
      <c r="G267" s="19">
        <f>IF($A267="","",IF(COUNTIFS(請求記録!$B$6:$B$3005,$A267,請求記録!$Z$6:$Z$3005,G$5,請求記録!$AF$6:$AF$3005,"保留中")&gt;0,"保留",IF(COUNTIFS(請求記録!$B$6:$B$3005,$A267,請求記録!$Z$6:$Z$3005,G$5)=0,"",SUMIFS(請求記録!$AE$6:$AE$3005,請求記録!$B$6:$B$3005,$A267,請求記録!$Z$6:$Z$3005,G$5))))</f>
        <v/>
      </c>
      <c r="H267" s="19">
        <f>IF($A267="","",IF(COUNTIFS(請求記録!$B$6:$B$3005,$A267,請求記録!$Z$6:$Z$3005,H$5,請求記録!$AF$6:$AF$3005,"保留中")&gt;0,"保留",IF(COUNTIFS(請求記録!$B$6:$B$3005,$A267,請求記録!$Z$6:$Z$3005,H$5)=0,"",SUMIFS(請求記録!$AE$6:$AE$3005,請求記録!$B$6:$B$3005,$A267,請求記録!$Z$6:$Z$3005,H$5))))</f>
        <v/>
      </c>
      <c r="I267" s="19">
        <f>IF($A267="","",IF(COUNTIFS(請求記録!$B$6:$B$3005,$A267,請求記録!$Z$6:$Z$3005,I$5,請求記録!$AF$6:$AF$3005,"保留中")&gt;0,"保留",IF(COUNTIFS(請求記録!$B$6:$B$3005,$A267,請求記録!$Z$6:$Z$3005,I$5)=0,"",SUMIFS(請求記録!$AE$6:$AE$3005,請求記録!$B$6:$B$3005,$A267,請求記録!$Z$6:$Z$3005,I$5))))</f>
        <v/>
      </c>
      <c r="J267" s="19">
        <f>IF($A267="","",IF(COUNTIFS(請求記録!$B$6:$B$3005,$A267,請求記録!$Z$6:$Z$3005,J$5,請求記録!$AF$6:$AF$3005,"保留中")&gt;0,"保留",IF(COUNTIFS(請求記録!$B$6:$B$3005,$A267,請求記録!$Z$6:$Z$3005,J$5)=0,"",SUMIFS(請求記録!$AE$6:$AE$3005,請求記録!$B$6:$B$3005,$A267,請求記録!$Z$6:$Z$3005,J$5))))</f>
        <v/>
      </c>
      <c r="K267" s="19">
        <f>IF($A267="","",IF(COUNTIFS(請求記録!$B$6:$B$3005,$A267,請求記録!$Z$6:$Z$3005,K$5,請求記録!$AF$6:$AF$3005,"保留中")&gt;0,"保留",IF(COUNTIFS(請求記録!$B$6:$B$3005,$A267,請求記録!$Z$6:$Z$3005,K$5)=0,"",SUMIFS(請求記録!$AE$6:$AE$3005,請求記録!$B$6:$B$3005,$A267,請求記録!$Z$6:$Z$3005,K$5))))</f>
        <v/>
      </c>
      <c r="L267" s="19">
        <f>IF($A267="","",IF(COUNTIFS(請求記録!$B$6:$B$3005,$A267,請求記録!$Z$6:$Z$3005,L$5,請求記録!$AF$6:$AF$3005,"保留中")&gt;0,"保留",IF(COUNTIFS(請求記録!$B$6:$B$3005,$A267,請求記録!$Z$6:$Z$3005,L$5)=0,"",SUMIFS(請求記録!$AE$6:$AE$3005,請求記録!$B$6:$B$3005,$A267,請求記録!$Z$6:$Z$3005,L$5))))</f>
        <v/>
      </c>
      <c r="M267" s="19">
        <f>IF($A267="","",IF(COUNTIFS(請求記録!$B$6:$B$3005,$A267,請求記録!$Z$6:$Z$3005,M$5,請求記録!$AF$6:$AF$3005,"保留中")&gt;0,"保留",IF(COUNTIFS(請求記録!$B$6:$B$3005,$A267,請求記録!$Z$6:$Z$3005,M$5)=0,"",SUMIFS(請求記録!$AE$6:$AE$3005,請求記録!$B$6:$B$3005,$A267,請求記録!$Z$6:$Z$3005,M$5))))</f>
        <v/>
      </c>
      <c r="N267" s="19">
        <f>IF($A267="","",IF(COUNTIFS(請求記録!$B$6:$B$3005,$A267,請求記録!$Z$6:$Z$3005,N$5,請求記録!$AF$6:$AF$3005,"保留中")&gt;0,"保留",IF(COUNTIFS(請求記録!$B$6:$B$3005,$A267,請求記録!$Z$6:$Z$3005,N$5)=0,"",SUMIFS(請求記録!$AE$6:$AE$3005,請求記録!$B$6:$B$3005,$A267,請求記録!$Z$6:$Z$3005,N$5))))</f>
        <v/>
      </c>
      <c r="O267" s="19">
        <f>IF($A267="","",IF(COUNTIFS(請求記録!$B$6:$B$3005,$A267,請求記録!$Z$6:$Z$3005,O$5,請求記録!$AF$6:$AF$3005,"保留中")&gt;0,"保留",IF(COUNTIFS(請求記録!$B$6:$B$3005,$A267,請求記録!$Z$6:$Z$3005,O$5)=0,"",SUMIFS(請求記録!$AE$6:$AE$3005,請求記録!$B$6:$B$3005,$A267,請求記録!$Z$6:$Z$3005,O$5))))</f>
        <v/>
      </c>
      <c r="P267" s="19">
        <f>IF($A267="","",IF(COUNTIFS(請求記録!$B$6:$B$3005,$A267,請求記録!$Z$6:$Z$3005,P$5,請求記録!$AF$6:$AF$3005,"保留中")&gt;0,"保留",IF(COUNTIFS(請求記録!$B$6:$B$3005,$A267,請求記録!$Z$6:$Z$3005,P$5)=0,"",SUMIFS(請求記録!$AE$6:$AE$3005,請求記録!$B$6:$B$3005,$A267,請求記録!$Z$6:$Z$3005,P$5))))</f>
        <v/>
      </c>
      <c r="Q267" s="19">
        <f>IF($A267="","",IF(COUNTIFS(請求記録!$B$6:$B$3005,$A267,請求記録!$Z$6:$Z$3005,Q$5,請求記録!$AF$6:$AF$3005,"保留中")&gt;0,"保留",IF(COUNTIFS(請求記録!$B$6:$B$3005,$A267,請求記録!$Z$6:$Z$3005,Q$5)=0,"",SUMIFS(請求記録!$AE$6:$AE$3005,請求記録!$B$6:$B$3005,$A267,請求記録!$Z$6:$Z$3005,Q$5))))</f>
        <v/>
      </c>
      <c r="R267" s="19">
        <f>IF($A267="","",IF(COUNTIFS(請求記録!$B$6:$B$3005,$A267,請求記録!$Z$6:$Z$3005,R$5,請求記録!$AF$6:$AF$3005,"保留中")&gt;0,"保留",IF(COUNTIFS(請求記録!$B$6:$B$3005,$A267,請求記録!$Z$6:$Z$3005,R$5)=0,"",SUMIFS(請求記録!$AE$6:$AE$3005,請求記録!$B$6:$B$3005,$A267,請求記録!$Z$6:$Z$3005,R$5))))</f>
        <v/>
      </c>
      <c r="S267" s="19">
        <f>IF($A267="","",IF(COUNTIFS(請求記録!$B$6:$B$3005,$A267,請求記録!$Z$6:$Z$3005,S$5,請求記録!$AF$6:$AF$3005,"保留中")&gt;0,"保留",IF(COUNTIFS(請求記録!$B$6:$B$3005,$A267,請求記録!$Z$6:$Z$3005,S$5)=0,"",SUMIFS(請求記録!$AE$6:$AE$3005,請求記録!$B$6:$B$3005,$A267,請求記録!$Z$6:$Z$3005,S$5))))</f>
        <v/>
      </c>
      <c r="T267" s="19">
        <f>IF($A267="","",IF(COUNTIFS(請求記録!$B$6:$B$3005,$A267,請求記録!$Z$6:$Z$3005,T$5,請求記録!$AF$6:$AF$3005,"保留中")&gt;0,"保留",IF(COUNTIFS(請求記録!$B$6:$B$3005,$A267,請求記録!$Z$6:$Z$3005,T$5)=0,"",SUMIFS(請求記録!$AE$6:$AE$3005,請求記録!$B$6:$B$3005,$A267,請求記録!$Z$6:$Z$3005,T$5))))</f>
        <v/>
      </c>
      <c r="U267" s="19">
        <f>IF($A267="","",IF(COUNTIFS(請求記録!$B$6:$B$3005,$A267,請求記録!$Z$6:$Z$3005,U$5,請求記録!$AF$6:$AF$3005,"保留中")&gt;0,"保留",IF(COUNTIFS(請求記録!$B$6:$B$3005,$A267,請求記録!$Z$6:$Z$3005,U$5)=0,"",SUMIFS(請求記録!$AE$6:$AE$3005,請求記録!$B$6:$B$3005,$A267,請求記録!$Z$6:$Z$3005,U$5))))</f>
        <v/>
      </c>
      <c r="V267" s="19">
        <f>IF($A267="","",IF(COUNTIFS(請求記録!$B$6:$B$3005,$A267,請求記録!$Z$6:$Z$3005,V$5,請求記録!$AF$6:$AF$3005,"保留中")&gt;0,"保留",IF(COUNTIFS(請求記録!$B$6:$B$3005,$A267,請求記録!$Z$6:$Z$3005,V$5)=0,"",SUMIFS(請求記録!$AE$6:$AE$3005,請求記録!$B$6:$B$3005,$A267,請求記録!$Z$6:$Z$3005,V$5))))</f>
        <v/>
      </c>
      <c r="W267" s="19">
        <f>IF($A267="","",IF(COUNTIFS(請求記録!$B$6:$B$3005,$A267,請求記録!$Z$6:$Z$3005,W$5,請求記録!$AF$6:$AF$3005,"保留中")&gt;0,"保留",IF(COUNTIFS(請求記録!$B$6:$B$3005,$A267,請求記録!$Z$6:$Z$3005,W$5)=0,"",SUMIFS(請求記録!$AE$6:$AE$3005,請求記録!$B$6:$B$3005,$A267,請求記録!$Z$6:$Z$3005,W$5))))</f>
        <v/>
      </c>
      <c r="X267" s="19">
        <f>IF($A267="","",IF(COUNTIFS(請求記録!$B$6:$B$3005,$A267,請求記録!$Z$6:$Z$3005,X$5,請求記録!$AF$6:$AF$3005,"保留中")&gt;0,"保留",IF(COUNTIFS(請求記録!$B$6:$B$3005,$A267,請求記録!$Z$6:$Z$3005,X$5)=0,"",SUMIFS(請求記録!$AE$6:$AE$3005,請求記録!$B$6:$B$3005,$A267,請求記録!$Z$6:$Z$3005,X$5))))</f>
        <v/>
      </c>
      <c r="Y267" s="19">
        <f>IF($A267="","",IF(COUNTIFS(請求記録!$B$6:$B$3005,$A267,請求記録!$Z$6:$Z$3005,Y$5,請求記録!$AF$6:$AF$3005,"保留中")&gt;0,"保留",IF(COUNTIFS(請求記録!$B$6:$B$3005,$A267,請求記録!$Z$6:$Z$3005,Y$5)=0,"",SUMIFS(請求記録!$AE$6:$AE$3005,請求記録!$B$6:$B$3005,$A267,請求記録!$Z$6:$Z$3005,Y$5))))</f>
        <v/>
      </c>
      <c r="Z267" s="19">
        <f>IF($A267="","",IF(COUNTIFS(請求記録!$B$6:$B$3005,$A267,請求記録!$Z$6:$Z$3005,Z$5,請求記録!$AF$6:$AF$3005,"保留中")&gt;0,"保留",IF(COUNTIFS(請求記録!$B$6:$B$3005,$A267,請求記録!$Z$6:$Z$3005,Z$5)=0,"",SUMIFS(請求記録!$AE$6:$AE$3005,請求記録!$B$6:$B$3005,$A267,請求記録!$Z$6:$Z$3005,Z$5))))</f>
        <v/>
      </c>
      <c r="AA267" s="19">
        <f>IF($A267="","",IF(COUNTIFS(請求記録!$B$6:$B$3005,$A267,請求記録!$Z$6:$Z$3005,AA$5,請求記録!$AF$6:$AF$3005,"保留中")&gt;0,"保留",IF(COUNTIFS(請求記録!$B$6:$B$3005,$A267,請求記録!$Z$6:$Z$3005,AA$5)=0,"",SUMIFS(請求記録!$AE$6:$AE$3005,請求記録!$B$6:$B$3005,$A267,請求記録!$Z$6:$Z$3005,AA$5))))</f>
        <v/>
      </c>
      <c r="AB267">
        <f>IF(職員マスタ!P267="保留中",職員マスタ!M267,"")</f>
        <v/>
      </c>
    </row>
    <row r="268">
      <c r="A268">
        <f>IF(職員マスタ!A268="","",職員マスタ!A268)</f>
        <v/>
      </c>
      <c r="B268">
        <f>IF($A268="","",職員マスタ!B268)</f>
        <v/>
      </c>
      <c r="C268">
        <f>IF($A268="","",職員マスタ!C268)</f>
        <v/>
      </c>
      <c r="D268" s="19">
        <f>IF($A268="","",IF(COUNTIFS(請求記録!$B$6:$B$3005,$A268,請求記録!$Z$6:$Z$3005,D$5,請求記録!$AF$6:$AF$3005,"保留中")&gt;0,"保留",IF(COUNTIFS(請求記録!$B$6:$B$3005,$A268,請求記録!$Z$6:$Z$3005,D$5)=0,"",SUMIFS(請求記録!$AE$6:$AE$3005,請求記録!$B$6:$B$3005,$A268,請求記録!$Z$6:$Z$3005,D$5))))</f>
        <v/>
      </c>
      <c r="E268" s="19">
        <f>IF($A268="","",IF(COUNTIFS(請求記録!$B$6:$B$3005,$A268,請求記録!$Z$6:$Z$3005,E$5,請求記録!$AF$6:$AF$3005,"保留中")&gt;0,"保留",IF(COUNTIFS(請求記録!$B$6:$B$3005,$A268,請求記録!$Z$6:$Z$3005,E$5)=0,"",SUMIFS(請求記録!$AE$6:$AE$3005,請求記録!$B$6:$B$3005,$A268,請求記録!$Z$6:$Z$3005,E$5))))</f>
        <v/>
      </c>
      <c r="F268" s="19">
        <f>IF($A268="","",IF(COUNTIFS(請求記録!$B$6:$B$3005,$A268,請求記録!$Z$6:$Z$3005,F$5,請求記録!$AF$6:$AF$3005,"保留中")&gt;0,"保留",IF(COUNTIFS(請求記録!$B$6:$B$3005,$A268,請求記録!$Z$6:$Z$3005,F$5)=0,"",SUMIFS(請求記録!$AE$6:$AE$3005,請求記録!$B$6:$B$3005,$A268,請求記録!$Z$6:$Z$3005,F$5))))</f>
        <v/>
      </c>
      <c r="G268" s="19">
        <f>IF($A268="","",IF(COUNTIFS(請求記録!$B$6:$B$3005,$A268,請求記録!$Z$6:$Z$3005,G$5,請求記録!$AF$6:$AF$3005,"保留中")&gt;0,"保留",IF(COUNTIFS(請求記録!$B$6:$B$3005,$A268,請求記録!$Z$6:$Z$3005,G$5)=0,"",SUMIFS(請求記録!$AE$6:$AE$3005,請求記録!$B$6:$B$3005,$A268,請求記録!$Z$6:$Z$3005,G$5))))</f>
        <v/>
      </c>
      <c r="H268" s="19">
        <f>IF($A268="","",IF(COUNTIFS(請求記録!$B$6:$B$3005,$A268,請求記録!$Z$6:$Z$3005,H$5,請求記録!$AF$6:$AF$3005,"保留中")&gt;0,"保留",IF(COUNTIFS(請求記録!$B$6:$B$3005,$A268,請求記録!$Z$6:$Z$3005,H$5)=0,"",SUMIFS(請求記録!$AE$6:$AE$3005,請求記録!$B$6:$B$3005,$A268,請求記録!$Z$6:$Z$3005,H$5))))</f>
        <v/>
      </c>
      <c r="I268" s="19">
        <f>IF($A268="","",IF(COUNTIFS(請求記録!$B$6:$B$3005,$A268,請求記録!$Z$6:$Z$3005,I$5,請求記録!$AF$6:$AF$3005,"保留中")&gt;0,"保留",IF(COUNTIFS(請求記録!$B$6:$B$3005,$A268,請求記録!$Z$6:$Z$3005,I$5)=0,"",SUMIFS(請求記録!$AE$6:$AE$3005,請求記録!$B$6:$B$3005,$A268,請求記録!$Z$6:$Z$3005,I$5))))</f>
        <v/>
      </c>
      <c r="J268" s="19">
        <f>IF($A268="","",IF(COUNTIFS(請求記録!$B$6:$B$3005,$A268,請求記録!$Z$6:$Z$3005,J$5,請求記録!$AF$6:$AF$3005,"保留中")&gt;0,"保留",IF(COUNTIFS(請求記録!$B$6:$B$3005,$A268,請求記録!$Z$6:$Z$3005,J$5)=0,"",SUMIFS(請求記録!$AE$6:$AE$3005,請求記録!$B$6:$B$3005,$A268,請求記録!$Z$6:$Z$3005,J$5))))</f>
        <v/>
      </c>
      <c r="K268" s="19">
        <f>IF($A268="","",IF(COUNTIFS(請求記録!$B$6:$B$3005,$A268,請求記録!$Z$6:$Z$3005,K$5,請求記録!$AF$6:$AF$3005,"保留中")&gt;0,"保留",IF(COUNTIFS(請求記録!$B$6:$B$3005,$A268,請求記録!$Z$6:$Z$3005,K$5)=0,"",SUMIFS(請求記録!$AE$6:$AE$3005,請求記録!$B$6:$B$3005,$A268,請求記録!$Z$6:$Z$3005,K$5))))</f>
        <v/>
      </c>
      <c r="L268" s="19">
        <f>IF($A268="","",IF(COUNTIFS(請求記録!$B$6:$B$3005,$A268,請求記録!$Z$6:$Z$3005,L$5,請求記録!$AF$6:$AF$3005,"保留中")&gt;0,"保留",IF(COUNTIFS(請求記録!$B$6:$B$3005,$A268,請求記録!$Z$6:$Z$3005,L$5)=0,"",SUMIFS(請求記録!$AE$6:$AE$3005,請求記録!$B$6:$B$3005,$A268,請求記録!$Z$6:$Z$3005,L$5))))</f>
        <v/>
      </c>
      <c r="M268" s="19">
        <f>IF($A268="","",IF(COUNTIFS(請求記録!$B$6:$B$3005,$A268,請求記録!$Z$6:$Z$3005,M$5,請求記録!$AF$6:$AF$3005,"保留中")&gt;0,"保留",IF(COUNTIFS(請求記録!$B$6:$B$3005,$A268,請求記録!$Z$6:$Z$3005,M$5)=0,"",SUMIFS(請求記録!$AE$6:$AE$3005,請求記録!$B$6:$B$3005,$A268,請求記録!$Z$6:$Z$3005,M$5))))</f>
        <v/>
      </c>
      <c r="N268" s="19">
        <f>IF($A268="","",IF(COUNTIFS(請求記録!$B$6:$B$3005,$A268,請求記録!$Z$6:$Z$3005,N$5,請求記録!$AF$6:$AF$3005,"保留中")&gt;0,"保留",IF(COUNTIFS(請求記録!$B$6:$B$3005,$A268,請求記録!$Z$6:$Z$3005,N$5)=0,"",SUMIFS(請求記録!$AE$6:$AE$3005,請求記録!$B$6:$B$3005,$A268,請求記録!$Z$6:$Z$3005,N$5))))</f>
        <v/>
      </c>
      <c r="O268" s="19">
        <f>IF($A268="","",IF(COUNTIFS(請求記録!$B$6:$B$3005,$A268,請求記録!$Z$6:$Z$3005,O$5,請求記録!$AF$6:$AF$3005,"保留中")&gt;0,"保留",IF(COUNTIFS(請求記録!$B$6:$B$3005,$A268,請求記録!$Z$6:$Z$3005,O$5)=0,"",SUMIFS(請求記録!$AE$6:$AE$3005,請求記録!$B$6:$B$3005,$A268,請求記録!$Z$6:$Z$3005,O$5))))</f>
        <v/>
      </c>
      <c r="P268" s="19">
        <f>IF($A268="","",IF(COUNTIFS(請求記録!$B$6:$B$3005,$A268,請求記録!$Z$6:$Z$3005,P$5,請求記録!$AF$6:$AF$3005,"保留中")&gt;0,"保留",IF(COUNTIFS(請求記録!$B$6:$B$3005,$A268,請求記録!$Z$6:$Z$3005,P$5)=0,"",SUMIFS(請求記録!$AE$6:$AE$3005,請求記録!$B$6:$B$3005,$A268,請求記録!$Z$6:$Z$3005,P$5))))</f>
        <v/>
      </c>
      <c r="Q268" s="19">
        <f>IF($A268="","",IF(COUNTIFS(請求記録!$B$6:$B$3005,$A268,請求記録!$Z$6:$Z$3005,Q$5,請求記録!$AF$6:$AF$3005,"保留中")&gt;0,"保留",IF(COUNTIFS(請求記録!$B$6:$B$3005,$A268,請求記録!$Z$6:$Z$3005,Q$5)=0,"",SUMIFS(請求記録!$AE$6:$AE$3005,請求記録!$B$6:$B$3005,$A268,請求記録!$Z$6:$Z$3005,Q$5))))</f>
        <v/>
      </c>
      <c r="R268" s="19">
        <f>IF($A268="","",IF(COUNTIFS(請求記録!$B$6:$B$3005,$A268,請求記録!$Z$6:$Z$3005,R$5,請求記録!$AF$6:$AF$3005,"保留中")&gt;0,"保留",IF(COUNTIFS(請求記録!$B$6:$B$3005,$A268,請求記録!$Z$6:$Z$3005,R$5)=0,"",SUMIFS(請求記録!$AE$6:$AE$3005,請求記録!$B$6:$B$3005,$A268,請求記録!$Z$6:$Z$3005,R$5))))</f>
        <v/>
      </c>
      <c r="S268" s="19">
        <f>IF($A268="","",IF(COUNTIFS(請求記録!$B$6:$B$3005,$A268,請求記録!$Z$6:$Z$3005,S$5,請求記録!$AF$6:$AF$3005,"保留中")&gt;0,"保留",IF(COUNTIFS(請求記録!$B$6:$B$3005,$A268,請求記録!$Z$6:$Z$3005,S$5)=0,"",SUMIFS(請求記録!$AE$6:$AE$3005,請求記録!$B$6:$B$3005,$A268,請求記録!$Z$6:$Z$3005,S$5))))</f>
        <v/>
      </c>
      <c r="T268" s="19">
        <f>IF($A268="","",IF(COUNTIFS(請求記録!$B$6:$B$3005,$A268,請求記録!$Z$6:$Z$3005,T$5,請求記録!$AF$6:$AF$3005,"保留中")&gt;0,"保留",IF(COUNTIFS(請求記録!$B$6:$B$3005,$A268,請求記録!$Z$6:$Z$3005,T$5)=0,"",SUMIFS(請求記録!$AE$6:$AE$3005,請求記録!$B$6:$B$3005,$A268,請求記録!$Z$6:$Z$3005,T$5))))</f>
        <v/>
      </c>
      <c r="U268" s="19">
        <f>IF($A268="","",IF(COUNTIFS(請求記録!$B$6:$B$3005,$A268,請求記録!$Z$6:$Z$3005,U$5,請求記録!$AF$6:$AF$3005,"保留中")&gt;0,"保留",IF(COUNTIFS(請求記録!$B$6:$B$3005,$A268,請求記録!$Z$6:$Z$3005,U$5)=0,"",SUMIFS(請求記録!$AE$6:$AE$3005,請求記録!$B$6:$B$3005,$A268,請求記録!$Z$6:$Z$3005,U$5))))</f>
        <v/>
      </c>
      <c r="V268" s="19">
        <f>IF($A268="","",IF(COUNTIFS(請求記録!$B$6:$B$3005,$A268,請求記録!$Z$6:$Z$3005,V$5,請求記録!$AF$6:$AF$3005,"保留中")&gt;0,"保留",IF(COUNTIFS(請求記録!$B$6:$B$3005,$A268,請求記録!$Z$6:$Z$3005,V$5)=0,"",SUMIFS(請求記録!$AE$6:$AE$3005,請求記録!$B$6:$B$3005,$A268,請求記録!$Z$6:$Z$3005,V$5))))</f>
        <v/>
      </c>
      <c r="W268" s="19">
        <f>IF($A268="","",IF(COUNTIFS(請求記録!$B$6:$B$3005,$A268,請求記録!$Z$6:$Z$3005,W$5,請求記録!$AF$6:$AF$3005,"保留中")&gt;0,"保留",IF(COUNTIFS(請求記録!$B$6:$B$3005,$A268,請求記録!$Z$6:$Z$3005,W$5)=0,"",SUMIFS(請求記録!$AE$6:$AE$3005,請求記録!$B$6:$B$3005,$A268,請求記録!$Z$6:$Z$3005,W$5))))</f>
        <v/>
      </c>
      <c r="X268" s="19">
        <f>IF($A268="","",IF(COUNTIFS(請求記録!$B$6:$B$3005,$A268,請求記録!$Z$6:$Z$3005,X$5,請求記録!$AF$6:$AF$3005,"保留中")&gt;0,"保留",IF(COUNTIFS(請求記録!$B$6:$B$3005,$A268,請求記録!$Z$6:$Z$3005,X$5)=0,"",SUMIFS(請求記録!$AE$6:$AE$3005,請求記録!$B$6:$B$3005,$A268,請求記録!$Z$6:$Z$3005,X$5))))</f>
        <v/>
      </c>
      <c r="Y268" s="19">
        <f>IF($A268="","",IF(COUNTIFS(請求記録!$B$6:$B$3005,$A268,請求記録!$Z$6:$Z$3005,Y$5,請求記録!$AF$6:$AF$3005,"保留中")&gt;0,"保留",IF(COUNTIFS(請求記録!$B$6:$B$3005,$A268,請求記録!$Z$6:$Z$3005,Y$5)=0,"",SUMIFS(請求記録!$AE$6:$AE$3005,請求記録!$B$6:$B$3005,$A268,請求記録!$Z$6:$Z$3005,Y$5))))</f>
        <v/>
      </c>
      <c r="Z268" s="19">
        <f>IF($A268="","",IF(COUNTIFS(請求記録!$B$6:$B$3005,$A268,請求記録!$Z$6:$Z$3005,Z$5,請求記録!$AF$6:$AF$3005,"保留中")&gt;0,"保留",IF(COUNTIFS(請求記録!$B$6:$B$3005,$A268,請求記録!$Z$6:$Z$3005,Z$5)=0,"",SUMIFS(請求記録!$AE$6:$AE$3005,請求記録!$B$6:$B$3005,$A268,請求記録!$Z$6:$Z$3005,Z$5))))</f>
        <v/>
      </c>
      <c r="AA268" s="19">
        <f>IF($A268="","",IF(COUNTIFS(請求記録!$B$6:$B$3005,$A268,請求記録!$Z$6:$Z$3005,AA$5,請求記録!$AF$6:$AF$3005,"保留中")&gt;0,"保留",IF(COUNTIFS(請求記録!$B$6:$B$3005,$A268,請求記録!$Z$6:$Z$3005,AA$5)=0,"",SUMIFS(請求記録!$AE$6:$AE$3005,請求記録!$B$6:$B$3005,$A268,請求記録!$Z$6:$Z$3005,AA$5))))</f>
        <v/>
      </c>
      <c r="AB268">
        <f>IF(職員マスタ!P268="保留中",職員マスタ!M268,"")</f>
        <v/>
      </c>
    </row>
    <row r="269">
      <c r="A269">
        <f>IF(職員マスタ!A269="","",職員マスタ!A269)</f>
        <v/>
      </c>
      <c r="B269">
        <f>IF($A269="","",職員マスタ!B269)</f>
        <v/>
      </c>
      <c r="C269">
        <f>IF($A269="","",職員マスタ!C269)</f>
        <v/>
      </c>
      <c r="D269" s="19">
        <f>IF($A269="","",IF(COUNTIFS(請求記録!$B$6:$B$3005,$A269,請求記録!$Z$6:$Z$3005,D$5,請求記録!$AF$6:$AF$3005,"保留中")&gt;0,"保留",IF(COUNTIFS(請求記録!$B$6:$B$3005,$A269,請求記録!$Z$6:$Z$3005,D$5)=0,"",SUMIFS(請求記録!$AE$6:$AE$3005,請求記録!$B$6:$B$3005,$A269,請求記録!$Z$6:$Z$3005,D$5))))</f>
        <v/>
      </c>
      <c r="E269" s="19">
        <f>IF($A269="","",IF(COUNTIFS(請求記録!$B$6:$B$3005,$A269,請求記録!$Z$6:$Z$3005,E$5,請求記録!$AF$6:$AF$3005,"保留中")&gt;0,"保留",IF(COUNTIFS(請求記録!$B$6:$B$3005,$A269,請求記録!$Z$6:$Z$3005,E$5)=0,"",SUMIFS(請求記録!$AE$6:$AE$3005,請求記録!$B$6:$B$3005,$A269,請求記録!$Z$6:$Z$3005,E$5))))</f>
        <v/>
      </c>
      <c r="F269" s="19">
        <f>IF($A269="","",IF(COUNTIFS(請求記録!$B$6:$B$3005,$A269,請求記録!$Z$6:$Z$3005,F$5,請求記録!$AF$6:$AF$3005,"保留中")&gt;0,"保留",IF(COUNTIFS(請求記録!$B$6:$B$3005,$A269,請求記録!$Z$6:$Z$3005,F$5)=0,"",SUMIFS(請求記録!$AE$6:$AE$3005,請求記録!$B$6:$B$3005,$A269,請求記録!$Z$6:$Z$3005,F$5))))</f>
        <v/>
      </c>
      <c r="G269" s="19">
        <f>IF($A269="","",IF(COUNTIFS(請求記録!$B$6:$B$3005,$A269,請求記録!$Z$6:$Z$3005,G$5,請求記録!$AF$6:$AF$3005,"保留中")&gt;0,"保留",IF(COUNTIFS(請求記録!$B$6:$B$3005,$A269,請求記録!$Z$6:$Z$3005,G$5)=0,"",SUMIFS(請求記録!$AE$6:$AE$3005,請求記録!$B$6:$B$3005,$A269,請求記録!$Z$6:$Z$3005,G$5))))</f>
        <v/>
      </c>
      <c r="H269" s="19">
        <f>IF($A269="","",IF(COUNTIFS(請求記録!$B$6:$B$3005,$A269,請求記録!$Z$6:$Z$3005,H$5,請求記録!$AF$6:$AF$3005,"保留中")&gt;0,"保留",IF(COUNTIFS(請求記録!$B$6:$B$3005,$A269,請求記録!$Z$6:$Z$3005,H$5)=0,"",SUMIFS(請求記録!$AE$6:$AE$3005,請求記録!$B$6:$B$3005,$A269,請求記録!$Z$6:$Z$3005,H$5))))</f>
        <v/>
      </c>
      <c r="I269" s="19">
        <f>IF($A269="","",IF(COUNTIFS(請求記録!$B$6:$B$3005,$A269,請求記録!$Z$6:$Z$3005,I$5,請求記録!$AF$6:$AF$3005,"保留中")&gt;0,"保留",IF(COUNTIFS(請求記録!$B$6:$B$3005,$A269,請求記録!$Z$6:$Z$3005,I$5)=0,"",SUMIFS(請求記録!$AE$6:$AE$3005,請求記録!$B$6:$B$3005,$A269,請求記録!$Z$6:$Z$3005,I$5))))</f>
        <v/>
      </c>
      <c r="J269" s="19">
        <f>IF($A269="","",IF(COUNTIFS(請求記録!$B$6:$B$3005,$A269,請求記録!$Z$6:$Z$3005,J$5,請求記録!$AF$6:$AF$3005,"保留中")&gt;0,"保留",IF(COUNTIFS(請求記録!$B$6:$B$3005,$A269,請求記録!$Z$6:$Z$3005,J$5)=0,"",SUMIFS(請求記録!$AE$6:$AE$3005,請求記録!$B$6:$B$3005,$A269,請求記録!$Z$6:$Z$3005,J$5))))</f>
        <v/>
      </c>
      <c r="K269" s="19">
        <f>IF($A269="","",IF(COUNTIFS(請求記録!$B$6:$B$3005,$A269,請求記録!$Z$6:$Z$3005,K$5,請求記録!$AF$6:$AF$3005,"保留中")&gt;0,"保留",IF(COUNTIFS(請求記録!$B$6:$B$3005,$A269,請求記録!$Z$6:$Z$3005,K$5)=0,"",SUMIFS(請求記録!$AE$6:$AE$3005,請求記録!$B$6:$B$3005,$A269,請求記録!$Z$6:$Z$3005,K$5))))</f>
        <v/>
      </c>
      <c r="L269" s="19">
        <f>IF($A269="","",IF(COUNTIFS(請求記録!$B$6:$B$3005,$A269,請求記録!$Z$6:$Z$3005,L$5,請求記録!$AF$6:$AF$3005,"保留中")&gt;0,"保留",IF(COUNTIFS(請求記録!$B$6:$B$3005,$A269,請求記録!$Z$6:$Z$3005,L$5)=0,"",SUMIFS(請求記録!$AE$6:$AE$3005,請求記録!$B$6:$B$3005,$A269,請求記録!$Z$6:$Z$3005,L$5))))</f>
        <v/>
      </c>
      <c r="M269" s="19">
        <f>IF($A269="","",IF(COUNTIFS(請求記録!$B$6:$B$3005,$A269,請求記録!$Z$6:$Z$3005,M$5,請求記録!$AF$6:$AF$3005,"保留中")&gt;0,"保留",IF(COUNTIFS(請求記録!$B$6:$B$3005,$A269,請求記録!$Z$6:$Z$3005,M$5)=0,"",SUMIFS(請求記録!$AE$6:$AE$3005,請求記録!$B$6:$B$3005,$A269,請求記録!$Z$6:$Z$3005,M$5))))</f>
        <v/>
      </c>
      <c r="N269" s="19">
        <f>IF($A269="","",IF(COUNTIFS(請求記録!$B$6:$B$3005,$A269,請求記録!$Z$6:$Z$3005,N$5,請求記録!$AF$6:$AF$3005,"保留中")&gt;0,"保留",IF(COUNTIFS(請求記録!$B$6:$B$3005,$A269,請求記録!$Z$6:$Z$3005,N$5)=0,"",SUMIFS(請求記録!$AE$6:$AE$3005,請求記録!$B$6:$B$3005,$A269,請求記録!$Z$6:$Z$3005,N$5))))</f>
        <v/>
      </c>
      <c r="O269" s="19">
        <f>IF($A269="","",IF(COUNTIFS(請求記録!$B$6:$B$3005,$A269,請求記録!$Z$6:$Z$3005,O$5,請求記録!$AF$6:$AF$3005,"保留中")&gt;0,"保留",IF(COUNTIFS(請求記録!$B$6:$B$3005,$A269,請求記録!$Z$6:$Z$3005,O$5)=0,"",SUMIFS(請求記録!$AE$6:$AE$3005,請求記録!$B$6:$B$3005,$A269,請求記録!$Z$6:$Z$3005,O$5))))</f>
        <v/>
      </c>
      <c r="P269" s="19">
        <f>IF($A269="","",IF(COUNTIFS(請求記録!$B$6:$B$3005,$A269,請求記録!$Z$6:$Z$3005,P$5,請求記録!$AF$6:$AF$3005,"保留中")&gt;0,"保留",IF(COUNTIFS(請求記録!$B$6:$B$3005,$A269,請求記録!$Z$6:$Z$3005,P$5)=0,"",SUMIFS(請求記録!$AE$6:$AE$3005,請求記録!$B$6:$B$3005,$A269,請求記録!$Z$6:$Z$3005,P$5))))</f>
        <v/>
      </c>
      <c r="Q269" s="19">
        <f>IF($A269="","",IF(COUNTIFS(請求記録!$B$6:$B$3005,$A269,請求記録!$Z$6:$Z$3005,Q$5,請求記録!$AF$6:$AF$3005,"保留中")&gt;0,"保留",IF(COUNTIFS(請求記録!$B$6:$B$3005,$A269,請求記録!$Z$6:$Z$3005,Q$5)=0,"",SUMIFS(請求記録!$AE$6:$AE$3005,請求記録!$B$6:$B$3005,$A269,請求記録!$Z$6:$Z$3005,Q$5))))</f>
        <v/>
      </c>
      <c r="R269" s="19">
        <f>IF($A269="","",IF(COUNTIFS(請求記録!$B$6:$B$3005,$A269,請求記録!$Z$6:$Z$3005,R$5,請求記録!$AF$6:$AF$3005,"保留中")&gt;0,"保留",IF(COUNTIFS(請求記録!$B$6:$B$3005,$A269,請求記録!$Z$6:$Z$3005,R$5)=0,"",SUMIFS(請求記録!$AE$6:$AE$3005,請求記録!$B$6:$B$3005,$A269,請求記録!$Z$6:$Z$3005,R$5))))</f>
        <v/>
      </c>
      <c r="S269" s="19">
        <f>IF($A269="","",IF(COUNTIFS(請求記録!$B$6:$B$3005,$A269,請求記録!$Z$6:$Z$3005,S$5,請求記録!$AF$6:$AF$3005,"保留中")&gt;0,"保留",IF(COUNTIFS(請求記録!$B$6:$B$3005,$A269,請求記録!$Z$6:$Z$3005,S$5)=0,"",SUMIFS(請求記録!$AE$6:$AE$3005,請求記録!$B$6:$B$3005,$A269,請求記録!$Z$6:$Z$3005,S$5))))</f>
        <v/>
      </c>
      <c r="T269" s="19">
        <f>IF($A269="","",IF(COUNTIFS(請求記録!$B$6:$B$3005,$A269,請求記録!$Z$6:$Z$3005,T$5,請求記録!$AF$6:$AF$3005,"保留中")&gt;0,"保留",IF(COUNTIFS(請求記録!$B$6:$B$3005,$A269,請求記録!$Z$6:$Z$3005,T$5)=0,"",SUMIFS(請求記録!$AE$6:$AE$3005,請求記録!$B$6:$B$3005,$A269,請求記録!$Z$6:$Z$3005,T$5))))</f>
        <v/>
      </c>
      <c r="U269" s="19">
        <f>IF($A269="","",IF(COUNTIFS(請求記録!$B$6:$B$3005,$A269,請求記録!$Z$6:$Z$3005,U$5,請求記録!$AF$6:$AF$3005,"保留中")&gt;0,"保留",IF(COUNTIFS(請求記録!$B$6:$B$3005,$A269,請求記録!$Z$6:$Z$3005,U$5)=0,"",SUMIFS(請求記録!$AE$6:$AE$3005,請求記録!$B$6:$B$3005,$A269,請求記録!$Z$6:$Z$3005,U$5))))</f>
        <v/>
      </c>
      <c r="V269" s="19">
        <f>IF($A269="","",IF(COUNTIFS(請求記録!$B$6:$B$3005,$A269,請求記録!$Z$6:$Z$3005,V$5,請求記録!$AF$6:$AF$3005,"保留中")&gt;0,"保留",IF(COUNTIFS(請求記録!$B$6:$B$3005,$A269,請求記録!$Z$6:$Z$3005,V$5)=0,"",SUMIFS(請求記録!$AE$6:$AE$3005,請求記録!$B$6:$B$3005,$A269,請求記録!$Z$6:$Z$3005,V$5))))</f>
        <v/>
      </c>
      <c r="W269" s="19">
        <f>IF($A269="","",IF(COUNTIFS(請求記録!$B$6:$B$3005,$A269,請求記録!$Z$6:$Z$3005,W$5,請求記録!$AF$6:$AF$3005,"保留中")&gt;0,"保留",IF(COUNTIFS(請求記録!$B$6:$B$3005,$A269,請求記録!$Z$6:$Z$3005,W$5)=0,"",SUMIFS(請求記録!$AE$6:$AE$3005,請求記録!$B$6:$B$3005,$A269,請求記録!$Z$6:$Z$3005,W$5))))</f>
        <v/>
      </c>
      <c r="X269" s="19">
        <f>IF($A269="","",IF(COUNTIFS(請求記録!$B$6:$B$3005,$A269,請求記録!$Z$6:$Z$3005,X$5,請求記録!$AF$6:$AF$3005,"保留中")&gt;0,"保留",IF(COUNTIFS(請求記録!$B$6:$B$3005,$A269,請求記録!$Z$6:$Z$3005,X$5)=0,"",SUMIFS(請求記録!$AE$6:$AE$3005,請求記録!$B$6:$B$3005,$A269,請求記録!$Z$6:$Z$3005,X$5))))</f>
        <v/>
      </c>
      <c r="Y269" s="19">
        <f>IF($A269="","",IF(COUNTIFS(請求記録!$B$6:$B$3005,$A269,請求記録!$Z$6:$Z$3005,Y$5,請求記録!$AF$6:$AF$3005,"保留中")&gt;0,"保留",IF(COUNTIFS(請求記録!$B$6:$B$3005,$A269,請求記録!$Z$6:$Z$3005,Y$5)=0,"",SUMIFS(請求記録!$AE$6:$AE$3005,請求記録!$B$6:$B$3005,$A269,請求記録!$Z$6:$Z$3005,Y$5))))</f>
        <v/>
      </c>
      <c r="Z269" s="19">
        <f>IF($A269="","",IF(COUNTIFS(請求記録!$B$6:$B$3005,$A269,請求記録!$Z$6:$Z$3005,Z$5,請求記録!$AF$6:$AF$3005,"保留中")&gt;0,"保留",IF(COUNTIFS(請求記録!$B$6:$B$3005,$A269,請求記録!$Z$6:$Z$3005,Z$5)=0,"",SUMIFS(請求記録!$AE$6:$AE$3005,請求記録!$B$6:$B$3005,$A269,請求記録!$Z$6:$Z$3005,Z$5))))</f>
        <v/>
      </c>
      <c r="AA269" s="19">
        <f>IF($A269="","",IF(COUNTIFS(請求記録!$B$6:$B$3005,$A269,請求記録!$Z$6:$Z$3005,AA$5,請求記録!$AF$6:$AF$3005,"保留中")&gt;0,"保留",IF(COUNTIFS(請求記録!$B$6:$B$3005,$A269,請求記録!$Z$6:$Z$3005,AA$5)=0,"",SUMIFS(請求記録!$AE$6:$AE$3005,請求記録!$B$6:$B$3005,$A269,請求記録!$Z$6:$Z$3005,AA$5))))</f>
        <v/>
      </c>
      <c r="AB269">
        <f>IF(職員マスタ!P269="保留中",職員マスタ!M269,"")</f>
        <v/>
      </c>
    </row>
    <row r="270">
      <c r="A270">
        <f>IF(職員マスタ!A270="","",職員マスタ!A270)</f>
        <v/>
      </c>
      <c r="B270">
        <f>IF($A270="","",職員マスタ!B270)</f>
        <v/>
      </c>
      <c r="C270">
        <f>IF($A270="","",職員マスタ!C270)</f>
        <v/>
      </c>
      <c r="D270" s="19">
        <f>IF($A270="","",IF(COUNTIFS(請求記録!$B$6:$B$3005,$A270,請求記録!$Z$6:$Z$3005,D$5,請求記録!$AF$6:$AF$3005,"保留中")&gt;0,"保留",IF(COUNTIFS(請求記録!$B$6:$B$3005,$A270,請求記録!$Z$6:$Z$3005,D$5)=0,"",SUMIFS(請求記録!$AE$6:$AE$3005,請求記録!$B$6:$B$3005,$A270,請求記録!$Z$6:$Z$3005,D$5))))</f>
        <v/>
      </c>
      <c r="E270" s="19">
        <f>IF($A270="","",IF(COUNTIFS(請求記録!$B$6:$B$3005,$A270,請求記録!$Z$6:$Z$3005,E$5,請求記録!$AF$6:$AF$3005,"保留中")&gt;0,"保留",IF(COUNTIFS(請求記録!$B$6:$B$3005,$A270,請求記録!$Z$6:$Z$3005,E$5)=0,"",SUMIFS(請求記録!$AE$6:$AE$3005,請求記録!$B$6:$B$3005,$A270,請求記録!$Z$6:$Z$3005,E$5))))</f>
        <v/>
      </c>
      <c r="F270" s="19">
        <f>IF($A270="","",IF(COUNTIFS(請求記録!$B$6:$B$3005,$A270,請求記録!$Z$6:$Z$3005,F$5,請求記録!$AF$6:$AF$3005,"保留中")&gt;0,"保留",IF(COUNTIFS(請求記録!$B$6:$B$3005,$A270,請求記録!$Z$6:$Z$3005,F$5)=0,"",SUMIFS(請求記録!$AE$6:$AE$3005,請求記録!$B$6:$B$3005,$A270,請求記録!$Z$6:$Z$3005,F$5))))</f>
        <v/>
      </c>
      <c r="G270" s="19">
        <f>IF($A270="","",IF(COUNTIFS(請求記録!$B$6:$B$3005,$A270,請求記録!$Z$6:$Z$3005,G$5,請求記録!$AF$6:$AF$3005,"保留中")&gt;0,"保留",IF(COUNTIFS(請求記録!$B$6:$B$3005,$A270,請求記録!$Z$6:$Z$3005,G$5)=0,"",SUMIFS(請求記録!$AE$6:$AE$3005,請求記録!$B$6:$B$3005,$A270,請求記録!$Z$6:$Z$3005,G$5))))</f>
        <v/>
      </c>
      <c r="H270" s="19">
        <f>IF($A270="","",IF(COUNTIFS(請求記録!$B$6:$B$3005,$A270,請求記録!$Z$6:$Z$3005,H$5,請求記録!$AF$6:$AF$3005,"保留中")&gt;0,"保留",IF(COUNTIFS(請求記録!$B$6:$B$3005,$A270,請求記録!$Z$6:$Z$3005,H$5)=0,"",SUMIFS(請求記録!$AE$6:$AE$3005,請求記録!$B$6:$B$3005,$A270,請求記録!$Z$6:$Z$3005,H$5))))</f>
        <v/>
      </c>
      <c r="I270" s="19">
        <f>IF($A270="","",IF(COUNTIFS(請求記録!$B$6:$B$3005,$A270,請求記録!$Z$6:$Z$3005,I$5,請求記録!$AF$6:$AF$3005,"保留中")&gt;0,"保留",IF(COUNTIFS(請求記録!$B$6:$B$3005,$A270,請求記録!$Z$6:$Z$3005,I$5)=0,"",SUMIFS(請求記録!$AE$6:$AE$3005,請求記録!$B$6:$B$3005,$A270,請求記録!$Z$6:$Z$3005,I$5))))</f>
        <v/>
      </c>
      <c r="J270" s="19">
        <f>IF($A270="","",IF(COUNTIFS(請求記録!$B$6:$B$3005,$A270,請求記録!$Z$6:$Z$3005,J$5,請求記録!$AF$6:$AF$3005,"保留中")&gt;0,"保留",IF(COUNTIFS(請求記録!$B$6:$B$3005,$A270,請求記録!$Z$6:$Z$3005,J$5)=0,"",SUMIFS(請求記録!$AE$6:$AE$3005,請求記録!$B$6:$B$3005,$A270,請求記録!$Z$6:$Z$3005,J$5))))</f>
        <v/>
      </c>
      <c r="K270" s="19">
        <f>IF($A270="","",IF(COUNTIFS(請求記録!$B$6:$B$3005,$A270,請求記録!$Z$6:$Z$3005,K$5,請求記録!$AF$6:$AF$3005,"保留中")&gt;0,"保留",IF(COUNTIFS(請求記録!$B$6:$B$3005,$A270,請求記録!$Z$6:$Z$3005,K$5)=0,"",SUMIFS(請求記録!$AE$6:$AE$3005,請求記録!$B$6:$B$3005,$A270,請求記録!$Z$6:$Z$3005,K$5))))</f>
        <v/>
      </c>
      <c r="L270" s="19">
        <f>IF($A270="","",IF(COUNTIFS(請求記録!$B$6:$B$3005,$A270,請求記録!$Z$6:$Z$3005,L$5,請求記録!$AF$6:$AF$3005,"保留中")&gt;0,"保留",IF(COUNTIFS(請求記録!$B$6:$B$3005,$A270,請求記録!$Z$6:$Z$3005,L$5)=0,"",SUMIFS(請求記録!$AE$6:$AE$3005,請求記録!$B$6:$B$3005,$A270,請求記録!$Z$6:$Z$3005,L$5))))</f>
        <v/>
      </c>
      <c r="M270" s="19">
        <f>IF($A270="","",IF(COUNTIFS(請求記録!$B$6:$B$3005,$A270,請求記録!$Z$6:$Z$3005,M$5,請求記録!$AF$6:$AF$3005,"保留中")&gt;0,"保留",IF(COUNTIFS(請求記録!$B$6:$B$3005,$A270,請求記録!$Z$6:$Z$3005,M$5)=0,"",SUMIFS(請求記録!$AE$6:$AE$3005,請求記録!$B$6:$B$3005,$A270,請求記録!$Z$6:$Z$3005,M$5))))</f>
        <v/>
      </c>
      <c r="N270" s="19">
        <f>IF($A270="","",IF(COUNTIFS(請求記録!$B$6:$B$3005,$A270,請求記録!$Z$6:$Z$3005,N$5,請求記録!$AF$6:$AF$3005,"保留中")&gt;0,"保留",IF(COUNTIFS(請求記録!$B$6:$B$3005,$A270,請求記録!$Z$6:$Z$3005,N$5)=0,"",SUMIFS(請求記録!$AE$6:$AE$3005,請求記録!$B$6:$B$3005,$A270,請求記録!$Z$6:$Z$3005,N$5))))</f>
        <v/>
      </c>
      <c r="O270" s="19">
        <f>IF($A270="","",IF(COUNTIFS(請求記録!$B$6:$B$3005,$A270,請求記録!$Z$6:$Z$3005,O$5,請求記録!$AF$6:$AF$3005,"保留中")&gt;0,"保留",IF(COUNTIFS(請求記録!$B$6:$B$3005,$A270,請求記録!$Z$6:$Z$3005,O$5)=0,"",SUMIFS(請求記録!$AE$6:$AE$3005,請求記録!$B$6:$B$3005,$A270,請求記録!$Z$6:$Z$3005,O$5))))</f>
        <v/>
      </c>
      <c r="P270" s="19">
        <f>IF($A270="","",IF(COUNTIFS(請求記録!$B$6:$B$3005,$A270,請求記録!$Z$6:$Z$3005,P$5,請求記録!$AF$6:$AF$3005,"保留中")&gt;0,"保留",IF(COUNTIFS(請求記録!$B$6:$B$3005,$A270,請求記録!$Z$6:$Z$3005,P$5)=0,"",SUMIFS(請求記録!$AE$6:$AE$3005,請求記録!$B$6:$B$3005,$A270,請求記録!$Z$6:$Z$3005,P$5))))</f>
        <v/>
      </c>
      <c r="Q270" s="19">
        <f>IF($A270="","",IF(COUNTIFS(請求記録!$B$6:$B$3005,$A270,請求記録!$Z$6:$Z$3005,Q$5,請求記録!$AF$6:$AF$3005,"保留中")&gt;0,"保留",IF(COUNTIFS(請求記録!$B$6:$B$3005,$A270,請求記録!$Z$6:$Z$3005,Q$5)=0,"",SUMIFS(請求記録!$AE$6:$AE$3005,請求記録!$B$6:$B$3005,$A270,請求記録!$Z$6:$Z$3005,Q$5))))</f>
        <v/>
      </c>
      <c r="R270" s="19">
        <f>IF($A270="","",IF(COUNTIFS(請求記録!$B$6:$B$3005,$A270,請求記録!$Z$6:$Z$3005,R$5,請求記録!$AF$6:$AF$3005,"保留中")&gt;0,"保留",IF(COUNTIFS(請求記録!$B$6:$B$3005,$A270,請求記録!$Z$6:$Z$3005,R$5)=0,"",SUMIFS(請求記録!$AE$6:$AE$3005,請求記録!$B$6:$B$3005,$A270,請求記録!$Z$6:$Z$3005,R$5))))</f>
        <v/>
      </c>
      <c r="S270" s="19">
        <f>IF($A270="","",IF(COUNTIFS(請求記録!$B$6:$B$3005,$A270,請求記録!$Z$6:$Z$3005,S$5,請求記録!$AF$6:$AF$3005,"保留中")&gt;0,"保留",IF(COUNTIFS(請求記録!$B$6:$B$3005,$A270,請求記録!$Z$6:$Z$3005,S$5)=0,"",SUMIFS(請求記録!$AE$6:$AE$3005,請求記録!$B$6:$B$3005,$A270,請求記録!$Z$6:$Z$3005,S$5))))</f>
        <v/>
      </c>
      <c r="T270" s="19">
        <f>IF($A270="","",IF(COUNTIFS(請求記録!$B$6:$B$3005,$A270,請求記録!$Z$6:$Z$3005,T$5,請求記録!$AF$6:$AF$3005,"保留中")&gt;0,"保留",IF(COUNTIFS(請求記録!$B$6:$B$3005,$A270,請求記録!$Z$6:$Z$3005,T$5)=0,"",SUMIFS(請求記録!$AE$6:$AE$3005,請求記録!$B$6:$B$3005,$A270,請求記録!$Z$6:$Z$3005,T$5))))</f>
        <v/>
      </c>
      <c r="U270" s="19">
        <f>IF($A270="","",IF(COUNTIFS(請求記録!$B$6:$B$3005,$A270,請求記録!$Z$6:$Z$3005,U$5,請求記録!$AF$6:$AF$3005,"保留中")&gt;0,"保留",IF(COUNTIFS(請求記録!$B$6:$B$3005,$A270,請求記録!$Z$6:$Z$3005,U$5)=0,"",SUMIFS(請求記録!$AE$6:$AE$3005,請求記録!$B$6:$B$3005,$A270,請求記録!$Z$6:$Z$3005,U$5))))</f>
        <v/>
      </c>
      <c r="V270" s="19">
        <f>IF($A270="","",IF(COUNTIFS(請求記録!$B$6:$B$3005,$A270,請求記録!$Z$6:$Z$3005,V$5,請求記録!$AF$6:$AF$3005,"保留中")&gt;0,"保留",IF(COUNTIFS(請求記録!$B$6:$B$3005,$A270,請求記録!$Z$6:$Z$3005,V$5)=0,"",SUMIFS(請求記録!$AE$6:$AE$3005,請求記録!$B$6:$B$3005,$A270,請求記録!$Z$6:$Z$3005,V$5))))</f>
        <v/>
      </c>
      <c r="W270" s="19">
        <f>IF($A270="","",IF(COUNTIFS(請求記録!$B$6:$B$3005,$A270,請求記録!$Z$6:$Z$3005,W$5,請求記録!$AF$6:$AF$3005,"保留中")&gt;0,"保留",IF(COUNTIFS(請求記録!$B$6:$B$3005,$A270,請求記録!$Z$6:$Z$3005,W$5)=0,"",SUMIFS(請求記録!$AE$6:$AE$3005,請求記録!$B$6:$B$3005,$A270,請求記録!$Z$6:$Z$3005,W$5))))</f>
        <v/>
      </c>
      <c r="X270" s="19">
        <f>IF($A270="","",IF(COUNTIFS(請求記録!$B$6:$B$3005,$A270,請求記録!$Z$6:$Z$3005,X$5,請求記録!$AF$6:$AF$3005,"保留中")&gt;0,"保留",IF(COUNTIFS(請求記録!$B$6:$B$3005,$A270,請求記録!$Z$6:$Z$3005,X$5)=0,"",SUMIFS(請求記録!$AE$6:$AE$3005,請求記録!$B$6:$B$3005,$A270,請求記録!$Z$6:$Z$3005,X$5))))</f>
        <v/>
      </c>
      <c r="Y270" s="19">
        <f>IF($A270="","",IF(COUNTIFS(請求記録!$B$6:$B$3005,$A270,請求記録!$Z$6:$Z$3005,Y$5,請求記録!$AF$6:$AF$3005,"保留中")&gt;0,"保留",IF(COUNTIFS(請求記録!$B$6:$B$3005,$A270,請求記録!$Z$6:$Z$3005,Y$5)=0,"",SUMIFS(請求記録!$AE$6:$AE$3005,請求記録!$B$6:$B$3005,$A270,請求記録!$Z$6:$Z$3005,Y$5))))</f>
        <v/>
      </c>
      <c r="Z270" s="19">
        <f>IF($A270="","",IF(COUNTIFS(請求記録!$B$6:$B$3005,$A270,請求記録!$Z$6:$Z$3005,Z$5,請求記録!$AF$6:$AF$3005,"保留中")&gt;0,"保留",IF(COUNTIFS(請求記録!$B$6:$B$3005,$A270,請求記録!$Z$6:$Z$3005,Z$5)=0,"",SUMIFS(請求記録!$AE$6:$AE$3005,請求記録!$B$6:$B$3005,$A270,請求記録!$Z$6:$Z$3005,Z$5))))</f>
        <v/>
      </c>
      <c r="AA270" s="19">
        <f>IF($A270="","",IF(COUNTIFS(請求記録!$B$6:$B$3005,$A270,請求記録!$Z$6:$Z$3005,AA$5,請求記録!$AF$6:$AF$3005,"保留中")&gt;0,"保留",IF(COUNTIFS(請求記録!$B$6:$B$3005,$A270,請求記録!$Z$6:$Z$3005,AA$5)=0,"",SUMIFS(請求記録!$AE$6:$AE$3005,請求記録!$B$6:$B$3005,$A270,請求記録!$Z$6:$Z$3005,AA$5))))</f>
        <v/>
      </c>
      <c r="AB270">
        <f>IF(職員マスタ!P270="保留中",職員マスタ!M270,"")</f>
        <v/>
      </c>
    </row>
    <row r="271">
      <c r="A271">
        <f>IF(職員マスタ!A271="","",職員マスタ!A271)</f>
        <v/>
      </c>
      <c r="B271">
        <f>IF($A271="","",職員マスタ!B271)</f>
        <v/>
      </c>
      <c r="C271">
        <f>IF($A271="","",職員マスタ!C271)</f>
        <v/>
      </c>
      <c r="D271" s="19">
        <f>IF($A271="","",IF(COUNTIFS(請求記録!$B$6:$B$3005,$A271,請求記録!$Z$6:$Z$3005,D$5,請求記録!$AF$6:$AF$3005,"保留中")&gt;0,"保留",IF(COUNTIFS(請求記録!$B$6:$B$3005,$A271,請求記録!$Z$6:$Z$3005,D$5)=0,"",SUMIFS(請求記録!$AE$6:$AE$3005,請求記録!$B$6:$B$3005,$A271,請求記録!$Z$6:$Z$3005,D$5))))</f>
        <v/>
      </c>
      <c r="E271" s="19">
        <f>IF($A271="","",IF(COUNTIFS(請求記録!$B$6:$B$3005,$A271,請求記録!$Z$6:$Z$3005,E$5,請求記録!$AF$6:$AF$3005,"保留中")&gt;0,"保留",IF(COUNTIFS(請求記録!$B$6:$B$3005,$A271,請求記録!$Z$6:$Z$3005,E$5)=0,"",SUMIFS(請求記録!$AE$6:$AE$3005,請求記録!$B$6:$B$3005,$A271,請求記録!$Z$6:$Z$3005,E$5))))</f>
        <v/>
      </c>
      <c r="F271" s="19">
        <f>IF($A271="","",IF(COUNTIFS(請求記録!$B$6:$B$3005,$A271,請求記録!$Z$6:$Z$3005,F$5,請求記録!$AF$6:$AF$3005,"保留中")&gt;0,"保留",IF(COUNTIFS(請求記録!$B$6:$B$3005,$A271,請求記録!$Z$6:$Z$3005,F$5)=0,"",SUMIFS(請求記録!$AE$6:$AE$3005,請求記録!$B$6:$B$3005,$A271,請求記録!$Z$6:$Z$3005,F$5))))</f>
        <v/>
      </c>
      <c r="G271" s="19">
        <f>IF($A271="","",IF(COUNTIFS(請求記録!$B$6:$B$3005,$A271,請求記録!$Z$6:$Z$3005,G$5,請求記録!$AF$6:$AF$3005,"保留中")&gt;0,"保留",IF(COUNTIFS(請求記録!$B$6:$B$3005,$A271,請求記録!$Z$6:$Z$3005,G$5)=0,"",SUMIFS(請求記録!$AE$6:$AE$3005,請求記録!$B$6:$B$3005,$A271,請求記録!$Z$6:$Z$3005,G$5))))</f>
        <v/>
      </c>
      <c r="H271" s="19">
        <f>IF($A271="","",IF(COUNTIFS(請求記録!$B$6:$B$3005,$A271,請求記録!$Z$6:$Z$3005,H$5,請求記録!$AF$6:$AF$3005,"保留中")&gt;0,"保留",IF(COUNTIFS(請求記録!$B$6:$B$3005,$A271,請求記録!$Z$6:$Z$3005,H$5)=0,"",SUMIFS(請求記録!$AE$6:$AE$3005,請求記録!$B$6:$B$3005,$A271,請求記録!$Z$6:$Z$3005,H$5))))</f>
        <v/>
      </c>
      <c r="I271" s="19">
        <f>IF($A271="","",IF(COUNTIFS(請求記録!$B$6:$B$3005,$A271,請求記録!$Z$6:$Z$3005,I$5,請求記録!$AF$6:$AF$3005,"保留中")&gt;0,"保留",IF(COUNTIFS(請求記録!$B$6:$B$3005,$A271,請求記録!$Z$6:$Z$3005,I$5)=0,"",SUMIFS(請求記録!$AE$6:$AE$3005,請求記録!$B$6:$B$3005,$A271,請求記録!$Z$6:$Z$3005,I$5))))</f>
        <v/>
      </c>
      <c r="J271" s="19">
        <f>IF($A271="","",IF(COUNTIFS(請求記録!$B$6:$B$3005,$A271,請求記録!$Z$6:$Z$3005,J$5,請求記録!$AF$6:$AF$3005,"保留中")&gt;0,"保留",IF(COUNTIFS(請求記録!$B$6:$B$3005,$A271,請求記録!$Z$6:$Z$3005,J$5)=0,"",SUMIFS(請求記録!$AE$6:$AE$3005,請求記録!$B$6:$B$3005,$A271,請求記録!$Z$6:$Z$3005,J$5))))</f>
        <v/>
      </c>
      <c r="K271" s="19">
        <f>IF($A271="","",IF(COUNTIFS(請求記録!$B$6:$B$3005,$A271,請求記録!$Z$6:$Z$3005,K$5,請求記録!$AF$6:$AF$3005,"保留中")&gt;0,"保留",IF(COUNTIFS(請求記録!$B$6:$B$3005,$A271,請求記録!$Z$6:$Z$3005,K$5)=0,"",SUMIFS(請求記録!$AE$6:$AE$3005,請求記録!$B$6:$B$3005,$A271,請求記録!$Z$6:$Z$3005,K$5))))</f>
        <v/>
      </c>
      <c r="L271" s="19">
        <f>IF($A271="","",IF(COUNTIFS(請求記録!$B$6:$B$3005,$A271,請求記録!$Z$6:$Z$3005,L$5,請求記録!$AF$6:$AF$3005,"保留中")&gt;0,"保留",IF(COUNTIFS(請求記録!$B$6:$B$3005,$A271,請求記録!$Z$6:$Z$3005,L$5)=0,"",SUMIFS(請求記録!$AE$6:$AE$3005,請求記録!$B$6:$B$3005,$A271,請求記録!$Z$6:$Z$3005,L$5))))</f>
        <v/>
      </c>
      <c r="M271" s="19">
        <f>IF($A271="","",IF(COUNTIFS(請求記録!$B$6:$B$3005,$A271,請求記録!$Z$6:$Z$3005,M$5,請求記録!$AF$6:$AF$3005,"保留中")&gt;0,"保留",IF(COUNTIFS(請求記録!$B$6:$B$3005,$A271,請求記録!$Z$6:$Z$3005,M$5)=0,"",SUMIFS(請求記録!$AE$6:$AE$3005,請求記録!$B$6:$B$3005,$A271,請求記録!$Z$6:$Z$3005,M$5))))</f>
        <v/>
      </c>
      <c r="N271" s="19">
        <f>IF($A271="","",IF(COUNTIFS(請求記録!$B$6:$B$3005,$A271,請求記録!$Z$6:$Z$3005,N$5,請求記録!$AF$6:$AF$3005,"保留中")&gt;0,"保留",IF(COUNTIFS(請求記録!$B$6:$B$3005,$A271,請求記録!$Z$6:$Z$3005,N$5)=0,"",SUMIFS(請求記録!$AE$6:$AE$3005,請求記録!$B$6:$B$3005,$A271,請求記録!$Z$6:$Z$3005,N$5))))</f>
        <v/>
      </c>
      <c r="O271" s="19">
        <f>IF($A271="","",IF(COUNTIFS(請求記録!$B$6:$B$3005,$A271,請求記録!$Z$6:$Z$3005,O$5,請求記録!$AF$6:$AF$3005,"保留中")&gt;0,"保留",IF(COUNTIFS(請求記録!$B$6:$B$3005,$A271,請求記録!$Z$6:$Z$3005,O$5)=0,"",SUMIFS(請求記録!$AE$6:$AE$3005,請求記録!$B$6:$B$3005,$A271,請求記録!$Z$6:$Z$3005,O$5))))</f>
        <v/>
      </c>
      <c r="P271" s="19">
        <f>IF($A271="","",IF(COUNTIFS(請求記録!$B$6:$B$3005,$A271,請求記録!$Z$6:$Z$3005,P$5,請求記録!$AF$6:$AF$3005,"保留中")&gt;0,"保留",IF(COUNTIFS(請求記録!$B$6:$B$3005,$A271,請求記録!$Z$6:$Z$3005,P$5)=0,"",SUMIFS(請求記録!$AE$6:$AE$3005,請求記録!$B$6:$B$3005,$A271,請求記録!$Z$6:$Z$3005,P$5))))</f>
        <v/>
      </c>
      <c r="Q271" s="19">
        <f>IF($A271="","",IF(COUNTIFS(請求記録!$B$6:$B$3005,$A271,請求記録!$Z$6:$Z$3005,Q$5,請求記録!$AF$6:$AF$3005,"保留中")&gt;0,"保留",IF(COUNTIFS(請求記録!$B$6:$B$3005,$A271,請求記録!$Z$6:$Z$3005,Q$5)=0,"",SUMIFS(請求記録!$AE$6:$AE$3005,請求記録!$B$6:$B$3005,$A271,請求記録!$Z$6:$Z$3005,Q$5))))</f>
        <v/>
      </c>
      <c r="R271" s="19">
        <f>IF($A271="","",IF(COUNTIFS(請求記録!$B$6:$B$3005,$A271,請求記録!$Z$6:$Z$3005,R$5,請求記録!$AF$6:$AF$3005,"保留中")&gt;0,"保留",IF(COUNTIFS(請求記録!$B$6:$B$3005,$A271,請求記録!$Z$6:$Z$3005,R$5)=0,"",SUMIFS(請求記録!$AE$6:$AE$3005,請求記録!$B$6:$B$3005,$A271,請求記録!$Z$6:$Z$3005,R$5))))</f>
        <v/>
      </c>
      <c r="S271" s="19">
        <f>IF($A271="","",IF(COUNTIFS(請求記録!$B$6:$B$3005,$A271,請求記録!$Z$6:$Z$3005,S$5,請求記録!$AF$6:$AF$3005,"保留中")&gt;0,"保留",IF(COUNTIFS(請求記録!$B$6:$B$3005,$A271,請求記録!$Z$6:$Z$3005,S$5)=0,"",SUMIFS(請求記録!$AE$6:$AE$3005,請求記録!$B$6:$B$3005,$A271,請求記録!$Z$6:$Z$3005,S$5))))</f>
        <v/>
      </c>
      <c r="T271" s="19">
        <f>IF($A271="","",IF(COUNTIFS(請求記録!$B$6:$B$3005,$A271,請求記録!$Z$6:$Z$3005,T$5,請求記録!$AF$6:$AF$3005,"保留中")&gt;0,"保留",IF(COUNTIFS(請求記録!$B$6:$B$3005,$A271,請求記録!$Z$6:$Z$3005,T$5)=0,"",SUMIFS(請求記録!$AE$6:$AE$3005,請求記録!$B$6:$B$3005,$A271,請求記録!$Z$6:$Z$3005,T$5))))</f>
        <v/>
      </c>
      <c r="U271" s="19">
        <f>IF($A271="","",IF(COUNTIFS(請求記録!$B$6:$B$3005,$A271,請求記録!$Z$6:$Z$3005,U$5,請求記録!$AF$6:$AF$3005,"保留中")&gt;0,"保留",IF(COUNTIFS(請求記録!$B$6:$B$3005,$A271,請求記録!$Z$6:$Z$3005,U$5)=0,"",SUMIFS(請求記録!$AE$6:$AE$3005,請求記録!$B$6:$B$3005,$A271,請求記録!$Z$6:$Z$3005,U$5))))</f>
        <v/>
      </c>
      <c r="V271" s="19">
        <f>IF($A271="","",IF(COUNTIFS(請求記録!$B$6:$B$3005,$A271,請求記録!$Z$6:$Z$3005,V$5,請求記録!$AF$6:$AF$3005,"保留中")&gt;0,"保留",IF(COUNTIFS(請求記録!$B$6:$B$3005,$A271,請求記録!$Z$6:$Z$3005,V$5)=0,"",SUMIFS(請求記録!$AE$6:$AE$3005,請求記録!$B$6:$B$3005,$A271,請求記録!$Z$6:$Z$3005,V$5))))</f>
        <v/>
      </c>
      <c r="W271" s="19">
        <f>IF($A271="","",IF(COUNTIFS(請求記録!$B$6:$B$3005,$A271,請求記録!$Z$6:$Z$3005,W$5,請求記録!$AF$6:$AF$3005,"保留中")&gt;0,"保留",IF(COUNTIFS(請求記録!$B$6:$B$3005,$A271,請求記録!$Z$6:$Z$3005,W$5)=0,"",SUMIFS(請求記録!$AE$6:$AE$3005,請求記録!$B$6:$B$3005,$A271,請求記録!$Z$6:$Z$3005,W$5))))</f>
        <v/>
      </c>
      <c r="X271" s="19">
        <f>IF($A271="","",IF(COUNTIFS(請求記録!$B$6:$B$3005,$A271,請求記録!$Z$6:$Z$3005,X$5,請求記録!$AF$6:$AF$3005,"保留中")&gt;0,"保留",IF(COUNTIFS(請求記録!$B$6:$B$3005,$A271,請求記録!$Z$6:$Z$3005,X$5)=0,"",SUMIFS(請求記録!$AE$6:$AE$3005,請求記録!$B$6:$B$3005,$A271,請求記録!$Z$6:$Z$3005,X$5))))</f>
        <v/>
      </c>
      <c r="Y271" s="19">
        <f>IF($A271="","",IF(COUNTIFS(請求記録!$B$6:$B$3005,$A271,請求記録!$Z$6:$Z$3005,Y$5,請求記録!$AF$6:$AF$3005,"保留中")&gt;0,"保留",IF(COUNTIFS(請求記録!$B$6:$B$3005,$A271,請求記録!$Z$6:$Z$3005,Y$5)=0,"",SUMIFS(請求記録!$AE$6:$AE$3005,請求記録!$B$6:$B$3005,$A271,請求記録!$Z$6:$Z$3005,Y$5))))</f>
        <v/>
      </c>
      <c r="Z271" s="19">
        <f>IF($A271="","",IF(COUNTIFS(請求記録!$B$6:$B$3005,$A271,請求記録!$Z$6:$Z$3005,Z$5,請求記録!$AF$6:$AF$3005,"保留中")&gt;0,"保留",IF(COUNTIFS(請求記録!$B$6:$B$3005,$A271,請求記録!$Z$6:$Z$3005,Z$5)=0,"",SUMIFS(請求記録!$AE$6:$AE$3005,請求記録!$B$6:$B$3005,$A271,請求記録!$Z$6:$Z$3005,Z$5))))</f>
        <v/>
      </c>
      <c r="AA271" s="19">
        <f>IF($A271="","",IF(COUNTIFS(請求記録!$B$6:$B$3005,$A271,請求記録!$Z$6:$Z$3005,AA$5,請求記録!$AF$6:$AF$3005,"保留中")&gt;0,"保留",IF(COUNTIFS(請求記録!$B$6:$B$3005,$A271,請求記録!$Z$6:$Z$3005,AA$5)=0,"",SUMIFS(請求記録!$AE$6:$AE$3005,請求記録!$B$6:$B$3005,$A271,請求記録!$Z$6:$Z$3005,AA$5))))</f>
        <v/>
      </c>
      <c r="AB271">
        <f>IF(職員マスタ!P271="保留中",職員マスタ!M271,"")</f>
        <v/>
      </c>
    </row>
    <row r="272">
      <c r="A272">
        <f>IF(職員マスタ!A272="","",職員マスタ!A272)</f>
        <v/>
      </c>
      <c r="B272">
        <f>IF($A272="","",職員マスタ!B272)</f>
        <v/>
      </c>
      <c r="C272">
        <f>IF($A272="","",職員マスタ!C272)</f>
        <v/>
      </c>
      <c r="D272" s="19">
        <f>IF($A272="","",IF(COUNTIFS(請求記録!$B$6:$B$3005,$A272,請求記録!$Z$6:$Z$3005,D$5,請求記録!$AF$6:$AF$3005,"保留中")&gt;0,"保留",IF(COUNTIFS(請求記録!$B$6:$B$3005,$A272,請求記録!$Z$6:$Z$3005,D$5)=0,"",SUMIFS(請求記録!$AE$6:$AE$3005,請求記録!$B$6:$B$3005,$A272,請求記録!$Z$6:$Z$3005,D$5))))</f>
        <v/>
      </c>
      <c r="E272" s="19">
        <f>IF($A272="","",IF(COUNTIFS(請求記録!$B$6:$B$3005,$A272,請求記録!$Z$6:$Z$3005,E$5,請求記録!$AF$6:$AF$3005,"保留中")&gt;0,"保留",IF(COUNTIFS(請求記録!$B$6:$B$3005,$A272,請求記録!$Z$6:$Z$3005,E$5)=0,"",SUMIFS(請求記録!$AE$6:$AE$3005,請求記録!$B$6:$B$3005,$A272,請求記録!$Z$6:$Z$3005,E$5))))</f>
        <v/>
      </c>
      <c r="F272" s="19">
        <f>IF($A272="","",IF(COUNTIFS(請求記録!$B$6:$B$3005,$A272,請求記録!$Z$6:$Z$3005,F$5,請求記録!$AF$6:$AF$3005,"保留中")&gt;0,"保留",IF(COUNTIFS(請求記録!$B$6:$B$3005,$A272,請求記録!$Z$6:$Z$3005,F$5)=0,"",SUMIFS(請求記録!$AE$6:$AE$3005,請求記録!$B$6:$B$3005,$A272,請求記録!$Z$6:$Z$3005,F$5))))</f>
        <v/>
      </c>
      <c r="G272" s="19">
        <f>IF($A272="","",IF(COUNTIFS(請求記録!$B$6:$B$3005,$A272,請求記録!$Z$6:$Z$3005,G$5,請求記録!$AF$6:$AF$3005,"保留中")&gt;0,"保留",IF(COUNTIFS(請求記録!$B$6:$B$3005,$A272,請求記録!$Z$6:$Z$3005,G$5)=0,"",SUMIFS(請求記録!$AE$6:$AE$3005,請求記録!$B$6:$B$3005,$A272,請求記録!$Z$6:$Z$3005,G$5))))</f>
        <v/>
      </c>
      <c r="H272" s="19">
        <f>IF($A272="","",IF(COUNTIFS(請求記録!$B$6:$B$3005,$A272,請求記録!$Z$6:$Z$3005,H$5,請求記録!$AF$6:$AF$3005,"保留中")&gt;0,"保留",IF(COUNTIFS(請求記録!$B$6:$B$3005,$A272,請求記録!$Z$6:$Z$3005,H$5)=0,"",SUMIFS(請求記録!$AE$6:$AE$3005,請求記録!$B$6:$B$3005,$A272,請求記録!$Z$6:$Z$3005,H$5))))</f>
        <v/>
      </c>
      <c r="I272" s="19">
        <f>IF($A272="","",IF(COUNTIFS(請求記録!$B$6:$B$3005,$A272,請求記録!$Z$6:$Z$3005,I$5,請求記録!$AF$6:$AF$3005,"保留中")&gt;0,"保留",IF(COUNTIFS(請求記録!$B$6:$B$3005,$A272,請求記録!$Z$6:$Z$3005,I$5)=0,"",SUMIFS(請求記録!$AE$6:$AE$3005,請求記録!$B$6:$B$3005,$A272,請求記録!$Z$6:$Z$3005,I$5))))</f>
        <v/>
      </c>
      <c r="J272" s="19">
        <f>IF($A272="","",IF(COUNTIFS(請求記録!$B$6:$B$3005,$A272,請求記録!$Z$6:$Z$3005,J$5,請求記録!$AF$6:$AF$3005,"保留中")&gt;0,"保留",IF(COUNTIFS(請求記録!$B$6:$B$3005,$A272,請求記録!$Z$6:$Z$3005,J$5)=0,"",SUMIFS(請求記録!$AE$6:$AE$3005,請求記録!$B$6:$B$3005,$A272,請求記録!$Z$6:$Z$3005,J$5))))</f>
        <v/>
      </c>
      <c r="K272" s="19">
        <f>IF($A272="","",IF(COUNTIFS(請求記録!$B$6:$B$3005,$A272,請求記録!$Z$6:$Z$3005,K$5,請求記録!$AF$6:$AF$3005,"保留中")&gt;0,"保留",IF(COUNTIFS(請求記録!$B$6:$B$3005,$A272,請求記録!$Z$6:$Z$3005,K$5)=0,"",SUMIFS(請求記録!$AE$6:$AE$3005,請求記録!$B$6:$B$3005,$A272,請求記録!$Z$6:$Z$3005,K$5))))</f>
        <v/>
      </c>
      <c r="L272" s="19">
        <f>IF($A272="","",IF(COUNTIFS(請求記録!$B$6:$B$3005,$A272,請求記録!$Z$6:$Z$3005,L$5,請求記録!$AF$6:$AF$3005,"保留中")&gt;0,"保留",IF(COUNTIFS(請求記録!$B$6:$B$3005,$A272,請求記録!$Z$6:$Z$3005,L$5)=0,"",SUMIFS(請求記録!$AE$6:$AE$3005,請求記録!$B$6:$B$3005,$A272,請求記録!$Z$6:$Z$3005,L$5))))</f>
        <v/>
      </c>
      <c r="M272" s="19">
        <f>IF($A272="","",IF(COUNTIFS(請求記録!$B$6:$B$3005,$A272,請求記録!$Z$6:$Z$3005,M$5,請求記録!$AF$6:$AF$3005,"保留中")&gt;0,"保留",IF(COUNTIFS(請求記録!$B$6:$B$3005,$A272,請求記録!$Z$6:$Z$3005,M$5)=0,"",SUMIFS(請求記録!$AE$6:$AE$3005,請求記録!$B$6:$B$3005,$A272,請求記録!$Z$6:$Z$3005,M$5))))</f>
        <v/>
      </c>
      <c r="N272" s="19">
        <f>IF($A272="","",IF(COUNTIFS(請求記録!$B$6:$B$3005,$A272,請求記録!$Z$6:$Z$3005,N$5,請求記録!$AF$6:$AF$3005,"保留中")&gt;0,"保留",IF(COUNTIFS(請求記録!$B$6:$B$3005,$A272,請求記録!$Z$6:$Z$3005,N$5)=0,"",SUMIFS(請求記録!$AE$6:$AE$3005,請求記録!$B$6:$B$3005,$A272,請求記録!$Z$6:$Z$3005,N$5))))</f>
        <v/>
      </c>
      <c r="O272" s="19">
        <f>IF($A272="","",IF(COUNTIFS(請求記録!$B$6:$B$3005,$A272,請求記録!$Z$6:$Z$3005,O$5,請求記録!$AF$6:$AF$3005,"保留中")&gt;0,"保留",IF(COUNTIFS(請求記録!$B$6:$B$3005,$A272,請求記録!$Z$6:$Z$3005,O$5)=0,"",SUMIFS(請求記録!$AE$6:$AE$3005,請求記録!$B$6:$B$3005,$A272,請求記録!$Z$6:$Z$3005,O$5))))</f>
        <v/>
      </c>
      <c r="P272" s="19">
        <f>IF($A272="","",IF(COUNTIFS(請求記録!$B$6:$B$3005,$A272,請求記録!$Z$6:$Z$3005,P$5,請求記録!$AF$6:$AF$3005,"保留中")&gt;0,"保留",IF(COUNTIFS(請求記録!$B$6:$B$3005,$A272,請求記録!$Z$6:$Z$3005,P$5)=0,"",SUMIFS(請求記録!$AE$6:$AE$3005,請求記録!$B$6:$B$3005,$A272,請求記録!$Z$6:$Z$3005,P$5))))</f>
        <v/>
      </c>
      <c r="Q272" s="19">
        <f>IF($A272="","",IF(COUNTIFS(請求記録!$B$6:$B$3005,$A272,請求記録!$Z$6:$Z$3005,Q$5,請求記録!$AF$6:$AF$3005,"保留中")&gt;0,"保留",IF(COUNTIFS(請求記録!$B$6:$B$3005,$A272,請求記録!$Z$6:$Z$3005,Q$5)=0,"",SUMIFS(請求記録!$AE$6:$AE$3005,請求記録!$B$6:$B$3005,$A272,請求記録!$Z$6:$Z$3005,Q$5))))</f>
        <v/>
      </c>
      <c r="R272" s="19">
        <f>IF($A272="","",IF(COUNTIFS(請求記録!$B$6:$B$3005,$A272,請求記録!$Z$6:$Z$3005,R$5,請求記録!$AF$6:$AF$3005,"保留中")&gt;0,"保留",IF(COUNTIFS(請求記録!$B$6:$B$3005,$A272,請求記録!$Z$6:$Z$3005,R$5)=0,"",SUMIFS(請求記録!$AE$6:$AE$3005,請求記録!$B$6:$B$3005,$A272,請求記録!$Z$6:$Z$3005,R$5))))</f>
        <v/>
      </c>
      <c r="S272" s="19">
        <f>IF($A272="","",IF(COUNTIFS(請求記録!$B$6:$B$3005,$A272,請求記録!$Z$6:$Z$3005,S$5,請求記録!$AF$6:$AF$3005,"保留中")&gt;0,"保留",IF(COUNTIFS(請求記録!$B$6:$B$3005,$A272,請求記録!$Z$6:$Z$3005,S$5)=0,"",SUMIFS(請求記録!$AE$6:$AE$3005,請求記録!$B$6:$B$3005,$A272,請求記録!$Z$6:$Z$3005,S$5))))</f>
        <v/>
      </c>
      <c r="T272" s="19">
        <f>IF($A272="","",IF(COUNTIFS(請求記録!$B$6:$B$3005,$A272,請求記録!$Z$6:$Z$3005,T$5,請求記録!$AF$6:$AF$3005,"保留中")&gt;0,"保留",IF(COUNTIFS(請求記録!$B$6:$B$3005,$A272,請求記録!$Z$6:$Z$3005,T$5)=0,"",SUMIFS(請求記録!$AE$6:$AE$3005,請求記録!$B$6:$B$3005,$A272,請求記録!$Z$6:$Z$3005,T$5))))</f>
        <v/>
      </c>
      <c r="U272" s="19">
        <f>IF($A272="","",IF(COUNTIFS(請求記録!$B$6:$B$3005,$A272,請求記録!$Z$6:$Z$3005,U$5,請求記録!$AF$6:$AF$3005,"保留中")&gt;0,"保留",IF(COUNTIFS(請求記録!$B$6:$B$3005,$A272,請求記録!$Z$6:$Z$3005,U$5)=0,"",SUMIFS(請求記録!$AE$6:$AE$3005,請求記録!$B$6:$B$3005,$A272,請求記録!$Z$6:$Z$3005,U$5))))</f>
        <v/>
      </c>
      <c r="V272" s="19">
        <f>IF($A272="","",IF(COUNTIFS(請求記録!$B$6:$B$3005,$A272,請求記録!$Z$6:$Z$3005,V$5,請求記録!$AF$6:$AF$3005,"保留中")&gt;0,"保留",IF(COUNTIFS(請求記録!$B$6:$B$3005,$A272,請求記録!$Z$6:$Z$3005,V$5)=0,"",SUMIFS(請求記録!$AE$6:$AE$3005,請求記録!$B$6:$B$3005,$A272,請求記録!$Z$6:$Z$3005,V$5))))</f>
        <v/>
      </c>
      <c r="W272" s="19">
        <f>IF($A272="","",IF(COUNTIFS(請求記録!$B$6:$B$3005,$A272,請求記録!$Z$6:$Z$3005,W$5,請求記録!$AF$6:$AF$3005,"保留中")&gt;0,"保留",IF(COUNTIFS(請求記録!$B$6:$B$3005,$A272,請求記録!$Z$6:$Z$3005,W$5)=0,"",SUMIFS(請求記録!$AE$6:$AE$3005,請求記録!$B$6:$B$3005,$A272,請求記録!$Z$6:$Z$3005,W$5))))</f>
        <v/>
      </c>
      <c r="X272" s="19">
        <f>IF($A272="","",IF(COUNTIFS(請求記録!$B$6:$B$3005,$A272,請求記録!$Z$6:$Z$3005,X$5,請求記録!$AF$6:$AF$3005,"保留中")&gt;0,"保留",IF(COUNTIFS(請求記録!$B$6:$B$3005,$A272,請求記録!$Z$6:$Z$3005,X$5)=0,"",SUMIFS(請求記録!$AE$6:$AE$3005,請求記録!$B$6:$B$3005,$A272,請求記録!$Z$6:$Z$3005,X$5))))</f>
        <v/>
      </c>
      <c r="Y272" s="19">
        <f>IF($A272="","",IF(COUNTIFS(請求記録!$B$6:$B$3005,$A272,請求記録!$Z$6:$Z$3005,Y$5,請求記録!$AF$6:$AF$3005,"保留中")&gt;0,"保留",IF(COUNTIFS(請求記録!$B$6:$B$3005,$A272,請求記録!$Z$6:$Z$3005,Y$5)=0,"",SUMIFS(請求記録!$AE$6:$AE$3005,請求記録!$B$6:$B$3005,$A272,請求記録!$Z$6:$Z$3005,Y$5))))</f>
        <v/>
      </c>
      <c r="Z272" s="19">
        <f>IF($A272="","",IF(COUNTIFS(請求記録!$B$6:$B$3005,$A272,請求記録!$Z$6:$Z$3005,Z$5,請求記録!$AF$6:$AF$3005,"保留中")&gt;0,"保留",IF(COUNTIFS(請求記録!$B$6:$B$3005,$A272,請求記録!$Z$6:$Z$3005,Z$5)=0,"",SUMIFS(請求記録!$AE$6:$AE$3005,請求記録!$B$6:$B$3005,$A272,請求記録!$Z$6:$Z$3005,Z$5))))</f>
        <v/>
      </c>
      <c r="AA272" s="19">
        <f>IF($A272="","",IF(COUNTIFS(請求記録!$B$6:$B$3005,$A272,請求記録!$Z$6:$Z$3005,AA$5,請求記録!$AF$6:$AF$3005,"保留中")&gt;0,"保留",IF(COUNTIFS(請求記録!$B$6:$B$3005,$A272,請求記録!$Z$6:$Z$3005,AA$5)=0,"",SUMIFS(請求記録!$AE$6:$AE$3005,請求記録!$B$6:$B$3005,$A272,請求記録!$Z$6:$Z$3005,AA$5))))</f>
        <v/>
      </c>
      <c r="AB272">
        <f>IF(職員マスタ!P272="保留中",職員マスタ!M272,"")</f>
        <v/>
      </c>
    </row>
    <row r="273">
      <c r="A273">
        <f>IF(職員マスタ!A273="","",職員マスタ!A273)</f>
        <v/>
      </c>
      <c r="B273">
        <f>IF($A273="","",職員マスタ!B273)</f>
        <v/>
      </c>
      <c r="C273">
        <f>IF($A273="","",職員マスタ!C273)</f>
        <v/>
      </c>
      <c r="D273" s="19">
        <f>IF($A273="","",IF(COUNTIFS(請求記録!$B$6:$B$3005,$A273,請求記録!$Z$6:$Z$3005,D$5,請求記録!$AF$6:$AF$3005,"保留中")&gt;0,"保留",IF(COUNTIFS(請求記録!$B$6:$B$3005,$A273,請求記録!$Z$6:$Z$3005,D$5)=0,"",SUMIFS(請求記録!$AE$6:$AE$3005,請求記録!$B$6:$B$3005,$A273,請求記録!$Z$6:$Z$3005,D$5))))</f>
        <v/>
      </c>
      <c r="E273" s="19">
        <f>IF($A273="","",IF(COUNTIFS(請求記録!$B$6:$B$3005,$A273,請求記録!$Z$6:$Z$3005,E$5,請求記録!$AF$6:$AF$3005,"保留中")&gt;0,"保留",IF(COUNTIFS(請求記録!$B$6:$B$3005,$A273,請求記録!$Z$6:$Z$3005,E$5)=0,"",SUMIFS(請求記録!$AE$6:$AE$3005,請求記録!$B$6:$B$3005,$A273,請求記録!$Z$6:$Z$3005,E$5))))</f>
        <v/>
      </c>
      <c r="F273" s="19">
        <f>IF($A273="","",IF(COUNTIFS(請求記録!$B$6:$B$3005,$A273,請求記録!$Z$6:$Z$3005,F$5,請求記録!$AF$6:$AF$3005,"保留中")&gt;0,"保留",IF(COUNTIFS(請求記録!$B$6:$B$3005,$A273,請求記録!$Z$6:$Z$3005,F$5)=0,"",SUMIFS(請求記録!$AE$6:$AE$3005,請求記録!$B$6:$B$3005,$A273,請求記録!$Z$6:$Z$3005,F$5))))</f>
        <v/>
      </c>
      <c r="G273" s="19">
        <f>IF($A273="","",IF(COUNTIFS(請求記録!$B$6:$B$3005,$A273,請求記録!$Z$6:$Z$3005,G$5,請求記録!$AF$6:$AF$3005,"保留中")&gt;0,"保留",IF(COUNTIFS(請求記録!$B$6:$B$3005,$A273,請求記録!$Z$6:$Z$3005,G$5)=0,"",SUMIFS(請求記録!$AE$6:$AE$3005,請求記録!$B$6:$B$3005,$A273,請求記録!$Z$6:$Z$3005,G$5))))</f>
        <v/>
      </c>
      <c r="H273" s="19">
        <f>IF($A273="","",IF(COUNTIFS(請求記録!$B$6:$B$3005,$A273,請求記録!$Z$6:$Z$3005,H$5,請求記録!$AF$6:$AF$3005,"保留中")&gt;0,"保留",IF(COUNTIFS(請求記録!$B$6:$B$3005,$A273,請求記録!$Z$6:$Z$3005,H$5)=0,"",SUMIFS(請求記録!$AE$6:$AE$3005,請求記録!$B$6:$B$3005,$A273,請求記録!$Z$6:$Z$3005,H$5))))</f>
        <v/>
      </c>
      <c r="I273" s="19">
        <f>IF($A273="","",IF(COUNTIFS(請求記録!$B$6:$B$3005,$A273,請求記録!$Z$6:$Z$3005,I$5,請求記録!$AF$6:$AF$3005,"保留中")&gt;0,"保留",IF(COUNTIFS(請求記録!$B$6:$B$3005,$A273,請求記録!$Z$6:$Z$3005,I$5)=0,"",SUMIFS(請求記録!$AE$6:$AE$3005,請求記録!$B$6:$B$3005,$A273,請求記録!$Z$6:$Z$3005,I$5))))</f>
        <v/>
      </c>
      <c r="J273" s="19">
        <f>IF($A273="","",IF(COUNTIFS(請求記録!$B$6:$B$3005,$A273,請求記録!$Z$6:$Z$3005,J$5,請求記録!$AF$6:$AF$3005,"保留中")&gt;0,"保留",IF(COUNTIFS(請求記録!$B$6:$B$3005,$A273,請求記録!$Z$6:$Z$3005,J$5)=0,"",SUMIFS(請求記録!$AE$6:$AE$3005,請求記録!$B$6:$B$3005,$A273,請求記録!$Z$6:$Z$3005,J$5))))</f>
        <v/>
      </c>
      <c r="K273" s="19">
        <f>IF($A273="","",IF(COUNTIFS(請求記録!$B$6:$B$3005,$A273,請求記録!$Z$6:$Z$3005,K$5,請求記録!$AF$6:$AF$3005,"保留中")&gt;0,"保留",IF(COUNTIFS(請求記録!$B$6:$B$3005,$A273,請求記録!$Z$6:$Z$3005,K$5)=0,"",SUMIFS(請求記録!$AE$6:$AE$3005,請求記録!$B$6:$B$3005,$A273,請求記録!$Z$6:$Z$3005,K$5))))</f>
        <v/>
      </c>
      <c r="L273" s="19">
        <f>IF($A273="","",IF(COUNTIFS(請求記録!$B$6:$B$3005,$A273,請求記録!$Z$6:$Z$3005,L$5,請求記録!$AF$6:$AF$3005,"保留中")&gt;0,"保留",IF(COUNTIFS(請求記録!$B$6:$B$3005,$A273,請求記録!$Z$6:$Z$3005,L$5)=0,"",SUMIFS(請求記録!$AE$6:$AE$3005,請求記録!$B$6:$B$3005,$A273,請求記録!$Z$6:$Z$3005,L$5))))</f>
        <v/>
      </c>
      <c r="M273" s="19">
        <f>IF($A273="","",IF(COUNTIFS(請求記録!$B$6:$B$3005,$A273,請求記録!$Z$6:$Z$3005,M$5,請求記録!$AF$6:$AF$3005,"保留中")&gt;0,"保留",IF(COUNTIFS(請求記録!$B$6:$B$3005,$A273,請求記録!$Z$6:$Z$3005,M$5)=0,"",SUMIFS(請求記録!$AE$6:$AE$3005,請求記録!$B$6:$B$3005,$A273,請求記録!$Z$6:$Z$3005,M$5))))</f>
        <v/>
      </c>
      <c r="N273" s="19">
        <f>IF($A273="","",IF(COUNTIFS(請求記録!$B$6:$B$3005,$A273,請求記録!$Z$6:$Z$3005,N$5,請求記録!$AF$6:$AF$3005,"保留中")&gt;0,"保留",IF(COUNTIFS(請求記録!$B$6:$B$3005,$A273,請求記録!$Z$6:$Z$3005,N$5)=0,"",SUMIFS(請求記録!$AE$6:$AE$3005,請求記録!$B$6:$B$3005,$A273,請求記録!$Z$6:$Z$3005,N$5))))</f>
        <v/>
      </c>
      <c r="O273" s="19">
        <f>IF($A273="","",IF(COUNTIFS(請求記録!$B$6:$B$3005,$A273,請求記録!$Z$6:$Z$3005,O$5,請求記録!$AF$6:$AF$3005,"保留中")&gt;0,"保留",IF(COUNTIFS(請求記録!$B$6:$B$3005,$A273,請求記録!$Z$6:$Z$3005,O$5)=0,"",SUMIFS(請求記録!$AE$6:$AE$3005,請求記録!$B$6:$B$3005,$A273,請求記録!$Z$6:$Z$3005,O$5))))</f>
        <v/>
      </c>
      <c r="P273" s="19">
        <f>IF($A273="","",IF(COUNTIFS(請求記録!$B$6:$B$3005,$A273,請求記録!$Z$6:$Z$3005,P$5,請求記録!$AF$6:$AF$3005,"保留中")&gt;0,"保留",IF(COUNTIFS(請求記録!$B$6:$B$3005,$A273,請求記録!$Z$6:$Z$3005,P$5)=0,"",SUMIFS(請求記録!$AE$6:$AE$3005,請求記録!$B$6:$B$3005,$A273,請求記録!$Z$6:$Z$3005,P$5))))</f>
        <v/>
      </c>
      <c r="Q273" s="19">
        <f>IF($A273="","",IF(COUNTIFS(請求記録!$B$6:$B$3005,$A273,請求記録!$Z$6:$Z$3005,Q$5,請求記録!$AF$6:$AF$3005,"保留中")&gt;0,"保留",IF(COUNTIFS(請求記録!$B$6:$B$3005,$A273,請求記録!$Z$6:$Z$3005,Q$5)=0,"",SUMIFS(請求記録!$AE$6:$AE$3005,請求記録!$B$6:$B$3005,$A273,請求記録!$Z$6:$Z$3005,Q$5))))</f>
        <v/>
      </c>
      <c r="R273" s="19">
        <f>IF($A273="","",IF(COUNTIFS(請求記録!$B$6:$B$3005,$A273,請求記録!$Z$6:$Z$3005,R$5,請求記録!$AF$6:$AF$3005,"保留中")&gt;0,"保留",IF(COUNTIFS(請求記録!$B$6:$B$3005,$A273,請求記録!$Z$6:$Z$3005,R$5)=0,"",SUMIFS(請求記録!$AE$6:$AE$3005,請求記録!$B$6:$B$3005,$A273,請求記録!$Z$6:$Z$3005,R$5))))</f>
        <v/>
      </c>
      <c r="S273" s="19">
        <f>IF($A273="","",IF(COUNTIFS(請求記録!$B$6:$B$3005,$A273,請求記録!$Z$6:$Z$3005,S$5,請求記録!$AF$6:$AF$3005,"保留中")&gt;0,"保留",IF(COUNTIFS(請求記録!$B$6:$B$3005,$A273,請求記録!$Z$6:$Z$3005,S$5)=0,"",SUMIFS(請求記録!$AE$6:$AE$3005,請求記録!$B$6:$B$3005,$A273,請求記録!$Z$6:$Z$3005,S$5))))</f>
        <v/>
      </c>
      <c r="T273" s="19">
        <f>IF($A273="","",IF(COUNTIFS(請求記録!$B$6:$B$3005,$A273,請求記録!$Z$6:$Z$3005,T$5,請求記録!$AF$6:$AF$3005,"保留中")&gt;0,"保留",IF(COUNTIFS(請求記録!$B$6:$B$3005,$A273,請求記録!$Z$6:$Z$3005,T$5)=0,"",SUMIFS(請求記録!$AE$6:$AE$3005,請求記録!$B$6:$B$3005,$A273,請求記録!$Z$6:$Z$3005,T$5))))</f>
        <v/>
      </c>
      <c r="U273" s="19">
        <f>IF($A273="","",IF(COUNTIFS(請求記録!$B$6:$B$3005,$A273,請求記録!$Z$6:$Z$3005,U$5,請求記録!$AF$6:$AF$3005,"保留中")&gt;0,"保留",IF(COUNTIFS(請求記録!$B$6:$B$3005,$A273,請求記録!$Z$6:$Z$3005,U$5)=0,"",SUMIFS(請求記録!$AE$6:$AE$3005,請求記録!$B$6:$B$3005,$A273,請求記録!$Z$6:$Z$3005,U$5))))</f>
        <v/>
      </c>
      <c r="V273" s="19">
        <f>IF($A273="","",IF(COUNTIFS(請求記録!$B$6:$B$3005,$A273,請求記録!$Z$6:$Z$3005,V$5,請求記録!$AF$6:$AF$3005,"保留中")&gt;0,"保留",IF(COUNTIFS(請求記録!$B$6:$B$3005,$A273,請求記録!$Z$6:$Z$3005,V$5)=0,"",SUMIFS(請求記録!$AE$6:$AE$3005,請求記録!$B$6:$B$3005,$A273,請求記録!$Z$6:$Z$3005,V$5))))</f>
        <v/>
      </c>
      <c r="W273" s="19">
        <f>IF($A273="","",IF(COUNTIFS(請求記録!$B$6:$B$3005,$A273,請求記録!$Z$6:$Z$3005,W$5,請求記録!$AF$6:$AF$3005,"保留中")&gt;0,"保留",IF(COUNTIFS(請求記録!$B$6:$B$3005,$A273,請求記録!$Z$6:$Z$3005,W$5)=0,"",SUMIFS(請求記録!$AE$6:$AE$3005,請求記録!$B$6:$B$3005,$A273,請求記録!$Z$6:$Z$3005,W$5))))</f>
        <v/>
      </c>
      <c r="X273" s="19">
        <f>IF($A273="","",IF(COUNTIFS(請求記録!$B$6:$B$3005,$A273,請求記録!$Z$6:$Z$3005,X$5,請求記録!$AF$6:$AF$3005,"保留中")&gt;0,"保留",IF(COUNTIFS(請求記録!$B$6:$B$3005,$A273,請求記録!$Z$6:$Z$3005,X$5)=0,"",SUMIFS(請求記録!$AE$6:$AE$3005,請求記録!$B$6:$B$3005,$A273,請求記録!$Z$6:$Z$3005,X$5))))</f>
        <v/>
      </c>
      <c r="Y273" s="19">
        <f>IF($A273="","",IF(COUNTIFS(請求記録!$B$6:$B$3005,$A273,請求記録!$Z$6:$Z$3005,Y$5,請求記録!$AF$6:$AF$3005,"保留中")&gt;0,"保留",IF(COUNTIFS(請求記録!$B$6:$B$3005,$A273,請求記録!$Z$6:$Z$3005,Y$5)=0,"",SUMIFS(請求記録!$AE$6:$AE$3005,請求記録!$B$6:$B$3005,$A273,請求記録!$Z$6:$Z$3005,Y$5))))</f>
        <v/>
      </c>
      <c r="Z273" s="19">
        <f>IF($A273="","",IF(COUNTIFS(請求記録!$B$6:$B$3005,$A273,請求記録!$Z$6:$Z$3005,Z$5,請求記録!$AF$6:$AF$3005,"保留中")&gt;0,"保留",IF(COUNTIFS(請求記録!$B$6:$B$3005,$A273,請求記録!$Z$6:$Z$3005,Z$5)=0,"",SUMIFS(請求記録!$AE$6:$AE$3005,請求記録!$B$6:$B$3005,$A273,請求記録!$Z$6:$Z$3005,Z$5))))</f>
        <v/>
      </c>
      <c r="AA273" s="19">
        <f>IF($A273="","",IF(COUNTIFS(請求記録!$B$6:$B$3005,$A273,請求記録!$Z$6:$Z$3005,AA$5,請求記録!$AF$6:$AF$3005,"保留中")&gt;0,"保留",IF(COUNTIFS(請求記録!$B$6:$B$3005,$A273,請求記録!$Z$6:$Z$3005,AA$5)=0,"",SUMIFS(請求記録!$AE$6:$AE$3005,請求記録!$B$6:$B$3005,$A273,請求記録!$Z$6:$Z$3005,AA$5))))</f>
        <v/>
      </c>
      <c r="AB273">
        <f>IF(職員マスタ!P273="保留中",職員マスタ!M273,"")</f>
        <v/>
      </c>
    </row>
    <row r="274">
      <c r="A274">
        <f>IF(職員マスタ!A274="","",職員マスタ!A274)</f>
        <v/>
      </c>
      <c r="B274">
        <f>IF($A274="","",職員マスタ!B274)</f>
        <v/>
      </c>
      <c r="C274">
        <f>IF($A274="","",職員マスタ!C274)</f>
        <v/>
      </c>
      <c r="D274" s="19">
        <f>IF($A274="","",IF(COUNTIFS(請求記録!$B$6:$B$3005,$A274,請求記録!$Z$6:$Z$3005,D$5,請求記録!$AF$6:$AF$3005,"保留中")&gt;0,"保留",IF(COUNTIFS(請求記録!$B$6:$B$3005,$A274,請求記録!$Z$6:$Z$3005,D$5)=0,"",SUMIFS(請求記録!$AE$6:$AE$3005,請求記録!$B$6:$B$3005,$A274,請求記録!$Z$6:$Z$3005,D$5))))</f>
        <v/>
      </c>
      <c r="E274" s="19">
        <f>IF($A274="","",IF(COUNTIFS(請求記録!$B$6:$B$3005,$A274,請求記録!$Z$6:$Z$3005,E$5,請求記録!$AF$6:$AF$3005,"保留中")&gt;0,"保留",IF(COUNTIFS(請求記録!$B$6:$B$3005,$A274,請求記録!$Z$6:$Z$3005,E$5)=0,"",SUMIFS(請求記録!$AE$6:$AE$3005,請求記録!$B$6:$B$3005,$A274,請求記録!$Z$6:$Z$3005,E$5))))</f>
        <v/>
      </c>
      <c r="F274" s="19">
        <f>IF($A274="","",IF(COUNTIFS(請求記録!$B$6:$B$3005,$A274,請求記録!$Z$6:$Z$3005,F$5,請求記録!$AF$6:$AF$3005,"保留中")&gt;0,"保留",IF(COUNTIFS(請求記録!$B$6:$B$3005,$A274,請求記録!$Z$6:$Z$3005,F$5)=0,"",SUMIFS(請求記録!$AE$6:$AE$3005,請求記録!$B$6:$B$3005,$A274,請求記録!$Z$6:$Z$3005,F$5))))</f>
        <v/>
      </c>
      <c r="G274" s="19">
        <f>IF($A274="","",IF(COUNTIFS(請求記録!$B$6:$B$3005,$A274,請求記録!$Z$6:$Z$3005,G$5,請求記録!$AF$6:$AF$3005,"保留中")&gt;0,"保留",IF(COUNTIFS(請求記録!$B$6:$B$3005,$A274,請求記録!$Z$6:$Z$3005,G$5)=0,"",SUMIFS(請求記録!$AE$6:$AE$3005,請求記録!$B$6:$B$3005,$A274,請求記録!$Z$6:$Z$3005,G$5))))</f>
        <v/>
      </c>
      <c r="H274" s="19">
        <f>IF($A274="","",IF(COUNTIFS(請求記録!$B$6:$B$3005,$A274,請求記録!$Z$6:$Z$3005,H$5,請求記録!$AF$6:$AF$3005,"保留中")&gt;0,"保留",IF(COUNTIFS(請求記録!$B$6:$B$3005,$A274,請求記録!$Z$6:$Z$3005,H$5)=0,"",SUMIFS(請求記録!$AE$6:$AE$3005,請求記録!$B$6:$B$3005,$A274,請求記録!$Z$6:$Z$3005,H$5))))</f>
        <v/>
      </c>
      <c r="I274" s="19">
        <f>IF($A274="","",IF(COUNTIFS(請求記録!$B$6:$B$3005,$A274,請求記録!$Z$6:$Z$3005,I$5,請求記録!$AF$6:$AF$3005,"保留中")&gt;0,"保留",IF(COUNTIFS(請求記録!$B$6:$B$3005,$A274,請求記録!$Z$6:$Z$3005,I$5)=0,"",SUMIFS(請求記録!$AE$6:$AE$3005,請求記録!$B$6:$B$3005,$A274,請求記録!$Z$6:$Z$3005,I$5))))</f>
        <v/>
      </c>
      <c r="J274" s="19">
        <f>IF($A274="","",IF(COUNTIFS(請求記録!$B$6:$B$3005,$A274,請求記録!$Z$6:$Z$3005,J$5,請求記録!$AF$6:$AF$3005,"保留中")&gt;0,"保留",IF(COUNTIFS(請求記録!$B$6:$B$3005,$A274,請求記録!$Z$6:$Z$3005,J$5)=0,"",SUMIFS(請求記録!$AE$6:$AE$3005,請求記録!$B$6:$B$3005,$A274,請求記録!$Z$6:$Z$3005,J$5))))</f>
        <v/>
      </c>
      <c r="K274" s="19">
        <f>IF($A274="","",IF(COUNTIFS(請求記録!$B$6:$B$3005,$A274,請求記録!$Z$6:$Z$3005,K$5,請求記録!$AF$6:$AF$3005,"保留中")&gt;0,"保留",IF(COUNTIFS(請求記録!$B$6:$B$3005,$A274,請求記録!$Z$6:$Z$3005,K$5)=0,"",SUMIFS(請求記録!$AE$6:$AE$3005,請求記録!$B$6:$B$3005,$A274,請求記録!$Z$6:$Z$3005,K$5))))</f>
        <v/>
      </c>
      <c r="L274" s="19">
        <f>IF($A274="","",IF(COUNTIFS(請求記録!$B$6:$B$3005,$A274,請求記録!$Z$6:$Z$3005,L$5,請求記録!$AF$6:$AF$3005,"保留中")&gt;0,"保留",IF(COUNTIFS(請求記録!$B$6:$B$3005,$A274,請求記録!$Z$6:$Z$3005,L$5)=0,"",SUMIFS(請求記録!$AE$6:$AE$3005,請求記録!$B$6:$B$3005,$A274,請求記録!$Z$6:$Z$3005,L$5))))</f>
        <v/>
      </c>
      <c r="M274" s="19">
        <f>IF($A274="","",IF(COUNTIFS(請求記録!$B$6:$B$3005,$A274,請求記録!$Z$6:$Z$3005,M$5,請求記録!$AF$6:$AF$3005,"保留中")&gt;0,"保留",IF(COUNTIFS(請求記録!$B$6:$B$3005,$A274,請求記録!$Z$6:$Z$3005,M$5)=0,"",SUMIFS(請求記録!$AE$6:$AE$3005,請求記録!$B$6:$B$3005,$A274,請求記録!$Z$6:$Z$3005,M$5))))</f>
        <v/>
      </c>
      <c r="N274" s="19">
        <f>IF($A274="","",IF(COUNTIFS(請求記録!$B$6:$B$3005,$A274,請求記録!$Z$6:$Z$3005,N$5,請求記録!$AF$6:$AF$3005,"保留中")&gt;0,"保留",IF(COUNTIFS(請求記録!$B$6:$B$3005,$A274,請求記録!$Z$6:$Z$3005,N$5)=0,"",SUMIFS(請求記録!$AE$6:$AE$3005,請求記録!$B$6:$B$3005,$A274,請求記録!$Z$6:$Z$3005,N$5))))</f>
        <v/>
      </c>
      <c r="O274" s="19">
        <f>IF($A274="","",IF(COUNTIFS(請求記録!$B$6:$B$3005,$A274,請求記録!$Z$6:$Z$3005,O$5,請求記録!$AF$6:$AF$3005,"保留中")&gt;0,"保留",IF(COUNTIFS(請求記録!$B$6:$B$3005,$A274,請求記録!$Z$6:$Z$3005,O$5)=0,"",SUMIFS(請求記録!$AE$6:$AE$3005,請求記録!$B$6:$B$3005,$A274,請求記録!$Z$6:$Z$3005,O$5))))</f>
        <v/>
      </c>
      <c r="P274" s="19">
        <f>IF($A274="","",IF(COUNTIFS(請求記録!$B$6:$B$3005,$A274,請求記録!$Z$6:$Z$3005,P$5,請求記録!$AF$6:$AF$3005,"保留中")&gt;0,"保留",IF(COUNTIFS(請求記録!$B$6:$B$3005,$A274,請求記録!$Z$6:$Z$3005,P$5)=0,"",SUMIFS(請求記録!$AE$6:$AE$3005,請求記録!$B$6:$B$3005,$A274,請求記録!$Z$6:$Z$3005,P$5))))</f>
        <v/>
      </c>
      <c r="Q274" s="19">
        <f>IF($A274="","",IF(COUNTIFS(請求記録!$B$6:$B$3005,$A274,請求記録!$Z$6:$Z$3005,Q$5,請求記録!$AF$6:$AF$3005,"保留中")&gt;0,"保留",IF(COUNTIFS(請求記録!$B$6:$B$3005,$A274,請求記録!$Z$6:$Z$3005,Q$5)=0,"",SUMIFS(請求記録!$AE$6:$AE$3005,請求記録!$B$6:$B$3005,$A274,請求記録!$Z$6:$Z$3005,Q$5))))</f>
        <v/>
      </c>
      <c r="R274" s="19">
        <f>IF($A274="","",IF(COUNTIFS(請求記録!$B$6:$B$3005,$A274,請求記録!$Z$6:$Z$3005,R$5,請求記録!$AF$6:$AF$3005,"保留中")&gt;0,"保留",IF(COUNTIFS(請求記録!$B$6:$B$3005,$A274,請求記録!$Z$6:$Z$3005,R$5)=0,"",SUMIFS(請求記録!$AE$6:$AE$3005,請求記録!$B$6:$B$3005,$A274,請求記録!$Z$6:$Z$3005,R$5))))</f>
        <v/>
      </c>
      <c r="S274" s="19">
        <f>IF($A274="","",IF(COUNTIFS(請求記録!$B$6:$B$3005,$A274,請求記録!$Z$6:$Z$3005,S$5,請求記録!$AF$6:$AF$3005,"保留中")&gt;0,"保留",IF(COUNTIFS(請求記録!$B$6:$B$3005,$A274,請求記録!$Z$6:$Z$3005,S$5)=0,"",SUMIFS(請求記録!$AE$6:$AE$3005,請求記録!$B$6:$B$3005,$A274,請求記録!$Z$6:$Z$3005,S$5))))</f>
        <v/>
      </c>
      <c r="T274" s="19">
        <f>IF($A274="","",IF(COUNTIFS(請求記録!$B$6:$B$3005,$A274,請求記録!$Z$6:$Z$3005,T$5,請求記録!$AF$6:$AF$3005,"保留中")&gt;0,"保留",IF(COUNTIFS(請求記録!$B$6:$B$3005,$A274,請求記録!$Z$6:$Z$3005,T$5)=0,"",SUMIFS(請求記録!$AE$6:$AE$3005,請求記録!$B$6:$B$3005,$A274,請求記録!$Z$6:$Z$3005,T$5))))</f>
        <v/>
      </c>
      <c r="U274" s="19">
        <f>IF($A274="","",IF(COUNTIFS(請求記録!$B$6:$B$3005,$A274,請求記録!$Z$6:$Z$3005,U$5,請求記録!$AF$6:$AF$3005,"保留中")&gt;0,"保留",IF(COUNTIFS(請求記録!$B$6:$B$3005,$A274,請求記録!$Z$6:$Z$3005,U$5)=0,"",SUMIFS(請求記録!$AE$6:$AE$3005,請求記録!$B$6:$B$3005,$A274,請求記録!$Z$6:$Z$3005,U$5))))</f>
        <v/>
      </c>
      <c r="V274" s="19">
        <f>IF($A274="","",IF(COUNTIFS(請求記録!$B$6:$B$3005,$A274,請求記録!$Z$6:$Z$3005,V$5,請求記録!$AF$6:$AF$3005,"保留中")&gt;0,"保留",IF(COUNTIFS(請求記録!$B$6:$B$3005,$A274,請求記録!$Z$6:$Z$3005,V$5)=0,"",SUMIFS(請求記録!$AE$6:$AE$3005,請求記録!$B$6:$B$3005,$A274,請求記録!$Z$6:$Z$3005,V$5))))</f>
        <v/>
      </c>
      <c r="W274" s="19">
        <f>IF($A274="","",IF(COUNTIFS(請求記録!$B$6:$B$3005,$A274,請求記録!$Z$6:$Z$3005,W$5,請求記録!$AF$6:$AF$3005,"保留中")&gt;0,"保留",IF(COUNTIFS(請求記録!$B$6:$B$3005,$A274,請求記録!$Z$6:$Z$3005,W$5)=0,"",SUMIFS(請求記録!$AE$6:$AE$3005,請求記録!$B$6:$B$3005,$A274,請求記録!$Z$6:$Z$3005,W$5))))</f>
        <v/>
      </c>
      <c r="X274" s="19">
        <f>IF($A274="","",IF(COUNTIFS(請求記録!$B$6:$B$3005,$A274,請求記録!$Z$6:$Z$3005,X$5,請求記録!$AF$6:$AF$3005,"保留中")&gt;0,"保留",IF(COUNTIFS(請求記録!$B$6:$B$3005,$A274,請求記録!$Z$6:$Z$3005,X$5)=0,"",SUMIFS(請求記録!$AE$6:$AE$3005,請求記録!$B$6:$B$3005,$A274,請求記録!$Z$6:$Z$3005,X$5))))</f>
        <v/>
      </c>
      <c r="Y274" s="19">
        <f>IF($A274="","",IF(COUNTIFS(請求記録!$B$6:$B$3005,$A274,請求記録!$Z$6:$Z$3005,Y$5,請求記録!$AF$6:$AF$3005,"保留中")&gt;0,"保留",IF(COUNTIFS(請求記録!$B$6:$B$3005,$A274,請求記録!$Z$6:$Z$3005,Y$5)=0,"",SUMIFS(請求記録!$AE$6:$AE$3005,請求記録!$B$6:$B$3005,$A274,請求記録!$Z$6:$Z$3005,Y$5))))</f>
        <v/>
      </c>
      <c r="Z274" s="19">
        <f>IF($A274="","",IF(COUNTIFS(請求記録!$B$6:$B$3005,$A274,請求記録!$Z$6:$Z$3005,Z$5,請求記録!$AF$6:$AF$3005,"保留中")&gt;0,"保留",IF(COUNTIFS(請求記録!$B$6:$B$3005,$A274,請求記録!$Z$6:$Z$3005,Z$5)=0,"",SUMIFS(請求記録!$AE$6:$AE$3005,請求記録!$B$6:$B$3005,$A274,請求記録!$Z$6:$Z$3005,Z$5))))</f>
        <v/>
      </c>
      <c r="AA274" s="19">
        <f>IF($A274="","",IF(COUNTIFS(請求記録!$B$6:$B$3005,$A274,請求記録!$Z$6:$Z$3005,AA$5,請求記録!$AF$6:$AF$3005,"保留中")&gt;0,"保留",IF(COUNTIFS(請求記録!$B$6:$B$3005,$A274,請求記録!$Z$6:$Z$3005,AA$5)=0,"",SUMIFS(請求記録!$AE$6:$AE$3005,請求記録!$B$6:$B$3005,$A274,請求記録!$Z$6:$Z$3005,AA$5))))</f>
        <v/>
      </c>
      <c r="AB274">
        <f>IF(職員マスタ!P274="保留中",職員マスタ!M274,"")</f>
        <v/>
      </c>
    </row>
    <row r="275">
      <c r="A275">
        <f>IF(職員マスタ!A275="","",職員マスタ!A275)</f>
        <v/>
      </c>
      <c r="B275">
        <f>IF($A275="","",職員マスタ!B275)</f>
        <v/>
      </c>
      <c r="C275">
        <f>IF($A275="","",職員マスタ!C275)</f>
        <v/>
      </c>
      <c r="D275" s="19">
        <f>IF($A275="","",IF(COUNTIFS(請求記録!$B$6:$B$3005,$A275,請求記録!$Z$6:$Z$3005,D$5,請求記録!$AF$6:$AF$3005,"保留中")&gt;0,"保留",IF(COUNTIFS(請求記録!$B$6:$B$3005,$A275,請求記録!$Z$6:$Z$3005,D$5)=0,"",SUMIFS(請求記録!$AE$6:$AE$3005,請求記録!$B$6:$B$3005,$A275,請求記録!$Z$6:$Z$3005,D$5))))</f>
        <v/>
      </c>
      <c r="E275" s="19">
        <f>IF($A275="","",IF(COUNTIFS(請求記録!$B$6:$B$3005,$A275,請求記録!$Z$6:$Z$3005,E$5,請求記録!$AF$6:$AF$3005,"保留中")&gt;0,"保留",IF(COUNTIFS(請求記録!$B$6:$B$3005,$A275,請求記録!$Z$6:$Z$3005,E$5)=0,"",SUMIFS(請求記録!$AE$6:$AE$3005,請求記録!$B$6:$B$3005,$A275,請求記録!$Z$6:$Z$3005,E$5))))</f>
        <v/>
      </c>
      <c r="F275" s="19">
        <f>IF($A275="","",IF(COUNTIFS(請求記録!$B$6:$B$3005,$A275,請求記録!$Z$6:$Z$3005,F$5,請求記録!$AF$6:$AF$3005,"保留中")&gt;0,"保留",IF(COUNTIFS(請求記録!$B$6:$B$3005,$A275,請求記録!$Z$6:$Z$3005,F$5)=0,"",SUMIFS(請求記録!$AE$6:$AE$3005,請求記録!$B$6:$B$3005,$A275,請求記録!$Z$6:$Z$3005,F$5))))</f>
        <v/>
      </c>
      <c r="G275" s="19">
        <f>IF($A275="","",IF(COUNTIFS(請求記録!$B$6:$B$3005,$A275,請求記録!$Z$6:$Z$3005,G$5,請求記録!$AF$6:$AF$3005,"保留中")&gt;0,"保留",IF(COUNTIFS(請求記録!$B$6:$B$3005,$A275,請求記録!$Z$6:$Z$3005,G$5)=0,"",SUMIFS(請求記録!$AE$6:$AE$3005,請求記録!$B$6:$B$3005,$A275,請求記録!$Z$6:$Z$3005,G$5))))</f>
        <v/>
      </c>
      <c r="H275" s="19">
        <f>IF($A275="","",IF(COUNTIFS(請求記録!$B$6:$B$3005,$A275,請求記録!$Z$6:$Z$3005,H$5,請求記録!$AF$6:$AF$3005,"保留中")&gt;0,"保留",IF(COUNTIFS(請求記録!$B$6:$B$3005,$A275,請求記録!$Z$6:$Z$3005,H$5)=0,"",SUMIFS(請求記録!$AE$6:$AE$3005,請求記録!$B$6:$B$3005,$A275,請求記録!$Z$6:$Z$3005,H$5))))</f>
        <v/>
      </c>
      <c r="I275" s="19">
        <f>IF($A275="","",IF(COUNTIFS(請求記録!$B$6:$B$3005,$A275,請求記録!$Z$6:$Z$3005,I$5,請求記録!$AF$6:$AF$3005,"保留中")&gt;0,"保留",IF(COUNTIFS(請求記録!$B$6:$B$3005,$A275,請求記録!$Z$6:$Z$3005,I$5)=0,"",SUMIFS(請求記録!$AE$6:$AE$3005,請求記録!$B$6:$B$3005,$A275,請求記録!$Z$6:$Z$3005,I$5))))</f>
        <v/>
      </c>
      <c r="J275" s="19">
        <f>IF($A275="","",IF(COUNTIFS(請求記録!$B$6:$B$3005,$A275,請求記録!$Z$6:$Z$3005,J$5,請求記録!$AF$6:$AF$3005,"保留中")&gt;0,"保留",IF(COUNTIFS(請求記録!$B$6:$B$3005,$A275,請求記録!$Z$6:$Z$3005,J$5)=0,"",SUMIFS(請求記録!$AE$6:$AE$3005,請求記録!$B$6:$B$3005,$A275,請求記録!$Z$6:$Z$3005,J$5))))</f>
        <v/>
      </c>
      <c r="K275" s="19">
        <f>IF($A275="","",IF(COUNTIFS(請求記録!$B$6:$B$3005,$A275,請求記録!$Z$6:$Z$3005,K$5,請求記録!$AF$6:$AF$3005,"保留中")&gt;0,"保留",IF(COUNTIFS(請求記録!$B$6:$B$3005,$A275,請求記録!$Z$6:$Z$3005,K$5)=0,"",SUMIFS(請求記録!$AE$6:$AE$3005,請求記録!$B$6:$B$3005,$A275,請求記録!$Z$6:$Z$3005,K$5))))</f>
        <v/>
      </c>
      <c r="L275" s="19">
        <f>IF($A275="","",IF(COUNTIFS(請求記録!$B$6:$B$3005,$A275,請求記録!$Z$6:$Z$3005,L$5,請求記録!$AF$6:$AF$3005,"保留中")&gt;0,"保留",IF(COUNTIFS(請求記録!$B$6:$B$3005,$A275,請求記録!$Z$6:$Z$3005,L$5)=0,"",SUMIFS(請求記録!$AE$6:$AE$3005,請求記録!$B$6:$B$3005,$A275,請求記録!$Z$6:$Z$3005,L$5))))</f>
        <v/>
      </c>
      <c r="M275" s="19">
        <f>IF($A275="","",IF(COUNTIFS(請求記録!$B$6:$B$3005,$A275,請求記録!$Z$6:$Z$3005,M$5,請求記録!$AF$6:$AF$3005,"保留中")&gt;0,"保留",IF(COUNTIFS(請求記録!$B$6:$B$3005,$A275,請求記録!$Z$6:$Z$3005,M$5)=0,"",SUMIFS(請求記録!$AE$6:$AE$3005,請求記録!$B$6:$B$3005,$A275,請求記録!$Z$6:$Z$3005,M$5))))</f>
        <v/>
      </c>
      <c r="N275" s="19">
        <f>IF($A275="","",IF(COUNTIFS(請求記録!$B$6:$B$3005,$A275,請求記録!$Z$6:$Z$3005,N$5,請求記録!$AF$6:$AF$3005,"保留中")&gt;0,"保留",IF(COUNTIFS(請求記録!$B$6:$B$3005,$A275,請求記録!$Z$6:$Z$3005,N$5)=0,"",SUMIFS(請求記録!$AE$6:$AE$3005,請求記録!$B$6:$B$3005,$A275,請求記録!$Z$6:$Z$3005,N$5))))</f>
        <v/>
      </c>
      <c r="O275" s="19">
        <f>IF($A275="","",IF(COUNTIFS(請求記録!$B$6:$B$3005,$A275,請求記録!$Z$6:$Z$3005,O$5,請求記録!$AF$6:$AF$3005,"保留中")&gt;0,"保留",IF(COUNTIFS(請求記録!$B$6:$B$3005,$A275,請求記録!$Z$6:$Z$3005,O$5)=0,"",SUMIFS(請求記録!$AE$6:$AE$3005,請求記録!$B$6:$B$3005,$A275,請求記録!$Z$6:$Z$3005,O$5))))</f>
        <v/>
      </c>
      <c r="P275" s="19">
        <f>IF($A275="","",IF(COUNTIFS(請求記録!$B$6:$B$3005,$A275,請求記録!$Z$6:$Z$3005,P$5,請求記録!$AF$6:$AF$3005,"保留中")&gt;0,"保留",IF(COUNTIFS(請求記録!$B$6:$B$3005,$A275,請求記録!$Z$6:$Z$3005,P$5)=0,"",SUMIFS(請求記録!$AE$6:$AE$3005,請求記録!$B$6:$B$3005,$A275,請求記録!$Z$6:$Z$3005,P$5))))</f>
        <v/>
      </c>
      <c r="Q275" s="19">
        <f>IF($A275="","",IF(COUNTIFS(請求記録!$B$6:$B$3005,$A275,請求記録!$Z$6:$Z$3005,Q$5,請求記録!$AF$6:$AF$3005,"保留中")&gt;0,"保留",IF(COUNTIFS(請求記録!$B$6:$B$3005,$A275,請求記録!$Z$6:$Z$3005,Q$5)=0,"",SUMIFS(請求記録!$AE$6:$AE$3005,請求記録!$B$6:$B$3005,$A275,請求記録!$Z$6:$Z$3005,Q$5))))</f>
        <v/>
      </c>
      <c r="R275" s="19">
        <f>IF($A275="","",IF(COUNTIFS(請求記録!$B$6:$B$3005,$A275,請求記録!$Z$6:$Z$3005,R$5,請求記録!$AF$6:$AF$3005,"保留中")&gt;0,"保留",IF(COUNTIFS(請求記録!$B$6:$B$3005,$A275,請求記録!$Z$6:$Z$3005,R$5)=0,"",SUMIFS(請求記録!$AE$6:$AE$3005,請求記録!$B$6:$B$3005,$A275,請求記録!$Z$6:$Z$3005,R$5))))</f>
        <v/>
      </c>
      <c r="S275" s="19">
        <f>IF($A275="","",IF(COUNTIFS(請求記録!$B$6:$B$3005,$A275,請求記録!$Z$6:$Z$3005,S$5,請求記録!$AF$6:$AF$3005,"保留中")&gt;0,"保留",IF(COUNTIFS(請求記録!$B$6:$B$3005,$A275,請求記録!$Z$6:$Z$3005,S$5)=0,"",SUMIFS(請求記録!$AE$6:$AE$3005,請求記録!$B$6:$B$3005,$A275,請求記録!$Z$6:$Z$3005,S$5))))</f>
        <v/>
      </c>
      <c r="T275" s="19">
        <f>IF($A275="","",IF(COUNTIFS(請求記録!$B$6:$B$3005,$A275,請求記録!$Z$6:$Z$3005,T$5,請求記録!$AF$6:$AF$3005,"保留中")&gt;0,"保留",IF(COUNTIFS(請求記録!$B$6:$B$3005,$A275,請求記録!$Z$6:$Z$3005,T$5)=0,"",SUMIFS(請求記録!$AE$6:$AE$3005,請求記録!$B$6:$B$3005,$A275,請求記録!$Z$6:$Z$3005,T$5))))</f>
        <v/>
      </c>
      <c r="U275" s="19">
        <f>IF($A275="","",IF(COUNTIFS(請求記録!$B$6:$B$3005,$A275,請求記録!$Z$6:$Z$3005,U$5,請求記録!$AF$6:$AF$3005,"保留中")&gt;0,"保留",IF(COUNTIFS(請求記録!$B$6:$B$3005,$A275,請求記録!$Z$6:$Z$3005,U$5)=0,"",SUMIFS(請求記録!$AE$6:$AE$3005,請求記録!$B$6:$B$3005,$A275,請求記録!$Z$6:$Z$3005,U$5))))</f>
        <v/>
      </c>
      <c r="V275" s="19">
        <f>IF($A275="","",IF(COUNTIFS(請求記録!$B$6:$B$3005,$A275,請求記録!$Z$6:$Z$3005,V$5,請求記録!$AF$6:$AF$3005,"保留中")&gt;0,"保留",IF(COUNTIFS(請求記録!$B$6:$B$3005,$A275,請求記録!$Z$6:$Z$3005,V$5)=0,"",SUMIFS(請求記録!$AE$6:$AE$3005,請求記録!$B$6:$B$3005,$A275,請求記録!$Z$6:$Z$3005,V$5))))</f>
        <v/>
      </c>
      <c r="W275" s="19">
        <f>IF($A275="","",IF(COUNTIFS(請求記録!$B$6:$B$3005,$A275,請求記録!$Z$6:$Z$3005,W$5,請求記録!$AF$6:$AF$3005,"保留中")&gt;0,"保留",IF(COUNTIFS(請求記録!$B$6:$B$3005,$A275,請求記録!$Z$6:$Z$3005,W$5)=0,"",SUMIFS(請求記録!$AE$6:$AE$3005,請求記録!$B$6:$B$3005,$A275,請求記録!$Z$6:$Z$3005,W$5))))</f>
        <v/>
      </c>
      <c r="X275" s="19">
        <f>IF($A275="","",IF(COUNTIFS(請求記録!$B$6:$B$3005,$A275,請求記録!$Z$6:$Z$3005,X$5,請求記録!$AF$6:$AF$3005,"保留中")&gt;0,"保留",IF(COUNTIFS(請求記録!$B$6:$B$3005,$A275,請求記録!$Z$6:$Z$3005,X$5)=0,"",SUMIFS(請求記録!$AE$6:$AE$3005,請求記録!$B$6:$B$3005,$A275,請求記録!$Z$6:$Z$3005,X$5))))</f>
        <v/>
      </c>
      <c r="Y275" s="19">
        <f>IF($A275="","",IF(COUNTIFS(請求記録!$B$6:$B$3005,$A275,請求記録!$Z$6:$Z$3005,Y$5,請求記録!$AF$6:$AF$3005,"保留中")&gt;0,"保留",IF(COUNTIFS(請求記録!$B$6:$B$3005,$A275,請求記録!$Z$6:$Z$3005,Y$5)=0,"",SUMIFS(請求記録!$AE$6:$AE$3005,請求記録!$B$6:$B$3005,$A275,請求記録!$Z$6:$Z$3005,Y$5))))</f>
        <v/>
      </c>
      <c r="Z275" s="19">
        <f>IF($A275="","",IF(COUNTIFS(請求記録!$B$6:$B$3005,$A275,請求記録!$Z$6:$Z$3005,Z$5,請求記録!$AF$6:$AF$3005,"保留中")&gt;0,"保留",IF(COUNTIFS(請求記録!$B$6:$B$3005,$A275,請求記録!$Z$6:$Z$3005,Z$5)=0,"",SUMIFS(請求記録!$AE$6:$AE$3005,請求記録!$B$6:$B$3005,$A275,請求記録!$Z$6:$Z$3005,Z$5))))</f>
        <v/>
      </c>
      <c r="AA275" s="19">
        <f>IF($A275="","",IF(COUNTIFS(請求記録!$B$6:$B$3005,$A275,請求記録!$Z$6:$Z$3005,AA$5,請求記録!$AF$6:$AF$3005,"保留中")&gt;0,"保留",IF(COUNTIFS(請求記録!$B$6:$B$3005,$A275,請求記録!$Z$6:$Z$3005,AA$5)=0,"",SUMIFS(請求記録!$AE$6:$AE$3005,請求記録!$B$6:$B$3005,$A275,請求記録!$Z$6:$Z$3005,AA$5))))</f>
        <v/>
      </c>
      <c r="AB275">
        <f>IF(職員マスタ!P275="保留中",職員マスタ!M275,"")</f>
        <v/>
      </c>
    </row>
    <row r="276">
      <c r="A276">
        <f>IF(職員マスタ!A276="","",職員マスタ!A276)</f>
        <v/>
      </c>
      <c r="B276">
        <f>IF($A276="","",職員マスタ!B276)</f>
        <v/>
      </c>
      <c r="C276">
        <f>IF($A276="","",職員マスタ!C276)</f>
        <v/>
      </c>
      <c r="D276" s="19">
        <f>IF($A276="","",IF(COUNTIFS(請求記録!$B$6:$B$3005,$A276,請求記録!$Z$6:$Z$3005,D$5,請求記録!$AF$6:$AF$3005,"保留中")&gt;0,"保留",IF(COUNTIFS(請求記録!$B$6:$B$3005,$A276,請求記録!$Z$6:$Z$3005,D$5)=0,"",SUMIFS(請求記録!$AE$6:$AE$3005,請求記録!$B$6:$B$3005,$A276,請求記録!$Z$6:$Z$3005,D$5))))</f>
        <v/>
      </c>
      <c r="E276" s="19">
        <f>IF($A276="","",IF(COUNTIFS(請求記録!$B$6:$B$3005,$A276,請求記録!$Z$6:$Z$3005,E$5,請求記録!$AF$6:$AF$3005,"保留中")&gt;0,"保留",IF(COUNTIFS(請求記録!$B$6:$B$3005,$A276,請求記録!$Z$6:$Z$3005,E$5)=0,"",SUMIFS(請求記録!$AE$6:$AE$3005,請求記録!$B$6:$B$3005,$A276,請求記録!$Z$6:$Z$3005,E$5))))</f>
        <v/>
      </c>
      <c r="F276" s="19">
        <f>IF($A276="","",IF(COUNTIFS(請求記録!$B$6:$B$3005,$A276,請求記録!$Z$6:$Z$3005,F$5,請求記録!$AF$6:$AF$3005,"保留中")&gt;0,"保留",IF(COUNTIFS(請求記録!$B$6:$B$3005,$A276,請求記録!$Z$6:$Z$3005,F$5)=0,"",SUMIFS(請求記録!$AE$6:$AE$3005,請求記録!$B$6:$B$3005,$A276,請求記録!$Z$6:$Z$3005,F$5))))</f>
        <v/>
      </c>
      <c r="G276" s="19">
        <f>IF($A276="","",IF(COUNTIFS(請求記録!$B$6:$B$3005,$A276,請求記録!$Z$6:$Z$3005,G$5,請求記録!$AF$6:$AF$3005,"保留中")&gt;0,"保留",IF(COUNTIFS(請求記録!$B$6:$B$3005,$A276,請求記録!$Z$6:$Z$3005,G$5)=0,"",SUMIFS(請求記録!$AE$6:$AE$3005,請求記録!$B$6:$B$3005,$A276,請求記録!$Z$6:$Z$3005,G$5))))</f>
        <v/>
      </c>
      <c r="H276" s="19">
        <f>IF($A276="","",IF(COUNTIFS(請求記録!$B$6:$B$3005,$A276,請求記録!$Z$6:$Z$3005,H$5,請求記録!$AF$6:$AF$3005,"保留中")&gt;0,"保留",IF(COUNTIFS(請求記録!$B$6:$B$3005,$A276,請求記録!$Z$6:$Z$3005,H$5)=0,"",SUMIFS(請求記録!$AE$6:$AE$3005,請求記録!$B$6:$B$3005,$A276,請求記録!$Z$6:$Z$3005,H$5))))</f>
        <v/>
      </c>
      <c r="I276" s="19">
        <f>IF($A276="","",IF(COUNTIFS(請求記録!$B$6:$B$3005,$A276,請求記録!$Z$6:$Z$3005,I$5,請求記録!$AF$6:$AF$3005,"保留中")&gt;0,"保留",IF(COUNTIFS(請求記録!$B$6:$B$3005,$A276,請求記録!$Z$6:$Z$3005,I$5)=0,"",SUMIFS(請求記録!$AE$6:$AE$3005,請求記録!$B$6:$B$3005,$A276,請求記録!$Z$6:$Z$3005,I$5))))</f>
        <v/>
      </c>
      <c r="J276" s="19">
        <f>IF($A276="","",IF(COUNTIFS(請求記録!$B$6:$B$3005,$A276,請求記録!$Z$6:$Z$3005,J$5,請求記録!$AF$6:$AF$3005,"保留中")&gt;0,"保留",IF(COUNTIFS(請求記録!$B$6:$B$3005,$A276,請求記録!$Z$6:$Z$3005,J$5)=0,"",SUMIFS(請求記録!$AE$6:$AE$3005,請求記録!$B$6:$B$3005,$A276,請求記録!$Z$6:$Z$3005,J$5))))</f>
        <v/>
      </c>
      <c r="K276" s="19">
        <f>IF($A276="","",IF(COUNTIFS(請求記録!$B$6:$B$3005,$A276,請求記録!$Z$6:$Z$3005,K$5,請求記録!$AF$6:$AF$3005,"保留中")&gt;0,"保留",IF(COUNTIFS(請求記録!$B$6:$B$3005,$A276,請求記録!$Z$6:$Z$3005,K$5)=0,"",SUMIFS(請求記録!$AE$6:$AE$3005,請求記録!$B$6:$B$3005,$A276,請求記録!$Z$6:$Z$3005,K$5))))</f>
        <v/>
      </c>
      <c r="L276" s="19">
        <f>IF($A276="","",IF(COUNTIFS(請求記録!$B$6:$B$3005,$A276,請求記録!$Z$6:$Z$3005,L$5,請求記録!$AF$6:$AF$3005,"保留中")&gt;0,"保留",IF(COUNTIFS(請求記録!$B$6:$B$3005,$A276,請求記録!$Z$6:$Z$3005,L$5)=0,"",SUMIFS(請求記録!$AE$6:$AE$3005,請求記録!$B$6:$B$3005,$A276,請求記録!$Z$6:$Z$3005,L$5))))</f>
        <v/>
      </c>
      <c r="M276" s="19">
        <f>IF($A276="","",IF(COUNTIFS(請求記録!$B$6:$B$3005,$A276,請求記録!$Z$6:$Z$3005,M$5,請求記録!$AF$6:$AF$3005,"保留中")&gt;0,"保留",IF(COUNTIFS(請求記録!$B$6:$B$3005,$A276,請求記録!$Z$6:$Z$3005,M$5)=0,"",SUMIFS(請求記録!$AE$6:$AE$3005,請求記録!$B$6:$B$3005,$A276,請求記録!$Z$6:$Z$3005,M$5))))</f>
        <v/>
      </c>
      <c r="N276" s="19">
        <f>IF($A276="","",IF(COUNTIFS(請求記録!$B$6:$B$3005,$A276,請求記録!$Z$6:$Z$3005,N$5,請求記録!$AF$6:$AF$3005,"保留中")&gt;0,"保留",IF(COUNTIFS(請求記録!$B$6:$B$3005,$A276,請求記録!$Z$6:$Z$3005,N$5)=0,"",SUMIFS(請求記録!$AE$6:$AE$3005,請求記録!$B$6:$B$3005,$A276,請求記録!$Z$6:$Z$3005,N$5))))</f>
        <v/>
      </c>
      <c r="O276" s="19">
        <f>IF($A276="","",IF(COUNTIFS(請求記録!$B$6:$B$3005,$A276,請求記録!$Z$6:$Z$3005,O$5,請求記録!$AF$6:$AF$3005,"保留中")&gt;0,"保留",IF(COUNTIFS(請求記録!$B$6:$B$3005,$A276,請求記録!$Z$6:$Z$3005,O$5)=0,"",SUMIFS(請求記録!$AE$6:$AE$3005,請求記録!$B$6:$B$3005,$A276,請求記録!$Z$6:$Z$3005,O$5))))</f>
        <v/>
      </c>
      <c r="P276" s="19">
        <f>IF($A276="","",IF(COUNTIFS(請求記録!$B$6:$B$3005,$A276,請求記録!$Z$6:$Z$3005,P$5,請求記録!$AF$6:$AF$3005,"保留中")&gt;0,"保留",IF(COUNTIFS(請求記録!$B$6:$B$3005,$A276,請求記録!$Z$6:$Z$3005,P$5)=0,"",SUMIFS(請求記録!$AE$6:$AE$3005,請求記録!$B$6:$B$3005,$A276,請求記録!$Z$6:$Z$3005,P$5))))</f>
        <v/>
      </c>
      <c r="Q276" s="19">
        <f>IF($A276="","",IF(COUNTIFS(請求記録!$B$6:$B$3005,$A276,請求記録!$Z$6:$Z$3005,Q$5,請求記録!$AF$6:$AF$3005,"保留中")&gt;0,"保留",IF(COUNTIFS(請求記録!$B$6:$B$3005,$A276,請求記録!$Z$6:$Z$3005,Q$5)=0,"",SUMIFS(請求記録!$AE$6:$AE$3005,請求記録!$B$6:$B$3005,$A276,請求記録!$Z$6:$Z$3005,Q$5))))</f>
        <v/>
      </c>
      <c r="R276" s="19">
        <f>IF($A276="","",IF(COUNTIFS(請求記録!$B$6:$B$3005,$A276,請求記録!$Z$6:$Z$3005,R$5,請求記録!$AF$6:$AF$3005,"保留中")&gt;0,"保留",IF(COUNTIFS(請求記録!$B$6:$B$3005,$A276,請求記録!$Z$6:$Z$3005,R$5)=0,"",SUMIFS(請求記録!$AE$6:$AE$3005,請求記録!$B$6:$B$3005,$A276,請求記録!$Z$6:$Z$3005,R$5))))</f>
        <v/>
      </c>
      <c r="S276" s="19">
        <f>IF($A276="","",IF(COUNTIFS(請求記録!$B$6:$B$3005,$A276,請求記録!$Z$6:$Z$3005,S$5,請求記録!$AF$6:$AF$3005,"保留中")&gt;0,"保留",IF(COUNTIFS(請求記録!$B$6:$B$3005,$A276,請求記録!$Z$6:$Z$3005,S$5)=0,"",SUMIFS(請求記録!$AE$6:$AE$3005,請求記録!$B$6:$B$3005,$A276,請求記録!$Z$6:$Z$3005,S$5))))</f>
        <v/>
      </c>
      <c r="T276" s="19">
        <f>IF($A276="","",IF(COUNTIFS(請求記録!$B$6:$B$3005,$A276,請求記録!$Z$6:$Z$3005,T$5,請求記録!$AF$6:$AF$3005,"保留中")&gt;0,"保留",IF(COUNTIFS(請求記録!$B$6:$B$3005,$A276,請求記録!$Z$6:$Z$3005,T$5)=0,"",SUMIFS(請求記録!$AE$6:$AE$3005,請求記録!$B$6:$B$3005,$A276,請求記録!$Z$6:$Z$3005,T$5))))</f>
        <v/>
      </c>
      <c r="U276" s="19">
        <f>IF($A276="","",IF(COUNTIFS(請求記録!$B$6:$B$3005,$A276,請求記録!$Z$6:$Z$3005,U$5,請求記録!$AF$6:$AF$3005,"保留中")&gt;0,"保留",IF(COUNTIFS(請求記録!$B$6:$B$3005,$A276,請求記録!$Z$6:$Z$3005,U$5)=0,"",SUMIFS(請求記録!$AE$6:$AE$3005,請求記録!$B$6:$B$3005,$A276,請求記録!$Z$6:$Z$3005,U$5))))</f>
        <v/>
      </c>
      <c r="V276" s="19">
        <f>IF($A276="","",IF(COUNTIFS(請求記録!$B$6:$B$3005,$A276,請求記録!$Z$6:$Z$3005,V$5,請求記録!$AF$6:$AF$3005,"保留中")&gt;0,"保留",IF(COUNTIFS(請求記録!$B$6:$B$3005,$A276,請求記録!$Z$6:$Z$3005,V$5)=0,"",SUMIFS(請求記録!$AE$6:$AE$3005,請求記録!$B$6:$B$3005,$A276,請求記録!$Z$6:$Z$3005,V$5))))</f>
        <v/>
      </c>
      <c r="W276" s="19">
        <f>IF($A276="","",IF(COUNTIFS(請求記録!$B$6:$B$3005,$A276,請求記録!$Z$6:$Z$3005,W$5,請求記録!$AF$6:$AF$3005,"保留中")&gt;0,"保留",IF(COUNTIFS(請求記録!$B$6:$B$3005,$A276,請求記録!$Z$6:$Z$3005,W$5)=0,"",SUMIFS(請求記録!$AE$6:$AE$3005,請求記録!$B$6:$B$3005,$A276,請求記録!$Z$6:$Z$3005,W$5))))</f>
        <v/>
      </c>
      <c r="X276" s="19">
        <f>IF($A276="","",IF(COUNTIFS(請求記録!$B$6:$B$3005,$A276,請求記録!$Z$6:$Z$3005,X$5,請求記録!$AF$6:$AF$3005,"保留中")&gt;0,"保留",IF(COUNTIFS(請求記録!$B$6:$B$3005,$A276,請求記録!$Z$6:$Z$3005,X$5)=0,"",SUMIFS(請求記録!$AE$6:$AE$3005,請求記録!$B$6:$B$3005,$A276,請求記録!$Z$6:$Z$3005,X$5))))</f>
        <v/>
      </c>
      <c r="Y276" s="19">
        <f>IF($A276="","",IF(COUNTIFS(請求記録!$B$6:$B$3005,$A276,請求記録!$Z$6:$Z$3005,Y$5,請求記録!$AF$6:$AF$3005,"保留中")&gt;0,"保留",IF(COUNTIFS(請求記録!$B$6:$B$3005,$A276,請求記録!$Z$6:$Z$3005,Y$5)=0,"",SUMIFS(請求記録!$AE$6:$AE$3005,請求記録!$B$6:$B$3005,$A276,請求記録!$Z$6:$Z$3005,Y$5))))</f>
        <v/>
      </c>
      <c r="Z276" s="19">
        <f>IF($A276="","",IF(COUNTIFS(請求記録!$B$6:$B$3005,$A276,請求記録!$Z$6:$Z$3005,Z$5,請求記録!$AF$6:$AF$3005,"保留中")&gt;0,"保留",IF(COUNTIFS(請求記録!$B$6:$B$3005,$A276,請求記録!$Z$6:$Z$3005,Z$5)=0,"",SUMIFS(請求記録!$AE$6:$AE$3005,請求記録!$B$6:$B$3005,$A276,請求記録!$Z$6:$Z$3005,Z$5))))</f>
        <v/>
      </c>
      <c r="AA276" s="19">
        <f>IF($A276="","",IF(COUNTIFS(請求記録!$B$6:$B$3005,$A276,請求記録!$Z$6:$Z$3005,AA$5,請求記録!$AF$6:$AF$3005,"保留中")&gt;0,"保留",IF(COUNTIFS(請求記録!$B$6:$B$3005,$A276,請求記録!$Z$6:$Z$3005,AA$5)=0,"",SUMIFS(請求記録!$AE$6:$AE$3005,請求記録!$B$6:$B$3005,$A276,請求記録!$Z$6:$Z$3005,AA$5))))</f>
        <v/>
      </c>
      <c r="AB276">
        <f>IF(職員マスタ!P276="保留中",職員マスタ!M276,"")</f>
        <v/>
      </c>
    </row>
    <row r="277">
      <c r="A277">
        <f>IF(職員マスタ!A277="","",職員マスタ!A277)</f>
        <v/>
      </c>
      <c r="B277">
        <f>IF($A277="","",職員マスタ!B277)</f>
        <v/>
      </c>
      <c r="C277">
        <f>IF($A277="","",職員マスタ!C277)</f>
        <v/>
      </c>
      <c r="D277" s="19">
        <f>IF($A277="","",IF(COUNTIFS(請求記録!$B$6:$B$3005,$A277,請求記録!$Z$6:$Z$3005,D$5,請求記録!$AF$6:$AF$3005,"保留中")&gt;0,"保留",IF(COUNTIFS(請求記録!$B$6:$B$3005,$A277,請求記録!$Z$6:$Z$3005,D$5)=0,"",SUMIFS(請求記録!$AE$6:$AE$3005,請求記録!$B$6:$B$3005,$A277,請求記録!$Z$6:$Z$3005,D$5))))</f>
        <v/>
      </c>
      <c r="E277" s="19">
        <f>IF($A277="","",IF(COUNTIFS(請求記録!$B$6:$B$3005,$A277,請求記録!$Z$6:$Z$3005,E$5,請求記録!$AF$6:$AF$3005,"保留中")&gt;0,"保留",IF(COUNTIFS(請求記録!$B$6:$B$3005,$A277,請求記録!$Z$6:$Z$3005,E$5)=0,"",SUMIFS(請求記録!$AE$6:$AE$3005,請求記録!$B$6:$B$3005,$A277,請求記録!$Z$6:$Z$3005,E$5))))</f>
        <v/>
      </c>
      <c r="F277" s="19">
        <f>IF($A277="","",IF(COUNTIFS(請求記録!$B$6:$B$3005,$A277,請求記録!$Z$6:$Z$3005,F$5,請求記録!$AF$6:$AF$3005,"保留中")&gt;0,"保留",IF(COUNTIFS(請求記録!$B$6:$B$3005,$A277,請求記録!$Z$6:$Z$3005,F$5)=0,"",SUMIFS(請求記録!$AE$6:$AE$3005,請求記録!$B$6:$B$3005,$A277,請求記録!$Z$6:$Z$3005,F$5))))</f>
        <v/>
      </c>
      <c r="G277" s="19">
        <f>IF($A277="","",IF(COUNTIFS(請求記録!$B$6:$B$3005,$A277,請求記録!$Z$6:$Z$3005,G$5,請求記録!$AF$6:$AF$3005,"保留中")&gt;0,"保留",IF(COUNTIFS(請求記録!$B$6:$B$3005,$A277,請求記録!$Z$6:$Z$3005,G$5)=0,"",SUMIFS(請求記録!$AE$6:$AE$3005,請求記録!$B$6:$B$3005,$A277,請求記録!$Z$6:$Z$3005,G$5))))</f>
        <v/>
      </c>
      <c r="H277" s="19">
        <f>IF($A277="","",IF(COUNTIFS(請求記録!$B$6:$B$3005,$A277,請求記録!$Z$6:$Z$3005,H$5,請求記録!$AF$6:$AF$3005,"保留中")&gt;0,"保留",IF(COUNTIFS(請求記録!$B$6:$B$3005,$A277,請求記録!$Z$6:$Z$3005,H$5)=0,"",SUMIFS(請求記録!$AE$6:$AE$3005,請求記録!$B$6:$B$3005,$A277,請求記録!$Z$6:$Z$3005,H$5))))</f>
        <v/>
      </c>
      <c r="I277" s="19">
        <f>IF($A277="","",IF(COUNTIFS(請求記録!$B$6:$B$3005,$A277,請求記録!$Z$6:$Z$3005,I$5,請求記録!$AF$6:$AF$3005,"保留中")&gt;0,"保留",IF(COUNTIFS(請求記録!$B$6:$B$3005,$A277,請求記録!$Z$6:$Z$3005,I$5)=0,"",SUMIFS(請求記録!$AE$6:$AE$3005,請求記録!$B$6:$B$3005,$A277,請求記録!$Z$6:$Z$3005,I$5))))</f>
        <v/>
      </c>
      <c r="J277" s="19">
        <f>IF($A277="","",IF(COUNTIFS(請求記録!$B$6:$B$3005,$A277,請求記録!$Z$6:$Z$3005,J$5,請求記録!$AF$6:$AF$3005,"保留中")&gt;0,"保留",IF(COUNTIFS(請求記録!$B$6:$B$3005,$A277,請求記録!$Z$6:$Z$3005,J$5)=0,"",SUMIFS(請求記録!$AE$6:$AE$3005,請求記録!$B$6:$B$3005,$A277,請求記録!$Z$6:$Z$3005,J$5))))</f>
        <v/>
      </c>
      <c r="K277" s="19">
        <f>IF($A277="","",IF(COUNTIFS(請求記録!$B$6:$B$3005,$A277,請求記録!$Z$6:$Z$3005,K$5,請求記録!$AF$6:$AF$3005,"保留中")&gt;0,"保留",IF(COUNTIFS(請求記録!$B$6:$B$3005,$A277,請求記録!$Z$6:$Z$3005,K$5)=0,"",SUMIFS(請求記録!$AE$6:$AE$3005,請求記録!$B$6:$B$3005,$A277,請求記録!$Z$6:$Z$3005,K$5))))</f>
        <v/>
      </c>
      <c r="L277" s="19">
        <f>IF($A277="","",IF(COUNTIFS(請求記録!$B$6:$B$3005,$A277,請求記録!$Z$6:$Z$3005,L$5,請求記録!$AF$6:$AF$3005,"保留中")&gt;0,"保留",IF(COUNTIFS(請求記録!$B$6:$B$3005,$A277,請求記録!$Z$6:$Z$3005,L$5)=0,"",SUMIFS(請求記録!$AE$6:$AE$3005,請求記録!$B$6:$B$3005,$A277,請求記録!$Z$6:$Z$3005,L$5))))</f>
        <v/>
      </c>
      <c r="M277" s="19">
        <f>IF($A277="","",IF(COUNTIFS(請求記録!$B$6:$B$3005,$A277,請求記録!$Z$6:$Z$3005,M$5,請求記録!$AF$6:$AF$3005,"保留中")&gt;0,"保留",IF(COUNTIFS(請求記録!$B$6:$B$3005,$A277,請求記録!$Z$6:$Z$3005,M$5)=0,"",SUMIFS(請求記録!$AE$6:$AE$3005,請求記録!$B$6:$B$3005,$A277,請求記録!$Z$6:$Z$3005,M$5))))</f>
        <v/>
      </c>
      <c r="N277" s="19">
        <f>IF($A277="","",IF(COUNTIFS(請求記録!$B$6:$B$3005,$A277,請求記録!$Z$6:$Z$3005,N$5,請求記録!$AF$6:$AF$3005,"保留中")&gt;0,"保留",IF(COUNTIFS(請求記録!$B$6:$B$3005,$A277,請求記録!$Z$6:$Z$3005,N$5)=0,"",SUMIFS(請求記録!$AE$6:$AE$3005,請求記録!$B$6:$B$3005,$A277,請求記録!$Z$6:$Z$3005,N$5))))</f>
        <v/>
      </c>
      <c r="O277" s="19">
        <f>IF($A277="","",IF(COUNTIFS(請求記録!$B$6:$B$3005,$A277,請求記録!$Z$6:$Z$3005,O$5,請求記録!$AF$6:$AF$3005,"保留中")&gt;0,"保留",IF(COUNTIFS(請求記録!$B$6:$B$3005,$A277,請求記録!$Z$6:$Z$3005,O$5)=0,"",SUMIFS(請求記録!$AE$6:$AE$3005,請求記録!$B$6:$B$3005,$A277,請求記録!$Z$6:$Z$3005,O$5))))</f>
        <v/>
      </c>
      <c r="P277" s="19">
        <f>IF($A277="","",IF(COUNTIFS(請求記録!$B$6:$B$3005,$A277,請求記録!$Z$6:$Z$3005,P$5,請求記録!$AF$6:$AF$3005,"保留中")&gt;0,"保留",IF(COUNTIFS(請求記録!$B$6:$B$3005,$A277,請求記録!$Z$6:$Z$3005,P$5)=0,"",SUMIFS(請求記録!$AE$6:$AE$3005,請求記録!$B$6:$B$3005,$A277,請求記録!$Z$6:$Z$3005,P$5))))</f>
        <v/>
      </c>
      <c r="Q277" s="19">
        <f>IF($A277="","",IF(COUNTIFS(請求記録!$B$6:$B$3005,$A277,請求記録!$Z$6:$Z$3005,Q$5,請求記録!$AF$6:$AF$3005,"保留中")&gt;0,"保留",IF(COUNTIFS(請求記録!$B$6:$B$3005,$A277,請求記録!$Z$6:$Z$3005,Q$5)=0,"",SUMIFS(請求記録!$AE$6:$AE$3005,請求記録!$B$6:$B$3005,$A277,請求記録!$Z$6:$Z$3005,Q$5))))</f>
        <v/>
      </c>
      <c r="R277" s="19">
        <f>IF($A277="","",IF(COUNTIFS(請求記録!$B$6:$B$3005,$A277,請求記録!$Z$6:$Z$3005,R$5,請求記録!$AF$6:$AF$3005,"保留中")&gt;0,"保留",IF(COUNTIFS(請求記録!$B$6:$B$3005,$A277,請求記録!$Z$6:$Z$3005,R$5)=0,"",SUMIFS(請求記録!$AE$6:$AE$3005,請求記録!$B$6:$B$3005,$A277,請求記録!$Z$6:$Z$3005,R$5))))</f>
        <v/>
      </c>
      <c r="S277" s="19">
        <f>IF($A277="","",IF(COUNTIFS(請求記録!$B$6:$B$3005,$A277,請求記録!$Z$6:$Z$3005,S$5,請求記録!$AF$6:$AF$3005,"保留中")&gt;0,"保留",IF(COUNTIFS(請求記録!$B$6:$B$3005,$A277,請求記録!$Z$6:$Z$3005,S$5)=0,"",SUMIFS(請求記録!$AE$6:$AE$3005,請求記録!$B$6:$B$3005,$A277,請求記録!$Z$6:$Z$3005,S$5))))</f>
        <v/>
      </c>
      <c r="T277" s="19">
        <f>IF($A277="","",IF(COUNTIFS(請求記録!$B$6:$B$3005,$A277,請求記録!$Z$6:$Z$3005,T$5,請求記録!$AF$6:$AF$3005,"保留中")&gt;0,"保留",IF(COUNTIFS(請求記録!$B$6:$B$3005,$A277,請求記録!$Z$6:$Z$3005,T$5)=0,"",SUMIFS(請求記録!$AE$6:$AE$3005,請求記録!$B$6:$B$3005,$A277,請求記録!$Z$6:$Z$3005,T$5))))</f>
        <v/>
      </c>
      <c r="U277" s="19">
        <f>IF($A277="","",IF(COUNTIFS(請求記録!$B$6:$B$3005,$A277,請求記録!$Z$6:$Z$3005,U$5,請求記録!$AF$6:$AF$3005,"保留中")&gt;0,"保留",IF(COUNTIFS(請求記録!$B$6:$B$3005,$A277,請求記録!$Z$6:$Z$3005,U$5)=0,"",SUMIFS(請求記録!$AE$6:$AE$3005,請求記録!$B$6:$B$3005,$A277,請求記録!$Z$6:$Z$3005,U$5))))</f>
        <v/>
      </c>
      <c r="V277" s="19">
        <f>IF($A277="","",IF(COUNTIFS(請求記録!$B$6:$B$3005,$A277,請求記録!$Z$6:$Z$3005,V$5,請求記録!$AF$6:$AF$3005,"保留中")&gt;0,"保留",IF(COUNTIFS(請求記録!$B$6:$B$3005,$A277,請求記録!$Z$6:$Z$3005,V$5)=0,"",SUMIFS(請求記録!$AE$6:$AE$3005,請求記録!$B$6:$B$3005,$A277,請求記録!$Z$6:$Z$3005,V$5))))</f>
        <v/>
      </c>
      <c r="W277" s="19">
        <f>IF($A277="","",IF(COUNTIFS(請求記録!$B$6:$B$3005,$A277,請求記録!$Z$6:$Z$3005,W$5,請求記録!$AF$6:$AF$3005,"保留中")&gt;0,"保留",IF(COUNTIFS(請求記録!$B$6:$B$3005,$A277,請求記録!$Z$6:$Z$3005,W$5)=0,"",SUMIFS(請求記録!$AE$6:$AE$3005,請求記録!$B$6:$B$3005,$A277,請求記録!$Z$6:$Z$3005,W$5))))</f>
        <v/>
      </c>
      <c r="X277" s="19">
        <f>IF($A277="","",IF(COUNTIFS(請求記録!$B$6:$B$3005,$A277,請求記録!$Z$6:$Z$3005,X$5,請求記録!$AF$6:$AF$3005,"保留中")&gt;0,"保留",IF(COUNTIFS(請求記録!$B$6:$B$3005,$A277,請求記録!$Z$6:$Z$3005,X$5)=0,"",SUMIFS(請求記録!$AE$6:$AE$3005,請求記録!$B$6:$B$3005,$A277,請求記録!$Z$6:$Z$3005,X$5))))</f>
        <v/>
      </c>
      <c r="Y277" s="19">
        <f>IF($A277="","",IF(COUNTIFS(請求記録!$B$6:$B$3005,$A277,請求記録!$Z$6:$Z$3005,Y$5,請求記録!$AF$6:$AF$3005,"保留中")&gt;0,"保留",IF(COUNTIFS(請求記録!$B$6:$B$3005,$A277,請求記録!$Z$6:$Z$3005,Y$5)=0,"",SUMIFS(請求記録!$AE$6:$AE$3005,請求記録!$B$6:$B$3005,$A277,請求記録!$Z$6:$Z$3005,Y$5))))</f>
        <v/>
      </c>
      <c r="Z277" s="19">
        <f>IF($A277="","",IF(COUNTIFS(請求記録!$B$6:$B$3005,$A277,請求記録!$Z$6:$Z$3005,Z$5,請求記録!$AF$6:$AF$3005,"保留中")&gt;0,"保留",IF(COUNTIFS(請求記録!$B$6:$B$3005,$A277,請求記録!$Z$6:$Z$3005,Z$5)=0,"",SUMIFS(請求記録!$AE$6:$AE$3005,請求記録!$B$6:$B$3005,$A277,請求記録!$Z$6:$Z$3005,Z$5))))</f>
        <v/>
      </c>
      <c r="AA277" s="19">
        <f>IF($A277="","",IF(COUNTIFS(請求記録!$B$6:$B$3005,$A277,請求記録!$Z$6:$Z$3005,AA$5,請求記録!$AF$6:$AF$3005,"保留中")&gt;0,"保留",IF(COUNTIFS(請求記録!$B$6:$B$3005,$A277,請求記録!$Z$6:$Z$3005,AA$5)=0,"",SUMIFS(請求記録!$AE$6:$AE$3005,請求記録!$B$6:$B$3005,$A277,請求記録!$Z$6:$Z$3005,AA$5))))</f>
        <v/>
      </c>
      <c r="AB277">
        <f>IF(職員マスタ!P277="保留中",職員マスタ!M277,"")</f>
        <v/>
      </c>
    </row>
    <row r="278">
      <c r="A278">
        <f>IF(職員マスタ!A278="","",職員マスタ!A278)</f>
        <v/>
      </c>
      <c r="B278">
        <f>IF($A278="","",職員マスタ!B278)</f>
        <v/>
      </c>
      <c r="C278">
        <f>IF($A278="","",職員マスタ!C278)</f>
        <v/>
      </c>
      <c r="D278" s="19">
        <f>IF($A278="","",IF(COUNTIFS(請求記録!$B$6:$B$3005,$A278,請求記録!$Z$6:$Z$3005,D$5,請求記録!$AF$6:$AF$3005,"保留中")&gt;0,"保留",IF(COUNTIFS(請求記録!$B$6:$B$3005,$A278,請求記録!$Z$6:$Z$3005,D$5)=0,"",SUMIFS(請求記録!$AE$6:$AE$3005,請求記録!$B$6:$B$3005,$A278,請求記録!$Z$6:$Z$3005,D$5))))</f>
        <v/>
      </c>
      <c r="E278" s="19">
        <f>IF($A278="","",IF(COUNTIFS(請求記録!$B$6:$B$3005,$A278,請求記録!$Z$6:$Z$3005,E$5,請求記録!$AF$6:$AF$3005,"保留中")&gt;0,"保留",IF(COUNTIFS(請求記録!$B$6:$B$3005,$A278,請求記録!$Z$6:$Z$3005,E$5)=0,"",SUMIFS(請求記録!$AE$6:$AE$3005,請求記録!$B$6:$B$3005,$A278,請求記録!$Z$6:$Z$3005,E$5))))</f>
        <v/>
      </c>
      <c r="F278" s="19">
        <f>IF($A278="","",IF(COUNTIFS(請求記録!$B$6:$B$3005,$A278,請求記録!$Z$6:$Z$3005,F$5,請求記録!$AF$6:$AF$3005,"保留中")&gt;0,"保留",IF(COUNTIFS(請求記録!$B$6:$B$3005,$A278,請求記録!$Z$6:$Z$3005,F$5)=0,"",SUMIFS(請求記録!$AE$6:$AE$3005,請求記録!$B$6:$B$3005,$A278,請求記録!$Z$6:$Z$3005,F$5))))</f>
        <v/>
      </c>
      <c r="G278" s="19">
        <f>IF($A278="","",IF(COUNTIFS(請求記録!$B$6:$B$3005,$A278,請求記録!$Z$6:$Z$3005,G$5,請求記録!$AF$6:$AF$3005,"保留中")&gt;0,"保留",IF(COUNTIFS(請求記録!$B$6:$B$3005,$A278,請求記録!$Z$6:$Z$3005,G$5)=0,"",SUMIFS(請求記録!$AE$6:$AE$3005,請求記録!$B$6:$B$3005,$A278,請求記録!$Z$6:$Z$3005,G$5))))</f>
        <v/>
      </c>
      <c r="H278" s="19">
        <f>IF($A278="","",IF(COUNTIFS(請求記録!$B$6:$B$3005,$A278,請求記録!$Z$6:$Z$3005,H$5,請求記録!$AF$6:$AF$3005,"保留中")&gt;0,"保留",IF(COUNTIFS(請求記録!$B$6:$B$3005,$A278,請求記録!$Z$6:$Z$3005,H$5)=0,"",SUMIFS(請求記録!$AE$6:$AE$3005,請求記録!$B$6:$B$3005,$A278,請求記録!$Z$6:$Z$3005,H$5))))</f>
        <v/>
      </c>
      <c r="I278" s="19">
        <f>IF($A278="","",IF(COUNTIFS(請求記録!$B$6:$B$3005,$A278,請求記録!$Z$6:$Z$3005,I$5,請求記録!$AF$6:$AF$3005,"保留中")&gt;0,"保留",IF(COUNTIFS(請求記録!$B$6:$B$3005,$A278,請求記録!$Z$6:$Z$3005,I$5)=0,"",SUMIFS(請求記録!$AE$6:$AE$3005,請求記録!$B$6:$B$3005,$A278,請求記録!$Z$6:$Z$3005,I$5))))</f>
        <v/>
      </c>
      <c r="J278" s="19">
        <f>IF($A278="","",IF(COUNTIFS(請求記録!$B$6:$B$3005,$A278,請求記録!$Z$6:$Z$3005,J$5,請求記録!$AF$6:$AF$3005,"保留中")&gt;0,"保留",IF(COUNTIFS(請求記録!$B$6:$B$3005,$A278,請求記録!$Z$6:$Z$3005,J$5)=0,"",SUMIFS(請求記録!$AE$6:$AE$3005,請求記録!$B$6:$B$3005,$A278,請求記録!$Z$6:$Z$3005,J$5))))</f>
        <v/>
      </c>
      <c r="K278" s="19">
        <f>IF($A278="","",IF(COUNTIFS(請求記録!$B$6:$B$3005,$A278,請求記録!$Z$6:$Z$3005,K$5,請求記録!$AF$6:$AF$3005,"保留中")&gt;0,"保留",IF(COUNTIFS(請求記録!$B$6:$B$3005,$A278,請求記録!$Z$6:$Z$3005,K$5)=0,"",SUMIFS(請求記録!$AE$6:$AE$3005,請求記録!$B$6:$B$3005,$A278,請求記録!$Z$6:$Z$3005,K$5))))</f>
        <v/>
      </c>
      <c r="L278" s="19">
        <f>IF($A278="","",IF(COUNTIFS(請求記録!$B$6:$B$3005,$A278,請求記録!$Z$6:$Z$3005,L$5,請求記録!$AF$6:$AF$3005,"保留中")&gt;0,"保留",IF(COUNTIFS(請求記録!$B$6:$B$3005,$A278,請求記録!$Z$6:$Z$3005,L$5)=0,"",SUMIFS(請求記録!$AE$6:$AE$3005,請求記録!$B$6:$B$3005,$A278,請求記録!$Z$6:$Z$3005,L$5))))</f>
        <v/>
      </c>
      <c r="M278" s="19">
        <f>IF($A278="","",IF(COUNTIFS(請求記録!$B$6:$B$3005,$A278,請求記録!$Z$6:$Z$3005,M$5,請求記録!$AF$6:$AF$3005,"保留中")&gt;0,"保留",IF(COUNTIFS(請求記録!$B$6:$B$3005,$A278,請求記録!$Z$6:$Z$3005,M$5)=0,"",SUMIFS(請求記録!$AE$6:$AE$3005,請求記録!$B$6:$B$3005,$A278,請求記録!$Z$6:$Z$3005,M$5))))</f>
        <v/>
      </c>
      <c r="N278" s="19">
        <f>IF($A278="","",IF(COUNTIFS(請求記録!$B$6:$B$3005,$A278,請求記録!$Z$6:$Z$3005,N$5,請求記録!$AF$6:$AF$3005,"保留中")&gt;0,"保留",IF(COUNTIFS(請求記録!$B$6:$B$3005,$A278,請求記録!$Z$6:$Z$3005,N$5)=0,"",SUMIFS(請求記録!$AE$6:$AE$3005,請求記録!$B$6:$B$3005,$A278,請求記録!$Z$6:$Z$3005,N$5))))</f>
        <v/>
      </c>
      <c r="O278" s="19">
        <f>IF($A278="","",IF(COUNTIFS(請求記録!$B$6:$B$3005,$A278,請求記録!$Z$6:$Z$3005,O$5,請求記録!$AF$6:$AF$3005,"保留中")&gt;0,"保留",IF(COUNTIFS(請求記録!$B$6:$B$3005,$A278,請求記録!$Z$6:$Z$3005,O$5)=0,"",SUMIFS(請求記録!$AE$6:$AE$3005,請求記録!$B$6:$B$3005,$A278,請求記録!$Z$6:$Z$3005,O$5))))</f>
        <v/>
      </c>
      <c r="P278" s="19">
        <f>IF($A278="","",IF(COUNTIFS(請求記録!$B$6:$B$3005,$A278,請求記録!$Z$6:$Z$3005,P$5,請求記録!$AF$6:$AF$3005,"保留中")&gt;0,"保留",IF(COUNTIFS(請求記録!$B$6:$B$3005,$A278,請求記録!$Z$6:$Z$3005,P$5)=0,"",SUMIFS(請求記録!$AE$6:$AE$3005,請求記録!$B$6:$B$3005,$A278,請求記録!$Z$6:$Z$3005,P$5))))</f>
        <v/>
      </c>
      <c r="Q278" s="19">
        <f>IF($A278="","",IF(COUNTIFS(請求記録!$B$6:$B$3005,$A278,請求記録!$Z$6:$Z$3005,Q$5,請求記録!$AF$6:$AF$3005,"保留中")&gt;0,"保留",IF(COUNTIFS(請求記録!$B$6:$B$3005,$A278,請求記録!$Z$6:$Z$3005,Q$5)=0,"",SUMIFS(請求記録!$AE$6:$AE$3005,請求記録!$B$6:$B$3005,$A278,請求記録!$Z$6:$Z$3005,Q$5))))</f>
        <v/>
      </c>
      <c r="R278" s="19">
        <f>IF($A278="","",IF(COUNTIFS(請求記録!$B$6:$B$3005,$A278,請求記録!$Z$6:$Z$3005,R$5,請求記録!$AF$6:$AF$3005,"保留中")&gt;0,"保留",IF(COUNTIFS(請求記録!$B$6:$B$3005,$A278,請求記録!$Z$6:$Z$3005,R$5)=0,"",SUMIFS(請求記録!$AE$6:$AE$3005,請求記録!$B$6:$B$3005,$A278,請求記録!$Z$6:$Z$3005,R$5))))</f>
        <v/>
      </c>
      <c r="S278" s="19">
        <f>IF($A278="","",IF(COUNTIFS(請求記録!$B$6:$B$3005,$A278,請求記録!$Z$6:$Z$3005,S$5,請求記録!$AF$6:$AF$3005,"保留中")&gt;0,"保留",IF(COUNTIFS(請求記録!$B$6:$B$3005,$A278,請求記録!$Z$6:$Z$3005,S$5)=0,"",SUMIFS(請求記録!$AE$6:$AE$3005,請求記録!$B$6:$B$3005,$A278,請求記録!$Z$6:$Z$3005,S$5))))</f>
        <v/>
      </c>
      <c r="T278" s="19">
        <f>IF($A278="","",IF(COUNTIFS(請求記録!$B$6:$B$3005,$A278,請求記録!$Z$6:$Z$3005,T$5,請求記録!$AF$6:$AF$3005,"保留中")&gt;0,"保留",IF(COUNTIFS(請求記録!$B$6:$B$3005,$A278,請求記録!$Z$6:$Z$3005,T$5)=0,"",SUMIFS(請求記録!$AE$6:$AE$3005,請求記録!$B$6:$B$3005,$A278,請求記録!$Z$6:$Z$3005,T$5))))</f>
        <v/>
      </c>
      <c r="U278" s="19">
        <f>IF($A278="","",IF(COUNTIFS(請求記録!$B$6:$B$3005,$A278,請求記録!$Z$6:$Z$3005,U$5,請求記録!$AF$6:$AF$3005,"保留中")&gt;0,"保留",IF(COUNTIFS(請求記録!$B$6:$B$3005,$A278,請求記録!$Z$6:$Z$3005,U$5)=0,"",SUMIFS(請求記録!$AE$6:$AE$3005,請求記録!$B$6:$B$3005,$A278,請求記録!$Z$6:$Z$3005,U$5))))</f>
        <v/>
      </c>
      <c r="V278" s="19">
        <f>IF($A278="","",IF(COUNTIFS(請求記録!$B$6:$B$3005,$A278,請求記録!$Z$6:$Z$3005,V$5,請求記録!$AF$6:$AF$3005,"保留中")&gt;0,"保留",IF(COUNTIFS(請求記録!$B$6:$B$3005,$A278,請求記録!$Z$6:$Z$3005,V$5)=0,"",SUMIFS(請求記録!$AE$6:$AE$3005,請求記録!$B$6:$B$3005,$A278,請求記録!$Z$6:$Z$3005,V$5))))</f>
        <v/>
      </c>
      <c r="W278" s="19">
        <f>IF($A278="","",IF(COUNTIFS(請求記録!$B$6:$B$3005,$A278,請求記録!$Z$6:$Z$3005,W$5,請求記録!$AF$6:$AF$3005,"保留中")&gt;0,"保留",IF(COUNTIFS(請求記録!$B$6:$B$3005,$A278,請求記録!$Z$6:$Z$3005,W$5)=0,"",SUMIFS(請求記録!$AE$6:$AE$3005,請求記録!$B$6:$B$3005,$A278,請求記録!$Z$6:$Z$3005,W$5))))</f>
        <v/>
      </c>
      <c r="X278" s="19">
        <f>IF($A278="","",IF(COUNTIFS(請求記録!$B$6:$B$3005,$A278,請求記録!$Z$6:$Z$3005,X$5,請求記録!$AF$6:$AF$3005,"保留中")&gt;0,"保留",IF(COUNTIFS(請求記録!$B$6:$B$3005,$A278,請求記録!$Z$6:$Z$3005,X$5)=0,"",SUMIFS(請求記録!$AE$6:$AE$3005,請求記録!$B$6:$B$3005,$A278,請求記録!$Z$6:$Z$3005,X$5))))</f>
        <v/>
      </c>
      <c r="Y278" s="19">
        <f>IF($A278="","",IF(COUNTIFS(請求記録!$B$6:$B$3005,$A278,請求記録!$Z$6:$Z$3005,Y$5,請求記録!$AF$6:$AF$3005,"保留中")&gt;0,"保留",IF(COUNTIFS(請求記録!$B$6:$B$3005,$A278,請求記録!$Z$6:$Z$3005,Y$5)=0,"",SUMIFS(請求記録!$AE$6:$AE$3005,請求記録!$B$6:$B$3005,$A278,請求記録!$Z$6:$Z$3005,Y$5))))</f>
        <v/>
      </c>
      <c r="Z278" s="19">
        <f>IF($A278="","",IF(COUNTIFS(請求記録!$B$6:$B$3005,$A278,請求記録!$Z$6:$Z$3005,Z$5,請求記録!$AF$6:$AF$3005,"保留中")&gt;0,"保留",IF(COUNTIFS(請求記録!$B$6:$B$3005,$A278,請求記録!$Z$6:$Z$3005,Z$5)=0,"",SUMIFS(請求記録!$AE$6:$AE$3005,請求記録!$B$6:$B$3005,$A278,請求記録!$Z$6:$Z$3005,Z$5))))</f>
        <v/>
      </c>
      <c r="AA278" s="19">
        <f>IF($A278="","",IF(COUNTIFS(請求記録!$B$6:$B$3005,$A278,請求記録!$Z$6:$Z$3005,AA$5,請求記録!$AF$6:$AF$3005,"保留中")&gt;0,"保留",IF(COUNTIFS(請求記録!$B$6:$B$3005,$A278,請求記録!$Z$6:$Z$3005,AA$5)=0,"",SUMIFS(請求記録!$AE$6:$AE$3005,請求記録!$B$6:$B$3005,$A278,請求記録!$Z$6:$Z$3005,AA$5))))</f>
        <v/>
      </c>
      <c r="AB278">
        <f>IF(職員マスタ!P278="保留中",職員マスタ!M278,"")</f>
        <v/>
      </c>
    </row>
    <row r="279">
      <c r="A279">
        <f>IF(職員マスタ!A279="","",職員マスタ!A279)</f>
        <v/>
      </c>
      <c r="B279">
        <f>IF($A279="","",職員マスタ!B279)</f>
        <v/>
      </c>
      <c r="C279">
        <f>IF($A279="","",職員マスタ!C279)</f>
        <v/>
      </c>
      <c r="D279" s="19">
        <f>IF($A279="","",IF(COUNTIFS(請求記録!$B$6:$B$3005,$A279,請求記録!$Z$6:$Z$3005,D$5,請求記録!$AF$6:$AF$3005,"保留中")&gt;0,"保留",IF(COUNTIFS(請求記録!$B$6:$B$3005,$A279,請求記録!$Z$6:$Z$3005,D$5)=0,"",SUMIFS(請求記録!$AE$6:$AE$3005,請求記録!$B$6:$B$3005,$A279,請求記録!$Z$6:$Z$3005,D$5))))</f>
        <v/>
      </c>
      <c r="E279" s="19">
        <f>IF($A279="","",IF(COUNTIFS(請求記録!$B$6:$B$3005,$A279,請求記録!$Z$6:$Z$3005,E$5,請求記録!$AF$6:$AF$3005,"保留中")&gt;0,"保留",IF(COUNTIFS(請求記録!$B$6:$B$3005,$A279,請求記録!$Z$6:$Z$3005,E$5)=0,"",SUMIFS(請求記録!$AE$6:$AE$3005,請求記録!$B$6:$B$3005,$A279,請求記録!$Z$6:$Z$3005,E$5))))</f>
        <v/>
      </c>
      <c r="F279" s="19">
        <f>IF($A279="","",IF(COUNTIFS(請求記録!$B$6:$B$3005,$A279,請求記録!$Z$6:$Z$3005,F$5,請求記録!$AF$6:$AF$3005,"保留中")&gt;0,"保留",IF(COUNTIFS(請求記録!$B$6:$B$3005,$A279,請求記録!$Z$6:$Z$3005,F$5)=0,"",SUMIFS(請求記録!$AE$6:$AE$3005,請求記録!$B$6:$B$3005,$A279,請求記録!$Z$6:$Z$3005,F$5))))</f>
        <v/>
      </c>
      <c r="G279" s="19">
        <f>IF($A279="","",IF(COUNTIFS(請求記録!$B$6:$B$3005,$A279,請求記録!$Z$6:$Z$3005,G$5,請求記録!$AF$6:$AF$3005,"保留中")&gt;0,"保留",IF(COUNTIFS(請求記録!$B$6:$B$3005,$A279,請求記録!$Z$6:$Z$3005,G$5)=0,"",SUMIFS(請求記録!$AE$6:$AE$3005,請求記録!$B$6:$B$3005,$A279,請求記録!$Z$6:$Z$3005,G$5))))</f>
        <v/>
      </c>
      <c r="H279" s="19">
        <f>IF($A279="","",IF(COUNTIFS(請求記録!$B$6:$B$3005,$A279,請求記録!$Z$6:$Z$3005,H$5,請求記録!$AF$6:$AF$3005,"保留中")&gt;0,"保留",IF(COUNTIFS(請求記録!$B$6:$B$3005,$A279,請求記録!$Z$6:$Z$3005,H$5)=0,"",SUMIFS(請求記録!$AE$6:$AE$3005,請求記録!$B$6:$B$3005,$A279,請求記録!$Z$6:$Z$3005,H$5))))</f>
        <v/>
      </c>
      <c r="I279" s="19">
        <f>IF($A279="","",IF(COUNTIFS(請求記録!$B$6:$B$3005,$A279,請求記録!$Z$6:$Z$3005,I$5,請求記録!$AF$6:$AF$3005,"保留中")&gt;0,"保留",IF(COUNTIFS(請求記録!$B$6:$B$3005,$A279,請求記録!$Z$6:$Z$3005,I$5)=0,"",SUMIFS(請求記録!$AE$6:$AE$3005,請求記録!$B$6:$B$3005,$A279,請求記録!$Z$6:$Z$3005,I$5))))</f>
        <v/>
      </c>
      <c r="J279" s="19">
        <f>IF($A279="","",IF(COUNTIFS(請求記録!$B$6:$B$3005,$A279,請求記録!$Z$6:$Z$3005,J$5,請求記録!$AF$6:$AF$3005,"保留中")&gt;0,"保留",IF(COUNTIFS(請求記録!$B$6:$B$3005,$A279,請求記録!$Z$6:$Z$3005,J$5)=0,"",SUMIFS(請求記録!$AE$6:$AE$3005,請求記録!$B$6:$B$3005,$A279,請求記録!$Z$6:$Z$3005,J$5))))</f>
        <v/>
      </c>
      <c r="K279" s="19">
        <f>IF($A279="","",IF(COUNTIFS(請求記録!$B$6:$B$3005,$A279,請求記録!$Z$6:$Z$3005,K$5,請求記録!$AF$6:$AF$3005,"保留中")&gt;0,"保留",IF(COUNTIFS(請求記録!$B$6:$B$3005,$A279,請求記録!$Z$6:$Z$3005,K$5)=0,"",SUMIFS(請求記録!$AE$6:$AE$3005,請求記録!$B$6:$B$3005,$A279,請求記録!$Z$6:$Z$3005,K$5))))</f>
        <v/>
      </c>
      <c r="L279" s="19">
        <f>IF($A279="","",IF(COUNTIFS(請求記録!$B$6:$B$3005,$A279,請求記録!$Z$6:$Z$3005,L$5,請求記録!$AF$6:$AF$3005,"保留中")&gt;0,"保留",IF(COUNTIFS(請求記録!$B$6:$B$3005,$A279,請求記録!$Z$6:$Z$3005,L$5)=0,"",SUMIFS(請求記録!$AE$6:$AE$3005,請求記録!$B$6:$B$3005,$A279,請求記録!$Z$6:$Z$3005,L$5))))</f>
        <v/>
      </c>
      <c r="M279" s="19">
        <f>IF($A279="","",IF(COUNTIFS(請求記録!$B$6:$B$3005,$A279,請求記録!$Z$6:$Z$3005,M$5,請求記録!$AF$6:$AF$3005,"保留中")&gt;0,"保留",IF(COUNTIFS(請求記録!$B$6:$B$3005,$A279,請求記録!$Z$6:$Z$3005,M$5)=0,"",SUMIFS(請求記録!$AE$6:$AE$3005,請求記録!$B$6:$B$3005,$A279,請求記録!$Z$6:$Z$3005,M$5))))</f>
        <v/>
      </c>
      <c r="N279" s="19">
        <f>IF($A279="","",IF(COUNTIFS(請求記録!$B$6:$B$3005,$A279,請求記録!$Z$6:$Z$3005,N$5,請求記録!$AF$6:$AF$3005,"保留中")&gt;0,"保留",IF(COUNTIFS(請求記録!$B$6:$B$3005,$A279,請求記録!$Z$6:$Z$3005,N$5)=0,"",SUMIFS(請求記録!$AE$6:$AE$3005,請求記録!$B$6:$B$3005,$A279,請求記録!$Z$6:$Z$3005,N$5))))</f>
        <v/>
      </c>
      <c r="O279" s="19">
        <f>IF($A279="","",IF(COUNTIFS(請求記録!$B$6:$B$3005,$A279,請求記録!$Z$6:$Z$3005,O$5,請求記録!$AF$6:$AF$3005,"保留中")&gt;0,"保留",IF(COUNTIFS(請求記録!$B$6:$B$3005,$A279,請求記録!$Z$6:$Z$3005,O$5)=0,"",SUMIFS(請求記録!$AE$6:$AE$3005,請求記録!$B$6:$B$3005,$A279,請求記録!$Z$6:$Z$3005,O$5))))</f>
        <v/>
      </c>
      <c r="P279" s="19">
        <f>IF($A279="","",IF(COUNTIFS(請求記録!$B$6:$B$3005,$A279,請求記録!$Z$6:$Z$3005,P$5,請求記録!$AF$6:$AF$3005,"保留中")&gt;0,"保留",IF(COUNTIFS(請求記録!$B$6:$B$3005,$A279,請求記録!$Z$6:$Z$3005,P$5)=0,"",SUMIFS(請求記録!$AE$6:$AE$3005,請求記録!$B$6:$B$3005,$A279,請求記録!$Z$6:$Z$3005,P$5))))</f>
        <v/>
      </c>
      <c r="Q279" s="19">
        <f>IF($A279="","",IF(COUNTIFS(請求記録!$B$6:$B$3005,$A279,請求記録!$Z$6:$Z$3005,Q$5,請求記録!$AF$6:$AF$3005,"保留中")&gt;0,"保留",IF(COUNTIFS(請求記録!$B$6:$B$3005,$A279,請求記録!$Z$6:$Z$3005,Q$5)=0,"",SUMIFS(請求記録!$AE$6:$AE$3005,請求記録!$B$6:$B$3005,$A279,請求記録!$Z$6:$Z$3005,Q$5))))</f>
        <v/>
      </c>
      <c r="R279" s="19">
        <f>IF($A279="","",IF(COUNTIFS(請求記録!$B$6:$B$3005,$A279,請求記録!$Z$6:$Z$3005,R$5,請求記録!$AF$6:$AF$3005,"保留中")&gt;0,"保留",IF(COUNTIFS(請求記録!$B$6:$B$3005,$A279,請求記録!$Z$6:$Z$3005,R$5)=0,"",SUMIFS(請求記録!$AE$6:$AE$3005,請求記録!$B$6:$B$3005,$A279,請求記録!$Z$6:$Z$3005,R$5))))</f>
        <v/>
      </c>
      <c r="S279" s="19">
        <f>IF($A279="","",IF(COUNTIFS(請求記録!$B$6:$B$3005,$A279,請求記録!$Z$6:$Z$3005,S$5,請求記録!$AF$6:$AF$3005,"保留中")&gt;0,"保留",IF(COUNTIFS(請求記録!$B$6:$B$3005,$A279,請求記録!$Z$6:$Z$3005,S$5)=0,"",SUMIFS(請求記録!$AE$6:$AE$3005,請求記録!$B$6:$B$3005,$A279,請求記録!$Z$6:$Z$3005,S$5))))</f>
        <v/>
      </c>
      <c r="T279" s="19">
        <f>IF($A279="","",IF(COUNTIFS(請求記録!$B$6:$B$3005,$A279,請求記録!$Z$6:$Z$3005,T$5,請求記録!$AF$6:$AF$3005,"保留中")&gt;0,"保留",IF(COUNTIFS(請求記録!$B$6:$B$3005,$A279,請求記録!$Z$6:$Z$3005,T$5)=0,"",SUMIFS(請求記録!$AE$6:$AE$3005,請求記録!$B$6:$B$3005,$A279,請求記録!$Z$6:$Z$3005,T$5))))</f>
        <v/>
      </c>
      <c r="U279" s="19">
        <f>IF($A279="","",IF(COUNTIFS(請求記録!$B$6:$B$3005,$A279,請求記録!$Z$6:$Z$3005,U$5,請求記録!$AF$6:$AF$3005,"保留中")&gt;0,"保留",IF(COUNTIFS(請求記録!$B$6:$B$3005,$A279,請求記録!$Z$6:$Z$3005,U$5)=0,"",SUMIFS(請求記録!$AE$6:$AE$3005,請求記録!$B$6:$B$3005,$A279,請求記録!$Z$6:$Z$3005,U$5))))</f>
        <v/>
      </c>
      <c r="V279" s="19">
        <f>IF($A279="","",IF(COUNTIFS(請求記録!$B$6:$B$3005,$A279,請求記録!$Z$6:$Z$3005,V$5,請求記録!$AF$6:$AF$3005,"保留中")&gt;0,"保留",IF(COUNTIFS(請求記録!$B$6:$B$3005,$A279,請求記録!$Z$6:$Z$3005,V$5)=0,"",SUMIFS(請求記録!$AE$6:$AE$3005,請求記録!$B$6:$B$3005,$A279,請求記録!$Z$6:$Z$3005,V$5))))</f>
        <v/>
      </c>
      <c r="W279" s="19">
        <f>IF($A279="","",IF(COUNTIFS(請求記録!$B$6:$B$3005,$A279,請求記録!$Z$6:$Z$3005,W$5,請求記録!$AF$6:$AF$3005,"保留中")&gt;0,"保留",IF(COUNTIFS(請求記録!$B$6:$B$3005,$A279,請求記録!$Z$6:$Z$3005,W$5)=0,"",SUMIFS(請求記録!$AE$6:$AE$3005,請求記録!$B$6:$B$3005,$A279,請求記録!$Z$6:$Z$3005,W$5))))</f>
        <v/>
      </c>
      <c r="X279" s="19">
        <f>IF($A279="","",IF(COUNTIFS(請求記録!$B$6:$B$3005,$A279,請求記録!$Z$6:$Z$3005,X$5,請求記録!$AF$6:$AF$3005,"保留中")&gt;0,"保留",IF(COUNTIFS(請求記録!$B$6:$B$3005,$A279,請求記録!$Z$6:$Z$3005,X$5)=0,"",SUMIFS(請求記録!$AE$6:$AE$3005,請求記録!$B$6:$B$3005,$A279,請求記録!$Z$6:$Z$3005,X$5))))</f>
        <v/>
      </c>
      <c r="Y279" s="19">
        <f>IF($A279="","",IF(COUNTIFS(請求記録!$B$6:$B$3005,$A279,請求記録!$Z$6:$Z$3005,Y$5,請求記録!$AF$6:$AF$3005,"保留中")&gt;0,"保留",IF(COUNTIFS(請求記録!$B$6:$B$3005,$A279,請求記録!$Z$6:$Z$3005,Y$5)=0,"",SUMIFS(請求記録!$AE$6:$AE$3005,請求記録!$B$6:$B$3005,$A279,請求記録!$Z$6:$Z$3005,Y$5))))</f>
        <v/>
      </c>
      <c r="Z279" s="19">
        <f>IF($A279="","",IF(COUNTIFS(請求記録!$B$6:$B$3005,$A279,請求記録!$Z$6:$Z$3005,Z$5,請求記録!$AF$6:$AF$3005,"保留中")&gt;0,"保留",IF(COUNTIFS(請求記録!$B$6:$B$3005,$A279,請求記録!$Z$6:$Z$3005,Z$5)=0,"",SUMIFS(請求記録!$AE$6:$AE$3005,請求記録!$B$6:$B$3005,$A279,請求記録!$Z$6:$Z$3005,Z$5))))</f>
        <v/>
      </c>
      <c r="AA279" s="19">
        <f>IF($A279="","",IF(COUNTIFS(請求記録!$B$6:$B$3005,$A279,請求記録!$Z$6:$Z$3005,AA$5,請求記録!$AF$6:$AF$3005,"保留中")&gt;0,"保留",IF(COUNTIFS(請求記録!$B$6:$B$3005,$A279,請求記録!$Z$6:$Z$3005,AA$5)=0,"",SUMIFS(請求記録!$AE$6:$AE$3005,請求記録!$B$6:$B$3005,$A279,請求記録!$Z$6:$Z$3005,AA$5))))</f>
        <v/>
      </c>
      <c r="AB279">
        <f>IF(職員マスタ!P279="保留中",職員マスタ!M279,"")</f>
        <v/>
      </c>
    </row>
    <row r="280">
      <c r="A280">
        <f>IF(職員マスタ!A280="","",職員マスタ!A280)</f>
        <v/>
      </c>
      <c r="B280">
        <f>IF($A280="","",職員マスタ!B280)</f>
        <v/>
      </c>
      <c r="C280">
        <f>IF($A280="","",職員マスタ!C280)</f>
        <v/>
      </c>
      <c r="D280" s="19">
        <f>IF($A280="","",IF(COUNTIFS(請求記録!$B$6:$B$3005,$A280,請求記録!$Z$6:$Z$3005,D$5,請求記録!$AF$6:$AF$3005,"保留中")&gt;0,"保留",IF(COUNTIFS(請求記録!$B$6:$B$3005,$A280,請求記録!$Z$6:$Z$3005,D$5)=0,"",SUMIFS(請求記録!$AE$6:$AE$3005,請求記録!$B$6:$B$3005,$A280,請求記録!$Z$6:$Z$3005,D$5))))</f>
        <v/>
      </c>
      <c r="E280" s="19">
        <f>IF($A280="","",IF(COUNTIFS(請求記録!$B$6:$B$3005,$A280,請求記録!$Z$6:$Z$3005,E$5,請求記録!$AF$6:$AF$3005,"保留中")&gt;0,"保留",IF(COUNTIFS(請求記録!$B$6:$B$3005,$A280,請求記録!$Z$6:$Z$3005,E$5)=0,"",SUMIFS(請求記録!$AE$6:$AE$3005,請求記録!$B$6:$B$3005,$A280,請求記録!$Z$6:$Z$3005,E$5))))</f>
        <v/>
      </c>
      <c r="F280" s="19">
        <f>IF($A280="","",IF(COUNTIFS(請求記録!$B$6:$B$3005,$A280,請求記録!$Z$6:$Z$3005,F$5,請求記録!$AF$6:$AF$3005,"保留中")&gt;0,"保留",IF(COUNTIFS(請求記録!$B$6:$B$3005,$A280,請求記録!$Z$6:$Z$3005,F$5)=0,"",SUMIFS(請求記録!$AE$6:$AE$3005,請求記録!$B$6:$B$3005,$A280,請求記録!$Z$6:$Z$3005,F$5))))</f>
        <v/>
      </c>
      <c r="G280" s="19">
        <f>IF($A280="","",IF(COUNTIFS(請求記録!$B$6:$B$3005,$A280,請求記録!$Z$6:$Z$3005,G$5,請求記録!$AF$6:$AF$3005,"保留中")&gt;0,"保留",IF(COUNTIFS(請求記録!$B$6:$B$3005,$A280,請求記録!$Z$6:$Z$3005,G$5)=0,"",SUMIFS(請求記録!$AE$6:$AE$3005,請求記録!$B$6:$B$3005,$A280,請求記録!$Z$6:$Z$3005,G$5))))</f>
        <v/>
      </c>
      <c r="H280" s="19">
        <f>IF($A280="","",IF(COUNTIFS(請求記録!$B$6:$B$3005,$A280,請求記録!$Z$6:$Z$3005,H$5,請求記録!$AF$6:$AF$3005,"保留中")&gt;0,"保留",IF(COUNTIFS(請求記録!$B$6:$B$3005,$A280,請求記録!$Z$6:$Z$3005,H$5)=0,"",SUMIFS(請求記録!$AE$6:$AE$3005,請求記録!$B$6:$B$3005,$A280,請求記録!$Z$6:$Z$3005,H$5))))</f>
        <v/>
      </c>
      <c r="I280" s="19">
        <f>IF($A280="","",IF(COUNTIFS(請求記録!$B$6:$B$3005,$A280,請求記録!$Z$6:$Z$3005,I$5,請求記録!$AF$6:$AF$3005,"保留中")&gt;0,"保留",IF(COUNTIFS(請求記録!$B$6:$B$3005,$A280,請求記録!$Z$6:$Z$3005,I$5)=0,"",SUMIFS(請求記録!$AE$6:$AE$3005,請求記録!$B$6:$B$3005,$A280,請求記録!$Z$6:$Z$3005,I$5))))</f>
        <v/>
      </c>
      <c r="J280" s="19">
        <f>IF($A280="","",IF(COUNTIFS(請求記録!$B$6:$B$3005,$A280,請求記録!$Z$6:$Z$3005,J$5,請求記録!$AF$6:$AF$3005,"保留中")&gt;0,"保留",IF(COUNTIFS(請求記録!$B$6:$B$3005,$A280,請求記録!$Z$6:$Z$3005,J$5)=0,"",SUMIFS(請求記録!$AE$6:$AE$3005,請求記録!$B$6:$B$3005,$A280,請求記録!$Z$6:$Z$3005,J$5))))</f>
        <v/>
      </c>
      <c r="K280" s="19">
        <f>IF($A280="","",IF(COUNTIFS(請求記録!$B$6:$B$3005,$A280,請求記録!$Z$6:$Z$3005,K$5,請求記録!$AF$6:$AF$3005,"保留中")&gt;0,"保留",IF(COUNTIFS(請求記録!$B$6:$B$3005,$A280,請求記録!$Z$6:$Z$3005,K$5)=0,"",SUMIFS(請求記録!$AE$6:$AE$3005,請求記録!$B$6:$B$3005,$A280,請求記録!$Z$6:$Z$3005,K$5))))</f>
        <v/>
      </c>
      <c r="L280" s="19">
        <f>IF($A280="","",IF(COUNTIFS(請求記録!$B$6:$B$3005,$A280,請求記録!$Z$6:$Z$3005,L$5,請求記録!$AF$6:$AF$3005,"保留中")&gt;0,"保留",IF(COUNTIFS(請求記録!$B$6:$B$3005,$A280,請求記録!$Z$6:$Z$3005,L$5)=0,"",SUMIFS(請求記録!$AE$6:$AE$3005,請求記録!$B$6:$B$3005,$A280,請求記録!$Z$6:$Z$3005,L$5))))</f>
        <v/>
      </c>
      <c r="M280" s="19">
        <f>IF($A280="","",IF(COUNTIFS(請求記録!$B$6:$B$3005,$A280,請求記録!$Z$6:$Z$3005,M$5,請求記録!$AF$6:$AF$3005,"保留中")&gt;0,"保留",IF(COUNTIFS(請求記録!$B$6:$B$3005,$A280,請求記録!$Z$6:$Z$3005,M$5)=0,"",SUMIFS(請求記録!$AE$6:$AE$3005,請求記録!$B$6:$B$3005,$A280,請求記録!$Z$6:$Z$3005,M$5))))</f>
        <v/>
      </c>
      <c r="N280" s="19">
        <f>IF($A280="","",IF(COUNTIFS(請求記録!$B$6:$B$3005,$A280,請求記録!$Z$6:$Z$3005,N$5,請求記録!$AF$6:$AF$3005,"保留中")&gt;0,"保留",IF(COUNTIFS(請求記録!$B$6:$B$3005,$A280,請求記録!$Z$6:$Z$3005,N$5)=0,"",SUMIFS(請求記録!$AE$6:$AE$3005,請求記録!$B$6:$B$3005,$A280,請求記録!$Z$6:$Z$3005,N$5))))</f>
        <v/>
      </c>
      <c r="O280" s="19">
        <f>IF($A280="","",IF(COUNTIFS(請求記録!$B$6:$B$3005,$A280,請求記録!$Z$6:$Z$3005,O$5,請求記録!$AF$6:$AF$3005,"保留中")&gt;0,"保留",IF(COUNTIFS(請求記録!$B$6:$B$3005,$A280,請求記録!$Z$6:$Z$3005,O$5)=0,"",SUMIFS(請求記録!$AE$6:$AE$3005,請求記録!$B$6:$B$3005,$A280,請求記録!$Z$6:$Z$3005,O$5))))</f>
        <v/>
      </c>
      <c r="P280" s="19">
        <f>IF($A280="","",IF(COUNTIFS(請求記録!$B$6:$B$3005,$A280,請求記録!$Z$6:$Z$3005,P$5,請求記録!$AF$6:$AF$3005,"保留中")&gt;0,"保留",IF(COUNTIFS(請求記録!$B$6:$B$3005,$A280,請求記録!$Z$6:$Z$3005,P$5)=0,"",SUMIFS(請求記録!$AE$6:$AE$3005,請求記録!$B$6:$B$3005,$A280,請求記録!$Z$6:$Z$3005,P$5))))</f>
        <v/>
      </c>
      <c r="Q280" s="19">
        <f>IF($A280="","",IF(COUNTIFS(請求記録!$B$6:$B$3005,$A280,請求記録!$Z$6:$Z$3005,Q$5,請求記録!$AF$6:$AF$3005,"保留中")&gt;0,"保留",IF(COUNTIFS(請求記録!$B$6:$B$3005,$A280,請求記録!$Z$6:$Z$3005,Q$5)=0,"",SUMIFS(請求記録!$AE$6:$AE$3005,請求記録!$B$6:$B$3005,$A280,請求記録!$Z$6:$Z$3005,Q$5))))</f>
        <v/>
      </c>
      <c r="R280" s="19">
        <f>IF($A280="","",IF(COUNTIFS(請求記録!$B$6:$B$3005,$A280,請求記録!$Z$6:$Z$3005,R$5,請求記録!$AF$6:$AF$3005,"保留中")&gt;0,"保留",IF(COUNTIFS(請求記録!$B$6:$B$3005,$A280,請求記録!$Z$6:$Z$3005,R$5)=0,"",SUMIFS(請求記録!$AE$6:$AE$3005,請求記録!$B$6:$B$3005,$A280,請求記録!$Z$6:$Z$3005,R$5))))</f>
        <v/>
      </c>
      <c r="S280" s="19">
        <f>IF($A280="","",IF(COUNTIFS(請求記録!$B$6:$B$3005,$A280,請求記録!$Z$6:$Z$3005,S$5,請求記録!$AF$6:$AF$3005,"保留中")&gt;0,"保留",IF(COUNTIFS(請求記録!$B$6:$B$3005,$A280,請求記録!$Z$6:$Z$3005,S$5)=0,"",SUMIFS(請求記録!$AE$6:$AE$3005,請求記録!$B$6:$B$3005,$A280,請求記録!$Z$6:$Z$3005,S$5))))</f>
        <v/>
      </c>
      <c r="T280" s="19">
        <f>IF($A280="","",IF(COUNTIFS(請求記録!$B$6:$B$3005,$A280,請求記録!$Z$6:$Z$3005,T$5,請求記録!$AF$6:$AF$3005,"保留中")&gt;0,"保留",IF(COUNTIFS(請求記録!$B$6:$B$3005,$A280,請求記録!$Z$6:$Z$3005,T$5)=0,"",SUMIFS(請求記録!$AE$6:$AE$3005,請求記録!$B$6:$B$3005,$A280,請求記録!$Z$6:$Z$3005,T$5))))</f>
        <v/>
      </c>
      <c r="U280" s="19">
        <f>IF($A280="","",IF(COUNTIFS(請求記録!$B$6:$B$3005,$A280,請求記録!$Z$6:$Z$3005,U$5,請求記録!$AF$6:$AF$3005,"保留中")&gt;0,"保留",IF(COUNTIFS(請求記録!$B$6:$B$3005,$A280,請求記録!$Z$6:$Z$3005,U$5)=0,"",SUMIFS(請求記録!$AE$6:$AE$3005,請求記録!$B$6:$B$3005,$A280,請求記録!$Z$6:$Z$3005,U$5))))</f>
        <v/>
      </c>
      <c r="V280" s="19">
        <f>IF($A280="","",IF(COUNTIFS(請求記録!$B$6:$B$3005,$A280,請求記録!$Z$6:$Z$3005,V$5,請求記録!$AF$6:$AF$3005,"保留中")&gt;0,"保留",IF(COUNTIFS(請求記録!$B$6:$B$3005,$A280,請求記録!$Z$6:$Z$3005,V$5)=0,"",SUMIFS(請求記録!$AE$6:$AE$3005,請求記録!$B$6:$B$3005,$A280,請求記録!$Z$6:$Z$3005,V$5))))</f>
        <v/>
      </c>
      <c r="W280" s="19">
        <f>IF($A280="","",IF(COUNTIFS(請求記録!$B$6:$B$3005,$A280,請求記録!$Z$6:$Z$3005,W$5,請求記録!$AF$6:$AF$3005,"保留中")&gt;0,"保留",IF(COUNTIFS(請求記録!$B$6:$B$3005,$A280,請求記録!$Z$6:$Z$3005,W$5)=0,"",SUMIFS(請求記録!$AE$6:$AE$3005,請求記録!$B$6:$B$3005,$A280,請求記録!$Z$6:$Z$3005,W$5))))</f>
        <v/>
      </c>
      <c r="X280" s="19">
        <f>IF($A280="","",IF(COUNTIFS(請求記録!$B$6:$B$3005,$A280,請求記録!$Z$6:$Z$3005,X$5,請求記録!$AF$6:$AF$3005,"保留中")&gt;0,"保留",IF(COUNTIFS(請求記録!$B$6:$B$3005,$A280,請求記録!$Z$6:$Z$3005,X$5)=0,"",SUMIFS(請求記録!$AE$6:$AE$3005,請求記録!$B$6:$B$3005,$A280,請求記録!$Z$6:$Z$3005,X$5))))</f>
        <v/>
      </c>
      <c r="Y280" s="19">
        <f>IF($A280="","",IF(COUNTIFS(請求記録!$B$6:$B$3005,$A280,請求記録!$Z$6:$Z$3005,Y$5,請求記録!$AF$6:$AF$3005,"保留中")&gt;0,"保留",IF(COUNTIFS(請求記録!$B$6:$B$3005,$A280,請求記録!$Z$6:$Z$3005,Y$5)=0,"",SUMIFS(請求記録!$AE$6:$AE$3005,請求記録!$B$6:$B$3005,$A280,請求記録!$Z$6:$Z$3005,Y$5))))</f>
        <v/>
      </c>
      <c r="Z280" s="19">
        <f>IF($A280="","",IF(COUNTIFS(請求記録!$B$6:$B$3005,$A280,請求記録!$Z$6:$Z$3005,Z$5,請求記録!$AF$6:$AF$3005,"保留中")&gt;0,"保留",IF(COUNTIFS(請求記録!$B$6:$B$3005,$A280,請求記録!$Z$6:$Z$3005,Z$5)=0,"",SUMIFS(請求記録!$AE$6:$AE$3005,請求記録!$B$6:$B$3005,$A280,請求記録!$Z$6:$Z$3005,Z$5))))</f>
        <v/>
      </c>
      <c r="AA280" s="19">
        <f>IF($A280="","",IF(COUNTIFS(請求記録!$B$6:$B$3005,$A280,請求記録!$Z$6:$Z$3005,AA$5,請求記録!$AF$6:$AF$3005,"保留中")&gt;0,"保留",IF(COUNTIFS(請求記録!$B$6:$B$3005,$A280,請求記録!$Z$6:$Z$3005,AA$5)=0,"",SUMIFS(請求記録!$AE$6:$AE$3005,請求記録!$B$6:$B$3005,$A280,請求記録!$Z$6:$Z$3005,AA$5))))</f>
        <v/>
      </c>
      <c r="AB280">
        <f>IF(職員マスタ!P280="保留中",職員マスタ!M280,"")</f>
        <v/>
      </c>
    </row>
    <row r="281">
      <c r="A281">
        <f>IF(職員マスタ!A281="","",職員マスタ!A281)</f>
        <v/>
      </c>
      <c r="B281">
        <f>IF($A281="","",職員マスタ!B281)</f>
        <v/>
      </c>
      <c r="C281">
        <f>IF($A281="","",職員マスタ!C281)</f>
        <v/>
      </c>
      <c r="D281" s="19">
        <f>IF($A281="","",IF(COUNTIFS(請求記録!$B$6:$B$3005,$A281,請求記録!$Z$6:$Z$3005,D$5,請求記録!$AF$6:$AF$3005,"保留中")&gt;0,"保留",IF(COUNTIFS(請求記録!$B$6:$B$3005,$A281,請求記録!$Z$6:$Z$3005,D$5)=0,"",SUMIFS(請求記録!$AE$6:$AE$3005,請求記録!$B$6:$B$3005,$A281,請求記録!$Z$6:$Z$3005,D$5))))</f>
        <v/>
      </c>
      <c r="E281" s="19">
        <f>IF($A281="","",IF(COUNTIFS(請求記録!$B$6:$B$3005,$A281,請求記録!$Z$6:$Z$3005,E$5,請求記録!$AF$6:$AF$3005,"保留中")&gt;0,"保留",IF(COUNTIFS(請求記録!$B$6:$B$3005,$A281,請求記録!$Z$6:$Z$3005,E$5)=0,"",SUMIFS(請求記録!$AE$6:$AE$3005,請求記録!$B$6:$B$3005,$A281,請求記録!$Z$6:$Z$3005,E$5))))</f>
        <v/>
      </c>
      <c r="F281" s="19">
        <f>IF($A281="","",IF(COUNTIFS(請求記録!$B$6:$B$3005,$A281,請求記録!$Z$6:$Z$3005,F$5,請求記録!$AF$6:$AF$3005,"保留中")&gt;0,"保留",IF(COUNTIFS(請求記録!$B$6:$B$3005,$A281,請求記録!$Z$6:$Z$3005,F$5)=0,"",SUMIFS(請求記録!$AE$6:$AE$3005,請求記録!$B$6:$B$3005,$A281,請求記録!$Z$6:$Z$3005,F$5))))</f>
        <v/>
      </c>
      <c r="G281" s="19">
        <f>IF($A281="","",IF(COUNTIFS(請求記録!$B$6:$B$3005,$A281,請求記録!$Z$6:$Z$3005,G$5,請求記録!$AF$6:$AF$3005,"保留中")&gt;0,"保留",IF(COUNTIFS(請求記録!$B$6:$B$3005,$A281,請求記録!$Z$6:$Z$3005,G$5)=0,"",SUMIFS(請求記録!$AE$6:$AE$3005,請求記録!$B$6:$B$3005,$A281,請求記録!$Z$6:$Z$3005,G$5))))</f>
        <v/>
      </c>
      <c r="H281" s="19">
        <f>IF($A281="","",IF(COUNTIFS(請求記録!$B$6:$B$3005,$A281,請求記録!$Z$6:$Z$3005,H$5,請求記録!$AF$6:$AF$3005,"保留中")&gt;0,"保留",IF(COUNTIFS(請求記録!$B$6:$B$3005,$A281,請求記録!$Z$6:$Z$3005,H$5)=0,"",SUMIFS(請求記録!$AE$6:$AE$3005,請求記録!$B$6:$B$3005,$A281,請求記録!$Z$6:$Z$3005,H$5))))</f>
        <v/>
      </c>
      <c r="I281" s="19">
        <f>IF($A281="","",IF(COUNTIFS(請求記録!$B$6:$B$3005,$A281,請求記録!$Z$6:$Z$3005,I$5,請求記録!$AF$6:$AF$3005,"保留中")&gt;0,"保留",IF(COUNTIFS(請求記録!$B$6:$B$3005,$A281,請求記録!$Z$6:$Z$3005,I$5)=0,"",SUMIFS(請求記録!$AE$6:$AE$3005,請求記録!$B$6:$B$3005,$A281,請求記録!$Z$6:$Z$3005,I$5))))</f>
        <v/>
      </c>
      <c r="J281" s="19">
        <f>IF($A281="","",IF(COUNTIFS(請求記録!$B$6:$B$3005,$A281,請求記録!$Z$6:$Z$3005,J$5,請求記録!$AF$6:$AF$3005,"保留中")&gt;0,"保留",IF(COUNTIFS(請求記録!$B$6:$B$3005,$A281,請求記録!$Z$6:$Z$3005,J$5)=0,"",SUMIFS(請求記録!$AE$6:$AE$3005,請求記録!$B$6:$B$3005,$A281,請求記録!$Z$6:$Z$3005,J$5))))</f>
        <v/>
      </c>
      <c r="K281" s="19">
        <f>IF($A281="","",IF(COUNTIFS(請求記録!$B$6:$B$3005,$A281,請求記録!$Z$6:$Z$3005,K$5,請求記録!$AF$6:$AF$3005,"保留中")&gt;0,"保留",IF(COUNTIFS(請求記録!$B$6:$B$3005,$A281,請求記録!$Z$6:$Z$3005,K$5)=0,"",SUMIFS(請求記録!$AE$6:$AE$3005,請求記録!$B$6:$B$3005,$A281,請求記録!$Z$6:$Z$3005,K$5))))</f>
        <v/>
      </c>
      <c r="L281" s="19">
        <f>IF($A281="","",IF(COUNTIFS(請求記録!$B$6:$B$3005,$A281,請求記録!$Z$6:$Z$3005,L$5,請求記録!$AF$6:$AF$3005,"保留中")&gt;0,"保留",IF(COUNTIFS(請求記録!$B$6:$B$3005,$A281,請求記録!$Z$6:$Z$3005,L$5)=0,"",SUMIFS(請求記録!$AE$6:$AE$3005,請求記録!$B$6:$B$3005,$A281,請求記録!$Z$6:$Z$3005,L$5))))</f>
        <v/>
      </c>
      <c r="M281" s="19">
        <f>IF($A281="","",IF(COUNTIFS(請求記録!$B$6:$B$3005,$A281,請求記録!$Z$6:$Z$3005,M$5,請求記録!$AF$6:$AF$3005,"保留中")&gt;0,"保留",IF(COUNTIFS(請求記録!$B$6:$B$3005,$A281,請求記録!$Z$6:$Z$3005,M$5)=0,"",SUMIFS(請求記録!$AE$6:$AE$3005,請求記録!$B$6:$B$3005,$A281,請求記録!$Z$6:$Z$3005,M$5))))</f>
        <v/>
      </c>
      <c r="N281" s="19">
        <f>IF($A281="","",IF(COUNTIFS(請求記録!$B$6:$B$3005,$A281,請求記録!$Z$6:$Z$3005,N$5,請求記録!$AF$6:$AF$3005,"保留中")&gt;0,"保留",IF(COUNTIFS(請求記録!$B$6:$B$3005,$A281,請求記録!$Z$6:$Z$3005,N$5)=0,"",SUMIFS(請求記録!$AE$6:$AE$3005,請求記録!$B$6:$B$3005,$A281,請求記録!$Z$6:$Z$3005,N$5))))</f>
        <v/>
      </c>
      <c r="O281" s="19">
        <f>IF($A281="","",IF(COUNTIFS(請求記録!$B$6:$B$3005,$A281,請求記録!$Z$6:$Z$3005,O$5,請求記録!$AF$6:$AF$3005,"保留中")&gt;0,"保留",IF(COUNTIFS(請求記録!$B$6:$B$3005,$A281,請求記録!$Z$6:$Z$3005,O$5)=0,"",SUMIFS(請求記録!$AE$6:$AE$3005,請求記録!$B$6:$B$3005,$A281,請求記録!$Z$6:$Z$3005,O$5))))</f>
        <v/>
      </c>
      <c r="P281" s="19">
        <f>IF($A281="","",IF(COUNTIFS(請求記録!$B$6:$B$3005,$A281,請求記録!$Z$6:$Z$3005,P$5,請求記録!$AF$6:$AF$3005,"保留中")&gt;0,"保留",IF(COUNTIFS(請求記録!$B$6:$B$3005,$A281,請求記録!$Z$6:$Z$3005,P$5)=0,"",SUMIFS(請求記録!$AE$6:$AE$3005,請求記録!$B$6:$B$3005,$A281,請求記録!$Z$6:$Z$3005,P$5))))</f>
        <v/>
      </c>
      <c r="Q281" s="19">
        <f>IF($A281="","",IF(COUNTIFS(請求記録!$B$6:$B$3005,$A281,請求記録!$Z$6:$Z$3005,Q$5,請求記録!$AF$6:$AF$3005,"保留中")&gt;0,"保留",IF(COUNTIFS(請求記録!$B$6:$B$3005,$A281,請求記録!$Z$6:$Z$3005,Q$5)=0,"",SUMIFS(請求記録!$AE$6:$AE$3005,請求記録!$B$6:$B$3005,$A281,請求記録!$Z$6:$Z$3005,Q$5))))</f>
        <v/>
      </c>
      <c r="R281" s="19">
        <f>IF($A281="","",IF(COUNTIFS(請求記録!$B$6:$B$3005,$A281,請求記録!$Z$6:$Z$3005,R$5,請求記録!$AF$6:$AF$3005,"保留中")&gt;0,"保留",IF(COUNTIFS(請求記録!$B$6:$B$3005,$A281,請求記録!$Z$6:$Z$3005,R$5)=0,"",SUMIFS(請求記録!$AE$6:$AE$3005,請求記録!$B$6:$B$3005,$A281,請求記録!$Z$6:$Z$3005,R$5))))</f>
        <v/>
      </c>
      <c r="S281" s="19">
        <f>IF($A281="","",IF(COUNTIFS(請求記録!$B$6:$B$3005,$A281,請求記録!$Z$6:$Z$3005,S$5,請求記録!$AF$6:$AF$3005,"保留中")&gt;0,"保留",IF(COUNTIFS(請求記録!$B$6:$B$3005,$A281,請求記録!$Z$6:$Z$3005,S$5)=0,"",SUMIFS(請求記録!$AE$6:$AE$3005,請求記録!$B$6:$B$3005,$A281,請求記録!$Z$6:$Z$3005,S$5))))</f>
        <v/>
      </c>
      <c r="T281" s="19">
        <f>IF($A281="","",IF(COUNTIFS(請求記録!$B$6:$B$3005,$A281,請求記録!$Z$6:$Z$3005,T$5,請求記録!$AF$6:$AF$3005,"保留中")&gt;0,"保留",IF(COUNTIFS(請求記録!$B$6:$B$3005,$A281,請求記録!$Z$6:$Z$3005,T$5)=0,"",SUMIFS(請求記録!$AE$6:$AE$3005,請求記録!$B$6:$B$3005,$A281,請求記録!$Z$6:$Z$3005,T$5))))</f>
        <v/>
      </c>
      <c r="U281" s="19">
        <f>IF($A281="","",IF(COUNTIFS(請求記録!$B$6:$B$3005,$A281,請求記録!$Z$6:$Z$3005,U$5,請求記録!$AF$6:$AF$3005,"保留中")&gt;0,"保留",IF(COUNTIFS(請求記録!$B$6:$B$3005,$A281,請求記録!$Z$6:$Z$3005,U$5)=0,"",SUMIFS(請求記録!$AE$6:$AE$3005,請求記録!$B$6:$B$3005,$A281,請求記録!$Z$6:$Z$3005,U$5))))</f>
        <v/>
      </c>
      <c r="V281" s="19">
        <f>IF($A281="","",IF(COUNTIFS(請求記録!$B$6:$B$3005,$A281,請求記録!$Z$6:$Z$3005,V$5,請求記録!$AF$6:$AF$3005,"保留中")&gt;0,"保留",IF(COUNTIFS(請求記録!$B$6:$B$3005,$A281,請求記録!$Z$6:$Z$3005,V$5)=0,"",SUMIFS(請求記録!$AE$6:$AE$3005,請求記録!$B$6:$B$3005,$A281,請求記録!$Z$6:$Z$3005,V$5))))</f>
        <v/>
      </c>
      <c r="W281" s="19">
        <f>IF($A281="","",IF(COUNTIFS(請求記録!$B$6:$B$3005,$A281,請求記録!$Z$6:$Z$3005,W$5,請求記録!$AF$6:$AF$3005,"保留中")&gt;0,"保留",IF(COUNTIFS(請求記録!$B$6:$B$3005,$A281,請求記録!$Z$6:$Z$3005,W$5)=0,"",SUMIFS(請求記録!$AE$6:$AE$3005,請求記録!$B$6:$B$3005,$A281,請求記録!$Z$6:$Z$3005,W$5))))</f>
        <v/>
      </c>
      <c r="X281" s="19">
        <f>IF($A281="","",IF(COUNTIFS(請求記録!$B$6:$B$3005,$A281,請求記録!$Z$6:$Z$3005,X$5,請求記録!$AF$6:$AF$3005,"保留中")&gt;0,"保留",IF(COUNTIFS(請求記録!$B$6:$B$3005,$A281,請求記録!$Z$6:$Z$3005,X$5)=0,"",SUMIFS(請求記録!$AE$6:$AE$3005,請求記録!$B$6:$B$3005,$A281,請求記録!$Z$6:$Z$3005,X$5))))</f>
        <v/>
      </c>
      <c r="Y281" s="19">
        <f>IF($A281="","",IF(COUNTIFS(請求記録!$B$6:$B$3005,$A281,請求記録!$Z$6:$Z$3005,Y$5,請求記録!$AF$6:$AF$3005,"保留中")&gt;0,"保留",IF(COUNTIFS(請求記録!$B$6:$B$3005,$A281,請求記録!$Z$6:$Z$3005,Y$5)=0,"",SUMIFS(請求記録!$AE$6:$AE$3005,請求記録!$B$6:$B$3005,$A281,請求記録!$Z$6:$Z$3005,Y$5))))</f>
        <v/>
      </c>
      <c r="Z281" s="19">
        <f>IF($A281="","",IF(COUNTIFS(請求記録!$B$6:$B$3005,$A281,請求記録!$Z$6:$Z$3005,Z$5,請求記録!$AF$6:$AF$3005,"保留中")&gt;0,"保留",IF(COUNTIFS(請求記録!$B$6:$B$3005,$A281,請求記録!$Z$6:$Z$3005,Z$5)=0,"",SUMIFS(請求記録!$AE$6:$AE$3005,請求記録!$B$6:$B$3005,$A281,請求記録!$Z$6:$Z$3005,Z$5))))</f>
        <v/>
      </c>
      <c r="AA281" s="19">
        <f>IF($A281="","",IF(COUNTIFS(請求記録!$B$6:$B$3005,$A281,請求記録!$Z$6:$Z$3005,AA$5,請求記録!$AF$6:$AF$3005,"保留中")&gt;0,"保留",IF(COUNTIFS(請求記録!$B$6:$B$3005,$A281,請求記録!$Z$6:$Z$3005,AA$5)=0,"",SUMIFS(請求記録!$AE$6:$AE$3005,請求記録!$B$6:$B$3005,$A281,請求記録!$Z$6:$Z$3005,AA$5))))</f>
        <v/>
      </c>
      <c r="AB281">
        <f>IF(職員マスタ!P281="保留中",職員マスタ!M281,"")</f>
        <v/>
      </c>
    </row>
    <row r="282">
      <c r="A282">
        <f>IF(職員マスタ!A282="","",職員マスタ!A282)</f>
        <v/>
      </c>
      <c r="B282">
        <f>IF($A282="","",職員マスタ!B282)</f>
        <v/>
      </c>
      <c r="C282">
        <f>IF($A282="","",職員マスタ!C282)</f>
        <v/>
      </c>
      <c r="D282" s="19">
        <f>IF($A282="","",IF(COUNTIFS(請求記録!$B$6:$B$3005,$A282,請求記録!$Z$6:$Z$3005,D$5,請求記録!$AF$6:$AF$3005,"保留中")&gt;0,"保留",IF(COUNTIFS(請求記録!$B$6:$B$3005,$A282,請求記録!$Z$6:$Z$3005,D$5)=0,"",SUMIFS(請求記録!$AE$6:$AE$3005,請求記録!$B$6:$B$3005,$A282,請求記録!$Z$6:$Z$3005,D$5))))</f>
        <v/>
      </c>
      <c r="E282" s="19">
        <f>IF($A282="","",IF(COUNTIFS(請求記録!$B$6:$B$3005,$A282,請求記録!$Z$6:$Z$3005,E$5,請求記録!$AF$6:$AF$3005,"保留中")&gt;0,"保留",IF(COUNTIFS(請求記録!$B$6:$B$3005,$A282,請求記録!$Z$6:$Z$3005,E$5)=0,"",SUMIFS(請求記録!$AE$6:$AE$3005,請求記録!$B$6:$B$3005,$A282,請求記録!$Z$6:$Z$3005,E$5))))</f>
        <v/>
      </c>
      <c r="F282" s="19">
        <f>IF($A282="","",IF(COUNTIFS(請求記録!$B$6:$B$3005,$A282,請求記録!$Z$6:$Z$3005,F$5,請求記録!$AF$6:$AF$3005,"保留中")&gt;0,"保留",IF(COUNTIFS(請求記録!$B$6:$B$3005,$A282,請求記録!$Z$6:$Z$3005,F$5)=0,"",SUMIFS(請求記録!$AE$6:$AE$3005,請求記録!$B$6:$B$3005,$A282,請求記録!$Z$6:$Z$3005,F$5))))</f>
        <v/>
      </c>
      <c r="G282" s="19">
        <f>IF($A282="","",IF(COUNTIFS(請求記録!$B$6:$B$3005,$A282,請求記録!$Z$6:$Z$3005,G$5,請求記録!$AF$6:$AF$3005,"保留中")&gt;0,"保留",IF(COUNTIFS(請求記録!$B$6:$B$3005,$A282,請求記録!$Z$6:$Z$3005,G$5)=0,"",SUMIFS(請求記録!$AE$6:$AE$3005,請求記録!$B$6:$B$3005,$A282,請求記録!$Z$6:$Z$3005,G$5))))</f>
        <v/>
      </c>
      <c r="H282" s="19">
        <f>IF($A282="","",IF(COUNTIFS(請求記録!$B$6:$B$3005,$A282,請求記録!$Z$6:$Z$3005,H$5,請求記録!$AF$6:$AF$3005,"保留中")&gt;0,"保留",IF(COUNTIFS(請求記録!$B$6:$B$3005,$A282,請求記録!$Z$6:$Z$3005,H$5)=0,"",SUMIFS(請求記録!$AE$6:$AE$3005,請求記録!$B$6:$B$3005,$A282,請求記録!$Z$6:$Z$3005,H$5))))</f>
        <v/>
      </c>
      <c r="I282" s="19">
        <f>IF($A282="","",IF(COUNTIFS(請求記録!$B$6:$B$3005,$A282,請求記録!$Z$6:$Z$3005,I$5,請求記録!$AF$6:$AF$3005,"保留中")&gt;0,"保留",IF(COUNTIFS(請求記録!$B$6:$B$3005,$A282,請求記録!$Z$6:$Z$3005,I$5)=0,"",SUMIFS(請求記録!$AE$6:$AE$3005,請求記録!$B$6:$B$3005,$A282,請求記録!$Z$6:$Z$3005,I$5))))</f>
        <v/>
      </c>
      <c r="J282" s="19">
        <f>IF($A282="","",IF(COUNTIFS(請求記録!$B$6:$B$3005,$A282,請求記録!$Z$6:$Z$3005,J$5,請求記録!$AF$6:$AF$3005,"保留中")&gt;0,"保留",IF(COUNTIFS(請求記録!$B$6:$B$3005,$A282,請求記録!$Z$6:$Z$3005,J$5)=0,"",SUMIFS(請求記録!$AE$6:$AE$3005,請求記録!$B$6:$B$3005,$A282,請求記録!$Z$6:$Z$3005,J$5))))</f>
        <v/>
      </c>
      <c r="K282" s="19">
        <f>IF($A282="","",IF(COUNTIFS(請求記録!$B$6:$B$3005,$A282,請求記録!$Z$6:$Z$3005,K$5,請求記録!$AF$6:$AF$3005,"保留中")&gt;0,"保留",IF(COUNTIFS(請求記録!$B$6:$B$3005,$A282,請求記録!$Z$6:$Z$3005,K$5)=0,"",SUMIFS(請求記録!$AE$6:$AE$3005,請求記録!$B$6:$B$3005,$A282,請求記録!$Z$6:$Z$3005,K$5))))</f>
        <v/>
      </c>
      <c r="L282" s="19">
        <f>IF($A282="","",IF(COUNTIFS(請求記録!$B$6:$B$3005,$A282,請求記録!$Z$6:$Z$3005,L$5,請求記録!$AF$6:$AF$3005,"保留中")&gt;0,"保留",IF(COUNTIFS(請求記録!$B$6:$B$3005,$A282,請求記録!$Z$6:$Z$3005,L$5)=0,"",SUMIFS(請求記録!$AE$6:$AE$3005,請求記録!$B$6:$B$3005,$A282,請求記録!$Z$6:$Z$3005,L$5))))</f>
        <v/>
      </c>
      <c r="M282" s="19">
        <f>IF($A282="","",IF(COUNTIFS(請求記録!$B$6:$B$3005,$A282,請求記録!$Z$6:$Z$3005,M$5,請求記録!$AF$6:$AF$3005,"保留中")&gt;0,"保留",IF(COUNTIFS(請求記録!$B$6:$B$3005,$A282,請求記録!$Z$6:$Z$3005,M$5)=0,"",SUMIFS(請求記録!$AE$6:$AE$3005,請求記録!$B$6:$B$3005,$A282,請求記録!$Z$6:$Z$3005,M$5))))</f>
        <v/>
      </c>
      <c r="N282" s="19">
        <f>IF($A282="","",IF(COUNTIFS(請求記録!$B$6:$B$3005,$A282,請求記録!$Z$6:$Z$3005,N$5,請求記録!$AF$6:$AF$3005,"保留中")&gt;0,"保留",IF(COUNTIFS(請求記録!$B$6:$B$3005,$A282,請求記録!$Z$6:$Z$3005,N$5)=0,"",SUMIFS(請求記録!$AE$6:$AE$3005,請求記録!$B$6:$B$3005,$A282,請求記録!$Z$6:$Z$3005,N$5))))</f>
        <v/>
      </c>
      <c r="O282" s="19">
        <f>IF($A282="","",IF(COUNTIFS(請求記録!$B$6:$B$3005,$A282,請求記録!$Z$6:$Z$3005,O$5,請求記録!$AF$6:$AF$3005,"保留中")&gt;0,"保留",IF(COUNTIFS(請求記録!$B$6:$B$3005,$A282,請求記録!$Z$6:$Z$3005,O$5)=0,"",SUMIFS(請求記録!$AE$6:$AE$3005,請求記録!$B$6:$B$3005,$A282,請求記録!$Z$6:$Z$3005,O$5))))</f>
        <v/>
      </c>
      <c r="P282" s="19">
        <f>IF($A282="","",IF(COUNTIFS(請求記録!$B$6:$B$3005,$A282,請求記録!$Z$6:$Z$3005,P$5,請求記録!$AF$6:$AF$3005,"保留中")&gt;0,"保留",IF(COUNTIFS(請求記録!$B$6:$B$3005,$A282,請求記録!$Z$6:$Z$3005,P$5)=0,"",SUMIFS(請求記録!$AE$6:$AE$3005,請求記録!$B$6:$B$3005,$A282,請求記録!$Z$6:$Z$3005,P$5))))</f>
        <v/>
      </c>
      <c r="Q282" s="19">
        <f>IF($A282="","",IF(COUNTIFS(請求記録!$B$6:$B$3005,$A282,請求記録!$Z$6:$Z$3005,Q$5,請求記録!$AF$6:$AF$3005,"保留中")&gt;0,"保留",IF(COUNTIFS(請求記録!$B$6:$B$3005,$A282,請求記録!$Z$6:$Z$3005,Q$5)=0,"",SUMIFS(請求記録!$AE$6:$AE$3005,請求記録!$B$6:$B$3005,$A282,請求記録!$Z$6:$Z$3005,Q$5))))</f>
        <v/>
      </c>
      <c r="R282" s="19">
        <f>IF($A282="","",IF(COUNTIFS(請求記録!$B$6:$B$3005,$A282,請求記録!$Z$6:$Z$3005,R$5,請求記録!$AF$6:$AF$3005,"保留中")&gt;0,"保留",IF(COUNTIFS(請求記録!$B$6:$B$3005,$A282,請求記録!$Z$6:$Z$3005,R$5)=0,"",SUMIFS(請求記録!$AE$6:$AE$3005,請求記録!$B$6:$B$3005,$A282,請求記録!$Z$6:$Z$3005,R$5))))</f>
        <v/>
      </c>
      <c r="S282" s="19">
        <f>IF($A282="","",IF(COUNTIFS(請求記録!$B$6:$B$3005,$A282,請求記録!$Z$6:$Z$3005,S$5,請求記録!$AF$6:$AF$3005,"保留中")&gt;0,"保留",IF(COUNTIFS(請求記録!$B$6:$B$3005,$A282,請求記録!$Z$6:$Z$3005,S$5)=0,"",SUMIFS(請求記録!$AE$6:$AE$3005,請求記録!$B$6:$B$3005,$A282,請求記録!$Z$6:$Z$3005,S$5))))</f>
        <v/>
      </c>
      <c r="T282" s="19">
        <f>IF($A282="","",IF(COUNTIFS(請求記録!$B$6:$B$3005,$A282,請求記録!$Z$6:$Z$3005,T$5,請求記録!$AF$6:$AF$3005,"保留中")&gt;0,"保留",IF(COUNTIFS(請求記録!$B$6:$B$3005,$A282,請求記録!$Z$6:$Z$3005,T$5)=0,"",SUMIFS(請求記録!$AE$6:$AE$3005,請求記録!$B$6:$B$3005,$A282,請求記録!$Z$6:$Z$3005,T$5))))</f>
        <v/>
      </c>
      <c r="U282" s="19">
        <f>IF($A282="","",IF(COUNTIFS(請求記録!$B$6:$B$3005,$A282,請求記録!$Z$6:$Z$3005,U$5,請求記録!$AF$6:$AF$3005,"保留中")&gt;0,"保留",IF(COUNTIFS(請求記録!$B$6:$B$3005,$A282,請求記録!$Z$6:$Z$3005,U$5)=0,"",SUMIFS(請求記録!$AE$6:$AE$3005,請求記録!$B$6:$B$3005,$A282,請求記録!$Z$6:$Z$3005,U$5))))</f>
        <v/>
      </c>
      <c r="V282" s="19">
        <f>IF($A282="","",IF(COUNTIFS(請求記録!$B$6:$B$3005,$A282,請求記録!$Z$6:$Z$3005,V$5,請求記録!$AF$6:$AF$3005,"保留中")&gt;0,"保留",IF(COUNTIFS(請求記録!$B$6:$B$3005,$A282,請求記録!$Z$6:$Z$3005,V$5)=0,"",SUMIFS(請求記録!$AE$6:$AE$3005,請求記録!$B$6:$B$3005,$A282,請求記録!$Z$6:$Z$3005,V$5))))</f>
        <v/>
      </c>
      <c r="W282" s="19">
        <f>IF($A282="","",IF(COUNTIFS(請求記録!$B$6:$B$3005,$A282,請求記録!$Z$6:$Z$3005,W$5,請求記録!$AF$6:$AF$3005,"保留中")&gt;0,"保留",IF(COUNTIFS(請求記録!$B$6:$B$3005,$A282,請求記録!$Z$6:$Z$3005,W$5)=0,"",SUMIFS(請求記録!$AE$6:$AE$3005,請求記録!$B$6:$B$3005,$A282,請求記録!$Z$6:$Z$3005,W$5))))</f>
        <v/>
      </c>
      <c r="X282" s="19">
        <f>IF($A282="","",IF(COUNTIFS(請求記録!$B$6:$B$3005,$A282,請求記録!$Z$6:$Z$3005,X$5,請求記録!$AF$6:$AF$3005,"保留中")&gt;0,"保留",IF(COUNTIFS(請求記録!$B$6:$B$3005,$A282,請求記録!$Z$6:$Z$3005,X$5)=0,"",SUMIFS(請求記録!$AE$6:$AE$3005,請求記録!$B$6:$B$3005,$A282,請求記録!$Z$6:$Z$3005,X$5))))</f>
        <v/>
      </c>
      <c r="Y282" s="19">
        <f>IF($A282="","",IF(COUNTIFS(請求記録!$B$6:$B$3005,$A282,請求記録!$Z$6:$Z$3005,Y$5,請求記録!$AF$6:$AF$3005,"保留中")&gt;0,"保留",IF(COUNTIFS(請求記録!$B$6:$B$3005,$A282,請求記録!$Z$6:$Z$3005,Y$5)=0,"",SUMIFS(請求記録!$AE$6:$AE$3005,請求記録!$B$6:$B$3005,$A282,請求記録!$Z$6:$Z$3005,Y$5))))</f>
        <v/>
      </c>
      <c r="Z282" s="19">
        <f>IF($A282="","",IF(COUNTIFS(請求記録!$B$6:$B$3005,$A282,請求記録!$Z$6:$Z$3005,Z$5,請求記録!$AF$6:$AF$3005,"保留中")&gt;0,"保留",IF(COUNTIFS(請求記録!$B$6:$B$3005,$A282,請求記録!$Z$6:$Z$3005,Z$5)=0,"",SUMIFS(請求記録!$AE$6:$AE$3005,請求記録!$B$6:$B$3005,$A282,請求記録!$Z$6:$Z$3005,Z$5))))</f>
        <v/>
      </c>
      <c r="AA282" s="19">
        <f>IF($A282="","",IF(COUNTIFS(請求記録!$B$6:$B$3005,$A282,請求記録!$Z$6:$Z$3005,AA$5,請求記録!$AF$6:$AF$3005,"保留中")&gt;0,"保留",IF(COUNTIFS(請求記録!$B$6:$B$3005,$A282,請求記録!$Z$6:$Z$3005,AA$5)=0,"",SUMIFS(請求記録!$AE$6:$AE$3005,請求記録!$B$6:$B$3005,$A282,請求記録!$Z$6:$Z$3005,AA$5))))</f>
        <v/>
      </c>
      <c r="AB282">
        <f>IF(職員マスタ!P282="保留中",職員マスタ!M282,"")</f>
        <v/>
      </c>
    </row>
    <row r="283">
      <c r="A283">
        <f>IF(職員マスタ!A283="","",職員マスタ!A283)</f>
        <v/>
      </c>
      <c r="B283">
        <f>IF($A283="","",職員マスタ!B283)</f>
        <v/>
      </c>
      <c r="C283">
        <f>IF($A283="","",職員マスタ!C283)</f>
        <v/>
      </c>
      <c r="D283" s="19">
        <f>IF($A283="","",IF(COUNTIFS(請求記録!$B$6:$B$3005,$A283,請求記録!$Z$6:$Z$3005,D$5,請求記録!$AF$6:$AF$3005,"保留中")&gt;0,"保留",IF(COUNTIFS(請求記録!$B$6:$B$3005,$A283,請求記録!$Z$6:$Z$3005,D$5)=0,"",SUMIFS(請求記録!$AE$6:$AE$3005,請求記録!$B$6:$B$3005,$A283,請求記録!$Z$6:$Z$3005,D$5))))</f>
        <v/>
      </c>
      <c r="E283" s="19">
        <f>IF($A283="","",IF(COUNTIFS(請求記録!$B$6:$B$3005,$A283,請求記録!$Z$6:$Z$3005,E$5,請求記録!$AF$6:$AF$3005,"保留中")&gt;0,"保留",IF(COUNTIFS(請求記録!$B$6:$B$3005,$A283,請求記録!$Z$6:$Z$3005,E$5)=0,"",SUMIFS(請求記録!$AE$6:$AE$3005,請求記録!$B$6:$B$3005,$A283,請求記録!$Z$6:$Z$3005,E$5))))</f>
        <v/>
      </c>
      <c r="F283" s="19">
        <f>IF($A283="","",IF(COUNTIFS(請求記録!$B$6:$B$3005,$A283,請求記録!$Z$6:$Z$3005,F$5,請求記録!$AF$6:$AF$3005,"保留中")&gt;0,"保留",IF(COUNTIFS(請求記録!$B$6:$B$3005,$A283,請求記録!$Z$6:$Z$3005,F$5)=0,"",SUMIFS(請求記録!$AE$6:$AE$3005,請求記録!$B$6:$B$3005,$A283,請求記録!$Z$6:$Z$3005,F$5))))</f>
        <v/>
      </c>
      <c r="G283" s="19">
        <f>IF($A283="","",IF(COUNTIFS(請求記録!$B$6:$B$3005,$A283,請求記録!$Z$6:$Z$3005,G$5,請求記録!$AF$6:$AF$3005,"保留中")&gt;0,"保留",IF(COUNTIFS(請求記録!$B$6:$B$3005,$A283,請求記録!$Z$6:$Z$3005,G$5)=0,"",SUMIFS(請求記録!$AE$6:$AE$3005,請求記録!$B$6:$B$3005,$A283,請求記録!$Z$6:$Z$3005,G$5))))</f>
        <v/>
      </c>
      <c r="H283" s="19">
        <f>IF($A283="","",IF(COUNTIFS(請求記録!$B$6:$B$3005,$A283,請求記録!$Z$6:$Z$3005,H$5,請求記録!$AF$6:$AF$3005,"保留中")&gt;0,"保留",IF(COUNTIFS(請求記録!$B$6:$B$3005,$A283,請求記録!$Z$6:$Z$3005,H$5)=0,"",SUMIFS(請求記録!$AE$6:$AE$3005,請求記録!$B$6:$B$3005,$A283,請求記録!$Z$6:$Z$3005,H$5))))</f>
        <v/>
      </c>
      <c r="I283" s="19">
        <f>IF($A283="","",IF(COUNTIFS(請求記録!$B$6:$B$3005,$A283,請求記録!$Z$6:$Z$3005,I$5,請求記録!$AF$6:$AF$3005,"保留中")&gt;0,"保留",IF(COUNTIFS(請求記録!$B$6:$B$3005,$A283,請求記録!$Z$6:$Z$3005,I$5)=0,"",SUMIFS(請求記録!$AE$6:$AE$3005,請求記録!$B$6:$B$3005,$A283,請求記録!$Z$6:$Z$3005,I$5))))</f>
        <v/>
      </c>
      <c r="J283" s="19">
        <f>IF($A283="","",IF(COUNTIFS(請求記録!$B$6:$B$3005,$A283,請求記録!$Z$6:$Z$3005,J$5,請求記録!$AF$6:$AF$3005,"保留中")&gt;0,"保留",IF(COUNTIFS(請求記録!$B$6:$B$3005,$A283,請求記録!$Z$6:$Z$3005,J$5)=0,"",SUMIFS(請求記録!$AE$6:$AE$3005,請求記録!$B$6:$B$3005,$A283,請求記録!$Z$6:$Z$3005,J$5))))</f>
        <v/>
      </c>
      <c r="K283" s="19">
        <f>IF($A283="","",IF(COUNTIFS(請求記録!$B$6:$B$3005,$A283,請求記録!$Z$6:$Z$3005,K$5,請求記録!$AF$6:$AF$3005,"保留中")&gt;0,"保留",IF(COUNTIFS(請求記録!$B$6:$B$3005,$A283,請求記録!$Z$6:$Z$3005,K$5)=0,"",SUMIFS(請求記録!$AE$6:$AE$3005,請求記録!$B$6:$B$3005,$A283,請求記録!$Z$6:$Z$3005,K$5))))</f>
        <v/>
      </c>
      <c r="L283" s="19">
        <f>IF($A283="","",IF(COUNTIFS(請求記録!$B$6:$B$3005,$A283,請求記録!$Z$6:$Z$3005,L$5,請求記録!$AF$6:$AF$3005,"保留中")&gt;0,"保留",IF(COUNTIFS(請求記録!$B$6:$B$3005,$A283,請求記録!$Z$6:$Z$3005,L$5)=0,"",SUMIFS(請求記録!$AE$6:$AE$3005,請求記録!$B$6:$B$3005,$A283,請求記録!$Z$6:$Z$3005,L$5))))</f>
        <v/>
      </c>
      <c r="M283" s="19">
        <f>IF($A283="","",IF(COUNTIFS(請求記録!$B$6:$B$3005,$A283,請求記録!$Z$6:$Z$3005,M$5,請求記録!$AF$6:$AF$3005,"保留中")&gt;0,"保留",IF(COUNTIFS(請求記録!$B$6:$B$3005,$A283,請求記録!$Z$6:$Z$3005,M$5)=0,"",SUMIFS(請求記録!$AE$6:$AE$3005,請求記録!$B$6:$B$3005,$A283,請求記録!$Z$6:$Z$3005,M$5))))</f>
        <v/>
      </c>
      <c r="N283" s="19">
        <f>IF($A283="","",IF(COUNTIFS(請求記録!$B$6:$B$3005,$A283,請求記録!$Z$6:$Z$3005,N$5,請求記録!$AF$6:$AF$3005,"保留中")&gt;0,"保留",IF(COUNTIFS(請求記録!$B$6:$B$3005,$A283,請求記録!$Z$6:$Z$3005,N$5)=0,"",SUMIFS(請求記録!$AE$6:$AE$3005,請求記録!$B$6:$B$3005,$A283,請求記録!$Z$6:$Z$3005,N$5))))</f>
        <v/>
      </c>
      <c r="O283" s="19">
        <f>IF($A283="","",IF(COUNTIFS(請求記録!$B$6:$B$3005,$A283,請求記録!$Z$6:$Z$3005,O$5,請求記録!$AF$6:$AF$3005,"保留中")&gt;0,"保留",IF(COUNTIFS(請求記録!$B$6:$B$3005,$A283,請求記録!$Z$6:$Z$3005,O$5)=0,"",SUMIFS(請求記録!$AE$6:$AE$3005,請求記録!$B$6:$B$3005,$A283,請求記録!$Z$6:$Z$3005,O$5))))</f>
        <v/>
      </c>
      <c r="P283" s="19">
        <f>IF($A283="","",IF(COUNTIFS(請求記録!$B$6:$B$3005,$A283,請求記録!$Z$6:$Z$3005,P$5,請求記録!$AF$6:$AF$3005,"保留中")&gt;0,"保留",IF(COUNTIFS(請求記録!$B$6:$B$3005,$A283,請求記録!$Z$6:$Z$3005,P$5)=0,"",SUMIFS(請求記録!$AE$6:$AE$3005,請求記録!$B$6:$B$3005,$A283,請求記録!$Z$6:$Z$3005,P$5))))</f>
        <v/>
      </c>
      <c r="Q283" s="19">
        <f>IF($A283="","",IF(COUNTIFS(請求記録!$B$6:$B$3005,$A283,請求記録!$Z$6:$Z$3005,Q$5,請求記録!$AF$6:$AF$3005,"保留中")&gt;0,"保留",IF(COUNTIFS(請求記録!$B$6:$B$3005,$A283,請求記録!$Z$6:$Z$3005,Q$5)=0,"",SUMIFS(請求記録!$AE$6:$AE$3005,請求記録!$B$6:$B$3005,$A283,請求記録!$Z$6:$Z$3005,Q$5))))</f>
        <v/>
      </c>
      <c r="R283" s="19">
        <f>IF($A283="","",IF(COUNTIFS(請求記録!$B$6:$B$3005,$A283,請求記録!$Z$6:$Z$3005,R$5,請求記録!$AF$6:$AF$3005,"保留中")&gt;0,"保留",IF(COUNTIFS(請求記録!$B$6:$B$3005,$A283,請求記録!$Z$6:$Z$3005,R$5)=0,"",SUMIFS(請求記録!$AE$6:$AE$3005,請求記録!$B$6:$B$3005,$A283,請求記録!$Z$6:$Z$3005,R$5))))</f>
        <v/>
      </c>
      <c r="S283" s="19">
        <f>IF($A283="","",IF(COUNTIFS(請求記録!$B$6:$B$3005,$A283,請求記録!$Z$6:$Z$3005,S$5,請求記録!$AF$6:$AF$3005,"保留中")&gt;0,"保留",IF(COUNTIFS(請求記録!$B$6:$B$3005,$A283,請求記録!$Z$6:$Z$3005,S$5)=0,"",SUMIFS(請求記録!$AE$6:$AE$3005,請求記録!$B$6:$B$3005,$A283,請求記録!$Z$6:$Z$3005,S$5))))</f>
        <v/>
      </c>
      <c r="T283" s="19">
        <f>IF($A283="","",IF(COUNTIFS(請求記録!$B$6:$B$3005,$A283,請求記録!$Z$6:$Z$3005,T$5,請求記録!$AF$6:$AF$3005,"保留中")&gt;0,"保留",IF(COUNTIFS(請求記録!$B$6:$B$3005,$A283,請求記録!$Z$6:$Z$3005,T$5)=0,"",SUMIFS(請求記録!$AE$6:$AE$3005,請求記録!$B$6:$B$3005,$A283,請求記録!$Z$6:$Z$3005,T$5))))</f>
        <v/>
      </c>
      <c r="U283" s="19">
        <f>IF($A283="","",IF(COUNTIFS(請求記録!$B$6:$B$3005,$A283,請求記録!$Z$6:$Z$3005,U$5,請求記録!$AF$6:$AF$3005,"保留中")&gt;0,"保留",IF(COUNTIFS(請求記録!$B$6:$B$3005,$A283,請求記録!$Z$6:$Z$3005,U$5)=0,"",SUMIFS(請求記録!$AE$6:$AE$3005,請求記録!$B$6:$B$3005,$A283,請求記録!$Z$6:$Z$3005,U$5))))</f>
        <v/>
      </c>
      <c r="V283" s="19">
        <f>IF($A283="","",IF(COUNTIFS(請求記録!$B$6:$B$3005,$A283,請求記録!$Z$6:$Z$3005,V$5,請求記録!$AF$6:$AF$3005,"保留中")&gt;0,"保留",IF(COUNTIFS(請求記録!$B$6:$B$3005,$A283,請求記録!$Z$6:$Z$3005,V$5)=0,"",SUMIFS(請求記録!$AE$6:$AE$3005,請求記録!$B$6:$B$3005,$A283,請求記録!$Z$6:$Z$3005,V$5))))</f>
        <v/>
      </c>
      <c r="W283" s="19">
        <f>IF($A283="","",IF(COUNTIFS(請求記録!$B$6:$B$3005,$A283,請求記録!$Z$6:$Z$3005,W$5,請求記録!$AF$6:$AF$3005,"保留中")&gt;0,"保留",IF(COUNTIFS(請求記録!$B$6:$B$3005,$A283,請求記録!$Z$6:$Z$3005,W$5)=0,"",SUMIFS(請求記録!$AE$6:$AE$3005,請求記録!$B$6:$B$3005,$A283,請求記録!$Z$6:$Z$3005,W$5))))</f>
        <v/>
      </c>
      <c r="X283" s="19">
        <f>IF($A283="","",IF(COUNTIFS(請求記録!$B$6:$B$3005,$A283,請求記録!$Z$6:$Z$3005,X$5,請求記録!$AF$6:$AF$3005,"保留中")&gt;0,"保留",IF(COUNTIFS(請求記録!$B$6:$B$3005,$A283,請求記録!$Z$6:$Z$3005,X$5)=0,"",SUMIFS(請求記録!$AE$6:$AE$3005,請求記録!$B$6:$B$3005,$A283,請求記録!$Z$6:$Z$3005,X$5))))</f>
        <v/>
      </c>
      <c r="Y283" s="19">
        <f>IF($A283="","",IF(COUNTIFS(請求記録!$B$6:$B$3005,$A283,請求記録!$Z$6:$Z$3005,Y$5,請求記録!$AF$6:$AF$3005,"保留中")&gt;0,"保留",IF(COUNTIFS(請求記録!$B$6:$B$3005,$A283,請求記録!$Z$6:$Z$3005,Y$5)=0,"",SUMIFS(請求記録!$AE$6:$AE$3005,請求記録!$B$6:$B$3005,$A283,請求記録!$Z$6:$Z$3005,Y$5))))</f>
        <v/>
      </c>
      <c r="Z283" s="19">
        <f>IF($A283="","",IF(COUNTIFS(請求記録!$B$6:$B$3005,$A283,請求記録!$Z$6:$Z$3005,Z$5,請求記録!$AF$6:$AF$3005,"保留中")&gt;0,"保留",IF(COUNTIFS(請求記録!$B$6:$B$3005,$A283,請求記録!$Z$6:$Z$3005,Z$5)=0,"",SUMIFS(請求記録!$AE$6:$AE$3005,請求記録!$B$6:$B$3005,$A283,請求記録!$Z$6:$Z$3005,Z$5))))</f>
        <v/>
      </c>
      <c r="AA283" s="19">
        <f>IF($A283="","",IF(COUNTIFS(請求記録!$B$6:$B$3005,$A283,請求記録!$Z$6:$Z$3005,AA$5,請求記録!$AF$6:$AF$3005,"保留中")&gt;0,"保留",IF(COUNTIFS(請求記録!$B$6:$B$3005,$A283,請求記録!$Z$6:$Z$3005,AA$5)=0,"",SUMIFS(請求記録!$AE$6:$AE$3005,請求記録!$B$6:$B$3005,$A283,請求記録!$Z$6:$Z$3005,AA$5))))</f>
        <v/>
      </c>
      <c r="AB283">
        <f>IF(職員マスタ!P283="保留中",職員マスタ!M283,"")</f>
        <v/>
      </c>
    </row>
    <row r="284">
      <c r="A284">
        <f>IF(職員マスタ!A284="","",職員マスタ!A284)</f>
        <v/>
      </c>
      <c r="B284">
        <f>IF($A284="","",職員マスタ!B284)</f>
        <v/>
      </c>
      <c r="C284">
        <f>IF($A284="","",職員マスタ!C284)</f>
        <v/>
      </c>
      <c r="D284" s="19">
        <f>IF($A284="","",IF(COUNTIFS(請求記録!$B$6:$B$3005,$A284,請求記録!$Z$6:$Z$3005,D$5,請求記録!$AF$6:$AF$3005,"保留中")&gt;0,"保留",IF(COUNTIFS(請求記録!$B$6:$B$3005,$A284,請求記録!$Z$6:$Z$3005,D$5)=0,"",SUMIFS(請求記録!$AE$6:$AE$3005,請求記録!$B$6:$B$3005,$A284,請求記録!$Z$6:$Z$3005,D$5))))</f>
        <v/>
      </c>
      <c r="E284" s="19">
        <f>IF($A284="","",IF(COUNTIFS(請求記録!$B$6:$B$3005,$A284,請求記録!$Z$6:$Z$3005,E$5,請求記録!$AF$6:$AF$3005,"保留中")&gt;0,"保留",IF(COUNTIFS(請求記録!$B$6:$B$3005,$A284,請求記録!$Z$6:$Z$3005,E$5)=0,"",SUMIFS(請求記録!$AE$6:$AE$3005,請求記録!$B$6:$B$3005,$A284,請求記録!$Z$6:$Z$3005,E$5))))</f>
        <v/>
      </c>
      <c r="F284" s="19">
        <f>IF($A284="","",IF(COUNTIFS(請求記録!$B$6:$B$3005,$A284,請求記録!$Z$6:$Z$3005,F$5,請求記録!$AF$6:$AF$3005,"保留中")&gt;0,"保留",IF(COUNTIFS(請求記録!$B$6:$B$3005,$A284,請求記録!$Z$6:$Z$3005,F$5)=0,"",SUMIFS(請求記録!$AE$6:$AE$3005,請求記録!$B$6:$B$3005,$A284,請求記録!$Z$6:$Z$3005,F$5))))</f>
        <v/>
      </c>
      <c r="G284" s="19">
        <f>IF($A284="","",IF(COUNTIFS(請求記録!$B$6:$B$3005,$A284,請求記録!$Z$6:$Z$3005,G$5,請求記録!$AF$6:$AF$3005,"保留中")&gt;0,"保留",IF(COUNTIFS(請求記録!$B$6:$B$3005,$A284,請求記録!$Z$6:$Z$3005,G$5)=0,"",SUMIFS(請求記録!$AE$6:$AE$3005,請求記録!$B$6:$B$3005,$A284,請求記録!$Z$6:$Z$3005,G$5))))</f>
        <v/>
      </c>
      <c r="H284" s="19">
        <f>IF($A284="","",IF(COUNTIFS(請求記録!$B$6:$B$3005,$A284,請求記録!$Z$6:$Z$3005,H$5,請求記録!$AF$6:$AF$3005,"保留中")&gt;0,"保留",IF(COUNTIFS(請求記録!$B$6:$B$3005,$A284,請求記録!$Z$6:$Z$3005,H$5)=0,"",SUMIFS(請求記録!$AE$6:$AE$3005,請求記録!$B$6:$B$3005,$A284,請求記録!$Z$6:$Z$3005,H$5))))</f>
        <v/>
      </c>
      <c r="I284" s="19">
        <f>IF($A284="","",IF(COUNTIFS(請求記録!$B$6:$B$3005,$A284,請求記録!$Z$6:$Z$3005,I$5,請求記録!$AF$6:$AF$3005,"保留中")&gt;0,"保留",IF(COUNTIFS(請求記録!$B$6:$B$3005,$A284,請求記録!$Z$6:$Z$3005,I$5)=0,"",SUMIFS(請求記録!$AE$6:$AE$3005,請求記録!$B$6:$B$3005,$A284,請求記録!$Z$6:$Z$3005,I$5))))</f>
        <v/>
      </c>
      <c r="J284" s="19">
        <f>IF($A284="","",IF(COUNTIFS(請求記録!$B$6:$B$3005,$A284,請求記録!$Z$6:$Z$3005,J$5,請求記録!$AF$6:$AF$3005,"保留中")&gt;0,"保留",IF(COUNTIFS(請求記録!$B$6:$B$3005,$A284,請求記録!$Z$6:$Z$3005,J$5)=0,"",SUMIFS(請求記録!$AE$6:$AE$3005,請求記録!$B$6:$B$3005,$A284,請求記録!$Z$6:$Z$3005,J$5))))</f>
        <v/>
      </c>
      <c r="K284" s="19">
        <f>IF($A284="","",IF(COUNTIFS(請求記録!$B$6:$B$3005,$A284,請求記録!$Z$6:$Z$3005,K$5,請求記録!$AF$6:$AF$3005,"保留中")&gt;0,"保留",IF(COUNTIFS(請求記録!$B$6:$B$3005,$A284,請求記録!$Z$6:$Z$3005,K$5)=0,"",SUMIFS(請求記録!$AE$6:$AE$3005,請求記録!$B$6:$B$3005,$A284,請求記録!$Z$6:$Z$3005,K$5))))</f>
        <v/>
      </c>
      <c r="L284" s="19">
        <f>IF($A284="","",IF(COUNTIFS(請求記録!$B$6:$B$3005,$A284,請求記録!$Z$6:$Z$3005,L$5,請求記録!$AF$6:$AF$3005,"保留中")&gt;0,"保留",IF(COUNTIFS(請求記録!$B$6:$B$3005,$A284,請求記録!$Z$6:$Z$3005,L$5)=0,"",SUMIFS(請求記録!$AE$6:$AE$3005,請求記録!$B$6:$B$3005,$A284,請求記録!$Z$6:$Z$3005,L$5))))</f>
        <v/>
      </c>
      <c r="M284" s="19">
        <f>IF($A284="","",IF(COUNTIFS(請求記録!$B$6:$B$3005,$A284,請求記録!$Z$6:$Z$3005,M$5,請求記録!$AF$6:$AF$3005,"保留中")&gt;0,"保留",IF(COUNTIFS(請求記録!$B$6:$B$3005,$A284,請求記録!$Z$6:$Z$3005,M$5)=0,"",SUMIFS(請求記録!$AE$6:$AE$3005,請求記録!$B$6:$B$3005,$A284,請求記録!$Z$6:$Z$3005,M$5))))</f>
        <v/>
      </c>
      <c r="N284" s="19">
        <f>IF($A284="","",IF(COUNTIFS(請求記録!$B$6:$B$3005,$A284,請求記録!$Z$6:$Z$3005,N$5,請求記録!$AF$6:$AF$3005,"保留中")&gt;0,"保留",IF(COUNTIFS(請求記録!$B$6:$B$3005,$A284,請求記録!$Z$6:$Z$3005,N$5)=0,"",SUMIFS(請求記録!$AE$6:$AE$3005,請求記録!$B$6:$B$3005,$A284,請求記録!$Z$6:$Z$3005,N$5))))</f>
        <v/>
      </c>
      <c r="O284" s="19">
        <f>IF($A284="","",IF(COUNTIFS(請求記録!$B$6:$B$3005,$A284,請求記録!$Z$6:$Z$3005,O$5,請求記録!$AF$6:$AF$3005,"保留中")&gt;0,"保留",IF(COUNTIFS(請求記録!$B$6:$B$3005,$A284,請求記録!$Z$6:$Z$3005,O$5)=0,"",SUMIFS(請求記録!$AE$6:$AE$3005,請求記録!$B$6:$B$3005,$A284,請求記録!$Z$6:$Z$3005,O$5))))</f>
        <v/>
      </c>
      <c r="P284" s="19">
        <f>IF($A284="","",IF(COUNTIFS(請求記録!$B$6:$B$3005,$A284,請求記録!$Z$6:$Z$3005,P$5,請求記録!$AF$6:$AF$3005,"保留中")&gt;0,"保留",IF(COUNTIFS(請求記録!$B$6:$B$3005,$A284,請求記録!$Z$6:$Z$3005,P$5)=0,"",SUMIFS(請求記録!$AE$6:$AE$3005,請求記録!$B$6:$B$3005,$A284,請求記録!$Z$6:$Z$3005,P$5))))</f>
        <v/>
      </c>
      <c r="Q284" s="19">
        <f>IF($A284="","",IF(COUNTIFS(請求記録!$B$6:$B$3005,$A284,請求記録!$Z$6:$Z$3005,Q$5,請求記録!$AF$6:$AF$3005,"保留中")&gt;0,"保留",IF(COUNTIFS(請求記録!$B$6:$B$3005,$A284,請求記録!$Z$6:$Z$3005,Q$5)=0,"",SUMIFS(請求記録!$AE$6:$AE$3005,請求記録!$B$6:$B$3005,$A284,請求記録!$Z$6:$Z$3005,Q$5))))</f>
        <v/>
      </c>
      <c r="R284" s="19">
        <f>IF($A284="","",IF(COUNTIFS(請求記録!$B$6:$B$3005,$A284,請求記録!$Z$6:$Z$3005,R$5,請求記録!$AF$6:$AF$3005,"保留中")&gt;0,"保留",IF(COUNTIFS(請求記録!$B$6:$B$3005,$A284,請求記録!$Z$6:$Z$3005,R$5)=0,"",SUMIFS(請求記録!$AE$6:$AE$3005,請求記録!$B$6:$B$3005,$A284,請求記録!$Z$6:$Z$3005,R$5))))</f>
        <v/>
      </c>
      <c r="S284" s="19">
        <f>IF($A284="","",IF(COUNTIFS(請求記録!$B$6:$B$3005,$A284,請求記録!$Z$6:$Z$3005,S$5,請求記録!$AF$6:$AF$3005,"保留中")&gt;0,"保留",IF(COUNTIFS(請求記録!$B$6:$B$3005,$A284,請求記録!$Z$6:$Z$3005,S$5)=0,"",SUMIFS(請求記録!$AE$6:$AE$3005,請求記録!$B$6:$B$3005,$A284,請求記録!$Z$6:$Z$3005,S$5))))</f>
        <v/>
      </c>
      <c r="T284" s="19">
        <f>IF($A284="","",IF(COUNTIFS(請求記録!$B$6:$B$3005,$A284,請求記録!$Z$6:$Z$3005,T$5,請求記録!$AF$6:$AF$3005,"保留中")&gt;0,"保留",IF(COUNTIFS(請求記録!$B$6:$B$3005,$A284,請求記録!$Z$6:$Z$3005,T$5)=0,"",SUMIFS(請求記録!$AE$6:$AE$3005,請求記録!$B$6:$B$3005,$A284,請求記録!$Z$6:$Z$3005,T$5))))</f>
        <v/>
      </c>
      <c r="U284" s="19">
        <f>IF($A284="","",IF(COUNTIFS(請求記録!$B$6:$B$3005,$A284,請求記録!$Z$6:$Z$3005,U$5,請求記録!$AF$6:$AF$3005,"保留中")&gt;0,"保留",IF(COUNTIFS(請求記録!$B$6:$B$3005,$A284,請求記録!$Z$6:$Z$3005,U$5)=0,"",SUMIFS(請求記録!$AE$6:$AE$3005,請求記録!$B$6:$B$3005,$A284,請求記録!$Z$6:$Z$3005,U$5))))</f>
        <v/>
      </c>
      <c r="V284" s="19">
        <f>IF($A284="","",IF(COUNTIFS(請求記録!$B$6:$B$3005,$A284,請求記録!$Z$6:$Z$3005,V$5,請求記録!$AF$6:$AF$3005,"保留中")&gt;0,"保留",IF(COUNTIFS(請求記録!$B$6:$B$3005,$A284,請求記録!$Z$6:$Z$3005,V$5)=0,"",SUMIFS(請求記録!$AE$6:$AE$3005,請求記録!$B$6:$B$3005,$A284,請求記録!$Z$6:$Z$3005,V$5))))</f>
        <v/>
      </c>
      <c r="W284" s="19">
        <f>IF($A284="","",IF(COUNTIFS(請求記録!$B$6:$B$3005,$A284,請求記録!$Z$6:$Z$3005,W$5,請求記録!$AF$6:$AF$3005,"保留中")&gt;0,"保留",IF(COUNTIFS(請求記録!$B$6:$B$3005,$A284,請求記録!$Z$6:$Z$3005,W$5)=0,"",SUMIFS(請求記録!$AE$6:$AE$3005,請求記録!$B$6:$B$3005,$A284,請求記録!$Z$6:$Z$3005,W$5))))</f>
        <v/>
      </c>
      <c r="X284" s="19">
        <f>IF($A284="","",IF(COUNTIFS(請求記録!$B$6:$B$3005,$A284,請求記録!$Z$6:$Z$3005,X$5,請求記録!$AF$6:$AF$3005,"保留中")&gt;0,"保留",IF(COUNTIFS(請求記録!$B$6:$B$3005,$A284,請求記録!$Z$6:$Z$3005,X$5)=0,"",SUMIFS(請求記録!$AE$6:$AE$3005,請求記録!$B$6:$B$3005,$A284,請求記録!$Z$6:$Z$3005,X$5))))</f>
        <v/>
      </c>
      <c r="Y284" s="19">
        <f>IF($A284="","",IF(COUNTIFS(請求記録!$B$6:$B$3005,$A284,請求記録!$Z$6:$Z$3005,Y$5,請求記録!$AF$6:$AF$3005,"保留中")&gt;0,"保留",IF(COUNTIFS(請求記録!$B$6:$B$3005,$A284,請求記録!$Z$6:$Z$3005,Y$5)=0,"",SUMIFS(請求記録!$AE$6:$AE$3005,請求記録!$B$6:$B$3005,$A284,請求記録!$Z$6:$Z$3005,Y$5))))</f>
        <v/>
      </c>
      <c r="Z284" s="19">
        <f>IF($A284="","",IF(COUNTIFS(請求記録!$B$6:$B$3005,$A284,請求記録!$Z$6:$Z$3005,Z$5,請求記録!$AF$6:$AF$3005,"保留中")&gt;0,"保留",IF(COUNTIFS(請求記録!$B$6:$B$3005,$A284,請求記録!$Z$6:$Z$3005,Z$5)=0,"",SUMIFS(請求記録!$AE$6:$AE$3005,請求記録!$B$6:$B$3005,$A284,請求記録!$Z$6:$Z$3005,Z$5))))</f>
        <v/>
      </c>
      <c r="AA284" s="19">
        <f>IF($A284="","",IF(COUNTIFS(請求記録!$B$6:$B$3005,$A284,請求記録!$Z$6:$Z$3005,AA$5,請求記録!$AF$6:$AF$3005,"保留中")&gt;0,"保留",IF(COUNTIFS(請求記録!$B$6:$B$3005,$A284,請求記録!$Z$6:$Z$3005,AA$5)=0,"",SUMIFS(請求記録!$AE$6:$AE$3005,請求記録!$B$6:$B$3005,$A284,請求記録!$Z$6:$Z$3005,AA$5))))</f>
        <v/>
      </c>
      <c r="AB284">
        <f>IF(職員マスタ!P284="保留中",職員マスタ!M284,"")</f>
        <v/>
      </c>
    </row>
    <row r="285">
      <c r="A285">
        <f>IF(職員マスタ!A285="","",職員マスタ!A285)</f>
        <v/>
      </c>
      <c r="B285">
        <f>IF($A285="","",職員マスタ!B285)</f>
        <v/>
      </c>
      <c r="C285">
        <f>IF($A285="","",職員マスタ!C285)</f>
        <v/>
      </c>
      <c r="D285" s="19">
        <f>IF($A285="","",IF(COUNTIFS(請求記録!$B$6:$B$3005,$A285,請求記録!$Z$6:$Z$3005,D$5,請求記録!$AF$6:$AF$3005,"保留中")&gt;0,"保留",IF(COUNTIFS(請求記録!$B$6:$B$3005,$A285,請求記録!$Z$6:$Z$3005,D$5)=0,"",SUMIFS(請求記録!$AE$6:$AE$3005,請求記録!$B$6:$B$3005,$A285,請求記録!$Z$6:$Z$3005,D$5))))</f>
        <v/>
      </c>
      <c r="E285" s="19">
        <f>IF($A285="","",IF(COUNTIFS(請求記録!$B$6:$B$3005,$A285,請求記録!$Z$6:$Z$3005,E$5,請求記録!$AF$6:$AF$3005,"保留中")&gt;0,"保留",IF(COUNTIFS(請求記録!$B$6:$B$3005,$A285,請求記録!$Z$6:$Z$3005,E$5)=0,"",SUMIFS(請求記録!$AE$6:$AE$3005,請求記録!$B$6:$B$3005,$A285,請求記録!$Z$6:$Z$3005,E$5))))</f>
        <v/>
      </c>
      <c r="F285" s="19">
        <f>IF($A285="","",IF(COUNTIFS(請求記録!$B$6:$B$3005,$A285,請求記録!$Z$6:$Z$3005,F$5,請求記録!$AF$6:$AF$3005,"保留中")&gt;0,"保留",IF(COUNTIFS(請求記録!$B$6:$B$3005,$A285,請求記録!$Z$6:$Z$3005,F$5)=0,"",SUMIFS(請求記録!$AE$6:$AE$3005,請求記録!$B$6:$B$3005,$A285,請求記録!$Z$6:$Z$3005,F$5))))</f>
        <v/>
      </c>
      <c r="G285" s="19">
        <f>IF($A285="","",IF(COUNTIFS(請求記録!$B$6:$B$3005,$A285,請求記録!$Z$6:$Z$3005,G$5,請求記録!$AF$6:$AF$3005,"保留中")&gt;0,"保留",IF(COUNTIFS(請求記録!$B$6:$B$3005,$A285,請求記録!$Z$6:$Z$3005,G$5)=0,"",SUMIFS(請求記録!$AE$6:$AE$3005,請求記録!$B$6:$B$3005,$A285,請求記録!$Z$6:$Z$3005,G$5))))</f>
        <v/>
      </c>
      <c r="H285" s="19">
        <f>IF($A285="","",IF(COUNTIFS(請求記録!$B$6:$B$3005,$A285,請求記録!$Z$6:$Z$3005,H$5,請求記録!$AF$6:$AF$3005,"保留中")&gt;0,"保留",IF(COUNTIFS(請求記録!$B$6:$B$3005,$A285,請求記録!$Z$6:$Z$3005,H$5)=0,"",SUMIFS(請求記録!$AE$6:$AE$3005,請求記録!$B$6:$B$3005,$A285,請求記録!$Z$6:$Z$3005,H$5))))</f>
        <v/>
      </c>
      <c r="I285" s="19">
        <f>IF($A285="","",IF(COUNTIFS(請求記録!$B$6:$B$3005,$A285,請求記録!$Z$6:$Z$3005,I$5,請求記録!$AF$6:$AF$3005,"保留中")&gt;0,"保留",IF(COUNTIFS(請求記録!$B$6:$B$3005,$A285,請求記録!$Z$6:$Z$3005,I$5)=0,"",SUMIFS(請求記録!$AE$6:$AE$3005,請求記録!$B$6:$B$3005,$A285,請求記録!$Z$6:$Z$3005,I$5))))</f>
        <v/>
      </c>
      <c r="J285" s="19">
        <f>IF($A285="","",IF(COUNTIFS(請求記録!$B$6:$B$3005,$A285,請求記録!$Z$6:$Z$3005,J$5,請求記録!$AF$6:$AF$3005,"保留中")&gt;0,"保留",IF(COUNTIFS(請求記録!$B$6:$B$3005,$A285,請求記録!$Z$6:$Z$3005,J$5)=0,"",SUMIFS(請求記録!$AE$6:$AE$3005,請求記録!$B$6:$B$3005,$A285,請求記録!$Z$6:$Z$3005,J$5))))</f>
        <v/>
      </c>
      <c r="K285" s="19">
        <f>IF($A285="","",IF(COUNTIFS(請求記録!$B$6:$B$3005,$A285,請求記録!$Z$6:$Z$3005,K$5,請求記録!$AF$6:$AF$3005,"保留中")&gt;0,"保留",IF(COUNTIFS(請求記録!$B$6:$B$3005,$A285,請求記録!$Z$6:$Z$3005,K$5)=0,"",SUMIFS(請求記録!$AE$6:$AE$3005,請求記録!$B$6:$B$3005,$A285,請求記録!$Z$6:$Z$3005,K$5))))</f>
        <v/>
      </c>
      <c r="L285" s="19">
        <f>IF($A285="","",IF(COUNTIFS(請求記録!$B$6:$B$3005,$A285,請求記録!$Z$6:$Z$3005,L$5,請求記録!$AF$6:$AF$3005,"保留中")&gt;0,"保留",IF(COUNTIFS(請求記録!$B$6:$B$3005,$A285,請求記録!$Z$6:$Z$3005,L$5)=0,"",SUMIFS(請求記録!$AE$6:$AE$3005,請求記録!$B$6:$B$3005,$A285,請求記録!$Z$6:$Z$3005,L$5))))</f>
        <v/>
      </c>
      <c r="M285" s="19">
        <f>IF($A285="","",IF(COUNTIFS(請求記録!$B$6:$B$3005,$A285,請求記録!$Z$6:$Z$3005,M$5,請求記録!$AF$6:$AF$3005,"保留中")&gt;0,"保留",IF(COUNTIFS(請求記録!$B$6:$B$3005,$A285,請求記録!$Z$6:$Z$3005,M$5)=0,"",SUMIFS(請求記録!$AE$6:$AE$3005,請求記録!$B$6:$B$3005,$A285,請求記録!$Z$6:$Z$3005,M$5))))</f>
        <v/>
      </c>
      <c r="N285" s="19">
        <f>IF($A285="","",IF(COUNTIFS(請求記録!$B$6:$B$3005,$A285,請求記録!$Z$6:$Z$3005,N$5,請求記録!$AF$6:$AF$3005,"保留中")&gt;0,"保留",IF(COUNTIFS(請求記録!$B$6:$B$3005,$A285,請求記録!$Z$6:$Z$3005,N$5)=0,"",SUMIFS(請求記録!$AE$6:$AE$3005,請求記録!$B$6:$B$3005,$A285,請求記録!$Z$6:$Z$3005,N$5))))</f>
        <v/>
      </c>
      <c r="O285" s="19">
        <f>IF($A285="","",IF(COUNTIFS(請求記録!$B$6:$B$3005,$A285,請求記録!$Z$6:$Z$3005,O$5,請求記録!$AF$6:$AF$3005,"保留中")&gt;0,"保留",IF(COUNTIFS(請求記録!$B$6:$B$3005,$A285,請求記録!$Z$6:$Z$3005,O$5)=0,"",SUMIFS(請求記録!$AE$6:$AE$3005,請求記録!$B$6:$B$3005,$A285,請求記録!$Z$6:$Z$3005,O$5))))</f>
        <v/>
      </c>
      <c r="P285" s="19">
        <f>IF($A285="","",IF(COUNTIFS(請求記録!$B$6:$B$3005,$A285,請求記録!$Z$6:$Z$3005,P$5,請求記録!$AF$6:$AF$3005,"保留中")&gt;0,"保留",IF(COUNTIFS(請求記録!$B$6:$B$3005,$A285,請求記録!$Z$6:$Z$3005,P$5)=0,"",SUMIFS(請求記録!$AE$6:$AE$3005,請求記録!$B$6:$B$3005,$A285,請求記録!$Z$6:$Z$3005,P$5))))</f>
        <v/>
      </c>
      <c r="Q285" s="19">
        <f>IF($A285="","",IF(COUNTIFS(請求記録!$B$6:$B$3005,$A285,請求記録!$Z$6:$Z$3005,Q$5,請求記録!$AF$6:$AF$3005,"保留中")&gt;0,"保留",IF(COUNTIFS(請求記録!$B$6:$B$3005,$A285,請求記録!$Z$6:$Z$3005,Q$5)=0,"",SUMIFS(請求記録!$AE$6:$AE$3005,請求記録!$B$6:$B$3005,$A285,請求記録!$Z$6:$Z$3005,Q$5))))</f>
        <v/>
      </c>
      <c r="R285" s="19">
        <f>IF($A285="","",IF(COUNTIFS(請求記録!$B$6:$B$3005,$A285,請求記録!$Z$6:$Z$3005,R$5,請求記録!$AF$6:$AF$3005,"保留中")&gt;0,"保留",IF(COUNTIFS(請求記録!$B$6:$B$3005,$A285,請求記録!$Z$6:$Z$3005,R$5)=0,"",SUMIFS(請求記録!$AE$6:$AE$3005,請求記録!$B$6:$B$3005,$A285,請求記録!$Z$6:$Z$3005,R$5))))</f>
        <v/>
      </c>
      <c r="S285" s="19">
        <f>IF($A285="","",IF(COUNTIFS(請求記録!$B$6:$B$3005,$A285,請求記録!$Z$6:$Z$3005,S$5,請求記録!$AF$6:$AF$3005,"保留中")&gt;0,"保留",IF(COUNTIFS(請求記録!$B$6:$B$3005,$A285,請求記録!$Z$6:$Z$3005,S$5)=0,"",SUMIFS(請求記録!$AE$6:$AE$3005,請求記録!$B$6:$B$3005,$A285,請求記録!$Z$6:$Z$3005,S$5))))</f>
        <v/>
      </c>
      <c r="T285" s="19">
        <f>IF($A285="","",IF(COUNTIFS(請求記録!$B$6:$B$3005,$A285,請求記録!$Z$6:$Z$3005,T$5,請求記録!$AF$6:$AF$3005,"保留中")&gt;0,"保留",IF(COUNTIFS(請求記録!$B$6:$B$3005,$A285,請求記録!$Z$6:$Z$3005,T$5)=0,"",SUMIFS(請求記録!$AE$6:$AE$3005,請求記録!$B$6:$B$3005,$A285,請求記録!$Z$6:$Z$3005,T$5))))</f>
        <v/>
      </c>
      <c r="U285" s="19">
        <f>IF($A285="","",IF(COUNTIFS(請求記録!$B$6:$B$3005,$A285,請求記録!$Z$6:$Z$3005,U$5,請求記録!$AF$6:$AF$3005,"保留中")&gt;0,"保留",IF(COUNTIFS(請求記録!$B$6:$B$3005,$A285,請求記録!$Z$6:$Z$3005,U$5)=0,"",SUMIFS(請求記録!$AE$6:$AE$3005,請求記録!$B$6:$B$3005,$A285,請求記録!$Z$6:$Z$3005,U$5))))</f>
        <v/>
      </c>
      <c r="V285" s="19">
        <f>IF($A285="","",IF(COUNTIFS(請求記録!$B$6:$B$3005,$A285,請求記録!$Z$6:$Z$3005,V$5,請求記録!$AF$6:$AF$3005,"保留中")&gt;0,"保留",IF(COUNTIFS(請求記録!$B$6:$B$3005,$A285,請求記録!$Z$6:$Z$3005,V$5)=0,"",SUMIFS(請求記録!$AE$6:$AE$3005,請求記録!$B$6:$B$3005,$A285,請求記録!$Z$6:$Z$3005,V$5))))</f>
        <v/>
      </c>
      <c r="W285" s="19">
        <f>IF($A285="","",IF(COUNTIFS(請求記録!$B$6:$B$3005,$A285,請求記録!$Z$6:$Z$3005,W$5,請求記録!$AF$6:$AF$3005,"保留中")&gt;0,"保留",IF(COUNTIFS(請求記録!$B$6:$B$3005,$A285,請求記録!$Z$6:$Z$3005,W$5)=0,"",SUMIFS(請求記録!$AE$6:$AE$3005,請求記録!$B$6:$B$3005,$A285,請求記録!$Z$6:$Z$3005,W$5))))</f>
        <v/>
      </c>
      <c r="X285" s="19">
        <f>IF($A285="","",IF(COUNTIFS(請求記録!$B$6:$B$3005,$A285,請求記録!$Z$6:$Z$3005,X$5,請求記録!$AF$6:$AF$3005,"保留中")&gt;0,"保留",IF(COUNTIFS(請求記録!$B$6:$B$3005,$A285,請求記録!$Z$6:$Z$3005,X$5)=0,"",SUMIFS(請求記録!$AE$6:$AE$3005,請求記録!$B$6:$B$3005,$A285,請求記録!$Z$6:$Z$3005,X$5))))</f>
        <v/>
      </c>
      <c r="Y285" s="19">
        <f>IF($A285="","",IF(COUNTIFS(請求記録!$B$6:$B$3005,$A285,請求記録!$Z$6:$Z$3005,Y$5,請求記録!$AF$6:$AF$3005,"保留中")&gt;0,"保留",IF(COUNTIFS(請求記録!$B$6:$B$3005,$A285,請求記録!$Z$6:$Z$3005,Y$5)=0,"",SUMIFS(請求記録!$AE$6:$AE$3005,請求記録!$B$6:$B$3005,$A285,請求記録!$Z$6:$Z$3005,Y$5))))</f>
        <v/>
      </c>
      <c r="Z285" s="19">
        <f>IF($A285="","",IF(COUNTIFS(請求記録!$B$6:$B$3005,$A285,請求記録!$Z$6:$Z$3005,Z$5,請求記録!$AF$6:$AF$3005,"保留中")&gt;0,"保留",IF(COUNTIFS(請求記録!$B$6:$B$3005,$A285,請求記録!$Z$6:$Z$3005,Z$5)=0,"",SUMIFS(請求記録!$AE$6:$AE$3005,請求記録!$B$6:$B$3005,$A285,請求記録!$Z$6:$Z$3005,Z$5))))</f>
        <v/>
      </c>
      <c r="AA285" s="19">
        <f>IF($A285="","",IF(COUNTIFS(請求記録!$B$6:$B$3005,$A285,請求記録!$Z$6:$Z$3005,AA$5,請求記録!$AF$6:$AF$3005,"保留中")&gt;0,"保留",IF(COUNTIFS(請求記録!$B$6:$B$3005,$A285,請求記録!$Z$6:$Z$3005,AA$5)=0,"",SUMIFS(請求記録!$AE$6:$AE$3005,請求記録!$B$6:$B$3005,$A285,請求記録!$Z$6:$Z$3005,AA$5))))</f>
        <v/>
      </c>
      <c r="AB285">
        <f>IF(職員マスタ!P285="保留中",職員マスタ!M285,"")</f>
        <v/>
      </c>
    </row>
    <row r="286">
      <c r="A286">
        <f>IF(職員マスタ!A286="","",職員マスタ!A286)</f>
        <v/>
      </c>
      <c r="B286">
        <f>IF($A286="","",職員マスタ!B286)</f>
        <v/>
      </c>
      <c r="C286">
        <f>IF($A286="","",職員マスタ!C286)</f>
        <v/>
      </c>
      <c r="D286" s="19">
        <f>IF($A286="","",IF(COUNTIFS(請求記録!$B$6:$B$3005,$A286,請求記録!$Z$6:$Z$3005,D$5,請求記録!$AF$6:$AF$3005,"保留中")&gt;0,"保留",IF(COUNTIFS(請求記録!$B$6:$B$3005,$A286,請求記録!$Z$6:$Z$3005,D$5)=0,"",SUMIFS(請求記録!$AE$6:$AE$3005,請求記録!$B$6:$B$3005,$A286,請求記録!$Z$6:$Z$3005,D$5))))</f>
        <v/>
      </c>
      <c r="E286" s="19">
        <f>IF($A286="","",IF(COUNTIFS(請求記録!$B$6:$B$3005,$A286,請求記録!$Z$6:$Z$3005,E$5,請求記録!$AF$6:$AF$3005,"保留中")&gt;0,"保留",IF(COUNTIFS(請求記録!$B$6:$B$3005,$A286,請求記録!$Z$6:$Z$3005,E$5)=0,"",SUMIFS(請求記録!$AE$6:$AE$3005,請求記録!$B$6:$B$3005,$A286,請求記録!$Z$6:$Z$3005,E$5))))</f>
        <v/>
      </c>
      <c r="F286" s="19">
        <f>IF($A286="","",IF(COUNTIFS(請求記録!$B$6:$B$3005,$A286,請求記録!$Z$6:$Z$3005,F$5,請求記録!$AF$6:$AF$3005,"保留中")&gt;0,"保留",IF(COUNTIFS(請求記録!$B$6:$B$3005,$A286,請求記録!$Z$6:$Z$3005,F$5)=0,"",SUMIFS(請求記録!$AE$6:$AE$3005,請求記録!$B$6:$B$3005,$A286,請求記録!$Z$6:$Z$3005,F$5))))</f>
        <v/>
      </c>
      <c r="G286" s="19">
        <f>IF($A286="","",IF(COUNTIFS(請求記録!$B$6:$B$3005,$A286,請求記録!$Z$6:$Z$3005,G$5,請求記録!$AF$6:$AF$3005,"保留中")&gt;0,"保留",IF(COUNTIFS(請求記録!$B$6:$B$3005,$A286,請求記録!$Z$6:$Z$3005,G$5)=0,"",SUMIFS(請求記録!$AE$6:$AE$3005,請求記録!$B$6:$B$3005,$A286,請求記録!$Z$6:$Z$3005,G$5))))</f>
        <v/>
      </c>
      <c r="H286" s="19">
        <f>IF($A286="","",IF(COUNTIFS(請求記録!$B$6:$B$3005,$A286,請求記録!$Z$6:$Z$3005,H$5,請求記録!$AF$6:$AF$3005,"保留中")&gt;0,"保留",IF(COUNTIFS(請求記録!$B$6:$B$3005,$A286,請求記録!$Z$6:$Z$3005,H$5)=0,"",SUMIFS(請求記録!$AE$6:$AE$3005,請求記録!$B$6:$B$3005,$A286,請求記録!$Z$6:$Z$3005,H$5))))</f>
        <v/>
      </c>
      <c r="I286" s="19">
        <f>IF($A286="","",IF(COUNTIFS(請求記録!$B$6:$B$3005,$A286,請求記録!$Z$6:$Z$3005,I$5,請求記録!$AF$6:$AF$3005,"保留中")&gt;0,"保留",IF(COUNTIFS(請求記録!$B$6:$B$3005,$A286,請求記録!$Z$6:$Z$3005,I$5)=0,"",SUMIFS(請求記録!$AE$6:$AE$3005,請求記録!$B$6:$B$3005,$A286,請求記録!$Z$6:$Z$3005,I$5))))</f>
        <v/>
      </c>
      <c r="J286" s="19">
        <f>IF($A286="","",IF(COUNTIFS(請求記録!$B$6:$B$3005,$A286,請求記録!$Z$6:$Z$3005,J$5,請求記録!$AF$6:$AF$3005,"保留中")&gt;0,"保留",IF(COUNTIFS(請求記録!$B$6:$B$3005,$A286,請求記録!$Z$6:$Z$3005,J$5)=0,"",SUMIFS(請求記録!$AE$6:$AE$3005,請求記録!$B$6:$B$3005,$A286,請求記録!$Z$6:$Z$3005,J$5))))</f>
        <v/>
      </c>
      <c r="K286" s="19">
        <f>IF($A286="","",IF(COUNTIFS(請求記録!$B$6:$B$3005,$A286,請求記録!$Z$6:$Z$3005,K$5,請求記録!$AF$6:$AF$3005,"保留中")&gt;0,"保留",IF(COUNTIFS(請求記録!$B$6:$B$3005,$A286,請求記録!$Z$6:$Z$3005,K$5)=0,"",SUMIFS(請求記録!$AE$6:$AE$3005,請求記録!$B$6:$B$3005,$A286,請求記録!$Z$6:$Z$3005,K$5))))</f>
        <v/>
      </c>
      <c r="L286" s="19">
        <f>IF($A286="","",IF(COUNTIFS(請求記録!$B$6:$B$3005,$A286,請求記録!$Z$6:$Z$3005,L$5,請求記録!$AF$6:$AF$3005,"保留中")&gt;0,"保留",IF(COUNTIFS(請求記録!$B$6:$B$3005,$A286,請求記録!$Z$6:$Z$3005,L$5)=0,"",SUMIFS(請求記録!$AE$6:$AE$3005,請求記録!$B$6:$B$3005,$A286,請求記録!$Z$6:$Z$3005,L$5))))</f>
        <v/>
      </c>
      <c r="M286" s="19">
        <f>IF($A286="","",IF(COUNTIFS(請求記録!$B$6:$B$3005,$A286,請求記録!$Z$6:$Z$3005,M$5,請求記録!$AF$6:$AF$3005,"保留中")&gt;0,"保留",IF(COUNTIFS(請求記録!$B$6:$B$3005,$A286,請求記録!$Z$6:$Z$3005,M$5)=0,"",SUMIFS(請求記録!$AE$6:$AE$3005,請求記録!$B$6:$B$3005,$A286,請求記録!$Z$6:$Z$3005,M$5))))</f>
        <v/>
      </c>
      <c r="N286" s="19">
        <f>IF($A286="","",IF(COUNTIFS(請求記録!$B$6:$B$3005,$A286,請求記録!$Z$6:$Z$3005,N$5,請求記録!$AF$6:$AF$3005,"保留中")&gt;0,"保留",IF(COUNTIFS(請求記録!$B$6:$B$3005,$A286,請求記録!$Z$6:$Z$3005,N$5)=0,"",SUMIFS(請求記録!$AE$6:$AE$3005,請求記録!$B$6:$B$3005,$A286,請求記録!$Z$6:$Z$3005,N$5))))</f>
        <v/>
      </c>
      <c r="O286" s="19">
        <f>IF($A286="","",IF(COUNTIFS(請求記録!$B$6:$B$3005,$A286,請求記録!$Z$6:$Z$3005,O$5,請求記録!$AF$6:$AF$3005,"保留中")&gt;0,"保留",IF(COUNTIFS(請求記録!$B$6:$B$3005,$A286,請求記録!$Z$6:$Z$3005,O$5)=0,"",SUMIFS(請求記録!$AE$6:$AE$3005,請求記録!$B$6:$B$3005,$A286,請求記録!$Z$6:$Z$3005,O$5))))</f>
        <v/>
      </c>
      <c r="P286" s="19">
        <f>IF($A286="","",IF(COUNTIFS(請求記録!$B$6:$B$3005,$A286,請求記録!$Z$6:$Z$3005,P$5,請求記録!$AF$6:$AF$3005,"保留中")&gt;0,"保留",IF(COUNTIFS(請求記録!$B$6:$B$3005,$A286,請求記録!$Z$6:$Z$3005,P$5)=0,"",SUMIFS(請求記録!$AE$6:$AE$3005,請求記録!$B$6:$B$3005,$A286,請求記録!$Z$6:$Z$3005,P$5))))</f>
        <v/>
      </c>
      <c r="Q286" s="19">
        <f>IF($A286="","",IF(COUNTIFS(請求記録!$B$6:$B$3005,$A286,請求記録!$Z$6:$Z$3005,Q$5,請求記録!$AF$6:$AF$3005,"保留中")&gt;0,"保留",IF(COUNTIFS(請求記録!$B$6:$B$3005,$A286,請求記録!$Z$6:$Z$3005,Q$5)=0,"",SUMIFS(請求記録!$AE$6:$AE$3005,請求記録!$B$6:$B$3005,$A286,請求記録!$Z$6:$Z$3005,Q$5))))</f>
        <v/>
      </c>
      <c r="R286" s="19">
        <f>IF($A286="","",IF(COUNTIFS(請求記録!$B$6:$B$3005,$A286,請求記録!$Z$6:$Z$3005,R$5,請求記録!$AF$6:$AF$3005,"保留中")&gt;0,"保留",IF(COUNTIFS(請求記録!$B$6:$B$3005,$A286,請求記録!$Z$6:$Z$3005,R$5)=0,"",SUMIFS(請求記録!$AE$6:$AE$3005,請求記録!$B$6:$B$3005,$A286,請求記録!$Z$6:$Z$3005,R$5))))</f>
        <v/>
      </c>
      <c r="S286" s="19">
        <f>IF($A286="","",IF(COUNTIFS(請求記録!$B$6:$B$3005,$A286,請求記録!$Z$6:$Z$3005,S$5,請求記録!$AF$6:$AF$3005,"保留中")&gt;0,"保留",IF(COUNTIFS(請求記録!$B$6:$B$3005,$A286,請求記録!$Z$6:$Z$3005,S$5)=0,"",SUMIFS(請求記録!$AE$6:$AE$3005,請求記録!$B$6:$B$3005,$A286,請求記録!$Z$6:$Z$3005,S$5))))</f>
        <v/>
      </c>
      <c r="T286" s="19">
        <f>IF($A286="","",IF(COUNTIFS(請求記録!$B$6:$B$3005,$A286,請求記録!$Z$6:$Z$3005,T$5,請求記録!$AF$6:$AF$3005,"保留中")&gt;0,"保留",IF(COUNTIFS(請求記録!$B$6:$B$3005,$A286,請求記録!$Z$6:$Z$3005,T$5)=0,"",SUMIFS(請求記録!$AE$6:$AE$3005,請求記録!$B$6:$B$3005,$A286,請求記録!$Z$6:$Z$3005,T$5))))</f>
        <v/>
      </c>
      <c r="U286" s="19">
        <f>IF($A286="","",IF(COUNTIFS(請求記録!$B$6:$B$3005,$A286,請求記録!$Z$6:$Z$3005,U$5,請求記録!$AF$6:$AF$3005,"保留中")&gt;0,"保留",IF(COUNTIFS(請求記録!$B$6:$B$3005,$A286,請求記録!$Z$6:$Z$3005,U$5)=0,"",SUMIFS(請求記録!$AE$6:$AE$3005,請求記録!$B$6:$B$3005,$A286,請求記録!$Z$6:$Z$3005,U$5))))</f>
        <v/>
      </c>
      <c r="V286" s="19">
        <f>IF($A286="","",IF(COUNTIFS(請求記録!$B$6:$B$3005,$A286,請求記録!$Z$6:$Z$3005,V$5,請求記録!$AF$6:$AF$3005,"保留中")&gt;0,"保留",IF(COUNTIFS(請求記録!$B$6:$B$3005,$A286,請求記録!$Z$6:$Z$3005,V$5)=0,"",SUMIFS(請求記録!$AE$6:$AE$3005,請求記録!$B$6:$B$3005,$A286,請求記録!$Z$6:$Z$3005,V$5))))</f>
        <v/>
      </c>
      <c r="W286" s="19">
        <f>IF($A286="","",IF(COUNTIFS(請求記録!$B$6:$B$3005,$A286,請求記録!$Z$6:$Z$3005,W$5,請求記録!$AF$6:$AF$3005,"保留中")&gt;0,"保留",IF(COUNTIFS(請求記録!$B$6:$B$3005,$A286,請求記録!$Z$6:$Z$3005,W$5)=0,"",SUMIFS(請求記録!$AE$6:$AE$3005,請求記録!$B$6:$B$3005,$A286,請求記録!$Z$6:$Z$3005,W$5))))</f>
        <v/>
      </c>
      <c r="X286" s="19">
        <f>IF($A286="","",IF(COUNTIFS(請求記録!$B$6:$B$3005,$A286,請求記録!$Z$6:$Z$3005,X$5,請求記録!$AF$6:$AF$3005,"保留中")&gt;0,"保留",IF(COUNTIFS(請求記録!$B$6:$B$3005,$A286,請求記録!$Z$6:$Z$3005,X$5)=0,"",SUMIFS(請求記録!$AE$6:$AE$3005,請求記録!$B$6:$B$3005,$A286,請求記録!$Z$6:$Z$3005,X$5))))</f>
        <v/>
      </c>
      <c r="Y286" s="19">
        <f>IF($A286="","",IF(COUNTIFS(請求記録!$B$6:$B$3005,$A286,請求記録!$Z$6:$Z$3005,Y$5,請求記録!$AF$6:$AF$3005,"保留中")&gt;0,"保留",IF(COUNTIFS(請求記録!$B$6:$B$3005,$A286,請求記録!$Z$6:$Z$3005,Y$5)=0,"",SUMIFS(請求記録!$AE$6:$AE$3005,請求記録!$B$6:$B$3005,$A286,請求記録!$Z$6:$Z$3005,Y$5))))</f>
        <v/>
      </c>
      <c r="Z286" s="19">
        <f>IF($A286="","",IF(COUNTIFS(請求記録!$B$6:$B$3005,$A286,請求記録!$Z$6:$Z$3005,Z$5,請求記録!$AF$6:$AF$3005,"保留中")&gt;0,"保留",IF(COUNTIFS(請求記録!$B$6:$B$3005,$A286,請求記録!$Z$6:$Z$3005,Z$5)=0,"",SUMIFS(請求記録!$AE$6:$AE$3005,請求記録!$B$6:$B$3005,$A286,請求記録!$Z$6:$Z$3005,Z$5))))</f>
        <v/>
      </c>
      <c r="AA286" s="19">
        <f>IF($A286="","",IF(COUNTIFS(請求記録!$B$6:$B$3005,$A286,請求記録!$Z$6:$Z$3005,AA$5,請求記録!$AF$6:$AF$3005,"保留中")&gt;0,"保留",IF(COUNTIFS(請求記録!$B$6:$B$3005,$A286,請求記録!$Z$6:$Z$3005,AA$5)=0,"",SUMIFS(請求記録!$AE$6:$AE$3005,請求記録!$B$6:$B$3005,$A286,請求記録!$Z$6:$Z$3005,AA$5))))</f>
        <v/>
      </c>
      <c r="AB286">
        <f>IF(職員マスタ!P286="保留中",職員マスタ!M286,"")</f>
        <v/>
      </c>
    </row>
    <row r="287">
      <c r="A287">
        <f>IF(職員マスタ!A287="","",職員マスタ!A287)</f>
        <v/>
      </c>
      <c r="B287">
        <f>IF($A287="","",職員マスタ!B287)</f>
        <v/>
      </c>
      <c r="C287">
        <f>IF($A287="","",職員マスタ!C287)</f>
        <v/>
      </c>
      <c r="D287" s="19">
        <f>IF($A287="","",IF(COUNTIFS(請求記録!$B$6:$B$3005,$A287,請求記録!$Z$6:$Z$3005,D$5,請求記録!$AF$6:$AF$3005,"保留中")&gt;0,"保留",IF(COUNTIFS(請求記録!$B$6:$B$3005,$A287,請求記録!$Z$6:$Z$3005,D$5)=0,"",SUMIFS(請求記録!$AE$6:$AE$3005,請求記録!$B$6:$B$3005,$A287,請求記録!$Z$6:$Z$3005,D$5))))</f>
        <v/>
      </c>
      <c r="E287" s="19">
        <f>IF($A287="","",IF(COUNTIFS(請求記録!$B$6:$B$3005,$A287,請求記録!$Z$6:$Z$3005,E$5,請求記録!$AF$6:$AF$3005,"保留中")&gt;0,"保留",IF(COUNTIFS(請求記録!$B$6:$B$3005,$A287,請求記録!$Z$6:$Z$3005,E$5)=0,"",SUMIFS(請求記録!$AE$6:$AE$3005,請求記録!$B$6:$B$3005,$A287,請求記録!$Z$6:$Z$3005,E$5))))</f>
        <v/>
      </c>
      <c r="F287" s="19">
        <f>IF($A287="","",IF(COUNTIFS(請求記録!$B$6:$B$3005,$A287,請求記録!$Z$6:$Z$3005,F$5,請求記録!$AF$6:$AF$3005,"保留中")&gt;0,"保留",IF(COUNTIFS(請求記録!$B$6:$B$3005,$A287,請求記録!$Z$6:$Z$3005,F$5)=0,"",SUMIFS(請求記録!$AE$6:$AE$3005,請求記録!$B$6:$B$3005,$A287,請求記録!$Z$6:$Z$3005,F$5))))</f>
        <v/>
      </c>
      <c r="G287" s="19">
        <f>IF($A287="","",IF(COUNTIFS(請求記録!$B$6:$B$3005,$A287,請求記録!$Z$6:$Z$3005,G$5,請求記録!$AF$6:$AF$3005,"保留中")&gt;0,"保留",IF(COUNTIFS(請求記録!$B$6:$B$3005,$A287,請求記録!$Z$6:$Z$3005,G$5)=0,"",SUMIFS(請求記録!$AE$6:$AE$3005,請求記録!$B$6:$B$3005,$A287,請求記録!$Z$6:$Z$3005,G$5))))</f>
        <v/>
      </c>
      <c r="H287" s="19">
        <f>IF($A287="","",IF(COUNTIFS(請求記録!$B$6:$B$3005,$A287,請求記録!$Z$6:$Z$3005,H$5,請求記録!$AF$6:$AF$3005,"保留中")&gt;0,"保留",IF(COUNTIFS(請求記録!$B$6:$B$3005,$A287,請求記録!$Z$6:$Z$3005,H$5)=0,"",SUMIFS(請求記録!$AE$6:$AE$3005,請求記録!$B$6:$B$3005,$A287,請求記録!$Z$6:$Z$3005,H$5))))</f>
        <v/>
      </c>
      <c r="I287" s="19">
        <f>IF($A287="","",IF(COUNTIFS(請求記録!$B$6:$B$3005,$A287,請求記録!$Z$6:$Z$3005,I$5,請求記録!$AF$6:$AF$3005,"保留中")&gt;0,"保留",IF(COUNTIFS(請求記録!$B$6:$B$3005,$A287,請求記録!$Z$6:$Z$3005,I$5)=0,"",SUMIFS(請求記録!$AE$6:$AE$3005,請求記録!$B$6:$B$3005,$A287,請求記録!$Z$6:$Z$3005,I$5))))</f>
        <v/>
      </c>
      <c r="J287" s="19">
        <f>IF($A287="","",IF(COUNTIFS(請求記録!$B$6:$B$3005,$A287,請求記録!$Z$6:$Z$3005,J$5,請求記録!$AF$6:$AF$3005,"保留中")&gt;0,"保留",IF(COUNTIFS(請求記録!$B$6:$B$3005,$A287,請求記録!$Z$6:$Z$3005,J$5)=0,"",SUMIFS(請求記録!$AE$6:$AE$3005,請求記録!$B$6:$B$3005,$A287,請求記録!$Z$6:$Z$3005,J$5))))</f>
        <v/>
      </c>
      <c r="K287" s="19">
        <f>IF($A287="","",IF(COUNTIFS(請求記録!$B$6:$B$3005,$A287,請求記録!$Z$6:$Z$3005,K$5,請求記録!$AF$6:$AF$3005,"保留中")&gt;0,"保留",IF(COUNTIFS(請求記録!$B$6:$B$3005,$A287,請求記録!$Z$6:$Z$3005,K$5)=0,"",SUMIFS(請求記録!$AE$6:$AE$3005,請求記録!$B$6:$B$3005,$A287,請求記録!$Z$6:$Z$3005,K$5))))</f>
        <v/>
      </c>
      <c r="L287" s="19">
        <f>IF($A287="","",IF(COUNTIFS(請求記録!$B$6:$B$3005,$A287,請求記録!$Z$6:$Z$3005,L$5,請求記録!$AF$6:$AF$3005,"保留中")&gt;0,"保留",IF(COUNTIFS(請求記録!$B$6:$B$3005,$A287,請求記録!$Z$6:$Z$3005,L$5)=0,"",SUMIFS(請求記録!$AE$6:$AE$3005,請求記録!$B$6:$B$3005,$A287,請求記録!$Z$6:$Z$3005,L$5))))</f>
        <v/>
      </c>
      <c r="M287" s="19">
        <f>IF($A287="","",IF(COUNTIFS(請求記録!$B$6:$B$3005,$A287,請求記録!$Z$6:$Z$3005,M$5,請求記録!$AF$6:$AF$3005,"保留中")&gt;0,"保留",IF(COUNTIFS(請求記録!$B$6:$B$3005,$A287,請求記録!$Z$6:$Z$3005,M$5)=0,"",SUMIFS(請求記録!$AE$6:$AE$3005,請求記録!$B$6:$B$3005,$A287,請求記録!$Z$6:$Z$3005,M$5))))</f>
        <v/>
      </c>
      <c r="N287" s="19">
        <f>IF($A287="","",IF(COUNTIFS(請求記録!$B$6:$B$3005,$A287,請求記録!$Z$6:$Z$3005,N$5,請求記録!$AF$6:$AF$3005,"保留中")&gt;0,"保留",IF(COUNTIFS(請求記録!$B$6:$B$3005,$A287,請求記録!$Z$6:$Z$3005,N$5)=0,"",SUMIFS(請求記録!$AE$6:$AE$3005,請求記録!$B$6:$B$3005,$A287,請求記録!$Z$6:$Z$3005,N$5))))</f>
        <v/>
      </c>
      <c r="O287" s="19">
        <f>IF($A287="","",IF(COUNTIFS(請求記録!$B$6:$B$3005,$A287,請求記録!$Z$6:$Z$3005,O$5,請求記録!$AF$6:$AF$3005,"保留中")&gt;0,"保留",IF(COUNTIFS(請求記録!$B$6:$B$3005,$A287,請求記録!$Z$6:$Z$3005,O$5)=0,"",SUMIFS(請求記録!$AE$6:$AE$3005,請求記録!$B$6:$B$3005,$A287,請求記録!$Z$6:$Z$3005,O$5))))</f>
        <v/>
      </c>
      <c r="P287" s="19">
        <f>IF($A287="","",IF(COUNTIFS(請求記録!$B$6:$B$3005,$A287,請求記録!$Z$6:$Z$3005,P$5,請求記録!$AF$6:$AF$3005,"保留中")&gt;0,"保留",IF(COUNTIFS(請求記録!$B$6:$B$3005,$A287,請求記録!$Z$6:$Z$3005,P$5)=0,"",SUMIFS(請求記録!$AE$6:$AE$3005,請求記録!$B$6:$B$3005,$A287,請求記録!$Z$6:$Z$3005,P$5))))</f>
        <v/>
      </c>
      <c r="Q287" s="19">
        <f>IF($A287="","",IF(COUNTIFS(請求記録!$B$6:$B$3005,$A287,請求記録!$Z$6:$Z$3005,Q$5,請求記録!$AF$6:$AF$3005,"保留中")&gt;0,"保留",IF(COUNTIFS(請求記録!$B$6:$B$3005,$A287,請求記録!$Z$6:$Z$3005,Q$5)=0,"",SUMIFS(請求記録!$AE$6:$AE$3005,請求記録!$B$6:$B$3005,$A287,請求記録!$Z$6:$Z$3005,Q$5))))</f>
        <v/>
      </c>
      <c r="R287" s="19">
        <f>IF($A287="","",IF(COUNTIFS(請求記録!$B$6:$B$3005,$A287,請求記録!$Z$6:$Z$3005,R$5,請求記録!$AF$6:$AF$3005,"保留中")&gt;0,"保留",IF(COUNTIFS(請求記録!$B$6:$B$3005,$A287,請求記録!$Z$6:$Z$3005,R$5)=0,"",SUMIFS(請求記録!$AE$6:$AE$3005,請求記録!$B$6:$B$3005,$A287,請求記録!$Z$6:$Z$3005,R$5))))</f>
        <v/>
      </c>
      <c r="S287" s="19">
        <f>IF($A287="","",IF(COUNTIFS(請求記録!$B$6:$B$3005,$A287,請求記録!$Z$6:$Z$3005,S$5,請求記録!$AF$6:$AF$3005,"保留中")&gt;0,"保留",IF(COUNTIFS(請求記録!$B$6:$B$3005,$A287,請求記録!$Z$6:$Z$3005,S$5)=0,"",SUMIFS(請求記録!$AE$6:$AE$3005,請求記録!$B$6:$B$3005,$A287,請求記録!$Z$6:$Z$3005,S$5))))</f>
        <v/>
      </c>
      <c r="T287" s="19">
        <f>IF($A287="","",IF(COUNTIFS(請求記録!$B$6:$B$3005,$A287,請求記録!$Z$6:$Z$3005,T$5,請求記録!$AF$6:$AF$3005,"保留中")&gt;0,"保留",IF(COUNTIFS(請求記録!$B$6:$B$3005,$A287,請求記録!$Z$6:$Z$3005,T$5)=0,"",SUMIFS(請求記録!$AE$6:$AE$3005,請求記録!$B$6:$B$3005,$A287,請求記録!$Z$6:$Z$3005,T$5))))</f>
        <v/>
      </c>
      <c r="U287" s="19">
        <f>IF($A287="","",IF(COUNTIFS(請求記録!$B$6:$B$3005,$A287,請求記録!$Z$6:$Z$3005,U$5,請求記録!$AF$6:$AF$3005,"保留中")&gt;0,"保留",IF(COUNTIFS(請求記録!$B$6:$B$3005,$A287,請求記録!$Z$6:$Z$3005,U$5)=0,"",SUMIFS(請求記録!$AE$6:$AE$3005,請求記録!$B$6:$B$3005,$A287,請求記録!$Z$6:$Z$3005,U$5))))</f>
        <v/>
      </c>
      <c r="V287" s="19">
        <f>IF($A287="","",IF(COUNTIFS(請求記録!$B$6:$B$3005,$A287,請求記録!$Z$6:$Z$3005,V$5,請求記録!$AF$6:$AF$3005,"保留中")&gt;0,"保留",IF(COUNTIFS(請求記録!$B$6:$B$3005,$A287,請求記録!$Z$6:$Z$3005,V$5)=0,"",SUMIFS(請求記録!$AE$6:$AE$3005,請求記録!$B$6:$B$3005,$A287,請求記録!$Z$6:$Z$3005,V$5))))</f>
        <v/>
      </c>
      <c r="W287" s="19">
        <f>IF($A287="","",IF(COUNTIFS(請求記録!$B$6:$B$3005,$A287,請求記録!$Z$6:$Z$3005,W$5,請求記録!$AF$6:$AF$3005,"保留中")&gt;0,"保留",IF(COUNTIFS(請求記録!$B$6:$B$3005,$A287,請求記録!$Z$6:$Z$3005,W$5)=0,"",SUMIFS(請求記録!$AE$6:$AE$3005,請求記録!$B$6:$B$3005,$A287,請求記録!$Z$6:$Z$3005,W$5))))</f>
        <v/>
      </c>
      <c r="X287" s="19">
        <f>IF($A287="","",IF(COUNTIFS(請求記録!$B$6:$B$3005,$A287,請求記録!$Z$6:$Z$3005,X$5,請求記録!$AF$6:$AF$3005,"保留中")&gt;0,"保留",IF(COUNTIFS(請求記録!$B$6:$B$3005,$A287,請求記録!$Z$6:$Z$3005,X$5)=0,"",SUMIFS(請求記録!$AE$6:$AE$3005,請求記録!$B$6:$B$3005,$A287,請求記録!$Z$6:$Z$3005,X$5))))</f>
        <v/>
      </c>
      <c r="Y287" s="19">
        <f>IF($A287="","",IF(COUNTIFS(請求記録!$B$6:$B$3005,$A287,請求記録!$Z$6:$Z$3005,Y$5,請求記録!$AF$6:$AF$3005,"保留中")&gt;0,"保留",IF(COUNTIFS(請求記録!$B$6:$B$3005,$A287,請求記録!$Z$6:$Z$3005,Y$5)=0,"",SUMIFS(請求記録!$AE$6:$AE$3005,請求記録!$B$6:$B$3005,$A287,請求記録!$Z$6:$Z$3005,Y$5))))</f>
        <v/>
      </c>
      <c r="Z287" s="19">
        <f>IF($A287="","",IF(COUNTIFS(請求記録!$B$6:$B$3005,$A287,請求記録!$Z$6:$Z$3005,Z$5,請求記録!$AF$6:$AF$3005,"保留中")&gt;0,"保留",IF(COUNTIFS(請求記録!$B$6:$B$3005,$A287,請求記録!$Z$6:$Z$3005,Z$5)=0,"",SUMIFS(請求記録!$AE$6:$AE$3005,請求記録!$B$6:$B$3005,$A287,請求記録!$Z$6:$Z$3005,Z$5))))</f>
        <v/>
      </c>
      <c r="AA287" s="19">
        <f>IF($A287="","",IF(COUNTIFS(請求記録!$B$6:$B$3005,$A287,請求記録!$Z$6:$Z$3005,AA$5,請求記録!$AF$6:$AF$3005,"保留中")&gt;0,"保留",IF(COUNTIFS(請求記録!$B$6:$B$3005,$A287,請求記録!$Z$6:$Z$3005,AA$5)=0,"",SUMIFS(請求記録!$AE$6:$AE$3005,請求記録!$B$6:$B$3005,$A287,請求記録!$Z$6:$Z$3005,AA$5))))</f>
        <v/>
      </c>
      <c r="AB287">
        <f>IF(職員マスタ!P287="保留中",職員マスタ!M287,"")</f>
        <v/>
      </c>
    </row>
    <row r="288">
      <c r="A288">
        <f>IF(職員マスタ!A288="","",職員マスタ!A288)</f>
        <v/>
      </c>
      <c r="B288">
        <f>IF($A288="","",職員マスタ!B288)</f>
        <v/>
      </c>
      <c r="C288">
        <f>IF($A288="","",職員マスタ!C288)</f>
        <v/>
      </c>
      <c r="D288" s="19">
        <f>IF($A288="","",IF(COUNTIFS(請求記録!$B$6:$B$3005,$A288,請求記録!$Z$6:$Z$3005,D$5,請求記録!$AF$6:$AF$3005,"保留中")&gt;0,"保留",IF(COUNTIFS(請求記録!$B$6:$B$3005,$A288,請求記録!$Z$6:$Z$3005,D$5)=0,"",SUMIFS(請求記録!$AE$6:$AE$3005,請求記録!$B$6:$B$3005,$A288,請求記録!$Z$6:$Z$3005,D$5))))</f>
        <v/>
      </c>
      <c r="E288" s="19">
        <f>IF($A288="","",IF(COUNTIFS(請求記録!$B$6:$B$3005,$A288,請求記録!$Z$6:$Z$3005,E$5,請求記録!$AF$6:$AF$3005,"保留中")&gt;0,"保留",IF(COUNTIFS(請求記録!$B$6:$B$3005,$A288,請求記録!$Z$6:$Z$3005,E$5)=0,"",SUMIFS(請求記録!$AE$6:$AE$3005,請求記録!$B$6:$B$3005,$A288,請求記録!$Z$6:$Z$3005,E$5))))</f>
        <v/>
      </c>
      <c r="F288" s="19">
        <f>IF($A288="","",IF(COUNTIFS(請求記録!$B$6:$B$3005,$A288,請求記録!$Z$6:$Z$3005,F$5,請求記録!$AF$6:$AF$3005,"保留中")&gt;0,"保留",IF(COUNTIFS(請求記録!$B$6:$B$3005,$A288,請求記録!$Z$6:$Z$3005,F$5)=0,"",SUMIFS(請求記録!$AE$6:$AE$3005,請求記録!$B$6:$B$3005,$A288,請求記録!$Z$6:$Z$3005,F$5))))</f>
        <v/>
      </c>
      <c r="G288" s="19">
        <f>IF($A288="","",IF(COUNTIFS(請求記録!$B$6:$B$3005,$A288,請求記録!$Z$6:$Z$3005,G$5,請求記録!$AF$6:$AF$3005,"保留中")&gt;0,"保留",IF(COUNTIFS(請求記録!$B$6:$B$3005,$A288,請求記録!$Z$6:$Z$3005,G$5)=0,"",SUMIFS(請求記録!$AE$6:$AE$3005,請求記録!$B$6:$B$3005,$A288,請求記録!$Z$6:$Z$3005,G$5))))</f>
        <v/>
      </c>
      <c r="H288" s="19">
        <f>IF($A288="","",IF(COUNTIFS(請求記録!$B$6:$B$3005,$A288,請求記録!$Z$6:$Z$3005,H$5,請求記録!$AF$6:$AF$3005,"保留中")&gt;0,"保留",IF(COUNTIFS(請求記録!$B$6:$B$3005,$A288,請求記録!$Z$6:$Z$3005,H$5)=0,"",SUMIFS(請求記録!$AE$6:$AE$3005,請求記録!$B$6:$B$3005,$A288,請求記録!$Z$6:$Z$3005,H$5))))</f>
        <v/>
      </c>
      <c r="I288" s="19">
        <f>IF($A288="","",IF(COUNTIFS(請求記録!$B$6:$B$3005,$A288,請求記録!$Z$6:$Z$3005,I$5,請求記録!$AF$6:$AF$3005,"保留中")&gt;0,"保留",IF(COUNTIFS(請求記録!$B$6:$B$3005,$A288,請求記録!$Z$6:$Z$3005,I$5)=0,"",SUMIFS(請求記録!$AE$6:$AE$3005,請求記録!$B$6:$B$3005,$A288,請求記録!$Z$6:$Z$3005,I$5))))</f>
        <v/>
      </c>
      <c r="J288" s="19">
        <f>IF($A288="","",IF(COUNTIFS(請求記録!$B$6:$B$3005,$A288,請求記録!$Z$6:$Z$3005,J$5,請求記録!$AF$6:$AF$3005,"保留中")&gt;0,"保留",IF(COUNTIFS(請求記録!$B$6:$B$3005,$A288,請求記録!$Z$6:$Z$3005,J$5)=0,"",SUMIFS(請求記録!$AE$6:$AE$3005,請求記録!$B$6:$B$3005,$A288,請求記録!$Z$6:$Z$3005,J$5))))</f>
        <v/>
      </c>
      <c r="K288" s="19">
        <f>IF($A288="","",IF(COUNTIFS(請求記録!$B$6:$B$3005,$A288,請求記録!$Z$6:$Z$3005,K$5,請求記録!$AF$6:$AF$3005,"保留中")&gt;0,"保留",IF(COUNTIFS(請求記録!$B$6:$B$3005,$A288,請求記録!$Z$6:$Z$3005,K$5)=0,"",SUMIFS(請求記録!$AE$6:$AE$3005,請求記録!$B$6:$B$3005,$A288,請求記録!$Z$6:$Z$3005,K$5))))</f>
        <v/>
      </c>
      <c r="L288" s="19">
        <f>IF($A288="","",IF(COUNTIFS(請求記録!$B$6:$B$3005,$A288,請求記録!$Z$6:$Z$3005,L$5,請求記録!$AF$6:$AF$3005,"保留中")&gt;0,"保留",IF(COUNTIFS(請求記録!$B$6:$B$3005,$A288,請求記録!$Z$6:$Z$3005,L$5)=0,"",SUMIFS(請求記録!$AE$6:$AE$3005,請求記録!$B$6:$B$3005,$A288,請求記録!$Z$6:$Z$3005,L$5))))</f>
        <v/>
      </c>
      <c r="M288" s="19">
        <f>IF($A288="","",IF(COUNTIFS(請求記録!$B$6:$B$3005,$A288,請求記録!$Z$6:$Z$3005,M$5,請求記録!$AF$6:$AF$3005,"保留中")&gt;0,"保留",IF(COUNTIFS(請求記録!$B$6:$B$3005,$A288,請求記録!$Z$6:$Z$3005,M$5)=0,"",SUMIFS(請求記録!$AE$6:$AE$3005,請求記録!$B$6:$B$3005,$A288,請求記録!$Z$6:$Z$3005,M$5))))</f>
        <v/>
      </c>
      <c r="N288" s="19">
        <f>IF($A288="","",IF(COUNTIFS(請求記録!$B$6:$B$3005,$A288,請求記録!$Z$6:$Z$3005,N$5,請求記録!$AF$6:$AF$3005,"保留中")&gt;0,"保留",IF(COUNTIFS(請求記録!$B$6:$B$3005,$A288,請求記録!$Z$6:$Z$3005,N$5)=0,"",SUMIFS(請求記録!$AE$6:$AE$3005,請求記録!$B$6:$B$3005,$A288,請求記録!$Z$6:$Z$3005,N$5))))</f>
        <v/>
      </c>
      <c r="O288" s="19">
        <f>IF($A288="","",IF(COUNTIFS(請求記録!$B$6:$B$3005,$A288,請求記録!$Z$6:$Z$3005,O$5,請求記録!$AF$6:$AF$3005,"保留中")&gt;0,"保留",IF(COUNTIFS(請求記録!$B$6:$B$3005,$A288,請求記録!$Z$6:$Z$3005,O$5)=0,"",SUMIFS(請求記録!$AE$6:$AE$3005,請求記録!$B$6:$B$3005,$A288,請求記録!$Z$6:$Z$3005,O$5))))</f>
        <v/>
      </c>
      <c r="P288" s="19">
        <f>IF($A288="","",IF(COUNTIFS(請求記録!$B$6:$B$3005,$A288,請求記録!$Z$6:$Z$3005,P$5,請求記録!$AF$6:$AF$3005,"保留中")&gt;0,"保留",IF(COUNTIFS(請求記録!$B$6:$B$3005,$A288,請求記録!$Z$6:$Z$3005,P$5)=0,"",SUMIFS(請求記録!$AE$6:$AE$3005,請求記録!$B$6:$B$3005,$A288,請求記録!$Z$6:$Z$3005,P$5))))</f>
        <v/>
      </c>
      <c r="Q288" s="19">
        <f>IF($A288="","",IF(COUNTIFS(請求記録!$B$6:$B$3005,$A288,請求記録!$Z$6:$Z$3005,Q$5,請求記録!$AF$6:$AF$3005,"保留中")&gt;0,"保留",IF(COUNTIFS(請求記録!$B$6:$B$3005,$A288,請求記録!$Z$6:$Z$3005,Q$5)=0,"",SUMIFS(請求記録!$AE$6:$AE$3005,請求記録!$B$6:$B$3005,$A288,請求記録!$Z$6:$Z$3005,Q$5))))</f>
        <v/>
      </c>
      <c r="R288" s="19">
        <f>IF($A288="","",IF(COUNTIFS(請求記録!$B$6:$B$3005,$A288,請求記録!$Z$6:$Z$3005,R$5,請求記録!$AF$6:$AF$3005,"保留中")&gt;0,"保留",IF(COUNTIFS(請求記録!$B$6:$B$3005,$A288,請求記録!$Z$6:$Z$3005,R$5)=0,"",SUMIFS(請求記録!$AE$6:$AE$3005,請求記録!$B$6:$B$3005,$A288,請求記録!$Z$6:$Z$3005,R$5))))</f>
        <v/>
      </c>
      <c r="S288" s="19">
        <f>IF($A288="","",IF(COUNTIFS(請求記録!$B$6:$B$3005,$A288,請求記録!$Z$6:$Z$3005,S$5,請求記録!$AF$6:$AF$3005,"保留中")&gt;0,"保留",IF(COUNTIFS(請求記録!$B$6:$B$3005,$A288,請求記録!$Z$6:$Z$3005,S$5)=0,"",SUMIFS(請求記録!$AE$6:$AE$3005,請求記録!$B$6:$B$3005,$A288,請求記録!$Z$6:$Z$3005,S$5))))</f>
        <v/>
      </c>
      <c r="T288" s="19">
        <f>IF($A288="","",IF(COUNTIFS(請求記録!$B$6:$B$3005,$A288,請求記録!$Z$6:$Z$3005,T$5,請求記録!$AF$6:$AF$3005,"保留中")&gt;0,"保留",IF(COUNTIFS(請求記録!$B$6:$B$3005,$A288,請求記録!$Z$6:$Z$3005,T$5)=0,"",SUMIFS(請求記録!$AE$6:$AE$3005,請求記録!$B$6:$B$3005,$A288,請求記録!$Z$6:$Z$3005,T$5))))</f>
        <v/>
      </c>
      <c r="U288" s="19">
        <f>IF($A288="","",IF(COUNTIFS(請求記録!$B$6:$B$3005,$A288,請求記録!$Z$6:$Z$3005,U$5,請求記録!$AF$6:$AF$3005,"保留中")&gt;0,"保留",IF(COUNTIFS(請求記録!$B$6:$B$3005,$A288,請求記録!$Z$6:$Z$3005,U$5)=0,"",SUMIFS(請求記録!$AE$6:$AE$3005,請求記録!$B$6:$B$3005,$A288,請求記録!$Z$6:$Z$3005,U$5))))</f>
        <v/>
      </c>
      <c r="V288" s="19">
        <f>IF($A288="","",IF(COUNTIFS(請求記録!$B$6:$B$3005,$A288,請求記録!$Z$6:$Z$3005,V$5,請求記録!$AF$6:$AF$3005,"保留中")&gt;0,"保留",IF(COUNTIFS(請求記録!$B$6:$B$3005,$A288,請求記録!$Z$6:$Z$3005,V$5)=0,"",SUMIFS(請求記録!$AE$6:$AE$3005,請求記録!$B$6:$B$3005,$A288,請求記録!$Z$6:$Z$3005,V$5))))</f>
        <v/>
      </c>
      <c r="W288" s="19">
        <f>IF($A288="","",IF(COUNTIFS(請求記録!$B$6:$B$3005,$A288,請求記録!$Z$6:$Z$3005,W$5,請求記録!$AF$6:$AF$3005,"保留中")&gt;0,"保留",IF(COUNTIFS(請求記録!$B$6:$B$3005,$A288,請求記録!$Z$6:$Z$3005,W$5)=0,"",SUMIFS(請求記録!$AE$6:$AE$3005,請求記録!$B$6:$B$3005,$A288,請求記録!$Z$6:$Z$3005,W$5))))</f>
        <v/>
      </c>
      <c r="X288" s="19">
        <f>IF($A288="","",IF(COUNTIFS(請求記録!$B$6:$B$3005,$A288,請求記録!$Z$6:$Z$3005,X$5,請求記録!$AF$6:$AF$3005,"保留中")&gt;0,"保留",IF(COUNTIFS(請求記録!$B$6:$B$3005,$A288,請求記録!$Z$6:$Z$3005,X$5)=0,"",SUMIFS(請求記録!$AE$6:$AE$3005,請求記録!$B$6:$B$3005,$A288,請求記録!$Z$6:$Z$3005,X$5))))</f>
        <v/>
      </c>
      <c r="Y288" s="19">
        <f>IF($A288="","",IF(COUNTIFS(請求記録!$B$6:$B$3005,$A288,請求記録!$Z$6:$Z$3005,Y$5,請求記録!$AF$6:$AF$3005,"保留中")&gt;0,"保留",IF(COUNTIFS(請求記録!$B$6:$B$3005,$A288,請求記録!$Z$6:$Z$3005,Y$5)=0,"",SUMIFS(請求記録!$AE$6:$AE$3005,請求記録!$B$6:$B$3005,$A288,請求記録!$Z$6:$Z$3005,Y$5))))</f>
        <v/>
      </c>
      <c r="Z288" s="19">
        <f>IF($A288="","",IF(COUNTIFS(請求記録!$B$6:$B$3005,$A288,請求記録!$Z$6:$Z$3005,Z$5,請求記録!$AF$6:$AF$3005,"保留中")&gt;0,"保留",IF(COUNTIFS(請求記録!$B$6:$B$3005,$A288,請求記録!$Z$6:$Z$3005,Z$5)=0,"",SUMIFS(請求記録!$AE$6:$AE$3005,請求記録!$B$6:$B$3005,$A288,請求記録!$Z$6:$Z$3005,Z$5))))</f>
        <v/>
      </c>
      <c r="AA288" s="19">
        <f>IF($A288="","",IF(COUNTIFS(請求記録!$B$6:$B$3005,$A288,請求記録!$Z$6:$Z$3005,AA$5,請求記録!$AF$6:$AF$3005,"保留中")&gt;0,"保留",IF(COUNTIFS(請求記録!$B$6:$B$3005,$A288,請求記録!$Z$6:$Z$3005,AA$5)=0,"",SUMIFS(請求記録!$AE$6:$AE$3005,請求記録!$B$6:$B$3005,$A288,請求記録!$Z$6:$Z$3005,AA$5))))</f>
        <v/>
      </c>
      <c r="AB288">
        <f>IF(職員マスタ!P288="保留中",職員マスタ!M288,"")</f>
        <v/>
      </c>
    </row>
    <row r="289">
      <c r="A289">
        <f>IF(職員マスタ!A289="","",職員マスタ!A289)</f>
        <v/>
      </c>
      <c r="B289">
        <f>IF($A289="","",職員マスタ!B289)</f>
        <v/>
      </c>
      <c r="C289">
        <f>IF($A289="","",職員マスタ!C289)</f>
        <v/>
      </c>
      <c r="D289" s="19">
        <f>IF($A289="","",IF(COUNTIFS(請求記録!$B$6:$B$3005,$A289,請求記録!$Z$6:$Z$3005,D$5,請求記録!$AF$6:$AF$3005,"保留中")&gt;0,"保留",IF(COUNTIFS(請求記録!$B$6:$B$3005,$A289,請求記録!$Z$6:$Z$3005,D$5)=0,"",SUMIFS(請求記録!$AE$6:$AE$3005,請求記録!$B$6:$B$3005,$A289,請求記録!$Z$6:$Z$3005,D$5))))</f>
        <v/>
      </c>
      <c r="E289" s="19">
        <f>IF($A289="","",IF(COUNTIFS(請求記録!$B$6:$B$3005,$A289,請求記録!$Z$6:$Z$3005,E$5,請求記録!$AF$6:$AF$3005,"保留中")&gt;0,"保留",IF(COUNTIFS(請求記録!$B$6:$B$3005,$A289,請求記録!$Z$6:$Z$3005,E$5)=0,"",SUMIFS(請求記録!$AE$6:$AE$3005,請求記録!$B$6:$B$3005,$A289,請求記録!$Z$6:$Z$3005,E$5))))</f>
        <v/>
      </c>
      <c r="F289" s="19">
        <f>IF($A289="","",IF(COUNTIFS(請求記録!$B$6:$B$3005,$A289,請求記録!$Z$6:$Z$3005,F$5,請求記録!$AF$6:$AF$3005,"保留中")&gt;0,"保留",IF(COUNTIFS(請求記録!$B$6:$B$3005,$A289,請求記録!$Z$6:$Z$3005,F$5)=0,"",SUMIFS(請求記録!$AE$6:$AE$3005,請求記録!$B$6:$B$3005,$A289,請求記録!$Z$6:$Z$3005,F$5))))</f>
        <v/>
      </c>
      <c r="G289" s="19">
        <f>IF($A289="","",IF(COUNTIFS(請求記録!$B$6:$B$3005,$A289,請求記録!$Z$6:$Z$3005,G$5,請求記録!$AF$6:$AF$3005,"保留中")&gt;0,"保留",IF(COUNTIFS(請求記録!$B$6:$B$3005,$A289,請求記録!$Z$6:$Z$3005,G$5)=0,"",SUMIFS(請求記録!$AE$6:$AE$3005,請求記録!$B$6:$B$3005,$A289,請求記録!$Z$6:$Z$3005,G$5))))</f>
        <v/>
      </c>
      <c r="H289" s="19">
        <f>IF($A289="","",IF(COUNTIFS(請求記録!$B$6:$B$3005,$A289,請求記録!$Z$6:$Z$3005,H$5,請求記録!$AF$6:$AF$3005,"保留中")&gt;0,"保留",IF(COUNTIFS(請求記録!$B$6:$B$3005,$A289,請求記録!$Z$6:$Z$3005,H$5)=0,"",SUMIFS(請求記録!$AE$6:$AE$3005,請求記録!$B$6:$B$3005,$A289,請求記録!$Z$6:$Z$3005,H$5))))</f>
        <v/>
      </c>
      <c r="I289" s="19">
        <f>IF($A289="","",IF(COUNTIFS(請求記録!$B$6:$B$3005,$A289,請求記録!$Z$6:$Z$3005,I$5,請求記録!$AF$6:$AF$3005,"保留中")&gt;0,"保留",IF(COUNTIFS(請求記録!$B$6:$B$3005,$A289,請求記録!$Z$6:$Z$3005,I$5)=0,"",SUMIFS(請求記録!$AE$6:$AE$3005,請求記録!$B$6:$B$3005,$A289,請求記録!$Z$6:$Z$3005,I$5))))</f>
        <v/>
      </c>
      <c r="J289" s="19">
        <f>IF($A289="","",IF(COUNTIFS(請求記録!$B$6:$B$3005,$A289,請求記録!$Z$6:$Z$3005,J$5,請求記録!$AF$6:$AF$3005,"保留中")&gt;0,"保留",IF(COUNTIFS(請求記録!$B$6:$B$3005,$A289,請求記録!$Z$6:$Z$3005,J$5)=0,"",SUMIFS(請求記録!$AE$6:$AE$3005,請求記録!$B$6:$B$3005,$A289,請求記録!$Z$6:$Z$3005,J$5))))</f>
        <v/>
      </c>
      <c r="K289" s="19">
        <f>IF($A289="","",IF(COUNTIFS(請求記録!$B$6:$B$3005,$A289,請求記録!$Z$6:$Z$3005,K$5,請求記録!$AF$6:$AF$3005,"保留中")&gt;0,"保留",IF(COUNTIFS(請求記録!$B$6:$B$3005,$A289,請求記録!$Z$6:$Z$3005,K$5)=0,"",SUMIFS(請求記録!$AE$6:$AE$3005,請求記録!$B$6:$B$3005,$A289,請求記録!$Z$6:$Z$3005,K$5))))</f>
        <v/>
      </c>
      <c r="L289" s="19">
        <f>IF($A289="","",IF(COUNTIFS(請求記録!$B$6:$B$3005,$A289,請求記録!$Z$6:$Z$3005,L$5,請求記録!$AF$6:$AF$3005,"保留中")&gt;0,"保留",IF(COUNTIFS(請求記録!$B$6:$B$3005,$A289,請求記録!$Z$6:$Z$3005,L$5)=0,"",SUMIFS(請求記録!$AE$6:$AE$3005,請求記録!$B$6:$B$3005,$A289,請求記録!$Z$6:$Z$3005,L$5))))</f>
        <v/>
      </c>
      <c r="M289" s="19">
        <f>IF($A289="","",IF(COUNTIFS(請求記録!$B$6:$B$3005,$A289,請求記録!$Z$6:$Z$3005,M$5,請求記録!$AF$6:$AF$3005,"保留中")&gt;0,"保留",IF(COUNTIFS(請求記録!$B$6:$B$3005,$A289,請求記録!$Z$6:$Z$3005,M$5)=0,"",SUMIFS(請求記録!$AE$6:$AE$3005,請求記録!$B$6:$B$3005,$A289,請求記録!$Z$6:$Z$3005,M$5))))</f>
        <v/>
      </c>
      <c r="N289" s="19">
        <f>IF($A289="","",IF(COUNTIFS(請求記録!$B$6:$B$3005,$A289,請求記録!$Z$6:$Z$3005,N$5,請求記録!$AF$6:$AF$3005,"保留中")&gt;0,"保留",IF(COUNTIFS(請求記録!$B$6:$B$3005,$A289,請求記録!$Z$6:$Z$3005,N$5)=0,"",SUMIFS(請求記録!$AE$6:$AE$3005,請求記録!$B$6:$B$3005,$A289,請求記録!$Z$6:$Z$3005,N$5))))</f>
        <v/>
      </c>
      <c r="O289" s="19">
        <f>IF($A289="","",IF(COUNTIFS(請求記録!$B$6:$B$3005,$A289,請求記録!$Z$6:$Z$3005,O$5,請求記録!$AF$6:$AF$3005,"保留中")&gt;0,"保留",IF(COUNTIFS(請求記録!$B$6:$B$3005,$A289,請求記録!$Z$6:$Z$3005,O$5)=0,"",SUMIFS(請求記録!$AE$6:$AE$3005,請求記録!$B$6:$B$3005,$A289,請求記録!$Z$6:$Z$3005,O$5))))</f>
        <v/>
      </c>
      <c r="P289" s="19">
        <f>IF($A289="","",IF(COUNTIFS(請求記録!$B$6:$B$3005,$A289,請求記録!$Z$6:$Z$3005,P$5,請求記録!$AF$6:$AF$3005,"保留中")&gt;0,"保留",IF(COUNTIFS(請求記録!$B$6:$B$3005,$A289,請求記録!$Z$6:$Z$3005,P$5)=0,"",SUMIFS(請求記録!$AE$6:$AE$3005,請求記録!$B$6:$B$3005,$A289,請求記録!$Z$6:$Z$3005,P$5))))</f>
        <v/>
      </c>
      <c r="Q289" s="19">
        <f>IF($A289="","",IF(COUNTIFS(請求記録!$B$6:$B$3005,$A289,請求記録!$Z$6:$Z$3005,Q$5,請求記録!$AF$6:$AF$3005,"保留中")&gt;0,"保留",IF(COUNTIFS(請求記録!$B$6:$B$3005,$A289,請求記録!$Z$6:$Z$3005,Q$5)=0,"",SUMIFS(請求記録!$AE$6:$AE$3005,請求記録!$B$6:$B$3005,$A289,請求記録!$Z$6:$Z$3005,Q$5))))</f>
        <v/>
      </c>
      <c r="R289" s="19">
        <f>IF($A289="","",IF(COUNTIFS(請求記録!$B$6:$B$3005,$A289,請求記録!$Z$6:$Z$3005,R$5,請求記録!$AF$6:$AF$3005,"保留中")&gt;0,"保留",IF(COUNTIFS(請求記録!$B$6:$B$3005,$A289,請求記録!$Z$6:$Z$3005,R$5)=0,"",SUMIFS(請求記録!$AE$6:$AE$3005,請求記録!$B$6:$B$3005,$A289,請求記録!$Z$6:$Z$3005,R$5))))</f>
        <v/>
      </c>
      <c r="S289" s="19">
        <f>IF($A289="","",IF(COUNTIFS(請求記録!$B$6:$B$3005,$A289,請求記録!$Z$6:$Z$3005,S$5,請求記録!$AF$6:$AF$3005,"保留中")&gt;0,"保留",IF(COUNTIFS(請求記録!$B$6:$B$3005,$A289,請求記録!$Z$6:$Z$3005,S$5)=0,"",SUMIFS(請求記録!$AE$6:$AE$3005,請求記録!$B$6:$B$3005,$A289,請求記録!$Z$6:$Z$3005,S$5))))</f>
        <v/>
      </c>
      <c r="T289" s="19">
        <f>IF($A289="","",IF(COUNTIFS(請求記録!$B$6:$B$3005,$A289,請求記録!$Z$6:$Z$3005,T$5,請求記録!$AF$6:$AF$3005,"保留中")&gt;0,"保留",IF(COUNTIFS(請求記録!$B$6:$B$3005,$A289,請求記録!$Z$6:$Z$3005,T$5)=0,"",SUMIFS(請求記録!$AE$6:$AE$3005,請求記録!$B$6:$B$3005,$A289,請求記録!$Z$6:$Z$3005,T$5))))</f>
        <v/>
      </c>
      <c r="U289" s="19">
        <f>IF($A289="","",IF(COUNTIFS(請求記録!$B$6:$B$3005,$A289,請求記録!$Z$6:$Z$3005,U$5,請求記録!$AF$6:$AF$3005,"保留中")&gt;0,"保留",IF(COUNTIFS(請求記録!$B$6:$B$3005,$A289,請求記録!$Z$6:$Z$3005,U$5)=0,"",SUMIFS(請求記録!$AE$6:$AE$3005,請求記録!$B$6:$B$3005,$A289,請求記録!$Z$6:$Z$3005,U$5))))</f>
        <v/>
      </c>
      <c r="V289" s="19">
        <f>IF($A289="","",IF(COUNTIFS(請求記録!$B$6:$B$3005,$A289,請求記録!$Z$6:$Z$3005,V$5,請求記録!$AF$6:$AF$3005,"保留中")&gt;0,"保留",IF(COUNTIFS(請求記録!$B$6:$B$3005,$A289,請求記録!$Z$6:$Z$3005,V$5)=0,"",SUMIFS(請求記録!$AE$6:$AE$3005,請求記録!$B$6:$B$3005,$A289,請求記録!$Z$6:$Z$3005,V$5))))</f>
        <v/>
      </c>
      <c r="W289" s="19">
        <f>IF($A289="","",IF(COUNTIFS(請求記録!$B$6:$B$3005,$A289,請求記録!$Z$6:$Z$3005,W$5,請求記録!$AF$6:$AF$3005,"保留中")&gt;0,"保留",IF(COUNTIFS(請求記録!$B$6:$B$3005,$A289,請求記録!$Z$6:$Z$3005,W$5)=0,"",SUMIFS(請求記録!$AE$6:$AE$3005,請求記録!$B$6:$B$3005,$A289,請求記録!$Z$6:$Z$3005,W$5))))</f>
        <v/>
      </c>
      <c r="X289" s="19">
        <f>IF($A289="","",IF(COUNTIFS(請求記録!$B$6:$B$3005,$A289,請求記録!$Z$6:$Z$3005,X$5,請求記録!$AF$6:$AF$3005,"保留中")&gt;0,"保留",IF(COUNTIFS(請求記録!$B$6:$B$3005,$A289,請求記録!$Z$6:$Z$3005,X$5)=0,"",SUMIFS(請求記録!$AE$6:$AE$3005,請求記録!$B$6:$B$3005,$A289,請求記録!$Z$6:$Z$3005,X$5))))</f>
        <v/>
      </c>
      <c r="Y289" s="19">
        <f>IF($A289="","",IF(COUNTIFS(請求記録!$B$6:$B$3005,$A289,請求記録!$Z$6:$Z$3005,Y$5,請求記録!$AF$6:$AF$3005,"保留中")&gt;0,"保留",IF(COUNTIFS(請求記録!$B$6:$B$3005,$A289,請求記録!$Z$6:$Z$3005,Y$5)=0,"",SUMIFS(請求記録!$AE$6:$AE$3005,請求記録!$B$6:$B$3005,$A289,請求記録!$Z$6:$Z$3005,Y$5))))</f>
        <v/>
      </c>
      <c r="Z289" s="19">
        <f>IF($A289="","",IF(COUNTIFS(請求記録!$B$6:$B$3005,$A289,請求記録!$Z$6:$Z$3005,Z$5,請求記録!$AF$6:$AF$3005,"保留中")&gt;0,"保留",IF(COUNTIFS(請求記録!$B$6:$B$3005,$A289,請求記録!$Z$6:$Z$3005,Z$5)=0,"",SUMIFS(請求記録!$AE$6:$AE$3005,請求記録!$B$6:$B$3005,$A289,請求記録!$Z$6:$Z$3005,Z$5))))</f>
        <v/>
      </c>
      <c r="AA289" s="19">
        <f>IF($A289="","",IF(COUNTIFS(請求記録!$B$6:$B$3005,$A289,請求記録!$Z$6:$Z$3005,AA$5,請求記録!$AF$6:$AF$3005,"保留中")&gt;0,"保留",IF(COUNTIFS(請求記録!$B$6:$B$3005,$A289,請求記録!$Z$6:$Z$3005,AA$5)=0,"",SUMIFS(請求記録!$AE$6:$AE$3005,請求記録!$B$6:$B$3005,$A289,請求記録!$Z$6:$Z$3005,AA$5))))</f>
        <v/>
      </c>
      <c r="AB289">
        <f>IF(職員マスタ!P289="保留中",職員マスタ!M289,"")</f>
        <v/>
      </c>
    </row>
    <row r="290">
      <c r="A290">
        <f>IF(職員マスタ!A290="","",職員マスタ!A290)</f>
        <v/>
      </c>
      <c r="B290">
        <f>IF($A290="","",職員マスタ!B290)</f>
        <v/>
      </c>
      <c r="C290">
        <f>IF($A290="","",職員マスタ!C290)</f>
        <v/>
      </c>
      <c r="D290" s="19">
        <f>IF($A290="","",IF(COUNTIFS(請求記録!$B$6:$B$3005,$A290,請求記録!$Z$6:$Z$3005,D$5,請求記録!$AF$6:$AF$3005,"保留中")&gt;0,"保留",IF(COUNTIFS(請求記録!$B$6:$B$3005,$A290,請求記録!$Z$6:$Z$3005,D$5)=0,"",SUMIFS(請求記録!$AE$6:$AE$3005,請求記録!$B$6:$B$3005,$A290,請求記録!$Z$6:$Z$3005,D$5))))</f>
        <v/>
      </c>
      <c r="E290" s="19">
        <f>IF($A290="","",IF(COUNTIFS(請求記録!$B$6:$B$3005,$A290,請求記録!$Z$6:$Z$3005,E$5,請求記録!$AF$6:$AF$3005,"保留中")&gt;0,"保留",IF(COUNTIFS(請求記録!$B$6:$B$3005,$A290,請求記録!$Z$6:$Z$3005,E$5)=0,"",SUMIFS(請求記録!$AE$6:$AE$3005,請求記録!$B$6:$B$3005,$A290,請求記録!$Z$6:$Z$3005,E$5))))</f>
        <v/>
      </c>
      <c r="F290" s="19">
        <f>IF($A290="","",IF(COUNTIFS(請求記録!$B$6:$B$3005,$A290,請求記録!$Z$6:$Z$3005,F$5,請求記録!$AF$6:$AF$3005,"保留中")&gt;0,"保留",IF(COUNTIFS(請求記録!$B$6:$B$3005,$A290,請求記録!$Z$6:$Z$3005,F$5)=0,"",SUMIFS(請求記録!$AE$6:$AE$3005,請求記録!$B$6:$B$3005,$A290,請求記録!$Z$6:$Z$3005,F$5))))</f>
        <v/>
      </c>
      <c r="G290" s="19">
        <f>IF($A290="","",IF(COUNTIFS(請求記録!$B$6:$B$3005,$A290,請求記録!$Z$6:$Z$3005,G$5,請求記録!$AF$6:$AF$3005,"保留中")&gt;0,"保留",IF(COUNTIFS(請求記録!$B$6:$B$3005,$A290,請求記録!$Z$6:$Z$3005,G$5)=0,"",SUMIFS(請求記録!$AE$6:$AE$3005,請求記録!$B$6:$B$3005,$A290,請求記録!$Z$6:$Z$3005,G$5))))</f>
        <v/>
      </c>
      <c r="H290" s="19">
        <f>IF($A290="","",IF(COUNTIFS(請求記録!$B$6:$B$3005,$A290,請求記録!$Z$6:$Z$3005,H$5,請求記録!$AF$6:$AF$3005,"保留中")&gt;0,"保留",IF(COUNTIFS(請求記録!$B$6:$B$3005,$A290,請求記録!$Z$6:$Z$3005,H$5)=0,"",SUMIFS(請求記録!$AE$6:$AE$3005,請求記録!$B$6:$B$3005,$A290,請求記録!$Z$6:$Z$3005,H$5))))</f>
        <v/>
      </c>
      <c r="I290" s="19">
        <f>IF($A290="","",IF(COUNTIFS(請求記録!$B$6:$B$3005,$A290,請求記録!$Z$6:$Z$3005,I$5,請求記録!$AF$6:$AF$3005,"保留中")&gt;0,"保留",IF(COUNTIFS(請求記録!$B$6:$B$3005,$A290,請求記録!$Z$6:$Z$3005,I$5)=0,"",SUMIFS(請求記録!$AE$6:$AE$3005,請求記録!$B$6:$B$3005,$A290,請求記録!$Z$6:$Z$3005,I$5))))</f>
        <v/>
      </c>
      <c r="J290" s="19">
        <f>IF($A290="","",IF(COUNTIFS(請求記録!$B$6:$B$3005,$A290,請求記録!$Z$6:$Z$3005,J$5,請求記録!$AF$6:$AF$3005,"保留中")&gt;0,"保留",IF(COUNTIFS(請求記録!$B$6:$B$3005,$A290,請求記録!$Z$6:$Z$3005,J$5)=0,"",SUMIFS(請求記録!$AE$6:$AE$3005,請求記録!$B$6:$B$3005,$A290,請求記録!$Z$6:$Z$3005,J$5))))</f>
        <v/>
      </c>
      <c r="K290" s="19">
        <f>IF($A290="","",IF(COUNTIFS(請求記録!$B$6:$B$3005,$A290,請求記録!$Z$6:$Z$3005,K$5,請求記録!$AF$6:$AF$3005,"保留中")&gt;0,"保留",IF(COUNTIFS(請求記録!$B$6:$B$3005,$A290,請求記録!$Z$6:$Z$3005,K$5)=0,"",SUMIFS(請求記録!$AE$6:$AE$3005,請求記録!$B$6:$B$3005,$A290,請求記録!$Z$6:$Z$3005,K$5))))</f>
        <v/>
      </c>
      <c r="L290" s="19">
        <f>IF($A290="","",IF(COUNTIFS(請求記録!$B$6:$B$3005,$A290,請求記録!$Z$6:$Z$3005,L$5,請求記録!$AF$6:$AF$3005,"保留中")&gt;0,"保留",IF(COUNTIFS(請求記録!$B$6:$B$3005,$A290,請求記録!$Z$6:$Z$3005,L$5)=0,"",SUMIFS(請求記録!$AE$6:$AE$3005,請求記録!$B$6:$B$3005,$A290,請求記録!$Z$6:$Z$3005,L$5))))</f>
        <v/>
      </c>
      <c r="M290" s="19">
        <f>IF($A290="","",IF(COUNTIFS(請求記録!$B$6:$B$3005,$A290,請求記録!$Z$6:$Z$3005,M$5,請求記録!$AF$6:$AF$3005,"保留中")&gt;0,"保留",IF(COUNTIFS(請求記録!$B$6:$B$3005,$A290,請求記録!$Z$6:$Z$3005,M$5)=0,"",SUMIFS(請求記録!$AE$6:$AE$3005,請求記録!$B$6:$B$3005,$A290,請求記録!$Z$6:$Z$3005,M$5))))</f>
        <v/>
      </c>
      <c r="N290" s="19">
        <f>IF($A290="","",IF(COUNTIFS(請求記録!$B$6:$B$3005,$A290,請求記録!$Z$6:$Z$3005,N$5,請求記録!$AF$6:$AF$3005,"保留中")&gt;0,"保留",IF(COUNTIFS(請求記録!$B$6:$B$3005,$A290,請求記録!$Z$6:$Z$3005,N$5)=0,"",SUMIFS(請求記録!$AE$6:$AE$3005,請求記録!$B$6:$B$3005,$A290,請求記録!$Z$6:$Z$3005,N$5))))</f>
        <v/>
      </c>
      <c r="O290" s="19">
        <f>IF($A290="","",IF(COUNTIFS(請求記録!$B$6:$B$3005,$A290,請求記録!$Z$6:$Z$3005,O$5,請求記録!$AF$6:$AF$3005,"保留中")&gt;0,"保留",IF(COUNTIFS(請求記録!$B$6:$B$3005,$A290,請求記録!$Z$6:$Z$3005,O$5)=0,"",SUMIFS(請求記録!$AE$6:$AE$3005,請求記録!$B$6:$B$3005,$A290,請求記録!$Z$6:$Z$3005,O$5))))</f>
        <v/>
      </c>
      <c r="P290" s="19">
        <f>IF($A290="","",IF(COUNTIFS(請求記録!$B$6:$B$3005,$A290,請求記録!$Z$6:$Z$3005,P$5,請求記録!$AF$6:$AF$3005,"保留中")&gt;0,"保留",IF(COUNTIFS(請求記録!$B$6:$B$3005,$A290,請求記録!$Z$6:$Z$3005,P$5)=0,"",SUMIFS(請求記録!$AE$6:$AE$3005,請求記録!$B$6:$B$3005,$A290,請求記録!$Z$6:$Z$3005,P$5))))</f>
        <v/>
      </c>
      <c r="Q290" s="19">
        <f>IF($A290="","",IF(COUNTIFS(請求記録!$B$6:$B$3005,$A290,請求記録!$Z$6:$Z$3005,Q$5,請求記録!$AF$6:$AF$3005,"保留中")&gt;0,"保留",IF(COUNTIFS(請求記録!$B$6:$B$3005,$A290,請求記録!$Z$6:$Z$3005,Q$5)=0,"",SUMIFS(請求記録!$AE$6:$AE$3005,請求記録!$B$6:$B$3005,$A290,請求記録!$Z$6:$Z$3005,Q$5))))</f>
        <v/>
      </c>
      <c r="R290" s="19">
        <f>IF($A290="","",IF(COUNTIFS(請求記録!$B$6:$B$3005,$A290,請求記録!$Z$6:$Z$3005,R$5,請求記録!$AF$6:$AF$3005,"保留中")&gt;0,"保留",IF(COUNTIFS(請求記録!$B$6:$B$3005,$A290,請求記録!$Z$6:$Z$3005,R$5)=0,"",SUMIFS(請求記録!$AE$6:$AE$3005,請求記録!$B$6:$B$3005,$A290,請求記録!$Z$6:$Z$3005,R$5))))</f>
        <v/>
      </c>
      <c r="S290" s="19">
        <f>IF($A290="","",IF(COUNTIFS(請求記録!$B$6:$B$3005,$A290,請求記録!$Z$6:$Z$3005,S$5,請求記録!$AF$6:$AF$3005,"保留中")&gt;0,"保留",IF(COUNTIFS(請求記録!$B$6:$B$3005,$A290,請求記録!$Z$6:$Z$3005,S$5)=0,"",SUMIFS(請求記録!$AE$6:$AE$3005,請求記録!$B$6:$B$3005,$A290,請求記録!$Z$6:$Z$3005,S$5))))</f>
        <v/>
      </c>
      <c r="T290" s="19">
        <f>IF($A290="","",IF(COUNTIFS(請求記録!$B$6:$B$3005,$A290,請求記録!$Z$6:$Z$3005,T$5,請求記録!$AF$6:$AF$3005,"保留中")&gt;0,"保留",IF(COUNTIFS(請求記録!$B$6:$B$3005,$A290,請求記録!$Z$6:$Z$3005,T$5)=0,"",SUMIFS(請求記録!$AE$6:$AE$3005,請求記録!$B$6:$B$3005,$A290,請求記録!$Z$6:$Z$3005,T$5))))</f>
        <v/>
      </c>
      <c r="U290" s="19">
        <f>IF($A290="","",IF(COUNTIFS(請求記録!$B$6:$B$3005,$A290,請求記録!$Z$6:$Z$3005,U$5,請求記録!$AF$6:$AF$3005,"保留中")&gt;0,"保留",IF(COUNTIFS(請求記録!$B$6:$B$3005,$A290,請求記録!$Z$6:$Z$3005,U$5)=0,"",SUMIFS(請求記録!$AE$6:$AE$3005,請求記録!$B$6:$B$3005,$A290,請求記録!$Z$6:$Z$3005,U$5))))</f>
        <v/>
      </c>
      <c r="V290" s="19">
        <f>IF($A290="","",IF(COUNTIFS(請求記録!$B$6:$B$3005,$A290,請求記録!$Z$6:$Z$3005,V$5,請求記録!$AF$6:$AF$3005,"保留中")&gt;0,"保留",IF(COUNTIFS(請求記録!$B$6:$B$3005,$A290,請求記録!$Z$6:$Z$3005,V$5)=0,"",SUMIFS(請求記録!$AE$6:$AE$3005,請求記録!$B$6:$B$3005,$A290,請求記録!$Z$6:$Z$3005,V$5))))</f>
        <v/>
      </c>
      <c r="W290" s="19">
        <f>IF($A290="","",IF(COUNTIFS(請求記録!$B$6:$B$3005,$A290,請求記録!$Z$6:$Z$3005,W$5,請求記録!$AF$6:$AF$3005,"保留中")&gt;0,"保留",IF(COUNTIFS(請求記録!$B$6:$B$3005,$A290,請求記録!$Z$6:$Z$3005,W$5)=0,"",SUMIFS(請求記録!$AE$6:$AE$3005,請求記録!$B$6:$B$3005,$A290,請求記録!$Z$6:$Z$3005,W$5))))</f>
        <v/>
      </c>
      <c r="X290" s="19">
        <f>IF($A290="","",IF(COUNTIFS(請求記録!$B$6:$B$3005,$A290,請求記録!$Z$6:$Z$3005,X$5,請求記録!$AF$6:$AF$3005,"保留中")&gt;0,"保留",IF(COUNTIFS(請求記録!$B$6:$B$3005,$A290,請求記録!$Z$6:$Z$3005,X$5)=0,"",SUMIFS(請求記録!$AE$6:$AE$3005,請求記録!$B$6:$B$3005,$A290,請求記録!$Z$6:$Z$3005,X$5))))</f>
        <v/>
      </c>
      <c r="Y290" s="19">
        <f>IF($A290="","",IF(COUNTIFS(請求記録!$B$6:$B$3005,$A290,請求記録!$Z$6:$Z$3005,Y$5,請求記録!$AF$6:$AF$3005,"保留中")&gt;0,"保留",IF(COUNTIFS(請求記録!$B$6:$B$3005,$A290,請求記録!$Z$6:$Z$3005,Y$5)=0,"",SUMIFS(請求記録!$AE$6:$AE$3005,請求記録!$B$6:$B$3005,$A290,請求記録!$Z$6:$Z$3005,Y$5))))</f>
        <v/>
      </c>
      <c r="Z290" s="19">
        <f>IF($A290="","",IF(COUNTIFS(請求記録!$B$6:$B$3005,$A290,請求記録!$Z$6:$Z$3005,Z$5,請求記録!$AF$6:$AF$3005,"保留中")&gt;0,"保留",IF(COUNTIFS(請求記録!$B$6:$B$3005,$A290,請求記録!$Z$6:$Z$3005,Z$5)=0,"",SUMIFS(請求記録!$AE$6:$AE$3005,請求記録!$B$6:$B$3005,$A290,請求記録!$Z$6:$Z$3005,Z$5))))</f>
        <v/>
      </c>
      <c r="AA290" s="19">
        <f>IF($A290="","",IF(COUNTIFS(請求記録!$B$6:$B$3005,$A290,請求記録!$Z$6:$Z$3005,AA$5,請求記録!$AF$6:$AF$3005,"保留中")&gt;0,"保留",IF(COUNTIFS(請求記録!$B$6:$B$3005,$A290,請求記録!$Z$6:$Z$3005,AA$5)=0,"",SUMIFS(請求記録!$AE$6:$AE$3005,請求記録!$B$6:$B$3005,$A290,請求記録!$Z$6:$Z$3005,AA$5))))</f>
        <v/>
      </c>
      <c r="AB290">
        <f>IF(職員マスタ!P290="保留中",職員マスタ!M290,"")</f>
        <v/>
      </c>
    </row>
    <row r="291">
      <c r="A291">
        <f>IF(職員マスタ!A291="","",職員マスタ!A291)</f>
        <v/>
      </c>
      <c r="B291">
        <f>IF($A291="","",職員マスタ!B291)</f>
        <v/>
      </c>
      <c r="C291">
        <f>IF($A291="","",職員マスタ!C291)</f>
        <v/>
      </c>
      <c r="D291" s="19">
        <f>IF($A291="","",IF(COUNTIFS(請求記録!$B$6:$B$3005,$A291,請求記録!$Z$6:$Z$3005,D$5,請求記録!$AF$6:$AF$3005,"保留中")&gt;0,"保留",IF(COUNTIFS(請求記録!$B$6:$B$3005,$A291,請求記録!$Z$6:$Z$3005,D$5)=0,"",SUMIFS(請求記録!$AE$6:$AE$3005,請求記録!$B$6:$B$3005,$A291,請求記録!$Z$6:$Z$3005,D$5))))</f>
        <v/>
      </c>
      <c r="E291" s="19">
        <f>IF($A291="","",IF(COUNTIFS(請求記録!$B$6:$B$3005,$A291,請求記録!$Z$6:$Z$3005,E$5,請求記録!$AF$6:$AF$3005,"保留中")&gt;0,"保留",IF(COUNTIFS(請求記録!$B$6:$B$3005,$A291,請求記録!$Z$6:$Z$3005,E$5)=0,"",SUMIFS(請求記録!$AE$6:$AE$3005,請求記録!$B$6:$B$3005,$A291,請求記録!$Z$6:$Z$3005,E$5))))</f>
        <v/>
      </c>
      <c r="F291" s="19">
        <f>IF($A291="","",IF(COUNTIFS(請求記録!$B$6:$B$3005,$A291,請求記録!$Z$6:$Z$3005,F$5,請求記録!$AF$6:$AF$3005,"保留中")&gt;0,"保留",IF(COUNTIFS(請求記録!$B$6:$B$3005,$A291,請求記録!$Z$6:$Z$3005,F$5)=0,"",SUMIFS(請求記録!$AE$6:$AE$3005,請求記録!$B$6:$B$3005,$A291,請求記録!$Z$6:$Z$3005,F$5))))</f>
        <v/>
      </c>
      <c r="G291" s="19">
        <f>IF($A291="","",IF(COUNTIFS(請求記録!$B$6:$B$3005,$A291,請求記録!$Z$6:$Z$3005,G$5,請求記録!$AF$6:$AF$3005,"保留中")&gt;0,"保留",IF(COUNTIFS(請求記録!$B$6:$B$3005,$A291,請求記録!$Z$6:$Z$3005,G$5)=0,"",SUMIFS(請求記録!$AE$6:$AE$3005,請求記録!$B$6:$B$3005,$A291,請求記録!$Z$6:$Z$3005,G$5))))</f>
        <v/>
      </c>
      <c r="H291" s="19">
        <f>IF($A291="","",IF(COUNTIFS(請求記録!$B$6:$B$3005,$A291,請求記録!$Z$6:$Z$3005,H$5,請求記録!$AF$6:$AF$3005,"保留中")&gt;0,"保留",IF(COUNTIFS(請求記録!$B$6:$B$3005,$A291,請求記録!$Z$6:$Z$3005,H$5)=0,"",SUMIFS(請求記録!$AE$6:$AE$3005,請求記録!$B$6:$B$3005,$A291,請求記録!$Z$6:$Z$3005,H$5))))</f>
        <v/>
      </c>
      <c r="I291" s="19">
        <f>IF($A291="","",IF(COUNTIFS(請求記録!$B$6:$B$3005,$A291,請求記録!$Z$6:$Z$3005,I$5,請求記録!$AF$6:$AF$3005,"保留中")&gt;0,"保留",IF(COUNTIFS(請求記録!$B$6:$B$3005,$A291,請求記録!$Z$6:$Z$3005,I$5)=0,"",SUMIFS(請求記録!$AE$6:$AE$3005,請求記録!$B$6:$B$3005,$A291,請求記録!$Z$6:$Z$3005,I$5))))</f>
        <v/>
      </c>
      <c r="J291" s="19">
        <f>IF($A291="","",IF(COUNTIFS(請求記録!$B$6:$B$3005,$A291,請求記録!$Z$6:$Z$3005,J$5,請求記録!$AF$6:$AF$3005,"保留中")&gt;0,"保留",IF(COUNTIFS(請求記録!$B$6:$B$3005,$A291,請求記録!$Z$6:$Z$3005,J$5)=0,"",SUMIFS(請求記録!$AE$6:$AE$3005,請求記録!$B$6:$B$3005,$A291,請求記録!$Z$6:$Z$3005,J$5))))</f>
        <v/>
      </c>
      <c r="K291" s="19">
        <f>IF($A291="","",IF(COUNTIFS(請求記録!$B$6:$B$3005,$A291,請求記録!$Z$6:$Z$3005,K$5,請求記録!$AF$6:$AF$3005,"保留中")&gt;0,"保留",IF(COUNTIFS(請求記録!$B$6:$B$3005,$A291,請求記録!$Z$6:$Z$3005,K$5)=0,"",SUMIFS(請求記録!$AE$6:$AE$3005,請求記録!$B$6:$B$3005,$A291,請求記録!$Z$6:$Z$3005,K$5))))</f>
        <v/>
      </c>
      <c r="L291" s="19">
        <f>IF($A291="","",IF(COUNTIFS(請求記録!$B$6:$B$3005,$A291,請求記録!$Z$6:$Z$3005,L$5,請求記録!$AF$6:$AF$3005,"保留中")&gt;0,"保留",IF(COUNTIFS(請求記録!$B$6:$B$3005,$A291,請求記録!$Z$6:$Z$3005,L$5)=0,"",SUMIFS(請求記録!$AE$6:$AE$3005,請求記録!$B$6:$B$3005,$A291,請求記録!$Z$6:$Z$3005,L$5))))</f>
        <v/>
      </c>
      <c r="M291" s="19">
        <f>IF($A291="","",IF(COUNTIFS(請求記録!$B$6:$B$3005,$A291,請求記録!$Z$6:$Z$3005,M$5,請求記録!$AF$6:$AF$3005,"保留中")&gt;0,"保留",IF(COUNTIFS(請求記録!$B$6:$B$3005,$A291,請求記録!$Z$6:$Z$3005,M$5)=0,"",SUMIFS(請求記録!$AE$6:$AE$3005,請求記録!$B$6:$B$3005,$A291,請求記録!$Z$6:$Z$3005,M$5))))</f>
        <v/>
      </c>
      <c r="N291" s="19">
        <f>IF($A291="","",IF(COUNTIFS(請求記録!$B$6:$B$3005,$A291,請求記録!$Z$6:$Z$3005,N$5,請求記録!$AF$6:$AF$3005,"保留中")&gt;0,"保留",IF(COUNTIFS(請求記録!$B$6:$B$3005,$A291,請求記録!$Z$6:$Z$3005,N$5)=0,"",SUMIFS(請求記録!$AE$6:$AE$3005,請求記録!$B$6:$B$3005,$A291,請求記録!$Z$6:$Z$3005,N$5))))</f>
        <v/>
      </c>
      <c r="O291" s="19">
        <f>IF($A291="","",IF(COUNTIFS(請求記録!$B$6:$B$3005,$A291,請求記録!$Z$6:$Z$3005,O$5,請求記録!$AF$6:$AF$3005,"保留中")&gt;0,"保留",IF(COUNTIFS(請求記録!$B$6:$B$3005,$A291,請求記録!$Z$6:$Z$3005,O$5)=0,"",SUMIFS(請求記録!$AE$6:$AE$3005,請求記録!$B$6:$B$3005,$A291,請求記録!$Z$6:$Z$3005,O$5))))</f>
        <v/>
      </c>
      <c r="P291" s="19">
        <f>IF($A291="","",IF(COUNTIFS(請求記録!$B$6:$B$3005,$A291,請求記録!$Z$6:$Z$3005,P$5,請求記録!$AF$6:$AF$3005,"保留中")&gt;0,"保留",IF(COUNTIFS(請求記録!$B$6:$B$3005,$A291,請求記録!$Z$6:$Z$3005,P$5)=0,"",SUMIFS(請求記録!$AE$6:$AE$3005,請求記録!$B$6:$B$3005,$A291,請求記録!$Z$6:$Z$3005,P$5))))</f>
        <v/>
      </c>
      <c r="Q291" s="19">
        <f>IF($A291="","",IF(COUNTIFS(請求記録!$B$6:$B$3005,$A291,請求記録!$Z$6:$Z$3005,Q$5,請求記録!$AF$6:$AF$3005,"保留中")&gt;0,"保留",IF(COUNTIFS(請求記録!$B$6:$B$3005,$A291,請求記録!$Z$6:$Z$3005,Q$5)=0,"",SUMIFS(請求記録!$AE$6:$AE$3005,請求記録!$B$6:$B$3005,$A291,請求記録!$Z$6:$Z$3005,Q$5))))</f>
        <v/>
      </c>
      <c r="R291" s="19">
        <f>IF($A291="","",IF(COUNTIFS(請求記録!$B$6:$B$3005,$A291,請求記録!$Z$6:$Z$3005,R$5,請求記録!$AF$6:$AF$3005,"保留中")&gt;0,"保留",IF(COUNTIFS(請求記録!$B$6:$B$3005,$A291,請求記録!$Z$6:$Z$3005,R$5)=0,"",SUMIFS(請求記録!$AE$6:$AE$3005,請求記録!$B$6:$B$3005,$A291,請求記録!$Z$6:$Z$3005,R$5))))</f>
        <v/>
      </c>
      <c r="S291" s="19">
        <f>IF($A291="","",IF(COUNTIFS(請求記録!$B$6:$B$3005,$A291,請求記録!$Z$6:$Z$3005,S$5,請求記録!$AF$6:$AF$3005,"保留中")&gt;0,"保留",IF(COUNTIFS(請求記録!$B$6:$B$3005,$A291,請求記録!$Z$6:$Z$3005,S$5)=0,"",SUMIFS(請求記録!$AE$6:$AE$3005,請求記録!$B$6:$B$3005,$A291,請求記録!$Z$6:$Z$3005,S$5))))</f>
        <v/>
      </c>
      <c r="T291" s="19">
        <f>IF($A291="","",IF(COUNTIFS(請求記録!$B$6:$B$3005,$A291,請求記録!$Z$6:$Z$3005,T$5,請求記録!$AF$6:$AF$3005,"保留中")&gt;0,"保留",IF(COUNTIFS(請求記録!$B$6:$B$3005,$A291,請求記録!$Z$6:$Z$3005,T$5)=0,"",SUMIFS(請求記録!$AE$6:$AE$3005,請求記録!$B$6:$B$3005,$A291,請求記録!$Z$6:$Z$3005,T$5))))</f>
        <v/>
      </c>
      <c r="U291" s="19">
        <f>IF($A291="","",IF(COUNTIFS(請求記録!$B$6:$B$3005,$A291,請求記録!$Z$6:$Z$3005,U$5,請求記録!$AF$6:$AF$3005,"保留中")&gt;0,"保留",IF(COUNTIFS(請求記録!$B$6:$B$3005,$A291,請求記録!$Z$6:$Z$3005,U$5)=0,"",SUMIFS(請求記録!$AE$6:$AE$3005,請求記録!$B$6:$B$3005,$A291,請求記録!$Z$6:$Z$3005,U$5))))</f>
        <v/>
      </c>
      <c r="V291" s="19">
        <f>IF($A291="","",IF(COUNTIFS(請求記録!$B$6:$B$3005,$A291,請求記録!$Z$6:$Z$3005,V$5,請求記録!$AF$6:$AF$3005,"保留中")&gt;0,"保留",IF(COUNTIFS(請求記録!$B$6:$B$3005,$A291,請求記録!$Z$6:$Z$3005,V$5)=0,"",SUMIFS(請求記録!$AE$6:$AE$3005,請求記録!$B$6:$B$3005,$A291,請求記録!$Z$6:$Z$3005,V$5))))</f>
        <v/>
      </c>
      <c r="W291" s="19">
        <f>IF($A291="","",IF(COUNTIFS(請求記録!$B$6:$B$3005,$A291,請求記録!$Z$6:$Z$3005,W$5,請求記録!$AF$6:$AF$3005,"保留中")&gt;0,"保留",IF(COUNTIFS(請求記録!$B$6:$B$3005,$A291,請求記録!$Z$6:$Z$3005,W$5)=0,"",SUMIFS(請求記録!$AE$6:$AE$3005,請求記録!$B$6:$B$3005,$A291,請求記録!$Z$6:$Z$3005,W$5))))</f>
        <v/>
      </c>
      <c r="X291" s="19">
        <f>IF($A291="","",IF(COUNTIFS(請求記録!$B$6:$B$3005,$A291,請求記録!$Z$6:$Z$3005,X$5,請求記録!$AF$6:$AF$3005,"保留中")&gt;0,"保留",IF(COUNTIFS(請求記録!$B$6:$B$3005,$A291,請求記録!$Z$6:$Z$3005,X$5)=0,"",SUMIFS(請求記録!$AE$6:$AE$3005,請求記録!$B$6:$B$3005,$A291,請求記録!$Z$6:$Z$3005,X$5))))</f>
        <v/>
      </c>
      <c r="Y291" s="19">
        <f>IF($A291="","",IF(COUNTIFS(請求記録!$B$6:$B$3005,$A291,請求記録!$Z$6:$Z$3005,Y$5,請求記録!$AF$6:$AF$3005,"保留中")&gt;0,"保留",IF(COUNTIFS(請求記録!$B$6:$B$3005,$A291,請求記録!$Z$6:$Z$3005,Y$5)=0,"",SUMIFS(請求記録!$AE$6:$AE$3005,請求記録!$B$6:$B$3005,$A291,請求記録!$Z$6:$Z$3005,Y$5))))</f>
        <v/>
      </c>
      <c r="Z291" s="19">
        <f>IF($A291="","",IF(COUNTIFS(請求記録!$B$6:$B$3005,$A291,請求記録!$Z$6:$Z$3005,Z$5,請求記録!$AF$6:$AF$3005,"保留中")&gt;0,"保留",IF(COUNTIFS(請求記録!$B$6:$B$3005,$A291,請求記録!$Z$6:$Z$3005,Z$5)=0,"",SUMIFS(請求記録!$AE$6:$AE$3005,請求記録!$B$6:$B$3005,$A291,請求記録!$Z$6:$Z$3005,Z$5))))</f>
        <v/>
      </c>
      <c r="AA291" s="19">
        <f>IF($A291="","",IF(COUNTIFS(請求記録!$B$6:$B$3005,$A291,請求記録!$Z$6:$Z$3005,AA$5,請求記録!$AF$6:$AF$3005,"保留中")&gt;0,"保留",IF(COUNTIFS(請求記録!$B$6:$B$3005,$A291,請求記録!$Z$6:$Z$3005,AA$5)=0,"",SUMIFS(請求記録!$AE$6:$AE$3005,請求記録!$B$6:$B$3005,$A291,請求記録!$Z$6:$Z$3005,AA$5))))</f>
        <v/>
      </c>
      <c r="AB291">
        <f>IF(職員マスタ!P291="保留中",職員マスタ!M291,"")</f>
        <v/>
      </c>
    </row>
    <row r="292">
      <c r="A292">
        <f>IF(職員マスタ!A292="","",職員マスタ!A292)</f>
        <v/>
      </c>
      <c r="B292">
        <f>IF($A292="","",職員マスタ!B292)</f>
        <v/>
      </c>
      <c r="C292">
        <f>IF($A292="","",職員マスタ!C292)</f>
        <v/>
      </c>
      <c r="D292" s="19">
        <f>IF($A292="","",IF(COUNTIFS(請求記録!$B$6:$B$3005,$A292,請求記録!$Z$6:$Z$3005,D$5,請求記録!$AF$6:$AF$3005,"保留中")&gt;0,"保留",IF(COUNTIFS(請求記録!$B$6:$B$3005,$A292,請求記録!$Z$6:$Z$3005,D$5)=0,"",SUMIFS(請求記録!$AE$6:$AE$3005,請求記録!$B$6:$B$3005,$A292,請求記録!$Z$6:$Z$3005,D$5))))</f>
        <v/>
      </c>
      <c r="E292" s="19">
        <f>IF($A292="","",IF(COUNTIFS(請求記録!$B$6:$B$3005,$A292,請求記録!$Z$6:$Z$3005,E$5,請求記録!$AF$6:$AF$3005,"保留中")&gt;0,"保留",IF(COUNTIFS(請求記録!$B$6:$B$3005,$A292,請求記録!$Z$6:$Z$3005,E$5)=0,"",SUMIFS(請求記録!$AE$6:$AE$3005,請求記録!$B$6:$B$3005,$A292,請求記録!$Z$6:$Z$3005,E$5))))</f>
        <v/>
      </c>
      <c r="F292" s="19">
        <f>IF($A292="","",IF(COUNTIFS(請求記録!$B$6:$B$3005,$A292,請求記録!$Z$6:$Z$3005,F$5,請求記録!$AF$6:$AF$3005,"保留中")&gt;0,"保留",IF(COUNTIFS(請求記録!$B$6:$B$3005,$A292,請求記録!$Z$6:$Z$3005,F$5)=0,"",SUMIFS(請求記録!$AE$6:$AE$3005,請求記録!$B$6:$B$3005,$A292,請求記録!$Z$6:$Z$3005,F$5))))</f>
        <v/>
      </c>
      <c r="G292" s="19">
        <f>IF($A292="","",IF(COUNTIFS(請求記録!$B$6:$B$3005,$A292,請求記録!$Z$6:$Z$3005,G$5,請求記録!$AF$6:$AF$3005,"保留中")&gt;0,"保留",IF(COUNTIFS(請求記録!$B$6:$B$3005,$A292,請求記録!$Z$6:$Z$3005,G$5)=0,"",SUMIFS(請求記録!$AE$6:$AE$3005,請求記録!$B$6:$B$3005,$A292,請求記録!$Z$6:$Z$3005,G$5))))</f>
        <v/>
      </c>
      <c r="H292" s="19">
        <f>IF($A292="","",IF(COUNTIFS(請求記録!$B$6:$B$3005,$A292,請求記録!$Z$6:$Z$3005,H$5,請求記録!$AF$6:$AF$3005,"保留中")&gt;0,"保留",IF(COUNTIFS(請求記録!$B$6:$B$3005,$A292,請求記録!$Z$6:$Z$3005,H$5)=0,"",SUMIFS(請求記録!$AE$6:$AE$3005,請求記録!$B$6:$B$3005,$A292,請求記録!$Z$6:$Z$3005,H$5))))</f>
        <v/>
      </c>
      <c r="I292" s="19">
        <f>IF($A292="","",IF(COUNTIFS(請求記録!$B$6:$B$3005,$A292,請求記録!$Z$6:$Z$3005,I$5,請求記録!$AF$6:$AF$3005,"保留中")&gt;0,"保留",IF(COUNTIFS(請求記録!$B$6:$B$3005,$A292,請求記録!$Z$6:$Z$3005,I$5)=0,"",SUMIFS(請求記録!$AE$6:$AE$3005,請求記録!$B$6:$B$3005,$A292,請求記録!$Z$6:$Z$3005,I$5))))</f>
        <v/>
      </c>
      <c r="J292" s="19">
        <f>IF($A292="","",IF(COUNTIFS(請求記録!$B$6:$B$3005,$A292,請求記録!$Z$6:$Z$3005,J$5,請求記録!$AF$6:$AF$3005,"保留中")&gt;0,"保留",IF(COUNTIFS(請求記録!$B$6:$B$3005,$A292,請求記録!$Z$6:$Z$3005,J$5)=0,"",SUMIFS(請求記録!$AE$6:$AE$3005,請求記録!$B$6:$B$3005,$A292,請求記録!$Z$6:$Z$3005,J$5))))</f>
        <v/>
      </c>
      <c r="K292" s="19">
        <f>IF($A292="","",IF(COUNTIFS(請求記録!$B$6:$B$3005,$A292,請求記録!$Z$6:$Z$3005,K$5,請求記録!$AF$6:$AF$3005,"保留中")&gt;0,"保留",IF(COUNTIFS(請求記録!$B$6:$B$3005,$A292,請求記録!$Z$6:$Z$3005,K$5)=0,"",SUMIFS(請求記録!$AE$6:$AE$3005,請求記録!$B$6:$B$3005,$A292,請求記録!$Z$6:$Z$3005,K$5))))</f>
        <v/>
      </c>
      <c r="L292" s="19">
        <f>IF($A292="","",IF(COUNTIFS(請求記録!$B$6:$B$3005,$A292,請求記録!$Z$6:$Z$3005,L$5,請求記録!$AF$6:$AF$3005,"保留中")&gt;0,"保留",IF(COUNTIFS(請求記録!$B$6:$B$3005,$A292,請求記録!$Z$6:$Z$3005,L$5)=0,"",SUMIFS(請求記録!$AE$6:$AE$3005,請求記録!$B$6:$B$3005,$A292,請求記録!$Z$6:$Z$3005,L$5))))</f>
        <v/>
      </c>
      <c r="M292" s="19">
        <f>IF($A292="","",IF(COUNTIFS(請求記録!$B$6:$B$3005,$A292,請求記録!$Z$6:$Z$3005,M$5,請求記録!$AF$6:$AF$3005,"保留中")&gt;0,"保留",IF(COUNTIFS(請求記録!$B$6:$B$3005,$A292,請求記録!$Z$6:$Z$3005,M$5)=0,"",SUMIFS(請求記録!$AE$6:$AE$3005,請求記録!$B$6:$B$3005,$A292,請求記録!$Z$6:$Z$3005,M$5))))</f>
        <v/>
      </c>
      <c r="N292" s="19">
        <f>IF($A292="","",IF(COUNTIFS(請求記録!$B$6:$B$3005,$A292,請求記録!$Z$6:$Z$3005,N$5,請求記録!$AF$6:$AF$3005,"保留中")&gt;0,"保留",IF(COUNTIFS(請求記録!$B$6:$B$3005,$A292,請求記録!$Z$6:$Z$3005,N$5)=0,"",SUMIFS(請求記録!$AE$6:$AE$3005,請求記録!$B$6:$B$3005,$A292,請求記録!$Z$6:$Z$3005,N$5))))</f>
        <v/>
      </c>
      <c r="O292" s="19">
        <f>IF($A292="","",IF(COUNTIFS(請求記録!$B$6:$B$3005,$A292,請求記録!$Z$6:$Z$3005,O$5,請求記録!$AF$6:$AF$3005,"保留中")&gt;0,"保留",IF(COUNTIFS(請求記録!$B$6:$B$3005,$A292,請求記録!$Z$6:$Z$3005,O$5)=0,"",SUMIFS(請求記録!$AE$6:$AE$3005,請求記録!$B$6:$B$3005,$A292,請求記録!$Z$6:$Z$3005,O$5))))</f>
        <v/>
      </c>
      <c r="P292" s="19">
        <f>IF($A292="","",IF(COUNTIFS(請求記録!$B$6:$B$3005,$A292,請求記録!$Z$6:$Z$3005,P$5,請求記録!$AF$6:$AF$3005,"保留中")&gt;0,"保留",IF(COUNTIFS(請求記録!$B$6:$B$3005,$A292,請求記録!$Z$6:$Z$3005,P$5)=0,"",SUMIFS(請求記録!$AE$6:$AE$3005,請求記録!$B$6:$B$3005,$A292,請求記録!$Z$6:$Z$3005,P$5))))</f>
        <v/>
      </c>
      <c r="Q292" s="19">
        <f>IF($A292="","",IF(COUNTIFS(請求記録!$B$6:$B$3005,$A292,請求記録!$Z$6:$Z$3005,Q$5,請求記録!$AF$6:$AF$3005,"保留中")&gt;0,"保留",IF(COUNTIFS(請求記録!$B$6:$B$3005,$A292,請求記録!$Z$6:$Z$3005,Q$5)=0,"",SUMIFS(請求記録!$AE$6:$AE$3005,請求記録!$B$6:$B$3005,$A292,請求記録!$Z$6:$Z$3005,Q$5))))</f>
        <v/>
      </c>
      <c r="R292" s="19">
        <f>IF($A292="","",IF(COUNTIFS(請求記録!$B$6:$B$3005,$A292,請求記録!$Z$6:$Z$3005,R$5,請求記録!$AF$6:$AF$3005,"保留中")&gt;0,"保留",IF(COUNTIFS(請求記録!$B$6:$B$3005,$A292,請求記録!$Z$6:$Z$3005,R$5)=0,"",SUMIFS(請求記録!$AE$6:$AE$3005,請求記録!$B$6:$B$3005,$A292,請求記録!$Z$6:$Z$3005,R$5))))</f>
        <v/>
      </c>
      <c r="S292" s="19">
        <f>IF($A292="","",IF(COUNTIFS(請求記録!$B$6:$B$3005,$A292,請求記録!$Z$6:$Z$3005,S$5,請求記録!$AF$6:$AF$3005,"保留中")&gt;0,"保留",IF(COUNTIFS(請求記録!$B$6:$B$3005,$A292,請求記録!$Z$6:$Z$3005,S$5)=0,"",SUMIFS(請求記録!$AE$6:$AE$3005,請求記録!$B$6:$B$3005,$A292,請求記録!$Z$6:$Z$3005,S$5))))</f>
        <v/>
      </c>
      <c r="T292" s="19">
        <f>IF($A292="","",IF(COUNTIFS(請求記録!$B$6:$B$3005,$A292,請求記録!$Z$6:$Z$3005,T$5,請求記録!$AF$6:$AF$3005,"保留中")&gt;0,"保留",IF(COUNTIFS(請求記録!$B$6:$B$3005,$A292,請求記録!$Z$6:$Z$3005,T$5)=0,"",SUMIFS(請求記録!$AE$6:$AE$3005,請求記録!$B$6:$B$3005,$A292,請求記録!$Z$6:$Z$3005,T$5))))</f>
        <v/>
      </c>
      <c r="U292" s="19">
        <f>IF($A292="","",IF(COUNTIFS(請求記録!$B$6:$B$3005,$A292,請求記録!$Z$6:$Z$3005,U$5,請求記録!$AF$6:$AF$3005,"保留中")&gt;0,"保留",IF(COUNTIFS(請求記録!$B$6:$B$3005,$A292,請求記録!$Z$6:$Z$3005,U$5)=0,"",SUMIFS(請求記録!$AE$6:$AE$3005,請求記録!$B$6:$B$3005,$A292,請求記録!$Z$6:$Z$3005,U$5))))</f>
        <v/>
      </c>
      <c r="V292" s="19">
        <f>IF($A292="","",IF(COUNTIFS(請求記録!$B$6:$B$3005,$A292,請求記録!$Z$6:$Z$3005,V$5,請求記録!$AF$6:$AF$3005,"保留中")&gt;0,"保留",IF(COUNTIFS(請求記録!$B$6:$B$3005,$A292,請求記録!$Z$6:$Z$3005,V$5)=0,"",SUMIFS(請求記録!$AE$6:$AE$3005,請求記録!$B$6:$B$3005,$A292,請求記録!$Z$6:$Z$3005,V$5))))</f>
        <v/>
      </c>
      <c r="W292" s="19">
        <f>IF($A292="","",IF(COUNTIFS(請求記録!$B$6:$B$3005,$A292,請求記録!$Z$6:$Z$3005,W$5,請求記録!$AF$6:$AF$3005,"保留中")&gt;0,"保留",IF(COUNTIFS(請求記録!$B$6:$B$3005,$A292,請求記録!$Z$6:$Z$3005,W$5)=0,"",SUMIFS(請求記録!$AE$6:$AE$3005,請求記録!$B$6:$B$3005,$A292,請求記録!$Z$6:$Z$3005,W$5))))</f>
        <v/>
      </c>
      <c r="X292" s="19">
        <f>IF($A292="","",IF(COUNTIFS(請求記録!$B$6:$B$3005,$A292,請求記録!$Z$6:$Z$3005,X$5,請求記録!$AF$6:$AF$3005,"保留中")&gt;0,"保留",IF(COUNTIFS(請求記録!$B$6:$B$3005,$A292,請求記録!$Z$6:$Z$3005,X$5)=0,"",SUMIFS(請求記録!$AE$6:$AE$3005,請求記録!$B$6:$B$3005,$A292,請求記録!$Z$6:$Z$3005,X$5))))</f>
        <v/>
      </c>
      <c r="Y292" s="19">
        <f>IF($A292="","",IF(COUNTIFS(請求記録!$B$6:$B$3005,$A292,請求記録!$Z$6:$Z$3005,Y$5,請求記録!$AF$6:$AF$3005,"保留中")&gt;0,"保留",IF(COUNTIFS(請求記録!$B$6:$B$3005,$A292,請求記録!$Z$6:$Z$3005,Y$5)=0,"",SUMIFS(請求記録!$AE$6:$AE$3005,請求記録!$B$6:$B$3005,$A292,請求記録!$Z$6:$Z$3005,Y$5))))</f>
        <v/>
      </c>
      <c r="Z292" s="19">
        <f>IF($A292="","",IF(COUNTIFS(請求記録!$B$6:$B$3005,$A292,請求記録!$Z$6:$Z$3005,Z$5,請求記録!$AF$6:$AF$3005,"保留中")&gt;0,"保留",IF(COUNTIFS(請求記録!$B$6:$B$3005,$A292,請求記録!$Z$6:$Z$3005,Z$5)=0,"",SUMIFS(請求記録!$AE$6:$AE$3005,請求記録!$B$6:$B$3005,$A292,請求記録!$Z$6:$Z$3005,Z$5))))</f>
        <v/>
      </c>
      <c r="AA292" s="19">
        <f>IF($A292="","",IF(COUNTIFS(請求記録!$B$6:$B$3005,$A292,請求記録!$Z$6:$Z$3005,AA$5,請求記録!$AF$6:$AF$3005,"保留中")&gt;0,"保留",IF(COUNTIFS(請求記録!$B$6:$B$3005,$A292,請求記録!$Z$6:$Z$3005,AA$5)=0,"",SUMIFS(請求記録!$AE$6:$AE$3005,請求記録!$B$6:$B$3005,$A292,請求記録!$Z$6:$Z$3005,AA$5))))</f>
        <v/>
      </c>
      <c r="AB292">
        <f>IF(職員マスタ!P292="保留中",職員マスタ!M292,"")</f>
        <v/>
      </c>
    </row>
    <row r="293">
      <c r="A293">
        <f>IF(職員マスタ!A293="","",職員マスタ!A293)</f>
        <v/>
      </c>
      <c r="B293">
        <f>IF($A293="","",職員マスタ!B293)</f>
        <v/>
      </c>
      <c r="C293">
        <f>IF($A293="","",職員マスタ!C293)</f>
        <v/>
      </c>
      <c r="D293" s="19">
        <f>IF($A293="","",IF(COUNTIFS(請求記録!$B$6:$B$3005,$A293,請求記録!$Z$6:$Z$3005,D$5,請求記録!$AF$6:$AF$3005,"保留中")&gt;0,"保留",IF(COUNTIFS(請求記録!$B$6:$B$3005,$A293,請求記録!$Z$6:$Z$3005,D$5)=0,"",SUMIFS(請求記録!$AE$6:$AE$3005,請求記録!$B$6:$B$3005,$A293,請求記録!$Z$6:$Z$3005,D$5))))</f>
        <v/>
      </c>
      <c r="E293" s="19">
        <f>IF($A293="","",IF(COUNTIFS(請求記録!$B$6:$B$3005,$A293,請求記録!$Z$6:$Z$3005,E$5,請求記録!$AF$6:$AF$3005,"保留中")&gt;0,"保留",IF(COUNTIFS(請求記録!$B$6:$B$3005,$A293,請求記録!$Z$6:$Z$3005,E$5)=0,"",SUMIFS(請求記録!$AE$6:$AE$3005,請求記録!$B$6:$B$3005,$A293,請求記録!$Z$6:$Z$3005,E$5))))</f>
        <v/>
      </c>
      <c r="F293" s="19">
        <f>IF($A293="","",IF(COUNTIFS(請求記録!$B$6:$B$3005,$A293,請求記録!$Z$6:$Z$3005,F$5,請求記録!$AF$6:$AF$3005,"保留中")&gt;0,"保留",IF(COUNTIFS(請求記録!$B$6:$B$3005,$A293,請求記録!$Z$6:$Z$3005,F$5)=0,"",SUMIFS(請求記録!$AE$6:$AE$3005,請求記録!$B$6:$B$3005,$A293,請求記録!$Z$6:$Z$3005,F$5))))</f>
        <v/>
      </c>
      <c r="G293" s="19">
        <f>IF($A293="","",IF(COUNTIFS(請求記録!$B$6:$B$3005,$A293,請求記録!$Z$6:$Z$3005,G$5,請求記録!$AF$6:$AF$3005,"保留中")&gt;0,"保留",IF(COUNTIFS(請求記録!$B$6:$B$3005,$A293,請求記録!$Z$6:$Z$3005,G$5)=0,"",SUMIFS(請求記録!$AE$6:$AE$3005,請求記録!$B$6:$B$3005,$A293,請求記録!$Z$6:$Z$3005,G$5))))</f>
        <v/>
      </c>
      <c r="H293" s="19">
        <f>IF($A293="","",IF(COUNTIFS(請求記録!$B$6:$B$3005,$A293,請求記録!$Z$6:$Z$3005,H$5,請求記録!$AF$6:$AF$3005,"保留中")&gt;0,"保留",IF(COUNTIFS(請求記録!$B$6:$B$3005,$A293,請求記録!$Z$6:$Z$3005,H$5)=0,"",SUMIFS(請求記録!$AE$6:$AE$3005,請求記録!$B$6:$B$3005,$A293,請求記録!$Z$6:$Z$3005,H$5))))</f>
        <v/>
      </c>
      <c r="I293" s="19">
        <f>IF($A293="","",IF(COUNTIFS(請求記録!$B$6:$B$3005,$A293,請求記録!$Z$6:$Z$3005,I$5,請求記録!$AF$6:$AF$3005,"保留中")&gt;0,"保留",IF(COUNTIFS(請求記録!$B$6:$B$3005,$A293,請求記録!$Z$6:$Z$3005,I$5)=0,"",SUMIFS(請求記録!$AE$6:$AE$3005,請求記録!$B$6:$B$3005,$A293,請求記録!$Z$6:$Z$3005,I$5))))</f>
        <v/>
      </c>
      <c r="J293" s="19">
        <f>IF($A293="","",IF(COUNTIFS(請求記録!$B$6:$B$3005,$A293,請求記録!$Z$6:$Z$3005,J$5,請求記録!$AF$6:$AF$3005,"保留中")&gt;0,"保留",IF(COUNTIFS(請求記録!$B$6:$B$3005,$A293,請求記録!$Z$6:$Z$3005,J$5)=0,"",SUMIFS(請求記録!$AE$6:$AE$3005,請求記録!$B$6:$B$3005,$A293,請求記録!$Z$6:$Z$3005,J$5))))</f>
        <v/>
      </c>
      <c r="K293" s="19">
        <f>IF($A293="","",IF(COUNTIFS(請求記録!$B$6:$B$3005,$A293,請求記録!$Z$6:$Z$3005,K$5,請求記録!$AF$6:$AF$3005,"保留中")&gt;0,"保留",IF(COUNTIFS(請求記録!$B$6:$B$3005,$A293,請求記録!$Z$6:$Z$3005,K$5)=0,"",SUMIFS(請求記録!$AE$6:$AE$3005,請求記録!$B$6:$B$3005,$A293,請求記録!$Z$6:$Z$3005,K$5))))</f>
        <v/>
      </c>
      <c r="L293" s="19">
        <f>IF($A293="","",IF(COUNTIFS(請求記録!$B$6:$B$3005,$A293,請求記録!$Z$6:$Z$3005,L$5,請求記録!$AF$6:$AF$3005,"保留中")&gt;0,"保留",IF(COUNTIFS(請求記録!$B$6:$B$3005,$A293,請求記録!$Z$6:$Z$3005,L$5)=0,"",SUMIFS(請求記録!$AE$6:$AE$3005,請求記録!$B$6:$B$3005,$A293,請求記録!$Z$6:$Z$3005,L$5))))</f>
        <v/>
      </c>
      <c r="M293" s="19">
        <f>IF($A293="","",IF(COUNTIFS(請求記録!$B$6:$B$3005,$A293,請求記録!$Z$6:$Z$3005,M$5,請求記録!$AF$6:$AF$3005,"保留中")&gt;0,"保留",IF(COUNTIFS(請求記録!$B$6:$B$3005,$A293,請求記録!$Z$6:$Z$3005,M$5)=0,"",SUMIFS(請求記録!$AE$6:$AE$3005,請求記録!$B$6:$B$3005,$A293,請求記録!$Z$6:$Z$3005,M$5))))</f>
        <v/>
      </c>
      <c r="N293" s="19">
        <f>IF($A293="","",IF(COUNTIFS(請求記録!$B$6:$B$3005,$A293,請求記録!$Z$6:$Z$3005,N$5,請求記録!$AF$6:$AF$3005,"保留中")&gt;0,"保留",IF(COUNTIFS(請求記録!$B$6:$B$3005,$A293,請求記録!$Z$6:$Z$3005,N$5)=0,"",SUMIFS(請求記録!$AE$6:$AE$3005,請求記録!$B$6:$B$3005,$A293,請求記録!$Z$6:$Z$3005,N$5))))</f>
        <v/>
      </c>
      <c r="O293" s="19">
        <f>IF($A293="","",IF(COUNTIFS(請求記録!$B$6:$B$3005,$A293,請求記録!$Z$6:$Z$3005,O$5,請求記録!$AF$6:$AF$3005,"保留中")&gt;0,"保留",IF(COUNTIFS(請求記録!$B$6:$B$3005,$A293,請求記録!$Z$6:$Z$3005,O$5)=0,"",SUMIFS(請求記録!$AE$6:$AE$3005,請求記録!$B$6:$B$3005,$A293,請求記録!$Z$6:$Z$3005,O$5))))</f>
        <v/>
      </c>
      <c r="P293" s="19">
        <f>IF($A293="","",IF(COUNTIFS(請求記録!$B$6:$B$3005,$A293,請求記録!$Z$6:$Z$3005,P$5,請求記録!$AF$6:$AF$3005,"保留中")&gt;0,"保留",IF(COUNTIFS(請求記録!$B$6:$B$3005,$A293,請求記録!$Z$6:$Z$3005,P$5)=0,"",SUMIFS(請求記録!$AE$6:$AE$3005,請求記録!$B$6:$B$3005,$A293,請求記録!$Z$6:$Z$3005,P$5))))</f>
        <v/>
      </c>
      <c r="Q293" s="19">
        <f>IF($A293="","",IF(COUNTIFS(請求記録!$B$6:$B$3005,$A293,請求記録!$Z$6:$Z$3005,Q$5,請求記録!$AF$6:$AF$3005,"保留中")&gt;0,"保留",IF(COUNTIFS(請求記録!$B$6:$B$3005,$A293,請求記録!$Z$6:$Z$3005,Q$5)=0,"",SUMIFS(請求記録!$AE$6:$AE$3005,請求記録!$B$6:$B$3005,$A293,請求記録!$Z$6:$Z$3005,Q$5))))</f>
        <v/>
      </c>
      <c r="R293" s="19">
        <f>IF($A293="","",IF(COUNTIFS(請求記録!$B$6:$B$3005,$A293,請求記録!$Z$6:$Z$3005,R$5,請求記録!$AF$6:$AF$3005,"保留中")&gt;0,"保留",IF(COUNTIFS(請求記録!$B$6:$B$3005,$A293,請求記録!$Z$6:$Z$3005,R$5)=0,"",SUMIFS(請求記録!$AE$6:$AE$3005,請求記録!$B$6:$B$3005,$A293,請求記録!$Z$6:$Z$3005,R$5))))</f>
        <v/>
      </c>
      <c r="S293" s="19">
        <f>IF($A293="","",IF(COUNTIFS(請求記録!$B$6:$B$3005,$A293,請求記録!$Z$6:$Z$3005,S$5,請求記録!$AF$6:$AF$3005,"保留中")&gt;0,"保留",IF(COUNTIFS(請求記録!$B$6:$B$3005,$A293,請求記録!$Z$6:$Z$3005,S$5)=0,"",SUMIFS(請求記録!$AE$6:$AE$3005,請求記録!$B$6:$B$3005,$A293,請求記録!$Z$6:$Z$3005,S$5))))</f>
        <v/>
      </c>
      <c r="T293" s="19">
        <f>IF($A293="","",IF(COUNTIFS(請求記録!$B$6:$B$3005,$A293,請求記録!$Z$6:$Z$3005,T$5,請求記録!$AF$6:$AF$3005,"保留中")&gt;0,"保留",IF(COUNTIFS(請求記録!$B$6:$B$3005,$A293,請求記録!$Z$6:$Z$3005,T$5)=0,"",SUMIFS(請求記録!$AE$6:$AE$3005,請求記録!$B$6:$B$3005,$A293,請求記録!$Z$6:$Z$3005,T$5))))</f>
        <v/>
      </c>
      <c r="U293" s="19">
        <f>IF($A293="","",IF(COUNTIFS(請求記録!$B$6:$B$3005,$A293,請求記録!$Z$6:$Z$3005,U$5,請求記録!$AF$6:$AF$3005,"保留中")&gt;0,"保留",IF(COUNTIFS(請求記録!$B$6:$B$3005,$A293,請求記録!$Z$6:$Z$3005,U$5)=0,"",SUMIFS(請求記録!$AE$6:$AE$3005,請求記録!$B$6:$B$3005,$A293,請求記録!$Z$6:$Z$3005,U$5))))</f>
        <v/>
      </c>
      <c r="V293" s="19">
        <f>IF($A293="","",IF(COUNTIFS(請求記録!$B$6:$B$3005,$A293,請求記録!$Z$6:$Z$3005,V$5,請求記録!$AF$6:$AF$3005,"保留中")&gt;0,"保留",IF(COUNTIFS(請求記録!$B$6:$B$3005,$A293,請求記録!$Z$6:$Z$3005,V$5)=0,"",SUMIFS(請求記録!$AE$6:$AE$3005,請求記録!$B$6:$B$3005,$A293,請求記録!$Z$6:$Z$3005,V$5))))</f>
        <v/>
      </c>
      <c r="W293" s="19">
        <f>IF($A293="","",IF(COUNTIFS(請求記録!$B$6:$B$3005,$A293,請求記録!$Z$6:$Z$3005,W$5,請求記録!$AF$6:$AF$3005,"保留中")&gt;0,"保留",IF(COUNTIFS(請求記録!$B$6:$B$3005,$A293,請求記録!$Z$6:$Z$3005,W$5)=0,"",SUMIFS(請求記録!$AE$6:$AE$3005,請求記録!$B$6:$B$3005,$A293,請求記録!$Z$6:$Z$3005,W$5))))</f>
        <v/>
      </c>
      <c r="X293" s="19">
        <f>IF($A293="","",IF(COUNTIFS(請求記録!$B$6:$B$3005,$A293,請求記録!$Z$6:$Z$3005,X$5,請求記録!$AF$6:$AF$3005,"保留中")&gt;0,"保留",IF(COUNTIFS(請求記録!$B$6:$B$3005,$A293,請求記録!$Z$6:$Z$3005,X$5)=0,"",SUMIFS(請求記録!$AE$6:$AE$3005,請求記録!$B$6:$B$3005,$A293,請求記録!$Z$6:$Z$3005,X$5))))</f>
        <v/>
      </c>
      <c r="Y293" s="19">
        <f>IF($A293="","",IF(COUNTIFS(請求記録!$B$6:$B$3005,$A293,請求記録!$Z$6:$Z$3005,Y$5,請求記録!$AF$6:$AF$3005,"保留中")&gt;0,"保留",IF(COUNTIFS(請求記録!$B$6:$B$3005,$A293,請求記録!$Z$6:$Z$3005,Y$5)=0,"",SUMIFS(請求記録!$AE$6:$AE$3005,請求記録!$B$6:$B$3005,$A293,請求記録!$Z$6:$Z$3005,Y$5))))</f>
        <v/>
      </c>
      <c r="Z293" s="19">
        <f>IF($A293="","",IF(COUNTIFS(請求記録!$B$6:$B$3005,$A293,請求記録!$Z$6:$Z$3005,Z$5,請求記録!$AF$6:$AF$3005,"保留中")&gt;0,"保留",IF(COUNTIFS(請求記録!$B$6:$B$3005,$A293,請求記録!$Z$6:$Z$3005,Z$5)=0,"",SUMIFS(請求記録!$AE$6:$AE$3005,請求記録!$B$6:$B$3005,$A293,請求記録!$Z$6:$Z$3005,Z$5))))</f>
        <v/>
      </c>
      <c r="AA293" s="19">
        <f>IF($A293="","",IF(COUNTIFS(請求記録!$B$6:$B$3005,$A293,請求記録!$Z$6:$Z$3005,AA$5,請求記録!$AF$6:$AF$3005,"保留中")&gt;0,"保留",IF(COUNTIFS(請求記録!$B$6:$B$3005,$A293,請求記録!$Z$6:$Z$3005,AA$5)=0,"",SUMIFS(請求記録!$AE$6:$AE$3005,請求記録!$B$6:$B$3005,$A293,請求記録!$Z$6:$Z$3005,AA$5))))</f>
        <v/>
      </c>
      <c r="AB293">
        <f>IF(職員マスタ!P293="保留中",職員マスタ!M293,"")</f>
        <v/>
      </c>
    </row>
    <row r="294">
      <c r="A294">
        <f>IF(職員マスタ!A294="","",職員マスタ!A294)</f>
        <v/>
      </c>
      <c r="B294">
        <f>IF($A294="","",職員マスタ!B294)</f>
        <v/>
      </c>
      <c r="C294">
        <f>IF($A294="","",職員マスタ!C294)</f>
        <v/>
      </c>
      <c r="D294" s="19">
        <f>IF($A294="","",IF(COUNTIFS(請求記録!$B$6:$B$3005,$A294,請求記録!$Z$6:$Z$3005,D$5,請求記録!$AF$6:$AF$3005,"保留中")&gt;0,"保留",IF(COUNTIFS(請求記録!$B$6:$B$3005,$A294,請求記録!$Z$6:$Z$3005,D$5)=0,"",SUMIFS(請求記録!$AE$6:$AE$3005,請求記録!$B$6:$B$3005,$A294,請求記録!$Z$6:$Z$3005,D$5))))</f>
        <v/>
      </c>
      <c r="E294" s="19">
        <f>IF($A294="","",IF(COUNTIFS(請求記録!$B$6:$B$3005,$A294,請求記録!$Z$6:$Z$3005,E$5,請求記録!$AF$6:$AF$3005,"保留中")&gt;0,"保留",IF(COUNTIFS(請求記録!$B$6:$B$3005,$A294,請求記録!$Z$6:$Z$3005,E$5)=0,"",SUMIFS(請求記録!$AE$6:$AE$3005,請求記録!$B$6:$B$3005,$A294,請求記録!$Z$6:$Z$3005,E$5))))</f>
        <v/>
      </c>
      <c r="F294" s="19">
        <f>IF($A294="","",IF(COUNTIFS(請求記録!$B$6:$B$3005,$A294,請求記録!$Z$6:$Z$3005,F$5,請求記録!$AF$6:$AF$3005,"保留中")&gt;0,"保留",IF(COUNTIFS(請求記録!$B$6:$B$3005,$A294,請求記録!$Z$6:$Z$3005,F$5)=0,"",SUMIFS(請求記録!$AE$6:$AE$3005,請求記録!$B$6:$B$3005,$A294,請求記録!$Z$6:$Z$3005,F$5))))</f>
        <v/>
      </c>
      <c r="G294" s="19">
        <f>IF($A294="","",IF(COUNTIFS(請求記録!$B$6:$B$3005,$A294,請求記録!$Z$6:$Z$3005,G$5,請求記録!$AF$6:$AF$3005,"保留中")&gt;0,"保留",IF(COUNTIFS(請求記録!$B$6:$B$3005,$A294,請求記録!$Z$6:$Z$3005,G$5)=0,"",SUMIFS(請求記録!$AE$6:$AE$3005,請求記録!$B$6:$B$3005,$A294,請求記録!$Z$6:$Z$3005,G$5))))</f>
        <v/>
      </c>
      <c r="H294" s="19">
        <f>IF($A294="","",IF(COUNTIFS(請求記録!$B$6:$B$3005,$A294,請求記録!$Z$6:$Z$3005,H$5,請求記録!$AF$6:$AF$3005,"保留中")&gt;0,"保留",IF(COUNTIFS(請求記録!$B$6:$B$3005,$A294,請求記録!$Z$6:$Z$3005,H$5)=0,"",SUMIFS(請求記録!$AE$6:$AE$3005,請求記録!$B$6:$B$3005,$A294,請求記録!$Z$6:$Z$3005,H$5))))</f>
        <v/>
      </c>
      <c r="I294" s="19">
        <f>IF($A294="","",IF(COUNTIFS(請求記録!$B$6:$B$3005,$A294,請求記録!$Z$6:$Z$3005,I$5,請求記録!$AF$6:$AF$3005,"保留中")&gt;0,"保留",IF(COUNTIFS(請求記録!$B$6:$B$3005,$A294,請求記録!$Z$6:$Z$3005,I$5)=0,"",SUMIFS(請求記録!$AE$6:$AE$3005,請求記録!$B$6:$B$3005,$A294,請求記録!$Z$6:$Z$3005,I$5))))</f>
        <v/>
      </c>
      <c r="J294" s="19">
        <f>IF($A294="","",IF(COUNTIFS(請求記録!$B$6:$B$3005,$A294,請求記録!$Z$6:$Z$3005,J$5,請求記録!$AF$6:$AF$3005,"保留中")&gt;0,"保留",IF(COUNTIFS(請求記録!$B$6:$B$3005,$A294,請求記録!$Z$6:$Z$3005,J$5)=0,"",SUMIFS(請求記録!$AE$6:$AE$3005,請求記録!$B$6:$B$3005,$A294,請求記録!$Z$6:$Z$3005,J$5))))</f>
        <v/>
      </c>
      <c r="K294" s="19">
        <f>IF($A294="","",IF(COUNTIFS(請求記録!$B$6:$B$3005,$A294,請求記録!$Z$6:$Z$3005,K$5,請求記録!$AF$6:$AF$3005,"保留中")&gt;0,"保留",IF(COUNTIFS(請求記録!$B$6:$B$3005,$A294,請求記録!$Z$6:$Z$3005,K$5)=0,"",SUMIFS(請求記録!$AE$6:$AE$3005,請求記録!$B$6:$B$3005,$A294,請求記録!$Z$6:$Z$3005,K$5))))</f>
        <v/>
      </c>
      <c r="L294" s="19">
        <f>IF($A294="","",IF(COUNTIFS(請求記録!$B$6:$B$3005,$A294,請求記録!$Z$6:$Z$3005,L$5,請求記録!$AF$6:$AF$3005,"保留中")&gt;0,"保留",IF(COUNTIFS(請求記録!$B$6:$B$3005,$A294,請求記録!$Z$6:$Z$3005,L$5)=0,"",SUMIFS(請求記録!$AE$6:$AE$3005,請求記録!$B$6:$B$3005,$A294,請求記録!$Z$6:$Z$3005,L$5))))</f>
        <v/>
      </c>
      <c r="M294" s="19">
        <f>IF($A294="","",IF(COUNTIFS(請求記録!$B$6:$B$3005,$A294,請求記録!$Z$6:$Z$3005,M$5,請求記録!$AF$6:$AF$3005,"保留中")&gt;0,"保留",IF(COUNTIFS(請求記録!$B$6:$B$3005,$A294,請求記録!$Z$6:$Z$3005,M$5)=0,"",SUMIFS(請求記録!$AE$6:$AE$3005,請求記録!$B$6:$B$3005,$A294,請求記録!$Z$6:$Z$3005,M$5))))</f>
        <v/>
      </c>
      <c r="N294" s="19">
        <f>IF($A294="","",IF(COUNTIFS(請求記録!$B$6:$B$3005,$A294,請求記録!$Z$6:$Z$3005,N$5,請求記録!$AF$6:$AF$3005,"保留中")&gt;0,"保留",IF(COUNTIFS(請求記録!$B$6:$B$3005,$A294,請求記録!$Z$6:$Z$3005,N$5)=0,"",SUMIFS(請求記録!$AE$6:$AE$3005,請求記録!$B$6:$B$3005,$A294,請求記録!$Z$6:$Z$3005,N$5))))</f>
        <v/>
      </c>
      <c r="O294" s="19">
        <f>IF($A294="","",IF(COUNTIFS(請求記録!$B$6:$B$3005,$A294,請求記録!$Z$6:$Z$3005,O$5,請求記録!$AF$6:$AF$3005,"保留中")&gt;0,"保留",IF(COUNTIFS(請求記録!$B$6:$B$3005,$A294,請求記録!$Z$6:$Z$3005,O$5)=0,"",SUMIFS(請求記録!$AE$6:$AE$3005,請求記録!$B$6:$B$3005,$A294,請求記録!$Z$6:$Z$3005,O$5))))</f>
        <v/>
      </c>
      <c r="P294" s="19">
        <f>IF($A294="","",IF(COUNTIFS(請求記録!$B$6:$B$3005,$A294,請求記録!$Z$6:$Z$3005,P$5,請求記録!$AF$6:$AF$3005,"保留中")&gt;0,"保留",IF(COUNTIFS(請求記録!$B$6:$B$3005,$A294,請求記録!$Z$6:$Z$3005,P$5)=0,"",SUMIFS(請求記録!$AE$6:$AE$3005,請求記録!$B$6:$B$3005,$A294,請求記録!$Z$6:$Z$3005,P$5))))</f>
        <v/>
      </c>
      <c r="Q294" s="19">
        <f>IF($A294="","",IF(COUNTIFS(請求記録!$B$6:$B$3005,$A294,請求記録!$Z$6:$Z$3005,Q$5,請求記録!$AF$6:$AF$3005,"保留中")&gt;0,"保留",IF(COUNTIFS(請求記録!$B$6:$B$3005,$A294,請求記録!$Z$6:$Z$3005,Q$5)=0,"",SUMIFS(請求記録!$AE$6:$AE$3005,請求記録!$B$6:$B$3005,$A294,請求記録!$Z$6:$Z$3005,Q$5))))</f>
        <v/>
      </c>
      <c r="R294" s="19">
        <f>IF($A294="","",IF(COUNTIFS(請求記録!$B$6:$B$3005,$A294,請求記録!$Z$6:$Z$3005,R$5,請求記録!$AF$6:$AF$3005,"保留中")&gt;0,"保留",IF(COUNTIFS(請求記録!$B$6:$B$3005,$A294,請求記録!$Z$6:$Z$3005,R$5)=0,"",SUMIFS(請求記録!$AE$6:$AE$3005,請求記録!$B$6:$B$3005,$A294,請求記録!$Z$6:$Z$3005,R$5))))</f>
        <v/>
      </c>
      <c r="S294" s="19">
        <f>IF($A294="","",IF(COUNTIFS(請求記録!$B$6:$B$3005,$A294,請求記録!$Z$6:$Z$3005,S$5,請求記録!$AF$6:$AF$3005,"保留中")&gt;0,"保留",IF(COUNTIFS(請求記録!$B$6:$B$3005,$A294,請求記録!$Z$6:$Z$3005,S$5)=0,"",SUMIFS(請求記録!$AE$6:$AE$3005,請求記録!$B$6:$B$3005,$A294,請求記録!$Z$6:$Z$3005,S$5))))</f>
        <v/>
      </c>
      <c r="T294" s="19">
        <f>IF($A294="","",IF(COUNTIFS(請求記録!$B$6:$B$3005,$A294,請求記録!$Z$6:$Z$3005,T$5,請求記録!$AF$6:$AF$3005,"保留中")&gt;0,"保留",IF(COUNTIFS(請求記録!$B$6:$B$3005,$A294,請求記録!$Z$6:$Z$3005,T$5)=0,"",SUMIFS(請求記録!$AE$6:$AE$3005,請求記録!$B$6:$B$3005,$A294,請求記録!$Z$6:$Z$3005,T$5))))</f>
        <v/>
      </c>
      <c r="U294" s="19">
        <f>IF($A294="","",IF(COUNTIFS(請求記録!$B$6:$B$3005,$A294,請求記録!$Z$6:$Z$3005,U$5,請求記録!$AF$6:$AF$3005,"保留中")&gt;0,"保留",IF(COUNTIFS(請求記録!$B$6:$B$3005,$A294,請求記録!$Z$6:$Z$3005,U$5)=0,"",SUMIFS(請求記録!$AE$6:$AE$3005,請求記録!$B$6:$B$3005,$A294,請求記録!$Z$6:$Z$3005,U$5))))</f>
        <v/>
      </c>
      <c r="V294" s="19">
        <f>IF($A294="","",IF(COUNTIFS(請求記録!$B$6:$B$3005,$A294,請求記録!$Z$6:$Z$3005,V$5,請求記録!$AF$6:$AF$3005,"保留中")&gt;0,"保留",IF(COUNTIFS(請求記録!$B$6:$B$3005,$A294,請求記録!$Z$6:$Z$3005,V$5)=0,"",SUMIFS(請求記録!$AE$6:$AE$3005,請求記録!$B$6:$B$3005,$A294,請求記録!$Z$6:$Z$3005,V$5))))</f>
        <v/>
      </c>
      <c r="W294" s="19">
        <f>IF($A294="","",IF(COUNTIFS(請求記録!$B$6:$B$3005,$A294,請求記録!$Z$6:$Z$3005,W$5,請求記録!$AF$6:$AF$3005,"保留中")&gt;0,"保留",IF(COUNTIFS(請求記録!$B$6:$B$3005,$A294,請求記録!$Z$6:$Z$3005,W$5)=0,"",SUMIFS(請求記録!$AE$6:$AE$3005,請求記録!$B$6:$B$3005,$A294,請求記録!$Z$6:$Z$3005,W$5))))</f>
        <v/>
      </c>
      <c r="X294" s="19">
        <f>IF($A294="","",IF(COUNTIFS(請求記録!$B$6:$B$3005,$A294,請求記録!$Z$6:$Z$3005,X$5,請求記録!$AF$6:$AF$3005,"保留中")&gt;0,"保留",IF(COUNTIFS(請求記録!$B$6:$B$3005,$A294,請求記録!$Z$6:$Z$3005,X$5)=0,"",SUMIFS(請求記録!$AE$6:$AE$3005,請求記録!$B$6:$B$3005,$A294,請求記録!$Z$6:$Z$3005,X$5))))</f>
        <v/>
      </c>
      <c r="Y294" s="19">
        <f>IF($A294="","",IF(COUNTIFS(請求記録!$B$6:$B$3005,$A294,請求記録!$Z$6:$Z$3005,Y$5,請求記録!$AF$6:$AF$3005,"保留中")&gt;0,"保留",IF(COUNTIFS(請求記録!$B$6:$B$3005,$A294,請求記録!$Z$6:$Z$3005,Y$5)=0,"",SUMIFS(請求記録!$AE$6:$AE$3005,請求記録!$B$6:$B$3005,$A294,請求記録!$Z$6:$Z$3005,Y$5))))</f>
        <v/>
      </c>
      <c r="Z294" s="19">
        <f>IF($A294="","",IF(COUNTIFS(請求記録!$B$6:$B$3005,$A294,請求記録!$Z$6:$Z$3005,Z$5,請求記録!$AF$6:$AF$3005,"保留中")&gt;0,"保留",IF(COUNTIFS(請求記録!$B$6:$B$3005,$A294,請求記録!$Z$6:$Z$3005,Z$5)=0,"",SUMIFS(請求記録!$AE$6:$AE$3005,請求記録!$B$6:$B$3005,$A294,請求記録!$Z$6:$Z$3005,Z$5))))</f>
        <v/>
      </c>
      <c r="AA294" s="19">
        <f>IF($A294="","",IF(COUNTIFS(請求記録!$B$6:$B$3005,$A294,請求記録!$Z$6:$Z$3005,AA$5,請求記録!$AF$6:$AF$3005,"保留中")&gt;0,"保留",IF(COUNTIFS(請求記録!$B$6:$B$3005,$A294,請求記録!$Z$6:$Z$3005,AA$5)=0,"",SUMIFS(請求記録!$AE$6:$AE$3005,請求記録!$B$6:$B$3005,$A294,請求記録!$Z$6:$Z$3005,AA$5))))</f>
        <v/>
      </c>
      <c r="AB294">
        <f>IF(職員マスタ!P294="保留中",職員マスタ!M294,"")</f>
        <v/>
      </c>
    </row>
    <row r="295">
      <c r="A295">
        <f>IF(職員マスタ!A295="","",職員マスタ!A295)</f>
        <v/>
      </c>
      <c r="B295">
        <f>IF($A295="","",職員マスタ!B295)</f>
        <v/>
      </c>
      <c r="C295">
        <f>IF($A295="","",職員マスタ!C295)</f>
        <v/>
      </c>
      <c r="D295" s="19">
        <f>IF($A295="","",IF(COUNTIFS(請求記録!$B$6:$B$3005,$A295,請求記録!$Z$6:$Z$3005,D$5,請求記録!$AF$6:$AF$3005,"保留中")&gt;0,"保留",IF(COUNTIFS(請求記録!$B$6:$B$3005,$A295,請求記録!$Z$6:$Z$3005,D$5)=0,"",SUMIFS(請求記録!$AE$6:$AE$3005,請求記録!$B$6:$B$3005,$A295,請求記録!$Z$6:$Z$3005,D$5))))</f>
        <v/>
      </c>
      <c r="E295" s="19">
        <f>IF($A295="","",IF(COUNTIFS(請求記録!$B$6:$B$3005,$A295,請求記録!$Z$6:$Z$3005,E$5,請求記録!$AF$6:$AF$3005,"保留中")&gt;0,"保留",IF(COUNTIFS(請求記録!$B$6:$B$3005,$A295,請求記録!$Z$6:$Z$3005,E$5)=0,"",SUMIFS(請求記録!$AE$6:$AE$3005,請求記録!$B$6:$B$3005,$A295,請求記録!$Z$6:$Z$3005,E$5))))</f>
        <v/>
      </c>
      <c r="F295" s="19">
        <f>IF($A295="","",IF(COUNTIFS(請求記録!$B$6:$B$3005,$A295,請求記録!$Z$6:$Z$3005,F$5,請求記録!$AF$6:$AF$3005,"保留中")&gt;0,"保留",IF(COUNTIFS(請求記録!$B$6:$B$3005,$A295,請求記録!$Z$6:$Z$3005,F$5)=0,"",SUMIFS(請求記録!$AE$6:$AE$3005,請求記録!$B$6:$B$3005,$A295,請求記録!$Z$6:$Z$3005,F$5))))</f>
        <v/>
      </c>
      <c r="G295" s="19">
        <f>IF($A295="","",IF(COUNTIFS(請求記録!$B$6:$B$3005,$A295,請求記録!$Z$6:$Z$3005,G$5,請求記録!$AF$6:$AF$3005,"保留中")&gt;0,"保留",IF(COUNTIFS(請求記録!$B$6:$B$3005,$A295,請求記録!$Z$6:$Z$3005,G$5)=0,"",SUMIFS(請求記録!$AE$6:$AE$3005,請求記録!$B$6:$B$3005,$A295,請求記録!$Z$6:$Z$3005,G$5))))</f>
        <v/>
      </c>
      <c r="H295" s="19">
        <f>IF($A295="","",IF(COUNTIFS(請求記録!$B$6:$B$3005,$A295,請求記録!$Z$6:$Z$3005,H$5,請求記録!$AF$6:$AF$3005,"保留中")&gt;0,"保留",IF(COUNTIFS(請求記録!$B$6:$B$3005,$A295,請求記録!$Z$6:$Z$3005,H$5)=0,"",SUMIFS(請求記録!$AE$6:$AE$3005,請求記録!$B$6:$B$3005,$A295,請求記録!$Z$6:$Z$3005,H$5))))</f>
        <v/>
      </c>
      <c r="I295" s="19">
        <f>IF($A295="","",IF(COUNTIFS(請求記録!$B$6:$B$3005,$A295,請求記録!$Z$6:$Z$3005,I$5,請求記録!$AF$6:$AF$3005,"保留中")&gt;0,"保留",IF(COUNTIFS(請求記録!$B$6:$B$3005,$A295,請求記録!$Z$6:$Z$3005,I$5)=0,"",SUMIFS(請求記録!$AE$6:$AE$3005,請求記録!$B$6:$B$3005,$A295,請求記録!$Z$6:$Z$3005,I$5))))</f>
        <v/>
      </c>
      <c r="J295" s="19">
        <f>IF($A295="","",IF(COUNTIFS(請求記録!$B$6:$B$3005,$A295,請求記録!$Z$6:$Z$3005,J$5,請求記録!$AF$6:$AF$3005,"保留中")&gt;0,"保留",IF(COUNTIFS(請求記録!$B$6:$B$3005,$A295,請求記録!$Z$6:$Z$3005,J$5)=0,"",SUMIFS(請求記録!$AE$6:$AE$3005,請求記録!$B$6:$B$3005,$A295,請求記録!$Z$6:$Z$3005,J$5))))</f>
        <v/>
      </c>
      <c r="K295" s="19">
        <f>IF($A295="","",IF(COUNTIFS(請求記録!$B$6:$B$3005,$A295,請求記録!$Z$6:$Z$3005,K$5,請求記録!$AF$6:$AF$3005,"保留中")&gt;0,"保留",IF(COUNTIFS(請求記録!$B$6:$B$3005,$A295,請求記録!$Z$6:$Z$3005,K$5)=0,"",SUMIFS(請求記録!$AE$6:$AE$3005,請求記録!$B$6:$B$3005,$A295,請求記録!$Z$6:$Z$3005,K$5))))</f>
        <v/>
      </c>
      <c r="L295" s="19">
        <f>IF($A295="","",IF(COUNTIFS(請求記録!$B$6:$B$3005,$A295,請求記録!$Z$6:$Z$3005,L$5,請求記録!$AF$6:$AF$3005,"保留中")&gt;0,"保留",IF(COUNTIFS(請求記録!$B$6:$B$3005,$A295,請求記録!$Z$6:$Z$3005,L$5)=0,"",SUMIFS(請求記録!$AE$6:$AE$3005,請求記録!$B$6:$B$3005,$A295,請求記録!$Z$6:$Z$3005,L$5))))</f>
        <v/>
      </c>
      <c r="M295" s="19">
        <f>IF($A295="","",IF(COUNTIFS(請求記録!$B$6:$B$3005,$A295,請求記録!$Z$6:$Z$3005,M$5,請求記録!$AF$6:$AF$3005,"保留中")&gt;0,"保留",IF(COUNTIFS(請求記録!$B$6:$B$3005,$A295,請求記録!$Z$6:$Z$3005,M$5)=0,"",SUMIFS(請求記録!$AE$6:$AE$3005,請求記録!$B$6:$B$3005,$A295,請求記録!$Z$6:$Z$3005,M$5))))</f>
        <v/>
      </c>
      <c r="N295" s="19">
        <f>IF($A295="","",IF(COUNTIFS(請求記録!$B$6:$B$3005,$A295,請求記録!$Z$6:$Z$3005,N$5,請求記録!$AF$6:$AF$3005,"保留中")&gt;0,"保留",IF(COUNTIFS(請求記録!$B$6:$B$3005,$A295,請求記録!$Z$6:$Z$3005,N$5)=0,"",SUMIFS(請求記録!$AE$6:$AE$3005,請求記録!$B$6:$B$3005,$A295,請求記録!$Z$6:$Z$3005,N$5))))</f>
        <v/>
      </c>
      <c r="O295" s="19">
        <f>IF($A295="","",IF(COUNTIFS(請求記録!$B$6:$B$3005,$A295,請求記録!$Z$6:$Z$3005,O$5,請求記録!$AF$6:$AF$3005,"保留中")&gt;0,"保留",IF(COUNTIFS(請求記録!$B$6:$B$3005,$A295,請求記録!$Z$6:$Z$3005,O$5)=0,"",SUMIFS(請求記録!$AE$6:$AE$3005,請求記録!$B$6:$B$3005,$A295,請求記録!$Z$6:$Z$3005,O$5))))</f>
        <v/>
      </c>
      <c r="P295" s="19">
        <f>IF($A295="","",IF(COUNTIFS(請求記録!$B$6:$B$3005,$A295,請求記録!$Z$6:$Z$3005,P$5,請求記録!$AF$6:$AF$3005,"保留中")&gt;0,"保留",IF(COUNTIFS(請求記録!$B$6:$B$3005,$A295,請求記録!$Z$6:$Z$3005,P$5)=0,"",SUMIFS(請求記録!$AE$6:$AE$3005,請求記録!$B$6:$B$3005,$A295,請求記録!$Z$6:$Z$3005,P$5))))</f>
        <v/>
      </c>
      <c r="Q295" s="19">
        <f>IF($A295="","",IF(COUNTIFS(請求記録!$B$6:$B$3005,$A295,請求記録!$Z$6:$Z$3005,Q$5,請求記録!$AF$6:$AF$3005,"保留中")&gt;0,"保留",IF(COUNTIFS(請求記録!$B$6:$B$3005,$A295,請求記録!$Z$6:$Z$3005,Q$5)=0,"",SUMIFS(請求記録!$AE$6:$AE$3005,請求記録!$B$6:$B$3005,$A295,請求記録!$Z$6:$Z$3005,Q$5))))</f>
        <v/>
      </c>
      <c r="R295" s="19">
        <f>IF($A295="","",IF(COUNTIFS(請求記録!$B$6:$B$3005,$A295,請求記録!$Z$6:$Z$3005,R$5,請求記録!$AF$6:$AF$3005,"保留中")&gt;0,"保留",IF(COUNTIFS(請求記録!$B$6:$B$3005,$A295,請求記録!$Z$6:$Z$3005,R$5)=0,"",SUMIFS(請求記録!$AE$6:$AE$3005,請求記録!$B$6:$B$3005,$A295,請求記録!$Z$6:$Z$3005,R$5))))</f>
        <v/>
      </c>
      <c r="S295" s="19">
        <f>IF($A295="","",IF(COUNTIFS(請求記録!$B$6:$B$3005,$A295,請求記録!$Z$6:$Z$3005,S$5,請求記録!$AF$6:$AF$3005,"保留中")&gt;0,"保留",IF(COUNTIFS(請求記録!$B$6:$B$3005,$A295,請求記録!$Z$6:$Z$3005,S$5)=0,"",SUMIFS(請求記録!$AE$6:$AE$3005,請求記録!$B$6:$B$3005,$A295,請求記録!$Z$6:$Z$3005,S$5))))</f>
        <v/>
      </c>
      <c r="T295" s="19">
        <f>IF($A295="","",IF(COUNTIFS(請求記録!$B$6:$B$3005,$A295,請求記録!$Z$6:$Z$3005,T$5,請求記録!$AF$6:$AF$3005,"保留中")&gt;0,"保留",IF(COUNTIFS(請求記録!$B$6:$B$3005,$A295,請求記録!$Z$6:$Z$3005,T$5)=0,"",SUMIFS(請求記録!$AE$6:$AE$3005,請求記録!$B$6:$B$3005,$A295,請求記録!$Z$6:$Z$3005,T$5))))</f>
        <v/>
      </c>
      <c r="U295" s="19">
        <f>IF($A295="","",IF(COUNTIFS(請求記録!$B$6:$B$3005,$A295,請求記録!$Z$6:$Z$3005,U$5,請求記録!$AF$6:$AF$3005,"保留中")&gt;0,"保留",IF(COUNTIFS(請求記録!$B$6:$B$3005,$A295,請求記録!$Z$6:$Z$3005,U$5)=0,"",SUMIFS(請求記録!$AE$6:$AE$3005,請求記録!$B$6:$B$3005,$A295,請求記録!$Z$6:$Z$3005,U$5))))</f>
        <v/>
      </c>
      <c r="V295" s="19">
        <f>IF($A295="","",IF(COUNTIFS(請求記録!$B$6:$B$3005,$A295,請求記録!$Z$6:$Z$3005,V$5,請求記録!$AF$6:$AF$3005,"保留中")&gt;0,"保留",IF(COUNTIFS(請求記録!$B$6:$B$3005,$A295,請求記録!$Z$6:$Z$3005,V$5)=0,"",SUMIFS(請求記録!$AE$6:$AE$3005,請求記録!$B$6:$B$3005,$A295,請求記録!$Z$6:$Z$3005,V$5))))</f>
        <v/>
      </c>
      <c r="W295" s="19">
        <f>IF($A295="","",IF(COUNTIFS(請求記録!$B$6:$B$3005,$A295,請求記録!$Z$6:$Z$3005,W$5,請求記録!$AF$6:$AF$3005,"保留中")&gt;0,"保留",IF(COUNTIFS(請求記録!$B$6:$B$3005,$A295,請求記録!$Z$6:$Z$3005,W$5)=0,"",SUMIFS(請求記録!$AE$6:$AE$3005,請求記録!$B$6:$B$3005,$A295,請求記録!$Z$6:$Z$3005,W$5))))</f>
        <v/>
      </c>
      <c r="X295" s="19">
        <f>IF($A295="","",IF(COUNTIFS(請求記録!$B$6:$B$3005,$A295,請求記録!$Z$6:$Z$3005,X$5,請求記録!$AF$6:$AF$3005,"保留中")&gt;0,"保留",IF(COUNTIFS(請求記録!$B$6:$B$3005,$A295,請求記録!$Z$6:$Z$3005,X$5)=0,"",SUMIFS(請求記録!$AE$6:$AE$3005,請求記録!$B$6:$B$3005,$A295,請求記録!$Z$6:$Z$3005,X$5))))</f>
        <v/>
      </c>
      <c r="Y295" s="19">
        <f>IF($A295="","",IF(COUNTIFS(請求記録!$B$6:$B$3005,$A295,請求記録!$Z$6:$Z$3005,Y$5,請求記録!$AF$6:$AF$3005,"保留中")&gt;0,"保留",IF(COUNTIFS(請求記録!$B$6:$B$3005,$A295,請求記録!$Z$6:$Z$3005,Y$5)=0,"",SUMIFS(請求記録!$AE$6:$AE$3005,請求記録!$B$6:$B$3005,$A295,請求記録!$Z$6:$Z$3005,Y$5))))</f>
        <v/>
      </c>
      <c r="Z295" s="19">
        <f>IF($A295="","",IF(COUNTIFS(請求記録!$B$6:$B$3005,$A295,請求記録!$Z$6:$Z$3005,Z$5,請求記録!$AF$6:$AF$3005,"保留中")&gt;0,"保留",IF(COUNTIFS(請求記録!$B$6:$B$3005,$A295,請求記録!$Z$6:$Z$3005,Z$5)=0,"",SUMIFS(請求記録!$AE$6:$AE$3005,請求記録!$B$6:$B$3005,$A295,請求記録!$Z$6:$Z$3005,Z$5))))</f>
        <v/>
      </c>
      <c r="AA295" s="19">
        <f>IF($A295="","",IF(COUNTIFS(請求記録!$B$6:$B$3005,$A295,請求記録!$Z$6:$Z$3005,AA$5,請求記録!$AF$6:$AF$3005,"保留中")&gt;0,"保留",IF(COUNTIFS(請求記録!$B$6:$B$3005,$A295,請求記録!$Z$6:$Z$3005,AA$5)=0,"",SUMIFS(請求記録!$AE$6:$AE$3005,請求記録!$B$6:$B$3005,$A295,請求記録!$Z$6:$Z$3005,AA$5))))</f>
        <v/>
      </c>
      <c r="AB295">
        <f>IF(職員マスタ!P295="保留中",職員マスタ!M295,"")</f>
        <v/>
      </c>
    </row>
    <row r="296">
      <c r="A296">
        <f>IF(職員マスタ!A296="","",職員マスタ!A296)</f>
        <v/>
      </c>
      <c r="B296">
        <f>IF($A296="","",職員マスタ!B296)</f>
        <v/>
      </c>
      <c r="C296">
        <f>IF($A296="","",職員マスタ!C296)</f>
        <v/>
      </c>
      <c r="D296" s="19">
        <f>IF($A296="","",IF(COUNTIFS(請求記録!$B$6:$B$3005,$A296,請求記録!$Z$6:$Z$3005,D$5,請求記録!$AF$6:$AF$3005,"保留中")&gt;0,"保留",IF(COUNTIFS(請求記録!$B$6:$B$3005,$A296,請求記録!$Z$6:$Z$3005,D$5)=0,"",SUMIFS(請求記録!$AE$6:$AE$3005,請求記録!$B$6:$B$3005,$A296,請求記録!$Z$6:$Z$3005,D$5))))</f>
        <v/>
      </c>
      <c r="E296" s="19">
        <f>IF($A296="","",IF(COUNTIFS(請求記録!$B$6:$B$3005,$A296,請求記録!$Z$6:$Z$3005,E$5,請求記録!$AF$6:$AF$3005,"保留中")&gt;0,"保留",IF(COUNTIFS(請求記録!$B$6:$B$3005,$A296,請求記録!$Z$6:$Z$3005,E$5)=0,"",SUMIFS(請求記録!$AE$6:$AE$3005,請求記録!$B$6:$B$3005,$A296,請求記録!$Z$6:$Z$3005,E$5))))</f>
        <v/>
      </c>
      <c r="F296" s="19">
        <f>IF($A296="","",IF(COUNTIFS(請求記録!$B$6:$B$3005,$A296,請求記録!$Z$6:$Z$3005,F$5,請求記録!$AF$6:$AF$3005,"保留中")&gt;0,"保留",IF(COUNTIFS(請求記録!$B$6:$B$3005,$A296,請求記録!$Z$6:$Z$3005,F$5)=0,"",SUMIFS(請求記録!$AE$6:$AE$3005,請求記録!$B$6:$B$3005,$A296,請求記録!$Z$6:$Z$3005,F$5))))</f>
        <v/>
      </c>
      <c r="G296" s="19">
        <f>IF($A296="","",IF(COUNTIFS(請求記録!$B$6:$B$3005,$A296,請求記録!$Z$6:$Z$3005,G$5,請求記録!$AF$6:$AF$3005,"保留中")&gt;0,"保留",IF(COUNTIFS(請求記録!$B$6:$B$3005,$A296,請求記録!$Z$6:$Z$3005,G$5)=0,"",SUMIFS(請求記録!$AE$6:$AE$3005,請求記録!$B$6:$B$3005,$A296,請求記録!$Z$6:$Z$3005,G$5))))</f>
        <v/>
      </c>
      <c r="H296" s="19">
        <f>IF($A296="","",IF(COUNTIFS(請求記録!$B$6:$B$3005,$A296,請求記録!$Z$6:$Z$3005,H$5,請求記録!$AF$6:$AF$3005,"保留中")&gt;0,"保留",IF(COUNTIFS(請求記録!$B$6:$B$3005,$A296,請求記録!$Z$6:$Z$3005,H$5)=0,"",SUMIFS(請求記録!$AE$6:$AE$3005,請求記録!$B$6:$B$3005,$A296,請求記録!$Z$6:$Z$3005,H$5))))</f>
        <v/>
      </c>
      <c r="I296" s="19">
        <f>IF($A296="","",IF(COUNTIFS(請求記録!$B$6:$B$3005,$A296,請求記録!$Z$6:$Z$3005,I$5,請求記録!$AF$6:$AF$3005,"保留中")&gt;0,"保留",IF(COUNTIFS(請求記録!$B$6:$B$3005,$A296,請求記録!$Z$6:$Z$3005,I$5)=0,"",SUMIFS(請求記録!$AE$6:$AE$3005,請求記録!$B$6:$B$3005,$A296,請求記録!$Z$6:$Z$3005,I$5))))</f>
        <v/>
      </c>
      <c r="J296" s="19">
        <f>IF($A296="","",IF(COUNTIFS(請求記録!$B$6:$B$3005,$A296,請求記録!$Z$6:$Z$3005,J$5,請求記録!$AF$6:$AF$3005,"保留中")&gt;0,"保留",IF(COUNTIFS(請求記録!$B$6:$B$3005,$A296,請求記録!$Z$6:$Z$3005,J$5)=0,"",SUMIFS(請求記録!$AE$6:$AE$3005,請求記録!$B$6:$B$3005,$A296,請求記録!$Z$6:$Z$3005,J$5))))</f>
        <v/>
      </c>
      <c r="K296" s="19">
        <f>IF($A296="","",IF(COUNTIFS(請求記録!$B$6:$B$3005,$A296,請求記録!$Z$6:$Z$3005,K$5,請求記録!$AF$6:$AF$3005,"保留中")&gt;0,"保留",IF(COUNTIFS(請求記録!$B$6:$B$3005,$A296,請求記録!$Z$6:$Z$3005,K$5)=0,"",SUMIFS(請求記録!$AE$6:$AE$3005,請求記録!$B$6:$B$3005,$A296,請求記録!$Z$6:$Z$3005,K$5))))</f>
        <v/>
      </c>
      <c r="L296" s="19">
        <f>IF($A296="","",IF(COUNTIFS(請求記録!$B$6:$B$3005,$A296,請求記録!$Z$6:$Z$3005,L$5,請求記録!$AF$6:$AF$3005,"保留中")&gt;0,"保留",IF(COUNTIFS(請求記録!$B$6:$B$3005,$A296,請求記録!$Z$6:$Z$3005,L$5)=0,"",SUMIFS(請求記録!$AE$6:$AE$3005,請求記録!$B$6:$B$3005,$A296,請求記録!$Z$6:$Z$3005,L$5))))</f>
        <v/>
      </c>
      <c r="M296" s="19">
        <f>IF($A296="","",IF(COUNTIFS(請求記録!$B$6:$B$3005,$A296,請求記録!$Z$6:$Z$3005,M$5,請求記録!$AF$6:$AF$3005,"保留中")&gt;0,"保留",IF(COUNTIFS(請求記録!$B$6:$B$3005,$A296,請求記録!$Z$6:$Z$3005,M$5)=0,"",SUMIFS(請求記録!$AE$6:$AE$3005,請求記録!$B$6:$B$3005,$A296,請求記録!$Z$6:$Z$3005,M$5))))</f>
        <v/>
      </c>
      <c r="N296" s="19">
        <f>IF($A296="","",IF(COUNTIFS(請求記録!$B$6:$B$3005,$A296,請求記録!$Z$6:$Z$3005,N$5,請求記録!$AF$6:$AF$3005,"保留中")&gt;0,"保留",IF(COUNTIFS(請求記録!$B$6:$B$3005,$A296,請求記録!$Z$6:$Z$3005,N$5)=0,"",SUMIFS(請求記録!$AE$6:$AE$3005,請求記録!$B$6:$B$3005,$A296,請求記録!$Z$6:$Z$3005,N$5))))</f>
        <v/>
      </c>
      <c r="O296" s="19">
        <f>IF($A296="","",IF(COUNTIFS(請求記録!$B$6:$B$3005,$A296,請求記録!$Z$6:$Z$3005,O$5,請求記録!$AF$6:$AF$3005,"保留中")&gt;0,"保留",IF(COUNTIFS(請求記録!$B$6:$B$3005,$A296,請求記録!$Z$6:$Z$3005,O$5)=0,"",SUMIFS(請求記録!$AE$6:$AE$3005,請求記録!$B$6:$B$3005,$A296,請求記録!$Z$6:$Z$3005,O$5))))</f>
        <v/>
      </c>
      <c r="P296" s="19">
        <f>IF($A296="","",IF(COUNTIFS(請求記録!$B$6:$B$3005,$A296,請求記録!$Z$6:$Z$3005,P$5,請求記録!$AF$6:$AF$3005,"保留中")&gt;0,"保留",IF(COUNTIFS(請求記録!$B$6:$B$3005,$A296,請求記録!$Z$6:$Z$3005,P$5)=0,"",SUMIFS(請求記録!$AE$6:$AE$3005,請求記録!$B$6:$B$3005,$A296,請求記録!$Z$6:$Z$3005,P$5))))</f>
        <v/>
      </c>
      <c r="Q296" s="19">
        <f>IF($A296="","",IF(COUNTIFS(請求記録!$B$6:$B$3005,$A296,請求記録!$Z$6:$Z$3005,Q$5,請求記録!$AF$6:$AF$3005,"保留中")&gt;0,"保留",IF(COUNTIFS(請求記録!$B$6:$B$3005,$A296,請求記録!$Z$6:$Z$3005,Q$5)=0,"",SUMIFS(請求記録!$AE$6:$AE$3005,請求記録!$B$6:$B$3005,$A296,請求記録!$Z$6:$Z$3005,Q$5))))</f>
        <v/>
      </c>
      <c r="R296" s="19">
        <f>IF($A296="","",IF(COUNTIFS(請求記録!$B$6:$B$3005,$A296,請求記録!$Z$6:$Z$3005,R$5,請求記録!$AF$6:$AF$3005,"保留中")&gt;0,"保留",IF(COUNTIFS(請求記録!$B$6:$B$3005,$A296,請求記録!$Z$6:$Z$3005,R$5)=0,"",SUMIFS(請求記録!$AE$6:$AE$3005,請求記録!$B$6:$B$3005,$A296,請求記録!$Z$6:$Z$3005,R$5))))</f>
        <v/>
      </c>
      <c r="S296" s="19">
        <f>IF($A296="","",IF(COUNTIFS(請求記録!$B$6:$B$3005,$A296,請求記録!$Z$6:$Z$3005,S$5,請求記録!$AF$6:$AF$3005,"保留中")&gt;0,"保留",IF(COUNTIFS(請求記録!$B$6:$B$3005,$A296,請求記録!$Z$6:$Z$3005,S$5)=0,"",SUMIFS(請求記録!$AE$6:$AE$3005,請求記録!$B$6:$B$3005,$A296,請求記録!$Z$6:$Z$3005,S$5))))</f>
        <v/>
      </c>
      <c r="T296" s="19">
        <f>IF($A296="","",IF(COUNTIFS(請求記録!$B$6:$B$3005,$A296,請求記録!$Z$6:$Z$3005,T$5,請求記録!$AF$6:$AF$3005,"保留中")&gt;0,"保留",IF(COUNTIFS(請求記録!$B$6:$B$3005,$A296,請求記録!$Z$6:$Z$3005,T$5)=0,"",SUMIFS(請求記録!$AE$6:$AE$3005,請求記録!$B$6:$B$3005,$A296,請求記録!$Z$6:$Z$3005,T$5))))</f>
        <v/>
      </c>
      <c r="U296" s="19">
        <f>IF($A296="","",IF(COUNTIFS(請求記録!$B$6:$B$3005,$A296,請求記録!$Z$6:$Z$3005,U$5,請求記録!$AF$6:$AF$3005,"保留中")&gt;0,"保留",IF(COUNTIFS(請求記録!$B$6:$B$3005,$A296,請求記録!$Z$6:$Z$3005,U$5)=0,"",SUMIFS(請求記録!$AE$6:$AE$3005,請求記録!$B$6:$B$3005,$A296,請求記録!$Z$6:$Z$3005,U$5))))</f>
        <v/>
      </c>
      <c r="V296" s="19">
        <f>IF($A296="","",IF(COUNTIFS(請求記録!$B$6:$B$3005,$A296,請求記録!$Z$6:$Z$3005,V$5,請求記録!$AF$6:$AF$3005,"保留中")&gt;0,"保留",IF(COUNTIFS(請求記録!$B$6:$B$3005,$A296,請求記録!$Z$6:$Z$3005,V$5)=0,"",SUMIFS(請求記録!$AE$6:$AE$3005,請求記録!$B$6:$B$3005,$A296,請求記録!$Z$6:$Z$3005,V$5))))</f>
        <v/>
      </c>
      <c r="W296" s="19">
        <f>IF($A296="","",IF(COUNTIFS(請求記録!$B$6:$B$3005,$A296,請求記録!$Z$6:$Z$3005,W$5,請求記録!$AF$6:$AF$3005,"保留中")&gt;0,"保留",IF(COUNTIFS(請求記録!$B$6:$B$3005,$A296,請求記録!$Z$6:$Z$3005,W$5)=0,"",SUMIFS(請求記録!$AE$6:$AE$3005,請求記録!$B$6:$B$3005,$A296,請求記録!$Z$6:$Z$3005,W$5))))</f>
        <v/>
      </c>
      <c r="X296" s="19">
        <f>IF($A296="","",IF(COUNTIFS(請求記録!$B$6:$B$3005,$A296,請求記録!$Z$6:$Z$3005,X$5,請求記録!$AF$6:$AF$3005,"保留中")&gt;0,"保留",IF(COUNTIFS(請求記録!$B$6:$B$3005,$A296,請求記録!$Z$6:$Z$3005,X$5)=0,"",SUMIFS(請求記録!$AE$6:$AE$3005,請求記録!$B$6:$B$3005,$A296,請求記録!$Z$6:$Z$3005,X$5))))</f>
        <v/>
      </c>
      <c r="Y296" s="19">
        <f>IF($A296="","",IF(COUNTIFS(請求記録!$B$6:$B$3005,$A296,請求記録!$Z$6:$Z$3005,Y$5,請求記録!$AF$6:$AF$3005,"保留中")&gt;0,"保留",IF(COUNTIFS(請求記録!$B$6:$B$3005,$A296,請求記録!$Z$6:$Z$3005,Y$5)=0,"",SUMIFS(請求記録!$AE$6:$AE$3005,請求記録!$B$6:$B$3005,$A296,請求記録!$Z$6:$Z$3005,Y$5))))</f>
        <v/>
      </c>
      <c r="Z296" s="19">
        <f>IF($A296="","",IF(COUNTIFS(請求記録!$B$6:$B$3005,$A296,請求記録!$Z$6:$Z$3005,Z$5,請求記録!$AF$6:$AF$3005,"保留中")&gt;0,"保留",IF(COUNTIFS(請求記録!$B$6:$B$3005,$A296,請求記録!$Z$6:$Z$3005,Z$5)=0,"",SUMIFS(請求記録!$AE$6:$AE$3005,請求記録!$B$6:$B$3005,$A296,請求記録!$Z$6:$Z$3005,Z$5))))</f>
        <v/>
      </c>
      <c r="AA296" s="19">
        <f>IF($A296="","",IF(COUNTIFS(請求記録!$B$6:$B$3005,$A296,請求記録!$Z$6:$Z$3005,AA$5,請求記録!$AF$6:$AF$3005,"保留中")&gt;0,"保留",IF(COUNTIFS(請求記録!$B$6:$B$3005,$A296,請求記録!$Z$6:$Z$3005,AA$5)=0,"",SUMIFS(請求記録!$AE$6:$AE$3005,請求記録!$B$6:$B$3005,$A296,請求記録!$Z$6:$Z$3005,AA$5))))</f>
        <v/>
      </c>
      <c r="AB296">
        <f>IF(職員マスタ!P296="保留中",職員マスタ!M296,"")</f>
        <v/>
      </c>
    </row>
    <row r="297">
      <c r="A297">
        <f>IF(職員マスタ!A297="","",職員マスタ!A297)</f>
        <v/>
      </c>
      <c r="B297">
        <f>IF($A297="","",職員マスタ!B297)</f>
        <v/>
      </c>
      <c r="C297">
        <f>IF($A297="","",職員マスタ!C297)</f>
        <v/>
      </c>
      <c r="D297" s="19">
        <f>IF($A297="","",IF(COUNTIFS(請求記録!$B$6:$B$3005,$A297,請求記録!$Z$6:$Z$3005,D$5,請求記録!$AF$6:$AF$3005,"保留中")&gt;0,"保留",IF(COUNTIFS(請求記録!$B$6:$B$3005,$A297,請求記録!$Z$6:$Z$3005,D$5)=0,"",SUMIFS(請求記録!$AE$6:$AE$3005,請求記録!$B$6:$B$3005,$A297,請求記録!$Z$6:$Z$3005,D$5))))</f>
        <v/>
      </c>
      <c r="E297" s="19">
        <f>IF($A297="","",IF(COUNTIFS(請求記録!$B$6:$B$3005,$A297,請求記録!$Z$6:$Z$3005,E$5,請求記録!$AF$6:$AF$3005,"保留中")&gt;0,"保留",IF(COUNTIFS(請求記録!$B$6:$B$3005,$A297,請求記録!$Z$6:$Z$3005,E$5)=0,"",SUMIFS(請求記録!$AE$6:$AE$3005,請求記録!$B$6:$B$3005,$A297,請求記録!$Z$6:$Z$3005,E$5))))</f>
        <v/>
      </c>
      <c r="F297" s="19">
        <f>IF($A297="","",IF(COUNTIFS(請求記録!$B$6:$B$3005,$A297,請求記録!$Z$6:$Z$3005,F$5,請求記録!$AF$6:$AF$3005,"保留中")&gt;0,"保留",IF(COUNTIFS(請求記録!$B$6:$B$3005,$A297,請求記録!$Z$6:$Z$3005,F$5)=0,"",SUMIFS(請求記録!$AE$6:$AE$3005,請求記録!$B$6:$B$3005,$A297,請求記録!$Z$6:$Z$3005,F$5))))</f>
        <v/>
      </c>
      <c r="G297" s="19">
        <f>IF($A297="","",IF(COUNTIFS(請求記録!$B$6:$B$3005,$A297,請求記録!$Z$6:$Z$3005,G$5,請求記録!$AF$6:$AF$3005,"保留中")&gt;0,"保留",IF(COUNTIFS(請求記録!$B$6:$B$3005,$A297,請求記録!$Z$6:$Z$3005,G$5)=0,"",SUMIFS(請求記録!$AE$6:$AE$3005,請求記録!$B$6:$B$3005,$A297,請求記録!$Z$6:$Z$3005,G$5))))</f>
        <v/>
      </c>
      <c r="H297" s="19">
        <f>IF($A297="","",IF(COUNTIFS(請求記録!$B$6:$B$3005,$A297,請求記録!$Z$6:$Z$3005,H$5,請求記録!$AF$6:$AF$3005,"保留中")&gt;0,"保留",IF(COUNTIFS(請求記録!$B$6:$B$3005,$A297,請求記録!$Z$6:$Z$3005,H$5)=0,"",SUMIFS(請求記録!$AE$6:$AE$3005,請求記録!$B$6:$B$3005,$A297,請求記録!$Z$6:$Z$3005,H$5))))</f>
        <v/>
      </c>
      <c r="I297" s="19">
        <f>IF($A297="","",IF(COUNTIFS(請求記録!$B$6:$B$3005,$A297,請求記録!$Z$6:$Z$3005,I$5,請求記録!$AF$6:$AF$3005,"保留中")&gt;0,"保留",IF(COUNTIFS(請求記録!$B$6:$B$3005,$A297,請求記録!$Z$6:$Z$3005,I$5)=0,"",SUMIFS(請求記録!$AE$6:$AE$3005,請求記録!$B$6:$B$3005,$A297,請求記録!$Z$6:$Z$3005,I$5))))</f>
        <v/>
      </c>
      <c r="J297" s="19">
        <f>IF($A297="","",IF(COUNTIFS(請求記録!$B$6:$B$3005,$A297,請求記録!$Z$6:$Z$3005,J$5,請求記録!$AF$6:$AF$3005,"保留中")&gt;0,"保留",IF(COUNTIFS(請求記録!$B$6:$B$3005,$A297,請求記録!$Z$6:$Z$3005,J$5)=0,"",SUMIFS(請求記録!$AE$6:$AE$3005,請求記録!$B$6:$B$3005,$A297,請求記録!$Z$6:$Z$3005,J$5))))</f>
        <v/>
      </c>
      <c r="K297" s="19">
        <f>IF($A297="","",IF(COUNTIFS(請求記録!$B$6:$B$3005,$A297,請求記録!$Z$6:$Z$3005,K$5,請求記録!$AF$6:$AF$3005,"保留中")&gt;0,"保留",IF(COUNTIFS(請求記録!$B$6:$B$3005,$A297,請求記録!$Z$6:$Z$3005,K$5)=0,"",SUMIFS(請求記録!$AE$6:$AE$3005,請求記録!$B$6:$B$3005,$A297,請求記録!$Z$6:$Z$3005,K$5))))</f>
        <v/>
      </c>
      <c r="L297" s="19">
        <f>IF($A297="","",IF(COUNTIFS(請求記録!$B$6:$B$3005,$A297,請求記録!$Z$6:$Z$3005,L$5,請求記録!$AF$6:$AF$3005,"保留中")&gt;0,"保留",IF(COUNTIFS(請求記録!$B$6:$B$3005,$A297,請求記録!$Z$6:$Z$3005,L$5)=0,"",SUMIFS(請求記録!$AE$6:$AE$3005,請求記録!$B$6:$B$3005,$A297,請求記録!$Z$6:$Z$3005,L$5))))</f>
        <v/>
      </c>
      <c r="M297" s="19">
        <f>IF($A297="","",IF(COUNTIFS(請求記録!$B$6:$B$3005,$A297,請求記録!$Z$6:$Z$3005,M$5,請求記録!$AF$6:$AF$3005,"保留中")&gt;0,"保留",IF(COUNTIFS(請求記録!$B$6:$B$3005,$A297,請求記録!$Z$6:$Z$3005,M$5)=0,"",SUMIFS(請求記録!$AE$6:$AE$3005,請求記録!$B$6:$B$3005,$A297,請求記録!$Z$6:$Z$3005,M$5))))</f>
        <v/>
      </c>
      <c r="N297" s="19">
        <f>IF($A297="","",IF(COUNTIFS(請求記録!$B$6:$B$3005,$A297,請求記録!$Z$6:$Z$3005,N$5,請求記録!$AF$6:$AF$3005,"保留中")&gt;0,"保留",IF(COUNTIFS(請求記録!$B$6:$B$3005,$A297,請求記録!$Z$6:$Z$3005,N$5)=0,"",SUMIFS(請求記録!$AE$6:$AE$3005,請求記録!$B$6:$B$3005,$A297,請求記録!$Z$6:$Z$3005,N$5))))</f>
        <v/>
      </c>
      <c r="O297" s="19">
        <f>IF($A297="","",IF(COUNTIFS(請求記録!$B$6:$B$3005,$A297,請求記録!$Z$6:$Z$3005,O$5,請求記録!$AF$6:$AF$3005,"保留中")&gt;0,"保留",IF(COUNTIFS(請求記録!$B$6:$B$3005,$A297,請求記録!$Z$6:$Z$3005,O$5)=0,"",SUMIFS(請求記録!$AE$6:$AE$3005,請求記録!$B$6:$B$3005,$A297,請求記録!$Z$6:$Z$3005,O$5))))</f>
        <v/>
      </c>
      <c r="P297" s="19">
        <f>IF($A297="","",IF(COUNTIFS(請求記録!$B$6:$B$3005,$A297,請求記録!$Z$6:$Z$3005,P$5,請求記録!$AF$6:$AF$3005,"保留中")&gt;0,"保留",IF(COUNTIFS(請求記録!$B$6:$B$3005,$A297,請求記録!$Z$6:$Z$3005,P$5)=0,"",SUMIFS(請求記録!$AE$6:$AE$3005,請求記録!$B$6:$B$3005,$A297,請求記録!$Z$6:$Z$3005,P$5))))</f>
        <v/>
      </c>
      <c r="Q297" s="19">
        <f>IF($A297="","",IF(COUNTIFS(請求記録!$B$6:$B$3005,$A297,請求記録!$Z$6:$Z$3005,Q$5,請求記録!$AF$6:$AF$3005,"保留中")&gt;0,"保留",IF(COUNTIFS(請求記録!$B$6:$B$3005,$A297,請求記録!$Z$6:$Z$3005,Q$5)=0,"",SUMIFS(請求記録!$AE$6:$AE$3005,請求記録!$B$6:$B$3005,$A297,請求記録!$Z$6:$Z$3005,Q$5))))</f>
        <v/>
      </c>
      <c r="R297" s="19">
        <f>IF($A297="","",IF(COUNTIFS(請求記録!$B$6:$B$3005,$A297,請求記録!$Z$6:$Z$3005,R$5,請求記録!$AF$6:$AF$3005,"保留中")&gt;0,"保留",IF(COUNTIFS(請求記録!$B$6:$B$3005,$A297,請求記録!$Z$6:$Z$3005,R$5)=0,"",SUMIFS(請求記録!$AE$6:$AE$3005,請求記録!$B$6:$B$3005,$A297,請求記録!$Z$6:$Z$3005,R$5))))</f>
        <v/>
      </c>
      <c r="S297" s="19">
        <f>IF($A297="","",IF(COUNTIFS(請求記録!$B$6:$B$3005,$A297,請求記録!$Z$6:$Z$3005,S$5,請求記録!$AF$6:$AF$3005,"保留中")&gt;0,"保留",IF(COUNTIFS(請求記録!$B$6:$B$3005,$A297,請求記録!$Z$6:$Z$3005,S$5)=0,"",SUMIFS(請求記録!$AE$6:$AE$3005,請求記録!$B$6:$B$3005,$A297,請求記録!$Z$6:$Z$3005,S$5))))</f>
        <v/>
      </c>
      <c r="T297" s="19">
        <f>IF($A297="","",IF(COUNTIFS(請求記録!$B$6:$B$3005,$A297,請求記録!$Z$6:$Z$3005,T$5,請求記録!$AF$6:$AF$3005,"保留中")&gt;0,"保留",IF(COUNTIFS(請求記録!$B$6:$B$3005,$A297,請求記録!$Z$6:$Z$3005,T$5)=0,"",SUMIFS(請求記録!$AE$6:$AE$3005,請求記録!$B$6:$B$3005,$A297,請求記録!$Z$6:$Z$3005,T$5))))</f>
        <v/>
      </c>
      <c r="U297" s="19">
        <f>IF($A297="","",IF(COUNTIFS(請求記録!$B$6:$B$3005,$A297,請求記録!$Z$6:$Z$3005,U$5,請求記録!$AF$6:$AF$3005,"保留中")&gt;0,"保留",IF(COUNTIFS(請求記録!$B$6:$B$3005,$A297,請求記録!$Z$6:$Z$3005,U$5)=0,"",SUMIFS(請求記録!$AE$6:$AE$3005,請求記録!$B$6:$B$3005,$A297,請求記録!$Z$6:$Z$3005,U$5))))</f>
        <v/>
      </c>
      <c r="V297" s="19">
        <f>IF($A297="","",IF(COUNTIFS(請求記録!$B$6:$B$3005,$A297,請求記録!$Z$6:$Z$3005,V$5,請求記録!$AF$6:$AF$3005,"保留中")&gt;0,"保留",IF(COUNTIFS(請求記録!$B$6:$B$3005,$A297,請求記録!$Z$6:$Z$3005,V$5)=0,"",SUMIFS(請求記録!$AE$6:$AE$3005,請求記録!$B$6:$B$3005,$A297,請求記録!$Z$6:$Z$3005,V$5))))</f>
        <v/>
      </c>
      <c r="W297" s="19">
        <f>IF($A297="","",IF(COUNTIFS(請求記録!$B$6:$B$3005,$A297,請求記録!$Z$6:$Z$3005,W$5,請求記録!$AF$6:$AF$3005,"保留中")&gt;0,"保留",IF(COUNTIFS(請求記録!$B$6:$B$3005,$A297,請求記録!$Z$6:$Z$3005,W$5)=0,"",SUMIFS(請求記録!$AE$6:$AE$3005,請求記録!$B$6:$B$3005,$A297,請求記録!$Z$6:$Z$3005,W$5))))</f>
        <v/>
      </c>
      <c r="X297" s="19">
        <f>IF($A297="","",IF(COUNTIFS(請求記録!$B$6:$B$3005,$A297,請求記録!$Z$6:$Z$3005,X$5,請求記録!$AF$6:$AF$3005,"保留中")&gt;0,"保留",IF(COUNTIFS(請求記録!$B$6:$B$3005,$A297,請求記録!$Z$6:$Z$3005,X$5)=0,"",SUMIFS(請求記録!$AE$6:$AE$3005,請求記録!$B$6:$B$3005,$A297,請求記録!$Z$6:$Z$3005,X$5))))</f>
        <v/>
      </c>
      <c r="Y297" s="19">
        <f>IF($A297="","",IF(COUNTIFS(請求記録!$B$6:$B$3005,$A297,請求記録!$Z$6:$Z$3005,Y$5,請求記録!$AF$6:$AF$3005,"保留中")&gt;0,"保留",IF(COUNTIFS(請求記録!$B$6:$B$3005,$A297,請求記録!$Z$6:$Z$3005,Y$5)=0,"",SUMIFS(請求記録!$AE$6:$AE$3005,請求記録!$B$6:$B$3005,$A297,請求記録!$Z$6:$Z$3005,Y$5))))</f>
        <v/>
      </c>
      <c r="Z297" s="19">
        <f>IF($A297="","",IF(COUNTIFS(請求記録!$B$6:$B$3005,$A297,請求記録!$Z$6:$Z$3005,Z$5,請求記録!$AF$6:$AF$3005,"保留中")&gt;0,"保留",IF(COUNTIFS(請求記録!$B$6:$B$3005,$A297,請求記録!$Z$6:$Z$3005,Z$5)=0,"",SUMIFS(請求記録!$AE$6:$AE$3005,請求記録!$B$6:$B$3005,$A297,請求記録!$Z$6:$Z$3005,Z$5))))</f>
        <v/>
      </c>
      <c r="AA297" s="19">
        <f>IF($A297="","",IF(COUNTIFS(請求記録!$B$6:$B$3005,$A297,請求記録!$Z$6:$Z$3005,AA$5,請求記録!$AF$6:$AF$3005,"保留中")&gt;0,"保留",IF(COUNTIFS(請求記録!$B$6:$B$3005,$A297,請求記録!$Z$6:$Z$3005,AA$5)=0,"",SUMIFS(請求記録!$AE$6:$AE$3005,請求記録!$B$6:$B$3005,$A297,請求記録!$Z$6:$Z$3005,AA$5))))</f>
        <v/>
      </c>
      <c r="AB297">
        <f>IF(職員マスタ!P297="保留中",職員マスタ!M297,"")</f>
        <v/>
      </c>
    </row>
    <row r="298">
      <c r="A298">
        <f>IF(職員マスタ!A298="","",職員マスタ!A298)</f>
        <v/>
      </c>
      <c r="B298">
        <f>IF($A298="","",職員マスタ!B298)</f>
        <v/>
      </c>
      <c r="C298">
        <f>IF($A298="","",職員マスタ!C298)</f>
        <v/>
      </c>
      <c r="D298" s="19">
        <f>IF($A298="","",IF(COUNTIFS(請求記録!$B$6:$B$3005,$A298,請求記録!$Z$6:$Z$3005,D$5,請求記録!$AF$6:$AF$3005,"保留中")&gt;0,"保留",IF(COUNTIFS(請求記録!$B$6:$B$3005,$A298,請求記録!$Z$6:$Z$3005,D$5)=0,"",SUMIFS(請求記録!$AE$6:$AE$3005,請求記録!$B$6:$B$3005,$A298,請求記録!$Z$6:$Z$3005,D$5))))</f>
        <v/>
      </c>
      <c r="E298" s="19">
        <f>IF($A298="","",IF(COUNTIFS(請求記録!$B$6:$B$3005,$A298,請求記録!$Z$6:$Z$3005,E$5,請求記録!$AF$6:$AF$3005,"保留中")&gt;0,"保留",IF(COUNTIFS(請求記録!$B$6:$B$3005,$A298,請求記録!$Z$6:$Z$3005,E$5)=0,"",SUMIFS(請求記録!$AE$6:$AE$3005,請求記録!$B$6:$B$3005,$A298,請求記録!$Z$6:$Z$3005,E$5))))</f>
        <v/>
      </c>
      <c r="F298" s="19">
        <f>IF($A298="","",IF(COUNTIFS(請求記録!$B$6:$B$3005,$A298,請求記録!$Z$6:$Z$3005,F$5,請求記録!$AF$6:$AF$3005,"保留中")&gt;0,"保留",IF(COUNTIFS(請求記録!$B$6:$B$3005,$A298,請求記録!$Z$6:$Z$3005,F$5)=0,"",SUMIFS(請求記録!$AE$6:$AE$3005,請求記録!$B$6:$B$3005,$A298,請求記録!$Z$6:$Z$3005,F$5))))</f>
        <v/>
      </c>
      <c r="G298" s="19">
        <f>IF($A298="","",IF(COUNTIFS(請求記録!$B$6:$B$3005,$A298,請求記録!$Z$6:$Z$3005,G$5,請求記録!$AF$6:$AF$3005,"保留中")&gt;0,"保留",IF(COUNTIFS(請求記録!$B$6:$B$3005,$A298,請求記録!$Z$6:$Z$3005,G$5)=0,"",SUMIFS(請求記録!$AE$6:$AE$3005,請求記録!$B$6:$B$3005,$A298,請求記録!$Z$6:$Z$3005,G$5))))</f>
        <v/>
      </c>
      <c r="H298" s="19">
        <f>IF($A298="","",IF(COUNTIFS(請求記録!$B$6:$B$3005,$A298,請求記録!$Z$6:$Z$3005,H$5,請求記録!$AF$6:$AF$3005,"保留中")&gt;0,"保留",IF(COUNTIFS(請求記録!$B$6:$B$3005,$A298,請求記録!$Z$6:$Z$3005,H$5)=0,"",SUMIFS(請求記録!$AE$6:$AE$3005,請求記録!$B$6:$B$3005,$A298,請求記録!$Z$6:$Z$3005,H$5))))</f>
        <v/>
      </c>
      <c r="I298" s="19">
        <f>IF($A298="","",IF(COUNTIFS(請求記録!$B$6:$B$3005,$A298,請求記録!$Z$6:$Z$3005,I$5,請求記録!$AF$6:$AF$3005,"保留中")&gt;0,"保留",IF(COUNTIFS(請求記録!$B$6:$B$3005,$A298,請求記録!$Z$6:$Z$3005,I$5)=0,"",SUMIFS(請求記録!$AE$6:$AE$3005,請求記録!$B$6:$B$3005,$A298,請求記録!$Z$6:$Z$3005,I$5))))</f>
        <v/>
      </c>
      <c r="J298" s="19">
        <f>IF($A298="","",IF(COUNTIFS(請求記録!$B$6:$B$3005,$A298,請求記録!$Z$6:$Z$3005,J$5,請求記録!$AF$6:$AF$3005,"保留中")&gt;0,"保留",IF(COUNTIFS(請求記録!$B$6:$B$3005,$A298,請求記録!$Z$6:$Z$3005,J$5)=0,"",SUMIFS(請求記録!$AE$6:$AE$3005,請求記録!$B$6:$B$3005,$A298,請求記録!$Z$6:$Z$3005,J$5))))</f>
        <v/>
      </c>
      <c r="K298" s="19">
        <f>IF($A298="","",IF(COUNTIFS(請求記録!$B$6:$B$3005,$A298,請求記録!$Z$6:$Z$3005,K$5,請求記録!$AF$6:$AF$3005,"保留中")&gt;0,"保留",IF(COUNTIFS(請求記録!$B$6:$B$3005,$A298,請求記録!$Z$6:$Z$3005,K$5)=0,"",SUMIFS(請求記録!$AE$6:$AE$3005,請求記録!$B$6:$B$3005,$A298,請求記録!$Z$6:$Z$3005,K$5))))</f>
        <v/>
      </c>
      <c r="L298" s="19">
        <f>IF($A298="","",IF(COUNTIFS(請求記録!$B$6:$B$3005,$A298,請求記録!$Z$6:$Z$3005,L$5,請求記録!$AF$6:$AF$3005,"保留中")&gt;0,"保留",IF(COUNTIFS(請求記録!$B$6:$B$3005,$A298,請求記録!$Z$6:$Z$3005,L$5)=0,"",SUMIFS(請求記録!$AE$6:$AE$3005,請求記録!$B$6:$B$3005,$A298,請求記録!$Z$6:$Z$3005,L$5))))</f>
        <v/>
      </c>
      <c r="M298" s="19">
        <f>IF($A298="","",IF(COUNTIFS(請求記録!$B$6:$B$3005,$A298,請求記録!$Z$6:$Z$3005,M$5,請求記録!$AF$6:$AF$3005,"保留中")&gt;0,"保留",IF(COUNTIFS(請求記録!$B$6:$B$3005,$A298,請求記録!$Z$6:$Z$3005,M$5)=0,"",SUMIFS(請求記録!$AE$6:$AE$3005,請求記録!$B$6:$B$3005,$A298,請求記録!$Z$6:$Z$3005,M$5))))</f>
        <v/>
      </c>
      <c r="N298" s="19">
        <f>IF($A298="","",IF(COUNTIFS(請求記録!$B$6:$B$3005,$A298,請求記録!$Z$6:$Z$3005,N$5,請求記録!$AF$6:$AF$3005,"保留中")&gt;0,"保留",IF(COUNTIFS(請求記録!$B$6:$B$3005,$A298,請求記録!$Z$6:$Z$3005,N$5)=0,"",SUMIFS(請求記録!$AE$6:$AE$3005,請求記録!$B$6:$B$3005,$A298,請求記録!$Z$6:$Z$3005,N$5))))</f>
        <v/>
      </c>
      <c r="O298" s="19">
        <f>IF($A298="","",IF(COUNTIFS(請求記録!$B$6:$B$3005,$A298,請求記録!$Z$6:$Z$3005,O$5,請求記録!$AF$6:$AF$3005,"保留中")&gt;0,"保留",IF(COUNTIFS(請求記録!$B$6:$B$3005,$A298,請求記録!$Z$6:$Z$3005,O$5)=0,"",SUMIFS(請求記録!$AE$6:$AE$3005,請求記録!$B$6:$B$3005,$A298,請求記録!$Z$6:$Z$3005,O$5))))</f>
        <v/>
      </c>
      <c r="P298" s="19">
        <f>IF($A298="","",IF(COUNTIFS(請求記録!$B$6:$B$3005,$A298,請求記録!$Z$6:$Z$3005,P$5,請求記録!$AF$6:$AF$3005,"保留中")&gt;0,"保留",IF(COUNTIFS(請求記録!$B$6:$B$3005,$A298,請求記録!$Z$6:$Z$3005,P$5)=0,"",SUMIFS(請求記録!$AE$6:$AE$3005,請求記録!$B$6:$B$3005,$A298,請求記録!$Z$6:$Z$3005,P$5))))</f>
        <v/>
      </c>
      <c r="Q298" s="19">
        <f>IF($A298="","",IF(COUNTIFS(請求記録!$B$6:$B$3005,$A298,請求記録!$Z$6:$Z$3005,Q$5,請求記録!$AF$6:$AF$3005,"保留中")&gt;0,"保留",IF(COUNTIFS(請求記録!$B$6:$B$3005,$A298,請求記録!$Z$6:$Z$3005,Q$5)=0,"",SUMIFS(請求記録!$AE$6:$AE$3005,請求記録!$B$6:$B$3005,$A298,請求記録!$Z$6:$Z$3005,Q$5))))</f>
        <v/>
      </c>
      <c r="R298" s="19">
        <f>IF($A298="","",IF(COUNTIFS(請求記録!$B$6:$B$3005,$A298,請求記録!$Z$6:$Z$3005,R$5,請求記録!$AF$6:$AF$3005,"保留中")&gt;0,"保留",IF(COUNTIFS(請求記録!$B$6:$B$3005,$A298,請求記録!$Z$6:$Z$3005,R$5)=0,"",SUMIFS(請求記録!$AE$6:$AE$3005,請求記録!$B$6:$B$3005,$A298,請求記録!$Z$6:$Z$3005,R$5))))</f>
        <v/>
      </c>
      <c r="S298" s="19">
        <f>IF($A298="","",IF(COUNTIFS(請求記録!$B$6:$B$3005,$A298,請求記録!$Z$6:$Z$3005,S$5,請求記録!$AF$6:$AF$3005,"保留中")&gt;0,"保留",IF(COUNTIFS(請求記録!$B$6:$B$3005,$A298,請求記録!$Z$6:$Z$3005,S$5)=0,"",SUMIFS(請求記録!$AE$6:$AE$3005,請求記録!$B$6:$B$3005,$A298,請求記録!$Z$6:$Z$3005,S$5))))</f>
        <v/>
      </c>
      <c r="T298" s="19">
        <f>IF($A298="","",IF(COUNTIFS(請求記録!$B$6:$B$3005,$A298,請求記録!$Z$6:$Z$3005,T$5,請求記録!$AF$6:$AF$3005,"保留中")&gt;0,"保留",IF(COUNTIFS(請求記録!$B$6:$B$3005,$A298,請求記録!$Z$6:$Z$3005,T$5)=0,"",SUMIFS(請求記録!$AE$6:$AE$3005,請求記録!$B$6:$B$3005,$A298,請求記録!$Z$6:$Z$3005,T$5))))</f>
        <v/>
      </c>
      <c r="U298" s="19">
        <f>IF($A298="","",IF(COUNTIFS(請求記録!$B$6:$B$3005,$A298,請求記録!$Z$6:$Z$3005,U$5,請求記録!$AF$6:$AF$3005,"保留中")&gt;0,"保留",IF(COUNTIFS(請求記録!$B$6:$B$3005,$A298,請求記録!$Z$6:$Z$3005,U$5)=0,"",SUMIFS(請求記録!$AE$6:$AE$3005,請求記録!$B$6:$B$3005,$A298,請求記録!$Z$6:$Z$3005,U$5))))</f>
        <v/>
      </c>
      <c r="V298" s="19">
        <f>IF($A298="","",IF(COUNTIFS(請求記録!$B$6:$B$3005,$A298,請求記録!$Z$6:$Z$3005,V$5,請求記録!$AF$6:$AF$3005,"保留中")&gt;0,"保留",IF(COUNTIFS(請求記録!$B$6:$B$3005,$A298,請求記録!$Z$6:$Z$3005,V$5)=0,"",SUMIFS(請求記録!$AE$6:$AE$3005,請求記録!$B$6:$B$3005,$A298,請求記録!$Z$6:$Z$3005,V$5))))</f>
        <v/>
      </c>
      <c r="W298" s="19">
        <f>IF($A298="","",IF(COUNTIFS(請求記録!$B$6:$B$3005,$A298,請求記録!$Z$6:$Z$3005,W$5,請求記録!$AF$6:$AF$3005,"保留中")&gt;0,"保留",IF(COUNTIFS(請求記録!$B$6:$B$3005,$A298,請求記録!$Z$6:$Z$3005,W$5)=0,"",SUMIFS(請求記録!$AE$6:$AE$3005,請求記録!$B$6:$B$3005,$A298,請求記録!$Z$6:$Z$3005,W$5))))</f>
        <v/>
      </c>
      <c r="X298" s="19">
        <f>IF($A298="","",IF(COUNTIFS(請求記録!$B$6:$B$3005,$A298,請求記録!$Z$6:$Z$3005,X$5,請求記録!$AF$6:$AF$3005,"保留中")&gt;0,"保留",IF(COUNTIFS(請求記録!$B$6:$B$3005,$A298,請求記録!$Z$6:$Z$3005,X$5)=0,"",SUMIFS(請求記録!$AE$6:$AE$3005,請求記録!$B$6:$B$3005,$A298,請求記録!$Z$6:$Z$3005,X$5))))</f>
        <v/>
      </c>
      <c r="Y298" s="19">
        <f>IF($A298="","",IF(COUNTIFS(請求記録!$B$6:$B$3005,$A298,請求記録!$Z$6:$Z$3005,Y$5,請求記録!$AF$6:$AF$3005,"保留中")&gt;0,"保留",IF(COUNTIFS(請求記録!$B$6:$B$3005,$A298,請求記録!$Z$6:$Z$3005,Y$5)=0,"",SUMIFS(請求記録!$AE$6:$AE$3005,請求記録!$B$6:$B$3005,$A298,請求記録!$Z$6:$Z$3005,Y$5))))</f>
        <v/>
      </c>
      <c r="Z298" s="19">
        <f>IF($A298="","",IF(COUNTIFS(請求記録!$B$6:$B$3005,$A298,請求記録!$Z$6:$Z$3005,Z$5,請求記録!$AF$6:$AF$3005,"保留中")&gt;0,"保留",IF(COUNTIFS(請求記録!$B$6:$B$3005,$A298,請求記録!$Z$6:$Z$3005,Z$5)=0,"",SUMIFS(請求記録!$AE$6:$AE$3005,請求記録!$B$6:$B$3005,$A298,請求記録!$Z$6:$Z$3005,Z$5))))</f>
        <v/>
      </c>
      <c r="AA298" s="19">
        <f>IF($A298="","",IF(COUNTIFS(請求記録!$B$6:$B$3005,$A298,請求記録!$Z$6:$Z$3005,AA$5,請求記録!$AF$6:$AF$3005,"保留中")&gt;0,"保留",IF(COUNTIFS(請求記録!$B$6:$B$3005,$A298,請求記録!$Z$6:$Z$3005,AA$5)=0,"",SUMIFS(請求記録!$AE$6:$AE$3005,請求記録!$B$6:$B$3005,$A298,請求記録!$Z$6:$Z$3005,AA$5))))</f>
        <v/>
      </c>
      <c r="AB298">
        <f>IF(職員マスタ!P298="保留中",職員マスタ!M298,"")</f>
        <v/>
      </c>
    </row>
    <row r="299">
      <c r="A299">
        <f>IF(職員マスタ!A299="","",職員マスタ!A299)</f>
        <v/>
      </c>
      <c r="B299">
        <f>IF($A299="","",職員マスタ!B299)</f>
        <v/>
      </c>
      <c r="C299">
        <f>IF($A299="","",職員マスタ!C299)</f>
        <v/>
      </c>
      <c r="D299" s="19">
        <f>IF($A299="","",IF(COUNTIFS(請求記録!$B$6:$B$3005,$A299,請求記録!$Z$6:$Z$3005,D$5,請求記録!$AF$6:$AF$3005,"保留中")&gt;0,"保留",IF(COUNTIFS(請求記録!$B$6:$B$3005,$A299,請求記録!$Z$6:$Z$3005,D$5)=0,"",SUMIFS(請求記録!$AE$6:$AE$3005,請求記録!$B$6:$B$3005,$A299,請求記録!$Z$6:$Z$3005,D$5))))</f>
        <v/>
      </c>
      <c r="E299" s="19">
        <f>IF($A299="","",IF(COUNTIFS(請求記録!$B$6:$B$3005,$A299,請求記録!$Z$6:$Z$3005,E$5,請求記録!$AF$6:$AF$3005,"保留中")&gt;0,"保留",IF(COUNTIFS(請求記録!$B$6:$B$3005,$A299,請求記録!$Z$6:$Z$3005,E$5)=0,"",SUMIFS(請求記録!$AE$6:$AE$3005,請求記録!$B$6:$B$3005,$A299,請求記録!$Z$6:$Z$3005,E$5))))</f>
        <v/>
      </c>
      <c r="F299" s="19">
        <f>IF($A299="","",IF(COUNTIFS(請求記録!$B$6:$B$3005,$A299,請求記録!$Z$6:$Z$3005,F$5,請求記録!$AF$6:$AF$3005,"保留中")&gt;0,"保留",IF(COUNTIFS(請求記録!$B$6:$B$3005,$A299,請求記録!$Z$6:$Z$3005,F$5)=0,"",SUMIFS(請求記録!$AE$6:$AE$3005,請求記録!$B$6:$B$3005,$A299,請求記録!$Z$6:$Z$3005,F$5))))</f>
        <v/>
      </c>
      <c r="G299" s="19">
        <f>IF($A299="","",IF(COUNTIFS(請求記録!$B$6:$B$3005,$A299,請求記録!$Z$6:$Z$3005,G$5,請求記録!$AF$6:$AF$3005,"保留中")&gt;0,"保留",IF(COUNTIFS(請求記録!$B$6:$B$3005,$A299,請求記録!$Z$6:$Z$3005,G$5)=0,"",SUMIFS(請求記録!$AE$6:$AE$3005,請求記録!$B$6:$B$3005,$A299,請求記録!$Z$6:$Z$3005,G$5))))</f>
        <v/>
      </c>
      <c r="H299" s="19">
        <f>IF($A299="","",IF(COUNTIFS(請求記録!$B$6:$B$3005,$A299,請求記録!$Z$6:$Z$3005,H$5,請求記録!$AF$6:$AF$3005,"保留中")&gt;0,"保留",IF(COUNTIFS(請求記録!$B$6:$B$3005,$A299,請求記録!$Z$6:$Z$3005,H$5)=0,"",SUMIFS(請求記録!$AE$6:$AE$3005,請求記録!$B$6:$B$3005,$A299,請求記録!$Z$6:$Z$3005,H$5))))</f>
        <v/>
      </c>
      <c r="I299" s="19">
        <f>IF($A299="","",IF(COUNTIFS(請求記録!$B$6:$B$3005,$A299,請求記録!$Z$6:$Z$3005,I$5,請求記録!$AF$6:$AF$3005,"保留中")&gt;0,"保留",IF(COUNTIFS(請求記録!$B$6:$B$3005,$A299,請求記録!$Z$6:$Z$3005,I$5)=0,"",SUMIFS(請求記録!$AE$6:$AE$3005,請求記録!$B$6:$B$3005,$A299,請求記録!$Z$6:$Z$3005,I$5))))</f>
        <v/>
      </c>
      <c r="J299" s="19">
        <f>IF($A299="","",IF(COUNTIFS(請求記録!$B$6:$B$3005,$A299,請求記録!$Z$6:$Z$3005,J$5,請求記録!$AF$6:$AF$3005,"保留中")&gt;0,"保留",IF(COUNTIFS(請求記録!$B$6:$B$3005,$A299,請求記録!$Z$6:$Z$3005,J$5)=0,"",SUMIFS(請求記録!$AE$6:$AE$3005,請求記録!$B$6:$B$3005,$A299,請求記録!$Z$6:$Z$3005,J$5))))</f>
        <v/>
      </c>
      <c r="K299" s="19">
        <f>IF($A299="","",IF(COUNTIFS(請求記録!$B$6:$B$3005,$A299,請求記録!$Z$6:$Z$3005,K$5,請求記録!$AF$6:$AF$3005,"保留中")&gt;0,"保留",IF(COUNTIFS(請求記録!$B$6:$B$3005,$A299,請求記録!$Z$6:$Z$3005,K$5)=0,"",SUMIFS(請求記録!$AE$6:$AE$3005,請求記録!$B$6:$B$3005,$A299,請求記録!$Z$6:$Z$3005,K$5))))</f>
        <v/>
      </c>
      <c r="L299" s="19">
        <f>IF($A299="","",IF(COUNTIFS(請求記録!$B$6:$B$3005,$A299,請求記録!$Z$6:$Z$3005,L$5,請求記録!$AF$6:$AF$3005,"保留中")&gt;0,"保留",IF(COUNTIFS(請求記録!$B$6:$B$3005,$A299,請求記録!$Z$6:$Z$3005,L$5)=0,"",SUMIFS(請求記録!$AE$6:$AE$3005,請求記録!$B$6:$B$3005,$A299,請求記録!$Z$6:$Z$3005,L$5))))</f>
        <v/>
      </c>
      <c r="M299" s="19">
        <f>IF($A299="","",IF(COUNTIFS(請求記録!$B$6:$B$3005,$A299,請求記録!$Z$6:$Z$3005,M$5,請求記録!$AF$6:$AF$3005,"保留中")&gt;0,"保留",IF(COUNTIFS(請求記録!$B$6:$B$3005,$A299,請求記録!$Z$6:$Z$3005,M$5)=0,"",SUMIFS(請求記録!$AE$6:$AE$3005,請求記録!$B$6:$B$3005,$A299,請求記録!$Z$6:$Z$3005,M$5))))</f>
        <v/>
      </c>
      <c r="N299" s="19">
        <f>IF($A299="","",IF(COUNTIFS(請求記録!$B$6:$B$3005,$A299,請求記録!$Z$6:$Z$3005,N$5,請求記録!$AF$6:$AF$3005,"保留中")&gt;0,"保留",IF(COUNTIFS(請求記録!$B$6:$B$3005,$A299,請求記録!$Z$6:$Z$3005,N$5)=0,"",SUMIFS(請求記録!$AE$6:$AE$3005,請求記録!$B$6:$B$3005,$A299,請求記録!$Z$6:$Z$3005,N$5))))</f>
        <v/>
      </c>
      <c r="O299" s="19">
        <f>IF($A299="","",IF(COUNTIFS(請求記録!$B$6:$B$3005,$A299,請求記録!$Z$6:$Z$3005,O$5,請求記録!$AF$6:$AF$3005,"保留中")&gt;0,"保留",IF(COUNTIFS(請求記録!$B$6:$B$3005,$A299,請求記録!$Z$6:$Z$3005,O$5)=0,"",SUMIFS(請求記録!$AE$6:$AE$3005,請求記録!$B$6:$B$3005,$A299,請求記録!$Z$6:$Z$3005,O$5))))</f>
        <v/>
      </c>
      <c r="P299" s="19">
        <f>IF($A299="","",IF(COUNTIFS(請求記録!$B$6:$B$3005,$A299,請求記録!$Z$6:$Z$3005,P$5,請求記録!$AF$6:$AF$3005,"保留中")&gt;0,"保留",IF(COUNTIFS(請求記録!$B$6:$B$3005,$A299,請求記録!$Z$6:$Z$3005,P$5)=0,"",SUMIFS(請求記録!$AE$6:$AE$3005,請求記録!$B$6:$B$3005,$A299,請求記録!$Z$6:$Z$3005,P$5))))</f>
        <v/>
      </c>
      <c r="Q299" s="19">
        <f>IF($A299="","",IF(COUNTIFS(請求記録!$B$6:$B$3005,$A299,請求記録!$Z$6:$Z$3005,Q$5,請求記録!$AF$6:$AF$3005,"保留中")&gt;0,"保留",IF(COUNTIFS(請求記録!$B$6:$B$3005,$A299,請求記録!$Z$6:$Z$3005,Q$5)=0,"",SUMIFS(請求記録!$AE$6:$AE$3005,請求記録!$B$6:$B$3005,$A299,請求記録!$Z$6:$Z$3005,Q$5))))</f>
        <v/>
      </c>
      <c r="R299" s="19">
        <f>IF($A299="","",IF(COUNTIFS(請求記録!$B$6:$B$3005,$A299,請求記録!$Z$6:$Z$3005,R$5,請求記録!$AF$6:$AF$3005,"保留中")&gt;0,"保留",IF(COUNTIFS(請求記録!$B$6:$B$3005,$A299,請求記録!$Z$6:$Z$3005,R$5)=0,"",SUMIFS(請求記録!$AE$6:$AE$3005,請求記録!$B$6:$B$3005,$A299,請求記録!$Z$6:$Z$3005,R$5))))</f>
        <v/>
      </c>
      <c r="S299" s="19">
        <f>IF($A299="","",IF(COUNTIFS(請求記録!$B$6:$B$3005,$A299,請求記録!$Z$6:$Z$3005,S$5,請求記録!$AF$6:$AF$3005,"保留中")&gt;0,"保留",IF(COUNTIFS(請求記録!$B$6:$B$3005,$A299,請求記録!$Z$6:$Z$3005,S$5)=0,"",SUMIFS(請求記録!$AE$6:$AE$3005,請求記録!$B$6:$B$3005,$A299,請求記録!$Z$6:$Z$3005,S$5))))</f>
        <v/>
      </c>
      <c r="T299" s="19">
        <f>IF($A299="","",IF(COUNTIFS(請求記録!$B$6:$B$3005,$A299,請求記録!$Z$6:$Z$3005,T$5,請求記録!$AF$6:$AF$3005,"保留中")&gt;0,"保留",IF(COUNTIFS(請求記録!$B$6:$B$3005,$A299,請求記録!$Z$6:$Z$3005,T$5)=0,"",SUMIFS(請求記録!$AE$6:$AE$3005,請求記録!$B$6:$B$3005,$A299,請求記録!$Z$6:$Z$3005,T$5))))</f>
        <v/>
      </c>
      <c r="U299" s="19">
        <f>IF($A299="","",IF(COUNTIFS(請求記録!$B$6:$B$3005,$A299,請求記録!$Z$6:$Z$3005,U$5,請求記録!$AF$6:$AF$3005,"保留中")&gt;0,"保留",IF(COUNTIFS(請求記録!$B$6:$B$3005,$A299,請求記録!$Z$6:$Z$3005,U$5)=0,"",SUMIFS(請求記録!$AE$6:$AE$3005,請求記録!$B$6:$B$3005,$A299,請求記録!$Z$6:$Z$3005,U$5))))</f>
        <v/>
      </c>
      <c r="V299" s="19">
        <f>IF($A299="","",IF(COUNTIFS(請求記録!$B$6:$B$3005,$A299,請求記録!$Z$6:$Z$3005,V$5,請求記録!$AF$6:$AF$3005,"保留中")&gt;0,"保留",IF(COUNTIFS(請求記録!$B$6:$B$3005,$A299,請求記録!$Z$6:$Z$3005,V$5)=0,"",SUMIFS(請求記録!$AE$6:$AE$3005,請求記録!$B$6:$B$3005,$A299,請求記録!$Z$6:$Z$3005,V$5))))</f>
        <v/>
      </c>
      <c r="W299" s="19">
        <f>IF($A299="","",IF(COUNTIFS(請求記録!$B$6:$B$3005,$A299,請求記録!$Z$6:$Z$3005,W$5,請求記録!$AF$6:$AF$3005,"保留中")&gt;0,"保留",IF(COUNTIFS(請求記録!$B$6:$B$3005,$A299,請求記録!$Z$6:$Z$3005,W$5)=0,"",SUMIFS(請求記録!$AE$6:$AE$3005,請求記録!$B$6:$B$3005,$A299,請求記録!$Z$6:$Z$3005,W$5))))</f>
        <v/>
      </c>
      <c r="X299" s="19">
        <f>IF($A299="","",IF(COUNTIFS(請求記録!$B$6:$B$3005,$A299,請求記録!$Z$6:$Z$3005,X$5,請求記録!$AF$6:$AF$3005,"保留中")&gt;0,"保留",IF(COUNTIFS(請求記録!$B$6:$B$3005,$A299,請求記録!$Z$6:$Z$3005,X$5)=0,"",SUMIFS(請求記録!$AE$6:$AE$3005,請求記録!$B$6:$B$3005,$A299,請求記録!$Z$6:$Z$3005,X$5))))</f>
        <v/>
      </c>
      <c r="Y299" s="19">
        <f>IF($A299="","",IF(COUNTIFS(請求記録!$B$6:$B$3005,$A299,請求記録!$Z$6:$Z$3005,Y$5,請求記録!$AF$6:$AF$3005,"保留中")&gt;0,"保留",IF(COUNTIFS(請求記録!$B$6:$B$3005,$A299,請求記録!$Z$6:$Z$3005,Y$5)=0,"",SUMIFS(請求記録!$AE$6:$AE$3005,請求記録!$B$6:$B$3005,$A299,請求記録!$Z$6:$Z$3005,Y$5))))</f>
        <v/>
      </c>
      <c r="Z299" s="19">
        <f>IF($A299="","",IF(COUNTIFS(請求記録!$B$6:$B$3005,$A299,請求記録!$Z$6:$Z$3005,Z$5,請求記録!$AF$6:$AF$3005,"保留中")&gt;0,"保留",IF(COUNTIFS(請求記録!$B$6:$B$3005,$A299,請求記録!$Z$6:$Z$3005,Z$5)=0,"",SUMIFS(請求記録!$AE$6:$AE$3005,請求記録!$B$6:$B$3005,$A299,請求記録!$Z$6:$Z$3005,Z$5))))</f>
        <v/>
      </c>
      <c r="AA299" s="19">
        <f>IF($A299="","",IF(COUNTIFS(請求記録!$B$6:$B$3005,$A299,請求記録!$Z$6:$Z$3005,AA$5,請求記録!$AF$6:$AF$3005,"保留中")&gt;0,"保留",IF(COUNTIFS(請求記録!$B$6:$B$3005,$A299,請求記録!$Z$6:$Z$3005,AA$5)=0,"",SUMIFS(請求記録!$AE$6:$AE$3005,請求記録!$B$6:$B$3005,$A299,請求記録!$Z$6:$Z$3005,AA$5))))</f>
        <v/>
      </c>
      <c r="AB299">
        <f>IF(職員マスタ!P299="保留中",職員マスタ!M299,"")</f>
        <v/>
      </c>
    </row>
    <row r="300">
      <c r="A300">
        <f>IF(職員マスタ!A300="","",職員マスタ!A300)</f>
        <v/>
      </c>
      <c r="B300">
        <f>IF($A300="","",職員マスタ!B300)</f>
        <v/>
      </c>
      <c r="C300">
        <f>IF($A300="","",職員マスタ!C300)</f>
        <v/>
      </c>
      <c r="D300" s="19">
        <f>IF($A300="","",IF(COUNTIFS(請求記録!$B$6:$B$3005,$A300,請求記録!$Z$6:$Z$3005,D$5,請求記録!$AF$6:$AF$3005,"保留中")&gt;0,"保留",IF(COUNTIFS(請求記録!$B$6:$B$3005,$A300,請求記録!$Z$6:$Z$3005,D$5)=0,"",SUMIFS(請求記録!$AE$6:$AE$3005,請求記録!$B$6:$B$3005,$A300,請求記録!$Z$6:$Z$3005,D$5))))</f>
        <v/>
      </c>
      <c r="E300" s="19">
        <f>IF($A300="","",IF(COUNTIFS(請求記録!$B$6:$B$3005,$A300,請求記録!$Z$6:$Z$3005,E$5,請求記録!$AF$6:$AF$3005,"保留中")&gt;0,"保留",IF(COUNTIFS(請求記録!$B$6:$B$3005,$A300,請求記録!$Z$6:$Z$3005,E$5)=0,"",SUMIFS(請求記録!$AE$6:$AE$3005,請求記録!$B$6:$B$3005,$A300,請求記録!$Z$6:$Z$3005,E$5))))</f>
        <v/>
      </c>
      <c r="F300" s="19">
        <f>IF($A300="","",IF(COUNTIFS(請求記録!$B$6:$B$3005,$A300,請求記録!$Z$6:$Z$3005,F$5,請求記録!$AF$6:$AF$3005,"保留中")&gt;0,"保留",IF(COUNTIFS(請求記録!$B$6:$B$3005,$A300,請求記録!$Z$6:$Z$3005,F$5)=0,"",SUMIFS(請求記録!$AE$6:$AE$3005,請求記録!$B$6:$B$3005,$A300,請求記録!$Z$6:$Z$3005,F$5))))</f>
        <v/>
      </c>
      <c r="G300" s="19">
        <f>IF($A300="","",IF(COUNTIFS(請求記録!$B$6:$B$3005,$A300,請求記録!$Z$6:$Z$3005,G$5,請求記録!$AF$6:$AF$3005,"保留中")&gt;0,"保留",IF(COUNTIFS(請求記録!$B$6:$B$3005,$A300,請求記録!$Z$6:$Z$3005,G$5)=0,"",SUMIFS(請求記録!$AE$6:$AE$3005,請求記録!$B$6:$B$3005,$A300,請求記録!$Z$6:$Z$3005,G$5))))</f>
        <v/>
      </c>
      <c r="H300" s="19">
        <f>IF($A300="","",IF(COUNTIFS(請求記録!$B$6:$B$3005,$A300,請求記録!$Z$6:$Z$3005,H$5,請求記録!$AF$6:$AF$3005,"保留中")&gt;0,"保留",IF(COUNTIFS(請求記録!$B$6:$B$3005,$A300,請求記録!$Z$6:$Z$3005,H$5)=0,"",SUMIFS(請求記録!$AE$6:$AE$3005,請求記録!$B$6:$B$3005,$A300,請求記録!$Z$6:$Z$3005,H$5))))</f>
        <v/>
      </c>
      <c r="I300" s="19">
        <f>IF($A300="","",IF(COUNTIFS(請求記録!$B$6:$B$3005,$A300,請求記録!$Z$6:$Z$3005,I$5,請求記録!$AF$6:$AF$3005,"保留中")&gt;0,"保留",IF(COUNTIFS(請求記録!$B$6:$B$3005,$A300,請求記録!$Z$6:$Z$3005,I$5)=0,"",SUMIFS(請求記録!$AE$6:$AE$3005,請求記録!$B$6:$B$3005,$A300,請求記録!$Z$6:$Z$3005,I$5))))</f>
        <v/>
      </c>
      <c r="J300" s="19">
        <f>IF($A300="","",IF(COUNTIFS(請求記録!$B$6:$B$3005,$A300,請求記録!$Z$6:$Z$3005,J$5,請求記録!$AF$6:$AF$3005,"保留中")&gt;0,"保留",IF(COUNTIFS(請求記録!$B$6:$B$3005,$A300,請求記録!$Z$6:$Z$3005,J$5)=0,"",SUMIFS(請求記録!$AE$6:$AE$3005,請求記録!$B$6:$B$3005,$A300,請求記録!$Z$6:$Z$3005,J$5))))</f>
        <v/>
      </c>
      <c r="K300" s="19">
        <f>IF($A300="","",IF(COUNTIFS(請求記録!$B$6:$B$3005,$A300,請求記録!$Z$6:$Z$3005,K$5,請求記録!$AF$6:$AF$3005,"保留中")&gt;0,"保留",IF(COUNTIFS(請求記録!$B$6:$B$3005,$A300,請求記録!$Z$6:$Z$3005,K$5)=0,"",SUMIFS(請求記録!$AE$6:$AE$3005,請求記録!$B$6:$B$3005,$A300,請求記録!$Z$6:$Z$3005,K$5))))</f>
        <v/>
      </c>
      <c r="L300" s="19">
        <f>IF($A300="","",IF(COUNTIFS(請求記録!$B$6:$B$3005,$A300,請求記録!$Z$6:$Z$3005,L$5,請求記録!$AF$6:$AF$3005,"保留中")&gt;0,"保留",IF(COUNTIFS(請求記録!$B$6:$B$3005,$A300,請求記録!$Z$6:$Z$3005,L$5)=0,"",SUMIFS(請求記録!$AE$6:$AE$3005,請求記録!$B$6:$B$3005,$A300,請求記録!$Z$6:$Z$3005,L$5))))</f>
        <v/>
      </c>
      <c r="M300" s="19">
        <f>IF($A300="","",IF(COUNTIFS(請求記録!$B$6:$B$3005,$A300,請求記録!$Z$6:$Z$3005,M$5,請求記録!$AF$6:$AF$3005,"保留中")&gt;0,"保留",IF(COUNTIFS(請求記録!$B$6:$B$3005,$A300,請求記録!$Z$6:$Z$3005,M$5)=0,"",SUMIFS(請求記録!$AE$6:$AE$3005,請求記録!$B$6:$B$3005,$A300,請求記録!$Z$6:$Z$3005,M$5))))</f>
        <v/>
      </c>
      <c r="N300" s="19">
        <f>IF($A300="","",IF(COUNTIFS(請求記録!$B$6:$B$3005,$A300,請求記録!$Z$6:$Z$3005,N$5,請求記録!$AF$6:$AF$3005,"保留中")&gt;0,"保留",IF(COUNTIFS(請求記録!$B$6:$B$3005,$A300,請求記録!$Z$6:$Z$3005,N$5)=0,"",SUMIFS(請求記録!$AE$6:$AE$3005,請求記録!$B$6:$B$3005,$A300,請求記録!$Z$6:$Z$3005,N$5))))</f>
        <v/>
      </c>
      <c r="O300" s="19">
        <f>IF($A300="","",IF(COUNTIFS(請求記録!$B$6:$B$3005,$A300,請求記録!$Z$6:$Z$3005,O$5,請求記録!$AF$6:$AF$3005,"保留中")&gt;0,"保留",IF(COUNTIFS(請求記録!$B$6:$B$3005,$A300,請求記録!$Z$6:$Z$3005,O$5)=0,"",SUMIFS(請求記録!$AE$6:$AE$3005,請求記録!$B$6:$B$3005,$A300,請求記録!$Z$6:$Z$3005,O$5))))</f>
        <v/>
      </c>
      <c r="P300" s="19">
        <f>IF($A300="","",IF(COUNTIFS(請求記録!$B$6:$B$3005,$A300,請求記録!$Z$6:$Z$3005,P$5,請求記録!$AF$6:$AF$3005,"保留中")&gt;0,"保留",IF(COUNTIFS(請求記録!$B$6:$B$3005,$A300,請求記録!$Z$6:$Z$3005,P$5)=0,"",SUMIFS(請求記録!$AE$6:$AE$3005,請求記録!$B$6:$B$3005,$A300,請求記録!$Z$6:$Z$3005,P$5))))</f>
        <v/>
      </c>
      <c r="Q300" s="19">
        <f>IF($A300="","",IF(COUNTIFS(請求記録!$B$6:$B$3005,$A300,請求記録!$Z$6:$Z$3005,Q$5,請求記録!$AF$6:$AF$3005,"保留中")&gt;0,"保留",IF(COUNTIFS(請求記録!$B$6:$B$3005,$A300,請求記録!$Z$6:$Z$3005,Q$5)=0,"",SUMIFS(請求記録!$AE$6:$AE$3005,請求記録!$B$6:$B$3005,$A300,請求記録!$Z$6:$Z$3005,Q$5))))</f>
        <v/>
      </c>
      <c r="R300" s="19">
        <f>IF($A300="","",IF(COUNTIFS(請求記録!$B$6:$B$3005,$A300,請求記録!$Z$6:$Z$3005,R$5,請求記録!$AF$6:$AF$3005,"保留中")&gt;0,"保留",IF(COUNTIFS(請求記録!$B$6:$B$3005,$A300,請求記録!$Z$6:$Z$3005,R$5)=0,"",SUMIFS(請求記録!$AE$6:$AE$3005,請求記録!$B$6:$B$3005,$A300,請求記録!$Z$6:$Z$3005,R$5))))</f>
        <v/>
      </c>
      <c r="S300" s="19">
        <f>IF($A300="","",IF(COUNTIFS(請求記録!$B$6:$B$3005,$A300,請求記録!$Z$6:$Z$3005,S$5,請求記録!$AF$6:$AF$3005,"保留中")&gt;0,"保留",IF(COUNTIFS(請求記録!$B$6:$B$3005,$A300,請求記録!$Z$6:$Z$3005,S$5)=0,"",SUMIFS(請求記録!$AE$6:$AE$3005,請求記録!$B$6:$B$3005,$A300,請求記録!$Z$6:$Z$3005,S$5))))</f>
        <v/>
      </c>
      <c r="T300" s="19">
        <f>IF($A300="","",IF(COUNTIFS(請求記録!$B$6:$B$3005,$A300,請求記録!$Z$6:$Z$3005,T$5,請求記録!$AF$6:$AF$3005,"保留中")&gt;0,"保留",IF(COUNTIFS(請求記録!$B$6:$B$3005,$A300,請求記録!$Z$6:$Z$3005,T$5)=0,"",SUMIFS(請求記録!$AE$6:$AE$3005,請求記録!$B$6:$B$3005,$A300,請求記録!$Z$6:$Z$3005,T$5))))</f>
        <v/>
      </c>
      <c r="U300" s="19">
        <f>IF($A300="","",IF(COUNTIFS(請求記録!$B$6:$B$3005,$A300,請求記録!$Z$6:$Z$3005,U$5,請求記録!$AF$6:$AF$3005,"保留中")&gt;0,"保留",IF(COUNTIFS(請求記録!$B$6:$B$3005,$A300,請求記録!$Z$6:$Z$3005,U$5)=0,"",SUMIFS(請求記録!$AE$6:$AE$3005,請求記録!$B$6:$B$3005,$A300,請求記録!$Z$6:$Z$3005,U$5))))</f>
        <v/>
      </c>
      <c r="V300" s="19">
        <f>IF($A300="","",IF(COUNTIFS(請求記録!$B$6:$B$3005,$A300,請求記録!$Z$6:$Z$3005,V$5,請求記録!$AF$6:$AF$3005,"保留中")&gt;0,"保留",IF(COUNTIFS(請求記録!$B$6:$B$3005,$A300,請求記録!$Z$6:$Z$3005,V$5)=0,"",SUMIFS(請求記録!$AE$6:$AE$3005,請求記録!$B$6:$B$3005,$A300,請求記録!$Z$6:$Z$3005,V$5))))</f>
        <v/>
      </c>
      <c r="W300" s="19">
        <f>IF($A300="","",IF(COUNTIFS(請求記録!$B$6:$B$3005,$A300,請求記録!$Z$6:$Z$3005,W$5,請求記録!$AF$6:$AF$3005,"保留中")&gt;0,"保留",IF(COUNTIFS(請求記録!$B$6:$B$3005,$A300,請求記録!$Z$6:$Z$3005,W$5)=0,"",SUMIFS(請求記録!$AE$6:$AE$3005,請求記録!$B$6:$B$3005,$A300,請求記録!$Z$6:$Z$3005,W$5))))</f>
        <v/>
      </c>
      <c r="X300" s="19">
        <f>IF($A300="","",IF(COUNTIFS(請求記録!$B$6:$B$3005,$A300,請求記録!$Z$6:$Z$3005,X$5,請求記録!$AF$6:$AF$3005,"保留中")&gt;0,"保留",IF(COUNTIFS(請求記録!$B$6:$B$3005,$A300,請求記録!$Z$6:$Z$3005,X$5)=0,"",SUMIFS(請求記録!$AE$6:$AE$3005,請求記録!$B$6:$B$3005,$A300,請求記録!$Z$6:$Z$3005,X$5))))</f>
        <v/>
      </c>
      <c r="Y300" s="19">
        <f>IF($A300="","",IF(COUNTIFS(請求記録!$B$6:$B$3005,$A300,請求記録!$Z$6:$Z$3005,Y$5,請求記録!$AF$6:$AF$3005,"保留中")&gt;0,"保留",IF(COUNTIFS(請求記録!$B$6:$B$3005,$A300,請求記録!$Z$6:$Z$3005,Y$5)=0,"",SUMIFS(請求記録!$AE$6:$AE$3005,請求記録!$B$6:$B$3005,$A300,請求記録!$Z$6:$Z$3005,Y$5))))</f>
        <v/>
      </c>
      <c r="Z300" s="19">
        <f>IF($A300="","",IF(COUNTIFS(請求記録!$B$6:$B$3005,$A300,請求記録!$Z$6:$Z$3005,Z$5,請求記録!$AF$6:$AF$3005,"保留中")&gt;0,"保留",IF(COUNTIFS(請求記録!$B$6:$B$3005,$A300,請求記録!$Z$6:$Z$3005,Z$5)=0,"",SUMIFS(請求記録!$AE$6:$AE$3005,請求記録!$B$6:$B$3005,$A300,請求記録!$Z$6:$Z$3005,Z$5))))</f>
        <v/>
      </c>
      <c r="AA300" s="19">
        <f>IF($A300="","",IF(COUNTIFS(請求記録!$B$6:$B$3005,$A300,請求記録!$Z$6:$Z$3005,AA$5,請求記録!$AF$6:$AF$3005,"保留中")&gt;0,"保留",IF(COUNTIFS(請求記録!$B$6:$B$3005,$A300,請求記録!$Z$6:$Z$3005,AA$5)=0,"",SUMIFS(請求記録!$AE$6:$AE$3005,請求記録!$B$6:$B$3005,$A300,請求記録!$Z$6:$Z$3005,AA$5))))</f>
        <v/>
      </c>
      <c r="AB300">
        <f>IF(職員マスタ!P300="保留中",職員マスタ!M300,"")</f>
        <v/>
      </c>
    </row>
    <row r="301">
      <c r="A301">
        <f>IF(職員マスタ!A301="","",職員マスタ!A301)</f>
        <v/>
      </c>
      <c r="B301">
        <f>IF($A301="","",職員マスタ!B301)</f>
        <v/>
      </c>
      <c r="C301">
        <f>IF($A301="","",職員マスタ!C301)</f>
        <v/>
      </c>
      <c r="D301" s="19">
        <f>IF($A301="","",IF(COUNTIFS(請求記録!$B$6:$B$3005,$A301,請求記録!$Z$6:$Z$3005,D$5,請求記録!$AF$6:$AF$3005,"保留中")&gt;0,"保留",IF(COUNTIFS(請求記録!$B$6:$B$3005,$A301,請求記録!$Z$6:$Z$3005,D$5)=0,"",SUMIFS(請求記録!$AE$6:$AE$3005,請求記録!$B$6:$B$3005,$A301,請求記録!$Z$6:$Z$3005,D$5))))</f>
        <v/>
      </c>
      <c r="E301" s="19">
        <f>IF($A301="","",IF(COUNTIFS(請求記録!$B$6:$B$3005,$A301,請求記録!$Z$6:$Z$3005,E$5,請求記録!$AF$6:$AF$3005,"保留中")&gt;0,"保留",IF(COUNTIFS(請求記録!$B$6:$B$3005,$A301,請求記録!$Z$6:$Z$3005,E$5)=0,"",SUMIFS(請求記録!$AE$6:$AE$3005,請求記録!$B$6:$B$3005,$A301,請求記録!$Z$6:$Z$3005,E$5))))</f>
        <v/>
      </c>
      <c r="F301" s="19">
        <f>IF($A301="","",IF(COUNTIFS(請求記録!$B$6:$B$3005,$A301,請求記録!$Z$6:$Z$3005,F$5,請求記録!$AF$6:$AF$3005,"保留中")&gt;0,"保留",IF(COUNTIFS(請求記録!$B$6:$B$3005,$A301,請求記録!$Z$6:$Z$3005,F$5)=0,"",SUMIFS(請求記録!$AE$6:$AE$3005,請求記録!$B$6:$B$3005,$A301,請求記録!$Z$6:$Z$3005,F$5))))</f>
        <v/>
      </c>
      <c r="G301" s="19">
        <f>IF($A301="","",IF(COUNTIFS(請求記録!$B$6:$B$3005,$A301,請求記録!$Z$6:$Z$3005,G$5,請求記録!$AF$6:$AF$3005,"保留中")&gt;0,"保留",IF(COUNTIFS(請求記録!$B$6:$B$3005,$A301,請求記録!$Z$6:$Z$3005,G$5)=0,"",SUMIFS(請求記録!$AE$6:$AE$3005,請求記録!$B$6:$B$3005,$A301,請求記録!$Z$6:$Z$3005,G$5))))</f>
        <v/>
      </c>
      <c r="H301" s="19">
        <f>IF($A301="","",IF(COUNTIFS(請求記録!$B$6:$B$3005,$A301,請求記録!$Z$6:$Z$3005,H$5,請求記録!$AF$6:$AF$3005,"保留中")&gt;0,"保留",IF(COUNTIFS(請求記録!$B$6:$B$3005,$A301,請求記録!$Z$6:$Z$3005,H$5)=0,"",SUMIFS(請求記録!$AE$6:$AE$3005,請求記録!$B$6:$B$3005,$A301,請求記録!$Z$6:$Z$3005,H$5))))</f>
        <v/>
      </c>
      <c r="I301" s="19">
        <f>IF($A301="","",IF(COUNTIFS(請求記録!$B$6:$B$3005,$A301,請求記録!$Z$6:$Z$3005,I$5,請求記録!$AF$6:$AF$3005,"保留中")&gt;0,"保留",IF(COUNTIFS(請求記録!$B$6:$B$3005,$A301,請求記録!$Z$6:$Z$3005,I$5)=0,"",SUMIFS(請求記録!$AE$6:$AE$3005,請求記録!$B$6:$B$3005,$A301,請求記録!$Z$6:$Z$3005,I$5))))</f>
        <v/>
      </c>
      <c r="J301" s="19">
        <f>IF($A301="","",IF(COUNTIFS(請求記録!$B$6:$B$3005,$A301,請求記録!$Z$6:$Z$3005,J$5,請求記録!$AF$6:$AF$3005,"保留中")&gt;0,"保留",IF(COUNTIFS(請求記録!$B$6:$B$3005,$A301,請求記録!$Z$6:$Z$3005,J$5)=0,"",SUMIFS(請求記録!$AE$6:$AE$3005,請求記録!$B$6:$B$3005,$A301,請求記録!$Z$6:$Z$3005,J$5))))</f>
        <v/>
      </c>
      <c r="K301" s="19">
        <f>IF($A301="","",IF(COUNTIFS(請求記録!$B$6:$B$3005,$A301,請求記録!$Z$6:$Z$3005,K$5,請求記録!$AF$6:$AF$3005,"保留中")&gt;0,"保留",IF(COUNTIFS(請求記録!$B$6:$B$3005,$A301,請求記録!$Z$6:$Z$3005,K$5)=0,"",SUMIFS(請求記録!$AE$6:$AE$3005,請求記録!$B$6:$B$3005,$A301,請求記録!$Z$6:$Z$3005,K$5))))</f>
        <v/>
      </c>
      <c r="L301" s="19">
        <f>IF($A301="","",IF(COUNTIFS(請求記録!$B$6:$B$3005,$A301,請求記録!$Z$6:$Z$3005,L$5,請求記録!$AF$6:$AF$3005,"保留中")&gt;0,"保留",IF(COUNTIFS(請求記録!$B$6:$B$3005,$A301,請求記録!$Z$6:$Z$3005,L$5)=0,"",SUMIFS(請求記録!$AE$6:$AE$3005,請求記録!$B$6:$B$3005,$A301,請求記録!$Z$6:$Z$3005,L$5))))</f>
        <v/>
      </c>
      <c r="M301" s="19">
        <f>IF($A301="","",IF(COUNTIFS(請求記録!$B$6:$B$3005,$A301,請求記録!$Z$6:$Z$3005,M$5,請求記録!$AF$6:$AF$3005,"保留中")&gt;0,"保留",IF(COUNTIFS(請求記録!$B$6:$B$3005,$A301,請求記録!$Z$6:$Z$3005,M$5)=0,"",SUMIFS(請求記録!$AE$6:$AE$3005,請求記録!$B$6:$B$3005,$A301,請求記録!$Z$6:$Z$3005,M$5))))</f>
        <v/>
      </c>
      <c r="N301" s="19">
        <f>IF($A301="","",IF(COUNTIFS(請求記録!$B$6:$B$3005,$A301,請求記録!$Z$6:$Z$3005,N$5,請求記録!$AF$6:$AF$3005,"保留中")&gt;0,"保留",IF(COUNTIFS(請求記録!$B$6:$B$3005,$A301,請求記録!$Z$6:$Z$3005,N$5)=0,"",SUMIFS(請求記録!$AE$6:$AE$3005,請求記録!$B$6:$B$3005,$A301,請求記録!$Z$6:$Z$3005,N$5))))</f>
        <v/>
      </c>
      <c r="O301" s="19">
        <f>IF($A301="","",IF(COUNTIFS(請求記録!$B$6:$B$3005,$A301,請求記録!$Z$6:$Z$3005,O$5,請求記録!$AF$6:$AF$3005,"保留中")&gt;0,"保留",IF(COUNTIFS(請求記録!$B$6:$B$3005,$A301,請求記録!$Z$6:$Z$3005,O$5)=0,"",SUMIFS(請求記録!$AE$6:$AE$3005,請求記録!$B$6:$B$3005,$A301,請求記録!$Z$6:$Z$3005,O$5))))</f>
        <v/>
      </c>
      <c r="P301" s="19">
        <f>IF($A301="","",IF(COUNTIFS(請求記録!$B$6:$B$3005,$A301,請求記録!$Z$6:$Z$3005,P$5,請求記録!$AF$6:$AF$3005,"保留中")&gt;0,"保留",IF(COUNTIFS(請求記録!$B$6:$B$3005,$A301,請求記録!$Z$6:$Z$3005,P$5)=0,"",SUMIFS(請求記録!$AE$6:$AE$3005,請求記録!$B$6:$B$3005,$A301,請求記録!$Z$6:$Z$3005,P$5))))</f>
        <v/>
      </c>
      <c r="Q301" s="19">
        <f>IF($A301="","",IF(COUNTIFS(請求記録!$B$6:$B$3005,$A301,請求記録!$Z$6:$Z$3005,Q$5,請求記録!$AF$6:$AF$3005,"保留中")&gt;0,"保留",IF(COUNTIFS(請求記録!$B$6:$B$3005,$A301,請求記録!$Z$6:$Z$3005,Q$5)=0,"",SUMIFS(請求記録!$AE$6:$AE$3005,請求記録!$B$6:$B$3005,$A301,請求記録!$Z$6:$Z$3005,Q$5))))</f>
        <v/>
      </c>
      <c r="R301" s="19">
        <f>IF($A301="","",IF(COUNTIFS(請求記録!$B$6:$B$3005,$A301,請求記録!$Z$6:$Z$3005,R$5,請求記録!$AF$6:$AF$3005,"保留中")&gt;0,"保留",IF(COUNTIFS(請求記録!$B$6:$B$3005,$A301,請求記録!$Z$6:$Z$3005,R$5)=0,"",SUMIFS(請求記録!$AE$6:$AE$3005,請求記録!$B$6:$B$3005,$A301,請求記録!$Z$6:$Z$3005,R$5))))</f>
        <v/>
      </c>
      <c r="S301" s="19">
        <f>IF($A301="","",IF(COUNTIFS(請求記録!$B$6:$B$3005,$A301,請求記録!$Z$6:$Z$3005,S$5,請求記録!$AF$6:$AF$3005,"保留中")&gt;0,"保留",IF(COUNTIFS(請求記録!$B$6:$B$3005,$A301,請求記録!$Z$6:$Z$3005,S$5)=0,"",SUMIFS(請求記録!$AE$6:$AE$3005,請求記録!$B$6:$B$3005,$A301,請求記録!$Z$6:$Z$3005,S$5))))</f>
        <v/>
      </c>
      <c r="T301" s="19">
        <f>IF($A301="","",IF(COUNTIFS(請求記録!$B$6:$B$3005,$A301,請求記録!$Z$6:$Z$3005,T$5,請求記録!$AF$6:$AF$3005,"保留中")&gt;0,"保留",IF(COUNTIFS(請求記録!$B$6:$B$3005,$A301,請求記録!$Z$6:$Z$3005,T$5)=0,"",SUMIFS(請求記録!$AE$6:$AE$3005,請求記録!$B$6:$B$3005,$A301,請求記録!$Z$6:$Z$3005,T$5))))</f>
        <v/>
      </c>
      <c r="U301" s="19">
        <f>IF($A301="","",IF(COUNTIFS(請求記録!$B$6:$B$3005,$A301,請求記録!$Z$6:$Z$3005,U$5,請求記録!$AF$6:$AF$3005,"保留中")&gt;0,"保留",IF(COUNTIFS(請求記録!$B$6:$B$3005,$A301,請求記録!$Z$6:$Z$3005,U$5)=0,"",SUMIFS(請求記録!$AE$6:$AE$3005,請求記録!$B$6:$B$3005,$A301,請求記録!$Z$6:$Z$3005,U$5))))</f>
        <v/>
      </c>
      <c r="V301" s="19">
        <f>IF($A301="","",IF(COUNTIFS(請求記録!$B$6:$B$3005,$A301,請求記録!$Z$6:$Z$3005,V$5,請求記録!$AF$6:$AF$3005,"保留中")&gt;0,"保留",IF(COUNTIFS(請求記録!$B$6:$B$3005,$A301,請求記録!$Z$6:$Z$3005,V$5)=0,"",SUMIFS(請求記録!$AE$6:$AE$3005,請求記録!$B$6:$B$3005,$A301,請求記録!$Z$6:$Z$3005,V$5))))</f>
        <v/>
      </c>
      <c r="W301" s="19">
        <f>IF($A301="","",IF(COUNTIFS(請求記録!$B$6:$B$3005,$A301,請求記録!$Z$6:$Z$3005,W$5,請求記録!$AF$6:$AF$3005,"保留中")&gt;0,"保留",IF(COUNTIFS(請求記録!$B$6:$B$3005,$A301,請求記録!$Z$6:$Z$3005,W$5)=0,"",SUMIFS(請求記録!$AE$6:$AE$3005,請求記録!$B$6:$B$3005,$A301,請求記録!$Z$6:$Z$3005,W$5))))</f>
        <v/>
      </c>
      <c r="X301" s="19">
        <f>IF($A301="","",IF(COUNTIFS(請求記録!$B$6:$B$3005,$A301,請求記録!$Z$6:$Z$3005,X$5,請求記録!$AF$6:$AF$3005,"保留中")&gt;0,"保留",IF(COUNTIFS(請求記録!$B$6:$B$3005,$A301,請求記録!$Z$6:$Z$3005,X$5)=0,"",SUMIFS(請求記録!$AE$6:$AE$3005,請求記録!$B$6:$B$3005,$A301,請求記録!$Z$6:$Z$3005,X$5))))</f>
        <v/>
      </c>
      <c r="Y301" s="19">
        <f>IF($A301="","",IF(COUNTIFS(請求記録!$B$6:$B$3005,$A301,請求記録!$Z$6:$Z$3005,Y$5,請求記録!$AF$6:$AF$3005,"保留中")&gt;0,"保留",IF(COUNTIFS(請求記録!$B$6:$B$3005,$A301,請求記録!$Z$6:$Z$3005,Y$5)=0,"",SUMIFS(請求記録!$AE$6:$AE$3005,請求記録!$B$6:$B$3005,$A301,請求記録!$Z$6:$Z$3005,Y$5))))</f>
        <v/>
      </c>
      <c r="Z301" s="19">
        <f>IF($A301="","",IF(COUNTIFS(請求記録!$B$6:$B$3005,$A301,請求記録!$Z$6:$Z$3005,Z$5,請求記録!$AF$6:$AF$3005,"保留中")&gt;0,"保留",IF(COUNTIFS(請求記録!$B$6:$B$3005,$A301,請求記録!$Z$6:$Z$3005,Z$5)=0,"",SUMIFS(請求記録!$AE$6:$AE$3005,請求記録!$B$6:$B$3005,$A301,請求記録!$Z$6:$Z$3005,Z$5))))</f>
        <v/>
      </c>
      <c r="AA301" s="19">
        <f>IF($A301="","",IF(COUNTIFS(請求記録!$B$6:$B$3005,$A301,請求記録!$Z$6:$Z$3005,AA$5,請求記録!$AF$6:$AF$3005,"保留中")&gt;0,"保留",IF(COUNTIFS(請求記録!$B$6:$B$3005,$A301,請求記録!$Z$6:$Z$3005,AA$5)=0,"",SUMIFS(請求記録!$AE$6:$AE$3005,請求記録!$B$6:$B$3005,$A301,請求記録!$Z$6:$Z$3005,AA$5))))</f>
        <v/>
      </c>
      <c r="AB301">
        <f>IF(職員マスタ!P301="保留中",職員マスタ!M301,"")</f>
        <v/>
      </c>
    </row>
    <row r="302">
      <c r="A302">
        <f>IF(職員マスタ!A302="","",職員マスタ!A302)</f>
        <v/>
      </c>
      <c r="B302">
        <f>IF($A302="","",職員マスタ!B302)</f>
        <v/>
      </c>
      <c r="C302">
        <f>IF($A302="","",職員マスタ!C302)</f>
        <v/>
      </c>
      <c r="D302" s="19">
        <f>IF($A302="","",IF(COUNTIFS(請求記録!$B$6:$B$3005,$A302,請求記録!$Z$6:$Z$3005,D$5,請求記録!$AF$6:$AF$3005,"保留中")&gt;0,"保留",IF(COUNTIFS(請求記録!$B$6:$B$3005,$A302,請求記録!$Z$6:$Z$3005,D$5)=0,"",SUMIFS(請求記録!$AE$6:$AE$3005,請求記録!$B$6:$B$3005,$A302,請求記録!$Z$6:$Z$3005,D$5))))</f>
        <v/>
      </c>
      <c r="E302" s="19">
        <f>IF($A302="","",IF(COUNTIFS(請求記録!$B$6:$B$3005,$A302,請求記録!$Z$6:$Z$3005,E$5,請求記録!$AF$6:$AF$3005,"保留中")&gt;0,"保留",IF(COUNTIFS(請求記録!$B$6:$B$3005,$A302,請求記録!$Z$6:$Z$3005,E$5)=0,"",SUMIFS(請求記録!$AE$6:$AE$3005,請求記録!$B$6:$B$3005,$A302,請求記録!$Z$6:$Z$3005,E$5))))</f>
        <v/>
      </c>
      <c r="F302" s="19">
        <f>IF($A302="","",IF(COUNTIFS(請求記録!$B$6:$B$3005,$A302,請求記録!$Z$6:$Z$3005,F$5,請求記録!$AF$6:$AF$3005,"保留中")&gt;0,"保留",IF(COUNTIFS(請求記録!$B$6:$B$3005,$A302,請求記録!$Z$6:$Z$3005,F$5)=0,"",SUMIFS(請求記録!$AE$6:$AE$3005,請求記録!$B$6:$B$3005,$A302,請求記録!$Z$6:$Z$3005,F$5))))</f>
        <v/>
      </c>
      <c r="G302" s="19">
        <f>IF($A302="","",IF(COUNTIFS(請求記録!$B$6:$B$3005,$A302,請求記録!$Z$6:$Z$3005,G$5,請求記録!$AF$6:$AF$3005,"保留中")&gt;0,"保留",IF(COUNTIFS(請求記録!$B$6:$B$3005,$A302,請求記録!$Z$6:$Z$3005,G$5)=0,"",SUMIFS(請求記録!$AE$6:$AE$3005,請求記録!$B$6:$B$3005,$A302,請求記録!$Z$6:$Z$3005,G$5))))</f>
        <v/>
      </c>
      <c r="H302" s="19">
        <f>IF($A302="","",IF(COUNTIFS(請求記録!$B$6:$B$3005,$A302,請求記録!$Z$6:$Z$3005,H$5,請求記録!$AF$6:$AF$3005,"保留中")&gt;0,"保留",IF(COUNTIFS(請求記録!$B$6:$B$3005,$A302,請求記録!$Z$6:$Z$3005,H$5)=0,"",SUMIFS(請求記録!$AE$6:$AE$3005,請求記録!$B$6:$B$3005,$A302,請求記録!$Z$6:$Z$3005,H$5))))</f>
        <v/>
      </c>
      <c r="I302" s="19">
        <f>IF($A302="","",IF(COUNTIFS(請求記録!$B$6:$B$3005,$A302,請求記録!$Z$6:$Z$3005,I$5,請求記録!$AF$6:$AF$3005,"保留中")&gt;0,"保留",IF(COUNTIFS(請求記録!$B$6:$B$3005,$A302,請求記録!$Z$6:$Z$3005,I$5)=0,"",SUMIFS(請求記録!$AE$6:$AE$3005,請求記録!$B$6:$B$3005,$A302,請求記録!$Z$6:$Z$3005,I$5))))</f>
        <v/>
      </c>
      <c r="J302" s="19">
        <f>IF($A302="","",IF(COUNTIFS(請求記録!$B$6:$B$3005,$A302,請求記録!$Z$6:$Z$3005,J$5,請求記録!$AF$6:$AF$3005,"保留中")&gt;0,"保留",IF(COUNTIFS(請求記録!$B$6:$B$3005,$A302,請求記録!$Z$6:$Z$3005,J$5)=0,"",SUMIFS(請求記録!$AE$6:$AE$3005,請求記録!$B$6:$B$3005,$A302,請求記録!$Z$6:$Z$3005,J$5))))</f>
        <v/>
      </c>
      <c r="K302" s="19">
        <f>IF($A302="","",IF(COUNTIFS(請求記録!$B$6:$B$3005,$A302,請求記録!$Z$6:$Z$3005,K$5,請求記録!$AF$6:$AF$3005,"保留中")&gt;0,"保留",IF(COUNTIFS(請求記録!$B$6:$B$3005,$A302,請求記録!$Z$6:$Z$3005,K$5)=0,"",SUMIFS(請求記録!$AE$6:$AE$3005,請求記録!$B$6:$B$3005,$A302,請求記録!$Z$6:$Z$3005,K$5))))</f>
        <v/>
      </c>
      <c r="L302" s="19">
        <f>IF($A302="","",IF(COUNTIFS(請求記録!$B$6:$B$3005,$A302,請求記録!$Z$6:$Z$3005,L$5,請求記録!$AF$6:$AF$3005,"保留中")&gt;0,"保留",IF(COUNTIFS(請求記録!$B$6:$B$3005,$A302,請求記録!$Z$6:$Z$3005,L$5)=0,"",SUMIFS(請求記録!$AE$6:$AE$3005,請求記録!$B$6:$B$3005,$A302,請求記録!$Z$6:$Z$3005,L$5))))</f>
        <v/>
      </c>
      <c r="M302" s="19">
        <f>IF($A302="","",IF(COUNTIFS(請求記録!$B$6:$B$3005,$A302,請求記録!$Z$6:$Z$3005,M$5,請求記録!$AF$6:$AF$3005,"保留中")&gt;0,"保留",IF(COUNTIFS(請求記録!$B$6:$B$3005,$A302,請求記録!$Z$6:$Z$3005,M$5)=0,"",SUMIFS(請求記録!$AE$6:$AE$3005,請求記録!$B$6:$B$3005,$A302,請求記録!$Z$6:$Z$3005,M$5))))</f>
        <v/>
      </c>
      <c r="N302" s="19">
        <f>IF($A302="","",IF(COUNTIFS(請求記録!$B$6:$B$3005,$A302,請求記録!$Z$6:$Z$3005,N$5,請求記録!$AF$6:$AF$3005,"保留中")&gt;0,"保留",IF(COUNTIFS(請求記録!$B$6:$B$3005,$A302,請求記録!$Z$6:$Z$3005,N$5)=0,"",SUMIFS(請求記録!$AE$6:$AE$3005,請求記録!$B$6:$B$3005,$A302,請求記録!$Z$6:$Z$3005,N$5))))</f>
        <v/>
      </c>
      <c r="O302" s="19">
        <f>IF($A302="","",IF(COUNTIFS(請求記録!$B$6:$B$3005,$A302,請求記録!$Z$6:$Z$3005,O$5,請求記録!$AF$6:$AF$3005,"保留中")&gt;0,"保留",IF(COUNTIFS(請求記録!$B$6:$B$3005,$A302,請求記録!$Z$6:$Z$3005,O$5)=0,"",SUMIFS(請求記録!$AE$6:$AE$3005,請求記録!$B$6:$B$3005,$A302,請求記録!$Z$6:$Z$3005,O$5))))</f>
        <v/>
      </c>
      <c r="P302" s="19">
        <f>IF($A302="","",IF(COUNTIFS(請求記録!$B$6:$B$3005,$A302,請求記録!$Z$6:$Z$3005,P$5,請求記録!$AF$6:$AF$3005,"保留中")&gt;0,"保留",IF(COUNTIFS(請求記録!$B$6:$B$3005,$A302,請求記録!$Z$6:$Z$3005,P$5)=0,"",SUMIFS(請求記録!$AE$6:$AE$3005,請求記録!$B$6:$B$3005,$A302,請求記録!$Z$6:$Z$3005,P$5))))</f>
        <v/>
      </c>
      <c r="Q302" s="19">
        <f>IF($A302="","",IF(COUNTIFS(請求記録!$B$6:$B$3005,$A302,請求記録!$Z$6:$Z$3005,Q$5,請求記録!$AF$6:$AF$3005,"保留中")&gt;0,"保留",IF(COUNTIFS(請求記録!$B$6:$B$3005,$A302,請求記録!$Z$6:$Z$3005,Q$5)=0,"",SUMIFS(請求記録!$AE$6:$AE$3005,請求記録!$B$6:$B$3005,$A302,請求記録!$Z$6:$Z$3005,Q$5))))</f>
        <v/>
      </c>
      <c r="R302" s="19">
        <f>IF($A302="","",IF(COUNTIFS(請求記録!$B$6:$B$3005,$A302,請求記録!$Z$6:$Z$3005,R$5,請求記録!$AF$6:$AF$3005,"保留中")&gt;0,"保留",IF(COUNTIFS(請求記録!$B$6:$B$3005,$A302,請求記録!$Z$6:$Z$3005,R$5)=0,"",SUMIFS(請求記録!$AE$6:$AE$3005,請求記録!$B$6:$B$3005,$A302,請求記録!$Z$6:$Z$3005,R$5))))</f>
        <v/>
      </c>
      <c r="S302" s="19">
        <f>IF($A302="","",IF(COUNTIFS(請求記録!$B$6:$B$3005,$A302,請求記録!$Z$6:$Z$3005,S$5,請求記録!$AF$6:$AF$3005,"保留中")&gt;0,"保留",IF(COUNTIFS(請求記録!$B$6:$B$3005,$A302,請求記録!$Z$6:$Z$3005,S$5)=0,"",SUMIFS(請求記録!$AE$6:$AE$3005,請求記録!$B$6:$B$3005,$A302,請求記録!$Z$6:$Z$3005,S$5))))</f>
        <v/>
      </c>
      <c r="T302" s="19">
        <f>IF($A302="","",IF(COUNTIFS(請求記録!$B$6:$B$3005,$A302,請求記録!$Z$6:$Z$3005,T$5,請求記録!$AF$6:$AF$3005,"保留中")&gt;0,"保留",IF(COUNTIFS(請求記録!$B$6:$B$3005,$A302,請求記録!$Z$6:$Z$3005,T$5)=0,"",SUMIFS(請求記録!$AE$6:$AE$3005,請求記録!$B$6:$B$3005,$A302,請求記録!$Z$6:$Z$3005,T$5))))</f>
        <v/>
      </c>
      <c r="U302" s="19">
        <f>IF($A302="","",IF(COUNTIFS(請求記録!$B$6:$B$3005,$A302,請求記録!$Z$6:$Z$3005,U$5,請求記録!$AF$6:$AF$3005,"保留中")&gt;0,"保留",IF(COUNTIFS(請求記録!$B$6:$B$3005,$A302,請求記録!$Z$6:$Z$3005,U$5)=0,"",SUMIFS(請求記録!$AE$6:$AE$3005,請求記録!$B$6:$B$3005,$A302,請求記録!$Z$6:$Z$3005,U$5))))</f>
        <v/>
      </c>
      <c r="V302" s="19">
        <f>IF($A302="","",IF(COUNTIFS(請求記録!$B$6:$B$3005,$A302,請求記録!$Z$6:$Z$3005,V$5,請求記録!$AF$6:$AF$3005,"保留中")&gt;0,"保留",IF(COUNTIFS(請求記録!$B$6:$B$3005,$A302,請求記録!$Z$6:$Z$3005,V$5)=0,"",SUMIFS(請求記録!$AE$6:$AE$3005,請求記録!$B$6:$B$3005,$A302,請求記録!$Z$6:$Z$3005,V$5))))</f>
        <v/>
      </c>
      <c r="W302" s="19">
        <f>IF($A302="","",IF(COUNTIFS(請求記録!$B$6:$B$3005,$A302,請求記録!$Z$6:$Z$3005,W$5,請求記録!$AF$6:$AF$3005,"保留中")&gt;0,"保留",IF(COUNTIFS(請求記録!$B$6:$B$3005,$A302,請求記録!$Z$6:$Z$3005,W$5)=0,"",SUMIFS(請求記録!$AE$6:$AE$3005,請求記録!$B$6:$B$3005,$A302,請求記録!$Z$6:$Z$3005,W$5))))</f>
        <v/>
      </c>
      <c r="X302" s="19">
        <f>IF($A302="","",IF(COUNTIFS(請求記録!$B$6:$B$3005,$A302,請求記録!$Z$6:$Z$3005,X$5,請求記録!$AF$6:$AF$3005,"保留中")&gt;0,"保留",IF(COUNTIFS(請求記録!$B$6:$B$3005,$A302,請求記録!$Z$6:$Z$3005,X$5)=0,"",SUMIFS(請求記録!$AE$6:$AE$3005,請求記録!$B$6:$B$3005,$A302,請求記録!$Z$6:$Z$3005,X$5))))</f>
        <v/>
      </c>
      <c r="Y302" s="19">
        <f>IF($A302="","",IF(COUNTIFS(請求記録!$B$6:$B$3005,$A302,請求記録!$Z$6:$Z$3005,Y$5,請求記録!$AF$6:$AF$3005,"保留中")&gt;0,"保留",IF(COUNTIFS(請求記録!$B$6:$B$3005,$A302,請求記録!$Z$6:$Z$3005,Y$5)=0,"",SUMIFS(請求記録!$AE$6:$AE$3005,請求記録!$B$6:$B$3005,$A302,請求記録!$Z$6:$Z$3005,Y$5))))</f>
        <v/>
      </c>
      <c r="Z302" s="19">
        <f>IF($A302="","",IF(COUNTIFS(請求記録!$B$6:$B$3005,$A302,請求記録!$Z$6:$Z$3005,Z$5,請求記録!$AF$6:$AF$3005,"保留中")&gt;0,"保留",IF(COUNTIFS(請求記録!$B$6:$B$3005,$A302,請求記録!$Z$6:$Z$3005,Z$5)=0,"",SUMIFS(請求記録!$AE$6:$AE$3005,請求記録!$B$6:$B$3005,$A302,請求記録!$Z$6:$Z$3005,Z$5))))</f>
        <v/>
      </c>
      <c r="AA302" s="19">
        <f>IF($A302="","",IF(COUNTIFS(請求記録!$B$6:$B$3005,$A302,請求記録!$Z$6:$Z$3005,AA$5,請求記録!$AF$6:$AF$3005,"保留中")&gt;0,"保留",IF(COUNTIFS(請求記録!$B$6:$B$3005,$A302,請求記録!$Z$6:$Z$3005,AA$5)=0,"",SUMIFS(請求記録!$AE$6:$AE$3005,請求記録!$B$6:$B$3005,$A302,請求記録!$Z$6:$Z$3005,AA$5))))</f>
        <v/>
      </c>
      <c r="AB302">
        <f>IF(職員マスタ!P302="保留中",職員マスタ!M302,"")</f>
        <v/>
      </c>
    </row>
    <row r="303">
      <c r="A303">
        <f>IF(職員マスタ!A303="","",職員マスタ!A303)</f>
        <v/>
      </c>
      <c r="B303">
        <f>IF($A303="","",職員マスタ!B303)</f>
        <v/>
      </c>
      <c r="C303">
        <f>IF($A303="","",職員マスタ!C303)</f>
        <v/>
      </c>
      <c r="D303" s="19">
        <f>IF($A303="","",IF(COUNTIFS(請求記録!$B$6:$B$3005,$A303,請求記録!$Z$6:$Z$3005,D$5,請求記録!$AF$6:$AF$3005,"保留中")&gt;0,"保留",IF(COUNTIFS(請求記録!$B$6:$B$3005,$A303,請求記録!$Z$6:$Z$3005,D$5)=0,"",SUMIFS(請求記録!$AE$6:$AE$3005,請求記録!$B$6:$B$3005,$A303,請求記録!$Z$6:$Z$3005,D$5))))</f>
        <v/>
      </c>
      <c r="E303" s="19">
        <f>IF($A303="","",IF(COUNTIFS(請求記録!$B$6:$B$3005,$A303,請求記録!$Z$6:$Z$3005,E$5,請求記録!$AF$6:$AF$3005,"保留中")&gt;0,"保留",IF(COUNTIFS(請求記録!$B$6:$B$3005,$A303,請求記録!$Z$6:$Z$3005,E$5)=0,"",SUMIFS(請求記録!$AE$6:$AE$3005,請求記録!$B$6:$B$3005,$A303,請求記録!$Z$6:$Z$3005,E$5))))</f>
        <v/>
      </c>
      <c r="F303" s="19">
        <f>IF($A303="","",IF(COUNTIFS(請求記録!$B$6:$B$3005,$A303,請求記録!$Z$6:$Z$3005,F$5,請求記録!$AF$6:$AF$3005,"保留中")&gt;0,"保留",IF(COUNTIFS(請求記録!$B$6:$B$3005,$A303,請求記録!$Z$6:$Z$3005,F$5)=0,"",SUMIFS(請求記録!$AE$6:$AE$3005,請求記録!$B$6:$B$3005,$A303,請求記録!$Z$6:$Z$3005,F$5))))</f>
        <v/>
      </c>
      <c r="G303" s="19">
        <f>IF($A303="","",IF(COUNTIFS(請求記録!$B$6:$B$3005,$A303,請求記録!$Z$6:$Z$3005,G$5,請求記録!$AF$6:$AF$3005,"保留中")&gt;0,"保留",IF(COUNTIFS(請求記録!$B$6:$B$3005,$A303,請求記録!$Z$6:$Z$3005,G$5)=0,"",SUMIFS(請求記録!$AE$6:$AE$3005,請求記録!$B$6:$B$3005,$A303,請求記録!$Z$6:$Z$3005,G$5))))</f>
        <v/>
      </c>
      <c r="H303" s="19">
        <f>IF($A303="","",IF(COUNTIFS(請求記録!$B$6:$B$3005,$A303,請求記録!$Z$6:$Z$3005,H$5,請求記録!$AF$6:$AF$3005,"保留中")&gt;0,"保留",IF(COUNTIFS(請求記録!$B$6:$B$3005,$A303,請求記録!$Z$6:$Z$3005,H$5)=0,"",SUMIFS(請求記録!$AE$6:$AE$3005,請求記録!$B$6:$B$3005,$A303,請求記録!$Z$6:$Z$3005,H$5))))</f>
        <v/>
      </c>
      <c r="I303" s="19">
        <f>IF($A303="","",IF(COUNTIFS(請求記録!$B$6:$B$3005,$A303,請求記録!$Z$6:$Z$3005,I$5,請求記録!$AF$6:$AF$3005,"保留中")&gt;0,"保留",IF(COUNTIFS(請求記録!$B$6:$B$3005,$A303,請求記録!$Z$6:$Z$3005,I$5)=0,"",SUMIFS(請求記録!$AE$6:$AE$3005,請求記録!$B$6:$B$3005,$A303,請求記録!$Z$6:$Z$3005,I$5))))</f>
        <v/>
      </c>
      <c r="J303" s="19">
        <f>IF($A303="","",IF(COUNTIFS(請求記録!$B$6:$B$3005,$A303,請求記録!$Z$6:$Z$3005,J$5,請求記録!$AF$6:$AF$3005,"保留中")&gt;0,"保留",IF(COUNTIFS(請求記録!$B$6:$B$3005,$A303,請求記録!$Z$6:$Z$3005,J$5)=0,"",SUMIFS(請求記録!$AE$6:$AE$3005,請求記録!$B$6:$B$3005,$A303,請求記録!$Z$6:$Z$3005,J$5))))</f>
        <v/>
      </c>
      <c r="K303" s="19">
        <f>IF($A303="","",IF(COUNTIFS(請求記録!$B$6:$B$3005,$A303,請求記録!$Z$6:$Z$3005,K$5,請求記録!$AF$6:$AF$3005,"保留中")&gt;0,"保留",IF(COUNTIFS(請求記録!$B$6:$B$3005,$A303,請求記録!$Z$6:$Z$3005,K$5)=0,"",SUMIFS(請求記録!$AE$6:$AE$3005,請求記録!$B$6:$B$3005,$A303,請求記録!$Z$6:$Z$3005,K$5))))</f>
        <v/>
      </c>
      <c r="L303" s="19">
        <f>IF($A303="","",IF(COUNTIFS(請求記録!$B$6:$B$3005,$A303,請求記録!$Z$6:$Z$3005,L$5,請求記録!$AF$6:$AF$3005,"保留中")&gt;0,"保留",IF(COUNTIFS(請求記録!$B$6:$B$3005,$A303,請求記録!$Z$6:$Z$3005,L$5)=0,"",SUMIFS(請求記録!$AE$6:$AE$3005,請求記録!$B$6:$B$3005,$A303,請求記録!$Z$6:$Z$3005,L$5))))</f>
        <v/>
      </c>
      <c r="M303" s="19">
        <f>IF($A303="","",IF(COUNTIFS(請求記録!$B$6:$B$3005,$A303,請求記録!$Z$6:$Z$3005,M$5,請求記録!$AF$6:$AF$3005,"保留中")&gt;0,"保留",IF(COUNTIFS(請求記録!$B$6:$B$3005,$A303,請求記録!$Z$6:$Z$3005,M$5)=0,"",SUMIFS(請求記録!$AE$6:$AE$3005,請求記録!$B$6:$B$3005,$A303,請求記録!$Z$6:$Z$3005,M$5))))</f>
        <v/>
      </c>
      <c r="N303" s="19">
        <f>IF($A303="","",IF(COUNTIFS(請求記録!$B$6:$B$3005,$A303,請求記録!$Z$6:$Z$3005,N$5,請求記録!$AF$6:$AF$3005,"保留中")&gt;0,"保留",IF(COUNTIFS(請求記録!$B$6:$B$3005,$A303,請求記録!$Z$6:$Z$3005,N$5)=0,"",SUMIFS(請求記録!$AE$6:$AE$3005,請求記録!$B$6:$B$3005,$A303,請求記録!$Z$6:$Z$3005,N$5))))</f>
        <v/>
      </c>
      <c r="O303" s="19">
        <f>IF($A303="","",IF(COUNTIFS(請求記録!$B$6:$B$3005,$A303,請求記録!$Z$6:$Z$3005,O$5,請求記録!$AF$6:$AF$3005,"保留中")&gt;0,"保留",IF(COUNTIFS(請求記録!$B$6:$B$3005,$A303,請求記録!$Z$6:$Z$3005,O$5)=0,"",SUMIFS(請求記録!$AE$6:$AE$3005,請求記録!$B$6:$B$3005,$A303,請求記録!$Z$6:$Z$3005,O$5))))</f>
        <v/>
      </c>
      <c r="P303" s="19">
        <f>IF($A303="","",IF(COUNTIFS(請求記録!$B$6:$B$3005,$A303,請求記録!$Z$6:$Z$3005,P$5,請求記録!$AF$6:$AF$3005,"保留中")&gt;0,"保留",IF(COUNTIFS(請求記録!$B$6:$B$3005,$A303,請求記録!$Z$6:$Z$3005,P$5)=0,"",SUMIFS(請求記録!$AE$6:$AE$3005,請求記録!$B$6:$B$3005,$A303,請求記録!$Z$6:$Z$3005,P$5))))</f>
        <v/>
      </c>
      <c r="Q303" s="19">
        <f>IF($A303="","",IF(COUNTIFS(請求記録!$B$6:$B$3005,$A303,請求記録!$Z$6:$Z$3005,Q$5,請求記録!$AF$6:$AF$3005,"保留中")&gt;0,"保留",IF(COUNTIFS(請求記録!$B$6:$B$3005,$A303,請求記録!$Z$6:$Z$3005,Q$5)=0,"",SUMIFS(請求記録!$AE$6:$AE$3005,請求記録!$B$6:$B$3005,$A303,請求記録!$Z$6:$Z$3005,Q$5))))</f>
        <v/>
      </c>
      <c r="R303" s="19">
        <f>IF($A303="","",IF(COUNTIFS(請求記録!$B$6:$B$3005,$A303,請求記録!$Z$6:$Z$3005,R$5,請求記録!$AF$6:$AF$3005,"保留中")&gt;0,"保留",IF(COUNTIFS(請求記録!$B$6:$B$3005,$A303,請求記録!$Z$6:$Z$3005,R$5)=0,"",SUMIFS(請求記録!$AE$6:$AE$3005,請求記録!$B$6:$B$3005,$A303,請求記録!$Z$6:$Z$3005,R$5))))</f>
        <v/>
      </c>
      <c r="S303" s="19">
        <f>IF($A303="","",IF(COUNTIFS(請求記録!$B$6:$B$3005,$A303,請求記録!$Z$6:$Z$3005,S$5,請求記録!$AF$6:$AF$3005,"保留中")&gt;0,"保留",IF(COUNTIFS(請求記録!$B$6:$B$3005,$A303,請求記録!$Z$6:$Z$3005,S$5)=0,"",SUMIFS(請求記録!$AE$6:$AE$3005,請求記録!$B$6:$B$3005,$A303,請求記録!$Z$6:$Z$3005,S$5))))</f>
        <v/>
      </c>
      <c r="T303" s="19">
        <f>IF($A303="","",IF(COUNTIFS(請求記録!$B$6:$B$3005,$A303,請求記録!$Z$6:$Z$3005,T$5,請求記録!$AF$6:$AF$3005,"保留中")&gt;0,"保留",IF(COUNTIFS(請求記録!$B$6:$B$3005,$A303,請求記録!$Z$6:$Z$3005,T$5)=0,"",SUMIFS(請求記録!$AE$6:$AE$3005,請求記録!$B$6:$B$3005,$A303,請求記録!$Z$6:$Z$3005,T$5))))</f>
        <v/>
      </c>
      <c r="U303" s="19">
        <f>IF($A303="","",IF(COUNTIFS(請求記録!$B$6:$B$3005,$A303,請求記録!$Z$6:$Z$3005,U$5,請求記録!$AF$6:$AF$3005,"保留中")&gt;0,"保留",IF(COUNTIFS(請求記録!$B$6:$B$3005,$A303,請求記録!$Z$6:$Z$3005,U$5)=0,"",SUMIFS(請求記録!$AE$6:$AE$3005,請求記録!$B$6:$B$3005,$A303,請求記録!$Z$6:$Z$3005,U$5))))</f>
        <v/>
      </c>
      <c r="V303" s="19">
        <f>IF($A303="","",IF(COUNTIFS(請求記録!$B$6:$B$3005,$A303,請求記録!$Z$6:$Z$3005,V$5,請求記録!$AF$6:$AF$3005,"保留中")&gt;0,"保留",IF(COUNTIFS(請求記録!$B$6:$B$3005,$A303,請求記録!$Z$6:$Z$3005,V$5)=0,"",SUMIFS(請求記録!$AE$6:$AE$3005,請求記録!$B$6:$B$3005,$A303,請求記録!$Z$6:$Z$3005,V$5))))</f>
        <v/>
      </c>
      <c r="W303" s="19">
        <f>IF($A303="","",IF(COUNTIFS(請求記録!$B$6:$B$3005,$A303,請求記録!$Z$6:$Z$3005,W$5,請求記録!$AF$6:$AF$3005,"保留中")&gt;0,"保留",IF(COUNTIFS(請求記録!$B$6:$B$3005,$A303,請求記録!$Z$6:$Z$3005,W$5)=0,"",SUMIFS(請求記録!$AE$6:$AE$3005,請求記録!$B$6:$B$3005,$A303,請求記録!$Z$6:$Z$3005,W$5))))</f>
        <v/>
      </c>
      <c r="X303" s="19">
        <f>IF($A303="","",IF(COUNTIFS(請求記録!$B$6:$B$3005,$A303,請求記録!$Z$6:$Z$3005,X$5,請求記録!$AF$6:$AF$3005,"保留中")&gt;0,"保留",IF(COUNTIFS(請求記録!$B$6:$B$3005,$A303,請求記録!$Z$6:$Z$3005,X$5)=0,"",SUMIFS(請求記録!$AE$6:$AE$3005,請求記録!$B$6:$B$3005,$A303,請求記録!$Z$6:$Z$3005,X$5))))</f>
        <v/>
      </c>
      <c r="Y303" s="19">
        <f>IF($A303="","",IF(COUNTIFS(請求記録!$B$6:$B$3005,$A303,請求記録!$Z$6:$Z$3005,Y$5,請求記録!$AF$6:$AF$3005,"保留中")&gt;0,"保留",IF(COUNTIFS(請求記録!$B$6:$B$3005,$A303,請求記録!$Z$6:$Z$3005,Y$5)=0,"",SUMIFS(請求記録!$AE$6:$AE$3005,請求記録!$B$6:$B$3005,$A303,請求記録!$Z$6:$Z$3005,Y$5))))</f>
        <v/>
      </c>
      <c r="Z303" s="19">
        <f>IF($A303="","",IF(COUNTIFS(請求記録!$B$6:$B$3005,$A303,請求記録!$Z$6:$Z$3005,Z$5,請求記録!$AF$6:$AF$3005,"保留中")&gt;0,"保留",IF(COUNTIFS(請求記録!$B$6:$B$3005,$A303,請求記録!$Z$6:$Z$3005,Z$5)=0,"",SUMIFS(請求記録!$AE$6:$AE$3005,請求記録!$B$6:$B$3005,$A303,請求記録!$Z$6:$Z$3005,Z$5))))</f>
        <v/>
      </c>
      <c r="AA303" s="19">
        <f>IF($A303="","",IF(COUNTIFS(請求記録!$B$6:$B$3005,$A303,請求記録!$Z$6:$Z$3005,AA$5,請求記録!$AF$6:$AF$3005,"保留中")&gt;0,"保留",IF(COUNTIFS(請求記録!$B$6:$B$3005,$A303,請求記録!$Z$6:$Z$3005,AA$5)=0,"",SUMIFS(請求記録!$AE$6:$AE$3005,請求記録!$B$6:$B$3005,$A303,請求記録!$Z$6:$Z$3005,AA$5))))</f>
        <v/>
      </c>
      <c r="AB303">
        <f>IF(職員マスタ!P303="保留中",職員マスタ!M303,"")</f>
        <v/>
      </c>
    </row>
    <row r="304">
      <c r="A304">
        <f>IF(職員マスタ!A304="","",職員マスタ!A304)</f>
        <v/>
      </c>
      <c r="B304">
        <f>IF($A304="","",職員マスタ!B304)</f>
        <v/>
      </c>
      <c r="C304">
        <f>IF($A304="","",職員マスタ!C304)</f>
        <v/>
      </c>
      <c r="D304" s="19">
        <f>IF($A304="","",IF(COUNTIFS(請求記録!$B$6:$B$3005,$A304,請求記録!$Z$6:$Z$3005,D$5,請求記録!$AF$6:$AF$3005,"保留中")&gt;0,"保留",IF(COUNTIFS(請求記録!$B$6:$B$3005,$A304,請求記録!$Z$6:$Z$3005,D$5)=0,"",SUMIFS(請求記録!$AE$6:$AE$3005,請求記録!$B$6:$B$3005,$A304,請求記録!$Z$6:$Z$3005,D$5))))</f>
        <v/>
      </c>
      <c r="E304" s="19">
        <f>IF($A304="","",IF(COUNTIFS(請求記録!$B$6:$B$3005,$A304,請求記録!$Z$6:$Z$3005,E$5,請求記録!$AF$6:$AF$3005,"保留中")&gt;0,"保留",IF(COUNTIFS(請求記録!$B$6:$B$3005,$A304,請求記録!$Z$6:$Z$3005,E$5)=0,"",SUMIFS(請求記録!$AE$6:$AE$3005,請求記録!$B$6:$B$3005,$A304,請求記録!$Z$6:$Z$3005,E$5))))</f>
        <v/>
      </c>
      <c r="F304" s="19">
        <f>IF($A304="","",IF(COUNTIFS(請求記録!$B$6:$B$3005,$A304,請求記録!$Z$6:$Z$3005,F$5,請求記録!$AF$6:$AF$3005,"保留中")&gt;0,"保留",IF(COUNTIFS(請求記録!$B$6:$B$3005,$A304,請求記録!$Z$6:$Z$3005,F$5)=0,"",SUMIFS(請求記録!$AE$6:$AE$3005,請求記録!$B$6:$B$3005,$A304,請求記録!$Z$6:$Z$3005,F$5))))</f>
        <v/>
      </c>
      <c r="G304" s="19">
        <f>IF($A304="","",IF(COUNTIFS(請求記録!$B$6:$B$3005,$A304,請求記録!$Z$6:$Z$3005,G$5,請求記録!$AF$6:$AF$3005,"保留中")&gt;0,"保留",IF(COUNTIFS(請求記録!$B$6:$B$3005,$A304,請求記録!$Z$6:$Z$3005,G$5)=0,"",SUMIFS(請求記録!$AE$6:$AE$3005,請求記録!$B$6:$B$3005,$A304,請求記録!$Z$6:$Z$3005,G$5))))</f>
        <v/>
      </c>
      <c r="H304" s="19">
        <f>IF($A304="","",IF(COUNTIFS(請求記録!$B$6:$B$3005,$A304,請求記録!$Z$6:$Z$3005,H$5,請求記録!$AF$6:$AF$3005,"保留中")&gt;0,"保留",IF(COUNTIFS(請求記録!$B$6:$B$3005,$A304,請求記録!$Z$6:$Z$3005,H$5)=0,"",SUMIFS(請求記録!$AE$6:$AE$3005,請求記録!$B$6:$B$3005,$A304,請求記録!$Z$6:$Z$3005,H$5))))</f>
        <v/>
      </c>
      <c r="I304" s="19">
        <f>IF($A304="","",IF(COUNTIFS(請求記録!$B$6:$B$3005,$A304,請求記録!$Z$6:$Z$3005,I$5,請求記録!$AF$6:$AF$3005,"保留中")&gt;0,"保留",IF(COUNTIFS(請求記録!$B$6:$B$3005,$A304,請求記録!$Z$6:$Z$3005,I$5)=0,"",SUMIFS(請求記録!$AE$6:$AE$3005,請求記録!$B$6:$B$3005,$A304,請求記録!$Z$6:$Z$3005,I$5))))</f>
        <v/>
      </c>
      <c r="J304" s="19">
        <f>IF($A304="","",IF(COUNTIFS(請求記録!$B$6:$B$3005,$A304,請求記録!$Z$6:$Z$3005,J$5,請求記録!$AF$6:$AF$3005,"保留中")&gt;0,"保留",IF(COUNTIFS(請求記録!$B$6:$B$3005,$A304,請求記録!$Z$6:$Z$3005,J$5)=0,"",SUMIFS(請求記録!$AE$6:$AE$3005,請求記録!$B$6:$B$3005,$A304,請求記録!$Z$6:$Z$3005,J$5))))</f>
        <v/>
      </c>
      <c r="K304" s="19">
        <f>IF($A304="","",IF(COUNTIFS(請求記録!$B$6:$B$3005,$A304,請求記録!$Z$6:$Z$3005,K$5,請求記録!$AF$6:$AF$3005,"保留中")&gt;0,"保留",IF(COUNTIFS(請求記録!$B$6:$B$3005,$A304,請求記録!$Z$6:$Z$3005,K$5)=0,"",SUMIFS(請求記録!$AE$6:$AE$3005,請求記録!$B$6:$B$3005,$A304,請求記録!$Z$6:$Z$3005,K$5))))</f>
        <v/>
      </c>
      <c r="L304" s="19">
        <f>IF($A304="","",IF(COUNTIFS(請求記録!$B$6:$B$3005,$A304,請求記録!$Z$6:$Z$3005,L$5,請求記録!$AF$6:$AF$3005,"保留中")&gt;0,"保留",IF(COUNTIFS(請求記録!$B$6:$B$3005,$A304,請求記録!$Z$6:$Z$3005,L$5)=0,"",SUMIFS(請求記録!$AE$6:$AE$3005,請求記録!$B$6:$B$3005,$A304,請求記録!$Z$6:$Z$3005,L$5))))</f>
        <v/>
      </c>
      <c r="M304" s="19">
        <f>IF($A304="","",IF(COUNTIFS(請求記録!$B$6:$B$3005,$A304,請求記録!$Z$6:$Z$3005,M$5,請求記録!$AF$6:$AF$3005,"保留中")&gt;0,"保留",IF(COUNTIFS(請求記録!$B$6:$B$3005,$A304,請求記録!$Z$6:$Z$3005,M$5)=0,"",SUMIFS(請求記録!$AE$6:$AE$3005,請求記録!$B$6:$B$3005,$A304,請求記録!$Z$6:$Z$3005,M$5))))</f>
        <v/>
      </c>
      <c r="N304" s="19">
        <f>IF($A304="","",IF(COUNTIFS(請求記録!$B$6:$B$3005,$A304,請求記録!$Z$6:$Z$3005,N$5,請求記録!$AF$6:$AF$3005,"保留中")&gt;0,"保留",IF(COUNTIFS(請求記録!$B$6:$B$3005,$A304,請求記録!$Z$6:$Z$3005,N$5)=0,"",SUMIFS(請求記録!$AE$6:$AE$3005,請求記録!$B$6:$B$3005,$A304,請求記録!$Z$6:$Z$3005,N$5))))</f>
        <v/>
      </c>
      <c r="O304" s="19">
        <f>IF($A304="","",IF(COUNTIFS(請求記録!$B$6:$B$3005,$A304,請求記録!$Z$6:$Z$3005,O$5,請求記録!$AF$6:$AF$3005,"保留中")&gt;0,"保留",IF(COUNTIFS(請求記録!$B$6:$B$3005,$A304,請求記録!$Z$6:$Z$3005,O$5)=0,"",SUMIFS(請求記録!$AE$6:$AE$3005,請求記録!$B$6:$B$3005,$A304,請求記録!$Z$6:$Z$3005,O$5))))</f>
        <v/>
      </c>
      <c r="P304" s="19">
        <f>IF($A304="","",IF(COUNTIFS(請求記録!$B$6:$B$3005,$A304,請求記録!$Z$6:$Z$3005,P$5,請求記録!$AF$6:$AF$3005,"保留中")&gt;0,"保留",IF(COUNTIFS(請求記録!$B$6:$B$3005,$A304,請求記録!$Z$6:$Z$3005,P$5)=0,"",SUMIFS(請求記録!$AE$6:$AE$3005,請求記録!$B$6:$B$3005,$A304,請求記録!$Z$6:$Z$3005,P$5))))</f>
        <v/>
      </c>
      <c r="Q304" s="19">
        <f>IF($A304="","",IF(COUNTIFS(請求記録!$B$6:$B$3005,$A304,請求記録!$Z$6:$Z$3005,Q$5,請求記録!$AF$6:$AF$3005,"保留中")&gt;0,"保留",IF(COUNTIFS(請求記録!$B$6:$B$3005,$A304,請求記録!$Z$6:$Z$3005,Q$5)=0,"",SUMIFS(請求記録!$AE$6:$AE$3005,請求記録!$B$6:$B$3005,$A304,請求記録!$Z$6:$Z$3005,Q$5))))</f>
        <v/>
      </c>
      <c r="R304" s="19">
        <f>IF($A304="","",IF(COUNTIFS(請求記録!$B$6:$B$3005,$A304,請求記録!$Z$6:$Z$3005,R$5,請求記録!$AF$6:$AF$3005,"保留中")&gt;0,"保留",IF(COUNTIFS(請求記録!$B$6:$B$3005,$A304,請求記録!$Z$6:$Z$3005,R$5)=0,"",SUMIFS(請求記録!$AE$6:$AE$3005,請求記録!$B$6:$B$3005,$A304,請求記録!$Z$6:$Z$3005,R$5))))</f>
        <v/>
      </c>
      <c r="S304" s="19">
        <f>IF($A304="","",IF(COUNTIFS(請求記録!$B$6:$B$3005,$A304,請求記録!$Z$6:$Z$3005,S$5,請求記録!$AF$6:$AF$3005,"保留中")&gt;0,"保留",IF(COUNTIFS(請求記録!$B$6:$B$3005,$A304,請求記録!$Z$6:$Z$3005,S$5)=0,"",SUMIFS(請求記録!$AE$6:$AE$3005,請求記録!$B$6:$B$3005,$A304,請求記録!$Z$6:$Z$3005,S$5))))</f>
        <v/>
      </c>
      <c r="T304" s="19">
        <f>IF($A304="","",IF(COUNTIFS(請求記録!$B$6:$B$3005,$A304,請求記録!$Z$6:$Z$3005,T$5,請求記録!$AF$6:$AF$3005,"保留中")&gt;0,"保留",IF(COUNTIFS(請求記録!$B$6:$B$3005,$A304,請求記録!$Z$6:$Z$3005,T$5)=0,"",SUMIFS(請求記録!$AE$6:$AE$3005,請求記録!$B$6:$B$3005,$A304,請求記録!$Z$6:$Z$3005,T$5))))</f>
        <v/>
      </c>
      <c r="U304" s="19">
        <f>IF($A304="","",IF(COUNTIFS(請求記録!$B$6:$B$3005,$A304,請求記録!$Z$6:$Z$3005,U$5,請求記録!$AF$6:$AF$3005,"保留中")&gt;0,"保留",IF(COUNTIFS(請求記録!$B$6:$B$3005,$A304,請求記録!$Z$6:$Z$3005,U$5)=0,"",SUMIFS(請求記録!$AE$6:$AE$3005,請求記録!$B$6:$B$3005,$A304,請求記録!$Z$6:$Z$3005,U$5))))</f>
        <v/>
      </c>
      <c r="V304" s="19">
        <f>IF($A304="","",IF(COUNTIFS(請求記録!$B$6:$B$3005,$A304,請求記録!$Z$6:$Z$3005,V$5,請求記録!$AF$6:$AF$3005,"保留中")&gt;0,"保留",IF(COUNTIFS(請求記録!$B$6:$B$3005,$A304,請求記録!$Z$6:$Z$3005,V$5)=0,"",SUMIFS(請求記録!$AE$6:$AE$3005,請求記録!$B$6:$B$3005,$A304,請求記録!$Z$6:$Z$3005,V$5))))</f>
        <v/>
      </c>
      <c r="W304" s="19">
        <f>IF($A304="","",IF(COUNTIFS(請求記録!$B$6:$B$3005,$A304,請求記録!$Z$6:$Z$3005,W$5,請求記録!$AF$6:$AF$3005,"保留中")&gt;0,"保留",IF(COUNTIFS(請求記録!$B$6:$B$3005,$A304,請求記録!$Z$6:$Z$3005,W$5)=0,"",SUMIFS(請求記録!$AE$6:$AE$3005,請求記録!$B$6:$B$3005,$A304,請求記録!$Z$6:$Z$3005,W$5))))</f>
        <v/>
      </c>
      <c r="X304" s="19">
        <f>IF($A304="","",IF(COUNTIFS(請求記録!$B$6:$B$3005,$A304,請求記録!$Z$6:$Z$3005,X$5,請求記録!$AF$6:$AF$3005,"保留中")&gt;0,"保留",IF(COUNTIFS(請求記録!$B$6:$B$3005,$A304,請求記録!$Z$6:$Z$3005,X$5)=0,"",SUMIFS(請求記録!$AE$6:$AE$3005,請求記録!$B$6:$B$3005,$A304,請求記録!$Z$6:$Z$3005,X$5))))</f>
        <v/>
      </c>
      <c r="Y304" s="19">
        <f>IF($A304="","",IF(COUNTIFS(請求記録!$B$6:$B$3005,$A304,請求記録!$Z$6:$Z$3005,Y$5,請求記録!$AF$6:$AF$3005,"保留中")&gt;0,"保留",IF(COUNTIFS(請求記録!$B$6:$B$3005,$A304,請求記録!$Z$6:$Z$3005,Y$5)=0,"",SUMIFS(請求記録!$AE$6:$AE$3005,請求記録!$B$6:$B$3005,$A304,請求記録!$Z$6:$Z$3005,Y$5))))</f>
        <v/>
      </c>
      <c r="Z304" s="19">
        <f>IF($A304="","",IF(COUNTIFS(請求記録!$B$6:$B$3005,$A304,請求記録!$Z$6:$Z$3005,Z$5,請求記録!$AF$6:$AF$3005,"保留中")&gt;0,"保留",IF(COUNTIFS(請求記録!$B$6:$B$3005,$A304,請求記録!$Z$6:$Z$3005,Z$5)=0,"",SUMIFS(請求記録!$AE$6:$AE$3005,請求記録!$B$6:$B$3005,$A304,請求記録!$Z$6:$Z$3005,Z$5))))</f>
        <v/>
      </c>
      <c r="AA304" s="19">
        <f>IF($A304="","",IF(COUNTIFS(請求記録!$B$6:$B$3005,$A304,請求記録!$Z$6:$Z$3005,AA$5,請求記録!$AF$6:$AF$3005,"保留中")&gt;0,"保留",IF(COUNTIFS(請求記録!$B$6:$B$3005,$A304,請求記録!$Z$6:$Z$3005,AA$5)=0,"",SUMIFS(請求記録!$AE$6:$AE$3005,請求記録!$B$6:$B$3005,$A304,請求記録!$Z$6:$Z$3005,AA$5))))</f>
        <v/>
      </c>
      <c r="AB304">
        <f>IF(職員マスタ!P304="保留中",職員マスタ!M304,"")</f>
        <v/>
      </c>
    </row>
    <row r="305">
      <c r="A305">
        <f>IF(職員マスタ!A305="","",職員マスタ!A305)</f>
        <v/>
      </c>
      <c r="B305">
        <f>IF($A305="","",職員マスタ!B305)</f>
        <v/>
      </c>
      <c r="C305">
        <f>IF($A305="","",職員マスタ!C305)</f>
        <v/>
      </c>
      <c r="D305" s="19">
        <f>IF($A305="","",IF(COUNTIFS(請求記録!$B$6:$B$3005,$A305,請求記録!$Z$6:$Z$3005,D$5,請求記録!$AF$6:$AF$3005,"保留中")&gt;0,"保留",IF(COUNTIFS(請求記録!$B$6:$B$3005,$A305,請求記録!$Z$6:$Z$3005,D$5)=0,"",SUMIFS(請求記録!$AE$6:$AE$3005,請求記録!$B$6:$B$3005,$A305,請求記録!$Z$6:$Z$3005,D$5))))</f>
        <v/>
      </c>
      <c r="E305" s="19">
        <f>IF($A305="","",IF(COUNTIFS(請求記録!$B$6:$B$3005,$A305,請求記録!$Z$6:$Z$3005,E$5,請求記録!$AF$6:$AF$3005,"保留中")&gt;0,"保留",IF(COUNTIFS(請求記録!$B$6:$B$3005,$A305,請求記録!$Z$6:$Z$3005,E$5)=0,"",SUMIFS(請求記録!$AE$6:$AE$3005,請求記録!$B$6:$B$3005,$A305,請求記録!$Z$6:$Z$3005,E$5))))</f>
        <v/>
      </c>
      <c r="F305" s="19">
        <f>IF($A305="","",IF(COUNTIFS(請求記録!$B$6:$B$3005,$A305,請求記録!$Z$6:$Z$3005,F$5,請求記録!$AF$6:$AF$3005,"保留中")&gt;0,"保留",IF(COUNTIFS(請求記録!$B$6:$B$3005,$A305,請求記録!$Z$6:$Z$3005,F$5)=0,"",SUMIFS(請求記録!$AE$6:$AE$3005,請求記録!$B$6:$B$3005,$A305,請求記録!$Z$6:$Z$3005,F$5))))</f>
        <v/>
      </c>
      <c r="G305" s="19">
        <f>IF($A305="","",IF(COUNTIFS(請求記録!$B$6:$B$3005,$A305,請求記録!$Z$6:$Z$3005,G$5,請求記録!$AF$6:$AF$3005,"保留中")&gt;0,"保留",IF(COUNTIFS(請求記録!$B$6:$B$3005,$A305,請求記録!$Z$6:$Z$3005,G$5)=0,"",SUMIFS(請求記録!$AE$6:$AE$3005,請求記録!$B$6:$B$3005,$A305,請求記録!$Z$6:$Z$3005,G$5))))</f>
        <v/>
      </c>
      <c r="H305" s="19">
        <f>IF($A305="","",IF(COUNTIFS(請求記録!$B$6:$B$3005,$A305,請求記録!$Z$6:$Z$3005,H$5,請求記録!$AF$6:$AF$3005,"保留中")&gt;0,"保留",IF(COUNTIFS(請求記録!$B$6:$B$3005,$A305,請求記録!$Z$6:$Z$3005,H$5)=0,"",SUMIFS(請求記録!$AE$6:$AE$3005,請求記録!$B$6:$B$3005,$A305,請求記録!$Z$6:$Z$3005,H$5))))</f>
        <v/>
      </c>
      <c r="I305" s="19">
        <f>IF($A305="","",IF(COUNTIFS(請求記録!$B$6:$B$3005,$A305,請求記録!$Z$6:$Z$3005,I$5,請求記録!$AF$6:$AF$3005,"保留中")&gt;0,"保留",IF(COUNTIFS(請求記録!$B$6:$B$3005,$A305,請求記録!$Z$6:$Z$3005,I$5)=0,"",SUMIFS(請求記録!$AE$6:$AE$3005,請求記録!$B$6:$B$3005,$A305,請求記録!$Z$6:$Z$3005,I$5))))</f>
        <v/>
      </c>
      <c r="J305" s="19">
        <f>IF($A305="","",IF(COUNTIFS(請求記録!$B$6:$B$3005,$A305,請求記録!$Z$6:$Z$3005,J$5,請求記録!$AF$6:$AF$3005,"保留中")&gt;0,"保留",IF(COUNTIFS(請求記録!$B$6:$B$3005,$A305,請求記録!$Z$6:$Z$3005,J$5)=0,"",SUMIFS(請求記録!$AE$6:$AE$3005,請求記録!$B$6:$B$3005,$A305,請求記録!$Z$6:$Z$3005,J$5))))</f>
        <v/>
      </c>
      <c r="K305" s="19">
        <f>IF($A305="","",IF(COUNTIFS(請求記録!$B$6:$B$3005,$A305,請求記録!$Z$6:$Z$3005,K$5,請求記録!$AF$6:$AF$3005,"保留中")&gt;0,"保留",IF(COUNTIFS(請求記録!$B$6:$B$3005,$A305,請求記録!$Z$6:$Z$3005,K$5)=0,"",SUMIFS(請求記録!$AE$6:$AE$3005,請求記録!$B$6:$B$3005,$A305,請求記録!$Z$6:$Z$3005,K$5))))</f>
        <v/>
      </c>
      <c r="L305" s="19">
        <f>IF($A305="","",IF(COUNTIFS(請求記録!$B$6:$B$3005,$A305,請求記録!$Z$6:$Z$3005,L$5,請求記録!$AF$6:$AF$3005,"保留中")&gt;0,"保留",IF(COUNTIFS(請求記録!$B$6:$B$3005,$A305,請求記録!$Z$6:$Z$3005,L$5)=0,"",SUMIFS(請求記録!$AE$6:$AE$3005,請求記録!$B$6:$B$3005,$A305,請求記録!$Z$6:$Z$3005,L$5))))</f>
        <v/>
      </c>
      <c r="M305" s="19">
        <f>IF($A305="","",IF(COUNTIFS(請求記録!$B$6:$B$3005,$A305,請求記録!$Z$6:$Z$3005,M$5,請求記録!$AF$6:$AF$3005,"保留中")&gt;0,"保留",IF(COUNTIFS(請求記録!$B$6:$B$3005,$A305,請求記録!$Z$6:$Z$3005,M$5)=0,"",SUMIFS(請求記録!$AE$6:$AE$3005,請求記録!$B$6:$B$3005,$A305,請求記録!$Z$6:$Z$3005,M$5))))</f>
        <v/>
      </c>
      <c r="N305" s="19">
        <f>IF($A305="","",IF(COUNTIFS(請求記録!$B$6:$B$3005,$A305,請求記録!$Z$6:$Z$3005,N$5,請求記録!$AF$6:$AF$3005,"保留中")&gt;0,"保留",IF(COUNTIFS(請求記録!$B$6:$B$3005,$A305,請求記録!$Z$6:$Z$3005,N$5)=0,"",SUMIFS(請求記録!$AE$6:$AE$3005,請求記録!$B$6:$B$3005,$A305,請求記録!$Z$6:$Z$3005,N$5))))</f>
        <v/>
      </c>
      <c r="O305" s="19">
        <f>IF($A305="","",IF(COUNTIFS(請求記録!$B$6:$B$3005,$A305,請求記録!$Z$6:$Z$3005,O$5,請求記録!$AF$6:$AF$3005,"保留中")&gt;0,"保留",IF(COUNTIFS(請求記録!$B$6:$B$3005,$A305,請求記録!$Z$6:$Z$3005,O$5)=0,"",SUMIFS(請求記録!$AE$6:$AE$3005,請求記録!$B$6:$B$3005,$A305,請求記録!$Z$6:$Z$3005,O$5))))</f>
        <v/>
      </c>
      <c r="P305" s="19">
        <f>IF($A305="","",IF(COUNTIFS(請求記録!$B$6:$B$3005,$A305,請求記録!$Z$6:$Z$3005,P$5,請求記録!$AF$6:$AF$3005,"保留中")&gt;0,"保留",IF(COUNTIFS(請求記録!$B$6:$B$3005,$A305,請求記録!$Z$6:$Z$3005,P$5)=0,"",SUMIFS(請求記録!$AE$6:$AE$3005,請求記録!$B$6:$B$3005,$A305,請求記録!$Z$6:$Z$3005,P$5))))</f>
        <v/>
      </c>
      <c r="Q305" s="19">
        <f>IF($A305="","",IF(COUNTIFS(請求記録!$B$6:$B$3005,$A305,請求記録!$Z$6:$Z$3005,Q$5,請求記録!$AF$6:$AF$3005,"保留中")&gt;0,"保留",IF(COUNTIFS(請求記録!$B$6:$B$3005,$A305,請求記録!$Z$6:$Z$3005,Q$5)=0,"",SUMIFS(請求記録!$AE$6:$AE$3005,請求記録!$B$6:$B$3005,$A305,請求記録!$Z$6:$Z$3005,Q$5))))</f>
        <v/>
      </c>
      <c r="R305" s="19">
        <f>IF($A305="","",IF(COUNTIFS(請求記録!$B$6:$B$3005,$A305,請求記録!$Z$6:$Z$3005,R$5,請求記録!$AF$6:$AF$3005,"保留中")&gt;0,"保留",IF(COUNTIFS(請求記録!$B$6:$B$3005,$A305,請求記録!$Z$6:$Z$3005,R$5)=0,"",SUMIFS(請求記録!$AE$6:$AE$3005,請求記録!$B$6:$B$3005,$A305,請求記録!$Z$6:$Z$3005,R$5))))</f>
        <v/>
      </c>
      <c r="S305" s="19">
        <f>IF($A305="","",IF(COUNTIFS(請求記録!$B$6:$B$3005,$A305,請求記録!$Z$6:$Z$3005,S$5,請求記録!$AF$6:$AF$3005,"保留中")&gt;0,"保留",IF(COUNTIFS(請求記録!$B$6:$B$3005,$A305,請求記録!$Z$6:$Z$3005,S$5)=0,"",SUMIFS(請求記録!$AE$6:$AE$3005,請求記録!$B$6:$B$3005,$A305,請求記録!$Z$6:$Z$3005,S$5))))</f>
        <v/>
      </c>
      <c r="T305" s="19">
        <f>IF($A305="","",IF(COUNTIFS(請求記録!$B$6:$B$3005,$A305,請求記録!$Z$6:$Z$3005,T$5,請求記録!$AF$6:$AF$3005,"保留中")&gt;0,"保留",IF(COUNTIFS(請求記録!$B$6:$B$3005,$A305,請求記録!$Z$6:$Z$3005,T$5)=0,"",SUMIFS(請求記録!$AE$6:$AE$3005,請求記録!$B$6:$B$3005,$A305,請求記録!$Z$6:$Z$3005,T$5))))</f>
        <v/>
      </c>
      <c r="U305" s="19">
        <f>IF($A305="","",IF(COUNTIFS(請求記録!$B$6:$B$3005,$A305,請求記録!$Z$6:$Z$3005,U$5,請求記録!$AF$6:$AF$3005,"保留中")&gt;0,"保留",IF(COUNTIFS(請求記録!$B$6:$B$3005,$A305,請求記録!$Z$6:$Z$3005,U$5)=0,"",SUMIFS(請求記録!$AE$6:$AE$3005,請求記録!$B$6:$B$3005,$A305,請求記録!$Z$6:$Z$3005,U$5))))</f>
        <v/>
      </c>
      <c r="V305" s="19">
        <f>IF($A305="","",IF(COUNTIFS(請求記録!$B$6:$B$3005,$A305,請求記録!$Z$6:$Z$3005,V$5,請求記録!$AF$6:$AF$3005,"保留中")&gt;0,"保留",IF(COUNTIFS(請求記録!$B$6:$B$3005,$A305,請求記録!$Z$6:$Z$3005,V$5)=0,"",SUMIFS(請求記録!$AE$6:$AE$3005,請求記録!$B$6:$B$3005,$A305,請求記録!$Z$6:$Z$3005,V$5))))</f>
        <v/>
      </c>
      <c r="W305" s="19">
        <f>IF($A305="","",IF(COUNTIFS(請求記録!$B$6:$B$3005,$A305,請求記録!$Z$6:$Z$3005,W$5,請求記録!$AF$6:$AF$3005,"保留中")&gt;0,"保留",IF(COUNTIFS(請求記録!$B$6:$B$3005,$A305,請求記録!$Z$6:$Z$3005,W$5)=0,"",SUMIFS(請求記録!$AE$6:$AE$3005,請求記録!$B$6:$B$3005,$A305,請求記録!$Z$6:$Z$3005,W$5))))</f>
        <v/>
      </c>
      <c r="X305" s="19">
        <f>IF($A305="","",IF(COUNTIFS(請求記録!$B$6:$B$3005,$A305,請求記録!$Z$6:$Z$3005,X$5,請求記録!$AF$6:$AF$3005,"保留中")&gt;0,"保留",IF(COUNTIFS(請求記録!$B$6:$B$3005,$A305,請求記録!$Z$6:$Z$3005,X$5)=0,"",SUMIFS(請求記録!$AE$6:$AE$3005,請求記録!$B$6:$B$3005,$A305,請求記録!$Z$6:$Z$3005,X$5))))</f>
        <v/>
      </c>
      <c r="Y305" s="19">
        <f>IF($A305="","",IF(COUNTIFS(請求記録!$B$6:$B$3005,$A305,請求記録!$Z$6:$Z$3005,Y$5,請求記録!$AF$6:$AF$3005,"保留中")&gt;0,"保留",IF(COUNTIFS(請求記録!$B$6:$B$3005,$A305,請求記録!$Z$6:$Z$3005,Y$5)=0,"",SUMIFS(請求記録!$AE$6:$AE$3005,請求記録!$B$6:$B$3005,$A305,請求記録!$Z$6:$Z$3005,Y$5))))</f>
        <v/>
      </c>
      <c r="Z305" s="19">
        <f>IF($A305="","",IF(COUNTIFS(請求記録!$B$6:$B$3005,$A305,請求記録!$Z$6:$Z$3005,Z$5,請求記録!$AF$6:$AF$3005,"保留中")&gt;0,"保留",IF(COUNTIFS(請求記録!$B$6:$B$3005,$A305,請求記録!$Z$6:$Z$3005,Z$5)=0,"",SUMIFS(請求記録!$AE$6:$AE$3005,請求記録!$B$6:$B$3005,$A305,請求記録!$Z$6:$Z$3005,Z$5))))</f>
        <v/>
      </c>
      <c r="AA305" s="19">
        <f>IF($A305="","",IF(COUNTIFS(請求記録!$B$6:$B$3005,$A305,請求記録!$Z$6:$Z$3005,AA$5,請求記録!$AF$6:$AF$3005,"保留中")&gt;0,"保留",IF(COUNTIFS(請求記録!$B$6:$B$3005,$A305,請求記録!$Z$6:$Z$3005,AA$5)=0,"",SUMIFS(請求記録!$AE$6:$AE$3005,請求記録!$B$6:$B$3005,$A305,請求記録!$Z$6:$Z$3005,AA$5))))</f>
        <v/>
      </c>
      <c r="AB305">
        <f>IF(職員マスタ!P305="保留中",職員マスタ!M305,"")</f>
        <v/>
      </c>
    </row>
    <row r="306">
      <c r="A306">
        <f>IF(職員マスタ!A306="","",職員マスタ!A306)</f>
        <v/>
      </c>
      <c r="B306">
        <f>IF($A306="","",職員マスタ!B306)</f>
        <v/>
      </c>
      <c r="C306">
        <f>IF($A306="","",職員マスタ!C306)</f>
        <v/>
      </c>
      <c r="D306" s="19">
        <f>IF($A306="","",IF(COUNTIFS(請求記録!$B$6:$B$3005,$A306,請求記録!$Z$6:$Z$3005,D$5,請求記録!$AF$6:$AF$3005,"保留中")&gt;0,"保留",IF(COUNTIFS(請求記録!$B$6:$B$3005,$A306,請求記録!$Z$6:$Z$3005,D$5)=0,"",SUMIFS(請求記録!$AE$6:$AE$3005,請求記録!$B$6:$B$3005,$A306,請求記録!$Z$6:$Z$3005,D$5))))</f>
        <v/>
      </c>
      <c r="E306" s="19">
        <f>IF($A306="","",IF(COUNTIFS(請求記録!$B$6:$B$3005,$A306,請求記録!$Z$6:$Z$3005,E$5,請求記録!$AF$6:$AF$3005,"保留中")&gt;0,"保留",IF(COUNTIFS(請求記録!$B$6:$B$3005,$A306,請求記録!$Z$6:$Z$3005,E$5)=0,"",SUMIFS(請求記録!$AE$6:$AE$3005,請求記録!$B$6:$B$3005,$A306,請求記録!$Z$6:$Z$3005,E$5))))</f>
        <v/>
      </c>
      <c r="F306" s="19">
        <f>IF($A306="","",IF(COUNTIFS(請求記録!$B$6:$B$3005,$A306,請求記録!$Z$6:$Z$3005,F$5,請求記録!$AF$6:$AF$3005,"保留中")&gt;0,"保留",IF(COUNTIFS(請求記録!$B$6:$B$3005,$A306,請求記録!$Z$6:$Z$3005,F$5)=0,"",SUMIFS(請求記録!$AE$6:$AE$3005,請求記録!$B$6:$B$3005,$A306,請求記録!$Z$6:$Z$3005,F$5))))</f>
        <v/>
      </c>
      <c r="G306" s="19">
        <f>IF($A306="","",IF(COUNTIFS(請求記録!$B$6:$B$3005,$A306,請求記録!$Z$6:$Z$3005,G$5,請求記録!$AF$6:$AF$3005,"保留中")&gt;0,"保留",IF(COUNTIFS(請求記録!$B$6:$B$3005,$A306,請求記録!$Z$6:$Z$3005,G$5)=0,"",SUMIFS(請求記録!$AE$6:$AE$3005,請求記録!$B$6:$B$3005,$A306,請求記録!$Z$6:$Z$3005,G$5))))</f>
        <v/>
      </c>
      <c r="H306" s="19">
        <f>IF($A306="","",IF(COUNTIFS(請求記録!$B$6:$B$3005,$A306,請求記録!$Z$6:$Z$3005,H$5,請求記録!$AF$6:$AF$3005,"保留中")&gt;0,"保留",IF(COUNTIFS(請求記録!$B$6:$B$3005,$A306,請求記録!$Z$6:$Z$3005,H$5)=0,"",SUMIFS(請求記録!$AE$6:$AE$3005,請求記録!$B$6:$B$3005,$A306,請求記録!$Z$6:$Z$3005,H$5))))</f>
        <v/>
      </c>
      <c r="I306" s="19">
        <f>IF($A306="","",IF(COUNTIFS(請求記録!$B$6:$B$3005,$A306,請求記録!$Z$6:$Z$3005,I$5,請求記録!$AF$6:$AF$3005,"保留中")&gt;0,"保留",IF(COUNTIFS(請求記録!$B$6:$B$3005,$A306,請求記録!$Z$6:$Z$3005,I$5)=0,"",SUMIFS(請求記録!$AE$6:$AE$3005,請求記録!$B$6:$B$3005,$A306,請求記録!$Z$6:$Z$3005,I$5))))</f>
        <v/>
      </c>
      <c r="J306" s="19">
        <f>IF($A306="","",IF(COUNTIFS(請求記録!$B$6:$B$3005,$A306,請求記録!$Z$6:$Z$3005,J$5,請求記録!$AF$6:$AF$3005,"保留中")&gt;0,"保留",IF(COUNTIFS(請求記録!$B$6:$B$3005,$A306,請求記録!$Z$6:$Z$3005,J$5)=0,"",SUMIFS(請求記録!$AE$6:$AE$3005,請求記録!$B$6:$B$3005,$A306,請求記録!$Z$6:$Z$3005,J$5))))</f>
        <v/>
      </c>
      <c r="K306" s="19">
        <f>IF($A306="","",IF(COUNTIFS(請求記録!$B$6:$B$3005,$A306,請求記録!$Z$6:$Z$3005,K$5,請求記録!$AF$6:$AF$3005,"保留中")&gt;0,"保留",IF(COUNTIFS(請求記録!$B$6:$B$3005,$A306,請求記録!$Z$6:$Z$3005,K$5)=0,"",SUMIFS(請求記録!$AE$6:$AE$3005,請求記録!$B$6:$B$3005,$A306,請求記録!$Z$6:$Z$3005,K$5))))</f>
        <v/>
      </c>
      <c r="L306" s="19">
        <f>IF($A306="","",IF(COUNTIFS(請求記録!$B$6:$B$3005,$A306,請求記録!$Z$6:$Z$3005,L$5,請求記録!$AF$6:$AF$3005,"保留中")&gt;0,"保留",IF(COUNTIFS(請求記録!$B$6:$B$3005,$A306,請求記録!$Z$6:$Z$3005,L$5)=0,"",SUMIFS(請求記録!$AE$6:$AE$3005,請求記録!$B$6:$B$3005,$A306,請求記録!$Z$6:$Z$3005,L$5))))</f>
        <v/>
      </c>
      <c r="M306" s="19">
        <f>IF($A306="","",IF(COUNTIFS(請求記録!$B$6:$B$3005,$A306,請求記録!$Z$6:$Z$3005,M$5,請求記録!$AF$6:$AF$3005,"保留中")&gt;0,"保留",IF(COUNTIFS(請求記録!$B$6:$B$3005,$A306,請求記録!$Z$6:$Z$3005,M$5)=0,"",SUMIFS(請求記録!$AE$6:$AE$3005,請求記録!$B$6:$B$3005,$A306,請求記録!$Z$6:$Z$3005,M$5))))</f>
        <v/>
      </c>
      <c r="N306" s="19">
        <f>IF($A306="","",IF(COUNTIFS(請求記録!$B$6:$B$3005,$A306,請求記録!$Z$6:$Z$3005,N$5,請求記録!$AF$6:$AF$3005,"保留中")&gt;0,"保留",IF(COUNTIFS(請求記録!$B$6:$B$3005,$A306,請求記録!$Z$6:$Z$3005,N$5)=0,"",SUMIFS(請求記録!$AE$6:$AE$3005,請求記録!$B$6:$B$3005,$A306,請求記録!$Z$6:$Z$3005,N$5))))</f>
        <v/>
      </c>
      <c r="O306" s="19">
        <f>IF($A306="","",IF(COUNTIFS(請求記録!$B$6:$B$3005,$A306,請求記録!$Z$6:$Z$3005,O$5,請求記録!$AF$6:$AF$3005,"保留中")&gt;0,"保留",IF(COUNTIFS(請求記録!$B$6:$B$3005,$A306,請求記録!$Z$6:$Z$3005,O$5)=0,"",SUMIFS(請求記録!$AE$6:$AE$3005,請求記録!$B$6:$B$3005,$A306,請求記録!$Z$6:$Z$3005,O$5))))</f>
        <v/>
      </c>
      <c r="P306" s="19">
        <f>IF($A306="","",IF(COUNTIFS(請求記録!$B$6:$B$3005,$A306,請求記録!$Z$6:$Z$3005,P$5,請求記録!$AF$6:$AF$3005,"保留中")&gt;0,"保留",IF(COUNTIFS(請求記録!$B$6:$B$3005,$A306,請求記録!$Z$6:$Z$3005,P$5)=0,"",SUMIFS(請求記録!$AE$6:$AE$3005,請求記録!$B$6:$B$3005,$A306,請求記録!$Z$6:$Z$3005,P$5))))</f>
        <v/>
      </c>
      <c r="Q306" s="19">
        <f>IF($A306="","",IF(COUNTIFS(請求記録!$B$6:$B$3005,$A306,請求記録!$Z$6:$Z$3005,Q$5,請求記録!$AF$6:$AF$3005,"保留中")&gt;0,"保留",IF(COUNTIFS(請求記録!$B$6:$B$3005,$A306,請求記録!$Z$6:$Z$3005,Q$5)=0,"",SUMIFS(請求記録!$AE$6:$AE$3005,請求記録!$B$6:$B$3005,$A306,請求記録!$Z$6:$Z$3005,Q$5))))</f>
        <v/>
      </c>
      <c r="R306" s="19">
        <f>IF($A306="","",IF(COUNTIFS(請求記録!$B$6:$B$3005,$A306,請求記録!$Z$6:$Z$3005,R$5,請求記録!$AF$6:$AF$3005,"保留中")&gt;0,"保留",IF(COUNTIFS(請求記録!$B$6:$B$3005,$A306,請求記録!$Z$6:$Z$3005,R$5)=0,"",SUMIFS(請求記録!$AE$6:$AE$3005,請求記録!$B$6:$B$3005,$A306,請求記録!$Z$6:$Z$3005,R$5))))</f>
        <v/>
      </c>
      <c r="S306" s="19">
        <f>IF($A306="","",IF(COUNTIFS(請求記録!$B$6:$B$3005,$A306,請求記録!$Z$6:$Z$3005,S$5,請求記録!$AF$6:$AF$3005,"保留中")&gt;0,"保留",IF(COUNTIFS(請求記録!$B$6:$B$3005,$A306,請求記録!$Z$6:$Z$3005,S$5)=0,"",SUMIFS(請求記録!$AE$6:$AE$3005,請求記録!$B$6:$B$3005,$A306,請求記録!$Z$6:$Z$3005,S$5))))</f>
        <v/>
      </c>
      <c r="T306" s="19">
        <f>IF($A306="","",IF(COUNTIFS(請求記録!$B$6:$B$3005,$A306,請求記録!$Z$6:$Z$3005,T$5,請求記録!$AF$6:$AF$3005,"保留中")&gt;0,"保留",IF(COUNTIFS(請求記録!$B$6:$B$3005,$A306,請求記録!$Z$6:$Z$3005,T$5)=0,"",SUMIFS(請求記録!$AE$6:$AE$3005,請求記録!$B$6:$B$3005,$A306,請求記録!$Z$6:$Z$3005,T$5))))</f>
        <v/>
      </c>
      <c r="U306" s="19">
        <f>IF($A306="","",IF(COUNTIFS(請求記録!$B$6:$B$3005,$A306,請求記録!$Z$6:$Z$3005,U$5,請求記録!$AF$6:$AF$3005,"保留中")&gt;0,"保留",IF(COUNTIFS(請求記録!$B$6:$B$3005,$A306,請求記録!$Z$6:$Z$3005,U$5)=0,"",SUMIFS(請求記録!$AE$6:$AE$3005,請求記録!$B$6:$B$3005,$A306,請求記録!$Z$6:$Z$3005,U$5))))</f>
        <v/>
      </c>
      <c r="V306" s="19">
        <f>IF($A306="","",IF(COUNTIFS(請求記録!$B$6:$B$3005,$A306,請求記録!$Z$6:$Z$3005,V$5,請求記録!$AF$6:$AF$3005,"保留中")&gt;0,"保留",IF(COUNTIFS(請求記録!$B$6:$B$3005,$A306,請求記録!$Z$6:$Z$3005,V$5)=0,"",SUMIFS(請求記録!$AE$6:$AE$3005,請求記録!$B$6:$B$3005,$A306,請求記録!$Z$6:$Z$3005,V$5))))</f>
        <v/>
      </c>
      <c r="W306" s="19">
        <f>IF($A306="","",IF(COUNTIFS(請求記録!$B$6:$B$3005,$A306,請求記録!$Z$6:$Z$3005,W$5,請求記録!$AF$6:$AF$3005,"保留中")&gt;0,"保留",IF(COUNTIFS(請求記録!$B$6:$B$3005,$A306,請求記録!$Z$6:$Z$3005,W$5)=0,"",SUMIFS(請求記録!$AE$6:$AE$3005,請求記録!$B$6:$B$3005,$A306,請求記録!$Z$6:$Z$3005,W$5))))</f>
        <v/>
      </c>
      <c r="X306" s="19">
        <f>IF($A306="","",IF(COUNTIFS(請求記録!$B$6:$B$3005,$A306,請求記録!$Z$6:$Z$3005,X$5,請求記録!$AF$6:$AF$3005,"保留中")&gt;0,"保留",IF(COUNTIFS(請求記録!$B$6:$B$3005,$A306,請求記録!$Z$6:$Z$3005,X$5)=0,"",SUMIFS(請求記録!$AE$6:$AE$3005,請求記録!$B$6:$B$3005,$A306,請求記録!$Z$6:$Z$3005,X$5))))</f>
        <v/>
      </c>
      <c r="Y306" s="19">
        <f>IF($A306="","",IF(COUNTIFS(請求記録!$B$6:$B$3005,$A306,請求記録!$Z$6:$Z$3005,Y$5,請求記録!$AF$6:$AF$3005,"保留中")&gt;0,"保留",IF(COUNTIFS(請求記録!$B$6:$B$3005,$A306,請求記録!$Z$6:$Z$3005,Y$5)=0,"",SUMIFS(請求記録!$AE$6:$AE$3005,請求記録!$B$6:$B$3005,$A306,請求記録!$Z$6:$Z$3005,Y$5))))</f>
        <v/>
      </c>
      <c r="Z306" s="19">
        <f>IF($A306="","",IF(COUNTIFS(請求記録!$B$6:$B$3005,$A306,請求記録!$Z$6:$Z$3005,Z$5,請求記録!$AF$6:$AF$3005,"保留中")&gt;0,"保留",IF(COUNTIFS(請求記録!$B$6:$B$3005,$A306,請求記録!$Z$6:$Z$3005,Z$5)=0,"",SUMIFS(請求記録!$AE$6:$AE$3005,請求記録!$B$6:$B$3005,$A306,請求記録!$Z$6:$Z$3005,Z$5))))</f>
        <v/>
      </c>
      <c r="AA306" s="19">
        <f>IF($A306="","",IF(COUNTIFS(請求記録!$B$6:$B$3005,$A306,請求記録!$Z$6:$Z$3005,AA$5,請求記録!$AF$6:$AF$3005,"保留中")&gt;0,"保留",IF(COUNTIFS(請求記録!$B$6:$B$3005,$A306,請求記録!$Z$6:$Z$3005,AA$5)=0,"",SUMIFS(請求記録!$AE$6:$AE$3005,請求記録!$B$6:$B$3005,$A306,請求記録!$Z$6:$Z$3005,AA$5))))</f>
        <v/>
      </c>
      <c r="AB306">
        <f>IF(職員マスタ!P306="保留中",職員マスタ!M306,"")</f>
        <v/>
      </c>
    </row>
    <row r="307">
      <c r="A307">
        <f>IF(職員マスタ!A307="","",職員マスタ!A307)</f>
        <v/>
      </c>
      <c r="B307">
        <f>IF($A307="","",職員マスタ!B307)</f>
        <v/>
      </c>
      <c r="C307">
        <f>IF($A307="","",職員マスタ!C307)</f>
        <v/>
      </c>
      <c r="D307" s="19">
        <f>IF($A307="","",IF(COUNTIFS(請求記録!$B$6:$B$3005,$A307,請求記録!$Z$6:$Z$3005,D$5,請求記録!$AF$6:$AF$3005,"保留中")&gt;0,"保留",IF(COUNTIFS(請求記録!$B$6:$B$3005,$A307,請求記録!$Z$6:$Z$3005,D$5)=0,"",SUMIFS(請求記録!$AE$6:$AE$3005,請求記録!$B$6:$B$3005,$A307,請求記録!$Z$6:$Z$3005,D$5))))</f>
        <v/>
      </c>
      <c r="E307" s="19">
        <f>IF($A307="","",IF(COUNTIFS(請求記録!$B$6:$B$3005,$A307,請求記録!$Z$6:$Z$3005,E$5,請求記録!$AF$6:$AF$3005,"保留中")&gt;0,"保留",IF(COUNTIFS(請求記録!$B$6:$B$3005,$A307,請求記録!$Z$6:$Z$3005,E$5)=0,"",SUMIFS(請求記録!$AE$6:$AE$3005,請求記録!$B$6:$B$3005,$A307,請求記録!$Z$6:$Z$3005,E$5))))</f>
        <v/>
      </c>
      <c r="F307" s="19">
        <f>IF($A307="","",IF(COUNTIFS(請求記録!$B$6:$B$3005,$A307,請求記録!$Z$6:$Z$3005,F$5,請求記録!$AF$6:$AF$3005,"保留中")&gt;0,"保留",IF(COUNTIFS(請求記録!$B$6:$B$3005,$A307,請求記録!$Z$6:$Z$3005,F$5)=0,"",SUMIFS(請求記録!$AE$6:$AE$3005,請求記録!$B$6:$B$3005,$A307,請求記録!$Z$6:$Z$3005,F$5))))</f>
        <v/>
      </c>
      <c r="G307" s="19">
        <f>IF($A307="","",IF(COUNTIFS(請求記録!$B$6:$B$3005,$A307,請求記録!$Z$6:$Z$3005,G$5,請求記録!$AF$6:$AF$3005,"保留中")&gt;0,"保留",IF(COUNTIFS(請求記録!$B$6:$B$3005,$A307,請求記録!$Z$6:$Z$3005,G$5)=0,"",SUMIFS(請求記録!$AE$6:$AE$3005,請求記録!$B$6:$B$3005,$A307,請求記録!$Z$6:$Z$3005,G$5))))</f>
        <v/>
      </c>
      <c r="H307" s="19">
        <f>IF($A307="","",IF(COUNTIFS(請求記録!$B$6:$B$3005,$A307,請求記録!$Z$6:$Z$3005,H$5,請求記録!$AF$6:$AF$3005,"保留中")&gt;0,"保留",IF(COUNTIFS(請求記録!$B$6:$B$3005,$A307,請求記録!$Z$6:$Z$3005,H$5)=0,"",SUMIFS(請求記録!$AE$6:$AE$3005,請求記録!$B$6:$B$3005,$A307,請求記録!$Z$6:$Z$3005,H$5))))</f>
        <v/>
      </c>
      <c r="I307" s="19">
        <f>IF($A307="","",IF(COUNTIFS(請求記録!$B$6:$B$3005,$A307,請求記録!$Z$6:$Z$3005,I$5,請求記録!$AF$6:$AF$3005,"保留中")&gt;0,"保留",IF(COUNTIFS(請求記録!$B$6:$B$3005,$A307,請求記録!$Z$6:$Z$3005,I$5)=0,"",SUMIFS(請求記録!$AE$6:$AE$3005,請求記録!$B$6:$B$3005,$A307,請求記録!$Z$6:$Z$3005,I$5))))</f>
        <v/>
      </c>
      <c r="J307" s="19">
        <f>IF($A307="","",IF(COUNTIFS(請求記録!$B$6:$B$3005,$A307,請求記録!$Z$6:$Z$3005,J$5,請求記録!$AF$6:$AF$3005,"保留中")&gt;0,"保留",IF(COUNTIFS(請求記録!$B$6:$B$3005,$A307,請求記録!$Z$6:$Z$3005,J$5)=0,"",SUMIFS(請求記録!$AE$6:$AE$3005,請求記録!$B$6:$B$3005,$A307,請求記録!$Z$6:$Z$3005,J$5))))</f>
        <v/>
      </c>
      <c r="K307" s="19">
        <f>IF($A307="","",IF(COUNTIFS(請求記録!$B$6:$B$3005,$A307,請求記録!$Z$6:$Z$3005,K$5,請求記録!$AF$6:$AF$3005,"保留中")&gt;0,"保留",IF(COUNTIFS(請求記録!$B$6:$B$3005,$A307,請求記録!$Z$6:$Z$3005,K$5)=0,"",SUMIFS(請求記録!$AE$6:$AE$3005,請求記録!$B$6:$B$3005,$A307,請求記録!$Z$6:$Z$3005,K$5))))</f>
        <v/>
      </c>
      <c r="L307" s="19">
        <f>IF($A307="","",IF(COUNTIFS(請求記録!$B$6:$B$3005,$A307,請求記録!$Z$6:$Z$3005,L$5,請求記録!$AF$6:$AF$3005,"保留中")&gt;0,"保留",IF(COUNTIFS(請求記録!$B$6:$B$3005,$A307,請求記録!$Z$6:$Z$3005,L$5)=0,"",SUMIFS(請求記録!$AE$6:$AE$3005,請求記録!$B$6:$B$3005,$A307,請求記録!$Z$6:$Z$3005,L$5))))</f>
        <v/>
      </c>
      <c r="M307" s="19">
        <f>IF($A307="","",IF(COUNTIFS(請求記録!$B$6:$B$3005,$A307,請求記録!$Z$6:$Z$3005,M$5,請求記録!$AF$6:$AF$3005,"保留中")&gt;0,"保留",IF(COUNTIFS(請求記録!$B$6:$B$3005,$A307,請求記録!$Z$6:$Z$3005,M$5)=0,"",SUMIFS(請求記録!$AE$6:$AE$3005,請求記録!$B$6:$B$3005,$A307,請求記録!$Z$6:$Z$3005,M$5))))</f>
        <v/>
      </c>
      <c r="N307" s="19">
        <f>IF($A307="","",IF(COUNTIFS(請求記録!$B$6:$B$3005,$A307,請求記録!$Z$6:$Z$3005,N$5,請求記録!$AF$6:$AF$3005,"保留中")&gt;0,"保留",IF(COUNTIFS(請求記録!$B$6:$B$3005,$A307,請求記録!$Z$6:$Z$3005,N$5)=0,"",SUMIFS(請求記録!$AE$6:$AE$3005,請求記録!$B$6:$B$3005,$A307,請求記録!$Z$6:$Z$3005,N$5))))</f>
        <v/>
      </c>
      <c r="O307" s="19">
        <f>IF($A307="","",IF(COUNTIFS(請求記録!$B$6:$B$3005,$A307,請求記録!$Z$6:$Z$3005,O$5,請求記録!$AF$6:$AF$3005,"保留中")&gt;0,"保留",IF(COUNTIFS(請求記録!$B$6:$B$3005,$A307,請求記録!$Z$6:$Z$3005,O$5)=0,"",SUMIFS(請求記録!$AE$6:$AE$3005,請求記録!$B$6:$B$3005,$A307,請求記録!$Z$6:$Z$3005,O$5))))</f>
        <v/>
      </c>
      <c r="P307" s="19">
        <f>IF($A307="","",IF(COUNTIFS(請求記録!$B$6:$B$3005,$A307,請求記録!$Z$6:$Z$3005,P$5,請求記録!$AF$6:$AF$3005,"保留中")&gt;0,"保留",IF(COUNTIFS(請求記録!$B$6:$B$3005,$A307,請求記録!$Z$6:$Z$3005,P$5)=0,"",SUMIFS(請求記録!$AE$6:$AE$3005,請求記録!$B$6:$B$3005,$A307,請求記録!$Z$6:$Z$3005,P$5))))</f>
        <v/>
      </c>
      <c r="Q307" s="19">
        <f>IF($A307="","",IF(COUNTIFS(請求記録!$B$6:$B$3005,$A307,請求記録!$Z$6:$Z$3005,Q$5,請求記録!$AF$6:$AF$3005,"保留中")&gt;0,"保留",IF(COUNTIFS(請求記録!$B$6:$B$3005,$A307,請求記録!$Z$6:$Z$3005,Q$5)=0,"",SUMIFS(請求記録!$AE$6:$AE$3005,請求記録!$B$6:$B$3005,$A307,請求記録!$Z$6:$Z$3005,Q$5))))</f>
        <v/>
      </c>
      <c r="R307" s="19">
        <f>IF($A307="","",IF(COUNTIFS(請求記録!$B$6:$B$3005,$A307,請求記録!$Z$6:$Z$3005,R$5,請求記録!$AF$6:$AF$3005,"保留中")&gt;0,"保留",IF(COUNTIFS(請求記録!$B$6:$B$3005,$A307,請求記録!$Z$6:$Z$3005,R$5)=0,"",SUMIFS(請求記録!$AE$6:$AE$3005,請求記録!$B$6:$B$3005,$A307,請求記録!$Z$6:$Z$3005,R$5))))</f>
        <v/>
      </c>
      <c r="S307" s="19">
        <f>IF($A307="","",IF(COUNTIFS(請求記録!$B$6:$B$3005,$A307,請求記録!$Z$6:$Z$3005,S$5,請求記録!$AF$6:$AF$3005,"保留中")&gt;0,"保留",IF(COUNTIFS(請求記録!$B$6:$B$3005,$A307,請求記録!$Z$6:$Z$3005,S$5)=0,"",SUMIFS(請求記録!$AE$6:$AE$3005,請求記録!$B$6:$B$3005,$A307,請求記録!$Z$6:$Z$3005,S$5))))</f>
        <v/>
      </c>
      <c r="T307" s="19">
        <f>IF($A307="","",IF(COUNTIFS(請求記録!$B$6:$B$3005,$A307,請求記録!$Z$6:$Z$3005,T$5,請求記録!$AF$6:$AF$3005,"保留中")&gt;0,"保留",IF(COUNTIFS(請求記録!$B$6:$B$3005,$A307,請求記録!$Z$6:$Z$3005,T$5)=0,"",SUMIFS(請求記録!$AE$6:$AE$3005,請求記録!$B$6:$B$3005,$A307,請求記録!$Z$6:$Z$3005,T$5))))</f>
        <v/>
      </c>
      <c r="U307" s="19">
        <f>IF($A307="","",IF(COUNTIFS(請求記録!$B$6:$B$3005,$A307,請求記録!$Z$6:$Z$3005,U$5,請求記録!$AF$6:$AF$3005,"保留中")&gt;0,"保留",IF(COUNTIFS(請求記録!$B$6:$B$3005,$A307,請求記録!$Z$6:$Z$3005,U$5)=0,"",SUMIFS(請求記録!$AE$6:$AE$3005,請求記録!$B$6:$B$3005,$A307,請求記録!$Z$6:$Z$3005,U$5))))</f>
        <v/>
      </c>
      <c r="V307" s="19">
        <f>IF($A307="","",IF(COUNTIFS(請求記録!$B$6:$B$3005,$A307,請求記録!$Z$6:$Z$3005,V$5,請求記録!$AF$6:$AF$3005,"保留中")&gt;0,"保留",IF(COUNTIFS(請求記録!$B$6:$B$3005,$A307,請求記録!$Z$6:$Z$3005,V$5)=0,"",SUMIFS(請求記録!$AE$6:$AE$3005,請求記録!$B$6:$B$3005,$A307,請求記録!$Z$6:$Z$3005,V$5))))</f>
        <v/>
      </c>
      <c r="W307" s="19">
        <f>IF($A307="","",IF(COUNTIFS(請求記録!$B$6:$B$3005,$A307,請求記録!$Z$6:$Z$3005,W$5,請求記録!$AF$6:$AF$3005,"保留中")&gt;0,"保留",IF(COUNTIFS(請求記録!$B$6:$B$3005,$A307,請求記録!$Z$6:$Z$3005,W$5)=0,"",SUMIFS(請求記録!$AE$6:$AE$3005,請求記録!$B$6:$B$3005,$A307,請求記録!$Z$6:$Z$3005,W$5))))</f>
        <v/>
      </c>
      <c r="X307" s="19">
        <f>IF($A307="","",IF(COUNTIFS(請求記録!$B$6:$B$3005,$A307,請求記録!$Z$6:$Z$3005,X$5,請求記録!$AF$6:$AF$3005,"保留中")&gt;0,"保留",IF(COUNTIFS(請求記録!$B$6:$B$3005,$A307,請求記録!$Z$6:$Z$3005,X$5)=0,"",SUMIFS(請求記録!$AE$6:$AE$3005,請求記録!$B$6:$B$3005,$A307,請求記録!$Z$6:$Z$3005,X$5))))</f>
        <v/>
      </c>
      <c r="Y307" s="19">
        <f>IF($A307="","",IF(COUNTIFS(請求記録!$B$6:$B$3005,$A307,請求記録!$Z$6:$Z$3005,Y$5,請求記録!$AF$6:$AF$3005,"保留中")&gt;0,"保留",IF(COUNTIFS(請求記録!$B$6:$B$3005,$A307,請求記録!$Z$6:$Z$3005,Y$5)=0,"",SUMIFS(請求記録!$AE$6:$AE$3005,請求記録!$B$6:$B$3005,$A307,請求記録!$Z$6:$Z$3005,Y$5))))</f>
        <v/>
      </c>
      <c r="Z307" s="19">
        <f>IF($A307="","",IF(COUNTIFS(請求記録!$B$6:$B$3005,$A307,請求記録!$Z$6:$Z$3005,Z$5,請求記録!$AF$6:$AF$3005,"保留中")&gt;0,"保留",IF(COUNTIFS(請求記録!$B$6:$B$3005,$A307,請求記録!$Z$6:$Z$3005,Z$5)=0,"",SUMIFS(請求記録!$AE$6:$AE$3005,請求記録!$B$6:$B$3005,$A307,請求記録!$Z$6:$Z$3005,Z$5))))</f>
        <v/>
      </c>
      <c r="AA307" s="19">
        <f>IF($A307="","",IF(COUNTIFS(請求記録!$B$6:$B$3005,$A307,請求記録!$Z$6:$Z$3005,AA$5,請求記録!$AF$6:$AF$3005,"保留中")&gt;0,"保留",IF(COUNTIFS(請求記録!$B$6:$B$3005,$A307,請求記録!$Z$6:$Z$3005,AA$5)=0,"",SUMIFS(請求記録!$AE$6:$AE$3005,請求記録!$B$6:$B$3005,$A307,請求記録!$Z$6:$Z$3005,AA$5))))</f>
        <v/>
      </c>
      <c r="AB307">
        <f>IF(職員マスタ!P307="保留中",職員マスタ!M307,"")</f>
        <v/>
      </c>
    </row>
    <row r="308">
      <c r="A308">
        <f>IF(職員マスタ!A308="","",職員マスタ!A308)</f>
        <v/>
      </c>
      <c r="B308">
        <f>IF($A308="","",職員マスタ!B308)</f>
        <v/>
      </c>
      <c r="C308">
        <f>IF($A308="","",職員マスタ!C308)</f>
        <v/>
      </c>
      <c r="D308" s="19">
        <f>IF($A308="","",IF(COUNTIFS(請求記録!$B$6:$B$3005,$A308,請求記録!$Z$6:$Z$3005,D$5,請求記録!$AF$6:$AF$3005,"保留中")&gt;0,"保留",IF(COUNTIFS(請求記録!$B$6:$B$3005,$A308,請求記録!$Z$6:$Z$3005,D$5)=0,"",SUMIFS(請求記録!$AE$6:$AE$3005,請求記録!$B$6:$B$3005,$A308,請求記録!$Z$6:$Z$3005,D$5))))</f>
        <v/>
      </c>
      <c r="E308" s="19">
        <f>IF($A308="","",IF(COUNTIFS(請求記録!$B$6:$B$3005,$A308,請求記録!$Z$6:$Z$3005,E$5,請求記録!$AF$6:$AF$3005,"保留中")&gt;0,"保留",IF(COUNTIFS(請求記録!$B$6:$B$3005,$A308,請求記録!$Z$6:$Z$3005,E$5)=0,"",SUMIFS(請求記録!$AE$6:$AE$3005,請求記録!$B$6:$B$3005,$A308,請求記録!$Z$6:$Z$3005,E$5))))</f>
        <v/>
      </c>
      <c r="F308" s="19">
        <f>IF($A308="","",IF(COUNTIFS(請求記録!$B$6:$B$3005,$A308,請求記録!$Z$6:$Z$3005,F$5,請求記録!$AF$6:$AF$3005,"保留中")&gt;0,"保留",IF(COUNTIFS(請求記録!$B$6:$B$3005,$A308,請求記録!$Z$6:$Z$3005,F$5)=0,"",SUMIFS(請求記録!$AE$6:$AE$3005,請求記録!$B$6:$B$3005,$A308,請求記録!$Z$6:$Z$3005,F$5))))</f>
        <v/>
      </c>
      <c r="G308" s="19">
        <f>IF($A308="","",IF(COUNTIFS(請求記録!$B$6:$B$3005,$A308,請求記録!$Z$6:$Z$3005,G$5,請求記録!$AF$6:$AF$3005,"保留中")&gt;0,"保留",IF(COUNTIFS(請求記録!$B$6:$B$3005,$A308,請求記録!$Z$6:$Z$3005,G$5)=0,"",SUMIFS(請求記録!$AE$6:$AE$3005,請求記録!$B$6:$B$3005,$A308,請求記録!$Z$6:$Z$3005,G$5))))</f>
        <v/>
      </c>
      <c r="H308" s="19">
        <f>IF($A308="","",IF(COUNTIFS(請求記録!$B$6:$B$3005,$A308,請求記録!$Z$6:$Z$3005,H$5,請求記録!$AF$6:$AF$3005,"保留中")&gt;0,"保留",IF(COUNTIFS(請求記録!$B$6:$B$3005,$A308,請求記録!$Z$6:$Z$3005,H$5)=0,"",SUMIFS(請求記録!$AE$6:$AE$3005,請求記録!$B$6:$B$3005,$A308,請求記録!$Z$6:$Z$3005,H$5))))</f>
        <v/>
      </c>
      <c r="I308" s="19">
        <f>IF($A308="","",IF(COUNTIFS(請求記録!$B$6:$B$3005,$A308,請求記録!$Z$6:$Z$3005,I$5,請求記録!$AF$6:$AF$3005,"保留中")&gt;0,"保留",IF(COUNTIFS(請求記録!$B$6:$B$3005,$A308,請求記録!$Z$6:$Z$3005,I$5)=0,"",SUMIFS(請求記録!$AE$6:$AE$3005,請求記録!$B$6:$B$3005,$A308,請求記録!$Z$6:$Z$3005,I$5))))</f>
        <v/>
      </c>
      <c r="J308" s="19">
        <f>IF($A308="","",IF(COUNTIFS(請求記録!$B$6:$B$3005,$A308,請求記録!$Z$6:$Z$3005,J$5,請求記録!$AF$6:$AF$3005,"保留中")&gt;0,"保留",IF(COUNTIFS(請求記録!$B$6:$B$3005,$A308,請求記録!$Z$6:$Z$3005,J$5)=0,"",SUMIFS(請求記録!$AE$6:$AE$3005,請求記録!$B$6:$B$3005,$A308,請求記録!$Z$6:$Z$3005,J$5))))</f>
        <v/>
      </c>
      <c r="K308" s="19">
        <f>IF($A308="","",IF(COUNTIFS(請求記録!$B$6:$B$3005,$A308,請求記録!$Z$6:$Z$3005,K$5,請求記録!$AF$6:$AF$3005,"保留中")&gt;0,"保留",IF(COUNTIFS(請求記録!$B$6:$B$3005,$A308,請求記録!$Z$6:$Z$3005,K$5)=0,"",SUMIFS(請求記録!$AE$6:$AE$3005,請求記録!$B$6:$B$3005,$A308,請求記録!$Z$6:$Z$3005,K$5))))</f>
        <v/>
      </c>
      <c r="L308" s="19">
        <f>IF($A308="","",IF(COUNTIFS(請求記録!$B$6:$B$3005,$A308,請求記録!$Z$6:$Z$3005,L$5,請求記録!$AF$6:$AF$3005,"保留中")&gt;0,"保留",IF(COUNTIFS(請求記録!$B$6:$B$3005,$A308,請求記録!$Z$6:$Z$3005,L$5)=0,"",SUMIFS(請求記録!$AE$6:$AE$3005,請求記録!$B$6:$B$3005,$A308,請求記録!$Z$6:$Z$3005,L$5))))</f>
        <v/>
      </c>
      <c r="M308" s="19">
        <f>IF($A308="","",IF(COUNTIFS(請求記録!$B$6:$B$3005,$A308,請求記録!$Z$6:$Z$3005,M$5,請求記録!$AF$6:$AF$3005,"保留中")&gt;0,"保留",IF(COUNTIFS(請求記録!$B$6:$B$3005,$A308,請求記録!$Z$6:$Z$3005,M$5)=0,"",SUMIFS(請求記録!$AE$6:$AE$3005,請求記録!$B$6:$B$3005,$A308,請求記録!$Z$6:$Z$3005,M$5))))</f>
        <v/>
      </c>
      <c r="N308" s="19">
        <f>IF($A308="","",IF(COUNTIFS(請求記録!$B$6:$B$3005,$A308,請求記録!$Z$6:$Z$3005,N$5,請求記録!$AF$6:$AF$3005,"保留中")&gt;0,"保留",IF(COUNTIFS(請求記録!$B$6:$B$3005,$A308,請求記録!$Z$6:$Z$3005,N$5)=0,"",SUMIFS(請求記録!$AE$6:$AE$3005,請求記録!$B$6:$B$3005,$A308,請求記録!$Z$6:$Z$3005,N$5))))</f>
        <v/>
      </c>
      <c r="O308" s="19">
        <f>IF($A308="","",IF(COUNTIFS(請求記録!$B$6:$B$3005,$A308,請求記録!$Z$6:$Z$3005,O$5,請求記録!$AF$6:$AF$3005,"保留中")&gt;0,"保留",IF(COUNTIFS(請求記録!$B$6:$B$3005,$A308,請求記録!$Z$6:$Z$3005,O$5)=0,"",SUMIFS(請求記録!$AE$6:$AE$3005,請求記録!$B$6:$B$3005,$A308,請求記録!$Z$6:$Z$3005,O$5))))</f>
        <v/>
      </c>
      <c r="P308" s="19">
        <f>IF($A308="","",IF(COUNTIFS(請求記録!$B$6:$B$3005,$A308,請求記録!$Z$6:$Z$3005,P$5,請求記録!$AF$6:$AF$3005,"保留中")&gt;0,"保留",IF(COUNTIFS(請求記録!$B$6:$B$3005,$A308,請求記録!$Z$6:$Z$3005,P$5)=0,"",SUMIFS(請求記録!$AE$6:$AE$3005,請求記録!$B$6:$B$3005,$A308,請求記録!$Z$6:$Z$3005,P$5))))</f>
        <v/>
      </c>
      <c r="Q308" s="19">
        <f>IF($A308="","",IF(COUNTIFS(請求記録!$B$6:$B$3005,$A308,請求記録!$Z$6:$Z$3005,Q$5,請求記録!$AF$6:$AF$3005,"保留中")&gt;0,"保留",IF(COUNTIFS(請求記録!$B$6:$B$3005,$A308,請求記録!$Z$6:$Z$3005,Q$5)=0,"",SUMIFS(請求記録!$AE$6:$AE$3005,請求記録!$B$6:$B$3005,$A308,請求記録!$Z$6:$Z$3005,Q$5))))</f>
        <v/>
      </c>
      <c r="R308" s="19">
        <f>IF($A308="","",IF(COUNTIFS(請求記録!$B$6:$B$3005,$A308,請求記録!$Z$6:$Z$3005,R$5,請求記録!$AF$6:$AF$3005,"保留中")&gt;0,"保留",IF(COUNTIFS(請求記録!$B$6:$B$3005,$A308,請求記録!$Z$6:$Z$3005,R$5)=0,"",SUMIFS(請求記録!$AE$6:$AE$3005,請求記録!$B$6:$B$3005,$A308,請求記録!$Z$6:$Z$3005,R$5))))</f>
        <v/>
      </c>
      <c r="S308" s="19">
        <f>IF($A308="","",IF(COUNTIFS(請求記録!$B$6:$B$3005,$A308,請求記録!$Z$6:$Z$3005,S$5,請求記録!$AF$6:$AF$3005,"保留中")&gt;0,"保留",IF(COUNTIFS(請求記録!$B$6:$B$3005,$A308,請求記録!$Z$6:$Z$3005,S$5)=0,"",SUMIFS(請求記録!$AE$6:$AE$3005,請求記録!$B$6:$B$3005,$A308,請求記録!$Z$6:$Z$3005,S$5))))</f>
        <v/>
      </c>
      <c r="T308" s="19">
        <f>IF($A308="","",IF(COUNTIFS(請求記録!$B$6:$B$3005,$A308,請求記録!$Z$6:$Z$3005,T$5,請求記録!$AF$6:$AF$3005,"保留中")&gt;0,"保留",IF(COUNTIFS(請求記録!$B$6:$B$3005,$A308,請求記録!$Z$6:$Z$3005,T$5)=0,"",SUMIFS(請求記録!$AE$6:$AE$3005,請求記録!$B$6:$B$3005,$A308,請求記録!$Z$6:$Z$3005,T$5))))</f>
        <v/>
      </c>
      <c r="U308" s="19">
        <f>IF($A308="","",IF(COUNTIFS(請求記録!$B$6:$B$3005,$A308,請求記録!$Z$6:$Z$3005,U$5,請求記録!$AF$6:$AF$3005,"保留中")&gt;0,"保留",IF(COUNTIFS(請求記録!$B$6:$B$3005,$A308,請求記録!$Z$6:$Z$3005,U$5)=0,"",SUMIFS(請求記録!$AE$6:$AE$3005,請求記録!$B$6:$B$3005,$A308,請求記録!$Z$6:$Z$3005,U$5))))</f>
        <v/>
      </c>
      <c r="V308" s="19">
        <f>IF($A308="","",IF(COUNTIFS(請求記録!$B$6:$B$3005,$A308,請求記録!$Z$6:$Z$3005,V$5,請求記録!$AF$6:$AF$3005,"保留中")&gt;0,"保留",IF(COUNTIFS(請求記録!$B$6:$B$3005,$A308,請求記録!$Z$6:$Z$3005,V$5)=0,"",SUMIFS(請求記録!$AE$6:$AE$3005,請求記録!$B$6:$B$3005,$A308,請求記録!$Z$6:$Z$3005,V$5))))</f>
        <v/>
      </c>
      <c r="W308" s="19">
        <f>IF($A308="","",IF(COUNTIFS(請求記録!$B$6:$B$3005,$A308,請求記録!$Z$6:$Z$3005,W$5,請求記録!$AF$6:$AF$3005,"保留中")&gt;0,"保留",IF(COUNTIFS(請求記録!$B$6:$B$3005,$A308,請求記録!$Z$6:$Z$3005,W$5)=0,"",SUMIFS(請求記録!$AE$6:$AE$3005,請求記録!$B$6:$B$3005,$A308,請求記録!$Z$6:$Z$3005,W$5))))</f>
        <v/>
      </c>
      <c r="X308" s="19">
        <f>IF($A308="","",IF(COUNTIFS(請求記録!$B$6:$B$3005,$A308,請求記録!$Z$6:$Z$3005,X$5,請求記録!$AF$6:$AF$3005,"保留中")&gt;0,"保留",IF(COUNTIFS(請求記録!$B$6:$B$3005,$A308,請求記録!$Z$6:$Z$3005,X$5)=0,"",SUMIFS(請求記録!$AE$6:$AE$3005,請求記録!$B$6:$B$3005,$A308,請求記録!$Z$6:$Z$3005,X$5))))</f>
        <v/>
      </c>
      <c r="Y308" s="19">
        <f>IF($A308="","",IF(COUNTIFS(請求記録!$B$6:$B$3005,$A308,請求記録!$Z$6:$Z$3005,Y$5,請求記録!$AF$6:$AF$3005,"保留中")&gt;0,"保留",IF(COUNTIFS(請求記録!$B$6:$B$3005,$A308,請求記録!$Z$6:$Z$3005,Y$5)=0,"",SUMIFS(請求記録!$AE$6:$AE$3005,請求記録!$B$6:$B$3005,$A308,請求記録!$Z$6:$Z$3005,Y$5))))</f>
        <v/>
      </c>
      <c r="Z308" s="19">
        <f>IF($A308="","",IF(COUNTIFS(請求記録!$B$6:$B$3005,$A308,請求記録!$Z$6:$Z$3005,Z$5,請求記録!$AF$6:$AF$3005,"保留中")&gt;0,"保留",IF(COUNTIFS(請求記録!$B$6:$B$3005,$A308,請求記録!$Z$6:$Z$3005,Z$5)=0,"",SUMIFS(請求記録!$AE$6:$AE$3005,請求記録!$B$6:$B$3005,$A308,請求記録!$Z$6:$Z$3005,Z$5))))</f>
        <v/>
      </c>
      <c r="AA308" s="19">
        <f>IF($A308="","",IF(COUNTIFS(請求記録!$B$6:$B$3005,$A308,請求記録!$Z$6:$Z$3005,AA$5,請求記録!$AF$6:$AF$3005,"保留中")&gt;0,"保留",IF(COUNTIFS(請求記録!$B$6:$B$3005,$A308,請求記録!$Z$6:$Z$3005,AA$5)=0,"",SUMIFS(請求記録!$AE$6:$AE$3005,請求記録!$B$6:$B$3005,$A308,請求記録!$Z$6:$Z$3005,AA$5))))</f>
        <v/>
      </c>
      <c r="AB308">
        <f>IF(職員マスタ!P308="保留中",職員マスタ!M308,"")</f>
        <v/>
      </c>
    </row>
    <row r="309">
      <c r="A309">
        <f>IF(職員マスタ!A309="","",職員マスタ!A309)</f>
        <v/>
      </c>
      <c r="B309">
        <f>IF($A309="","",職員マスタ!B309)</f>
        <v/>
      </c>
      <c r="C309">
        <f>IF($A309="","",職員マスタ!C309)</f>
        <v/>
      </c>
      <c r="D309" s="19">
        <f>IF($A309="","",IF(COUNTIFS(請求記録!$B$6:$B$3005,$A309,請求記録!$Z$6:$Z$3005,D$5,請求記録!$AF$6:$AF$3005,"保留中")&gt;0,"保留",IF(COUNTIFS(請求記録!$B$6:$B$3005,$A309,請求記録!$Z$6:$Z$3005,D$5)=0,"",SUMIFS(請求記録!$AE$6:$AE$3005,請求記録!$B$6:$B$3005,$A309,請求記録!$Z$6:$Z$3005,D$5))))</f>
        <v/>
      </c>
      <c r="E309" s="19">
        <f>IF($A309="","",IF(COUNTIFS(請求記録!$B$6:$B$3005,$A309,請求記録!$Z$6:$Z$3005,E$5,請求記録!$AF$6:$AF$3005,"保留中")&gt;0,"保留",IF(COUNTIFS(請求記録!$B$6:$B$3005,$A309,請求記録!$Z$6:$Z$3005,E$5)=0,"",SUMIFS(請求記録!$AE$6:$AE$3005,請求記録!$B$6:$B$3005,$A309,請求記録!$Z$6:$Z$3005,E$5))))</f>
        <v/>
      </c>
      <c r="F309" s="19">
        <f>IF($A309="","",IF(COUNTIFS(請求記録!$B$6:$B$3005,$A309,請求記録!$Z$6:$Z$3005,F$5,請求記録!$AF$6:$AF$3005,"保留中")&gt;0,"保留",IF(COUNTIFS(請求記録!$B$6:$B$3005,$A309,請求記録!$Z$6:$Z$3005,F$5)=0,"",SUMIFS(請求記録!$AE$6:$AE$3005,請求記録!$B$6:$B$3005,$A309,請求記録!$Z$6:$Z$3005,F$5))))</f>
        <v/>
      </c>
      <c r="G309" s="19">
        <f>IF($A309="","",IF(COUNTIFS(請求記録!$B$6:$B$3005,$A309,請求記録!$Z$6:$Z$3005,G$5,請求記録!$AF$6:$AF$3005,"保留中")&gt;0,"保留",IF(COUNTIFS(請求記録!$B$6:$B$3005,$A309,請求記録!$Z$6:$Z$3005,G$5)=0,"",SUMIFS(請求記録!$AE$6:$AE$3005,請求記録!$B$6:$B$3005,$A309,請求記録!$Z$6:$Z$3005,G$5))))</f>
        <v/>
      </c>
      <c r="H309" s="19">
        <f>IF($A309="","",IF(COUNTIFS(請求記録!$B$6:$B$3005,$A309,請求記録!$Z$6:$Z$3005,H$5,請求記録!$AF$6:$AF$3005,"保留中")&gt;0,"保留",IF(COUNTIFS(請求記録!$B$6:$B$3005,$A309,請求記録!$Z$6:$Z$3005,H$5)=0,"",SUMIFS(請求記録!$AE$6:$AE$3005,請求記録!$B$6:$B$3005,$A309,請求記録!$Z$6:$Z$3005,H$5))))</f>
        <v/>
      </c>
      <c r="I309" s="19">
        <f>IF($A309="","",IF(COUNTIFS(請求記録!$B$6:$B$3005,$A309,請求記録!$Z$6:$Z$3005,I$5,請求記録!$AF$6:$AF$3005,"保留中")&gt;0,"保留",IF(COUNTIFS(請求記録!$B$6:$B$3005,$A309,請求記録!$Z$6:$Z$3005,I$5)=0,"",SUMIFS(請求記録!$AE$6:$AE$3005,請求記録!$B$6:$B$3005,$A309,請求記録!$Z$6:$Z$3005,I$5))))</f>
        <v/>
      </c>
      <c r="J309" s="19">
        <f>IF($A309="","",IF(COUNTIFS(請求記録!$B$6:$B$3005,$A309,請求記録!$Z$6:$Z$3005,J$5,請求記録!$AF$6:$AF$3005,"保留中")&gt;0,"保留",IF(COUNTIFS(請求記録!$B$6:$B$3005,$A309,請求記録!$Z$6:$Z$3005,J$5)=0,"",SUMIFS(請求記録!$AE$6:$AE$3005,請求記録!$B$6:$B$3005,$A309,請求記録!$Z$6:$Z$3005,J$5))))</f>
        <v/>
      </c>
      <c r="K309" s="19">
        <f>IF($A309="","",IF(COUNTIFS(請求記録!$B$6:$B$3005,$A309,請求記録!$Z$6:$Z$3005,K$5,請求記録!$AF$6:$AF$3005,"保留中")&gt;0,"保留",IF(COUNTIFS(請求記録!$B$6:$B$3005,$A309,請求記録!$Z$6:$Z$3005,K$5)=0,"",SUMIFS(請求記録!$AE$6:$AE$3005,請求記録!$B$6:$B$3005,$A309,請求記録!$Z$6:$Z$3005,K$5))))</f>
        <v/>
      </c>
      <c r="L309" s="19">
        <f>IF($A309="","",IF(COUNTIFS(請求記録!$B$6:$B$3005,$A309,請求記録!$Z$6:$Z$3005,L$5,請求記録!$AF$6:$AF$3005,"保留中")&gt;0,"保留",IF(COUNTIFS(請求記録!$B$6:$B$3005,$A309,請求記録!$Z$6:$Z$3005,L$5)=0,"",SUMIFS(請求記録!$AE$6:$AE$3005,請求記録!$B$6:$B$3005,$A309,請求記録!$Z$6:$Z$3005,L$5))))</f>
        <v/>
      </c>
      <c r="M309" s="19">
        <f>IF($A309="","",IF(COUNTIFS(請求記録!$B$6:$B$3005,$A309,請求記録!$Z$6:$Z$3005,M$5,請求記録!$AF$6:$AF$3005,"保留中")&gt;0,"保留",IF(COUNTIFS(請求記録!$B$6:$B$3005,$A309,請求記録!$Z$6:$Z$3005,M$5)=0,"",SUMIFS(請求記録!$AE$6:$AE$3005,請求記録!$B$6:$B$3005,$A309,請求記録!$Z$6:$Z$3005,M$5))))</f>
        <v/>
      </c>
      <c r="N309" s="19">
        <f>IF($A309="","",IF(COUNTIFS(請求記録!$B$6:$B$3005,$A309,請求記録!$Z$6:$Z$3005,N$5,請求記録!$AF$6:$AF$3005,"保留中")&gt;0,"保留",IF(COUNTIFS(請求記録!$B$6:$B$3005,$A309,請求記録!$Z$6:$Z$3005,N$5)=0,"",SUMIFS(請求記録!$AE$6:$AE$3005,請求記録!$B$6:$B$3005,$A309,請求記録!$Z$6:$Z$3005,N$5))))</f>
        <v/>
      </c>
      <c r="O309" s="19">
        <f>IF($A309="","",IF(COUNTIFS(請求記録!$B$6:$B$3005,$A309,請求記録!$Z$6:$Z$3005,O$5,請求記録!$AF$6:$AF$3005,"保留中")&gt;0,"保留",IF(COUNTIFS(請求記録!$B$6:$B$3005,$A309,請求記録!$Z$6:$Z$3005,O$5)=0,"",SUMIFS(請求記録!$AE$6:$AE$3005,請求記録!$B$6:$B$3005,$A309,請求記録!$Z$6:$Z$3005,O$5))))</f>
        <v/>
      </c>
      <c r="P309" s="19">
        <f>IF($A309="","",IF(COUNTIFS(請求記録!$B$6:$B$3005,$A309,請求記録!$Z$6:$Z$3005,P$5,請求記録!$AF$6:$AF$3005,"保留中")&gt;0,"保留",IF(COUNTIFS(請求記録!$B$6:$B$3005,$A309,請求記録!$Z$6:$Z$3005,P$5)=0,"",SUMIFS(請求記録!$AE$6:$AE$3005,請求記録!$B$6:$B$3005,$A309,請求記録!$Z$6:$Z$3005,P$5))))</f>
        <v/>
      </c>
      <c r="Q309" s="19">
        <f>IF($A309="","",IF(COUNTIFS(請求記録!$B$6:$B$3005,$A309,請求記録!$Z$6:$Z$3005,Q$5,請求記録!$AF$6:$AF$3005,"保留中")&gt;0,"保留",IF(COUNTIFS(請求記録!$B$6:$B$3005,$A309,請求記録!$Z$6:$Z$3005,Q$5)=0,"",SUMIFS(請求記録!$AE$6:$AE$3005,請求記録!$B$6:$B$3005,$A309,請求記録!$Z$6:$Z$3005,Q$5))))</f>
        <v/>
      </c>
      <c r="R309" s="19">
        <f>IF($A309="","",IF(COUNTIFS(請求記録!$B$6:$B$3005,$A309,請求記録!$Z$6:$Z$3005,R$5,請求記録!$AF$6:$AF$3005,"保留中")&gt;0,"保留",IF(COUNTIFS(請求記録!$B$6:$B$3005,$A309,請求記録!$Z$6:$Z$3005,R$5)=0,"",SUMIFS(請求記録!$AE$6:$AE$3005,請求記録!$B$6:$B$3005,$A309,請求記録!$Z$6:$Z$3005,R$5))))</f>
        <v/>
      </c>
      <c r="S309" s="19">
        <f>IF($A309="","",IF(COUNTIFS(請求記録!$B$6:$B$3005,$A309,請求記録!$Z$6:$Z$3005,S$5,請求記録!$AF$6:$AF$3005,"保留中")&gt;0,"保留",IF(COUNTIFS(請求記録!$B$6:$B$3005,$A309,請求記録!$Z$6:$Z$3005,S$5)=0,"",SUMIFS(請求記録!$AE$6:$AE$3005,請求記録!$B$6:$B$3005,$A309,請求記録!$Z$6:$Z$3005,S$5))))</f>
        <v/>
      </c>
      <c r="T309" s="19">
        <f>IF($A309="","",IF(COUNTIFS(請求記録!$B$6:$B$3005,$A309,請求記録!$Z$6:$Z$3005,T$5,請求記録!$AF$6:$AF$3005,"保留中")&gt;0,"保留",IF(COUNTIFS(請求記録!$B$6:$B$3005,$A309,請求記録!$Z$6:$Z$3005,T$5)=0,"",SUMIFS(請求記録!$AE$6:$AE$3005,請求記録!$B$6:$B$3005,$A309,請求記録!$Z$6:$Z$3005,T$5))))</f>
        <v/>
      </c>
      <c r="U309" s="19">
        <f>IF($A309="","",IF(COUNTIFS(請求記録!$B$6:$B$3005,$A309,請求記録!$Z$6:$Z$3005,U$5,請求記録!$AF$6:$AF$3005,"保留中")&gt;0,"保留",IF(COUNTIFS(請求記録!$B$6:$B$3005,$A309,請求記録!$Z$6:$Z$3005,U$5)=0,"",SUMIFS(請求記録!$AE$6:$AE$3005,請求記録!$B$6:$B$3005,$A309,請求記録!$Z$6:$Z$3005,U$5))))</f>
        <v/>
      </c>
      <c r="V309" s="19">
        <f>IF($A309="","",IF(COUNTIFS(請求記録!$B$6:$B$3005,$A309,請求記録!$Z$6:$Z$3005,V$5,請求記録!$AF$6:$AF$3005,"保留中")&gt;0,"保留",IF(COUNTIFS(請求記録!$B$6:$B$3005,$A309,請求記録!$Z$6:$Z$3005,V$5)=0,"",SUMIFS(請求記録!$AE$6:$AE$3005,請求記録!$B$6:$B$3005,$A309,請求記録!$Z$6:$Z$3005,V$5))))</f>
        <v/>
      </c>
      <c r="W309" s="19">
        <f>IF($A309="","",IF(COUNTIFS(請求記録!$B$6:$B$3005,$A309,請求記録!$Z$6:$Z$3005,W$5,請求記録!$AF$6:$AF$3005,"保留中")&gt;0,"保留",IF(COUNTIFS(請求記録!$B$6:$B$3005,$A309,請求記録!$Z$6:$Z$3005,W$5)=0,"",SUMIFS(請求記録!$AE$6:$AE$3005,請求記録!$B$6:$B$3005,$A309,請求記録!$Z$6:$Z$3005,W$5))))</f>
        <v/>
      </c>
      <c r="X309" s="19">
        <f>IF($A309="","",IF(COUNTIFS(請求記録!$B$6:$B$3005,$A309,請求記録!$Z$6:$Z$3005,X$5,請求記録!$AF$6:$AF$3005,"保留中")&gt;0,"保留",IF(COUNTIFS(請求記録!$B$6:$B$3005,$A309,請求記録!$Z$6:$Z$3005,X$5)=0,"",SUMIFS(請求記録!$AE$6:$AE$3005,請求記録!$B$6:$B$3005,$A309,請求記録!$Z$6:$Z$3005,X$5))))</f>
        <v/>
      </c>
      <c r="Y309" s="19">
        <f>IF($A309="","",IF(COUNTIFS(請求記録!$B$6:$B$3005,$A309,請求記録!$Z$6:$Z$3005,Y$5,請求記録!$AF$6:$AF$3005,"保留中")&gt;0,"保留",IF(COUNTIFS(請求記録!$B$6:$B$3005,$A309,請求記録!$Z$6:$Z$3005,Y$5)=0,"",SUMIFS(請求記録!$AE$6:$AE$3005,請求記録!$B$6:$B$3005,$A309,請求記録!$Z$6:$Z$3005,Y$5))))</f>
        <v/>
      </c>
      <c r="Z309" s="19">
        <f>IF($A309="","",IF(COUNTIFS(請求記録!$B$6:$B$3005,$A309,請求記録!$Z$6:$Z$3005,Z$5,請求記録!$AF$6:$AF$3005,"保留中")&gt;0,"保留",IF(COUNTIFS(請求記録!$B$6:$B$3005,$A309,請求記録!$Z$6:$Z$3005,Z$5)=0,"",SUMIFS(請求記録!$AE$6:$AE$3005,請求記録!$B$6:$B$3005,$A309,請求記録!$Z$6:$Z$3005,Z$5))))</f>
        <v/>
      </c>
      <c r="AA309" s="19">
        <f>IF($A309="","",IF(COUNTIFS(請求記録!$B$6:$B$3005,$A309,請求記録!$Z$6:$Z$3005,AA$5,請求記録!$AF$6:$AF$3005,"保留中")&gt;0,"保留",IF(COUNTIFS(請求記録!$B$6:$B$3005,$A309,請求記録!$Z$6:$Z$3005,AA$5)=0,"",SUMIFS(請求記録!$AE$6:$AE$3005,請求記録!$B$6:$B$3005,$A309,請求記録!$Z$6:$Z$3005,AA$5))))</f>
        <v/>
      </c>
      <c r="AB309">
        <f>IF(職員マスタ!P309="保留中",職員マスタ!M309,"")</f>
        <v/>
      </c>
    </row>
    <row r="310">
      <c r="A310">
        <f>IF(職員マスタ!A310="","",職員マスタ!A310)</f>
        <v/>
      </c>
      <c r="B310">
        <f>IF($A310="","",職員マスタ!B310)</f>
        <v/>
      </c>
      <c r="C310">
        <f>IF($A310="","",職員マスタ!C310)</f>
        <v/>
      </c>
      <c r="D310" s="19">
        <f>IF($A310="","",IF(COUNTIFS(請求記録!$B$6:$B$3005,$A310,請求記録!$Z$6:$Z$3005,D$5,請求記録!$AF$6:$AF$3005,"保留中")&gt;0,"保留",IF(COUNTIFS(請求記録!$B$6:$B$3005,$A310,請求記録!$Z$6:$Z$3005,D$5)=0,"",SUMIFS(請求記録!$AE$6:$AE$3005,請求記録!$B$6:$B$3005,$A310,請求記録!$Z$6:$Z$3005,D$5))))</f>
        <v/>
      </c>
      <c r="E310" s="19">
        <f>IF($A310="","",IF(COUNTIFS(請求記録!$B$6:$B$3005,$A310,請求記録!$Z$6:$Z$3005,E$5,請求記録!$AF$6:$AF$3005,"保留中")&gt;0,"保留",IF(COUNTIFS(請求記録!$B$6:$B$3005,$A310,請求記録!$Z$6:$Z$3005,E$5)=0,"",SUMIFS(請求記録!$AE$6:$AE$3005,請求記録!$B$6:$B$3005,$A310,請求記録!$Z$6:$Z$3005,E$5))))</f>
        <v/>
      </c>
      <c r="F310" s="19">
        <f>IF($A310="","",IF(COUNTIFS(請求記録!$B$6:$B$3005,$A310,請求記録!$Z$6:$Z$3005,F$5,請求記録!$AF$6:$AF$3005,"保留中")&gt;0,"保留",IF(COUNTIFS(請求記録!$B$6:$B$3005,$A310,請求記録!$Z$6:$Z$3005,F$5)=0,"",SUMIFS(請求記録!$AE$6:$AE$3005,請求記録!$B$6:$B$3005,$A310,請求記録!$Z$6:$Z$3005,F$5))))</f>
        <v/>
      </c>
      <c r="G310" s="19">
        <f>IF($A310="","",IF(COUNTIFS(請求記録!$B$6:$B$3005,$A310,請求記録!$Z$6:$Z$3005,G$5,請求記録!$AF$6:$AF$3005,"保留中")&gt;0,"保留",IF(COUNTIFS(請求記録!$B$6:$B$3005,$A310,請求記録!$Z$6:$Z$3005,G$5)=0,"",SUMIFS(請求記録!$AE$6:$AE$3005,請求記録!$B$6:$B$3005,$A310,請求記録!$Z$6:$Z$3005,G$5))))</f>
        <v/>
      </c>
      <c r="H310" s="19">
        <f>IF($A310="","",IF(COUNTIFS(請求記録!$B$6:$B$3005,$A310,請求記録!$Z$6:$Z$3005,H$5,請求記録!$AF$6:$AF$3005,"保留中")&gt;0,"保留",IF(COUNTIFS(請求記録!$B$6:$B$3005,$A310,請求記録!$Z$6:$Z$3005,H$5)=0,"",SUMIFS(請求記録!$AE$6:$AE$3005,請求記録!$B$6:$B$3005,$A310,請求記録!$Z$6:$Z$3005,H$5))))</f>
        <v/>
      </c>
      <c r="I310" s="19">
        <f>IF($A310="","",IF(COUNTIFS(請求記録!$B$6:$B$3005,$A310,請求記録!$Z$6:$Z$3005,I$5,請求記録!$AF$6:$AF$3005,"保留中")&gt;0,"保留",IF(COUNTIFS(請求記録!$B$6:$B$3005,$A310,請求記録!$Z$6:$Z$3005,I$5)=0,"",SUMIFS(請求記録!$AE$6:$AE$3005,請求記録!$B$6:$B$3005,$A310,請求記録!$Z$6:$Z$3005,I$5))))</f>
        <v/>
      </c>
      <c r="J310" s="19">
        <f>IF($A310="","",IF(COUNTIFS(請求記録!$B$6:$B$3005,$A310,請求記録!$Z$6:$Z$3005,J$5,請求記録!$AF$6:$AF$3005,"保留中")&gt;0,"保留",IF(COUNTIFS(請求記録!$B$6:$B$3005,$A310,請求記録!$Z$6:$Z$3005,J$5)=0,"",SUMIFS(請求記録!$AE$6:$AE$3005,請求記録!$B$6:$B$3005,$A310,請求記録!$Z$6:$Z$3005,J$5))))</f>
        <v/>
      </c>
      <c r="K310" s="19">
        <f>IF($A310="","",IF(COUNTIFS(請求記録!$B$6:$B$3005,$A310,請求記録!$Z$6:$Z$3005,K$5,請求記録!$AF$6:$AF$3005,"保留中")&gt;0,"保留",IF(COUNTIFS(請求記録!$B$6:$B$3005,$A310,請求記録!$Z$6:$Z$3005,K$5)=0,"",SUMIFS(請求記録!$AE$6:$AE$3005,請求記録!$B$6:$B$3005,$A310,請求記録!$Z$6:$Z$3005,K$5))))</f>
        <v/>
      </c>
      <c r="L310" s="19">
        <f>IF($A310="","",IF(COUNTIFS(請求記録!$B$6:$B$3005,$A310,請求記録!$Z$6:$Z$3005,L$5,請求記録!$AF$6:$AF$3005,"保留中")&gt;0,"保留",IF(COUNTIFS(請求記録!$B$6:$B$3005,$A310,請求記録!$Z$6:$Z$3005,L$5)=0,"",SUMIFS(請求記録!$AE$6:$AE$3005,請求記録!$B$6:$B$3005,$A310,請求記録!$Z$6:$Z$3005,L$5))))</f>
        <v/>
      </c>
      <c r="M310" s="19">
        <f>IF($A310="","",IF(COUNTIFS(請求記録!$B$6:$B$3005,$A310,請求記録!$Z$6:$Z$3005,M$5,請求記録!$AF$6:$AF$3005,"保留中")&gt;0,"保留",IF(COUNTIFS(請求記録!$B$6:$B$3005,$A310,請求記録!$Z$6:$Z$3005,M$5)=0,"",SUMIFS(請求記録!$AE$6:$AE$3005,請求記録!$B$6:$B$3005,$A310,請求記録!$Z$6:$Z$3005,M$5))))</f>
        <v/>
      </c>
      <c r="N310" s="19">
        <f>IF($A310="","",IF(COUNTIFS(請求記録!$B$6:$B$3005,$A310,請求記録!$Z$6:$Z$3005,N$5,請求記録!$AF$6:$AF$3005,"保留中")&gt;0,"保留",IF(COUNTIFS(請求記録!$B$6:$B$3005,$A310,請求記録!$Z$6:$Z$3005,N$5)=0,"",SUMIFS(請求記録!$AE$6:$AE$3005,請求記録!$B$6:$B$3005,$A310,請求記録!$Z$6:$Z$3005,N$5))))</f>
        <v/>
      </c>
      <c r="O310" s="19">
        <f>IF($A310="","",IF(COUNTIFS(請求記録!$B$6:$B$3005,$A310,請求記録!$Z$6:$Z$3005,O$5,請求記録!$AF$6:$AF$3005,"保留中")&gt;0,"保留",IF(COUNTIFS(請求記録!$B$6:$B$3005,$A310,請求記録!$Z$6:$Z$3005,O$5)=0,"",SUMIFS(請求記録!$AE$6:$AE$3005,請求記録!$B$6:$B$3005,$A310,請求記録!$Z$6:$Z$3005,O$5))))</f>
        <v/>
      </c>
      <c r="P310" s="19">
        <f>IF($A310="","",IF(COUNTIFS(請求記録!$B$6:$B$3005,$A310,請求記録!$Z$6:$Z$3005,P$5,請求記録!$AF$6:$AF$3005,"保留中")&gt;0,"保留",IF(COUNTIFS(請求記録!$B$6:$B$3005,$A310,請求記録!$Z$6:$Z$3005,P$5)=0,"",SUMIFS(請求記録!$AE$6:$AE$3005,請求記録!$B$6:$B$3005,$A310,請求記録!$Z$6:$Z$3005,P$5))))</f>
        <v/>
      </c>
      <c r="Q310" s="19">
        <f>IF($A310="","",IF(COUNTIFS(請求記録!$B$6:$B$3005,$A310,請求記録!$Z$6:$Z$3005,Q$5,請求記録!$AF$6:$AF$3005,"保留中")&gt;0,"保留",IF(COUNTIFS(請求記録!$B$6:$B$3005,$A310,請求記録!$Z$6:$Z$3005,Q$5)=0,"",SUMIFS(請求記録!$AE$6:$AE$3005,請求記録!$B$6:$B$3005,$A310,請求記録!$Z$6:$Z$3005,Q$5))))</f>
        <v/>
      </c>
      <c r="R310" s="19">
        <f>IF($A310="","",IF(COUNTIFS(請求記録!$B$6:$B$3005,$A310,請求記録!$Z$6:$Z$3005,R$5,請求記録!$AF$6:$AF$3005,"保留中")&gt;0,"保留",IF(COUNTIFS(請求記録!$B$6:$B$3005,$A310,請求記録!$Z$6:$Z$3005,R$5)=0,"",SUMIFS(請求記録!$AE$6:$AE$3005,請求記録!$B$6:$B$3005,$A310,請求記録!$Z$6:$Z$3005,R$5))))</f>
        <v/>
      </c>
      <c r="S310" s="19">
        <f>IF($A310="","",IF(COUNTIFS(請求記録!$B$6:$B$3005,$A310,請求記録!$Z$6:$Z$3005,S$5,請求記録!$AF$6:$AF$3005,"保留中")&gt;0,"保留",IF(COUNTIFS(請求記録!$B$6:$B$3005,$A310,請求記録!$Z$6:$Z$3005,S$5)=0,"",SUMIFS(請求記録!$AE$6:$AE$3005,請求記録!$B$6:$B$3005,$A310,請求記録!$Z$6:$Z$3005,S$5))))</f>
        <v/>
      </c>
      <c r="T310" s="19">
        <f>IF($A310="","",IF(COUNTIFS(請求記録!$B$6:$B$3005,$A310,請求記録!$Z$6:$Z$3005,T$5,請求記録!$AF$6:$AF$3005,"保留中")&gt;0,"保留",IF(COUNTIFS(請求記録!$B$6:$B$3005,$A310,請求記録!$Z$6:$Z$3005,T$5)=0,"",SUMIFS(請求記録!$AE$6:$AE$3005,請求記録!$B$6:$B$3005,$A310,請求記録!$Z$6:$Z$3005,T$5))))</f>
        <v/>
      </c>
      <c r="U310" s="19">
        <f>IF($A310="","",IF(COUNTIFS(請求記録!$B$6:$B$3005,$A310,請求記録!$Z$6:$Z$3005,U$5,請求記録!$AF$6:$AF$3005,"保留中")&gt;0,"保留",IF(COUNTIFS(請求記録!$B$6:$B$3005,$A310,請求記録!$Z$6:$Z$3005,U$5)=0,"",SUMIFS(請求記録!$AE$6:$AE$3005,請求記録!$B$6:$B$3005,$A310,請求記録!$Z$6:$Z$3005,U$5))))</f>
        <v/>
      </c>
      <c r="V310" s="19">
        <f>IF($A310="","",IF(COUNTIFS(請求記録!$B$6:$B$3005,$A310,請求記録!$Z$6:$Z$3005,V$5,請求記録!$AF$6:$AF$3005,"保留中")&gt;0,"保留",IF(COUNTIFS(請求記録!$B$6:$B$3005,$A310,請求記録!$Z$6:$Z$3005,V$5)=0,"",SUMIFS(請求記録!$AE$6:$AE$3005,請求記録!$B$6:$B$3005,$A310,請求記録!$Z$6:$Z$3005,V$5))))</f>
        <v/>
      </c>
      <c r="W310" s="19">
        <f>IF($A310="","",IF(COUNTIFS(請求記録!$B$6:$B$3005,$A310,請求記録!$Z$6:$Z$3005,W$5,請求記録!$AF$6:$AF$3005,"保留中")&gt;0,"保留",IF(COUNTIFS(請求記録!$B$6:$B$3005,$A310,請求記録!$Z$6:$Z$3005,W$5)=0,"",SUMIFS(請求記録!$AE$6:$AE$3005,請求記録!$B$6:$B$3005,$A310,請求記録!$Z$6:$Z$3005,W$5))))</f>
        <v/>
      </c>
      <c r="X310" s="19">
        <f>IF($A310="","",IF(COUNTIFS(請求記録!$B$6:$B$3005,$A310,請求記録!$Z$6:$Z$3005,X$5,請求記録!$AF$6:$AF$3005,"保留中")&gt;0,"保留",IF(COUNTIFS(請求記録!$B$6:$B$3005,$A310,請求記録!$Z$6:$Z$3005,X$5)=0,"",SUMIFS(請求記録!$AE$6:$AE$3005,請求記録!$B$6:$B$3005,$A310,請求記録!$Z$6:$Z$3005,X$5))))</f>
        <v/>
      </c>
      <c r="Y310" s="19">
        <f>IF($A310="","",IF(COUNTIFS(請求記録!$B$6:$B$3005,$A310,請求記録!$Z$6:$Z$3005,Y$5,請求記録!$AF$6:$AF$3005,"保留中")&gt;0,"保留",IF(COUNTIFS(請求記録!$B$6:$B$3005,$A310,請求記録!$Z$6:$Z$3005,Y$5)=0,"",SUMIFS(請求記録!$AE$6:$AE$3005,請求記録!$B$6:$B$3005,$A310,請求記録!$Z$6:$Z$3005,Y$5))))</f>
        <v/>
      </c>
      <c r="Z310" s="19">
        <f>IF($A310="","",IF(COUNTIFS(請求記録!$B$6:$B$3005,$A310,請求記録!$Z$6:$Z$3005,Z$5,請求記録!$AF$6:$AF$3005,"保留中")&gt;0,"保留",IF(COUNTIFS(請求記録!$B$6:$B$3005,$A310,請求記録!$Z$6:$Z$3005,Z$5)=0,"",SUMIFS(請求記録!$AE$6:$AE$3005,請求記録!$B$6:$B$3005,$A310,請求記録!$Z$6:$Z$3005,Z$5))))</f>
        <v/>
      </c>
      <c r="AA310" s="19">
        <f>IF($A310="","",IF(COUNTIFS(請求記録!$B$6:$B$3005,$A310,請求記録!$Z$6:$Z$3005,AA$5,請求記録!$AF$6:$AF$3005,"保留中")&gt;0,"保留",IF(COUNTIFS(請求記録!$B$6:$B$3005,$A310,請求記録!$Z$6:$Z$3005,AA$5)=0,"",SUMIFS(請求記録!$AE$6:$AE$3005,請求記録!$B$6:$B$3005,$A310,請求記録!$Z$6:$Z$3005,AA$5))))</f>
        <v/>
      </c>
      <c r="AB310">
        <f>IF(職員マスタ!P310="保留中",職員マスタ!M310,"")</f>
        <v/>
      </c>
    </row>
    <row r="311">
      <c r="A311">
        <f>IF(職員マスタ!A311="","",職員マスタ!A311)</f>
        <v/>
      </c>
      <c r="B311">
        <f>IF($A311="","",職員マスタ!B311)</f>
        <v/>
      </c>
      <c r="C311">
        <f>IF($A311="","",職員マスタ!C311)</f>
        <v/>
      </c>
      <c r="D311" s="19">
        <f>IF($A311="","",IF(COUNTIFS(請求記録!$B$6:$B$3005,$A311,請求記録!$Z$6:$Z$3005,D$5,請求記録!$AF$6:$AF$3005,"保留中")&gt;0,"保留",IF(COUNTIFS(請求記録!$B$6:$B$3005,$A311,請求記録!$Z$6:$Z$3005,D$5)=0,"",SUMIFS(請求記録!$AE$6:$AE$3005,請求記録!$B$6:$B$3005,$A311,請求記録!$Z$6:$Z$3005,D$5))))</f>
        <v/>
      </c>
      <c r="E311" s="19">
        <f>IF($A311="","",IF(COUNTIFS(請求記録!$B$6:$B$3005,$A311,請求記録!$Z$6:$Z$3005,E$5,請求記録!$AF$6:$AF$3005,"保留中")&gt;0,"保留",IF(COUNTIFS(請求記録!$B$6:$B$3005,$A311,請求記録!$Z$6:$Z$3005,E$5)=0,"",SUMIFS(請求記録!$AE$6:$AE$3005,請求記録!$B$6:$B$3005,$A311,請求記録!$Z$6:$Z$3005,E$5))))</f>
        <v/>
      </c>
      <c r="F311" s="19">
        <f>IF($A311="","",IF(COUNTIFS(請求記録!$B$6:$B$3005,$A311,請求記録!$Z$6:$Z$3005,F$5,請求記録!$AF$6:$AF$3005,"保留中")&gt;0,"保留",IF(COUNTIFS(請求記録!$B$6:$B$3005,$A311,請求記録!$Z$6:$Z$3005,F$5)=0,"",SUMIFS(請求記録!$AE$6:$AE$3005,請求記録!$B$6:$B$3005,$A311,請求記録!$Z$6:$Z$3005,F$5))))</f>
        <v/>
      </c>
      <c r="G311" s="19">
        <f>IF($A311="","",IF(COUNTIFS(請求記録!$B$6:$B$3005,$A311,請求記録!$Z$6:$Z$3005,G$5,請求記録!$AF$6:$AF$3005,"保留中")&gt;0,"保留",IF(COUNTIFS(請求記録!$B$6:$B$3005,$A311,請求記録!$Z$6:$Z$3005,G$5)=0,"",SUMIFS(請求記録!$AE$6:$AE$3005,請求記録!$B$6:$B$3005,$A311,請求記録!$Z$6:$Z$3005,G$5))))</f>
        <v/>
      </c>
      <c r="H311" s="19">
        <f>IF($A311="","",IF(COUNTIFS(請求記録!$B$6:$B$3005,$A311,請求記録!$Z$6:$Z$3005,H$5,請求記録!$AF$6:$AF$3005,"保留中")&gt;0,"保留",IF(COUNTIFS(請求記録!$B$6:$B$3005,$A311,請求記録!$Z$6:$Z$3005,H$5)=0,"",SUMIFS(請求記録!$AE$6:$AE$3005,請求記録!$B$6:$B$3005,$A311,請求記録!$Z$6:$Z$3005,H$5))))</f>
        <v/>
      </c>
      <c r="I311" s="19">
        <f>IF($A311="","",IF(COUNTIFS(請求記録!$B$6:$B$3005,$A311,請求記録!$Z$6:$Z$3005,I$5,請求記録!$AF$6:$AF$3005,"保留中")&gt;0,"保留",IF(COUNTIFS(請求記録!$B$6:$B$3005,$A311,請求記録!$Z$6:$Z$3005,I$5)=0,"",SUMIFS(請求記録!$AE$6:$AE$3005,請求記録!$B$6:$B$3005,$A311,請求記録!$Z$6:$Z$3005,I$5))))</f>
        <v/>
      </c>
      <c r="J311" s="19">
        <f>IF($A311="","",IF(COUNTIFS(請求記録!$B$6:$B$3005,$A311,請求記録!$Z$6:$Z$3005,J$5,請求記録!$AF$6:$AF$3005,"保留中")&gt;0,"保留",IF(COUNTIFS(請求記録!$B$6:$B$3005,$A311,請求記録!$Z$6:$Z$3005,J$5)=0,"",SUMIFS(請求記録!$AE$6:$AE$3005,請求記録!$B$6:$B$3005,$A311,請求記録!$Z$6:$Z$3005,J$5))))</f>
        <v/>
      </c>
      <c r="K311" s="19">
        <f>IF($A311="","",IF(COUNTIFS(請求記録!$B$6:$B$3005,$A311,請求記録!$Z$6:$Z$3005,K$5,請求記録!$AF$6:$AF$3005,"保留中")&gt;0,"保留",IF(COUNTIFS(請求記録!$B$6:$B$3005,$A311,請求記録!$Z$6:$Z$3005,K$5)=0,"",SUMIFS(請求記録!$AE$6:$AE$3005,請求記録!$B$6:$B$3005,$A311,請求記録!$Z$6:$Z$3005,K$5))))</f>
        <v/>
      </c>
      <c r="L311" s="19">
        <f>IF($A311="","",IF(COUNTIFS(請求記録!$B$6:$B$3005,$A311,請求記録!$Z$6:$Z$3005,L$5,請求記録!$AF$6:$AF$3005,"保留中")&gt;0,"保留",IF(COUNTIFS(請求記録!$B$6:$B$3005,$A311,請求記録!$Z$6:$Z$3005,L$5)=0,"",SUMIFS(請求記録!$AE$6:$AE$3005,請求記録!$B$6:$B$3005,$A311,請求記録!$Z$6:$Z$3005,L$5))))</f>
        <v/>
      </c>
      <c r="M311" s="19">
        <f>IF($A311="","",IF(COUNTIFS(請求記録!$B$6:$B$3005,$A311,請求記録!$Z$6:$Z$3005,M$5,請求記録!$AF$6:$AF$3005,"保留中")&gt;0,"保留",IF(COUNTIFS(請求記録!$B$6:$B$3005,$A311,請求記録!$Z$6:$Z$3005,M$5)=0,"",SUMIFS(請求記録!$AE$6:$AE$3005,請求記録!$B$6:$B$3005,$A311,請求記録!$Z$6:$Z$3005,M$5))))</f>
        <v/>
      </c>
      <c r="N311" s="19">
        <f>IF($A311="","",IF(COUNTIFS(請求記録!$B$6:$B$3005,$A311,請求記録!$Z$6:$Z$3005,N$5,請求記録!$AF$6:$AF$3005,"保留中")&gt;0,"保留",IF(COUNTIFS(請求記録!$B$6:$B$3005,$A311,請求記録!$Z$6:$Z$3005,N$5)=0,"",SUMIFS(請求記録!$AE$6:$AE$3005,請求記録!$B$6:$B$3005,$A311,請求記録!$Z$6:$Z$3005,N$5))))</f>
        <v/>
      </c>
      <c r="O311" s="19">
        <f>IF($A311="","",IF(COUNTIFS(請求記録!$B$6:$B$3005,$A311,請求記録!$Z$6:$Z$3005,O$5,請求記録!$AF$6:$AF$3005,"保留中")&gt;0,"保留",IF(COUNTIFS(請求記録!$B$6:$B$3005,$A311,請求記録!$Z$6:$Z$3005,O$5)=0,"",SUMIFS(請求記録!$AE$6:$AE$3005,請求記録!$B$6:$B$3005,$A311,請求記録!$Z$6:$Z$3005,O$5))))</f>
        <v/>
      </c>
      <c r="P311" s="19">
        <f>IF($A311="","",IF(COUNTIFS(請求記録!$B$6:$B$3005,$A311,請求記録!$Z$6:$Z$3005,P$5,請求記録!$AF$6:$AF$3005,"保留中")&gt;0,"保留",IF(COUNTIFS(請求記録!$B$6:$B$3005,$A311,請求記録!$Z$6:$Z$3005,P$5)=0,"",SUMIFS(請求記録!$AE$6:$AE$3005,請求記録!$B$6:$B$3005,$A311,請求記録!$Z$6:$Z$3005,P$5))))</f>
        <v/>
      </c>
      <c r="Q311" s="19">
        <f>IF($A311="","",IF(COUNTIFS(請求記録!$B$6:$B$3005,$A311,請求記録!$Z$6:$Z$3005,Q$5,請求記録!$AF$6:$AF$3005,"保留中")&gt;0,"保留",IF(COUNTIFS(請求記録!$B$6:$B$3005,$A311,請求記録!$Z$6:$Z$3005,Q$5)=0,"",SUMIFS(請求記録!$AE$6:$AE$3005,請求記録!$B$6:$B$3005,$A311,請求記録!$Z$6:$Z$3005,Q$5))))</f>
        <v/>
      </c>
      <c r="R311" s="19">
        <f>IF($A311="","",IF(COUNTIFS(請求記録!$B$6:$B$3005,$A311,請求記録!$Z$6:$Z$3005,R$5,請求記録!$AF$6:$AF$3005,"保留中")&gt;0,"保留",IF(COUNTIFS(請求記録!$B$6:$B$3005,$A311,請求記録!$Z$6:$Z$3005,R$5)=0,"",SUMIFS(請求記録!$AE$6:$AE$3005,請求記録!$B$6:$B$3005,$A311,請求記録!$Z$6:$Z$3005,R$5))))</f>
        <v/>
      </c>
      <c r="S311" s="19">
        <f>IF($A311="","",IF(COUNTIFS(請求記録!$B$6:$B$3005,$A311,請求記録!$Z$6:$Z$3005,S$5,請求記録!$AF$6:$AF$3005,"保留中")&gt;0,"保留",IF(COUNTIFS(請求記録!$B$6:$B$3005,$A311,請求記録!$Z$6:$Z$3005,S$5)=0,"",SUMIFS(請求記録!$AE$6:$AE$3005,請求記録!$B$6:$B$3005,$A311,請求記録!$Z$6:$Z$3005,S$5))))</f>
        <v/>
      </c>
      <c r="T311" s="19">
        <f>IF($A311="","",IF(COUNTIFS(請求記録!$B$6:$B$3005,$A311,請求記録!$Z$6:$Z$3005,T$5,請求記録!$AF$6:$AF$3005,"保留中")&gt;0,"保留",IF(COUNTIFS(請求記録!$B$6:$B$3005,$A311,請求記録!$Z$6:$Z$3005,T$5)=0,"",SUMIFS(請求記録!$AE$6:$AE$3005,請求記録!$B$6:$B$3005,$A311,請求記録!$Z$6:$Z$3005,T$5))))</f>
        <v/>
      </c>
      <c r="U311" s="19">
        <f>IF($A311="","",IF(COUNTIFS(請求記録!$B$6:$B$3005,$A311,請求記録!$Z$6:$Z$3005,U$5,請求記録!$AF$6:$AF$3005,"保留中")&gt;0,"保留",IF(COUNTIFS(請求記録!$B$6:$B$3005,$A311,請求記録!$Z$6:$Z$3005,U$5)=0,"",SUMIFS(請求記録!$AE$6:$AE$3005,請求記録!$B$6:$B$3005,$A311,請求記録!$Z$6:$Z$3005,U$5))))</f>
        <v/>
      </c>
      <c r="V311" s="19">
        <f>IF($A311="","",IF(COUNTIFS(請求記録!$B$6:$B$3005,$A311,請求記録!$Z$6:$Z$3005,V$5,請求記録!$AF$6:$AF$3005,"保留中")&gt;0,"保留",IF(COUNTIFS(請求記録!$B$6:$B$3005,$A311,請求記録!$Z$6:$Z$3005,V$5)=0,"",SUMIFS(請求記録!$AE$6:$AE$3005,請求記録!$B$6:$B$3005,$A311,請求記録!$Z$6:$Z$3005,V$5))))</f>
        <v/>
      </c>
      <c r="W311" s="19">
        <f>IF($A311="","",IF(COUNTIFS(請求記録!$B$6:$B$3005,$A311,請求記録!$Z$6:$Z$3005,W$5,請求記録!$AF$6:$AF$3005,"保留中")&gt;0,"保留",IF(COUNTIFS(請求記録!$B$6:$B$3005,$A311,請求記録!$Z$6:$Z$3005,W$5)=0,"",SUMIFS(請求記録!$AE$6:$AE$3005,請求記録!$B$6:$B$3005,$A311,請求記録!$Z$6:$Z$3005,W$5))))</f>
        <v/>
      </c>
      <c r="X311" s="19">
        <f>IF($A311="","",IF(COUNTIFS(請求記録!$B$6:$B$3005,$A311,請求記録!$Z$6:$Z$3005,X$5,請求記録!$AF$6:$AF$3005,"保留中")&gt;0,"保留",IF(COUNTIFS(請求記録!$B$6:$B$3005,$A311,請求記録!$Z$6:$Z$3005,X$5)=0,"",SUMIFS(請求記録!$AE$6:$AE$3005,請求記録!$B$6:$B$3005,$A311,請求記録!$Z$6:$Z$3005,X$5))))</f>
        <v/>
      </c>
      <c r="Y311" s="19">
        <f>IF($A311="","",IF(COUNTIFS(請求記録!$B$6:$B$3005,$A311,請求記録!$Z$6:$Z$3005,Y$5,請求記録!$AF$6:$AF$3005,"保留中")&gt;0,"保留",IF(COUNTIFS(請求記録!$B$6:$B$3005,$A311,請求記録!$Z$6:$Z$3005,Y$5)=0,"",SUMIFS(請求記録!$AE$6:$AE$3005,請求記録!$B$6:$B$3005,$A311,請求記録!$Z$6:$Z$3005,Y$5))))</f>
        <v/>
      </c>
      <c r="Z311" s="19">
        <f>IF($A311="","",IF(COUNTIFS(請求記録!$B$6:$B$3005,$A311,請求記録!$Z$6:$Z$3005,Z$5,請求記録!$AF$6:$AF$3005,"保留中")&gt;0,"保留",IF(COUNTIFS(請求記録!$B$6:$B$3005,$A311,請求記録!$Z$6:$Z$3005,Z$5)=0,"",SUMIFS(請求記録!$AE$6:$AE$3005,請求記録!$B$6:$B$3005,$A311,請求記録!$Z$6:$Z$3005,Z$5))))</f>
        <v/>
      </c>
      <c r="AA311" s="19">
        <f>IF($A311="","",IF(COUNTIFS(請求記録!$B$6:$B$3005,$A311,請求記録!$Z$6:$Z$3005,AA$5,請求記録!$AF$6:$AF$3005,"保留中")&gt;0,"保留",IF(COUNTIFS(請求記録!$B$6:$B$3005,$A311,請求記録!$Z$6:$Z$3005,AA$5)=0,"",SUMIFS(請求記録!$AE$6:$AE$3005,請求記録!$B$6:$B$3005,$A311,請求記録!$Z$6:$Z$3005,AA$5))))</f>
        <v/>
      </c>
      <c r="AB311">
        <f>IF(職員マスタ!P311="保留中",職員マスタ!M311,"")</f>
        <v/>
      </c>
    </row>
    <row r="312">
      <c r="A312">
        <f>IF(職員マスタ!A312="","",職員マスタ!A312)</f>
        <v/>
      </c>
      <c r="B312">
        <f>IF($A312="","",職員マスタ!B312)</f>
        <v/>
      </c>
      <c r="C312">
        <f>IF($A312="","",職員マスタ!C312)</f>
        <v/>
      </c>
      <c r="D312" s="19">
        <f>IF($A312="","",IF(COUNTIFS(請求記録!$B$6:$B$3005,$A312,請求記録!$Z$6:$Z$3005,D$5,請求記録!$AF$6:$AF$3005,"保留中")&gt;0,"保留",IF(COUNTIFS(請求記録!$B$6:$B$3005,$A312,請求記録!$Z$6:$Z$3005,D$5)=0,"",SUMIFS(請求記録!$AE$6:$AE$3005,請求記録!$B$6:$B$3005,$A312,請求記録!$Z$6:$Z$3005,D$5))))</f>
        <v/>
      </c>
      <c r="E312" s="19">
        <f>IF($A312="","",IF(COUNTIFS(請求記録!$B$6:$B$3005,$A312,請求記録!$Z$6:$Z$3005,E$5,請求記録!$AF$6:$AF$3005,"保留中")&gt;0,"保留",IF(COUNTIFS(請求記録!$B$6:$B$3005,$A312,請求記録!$Z$6:$Z$3005,E$5)=0,"",SUMIFS(請求記録!$AE$6:$AE$3005,請求記録!$B$6:$B$3005,$A312,請求記録!$Z$6:$Z$3005,E$5))))</f>
        <v/>
      </c>
      <c r="F312" s="19">
        <f>IF($A312="","",IF(COUNTIFS(請求記録!$B$6:$B$3005,$A312,請求記録!$Z$6:$Z$3005,F$5,請求記録!$AF$6:$AF$3005,"保留中")&gt;0,"保留",IF(COUNTIFS(請求記録!$B$6:$B$3005,$A312,請求記録!$Z$6:$Z$3005,F$5)=0,"",SUMIFS(請求記録!$AE$6:$AE$3005,請求記録!$B$6:$B$3005,$A312,請求記録!$Z$6:$Z$3005,F$5))))</f>
        <v/>
      </c>
      <c r="G312" s="19">
        <f>IF($A312="","",IF(COUNTIFS(請求記録!$B$6:$B$3005,$A312,請求記録!$Z$6:$Z$3005,G$5,請求記録!$AF$6:$AF$3005,"保留中")&gt;0,"保留",IF(COUNTIFS(請求記録!$B$6:$B$3005,$A312,請求記録!$Z$6:$Z$3005,G$5)=0,"",SUMIFS(請求記録!$AE$6:$AE$3005,請求記録!$B$6:$B$3005,$A312,請求記録!$Z$6:$Z$3005,G$5))))</f>
        <v/>
      </c>
      <c r="H312" s="19">
        <f>IF($A312="","",IF(COUNTIFS(請求記録!$B$6:$B$3005,$A312,請求記録!$Z$6:$Z$3005,H$5,請求記録!$AF$6:$AF$3005,"保留中")&gt;0,"保留",IF(COUNTIFS(請求記録!$B$6:$B$3005,$A312,請求記録!$Z$6:$Z$3005,H$5)=0,"",SUMIFS(請求記録!$AE$6:$AE$3005,請求記録!$B$6:$B$3005,$A312,請求記録!$Z$6:$Z$3005,H$5))))</f>
        <v/>
      </c>
      <c r="I312" s="19">
        <f>IF($A312="","",IF(COUNTIFS(請求記録!$B$6:$B$3005,$A312,請求記録!$Z$6:$Z$3005,I$5,請求記録!$AF$6:$AF$3005,"保留中")&gt;0,"保留",IF(COUNTIFS(請求記録!$B$6:$B$3005,$A312,請求記録!$Z$6:$Z$3005,I$5)=0,"",SUMIFS(請求記録!$AE$6:$AE$3005,請求記録!$B$6:$B$3005,$A312,請求記録!$Z$6:$Z$3005,I$5))))</f>
        <v/>
      </c>
      <c r="J312" s="19">
        <f>IF($A312="","",IF(COUNTIFS(請求記録!$B$6:$B$3005,$A312,請求記録!$Z$6:$Z$3005,J$5,請求記録!$AF$6:$AF$3005,"保留中")&gt;0,"保留",IF(COUNTIFS(請求記録!$B$6:$B$3005,$A312,請求記録!$Z$6:$Z$3005,J$5)=0,"",SUMIFS(請求記録!$AE$6:$AE$3005,請求記録!$B$6:$B$3005,$A312,請求記録!$Z$6:$Z$3005,J$5))))</f>
        <v/>
      </c>
      <c r="K312" s="19">
        <f>IF($A312="","",IF(COUNTIFS(請求記録!$B$6:$B$3005,$A312,請求記録!$Z$6:$Z$3005,K$5,請求記録!$AF$6:$AF$3005,"保留中")&gt;0,"保留",IF(COUNTIFS(請求記録!$B$6:$B$3005,$A312,請求記録!$Z$6:$Z$3005,K$5)=0,"",SUMIFS(請求記録!$AE$6:$AE$3005,請求記録!$B$6:$B$3005,$A312,請求記録!$Z$6:$Z$3005,K$5))))</f>
        <v/>
      </c>
      <c r="L312" s="19">
        <f>IF($A312="","",IF(COUNTIFS(請求記録!$B$6:$B$3005,$A312,請求記録!$Z$6:$Z$3005,L$5,請求記録!$AF$6:$AF$3005,"保留中")&gt;0,"保留",IF(COUNTIFS(請求記録!$B$6:$B$3005,$A312,請求記録!$Z$6:$Z$3005,L$5)=0,"",SUMIFS(請求記録!$AE$6:$AE$3005,請求記録!$B$6:$B$3005,$A312,請求記録!$Z$6:$Z$3005,L$5))))</f>
        <v/>
      </c>
      <c r="M312" s="19">
        <f>IF($A312="","",IF(COUNTIFS(請求記録!$B$6:$B$3005,$A312,請求記録!$Z$6:$Z$3005,M$5,請求記録!$AF$6:$AF$3005,"保留中")&gt;0,"保留",IF(COUNTIFS(請求記録!$B$6:$B$3005,$A312,請求記録!$Z$6:$Z$3005,M$5)=0,"",SUMIFS(請求記録!$AE$6:$AE$3005,請求記録!$B$6:$B$3005,$A312,請求記録!$Z$6:$Z$3005,M$5))))</f>
        <v/>
      </c>
      <c r="N312" s="19">
        <f>IF($A312="","",IF(COUNTIFS(請求記録!$B$6:$B$3005,$A312,請求記録!$Z$6:$Z$3005,N$5,請求記録!$AF$6:$AF$3005,"保留中")&gt;0,"保留",IF(COUNTIFS(請求記録!$B$6:$B$3005,$A312,請求記録!$Z$6:$Z$3005,N$5)=0,"",SUMIFS(請求記録!$AE$6:$AE$3005,請求記録!$B$6:$B$3005,$A312,請求記録!$Z$6:$Z$3005,N$5))))</f>
        <v/>
      </c>
      <c r="O312" s="19">
        <f>IF($A312="","",IF(COUNTIFS(請求記録!$B$6:$B$3005,$A312,請求記録!$Z$6:$Z$3005,O$5,請求記録!$AF$6:$AF$3005,"保留中")&gt;0,"保留",IF(COUNTIFS(請求記録!$B$6:$B$3005,$A312,請求記録!$Z$6:$Z$3005,O$5)=0,"",SUMIFS(請求記録!$AE$6:$AE$3005,請求記録!$B$6:$B$3005,$A312,請求記録!$Z$6:$Z$3005,O$5))))</f>
        <v/>
      </c>
      <c r="P312" s="19">
        <f>IF($A312="","",IF(COUNTIFS(請求記録!$B$6:$B$3005,$A312,請求記録!$Z$6:$Z$3005,P$5,請求記録!$AF$6:$AF$3005,"保留中")&gt;0,"保留",IF(COUNTIFS(請求記録!$B$6:$B$3005,$A312,請求記録!$Z$6:$Z$3005,P$5)=0,"",SUMIFS(請求記録!$AE$6:$AE$3005,請求記録!$B$6:$B$3005,$A312,請求記録!$Z$6:$Z$3005,P$5))))</f>
        <v/>
      </c>
      <c r="Q312" s="19">
        <f>IF($A312="","",IF(COUNTIFS(請求記録!$B$6:$B$3005,$A312,請求記録!$Z$6:$Z$3005,Q$5,請求記録!$AF$6:$AF$3005,"保留中")&gt;0,"保留",IF(COUNTIFS(請求記録!$B$6:$B$3005,$A312,請求記録!$Z$6:$Z$3005,Q$5)=0,"",SUMIFS(請求記録!$AE$6:$AE$3005,請求記録!$B$6:$B$3005,$A312,請求記録!$Z$6:$Z$3005,Q$5))))</f>
        <v/>
      </c>
      <c r="R312" s="19">
        <f>IF($A312="","",IF(COUNTIFS(請求記録!$B$6:$B$3005,$A312,請求記録!$Z$6:$Z$3005,R$5,請求記録!$AF$6:$AF$3005,"保留中")&gt;0,"保留",IF(COUNTIFS(請求記録!$B$6:$B$3005,$A312,請求記録!$Z$6:$Z$3005,R$5)=0,"",SUMIFS(請求記録!$AE$6:$AE$3005,請求記録!$B$6:$B$3005,$A312,請求記録!$Z$6:$Z$3005,R$5))))</f>
        <v/>
      </c>
      <c r="S312" s="19">
        <f>IF($A312="","",IF(COUNTIFS(請求記録!$B$6:$B$3005,$A312,請求記録!$Z$6:$Z$3005,S$5,請求記録!$AF$6:$AF$3005,"保留中")&gt;0,"保留",IF(COUNTIFS(請求記録!$B$6:$B$3005,$A312,請求記録!$Z$6:$Z$3005,S$5)=0,"",SUMIFS(請求記録!$AE$6:$AE$3005,請求記録!$B$6:$B$3005,$A312,請求記録!$Z$6:$Z$3005,S$5))))</f>
        <v/>
      </c>
      <c r="T312" s="19">
        <f>IF($A312="","",IF(COUNTIFS(請求記録!$B$6:$B$3005,$A312,請求記録!$Z$6:$Z$3005,T$5,請求記録!$AF$6:$AF$3005,"保留中")&gt;0,"保留",IF(COUNTIFS(請求記録!$B$6:$B$3005,$A312,請求記録!$Z$6:$Z$3005,T$5)=0,"",SUMIFS(請求記録!$AE$6:$AE$3005,請求記録!$B$6:$B$3005,$A312,請求記録!$Z$6:$Z$3005,T$5))))</f>
        <v/>
      </c>
      <c r="U312" s="19">
        <f>IF($A312="","",IF(COUNTIFS(請求記録!$B$6:$B$3005,$A312,請求記録!$Z$6:$Z$3005,U$5,請求記録!$AF$6:$AF$3005,"保留中")&gt;0,"保留",IF(COUNTIFS(請求記録!$B$6:$B$3005,$A312,請求記録!$Z$6:$Z$3005,U$5)=0,"",SUMIFS(請求記録!$AE$6:$AE$3005,請求記録!$B$6:$B$3005,$A312,請求記録!$Z$6:$Z$3005,U$5))))</f>
        <v/>
      </c>
      <c r="V312" s="19">
        <f>IF($A312="","",IF(COUNTIFS(請求記録!$B$6:$B$3005,$A312,請求記録!$Z$6:$Z$3005,V$5,請求記録!$AF$6:$AF$3005,"保留中")&gt;0,"保留",IF(COUNTIFS(請求記録!$B$6:$B$3005,$A312,請求記録!$Z$6:$Z$3005,V$5)=0,"",SUMIFS(請求記録!$AE$6:$AE$3005,請求記録!$B$6:$B$3005,$A312,請求記録!$Z$6:$Z$3005,V$5))))</f>
        <v/>
      </c>
      <c r="W312" s="19">
        <f>IF($A312="","",IF(COUNTIFS(請求記録!$B$6:$B$3005,$A312,請求記録!$Z$6:$Z$3005,W$5,請求記録!$AF$6:$AF$3005,"保留中")&gt;0,"保留",IF(COUNTIFS(請求記録!$B$6:$B$3005,$A312,請求記録!$Z$6:$Z$3005,W$5)=0,"",SUMIFS(請求記録!$AE$6:$AE$3005,請求記録!$B$6:$B$3005,$A312,請求記録!$Z$6:$Z$3005,W$5))))</f>
        <v/>
      </c>
      <c r="X312" s="19">
        <f>IF($A312="","",IF(COUNTIFS(請求記録!$B$6:$B$3005,$A312,請求記録!$Z$6:$Z$3005,X$5,請求記録!$AF$6:$AF$3005,"保留中")&gt;0,"保留",IF(COUNTIFS(請求記録!$B$6:$B$3005,$A312,請求記録!$Z$6:$Z$3005,X$5)=0,"",SUMIFS(請求記録!$AE$6:$AE$3005,請求記録!$B$6:$B$3005,$A312,請求記録!$Z$6:$Z$3005,X$5))))</f>
        <v/>
      </c>
      <c r="Y312" s="19">
        <f>IF($A312="","",IF(COUNTIFS(請求記録!$B$6:$B$3005,$A312,請求記録!$Z$6:$Z$3005,Y$5,請求記録!$AF$6:$AF$3005,"保留中")&gt;0,"保留",IF(COUNTIFS(請求記録!$B$6:$B$3005,$A312,請求記録!$Z$6:$Z$3005,Y$5)=0,"",SUMIFS(請求記録!$AE$6:$AE$3005,請求記録!$B$6:$B$3005,$A312,請求記録!$Z$6:$Z$3005,Y$5))))</f>
        <v/>
      </c>
      <c r="Z312" s="19">
        <f>IF($A312="","",IF(COUNTIFS(請求記録!$B$6:$B$3005,$A312,請求記録!$Z$6:$Z$3005,Z$5,請求記録!$AF$6:$AF$3005,"保留中")&gt;0,"保留",IF(COUNTIFS(請求記録!$B$6:$B$3005,$A312,請求記録!$Z$6:$Z$3005,Z$5)=0,"",SUMIFS(請求記録!$AE$6:$AE$3005,請求記録!$B$6:$B$3005,$A312,請求記録!$Z$6:$Z$3005,Z$5))))</f>
        <v/>
      </c>
      <c r="AA312" s="19">
        <f>IF($A312="","",IF(COUNTIFS(請求記録!$B$6:$B$3005,$A312,請求記録!$Z$6:$Z$3005,AA$5,請求記録!$AF$6:$AF$3005,"保留中")&gt;0,"保留",IF(COUNTIFS(請求記録!$B$6:$B$3005,$A312,請求記録!$Z$6:$Z$3005,AA$5)=0,"",SUMIFS(請求記録!$AE$6:$AE$3005,請求記録!$B$6:$B$3005,$A312,請求記録!$Z$6:$Z$3005,AA$5))))</f>
        <v/>
      </c>
      <c r="AB312">
        <f>IF(職員マスタ!P312="保留中",職員マスタ!M312,"")</f>
        <v/>
      </c>
    </row>
    <row r="313">
      <c r="A313">
        <f>IF(職員マスタ!A313="","",職員マスタ!A313)</f>
        <v/>
      </c>
      <c r="B313">
        <f>IF($A313="","",職員マスタ!B313)</f>
        <v/>
      </c>
      <c r="C313">
        <f>IF($A313="","",職員マスタ!C313)</f>
        <v/>
      </c>
      <c r="D313" s="19">
        <f>IF($A313="","",IF(COUNTIFS(請求記録!$B$6:$B$3005,$A313,請求記録!$Z$6:$Z$3005,D$5,請求記録!$AF$6:$AF$3005,"保留中")&gt;0,"保留",IF(COUNTIFS(請求記録!$B$6:$B$3005,$A313,請求記録!$Z$6:$Z$3005,D$5)=0,"",SUMIFS(請求記録!$AE$6:$AE$3005,請求記録!$B$6:$B$3005,$A313,請求記録!$Z$6:$Z$3005,D$5))))</f>
        <v/>
      </c>
      <c r="E313" s="19">
        <f>IF($A313="","",IF(COUNTIFS(請求記録!$B$6:$B$3005,$A313,請求記録!$Z$6:$Z$3005,E$5,請求記録!$AF$6:$AF$3005,"保留中")&gt;0,"保留",IF(COUNTIFS(請求記録!$B$6:$B$3005,$A313,請求記録!$Z$6:$Z$3005,E$5)=0,"",SUMIFS(請求記録!$AE$6:$AE$3005,請求記録!$B$6:$B$3005,$A313,請求記録!$Z$6:$Z$3005,E$5))))</f>
        <v/>
      </c>
      <c r="F313" s="19">
        <f>IF($A313="","",IF(COUNTIFS(請求記録!$B$6:$B$3005,$A313,請求記録!$Z$6:$Z$3005,F$5,請求記録!$AF$6:$AF$3005,"保留中")&gt;0,"保留",IF(COUNTIFS(請求記録!$B$6:$B$3005,$A313,請求記録!$Z$6:$Z$3005,F$5)=0,"",SUMIFS(請求記録!$AE$6:$AE$3005,請求記録!$B$6:$B$3005,$A313,請求記録!$Z$6:$Z$3005,F$5))))</f>
        <v/>
      </c>
      <c r="G313" s="19">
        <f>IF($A313="","",IF(COUNTIFS(請求記録!$B$6:$B$3005,$A313,請求記録!$Z$6:$Z$3005,G$5,請求記録!$AF$6:$AF$3005,"保留中")&gt;0,"保留",IF(COUNTIFS(請求記録!$B$6:$B$3005,$A313,請求記録!$Z$6:$Z$3005,G$5)=0,"",SUMIFS(請求記録!$AE$6:$AE$3005,請求記録!$B$6:$B$3005,$A313,請求記録!$Z$6:$Z$3005,G$5))))</f>
        <v/>
      </c>
      <c r="H313" s="19">
        <f>IF($A313="","",IF(COUNTIFS(請求記録!$B$6:$B$3005,$A313,請求記録!$Z$6:$Z$3005,H$5,請求記録!$AF$6:$AF$3005,"保留中")&gt;0,"保留",IF(COUNTIFS(請求記録!$B$6:$B$3005,$A313,請求記録!$Z$6:$Z$3005,H$5)=0,"",SUMIFS(請求記録!$AE$6:$AE$3005,請求記録!$B$6:$B$3005,$A313,請求記録!$Z$6:$Z$3005,H$5))))</f>
        <v/>
      </c>
      <c r="I313" s="19">
        <f>IF($A313="","",IF(COUNTIFS(請求記録!$B$6:$B$3005,$A313,請求記録!$Z$6:$Z$3005,I$5,請求記録!$AF$6:$AF$3005,"保留中")&gt;0,"保留",IF(COUNTIFS(請求記録!$B$6:$B$3005,$A313,請求記録!$Z$6:$Z$3005,I$5)=0,"",SUMIFS(請求記録!$AE$6:$AE$3005,請求記録!$B$6:$B$3005,$A313,請求記録!$Z$6:$Z$3005,I$5))))</f>
        <v/>
      </c>
      <c r="J313" s="19">
        <f>IF($A313="","",IF(COUNTIFS(請求記録!$B$6:$B$3005,$A313,請求記録!$Z$6:$Z$3005,J$5,請求記録!$AF$6:$AF$3005,"保留中")&gt;0,"保留",IF(COUNTIFS(請求記録!$B$6:$B$3005,$A313,請求記録!$Z$6:$Z$3005,J$5)=0,"",SUMIFS(請求記録!$AE$6:$AE$3005,請求記録!$B$6:$B$3005,$A313,請求記録!$Z$6:$Z$3005,J$5))))</f>
        <v/>
      </c>
      <c r="K313" s="19">
        <f>IF($A313="","",IF(COUNTIFS(請求記録!$B$6:$B$3005,$A313,請求記録!$Z$6:$Z$3005,K$5,請求記録!$AF$6:$AF$3005,"保留中")&gt;0,"保留",IF(COUNTIFS(請求記録!$B$6:$B$3005,$A313,請求記録!$Z$6:$Z$3005,K$5)=0,"",SUMIFS(請求記録!$AE$6:$AE$3005,請求記録!$B$6:$B$3005,$A313,請求記録!$Z$6:$Z$3005,K$5))))</f>
        <v/>
      </c>
      <c r="L313" s="19">
        <f>IF($A313="","",IF(COUNTIFS(請求記録!$B$6:$B$3005,$A313,請求記録!$Z$6:$Z$3005,L$5,請求記録!$AF$6:$AF$3005,"保留中")&gt;0,"保留",IF(COUNTIFS(請求記録!$B$6:$B$3005,$A313,請求記録!$Z$6:$Z$3005,L$5)=0,"",SUMIFS(請求記録!$AE$6:$AE$3005,請求記録!$B$6:$B$3005,$A313,請求記録!$Z$6:$Z$3005,L$5))))</f>
        <v/>
      </c>
      <c r="M313" s="19">
        <f>IF($A313="","",IF(COUNTIFS(請求記録!$B$6:$B$3005,$A313,請求記録!$Z$6:$Z$3005,M$5,請求記録!$AF$6:$AF$3005,"保留中")&gt;0,"保留",IF(COUNTIFS(請求記録!$B$6:$B$3005,$A313,請求記録!$Z$6:$Z$3005,M$5)=0,"",SUMIFS(請求記録!$AE$6:$AE$3005,請求記録!$B$6:$B$3005,$A313,請求記録!$Z$6:$Z$3005,M$5))))</f>
        <v/>
      </c>
      <c r="N313" s="19">
        <f>IF($A313="","",IF(COUNTIFS(請求記録!$B$6:$B$3005,$A313,請求記録!$Z$6:$Z$3005,N$5,請求記録!$AF$6:$AF$3005,"保留中")&gt;0,"保留",IF(COUNTIFS(請求記録!$B$6:$B$3005,$A313,請求記録!$Z$6:$Z$3005,N$5)=0,"",SUMIFS(請求記録!$AE$6:$AE$3005,請求記録!$B$6:$B$3005,$A313,請求記録!$Z$6:$Z$3005,N$5))))</f>
        <v/>
      </c>
      <c r="O313" s="19">
        <f>IF($A313="","",IF(COUNTIFS(請求記録!$B$6:$B$3005,$A313,請求記録!$Z$6:$Z$3005,O$5,請求記録!$AF$6:$AF$3005,"保留中")&gt;0,"保留",IF(COUNTIFS(請求記録!$B$6:$B$3005,$A313,請求記録!$Z$6:$Z$3005,O$5)=0,"",SUMIFS(請求記録!$AE$6:$AE$3005,請求記録!$B$6:$B$3005,$A313,請求記録!$Z$6:$Z$3005,O$5))))</f>
        <v/>
      </c>
      <c r="P313" s="19">
        <f>IF($A313="","",IF(COUNTIFS(請求記録!$B$6:$B$3005,$A313,請求記録!$Z$6:$Z$3005,P$5,請求記録!$AF$6:$AF$3005,"保留中")&gt;0,"保留",IF(COUNTIFS(請求記録!$B$6:$B$3005,$A313,請求記録!$Z$6:$Z$3005,P$5)=0,"",SUMIFS(請求記録!$AE$6:$AE$3005,請求記録!$B$6:$B$3005,$A313,請求記録!$Z$6:$Z$3005,P$5))))</f>
        <v/>
      </c>
      <c r="Q313" s="19">
        <f>IF($A313="","",IF(COUNTIFS(請求記録!$B$6:$B$3005,$A313,請求記録!$Z$6:$Z$3005,Q$5,請求記録!$AF$6:$AF$3005,"保留中")&gt;0,"保留",IF(COUNTIFS(請求記録!$B$6:$B$3005,$A313,請求記録!$Z$6:$Z$3005,Q$5)=0,"",SUMIFS(請求記録!$AE$6:$AE$3005,請求記録!$B$6:$B$3005,$A313,請求記録!$Z$6:$Z$3005,Q$5))))</f>
        <v/>
      </c>
      <c r="R313" s="19">
        <f>IF($A313="","",IF(COUNTIFS(請求記録!$B$6:$B$3005,$A313,請求記録!$Z$6:$Z$3005,R$5,請求記録!$AF$6:$AF$3005,"保留中")&gt;0,"保留",IF(COUNTIFS(請求記録!$B$6:$B$3005,$A313,請求記録!$Z$6:$Z$3005,R$5)=0,"",SUMIFS(請求記録!$AE$6:$AE$3005,請求記録!$B$6:$B$3005,$A313,請求記録!$Z$6:$Z$3005,R$5))))</f>
        <v/>
      </c>
      <c r="S313" s="19">
        <f>IF($A313="","",IF(COUNTIFS(請求記録!$B$6:$B$3005,$A313,請求記録!$Z$6:$Z$3005,S$5,請求記録!$AF$6:$AF$3005,"保留中")&gt;0,"保留",IF(COUNTIFS(請求記録!$B$6:$B$3005,$A313,請求記録!$Z$6:$Z$3005,S$5)=0,"",SUMIFS(請求記録!$AE$6:$AE$3005,請求記録!$B$6:$B$3005,$A313,請求記録!$Z$6:$Z$3005,S$5))))</f>
        <v/>
      </c>
      <c r="T313" s="19">
        <f>IF($A313="","",IF(COUNTIFS(請求記録!$B$6:$B$3005,$A313,請求記録!$Z$6:$Z$3005,T$5,請求記録!$AF$6:$AF$3005,"保留中")&gt;0,"保留",IF(COUNTIFS(請求記録!$B$6:$B$3005,$A313,請求記録!$Z$6:$Z$3005,T$5)=0,"",SUMIFS(請求記録!$AE$6:$AE$3005,請求記録!$B$6:$B$3005,$A313,請求記録!$Z$6:$Z$3005,T$5))))</f>
        <v/>
      </c>
      <c r="U313" s="19">
        <f>IF($A313="","",IF(COUNTIFS(請求記録!$B$6:$B$3005,$A313,請求記録!$Z$6:$Z$3005,U$5,請求記録!$AF$6:$AF$3005,"保留中")&gt;0,"保留",IF(COUNTIFS(請求記録!$B$6:$B$3005,$A313,請求記録!$Z$6:$Z$3005,U$5)=0,"",SUMIFS(請求記録!$AE$6:$AE$3005,請求記録!$B$6:$B$3005,$A313,請求記録!$Z$6:$Z$3005,U$5))))</f>
        <v/>
      </c>
      <c r="V313" s="19">
        <f>IF($A313="","",IF(COUNTIFS(請求記録!$B$6:$B$3005,$A313,請求記録!$Z$6:$Z$3005,V$5,請求記録!$AF$6:$AF$3005,"保留中")&gt;0,"保留",IF(COUNTIFS(請求記録!$B$6:$B$3005,$A313,請求記録!$Z$6:$Z$3005,V$5)=0,"",SUMIFS(請求記録!$AE$6:$AE$3005,請求記録!$B$6:$B$3005,$A313,請求記録!$Z$6:$Z$3005,V$5))))</f>
        <v/>
      </c>
      <c r="W313" s="19">
        <f>IF($A313="","",IF(COUNTIFS(請求記録!$B$6:$B$3005,$A313,請求記録!$Z$6:$Z$3005,W$5,請求記録!$AF$6:$AF$3005,"保留中")&gt;0,"保留",IF(COUNTIFS(請求記録!$B$6:$B$3005,$A313,請求記録!$Z$6:$Z$3005,W$5)=0,"",SUMIFS(請求記録!$AE$6:$AE$3005,請求記録!$B$6:$B$3005,$A313,請求記録!$Z$6:$Z$3005,W$5))))</f>
        <v/>
      </c>
      <c r="X313" s="19">
        <f>IF($A313="","",IF(COUNTIFS(請求記録!$B$6:$B$3005,$A313,請求記録!$Z$6:$Z$3005,X$5,請求記録!$AF$6:$AF$3005,"保留中")&gt;0,"保留",IF(COUNTIFS(請求記録!$B$6:$B$3005,$A313,請求記録!$Z$6:$Z$3005,X$5)=0,"",SUMIFS(請求記録!$AE$6:$AE$3005,請求記録!$B$6:$B$3005,$A313,請求記録!$Z$6:$Z$3005,X$5))))</f>
        <v/>
      </c>
      <c r="Y313" s="19">
        <f>IF($A313="","",IF(COUNTIFS(請求記録!$B$6:$B$3005,$A313,請求記録!$Z$6:$Z$3005,Y$5,請求記録!$AF$6:$AF$3005,"保留中")&gt;0,"保留",IF(COUNTIFS(請求記録!$B$6:$B$3005,$A313,請求記録!$Z$6:$Z$3005,Y$5)=0,"",SUMIFS(請求記録!$AE$6:$AE$3005,請求記録!$B$6:$B$3005,$A313,請求記録!$Z$6:$Z$3005,Y$5))))</f>
        <v/>
      </c>
      <c r="Z313" s="19">
        <f>IF($A313="","",IF(COUNTIFS(請求記録!$B$6:$B$3005,$A313,請求記録!$Z$6:$Z$3005,Z$5,請求記録!$AF$6:$AF$3005,"保留中")&gt;0,"保留",IF(COUNTIFS(請求記録!$B$6:$B$3005,$A313,請求記録!$Z$6:$Z$3005,Z$5)=0,"",SUMIFS(請求記録!$AE$6:$AE$3005,請求記録!$B$6:$B$3005,$A313,請求記録!$Z$6:$Z$3005,Z$5))))</f>
        <v/>
      </c>
      <c r="AA313" s="19">
        <f>IF($A313="","",IF(COUNTIFS(請求記録!$B$6:$B$3005,$A313,請求記録!$Z$6:$Z$3005,AA$5,請求記録!$AF$6:$AF$3005,"保留中")&gt;0,"保留",IF(COUNTIFS(請求記録!$B$6:$B$3005,$A313,請求記録!$Z$6:$Z$3005,AA$5)=0,"",SUMIFS(請求記録!$AE$6:$AE$3005,請求記録!$B$6:$B$3005,$A313,請求記録!$Z$6:$Z$3005,AA$5))))</f>
        <v/>
      </c>
      <c r="AB313">
        <f>IF(職員マスタ!P313="保留中",職員マスタ!M313,"")</f>
        <v/>
      </c>
    </row>
    <row r="314">
      <c r="A314">
        <f>IF(職員マスタ!A314="","",職員マスタ!A314)</f>
        <v/>
      </c>
      <c r="B314">
        <f>IF($A314="","",職員マスタ!B314)</f>
        <v/>
      </c>
      <c r="C314">
        <f>IF($A314="","",職員マスタ!C314)</f>
        <v/>
      </c>
      <c r="D314" s="19">
        <f>IF($A314="","",IF(COUNTIFS(請求記録!$B$6:$B$3005,$A314,請求記録!$Z$6:$Z$3005,D$5,請求記録!$AF$6:$AF$3005,"保留中")&gt;0,"保留",IF(COUNTIFS(請求記録!$B$6:$B$3005,$A314,請求記録!$Z$6:$Z$3005,D$5)=0,"",SUMIFS(請求記録!$AE$6:$AE$3005,請求記録!$B$6:$B$3005,$A314,請求記録!$Z$6:$Z$3005,D$5))))</f>
        <v/>
      </c>
      <c r="E314" s="19">
        <f>IF($A314="","",IF(COUNTIFS(請求記録!$B$6:$B$3005,$A314,請求記録!$Z$6:$Z$3005,E$5,請求記録!$AF$6:$AF$3005,"保留中")&gt;0,"保留",IF(COUNTIFS(請求記録!$B$6:$B$3005,$A314,請求記録!$Z$6:$Z$3005,E$5)=0,"",SUMIFS(請求記録!$AE$6:$AE$3005,請求記録!$B$6:$B$3005,$A314,請求記録!$Z$6:$Z$3005,E$5))))</f>
        <v/>
      </c>
      <c r="F314" s="19">
        <f>IF($A314="","",IF(COUNTIFS(請求記録!$B$6:$B$3005,$A314,請求記録!$Z$6:$Z$3005,F$5,請求記録!$AF$6:$AF$3005,"保留中")&gt;0,"保留",IF(COUNTIFS(請求記録!$B$6:$B$3005,$A314,請求記録!$Z$6:$Z$3005,F$5)=0,"",SUMIFS(請求記録!$AE$6:$AE$3005,請求記録!$B$6:$B$3005,$A314,請求記録!$Z$6:$Z$3005,F$5))))</f>
        <v/>
      </c>
      <c r="G314" s="19">
        <f>IF($A314="","",IF(COUNTIFS(請求記録!$B$6:$B$3005,$A314,請求記録!$Z$6:$Z$3005,G$5,請求記録!$AF$6:$AF$3005,"保留中")&gt;0,"保留",IF(COUNTIFS(請求記録!$B$6:$B$3005,$A314,請求記録!$Z$6:$Z$3005,G$5)=0,"",SUMIFS(請求記録!$AE$6:$AE$3005,請求記録!$B$6:$B$3005,$A314,請求記録!$Z$6:$Z$3005,G$5))))</f>
        <v/>
      </c>
      <c r="H314" s="19">
        <f>IF($A314="","",IF(COUNTIFS(請求記録!$B$6:$B$3005,$A314,請求記録!$Z$6:$Z$3005,H$5,請求記録!$AF$6:$AF$3005,"保留中")&gt;0,"保留",IF(COUNTIFS(請求記録!$B$6:$B$3005,$A314,請求記録!$Z$6:$Z$3005,H$5)=0,"",SUMIFS(請求記録!$AE$6:$AE$3005,請求記録!$B$6:$B$3005,$A314,請求記録!$Z$6:$Z$3005,H$5))))</f>
        <v/>
      </c>
      <c r="I314" s="19">
        <f>IF($A314="","",IF(COUNTIFS(請求記録!$B$6:$B$3005,$A314,請求記録!$Z$6:$Z$3005,I$5,請求記録!$AF$6:$AF$3005,"保留中")&gt;0,"保留",IF(COUNTIFS(請求記録!$B$6:$B$3005,$A314,請求記録!$Z$6:$Z$3005,I$5)=0,"",SUMIFS(請求記録!$AE$6:$AE$3005,請求記録!$B$6:$B$3005,$A314,請求記録!$Z$6:$Z$3005,I$5))))</f>
        <v/>
      </c>
      <c r="J314" s="19">
        <f>IF($A314="","",IF(COUNTIFS(請求記録!$B$6:$B$3005,$A314,請求記録!$Z$6:$Z$3005,J$5,請求記録!$AF$6:$AF$3005,"保留中")&gt;0,"保留",IF(COUNTIFS(請求記録!$B$6:$B$3005,$A314,請求記録!$Z$6:$Z$3005,J$5)=0,"",SUMIFS(請求記録!$AE$6:$AE$3005,請求記録!$B$6:$B$3005,$A314,請求記録!$Z$6:$Z$3005,J$5))))</f>
        <v/>
      </c>
      <c r="K314" s="19">
        <f>IF($A314="","",IF(COUNTIFS(請求記録!$B$6:$B$3005,$A314,請求記録!$Z$6:$Z$3005,K$5,請求記録!$AF$6:$AF$3005,"保留中")&gt;0,"保留",IF(COUNTIFS(請求記録!$B$6:$B$3005,$A314,請求記録!$Z$6:$Z$3005,K$5)=0,"",SUMIFS(請求記録!$AE$6:$AE$3005,請求記録!$B$6:$B$3005,$A314,請求記録!$Z$6:$Z$3005,K$5))))</f>
        <v/>
      </c>
      <c r="L314" s="19">
        <f>IF($A314="","",IF(COUNTIFS(請求記録!$B$6:$B$3005,$A314,請求記録!$Z$6:$Z$3005,L$5,請求記録!$AF$6:$AF$3005,"保留中")&gt;0,"保留",IF(COUNTIFS(請求記録!$B$6:$B$3005,$A314,請求記録!$Z$6:$Z$3005,L$5)=0,"",SUMIFS(請求記録!$AE$6:$AE$3005,請求記録!$B$6:$B$3005,$A314,請求記録!$Z$6:$Z$3005,L$5))))</f>
        <v/>
      </c>
      <c r="M314" s="19">
        <f>IF($A314="","",IF(COUNTIFS(請求記録!$B$6:$B$3005,$A314,請求記録!$Z$6:$Z$3005,M$5,請求記録!$AF$6:$AF$3005,"保留中")&gt;0,"保留",IF(COUNTIFS(請求記録!$B$6:$B$3005,$A314,請求記録!$Z$6:$Z$3005,M$5)=0,"",SUMIFS(請求記録!$AE$6:$AE$3005,請求記録!$B$6:$B$3005,$A314,請求記録!$Z$6:$Z$3005,M$5))))</f>
        <v/>
      </c>
      <c r="N314" s="19">
        <f>IF($A314="","",IF(COUNTIFS(請求記録!$B$6:$B$3005,$A314,請求記録!$Z$6:$Z$3005,N$5,請求記録!$AF$6:$AF$3005,"保留中")&gt;0,"保留",IF(COUNTIFS(請求記録!$B$6:$B$3005,$A314,請求記録!$Z$6:$Z$3005,N$5)=0,"",SUMIFS(請求記録!$AE$6:$AE$3005,請求記録!$B$6:$B$3005,$A314,請求記録!$Z$6:$Z$3005,N$5))))</f>
        <v/>
      </c>
      <c r="O314" s="19">
        <f>IF($A314="","",IF(COUNTIFS(請求記録!$B$6:$B$3005,$A314,請求記録!$Z$6:$Z$3005,O$5,請求記録!$AF$6:$AF$3005,"保留中")&gt;0,"保留",IF(COUNTIFS(請求記録!$B$6:$B$3005,$A314,請求記録!$Z$6:$Z$3005,O$5)=0,"",SUMIFS(請求記録!$AE$6:$AE$3005,請求記録!$B$6:$B$3005,$A314,請求記録!$Z$6:$Z$3005,O$5))))</f>
        <v/>
      </c>
      <c r="P314" s="19">
        <f>IF($A314="","",IF(COUNTIFS(請求記録!$B$6:$B$3005,$A314,請求記録!$Z$6:$Z$3005,P$5,請求記録!$AF$6:$AF$3005,"保留中")&gt;0,"保留",IF(COUNTIFS(請求記録!$B$6:$B$3005,$A314,請求記録!$Z$6:$Z$3005,P$5)=0,"",SUMIFS(請求記録!$AE$6:$AE$3005,請求記録!$B$6:$B$3005,$A314,請求記録!$Z$6:$Z$3005,P$5))))</f>
        <v/>
      </c>
      <c r="Q314" s="19">
        <f>IF($A314="","",IF(COUNTIFS(請求記録!$B$6:$B$3005,$A314,請求記録!$Z$6:$Z$3005,Q$5,請求記録!$AF$6:$AF$3005,"保留中")&gt;0,"保留",IF(COUNTIFS(請求記録!$B$6:$B$3005,$A314,請求記録!$Z$6:$Z$3005,Q$5)=0,"",SUMIFS(請求記録!$AE$6:$AE$3005,請求記録!$B$6:$B$3005,$A314,請求記録!$Z$6:$Z$3005,Q$5))))</f>
        <v/>
      </c>
      <c r="R314" s="19">
        <f>IF($A314="","",IF(COUNTIFS(請求記録!$B$6:$B$3005,$A314,請求記録!$Z$6:$Z$3005,R$5,請求記録!$AF$6:$AF$3005,"保留中")&gt;0,"保留",IF(COUNTIFS(請求記録!$B$6:$B$3005,$A314,請求記録!$Z$6:$Z$3005,R$5)=0,"",SUMIFS(請求記録!$AE$6:$AE$3005,請求記録!$B$6:$B$3005,$A314,請求記録!$Z$6:$Z$3005,R$5))))</f>
        <v/>
      </c>
      <c r="S314" s="19">
        <f>IF($A314="","",IF(COUNTIFS(請求記録!$B$6:$B$3005,$A314,請求記録!$Z$6:$Z$3005,S$5,請求記録!$AF$6:$AF$3005,"保留中")&gt;0,"保留",IF(COUNTIFS(請求記録!$B$6:$B$3005,$A314,請求記録!$Z$6:$Z$3005,S$5)=0,"",SUMIFS(請求記録!$AE$6:$AE$3005,請求記録!$B$6:$B$3005,$A314,請求記録!$Z$6:$Z$3005,S$5))))</f>
        <v/>
      </c>
      <c r="T314" s="19">
        <f>IF($A314="","",IF(COUNTIFS(請求記録!$B$6:$B$3005,$A314,請求記録!$Z$6:$Z$3005,T$5,請求記録!$AF$6:$AF$3005,"保留中")&gt;0,"保留",IF(COUNTIFS(請求記録!$B$6:$B$3005,$A314,請求記録!$Z$6:$Z$3005,T$5)=0,"",SUMIFS(請求記録!$AE$6:$AE$3005,請求記録!$B$6:$B$3005,$A314,請求記録!$Z$6:$Z$3005,T$5))))</f>
        <v/>
      </c>
      <c r="U314" s="19">
        <f>IF($A314="","",IF(COUNTIFS(請求記録!$B$6:$B$3005,$A314,請求記録!$Z$6:$Z$3005,U$5,請求記録!$AF$6:$AF$3005,"保留中")&gt;0,"保留",IF(COUNTIFS(請求記録!$B$6:$B$3005,$A314,請求記録!$Z$6:$Z$3005,U$5)=0,"",SUMIFS(請求記録!$AE$6:$AE$3005,請求記録!$B$6:$B$3005,$A314,請求記録!$Z$6:$Z$3005,U$5))))</f>
        <v/>
      </c>
      <c r="V314" s="19">
        <f>IF($A314="","",IF(COUNTIFS(請求記録!$B$6:$B$3005,$A314,請求記録!$Z$6:$Z$3005,V$5,請求記録!$AF$6:$AF$3005,"保留中")&gt;0,"保留",IF(COUNTIFS(請求記録!$B$6:$B$3005,$A314,請求記録!$Z$6:$Z$3005,V$5)=0,"",SUMIFS(請求記録!$AE$6:$AE$3005,請求記録!$B$6:$B$3005,$A314,請求記録!$Z$6:$Z$3005,V$5))))</f>
        <v/>
      </c>
      <c r="W314" s="19">
        <f>IF($A314="","",IF(COUNTIFS(請求記録!$B$6:$B$3005,$A314,請求記録!$Z$6:$Z$3005,W$5,請求記録!$AF$6:$AF$3005,"保留中")&gt;0,"保留",IF(COUNTIFS(請求記録!$B$6:$B$3005,$A314,請求記録!$Z$6:$Z$3005,W$5)=0,"",SUMIFS(請求記録!$AE$6:$AE$3005,請求記録!$B$6:$B$3005,$A314,請求記録!$Z$6:$Z$3005,W$5))))</f>
        <v/>
      </c>
      <c r="X314" s="19">
        <f>IF($A314="","",IF(COUNTIFS(請求記録!$B$6:$B$3005,$A314,請求記録!$Z$6:$Z$3005,X$5,請求記録!$AF$6:$AF$3005,"保留中")&gt;0,"保留",IF(COUNTIFS(請求記録!$B$6:$B$3005,$A314,請求記録!$Z$6:$Z$3005,X$5)=0,"",SUMIFS(請求記録!$AE$6:$AE$3005,請求記録!$B$6:$B$3005,$A314,請求記録!$Z$6:$Z$3005,X$5))))</f>
        <v/>
      </c>
      <c r="Y314" s="19">
        <f>IF($A314="","",IF(COUNTIFS(請求記録!$B$6:$B$3005,$A314,請求記録!$Z$6:$Z$3005,Y$5,請求記録!$AF$6:$AF$3005,"保留中")&gt;0,"保留",IF(COUNTIFS(請求記録!$B$6:$B$3005,$A314,請求記録!$Z$6:$Z$3005,Y$5)=0,"",SUMIFS(請求記録!$AE$6:$AE$3005,請求記録!$B$6:$B$3005,$A314,請求記録!$Z$6:$Z$3005,Y$5))))</f>
        <v/>
      </c>
      <c r="Z314" s="19">
        <f>IF($A314="","",IF(COUNTIFS(請求記録!$B$6:$B$3005,$A314,請求記録!$Z$6:$Z$3005,Z$5,請求記録!$AF$6:$AF$3005,"保留中")&gt;0,"保留",IF(COUNTIFS(請求記録!$B$6:$B$3005,$A314,請求記録!$Z$6:$Z$3005,Z$5)=0,"",SUMIFS(請求記録!$AE$6:$AE$3005,請求記録!$B$6:$B$3005,$A314,請求記録!$Z$6:$Z$3005,Z$5))))</f>
        <v/>
      </c>
      <c r="AA314" s="19">
        <f>IF($A314="","",IF(COUNTIFS(請求記録!$B$6:$B$3005,$A314,請求記録!$Z$6:$Z$3005,AA$5,請求記録!$AF$6:$AF$3005,"保留中")&gt;0,"保留",IF(COUNTIFS(請求記録!$B$6:$B$3005,$A314,請求記録!$Z$6:$Z$3005,AA$5)=0,"",SUMIFS(請求記録!$AE$6:$AE$3005,請求記録!$B$6:$B$3005,$A314,請求記録!$Z$6:$Z$3005,AA$5))))</f>
        <v/>
      </c>
      <c r="AB314">
        <f>IF(職員マスタ!P314="保留中",職員マスタ!M314,"")</f>
        <v/>
      </c>
    </row>
    <row r="315">
      <c r="A315">
        <f>IF(職員マスタ!A315="","",職員マスタ!A315)</f>
        <v/>
      </c>
      <c r="B315">
        <f>IF($A315="","",職員マスタ!B315)</f>
        <v/>
      </c>
      <c r="C315">
        <f>IF($A315="","",職員マスタ!C315)</f>
        <v/>
      </c>
      <c r="D315" s="19">
        <f>IF($A315="","",IF(COUNTIFS(請求記録!$B$6:$B$3005,$A315,請求記録!$Z$6:$Z$3005,D$5,請求記録!$AF$6:$AF$3005,"保留中")&gt;0,"保留",IF(COUNTIFS(請求記録!$B$6:$B$3005,$A315,請求記録!$Z$6:$Z$3005,D$5)=0,"",SUMIFS(請求記録!$AE$6:$AE$3005,請求記録!$B$6:$B$3005,$A315,請求記録!$Z$6:$Z$3005,D$5))))</f>
        <v/>
      </c>
      <c r="E315" s="19">
        <f>IF($A315="","",IF(COUNTIFS(請求記録!$B$6:$B$3005,$A315,請求記録!$Z$6:$Z$3005,E$5,請求記録!$AF$6:$AF$3005,"保留中")&gt;0,"保留",IF(COUNTIFS(請求記録!$B$6:$B$3005,$A315,請求記録!$Z$6:$Z$3005,E$5)=0,"",SUMIFS(請求記録!$AE$6:$AE$3005,請求記録!$B$6:$B$3005,$A315,請求記録!$Z$6:$Z$3005,E$5))))</f>
        <v/>
      </c>
      <c r="F315" s="19">
        <f>IF($A315="","",IF(COUNTIFS(請求記録!$B$6:$B$3005,$A315,請求記録!$Z$6:$Z$3005,F$5,請求記録!$AF$6:$AF$3005,"保留中")&gt;0,"保留",IF(COUNTIFS(請求記録!$B$6:$B$3005,$A315,請求記録!$Z$6:$Z$3005,F$5)=0,"",SUMIFS(請求記録!$AE$6:$AE$3005,請求記録!$B$6:$B$3005,$A315,請求記録!$Z$6:$Z$3005,F$5))))</f>
        <v/>
      </c>
      <c r="G315" s="19">
        <f>IF($A315="","",IF(COUNTIFS(請求記録!$B$6:$B$3005,$A315,請求記録!$Z$6:$Z$3005,G$5,請求記録!$AF$6:$AF$3005,"保留中")&gt;0,"保留",IF(COUNTIFS(請求記録!$B$6:$B$3005,$A315,請求記録!$Z$6:$Z$3005,G$5)=0,"",SUMIFS(請求記録!$AE$6:$AE$3005,請求記録!$B$6:$B$3005,$A315,請求記録!$Z$6:$Z$3005,G$5))))</f>
        <v/>
      </c>
      <c r="H315" s="19">
        <f>IF($A315="","",IF(COUNTIFS(請求記録!$B$6:$B$3005,$A315,請求記録!$Z$6:$Z$3005,H$5,請求記録!$AF$6:$AF$3005,"保留中")&gt;0,"保留",IF(COUNTIFS(請求記録!$B$6:$B$3005,$A315,請求記録!$Z$6:$Z$3005,H$5)=0,"",SUMIFS(請求記録!$AE$6:$AE$3005,請求記録!$B$6:$B$3005,$A315,請求記録!$Z$6:$Z$3005,H$5))))</f>
        <v/>
      </c>
      <c r="I315" s="19">
        <f>IF($A315="","",IF(COUNTIFS(請求記録!$B$6:$B$3005,$A315,請求記録!$Z$6:$Z$3005,I$5,請求記録!$AF$6:$AF$3005,"保留中")&gt;0,"保留",IF(COUNTIFS(請求記録!$B$6:$B$3005,$A315,請求記録!$Z$6:$Z$3005,I$5)=0,"",SUMIFS(請求記録!$AE$6:$AE$3005,請求記録!$B$6:$B$3005,$A315,請求記録!$Z$6:$Z$3005,I$5))))</f>
        <v/>
      </c>
      <c r="J315" s="19">
        <f>IF($A315="","",IF(COUNTIFS(請求記録!$B$6:$B$3005,$A315,請求記録!$Z$6:$Z$3005,J$5,請求記録!$AF$6:$AF$3005,"保留中")&gt;0,"保留",IF(COUNTIFS(請求記録!$B$6:$B$3005,$A315,請求記録!$Z$6:$Z$3005,J$5)=0,"",SUMIFS(請求記録!$AE$6:$AE$3005,請求記録!$B$6:$B$3005,$A315,請求記録!$Z$6:$Z$3005,J$5))))</f>
        <v/>
      </c>
      <c r="K315" s="19">
        <f>IF($A315="","",IF(COUNTIFS(請求記録!$B$6:$B$3005,$A315,請求記録!$Z$6:$Z$3005,K$5,請求記録!$AF$6:$AF$3005,"保留中")&gt;0,"保留",IF(COUNTIFS(請求記録!$B$6:$B$3005,$A315,請求記録!$Z$6:$Z$3005,K$5)=0,"",SUMIFS(請求記録!$AE$6:$AE$3005,請求記録!$B$6:$B$3005,$A315,請求記録!$Z$6:$Z$3005,K$5))))</f>
        <v/>
      </c>
      <c r="L315" s="19">
        <f>IF($A315="","",IF(COUNTIFS(請求記録!$B$6:$B$3005,$A315,請求記録!$Z$6:$Z$3005,L$5,請求記録!$AF$6:$AF$3005,"保留中")&gt;0,"保留",IF(COUNTIFS(請求記録!$B$6:$B$3005,$A315,請求記録!$Z$6:$Z$3005,L$5)=0,"",SUMIFS(請求記録!$AE$6:$AE$3005,請求記録!$B$6:$B$3005,$A315,請求記録!$Z$6:$Z$3005,L$5))))</f>
        <v/>
      </c>
      <c r="M315" s="19">
        <f>IF($A315="","",IF(COUNTIFS(請求記録!$B$6:$B$3005,$A315,請求記録!$Z$6:$Z$3005,M$5,請求記録!$AF$6:$AF$3005,"保留中")&gt;0,"保留",IF(COUNTIFS(請求記録!$B$6:$B$3005,$A315,請求記録!$Z$6:$Z$3005,M$5)=0,"",SUMIFS(請求記録!$AE$6:$AE$3005,請求記録!$B$6:$B$3005,$A315,請求記録!$Z$6:$Z$3005,M$5))))</f>
        <v/>
      </c>
      <c r="N315" s="19">
        <f>IF($A315="","",IF(COUNTIFS(請求記録!$B$6:$B$3005,$A315,請求記録!$Z$6:$Z$3005,N$5,請求記録!$AF$6:$AF$3005,"保留中")&gt;0,"保留",IF(COUNTIFS(請求記録!$B$6:$B$3005,$A315,請求記録!$Z$6:$Z$3005,N$5)=0,"",SUMIFS(請求記録!$AE$6:$AE$3005,請求記録!$B$6:$B$3005,$A315,請求記録!$Z$6:$Z$3005,N$5))))</f>
        <v/>
      </c>
      <c r="O315" s="19">
        <f>IF($A315="","",IF(COUNTIFS(請求記録!$B$6:$B$3005,$A315,請求記録!$Z$6:$Z$3005,O$5,請求記録!$AF$6:$AF$3005,"保留中")&gt;0,"保留",IF(COUNTIFS(請求記録!$B$6:$B$3005,$A315,請求記録!$Z$6:$Z$3005,O$5)=0,"",SUMIFS(請求記録!$AE$6:$AE$3005,請求記録!$B$6:$B$3005,$A315,請求記録!$Z$6:$Z$3005,O$5))))</f>
        <v/>
      </c>
      <c r="P315" s="19">
        <f>IF($A315="","",IF(COUNTIFS(請求記録!$B$6:$B$3005,$A315,請求記録!$Z$6:$Z$3005,P$5,請求記録!$AF$6:$AF$3005,"保留中")&gt;0,"保留",IF(COUNTIFS(請求記録!$B$6:$B$3005,$A315,請求記録!$Z$6:$Z$3005,P$5)=0,"",SUMIFS(請求記録!$AE$6:$AE$3005,請求記録!$B$6:$B$3005,$A315,請求記録!$Z$6:$Z$3005,P$5))))</f>
        <v/>
      </c>
      <c r="Q315" s="19">
        <f>IF($A315="","",IF(COUNTIFS(請求記録!$B$6:$B$3005,$A315,請求記録!$Z$6:$Z$3005,Q$5,請求記録!$AF$6:$AF$3005,"保留中")&gt;0,"保留",IF(COUNTIFS(請求記録!$B$6:$B$3005,$A315,請求記録!$Z$6:$Z$3005,Q$5)=0,"",SUMIFS(請求記録!$AE$6:$AE$3005,請求記録!$B$6:$B$3005,$A315,請求記録!$Z$6:$Z$3005,Q$5))))</f>
        <v/>
      </c>
      <c r="R315" s="19">
        <f>IF($A315="","",IF(COUNTIFS(請求記録!$B$6:$B$3005,$A315,請求記録!$Z$6:$Z$3005,R$5,請求記録!$AF$6:$AF$3005,"保留中")&gt;0,"保留",IF(COUNTIFS(請求記録!$B$6:$B$3005,$A315,請求記録!$Z$6:$Z$3005,R$5)=0,"",SUMIFS(請求記録!$AE$6:$AE$3005,請求記録!$B$6:$B$3005,$A315,請求記録!$Z$6:$Z$3005,R$5))))</f>
        <v/>
      </c>
      <c r="S315" s="19">
        <f>IF($A315="","",IF(COUNTIFS(請求記録!$B$6:$B$3005,$A315,請求記録!$Z$6:$Z$3005,S$5,請求記録!$AF$6:$AF$3005,"保留中")&gt;0,"保留",IF(COUNTIFS(請求記録!$B$6:$B$3005,$A315,請求記録!$Z$6:$Z$3005,S$5)=0,"",SUMIFS(請求記録!$AE$6:$AE$3005,請求記録!$B$6:$B$3005,$A315,請求記録!$Z$6:$Z$3005,S$5))))</f>
        <v/>
      </c>
      <c r="T315" s="19">
        <f>IF($A315="","",IF(COUNTIFS(請求記録!$B$6:$B$3005,$A315,請求記録!$Z$6:$Z$3005,T$5,請求記録!$AF$6:$AF$3005,"保留中")&gt;0,"保留",IF(COUNTIFS(請求記録!$B$6:$B$3005,$A315,請求記録!$Z$6:$Z$3005,T$5)=0,"",SUMIFS(請求記録!$AE$6:$AE$3005,請求記録!$B$6:$B$3005,$A315,請求記録!$Z$6:$Z$3005,T$5))))</f>
        <v/>
      </c>
      <c r="U315" s="19">
        <f>IF($A315="","",IF(COUNTIFS(請求記録!$B$6:$B$3005,$A315,請求記録!$Z$6:$Z$3005,U$5,請求記録!$AF$6:$AF$3005,"保留中")&gt;0,"保留",IF(COUNTIFS(請求記録!$B$6:$B$3005,$A315,請求記録!$Z$6:$Z$3005,U$5)=0,"",SUMIFS(請求記録!$AE$6:$AE$3005,請求記録!$B$6:$B$3005,$A315,請求記録!$Z$6:$Z$3005,U$5))))</f>
        <v/>
      </c>
      <c r="V315" s="19">
        <f>IF($A315="","",IF(COUNTIFS(請求記録!$B$6:$B$3005,$A315,請求記録!$Z$6:$Z$3005,V$5,請求記録!$AF$6:$AF$3005,"保留中")&gt;0,"保留",IF(COUNTIFS(請求記録!$B$6:$B$3005,$A315,請求記録!$Z$6:$Z$3005,V$5)=0,"",SUMIFS(請求記録!$AE$6:$AE$3005,請求記録!$B$6:$B$3005,$A315,請求記録!$Z$6:$Z$3005,V$5))))</f>
        <v/>
      </c>
      <c r="W315" s="19">
        <f>IF($A315="","",IF(COUNTIFS(請求記録!$B$6:$B$3005,$A315,請求記録!$Z$6:$Z$3005,W$5,請求記録!$AF$6:$AF$3005,"保留中")&gt;0,"保留",IF(COUNTIFS(請求記録!$B$6:$B$3005,$A315,請求記録!$Z$6:$Z$3005,W$5)=0,"",SUMIFS(請求記録!$AE$6:$AE$3005,請求記録!$B$6:$B$3005,$A315,請求記録!$Z$6:$Z$3005,W$5))))</f>
        <v/>
      </c>
      <c r="X315" s="19">
        <f>IF($A315="","",IF(COUNTIFS(請求記録!$B$6:$B$3005,$A315,請求記録!$Z$6:$Z$3005,X$5,請求記録!$AF$6:$AF$3005,"保留中")&gt;0,"保留",IF(COUNTIFS(請求記録!$B$6:$B$3005,$A315,請求記録!$Z$6:$Z$3005,X$5)=0,"",SUMIFS(請求記録!$AE$6:$AE$3005,請求記録!$B$6:$B$3005,$A315,請求記録!$Z$6:$Z$3005,X$5))))</f>
        <v/>
      </c>
      <c r="Y315" s="19">
        <f>IF($A315="","",IF(COUNTIFS(請求記録!$B$6:$B$3005,$A315,請求記録!$Z$6:$Z$3005,Y$5,請求記録!$AF$6:$AF$3005,"保留中")&gt;0,"保留",IF(COUNTIFS(請求記録!$B$6:$B$3005,$A315,請求記録!$Z$6:$Z$3005,Y$5)=0,"",SUMIFS(請求記録!$AE$6:$AE$3005,請求記録!$B$6:$B$3005,$A315,請求記録!$Z$6:$Z$3005,Y$5))))</f>
        <v/>
      </c>
      <c r="Z315" s="19">
        <f>IF($A315="","",IF(COUNTIFS(請求記録!$B$6:$B$3005,$A315,請求記録!$Z$6:$Z$3005,Z$5,請求記録!$AF$6:$AF$3005,"保留中")&gt;0,"保留",IF(COUNTIFS(請求記録!$B$6:$B$3005,$A315,請求記録!$Z$6:$Z$3005,Z$5)=0,"",SUMIFS(請求記録!$AE$6:$AE$3005,請求記録!$B$6:$B$3005,$A315,請求記録!$Z$6:$Z$3005,Z$5))))</f>
        <v/>
      </c>
      <c r="AA315" s="19">
        <f>IF($A315="","",IF(COUNTIFS(請求記録!$B$6:$B$3005,$A315,請求記録!$Z$6:$Z$3005,AA$5,請求記録!$AF$6:$AF$3005,"保留中")&gt;0,"保留",IF(COUNTIFS(請求記録!$B$6:$B$3005,$A315,請求記録!$Z$6:$Z$3005,AA$5)=0,"",SUMIFS(請求記録!$AE$6:$AE$3005,請求記録!$B$6:$B$3005,$A315,請求記録!$Z$6:$Z$3005,AA$5))))</f>
        <v/>
      </c>
      <c r="AB315">
        <f>IF(職員マスタ!P315="保留中",職員マスタ!M315,"")</f>
        <v/>
      </c>
    </row>
    <row r="316">
      <c r="A316">
        <f>IF(職員マスタ!A316="","",職員マスタ!A316)</f>
        <v/>
      </c>
      <c r="B316">
        <f>IF($A316="","",職員マスタ!B316)</f>
        <v/>
      </c>
      <c r="C316">
        <f>IF($A316="","",職員マスタ!C316)</f>
        <v/>
      </c>
      <c r="D316" s="19">
        <f>IF($A316="","",IF(COUNTIFS(請求記録!$B$6:$B$3005,$A316,請求記録!$Z$6:$Z$3005,D$5,請求記録!$AF$6:$AF$3005,"保留中")&gt;0,"保留",IF(COUNTIFS(請求記録!$B$6:$B$3005,$A316,請求記録!$Z$6:$Z$3005,D$5)=0,"",SUMIFS(請求記録!$AE$6:$AE$3005,請求記録!$B$6:$B$3005,$A316,請求記録!$Z$6:$Z$3005,D$5))))</f>
        <v/>
      </c>
      <c r="E316" s="19">
        <f>IF($A316="","",IF(COUNTIFS(請求記録!$B$6:$B$3005,$A316,請求記録!$Z$6:$Z$3005,E$5,請求記録!$AF$6:$AF$3005,"保留中")&gt;0,"保留",IF(COUNTIFS(請求記録!$B$6:$B$3005,$A316,請求記録!$Z$6:$Z$3005,E$5)=0,"",SUMIFS(請求記録!$AE$6:$AE$3005,請求記録!$B$6:$B$3005,$A316,請求記録!$Z$6:$Z$3005,E$5))))</f>
        <v/>
      </c>
      <c r="F316" s="19">
        <f>IF($A316="","",IF(COUNTIFS(請求記録!$B$6:$B$3005,$A316,請求記録!$Z$6:$Z$3005,F$5,請求記録!$AF$6:$AF$3005,"保留中")&gt;0,"保留",IF(COUNTIFS(請求記録!$B$6:$B$3005,$A316,請求記録!$Z$6:$Z$3005,F$5)=0,"",SUMIFS(請求記録!$AE$6:$AE$3005,請求記録!$B$6:$B$3005,$A316,請求記録!$Z$6:$Z$3005,F$5))))</f>
        <v/>
      </c>
      <c r="G316" s="19">
        <f>IF($A316="","",IF(COUNTIFS(請求記録!$B$6:$B$3005,$A316,請求記録!$Z$6:$Z$3005,G$5,請求記録!$AF$6:$AF$3005,"保留中")&gt;0,"保留",IF(COUNTIFS(請求記録!$B$6:$B$3005,$A316,請求記録!$Z$6:$Z$3005,G$5)=0,"",SUMIFS(請求記録!$AE$6:$AE$3005,請求記録!$B$6:$B$3005,$A316,請求記録!$Z$6:$Z$3005,G$5))))</f>
        <v/>
      </c>
      <c r="H316" s="19">
        <f>IF($A316="","",IF(COUNTIFS(請求記録!$B$6:$B$3005,$A316,請求記録!$Z$6:$Z$3005,H$5,請求記録!$AF$6:$AF$3005,"保留中")&gt;0,"保留",IF(COUNTIFS(請求記録!$B$6:$B$3005,$A316,請求記録!$Z$6:$Z$3005,H$5)=0,"",SUMIFS(請求記録!$AE$6:$AE$3005,請求記録!$B$6:$B$3005,$A316,請求記録!$Z$6:$Z$3005,H$5))))</f>
        <v/>
      </c>
      <c r="I316" s="19">
        <f>IF($A316="","",IF(COUNTIFS(請求記録!$B$6:$B$3005,$A316,請求記録!$Z$6:$Z$3005,I$5,請求記録!$AF$6:$AF$3005,"保留中")&gt;0,"保留",IF(COUNTIFS(請求記録!$B$6:$B$3005,$A316,請求記録!$Z$6:$Z$3005,I$5)=0,"",SUMIFS(請求記録!$AE$6:$AE$3005,請求記録!$B$6:$B$3005,$A316,請求記録!$Z$6:$Z$3005,I$5))))</f>
        <v/>
      </c>
      <c r="J316" s="19">
        <f>IF($A316="","",IF(COUNTIFS(請求記録!$B$6:$B$3005,$A316,請求記録!$Z$6:$Z$3005,J$5,請求記録!$AF$6:$AF$3005,"保留中")&gt;0,"保留",IF(COUNTIFS(請求記録!$B$6:$B$3005,$A316,請求記録!$Z$6:$Z$3005,J$5)=0,"",SUMIFS(請求記録!$AE$6:$AE$3005,請求記録!$B$6:$B$3005,$A316,請求記録!$Z$6:$Z$3005,J$5))))</f>
        <v/>
      </c>
      <c r="K316" s="19">
        <f>IF($A316="","",IF(COUNTIFS(請求記録!$B$6:$B$3005,$A316,請求記録!$Z$6:$Z$3005,K$5,請求記録!$AF$6:$AF$3005,"保留中")&gt;0,"保留",IF(COUNTIFS(請求記録!$B$6:$B$3005,$A316,請求記録!$Z$6:$Z$3005,K$5)=0,"",SUMIFS(請求記録!$AE$6:$AE$3005,請求記録!$B$6:$B$3005,$A316,請求記録!$Z$6:$Z$3005,K$5))))</f>
        <v/>
      </c>
      <c r="L316" s="19">
        <f>IF($A316="","",IF(COUNTIFS(請求記録!$B$6:$B$3005,$A316,請求記録!$Z$6:$Z$3005,L$5,請求記録!$AF$6:$AF$3005,"保留中")&gt;0,"保留",IF(COUNTIFS(請求記録!$B$6:$B$3005,$A316,請求記録!$Z$6:$Z$3005,L$5)=0,"",SUMIFS(請求記録!$AE$6:$AE$3005,請求記録!$B$6:$B$3005,$A316,請求記録!$Z$6:$Z$3005,L$5))))</f>
        <v/>
      </c>
      <c r="M316" s="19">
        <f>IF($A316="","",IF(COUNTIFS(請求記録!$B$6:$B$3005,$A316,請求記録!$Z$6:$Z$3005,M$5,請求記録!$AF$6:$AF$3005,"保留中")&gt;0,"保留",IF(COUNTIFS(請求記録!$B$6:$B$3005,$A316,請求記録!$Z$6:$Z$3005,M$5)=0,"",SUMIFS(請求記録!$AE$6:$AE$3005,請求記録!$B$6:$B$3005,$A316,請求記録!$Z$6:$Z$3005,M$5))))</f>
        <v/>
      </c>
      <c r="N316" s="19">
        <f>IF($A316="","",IF(COUNTIFS(請求記録!$B$6:$B$3005,$A316,請求記録!$Z$6:$Z$3005,N$5,請求記録!$AF$6:$AF$3005,"保留中")&gt;0,"保留",IF(COUNTIFS(請求記録!$B$6:$B$3005,$A316,請求記録!$Z$6:$Z$3005,N$5)=0,"",SUMIFS(請求記録!$AE$6:$AE$3005,請求記録!$B$6:$B$3005,$A316,請求記録!$Z$6:$Z$3005,N$5))))</f>
        <v/>
      </c>
      <c r="O316" s="19">
        <f>IF($A316="","",IF(COUNTIFS(請求記録!$B$6:$B$3005,$A316,請求記録!$Z$6:$Z$3005,O$5,請求記録!$AF$6:$AF$3005,"保留中")&gt;0,"保留",IF(COUNTIFS(請求記録!$B$6:$B$3005,$A316,請求記録!$Z$6:$Z$3005,O$5)=0,"",SUMIFS(請求記録!$AE$6:$AE$3005,請求記録!$B$6:$B$3005,$A316,請求記録!$Z$6:$Z$3005,O$5))))</f>
        <v/>
      </c>
      <c r="P316" s="19">
        <f>IF($A316="","",IF(COUNTIFS(請求記録!$B$6:$B$3005,$A316,請求記録!$Z$6:$Z$3005,P$5,請求記録!$AF$6:$AF$3005,"保留中")&gt;0,"保留",IF(COUNTIFS(請求記録!$B$6:$B$3005,$A316,請求記録!$Z$6:$Z$3005,P$5)=0,"",SUMIFS(請求記録!$AE$6:$AE$3005,請求記録!$B$6:$B$3005,$A316,請求記録!$Z$6:$Z$3005,P$5))))</f>
        <v/>
      </c>
      <c r="Q316" s="19">
        <f>IF($A316="","",IF(COUNTIFS(請求記録!$B$6:$B$3005,$A316,請求記録!$Z$6:$Z$3005,Q$5,請求記録!$AF$6:$AF$3005,"保留中")&gt;0,"保留",IF(COUNTIFS(請求記録!$B$6:$B$3005,$A316,請求記録!$Z$6:$Z$3005,Q$5)=0,"",SUMIFS(請求記録!$AE$6:$AE$3005,請求記録!$B$6:$B$3005,$A316,請求記録!$Z$6:$Z$3005,Q$5))))</f>
        <v/>
      </c>
      <c r="R316" s="19">
        <f>IF($A316="","",IF(COUNTIFS(請求記録!$B$6:$B$3005,$A316,請求記録!$Z$6:$Z$3005,R$5,請求記録!$AF$6:$AF$3005,"保留中")&gt;0,"保留",IF(COUNTIFS(請求記録!$B$6:$B$3005,$A316,請求記録!$Z$6:$Z$3005,R$5)=0,"",SUMIFS(請求記録!$AE$6:$AE$3005,請求記録!$B$6:$B$3005,$A316,請求記録!$Z$6:$Z$3005,R$5))))</f>
        <v/>
      </c>
      <c r="S316" s="19">
        <f>IF($A316="","",IF(COUNTIFS(請求記録!$B$6:$B$3005,$A316,請求記録!$Z$6:$Z$3005,S$5,請求記録!$AF$6:$AF$3005,"保留中")&gt;0,"保留",IF(COUNTIFS(請求記録!$B$6:$B$3005,$A316,請求記録!$Z$6:$Z$3005,S$5)=0,"",SUMIFS(請求記録!$AE$6:$AE$3005,請求記録!$B$6:$B$3005,$A316,請求記録!$Z$6:$Z$3005,S$5))))</f>
        <v/>
      </c>
      <c r="T316" s="19">
        <f>IF($A316="","",IF(COUNTIFS(請求記録!$B$6:$B$3005,$A316,請求記録!$Z$6:$Z$3005,T$5,請求記録!$AF$6:$AF$3005,"保留中")&gt;0,"保留",IF(COUNTIFS(請求記録!$B$6:$B$3005,$A316,請求記録!$Z$6:$Z$3005,T$5)=0,"",SUMIFS(請求記録!$AE$6:$AE$3005,請求記録!$B$6:$B$3005,$A316,請求記録!$Z$6:$Z$3005,T$5))))</f>
        <v/>
      </c>
      <c r="U316" s="19">
        <f>IF($A316="","",IF(COUNTIFS(請求記録!$B$6:$B$3005,$A316,請求記録!$Z$6:$Z$3005,U$5,請求記録!$AF$6:$AF$3005,"保留中")&gt;0,"保留",IF(COUNTIFS(請求記録!$B$6:$B$3005,$A316,請求記録!$Z$6:$Z$3005,U$5)=0,"",SUMIFS(請求記録!$AE$6:$AE$3005,請求記録!$B$6:$B$3005,$A316,請求記録!$Z$6:$Z$3005,U$5))))</f>
        <v/>
      </c>
      <c r="V316" s="19">
        <f>IF($A316="","",IF(COUNTIFS(請求記録!$B$6:$B$3005,$A316,請求記録!$Z$6:$Z$3005,V$5,請求記録!$AF$6:$AF$3005,"保留中")&gt;0,"保留",IF(COUNTIFS(請求記録!$B$6:$B$3005,$A316,請求記録!$Z$6:$Z$3005,V$5)=0,"",SUMIFS(請求記録!$AE$6:$AE$3005,請求記録!$B$6:$B$3005,$A316,請求記録!$Z$6:$Z$3005,V$5))))</f>
        <v/>
      </c>
      <c r="W316" s="19">
        <f>IF($A316="","",IF(COUNTIFS(請求記録!$B$6:$B$3005,$A316,請求記録!$Z$6:$Z$3005,W$5,請求記録!$AF$6:$AF$3005,"保留中")&gt;0,"保留",IF(COUNTIFS(請求記録!$B$6:$B$3005,$A316,請求記録!$Z$6:$Z$3005,W$5)=0,"",SUMIFS(請求記録!$AE$6:$AE$3005,請求記録!$B$6:$B$3005,$A316,請求記録!$Z$6:$Z$3005,W$5))))</f>
        <v/>
      </c>
      <c r="X316" s="19">
        <f>IF($A316="","",IF(COUNTIFS(請求記録!$B$6:$B$3005,$A316,請求記録!$Z$6:$Z$3005,X$5,請求記録!$AF$6:$AF$3005,"保留中")&gt;0,"保留",IF(COUNTIFS(請求記録!$B$6:$B$3005,$A316,請求記録!$Z$6:$Z$3005,X$5)=0,"",SUMIFS(請求記録!$AE$6:$AE$3005,請求記録!$B$6:$B$3005,$A316,請求記録!$Z$6:$Z$3005,X$5))))</f>
        <v/>
      </c>
      <c r="Y316" s="19">
        <f>IF($A316="","",IF(COUNTIFS(請求記録!$B$6:$B$3005,$A316,請求記録!$Z$6:$Z$3005,Y$5,請求記録!$AF$6:$AF$3005,"保留中")&gt;0,"保留",IF(COUNTIFS(請求記録!$B$6:$B$3005,$A316,請求記録!$Z$6:$Z$3005,Y$5)=0,"",SUMIFS(請求記録!$AE$6:$AE$3005,請求記録!$B$6:$B$3005,$A316,請求記録!$Z$6:$Z$3005,Y$5))))</f>
        <v/>
      </c>
      <c r="Z316" s="19">
        <f>IF($A316="","",IF(COUNTIFS(請求記録!$B$6:$B$3005,$A316,請求記録!$Z$6:$Z$3005,Z$5,請求記録!$AF$6:$AF$3005,"保留中")&gt;0,"保留",IF(COUNTIFS(請求記録!$B$6:$B$3005,$A316,請求記録!$Z$6:$Z$3005,Z$5)=0,"",SUMIFS(請求記録!$AE$6:$AE$3005,請求記録!$B$6:$B$3005,$A316,請求記録!$Z$6:$Z$3005,Z$5))))</f>
        <v/>
      </c>
      <c r="AA316" s="19">
        <f>IF($A316="","",IF(COUNTIFS(請求記録!$B$6:$B$3005,$A316,請求記録!$Z$6:$Z$3005,AA$5,請求記録!$AF$6:$AF$3005,"保留中")&gt;0,"保留",IF(COUNTIFS(請求記録!$B$6:$B$3005,$A316,請求記録!$Z$6:$Z$3005,AA$5)=0,"",SUMIFS(請求記録!$AE$6:$AE$3005,請求記録!$B$6:$B$3005,$A316,請求記録!$Z$6:$Z$3005,AA$5))))</f>
        <v/>
      </c>
      <c r="AB316">
        <f>IF(職員マスタ!P316="保留中",職員マスタ!M316,"")</f>
        <v/>
      </c>
    </row>
    <row r="317">
      <c r="A317">
        <f>IF(職員マスタ!A317="","",職員マスタ!A317)</f>
        <v/>
      </c>
      <c r="B317">
        <f>IF($A317="","",職員マスタ!B317)</f>
        <v/>
      </c>
      <c r="C317">
        <f>IF($A317="","",職員マスタ!C317)</f>
        <v/>
      </c>
      <c r="D317" s="19">
        <f>IF($A317="","",IF(COUNTIFS(請求記録!$B$6:$B$3005,$A317,請求記録!$Z$6:$Z$3005,D$5,請求記録!$AF$6:$AF$3005,"保留中")&gt;0,"保留",IF(COUNTIFS(請求記録!$B$6:$B$3005,$A317,請求記録!$Z$6:$Z$3005,D$5)=0,"",SUMIFS(請求記録!$AE$6:$AE$3005,請求記録!$B$6:$B$3005,$A317,請求記録!$Z$6:$Z$3005,D$5))))</f>
        <v/>
      </c>
      <c r="E317" s="19">
        <f>IF($A317="","",IF(COUNTIFS(請求記録!$B$6:$B$3005,$A317,請求記録!$Z$6:$Z$3005,E$5,請求記録!$AF$6:$AF$3005,"保留中")&gt;0,"保留",IF(COUNTIFS(請求記録!$B$6:$B$3005,$A317,請求記録!$Z$6:$Z$3005,E$5)=0,"",SUMIFS(請求記録!$AE$6:$AE$3005,請求記録!$B$6:$B$3005,$A317,請求記録!$Z$6:$Z$3005,E$5))))</f>
        <v/>
      </c>
      <c r="F317" s="19">
        <f>IF($A317="","",IF(COUNTIFS(請求記録!$B$6:$B$3005,$A317,請求記録!$Z$6:$Z$3005,F$5,請求記録!$AF$6:$AF$3005,"保留中")&gt;0,"保留",IF(COUNTIFS(請求記録!$B$6:$B$3005,$A317,請求記録!$Z$6:$Z$3005,F$5)=0,"",SUMIFS(請求記録!$AE$6:$AE$3005,請求記録!$B$6:$B$3005,$A317,請求記録!$Z$6:$Z$3005,F$5))))</f>
        <v/>
      </c>
      <c r="G317" s="19">
        <f>IF($A317="","",IF(COUNTIFS(請求記録!$B$6:$B$3005,$A317,請求記録!$Z$6:$Z$3005,G$5,請求記録!$AF$6:$AF$3005,"保留中")&gt;0,"保留",IF(COUNTIFS(請求記録!$B$6:$B$3005,$A317,請求記録!$Z$6:$Z$3005,G$5)=0,"",SUMIFS(請求記録!$AE$6:$AE$3005,請求記録!$B$6:$B$3005,$A317,請求記録!$Z$6:$Z$3005,G$5))))</f>
        <v/>
      </c>
      <c r="H317" s="19">
        <f>IF($A317="","",IF(COUNTIFS(請求記録!$B$6:$B$3005,$A317,請求記録!$Z$6:$Z$3005,H$5,請求記録!$AF$6:$AF$3005,"保留中")&gt;0,"保留",IF(COUNTIFS(請求記録!$B$6:$B$3005,$A317,請求記録!$Z$6:$Z$3005,H$5)=0,"",SUMIFS(請求記録!$AE$6:$AE$3005,請求記録!$B$6:$B$3005,$A317,請求記録!$Z$6:$Z$3005,H$5))))</f>
        <v/>
      </c>
      <c r="I317" s="19">
        <f>IF($A317="","",IF(COUNTIFS(請求記録!$B$6:$B$3005,$A317,請求記録!$Z$6:$Z$3005,I$5,請求記録!$AF$6:$AF$3005,"保留中")&gt;0,"保留",IF(COUNTIFS(請求記録!$B$6:$B$3005,$A317,請求記録!$Z$6:$Z$3005,I$5)=0,"",SUMIFS(請求記録!$AE$6:$AE$3005,請求記録!$B$6:$B$3005,$A317,請求記録!$Z$6:$Z$3005,I$5))))</f>
        <v/>
      </c>
      <c r="J317" s="19">
        <f>IF($A317="","",IF(COUNTIFS(請求記録!$B$6:$B$3005,$A317,請求記録!$Z$6:$Z$3005,J$5,請求記録!$AF$6:$AF$3005,"保留中")&gt;0,"保留",IF(COUNTIFS(請求記録!$B$6:$B$3005,$A317,請求記録!$Z$6:$Z$3005,J$5)=0,"",SUMIFS(請求記録!$AE$6:$AE$3005,請求記録!$B$6:$B$3005,$A317,請求記録!$Z$6:$Z$3005,J$5))))</f>
        <v/>
      </c>
      <c r="K317" s="19">
        <f>IF($A317="","",IF(COUNTIFS(請求記録!$B$6:$B$3005,$A317,請求記録!$Z$6:$Z$3005,K$5,請求記録!$AF$6:$AF$3005,"保留中")&gt;0,"保留",IF(COUNTIFS(請求記録!$B$6:$B$3005,$A317,請求記録!$Z$6:$Z$3005,K$5)=0,"",SUMIFS(請求記録!$AE$6:$AE$3005,請求記録!$B$6:$B$3005,$A317,請求記録!$Z$6:$Z$3005,K$5))))</f>
        <v/>
      </c>
      <c r="L317" s="19">
        <f>IF($A317="","",IF(COUNTIFS(請求記録!$B$6:$B$3005,$A317,請求記録!$Z$6:$Z$3005,L$5,請求記録!$AF$6:$AF$3005,"保留中")&gt;0,"保留",IF(COUNTIFS(請求記録!$B$6:$B$3005,$A317,請求記録!$Z$6:$Z$3005,L$5)=0,"",SUMIFS(請求記録!$AE$6:$AE$3005,請求記録!$B$6:$B$3005,$A317,請求記録!$Z$6:$Z$3005,L$5))))</f>
        <v/>
      </c>
      <c r="M317" s="19">
        <f>IF($A317="","",IF(COUNTIFS(請求記録!$B$6:$B$3005,$A317,請求記録!$Z$6:$Z$3005,M$5,請求記録!$AF$6:$AF$3005,"保留中")&gt;0,"保留",IF(COUNTIFS(請求記録!$B$6:$B$3005,$A317,請求記録!$Z$6:$Z$3005,M$5)=0,"",SUMIFS(請求記録!$AE$6:$AE$3005,請求記録!$B$6:$B$3005,$A317,請求記録!$Z$6:$Z$3005,M$5))))</f>
        <v/>
      </c>
      <c r="N317" s="19">
        <f>IF($A317="","",IF(COUNTIFS(請求記録!$B$6:$B$3005,$A317,請求記録!$Z$6:$Z$3005,N$5,請求記録!$AF$6:$AF$3005,"保留中")&gt;0,"保留",IF(COUNTIFS(請求記録!$B$6:$B$3005,$A317,請求記録!$Z$6:$Z$3005,N$5)=0,"",SUMIFS(請求記録!$AE$6:$AE$3005,請求記録!$B$6:$B$3005,$A317,請求記録!$Z$6:$Z$3005,N$5))))</f>
        <v/>
      </c>
      <c r="O317" s="19">
        <f>IF($A317="","",IF(COUNTIFS(請求記録!$B$6:$B$3005,$A317,請求記録!$Z$6:$Z$3005,O$5,請求記録!$AF$6:$AF$3005,"保留中")&gt;0,"保留",IF(COUNTIFS(請求記録!$B$6:$B$3005,$A317,請求記録!$Z$6:$Z$3005,O$5)=0,"",SUMIFS(請求記録!$AE$6:$AE$3005,請求記録!$B$6:$B$3005,$A317,請求記録!$Z$6:$Z$3005,O$5))))</f>
        <v/>
      </c>
      <c r="P317" s="19">
        <f>IF($A317="","",IF(COUNTIFS(請求記録!$B$6:$B$3005,$A317,請求記録!$Z$6:$Z$3005,P$5,請求記録!$AF$6:$AF$3005,"保留中")&gt;0,"保留",IF(COUNTIFS(請求記録!$B$6:$B$3005,$A317,請求記録!$Z$6:$Z$3005,P$5)=0,"",SUMIFS(請求記録!$AE$6:$AE$3005,請求記録!$B$6:$B$3005,$A317,請求記録!$Z$6:$Z$3005,P$5))))</f>
        <v/>
      </c>
      <c r="Q317" s="19">
        <f>IF($A317="","",IF(COUNTIFS(請求記録!$B$6:$B$3005,$A317,請求記録!$Z$6:$Z$3005,Q$5,請求記録!$AF$6:$AF$3005,"保留中")&gt;0,"保留",IF(COUNTIFS(請求記録!$B$6:$B$3005,$A317,請求記録!$Z$6:$Z$3005,Q$5)=0,"",SUMIFS(請求記録!$AE$6:$AE$3005,請求記録!$B$6:$B$3005,$A317,請求記録!$Z$6:$Z$3005,Q$5))))</f>
        <v/>
      </c>
      <c r="R317" s="19">
        <f>IF($A317="","",IF(COUNTIFS(請求記録!$B$6:$B$3005,$A317,請求記録!$Z$6:$Z$3005,R$5,請求記録!$AF$6:$AF$3005,"保留中")&gt;0,"保留",IF(COUNTIFS(請求記録!$B$6:$B$3005,$A317,請求記録!$Z$6:$Z$3005,R$5)=0,"",SUMIFS(請求記録!$AE$6:$AE$3005,請求記録!$B$6:$B$3005,$A317,請求記録!$Z$6:$Z$3005,R$5))))</f>
        <v/>
      </c>
      <c r="S317" s="19">
        <f>IF($A317="","",IF(COUNTIFS(請求記録!$B$6:$B$3005,$A317,請求記録!$Z$6:$Z$3005,S$5,請求記録!$AF$6:$AF$3005,"保留中")&gt;0,"保留",IF(COUNTIFS(請求記録!$B$6:$B$3005,$A317,請求記録!$Z$6:$Z$3005,S$5)=0,"",SUMIFS(請求記録!$AE$6:$AE$3005,請求記録!$B$6:$B$3005,$A317,請求記録!$Z$6:$Z$3005,S$5))))</f>
        <v/>
      </c>
      <c r="T317" s="19">
        <f>IF($A317="","",IF(COUNTIFS(請求記録!$B$6:$B$3005,$A317,請求記録!$Z$6:$Z$3005,T$5,請求記録!$AF$6:$AF$3005,"保留中")&gt;0,"保留",IF(COUNTIFS(請求記録!$B$6:$B$3005,$A317,請求記録!$Z$6:$Z$3005,T$5)=0,"",SUMIFS(請求記録!$AE$6:$AE$3005,請求記録!$B$6:$B$3005,$A317,請求記録!$Z$6:$Z$3005,T$5))))</f>
        <v/>
      </c>
      <c r="U317" s="19">
        <f>IF($A317="","",IF(COUNTIFS(請求記録!$B$6:$B$3005,$A317,請求記録!$Z$6:$Z$3005,U$5,請求記録!$AF$6:$AF$3005,"保留中")&gt;0,"保留",IF(COUNTIFS(請求記録!$B$6:$B$3005,$A317,請求記録!$Z$6:$Z$3005,U$5)=0,"",SUMIFS(請求記録!$AE$6:$AE$3005,請求記録!$B$6:$B$3005,$A317,請求記録!$Z$6:$Z$3005,U$5))))</f>
        <v/>
      </c>
      <c r="V317" s="19">
        <f>IF($A317="","",IF(COUNTIFS(請求記録!$B$6:$B$3005,$A317,請求記録!$Z$6:$Z$3005,V$5,請求記録!$AF$6:$AF$3005,"保留中")&gt;0,"保留",IF(COUNTIFS(請求記録!$B$6:$B$3005,$A317,請求記録!$Z$6:$Z$3005,V$5)=0,"",SUMIFS(請求記録!$AE$6:$AE$3005,請求記録!$B$6:$B$3005,$A317,請求記録!$Z$6:$Z$3005,V$5))))</f>
        <v/>
      </c>
      <c r="W317" s="19">
        <f>IF($A317="","",IF(COUNTIFS(請求記録!$B$6:$B$3005,$A317,請求記録!$Z$6:$Z$3005,W$5,請求記録!$AF$6:$AF$3005,"保留中")&gt;0,"保留",IF(COUNTIFS(請求記録!$B$6:$B$3005,$A317,請求記録!$Z$6:$Z$3005,W$5)=0,"",SUMIFS(請求記録!$AE$6:$AE$3005,請求記録!$B$6:$B$3005,$A317,請求記録!$Z$6:$Z$3005,W$5))))</f>
        <v/>
      </c>
      <c r="X317" s="19">
        <f>IF($A317="","",IF(COUNTIFS(請求記録!$B$6:$B$3005,$A317,請求記録!$Z$6:$Z$3005,X$5,請求記録!$AF$6:$AF$3005,"保留中")&gt;0,"保留",IF(COUNTIFS(請求記録!$B$6:$B$3005,$A317,請求記録!$Z$6:$Z$3005,X$5)=0,"",SUMIFS(請求記録!$AE$6:$AE$3005,請求記録!$B$6:$B$3005,$A317,請求記録!$Z$6:$Z$3005,X$5))))</f>
        <v/>
      </c>
      <c r="Y317" s="19">
        <f>IF($A317="","",IF(COUNTIFS(請求記録!$B$6:$B$3005,$A317,請求記録!$Z$6:$Z$3005,Y$5,請求記録!$AF$6:$AF$3005,"保留中")&gt;0,"保留",IF(COUNTIFS(請求記録!$B$6:$B$3005,$A317,請求記録!$Z$6:$Z$3005,Y$5)=0,"",SUMIFS(請求記録!$AE$6:$AE$3005,請求記録!$B$6:$B$3005,$A317,請求記録!$Z$6:$Z$3005,Y$5))))</f>
        <v/>
      </c>
      <c r="Z317" s="19">
        <f>IF($A317="","",IF(COUNTIFS(請求記録!$B$6:$B$3005,$A317,請求記録!$Z$6:$Z$3005,Z$5,請求記録!$AF$6:$AF$3005,"保留中")&gt;0,"保留",IF(COUNTIFS(請求記録!$B$6:$B$3005,$A317,請求記録!$Z$6:$Z$3005,Z$5)=0,"",SUMIFS(請求記録!$AE$6:$AE$3005,請求記録!$B$6:$B$3005,$A317,請求記録!$Z$6:$Z$3005,Z$5))))</f>
        <v/>
      </c>
      <c r="AA317" s="19">
        <f>IF($A317="","",IF(COUNTIFS(請求記録!$B$6:$B$3005,$A317,請求記録!$Z$6:$Z$3005,AA$5,請求記録!$AF$6:$AF$3005,"保留中")&gt;0,"保留",IF(COUNTIFS(請求記録!$B$6:$B$3005,$A317,請求記録!$Z$6:$Z$3005,AA$5)=0,"",SUMIFS(請求記録!$AE$6:$AE$3005,請求記録!$B$6:$B$3005,$A317,請求記録!$Z$6:$Z$3005,AA$5))))</f>
        <v/>
      </c>
      <c r="AB317">
        <f>IF(職員マスタ!P317="保留中",職員マスタ!M317,"")</f>
        <v/>
      </c>
    </row>
    <row r="318">
      <c r="A318">
        <f>IF(職員マスタ!A318="","",職員マスタ!A318)</f>
        <v/>
      </c>
      <c r="B318">
        <f>IF($A318="","",職員マスタ!B318)</f>
        <v/>
      </c>
      <c r="C318">
        <f>IF($A318="","",職員マスタ!C318)</f>
        <v/>
      </c>
      <c r="D318" s="19">
        <f>IF($A318="","",IF(COUNTIFS(請求記録!$B$6:$B$3005,$A318,請求記録!$Z$6:$Z$3005,D$5,請求記録!$AF$6:$AF$3005,"保留中")&gt;0,"保留",IF(COUNTIFS(請求記録!$B$6:$B$3005,$A318,請求記録!$Z$6:$Z$3005,D$5)=0,"",SUMIFS(請求記録!$AE$6:$AE$3005,請求記録!$B$6:$B$3005,$A318,請求記録!$Z$6:$Z$3005,D$5))))</f>
        <v/>
      </c>
      <c r="E318" s="19">
        <f>IF($A318="","",IF(COUNTIFS(請求記録!$B$6:$B$3005,$A318,請求記録!$Z$6:$Z$3005,E$5,請求記録!$AF$6:$AF$3005,"保留中")&gt;0,"保留",IF(COUNTIFS(請求記録!$B$6:$B$3005,$A318,請求記録!$Z$6:$Z$3005,E$5)=0,"",SUMIFS(請求記録!$AE$6:$AE$3005,請求記録!$B$6:$B$3005,$A318,請求記録!$Z$6:$Z$3005,E$5))))</f>
        <v/>
      </c>
      <c r="F318" s="19">
        <f>IF($A318="","",IF(COUNTIFS(請求記録!$B$6:$B$3005,$A318,請求記録!$Z$6:$Z$3005,F$5,請求記録!$AF$6:$AF$3005,"保留中")&gt;0,"保留",IF(COUNTIFS(請求記録!$B$6:$B$3005,$A318,請求記録!$Z$6:$Z$3005,F$5)=0,"",SUMIFS(請求記録!$AE$6:$AE$3005,請求記録!$B$6:$B$3005,$A318,請求記録!$Z$6:$Z$3005,F$5))))</f>
        <v/>
      </c>
      <c r="G318" s="19">
        <f>IF($A318="","",IF(COUNTIFS(請求記録!$B$6:$B$3005,$A318,請求記録!$Z$6:$Z$3005,G$5,請求記録!$AF$6:$AF$3005,"保留中")&gt;0,"保留",IF(COUNTIFS(請求記録!$B$6:$B$3005,$A318,請求記録!$Z$6:$Z$3005,G$5)=0,"",SUMIFS(請求記録!$AE$6:$AE$3005,請求記録!$B$6:$B$3005,$A318,請求記録!$Z$6:$Z$3005,G$5))))</f>
        <v/>
      </c>
      <c r="H318" s="19">
        <f>IF($A318="","",IF(COUNTIFS(請求記録!$B$6:$B$3005,$A318,請求記録!$Z$6:$Z$3005,H$5,請求記録!$AF$6:$AF$3005,"保留中")&gt;0,"保留",IF(COUNTIFS(請求記録!$B$6:$B$3005,$A318,請求記録!$Z$6:$Z$3005,H$5)=0,"",SUMIFS(請求記録!$AE$6:$AE$3005,請求記録!$B$6:$B$3005,$A318,請求記録!$Z$6:$Z$3005,H$5))))</f>
        <v/>
      </c>
      <c r="I318" s="19">
        <f>IF($A318="","",IF(COUNTIFS(請求記録!$B$6:$B$3005,$A318,請求記録!$Z$6:$Z$3005,I$5,請求記録!$AF$6:$AF$3005,"保留中")&gt;0,"保留",IF(COUNTIFS(請求記録!$B$6:$B$3005,$A318,請求記録!$Z$6:$Z$3005,I$5)=0,"",SUMIFS(請求記録!$AE$6:$AE$3005,請求記録!$B$6:$B$3005,$A318,請求記録!$Z$6:$Z$3005,I$5))))</f>
        <v/>
      </c>
      <c r="J318" s="19">
        <f>IF($A318="","",IF(COUNTIFS(請求記録!$B$6:$B$3005,$A318,請求記録!$Z$6:$Z$3005,J$5,請求記録!$AF$6:$AF$3005,"保留中")&gt;0,"保留",IF(COUNTIFS(請求記録!$B$6:$B$3005,$A318,請求記録!$Z$6:$Z$3005,J$5)=0,"",SUMIFS(請求記録!$AE$6:$AE$3005,請求記録!$B$6:$B$3005,$A318,請求記録!$Z$6:$Z$3005,J$5))))</f>
        <v/>
      </c>
      <c r="K318" s="19">
        <f>IF($A318="","",IF(COUNTIFS(請求記録!$B$6:$B$3005,$A318,請求記録!$Z$6:$Z$3005,K$5,請求記録!$AF$6:$AF$3005,"保留中")&gt;0,"保留",IF(COUNTIFS(請求記録!$B$6:$B$3005,$A318,請求記録!$Z$6:$Z$3005,K$5)=0,"",SUMIFS(請求記録!$AE$6:$AE$3005,請求記録!$B$6:$B$3005,$A318,請求記録!$Z$6:$Z$3005,K$5))))</f>
        <v/>
      </c>
      <c r="L318" s="19">
        <f>IF($A318="","",IF(COUNTIFS(請求記録!$B$6:$B$3005,$A318,請求記録!$Z$6:$Z$3005,L$5,請求記録!$AF$6:$AF$3005,"保留中")&gt;0,"保留",IF(COUNTIFS(請求記録!$B$6:$B$3005,$A318,請求記録!$Z$6:$Z$3005,L$5)=0,"",SUMIFS(請求記録!$AE$6:$AE$3005,請求記録!$B$6:$B$3005,$A318,請求記録!$Z$6:$Z$3005,L$5))))</f>
        <v/>
      </c>
      <c r="M318" s="19">
        <f>IF($A318="","",IF(COUNTIFS(請求記録!$B$6:$B$3005,$A318,請求記録!$Z$6:$Z$3005,M$5,請求記録!$AF$6:$AF$3005,"保留中")&gt;0,"保留",IF(COUNTIFS(請求記録!$B$6:$B$3005,$A318,請求記録!$Z$6:$Z$3005,M$5)=0,"",SUMIFS(請求記録!$AE$6:$AE$3005,請求記録!$B$6:$B$3005,$A318,請求記録!$Z$6:$Z$3005,M$5))))</f>
        <v/>
      </c>
      <c r="N318" s="19">
        <f>IF($A318="","",IF(COUNTIFS(請求記録!$B$6:$B$3005,$A318,請求記録!$Z$6:$Z$3005,N$5,請求記録!$AF$6:$AF$3005,"保留中")&gt;0,"保留",IF(COUNTIFS(請求記録!$B$6:$B$3005,$A318,請求記録!$Z$6:$Z$3005,N$5)=0,"",SUMIFS(請求記録!$AE$6:$AE$3005,請求記録!$B$6:$B$3005,$A318,請求記録!$Z$6:$Z$3005,N$5))))</f>
        <v/>
      </c>
      <c r="O318" s="19">
        <f>IF($A318="","",IF(COUNTIFS(請求記録!$B$6:$B$3005,$A318,請求記録!$Z$6:$Z$3005,O$5,請求記録!$AF$6:$AF$3005,"保留中")&gt;0,"保留",IF(COUNTIFS(請求記録!$B$6:$B$3005,$A318,請求記録!$Z$6:$Z$3005,O$5)=0,"",SUMIFS(請求記録!$AE$6:$AE$3005,請求記録!$B$6:$B$3005,$A318,請求記録!$Z$6:$Z$3005,O$5))))</f>
        <v/>
      </c>
      <c r="P318" s="19">
        <f>IF($A318="","",IF(COUNTIFS(請求記録!$B$6:$B$3005,$A318,請求記録!$Z$6:$Z$3005,P$5,請求記録!$AF$6:$AF$3005,"保留中")&gt;0,"保留",IF(COUNTIFS(請求記録!$B$6:$B$3005,$A318,請求記録!$Z$6:$Z$3005,P$5)=0,"",SUMIFS(請求記録!$AE$6:$AE$3005,請求記録!$B$6:$B$3005,$A318,請求記録!$Z$6:$Z$3005,P$5))))</f>
        <v/>
      </c>
      <c r="Q318" s="19">
        <f>IF($A318="","",IF(COUNTIFS(請求記録!$B$6:$B$3005,$A318,請求記録!$Z$6:$Z$3005,Q$5,請求記録!$AF$6:$AF$3005,"保留中")&gt;0,"保留",IF(COUNTIFS(請求記録!$B$6:$B$3005,$A318,請求記録!$Z$6:$Z$3005,Q$5)=0,"",SUMIFS(請求記録!$AE$6:$AE$3005,請求記録!$B$6:$B$3005,$A318,請求記録!$Z$6:$Z$3005,Q$5))))</f>
        <v/>
      </c>
      <c r="R318" s="19">
        <f>IF($A318="","",IF(COUNTIFS(請求記録!$B$6:$B$3005,$A318,請求記録!$Z$6:$Z$3005,R$5,請求記録!$AF$6:$AF$3005,"保留中")&gt;0,"保留",IF(COUNTIFS(請求記録!$B$6:$B$3005,$A318,請求記録!$Z$6:$Z$3005,R$5)=0,"",SUMIFS(請求記録!$AE$6:$AE$3005,請求記録!$B$6:$B$3005,$A318,請求記録!$Z$6:$Z$3005,R$5))))</f>
        <v/>
      </c>
      <c r="S318" s="19">
        <f>IF($A318="","",IF(COUNTIFS(請求記録!$B$6:$B$3005,$A318,請求記録!$Z$6:$Z$3005,S$5,請求記録!$AF$6:$AF$3005,"保留中")&gt;0,"保留",IF(COUNTIFS(請求記録!$B$6:$B$3005,$A318,請求記録!$Z$6:$Z$3005,S$5)=0,"",SUMIFS(請求記録!$AE$6:$AE$3005,請求記録!$B$6:$B$3005,$A318,請求記録!$Z$6:$Z$3005,S$5))))</f>
        <v/>
      </c>
      <c r="T318" s="19">
        <f>IF($A318="","",IF(COUNTIFS(請求記録!$B$6:$B$3005,$A318,請求記録!$Z$6:$Z$3005,T$5,請求記録!$AF$6:$AF$3005,"保留中")&gt;0,"保留",IF(COUNTIFS(請求記録!$B$6:$B$3005,$A318,請求記録!$Z$6:$Z$3005,T$5)=0,"",SUMIFS(請求記録!$AE$6:$AE$3005,請求記録!$B$6:$B$3005,$A318,請求記録!$Z$6:$Z$3005,T$5))))</f>
        <v/>
      </c>
      <c r="U318" s="19">
        <f>IF($A318="","",IF(COUNTIFS(請求記録!$B$6:$B$3005,$A318,請求記録!$Z$6:$Z$3005,U$5,請求記録!$AF$6:$AF$3005,"保留中")&gt;0,"保留",IF(COUNTIFS(請求記録!$B$6:$B$3005,$A318,請求記録!$Z$6:$Z$3005,U$5)=0,"",SUMIFS(請求記録!$AE$6:$AE$3005,請求記録!$B$6:$B$3005,$A318,請求記録!$Z$6:$Z$3005,U$5))))</f>
        <v/>
      </c>
      <c r="V318" s="19">
        <f>IF($A318="","",IF(COUNTIFS(請求記録!$B$6:$B$3005,$A318,請求記録!$Z$6:$Z$3005,V$5,請求記録!$AF$6:$AF$3005,"保留中")&gt;0,"保留",IF(COUNTIFS(請求記録!$B$6:$B$3005,$A318,請求記録!$Z$6:$Z$3005,V$5)=0,"",SUMIFS(請求記録!$AE$6:$AE$3005,請求記録!$B$6:$B$3005,$A318,請求記録!$Z$6:$Z$3005,V$5))))</f>
        <v/>
      </c>
      <c r="W318" s="19">
        <f>IF($A318="","",IF(COUNTIFS(請求記録!$B$6:$B$3005,$A318,請求記録!$Z$6:$Z$3005,W$5,請求記録!$AF$6:$AF$3005,"保留中")&gt;0,"保留",IF(COUNTIFS(請求記録!$B$6:$B$3005,$A318,請求記録!$Z$6:$Z$3005,W$5)=0,"",SUMIFS(請求記録!$AE$6:$AE$3005,請求記録!$B$6:$B$3005,$A318,請求記録!$Z$6:$Z$3005,W$5))))</f>
        <v/>
      </c>
      <c r="X318" s="19">
        <f>IF($A318="","",IF(COUNTIFS(請求記録!$B$6:$B$3005,$A318,請求記録!$Z$6:$Z$3005,X$5,請求記録!$AF$6:$AF$3005,"保留中")&gt;0,"保留",IF(COUNTIFS(請求記録!$B$6:$B$3005,$A318,請求記録!$Z$6:$Z$3005,X$5)=0,"",SUMIFS(請求記録!$AE$6:$AE$3005,請求記録!$B$6:$B$3005,$A318,請求記録!$Z$6:$Z$3005,X$5))))</f>
        <v/>
      </c>
      <c r="Y318" s="19">
        <f>IF($A318="","",IF(COUNTIFS(請求記録!$B$6:$B$3005,$A318,請求記録!$Z$6:$Z$3005,Y$5,請求記録!$AF$6:$AF$3005,"保留中")&gt;0,"保留",IF(COUNTIFS(請求記録!$B$6:$B$3005,$A318,請求記録!$Z$6:$Z$3005,Y$5)=0,"",SUMIFS(請求記録!$AE$6:$AE$3005,請求記録!$B$6:$B$3005,$A318,請求記録!$Z$6:$Z$3005,Y$5))))</f>
        <v/>
      </c>
      <c r="Z318" s="19">
        <f>IF($A318="","",IF(COUNTIFS(請求記録!$B$6:$B$3005,$A318,請求記録!$Z$6:$Z$3005,Z$5,請求記録!$AF$6:$AF$3005,"保留中")&gt;0,"保留",IF(COUNTIFS(請求記録!$B$6:$B$3005,$A318,請求記録!$Z$6:$Z$3005,Z$5)=0,"",SUMIFS(請求記録!$AE$6:$AE$3005,請求記録!$B$6:$B$3005,$A318,請求記録!$Z$6:$Z$3005,Z$5))))</f>
        <v/>
      </c>
      <c r="AA318" s="19">
        <f>IF($A318="","",IF(COUNTIFS(請求記録!$B$6:$B$3005,$A318,請求記録!$Z$6:$Z$3005,AA$5,請求記録!$AF$6:$AF$3005,"保留中")&gt;0,"保留",IF(COUNTIFS(請求記録!$B$6:$B$3005,$A318,請求記録!$Z$6:$Z$3005,AA$5)=0,"",SUMIFS(請求記録!$AE$6:$AE$3005,請求記録!$B$6:$B$3005,$A318,請求記録!$Z$6:$Z$3005,AA$5))))</f>
        <v/>
      </c>
      <c r="AB318">
        <f>IF(職員マスタ!P318="保留中",職員マスタ!M318,"")</f>
        <v/>
      </c>
    </row>
    <row r="319">
      <c r="A319">
        <f>IF(職員マスタ!A319="","",職員マスタ!A319)</f>
        <v/>
      </c>
      <c r="B319">
        <f>IF($A319="","",職員マスタ!B319)</f>
        <v/>
      </c>
      <c r="C319">
        <f>IF($A319="","",職員マスタ!C319)</f>
        <v/>
      </c>
      <c r="D319" s="19">
        <f>IF($A319="","",IF(COUNTIFS(請求記録!$B$6:$B$3005,$A319,請求記録!$Z$6:$Z$3005,D$5,請求記録!$AF$6:$AF$3005,"保留中")&gt;0,"保留",IF(COUNTIFS(請求記録!$B$6:$B$3005,$A319,請求記録!$Z$6:$Z$3005,D$5)=0,"",SUMIFS(請求記録!$AE$6:$AE$3005,請求記録!$B$6:$B$3005,$A319,請求記録!$Z$6:$Z$3005,D$5))))</f>
        <v/>
      </c>
      <c r="E319" s="19">
        <f>IF($A319="","",IF(COUNTIFS(請求記録!$B$6:$B$3005,$A319,請求記録!$Z$6:$Z$3005,E$5,請求記録!$AF$6:$AF$3005,"保留中")&gt;0,"保留",IF(COUNTIFS(請求記録!$B$6:$B$3005,$A319,請求記録!$Z$6:$Z$3005,E$5)=0,"",SUMIFS(請求記録!$AE$6:$AE$3005,請求記録!$B$6:$B$3005,$A319,請求記録!$Z$6:$Z$3005,E$5))))</f>
        <v/>
      </c>
      <c r="F319" s="19">
        <f>IF($A319="","",IF(COUNTIFS(請求記録!$B$6:$B$3005,$A319,請求記録!$Z$6:$Z$3005,F$5,請求記録!$AF$6:$AF$3005,"保留中")&gt;0,"保留",IF(COUNTIFS(請求記録!$B$6:$B$3005,$A319,請求記録!$Z$6:$Z$3005,F$5)=0,"",SUMIFS(請求記録!$AE$6:$AE$3005,請求記録!$B$6:$B$3005,$A319,請求記録!$Z$6:$Z$3005,F$5))))</f>
        <v/>
      </c>
      <c r="G319" s="19">
        <f>IF($A319="","",IF(COUNTIFS(請求記録!$B$6:$B$3005,$A319,請求記録!$Z$6:$Z$3005,G$5,請求記録!$AF$6:$AF$3005,"保留中")&gt;0,"保留",IF(COUNTIFS(請求記録!$B$6:$B$3005,$A319,請求記録!$Z$6:$Z$3005,G$5)=0,"",SUMIFS(請求記録!$AE$6:$AE$3005,請求記録!$B$6:$B$3005,$A319,請求記録!$Z$6:$Z$3005,G$5))))</f>
        <v/>
      </c>
      <c r="H319" s="19">
        <f>IF($A319="","",IF(COUNTIFS(請求記録!$B$6:$B$3005,$A319,請求記録!$Z$6:$Z$3005,H$5,請求記録!$AF$6:$AF$3005,"保留中")&gt;0,"保留",IF(COUNTIFS(請求記録!$B$6:$B$3005,$A319,請求記録!$Z$6:$Z$3005,H$5)=0,"",SUMIFS(請求記録!$AE$6:$AE$3005,請求記録!$B$6:$B$3005,$A319,請求記録!$Z$6:$Z$3005,H$5))))</f>
        <v/>
      </c>
      <c r="I319" s="19">
        <f>IF($A319="","",IF(COUNTIFS(請求記録!$B$6:$B$3005,$A319,請求記録!$Z$6:$Z$3005,I$5,請求記録!$AF$6:$AF$3005,"保留中")&gt;0,"保留",IF(COUNTIFS(請求記録!$B$6:$B$3005,$A319,請求記録!$Z$6:$Z$3005,I$5)=0,"",SUMIFS(請求記録!$AE$6:$AE$3005,請求記録!$B$6:$B$3005,$A319,請求記録!$Z$6:$Z$3005,I$5))))</f>
        <v/>
      </c>
      <c r="J319" s="19">
        <f>IF($A319="","",IF(COUNTIFS(請求記録!$B$6:$B$3005,$A319,請求記録!$Z$6:$Z$3005,J$5,請求記録!$AF$6:$AF$3005,"保留中")&gt;0,"保留",IF(COUNTIFS(請求記録!$B$6:$B$3005,$A319,請求記録!$Z$6:$Z$3005,J$5)=0,"",SUMIFS(請求記録!$AE$6:$AE$3005,請求記録!$B$6:$B$3005,$A319,請求記録!$Z$6:$Z$3005,J$5))))</f>
        <v/>
      </c>
      <c r="K319" s="19">
        <f>IF($A319="","",IF(COUNTIFS(請求記録!$B$6:$B$3005,$A319,請求記録!$Z$6:$Z$3005,K$5,請求記録!$AF$6:$AF$3005,"保留中")&gt;0,"保留",IF(COUNTIFS(請求記録!$B$6:$B$3005,$A319,請求記録!$Z$6:$Z$3005,K$5)=0,"",SUMIFS(請求記録!$AE$6:$AE$3005,請求記録!$B$6:$B$3005,$A319,請求記録!$Z$6:$Z$3005,K$5))))</f>
        <v/>
      </c>
      <c r="L319" s="19">
        <f>IF($A319="","",IF(COUNTIFS(請求記録!$B$6:$B$3005,$A319,請求記録!$Z$6:$Z$3005,L$5,請求記録!$AF$6:$AF$3005,"保留中")&gt;0,"保留",IF(COUNTIFS(請求記録!$B$6:$B$3005,$A319,請求記録!$Z$6:$Z$3005,L$5)=0,"",SUMIFS(請求記録!$AE$6:$AE$3005,請求記録!$B$6:$B$3005,$A319,請求記録!$Z$6:$Z$3005,L$5))))</f>
        <v/>
      </c>
      <c r="M319" s="19">
        <f>IF($A319="","",IF(COUNTIFS(請求記録!$B$6:$B$3005,$A319,請求記録!$Z$6:$Z$3005,M$5,請求記録!$AF$6:$AF$3005,"保留中")&gt;0,"保留",IF(COUNTIFS(請求記録!$B$6:$B$3005,$A319,請求記録!$Z$6:$Z$3005,M$5)=0,"",SUMIFS(請求記録!$AE$6:$AE$3005,請求記録!$B$6:$B$3005,$A319,請求記録!$Z$6:$Z$3005,M$5))))</f>
        <v/>
      </c>
      <c r="N319" s="19">
        <f>IF($A319="","",IF(COUNTIFS(請求記録!$B$6:$B$3005,$A319,請求記録!$Z$6:$Z$3005,N$5,請求記録!$AF$6:$AF$3005,"保留中")&gt;0,"保留",IF(COUNTIFS(請求記録!$B$6:$B$3005,$A319,請求記録!$Z$6:$Z$3005,N$5)=0,"",SUMIFS(請求記録!$AE$6:$AE$3005,請求記録!$B$6:$B$3005,$A319,請求記録!$Z$6:$Z$3005,N$5))))</f>
        <v/>
      </c>
      <c r="O319" s="19">
        <f>IF($A319="","",IF(COUNTIFS(請求記録!$B$6:$B$3005,$A319,請求記録!$Z$6:$Z$3005,O$5,請求記録!$AF$6:$AF$3005,"保留中")&gt;0,"保留",IF(COUNTIFS(請求記録!$B$6:$B$3005,$A319,請求記録!$Z$6:$Z$3005,O$5)=0,"",SUMIFS(請求記録!$AE$6:$AE$3005,請求記録!$B$6:$B$3005,$A319,請求記録!$Z$6:$Z$3005,O$5))))</f>
        <v/>
      </c>
      <c r="P319" s="19">
        <f>IF($A319="","",IF(COUNTIFS(請求記録!$B$6:$B$3005,$A319,請求記録!$Z$6:$Z$3005,P$5,請求記録!$AF$6:$AF$3005,"保留中")&gt;0,"保留",IF(COUNTIFS(請求記録!$B$6:$B$3005,$A319,請求記録!$Z$6:$Z$3005,P$5)=0,"",SUMIFS(請求記録!$AE$6:$AE$3005,請求記録!$B$6:$B$3005,$A319,請求記録!$Z$6:$Z$3005,P$5))))</f>
        <v/>
      </c>
      <c r="Q319" s="19">
        <f>IF($A319="","",IF(COUNTIFS(請求記録!$B$6:$B$3005,$A319,請求記録!$Z$6:$Z$3005,Q$5,請求記録!$AF$6:$AF$3005,"保留中")&gt;0,"保留",IF(COUNTIFS(請求記録!$B$6:$B$3005,$A319,請求記録!$Z$6:$Z$3005,Q$5)=0,"",SUMIFS(請求記録!$AE$6:$AE$3005,請求記録!$B$6:$B$3005,$A319,請求記録!$Z$6:$Z$3005,Q$5))))</f>
        <v/>
      </c>
      <c r="R319" s="19">
        <f>IF($A319="","",IF(COUNTIFS(請求記録!$B$6:$B$3005,$A319,請求記録!$Z$6:$Z$3005,R$5,請求記録!$AF$6:$AF$3005,"保留中")&gt;0,"保留",IF(COUNTIFS(請求記録!$B$6:$B$3005,$A319,請求記録!$Z$6:$Z$3005,R$5)=0,"",SUMIFS(請求記録!$AE$6:$AE$3005,請求記録!$B$6:$B$3005,$A319,請求記録!$Z$6:$Z$3005,R$5))))</f>
        <v/>
      </c>
      <c r="S319" s="19">
        <f>IF($A319="","",IF(COUNTIFS(請求記録!$B$6:$B$3005,$A319,請求記録!$Z$6:$Z$3005,S$5,請求記録!$AF$6:$AF$3005,"保留中")&gt;0,"保留",IF(COUNTIFS(請求記録!$B$6:$B$3005,$A319,請求記録!$Z$6:$Z$3005,S$5)=0,"",SUMIFS(請求記録!$AE$6:$AE$3005,請求記録!$B$6:$B$3005,$A319,請求記録!$Z$6:$Z$3005,S$5))))</f>
        <v/>
      </c>
      <c r="T319" s="19">
        <f>IF($A319="","",IF(COUNTIFS(請求記録!$B$6:$B$3005,$A319,請求記録!$Z$6:$Z$3005,T$5,請求記録!$AF$6:$AF$3005,"保留中")&gt;0,"保留",IF(COUNTIFS(請求記録!$B$6:$B$3005,$A319,請求記録!$Z$6:$Z$3005,T$5)=0,"",SUMIFS(請求記録!$AE$6:$AE$3005,請求記録!$B$6:$B$3005,$A319,請求記録!$Z$6:$Z$3005,T$5))))</f>
        <v/>
      </c>
      <c r="U319" s="19">
        <f>IF($A319="","",IF(COUNTIFS(請求記録!$B$6:$B$3005,$A319,請求記録!$Z$6:$Z$3005,U$5,請求記録!$AF$6:$AF$3005,"保留中")&gt;0,"保留",IF(COUNTIFS(請求記録!$B$6:$B$3005,$A319,請求記録!$Z$6:$Z$3005,U$5)=0,"",SUMIFS(請求記録!$AE$6:$AE$3005,請求記録!$B$6:$B$3005,$A319,請求記録!$Z$6:$Z$3005,U$5))))</f>
        <v/>
      </c>
      <c r="V319" s="19">
        <f>IF($A319="","",IF(COUNTIFS(請求記録!$B$6:$B$3005,$A319,請求記録!$Z$6:$Z$3005,V$5,請求記録!$AF$6:$AF$3005,"保留中")&gt;0,"保留",IF(COUNTIFS(請求記録!$B$6:$B$3005,$A319,請求記録!$Z$6:$Z$3005,V$5)=0,"",SUMIFS(請求記録!$AE$6:$AE$3005,請求記録!$B$6:$B$3005,$A319,請求記録!$Z$6:$Z$3005,V$5))))</f>
        <v/>
      </c>
      <c r="W319" s="19">
        <f>IF($A319="","",IF(COUNTIFS(請求記録!$B$6:$B$3005,$A319,請求記録!$Z$6:$Z$3005,W$5,請求記録!$AF$6:$AF$3005,"保留中")&gt;0,"保留",IF(COUNTIFS(請求記録!$B$6:$B$3005,$A319,請求記録!$Z$6:$Z$3005,W$5)=0,"",SUMIFS(請求記録!$AE$6:$AE$3005,請求記録!$B$6:$B$3005,$A319,請求記録!$Z$6:$Z$3005,W$5))))</f>
        <v/>
      </c>
      <c r="X319" s="19">
        <f>IF($A319="","",IF(COUNTIFS(請求記録!$B$6:$B$3005,$A319,請求記録!$Z$6:$Z$3005,X$5,請求記録!$AF$6:$AF$3005,"保留中")&gt;0,"保留",IF(COUNTIFS(請求記録!$B$6:$B$3005,$A319,請求記録!$Z$6:$Z$3005,X$5)=0,"",SUMIFS(請求記録!$AE$6:$AE$3005,請求記録!$B$6:$B$3005,$A319,請求記録!$Z$6:$Z$3005,X$5))))</f>
        <v/>
      </c>
      <c r="Y319" s="19">
        <f>IF($A319="","",IF(COUNTIFS(請求記録!$B$6:$B$3005,$A319,請求記録!$Z$6:$Z$3005,Y$5,請求記録!$AF$6:$AF$3005,"保留中")&gt;0,"保留",IF(COUNTIFS(請求記録!$B$6:$B$3005,$A319,請求記録!$Z$6:$Z$3005,Y$5)=0,"",SUMIFS(請求記録!$AE$6:$AE$3005,請求記録!$B$6:$B$3005,$A319,請求記録!$Z$6:$Z$3005,Y$5))))</f>
        <v/>
      </c>
      <c r="Z319" s="19">
        <f>IF($A319="","",IF(COUNTIFS(請求記録!$B$6:$B$3005,$A319,請求記録!$Z$6:$Z$3005,Z$5,請求記録!$AF$6:$AF$3005,"保留中")&gt;0,"保留",IF(COUNTIFS(請求記録!$B$6:$B$3005,$A319,請求記録!$Z$6:$Z$3005,Z$5)=0,"",SUMIFS(請求記録!$AE$6:$AE$3005,請求記録!$B$6:$B$3005,$A319,請求記録!$Z$6:$Z$3005,Z$5))))</f>
        <v/>
      </c>
      <c r="AA319" s="19">
        <f>IF($A319="","",IF(COUNTIFS(請求記録!$B$6:$B$3005,$A319,請求記録!$Z$6:$Z$3005,AA$5,請求記録!$AF$6:$AF$3005,"保留中")&gt;0,"保留",IF(COUNTIFS(請求記録!$B$6:$B$3005,$A319,請求記録!$Z$6:$Z$3005,AA$5)=0,"",SUMIFS(請求記録!$AE$6:$AE$3005,請求記録!$B$6:$B$3005,$A319,請求記録!$Z$6:$Z$3005,AA$5))))</f>
        <v/>
      </c>
      <c r="AB319">
        <f>IF(職員マスタ!P319="保留中",職員マスタ!M319,"")</f>
        <v/>
      </c>
    </row>
    <row r="320">
      <c r="A320">
        <f>IF(職員マスタ!A320="","",職員マスタ!A320)</f>
        <v/>
      </c>
      <c r="B320">
        <f>IF($A320="","",職員マスタ!B320)</f>
        <v/>
      </c>
      <c r="C320">
        <f>IF($A320="","",職員マスタ!C320)</f>
        <v/>
      </c>
      <c r="D320" s="19">
        <f>IF($A320="","",IF(COUNTIFS(請求記録!$B$6:$B$3005,$A320,請求記録!$Z$6:$Z$3005,D$5,請求記録!$AF$6:$AF$3005,"保留中")&gt;0,"保留",IF(COUNTIFS(請求記録!$B$6:$B$3005,$A320,請求記録!$Z$6:$Z$3005,D$5)=0,"",SUMIFS(請求記録!$AE$6:$AE$3005,請求記録!$B$6:$B$3005,$A320,請求記録!$Z$6:$Z$3005,D$5))))</f>
        <v/>
      </c>
      <c r="E320" s="19">
        <f>IF($A320="","",IF(COUNTIFS(請求記録!$B$6:$B$3005,$A320,請求記録!$Z$6:$Z$3005,E$5,請求記録!$AF$6:$AF$3005,"保留中")&gt;0,"保留",IF(COUNTIFS(請求記録!$B$6:$B$3005,$A320,請求記録!$Z$6:$Z$3005,E$5)=0,"",SUMIFS(請求記録!$AE$6:$AE$3005,請求記録!$B$6:$B$3005,$A320,請求記録!$Z$6:$Z$3005,E$5))))</f>
        <v/>
      </c>
      <c r="F320" s="19">
        <f>IF($A320="","",IF(COUNTIFS(請求記録!$B$6:$B$3005,$A320,請求記録!$Z$6:$Z$3005,F$5,請求記録!$AF$6:$AF$3005,"保留中")&gt;0,"保留",IF(COUNTIFS(請求記録!$B$6:$B$3005,$A320,請求記録!$Z$6:$Z$3005,F$5)=0,"",SUMIFS(請求記録!$AE$6:$AE$3005,請求記録!$B$6:$B$3005,$A320,請求記録!$Z$6:$Z$3005,F$5))))</f>
        <v/>
      </c>
      <c r="G320" s="19">
        <f>IF($A320="","",IF(COUNTIFS(請求記録!$B$6:$B$3005,$A320,請求記録!$Z$6:$Z$3005,G$5,請求記録!$AF$6:$AF$3005,"保留中")&gt;0,"保留",IF(COUNTIFS(請求記録!$B$6:$B$3005,$A320,請求記録!$Z$6:$Z$3005,G$5)=0,"",SUMIFS(請求記録!$AE$6:$AE$3005,請求記録!$B$6:$B$3005,$A320,請求記録!$Z$6:$Z$3005,G$5))))</f>
        <v/>
      </c>
      <c r="H320" s="19">
        <f>IF($A320="","",IF(COUNTIFS(請求記録!$B$6:$B$3005,$A320,請求記録!$Z$6:$Z$3005,H$5,請求記録!$AF$6:$AF$3005,"保留中")&gt;0,"保留",IF(COUNTIFS(請求記録!$B$6:$B$3005,$A320,請求記録!$Z$6:$Z$3005,H$5)=0,"",SUMIFS(請求記録!$AE$6:$AE$3005,請求記録!$B$6:$B$3005,$A320,請求記録!$Z$6:$Z$3005,H$5))))</f>
        <v/>
      </c>
      <c r="I320" s="19">
        <f>IF($A320="","",IF(COUNTIFS(請求記録!$B$6:$B$3005,$A320,請求記録!$Z$6:$Z$3005,I$5,請求記録!$AF$6:$AF$3005,"保留中")&gt;0,"保留",IF(COUNTIFS(請求記録!$B$6:$B$3005,$A320,請求記録!$Z$6:$Z$3005,I$5)=0,"",SUMIFS(請求記録!$AE$6:$AE$3005,請求記録!$B$6:$B$3005,$A320,請求記録!$Z$6:$Z$3005,I$5))))</f>
        <v/>
      </c>
      <c r="J320" s="19">
        <f>IF($A320="","",IF(COUNTIFS(請求記録!$B$6:$B$3005,$A320,請求記録!$Z$6:$Z$3005,J$5,請求記録!$AF$6:$AF$3005,"保留中")&gt;0,"保留",IF(COUNTIFS(請求記録!$B$6:$B$3005,$A320,請求記録!$Z$6:$Z$3005,J$5)=0,"",SUMIFS(請求記録!$AE$6:$AE$3005,請求記録!$B$6:$B$3005,$A320,請求記録!$Z$6:$Z$3005,J$5))))</f>
        <v/>
      </c>
      <c r="K320" s="19">
        <f>IF($A320="","",IF(COUNTIFS(請求記録!$B$6:$B$3005,$A320,請求記録!$Z$6:$Z$3005,K$5,請求記録!$AF$6:$AF$3005,"保留中")&gt;0,"保留",IF(COUNTIFS(請求記録!$B$6:$B$3005,$A320,請求記録!$Z$6:$Z$3005,K$5)=0,"",SUMIFS(請求記録!$AE$6:$AE$3005,請求記録!$B$6:$B$3005,$A320,請求記録!$Z$6:$Z$3005,K$5))))</f>
        <v/>
      </c>
      <c r="L320" s="19">
        <f>IF($A320="","",IF(COUNTIFS(請求記録!$B$6:$B$3005,$A320,請求記録!$Z$6:$Z$3005,L$5,請求記録!$AF$6:$AF$3005,"保留中")&gt;0,"保留",IF(COUNTIFS(請求記録!$B$6:$B$3005,$A320,請求記録!$Z$6:$Z$3005,L$5)=0,"",SUMIFS(請求記録!$AE$6:$AE$3005,請求記録!$B$6:$B$3005,$A320,請求記録!$Z$6:$Z$3005,L$5))))</f>
        <v/>
      </c>
      <c r="M320" s="19">
        <f>IF($A320="","",IF(COUNTIFS(請求記録!$B$6:$B$3005,$A320,請求記録!$Z$6:$Z$3005,M$5,請求記録!$AF$6:$AF$3005,"保留中")&gt;0,"保留",IF(COUNTIFS(請求記録!$B$6:$B$3005,$A320,請求記録!$Z$6:$Z$3005,M$5)=0,"",SUMIFS(請求記録!$AE$6:$AE$3005,請求記録!$B$6:$B$3005,$A320,請求記録!$Z$6:$Z$3005,M$5))))</f>
        <v/>
      </c>
      <c r="N320" s="19">
        <f>IF($A320="","",IF(COUNTIFS(請求記録!$B$6:$B$3005,$A320,請求記録!$Z$6:$Z$3005,N$5,請求記録!$AF$6:$AF$3005,"保留中")&gt;0,"保留",IF(COUNTIFS(請求記録!$B$6:$B$3005,$A320,請求記録!$Z$6:$Z$3005,N$5)=0,"",SUMIFS(請求記録!$AE$6:$AE$3005,請求記録!$B$6:$B$3005,$A320,請求記録!$Z$6:$Z$3005,N$5))))</f>
        <v/>
      </c>
      <c r="O320" s="19">
        <f>IF($A320="","",IF(COUNTIFS(請求記録!$B$6:$B$3005,$A320,請求記録!$Z$6:$Z$3005,O$5,請求記録!$AF$6:$AF$3005,"保留中")&gt;0,"保留",IF(COUNTIFS(請求記録!$B$6:$B$3005,$A320,請求記録!$Z$6:$Z$3005,O$5)=0,"",SUMIFS(請求記録!$AE$6:$AE$3005,請求記録!$B$6:$B$3005,$A320,請求記録!$Z$6:$Z$3005,O$5))))</f>
        <v/>
      </c>
      <c r="P320" s="19">
        <f>IF($A320="","",IF(COUNTIFS(請求記録!$B$6:$B$3005,$A320,請求記録!$Z$6:$Z$3005,P$5,請求記録!$AF$6:$AF$3005,"保留中")&gt;0,"保留",IF(COUNTIFS(請求記録!$B$6:$B$3005,$A320,請求記録!$Z$6:$Z$3005,P$5)=0,"",SUMIFS(請求記録!$AE$6:$AE$3005,請求記録!$B$6:$B$3005,$A320,請求記録!$Z$6:$Z$3005,P$5))))</f>
        <v/>
      </c>
      <c r="Q320" s="19">
        <f>IF($A320="","",IF(COUNTIFS(請求記録!$B$6:$B$3005,$A320,請求記録!$Z$6:$Z$3005,Q$5,請求記録!$AF$6:$AF$3005,"保留中")&gt;0,"保留",IF(COUNTIFS(請求記録!$B$6:$B$3005,$A320,請求記録!$Z$6:$Z$3005,Q$5)=0,"",SUMIFS(請求記録!$AE$6:$AE$3005,請求記録!$B$6:$B$3005,$A320,請求記録!$Z$6:$Z$3005,Q$5))))</f>
        <v/>
      </c>
      <c r="R320" s="19">
        <f>IF($A320="","",IF(COUNTIFS(請求記録!$B$6:$B$3005,$A320,請求記録!$Z$6:$Z$3005,R$5,請求記録!$AF$6:$AF$3005,"保留中")&gt;0,"保留",IF(COUNTIFS(請求記録!$B$6:$B$3005,$A320,請求記録!$Z$6:$Z$3005,R$5)=0,"",SUMIFS(請求記録!$AE$6:$AE$3005,請求記録!$B$6:$B$3005,$A320,請求記録!$Z$6:$Z$3005,R$5))))</f>
        <v/>
      </c>
      <c r="S320" s="19">
        <f>IF($A320="","",IF(COUNTIFS(請求記録!$B$6:$B$3005,$A320,請求記録!$Z$6:$Z$3005,S$5,請求記録!$AF$6:$AF$3005,"保留中")&gt;0,"保留",IF(COUNTIFS(請求記録!$B$6:$B$3005,$A320,請求記録!$Z$6:$Z$3005,S$5)=0,"",SUMIFS(請求記録!$AE$6:$AE$3005,請求記録!$B$6:$B$3005,$A320,請求記録!$Z$6:$Z$3005,S$5))))</f>
        <v/>
      </c>
      <c r="T320" s="19">
        <f>IF($A320="","",IF(COUNTIFS(請求記録!$B$6:$B$3005,$A320,請求記録!$Z$6:$Z$3005,T$5,請求記録!$AF$6:$AF$3005,"保留中")&gt;0,"保留",IF(COUNTIFS(請求記録!$B$6:$B$3005,$A320,請求記録!$Z$6:$Z$3005,T$5)=0,"",SUMIFS(請求記録!$AE$6:$AE$3005,請求記録!$B$6:$B$3005,$A320,請求記録!$Z$6:$Z$3005,T$5))))</f>
        <v/>
      </c>
      <c r="U320" s="19">
        <f>IF($A320="","",IF(COUNTIFS(請求記録!$B$6:$B$3005,$A320,請求記録!$Z$6:$Z$3005,U$5,請求記録!$AF$6:$AF$3005,"保留中")&gt;0,"保留",IF(COUNTIFS(請求記録!$B$6:$B$3005,$A320,請求記録!$Z$6:$Z$3005,U$5)=0,"",SUMIFS(請求記録!$AE$6:$AE$3005,請求記録!$B$6:$B$3005,$A320,請求記録!$Z$6:$Z$3005,U$5))))</f>
        <v/>
      </c>
      <c r="V320" s="19">
        <f>IF($A320="","",IF(COUNTIFS(請求記録!$B$6:$B$3005,$A320,請求記録!$Z$6:$Z$3005,V$5,請求記録!$AF$6:$AF$3005,"保留中")&gt;0,"保留",IF(COUNTIFS(請求記録!$B$6:$B$3005,$A320,請求記録!$Z$6:$Z$3005,V$5)=0,"",SUMIFS(請求記録!$AE$6:$AE$3005,請求記録!$B$6:$B$3005,$A320,請求記録!$Z$6:$Z$3005,V$5))))</f>
        <v/>
      </c>
      <c r="W320" s="19">
        <f>IF($A320="","",IF(COUNTIFS(請求記録!$B$6:$B$3005,$A320,請求記録!$Z$6:$Z$3005,W$5,請求記録!$AF$6:$AF$3005,"保留中")&gt;0,"保留",IF(COUNTIFS(請求記録!$B$6:$B$3005,$A320,請求記録!$Z$6:$Z$3005,W$5)=0,"",SUMIFS(請求記録!$AE$6:$AE$3005,請求記録!$B$6:$B$3005,$A320,請求記録!$Z$6:$Z$3005,W$5))))</f>
        <v/>
      </c>
      <c r="X320" s="19">
        <f>IF($A320="","",IF(COUNTIFS(請求記録!$B$6:$B$3005,$A320,請求記録!$Z$6:$Z$3005,X$5,請求記録!$AF$6:$AF$3005,"保留中")&gt;0,"保留",IF(COUNTIFS(請求記録!$B$6:$B$3005,$A320,請求記録!$Z$6:$Z$3005,X$5)=0,"",SUMIFS(請求記録!$AE$6:$AE$3005,請求記録!$B$6:$B$3005,$A320,請求記録!$Z$6:$Z$3005,X$5))))</f>
        <v/>
      </c>
      <c r="Y320" s="19">
        <f>IF($A320="","",IF(COUNTIFS(請求記録!$B$6:$B$3005,$A320,請求記録!$Z$6:$Z$3005,Y$5,請求記録!$AF$6:$AF$3005,"保留中")&gt;0,"保留",IF(COUNTIFS(請求記録!$B$6:$B$3005,$A320,請求記録!$Z$6:$Z$3005,Y$5)=0,"",SUMIFS(請求記録!$AE$6:$AE$3005,請求記録!$B$6:$B$3005,$A320,請求記録!$Z$6:$Z$3005,Y$5))))</f>
        <v/>
      </c>
      <c r="Z320" s="19">
        <f>IF($A320="","",IF(COUNTIFS(請求記録!$B$6:$B$3005,$A320,請求記録!$Z$6:$Z$3005,Z$5,請求記録!$AF$6:$AF$3005,"保留中")&gt;0,"保留",IF(COUNTIFS(請求記録!$B$6:$B$3005,$A320,請求記録!$Z$6:$Z$3005,Z$5)=0,"",SUMIFS(請求記録!$AE$6:$AE$3005,請求記録!$B$6:$B$3005,$A320,請求記録!$Z$6:$Z$3005,Z$5))))</f>
        <v/>
      </c>
      <c r="AA320" s="19">
        <f>IF($A320="","",IF(COUNTIFS(請求記録!$B$6:$B$3005,$A320,請求記録!$Z$6:$Z$3005,AA$5,請求記録!$AF$6:$AF$3005,"保留中")&gt;0,"保留",IF(COUNTIFS(請求記録!$B$6:$B$3005,$A320,請求記録!$Z$6:$Z$3005,AA$5)=0,"",SUMIFS(請求記録!$AE$6:$AE$3005,請求記録!$B$6:$B$3005,$A320,請求記録!$Z$6:$Z$3005,AA$5))))</f>
        <v/>
      </c>
      <c r="AB320">
        <f>IF(職員マスタ!P320="保留中",職員マスタ!M320,"")</f>
        <v/>
      </c>
    </row>
    <row r="321">
      <c r="A321">
        <f>IF(職員マスタ!A321="","",職員マスタ!A321)</f>
        <v/>
      </c>
      <c r="B321">
        <f>IF($A321="","",職員マスタ!B321)</f>
        <v/>
      </c>
      <c r="C321">
        <f>IF($A321="","",職員マスタ!C321)</f>
        <v/>
      </c>
      <c r="D321" s="19">
        <f>IF($A321="","",IF(COUNTIFS(請求記録!$B$6:$B$3005,$A321,請求記録!$Z$6:$Z$3005,D$5,請求記録!$AF$6:$AF$3005,"保留中")&gt;0,"保留",IF(COUNTIFS(請求記録!$B$6:$B$3005,$A321,請求記録!$Z$6:$Z$3005,D$5)=0,"",SUMIFS(請求記録!$AE$6:$AE$3005,請求記録!$B$6:$B$3005,$A321,請求記録!$Z$6:$Z$3005,D$5))))</f>
        <v/>
      </c>
      <c r="E321" s="19">
        <f>IF($A321="","",IF(COUNTIFS(請求記録!$B$6:$B$3005,$A321,請求記録!$Z$6:$Z$3005,E$5,請求記録!$AF$6:$AF$3005,"保留中")&gt;0,"保留",IF(COUNTIFS(請求記録!$B$6:$B$3005,$A321,請求記録!$Z$6:$Z$3005,E$5)=0,"",SUMIFS(請求記録!$AE$6:$AE$3005,請求記録!$B$6:$B$3005,$A321,請求記録!$Z$6:$Z$3005,E$5))))</f>
        <v/>
      </c>
      <c r="F321" s="19">
        <f>IF($A321="","",IF(COUNTIFS(請求記録!$B$6:$B$3005,$A321,請求記録!$Z$6:$Z$3005,F$5,請求記録!$AF$6:$AF$3005,"保留中")&gt;0,"保留",IF(COUNTIFS(請求記録!$B$6:$B$3005,$A321,請求記録!$Z$6:$Z$3005,F$5)=0,"",SUMIFS(請求記録!$AE$6:$AE$3005,請求記録!$B$6:$B$3005,$A321,請求記録!$Z$6:$Z$3005,F$5))))</f>
        <v/>
      </c>
      <c r="G321" s="19">
        <f>IF($A321="","",IF(COUNTIFS(請求記録!$B$6:$B$3005,$A321,請求記録!$Z$6:$Z$3005,G$5,請求記録!$AF$6:$AF$3005,"保留中")&gt;0,"保留",IF(COUNTIFS(請求記録!$B$6:$B$3005,$A321,請求記録!$Z$6:$Z$3005,G$5)=0,"",SUMIFS(請求記録!$AE$6:$AE$3005,請求記録!$B$6:$B$3005,$A321,請求記録!$Z$6:$Z$3005,G$5))))</f>
        <v/>
      </c>
      <c r="H321" s="19">
        <f>IF($A321="","",IF(COUNTIFS(請求記録!$B$6:$B$3005,$A321,請求記録!$Z$6:$Z$3005,H$5,請求記録!$AF$6:$AF$3005,"保留中")&gt;0,"保留",IF(COUNTIFS(請求記録!$B$6:$B$3005,$A321,請求記録!$Z$6:$Z$3005,H$5)=0,"",SUMIFS(請求記録!$AE$6:$AE$3005,請求記録!$B$6:$B$3005,$A321,請求記録!$Z$6:$Z$3005,H$5))))</f>
        <v/>
      </c>
      <c r="I321" s="19">
        <f>IF($A321="","",IF(COUNTIFS(請求記録!$B$6:$B$3005,$A321,請求記録!$Z$6:$Z$3005,I$5,請求記録!$AF$6:$AF$3005,"保留中")&gt;0,"保留",IF(COUNTIFS(請求記録!$B$6:$B$3005,$A321,請求記録!$Z$6:$Z$3005,I$5)=0,"",SUMIFS(請求記録!$AE$6:$AE$3005,請求記録!$B$6:$B$3005,$A321,請求記録!$Z$6:$Z$3005,I$5))))</f>
        <v/>
      </c>
      <c r="J321" s="19">
        <f>IF($A321="","",IF(COUNTIFS(請求記録!$B$6:$B$3005,$A321,請求記録!$Z$6:$Z$3005,J$5,請求記録!$AF$6:$AF$3005,"保留中")&gt;0,"保留",IF(COUNTIFS(請求記録!$B$6:$B$3005,$A321,請求記録!$Z$6:$Z$3005,J$5)=0,"",SUMIFS(請求記録!$AE$6:$AE$3005,請求記録!$B$6:$B$3005,$A321,請求記録!$Z$6:$Z$3005,J$5))))</f>
        <v/>
      </c>
      <c r="K321" s="19">
        <f>IF($A321="","",IF(COUNTIFS(請求記録!$B$6:$B$3005,$A321,請求記録!$Z$6:$Z$3005,K$5,請求記録!$AF$6:$AF$3005,"保留中")&gt;0,"保留",IF(COUNTIFS(請求記録!$B$6:$B$3005,$A321,請求記録!$Z$6:$Z$3005,K$5)=0,"",SUMIFS(請求記録!$AE$6:$AE$3005,請求記録!$B$6:$B$3005,$A321,請求記録!$Z$6:$Z$3005,K$5))))</f>
        <v/>
      </c>
      <c r="L321" s="19">
        <f>IF($A321="","",IF(COUNTIFS(請求記録!$B$6:$B$3005,$A321,請求記録!$Z$6:$Z$3005,L$5,請求記録!$AF$6:$AF$3005,"保留中")&gt;0,"保留",IF(COUNTIFS(請求記録!$B$6:$B$3005,$A321,請求記録!$Z$6:$Z$3005,L$5)=0,"",SUMIFS(請求記録!$AE$6:$AE$3005,請求記録!$B$6:$B$3005,$A321,請求記録!$Z$6:$Z$3005,L$5))))</f>
        <v/>
      </c>
      <c r="M321" s="19">
        <f>IF($A321="","",IF(COUNTIFS(請求記録!$B$6:$B$3005,$A321,請求記録!$Z$6:$Z$3005,M$5,請求記録!$AF$6:$AF$3005,"保留中")&gt;0,"保留",IF(COUNTIFS(請求記録!$B$6:$B$3005,$A321,請求記録!$Z$6:$Z$3005,M$5)=0,"",SUMIFS(請求記録!$AE$6:$AE$3005,請求記録!$B$6:$B$3005,$A321,請求記録!$Z$6:$Z$3005,M$5))))</f>
        <v/>
      </c>
      <c r="N321" s="19">
        <f>IF($A321="","",IF(COUNTIFS(請求記録!$B$6:$B$3005,$A321,請求記録!$Z$6:$Z$3005,N$5,請求記録!$AF$6:$AF$3005,"保留中")&gt;0,"保留",IF(COUNTIFS(請求記録!$B$6:$B$3005,$A321,請求記録!$Z$6:$Z$3005,N$5)=0,"",SUMIFS(請求記録!$AE$6:$AE$3005,請求記録!$B$6:$B$3005,$A321,請求記録!$Z$6:$Z$3005,N$5))))</f>
        <v/>
      </c>
      <c r="O321" s="19">
        <f>IF($A321="","",IF(COUNTIFS(請求記録!$B$6:$B$3005,$A321,請求記録!$Z$6:$Z$3005,O$5,請求記録!$AF$6:$AF$3005,"保留中")&gt;0,"保留",IF(COUNTIFS(請求記録!$B$6:$B$3005,$A321,請求記録!$Z$6:$Z$3005,O$5)=0,"",SUMIFS(請求記録!$AE$6:$AE$3005,請求記録!$B$6:$B$3005,$A321,請求記録!$Z$6:$Z$3005,O$5))))</f>
        <v/>
      </c>
      <c r="P321" s="19">
        <f>IF($A321="","",IF(COUNTIFS(請求記録!$B$6:$B$3005,$A321,請求記録!$Z$6:$Z$3005,P$5,請求記録!$AF$6:$AF$3005,"保留中")&gt;0,"保留",IF(COUNTIFS(請求記録!$B$6:$B$3005,$A321,請求記録!$Z$6:$Z$3005,P$5)=0,"",SUMIFS(請求記録!$AE$6:$AE$3005,請求記録!$B$6:$B$3005,$A321,請求記録!$Z$6:$Z$3005,P$5))))</f>
        <v/>
      </c>
      <c r="Q321" s="19">
        <f>IF($A321="","",IF(COUNTIFS(請求記録!$B$6:$B$3005,$A321,請求記録!$Z$6:$Z$3005,Q$5,請求記録!$AF$6:$AF$3005,"保留中")&gt;0,"保留",IF(COUNTIFS(請求記録!$B$6:$B$3005,$A321,請求記録!$Z$6:$Z$3005,Q$5)=0,"",SUMIFS(請求記録!$AE$6:$AE$3005,請求記録!$B$6:$B$3005,$A321,請求記録!$Z$6:$Z$3005,Q$5))))</f>
        <v/>
      </c>
      <c r="R321" s="19">
        <f>IF($A321="","",IF(COUNTIFS(請求記録!$B$6:$B$3005,$A321,請求記録!$Z$6:$Z$3005,R$5,請求記録!$AF$6:$AF$3005,"保留中")&gt;0,"保留",IF(COUNTIFS(請求記録!$B$6:$B$3005,$A321,請求記録!$Z$6:$Z$3005,R$5)=0,"",SUMIFS(請求記録!$AE$6:$AE$3005,請求記録!$B$6:$B$3005,$A321,請求記録!$Z$6:$Z$3005,R$5))))</f>
        <v/>
      </c>
      <c r="S321" s="19">
        <f>IF($A321="","",IF(COUNTIFS(請求記録!$B$6:$B$3005,$A321,請求記録!$Z$6:$Z$3005,S$5,請求記録!$AF$6:$AF$3005,"保留中")&gt;0,"保留",IF(COUNTIFS(請求記録!$B$6:$B$3005,$A321,請求記録!$Z$6:$Z$3005,S$5)=0,"",SUMIFS(請求記録!$AE$6:$AE$3005,請求記録!$B$6:$B$3005,$A321,請求記録!$Z$6:$Z$3005,S$5))))</f>
        <v/>
      </c>
      <c r="T321" s="19">
        <f>IF($A321="","",IF(COUNTIFS(請求記録!$B$6:$B$3005,$A321,請求記録!$Z$6:$Z$3005,T$5,請求記録!$AF$6:$AF$3005,"保留中")&gt;0,"保留",IF(COUNTIFS(請求記録!$B$6:$B$3005,$A321,請求記録!$Z$6:$Z$3005,T$5)=0,"",SUMIFS(請求記録!$AE$6:$AE$3005,請求記録!$B$6:$B$3005,$A321,請求記録!$Z$6:$Z$3005,T$5))))</f>
        <v/>
      </c>
      <c r="U321" s="19">
        <f>IF($A321="","",IF(COUNTIFS(請求記録!$B$6:$B$3005,$A321,請求記録!$Z$6:$Z$3005,U$5,請求記録!$AF$6:$AF$3005,"保留中")&gt;0,"保留",IF(COUNTIFS(請求記録!$B$6:$B$3005,$A321,請求記録!$Z$6:$Z$3005,U$5)=0,"",SUMIFS(請求記録!$AE$6:$AE$3005,請求記録!$B$6:$B$3005,$A321,請求記録!$Z$6:$Z$3005,U$5))))</f>
        <v/>
      </c>
      <c r="V321" s="19">
        <f>IF($A321="","",IF(COUNTIFS(請求記録!$B$6:$B$3005,$A321,請求記録!$Z$6:$Z$3005,V$5,請求記録!$AF$6:$AF$3005,"保留中")&gt;0,"保留",IF(COUNTIFS(請求記録!$B$6:$B$3005,$A321,請求記録!$Z$6:$Z$3005,V$5)=0,"",SUMIFS(請求記録!$AE$6:$AE$3005,請求記録!$B$6:$B$3005,$A321,請求記録!$Z$6:$Z$3005,V$5))))</f>
        <v/>
      </c>
      <c r="W321" s="19">
        <f>IF($A321="","",IF(COUNTIFS(請求記録!$B$6:$B$3005,$A321,請求記録!$Z$6:$Z$3005,W$5,請求記録!$AF$6:$AF$3005,"保留中")&gt;0,"保留",IF(COUNTIFS(請求記録!$B$6:$B$3005,$A321,請求記録!$Z$6:$Z$3005,W$5)=0,"",SUMIFS(請求記録!$AE$6:$AE$3005,請求記録!$B$6:$B$3005,$A321,請求記録!$Z$6:$Z$3005,W$5))))</f>
        <v/>
      </c>
      <c r="X321" s="19">
        <f>IF($A321="","",IF(COUNTIFS(請求記録!$B$6:$B$3005,$A321,請求記録!$Z$6:$Z$3005,X$5,請求記録!$AF$6:$AF$3005,"保留中")&gt;0,"保留",IF(COUNTIFS(請求記録!$B$6:$B$3005,$A321,請求記録!$Z$6:$Z$3005,X$5)=0,"",SUMIFS(請求記録!$AE$6:$AE$3005,請求記録!$B$6:$B$3005,$A321,請求記録!$Z$6:$Z$3005,X$5))))</f>
        <v/>
      </c>
      <c r="Y321" s="19">
        <f>IF($A321="","",IF(COUNTIFS(請求記録!$B$6:$B$3005,$A321,請求記録!$Z$6:$Z$3005,Y$5,請求記録!$AF$6:$AF$3005,"保留中")&gt;0,"保留",IF(COUNTIFS(請求記録!$B$6:$B$3005,$A321,請求記録!$Z$6:$Z$3005,Y$5)=0,"",SUMIFS(請求記録!$AE$6:$AE$3005,請求記録!$B$6:$B$3005,$A321,請求記録!$Z$6:$Z$3005,Y$5))))</f>
        <v/>
      </c>
      <c r="Z321" s="19">
        <f>IF($A321="","",IF(COUNTIFS(請求記録!$B$6:$B$3005,$A321,請求記録!$Z$6:$Z$3005,Z$5,請求記録!$AF$6:$AF$3005,"保留中")&gt;0,"保留",IF(COUNTIFS(請求記録!$B$6:$B$3005,$A321,請求記録!$Z$6:$Z$3005,Z$5)=0,"",SUMIFS(請求記録!$AE$6:$AE$3005,請求記録!$B$6:$B$3005,$A321,請求記録!$Z$6:$Z$3005,Z$5))))</f>
        <v/>
      </c>
      <c r="AA321" s="19">
        <f>IF($A321="","",IF(COUNTIFS(請求記録!$B$6:$B$3005,$A321,請求記録!$Z$6:$Z$3005,AA$5,請求記録!$AF$6:$AF$3005,"保留中")&gt;0,"保留",IF(COUNTIFS(請求記録!$B$6:$B$3005,$A321,請求記録!$Z$6:$Z$3005,AA$5)=0,"",SUMIFS(請求記録!$AE$6:$AE$3005,請求記録!$B$6:$B$3005,$A321,請求記録!$Z$6:$Z$3005,AA$5))))</f>
        <v/>
      </c>
      <c r="AB321">
        <f>IF(職員マスタ!P321="保留中",職員マスタ!M321,"")</f>
        <v/>
      </c>
    </row>
    <row r="322">
      <c r="A322">
        <f>IF(職員マスタ!A322="","",職員マスタ!A322)</f>
        <v/>
      </c>
      <c r="B322">
        <f>IF($A322="","",職員マスタ!B322)</f>
        <v/>
      </c>
      <c r="C322">
        <f>IF($A322="","",職員マスタ!C322)</f>
        <v/>
      </c>
      <c r="D322" s="19">
        <f>IF($A322="","",IF(COUNTIFS(請求記録!$B$6:$B$3005,$A322,請求記録!$Z$6:$Z$3005,D$5,請求記録!$AF$6:$AF$3005,"保留中")&gt;0,"保留",IF(COUNTIFS(請求記録!$B$6:$B$3005,$A322,請求記録!$Z$6:$Z$3005,D$5)=0,"",SUMIFS(請求記録!$AE$6:$AE$3005,請求記録!$B$6:$B$3005,$A322,請求記録!$Z$6:$Z$3005,D$5))))</f>
        <v/>
      </c>
      <c r="E322" s="19">
        <f>IF($A322="","",IF(COUNTIFS(請求記録!$B$6:$B$3005,$A322,請求記録!$Z$6:$Z$3005,E$5,請求記録!$AF$6:$AF$3005,"保留中")&gt;0,"保留",IF(COUNTIFS(請求記録!$B$6:$B$3005,$A322,請求記録!$Z$6:$Z$3005,E$5)=0,"",SUMIFS(請求記録!$AE$6:$AE$3005,請求記録!$B$6:$B$3005,$A322,請求記録!$Z$6:$Z$3005,E$5))))</f>
        <v/>
      </c>
      <c r="F322" s="19">
        <f>IF($A322="","",IF(COUNTIFS(請求記録!$B$6:$B$3005,$A322,請求記録!$Z$6:$Z$3005,F$5,請求記録!$AF$6:$AF$3005,"保留中")&gt;0,"保留",IF(COUNTIFS(請求記録!$B$6:$B$3005,$A322,請求記録!$Z$6:$Z$3005,F$5)=0,"",SUMIFS(請求記録!$AE$6:$AE$3005,請求記録!$B$6:$B$3005,$A322,請求記録!$Z$6:$Z$3005,F$5))))</f>
        <v/>
      </c>
      <c r="G322" s="19">
        <f>IF($A322="","",IF(COUNTIFS(請求記録!$B$6:$B$3005,$A322,請求記録!$Z$6:$Z$3005,G$5,請求記録!$AF$6:$AF$3005,"保留中")&gt;0,"保留",IF(COUNTIFS(請求記録!$B$6:$B$3005,$A322,請求記録!$Z$6:$Z$3005,G$5)=0,"",SUMIFS(請求記録!$AE$6:$AE$3005,請求記録!$B$6:$B$3005,$A322,請求記録!$Z$6:$Z$3005,G$5))))</f>
        <v/>
      </c>
      <c r="H322" s="19">
        <f>IF($A322="","",IF(COUNTIFS(請求記録!$B$6:$B$3005,$A322,請求記録!$Z$6:$Z$3005,H$5,請求記録!$AF$6:$AF$3005,"保留中")&gt;0,"保留",IF(COUNTIFS(請求記録!$B$6:$B$3005,$A322,請求記録!$Z$6:$Z$3005,H$5)=0,"",SUMIFS(請求記録!$AE$6:$AE$3005,請求記録!$B$6:$B$3005,$A322,請求記録!$Z$6:$Z$3005,H$5))))</f>
        <v/>
      </c>
      <c r="I322" s="19">
        <f>IF($A322="","",IF(COUNTIFS(請求記録!$B$6:$B$3005,$A322,請求記録!$Z$6:$Z$3005,I$5,請求記録!$AF$6:$AF$3005,"保留中")&gt;0,"保留",IF(COUNTIFS(請求記録!$B$6:$B$3005,$A322,請求記録!$Z$6:$Z$3005,I$5)=0,"",SUMIFS(請求記録!$AE$6:$AE$3005,請求記録!$B$6:$B$3005,$A322,請求記録!$Z$6:$Z$3005,I$5))))</f>
        <v/>
      </c>
      <c r="J322" s="19">
        <f>IF($A322="","",IF(COUNTIFS(請求記録!$B$6:$B$3005,$A322,請求記録!$Z$6:$Z$3005,J$5,請求記録!$AF$6:$AF$3005,"保留中")&gt;0,"保留",IF(COUNTIFS(請求記録!$B$6:$B$3005,$A322,請求記録!$Z$6:$Z$3005,J$5)=0,"",SUMIFS(請求記録!$AE$6:$AE$3005,請求記録!$B$6:$B$3005,$A322,請求記録!$Z$6:$Z$3005,J$5))))</f>
        <v/>
      </c>
      <c r="K322" s="19">
        <f>IF($A322="","",IF(COUNTIFS(請求記録!$B$6:$B$3005,$A322,請求記録!$Z$6:$Z$3005,K$5,請求記録!$AF$6:$AF$3005,"保留中")&gt;0,"保留",IF(COUNTIFS(請求記録!$B$6:$B$3005,$A322,請求記録!$Z$6:$Z$3005,K$5)=0,"",SUMIFS(請求記録!$AE$6:$AE$3005,請求記録!$B$6:$B$3005,$A322,請求記録!$Z$6:$Z$3005,K$5))))</f>
        <v/>
      </c>
      <c r="L322" s="19">
        <f>IF($A322="","",IF(COUNTIFS(請求記録!$B$6:$B$3005,$A322,請求記録!$Z$6:$Z$3005,L$5,請求記録!$AF$6:$AF$3005,"保留中")&gt;0,"保留",IF(COUNTIFS(請求記録!$B$6:$B$3005,$A322,請求記録!$Z$6:$Z$3005,L$5)=0,"",SUMIFS(請求記録!$AE$6:$AE$3005,請求記録!$B$6:$B$3005,$A322,請求記録!$Z$6:$Z$3005,L$5))))</f>
        <v/>
      </c>
      <c r="M322" s="19">
        <f>IF($A322="","",IF(COUNTIFS(請求記録!$B$6:$B$3005,$A322,請求記録!$Z$6:$Z$3005,M$5,請求記録!$AF$6:$AF$3005,"保留中")&gt;0,"保留",IF(COUNTIFS(請求記録!$B$6:$B$3005,$A322,請求記録!$Z$6:$Z$3005,M$5)=0,"",SUMIFS(請求記録!$AE$6:$AE$3005,請求記録!$B$6:$B$3005,$A322,請求記録!$Z$6:$Z$3005,M$5))))</f>
        <v/>
      </c>
      <c r="N322" s="19">
        <f>IF($A322="","",IF(COUNTIFS(請求記録!$B$6:$B$3005,$A322,請求記録!$Z$6:$Z$3005,N$5,請求記録!$AF$6:$AF$3005,"保留中")&gt;0,"保留",IF(COUNTIFS(請求記録!$B$6:$B$3005,$A322,請求記録!$Z$6:$Z$3005,N$5)=0,"",SUMIFS(請求記録!$AE$6:$AE$3005,請求記録!$B$6:$B$3005,$A322,請求記録!$Z$6:$Z$3005,N$5))))</f>
        <v/>
      </c>
      <c r="O322" s="19">
        <f>IF($A322="","",IF(COUNTIFS(請求記録!$B$6:$B$3005,$A322,請求記録!$Z$6:$Z$3005,O$5,請求記録!$AF$6:$AF$3005,"保留中")&gt;0,"保留",IF(COUNTIFS(請求記録!$B$6:$B$3005,$A322,請求記録!$Z$6:$Z$3005,O$5)=0,"",SUMIFS(請求記録!$AE$6:$AE$3005,請求記録!$B$6:$B$3005,$A322,請求記録!$Z$6:$Z$3005,O$5))))</f>
        <v/>
      </c>
      <c r="P322" s="19">
        <f>IF($A322="","",IF(COUNTIFS(請求記録!$B$6:$B$3005,$A322,請求記録!$Z$6:$Z$3005,P$5,請求記録!$AF$6:$AF$3005,"保留中")&gt;0,"保留",IF(COUNTIFS(請求記録!$B$6:$B$3005,$A322,請求記録!$Z$6:$Z$3005,P$5)=0,"",SUMIFS(請求記録!$AE$6:$AE$3005,請求記録!$B$6:$B$3005,$A322,請求記録!$Z$6:$Z$3005,P$5))))</f>
        <v/>
      </c>
      <c r="Q322" s="19">
        <f>IF($A322="","",IF(COUNTIFS(請求記録!$B$6:$B$3005,$A322,請求記録!$Z$6:$Z$3005,Q$5,請求記録!$AF$6:$AF$3005,"保留中")&gt;0,"保留",IF(COUNTIFS(請求記録!$B$6:$B$3005,$A322,請求記録!$Z$6:$Z$3005,Q$5)=0,"",SUMIFS(請求記録!$AE$6:$AE$3005,請求記録!$B$6:$B$3005,$A322,請求記録!$Z$6:$Z$3005,Q$5))))</f>
        <v/>
      </c>
      <c r="R322" s="19">
        <f>IF($A322="","",IF(COUNTIFS(請求記録!$B$6:$B$3005,$A322,請求記録!$Z$6:$Z$3005,R$5,請求記録!$AF$6:$AF$3005,"保留中")&gt;0,"保留",IF(COUNTIFS(請求記録!$B$6:$B$3005,$A322,請求記録!$Z$6:$Z$3005,R$5)=0,"",SUMIFS(請求記録!$AE$6:$AE$3005,請求記録!$B$6:$B$3005,$A322,請求記録!$Z$6:$Z$3005,R$5))))</f>
        <v/>
      </c>
      <c r="S322" s="19">
        <f>IF($A322="","",IF(COUNTIFS(請求記録!$B$6:$B$3005,$A322,請求記録!$Z$6:$Z$3005,S$5,請求記録!$AF$6:$AF$3005,"保留中")&gt;0,"保留",IF(COUNTIFS(請求記録!$B$6:$B$3005,$A322,請求記録!$Z$6:$Z$3005,S$5)=0,"",SUMIFS(請求記録!$AE$6:$AE$3005,請求記録!$B$6:$B$3005,$A322,請求記録!$Z$6:$Z$3005,S$5))))</f>
        <v/>
      </c>
      <c r="T322" s="19">
        <f>IF($A322="","",IF(COUNTIFS(請求記録!$B$6:$B$3005,$A322,請求記録!$Z$6:$Z$3005,T$5,請求記録!$AF$6:$AF$3005,"保留中")&gt;0,"保留",IF(COUNTIFS(請求記録!$B$6:$B$3005,$A322,請求記録!$Z$6:$Z$3005,T$5)=0,"",SUMIFS(請求記録!$AE$6:$AE$3005,請求記録!$B$6:$B$3005,$A322,請求記録!$Z$6:$Z$3005,T$5))))</f>
        <v/>
      </c>
      <c r="U322" s="19">
        <f>IF($A322="","",IF(COUNTIFS(請求記録!$B$6:$B$3005,$A322,請求記録!$Z$6:$Z$3005,U$5,請求記録!$AF$6:$AF$3005,"保留中")&gt;0,"保留",IF(COUNTIFS(請求記録!$B$6:$B$3005,$A322,請求記録!$Z$6:$Z$3005,U$5)=0,"",SUMIFS(請求記録!$AE$6:$AE$3005,請求記録!$B$6:$B$3005,$A322,請求記録!$Z$6:$Z$3005,U$5))))</f>
        <v/>
      </c>
      <c r="V322" s="19">
        <f>IF($A322="","",IF(COUNTIFS(請求記録!$B$6:$B$3005,$A322,請求記録!$Z$6:$Z$3005,V$5,請求記録!$AF$6:$AF$3005,"保留中")&gt;0,"保留",IF(COUNTIFS(請求記録!$B$6:$B$3005,$A322,請求記録!$Z$6:$Z$3005,V$5)=0,"",SUMIFS(請求記録!$AE$6:$AE$3005,請求記録!$B$6:$B$3005,$A322,請求記録!$Z$6:$Z$3005,V$5))))</f>
        <v/>
      </c>
      <c r="W322" s="19">
        <f>IF($A322="","",IF(COUNTIFS(請求記録!$B$6:$B$3005,$A322,請求記録!$Z$6:$Z$3005,W$5,請求記録!$AF$6:$AF$3005,"保留中")&gt;0,"保留",IF(COUNTIFS(請求記録!$B$6:$B$3005,$A322,請求記録!$Z$6:$Z$3005,W$5)=0,"",SUMIFS(請求記録!$AE$6:$AE$3005,請求記録!$B$6:$B$3005,$A322,請求記録!$Z$6:$Z$3005,W$5))))</f>
        <v/>
      </c>
      <c r="X322" s="19">
        <f>IF($A322="","",IF(COUNTIFS(請求記録!$B$6:$B$3005,$A322,請求記録!$Z$6:$Z$3005,X$5,請求記録!$AF$6:$AF$3005,"保留中")&gt;0,"保留",IF(COUNTIFS(請求記録!$B$6:$B$3005,$A322,請求記録!$Z$6:$Z$3005,X$5)=0,"",SUMIFS(請求記録!$AE$6:$AE$3005,請求記録!$B$6:$B$3005,$A322,請求記録!$Z$6:$Z$3005,X$5))))</f>
        <v/>
      </c>
      <c r="Y322" s="19">
        <f>IF($A322="","",IF(COUNTIFS(請求記録!$B$6:$B$3005,$A322,請求記録!$Z$6:$Z$3005,Y$5,請求記録!$AF$6:$AF$3005,"保留中")&gt;0,"保留",IF(COUNTIFS(請求記録!$B$6:$B$3005,$A322,請求記録!$Z$6:$Z$3005,Y$5)=0,"",SUMIFS(請求記録!$AE$6:$AE$3005,請求記録!$B$6:$B$3005,$A322,請求記録!$Z$6:$Z$3005,Y$5))))</f>
        <v/>
      </c>
      <c r="Z322" s="19">
        <f>IF($A322="","",IF(COUNTIFS(請求記録!$B$6:$B$3005,$A322,請求記録!$Z$6:$Z$3005,Z$5,請求記録!$AF$6:$AF$3005,"保留中")&gt;0,"保留",IF(COUNTIFS(請求記録!$B$6:$B$3005,$A322,請求記録!$Z$6:$Z$3005,Z$5)=0,"",SUMIFS(請求記録!$AE$6:$AE$3005,請求記録!$B$6:$B$3005,$A322,請求記録!$Z$6:$Z$3005,Z$5))))</f>
        <v/>
      </c>
      <c r="AA322" s="19">
        <f>IF($A322="","",IF(COUNTIFS(請求記録!$B$6:$B$3005,$A322,請求記録!$Z$6:$Z$3005,AA$5,請求記録!$AF$6:$AF$3005,"保留中")&gt;0,"保留",IF(COUNTIFS(請求記録!$B$6:$B$3005,$A322,請求記録!$Z$6:$Z$3005,AA$5)=0,"",SUMIFS(請求記録!$AE$6:$AE$3005,請求記録!$B$6:$B$3005,$A322,請求記録!$Z$6:$Z$3005,AA$5))))</f>
        <v/>
      </c>
      <c r="AB322">
        <f>IF(職員マスタ!P322="保留中",職員マスタ!M322,"")</f>
        <v/>
      </c>
    </row>
    <row r="323">
      <c r="A323">
        <f>IF(職員マスタ!A323="","",職員マスタ!A323)</f>
        <v/>
      </c>
      <c r="B323">
        <f>IF($A323="","",職員マスタ!B323)</f>
        <v/>
      </c>
      <c r="C323">
        <f>IF($A323="","",職員マスタ!C323)</f>
        <v/>
      </c>
      <c r="D323" s="19">
        <f>IF($A323="","",IF(COUNTIFS(請求記録!$B$6:$B$3005,$A323,請求記録!$Z$6:$Z$3005,D$5,請求記録!$AF$6:$AF$3005,"保留中")&gt;0,"保留",IF(COUNTIFS(請求記録!$B$6:$B$3005,$A323,請求記録!$Z$6:$Z$3005,D$5)=0,"",SUMIFS(請求記録!$AE$6:$AE$3005,請求記録!$B$6:$B$3005,$A323,請求記録!$Z$6:$Z$3005,D$5))))</f>
        <v/>
      </c>
      <c r="E323" s="19">
        <f>IF($A323="","",IF(COUNTIFS(請求記録!$B$6:$B$3005,$A323,請求記録!$Z$6:$Z$3005,E$5,請求記録!$AF$6:$AF$3005,"保留中")&gt;0,"保留",IF(COUNTIFS(請求記録!$B$6:$B$3005,$A323,請求記録!$Z$6:$Z$3005,E$5)=0,"",SUMIFS(請求記録!$AE$6:$AE$3005,請求記録!$B$6:$B$3005,$A323,請求記録!$Z$6:$Z$3005,E$5))))</f>
        <v/>
      </c>
      <c r="F323" s="19">
        <f>IF($A323="","",IF(COUNTIFS(請求記録!$B$6:$B$3005,$A323,請求記録!$Z$6:$Z$3005,F$5,請求記録!$AF$6:$AF$3005,"保留中")&gt;0,"保留",IF(COUNTIFS(請求記録!$B$6:$B$3005,$A323,請求記録!$Z$6:$Z$3005,F$5)=0,"",SUMIFS(請求記録!$AE$6:$AE$3005,請求記録!$B$6:$B$3005,$A323,請求記録!$Z$6:$Z$3005,F$5))))</f>
        <v/>
      </c>
      <c r="G323" s="19">
        <f>IF($A323="","",IF(COUNTIFS(請求記録!$B$6:$B$3005,$A323,請求記録!$Z$6:$Z$3005,G$5,請求記録!$AF$6:$AF$3005,"保留中")&gt;0,"保留",IF(COUNTIFS(請求記録!$B$6:$B$3005,$A323,請求記録!$Z$6:$Z$3005,G$5)=0,"",SUMIFS(請求記録!$AE$6:$AE$3005,請求記録!$B$6:$B$3005,$A323,請求記録!$Z$6:$Z$3005,G$5))))</f>
        <v/>
      </c>
      <c r="H323" s="19">
        <f>IF($A323="","",IF(COUNTIFS(請求記録!$B$6:$B$3005,$A323,請求記録!$Z$6:$Z$3005,H$5,請求記録!$AF$6:$AF$3005,"保留中")&gt;0,"保留",IF(COUNTIFS(請求記録!$B$6:$B$3005,$A323,請求記録!$Z$6:$Z$3005,H$5)=0,"",SUMIFS(請求記録!$AE$6:$AE$3005,請求記録!$B$6:$B$3005,$A323,請求記録!$Z$6:$Z$3005,H$5))))</f>
        <v/>
      </c>
      <c r="I323" s="19">
        <f>IF($A323="","",IF(COUNTIFS(請求記録!$B$6:$B$3005,$A323,請求記録!$Z$6:$Z$3005,I$5,請求記録!$AF$6:$AF$3005,"保留中")&gt;0,"保留",IF(COUNTIFS(請求記録!$B$6:$B$3005,$A323,請求記録!$Z$6:$Z$3005,I$5)=0,"",SUMIFS(請求記録!$AE$6:$AE$3005,請求記録!$B$6:$B$3005,$A323,請求記録!$Z$6:$Z$3005,I$5))))</f>
        <v/>
      </c>
      <c r="J323" s="19">
        <f>IF($A323="","",IF(COUNTIFS(請求記録!$B$6:$B$3005,$A323,請求記録!$Z$6:$Z$3005,J$5,請求記録!$AF$6:$AF$3005,"保留中")&gt;0,"保留",IF(COUNTIFS(請求記録!$B$6:$B$3005,$A323,請求記録!$Z$6:$Z$3005,J$5)=0,"",SUMIFS(請求記録!$AE$6:$AE$3005,請求記録!$B$6:$B$3005,$A323,請求記録!$Z$6:$Z$3005,J$5))))</f>
        <v/>
      </c>
      <c r="K323" s="19">
        <f>IF($A323="","",IF(COUNTIFS(請求記録!$B$6:$B$3005,$A323,請求記録!$Z$6:$Z$3005,K$5,請求記録!$AF$6:$AF$3005,"保留中")&gt;0,"保留",IF(COUNTIFS(請求記録!$B$6:$B$3005,$A323,請求記録!$Z$6:$Z$3005,K$5)=0,"",SUMIFS(請求記録!$AE$6:$AE$3005,請求記録!$B$6:$B$3005,$A323,請求記録!$Z$6:$Z$3005,K$5))))</f>
        <v/>
      </c>
      <c r="L323" s="19">
        <f>IF($A323="","",IF(COUNTIFS(請求記録!$B$6:$B$3005,$A323,請求記録!$Z$6:$Z$3005,L$5,請求記録!$AF$6:$AF$3005,"保留中")&gt;0,"保留",IF(COUNTIFS(請求記録!$B$6:$B$3005,$A323,請求記録!$Z$6:$Z$3005,L$5)=0,"",SUMIFS(請求記録!$AE$6:$AE$3005,請求記録!$B$6:$B$3005,$A323,請求記録!$Z$6:$Z$3005,L$5))))</f>
        <v/>
      </c>
      <c r="M323" s="19">
        <f>IF($A323="","",IF(COUNTIFS(請求記録!$B$6:$B$3005,$A323,請求記録!$Z$6:$Z$3005,M$5,請求記録!$AF$6:$AF$3005,"保留中")&gt;0,"保留",IF(COUNTIFS(請求記録!$B$6:$B$3005,$A323,請求記録!$Z$6:$Z$3005,M$5)=0,"",SUMIFS(請求記録!$AE$6:$AE$3005,請求記録!$B$6:$B$3005,$A323,請求記録!$Z$6:$Z$3005,M$5))))</f>
        <v/>
      </c>
      <c r="N323" s="19">
        <f>IF($A323="","",IF(COUNTIFS(請求記録!$B$6:$B$3005,$A323,請求記録!$Z$6:$Z$3005,N$5,請求記録!$AF$6:$AF$3005,"保留中")&gt;0,"保留",IF(COUNTIFS(請求記録!$B$6:$B$3005,$A323,請求記録!$Z$6:$Z$3005,N$5)=0,"",SUMIFS(請求記録!$AE$6:$AE$3005,請求記録!$B$6:$B$3005,$A323,請求記録!$Z$6:$Z$3005,N$5))))</f>
        <v/>
      </c>
      <c r="O323" s="19">
        <f>IF($A323="","",IF(COUNTIFS(請求記録!$B$6:$B$3005,$A323,請求記録!$Z$6:$Z$3005,O$5,請求記録!$AF$6:$AF$3005,"保留中")&gt;0,"保留",IF(COUNTIFS(請求記録!$B$6:$B$3005,$A323,請求記録!$Z$6:$Z$3005,O$5)=0,"",SUMIFS(請求記録!$AE$6:$AE$3005,請求記録!$B$6:$B$3005,$A323,請求記録!$Z$6:$Z$3005,O$5))))</f>
        <v/>
      </c>
      <c r="P323" s="19">
        <f>IF($A323="","",IF(COUNTIFS(請求記録!$B$6:$B$3005,$A323,請求記録!$Z$6:$Z$3005,P$5,請求記録!$AF$6:$AF$3005,"保留中")&gt;0,"保留",IF(COUNTIFS(請求記録!$B$6:$B$3005,$A323,請求記録!$Z$6:$Z$3005,P$5)=0,"",SUMIFS(請求記録!$AE$6:$AE$3005,請求記録!$B$6:$B$3005,$A323,請求記録!$Z$6:$Z$3005,P$5))))</f>
        <v/>
      </c>
      <c r="Q323" s="19">
        <f>IF($A323="","",IF(COUNTIFS(請求記録!$B$6:$B$3005,$A323,請求記録!$Z$6:$Z$3005,Q$5,請求記録!$AF$6:$AF$3005,"保留中")&gt;0,"保留",IF(COUNTIFS(請求記録!$B$6:$B$3005,$A323,請求記録!$Z$6:$Z$3005,Q$5)=0,"",SUMIFS(請求記録!$AE$6:$AE$3005,請求記録!$B$6:$B$3005,$A323,請求記録!$Z$6:$Z$3005,Q$5))))</f>
        <v/>
      </c>
      <c r="R323" s="19">
        <f>IF($A323="","",IF(COUNTIFS(請求記録!$B$6:$B$3005,$A323,請求記録!$Z$6:$Z$3005,R$5,請求記録!$AF$6:$AF$3005,"保留中")&gt;0,"保留",IF(COUNTIFS(請求記録!$B$6:$B$3005,$A323,請求記録!$Z$6:$Z$3005,R$5)=0,"",SUMIFS(請求記録!$AE$6:$AE$3005,請求記録!$B$6:$B$3005,$A323,請求記録!$Z$6:$Z$3005,R$5))))</f>
        <v/>
      </c>
      <c r="S323" s="19">
        <f>IF($A323="","",IF(COUNTIFS(請求記録!$B$6:$B$3005,$A323,請求記録!$Z$6:$Z$3005,S$5,請求記録!$AF$6:$AF$3005,"保留中")&gt;0,"保留",IF(COUNTIFS(請求記録!$B$6:$B$3005,$A323,請求記録!$Z$6:$Z$3005,S$5)=0,"",SUMIFS(請求記録!$AE$6:$AE$3005,請求記録!$B$6:$B$3005,$A323,請求記録!$Z$6:$Z$3005,S$5))))</f>
        <v/>
      </c>
      <c r="T323" s="19">
        <f>IF($A323="","",IF(COUNTIFS(請求記録!$B$6:$B$3005,$A323,請求記録!$Z$6:$Z$3005,T$5,請求記録!$AF$6:$AF$3005,"保留中")&gt;0,"保留",IF(COUNTIFS(請求記録!$B$6:$B$3005,$A323,請求記録!$Z$6:$Z$3005,T$5)=0,"",SUMIFS(請求記録!$AE$6:$AE$3005,請求記録!$B$6:$B$3005,$A323,請求記録!$Z$6:$Z$3005,T$5))))</f>
        <v/>
      </c>
      <c r="U323" s="19">
        <f>IF($A323="","",IF(COUNTIFS(請求記録!$B$6:$B$3005,$A323,請求記録!$Z$6:$Z$3005,U$5,請求記録!$AF$6:$AF$3005,"保留中")&gt;0,"保留",IF(COUNTIFS(請求記録!$B$6:$B$3005,$A323,請求記録!$Z$6:$Z$3005,U$5)=0,"",SUMIFS(請求記録!$AE$6:$AE$3005,請求記録!$B$6:$B$3005,$A323,請求記録!$Z$6:$Z$3005,U$5))))</f>
        <v/>
      </c>
      <c r="V323" s="19">
        <f>IF($A323="","",IF(COUNTIFS(請求記録!$B$6:$B$3005,$A323,請求記録!$Z$6:$Z$3005,V$5,請求記録!$AF$6:$AF$3005,"保留中")&gt;0,"保留",IF(COUNTIFS(請求記録!$B$6:$B$3005,$A323,請求記録!$Z$6:$Z$3005,V$5)=0,"",SUMIFS(請求記録!$AE$6:$AE$3005,請求記録!$B$6:$B$3005,$A323,請求記録!$Z$6:$Z$3005,V$5))))</f>
        <v/>
      </c>
      <c r="W323" s="19">
        <f>IF($A323="","",IF(COUNTIFS(請求記録!$B$6:$B$3005,$A323,請求記録!$Z$6:$Z$3005,W$5,請求記録!$AF$6:$AF$3005,"保留中")&gt;0,"保留",IF(COUNTIFS(請求記録!$B$6:$B$3005,$A323,請求記録!$Z$6:$Z$3005,W$5)=0,"",SUMIFS(請求記録!$AE$6:$AE$3005,請求記録!$B$6:$B$3005,$A323,請求記録!$Z$6:$Z$3005,W$5))))</f>
        <v/>
      </c>
      <c r="X323" s="19">
        <f>IF($A323="","",IF(COUNTIFS(請求記録!$B$6:$B$3005,$A323,請求記録!$Z$6:$Z$3005,X$5,請求記録!$AF$6:$AF$3005,"保留中")&gt;0,"保留",IF(COUNTIFS(請求記録!$B$6:$B$3005,$A323,請求記録!$Z$6:$Z$3005,X$5)=0,"",SUMIFS(請求記録!$AE$6:$AE$3005,請求記録!$B$6:$B$3005,$A323,請求記録!$Z$6:$Z$3005,X$5))))</f>
        <v/>
      </c>
      <c r="Y323" s="19">
        <f>IF($A323="","",IF(COUNTIFS(請求記録!$B$6:$B$3005,$A323,請求記録!$Z$6:$Z$3005,Y$5,請求記録!$AF$6:$AF$3005,"保留中")&gt;0,"保留",IF(COUNTIFS(請求記録!$B$6:$B$3005,$A323,請求記録!$Z$6:$Z$3005,Y$5)=0,"",SUMIFS(請求記録!$AE$6:$AE$3005,請求記録!$B$6:$B$3005,$A323,請求記録!$Z$6:$Z$3005,Y$5))))</f>
        <v/>
      </c>
      <c r="Z323" s="19">
        <f>IF($A323="","",IF(COUNTIFS(請求記録!$B$6:$B$3005,$A323,請求記録!$Z$6:$Z$3005,Z$5,請求記録!$AF$6:$AF$3005,"保留中")&gt;0,"保留",IF(COUNTIFS(請求記録!$B$6:$B$3005,$A323,請求記録!$Z$6:$Z$3005,Z$5)=0,"",SUMIFS(請求記録!$AE$6:$AE$3005,請求記録!$B$6:$B$3005,$A323,請求記録!$Z$6:$Z$3005,Z$5))))</f>
        <v/>
      </c>
      <c r="AA323" s="19">
        <f>IF($A323="","",IF(COUNTIFS(請求記録!$B$6:$B$3005,$A323,請求記録!$Z$6:$Z$3005,AA$5,請求記録!$AF$6:$AF$3005,"保留中")&gt;0,"保留",IF(COUNTIFS(請求記録!$B$6:$B$3005,$A323,請求記録!$Z$6:$Z$3005,AA$5)=0,"",SUMIFS(請求記録!$AE$6:$AE$3005,請求記録!$B$6:$B$3005,$A323,請求記録!$Z$6:$Z$3005,AA$5))))</f>
        <v/>
      </c>
      <c r="AB323">
        <f>IF(職員マスタ!P323="保留中",職員マスタ!M323,"")</f>
        <v/>
      </c>
    </row>
    <row r="324">
      <c r="A324">
        <f>IF(職員マスタ!A324="","",職員マスタ!A324)</f>
        <v/>
      </c>
      <c r="B324">
        <f>IF($A324="","",職員マスタ!B324)</f>
        <v/>
      </c>
      <c r="C324">
        <f>IF($A324="","",職員マスタ!C324)</f>
        <v/>
      </c>
      <c r="D324" s="19">
        <f>IF($A324="","",IF(COUNTIFS(請求記録!$B$6:$B$3005,$A324,請求記録!$Z$6:$Z$3005,D$5,請求記録!$AF$6:$AF$3005,"保留中")&gt;0,"保留",IF(COUNTIFS(請求記録!$B$6:$B$3005,$A324,請求記録!$Z$6:$Z$3005,D$5)=0,"",SUMIFS(請求記録!$AE$6:$AE$3005,請求記録!$B$6:$B$3005,$A324,請求記録!$Z$6:$Z$3005,D$5))))</f>
        <v/>
      </c>
      <c r="E324" s="19">
        <f>IF($A324="","",IF(COUNTIFS(請求記録!$B$6:$B$3005,$A324,請求記録!$Z$6:$Z$3005,E$5,請求記録!$AF$6:$AF$3005,"保留中")&gt;0,"保留",IF(COUNTIFS(請求記録!$B$6:$B$3005,$A324,請求記録!$Z$6:$Z$3005,E$5)=0,"",SUMIFS(請求記録!$AE$6:$AE$3005,請求記録!$B$6:$B$3005,$A324,請求記録!$Z$6:$Z$3005,E$5))))</f>
        <v/>
      </c>
      <c r="F324" s="19">
        <f>IF($A324="","",IF(COUNTIFS(請求記録!$B$6:$B$3005,$A324,請求記録!$Z$6:$Z$3005,F$5,請求記録!$AF$6:$AF$3005,"保留中")&gt;0,"保留",IF(COUNTIFS(請求記録!$B$6:$B$3005,$A324,請求記録!$Z$6:$Z$3005,F$5)=0,"",SUMIFS(請求記録!$AE$6:$AE$3005,請求記録!$B$6:$B$3005,$A324,請求記録!$Z$6:$Z$3005,F$5))))</f>
        <v/>
      </c>
      <c r="G324" s="19">
        <f>IF($A324="","",IF(COUNTIFS(請求記録!$B$6:$B$3005,$A324,請求記録!$Z$6:$Z$3005,G$5,請求記録!$AF$6:$AF$3005,"保留中")&gt;0,"保留",IF(COUNTIFS(請求記録!$B$6:$B$3005,$A324,請求記録!$Z$6:$Z$3005,G$5)=0,"",SUMIFS(請求記録!$AE$6:$AE$3005,請求記録!$B$6:$B$3005,$A324,請求記録!$Z$6:$Z$3005,G$5))))</f>
        <v/>
      </c>
      <c r="H324" s="19">
        <f>IF($A324="","",IF(COUNTIFS(請求記録!$B$6:$B$3005,$A324,請求記録!$Z$6:$Z$3005,H$5,請求記録!$AF$6:$AF$3005,"保留中")&gt;0,"保留",IF(COUNTIFS(請求記録!$B$6:$B$3005,$A324,請求記録!$Z$6:$Z$3005,H$5)=0,"",SUMIFS(請求記録!$AE$6:$AE$3005,請求記録!$B$6:$B$3005,$A324,請求記録!$Z$6:$Z$3005,H$5))))</f>
        <v/>
      </c>
      <c r="I324" s="19">
        <f>IF($A324="","",IF(COUNTIFS(請求記録!$B$6:$B$3005,$A324,請求記録!$Z$6:$Z$3005,I$5,請求記録!$AF$6:$AF$3005,"保留中")&gt;0,"保留",IF(COUNTIFS(請求記録!$B$6:$B$3005,$A324,請求記録!$Z$6:$Z$3005,I$5)=0,"",SUMIFS(請求記録!$AE$6:$AE$3005,請求記録!$B$6:$B$3005,$A324,請求記録!$Z$6:$Z$3005,I$5))))</f>
        <v/>
      </c>
      <c r="J324" s="19">
        <f>IF($A324="","",IF(COUNTIFS(請求記録!$B$6:$B$3005,$A324,請求記録!$Z$6:$Z$3005,J$5,請求記録!$AF$6:$AF$3005,"保留中")&gt;0,"保留",IF(COUNTIFS(請求記録!$B$6:$B$3005,$A324,請求記録!$Z$6:$Z$3005,J$5)=0,"",SUMIFS(請求記録!$AE$6:$AE$3005,請求記録!$B$6:$B$3005,$A324,請求記録!$Z$6:$Z$3005,J$5))))</f>
        <v/>
      </c>
      <c r="K324" s="19">
        <f>IF($A324="","",IF(COUNTIFS(請求記録!$B$6:$B$3005,$A324,請求記録!$Z$6:$Z$3005,K$5,請求記録!$AF$6:$AF$3005,"保留中")&gt;0,"保留",IF(COUNTIFS(請求記録!$B$6:$B$3005,$A324,請求記録!$Z$6:$Z$3005,K$5)=0,"",SUMIFS(請求記録!$AE$6:$AE$3005,請求記録!$B$6:$B$3005,$A324,請求記録!$Z$6:$Z$3005,K$5))))</f>
        <v/>
      </c>
      <c r="L324" s="19">
        <f>IF($A324="","",IF(COUNTIFS(請求記録!$B$6:$B$3005,$A324,請求記録!$Z$6:$Z$3005,L$5,請求記録!$AF$6:$AF$3005,"保留中")&gt;0,"保留",IF(COUNTIFS(請求記録!$B$6:$B$3005,$A324,請求記録!$Z$6:$Z$3005,L$5)=0,"",SUMIFS(請求記録!$AE$6:$AE$3005,請求記録!$B$6:$B$3005,$A324,請求記録!$Z$6:$Z$3005,L$5))))</f>
        <v/>
      </c>
      <c r="M324" s="19">
        <f>IF($A324="","",IF(COUNTIFS(請求記録!$B$6:$B$3005,$A324,請求記録!$Z$6:$Z$3005,M$5,請求記録!$AF$6:$AF$3005,"保留中")&gt;0,"保留",IF(COUNTIFS(請求記録!$B$6:$B$3005,$A324,請求記録!$Z$6:$Z$3005,M$5)=0,"",SUMIFS(請求記録!$AE$6:$AE$3005,請求記録!$B$6:$B$3005,$A324,請求記録!$Z$6:$Z$3005,M$5))))</f>
        <v/>
      </c>
      <c r="N324" s="19">
        <f>IF($A324="","",IF(COUNTIFS(請求記録!$B$6:$B$3005,$A324,請求記録!$Z$6:$Z$3005,N$5,請求記録!$AF$6:$AF$3005,"保留中")&gt;0,"保留",IF(COUNTIFS(請求記録!$B$6:$B$3005,$A324,請求記録!$Z$6:$Z$3005,N$5)=0,"",SUMIFS(請求記録!$AE$6:$AE$3005,請求記録!$B$6:$B$3005,$A324,請求記録!$Z$6:$Z$3005,N$5))))</f>
        <v/>
      </c>
      <c r="O324" s="19">
        <f>IF($A324="","",IF(COUNTIFS(請求記録!$B$6:$B$3005,$A324,請求記録!$Z$6:$Z$3005,O$5,請求記録!$AF$6:$AF$3005,"保留中")&gt;0,"保留",IF(COUNTIFS(請求記録!$B$6:$B$3005,$A324,請求記録!$Z$6:$Z$3005,O$5)=0,"",SUMIFS(請求記録!$AE$6:$AE$3005,請求記録!$B$6:$B$3005,$A324,請求記録!$Z$6:$Z$3005,O$5))))</f>
        <v/>
      </c>
      <c r="P324" s="19">
        <f>IF($A324="","",IF(COUNTIFS(請求記録!$B$6:$B$3005,$A324,請求記録!$Z$6:$Z$3005,P$5,請求記録!$AF$6:$AF$3005,"保留中")&gt;0,"保留",IF(COUNTIFS(請求記録!$B$6:$B$3005,$A324,請求記録!$Z$6:$Z$3005,P$5)=0,"",SUMIFS(請求記録!$AE$6:$AE$3005,請求記録!$B$6:$B$3005,$A324,請求記録!$Z$6:$Z$3005,P$5))))</f>
        <v/>
      </c>
      <c r="Q324" s="19">
        <f>IF($A324="","",IF(COUNTIFS(請求記録!$B$6:$B$3005,$A324,請求記録!$Z$6:$Z$3005,Q$5,請求記録!$AF$6:$AF$3005,"保留中")&gt;0,"保留",IF(COUNTIFS(請求記録!$B$6:$B$3005,$A324,請求記録!$Z$6:$Z$3005,Q$5)=0,"",SUMIFS(請求記録!$AE$6:$AE$3005,請求記録!$B$6:$B$3005,$A324,請求記録!$Z$6:$Z$3005,Q$5))))</f>
        <v/>
      </c>
      <c r="R324" s="19">
        <f>IF($A324="","",IF(COUNTIFS(請求記録!$B$6:$B$3005,$A324,請求記録!$Z$6:$Z$3005,R$5,請求記録!$AF$6:$AF$3005,"保留中")&gt;0,"保留",IF(COUNTIFS(請求記録!$B$6:$B$3005,$A324,請求記録!$Z$6:$Z$3005,R$5)=0,"",SUMIFS(請求記録!$AE$6:$AE$3005,請求記録!$B$6:$B$3005,$A324,請求記録!$Z$6:$Z$3005,R$5))))</f>
        <v/>
      </c>
      <c r="S324" s="19">
        <f>IF($A324="","",IF(COUNTIFS(請求記録!$B$6:$B$3005,$A324,請求記録!$Z$6:$Z$3005,S$5,請求記録!$AF$6:$AF$3005,"保留中")&gt;0,"保留",IF(COUNTIFS(請求記録!$B$6:$B$3005,$A324,請求記録!$Z$6:$Z$3005,S$5)=0,"",SUMIFS(請求記録!$AE$6:$AE$3005,請求記録!$B$6:$B$3005,$A324,請求記録!$Z$6:$Z$3005,S$5))))</f>
        <v/>
      </c>
      <c r="T324" s="19">
        <f>IF($A324="","",IF(COUNTIFS(請求記録!$B$6:$B$3005,$A324,請求記録!$Z$6:$Z$3005,T$5,請求記録!$AF$6:$AF$3005,"保留中")&gt;0,"保留",IF(COUNTIFS(請求記録!$B$6:$B$3005,$A324,請求記録!$Z$6:$Z$3005,T$5)=0,"",SUMIFS(請求記録!$AE$6:$AE$3005,請求記録!$B$6:$B$3005,$A324,請求記録!$Z$6:$Z$3005,T$5))))</f>
        <v/>
      </c>
      <c r="U324" s="19">
        <f>IF($A324="","",IF(COUNTIFS(請求記録!$B$6:$B$3005,$A324,請求記録!$Z$6:$Z$3005,U$5,請求記録!$AF$6:$AF$3005,"保留中")&gt;0,"保留",IF(COUNTIFS(請求記録!$B$6:$B$3005,$A324,請求記録!$Z$6:$Z$3005,U$5)=0,"",SUMIFS(請求記録!$AE$6:$AE$3005,請求記録!$B$6:$B$3005,$A324,請求記録!$Z$6:$Z$3005,U$5))))</f>
        <v/>
      </c>
      <c r="V324" s="19">
        <f>IF($A324="","",IF(COUNTIFS(請求記録!$B$6:$B$3005,$A324,請求記録!$Z$6:$Z$3005,V$5,請求記録!$AF$6:$AF$3005,"保留中")&gt;0,"保留",IF(COUNTIFS(請求記録!$B$6:$B$3005,$A324,請求記録!$Z$6:$Z$3005,V$5)=0,"",SUMIFS(請求記録!$AE$6:$AE$3005,請求記録!$B$6:$B$3005,$A324,請求記録!$Z$6:$Z$3005,V$5))))</f>
        <v/>
      </c>
      <c r="W324" s="19">
        <f>IF($A324="","",IF(COUNTIFS(請求記録!$B$6:$B$3005,$A324,請求記録!$Z$6:$Z$3005,W$5,請求記録!$AF$6:$AF$3005,"保留中")&gt;0,"保留",IF(COUNTIFS(請求記録!$B$6:$B$3005,$A324,請求記録!$Z$6:$Z$3005,W$5)=0,"",SUMIFS(請求記録!$AE$6:$AE$3005,請求記録!$B$6:$B$3005,$A324,請求記録!$Z$6:$Z$3005,W$5))))</f>
        <v/>
      </c>
      <c r="X324" s="19">
        <f>IF($A324="","",IF(COUNTIFS(請求記録!$B$6:$B$3005,$A324,請求記録!$Z$6:$Z$3005,X$5,請求記録!$AF$6:$AF$3005,"保留中")&gt;0,"保留",IF(COUNTIFS(請求記録!$B$6:$B$3005,$A324,請求記録!$Z$6:$Z$3005,X$5)=0,"",SUMIFS(請求記録!$AE$6:$AE$3005,請求記録!$B$6:$B$3005,$A324,請求記録!$Z$6:$Z$3005,X$5))))</f>
        <v/>
      </c>
      <c r="Y324" s="19">
        <f>IF($A324="","",IF(COUNTIFS(請求記録!$B$6:$B$3005,$A324,請求記録!$Z$6:$Z$3005,Y$5,請求記録!$AF$6:$AF$3005,"保留中")&gt;0,"保留",IF(COUNTIFS(請求記録!$B$6:$B$3005,$A324,請求記録!$Z$6:$Z$3005,Y$5)=0,"",SUMIFS(請求記録!$AE$6:$AE$3005,請求記録!$B$6:$B$3005,$A324,請求記録!$Z$6:$Z$3005,Y$5))))</f>
        <v/>
      </c>
      <c r="Z324" s="19">
        <f>IF($A324="","",IF(COUNTIFS(請求記録!$B$6:$B$3005,$A324,請求記録!$Z$6:$Z$3005,Z$5,請求記録!$AF$6:$AF$3005,"保留中")&gt;0,"保留",IF(COUNTIFS(請求記録!$B$6:$B$3005,$A324,請求記録!$Z$6:$Z$3005,Z$5)=0,"",SUMIFS(請求記録!$AE$6:$AE$3005,請求記録!$B$6:$B$3005,$A324,請求記録!$Z$6:$Z$3005,Z$5))))</f>
        <v/>
      </c>
      <c r="AA324" s="19">
        <f>IF($A324="","",IF(COUNTIFS(請求記録!$B$6:$B$3005,$A324,請求記録!$Z$6:$Z$3005,AA$5,請求記録!$AF$6:$AF$3005,"保留中")&gt;0,"保留",IF(COUNTIFS(請求記録!$B$6:$B$3005,$A324,請求記録!$Z$6:$Z$3005,AA$5)=0,"",SUMIFS(請求記録!$AE$6:$AE$3005,請求記録!$B$6:$B$3005,$A324,請求記録!$Z$6:$Z$3005,AA$5))))</f>
        <v/>
      </c>
      <c r="AB324">
        <f>IF(職員マスタ!P324="保留中",職員マスタ!M324,"")</f>
        <v/>
      </c>
    </row>
    <row r="325">
      <c r="A325">
        <f>IF(職員マスタ!A325="","",職員マスタ!A325)</f>
        <v/>
      </c>
      <c r="B325">
        <f>IF($A325="","",職員マスタ!B325)</f>
        <v/>
      </c>
      <c r="C325">
        <f>IF($A325="","",職員マスタ!C325)</f>
        <v/>
      </c>
      <c r="D325" s="19">
        <f>IF($A325="","",IF(COUNTIFS(請求記録!$B$6:$B$3005,$A325,請求記録!$Z$6:$Z$3005,D$5,請求記録!$AF$6:$AF$3005,"保留中")&gt;0,"保留",IF(COUNTIFS(請求記録!$B$6:$B$3005,$A325,請求記録!$Z$6:$Z$3005,D$5)=0,"",SUMIFS(請求記録!$AE$6:$AE$3005,請求記録!$B$6:$B$3005,$A325,請求記録!$Z$6:$Z$3005,D$5))))</f>
        <v/>
      </c>
      <c r="E325" s="19">
        <f>IF($A325="","",IF(COUNTIFS(請求記録!$B$6:$B$3005,$A325,請求記録!$Z$6:$Z$3005,E$5,請求記録!$AF$6:$AF$3005,"保留中")&gt;0,"保留",IF(COUNTIFS(請求記録!$B$6:$B$3005,$A325,請求記録!$Z$6:$Z$3005,E$5)=0,"",SUMIFS(請求記録!$AE$6:$AE$3005,請求記録!$B$6:$B$3005,$A325,請求記録!$Z$6:$Z$3005,E$5))))</f>
        <v/>
      </c>
      <c r="F325" s="19">
        <f>IF($A325="","",IF(COUNTIFS(請求記録!$B$6:$B$3005,$A325,請求記録!$Z$6:$Z$3005,F$5,請求記録!$AF$6:$AF$3005,"保留中")&gt;0,"保留",IF(COUNTIFS(請求記録!$B$6:$B$3005,$A325,請求記録!$Z$6:$Z$3005,F$5)=0,"",SUMIFS(請求記録!$AE$6:$AE$3005,請求記録!$B$6:$B$3005,$A325,請求記録!$Z$6:$Z$3005,F$5))))</f>
        <v/>
      </c>
      <c r="G325" s="19">
        <f>IF($A325="","",IF(COUNTIFS(請求記録!$B$6:$B$3005,$A325,請求記録!$Z$6:$Z$3005,G$5,請求記録!$AF$6:$AF$3005,"保留中")&gt;0,"保留",IF(COUNTIFS(請求記録!$B$6:$B$3005,$A325,請求記録!$Z$6:$Z$3005,G$5)=0,"",SUMIFS(請求記録!$AE$6:$AE$3005,請求記録!$B$6:$B$3005,$A325,請求記録!$Z$6:$Z$3005,G$5))))</f>
        <v/>
      </c>
      <c r="H325" s="19">
        <f>IF($A325="","",IF(COUNTIFS(請求記録!$B$6:$B$3005,$A325,請求記録!$Z$6:$Z$3005,H$5,請求記録!$AF$6:$AF$3005,"保留中")&gt;0,"保留",IF(COUNTIFS(請求記録!$B$6:$B$3005,$A325,請求記録!$Z$6:$Z$3005,H$5)=0,"",SUMIFS(請求記録!$AE$6:$AE$3005,請求記録!$B$6:$B$3005,$A325,請求記録!$Z$6:$Z$3005,H$5))))</f>
        <v/>
      </c>
      <c r="I325" s="19">
        <f>IF($A325="","",IF(COUNTIFS(請求記録!$B$6:$B$3005,$A325,請求記録!$Z$6:$Z$3005,I$5,請求記録!$AF$6:$AF$3005,"保留中")&gt;0,"保留",IF(COUNTIFS(請求記録!$B$6:$B$3005,$A325,請求記録!$Z$6:$Z$3005,I$5)=0,"",SUMIFS(請求記録!$AE$6:$AE$3005,請求記録!$B$6:$B$3005,$A325,請求記録!$Z$6:$Z$3005,I$5))))</f>
        <v/>
      </c>
      <c r="J325" s="19">
        <f>IF($A325="","",IF(COUNTIFS(請求記録!$B$6:$B$3005,$A325,請求記録!$Z$6:$Z$3005,J$5,請求記録!$AF$6:$AF$3005,"保留中")&gt;0,"保留",IF(COUNTIFS(請求記録!$B$6:$B$3005,$A325,請求記録!$Z$6:$Z$3005,J$5)=0,"",SUMIFS(請求記録!$AE$6:$AE$3005,請求記録!$B$6:$B$3005,$A325,請求記録!$Z$6:$Z$3005,J$5))))</f>
        <v/>
      </c>
      <c r="K325" s="19">
        <f>IF($A325="","",IF(COUNTIFS(請求記録!$B$6:$B$3005,$A325,請求記録!$Z$6:$Z$3005,K$5,請求記録!$AF$6:$AF$3005,"保留中")&gt;0,"保留",IF(COUNTIFS(請求記録!$B$6:$B$3005,$A325,請求記録!$Z$6:$Z$3005,K$5)=0,"",SUMIFS(請求記録!$AE$6:$AE$3005,請求記録!$B$6:$B$3005,$A325,請求記録!$Z$6:$Z$3005,K$5))))</f>
        <v/>
      </c>
      <c r="L325" s="19">
        <f>IF($A325="","",IF(COUNTIFS(請求記録!$B$6:$B$3005,$A325,請求記録!$Z$6:$Z$3005,L$5,請求記録!$AF$6:$AF$3005,"保留中")&gt;0,"保留",IF(COUNTIFS(請求記録!$B$6:$B$3005,$A325,請求記録!$Z$6:$Z$3005,L$5)=0,"",SUMIFS(請求記録!$AE$6:$AE$3005,請求記録!$B$6:$B$3005,$A325,請求記録!$Z$6:$Z$3005,L$5))))</f>
        <v/>
      </c>
      <c r="M325" s="19">
        <f>IF($A325="","",IF(COUNTIFS(請求記録!$B$6:$B$3005,$A325,請求記録!$Z$6:$Z$3005,M$5,請求記録!$AF$6:$AF$3005,"保留中")&gt;0,"保留",IF(COUNTIFS(請求記録!$B$6:$B$3005,$A325,請求記録!$Z$6:$Z$3005,M$5)=0,"",SUMIFS(請求記録!$AE$6:$AE$3005,請求記録!$B$6:$B$3005,$A325,請求記録!$Z$6:$Z$3005,M$5))))</f>
        <v/>
      </c>
      <c r="N325" s="19">
        <f>IF($A325="","",IF(COUNTIFS(請求記録!$B$6:$B$3005,$A325,請求記録!$Z$6:$Z$3005,N$5,請求記録!$AF$6:$AF$3005,"保留中")&gt;0,"保留",IF(COUNTIFS(請求記録!$B$6:$B$3005,$A325,請求記録!$Z$6:$Z$3005,N$5)=0,"",SUMIFS(請求記録!$AE$6:$AE$3005,請求記録!$B$6:$B$3005,$A325,請求記録!$Z$6:$Z$3005,N$5))))</f>
        <v/>
      </c>
      <c r="O325" s="19">
        <f>IF($A325="","",IF(COUNTIFS(請求記録!$B$6:$B$3005,$A325,請求記録!$Z$6:$Z$3005,O$5,請求記録!$AF$6:$AF$3005,"保留中")&gt;0,"保留",IF(COUNTIFS(請求記録!$B$6:$B$3005,$A325,請求記録!$Z$6:$Z$3005,O$5)=0,"",SUMIFS(請求記録!$AE$6:$AE$3005,請求記録!$B$6:$B$3005,$A325,請求記録!$Z$6:$Z$3005,O$5))))</f>
        <v/>
      </c>
      <c r="P325" s="19">
        <f>IF($A325="","",IF(COUNTIFS(請求記録!$B$6:$B$3005,$A325,請求記録!$Z$6:$Z$3005,P$5,請求記録!$AF$6:$AF$3005,"保留中")&gt;0,"保留",IF(COUNTIFS(請求記録!$B$6:$B$3005,$A325,請求記録!$Z$6:$Z$3005,P$5)=0,"",SUMIFS(請求記録!$AE$6:$AE$3005,請求記録!$B$6:$B$3005,$A325,請求記録!$Z$6:$Z$3005,P$5))))</f>
        <v/>
      </c>
      <c r="Q325" s="19">
        <f>IF($A325="","",IF(COUNTIFS(請求記録!$B$6:$B$3005,$A325,請求記録!$Z$6:$Z$3005,Q$5,請求記録!$AF$6:$AF$3005,"保留中")&gt;0,"保留",IF(COUNTIFS(請求記録!$B$6:$B$3005,$A325,請求記録!$Z$6:$Z$3005,Q$5)=0,"",SUMIFS(請求記録!$AE$6:$AE$3005,請求記録!$B$6:$B$3005,$A325,請求記録!$Z$6:$Z$3005,Q$5))))</f>
        <v/>
      </c>
      <c r="R325" s="19">
        <f>IF($A325="","",IF(COUNTIFS(請求記録!$B$6:$B$3005,$A325,請求記録!$Z$6:$Z$3005,R$5,請求記録!$AF$6:$AF$3005,"保留中")&gt;0,"保留",IF(COUNTIFS(請求記録!$B$6:$B$3005,$A325,請求記録!$Z$6:$Z$3005,R$5)=0,"",SUMIFS(請求記録!$AE$6:$AE$3005,請求記録!$B$6:$B$3005,$A325,請求記録!$Z$6:$Z$3005,R$5))))</f>
        <v/>
      </c>
      <c r="S325" s="19">
        <f>IF($A325="","",IF(COUNTIFS(請求記録!$B$6:$B$3005,$A325,請求記録!$Z$6:$Z$3005,S$5,請求記録!$AF$6:$AF$3005,"保留中")&gt;0,"保留",IF(COUNTIFS(請求記録!$B$6:$B$3005,$A325,請求記録!$Z$6:$Z$3005,S$5)=0,"",SUMIFS(請求記録!$AE$6:$AE$3005,請求記録!$B$6:$B$3005,$A325,請求記録!$Z$6:$Z$3005,S$5))))</f>
        <v/>
      </c>
      <c r="T325" s="19">
        <f>IF($A325="","",IF(COUNTIFS(請求記録!$B$6:$B$3005,$A325,請求記録!$Z$6:$Z$3005,T$5,請求記録!$AF$6:$AF$3005,"保留中")&gt;0,"保留",IF(COUNTIFS(請求記録!$B$6:$B$3005,$A325,請求記録!$Z$6:$Z$3005,T$5)=0,"",SUMIFS(請求記録!$AE$6:$AE$3005,請求記録!$B$6:$B$3005,$A325,請求記録!$Z$6:$Z$3005,T$5))))</f>
        <v/>
      </c>
      <c r="U325" s="19">
        <f>IF($A325="","",IF(COUNTIFS(請求記録!$B$6:$B$3005,$A325,請求記録!$Z$6:$Z$3005,U$5,請求記録!$AF$6:$AF$3005,"保留中")&gt;0,"保留",IF(COUNTIFS(請求記録!$B$6:$B$3005,$A325,請求記録!$Z$6:$Z$3005,U$5)=0,"",SUMIFS(請求記録!$AE$6:$AE$3005,請求記録!$B$6:$B$3005,$A325,請求記録!$Z$6:$Z$3005,U$5))))</f>
        <v/>
      </c>
      <c r="V325" s="19">
        <f>IF($A325="","",IF(COUNTIFS(請求記録!$B$6:$B$3005,$A325,請求記録!$Z$6:$Z$3005,V$5,請求記録!$AF$6:$AF$3005,"保留中")&gt;0,"保留",IF(COUNTIFS(請求記録!$B$6:$B$3005,$A325,請求記録!$Z$6:$Z$3005,V$5)=0,"",SUMIFS(請求記録!$AE$6:$AE$3005,請求記録!$B$6:$B$3005,$A325,請求記録!$Z$6:$Z$3005,V$5))))</f>
        <v/>
      </c>
      <c r="W325" s="19">
        <f>IF($A325="","",IF(COUNTIFS(請求記録!$B$6:$B$3005,$A325,請求記録!$Z$6:$Z$3005,W$5,請求記録!$AF$6:$AF$3005,"保留中")&gt;0,"保留",IF(COUNTIFS(請求記録!$B$6:$B$3005,$A325,請求記録!$Z$6:$Z$3005,W$5)=0,"",SUMIFS(請求記録!$AE$6:$AE$3005,請求記録!$B$6:$B$3005,$A325,請求記録!$Z$6:$Z$3005,W$5))))</f>
        <v/>
      </c>
      <c r="X325" s="19">
        <f>IF($A325="","",IF(COUNTIFS(請求記録!$B$6:$B$3005,$A325,請求記録!$Z$6:$Z$3005,X$5,請求記録!$AF$6:$AF$3005,"保留中")&gt;0,"保留",IF(COUNTIFS(請求記録!$B$6:$B$3005,$A325,請求記録!$Z$6:$Z$3005,X$5)=0,"",SUMIFS(請求記録!$AE$6:$AE$3005,請求記録!$B$6:$B$3005,$A325,請求記録!$Z$6:$Z$3005,X$5))))</f>
        <v/>
      </c>
      <c r="Y325" s="19">
        <f>IF($A325="","",IF(COUNTIFS(請求記録!$B$6:$B$3005,$A325,請求記録!$Z$6:$Z$3005,Y$5,請求記録!$AF$6:$AF$3005,"保留中")&gt;0,"保留",IF(COUNTIFS(請求記録!$B$6:$B$3005,$A325,請求記録!$Z$6:$Z$3005,Y$5)=0,"",SUMIFS(請求記録!$AE$6:$AE$3005,請求記録!$B$6:$B$3005,$A325,請求記録!$Z$6:$Z$3005,Y$5))))</f>
        <v/>
      </c>
      <c r="Z325" s="19">
        <f>IF($A325="","",IF(COUNTIFS(請求記録!$B$6:$B$3005,$A325,請求記録!$Z$6:$Z$3005,Z$5,請求記録!$AF$6:$AF$3005,"保留中")&gt;0,"保留",IF(COUNTIFS(請求記録!$B$6:$B$3005,$A325,請求記録!$Z$6:$Z$3005,Z$5)=0,"",SUMIFS(請求記録!$AE$6:$AE$3005,請求記録!$B$6:$B$3005,$A325,請求記録!$Z$6:$Z$3005,Z$5))))</f>
        <v/>
      </c>
      <c r="AA325" s="19">
        <f>IF($A325="","",IF(COUNTIFS(請求記録!$B$6:$B$3005,$A325,請求記録!$Z$6:$Z$3005,AA$5,請求記録!$AF$6:$AF$3005,"保留中")&gt;0,"保留",IF(COUNTIFS(請求記録!$B$6:$B$3005,$A325,請求記録!$Z$6:$Z$3005,AA$5)=0,"",SUMIFS(請求記録!$AE$6:$AE$3005,請求記録!$B$6:$B$3005,$A325,請求記録!$Z$6:$Z$3005,AA$5))))</f>
        <v/>
      </c>
      <c r="AB325">
        <f>IF(職員マスタ!P325="保留中",職員マスタ!M325,"")</f>
        <v/>
      </c>
    </row>
    <row r="326">
      <c r="A326">
        <f>IF(職員マスタ!A326="","",職員マスタ!A326)</f>
        <v/>
      </c>
      <c r="B326">
        <f>IF($A326="","",職員マスタ!B326)</f>
        <v/>
      </c>
      <c r="C326">
        <f>IF($A326="","",職員マスタ!C326)</f>
        <v/>
      </c>
      <c r="D326" s="19">
        <f>IF($A326="","",IF(COUNTIFS(請求記録!$B$6:$B$3005,$A326,請求記録!$Z$6:$Z$3005,D$5,請求記録!$AF$6:$AF$3005,"保留中")&gt;0,"保留",IF(COUNTIFS(請求記録!$B$6:$B$3005,$A326,請求記録!$Z$6:$Z$3005,D$5)=0,"",SUMIFS(請求記録!$AE$6:$AE$3005,請求記録!$B$6:$B$3005,$A326,請求記録!$Z$6:$Z$3005,D$5))))</f>
        <v/>
      </c>
      <c r="E326" s="19">
        <f>IF($A326="","",IF(COUNTIFS(請求記録!$B$6:$B$3005,$A326,請求記録!$Z$6:$Z$3005,E$5,請求記録!$AF$6:$AF$3005,"保留中")&gt;0,"保留",IF(COUNTIFS(請求記録!$B$6:$B$3005,$A326,請求記録!$Z$6:$Z$3005,E$5)=0,"",SUMIFS(請求記録!$AE$6:$AE$3005,請求記録!$B$6:$B$3005,$A326,請求記録!$Z$6:$Z$3005,E$5))))</f>
        <v/>
      </c>
      <c r="F326" s="19">
        <f>IF($A326="","",IF(COUNTIFS(請求記録!$B$6:$B$3005,$A326,請求記録!$Z$6:$Z$3005,F$5,請求記録!$AF$6:$AF$3005,"保留中")&gt;0,"保留",IF(COUNTIFS(請求記録!$B$6:$B$3005,$A326,請求記録!$Z$6:$Z$3005,F$5)=0,"",SUMIFS(請求記録!$AE$6:$AE$3005,請求記録!$B$6:$B$3005,$A326,請求記録!$Z$6:$Z$3005,F$5))))</f>
        <v/>
      </c>
      <c r="G326" s="19">
        <f>IF($A326="","",IF(COUNTIFS(請求記録!$B$6:$B$3005,$A326,請求記録!$Z$6:$Z$3005,G$5,請求記録!$AF$6:$AF$3005,"保留中")&gt;0,"保留",IF(COUNTIFS(請求記録!$B$6:$B$3005,$A326,請求記録!$Z$6:$Z$3005,G$5)=0,"",SUMIFS(請求記録!$AE$6:$AE$3005,請求記録!$B$6:$B$3005,$A326,請求記録!$Z$6:$Z$3005,G$5))))</f>
        <v/>
      </c>
      <c r="H326" s="19">
        <f>IF($A326="","",IF(COUNTIFS(請求記録!$B$6:$B$3005,$A326,請求記録!$Z$6:$Z$3005,H$5,請求記録!$AF$6:$AF$3005,"保留中")&gt;0,"保留",IF(COUNTIFS(請求記録!$B$6:$B$3005,$A326,請求記録!$Z$6:$Z$3005,H$5)=0,"",SUMIFS(請求記録!$AE$6:$AE$3005,請求記録!$B$6:$B$3005,$A326,請求記録!$Z$6:$Z$3005,H$5))))</f>
        <v/>
      </c>
      <c r="I326" s="19">
        <f>IF($A326="","",IF(COUNTIFS(請求記録!$B$6:$B$3005,$A326,請求記録!$Z$6:$Z$3005,I$5,請求記録!$AF$6:$AF$3005,"保留中")&gt;0,"保留",IF(COUNTIFS(請求記録!$B$6:$B$3005,$A326,請求記録!$Z$6:$Z$3005,I$5)=0,"",SUMIFS(請求記録!$AE$6:$AE$3005,請求記録!$B$6:$B$3005,$A326,請求記録!$Z$6:$Z$3005,I$5))))</f>
        <v/>
      </c>
      <c r="J326" s="19">
        <f>IF($A326="","",IF(COUNTIFS(請求記録!$B$6:$B$3005,$A326,請求記録!$Z$6:$Z$3005,J$5,請求記録!$AF$6:$AF$3005,"保留中")&gt;0,"保留",IF(COUNTIFS(請求記録!$B$6:$B$3005,$A326,請求記録!$Z$6:$Z$3005,J$5)=0,"",SUMIFS(請求記録!$AE$6:$AE$3005,請求記録!$B$6:$B$3005,$A326,請求記録!$Z$6:$Z$3005,J$5))))</f>
        <v/>
      </c>
      <c r="K326" s="19">
        <f>IF($A326="","",IF(COUNTIFS(請求記録!$B$6:$B$3005,$A326,請求記録!$Z$6:$Z$3005,K$5,請求記録!$AF$6:$AF$3005,"保留中")&gt;0,"保留",IF(COUNTIFS(請求記録!$B$6:$B$3005,$A326,請求記録!$Z$6:$Z$3005,K$5)=0,"",SUMIFS(請求記録!$AE$6:$AE$3005,請求記録!$B$6:$B$3005,$A326,請求記録!$Z$6:$Z$3005,K$5))))</f>
        <v/>
      </c>
      <c r="L326" s="19">
        <f>IF($A326="","",IF(COUNTIFS(請求記録!$B$6:$B$3005,$A326,請求記録!$Z$6:$Z$3005,L$5,請求記録!$AF$6:$AF$3005,"保留中")&gt;0,"保留",IF(COUNTIFS(請求記録!$B$6:$B$3005,$A326,請求記録!$Z$6:$Z$3005,L$5)=0,"",SUMIFS(請求記録!$AE$6:$AE$3005,請求記録!$B$6:$B$3005,$A326,請求記録!$Z$6:$Z$3005,L$5))))</f>
        <v/>
      </c>
      <c r="M326" s="19">
        <f>IF($A326="","",IF(COUNTIFS(請求記録!$B$6:$B$3005,$A326,請求記録!$Z$6:$Z$3005,M$5,請求記録!$AF$6:$AF$3005,"保留中")&gt;0,"保留",IF(COUNTIFS(請求記録!$B$6:$B$3005,$A326,請求記録!$Z$6:$Z$3005,M$5)=0,"",SUMIFS(請求記録!$AE$6:$AE$3005,請求記録!$B$6:$B$3005,$A326,請求記録!$Z$6:$Z$3005,M$5))))</f>
        <v/>
      </c>
      <c r="N326" s="19">
        <f>IF($A326="","",IF(COUNTIFS(請求記録!$B$6:$B$3005,$A326,請求記録!$Z$6:$Z$3005,N$5,請求記録!$AF$6:$AF$3005,"保留中")&gt;0,"保留",IF(COUNTIFS(請求記録!$B$6:$B$3005,$A326,請求記録!$Z$6:$Z$3005,N$5)=0,"",SUMIFS(請求記録!$AE$6:$AE$3005,請求記録!$B$6:$B$3005,$A326,請求記録!$Z$6:$Z$3005,N$5))))</f>
        <v/>
      </c>
      <c r="O326" s="19">
        <f>IF($A326="","",IF(COUNTIFS(請求記録!$B$6:$B$3005,$A326,請求記録!$Z$6:$Z$3005,O$5,請求記録!$AF$6:$AF$3005,"保留中")&gt;0,"保留",IF(COUNTIFS(請求記録!$B$6:$B$3005,$A326,請求記録!$Z$6:$Z$3005,O$5)=0,"",SUMIFS(請求記録!$AE$6:$AE$3005,請求記録!$B$6:$B$3005,$A326,請求記録!$Z$6:$Z$3005,O$5))))</f>
        <v/>
      </c>
      <c r="P326" s="19">
        <f>IF($A326="","",IF(COUNTIFS(請求記録!$B$6:$B$3005,$A326,請求記録!$Z$6:$Z$3005,P$5,請求記録!$AF$6:$AF$3005,"保留中")&gt;0,"保留",IF(COUNTIFS(請求記録!$B$6:$B$3005,$A326,請求記録!$Z$6:$Z$3005,P$5)=0,"",SUMIFS(請求記録!$AE$6:$AE$3005,請求記録!$B$6:$B$3005,$A326,請求記録!$Z$6:$Z$3005,P$5))))</f>
        <v/>
      </c>
      <c r="Q326" s="19">
        <f>IF($A326="","",IF(COUNTIFS(請求記録!$B$6:$B$3005,$A326,請求記録!$Z$6:$Z$3005,Q$5,請求記録!$AF$6:$AF$3005,"保留中")&gt;0,"保留",IF(COUNTIFS(請求記録!$B$6:$B$3005,$A326,請求記録!$Z$6:$Z$3005,Q$5)=0,"",SUMIFS(請求記録!$AE$6:$AE$3005,請求記録!$B$6:$B$3005,$A326,請求記録!$Z$6:$Z$3005,Q$5))))</f>
        <v/>
      </c>
      <c r="R326" s="19">
        <f>IF($A326="","",IF(COUNTIFS(請求記録!$B$6:$B$3005,$A326,請求記録!$Z$6:$Z$3005,R$5,請求記録!$AF$6:$AF$3005,"保留中")&gt;0,"保留",IF(COUNTIFS(請求記録!$B$6:$B$3005,$A326,請求記録!$Z$6:$Z$3005,R$5)=0,"",SUMIFS(請求記録!$AE$6:$AE$3005,請求記録!$B$6:$B$3005,$A326,請求記録!$Z$6:$Z$3005,R$5))))</f>
        <v/>
      </c>
      <c r="S326" s="19">
        <f>IF($A326="","",IF(COUNTIFS(請求記録!$B$6:$B$3005,$A326,請求記録!$Z$6:$Z$3005,S$5,請求記録!$AF$6:$AF$3005,"保留中")&gt;0,"保留",IF(COUNTIFS(請求記録!$B$6:$B$3005,$A326,請求記録!$Z$6:$Z$3005,S$5)=0,"",SUMIFS(請求記録!$AE$6:$AE$3005,請求記録!$B$6:$B$3005,$A326,請求記録!$Z$6:$Z$3005,S$5))))</f>
        <v/>
      </c>
      <c r="T326" s="19">
        <f>IF($A326="","",IF(COUNTIFS(請求記録!$B$6:$B$3005,$A326,請求記録!$Z$6:$Z$3005,T$5,請求記録!$AF$6:$AF$3005,"保留中")&gt;0,"保留",IF(COUNTIFS(請求記録!$B$6:$B$3005,$A326,請求記録!$Z$6:$Z$3005,T$5)=0,"",SUMIFS(請求記録!$AE$6:$AE$3005,請求記録!$B$6:$B$3005,$A326,請求記録!$Z$6:$Z$3005,T$5))))</f>
        <v/>
      </c>
      <c r="U326" s="19">
        <f>IF($A326="","",IF(COUNTIFS(請求記録!$B$6:$B$3005,$A326,請求記録!$Z$6:$Z$3005,U$5,請求記録!$AF$6:$AF$3005,"保留中")&gt;0,"保留",IF(COUNTIFS(請求記録!$B$6:$B$3005,$A326,請求記録!$Z$6:$Z$3005,U$5)=0,"",SUMIFS(請求記録!$AE$6:$AE$3005,請求記録!$B$6:$B$3005,$A326,請求記録!$Z$6:$Z$3005,U$5))))</f>
        <v/>
      </c>
      <c r="V326" s="19">
        <f>IF($A326="","",IF(COUNTIFS(請求記録!$B$6:$B$3005,$A326,請求記録!$Z$6:$Z$3005,V$5,請求記録!$AF$6:$AF$3005,"保留中")&gt;0,"保留",IF(COUNTIFS(請求記録!$B$6:$B$3005,$A326,請求記録!$Z$6:$Z$3005,V$5)=0,"",SUMIFS(請求記録!$AE$6:$AE$3005,請求記録!$B$6:$B$3005,$A326,請求記録!$Z$6:$Z$3005,V$5))))</f>
        <v/>
      </c>
      <c r="W326" s="19">
        <f>IF($A326="","",IF(COUNTIFS(請求記録!$B$6:$B$3005,$A326,請求記録!$Z$6:$Z$3005,W$5,請求記録!$AF$6:$AF$3005,"保留中")&gt;0,"保留",IF(COUNTIFS(請求記録!$B$6:$B$3005,$A326,請求記録!$Z$6:$Z$3005,W$5)=0,"",SUMIFS(請求記録!$AE$6:$AE$3005,請求記録!$B$6:$B$3005,$A326,請求記録!$Z$6:$Z$3005,W$5))))</f>
        <v/>
      </c>
      <c r="X326" s="19">
        <f>IF($A326="","",IF(COUNTIFS(請求記録!$B$6:$B$3005,$A326,請求記録!$Z$6:$Z$3005,X$5,請求記録!$AF$6:$AF$3005,"保留中")&gt;0,"保留",IF(COUNTIFS(請求記録!$B$6:$B$3005,$A326,請求記録!$Z$6:$Z$3005,X$5)=0,"",SUMIFS(請求記録!$AE$6:$AE$3005,請求記録!$B$6:$B$3005,$A326,請求記録!$Z$6:$Z$3005,X$5))))</f>
        <v/>
      </c>
      <c r="Y326" s="19">
        <f>IF($A326="","",IF(COUNTIFS(請求記録!$B$6:$B$3005,$A326,請求記録!$Z$6:$Z$3005,Y$5,請求記録!$AF$6:$AF$3005,"保留中")&gt;0,"保留",IF(COUNTIFS(請求記録!$B$6:$B$3005,$A326,請求記録!$Z$6:$Z$3005,Y$5)=0,"",SUMIFS(請求記録!$AE$6:$AE$3005,請求記録!$B$6:$B$3005,$A326,請求記録!$Z$6:$Z$3005,Y$5))))</f>
        <v/>
      </c>
      <c r="Z326" s="19">
        <f>IF($A326="","",IF(COUNTIFS(請求記録!$B$6:$B$3005,$A326,請求記録!$Z$6:$Z$3005,Z$5,請求記録!$AF$6:$AF$3005,"保留中")&gt;0,"保留",IF(COUNTIFS(請求記録!$B$6:$B$3005,$A326,請求記録!$Z$6:$Z$3005,Z$5)=0,"",SUMIFS(請求記録!$AE$6:$AE$3005,請求記録!$B$6:$B$3005,$A326,請求記録!$Z$6:$Z$3005,Z$5))))</f>
        <v/>
      </c>
      <c r="AA326" s="19">
        <f>IF($A326="","",IF(COUNTIFS(請求記録!$B$6:$B$3005,$A326,請求記録!$Z$6:$Z$3005,AA$5,請求記録!$AF$6:$AF$3005,"保留中")&gt;0,"保留",IF(COUNTIFS(請求記録!$B$6:$B$3005,$A326,請求記録!$Z$6:$Z$3005,AA$5)=0,"",SUMIFS(請求記録!$AE$6:$AE$3005,請求記録!$B$6:$B$3005,$A326,請求記録!$Z$6:$Z$3005,AA$5))))</f>
        <v/>
      </c>
      <c r="AB326">
        <f>IF(職員マスタ!P326="保留中",職員マスタ!M326,"")</f>
        <v/>
      </c>
    </row>
    <row r="327">
      <c r="A327">
        <f>IF(職員マスタ!A327="","",職員マスタ!A327)</f>
        <v/>
      </c>
      <c r="B327">
        <f>IF($A327="","",職員マスタ!B327)</f>
        <v/>
      </c>
      <c r="C327">
        <f>IF($A327="","",職員マスタ!C327)</f>
        <v/>
      </c>
      <c r="D327" s="19">
        <f>IF($A327="","",IF(COUNTIFS(請求記録!$B$6:$B$3005,$A327,請求記録!$Z$6:$Z$3005,D$5,請求記録!$AF$6:$AF$3005,"保留中")&gt;0,"保留",IF(COUNTIFS(請求記録!$B$6:$B$3005,$A327,請求記録!$Z$6:$Z$3005,D$5)=0,"",SUMIFS(請求記録!$AE$6:$AE$3005,請求記録!$B$6:$B$3005,$A327,請求記録!$Z$6:$Z$3005,D$5))))</f>
        <v/>
      </c>
      <c r="E327" s="19">
        <f>IF($A327="","",IF(COUNTIFS(請求記録!$B$6:$B$3005,$A327,請求記録!$Z$6:$Z$3005,E$5,請求記録!$AF$6:$AF$3005,"保留中")&gt;0,"保留",IF(COUNTIFS(請求記録!$B$6:$B$3005,$A327,請求記録!$Z$6:$Z$3005,E$5)=0,"",SUMIFS(請求記録!$AE$6:$AE$3005,請求記録!$B$6:$B$3005,$A327,請求記録!$Z$6:$Z$3005,E$5))))</f>
        <v/>
      </c>
      <c r="F327" s="19">
        <f>IF($A327="","",IF(COUNTIFS(請求記録!$B$6:$B$3005,$A327,請求記録!$Z$6:$Z$3005,F$5,請求記録!$AF$6:$AF$3005,"保留中")&gt;0,"保留",IF(COUNTIFS(請求記録!$B$6:$B$3005,$A327,請求記録!$Z$6:$Z$3005,F$5)=0,"",SUMIFS(請求記録!$AE$6:$AE$3005,請求記録!$B$6:$B$3005,$A327,請求記録!$Z$6:$Z$3005,F$5))))</f>
        <v/>
      </c>
      <c r="G327" s="19">
        <f>IF($A327="","",IF(COUNTIFS(請求記録!$B$6:$B$3005,$A327,請求記録!$Z$6:$Z$3005,G$5,請求記録!$AF$6:$AF$3005,"保留中")&gt;0,"保留",IF(COUNTIFS(請求記録!$B$6:$B$3005,$A327,請求記録!$Z$6:$Z$3005,G$5)=0,"",SUMIFS(請求記録!$AE$6:$AE$3005,請求記録!$B$6:$B$3005,$A327,請求記録!$Z$6:$Z$3005,G$5))))</f>
        <v/>
      </c>
      <c r="H327" s="19">
        <f>IF($A327="","",IF(COUNTIFS(請求記録!$B$6:$B$3005,$A327,請求記録!$Z$6:$Z$3005,H$5,請求記録!$AF$6:$AF$3005,"保留中")&gt;0,"保留",IF(COUNTIFS(請求記録!$B$6:$B$3005,$A327,請求記録!$Z$6:$Z$3005,H$5)=0,"",SUMIFS(請求記録!$AE$6:$AE$3005,請求記録!$B$6:$B$3005,$A327,請求記録!$Z$6:$Z$3005,H$5))))</f>
        <v/>
      </c>
      <c r="I327" s="19">
        <f>IF($A327="","",IF(COUNTIFS(請求記録!$B$6:$B$3005,$A327,請求記録!$Z$6:$Z$3005,I$5,請求記録!$AF$6:$AF$3005,"保留中")&gt;0,"保留",IF(COUNTIFS(請求記録!$B$6:$B$3005,$A327,請求記録!$Z$6:$Z$3005,I$5)=0,"",SUMIFS(請求記録!$AE$6:$AE$3005,請求記録!$B$6:$B$3005,$A327,請求記録!$Z$6:$Z$3005,I$5))))</f>
        <v/>
      </c>
      <c r="J327" s="19">
        <f>IF($A327="","",IF(COUNTIFS(請求記録!$B$6:$B$3005,$A327,請求記録!$Z$6:$Z$3005,J$5,請求記録!$AF$6:$AF$3005,"保留中")&gt;0,"保留",IF(COUNTIFS(請求記録!$B$6:$B$3005,$A327,請求記録!$Z$6:$Z$3005,J$5)=0,"",SUMIFS(請求記録!$AE$6:$AE$3005,請求記録!$B$6:$B$3005,$A327,請求記録!$Z$6:$Z$3005,J$5))))</f>
        <v/>
      </c>
      <c r="K327" s="19">
        <f>IF($A327="","",IF(COUNTIFS(請求記録!$B$6:$B$3005,$A327,請求記録!$Z$6:$Z$3005,K$5,請求記録!$AF$6:$AF$3005,"保留中")&gt;0,"保留",IF(COUNTIFS(請求記録!$B$6:$B$3005,$A327,請求記録!$Z$6:$Z$3005,K$5)=0,"",SUMIFS(請求記録!$AE$6:$AE$3005,請求記録!$B$6:$B$3005,$A327,請求記録!$Z$6:$Z$3005,K$5))))</f>
        <v/>
      </c>
      <c r="L327" s="19">
        <f>IF($A327="","",IF(COUNTIFS(請求記録!$B$6:$B$3005,$A327,請求記録!$Z$6:$Z$3005,L$5,請求記録!$AF$6:$AF$3005,"保留中")&gt;0,"保留",IF(COUNTIFS(請求記録!$B$6:$B$3005,$A327,請求記録!$Z$6:$Z$3005,L$5)=0,"",SUMIFS(請求記録!$AE$6:$AE$3005,請求記録!$B$6:$B$3005,$A327,請求記録!$Z$6:$Z$3005,L$5))))</f>
        <v/>
      </c>
      <c r="M327" s="19">
        <f>IF($A327="","",IF(COUNTIFS(請求記録!$B$6:$B$3005,$A327,請求記録!$Z$6:$Z$3005,M$5,請求記録!$AF$6:$AF$3005,"保留中")&gt;0,"保留",IF(COUNTIFS(請求記録!$B$6:$B$3005,$A327,請求記録!$Z$6:$Z$3005,M$5)=0,"",SUMIFS(請求記録!$AE$6:$AE$3005,請求記録!$B$6:$B$3005,$A327,請求記録!$Z$6:$Z$3005,M$5))))</f>
        <v/>
      </c>
      <c r="N327" s="19">
        <f>IF($A327="","",IF(COUNTIFS(請求記録!$B$6:$B$3005,$A327,請求記録!$Z$6:$Z$3005,N$5,請求記録!$AF$6:$AF$3005,"保留中")&gt;0,"保留",IF(COUNTIFS(請求記録!$B$6:$B$3005,$A327,請求記録!$Z$6:$Z$3005,N$5)=0,"",SUMIFS(請求記録!$AE$6:$AE$3005,請求記録!$B$6:$B$3005,$A327,請求記録!$Z$6:$Z$3005,N$5))))</f>
        <v/>
      </c>
      <c r="O327" s="19">
        <f>IF($A327="","",IF(COUNTIFS(請求記録!$B$6:$B$3005,$A327,請求記録!$Z$6:$Z$3005,O$5,請求記録!$AF$6:$AF$3005,"保留中")&gt;0,"保留",IF(COUNTIFS(請求記録!$B$6:$B$3005,$A327,請求記録!$Z$6:$Z$3005,O$5)=0,"",SUMIFS(請求記録!$AE$6:$AE$3005,請求記録!$B$6:$B$3005,$A327,請求記録!$Z$6:$Z$3005,O$5))))</f>
        <v/>
      </c>
      <c r="P327" s="19">
        <f>IF($A327="","",IF(COUNTIFS(請求記録!$B$6:$B$3005,$A327,請求記録!$Z$6:$Z$3005,P$5,請求記録!$AF$6:$AF$3005,"保留中")&gt;0,"保留",IF(COUNTIFS(請求記録!$B$6:$B$3005,$A327,請求記録!$Z$6:$Z$3005,P$5)=0,"",SUMIFS(請求記録!$AE$6:$AE$3005,請求記録!$B$6:$B$3005,$A327,請求記録!$Z$6:$Z$3005,P$5))))</f>
        <v/>
      </c>
      <c r="Q327" s="19">
        <f>IF($A327="","",IF(COUNTIFS(請求記録!$B$6:$B$3005,$A327,請求記録!$Z$6:$Z$3005,Q$5,請求記録!$AF$6:$AF$3005,"保留中")&gt;0,"保留",IF(COUNTIFS(請求記録!$B$6:$B$3005,$A327,請求記録!$Z$6:$Z$3005,Q$5)=0,"",SUMIFS(請求記録!$AE$6:$AE$3005,請求記録!$B$6:$B$3005,$A327,請求記録!$Z$6:$Z$3005,Q$5))))</f>
        <v/>
      </c>
      <c r="R327" s="19">
        <f>IF($A327="","",IF(COUNTIFS(請求記録!$B$6:$B$3005,$A327,請求記録!$Z$6:$Z$3005,R$5,請求記録!$AF$6:$AF$3005,"保留中")&gt;0,"保留",IF(COUNTIFS(請求記録!$B$6:$B$3005,$A327,請求記録!$Z$6:$Z$3005,R$5)=0,"",SUMIFS(請求記録!$AE$6:$AE$3005,請求記録!$B$6:$B$3005,$A327,請求記録!$Z$6:$Z$3005,R$5))))</f>
        <v/>
      </c>
      <c r="S327" s="19">
        <f>IF($A327="","",IF(COUNTIFS(請求記録!$B$6:$B$3005,$A327,請求記録!$Z$6:$Z$3005,S$5,請求記録!$AF$6:$AF$3005,"保留中")&gt;0,"保留",IF(COUNTIFS(請求記録!$B$6:$B$3005,$A327,請求記録!$Z$6:$Z$3005,S$5)=0,"",SUMIFS(請求記録!$AE$6:$AE$3005,請求記録!$B$6:$B$3005,$A327,請求記録!$Z$6:$Z$3005,S$5))))</f>
        <v/>
      </c>
      <c r="T327" s="19">
        <f>IF($A327="","",IF(COUNTIFS(請求記録!$B$6:$B$3005,$A327,請求記録!$Z$6:$Z$3005,T$5,請求記録!$AF$6:$AF$3005,"保留中")&gt;0,"保留",IF(COUNTIFS(請求記録!$B$6:$B$3005,$A327,請求記録!$Z$6:$Z$3005,T$5)=0,"",SUMIFS(請求記録!$AE$6:$AE$3005,請求記録!$B$6:$B$3005,$A327,請求記録!$Z$6:$Z$3005,T$5))))</f>
        <v/>
      </c>
      <c r="U327" s="19">
        <f>IF($A327="","",IF(COUNTIFS(請求記録!$B$6:$B$3005,$A327,請求記録!$Z$6:$Z$3005,U$5,請求記録!$AF$6:$AF$3005,"保留中")&gt;0,"保留",IF(COUNTIFS(請求記録!$B$6:$B$3005,$A327,請求記録!$Z$6:$Z$3005,U$5)=0,"",SUMIFS(請求記録!$AE$6:$AE$3005,請求記録!$B$6:$B$3005,$A327,請求記録!$Z$6:$Z$3005,U$5))))</f>
        <v/>
      </c>
      <c r="V327" s="19">
        <f>IF($A327="","",IF(COUNTIFS(請求記録!$B$6:$B$3005,$A327,請求記録!$Z$6:$Z$3005,V$5,請求記録!$AF$6:$AF$3005,"保留中")&gt;0,"保留",IF(COUNTIFS(請求記録!$B$6:$B$3005,$A327,請求記録!$Z$6:$Z$3005,V$5)=0,"",SUMIFS(請求記録!$AE$6:$AE$3005,請求記録!$B$6:$B$3005,$A327,請求記録!$Z$6:$Z$3005,V$5))))</f>
        <v/>
      </c>
      <c r="W327" s="19">
        <f>IF($A327="","",IF(COUNTIFS(請求記録!$B$6:$B$3005,$A327,請求記録!$Z$6:$Z$3005,W$5,請求記録!$AF$6:$AF$3005,"保留中")&gt;0,"保留",IF(COUNTIFS(請求記録!$B$6:$B$3005,$A327,請求記録!$Z$6:$Z$3005,W$5)=0,"",SUMIFS(請求記録!$AE$6:$AE$3005,請求記録!$B$6:$B$3005,$A327,請求記録!$Z$6:$Z$3005,W$5))))</f>
        <v/>
      </c>
      <c r="X327" s="19">
        <f>IF($A327="","",IF(COUNTIFS(請求記録!$B$6:$B$3005,$A327,請求記録!$Z$6:$Z$3005,X$5,請求記録!$AF$6:$AF$3005,"保留中")&gt;0,"保留",IF(COUNTIFS(請求記録!$B$6:$B$3005,$A327,請求記録!$Z$6:$Z$3005,X$5)=0,"",SUMIFS(請求記録!$AE$6:$AE$3005,請求記録!$B$6:$B$3005,$A327,請求記録!$Z$6:$Z$3005,X$5))))</f>
        <v/>
      </c>
      <c r="Y327" s="19">
        <f>IF($A327="","",IF(COUNTIFS(請求記録!$B$6:$B$3005,$A327,請求記録!$Z$6:$Z$3005,Y$5,請求記録!$AF$6:$AF$3005,"保留中")&gt;0,"保留",IF(COUNTIFS(請求記録!$B$6:$B$3005,$A327,請求記録!$Z$6:$Z$3005,Y$5)=0,"",SUMIFS(請求記録!$AE$6:$AE$3005,請求記録!$B$6:$B$3005,$A327,請求記録!$Z$6:$Z$3005,Y$5))))</f>
        <v/>
      </c>
      <c r="Z327" s="19">
        <f>IF($A327="","",IF(COUNTIFS(請求記録!$B$6:$B$3005,$A327,請求記録!$Z$6:$Z$3005,Z$5,請求記録!$AF$6:$AF$3005,"保留中")&gt;0,"保留",IF(COUNTIFS(請求記録!$B$6:$B$3005,$A327,請求記録!$Z$6:$Z$3005,Z$5)=0,"",SUMIFS(請求記録!$AE$6:$AE$3005,請求記録!$B$6:$B$3005,$A327,請求記録!$Z$6:$Z$3005,Z$5))))</f>
        <v/>
      </c>
      <c r="AA327" s="19">
        <f>IF($A327="","",IF(COUNTIFS(請求記録!$B$6:$B$3005,$A327,請求記録!$Z$6:$Z$3005,AA$5,請求記録!$AF$6:$AF$3005,"保留中")&gt;0,"保留",IF(COUNTIFS(請求記録!$B$6:$B$3005,$A327,請求記録!$Z$6:$Z$3005,AA$5)=0,"",SUMIFS(請求記録!$AE$6:$AE$3005,請求記録!$B$6:$B$3005,$A327,請求記録!$Z$6:$Z$3005,AA$5))))</f>
        <v/>
      </c>
      <c r="AB327">
        <f>IF(職員マスタ!P327="保留中",職員マスタ!M327,"")</f>
        <v/>
      </c>
    </row>
    <row r="328">
      <c r="A328">
        <f>IF(職員マスタ!A328="","",職員マスタ!A328)</f>
        <v/>
      </c>
      <c r="B328">
        <f>IF($A328="","",職員マスタ!B328)</f>
        <v/>
      </c>
      <c r="C328">
        <f>IF($A328="","",職員マスタ!C328)</f>
        <v/>
      </c>
      <c r="D328" s="19">
        <f>IF($A328="","",IF(COUNTIFS(請求記録!$B$6:$B$3005,$A328,請求記録!$Z$6:$Z$3005,D$5,請求記録!$AF$6:$AF$3005,"保留中")&gt;0,"保留",IF(COUNTIFS(請求記録!$B$6:$B$3005,$A328,請求記録!$Z$6:$Z$3005,D$5)=0,"",SUMIFS(請求記録!$AE$6:$AE$3005,請求記録!$B$6:$B$3005,$A328,請求記録!$Z$6:$Z$3005,D$5))))</f>
        <v/>
      </c>
      <c r="E328" s="19">
        <f>IF($A328="","",IF(COUNTIFS(請求記録!$B$6:$B$3005,$A328,請求記録!$Z$6:$Z$3005,E$5,請求記録!$AF$6:$AF$3005,"保留中")&gt;0,"保留",IF(COUNTIFS(請求記録!$B$6:$B$3005,$A328,請求記録!$Z$6:$Z$3005,E$5)=0,"",SUMIFS(請求記録!$AE$6:$AE$3005,請求記録!$B$6:$B$3005,$A328,請求記録!$Z$6:$Z$3005,E$5))))</f>
        <v/>
      </c>
      <c r="F328" s="19">
        <f>IF($A328="","",IF(COUNTIFS(請求記録!$B$6:$B$3005,$A328,請求記録!$Z$6:$Z$3005,F$5,請求記録!$AF$6:$AF$3005,"保留中")&gt;0,"保留",IF(COUNTIFS(請求記録!$B$6:$B$3005,$A328,請求記録!$Z$6:$Z$3005,F$5)=0,"",SUMIFS(請求記録!$AE$6:$AE$3005,請求記録!$B$6:$B$3005,$A328,請求記録!$Z$6:$Z$3005,F$5))))</f>
        <v/>
      </c>
      <c r="G328" s="19">
        <f>IF($A328="","",IF(COUNTIFS(請求記録!$B$6:$B$3005,$A328,請求記録!$Z$6:$Z$3005,G$5,請求記録!$AF$6:$AF$3005,"保留中")&gt;0,"保留",IF(COUNTIFS(請求記録!$B$6:$B$3005,$A328,請求記録!$Z$6:$Z$3005,G$5)=0,"",SUMIFS(請求記録!$AE$6:$AE$3005,請求記録!$B$6:$B$3005,$A328,請求記録!$Z$6:$Z$3005,G$5))))</f>
        <v/>
      </c>
      <c r="H328" s="19">
        <f>IF($A328="","",IF(COUNTIFS(請求記録!$B$6:$B$3005,$A328,請求記録!$Z$6:$Z$3005,H$5,請求記録!$AF$6:$AF$3005,"保留中")&gt;0,"保留",IF(COUNTIFS(請求記録!$B$6:$B$3005,$A328,請求記録!$Z$6:$Z$3005,H$5)=0,"",SUMIFS(請求記録!$AE$6:$AE$3005,請求記録!$B$6:$B$3005,$A328,請求記録!$Z$6:$Z$3005,H$5))))</f>
        <v/>
      </c>
      <c r="I328" s="19">
        <f>IF($A328="","",IF(COUNTIFS(請求記録!$B$6:$B$3005,$A328,請求記録!$Z$6:$Z$3005,I$5,請求記録!$AF$6:$AF$3005,"保留中")&gt;0,"保留",IF(COUNTIFS(請求記録!$B$6:$B$3005,$A328,請求記録!$Z$6:$Z$3005,I$5)=0,"",SUMIFS(請求記録!$AE$6:$AE$3005,請求記録!$B$6:$B$3005,$A328,請求記録!$Z$6:$Z$3005,I$5))))</f>
        <v/>
      </c>
      <c r="J328" s="19">
        <f>IF($A328="","",IF(COUNTIFS(請求記録!$B$6:$B$3005,$A328,請求記録!$Z$6:$Z$3005,J$5,請求記録!$AF$6:$AF$3005,"保留中")&gt;0,"保留",IF(COUNTIFS(請求記録!$B$6:$B$3005,$A328,請求記録!$Z$6:$Z$3005,J$5)=0,"",SUMIFS(請求記録!$AE$6:$AE$3005,請求記録!$B$6:$B$3005,$A328,請求記録!$Z$6:$Z$3005,J$5))))</f>
        <v/>
      </c>
      <c r="K328" s="19">
        <f>IF($A328="","",IF(COUNTIFS(請求記録!$B$6:$B$3005,$A328,請求記録!$Z$6:$Z$3005,K$5,請求記録!$AF$6:$AF$3005,"保留中")&gt;0,"保留",IF(COUNTIFS(請求記録!$B$6:$B$3005,$A328,請求記録!$Z$6:$Z$3005,K$5)=0,"",SUMIFS(請求記録!$AE$6:$AE$3005,請求記録!$B$6:$B$3005,$A328,請求記録!$Z$6:$Z$3005,K$5))))</f>
        <v/>
      </c>
      <c r="L328" s="19">
        <f>IF($A328="","",IF(COUNTIFS(請求記録!$B$6:$B$3005,$A328,請求記録!$Z$6:$Z$3005,L$5,請求記録!$AF$6:$AF$3005,"保留中")&gt;0,"保留",IF(COUNTIFS(請求記録!$B$6:$B$3005,$A328,請求記録!$Z$6:$Z$3005,L$5)=0,"",SUMIFS(請求記録!$AE$6:$AE$3005,請求記録!$B$6:$B$3005,$A328,請求記録!$Z$6:$Z$3005,L$5))))</f>
        <v/>
      </c>
      <c r="M328" s="19">
        <f>IF($A328="","",IF(COUNTIFS(請求記録!$B$6:$B$3005,$A328,請求記録!$Z$6:$Z$3005,M$5,請求記録!$AF$6:$AF$3005,"保留中")&gt;0,"保留",IF(COUNTIFS(請求記録!$B$6:$B$3005,$A328,請求記録!$Z$6:$Z$3005,M$5)=0,"",SUMIFS(請求記録!$AE$6:$AE$3005,請求記録!$B$6:$B$3005,$A328,請求記録!$Z$6:$Z$3005,M$5))))</f>
        <v/>
      </c>
      <c r="N328" s="19">
        <f>IF($A328="","",IF(COUNTIFS(請求記録!$B$6:$B$3005,$A328,請求記録!$Z$6:$Z$3005,N$5,請求記録!$AF$6:$AF$3005,"保留中")&gt;0,"保留",IF(COUNTIFS(請求記録!$B$6:$B$3005,$A328,請求記録!$Z$6:$Z$3005,N$5)=0,"",SUMIFS(請求記録!$AE$6:$AE$3005,請求記録!$B$6:$B$3005,$A328,請求記録!$Z$6:$Z$3005,N$5))))</f>
        <v/>
      </c>
      <c r="O328" s="19">
        <f>IF($A328="","",IF(COUNTIFS(請求記録!$B$6:$B$3005,$A328,請求記録!$Z$6:$Z$3005,O$5,請求記録!$AF$6:$AF$3005,"保留中")&gt;0,"保留",IF(COUNTIFS(請求記録!$B$6:$B$3005,$A328,請求記録!$Z$6:$Z$3005,O$5)=0,"",SUMIFS(請求記録!$AE$6:$AE$3005,請求記録!$B$6:$B$3005,$A328,請求記録!$Z$6:$Z$3005,O$5))))</f>
        <v/>
      </c>
      <c r="P328" s="19">
        <f>IF($A328="","",IF(COUNTIFS(請求記録!$B$6:$B$3005,$A328,請求記録!$Z$6:$Z$3005,P$5,請求記録!$AF$6:$AF$3005,"保留中")&gt;0,"保留",IF(COUNTIFS(請求記録!$B$6:$B$3005,$A328,請求記録!$Z$6:$Z$3005,P$5)=0,"",SUMIFS(請求記録!$AE$6:$AE$3005,請求記録!$B$6:$B$3005,$A328,請求記録!$Z$6:$Z$3005,P$5))))</f>
        <v/>
      </c>
      <c r="Q328" s="19">
        <f>IF($A328="","",IF(COUNTIFS(請求記録!$B$6:$B$3005,$A328,請求記録!$Z$6:$Z$3005,Q$5,請求記録!$AF$6:$AF$3005,"保留中")&gt;0,"保留",IF(COUNTIFS(請求記録!$B$6:$B$3005,$A328,請求記録!$Z$6:$Z$3005,Q$5)=0,"",SUMIFS(請求記録!$AE$6:$AE$3005,請求記録!$B$6:$B$3005,$A328,請求記録!$Z$6:$Z$3005,Q$5))))</f>
        <v/>
      </c>
      <c r="R328" s="19">
        <f>IF($A328="","",IF(COUNTIFS(請求記録!$B$6:$B$3005,$A328,請求記録!$Z$6:$Z$3005,R$5,請求記録!$AF$6:$AF$3005,"保留中")&gt;0,"保留",IF(COUNTIFS(請求記録!$B$6:$B$3005,$A328,請求記録!$Z$6:$Z$3005,R$5)=0,"",SUMIFS(請求記録!$AE$6:$AE$3005,請求記録!$B$6:$B$3005,$A328,請求記録!$Z$6:$Z$3005,R$5))))</f>
        <v/>
      </c>
      <c r="S328" s="19">
        <f>IF($A328="","",IF(COUNTIFS(請求記録!$B$6:$B$3005,$A328,請求記録!$Z$6:$Z$3005,S$5,請求記録!$AF$6:$AF$3005,"保留中")&gt;0,"保留",IF(COUNTIFS(請求記録!$B$6:$B$3005,$A328,請求記録!$Z$6:$Z$3005,S$5)=0,"",SUMIFS(請求記録!$AE$6:$AE$3005,請求記録!$B$6:$B$3005,$A328,請求記録!$Z$6:$Z$3005,S$5))))</f>
        <v/>
      </c>
      <c r="T328" s="19">
        <f>IF($A328="","",IF(COUNTIFS(請求記録!$B$6:$B$3005,$A328,請求記録!$Z$6:$Z$3005,T$5,請求記録!$AF$6:$AF$3005,"保留中")&gt;0,"保留",IF(COUNTIFS(請求記録!$B$6:$B$3005,$A328,請求記録!$Z$6:$Z$3005,T$5)=0,"",SUMIFS(請求記録!$AE$6:$AE$3005,請求記録!$B$6:$B$3005,$A328,請求記録!$Z$6:$Z$3005,T$5))))</f>
        <v/>
      </c>
      <c r="U328" s="19">
        <f>IF($A328="","",IF(COUNTIFS(請求記録!$B$6:$B$3005,$A328,請求記録!$Z$6:$Z$3005,U$5,請求記録!$AF$6:$AF$3005,"保留中")&gt;0,"保留",IF(COUNTIFS(請求記録!$B$6:$B$3005,$A328,請求記録!$Z$6:$Z$3005,U$5)=0,"",SUMIFS(請求記録!$AE$6:$AE$3005,請求記録!$B$6:$B$3005,$A328,請求記録!$Z$6:$Z$3005,U$5))))</f>
        <v/>
      </c>
      <c r="V328" s="19">
        <f>IF($A328="","",IF(COUNTIFS(請求記録!$B$6:$B$3005,$A328,請求記録!$Z$6:$Z$3005,V$5,請求記録!$AF$6:$AF$3005,"保留中")&gt;0,"保留",IF(COUNTIFS(請求記録!$B$6:$B$3005,$A328,請求記録!$Z$6:$Z$3005,V$5)=0,"",SUMIFS(請求記録!$AE$6:$AE$3005,請求記録!$B$6:$B$3005,$A328,請求記録!$Z$6:$Z$3005,V$5))))</f>
        <v/>
      </c>
      <c r="W328" s="19">
        <f>IF($A328="","",IF(COUNTIFS(請求記録!$B$6:$B$3005,$A328,請求記録!$Z$6:$Z$3005,W$5,請求記録!$AF$6:$AF$3005,"保留中")&gt;0,"保留",IF(COUNTIFS(請求記録!$B$6:$B$3005,$A328,請求記録!$Z$6:$Z$3005,W$5)=0,"",SUMIFS(請求記録!$AE$6:$AE$3005,請求記録!$B$6:$B$3005,$A328,請求記録!$Z$6:$Z$3005,W$5))))</f>
        <v/>
      </c>
      <c r="X328" s="19">
        <f>IF($A328="","",IF(COUNTIFS(請求記録!$B$6:$B$3005,$A328,請求記録!$Z$6:$Z$3005,X$5,請求記録!$AF$6:$AF$3005,"保留中")&gt;0,"保留",IF(COUNTIFS(請求記録!$B$6:$B$3005,$A328,請求記録!$Z$6:$Z$3005,X$5)=0,"",SUMIFS(請求記録!$AE$6:$AE$3005,請求記録!$B$6:$B$3005,$A328,請求記録!$Z$6:$Z$3005,X$5))))</f>
        <v/>
      </c>
      <c r="Y328" s="19">
        <f>IF($A328="","",IF(COUNTIFS(請求記録!$B$6:$B$3005,$A328,請求記録!$Z$6:$Z$3005,Y$5,請求記録!$AF$6:$AF$3005,"保留中")&gt;0,"保留",IF(COUNTIFS(請求記録!$B$6:$B$3005,$A328,請求記録!$Z$6:$Z$3005,Y$5)=0,"",SUMIFS(請求記録!$AE$6:$AE$3005,請求記録!$B$6:$B$3005,$A328,請求記録!$Z$6:$Z$3005,Y$5))))</f>
        <v/>
      </c>
      <c r="Z328" s="19">
        <f>IF($A328="","",IF(COUNTIFS(請求記録!$B$6:$B$3005,$A328,請求記録!$Z$6:$Z$3005,Z$5,請求記録!$AF$6:$AF$3005,"保留中")&gt;0,"保留",IF(COUNTIFS(請求記録!$B$6:$B$3005,$A328,請求記録!$Z$6:$Z$3005,Z$5)=0,"",SUMIFS(請求記録!$AE$6:$AE$3005,請求記録!$B$6:$B$3005,$A328,請求記録!$Z$6:$Z$3005,Z$5))))</f>
        <v/>
      </c>
      <c r="AA328" s="19">
        <f>IF($A328="","",IF(COUNTIFS(請求記録!$B$6:$B$3005,$A328,請求記録!$Z$6:$Z$3005,AA$5,請求記録!$AF$6:$AF$3005,"保留中")&gt;0,"保留",IF(COUNTIFS(請求記録!$B$6:$B$3005,$A328,請求記録!$Z$6:$Z$3005,AA$5)=0,"",SUMIFS(請求記録!$AE$6:$AE$3005,請求記録!$B$6:$B$3005,$A328,請求記録!$Z$6:$Z$3005,AA$5))))</f>
        <v/>
      </c>
      <c r="AB328">
        <f>IF(職員マスタ!P328="保留中",職員マスタ!M328,"")</f>
        <v/>
      </c>
    </row>
    <row r="329">
      <c r="A329">
        <f>IF(職員マスタ!A329="","",職員マスタ!A329)</f>
        <v/>
      </c>
      <c r="B329">
        <f>IF($A329="","",職員マスタ!B329)</f>
        <v/>
      </c>
      <c r="C329">
        <f>IF($A329="","",職員マスタ!C329)</f>
        <v/>
      </c>
      <c r="D329" s="19">
        <f>IF($A329="","",IF(COUNTIFS(請求記録!$B$6:$B$3005,$A329,請求記録!$Z$6:$Z$3005,D$5,請求記録!$AF$6:$AF$3005,"保留中")&gt;0,"保留",IF(COUNTIFS(請求記録!$B$6:$B$3005,$A329,請求記録!$Z$6:$Z$3005,D$5)=0,"",SUMIFS(請求記録!$AE$6:$AE$3005,請求記録!$B$6:$B$3005,$A329,請求記録!$Z$6:$Z$3005,D$5))))</f>
        <v/>
      </c>
      <c r="E329" s="19">
        <f>IF($A329="","",IF(COUNTIFS(請求記録!$B$6:$B$3005,$A329,請求記録!$Z$6:$Z$3005,E$5,請求記録!$AF$6:$AF$3005,"保留中")&gt;0,"保留",IF(COUNTIFS(請求記録!$B$6:$B$3005,$A329,請求記録!$Z$6:$Z$3005,E$5)=0,"",SUMIFS(請求記録!$AE$6:$AE$3005,請求記録!$B$6:$B$3005,$A329,請求記録!$Z$6:$Z$3005,E$5))))</f>
        <v/>
      </c>
      <c r="F329" s="19">
        <f>IF($A329="","",IF(COUNTIFS(請求記録!$B$6:$B$3005,$A329,請求記録!$Z$6:$Z$3005,F$5,請求記録!$AF$6:$AF$3005,"保留中")&gt;0,"保留",IF(COUNTIFS(請求記録!$B$6:$B$3005,$A329,請求記録!$Z$6:$Z$3005,F$5)=0,"",SUMIFS(請求記録!$AE$6:$AE$3005,請求記録!$B$6:$B$3005,$A329,請求記録!$Z$6:$Z$3005,F$5))))</f>
        <v/>
      </c>
      <c r="G329" s="19">
        <f>IF($A329="","",IF(COUNTIFS(請求記録!$B$6:$B$3005,$A329,請求記録!$Z$6:$Z$3005,G$5,請求記録!$AF$6:$AF$3005,"保留中")&gt;0,"保留",IF(COUNTIFS(請求記録!$B$6:$B$3005,$A329,請求記録!$Z$6:$Z$3005,G$5)=0,"",SUMIFS(請求記録!$AE$6:$AE$3005,請求記録!$B$6:$B$3005,$A329,請求記録!$Z$6:$Z$3005,G$5))))</f>
        <v/>
      </c>
      <c r="H329" s="19">
        <f>IF($A329="","",IF(COUNTIFS(請求記録!$B$6:$B$3005,$A329,請求記録!$Z$6:$Z$3005,H$5,請求記録!$AF$6:$AF$3005,"保留中")&gt;0,"保留",IF(COUNTIFS(請求記録!$B$6:$B$3005,$A329,請求記録!$Z$6:$Z$3005,H$5)=0,"",SUMIFS(請求記録!$AE$6:$AE$3005,請求記録!$B$6:$B$3005,$A329,請求記録!$Z$6:$Z$3005,H$5))))</f>
        <v/>
      </c>
      <c r="I329" s="19">
        <f>IF($A329="","",IF(COUNTIFS(請求記録!$B$6:$B$3005,$A329,請求記録!$Z$6:$Z$3005,I$5,請求記録!$AF$6:$AF$3005,"保留中")&gt;0,"保留",IF(COUNTIFS(請求記録!$B$6:$B$3005,$A329,請求記録!$Z$6:$Z$3005,I$5)=0,"",SUMIFS(請求記録!$AE$6:$AE$3005,請求記録!$B$6:$B$3005,$A329,請求記録!$Z$6:$Z$3005,I$5))))</f>
        <v/>
      </c>
      <c r="J329" s="19">
        <f>IF($A329="","",IF(COUNTIFS(請求記録!$B$6:$B$3005,$A329,請求記録!$Z$6:$Z$3005,J$5,請求記録!$AF$6:$AF$3005,"保留中")&gt;0,"保留",IF(COUNTIFS(請求記録!$B$6:$B$3005,$A329,請求記録!$Z$6:$Z$3005,J$5)=0,"",SUMIFS(請求記録!$AE$6:$AE$3005,請求記録!$B$6:$B$3005,$A329,請求記録!$Z$6:$Z$3005,J$5))))</f>
        <v/>
      </c>
      <c r="K329" s="19">
        <f>IF($A329="","",IF(COUNTIFS(請求記録!$B$6:$B$3005,$A329,請求記録!$Z$6:$Z$3005,K$5,請求記録!$AF$6:$AF$3005,"保留中")&gt;0,"保留",IF(COUNTIFS(請求記録!$B$6:$B$3005,$A329,請求記録!$Z$6:$Z$3005,K$5)=0,"",SUMIFS(請求記録!$AE$6:$AE$3005,請求記録!$B$6:$B$3005,$A329,請求記録!$Z$6:$Z$3005,K$5))))</f>
        <v/>
      </c>
      <c r="L329" s="19">
        <f>IF($A329="","",IF(COUNTIFS(請求記録!$B$6:$B$3005,$A329,請求記録!$Z$6:$Z$3005,L$5,請求記録!$AF$6:$AF$3005,"保留中")&gt;0,"保留",IF(COUNTIFS(請求記録!$B$6:$B$3005,$A329,請求記録!$Z$6:$Z$3005,L$5)=0,"",SUMIFS(請求記録!$AE$6:$AE$3005,請求記録!$B$6:$B$3005,$A329,請求記録!$Z$6:$Z$3005,L$5))))</f>
        <v/>
      </c>
      <c r="M329" s="19">
        <f>IF($A329="","",IF(COUNTIFS(請求記録!$B$6:$B$3005,$A329,請求記録!$Z$6:$Z$3005,M$5,請求記録!$AF$6:$AF$3005,"保留中")&gt;0,"保留",IF(COUNTIFS(請求記録!$B$6:$B$3005,$A329,請求記録!$Z$6:$Z$3005,M$5)=0,"",SUMIFS(請求記録!$AE$6:$AE$3005,請求記録!$B$6:$B$3005,$A329,請求記録!$Z$6:$Z$3005,M$5))))</f>
        <v/>
      </c>
      <c r="N329" s="19">
        <f>IF($A329="","",IF(COUNTIFS(請求記録!$B$6:$B$3005,$A329,請求記録!$Z$6:$Z$3005,N$5,請求記録!$AF$6:$AF$3005,"保留中")&gt;0,"保留",IF(COUNTIFS(請求記録!$B$6:$B$3005,$A329,請求記録!$Z$6:$Z$3005,N$5)=0,"",SUMIFS(請求記録!$AE$6:$AE$3005,請求記録!$B$6:$B$3005,$A329,請求記録!$Z$6:$Z$3005,N$5))))</f>
        <v/>
      </c>
      <c r="O329" s="19">
        <f>IF($A329="","",IF(COUNTIFS(請求記録!$B$6:$B$3005,$A329,請求記録!$Z$6:$Z$3005,O$5,請求記録!$AF$6:$AF$3005,"保留中")&gt;0,"保留",IF(COUNTIFS(請求記録!$B$6:$B$3005,$A329,請求記録!$Z$6:$Z$3005,O$5)=0,"",SUMIFS(請求記録!$AE$6:$AE$3005,請求記録!$B$6:$B$3005,$A329,請求記録!$Z$6:$Z$3005,O$5))))</f>
        <v/>
      </c>
      <c r="P329" s="19">
        <f>IF($A329="","",IF(COUNTIFS(請求記録!$B$6:$B$3005,$A329,請求記録!$Z$6:$Z$3005,P$5,請求記録!$AF$6:$AF$3005,"保留中")&gt;0,"保留",IF(COUNTIFS(請求記録!$B$6:$B$3005,$A329,請求記録!$Z$6:$Z$3005,P$5)=0,"",SUMIFS(請求記録!$AE$6:$AE$3005,請求記録!$B$6:$B$3005,$A329,請求記録!$Z$6:$Z$3005,P$5))))</f>
        <v/>
      </c>
      <c r="Q329" s="19">
        <f>IF($A329="","",IF(COUNTIFS(請求記録!$B$6:$B$3005,$A329,請求記録!$Z$6:$Z$3005,Q$5,請求記録!$AF$6:$AF$3005,"保留中")&gt;0,"保留",IF(COUNTIFS(請求記録!$B$6:$B$3005,$A329,請求記録!$Z$6:$Z$3005,Q$5)=0,"",SUMIFS(請求記録!$AE$6:$AE$3005,請求記録!$B$6:$B$3005,$A329,請求記録!$Z$6:$Z$3005,Q$5))))</f>
        <v/>
      </c>
      <c r="R329" s="19">
        <f>IF($A329="","",IF(COUNTIFS(請求記録!$B$6:$B$3005,$A329,請求記録!$Z$6:$Z$3005,R$5,請求記録!$AF$6:$AF$3005,"保留中")&gt;0,"保留",IF(COUNTIFS(請求記録!$B$6:$B$3005,$A329,請求記録!$Z$6:$Z$3005,R$5)=0,"",SUMIFS(請求記録!$AE$6:$AE$3005,請求記録!$B$6:$B$3005,$A329,請求記録!$Z$6:$Z$3005,R$5))))</f>
        <v/>
      </c>
      <c r="S329" s="19">
        <f>IF($A329="","",IF(COUNTIFS(請求記録!$B$6:$B$3005,$A329,請求記録!$Z$6:$Z$3005,S$5,請求記録!$AF$6:$AF$3005,"保留中")&gt;0,"保留",IF(COUNTIFS(請求記録!$B$6:$B$3005,$A329,請求記録!$Z$6:$Z$3005,S$5)=0,"",SUMIFS(請求記録!$AE$6:$AE$3005,請求記録!$B$6:$B$3005,$A329,請求記録!$Z$6:$Z$3005,S$5))))</f>
        <v/>
      </c>
      <c r="T329" s="19">
        <f>IF($A329="","",IF(COUNTIFS(請求記録!$B$6:$B$3005,$A329,請求記録!$Z$6:$Z$3005,T$5,請求記録!$AF$6:$AF$3005,"保留中")&gt;0,"保留",IF(COUNTIFS(請求記録!$B$6:$B$3005,$A329,請求記録!$Z$6:$Z$3005,T$5)=0,"",SUMIFS(請求記録!$AE$6:$AE$3005,請求記録!$B$6:$B$3005,$A329,請求記録!$Z$6:$Z$3005,T$5))))</f>
        <v/>
      </c>
      <c r="U329" s="19">
        <f>IF($A329="","",IF(COUNTIFS(請求記録!$B$6:$B$3005,$A329,請求記録!$Z$6:$Z$3005,U$5,請求記録!$AF$6:$AF$3005,"保留中")&gt;0,"保留",IF(COUNTIFS(請求記録!$B$6:$B$3005,$A329,請求記録!$Z$6:$Z$3005,U$5)=0,"",SUMIFS(請求記録!$AE$6:$AE$3005,請求記録!$B$6:$B$3005,$A329,請求記録!$Z$6:$Z$3005,U$5))))</f>
        <v/>
      </c>
      <c r="V329" s="19">
        <f>IF($A329="","",IF(COUNTIFS(請求記録!$B$6:$B$3005,$A329,請求記録!$Z$6:$Z$3005,V$5,請求記録!$AF$6:$AF$3005,"保留中")&gt;0,"保留",IF(COUNTIFS(請求記録!$B$6:$B$3005,$A329,請求記録!$Z$6:$Z$3005,V$5)=0,"",SUMIFS(請求記録!$AE$6:$AE$3005,請求記録!$B$6:$B$3005,$A329,請求記録!$Z$6:$Z$3005,V$5))))</f>
        <v/>
      </c>
      <c r="W329" s="19">
        <f>IF($A329="","",IF(COUNTIFS(請求記録!$B$6:$B$3005,$A329,請求記録!$Z$6:$Z$3005,W$5,請求記録!$AF$6:$AF$3005,"保留中")&gt;0,"保留",IF(COUNTIFS(請求記録!$B$6:$B$3005,$A329,請求記録!$Z$6:$Z$3005,W$5)=0,"",SUMIFS(請求記録!$AE$6:$AE$3005,請求記録!$B$6:$B$3005,$A329,請求記録!$Z$6:$Z$3005,W$5))))</f>
        <v/>
      </c>
      <c r="X329" s="19">
        <f>IF($A329="","",IF(COUNTIFS(請求記録!$B$6:$B$3005,$A329,請求記録!$Z$6:$Z$3005,X$5,請求記録!$AF$6:$AF$3005,"保留中")&gt;0,"保留",IF(COUNTIFS(請求記録!$B$6:$B$3005,$A329,請求記録!$Z$6:$Z$3005,X$5)=0,"",SUMIFS(請求記録!$AE$6:$AE$3005,請求記録!$B$6:$B$3005,$A329,請求記録!$Z$6:$Z$3005,X$5))))</f>
        <v/>
      </c>
      <c r="Y329" s="19">
        <f>IF($A329="","",IF(COUNTIFS(請求記録!$B$6:$B$3005,$A329,請求記録!$Z$6:$Z$3005,Y$5,請求記録!$AF$6:$AF$3005,"保留中")&gt;0,"保留",IF(COUNTIFS(請求記録!$B$6:$B$3005,$A329,請求記録!$Z$6:$Z$3005,Y$5)=0,"",SUMIFS(請求記録!$AE$6:$AE$3005,請求記録!$B$6:$B$3005,$A329,請求記録!$Z$6:$Z$3005,Y$5))))</f>
        <v/>
      </c>
      <c r="Z329" s="19">
        <f>IF($A329="","",IF(COUNTIFS(請求記録!$B$6:$B$3005,$A329,請求記録!$Z$6:$Z$3005,Z$5,請求記録!$AF$6:$AF$3005,"保留中")&gt;0,"保留",IF(COUNTIFS(請求記録!$B$6:$B$3005,$A329,請求記録!$Z$6:$Z$3005,Z$5)=0,"",SUMIFS(請求記録!$AE$6:$AE$3005,請求記録!$B$6:$B$3005,$A329,請求記録!$Z$6:$Z$3005,Z$5))))</f>
        <v/>
      </c>
      <c r="AA329" s="19">
        <f>IF($A329="","",IF(COUNTIFS(請求記録!$B$6:$B$3005,$A329,請求記録!$Z$6:$Z$3005,AA$5,請求記録!$AF$6:$AF$3005,"保留中")&gt;0,"保留",IF(COUNTIFS(請求記録!$B$6:$B$3005,$A329,請求記録!$Z$6:$Z$3005,AA$5)=0,"",SUMIFS(請求記録!$AE$6:$AE$3005,請求記録!$B$6:$B$3005,$A329,請求記録!$Z$6:$Z$3005,AA$5))))</f>
        <v/>
      </c>
      <c r="AB329">
        <f>IF(職員マスタ!P329="保留中",職員マスタ!M329,"")</f>
        <v/>
      </c>
    </row>
    <row r="330">
      <c r="A330">
        <f>IF(職員マスタ!A330="","",職員マスタ!A330)</f>
        <v/>
      </c>
      <c r="B330">
        <f>IF($A330="","",職員マスタ!B330)</f>
        <v/>
      </c>
      <c r="C330">
        <f>IF($A330="","",職員マスタ!C330)</f>
        <v/>
      </c>
      <c r="D330" s="19">
        <f>IF($A330="","",IF(COUNTIFS(請求記録!$B$6:$B$3005,$A330,請求記録!$Z$6:$Z$3005,D$5,請求記録!$AF$6:$AF$3005,"保留中")&gt;0,"保留",IF(COUNTIFS(請求記録!$B$6:$B$3005,$A330,請求記録!$Z$6:$Z$3005,D$5)=0,"",SUMIFS(請求記録!$AE$6:$AE$3005,請求記録!$B$6:$B$3005,$A330,請求記録!$Z$6:$Z$3005,D$5))))</f>
        <v/>
      </c>
      <c r="E330" s="19">
        <f>IF($A330="","",IF(COUNTIFS(請求記録!$B$6:$B$3005,$A330,請求記録!$Z$6:$Z$3005,E$5,請求記録!$AF$6:$AF$3005,"保留中")&gt;0,"保留",IF(COUNTIFS(請求記録!$B$6:$B$3005,$A330,請求記録!$Z$6:$Z$3005,E$5)=0,"",SUMIFS(請求記録!$AE$6:$AE$3005,請求記録!$B$6:$B$3005,$A330,請求記録!$Z$6:$Z$3005,E$5))))</f>
        <v/>
      </c>
      <c r="F330" s="19">
        <f>IF($A330="","",IF(COUNTIFS(請求記録!$B$6:$B$3005,$A330,請求記録!$Z$6:$Z$3005,F$5,請求記録!$AF$6:$AF$3005,"保留中")&gt;0,"保留",IF(COUNTIFS(請求記録!$B$6:$B$3005,$A330,請求記録!$Z$6:$Z$3005,F$5)=0,"",SUMIFS(請求記録!$AE$6:$AE$3005,請求記録!$B$6:$B$3005,$A330,請求記録!$Z$6:$Z$3005,F$5))))</f>
        <v/>
      </c>
      <c r="G330" s="19">
        <f>IF($A330="","",IF(COUNTIFS(請求記録!$B$6:$B$3005,$A330,請求記録!$Z$6:$Z$3005,G$5,請求記録!$AF$6:$AF$3005,"保留中")&gt;0,"保留",IF(COUNTIFS(請求記録!$B$6:$B$3005,$A330,請求記録!$Z$6:$Z$3005,G$5)=0,"",SUMIFS(請求記録!$AE$6:$AE$3005,請求記録!$B$6:$B$3005,$A330,請求記録!$Z$6:$Z$3005,G$5))))</f>
        <v/>
      </c>
      <c r="H330" s="19">
        <f>IF($A330="","",IF(COUNTIFS(請求記録!$B$6:$B$3005,$A330,請求記録!$Z$6:$Z$3005,H$5,請求記録!$AF$6:$AF$3005,"保留中")&gt;0,"保留",IF(COUNTIFS(請求記録!$B$6:$B$3005,$A330,請求記録!$Z$6:$Z$3005,H$5)=0,"",SUMIFS(請求記録!$AE$6:$AE$3005,請求記録!$B$6:$B$3005,$A330,請求記録!$Z$6:$Z$3005,H$5))))</f>
        <v/>
      </c>
      <c r="I330" s="19">
        <f>IF($A330="","",IF(COUNTIFS(請求記録!$B$6:$B$3005,$A330,請求記録!$Z$6:$Z$3005,I$5,請求記録!$AF$6:$AF$3005,"保留中")&gt;0,"保留",IF(COUNTIFS(請求記録!$B$6:$B$3005,$A330,請求記録!$Z$6:$Z$3005,I$5)=0,"",SUMIFS(請求記録!$AE$6:$AE$3005,請求記録!$B$6:$B$3005,$A330,請求記録!$Z$6:$Z$3005,I$5))))</f>
        <v/>
      </c>
      <c r="J330" s="19">
        <f>IF($A330="","",IF(COUNTIFS(請求記録!$B$6:$B$3005,$A330,請求記録!$Z$6:$Z$3005,J$5,請求記録!$AF$6:$AF$3005,"保留中")&gt;0,"保留",IF(COUNTIFS(請求記録!$B$6:$B$3005,$A330,請求記録!$Z$6:$Z$3005,J$5)=0,"",SUMIFS(請求記録!$AE$6:$AE$3005,請求記録!$B$6:$B$3005,$A330,請求記録!$Z$6:$Z$3005,J$5))))</f>
        <v/>
      </c>
      <c r="K330" s="19">
        <f>IF($A330="","",IF(COUNTIFS(請求記録!$B$6:$B$3005,$A330,請求記録!$Z$6:$Z$3005,K$5,請求記録!$AF$6:$AF$3005,"保留中")&gt;0,"保留",IF(COUNTIFS(請求記録!$B$6:$B$3005,$A330,請求記録!$Z$6:$Z$3005,K$5)=0,"",SUMIFS(請求記録!$AE$6:$AE$3005,請求記録!$B$6:$B$3005,$A330,請求記録!$Z$6:$Z$3005,K$5))))</f>
        <v/>
      </c>
      <c r="L330" s="19">
        <f>IF($A330="","",IF(COUNTIFS(請求記録!$B$6:$B$3005,$A330,請求記録!$Z$6:$Z$3005,L$5,請求記録!$AF$6:$AF$3005,"保留中")&gt;0,"保留",IF(COUNTIFS(請求記録!$B$6:$B$3005,$A330,請求記録!$Z$6:$Z$3005,L$5)=0,"",SUMIFS(請求記録!$AE$6:$AE$3005,請求記録!$B$6:$B$3005,$A330,請求記録!$Z$6:$Z$3005,L$5))))</f>
        <v/>
      </c>
      <c r="M330" s="19">
        <f>IF($A330="","",IF(COUNTIFS(請求記録!$B$6:$B$3005,$A330,請求記録!$Z$6:$Z$3005,M$5,請求記録!$AF$6:$AF$3005,"保留中")&gt;0,"保留",IF(COUNTIFS(請求記録!$B$6:$B$3005,$A330,請求記録!$Z$6:$Z$3005,M$5)=0,"",SUMIFS(請求記録!$AE$6:$AE$3005,請求記録!$B$6:$B$3005,$A330,請求記録!$Z$6:$Z$3005,M$5))))</f>
        <v/>
      </c>
      <c r="N330" s="19">
        <f>IF($A330="","",IF(COUNTIFS(請求記録!$B$6:$B$3005,$A330,請求記録!$Z$6:$Z$3005,N$5,請求記録!$AF$6:$AF$3005,"保留中")&gt;0,"保留",IF(COUNTIFS(請求記録!$B$6:$B$3005,$A330,請求記録!$Z$6:$Z$3005,N$5)=0,"",SUMIFS(請求記録!$AE$6:$AE$3005,請求記録!$B$6:$B$3005,$A330,請求記録!$Z$6:$Z$3005,N$5))))</f>
        <v/>
      </c>
      <c r="O330" s="19">
        <f>IF($A330="","",IF(COUNTIFS(請求記録!$B$6:$B$3005,$A330,請求記録!$Z$6:$Z$3005,O$5,請求記録!$AF$6:$AF$3005,"保留中")&gt;0,"保留",IF(COUNTIFS(請求記録!$B$6:$B$3005,$A330,請求記録!$Z$6:$Z$3005,O$5)=0,"",SUMIFS(請求記録!$AE$6:$AE$3005,請求記録!$B$6:$B$3005,$A330,請求記録!$Z$6:$Z$3005,O$5))))</f>
        <v/>
      </c>
      <c r="P330" s="19">
        <f>IF($A330="","",IF(COUNTIFS(請求記録!$B$6:$B$3005,$A330,請求記録!$Z$6:$Z$3005,P$5,請求記録!$AF$6:$AF$3005,"保留中")&gt;0,"保留",IF(COUNTIFS(請求記録!$B$6:$B$3005,$A330,請求記録!$Z$6:$Z$3005,P$5)=0,"",SUMIFS(請求記録!$AE$6:$AE$3005,請求記録!$B$6:$B$3005,$A330,請求記録!$Z$6:$Z$3005,P$5))))</f>
        <v/>
      </c>
      <c r="Q330" s="19">
        <f>IF($A330="","",IF(COUNTIFS(請求記録!$B$6:$B$3005,$A330,請求記録!$Z$6:$Z$3005,Q$5,請求記録!$AF$6:$AF$3005,"保留中")&gt;0,"保留",IF(COUNTIFS(請求記録!$B$6:$B$3005,$A330,請求記録!$Z$6:$Z$3005,Q$5)=0,"",SUMIFS(請求記録!$AE$6:$AE$3005,請求記録!$B$6:$B$3005,$A330,請求記録!$Z$6:$Z$3005,Q$5))))</f>
        <v/>
      </c>
      <c r="R330" s="19">
        <f>IF($A330="","",IF(COUNTIFS(請求記録!$B$6:$B$3005,$A330,請求記録!$Z$6:$Z$3005,R$5,請求記録!$AF$6:$AF$3005,"保留中")&gt;0,"保留",IF(COUNTIFS(請求記録!$B$6:$B$3005,$A330,請求記録!$Z$6:$Z$3005,R$5)=0,"",SUMIFS(請求記録!$AE$6:$AE$3005,請求記録!$B$6:$B$3005,$A330,請求記録!$Z$6:$Z$3005,R$5))))</f>
        <v/>
      </c>
      <c r="S330" s="19">
        <f>IF($A330="","",IF(COUNTIFS(請求記録!$B$6:$B$3005,$A330,請求記録!$Z$6:$Z$3005,S$5,請求記録!$AF$6:$AF$3005,"保留中")&gt;0,"保留",IF(COUNTIFS(請求記録!$B$6:$B$3005,$A330,請求記録!$Z$6:$Z$3005,S$5)=0,"",SUMIFS(請求記録!$AE$6:$AE$3005,請求記録!$B$6:$B$3005,$A330,請求記録!$Z$6:$Z$3005,S$5))))</f>
        <v/>
      </c>
      <c r="T330" s="19">
        <f>IF($A330="","",IF(COUNTIFS(請求記録!$B$6:$B$3005,$A330,請求記録!$Z$6:$Z$3005,T$5,請求記録!$AF$6:$AF$3005,"保留中")&gt;0,"保留",IF(COUNTIFS(請求記録!$B$6:$B$3005,$A330,請求記録!$Z$6:$Z$3005,T$5)=0,"",SUMIFS(請求記録!$AE$6:$AE$3005,請求記録!$B$6:$B$3005,$A330,請求記録!$Z$6:$Z$3005,T$5))))</f>
        <v/>
      </c>
      <c r="U330" s="19">
        <f>IF($A330="","",IF(COUNTIFS(請求記録!$B$6:$B$3005,$A330,請求記録!$Z$6:$Z$3005,U$5,請求記録!$AF$6:$AF$3005,"保留中")&gt;0,"保留",IF(COUNTIFS(請求記録!$B$6:$B$3005,$A330,請求記録!$Z$6:$Z$3005,U$5)=0,"",SUMIFS(請求記録!$AE$6:$AE$3005,請求記録!$B$6:$B$3005,$A330,請求記録!$Z$6:$Z$3005,U$5))))</f>
        <v/>
      </c>
      <c r="V330" s="19">
        <f>IF($A330="","",IF(COUNTIFS(請求記録!$B$6:$B$3005,$A330,請求記録!$Z$6:$Z$3005,V$5,請求記録!$AF$6:$AF$3005,"保留中")&gt;0,"保留",IF(COUNTIFS(請求記録!$B$6:$B$3005,$A330,請求記録!$Z$6:$Z$3005,V$5)=0,"",SUMIFS(請求記録!$AE$6:$AE$3005,請求記録!$B$6:$B$3005,$A330,請求記録!$Z$6:$Z$3005,V$5))))</f>
        <v/>
      </c>
      <c r="W330" s="19">
        <f>IF($A330="","",IF(COUNTIFS(請求記録!$B$6:$B$3005,$A330,請求記録!$Z$6:$Z$3005,W$5,請求記録!$AF$6:$AF$3005,"保留中")&gt;0,"保留",IF(COUNTIFS(請求記録!$B$6:$B$3005,$A330,請求記録!$Z$6:$Z$3005,W$5)=0,"",SUMIFS(請求記録!$AE$6:$AE$3005,請求記録!$B$6:$B$3005,$A330,請求記録!$Z$6:$Z$3005,W$5))))</f>
        <v/>
      </c>
      <c r="X330" s="19">
        <f>IF($A330="","",IF(COUNTIFS(請求記録!$B$6:$B$3005,$A330,請求記録!$Z$6:$Z$3005,X$5,請求記録!$AF$6:$AF$3005,"保留中")&gt;0,"保留",IF(COUNTIFS(請求記録!$B$6:$B$3005,$A330,請求記録!$Z$6:$Z$3005,X$5)=0,"",SUMIFS(請求記録!$AE$6:$AE$3005,請求記録!$B$6:$B$3005,$A330,請求記録!$Z$6:$Z$3005,X$5))))</f>
        <v/>
      </c>
      <c r="Y330" s="19">
        <f>IF($A330="","",IF(COUNTIFS(請求記録!$B$6:$B$3005,$A330,請求記録!$Z$6:$Z$3005,Y$5,請求記録!$AF$6:$AF$3005,"保留中")&gt;0,"保留",IF(COUNTIFS(請求記録!$B$6:$B$3005,$A330,請求記録!$Z$6:$Z$3005,Y$5)=0,"",SUMIFS(請求記録!$AE$6:$AE$3005,請求記録!$B$6:$B$3005,$A330,請求記録!$Z$6:$Z$3005,Y$5))))</f>
        <v/>
      </c>
      <c r="Z330" s="19">
        <f>IF($A330="","",IF(COUNTIFS(請求記録!$B$6:$B$3005,$A330,請求記録!$Z$6:$Z$3005,Z$5,請求記録!$AF$6:$AF$3005,"保留中")&gt;0,"保留",IF(COUNTIFS(請求記録!$B$6:$B$3005,$A330,請求記録!$Z$6:$Z$3005,Z$5)=0,"",SUMIFS(請求記録!$AE$6:$AE$3005,請求記録!$B$6:$B$3005,$A330,請求記録!$Z$6:$Z$3005,Z$5))))</f>
        <v/>
      </c>
      <c r="AA330" s="19">
        <f>IF($A330="","",IF(COUNTIFS(請求記録!$B$6:$B$3005,$A330,請求記録!$Z$6:$Z$3005,AA$5,請求記録!$AF$6:$AF$3005,"保留中")&gt;0,"保留",IF(COUNTIFS(請求記録!$B$6:$B$3005,$A330,請求記録!$Z$6:$Z$3005,AA$5)=0,"",SUMIFS(請求記録!$AE$6:$AE$3005,請求記録!$B$6:$B$3005,$A330,請求記録!$Z$6:$Z$3005,AA$5))))</f>
        <v/>
      </c>
      <c r="AB330">
        <f>IF(職員マスタ!P330="保留中",職員マスタ!M330,"")</f>
        <v/>
      </c>
    </row>
    <row r="331">
      <c r="A331">
        <f>IF(職員マスタ!A331="","",職員マスタ!A331)</f>
        <v/>
      </c>
      <c r="B331">
        <f>IF($A331="","",職員マスタ!B331)</f>
        <v/>
      </c>
      <c r="C331">
        <f>IF($A331="","",職員マスタ!C331)</f>
        <v/>
      </c>
      <c r="D331" s="19">
        <f>IF($A331="","",IF(COUNTIFS(請求記録!$B$6:$B$3005,$A331,請求記録!$Z$6:$Z$3005,D$5,請求記録!$AF$6:$AF$3005,"保留中")&gt;0,"保留",IF(COUNTIFS(請求記録!$B$6:$B$3005,$A331,請求記録!$Z$6:$Z$3005,D$5)=0,"",SUMIFS(請求記録!$AE$6:$AE$3005,請求記録!$B$6:$B$3005,$A331,請求記録!$Z$6:$Z$3005,D$5))))</f>
        <v/>
      </c>
      <c r="E331" s="19">
        <f>IF($A331="","",IF(COUNTIFS(請求記録!$B$6:$B$3005,$A331,請求記録!$Z$6:$Z$3005,E$5,請求記録!$AF$6:$AF$3005,"保留中")&gt;0,"保留",IF(COUNTIFS(請求記録!$B$6:$B$3005,$A331,請求記録!$Z$6:$Z$3005,E$5)=0,"",SUMIFS(請求記録!$AE$6:$AE$3005,請求記録!$B$6:$B$3005,$A331,請求記録!$Z$6:$Z$3005,E$5))))</f>
        <v/>
      </c>
      <c r="F331" s="19">
        <f>IF($A331="","",IF(COUNTIFS(請求記録!$B$6:$B$3005,$A331,請求記録!$Z$6:$Z$3005,F$5,請求記録!$AF$6:$AF$3005,"保留中")&gt;0,"保留",IF(COUNTIFS(請求記録!$B$6:$B$3005,$A331,請求記録!$Z$6:$Z$3005,F$5)=0,"",SUMIFS(請求記録!$AE$6:$AE$3005,請求記録!$B$6:$B$3005,$A331,請求記録!$Z$6:$Z$3005,F$5))))</f>
        <v/>
      </c>
      <c r="G331" s="19">
        <f>IF($A331="","",IF(COUNTIFS(請求記録!$B$6:$B$3005,$A331,請求記録!$Z$6:$Z$3005,G$5,請求記録!$AF$6:$AF$3005,"保留中")&gt;0,"保留",IF(COUNTIFS(請求記録!$B$6:$B$3005,$A331,請求記録!$Z$6:$Z$3005,G$5)=0,"",SUMIFS(請求記録!$AE$6:$AE$3005,請求記録!$B$6:$B$3005,$A331,請求記録!$Z$6:$Z$3005,G$5))))</f>
        <v/>
      </c>
      <c r="H331" s="19">
        <f>IF($A331="","",IF(COUNTIFS(請求記録!$B$6:$B$3005,$A331,請求記録!$Z$6:$Z$3005,H$5,請求記録!$AF$6:$AF$3005,"保留中")&gt;0,"保留",IF(COUNTIFS(請求記録!$B$6:$B$3005,$A331,請求記録!$Z$6:$Z$3005,H$5)=0,"",SUMIFS(請求記録!$AE$6:$AE$3005,請求記録!$B$6:$B$3005,$A331,請求記録!$Z$6:$Z$3005,H$5))))</f>
        <v/>
      </c>
      <c r="I331" s="19">
        <f>IF($A331="","",IF(COUNTIFS(請求記録!$B$6:$B$3005,$A331,請求記録!$Z$6:$Z$3005,I$5,請求記録!$AF$6:$AF$3005,"保留中")&gt;0,"保留",IF(COUNTIFS(請求記録!$B$6:$B$3005,$A331,請求記録!$Z$6:$Z$3005,I$5)=0,"",SUMIFS(請求記録!$AE$6:$AE$3005,請求記録!$B$6:$B$3005,$A331,請求記録!$Z$6:$Z$3005,I$5))))</f>
        <v/>
      </c>
      <c r="J331" s="19">
        <f>IF($A331="","",IF(COUNTIFS(請求記録!$B$6:$B$3005,$A331,請求記録!$Z$6:$Z$3005,J$5,請求記録!$AF$6:$AF$3005,"保留中")&gt;0,"保留",IF(COUNTIFS(請求記録!$B$6:$B$3005,$A331,請求記録!$Z$6:$Z$3005,J$5)=0,"",SUMIFS(請求記録!$AE$6:$AE$3005,請求記録!$B$6:$B$3005,$A331,請求記録!$Z$6:$Z$3005,J$5))))</f>
        <v/>
      </c>
      <c r="K331" s="19">
        <f>IF($A331="","",IF(COUNTIFS(請求記録!$B$6:$B$3005,$A331,請求記録!$Z$6:$Z$3005,K$5,請求記録!$AF$6:$AF$3005,"保留中")&gt;0,"保留",IF(COUNTIFS(請求記録!$B$6:$B$3005,$A331,請求記録!$Z$6:$Z$3005,K$5)=0,"",SUMIFS(請求記録!$AE$6:$AE$3005,請求記録!$B$6:$B$3005,$A331,請求記録!$Z$6:$Z$3005,K$5))))</f>
        <v/>
      </c>
      <c r="L331" s="19">
        <f>IF($A331="","",IF(COUNTIFS(請求記録!$B$6:$B$3005,$A331,請求記録!$Z$6:$Z$3005,L$5,請求記録!$AF$6:$AF$3005,"保留中")&gt;0,"保留",IF(COUNTIFS(請求記録!$B$6:$B$3005,$A331,請求記録!$Z$6:$Z$3005,L$5)=0,"",SUMIFS(請求記録!$AE$6:$AE$3005,請求記録!$B$6:$B$3005,$A331,請求記録!$Z$6:$Z$3005,L$5))))</f>
        <v/>
      </c>
      <c r="M331" s="19">
        <f>IF($A331="","",IF(COUNTIFS(請求記録!$B$6:$B$3005,$A331,請求記録!$Z$6:$Z$3005,M$5,請求記録!$AF$6:$AF$3005,"保留中")&gt;0,"保留",IF(COUNTIFS(請求記録!$B$6:$B$3005,$A331,請求記録!$Z$6:$Z$3005,M$5)=0,"",SUMIFS(請求記録!$AE$6:$AE$3005,請求記録!$B$6:$B$3005,$A331,請求記録!$Z$6:$Z$3005,M$5))))</f>
        <v/>
      </c>
      <c r="N331" s="19">
        <f>IF($A331="","",IF(COUNTIFS(請求記録!$B$6:$B$3005,$A331,請求記録!$Z$6:$Z$3005,N$5,請求記録!$AF$6:$AF$3005,"保留中")&gt;0,"保留",IF(COUNTIFS(請求記録!$B$6:$B$3005,$A331,請求記録!$Z$6:$Z$3005,N$5)=0,"",SUMIFS(請求記録!$AE$6:$AE$3005,請求記録!$B$6:$B$3005,$A331,請求記録!$Z$6:$Z$3005,N$5))))</f>
        <v/>
      </c>
      <c r="O331" s="19">
        <f>IF($A331="","",IF(COUNTIFS(請求記録!$B$6:$B$3005,$A331,請求記録!$Z$6:$Z$3005,O$5,請求記録!$AF$6:$AF$3005,"保留中")&gt;0,"保留",IF(COUNTIFS(請求記録!$B$6:$B$3005,$A331,請求記録!$Z$6:$Z$3005,O$5)=0,"",SUMIFS(請求記録!$AE$6:$AE$3005,請求記録!$B$6:$B$3005,$A331,請求記録!$Z$6:$Z$3005,O$5))))</f>
        <v/>
      </c>
      <c r="P331" s="19">
        <f>IF($A331="","",IF(COUNTIFS(請求記録!$B$6:$B$3005,$A331,請求記録!$Z$6:$Z$3005,P$5,請求記録!$AF$6:$AF$3005,"保留中")&gt;0,"保留",IF(COUNTIFS(請求記録!$B$6:$B$3005,$A331,請求記録!$Z$6:$Z$3005,P$5)=0,"",SUMIFS(請求記録!$AE$6:$AE$3005,請求記録!$B$6:$B$3005,$A331,請求記録!$Z$6:$Z$3005,P$5))))</f>
        <v/>
      </c>
      <c r="Q331" s="19">
        <f>IF($A331="","",IF(COUNTIFS(請求記録!$B$6:$B$3005,$A331,請求記録!$Z$6:$Z$3005,Q$5,請求記録!$AF$6:$AF$3005,"保留中")&gt;0,"保留",IF(COUNTIFS(請求記録!$B$6:$B$3005,$A331,請求記録!$Z$6:$Z$3005,Q$5)=0,"",SUMIFS(請求記録!$AE$6:$AE$3005,請求記録!$B$6:$B$3005,$A331,請求記録!$Z$6:$Z$3005,Q$5))))</f>
        <v/>
      </c>
      <c r="R331" s="19">
        <f>IF($A331="","",IF(COUNTIFS(請求記録!$B$6:$B$3005,$A331,請求記録!$Z$6:$Z$3005,R$5,請求記録!$AF$6:$AF$3005,"保留中")&gt;0,"保留",IF(COUNTIFS(請求記録!$B$6:$B$3005,$A331,請求記録!$Z$6:$Z$3005,R$5)=0,"",SUMIFS(請求記録!$AE$6:$AE$3005,請求記録!$B$6:$B$3005,$A331,請求記録!$Z$6:$Z$3005,R$5))))</f>
        <v/>
      </c>
      <c r="S331" s="19">
        <f>IF($A331="","",IF(COUNTIFS(請求記録!$B$6:$B$3005,$A331,請求記録!$Z$6:$Z$3005,S$5,請求記録!$AF$6:$AF$3005,"保留中")&gt;0,"保留",IF(COUNTIFS(請求記録!$B$6:$B$3005,$A331,請求記録!$Z$6:$Z$3005,S$5)=0,"",SUMIFS(請求記録!$AE$6:$AE$3005,請求記録!$B$6:$B$3005,$A331,請求記録!$Z$6:$Z$3005,S$5))))</f>
        <v/>
      </c>
      <c r="T331" s="19">
        <f>IF($A331="","",IF(COUNTIFS(請求記録!$B$6:$B$3005,$A331,請求記録!$Z$6:$Z$3005,T$5,請求記録!$AF$6:$AF$3005,"保留中")&gt;0,"保留",IF(COUNTIFS(請求記録!$B$6:$B$3005,$A331,請求記録!$Z$6:$Z$3005,T$5)=0,"",SUMIFS(請求記録!$AE$6:$AE$3005,請求記録!$B$6:$B$3005,$A331,請求記録!$Z$6:$Z$3005,T$5))))</f>
        <v/>
      </c>
      <c r="U331" s="19">
        <f>IF($A331="","",IF(COUNTIFS(請求記録!$B$6:$B$3005,$A331,請求記録!$Z$6:$Z$3005,U$5,請求記録!$AF$6:$AF$3005,"保留中")&gt;0,"保留",IF(COUNTIFS(請求記録!$B$6:$B$3005,$A331,請求記録!$Z$6:$Z$3005,U$5)=0,"",SUMIFS(請求記録!$AE$6:$AE$3005,請求記録!$B$6:$B$3005,$A331,請求記録!$Z$6:$Z$3005,U$5))))</f>
        <v/>
      </c>
      <c r="V331" s="19">
        <f>IF($A331="","",IF(COUNTIFS(請求記録!$B$6:$B$3005,$A331,請求記録!$Z$6:$Z$3005,V$5,請求記録!$AF$6:$AF$3005,"保留中")&gt;0,"保留",IF(COUNTIFS(請求記録!$B$6:$B$3005,$A331,請求記録!$Z$6:$Z$3005,V$5)=0,"",SUMIFS(請求記録!$AE$6:$AE$3005,請求記録!$B$6:$B$3005,$A331,請求記録!$Z$6:$Z$3005,V$5))))</f>
        <v/>
      </c>
      <c r="W331" s="19">
        <f>IF($A331="","",IF(COUNTIFS(請求記録!$B$6:$B$3005,$A331,請求記録!$Z$6:$Z$3005,W$5,請求記録!$AF$6:$AF$3005,"保留中")&gt;0,"保留",IF(COUNTIFS(請求記録!$B$6:$B$3005,$A331,請求記録!$Z$6:$Z$3005,W$5)=0,"",SUMIFS(請求記録!$AE$6:$AE$3005,請求記録!$B$6:$B$3005,$A331,請求記録!$Z$6:$Z$3005,W$5))))</f>
        <v/>
      </c>
      <c r="X331" s="19">
        <f>IF($A331="","",IF(COUNTIFS(請求記録!$B$6:$B$3005,$A331,請求記録!$Z$6:$Z$3005,X$5,請求記録!$AF$6:$AF$3005,"保留中")&gt;0,"保留",IF(COUNTIFS(請求記録!$B$6:$B$3005,$A331,請求記録!$Z$6:$Z$3005,X$5)=0,"",SUMIFS(請求記録!$AE$6:$AE$3005,請求記録!$B$6:$B$3005,$A331,請求記録!$Z$6:$Z$3005,X$5))))</f>
        <v/>
      </c>
      <c r="Y331" s="19">
        <f>IF($A331="","",IF(COUNTIFS(請求記録!$B$6:$B$3005,$A331,請求記録!$Z$6:$Z$3005,Y$5,請求記録!$AF$6:$AF$3005,"保留中")&gt;0,"保留",IF(COUNTIFS(請求記録!$B$6:$B$3005,$A331,請求記録!$Z$6:$Z$3005,Y$5)=0,"",SUMIFS(請求記録!$AE$6:$AE$3005,請求記録!$B$6:$B$3005,$A331,請求記録!$Z$6:$Z$3005,Y$5))))</f>
        <v/>
      </c>
      <c r="Z331" s="19">
        <f>IF($A331="","",IF(COUNTIFS(請求記録!$B$6:$B$3005,$A331,請求記録!$Z$6:$Z$3005,Z$5,請求記録!$AF$6:$AF$3005,"保留中")&gt;0,"保留",IF(COUNTIFS(請求記録!$B$6:$B$3005,$A331,請求記録!$Z$6:$Z$3005,Z$5)=0,"",SUMIFS(請求記録!$AE$6:$AE$3005,請求記録!$B$6:$B$3005,$A331,請求記録!$Z$6:$Z$3005,Z$5))))</f>
        <v/>
      </c>
      <c r="AA331" s="19">
        <f>IF($A331="","",IF(COUNTIFS(請求記録!$B$6:$B$3005,$A331,請求記録!$Z$6:$Z$3005,AA$5,請求記録!$AF$6:$AF$3005,"保留中")&gt;0,"保留",IF(COUNTIFS(請求記録!$B$6:$B$3005,$A331,請求記録!$Z$6:$Z$3005,AA$5)=0,"",SUMIFS(請求記録!$AE$6:$AE$3005,請求記録!$B$6:$B$3005,$A331,請求記録!$Z$6:$Z$3005,AA$5))))</f>
        <v/>
      </c>
      <c r="AB331">
        <f>IF(職員マスタ!P331="保留中",職員マスタ!M331,"")</f>
        <v/>
      </c>
    </row>
    <row r="332">
      <c r="A332">
        <f>IF(職員マスタ!A332="","",職員マスタ!A332)</f>
        <v/>
      </c>
      <c r="B332">
        <f>IF($A332="","",職員マスタ!B332)</f>
        <v/>
      </c>
      <c r="C332">
        <f>IF($A332="","",職員マスタ!C332)</f>
        <v/>
      </c>
      <c r="D332" s="19">
        <f>IF($A332="","",IF(COUNTIFS(請求記録!$B$6:$B$3005,$A332,請求記録!$Z$6:$Z$3005,D$5,請求記録!$AF$6:$AF$3005,"保留中")&gt;0,"保留",IF(COUNTIFS(請求記録!$B$6:$B$3005,$A332,請求記録!$Z$6:$Z$3005,D$5)=0,"",SUMIFS(請求記録!$AE$6:$AE$3005,請求記録!$B$6:$B$3005,$A332,請求記録!$Z$6:$Z$3005,D$5))))</f>
        <v/>
      </c>
      <c r="E332" s="19">
        <f>IF($A332="","",IF(COUNTIFS(請求記録!$B$6:$B$3005,$A332,請求記録!$Z$6:$Z$3005,E$5,請求記録!$AF$6:$AF$3005,"保留中")&gt;0,"保留",IF(COUNTIFS(請求記録!$B$6:$B$3005,$A332,請求記録!$Z$6:$Z$3005,E$5)=0,"",SUMIFS(請求記録!$AE$6:$AE$3005,請求記録!$B$6:$B$3005,$A332,請求記録!$Z$6:$Z$3005,E$5))))</f>
        <v/>
      </c>
      <c r="F332" s="19">
        <f>IF($A332="","",IF(COUNTIFS(請求記録!$B$6:$B$3005,$A332,請求記録!$Z$6:$Z$3005,F$5,請求記録!$AF$6:$AF$3005,"保留中")&gt;0,"保留",IF(COUNTIFS(請求記録!$B$6:$B$3005,$A332,請求記録!$Z$6:$Z$3005,F$5)=0,"",SUMIFS(請求記録!$AE$6:$AE$3005,請求記録!$B$6:$B$3005,$A332,請求記録!$Z$6:$Z$3005,F$5))))</f>
        <v/>
      </c>
      <c r="G332" s="19">
        <f>IF($A332="","",IF(COUNTIFS(請求記録!$B$6:$B$3005,$A332,請求記録!$Z$6:$Z$3005,G$5,請求記録!$AF$6:$AF$3005,"保留中")&gt;0,"保留",IF(COUNTIFS(請求記録!$B$6:$B$3005,$A332,請求記録!$Z$6:$Z$3005,G$5)=0,"",SUMIFS(請求記録!$AE$6:$AE$3005,請求記録!$B$6:$B$3005,$A332,請求記録!$Z$6:$Z$3005,G$5))))</f>
        <v/>
      </c>
      <c r="H332" s="19">
        <f>IF($A332="","",IF(COUNTIFS(請求記録!$B$6:$B$3005,$A332,請求記録!$Z$6:$Z$3005,H$5,請求記録!$AF$6:$AF$3005,"保留中")&gt;0,"保留",IF(COUNTIFS(請求記録!$B$6:$B$3005,$A332,請求記録!$Z$6:$Z$3005,H$5)=0,"",SUMIFS(請求記録!$AE$6:$AE$3005,請求記録!$B$6:$B$3005,$A332,請求記録!$Z$6:$Z$3005,H$5))))</f>
        <v/>
      </c>
      <c r="I332" s="19">
        <f>IF($A332="","",IF(COUNTIFS(請求記録!$B$6:$B$3005,$A332,請求記録!$Z$6:$Z$3005,I$5,請求記録!$AF$6:$AF$3005,"保留中")&gt;0,"保留",IF(COUNTIFS(請求記録!$B$6:$B$3005,$A332,請求記録!$Z$6:$Z$3005,I$5)=0,"",SUMIFS(請求記録!$AE$6:$AE$3005,請求記録!$B$6:$B$3005,$A332,請求記録!$Z$6:$Z$3005,I$5))))</f>
        <v/>
      </c>
      <c r="J332" s="19">
        <f>IF($A332="","",IF(COUNTIFS(請求記録!$B$6:$B$3005,$A332,請求記録!$Z$6:$Z$3005,J$5,請求記録!$AF$6:$AF$3005,"保留中")&gt;0,"保留",IF(COUNTIFS(請求記録!$B$6:$B$3005,$A332,請求記録!$Z$6:$Z$3005,J$5)=0,"",SUMIFS(請求記録!$AE$6:$AE$3005,請求記録!$B$6:$B$3005,$A332,請求記録!$Z$6:$Z$3005,J$5))))</f>
        <v/>
      </c>
      <c r="K332" s="19">
        <f>IF($A332="","",IF(COUNTIFS(請求記録!$B$6:$B$3005,$A332,請求記録!$Z$6:$Z$3005,K$5,請求記録!$AF$6:$AF$3005,"保留中")&gt;0,"保留",IF(COUNTIFS(請求記録!$B$6:$B$3005,$A332,請求記録!$Z$6:$Z$3005,K$5)=0,"",SUMIFS(請求記録!$AE$6:$AE$3005,請求記録!$B$6:$B$3005,$A332,請求記録!$Z$6:$Z$3005,K$5))))</f>
        <v/>
      </c>
      <c r="L332" s="19">
        <f>IF($A332="","",IF(COUNTIFS(請求記録!$B$6:$B$3005,$A332,請求記録!$Z$6:$Z$3005,L$5,請求記録!$AF$6:$AF$3005,"保留中")&gt;0,"保留",IF(COUNTIFS(請求記録!$B$6:$B$3005,$A332,請求記録!$Z$6:$Z$3005,L$5)=0,"",SUMIFS(請求記録!$AE$6:$AE$3005,請求記録!$B$6:$B$3005,$A332,請求記録!$Z$6:$Z$3005,L$5))))</f>
        <v/>
      </c>
      <c r="M332" s="19">
        <f>IF($A332="","",IF(COUNTIFS(請求記録!$B$6:$B$3005,$A332,請求記録!$Z$6:$Z$3005,M$5,請求記録!$AF$6:$AF$3005,"保留中")&gt;0,"保留",IF(COUNTIFS(請求記録!$B$6:$B$3005,$A332,請求記録!$Z$6:$Z$3005,M$5)=0,"",SUMIFS(請求記録!$AE$6:$AE$3005,請求記録!$B$6:$B$3005,$A332,請求記録!$Z$6:$Z$3005,M$5))))</f>
        <v/>
      </c>
      <c r="N332" s="19">
        <f>IF($A332="","",IF(COUNTIFS(請求記録!$B$6:$B$3005,$A332,請求記録!$Z$6:$Z$3005,N$5,請求記録!$AF$6:$AF$3005,"保留中")&gt;0,"保留",IF(COUNTIFS(請求記録!$B$6:$B$3005,$A332,請求記録!$Z$6:$Z$3005,N$5)=0,"",SUMIFS(請求記録!$AE$6:$AE$3005,請求記録!$B$6:$B$3005,$A332,請求記録!$Z$6:$Z$3005,N$5))))</f>
        <v/>
      </c>
      <c r="O332" s="19">
        <f>IF($A332="","",IF(COUNTIFS(請求記録!$B$6:$B$3005,$A332,請求記録!$Z$6:$Z$3005,O$5,請求記録!$AF$6:$AF$3005,"保留中")&gt;0,"保留",IF(COUNTIFS(請求記録!$B$6:$B$3005,$A332,請求記録!$Z$6:$Z$3005,O$5)=0,"",SUMIFS(請求記録!$AE$6:$AE$3005,請求記録!$B$6:$B$3005,$A332,請求記録!$Z$6:$Z$3005,O$5))))</f>
        <v/>
      </c>
      <c r="P332" s="19">
        <f>IF($A332="","",IF(COUNTIFS(請求記録!$B$6:$B$3005,$A332,請求記録!$Z$6:$Z$3005,P$5,請求記録!$AF$6:$AF$3005,"保留中")&gt;0,"保留",IF(COUNTIFS(請求記録!$B$6:$B$3005,$A332,請求記録!$Z$6:$Z$3005,P$5)=0,"",SUMIFS(請求記録!$AE$6:$AE$3005,請求記録!$B$6:$B$3005,$A332,請求記録!$Z$6:$Z$3005,P$5))))</f>
        <v/>
      </c>
      <c r="Q332" s="19">
        <f>IF($A332="","",IF(COUNTIFS(請求記録!$B$6:$B$3005,$A332,請求記録!$Z$6:$Z$3005,Q$5,請求記録!$AF$6:$AF$3005,"保留中")&gt;0,"保留",IF(COUNTIFS(請求記録!$B$6:$B$3005,$A332,請求記録!$Z$6:$Z$3005,Q$5)=0,"",SUMIFS(請求記録!$AE$6:$AE$3005,請求記録!$B$6:$B$3005,$A332,請求記録!$Z$6:$Z$3005,Q$5))))</f>
        <v/>
      </c>
      <c r="R332" s="19">
        <f>IF($A332="","",IF(COUNTIFS(請求記録!$B$6:$B$3005,$A332,請求記録!$Z$6:$Z$3005,R$5,請求記録!$AF$6:$AF$3005,"保留中")&gt;0,"保留",IF(COUNTIFS(請求記録!$B$6:$B$3005,$A332,請求記録!$Z$6:$Z$3005,R$5)=0,"",SUMIFS(請求記録!$AE$6:$AE$3005,請求記録!$B$6:$B$3005,$A332,請求記録!$Z$6:$Z$3005,R$5))))</f>
        <v/>
      </c>
      <c r="S332" s="19">
        <f>IF($A332="","",IF(COUNTIFS(請求記録!$B$6:$B$3005,$A332,請求記録!$Z$6:$Z$3005,S$5,請求記録!$AF$6:$AF$3005,"保留中")&gt;0,"保留",IF(COUNTIFS(請求記録!$B$6:$B$3005,$A332,請求記録!$Z$6:$Z$3005,S$5)=0,"",SUMIFS(請求記録!$AE$6:$AE$3005,請求記録!$B$6:$B$3005,$A332,請求記録!$Z$6:$Z$3005,S$5))))</f>
        <v/>
      </c>
      <c r="T332" s="19">
        <f>IF($A332="","",IF(COUNTIFS(請求記録!$B$6:$B$3005,$A332,請求記録!$Z$6:$Z$3005,T$5,請求記録!$AF$6:$AF$3005,"保留中")&gt;0,"保留",IF(COUNTIFS(請求記録!$B$6:$B$3005,$A332,請求記録!$Z$6:$Z$3005,T$5)=0,"",SUMIFS(請求記録!$AE$6:$AE$3005,請求記録!$B$6:$B$3005,$A332,請求記録!$Z$6:$Z$3005,T$5))))</f>
        <v/>
      </c>
      <c r="U332" s="19">
        <f>IF($A332="","",IF(COUNTIFS(請求記録!$B$6:$B$3005,$A332,請求記録!$Z$6:$Z$3005,U$5,請求記録!$AF$6:$AF$3005,"保留中")&gt;0,"保留",IF(COUNTIFS(請求記録!$B$6:$B$3005,$A332,請求記録!$Z$6:$Z$3005,U$5)=0,"",SUMIFS(請求記録!$AE$6:$AE$3005,請求記録!$B$6:$B$3005,$A332,請求記録!$Z$6:$Z$3005,U$5))))</f>
        <v/>
      </c>
      <c r="V332" s="19">
        <f>IF($A332="","",IF(COUNTIFS(請求記録!$B$6:$B$3005,$A332,請求記録!$Z$6:$Z$3005,V$5,請求記録!$AF$6:$AF$3005,"保留中")&gt;0,"保留",IF(COUNTIFS(請求記録!$B$6:$B$3005,$A332,請求記録!$Z$6:$Z$3005,V$5)=0,"",SUMIFS(請求記録!$AE$6:$AE$3005,請求記録!$B$6:$B$3005,$A332,請求記録!$Z$6:$Z$3005,V$5))))</f>
        <v/>
      </c>
      <c r="W332" s="19">
        <f>IF($A332="","",IF(COUNTIFS(請求記録!$B$6:$B$3005,$A332,請求記録!$Z$6:$Z$3005,W$5,請求記録!$AF$6:$AF$3005,"保留中")&gt;0,"保留",IF(COUNTIFS(請求記録!$B$6:$B$3005,$A332,請求記録!$Z$6:$Z$3005,W$5)=0,"",SUMIFS(請求記録!$AE$6:$AE$3005,請求記録!$B$6:$B$3005,$A332,請求記録!$Z$6:$Z$3005,W$5))))</f>
        <v/>
      </c>
      <c r="X332" s="19">
        <f>IF($A332="","",IF(COUNTIFS(請求記録!$B$6:$B$3005,$A332,請求記録!$Z$6:$Z$3005,X$5,請求記録!$AF$6:$AF$3005,"保留中")&gt;0,"保留",IF(COUNTIFS(請求記録!$B$6:$B$3005,$A332,請求記録!$Z$6:$Z$3005,X$5)=0,"",SUMIFS(請求記録!$AE$6:$AE$3005,請求記録!$B$6:$B$3005,$A332,請求記録!$Z$6:$Z$3005,X$5))))</f>
        <v/>
      </c>
      <c r="Y332" s="19">
        <f>IF($A332="","",IF(COUNTIFS(請求記録!$B$6:$B$3005,$A332,請求記録!$Z$6:$Z$3005,Y$5,請求記録!$AF$6:$AF$3005,"保留中")&gt;0,"保留",IF(COUNTIFS(請求記録!$B$6:$B$3005,$A332,請求記録!$Z$6:$Z$3005,Y$5)=0,"",SUMIFS(請求記録!$AE$6:$AE$3005,請求記録!$B$6:$B$3005,$A332,請求記録!$Z$6:$Z$3005,Y$5))))</f>
        <v/>
      </c>
      <c r="Z332" s="19">
        <f>IF($A332="","",IF(COUNTIFS(請求記録!$B$6:$B$3005,$A332,請求記録!$Z$6:$Z$3005,Z$5,請求記録!$AF$6:$AF$3005,"保留中")&gt;0,"保留",IF(COUNTIFS(請求記録!$B$6:$B$3005,$A332,請求記録!$Z$6:$Z$3005,Z$5)=0,"",SUMIFS(請求記録!$AE$6:$AE$3005,請求記録!$B$6:$B$3005,$A332,請求記録!$Z$6:$Z$3005,Z$5))))</f>
        <v/>
      </c>
      <c r="AA332" s="19">
        <f>IF($A332="","",IF(COUNTIFS(請求記録!$B$6:$B$3005,$A332,請求記録!$Z$6:$Z$3005,AA$5,請求記録!$AF$6:$AF$3005,"保留中")&gt;0,"保留",IF(COUNTIFS(請求記録!$B$6:$B$3005,$A332,請求記録!$Z$6:$Z$3005,AA$5)=0,"",SUMIFS(請求記録!$AE$6:$AE$3005,請求記録!$B$6:$B$3005,$A332,請求記録!$Z$6:$Z$3005,AA$5))))</f>
        <v/>
      </c>
      <c r="AB332">
        <f>IF(職員マスタ!P332="保留中",職員マスタ!M332,"")</f>
        <v/>
      </c>
    </row>
    <row r="333">
      <c r="A333">
        <f>IF(職員マスタ!A333="","",職員マスタ!A333)</f>
        <v/>
      </c>
      <c r="B333">
        <f>IF($A333="","",職員マスタ!B333)</f>
        <v/>
      </c>
      <c r="C333">
        <f>IF($A333="","",職員マスタ!C333)</f>
        <v/>
      </c>
      <c r="D333" s="19">
        <f>IF($A333="","",IF(COUNTIFS(請求記録!$B$6:$B$3005,$A333,請求記録!$Z$6:$Z$3005,D$5,請求記録!$AF$6:$AF$3005,"保留中")&gt;0,"保留",IF(COUNTIFS(請求記録!$B$6:$B$3005,$A333,請求記録!$Z$6:$Z$3005,D$5)=0,"",SUMIFS(請求記録!$AE$6:$AE$3005,請求記録!$B$6:$B$3005,$A333,請求記録!$Z$6:$Z$3005,D$5))))</f>
        <v/>
      </c>
      <c r="E333" s="19">
        <f>IF($A333="","",IF(COUNTIFS(請求記録!$B$6:$B$3005,$A333,請求記録!$Z$6:$Z$3005,E$5,請求記録!$AF$6:$AF$3005,"保留中")&gt;0,"保留",IF(COUNTIFS(請求記録!$B$6:$B$3005,$A333,請求記録!$Z$6:$Z$3005,E$5)=0,"",SUMIFS(請求記録!$AE$6:$AE$3005,請求記録!$B$6:$B$3005,$A333,請求記録!$Z$6:$Z$3005,E$5))))</f>
        <v/>
      </c>
      <c r="F333" s="19">
        <f>IF($A333="","",IF(COUNTIFS(請求記録!$B$6:$B$3005,$A333,請求記録!$Z$6:$Z$3005,F$5,請求記録!$AF$6:$AF$3005,"保留中")&gt;0,"保留",IF(COUNTIFS(請求記録!$B$6:$B$3005,$A333,請求記録!$Z$6:$Z$3005,F$5)=0,"",SUMIFS(請求記録!$AE$6:$AE$3005,請求記録!$B$6:$B$3005,$A333,請求記録!$Z$6:$Z$3005,F$5))))</f>
        <v/>
      </c>
      <c r="G333" s="19">
        <f>IF($A333="","",IF(COUNTIFS(請求記録!$B$6:$B$3005,$A333,請求記録!$Z$6:$Z$3005,G$5,請求記録!$AF$6:$AF$3005,"保留中")&gt;0,"保留",IF(COUNTIFS(請求記録!$B$6:$B$3005,$A333,請求記録!$Z$6:$Z$3005,G$5)=0,"",SUMIFS(請求記録!$AE$6:$AE$3005,請求記録!$B$6:$B$3005,$A333,請求記録!$Z$6:$Z$3005,G$5))))</f>
        <v/>
      </c>
      <c r="H333" s="19">
        <f>IF($A333="","",IF(COUNTIFS(請求記録!$B$6:$B$3005,$A333,請求記録!$Z$6:$Z$3005,H$5,請求記録!$AF$6:$AF$3005,"保留中")&gt;0,"保留",IF(COUNTIFS(請求記録!$B$6:$B$3005,$A333,請求記録!$Z$6:$Z$3005,H$5)=0,"",SUMIFS(請求記録!$AE$6:$AE$3005,請求記録!$B$6:$B$3005,$A333,請求記録!$Z$6:$Z$3005,H$5))))</f>
        <v/>
      </c>
      <c r="I333" s="19">
        <f>IF($A333="","",IF(COUNTIFS(請求記録!$B$6:$B$3005,$A333,請求記録!$Z$6:$Z$3005,I$5,請求記録!$AF$6:$AF$3005,"保留中")&gt;0,"保留",IF(COUNTIFS(請求記録!$B$6:$B$3005,$A333,請求記録!$Z$6:$Z$3005,I$5)=0,"",SUMIFS(請求記録!$AE$6:$AE$3005,請求記録!$B$6:$B$3005,$A333,請求記録!$Z$6:$Z$3005,I$5))))</f>
        <v/>
      </c>
      <c r="J333" s="19">
        <f>IF($A333="","",IF(COUNTIFS(請求記録!$B$6:$B$3005,$A333,請求記録!$Z$6:$Z$3005,J$5,請求記録!$AF$6:$AF$3005,"保留中")&gt;0,"保留",IF(COUNTIFS(請求記録!$B$6:$B$3005,$A333,請求記録!$Z$6:$Z$3005,J$5)=0,"",SUMIFS(請求記録!$AE$6:$AE$3005,請求記録!$B$6:$B$3005,$A333,請求記録!$Z$6:$Z$3005,J$5))))</f>
        <v/>
      </c>
      <c r="K333" s="19">
        <f>IF($A333="","",IF(COUNTIFS(請求記録!$B$6:$B$3005,$A333,請求記録!$Z$6:$Z$3005,K$5,請求記録!$AF$6:$AF$3005,"保留中")&gt;0,"保留",IF(COUNTIFS(請求記録!$B$6:$B$3005,$A333,請求記録!$Z$6:$Z$3005,K$5)=0,"",SUMIFS(請求記録!$AE$6:$AE$3005,請求記録!$B$6:$B$3005,$A333,請求記録!$Z$6:$Z$3005,K$5))))</f>
        <v/>
      </c>
      <c r="L333" s="19">
        <f>IF($A333="","",IF(COUNTIFS(請求記録!$B$6:$B$3005,$A333,請求記録!$Z$6:$Z$3005,L$5,請求記録!$AF$6:$AF$3005,"保留中")&gt;0,"保留",IF(COUNTIFS(請求記録!$B$6:$B$3005,$A333,請求記録!$Z$6:$Z$3005,L$5)=0,"",SUMIFS(請求記録!$AE$6:$AE$3005,請求記録!$B$6:$B$3005,$A333,請求記録!$Z$6:$Z$3005,L$5))))</f>
        <v/>
      </c>
      <c r="M333" s="19">
        <f>IF($A333="","",IF(COUNTIFS(請求記録!$B$6:$B$3005,$A333,請求記録!$Z$6:$Z$3005,M$5,請求記録!$AF$6:$AF$3005,"保留中")&gt;0,"保留",IF(COUNTIFS(請求記録!$B$6:$B$3005,$A333,請求記録!$Z$6:$Z$3005,M$5)=0,"",SUMIFS(請求記録!$AE$6:$AE$3005,請求記録!$B$6:$B$3005,$A333,請求記録!$Z$6:$Z$3005,M$5))))</f>
        <v/>
      </c>
      <c r="N333" s="19">
        <f>IF($A333="","",IF(COUNTIFS(請求記録!$B$6:$B$3005,$A333,請求記録!$Z$6:$Z$3005,N$5,請求記録!$AF$6:$AF$3005,"保留中")&gt;0,"保留",IF(COUNTIFS(請求記録!$B$6:$B$3005,$A333,請求記録!$Z$6:$Z$3005,N$5)=0,"",SUMIFS(請求記録!$AE$6:$AE$3005,請求記録!$B$6:$B$3005,$A333,請求記録!$Z$6:$Z$3005,N$5))))</f>
        <v/>
      </c>
      <c r="O333" s="19">
        <f>IF($A333="","",IF(COUNTIFS(請求記録!$B$6:$B$3005,$A333,請求記録!$Z$6:$Z$3005,O$5,請求記録!$AF$6:$AF$3005,"保留中")&gt;0,"保留",IF(COUNTIFS(請求記録!$B$6:$B$3005,$A333,請求記録!$Z$6:$Z$3005,O$5)=0,"",SUMIFS(請求記録!$AE$6:$AE$3005,請求記録!$B$6:$B$3005,$A333,請求記録!$Z$6:$Z$3005,O$5))))</f>
        <v/>
      </c>
      <c r="P333" s="19">
        <f>IF($A333="","",IF(COUNTIFS(請求記録!$B$6:$B$3005,$A333,請求記録!$Z$6:$Z$3005,P$5,請求記録!$AF$6:$AF$3005,"保留中")&gt;0,"保留",IF(COUNTIFS(請求記録!$B$6:$B$3005,$A333,請求記録!$Z$6:$Z$3005,P$5)=0,"",SUMIFS(請求記録!$AE$6:$AE$3005,請求記録!$B$6:$B$3005,$A333,請求記録!$Z$6:$Z$3005,P$5))))</f>
        <v/>
      </c>
      <c r="Q333" s="19">
        <f>IF($A333="","",IF(COUNTIFS(請求記録!$B$6:$B$3005,$A333,請求記録!$Z$6:$Z$3005,Q$5,請求記録!$AF$6:$AF$3005,"保留中")&gt;0,"保留",IF(COUNTIFS(請求記録!$B$6:$B$3005,$A333,請求記録!$Z$6:$Z$3005,Q$5)=0,"",SUMIFS(請求記録!$AE$6:$AE$3005,請求記録!$B$6:$B$3005,$A333,請求記録!$Z$6:$Z$3005,Q$5))))</f>
        <v/>
      </c>
      <c r="R333" s="19">
        <f>IF($A333="","",IF(COUNTIFS(請求記録!$B$6:$B$3005,$A333,請求記録!$Z$6:$Z$3005,R$5,請求記録!$AF$6:$AF$3005,"保留中")&gt;0,"保留",IF(COUNTIFS(請求記録!$B$6:$B$3005,$A333,請求記録!$Z$6:$Z$3005,R$5)=0,"",SUMIFS(請求記録!$AE$6:$AE$3005,請求記録!$B$6:$B$3005,$A333,請求記録!$Z$6:$Z$3005,R$5))))</f>
        <v/>
      </c>
      <c r="S333" s="19">
        <f>IF($A333="","",IF(COUNTIFS(請求記録!$B$6:$B$3005,$A333,請求記録!$Z$6:$Z$3005,S$5,請求記録!$AF$6:$AF$3005,"保留中")&gt;0,"保留",IF(COUNTIFS(請求記録!$B$6:$B$3005,$A333,請求記録!$Z$6:$Z$3005,S$5)=0,"",SUMIFS(請求記録!$AE$6:$AE$3005,請求記録!$B$6:$B$3005,$A333,請求記録!$Z$6:$Z$3005,S$5))))</f>
        <v/>
      </c>
      <c r="T333" s="19">
        <f>IF($A333="","",IF(COUNTIFS(請求記録!$B$6:$B$3005,$A333,請求記録!$Z$6:$Z$3005,T$5,請求記録!$AF$6:$AF$3005,"保留中")&gt;0,"保留",IF(COUNTIFS(請求記録!$B$6:$B$3005,$A333,請求記録!$Z$6:$Z$3005,T$5)=0,"",SUMIFS(請求記録!$AE$6:$AE$3005,請求記録!$B$6:$B$3005,$A333,請求記録!$Z$6:$Z$3005,T$5))))</f>
        <v/>
      </c>
      <c r="U333" s="19">
        <f>IF($A333="","",IF(COUNTIFS(請求記録!$B$6:$B$3005,$A333,請求記録!$Z$6:$Z$3005,U$5,請求記録!$AF$6:$AF$3005,"保留中")&gt;0,"保留",IF(COUNTIFS(請求記録!$B$6:$B$3005,$A333,請求記録!$Z$6:$Z$3005,U$5)=0,"",SUMIFS(請求記録!$AE$6:$AE$3005,請求記録!$B$6:$B$3005,$A333,請求記録!$Z$6:$Z$3005,U$5))))</f>
        <v/>
      </c>
      <c r="V333" s="19">
        <f>IF($A333="","",IF(COUNTIFS(請求記録!$B$6:$B$3005,$A333,請求記録!$Z$6:$Z$3005,V$5,請求記録!$AF$6:$AF$3005,"保留中")&gt;0,"保留",IF(COUNTIFS(請求記録!$B$6:$B$3005,$A333,請求記録!$Z$6:$Z$3005,V$5)=0,"",SUMIFS(請求記録!$AE$6:$AE$3005,請求記録!$B$6:$B$3005,$A333,請求記録!$Z$6:$Z$3005,V$5))))</f>
        <v/>
      </c>
      <c r="W333" s="19">
        <f>IF($A333="","",IF(COUNTIFS(請求記録!$B$6:$B$3005,$A333,請求記録!$Z$6:$Z$3005,W$5,請求記録!$AF$6:$AF$3005,"保留中")&gt;0,"保留",IF(COUNTIFS(請求記録!$B$6:$B$3005,$A333,請求記録!$Z$6:$Z$3005,W$5)=0,"",SUMIFS(請求記録!$AE$6:$AE$3005,請求記録!$B$6:$B$3005,$A333,請求記録!$Z$6:$Z$3005,W$5))))</f>
        <v/>
      </c>
      <c r="X333" s="19">
        <f>IF($A333="","",IF(COUNTIFS(請求記録!$B$6:$B$3005,$A333,請求記録!$Z$6:$Z$3005,X$5,請求記録!$AF$6:$AF$3005,"保留中")&gt;0,"保留",IF(COUNTIFS(請求記録!$B$6:$B$3005,$A333,請求記録!$Z$6:$Z$3005,X$5)=0,"",SUMIFS(請求記録!$AE$6:$AE$3005,請求記録!$B$6:$B$3005,$A333,請求記録!$Z$6:$Z$3005,X$5))))</f>
        <v/>
      </c>
      <c r="Y333" s="19">
        <f>IF($A333="","",IF(COUNTIFS(請求記録!$B$6:$B$3005,$A333,請求記録!$Z$6:$Z$3005,Y$5,請求記録!$AF$6:$AF$3005,"保留中")&gt;0,"保留",IF(COUNTIFS(請求記録!$B$6:$B$3005,$A333,請求記録!$Z$6:$Z$3005,Y$5)=0,"",SUMIFS(請求記録!$AE$6:$AE$3005,請求記録!$B$6:$B$3005,$A333,請求記録!$Z$6:$Z$3005,Y$5))))</f>
        <v/>
      </c>
      <c r="Z333" s="19">
        <f>IF($A333="","",IF(COUNTIFS(請求記録!$B$6:$B$3005,$A333,請求記録!$Z$6:$Z$3005,Z$5,請求記録!$AF$6:$AF$3005,"保留中")&gt;0,"保留",IF(COUNTIFS(請求記録!$B$6:$B$3005,$A333,請求記録!$Z$6:$Z$3005,Z$5)=0,"",SUMIFS(請求記録!$AE$6:$AE$3005,請求記録!$B$6:$B$3005,$A333,請求記録!$Z$6:$Z$3005,Z$5))))</f>
        <v/>
      </c>
      <c r="AA333" s="19">
        <f>IF($A333="","",IF(COUNTIFS(請求記録!$B$6:$B$3005,$A333,請求記録!$Z$6:$Z$3005,AA$5,請求記録!$AF$6:$AF$3005,"保留中")&gt;0,"保留",IF(COUNTIFS(請求記録!$B$6:$B$3005,$A333,請求記録!$Z$6:$Z$3005,AA$5)=0,"",SUMIFS(請求記録!$AE$6:$AE$3005,請求記録!$B$6:$B$3005,$A333,請求記録!$Z$6:$Z$3005,AA$5))))</f>
        <v/>
      </c>
      <c r="AB333">
        <f>IF(職員マスタ!P333="保留中",職員マスタ!M333,"")</f>
        <v/>
      </c>
    </row>
    <row r="334">
      <c r="A334">
        <f>IF(職員マスタ!A334="","",職員マスタ!A334)</f>
        <v/>
      </c>
      <c r="B334">
        <f>IF($A334="","",職員マスタ!B334)</f>
        <v/>
      </c>
      <c r="C334">
        <f>IF($A334="","",職員マスタ!C334)</f>
        <v/>
      </c>
      <c r="D334" s="19">
        <f>IF($A334="","",IF(COUNTIFS(請求記録!$B$6:$B$3005,$A334,請求記録!$Z$6:$Z$3005,D$5,請求記録!$AF$6:$AF$3005,"保留中")&gt;0,"保留",IF(COUNTIFS(請求記録!$B$6:$B$3005,$A334,請求記録!$Z$6:$Z$3005,D$5)=0,"",SUMIFS(請求記録!$AE$6:$AE$3005,請求記録!$B$6:$B$3005,$A334,請求記録!$Z$6:$Z$3005,D$5))))</f>
        <v/>
      </c>
      <c r="E334" s="19">
        <f>IF($A334="","",IF(COUNTIFS(請求記録!$B$6:$B$3005,$A334,請求記録!$Z$6:$Z$3005,E$5,請求記録!$AF$6:$AF$3005,"保留中")&gt;0,"保留",IF(COUNTIFS(請求記録!$B$6:$B$3005,$A334,請求記録!$Z$6:$Z$3005,E$5)=0,"",SUMIFS(請求記録!$AE$6:$AE$3005,請求記録!$B$6:$B$3005,$A334,請求記録!$Z$6:$Z$3005,E$5))))</f>
        <v/>
      </c>
      <c r="F334" s="19">
        <f>IF($A334="","",IF(COUNTIFS(請求記録!$B$6:$B$3005,$A334,請求記録!$Z$6:$Z$3005,F$5,請求記録!$AF$6:$AF$3005,"保留中")&gt;0,"保留",IF(COUNTIFS(請求記録!$B$6:$B$3005,$A334,請求記録!$Z$6:$Z$3005,F$5)=0,"",SUMIFS(請求記録!$AE$6:$AE$3005,請求記録!$B$6:$B$3005,$A334,請求記録!$Z$6:$Z$3005,F$5))))</f>
        <v/>
      </c>
      <c r="G334" s="19">
        <f>IF($A334="","",IF(COUNTIFS(請求記録!$B$6:$B$3005,$A334,請求記録!$Z$6:$Z$3005,G$5,請求記録!$AF$6:$AF$3005,"保留中")&gt;0,"保留",IF(COUNTIFS(請求記録!$B$6:$B$3005,$A334,請求記録!$Z$6:$Z$3005,G$5)=0,"",SUMIFS(請求記録!$AE$6:$AE$3005,請求記録!$B$6:$B$3005,$A334,請求記録!$Z$6:$Z$3005,G$5))))</f>
        <v/>
      </c>
      <c r="H334" s="19">
        <f>IF($A334="","",IF(COUNTIFS(請求記録!$B$6:$B$3005,$A334,請求記録!$Z$6:$Z$3005,H$5,請求記録!$AF$6:$AF$3005,"保留中")&gt;0,"保留",IF(COUNTIFS(請求記録!$B$6:$B$3005,$A334,請求記録!$Z$6:$Z$3005,H$5)=0,"",SUMIFS(請求記録!$AE$6:$AE$3005,請求記録!$B$6:$B$3005,$A334,請求記録!$Z$6:$Z$3005,H$5))))</f>
        <v/>
      </c>
      <c r="I334" s="19">
        <f>IF($A334="","",IF(COUNTIFS(請求記録!$B$6:$B$3005,$A334,請求記録!$Z$6:$Z$3005,I$5,請求記録!$AF$6:$AF$3005,"保留中")&gt;0,"保留",IF(COUNTIFS(請求記録!$B$6:$B$3005,$A334,請求記録!$Z$6:$Z$3005,I$5)=0,"",SUMIFS(請求記録!$AE$6:$AE$3005,請求記録!$B$6:$B$3005,$A334,請求記録!$Z$6:$Z$3005,I$5))))</f>
        <v/>
      </c>
      <c r="J334" s="19">
        <f>IF($A334="","",IF(COUNTIFS(請求記録!$B$6:$B$3005,$A334,請求記録!$Z$6:$Z$3005,J$5,請求記録!$AF$6:$AF$3005,"保留中")&gt;0,"保留",IF(COUNTIFS(請求記録!$B$6:$B$3005,$A334,請求記録!$Z$6:$Z$3005,J$5)=0,"",SUMIFS(請求記録!$AE$6:$AE$3005,請求記録!$B$6:$B$3005,$A334,請求記録!$Z$6:$Z$3005,J$5))))</f>
        <v/>
      </c>
      <c r="K334" s="19">
        <f>IF($A334="","",IF(COUNTIFS(請求記録!$B$6:$B$3005,$A334,請求記録!$Z$6:$Z$3005,K$5,請求記録!$AF$6:$AF$3005,"保留中")&gt;0,"保留",IF(COUNTIFS(請求記録!$B$6:$B$3005,$A334,請求記録!$Z$6:$Z$3005,K$5)=0,"",SUMIFS(請求記録!$AE$6:$AE$3005,請求記録!$B$6:$B$3005,$A334,請求記録!$Z$6:$Z$3005,K$5))))</f>
        <v/>
      </c>
      <c r="L334" s="19">
        <f>IF($A334="","",IF(COUNTIFS(請求記録!$B$6:$B$3005,$A334,請求記録!$Z$6:$Z$3005,L$5,請求記録!$AF$6:$AF$3005,"保留中")&gt;0,"保留",IF(COUNTIFS(請求記録!$B$6:$B$3005,$A334,請求記録!$Z$6:$Z$3005,L$5)=0,"",SUMIFS(請求記録!$AE$6:$AE$3005,請求記録!$B$6:$B$3005,$A334,請求記録!$Z$6:$Z$3005,L$5))))</f>
        <v/>
      </c>
      <c r="M334" s="19">
        <f>IF($A334="","",IF(COUNTIFS(請求記録!$B$6:$B$3005,$A334,請求記録!$Z$6:$Z$3005,M$5,請求記録!$AF$6:$AF$3005,"保留中")&gt;0,"保留",IF(COUNTIFS(請求記録!$B$6:$B$3005,$A334,請求記録!$Z$6:$Z$3005,M$5)=0,"",SUMIFS(請求記録!$AE$6:$AE$3005,請求記録!$B$6:$B$3005,$A334,請求記録!$Z$6:$Z$3005,M$5))))</f>
        <v/>
      </c>
      <c r="N334" s="19">
        <f>IF($A334="","",IF(COUNTIFS(請求記録!$B$6:$B$3005,$A334,請求記録!$Z$6:$Z$3005,N$5,請求記録!$AF$6:$AF$3005,"保留中")&gt;0,"保留",IF(COUNTIFS(請求記録!$B$6:$B$3005,$A334,請求記録!$Z$6:$Z$3005,N$5)=0,"",SUMIFS(請求記録!$AE$6:$AE$3005,請求記録!$B$6:$B$3005,$A334,請求記録!$Z$6:$Z$3005,N$5))))</f>
        <v/>
      </c>
      <c r="O334" s="19">
        <f>IF($A334="","",IF(COUNTIFS(請求記録!$B$6:$B$3005,$A334,請求記録!$Z$6:$Z$3005,O$5,請求記録!$AF$6:$AF$3005,"保留中")&gt;0,"保留",IF(COUNTIFS(請求記録!$B$6:$B$3005,$A334,請求記録!$Z$6:$Z$3005,O$5)=0,"",SUMIFS(請求記録!$AE$6:$AE$3005,請求記録!$B$6:$B$3005,$A334,請求記録!$Z$6:$Z$3005,O$5))))</f>
        <v/>
      </c>
      <c r="P334" s="19">
        <f>IF($A334="","",IF(COUNTIFS(請求記録!$B$6:$B$3005,$A334,請求記録!$Z$6:$Z$3005,P$5,請求記録!$AF$6:$AF$3005,"保留中")&gt;0,"保留",IF(COUNTIFS(請求記録!$B$6:$B$3005,$A334,請求記録!$Z$6:$Z$3005,P$5)=0,"",SUMIFS(請求記録!$AE$6:$AE$3005,請求記録!$B$6:$B$3005,$A334,請求記録!$Z$6:$Z$3005,P$5))))</f>
        <v/>
      </c>
      <c r="Q334" s="19">
        <f>IF($A334="","",IF(COUNTIFS(請求記録!$B$6:$B$3005,$A334,請求記録!$Z$6:$Z$3005,Q$5,請求記録!$AF$6:$AF$3005,"保留中")&gt;0,"保留",IF(COUNTIFS(請求記録!$B$6:$B$3005,$A334,請求記録!$Z$6:$Z$3005,Q$5)=0,"",SUMIFS(請求記録!$AE$6:$AE$3005,請求記録!$B$6:$B$3005,$A334,請求記録!$Z$6:$Z$3005,Q$5))))</f>
        <v/>
      </c>
      <c r="R334" s="19">
        <f>IF($A334="","",IF(COUNTIFS(請求記録!$B$6:$B$3005,$A334,請求記録!$Z$6:$Z$3005,R$5,請求記録!$AF$6:$AF$3005,"保留中")&gt;0,"保留",IF(COUNTIFS(請求記録!$B$6:$B$3005,$A334,請求記録!$Z$6:$Z$3005,R$5)=0,"",SUMIFS(請求記録!$AE$6:$AE$3005,請求記録!$B$6:$B$3005,$A334,請求記録!$Z$6:$Z$3005,R$5))))</f>
        <v/>
      </c>
      <c r="S334" s="19">
        <f>IF($A334="","",IF(COUNTIFS(請求記録!$B$6:$B$3005,$A334,請求記録!$Z$6:$Z$3005,S$5,請求記録!$AF$6:$AF$3005,"保留中")&gt;0,"保留",IF(COUNTIFS(請求記録!$B$6:$B$3005,$A334,請求記録!$Z$6:$Z$3005,S$5)=0,"",SUMIFS(請求記録!$AE$6:$AE$3005,請求記録!$B$6:$B$3005,$A334,請求記録!$Z$6:$Z$3005,S$5))))</f>
        <v/>
      </c>
      <c r="T334" s="19">
        <f>IF($A334="","",IF(COUNTIFS(請求記録!$B$6:$B$3005,$A334,請求記録!$Z$6:$Z$3005,T$5,請求記録!$AF$6:$AF$3005,"保留中")&gt;0,"保留",IF(COUNTIFS(請求記録!$B$6:$B$3005,$A334,請求記録!$Z$6:$Z$3005,T$5)=0,"",SUMIFS(請求記録!$AE$6:$AE$3005,請求記録!$B$6:$B$3005,$A334,請求記録!$Z$6:$Z$3005,T$5))))</f>
        <v/>
      </c>
      <c r="U334" s="19">
        <f>IF($A334="","",IF(COUNTIFS(請求記録!$B$6:$B$3005,$A334,請求記録!$Z$6:$Z$3005,U$5,請求記録!$AF$6:$AF$3005,"保留中")&gt;0,"保留",IF(COUNTIFS(請求記録!$B$6:$B$3005,$A334,請求記録!$Z$6:$Z$3005,U$5)=0,"",SUMIFS(請求記録!$AE$6:$AE$3005,請求記録!$B$6:$B$3005,$A334,請求記録!$Z$6:$Z$3005,U$5))))</f>
        <v/>
      </c>
      <c r="V334" s="19">
        <f>IF($A334="","",IF(COUNTIFS(請求記録!$B$6:$B$3005,$A334,請求記録!$Z$6:$Z$3005,V$5,請求記録!$AF$6:$AF$3005,"保留中")&gt;0,"保留",IF(COUNTIFS(請求記録!$B$6:$B$3005,$A334,請求記録!$Z$6:$Z$3005,V$5)=0,"",SUMIFS(請求記録!$AE$6:$AE$3005,請求記録!$B$6:$B$3005,$A334,請求記録!$Z$6:$Z$3005,V$5))))</f>
        <v/>
      </c>
      <c r="W334" s="19">
        <f>IF($A334="","",IF(COUNTIFS(請求記録!$B$6:$B$3005,$A334,請求記録!$Z$6:$Z$3005,W$5,請求記録!$AF$6:$AF$3005,"保留中")&gt;0,"保留",IF(COUNTIFS(請求記録!$B$6:$B$3005,$A334,請求記録!$Z$6:$Z$3005,W$5)=0,"",SUMIFS(請求記録!$AE$6:$AE$3005,請求記録!$B$6:$B$3005,$A334,請求記録!$Z$6:$Z$3005,W$5))))</f>
        <v/>
      </c>
      <c r="X334" s="19">
        <f>IF($A334="","",IF(COUNTIFS(請求記録!$B$6:$B$3005,$A334,請求記録!$Z$6:$Z$3005,X$5,請求記録!$AF$6:$AF$3005,"保留中")&gt;0,"保留",IF(COUNTIFS(請求記録!$B$6:$B$3005,$A334,請求記録!$Z$6:$Z$3005,X$5)=0,"",SUMIFS(請求記録!$AE$6:$AE$3005,請求記録!$B$6:$B$3005,$A334,請求記録!$Z$6:$Z$3005,X$5))))</f>
        <v/>
      </c>
      <c r="Y334" s="19">
        <f>IF($A334="","",IF(COUNTIFS(請求記録!$B$6:$B$3005,$A334,請求記録!$Z$6:$Z$3005,Y$5,請求記録!$AF$6:$AF$3005,"保留中")&gt;0,"保留",IF(COUNTIFS(請求記録!$B$6:$B$3005,$A334,請求記録!$Z$6:$Z$3005,Y$5)=0,"",SUMIFS(請求記録!$AE$6:$AE$3005,請求記録!$B$6:$B$3005,$A334,請求記録!$Z$6:$Z$3005,Y$5))))</f>
        <v/>
      </c>
      <c r="Z334" s="19">
        <f>IF($A334="","",IF(COUNTIFS(請求記録!$B$6:$B$3005,$A334,請求記録!$Z$6:$Z$3005,Z$5,請求記録!$AF$6:$AF$3005,"保留中")&gt;0,"保留",IF(COUNTIFS(請求記録!$B$6:$B$3005,$A334,請求記録!$Z$6:$Z$3005,Z$5)=0,"",SUMIFS(請求記録!$AE$6:$AE$3005,請求記録!$B$6:$B$3005,$A334,請求記録!$Z$6:$Z$3005,Z$5))))</f>
        <v/>
      </c>
      <c r="AA334" s="19">
        <f>IF($A334="","",IF(COUNTIFS(請求記録!$B$6:$B$3005,$A334,請求記録!$Z$6:$Z$3005,AA$5,請求記録!$AF$6:$AF$3005,"保留中")&gt;0,"保留",IF(COUNTIFS(請求記録!$B$6:$B$3005,$A334,請求記録!$Z$6:$Z$3005,AA$5)=0,"",SUMIFS(請求記録!$AE$6:$AE$3005,請求記録!$B$6:$B$3005,$A334,請求記録!$Z$6:$Z$3005,AA$5))))</f>
        <v/>
      </c>
      <c r="AB334">
        <f>IF(職員マスタ!P334="保留中",職員マスタ!M334,"")</f>
        <v/>
      </c>
    </row>
    <row r="335">
      <c r="A335">
        <f>IF(職員マスタ!A335="","",職員マスタ!A335)</f>
        <v/>
      </c>
      <c r="B335">
        <f>IF($A335="","",職員マスタ!B335)</f>
        <v/>
      </c>
      <c r="C335">
        <f>IF($A335="","",職員マスタ!C335)</f>
        <v/>
      </c>
      <c r="D335" s="19">
        <f>IF($A335="","",IF(COUNTIFS(請求記録!$B$6:$B$3005,$A335,請求記録!$Z$6:$Z$3005,D$5,請求記録!$AF$6:$AF$3005,"保留中")&gt;0,"保留",IF(COUNTIFS(請求記録!$B$6:$B$3005,$A335,請求記録!$Z$6:$Z$3005,D$5)=0,"",SUMIFS(請求記録!$AE$6:$AE$3005,請求記録!$B$6:$B$3005,$A335,請求記録!$Z$6:$Z$3005,D$5))))</f>
        <v/>
      </c>
      <c r="E335" s="19">
        <f>IF($A335="","",IF(COUNTIFS(請求記録!$B$6:$B$3005,$A335,請求記録!$Z$6:$Z$3005,E$5,請求記録!$AF$6:$AF$3005,"保留中")&gt;0,"保留",IF(COUNTIFS(請求記録!$B$6:$B$3005,$A335,請求記録!$Z$6:$Z$3005,E$5)=0,"",SUMIFS(請求記録!$AE$6:$AE$3005,請求記録!$B$6:$B$3005,$A335,請求記録!$Z$6:$Z$3005,E$5))))</f>
        <v/>
      </c>
      <c r="F335" s="19">
        <f>IF($A335="","",IF(COUNTIFS(請求記録!$B$6:$B$3005,$A335,請求記録!$Z$6:$Z$3005,F$5,請求記録!$AF$6:$AF$3005,"保留中")&gt;0,"保留",IF(COUNTIFS(請求記録!$B$6:$B$3005,$A335,請求記録!$Z$6:$Z$3005,F$5)=0,"",SUMIFS(請求記録!$AE$6:$AE$3005,請求記録!$B$6:$B$3005,$A335,請求記録!$Z$6:$Z$3005,F$5))))</f>
        <v/>
      </c>
      <c r="G335" s="19">
        <f>IF($A335="","",IF(COUNTIFS(請求記録!$B$6:$B$3005,$A335,請求記録!$Z$6:$Z$3005,G$5,請求記録!$AF$6:$AF$3005,"保留中")&gt;0,"保留",IF(COUNTIFS(請求記録!$B$6:$B$3005,$A335,請求記録!$Z$6:$Z$3005,G$5)=0,"",SUMIFS(請求記録!$AE$6:$AE$3005,請求記録!$B$6:$B$3005,$A335,請求記録!$Z$6:$Z$3005,G$5))))</f>
        <v/>
      </c>
      <c r="H335" s="19">
        <f>IF($A335="","",IF(COUNTIFS(請求記録!$B$6:$B$3005,$A335,請求記録!$Z$6:$Z$3005,H$5,請求記録!$AF$6:$AF$3005,"保留中")&gt;0,"保留",IF(COUNTIFS(請求記録!$B$6:$B$3005,$A335,請求記録!$Z$6:$Z$3005,H$5)=0,"",SUMIFS(請求記録!$AE$6:$AE$3005,請求記録!$B$6:$B$3005,$A335,請求記録!$Z$6:$Z$3005,H$5))))</f>
        <v/>
      </c>
      <c r="I335" s="19">
        <f>IF($A335="","",IF(COUNTIFS(請求記録!$B$6:$B$3005,$A335,請求記録!$Z$6:$Z$3005,I$5,請求記録!$AF$6:$AF$3005,"保留中")&gt;0,"保留",IF(COUNTIFS(請求記録!$B$6:$B$3005,$A335,請求記録!$Z$6:$Z$3005,I$5)=0,"",SUMIFS(請求記録!$AE$6:$AE$3005,請求記録!$B$6:$B$3005,$A335,請求記録!$Z$6:$Z$3005,I$5))))</f>
        <v/>
      </c>
      <c r="J335" s="19">
        <f>IF($A335="","",IF(COUNTIFS(請求記録!$B$6:$B$3005,$A335,請求記録!$Z$6:$Z$3005,J$5,請求記録!$AF$6:$AF$3005,"保留中")&gt;0,"保留",IF(COUNTIFS(請求記録!$B$6:$B$3005,$A335,請求記録!$Z$6:$Z$3005,J$5)=0,"",SUMIFS(請求記録!$AE$6:$AE$3005,請求記録!$B$6:$B$3005,$A335,請求記録!$Z$6:$Z$3005,J$5))))</f>
        <v/>
      </c>
      <c r="K335" s="19">
        <f>IF($A335="","",IF(COUNTIFS(請求記録!$B$6:$B$3005,$A335,請求記録!$Z$6:$Z$3005,K$5,請求記録!$AF$6:$AF$3005,"保留中")&gt;0,"保留",IF(COUNTIFS(請求記録!$B$6:$B$3005,$A335,請求記録!$Z$6:$Z$3005,K$5)=0,"",SUMIFS(請求記録!$AE$6:$AE$3005,請求記録!$B$6:$B$3005,$A335,請求記録!$Z$6:$Z$3005,K$5))))</f>
        <v/>
      </c>
      <c r="L335" s="19">
        <f>IF($A335="","",IF(COUNTIFS(請求記録!$B$6:$B$3005,$A335,請求記録!$Z$6:$Z$3005,L$5,請求記録!$AF$6:$AF$3005,"保留中")&gt;0,"保留",IF(COUNTIFS(請求記録!$B$6:$B$3005,$A335,請求記録!$Z$6:$Z$3005,L$5)=0,"",SUMIFS(請求記録!$AE$6:$AE$3005,請求記録!$B$6:$B$3005,$A335,請求記録!$Z$6:$Z$3005,L$5))))</f>
        <v/>
      </c>
      <c r="M335" s="19">
        <f>IF($A335="","",IF(COUNTIFS(請求記録!$B$6:$B$3005,$A335,請求記録!$Z$6:$Z$3005,M$5,請求記録!$AF$6:$AF$3005,"保留中")&gt;0,"保留",IF(COUNTIFS(請求記録!$B$6:$B$3005,$A335,請求記録!$Z$6:$Z$3005,M$5)=0,"",SUMIFS(請求記録!$AE$6:$AE$3005,請求記録!$B$6:$B$3005,$A335,請求記録!$Z$6:$Z$3005,M$5))))</f>
        <v/>
      </c>
      <c r="N335" s="19">
        <f>IF($A335="","",IF(COUNTIFS(請求記録!$B$6:$B$3005,$A335,請求記録!$Z$6:$Z$3005,N$5,請求記録!$AF$6:$AF$3005,"保留中")&gt;0,"保留",IF(COUNTIFS(請求記録!$B$6:$B$3005,$A335,請求記録!$Z$6:$Z$3005,N$5)=0,"",SUMIFS(請求記録!$AE$6:$AE$3005,請求記録!$B$6:$B$3005,$A335,請求記録!$Z$6:$Z$3005,N$5))))</f>
        <v/>
      </c>
      <c r="O335" s="19">
        <f>IF($A335="","",IF(COUNTIFS(請求記録!$B$6:$B$3005,$A335,請求記録!$Z$6:$Z$3005,O$5,請求記録!$AF$6:$AF$3005,"保留中")&gt;0,"保留",IF(COUNTIFS(請求記録!$B$6:$B$3005,$A335,請求記録!$Z$6:$Z$3005,O$5)=0,"",SUMIFS(請求記録!$AE$6:$AE$3005,請求記録!$B$6:$B$3005,$A335,請求記録!$Z$6:$Z$3005,O$5))))</f>
        <v/>
      </c>
      <c r="P335" s="19">
        <f>IF($A335="","",IF(COUNTIFS(請求記録!$B$6:$B$3005,$A335,請求記録!$Z$6:$Z$3005,P$5,請求記録!$AF$6:$AF$3005,"保留中")&gt;0,"保留",IF(COUNTIFS(請求記録!$B$6:$B$3005,$A335,請求記録!$Z$6:$Z$3005,P$5)=0,"",SUMIFS(請求記録!$AE$6:$AE$3005,請求記録!$B$6:$B$3005,$A335,請求記録!$Z$6:$Z$3005,P$5))))</f>
        <v/>
      </c>
      <c r="Q335" s="19">
        <f>IF($A335="","",IF(COUNTIFS(請求記録!$B$6:$B$3005,$A335,請求記録!$Z$6:$Z$3005,Q$5,請求記録!$AF$6:$AF$3005,"保留中")&gt;0,"保留",IF(COUNTIFS(請求記録!$B$6:$B$3005,$A335,請求記録!$Z$6:$Z$3005,Q$5)=0,"",SUMIFS(請求記録!$AE$6:$AE$3005,請求記録!$B$6:$B$3005,$A335,請求記録!$Z$6:$Z$3005,Q$5))))</f>
        <v/>
      </c>
      <c r="R335" s="19">
        <f>IF($A335="","",IF(COUNTIFS(請求記録!$B$6:$B$3005,$A335,請求記録!$Z$6:$Z$3005,R$5,請求記録!$AF$6:$AF$3005,"保留中")&gt;0,"保留",IF(COUNTIFS(請求記録!$B$6:$B$3005,$A335,請求記録!$Z$6:$Z$3005,R$5)=0,"",SUMIFS(請求記録!$AE$6:$AE$3005,請求記録!$B$6:$B$3005,$A335,請求記録!$Z$6:$Z$3005,R$5))))</f>
        <v/>
      </c>
      <c r="S335" s="19">
        <f>IF($A335="","",IF(COUNTIFS(請求記録!$B$6:$B$3005,$A335,請求記録!$Z$6:$Z$3005,S$5,請求記録!$AF$6:$AF$3005,"保留中")&gt;0,"保留",IF(COUNTIFS(請求記録!$B$6:$B$3005,$A335,請求記録!$Z$6:$Z$3005,S$5)=0,"",SUMIFS(請求記録!$AE$6:$AE$3005,請求記録!$B$6:$B$3005,$A335,請求記録!$Z$6:$Z$3005,S$5))))</f>
        <v/>
      </c>
      <c r="T335" s="19">
        <f>IF($A335="","",IF(COUNTIFS(請求記録!$B$6:$B$3005,$A335,請求記録!$Z$6:$Z$3005,T$5,請求記録!$AF$6:$AF$3005,"保留中")&gt;0,"保留",IF(COUNTIFS(請求記録!$B$6:$B$3005,$A335,請求記録!$Z$6:$Z$3005,T$5)=0,"",SUMIFS(請求記録!$AE$6:$AE$3005,請求記録!$B$6:$B$3005,$A335,請求記録!$Z$6:$Z$3005,T$5))))</f>
        <v/>
      </c>
      <c r="U335" s="19">
        <f>IF($A335="","",IF(COUNTIFS(請求記録!$B$6:$B$3005,$A335,請求記録!$Z$6:$Z$3005,U$5,請求記録!$AF$6:$AF$3005,"保留中")&gt;0,"保留",IF(COUNTIFS(請求記録!$B$6:$B$3005,$A335,請求記録!$Z$6:$Z$3005,U$5)=0,"",SUMIFS(請求記録!$AE$6:$AE$3005,請求記録!$B$6:$B$3005,$A335,請求記録!$Z$6:$Z$3005,U$5))))</f>
        <v/>
      </c>
      <c r="V335" s="19">
        <f>IF($A335="","",IF(COUNTIFS(請求記録!$B$6:$B$3005,$A335,請求記録!$Z$6:$Z$3005,V$5,請求記録!$AF$6:$AF$3005,"保留中")&gt;0,"保留",IF(COUNTIFS(請求記録!$B$6:$B$3005,$A335,請求記録!$Z$6:$Z$3005,V$5)=0,"",SUMIFS(請求記録!$AE$6:$AE$3005,請求記録!$B$6:$B$3005,$A335,請求記録!$Z$6:$Z$3005,V$5))))</f>
        <v/>
      </c>
      <c r="W335" s="19">
        <f>IF($A335="","",IF(COUNTIFS(請求記録!$B$6:$B$3005,$A335,請求記録!$Z$6:$Z$3005,W$5,請求記録!$AF$6:$AF$3005,"保留中")&gt;0,"保留",IF(COUNTIFS(請求記録!$B$6:$B$3005,$A335,請求記録!$Z$6:$Z$3005,W$5)=0,"",SUMIFS(請求記録!$AE$6:$AE$3005,請求記録!$B$6:$B$3005,$A335,請求記録!$Z$6:$Z$3005,W$5))))</f>
        <v/>
      </c>
      <c r="X335" s="19">
        <f>IF($A335="","",IF(COUNTIFS(請求記録!$B$6:$B$3005,$A335,請求記録!$Z$6:$Z$3005,X$5,請求記録!$AF$6:$AF$3005,"保留中")&gt;0,"保留",IF(COUNTIFS(請求記録!$B$6:$B$3005,$A335,請求記録!$Z$6:$Z$3005,X$5)=0,"",SUMIFS(請求記録!$AE$6:$AE$3005,請求記録!$B$6:$B$3005,$A335,請求記録!$Z$6:$Z$3005,X$5))))</f>
        <v/>
      </c>
      <c r="Y335" s="19">
        <f>IF($A335="","",IF(COUNTIFS(請求記録!$B$6:$B$3005,$A335,請求記録!$Z$6:$Z$3005,Y$5,請求記録!$AF$6:$AF$3005,"保留中")&gt;0,"保留",IF(COUNTIFS(請求記録!$B$6:$B$3005,$A335,請求記録!$Z$6:$Z$3005,Y$5)=0,"",SUMIFS(請求記録!$AE$6:$AE$3005,請求記録!$B$6:$B$3005,$A335,請求記録!$Z$6:$Z$3005,Y$5))))</f>
        <v/>
      </c>
      <c r="Z335" s="19">
        <f>IF($A335="","",IF(COUNTIFS(請求記録!$B$6:$B$3005,$A335,請求記録!$Z$6:$Z$3005,Z$5,請求記録!$AF$6:$AF$3005,"保留中")&gt;0,"保留",IF(COUNTIFS(請求記録!$B$6:$B$3005,$A335,請求記録!$Z$6:$Z$3005,Z$5)=0,"",SUMIFS(請求記録!$AE$6:$AE$3005,請求記録!$B$6:$B$3005,$A335,請求記録!$Z$6:$Z$3005,Z$5))))</f>
        <v/>
      </c>
      <c r="AA335" s="19">
        <f>IF($A335="","",IF(COUNTIFS(請求記録!$B$6:$B$3005,$A335,請求記録!$Z$6:$Z$3005,AA$5,請求記録!$AF$6:$AF$3005,"保留中")&gt;0,"保留",IF(COUNTIFS(請求記録!$B$6:$B$3005,$A335,請求記録!$Z$6:$Z$3005,AA$5)=0,"",SUMIFS(請求記録!$AE$6:$AE$3005,請求記録!$B$6:$B$3005,$A335,請求記録!$Z$6:$Z$3005,AA$5))))</f>
        <v/>
      </c>
      <c r="AB335">
        <f>IF(職員マスタ!P335="保留中",職員マスタ!M335,"")</f>
        <v/>
      </c>
    </row>
    <row r="336">
      <c r="A336">
        <f>IF(職員マスタ!A336="","",職員マスタ!A336)</f>
        <v/>
      </c>
      <c r="B336">
        <f>IF($A336="","",職員マスタ!B336)</f>
        <v/>
      </c>
      <c r="C336">
        <f>IF($A336="","",職員マスタ!C336)</f>
        <v/>
      </c>
      <c r="D336" s="19">
        <f>IF($A336="","",IF(COUNTIFS(請求記録!$B$6:$B$3005,$A336,請求記録!$Z$6:$Z$3005,D$5,請求記録!$AF$6:$AF$3005,"保留中")&gt;0,"保留",IF(COUNTIFS(請求記録!$B$6:$B$3005,$A336,請求記録!$Z$6:$Z$3005,D$5)=0,"",SUMIFS(請求記録!$AE$6:$AE$3005,請求記録!$B$6:$B$3005,$A336,請求記録!$Z$6:$Z$3005,D$5))))</f>
        <v/>
      </c>
      <c r="E336" s="19">
        <f>IF($A336="","",IF(COUNTIFS(請求記録!$B$6:$B$3005,$A336,請求記録!$Z$6:$Z$3005,E$5,請求記録!$AF$6:$AF$3005,"保留中")&gt;0,"保留",IF(COUNTIFS(請求記録!$B$6:$B$3005,$A336,請求記録!$Z$6:$Z$3005,E$5)=0,"",SUMIFS(請求記録!$AE$6:$AE$3005,請求記録!$B$6:$B$3005,$A336,請求記録!$Z$6:$Z$3005,E$5))))</f>
        <v/>
      </c>
      <c r="F336" s="19">
        <f>IF($A336="","",IF(COUNTIFS(請求記録!$B$6:$B$3005,$A336,請求記録!$Z$6:$Z$3005,F$5,請求記録!$AF$6:$AF$3005,"保留中")&gt;0,"保留",IF(COUNTIFS(請求記録!$B$6:$B$3005,$A336,請求記録!$Z$6:$Z$3005,F$5)=0,"",SUMIFS(請求記録!$AE$6:$AE$3005,請求記録!$B$6:$B$3005,$A336,請求記録!$Z$6:$Z$3005,F$5))))</f>
        <v/>
      </c>
      <c r="G336" s="19">
        <f>IF($A336="","",IF(COUNTIFS(請求記録!$B$6:$B$3005,$A336,請求記録!$Z$6:$Z$3005,G$5,請求記録!$AF$6:$AF$3005,"保留中")&gt;0,"保留",IF(COUNTIFS(請求記録!$B$6:$B$3005,$A336,請求記録!$Z$6:$Z$3005,G$5)=0,"",SUMIFS(請求記録!$AE$6:$AE$3005,請求記録!$B$6:$B$3005,$A336,請求記録!$Z$6:$Z$3005,G$5))))</f>
        <v/>
      </c>
      <c r="H336" s="19">
        <f>IF($A336="","",IF(COUNTIFS(請求記録!$B$6:$B$3005,$A336,請求記録!$Z$6:$Z$3005,H$5,請求記録!$AF$6:$AF$3005,"保留中")&gt;0,"保留",IF(COUNTIFS(請求記録!$B$6:$B$3005,$A336,請求記録!$Z$6:$Z$3005,H$5)=0,"",SUMIFS(請求記録!$AE$6:$AE$3005,請求記録!$B$6:$B$3005,$A336,請求記録!$Z$6:$Z$3005,H$5))))</f>
        <v/>
      </c>
      <c r="I336" s="19">
        <f>IF($A336="","",IF(COUNTIFS(請求記録!$B$6:$B$3005,$A336,請求記録!$Z$6:$Z$3005,I$5,請求記録!$AF$6:$AF$3005,"保留中")&gt;0,"保留",IF(COUNTIFS(請求記録!$B$6:$B$3005,$A336,請求記録!$Z$6:$Z$3005,I$5)=0,"",SUMIFS(請求記録!$AE$6:$AE$3005,請求記録!$B$6:$B$3005,$A336,請求記録!$Z$6:$Z$3005,I$5))))</f>
        <v/>
      </c>
      <c r="J336" s="19">
        <f>IF($A336="","",IF(COUNTIFS(請求記録!$B$6:$B$3005,$A336,請求記録!$Z$6:$Z$3005,J$5,請求記録!$AF$6:$AF$3005,"保留中")&gt;0,"保留",IF(COUNTIFS(請求記録!$B$6:$B$3005,$A336,請求記録!$Z$6:$Z$3005,J$5)=0,"",SUMIFS(請求記録!$AE$6:$AE$3005,請求記録!$B$6:$B$3005,$A336,請求記録!$Z$6:$Z$3005,J$5))))</f>
        <v/>
      </c>
      <c r="K336" s="19">
        <f>IF($A336="","",IF(COUNTIFS(請求記録!$B$6:$B$3005,$A336,請求記録!$Z$6:$Z$3005,K$5,請求記録!$AF$6:$AF$3005,"保留中")&gt;0,"保留",IF(COUNTIFS(請求記録!$B$6:$B$3005,$A336,請求記録!$Z$6:$Z$3005,K$5)=0,"",SUMIFS(請求記録!$AE$6:$AE$3005,請求記録!$B$6:$B$3005,$A336,請求記録!$Z$6:$Z$3005,K$5))))</f>
        <v/>
      </c>
      <c r="L336" s="19">
        <f>IF($A336="","",IF(COUNTIFS(請求記録!$B$6:$B$3005,$A336,請求記録!$Z$6:$Z$3005,L$5,請求記録!$AF$6:$AF$3005,"保留中")&gt;0,"保留",IF(COUNTIFS(請求記録!$B$6:$B$3005,$A336,請求記録!$Z$6:$Z$3005,L$5)=0,"",SUMIFS(請求記録!$AE$6:$AE$3005,請求記録!$B$6:$B$3005,$A336,請求記録!$Z$6:$Z$3005,L$5))))</f>
        <v/>
      </c>
      <c r="M336" s="19">
        <f>IF($A336="","",IF(COUNTIFS(請求記録!$B$6:$B$3005,$A336,請求記録!$Z$6:$Z$3005,M$5,請求記録!$AF$6:$AF$3005,"保留中")&gt;0,"保留",IF(COUNTIFS(請求記録!$B$6:$B$3005,$A336,請求記録!$Z$6:$Z$3005,M$5)=0,"",SUMIFS(請求記録!$AE$6:$AE$3005,請求記録!$B$6:$B$3005,$A336,請求記録!$Z$6:$Z$3005,M$5))))</f>
        <v/>
      </c>
      <c r="N336" s="19">
        <f>IF($A336="","",IF(COUNTIFS(請求記録!$B$6:$B$3005,$A336,請求記録!$Z$6:$Z$3005,N$5,請求記録!$AF$6:$AF$3005,"保留中")&gt;0,"保留",IF(COUNTIFS(請求記録!$B$6:$B$3005,$A336,請求記録!$Z$6:$Z$3005,N$5)=0,"",SUMIFS(請求記録!$AE$6:$AE$3005,請求記録!$B$6:$B$3005,$A336,請求記録!$Z$6:$Z$3005,N$5))))</f>
        <v/>
      </c>
      <c r="O336" s="19">
        <f>IF($A336="","",IF(COUNTIFS(請求記録!$B$6:$B$3005,$A336,請求記録!$Z$6:$Z$3005,O$5,請求記録!$AF$6:$AF$3005,"保留中")&gt;0,"保留",IF(COUNTIFS(請求記録!$B$6:$B$3005,$A336,請求記録!$Z$6:$Z$3005,O$5)=0,"",SUMIFS(請求記録!$AE$6:$AE$3005,請求記録!$B$6:$B$3005,$A336,請求記録!$Z$6:$Z$3005,O$5))))</f>
        <v/>
      </c>
      <c r="P336" s="19">
        <f>IF($A336="","",IF(COUNTIFS(請求記録!$B$6:$B$3005,$A336,請求記録!$Z$6:$Z$3005,P$5,請求記録!$AF$6:$AF$3005,"保留中")&gt;0,"保留",IF(COUNTIFS(請求記録!$B$6:$B$3005,$A336,請求記録!$Z$6:$Z$3005,P$5)=0,"",SUMIFS(請求記録!$AE$6:$AE$3005,請求記録!$B$6:$B$3005,$A336,請求記録!$Z$6:$Z$3005,P$5))))</f>
        <v/>
      </c>
      <c r="Q336" s="19">
        <f>IF($A336="","",IF(COUNTIFS(請求記録!$B$6:$B$3005,$A336,請求記録!$Z$6:$Z$3005,Q$5,請求記録!$AF$6:$AF$3005,"保留中")&gt;0,"保留",IF(COUNTIFS(請求記録!$B$6:$B$3005,$A336,請求記録!$Z$6:$Z$3005,Q$5)=0,"",SUMIFS(請求記録!$AE$6:$AE$3005,請求記録!$B$6:$B$3005,$A336,請求記録!$Z$6:$Z$3005,Q$5))))</f>
        <v/>
      </c>
      <c r="R336" s="19">
        <f>IF($A336="","",IF(COUNTIFS(請求記録!$B$6:$B$3005,$A336,請求記録!$Z$6:$Z$3005,R$5,請求記録!$AF$6:$AF$3005,"保留中")&gt;0,"保留",IF(COUNTIFS(請求記録!$B$6:$B$3005,$A336,請求記録!$Z$6:$Z$3005,R$5)=0,"",SUMIFS(請求記録!$AE$6:$AE$3005,請求記録!$B$6:$B$3005,$A336,請求記録!$Z$6:$Z$3005,R$5))))</f>
        <v/>
      </c>
      <c r="S336" s="19">
        <f>IF($A336="","",IF(COUNTIFS(請求記録!$B$6:$B$3005,$A336,請求記録!$Z$6:$Z$3005,S$5,請求記録!$AF$6:$AF$3005,"保留中")&gt;0,"保留",IF(COUNTIFS(請求記録!$B$6:$B$3005,$A336,請求記録!$Z$6:$Z$3005,S$5)=0,"",SUMIFS(請求記録!$AE$6:$AE$3005,請求記録!$B$6:$B$3005,$A336,請求記録!$Z$6:$Z$3005,S$5))))</f>
        <v/>
      </c>
      <c r="T336" s="19">
        <f>IF($A336="","",IF(COUNTIFS(請求記録!$B$6:$B$3005,$A336,請求記録!$Z$6:$Z$3005,T$5,請求記録!$AF$6:$AF$3005,"保留中")&gt;0,"保留",IF(COUNTIFS(請求記録!$B$6:$B$3005,$A336,請求記録!$Z$6:$Z$3005,T$5)=0,"",SUMIFS(請求記録!$AE$6:$AE$3005,請求記録!$B$6:$B$3005,$A336,請求記録!$Z$6:$Z$3005,T$5))))</f>
        <v/>
      </c>
      <c r="U336" s="19">
        <f>IF($A336="","",IF(COUNTIFS(請求記録!$B$6:$B$3005,$A336,請求記録!$Z$6:$Z$3005,U$5,請求記録!$AF$6:$AF$3005,"保留中")&gt;0,"保留",IF(COUNTIFS(請求記録!$B$6:$B$3005,$A336,請求記録!$Z$6:$Z$3005,U$5)=0,"",SUMIFS(請求記録!$AE$6:$AE$3005,請求記録!$B$6:$B$3005,$A336,請求記録!$Z$6:$Z$3005,U$5))))</f>
        <v/>
      </c>
      <c r="V336" s="19">
        <f>IF($A336="","",IF(COUNTIFS(請求記録!$B$6:$B$3005,$A336,請求記録!$Z$6:$Z$3005,V$5,請求記録!$AF$6:$AF$3005,"保留中")&gt;0,"保留",IF(COUNTIFS(請求記録!$B$6:$B$3005,$A336,請求記録!$Z$6:$Z$3005,V$5)=0,"",SUMIFS(請求記録!$AE$6:$AE$3005,請求記録!$B$6:$B$3005,$A336,請求記録!$Z$6:$Z$3005,V$5))))</f>
        <v/>
      </c>
      <c r="W336" s="19">
        <f>IF($A336="","",IF(COUNTIFS(請求記録!$B$6:$B$3005,$A336,請求記録!$Z$6:$Z$3005,W$5,請求記録!$AF$6:$AF$3005,"保留中")&gt;0,"保留",IF(COUNTIFS(請求記録!$B$6:$B$3005,$A336,請求記録!$Z$6:$Z$3005,W$5)=0,"",SUMIFS(請求記録!$AE$6:$AE$3005,請求記録!$B$6:$B$3005,$A336,請求記録!$Z$6:$Z$3005,W$5))))</f>
        <v/>
      </c>
      <c r="X336" s="19">
        <f>IF($A336="","",IF(COUNTIFS(請求記録!$B$6:$B$3005,$A336,請求記録!$Z$6:$Z$3005,X$5,請求記録!$AF$6:$AF$3005,"保留中")&gt;0,"保留",IF(COUNTIFS(請求記録!$B$6:$B$3005,$A336,請求記録!$Z$6:$Z$3005,X$5)=0,"",SUMIFS(請求記録!$AE$6:$AE$3005,請求記録!$B$6:$B$3005,$A336,請求記録!$Z$6:$Z$3005,X$5))))</f>
        <v/>
      </c>
      <c r="Y336" s="19">
        <f>IF($A336="","",IF(COUNTIFS(請求記録!$B$6:$B$3005,$A336,請求記録!$Z$6:$Z$3005,Y$5,請求記録!$AF$6:$AF$3005,"保留中")&gt;0,"保留",IF(COUNTIFS(請求記録!$B$6:$B$3005,$A336,請求記録!$Z$6:$Z$3005,Y$5)=0,"",SUMIFS(請求記録!$AE$6:$AE$3005,請求記録!$B$6:$B$3005,$A336,請求記録!$Z$6:$Z$3005,Y$5))))</f>
        <v/>
      </c>
      <c r="Z336" s="19">
        <f>IF($A336="","",IF(COUNTIFS(請求記録!$B$6:$B$3005,$A336,請求記録!$Z$6:$Z$3005,Z$5,請求記録!$AF$6:$AF$3005,"保留中")&gt;0,"保留",IF(COUNTIFS(請求記録!$B$6:$B$3005,$A336,請求記録!$Z$6:$Z$3005,Z$5)=0,"",SUMIFS(請求記録!$AE$6:$AE$3005,請求記録!$B$6:$B$3005,$A336,請求記録!$Z$6:$Z$3005,Z$5))))</f>
        <v/>
      </c>
      <c r="AA336" s="19">
        <f>IF($A336="","",IF(COUNTIFS(請求記録!$B$6:$B$3005,$A336,請求記録!$Z$6:$Z$3005,AA$5,請求記録!$AF$6:$AF$3005,"保留中")&gt;0,"保留",IF(COUNTIFS(請求記録!$B$6:$B$3005,$A336,請求記録!$Z$6:$Z$3005,AA$5)=0,"",SUMIFS(請求記録!$AE$6:$AE$3005,請求記録!$B$6:$B$3005,$A336,請求記録!$Z$6:$Z$3005,AA$5))))</f>
        <v/>
      </c>
      <c r="AB336">
        <f>IF(職員マスタ!P336="保留中",職員マスタ!M336,"")</f>
        <v/>
      </c>
    </row>
    <row r="337">
      <c r="A337">
        <f>IF(職員マスタ!A337="","",職員マスタ!A337)</f>
        <v/>
      </c>
      <c r="B337">
        <f>IF($A337="","",職員マスタ!B337)</f>
        <v/>
      </c>
      <c r="C337">
        <f>IF($A337="","",職員マスタ!C337)</f>
        <v/>
      </c>
      <c r="D337" s="19">
        <f>IF($A337="","",IF(COUNTIFS(請求記録!$B$6:$B$3005,$A337,請求記録!$Z$6:$Z$3005,D$5,請求記録!$AF$6:$AF$3005,"保留中")&gt;0,"保留",IF(COUNTIFS(請求記録!$B$6:$B$3005,$A337,請求記録!$Z$6:$Z$3005,D$5)=0,"",SUMIFS(請求記録!$AE$6:$AE$3005,請求記録!$B$6:$B$3005,$A337,請求記録!$Z$6:$Z$3005,D$5))))</f>
        <v/>
      </c>
      <c r="E337" s="19">
        <f>IF($A337="","",IF(COUNTIFS(請求記録!$B$6:$B$3005,$A337,請求記録!$Z$6:$Z$3005,E$5,請求記録!$AF$6:$AF$3005,"保留中")&gt;0,"保留",IF(COUNTIFS(請求記録!$B$6:$B$3005,$A337,請求記録!$Z$6:$Z$3005,E$5)=0,"",SUMIFS(請求記録!$AE$6:$AE$3005,請求記録!$B$6:$B$3005,$A337,請求記録!$Z$6:$Z$3005,E$5))))</f>
        <v/>
      </c>
      <c r="F337" s="19">
        <f>IF($A337="","",IF(COUNTIFS(請求記録!$B$6:$B$3005,$A337,請求記録!$Z$6:$Z$3005,F$5,請求記録!$AF$6:$AF$3005,"保留中")&gt;0,"保留",IF(COUNTIFS(請求記録!$B$6:$B$3005,$A337,請求記録!$Z$6:$Z$3005,F$5)=0,"",SUMIFS(請求記録!$AE$6:$AE$3005,請求記録!$B$6:$B$3005,$A337,請求記録!$Z$6:$Z$3005,F$5))))</f>
        <v/>
      </c>
      <c r="G337" s="19">
        <f>IF($A337="","",IF(COUNTIFS(請求記録!$B$6:$B$3005,$A337,請求記録!$Z$6:$Z$3005,G$5,請求記録!$AF$6:$AF$3005,"保留中")&gt;0,"保留",IF(COUNTIFS(請求記録!$B$6:$B$3005,$A337,請求記録!$Z$6:$Z$3005,G$5)=0,"",SUMIFS(請求記録!$AE$6:$AE$3005,請求記録!$B$6:$B$3005,$A337,請求記録!$Z$6:$Z$3005,G$5))))</f>
        <v/>
      </c>
      <c r="H337" s="19">
        <f>IF($A337="","",IF(COUNTIFS(請求記録!$B$6:$B$3005,$A337,請求記録!$Z$6:$Z$3005,H$5,請求記録!$AF$6:$AF$3005,"保留中")&gt;0,"保留",IF(COUNTIFS(請求記録!$B$6:$B$3005,$A337,請求記録!$Z$6:$Z$3005,H$5)=0,"",SUMIFS(請求記録!$AE$6:$AE$3005,請求記録!$B$6:$B$3005,$A337,請求記録!$Z$6:$Z$3005,H$5))))</f>
        <v/>
      </c>
      <c r="I337" s="19">
        <f>IF($A337="","",IF(COUNTIFS(請求記録!$B$6:$B$3005,$A337,請求記録!$Z$6:$Z$3005,I$5,請求記録!$AF$6:$AF$3005,"保留中")&gt;0,"保留",IF(COUNTIFS(請求記録!$B$6:$B$3005,$A337,請求記録!$Z$6:$Z$3005,I$5)=0,"",SUMIFS(請求記録!$AE$6:$AE$3005,請求記録!$B$6:$B$3005,$A337,請求記録!$Z$6:$Z$3005,I$5))))</f>
        <v/>
      </c>
      <c r="J337" s="19">
        <f>IF($A337="","",IF(COUNTIFS(請求記録!$B$6:$B$3005,$A337,請求記録!$Z$6:$Z$3005,J$5,請求記録!$AF$6:$AF$3005,"保留中")&gt;0,"保留",IF(COUNTIFS(請求記録!$B$6:$B$3005,$A337,請求記録!$Z$6:$Z$3005,J$5)=0,"",SUMIFS(請求記録!$AE$6:$AE$3005,請求記録!$B$6:$B$3005,$A337,請求記録!$Z$6:$Z$3005,J$5))))</f>
        <v/>
      </c>
      <c r="K337" s="19">
        <f>IF($A337="","",IF(COUNTIFS(請求記録!$B$6:$B$3005,$A337,請求記録!$Z$6:$Z$3005,K$5,請求記録!$AF$6:$AF$3005,"保留中")&gt;0,"保留",IF(COUNTIFS(請求記録!$B$6:$B$3005,$A337,請求記録!$Z$6:$Z$3005,K$5)=0,"",SUMIFS(請求記録!$AE$6:$AE$3005,請求記録!$B$6:$B$3005,$A337,請求記録!$Z$6:$Z$3005,K$5))))</f>
        <v/>
      </c>
      <c r="L337" s="19">
        <f>IF($A337="","",IF(COUNTIFS(請求記録!$B$6:$B$3005,$A337,請求記録!$Z$6:$Z$3005,L$5,請求記録!$AF$6:$AF$3005,"保留中")&gt;0,"保留",IF(COUNTIFS(請求記録!$B$6:$B$3005,$A337,請求記録!$Z$6:$Z$3005,L$5)=0,"",SUMIFS(請求記録!$AE$6:$AE$3005,請求記録!$B$6:$B$3005,$A337,請求記録!$Z$6:$Z$3005,L$5))))</f>
        <v/>
      </c>
      <c r="M337" s="19">
        <f>IF($A337="","",IF(COUNTIFS(請求記録!$B$6:$B$3005,$A337,請求記録!$Z$6:$Z$3005,M$5,請求記録!$AF$6:$AF$3005,"保留中")&gt;0,"保留",IF(COUNTIFS(請求記録!$B$6:$B$3005,$A337,請求記録!$Z$6:$Z$3005,M$5)=0,"",SUMIFS(請求記録!$AE$6:$AE$3005,請求記録!$B$6:$B$3005,$A337,請求記録!$Z$6:$Z$3005,M$5))))</f>
        <v/>
      </c>
      <c r="N337" s="19">
        <f>IF($A337="","",IF(COUNTIFS(請求記録!$B$6:$B$3005,$A337,請求記録!$Z$6:$Z$3005,N$5,請求記録!$AF$6:$AF$3005,"保留中")&gt;0,"保留",IF(COUNTIFS(請求記録!$B$6:$B$3005,$A337,請求記録!$Z$6:$Z$3005,N$5)=0,"",SUMIFS(請求記録!$AE$6:$AE$3005,請求記録!$B$6:$B$3005,$A337,請求記録!$Z$6:$Z$3005,N$5))))</f>
        <v/>
      </c>
      <c r="O337" s="19">
        <f>IF($A337="","",IF(COUNTIFS(請求記録!$B$6:$B$3005,$A337,請求記録!$Z$6:$Z$3005,O$5,請求記録!$AF$6:$AF$3005,"保留中")&gt;0,"保留",IF(COUNTIFS(請求記録!$B$6:$B$3005,$A337,請求記録!$Z$6:$Z$3005,O$5)=0,"",SUMIFS(請求記録!$AE$6:$AE$3005,請求記録!$B$6:$B$3005,$A337,請求記録!$Z$6:$Z$3005,O$5))))</f>
        <v/>
      </c>
      <c r="P337" s="19">
        <f>IF($A337="","",IF(COUNTIFS(請求記録!$B$6:$B$3005,$A337,請求記録!$Z$6:$Z$3005,P$5,請求記録!$AF$6:$AF$3005,"保留中")&gt;0,"保留",IF(COUNTIFS(請求記録!$B$6:$B$3005,$A337,請求記録!$Z$6:$Z$3005,P$5)=0,"",SUMIFS(請求記録!$AE$6:$AE$3005,請求記録!$B$6:$B$3005,$A337,請求記録!$Z$6:$Z$3005,P$5))))</f>
        <v/>
      </c>
      <c r="Q337" s="19">
        <f>IF($A337="","",IF(COUNTIFS(請求記録!$B$6:$B$3005,$A337,請求記録!$Z$6:$Z$3005,Q$5,請求記録!$AF$6:$AF$3005,"保留中")&gt;0,"保留",IF(COUNTIFS(請求記録!$B$6:$B$3005,$A337,請求記録!$Z$6:$Z$3005,Q$5)=0,"",SUMIFS(請求記録!$AE$6:$AE$3005,請求記録!$B$6:$B$3005,$A337,請求記録!$Z$6:$Z$3005,Q$5))))</f>
        <v/>
      </c>
      <c r="R337" s="19">
        <f>IF($A337="","",IF(COUNTIFS(請求記録!$B$6:$B$3005,$A337,請求記録!$Z$6:$Z$3005,R$5,請求記録!$AF$6:$AF$3005,"保留中")&gt;0,"保留",IF(COUNTIFS(請求記録!$B$6:$B$3005,$A337,請求記録!$Z$6:$Z$3005,R$5)=0,"",SUMIFS(請求記録!$AE$6:$AE$3005,請求記録!$B$6:$B$3005,$A337,請求記録!$Z$6:$Z$3005,R$5))))</f>
        <v/>
      </c>
      <c r="S337" s="19">
        <f>IF($A337="","",IF(COUNTIFS(請求記録!$B$6:$B$3005,$A337,請求記録!$Z$6:$Z$3005,S$5,請求記録!$AF$6:$AF$3005,"保留中")&gt;0,"保留",IF(COUNTIFS(請求記録!$B$6:$B$3005,$A337,請求記録!$Z$6:$Z$3005,S$5)=0,"",SUMIFS(請求記録!$AE$6:$AE$3005,請求記録!$B$6:$B$3005,$A337,請求記録!$Z$6:$Z$3005,S$5))))</f>
        <v/>
      </c>
      <c r="T337" s="19">
        <f>IF($A337="","",IF(COUNTIFS(請求記録!$B$6:$B$3005,$A337,請求記録!$Z$6:$Z$3005,T$5,請求記録!$AF$6:$AF$3005,"保留中")&gt;0,"保留",IF(COUNTIFS(請求記録!$B$6:$B$3005,$A337,請求記録!$Z$6:$Z$3005,T$5)=0,"",SUMIFS(請求記録!$AE$6:$AE$3005,請求記録!$B$6:$B$3005,$A337,請求記録!$Z$6:$Z$3005,T$5))))</f>
        <v/>
      </c>
      <c r="U337" s="19">
        <f>IF($A337="","",IF(COUNTIFS(請求記録!$B$6:$B$3005,$A337,請求記録!$Z$6:$Z$3005,U$5,請求記録!$AF$6:$AF$3005,"保留中")&gt;0,"保留",IF(COUNTIFS(請求記録!$B$6:$B$3005,$A337,請求記録!$Z$6:$Z$3005,U$5)=0,"",SUMIFS(請求記録!$AE$6:$AE$3005,請求記録!$B$6:$B$3005,$A337,請求記録!$Z$6:$Z$3005,U$5))))</f>
        <v/>
      </c>
      <c r="V337" s="19">
        <f>IF($A337="","",IF(COUNTIFS(請求記録!$B$6:$B$3005,$A337,請求記録!$Z$6:$Z$3005,V$5,請求記録!$AF$6:$AF$3005,"保留中")&gt;0,"保留",IF(COUNTIFS(請求記録!$B$6:$B$3005,$A337,請求記録!$Z$6:$Z$3005,V$5)=0,"",SUMIFS(請求記録!$AE$6:$AE$3005,請求記録!$B$6:$B$3005,$A337,請求記録!$Z$6:$Z$3005,V$5))))</f>
        <v/>
      </c>
      <c r="W337" s="19">
        <f>IF($A337="","",IF(COUNTIFS(請求記録!$B$6:$B$3005,$A337,請求記録!$Z$6:$Z$3005,W$5,請求記録!$AF$6:$AF$3005,"保留中")&gt;0,"保留",IF(COUNTIFS(請求記録!$B$6:$B$3005,$A337,請求記録!$Z$6:$Z$3005,W$5)=0,"",SUMIFS(請求記録!$AE$6:$AE$3005,請求記録!$B$6:$B$3005,$A337,請求記録!$Z$6:$Z$3005,W$5))))</f>
        <v/>
      </c>
      <c r="X337" s="19">
        <f>IF($A337="","",IF(COUNTIFS(請求記録!$B$6:$B$3005,$A337,請求記録!$Z$6:$Z$3005,X$5,請求記録!$AF$6:$AF$3005,"保留中")&gt;0,"保留",IF(COUNTIFS(請求記録!$B$6:$B$3005,$A337,請求記録!$Z$6:$Z$3005,X$5)=0,"",SUMIFS(請求記録!$AE$6:$AE$3005,請求記録!$B$6:$B$3005,$A337,請求記録!$Z$6:$Z$3005,X$5))))</f>
        <v/>
      </c>
      <c r="Y337" s="19">
        <f>IF($A337="","",IF(COUNTIFS(請求記録!$B$6:$B$3005,$A337,請求記録!$Z$6:$Z$3005,Y$5,請求記録!$AF$6:$AF$3005,"保留中")&gt;0,"保留",IF(COUNTIFS(請求記録!$B$6:$B$3005,$A337,請求記録!$Z$6:$Z$3005,Y$5)=0,"",SUMIFS(請求記録!$AE$6:$AE$3005,請求記録!$B$6:$B$3005,$A337,請求記録!$Z$6:$Z$3005,Y$5))))</f>
        <v/>
      </c>
      <c r="Z337" s="19">
        <f>IF($A337="","",IF(COUNTIFS(請求記録!$B$6:$B$3005,$A337,請求記録!$Z$6:$Z$3005,Z$5,請求記録!$AF$6:$AF$3005,"保留中")&gt;0,"保留",IF(COUNTIFS(請求記録!$B$6:$B$3005,$A337,請求記録!$Z$6:$Z$3005,Z$5)=0,"",SUMIFS(請求記録!$AE$6:$AE$3005,請求記録!$B$6:$B$3005,$A337,請求記録!$Z$6:$Z$3005,Z$5))))</f>
        <v/>
      </c>
      <c r="AA337" s="19">
        <f>IF($A337="","",IF(COUNTIFS(請求記録!$B$6:$B$3005,$A337,請求記録!$Z$6:$Z$3005,AA$5,請求記録!$AF$6:$AF$3005,"保留中")&gt;0,"保留",IF(COUNTIFS(請求記録!$B$6:$B$3005,$A337,請求記録!$Z$6:$Z$3005,AA$5)=0,"",SUMIFS(請求記録!$AE$6:$AE$3005,請求記録!$B$6:$B$3005,$A337,請求記録!$Z$6:$Z$3005,AA$5))))</f>
        <v/>
      </c>
      <c r="AB337">
        <f>IF(職員マスタ!P337="保留中",職員マスタ!M337,"")</f>
        <v/>
      </c>
    </row>
    <row r="338">
      <c r="A338">
        <f>IF(職員マスタ!A338="","",職員マスタ!A338)</f>
        <v/>
      </c>
      <c r="B338">
        <f>IF($A338="","",職員マスタ!B338)</f>
        <v/>
      </c>
      <c r="C338">
        <f>IF($A338="","",職員マスタ!C338)</f>
        <v/>
      </c>
      <c r="D338" s="19">
        <f>IF($A338="","",IF(COUNTIFS(請求記録!$B$6:$B$3005,$A338,請求記録!$Z$6:$Z$3005,D$5,請求記録!$AF$6:$AF$3005,"保留中")&gt;0,"保留",IF(COUNTIFS(請求記録!$B$6:$B$3005,$A338,請求記録!$Z$6:$Z$3005,D$5)=0,"",SUMIFS(請求記録!$AE$6:$AE$3005,請求記録!$B$6:$B$3005,$A338,請求記録!$Z$6:$Z$3005,D$5))))</f>
        <v/>
      </c>
      <c r="E338" s="19">
        <f>IF($A338="","",IF(COUNTIFS(請求記録!$B$6:$B$3005,$A338,請求記録!$Z$6:$Z$3005,E$5,請求記録!$AF$6:$AF$3005,"保留中")&gt;0,"保留",IF(COUNTIFS(請求記録!$B$6:$B$3005,$A338,請求記録!$Z$6:$Z$3005,E$5)=0,"",SUMIFS(請求記録!$AE$6:$AE$3005,請求記録!$B$6:$B$3005,$A338,請求記録!$Z$6:$Z$3005,E$5))))</f>
        <v/>
      </c>
      <c r="F338" s="19">
        <f>IF($A338="","",IF(COUNTIFS(請求記録!$B$6:$B$3005,$A338,請求記録!$Z$6:$Z$3005,F$5,請求記録!$AF$6:$AF$3005,"保留中")&gt;0,"保留",IF(COUNTIFS(請求記録!$B$6:$B$3005,$A338,請求記録!$Z$6:$Z$3005,F$5)=0,"",SUMIFS(請求記録!$AE$6:$AE$3005,請求記録!$B$6:$B$3005,$A338,請求記録!$Z$6:$Z$3005,F$5))))</f>
        <v/>
      </c>
      <c r="G338" s="19">
        <f>IF($A338="","",IF(COUNTIFS(請求記録!$B$6:$B$3005,$A338,請求記録!$Z$6:$Z$3005,G$5,請求記録!$AF$6:$AF$3005,"保留中")&gt;0,"保留",IF(COUNTIFS(請求記録!$B$6:$B$3005,$A338,請求記録!$Z$6:$Z$3005,G$5)=0,"",SUMIFS(請求記録!$AE$6:$AE$3005,請求記録!$B$6:$B$3005,$A338,請求記録!$Z$6:$Z$3005,G$5))))</f>
        <v/>
      </c>
      <c r="H338" s="19">
        <f>IF($A338="","",IF(COUNTIFS(請求記録!$B$6:$B$3005,$A338,請求記録!$Z$6:$Z$3005,H$5,請求記録!$AF$6:$AF$3005,"保留中")&gt;0,"保留",IF(COUNTIFS(請求記録!$B$6:$B$3005,$A338,請求記録!$Z$6:$Z$3005,H$5)=0,"",SUMIFS(請求記録!$AE$6:$AE$3005,請求記録!$B$6:$B$3005,$A338,請求記録!$Z$6:$Z$3005,H$5))))</f>
        <v/>
      </c>
      <c r="I338" s="19">
        <f>IF($A338="","",IF(COUNTIFS(請求記録!$B$6:$B$3005,$A338,請求記録!$Z$6:$Z$3005,I$5,請求記録!$AF$6:$AF$3005,"保留中")&gt;0,"保留",IF(COUNTIFS(請求記録!$B$6:$B$3005,$A338,請求記録!$Z$6:$Z$3005,I$5)=0,"",SUMIFS(請求記録!$AE$6:$AE$3005,請求記録!$B$6:$B$3005,$A338,請求記録!$Z$6:$Z$3005,I$5))))</f>
        <v/>
      </c>
      <c r="J338" s="19">
        <f>IF($A338="","",IF(COUNTIFS(請求記録!$B$6:$B$3005,$A338,請求記録!$Z$6:$Z$3005,J$5,請求記録!$AF$6:$AF$3005,"保留中")&gt;0,"保留",IF(COUNTIFS(請求記録!$B$6:$B$3005,$A338,請求記録!$Z$6:$Z$3005,J$5)=0,"",SUMIFS(請求記録!$AE$6:$AE$3005,請求記録!$B$6:$B$3005,$A338,請求記録!$Z$6:$Z$3005,J$5))))</f>
        <v/>
      </c>
      <c r="K338" s="19">
        <f>IF($A338="","",IF(COUNTIFS(請求記録!$B$6:$B$3005,$A338,請求記録!$Z$6:$Z$3005,K$5,請求記録!$AF$6:$AF$3005,"保留中")&gt;0,"保留",IF(COUNTIFS(請求記録!$B$6:$B$3005,$A338,請求記録!$Z$6:$Z$3005,K$5)=0,"",SUMIFS(請求記録!$AE$6:$AE$3005,請求記録!$B$6:$B$3005,$A338,請求記録!$Z$6:$Z$3005,K$5))))</f>
        <v/>
      </c>
      <c r="L338" s="19">
        <f>IF($A338="","",IF(COUNTIFS(請求記録!$B$6:$B$3005,$A338,請求記録!$Z$6:$Z$3005,L$5,請求記録!$AF$6:$AF$3005,"保留中")&gt;0,"保留",IF(COUNTIFS(請求記録!$B$6:$B$3005,$A338,請求記録!$Z$6:$Z$3005,L$5)=0,"",SUMIFS(請求記録!$AE$6:$AE$3005,請求記録!$B$6:$B$3005,$A338,請求記録!$Z$6:$Z$3005,L$5))))</f>
        <v/>
      </c>
      <c r="M338" s="19">
        <f>IF($A338="","",IF(COUNTIFS(請求記録!$B$6:$B$3005,$A338,請求記録!$Z$6:$Z$3005,M$5,請求記録!$AF$6:$AF$3005,"保留中")&gt;0,"保留",IF(COUNTIFS(請求記録!$B$6:$B$3005,$A338,請求記録!$Z$6:$Z$3005,M$5)=0,"",SUMIFS(請求記録!$AE$6:$AE$3005,請求記録!$B$6:$B$3005,$A338,請求記録!$Z$6:$Z$3005,M$5))))</f>
        <v/>
      </c>
      <c r="N338" s="19">
        <f>IF($A338="","",IF(COUNTIFS(請求記録!$B$6:$B$3005,$A338,請求記録!$Z$6:$Z$3005,N$5,請求記録!$AF$6:$AF$3005,"保留中")&gt;0,"保留",IF(COUNTIFS(請求記録!$B$6:$B$3005,$A338,請求記録!$Z$6:$Z$3005,N$5)=0,"",SUMIFS(請求記録!$AE$6:$AE$3005,請求記録!$B$6:$B$3005,$A338,請求記録!$Z$6:$Z$3005,N$5))))</f>
        <v/>
      </c>
      <c r="O338" s="19">
        <f>IF($A338="","",IF(COUNTIFS(請求記録!$B$6:$B$3005,$A338,請求記録!$Z$6:$Z$3005,O$5,請求記録!$AF$6:$AF$3005,"保留中")&gt;0,"保留",IF(COUNTIFS(請求記録!$B$6:$B$3005,$A338,請求記録!$Z$6:$Z$3005,O$5)=0,"",SUMIFS(請求記録!$AE$6:$AE$3005,請求記録!$B$6:$B$3005,$A338,請求記録!$Z$6:$Z$3005,O$5))))</f>
        <v/>
      </c>
      <c r="P338" s="19">
        <f>IF($A338="","",IF(COUNTIFS(請求記録!$B$6:$B$3005,$A338,請求記録!$Z$6:$Z$3005,P$5,請求記録!$AF$6:$AF$3005,"保留中")&gt;0,"保留",IF(COUNTIFS(請求記録!$B$6:$B$3005,$A338,請求記録!$Z$6:$Z$3005,P$5)=0,"",SUMIFS(請求記録!$AE$6:$AE$3005,請求記録!$B$6:$B$3005,$A338,請求記録!$Z$6:$Z$3005,P$5))))</f>
        <v/>
      </c>
      <c r="Q338" s="19">
        <f>IF($A338="","",IF(COUNTIFS(請求記録!$B$6:$B$3005,$A338,請求記録!$Z$6:$Z$3005,Q$5,請求記録!$AF$6:$AF$3005,"保留中")&gt;0,"保留",IF(COUNTIFS(請求記録!$B$6:$B$3005,$A338,請求記録!$Z$6:$Z$3005,Q$5)=0,"",SUMIFS(請求記録!$AE$6:$AE$3005,請求記録!$B$6:$B$3005,$A338,請求記録!$Z$6:$Z$3005,Q$5))))</f>
        <v/>
      </c>
      <c r="R338" s="19">
        <f>IF($A338="","",IF(COUNTIFS(請求記録!$B$6:$B$3005,$A338,請求記録!$Z$6:$Z$3005,R$5,請求記録!$AF$6:$AF$3005,"保留中")&gt;0,"保留",IF(COUNTIFS(請求記録!$B$6:$B$3005,$A338,請求記録!$Z$6:$Z$3005,R$5)=0,"",SUMIFS(請求記録!$AE$6:$AE$3005,請求記録!$B$6:$B$3005,$A338,請求記録!$Z$6:$Z$3005,R$5))))</f>
        <v/>
      </c>
      <c r="S338" s="19">
        <f>IF($A338="","",IF(COUNTIFS(請求記録!$B$6:$B$3005,$A338,請求記録!$Z$6:$Z$3005,S$5,請求記録!$AF$6:$AF$3005,"保留中")&gt;0,"保留",IF(COUNTIFS(請求記録!$B$6:$B$3005,$A338,請求記録!$Z$6:$Z$3005,S$5)=0,"",SUMIFS(請求記録!$AE$6:$AE$3005,請求記録!$B$6:$B$3005,$A338,請求記録!$Z$6:$Z$3005,S$5))))</f>
        <v/>
      </c>
      <c r="T338" s="19">
        <f>IF($A338="","",IF(COUNTIFS(請求記録!$B$6:$B$3005,$A338,請求記録!$Z$6:$Z$3005,T$5,請求記録!$AF$6:$AF$3005,"保留中")&gt;0,"保留",IF(COUNTIFS(請求記録!$B$6:$B$3005,$A338,請求記録!$Z$6:$Z$3005,T$5)=0,"",SUMIFS(請求記録!$AE$6:$AE$3005,請求記録!$B$6:$B$3005,$A338,請求記録!$Z$6:$Z$3005,T$5))))</f>
        <v/>
      </c>
      <c r="U338" s="19">
        <f>IF($A338="","",IF(COUNTIFS(請求記録!$B$6:$B$3005,$A338,請求記録!$Z$6:$Z$3005,U$5,請求記録!$AF$6:$AF$3005,"保留中")&gt;0,"保留",IF(COUNTIFS(請求記録!$B$6:$B$3005,$A338,請求記録!$Z$6:$Z$3005,U$5)=0,"",SUMIFS(請求記録!$AE$6:$AE$3005,請求記録!$B$6:$B$3005,$A338,請求記録!$Z$6:$Z$3005,U$5))))</f>
        <v/>
      </c>
      <c r="V338" s="19">
        <f>IF($A338="","",IF(COUNTIFS(請求記録!$B$6:$B$3005,$A338,請求記録!$Z$6:$Z$3005,V$5,請求記録!$AF$6:$AF$3005,"保留中")&gt;0,"保留",IF(COUNTIFS(請求記録!$B$6:$B$3005,$A338,請求記録!$Z$6:$Z$3005,V$5)=0,"",SUMIFS(請求記録!$AE$6:$AE$3005,請求記録!$B$6:$B$3005,$A338,請求記録!$Z$6:$Z$3005,V$5))))</f>
        <v/>
      </c>
      <c r="W338" s="19">
        <f>IF($A338="","",IF(COUNTIFS(請求記録!$B$6:$B$3005,$A338,請求記録!$Z$6:$Z$3005,W$5,請求記録!$AF$6:$AF$3005,"保留中")&gt;0,"保留",IF(COUNTIFS(請求記録!$B$6:$B$3005,$A338,請求記録!$Z$6:$Z$3005,W$5)=0,"",SUMIFS(請求記録!$AE$6:$AE$3005,請求記録!$B$6:$B$3005,$A338,請求記録!$Z$6:$Z$3005,W$5))))</f>
        <v/>
      </c>
      <c r="X338" s="19">
        <f>IF($A338="","",IF(COUNTIFS(請求記録!$B$6:$B$3005,$A338,請求記録!$Z$6:$Z$3005,X$5,請求記録!$AF$6:$AF$3005,"保留中")&gt;0,"保留",IF(COUNTIFS(請求記録!$B$6:$B$3005,$A338,請求記録!$Z$6:$Z$3005,X$5)=0,"",SUMIFS(請求記録!$AE$6:$AE$3005,請求記録!$B$6:$B$3005,$A338,請求記録!$Z$6:$Z$3005,X$5))))</f>
        <v/>
      </c>
      <c r="Y338" s="19">
        <f>IF($A338="","",IF(COUNTIFS(請求記録!$B$6:$B$3005,$A338,請求記録!$Z$6:$Z$3005,Y$5,請求記録!$AF$6:$AF$3005,"保留中")&gt;0,"保留",IF(COUNTIFS(請求記録!$B$6:$B$3005,$A338,請求記録!$Z$6:$Z$3005,Y$5)=0,"",SUMIFS(請求記録!$AE$6:$AE$3005,請求記録!$B$6:$B$3005,$A338,請求記録!$Z$6:$Z$3005,Y$5))))</f>
        <v/>
      </c>
      <c r="Z338" s="19">
        <f>IF($A338="","",IF(COUNTIFS(請求記録!$B$6:$B$3005,$A338,請求記録!$Z$6:$Z$3005,Z$5,請求記録!$AF$6:$AF$3005,"保留中")&gt;0,"保留",IF(COUNTIFS(請求記録!$B$6:$B$3005,$A338,請求記録!$Z$6:$Z$3005,Z$5)=0,"",SUMIFS(請求記録!$AE$6:$AE$3005,請求記録!$B$6:$B$3005,$A338,請求記録!$Z$6:$Z$3005,Z$5))))</f>
        <v/>
      </c>
      <c r="AA338" s="19">
        <f>IF($A338="","",IF(COUNTIFS(請求記録!$B$6:$B$3005,$A338,請求記録!$Z$6:$Z$3005,AA$5,請求記録!$AF$6:$AF$3005,"保留中")&gt;0,"保留",IF(COUNTIFS(請求記録!$B$6:$B$3005,$A338,請求記録!$Z$6:$Z$3005,AA$5)=0,"",SUMIFS(請求記録!$AE$6:$AE$3005,請求記録!$B$6:$B$3005,$A338,請求記録!$Z$6:$Z$3005,AA$5))))</f>
        <v/>
      </c>
      <c r="AB338">
        <f>IF(職員マスタ!P338="保留中",職員マスタ!M338,"")</f>
        <v/>
      </c>
    </row>
    <row r="339">
      <c r="A339">
        <f>IF(職員マスタ!A339="","",職員マスタ!A339)</f>
        <v/>
      </c>
      <c r="B339">
        <f>IF($A339="","",職員マスタ!B339)</f>
        <v/>
      </c>
      <c r="C339">
        <f>IF($A339="","",職員マスタ!C339)</f>
        <v/>
      </c>
      <c r="D339" s="19">
        <f>IF($A339="","",IF(COUNTIFS(請求記録!$B$6:$B$3005,$A339,請求記録!$Z$6:$Z$3005,D$5,請求記録!$AF$6:$AF$3005,"保留中")&gt;0,"保留",IF(COUNTIFS(請求記録!$B$6:$B$3005,$A339,請求記録!$Z$6:$Z$3005,D$5)=0,"",SUMIFS(請求記録!$AE$6:$AE$3005,請求記録!$B$6:$B$3005,$A339,請求記録!$Z$6:$Z$3005,D$5))))</f>
        <v/>
      </c>
      <c r="E339" s="19">
        <f>IF($A339="","",IF(COUNTIFS(請求記録!$B$6:$B$3005,$A339,請求記録!$Z$6:$Z$3005,E$5,請求記録!$AF$6:$AF$3005,"保留中")&gt;0,"保留",IF(COUNTIFS(請求記録!$B$6:$B$3005,$A339,請求記録!$Z$6:$Z$3005,E$5)=0,"",SUMIFS(請求記録!$AE$6:$AE$3005,請求記録!$B$6:$B$3005,$A339,請求記録!$Z$6:$Z$3005,E$5))))</f>
        <v/>
      </c>
      <c r="F339" s="19">
        <f>IF($A339="","",IF(COUNTIFS(請求記録!$B$6:$B$3005,$A339,請求記録!$Z$6:$Z$3005,F$5,請求記録!$AF$6:$AF$3005,"保留中")&gt;0,"保留",IF(COUNTIFS(請求記録!$B$6:$B$3005,$A339,請求記録!$Z$6:$Z$3005,F$5)=0,"",SUMIFS(請求記録!$AE$6:$AE$3005,請求記録!$B$6:$B$3005,$A339,請求記録!$Z$6:$Z$3005,F$5))))</f>
        <v/>
      </c>
      <c r="G339" s="19">
        <f>IF($A339="","",IF(COUNTIFS(請求記録!$B$6:$B$3005,$A339,請求記録!$Z$6:$Z$3005,G$5,請求記録!$AF$6:$AF$3005,"保留中")&gt;0,"保留",IF(COUNTIFS(請求記録!$B$6:$B$3005,$A339,請求記録!$Z$6:$Z$3005,G$5)=0,"",SUMIFS(請求記録!$AE$6:$AE$3005,請求記録!$B$6:$B$3005,$A339,請求記録!$Z$6:$Z$3005,G$5))))</f>
        <v/>
      </c>
      <c r="H339" s="19">
        <f>IF($A339="","",IF(COUNTIFS(請求記録!$B$6:$B$3005,$A339,請求記録!$Z$6:$Z$3005,H$5,請求記録!$AF$6:$AF$3005,"保留中")&gt;0,"保留",IF(COUNTIFS(請求記録!$B$6:$B$3005,$A339,請求記録!$Z$6:$Z$3005,H$5)=0,"",SUMIFS(請求記録!$AE$6:$AE$3005,請求記録!$B$6:$B$3005,$A339,請求記録!$Z$6:$Z$3005,H$5))))</f>
        <v/>
      </c>
      <c r="I339" s="19">
        <f>IF($A339="","",IF(COUNTIFS(請求記録!$B$6:$B$3005,$A339,請求記録!$Z$6:$Z$3005,I$5,請求記録!$AF$6:$AF$3005,"保留中")&gt;0,"保留",IF(COUNTIFS(請求記録!$B$6:$B$3005,$A339,請求記録!$Z$6:$Z$3005,I$5)=0,"",SUMIFS(請求記録!$AE$6:$AE$3005,請求記録!$B$6:$B$3005,$A339,請求記録!$Z$6:$Z$3005,I$5))))</f>
        <v/>
      </c>
      <c r="J339" s="19">
        <f>IF($A339="","",IF(COUNTIFS(請求記録!$B$6:$B$3005,$A339,請求記録!$Z$6:$Z$3005,J$5,請求記録!$AF$6:$AF$3005,"保留中")&gt;0,"保留",IF(COUNTIFS(請求記録!$B$6:$B$3005,$A339,請求記録!$Z$6:$Z$3005,J$5)=0,"",SUMIFS(請求記録!$AE$6:$AE$3005,請求記録!$B$6:$B$3005,$A339,請求記録!$Z$6:$Z$3005,J$5))))</f>
        <v/>
      </c>
      <c r="K339" s="19">
        <f>IF($A339="","",IF(COUNTIFS(請求記録!$B$6:$B$3005,$A339,請求記録!$Z$6:$Z$3005,K$5,請求記録!$AF$6:$AF$3005,"保留中")&gt;0,"保留",IF(COUNTIFS(請求記録!$B$6:$B$3005,$A339,請求記録!$Z$6:$Z$3005,K$5)=0,"",SUMIFS(請求記録!$AE$6:$AE$3005,請求記録!$B$6:$B$3005,$A339,請求記録!$Z$6:$Z$3005,K$5))))</f>
        <v/>
      </c>
      <c r="L339" s="19">
        <f>IF($A339="","",IF(COUNTIFS(請求記録!$B$6:$B$3005,$A339,請求記録!$Z$6:$Z$3005,L$5,請求記録!$AF$6:$AF$3005,"保留中")&gt;0,"保留",IF(COUNTIFS(請求記録!$B$6:$B$3005,$A339,請求記録!$Z$6:$Z$3005,L$5)=0,"",SUMIFS(請求記録!$AE$6:$AE$3005,請求記録!$B$6:$B$3005,$A339,請求記録!$Z$6:$Z$3005,L$5))))</f>
        <v/>
      </c>
      <c r="M339" s="19">
        <f>IF($A339="","",IF(COUNTIFS(請求記録!$B$6:$B$3005,$A339,請求記録!$Z$6:$Z$3005,M$5,請求記録!$AF$6:$AF$3005,"保留中")&gt;0,"保留",IF(COUNTIFS(請求記録!$B$6:$B$3005,$A339,請求記録!$Z$6:$Z$3005,M$5)=0,"",SUMIFS(請求記録!$AE$6:$AE$3005,請求記録!$B$6:$B$3005,$A339,請求記録!$Z$6:$Z$3005,M$5))))</f>
        <v/>
      </c>
      <c r="N339" s="19">
        <f>IF($A339="","",IF(COUNTIFS(請求記録!$B$6:$B$3005,$A339,請求記録!$Z$6:$Z$3005,N$5,請求記録!$AF$6:$AF$3005,"保留中")&gt;0,"保留",IF(COUNTIFS(請求記録!$B$6:$B$3005,$A339,請求記録!$Z$6:$Z$3005,N$5)=0,"",SUMIFS(請求記録!$AE$6:$AE$3005,請求記録!$B$6:$B$3005,$A339,請求記録!$Z$6:$Z$3005,N$5))))</f>
        <v/>
      </c>
      <c r="O339" s="19">
        <f>IF($A339="","",IF(COUNTIFS(請求記録!$B$6:$B$3005,$A339,請求記録!$Z$6:$Z$3005,O$5,請求記録!$AF$6:$AF$3005,"保留中")&gt;0,"保留",IF(COUNTIFS(請求記録!$B$6:$B$3005,$A339,請求記録!$Z$6:$Z$3005,O$5)=0,"",SUMIFS(請求記録!$AE$6:$AE$3005,請求記録!$B$6:$B$3005,$A339,請求記録!$Z$6:$Z$3005,O$5))))</f>
        <v/>
      </c>
      <c r="P339" s="19">
        <f>IF($A339="","",IF(COUNTIFS(請求記録!$B$6:$B$3005,$A339,請求記録!$Z$6:$Z$3005,P$5,請求記録!$AF$6:$AF$3005,"保留中")&gt;0,"保留",IF(COUNTIFS(請求記録!$B$6:$B$3005,$A339,請求記録!$Z$6:$Z$3005,P$5)=0,"",SUMIFS(請求記録!$AE$6:$AE$3005,請求記録!$B$6:$B$3005,$A339,請求記録!$Z$6:$Z$3005,P$5))))</f>
        <v/>
      </c>
      <c r="Q339" s="19">
        <f>IF($A339="","",IF(COUNTIFS(請求記録!$B$6:$B$3005,$A339,請求記録!$Z$6:$Z$3005,Q$5,請求記録!$AF$6:$AF$3005,"保留中")&gt;0,"保留",IF(COUNTIFS(請求記録!$B$6:$B$3005,$A339,請求記録!$Z$6:$Z$3005,Q$5)=0,"",SUMIFS(請求記録!$AE$6:$AE$3005,請求記録!$B$6:$B$3005,$A339,請求記録!$Z$6:$Z$3005,Q$5))))</f>
        <v/>
      </c>
      <c r="R339" s="19">
        <f>IF($A339="","",IF(COUNTIFS(請求記録!$B$6:$B$3005,$A339,請求記録!$Z$6:$Z$3005,R$5,請求記録!$AF$6:$AF$3005,"保留中")&gt;0,"保留",IF(COUNTIFS(請求記録!$B$6:$B$3005,$A339,請求記録!$Z$6:$Z$3005,R$5)=0,"",SUMIFS(請求記録!$AE$6:$AE$3005,請求記録!$B$6:$B$3005,$A339,請求記録!$Z$6:$Z$3005,R$5))))</f>
        <v/>
      </c>
      <c r="S339" s="19">
        <f>IF($A339="","",IF(COUNTIFS(請求記録!$B$6:$B$3005,$A339,請求記録!$Z$6:$Z$3005,S$5,請求記録!$AF$6:$AF$3005,"保留中")&gt;0,"保留",IF(COUNTIFS(請求記録!$B$6:$B$3005,$A339,請求記録!$Z$6:$Z$3005,S$5)=0,"",SUMIFS(請求記録!$AE$6:$AE$3005,請求記録!$B$6:$B$3005,$A339,請求記録!$Z$6:$Z$3005,S$5))))</f>
        <v/>
      </c>
      <c r="T339" s="19">
        <f>IF($A339="","",IF(COUNTIFS(請求記録!$B$6:$B$3005,$A339,請求記録!$Z$6:$Z$3005,T$5,請求記録!$AF$6:$AF$3005,"保留中")&gt;0,"保留",IF(COUNTIFS(請求記録!$B$6:$B$3005,$A339,請求記録!$Z$6:$Z$3005,T$5)=0,"",SUMIFS(請求記録!$AE$6:$AE$3005,請求記録!$B$6:$B$3005,$A339,請求記録!$Z$6:$Z$3005,T$5))))</f>
        <v/>
      </c>
      <c r="U339" s="19">
        <f>IF($A339="","",IF(COUNTIFS(請求記録!$B$6:$B$3005,$A339,請求記録!$Z$6:$Z$3005,U$5,請求記録!$AF$6:$AF$3005,"保留中")&gt;0,"保留",IF(COUNTIFS(請求記録!$B$6:$B$3005,$A339,請求記録!$Z$6:$Z$3005,U$5)=0,"",SUMIFS(請求記録!$AE$6:$AE$3005,請求記録!$B$6:$B$3005,$A339,請求記録!$Z$6:$Z$3005,U$5))))</f>
        <v/>
      </c>
      <c r="V339" s="19">
        <f>IF($A339="","",IF(COUNTIFS(請求記録!$B$6:$B$3005,$A339,請求記録!$Z$6:$Z$3005,V$5,請求記録!$AF$6:$AF$3005,"保留中")&gt;0,"保留",IF(COUNTIFS(請求記録!$B$6:$B$3005,$A339,請求記録!$Z$6:$Z$3005,V$5)=0,"",SUMIFS(請求記録!$AE$6:$AE$3005,請求記録!$B$6:$B$3005,$A339,請求記録!$Z$6:$Z$3005,V$5))))</f>
        <v/>
      </c>
      <c r="W339" s="19">
        <f>IF($A339="","",IF(COUNTIFS(請求記録!$B$6:$B$3005,$A339,請求記録!$Z$6:$Z$3005,W$5,請求記録!$AF$6:$AF$3005,"保留中")&gt;0,"保留",IF(COUNTIFS(請求記録!$B$6:$B$3005,$A339,請求記録!$Z$6:$Z$3005,W$5)=0,"",SUMIFS(請求記録!$AE$6:$AE$3005,請求記録!$B$6:$B$3005,$A339,請求記録!$Z$6:$Z$3005,W$5))))</f>
        <v/>
      </c>
      <c r="X339" s="19">
        <f>IF($A339="","",IF(COUNTIFS(請求記録!$B$6:$B$3005,$A339,請求記録!$Z$6:$Z$3005,X$5,請求記録!$AF$6:$AF$3005,"保留中")&gt;0,"保留",IF(COUNTIFS(請求記録!$B$6:$B$3005,$A339,請求記録!$Z$6:$Z$3005,X$5)=0,"",SUMIFS(請求記録!$AE$6:$AE$3005,請求記録!$B$6:$B$3005,$A339,請求記録!$Z$6:$Z$3005,X$5))))</f>
        <v/>
      </c>
      <c r="Y339" s="19">
        <f>IF($A339="","",IF(COUNTIFS(請求記録!$B$6:$B$3005,$A339,請求記録!$Z$6:$Z$3005,Y$5,請求記録!$AF$6:$AF$3005,"保留中")&gt;0,"保留",IF(COUNTIFS(請求記録!$B$6:$B$3005,$A339,請求記録!$Z$6:$Z$3005,Y$5)=0,"",SUMIFS(請求記録!$AE$6:$AE$3005,請求記録!$B$6:$B$3005,$A339,請求記録!$Z$6:$Z$3005,Y$5))))</f>
        <v/>
      </c>
      <c r="Z339" s="19">
        <f>IF($A339="","",IF(COUNTIFS(請求記録!$B$6:$B$3005,$A339,請求記録!$Z$6:$Z$3005,Z$5,請求記録!$AF$6:$AF$3005,"保留中")&gt;0,"保留",IF(COUNTIFS(請求記録!$B$6:$B$3005,$A339,請求記録!$Z$6:$Z$3005,Z$5)=0,"",SUMIFS(請求記録!$AE$6:$AE$3005,請求記録!$B$6:$B$3005,$A339,請求記録!$Z$6:$Z$3005,Z$5))))</f>
        <v/>
      </c>
      <c r="AA339" s="19">
        <f>IF($A339="","",IF(COUNTIFS(請求記録!$B$6:$B$3005,$A339,請求記録!$Z$6:$Z$3005,AA$5,請求記録!$AF$6:$AF$3005,"保留中")&gt;0,"保留",IF(COUNTIFS(請求記録!$B$6:$B$3005,$A339,請求記録!$Z$6:$Z$3005,AA$5)=0,"",SUMIFS(請求記録!$AE$6:$AE$3005,請求記録!$B$6:$B$3005,$A339,請求記録!$Z$6:$Z$3005,AA$5))))</f>
        <v/>
      </c>
      <c r="AB339">
        <f>IF(職員マスタ!P339="保留中",職員マスタ!M339,"")</f>
        <v/>
      </c>
    </row>
    <row r="340">
      <c r="A340">
        <f>IF(職員マスタ!A340="","",職員マスタ!A340)</f>
        <v/>
      </c>
      <c r="B340">
        <f>IF($A340="","",職員マスタ!B340)</f>
        <v/>
      </c>
      <c r="C340">
        <f>IF($A340="","",職員マスタ!C340)</f>
        <v/>
      </c>
      <c r="D340" s="19">
        <f>IF($A340="","",IF(COUNTIFS(請求記録!$B$6:$B$3005,$A340,請求記録!$Z$6:$Z$3005,D$5,請求記録!$AF$6:$AF$3005,"保留中")&gt;0,"保留",IF(COUNTIFS(請求記録!$B$6:$B$3005,$A340,請求記録!$Z$6:$Z$3005,D$5)=0,"",SUMIFS(請求記録!$AE$6:$AE$3005,請求記録!$B$6:$B$3005,$A340,請求記録!$Z$6:$Z$3005,D$5))))</f>
        <v/>
      </c>
      <c r="E340" s="19">
        <f>IF($A340="","",IF(COUNTIFS(請求記録!$B$6:$B$3005,$A340,請求記録!$Z$6:$Z$3005,E$5,請求記録!$AF$6:$AF$3005,"保留中")&gt;0,"保留",IF(COUNTIFS(請求記録!$B$6:$B$3005,$A340,請求記録!$Z$6:$Z$3005,E$5)=0,"",SUMIFS(請求記録!$AE$6:$AE$3005,請求記録!$B$6:$B$3005,$A340,請求記録!$Z$6:$Z$3005,E$5))))</f>
        <v/>
      </c>
      <c r="F340" s="19">
        <f>IF($A340="","",IF(COUNTIFS(請求記録!$B$6:$B$3005,$A340,請求記録!$Z$6:$Z$3005,F$5,請求記録!$AF$6:$AF$3005,"保留中")&gt;0,"保留",IF(COUNTIFS(請求記録!$B$6:$B$3005,$A340,請求記録!$Z$6:$Z$3005,F$5)=0,"",SUMIFS(請求記録!$AE$6:$AE$3005,請求記録!$B$6:$B$3005,$A340,請求記録!$Z$6:$Z$3005,F$5))))</f>
        <v/>
      </c>
      <c r="G340" s="19">
        <f>IF($A340="","",IF(COUNTIFS(請求記録!$B$6:$B$3005,$A340,請求記録!$Z$6:$Z$3005,G$5,請求記録!$AF$6:$AF$3005,"保留中")&gt;0,"保留",IF(COUNTIFS(請求記録!$B$6:$B$3005,$A340,請求記録!$Z$6:$Z$3005,G$5)=0,"",SUMIFS(請求記録!$AE$6:$AE$3005,請求記録!$B$6:$B$3005,$A340,請求記録!$Z$6:$Z$3005,G$5))))</f>
        <v/>
      </c>
      <c r="H340" s="19">
        <f>IF($A340="","",IF(COUNTIFS(請求記録!$B$6:$B$3005,$A340,請求記録!$Z$6:$Z$3005,H$5,請求記録!$AF$6:$AF$3005,"保留中")&gt;0,"保留",IF(COUNTIFS(請求記録!$B$6:$B$3005,$A340,請求記録!$Z$6:$Z$3005,H$5)=0,"",SUMIFS(請求記録!$AE$6:$AE$3005,請求記録!$B$6:$B$3005,$A340,請求記録!$Z$6:$Z$3005,H$5))))</f>
        <v/>
      </c>
      <c r="I340" s="19">
        <f>IF($A340="","",IF(COUNTIFS(請求記録!$B$6:$B$3005,$A340,請求記録!$Z$6:$Z$3005,I$5,請求記録!$AF$6:$AF$3005,"保留中")&gt;0,"保留",IF(COUNTIFS(請求記録!$B$6:$B$3005,$A340,請求記録!$Z$6:$Z$3005,I$5)=0,"",SUMIFS(請求記録!$AE$6:$AE$3005,請求記録!$B$6:$B$3005,$A340,請求記録!$Z$6:$Z$3005,I$5))))</f>
        <v/>
      </c>
      <c r="J340" s="19">
        <f>IF($A340="","",IF(COUNTIFS(請求記録!$B$6:$B$3005,$A340,請求記録!$Z$6:$Z$3005,J$5,請求記録!$AF$6:$AF$3005,"保留中")&gt;0,"保留",IF(COUNTIFS(請求記録!$B$6:$B$3005,$A340,請求記録!$Z$6:$Z$3005,J$5)=0,"",SUMIFS(請求記録!$AE$6:$AE$3005,請求記録!$B$6:$B$3005,$A340,請求記録!$Z$6:$Z$3005,J$5))))</f>
        <v/>
      </c>
      <c r="K340" s="19">
        <f>IF($A340="","",IF(COUNTIFS(請求記録!$B$6:$B$3005,$A340,請求記録!$Z$6:$Z$3005,K$5,請求記録!$AF$6:$AF$3005,"保留中")&gt;0,"保留",IF(COUNTIFS(請求記録!$B$6:$B$3005,$A340,請求記録!$Z$6:$Z$3005,K$5)=0,"",SUMIFS(請求記録!$AE$6:$AE$3005,請求記録!$B$6:$B$3005,$A340,請求記録!$Z$6:$Z$3005,K$5))))</f>
        <v/>
      </c>
      <c r="L340" s="19">
        <f>IF($A340="","",IF(COUNTIFS(請求記録!$B$6:$B$3005,$A340,請求記録!$Z$6:$Z$3005,L$5,請求記録!$AF$6:$AF$3005,"保留中")&gt;0,"保留",IF(COUNTIFS(請求記録!$B$6:$B$3005,$A340,請求記録!$Z$6:$Z$3005,L$5)=0,"",SUMIFS(請求記録!$AE$6:$AE$3005,請求記録!$B$6:$B$3005,$A340,請求記録!$Z$6:$Z$3005,L$5))))</f>
        <v/>
      </c>
      <c r="M340" s="19">
        <f>IF($A340="","",IF(COUNTIFS(請求記録!$B$6:$B$3005,$A340,請求記録!$Z$6:$Z$3005,M$5,請求記録!$AF$6:$AF$3005,"保留中")&gt;0,"保留",IF(COUNTIFS(請求記録!$B$6:$B$3005,$A340,請求記録!$Z$6:$Z$3005,M$5)=0,"",SUMIFS(請求記録!$AE$6:$AE$3005,請求記録!$B$6:$B$3005,$A340,請求記録!$Z$6:$Z$3005,M$5))))</f>
        <v/>
      </c>
      <c r="N340" s="19">
        <f>IF($A340="","",IF(COUNTIFS(請求記録!$B$6:$B$3005,$A340,請求記録!$Z$6:$Z$3005,N$5,請求記録!$AF$6:$AF$3005,"保留中")&gt;0,"保留",IF(COUNTIFS(請求記録!$B$6:$B$3005,$A340,請求記録!$Z$6:$Z$3005,N$5)=0,"",SUMIFS(請求記録!$AE$6:$AE$3005,請求記録!$B$6:$B$3005,$A340,請求記録!$Z$6:$Z$3005,N$5))))</f>
        <v/>
      </c>
      <c r="O340" s="19">
        <f>IF($A340="","",IF(COUNTIFS(請求記録!$B$6:$B$3005,$A340,請求記録!$Z$6:$Z$3005,O$5,請求記録!$AF$6:$AF$3005,"保留中")&gt;0,"保留",IF(COUNTIFS(請求記録!$B$6:$B$3005,$A340,請求記録!$Z$6:$Z$3005,O$5)=0,"",SUMIFS(請求記録!$AE$6:$AE$3005,請求記録!$B$6:$B$3005,$A340,請求記録!$Z$6:$Z$3005,O$5))))</f>
        <v/>
      </c>
      <c r="P340" s="19">
        <f>IF($A340="","",IF(COUNTIFS(請求記録!$B$6:$B$3005,$A340,請求記録!$Z$6:$Z$3005,P$5,請求記録!$AF$6:$AF$3005,"保留中")&gt;0,"保留",IF(COUNTIFS(請求記録!$B$6:$B$3005,$A340,請求記録!$Z$6:$Z$3005,P$5)=0,"",SUMIFS(請求記録!$AE$6:$AE$3005,請求記録!$B$6:$B$3005,$A340,請求記録!$Z$6:$Z$3005,P$5))))</f>
        <v/>
      </c>
      <c r="Q340" s="19">
        <f>IF($A340="","",IF(COUNTIFS(請求記録!$B$6:$B$3005,$A340,請求記録!$Z$6:$Z$3005,Q$5,請求記録!$AF$6:$AF$3005,"保留中")&gt;0,"保留",IF(COUNTIFS(請求記録!$B$6:$B$3005,$A340,請求記録!$Z$6:$Z$3005,Q$5)=0,"",SUMIFS(請求記録!$AE$6:$AE$3005,請求記録!$B$6:$B$3005,$A340,請求記録!$Z$6:$Z$3005,Q$5))))</f>
        <v/>
      </c>
      <c r="R340" s="19">
        <f>IF($A340="","",IF(COUNTIFS(請求記録!$B$6:$B$3005,$A340,請求記録!$Z$6:$Z$3005,R$5,請求記録!$AF$6:$AF$3005,"保留中")&gt;0,"保留",IF(COUNTIFS(請求記録!$B$6:$B$3005,$A340,請求記録!$Z$6:$Z$3005,R$5)=0,"",SUMIFS(請求記録!$AE$6:$AE$3005,請求記録!$B$6:$B$3005,$A340,請求記録!$Z$6:$Z$3005,R$5))))</f>
        <v/>
      </c>
      <c r="S340" s="19">
        <f>IF($A340="","",IF(COUNTIFS(請求記録!$B$6:$B$3005,$A340,請求記録!$Z$6:$Z$3005,S$5,請求記録!$AF$6:$AF$3005,"保留中")&gt;0,"保留",IF(COUNTIFS(請求記録!$B$6:$B$3005,$A340,請求記録!$Z$6:$Z$3005,S$5)=0,"",SUMIFS(請求記録!$AE$6:$AE$3005,請求記録!$B$6:$B$3005,$A340,請求記録!$Z$6:$Z$3005,S$5))))</f>
        <v/>
      </c>
      <c r="T340" s="19">
        <f>IF($A340="","",IF(COUNTIFS(請求記録!$B$6:$B$3005,$A340,請求記録!$Z$6:$Z$3005,T$5,請求記録!$AF$6:$AF$3005,"保留中")&gt;0,"保留",IF(COUNTIFS(請求記録!$B$6:$B$3005,$A340,請求記録!$Z$6:$Z$3005,T$5)=0,"",SUMIFS(請求記録!$AE$6:$AE$3005,請求記録!$B$6:$B$3005,$A340,請求記録!$Z$6:$Z$3005,T$5))))</f>
        <v/>
      </c>
      <c r="U340" s="19">
        <f>IF($A340="","",IF(COUNTIFS(請求記録!$B$6:$B$3005,$A340,請求記録!$Z$6:$Z$3005,U$5,請求記録!$AF$6:$AF$3005,"保留中")&gt;0,"保留",IF(COUNTIFS(請求記録!$B$6:$B$3005,$A340,請求記録!$Z$6:$Z$3005,U$5)=0,"",SUMIFS(請求記録!$AE$6:$AE$3005,請求記録!$B$6:$B$3005,$A340,請求記録!$Z$6:$Z$3005,U$5))))</f>
        <v/>
      </c>
      <c r="V340" s="19">
        <f>IF($A340="","",IF(COUNTIFS(請求記録!$B$6:$B$3005,$A340,請求記録!$Z$6:$Z$3005,V$5,請求記録!$AF$6:$AF$3005,"保留中")&gt;0,"保留",IF(COUNTIFS(請求記録!$B$6:$B$3005,$A340,請求記録!$Z$6:$Z$3005,V$5)=0,"",SUMIFS(請求記録!$AE$6:$AE$3005,請求記録!$B$6:$B$3005,$A340,請求記録!$Z$6:$Z$3005,V$5))))</f>
        <v/>
      </c>
      <c r="W340" s="19">
        <f>IF($A340="","",IF(COUNTIFS(請求記録!$B$6:$B$3005,$A340,請求記録!$Z$6:$Z$3005,W$5,請求記録!$AF$6:$AF$3005,"保留中")&gt;0,"保留",IF(COUNTIFS(請求記録!$B$6:$B$3005,$A340,請求記録!$Z$6:$Z$3005,W$5)=0,"",SUMIFS(請求記録!$AE$6:$AE$3005,請求記録!$B$6:$B$3005,$A340,請求記録!$Z$6:$Z$3005,W$5))))</f>
        <v/>
      </c>
      <c r="X340" s="19">
        <f>IF($A340="","",IF(COUNTIFS(請求記録!$B$6:$B$3005,$A340,請求記録!$Z$6:$Z$3005,X$5,請求記録!$AF$6:$AF$3005,"保留中")&gt;0,"保留",IF(COUNTIFS(請求記録!$B$6:$B$3005,$A340,請求記録!$Z$6:$Z$3005,X$5)=0,"",SUMIFS(請求記録!$AE$6:$AE$3005,請求記録!$B$6:$B$3005,$A340,請求記録!$Z$6:$Z$3005,X$5))))</f>
        <v/>
      </c>
      <c r="Y340" s="19">
        <f>IF($A340="","",IF(COUNTIFS(請求記録!$B$6:$B$3005,$A340,請求記録!$Z$6:$Z$3005,Y$5,請求記録!$AF$6:$AF$3005,"保留中")&gt;0,"保留",IF(COUNTIFS(請求記録!$B$6:$B$3005,$A340,請求記録!$Z$6:$Z$3005,Y$5)=0,"",SUMIFS(請求記録!$AE$6:$AE$3005,請求記録!$B$6:$B$3005,$A340,請求記録!$Z$6:$Z$3005,Y$5))))</f>
        <v/>
      </c>
      <c r="Z340" s="19">
        <f>IF($A340="","",IF(COUNTIFS(請求記録!$B$6:$B$3005,$A340,請求記録!$Z$6:$Z$3005,Z$5,請求記録!$AF$6:$AF$3005,"保留中")&gt;0,"保留",IF(COUNTIFS(請求記録!$B$6:$B$3005,$A340,請求記録!$Z$6:$Z$3005,Z$5)=0,"",SUMIFS(請求記録!$AE$6:$AE$3005,請求記録!$B$6:$B$3005,$A340,請求記録!$Z$6:$Z$3005,Z$5))))</f>
        <v/>
      </c>
      <c r="AA340" s="19">
        <f>IF($A340="","",IF(COUNTIFS(請求記録!$B$6:$B$3005,$A340,請求記録!$Z$6:$Z$3005,AA$5,請求記録!$AF$6:$AF$3005,"保留中")&gt;0,"保留",IF(COUNTIFS(請求記録!$B$6:$B$3005,$A340,請求記録!$Z$6:$Z$3005,AA$5)=0,"",SUMIFS(請求記録!$AE$6:$AE$3005,請求記録!$B$6:$B$3005,$A340,請求記録!$Z$6:$Z$3005,AA$5))))</f>
        <v/>
      </c>
      <c r="AB340">
        <f>IF(職員マスタ!P340="保留中",職員マスタ!M340,"")</f>
        <v/>
      </c>
    </row>
    <row r="341">
      <c r="A341">
        <f>IF(職員マスタ!A341="","",職員マスタ!A341)</f>
        <v/>
      </c>
      <c r="B341">
        <f>IF($A341="","",職員マスタ!B341)</f>
        <v/>
      </c>
      <c r="C341">
        <f>IF($A341="","",職員マスタ!C341)</f>
        <v/>
      </c>
      <c r="D341" s="19">
        <f>IF($A341="","",IF(COUNTIFS(請求記録!$B$6:$B$3005,$A341,請求記録!$Z$6:$Z$3005,D$5,請求記録!$AF$6:$AF$3005,"保留中")&gt;0,"保留",IF(COUNTIFS(請求記録!$B$6:$B$3005,$A341,請求記録!$Z$6:$Z$3005,D$5)=0,"",SUMIFS(請求記録!$AE$6:$AE$3005,請求記録!$B$6:$B$3005,$A341,請求記録!$Z$6:$Z$3005,D$5))))</f>
        <v/>
      </c>
      <c r="E341" s="19">
        <f>IF($A341="","",IF(COUNTIFS(請求記録!$B$6:$B$3005,$A341,請求記録!$Z$6:$Z$3005,E$5,請求記録!$AF$6:$AF$3005,"保留中")&gt;0,"保留",IF(COUNTIFS(請求記録!$B$6:$B$3005,$A341,請求記録!$Z$6:$Z$3005,E$5)=0,"",SUMIFS(請求記録!$AE$6:$AE$3005,請求記録!$B$6:$B$3005,$A341,請求記録!$Z$6:$Z$3005,E$5))))</f>
        <v/>
      </c>
      <c r="F341" s="19">
        <f>IF($A341="","",IF(COUNTIFS(請求記録!$B$6:$B$3005,$A341,請求記録!$Z$6:$Z$3005,F$5,請求記録!$AF$6:$AF$3005,"保留中")&gt;0,"保留",IF(COUNTIFS(請求記録!$B$6:$B$3005,$A341,請求記録!$Z$6:$Z$3005,F$5)=0,"",SUMIFS(請求記録!$AE$6:$AE$3005,請求記録!$B$6:$B$3005,$A341,請求記録!$Z$6:$Z$3005,F$5))))</f>
        <v/>
      </c>
      <c r="G341" s="19">
        <f>IF($A341="","",IF(COUNTIFS(請求記録!$B$6:$B$3005,$A341,請求記録!$Z$6:$Z$3005,G$5,請求記録!$AF$6:$AF$3005,"保留中")&gt;0,"保留",IF(COUNTIFS(請求記録!$B$6:$B$3005,$A341,請求記録!$Z$6:$Z$3005,G$5)=0,"",SUMIFS(請求記録!$AE$6:$AE$3005,請求記録!$B$6:$B$3005,$A341,請求記録!$Z$6:$Z$3005,G$5))))</f>
        <v/>
      </c>
      <c r="H341" s="19">
        <f>IF($A341="","",IF(COUNTIFS(請求記録!$B$6:$B$3005,$A341,請求記録!$Z$6:$Z$3005,H$5,請求記録!$AF$6:$AF$3005,"保留中")&gt;0,"保留",IF(COUNTIFS(請求記録!$B$6:$B$3005,$A341,請求記録!$Z$6:$Z$3005,H$5)=0,"",SUMIFS(請求記録!$AE$6:$AE$3005,請求記録!$B$6:$B$3005,$A341,請求記録!$Z$6:$Z$3005,H$5))))</f>
        <v/>
      </c>
      <c r="I341" s="19">
        <f>IF($A341="","",IF(COUNTIFS(請求記録!$B$6:$B$3005,$A341,請求記録!$Z$6:$Z$3005,I$5,請求記録!$AF$6:$AF$3005,"保留中")&gt;0,"保留",IF(COUNTIFS(請求記録!$B$6:$B$3005,$A341,請求記録!$Z$6:$Z$3005,I$5)=0,"",SUMIFS(請求記録!$AE$6:$AE$3005,請求記録!$B$6:$B$3005,$A341,請求記録!$Z$6:$Z$3005,I$5))))</f>
        <v/>
      </c>
      <c r="J341" s="19">
        <f>IF($A341="","",IF(COUNTIFS(請求記録!$B$6:$B$3005,$A341,請求記録!$Z$6:$Z$3005,J$5,請求記録!$AF$6:$AF$3005,"保留中")&gt;0,"保留",IF(COUNTIFS(請求記録!$B$6:$B$3005,$A341,請求記録!$Z$6:$Z$3005,J$5)=0,"",SUMIFS(請求記録!$AE$6:$AE$3005,請求記録!$B$6:$B$3005,$A341,請求記録!$Z$6:$Z$3005,J$5))))</f>
        <v/>
      </c>
      <c r="K341" s="19">
        <f>IF($A341="","",IF(COUNTIFS(請求記録!$B$6:$B$3005,$A341,請求記録!$Z$6:$Z$3005,K$5,請求記録!$AF$6:$AF$3005,"保留中")&gt;0,"保留",IF(COUNTIFS(請求記録!$B$6:$B$3005,$A341,請求記録!$Z$6:$Z$3005,K$5)=0,"",SUMIFS(請求記録!$AE$6:$AE$3005,請求記録!$B$6:$B$3005,$A341,請求記録!$Z$6:$Z$3005,K$5))))</f>
        <v/>
      </c>
      <c r="L341" s="19">
        <f>IF($A341="","",IF(COUNTIFS(請求記録!$B$6:$B$3005,$A341,請求記録!$Z$6:$Z$3005,L$5,請求記録!$AF$6:$AF$3005,"保留中")&gt;0,"保留",IF(COUNTIFS(請求記録!$B$6:$B$3005,$A341,請求記録!$Z$6:$Z$3005,L$5)=0,"",SUMIFS(請求記録!$AE$6:$AE$3005,請求記録!$B$6:$B$3005,$A341,請求記録!$Z$6:$Z$3005,L$5))))</f>
        <v/>
      </c>
      <c r="M341" s="19">
        <f>IF($A341="","",IF(COUNTIFS(請求記録!$B$6:$B$3005,$A341,請求記録!$Z$6:$Z$3005,M$5,請求記録!$AF$6:$AF$3005,"保留中")&gt;0,"保留",IF(COUNTIFS(請求記録!$B$6:$B$3005,$A341,請求記録!$Z$6:$Z$3005,M$5)=0,"",SUMIFS(請求記録!$AE$6:$AE$3005,請求記録!$B$6:$B$3005,$A341,請求記録!$Z$6:$Z$3005,M$5))))</f>
        <v/>
      </c>
      <c r="N341" s="19">
        <f>IF($A341="","",IF(COUNTIFS(請求記録!$B$6:$B$3005,$A341,請求記録!$Z$6:$Z$3005,N$5,請求記録!$AF$6:$AF$3005,"保留中")&gt;0,"保留",IF(COUNTIFS(請求記録!$B$6:$B$3005,$A341,請求記録!$Z$6:$Z$3005,N$5)=0,"",SUMIFS(請求記録!$AE$6:$AE$3005,請求記録!$B$6:$B$3005,$A341,請求記録!$Z$6:$Z$3005,N$5))))</f>
        <v/>
      </c>
      <c r="O341" s="19">
        <f>IF($A341="","",IF(COUNTIFS(請求記録!$B$6:$B$3005,$A341,請求記録!$Z$6:$Z$3005,O$5,請求記録!$AF$6:$AF$3005,"保留中")&gt;0,"保留",IF(COUNTIFS(請求記録!$B$6:$B$3005,$A341,請求記録!$Z$6:$Z$3005,O$5)=0,"",SUMIFS(請求記録!$AE$6:$AE$3005,請求記録!$B$6:$B$3005,$A341,請求記録!$Z$6:$Z$3005,O$5))))</f>
        <v/>
      </c>
      <c r="P341" s="19">
        <f>IF($A341="","",IF(COUNTIFS(請求記録!$B$6:$B$3005,$A341,請求記録!$Z$6:$Z$3005,P$5,請求記録!$AF$6:$AF$3005,"保留中")&gt;0,"保留",IF(COUNTIFS(請求記録!$B$6:$B$3005,$A341,請求記録!$Z$6:$Z$3005,P$5)=0,"",SUMIFS(請求記録!$AE$6:$AE$3005,請求記録!$B$6:$B$3005,$A341,請求記録!$Z$6:$Z$3005,P$5))))</f>
        <v/>
      </c>
      <c r="Q341" s="19">
        <f>IF($A341="","",IF(COUNTIFS(請求記録!$B$6:$B$3005,$A341,請求記録!$Z$6:$Z$3005,Q$5,請求記録!$AF$6:$AF$3005,"保留中")&gt;0,"保留",IF(COUNTIFS(請求記録!$B$6:$B$3005,$A341,請求記録!$Z$6:$Z$3005,Q$5)=0,"",SUMIFS(請求記録!$AE$6:$AE$3005,請求記録!$B$6:$B$3005,$A341,請求記録!$Z$6:$Z$3005,Q$5))))</f>
        <v/>
      </c>
      <c r="R341" s="19">
        <f>IF($A341="","",IF(COUNTIFS(請求記録!$B$6:$B$3005,$A341,請求記録!$Z$6:$Z$3005,R$5,請求記録!$AF$6:$AF$3005,"保留中")&gt;0,"保留",IF(COUNTIFS(請求記録!$B$6:$B$3005,$A341,請求記録!$Z$6:$Z$3005,R$5)=0,"",SUMIFS(請求記録!$AE$6:$AE$3005,請求記録!$B$6:$B$3005,$A341,請求記録!$Z$6:$Z$3005,R$5))))</f>
        <v/>
      </c>
      <c r="S341" s="19">
        <f>IF($A341="","",IF(COUNTIFS(請求記録!$B$6:$B$3005,$A341,請求記録!$Z$6:$Z$3005,S$5,請求記録!$AF$6:$AF$3005,"保留中")&gt;0,"保留",IF(COUNTIFS(請求記録!$B$6:$B$3005,$A341,請求記録!$Z$6:$Z$3005,S$5)=0,"",SUMIFS(請求記録!$AE$6:$AE$3005,請求記録!$B$6:$B$3005,$A341,請求記録!$Z$6:$Z$3005,S$5))))</f>
        <v/>
      </c>
      <c r="T341" s="19">
        <f>IF($A341="","",IF(COUNTIFS(請求記録!$B$6:$B$3005,$A341,請求記録!$Z$6:$Z$3005,T$5,請求記録!$AF$6:$AF$3005,"保留中")&gt;0,"保留",IF(COUNTIFS(請求記録!$B$6:$B$3005,$A341,請求記録!$Z$6:$Z$3005,T$5)=0,"",SUMIFS(請求記録!$AE$6:$AE$3005,請求記録!$B$6:$B$3005,$A341,請求記録!$Z$6:$Z$3005,T$5))))</f>
        <v/>
      </c>
      <c r="U341" s="19">
        <f>IF($A341="","",IF(COUNTIFS(請求記録!$B$6:$B$3005,$A341,請求記録!$Z$6:$Z$3005,U$5,請求記録!$AF$6:$AF$3005,"保留中")&gt;0,"保留",IF(COUNTIFS(請求記録!$B$6:$B$3005,$A341,請求記録!$Z$6:$Z$3005,U$5)=0,"",SUMIFS(請求記録!$AE$6:$AE$3005,請求記録!$B$6:$B$3005,$A341,請求記録!$Z$6:$Z$3005,U$5))))</f>
        <v/>
      </c>
      <c r="V341" s="19">
        <f>IF($A341="","",IF(COUNTIFS(請求記録!$B$6:$B$3005,$A341,請求記録!$Z$6:$Z$3005,V$5,請求記録!$AF$6:$AF$3005,"保留中")&gt;0,"保留",IF(COUNTIFS(請求記録!$B$6:$B$3005,$A341,請求記録!$Z$6:$Z$3005,V$5)=0,"",SUMIFS(請求記録!$AE$6:$AE$3005,請求記録!$B$6:$B$3005,$A341,請求記録!$Z$6:$Z$3005,V$5))))</f>
        <v/>
      </c>
      <c r="W341" s="19">
        <f>IF($A341="","",IF(COUNTIFS(請求記録!$B$6:$B$3005,$A341,請求記録!$Z$6:$Z$3005,W$5,請求記録!$AF$6:$AF$3005,"保留中")&gt;0,"保留",IF(COUNTIFS(請求記録!$B$6:$B$3005,$A341,請求記録!$Z$6:$Z$3005,W$5)=0,"",SUMIFS(請求記録!$AE$6:$AE$3005,請求記録!$B$6:$B$3005,$A341,請求記録!$Z$6:$Z$3005,W$5))))</f>
        <v/>
      </c>
      <c r="X341" s="19">
        <f>IF($A341="","",IF(COUNTIFS(請求記録!$B$6:$B$3005,$A341,請求記録!$Z$6:$Z$3005,X$5,請求記録!$AF$6:$AF$3005,"保留中")&gt;0,"保留",IF(COUNTIFS(請求記録!$B$6:$B$3005,$A341,請求記録!$Z$6:$Z$3005,X$5)=0,"",SUMIFS(請求記録!$AE$6:$AE$3005,請求記録!$B$6:$B$3005,$A341,請求記録!$Z$6:$Z$3005,X$5))))</f>
        <v/>
      </c>
      <c r="Y341" s="19">
        <f>IF($A341="","",IF(COUNTIFS(請求記録!$B$6:$B$3005,$A341,請求記録!$Z$6:$Z$3005,Y$5,請求記録!$AF$6:$AF$3005,"保留中")&gt;0,"保留",IF(COUNTIFS(請求記録!$B$6:$B$3005,$A341,請求記録!$Z$6:$Z$3005,Y$5)=0,"",SUMIFS(請求記録!$AE$6:$AE$3005,請求記録!$B$6:$B$3005,$A341,請求記録!$Z$6:$Z$3005,Y$5))))</f>
        <v/>
      </c>
      <c r="Z341" s="19">
        <f>IF($A341="","",IF(COUNTIFS(請求記録!$B$6:$B$3005,$A341,請求記録!$Z$6:$Z$3005,Z$5,請求記録!$AF$6:$AF$3005,"保留中")&gt;0,"保留",IF(COUNTIFS(請求記録!$B$6:$B$3005,$A341,請求記録!$Z$6:$Z$3005,Z$5)=0,"",SUMIFS(請求記録!$AE$6:$AE$3005,請求記録!$B$6:$B$3005,$A341,請求記録!$Z$6:$Z$3005,Z$5))))</f>
        <v/>
      </c>
      <c r="AA341" s="19">
        <f>IF($A341="","",IF(COUNTIFS(請求記録!$B$6:$B$3005,$A341,請求記録!$Z$6:$Z$3005,AA$5,請求記録!$AF$6:$AF$3005,"保留中")&gt;0,"保留",IF(COUNTIFS(請求記録!$B$6:$B$3005,$A341,請求記録!$Z$6:$Z$3005,AA$5)=0,"",SUMIFS(請求記録!$AE$6:$AE$3005,請求記録!$B$6:$B$3005,$A341,請求記録!$Z$6:$Z$3005,AA$5))))</f>
        <v/>
      </c>
      <c r="AB341">
        <f>IF(職員マスタ!P341="保留中",職員マスタ!M341,"")</f>
        <v/>
      </c>
    </row>
    <row r="342">
      <c r="A342">
        <f>IF(職員マスタ!A342="","",職員マスタ!A342)</f>
        <v/>
      </c>
      <c r="B342">
        <f>IF($A342="","",職員マスタ!B342)</f>
        <v/>
      </c>
      <c r="C342">
        <f>IF($A342="","",職員マスタ!C342)</f>
        <v/>
      </c>
      <c r="D342" s="19">
        <f>IF($A342="","",IF(COUNTIFS(請求記録!$B$6:$B$3005,$A342,請求記録!$Z$6:$Z$3005,D$5,請求記録!$AF$6:$AF$3005,"保留中")&gt;0,"保留",IF(COUNTIFS(請求記録!$B$6:$B$3005,$A342,請求記録!$Z$6:$Z$3005,D$5)=0,"",SUMIFS(請求記録!$AE$6:$AE$3005,請求記録!$B$6:$B$3005,$A342,請求記録!$Z$6:$Z$3005,D$5))))</f>
        <v/>
      </c>
      <c r="E342" s="19">
        <f>IF($A342="","",IF(COUNTIFS(請求記録!$B$6:$B$3005,$A342,請求記録!$Z$6:$Z$3005,E$5,請求記録!$AF$6:$AF$3005,"保留中")&gt;0,"保留",IF(COUNTIFS(請求記録!$B$6:$B$3005,$A342,請求記録!$Z$6:$Z$3005,E$5)=0,"",SUMIFS(請求記録!$AE$6:$AE$3005,請求記録!$B$6:$B$3005,$A342,請求記録!$Z$6:$Z$3005,E$5))))</f>
        <v/>
      </c>
      <c r="F342" s="19">
        <f>IF($A342="","",IF(COUNTIFS(請求記録!$B$6:$B$3005,$A342,請求記録!$Z$6:$Z$3005,F$5,請求記録!$AF$6:$AF$3005,"保留中")&gt;0,"保留",IF(COUNTIFS(請求記録!$B$6:$B$3005,$A342,請求記録!$Z$6:$Z$3005,F$5)=0,"",SUMIFS(請求記録!$AE$6:$AE$3005,請求記録!$B$6:$B$3005,$A342,請求記録!$Z$6:$Z$3005,F$5))))</f>
        <v/>
      </c>
      <c r="G342" s="19">
        <f>IF($A342="","",IF(COUNTIFS(請求記録!$B$6:$B$3005,$A342,請求記録!$Z$6:$Z$3005,G$5,請求記録!$AF$6:$AF$3005,"保留中")&gt;0,"保留",IF(COUNTIFS(請求記録!$B$6:$B$3005,$A342,請求記録!$Z$6:$Z$3005,G$5)=0,"",SUMIFS(請求記録!$AE$6:$AE$3005,請求記録!$B$6:$B$3005,$A342,請求記録!$Z$6:$Z$3005,G$5))))</f>
        <v/>
      </c>
      <c r="H342" s="19">
        <f>IF($A342="","",IF(COUNTIFS(請求記録!$B$6:$B$3005,$A342,請求記録!$Z$6:$Z$3005,H$5,請求記録!$AF$6:$AF$3005,"保留中")&gt;0,"保留",IF(COUNTIFS(請求記録!$B$6:$B$3005,$A342,請求記録!$Z$6:$Z$3005,H$5)=0,"",SUMIFS(請求記録!$AE$6:$AE$3005,請求記録!$B$6:$B$3005,$A342,請求記録!$Z$6:$Z$3005,H$5))))</f>
        <v/>
      </c>
      <c r="I342" s="19">
        <f>IF($A342="","",IF(COUNTIFS(請求記録!$B$6:$B$3005,$A342,請求記録!$Z$6:$Z$3005,I$5,請求記録!$AF$6:$AF$3005,"保留中")&gt;0,"保留",IF(COUNTIFS(請求記録!$B$6:$B$3005,$A342,請求記録!$Z$6:$Z$3005,I$5)=0,"",SUMIFS(請求記録!$AE$6:$AE$3005,請求記録!$B$6:$B$3005,$A342,請求記録!$Z$6:$Z$3005,I$5))))</f>
        <v/>
      </c>
      <c r="J342" s="19">
        <f>IF($A342="","",IF(COUNTIFS(請求記録!$B$6:$B$3005,$A342,請求記録!$Z$6:$Z$3005,J$5,請求記録!$AF$6:$AF$3005,"保留中")&gt;0,"保留",IF(COUNTIFS(請求記録!$B$6:$B$3005,$A342,請求記録!$Z$6:$Z$3005,J$5)=0,"",SUMIFS(請求記録!$AE$6:$AE$3005,請求記録!$B$6:$B$3005,$A342,請求記録!$Z$6:$Z$3005,J$5))))</f>
        <v/>
      </c>
      <c r="K342" s="19">
        <f>IF($A342="","",IF(COUNTIFS(請求記録!$B$6:$B$3005,$A342,請求記録!$Z$6:$Z$3005,K$5,請求記録!$AF$6:$AF$3005,"保留中")&gt;0,"保留",IF(COUNTIFS(請求記録!$B$6:$B$3005,$A342,請求記録!$Z$6:$Z$3005,K$5)=0,"",SUMIFS(請求記録!$AE$6:$AE$3005,請求記録!$B$6:$B$3005,$A342,請求記録!$Z$6:$Z$3005,K$5))))</f>
        <v/>
      </c>
      <c r="L342" s="19">
        <f>IF($A342="","",IF(COUNTIFS(請求記録!$B$6:$B$3005,$A342,請求記録!$Z$6:$Z$3005,L$5,請求記録!$AF$6:$AF$3005,"保留中")&gt;0,"保留",IF(COUNTIFS(請求記録!$B$6:$B$3005,$A342,請求記録!$Z$6:$Z$3005,L$5)=0,"",SUMIFS(請求記録!$AE$6:$AE$3005,請求記録!$B$6:$B$3005,$A342,請求記録!$Z$6:$Z$3005,L$5))))</f>
        <v/>
      </c>
      <c r="M342" s="19">
        <f>IF($A342="","",IF(COUNTIFS(請求記録!$B$6:$B$3005,$A342,請求記録!$Z$6:$Z$3005,M$5,請求記録!$AF$6:$AF$3005,"保留中")&gt;0,"保留",IF(COUNTIFS(請求記録!$B$6:$B$3005,$A342,請求記録!$Z$6:$Z$3005,M$5)=0,"",SUMIFS(請求記録!$AE$6:$AE$3005,請求記録!$B$6:$B$3005,$A342,請求記録!$Z$6:$Z$3005,M$5))))</f>
        <v/>
      </c>
      <c r="N342" s="19">
        <f>IF($A342="","",IF(COUNTIFS(請求記録!$B$6:$B$3005,$A342,請求記録!$Z$6:$Z$3005,N$5,請求記録!$AF$6:$AF$3005,"保留中")&gt;0,"保留",IF(COUNTIFS(請求記録!$B$6:$B$3005,$A342,請求記録!$Z$6:$Z$3005,N$5)=0,"",SUMIFS(請求記録!$AE$6:$AE$3005,請求記録!$B$6:$B$3005,$A342,請求記録!$Z$6:$Z$3005,N$5))))</f>
        <v/>
      </c>
      <c r="O342" s="19">
        <f>IF($A342="","",IF(COUNTIFS(請求記録!$B$6:$B$3005,$A342,請求記録!$Z$6:$Z$3005,O$5,請求記録!$AF$6:$AF$3005,"保留中")&gt;0,"保留",IF(COUNTIFS(請求記録!$B$6:$B$3005,$A342,請求記録!$Z$6:$Z$3005,O$5)=0,"",SUMIFS(請求記録!$AE$6:$AE$3005,請求記録!$B$6:$B$3005,$A342,請求記録!$Z$6:$Z$3005,O$5))))</f>
        <v/>
      </c>
      <c r="P342" s="19">
        <f>IF($A342="","",IF(COUNTIFS(請求記録!$B$6:$B$3005,$A342,請求記録!$Z$6:$Z$3005,P$5,請求記録!$AF$6:$AF$3005,"保留中")&gt;0,"保留",IF(COUNTIFS(請求記録!$B$6:$B$3005,$A342,請求記録!$Z$6:$Z$3005,P$5)=0,"",SUMIFS(請求記録!$AE$6:$AE$3005,請求記録!$B$6:$B$3005,$A342,請求記録!$Z$6:$Z$3005,P$5))))</f>
        <v/>
      </c>
      <c r="Q342" s="19">
        <f>IF($A342="","",IF(COUNTIFS(請求記録!$B$6:$B$3005,$A342,請求記録!$Z$6:$Z$3005,Q$5,請求記録!$AF$6:$AF$3005,"保留中")&gt;0,"保留",IF(COUNTIFS(請求記録!$B$6:$B$3005,$A342,請求記録!$Z$6:$Z$3005,Q$5)=0,"",SUMIFS(請求記録!$AE$6:$AE$3005,請求記録!$B$6:$B$3005,$A342,請求記録!$Z$6:$Z$3005,Q$5))))</f>
        <v/>
      </c>
      <c r="R342" s="19">
        <f>IF($A342="","",IF(COUNTIFS(請求記録!$B$6:$B$3005,$A342,請求記録!$Z$6:$Z$3005,R$5,請求記録!$AF$6:$AF$3005,"保留中")&gt;0,"保留",IF(COUNTIFS(請求記録!$B$6:$B$3005,$A342,請求記録!$Z$6:$Z$3005,R$5)=0,"",SUMIFS(請求記録!$AE$6:$AE$3005,請求記録!$B$6:$B$3005,$A342,請求記録!$Z$6:$Z$3005,R$5))))</f>
        <v/>
      </c>
      <c r="S342" s="19">
        <f>IF($A342="","",IF(COUNTIFS(請求記録!$B$6:$B$3005,$A342,請求記録!$Z$6:$Z$3005,S$5,請求記録!$AF$6:$AF$3005,"保留中")&gt;0,"保留",IF(COUNTIFS(請求記録!$B$6:$B$3005,$A342,請求記録!$Z$6:$Z$3005,S$5)=0,"",SUMIFS(請求記録!$AE$6:$AE$3005,請求記録!$B$6:$B$3005,$A342,請求記録!$Z$6:$Z$3005,S$5))))</f>
        <v/>
      </c>
      <c r="T342" s="19">
        <f>IF($A342="","",IF(COUNTIFS(請求記録!$B$6:$B$3005,$A342,請求記録!$Z$6:$Z$3005,T$5,請求記録!$AF$6:$AF$3005,"保留中")&gt;0,"保留",IF(COUNTIFS(請求記録!$B$6:$B$3005,$A342,請求記録!$Z$6:$Z$3005,T$5)=0,"",SUMIFS(請求記録!$AE$6:$AE$3005,請求記録!$B$6:$B$3005,$A342,請求記録!$Z$6:$Z$3005,T$5))))</f>
        <v/>
      </c>
      <c r="U342" s="19">
        <f>IF($A342="","",IF(COUNTIFS(請求記録!$B$6:$B$3005,$A342,請求記録!$Z$6:$Z$3005,U$5,請求記録!$AF$6:$AF$3005,"保留中")&gt;0,"保留",IF(COUNTIFS(請求記録!$B$6:$B$3005,$A342,請求記録!$Z$6:$Z$3005,U$5)=0,"",SUMIFS(請求記録!$AE$6:$AE$3005,請求記録!$B$6:$B$3005,$A342,請求記録!$Z$6:$Z$3005,U$5))))</f>
        <v/>
      </c>
      <c r="V342" s="19">
        <f>IF($A342="","",IF(COUNTIFS(請求記録!$B$6:$B$3005,$A342,請求記録!$Z$6:$Z$3005,V$5,請求記録!$AF$6:$AF$3005,"保留中")&gt;0,"保留",IF(COUNTIFS(請求記録!$B$6:$B$3005,$A342,請求記録!$Z$6:$Z$3005,V$5)=0,"",SUMIFS(請求記録!$AE$6:$AE$3005,請求記録!$B$6:$B$3005,$A342,請求記録!$Z$6:$Z$3005,V$5))))</f>
        <v/>
      </c>
      <c r="W342" s="19">
        <f>IF($A342="","",IF(COUNTIFS(請求記録!$B$6:$B$3005,$A342,請求記録!$Z$6:$Z$3005,W$5,請求記録!$AF$6:$AF$3005,"保留中")&gt;0,"保留",IF(COUNTIFS(請求記録!$B$6:$B$3005,$A342,請求記録!$Z$6:$Z$3005,W$5)=0,"",SUMIFS(請求記録!$AE$6:$AE$3005,請求記録!$B$6:$B$3005,$A342,請求記録!$Z$6:$Z$3005,W$5))))</f>
        <v/>
      </c>
      <c r="X342" s="19">
        <f>IF($A342="","",IF(COUNTIFS(請求記録!$B$6:$B$3005,$A342,請求記録!$Z$6:$Z$3005,X$5,請求記録!$AF$6:$AF$3005,"保留中")&gt;0,"保留",IF(COUNTIFS(請求記録!$B$6:$B$3005,$A342,請求記録!$Z$6:$Z$3005,X$5)=0,"",SUMIFS(請求記録!$AE$6:$AE$3005,請求記録!$B$6:$B$3005,$A342,請求記録!$Z$6:$Z$3005,X$5))))</f>
        <v/>
      </c>
      <c r="Y342" s="19">
        <f>IF($A342="","",IF(COUNTIFS(請求記録!$B$6:$B$3005,$A342,請求記録!$Z$6:$Z$3005,Y$5,請求記録!$AF$6:$AF$3005,"保留中")&gt;0,"保留",IF(COUNTIFS(請求記録!$B$6:$B$3005,$A342,請求記録!$Z$6:$Z$3005,Y$5)=0,"",SUMIFS(請求記録!$AE$6:$AE$3005,請求記録!$B$6:$B$3005,$A342,請求記録!$Z$6:$Z$3005,Y$5))))</f>
        <v/>
      </c>
      <c r="Z342" s="19">
        <f>IF($A342="","",IF(COUNTIFS(請求記録!$B$6:$B$3005,$A342,請求記録!$Z$6:$Z$3005,Z$5,請求記録!$AF$6:$AF$3005,"保留中")&gt;0,"保留",IF(COUNTIFS(請求記録!$B$6:$B$3005,$A342,請求記録!$Z$6:$Z$3005,Z$5)=0,"",SUMIFS(請求記録!$AE$6:$AE$3005,請求記録!$B$6:$B$3005,$A342,請求記録!$Z$6:$Z$3005,Z$5))))</f>
        <v/>
      </c>
      <c r="AA342" s="19">
        <f>IF($A342="","",IF(COUNTIFS(請求記録!$B$6:$B$3005,$A342,請求記録!$Z$6:$Z$3005,AA$5,請求記録!$AF$6:$AF$3005,"保留中")&gt;0,"保留",IF(COUNTIFS(請求記録!$B$6:$B$3005,$A342,請求記録!$Z$6:$Z$3005,AA$5)=0,"",SUMIFS(請求記録!$AE$6:$AE$3005,請求記録!$B$6:$B$3005,$A342,請求記録!$Z$6:$Z$3005,AA$5))))</f>
        <v/>
      </c>
      <c r="AB342">
        <f>IF(職員マスタ!P342="保留中",職員マスタ!M342,"")</f>
        <v/>
      </c>
    </row>
    <row r="343">
      <c r="A343">
        <f>IF(職員マスタ!A343="","",職員マスタ!A343)</f>
        <v/>
      </c>
      <c r="B343">
        <f>IF($A343="","",職員マスタ!B343)</f>
        <v/>
      </c>
      <c r="C343">
        <f>IF($A343="","",職員マスタ!C343)</f>
        <v/>
      </c>
      <c r="D343" s="19">
        <f>IF($A343="","",IF(COUNTIFS(請求記録!$B$6:$B$3005,$A343,請求記録!$Z$6:$Z$3005,D$5,請求記録!$AF$6:$AF$3005,"保留中")&gt;0,"保留",IF(COUNTIFS(請求記録!$B$6:$B$3005,$A343,請求記録!$Z$6:$Z$3005,D$5)=0,"",SUMIFS(請求記録!$AE$6:$AE$3005,請求記録!$B$6:$B$3005,$A343,請求記録!$Z$6:$Z$3005,D$5))))</f>
        <v/>
      </c>
      <c r="E343" s="19">
        <f>IF($A343="","",IF(COUNTIFS(請求記録!$B$6:$B$3005,$A343,請求記録!$Z$6:$Z$3005,E$5,請求記録!$AF$6:$AF$3005,"保留中")&gt;0,"保留",IF(COUNTIFS(請求記録!$B$6:$B$3005,$A343,請求記録!$Z$6:$Z$3005,E$5)=0,"",SUMIFS(請求記録!$AE$6:$AE$3005,請求記録!$B$6:$B$3005,$A343,請求記録!$Z$6:$Z$3005,E$5))))</f>
        <v/>
      </c>
      <c r="F343" s="19">
        <f>IF($A343="","",IF(COUNTIFS(請求記録!$B$6:$B$3005,$A343,請求記録!$Z$6:$Z$3005,F$5,請求記録!$AF$6:$AF$3005,"保留中")&gt;0,"保留",IF(COUNTIFS(請求記録!$B$6:$B$3005,$A343,請求記録!$Z$6:$Z$3005,F$5)=0,"",SUMIFS(請求記録!$AE$6:$AE$3005,請求記録!$B$6:$B$3005,$A343,請求記録!$Z$6:$Z$3005,F$5))))</f>
        <v/>
      </c>
      <c r="G343" s="19">
        <f>IF($A343="","",IF(COUNTIFS(請求記録!$B$6:$B$3005,$A343,請求記録!$Z$6:$Z$3005,G$5,請求記録!$AF$6:$AF$3005,"保留中")&gt;0,"保留",IF(COUNTIFS(請求記録!$B$6:$B$3005,$A343,請求記録!$Z$6:$Z$3005,G$5)=0,"",SUMIFS(請求記録!$AE$6:$AE$3005,請求記録!$B$6:$B$3005,$A343,請求記録!$Z$6:$Z$3005,G$5))))</f>
        <v/>
      </c>
      <c r="H343" s="19">
        <f>IF($A343="","",IF(COUNTIFS(請求記録!$B$6:$B$3005,$A343,請求記録!$Z$6:$Z$3005,H$5,請求記録!$AF$6:$AF$3005,"保留中")&gt;0,"保留",IF(COUNTIFS(請求記録!$B$6:$B$3005,$A343,請求記録!$Z$6:$Z$3005,H$5)=0,"",SUMIFS(請求記録!$AE$6:$AE$3005,請求記録!$B$6:$B$3005,$A343,請求記録!$Z$6:$Z$3005,H$5))))</f>
        <v/>
      </c>
      <c r="I343" s="19">
        <f>IF($A343="","",IF(COUNTIFS(請求記録!$B$6:$B$3005,$A343,請求記録!$Z$6:$Z$3005,I$5,請求記録!$AF$6:$AF$3005,"保留中")&gt;0,"保留",IF(COUNTIFS(請求記録!$B$6:$B$3005,$A343,請求記録!$Z$6:$Z$3005,I$5)=0,"",SUMIFS(請求記録!$AE$6:$AE$3005,請求記録!$B$6:$B$3005,$A343,請求記録!$Z$6:$Z$3005,I$5))))</f>
        <v/>
      </c>
      <c r="J343" s="19">
        <f>IF($A343="","",IF(COUNTIFS(請求記録!$B$6:$B$3005,$A343,請求記録!$Z$6:$Z$3005,J$5,請求記録!$AF$6:$AF$3005,"保留中")&gt;0,"保留",IF(COUNTIFS(請求記録!$B$6:$B$3005,$A343,請求記録!$Z$6:$Z$3005,J$5)=0,"",SUMIFS(請求記録!$AE$6:$AE$3005,請求記録!$B$6:$B$3005,$A343,請求記録!$Z$6:$Z$3005,J$5))))</f>
        <v/>
      </c>
      <c r="K343" s="19">
        <f>IF($A343="","",IF(COUNTIFS(請求記録!$B$6:$B$3005,$A343,請求記録!$Z$6:$Z$3005,K$5,請求記録!$AF$6:$AF$3005,"保留中")&gt;0,"保留",IF(COUNTIFS(請求記録!$B$6:$B$3005,$A343,請求記録!$Z$6:$Z$3005,K$5)=0,"",SUMIFS(請求記録!$AE$6:$AE$3005,請求記録!$B$6:$B$3005,$A343,請求記録!$Z$6:$Z$3005,K$5))))</f>
        <v/>
      </c>
      <c r="L343" s="19">
        <f>IF($A343="","",IF(COUNTIFS(請求記録!$B$6:$B$3005,$A343,請求記録!$Z$6:$Z$3005,L$5,請求記録!$AF$6:$AF$3005,"保留中")&gt;0,"保留",IF(COUNTIFS(請求記録!$B$6:$B$3005,$A343,請求記録!$Z$6:$Z$3005,L$5)=0,"",SUMIFS(請求記録!$AE$6:$AE$3005,請求記録!$B$6:$B$3005,$A343,請求記録!$Z$6:$Z$3005,L$5))))</f>
        <v/>
      </c>
      <c r="M343" s="19">
        <f>IF($A343="","",IF(COUNTIFS(請求記録!$B$6:$B$3005,$A343,請求記録!$Z$6:$Z$3005,M$5,請求記録!$AF$6:$AF$3005,"保留中")&gt;0,"保留",IF(COUNTIFS(請求記録!$B$6:$B$3005,$A343,請求記録!$Z$6:$Z$3005,M$5)=0,"",SUMIFS(請求記録!$AE$6:$AE$3005,請求記録!$B$6:$B$3005,$A343,請求記録!$Z$6:$Z$3005,M$5))))</f>
        <v/>
      </c>
      <c r="N343" s="19">
        <f>IF($A343="","",IF(COUNTIFS(請求記録!$B$6:$B$3005,$A343,請求記録!$Z$6:$Z$3005,N$5,請求記録!$AF$6:$AF$3005,"保留中")&gt;0,"保留",IF(COUNTIFS(請求記録!$B$6:$B$3005,$A343,請求記録!$Z$6:$Z$3005,N$5)=0,"",SUMIFS(請求記録!$AE$6:$AE$3005,請求記録!$B$6:$B$3005,$A343,請求記録!$Z$6:$Z$3005,N$5))))</f>
        <v/>
      </c>
      <c r="O343" s="19">
        <f>IF($A343="","",IF(COUNTIFS(請求記録!$B$6:$B$3005,$A343,請求記録!$Z$6:$Z$3005,O$5,請求記録!$AF$6:$AF$3005,"保留中")&gt;0,"保留",IF(COUNTIFS(請求記録!$B$6:$B$3005,$A343,請求記録!$Z$6:$Z$3005,O$5)=0,"",SUMIFS(請求記録!$AE$6:$AE$3005,請求記録!$B$6:$B$3005,$A343,請求記録!$Z$6:$Z$3005,O$5))))</f>
        <v/>
      </c>
      <c r="P343" s="19">
        <f>IF($A343="","",IF(COUNTIFS(請求記録!$B$6:$B$3005,$A343,請求記録!$Z$6:$Z$3005,P$5,請求記録!$AF$6:$AF$3005,"保留中")&gt;0,"保留",IF(COUNTIFS(請求記録!$B$6:$B$3005,$A343,請求記録!$Z$6:$Z$3005,P$5)=0,"",SUMIFS(請求記録!$AE$6:$AE$3005,請求記録!$B$6:$B$3005,$A343,請求記録!$Z$6:$Z$3005,P$5))))</f>
        <v/>
      </c>
      <c r="Q343" s="19">
        <f>IF($A343="","",IF(COUNTIFS(請求記録!$B$6:$B$3005,$A343,請求記録!$Z$6:$Z$3005,Q$5,請求記録!$AF$6:$AF$3005,"保留中")&gt;0,"保留",IF(COUNTIFS(請求記録!$B$6:$B$3005,$A343,請求記録!$Z$6:$Z$3005,Q$5)=0,"",SUMIFS(請求記録!$AE$6:$AE$3005,請求記録!$B$6:$B$3005,$A343,請求記録!$Z$6:$Z$3005,Q$5))))</f>
        <v/>
      </c>
      <c r="R343" s="19">
        <f>IF($A343="","",IF(COUNTIFS(請求記録!$B$6:$B$3005,$A343,請求記録!$Z$6:$Z$3005,R$5,請求記録!$AF$6:$AF$3005,"保留中")&gt;0,"保留",IF(COUNTIFS(請求記録!$B$6:$B$3005,$A343,請求記録!$Z$6:$Z$3005,R$5)=0,"",SUMIFS(請求記録!$AE$6:$AE$3005,請求記録!$B$6:$B$3005,$A343,請求記録!$Z$6:$Z$3005,R$5))))</f>
        <v/>
      </c>
      <c r="S343" s="19">
        <f>IF($A343="","",IF(COUNTIFS(請求記録!$B$6:$B$3005,$A343,請求記録!$Z$6:$Z$3005,S$5,請求記録!$AF$6:$AF$3005,"保留中")&gt;0,"保留",IF(COUNTIFS(請求記録!$B$6:$B$3005,$A343,請求記録!$Z$6:$Z$3005,S$5)=0,"",SUMIFS(請求記録!$AE$6:$AE$3005,請求記録!$B$6:$B$3005,$A343,請求記録!$Z$6:$Z$3005,S$5))))</f>
        <v/>
      </c>
      <c r="T343" s="19">
        <f>IF($A343="","",IF(COUNTIFS(請求記録!$B$6:$B$3005,$A343,請求記録!$Z$6:$Z$3005,T$5,請求記録!$AF$6:$AF$3005,"保留中")&gt;0,"保留",IF(COUNTIFS(請求記録!$B$6:$B$3005,$A343,請求記録!$Z$6:$Z$3005,T$5)=0,"",SUMIFS(請求記録!$AE$6:$AE$3005,請求記録!$B$6:$B$3005,$A343,請求記録!$Z$6:$Z$3005,T$5))))</f>
        <v/>
      </c>
      <c r="U343" s="19">
        <f>IF($A343="","",IF(COUNTIFS(請求記録!$B$6:$B$3005,$A343,請求記録!$Z$6:$Z$3005,U$5,請求記録!$AF$6:$AF$3005,"保留中")&gt;0,"保留",IF(COUNTIFS(請求記録!$B$6:$B$3005,$A343,請求記録!$Z$6:$Z$3005,U$5)=0,"",SUMIFS(請求記録!$AE$6:$AE$3005,請求記録!$B$6:$B$3005,$A343,請求記録!$Z$6:$Z$3005,U$5))))</f>
        <v/>
      </c>
      <c r="V343" s="19">
        <f>IF($A343="","",IF(COUNTIFS(請求記録!$B$6:$B$3005,$A343,請求記録!$Z$6:$Z$3005,V$5,請求記録!$AF$6:$AF$3005,"保留中")&gt;0,"保留",IF(COUNTIFS(請求記録!$B$6:$B$3005,$A343,請求記録!$Z$6:$Z$3005,V$5)=0,"",SUMIFS(請求記録!$AE$6:$AE$3005,請求記録!$B$6:$B$3005,$A343,請求記録!$Z$6:$Z$3005,V$5))))</f>
        <v/>
      </c>
      <c r="W343" s="19">
        <f>IF($A343="","",IF(COUNTIFS(請求記録!$B$6:$B$3005,$A343,請求記録!$Z$6:$Z$3005,W$5,請求記録!$AF$6:$AF$3005,"保留中")&gt;0,"保留",IF(COUNTIFS(請求記録!$B$6:$B$3005,$A343,請求記録!$Z$6:$Z$3005,W$5)=0,"",SUMIFS(請求記録!$AE$6:$AE$3005,請求記録!$B$6:$B$3005,$A343,請求記録!$Z$6:$Z$3005,W$5))))</f>
        <v/>
      </c>
      <c r="X343" s="19">
        <f>IF($A343="","",IF(COUNTIFS(請求記録!$B$6:$B$3005,$A343,請求記録!$Z$6:$Z$3005,X$5,請求記録!$AF$6:$AF$3005,"保留中")&gt;0,"保留",IF(COUNTIFS(請求記録!$B$6:$B$3005,$A343,請求記録!$Z$6:$Z$3005,X$5)=0,"",SUMIFS(請求記録!$AE$6:$AE$3005,請求記録!$B$6:$B$3005,$A343,請求記録!$Z$6:$Z$3005,X$5))))</f>
        <v/>
      </c>
      <c r="Y343" s="19">
        <f>IF($A343="","",IF(COUNTIFS(請求記録!$B$6:$B$3005,$A343,請求記録!$Z$6:$Z$3005,Y$5,請求記録!$AF$6:$AF$3005,"保留中")&gt;0,"保留",IF(COUNTIFS(請求記録!$B$6:$B$3005,$A343,請求記録!$Z$6:$Z$3005,Y$5)=0,"",SUMIFS(請求記録!$AE$6:$AE$3005,請求記録!$B$6:$B$3005,$A343,請求記録!$Z$6:$Z$3005,Y$5))))</f>
        <v/>
      </c>
      <c r="Z343" s="19">
        <f>IF($A343="","",IF(COUNTIFS(請求記録!$B$6:$B$3005,$A343,請求記録!$Z$6:$Z$3005,Z$5,請求記録!$AF$6:$AF$3005,"保留中")&gt;0,"保留",IF(COUNTIFS(請求記録!$B$6:$B$3005,$A343,請求記録!$Z$6:$Z$3005,Z$5)=0,"",SUMIFS(請求記録!$AE$6:$AE$3005,請求記録!$B$6:$B$3005,$A343,請求記録!$Z$6:$Z$3005,Z$5))))</f>
        <v/>
      </c>
      <c r="AA343" s="19">
        <f>IF($A343="","",IF(COUNTIFS(請求記録!$B$6:$B$3005,$A343,請求記録!$Z$6:$Z$3005,AA$5,請求記録!$AF$6:$AF$3005,"保留中")&gt;0,"保留",IF(COUNTIFS(請求記録!$B$6:$B$3005,$A343,請求記録!$Z$6:$Z$3005,AA$5)=0,"",SUMIFS(請求記録!$AE$6:$AE$3005,請求記録!$B$6:$B$3005,$A343,請求記録!$Z$6:$Z$3005,AA$5))))</f>
        <v/>
      </c>
      <c r="AB343">
        <f>IF(職員マスタ!P343="保留中",職員マスタ!M343,"")</f>
        <v/>
      </c>
    </row>
    <row r="344">
      <c r="A344">
        <f>IF(職員マスタ!A344="","",職員マスタ!A344)</f>
        <v/>
      </c>
      <c r="B344">
        <f>IF($A344="","",職員マスタ!B344)</f>
        <v/>
      </c>
      <c r="C344">
        <f>IF($A344="","",職員マスタ!C344)</f>
        <v/>
      </c>
      <c r="D344" s="19">
        <f>IF($A344="","",IF(COUNTIFS(請求記録!$B$6:$B$3005,$A344,請求記録!$Z$6:$Z$3005,D$5,請求記録!$AF$6:$AF$3005,"保留中")&gt;0,"保留",IF(COUNTIFS(請求記録!$B$6:$B$3005,$A344,請求記録!$Z$6:$Z$3005,D$5)=0,"",SUMIFS(請求記録!$AE$6:$AE$3005,請求記録!$B$6:$B$3005,$A344,請求記録!$Z$6:$Z$3005,D$5))))</f>
        <v/>
      </c>
      <c r="E344" s="19">
        <f>IF($A344="","",IF(COUNTIFS(請求記録!$B$6:$B$3005,$A344,請求記録!$Z$6:$Z$3005,E$5,請求記録!$AF$6:$AF$3005,"保留中")&gt;0,"保留",IF(COUNTIFS(請求記録!$B$6:$B$3005,$A344,請求記録!$Z$6:$Z$3005,E$5)=0,"",SUMIFS(請求記録!$AE$6:$AE$3005,請求記録!$B$6:$B$3005,$A344,請求記録!$Z$6:$Z$3005,E$5))))</f>
        <v/>
      </c>
      <c r="F344" s="19">
        <f>IF($A344="","",IF(COUNTIFS(請求記録!$B$6:$B$3005,$A344,請求記録!$Z$6:$Z$3005,F$5,請求記録!$AF$6:$AF$3005,"保留中")&gt;0,"保留",IF(COUNTIFS(請求記録!$B$6:$B$3005,$A344,請求記録!$Z$6:$Z$3005,F$5)=0,"",SUMIFS(請求記録!$AE$6:$AE$3005,請求記録!$B$6:$B$3005,$A344,請求記録!$Z$6:$Z$3005,F$5))))</f>
        <v/>
      </c>
      <c r="G344" s="19">
        <f>IF($A344="","",IF(COUNTIFS(請求記録!$B$6:$B$3005,$A344,請求記録!$Z$6:$Z$3005,G$5,請求記録!$AF$6:$AF$3005,"保留中")&gt;0,"保留",IF(COUNTIFS(請求記録!$B$6:$B$3005,$A344,請求記録!$Z$6:$Z$3005,G$5)=0,"",SUMIFS(請求記録!$AE$6:$AE$3005,請求記録!$B$6:$B$3005,$A344,請求記録!$Z$6:$Z$3005,G$5))))</f>
        <v/>
      </c>
      <c r="H344" s="19">
        <f>IF($A344="","",IF(COUNTIFS(請求記録!$B$6:$B$3005,$A344,請求記録!$Z$6:$Z$3005,H$5,請求記録!$AF$6:$AF$3005,"保留中")&gt;0,"保留",IF(COUNTIFS(請求記録!$B$6:$B$3005,$A344,請求記録!$Z$6:$Z$3005,H$5)=0,"",SUMIFS(請求記録!$AE$6:$AE$3005,請求記録!$B$6:$B$3005,$A344,請求記録!$Z$6:$Z$3005,H$5))))</f>
        <v/>
      </c>
      <c r="I344" s="19">
        <f>IF($A344="","",IF(COUNTIFS(請求記録!$B$6:$B$3005,$A344,請求記録!$Z$6:$Z$3005,I$5,請求記録!$AF$6:$AF$3005,"保留中")&gt;0,"保留",IF(COUNTIFS(請求記録!$B$6:$B$3005,$A344,請求記録!$Z$6:$Z$3005,I$5)=0,"",SUMIFS(請求記録!$AE$6:$AE$3005,請求記録!$B$6:$B$3005,$A344,請求記録!$Z$6:$Z$3005,I$5))))</f>
        <v/>
      </c>
      <c r="J344" s="19">
        <f>IF($A344="","",IF(COUNTIFS(請求記録!$B$6:$B$3005,$A344,請求記録!$Z$6:$Z$3005,J$5,請求記録!$AF$6:$AF$3005,"保留中")&gt;0,"保留",IF(COUNTIFS(請求記録!$B$6:$B$3005,$A344,請求記録!$Z$6:$Z$3005,J$5)=0,"",SUMIFS(請求記録!$AE$6:$AE$3005,請求記録!$B$6:$B$3005,$A344,請求記録!$Z$6:$Z$3005,J$5))))</f>
        <v/>
      </c>
      <c r="K344" s="19">
        <f>IF($A344="","",IF(COUNTIFS(請求記録!$B$6:$B$3005,$A344,請求記録!$Z$6:$Z$3005,K$5,請求記録!$AF$6:$AF$3005,"保留中")&gt;0,"保留",IF(COUNTIFS(請求記録!$B$6:$B$3005,$A344,請求記録!$Z$6:$Z$3005,K$5)=0,"",SUMIFS(請求記録!$AE$6:$AE$3005,請求記録!$B$6:$B$3005,$A344,請求記録!$Z$6:$Z$3005,K$5))))</f>
        <v/>
      </c>
      <c r="L344" s="19">
        <f>IF($A344="","",IF(COUNTIFS(請求記録!$B$6:$B$3005,$A344,請求記録!$Z$6:$Z$3005,L$5,請求記録!$AF$6:$AF$3005,"保留中")&gt;0,"保留",IF(COUNTIFS(請求記録!$B$6:$B$3005,$A344,請求記録!$Z$6:$Z$3005,L$5)=0,"",SUMIFS(請求記録!$AE$6:$AE$3005,請求記録!$B$6:$B$3005,$A344,請求記録!$Z$6:$Z$3005,L$5))))</f>
        <v/>
      </c>
      <c r="M344" s="19">
        <f>IF($A344="","",IF(COUNTIFS(請求記録!$B$6:$B$3005,$A344,請求記録!$Z$6:$Z$3005,M$5,請求記録!$AF$6:$AF$3005,"保留中")&gt;0,"保留",IF(COUNTIFS(請求記録!$B$6:$B$3005,$A344,請求記録!$Z$6:$Z$3005,M$5)=0,"",SUMIFS(請求記録!$AE$6:$AE$3005,請求記録!$B$6:$B$3005,$A344,請求記録!$Z$6:$Z$3005,M$5))))</f>
        <v/>
      </c>
      <c r="N344" s="19">
        <f>IF($A344="","",IF(COUNTIFS(請求記録!$B$6:$B$3005,$A344,請求記録!$Z$6:$Z$3005,N$5,請求記録!$AF$6:$AF$3005,"保留中")&gt;0,"保留",IF(COUNTIFS(請求記録!$B$6:$B$3005,$A344,請求記録!$Z$6:$Z$3005,N$5)=0,"",SUMIFS(請求記録!$AE$6:$AE$3005,請求記録!$B$6:$B$3005,$A344,請求記録!$Z$6:$Z$3005,N$5))))</f>
        <v/>
      </c>
      <c r="O344" s="19">
        <f>IF($A344="","",IF(COUNTIFS(請求記録!$B$6:$B$3005,$A344,請求記録!$Z$6:$Z$3005,O$5,請求記録!$AF$6:$AF$3005,"保留中")&gt;0,"保留",IF(COUNTIFS(請求記録!$B$6:$B$3005,$A344,請求記録!$Z$6:$Z$3005,O$5)=0,"",SUMIFS(請求記録!$AE$6:$AE$3005,請求記録!$B$6:$B$3005,$A344,請求記録!$Z$6:$Z$3005,O$5))))</f>
        <v/>
      </c>
      <c r="P344" s="19">
        <f>IF($A344="","",IF(COUNTIFS(請求記録!$B$6:$B$3005,$A344,請求記録!$Z$6:$Z$3005,P$5,請求記録!$AF$6:$AF$3005,"保留中")&gt;0,"保留",IF(COUNTIFS(請求記録!$B$6:$B$3005,$A344,請求記録!$Z$6:$Z$3005,P$5)=0,"",SUMIFS(請求記録!$AE$6:$AE$3005,請求記録!$B$6:$B$3005,$A344,請求記録!$Z$6:$Z$3005,P$5))))</f>
        <v/>
      </c>
      <c r="Q344" s="19">
        <f>IF($A344="","",IF(COUNTIFS(請求記録!$B$6:$B$3005,$A344,請求記録!$Z$6:$Z$3005,Q$5,請求記録!$AF$6:$AF$3005,"保留中")&gt;0,"保留",IF(COUNTIFS(請求記録!$B$6:$B$3005,$A344,請求記録!$Z$6:$Z$3005,Q$5)=0,"",SUMIFS(請求記録!$AE$6:$AE$3005,請求記録!$B$6:$B$3005,$A344,請求記録!$Z$6:$Z$3005,Q$5))))</f>
        <v/>
      </c>
      <c r="R344" s="19">
        <f>IF($A344="","",IF(COUNTIFS(請求記録!$B$6:$B$3005,$A344,請求記録!$Z$6:$Z$3005,R$5,請求記録!$AF$6:$AF$3005,"保留中")&gt;0,"保留",IF(COUNTIFS(請求記録!$B$6:$B$3005,$A344,請求記録!$Z$6:$Z$3005,R$5)=0,"",SUMIFS(請求記録!$AE$6:$AE$3005,請求記録!$B$6:$B$3005,$A344,請求記録!$Z$6:$Z$3005,R$5))))</f>
        <v/>
      </c>
      <c r="S344" s="19">
        <f>IF($A344="","",IF(COUNTIFS(請求記録!$B$6:$B$3005,$A344,請求記録!$Z$6:$Z$3005,S$5,請求記録!$AF$6:$AF$3005,"保留中")&gt;0,"保留",IF(COUNTIFS(請求記録!$B$6:$B$3005,$A344,請求記録!$Z$6:$Z$3005,S$5)=0,"",SUMIFS(請求記録!$AE$6:$AE$3005,請求記録!$B$6:$B$3005,$A344,請求記録!$Z$6:$Z$3005,S$5))))</f>
        <v/>
      </c>
      <c r="T344" s="19">
        <f>IF($A344="","",IF(COUNTIFS(請求記録!$B$6:$B$3005,$A344,請求記録!$Z$6:$Z$3005,T$5,請求記録!$AF$6:$AF$3005,"保留中")&gt;0,"保留",IF(COUNTIFS(請求記録!$B$6:$B$3005,$A344,請求記録!$Z$6:$Z$3005,T$5)=0,"",SUMIFS(請求記録!$AE$6:$AE$3005,請求記録!$B$6:$B$3005,$A344,請求記録!$Z$6:$Z$3005,T$5))))</f>
        <v/>
      </c>
      <c r="U344" s="19">
        <f>IF($A344="","",IF(COUNTIFS(請求記録!$B$6:$B$3005,$A344,請求記録!$Z$6:$Z$3005,U$5,請求記録!$AF$6:$AF$3005,"保留中")&gt;0,"保留",IF(COUNTIFS(請求記録!$B$6:$B$3005,$A344,請求記録!$Z$6:$Z$3005,U$5)=0,"",SUMIFS(請求記録!$AE$6:$AE$3005,請求記録!$B$6:$B$3005,$A344,請求記録!$Z$6:$Z$3005,U$5))))</f>
        <v/>
      </c>
      <c r="V344" s="19">
        <f>IF($A344="","",IF(COUNTIFS(請求記録!$B$6:$B$3005,$A344,請求記録!$Z$6:$Z$3005,V$5,請求記録!$AF$6:$AF$3005,"保留中")&gt;0,"保留",IF(COUNTIFS(請求記録!$B$6:$B$3005,$A344,請求記録!$Z$6:$Z$3005,V$5)=0,"",SUMIFS(請求記録!$AE$6:$AE$3005,請求記録!$B$6:$B$3005,$A344,請求記録!$Z$6:$Z$3005,V$5))))</f>
        <v/>
      </c>
      <c r="W344" s="19">
        <f>IF($A344="","",IF(COUNTIFS(請求記録!$B$6:$B$3005,$A344,請求記録!$Z$6:$Z$3005,W$5,請求記録!$AF$6:$AF$3005,"保留中")&gt;0,"保留",IF(COUNTIFS(請求記録!$B$6:$B$3005,$A344,請求記録!$Z$6:$Z$3005,W$5)=0,"",SUMIFS(請求記録!$AE$6:$AE$3005,請求記録!$B$6:$B$3005,$A344,請求記録!$Z$6:$Z$3005,W$5))))</f>
        <v/>
      </c>
      <c r="X344" s="19">
        <f>IF($A344="","",IF(COUNTIFS(請求記録!$B$6:$B$3005,$A344,請求記録!$Z$6:$Z$3005,X$5,請求記録!$AF$6:$AF$3005,"保留中")&gt;0,"保留",IF(COUNTIFS(請求記録!$B$6:$B$3005,$A344,請求記録!$Z$6:$Z$3005,X$5)=0,"",SUMIFS(請求記録!$AE$6:$AE$3005,請求記録!$B$6:$B$3005,$A344,請求記録!$Z$6:$Z$3005,X$5))))</f>
        <v/>
      </c>
      <c r="Y344" s="19">
        <f>IF($A344="","",IF(COUNTIFS(請求記録!$B$6:$B$3005,$A344,請求記録!$Z$6:$Z$3005,Y$5,請求記録!$AF$6:$AF$3005,"保留中")&gt;0,"保留",IF(COUNTIFS(請求記録!$B$6:$B$3005,$A344,請求記録!$Z$6:$Z$3005,Y$5)=0,"",SUMIFS(請求記録!$AE$6:$AE$3005,請求記録!$B$6:$B$3005,$A344,請求記録!$Z$6:$Z$3005,Y$5))))</f>
        <v/>
      </c>
      <c r="Z344" s="19">
        <f>IF($A344="","",IF(COUNTIFS(請求記録!$B$6:$B$3005,$A344,請求記録!$Z$6:$Z$3005,Z$5,請求記録!$AF$6:$AF$3005,"保留中")&gt;0,"保留",IF(COUNTIFS(請求記録!$B$6:$B$3005,$A344,請求記録!$Z$6:$Z$3005,Z$5)=0,"",SUMIFS(請求記録!$AE$6:$AE$3005,請求記録!$B$6:$B$3005,$A344,請求記録!$Z$6:$Z$3005,Z$5))))</f>
        <v/>
      </c>
      <c r="AA344" s="19">
        <f>IF($A344="","",IF(COUNTIFS(請求記録!$B$6:$B$3005,$A344,請求記録!$Z$6:$Z$3005,AA$5,請求記録!$AF$6:$AF$3005,"保留中")&gt;0,"保留",IF(COUNTIFS(請求記録!$B$6:$B$3005,$A344,請求記録!$Z$6:$Z$3005,AA$5)=0,"",SUMIFS(請求記録!$AE$6:$AE$3005,請求記録!$B$6:$B$3005,$A344,請求記録!$Z$6:$Z$3005,AA$5))))</f>
        <v/>
      </c>
      <c r="AB344">
        <f>IF(職員マスタ!P344="保留中",職員マスタ!M344,"")</f>
        <v/>
      </c>
    </row>
    <row r="345">
      <c r="A345">
        <f>IF(職員マスタ!A345="","",職員マスタ!A345)</f>
        <v/>
      </c>
      <c r="B345">
        <f>IF($A345="","",職員マスタ!B345)</f>
        <v/>
      </c>
      <c r="C345">
        <f>IF($A345="","",職員マスタ!C345)</f>
        <v/>
      </c>
      <c r="D345" s="19">
        <f>IF($A345="","",IF(COUNTIFS(請求記録!$B$6:$B$3005,$A345,請求記録!$Z$6:$Z$3005,D$5,請求記録!$AF$6:$AF$3005,"保留中")&gt;0,"保留",IF(COUNTIFS(請求記録!$B$6:$B$3005,$A345,請求記録!$Z$6:$Z$3005,D$5)=0,"",SUMIFS(請求記録!$AE$6:$AE$3005,請求記録!$B$6:$B$3005,$A345,請求記録!$Z$6:$Z$3005,D$5))))</f>
        <v/>
      </c>
      <c r="E345" s="19">
        <f>IF($A345="","",IF(COUNTIFS(請求記録!$B$6:$B$3005,$A345,請求記録!$Z$6:$Z$3005,E$5,請求記録!$AF$6:$AF$3005,"保留中")&gt;0,"保留",IF(COUNTIFS(請求記録!$B$6:$B$3005,$A345,請求記録!$Z$6:$Z$3005,E$5)=0,"",SUMIFS(請求記録!$AE$6:$AE$3005,請求記録!$B$6:$B$3005,$A345,請求記録!$Z$6:$Z$3005,E$5))))</f>
        <v/>
      </c>
      <c r="F345" s="19">
        <f>IF($A345="","",IF(COUNTIFS(請求記録!$B$6:$B$3005,$A345,請求記録!$Z$6:$Z$3005,F$5,請求記録!$AF$6:$AF$3005,"保留中")&gt;0,"保留",IF(COUNTIFS(請求記録!$B$6:$B$3005,$A345,請求記録!$Z$6:$Z$3005,F$5)=0,"",SUMIFS(請求記録!$AE$6:$AE$3005,請求記録!$B$6:$B$3005,$A345,請求記録!$Z$6:$Z$3005,F$5))))</f>
        <v/>
      </c>
      <c r="G345" s="19">
        <f>IF($A345="","",IF(COUNTIFS(請求記録!$B$6:$B$3005,$A345,請求記録!$Z$6:$Z$3005,G$5,請求記録!$AF$6:$AF$3005,"保留中")&gt;0,"保留",IF(COUNTIFS(請求記録!$B$6:$B$3005,$A345,請求記録!$Z$6:$Z$3005,G$5)=0,"",SUMIFS(請求記録!$AE$6:$AE$3005,請求記録!$B$6:$B$3005,$A345,請求記録!$Z$6:$Z$3005,G$5))))</f>
        <v/>
      </c>
      <c r="H345" s="19">
        <f>IF($A345="","",IF(COUNTIFS(請求記録!$B$6:$B$3005,$A345,請求記録!$Z$6:$Z$3005,H$5,請求記録!$AF$6:$AF$3005,"保留中")&gt;0,"保留",IF(COUNTIFS(請求記録!$B$6:$B$3005,$A345,請求記録!$Z$6:$Z$3005,H$5)=0,"",SUMIFS(請求記録!$AE$6:$AE$3005,請求記録!$B$6:$B$3005,$A345,請求記録!$Z$6:$Z$3005,H$5))))</f>
        <v/>
      </c>
      <c r="I345" s="19">
        <f>IF($A345="","",IF(COUNTIFS(請求記録!$B$6:$B$3005,$A345,請求記録!$Z$6:$Z$3005,I$5,請求記録!$AF$6:$AF$3005,"保留中")&gt;0,"保留",IF(COUNTIFS(請求記録!$B$6:$B$3005,$A345,請求記録!$Z$6:$Z$3005,I$5)=0,"",SUMIFS(請求記録!$AE$6:$AE$3005,請求記録!$B$6:$B$3005,$A345,請求記録!$Z$6:$Z$3005,I$5))))</f>
        <v/>
      </c>
      <c r="J345" s="19">
        <f>IF($A345="","",IF(COUNTIFS(請求記録!$B$6:$B$3005,$A345,請求記録!$Z$6:$Z$3005,J$5,請求記録!$AF$6:$AF$3005,"保留中")&gt;0,"保留",IF(COUNTIFS(請求記録!$B$6:$B$3005,$A345,請求記録!$Z$6:$Z$3005,J$5)=0,"",SUMIFS(請求記録!$AE$6:$AE$3005,請求記録!$B$6:$B$3005,$A345,請求記録!$Z$6:$Z$3005,J$5))))</f>
        <v/>
      </c>
      <c r="K345" s="19">
        <f>IF($A345="","",IF(COUNTIFS(請求記録!$B$6:$B$3005,$A345,請求記録!$Z$6:$Z$3005,K$5,請求記録!$AF$6:$AF$3005,"保留中")&gt;0,"保留",IF(COUNTIFS(請求記録!$B$6:$B$3005,$A345,請求記録!$Z$6:$Z$3005,K$5)=0,"",SUMIFS(請求記録!$AE$6:$AE$3005,請求記録!$B$6:$B$3005,$A345,請求記録!$Z$6:$Z$3005,K$5))))</f>
        <v/>
      </c>
      <c r="L345" s="19">
        <f>IF($A345="","",IF(COUNTIFS(請求記録!$B$6:$B$3005,$A345,請求記録!$Z$6:$Z$3005,L$5,請求記録!$AF$6:$AF$3005,"保留中")&gt;0,"保留",IF(COUNTIFS(請求記録!$B$6:$B$3005,$A345,請求記録!$Z$6:$Z$3005,L$5)=0,"",SUMIFS(請求記録!$AE$6:$AE$3005,請求記録!$B$6:$B$3005,$A345,請求記録!$Z$6:$Z$3005,L$5))))</f>
        <v/>
      </c>
      <c r="M345" s="19">
        <f>IF($A345="","",IF(COUNTIFS(請求記録!$B$6:$B$3005,$A345,請求記録!$Z$6:$Z$3005,M$5,請求記録!$AF$6:$AF$3005,"保留中")&gt;0,"保留",IF(COUNTIFS(請求記録!$B$6:$B$3005,$A345,請求記録!$Z$6:$Z$3005,M$5)=0,"",SUMIFS(請求記録!$AE$6:$AE$3005,請求記録!$B$6:$B$3005,$A345,請求記録!$Z$6:$Z$3005,M$5))))</f>
        <v/>
      </c>
      <c r="N345" s="19">
        <f>IF($A345="","",IF(COUNTIFS(請求記録!$B$6:$B$3005,$A345,請求記録!$Z$6:$Z$3005,N$5,請求記録!$AF$6:$AF$3005,"保留中")&gt;0,"保留",IF(COUNTIFS(請求記録!$B$6:$B$3005,$A345,請求記録!$Z$6:$Z$3005,N$5)=0,"",SUMIFS(請求記録!$AE$6:$AE$3005,請求記録!$B$6:$B$3005,$A345,請求記録!$Z$6:$Z$3005,N$5))))</f>
        <v/>
      </c>
      <c r="O345" s="19">
        <f>IF($A345="","",IF(COUNTIFS(請求記録!$B$6:$B$3005,$A345,請求記録!$Z$6:$Z$3005,O$5,請求記録!$AF$6:$AF$3005,"保留中")&gt;0,"保留",IF(COUNTIFS(請求記録!$B$6:$B$3005,$A345,請求記録!$Z$6:$Z$3005,O$5)=0,"",SUMIFS(請求記録!$AE$6:$AE$3005,請求記録!$B$6:$B$3005,$A345,請求記録!$Z$6:$Z$3005,O$5))))</f>
        <v/>
      </c>
      <c r="P345" s="19">
        <f>IF($A345="","",IF(COUNTIFS(請求記録!$B$6:$B$3005,$A345,請求記録!$Z$6:$Z$3005,P$5,請求記録!$AF$6:$AF$3005,"保留中")&gt;0,"保留",IF(COUNTIFS(請求記録!$B$6:$B$3005,$A345,請求記録!$Z$6:$Z$3005,P$5)=0,"",SUMIFS(請求記録!$AE$6:$AE$3005,請求記録!$B$6:$B$3005,$A345,請求記録!$Z$6:$Z$3005,P$5))))</f>
        <v/>
      </c>
      <c r="Q345" s="19">
        <f>IF($A345="","",IF(COUNTIFS(請求記録!$B$6:$B$3005,$A345,請求記録!$Z$6:$Z$3005,Q$5,請求記録!$AF$6:$AF$3005,"保留中")&gt;0,"保留",IF(COUNTIFS(請求記録!$B$6:$B$3005,$A345,請求記録!$Z$6:$Z$3005,Q$5)=0,"",SUMIFS(請求記録!$AE$6:$AE$3005,請求記録!$B$6:$B$3005,$A345,請求記録!$Z$6:$Z$3005,Q$5))))</f>
        <v/>
      </c>
      <c r="R345" s="19">
        <f>IF($A345="","",IF(COUNTIFS(請求記録!$B$6:$B$3005,$A345,請求記録!$Z$6:$Z$3005,R$5,請求記録!$AF$6:$AF$3005,"保留中")&gt;0,"保留",IF(COUNTIFS(請求記録!$B$6:$B$3005,$A345,請求記録!$Z$6:$Z$3005,R$5)=0,"",SUMIFS(請求記録!$AE$6:$AE$3005,請求記録!$B$6:$B$3005,$A345,請求記録!$Z$6:$Z$3005,R$5))))</f>
        <v/>
      </c>
      <c r="S345" s="19">
        <f>IF($A345="","",IF(COUNTIFS(請求記録!$B$6:$B$3005,$A345,請求記録!$Z$6:$Z$3005,S$5,請求記録!$AF$6:$AF$3005,"保留中")&gt;0,"保留",IF(COUNTIFS(請求記録!$B$6:$B$3005,$A345,請求記録!$Z$6:$Z$3005,S$5)=0,"",SUMIFS(請求記録!$AE$6:$AE$3005,請求記録!$B$6:$B$3005,$A345,請求記録!$Z$6:$Z$3005,S$5))))</f>
        <v/>
      </c>
      <c r="T345" s="19">
        <f>IF($A345="","",IF(COUNTIFS(請求記録!$B$6:$B$3005,$A345,請求記録!$Z$6:$Z$3005,T$5,請求記録!$AF$6:$AF$3005,"保留中")&gt;0,"保留",IF(COUNTIFS(請求記録!$B$6:$B$3005,$A345,請求記録!$Z$6:$Z$3005,T$5)=0,"",SUMIFS(請求記録!$AE$6:$AE$3005,請求記録!$B$6:$B$3005,$A345,請求記録!$Z$6:$Z$3005,T$5))))</f>
        <v/>
      </c>
      <c r="U345" s="19">
        <f>IF($A345="","",IF(COUNTIFS(請求記録!$B$6:$B$3005,$A345,請求記録!$Z$6:$Z$3005,U$5,請求記録!$AF$6:$AF$3005,"保留中")&gt;0,"保留",IF(COUNTIFS(請求記録!$B$6:$B$3005,$A345,請求記録!$Z$6:$Z$3005,U$5)=0,"",SUMIFS(請求記録!$AE$6:$AE$3005,請求記録!$B$6:$B$3005,$A345,請求記録!$Z$6:$Z$3005,U$5))))</f>
        <v/>
      </c>
      <c r="V345" s="19">
        <f>IF($A345="","",IF(COUNTIFS(請求記録!$B$6:$B$3005,$A345,請求記録!$Z$6:$Z$3005,V$5,請求記録!$AF$6:$AF$3005,"保留中")&gt;0,"保留",IF(COUNTIFS(請求記録!$B$6:$B$3005,$A345,請求記録!$Z$6:$Z$3005,V$5)=0,"",SUMIFS(請求記録!$AE$6:$AE$3005,請求記録!$B$6:$B$3005,$A345,請求記録!$Z$6:$Z$3005,V$5))))</f>
        <v/>
      </c>
      <c r="W345" s="19">
        <f>IF($A345="","",IF(COUNTIFS(請求記録!$B$6:$B$3005,$A345,請求記録!$Z$6:$Z$3005,W$5,請求記録!$AF$6:$AF$3005,"保留中")&gt;0,"保留",IF(COUNTIFS(請求記録!$B$6:$B$3005,$A345,請求記録!$Z$6:$Z$3005,W$5)=0,"",SUMIFS(請求記録!$AE$6:$AE$3005,請求記録!$B$6:$B$3005,$A345,請求記録!$Z$6:$Z$3005,W$5))))</f>
        <v/>
      </c>
      <c r="X345" s="19">
        <f>IF($A345="","",IF(COUNTIFS(請求記録!$B$6:$B$3005,$A345,請求記録!$Z$6:$Z$3005,X$5,請求記録!$AF$6:$AF$3005,"保留中")&gt;0,"保留",IF(COUNTIFS(請求記録!$B$6:$B$3005,$A345,請求記録!$Z$6:$Z$3005,X$5)=0,"",SUMIFS(請求記録!$AE$6:$AE$3005,請求記録!$B$6:$B$3005,$A345,請求記録!$Z$6:$Z$3005,X$5))))</f>
        <v/>
      </c>
      <c r="Y345" s="19">
        <f>IF($A345="","",IF(COUNTIFS(請求記録!$B$6:$B$3005,$A345,請求記録!$Z$6:$Z$3005,Y$5,請求記録!$AF$6:$AF$3005,"保留中")&gt;0,"保留",IF(COUNTIFS(請求記録!$B$6:$B$3005,$A345,請求記録!$Z$6:$Z$3005,Y$5)=0,"",SUMIFS(請求記録!$AE$6:$AE$3005,請求記録!$B$6:$B$3005,$A345,請求記録!$Z$6:$Z$3005,Y$5))))</f>
        <v/>
      </c>
      <c r="Z345" s="19">
        <f>IF($A345="","",IF(COUNTIFS(請求記録!$B$6:$B$3005,$A345,請求記録!$Z$6:$Z$3005,Z$5,請求記録!$AF$6:$AF$3005,"保留中")&gt;0,"保留",IF(COUNTIFS(請求記録!$B$6:$B$3005,$A345,請求記録!$Z$6:$Z$3005,Z$5)=0,"",SUMIFS(請求記録!$AE$6:$AE$3005,請求記録!$B$6:$B$3005,$A345,請求記録!$Z$6:$Z$3005,Z$5))))</f>
        <v/>
      </c>
      <c r="AA345" s="19">
        <f>IF($A345="","",IF(COUNTIFS(請求記録!$B$6:$B$3005,$A345,請求記録!$Z$6:$Z$3005,AA$5,請求記録!$AF$6:$AF$3005,"保留中")&gt;0,"保留",IF(COUNTIFS(請求記録!$B$6:$B$3005,$A345,請求記録!$Z$6:$Z$3005,AA$5)=0,"",SUMIFS(請求記録!$AE$6:$AE$3005,請求記録!$B$6:$B$3005,$A345,請求記録!$Z$6:$Z$3005,AA$5))))</f>
        <v/>
      </c>
      <c r="AB345">
        <f>IF(職員マスタ!P345="保留中",職員マスタ!M345,"")</f>
        <v/>
      </c>
    </row>
    <row r="346">
      <c r="A346">
        <f>IF(職員マスタ!A346="","",職員マスタ!A346)</f>
        <v/>
      </c>
      <c r="B346">
        <f>IF($A346="","",職員マスタ!B346)</f>
        <v/>
      </c>
      <c r="C346">
        <f>IF($A346="","",職員マスタ!C346)</f>
        <v/>
      </c>
      <c r="D346" s="19">
        <f>IF($A346="","",IF(COUNTIFS(請求記録!$B$6:$B$3005,$A346,請求記録!$Z$6:$Z$3005,D$5,請求記録!$AF$6:$AF$3005,"保留中")&gt;0,"保留",IF(COUNTIFS(請求記録!$B$6:$B$3005,$A346,請求記録!$Z$6:$Z$3005,D$5)=0,"",SUMIFS(請求記録!$AE$6:$AE$3005,請求記録!$B$6:$B$3005,$A346,請求記録!$Z$6:$Z$3005,D$5))))</f>
        <v/>
      </c>
      <c r="E346" s="19">
        <f>IF($A346="","",IF(COUNTIFS(請求記録!$B$6:$B$3005,$A346,請求記録!$Z$6:$Z$3005,E$5,請求記録!$AF$6:$AF$3005,"保留中")&gt;0,"保留",IF(COUNTIFS(請求記録!$B$6:$B$3005,$A346,請求記録!$Z$6:$Z$3005,E$5)=0,"",SUMIFS(請求記録!$AE$6:$AE$3005,請求記録!$B$6:$B$3005,$A346,請求記録!$Z$6:$Z$3005,E$5))))</f>
        <v/>
      </c>
      <c r="F346" s="19">
        <f>IF($A346="","",IF(COUNTIFS(請求記録!$B$6:$B$3005,$A346,請求記録!$Z$6:$Z$3005,F$5,請求記録!$AF$6:$AF$3005,"保留中")&gt;0,"保留",IF(COUNTIFS(請求記録!$B$6:$B$3005,$A346,請求記録!$Z$6:$Z$3005,F$5)=0,"",SUMIFS(請求記録!$AE$6:$AE$3005,請求記録!$B$6:$B$3005,$A346,請求記録!$Z$6:$Z$3005,F$5))))</f>
        <v/>
      </c>
      <c r="G346" s="19">
        <f>IF($A346="","",IF(COUNTIFS(請求記録!$B$6:$B$3005,$A346,請求記録!$Z$6:$Z$3005,G$5,請求記録!$AF$6:$AF$3005,"保留中")&gt;0,"保留",IF(COUNTIFS(請求記録!$B$6:$B$3005,$A346,請求記録!$Z$6:$Z$3005,G$5)=0,"",SUMIFS(請求記録!$AE$6:$AE$3005,請求記録!$B$6:$B$3005,$A346,請求記録!$Z$6:$Z$3005,G$5))))</f>
        <v/>
      </c>
      <c r="H346" s="19">
        <f>IF($A346="","",IF(COUNTIFS(請求記録!$B$6:$B$3005,$A346,請求記録!$Z$6:$Z$3005,H$5,請求記録!$AF$6:$AF$3005,"保留中")&gt;0,"保留",IF(COUNTIFS(請求記録!$B$6:$B$3005,$A346,請求記録!$Z$6:$Z$3005,H$5)=0,"",SUMIFS(請求記録!$AE$6:$AE$3005,請求記録!$B$6:$B$3005,$A346,請求記録!$Z$6:$Z$3005,H$5))))</f>
        <v/>
      </c>
      <c r="I346" s="19">
        <f>IF($A346="","",IF(COUNTIFS(請求記録!$B$6:$B$3005,$A346,請求記録!$Z$6:$Z$3005,I$5,請求記録!$AF$6:$AF$3005,"保留中")&gt;0,"保留",IF(COUNTIFS(請求記録!$B$6:$B$3005,$A346,請求記録!$Z$6:$Z$3005,I$5)=0,"",SUMIFS(請求記録!$AE$6:$AE$3005,請求記録!$B$6:$B$3005,$A346,請求記録!$Z$6:$Z$3005,I$5))))</f>
        <v/>
      </c>
      <c r="J346" s="19">
        <f>IF($A346="","",IF(COUNTIFS(請求記録!$B$6:$B$3005,$A346,請求記録!$Z$6:$Z$3005,J$5,請求記録!$AF$6:$AF$3005,"保留中")&gt;0,"保留",IF(COUNTIFS(請求記録!$B$6:$B$3005,$A346,請求記録!$Z$6:$Z$3005,J$5)=0,"",SUMIFS(請求記録!$AE$6:$AE$3005,請求記録!$B$6:$B$3005,$A346,請求記録!$Z$6:$Z$3005,J$5))))</f>
        <v/>
      </c>
      <c r="K346" s="19">
        <f>IF($A346="","",IF(COUNTIFS(請求記録!$B$6:$B$3005,$A346,請求記録!$Z$6:$Z$3005,K$5,請求記録!$AF$6:$AF$3005,"保留中")&gt;0,"保留",IF(COUNTIFS(請求記録!$B$6:$B$3005,$A346,請求記録!$Z$6:$Z$3005,K$5)=0,"",SUMIFS(請求記録!$AE$6:$AE$3005,請求記録!$B$6:$B$3005,$A346,請求記録!$Z$6:$Z$3005,K$5))))</f>
        <v/>
      </c>
      <c r="L346" s="19">
        <f>IF($A346="","",IF(COUNTIFS(請求記録!$B$6:$B$3005,$A346,請求記録!$Z$6:$Z$3005,L$5,請求記録!$AF$6:$AF$3005,"保留中")&gt;0,"保留",IF(COUNTIFS(請求記録!$B$6:$B$3005,$A346,請求記録!$Z$6:$Z$3005,L$5)=0,"",SUMIFS(請求記録!$AE$6:$AE$3005,請求記録!$B$6:$B$3005,$A346,請求記録!$Z$6:$Z$3005,L$5))))</f>
        <v/>
      </c>
      <c r="M346" s="19">
        <f>IF($A346="","",IF(COUNTIFS(請求記録!$B$6:$B$3005,$A346,請求記録!$Z$6:$Z$3005,M$5,請求記録!$AF$6:$AF$3005,"保留中")&gt;0,"保留",IF(COUNTIFS(請求記録!$B$6:$B$3005,$A346,請求記録!$Z$6:$Z$3005,M$5)=0,"",SUMIFS(請求記録!$AE$6:$AE$3005,請求記録!$B$6:$B$3005,$A346,請求記録!$Z$6:$Z$3005,M$5))))</f>
        <v/>
      </c>
      <c r="N346" s="19">
        <f>IF($A346="","",IF(COUNTIFS(請求記録!$B$6:$B$3005,$A346,請求記録!$Z$6:$Z$3005,N$5,請求記録!$AF$6:$AF$3005,"保留中")&gt;0,"保留",IF(COUNTIFS(請求記録!$B$6:$B$3005,$A346,請求記録!$Z$6:$Z$3005,N$5)=0,"",SUMIFS(請求記録!$AE$6:$AE$3005,請求記録!$B$6:$B$3005,$A346,請求記録!$Z$6:$Z$3005,N$5))))</f>
        <v/>
      </c>
      <c r="O346" s="19">
        <f>IF($A346="","",IF(COUNTIFS(請求記録!$B$6:$B$3005,$A346,請求記録!$Z$6:$Z$3005,O$5,請求記録!$AF$6:$AF$3005,"保留中")&gt;0,"保留",IF(COUNTIFS(請求記録!$B$6:$B$3005,$A346,請求記録!$Z$6:$Z$3005,O$5)=0,"",SUMIFS(請求記録!$AE$6:$AE$3005,請求記録!$B$6:$B$3005,$A346,請求記録!$Z$6:$Z$3005,O$5))))</f>
        <v/>
      </c>
      <c r="P346" s="19">
        <f>IF($A346="","",IF(COUNTIFS(請求記録!$B$6:$B$3005,$A346,請求記録!$Z$6:$Z$3005,P$5,請求記録!$AF$6:$AF$3005,"保留中")&gt;0,"保留",IF(COUNTIFS(請求記録!$B$6:$B$3005,$A346,請求記録!$Z$6:$Z$3005,P$5)=0,"",SUMIFS(請求記録!$AE$6:$AE$3005,請求記録!$B$6:$B$3005,$A346,請求記録!$Z$6:$Z$3005,P$5))))</f>
        <v/>
      </c>
      <c r="Q346" s="19">
        <f>IF($A346="","",IF(COUNTIFS(請求記録!$B$6:$B$3005,$A346,請求記録!$Z$6:$Z$3005,Q$5,請求記録!$AF$6:$AF$3005,"保留中")&gt;0,"保留",IF(COUNTIFS(請求記録!$B$6:$B$3005,$A346,請求記録!$Z$6:$Z$3005,Q$5)=0,"",SUMIFS(請求記録!$AE$6:$AE$3005,請求記録!$B$6:$B$3005,$A346,請求記録!$Z$6:$Z$3005,Q$5))))</f>
        <v/>
      </c>
      <c r="R346" s="19">
        <f>IF($A346="","",IF(COUNTIFS(請求記録!$B$6:$B$3005,$A346,請求記録!$Z$6:$Z$3005,R$5,請求記録!$AF$6:$AF$3005,"保留中")&gt;0,"保留",IF(COUNTIFS(請求記録!$B$6:$B$3005,$A346,請求記録!$Z$6:$Z$3005,R$5)=0,"",SUMIFS(請求記録!$AE$6:$AE$3005,請求記録!$B$6:$B$3005,$A346,請求記録!$Z$6:$Z$3005,R$5))))</f>
        <v/>
      </c>
      <c r="S346" s="19">
        <f>IF($A346="","",IF(COUNTIFS(請求記録!$B$6:$B$3005,$A346,請求記録!$Z$6:$Z$3005,S$5,請求記録!$AF$6:$AF$3005,"保留中")&gt;0,"保留",IF(COUNTIFS(請求記録!$B$6:$B$3005,$A346,請求記録!$Z$6:$Z$3005,S$5)=0,"",SUMIFS(請求記録!$AE$6:$AE$3005,請求記録!$B$6:$B$3005,$A346,請求記録!$Z$6:$Z$3005,S$5))))</f>
        <v/>
      </c>
      <c r="T346" s="19">
        <f>IF($A346="","",IF(COUNTIFS(請求記録!$B$6:$B$3005,$A346,請求記録!$Z$6:$Z$3005,T$5,請求記録!$AF$6:$AF$3005,"保留中")&gt;0,"保留",IF(COUNTIFS(請求記録!$B$6:$B$3005,$A346,請求記録!$Z$6:$Z$3005,T$5)=0,"",SUMIFS(請求記録!$AE$6:$AE$3005,請求記録!$B$6:$B$3005,$A346,請求記録!$Z$6:$Z$3005,T$5))))</f>
        <v/>
      </c>
      <c r="U346" s="19">
        <f>IF($A346="","",IF(COUNTIFS(請求記録!$B$6:$B$3005,$A346,請求記録!$Z$6:$Z$3005,U$5,請求記録!$AF$6:$AF$3005,"保留中")&gt;0,"保留",IF(COUNTIFS(請求記録!$B$6:$B$3005,$A346,請求記録!$Z$6:$Z$3005,U$5)=0,"",SUMIFS(請求記録!$AE$6:$AE$3005,請求記録!$B$6:$B$3005,$A346,請求記録!$Z$6:$Z$3005,U$5))))</f>
        <v/>
      </c>
      <c r="V346" s="19">
        <f>IF($A346="","",IF(COUNTIFS(請求記録!$B$6:$B$3005,$A346,請求記録!$Z$6:$Z$3005,V$5,請求記録!$AF$6:$AF$3005,"保留中")&gt;0,"保留",IF(COUNTIFS(請求記録!$B$6:$B$3005,$A346,請求記録!$Z$6:$Z$3005,V$5)=0,"",SUMIFS(請求記録!$AE$6:$AE$3005,請求記録!$B$6:$B$3005,$A346,請求記録!$Z$6:$Z$3005,V$5))))</f>
        <v/>
      </c>
      <c r="W346" s="19">
        <f>IF($A346="","",IF(COUNTIFS(請求記録!$B$6:$B$3005,$A346,請求記録!$Z$6:$Z$3005,W$5,請求記録!$AF$6:$AF$3005,"保留中")&gt;0,"保留",IF(COUNTIFS(請求記録!$B$6:$B$3005,$A346,請求記録!$Z$6:$Z$3005,W$5)=0,"",SUMIFS(請求記録!$AE$6:$AE$3005,請求記録!$B$6:$B$3005,$A346,請求記録!$Z$6:$Z$3005,W$5))))</f>
        <v/>
      </c>
      <c r="X346" s="19">
        <f>IF($A346="","",IF(COUNTIFS(請求記録!$B$6:$B$3005,$A346,請求記録!$Z$6:$Z$3005,X$5,請求記録!$AF$6:$AF$3005,"保留中")&gt;0,"保留",IF(COUNTIFS(請求記録!$B$6:$B$3005,$A346,請求記録!$Z$6:$Z$3005,X$5)=0,"",SUMIFS(請求記録!$AE$6:$AE$3005,請求記録!$B$6:$B$3005,$A346,請求記録!$Z$6:$Z$3005,X$5))))</f>
        <v/>
      </c>
      <c r="Y346" s="19">
        <f>IF($A346="","",IF(COUNTIFS(請求記録!$B$6:$B$3005,$A346,請求記録!$Z$6:$Z$3005,Y$5,請求記録!$AF$6:$AF$3005,"保留中")&gt;0,"保留",IF(COUNTIFS(請求記録!$B$6:$B$3005,$A346,請求記録!$Z$6:$Z$3005,Y$5)=0,"",SUMIFS(請求記録!$AE$6:$AE$3005,請求記録!$B$6:$B$3005,$A346,請求記録!$Z$6:$Z$3005,Y$5))))</f>
        <v/>
      </c>
      <c r="Z346" s="19">
        <f>IF($A346="","",IF(COUNTIFS(請求記録!$B$6:$B$3005,$A346,請求記録!$Z$6:$Z$3005,Z$5,請求記録!$AF$6:$AF$3005,"保留中")&gt;0,"保留",IF(COUNTIFS(請求記録!$B$6:$B$3005,$A346,請求記録!$Z$6:$Z$3005,Z$5)=0,"",SUMIFS(請求記録!$AE$6:$AE$3005,請求記録!$B$6:$B$3005,$A346,請求記録!$Z$6:$Z$3005,Z$5))))</f>
        <v/>
      </c>
      <c r="AA346" s="19">
        <f>IF($A346="","",IF(COUNTIFS(請求記録!$B$6:$B$3005,$A346,請求記録!$Z$6:$Z$3005,AA$5,請求記録!$AF$6:$AF$3005,"保留中")&gt;0,"保留",IF(COUNTIFS(請求記録!$B$6:$B$3005,$A346,請求記録!$Z$6:$Z$3005,AA$5)=0,"",SUMIFS(請求記録!$AE$6:$AE$3005,請求記録!$B$6:$B$3005,$A346,請求記録!$Z$6:$Z$3005,AA$5))))</f>
        <v/>
      </c>
      <c r="AB346">
        <f>IF(職員マスタ!P346="保留中",職員マスタ!M346,"")</f>
        <v/>
      </c>
    </row>
    <row r="347">
      <c r="A347">
        <f>IF(職員マスタ!A347="","",職員マスタ!A347)</f>
        <v/>
      </c>
      <c r="B347">
        <f>IF($A347="","",職員マスタ!B347)</f>
        <v/>
      </c>
      <c r="C347">
        <f>IF($A347="","",職員マスタ!C347)</f>
        <v/>
      </c>
      <c r="D347" s="19">
        <f>IF($A347="","",IF(COUNTIFS(請求記録!$B$6:$B$3005,$A347,請求記録!$Z$6:$Z$3005,D$5,請求記録!$AF$6:$AF$3005,"保留中")&gt;0,"保留",IF(COUNTIFS(請求記録!$B$6:$B$3005,$A347,請求記録!$Z$6:$Z$3005,D$5)=0,"",SUMIFS(請求記録!$AE$6:$AE$3005,請求記録!$B$6:$B$3005,$A347,請求記録!$Z$6:$Z$3005,D$5))))</f>
        <v/>
      </c>
      <c r="E347" s="19">
        <f>IF($A347="","",IF(COUNTIFS(請求記録!$B$6:$B$3005,$A347,請求記録!$Z$6:$Z$3005,E$5,請求記録!$AF$6:$AF$3005,"保留中")&gt;0,"保留",IF(COUNTIFS(請求記録!$B$6:$B$3005,$A347,請求記録!$Z$6:$Z$3005,E$5)=0,"",SUMIFS(請求記録!$AE$6:$AE$3005,請求記録!$B$6:$B$3005,$A347,請求記録!$Z$6:$Z$3005,E$5))))</f>
        <v/>
      </c>
      <c r="F347" s="19">
        <f>IF($A347="","",IF(COUNTIFS(請求記録!$B$6:$B$3005,$A347,請求記録!$Z$6:$Z$3005,F$5,請求記録!$AF$6:$AF$3005,"保留中")&gt;0,"保留",IF(COUNTIFS(請求記録!$B$6:$B$3005,$A347,請求記録!$Z$6:$Z$3005,F$5)=0,"",SUMIFS(請求記録!$AE$6:$AE$3005,請求記録!$B$6:$B$3005,$A347,請求記録!$Z$6:$Z$3005,F$5))))</f>
        <v/>
      </c>
      <c r="G347" s="19">
        <f>IF($A347="","",IF(COUNTIFS(請求記録!$B$6:$B$3005,$A347,請求記録!$Z$6:$Z$3005,G$5,請求記録!$AF$6:$AF$3005,"保留中")&gt;0,"保留",IF(COUNTIFS(請求記録!$B$6:$B$3005,$A347,請求記録!$Z$6:$Z$3005,G$5)=0,"",SUMIFS(請求記録!$AE$6:$AE$3005,請求記録!$B$6:$B$3005,$A347,請求記録!$Z$6:$Z$3005,G$5))))</f>
        <v/>
      </c>
      <c r="H347" s="19">
        <f>IF($A347="","",IF(COUNTIFS(請求記録!$B$6:$B$3005,$A347,請求記録!$Z$6:$Z$3005,H$5,請求記録!$AF$6:$AF$3005,"保留中")&gt;0,"保留",IF(COUNTIFS(請求記録!$B$6:$B$3005,$A347,請求記録!$Z$6:$Z$3005,H$5)=0,"",SUMIFS(請求記録!$AE$6:$AE$3005,請求記録!$B$6:$B$3005,$A347,請求記録!$Z$6:$Z$3005,H$5))))</f>
        <v/>
      </c>
      <c r="I347" s="19">
        <f>IF($A347="","",IF(COUNTIFS(請求記録!$B$6:$B$3005,$A347,請求記録!$Z$6:$Z$3005,I$5,請求記録!$AF$6:$AF$3005,"保留中")&gt;0,"保留",IF(COUNTIFS(請求記録!$B$6:$B$3005,$A347,請求記録!$Z$6:$Z$3005,I$5)=0,"",SUMIFS(請求記録!$AE$6:$AE$3005,請求記録!$B$6:$B$3005,$A347,請求記録!$Z$6:$Z$3005,I$5))))</f>
        <v/>
      </c>
      <c r="J347" s="19">
        <f>IF($A347="","",IF(COUNTIFS(請求記録!$B$6:$B$3005,$A347,請求記録!$Z$6:$Z$3005,J$5,請求記録!$AF$6:$AF$3005,"保留中")&gt;0,"保留",IF(COUNTIFS(請求記録!$B$6:$B$3005,$A347,請求記録!$Z$6:$Z$3005,J$5)=0,"",SUMIFS(請求記録!$AE$6:$AE$3005,請求記録!$B$6:$B$3005,$A347,請求記録!$Z$6:$Z$3005,J$5))))</f>
        <v/>
      </c>
      <c r="K347" s="19">
        <f>IF($A347="","",IF(COUNTIFS(請求記録!$B$6:$B$3005,$A347,請求記録!$Z$6:$Z$3005,K$5,請求記録!$AF$6:$AF$3005,"保留中")&gt;0,"保留",IF(COUNTIFS(請求記録!$B$6:$B$3005,$A347,請求記録!$Z$6:$Z$3005,K$5)=0,"",SUMIFS(請求記録!$AE$6:$AE$3005,請求記録!$B$6:$B$3005,$A347,請求記録!$Z$6:$Z$3005,K$5))))</f>
        <v/>
      </c>
      <c r="L347" s="19">
        <f>IF($A347="","",IF(COUNTIFS(請求記録!$B$6:$B$3005,$A347,請求記録!$Z$6:$Z$3005,L$5,請求記録!$AF$6:$AF$3005,"保留中")&gt;0,"保留",IF(COUNTIFS(請求記録!$B$6:$B$3005,$A347,請求記録!$Z$6:$Z$3005,L$5)=0,"",SUMIFS(請求記録!$AE$6:$AE$3005,請求記録!$B$6:$B$3005,$A347,請求記録!$Z$6:$Z$3005,L$5))))</f>
        <v/>
      </c>
      <c r="M347" s="19">
        <f>IF($A347="","",IF(COUNTIFS(請求記録!$B$6:$B$3005,$A347,請求記録!$Z$6:$Z$3005,M$5,請求記録!$AF$6:$AF$3005,"保留中")&gt;0,"保留",IF(COUNTIFS(請求記録!$B$6:$B$3005,$A347,請求記録!$Z$6:$Z$3005,M$5)=0,"",SUMIFS(請求記録!$AE$6:$AE$3005,請求記録!$B$6:$B$3005,$A347,請求記録!$Z$6:$Z$3005,M$5))))</f>
        <v/>
      </c>
      <c r="N347" s="19">
        <f>IF($A347="","",IF(COUNTIFS(請求記録!$B$6:$B$3005,$A347,請求記録!$Z$6:$Z$3005,N$5,請求記録!$AF$6:$AF$3005,"保留中")&gt;0,"保留",IF(COUNTIFS(請求記録!$B$6:$B$3005,$A347,請求記録!$Z$6:$Z$3005,N$5)=0,"",SUMIFS(請求記録!$AE$6:$AE$3005,請求記録!$B$6:$B$3005,$A347,請求記録!$Z$6:$Z$3005,N$5))))</f>
        <v/>
      </c>
      <c r="O347" s="19">
        <f>IF($A347="","",IF(COUNTIFS(請求記録!$B$6:$B$3005,$A347,請求記録!$Z$6:$Z$3005,O$5,請求記録!$AF$6:$AF$3005,"保留中")&gt;0,"保留",IF(COUNTIFS(請求記録!$B$6:$B$3005,$A347,請求記録!$Z$6:$Z$3005,O$5)=0,"",SUMIFS(請求記録!$AE$6:$AE$3005,請求記録!$B$6:$B$3005,$A347,請求記録!$Z$6:$Z$3005,O$5))))</f>
        <v/>
      </c>
      <c r="P347" s="19">
        <f>IF($A347="","",IF(COUNTIFS(請求記録!$B$6:$B$3005,$A347,請求記録!$Z$6:$Z$3005,P$5,請求記録!$AF$6:$AF$3005,"保留中")&gt;0,"保留",IF(COUNTIFS(請求記録!$B$6:$B$3005,$A347,請求記録!$Z$6:$Z$3005,P$5)=0,"",SUMIFS(請求記録!$AE$6:$AE$3005,請求記録!$B$6:$B$3005,$A347,請求記録!$Z$6:$Z$3005,P$5))))</f>
        <v/>
      </c>
      <c r="Q347" s="19">
        <f>IF($A347="","",IF(COUNTIFS(請求記録!$B$6:$B$3005,$A347,請求記録!$Z$6:$Z$3005,Q$5,請求記録!$AF$6:$AF$3005,"保留中")&gt;0,"保留",IF(COUNTIFS(請求記録!$B$6:$B$3005,$A347,請求記録!$Z$6:$Z$3005,Q$5)=0,"",SUMIFS(請求記録!$AE$6:$AE$3005,請求記録!$B$6:$B$3005,$A347,請求記録!$Z$6:$Z$3005,Q$5))))</f>
        <v/>
      </c>
      <c r="R347" s="19">
        <f>IF($A347="","",IF(COUNTIFS(請求記録!$B$6:$B$3005,$A347,請求記録!$Z$6:$Z$3005,R$5,請求記録!$AF$6:$AF$3005,"保留中")&gt;0,"保留",IF(COUNTIFS(請求記録!$B$6:$B$3005,$A347,請求記録!$Z$6:$Z$3005,R$5)=0,"",SUMIFS(請求記録!$AE$6:$AE$3005,請求記録!$B$6:$B$3005,$A347,請求記録!$Z$6:$Z$3005,R$5))))</f>
        <v/>
      </c>
      <c r="S347" s="19">
        <f>IF($A347="","",IF(COUNTIFS(請求記録!$B$6:$B$3005,$A347,請求記録!$Z$6:$Z$3005,S$5,請求記録!$AF$6:$AF$3005,"保留中")&gt;0,"保留",IF(COUNTIFS(請求記録!$B$6:$B$3005,$A347,請求記録!$Z$6:$Z$3005,S$5)=0,"",SUMIFS(請求記録!$AE$6:$AE$3005,請求記録!$B$6:$B$3005,$A347,請求記録!$Z$6:$Z$3005,S$5))))</f>
        <v/>
      </c>
      <c r="T347" s="19">
        <f>IF($A347="","",IF(COUNTIFS(請求記録!$B$6:$B$3005,$A347,請求記録!$Z$6:$Z$3005,T$5,請求記録!$AF$6:$AF$3005,"保留中")&gt;0,"保留",IF(COUNTIFS(請求記録!$B$6:$B$3005,$A347,請求記録!$Z$6:$Z$3005,T$5)=0,"",SUMIFS(請求記録!$AE$6:$AE$3005,請求記録!$B$6:$B$3005,$A347,請求記録!$Z$6:$Z$3005,T$5))))</f>
        <v/>
      </c>
      <c r="U347" s="19">
        <f>IF($A347="","",IF(COUNTIFS(請求記録!$B$6:$B$3005,$A347,請求記録!$Z$6:$Z$3005,U$5,請求記録!$AF$6:$AF$3005,"保留中")&gt;0,"保留",IF(COUNTIFS(請求記録!$B$6:$B$3005,$A347,請求記録!$Z$6:$Z$3005,U$5)=0,"",SUMIFS(請求記録!$AE$6:$AE$3005,請求記録!$B$6:$B$3005,$A347,請求記録!$Z$6:$Z$3005,U$5))))</f>
        <v/>
      </c>
      <c r="V347" s="19">
        <f>IF($A347="","",IF(COUNTIFS(請求記録!$B$6:$B$3005,$A347,請求記録!$Z$6:$Z$3005,V$5,請求記録!$AF$6:$AF$3005,"保留中")&gt;0,"保留",IF(COUNTIFS(請求記録!$B$6:$B$3005,$A347,請求記録!$Z$6:$Z$3005,V$5)=0,"",SUMIFS(請求記録!$AE$6:$AE$3005,請求記録!$B$6:$B$3005,$A347,請求記録!$Z$6:$Z$3005,V$5))))</f>
        <v/>
      </c>
      <c r="W347" s="19">
        <f>IF($A347="","",IF(COUNTIFS(請求記録!$B$6:$B$3005,$A347,請求記録!$Z$6:$Z$3005,W$5,請求記録!$AF$6:$AF$3005,"保留中")&gt;0,"保留",IF(COUNTIFS(請求記録!$B$6:$B$3005,$A347,請求記録!$Z$6:$Z$3005,W$5)=0,"",SUMIFS(請求記録!$AE$6:$AE$3005,請求記録!$B$6:$B$3005,$A347,請求記録!$Z$6:$Z$3005,W$5))))</f>
        <v/>
      </c>
      <c r="X347" s="19">
        <f>IF($A347="","",IF(COUNTIFS(請求記録!$B$6:$B$3005,$A347,請求記録!$Z$6:$Z$3005,X$5,請求記録!$AF$6:$AF$3005,"保留中")&gt;0,"保留",IF(COUNTIFS(請求記録!$B$6:$B$3005,$A347,請求記録!$Z$6:$Z$3005,X$5)=0,"",SUMIFS(請求記録!$AE$6:$AE$3005,請求記録!$B$6:$B$3005,$A347,請求記録!$Z$6:$Z$3005,X$5))))</f>
        <v/>
      </c>
      <c r="Y347" s="19">
        <f>IF($A347="","",IF(COUNTIFS(請求記録!$B$6:$B$3005,$A347,請求記録!$Z$6:$Z$3005,Y$5,請求記録!$AF$6:$AF$3005,"保留中")&gt;0,"保留",IF(COUNTIFS(請求記録!$B$6:$B$3005,$A347,請求記録!$Z$6:$Z$3005,Y$5)=0,"",SUMIFS(請求記録!$AE$6:$AE$3005,請求記録!$B$6:$B$3005,$A347,請求記録!$Z$6:$Z$3005,Y$5))))</f>
        <v/>
      </c>
      <c r="Z347" s="19">
        <f>IF($A347="","",IF(COUNTIFS(請求記録!$B$6:$B$3005,$A347,請求記録!$Z$6:$Z$3005,Z$5,請求記録!$AF$6:$AF$3005,"保留中")&gt;0,"保留",IF(COUNTIFS(請求記録!$B$6:$B$3005,$A347,請求記録!$Z$6:$Z$3005,Z$5)=0,"",SUMIFS(請求記録!$AE$6:$AE$3005,請求記録!$B$6:$B$3005,$A347,請求記録!$Z$6:$Z$3005,Z$5))))</f>
        <v/>
      </c>
      <c r="AA347" s="19">
        <f>IF($A347="","",IF(COUNTIFS(請求記録!$B$6:$B$3005,$A347,請求記録!$Z$6:$Z$3005,AA$5,請求記録!$AF$6:$AF$3005,"保留中")&gt;0,"保留",IF(COUNTIFS(請求記録!$B$6:$B$3005,$A347,請求記録!$Z$6:$Z$3005,AA$5)=0,"",SUMIFS(請求記録!$AE$6:$AE$3005,請求記録!$B$6:$B$3005,$A347,請求記録!$Z$6:$Z$3005,AA$5))))</f>
        <v/>
      </c>
      <c r="AB347">
        <f>IF(職員マスタ!P347="保留中",職員マスタ!M347,"")</f>
        <v/>
      </c>
    </row>
    <row r="348">
      <c r="A348">
        <f>IF(職員マスタ!A348="","",職員マスタ!A348)</f>
        <v/>
      </c>
      <c r="B348">
        <f>IF($A348="","",職員マスタ!B348)</f>
        <v/>
      </c>
      <c r="C348">
        <f>IF($A348="","",職員マスタ!C348)</f>
        <v/>
      </c>
      <c r="D348" s="19">
        <f>IF($A348="","",IF(COUNTIFS(請求記録!$B$6:$B$3005,$A348,請求記録!$Z$6:$Z$3005,D$5,請求記録!$AF$6:$AF$3005,"保留中")&gt;0,"保留",IF(COUNTIFS(請求記録!$B$6:$B$3005,$A348,請求記録!$Z$6:$Z$3005,D$5)=0,"",SUMIFS(請求記録!$AE$6:$AE$3005,請求記録!$B$6:$B$3005,$A348,請求記録!$Z$6:$Z$3005,D$5))))</f>
        <v/>
      </c>
      <c r="E348" s="19">
        <f>IF($A348="","",IF(COUNTIFS(請求記録!$B$6:$B$3005,$A348,請求記録!$Z$6:$Z$3005,E$5,請求記録!$AF$6:$AF$3005,"保留中")&gt;0,"保留",IF(COUNTIFS(請求記録!$B$6:$B$3005,$A348,請求記録!$Z$6:$Z$3005,E$5)=0,"",SUMIFS(請求記録!$AE$6:$AE$3005,請求記録!$B$6:$B$3005,$A348,請求記録!$Z$6:$Z$3005,E$5))))</f>
        <v/>
      </c>
      <c r="F348" s="19">
        <f>IF($A348="","",IF(COUNTIFS(請求記録!$B$6:$B$3005,$A348,請求記録!$Z$6:$Z$3005,F$5,請求記録!$AF$6:$AF$3005,"保留中")&gt;0,"保留",IF(COUNTIFS(請求記録!$B$6:$B$3005,$A348,請求記録!$Z$6:$Z$3005,F$5)=0,"",SUMIFS(請求記録!$AE$6:$AE$3005,請求記録!$B$6:$B$3005,$A348,請求記録!$Z$6:$Z$3005,F$5))))</f>
        <v/>
      </c>
      <c r="G348" s="19">
        <f>IF($A348="","",IF(COUNTIFS(請求記録!$B$6:$B$3005,$A348,請求記録!$Z$6:$Z$3005,G$5,請求記録!$AF$6:$AF$3005,"保留中")&gt;0,"保留",IF(COUNTIFS(請求記録!$B$6:$B$3005,$A348,請求記録!$Z$6:$Z$3005,G$5)=0,"",SUMIFS(請求記録!$AE$6:$AE$3005,請求記録!$B$6:$B$3005,$A348,請求記録!$Z$6:$Z$3005,G$5))))</f>
        <v/>
      </c>
      <c r="H348" s="19">
        <f>IF($A348="","",IF(COUNTIFS(請求記録!$B$6:$B$3005,$A348,請求記録!$Z$6:$Z$3005,H$5,請求記録!$AF$6:$AF$3005,"保留中")&gt;0,"保留",IF(COUNTIFS(請求記録!$B$6:$B$3005,$A348,請求記録!$Z$6:$Z$3005,H$5)=0,"",SUMIFS(請求記録!$AE$6:$AE$3005,請求記録!$B$6:$B$3005,$A348,請求記録!$Z$6:$Z$3005,H$5))))</f>
        <v/>
      </c>
      <c r="I348" s="19">
        <f>IF($A348="","",IF(COUNTIFS(請求記録!$B$6:$B$3005,$A348,請求記録!$Z$6:$Z$3005,I$5,請求記録!$AF$6:$AF$3005,"保留中")&gt;0,"保留",IF(COUNTIFS(請求記録!$B$6:$B$3005,$A348,請求記録!$Z$6:$Z$3005,I$5)=0,"",SUMIFS(請求記録!$AE$6:$AE$3005,請求記録!$B$6:$B$3005,$A348,請求記録!$Z$6:$Z$3005,I$5))))</f>
        <v/>
      </c>
      <c r="J348" s="19">
        <f>IF($A348="","",IF(COUNTIFS(請求記録!$B$6:$B$3005,$A348,請求記録!$Z$6:$Z$3005,J$5,請求記録!$AF$6:$AF$3005,"保留中")&gt;0,"保留",IF(COUNTIFS(請求記録!$B$6:$B$3005,$A348,請求記録!$Z$6:$Z$3005,J$5)=0,"",SUMIFS(請求記録!$AE$6:$AE$3005,請求記録!$B$6:$B$3005,$A348,請求記録!$Z$6:$Z$3005,J$5))))</f>
        <v/>
      </c>
      <c r="K348" s="19">
        <f>IF($A348="","",IF(COUNTIFS(請求記録!$B$6:$B$3005,$A348,請求記録!$Z$6:$Z$3005,K$5,請求記録!$AF$6:$AF$3005,"保留中")&gt;0,"保留",IF(COUNTIFS(請求記録!$B$6:$B$3005,$A348,請求記録!$Z$6:$Z$3005,K$5)=0,"",SUMIFS(請求記録!$AE$6:$AE$3005,請求記録!$B$6:$B$3005,$A348,請求記録!$Z$6:$Z$3005,K$5))))</f>
        <v/>
      </c>
      <c r="L348" s="19">
        <f>IF($A348="","",IF(COUNTIFS(請求記録!$B$6:$B$3005,$A348,請求記録!$Z$6:$Z$3005,L$5,請求記録!$AF$6:$AF$3005,"保留中")&gt;0,"保留",IF(COUNTIFS(請求記録!$B$6:$B$3005,$A348,請求記録!$Z$6:$Z$3005,L$5)=0,"",SUMIFS(請求記録!$AE$6:$AE$3005,請求記録!$B$6:$B$3005,$A348,請求記録!$Z$6:$Z$3005,L$5))))</f>
        <v/>
      </c>
      <c r="M348" s="19">
        <f>IF($A348="","",IF(COUNTIFS(請求記録!$B$6:$B$3005,$A348,請求記録!$Z$6:$Z$3005,M$5,請求記録!$AF$6:$AF$3005,"保留中")&gt;0,"保留",IF(COUNTIFS(請求記録!$B$6:$B$3005,$A348,請求記録!$Z$6:$Z$3005,M$5)=0,"",SUMIFS(請求記録!$AE$6:$AE$3005,請求記録!$B$6:$B$3005,$A348,請求記録!$Z$6:$Z$3005,M$5))))</f>
        <v/>
      </c>
      <c r="N348" s="19">
        <f>IF($A348="","",IF(COUNTIFS(請求記録!$B$6:$B$3005,$A348,請求記録!$Z$6:$Z$3005,N$5,請求記録!$AF$6:$AF$3005,"保留中")&gt;0,"保留",IF(COUNTIFS(請求記録!$B$6:$B$3005,$A348,請求記録!$Z$6:$Z$3005,N$5)=0,"",SUMIFS(請求記録!$AE$6:$AE$3005,請求記録!$B$6:$B$3005,$A348,請求記録!$Z$6:$Z$3005,N$5))))</f>
        <v/>
      </c>
      <c r="O348" s="19">
        <f>IF($A348="","",IF(COUNTIFS(請求記録!$B$6:$B$3005,$A348,請求記録!$Z$6:$Z$3005,O$5,請求記録!$AF$6:$AF$3005,"保留中")&gt;0,"保留",IF(COUNTIFS(請求記録!$B$6:$B$3005,$A348,請求記録!$Z$6:$Z$3005,O$5)=0,"",SUMIFS(請求記録!$AE$6:$AE$3005,請求記録!$B$6:$B$3005,$A348,請求記録!$Z$6:$Z$3005,O$5))))</f>
        <v/>
      </c>
      <c r="P348" s="19">
        <f>IF($A348="","",IF(COUNTIFS(請求記録!$B$6:$B$3005,$A348,請求記録!$Z$6:$Z$3005,P$5,請求記録!$AF$6:$AF$3005,"保留中")&gt;0,"保留",IF(COUNTIFS(請求記録!$B$6:$B$3005,$A348,請求記録!$Z$6:$Z$3005,P$5)=0,"",SUMIFS(請求記録!$AE$6:$AE$3005,請求記録!$B$6:$B$3005,$A348,請求記録!$Z$6:$Z$3005,P$5))))</f>
        <v/>
      </c>
      <c r="Q348" s="19">
        <f>IF($A348="","",IF(COUNTIFS(請求記録!$B$6:$B$3005,$A348,請求記録!$Z$6:$Z$3005,Q$5,請求記録!$AF$6:$AF$3005,"保留中")&gt;0,"保留",IF(COUNTIFS(請求記録!$B$6:$B$3005,$A348,請求記録!$Z$6:$Z$3005,Q$5)=0,"",SUMIFS(請求記録!$AE$6:$AE$3005,請求記録!$B$6:$B$3005,$A348,請求記録!$Z$6:$Z$3005,Q$5))))</f>
        <v/>
      </c>
      <c r="R348" s="19">
        <f>IF($A348="","",IF(COUNTIFS(請求記録!$B$6:$B$3005,$A348,請求記録!$Z$6:$Z$3005,R$5,請求記録!$AF$6:$AF$3005,"保留中")&gt;0,"保留",IF(COUNTIFS(請求記録!$B$6:$B$3005,$A348,請求記録!$Z$6:$Z$3005,R$5)=0,"",SUMIFS(請求記録!$AE$6:$AE$3005,請求記録!$B$6:$B$3005,$A348,請求記録!$Z$6:$Z$3005,R$5))))</f>
        <v/>
      </c>
      <c r="S348" s="19">
        <f>IF($A348="","",IF(COUNTIFS(請求記録!$B$6:$B$3005,$A348,請求記録!$Z$6:$Z$3005,S$5,請求記録!$AF$6:$AF$3005,"保留中")&gt;0,"保留",IF(COUNTIFS(請求記録!$B$6:$B$3005,$A348,請求記録!$Z$6:$Z$3005,S$5)=0,"",SUMIFS(請求記録!$AE$6:$AE$3005,請求記録!$B$6:$B$3005,$A348,請求記録!$Z$6:$Z$3005,S$5))))</f>
        <v/>
      </c>
      <c r="T348" s="19">
        <f>IF($A348="","",IF(COUNTIFS(請求記録!$B$6:$B$3005,$A348,請求記録!$Z$6:$Z$3005,T$5,請求記録!$AF$6:$AF$3005,"保留中")&gt;0,"保留",IF(COUNTIFS(請求記録!$B$6:$B$3005,$A348,請求記録!$Z$6:$Z$3005,T$5)=0,"",SUMIFS(請求記録!$AE$6:$AE$3005,請求記録!$B$6:$B$3005,$A348,請求記録!$Z$6:$Z$3005,T$5))))</f>
        <v/>
      </c>
      <c r="U348" s="19">
        <f>IF($A348="","",IF(COUNTIFS(請求記録!$B$6:$B$3005,$A348,請求記録!$Z$6:$Z$3005,U$5,請求記録!$AF$6:$AF$3005,"保留中")&gt;0,"保留",IF(COUNTIFS(請求記録!$B$6:$B$3005,$A348,請求記録!$Z$6:$Z$3005,U$5)=0,"",SUMIFS(請求記録!$AE$6:$AE$3005,請求記録!$B$6:$B$3005,$A348,請求記録!$Z$6:$Z$3005,U$5))))</f>
        <v/>
      </c>
      <c r="V348" s="19">
        <f>IF($A348="","",IF(COUNTIFS(請求記録!$B$6:$B$3005,$A348,請求記録!$Z$6:$Z$3005,V$5,請求記録!$AF$6:$AF$3005,"保留中")&gt;0,"保留",IF(COUNTIFS(請求記録!$B$6:$B$3005,$A348,請求記録!$Z$6:$Z$3005,V$5)=0,"",SUMIFS(請求記録!$AE$6:$AE$3005,請求記録!$B$6:$B$3005,$A348,請求記録!$Z$6:$Z$3005,V$5))))</f>
        <v/>
      </c>
      <c r="W348" s="19">
        <f>IF($A348="","",IF(COUNTIFS(請求記録!$B$6:$B$3005,$A348,請求記録!$Z$6:$Z$3005,W$5,請求記録!$AF$6:$AF$3005,"保留中")&gt;0,"保留",IF(COUNTIFS(請求記録!$B$6:$B$3005,$A348,請求記録!$Z$6:$Z$3005,W$5)=0,"",SUMIFS(請求記録!$AE$6:$AE$3005,請求記録!$B$6:$B$3005,$A348,請求記録!$Z$6:$Z$3005,W$5))))</f>
        <v/>
      </c>
      <c r="X348" s="19">
        <f>IF($A348="","",IF(COUNTIFS(請求記録!$B$6:$B$3005,$A348,請求記録!$Z$6:$Z$3005,X$5,請求記録!$AF$6:$AF$3005,"保留中")&gt;0,"保留",IF(COUNTIFS(請求記録!$B$6:$B$3005,$A348,請求記録!$Z$6:$Z$3005,X$5)=0,"",SUMIFS(請求記録!$AE$6:$AE$3005,請求記録!$B$6:$B$3005,$A348,請求記録!$Z$6:$Z$3005,X$5))))</f>
        <v/>
      </c>
      <c r="Y348" s="19">
        <f>IF($A348="","",IF(COUNTIFS(請求記録!$B$6:$B$3005,$A348,請求記録!$Z$6:$Z$3005,Y$5,請求記録!$AF$6:$AF$3005,"保留中")&gt;0,"保留",IF(COUNTIFS(請求記録!$B$6:$B$3005,$A348,請求記録!$Z$6:$Z$3005,Y$5)=0,"",SUMIFS(請求記録!$AE$6:$AE$3005,請求記録!$B$6:$B$3005,$A348,請求記録!$Z$6:$Z$3005,Y$5))))</f>
        <v/>
      </c>
      <c r="Z348" s="19">
        <f>IF($A348="","",IF(COUNTIFS(請求記録!$B$6:$B$3005,$A348,請求記録!$Z$6:$Z$3005,Z$5,請求記録!$AF$6:$AF$3005,"保留中")&gt;0,"保留",IF(COUNTIFS(請求記録!$B$6:$B$3005,$A348,請求記録!$Z$6:$Z$3005,Z$5)=0,"",SUMIFS(請求記録!$AE$6:$AE$3005,請求記録!$B$6:$B$3005,$A348,請求記録!$Z$6:$Z$3005,Z$5))))</f>
        <v/>
      </c>
      <c r="AA348" s="19">
        <f>IF($A348="","",IF(COUNTIFS(請求記録!$B$6:$B$3005,$A348,請求記録!$Z$6:$Z$3005,AA$5,請求記録!$AF$6:$AF$3005,"保留中")&gt;0,"保留",IF(COUNTIFS(請求記録!$B$6:$B$3005,$A348,請求記録!$Z$6:$Z$3005,AA$5)=0,"",SUMIFS(請求記録!$AE$6:$AE$3005,請求記録!$B$6:$B$3005,$A348,請求記録!$Z$6:$Z$3005,AA$5))))</f>
        <v/>
      </c>
      <c r="AB348">
        <f>IF(職員マスタ!P348="保留中",職員マスタ!M348,"")</f>
        <v/>
      </c>
    </row>
    <row r="349">
      <c r="A349">
        <f>IF(職員マスタ!A349="","",職員マスタ!A349)</f>
        <v/>
      </c>
      <c r="B349">
        <f>IF($A349="","",職員マスタ!B349)</f>
        <v/>
      </c>
      <c r="C349">
        <f>IF($A349="","",職員マスタ!C349)</f>
        <v/>
      </c>
      <c r="D349" s="19">
        <f>IF($A349="","",IF(COUNTIFS(請求記録!$B$6:$B$3005,$A349,請求記録!$Z$6:$Z$3005,D$5,請求記録!$AF$6:$AF$3005,"保留中")&gt;0,"保留",IF(COUNTIFS(請求記録!$B$6:$B$3005,$A349,請求記録!$Z$6:$Z$3005,D$5)=0,"",SUMIFS(請求記録!$AE$6:$AE$3005,請求記録!$B$6:$B$3005,$A349,請求記録!$Z$6:$Z$3005,D$5))))</f>
        <v/>
      </c>
      <c r="E349" s="19">
        <f>IF($A349="","",IF(COUNTIFS(請求記録!$B$6:$B$3005,$A349,請求記録!$Z$6:$Z$3005,E$5,請求記録!$AF$6:$AF$3005,"保留中")&gt;0,"保留",IF(COUNTIFS(請求記録!$B$6:$B$3005,$A349,請求記録!$Z$6:$Z$3005,E$5)=0,"",SUMIFS(請求記録!$AE$6:$AE$3005,請求記録!$B$6:$B$3005,$A349,請求記録!$Z$6:$Z$3005,E$5))))</f>
        <v/>
      </c>
      <c r="F349" s="19">
        <f>IF($A349="","",IF(COUNTIFS(請求記録!$B$6:$B$3005,$A349,請求記録!$Z$6:$Z$3005,F$5,請求記録!$AF$6:$AF$3005,"保留中")&gt;0,"保留",IF(COUNTIFS(請求記録!$B$6:$B$3005,$A349,請求記録!$Z$6:$Z$3005,F$5)=0,"",SUMIFS(請求記録!$AE$6:$AE$3005,請求記録!$B$6:$B$3005,$A349,請求記録!$Z$6:$Z$3005,F$5))))</f>
        <v/>
      </c>
      <c r="G349" s="19">
        <f>IF($A349="","",IF(COUNTIFS(請求記録!$B$6:$B$3005,$A349,請求記録!$Z$6:$Z$3005,G$5,請求記録!$AF$6:$AF$3005,"保留中")&gt;0,"保留",IF(COUNTIFS(請求記録!$B$6:$B$3005,$A349,請求記録!$Z$6:$Z$3005,G$5)=0,"",SUMIFS(請求記録!$AE$6:$AE$3005,請求記録!$B$6:$B$3005,$A349,請求記録!$Z$6:$Z$3005,G$5))))</f>
        <v/>
      </c>
      <c r="H349" s="19">
        <f>IF($A349="","",IF(COUNTIFS(請求記録!$B$6:$B$3005,$A349,請求記録!$Z$6:$Z$3005,H$5,請求記録!$AF$6:$AF$3005,"保留中")&gt;0,"保留",IF(COUNTIFS(請求記録!$B$6:$B$3005,$A349,請求記録!$Z$6:$Z$3005,H$5)=0,"",SUMIFS(請求記録!$AE$6:$AE$3005,請求記録!$B$6:$B$3005,$A349,請求記録!$Z$6:$Z$3005,H$5))))</f>
        <v/>
      </c>
      <c r="I349" s="19">
        <f>IF($A349="","",IF(COUNTIFS(請求記録!$B$6:$B$3005,$A349,請求記録!$Z$6:$Z$3005,I$5,請求記録!$AF$6:$AF$3005,"保留中")&gt;0,"保留",IF(COUNTIFS(請求記録!$B$6:$B$3005,$A349,請求記録!$Z$6:$Z$3005,I$5)=0,"",SUMIFS(請求記録!$AE$6:$AE$3005,請求記録!$B$6:$B$3005,$A349,請求記録!$Z$6:$Z$3005,I$5))))</f>
        <v/>
      </c>
      <c r="J349" s="19">
        <f>IF($A349="","",IF(COUNTIFS(請求記録!$B$6:$B$3005,$A349,請求記録!$Z$6:$Z$3005,J$5,請求記録!$AF$6:$AF$3005,"保留中")&gt;0,"保留",IF(COUNTIFS(請求記録!$B$6:$B$3005,$A349,請求記録!$Z$6:$Z$3005,J$5)=0,"",SUMIFS(請求記録!$AE$6:$AE$3005,請求記録!$B$6:$B$3005,$A349,請求記録!$Z$6:$Z$3005,J$5))))</f>
        <v/>
      </c>
      <c r="K349" s="19">
        <f>IF($A349="","",IF(COUNTIFS(請求記録!$B$6:$B$3005,$A349,請求記録!$Z$6:$Z$3005,K$5,請求記録!$AF$6:$AF$3005,"保留中")&gt;0,"保留",IF(COUNTIFS(請求記録!$B$6:$B$3005,$A349,請求記録!$Z$6:$Z$3005,K$5)=0,"",SUMIFS(請求記録!$AE$6:$AE$3005,請求記録!$B$6:$B$3005,$A349,請求記録!$Z$6:$Z$3005,K$5))))</f>
        <v/>
      </c>
      <c r="L349" s="19">
        <f>IF($A349="","",IF(COUNTIFS(請求記録!$B$6:$B$3005,$A349,請求記録!$Z$6:$Z$3005,L$5,請求記録!$AF$6:$AF$3005,"保留中")&gt;0,"保留",IF(COUNTIFS(請求記録!$B$6:$B$3005,$A349,請求記録!$Z$6:$Z$3005,L$5)=0,"",SUMIFS(請求記録!$AE$6:$AE$3005,請求記録!$B$6:$B$3005,$A349,請求記録!$Z$6:$Z$3005,L$5))))</f>
        <v/>
      </c>
      <c r="M349" s="19">
        <f>IF($A349="","",IF(COUNTIFS(請求記録!$B$6:$B$3005,$A349,請求記録!$Z$6:$Z$3005,M$5,請求記録!$AF$6:$AF$3005,"保留中")&gt;0,"保留",IF(COUNTIFS(請求記録!$B$6:$B$3005,$A349,請求記録!$Z$6:$Z$3005,M$5)=0,"",SUMIFS(請求記録!$AE$6:$AE$3005,請求記録!$B$6:$B$3005,$A349,請求記録!$Z$6:$Z$3005,M$5))))</f>
        <v/>
      </c>
      <c r="N349" s="19">
        <f>IF($A349="","",IF(COUNTIFS(請求記録!$B$6:$B$3005,$A349,請求記録!$Z$6:$Z$3005,N$5,請求記録!$AF$6:$AF$3005,"保留中")&gt;0,"保留",IF(COUNTIFS(請求記録!$B$6:$B$3005,$A349,請求記録!$Z$6:$Z$3005,N$5)=0,"",SUMIFS(請求記録!$AE$6:$AE$3005,請求記録!$B$6:$B$3005,$A349,請求記録!$Z$6:$Z$3005,N$5))))</f>
        <v/>
      </c>
      <c r="O349" s="19">
        <f>IF($A349="","",IF(COUNTIFS(請求記録!$B$6:$B$3005,$A349,請求記録!$Z$6:$Z$3005,O$5,請求記録!$AF$6:$AF$3005,"保留中")&gt;0,"保留",IF(COUNTIFS(請求記録!$B$6:$B$3005,$A349,請求記録!$Z$6:$Z$3005,O$5)=0,"",SUMIFS(請求記録!$AE$6:$AE$3005,請求記録!$B$6:$B$3005,$A349,請求記録!$Z$6:$Z$3005,O$5))))</f>
        <v/>
      </c>
      <c r="P349" s="19">
        <f>IF($A349="","",IF(COUNTIFS(請求記録!$B$6:$B$3005,$A349,請求記録!$Z$6:$Z$3005,P$5,請求記録!$AF$6:$AF$3005,"保留中")&gt;0,"保留",IF(COUNTIFS(請求記録!$B$6:$B$3005,$A349,請求記録!$Z$6:$Z$3005,P$5)=0,"",SUMIFS(請求記録!$AE$6:$AE$3005,請求記録!$B$6:$B$3005,$A349,請求記録!$Z$6:$Z$3005,P$5))))</f>
        <v/>
      </c>
      <c r="Q349" s="19">
        <f>IF($A349="","",IF(COUNTIFS(請求記録!$B$6:$B$3005,$A349,請求記録!$Z$6:$Z$3005,Q$5,請求記録!$AF$6:$AF$3005,"保留中")&gt;0,"保留",IF(COUNTIFS(請求記録!$B$6:$B$3005,$A349,請求記録!$Z$6:$Z$3005,Q$5)=0,"",SUMIFS(請求記録!$AE$6:$AE$3005,請求記録!$B$6:$B$3005,$A349,請求記録!$Z$6:$Z$3005,Q$5))))</f>
        <v/>
      </c>
      <c r="R349" s="19">
        <f>IF($A349="","",IF(COUNTIFS(請求記録!$B$6:$B$3005,$A349,請求記録!$Z$6:$Z$3005,R$5,請求記録!$AF$6:$AF$3005,"保留中")&gt;0,"保留",IF(COUNTIFS(請求記録!$B$6:$B$3005,$A349,請求記録!$Z$6:$Z$3005,R$5)=0,"",SUMIFS(請求記録!$AE$6:$AE$3005,請求記録!$B$6:$B$3005,$A349,請求記録!$Z$6:$Z$3005,R$5))))</f>
        <v/>
      </c>
      <c r="S349" s="19">
        <f>IF($A349="","",IF(COUNTIFS(請求記録!$B$6:$B$3005,$A349,請求記録!$Z$6:$Z$3005,S$5,請求記録!$AF$6:$AF$3005,"保留中")&gt;0,"保留",IF(COUNTIFS(請求記録!$B$6:$B$3005,$A349,請求記録!$Z$6:$Z$3005,S$5)=0,"",SUMIFS(請求記録!$AE$6:$AE$3005,請求記録!$B$6:$B$3005,$A349,請求記録!$Z$6:$Z$3005,S$5))))</f>
        <v/>
      </c>
      <c r="T349" s="19">
        <f>IF($A349="","",IF(COUNTIFS(請求記録!$B$6:$B$3005,$A349,請求記録!$Z$6:$Z$3005,T$5,請求記録!$AF$6:$AF$3005,"保留中")&gt;0,"保留",IF(COUNTIFS(請求記録!$B$6:$B$3005,$A349,請求記録!$Z$6:$Z$3005,T$5)=0,"",SUMIFS(請求記録!$AE$6:$AE$3005,請求記録!$B$6:$B$3005,$A349,請求記録!$Z$6:$Z$3005,T$5))))</f>
        <v/>
      </c>
      <c r="U349" s="19">
        <f>IF($A349="","",IF(COUNTIFS(請求記録!$B$6:$B$3005,$A349,請求記録!$Z$6:$Z$3005,U$5,請求記録!$AF$6:$AF$3005,"保留中")&gt;0,"保留",IF(COUNTIFS(請求記録!$B$6:$B$3005,$A349,請求記録!$Z$6:$Z$3005,U$5)=0,"",SUMIFS(請求記録!$AE$6:$AE$3005,請求記録!$B$6:$B$3005,$A349,請求記録!$Z$6:$Z$3005,U$5))))</f>
        <v/>
      </c>
      <c r="V349" s="19">
        <f>IF($A349="","",IF(COUNTIFS(請求記録!$B$6:$B$3005,$A349,請求記録!$Z$6:$Z$3005,V$5,請求記録!$AF$6:$AF$3005,"保留中")&gt;0,"保留",IF(COUNTIFS(請求記録!$B$6:$B$3005,$A349,請求記録!$Z$6:$Z$3005,V$5)=0,"",SUMIFS(請求記録!$AE$6:$AE$3005,請求記録!$B$6:$B$3005,$A349,請求記録!$Z$6:$Z$3005,V$5))))</f>
        <v/>
      </c>
      <c r="W349" s="19">
        <f>IF($A349="","",IF(COUNTIFS(請求記録!$B$6:$B$3005,$A349,請求記録!$Z$6:$Z$3005,W$5,請求記録!$AF$6:$AF$3005,"保留中")&gt;0,"保留",IF(COUNTIFS(請求記録!$B$6:$B$3005,$A349,請求記録!$Z$6:$Z$3005,W$5)=0,"",SUMIFS(請求記録!$AE$6:$AE$3005,請求記録!$B$6:$B$3005,$A349,請求記録!$Z$6:$Z$3005,W$5))))</f>
        <v/>
      </c>
      <c r="X349" s="19">
        <f>IF($A349="","",IF(COUNTIFS(請求記録!$B$6:$B$3005,$A349,請求記録!$Z$6:$Z$3005,X$5,請求記録!$AF$6:$AF$3005,"保留中")&gt;0,"保留",IF(COUNTIFS(請求記録!$B$6:$B$3005,$A349,請求記録!$Z$6:$Z$3005,X$5)=0,"",SUMIFS(請求記録!$AE$6:$AE$3005,請求記録!$B$6:$B$3005,$A349,請求記録!$Z$6:$Z$3005,X$5))))</f>
        <v/>
      </c>
      <c r="Y349" s="19">
        <f>IF($A349="","",IF(COUNTIFS(請求記録!$B$6:$B$3005,$A349,請求記録!$Z$6:$Z$3005,Y$5,請求記録!$AF$6:$AF$3005,"保留中")&gt;0,"保留",IF(COUNTIFS(請求記録!$B$6:$B$3005,$A349,請求記録!$Z$6:$Z$3005,Y$5)=0,"",SUMIFS(請求記録!$AE$6:$AE$3005,請求記録!$B$6:$B$3005,$A349,請求記録!$Z$6:$Z$3005,Y$5))))</f>
        <v/>
      </c>
      <c r="Z349" s="19">
        <f>IF($A349="","",IF(COUNTIFS(請求記録!$B$6:$B$3005,$A349,請求記録!$Z$6:$Z$3005,Z$5,請求記録!$AF$6:$AF$3005,"保留中")&gt;0,"保留",IF(COUNTIFS(請求記録!$B$6:$B$3005,$A349,請求記録!$Z$6:$Z$3005,Z$5)=0,"",SUMIFS(請求記録!$AE$6:$AE$3005,請求記録!$B$6:$B$3005,$A349,請求記録!$Z$6:$Z$3005,Z$5))))</f>
        <v/>
      </c>
      <c r="AA349" s="19">
        <f>IF($A349="","",IF(COUNTIFS(請求記録!$B$6:$B$3005,$A349,請求記録!$Z$6:$Z$3005,AA$5,請求記録!$AF$6:$AF$3005,"保留中")&gt;0,"保留",IF(COUNTIFS(請求記録!$B$6:$B$3005,$A349,請求記録!$Z$6:$Z$3005,AA$5)=0,"",SUMIFS(請求記録!$AE$6:$AE$3005,請求記録!$B$6:$B$3005,$A349,請求記録!$Z$6:$Z$3005,AA$5))))</f>
        <v/>
      </c>
      <c r="AB349">
        <f>IF(職員マスタ!P349="保留中",職員マスタ!M349,"")</f>
        <v/>
      </c>
    </row>
    <row r="350">
      <c r="A350">
        <f>IF(職員マスタ!A350="","",職員マスタ!A350)</f>
        <v/>
      </c>
      <c r="B350">
        <f>IF($A350="","",職員マスタ!B350)</f>
        <v/>
      </c>
      <c r="C350">
        <f>IF($A350="","",職員マスタ!C350)</f>
        <v/>
      </c>
      <c r="D350" s="19">
        <f>IF($A350="","",IF(COUNTIFS(請求記録!$B$6:$B$3005,$A350,請求記録!$Z$6:$Z$3005,D$5,請求記録!$AF$6:$AF$3005,"保留中")&gt;0,"保留",IF(COUNTIFS(請求記録!$B$6:$B$3005,$A350,請求記録!$Z$6:$Z$3005,D$5)=0,"",SUMIFS(請求記録!$AE$6:$AE$3005,請求記録!$B$6:$B$3005,$A350,請求記録!$Z$6:$Z$3005,D$5))))</f>
        <v/>
      </c>
      <c r="E350" s="19">
        <f>IF($A350="","",IF(COUNTIFS(請求記録!$B$6:$B$3005,$A350,請求記録!$Z$6:$Z$3005,E$5,請求記録!$AF$6:$AF$3005,"保留中")&gt;0,"保留",IF(COUNTIFS(請求記録!$B$6:$B$3005,$A350,請求記録!$Z$6:$Z$3005,E$5)=0,"",SUMIFS(請求記録!$AE$6:$AE$3005,請求記録!$B$6:$B$3005,$A350,請求記録!$Z$6:$Z$3005,E$5))))</f>
        <v/>
      </c>
      <c r="F350" s="19">
        <f>IF($A350="","",IF(COUNTIFS(請求記録!$B$6:$B$3005,$A350,請求記録!$Z$6:$Z$3005,F$5,請求記録!$AF$6:$AF$3005,"保留中")&gt;0,"保留",IF(COUNTIFS(請求記録!$B$6:$B$3005,$A350,請求記録!$Z$6:$Z$3005,F$5)=0,"",SUMIFS(請求記録!$AE$6:$AE$3005,請求記録!$B$6:$B$3005,$A350,請求記録!$Z$6:$Z$3005,F$5))))</f>
        <v/>
      </c>
      <c r="G350" s="19">
        <f>IF($A350="","",IF(COUNTIFS(請求記録!$B$6:$B$3005,$A350,請求記録!$Z$6:$Z$3005,G$5,請求記録!$AF$6:$AF$3005,"保留中")&gt;0,"保留",IF(COUNTIFS(請求記録!$B$6:$B$3005,$A350,請求記録!$Z$6:$Z$3005,G$5)=0,"",SUMIFS(請求記録!$AE$6:$AE$3005,請求記録!$B$6:$B$3005,$A350,請求記録!$Z$6:$Z$3005,G$5))))</f>
        <v/>
      </c>
      <c r="H350" s="19">
        <f>IF($A350="","",IF(COUNTIFS(請求記録!$B$6:$B$3005,$A350,請求記録!$Z$6:$Z$3005,H$5,請求記録!$AF$6:$AF$3005,"保留中")&gt;0,"保留",IF(COUNTIFS(請求記録!$B$6:$B$3005,$A350,請求記録!$Z$6:$Z$3005,H$5)=0,"",SUMIFS(請求記録!$AE$6:$AE$3005,請求記録!$B$6:$B$3005,$A350,請求記録!$Z$6:$Z$3005,H$5))))</f>
        <v/>
      </c>
      <c r="I350" s="19">
        <f>IF($A350="","",IF(COUNTIFS(請求記録!$B$6:$B$3005,$A350,請求記録!$Z$6:$Z$3005,I$5,請求記録!$AF$6:$AF$3005,"保留中")&gt;0,"保留",IF(COUNTIFS(請求記録!$B$6:$B$3005,$A350,請求記録!$Z$6:$Z$3005,I$5)=0,"",SUMIFS(請求記録!$AE$6:$AE$3005,請求記録!$B$6:$B$3005,$A350,請求記録!$Z$6:$Z$3005,I$5))))</f>
        <v/>
      </c>
      <c r="J350" s="19">
        <f>IF($A350="","",IF(COUNTIFS(請求記録!$B$6:$B$3005,$A350,請求記録!$Z$6:$Z$3005,J$5,請求記録!$AF$6:$AF$3005,"保留中")&gt;0,"保留",IF(COUNTIFS(請求記録!$B$6:$B$3005,$A350,請求記録!$Z$6:$Z$3005,J$5)=0,"",SUMIFS(請求記録!$AE$6:$AE$3005,請求記録!$B$6:$B$3005,$A350,請求記録!$Z$6:$Z$3005,J$5))))</f>
        <v/>
      </c>
      <c r="K350" s="19">
        <f>IF($A350="","",IF(COUNTIFS(請求記録!$B$6:$B$3005,$A350,請求記録!$Z$6:$Z$3005,K$5,請求記録!$AF$6:$AF$3005,"保留中")&gt;0,"保留",IF(COUNTIFS(請求記録!$B$6:$B$3005,$A350,請求記録!$Z$6:$Z$3005,K$5)=0,"",SUMIFS(請求記録!$AE$6:$AE$3005,請求記録!$B$6:$B$3005,$A350,請求記録!$Z$6:$Z$3005,K$5))))</f>
        <v/>
      </c>
      <c r="L350" s="19">
        <f>IF($A350="","",IF(COUNTIFS(請求記録!$B$6:$B$3005,$A350,請求記録!$Z$6:$Z$3005,L$5,請求記録!$AF$6:$AF$3005,"保留中")&gt;0,"保留",IF(COUNTIFS(請求記録!$B$6:$B$3005,$A350,請求記録!$Z$6:$Z$3005,L$5)=0,"",SUMIFS(請求記録!$AE$6:$AE$3005,請求記録!$B$6:$B$3005,$A350,請求記録!$Z$6:$Z$3005,L$5))))</f>
        <v/>
      </c>
      <c r="M350" s="19">
        <f>IF($A350="","",IF(COUNTIFS(請求記録!$B$6:$B$3005,$A350,請求記録!$Z$6:$Z$3005,M$5,請求記録!$AF$6:$AF$3005,"保留中")&gt;0,"保留",IF(COUNTIFS(請求記録!$B$6:$B$3005,$A350,請求記録!$Z$6:$Z$3005,M$5)=0,"",SUMIFS(請求記録!$AE$6:$AE$3005,請求記録!$B$6:$B$3005,$A350,請求記録!$Z$6:$Z$3005,M$5))))</f>
        <v/>
      </c>
      <c r="N350" s="19">
        <f>IF($A350="","",IF(COUNTIFS(請求記録!$B$6:$B$3005,$A350,請求記録!$Z$6:$Z$3005,N$5,請求記録!$AF$6:$AF$3005,"保留中")&gt;0,"保留",IF(COUNTIFS(請求記録!$B$6:$B$3005,$A350,請求記録!$Z$6:$Z$3005,N$5)=0,"",SUMIFS(請求記録!$AE$6:$AE$3005,請求記録!$B$6:$B$3005,$A350,請求記録!$Z$6:$Z$3005,N$5))))</f>
        <v/>
      </c>
      <c r="O350" s="19">
        <f>IF($A350="","",IF(COUNTIFS(請求記録!$B$6:$B$3005,$A350,請求記録!$Z$6:$Z$3005,O$5,請求記録!$AF$6:$AF$3005,"保留中")&gt;0,"保留",IF(COUNTIFS(請求記録!$B$6:$B$3005,$A350,請求記録!$Z$6:$Z$3005,O$5)=0,"",SUMIFS(請求記録!$AE$6:$AE$3005,請求記録!$B$6:$B$3005,$A350,請求記録!$Z$6:$Z$3005,O$5))))</f>
        <v/>
      </c>
      <c r="P350" s="19">
        <f>IF($A350="","",IF(COUNTIFS(請求記録!$B$6:$B$3005,$A350,請求記録!$Z$6:$Z$3005,P$5,請求記録!$AF$6:$AF$3005,"保留中")&gt;0,"保留",IF(COUNTIFS(請求記録!$B$6:$B$3005,$A350,請求記録!$Z$6:$Z$3005,P$5)=0,"",SUMIFS(請求記録!$AE$6:$AE$3005,請求記録!$B$6:$B$3005,$A350,請求記録!$Z$6:$Z$3005,P$5))))</f>
        <v/>
      </c>
      <c r="Q350" s="19">
        <f>IF($A350="","",IF(COUNTIFS(請求記録!$B$6:$B$3005,$A350,請求記録!$Z$6:$Z$3005,Q$5,請求記録!$AF$6:$AF$3005,"保留中")&gt;0,"保留",IF(COUNTIFS(請求記録!$B$6:$B$3005,$A350,請求記録!$Z$6:$Z$3005,Q$5)=0,"",SUMIFS(請求記録!$AE$6:$AE$3005,請求記録!$B$6:$B$3005,$A350,請求記録!$Z$6:$Z$3005,Q$5))))</f>
        <v/>
      </c>
      <c r="R350" s="19">
        <f>IF($A350="","",IF(COUNTIFS(請求記録!$B$6:$B$3005,$A350,請求記録!$Z$6:$Z$3005,R$5,請求記録!$AF$6:$AF$3005,"保留中")&gt;0,"保留",IF(COUNTIFS(請求記録!$B$6:$B$3005,$A350,請求記録!$Z$6:$Z$3005,R$5)=0,"",SUMIFS(請求記録!$AE$6:$AE$3005,請求記録!$B$6:$B$3005,$A350,請求記録!$Z$6:$Z$3005,R$5))))</f>
        <v/>
      </c>
      <c r="S350" s="19">
        <f>IF($A350="","",IF(COUNTIFS(請求記録!$B$6:$B$3005,$A350,請求記録!$Z$6:$Z$3005,S$5,請求記録!$AF$6:$AF$3005,"保留中")&gt;0,"保留",IF(COUNTIFS(請求記録!$B$6:$B$3005,$A350,請求記録!$Z$6:$Z$3005,S$5)=0,"",SUMIFS(請求記録!$AE$6:$AE$3005,請求記録!$B$6:$B$3005,$A350,請求記録!$Z$6:$Z$3005,S$5))))</f>
        <v/>
      </c>
      <c r="T350" s="19">
        <f>IF($A350="","",IF(COUNTIFS(請求記録!$B$6:$B$3005,$A350,請求記録!$Z$6:$Z$3005,T$5,請求記録!$AF$6:$AF$3005,"保留中")&gt;0,"保留",IF(COUNTIFS(請求記録!$B$6:$B$3005,$A350,請求記録!$Z$6:$Z$3005,T$5)=0,"",SUMIFS(請求記録!$AE$6:$AE$3005,請求記録!$B$6:$B$3005,$A350,請求記録!$Z$6:$Z$3005,T$5))))</f>
        <v/>
      </c>
      <c r="U350" s="19">
        <f>IF($A350="","",IF(COUNTIFS(請求記録!$B$6:$B$3005,$A350,請求記録!$Z$6:$Z$3005,U$5,請求記録!$AF$6:$AF$3005,"保留中")&gt;0,"保留",IF(COUNTIFS(請求記録!$B$6:$B$3005,$A350,請求記録!$Z$6:$Z$3005,U$5)=0,"",SUMIFS(請求記録!$AE$6:$AE$3005,請求記録!$B$6:$B$3005,$A350,請求記録!$Z$6:$Z$3005,U$5))))</f>
        <v/>
      </c>
      <c r="V350" s="19">
        <f>IF($A350="","",IF(COUNTIFS(請求記録!$B$6:$B$3005,$A350,請求記録!$Z$6:$Z$3005,V$5,請求記録!$AF$6:$AF$3005,"保留中")&gt;0,"保留",IF(COUNTIFS(請求記録!$B$6:$B$3005,$A350,請求記録!$Z$6:$Z$3005,V$5)=0,"",SUMIFS(請求記録!$AE$6:$AE$3005,請求記録!$B$6:$B$3005,$A350,請求記録!$Z$6:$Z$3005,V$5))))</f>
        <v/>
      </c>
      <c r="W350" s="19">
        <f>IF($A350="","",IF(COUNTIFS(請求記録!$B$6:$B$3005,$A350,請求記録!$Z$6:$Z$3005,W$5,請求記録!$AF$6:$AF$3005,"保留中")&gt;0,"保留",IF(COUNTIFS(請求記録!$B$6:$B$3005,$A350,請求記録!$Z$6:$Z$3005,W$5)=0,"",SUMIFS(請求記録!$AE$6:$AE$3005,請求記録!$B$6:$B$3005,$A350,請求記録!$Z$6:$Z$3005,W$5))))</f>
        <v/>
      </c>
      <c r="X350" s="19">
        <f>IF($A350="","",IF(COUNTIFS(請求記録!$B$6:$B$3005,$A350,請求記録!$Z$6:$Z$3005,X$5,請求記録!$AF$6:$AF$3005,"保留中")&gt;0,"保留",IF(COUNTIFS(請求記録!$B$6:$B$3005,$A350,請求記録!$Z$6:$Z$3005,X$5)=0,"",SUMIFS(請求記録!$AE$6:$AE$3005,請求記録!$B$6:$B$3005,$A350,請求記録!$Z$6:$Z$3005,X$5))))</f>
        <v/>
      </c>
      <c r="Y350" s="19">
        <f>IF($A350="","",IF(COUNTIFS(請求記録!$B$6:$B$3005,$A350,請求記録!$Z$6:$Z$3005,Y$5,請求記録!$AF$6:$AF$3005,"保留中")&gt;0,"保留",IF(COUNTIFS(請求記録!$B$6:$B$3005,$A350,請求記録!$Z$6:$Z$3005,Y$5)=0,"",SUMIFS(請求記録!$AE$6:$AE$3005,請求記録!$B$6:$B$3005,$A350,請求記録!$Z$6:$Z$3005,Y$5))))</f>
        <v/>
      </c>
      <c r="Z350" s="19">
        <f>IF($A350="","",IF(COUNTIFS(請求記録!$B$6:$B$3005,$A350,請求記録!$Z$6:$Z$3005,Z$5,請求記録!$AF$6:$AF$3005,"保留中")&gt;0,"保留",IF(COUNTIFS(請求記録!$B$6:$B$3005,$A350,請求記録!$Z$6:$Z$3005,Z$5)=0,"",SUMIFS(請求記録!$AE$6:$AE$3005,請求記録!$B$6:$B$3005,$A350,請求記録!$Z$6:$Z$3005,Z$5))))</f>
        <v/>
      </c>
      <c r="AA350" s="19">
        <f>IF($A350="","",IF(COUNTIFS(請求記録!$B$6:$B$3005,$A350,請求記録!$Z$6:$Z$3005,AA$5,請求記録!$AF$6:$AF$3005,"保留中")&gt;0,"保留",IF(COUNTIFS(請求記録!$B$6:$B$3005,$A350,請求記録!$Z$6:$Z$3005,AA$5)=0,"",SUMIFS(請求記録!$AE$6:$AE$3005,請求記録!$B$6:$B$3005,$A350,請求記録!$Z$6:$Z$3005,AA$5))))</f>
        <v/>
      </c>
      <c r="AB350">
        <f>IF(職員マスタ!P350="保留中",職員マスタ!M350,"")</f>
        <v/>
      </c>
    </row>
    <row r="351">
      <c r="A351">
        <f>IF(職員マスタ!A351="","",職員マスタ!A351)</f>
        <v/>
      </c>
      <c r="B351">
        <f>IF($A351="","",職員マスタ!B351)</f>
        <v/>
      </c>
      <c r="C351">
        <f>IF($A351="","",職員マスタ!C351)</f>
        <v/>
      </c>
      <c r="D351" s="19">
        <f>IF($A351="","",IF(COUNTIFS(請求記録!$B$6:$B$3005,$A351,請求記録!$Z$6:$Z$3005,D$5,請求記録!$AF$6:$AF$3005,"保留中")&gt;0,"保留",IF(COUNTIFS(請求記録!$B$6:$B$3005,$A351,請求記録!$Z$6:$Z$3005,D$5)=0,"",SUMIFS(請求記録!$AE$6:$AE$3005,請求記録!$B$6:$B$3005,$A351,請求記録!$Z$6:$Z$3005,D$5))))</f>
        <v/>
      </c>
      <c r="E351" s="19">
        <f>IF($A351="","",IF(COUNTIFS(請求記録!$B$6:$B$3005,$A351,請求記録!$Z$6:$Z$3005,E$5,請求記録!$AF$6:$AF$3005,"保留中")&gt;0,"保留",IF(COUNTIFS(請求記録!$B$6:$B$3005,$A351,請求記録!$Z$6:$Z$3005,E$5)=0,"",SUMIFS(請求記録!$AE$6:$AE$3005,請求記録!$B$6:$B$3005,$A351,請求記録!$Z$6:$Z$3005,E$5))))</f>
        <v/>
      </c>
      <c r="F351" s="19">
        <f>IF($A351="","",IF(COUNTIFS(請求記録!$B$6:$B$3005,$A351,請求記録!$Z$6:$Z$3005,F$5,請求記録!$AF$6:$AF$3005,"保留中")&gt;0,"保留",IF(COUNTIFS(請求記録!$B$6:$B$3005,$A351,請求記録!$Z$6:$Z$3005,F$5)=0,"",SUMIFS(請求記録!$AE$6:$AE$3005,請求記録!$B$6:$B$3005,$A351,請求記録!$Z$6:$Z$3005,F$5))))</f>
        <v/>
      </c>
      <c r="G351" s="19">
        <f>IF($A351="","",IF(COUNTIFS(請求記録!$B$6:$B$3005,$A351,請求記録!$Z$6:$Z$3005,G$5,請求記録!$AF$6:$AF$3005,"保留中")&gt;0,"保留",IF(COUNTIFS(請求記録!$B$6:$B$3005,$A351,請求記録!$Z$6:$Z$3005,G$5)=0,"",SUMIFS(請求記録!$AE$6:$AE$3005,請求記録!$B$6:$B$3005,$A351,請求記録!$Z$6:$Z$3005,G$5))))</f>
        <v/>
      </c>
      <c r="H351" s="19">
        <f>IF($A351="","",IF(COUNTIFS(請求記録!$B$6:$B$3005,$A351,請求記録!$Z$6:$Z$3005,H$5,請求記録!$AF$6:$AF$3005,"保留中")&gt;0,"保留",IF(COUNTIFS(請求記録!$B$6:$B$3005,$A351,請求記録!$Z$6:$Z$3005,H$5)=0,"",SUMIFS(請求記録!$AE$6:$AE$3005,請求記録!$B$6:$B$3005,$A351,請求記録!$Z$6:$Z$3005,H$5))))</f>
        <v/>
      </c>
      <c r="I351" s="19">
        <f>IF($A351="","",IF(COUNTIFS(請求記録!$B$6:$B$3005,$A351,請求記録!$Z$6:$Z$3005,I$5,請求記録!$AF$6:$AF$3005,"保留中")&gt;0,"保留",IF(COUNTIFS(請求記録!$B$6:$B$3005,$A351,請求記録!$Z$6:$Z$3005,I$5)=0,"",SUMIFS(請求記録!$AE$6:$AE$3005,請求記録!$B$6:$B$3005,$A351,請求記録!$Z$6:$Z$3005,I$5))))</f>
        <v/>
      </c>
      <c r="J351" s="19">
        <f>IF($A351="","",IF(COUNTIFS(請求記録!$B$6:$B$3005,$A351,請求記録!$Z$6:$Z$3005,J$5,請求記録!$AF$6:$AF$3005,"保留中")&gt;0,"保留",IF(COUNTIFS(請求記録!$B$6:$B$3005,$A351,請求記録!$Z$6:$Z$3005,J$5)=0,"",SUMIFS(請求記録!$AE$6:$AE$3005,請求記録!$B$6:$B$3005,$A351,請求記録!$Z$6:$Z$3005,J$5))))</f>
        <v/>
      </c>
      <c r="K351" s="19">
        <f>IF($A351="","",IF(COUNTIFS(請求記録!$B$6:$B$3005,$A351,請求記録!$Z$6:$Z$3005,K$5,請求記録!$AF$6:$AF$3005,"保留中")&gt;0,"保留",IF(COUNTIFS(請求記録!$B$6:$B$3005,$A351,請求記録!$Z$6:$Z$3005,K$5)=0,"",SUMIFS(請求記録!$AE$6:$AE$3005,請求記録!$B$6:$B$3005,$A351,請求記録!$Z$6:$Z$3005,K$5))))</f>
        <v/>
      </c>
      <c r="L351" s="19">
        <f>IF($A351="","",IF(COUNTIFS(請求記録!$B$6:$B$3005,$A351,請求記録!$Z$6:$Z$3005,L$5,請求記録!$AF$6:$AF$3005,"保留中")&gt;0,"保留",IF(COUNTIFS(請求記録!$B$6:$B$3005,$A351,請求記録!$Z$6:$Z$3005,L$5)=0,"",SUMIFS(請求記録!$AE$6:$AE$3005,請求記録!$B$6:$B$3005,$A351,請求記録!$Z$6:$Z$3005,L$5))))</f>
        <v/>
      </c>
      <c r="M351" s="19">
        <f>IF($A351="","",IF(COUNTIFS(請求記録!$B$6:$B$3005,$A351,請求記録!$Z$6:$Z$3005,M$5,請求記録!$AF$6:$AF$3005,"保留中")&gt;0,"保留",IF(COUNTIFS(請求記録!$B$6:$B$3005,$A351,請求記録!$Z$6:$Z$3005,M$5)=0,"",SUMIFS(請求記録!$AE$6:$AE$3005,請求記録!$B$6:$B$3005,$A351,請求記録!$Z$6:$Z$3005,M$5))))</f>
        <v/>
      </c>
      <c r="N351" s="19">
        <f>IF($A351="","",IF(COUNTIFS(請求記録!$B$6:$B$3005,$A351,請求記録!$Z$6:$Z$3005,N$5,請求記録!$AF$6:$AF$3005,"保留中")&gt;0,"保留",IF(COUNTIFS(請求記録!$B$6:$B$3005,$A351,請求記録!$Z$6:$Z$3005,N$5)=0,"",SUMIFS(請求記録!$AE$6:$AE$3005,請求記録!$B$6:$B$3005,$A351,請求記録!$Z$6:$Z$3005,N$5))))</f>
        <v/>
      </c>
      <c r="O351" s="19">
        <f>IF($A351="","",IF(COUNTIFS(請求記録!$B$6:$B$3005,$A351,請求記録!$Z$6:$Z$3005,O$5,請求記録!$AF$6:$AF$3005,"保留中")&gt;0,"保留",IF(COUNTIFS(請求記録!$B$6:$B$3005,$A351,請求記録!$Z$6:$Z$3005,O$5)=0,"",SUMIFS(請求記録!$AE$6:$AE$3005,請求記録!$B$6:$B$3005,$A351,請求記録!$Z$6:$Z$3005,O$5))))</f>
        <v/>
      </c>
      <c r="P351" s="19">
        <f>IF($A351="","",IF(COUNTIFS(請求記録!$B$6:$B$3005,$A351,請求記録!$Z$6:$Z$3005,P$5,請求記録!$AF$6:$AF$3005,"保留中")&gt;0,"保留",IF(COUNTIFS(請求記録!$B$6:$B$3005,$A351,請求記録!$Z$6:$Z$3005,P$5)=0,"",SUMIFS(請求記録!$AE$6:$AE$3005,請求記録!$B$6:$B$3005,$A351,請求記録!$Z$6:$Z$3005,P$5))))</f>
        <v/>
      </c>
      <c r="Q351" s="19">
        <f>IF($A351="","",IF(COUNTIFS(請求記録!$B$6:$B$3005,$A351,請求記録!$Z$6:$Z$3005,Q$5,請求記録!$AF$6:$AF$3005,"保留中")&gt;0,"保留",IF(COUNTIFS(請求記録!$B$6:$B$3005,$A351,請求記録!$Z$6:$Z$3005,Q$5)=0,"",SUMIFS(請求記録!$AE$6:$AE$3005,請求記録!$B$6:$B$3005,$A351,請求記録!$Z$6:$Z$3005,Q$5))))</f>
        <v/>
      </c>
      <c r="R351" s="19">
        <f>IF($A351="","",IF(COUNTIFS(請求記録!$B$6:$B$3005,$A351,請求記録!$Z$6:$Z$3005,R$5,請求記録!$AF$6:$AF$3005,"保留中")&gt;0,"保留",IF(COUNTIFS(請求記録!$B$6:$B$3005,$A351,請求記録!$Z$6:$Z$3005,R$5)=0,"",SUMIFS(請求記録!$AE$6:$AE$3005,請求記録!$B$6:$B$3005,$A351,請求記録!$Z$6:$Z$3005,R$5))))</f>
        <v/>
      </c>
      <c r="S351" s="19">
        <f>IF($A351="","",IF(COUNTIFS(請求記録!$B$6:$B$3005,$A351,請求記録!$Z$6:$Z$3005,S$5,請求記録!$AF$6:$AF$3005,"保留中")&gt;0,"保留",IF(COUNTIFS(請求記録!$B$6:$B$3005,$A351,請求記録!$Z$6:$Z$3005,S$5)=0,"",SUMIFS(請求記録!$AE$6:$AE$3005,請求記録!$B$6:$B$3005,$A351,請求記録!$Z$6:$Z$3005,S$5))))</f>
        <v/>
      </c>
      <c r="T351" s="19">
        <f>IF($A351="","",IF(COUNTIFS(請求記録!$B$6:$B$3005,$A351,請求記録!$Z$6:$Z$3005,T$5,請求記録!$AF$6:$AF$3005,"保留中")&gt;0,"保留",IF(COUNTIFS(請求記録!$B$6:$B$3005,$A351,請求記録!$Z$6:$Z$3005,T$5)=0,"",SUMIFS(請求記録!$AE$6:$AE$3005,請求記録!$B$6:$B$3005,$A351,請求記録!$Z$6:$Z$3005,T$5))))</f>
        <v/>
      </c>
      <c r="U351" s="19">
        <f>IF($A351="","",IF(COUNTIFS(請求記録!$B$6:$B$3005,$A351,請求記録!$Z$6:$Z$3005,U$5,請求記録!$AF$6:$AF$3005,"保留中")&gt;0,"保留",IF(COUNTIFS(請求記録!$B$6:$B$3005,$A351,請求記録!$Z$6:$Z$3005,U$5)=0,"",SUMIFS(請求記録!$AE$6:$AE$3005,請求記録!$B$6:$B$3005,$A351,請求記録!$Z$6:$Z$3005,U$5))))</f>
        <v/>
      </c>
      <c r="V351" s="19">
        <f>IF($A351="","",IF(COUNTIFS(請求記録!$B$6:$B$3005,$A351,請求記録!$Z$6:$Z$3005,V$5,請求記録!$AF$6:$AF$3005,"保留中")&gt;0,"保留",IF(COUNTIFS(請求記録!$B$6:$B$3005,$A351,請求記録!$Z$6:$Z$3005,V$5)=0,"",SUMIFS(請求記録!$AE$6:$AE$3005,請求記録!$B$6:$B$3005,$A351,請求記録!$Z$6:$Z$3005,V$5))))</f>
        <v/>
      </c>
      <c r="W351" s="19">
        <f>IF($A351="","",IF(COUNTIFS(請求記録!$B$6:$B$3005,$A351,請求記録!$Z$6:$Z$3005,W$5,請求記録!$AF$6:$AF$3005,"保留中")&gt;0,"保留",IF(COUNTIFS(請求記録!$B$6:$B$3005,$A351,請求記録!$Z$6:$Z$3005,W$5)=0,"",SUMIFS(請求記録!$AE$6:$AE$3005,請求記録!$B$6:$B$3005,$A351,請求記録!$Z$6:$Z$3005,W$5))))</f>
        <v/>
      </c>
      <c r="X351" s="19">
        <f>IF($A351="","",IF(COUNTIFS(請求記録!$B$6:$B$3005,$A351,請求記録!$Z$6:$Z$3005,X$5,請求記録!$AF$6:$AF$3005,"保留中")&gt;0,"保留",IF(COUNTIFS(請求記録!$B$6:$B$3005,$A351,請求記録!$Z$6:$Z$3005,X$5)=0,"",SUMIFS(請求記録!$AE$6:$AE$3005,請求記録!$B$6:$B$3005,$A351,請求記録!$Z$6:$Z$3005,X$5))))</f>
        <v/>
      </c>
      <c r="Y351" s="19">
        <f>IF($A351="","",IF(COUNTIFS(請求記録!$B$6:$B$3005,$A351,請求記録!$Z$6:$Z$3005,Y$5,請求記録!$AF$6:$AF$3005,"保留中")&gt;0,"保留",IF(COUNTIFS(請求記録!$B$6:$B$3005,$A351,請求記録!$Z$6:$Z$3005,Y$5)=0,"",SUMIFS(請求記録!$AE$6:$AE$3005,請求記録!$B$6:$B$3005,$A351,請求記録!$Z$6:$Z$3005,Y$5))))</f>
        <v/>
      </c>
      <c r="Z351" s="19">
        <f>IF($A351="","",IF(COUNTIFS(請求記録!$B$6:$B$3005,$A351,請求記録!$Z$6:$Z$3005,Z$5,請求記録!$AF$6:$AF$3005,"保留中")&gt;0,"保留",IF(COUNTIFS(請求記録!$B$6:$B$3005,$A351,請求記録!$Z$6:$Z$3005,Z$5)=0,"",SUMIFS(請求記録!$AE$6:$AE$3005,請求記録!$B$6:$B$3005,$A351,請求記録!$Z$6:$Z$3005,Z$5))))</f>
        <v/>
      </c>
      <c r="AA351" s="19">
        <f>IF($A351="","",IF(COUNTIFS(請求記録!$B$6:$B$3005,$A351,請求記録!$Z$6:$Z$3005,AA$5,請求記録!$AF$6:$AF$3005,"保留中")&gt;0,"保留",IF(COUNTIFS(請求記録!$B$6:$B$3005,$A351,請求記録!$Z$6:$Z$3005,AA$5)=0,"",SUMIFS(請求記録!$AE$6:$AE$3005,請求記録!$B$6:$B$3005,$A351,請求記録!$Z$6:$Z$3005,AA$5))))</f>
        <v/>
      </c>
      <c r="AB351">
        <f>IF(職員マスタ!P351="保留中",職員マスタ!M351,"")</f>
        <v/>
      </c>
    </row>
    <row r="352">
      <c r="A352">
        <f>IF(職員マスタ!A352="","",職員マスタ!A352)</f>
        <v/>
      </c>
      <c r="B352">
        <f>IF($A352="","",職員マスタ!B352)</f>
        <v/>
      </c>
      <c r="C352">
        <f>IF($A352="","",職員マスタ!C352)</f>
        <v/>
      </c>
      <c r="D352" s="19">
        <f>IF($A352="","",IF(COUNTIFS(請求記録!$B$6:$B$3005,$A352,請求記録!$Z$6:$Z$3005,D$5,請求記録!$AF$6:$AF$3005,"保留中")&gt;0,"保留",IF(COUNTIFS(請求記録!$B$6:$B$3005,$A352,請求記録!$Z$6:$Z$3005,D$5)=0,"",SUMIFS(請求記録!$AE$6:$AE$3005,請求記録!$B$6:$B$3005,$A352,請求記録!$Z$6:$Z$3005,D$5))))</f>
        <v/>
      </c>
      <c r="E352" s="19">
        <f>IF($A352="","",IF(COUNTIFS(請求記録!$B$6:$B$3005,$A352,請求記録!$Z$6:$Z$3005,E$5,請求記録!$AF$6:$AF$3005,"保留中")&gt;0,"保留",IF(COUNTIFS(請求記録!$B$6:$B$3005,$A352,請求記録!$Z$6:$Z$3005,E$5)=0,"",SUMIFS(請求記録!$AE$6:$AE$3005,請求記録!$B$6:$B$3005,$A352,請求記録!$Z$6:$Z$3005,E$5))))</f>
        <v/>
      </c>
      <c r="F352" s="19">
        <f>IF($A352="","",IF(COUNTIFS(請求記録!$B$6:$B$3005,$A352,請求記録!$Z$6:$Z$3005,F$5,請求記録!$AF$6:$AF$3005,"保留中")&gt;0,"保留",IF(COUNTIFS(請求記録!$B$6:$B$3005,$A352,請求記録!$Z$6:$Z$3005,F$5)=0,"",SUMIFS(請求記録!$AE$6:$AE$3005,請求記録!$B$6:$B$3005,$A352,請求記録!$Z$6:$Z$3005,F$5))))</f>
        <v/>
      </c>
      <c r="G352" s="19">
        <f>IF($A352="","",IF(COUNTIFS(請求記録!$B$6:$B$3005,$A352,請求記録!$Z$6:$Z$3005,G$5,請求記録!$AF$6:$AF$3005,"保留中")&gt;0,"保留",IF(COUNTIFS(請求記録!$B$6:$B$3005,$A352,請求記録!$Z$6:$Z$3005,G$5)=0,"",SUMIFS(請求記録!$AE$6:$AE$3005,請求記録!$B$6:$B$3005,$A352,請求記録!$Z$6:$Z$3005,G$5))))</f>
        <v/>
      </c>
      <c r="H352" s="19">
        <f>IF($A352="","",IF(COUNTIFS(請求記録!$B$6:$B$3005,$A352,請求記録!$Z$6:$Z$3005,H$5,請求記録!$AF$6:$AF$3005,"保留中")&gt;0,"保留",IF(COUNTIFS(請求記録!$B$6:$B$3005,$A352,請求記録!$Z$6:$Z$3005,H$5)=0,"",SUMIFS(請求記録!$AE$6:$AE$3005,請求記録!$B$6:$B$3005,$A352,請求記録!$Z$6:$Z$3005,H$5))))</f>
        <v/>
      </c>
      <c r="I352" s="19">
        <f>IF($A352="","",IF(COUNTIFS(請求記録!$B$6:$B$3005,$A352,請求記録!$Z$6:$Z$3005,I$5,請求記録!$AF$6:$AF$3005,"保留中")&gt;0,"保留",IF(COUNTIFS(請求記録!$B$6:$B$3005,$A352,請求記録!$Z$6:$Z$3005,I$5)=0,"",SUMIFS(請求記録!$AE$6:$AE$3005,請求記録!$B$6:$B$3005,$A352,請求記録!$Z$6:$Z$3005,I$5))))</f>
        <v/>
      </c>
      <c r="J352" s="19">
        <f>IF($A352="","",IF(COUNTIFS(請求記録!$B$6:$B$3005,$A352,請求記録!$Z$6:$Z$3005,J$5,請求記録!$AF$6:$AF$3005,"保留中")&gt;0,"保留",IF(COUNTIFS(請求記録!$B$6:$B$3005,$A352,請求記録!$Z$6:$Z$3005,J$5)=0,"",SUMIFS(請求記録!$AE$6:$AE$3005,請求記録!$B$6:$B$3005,$A352,請求記録!$Z$6:$Z$3005,J$5))))</f>
        <v/>
      </c>
      <c r="K352" s="19">
        <f>IF($A352="","",IF(COUNTIFS(請求記録!$B$6:$B$3005,$A352,請求記録!$Z$6:$Z$3005,K$5,請求記録!$AF$6:$AF$3005,"保留中")&gt;0,"保留",IF(COUNTIFS(請求記録!$B$6:$B$3005,$A352,請求記録!$Z$6:$Z$3005,K$5)=0,"",SUMIFS(請求記録!$AE$6:$AE$3005,請求記録!$B$6:$B$3005,$A352,請求記録!$Z$6:$Z$3005,K$5))))</f>
        <v/>
      </c>
      <c r="L352" s="19">
        <f>IF($A352="","",IF(COUNTIFS(請求記録!$B$6:$B$3005,$A352,請求記録!$Z$6:$Z$3005,L$5,請求記録!$AF$6:$AF$3005,"保留中")&gt;0,"保留",IF(COUNTIFS(請求記録!$B$6:$B$3005,$A352,請求記録!$Z$6:$Z$3005,L$5)=0,"",SUMIFS(請求記録!$AE$6:$AE$3005,請求記録!$B$6:$B$3005,$A352,請求記録!$Z$6:$Z$3005,L$5))))</f>
        <v/>
      </c>
      <c r="M352" s="19">
        <f>IF($A352="","",IF(COUNTIFS(請求記録!$B$6:$B$3005,$A352,請求記録!$Z$6:$Z$3005,M$5,請求記録!$AF$6:$AF$3005,"保留中")&gt;0,"保留",IF(COUNTIFS(請求記録!$B$6:$B$3005,$A352,請求記録!$Z$6:$Z$3005,M$5)=0,"",SUMIFS(請求記録!$AE$6:$AE$3005,請求記録!$B$6:$B$3005,$A352,請求記録!$Z$6:$Z$3005,M$5))))</f>
        <v/>
      </c>
      <c r="N352" s="19">
        <f>IF($A352="","",IF(COUNTIFS(請求記録!$B$6:$B$3005,$A352,請求記録!$Z$6:$Z$3005,N$5,請求記録!$AF$6:$AF$3005,"保留中")&gt;0,"保留",IF(COUNTIFS(請求記録!$B$6:$B$3005,$A352,請求記録!$Z$6:$Z$3005,N$5)=0,"",SUMIFS(請求記録!$AE$6:$AE$3005,請求記録!$B$6:$B$3005,$A352,請求記録!$Z$6:$Z$3005,N$5))))</f>
        <v/>
      </c>
      <c r="O352" s="19">
        <f>IF($A352="","",IF(COUNTIFS(請求記録!$B$6:$B$3005,$A352,請求記録!$Z$6:$Z$3005,O$5,請求記録!$AF$6:$AF$3005,"保留中")&gt;0,"保留",IF(COUNTIFS(請求記録!$B$6:$B$3005,$A352,請求記録!$Z$6:$Z$3005,O$5)=0,"",SUMIFS(請求記録!$AE$6:$AE$3005,請求記録!$B$6:$B$3005,$A352,請求記録!$Z$6:$Z$3005,O$5))))</f>
        <v/>
      </c>
      <c r="P352" s="19">
        <f>IF($A352="","",IF(COUNTIFS(請求記録!$B$6:$B$3005,$A352,請求記録!$Z$6:$Z$3005,P$5,請求記録!$AF$6:$AF$3005,"保留中")&gt;0,"保留",IF(COUNTIFS(請求記録!$B$6:$B$3005,$A352,請求記録!$Z$6:$Z$3005,P$5)=0,"",SUMIFS(請求記録!$AE$6:$AE$3005,請求記録!$B$6:$B$3005,$A352,請求記録!$Z$6:$Z$3005,P$5))))</f>
        <v/>
      </c>
      <c r="Q352" s="19">
        <f>IF($A352="","",IF(COUNTIFS(請求記録!$B$6:$B$3005,$A352,請求記録!$Z$6:$Z$3005,Q$5,請求記録!$AF$6:$AF$3005,"保留中")&gt;0,"保留",IF(COUNTIFS(請求記録!$B$6:$B$3005,$A352,請求記録!$Z$6:$Z$3005,Q$5)=0,"",SUMIFS(請求記録!$AE$6:$AE$3005,請求記録!$B$6:$B$3005,$A352,請求記録!$Z$6:$Z$3005,Q$5))))</f>
        <v/>
      </c>
      <c r="R352" s="19">
        <f>IF($A352="","",IF(COUNTIFS(請求記録!$B$6:$B$3005,$A352,請求記録!$Z$6:$Z$3005,R$5,請求記録!$AF$6:$AF$3005,"保留中")&gt;0,"保留",IF(COUNTIFS(請求記録!$B$6:$B$3005,$A352,請求記録!$Z$6:$Z$3005,R$5)=0,"",SUMIFS(請求記録!$AE$6:$AE$3005,請求記録!$B$6:$B$3005,$A352,請求記録!$Z$6:$Z$3005,R$5))))</f>
        <v/>
      </c>
      <c r="S352" s="19">
        <f>IF($A352="","",IF(COUNTIFS(請求記録!$B$6:$B$3005,$A352,請求記録!$Z$6:$Z$3005,S$5,請求記録!$AF$6:$AF$3005,"保留中")&gt;0,"保留",IF(COUNTIFS(請求記録!$B$6:$B$3005,$A352,請求記録!$Z$6:$Z$3005,S$5)=0,"",SUMIFS(請求記録!$AE$6:$AE$3005,請求記録!$B$6:$B$3005,$A352,請求記録!$Z$6:$Z$3005,S$5))))</f>
        <v/>
      </c>
      <c r="T352" s="19">
        <f>IF($A352="","",IF(COUNTIFS(請求記録!$B$6:$B$3005,$A352,請求記録!$Z$6:$Z$3005,T$5,請求記録!$AF$6:$AF$3005,"保留中")&gt;0,"保留",IF(COUNTIFS(請求記録!$B$6:$B$3005,$A352,請求記録!$Z$6:$Z$3005,T$5)=0,"",SUMIFS(請求記録!$AE$6:$AE$3005,請求記録!$B$6:$B$3005,$A352,請求記録!$Z$6:$Z$3005,T$5))))</f>
        <v/>
      </c>
      <c r="U352" s="19">
        <f>IF($A352="","",IF(COUNTIFS(請求記録!$B$6:$B$3005,$A352,請求記録!$Z$6:$Z$3005,U$5,請求記録!$AF$6:$AF$3005,"保留中")&gt;0,"保留",IF(COUNTIFS(請求記録!$B$6:$B$3005,$A352,請求記録!$Z$6:$Z$3005,U$5)=0,"",SUMIFS(請求記録!$AE$6:$AE$3005,請求記録!$B$6:$B$3005,$A352,請求記録!$Z$6:$Z$3005,U$5))))</f>
        <v/>
      </c>
      <c r="V352" s="19">
        <f>IF($A352="","",IF(COUNTIFS(請求記録!$B$6:$B$3005,$A352,請求記録!$Z$6:$Z$3005,V$5,請求記録!$AF$6:$AF$3005,"保留中")&gt;0,"保留",IF(COUNTIFS(請求記録!$B$6:$B$3005,$A352,請求記録!$Z$6:$Z$3005,V$5)=0,"",SUMIFS(請求記録!$AE$6:$AE$3005,請求記録!$B$6:$B$3005,$A352,請求記録!$Z$6:$Z$3005,V$5))))</f>
        <v/>
      </c>
      <c r="W352" s="19">
        <f>IF($A352="","",IF(COUNTIFS(請求記録!$B$6:$B$3005,$A352,請求記録!$Z$6:$Z$3005,W$5,請求記録!$AF$6:$AF$3005,"保留中")&gt;0,"保留",IF(COUNTIFS(請求記録!$B$6:$B$3005,$A352,請求記録!$Z$6:$Z$3005,W$5)=0,"",SUMIFS(請求記録!$AE$6:$AE$3005,請求記録!$B$6:$B$3005,$A352,請求記録!$Z$6:$Z$3005,W$5))))</f>
        <v/>
      </c>
      <c r="X352" s="19">
        <f>IF($A352="","",IF(COUNTIFS(請求記録!$B$6:$B$3005,$A352,請求記録!$Z$6:$Z$3005,X$5,請求記録!$AF$6:$AF$3005,"保留中")&gt;0,"保留",IF(COUNTIFS(請求記録!$B$6:$B$3005,$A352,請求記録!$Z$6:$Z$3005,X$5)=0,"",SUMIFS(請求記録!$AE$6:$AE$3005,請求記録!$B$6:$B$3005,$A352,請求記録!$Z$6:$Z$3005,X$5))))</f>
        <v/>
      </c>
      <c r="Y352" s="19">
        <f>IF($A352="","",IF(COUNTIFS(請求記録!$B$6:$B$3005,$A352,請求記録!$Z$6:$Z$3005,Y$5,請求記録!$AF$6:$AF$3005,"保留中")&gt;0,"保留",IF(COUNTIFS(請求記録!$B$6:$B$3005,$A352,請求記録!$Z$6:$Z$3005,Y$5)=0,"",SUMIFS(請求記録!$AE$6:$AE$3005,請求記録!$B$6:$B$3005,$A352,請求記録!$Z$6:$Z$3005,Y$5))))</f>
        <v/>
      </c>
      <c r="Z352" s="19">
        <f>IF($A352="","",IF(COUNTIFS(請求記録!$B$6:$B$3005,$A352,請求記録!$Z$6:$Z$3005,Z$5,請求記録!$AF$6:$AF$3005,"保留中")&gt;0,"保留",IF(COUNTIFS(請求記録!$B$6:$B$3005,$A352,請求記録!$Z$6:$Z$3005,Z$5)=0,"",SUMIFS(請求記録!$AE$6:$AE$3005,請求記録!$B$6:$B$3005,$A352,請求記録!$Z$6:$Z$3005,Z$5))))</f>
        <v/>
      </c>
      <c r="AA352" s="19">
        <f>IF($A352="","",IF(COUNTIFS(請求記録!$B$6:$B$3005,$A352,請求記録!$Z$6:$Z$3005,AA$5,請求記録!$AF$6:$AF$3005,"保留中")&gt;0,"保留",IF(COUNTIFS(請求記録!$B$6:$B$3005,$A352,請求記録!$Z$6:$Z$3005,AA$5)=0,"",SUMIFS(請求記録!$AE$6:$AE$3005,請求記録!$B$6:$B$3005,$A352,請求記録!$Z$6:$Z$3005,AA$5))))</f>
        <v/>
      </c>
      <c r="AB352">
        <f>IF(職員マスタ!P352="保留中",職員マスタ!M352,"")</f>
        <v/>
      </c>
    </row>
    <row r="353">
      <c r="A353">
        <f>IF(職員マスタ!A353="","",職員マスタ!A353)</f>
        <v/>
      </c>
      <c r="B353">
        <f>IF($A353="","",職員マスタ!B353)</f>
        <v/>
      </c>
      <c r="C353">
        <f>IF($A353="","",職員マスタ!C353)</f>
        <v/>
      </c>
      <c r="D353" s="19">
        <f>IF($A353="","",IF(COUNTIFS(請求記録!$B$6:$B$3005,$A353,請求記録!$Z$6:$Z$3005,D$5,請求記録!$AF$6:$AF$3005,"保留中")&gt;0,"保留",IF(COUNTIFS(請求記録!$B$6:$B$3005,$A353,請求記録!$Z$6:$Z$3005,D$5)=0,"",SUMIFS(請求記録!$AE$6:$AE$3005,請求記録!$B$6:$B$3005,$A353,請求記録!$Z$6:$Z$3005,D$5))))</f>
        <v/>
      </c>
      <c r="E353" s="19">
        <f>IF($A353="","",IF(COUNTIFS(請求記録!$B$6:$B$3005,$A353,請求記録!$Z$6:$Z$3005,E$5,請求記録!$AF$6:$AF$3005,"保留中")&gt;0,"保留",IF(COUNTIFS(請求記録!$B$6:$B$3005,$A353,請求記録!$Z$6:$Z$3005,E$5)=0,"",SUMIFS(請求記録!$AE$6:$AE$3005,請求記録!$B$6:$B$3005,$A353,請求記録!$Z$6:$Z$3005,E$5))))</f>
        <v/>
      </c>
      <c r="F353" s="19">
        <f>IF($A353="","",IF(COUNTIFS(請求記録!$B$6:$B$3005,$A353,請求記録!$Z$6:$Z$3005,F$5,請求記録!$AF$6:$AF$3005,"保留中")&gt;0,"保留",IF(COUNTIFS(請求記録!$B$6:$B$3005,$A353,請求記録!$Z$6:$Z$3005,F$5)=0,"",SUMIFS(請求記録!$AE$6:$AE$3005,請求記録!$B$6:$B$3005,$A353,請求記録!$Z$6:$Z$3005,F$5))))</f>
        <v/>
      </c>
      <c r="G353" s="19">
        <f>IF($A353="","",IF(COUNTIFS(請求記録!$B$6:$B$3005,$A353,請求記録!$Z$6:$Z$3005,G$5,請求記録!$AF$6:$AF$3005,"保留中")&gt;0,"保留",IF(COUNTIFS(請求記録!$B$6:$B$3005,$A353,請求記録!$Z$6:$Z$3005,G$5)=0,"",SUMIFS(請求記録!$AE$6:$AE$3005,請求記録!$B$6:$B$3005,$A353,請求記録!$Z$6:$Z$3005,G$5))))</f>
        <v/>
      </c>
      <c r="H353" s="19">
        <f>IF($A353="","",IF(COUNTIFS(請求記録!$B$6:$B$3005,$A353,請求記録!$Z$6:$Z$3005,H$5,請求記録!$AF$6:$AF$3005,"保留中")&gt;0,"保留",IF(COUNTIFS(請求記録!$B$6:$B$3005,$A353,請求記録!$Z$6:$Z$3005,H$5)=0,"",SUMIFS(請求記録!$AE$6:$AE$3005,請求記録!$B$6:$B$3005,$A353,請求記録!$Z$6:$Z$3005,H$5))))</f>
        <v/>
      </c>
      <c r="I353" s="19">
        <f>IF($A353="","",IF(COUNTIFS(請求記録!$B$6:$B$3005,$A353,請求記録!$Z$6:$Z$3005,I$5,請求記録!$AF$6:$AF$3005,"保留中")&gt;0,"保留",IF(COUNTIFS(請求記録!$B$6:$B$3005,$A353,請求記録!$Z$6:$Z$3005,I$5)=0,"",SUMIFS(請求記録!$AE$6:$AE$3005,請求記録!$B$6:$B$3005,$A353,請求記録!$Z$6:$Z$3005,I$5))))</f>
        <v/>
      </c>
      <c r="J353" s="19">
        <f>IF($A353="","",IF(COUNTIFS(請求記録!$B$6:$B$3005,$A353,請求記録!$Z$6:$Z$3005,J$5,請求記録!$AF$6:$AF$3005,"保留中")&gt;0,"保留",IF(COUNTIFS(請求記録!$B$6:$B$3005,$A353,請求記録!$Z$6:$Z$3005,J$5)=0,"",SUMIFS(請求記録!$AE$6:$AE$3005,請求記録!$B$6:$B$3005,$A353,請求記録!$Z$6:$Z$3005,J$5))))</f>
        <v/>
      </c>
      <c r="K353" s="19">
        <f>IF($A353="","",IF(COUNTIFS(請求記録!$B$6:$B$3005,$A353,請求記録!$Z$6:$Z$3005,K$5,請求記録!$AF$6:$AF$3005,"保留中")&gt;0,"保留",IF(COUNTIFS(請求記録!$B$6:$B$3005,$A353,請求記録!$Z$6:$Z$3005,K$5)=0,"",SUMIFS(請求記録!$AE$6:$AE$3005,請求記録!$B$6:$B$3005,$A353,請求記録!$Z$6:$Z$3005,K$5))))</f>
        <v/>
      </c>
      <c r="L353" s="19">
        <f>IF($A353="","",IF(COUNTIFS(請求記録!$B$6:$B$3005,$A353,請求記録!$Z$6:$Z$3005,L$5,請求記録!$AF$6:$AF$3005,"保留中")&gt;0,"保留",IF(COUNTIFS(請求記録!$B$6:$B$3005,$A353,請求記録!$Z$6:$Z$3005,L$5)=0,"",SUMIFS(請求記録!$AE$6:$AE$3005,請求記録!$B$6:$B$3005,$A353,請求記録!$Z$6:$Z$3005,L$5))))</f>
        <v/>
      </c>
      <c r="M353" s="19">
        <f>IF($A353="","",IF(COUNTIFS(請求記録!$B$6:$B$3005,$A353,請求記録!$Z$6:$Z$3005,M$5,請求記録!$AF$6:$AF$3005,"保留中")&gt;0,"保留",IF(COUNTIFS(請求記録!$B$6:$B$3005,$A353,請求記録!$Z$6:$Z$3005,M$5)=0,"",SUMIFS(請求記録!$AE$6:$AE$3005,請求記録!$B$6:$B$3005,$A353,請求記録!$Z$6:$Z$3005,M$5))))</f>
        <v/>
      </c>
      <c r="N353" s="19">
        <f>IF($A353="","",IF(COUNTIFS(請求記録!$B$6:$B$3005,$A353,請求記録!$Z$6:$Z$3005,N$5,請求記録!$AF$6:$AF$3005,"保留中")&gt;0,"保留",IF(COUNTIFS(請求記録!$B$6:$B$3005,$A353,請求記録!$Z$6:$Z$3005,N$5)=0,"",SUMIFS(請求記録!$AE$6:$AE$3005,請求記録!$B$6:$B$3005,$A353,請求記録!$Z$6:$Z$3005,N$5))))</f>
        <v/>
      </c>
      <c r="O353" s="19">
        <f>IF($A353="","",IF(COUNTIFS(請求記録!$B$6:$B$3005,$A353,請求記録!$Z$6:$Z$3005,O$5,請求記録!$AF$6:$AF$3005,"保留中")&gt;0,"保留",IF(COUNTIFS(請求記録!$B$6:$B$3005,$A353,請求記録!$Z$6:$Z$3005,O$5)=0,"",SUMIFS(請求記録!$AE$6:$AE$3005,請求記録!$B$6:$B$3005,$A353,請求記録!$Z$6:$Z$3005,O$5))))</f>
        <v/>
      </c>
      <c r="P353" s="19">
        <f>IF($A353="","",IF(COUNTIFS(請求記録!$B$6:$B$3005,$A353,請求記録!$Z$6:$Z$3005,P$5,請求記録!$AF$6:$AF$3005,"保留中")&gt;0,"保留",IF(COUNTIFS(請求記録!$B$6:$B$3005,$A353,請求記録!$Z$6:$Z$3005,P$5)=0,"",SUMIFS(請求記録!$AE$6:$AE$3005,請求記録!$B$6:$B$3005,$A353,請求記録!$Z$6:$Z$3005,P$5))))</f>
        <v/>
      </c>
      <c r="Q353" s="19">
        <f>IF($A353="","",IF(COUNTIFS(請求記録!$B$6:$B$3005,$A353,請求記録!$Z$6:$Z$3005,Q$5,請求記録!$AF$6:$AF$3005,"保留中")&gt;0,"保留",IF(COUNTIFS(請求記録!$B$6:$B$3005,$A353,請求記録!$Z$6:$Z$3005,Q$5)=0,"",SUMIFS(請求記録!$AE$6:$AE$3005,請求記録!$B$6:$B$3005,$A353,請求記録!$Z$6:$Z$3005,Q$5))))</f>
        <v/>
      </c>
      <c r="R353" s="19">
        <f>IF($A353="","",IF(COUNTIFS(請求記録!$B$6:$B$3005,$A353,請求記録!$Z$6:$Z$3005,R$5,請求記録!$AF$6:$AF$3005,"保留中")&gt;0,"保留",IF(COUNTIFS(請求記録!$B$6:$B$3005,$A353,請求記録!$Z$6:$Z$3005,R$5)=0,"",SUMIFS(請求記録!$AE$6:$AE$3005,請求記録!$B$6:$B$3005,$A353,請求記録!$Z$6:$Z$3005,R$5))))</f>
        <v/>
      </c>
      <c r="S353" s="19">
        <f>IF($A353="","",IF(COUNTIFS(請求記録!$B$6:$B$3005,$A353,請求記録!$Z$6:$Z$3005,S$5,請求記録!$AF$6:$AF$3005,"保留中")&gt;0,"保留",IF(COUNTIFS(請求記録!$B$6:$B$3005,$A353,請求記録!$Z$6:$Z$3005,S$5)=0,"",SUMIFS(請求記録!$AE$6:$AE$3005,請求記録!$B$6:$B$3005,$A353,請求記録!$Z$6:$Z$3005,S$5))))</f>
        <v/>
      </c>
      <c r="T353" s="19">
        <f>IF($A353="","",IF(COUNTIFS(請求記録!$B$6:$B$3005,$A353,請求記録!$Z$6:$Z$3005,T$5,請求記録!$AF$6:$AF$3005,"保留中")&gt;0,"保留",IF(COUNTIFS(請求記録!$B$6:$B$3005,$A353,請求記録!$Z$6:$Z$3005,T$5)=0,"",SUMIFS(請求記録!$AE$6:$AE$3005,請求記録!$B$6:$B$3005,$A353,請求記録!$Z$6:$Z$3005,T$5))))</f>
        <v/>
      </c>
      <c r="U353" s="19">
        <f>IF($A353="","",IF(COUNTIFS(請求記録!$B$6:$B$3005,$A353,請求記録!$Z$6:$Z$3005,U$5,請求記録!$AF$6:$AF$3005,"保留中")&gt;0,"保留",IF(COUNTIFS(請求記録!$B$6:$B$3005,$A353,請求記録!$Z$6:$Z$3005,U$5)=0,"",SUMIFS(請求記録!$AE$6:$AE$3005,請求記録!$B$6:$B$3005,$A353,請求記録!$Z$6:$Z$3005,U$5))))</f>
        <v/>
      </c>
      <c r="V353" s="19">
        <f>IF($A353="","",IF(COUNTIFS(請求記録!$B$6:$B$3005,$A353,請求記録!$Z$6:$Z$3005,V$5,請求記録!$AF$6:$AF$3005,"保留中")&gt;0,"保留",IF(COUNTIFS(請求記録!$B$6:$B$3005,$A353,請求記録!$Z$6:$Z$3005,V$5)=0,"",SUMIFS(請求記録!$AE$6:$AE$3005,請求記録!$B$6:$B$3005,$A353,請求記録!$Z$6:$Z$3005,V$5))))</f>
        <v/>
      </c>
      <c r="W353" s="19">
        <f>IF($A353="","",IF(COUNTIFS(請求記録!$B$6:$B$3005,$A353,請求記録!$Z$6:$Z$3005,W$5,請求記録!$AF$6:$AF$3005,"保留中")&gt;0,"保留",IF(COUNTIFS(請求記録!$B$6:$B$3005,$A353,請求記録!$Z$6:$Z$3005,W$5)=0,"",SUMIFS(請求記録!$AE$6:$AE$3005,請求記録!$B$6:$B$3005,$A353,請求記録!$Z$6:$Z$3005,W$5))))</f>
        <v/>
      </c>
      <c r="X353" s="19">
        <f>IF($A353="","",IF(COUNTIFS(請求記録!$B$6:$B$3005,$A353,請求記録!$Z$6:$Z$3005,X$5,請求記録!$AF$6:$AF$3005,"保留中")&gt;0,"保留",IF(COUNTIFS(請求記録!$B$6:$B$3005,$A353,請求記録!$Z$6:$Z$3005,X$5)=0,"",SUMIFS(請求記録!$AE$6:$AE$3005,請求記録!$B$6:$B$3005,$A353,請求記録!$Z$6:$Z$3005,X$5))))</f>
        <v/>
      </c>
      <c r="Y353" s="19">
        <f>IF($A353="","",IF(COUNTIFS(請求記録!$B$6:$B$3005,$A353,請求記録!$Z$6:$Z$3005,Y$5,請求記録!$AF$6:$AF$3005,"保留中")&gt;0,"保留",IF(COUNTIFS(請求記録!$B$6:$B$3005,$A353,請求記録!$Z$6:$Z$3005,Y$5)=0,"",SUMIFS(請求記録!$AE$6:$AE$3005,請求記録!$B$6:$B$3005,$A353,請求記録!$Z$6:$Z$3005,Y$5))))</f>
        <v/>
      </c>
      <c r="Z353" s="19">
        <f>IF($A353="","",IF(COUNTIFS(請求記録!$B$6:$B$3005,$A353,請求記録!$Z$6:$Z$3005,Z$5,請求記録!$AF$6:$AF$3005,"保留中")&gt;0,"保留",IF(COUNTIFS(請求記録!$B$6:$B$3005,$A353,請求記録!$Z$6:$Z$3005,Z$5)=0,"",SUMIFS(請求記録!$AE$6:$AE$3005,請求記録!$B$6:$B$3005,$A353,請求記録!$Z$6:$Z$3005,Z$5))))</f>
        <v/>
      </c>
      <c r="AA353" s="19">
        <f>IF($A353="","",IF(COUNTIFS(請求記録!$B$6:$B$3005,$A353,請求記録!$Z$6:$Z$3005,AA$5,請求記録!$AF$6:$AF$3005,"保留中")&gt;0,"保留",IF(COUNTIFS(請求記録!$B$6:$B$3005,$A353,請求記録!$Z$6:$Z$3005,AA$5)=0,"",SUMIFS(請求記録!$AE$6:$AE$3005,請求記録!$B$6:$B$3005,$A353,請求記録!$Z$6:$Z$3005,AA$5))))</f>
        <v/>
      </c>
      <c r="AB353">
        <f>IF(職員マスタ!P353="保留中",職員マスタ!M353,"")</f>
        <v/>
      </c>
    </row>
    <row r="354">
      <c r="A354">
        <f>IF(職員マスタ!A354="","",職員マスタ!A354)</f>
        <v/>
      </c>
      <c r="B354">
        <f>IF($A354="","",職員マスタ!B354)</f>
        <v/>
      </c>
      <c r="C354">
        <f>IF($A354="","",職員マスタ!C354)</f>
        <v/>
      </c>
      <c r="D354" s="19">
        <f>IF($A354="","",IF(COUNTIFS(請求記録!$B$6:$B$3005,$A354,請求記録!$Z$6:$Z$3005,D$5,請求記録!$AF$6:$AF$3005,"保留中")&gt;0,"保留",IF(COUNTIFS(請求記録!$B$6:$B$3005,$A354,請求記録!$Z$6:$Z$3005,D$5)=0,"",SUMIFS(請求記録!$AE$6:$AE$3005,請求記録!$B$6:$B$3005,$A354,請求記録!$Z$6:$Z$3005,D$5))))</f>
        <v/>
      </c>
      <c r="E354" s="19">
        <f>IF($A354="","",IF(COUNTIFS(請求記録!$B$6:$B$3005,$A354,請求記録!$Z$6:$Z$3005,E$5,請求記録!$AF$6:$AF$3005,"保留中")&gt;0,"保留",IF(COUNTIFS(請求記録!$B$6:$B$3005,$A354,請求記録!$Z$6:$Z$3005,E$5)=0,"",SUMIFS(請求記録!$AE$6:$AE$3005,請求記録!$B$6:$B$3005,$A354,請求記録!$Z$6:$Z$3005,E$5))))</f>
        <v/>
      </c>
      <c r="F354" s="19">
        <f>IF($A354="","",IF(COUNTIFS(請求記録!$B$6:$B$3005,$A354,請求記録!$Z$6:$Z$3005,F$5,請求記録!$AF$6:$AF$3005,"保留中")&gt;0,"保留",IF(COUNTIFS(請求記録!$B$6:$B$3005,$A354,請求記録!$Z$6:$Z$3005,F$5)=0,"",SUMIFS(請求記録!$AE$6:$AE$3005,請求記録!$B$6:$B$3005,$A354,請求記録!$Z$6:$Z$3005,F$5))))</f>
        <v/>
      </c>
      <c r="G354" s="19">
        <f>IF($A354="","",IF(COUNTIFS(請求記録!$B$6:$B$3005,$A354,請求記録!$Z$6:$Z$3005,G$5,請求記録!$AF$6:$AF$3005,"保留中")&gt;0,"保留",IF(COUNTIFS(請求記録!$B$6:$B$3005,$A354,請求記録!$Z$6:$Z$3005,G$5)=0,"",SUMIFS(請求記録!$AE$6:$AE$3005,請求記録!$B$6:$B$3005,$A354,請求記録!$Z$6:$Z$3005,G$5))))</f>
        <v/>
      </c>
      <c r="H354" s="19">
        <f>IF($A354="","",IF(COUNTIFS(請求記録!$B$6:$B$3005,$A354,請求記録!$Z$6:$Z$3005,H$5,請求記録!$AF$6:$AF$3005,"保留中")&gt;0,"保留",IF(COUNTIFS(請求記録!$B$6:$B$3005,$A354,請求記録!$Z$6:$Z$3005,H$5)=0,"",SUMIFS(請求記録!$AE$6:$AE$3005,請求記録!$B$6:$B$3005,$A354,請求記録!$Z$6:$Z$3005,H$5))))</f>
        <v/>
      </c>
      <c r="I354" s="19">
        <f>IF($A354="","",IF(COUNTIFS(請求記録!$B$6:$B$3005,$A354,請求記録!$Z$6:$Z$3005,I$5,請求記録!$AF$6:$AF$3005,"保留中")&gt;0,"保留",IF(COUNTIFS(請求記録!$B$6:$B$3005,$A354,請求記録!$Z$6:$Z$3005,I$5)=0,"",SUMIFS(請求記録!$AE$6:$AE$3005,請求記録!$B$6:$B$3005,$A354,請求記録!$Z$6:$Z$3005,I$5))))</f>
        <v/>
      </c>
      <c r="J354" s="19">
        <f>IF($A354="","",IF(COUNTIFS(請求記録!$B$6:$B$3005,$A354,請求記録!$Z$6:$Z$3005,J$5,請求記録!$AF$6:$AF$3005,"保留中")&gt;0,"保留",IF(COUNTIFS(請求記録!$B$6:$B$3005,$A354,請求記録!$Z$6:$Z$3005,J$5)=0,"",SUMIFS(請求記録!$AE$6:$AE$3005,請求記録!$B$6:$B$3005,$A354,請求記録!$Z$6:$Z$3005,J$5))))</f>
        <v/>
      </c>
      <c r="K354" s="19">
        <f>IF($A354="","",IF(COUNTIFS(請求記録!$B$6:$B$3005,$A354,請求記録!$Z$6:$Z$3005,K$5,請求記録!$AF$6:$AF$3005,"保留中")&gt;0,"保留",IF(COUNTIFS(請求記録!$B$6:$B$3005,$A354,請求記録!$Z$6:$Z$3005,K$5)=0,"",SUMIFS(請求記録!$AE$6:$AE$3005,請求記録!$B$6:$B$3005,$A354,請求記録!$Z$6:$Z$3005,K$5))))</f>
        <v/>
      </c>
      <c r="L354" s="19">
        <f>IF($A354="","",IF(COUNTIFS(請求記録!$B$6:$B$3005,$A354,請求記録!$Z$6:$Z$3005,L$5,請求記録!$AF$6:$AF$3005,"保留中")&gt;0,"保留",IF(COUNTIFS(請求記録!$B$6:$B$3005,$A354,請求記録!$Z$6:$Z$3005,L$5)=0,"",SUMIFS(請求記録!$AE$6:$AE$3005,請求記録!$B$6:$B$3005,$A354,請求記録!$Z$6:$Z$3005,L$5))))</f>
        <v/>
      </c>
      <c r="M354" s="19">
        <f>IF($A354="","",IF(COUNTIFS(請求記録!$B$6:$B$3005,$A354,請求記録!$Z$6:$Z$3005,M$5,請求記録!$AF$6:$AF$3005,"保留中")&gt;0,"保留",IF(COUNTIFS(請求記録!$B$6:$B$3005,$A354,請求記録!$Z$6:$Z$3005,M$5)=0,"",SUMIFS(請求記録!$AE$6:$AE$3005,請求記録!$B$6:$B$3005,$A354,請求記録!$Z$6:$Z$3005,M$5))))</f>
        <v/>
      </c>
      <c r="N354" s="19">
        <f>IF($A354="","",IF(COUNTIFS(請求記録!$B$6:$B$3005,$A354,請求記録!$Z$6:$Z$3005,N$5,請求記録!$AF$6:$AF$3005,"保留中")&gt;0,"保留",IF(COUNTIFS(請求記録!$B$6:$B$3005,$A354,請求記録!$Z$6:$Z$3005,N$5)=0,"",SUMIFS(請求記録!$AE$6:$AE$3005,請求記録!$B$6:$B$3005,$A354,請求記録!$Z$6:$Z$3005,N$5))))</f>
        <v/>
      </c>
      <c r="O354" s="19">
        <f>IF($A354="","",IF(COUNTIFS(請求記録!$B$6:$B$3005,$A354,請求記録!$Z$6:$Z$3005,O$5,請求記録!$AF$6:$AF$3005,"保留中")&gt;0,"保留",IF(COUNTIFS(請求記録!$B$6:$B$3005,$A354,請求記録!$Z$6:$Z$3005,O$5)=0,"",SUMIFS(請求記録!$AE$6:$AE$3005,請求記録!$B$6:$B$3005,$A354,請求記録!$Z$6:$Z$3005,O$5))))</f>
        <v/>
      </c>
      <c r="P354" s="19">
        <f>IF($A354="","",IF(COUNTIFS(請求記録!$B$6:$B$3005,$A354,請求記録!$Z$6:$Z$3005,P$5,請求記録!$AF$6:$AF$3005,"保留中")&gt;0,"保留",IF(COUNTIFS(請求記録!$B$6:$B$3005,$A354,請求記録!$Z$6:$Z$3005,P$5)=0,"",SUMIFS(請求記録!$AE$6:$AE$3005,請求記録!$B$6:$B$3005,$A354,請求記録!$Z$6:$Z$3005,P$5))))</f>
        <v/>
      </c>
      <c r="Q354" s="19">
        <f>IF($A354="","",IF(COUNTIFS(請求記録!$B$6:$B$3005,$A354,請求記録!$Z$6:$Z$3005,Q$5,請求記録!$AF$6:$AF$3005,"保留中")&gt;0,"保留",IF(COUNTIFS(請求記録!$B$6:$B$3005,$A354,請求記録!$Z$6:$Z$3005,Q$5)=0,"",SUMIFS(請求記録!$AE$6:$AE$3005,請求記録!$B$6:$B$3005,$A354,請求記録!$Z$6:$Z$3005,Q$5))))</f>
        <v/>
      </c>
      <c r="R354" s="19">
        <f>IF($A354="","",IF(COUNTIFS(請求記録!$B$6:$B$3005,$A354,請求記録!$Z$6:$Z$3005,R$5,請求記録!$AF$6:$AF$3005,"保留中")&gt;0,"保留",IF(COUNTIFS(請求記録!$B$6:$B$3005,$A354,請求記録!$Z$6:$Z$3005,R$5)=0,"",SUMIFS(請求記録!$AE$6:$AE$3005,請求記録!$B$6:$B$3005,$A354,請求記録!$Z$6:$Z$3005,R$5))))</f>
        <v/>
      </c>
      <c r="S354" s="19">
        <f>IF($A354="","",IF(COUNTIFS(請求記録!$B$6:$B$3005,$A354,請求記録!$Z$6:$Z$3005,S$5,請求記録!$AF$6:$AF$3005,"保留中")&gt;0,"保留",IF(COUNTIFS(請求記録!$B$6:$B$3005,$A354,請求記録!$Z$6:$Z$3005,S$5)=0,"",SUMIFS(請求記録!$AE$6:$AE$3005,請求記録!$B$6:$B$3005,$A354,請求記録!$Z$6:$Z$3005,S$5))))</f>
        <v/>
      </c>
      <c r="T354" s="19">
        <f>IF($A354="","",IF(COUNTIFS(請求記録!$B$6:$B$3005,$A354,請求記録!$Z$6:$Z$3005,T$5,請求記録!$AF$6:$AF$3005,"保留中")&gt;0,"保留",IF(COUNTIFS(請求記録!$B$6:$B$3005,$A354,請求記録!$Z$6:$Z$3005,T$5)=0,"",SUMIFS(請求記録!$AE$6:$AE$3005,請求記録!$B$6:$B$3005,$A354,請求記録!$Z$6:$Z$3005,T$5))))</f>
        <v/>
      </c>
      <c r="U354" s="19">
        <f>IF($A354="","",IF(COUNTIFS(請求記録!$B$6:$B$3005,$A354,請求記録!$Z$6:$Z$3005,U$5,請求記録!$AF$6:$AF$3005,"保留中")&gt;0,"保留",IF(COUNTIFS(請求記録!$B$6:$B$3005,$A354,請求記録!$Z$6:$Z$3005,U$5)=0,"",SUMIFS(請求記録!$AE$6:$AE$3005,請求記録!$B$6:$B$3005,$A354,請求記録!$Z$6:$Z$3005,U$5))))</f>
        <v/>
      </c>
      <c r="V354" s="19">
        <f>IF($A354="","",IF(COUNTIFS(請求記録!$B$6:$B$3005,$A354,請求記録!$Z$6:$Z$3005,V$5,請求記録!$AF$6:$AF$3005,"保留中")&gt;0,"保留",IF(COUNTIFS(請求記録!$B$6:$B$3005,$A354,請求記録!$Z$6:$Z$3005,V$5)=0,"",SUMIFS(請求記録!$AE$6:$AE$3005,請求記録!$B$6:$B$3005,$A354,請求記録!$Z$6:$Z$3005,V$5))))</f>
        <v/>
      </c>
      <c r="W354" s="19">
        <f>IF($A354="","",IF(COUNTIFS(請求記録!$B$6:$B$3005,$A354,請求記録!$Z$6:$Z$3005,W$5,請求記録!$AF$6:$AF$3005,"保留中")&gt;0,"保留",IF(COUNTIFS(請求記録!$B$6:$B$3005,$A354,請求記録!$Z$6:$Z$3005,W$5)=0,"",SUMIFS(請求記録!$AE$6:$AE$3005,請求記録!$B$6:$B$3005,$A354,請求記録!$Z$6:$Z$3005,W$5))))</f>
        <v/>
      </c>
      <c r="X354" s="19">
        <f>IF($A354="","",IF(COUNTIFS(請求記録!$B$6:$B$3005,$A354,請求記録!$Z$6:$Z$3005,X$5,請求記録!$AF$6:$AF$3005,"保留中")&gt;0,"保留",IF(COUNTIFS(請求記録!$B$6:$B$3005,$A354,請求記録!$Z$6:$Z$3005,X$5)=0,"",SUMIFS(請求記録!$AE$6:$AE$3005,請求記録!$B$6:$B$3005,$A354,請求記録!$Z$6:$Z$3005,X$5))))</f>
        <v/>
      </c>
      <c r="Y354" s="19">
        <f>IF($A354="","",IF(COUNTIFS(請求記録!$B$6:$B$3005,$A354,請求記録!$Z$6:$Z$3005,Y$5,請求記録!$AF$6:$AF$3005,"保留中")&gt;0,"保留",IF(COUNTIFS(請求記録!$B$6:$B$3005,$A354,請求記録!$Z$6:$Z$3005,Y$5)=0,"",SUMIFS(請求記録!$AE$6:$AE$3005,請求記録!$B$6:$B$3005,$A354,請求記録!$Z$6:$Z$3005,Y$5))))</f>
        <v/>
      </c>
      <c r="Z354" s="19">
        <f>IF($A354="","",IF(COUNTIFS(請求記録!$B$6:$B$3005,$A354,請求記録!$Z$6:$Z$3005,Z$5,請求記録!$AF$6:$AF$3005,"保留中")&gt;0,"保留",IF(COUNTIFS(請求記録!$B$6:$B$3005,$A354,請求記録!$Z$6:$Z$3005,Z$5)=0,"",SUMIFS(請求記録!$AE$6:$AE$3005,請求記録!$B$6:$B$3005,$A354,請求記録!$Z$6:$Z$3005,Z$5))))</f>
        <v/>
      </c>
      <c r="AA354" s="19">
        <f>IF($A354="","",IF(COUNTIFS(請求記録!$B$6:$B$3005,$A354,請求記録!$Z$6:$Z$3005,AA$5,請求記録!$AF$6:$AF$3005,"保留中")&gt;0,"保留",IF(COUNTIFS(請求記録!$B$6:$B$3005,$A354,請求記録!$Z$6:$Z$3005,AA$5)=0,"",SUMIFS(請求記録!$AE$6:$AE$3005,請求記録!$B$6:$B$3005,$A354,請求記録!$Z$6:$Z$3005,AA$5))))</f>
        <v/>
      </c>
      <c r="AB354">
        <f>IF(職員マスタ!P354="保留中",職員マスタ!M354,"")</f>
        <v/>
      </c>
    </row>
    <row r="355">
      <c r="A355">
        <f>IF(職員マスタ!A355="","",職員マスタ!A355)</f>
        <v/>
      </c>
      <c r="B355">
        <f>IF($A355="","",職員マスタ!B355)</f>
        <v/>
      </c>
      <c r="C355">
        <f>IF($A355="","",職員マスタ!C355)</f>
        <v/>
      </c>
      <c r="D355" s="19">
        <f>IF($A355="","",IF(COUNTIFS(請求記録!$B$6:$B$3005,$A355,請求記録!$Z$6:$Z$3005,D$5,請求記録!$AF$6:$AF$3005,"保留中")&gt;0,"保留",IF(COUNTIFS(請求記録!$B$6:$B$3005,$A355,請求記録!$Z$6:$Z$3005,D$5)=0,"",SUMIFS(請求記録!$AE$6:$AE$3005,請求記録!$B$6:$B$3005,$A355,請求記録!$Z$6:$Z$3005,D$5))))</f>
        <v/>
      </c>
      <c r="E355" s="19">
        <f>IF($A355="","",IF(COUNTIFS(請求記録!$B$6:$B$3005,$A355,請求記録!$Z$6:$Z$3005,E$5,請求記録!$AF$6:$AF$3005,"保留中")&gt;0,"保留",IF(COUNTIFS(請求記録!$B$6:$B$3005,$A355,請求記録!$Z$6:$Z$3005,E$5)=0,"",SUMIFS(請求記録!$AE$6:$AE$3005,請求記録!$B$6:$B$3005,$A355,請求記録!$Z$6:$Z$3005,E$5))))</f>
        <v/>
      </c>
      <c r="F355" s="19">
        <f>IF($A355="","",IF(COUNTIFS(請求記録!$B$6:$B$3005,$A355,請求記録!$Z$6:$Z$3005,F$5,請求記録!$AF$6:$AF$3005,"保留中")&gt;0,"保留",IF(COUNTIFS(請求記録!$B$6:$B$3005,$A355,請求記録!$Z$6:$Z$3005,F$5)=0,"",SUMIFS(請求記録!$AE$6:$AE$3005,請求記録!$B$6:$B$3005,$A355,請求記録!$Z$6:$Z$3005,F$5))))</f>
        <v/>
      </c>
      <c r="G355" s="19">
        <f>IF($A355="","",IF(COUNTIFS(請求記録!$B$6:$B$3005,$A355,請求記録!$Z$6:$Z$3005,G$5,請求記録!$AF$6:$AF$3005,"保留中")&gt;0,"保留",IF(COUNTIFS(請求記録!$B$6:$B$3005,$A355,請求記録!$Z$6:$Z$3005,G$5)=0,"",SUMIFS(請求記録!$AE$6:$AE$3005,請求記録!$B$6:$B$3005,$A355,請求記録!$Z$6:$Z$3005,G$5))))</f>
        <v/>
      </c>
      <c r="H355" s="19">
        <f>IF($A355="","",IF(COUNTIFS(請求記録!$B$6:$B$3005,$A355,請求記録!$Z$6:$Z$3005,H$5,請求記録!$AF$6:$AF$3005,"保留中")&gt;0,"保留",IF(COUNTIFS(請求記録!$B$6:$B$3005,$A355,請求記録!$Z$6:$Z$3005,H$5)=0,"",SUMIFS(請求記録!$AE$6:$AE$3005,請求記録!$B$6:$B$3005,$A355,請求記録!$Z$6:$Z$3005,H$5))))</f>
        <v/>
      </c>
      <c r="I355" s="19">
        <f>IF($A355="","",IF(COUNTIFS(請求記録!$B$6:$B$3005,$A355,請求記録!$Z$6:$Z$3005,I$5,請求記録!$AF$6:$AF$3005,"保留中")&gt;0,"保留",IF(COUNTIFS(請求記録!$B$6:$B$3005,$A355,請求記録!$Z$6:$Z$3005,I$5)=0,"",SUMIFS(請求記録!$AE$6:$AE$3005,請求記録!$B$6:$B$3005,$A355,請求記録!$Z$6:$Z$3005,I$5))))</f>
        <v/>
      </c>
      <c r="J355" s="19">
        <f>IF($A355="","",IF(COUNTIFS(請求記録!$B$6:$B$3005,$A355,請求記録!$Z$6:$Z$3005,J$5,請求記録!$AF$6:$AF$3005,"保留中")&gt;0,"保留",IF(COUNTIFS(請求記録!$B$6:$B$3005,$A355,請求記録!$Z$6:$Z$3005,J$5)=0,"",SUMIFS(請求記録!$AE$6:$AE$3005,請求記録!$B$6:$B$3005,$A355,請求記録!$Z$6:$Z$3005,J$5))))</f>
        <v/>
      </c>
      <c r="K355" s="19">
        <f>IF($A355="","",IF(COUNTIFS(請求記録!$B$6:$B$3005,$A355,請求記録!$Z$6:$Z$3005,K$5,請求記録!$AF$6:$AF$3005,"保留中")&gt;0,"保留",IF(COUNTIFS(請求記録!$B$6:$B$3005,$A355,請求記録!$Z$6:$Z$3005,K$5)=0,"",SUMIFS(請求記録!$AE$6:$AE$3005,請求記録!$B$6:$B$3005,$A355,請求記録!$Z$6:$Z$3005,K$5))))</f>
        <v/>
      </c>
      <c r="L355" s="19">
        <f>IF($A355="","",IF(COUNTIFS(請求記録!$B$6:$B$3005,$A355,請求記録!$Z$6:$Z$3005,L$5,請求記録!$AF$6:$AF$3005,"保留中")&gt;0,"保留",IF(COUNTIFS(請求記録!$B$6:$B$3005,$A355,請求記録!$Z$6:$Z$3005,L$5)=0,"",SUMIFS(請求記録!$AE$6:$AE$3005,請求記録!$B$6:$B$3005,$A355,請求記録!$Z$6:$Z$3005,L$5))))</f>
        <v/>
      </c>
      <c r="M355" s="19">
        <f>IF($A355="","",IF(COUNTIFS(請求記録!$B$6:$B$3005,$A355,請求記録!$Z$6:$Z$3005,M$5,請求記録!$AF$6:$AF$3005,"保留中")&gt;0,"保留",IF(COUNTIFS(請求記録!$B$6:$B$3005,$A355,請求記録!$Z$6:$Z$3005,M$5)=0,"",SUMIFS(請求記録!$AE$6:$AE$3005,請求記録!$B$6:$B$3005,$A355,請求記録!$Z$6:$Z$3005,M$5))))</f>
        <v/>
      </c>
      <c r="N355" s="19">
        <f>IF($A355="","",IF(COUNTIFS(請求記録!$B$6:$B$3005,$A355,請求記録!$Z$6:$Z$3005,N$5,請求記録!$AF$6:$AF$3005,"保留中")&gt;0,"保留",IF(COUNTIFS(請求記録!$B$6:$B$3005,$A355,請求記録!$Z$6:$Z$3005,N$5)=0,"",SUMIFS(請求記録!$AE$6:$AE$3005,請求記録!$B$6:$B$3005,$A355,請求記録!$Z$6:$Z$3005,N$5))))</f>
        <v/>
      </c>
      <c r="O355" s="19">
        <f>IF($A355="","",IF(COUNTIFS(請求記録!$B$6:$B$3005,$A355,請求記録!$Z$6:$Z$3005,O$5,請求記録!$AF$6:$AF$3005,"保留中")&gt;0,"保留",IF(COUNTIFS(請求記録!$B$6:$B$3005,$A355,請求記録!$Z$6:$Z$3005,O$5)=0,"",SUMIFS(請求記録!$AE$6:$AE$3005,請求記録!$B$6:$B$3005,$A355,請求記録!$Z$6:$Z$3005,O$5))))</f>
        <v/>
      </c>
      <c r="P355" s="19">
        <f>IF($A355="","",IF(COUNTIFS(請求記録!$B$6:$B$3005,$A355,請求記録!$Z$6:$Z$3005,P$5,請求記録!$AF$6:$AF$3005,"保留中")&gt;0,"保留",IF(COUNTIFS(請求記録!$B$6:$B$3005,$A355,請求記録!$Z$6:$Z$3005,P$5)=0,"",SUMIFS(請求記録!$AE$6:$AE$3005,請求記録!$B$6:$B$3005,$A355,請求記録!$Z$6:$Z$3005,P$5))))</f>
        <v/>
      </c>
      <c r="Q355" s="19">
        <f>IF($A355="","",IF(COUNTIFS(請求記録!$B$6:$B$3005,$A355,請求記録!$Z$6:$Z$3005,Q$5,請求記録!$AF$6:$AF$3005,"保留中")&gt;0,"保留",IF(COUNTIFS(請求記録!$B$6:$B$3005,$A355,請求記録!$Z$6:$Z$3005,Q$5)=0,"",SUMIFS(請求記録!$AE$6:$AE$3005,請求記録!$B$6:$B$3005,$A355,請求記録!$Z$6:$Z$3005,Q$5))))</f>
        <v/>
      </c>
      <c r="R355" s="19">
        <f>IF($A355="","",IF(COUNTIFS(請求記録!$B$6:$B$3005,$A355,請求記録!$Z$6:$Z$3005,R$5,請求記録!$AF$6:$AF$3005,"保留中")&gt;0,"保留",IF(COUNTIFS(請求記録!$B$6:$B$3005,$A355,請求記録!$Z$6:$Z$3005,R$5)=0,"",SUMIFS(請求記録!$AE$6:$AE$3005,請求記録!$B$6:$B$3005,$A355,請求記録!$Z$6:$Z$3005,R$5))))</f>
        <v/>
      </c>
      <c r="S355" s="19">
        <f>IF($A355="","",IF(COUNTIFS(請求記録!$B$6:$B$3005,$A355,請求記録!$Z$6:$Z$3005,S$5,請求記録!$AF$6:$AF$3005,"保留中")&gt;0,"保留",IF(COUNTIFS(請求記録!$B$6:$B$3005,$A355,請求記録!$Z$6:$Z$3005,S$5)=0,"",SUMIFS(請求記録!$AE$6:$AE$3005,請求記録!$B$6:$B$3005,$A355,請求記録!$Z$6:$Z$3005,S$5))))</f>
        <v/>
      </c>
      <c r="T355" s="19">
        <f>IF($A355="","",IF(COUNTIFS(請求記録!$B$6:$B$3005,$A355,請求記録!$Z$6:$Z$3005,T$5,請求記録!$AF$6:$AF$3005,"保留中")&gt;0,"保留",IF(COUNTIFS(請求記録!$B$6:$B$3005,$A355,請求記録!$Z$6:$Z$3005,T$5)=0,"",SUMIFS(請求記録!$AE$6:$AE$3005,請求記録!$B$6:$B$3005,$A355,請求記録!$Z$6:$Z$3005,T$5))))</f>
        <v/>
      </c>
      <c r="U355" s="19">
        <f>IF($A355="","",IF(COUNTIFS(請求記録!$B$6:$B$3005,$A355,請求記録!$Z$6:$Z$3005,U$5,請求記録!$AF$6:$AF$3005,"保留中")&gt;0,"保留",IF(COUNTIFS(請求記録!$B$6:$B$3005,$A355,請求記録!$Z$6:$Z$3005,U$5)=0,"",SUMIFS(請求記録!$AE$6:$AE$3005,請求記録!$B$6:$B$3005,$A355,請求記録!$Z$6:$Z$3005,U$5))))</f>
        <v/>
      </c>
      <c r="V355" s="19">
        <f>IF($A355="","",IF(COUNTIFS(請求記録!$B$6:$B$3005,$A355,請求記録!$Z$6:$Z$3005,V$5,請求記録!$AF$6:$AF$3005,"保留中")&gt;0,"保留",IF(COUNTIFS(請求記録!$B$6:$B$3005,$A355,請求記録!$Z$6:$Z$3005,V$5)=0,"",SUMIFS(請求記録!$AE$6:$AE$3005,請求記録!$B$6:$B$3005,$A355,請求記録!$Z$6:$Z$3005,V$5))))</f>
        <v/>
      </c>
      <c r="W355" s="19">
        <f>IF($A355="","",IF(COUNTIFS(請求記録!$B$6:$B$3005,$A355,請求記録!$Z$6:$Z$3005,W$5,請求記録!$AF$6:$AF$3005,"保留中")&gt;0,"保留",IF(COUNTIFS(請求記録!$B$6:$B$3005,$A355,請求記録!$Z$6:$Z$3005,W$5)=0,"",SUMIFS(請求記録!$AE$6:$AE$3005,請求記録!$B$6:$B$3005,$A355,請求記録!$Z$6:$Z$3005,W$5))))</f>
        <v/>
      </c>
      <c r="X355" s="19">
        <f>IF($A355="","",IF(COUNTIFS(請求記録!$B$6:$B$3005,$A355,請求記録!$Z$6:$Z$3005,X$5,請求記録!$AF$6:$AF$3005,"保留中")&gt;0,"保留",IF(COUNTIFS(請求記録!$B$6:$B$3005,$A355,請求記録!$Z$6:$Z$3005,X$5)=0,"",SUMIFS(請求記録!$AE$6:$AE$3005,請求記録!$B$6:$B$3005,$A355,請求記録!$Z$6:$Z$3005,X$5))))</f>
        <v/>
      </c>
      <c r="Y355" s="19">
        <f>IF($A355="","",IF(COUNTIFS(請求記録!$B$6:$B$3005,$A355,請求記録!$Z$6:$Z$3005,Y$5,請求記録!$AF$6:$AF$3005,"保留中")&gt;0,"保留",IF(COUNTIFS(請求記録!$B$6:$B$3005,$A355,請求記録!$Z$6:$Z$3005,Y$5)=0,"",SUMIFS(請求記録!$AE$6:$AE$3005,請求記録!$B$6:$B$3005,$A355,請求記録!$Z$6:$Z$3005,Y$5))))</f>
        <v/>
      </c>
      <c r="Z355" s="19">
        <f>IF($A355="","",IF(COUNTIFS(請求記録!$B$6:$B$3005,$A355,請求記録!$Z$6:$Z$3005,Z$5,請求記録!$AF$6:$AF$3005,"保留中")&gt;0,"保留",IF(COUNTIFS(請求記録!$B$6:$B$3005,$A355,請求記録!$Z$6:$Z$3005,Z$5)=0,"",SUMIFS(請求記録!$AE$6:$AE$3005,請求記録!$B$6:$B$3005,$A355,請求記録!$Z$6:$Z$3005,Z$5))))</f>
        <v/>
      </c>
      <c r="AA355" s="19">
        <f>IF($A355="","",IF(COUNTIFS(請求記録!$B$6:$B$3005,$A355,請求記録!$Z$6:$Z$3005,AA$5,請求記録!$AF$6:$AF$3005,"保留中")&gt;0,"保留",IF(COUNTIFS(請求記録!$B$6:$B$3005,$A355,請求記録!$Z$6:$Z$3005,AA$5)=0,"",SUMIFS(請求記録!$AE$6:$AE$3005,請求記録!$B$6:$B$3005,$A355,請求記録!$Z$6:$Z$3005,AA$5))))</f>
        <v/>
      </c>
      <c r="AB355">
        <f>IF(職員マスタ!P355="保留中",職員マスタ!M355,"")</f>
        <v/>
      </c>
    </row>
    <row r="356">
      <c r="A356">
        <f>IF(職員マスタ!A356="","",職員マスタ!A356)</f>
        <v/>
      </c>
      <c r="B356">
        <f>IF($A356="","",職員マスタ!B356)</f>
        <v/>
      </c>
      <c r="C356">
        <f>IF($A356="","",職員マスタ!C356)</f>
        <v/>
      </c>
      <c r="D356" s="19">
        <f>IF($A356="","",IF(COUNTIFS(請求記録!$B$6:$B$3005,$A356,請求記録!$Z$6:$Z$3005,D$5,請求記録!$AF$6:$AF$3005,"保留中")&gt;0,"保留",IF(COUNTIFS(請求記録!$B$6:$B$3005,$A356,請求記録!$Z$6:$Z$3005,D$5)=0,"",SUMIFS(請求記録!$AE$6:$AE$3005,請求記録!$B$6:$B$3005,$A356,請求記録!$Z$6:$Z$3005,D$5))))</f>
        <v/>
      </c>
      <c r="E356" s="19">
        <f>IF($A356="","",IF(COUNTIFS(請求記録!$B$6:$B$3005,$A356,請求記録!$Z$6:$Z$3005,E$5,請求記録!$AF$6:$AF$3005,"保留中")&gt;0,"保留",IF(COUNTIFS(請求記録!$B$6:$B$3005,$A356,請求記録!$Z$6:$Z$3005,E$5)=0,"",SUMIFS(請求記録!$AE$6:$AE$3005,請求記録!$B$6:$B$3005,$A356,請求記録!$Z$6:$Z$3005,E$5))))</f>
        <v/>
      </c>
      <c r="F356" s="19">
        <f>IF($A356="","",IF(COUNTIFS(請求記録!$B$6:$B$3005,$A356,請求記録!$Z$6:$Z$3005,F$5,請求記録!$AF$6:$AF$3005,"保留中")&gt;0,"保留",IF(COUNTIFS(請求記録!$B$6:$B$3005,$A356,請求記録!$Z$6:$Z$3005,F$5)=0,"",SUMIFS(請求記録!$AE$6:$AE$3005,請求記録!$B$6:$B$3005,$A356,請求記録!$Z$6:$Z$3005,F$5))))</f>
        <v/>
      </c>
      <c r="G356" s="19">
        <f>IF($A356="","",IF(COUNTIFS(請求記録!$B$6:$B$3005,$A356,請求記録!$Z$6:$Z$3005,G$5,請求記録!$AF$6:$AF$3005,"保留中")&gt;0,"保留",IF(COUNTIFS(請求記録!$B$6:$B$3005,$A356,請求記録!$Z$6:$Z$3005,G$5)=0,"",SUMIFS(請求記録!$AE$6:$AE$3005,請求記録!$B$6:$B$3005,$A356,請求記録!$Z$6:$Z$3005,G$5))))</f>
        <v/>
      </c>
      <c r="H356" s="19">
        <f>IF($A356="","",IF(COUNTIFS(請求記録!$B$6:$B$3005,$A356,請求記録!$Z$6:$Z$3005,H$5,請求記録!$AF$6:$AF$3005,"保留中")&gt;0,"保留",IF(COUNTIFS(請求記録!$B$6:$B$3005,$A356,請求記録!$Z$6:$Z$3005,H$5)=0,"",SUMIFS(請求記録!$AE$6:$AE$3005,請求記録!$B$6:$B$3005,$A356,請求記録!$Z$6:$Z$3005,H$5))))</f>
        <v/>
      </c>
      <c r="I356" s="19">
        <f>IF($A356="","",IF(COUNTIFS(請求記録!$B$6:$B$3005,$A356,請求記録!$Z$6:$Z$3005,I$5,請求記録!$AF$6:$AF$3005,"保留中")&gt;0,"保留",IF(COUNTIFS(請求記録!$B$6:$B$3005,$A356,請求記録!$Z$6:$Z$3005,I$5)=0,"",SUMIFS(請求記録!$AE$6:$AE$3005,請求記録!$B$6:$B$3005,$A356,請求記録!$Z$6:$Z$3005,I$5))))</f>
        <v/>
      </c>
      <c r="J356" s="19">
        <f>IF($A356="","",IF(COUNTIFS(請求記録!$B$6:$B$3005,$A356,請求記録!$Z$6:$Z$3005,J$5,請求記録!$AF$6:$AF$3005,"保留中")&gt;0,"保留",IF(COUNTIFS(請求記録!$B$6:$B$3005,$A356,請求記録!$Z$6:$Z$3005,J$5)=0,"",SUMIFS(請求記録!$AE$6:$AE$3005,請求記録!$B$6:$B$3005,$A356,請求記録!$Z$6:$Z$3005,J$5))))</f>
        <v/>
      </c>
      <c r="K356" s="19">
        <f>IF($A356="","",IF(COUNTIFS(請求記録!$B$6:$B$3005,$A356,請求記録!$Z$6:$Z$3005,K$5,請求記録!$AF$6:$AF$3005,"保留中")&gt;0,"保留",IF(COUNTIFS(請求記録!$B$6:$B$3005,$A356,請求記録!$Z$6:$Z$3005,K$5)=0,"",SUMIFS(請求記録!$AE$6:$AE$3005,請求記録!$B$6:$B$3005,$A356,請求記録!$Z$6:$Z$3005,K$5))))</f>
        <v/>
      </c>
      <c r="L356" s="19">
        <f>IF($A356="","",IF(COUNTIFS(請求記録!$B$6:$B$3005,$A356,請求記録!$Z$6:$Z$3005,L$5,請求記録!$AF$6:$AF$3005,"保留中")&gt;0,"保留",IF(COUNTIFS(請求記録!$B$6:$B$3005,$A356,請求記録!$Z$6:$Z$3005,L$5)=0,"",SUMIFS(請求記録!$AE$6:$AE$3005,請求記録!$B$6:$B$3005,$A356,請求記録!$Z$6:$Z$3005,L$5))))</f>
        <v/>
      </c>
      <c r="M356" s="19">
        <f>IF($A356="","",IF(COUNTIFS(請求記録!$B$6:$B$3005,$A356,請求記録!$Z$6:$Z$3005,M$5,請求記録!$AF$6:$AF$3005,"保留中")&gt;0,"保留",IF(COUNTIFS(請求記録!$B$6:$B$3005,$A356,請求記録!$Z$6:$Z$3005,M$5)=0,"",SUMIFS(請求記録!$AE$6:$AE$3005,請求記録!$B$6:$B$3005,$A356,請求記録!$Z$6:$Z$3005,M$5))))</f>
        <v/>
      </c>
      <c r="N356" s="19">
        <f>IF($A356="","",IF(COUNTIFS(請求記録!$B$6:$B$3005,$A356,請求記録!$Z$6:$Z$3005,N$5,請求記録!$AF$6:$AF$3005,"保留中")&gt;0,"保留",IF(COUNTIFS(請求記録!$B$6:$B$3005,$A356,請求記録!$Z$6:$Z$3005,N$5)=0,"",SUMIFS(請求記録!$AE$6:$AE$3005,請求記録!$B$6:$B$3005,$A356,請求記録!$Z$6:$Z$3005,N$5))))</f>
        <v/>
      </c>
      <c r="O356" s="19">
        <f>IF($A356="","",IF(COUNTIFS(請求記録!$B$6:$B$3005,$A356,請求記録!$Z$6:$Z$3005,O$5,請求記録!$AF$6:$AF$3005,"保留中")&gt;0,"保留",IF(COUNTIFS(請求記録!$B$6:$B$3005,$A356,請求記録!$Z$6:$Z$3005,O$5)=0,"",SUMIFS(請求記録!$AE$6:$AE$3005,請求記録!$B$6:$B$3005,$A356,請求記録!$Z$6:$Z$3005,O$5))))</f>
        <v/>
      </c>
      <c r="P356" s="19">
        <f>IF($A356="","",IF(COUNTIFS(請求記録!$B$6:$B$3005,$A356,請求記録!$Z$6:$Z$3005,P$5,請求記録!$AF$6:$AF$3005,"保留中")&gt;0,"保留",IF(COUNTIFS(請求記録!$B$6:$B$3005,$A356,請求記録!$Z$6:$Z$3005,P$5)=0,"",SUMIFS(請求記録!$AE$6:$AE$3005,請求記録!$B$6:$B$3005,$A356,請求記録!$Z$6:$Z$3005,P$5))))</f>
        <v/>
      </c>
      <c r="Q356" s="19">
        <f>IF($A356="","",IF(COUNTIFS(請求記録!$B$6:$B$3005,$A356,請求記録!$Z$6:$Z$3005,Q$5,請求記録!$AF$6:$AF$3005,"保留中")&gt;0,"保留",IF(COUNTIFS(請求記録!$B$6:$B$3005,$A356,請求記録!$Z$6:$Z$3005,Q$5)=0,"",SUMIFS(請求記録!$AE$6:$AE$3005,請求記録!$B$6:$B$3005,$A356,請求記録!$Z$6:$Z$3005,Q$5))))</f>
        <v/>
      </c>
      <c r="R356" s="19">
        <f>IF($A356="","",IF(COUNTIFS(請求記録!$B$6:$B$3005,$A356,請求記録!$Z$6:$Z$3005,R$5,請求記録!$AF$6:$AF$3005,"保留中")&gt;0,"保留",IF(COUNTIFS(請求記録!$B$6:$B$3005,$A356,請求記録!$Z$6:$Z$3005,R$5)=0,"",SUMIFS(請求記録!$AE$6:$AE$3005,請求記録!$B$6:$B$3005,$A356,請求記録!$Z$6:$Z$3005,R$5))))</f>
        <v/>
      </c>
      <c r="S356" s="19">
        <f>IF($A356="","",IF(COUNTIFS(請求記録!$B$6:$B$3005,$A356,請求記録!$Z$6:$Z$3005,S$5,請求記録!$AF$6:$AF$3005,"保留中")&gt;0,"保留",IF(COUNTIFS(請求記録!$B$6:$B$3005,$A356,請求記録!$Z$6:$Z$3005,S$5)=0,"",SUMIFS(請求記録!$AE$6:$AE$3005,請求記録!$B$6:$B$3005,$A356,請求記録!$Z$6:$Z$3005,S$5))))</f>
        <v/>
      </c>
      <c r="T356" s="19">
        <f>IF($A356="","",IF(COUNTIFS(請求記録!$B$6:$B$3005,$A356,請求記録!$Z$6:$Z$3005,T$5,請求記録!$AF$6:$AF$3005,"保留中")&gt;0,"保留",IF(COUNTIFS(請求記録!$B$6:$B$3005,$A356,請求記録!$Z$6:$Z$3005,T$5)=0,"",SUMIFS(請求記録!$AE$6:$AE$3005,請求記録!$B$6:$B$3005,$A356,請求記録!$Z$6:$Z$3005,T$5))))</f>
        <v/>
      </c>
      <c r="U356" s="19">
        <f>IF($A356="","",IF(COUNTIFS(請求記録!$B$6:$B$3005,$A356,請求記録!$Z$6:$Z$3005,U$5,請求記録!$AF$6:$AF$3005,"保留中")&gt;0,"保留",IF(COUNTIFS(請求記録!$B$6:$B$3005,$A356,請求記録!$Z$6:$Z$3005,U$5)=0,"",SUMIFS(請求記録!$AE$6:$AE$3005,請求記録!$B$6:$B$3005,$A356,請求記録!$Z$6:$Z$3005,U$5))))</f>
        <v/>
      </c>
      <c r="V356" s="19">
        <f>IF($A356="","",IF(COUNTIFS(請求記録!$B$6:$B$3005,$A356,請求記録!$Z$6:$Z$3005,V$5,請求記録!$AF$6:$AF$3005,"保留中")&gt;0,"保留",IF(COUNTIFS(請求記録!$B$6:$B$3005,$A356,請求記録!$Z$6:$Z$3005,V$5)=0,"",SUMIFS(請求記録!$AE$6:$AE$3005,請求記録!$B$6:$B$3005,$A356,請求記録!$Z$6:$Z$3005,V$5))))</f>
        <v/>
      </c>
      <c r="W356" s="19">
        <f>IF($A356="","",IF(COUNTIFS(請求記録!$B$6:$B$3005,$A356,請求記録!$Z$6:$Z$3005,W$5,請求記録!$AF$6:$AF$3005,"保留中")&gt;0,"保留",IF(COUNTIFS(請求記録!$B$6:$B$3005,$A356,請求記録!$Z$6:$Z$3005,W$5)=0,"",SUMIFS(請求記録!$AE$6:$AE$3005,請求記録!$B$6:$B$3005,$A356,請求記録!$Z$6:$Z$3005,W$5))))</f>
        <v/>
      </c>
      <c r="X356" s="19">
        <f>IF($A356="","",IF(COUNTIFS(請求記録!$B$6:$B$3005,$A356,請求記録!$Z$6:$Z$3005,X$5,請求記録!$AF$6:$AF$3005,"保留中")&gt;0,"保留",IF(COUNTIFS(請求記録!$B$6:$B$3005,$A356,請求記録!$Z$6:$Z$3005,X$5)=0,"",SUMIFS(請求記録!$AE$6:$AE$3005,請求記録!$B$6:$B$3005,$A356,請求記録!$Z$6:$Z$3005,X$5))))</f>
        <v/>
      </c>
      <c r="Y356" s="19">
        <f>IF($A356="","",IF(COUNTIFS(請求記録!$B$6:$B$3005,$A356,請求記録!$Z$6:$Z$3005,Y$5,請求記録!$AF$6:$AF$3005,"保留中")&gt;0,"保留",IF(COUNTIFS(請求記録!$B$6:$B$3005,$A356,請求記録!$Z$6:$Z$3005,Y$5)=0,"",SUMIFS(請求記録!$AE$6:$AE$3005,請求記録!$B$6:$B$3005,$A356,請求記録!$Z$6:$Z$3005,Y$5))))</f>
        <v/>
      </c>
      <c r="Z356" s="19">
        <f>IF($A356="","",IF(COUNTIFS(請求記録!$B$6:$B$3005,$A356,請求記録!$Z$6:$Z$3005,Z$5,請求記録!$AF$6:$AF$3005,"保留中")&gt;0,"保留",IF(COUNTIFS(請求記録!$B$6:$B$3005,$A356,請求記録!$Z$6:$Z$3005,Z$5)=0,"",SUMIFS(請求記録!$AE$6:$AE$3005,請求記録!$B$6:$B$3005,$A356,請求記録!$Z$6:$Z$3005,Z$5))))</f>
        <v/>
      </c>
      <c r="AA356" s="19">
        <f>IF($A356="","",IF(COUNTIFS(請求記録!$B$6:$B$3005,$A356,請求記録!$Z$6:$Z$3005,AA$5,請求記録!$AF$6:$AF$3005,"保留中")&gt;0,"保留",IF(COUNTIFS(請求記録!$B$6:$B$3005,$A356,請求記録!$Z$6:$Z$3005,AA$5)=0,"",SUMIFS(請求記録!$AE$6:$AE$3005,請求記録!$B$6:$B$3005,$A356,請求記録!$Z$6:$Z$3005,AA$5))))</f>
        <v/>
      </c>
      <c r="AB356">
        <f>IF(職員マスタ!P356="保留中",職員マスタ!M356,"")</f>
        <v/>
      </c>
    </row>
    <row r="357">
      <c r="A357">
        <f>IF(職員マスタ!A357="","",職員マスタ!A357)</f>
        <v/>
      </c>
      <c r="B357">
        <f>IF($A357="","",職員マスタ!B357)</f>
        <v/>
      </c>
      <c r="C357">
        <f>IF($A357="","",職員マスタ!C357)</f>
        <v/>
      </c>
      <c r="D357" s="19">
        <f>IF($A357="","",IF(COUNTIFS(請求記録!$B$6:$B$3005,$A357,請求記録!$Z$6:$Z$3005,D$5,請求記録!$AF$6:$AF$3005,"保留中")&gt;0,"保留",IF(COUNTIFS(請求記録!$B$6:$B$3005,$A357,請求記録!$Z$6:$Z$3005,D$5)=0,"",SUMIFS(請求記録!$AE$6:$AE$3005,請求記録!$B$6:$B$3005,$A357,請求記録!$Z$6:$Z$3005,D$5))))</f>
        <v/>
      </c>
      <c r="E357" s="19">
        <f>IF($A357="","",IF(COUNTIFS(請求記録!$B$6:$B$3005,$A357,請求記録!$Z$6:$Z$3005,E$5,請求記録!$AF$6:$AF$3005,"保留中")&gt;0,"保留",IF(COUNTIFS(請求記録!$B$6:$B$3005,$A357,請求記録!$Z$6:$Z$3005,E$5)=0,"",SUMIFS(請求記録!$AE$6:$AE$3005,請求記録!$B$6:$B$3005,$A357,請求記録!$Z$6:$Z$3005,E$5))))</f>
        <v/>
      </c>
      <c r="F357" s="19">
        <f>IF($A357="","",IF(COUNTIFS(請求記録!$B$6:$B$3005,$A357,請求記録!$Z$6:$Z$3005,F$5,請求記録!$AF$6:$AF$3005,"保留中")&gt;0,"保留",IF(COUNTIFS(請求記録!$B$6:$B$3005,$A357,請求記録!$Z$6:$Z$3005,F$5)=0,"",SUMIFS(請求記録!$AE$6:$AE$3005,請求記録!$B$6:$B$3005,$A357,請求記録!$Z$6:$Z$3005,F$5))))</f>
        <v/>
      </c>
      <c r="G357" s="19">
        <f>IF($A357="","",IF(COUNTIFS(請求記録!$B$6:$B$3005,$A357,請求記録!$Z$6:$Z$3005,G$5,請求記録!$AF$6:$AF$3005,"保留中")&gt;0,"保留",IF(COUNTIFS(請求記録!$B$6:$B$3005,$A357,請求記録!$Z$6:$Z$3005,G$5)=0,"",SUMIFS(請求記録!$AE$6:$AE$3005,請求記録!$B$6:$B$3005,$A357,請求記録!$Z$6:$Z$3005,G$5))))</f>
        <v/>
      </c>
      <c r="H357" s="19">
        <f>IF($A357="","",IF(COUNTIFS(請求記録!$B$6:$B$3005,$A357,請求記録!$Z$6:$Z$3005,H$5,請求記録!$AF$6:$AF$3005,"保留中")&gt;0,"保留",IF(COUNTIFS(請求記録!$B$6:$B$3005,$A357,請求記録!$Z$6:$Z$3005,H$5)=0,"",SUMIFS(請求記録!$AE$6:$AE$3005,請求記録!$B$6:$B$3005,$A357,請求記録!$Z$6:$Z$3005,H$5))))</f>
        <v/>
      </c>
      <c r="I357" s="19">
        <f>IF($A357="","",IF(COUNTIFS(請求記録!$B$6:$B$3005,$A357,請求記録!$Z$6:$Z$3005,I$5,請求記録!$AF$6:$AF$3005,"保留中")&gt;0,"保留",IF(COUNTIFS(請求記録!$B$6:$B$3005,$A357,請求記録!$Z$6:$Z$3005,I$5)=0,"",SUMIFS(請求記録!$AE$6:$AE$3005,請求記録!$B$6:$B$3005,$A357,請求記録!$Z$6:$Z$3005,I$5))))</f>
        <v/>
      </c>
      <c r="J357" s="19">
        <f>IF($A357="","",IF(COUNTIFS(請求記録!$B$6:$B$3005,$A357,請求記録!$Z$6:$Z$3005,J$5,請求記録!$AF$6:$AF$3005,"保留中")&gt;0,"保留",IF(COUNTIFS(請求記録!$B$6:$B$3005,$A357,請求記録!$Z$6:$Z$3005,J$5)=0,"",SUMIFS(請求記録!$AE$6:$AE$3005,請求記録!$B$6:$B$3005,$A357,請求記録!$Z$6:$Z$3005,J$5))))</f>
        <v/>
      </c>
      <c r="K357" s="19">
        <f>IF($A357="","",IF(COUNTIFS(請求記録!$B$6:$B$3005,$A357,請求記録!$Z$6:$Z$3005,K$5,請求記録!$AF$6:$AF$3005,"保留中")&gt;0,"保留",IF(COUNTIFS(請求記録!$B$6:$B$3005,$A357,請求記録!$Z$6:$Z$3005,K$5)=0,"",SUMIFS(請求記録!$AE$6:$AE$3005,請求記録!$B$6:$B$3005,$A357,請求記録!$Z$6:$Z$3005,K$5))))</f>
        <v/>
      </c>
      <c r="L357" s="19">
        <f>IF($A357="","",IF(COUNTIFS(請求記録!$B$6:$B$3005,$A357,請求記録!$Z$6:$Z$3005,L$5,請求記録!$AF$6:$AF$3005,"保留中")&gt;0,"保留",IF(COUNTIFS(請求記録!$B$6:$B$3005,$A357,請求記録!$Z$6:$Z$3005,L$5)=0,"",SUMIFS(請求記録!$AE$6:$AE$3005,請求記録!$B$6:$B$3005,$A357,請求記録!$Z$6:$Z$3005,L$5))))</f>
        <v/>
      </c>
      <c r="M357" s="19">
        <f>IF($A357="","",IF(COUNTIFS(請求記録!$B$6:$B$3005,$A357,請求記録!$Z$6:$Z$3005,M$5,請求記録!$AF$6:$AF$3005,"保留中")&gt;0,"保留",IF(COUNTIFS(請求記録!$B$6:$B$3005,$A357,請求記録!$Z$6:$Z$3005,M$5)=0,"",SUMIFS(請求記録!$AE$6:$AE$3005,請求記録!$B$6:$B$3005,$A357,請求記録!$Z$6:$Z$3005,M$5))))</f>
        <v/>
      </c>
      <c r="N357" s="19">
        <f>IF($A357="","",IF(COUNTIFS(請求記録!$B$6:$B$3005,$A357,請求記録!$Z$6:$Z$3005,N$5,請求記録!$AF$6:$AF$3005,"保留中")&gt;0,"保留",IF(COUNTIFS(請求記録!$B$6:$B$3005,$A357,請求記録!$Z$6:$Z$3005,N$5)=0,"",SUMIFS(請求記録!$AE$6:$AE$3005,請求記録!$B$6:$B$3005,$A357,請求記録!$Z$6:$Z$3005,N$5))))</f>
        <v/>
      </c>
      <c r="O357" s="19">
        <f>IF($A357="","",IF(COUNTIFS(請求記録!$B$6:$B$3005,$A357,請求記録!$Z$6:$Z$3005,O$5,請求記録!$AF$6:$AF$3005,"保留中")&gt;0,"保留",IF(COUNTIFS(請求記録!$B$6:$B$3005,$A357,請求記録!$Z$6:$Z$3005,O$5)=0,"",SUMIFS(請求記録!$AE$6:$AE$3005,請求記録!$B$6:$B$3005,$A357,請求記録!$Z$6:$Z$3005,O$5))))</f>
        <v/>
      </c>
      <c r="P357" s="19">
        <f>IF($A357="","",IF(COUNTIFS(請求記録!$B$6:$B$3005,$A357,請求記録!$Z$6:$Z$3005,P$5,請求記録!$AF$6:$AF$3005,"保留中")&gt;0,"保留",IF(COUNTIFS(請求記録!$B$6:$B$3005,$A357,請求記録!$Z$6:$Z$3005,P$5)=0,"",SUMIFS(請求記録!$AE$6:$AE$3005,請求記録!$B$6:$B$3005,$A357,請求記録!$Z$6:$Z$3005,P$5))))</f>
        <v/>
      </c>
      <c r="Q357" s="19">
        <f>IF($A357="","",IF(COUNTIFS(請求記録!$B$6:$B$3005,$A357,請求記録!$Z$6:$Z$3005,Q$5,請求記録!$AF$6:$AF$3005,"保留中")&gt;0,"保留",IF(COUNTIFS(請求記録!$B$6:$B$3005,$A357,請求記録!$Z$6:$Z$3005,Q$5)=0,"",SUMIFS(請求記録!$AE$6:$AE$3005,請求記録!$B$6:$B$3005,$A357,請求記録!$Z$6:$Z$3005,Q$5))))</f>
        <v/>
      </c>
      <c r="R357" s="19">
        <f>IF($A357="","",IF(COUNTIFS(請求記録!$B$6:$B$3005,$A357,請求記録!$Z$6:$Z$3005,R$5,請求記録!$AF$6:$AF$3005,"保留中")&gt;0,"保留",IF(COUNTIFS(請求記録!$B$6:$B$3005,$A357,請求記録!$Z$6:$Z$3005,R$5)=0,"",SUMIFS(請求記録!$AE$6:$AE$3005,請求記録!$B$6:$B$3005,$A357,請求記録!$Z$6:$Z$3005,R$5))))</f>
        <v/>
      </c>
      <c r="S357" s="19">
        <f>IF($A357="","",IF(COUNTIFS(請求記録!$B$6:$B$3005,$A357,請求記録!$Z$6:$Z$3005,S$5,請求記録!$AF$6:$AF$3005,"保留中")&gt;0,"保留",IF(COUNTIFS(請求記録!$B$6:$B$3005,$A357,請求記録!$Z$6:$Z$3005,S$5)=0,"",SUMIFS(請求記録!$AE$6:$AE$3005,請求記録!$B$6:$B$3005,$A357,請求記録!$Z$6:$Z$3005,S$5))))</f>
        <v/>
      </c>
      <c r="T357" s="19">
        <f>IF($A357="","",IF(COUNTIFS(請求記録!$B$6:$B$3005,$A357,請求記録!$Z$6:$Z$3005,T$5,請求記録!$AF$6:$AF$3005,"保留中")&gt;0,"保留",IF(COUNTIFS(請求記録!$B$6:$B$3005,$A357,請求記録!$Z$6:$Z$3005,T$5)=0,"",SUMIFS(請求記録!$AE$6:$AE$3005,請求記録!$B$6:$B$3005,$A357,請求記録!$Z$6:$Z$3005,T$5))))</f>
        <v/>
      </c>
      <c r="U357" s="19">
        <f>IF($A357="","",IF(COUNTIFS(請求記録!$B$6:$B$3005,$A357,請求記録!$Z$6:$Z$3005,U$5,請求記録!$AF$6:$AF$3005,"保留中")&gt;0,"保留",IF(COUNTIFS(請求記録!$B$6:$B$3005,$A357,請求記録!$Z$6:$Z$3005,U$5)=0,"",SUMIFS(請求記録!$AE$6:$AE$3005,請求記録!$B$6:$B$3005,$A357,請求記録!$Z$6:$Z$3005,U$5))))</f>
        <v/>
      </c>
      <c r="V357" s="19">
        <f>IF($A357="","",IF(COUNTIFS(請求記録!$B$6:$B$3005,$A357,請求記録!$Z$6:$Z$3005,V$5,請求記録!$AF$6:$AF$3005,"保留中")&gt;0,"保留",IF(COUNTIFS(請求記録!$B$6:$B$3005,$A357,請求記録!$Z$6:$Z$3005,V$5)=0,"",SUMIFS(請求記録!$AE$6:$AE$3005,請求記録!$B$6:$B$3005,$A357,請求記録!$Z$6:$Z$3005,V$5))))</f>
        <v/>
      </c>
      <c r="W357" s="19">
        <f>IF($A357="","",IF(COUNTIFS(請求記録!$B$6:$B$3005,$A357,請求記録!$Z$6:$Z$3005,W$5,請求記録!$AF$6:$AF$3005,"保留中")&gt;0,"保留",IF(COUNTIFS(請求記録!$B$6:$B$3005,$A357,請求記録!$Z$6:$Z$3005,W$5)=0,"",SUMIFS(請求記録!$AE$6:$AE$3005,請求記録!$B$6:$B$3005,$A357,請求記録!$Z$6:$Z$3005,W$5))))</f>
        <v/>
      </c>
      <c r="X357" s="19">
        <f>IF($A357="","",IF(COUNTIFS(請求記録!$B$6:$B$3005,$A357,請求記録!$Z$6:$Z$3005,X$5,請求記録!$AF$6:$AF$3005,"保留中")&gt;0,"保留",IF(COUNTIFS(請求記録!$B$6:$B$3005,$A357,請求記録!$Z$6:$Z$3005,X$5)=0,"",SUMIFS(請求記録!$AE$6:$AE$3005,請求記録!$B$6:$B$3005,$A357,請求記録!$Z$6:$Z$3005,X$5))))</f>
        <v/>
      </c>
      <c r="Y357" s="19">
        <f>IF($A357="","",IF(COUNTIFS(請求記録!$B$6:$B$3005,$A357,請求記録!$Z$6:$Z$3005,Y$5,請求記録!$AF$6:$AF$3005,"保留中")&gt;0,"保留",IF(COUNTIFS(請求記録!$B$6:$B$3005,$A357,請求記録!$Z$6:$Z$3005,Y$5)=0,"",SUMIFS(請求記録!$AE$6:$AE$3005,請求記録!$B$6:$B$3005,$A357,請求記録!$Z$6:$Z$3005,Y$5))))</f>
        <v/>
      </c>
      <c r="Z357" s="19">
        <f>IF($A357="","",IF(COUNTIFS(請求記録!$B$6:$B$3005,$A357,請求記録!$Z$6:$Z$3005,Z$5,請求記録!$AF$6:$AF$3005,"保留中")&gt;0,"保留",IF(COUNTIFS(請求記録!$B$6:$B$3005,$A357,請求記録!$Z$6:$Z$3005,Z$5)=0,"",SUMIFS(請求記録!$AE$6:$AE$3005,請求記録!$B$6:$B$3005,$A357,請求記録!$Z$6:$Z$3005,Z$5))))</f>
        <v/>
      </c>
      <c r="AA357" s="19">
        <f>IF($A357="","",IF(COUNTIFS(請求記録!$B$6:$B$3005,$A357,請求記録!$Z$6:$Z$3005,AA$5,請求記録!$AF$6:$AF$3005,"保留中")&gt;0,"保留",IF(COUNTIFS(請求記録!$B$6:$B$3005,$A357,請求記録!$Z$6:$Z$3005,AA$5)=0,"",SUMIFS(請求記録!$AE$6:$AE$3005,請求記録!$B$6:$B$3005,$A357,請求記録!$Z$6:$Z$3005,AA$5))))</f>
        <v/>
      </c>
      <c r="AB357">
        <f>IF(職員マスタ!P357="保留中",職員マスタ!M357,"")</f>
        <v/>
      </c>
    </row>
    <row r="358">
      <c r="A358">
        <f>IF(職員マスタ!A358="","",職員マスタ!A358)</f>
        <v/>
      </c>
      <c r="B358">
        <f>IF($A358="","",職員マスタ!B358)</f>
        <v/>
      </c>
      <c r="C358">
        <f>IF($A358="","",職員マスタ!C358)</f>
        <v/>
      </c>
      <c r="D358" s="19">
        <f>IF($A358="","",IF(COUNTIFS(請求記録!$B$6:$B$3005,$A358,請求記録!$Z$6:$Z$3005,D$5,請求記録!$AF$6:$AF$3005,"保留中")&gt;0,"保留",IF(COUNTIFS(請求記録!$B$6:$B$3005,$A358,請求記録!$Z$6:$Z$3005,D$5)=0,"",SUMIFS(請求記録!$AE$6:$AE$3005,請求記録!$B$6:$B$3005,$A358,請求記録!$Z$6:$Z$3005,D$5))))</f>
        <v/>
      </c>
      <c r="E358" s="19">
        <f>IF($A358="","",IF(COUNTIFS(請求記録!$B$6:$B$3005,$A358,請求記録!$Z$6:$Z$3005,E$5,請求記録!$AF$6:$AF$3005,"保留中")&gt;0,"保留",IF(COUNTIFS(請求記録!$B$6:$B$3005,$A358,請求記録!$Z$6:$Z$3005,E$5)=0,"",SUMIFS(請求記録!$AE$6:$AE$3005,請求記録!$B$6:$B$3005,$A358,請求記録!$Z$6:$Z$3005,E$5))))</f>
        <v/>
      </c>
      <c r="F358" s="19">
        <f>IF($A358="","",IF(COUNTIFS(請求記録!$B$6:$B$3005,$A358,請求記録!$Z$6:$Z$3005,F$5,請求記録!$AF$6:$AF$3005,"保留中")&gt;0,"保留",IF(COUNTIFS(請求記録!$B$6:$B$3005,$A358,請求記録!$Z$6:$Z$3005,F$5)=0,"",SUMIFS(請求記録!$AE$6:$AE$3005,請求記録!$B$6:$B$3005,$A358,請求記録!$Z$6:$Z$3005,F$5))))</f>
        <v/>
      </c>
      <c r="G358" s="19">
        <f>IF($A358="","",IF(COUNTIFS(請求記録!$B$6:$B$3005,$A358,請求記録!$Z$6:$Z$3005,G$5,請求記録!$AF$6:$AF$3005,"保留中")&gt;0,"保留",IF(COUNTIFS(請求記録!$B$6:$B$3005,$A358,請求記録!$Z$6:$Z$3005,G$5)=0,"",SUMIFS(請求記録!$AE$6:$AE$3005,請求記録!$B$6:$B$3005,$A358,請求記録!$Z$6:$Z$3005,G$5))))</f>
        <v/>
      </c>
      <c r="H358" s="19">
        <f>IF($A358="","",IF(COUNTIFS(請求記録!$B$6:$B$3005,$A358,請求記録!$Z$6:$Z$3005,H$5,請求記録!$AF$6:$AF$3005,"保留中")&gt;0,"保留",IF(COUNTIFS(請求記録!$B$6:$B$3005,$A358,請求記録!$Z$6:$Z$3005,H$5)=0,"",SUMIFS(請求記録!$AE$6:$AE$3005,請求記録!$B$6:$B$3005,$A358,請求記録!$Z$6:$Z$3005,H$5))))</f>
        <v/>
      </c>
      <c r="I358" s="19">
        <f>IF($A358="","",IF(COUNTIFS(請求記録!$B$6:$B$3005,$A358,請求記録!$Z$6:$Z$3005,I$5,請求記録!$AF$6:$AF$3005,"保留中")&gt;0,"保留",IF(COUNTIFS(請求記録!$B$6:$B$3005,$A358,請求記録!$Z$6:$Z$3005,I$5)=0,"",SUMIFS(請求記録!$AE$6:$AE$3005,請求記録!$B$6:$B$3005,$A358,請求記録!$Z$6:$Z$3005,I$5))))</f>
        <v/>
      </c>
      <c r="J358" s="19">
        <f>IF($A358="","",IF(COUNTIFS(請求記録!$B$6:$B$3005,$A358,請求記録!$Z$6:$Z$3005,J$5,請求記録!$AF$6:$AF$3005,"保留中")&gt;0,"保留",IF(COUNTIFS(請求記録!$B$6:$B$3005,$A358,請求記録!$Z$6:$Z$3005,J$5)=0,"",SUMIFS(請求記録!$AE$6:$AE$3005,請求記録!$B$6:$B$3005,$A358,請求記録!$Z$6:$Z$3005,J$5))))</f>
        <v/>
      </c>
      <c r="K358" s="19">
        <f>IF($A358="","",IF(COUNTIFS(請求記録!$B$6:$B$3005,$A358,請求記録!$Z$6:$Z$3005,K$5,請求記録!$AF$6:$AF$3005,"保留中")&gt;0,"保留",IF(COUNTIFS(請求記録!$B$6:$B$3005,$A358,請求記録!$Z$6:$Z$3005,K$5)=0,"",SUMIFS(請求記録!$AE$6:$AE$3005,請求記録!$B$6:$B$3005,$A358,請求記録!$Z$6:$Z$3005,K$5))))</f>
        <v/>
      </c>
      <c r="L358" s="19">
        <f>IF($A358="","",IF(COUNTIFS(請求記録!$B$6:$B$3005,$A358,請求記録!$Z$6:$Z$3005,L$5,請求記録!$AF$6:$AF$3005,"保留中")&gt;0,"保留",IF(COUNTIFS(請求記録!$B$6:$B$3005,$A358,請求記録!$Z$6:$Z$3005,L$5)=0,"",SUMIFS(請求記録!$AE$6:$AE$3005,請求記録!$B$6:$B$3005,$A358,請求記録!$Z$6:$Z$3005,L$5))))</f>
        <v/>
      </c>
      <c r="M358" s="19">
        <f>IF($A358="","",IF(COUNTIFS(請求記録!$B$6:$B$3005,$A358,請求記録!$Z$6:$Z$3005,M$5,請求記録!$AF$6:$AF$3005,"保留中")&gt;0,"保留",IF(COUNTIFS(請求記録!$B$6:$B$3005,$A358,請求記録!$Z$6:$Z$3005,M$5)=0,"",SUMIFS(請求記録!$AE$6:$AE$3005,請求記録!$B$6:$B$3005,$A358,請求記録!$Z$6:$Z$3005,M$5))))</f>
        <v/>
      </c>
      <c r="N358" s="19">
        <f>IF($A358="","",IF(COUNTIFS(請求記録!$B$6:$B$3005,$A358,請求記録!$Z$6:$Z$3005,N$5,請求記録!$AF$6:$AF$3005,"保留中")&gt;0,"保留",IF(COUNTIFS(請求記録!$B$6:$B$3005,$A358,請求記録!$Z$6:$Z$3005,N$5)=0,"",SUMIFS(請求記録!$AE$6:$AE$3005,請求記録!$B$6:$B$3005,$A358,請求記録!$Z$6:$Z$3005,N$5))))</f>
        <v/>
      </c>
      <c r="O358" s="19">
        <f>IF($A358="","",IF(COUNTIFS(請求記録!$B$6:$B$3005,$A358,請求記録!$Z$6:$Z$3005,O$5,請求記録!$AF$6:$AF$3005,"保留中")&gt;0,"保留",IF(COUNTIFS(請求記録!$B$6:$B$3005,$A358,請求記録!$Z$6:$Z$3005,O$5)=0,"",SUMIFS(請求記録!$AE$6:$AE$3005,請求記録!$B$6:$B$3005,$A358,請求記録!$Z$6:$Z$3005,O$5))))</f>
        <v/>
      </c>
      <c r="P358" s="19">
        <f>IF($A358="","",IF(COUNTIFS(請求記録!$B$6:$B$3005,$A358,請求記録!$Z$6:$Z$3005,P$5,請求記録!$AF$6:$AF$3005,"保留中")&gt;0,"保留",IF(COUNTIFS(請求記録!$B$6:$B$3005,$A358,請求記録!$Z$6:$Z$3005,P$5)=0,"",SUMIFS(請求記録!$AE$6:$AE$3005,請求記録!$B$6:$B$3005,$A358,請求記録!$Z$6:$Z$3005,P$5))))</f>
        <v/>
      </c>
      <c r="Q358" s="19">
        <f>IF($A358="","",IF(COUNTIFS(請求記録!$B$6:$B$3005,$A358,請求記録!$Z$6:$Z$3005,Q$5,請求記録!$AF$6:$AF$3005,"保留中")&gt;0,"保留",IF(COUNTIFS(請求記録!$B$6:$B$3005,$A358,請求記録!$Z$6:$Z$3005,Q$5)=0,"",SUMIFS(請求記録!$AE$6:$AE$3005,請求記録!$B$6:$B$3005,$A358,請求記録!$Z$6:$Z$3005,Q$5))))</f>
        <v/>
      </c>
      <c r="R358" s="19">
        <f>IF($A358="","",IF(COUNTIFS(請求記録!$B$6:$B$3005,$A358,請求記録!$Z$6:$Z$3005,R$5,請求記録!$AF$6:$AF$3005,"保留中")&gt;0,"保留",IF(COUNTIFS(請求記録!$B$6:$B$3005,$A358,請求記録!$Z$6:$Z$3005,R$5)=0,"",SUMIFS(請求記録!$AE$6:$AE$3005,請求記録!$B$6:$B$3005,$A358,請求記録!$Z$6:$Z$3005,R$5))))</f>
        <v/>
      </c>
      <c r="S358" s="19">
        <f>IF($A358="","",IF(COUNTIFS(請求記録!$B$6:$B$3005,$A358,請求記録!$Z$6:$Z$3005,S$5,請求記録!$AF$6:$AF$3005,"保留中")&gt;0,"保留",IF(COUNTIFS(請求記録!$B$6:$B$3005,$A358,請求記録!$Z$6:$Z$3005,S$5)=0,"",SUMIFS(請求記録!$AE$6:$AE$3005,請求記録!$B$6:$B$3005,$A358,請求記録!$Z$6:$Z$3005,S$5))))</f>
        <v/>
      </c>
      <c r="T358" s="19">
        <f>IF($A358="","",IF(COUNTIFS(請求記録!$B$6:$B$3005,$A358,請求記録!$Z$6:$Z$3005,T$5,請求記録!$AF$6:$AF$3005,"保留中")&gt;0,"保留",IF(COUNTIFS(請求記録!$B$6:$B$3005,$A358,請求記録!$Z$6:$Z$3005,T$5)=0,"",SUMIFS(請求記録!$AE$6:$AE$3005,請求記録!$B$6:$B$3005,$A358,請求記録!$Z$6:$Z$3005,T$5))))</f>
        <v/>
      </c>
      <c r="U358" s="19">
        <f>IF($A358="","",IF(COUNTIFS(請求記録!$B$6:$B$3005,$A358,請求記録!$Z$6:$Z$3005,U$5,請求記録!$AF$6:$AF$3005,"保留中")&gt;0,"保留",IF(COUNTIFS(請求記録!$B$6:$B$3005,$A358,請求記録!$Z$6:$Z$3005,U$5)=0,"",SUMIFS(請求記録!$AE$6:$AE$3005,請求記録!$B$6:$B$3005,$A358,請求記録!$Z$6:$Z$3005,U$5))))</f>
        <v/>
      </c>
      <c r="V358" s="19">
        <f>IF($A358="","",IF(COUNTIFS(請求記録!$B$6:$B$3005,$A358,請求記録!$Z$6:$Z$3005,V$5,請求記録!$AF$6:$AF$3005,"保留中")&gt;0,"保留",IF(COUNTIFS(請求記録!$B$6:$B$3005,$A358,請求記録!$Z$6:$Z$3005,V$5)=0,"",SUMIFS(請求記録!$AE$6:$AE$3005,請求記録!$B$6:$B$3005,$A358,請求記録!$Z$6:$Z$3005,V$5))))</f>
        <v/>
      </c>
      <c r="W358" s="19">
        <f>IF($A358="","",IF(COUNTIFS(請求記録!$B$6:$B$3005,$A358,請求記録!$Z$6:$Z$3005,W$5,請求記録!$AF$6:$AF$3005,"保留中")&gt;0,"保留",IF(COUNTIFS(請求記録!$B$6:$B$3005,$A358,請求記録!$Z$6:$Z$3005,W$5)=0,"",SUMIFS(請求記録!$AE$6:$AE$3005,請求記録!$B$6:$B$3005,$A358,請求記録!$Z$6:$Z$3005,W$5))))</f>
        <v/>
      </c>
      <c r="X358" s="19">
        <f>IF($A358="","",IF(COUNTIFS(請求記録!$B$6:$B$3005,$A358,請求記録!$Z$6:$Z$3005,X$5,請求記録!$AF$6:$AF$3005,"保留中")&gt;0,"保留",IF(COUNTIFS(請求記録!$B$6:$B$3005,$A358,請求記録!$Z$6:$Z$3005,X$5)=0,"",SUMIFS(請求記録!$AE$6:$AE$3005,請求記録!$B$6:$B$3005,$A358,請求記録!$Z$6:$Z$3005,X$5))))</f>
        <v/>
      </c>
      <c r="Y358" s="19">
        <f>IF($A358="","",IF(COUNTIFS(請求記録!$B$6:$B$3005,$A358,請求記録!$Z$6:$Z$3005,Y$5,請求記録!$AF$6:$AF$3005,"保留中")&gt;0,"保留",IF(COUNTIFS(請求記録!$B$6:$B$3005,$A358,請求記録!$Z$6:$Z$3005,Y$5)=0,"",SUMIFS(請求記録!$AE$6:$AE$3005,請求記録!$B$6:$B$3005,$A358,請求記録!$Z$6:$Z$3005,Y$5))))</f>
        <v/>
      </c>
      <c r="Z358" s="19">
        <f>IF($A358="","",IF(COUNTIFS(請求記録!$B$6:$B$3005,$A358,請求記録!$Z$6:$Z$3005,Z$5,請求記録!$AF$6:$AF$3005,"保留中")&gt;0,"保留",IF(COUNTIFS(請求記録!$B$6:$B$3005,$A358,請求記録!$Z$6:$Z$3005,Z$5)=0,"",SUMIFS(請求記録!$AE$6:$AE$3005,請求記録!$B$6:$B$3005,$A358,請求記録!$Z$6:$Z$3005,Z$5))))</f>
        <v/>
      </c>
      <c r="AA358" s="19">
        <f>IF($A358="","",IF(COUNTIFS(請求記録!$B$6:$B$3005,$A358,請求記録!$Z$6:$Z$3005,AA$5,請求記録!$AF$6:$AF$3005,"保留中")&gt;0,"保留",IF(COUNTIFS(請求記録!$B$6:$B$3005,$A358,請求記録!$Z$6:$Z$3005,AA$5)=0,"",SUMIFS(請求記録!$AE$6:$AE$3005,請求記録!$B$6:$B$3005,$A358,請求記録!$Z$6:$Z$3005,AA$5))))</f>
        <v/>
      </c>
      <c r="AB358">
        <f>IF(職員マスタ!P358="保留中",職員マスタ!M358,"")</f>
        <v/>
      </c>
    </row>
    <row r="359">
      <c r="A359">
        <f>IF(職員マスタ!A359="","",職員マスタ!A359)</f>
        <v/>
      </c>
      <c r="B359">
        <f>IF($A359="","",職員マスタ!B359)</f>
        <v/>
      </c>
      <c r="C359">
        <f>IF($A359="","",職員マスタ!C359)</f>
        <v/>
      </c>
      <c r="D359" s="19">
        <f>IF($A359="","",IF(COUNTIFS(請求記録!$B$6:$B$3005,$A359,請求記録!$Z$6:$Z$3005,D$5,請求記録!$AF$6:$AF$3005,"保留中")&gt;0,"保留",IF(COUNTIFS(請求記録!$B$6:$B$3005,$A359,請求記録!$Z$6:$Z$3005,D$5)=0,"",SUMIFS(請求記録!$AE$6:$AE$3005,請求記録!$B$6:$B$3005,$A359,請求記録!$Z$6:$Z$3005,D$5))))</f>
        <v/>
      </c>
      <c r="E359" s="19">
        <f>IF($A359="","",IF(COUNTIFS(請求記録!$B$6:$B$3005,$A359,請求記録!$Z$6:$Z$3005,E$5,請求記録!$AF$6:$AF$3005,"保留中")&gt;0,"保留",IF(COUNTIFS(請求記録!$B$6:$B$3005,$A359,請求記録!$Z$6:$Z$3005,E$5)=0,"",SUMIFS(請求記録!$AE$6:$AE$3005,請求記録!$B$6:$B$3005,$A359,請求記録!$Z$6:$Z$3005,E$5))))</f>
        <v/>
      </c>
      <c r="F359" s="19">
        <f>IF($A359="","",IF(COUNTIFS(請求記録!$B$6:$B$3005,$A359,請求記録!$Z$6:$Z$3005,F$5,請求記録!$AF$6:$AF$3005,"保留中")&gt;0,"保留",IF(COUNTIFS(請求記録!$B$6:$B$3005,$A359,請求記録!$Z$6:$Z$3005,F$5)=0,"",SUMIFS(請求記録!$AE$6:$AE$3005,請求記録!$B$6:$B$3005,$A359,請求記録!$Z$6:$Z$3005,F$5))))</f>
        <v/>
      </c>
      <c r="G359" s="19">
        <f>IF($A359="","",IF(COUNTIFS(請求記録!$B$6:$B$3005,$A359,請求記録!$Z$6:$Z$3005,G$5,請求記録!$AF$6:$AF$3005,"保留中")&gt;0,"保留",IF(COUNTIFS(請求記録!$B$6:$B$3005,$A359,請求記録!$Z$6:$Z$3005,G$5)=0,"",SUMIFS(請求記録!$AE$6:$AE$3005,請求記録!$B$6:$B$3005,$A359,請求記録!$Z$6:$Z$3005,G$5))))</f>
        <v/>
      </c>
      <c r="H359" s="19">
        <f>IF($A359="","",IF(COUNTIFS(請求記録!$B$6:$B$3005,$A359,請求記録!$Z$6:$Z$3005,H$5,請求記録!$AF$6:$AF$3005,"保留中")&gt;0,"保留",IF(COUNTIFS(請求記録!$B$6:$B$3005,$A359,請求記録!$Z$6:$Z$3005,H$5)=0,"",SUMIFS(請求記録!$AE$6:$AE$3005,請求記録!$B$6:$B$3005,$A359,請求記録!$Z$6:$Z$3005,H$5))))</f>
        <v/>
      </c>
      <c r="I359" s="19">
        <f>IF($A359="","",IF(COUNTIFS(請求記録!$B$6:$B$3005,$A359,請求記録!$Z$6:$Z$3005,I$5,請求記録!$AF$6:$AF$3005,"保留中")&gt;0,"保留",IF(COUNTIFS(請求記録!$B$6:$B$3005,$A359,請求記録!$Z$6:$Z$3005,I$5)=0,"",SUMIFS(請求記録!$AE$6:$AE$3005,請求記録!$B$6:$B$3005,$A359,請求記録!$Z$6:$Z$3005,I$5))))</f>
        <v/>
      </c>
      <c r="J359" s="19">
        <f>IF($A359="","",IF(COUNTIFS(請求記録!$B$6:$B$3005,$A359,請求記録!$Z$6:$Z$3005,J$5,請求記録!$AF$6:$AF$3005,"保留中")&gt;0,"保留",IF(COUNTIFS(請求記録!$B$6:$B$3005,$A359,請求記録!$Z$6:$Z$3005,J$5)=0,"",SUMIFS(請求記録!$AE$6:$AE$3005,請求記録!$B$6:$B$3005,$A359,請求記録!$Z$6:$Z$3005,J$5))))</f>
        <v/>
      </c>
      <c r="K359" s="19">
        <f>IF($A359="","",IF(COUNTIFS(請求記録!$B$6:$B$3005,$A359,請求記録!$Z$6:$Z$3005,K$5,請求記録!$AF$6:$AF$3005,"保留中")&gt;0,"保留",IF(COUNTIFS(請求記録!$B$6:$B$3005,$A359,請求記録!$Z$6:$Z$3005,K$5)=0,"",SUMIFS(請求記録!$AE$6:$AE$3005,請求記録!$B$6:$B$3005,$A359,請求記録!$Z$6:$Z$3005,K$5))))</f>
        <v/>
      </c>
      <c r="L359" s="19">
        <f>IF($A359="","",IF(COUNTIFS(請求記録!$B$6:$B$3005,$A359,請求記録!$Z$6:$Z$3005,L$5,請求記録!$AF$6:$AF$3005,"保留中")&gt;0,"保留",IF(COUNTIFS(請求記録!$B$6:$B$3005,$A359,請求記録!$Z$6:$Z$3005,L$5)=0,"",SUMIFS(請求記録!$AE$6:$AE$3005,請求記録!$B$6:$B$3005,$A359,請求記録!$Z$6:$Z$3005,L$5))))</f>
        <v/>
      </c>
      <c r="M359" s="19">
        <f>IF($A359="","",IF(COUNTIFS(請求記録!$B$6:$B$3005,$A359,請求記録!$Z$6:$Z$3005,M$5,請求記録!$AF$6:$AF$3005,"保留中")&gt;0,"保留",IF(COUNTIFS(請求記録!$B$6:$B$3005,$A359,請求記録!$Z$6:$Z$3005,M$5)=0,"",SUMIFS(請求記録!$AE$6:$AE$3005,請求記録!$B$6:$B$3005,$A359,請求記録!$Z$6:$Z$3005,M$5))))</f>
        <v/>
      </c>
      <c r="N359" s="19">
        <f>IF($A359="","",IF(COUNTIFS(請求記録!$B$6:$B$3005,$A359,請求記録!$Z$6:$Z$3005,N$5,請求記録!$AF$6:$AF$3005,"保留中")&gt;0,"保留",IF(COUNTIFS(請求記録!$B$6:$B$3005,$A359,請求記録!$Z$6:$Z$3005,N$5)=0,"",SUMIFS(請求記録!$AE$6:$AE$3005,請求記録!$B$6:$B$3005,$A359,請求記録!$Z$6:$Z$3005,N$5))))</f>
        <v/>
      </c>
      <c r="O359" s="19">
        <f>IF($A359="","",IF(COUNTIFS(請求記録!$B$6:$B$3005,$A359,請求記録!$Z$6:$Z$3005,O$5,請求記録!$AF$6:$AF$3005,"保留中")&gt;0,"保留",IF(COUNTIFS(請求記録!$B$6:$B$3005,$A359,請求記録!$Z$6:$Z$3005,O$5)=0,"",SUMIFS(請求記録!$AE$6:$AE$3005,請求記録!$B$6:$B$3005,$A359,請求記録!$Z$6:$Z$3005,O$5))))</f>
        <v/>
      </c>
      <c r="P359" s="19">
        <f>IF($A359="","",IF(COUNTIFS(請求記録!$B$6:$B$3005,$A359,請求記録!$Z$6:$Z$3005,P$5,請求記録!$AF$6:$AF$3005,"保留中")&gt;0,"保留",IF(COUNTIFS(請求記録!$B$6:$B$3005,$A359,請求記録!$Z$6:$Z$3005,P$5)=0,"",SUMIFS(請求記録!$AE$6:$AE$3005,請求記録!$B$6:$B$3005,$A359,請求記録!$Z$6:$Z$3005,P$5))))</f>
        <v/>
      </c>
      <c r="Q359" s="19">
        <f>IF($A359="","",IF(COUNTIFS(請求記録!$B$6:$B$3005,$A359,請求記録!$Z$6:$Z$3005,Q$5,請求記録!$AF$6:$AF$3005,"保留中")&gt;0,"保留",IF(COUNTIFS(請求記録!$B$6:$B$3005,$A359,請求記録!$Z$6:$Z$3005,Q$5)=0,"",SUMIFS(請求記録!$AE$6:$AE$3005,請求記録!$B$6:$B$3005,$A359,請求記録!$Z$6:$Z$3005,Q$5))))</f>
        <v/>
      </c>
      <c r="R359" s="19">
        <f>IF($A359="","",IF(COUNTIFS(請求記録!$B$6:$B$3005,$A359,請求記録!$Z$6:$Z$3005,R$5,請求記録!$AF$6:$AF$3005,"保留中")&gt;0,"保留",IF(COUNTIFS(請求記録!$B$6:$B$3005,$A359,請求記録!$Z$6:$Z$3005,R$5)=0,"",SUMIFS(請求記録!$AE$6:$AE$3005,請求記録!$B$6:$B$3005,$A359,請求記録!$Z$6:$Z$3005,R$5))))</f>
        <v/>
      </c>
      <c r="S359" s="19">
        <f>IF($A359="","",IF(COUNTIFS(請求記録!$B$6:$B$3005,$A359,請求記録!$Z$6:$Z$3005,S$5,請求記録!$AF$6:$AF$3005,"保留中")&gt;0,"保留",IF(COUNTIFS(請求記録!$B$6:$B$3005,$A359,請求記録!$Z$6:$Z$3005,S$5)=0,"",SUMIFS(請求記録!$AE$6:$AE$3005,請求記録!$B$6:$B$3005,$A359,請求記録!$Z$6:$Z$3005,S$5))))</f>
        <v/>
      </c>
      <c r="T359" s="19">
        <f>IF($A359="","",IF(COUNTIFS(請求記録!$B$6:$B$3005,$A359,請求記録!$Z$6:$Z$3005,T$5,請求記録!$AF$6:$AF$3005,"保留中")&gt;0,"保留",IF(COUNTIFS(請求記録!$B$6:$B$3005,$A359,請求記録!$Z$6:$Z$3005,T$5)=0,"",SUMIFS(請求記録!$AE$6:$AE$3005,請求記録!$B$6:$B$3005,$A359,請求記録!$Z$6:$Z$3005,T$5))))</f>
        <v/>
      </c>
      <c r="U359" s="19">
        <f>IF($A359="","",IF(COUNTIFS(請求記録!$B$6:$B$3005,$A359,請求記録!$Z$6:$Z$3005,U$5,請求記録!$AF$6:$AF$3005,"保留中")&gt;0,"保留",IF(COUNTIFS(請求記録!$B$6:$B$3005,$A359,請求記録!$Z$6:$Z$3005,U$5)=0,"",SUMIFS(請求記録!$AE$6:$AE$3005,請求記録!$B$6:$B$3005,$A359,請求記録!$Z$6:$Z$3005,U$5))))</f>
        <v/>
      </c>
      <c r="V359" s="19">
        <f>IF($A359="","",IF(COUNTIFS(請求記録!$B$6:$B$3005,$A359,請求記録!$Z$6:$Z$3005,V$5,請求記録!$AF$6:$AF$3005,"保留中")&gt;0,"保留",IF(COUNTIFS(請求記録!$B$6:$B$3005,$A359,請求記録!$Z$6:$Z$3005,V$5)=0,"",SUMIFS(請求記録!$AE$6:$AE$3005,請求記録!$B$6:$B$3005,$A359,請求記録!$Z$6:$Z$3005,V$5))))</f>
        <v/>
      </c>
      <c r="W359" s="19">
        <f>IF($A359="","",IF(COUNTIFS(請求記録!$B$6:$B$3005,$A359,請求記録!$Z$6:$Z$3005,W$5,請求記録!$AF$6:$AF$3005,"保留中")&gt;0,"保留",IF(COUNTIFS(請求記録!$B$6:$B$3005,$A359,請求記録!$Z$6:$Z$3005,W$5)=0,"",SUMIFS(請求記録!$AE$6:$AE$3005,請求記録!$B$6:$B$3005,$A359,請求記録!$Z$6:$Z$3005,W$5))))</f>
        <v/>
      </c>
      <c r="X359" s="19">
        <f>IF($A359="","",IF(COUNTIFS(請求記録!$B$6:$B$3005,$A359,請求記録!$Z$6:$Z$3005,X$5,請求記録!$AF$6:$AF$3005,"保留中")&gt;0,"保留",IF(COUNTIFS(請求記録!$B$6:$B$3005,$A359,請求記録!$Z$6:$Z$3005,X$5)=0,"",SUMIFS(請求記録!$AE$6:$AE$3005,請求記録!$B$6:$B$3005,$A359,請求記録!$Z$6:$Z$3005,X$5))))</f>
        <v/>
      </c>
      <c r="Y359" s="19">
        <f>IF($A359="","",IF(COUNTIFS(請求記録!$B$6:$B$3005,$A359,請求記録!$Z$6:$Z$3005,Y$5,請求記録!$AF$6:$AF$3005,"保留中")&gt;0,"保留",IF(COUNTIFS(請求記録!$B$6:$B$3005,$A359,請求記録!$Z$6:$Z$3005,Y$5)=0,"",SUMIFS(請求記録!$AE$6:$AE$3005,請求記録!$B$6:$B$3005,$A359,請求記録!$Z$6:$Z$3005,Y$5))))</f>
        <v/>
      </c>
      <c r="Z359" s="19">
        <f>IF($A359="","",IF(COUNTIFS(請求記録!$B$6:$B$3005,$A359,請求記録!$Z$6:$Z$3005,Z$5,請求記録!$AF$6:$AF$3005,"保留中")&gt;0,"保留",IF(COUNTIFS(請求記録!$B$6:$B$3005,$A359,請求記録!$Z$6:$Z$3005,Z$5)=0,"",SUMIFS(請求記録!$AE$6:$AE$3005,請求記録!$B$6:$B$3005,$A359,請求記録!$Z$6:$Z$3005,Z$5))))</f>
        <v/>
      </c>
      <c r="AA359" s="19">
        <f>IF($A359="","",IF(COUNTIFS(請求記録!$B$6:$B$3005,$A359,請求記録!$Z$6:$Z$3005,AA$5,請求記録!$AF$6:$AF$3005,"保留中")&gt;0,"保留",IF(COUNTIFS(請求記録!$B$6:$B$3005,$A359,請求記録!$Z$6:$Z$3005,AA$5)=0,"",SUMIFS(請求記録!$AE$6:$AE$3005,請求記録!$B$6:$B$3005,$A359,請求記録!$Z$6:$Z$3005,AA$5))))</f>
        <v/>
      </c>
      <c r="AB359">
        <f>IF(職員マスタ!P359="保留中",職員マスタ!M359,"")</f>
        <v/>
      </c>
    </row>
    <row r="360">
      <c r="A360">
        <f>IF(職員マスタ!A360="","",職員マスタ!A360)</f>
        <v/>
      </c>
      <c r="B360">
        <f>IF($A360="","",職員マスタ!B360)</f>
        <v/>
      </c>
      <c r="C360">
        <f>IF($A360="","",職員マスタ!C360)</f>
        <v/>
      </c>
      <c r="D360" s="19">
        <f>IF($A360="","",IF(COUNTIFS(請求記録!$B$6:$B$3005,$A360,請求記録!$Z$6:$Z$3005,D$5,請求記録!$AF$6:$AF$3005,"保留中")&gt;0,"保留",IF(COUNTIFS(請求記録!$B$6:$B$3005,$A360,請求記録!$Z$6:$Z$3005,D$5)=0,"",SUMIFS(請求記録!$AE$6:$AE$3005,請求記録!$B$6:$B$3005,$A360,請求記録!$Z$6:$Z$3005,D$5))))</f>
        <v/>
      </c>
      <c r="E360" s="19">
        <f>IF($A360="","",IF(COUNTIFS(請求記録!$B$6:$B$3005,$A360,請求記録!$Z$6:$Z$3005,E$5,請求記録!$AF$6:$AF$3005,"保留中")&gt;0,"保留",IF(COUNTIFS(請求記録!$B$6:$B$3005,$A360,請求記録!$Z$6:$Z$3005,E$5)=0,"",SUMIFS(請求記録!$AE$6:$AE$3005,請求記録!$B$6:$B$3005,$A360,請求記録!$Z$6:$Z$3005,E$5))))</f>
        <v/>
      </c>
      <c r="F360" s="19">
        <f>IF($A360="","",IF(COUNTIFS(請求記録!$B$6:$B$3005,$A360,請求記録!$Z$6:$Z$3005,F$5,請求記録!$AF$6:$AF$3005,"保留中")&gt;0,"保留",IF(COUNTIFS(請求記録!$B$6:$B$3005,$A360,請求記録!$Z$6:$Z$3005,F$5)=0,"",SUMIFS(請求記録!$AE$6:$AE$3005,請求記録!$B$6:$B$3005,$A360,請求記録!$Z$6:$Z$3005,F$5))))</f>
        <v/>
      </c>
      <c r="G360" s="19">
        <f>IF($A360="","",IF(COUNTIFS(請求記録!$B$6:$B$3005,$A360,請求記録!$Z$6:$Z$3005,G$5,請求記録!$AF$6:$AF$3005,"保留中")&gt;0,"保留",IF(COUNTIFS(請求記録!$B$6:$B$3005,$A360,請求記録!$Z$6:$Z$3005,G$5)=0,"",SUMIFS(請求記録!$AE$6:$AE$3005,請求記録!$B$6:$B$3005,$A360,請求記録!$Z$6:$Z$3005,G$5))))</f>
        <v/>
      </c>
      <c r="H360" s="19">
        <f>IF($A360="","",IF(COUNTIFS(請求記録!$B$6:$B$3005,$A360,請求記録!$Z$6:$Z$3005,H$5,請求記録!$AF$6:$AF$3005,"保留中")&gt;0,"保留",IF(COUNTIFS(請求記録!$B$6:$B$3005,$A360,請求記録!$Z$6:$Z$3005,H$5)=0,"",SUMIFS(請求記録!$AE$6:$AE$3005,請求記録!$B$6:$B$3005,$A360,請求記録!$Z$6:$Z$3005,H$5))))</f>
        <v/>
      </c>
      <c r="I360" s="19">
        <f>IF($A360="","",IF(COUNTIFS(請求記録!$B$6:$B$3005,$A360,請求記録!$Z$6:$Z$3005,I$5,請求記録!$AF$6:$AF$3005,"保留中")&gt;0,"保留",IF(COUNTIFS(請求記録!$B$6:$B$3005,$A360,請求記録!$Z$6:$Z$3005,I$5)=0,"",SUMIFS(請求記録!$AE$6:$AE$3005,請求記録!$B$6:$B$3005,$A360,請求記録!$Z$6:$Z$3005,I$5))))</f>
        <v/>
      </c>
      <c r="J360" s="19">
        <f>IF($A360="","",IF(COUNTIFS(請求記録!$B$6:$B$3005,$A360,請求記録!$Z$6:$Z$3005,J$5,請求記録!$AF$6:$AF$3005,"保留中")&gt;0,"保留",IF(COUNTIFS(請求記録!$B$6:$B$3005,$A360,請求記録!$Z$6:$Z$3005,J$5)=0,"",SUMIFS(請求記録!$AE$6:$AE$3005,請求記録!$B$6:$B$3005,$A360,請求記録!$Z$6:$Z$3005,J$5))))</f>
        <v/>
      </c>
      <c r="K360" s="19">
        <f>IF($A360="","",IF(COUNTIFS(請求記録!$B$6:$B$3005,$A360,請求記録!$Z$6:$Z$3005,K$5,請求記録!$AF$6:$AF$3005,"保留中")&gt;0,"保留",IF(COUNTIFS(請求記録!$B$6:$B$3005,$A360,請求記録!$Z$6:$Z$3005,K$5)=0,"",SUMIFS(請求記録!$AE$6:$AE$3005,請求記録!$B$6:$B$3005,$A360,請求記録!$Z$6:$Z$3005,K$5))))</f>
        <v/>
      </c>
      <c r="L360" s="19">
        <f>IF($A360="","",IF(COUNTIFS(請求記録!$B$6:$B$3005,$A360,請求記録!$Z$6:$Z$3005,L$5,請求記録!$AF$6:$AF$3005,"保留中")&gt;0,"保留",IF(COUNTIFS(請求記録!$B$6:$B$3005,$A360,請求記録!$Z$6:$Z$3005,L$5)=0,"",SUMIFS(請求記録!$AE$6:$AE$3005,請求記録!$B$6:$B$3005,$A360,請求記録!$Z$6:$Z$3005,L$5))))</f>
        <v/>
      </c>
      <c r="M360" s="19">
        <f>IF($A360="","",IF(COUNTIFS(請求記録!$B$6:$B$3005,$A360,請求記録!$Z$6:$Z$3005,M$5,請求記録!$AF$6:$AF$3005,"保留中")&gt;0,"保留",IF(COUNTIFS(請求記録!$B$6:$B$3005,$A360,請求記録!$Z$6:$Z$3005,M$5)=0,"",SUMIFS(請求記録!$AE$6:$AE$3005,請求記録!$B$6:$B$3005,$A360,請求記録!$Z$6:$Z$3005,M$5))))</f>
        <v/>
      </c>
      <c r="N360" s="19">
        <f>IF($A360="","",IF(COUNTIFS(請求記録!$B$6:$B$3005,$A360,請求記録!$Z$6:$Z$3005,N$5,請求記録!$AF$6:$AF$3005,"保留中")&gt;0,"保留",IF(COUNTIFS(請求記録!$B$6:$B$3005,$A360,請求記録!$Z$6:$Z$3005,N$5)=0,"",SUMIFS(請求記録!$AE$6:$AE$3005,請求記録!$B$6:$B$3005,$A360,請求記録!$Z$6:$Z$3005,N$5))))</f>
        <v/>
      </c>
      <c r="O360" s="19">
        <f>IF($A360="","",IF(COUNTIFS(請求記録!$B$6:$B$3005,$A360,請求記録!$Z$6:$Z$3005,O$5,請求記録!$AF$6:$AF$3005,"保留中")&gt;0,"保留",IF(COUNTIFS(請求記録!$B$6:$B$3005,$A360,請求記録!$Z$6:$Z$3005,O$5)=0,"",SUMIFS(請求記録!$AE$6:$AE$3005,請求記録!$B$6:$B$3005,$A360,請求記録!$Z$6:$Z$3005,O$5))))</f>
        <v/>
      </c>
      <c r="P360" s="19">
        <f>IF($A360="","",IF(COUNTIFS(請求記録!$B$6:$B$3005,$A360,請求記録!$Z$6:$Z$3005,P$5,請求記録!$AF$6:$AF$3005,"保留中")&gt;0,"保留",IF(COUNTIFS(請求記録!$B$6:$B$3005,$A360,請求記録!$Z$6:$Z$3005,P$5)=0,"",SUMIFS(請求記録!$AE$6:$AE$3005,請求記録!$B$6:$B$3005,$A360,請求記録!$Z$6:$Z$3005,P$5))))</f>
        <v/>
      </c>
      <c r="Q360" s="19">
        <f>IF($A360="","",IF(COUNTIFS(請求記録!$B$6:$B$3005,$A360,請求記録!$Z$6:$Z$3005,Q$5,請求記録!$AF$6:$AF$3005,"保留中")&gt;0,"保留",IF(COUNTIFS(請求記録!$B$6:$B$3005,$A360,請求記録!$Z$6:$Z$3005,Q$5)=0,"",SUMIFS(請求記録!$AE$6:$AE$3005,請求記録!$B$6:$B$3005,$A360,請求記録!$Z$6:$Z$3005,Q$5))))</f>
        <v/>
      </c>
      <c r="R360" s="19">
        <f>IF($A360="","",IF(COUNTIFS(請求記録!$B$6:$B$3005,$A360,請求記録!$Z$6:$Z$3005,R$5,請求記録!$AF$6:$AF$3005,"保留中")&gt;0,"保留",IF(COUNTIFS(請求記録!$B$6:$B$3005,$A360,請求記録!$Z$6:$Z$3005,R$5)=0,"",SUMIFS(請求記録!$AE$6:$AE$3005,請求記録!$B$6:$B$3005,$A360,請求記録!$Z$6:$Z$3005,R$5))))</f>
        <v/>
      </c>
      <c r="S360" s="19">
        <f>IF($A360="","",IF(COUNTIFS(請求記録!$B$6:$B$3005,$A360,請求記録!$Z$6:$Z$3005,S$5,請求記録!$AF$6:$AF$3005,"保留中")&gt;0,"保留",IF(COUNTIFS(請求記録!$B$6:$B$3005,$A360,請求記録!$Z$6:$Z$3005,S$5)=0,"",SUMIFS(請求記録!$AE$6:$AE$3005,請求記録!$B$6:$B$3005,$A360,請求記録!$Z$6:$Z$3005,S$5))))</f>
        <v/>
      </c>
      <c r="T360" s="19">
        <f>IF($A360="","",IF(COUNTIFS(請求記録!$B$6:$B$3005,$A360,請求記録!$Z$6:$Z$3005,T$5,請求記録!$AF$6:$AF$3005,"保留中")&gt;0,"保留",IF(COUNTIFS(請求記録!$B$6:$B$3005,$A360,請求記録!$Z$6:$Z$3005,T$5)=0,"",SUMIFS(請求記録!$AE$6:$AE$3005,請求記録!$B$6:$B$3005,$A360,請求記録!$Z$6:$Z$3005,T$5))))</f>
        <v/>
      </c>
      <c r="U360" s="19">
        <f>IF($A360="","",IF(COUNTIFS(請求記録!$B$6:$B$3005,$A360,請求記録!$Z$6:$Z$3005,U$5,請求記録!$AF$6:$AF$3005,"保留中")&gt;0,"保留",IF(COUNTIFS(請求記録!$B$6:$B$3005,$A360,請求記録!$Z$6:$Z$3005,U$5)=0,"",SUMIFS(請求記録!$AE$6:$AE$3005,請求記録!$B$6:$B$3005,$A360,請求記録!$Z$6:$Z$3005,U$5))))</f>
        <v/>
      </c>
      <c r="V360" s="19">
        <f>IF($A360="","",IF(COUNTIFS(請求記録!$B$6:$B$3005,$A360,請求記録!$Z$6:$Z$3005,V$5,請求記録!$AF$6:$AF$3005,"保留中")&gt;0,"保留",IF(COUNTIFS(請求記録!$B$6:$B$3005,$A360,請求記録!$Z$6:$Z$3005,V$5)=0,"",SUMIFS(請求記録!$AE$6:$AE$3005,請求記録!$B$6:$B$3005,$A360,請求記録!$Z$6:$Z$3005,V$5))))</f>
        <v/>
      </c>
      <c r="W360" s="19">
        <f>IF($A360="","",IF(COUNTIFS(請求記録!$B$6:$B$3005,$A360,請求記録!$Z$6:$Z$3005,W$5,請求記録!$AF$6:$AF$3005,"保留中")&gt;0,"保留",IF(COUNTIFS(請求記録!$B$6:$B$3005,$A360,請求記録!$Z$6:$Z$3005,W$5)=0,"",SUMIFS(請求記録!$AE$6:$AE$3005,請求記録!$B$6:$B$3005,$A360,請求記録!$Z$6:$Z$3005,W$5))))</f>
        <v/>
      </c>
      <c r="X360" s="19">
        <f>IF($A360="","",IF(COUNTIFS(請求記録!$B$6:$B$3005,$A360,請求記録!$Z$6:$Z$3005,X$5,請求記録!$AF$6:$AF$3005,"保留中")&gt;0,"保留",IF(COUNTIFS(請求記録!$B$6:$B$3005,$A360,請求記録!$Z$6:$Z$3005,X$5)=0,"",SUMIFS(請求記録!$AE$6:$AE$3005,請求記録!$B$6:$B$3005,$A360,請求記録!$Z$6:$Z$3005,X$5))))</f>
        <v/>
      </c>
      <c r="Y360" s="19">
        <f>IF($A360="","",IF(COUNTIFS(請求記録!$B$6:$B$3005,$A360,請求記録!$Z$6:$Z$3005,Y$5,請求記録!$AF$6:$AF$3005,"保留中")&gt;0,"保留",IF(COUNTIFS(請求記録!$B$6:$B$3005,$A360,請求記録!$Z$6:$Z$3005,Y$5)=0,"",SUMIFS(請求記録!$AE$6:$AE$3005,請求記録!$B$6:$B$3005,$A360,請求記録!$Z$6:$Z$3005,Y$5))))</f>
        <v/>
      </c>
      <c r="Z360" s="19">
        <f>IF($A360="","",IF(COUNTIFS(請求記録!$B$6:$B$3005,$A360,請求記録!$Z$6:$Z$3005,Z$5,請求記録!$AF$6:$AF$3005,"保留中")&gt;0,"保留",IF(COUNTIFS(請求記録!$B$6:$B$3005,$A360,請求記録!$Z$6:$Z$3005,Z$5)=0,"",SUMIFS(請求記録!$AE$6:$AE$3005,請求記録!$B$6:$B$3005,$A360,請求記録!$Z$6:$Z$3005,Z$5))))</f>
        <v/>
      </c>
      <c r="AA360" s="19">
        <f>IF($A360="","",IF(COUNTIFS(請求記録!$B$6:$B$3005,$A360,請求記録!$Z$6:$Z$3005,AA$5,請求記録!$AF$6:$AF$3005,"保留中")&gt;0,"保留",IF(COUNTIFS(請求記録!$B$6:$B$3005,$A360,請求記録!$Z$6:$Z$3005,AA$5)=0,"",SUMIFS(請求記録!$AE$6:$AE$3005,請求記録!$B$6:$B$3005,$A360,請求記録!$Z$6:$Z$3005,AA$5))))</f>
        <v/>
      </c>
      <c r="AB360">
        <f>IF(職員マスタ!P360="保留中",職員マスタ!M360,"")</f>
        <v/>
      </c>
    </row>
    <row r="361">
      <c r="A361">
        <f>IF(職員マスタ!A361="","",職員マスタ!A361)</f>
        <v/>
      </c>
      <c r="B361">
        <f>IF($A361="","",職員マスタ!B361)</f>
        <v/>
      </c>
      <c r="C361">
        <f>IF($A361="","",職員マスタ!C361)</f>
        <v/>
      </c>
      <c r="D361" s="19">
        <f>IF($A361="","",IF(COUNTIFS(請求記録!$B$6:$B$3005,$A361,請求記録!$Z$6:$Z$3005,D$5,請求記録!$AF$6:$AF$3005,"保留中")&gt;0,"保留",IF(COUNTIFS(請求記録!$B$6:$B$3005,$A361,請求記録!$Z$6:$Z$3005,D$5)=0,"",SUMIFS(請求記録!$AE$6:$AE$3005,請求記録!$B$6:$B$3005,$A361,請求記録!$Z$6:$Z$3005,D$5))))</f>
        <v/>
      </c>
      <c r="E361" s="19">
        <f>IF($A361="","",IF(COUNTIFS(請求記録!$B$6:$B$3005,$A361,請求記録!$Z$6:$Z$3005,E$5,請求記録!$AF$6:$AF$3005,"保留中")&gt;0,"保留",IF(COUNTIFS(請求記録!$B$6:$B$3005,$A361,請求記録!$Z$6:$Z$3005,E$5)=0,"",SUMIFS(請求記録!$AE$6:$AE$3005,請求記録!$B$6:$B$3005,$A361,請求記録!$Z$6:$Z$3005,E$5))))</f>
        <v/>
      </c>
      <c r="F361" s="19">
        <f>IF($A361="","",IF(COUNTIFS(請求記録!$B$6:$B$3005,$A361,請求記録!$Z$6:$Z$3005,F$5,請求記録!$AF$6:$AF$3005,"保留中")&gt;0,"保留",IF(COUNTIFS(請求記録!$B$6:$B$3005,$A361,請求記録!$Z$6:$Z$3005,F$5)=0,"",SUMIFS(請求記録!$AE$6:$AE$3005,請求記録!$B$6:$B$3005,$A361,請求記録!$Z$6:$Z$3005,F$5))))</f>
        <v/>
      </c>
      <c r="G361" s="19">
        <f>IF($A361="","",IF(COUNTIFS(請求記録!$B$6:$B$3005,$A361,請求記録!$Z$6:$Z$3005,G$5,請求記録!$AF$6:$AF$3005,"保留中")&gt;0,"保留",IF(COUNTIFS(請求記録!$B$6:$B$3005,$A361,請求記録!$Z$6:$Z$3005,G$5)=0,"",SUMIFS(請求記録!$AE$6:$AE$3005,請求記録!$B$6:$B$3005,$A361,請求記録!$Z$6:$Z$3005,G$5))))</f>
        <v/>
      </c>
      <c r="H361" s="19">
        <f>IF($A361="","",IF(COUNTIFS(請求記録!$B$6:$B$3005,$A361,請求記録!$Z$6:$Z$3005,H$5,請求記録!$AF$6:$AF$3005,"保留中")&gt;0,"保留",IF(COUNTIFS(請求記録!$B$6:$B$3005,$A361,請求記録!$Z$6:$Z$3005,H$5)=0,"",SUMIFS(請求記録!$AE$6:$AE$3005,請求記録!$B$6:$B$3005,$A361,請求記録!$Z$6:$Z$3005,H$5))))</f>
        <v/>
      </c>
      <c r="I361" s="19">
        <f>IF($A361="","",IF(COUNTIFS(請求記録!$B$6:$B$3005,$A361,請求記録!$Z$6:$Z$3005,I$5,請求記録!$AF$6:$AF$3005,"保留中")&gt;0,"保留",IF(COUNTIFS(請求記録!$B$6:$B$3005,$A361,請求記録!$Z$6:$Z$3005,I$5)=0,"",SUMIFS(請求記録!$AE$6:$AE$3005,請求記録!$B$6:$B$3005,$A361,請求記録!$Z$6:$Z$3005,I$5))))</f>
        <v/>
      </c>
      <c r="J361" s="19">
        <f>IF($A361="","",IF(COUNTIFS(請求記録!$B$6:$B$3005,$A361,請求記録!$Z$6:$Z$3005,J$5,請求記録!$AF$6:$AF$3005,"保留中")&gt;0,"保留",IF(COUNTIFS(請求記録!$B$6:$B$3005,$A361,請求記録!$Z$6:$Z$3005,J$5)=0,"",SUMIFS(請求記録!$AE$6:$AE$3005,請求記録!$B$6:$B$3005,$A361,請求記録!$Z$6:$Z$3005,J$5))))</f>
        <v/>
      </c>
      <c r="K361" s="19">
        <f>IF($A361="","",IF(COUNTIFS(請求記録!$B$6:$B$3005,$A361,請求記録!$Z$6:$Z$3005,K$5,請求記録!$AF$6:$AF$3005,"保留中")&gt;0,"保留",IF(COUNTIFS(請求記録!$B$6:$B$3005,$A361,請求記録!$Z$6:$Z$3005,K$5)=0,"",SUMIFS(請求記録!$AE$6:$AE$3005,請求記録!$B$6:$B$3005,$A361,請求記録!$Z$6:$Z$3005,K$5))))</f>
        <v/>
      </c>
      <c r="L361" s="19">
        <f>IF($A361="","",IF(COUNTIFS(請求記録!$B$6:$B$3005,$A361,請求記録!$Z$6:$Z$3005,L$5,請求記録!$AF$6:$AF$3005,"保留中")&gt;0,"保留",IF(COUNTIFS(請求記録!$B$6:$B$3005,$A361,請求記録!$Z$6:$Z$3005,L$5)=0,"",SUMIFS(請求記録!$AE$6:$AE$3005,請求記録!$B$6:$B$3005,$A361,請求記録!$Z$6:$Z$3005,L$5))))</f>
        <v/>
      </c>
      <c r="M361" s="19">
        <f>IF($A361="","",IF(COUNTIFS(請求記録!$B$6:$B$3005,$A361,請求記録!$Z$6:$Z$3005,M$5,請求記録!$AF$6:$AF$3005,"保留中")&gt;0,"保留",IF(COUNTIFS(請求記録!$B$6:$B$3005,$A361,請求記録!$Z$6:$Z$3005,M$5)=0,"",SUMIFS(請求記録!$AE$6:$AE$3005,請求記録!$B$6:$B$3005,$A361,請求記録!$Z$6:$Z$3005,M$5))))</f>
        <v/>
      </c>
      <c r="N361" s="19">
        <f>IF($A361="","",IF(COUNTIFS(請求記録!$B$6:$B$3005,$A361,請求記録!$Z$6:$Z$3005,N$5,請求記録!$AF$6:$AF$3005,"保留中")&gt;0,"保留",IF(COUNTIFS(請求記録!$B$6:$B$3005,$A361,請求記録!$Z$6:$Z$3005,N$5)=0,"",SUMIFS(請求記録!$AE$6:$AE$3005,請求記録!$B$6:$B$3005,$A361,請求記録!$Z$6:$Z$3005,N$5))))</f>
        <v/>
      </c>
      <c r="O361" s="19">
        <f>IF($A361="","",IF(COUNTIFS(請求記録!$B$6:$B$3005,$A361,請求記録!$Z$6:$Z$3005,O$5,請求記録!$AF$6:$AF$3005,"保留中")&gt;0,"保留",IF(COUNTIFS(請求記録!$B$6:$B$3005,$A361,請求記録!$Z$6:$Z$3005,O$5)=0,"",SUMIFS(請求記録!$AE$6:$AE$3005,請求記録!$B$6:$B$3005,$A361,請求記録!$Z$6:$Z$3005,O$5))))</f>
        <v/>
      </c>
      <c r="P361" s="19">
        <f>IF($A361="","",IF(COUNTIFS(請求記録!$B$6:$B$3005,$A361,請求記録!$Z$6:$Z$3005,P$5,請求記録!$AF$6:$AF$3005,"保留中")&gt;0,"保留",IF(COUNTIFS(請求記録!$B$6:$B$3005,$A361,請求記録!$Z$6:$Z$3005,P$5)=0,"",SUMIFS(請求記録!$AE$6:$AE$3005,請求記録!$B$6:$B$3005,$A361,請求記録!$Z$6:$Z$3005,P$5))))</f>
        <v/>
      </c>
      <c r="Q361" s="19">
        <f>IF($A361="","",IF(COUNTIFS(請求記録!$B$6:$B$3005,$A361,請求記録!$Z$6:$Z$3005,Q$5,請求記録!$AF$6:$AF$3005,"保留中")&gt;0,"保留",IF(COUNTIFS(請求記録!$B$6:$B$3005,$A361,請求記録!$Z$6:$Z$3005,Q$5)=0,"",SUMIFS(請求記録!$AE$6:$AE$3005,請求記録!$B$6:$B$3005,$A361,請求記録!$Z$6:$Z$3005,Q$5))))</f>
        <v/>
      </c>
      <c r="R361" s="19">
        <f>IF($A361="","",IF(COUNTIFS(請求記録!$B$6:$B$3005,$A361,請求記録!$Z$6:$Z$3005,R$5,請求記録!$AF$6:$AF$3005,"保留中")&gt;0,"保留",IF(COUNTIFS(請求記録!$B$6:$B$3005,$A361,請求記録!$Z$6:$Z$3005,R$5)=0,"",SUMIFS(請求記録!$AE$6:$AE$3005,請求記録!$B$6:$B$3005,$A361,請求記録!$Z$6:$Z$3005,R$5))))</f>
        <v/>
      </c>
      <c r="S361" s="19">
        <f>IF($A361="","",IF(COUNTIFS(請求記録!$B$6:$B$3005,$A361,請求記録!$Z$6:$Z$3005,S$5,請求記録!$AF$6:$AF$3005,"保留中")&gt;0,"保留",IF(COUNTIFS(請求記録!$B$6:$B$3005,$A361,請求記録!$Z$6:$Z$3005,S$5)=0,"",SUMIFS(請求記録!$AE$6:$AE$3005,請求記録!$B$6:$B$3005,$A361,請求記録!$Z$6:$Z$3005,S$5))))</f>
        <v/>
      </c>
      <c r="T361" s="19">
        <f>IF($A361="","",IF(COUNTIFS(請求記録!$B$6:$B$3005,$A361,請求記録!$Z$6:$Z$3005,T$5,請求記録!$AF$6:$AF$3005,"保留中")&gt;0,"保留",IF(COUNTIFS(請求記録!$B$6:$B$3005,$A361,請求記録!$Z$6:$Z$3005,T$5)=0,"",SUMIFS(請求記録!$AE$6:$AE$3005,請求記録!$B$6:$B$3005,$A361,請求記録!$Z$6:$Z$3005,T$5))))</f>
        <v/>
      </c>
      <c r="U361" s="19">
        <f>IF($A361="","",IF(COUNTIFS(請求記録!$B$6:$B$3005,$A361,請求記録!$Z$6:$Z$3005,U$5,請求記録!$AF$6:$AF$3005,"保留中")&gt;0,"保留",IF(COUNTIFS(請求記録!$B$6:$B$3005,$A361,請求記録!$Z$6:$Z$3005,U$5)=0,"",SUMIFS(請求記録!$AE$6:$AE$3005,請求記録!$B$6:$B$3005,$A361,請求記録!$Z$6:$Z$3005,U$5))))</f>
        <v/>
      </c>
      <c r="V361" s="19">
        <f>IF($A361="","",IF(COUNTIFS(請求記録!$B$6:$B$3005,$A361,請求記録!$Z$6:$Z$3005,V$5,請求記録!$AF$6:$AF$3005,"保留中")&gt;0,"保留",IF(COUNTIFS(請求記録!$B$6:$B$3005,$A361,請求記録!$Z$6:$Z$3005,V$5)=0,"",SUMIFS(請求記録!$AE$6:$AE$3005,請求記録!$B$6:$B$3005,$A361,請求記録!$Z$6:$Z$3005,V$5))))</f>
        <v/>
      </c>
      <c r="W361" s="19">
        <f>IF($A361="","",IF(COUNTIFS(請求記録!$B$6:$B$3005,$A361,請求記録!$Z$6:$Z$3005,W$5,請求記録!$AF$6:$AF$3005,"保留中")&gt;0,"保留",IF(COUNTIFS(請求記録!$B$6:$B$3005,$A361,請求記録!$Z$6:$Z$3005,W$5)=0,"",SUMIFS(請求記録!$AE$6:$AE$3005,請求記録!$B$6:$B$3005,$A361,請求記録!$Z$6:$Z$3005,W$5))))</f>
        <v/>
      </c>
      <c r="X361" s="19">
        <f>IF($A361="","",IF(COUNTIFS(請求記録!$B$6:$B$3005,$A361,請求記録!$Z$6:$Z$3005,X$5,請求記録!$AF$6:$AF$3005,"保留中")&gt;0,"保留",IF(COUNTIFS(請求記録!$B$6:$B$3005,$A361,請求記録!$Z$6:$Z$3005,X$5)=0,"",SUMIFS(請求記録!$AE$6:$AE$3005,請求記録!$B$6:$B$3005,$A361,請求記録!$Z$6:$Z$3005,X$5))))</f>
        <v/>
      </c>
      <c r="Y361" s="19">
        <f>IF($A361="","",IF(COUNTIFS(請求記録!$B$6:$B$3005,$A361,請求記録!$Z$6:$Z$3005,Y$5,請求記録!$AF$6:$AF$3005,"保留中")&gt;0,"保留",IF(COUNTIFS(請求記録!$B$6:$B$3005,$A361,請求記録!$Z$6:$Z$3005,Y$5)=0,"",SUMIFS(請求記録!$AE$6:$AE$3005,請求記録!$B$6:$B$3005,$A361,請求記録!$Z$6:$Z$3005,Y$5))))</f>
        <v/>
      </c>
      <c r="Z361" s="19">
        <f>IF($A361="","",IF(COUNTIFS(請求記録!$B$6:$B$3005,$A361,請求記録!$Z$6:$Z$3005,Z$5,請求記録!$AF$6:$AF$3005,"保留中")&gt;0,"保留",IF(COUNTIFS(請求記録!$B$6:$B$3005,$A361,請求記録!$Z$6:$Z$3005,Z$5)=0,"",SUMIFS(請求記録!$AE$6:$AE$3005,請求記録!$B$6:$B$3005,$A361,請求記録!$Z$6:$Z$3005,Z$5))))</f>
        <v/>
      </c>
      <c r="AA361" s="19">
        <f>IF($A361="","",IF(COUNTIFS(請求記録!$B$6:$B$3005,$A361,請求記録!$Z$6:$Z$3005,AA$5,請求記録!$AF$6:$AF$3005,"保留中")&gt;0,"保留",IF(COUNTIFS(請求記録!$B$6:$B$3005,$A361,請求記録!$Z$6:$Z$3005,AA$5)=0,"",SUMIFS(請求記録!$AE$6:$AE$3005,請求記録!$B$6:$B$3005,$A361,請求記録!$Z$6:$Z$3005,AA$5))))</f>
        <v/>
      </c>
      <c r="AB361">
        <f>IF(職員マスタ!P361="保留中",職員マスタ!M361,"")</f>
        <v/>
      </c>
    </row>
    <row r="362">
      <c r="A362">
        <f>IF(職員マスタ!A362="","",職員マスタ!A362)</f>
        <v/>
      </c>
      <c r="B362">
        <f>IF($A362="","",職員マスタ!B362)</f>
        <v/>
      </c>
      <c r="C362">
        <f>IF($A362="","",職員マスタ!C362)</f>
        <v/>
      </c>
      <c r="D362" s="19">
        <f>IF($A362="","",IF(COUNTIFS(請求記録!$B$6:$B$3005,$A362,請求記録!$Z$6:$Z$3005,D$5,請求記録!$AF$6:$AF$3005,"保留中")&gt;0,"保留",IF(COUNTIFS(請求記録!$B$6:$B$3005,$A362,請求記録!$Z$6:$Z$3005,D$5)=0,"",SUMIFS(請求記録!$AE$6:$AE$3005,請求記録!$B$6:$B$3005,$A362,請求記録!$Z$6:$Z$3005,D$5))))</f>
        <v/>
      </c>
      <c r="E362" s="19">
        <f>IF($A362="","",IF(COUNTIFS(請求記録!$B$6:$B$3005,$A362,請求記録!$Z$6:$Z$3005,E$5,請求記録!$AF$6:$AF$3005,"保留中")&gt;0,"保留",IF(COUNTIFS(請求記録!$B$6:$B$3005,$A362,請求記録!$Z$6:$Z$3005,E$5)=0,"",SUMIFS(請求記録!$AE$6:$AE$3005,請求記録!$B$6:$B$3005,$A362,請求記録!$Z$6:$Z$3005,E$5))))</f>
        <v/>
      </c>
      <c r="F362" s="19">
        <f>IF($A362="","",IF(COUNTIFS(請求記録!$B$6:$B$3005,$A362,請求記録!$Z$6:$Z$3005,F$5,請求記録!$AF$6:$AF$3005,"保留中")&gt;0,"保留",IF(COUNTIFS(請求記録!$B$6:$B$3005,$A362,請求記録!$Z$6:$Z$3005,F$5)=0,"",SUMIFS(請求記録!$AE$6:$AE$3005,請求記録!$B$6:$B$3005,$A362,請求記録!$Z$6:$Z$3005,F$5))))</f>
        <v/>
      </c>
      <c r="G362" s="19">
        <f>IF($A362="","",IF(COUNTIFS(請求記録!$B$6:$B$3005,$A362,請求記録!$Z$6:$Z$3005,G$5,請求記録!$AF$6:$AF$3005,"保留中")&gt;0,"保留",IF(COUNTIFS(請求記録!$B$6:$B$3005,$A362,請求記録!$Z$6:$Z$3005,G$5)=0,"",SUMIFS(請求記録!$AE$6:$AE$3005,請求記録!$B$6:$B$3005,$A362,請求記録!$Z$6:$Z$3005,G$5))))</f>
        <v/>
      </c>
      <c r="H362" s="19">
        <f>IF($A362="","",IF(COUNTIFS(請求記録!$B$6:$B$3005,$A362,請求記録!$Z$6:$Z$3005,H$5,請求記録!$AF$6:$AF$3005,"保留中")&gt;0,"保留",IF(COUNTIFS(請求記録!$B$6:$B$3005,$A362,請求記録!$Z$6:$Z$3005,H$5)=0,"",SUMIFS(請求記録!$AE$6:$AE$3005,請求記録!$B$6:$B$3005,$A362,請求記録!$Z$6:$Z$3005,H$5))))</f>
        <v/>
      </c>
      <c r="I362" s="19">
        <f>IF($A362="","",IF(COUNTIFS(請求記録!$B$6:$B$3005,$A362,請求記録!$Z$6:$Z$3005,I$5,請求記録!$AF$6:$AF$3005,"保留中")&gt;0,"保留",IF(COUNTIFS(請求記録!$B$6:$B$3005,$A362,請求記録!$Z$6:$Z$3005,I$5)=0,"",SUMIFS(請求記録!$AE$6:$AE$3005,請求記録!$B$6:$B$3005,$A362,請求記録!$Z$6:$Z$3005,I$5))))</f>
        <v/>
      </c>
      <c r="J362" s="19">
        <f>IF($A362="","",IF(COUNTIFS(請求記録!$B$6:$B$3005,$A362,請求記録!$Z$6:$Z$3005,J$5,請求記録!$AF$6:$AF$3005,"保留中")&gt;0,"保留",IF(COUNTIFS(請求記録!$B$6:$B$3005,$A362,請求記録!$Z$6:$Z$3005,J$5)=0,"",SUMIFS(請求記録!$AE$6:$AE$3005,請求記録!$B$6:$B$3005,$A362,請求記録!$Z$6:$Z$3005,J$5))))</f>
        <v/>
      </c>
      <c r="K362" s="19">
        <f>IF($A362="","",IF(COUNTIFS(請求記録!$B$6:$B$3005,$A362,請求記録!$Z$6:$Z$3005,K$5,請求記録!$AF$6:$AF$3005,"保留中")&gt;0,"保留",IF(COUNTIFS(請求記録!$B$6:$B$3005,$A362,請求記録!$Z$6:$Z$3005,K$5)=0,"",SUMIFS(請求記録!$AE$6:$AE$3005,請求記録!$B$6:$B$3005,$A362,請求記録!$Z$6:$Z$3005,K$5))))</f>
        <v/>
      </c>
      <c r="L362" s="19">
        <f>IF($A362="","",IF(COUNTIFS(請求記録!$B$6:$B$3005,$A362,請求記録!$Z$6:$Z$3005,L$5,請求記録!$AF$6:$AF$3005,"保留中")&gt;0,"保留",IF(COUNTIFS(請求記録!$B$6:$B$3005,$A362,請求記録!$Z$6:$Z$3005,L$5)=0,"",SUMIFS(請求記録!$AE$6:$AE$3005,請求記録!$B$6:$B$3005,$A362,請求記録!$Z$6:$Z$3005,L$5))))</f>
        <v/>
      </c>
      <c r="M362" s="19">
        <f>IF($A362="","",IF(COUNTIFS(請求記録!$B$6:$B$3005,$A362,請求記録!$Z$6:$Z$3005,M$5,請求記録!$AF$6:$AF$3005,"保留中")&gt;0,"保留",IF(COUNTIFS(請求記録!$B$6:$B$3005,$A362,請求記録!$Z$6:$Z$3005,M$5)=0,"",SUMIFS(請求記録!$AE$6:$AE$3005,請求記録!$B$6:$B$3005,$A362,請求記録!$Z$6:$Z$3005,M$5))))</f>
        <v/>
      </c>
      <c r="N362" s="19">
        <f>IF($A362="","",IF(COUNTIFS(請求記録!$B$6:$B$3005,$A362,請求記録!$Z$6:$Z$3005,N$5,請求記録!$AF$6:$AF$3005,"保留中")&gt;0,"保留",IF(COUNTIFS(請求記録!$B$6:$B$3005,$A362,請求記録!$Z$6:$Z$3005,N$5)=0,"",SUMIFS(請求記録!$AE$6:$AE$3005,請求記録!$B$6:$B$3005,$A362,請求記録!$Z$6:$Z$3005,N$5))))</f>
        <v/>
      </c>
      <c r="O362" s="19">
        <f>IF($A362="","",IF(COUNTIFS(請求記録!$B$6:$B$3005,$A362,請求記録!$Z$6:$Z$3005,O$5,請求記録!$AF$6:$AF$3005,"保留中")&gt;0,"保留",IF(COUNTIFS(請求記録!$B$6:$B$3005,$A362,請求記録!$Z$6:$Z$3005,O$5)=0,"",SUMIFS(請求記録!$AE$6:$AE$3005,請求記録!$B$6:$B$3005,$A362,請求記録!$Z$6:$Z$3005,O$5))))</f>
        <v/>
      </c>
      <c r="P362" s="19">
        <f>IF($A362="","",IF(COUNTIFS(請求記録!$B$6:$B$3005,$A362,請求記録!$Z$6:$Z$3005,P$5,請求記録!$AF$6:$AF$3005,"保留中")&gt;0,"保留",IF(COUNTIFS(請求記録!$B$6:$B$3005,$A362,請求記録!$Z$6:$Z$3005,P$5)=0,"",SUMIFS(請求記録!$AE$6:$AE$3005,請求記録!$B$6:$B$3005,$A362,請求記録!$Z$6:$Z$3005,P$5))))</f>
        <v/>
      </c>
      <c r="Q362" s="19">
        <f>IF($A362="","",IF(COUNTIFS(請求記録!$B$6:$B$3005,$A362,請求記録!$Z$6:$Z$3005,Q$5,請求記録!$AF$6:$AF$3005,"保留中")&gt;0,"保留",IF(COUNTIFS(請求記録!$B$6:$B$3005,$A362,請求記録!$Z$6:$Z$3005,Q$5)=0,"",SUMIFS(請求記録!$AE$6:$AE$3005,請求記録!$B$6:$B$3005,$A362,請求記録!$Z$6:$Z$3005,Q$5))))</f>
        <v/>
      </c>
      <c r="R362" s="19">
        <f>IF($A362="","",IF(COUNTIFS(請求記録!$B$6:$B$3005,$A362,請求記録!$Z$6:$Z$3005,R$5,請求記録!$AF$6:$AF$3005,"保留中")&gt;0,"保留",IF(COUNTIFS(請求記録!$B$6:$B$3005,$A362,請求記録!$Z$6:$Z$3005,R$5)=0,"",SUMIFS(請求記録!$AE$6:$AE$3005,請求記録!$B$6:$B$3005,$A362,請求記録!$Z$6:$Z$3005,R$5))))</f>
        <v/>
      </c>
      <c r="S362" s="19">
        <f>IF($A362="","",IF(COUNTIFS(請求記録!$B$6:$B$3005,$A362,請求記録!$Z$6:$Z$3005,S$5,請求記録!$AF$6:$AF$3005,"保留中")&gt;0,"保留",IF(COUNTIFS(請求記録!$B$6:$B$3005,$A362,請求記録!$Z$6:$Z$3005,S$5)=0,"",SUMIFS(請求記録!$AE$6:$AE$3005,請求記録!$B$6:$B$3005,$A362,請求記録!$Z$6:$Z$3005,S$5))))</f>
        <v/>
      </c>
      <c r="T362" s="19">
        <f>IF($A362="","",IF(COUNTIFS(請求記録!$B$6:$B$3005,$A362,請求記録!$Z$6:$Z$3005,T$5,請求記録!$AF$6:$AF$3005,"保留中")&gt;0,"保留",IF(COUNTIFS(請求記録!$B$6:$B$3005,$A362,請求記録!$Z$6:$Z$3005,T$5)=0,"",SUMIFS(請求記録!$AE$6:$AE$3005,請求記録!$B$6:$B$3005,$A362,請求記録!$Z$6:$Z$3005,T$5))))</f>
        <v/>
      </c>
      <c r="U362" s="19">
        <f>IF($A362="","",IF(COUNTIFS(請求記録!$B$6:$B$3005,$A362,請求記録!$Z$6:$Z$3005,U$5,請求記録!$AF$6:$AF$3005,"保留中")&gt;0,"保留",IF(COUNTIFS(請求記録!$B$6:$B$3005,$A362,請求記録!$Z$6:$Z$3005,U$5)=0,"",SUMIFS(請求記録!$AE$6:$AE$3005,請求記録!$B$6:$B$3005,$A362,請求記録!$Z$6:$Z$3005,U$5))))</f>
        <v/>
      </c>
      <c r="V362" s="19">
        <f>IF($A362="","",IF(COUNTIFS(請求記録!$B$6:$B$3005,$A362,請求記録!$Z$6:$Z$3005,V$5,請求記録!$AF$6:$AF$3005,"保留中")&gt;0,"保留",IF(COUNTIFS(請求記録!$B$6:$B$3005,$A362,請求記録!$Z$6:$Z$3005,V$5)=0,"",SUMIFS(請求記録!$AE$6:$AE$3005,請求記録!$B$6:$B$3005,$A362,請求記録!$Z$6:$Z$3005,V$5))))</f>
        <v/>
      </c>
      <c r="W362" s="19">
        <f>IF($A362="","",IF(COUNTIFS(請求記録!$B$6:$B$3005,$A362,請求記録!$Z$6:$Z$3005,W$5,請求記録!$AF$6:$AF$3005,"保留中")&gt;0,"保留",IF(COUNTIFS(請求記録!$B$6:$B$3005,$A362,請求記録!$Z$6:$Z$3005,W$5)=0,"",SUMIFS(請求記録!$AE$6:$AE$3005,請求記録!$B$6:$B$3005,$A362,請求記録!$Z$6:$Z$3005,W$5))))</f>
        <v/>
      </c>
      <c r="X362" s="19">
        <f>IF($A362="","",IF(COUNTIFS(請求記録!$B$6:$B$3005,$A362,請求記録!$Z$6:$Z$3005,X$5,請求記録!$AF$6:$AF$3005,"保留中")&gt;0,"保留",IF(COUNTIFS(請求記録!$B$6:$B$3005,$A362,請求記録!$Z$6:$Z$3005,X$5)=0,"",SUMIFS(請求記録!$AE$6:$AE$3005,請求記録!$B$6:$B$3005,$A362,請求記録!$Z$6:$Z$3005,X$5))))</f>
        <v/>
      </c>
      <c r="Y362" s="19">
        <f>IF($A362="","",IF(COUNTIFS(請求記録!$B$6:$B$3005,$A362,請求記録!$Z$6:$Z$3005,Y$5,請求記録!$AF$6:$AF$3005,"保留中")&gt;0,"保留",IF(COUNTIFS(請求記録!$B$6:$B$3005,$A362,請求記録!$Z$6:$Z$3005,Y$5)=0,"",SUMIFS(請求記録!$AE$6:$AE$3005,請求記録!$B$6:$B$3005,$A362,請求記録!$Z$6:$Z$3005,Y$5))))</f>
        <v/>
      </c>
      <c r="Z362" s="19">
        <f>IF($A362="","",IF(COUNTIFS(請求記録!$B$6:$B$3005,$A362,請求記録!$Z$6:$Z$3005,Z$5,請求記録!$AF$6:$AF$3005,"保留中")&gt;0,"保留",IF(COUNTIFS(請求記録!$B$6:$B$3005,$A362,請求記録!$Z$6:$Z$3005,Z$5)=0,"",SUMIFS(請求記録!$AE$6:$AE$3005,請求記録!$B$6:$B$3005,$A362,請求記録!$Z$6:$Z$3005,Z$5))))</f>
        <v/>
      </c>
      <c r="AA362" s="19">
        <f>IF($A362="","",IF(COUNTIFS(請求記録!$B$6:$B$3005,$A362,請求記録!$Z$6:$Z$3005,AA$5,請求記録!$AF$6:$AF$3005,"保留中")&gt;0,"保留",IF(COUNTIFS(請求記録!$B$6:$B$3005,$A362,請求記録!$Z$6:$Z$3005,AA$5)=0,"",SUMIFS(請求記録!$AE$6:$AE$3005,請求記録!$B$6:$B$3005,$A362,請求記録!$Z$6:$Z$3005,AA$5))))</f>
        <v/>
      </c>
      <c r="AB362">
        <f>IF(職員マスタ!P362="保留中",職員マスタ!M362,"")</f>
        <v/>
      </c>
    </row>
    <row r="363">
      <c r="A363">
        <f>IF(職員マスタ!A363="","",職員マスタ!A363)</f>
        <v/>
      </c>
      <c r="B363">
        <f>IF($A363="","",職員マスタ!B363)</f>
        <v/>
      </c>
      <c r="C363">
        <f>IF($A363="","",職員マスタ!C363)</f>
        <v/>
      </c>
      <c r="D363" s="19">
        <f>IF($A363="","",IF(COUNTIFS(請求記録!$B$6:$B$3005,$A363,請求記録!$Z$6:$Z$3005,D$5,請求記録!$AF$6:$AF$3005,"保留中")&gt;0,"保留",IF(COUNTIFS(請求記録!$B$6:$B$3005,$A363,請求記録!$Z$6:$Z$3005,D$5)=0,"",SUMIFS(請求記録!$AE$6:$AE$3005,請求記録!$B$6:$B$3005,$A363,請求記録!$Z$6:$Z$3005,D$5))))</f>
        <v/>
      </c>
      <c r="E363" s="19">
        <f>IF($A363="","",IF(COUNTIFS(請求記録!$B$6:$B$3005,$A363,請求記録!$Z$6:$Z$3005,E$5,請求記録!$AF$6:$AF$3005,"保留中")&gt;0,"保留",IF(COUNTIFS(請求記録!$B$6:$B$3005,$A363,請求記録!$Z$6:$Z$3005,E$5)=0,"",SUMIFS(請求記録!$AE$6:$AE$3005,請求記録!$B$6:$B$3005,$A363,請求記録!$Z$6:$Z$3005,E$5))))</f>
        <v/>
      </c>
      <c r="F363" s="19">
        <f>IF($A363="","",IF(COUNTIFS(請求記録!$B$6:$B$3005,$A363,請求記録!$Z$6:$Z$3005,F$5,請求記録!$AF$6:$AF$3005,"保留中")&gt;0,"保留",IF(COUNTIFS(請求記録!$B$6:$B$3005,$A363,請求記録!$Z$6:$Z$3005,F$5)=0,"",SUMIFS(請求記録!$AE$6:$AE$3005,請求記録!$B$6:$B$3005,$A363,請求記録!$Z$6:$Z$3005,F$5))))</f>
        <v/>
      </c>
      <c r="G363" s="19">
        <f>IF($A363="","",IF(COUNTIFS(請求記録!$B$6:$B$3005,$A363,請求記録!$Z$6:$Z$3005,G$5,請求記録!$AF$6:$AF$3005,"保留中")&gt;0,"保留",IF(COUNTIFS(請求記録!$B$6:$B$3005,$A363,請求記録!$Z$6:$Z$3005,G$5)=0,"",SUMIFS(請求記録!$AE$6:$AE$3005,請求記録!$B$6:$B$3005,$A363,請求記録!$Z$6:$Z$3005,G$5))))</f>
        <v/>
      </c>
      <c r="H363" s="19">
        <f>IF($A363="","",IF(COUNTIFS(請求記録!$B$6:$B$3005,$A363,請求記録!$Z$6:$Z$3005,H$5,請求記録!$AF$6:$AF$3005,"保留中")&gt;0,"保留",IF(COUNTIFS(請求記録!$B$6:$B$3005,$A363,請求記録!$Z$6:$Z$3005,H$5)=0,"",SUMIFS(請求記録!$AE$6:$AE$3005,請求記録!$B$6:$B$3005,$A363,請求記録!$Z$6:$Z$3005,H$5))))</f>
        <v/>
      </c>
      <c r="I363" s="19">
        <f>IF($A363="","",IF(COUNTIFS(請求記録!$B$6:$B$3005,$A363,請求記録!$Z$6:$Z$3005,I$5,請求記録!$AF$6:$AF$3005,"保留中")&gt;0,"保留",IF(COUNTIFS(請求記録!$B$6:$B$3005,$A363,請求記録!$Z$6:$Z$3005,I$5)=0,"",SUMIFS(請求記録!$AE$6:$AE$3005,請求記録!$B$6:$B$3005,$A363,請求記録!$Z$6:$Z$3005,I$5))))</f>
        <v/>
      </c>
      <c r="J363" s="19">
        <f>IF($A363="","",IF(COUNTIFS(請求記録!$B$6:$B$3005,$A363,請求記録!$Z$6:$Z$3005,J$5,請求記録!$AF$6:$AF$3005,"保留中")&gt;0,"保留",IF(COUNTIFS(請求記録!$B$6:$B$3005,$A363,請求記録!$Z$6:$Z$3005,J$5)=0,"",SUMIFS(請求記録!$AE$6:$AE$3005,請求記録!$B$6:$B$3005,$A363,請求記録!$Z$6:$Z$3005,J$5))))</f>
        <v/>
      </c>
      <c r="K363" s="19">
        <f>IF($A363="","",IF(COUNTIFS(請求記録!$B$6:$B$3005,$A363,請求記録!$Z$6:$Z$3005,K$5,請求記録!$AF$6:$AF$3005,"保留中")&gt;0,"保留",IF(COUNTIFS(請求記録!$B$6:$B$3005,$A363,請求記録!$Z$6:$Z$3005,K$5)=0,"",SUMIFS(請求記録!$AE$6:$AE$3005,請求記録!$B$6:$B$3005,$A363,請求記録!$Z$6:$Z$3005,K$5))))</f>
        <v/>
      </c>
      <c r="L363" s="19">
        <f>IF($A363="","",IF(COUNTIFS(請求記録!$B$6:$B$3005,$A363,請求記録!$Z$6:$Z$3005,L$5,請求記録!$AF$6:$AF$3005,"保留中")&gt;0,"保留",IF(COUNTIFS(請求記録!$B$6:$B$3005,$A363,請求記録!$Z$6:$Z$3005,L$5)=0,"",SUMIFS(請求記録!$AE$6:$AE$3005,請求記録!$B$6:$B$3005,$A363,請求記録!$Z$6:$Z$3005,L$5))))</f>
        <v/>
      </c>
      <c r="M363" s="19">
        <f>IF($A363="","",IF(COUNTIFS(請求記録!$B$6:$B$3005,$A363,請求記録!$Z$6:$Z$3005,M$5,請求記録!$AF$6:$AF$3005,"保留中")&gt;0,"保留",IF(COUNTIFS(請求記録!$B$6:$B$3005,$A363,請求記録!$Z$6:$Z$3005,M$5)=0,"",SUMIFS(請求記録!$AE$6:$AE$3005,請求記録!$B$6:$B$3005,$A363,請求記録!$Z$6:$Z$3005,M$5))))</f>
        <v/>
      </c>
      <c r="N363" s="19">
        <f>IF($A363="","",IF(COUNTIFS(請求記録!$B$6:$B$3005,$A363,請求記録!$Z$6:$Z$3005,N$5,請求記録!$AF$6:$AF$3005,"保留中")&gt;0,"保留",IF(COUNTIFS(請求記録!$B$6:$B$3005,$A363,請求記録!$Z$6:$Z$3005,N$5)=0,"",SUMIFS(請求記録!$AE$6:$AE$3005,請求記録!$B$6:$B$3005,$A363,請求記録!$Z$6:$Z$3005,N$5))))</f>
        <v/>
      </c>
      <c r="O363" s="19">
        <f>IF($A363="","",IF(COUNTIFS(請求記録!$B$6:$B$3005,$A363,請求記録!$Z$6:$Z$3005,O$5,請求記録!$AF$6:$AF$3005,"保留中")&gt;0,"保留",IF(COUNTIFS(請求記録!$B$6:$B$3005,$A363,請求記録!$Z$6:$Z$3005,O$5)=0,"",SUMIFS(請求記録!$AE$6:$AE$3005,請求記録!$B$6:$B$3005,$A363,請求記録!$Z$6:$Z$3005,O$5))))</f>
        <v/>
      </c>
      <c r="P363" s="19">
        <f>IF($A363="","",IF(COUNTIFS(請求記録!$B$6:$B$3005,$A363,請求記録!$Z$6:$Z$3005,P$5,請求記録!$AF$6:$AF$3005,"保留中")&gt;0,"保留",IF(COUNTIFS(請求記録!$B$6:$B$3005,$A363,請求記録!$Z$6:$Z$3005,P$5)=0,"",SUMIFS(請求記録!$AE$6:$AE$3005,請求記録!$B$6:$B$3005,$A363,請求記録!$Z$6:$Z$3005,P$5))))</f>
        <v/>
      </c>
      <c r="Q363" s="19">
        <f>IF($A363="","",IF(COUNTIFS(請求記録!$B$6:$B$3005,$A363,請求記録!$Z$6:$Z$3005,Q$5,請求記録!$AF$6:$AF$3005,"保留中")&gt;0,"保留",IF(COUNTIFS(請求記録!$B$6:$B$3005,$A363,請求記録!$Z$6:$Z$3005,Q$5)=0,"",SUMIFS(請求記録!$AE$6:$AE$3005,請求記録!$B$6:$B$3005,$A363,請求記録!$Z$6:$Z$3005,Q$5))))</f>
        <v/>
      </c>
      <c r="R363" s="19">
        <f>IF($A363="","",IF(COUNTIFS(請求記録!$B$6:$B$3005,$A363,請求記録!$Z$6:$Z$3005,R$5,請求記録!$AF$6:$AF$3005,"保留中")&gt;0,"保留",IF(COUNTIFS(請求記録!$B$6:$B$3005,$A363,請求記録!$Z$6:$Z$3005,R$5)=0,"",SUMIFS(請求記録!$AE$6:$AE$3005,請求記録!$B$6:$B$3005,$A363,請求記録!$Z$6:$Z$3005,R$5))))</f>
        <v/>
      </c>
      <c r="S363" s="19">
        <f>IF($A363="","",IF(COUNTIFS(請求記録!$B$6:$B$3005,$A363,請求記録!$Z$6:$Z$3005,S$5,請求記録!$AF$6:$AF$3005,"保留中")&gt;0,"保留",IF(COUNTIFS(請求記録!$B$6:$B$3005,$A363,請求記録!$Z$6:$Z$3005,S$5)=0,"",SUMIFS(請求記録!$AE$6:$AE$3005,請求記録!$B$6:$B$3005,$A363,請求記録!$Z$6:$Z$3005,S$5))))</f>
        <v/>
      </c>
      <c r="T363" s="19">
        <f>IF($A363="","",IF(COUNTIFS(請求記録!$B$6:$B$3005,$A363,請求記録!$Z$6:$Z$3005,T$5,請求記録!$AF$6:$AF$3005,"保留中")&gt;0,"保留",IF(COUNTIFS(請求記録!$B$6:$B$3005,$A363,請求記録!$Z$6:$Z$3005,T$5)=0,"",SUMIFS(請求記録!$AE$6:$AE$3005,請求記録!$B$6:$B$3005,$A363,請求記録!$Z$6:$Z$3005,T$5))))</f>
        <v/>
      </c>
      <c r="U363" s="19">
        <f>IF($A363="","",IF(COUNTIFS(請求記録!$B$6:$B$3005,$A363,請求記録!$Z$6:$Z$3005,U$5,請求記録!$AF$6:$AF$3005,"保留中")&gt;0,"保留",IF(COUNTIFS(請求記録!$B$6:$B$3005,$A363,請求記録!$Z$6:$Z$3005,U$5)=0,"",SUMIFS(請求記録!$AE$6:$AE$3005,請求記録!$B$6:$B$3005,$A363,請求記録!$Z$6:$Z$3005,U$5))))</f>
        <v/>
      </c>
      <c r="V363" s="19">
        <f>IF($A363="","",IF(COUNTIFS(請求記録!$B$6:$B$3005,$A363,請求記録!$Z$6:$Z$3005,V$5,請求記録!$AF$6:$AF$3005,"保留中")&gt;0,"保留",IF(COUNTIFS(請求記録!$B$6:$B$3005,$A363,請求記録!$Z$6:$Z$3005,V$5)=0,"",SUMIFS(請求記録!$AE$6:$AE$3005,請求記録!$B$6:$B$3005,$A363,請求記録!$Z$6:$Z$3005,V$5))))</f>
        <v/>
      </c>
      <c r="W363" s="19">
        <f>IF($A363="","",IF(COUNTIFS(請求記録!$B$6:$B$3005,$A363,請求記録!$Z$6:$Z$3005,W$5,請求記録!$AF$6:$AF$3005,"保留中")&gt;0,"保留",IF(COUNTIFS(請求記録!$B$6:$B$3005,$A363,請求記録!$Z$6:$Z$3005,W$5)=0,"",SUMIFS(請求記録!$AE$6:$AE$3005,請求記録!$B$6:$B$3005,$A363,請求記録!$Z$6:$Z$3005,W$5))))</f>
        <v/>
      </c>
      <c r="X363" s="19">
        <f>IF($A363="","",IF(COUNTIFS(請求記録!$B$6:$B$3005,$A363,請求記録!$Z$6:$Z$3005,X$5,請求記録!$AF$6:$AF$3005,"保留中")&gt;0,"保留",IF(COUNTIFS(請求記録!$B$6:$B$3005,$A363,請求記録!$Z$6:$Z$3005,X$5)=0,"",SUMIFS(請求記録!$AE$6:$AE$3005,請求記録!$B$6:$B$3005,$A363,請求記録!$Z$6:$Z$3005,X$5))))</f>
        <v/>
      </c>
      <c r="Y363" s="19">
        <f>IF($A363="","",IF(COUNTIFS(請求記録!$B$6:$B$3005,$A363,請求記録!$Z$6:$Z$3005,Y$5,請求記録!$AF$6:$AF$3005,"保留中")&gt;0,"保留",IF(COUNTIFS(請求記録!$B$6:$B$3005,$A363,請求記録!$Z$6:$Z$3005,Y$5)=0,"",SUMIFS(請求記録!$AE$6:$AE$3005,請求記録!$B$6:$B$3005,$A363,請求記録!$Z$6:$Z$3005,Y$5))))</f>
        <v/>
      </c>
      <c r="Z363" s="19">
        <f>IF($A363="","",IF(COUNTIFS(請求記録!$B$6:$B$3005,$A363,請求記録!$Z$6:$Z$3005,Z$5,請求記録!$AF$6:$AF$3005,"保留中")&gt;0,"保留",IF(COUNTIFS(請求記録!$B$6:$B$3005,$A363,請求記録!$Z$6:$Z$3005,Z$5)=0,"",SUMIFS(請求記録!$AE$6:$AE$3005,請求記録!$B$6:$B$3005,$A363,請求記録!$Z$6:$Z$3005,Z$5))))</f>
        <v/>
      </c>
      <c r="AA363" s="19">
        <f>IF($A363="","",IF(COUNTIFS(請求記録!$B$6:$B$3005,$A363,請求記録!$Z$6:$Z$3005,AA$5,請求記録!$AF$6:$AF$3005,"保留中")&gt;0,"保留",IF(COUNTIFS(請求記録!$B$6:$B$3005,$A363,請求記録!$Z$6:$Z$3005,AA$5)=0,"",SUMIFS(請求記録!$AE$6:$AE$3005,請求記録!$B$6:$B$3005,$A363,請求記録!$Z$6:$Z$3005,AA$5))))</f>
        <v/>
      </c>
      <c r="AB363">
        <f>IF(職員マスタ!P363="保留中",職員マスタ!M363,"")</f>
        <v/>
      </c>
    </row>
    <row r="364">
      <c r="A364">
        <f>IF(職員マスタ!A364="","",職員マスタ!A364)</f>
        <v/>
      </c>
      <c r="B364">
        <f>IF($A364="","",職員マスタ!B364)</f>
        <v/>
      </c>
      <c r="C364">
        <f>IF($A364="","",職員マスタ!C364)</f>
        <v/>
      </c>
      <c r="D364" s="19">
        <f>IF($A364="","",IF(COUNTIFS(請求記録!$B$6:$B$3005,$A364,請求記録!$Z$6:$Z$3005,D$5,請求記録!$AF$6:$AF$3005,"保留中")&gt;0,"保留",IF(COUNTIFS(請求記録!$B$6:$B$3005,$A364,請求記録!$Z$6:$Z$3005,D$5)=0,"",SUMIFS(請求記録!$AE$6:$AE$3005,請求記録!$B$6:$B$3005,$A364,請求記録!$Z$6:$Z$3005,D$5))))</f>
        <v/>
      </c>
      <c r="E364" s="19">
        <f>IF($A364="","",IF(COUNTIFS(請求記録!$B$6:$B$3005,$A364,請求記録!$Z$6:$Z$3005,E$5,請求記録!$AF$6:$AF$3005,"保留中")&gt;0,"保留",IF(COUNTIFS(請求記録!$B$6:$B$3005,$A364,請求記録!$Z$6:$Z$3005,E$5)=0,"",SUMIFS(請求記録!$AE$6:$AE$3005,請求記録!$B$6:$B$3005,$A364,請求記録!$Z$6:$Z$3005,E$5))))</f>
        <v/>
      </c>
      <c r="F364" s="19">
        <f>IF($A364="","",IF(COUNTIFS(請求記録!$B$6:$B$3005,$A364,請求記録!$Z$6:$Z$3005,F$5,請求記録!$AF$6:$AF$3005,"保留中")&gt;0,"保留",IF(COUNTIFS(請求記録!$B$6:$B$3005,$A364,請求記録!$Z$6:$Z$3005,F$5)=0,"",SUMIFS(請求記録!$AE$6:$AE$3005,請求記録!$B$6:$B$3005,$A364,請求記録!$Z$6:$Z$3005,F$5))))</f>
        <v/>
      </c>
      <c r="G364" s="19">
        <f>IF($A364="","",IF(COUNTIFS(請求記録!$B$6:$B$3005,$A364,請求記録!$Z$6:$Z$3005,G$5,請求記録!$AF$6:$AF$3005,"保留中")&gt;0,"保留",IF(COUNTIFS(請求記録!$B$6:$B$3005,$A364,請求記録!$Z$6:$Z$3005,G$5)=0,"",SUMIFS(請求記録!$AE$6:$AE$3005,請求記録!$B$6:$B$3005,$A364,請求記録!$Z$6:$Z$3005,G$5))))</f>
        <v/>
      </c>
      <c r="H364" s="19">
        <f>IF($A364="","",IF(COUNTIFS(請求記録!$B$6:$B$3005,$A364,請求記録!$Z$6:$Z$3005,H$5,請求記録!$AF$6:$AF$3005,"保留中")&gt;0,"保留",IF(COUNTIFS(請求記録!$B$6:$B$3005,$A364,請求記録!$Z$6:$Z$3005,H$5)=0,"",SUMIFS(請求記録!$AE$6:$AE$3005,請求記録!$B$6:$B$3005,$A364,請求記録!$Z$6:$Z$3005,H$5))))</f>
        <v/>
      </c>
      <c r="I364" s="19">
        <f>IF($A364="","",IF(COUNTIFS(請求記録!$B$6:$B$3005,$A364,請求記録!$Z$6:$Z$3005,I$5,請求記録!$AF$6:$AF$3005,"保留中")&gt;0,"保留",IF(COUNTIFS(請求記録!$B$6:$B$3005,$A364,請求記録!$Z$6:$Z$3005,I$5)=0,"",SUMIFS(請求記録!$AE$6:$AE$3005,請求記録!$B$6:$B$3005,$A364,請求記録!$Z$6:$Z$3005,I$5))))</f>
        <v/>
      </c>
      <c r="J364" s="19">
        <f>IF($A364="","",IF(COUNTIFS(請求記録!$B$6:$B$3005,$A364,請求記録!$Z$6:$Z$3005,J$5,請求記録!$AF$6:$AF$3005,"保留中")&gt;0,"保留",IF(COUNTIFS(請求記録!$B$6:$B$3005,$A364,請求記録!$Z$6:$Z$3005,J$5)=0,"",SUMIFS(請求記録!$AE$6:$AE$3005,請求記録!$B$6:$B$3005,$A364,請求記録!$Z$6:$Z$3005,J$5))))</f>
        <v/>
      </c>
      <c r="K364" s="19">
        <f>IF($A364="","",IF(COUNTIFS(請求記録!$B$6:$B$3005,$A364,請求記録!$Z$6:$Z$3005,K$5,請求記録!$AF$6:$AF$3005,"保留中")&gt;0,"保留",IF(COUNTIFS(請求記録!$B$6:$B$3005,$A364,請求記録!$Z$6:$Z$3005,K$5)=0,"",SUMIFS(請求記録!$AE$6:$AE$3005,請求記録!$B$6:$B$3005,$A364,請求記録!$Z$6:$Z$3005,K$5))))</f>
        <v/>
      </c>
      <c r="L364" s="19">
        <f>IF($A364="","",IF(COUNTIFS(請求記録!$B$6:$B$3005,$A364,請求記録!$Z$6:$Z$3005,L$5,請求記録!$AF$6:$AF$3005,"保留中")&gt;0,"保留",IF(COUNTIFS(請求記録!$B$6:$B$3005,$A364,請求記録!$Z$6:$Z$3005,L$5)=0,"",SUMIFS(請求記録!$AE$6:$AE$3005,請求記録!$B$6:$B$3005,$A364,請求記録!$Z$6:$Z$3005,L$5))))</f>
        <v/>
      </c>
      <c r="M364" s="19">
        <f>IF($A364="","",IF(COUNTIFS(請求記録!$B$6:$B$3005,$A364,請求記録!$Z$6:$Z$3005,M$5,請求記録!$AF$6:$AF$3005,"保留中")&gt;0,"保留",IF(COUNTIFS(請求記録!$B$6:$B$3005,$A364,請求記録!$Z$6:$Z$3005,M$5)=0,"",SUMIFS(請求記録!$AE$6:$AE$3005,請求記録!$B$6:$B$3005,$A364,請求記録!$Z$6:$Z$3005,M$5))))</f>
        <v/>
      </c>
      <c r="N364" s="19">
        <f>IF($A364="","",IF(COUNTIFS(請求記録!$B$6:$B$3005,$A364,請求記録!$Z$6:$Z$3005,N$5,請求記録!$AF$6:$AF$3005,"保留中")&gt;0,"保留",IF(COUNTIFS(請求記録!$B$6:$B$3005,$A364,請求記録!$Z$6:$Z$3005,N$5)=0,"",SUMIFS(請求記録!$AE$6:$AE$3005,請求記録!$B$6:$B$3005,$A364,請求記録!$Z$6:$Z$3005,N$5))))</f>
        <v/>
      </c>
      <c r="O364" s="19">
        <f>IF($A364="","",IF(COUNTIFS(請求記録!$B$6:$B$3005,$A364,請求記録!$Z$6:$Z$3005,O$5,請求記録!$AF$6:$AF$3005,"保留中")&gt;0,"保留",IF(COUNTIFS(請求記録!$B$6:$B$3005,$A364,請求記録!$Z$6:$Z$3005,O$5)=0,"",SUMIFS(請求記録!$AE$6:$AE$3005,請求記録!$B$6:$B$3005,$A364,請求記録!$Z$6:$Z$3005,O$5))))</f>
        <v/>
      </c>
      <c r="P364" s="19">
        <f>IF($A364="","",IF(COUNTIFS(請求記録!$B$6:$B$3005,$A364,請求記録!$Z$6:$Z$3005,P$5,請求記録!$AF$6:$AF$3005,"保留中")&gt;0,"保留",IF(COUNTIFS(請求記録!$B$6:$B$3005,$A364,請求記録!$Z$6:$Z$3005,P$5)=0,"",SUMIFS(請求記録!$AE$6:$AE$3005,請求記録!$B$6:$B$3005,$A364,請求記録!$Z$6:$Z$3005,P$5))))</f>
        <v/>
      </c>
      <c r="Q364" s="19">
        <f>IF($A364="","",IF(COUNTIFS(請求記録!$B$6:$B$3005,$A364,請求記録!$Z$6:$Z$3005,Q$5,請求記録!$AF$6:$AF$3005,"保留中")&gt;0,"保留",IF(COUNTIFS(請求記録!$B$6:$B$3005,$A364,請求記録!$Z$6:$Z$3005,Q$5)=0,"",SUMIFS(請求記録!$AE$6:$AE$3005,請求記録!$B$6:$B$3005,$A364,請求記録!$Z$6:$Z$3005,Q$5))))</f>
        <v/>
      </c>
      <c r="R364" s="19">
        <f>IF($A364="","",IF(COUNTIFS(請求記録!$B$6:$B$3005,$A364,請求記録!$Z$6:$Z$3005,R$5,請求記録!$AF$6:$AF$3005,"保留中")&gt;0,"保留",IF(COUNTIFS(請求記録!$B$6:$B$3005,$A364,請求記録!$Z$6:$Z$3005,R$5)=0,"",SUMIFS(請求記録!$AE$6:$AE$3005,請求記録!$B$6:$B$3005,$A364,請求記録!$Z$6:$Z$3005,R$5))))</f>
        <v/>
      </c>
      <c r="S364" s="19">
        <f>IF($A364="","",IF(COUNTIFS(請求記録!$B$6:$B$3005,$A364,請求記録!$Z$6:$Z$3005,S$5,請求記録!$AF$6:$AF$3005,"保留中")&gt;0,"保留",IF(COUNTIFS(請求記録!$B$6:$B$3005,$A364,請求記録!$Z$6:$Z$3005,S$5)=0,"",SUMIFS(請求記録!$AE$6:$AE$3005,請求記録!$B$6:$B$3005,$A364,請求記録!$Z$6:$Z$3005,S$5))))</f>
        <v/>
      </c>
      <c r="T364" s="19">
        <f>IF($A364="","",IF(COUNTIFS(請求記録!$B$6:$B$3005,$A364,請求記録!$Z$6:$Z$3005,T$5,請求記録!$AF$6:$AF$3005,"保留中")&gt;0,"保留",IF(COUNTIFS(請求記録!$B$6:$B$3005,$A364,請求記録!$Z$6:$Z$3005,T$5)=0,"",SUMIFS(請求記録!$AE$6:$AE$3005,請求記録!$B$6:$B$3005,$A364,請求記録!$Z$6:$Z$3005,T$5))))</f>
        <v/>
      </c>
      <c r="U364" s="19">
        <f>IF($A364="","",IF(COUNTIFS(請求記録!$B$6:$B$3005,$A364,請求記録!$Z$6:$Z$3005,U$5,請求記録!$AF$6:$AF$3005,"保留中")&gt;0,"保留",IF(COUNTIFS(請求記録!$B$6:$B$3005,$A364,請求記録!$Z$6:$Z$3005,U$5)=0,"",SUMIFS(請求記録!$AE$6:$AE$3005,請求記録!$B$6:$B$3005,$A364,請求記録!$Z$6:$Z$3005,U$5))))</f>
        <v/>
      </c>
      <c r="V364" s="19">
        <f>IF($A364="","",IF(COUNTIFS(請求記録!$B$6:$B$3005,$A364,請求記録!$Z$6:$Z$3005,V$5,請求記録!$AF$6:$AF$3005,"保留中")&gt;0,"保留",IF(COUNTIFS(請求記録!$B$6:$B$3005,$A364,請求記録!$Z$6:$Z$3005,V$5)=0,"",SUMIFS(請求記録!$AE$6:$AE$3005,請求記録!$B$6:$B$3005,$A364,請求記録!$Z$6:$Z$3005,V$5))))</f>
        <v/>
      </c>
      <c r="W364" s="19">
        <f>IF($A364="","",IF(COUNTIFS(請求記録!$B$6:$B$3005,$A364,請求記録!$Z$6:$Z$3005,W$5,請求記録!$AF$6:$AF$3005,"保留中")&gt;0,"保留",IF(COUNTIFS(請求記録!$B$6:$B$3005,$A364,請求記録!$Z$6:$Z$3005,W$5)=0,"",SUMIFS(請求記録!$AE$6:$AE$3005,請求記録!$B$6:$B$3005,$A364,請求記録!$Z$6:$Z$3005,W$5))))</f>
        <v/>
      </c>
      <c r="X364" s="19">
        <f>IF($A364="","",IF(COUNTIFS(請求記録!$B$6:$B$3005,$A364,請求記録!$Z$6:$Z$3005,X$5,請求記録!$AF$6:$AF$3005,"保留中")&gt;0,"保留",IF(COUNTIFS(請求記録!$B$6:$B$3005,$A364,請求記録!$Z$6:$Z$3005,X$5)=0,"",SUMIFS(請求記録!$AE$6:$AE$3005,請求記録!$B$6:$B$3005,$A364,請求記録!$Z$6:$Z$3005,X$5))))</f>
        <v/>
      </c>
      <c r="Y364" s="19">
        <f>IF($A364="","",IF(COUNTIFS(請求記録!$B$6:$B$3005,$A364,請求記録!$Z$6:$Z$3005,Y$5,請求記録!$AF$6:$AF$3005,"保留中")&gt;0,"保留",IF(COUNTIFS(請求記録!$B$6:$B$3005,$A364,請求記録!$Z$6:$Z$3005,Y$5)=0,"",SUMIFS(請求記録!$AE$6:$AE$3005,請求記録!$B$6:$B$3005,$A364,請求記録!$Z$6:$Z$3005,Y$5))))</f>
        <v/>
      </c>
      <c r="Z364" s="19">
        <f>IF($A364="","",IF(COUNTIFS(請求記録!$B$6:$B$3005,$A364,請求記録!$Z$6:$Z$3005,Z$5,請求記録!$AF$6:$AF$3005,"保留中")&gt;0,"保留",IF(COUNTIFS(請求記録!$B$6:$B$3005,$A364,請求記録!$Z$6:$Z$3005,Z$5)=0,"",SUMIFS(請求記録!$AE$6:$AE$3005,請求記録!$B$6:$B$3005,$A364,請求記録!$Z$6:$Z$3005,Z$5))))</f>
        <v/>
      </c>
      <c r="AA364" s="19">
        <f>IF($A364="","",IF(COUNTIFS(請求記録!$B$6:$B$3005,$A364,請求記録!$Z$6:$Z$3005,AA$5,請求記録!$AF$6:$AF$3005,"保留中")&gt;0,"保留",IF(COUNTIFS(請求記録!$B$6:$B$3005,$A364,請求記録!$Z$6:$Z$3005,AA$5)=0,"",SUMIFS(請求記録!$AE$6:$AE$3005,請求記録!$B$6:$B$3005,$A364,請求記録!$Z$6:$Z$3005,AA$5))))</f>
        <v/>
      </c>
      <c r="AB364">
        <f>IF(職員マスタ!P364="保留中",職員マスタ!M364,"")</f>
        <v/>
      </c>
    </row>
    <row r="365">
      <c r="A365">
        <f>IF(職員マスタ!A365="","",職員マスタ!A365)</f>
        <v/>
      </c>
      <c r="B365">
        <f>IF($A365="","",職員マスタ!B365)</f>
        <v/>
      </c>
      <c r="C365">
        <f>IF($A365="","",職員マスタ!C365)</f>
        <v/>
      </c>
      <c r="D365" s="19">
        <f>IF($A365="","",IF(COUNTIFS(請求記録!$B$6:$B$3005,$A365,請求記録!$Z$6:$Z$3005,D$5,請求記録!$AF$6:$AF$3005,"保留中")&gt;0,"保留",IF(COUNTIFS(請求記録!$B$6:$B$3005,$A365,請求記録!$Z$6:$Z$3005,D$5)=0,"",SUMIFS(請求記録!$AE$6:$AE$3005,請求記録!$B$6:$B$3005,$A365,請求記録!$Z$6:$Z$3005,D$5))))</f>
        <v/>
      </c>
      <c r="E365" s="19">
        <f>IF($A365="","",IF(COUNTIFS(請求記録!$B$6:$B$3005,$A365,請求記録!$Z$6:$Z$3005,E$5,請求記録!$AF$6:$AF$3005,"保留中")&gt;0,"保留",IF(COUNTIFS(請求記録!$B$6:$B$3005,$A365,請求記録!$Z$6:$Z$3005,E$5)=0,"",SUMIFS(請求記録!$AE$6:$AE$3005,請求記録!$B$6:$B$3005,$A365,請求記録!$Z$6:$Z$3005,E$5))))</f>
        <v/>
      </c>
      <c r="F365" s="19">
        <f>IF($A365="","",IF(COUNTIFS(請求記録!$B$6:$B$3005,$A365,請求記録!$Z$6:$Z$3005,F$5,請求記録!$AF$6:$AF$3005,"保留中")&gt;0,"保留",IF(COUNTIFS(請求記録!$B$6:$B$3005,$A365,請求記録!$Z$6:$Z$3005,F$5)=0,"",SUMIFS(請求記録!$AE$6:$AE$3005,請求記録!$B$6:$B$3005,$A365,請求記録!$Z$6:$Z$3005,F$5))))</f>
        <v/>
      </c>
      <c r="G365" s="19">
        <f>IF($A365="","",IF(COUNTIFS(請求記録!$B$6:$B$3005,$A365,請求記録!$Z$6:$Z$3005,G$5,請求記録!$AF$6:$AF$3005,"保留中")&gt;0,"保留",IF(COUNTIFS(請求記録!$B$6:$B$3005,$A365,請求記録!$Z$6:$Z$3005,G$5)=0,"",SUMIFS(請求記録!$AE$6:$AE$3005,請求記録!$B$6:$B$3005,$A365,請求記録!$Z$6:$Z$3005,G$5))))</f>
        <v/>
      </c>
      <c r="H365" s="19">
        <f>IF($A365="","",IF(COUNTIFS(請求記録!$B$6:$B$3005,$A365,請求記録!$Z$6:$Z$3005,H$5,請求記録!$AF$6:$AF$3005,"保留中")&gt;0,"保留",IF(COUNTIFS(請求記録!$B$6:$B$3005,$A365,請求記録!$Z$6:$Z$3005,H$5)=0,"",SUMIFS(請求記録!$AE$6:$AE$3005,請求記録!$B$6:$B$3005,$A365,請求記録!$Z$6:$Z$3005,H$5))))</f>
        <v/>
      </c>
      <c r="I365" s="19">
        <f>IF($A365="","",IF(COUNTIFS(請求記録!$B$6:$B$3005,$A365,請求記録!$Z$6:$Z$3005,I$5,請求記録!$AF$6:$AF$3005,"保留中")&gt;0,"保留",IF(COUNTIFS(請求記録!$B$6:$B$3005,$A365,請求記録!$Z$6:$Z$3005,I$5)=0,"",SUMIFS(請求記録!$AE$6:$AE$3005,請求記録!$B$6:$B$3005,$A365,請求記録!$Z$6:$Z$3005,I$5))))</f>
        <v/>
      </c>
      <c r="J365" s="19">
        <f>IF($A365="","",IF(COUNTIFS(請求記録!$B$6:$B$3005,$A365,請求記録!$Z$6:$Z$3005,J$5,請求記録!$AF$6:$AF$3005,"保留中")&gt;0,"保留",IF(COUNTIFS(請求記録!$B$6:$B$3005,$A365,請求記録!$Z$6:$Z$3005,J$5)=0,"",SUMIFS(請求記録!$AE$6:$AE$3005,請求記録!$B$6:$B$3005,$A365,請求記録!$Z$6:$Z$3005,J$5))))</f>
        <v/>
      </c>
      <c r="K365" s="19">
        <f>IF($A365="","",IF(COUNTIFS(請求記録!$B$6:$B$3005,$A365,請求記録!$Z$6:$Z$3005,K$5,請求記録!$AF$6:$AF$3005,"保留中")&gt;0,"保留",IF(COUNTIFS(請求記録!$B$6:$B$3005,$A365,請求記録!$Z$6:$Z$3005,K$5)=0,"",SUMIFS(請求記録!$AE$6:$AE$3005,請求記録!$B$6:$B$3005,$A365,請求記録!$Z$6:$Z$3005,K$5))))</f>
        <v/>
      </c>
      <c r="L365" s="19">
        <f>IF($A365="","",IF(COUNTIFS(請求記録!$B$6:$B$3005,$A365,請求記録!$Z$6:$Z$3005,L$5,請求記録!$AF$6:$AF$3005,"保留中")&gt;0,"保留",IF(COUNTIFS(請求記録!$B$6:$B$3005,$A365,請求記録!$Z$6:$Z$3005,L$5)=0,"",SUMIFS(請求記録!$AE$6:$AE$3005,請求記録!$B$6:$B$3005,$A365,請求記録!$Z$6:$Z$3005,L$5))))</f>
        <v/>
      </c>
      <c r="M365" s="19">
        <f>IF($A365="","",IF(COUNTIFS(請求記録!$B$6:$B$3005,$A365,請求記録!$Z$6:$Z$3005,M$5,請求記録!$AF$6:$AF$3005,"保留中")&gt;0,"保留",IF(COUNTIFS(請求記録!$B$6:$B$3005,$A365,請求記録!$Z$6:$Z$3005,M$5)=0,"",SUMIFS(請求記録!$AE$6:$AE$3005,請求記録!$B$6:$B$3005,$A365,請求記録!$Z$6:$Z$3005,M$5))))</f>
        <v/>
      </c>
      <c r="N365" s="19">
        <f>IF($A365="","",IF(COUNTIFS(請求記録!$B$6:$B$3005,$A365,請求記録!$Z$6:$Z$3005,N$5,請求記録!$AF$6:$AF$3005,"保留中")&gt;0,"保留",IF(COUNTIFS(請求記録!$B$6:$B$3005,$A365,請求記録!$Z$6:$Z$3005,N$5)=0,"",SUMIFS(請求記録!$AE$6:$AE$3005,請求記録!$B$6:$B$3005,$A365,請求記録!$Z$6:$Z$3005,N$5))))</f>
        <v/>
      </c>
      <c r="O365" s="19">
        <f>IF($A365="","",IF(COUNTIFS(請求記録!$B$6:$B$3005,$A365,請求記録!$Z$6:$Z$3005,O$5,請求記録!$AF$6:$AF$3005,"保留中")&gt;0,"保留",IF(COUNTIFS(請求記録!$B$6:$B$3005,$A365,請求記録!$Z$6:$Z$3005,O$5)=0,"",SUMIFS(請求記録!$AE$6:$AE$3005,請求記録!$B$6:$B$3005,$A365,請求記録!$Z$6:$Z$3005,O$5))))</f>
        <v/>
      </c>
      <c r="P365" s="19">
        <f>IF($A365="","",IF(COUNTIFS(請求記録!$B$6:$B$3005,$A365,請求記録!$Z$6:$Z$3005,P$5,請求記録!$AF$6:$AF$3005,"保留中")&gt;0,"保留",IF(COUNTIFS(請求記録!$B$6:$B$3005,$A365,請求記録!$Z$6:$Z$3005,P$5)=0,"",SUMIFS(請求記録!$AE$6:$AE$3005,請求記録!$B$6:$B$3005,$A365,請求記録!$Z$6:$Z$3005,P$5))))</f>
        <v/>
      </c>
      <c r="Q365" s="19">
        <f>IF($A365="","",IF(COUNTIFS(請求記録!$B$6:$B$3005,$A365,請求記録!$Z$6:$Z$3005,Q$5,請求記録!$AF$6:$AF$3005,"保留中")&gt;0,"保留",IF(COUNTIFS(請求記録!$B$6:$B$3005,$A365,請求記録!$Z$6:$Z$3005,Q$5)=0,"",SUMIFS(請求記録!$AE$6:$AE$3005,請求記録!$B$6:$B$3005,$A365,請求記録!$Z$6:$Z$3005,Q$5))))</f>
        <v/>
      </c>
      <c r="R365" s="19">
        <f>IF($A365="","",IF(COUNTIFS(請求記録!$B$6:$B$3005,$A365,請求記録!$Z$6:$Z$3005,R$5,請求記録!$AF$6:$AF$3005,"保留中")&gt;0,"保留",IF(COUNTIFS(請求記録!$B$6:$B$3005,$A365,請求記録!$Z$6:$Z$3005,R$5)=0,"",SUMIFS(請求記録!$AE$6:$AE$3005,請求記録!$B$6:$B$3005,$A365,請求記録!$Z$6:$Z$3005,R$5))))</f>
        <v/>
      </c>
      <c r="S365" s="19">
        <f>IF($A365="","",IF(COUNTIFS(請求記録!$B$6:$B$3005,$A365,請求記録!$Z$6:$Z$3005,S$5,請求記録!$AF$6:$AF$3005,"保留中")&gt;0,"保留",IF(COUNTIFS(請求記録!$B$6:$B$3005,$A365,請求記録!$Z$6:$Z$3005,S$5)=0,"",SUMIFS(請求記録!$AE$6:$AE$3005,請求記録!$B$6:$B$3005,$A365,請求記録!$Z$6:$Z$3005,S$5))))</f>
        <v/>
      </c>
      <c r="T365" s="19">
        <f>IF($A365="","",IF(COUNTIFS(請求記録!$B$6:$B$3005,$A365,請求記録!$Z$6:$Z$3005,T$5,請求記録!$AF$6:$AF$3005,"保留中")&gt;0,"保留",IF(COUNTIFS(請求記録!$B$6:$B$3005,$A365,請求記録!$Z$6:$Z$3005,T$5)=0,"",SUMIFS(請求記録!$AE$6:$AE$3005,請求記録!$B$6:$B$3005,$A365,請求記録!$Z$6:$Z$3005,T$5))))</f>
        <v/>
      </c>
      <c r="U365" s="19">
        <f>IF($A365="","",IF(COUNTIFS(請求記録!$B$6:$B$3005,$A365,請求記録!$Z$6:$Z$3005,U$5,請求記録!$AF$6:$AF$3005,"保留中")&gt;0,"保留",IF(COUNTIFS(請求記録!$B$6:$B$3005,$A365,請求記録!$Z$6:$Z$3005,U$5)=0,"",SUMIFS(請求記録!$AE$6:$AE$3005,請求記録!$B$6:$B$3005,$A365,請求記録!$Z$6:$Z$3005,U$5))))</f>
        <v/>
      </c>
      <c r="V365" s="19">
        <f>IF($A365="","",IF(COUNTIFS(請求記録!$B$6:$B$3005,$A365,請求記録!$Z$6:$Z$3005,V$5,請求記録!$AF$6:$AF$3005,"保留中")&gt;0,"保留",IF(COUNTIFS(請求記録!$B$6:$B$3005,$A365,請求記録!$Z$6:$Z$3005,V$5)=0,"",SUMIFS(請求記録!$AE$6:$AE$3005,請求記録!$B$6:$B$3005,$A365,請求記録!$Z$6:$Z$3005,V$5))))</f>
        <v/>
      </c>
      <c r="W365" s="19">
        <f>IF($A365="","",IF(COUNTIFS(請求記録!$B$6:$B$3005,$A365,請求記録!$Z$6:$Z$3005,W$5,請求記録!$AF$6:$AF$3005,"保留中")&gt;0,"保留",IF(COUNTIFS(請求記録!$B$6:$B$3005,$A365,請求記録!$Z$6:$Z$3005,W$5)=0,"",SUMIFS(請求記録!$AE$6:$AE$3005,請求記録!$B$6:$B$3005,$A365,請求記録!$Z$6:$Z$3005,W$5))))</f>
        <v/>
      </c>
      <c r="X365" s="19">
        <f>IF($A365="","",IF(COUNTIFS(請求記録!$B$6:$B$3005,$A365,請求記録!$Z$6:$Z$3005,X$5,請求記録!$AF$6:$AF$3005,"保留中")&gt;0,"保留",IF(COUNTIFS(請求記録!$B$6:$B$3005,$A365,請求記録!$Z$6:$Z$3005,X$5)=0,"",SUMIFS(請求記録!$AE$6:$AE$3005,請求記録!$B$6:$B$3005,$A365,請求記録!$Z$6:$Z$3005,X$5))))</f>
        <v/>
      </c>
      <c r="Y365" s="19">
        <f>IF($A365="","",IF(COUNTIFS(請求記録!$B$6:$B$3005,$A365,請求記録!$Z$6:$Z$3005,Y$5,請求記録!$AF$6:$AF$3005,"保留中")&gt;0,"保留",IF(COUNTIFS(請求記録!$B$6:$B$3005,$A365,請求記録!$Z$6:$Z$3005,Y$5)=0,"",SUMIFS(請求記録!$AE$6:$AE$3005,請求記録!$B$6:$B$3005,$A365,請求記録!$Z$6:$Z$3005,Y$5))))</f>
        <v/>
      </c>
      <c r="Z365" s="19">
        <f>IF($A365="","",IF(COUNTIFS(請求記録!$B$6:$B$3005,$A365,請求記録!$Z$6:$Z$3005,Z$5,請求記録!$AF$6:$AF$3005,"保留中")&gt;0,"保留",IF(COUNTIFS(請求記録!$B$6:$B$3005,$A365,請求記録!$Z$6:$Z$3005,Z$5)=0,"",SUMIFS(請求記録!$AE$6:$AE$3005,請求記録!$B$6:$B$3005,$A365,請求記録!$Z$6:$Z$3005,Z$5))))</f>
        <v/>
      </c>
      <c r="AA365" s="19">
        <f>IF($A365="","",IF(COUNTIFS(請求記録!$B$6:$B$3005,$A365,請求記録!$Z$6:$Z$3005,AA$5,請求記録!$AF$6:$AF$3005,"保留中")&gt;0,"保留",IF(COUNTIFS(請求記録!$B$6:$B$3005,$A365,請求記録!$Z$6:$Z$3005,AA$5)=0,"",SUMIFS(請求記録!$AE$6:$AE$3005,請求記録!$B$6:$B$3005,$A365,請求記録!$Z$6:$Z$3005,AA$5))))</f>
        <v/>
      </c>
      <c r="AB365">
        <f>IF(職員マスタ!P365="保留中",職員マスタ!M365,"")</f>
        <v/>
      </c>
    </row>
    <row r="366">
      <c r="A366">
        <f>IF(職員マスタ!A366="","",職員マスタ!A366)</f>
        <v/>
      </c>
      <c r="B366">
        <f>IF($A366="","",職員マスタ!B366)</f>
        <v/>
      </c>
      <c r="C366">
        <f>IF($A366="","",職員マスタ!C366)</f>
        <v/>
      </c>
      <c r="D366" s="19">
        <f>IF($A366="","",IF(COUNTIFS(請求記録!$B$6:$B$3005,$A366,請求記録!$Z$6:$Z$3005,D$5,請求記録!$AF$6:$AF$3005,"保留中")&gt;0,"保留",IF(COUNTIFS(請求記録!$B$6:$B$3005,$A366,請求記録!$Z$6:$Z$3005,D$5)=0,"",SUMIFS(請求記録!$AE$6:$AE$3005,請求記録!$B$6:$B$3005,$A366,請求記録!$Z$6:$Z$3005,D$5))))</f>
        <v/>
      </c>
      <c r="E366" s="19">
        <f>IF($A366="","",IF(COUNTIFS(請求記録!$B$6:$B$3005,$A366,請求記録!$Z$6:$Z$3005,E$5,請求記録!$AF$6:$AF$3005,"保留中")&gt;0,"保留",IF(COUNTIFS(請求記録!$B$6:$B$3005,$A366,請求記録!$Z$6:$Z$3005,E$5)=0,"",SUMIFS(請求記録!$AE$6:$AE$3005,請求記録!$B$6:$B$3005,$A366,請求記録!$Z$6:$Z$3005,E$5))))</f>
        <v/>
      </c>
      <c r="F366" s="19">
        <f>IF($A366="","",IF(COUNTIFS(請求記録!$B$6:$B$3005,$A366,請求記録!$Z$6:$Z$3005,F$5,請求記録!$AF$6:$AF$3005,"保留中")&gt;0,"保留",IF(COUNTIFS(請求記録!$B$6:$B$3005,$A366,請求記録!$Z$6:$Z$3005,F$5)=0,"",SUMIFS(請求記録!$AE$6:$AE$3005,請求記録!$B$6:$B$3005,$A366,請求記録!$Z$6:$Z$3005,F$5))))</f>
        <v/>
      </c>
      <c r="G366" s="19">
        <f>IF($A366="","",IF(COUNTIFS(請求記録!$B$6:$B$3005,$A366,請求記録!$Z$6:$Z$3005,G$5,請求記録!$AF$6:$AF$3005,"保留中")&gt;0,"保留",IF(COUNTIFS(請求記録!$B$6:$B$3005,$A366,請求記録!$Z$6:$Z$3005,G$5)=0,"",SUMIFS(請求記録!$AE$6:$AE$3005,請求記録!$B$6:$B$3005,$A366,請求記録!$Z$6:$Z$3005,G$5))))</f>
        <v/>
      </c>
      <c r="H366" s="19">
        <f>IF($A366="","",IF(COUNTIFS(請求記録!$B$6:$B$3005,$A366,請求記録!$Z$6:$Z$3005,H$5,請求記録!$AF$6:$AF$3005,"保留中")&gt;0,"保留",IF(COUNTIFS(請求記録!$B$6:$B$3005,$A366,請求記録!$Z$6:$Z$3005,H$5)=0,"",SUMIFS(請求記録!$AE$6:$AE$3005,請求記録!$B$6:$B$3005,$A366,請求記録!$Z$6:$Z$3005,H$5))))</f>
        <v/>
      </c>
      <c r="I366" s="19">
        <f>IF($A366="","",IF(COUNTIFS(請求記録!$B$6:$B$3005,$A366,請求記録!$Z$6:$Z$3005,I$5,請求記録!$AF$6:$AF$3005,"保留中")&gt;0,"保留",IF(COUNTIFS(請求記録!$B$6:$B$3005,$A366,請求記録!$Z$6:$Z$3005,I$5)=0,"",SUMIFS(請求記録!$AE$6:$AE$3005,請求記録!$B$6:$B$3005,$A366,請求記録!$Z$6:$Z$3005,I$5))))</f>
        <v/>
      </c>
      <c r="J366" s="19">
        <f>IF($A366="","",IF(COUNTIFS(請求記録!$B$6:$B$3005,$A366,請求記録!$Z$6:$Z$3005,J$5,請求記録!$AF$6:$AF$3005,"保留中")&gt;0,"保留",IF(COUNTIFS(請求記録!$B$6:$B$3005,$A366,請求記録!$Z$6:$Z$3005,J$5)=0,"",SUMIFS(請求記録!$AE$6:$AE$3005,請求記録!$B$6:$B$3005,$A366,請求記録!$Z$6:$Z$3005,J$5))))</f>
        <v/>
      </c>
      <c r="K366" s="19">
        <f>IF($A366="","",IF(COUNTIFS(請求記録!$B$6:$B$3005,$A366,請求記録!$Z$6:$Z$3005,K$5,請求記録!$AF$6:$AF$3005,"保留中")&gt;0,"保留",IF(COUNTIFS(請求記録!$B$6:$B$3005,$A366,請求記録!$Z$6:$Z$3005,K$5)=0,"",SUMIFS(請求記録!$AE$6:$AE$3005,請求記録!$B$6:$B$3005,$A366,請求記録!$Z$6:$Z$3005,K$5))))</f>
        <v/>
      </c>
      <c r="L366" s="19">
        <f>IF($A366="","",IF(COUNTIFS(請求記録!$B$6:$B$3005,$A366,請求記録!$Z$6:$Z$3005,L$5,請求記録!$AF$6:$AF$3005,"保留中")&gt;0,"保留",IF(COUNTIFS(請求記録!$B$6:$B$3005,$A366,請求記録!$Z$6:$Z$3005,L$5)=0,"",SUMIFS(請求記録!$AE$6:$AE$3005,請求記録!$B$6:$B$3005,$A366,請求記録!$Z$6:$Z$3005,L$5))))</f>
        <v/>
      </c>
      <c r="M366" s="19">
        <f>IF($A366="","",IF(COUNTIFS(請求記録!$B$6:$B$3005,$A366,請求記録!$Z$6:$Z$3005,M$5,請求記録!$AF$6:$AF$3005,"保留中")&gt;0,"保留",IF(COUNTIFS(請求記録!$B$6:$B$3005,$A366,請求記録!$Z$6:$Z$3005,M$5)=0,"",SUMIFS(請求記録!$AE$6:$AE$3005,請求記録!$B$6:$B$3005,$A366,請求記録!$Z$6:$Z$3005,M$5))))</f>
        <v/>
      </c>
      <c r="N366" s="19">
        <f>IF($A366="","",IF(COUNTIFS(請求記録!$B$6:$B$3005,$A366,請求記録!$Z$6:$Z$3005,N$5,請求記録!$AF$6:$AF$3005,"保留中")&gt;0,"保留",IF(COUNTIFS(請求記録!$B$6:$B$3005,$A366,請求記録!$Z$6:$Z$3005,N$5)=0,"",SUMIFS(請求記録!$AE$6:$AE$3005,請求記録!$B$6:$B$3005,$A366,請求記録!$Z$6:$Z$3005,N$5))))</f>
        <v/>
      </c>
      <c r="O366" s="19">
        <f>IF($A366="","",IF(COUNTIFS(請求記録!$B$6:$B$3005,$A366,請求記録!$Z$6:$Z$3005,O$5,請求記録!$AF$6:$AF$3005,"保留中")&gt;0,"保留",IF(COUNTIFS(請求記録!$B$6:$B$3005,$A366,請求記録!$Z$6:$Z$3005,O$5)=0,"",SUMIFS(請求記録!$AE$6:$AE$3005,請求記録!$B$6:$B$3005,$A366,請求記録!$Z$6:$Z$3005,O$5))))</f>
        <v/>
      </c>
      <c r="P366" s="19">
        <f>IF($A366="","",IF(COUNTIFS(請求記録!$B$6:$B$3005,$A366,請求記録!$Z$6:$Z$3005,P$5,請求記録!$AF$6:$AF$3005,"保留中")&gt;0,"保留",IF(COUNTIFS(請求記録!$B$6:$B$3005,$A366,請求記録!$Z$6:$Z$3005,P$5)=0,"",SUMIFS(請求記録!$AE$6:$AE$3005,請求記録!$B$6:$B$3005,$A366,請求記録!$Z$6:$Z$3005,P$5))))</f>
        <v/>
      </c>
      <c r="Q366" s="19">
        <f>IF($A366="","",IF(COUNTIFS(請求記録!$B$6:$B$3005,$A366,請求記録!$Z$6:$Z$3005,Q$5,請求記録!$AF$6:$AF$3005,"保留中")&gt;0,"保留",IF(COUNTIFS(請求記録!$B$6:$B$3005,$A366,請求記録!$Z$6:$Z$3005,Q$5)=0,"",SUMIFS(請求記録!$AE$6:$AE$3005,請求記録!$B$6:$B$3005,$A366,請求記録!$Z$6:$Z$3005,Q$5))))</f>
        <v/>
      </c>
      <c r="R366" s="19">
        <f>IF($A366="","",IF(COUNTIFS(請求記録!$B$6:$B$3005,$A366,請求記録!$Z$6:$Z$3005,R$5,請求記録!$AF$6:$AF$3005,"保留中")&gt;0,"保留",IF(COUNTIFS(請求記録!$B$6:$B$3005,$A366,請求記録!$Z$6:$Z$3005,R$5)=0,"",SUMIFS(請求記録!$AE$6:$AE$3005,請求記録!$B$6:$B$3005,$A366,請求記録!$Z$6:$Z$3005,R$5))))</f>
        <v/>
      </c>
      <c r="S366" s="19">
        <f>IF($A366="","",IF(COUNTIFS(請求記録!$B$6:$B$3005,$A366,請求記録!$Z$6:$Z$3005,S$5,請求記録!$AF$6:$AF$3005,"保留中")&gt;0,"保留",IF(COUNTIFS(請求記録!$B$6:$B$3005,$A366,請求記録!$Z$6:$Z$3005,S$5)=0,"",SUMIFS(請求記録!$AE$6:$AE$3005,請求記録!$B$6:$B$3005,$A366,請求記録!$Z$6:$Z$3005,S$5))))</f>
        <v/>
      </c>
      <c r="T366" s="19">
        <f>IF($A366="","",IF(COUNTIFS(請求記録!$B$6:$B$3005,$A366,請求記録!$Z$6:$Z$3005,T$5,請求記録!$AF$6:$AF$3005,"保留中")&gt;0,"保留",IF(COUNTIFS(請求記録!$B$6:$B$3005,$A366,請求記録!$Z$6:$Z$3005,T$5)=0,"",SUMIFS(請求記録!$AE$6:$AE$3005,請求記録!$B$6:$B$3005,$A366,請求記録!$Z$6:$Z$3005,T$5))))</f>
        <v/>
      </c>
      <c r="U366" s="19">
        <f>IF($A366="","",IF(COUNTIFS(請求記録!$B$6:$B$3005,$A366,請求記録!$Z$6:$Z$3005,U$5,請求記録!$AF$6:$AF$3005,"保留中")&gt;0,"保留",IF(COUNTIFS(請求記録!$B$6:$B$3005,$A366,請求記録!$Z$6:$Z$3005,U$5)=0,"",SUMIFS(請求記録!$AE$6:$AE$3005,請求記録!$B$6:$B$3005,$A366,請求記録!$Z$6:$Z$3005,U$5))))</f>
        <v/>
      </c>
      <c r="V366" s="19">
        <f>IF($A366="","",IF(COUNTIFS(請求記録!$B$6:$B$3005,$A366,請求記録!$Z$6:$Z$3005,V$5,請求記録!$AF$6:$AF$3005,"保留中")&gt;0,"保留",IF(COUNTIFS(請求記録!$B$6:$B$3005,$A366,請求記録!$Z$6:$Z$3005,V$5)=0,"",SUMIFS(請求記録!$AE$6:$AE$3005,請求記録!$B$6:$B$3005,$A366,請求記録!$Z$6:$Z$3005,V$5))))</f>
        <v/>
      </c>
      <c r="W366" s="19">
        <f>IF($A366="","",IF(COUNTIFS(請求記録!$B$6:$B$3005,$A366,請求記録!$Z$6:$Z$3005,W$5,請求記録!$AF$6:$AF$3005,"保留中")&gt;0,"保留",IF(COUNTIFS(請求記録!$B$6:$B$3005,$A366,請求記録!$Z$6:$Z$3005,W$5)=0,"",SUMIFS(請求記録!$AE$6:$AE$3005,請求記録!$B$6:$B$3005,$A366,請求記録!$Z$6:$Z$3005,W$5))))</f>
        <v/>
      </c>
      <c r="X366" s="19">
        <f>IF($A366="","",IF(COUNTIFS(請求記録!$B$6:$B$3005,$A366,請求記録!$Z$6:$Z$3005,X$5,請求記録!$AF$6:$AF$3005,"保留中")&gt;0,"保留",IF(COUNTIFS(請求記録!$B$6:$B$3005,$A366,請求記録!$Z$6:$Z$3005,X$5)=0,"",SUMIFS(請求記録!$AE$6:$AE$3005,請求記録!$B$6:$B$3005,$A366,請求記録!$Z$6:$Z$3005,X$5))))</f>
        <v/>
      </c>
      <c r="Y366" s="19">
        <f>IF($A366="","",IF(COUNTIFS(請求記録!$B$6:$B$3005,$A366,請求記録!$Z$6:$Z$3005,Y$5,請求記録!$AF$6:$AF$3005,"保留中")&gt;0,"保留",IF(COUNTIFS(請求記録!$B$6:$B$3005,$A366,請求記録!$Z$6:$Z$3005,Y$5)=0,"",SUMIFS(請求記録!$AE$6:$AE$3005,請求記録!$B$6:$B$3005,$A366,請求記録!$Z$6:$Z$3005,Y$5))))</f>
        <v/>
      </c>
      <c r="Z366" s="19">
        <f>IF($A366="","",IF(COUNTIFS(請求記録!$B$6:$B$3005,$A366,請求記録!$Z$6:$Z$3005,Z$5,請求記録!$AF$6:$AF$3005,"保留中")&gt;0,"保留",IF(COUNTIFS(請求記録!$B$6:$B$3005,$A366,請求記録!$Z$6:$Z$3005,Z$5)=0,"",SUMIFS(請求記録!$AE$6:$AE$3005,請求記録!$B$6:$B$3005,$A366,請求記録!$Z$6:$Z$3005,Z$5))))</f>
        <v/>
      </c>
      <c r="AA366" s="19">
        <f>IF($A366="","",IF(COUNTIFS(請求記録!$B$6:$B$3005,$A366,請求記録!$Z$6:$Z$3005,AA$5,請求記録!$AF$6:$AF$3005,"保留中")&gt;0,"保留",IF(COUNTIFS(請求記録!$B$6:$B$3005,$A366,請求記録!$Z$6:$Z$3005,AA$5)=0,"",SUMIFS(請求記録!$AE$6:$AE$3005,請求記録!$B$6:$B$3005,$A366,請求記録!$Z$6:$Z$3005,AA$5))))</f>
        <v/>
      </c>
      <c r="AB366">
        <f>IF(職員マスタ!P366="保留中",職員マスタ!M366,"")</f>
        <v/>
      </c>
    </row>
    <row r="367">
      <c r="A367">
        <f>IF(職員マスタ!A367="","",職員マスタ!A367)</f>
        <v/>
      </c>
      <c r="B367">
        <f>IF($A367="","",職員マスタ!B367)</f>
        <v/>
      </c>
      <c r="C367">
        <f>IF($A367="","",職員マスタ!C367)</f>
        <v/>
      </c>
      <c r="D367" s="19">
        <f>IF($A367="","",IF(COUNTIFS(請求記録!$B$6:$B$3005,$A367,請求記録!$Z$6:$Z$3005,D$5,請求記録!$AF$6:$AF$3005,"保留中")&gt;0,"保留",IF(COUNTIFS(請求記録!$B$6:$B$3005,$A367,請求記録!$Z$6:$Z$3005,D$5)=0,"",SUMIFS(請求記録!$AE$6:$AE$3005,請求記録!$B$6:$B$3005,$A367,請求記録!$Z$6:$Z$3005,D$5))))</f>
        <v/>
      </c>
      <c r="E367" s="19">
        <f>IF($A367="","",IF(COUNTIFS(請求記録!$B$6:$B$3005,$A367,請求記録!$Z$6:$Z$3005,E$5,請求記録!$AF$6:$AF$3005,"保留中")&gt;0,"保留",IF(COUNTIFS(請求記録!$B$6:$B$3005,$A367,請求記録!$Z$6:$Z$3005,E$5)=0,"",SUMIFS(請求記録!$AE$6:$AE$3005,請求記録!$B$6:$B$3005,$A367,請求記録!$Z$6:$Z$3005,E$5))))</f>
        <v/>
      </c>
      <c r="F367" s="19">
        <f>IF($A367="","",IF(COUNTIFS(請求記録!$B$6:$B$3005,$A367,請求記録!$Z$6:$Z$3005,F$5,請求記録!$AF$6:$AF$3005,"保留中")&gt;0,"保留",IF(COUNTIFS(請求記録!$B$6:$B$3005,$A367,請求記録!$Z$6:$Z$3005,F$5)=0,"",SUMIFS(請求記録!$AE$6:$AE$3005,請求記録!$B$6:$B$3005,$A367,請求記録!$Z$6:$Z$3005,F$5))))</f>
        <v/>
      </c>
      <c r="G367" s="19">
        <f>IF($A367="","",IF(COUNTIFS(請求記録!$B$6:$B$3005,$A367,請求記録!$Z$6:$Z$3005,G$5,請求記録!$AF$6:$AF$3005,"保留中")&gt;0,"保留",IF(COUNTIFS(請求記録!$B$6:$B$3005,$A367,請求記録!$Z$6:$Z$3005,G$5)=0,"",SUMIFS(請求記録!$AE$6:$AE$3005,請求記録!$B$6:$B$3005,$A367,請求記録!$Z$6:$Z$3005,G$5))))</f>
        <v/>
      </c>
      <c r="H367" s="19">
        <f>IF($A367="","",IF(COUNTIFS(請求記録!$B$6:$B$3005,$A367,請求記録!$Z$6:$Z$3005,H$5,請求記録!$AF$6:$AF$3005,"保留中")&gt;0,"保留",IF(COUNTIFS(請求記録!$B$6:$B$3005,$A367,請求記録!$Z$6:$Z$3005,H$5)=0,"",SUMIFS(請求記録!$AE$6:$AE$3005,請求記録!$B$6:$B$3005,$A367,請求記録!$Z$6:$Z$3005,H$5))))</f>
        <v/>
      </c>
      <c r="I367" s="19">
        <f>IF($A367="","",IF(COUNTIFS(請求記録!$B$6:$B$3005,$A367,請求記録!$Z$6:$Z$3005,I$5,請求記録!$AF$6:$AF$3005,"保留中")&gt;0,"保留",IF(COUNTIFS(請求記録!$B$6:$B$3005,$A367,請求記録!$Z$6:$Z$3005,I$5)=0,"",SUMIFS(請求記録!$AE$6:$AE$3005,請求記録!$B$6:$B$3005,$A367,請求記録!$Z$6:$Z$3005,I$5))))</f>
        <v/>
      </c>
      <c r="J367" s="19">
        <f>IF($A367="","",IF(COUNTIFS(請求記録!$B$6:$B$3005,$A367,請求記録!$Z$6:$Z$3005,J$5,請求記録!$AF$6:$AF$3005,"保留中")&gt;0,"保留",IF(COUNTIFS(請求記録!$B$6:$B$3005,$A367,請求記録!$Z$6:$Z$3005,J$5)=0,"",SUMIFS(請求記録!$AE$6:$AE$3005,請求記録!$B$6:$B$3005,$A367,請求記録!$Z$6:$Z$3005,J$5))))</f>
        <v/>
      </c>
      <c r="K367" s="19">
        <f>IF($A367="","",IF(COUNTIFS(請求記録!$B$6:$B$3005,$A367,請求記録!$Z$6:$Z$3005,K$5,請求記録!$AF$6:$AF$3005,"保留中")&gt;0,"保留",IF(COUNTIFS(請求記録!$B$6:$B$3005,$A367,請求記録!$Z$6:$Z$3005,K$5)=0,"",SUMIFS(請求記録!$AE$6:$AE$3005,請求記録!$B$6:$B$3005,$A367,請求記録!$Z$6:$Z$3005,K$5))))</f>
        <v/>
      </c>
      <c r="L367" s="19">
        <f>IF($A367="","",IF(COUNTIFS(請求記録!$B$6:$B$3005,$A367,請求記録!$Z$6:$Z$3005,L$5,請求記録!$AF$6:$AF$3005,"保留中")&gt;0,"保留",IF(COUNTIFS(請求記録!$B$6:$B$3005,$A367,請求記録!$Z$6:$Z$3005,L$5)=0,"",SUMIFS(請求記録!$AE$6:$AE$3005,請求記録!$B$6:$B$3005,$A367,請求記録!$Z$6:$Z$3005,L$5))))</f>
        <v/>
      </c>
      <c r="M367" s="19">
        <f>IF($A367="","",IF(COUNTIFS(請求記録!$B$6:$B$3005,$A367,請求記録!$Z$6:$Z$3005,M$5,請求記録!$AF$6:$AF$3005,"保留中")&gt;0,"保留",IF(COUNTIFS(請求記録!$B$6:$B$3005,$A367,請求記録!$Z$6:$Z$3005,M$5)=0,"",SUMIFS(請求記録!$AE$6:$AE$3005,請求記録!$B$6:$B$3005,$A367,請求記録!$Z$6:$Z$3005,M$5))))</f>
        <v/>
      </c>
      <c r="N367" s="19">
        <f>IF($A367="","",IF(COUNTIFS(請求記録!$B$6:$B$3005,$A367,請求記録!$Z$6:$Z$3005,N$5,請求記録!$AF$6:$AF$3005,"保留中")&gt;0,"保留",IF(COUNTIFS(請求記録!$B$6:$B$3005,$A367,請求記録!$Z$6:$Z$3005,N$5)=0,"",SUMIFS(請求記録!$AE$6:$AE$3005,請求記録!$B$6:$B$3005,$A367,請求記録!$Z$6:$Z$3005,N$5))))</f>
        <v/>
      </c>
      <c r="O367" s="19">
        <f>IF($A367="","",IF(COUNTIFS(請求記録!$B$6:$B$3005,$A367,請求記録!$Z$6:$Z$3005,O$5,請求記録!$AF$6:$AF$3005,"保留中")&gt;0,"保留",IF(COUNTIFS(請求記録!$B$6:$B$3005,$A367,請求記録!$Z$6:$Z$3005,O$5)=0,"",SUMIFS(請求記録!$AE$6:$AE$3005,請求記録!$B$6:$B$3005,$A367,請求記録!$Z$6:$Z$3005,O$5))))</f>
        <v/>
      </c>
      <c r="P367" s="19">
        <f>IF($A367="","",IF(COUNTIFS(請求記録!$B$6:$B$3005,$A367,請求記録!$Z$6:$Z$3005,P$5,請求記録!$AF$6:$AF$3005,"保留中")&gt;0,"保留",IF(COUNTIFS(請求記録!$B$6:$B$3005,$A367,請求記録!$Z$6:$Z$3005,P$5)=0,"",SUMIFS(請求記録!$AE$6:$AE$3005,請求記録!$B$6:$B$3005,$A367,請求記録!$Z$6:$Z$3005,P$5))))</f>
        <v/>
      </c>
      <c r="Q367" s="19">
        <f>IF($A367="","",IF(COUNTIFS(請求記録!$B$6:$B$3005,$A367,請求記録!$Z$6:$Z$3005,Q$5,請求記録!$AF$6:$AF$3005,"保留中")&gt;0,"保留",IF(COUNTIFS(請求記録!$B$6:$B$3005,$A367,請求記録!$Z$6:$Z$3005,Q$5)=0,"",SUMIFS(請求記録!$AE$6:$AE$3005,請求記録!$B$6:$B$3005,$A367,請求記録!$Z$6:$Z$3005,Q$5))))</f>
        <v/>
      </c>
      <c r="R367" s="19">
        <f>IF($A367="","",IF(COUNTIFS(請求記録!$B$6:$B$3005,$A367,請求記録!$Z$6:$Z$3005,R$5,請求記録!$AF$6:$AF$3005,"保留中")&gt;0,"保留",IF(COUNTIFS(請求記録!$B$6:$B$3005,$A367,請求記録!$Z$6:$Z$3005,R$5)=0,"",SUMIFS(請求記録!$AE$6:$AE$3005,請求記録!$B$6:$B$3005,$A367,請求記録!$Z$6:$Z$3005,R$5))))</f>
        <v/>
      </c>
      <c r="S367" s="19">
        <f>IF($A367="","",IF(COUNTIFS(請求記録!$B$6:$B$3005,$A367,請求記録!$Z$6:$Z$3005,S$5,請求記録!$AF$6:$AF$3005,"保留中")&gt;0,"保留",IF(COUNTIFS(請求記録!$B$6:$B$3005,$A367,請求記録!$Z$6:$Z$3005,S$5)=0,"",SUMIFS(請求記録!$AE$6:$AE$3005,請求記録!$B$6:$B$3005,$A367,請求記録!$Z$6:$Z$3005,S$5))))</f>
        <v/>
      </c>
      <c r="T367" s="19">
        <f>IF($A367="","",IF(COUNTIFS(請求記録!$B$6:$B$3005,$A367,請求記録!$Z$6:$Z$3005,T$5,請求記録!$AF$6:$AF$3005,"保留中")&gt;0,"保留",IF(COUNTIFS(請求記録!$B$6:$B$3005,$A367,請求記録!$Z$6:$Z$3005,T$5)=0,"",SUMIFS(請求記録!$AE$6:$AE$3005,請求記録!$B$6:$B$3005,$A367,請求記録!$Z$6:$Z$3005,T$5))))</f>
        <v/>
      </c>
      <c r="U367" s="19">
        <f>IF($A367="","",IF(COUNTIFS(請求記録!$B$6:$B$3005,$A367,請求記録!$Z$6:$Z$3005,U$5,請求記録!$AF$6:$AF$3005,"保留中")&gt;0,"保留",IF(COUNTIFS(請求記録!$B$6:$B$3005,$A367,請求記録!$Z$6:$Z$3005,U$5)=0,"",SUMIFS(請求記録!$AE$6:$AE$3005,請求記録!$B$6:$B$3005,$A367,請求記録!$Z$6:$Z$3005,U$5))))</f>
        <v/>
      </c>
      <c r="V367" s="19">
        <f>IF($A367="","",IF(COUNTIFS(請求記録!$B$6:$B$3005,$A367,請求記録!$Z$6:$Z$3005,V$5,請求記録!$AF$6:$AF$3005,"保留中")&gt;0,"保留",IF(COUNTIFS(請求記録!$B$6:$B$3005,$A367,請求記録!$Z$6:$Z$3005,V$5)=0,"",SUMIFS(請求記録!$AE$6:$AE$3005,請求記録!$B$6:$B$3005,$A367,請求記録!$Z$6:$Z$3005,V$5))))</f>
        <v/>
      </c>
      <c r="W367" s="19">
        <f>IF($A367="","",IF(COUNTIFS(請求記録!$B$6:$B$3005,$A367,請求記録!$Z$6:$Z$3005,W$5,請求記録!$AF$6:$AF$3005,"保留中")&gt;0,"保留",IF(COUNTIFS(請求記録!$B$6:$B$3005,$A367,請求記録!$Z$6:$Z$3005,W$5)=0,"",SUMIFS(請求記録!$AE$6:$AE$3005,請求記録!$B$6:$B$3005,$A367,請求記録!$Z$6:$Z$3005,W$5))))</f>
        <v/>
      </c>
      <c r="X367" s="19">
        <f>IF($A367="","",IF(COUNTIFS(請求記録!$B$6:$B$3005,$A367,請求記録!$Z$6:$Z$3005,X$5,請求記録!$AF$6:$AF$3005,"保留中")&gt;0,"保留",IF(COUNTIFS(請求記録!$B$6:$B$3005,$A367,請求記録!$Z$6:$Z$3005,X$5)=0,"",SUMIFS(請求記録!$AE$6:$AE$3005,請求記録!$B$6:$B$3005,$A367,請求記録!$Z$6:$Z$3005,X$5))))</f>
        <v/>
      </c>
      <c r="Y367" s="19">
        <f>IF($A367="","",IF(COUNTIFS(請求記録!$B$6:$B$3005,$A367,請求記録!$Z$6:$Z$3005,Y$5,請求記録!$AF$6:$AF$3005,"保留中")&gt;0,"保留",IF(COUNTIFS(請求記録!$B$6:$B$3005,$A367,請求記録!$Z$6:$Z$3005,Y$5)=0,"",SUMIFS(請求記録!$AE$6:$AE$3005,請求記録!$B$6:$B$3005,$A367,請求記録!$Z$6:$Z$3005,Y$5))))</f>
        <v/>
      </c>
      <c r="Z367" s="19">
        <f>IF($A367="","",IF(COUNTIFS(請求記録!$B$6:$B$3005,$A367,請求記録!$Z$6:$Z$3005,Z$5,請求記録!$AF$6:$AF$3005,"保留中")&gt;0,"保留",IF(COUNTIFS(請求記録!$B$6:$B$3005,$A367,請求記録!$Z$6:$Z$3005,Z$5)=0,"",SUMIFS(請求記録!$AE$6:$AE$3005,請求記録!$B$6:$B$3005,$A367,請求記録!$Z$6:$Z$3005,Z$5))))</f>
        <v/>
      </c>
      <c r="AA367" s="19">
        <f>IF($A367="","",IF(COUNTIFS(請求記録!$B$6:$B$3005,$A367,請求記録!$Z$6:$Z$3005,AA$5,請求記録!$AF$6:$AF$3005,"保留中")&gt;0,"保留",IF(COUNTIFS(請求記録!$B$6:$B$3005,$A367,請求記録!$Z$6:$Z$3005,AA$5)=0,"",SUMIFS(請求記録!$AE$6:$AE$3005,請求記録!$B$6:$B$3005,$A367,請求記録!$Z$6:$Z$3005,AA$5))))</f>
        <v/>
      </c>
      <c r="AB367">
        <f>IF(職員マスタ!P367="保留中",職員マスタ!M367,"")</f>
        <v/>
      </c>
    </row>
    <row r="368">
      <c r="A368">
        <f>IF(職員マスタ!A368="","",職員マスタ!A368)</f>
        <v/>
      </c>
      <c r="B368">
        <f>IF($A368="","",職員マスタ!B368)</f>
        <v/>
      </c>
      <c r="C368">
        <f>IF($A368="","",職員マスタ!C368)</f>
        <v/>
      </c>
      <c r="D368" s="19">
        <f>IF($A368="","",IF(COUNTIFS(請求記録!$B$6:$B$3005,$A368,請求記録!$Z$6:$Z$3005,D$5,請求記録!$AF$6:$AF$3005,"保留中")&gt;0,"保留",IF(COUNTIFS(請求記録!$B$6:$B$3005,$A368,請求記録!$Z$6:$Z$3005,D$5)=0,"",SUMIFS(請求記録!$AE$6:$AE$3005,請求記録!$B$6:$B$3005,$A368,請求記録!$Z$6:$Z$3005,D$5))))</f>
        <v/>
      </c>
      <c r="E368" s="19">
        <f>IF($A368="","",IF(COUNTIFS(請求記録!$B$6:$B$3005,$A368,請求記録!$Z$6:$Z$3005,E$5,請求記録!$AF$6:$AF$3005,"保留中")&gt;0,"保留",IF(COUNTIFS(請求記録!$B$6:$B$3005,$A368,請求記録!$Z$6:$Z$3005,E$5)=0,"",SUMIFS(請求記録!$AE$6:$AE$3005,請求記録!$B$6:$B$3005,$A368,請求記録!$Z$6:$Z$3005,E$5))))</f>
        <v/>
      </c>
      <c r="F368" s="19">
        <f>IF($A368="","",IF(COUNTIFS(請求記録!$B$6:$B$3005,$A368,請求記録!$Z$6:$Z$3005,F$5,請求記録!$AF$6:$AF$3005,"保留中")&gt;0,"保留",IF(COUNTIFS(請求記録!$B$6:$B$3005,$A368,請求記録!$Z$6:$Z$3005,F$5)=0,"",SUMIFS(請求記録!$AE$6:$AE$3005,請求記録!$B$6:$B$3005,$A368,請求記録!$Z$6:$Z$3005,F$5))))</f>
        <v/>
      </c>
      <c r="G368" s="19">
        <f>IF($A368="","",IF(COUNTIFS(請求記録!$B$6:$B$3005,$A368,請求記録!$Z$6:$Z$3005,G$5,請求記録!$AF$6:$AF$3005,"保留中")&gt;0,"保留",IF(COUNTIFS(請求記録!$B$6:$B$3005,$A368,請求記録!$Z$6:$Z$3005,G$5)=0,"",SUMIFS(請求記録!$AE$6:$AE$3005,請求記録!$B$6:$B$3005,$A368,請求記録!$Z$6:$Z$3005,G$5))))</f>
        <v/>
      </c>
      <c r="H368" s="19">
        <f>IF($A368="","",IF(COUNTIFS(請求記録!$B$6:$B$3005,$A368,請求記録!$Z$6:$Z$3005,H$5,請求記録!$AF$6:$AF$3005,"保留中")&gt;0,"保留",IF(COUNTIFS(請求記録!$B$6:$B$3005,$A368,請求記録!$Z$6:$Z$3005,H$5)=0,"",SUMIFS(請求記録!$AE$6:$AE$3005,請求記録!$B$6:$B$3005,$A368,請求記録!$Z$6:$Z$3005,H$5))))</f>
        <v/>
      </c>
      <c r="I368" s="19">
        <f>IF($A368="","",IF(COUNTIFS(請求記録!$B$6:$B$3005,$A368,請求記録!$Z$6:$Z$3005,I$5,請求記録!$AF$6:$AF$3005,"保留中")&gt;0,"保留",IF(COUNTIFS(請求記録!$B$6:$B$3005,$A368,請求記録!$Z$6:$Z$3005,I$5)=0,"",SUMIFS(請求記録!$AE$6:$AE$3005,請求記録!$B$6:$B$3005,$A368,請求記録!$Z$6:$Z$3005,I$5))))</f>
        <v/>
      </c>
      <c r="J368" s="19">
        <f>IF($A368="","",IF(COUNTIFS(請求記録!$B$6:$B$3005,$A368,請求記録!$Z$6:$Z$3005,J$5,請求記録!$AF$6:$AF$3005,"保留中")&gt;0,"保留",IF(COUNTIFS(請求記録!$B$6:$B$3005,$A368,請求記録!$Z$6:$Z$3005,J$5)=0,"",SUMIFS(請求記録!$AE$6:$AE$3005,請求記録!$B$6:$B$3005,$A368,請求記録!$Z$6:$Z$3005,J$5))))</f>
        <v/>
      </c>
      <c r="K368" s="19">
        <f>IF($A368="","",IF(COUNTIFS(請求記録!$B$6:$B$3005,$A368,請求記録!$Z$6:$Z$3005,K$5,請求記録!$AF$6:$AF$3005,"保留中")&gt;0,"保留",IF(COUNTIFS(請求記録!$B$6:$B$3005,$A368,請求記録!$Z$6:$Z$3005,K$5)=0,"",SUMIFS(請求記録!$AE$6:$AE$3005,請求記録!$B$6:$B$3005,$A368,請求記録!$Z$6:$Z$3005,K$5))))</f>
        <v/>
      </c>
      <c r="L368" s="19">
        <f>IF($A368="","",IF(COUNTIFS(請求記録!$B$6:$B$3005,$A368,請求記録!$Z$6:$Z$3005,L$5,請求記録!$AF$6:$AF$3005,"保留中")&gt;0,"保留",IF(COUNTIFS(請求記録!$B$6:$B$3005,$A368,請求記録!$Z$6:$Z$3005,L$5)=0,"",SUMIFS(請求記録!$AE$6:$AE$3005,請求記録!$B$6:$B$3005,$A368,請求記録!$Z$6:$Z$3005,L$5))))</f>
        <v/>
      </c>
      <c r="M368" s="19">
        <f>IF($A368="","",IF(COUNTIFS(請求記録!$B$6:$B$3005,$A368,請求記録!$Z$6:$Z$3005,M$5,請求記録!$AF$6:$AF$3005,"保留中")&gt;0,"保留",IF(COUNTIFS(請求記録!$B$6:$B$3005,$A368,請求記録!$Z$6:$Z$3005,M$5)=0,"",SUMIFS(請求記録!$AE$6:$AE$3005,請求記録!$B$6:$B$3005,$A368,請求記録!$Z$6:$Z$3005,M$5))))</f>
        <v/>
      </c>
      <c r="N368" s="19">
        <f>IF($A368="","",IF(COUNTIFS(請求記録!$B$6:$B$3005,$A368,請求記録!$Z$6:$Z$3005,N$5,請求記録!$AF$6:$AF$3005,"保留中")&gt;0,"保留",IF(COUNTIFS(請求記録!$B$6:$B$3005,$A368,請求記録!$Z$6:$Z$3005,N$5)=0,"",SUMIFS(請求記録!$AE$6:$AE$3005,請求記録!$B$6:$B$3005,$A368,請求記録!$Z$6:$Z$3005,N$5))))</f>
        <v/>
      </c>
      <c r="O368" s="19">
        <f>IF($A368="","",IF(COUNTIFS(請求記録!$B$6:$B$3005,$A368,請求記録!$Z$6:$Z$3005,O$5,請求記録!$AF$6:$AF$3005,"保留中")&gt;0,"保留",IF(COUNTIFS(請求記録!$B$6:$B$3005,$A368,請求記録!$Z$6:$Z$3005,O$5)=0,"",SUMIFS(請求記録!$AE$6:$AE$3005,請求記録!$B$6:$B$3005,$A368,請求記録!$Z$6:$Z$3005,O$5))))</f>
        <v/>
      </c>
      <c r="P368" s="19">
        <f>IF($A368="","",IF(COUNTIFS(請求記録!$B$6:$B$3005,$A368,請求記録!$Z$6:$Z$3005,P$5,請求記録!$AF$6:$AF$3005,"保留中")&gt;0,"保留",IF(COUNTIFS(請求記録!$B$6:$B$3005,$A368,請求記録!$Z$6:$Z$3005,P$5)=0,"",SUMIFS(請求記録!$AE$6:$AE$3005,請求記録!$B$6:$B$3005,$A368,請求記録!$Z$6:$Z$3005,P$5))))</f>
        <v/>
      </c>
      <c r="Q368" s="19">
        <f>IF($A368="","",IF(COUNTIFS(請求記録!$B$6:$B$3005,$A368,請求記録!$Z$6:$Z$3005,Q$5,請求記録!$AF$6:$AF$3005,"保留中")&gt;0,"保留",IF(COUNTIFS(請求記録!$B$6:$B$3005,$A368,請求記録!$Z$6:$Z$3005,Q$5)=0,"",SUMIFS(請求記録!$AE$6:$AE$3005,請求記録!$B$6:$B$3005,$A368,請求記録!$Z$6:$Z$3005,Q$5))))</f>
        <v/>
      </c>
      <c r="R368" s="19">
        <f>IF($A368="","",IF(COUNTIFS(請求記録!$B$6:$B$3005,$A368,請求記録!$Z$6:$Z$3005,R$5,請求記録!$AF$6:$AF$3005,"保留中")&gt;0,"保留",IF(COUNTIFS(請求記録!$B$6:$B$3005,$A368,請求記録!$Z$6:$Z$3005,R$5)=0,"",SUMIFS(請求記録!$AE$6:$AE$3005,請求記録!$B$6:$B$3005,$A368,請求記録!$Z$6:$Z$3005,R$5))))</f>
        <v/>
      </c>
      <c r="S368" s="19">
        <f>IF($A368="","",IF(COUNTIFS(請求記録!$B$6:$B$3005,$A368,請求記録!$Z$6:$Z$3005,S$5,請求記録!$AF$6:$AF$3005,"保留中")&gt;0,"保留",IF(COUNTIFS(請求記録!$B$6:$B$3005,$A368,請求記録!$Z$6:$Z$3005,S$5)=0,"",SUMIFS(請求記録!$AE$6:$AE$3005,請求記録!$B$6:$B$3005,$A368,請求記録!$Z$6:$Z$3005,S$5))))</f>
        <v/>
      </c>
      <c r="T368" s="19">
        <f>IF($A368="","",IF(COUNTIFS(請求記録!$B$6:$B$3005,$A368,請求記録!$Z$6:$Z$3005,T$5,請求記録!$AF$6:$AF$3005,"保留中")&gt;0,"保留",IF(COUNTIFS(請求記録!$B$6:$B$3005,$A368,請求記録!$Z$6:$Z$3005,T$5)=0,"",SUMIFS(請求記録!$AE$6:$AE$3005,請求記録!$B$6:$B$3005,$A368,請求記録!$Z$6:$Z$3005,T$5))))</f>
        <v/>
      </c>
      <c r="U368" s="19">
        <f>IF($A368="","",IF(COUNTIFS(請求記録!$B$6:$B$3005,$A368,請求記録!$Z$6:$Z$3005,U$5,請求記録!$AF$6:$AF$3005,"保留中")&gt;0,"保留",IF(COUNTIFS(請求記録!$B$6:$B$3005,$A368,請求記録!$Z$6:$Z$3005,U$5)=0,"",SUMIFS(請求記録!$AE$6:$AE$3005,請求記録!$B$6:$B$3005,$A368,請求記録!$Z$6:$Z$3005,U$5))))</f>
        <v/>
      </c>
      <c r="V368" s="19">
        <f>IF($A368="","",IF(COUNTIFS(請求記録!$B$6:$B$3005,$A368,請求記録!$Z$6:$Z$3005,V$5,請求記録!$AF$6:$AF$3005,"保留中")&gt;0,"保留",IF(COUNTIFS(請求記録!$B$6:$B$3005,$A368,請求記録!$Z$6:$Z$3005,V$5)=0,"",SUMIFS(請求記録!$AE$6:$AE$3005,請求記録!$B$6:$B$3005,$A368,請求記録!$Z$6:$Z$3005,V$5))))</f>
        <v/>
      </c>
      <c r="W368" s="19">
        <f>IF($A368="","",IF(COUNTIFS(請求記録!$B$6:$B$3005,$A368,請求記録!$Z$6:$Z$3005,W$5,請求記録!$AF$6:$AF$3005,"保留中")&gt;0,"保留",IF(COUNTIFS(請求記録!$B$6:$B$3005,$A368,請求記録!$Z$6:$Z$3005,W$5)=0,"",SUMIFS(請求記録!$AE$6:$AE$3005,請求記録!$B$6:$B$3005,$A368,請求記録!$Z$6:$Z$3005,W$5))))</f>
        <v/>
      </c>
      <c r="X368" s="19">
        <f>IF($A368="","",IF(COUNTIFS(請求記録!$B$6:$B$3005,$A368,請求記録!$Z$6:$Z$3005,X$5,請求記録!$AF$6:$AF$3005,"保留中")&gt;0,"保留",IF(COUNTIFS(請求記録!$B$6:$B$3005,$A368,請求記録!$Z$6:$Z$3005,X$5)=0,"",SUMIFS(請求記録!$AE$6:$AE$3005,請求記録!$B$6:$B$3005,$A368,請求記録!$Z$6:$Z$3005,X$5))))</f>
        <v/>
      </c>
      <c r="Y368" s="19">
        <f>IF($A368="","",IF(COUNTIFS(請求記録!$B$6:$B$3005,$A368,請求記録!$Z$6:$Z$3005,Y$5,請求記録!$AF$6:$AF$3005,"保留中")&gt;0,"保留",IF(COUNTIFS(請求記録!$B$6:$B$3005,$A368,請求記録!$Z$6:$Z$3005,Y$5)=0,"",SUMIFS(請求記録!$AE$6:$AE$3005,請求記録!$B$6:$B$3005,$A368,請求記録!$Z$6:$Z$3005,Y$5))))</f>
        <v/>
      </c>
      <c r="Z368" s="19">
        <f>IF($A368="","",IF(COUNTIFS(請求記録!$B$6:$B$3005,$A368,請求記録!$Z$6:$Z$3005,Z$5,請求記録!$AF$6:$AF$3005,"保留中")&gt;0,"保留",IF(COUNTIFS(請求記録!$B$6:$B$3005,$A368,請求記録!$Z$6:$Z$3005,Z$5)=0,"",SUMIFS(請求記録!$AE$6:$AE$3005,請求記録!$B$6:$B$3005,$A368,請求記録!$Z$6:$Z$3005,Z$5))))</f>
        <v/>
      </c>
      <c r="AA368" s="19">
        <f>IF($A368="","",IF(COUNTIFS(請求記録!$B$6:$B$3005,$A368,請求記録!$Z$6:$Z$3005,AA$5,請求記録!$AF$6:$AF$3005,"保留中")&gt;0,"保留",IF(COUNTIFS(請求記録!$B$6:$B$3005,$A368,請求記録!$Z$6:$Z$3005,AA$5)=0,"",SUMIFS(請求記録!$AE$6:$AE$3005,請求記録!$B$6:$B$3005,$A368,請求記録!$Z$6:$Z$3005,AA$5))))</f>
        <v/>
      </c>
      <c r="AB368">
        <f>IF(職員マスタ!P368="保留中",職員マスタ!M368,"")</f>
        <v/>
      </c>
    </row>
    <row r="369">
      <c r="A369">
        <f>IF(職員マスタ!A369="","",職員マスタ!A369)</f>
        <v/>
      </c>
      <c r="B369">
        <f>IF($A369="","",職員マスタ!B369)</f>
        <v/>
      </c>
      <c r="C369">
        <f>IF($A369="","",職員マスタ!C369)</f>
        <v/>
      </c>
      <c r="D369" s="19">
        <f>IF($A369="","",IF(COUNTIFS(請求記録!$B$6:$B$3005,$A369,請求記録!$Z$6:$Z$3005,D$5,請求記録!$AF$6:$AF$3005,"保留中")&gt;0,"保留",IF(COUNTIFS(請求記録!$B$6:$B$3005,$A369,請求記録!$Z$6:$Z$3005,D$5)=0,"",SUMIFS(請求記録!$AE$6:$AE$3005,請求記録!$B$6:$B$3005,$A369,請求記録!$Z$6:$Z$3005,D$5))))</f>
        <v/>
      </c>
      <c r="E369" s="19">
        <f>IF($A369="","",IF(COUNTIFS(請求記録!$B$6:$B$3005,$A369,請求記録!$Z$6:$Z$3005,E$5,請求記録!$AF$6:$AF$3005,"保留中")&gt;0,"保留",IF(COUNTIFS(請求記録!$B$6:$B$3005,$A369,請求記録!$Z$6:$Z$3005,E$5)=0,"",SUMIFS(請求記録!$AE$6:$AE$3005,請求記録!$B$6:$B$3005,$A369,請求記録!$Z$6:$Z$3005,E$5))))</f>
        <v/>
      </c>
      <c r="F369" s="19">
        <f>IF($A369="","",IF(COUNTIFS(請求記録!$B$6:$B$3005,$A369,請求記録!$Z$6:$Z$3005,F$5,請求記録!$AF$6:$AF$3005,"保留中")&gt;0,"保留",IF(COUNTIFS(請求記録!$B$6:$B$3005,$A369,請求記録!$Z$6:$Z$3005,F$5)=0,"",SUMIFS(請求記録!$AE$6:$AE$3005,請求記録!$B$6:$B$3005,$A369,請求記録!$Z$6:$Z$3005,F$5))))</f>
        <v/>
      </c>
      <c r="G369" s="19">
        <f>IF($A369="","",IF(COUNTIFS(請求記録!$B$6:$B$3005,$A369,請求記録!$Z$6:$Z$3005,G$5,請求記録!$AF$6:$AF$3005,"保留中")&gt;0,"保留",IF(COUNTIFS(請求記録!$B$6:$B$3005,$A369,請求記録!$Z$6:$Z$3005,G$5)=0,"",SUMIFS(請求記録!$AE$6:$AE$3005,請求記録!$B$6:$B$3005,$A369,請求記録!$Z$6:$Z$3005,G$5))))</f>
        <v/>
      </c>
      <c r="H369" s="19">
        <f>IF($A369="","",IF(COUNTIFS(請求記録!$B$6:$B$3005,$A369,請求記録!$Z$6:$Z$3005,H$5,請求記録!$AF$6:$AF$3005,"保留中")&gt;0,"保留",IF(COUNTIFS(請求記録!$B$6:$B$3005,$A369,請求記録!$Z$6:$Z$3005,H$5)=0,"",SUMIFS(請求記録!$AE$6:$AE$3005,請求記録!$B$6:$B$3005,$A369,請求記録!$Z$6:$Z$3005,H$5))))</f>
        <v/>
      </c>
      <c r="I369" s="19">
        <f>IF($A369="","",IF(COUNTIFS(請求記録!$B$6:$B$3005,$A369,請求記録!$Z$6:$Z$3005,I$5,請求記録!$AF$6:$AF$3005,"保留中")&gt;0,"保留",IF(COUNTIFS(請求記録!$B$6:$B$3005,$A369,請求記録!$Z$6:$Z$3005,I$5)=0,"",SUMIFS(請求記録!$AE$6:$AE$3005,請求記録!$B$6:$B$3005,$A369,請求記録!$Z$6:$Z$3005,I$5))))</f>
        <v/>
      </c>
      <c r="J369" s="19">
        <f>IF($A369="","",IF(COUNTIFS(請求記録!$B$6:$B$3005,$A369,請求記録!$Z$6:$Z$3005,J$5,請求記録!$AF$6:$AF$3005,"保留中")&gt;0,"保留",IF(COUNTIFS(請求記録!$B$6:$B$3005,$A369,請求記録!$Z$6:$Z$3005,J$5)=0,"",SUMIFS(請求記録!$AE$6:$AE$3005,請求記録!$B$6:$B$3005,$A369,請求記録!$Z$6:$Z$3005,J$5))))</f>
        <v/>
      </c>
      <c r="K369" s="19">
        <f>IF($A369="","",IF(COUNTIFS(請求記録!$B$6:$B$3005,$A369,請求記録!$Z$6:$Z$3005,K$5,請求記録!$AF$6:$AF$3005,"保留中")&gt;0,"保留",IF(COUNTIFS(請求記録!$B$6:$B$3005,$A369,請求記録!$Z$6:$Z$3005,K$5)=0,"",SUMIFS(請求記録!$AE$6:$AE$3005,請求記録!$B$6:$B$3005,$A369,請求記録!$Z$6:$Z$3005,K$5))))</f>
        <v/>
      </c>
      <c r="L369" s="19">
        <f>IF($A369="","",IF(COUNTIFS(請求記録!$B$6:$B$3005,$A369,請求記録!$Z$6:$Z$3005,L$5,請求記録!$AF$6:$AF$3005,"保留中")&gt;0,"保留",IF(COUNTIFS(請求記録!$B$6:$B$3005,$A369,請求記録!$Z$6:$Z$3005,L$5)=0,"",SUMIFS(請求記録!$AE$6:$AE$3005,請求記録!$B$6:$B$3005,$A369,請求記録!$Z$6:$Z$3005,L$5))))</f>
        <v/>
      </c>
      <c r="M369" s="19">
        <f>IF($A369="","",IF(COUNTIFS(請求記録!$B$6:$B$3005,$A369,請求記録!$Z$6:$Z$3005,M$5,請求記録!$AF$6:$AF$3005,"保留中")&gt;0,"保留",IF(COUNTIFS(請求記録!$B$6:$B$3005,$A369,請求記録!$Z$6:$Z$3005,M$5)=0,"",SUMIFS(請求記録!$AE$6:$AE$3005,請求記録!$B$6:$B$3005,$A369,請求記録!$Z$6:$Z$3005,M$5))))</f>
        <v/>
      </c>
      <c r="N369" s="19">
        <f>IF($A369="","",IF(COUNTIFS(請求記録!$B$6:$B$3005,$A369,請求記録!$Z$6:$Z$3005,N$5,請求記録!$AF$6:$AF$3005,"保留中")&gt;0,"保留",IF(COUNTIFS(請求記録!$B$6:$B$3005,$A369,請求記録!$Z$6:$Z$3005,N$5)=0,"",SUMIFS(請求記録!$AE$6:$AE$3005,請求記録!$B$6:$B$3005,$A369,請求記録!$Z$6:$Z$3005,N$5))))</f>
        <v/>
      </c>
      <c r="O369" s="19">
        <f>IF($A369="","",IF(COUNTIFS(請求記録!$B$6:$B$3005,$A369,請求記録!$Z$6:$Z$3005,O$5,請求記録!$AF$6:$AF$3005,"保留中")&gt;0,"保留",IF(COUNTIFS(請求記録!$B$6:$B$3005,$A369,請求記録!$Z$6:$Z$3005,O$5)=0,"",SUMIFS(請求記録!$AE$6:$AE$3005,請求記録!$B$6:$B$3005,$A369,請求記録!$Z$6:$Z$3005,O$5))))</f>
        <v/>
      </c>
      <c r="P369" s="19">
        <f>IF($A369="","",IF(COUNTIFS(請求記録!$B$6:$B$3005,$A369,請求記録!$Z$6:$Z$3005,P$5,請求記録!$AF$6:$AF$3005,"保留中")&gt;0,"保留",IF(COUNTIFS(請求記録!$B$6:$B$3005,$A369,請求記録!$Z$6:$Z$3005,P$5)=0,"",SUMIFS(請求記録!$AE$6:$AE$3005,請求記録!$B$6:$B$3005,$A369,請求記録!$Z$6:$Z$3005,P$5))))</f>
        <v/>
      </c>
      <c r="Q369" s="19">
        <f>IF($A369="","",IF(COUNTIFS(請求記録!$B$6:$B$3005,$A369,請求記録!$Z$6:$Z$3005,Q$5,請求記録!$AF$6:$AF$3005,"保留中")&gt;0,"保留",IF(COUNTIFS(請求記録!$B$6:$B$3005,$A369,請求記録!$Z$6:$Z$3005,Q$5)=0,"",SUMIFS(請求記録!$AE$6:$AE$3005,請求記録!$B$6:$B$3005,$A369,請求記録!$Z$6:$Z$3005,Q$5))))</f>
        <v/>
      </c>
      <c r="R369" s="19">
        <f>IF($A369="","",IF(COUNTIFS(請求記録!$B$6:$B$3005,$A369,請求記録!$Z$6:$Z$3005,R$5,請求記録!$AF$6:$AF$3005,"保留中")&gt;0,"保留",IF(COUNTIFS(請求記録!$B$6:$B$3005,$A369,請求記録!$Z$6:$Z$3005,R$5)=0,"",SUMIFS(請求記録!$AE$6:$AE$3005,請求記録!$B$6:$B$3005,$A369,請求記録!$Z$6:$Z$3005,R$5))))</f>
        <v/>
      </c>
      <c r="S369" s="19">
        <f>IF($A369="","",IF(COUNTIFS(請求記録!$B$6:$B$3005,$A369,請求記録!$Z$6:$Z$3005,S$5,請求記録!$AF$6:$AF$3005,"保留中")&gt;0,"保留",IF(COUNTIFS(請求記録!$B$6:$B$3005,$A369,請求記録!$Z$6:$Z$3005,S$5)=0,"",SUMIFS(請求記録!$AE$6:$AE$3005,請求記録!$B$6:$B$3005,$A369,請求記録!$Z$6:$Z$3005,S$5))))</f>
        <v/>
      </c>
      <c r="T369" s="19">
        <f>IF($A369="","",IF(COUNTIFS(請求記録!$B$6:$B$3005,$A369,請求記録!$Z$6:$Z$3005,T$5,請求記録!$AF$6:$AF$3005,"保留中")&gt;0,"保留",IF(COUNTIFS(請求記録!$B$6:$B$3005,$A369,請求記録!$Z$6:$Z$3005,T$5)=0,"",SUMIFS(請求記録!$AE$6:$AE$3005,請求記録!$B$6:$B$3005,$A369,請求記録!$Z$6:$Z$3005,T$5))))</f>
        <v/>
      </c>
      <c r="U369" s="19">
        <f>IF($A369="","",IF(COUNTIFS(請求記録!$B$6:$B$3005,$A369,請求記録!$Z$6:$Z$3005,U$5,請求記録!$AF$6:$AF$3005,"保留中")&gt;0,"保留",IF(COUNTIFS(請求記録!$B$6:$B$3005,$A369,請求記録!$Z$6:$Z$3005,U$5)=0,"",SUMIFS(請求記録!$AE$6:$AE$3005,請求記録!$B$6:$B$3005,$A369,請求記録!$Z$6:$Z$3005,U$5))))</f>
        <v/>
      </c>
      <c r="V369" s="19">
        <f>IF($A369="","",IF(COUNTIFS(請求記録!$B$6:$B$3005,$A369,請求記録!$Z$6:$Z$3005,V$5,請求記録!$AF$6:$AF$3005,"保留中")&gt;0,"保留",IF(COUNTIFS(請求記録!$B$6:$B$3005,$A369,請求記録!$Z$6:$Z$3005,V$5)=0,"",SUMIFS(請求記録!$AE$6:$AE$3005,請求記録!$B$6:$B$3005,$A369,請求記録!$Z$6:$Z$3005,V$5))))</f>
        <v/>
      </c>
      <c r="W369" s="19">
        <f>IF($A369="","",IF(COUNTIFS(請求記録!$B$6:$B$3005,$A369,請求記録!$Z$6:$Z$3005,W$5,請求記録!$AF$6:$AF$3005,"保留中")&gt;0,"保留",IF(COUNTIFS(請求記録!$B$6:$B$3005,$A369,請求記録!$Z$6:$Z$3005,W$5)=0,"",SUMIFS(請求記録!$AE$6:$AE$3005,請求記録!$B$6:$B$3005,$A369,請求記録!$Z$6:$Z$3005,W$5))))</f>
        <v/>
      </c>
      <c r="X369" s="19">
        <f>IF($A369="","",IF(COUNTIFS(請求記録!$B$6:$B$3005,$A369,請求記録!$Z$6:$Z$3005,X$5,請求記録!$AF$6:$AF$3005,"保留中")&gt;0,"保留",IF(COUNTIFS(請求記録!$B$6:$B$3005,$A369,請求記録!$Z$6:$Z$3005,X$5)=0,"",SUMIFS(請求記録!$AE$6:$AE$3005,請求記録!$B$6:$B$3005,$A369,請求記録!$Z$6:$Z$3005,X$5))))</f>
        <v/>
      </c>
      <c r="Y369" s="19">
        <f>IF($A369="","",IF(COUNTIFS(請求記録!$B$6:$B$3005,$A369,請求記録!$Z$6:$Z$3005,Y$5,請求記録!$AF$6:$AF$3005,"保留中")&gt;0,"保留",IF(COUNTIFS(請求記録!$B$6:$B$3005,$A369,請求記録!$Z$6:$Z$3005,Y$5)=0,"",SUMIFS(請求記録!$AE$6:$AE$3005,請求記録!$B$6:$B$3005,$A369,請求記録!$Z$6:$Z$3005,Y$5))))</f>
        <v/>
      </c>
      <c r="Z369" s="19">
        <f>IF($A369="","",IF(COUNTIFS(請求記録!$B$6:$B$3005,$A369,請求記録!$Z$6:$Z$3005,Z$5,請求記録!$AF$6:$AF$3005,"保留中")&gt;0,"保留",IF(COUNTIFS(請求記録!$B$6:$B$3005,$A369,請求記録!$Z$6:$Z$3005,Z$5)=0,"",SUMIFS(請求記録!$AE$6:$AE$3005,請求記録!$B$6:$B$3005,$A369,請求記録!$Z$6:$Z$3005,Z$5))))</f>
        <v/>
      </c>
      <c r="AA369" s="19">
        <f>IF($A369="","",IF(COUNTIFS(請求記録!$B$6:$B$3005,$A369,請求記録!$Z$6:$Z$3005,AA$5,請求記録!$AF$6:$AF$3005,"保留中")&gt;0,"保留",IF(COUNTIFS(請求記録!$B$6:$B$3005,$A369,請求記録!$Z$6:$Z$3005,AA$5)=0,"",SUMIFS(請求記録!$AE$6:$AE$3005,請求記録!$B$6:$B$3005,$A369,請求記録!$Z$6:$Z$3005,AA$5))))</f>
        <v/>
      </c>
      <c r="AB369">
        <f>IF(職員マスタ!P369="保留中",職員マスタ!M369,"")</f>
        <v/>
      </c>
    </row>
    <row r="370">
      <c r="A370">
        <f>IF(職員マスタ!A370="","",職員マスタ!A370)</f>
        <v/>
      </c>
      <c r="B370">
        <f>IF($A370="","",職員マスタ!B370)</f>
        <v/>
      </c>
      <c r="C370">
        <f>IF($A370="","",職員マスタ!C370)</f>
        <v/>
      </c>
      <c r="D370" s="19">
        <f>IF($A370="","",IF(COUNTIFS(請求記録!$B$6:$B$3005,$A370,請求記録!$Z$6:$Z$3005,D$5,請求記録!$AF$6:$AF$3005,"保留中")&gt;0,"保留",IF(COUNTIFS(請求記録!$B$6:$B$3005,$A370,請求記録!$Z$6:$Z$3005,D$5)=0,"",SUMIFS(請求記録!$AE$6:$AE$3005,請求記録!$B$6:$B$3005,$A370,請求記録!$Z$6:$Z$3005,D$5))))</f>
        <v/>
      </c>
      <c r="E370" s="19">
        <f>IF($A370="","",IF(COUNTIFS(請求記録!$B$6:$B$3005,$A370,請求記録!$Z$6:$Z$3005,E$5,請求記録!$AF$6:$AF$3005,"保留中")&gt;0,"保留",IF(COUNTIFS(請求記録!$B$6:$B$3005,$A370,請求記録!$Z$6:$Z$3005,E$5)=0,"",SUMIFS(請求記録!$AE$6:$AE$3005,請求記録!$B$6:$B$3005,$A370,請求記録!$Z$6:$Z$3005,E$5))))</f>
        <v/>
      </c>
      <c r="F370" s="19">
        <f>IF($A370="","",IF(COUNTIFS(請求記録!$B$6:$B$3005,$A370,請求記録!$Z$6:$Z$3005,F$5,請求記録!$AF$6:$AF$3005,"保留中")&gt;0,"保留",IF(COUNTIFS(請求記録!$B$6:$B$3005,$A370,請求記録!$Z$6:$Z$3005,F$5)=0,"",SUMIFS(請求記録!$AE$6:$AE$3005,請求記録!$B$6:$B$3005,$A370,請求記録!$Z$6:$Z$3005,F$5))))</f>
        <v/>
      </c>
      <c r="G370" s="19">
        <f>IF($A370="","",IF(COUNTIFS(請求記録!$B$6:$B$3005,$A370,請求記録!$Z$6:$Z$3005,G$5,請求記録!$AF$6:$AF$3005,"保留中")&gt;0,"保留",IF(COUNTIFS(請求記録!$B$6:$B$3005,$A370,請求記録!$Z$6:$Z$3005,G$5)=0,"",SUMIFS(請求記録!$AE$6:$AE$3005,請求記録!$B$6:$B$3005,$A370,請求記録!$Z$6:$Z$3005,G$5))))</f>
        <v/>
      </c>
      <c r="H370" s="19">
        <f>IF($A370="","",IF(COUNTIFS(請求記録!$B$6:$B$3005,$A370,請求記録!$Z$6:$Z$3005,H$5,請求記録!$AF$6:$AF$3005,"保留中")&gt;0,"保留",IF(COUNTIFS(請求記録!$B$6:$B$3005,$A370,請求記録!$Z$6:$Z$3005,H$5)=0,"",SUMIFS(請求記録!$AE$6:$AE$3005,請求記録!$B$6:$B$3005,$A370,請求記録!$Z$6:$Z$3005,H$5))))</f>
        <v/>
      </c>
      <c r="I370" s="19">
        <f>IF($A370="","",IF(COUNTIFS(請求記録!$B$6:$B$3005,$A370,請求記録!$Z$6:$Z$3005,I$5,請求記録!$AF$6:$AF$3005,"保留中")&gt;0,"保留",IF(COUNTIFS(請求記録!$B$6:$B$3005,$A370,請求記録!$Z$6:$Z$3005,I$5)=0,"",SUMIFS(請求記録!$AE$6:$AE$3005,請求記録!$B$6:$B$3005,$A370,請求記録!$Z$6:$Z$3005,I$5))))</f>
        <v/>
      </c>
      <c r="J370" s="19">
        <f>IF($A370="","",IF(COUNTIFS(請求記録!$B$6:$B$3005,$A370,請求記録!$Z$6:$Z$3005,J$5,請求記録!$AF$6:$AF$3005,"保留中")&gt;0,"保留",IF(COUNTIFS(請求記録!$B$6:$B$3005,$A370,請求記録!$Z$6:$Z$3005,J$5)=0,"",SUMIFS(請求記録!$AE$6:$AE$3005,請求記録!$B$6:$B$3005,$A370,請求記録!$Z$6:$Z$3005,J$5))))</f>
        <v/>
      </c>
      <c r="K370" s="19">
        <f>IF($A370="","",IF(COUNTIFS(請求記録!$B$6:$B$3005,$A370,請求記録!$Z$6:$Z$3005,K$5,請求記録!$AF$6:$AF$3005,"保留中")&gt;0,"保留",IF(COUNTIFS(請求記録!$B$6:$B$3005,$A370,請求記録!$Z$6:$Z$3005,K$5)=0,"",SUMIFS(請求記録!$AE$6:$AE$3005,請求記録!$B$6:$B$3005,$A370,請求記録!$Z$6:$Z$3005,K$5))))</f>
        <v/>
      </c>
      <c r="L370" s="19">
        <f>IF($A370="","",IF(COUNTIFS(請求記録!$B$6:$B$3005,$A370,請求記録!$Z$6:$Z$3005,L$5,請求記録!$AF$6:$AF$3005,"保留中")&gt;0,"保留",IF(COUNTIFS(請求記録!$B$6:$B$3005,$A370,請求記録!$Z$6:$Z$3005,L$5)=0,"",SUMIFS(請求記録!$AE$6:$AE$3005,請求記録!$B$6:$B$3005,$A370,請求記録!$Z$6:$Z$3005,L$5))))</f>
        <v/>
      </c>
      <c r="M370" s="19">
        <f>IF($A370="","",IF(COUNTIFS(請求記録!$B$6:$B$3005,$A370,請求記録!$Z$6:$Z$3005,M$5,請求記録!$AF$6:$AF$3005,"保留中")&gt;0,"保留",IF(COUNTIFS(請求記録!$B$6:$B$3005,$A370,請求記録!$Z$6:$Z$3005,M$5)=0,"",SUMIFS(請求記録!$AE$6:$AE$3005,請求記録!$B$6:$B$3005,$A370,請求記録!$Z$6:$Z$3005,M$5))))</f>
        <v/>
      </c>
      <c r="N370" s="19">
        <f>IF($A370="","",IF(COUNTIFS(請求記録!$B$6:$B$3005,$A370,請求記録!$Z$6:$Z$3005,N$5,請求記録!$AF$6:$AF$3005,"保留中")&gt;0,"保留",IF(COUNTIFS(請求記録!$B$6:$B$3005,$A370,請求記録!$Z$6:$Z$3005,N$5)=0,"",SUMIFS(請求記録!$AE$6:$AE$3005,請求記録!$B$6:$B$3005,$A370,請求記録!$Z$6:$Z$3005,N$5))))</f>
        <v/>
      </c>
      <c r="O370" s="19">
        <f>IF($A370="","",IF(COUNTIFS(請求記録!$B$6:$B$3005,$A370,請求記録!$Z$6:$Z$3005,O$5,請求記録!$AF$6:$AF$3005,"保留中")&gt;0,"保留",IF(COUNTIFS(請求記録!$B$6:$B$3005,$A370,請求記録!$Z$6:$Z$3005,O$5)=0,"",SUMIFS(請求記録!$AE$6:$AE$3005,請求記録!$B$6:$B$3005,$A370,請求記録!$Z$6:$Z$3005,O$5))))</f>
        <v/>
      </c>
      <c r="P370" s="19">
        <f>IF($A370="","",IF(COUNTIFS(請求記録!$B$6:$B$3005,$A370,請求記録!$Z$6:$Z$3005,P$5,請求記録!$AF$6:$AF$3005,"保留中")&gt;0,"保留",IF(COUNTIFS(請求記録!$B$6:$B$3005,$A370,請求記録!$Z$6:$Z$3005,P$5)=0,"",SUMIFS(請求記録!$AE$6:$AE$3005,請求記録!$B$6:$B$3005,$A370,請求記録!$Z$6:$Z$3005,P$5))))</f>
        <v/>
      </c>
      <c r="Q370" s="19">
        <f>IF($A370="","",IF(COUNTIFS(請求記録!$B$6:$B$3005,$A370,請求記録!$Z$6:$Z$3005,Q$5,請求記録!$AF$6:$AF$3005,"保留中")&gt;0,"保留",IF(COUNTIFS(請求記録!$B$6:$B$3005,$A370,請求記録!$Z$6:$Z$3005,Q$5)=0,"",SUMIFS(請求記録!$AE$6:$AE$3005,請求記録!$B$6:$B$3005,$A370,請求記録!$Z$6:$Z$3005,Q$5))))</f>
        <v/>
      </c>
      <c r="R370" s="19">
        <f>IF($A370="","",IF(COUNTIFS(請求記録!$B$6:$B$3005,$A370,請求記録!$Z$6:$Z$3005,R$5,請求記録!$AF$6:$AF$3005,"保留中")&gt;0,"保留",IF(COUNTIFS(請求記録!$B$6:$B$3005,$A370,請求記録!$Z$6:$Z$3005,R$5)=0,"",SUMIFS(請求記録!$AE$6:$AE$3005,請求記録!$B$6:$B$3005,$A370,請求記録!$Z$6:$Z$3005,R$5))))</f>
        <v/>
      </c>
      <c r="S370" s="19">
        <f>IF($A370="","",IF(COUNTIFS(請求記録!$B$6:$B$3005,$A370,請求記録!$Z$6:$Z$3005,S$5,請求記録!$AF$6:$AF$3005,"保留中")&gt;0,"保留",IF(COUNTIFS(請求記録!$B$6:$B$3005,$A370,請求記録!$Z$6:$Z$3005,S$5)=0,"",SUMIFS(請求記録!$AE$6:$AE$3005,請求記録!$B$6:$B$3005,$A370,請求記録!$Z$6:$Z$3005,S$5))))</f>
        <v/>
      </c>
      <c r="T370" s="19">
        <f>IF($A370="","",IF(COUNTIFS(請求記録!$B$6:$B$3005,$A370,請求記録!$Z$6:$Z$3005,T$5,請求記録!$AF$6:$AF$3005,"保留中")&gt;0,"保留",IF(COUNTIFS(請求記録!$B$6:$B$3005,$A370,請求記録!$Z$6:$Z$3005,T$5)=0,"",SUMIFS(請求記録!$AE$6:$AE$3005,請求記録!$B$6:$B$3005,$A370,請求記録!$Z$6:$Z$3005,T$5))))</f>
        <v/>
      </c>
      <c r="U370" s="19">
        <f>IF($A370="","",IF(COUNTIFS(請求記録!$B$6:$B$3005,$A370,請求記録!$Z$6:$Z$3005,U$5,請求記録!$AF$6:$AF$3005,"保留中")&gt;0,"保留",IF(COUNTIFS(請求記録!$B$6:$B$3005,$A370,請求記録!$Z$6:$Z$3005,U$5)=0,"",SUMIFS(請求記録!$AE$6:$AE$3005,請求記録!$B$6:$B$3005,$A370,請求記録!$Z$6:$Z$3005,U$5))))</f>
        <v/>
      </c>
      <c r="V370" s="19">
        <f>IF($A370="","",IF(COUNTIFS(請求記録!$B$6:$B$3005,$A370,請求記録!$Z$6:$Z$3005,V$5,請求記録!$AF$6:$AF$3005,"保留中")&gt;0,"保留",IF(COUNTIFS(請求記録!$B$6:$B$3005,$A370,請求記録!$Z$6:$Z$3005,V$5)=0,"",SUMIFS(請求記録!$AE$6:$AE$3005,請求記録!$B$6:$B$3005,$A370,請求記録!$Z$6:$Z$3005,V$5))))</f>
        <v/>
      </c>
      <c r="W370" s="19">
        <f>IF($A370="","",IF(COUNTIFS(請求記録!$B$6:$B$3005,$A370,請求記録!$Z$6:$Z$3005,W$5,請求記録!$AF$6:$AF$3005,"保留中")&gt;0,"保留",IF(COUNTIFS(請求記録!$B$6:$B$3005,$A370,請求記録!$Z$6:$Z$3005,W$5)=0,"",SUMIFS(請求記録!$AE$6:$AE$3005,請求記録!$B$6:$B$3005,$A370,請求記録!$Z$6:$Z$3005,W$5))))</f>
        <v/>
      </c>
      <c r="X370" s="19">
        <f>IF($A370="","",IF(COUNTIFS(請求記録!$B$6:$B$3005,$A370,請求記録!$Z$6:$Z$3005,X$5,請求記録!$AF$6:$AF$3005,"保留中")&gt;0,"保留",IF(COUNTIFS(請求記録!$B$6:$B$3005,$A370,請求記録!$Z$6:$Z$3005,X$5)=0,"",SUMIFS(請求記録!$AE$6:$AE$3005,請求記録!$B$6:$B$3005,$A370,請求記録!$Z$6:$Z$3005,X$5))))</f>
        <v/>
      </c>
      <c r="Y370" s="19">
        <f>IF($A370="","",IF(COUNTIFS(請求記録!$B$6:$B$3005,$A370,請求記録!$Z$6:$Z$3005,Y$5,請求記録!$AF$6:$AF$3005,"保留中")&gt;0,"保留",IF(COUNTIFS(請求記録!$B$6:$B$3005,$A370,請求記録!$Z$6:$Z$3005,Y$5)=0,"",SUMIFS(請求記録!$AE$6:$AE$3005,請求記録!$B$6:$B$3005,$A370,請求記録!$Z$6:$Z$3005,Y$5))))</f>
        <v/>
      </c>
      <c r="Z370" s="19">
        <f>IF($A370="","",IF(COUNTIFS(請求記録!$B$6:$B$3005,$A370,請求記録!$Z$6:$Z$3005,Z$5,請求記録!$AF$6:$AF$3005,"保留中")&gt;0,"保留",IF(COUNTIFS(請求記録!$B$6:$B$3005,$A370,請求記録!$Z$6:$Z$3005,Z$5)=0,"",SUMIFS(請求記録!$AE$6:$AE$3005,請求記録!$B$6:$B$3005,$A370,請求記録!$Z$6:$Z$3005,Z$5))))</f>
        <v/>
      </c>
      <c r="AA370" s="19">
        <f>IF($A370="","",IF(COUNTIFS(請求記録!$B$6:$B$3005,$A370,請求記録!$Z$6:$Z$3005,AA$5,請求記録!$AF$6:$AF$3005,"保留中")&gt;0,"保留",IF(COUNTIFS(請求記録!$B$6:$B$3005,$A370,請求記録!$Z$6:$Z$3005,AA$5)=0,"",SUMIFS(請求記録!$AE$6:$AE$3005,請求記録!$B$6:$B$3005,$A370,請求記録!$Z$6:$Z$3005,AA$5))))</f>
        <v/>
      </c>
      <c r="AB370">
        <f>IF(職員マスタ!P370="保留中",職員マスタ!M370,"")</f>
        <v/>
      </c>
    </row>
    <row r="371">
      <c r="A371">
        <f>IF(職員マスタ!A371="","",職員マスタ!A371)</f>
        <v/>
      </c>
      <c r="B371">
        <f>IF($A371="","",職員マスタ!B371)</f>
        <v/>
      </c>
      <c r="C371">
        <f>IF($A371="","",職員マスタ!C371)</f>
        <v/>
      </c>
      <c r="D371" s="19">
        <f>IF($A371="","",IF(COUNTIFS(請求記録!$B$6:$B$3005,$A371,請求記録!$Z$6:$Z$3005,D$5,請求記録!$AF$6:$AF$3005,"保留中")&gt;0,"保留",IF(COUNTIFS(請求記録!$B$6:$B$3005,$A371,請求記録!$Z$6:$Z$3005,D$5)=0,"",SUMIFS(請求記録!$AE$6:$AE$3005,請求記録!$B$6:$B$3005,$A371,請求記録!$Z$6:$Z$3005,D$5))))</f>
        <v/>
      </c>
      <c r="E371" s="19">
        <f>IF($A371="","",IF(COUNTIFS(請求記録!$B$6:$B$3005,$A371,請求記録!$Z$6:$Z$3005,E$5,請求記録!$AF$6:$AF$3005,"保留中")&gt;0,"保留",IF(COUNTIFS(請求記録!$B$6:$B$3005,$A371,請求記録!$Z$6:$Z$3005,E$5)=0,"",SUMIFS(請求記録!$AE$6:$AE$3005,請求記録!$B$6:$B$3005,$A371,請求記録!$Z$6:$Z$3005,E$5))))</f>
        <v/>
      </c>
      <c r="F371" s="19">
        <f>IF($A371="","",IF(COUNTIFS(請求記録!$B$6:$B$3005,$A371,請求記録!$Z$6:$Z$3005,F$5,請求記録!$AF$6:$AF$3005,"保留中")&gt;0,"保留",IF(COUNTIFS(請求記録!$B$6:$B$3005,$A371,請求記録!$Z$6:$Z$3005,F$5)=0,"",SUMIFS(請求記録!$AE$6:$AE$3005,請求記録!$B$6:$B$3005,$A371,請求記録!$Z$6:$Z$3005,F$5))))</f>
        <v/>
      </c>
      <c r="G371" s="19">
        <f>IF($A371="","",IF(COUNTIFS(請求記録!$B$6:$B$3005,$A371,請求記録!$Z$6:$Z$3005,G$5,請求記録!$AF$6:$AF$3005,"保留中")&gt;0,"保留",IF(COUNTIFS(請求記録!$B$6:$B$3005,$A371,請求記録!$Z$6:$Z$3005,G$5)=0,"",SUMIFS(請求記録!$AE$6:$AE$3005,請求記録!$B$6:$B$3005,$A371,請求記録!$Z$6:$Z$3005,G$5))))</f>
        <v/>
      </c>
      <c r="H371" s="19">
        <f>IF($A371="","",IF(COUNTIFS(請求記録!$B$6:$B$3005,$A371,請求記録!$Z$6:$Z$3005,H$5,請求記録!$AF$6:$AF$3005,"保留中")&gt;0,"保留",IF(COUNTIFS(請求記録!$B$6:$B$3005,$A371,請求記録!$Z$6:$Z$3005,H$5)=0,"",SUMIFS(請求記録!$AE$6:$AE$3005,請求記録!$B$6:$B$3005,$A371,請求記録!$Z$6:$Z$3005,H$5))))</f>
        <v/>
      </c>
      <c r="I371" s="19">
        <f>IF($A371="","",IF(COUNTIFS(請求記録!$B$6:$B$3005,$A371,請求記録!$Z$6:$Z$3005,I$5,請求記録!$AF$6:$AF$3005,"保留中")&gt;0,"保留",IF(COUNTIFS(請求記録!$B$6:$B$3005,$A371,請求記録!$Z$6:$Z$3005,I$5)=0,"",SUMIFS(請求記録!$AE$6:$AE$3005,請求記録!$B$6:$B$3005,$A371,請求記録!$Z$6:$Z$3005,I$5))))</f>
        <v/>
      </c>
      <c r="J371" s="19">
        <f>IF($A371="","",IF(COUNTIFS(請求記録!$B$6:$B$3005,$A371,請求記録!$Z$6:$Z$3005,J$5,請求記録!$AF$6:$AF$3005,"保留中")&gt;0,"保留",IF(COUNTIFS(請求記録!$B$6:$B$3005,$A371,請求記録!$Z$6:$Z$3005,J$5)=0,"",SUMIFS(請求記録!$AE$6:$AE$3005,請求記録!$B$6:$B$3005,$A371,請求記録!$Z$6:$Z$3005,J$5))))</f>
        <v/>
      </c>
      <c r="K371" s="19">
        <f>IF($A371="","",IF(COUNTIFS(請求記録!$B$6:$B$3005,$A371,請求記録!$Z$6:$Z$3005,K$5,請求記録!$AF$6:$AF$3005,"保留中")&gt;0,"保留",IF(COUNTIFS(請求記録!$B$6:$B$3005,$A371,請求記録!$Z$6:$Z$3005,K$5)=0,"",SUMIFS(請求記録!$AE$6:$AE$3005,請求記録!$B$6:$B$3005,$A371,請求記録!$Z$6:$Z$3005,K$5))))</f>
        <v/>
      </c>
      <c r="L371" s="19">
        <f>IF($A371="","",IF(COUNTIFS(請求記録!$B$6:$B$3005,$A371,請求記録!$Z$6:$Z$3005,L$5,請求記録!$AF$6:$AF$3005,"保留中")&gt;0,"保留",IF(COUNTIFS(請求記録!$B$6:$B$3005,$A371,請求記録!$Z$6:$Z$3005,L$5)=0,"",SUMIFS(請求記録!$AE$6:$AE$3005,請求記録!$B$6:$B$3005,$A371,請求記録!$Z$6:$Z$3005,L$5))))</f>
        <v/>
      </c>
      <c r="M371" s="19">
        <f>IF($A371="","",IF(COUNTIFS(請求記録!$B$6:$B$3005,$A371,請求記録!$Z$6:$Z$3005,M$5,請求記録!$AF$6:$AF$3005,"保留中")&gt;0,"保留",IF(COUNTIFS(請求記録!$B$6:$B$3005,$A371,請求記録!$Z$6:$Z$3005,M$5)=0,"",SUMIFS(請求記録!$AE$6:$AE$3005,請求記録!$B$6:$B$3005,$A371,請求記録!$Z$6:$Z$3005,M$5))))</f>
        <v/>
      </c>
      <c r="N371" s="19">
        <f>IF($A371="","",IF(COUNTIFS(請求記録!$B$6:$B$3005,$A371,請求記録!$Z$6:$Z$3005,N$5,請求記録!$AF$6:$AF$3005,"保留中")&gt;0,"保留",IF(COUNTIFS(請求記録!$B$6:$B$3005,$A371,請求記録!$Z$6:$Z$3005,N$5)=0,"",SUMIFS(請求記録!$AE$6:$AE$3005,請求記録!$B$6:$B$3005,$A371,請求記録!$Z$6:$Z$3005,N$5))))</f>
        <v/>
      </c>
      <c r="O371" s="19">
        <f>IF($A371="","",IF(COUNTIFS(請求記録!$B$6:$B$3005,$A371,請求記録!$Z$6:$Z$3005,O$5,請求記録!$AF$6:$AF$3005,"保留中")&gt;0,"保留",IF(COUNTIFS(請求記録!$B$6:$B$3005,$A371,請求記録!$Z$6:$Z$3005,O$5)=0,"",SUMIFS(請求記録!$AE$6:$AE$3005,請求記録!$B$6:$B$3005,$A371,請求記録!$Z$6:$Z$3005,O$5))))</f>
        <v/>
      </c>
      <c r="P371" s="19">
        <f>IF($A371="","",IF(COUNTIFS(請求記録!$B$6:$B$3005,$A371,請求記録!$Z$6:$Z$3005,P$5,請求記録!$AF$6:$AF$3005,"保留中")&gt;0,"保留",IF(COUNTIFS(請求記録!$B$6:$B$3005,$A371,請求記録!$Z$6:$Z$3005,P$5)=0,"",SUMIFS(請求記録!$AE$6:$AE$3005,請求記録!$B$6:$B$3005,$A371,請求記録!$Z$6:$Z$3005,P$5))))</f>
        <v/>
      </c>
      <c r="Q371" s="19">
        <f>IF($A371="","",IF(COUNTIFS(請求記録!$B$6:$B$3005,$A371,請求記録!$Z$6:$Z$3005,Q$5,請求記録!$AF$6:$AF$3005,"保留中")&gt;0,"保留",IF(COUNTIFS(請求記録!$B$6:$B$3005,$A371,請求記録!$Z$6:$Z$3005,Q$5)=0,"",SUMIFS(請求記録!$AE$6:$AE$3005,請求記録!$B$6:$B$3005,$A371,請求記録!$Z$6:$Z$3005,Q$5))))</f>
        <v/>
      </c>
      <c r="R371" s="19">
        <f>IF($A371="","",IF(COUNTIFS(請求記録!$B$6:$B$3005,$A371,請求記録!$Z$6:$Z$3005,R$5,請求記録!$AF$6:$AF$3005,"保留中")&gt;0,"保留",IF(COUNTIFS(請求記録!$B$6:$B$3005,$A371,請求記録!$Z$6:$Z$3005,R$5)=0,"",SUMIFS(請求記録!$AE$6:$AE$3005,請求記録!$B$6:$B$3005,$A371,請求記録!$Z$6:$Z$3005,R$5))))</f>
        <v/>
      </c>
      <c r="S371" s="19">
        <f>IF($A371="","",IF(COUNTIFS(請求記録!$B$6:$B$3005,$A371,請求記録!$Z$6:$Z$3005,S$5,請求記録!$AF$6:$AF$3005,"保留中")&gt;0,"保留",IF(COUNTIFS(請求記録!$B$6:$B$3005,$A371,請求記録!$Z$6:$Z$3005,S$5)=0,"",SUMIFS(請求記録!$AE$6:$AE$3005,請求記録!$B$6:$B$3005,$A371,請求記録!$Z$6:$Z$3005,S$5))))</f>
        <v/>
      </c>
      <c r="T371" s="19">
        <f>IF($A371="","",IF(COUNTIFS(請求記録!$B$6:$B$3005,$A371,請求記録!$Z$6:$Z$3005,T$5,請求記録!$AF$6:$AF$3005,"保留中")&gt;0,"保留",IF(COUNTIFS(請求記録!$B$6:$B$3005,$A371,請求記録!$Z$6:$Z$3005,T$5)=0,"",SUMIFS(請求記録!$AE$6:$AE$3005,請求記録!$B$6:$B$3005,$A371,請求記録!$Z$6:$Z$3005,T$5))))</f>
        <v/>
      </c>
      <c r="U371" s="19">
        <f>IF($A371="","",IF(COUNTIFS(請求記録!$B$6:$B$3005,$A371,請求記録!$Z$6:$Z$3005,U$5,請求記録!$AF$6:$AF$3005,"保留中")&gt;0,"保留",IF(COUNTIFS(請求記録!$B$6:$B$3005,$A371,請求記録!$Z$6:$Z$3005,U$5)=0,"",SUMIFS(請求記録!$AE$6:$AE$3005,請求記録!$B$6:$B$3005,$A371,請求記録!$Z$6:$Z$3005,U$5))))</f>
        <v/>
      </c>
      <c r="V371" s="19">
        <f>IF($A371="","",IF(COUNTIFS(請求記録!$B$6:$B$3005,$A371,請求記録!$Z$6:$Z$3005,V$5,請求記録!$AF$6:$AF$3005,"保留中")&gt;0,"保留",IF(COUNTIFS(請求記録!$B$6:$B$3005,$A371,請求記録!$Z$6:$Z$3005,V$5)=0,"",SUMIFS(請求記録!$AE$6:$AE$3005,請求記録!$B$6:$B$3005,$A371,請求記録!$Z$6:$Z$3005,V$5))))</f>
        <v/>
      </c>
      <c r="W371" s="19">
        <f>IF($A371="","",IF(COUNTIFS(請求記録!$B$6:$B$3005,$A371,請求記録!$Z$6:$Z$3005,W$5,請求記録!$AF$6:$AF$3005,"保留中")&gt;0,"保留",IF(COUNTIFS(請求記録!$B$6:$B$3005,$A371,請求記録!$Z$6:$Z$3005,W$5)=0,"",SUMIFS(請求記録!$AE$6:$AE$3005,請求記録!$B$6:$B$3005,$A371,請求記録!$Z$6:$Z$3005,W$5))))</f>
        <v/>
      </c>
      <c r="X371" s="19">
        <f>IF($A371="","",IF(COUNTIFS(請求記録!$B$6:$B$3005,$A371,請求記録!$Z$6:$Z$3005,X$5,請求記録!$AF$6:$AF$3005,"保留中")&gt;0,"保留",IF(COUNTIFS(請求記録!$B$6:$B$3005,$A371,請求記録!$Z$6:$Z$3005,X$5)=0,"",SUMIFS(請求記録!$AE$6:$AE$3005,請求記録!$B$6:$B$3005,$A371,請求記録!$Z$6:$Z$3005,X$5))))</f>
        <v/>
      </c>
      <c r="Y371" s="19">
        <f>IF($A371="","",IF(COUNTIFS(請求記録!$B$6:$B$3005,$A371,請求記録!$Z$6:$Z$3005,Y$5,請求記録!$AF$6:$AF$3005,"保留中")&gt;0,"保留",IF(COUNTIFS(請求記録!$B$6:$B$3005,$A371,請求記録!$Z$6:$Z$3005,Y$5)=0,"",SUMIFS(請求記録!$AE$6:$AE$3005,請求記録!$B$6:$B$3005,$A371,請求記録!$Z$6:$Z$3005,Y$5))))</f>
        <v/>
      </c>
      <c r="Z371" s="19">
        <f>IF($A371="","",IF(COUNTIFS(請求記録!$B$6:$B$3005,$A371,請求記録!$Z$6:$Z$3005,Z$5,請求記録!$AF$6:$AF$3005,"保留中")&gt;0,"保留",IF(COUNTIFS(請求記録!$B$6:$B$3005,$A371,請求記録!$Z$6:$Z$3005,Z$5)=0,"",SUMIFS(請求記録!$AE$6:$AE$3005,請求記録!$B$6:$B$3005,$A371,請求記録!$Z$6:$Z$3005,Z$5))))</f>
        <v/>
      </c>
      <c r="AA371" s="19">
        <f>IF($A371="","",IF(COUNTIFS(請求記録!$B$6:$B$3005,$A371,請求記録!$Z$6:$Z$3005,AA$5,請求記録!$AF$6:$AF$3005,"保留中")&gt;0,"保留",IF(COUNTIFS(請求記録!$B$6:$B$3005,$A371,請求記録!$Z$6:$Z$3005,AA$5)=0,"",SUMIFS(請求記録!$AE$6:$AE$3005,請求記録!$B$6:$B$3005,$A371,請求記録!$Z$6:$Z$3005,AA$5))))</f>
        <v/>
      </c>
      <c r="AB371">
        <f>IF(職員マスタ!P371="保留中",職員マスタ!M371,"")</f>
        <v/>
      </c>
    </row>
    <row r="372">
      <c r="A372">
        <f>IF(職員マスタ!A372="","",職員マスタ!A372)</f>
        <v/>
      </c>
      <c r="B372">
        <f>IF($A372="","",職員マスタ!B372)</f>
        <v/>
      </c>
      <c r="C372">
        <f>IF($A372="","",職員マスタ!C372)</f>
        <v/>
      </c>
      <c r="D372" s="19">
        <f>IF($A372="","",IF(COUNTIFS(請求記録!$B$6:$B$3005,$A372,請求記録!$Z$6:$Z$3005,D$5,請求記録!$AF$6:$AF$3005,"保留中")&gt;0,"保留",IF(COUNTIFS(請求記録!$B$6:$B$3005,$A372,請求記録!$Z$6:$Z$3005,D$5)=0,"",SUMIFS(請求記録!$AE$6:$AE$3005,請求記録!$B$6:$B$3005,$A372,請求記録!$Z$6:$Z$3005,D$5))))</f>
        <v/>
      </c>
      <c r="E372" s="19">
        <f>IF($A372="","",IF(COUNTIFS(請求記録!$B$6:$B$3005,$A372,請求記録!$Z$6:$Z$3005,E$5,請求記録!$AF$6:$AF$3005,"保留中")&gt;0,"保留",IF(COUNTIFS(請求記録!$B$6:$B$3005,$A372,請求記録!$Z$6:$Z$3005,E$5)=0,"",SUMIFS(請求記録!$AE$6:$AE$3005,請求記録!$B$6:$B$3005,$A372,請求記録!$Z$6:$Z$3005,E$5))))</f>
        <v/>
      </c>
      <c r="F372" s="19">
        <f>IF($A372="","",IF(COUNTIFS(請求記録!$B$6:$B$3005,$A372,請求記録!$Z$6:$Z$3005,F$5,請求記録!$AF$6:$AF$3005,"保留中")&gt;0,"保留",IF(COUNTIFS(請求記録!$B$6:$B$3005,$A372,請求記録!$Z$6:$Z$3005,F$5)=0,"",SUMIFS(請求記録!$AE$6:$AE$3005,請求記録!$B$6:$B$3005,$A372,請求記録!$Z$6:$Z$3005,F$5))))</f>
        <v/>
      </c>
      <c r="G372" s="19">
        <f>IF($A372="","",IF(COUNTIFS(請求記録!$B$6:$B$3005,$A372,請求記録!$Z$6:$Z$3005,G$5,請求記録!$AF$6:$AF$3005,"保留中")&gt;0,"保留",IF(COUNTIFS(請求記録!$B$6:$B$3005,$A372,請求記録!$Z$6:$Z$3005,G$5)=0,"",SUMIFS(請求記録!$AE$6:$AE$3005,請求記録!$B$6:$B$3005,$A372,請求記録!$Z$6:$Z$3005,G$5))))</f>
        <v/>
      </c>
      <c r="H372" s="19">
        <f>IF($A372="","",IF(COUNTIFS(請求記録!$B$6:$B$3005,$A372,請求記録!$Z$6:$Z$3005,H$5,請求記録!$AF$6:$AF$3005,"保留中")&gt;0,"保留",IF(COUNTIFS(請求記録!$B$6:$B$3005,$A372,請求記録!$Z$6:$Z$3005,H$5)=0,"",SUMIFS(請求記録!$AE$6:$AE$3005,請求記録!$B$6:$B$3005,$A372,請求記録!$Z$6:$Z$3005,H$5))))</f>
        <v/>
      </c>
      <c r="I372" s="19">
        <f>IF($A372="","",IF(COUNTIFS(請求記録!$B$6:$B$3005,$A372,請求記録!$Z$6:$Z$3005,I$5,請求記録!$AF$6:$AF$3005,"保留中")&gt;0,"保留",IF(COUNTIFS(請求記録!$B$6:$B$3005,$A372,請求記録!$Z$6:$Z$3005,I$5)=0,"",SUMIFS(請求記録!$AE$6:$AE$3005,請求記録!$B$6:$B$3005,$A372,請求記録!$Z$6:$Z$3005,I$5))))</f>
        <v/>
      </c>
      <c r="J372" s="19">
        <f>IF($A372="","",IF(COUNTIFS(請求記録!$B$6:$B$3005,$A372,請求記録!$Z$6:$Z$3005,J$5,請求記録!$AF$6:$AF$3005,"保留中")&gt;0,"保留",IF(COUNTIFS(請求記録!$B$6:$B$3005,$A372,請求記録!$Z$6:$Z$3005,J$5)=0,"",SUMIFS(請求記録!$AE$6:$AE$3005,請求記録!$B$6:$B$3005,$A372,請求記録!$Z$6:$Z$3005,J$5))))</f>
        <v/>
      </c>
      <c r="K372" s="19">
        <f>IF($A372="","",IF(COUNTIFS(請求記録!$B$6:$B$3005,$A372,請求記録!$Z$6:$Z$3005,K$5,請求記録!$AF$6:$AF$3005,"保留中")&gt;0,"保留",IF(COUNTIFS(請求記録!$B$6:$B$3005,$A372,請求記録!$Z$6:$Z$3005,K$5)=0,"",SUMIFS(請求記録!$AE$6:$AE$3005,請求記録!$B$6:$B$3005,$A372,請求記録!$Z$6:$Z$3005,K$5))))</f>
        <v/>
      </c>
      <c r="L372" s="19">
        <f>IF($A372="","",IF(COUNTIFS(請求記録!$B$6:$B$3005,$A372,請求記録!$Z$6:$Z$3005,L$5,請求記録!$AF$6:$AF$3005,"保留中")&gt;0,"保留",IF(COUNTIFS(請求記録!$B$6:$B$3005,$A372,請求記録!$Z$6:$Z$3005,L$5)=0,"",SUMIFS(請求記録!$AE$6:$AE$3005,請求記録!$B$6:$B$3005,$A372,請求記録!$Z$6:$Z$3005,L$5))))</f>
        <v/>
      </c>
      <c r="M372" s="19">
        <f>IF($A372="","",IF(COUNTIFS(請求記録!$B$6:$B$3005,$A372,請求記録!$Z$6:$Z$3005,M$5,請求記録!$AF$6:$AF$3005,"保留中")&gt;0,"保留",IF(COUNTIFS(請求記録!$B$6:$B$3005,$A372,請求記録!$Z$6:$Z$3005,M$5)=0,"",SUMIFS(請求記録!$AE$6:$AE$3005,請求記録!$B$6:$B$3005,$A372,請求記録!$Z$6:$Z$3005,M$5))))</f>
        <v/>
      </c>
      <c r="N372" s="19">
        <f>IF($A372="","",IF(COUNTIFS(請求記録!$B$6:$B$3005,$A372,請求記録!$Z$6:$Z$3005,N$5,請求記録!$AF$6:$AF$3005,"保留中")&gt;0,"保留",IF(COUNTIFS(請求記録!$B$6:$B$3005,$A372,請求記録!$Z$6:$Z$3005,N$5)=0,"",SUMIFS(請求記録!$AE$6:$AE$3005,請求記録!$B$6:$B$3005,$A372,請求記録!$Z$6:$Z$3005,N$5))))</f>
        <v/>
      </c>
      <c r="O372" s="19">
        <f>IF($A372="","",IF(COUNTIFS(請求記録!$B$6:$B$3005,$A372,請求記録!$Z$6:$Z$3005,O$5,請求記録!$AF$6:$AF$3005,"保留中")&gt;0,"保留",IF(COUNTIFS(請求記録!$B$6:$B$3005,$A372,請求記録!$Z$6:$Z$3005,O$5)=0,"",SUMIFS(請求記録!$AE$6:$AE$3005,請求記録!$B$6:$B$3005,$A372,請求記録!$Z$6:$Z$3005,O$5))))</f>
        <v/>
      </c>
      <c r="P372" s="19">
        <f>IF($A372="","",IF(COUNTIFS(請求記録!$B$6:$B$3005,$A372,請求記録!$Z$6:$Z$3005,P$5,請求記録!$AF$6:$AF$3005,"保留中")&gt;0,"保留",IF(COUNTIFS(請求記録!$B$6:$B$3005,$A372,請求記録!$Z$6:$Z$3005,P$5)=0,"",SUMIFS(請求記録!$AE$6:$AE$3005,請求記録!$B$6:$B$3005,$A372,請求記録!$Z$6:$Z$3005,P$5))))</f>
        <v/>
      </c>
      <c r="Q372" s="19">
        <f>IF($A372="","",IF(COUNTIFS(請求記録!$B$6:$B$3005,$A372,請求記録!$Z$6:$Z$3005,Q$5,請求記録!$AF$6:$AF$3005,"保留中")&gt;0,"保留",IF(COUNTIFS(請求記録!$B$6:$B$3005,$A372,請求記録!$Z$6:$Z$3005,Q$5)=0,"",SUMIFS(請求記録!$AE$6:$AE$3005,請求記録!$B$6:$B$3005,$A372,請求記録!$Z$6:$Z$3005,Q$5))))</f>
        <v/>
      </c>
      <c r="R372" s="19">
        <f>IF($A372="","",IF(COUNTIFS(請求記録!$B$6:$B$3005,$A372,請求記録!$Z$6:$Z$3005,R$5,請求記録!$AF$6:$AF$3005,"保留中")&gt;0,"保留",IF(COUNTIFS(請求記録!$B$6:$B$3005,$A372,請求記録!$Z$6:$Z$3005,R$5)=0,"",SUMIFS(請求記録!$AE$6:$AE$3005,請求記録!$B$6:$B$3005,$A372,請求記録!$Z$6:$Z$3005,R$5))))</f>
        <v/>
      </c>
      <c r="S372" s="19">
        <f>IF($A372="","",IF(COUNTIFS(請求記録!$B$6:$B$3005,$A372,請求記録!$Z$6:$Z$3005,S$5,請求記録!$AF$6:$AF$3005,"保留中")&gt;0,"保留",IF(COUNTIFS(請求記録!$B$6:$B$3005,$A372,請求記録!$Z$6:$Z$3005,S$5)=0,"",SUMIFS(請求記録!$AE$6:$AE$3005,請求記録!$B$6:$B$3005,$A372,請求記録!$Z$6:$Z$3005,S$5))))</f>
        <v/>
      </c>
      <c r="T372" s="19">
        <f>IF($A372="","",IF(COUNTIFS(請求記録!$B$6:$B$3005,$A372,請求記録!$Z$6:$Z$3005,T$5,請求記録!$AF$6:$AF$3005,"保留中")&gt;0,"保留",IF(COUNTIFS(請求記録!$B$6:$B$3005,$A372,請求記録!$Z$6:$Z$3005,T$5)=0,"",SUMIFS(請求記録!$AE$6:$AE$3005,請求記録!$B$6:$B$3005,$A372,請求記録!$Z$6:$Z$3005,T$5))))</f>
        <v/>
      </c>
      <c r="U372" s="19">
        <f>IF($A372="","",IF(COUNTIFS(請求記録!$B$6:$B$3005,$A372,請求記録!$Z$6:$Z$3005,U$5,請求記録!$AF$6:$AF$3005,"保留中")&gt;0,"保留",IF(COUNTIFS(請求記録!$B$6:$B$3005,$A372,請求記録!$Z$6:$Z$3005,U$5)=0,"",SUMIFS(請求記録!$AE$6:$AE$3005,請求記録!$B$6:$B$3005,$A372,請求記録!$Z$6:$Z$3005,U$5))))</f>
        <v/>
      </c>
      <c r="V372" s="19">
        <f>IF($A372="","",IF(COUNTIFS(請求記録!$B$6:$B$3005,$A372,請求記録!$Z$6:$Z$3005,V$5,請求記録!$AF$6:$AF$3005,"保留中")&gt;0,"保留",IF(COUNTIFS(請求記録!$B$6:$B$3005,$A372,請求記録!$Z$6:$Z$3005,V$5)=0,"",SUMIFS(請求記録!$AE$6:$AE$3005,請求記録!$B$6:$B$3005,$A372,請求記録!$Z$6:$Z$3005,V$5))))</f>
        <v/>
      </c>
      <c r="W372" s="19">
        <f>IF($A372="","",IF(COUNTIFS(請求記録!$B$6:$B$3005,$A372,請求記録!$Z$6:$Z$3005,W$5,請求記録!$AF$6:$AF$3005,"保留中")&gt;0,"保留",IF(COUNTIFS(請求記録!$B$6:$B$3005,$A372,請求記録!$Z$6:$Z$3005,W$5)=0,"",SUMIFS(請求記録!$AE$6:$AE$3005,請求記録!$B$6:$B$3005,$A372,請求記録!$Z$6:$Z$3005,W$5))))</f>
        <v/>
      </c>
      <c r="X372" s="19">
        <f>IF($A372="","",IF(COUNTIFS(請求記録!$B$6:$B$3005,$A372,請求記録!$Z$6:$Z$3005,X$5,請求記録!$AF$6:$AF$3005,"保留中")&gt;0,"保留",IF(COUNTIFS(請求記録!$B$6:$B$3005,$A372,請求記録!$Z$6:$Z$3005,X$5)=0,"",SUMIFS(請求記録!$AE$6:$AE$3005,請求記録!$B$6:$B$3005,$A372,請求記録!$Z$6:$Z$3005,X$5))))</f>
        <v/>
      </c>
      <c r="Y372" s="19">
        <f>IF($A372="","",IF(COUNTIFS(請求記録!$B$6:$B$3005,$A372,請求記録!$Z$6:$Z$3005,Y$5,請求記録!$AF$6:$AF$3005,"保留中")&gt;0,"保留",IF(COUNTIFS(請求記録!$B$6:$B$3005,$A372,請求記録!$Z$6:$Z$3005,Y$5)=0,"",SUMIFS(請求記録!$AE$6:$AE$3005,請求記録!$B$6:$B$3005,$A372,請求記録!$Z$6:$Z$3005,Y$5))))</f>
        <v/>
      </c>
      <c r="Z372" s="19">
        <f>IF($A372="","",IF(COUNTIFS(請求記録!$B$6:$B$3005,$A372,請求記録!$Z$6:$Z$3005,Z$5,請求記録!$AF$6:$AF$3005,"保留中")&gt;0,"保留",IF(COUNTIFS(請求記録!$B$6:$B$3005,$A372,請求記録!$Z$6:$Z$3005,Z$5)=0,"",SUMIFS(請求記録!$AE$6:$AE$3005,請求記録!$B$6:$B$3005,$A372,請求記録!$Z$6:$Z$3005,Z$5))))</f>
        <v/>
      </c>
      <c r="AA372" s="19">
        <f>IF($A372="","",IF(COUNTIFS(請求記録!$B$6:$B$3005,$A372,請求記録!$Z$6:$Z$3005,AA$5,請求記録!$AF$6:$AF$3005,"保留中")&gt;0,"保留",IF(COUNTIFS(請求記録!$B$6:$B$3005,$A372,請求記録!$Z$6:$Z$3005,AA$5)=0,"",SUMIFS(請求記録!$AE$6:$AE$3005,請求記録!$B$6:$B$3005,$A372,請求記録!$Z$6:$Z$3005,AA$5))))</f>
        <v/>
      </c>
      <c r="AB372">
        <f>IF(職員マスタ!P372="保留中",職員マスタ!M372,"")</f>
        <v/>
      </c>
    </row>
    <row r="373">
      <c r="A373">
        <f>IF(職員マスタ!A373="","",職員マスタ!A373)</f>
        <v/>
      </c>
      <c r="B373">
        <f>IF($A373="","",職員マスタ!B373)</f>
        <v/>
      </c>
      <c r="C373">
        <f>IF($A373="","",職員マスタ!C373)</f>
        <v/>
      </c>
      <c r="D373" s="19">
        <f>IF($A373="","",IF(COUNTIFS(請求記録!$B$6:$B$3005,$A373,請求記録!$Z$6:$Z$3005,D$5,請求記録!$AF$6:$AF$3005,"保留中")&gt;0,"保留",IF(COUNTIFS(請求記録!$B$6:$B$3005,$A373,請求記録!$Z$6:$Z$3005,D$5)=0,"",SUMIFS(請求記録!$AE$6:$AE$3005,請求記録!$B$6:$B$3005,$A373,請求記録!$Z$6:$Z$3005,D$5))))</f>
        <v/>
      </c>
      <c r="E373" s="19">
        <f>IF($A373="","",IF(COUNTIFS(請求記録!$B$6:$B$3005,$A373,請求記録!$Z$6:$Z$3005,E$5,請求記録!$AF$6:$AF$3005,"保留中")&gt;0,"保留",IF(COUNTIFS(請求記録!$B$6:$B$3005,$A373,請求記録!$Z$6:$Z$3005,E$5)=0,"",SUMIFS(請求記録!$AE$6:$AE$3005,請求記録!$B$6:$B$3005,$A373,請求記録!$Z$6:$Z$3005,E$5))))</f>
        <v/>
      </c>
      <c r="F373" s="19">
        <f>IF($A373="","",IF(COUNTIFS(請求記録!$B$6:$B$3005,$A373,請求記録!$Z$6:$Z$3005,F$5,請求記録!$AF$6:$AF$3005,"保留中")&gt;0,"保留",IF(COUNTIFS(請求記録!$B$6:$B$3005,$A373,請求記録!$Z$6:$Z$3005,F$5)=0,"",SUMIFS(請求記録!$AE$6:$AE$3005,請求記録!$B$6:$B$3005,$A373,請求記録!$Z$6:$Z$3005,F$5))))</f>
        <v/>
      </c>
      <c r="G373" s="19">
        <f>IF($A373="","",IF(COUNTIFS(請求記録!$B$6:$B$3005,$A373,請求記録!$Z$6:$Z$3005,G$5,請求記録!$AF$6:$AF$3005,"保留中")&gt;0,"保留",IF(COUNTIFS(請求記録!$B$6:$B$3005,$A373,請求記録!$Z$6:$Z$3005,G$5)=0,"",SUMIFS(請求記録!$AE$6:$AE$3005,請求記録!$B$6:$B$3005,$A373,請求記録!$Z$6:$Z$3005,G$5))))</f>
        <v/>
      </c>
      <c r="H373" s="19">
        <f>IF($A373="","",IF(COUNTIFS(請求記録!$B$6:$B$3005,$A373,請求記録!$Z$6:$Z$3005,H$5,請求記録!$AF$6:$AF$3005,"保留中")&gt;0,"保留",IF(COUNTIFS(請求記録!$B$6:$B$3005,$A373,請求記録!$Z$6:$Z$3005,H$5)=0,"",SUMIFS(請求記録!$AE$6:$AE$3005,請求記録!$B$6:$B$3005,$A373,請求記録!$Z$6:$Z$3005,H$5))))</f>
        <v/>
      </c>
      <c r="I373" s="19">
        <f>IF($A373="","",IF(COUNTIFS(請求記録!$B$6:$B$3005,$A373,請求記録!$Z$6:$Z$3005,I$5,請求記録!$AF$6:$AF$3005,"保留中")&gt;0,"保留",IF(COUNTIFS(請求記録!$B$6:$B$3005,$A373,請求記録!$Z$6:$Z$3005,I$5)=0,"",SUMIFS(請求記録!$AE$6:$AE$3005,請求記録!$B$6:$B$3005,$A373,請求記録!$Z$6:$Z$3005,I$5))))</f>
        <v/>
      </c>
      <c r="J373" s="19">
        <f>IF($A373="","",IF(COUNTIFS(請求記録!$B$6:$B$3005,$A373,請求記録!$Z$6:$Z$3005,J$5,請求記録!$AF$6:$AF$3005,"保留中")&gt;0,"保留",IF(COUNTIFS(請求記録!$B$6:$B$3005,$A373,請求記録!$Z$6:$Z$3005,J$5)=0,"",SUMIFS(請求記録!$AE$6:$AE$3005,請求記録!$B$6:$B$3005,$A373,請求記録!$Z$6:$Z$3005,J$5))))</f>
        <v/>
      </c>
      <c r="K373" s="19">
        <f>IF($A373="","",IF(COUNTIFS(請求記録!$B$6:$B$3005,$A373,請求記録!$Z$6:$Z$3005,K$5,請求記録!$AF$6:$AF$3005,"保留中")&gt;0,"保留",IF(COUNTIFS(請求記録!$B$6:$B$3005,$A373,請求記録!$Z$6:$Z$3005,K$5)=0,"",SUMIFS(請求記録!$AE$6:$AE$3005,請求記録!$B$6:$B$3005,$A373,請求記録!$Z$6:$Z$3005,K$5))))</f>
        <v/>
      </c>
      <c r="L373" s="19">
        <f>IF($A373="","",IF(COUNTIFS(請求記録!$B$6:$B$3005,$A373,請求記録!$Z$6:$Z$3005,L$5,請求記録!$AF$6:$AF$3005,"保留中")&gt;0,"保留",IF(COUNTIFS(請求記録!$B$6:$B$3005,$A373,請求記録!$Z$6:$Z$3005,L$5)=0,"",SUMIFS(請求記録!$AE$6:$AE$3005,請求記録!$B$6:$B$3005,$A373,請求記録!$Z$6:$Z$3005,L$5))))</f>
        <v/>
      </c>
      <c r="M373" s="19">
        <f>IF($A373="","",IF(COUNTIFS(請求記録!$B$6:$B$3005,$A373,請求記録!$Z$6:$Z$3005,M$5,請求記録!$AF$6:$AF$3005,"保留中")&gt;0,"保留",IF(COUNTIFS(請求記録!$B$6:$B$3005,$A373,請求記録!$Z$6:$Z$3005,M$5)=0,"",SUMIFS(請求記録!$AE$6:$AE$3005,請求記録!$B$6:$B$3005,$A373,請求記録!$Z$6:$Z$3005,M$5))))</f>
        <v/>
      </c>
      <c r="N373" s="19">
        <f>IF($A373="","",IF(COUNTIFS(請求記録!$B$6:$B$3005,$A373,請求記録!$Z$6:$Z$3005,N$5,請求記録!$AF$6:$AF$3005,"保留中")&gt;0,"保留",IF(COUNTIFS(請求記録!$B$6:$B$3005,$A373,請求記録!$Z$6:$Z$3005,N$5)=0,"",SUMIFS(請求記録!$AE$6:$AE$3005,請求記録!$B$6:$B$3005,$A373,請求記録!$Z$6:$Z$3005,N$5))))</f>
        <v/>
      </c>
      <c r="O373" s="19">
        <f>IF($A373="","",IF(COUNTIFS(請求記録!$B$6:$B$3005,$A373,請求記録!$Z$6:$Z$3005,O$5,請求記録!$AF$6:$AF$3005,"保留中")&gt;0,"保留",IF(COUNTIFS(請求記録!$B$6:$B$3005,$A373,請求記録!$Z$6:$Z$3005,O$5)=0,"",SUMIFS(請求記録!$AE$6:$AE$3005,請求記録!$B$6:$B$3005,$A373,請求記録!$Z$6:$Z$3005,O$5))))</f>
        <v/>
      </c>
      <c r="P373" s="19">
        <f>IF($A373="","",IF(COUNTIFS(請求記録!$B$6:$B$3005,$A373,請求記録!$Z$6:$Z$3005,P$5,請求記録!$AF$6:$AF$3005,"保留中")&gt;0,"保留",IF(COUNTIFS(請求記録!$B$6:$B$3005,$A373,請求記録!$Z$6:$Z$3005,P$5)=0,"",SUMIFS(請求記録!$AE$6:$AE$3005,請求記録!$B$6:$B$3005,$A373,請求記録!$Z$6:$Z$3005,P$5))))</f>
        <v/>
      </c>
      <c r="Q373" s="19">
        <f>IF($A373="","",IF(COUNTIFS(請求記録!$B$6:$B$3005,$A373,請求記録!$Z$6:$Z$3005,Q$5,請求記録!$AF$6:$AF$3005,"保留中")&gt;0,"保留",IF(COUNTIFS(請求記録!$B$6:$B$3005,$A373,請求記録!$Z$6:$Z$3005,Q$5)=0,"",SUMIFS(請求記録!$AE$6:$AE$3005,請求記録!$B$6:$B$3005,$A373,請求記録!$Z$6:$Z$3005,Q$5))))</f>
        <v/>
      </c>
      <c r="R373" s="19">
        <f>IF($A373="","",IF(COUNTIFS(請求記録!$B$6:$B$3005,$A373,請求記録!$Z$6:$Z$3005,R$5,請求記録!$AF$6:$AF$3005,"保留中")&gt;0,"保留",IF(COUNTIFS(請求記録!$B$6:$B$3005,$A373,請求記録!$Z$6:$Z$3005,R$5)=0,"",SUMIFS(請求記録!$AE$6:$AE$3005,請求記録!$B$6:$B$3005,$A373,請求記録!$Z$6:$Z$3005,R$5))))</f>
        <v/>
      </c>
      <c r="S373" s="19">
        <f>IF($A373="","",IF(COUNTIFS(請求記録!$B$6:$B$3005,$A373,請求記録!$Z$6:$Z$3005,S$5,請求記録!$AF$6:$AF$3005,"保留中")&gt;0,"保留",IF(COUNTIFS(請求記録!$B$6:$B$3005,$A373,請求記録!$Z$6:$Z$3005,S$5)=0,"",SUMIFS(請求記録!$AE$6:$AE$3005,請求記録!$B$6:$B$3005,$A373,請求記録!$Z$6:$Z$3005,S$5))))</f>
        <v/>
      </c>
      <c r="T373" s="19">
        <f>IF($A373="","",IF(COUNTIFS(請求記録!$B$6:$B$3005,$A373,請求記録!$Z$6:$Z$3005,T$5,請求記録!$AF$6:$AF$3005,"保留中")&gt;0,"保留",IF(COUNTIFS(請求記録!$B$6:$B$3005,$A373,請求記録!$Z$6:$Z$3005,T$5)=0,"",SUMIFS(請求記録!$AE$6:$AE$3005,請求記録!$B$6:$B$3005,$A373,請求記録!$Z$6:$Z$3005,T$5))))</f>
        <v/>
      </c>
      <c r="U373" s="19">
        <f>IF($A373="","",IF(COUNTIFS(請求記録!$B$6:$B$3005,$A373,請求記録!$Z$6:$Z$3005,U$5,請求記録!$AF$6:$AF$3005,"保留中")&gt;0,"保留",IF(COUNTIFS(請求記録!$B$6:$B$3005,$A373,請求記録!$Z$6:$Z$3005,U$5)=0,"",SUMIFS(請求記録!$AE$6:$AE$3005,請求記録!$B$6:$B$3005,$A373,請求記録!$Z$6:$Z$3005,U$5))))</f>
        <v/>
      </c>
      <c r="V373" s="19">
        <f>IF($A373="","",IF(COUNTIFS(請求記録!$B$6:$B$3005,$A373,請求記録!$Z$6:$Z$3005,V$5,請求記録!$AF$6:$AF$3005,"保留中")&gt;0,"保留",IF(COUNTIFS(請求記録!$B$6:$B$3005,$A373,請求記録!$Z$6:$Z$3005,V$5)=0,"",SUMIFS(請求記録!$AE$6:$AE$3005,請求記録!$B$6:$B$3005,$A373,請求記録!$Z$6:$Z$3005,V$5))))</f>
        <v/>
      </c>
      <c r="W373" s="19">
        <f>IF($A373="","",IF(COUNTIFS(請求記録!$B$6:$B$3005,$A373,請求記録!$Z$6:$Z$3005,W$5,請求記録!$AF$6:$AF$3005,"保留中")&gt;0,"保留",IF(COUNTIFS(請求記録!$B$6:$B$3005,$A373,請求記録!$Z$6:$Z$3005,W$5)=0,"",SUMIFS(請求記録!$AE$6:$AE$3005,請求記録!$B$6:$B$3005,$A373,請求記録!$Z$6:$Z$3005,W$5))))</f>
        <v/>
      </c>
      <c r="X373" s="19">
        <f>IF($A373="","",IF(COUNTIFS(請求記録!$B$6:$B$3005,$A373,請求記録!$Z$6:$Z$3005,X$5,請求記録!$AF$6:$AF$3005,"保留中")&gt;0,"保留",IF(COUNTIFS(請求記録!$B$6:$B$3005,$A373,請求記録!$Z$6:$Z$3005,X$5)=0,"",SUMIFS(請求記録!$AE$6:$AE$3005,請求記録!$B$6:$B$3005,$A373,請求記録!$Z$6:$Z$3005,X$5))))</f>
        <v/>
      </c>
      <c r="Y373" s="19">
        <f>IF($A373="","",IF(COUNTIFS(請求記録!$B$6:$B$3005,$A373,請求記録!$Z$6:$Z$3005,Y$5,請求記録!$AF$6:$AF$3005,"保留中")&gt;0,"保留",IF(COUNTIFS(請求記録!$B$6:$B$3005,$A373,請求記録!$Z$6:$Z$3005,Y$5)=0,"",SUMIFS(請求記録!$AE$6:$AE$3005,請求記録!$B$6:$B$3005,$A373,請求記録!$Z$6:$Z$3005,Y$5))))</f>
        <v/>
      </c>
      <c r="Z373" s="19">
        <f>IF($A373="","",IF(COUNTIFS(請求記録!$B$6:$B$3005,$A373,請求記録!$Z$6:$Z$3005,Z$5,請求記録!$AF$6:$AF$3005,"保留中")&gt;0,"保留",IF(COUNTIFS(請求記録!$B$6:$B$3005,$A373,請求記録!$Z$6:$Z$3005,Z$5)=0,"",SUMIFS(請求記録!$AE$6:$AE$3005,請求記録!$B$6:$B$3005,$A373,請求記録!$Z$6:$Z$3005,Z$5))))</f>
        <v/>
      </c>
      <c r="AA373" s="19">
        <f>IF($A373="","",IF(COUNTIFS(請求記録!$B$6:$B$3005,$A373,請求記録!$Z$6:$Z$3005,AA$5,請求記録!$AF$6:$AF$3005,"保留中")&gt;0,"保留",IF(COUNTIFS(請求記録!$B$6:$B$3005,$A373,請求記録!$Z$6:$Z$3005,AA$5)=0,"",SUMIFS(請求記録!$AE$6:$AE$3005,請求記録!$B$6:$B$3005,$A373,請求記録!$Z$6:$Z$3005,AA$5))))</f>
        <v/>
      </c>
      <c r="AB373">
        <f>IF(職員マスタ!P373="保留中",職員マスタ!M373,"")</f>
        <v/>
      </c>
    </row>
    <row r="374">
      <c r="A374">
        <f>IF(職員マスタ!A374="","",職員マスタ!A374)</f>
        <v/>
      </c>
      <c r="B374">
        <f>IF($A374="","",職員マスタ!B374)</f>
        <v/>
      </c>
      <c r="C374">
        <f>IF($A374="","",職員マスタ!C374)</f>
        <v/>
      </c>
      <c r="D374" s="19">
        <f>IF($A374="","",IF(COUNTIFS(請求記録!$B$6:$B$3005,$A374,請求記録!$Z$6:$Z$3005,D$5,請求記録!$AF$6:$AF$3005,"保留中")&gt;0,"保留",IF(COUNTIFS(請求記録!$B$6:$B$3005,$A374,請求記録!$Z$6:$Z$3005,D$5)=0,"",SUMIFS(請求記録!$AE$6:$AE$3005,請求記録!$B$6:$B$3005,$A374,請求記録!$Z$6:$Z$3005,D$5))))</f>
        <v/>
      </c>
      <c r="E374" s="19">
        <f>IF($A374="","",IF(COUNTIFS(請求記録!$B$6:$B$3005,$A374,請求記録!$Z$6:$Z$3005,E$5,請求記録!$AF$6:$AF$3005,"保留中")&gt;0,"保留",IF(COUNTIFS(請求記録!$B$6:$B$3005,$A374,請求記録!$Z$6:$Z$3005,E$5)=0,"",SUMIFS(請求記録!$AE$6:$AE$3005,請求記録!$B$6:$B$3005,$A374,請求記録!$Z$6:$Z$3005,E$5))))</f>
        <v/>
      </c>
      <c r="F374" s="19">
        <f>IF($A374="","",IF(COUNTIFS(請求記録!$B$6:$B$3005,$A374,請求記録!$Z$6:$Z$3005,F$5,請求記録!$AF$6:$AF$3005,"保留中")&gt;0,"保留",IF(COUNTIFS(請求記録!$B$6:$B$3005,$A374,請求記録!$Z$6:$Z$3005,F$5)=0,"",SUMIFS(請求記録!$AE$6:$AE$3005,請求記録!$B$6:$B$3005,$A374,請求記録!$Z$6:$Z$3005,F$5))))</f>
        <v/>
      </c>
      <c r="G374" s="19">
        <f>IF($A374="","",IF(COUNTIFS(請求記録!$B$6:$B$3005,$A374,請求記録!$Z$6:$Z$3005,G$5,請求記録!$AF$6:$AF$3005,"保留中")&gt;0,"保留",IF(COUNTIFS(請求記録!$B$6:$B$3005,$A374,請求記録!$Z$6:$Z$3005,G$5)=0,"",SUMIFS(請求記録!$AE$6:$AE$3005,請求記録!$B$6:$B$3005,$A374,請求記録!$Z$6:$Z$3005,G$5))))</f>
        <v/>
      </c>
      <c r="H374" s="19">
        <f>IF($A374="","",IF(COUNTIFS(請求記録!$B$6:$B$3005,$A374,請求記録!$Z$6:$Z$3005,H$5,請求記録!$AF$6:$AF$3005,"保留中")&gt;0,"保留",IF(COUNTIFS(請求記録!$B$6:$B$3005,$A374,請求記録!$Z$6:$Z$3005,H$5)=0,"",SUMIFS(請求記録!$AE$6:$AE$3005,請求記録!$B$6:$B$3005,$A374,請求記録!$Z$6:$Z$3005,H$5))))</f>
        <v/>
      </c>
      <c r="I374" s="19">
        <f>IF($A374="","",IF(COUNTIFS(請求記録!$B$6:$B$3005,$A374,請求記録!$Z$6:$Z$3005,I$5,請求記録!$AF$6:$AF$3005,"保留中")&gt;0,"保留",IF(COUNTIFS(請求記録!$B$6:$B$3005,$A374,請求記録!$Z$6:$Z$3005,I$5)=0,"",SUMIFS(請求記録!$AE$6:$AE$3005,請求記録!$B$6:$B$3005,$A374,請求記録!$Z$6:$Z$3005,I$5))))</f>
        <v/>
      </c>
      <c r="J374" s="19">
        <f>IF($A374="","",IF(COUNTIFS(請求記録!$B$6:$B$3005,$A374,請求記録!$Z$6:$Z$3005,J$5,請求記録!$AF$6:$AF$3005,"保留中")&gt;0,"保留",IF(COUNTIFS(請求記録!$B$6:$B$3005,$A374,請求記録!$Z$6:$Z$3005,J$5)=0,"",SUMIFS(請求記録!$AE$6:$AE$3005,請求記録!$B$6:$B$3005,$A374,請求記録!$Z$6:$Z$3005,J$5))))</f>
        <v/>
      </c>
      <c r="K374" s="19">
        <f>IF($A374="","",IF(COUNTIFS(請求記録!$B$6:$B$3005,$A374,請求記録!$Z$6:$Z$3005,K$5,請求記録!$AF$6:$AF$3005,"保留中")&gt;0,"保留",IF(COUNTIFS(請求記録!$B$6:$B$3005,$A374,請求記録!$Z$6:$Z$3005,K$5)=0,"",SUMIFS(請求記録!$AE$6:$AE$3005,請求記録!$B$6:$B$3005,$A374,請求記録!$Z$6:$Z$3005,K$5))))</f>
        <v/>
      </c>
      <c r="L374" s="19">
        <f>IF($A374="","",IF(COUNTIFS(請求記録!$B$6:$B$3005,$A374,請求記録!$Z$6:$Z$3005,L$5,請求記録!$AF$6:$AF$3005,"保留中")&gt;0,"保留",IF(COUNTIFS(請求記録!$B$6:$B$3005,$A374,請求記録!$Z$6:$Z$3005,L$5)=0,"",SUMIFS(請求記録!$AE$6:$AE$3005,請求記録!$B$6:$B$3005,$A374,請求記録!$Z$6:$Z$3005,L$5))))</f>
        <v/>
      </c>
      <c r="M374" s="19">
        <f>IF($A374="","",IF(COUNTIFS(請求記録!$B$6:$B$3005,$A374,請求記録!$Z$6:$Z$3005,M$5,請求記録!$AF$6:$AF$3005,"保留中")&gt;0,"保留",IF(COUNTIFS(請求記録!$B$6:$B$3005,$A374,請求記録!$Z$6:$Z$3005,M$5)=0,"",SUMIFS(請求記録!$AE$6:$AE$3005,請求記録!$B$6:$B$3005,$A374,請求記録!$Z$6:$Z$3005,M$5))))</f>
        <v/>
      </c>
      <c r="N374" s="19">
        <f>IF($A374="","",IF(COUNTIFS(請求記録!$B$6:$B$3005,$A374,請求記録!$Z$6:$Z$3005,N$5,請求記録!$AF$6:$AF$3005,"保留中")&gt;0,"保留",IF(COUNTIFS(請求記録!$B$6:$B$3005,$A374,請求記録!$Z$6:$Z$3005,N$5)=0,"",SUMIFS(請求記録!$AE$6:$AE$3005,請求記録!$B$6:$B$3005,$A374,請求記録!$Z$6:$Z$3005,N$5))))</f>
        <v/>
      </c>
      <c r="O374" s="19">
        <f>IF($A374="","",IF(COUNTIFS(請求記録!$B$6:$B$3005,$A374,請求記録!$Z$6:$Z$3005,O$5,請求記録!$AF$6:$AF$3005,"保留中")&gt;0,"保留",IF(COUNTIFS(請求記録!$B$6:$B$3005,$A374,請求記録!$Z$6:$Z$3005,O$5)=0,"",SUMIFS(請求記録!$AE$6:$AE$3005,請求記録!$B$6:$B$3005,$A374,請求記録!$Z$6:$Z$3005,O$5))))</f>
        <v/>
      </c>
      <c r="P374" s="19">
        <f>IF($A374="","",IF(COUNTIFS(請求記録!$B$6:$B$3005,$A374,請求記録!$Z$6:$Z$3005,P$5,請求記録!$AF$6:$AF$3005,"保留中")&gt;0,"保留",IF(COUNTIFS(請求記録!$B$6:$B$3005,$A374,請求記録!$Z$6:$Z$3005,P$5)=0,"",SUMIFS(請求記録!$AE$6:$AE$3005,請求記録!$B$6:$B$3005,$A374,請求記録!$Z$6:$Z$3005,P$5))))</f>
        <v/>
      </c>
      <c r="Q374" s="19">
        <f>IF($A374="","",IF(COUNTIFS(請求記録!$B$6:$B$3005,$A374,請求記録!$Z$6:$Z$3005,Q$5,請求記録!$AF$6:$AF$3005,"保留中")&gt;0,"保留",IF(COUNTIFS(請求記録!$B$6:$B$3005,$A374,請求記録!$Z$6:$Z$3005,Q$5)=0,"",SUMIFS(請求記録!$AE$6:$AE$3005,請求記録!$B$6:$B$3005,$A374,請求記録!$Z$6:$Z$3005,Q$5))))</f>
        <v/>
      </c>
      <c r="R374" s="19">
        <f>IF($A374="","",IF(COUNTIFS(請求記録!$B$6:$B$3005,$A374,請求記録!$Z$6:$Z$3005,R$5,請求記録!$AF$6:$AF$3005,"保留中")&gt;0,"保留",IF(COUNTIFS(請求記録!$B$6:$B$3005,$A374,請求記録!$Z$6:$Z$3005,R$5)=0,"",SUMIFS(請求記録!$AE$6:$AE$3005,請求記録!$B$6:$B$3005,$A374,請求記録!$Z$6:$Z$3005,R$5))))</f>
        <v/>
      </c>
      <c r="S374" s="19">
        <f>IF($A374="","",IF(COUNTIFS(請求記録!$B$6:$B$3005,$A374,請求記録!$Z$6:$Z$3005,S$5,請求記録!$AF$6:$AF$3005,"保留中")&gt;0,"保留",IF(COUNTIFS(請求記録!$B$6:$B$3005,$A374,請求記録!$Z$6:$Z$3005,S$5)=0,"",SUMIFS(請求記録!$AE$6:$AE$3005,請求記録!$B$6:$B$3005,$A374,請求記録!$Z$6:$Z$3005,S$5))))</f>
        <v/>
      </c>
      <c r="T374" s="19">
        <f>IF($A374="","",IF(COUNTIFS(請求記録!$B$6:$B$3005,$A374,請求記録!$Z$6:$Z$3005,T$5,請求記録!$AF$6:$AF$3005,"保留中")&gt;0,"保留",IF(COUNTIFS(請求記録!$B$6:$B$3005,$A374,請求記録!$Z$6:$Z$3005,T$5)=0,"",SUMIFS(請求記録!$AE$6:$AE$3005,請求記録!$B$6:$B$3005,$A374,請求記録!$Z$6:$Z$3005,T$5))))</f>
        <v/>
      </c>
      <c r="U374" s="19">
        <f>IF($A374="","",IF(COUNTIFS(請求記録!$B$6:$B$3005,$A374,請求記録!$Z$6:$Z$3005,U$5,請求記録!$AF$6:$AF$3005,"保留中")&gt;0,"保留",IF(COUNTIFS(請求記録!$B$6:$B$3005,$A374,請求記録!$Z$6:$Z$3005,U$5)=0,"",SUMIFS(請求記録!$AE$6:$AE$3005,請求記録!$B$6:$B$3005,$A374,請求記録!$Z$6:$Z$3005,U$5))))</f>
        <v/>
      </c>
      <c r="V374" s="19">
        <f>IF($A374="","",IF(COUNTIFS(請求記録!$B$6:$B$3005,$A374,請求記録!$Z$6:$Z$3005,V$5,請求記録!$AF$6:$AF$3005,"保留中")&gt;0,"保留",IF(COUNTIFS(請求記録!$B$6:$B$3005,$A374,請求記録!$Z$6:$Z$3005,V$5)=0,"",SUMIFS(請求記録!$AE$6:$AE$3005,請求記録!$B$6:$B$3005,$A374,請求記録!$Z$6:$Z$3005,V$5))))</f>
        <v/>
      </c>
      <c r="W374" s="19">
        <f>IF($A374="","",IF(COUNTIFS(請求記録!$B$6:$B$3005,$A374,請求記録!$Z$6:$Z$3005,W$5,請求記録!$AF$6:$AF$3005,"保留中")&gt;0,"保留",IF(COUNTIFS(請求記録!$B$6:$B$3005,$A374,請求記録!$Z$6:$Z$3005,W$5)=0,"",SUMIFS(請求記録!$AE$6:$AE$3005,請求記録!$B$6:$B$3005,$A374,請求記録!$Z$6:$Z$3005,W$5))))</f>
        <v/>
      </c>
      <c r="X374" s="19">
        <f>IF($A374="","",IF(COUNTIFS(請求記録!$B$6:$B$3005,$A374,請求記録!$Z$6:$Z$3005,X$5,請求記録!$AF$6:$AF$3005,"保留中")&gt;0,"保留",IF(COUNTIFS(請求記録!$B$6:$B$3005,$A374,請求記録!$Z$6:$Z$3005,X$5)=0,"",SUMIFS(請求記録!$AE$6:$AE$3005,請求記録!$B$6:$B$3005,$A374,請求記録!$Z$6:$Z$3005,X$5))))</f>
        <v/>
      </c>
      <c r="Y374" s="19">
        <f>IF($A374="","",IF(COUNTIFS(請求記録!$B$6:$B$3005,$A374,請求記録!$Z$6:$Z$3005,Y$5,請求記録!$AF$6:$AF$3005,"保留中")&gt;0,"保留",IF(COUNTIFS(請求記録!$B$6:$B$3005,$A374,請求記録!$Z$6:$Z$3005,Y$5)=0,"",SUMIFS(請求記録!$AE$6:$AE$3005,請求記録!$B$6:$B$3005,$A374,請求記録!$Z$6:$Z$3005,Y$5))))</f>
        <v/>
      </c>
      <c r="Z374" s="19">
        <f>IF($A374="","",IF(COUNTIFS(請求記録!$B$6:$B$3005,$A374,請求記録!$Z$6:$Z$3005,Z$5,請求記録!$AF$6:$AF$3005,"保留中")&gt;0,"保留",IF(COUNTIFS(請求記録!$B$6:$B$3005,$A374,請求記録!$Z$6:$Z$3005,Z$5)=0,"",SUMIFS(請求記録!$AE$6:$AE$3005,請求記録!$B$6:$B$3005,$A374,請求記録!$Z$6:$Z$3005,Z$5))))</f>
        <v/>
      </c>
      <c r="AA374" s="19">
        <f>IF($A374="","",IF(COUNTIFS(請求記録!$B$6:$B$3005,$A374,請求記録!$Z$6:$Z$3005,AA$5,請求記録!$AF$6:$AF$3005,"保留中")&gt;0,"保留",IF(COUNTIFS(請求記録!$B$6:$B$3005,$A374,請求記録!$Z$6:$Z$3005,AA$5)=0,"",SUMIFS(請求記録!$AE$6:$AE$3005,請求記録!$B$6:$B$3005,$A374,請求記録!$Z$6:$Z$3005,AA$5))))</f>
        <v/>
      </c>
      <c r="AB374">
        <f>IF(職員マスタ!P374="保留中",職員マスタ!M374,"")</f>
        <v/>
      </c>
    </row>
    <row r="375">
      <c r="A375">
        <f>IF(職員マスタ!A375="","",職員マスタ!A375)</f>
        <v/>
      </c>
      <c r="B375">
        <f>IF($A375="","",職員マスタ!B375)</f>
        <v/>
      </c>
      <c r="C375">
        <f>IF($A375="","",職員マスタ!C375)</f>
        <v/>
      </c>
      <c r="D375" s="19">
        <f>IF($A375="","",IF(COUNTIFS(請求記録!$B$6:$B$3005,$A375,請求記録!$Z$6:$Z$3005,D$5,請求記録!$AF$6:$AF$3005,"保留中")&gt;0,"保留",IF(COUNTIFS(請求記録!$B$6:$B$3005,$A375,請求記録!$Z$6:$Z$3005,D$5)=0,"",SUMIFS(請求記録!$AE$6:$AE$3005,請求記録!$B$6:$B$3005,$A375,請求記録!$Z$6:$Z$3005,D$5))))</f>
        <v/>
      </c>
      <c r="E375" s="19">
        <f>IF($A375="","",IF(COUNTIFS(請求記録!$B$6:$B$3005,$A375,請求記録!$Z$6:$Z$3005,E$5,請求記録!$AF$6:$AF$3005,"保留中")&gt;0,"保留",IF(COUNTIFS(請求記録!$B$6:$B$3005,$A375,請求記録!$Z$6:$Z$3005,E$5)=0,"",SUMIFS(請求記録!$AE$6:$AE$3005,請求記録!$B$6:$B$3005,$A375,請求記録!$Z$6:$Z$3005,E$5))))</f>
        <v/>
      </c>
      <c r="F375" s="19">
        <f>IF($A375="","",IF(COUNTIFS(請求記録!$B$6:$B$3005,$A375,請求記録!$Z$6:$Z$3005,F$5,請求記録!$AF$6:$AF$3005,"保留中")&gt;0,"保留",IF(COUNTIFS(請求記録!$B$6:$B$3005,$A375,請求記録!$Z$6:$Z$3005,F$5)=0,"",SUMIFS(請求記録!$AE$6:$AE$3005,請求記録!$B$6:$B$3005,$A375,請求記録!$Z$6:$Z$3005,F$5))))</f>
        <v/>
      </c>
      <c r="G375" s="19">
        <f>IF($A375="","",IF(COUNTIFS(請求記録!$B$6:$B$3005,$A375,請求記録!$Z$6:$Z$3005,G$5,請求記録!$AF$6:$AF$3005,"保留中")&gt;0,"保留",IF(COUNTIFS(請求記録!$B$6:$B$3005,$A375,請求記録!$Z$6:$Z$3005,G$5)=0,"",SUMIFS(請求記録!$AE$6:$AE$3005,請求記録!$B$6:$B$3005,$A375,請求記録!$Z$6:$Z$3005,G$5))))</f>
        <v/>
      </c>
      <c r="H375" s="19">
        <f>IF($A375="","",IF(COUNTIFS(請求記録!$B$6:$B$3005,$A375,請求記録!$Z$6:$Z$3005,H$5,請求記録!$AF$6:$AF$3005,"保留中")&gt;0,"保留",IF(COUNTIFS(請求記録!$B$6:$B$3005,$A375,請求記録!$Z$6:$Z$3005,H$5)=0,"",SUMIFS(請求記録!$AE$6:$AE$3005,請求記録!$B$6:$B$3005,$A375,請求記録!$Z$6:$Z$3005,H$5))))</f>
        <v/>
      </c>
      <c r="I375" s="19">
        <f>IF($A375="","",IF(COUNTIFS(請求記録!$B$6:$B$3005,$A375,請求記録!$Z$6:$Z$3005,I$5,請求記録!$AF$6:$AF$3005,"保留中")&gt;0,"保留",IF(COUNTIFS(請求記録!$B$6:$B$3005,$A375,請求記録!$Z$6:$Z$3005,I$5)=0,"",SUMIFS(請求記録!$AE$6:$AE$3005,請求記録!$B$6:$B$3005,$A375,請求記録!$Z$6:$Z$3005,I$5))))</f>
        <v/>
      </c>
      <c r="J375" s="19">
        <f>IF($A375="","",IF(COUNTIFS(請求記録!$B$6:$B$3005,$A375,請求記録!$Z$6:$Z$3005,J$5,請求記録!$AF$6:$AF$3005,"保留中")&gt;0,"保留",IF(COUNTIFS(請求記録!$B$6:$B$3005,$A375,請求記録!$Z$6:$Z$3005,J$5)=0,"",SUMIFS(請求記録!$AE$6:$AE$3005,請求記録!$B$6:$B$3005,$A375,請求記録!$Z$6:$Z$3005,J$5))))</f>
        <v/>
      </c>
      <c r="K375" s="19">
        <f>IF($A375="","",IF(COUNTIFS(請求記録!$B$6:$B$3005,$A375,請求記録!$Z$6:$Z$3005,K$5,請求記録!$AF$6:$AF$3005,"保留中")&gt;0,"保留",IF(COUNTIFS(請求記録!$B$6:$B$3005,$A375,請求記録!$Z$6:$Z$3005,K$5)=0,"",SUMIFS(請求記録!$AE$6:$AE$3005,請求記録!$B$6:$B$3005,$A375,請求記録!$Z$6:$Z$3005,K$5))))</f>
        <v/>
      </c>
      <c r="L375" s="19">
        <f>IF($A375="","",IF(COUNTIFS(請求記録!$B$6:$B$3005,$A375,請求記録!$Z$6:$Z$3005,L$5,請求記録!$AF$6:$AF$3005,"保留中")&gt;0,"保留",IF(COUNTIFS(請求記録!$B$6:$B$3005,$A375,請求記録!$Z$6:$Z$3005,L$5)=0,"",SUMIFS(請求記録!$AE$6:$AE$3005,請求記録!$B$6:$B$3005,$A375,請求記録!$Z$6:$Z$3005,L$5))))</f>
        <v/>
      </c>
      <c r="M375" s="19">
        <f>IF($A375="","",IF(COUNTIFS(請求記録!$B$6:$B$3005,$A375,請求記録!$Z$6:$Z$3005,M$5,請求記録!$AF$6:$AF$3005,"保留中")&gt;0,"保留",IF(COUNTIFS(請求記録!$B$6:$B$3005,$A375,請求記録!$Z$6:$Z$3005,M$5)=0,"",SUMIFS(請求記録!$AE$6:$AE$3005,請求記録!$B$6:$B$3005,$A375,請求記録!$Z$6:$Z$3005,M$5))))</f>
        <v/>
      </c>
      <c r="N375" s="19">
        <f>IF($A375="","",IF(COUNTIFS(請求記録!$B$6:$B$3005,$A375,請求記録!$Z$6:$Z$3005,N$5,請求記録!$AF$6:$AF$3005,"保留中")&gt;0,"保留",IF(COUNTIFS(請求記録!$B$6:$B$3005,$A375,請求記録!$Z$6:$Z$3005,N$5)=0,"",SUMIFS(請求記録!$AE$6:$AE$3005,請求記録!$B$6:$B$3005,$A375,請求記録!$Z$6:$Z$3005,N$5))))</f>
        <v/>
      </c>
      <c r="O375" s="19">
        <f>IF($A375="","",IF(COUNTIFS(請求記録!$B$6:$B$3005,$A375,請求記録!$Z$6:$Z$3005,O$5,請求記録!$AF$6:$AF$3005,"保留中")&gt;0,"保留",IF(COUNTIFS(請求記録!$B$6:$B$3005,$A375,請求記録!$Z$6:$Z$3005,O$5)=0,"",SUMIFS(請求記録!$AE$6:$AE$3005,請求記録!$B$6:$B$3005,$A375,請求記録!$Z$6:$Z$3005,O$5))))</f>
        <v/>
      </c>
      <c r="P375" s="19">
        <f>IF($A375="","",IF(COUNTIFS(請求記録!$B$6:$B$3005,$A375,請求記録!$Z$6:$Z$3005,P$5,請求記録!$AF$6:$AF$3005,"保留中")&gt;0,"保留",IF(COUNTIFS(請求記録!$B$6:$B$3005,$A375,請求記録!$Z$6:$Z$3005,P$5)=0,"",SUMIFS(請求記録!$AE$6:$AE$3005,請求記録!$B$6:$B$3005,$A375,請求記録!$Z$6:$Z$3005,P$5))))</f>
        <v/>
      </c>
      <c r="Q375" s="19">
        <f>IF($A375="","",IF(COUNTIFS(請求記録!$B$6:$B$3005,$A375,請求記録!$Z$6:$Z$3005,Q$5,請求記録!$AF$6:$AF$3005,"保留中")&gt;0,"保留",IF(COUNTIFS(請求記録!$B$6:$B$3005,$A375,請求記録!$Z$6:$Z$3005,Q$5)=0,"",SUMIFS(請求記録!$AE$6:$AE$3005,請求記録!$B$6:$B$3005,$A375,請求記録!$Z$6:$Z$3005,Q$5))))</f>
        <v/>
      </c>
      <c r="R375" s="19">
        <f>IF($A375="","",IF(COUNTIFS(請求記録!$B$6:$B$3005,$A375,請求記録!$Z$6:$Z$3005,R$5,請求記録!$AF$6:$AF$3005,"保留中")&gt;0,"保留",IF(COUNTIFS(請求記録!$B$6:$B$3005,$A375,請求記録!$Z$6:$Z$3005,R$5)=0,"",SUMIFS(請求記録!$AE$6:$AE$3005,請求記録!$B$6:$B$3005,$A375,請求記録!$Z$6:$Z$3005,R$5))))</f>
        <v/>
      </c>
      <c r="S375" s="19">
        <f>IF($A375="","",IF(COUNTIFS(請求記録!$B$6:$B$3005,$A375,請求記録!$Z$6:$Z$3005,S$5,請求記録!$AF$6:$AF$3005,"保留中")&gt;0,"保留",IF(COUNTIFS(請求記録!$B$6:$B$3005,$A375,請求記録!$Z$6:$Z$3005,S$5)=0,"",SUMIFS(請求記録!$AE$6:$AE$3005,請求記録!$B$6:$B$3005,$A375,請求記録!$Z$6:$Z$3005,S$5))))</f>
        <v/>
      </c>
      <c r="T375" s="19">
        <f>IF($A375="","",IF(COUNTIFS(請求記録!$B$6:$B$3005,$A375,請求記録!$Z$6:$Z$3005,T$5,請求記録!$AF$6:$AF$3005,"保留中")&gt;0,"保留",IF(COUNTIFS(請求記録!$B$6:$B$3005,$A375,請求記録!$Z$6:$Z$3005,T$5)=0,"",SUMIFS(請求記録!$AE$6:$AE$3005,請求記録!$B$6:$B$3005,$A375,請求記録!$Z$6:$Z$3005,T$5))))</f>
        <v/>
      </c>
      <c r="U375" s="19">
        <f>IF($A375="","",IF(COUNTIFS(請求記録!$B$6:$B$3005,$A375,請求記録!$Z$6:$Z$3005,U$5,請求記録!$AF$6:$AF$3005,"保留中")&gt;0,"保留",IF(COUNTIFS(請求記録!$B$6:$B$3005,$A375,請求記録!$Z$6:$Z$3005,U$5)=0,"",SUMIFS(請求記録!$AE$6:$AE$3005,請求記録!$B$6:$B$3005,$A375,請求記録!$Z$6:$Z$3005,U$5))))</f>
        <v/>
      </c>
      <c r="V375" s="19">
        <f>IF($A375="","",IF(COUNTIFS(請求記録!$B$6:$B$3005,$A375,請求記録!$Z$6:$Z$3005,V$5,請求記録!$AF$6:$AF$3005,"保留中")&gt;0,"保留",IF(COUNTIFS(請求記録!$B$6:$B$3005,$A375,請求記録!$Z$6:$Z$3005,V$5)=0,"",SUMIFS(請求記録!$AE$6:$AE$3005,請求記録!$B$6:$B$3005,$A375,請求記録!$Z$6:$Z$3005,V$5))))</f>
        <v/>
      </c>
      <c r="W375" s="19">
        <f>IF($A375="","",IF(COUNTIFS(請求記録!$B$6:$B$3005,$A375,請求記録!$Z$6:$Z$3005,W$5,請求記録!$AF$6:$AF$3005,"保留中")&gt;0,"保留",IF(COUNTIFS(請求記録!$B$6:$B$3005,$A375,請求記録!$Z$6:$Z$3005,W$5)=0,"",SUMIFS(請求記録!$AE$6:$AE$3005,請求記録!$B$6:$B$3005,$A375,請求記録!$Z$6:$Z$3005,W$5))))</f>
        <v/>
      </c>
      <c r="X375" s="19">
        <f>IF($A375="","",IF(COUNTIFS(請求記録!$B$6:$B$3005,$A375,請求記録!$Z$6:$Z$3005,X$5,請求記録!$AF$6:$AF$3005,"保留中")&gt;0,"保留",IF(COUNTIFS(請求記録!$B$6:$B$3005,$A375,請求記録!$Z$6:$Z$3005,X$5)=0,"",SUMIFS(請求記録!$AE$6:$AE$3005,請求記録!$B$6:$B$3005,$A375,請求記録!$Z$6:$Z$3005,X$5))))</f>
        <v/>
      </c>
      <c r="Y375" s="19">
        <f>IF($A375="","",IF(COUNTIFS(請求記録!$B$6:$B$3005,$A375,請求記録!$Z$6:$Z$3005,Y$5,請求記録!$AF$6:$AF$3005,"保留中")&gt;0,"保留",IF(COUNTIFS(請求記録!$B$6:$B$3005,$A375,請求記録!$Z$6:$Z$3005,Y$5)=0,"",SUMIFS(請求記録!$AE$6:$AE$3005,請求記録!$B$6:$B$3005,$A375,請求記録!$Z$6:$Z$3005,Y$5))))</f>
        <v/>
      </c>
      <c r="Z375" s="19">
        <f>IF($A375="","",IF(COUNTIFS(請求記録!$B$6:$B$3005,$A375,請求記録!$Z$6:$Z$3005,Z$5,請求記録!$AF$6:$AF$3005,"保留中")&gt;0,"保留",IF(COUNTIFS(請求記録!$B$6:$B$3005,$A375,請求記録!$Z$6:$Z$3005,Z$5)=0,"",SUMIFS(請求記録!$AE$6:$AE$3005,請求記録!$B$6:$B$3005,$A375,請求記録!$Z$6:$Z$3005,Z$5))))</f>
        <v/>
      </c>
      <c r="AA375" s="19">
        <f>IF($A375="","",IF(COUNTIFS(請求記録!$B$6:$B$3005,$A375,請求記録!$Z$6:$Z$3005,AA$5,請求記録!$AF$6:$AF$3005,"保留中")&gt;0,"保留",IF(COUNTIFS(請求記録!$B$6:$B$3005,$A375,請求記録!$Z$6:$Z$3005,AA$5)=0,"",SUMIFS(請求記録!$AE$6:$AE$3005,請求記録!$B$6:$B$3005,$A375,請求記録!$Z$6:$Z$3005,AA$5))))</f>
        <v/>
      </c>
      <c r="AB375">
        <f>IF(職員マスタ!P375="保留中",職員マスタ!M375,"")</f>
        <v/>
      </c>
    </row>
    <row r="376">
      <c r="A376">
        <f>IF(職員マスタ!A376="","",職員マスタ!A376)</f>
        <v/>
      </c>
      <c r="B376">
        <f>IF($A376="","",職員マスタ!B376)</f>
        <v/>
      </c>
      <c r="C376">
        <f>IF($A376="","",職員マスタ!C376)</f>
        <v/>
      </c>
      <c r="D376" s="19">
        <f>IF($A376="","",IF(COUNTIFS(請求記録!$B$6:$B$3005,$A376,請求記録!$Z$6:$Z$3005,D$5,請求記録!$AF$6:$AF$3005,"保留中")&gt;0,"保留",IF(COUNTIFS(請求記録!$B$6:$B$3005,$A376,請求記録!$Z$6:$Z$3005,D$5)=0,"",SUMIFS(請求記録!$AE$6:$AE$3005,請求記録!$B$6:$B$3005,$A376,請求記録!$Z$6:$Z$3005,D$5))))</f>
        <v/>
      </c>
      <c r="E376" s="19">
        <f>IF($A376="","",IF(COUNTIFS(請求記録!$B$6:$B$3005,$A376,請求記録!$Z$6:$Z$3005,E$5,請求記録!$AF$6:$AF$3005,"保留中")&gt;0,"保留",IF(COUNTIFS(請求記録!$B$6:$B$3005,$A376,請求記録!$Z$6:$Z$3005,E$5)=0,"",SUMIFS(請求記録!$AE$6:$AE$3005,請求記録!$B$6:$B$3005,$A376,請求記録!$Z$6:$Z$3005,E$5))))</f>
        <v/>
      </c>
      <c r="F376" s="19">
        <f>IF($A376="","",IF(COUNTIFS(請求記録!$B$6:$B$3005,$A376,請求記録!$Z$6:$Z$3005,F$5,請求記録!$AF$6:$AF$3005,"保留中")&gt;0,"保留",IF(COUNTIFS(請求記録!$B$6:$B$3005,$A376,請求記録!$Z$6:$Z$3005,F$5)=0,"",SUMIFS(請求記録!$AE$6:$AE$3005,請求記録!$B$6:$B$3005,$A376,請求記録!$Z$6:$Z$3005,F$5))))</f>
        <v/>
      </c>
      <c r="G376" s="19">
        <f>IF($A376="","",IF(COUNTIFS(請求記録!$B$6:$B$3005,$A376,請求記録!$Z$6:$Z$3005,G$5,請求記録!$AF$6:$AF$3005,"保留中")&gt;0,"保留",IF(COUNTIFS(請求記録!$B$6:$B$3005,$A376,請求記録!$Z$6:$Z$3005,G$5)=0,"",SUMIFS(請求記録!$AE$6:$AE$3005,請求記録!$B$6:$B$3005,$A376,請求記録!$Z$6:$Z$3005,G$5))))</f>
        <v/>
      </c>
      <c r="H376" s="19">
        <f>IF($A376="","",IF(COUNTIFS(請求記録!$B$6:$B$3005,$A376,請求記録!$Z$6:$Z$3005,H$5,請求記録!$AF$6:$AF$3005,"保留中")&gt;0,"保留",IF(COUNTIFS(請求記録!$B$6:$B$3005,$A376,請求記録!$Z$6:$Z$3005,H$5)=0,"",SUMIFS(請求記録!$AE$6:$AE$3005,請求記録!$B$6:$B$3005,$A376,請求記録!$Z$6:$Z$3005,H$5))))</f>
        <v/>
      </c>
      <c r="I376" s="19">
        <f>IF($A376="","",IF(COUNTIFS(請求記録!$B$6:$B$3005,$A376,請求記録!$Z$6:$Z$3005,I$5,請求記録!$AF$6:$AF$3005,"保留中")&gt;0,"保留",IF(COUNTIFS(請求記録!$B$6:$B$3005,$A376,請求記録!$Z$6:$Z$3005,I$5)=0,"",SUMIFS(請求記録!$AE$6:$AE$3005,請求記録!$B$6:$B$3005,$A376,請求記録!$Z$6:$Z$3005,I$5))))</f>
        <v/>
      </c>
      <c r="J376" s="19">
        <f>IF($A376="","",IF(COUNTIFS(請求記録!$B$6:$B$3005,$A376,請求記録!$Z$6:$Z$3005,J$5,請求記録!$AF$6:$AF$3005,"保留中")&gt;0,"保留",IF(COUNTIFS(請求記録!$B$6:$B$3005,$A376,請求記録!$Z$6:$Z$3005,J$5)=0,"",SUMIFS(請求記録!$AE$6:$AE$3005,請求記録!$B$6:$B$3005,$A376,請求記録!$Z$6:$Z$3005,J$5))))</f>
        <v/>
      </c>
      <c r="K376" s="19">
        <f>IF($A376="","",IF(COUNTIFS(請求記録!$B$6:$B$3005,$A376,請求記録!$Z$6:$Z$3005,K$5,請求記録!$AF$6:$AF$3005,"保留中")&gt;0,"保留",IF(COUNTIFS(請求記録!$B$6:$B$3005,$A376,請求記録!$Z$6:$Z$3005,K$5)=0,"",SUMIFS(請求記録!$AE$6:$AE$3005,請求記録!$B$6:$B$3005,$A376,請求記録!$Z$6:$Z$3005,K$5))))</f>
        <v/>
      </c>
      <c r="L376" s="19">
        <f>IF($A376="","",IF(COUNTIFS(請求記録!$B$6:$B$3005,$A376,請求記録!$Z$6:$Z$3005,L$5,請求記録!$AF$6:$AF$3005,"保留中")&gt;0,"保留",IF(COUNTIFS(請求記録!$B$6:$B$3005,$A376,請求記録!$Z$6:$Z$3005,L$5)=0,"",SUMIFS(請求記録!$AE$6:$AE$3005,請求記録!$B$6:$B$3005,$A376,請求記録!$Z$6:$Z$3005,L$5))))</f>
        <v/>
      </c>
      <c r="M376" s="19">
        <f>IF($A376="","",IF(COUNTIFS(請求記録!$B$6:$B$3005,$A376,請求記録!$Z$6:$Z$3005,M$5,請求記録!$AF$6:$AF$3005,"保留中")&gt;0,"保留",IF(COUNTIFS(請求記録!$B$6:$B$3005,$A376,請求記録!$Z$6:$Z$3005,M$5)=0,"",SUMIFS(請求記録!$AE$6:$AE$3005,請求記録!$B$6:$B$3005,$A376,請求記録!$Z$6:$Z$3005,M$5))))</f>
        <v/>
      </c>
      <c r="N376" s="19">
        <f>IF($A376="","",IF(COUNTIFS(請求記録!$B$6:$B$3005,$A376,請求記録!$Z$6:$Z$3005,N$5,請求記録!$AF$6:$AF$3005,"保留中")&gt;0,"保留",IF(COUNTIFS(請求記録!$B$6:$B$3005,$A376,請求記録!$Z$6:$Z$3005,N$5)=0,"",SUMIFS(請求記録!$AE$6:$AE$3005,請求記録!$B$6:$B$3005,$A376,請求記録!$Z$6:$Z$3005,N$5))))</f>
        <v/>
      </c>
      <c r="O376" s="19">
        <f>IF($A376="","",IF(COUNTIFS(請求記録!$B$6:$B$3005,$A376,請求記録!$Z$6:$Z$3005,O$5,請求記録!$AF$6:$AF$3005,"保留中")&gt;0,"保留",IF(COUNTIFS(請求記録!$B$6:$B$3005,$A376,請求記録!$Z$6:$Z$3005,O$5)=0,"",SUMIFS(請求記録!$AE$6:$AE$3005,請求記録!$B$6:$B$3005,$A376,請求記録!$Z$6:$Z$3005,O$5))))</f>
        <v/>
      </c>
      <c r="P376" s="19">
        <f>IF($A376="","",IF(COUNTIFS(請求記録!$B$6:$B$3005,$A376,請求記録!$Z$6:$Z$3005,P$5,請求記録!$AF$6:$AF$3005,"保留中")&gt;0,"保留",IF(COUNTIFS(請求記録!$B$6:$B$3005,$A376,請求記録!$Z$6:$Z$3005,P$5)=0,"",SUMIFS(請求記録!$AE$6:$AE$3005,請求記録!$B$6:$B$3005,$A376,請求記録!$Z$6:$Z$3005,P$5))))</f>
        <v/>
      </c>
      <c r="Q376" s="19">
        <f>IF($A376="","",IF(COUNTIFS(請求記録!$B$6:$B$3005,$A376,請求記録!$Z$6:$Z$3005,Q$5,請求記録!$AF$6:$AF$3005,"保留中")&gt;0,"保留",IF(COUNTIFS(請求記録!$B$6:$B$3005,$A376,請求記録!$Z$6:$Z$3005,Q$5)=0,"",SUMIFS(請求記録!$AE$6:$AE$3005,請求記録!$B$6:$B$3005,$A376,請求記録!$Z$6:$Z$3005,Q$5))))</f>
        <v/>
      </c>
      <c r="R376" s="19">
        <f>IF($A376="","",IF(COUNTIFS(請求記録!$B$6:$B$3005,$A376,請求記録!$Z$6:$Z$3005,R$5,請求記録!$AF$6:$AF$3005,"保留中")&gt;0,"保留",IF(COUNTIFS(請求記録!$B$6:$B$3005,$A376,請求記録!$Z$6:$Z$3005,R$5)=0,"",SUMIFS(請求記録!$AE$6:$AE$3005,請求記録!$B$6:$B$3005,$A376,請求記録!$Z$6:$Z$3005,R$5))))</f>
        <v/>
      </c>
      <c r="S376" s="19">
        <f>IF($A376="","",IF(COUNTIFS(請求記録!$B$6:$B$3005,$A376,請求記録!$Z$6:$Z$3005,S$5,請求記録!$AF$6:$AF$3005,"保留中")&gt;0,"保留",IF(COUNTIFS(請求記録!$B$6:$B$3005,$A376,請求記録!$Z$6:$Z$3005,S$5)=0,"",SUMIFS(請求記録!$AE$6:$AE$3005,請求記録!$B$6:$B$3005,$A376,請求記録!$Z$6:$Z$3005,S$5))))</f>
        <v/>
      </c>
      <c r="T376" s="19">
        <f>IF($A376="","",IF(COUNTIFS(請求記録!$B$6:$B$3005,$A376,請求記録!$Z$6:$Z$3005,T$5,請求記録!$AF$6:$AF$3005,"保留中")&gt;0,"保留",IF(COUNTIFS(請求記録!$B$6:$B$3005,$A376,請求記録!$Z$6:$Z$3005,T$5)=0,"",SUMIFS(請求記録!$AE$6:$AE$3005,請求記録!$B$6:$B$3005,$A376,請求記録!$Z$6:$Z$3005,T$5))))</f>
        <v/>
      </c>
      <c r="U376" s="19">
        <f>IF($A376="","",IF(COUNTIFS(請求記録!$B$6:$B$3005,$A376,請求記録!$Z$6:$Z$3005,U$5,請求記録!$AF$6:$AF$3005,"保留中")&gt;0,"保留",IF(COUNTIFS(請求記録!$B$6:$B$3005,$A376,請求記録!$Z$6:$Z$3005,U$5)=0,"",SUMIFS(請求記録!$AE$6:$AE$3005,請求記録!$B$6:$B$3005,$A376,請求記録!$Z$6:$Z$3005,U$5))))</f>
        <v/>
      </c>
      <c r="V376" s="19">
        <f>IF($A376="","",IF(COUNTIFS(請求記録!$B$6:$B$3005,$A376,請求記録!$Z$6:$Z$3005,V$5,請求記録!$AF$6:$AF$3005,"保留中")&gt;0,"保留",IF(COUNTIFS(請求記録!$B$6:$B$3005,$A376,請求記録!$Z$6:$Z$3005,V$5)=0,"",SUMIFS(請求記録!$AE$6:$AE$3005,請求記録!$B$6:$B$3005,$A376,請求記録!$Z$6:$Z$3005,V$5))))</f>
        <v/>
      </c>
      <c r="W376" s="19">
        <f>IF($A376="","",IF(COUNTIFS(請求記録!$B$6:$B$3005,$A376,請求記録!$Z$6:$Z$3005,W$5,請求記録!$AF$6:$AF$3005,"保留中")&gt;0,"保留",IF(COUNTIFS(請求記録!$B$6:$B$3005,$A376,請求記録!$Z$6:$Z$3005,W$5)=0,"",SUMIFS(請求記録!$AE$6:$AE$3005,請求記録!$B$6:$B$3005,$A376,請求記録!$Z$6:$Z$3005,W$5))))</f>
        <v/>
      </c>
      <c r="X376" s="19">
        <f>IF($A376="","",IF(COUNTIFS(請求記録!$B$6:$B$3005,$A376,請求記録!$Z$6:$Z$3005,X$5,請求記録!$AF$6:$AF$3005,"保留中")&gt;0,"保留",IF(COUNTIFS(請求記録!$B$6:$B$3005,$A376,請求記録!$Z$6:$Z$3005,X$5)=0,"",SUMIFS(請求記録!$AE$6:$AE$3005,請求記録!$B$6:$B$3005,$A376,請求記録!$Z$6:$Z$3005,X$5))))</f>
        <v/>
      </c>
      <c r="Y376" s="19">
        <f>IF($A376="","",IF(COUNTIFS(請求記録!$B$6:$B$3005,$A376,請求記録!$Z$6:$Z$3005,Y$5,請求記録!$AF$6:$AF$3005,"保留中")&gt;0,"保留",IF(COUNTIFS(請求記録!$B$6:$B$3005,$A376,請求記録!$Z$6:$Z$3005,Y$5)=0,"",SUMIFS(請求記録!$AE$6:$AE$3005,請求記録!$B$6:$B$3005,$A376,請求記録!$Z$6:$Z$3005,Y$5))))</f>
        <v/>
      </c>
      <c r="Z376" s="19">
        <f>IF($A376="","",IF(COUNTIFS(請求記録!$B$6:$B$3005,$A376,請求記録!$Z$6:$Z$3005,Z$5,請求記録!$AF$6:$AF$3005,"保留中")&gt;0,"保留",IF(COUNTIFS(請求記録!$B$6:$B$3005,$A376,請求記録!$Z$6:$Z$3005,Z$5)=0,"",SUMIFS(請求記録!$AE$6:$AE$3005,請求記録!$B$6:$B$3005,$A376,請求記録!$Z$6:$Z$3005,Z$5))))</f>
        <v/>
      </c>
      <c r="AA376" s="19">
        <f>IF($A376="","",IF(COUNTIFS(請求記録!$B$6:$B$3005,$A376,請求記録!$Z$6:$Z$3005,AA$5,請求記録!$AF$6:$AF$3005,"保留中")&gt;0,"保留",IF(COUNTIFS(請求記録!$B$6:$B$3005,$A376,請求記録!$Z$6:$Z$3005,AA$5)=0,"",SUMIFS(請求記録!$AE$6:$AE$3005,請求記録!$B$6:$B$3005,$A376,請求記録!$Z$6:$Z$3005,AA$5))))</f>
        <v/>
      </c>
      <c r="AB376">
        <f>IF(職員マスタ!P376="保留中",職員マスタ!M376,"")</f>
        <v/>
      </c>
    </row>
    <row r="377">
      <c r="A377">
        <f>IF(職員マスタ!A377="","",職員マスタ!A377)</f>
        <v/>
      </c>
      <c r="B377">
        <f>IF($A377="","",職員マスタ!B377)</f>
        <v/>
      </c>
      <c r="C377">
        <f>IF($A377="","",職員マスタ!C377)</f>
        <v/>
      </c>
      <c r="D377" s="19">
        <f>IF($A377="","",IF(COUNTIFS(請求記録!$B$6:$B$3005,$A377,請求記録!$Z$6:$Z$3005,D$5,請求記録!$AF$6:$AF$3005,"保留中")&gt;0,"保留",IF(COUNTIFS(請求記録!$B$6:$B$3005,$A377,請求記録!$Z$6:$Z$3005,D$5)=0,"",SUMIFS(請求記録!$AE$6:$AE$3005,請求記録!$B$6:$B$3005,$A377,請求記録!$Z$6:$Z$3005,D$5))))</f>
        <v/>
      </c>
      <c r="E377" s="19">
        <f>IF($A377="","",IF(COUNTIFS(請求記録!$B$6:$B$3005,$A377,請求記録!$Z$6:$Z$3005,E$5,請求記録!$AF$6:$AF$3005,"保留中")&gt;0,"保留",IF(COUNTIFS(請求記録!$B$6:$B$3005,$A377,請求記録!$Z$6:$Z$3005,E$5)=0,"",SUMIFS(請求記録!$AE$6:$AE$3005,請求記録!$B$6:$B$3005,$A377,請求記録!$Z$6:$Z$3005,E$5))))</f>
        <v/>
      </c>
      <c r="F377" s="19">
        <f>IF($A377="","",IF(COUNTIFS(請求記録!$B$6:$B$3005,$A377,請求記録!$Z$6:$Z$3005,F$5,請求記録!$AF$6:$AF$3005,"保留中")&gt;0,"保留",IF(COUNTIFS(請求記録!$B$6:$B$3005,$A377,請求記録!$Z$6:$Z$3005,F$5)=0,"",SUMIFS(請求記録!$AE$6:$AE$3005,請求記録!$B$6:$B$3005,$A377,請求記録!$Z$6:$Z$3005,F$5))))</f>
        <v/>
      </c>
      <c r="G377" s="19">
        <f>IF($A377="","",IF(COUNTIFS(請求記録!$B$6:$B$3005,$A377,請求記録!$Z$6:$Z$3005,G$5,請求記録!$AF$6:$AF$3005,"保留中")&gt;0,"保留",IF(COUNTIFS(請求記録!$B$6:$B$3005,$A377,請求記録!$Z$6:$Z$3005,G$5)=0,"",SUMIFS(請求記録!$AE$6:$AE$3005,請求記録!$B$6:$B$3005,$A377,請求記録!$Z$6:$Z$3005,G$5))))</f>
        <v/>
      </c>
      <c r="H377" s="19">
        <f>IF($A377="","",IF(COUNTIFS(請求記録!$B$6:$B$3005,$A377,請求記録!$Z$6:$Z$3005,H$5,請求記録!$AF$6:$AF$3005,"保留中")&gt;0,"保留",IF(COUNTIFS(請求記録!$B$6:$B$3005,$A377,請求記録!$Z$6:$Z$3005,H$5)=0,"",SUMIFS(請求記録!$AE$6:$AE$3005,請求記録!$B$6:$B$3005,$A377,請求記録!$Z$6:$Z$3005,H$5))))</f>
        <v/>
      </c>
      <c r="I377" s="19">
        <f>IF($A377="","",IF(COUNTIFS(請求記録!$B$6:$B$3005,$A377,請求記録!$Z$6:$Z$3005,I$5,請求記録!$AF$6:$AF$3005,"保留中")&gt;0,"保留",IF(COUNTIFS(請求記録!$B$6:$B$3005,$A377,請求記録!$Z$6:$Z$3005,I$5)=0,"",SUMIFS(請求記録!$AE$6:$AE$3005,請求記録!$B$6:$B$3005,$A377,請求記録!$Z$6:$Z$3005,I$5))))</f>
        <v/>
      </c>
      <c r="J377" s="19">
        <f>IF($A377="","",IF(COUNTIFS(請求記録!$B$6:$B$3005,$A377,請求記録!$Z$6:$Z$3005,J$5,請求記録!$AF$6:$AF$3005,"保留中")&gt;0,"保留",IF(COUNTIFS(請求記録!$B$6:$B$3005,$A377,請求記録!$Z$6:$Z$3005,J$5)=0,"",SUMIFS(請求記録!$AE$6:$AE$3005,請求記録!$B$6:$B$3005,$A377,請求記録!$Z$6:$Z$3005,J$5))))</f>
        <v/>
      </c>
      <c r="K377" s="19">
        <f>IF($A377="","",IF(COUNTIFS(請求記録!$B$6:$B$3005,$A377,請求記録!$Z$6:$Z$3005,K$5,請求記録!$AF$6:$AF$3005,"保留中")&gt;0,"保留",IF(COUNTIFS(請求記録!$B$6:$B$3005,$A377,請求記録!$Z$6:$Z$3005,K$5)=0,"",SUMIFS(請求記録!$AE$6:$AE$3005,請求記録!$B$6:$B$3005,$A377,請求記録!$Z$6:$Z$3005,K$5))))</f>
        <v/>
      </c>
      <c r="L377" s="19">
        <f>IF($A377="","",IF(COUNTIFS(請求記録!$B$6:$B$3005,$A377,請求記録!$Z$6:$Z$3005,L$5,請求記録!$AF$6:$AF$3005,"保留中")&gt;0,"保留",IF(COUNTIFS(請求記録!$B$6:$B$3005,$A377,請求記録!$Z$6:$Z$3005,L$5)=0,"",SUMIFS(請求記録!$AE$6:$AE$3005,請求記録!$B$6:$B$3005,$A377,請求記録!$Z$6:$Z$3005,L$5))))</f>
        <v/>
      </c>
      <c r="M377" s="19">
        <f>IF($A377="","",IF(COUNTIFS(請求記録!$B$6:$B$3005,$A377,請求記録!$Z$6:$Z$3005,M$5,請求記録!$AF$6:$AF$3005,"保留中")&gt;0,"保留",IF(COUNTIFS(請求記録!$B$6:$B$3005,$A377,請求記録!$Z$6:$Z$3005,M$5)=0,"",SUMIFS(請求記録!$AE$6:$AE$3005,請求記録!$B$6:$B$3005,$A377,請求記録!$Z$6:$Z$3005,M$5))))</f>
        <v/>
      </c>
      <c r="N377" s="19">
        <f>IF($A377="","",IF(COUNTIFS(請求記録!$B$6:$B$3005,$A377,請求記録!$Z$6:$Z$3005,N$5,請求記録!$AF$6:$AF$3005,"保留中")&gt;0,"保留",IF(COUNTIFS(請求記録!$B$6:$B$3005,$A377,請求記録!$Z$6:$Z$3005,N$5)=0,"",SUMIFS(請求記録!$AE$6:$AE$3005,請求記録!$B$6:$B$3005,$A377,請求記録!$Z$6:$Z$3005,N$5))))</f>
        <v/>
      </c>
      <c r="O377" s="19">
        <f>IF($A377="","",IF(COUNTIFS(請求記録!$B$6:$B$3005,$A377,請求記録!$Z$6:$Z$3005,O$5,請求記録!$AF$6:$AF$3005,"保留中")&gt;0,"保留",IF(COUNTIFS(請求記録!$B$6:$B$3005,$A377,請求記録!$Z$6:$Z$3005,O$5)=0,"",SUMIFS(請求記録!$AE$6:$AE$3005,請求記録!$B$6:$B$3005,$A377,請求記録!$Z$6:$Z$3005,O$5))))</f>
        <v/>
      </c>
      <c r="P377" s="19">
        <f>IF($A377="","",IF(COUNTIFS(請求記録!$B$6:$B$3005,$A377,請求記録!$Z$6:$Z$3005,P$5,請求記録!$AF$6:$AF$3005,"保留中")&gt;0,"保留",IF(COUNTIFS(請求記録!$B$6:$B$3005,$A377,請求記録!$Z$6:$Z$3005,P$5)=0,"",SUMIFS(請求記録!$AE$6:$AE$3005,請求記録!$B$6:$B$3005,$A377,請求記録!$Z$6:$Z$3005,P$5))))</f>
        <v/>
      </c>
      <c r="Q377" s="19">
        <f>IF($A377="","",IF(COUNTIFS(請求記録!$B$6:$B$3005,$A377,請求記録!$Z$6:$Z$3005,Q$5,請求記録!$AF$6:$AF$3005,"保留中")&gt;0,"保留",IF(COUNTIFS(請求記録!$B$6:$B$3005,$A377,請求記録!$Z$6:$Z$3005,Q$5)=0,"",SUMIFS(請求記録!$AE$6:$AE$3005,請求記録!$B$6:$B$3005,$A377,請求記録!$Z$6:$Z$3005,Q$5))))</f>
        <v/>
      </c>
      <c r="R377" s="19">
        <f>IF($A377="","",IF(COUNTIFS(請求記録!$B$6:$B$3005,$A377,請求記録!$Z$6:$Z$3005,R$5,請求記録!$AF$6:$AF$3005,"保留中")&gt;0,"保留",IF(COUNTIFS(請求記録!$B$6:$B$3005,$A377,請求記録!$Z$6:$Z$3005,R$5)=0,"",SUMIFS(請求記録!$AE$6:$AE$3005,請求記録!$B$6:$B$3005,$A377,請求記録!$Z$6:$Z$3005,R$5))))</f>
        <v/>
      </c>
      <c r="S377" s="19">
        <f>IF($A377="","",IF(COUNTIFS(請求記録!$B$6:$B$3005,$A377,請求記録!$Z$6:$Z$3005,S$5,請求記録!$AF$6:$AF$3005,"保留中")&gt;0,"保留",IF(COUNTIFS(請求記録!$B$6:$B$3005,$A377,請求記録!$Z$6:$Z$3005,S$5)=0,"",SUMIFS(請求記録!$AE$6:$AE$3005,請求記録!$B$6:$B$3005,$A377,請求記録!$Z$6:$Z$3005,S$5))))</f>
        <v/>
      </c>
      <c r="T377" s="19">
        <f>IF($A377="","",IF(COUNTIFS(請求記録!$B$6:$B$3005,$A377,請求記録!$Z$6:$Z$3005,T$5,請求記録!$AF$6:$AF$3005,"保留中")&gt;0,"保留",IF(COUNTIFS(請求記録!$B$6:$B$3005,$A377,請求記録!$Z$6:$Z$3005,T$5)=0,"",SUMIFS(請求記録!$AE$6:$AE$3005,請求記録!$B$6:$B$3005,$A377,請求記録!$Z$6:$Z$3005,T$5))))</f>
        <v/>
      </c>
      <c r="U377" s="19">
        <f>IF($A377="","",IF(COUNTIFS(請求記録!$B$6:$B$3005,$A377,請求記録!$Z$6:$Z$3005,U$5,請求記録!$AF$6:$AF$3005,"保留中")&gt;0,"保留",IF(COUNTIFS(請求記録!$B$6:$B$3005,$A377,請求記録!$Z$6:$Z$3005,U$5)=0,"",SUMIFS(請求記録!$AE$6:$AE$3005,請求記録!$B$6:$B$3005,$A377,請求記録!$Z$6:$Z$3005,U$5))))</f>
        <v/>
      </c>
      <c r="V377" s="19">
        <f>IF($A377="","",IF(COUNTIFS(請求記録!$B$6:$B$3005,$A377,請求記録!$Z$6:$Z$3005,V$5,請求記録!$AF$6:$AF$3005,"保留中")&gt;0,"保留",IF(COUNTIFS(請求記録!$B$6:$B$3005,$A377,請求記録!$Z$6:$Z$3005,V$5)=0,"",SUMIFS(請求記録!$AE$6:$AE$3005,請求記録!$B$6:$B$3005,$A377,請求記録!$Z$6:$Z$3005,V$5))))</f>
        <v/>
      </c>
      <c r="W377" s="19">
        <f>IF($A377="","",IF(COUNTIFS(請求記録!$B$6:$B$3005,$A377,請求記録!$Z$6:$Z$3005,W$5,請求記録!$AF$6:$AF$3005,"保留中")&gt;0,"保留",IF(COUNTIFS(請求記録!$B$6:$B$3005,$A377,請求記録!$Z$6:$Z$3005,W$5)=0,"",SUMIFS(請求記録!$AE$6:$AE$3005,請求記録!$B$6:$B$3005,$A377,請求記録!$Z$6:$Z$3005,W$5))))</f>
        <v/>
      </c>
      <c r="X377" s="19">
        <f>IF($A377="","",IF(COUNTIFS(請求記録!$B$6:$B$3005,$A377,請求記録!$Z$6:$Z$3005,X$5,請求記録!$AF$6:$AF$3005,"保留中")&gt;0,"保留",IF(COUNTIFS(請求記録!$B$6:$B$3005,$A377,請求記録!$Z$6:$Z$3005,X$5)=0,"",SUMIFS(請求記録!$AE$6:$AE$3005,請求記録!$B$6:$B$3005,$A377,請求記録!$Z$6:$Z$3005,X$5))))</f>
        <v/>
      </c>
      <c r="Y377" s="19">
        <f>IF($A377="","",IF(COUNTIFS(請求記録!$B$6:$B$3005,$A377,請求記録!$Z$6:$Z$3005,Y$5,請求記録!$AF$6:$AF$3005,"保留中")&gt;0,"保留",IF(COUNTIFS(請求記録!$B$6:$B$3005,$A377,請求記録!$Z$6:$Z$3005,Y$5)=0,"",SUMIFS(請求記録!$AE$6:$AE$3005,請求記録!$B$6:$B$3005,$A377,請求記録!$Z$6:$Z$3005,Y$5))))</f>
        <v/>
      </c>
      <c r="Z377" s="19">
        <f>IF($A377="","",IF(COUNTIFS(請求記録!$B$6:$B$3005,$A377,請求記録!$Z$6:$Z$3005,Z$5,請求記録!$AF$6:$AF$3005,"保留中")&gt;0,"保留",IF(COUNTIFS(請求記録!$B$6:$B$3005,$A377,請求記録!$Z$6:$Z$3005,Z$5)=0,"",SUMIFS(請求記録!$AE$6:$AE$3005,請求記録!$B$6:$B$3005,$A377,請求記録!$Z$6:$Z$3005,Z$5))))</f>
        <v/>
      </c>
      <c r="AA377" s="19">
        <f>IF($A377="","",IF(COUNTIFS(請求記録!$B$6:$B$3005,$A377,請求記録!$Z$6:$Z$3005,AA$5,請求記録!$AF$6:$AF$3005,"保留中")&gt;0,"保留",IF(COUNTIFS(請求記録!$B$6:$B$3005,$A377,請求記録!$Z$6:$Z$3005,AA$5)=0,"",SUMIFS(請求記録!$AE$6:$AE$3005,請求記録!$B$6:$B$3005,$A377,請求記録!$Z$6:$Z$3005,AA$5))))</f>
        <v/>
      </c>
      <c r="AB377">
        <f>IF(職員マスタ!P377="保留中",職員マスタ!M377,"")</f>
        <v/>
      </c>
    </row>
    <row r="378">
      <c r="A378">
        <f>IF(職員マスタ!A378="","",職員マスタ!A378)</f>
        <v/>
      </c>
      <c r="B378">
        <f>IF($A378="","",職員マスタ!B378)</f>
        <v/>
      </c>
      <c r="C378">
        <f>IF($A378="","",職員マスタ!C378)</f>
        <v/>
      </c>
      <c r="D378" s="19">
        <f>IF($A378="","",IF(COUNTIFS(請求記録!$B$6:$B$3005,$A378,請求記録!$Z$6:$Z$3005,D$5,請求記録!$AF$6:$AF$3005,"保留中")&gt;0,"保留",IF(COUNTIFS(請求記録!$B$6:$B$3005,$A378,請求記録!$Z$6:$Z$3005,D$5)=0,"",SUMIFS(請求記録!$AE$6:$AE$3005,請求記録!$B$6:$B$3005,$A378,請求記録!$Z$6:$Z$3005,D$5))))</f>
        <v/>
      </c>
      <c r="E378" s="19">
        <f>IF($A378="","",IF(COUNTIFS(請求記録!$B$6:$B$3005,$A378,請求記録!$Z$6:$Z$3005,E$5,請求記録!$AF$6:$AF$3005,"保留中")&gt;0,"保留",IF(COUNTIFS(請求記録!$B$6:$B$3005,$A378,請求記録!$Z$6:$Z$3005,E$5)=0,"",SUMIFS(請求記録!$AE$6:$AE$3005,請求記録!$B$6:$B$3005,$A378,請求記録!$Z$6:$Z$3005,E$5))))</f>
        <v/>
      </c>
      <c r="F378" s="19">
        <f>IF($A378="","",IF(COUNTIFS(請求記録!$B$6:$B$3005,$A378,請求記録!$Z$6:$Z$3005,F$5,請求記録!$AF$6:$AF$3005,"保留中")&gt;0,"保留",IF(COUNTIFS(請求記録!$B$6:$B$3005,$A378,請求記録!$Z$6:$Z$3005,F$5)=0,"",SUMIFS(請求記録!$AE$6:$AE$3005,請求記録!$B$6:$B$3005,$A378,請求記録!$Z$6:$Z$3005,F$5))))</f>
        <v/>
      </c>
      <c r="G378" s="19">
        <f>IF($A378="","",IF(COUNTIFS(請求記録!$B$6:$B$3005,$A378,請求記録!$Z$6:$Z$3005,G$5,請求記録!$AF$6:$AF$3005,"保留中")&gt;0,"保留",IF(COUNTIFS(請求記録!$B$6:$B$3005,$A378,請求記録!$Z$6:$Z$3005,G$5)=0,"",SUMIFS(請求記録!$AE$6:$AE$3005,請求記録!$B$6:$B$3005,$A378,請求記録!$Z$6:$Z$3005,G$5))))</f>
        <v/>
      </c>
      <c r="H378" s="19">
        <f>IF($A378="","",IF(COUNTIFS(請求記録!$B$6:$B$3005,$A378,請求記録!$Z$6:$Z$3005,H$5,請求記録!$AF$6:$AF$3005,"保留中")&gt;0,"保留",IF(COUNTIFS(請求記録!$B$6:$B$3005,$A378,請求記録!$Z$6:$Z$3005,H$5)=0,"",SUMIFS(請求記録!$AE$6:$AE$3005,請求記録!$B$6:$B$3005,$A378,請求記録!$Z$6:$Z$3005,H$5))))</f>
        <v/>
      </c>
      <c r="I378" s="19">
        <f>IF($A378="","",IF(COUNTIFS(請求記録!$B$6:$B$3005,$A378,請求記録!$Z$6:$Z$3005,I$5,請求記録!$AF$6:$AF$3005,"保留中")&gt;0,"保留",IF(COUNTIFS(請求記録!$B$6:$B$3005,$A378,請求記録!$Z$6:$Z$3005,I$5)=0,"",SUMIFS(請求記録!$AE$6:$AE$3005,請求記録!$B$6:$B$3005,$A378,請求記録!$Z$6:$Z$3005,I$5))))</f>
        <v/>
      </c>
      <c r="J378" s="19">
        <f>IF($A378="","",IF(COUNTIFS(請求記録!$B$6:$B$3005,$A378,請求記録!$Z$6:$Z$3005,J$5,請求記録!$AF$6:$AF$3005,"保留中")&gt;0,"保留",IF(COUNTIFS(請求記録!$B$6:$B$3005,$A378,請求記録!$Z$6:$Z$3005,J$5)=0,"",SUMIFS(請求記録!$AE$6:$AE$3005,請求記録!$B$6:$B$3005,$A378,請求記録!$Z$6:$Z$3005,J$5))))</f>
        <v/>
      </c>
      <c r="K378" s="19">
        <f>IF($A378="","",IF(COUNTIFS(請求記録!$B$6:$B$3005,$A378,請求記録!$Z$6:$Z$3005,K$5,請求記録!$AF$6:$AF$3005,"保留中")&gt;0,"保留",IF(COUNTIFS(請求記録!$B$6:$B$3005,$A378,請求記録!$Z$6:$Z$3005,K$5)=0,"",SUMIFS(請求記録!$AE$6:$AE$3005,請求記録!$B$6:$B$3005,$A378,請求記録!$Z$6:$Z$3005,K$5))))</f>
        <v/>
      </c>
      <c r="L378" s="19">
        <f>IF($A378="","",IF(COUNTIFS(請求記録!$B$6:$B$3005,$A378,請求記録!$Z$6:$Z$3005,L$5,請求記録!$AF$6:$AF$3005,"保留中")&gt;0,"保留",IF(COUNTIFS(請求記録!$B$6:$B$3005,$A378,請求記録!$Z$6:$Z$3005,L$5)=0,"",SUMIFS(請求記録!$AE$6:$AE$3005,請求記録!$B$6:$B$3005,$A378,請求記録!$Z$6:$Z$3005,L$5))))</f>
        <v/>
      </c>
      <c r="M378" s="19">
        <f>IF($A378="","",IF(COUNTIFS(請求記録!$B$6:$B$3005,$A378,請求記録!$Z$6:$Z$3005,M$5,請求記録!$AF$6:$AF$3005,"保留中")&gt;0,"保留",IF(COUNTIFS(請求記録!$B$6:$B$3005,$A378,請求記録!$Z$6:$Z$3005,M$5)=0,"",SUMIFS(請求記録!$AE$6:$AE$3005,請求記録!$B$6:$B$3005,$A378,請求記録!$Z$6:$Z$3005,M$5))))</f>
        <v/>
      </c>
      <c r="N378" s="19">
        <f>IF($A378="","",IF(COUNTIFS(請求記録!$B$6:$B$3005,$A378,請求記録!$Z$6:$Z$3005,N$5,請求記録!$AF$6:$AF$3005,"保留中")&gt;0,"保留",IF(COUNTIFS(請求記録!$B$6:$B$3005,$A378,請求記録!$Z$6:$Z$3005,N$5)=0,"",SUMIFS(請求記録!$AE$6:$AE$3005,請求記録!$B$6:$B$3005,$A378,請求記録!$Z$6:$Z$3005,N$5))))</f>
        <v/>
      </c>
      <c r="O378" s="19">
        <f>IF($A378="","",IF(COUNTIFS(請求記録!$B$6:$B$3005,$A378,請求記録!$Z$6:$Z$3005,O$5,請求記録!$AF$6:$AF$3005,"保留中")&gt;0,"保留",IF(COUNTIFS(請求記録!$B$6:$B$3005,$A378,請求記録!$Z$6:$Z$3005,O$5)=0,"",SUMIFS(請求記録!$AE$6:$AE$3005,請求記録!$B$6:$B$3005,$A378,請求記録!$Z$6:$Z$3005,O$5))))</f>
        <v/>
      </c>
      <c r="P378" s="19">
        <f>IF($A378="","",IF(COUNTIFS(請求記録!$B$6:$B$3005,$A378,請求記録!$Z$6:$Z$3005,P$5,請求記録!$AF$6:$AF$3005,"保留中")&gt;0,"保留",IF(COUNTIFS(請求記録!$B$6:$B$3005,$A378,請求記録!$Z$6:$Z$3005,P$5)=0,"",SUMIFS(請求記録!$AE$6:$AE$3005,請求記録!$B$6:$B$3005,$A378,請求記録!$Z$6:$Z$3005,P$5))))</f>
        <v/>
      </c>
      <c r="Q378" s="19">
        <f>IF($A378="","",IF(COUNTIFS(請求記録!$B$6:$B$3005,$A378,請求記録!$Z$6:$Z$3005,Q$5,請求記録!$AF$6:$AF$3005,"保留中")&gt;0,"保留",IF(COUNTIFS(請求記録!$B$6:$B$3005,$A378,請求記録!$Z$6:$Z$3005,Q$5)=0,"",SUMIFS(請求記録!$AE$6:$AE$3005,請求記録!$B$6:$B$3005,$A378,請求記録!$Z$6:$Z$3005,Q$5))))</f>
        <v/>
      </c>
      <c r="R378" s="19">
        <f>IF($A378="","",IF(COUNTIFS(請求記録!$B$6:$B$3005,$A378,請求記録!$Z$6:$Z$3005,R$5,請求記録!$AF$6:$AF$3005,"保留中")&gt;0,"保留",IF(COUNTIFS(請求記録!$B$6:$B$3005,$A378,請求記録!$Z$6:$Z$3005,R$5)=0,"",SUMIFS(請求記録!$AE$6:$AE$3005,請求記録!$B$6:$B$3005,$A378,請求記録!$Z$6:$Z$3005,R$5))))</f>
        <v/>
      </c>
      <c r="S378" s="19">
        <f>IF($A378="","",IF(COUNTIFS(請求記録!$B$6:$B$3005,$A378,請求記録!$Z$6:$Z$3005,S$5,請求記録!$AF$6:$AF$3005,"保留中")&gt;0,"保留",IF(COUNTIFS(請求記録!$B$6:$B$3005,$A378,請求記録!$Z$6:$Z$3005,S$5)=0,"",SUMIFS(請求記録!$AE$6:$AE$3005,請求記録!$B$6:$B$3005,$A378,請求記録!$Z$6:$Z$3005,S$5))))</f>
        <v/>
      </c>
      <c r="T378" s="19">
        <f>IF($A378="","",IF(COUNTIFS(請求記録!$B$6:$B$3005,$A378,請求記録!$Z$6:$Z$3005,T$5,請求記録!$AF$6:$AF$3005,"保留中")&gt;0,"保留",IF(COUNTIFS(請求記録!$B$6:$B$3005,$A378,請求記録!$Z$6:$Z$3005,T$5)=0,"",SUMIFS(請求記録!$AE$6:$AE$3005,請求記録!$B$6:$B$3005,$A378,請求記録!$Z$6:$Z$3005,T$5))))</f>
        <v/>
      </c>
      <c r="U378" s="19">
        <f>IF($A378="","",IF(COUNTIFS(請求記録!$B$6:$B$3005,$A378,請求記録!$Z$6:$Z$3005,U$5,請求記録!$AF$6:$AF$3005,"保留中")&gt;0,"保留",IF(COUNTIFS(請求記録!$B$6:$B$3005,$A378,請求記録!$Z$6:$Z$3005,U$5)=0,"",SUMIFS(請求記録!$AE$6:$AE$3005,請求記録!$B$6:$B$3005,$A378,請求記録!$Z$6:$Z$3005,U$5))))</f>
        <v/>
      </c>
      <c r="V378" s="19">
        <f>IF($A378="","",IF(COUNTIFS(請求記録!$B$6:$B$3005,$A378,請求記録!$Z$6:$Z$3005,V$5,請求記録!$AF$6:$AF$3005,"保留中")&gt;0,"保留",IF(COUNTIFS(請求記録!$B$6:$B$3005,$A378,請求記録!$Z$6:$Z$3005,V$5)=0,"",SUMIFS(請求記録!$AE$6:$AE$3005,請求記録!$B$6:$B$3005,$A378,請求記録!$Z$6:$Z$3005,V$5))))</f>
        <v/>
      </c>
      <c r="W378" s="19">
        <f>IF($A378="","",IF(COUNTIFS(請求記録!$B$6:$B$3005,$A378,請求記録!$Z$6:$Z$3005,W$5,請求記録!$AF$6:$AF$3005,"保留中")&gt;0,"保留",IF(COUNTIFS(請求記録!$B$6:$B$3005,$A378,請求記録!$Z$6:$Z$3005,W$5)=0,"",SUMIFS(請求記録!$AE$6:$AE$3005,請求記録!$B$6:$B$3005,$A378,請求記録!$Z$6:$Z$3005,W$5))))</f>
        <v/>
      </c>
      <c r="X378" s="19">
        <f>IF($A378="","",IF(COUNTIFS(請求記録!$B$6:$B$3005,$A378,請求記録!$Z$6:$Z$3005,X$5,請求記録!$AF$6:$AF$3005,"保留中")&gt;0,"保留",IF(COUNTIFS(請求記録!$B$6:$B$3005,$A378,請求記録!$Z$6:$Z$3005,X$5)=0,"",SUMIFS(請求記録!$AE$6:$AE$3005,請求記録!$B$6:$B$3005,$A378,請求記録!$Z$6:$Z$3005,X$5))))</f>
        <v/>
      </c>
      <c r="Y378" s="19">
        <f>IF($A378="","",IF(COUNTIFS(請求記録!$B$6:$B$3005,$A378,請求記録!$Z$6:$Z$3005,Y$5,請求記録!$AF$6:$AF$3005,"保留中")&gt;0,"保留",IF(COUNTIFS(請求記録!$B$6:$B$3005,$A378,請求記録!$Z$6:$Z$3005,Y$5)=0,"",SUMIFS(請求記録!$AE$6:$AE$3005,請求記録!$B$6:$B$3005,$A378,請求記録!$Z$6:$Z$3005,Y$5))))</f>
        <v/>
      </c>
      <c r="Z378" s="19">
        <f>IF($A378="","",IF(COUNTIFS(請求記録!$B$6:$B$3005,$A378,請求記録!$Z$6:$Z$3005,Z$5,請求記録!$AF$6:$AF$3005,"保留中")&gt;0,"保留",IF(COUNTIFS(請求記録!$B$6:$B$3005,$A378,請求記録!$Z$6:$Z$3005,Z$5)=0,"",SUMIFS(請求記録!$AE$6:$AE$3005,請求記録!$B$6:$B$3005,$A378,請求記録!$Z$6:$Z$3005,Z$5))))</f>
        <v/>
      </c>
      <c r="AA378" s="19">
        <f>IF($A378="","",IF(COUNTIFS(請求記録!$B$6:$B$3005,$A378,請求記録!$Z$6:$Z$3005,AA$5,請求記録!$AF$6:$AF$3005,"保留中")&gt;0,"保留",IF(COUNTIFS(請求記録!$B$6:$B$3005,$A378,請求記録!$Z$6:$Z$3005,AA$5)=0,"",SUMIFS(請求記録!$AE$6:$AE$3005,請求記録!$B$6:$B$3005,$A378,請求記録!$Z$6:$Z$3005,AA$5))))</f>
        <v/>
      </c>
      <c r="AB378">
        <f>IF(職員マスタ!P378="保留中",職員マスタ!M378,"")</f>
        <v/>
      </c>
    </row>
    <row r="379">
      <c r="A379">
        <f>IF(職員マスタ!A379="","",職員マスタ!A379)</f>
        <v/>
      </c>
      <c r="B379">
        <f>IF($A379="","",職員マスタ!B379)</f>
        <v/>
      </c>
      <c r="C379">
        <f>IF($A379="","",職員マスタ!C379)</f>
        <v/>
      </c>
      <c r="D379" s="19">
        <f>IF($A379="","",IF(COUNTIFS(請求記録!$B$6:$B$3005,$A379,請求記録!$Z$6:$Z$3005,D$5,請求記録!$AF$6:$AF$3005,"保留中")&gt;0,"保留",IF(COUNTIFS(請求記録!$B$6:$B$3005,$A379,請求記録!$Z$6:$Z$3005,D$5)=0,"",SUMIFS(請求記録!$AE$6:$AE$3005,請求記録!$B$6:$B$3005,$A379,請求記録!$Z$6:$Z$3005,D$5))))</f>
        <v/>
      </c>
      <c r="E379" s="19">
        <f>IF($A379="","",IF(COUNTIFS(請求記録!$B$6:$B$3005,$A379,請求記録!$Z$6:$Z$3005,E$5,請求記録!$AF$6:$AF$3005,"保留中")&gt;0,"保留",IF(COUNTIFS(請求記録!$B$6:$B$3005,$A379,請求記録!$Z$6:$Z$3005,E$5)=0,"",SUMIFS(請求記録!$AE$6:$AE$3005,請求記録!$B$6:$B$3005,$A379,請求記録!$Z$6:$Z$3005,E$5))))</f>
        <v/>
      </c>
      <c r="F379" s="19">
        <f>IF($A379="","",IF(COUNTIFS(請求記録!$B$6:$B$3005,$A379,請求記録!$Z$6:$Z$3005,F$5,請求記録!$AF$6:$AF$3005,"保留中")&gt;0,"保留",IF(COUNTIFS(請求記録!$B$6:$B$3005,$A379,請求記録!$Z$6:$Z$3005,F$5)=0,"",SUMIFS(請求記録!$AE$6:$AE$3005,請求記録!$B$6:$B$3005,$A379,請求記録!$Z$6:$Z$3005,F$5))))</f>
        <v/>
      </c>
      <c r="G379" s="19">
        <f>IF($A379="","",IF(COUNTIFS(請求記録!$B$6:$B$3005,$A379,請求記録!$Z$6:$Z$3005,G$5,請求記録!$AF$6:$AF$3005,"保留中")&gt;0,"保留",IF(COUNTIFS(請求記録!$B$6:$B$3005,$A379,請求記録!$Z$6:$Z$3005,G$5)=0,"",SUMIFS(請求記録!$AE$6:$AE$3005,請求記録!$B$6:$B$3005,$A379,請求記録!$Z$6:$Z$3005,G$5))))</f>
        <v/>
      </c>
      <c r="H379" s="19">
        <f>IF($A379="","",IF(COUNTIFS(請求記録!$B$6:$B$3005,$A379,請求記録!$Z$6:$Z$3005,H$5,請求記録!$AF$6:$AF$3005,"保留中")&gt;0,"保留",IF(COUNTIFS(請求記録!$B$6:$B$3005,$A379,請求記録!$Z$6:$Z$3005,H$5)=0,"",SUMIFS(請求記録!$AE$6:$AE$3005,請求記録!$B$6:$B$3005,$A379,請求記録!$Z$6:$Z$3005,H$5))))</f>
        <v/>
      </c>
      <c r="I379" s="19">
        <f>IF($A379="","",IF(COUNTIFS(請求記録!$B$6:$B$3005,$A379,請求記録!$Z$6:$Z$3005,I$5,請求記録!$AF$6:$AF$3005,"保留中")&gt;0,"保留",IF(COUNTIFS(請求記録!$B$6:$B$3005,$A379,請求記録!$Z$6:$Z$3005,I$5)=0,"",SUMIFS(請求記録!$AE$6:$AE$3005,請求記録!$B$6:$B$3005,$A379,請求記録!$Z$6:$Z$3005,I$5))))</f>
        <v/>
      </c>
      <c r="J379" s="19">
        <f>IF($A379="","",IF(COUNTIFS(請求記録!$B$6:$B$3005,$A379,請求記録!$Z$6:$Z$3005,J$5,請求記録!$AF$6:$AF$3005,"保留中")&gt;0,"保留",IF(COUNTIFS(請求記録!$B$6:$B$3005,$A379,請求記録!$Z$6:$Z$3005,J$5)=0,"",SUMIFS(請求記録!$AE$6:$AE$3005,請求記録!$B$6:$B$3005,$A379,請求記録!$Z$6:$Z$3005,J$5))))</f>
        <v/>
      </c>
      <c r="K379" s="19">
        <f>IF($A379="","",IF(COUNTIFS(請求記録!$B$6:$B$3005,$A379,請求記録!$Z$6:$Z$3005,K$5,請求記録!$AF$6:$AF$3005,"保留中")&gt;0,"保留",IF(COUNTIFS(請求記録!$B$6:$B$3005,$A379,請求記録!$Z$6:$Z$3005,K$5)=0,"",SUMIFS(請求記録!$AE$6:$AE$3005,請求記録!$B$6:$B$3005,$A379,請求記録!$Z$6:$Z$3005,K$5))))</f>
        <v/>
      </c>
      <c r="L379" s="19">
        <f>IF($A379="","",IF(COUNTIFS(請求記録!$B$6:$B$3005,$A379,請求記録!$Z$6:$Z$3005,L$5,請求記録!$AF$6:$AF$3005,"保留中")&gt;0,"保留",IF(COUNTIFS(請求記録!$B$6:$B$3005,$A379,請求記録!$Z$6:$Z$3005,L$5)=0,"",SUMIFS(請求記録!$AE$6:$AE$3005,請求記録!$B$6:$B$3005,$A379,請求記録!$Z$6:$Z$3005,L$5))))</f>
        <v/>
      </c>
      <c r="M379" s="19">
        <f>IF($A379="","",IF(COUNTIFS(請求記録!$B$6:$B$3005,$A379,請求記録!$Z$6:$Z$3005,M$5,請求記録!$AF$6:$AF$3005,"保留中")&gt;0,"保留",IF(COUNTIFS(請求記録!$B$6:$B$3005,$A379,請求記録!$Z$6:$Z$3005,M$5)=0,"",SUMIFS(請求記録!$AE$6:$AE$3005,請求記録!$B$6:$B$3005,$A379,請求記録!$Z$6:$Z$3005,M$5))))</f>
        <v/>
      </c>
      <c r="N379" s="19">
        <f>IF($A379="","",IF(COUNTIFS(請求記録!$B$6:$B$3005,$A379,請求記録!$Z$6:$Z$3005,N$5,請求記録!$AF$6:$AF$3005,"保留中")&gt;0,"保留",IF(COUNTIFS(請求記録!$B$6:$B$3005,$A379,請求記録!$Z$6:$Z$3005,N$5)=0,"",SUMIFS(請求記録!$AE$6:$AE$3005,請求記録!$B$6:$B$3005,$A379,請求記録!$Z$6:$Z$3005,N$5))))</f>
        <v/>
      </c>
      <c r="O379" s="19">
        <f>IF($A379="","",IF(COUNTIFS(請求記録!$B$6:$B$3005,$A379,請求記録!$Z$6:$Z$3005,O$5,請求記録!$AF$6:$AF$3005,"保留中")&gt;0,"保留",IF(COUNTIFS(請求記録!$B$6:$B$3005,$A379,請求記録!$Z$6:$Z$3005,O$5)=0,"",SUMIFS(請求記録!$AE$6:$AE$3005,請求記録!$B$6:$B$3005,$A379,請求記録!$Z$6:$Z$3005,O$5))))</f>
        <v/>
      </c>
      <c r="P379" s="19">
        <f>IF($A379="","",IF(COUNTIFS(請求記録!$B$6:$B$3005,$A379,請求記録!$Z$6:$Z$3005,P$5,請求記録!$AF$6:$AF$3005,"保留中")&gt;0,"保留",IF(COUNTIFS(請求記録!$B$6:$B$3005,$A379,請求記録!$Z$6:$Z$3005,P$5)=0,"",SUMIFS(請求記録!$AE$6:$AE$3005,請求記録!$B$6:$B$3005,$A379,請求記録!$Z$6:$Z$3005,P$5))))</f>
        <v/>
      </c>
      <c r="Q379" s="19">
        <f>IF($A379="","",IF(COUNTIFS(請求記録!$B$6:$B$3005,$A379,請求記録!$Z$6:$Z$3005,Q$5,請求記録!$AF$6:$AF$3005,"保留中")&gt;0,"保留",IF(COUNTIFS(請求記録!$B$6:$B$3005,$A379,請求記録!$Z$6:$Z$3005,Q$5)=0,"",SUMIFS(請求記録!$AE$6:$AE$3005,請求記録!$B$6:$B$3005,$A379,請求記録!$Z$6:$Z$3005,Q$5))))</f>
        <v/>
      </c>
      <c r="R379" s="19">
        <f>IF($A379="","",IF(COUNTIFS(請求記録!$B$6:$B$3005,$A379,請求記録!$Z$6:$Z$3005,R$5,請求記録!$AF$6:$AF$3005,"保留中")&gt;0,"保留",IF(COUNTIFS(請求記録!$B$6:$B$3005,$A379,請求記録!$Z$6:$Z$3005,R$5)=0,"",SUMIFS(請求記録!$AE$6:$AE$3005,請求記録!$B$6:$B$3005,$A379,請求記録!$Z$6:$Z$3005,R$5))))</f>
        <v/>
      </c>
      <c r="S379" s="19">
        <f>IF($A379="","",IF(COUNTIFS(請求記録!$B$6:$B$3005,$A379,請求記録!$Z$6:$Z$3005,S$5,請求記録!$AF$6:$AF$3005,"保留中")&gt;0,"保留",IF(COUNTIFS(請求記録!$B$6:$B$3005,$A379,請求記録!$Z$6:$Z$3005,S$5)=0,"",SUMIFS(請求記録!$AE$6:$AE$3005,請求記録!$B$6:$B$3005,$A379,請求記録!$Z$6:$Z$3005,S$5))))</f>
        <v/>
      </c>
      <c r="T379" s="19">
        <f>IF($A379="","",IF(COUNTIFS(請求記録!$B$6:$B$3005,$A379,請求記録!$Z$6:$Z$3005,T$5,請求記録!$AF$6:$AF$3005,"保留中")&gt;0,"保留",IF(COUNTIFS(請求記録!$B$6:$B$3005,$A379,請求記録!$Z$6:$Z$3005,T$5)=0,"",SUMIFS(請求記録!$AE$6:$AE$3005,請求記録!$B$6:$B$3005,$A379,請求記録!$Z$6:$Z$3005,T$5))))</f>
        <v/>
      </c>
      <c r="U379" s="19">
        <f>IF($A379="","",IF(COUNTIFS(請求記録!$B$6:$B$3005,$A379,請求記録!$Z$6:$Z$3005,U$5,請求記録!$AF$6:$AF$3005,"保留中")&gt;0,"保留",IF(COUNTIFS(請求記録!$B$6:$B$3005,$A379,請求記録!$Z$6:$Z$3005,U$5)=0,"",SUMIFS(請求記録!$AE$6:$AE$3005,請求記録!$B$6:$B$3005,$A379,請求記録!$Z$6:$Z$3005,U$5))))</f>
        <v/>
      </c>
      <c r="V379" s="19">
        <f>IF($A379="","",IF(COUNTIFS(請求記録!$B$6:$B$3005,$A379,請求記録!$Z$6:$Z$3005,V$5,請求記録!$AF$6:$AF$3005,"保留中")&gt;0,"保留",IF(COUNTIFS(請求記録!$B$6:$B$3005,$A379,請求記録!$Z$6:$Z$3005,V$5)=0,"",SUMIFS(請求記録!$AE$6:$AE$3005,請求記録!$B$6:$B$3005,$A379,請求記録!$Z$6:$Z$3005,V$5))))</f>
        <v/>
      </c>
      <c r="W379" s="19">
        <f>IF($A379="","",IF(COUNTIFS(請求記録!$B$6:$B$3005,$A379,請求記録!$Z$6:$Z$3005,W$5,請求記録!$AF$6:$AF$3005,"保留中")&gt;0,"保留",IF(COUNTIFS(請求記録!$B$6:$B$3005,$A379,請求記録!$Z$6:$Z$3005,W$5)=0,"",SUMIFS(請求記録!$AE$6:$AE$3005,請求記録!$B$6:$B$3005,$A379,請求記録!$Z$6:$Z$3005,W$5))))</f>
        <v/>
      </c>
      <c r="X379" s="19">
        <f>IF($A379="","",IF(COUNTIFS(請求記録!$B$6:$B$3005,$A379,請求記録!$Z$6:$Z$3005,X$5,請求記録!$AF$6:$AF$3005,"保留中")&gt;0,"保留",IF(COUNTIFS(請求記録!$B$6:$B$3005,$A379,請求記録!$Z$6:$Z$3005,X$5)=0,"",SUMIFS(請求記録!$AE$6:$AE$3005,請求記録!$B$6:$B$3005,$A379,請求記録!$Z$6:$Z$3005,X$5))))</f>
        <v/>
      </c>
      <c r="Y379" s="19">
        <f>IF($A379="","",IF(COUNTIFS(請求記録!$B$6:$B$3005,$A379,請求記録!$Z$6:$Z$3005,Y$5,請求記録!$AF$6:$AF$3005,"保留中")&gt;0,"保留",IF(COUNTIFS(請求記録!$B$6:$B$3005,$A379,請求記録!$Z$6:$Z$3005,Y$5)=0,"",SUMIFS(請求記録!$AE$6:$AE$3005,請求記録!$B$6:$B$3005,$A379,請求記録!$Z$6:$Z$3005,Y$5))))</f>
        <v/>
      </c>
      <c r="Z379" s="19">
        <f>IF($A379="","",IF(COUNTIFS(請求記録!$B$6:$B$3005,$A379,請求記録!$Z$6:$Z$3005,Z$5,請求記録!$AF$6:$AF$3005,"保留中")&gt;0,"保留",IF(COUNTIFS(請求記録!$B$6:$B$3005,$A379,請求記録!$Z$6:$Z$3005,Z$5)=0,"",SUMIFS(請求記録!$AE$6:$AE$3005,請求記録!$B$6:$B$3005,$A379,請求記録!$Z$6:$Z$3005,Z$5))))</f>
        <v/>
      </c>
      <c r="AA379" s="19">
        <f>IF($A379="","",IF(COUNTIFS(請求記録!$B$6:$B$3005,$A379,請求記録!$Z$6:$Z$3005,AA$5,請求記録!$AF$6:$AF$3005,"保留中")&gt;0,"保留",IF(COUNTIFS(請求記録!$B$6:$B$3005,$A379,請求記録!$Z$6:$Z$3005,AA$5)=0,"",SUMIFS(請求記録!$AE$6:$AE$3005,請求記録!$B$6:$B$3005,$A379,請求記録!$Z$6:$Z$3005,AA$5))))</f>
        <v/>
      </c>
      <c r="AB379">
        <f>IF(職員マスタ!P379="保留中",職員マスタ!M379,"")</f>
        <v/>
      </c>
    </row>
    <row r="380">
      <c r="A380">
        <f>IF(職員マスタ!A380="","",職員マスタ!A380)</f>
        <v/>
      </c>
      <c r="B380">
        <f>IF($A380="","",職員マスタ!B380)</f>
        <v/>
      </c>
      <c r="C380">
        <f>IF($A380="","",職員マスタ!C380)</f>
        <v/>
      </c>
      <c r="D380" s="19">
        <f>IF($A380="","",IF(COUNTIFS(請求記録!$B$6:$B$3005,$A380,請求記録!$Z$6:$Z$3005,D$5,請求記録!$AF$6:$AF$3005,"保留中")&gt;0,"保留",IF(COUNTIFS(請求記録!$B$6:$B$3005,$A380,請求記録!$Z$6:$Z$3005,D$5)=0,"",SUMIFS(請求記録!$AE$6:$AE$3005,請求記録!$B$6:$B$3005,$A380,請求記録!$Z$6:$Z$3005,D$5))))</f>
        <v/>
      </c>
      <c r="E380" s="19">
        <f>IF($A380="","",IF(COUNTIFS(請求記録!$B$6:$B$3005,$A380,請求記録!$Z$6:$Z$3005,E$5,請求記録!$AF$6:$AF$3005,"保留中")&gt;0,"保留",IF(COUNTIFS(請求記録!$B$6:$B$3005,$A380,請求記録!$Z$6:$Z$3005,E$5)=0,"",SUMIFS(請求記録!$AE$6:$AE$3005,請求記録!$B$6:$B$3005,$A380,請求記録!$Z$6:$Z$3005,E$5))))</f>
        <v/>
      </c>
      <c r="F380" s="19">
        <f>IF($A380="","",IF(COUNTIFS(請求記録!$B$6:$B$3005,$A380,請求記録!$Z$6:$Z$3005,F$5,請求記録!$AF$6:$AF$3005,"保留中")&gt;0,"保留",IF(COUNTIFS(請求記録!$B$6:$B$3005,$A380,請求記録!$Z$6:$Z$3005,F$5)=0,"",SUMIFS(請求記録!$AE$6:$AE$3005,請求記録!$B$6:$B$3005,$A380,請求記録!$Z$6:$Z$3005,F$5))))</f>
        <v/>
      </c>
      <c r="G380" s="19">
        <f>IF($A380="","",IF(COUNTIFS(請求記録!$B$6:$B$3005,$A380,請求記録!$Z$6:$Z$3005,G$5,請求記録!$AF$6:$AF$3005,"保留中")&gt;0,"保留",IF(COUNTIFS(請求記録!$B$6:$B$3005,$A380,請求記録!$Z$6:$Z$3005,G$5)=0,"",SUMIFS(請求記録!$AE$6:$AE$3005,請求記録!$B$6:$B$3005,$A380,請求記録!$Z$6:$Z$3005,G$5))))</f>
        <v/>
      </c>
      <c r="H380" s="19">
        <f>IF($A380="","",IF(COUNTIFS(請求記録!$B$6:$B$3005,$A380,請求記録!$Z$6:$Z$3005,H$5,請求記録!$AF$6:$AF$3005,"保留中")&gt;0,"保留",IF(COUNTIFS(請求記録!$B$6:$B$3005,$A380,請求記録!$Z$6:$Z$3005,H$5)=0,"",SUMIFS(請求記録!$AE$6:$AE$3005,請求記録!$B$6:$B$3005,$A380,請求記録!$Z$6:$Z$3005,H$5))))</f>
        <v/>
      </c>
      <c r="I380" s="19">
        <f>IF($A380="","",IF(COUNTIFS(請求記録!$B$6:$B$3005,$A380,請求記録!$Z$6:$Z$3005,I$5,請求記録!$AF$6:$AF$3005,"保留中")&gt;0,"保留",IF(COUNTIFS(請求記録!$B$6:$B$3005,$A380,請求記録!$Z$6:$Z$3005,I$5)=0,"",SUMIFS(請求記録!$AE$6:$AE$3005,請求記録!$B$6:$B$3005,$A380,請求記録!$Z$6:$Z$3005,I$5))))</f>
        <v/>
      </c>
      <c r="J380" s="19">
        <f>IF($A380="","",IF(COUNTIFS(請求記録!$B$6:$B$3005,$A380,請求記録!$Z$6:$Z$3005,J$5,請求記録!$AF$6:$AF$3005,"保留中")&gt;0,"保留",IF(COUNTIFS(請求記録!$B$6:$B$3005,$A380,請求記録!$Z$6:$Z$3005,J$5)=0,"",SUMIFS(請求記録!$AE$6:$AE$3005,請求記録!$B$6:$B$3005,$A380,請求記録!$Z$6:$Z$3005,J$5))))</f>
        <v/>
      </c>
      <c r="K380" s="19">
        <f>IF($A380="","",IF(COUNTIFS(請求記録!$B$6:$B$3005,$A380,請求記録!$Z$6:$Z$3005,K$5,請求記録!$AF$6:$AF$3005,"保留中")&gt;0,"保留",IF(COUNTIFS(請求記録!$B$6:$B$3005,$A380,請求記録!$Z$6:$Z$3005,K$5)=0,"",SUMIFS(請求記録!$AE$6:$AE$3005,請求記録!$B$6:$B$3005,$A380,請求記録!$Z$6:$Z$3005,K$5))))</f>
        <v/>
      </c>
      <c r="L380" s="19">
        <f>IF($A380="","",IF(COUNTIFS(請求記録!$B$6:$B$3005,$A380,請求記録!$Z$6:$Z$3005,L$5,請求記録!$AF$6:$AF$3005,"保留中")&gt;0,"保留",IF(COUNTIFS(請求記録!$B$6:$B$3005,$A380,請求記録!$Z$6:$Z$3005,L$5)=0,"",SUMIFS(請求記録!$AE$6:$AE$3005,請求記録!$B$6:$B$3005,$A380,請求記録!$Z$6:$Z$3005,L$5))))</f>
        <v/>
      </c>
      <c r="M380" s="19">
        <f>IF($A380="","",IF(COUNTIFS(請求記録!$B$6:$B$3005,$A380,請求記録!$Z$6:$Z$3005,M$5,請求記録!$AF$6:$AF$3005,"保留中")&gt;0,"保留",IF(COUNTIFS(請求記録!$B$6:$B$3005,$A380,請求記録!$Z$6:$Z$3005,M$5)=0,"",SUMIFS(請求記録!$AE$6:$AE$3005,請求記録!$B$6:$B$3005,$A380,請求記録!$Z$6:$Z$3005,M$5))))</f>
        <v/>
      </c>
      <c r="N380" s="19">
        <f>IF($A380="","",IF(COUNTIFS(請求記録!$B$6:$B$3005,$A380,請求記録!$Z$6:$Z$3005,N$5,請求記録!$AF$6:$AF$3005,"保留中")&gt;0,"保留",IF(COUNTIFS(請求記録!$B$6:$B$3005,$A380,請求記録!$Z$6:$Z$3005,N$5)=0,"",SUMIFS(請求記録!$AE$6:$AE$3005,請求記録!$B$6:$B$3005,$A380,請求記録!$Z$6:$Z$3005,N$5))))</f>
        <v/>
      </c>
      <c r="O380" s="19">
        <f>IF($A380="","",IF(COUNTIFS(請求記録!$B$6:$B$3005,$A380,請求記録!$Z$6:$Z$3005,O$5,請求記録!$AF$6:$AF$3005,"保留中")&gt;0,"保留",IF(COUNTIFS(請求記録!$B$6:$B$3005,$A380,請求記録!$Z$6:$Z$3005,O$5)=0,"",SUMIFS(請求記録!$AE$6:$AE$3005,請求記録!$B$6:$B$3005,$A380,請求記録!$Z$6:$Z$3005,O$5))))</f>
        <v/>
      </c>
      <c r="P380" s="19">
        <f>IF($A380="","",IF(COUNTIFS(請求記録!$B$6:$B$3005,$A380,請求記録!$Z$6:$Z$3005,P$5,請求記録!$AF$6:$AF$3005,"保留中")&gt;0,"保留",IF(COUNTIFS(請求記録!$B$6:$B$3005,$A380,請求記録!$Z$6:$Z$3005,P$5)=0,"",SUMIFS(請求記録!$AE$6:$AE$3005,請求記録!$B$6:$B$3005,$A380,請求記録!$Z$6:$Z$3005,P$5))))</f>
        <v/>
      </c>
      <c r="Q380" s="19">
        <f>IF($A380="","",IF(COUNTIFS(請求記録!$B$6:$B$3005,$A380,請求記録!$Z$6:$Z$3005,Q$5,請求記録!$AF$6:$AF$3005,"保留中")&gt;0,"保留",IF(COUNTIFS(請求記録!$B$6:$B$3005,$A380,請求記録!$Z$6:$Z$3005,Q$5)=0,"",SUMIFS(請求記録!$AE$6:$AE$3005,請求記録!$B$6:$B$3005,$A380,請求記録!$Z$6:$Z$3005,Q$5))))</f>
        <v/>
      </c>
      <c r="R380" s="19">
        <f>IF($A380="","",IF(COUNTIFS(請求記録!$B$6:$B$3005,$A380,請求記録!$Z$6:$Z$3005,R$5,請求記録!$AF$6:$AF$3005,"保留中")&gt;0,"保留",IF(COUNTIFS(請求記録!$B$6:$B$3005,$A380,請求記録!$Z$6:$Z$3005,R$5)=0,"",SUMIFS(請求記録!$AE$6:$AE$3005,請求記録!$B$6:$B$3005,$A380,請求記録!$Z$6:$Z$3005,R$5))))</f>
        <v/>
      </c>
      <c r="S380" s="19">
        <f>IF($A380="","",IF(COUNTIFS(請求記録!$B$6:$B$3005,$A380,請求記録!$Z$6:$Z$3005,S$5,請求記録!$AF$6:$AF$3005,"保留中")&gt;0,"保留",IF(COUNTIFS(請求記録!$B$6:$B$3005,$A380,請求記録!$Z$6:$Z$3005,S$5)=0,"",SUMIFS(請求記録!$AE$6:$AE$3005,請求記録!$B$6:$B$3005,$A380,請求記録!$Z$6:$Z$3005,S$5))))</f>
        <v/>
      </c>
      <c r="T380" s="19">
        <f>IF($A380="","",IF(COUNTIFS(請求記録!$B$6:$B$3005,$A380,請求記録!$Z$6:$Z$3005,T$5,請求記録!$AF$6:$AF$3005,"保留中")&gt;0,"保留",IF(COUNTIFS(請求記録!$B$6:$B$3005,$A380,請求記録!$Z$6:$Z$3005,T$5)=0,"",SUMIFS(請求記録!$AE$6:$AE$3005,請求記録!$B$6:$B$3005,$A380,請求記録!$Z$6:$Z$3005,T$5))))</f>
        <v/>
      </c>
      <c r="U380" s="19">
        <f>IF($A380="","",IF(COUNTIFS(請求記録!$B$6:$B$3005,$A380,請求記録!$Z$6:$Z$3005,U$5,請求記録!$AF$6:$AF$3005,"保留中")&gt;0,"保留",IF(COUNTIFS(請求記録!$B$6:$B$3005,$A380,請求記録!$Z$6:$Z$3005,U$5)=0,"",SUMIFS(請求記録!$AE$6:$AE$3005,請求記録!$B$6:$B$3005,$A380,請求記録!$Z$6:$Z$3005,U$5))))</f>
        <v/>
      </c>
      <c r="V380" s="19">
        <f>IF($A380="","",IF(COUNTIFS(請求記録!$B$6:$B$3005,$A380,請求記録!$Z$6:$Z$3005,V$5,請求記録!$AF$6:$AF$3005,"保留中")&gt;0,"保留",IF(COUNTIFS(請求記録!$B$6:$B$3005,$A380,請求記録!$Z$6:$Z$3005,V$5)=0,"",SUMIFS(請求記録!$AE$6:$AE$3005,請求記録!$B$6:$B$3005,$A380,請求記録!$Z$6:$Z$3005,V$5))))</f>
        <v/>
      </c>
      <c r="W380" s="19">
        <f>IF($A380="","",IF(COUNTIFS(請求記録!$B$6:$B$3005,$A380,請求記録!$Z$6:$Z$3005,W$5,請求記録!$AF$6:$AF$3005,"保留中")&gt;0,"保留",IF(COUNTIFS(請求記録!$B$6:$B$3005,$A380,請求記録!$Z$6:$Z$3005,W$5)=0,"",SUMIFS(請求記録!$AE$6:$AE$3005,請求記録!$B$6:$B$3005,$A380,請求記録!$Z$6:$Z$3005,W$5))))</f>
        <v/>
      </c>
      <c r="X380" s="19">
        <f>IF($A380="","",IF(COUNTIFS(請求記録!$B$6:$B$3005,$A380,請求記録!$Z$6:$Z$3005,X$5,請求記録!$AF$6:$AF$3005,"保留中")&gt;0,"保留",IF(COUNTIFS(請求記録!$B$6:$B$3005,$A380,請求記録!$Z$6:$Z$3005,X$5)=0,"",SUMIFS(請求記録!$AE$6:$AE$3005,請求記録!$B$6:$B$3005,$A380,請求記録!$Z$6:$Z$3005,X$5))))</f>
        <v/>
      </c>
      <c r="Y380" s="19">
        <f>IF($A380="","",IF(COUNTIFS(請求記録!$B$6:$B$3005,$A380,請求記録!$Z$6:$Z$3005,Y$5,請求記録!$AF$6:$AF$3005,"保留中")&gt;0,"保留",IF(COUNTIFS(請求記録!$B$6:$B$3005,$A380,請求記録!$Z$6:$Z$3005,Y$5)=0,"",SUMIFS(請求記録!$AE$6:$AE$3005,請求記録!$B$6:$B$3005,$A380,請求記録!$Z$6:$Z$3005,Y$5))))</f>
        <v/>
      </c>
      <c r="Z380" s="19">
        <f>IF($A380="","",IF(COUNTIFS(請求記録!$B$6:$B$3005,$A380,請求記録!$Z$6:$Z$3005,Z$5,請求記録!$AF$6:$AF$3005,"保留中")&gt;0,"保留",IF(COUNTIFS(請求記録!$B$6:$B$3005,$A380,請求記録!$Z$6:$Z$3005,Z$5)=0,"",SUMIFS(請求記録!$AE$6:$AE$3005,請求記録!$B$6:$B$3005,$A380,請求記録!$Z$6:$Z$3005,Z$5))))</f>
        <v/>
      </c>
      <c r="AA380" s="19">
        <f>IF($A380="","",IF(COUNTIFS(請求記録!$B$6:$B$3005,$A380,請求記録!$Z$6:$Z$3005,AA$5,請求記録!$AF$6:$AF$3005,"保留中")&gt;0,"保留",IF(COUNTIFS(請求記録!$B$6:$B$3005,$A380,請求記録!$Z$6:$Z$3005,AA$5)=0,"",SUMIFS(請求記録!$AE$6:$AE$3005,請求記録!$B$6:$B$3005,$A380,請求記録!$Z$6:$Z$3005,AA$5))))</f>
        <v/>
      </c>
      <c r="AB380">
        <f>IF(職員マスタ!P380="保留中",職員マスタ!M380,"")</f>
        <v/>
      </c>
    </row>
    <row r="381">
      <c r="A381">
        <f>IF(職員マスタ!A381="","",職員マスタ!A381)</f>
        <v/>
      </c>
      <c r="B381">
        <f>IF($A381="","",職員マスタ!B381)</f>
        <v/>
      </c>
      <c r="C381">
        <f>IF($A381="","",職員マスタ!C381)</f>
        <v/>
      </c>
      <c r="D381" s="19">
        <f>IF($A381="","",IF(COUNTIFS(請求記録!$B$6:$B$3005,$A381,請求記録!$Z$6:$Z$3005,D$5,請求記録!$AF$6:$AF$3005,"保留中")&gt;0,"保留",IF(COUNTIFS(請求記録!$B$6:$B$3005,$A381,請求記録!$Z$6:$Z$3005,D$5)=0,"",SUMIFS(請求記録!$AE$6:$AE$3005,請求記録!$B$6:$B$3005,$A381,請求記録!$Z$6:$Z$3005,D$5))))</f>
        <v/>
      </c>
      <c r="E381" s="19">
        <f>IF($A381="","",IF(COUNTIFS(請求記録!$B$6:$B$3005,$A381,請求記録!$Z$6:$Z$3005,E$5,請求記録!$AF$6:$AF$3005,"保留中")&gt;0,"保留",IF(COUNTIFS(請求記録!$B$6:$B$3005,$A381,請求記録!$Z$6:$Z$3005,E$5)=0,"",SUMIFS(請求記録!$AE$6:$AE$3005,請求記録!$B$6:$B$3005,$A381,請求記録!$Z$6:$Z$3005,E$5))))</f>
        <v/>
      </c>
      <c r="F381" s="19">
        <f>IF($A381="","",IF(COUNTIFS(請求記録!$B$6:$B$3005,$A381,請求記録!$Z$6:$Z$3005,F$5,請求記録!$AF$6:$AF$3005,"保留中")&gt;0,"保留",IF(COUNTIFS(請求記録!$B$6:$B$3005,$A381,請求記録!$Z$6:$Z$3005,F$5)=0,"",SUMIFS(請求記録!$AE$6:$AE$3005,請求記録!$B$6:$B$3005,$A381,請求記録!$Z$6:$Z$3005,F$5))))</f>
        <v/>
      </c>
      <c r="G381" s="19">
        <f>IF($A381="","",IF(COUNTIFS(請求記録!$B$6:$B$3005,$A381,請求記録!$Z$6:$Z$3005,G$5,請求記録!$AF$6:$AF$3005,"保留中")&gt;0,"保留",IF(COUNTIFS(請求記録!$B$6:$B$3005,$A381,請求記録!$Z$6:$Z$3005,G$5)=0,"",SUMIFS(請求記録!$AE$6:$AE$3005,請求記録!$B$6:$B$3005,$A381,請求記録!$Z$6:$Z$3005,G$5))))</f>
        <v/>
      </c>
      <c r="H381" s="19">
        <f>IF($A381="","",IF(COUNTIFS(請求記録!$B$6:$B$3005,$A381,請求記録!$Z$6:$Z$3005,H$5,請求記録!$AF$6:$AF$3005,"保留中")&gt;0,"保留",IF(COUNTIFS(請求記録!$B$6:$B$3005,$A381,請求記録!$Z$6:$Z$3005,H$5)=0,"",SUMIFS(請求記録!$AE$6:$AE$3005,請求記録!$B$6:$B$3005,$A381,請求記録!$Z$6:$Z$3005,H$5))))</f>
        <v/>
      </c>
      <c r="I381" s="19">
        <f>IF($A381="","",IF(COUNTIFS(請求記録!$B$6:$B$3005,$A381,請求記録!$Z$6:$Z$3005,I$5,請求記録!$AF$6:$AF$3005,"保留中")&gt;0,"保留",IF(COUNTIFS(請求記録!$B$6:$B$3005,$A381,請求記録!$Z$6:$Z$3005,I$5)=0,"",SUMIFS(請求記録!$AE$6:$AE$3005,請求記録!$B$6:$B$3005,$A381,請求記録!$Z$6:$Z$3005,I$5))))</f>
        <v/>
      </c>
      <c r="J381" s="19">
        <f>IF($A381="","",IF(COUNTIFS(請求記録!$B$6:$B$3005,$A381,請求記録!$Z$6:$Z$3005,J$5,請求記録!$AF$6:$AF$3005,"保留中")&gt;0,"保留",IF(COUNTIFS(請求記録!$B$6:$B$3005,$A381,請求記録!$Z$6:$Z$3005,J$5)=0,"",SUMIFS(請求記録!$AE$6:$AE$3005,請求記録!$B$6:$B$3005,$A381,請求記録!$Z$6:$Z$3005,J$5))))</f>
        <v/>
      </c>
      <c r="K381" s="19">
        <f>IF($A381="","",IF(COUNTIFS(請求記録!$B$6:$B$3005,$A381,請求記録!$Z$6:$Z$3005,K$5,請求記録!$AF$6:$AF$3005,"保留中")&gt;0,"保留",IF(COUNTIFS(請求記録!$B$6:$B$3005,$A381,請求記録!$Z$6:$Z$3005,K$5)=0,"",SUMIFS(請求記録!$AE$6:$AE$3005,請求記録!$B$6:$B$3005,$A381,請求記録!$Z$6:$Z$3005,K$5))))</f>
        <v/>
      </c>
      <c r="L381" s="19">
        <f>IF($A381="","",IF(COUNTIFS(請求記録!$B$6:$B$3005,$A381,請求記録!$Z$6:$Z$3005,L$5,請求記録!$AF$6:$AF$3005,"保留中")&gt;0,"保留",IF(COUNTIFS(請求記録!$B$6:$B$3005,$A381,請求記録!$Z$6:$Z$3005,L$5)=0,"",SUMIFS(請求記録!$AE$6:$AE$3005,請求記録!$B$6:$B$3005,$A381,請求記録!$Z$6:$Z$3005,L$5))))</f>
        <v/>
      </c>
      <c r="M381" s="19">
        <f>IF($A381="","",IF(COUNTIFS(請求記録!$B$6:$B$3005,$A381,請求記録!$Z$6:$Z$3005,M$5,請求記録!$AF$6:$AF$3005,"保留中")&gt;0,"保留",IF(COUNTIFS(請求記録!$B$6:$B$3005,$A381,請求記録!$Z$6:$Z$3005,M$5)=0,"",SUMIFS(請求記録!$AE$6:$AE$3005,請求記録!$B$6:$B$3005,$A381,請求記録!$Z$6:$Z$3005,M$5))))</f>
        <v/>
      </c>
      <c r="N381" s="19">
        <f>IF($A381="","",IF(COUNTIFS(請求記録!$B$6:$B$3005,$A381,請求記録!$Z$6:$Z$3005,N$5,請求記録!$AF$6:$AF$3005,"保留中")&gt;0,"保留",IF(COUNTIFS(請求記録!$B$6:$B$3005,$A381,請求記録!$Z$6:$Z$3005,N$5)=0,"",SUMIFS(請求記録!$AE$6:$AE$3005,請求記録!$B$6:$B$3005,$A381,請求記録!$Z$6:$Z$3005,N$5))))</f>
        <v/>
      </c>
      <c r="O381" s="19">
        <f>IF($A381="","",IF(COUNTIFS(請求記録!$B$6:$B$3005,$A381,請求記録!$Z$6:$Z$3005,O$5,請求記録!$AF$6:$AF$3005,"保留中")&gt;0,"保留",IF(COUNTIFS(請求記録!$B$6:$B$3005,$A381,請求記録!$Z$6:$Z$3005,O$5)=0,"",SUMIFS(請求記録!$AE$6:$AE$3005,請求記録!$B$6:$B$3005,$A381,請求記録!$Z$6:$Z$3005,O$5))))</f>
        <v/>
      </c>
      <c r="P381" s="19">
        <f>IF($A381="","",IF(COUNTIFS(請求記録!$B$6:$B$3005,$A381,請求記録!$Z$6:$Z$3005,P$5,請求記録!$AF$6:$AF$3005,"保留中")&gt;0,"保留",IF(COUNTIFS(請求記録!$B$6:$B$3005,$A381,請求記録!$Z$6:$Z$3005,P$5)=0,"",SUMIFS(請求記録!$AE$6:$AE$3005,請求記録!$B$6:$B$3005,$A381,請求記録!$Z$6:$Z$3005,P$5))))</f>
        <v/>
      </c>
      <c r="Q381" s="19">
        <f>IF($A381="","",IF(COUNTIFS(請求記録!$B$6:$B$3005,$A381,請求記録!$Z$6:$Z$3005,Q$5,請求記録!$AF$6:$AF$3005,"保留中")&gt;0,"保留",IF(COUNTIFS(請求記録!$B$6:$B$3005,$A381,請求記録!$Z$6:$Z$3005,Q$5)=0,"",SUMIFS(請求記録!$AE$6:$AE$3005,請求記録!$B$6:$B$3005,$A381,請求記録!$Z$6:$Z$3005,Q$5))))</f>
        <v/>
      </c>
      <c r="R381" s="19">
        <f>IF($A381="","",IF(COUNTIFS(請求記録!$B$6:$B$3005,$A381,請求記録!$Z$6:$Z$3005,R$5,請求記録!$AF$6:$AF$3005,"保留中")&gt;0,"保留",IF(COUNTIFS(請求記録!$B$6:$B$3005,$A381,請求記録!$Z$6:$Z$3005,R$5)=0,"",SUMIFS(請求記録!$AE$6:$AE$3005,請求記録!$B$6:$B$3005,$A381,請求記録!$Z$6:$Z$3005,R$5))))</f>
        <v/>
      </c>
      <c r="S381" s="19">
        <f>IF($A381="","",IF(COUNTIFS(請求記録!$B$6:$B$3005,$A381,請求記録!$Z$6:$Z$3005,S$5,請求記録!$AF$6:$AF$3005,"保留中")&gt;0,"保留",IF(COUNTIFS(請求記録!$B$6:$B$3005,$A381,請求記録!$Z$6:$Z$3005,S$5)=0,"",SUMIFS(請求記録!$AE$6:$AE$3005,請求記録!$B$6:$B$3005,$A381,請求記録!$Z$6:$Z$3005,S$5))))</f>
        <v/>
      </c>
      <c r="T381" s="19">
        <f>IF($A381="","",IF(COUNTIFS(請求記録!$B$6:$B$3005,$A381,請求記録!$Z$6:$Z$3005,T$5,請求記録!$AF$6:$AF$3005,"保留中")&gt;0,"保留",IF(COUNTIFS(請求記録!$B$6:$B$3005,$A381,請求記録!$Z$6:$Z$3005,T$5)=0,"",SUMIFS(請求記録!$AE$6:$AE$3005,請求記録!$B$6:$B$3005,$A381,請求記録!$Z$6:$Z$3005,T$5))))</f>
        <v/>
      </c>
      <c r="U381" s="19">
        <f>IF($A381="","",IF(COUNTIFS(請求記録!$B$6:$B$3005,$A381,請求記録!$Z$6:$Z$3005,U$5,請求記録!$AF$6:$AF$3005,"保留中")&gt;0,"保留",IF(COUNTIFS(請求記録!$B$6:$B$3005,$A381,請求記録!$Z$6:$Z$3005,U$5)=0,"",SUMIFS(請求記録!$AE$6:$AE$3005,請求記録!$B$6:$B$3005,$A381,請求記録!$Z$6:$Z$3005,U$5))))</f>
        <v/>
      </c>
      <c r="V381" s="19">
        <f>IF($A381="","",IF(COUNTIFS(請求記録!$B$6:$B$3005,$A381,請求記録!$Z$6:$Z$3005,V$5,請求記録!$AF$6:$AF$3005,"保留中")&gt;0,"保留",IF(COUNTIFS(請求記録!$B$6:$B$3005,$A381,請求記録!$Z$6:$Z$3005,V$5)=0,"",SUMIFS(請求記録!$AE$6:$AE$3005,請求記録!$B$6:$B$3005,$A381,請求記録!$Z$6:$Z$3005,V$5))))</f>
        <v/>
      </c>
      <c r="W381" s="19">
        <f>IF($A381="","",IF(COUNTIFS(請求記録!$B$6:$B$3005,$A381,請求記録!$Z$6:$Z$3005,W$5,請求記録!$AF$6:$AF$3005,"保留中")&gt;0,"保留",IF(COUNTIFS(請求記録!$B$6:$B$3005,$A381,請求記録!$Z$6:$Z$3005,W$5)=0,"",SUMIFS(請求記録!$AE$6:$AE$3005,請求記録!$B$6:$B$3005,$A381,請求記録!$Z$6:$Z$3005,W$5))))</f>
        <v/>
      </c>
      <c r="X381" s="19">
        <f>IF($A381="","",IF(COUNTIFS(請求記録!$B$6:$B$3005,$A381,請求記録!$Z$6:$Z$3005,X$5,請求記録!$AF$6:$AF$3005,"保留中")&gt;0,"保留",IF(COUNTIFS(請求記録!$B$6:$B$3005,$A381,請求記録!$Z$6:$Z$3005,X$5)=0,"",SUMIFS(請求記録!$AE$6:$AE$3005,請求記録!$B$6:$B$3005,$A381,請求記録!$Z$6:$Z$3005,X$5))))</f>
        <v/>
      </c>
      <c r="Y381" s="19">
        <f>IF($A381="","",IF(COUNTIFS(請求記録!$B$6:$B$3005,$A381,請求記録!$Z$6:$Z$3005,Y$5,請求記録!$AF$6:$AF$3005,"保留中")&gt;0,"保留",IF(COUNTIFS(請求記録!$B$6:$B$3005,$A381,請求記録!$Z$6:$Z$3005,Y$5)=0,"",SUMIFS(請求記録!$AE$6:$AE$3005,請求記録!$B$6:$B$3005,$A381,請求記録!$Z$6:$Z$3005,Y$5))))</f>
        <v/>
      </c>
      <c r="Z381" s="19">
        <f>IF($A381="","",IF(COUNTIFS(請求記録!$B$6:$B$3005,$A381,請求記録!$Z$6:$Z$3005,Z$5,請求記録!$AF$6:$AF$3005,"保留中")&gt;0,"保留",IF(COUNTIFS(請求記録!$B$6:$B$3005,$A381,請求記録!$Z$6:$Z$3005,Z$5)=0,"",SUMIFS(請求記録!$AE$6:$AE$3005,請求記録!$B$6:$B$3005,$A381,請求記録!$Z$6:$Z$3005,Z$5))))</f>
        <v/>
      </c>
      <c r="AA381" s="19">
        <f>IF($A381="","",IF(COUNTIFS(請求記録!$B$6:$B$3005,$A381,請求記録!$Z$6:$Z$3005,AA$5,請求記録!$AF$6:$AF$3005,"保留中")&gt;0,"保留",IF(COUNTIFS(請求記録!$B$6:$B$3005,$A381,請求記録!$Z$6:$Z$3005,AA$5)=0,"",SUMIFS(請求記録!$AE$6:$AE$3005,請求記録!$B$6:$B$3005,$A381,請求記録!$Z$6:$Z$3005,AA$5))))</f>
        <v/>
      </c>
      <c r="AB381">
        <f>IF(職員マスタ!P381="保留中",職員マスタ!M381,"")</f>
        <v/>
      </c>
    </row>
    <row r="382">
      <c r="A382">
        <f>IF(職員マスタ!A382="","",職員マスタ!A382)</f>
        <v/>
      </c>
      <c r="B382">
        <f>IF($A382="","",職員マスタ!B382)</f>
        <v/>
      </c>
      <c r="C382">
        <f>IF($A382="","",職員マスタ!C382)</f>
        <v/>
      </c>
      <c r="D382" s="19">
        <f>IF($A382="","",IF(COUNTIFS(請求記録!$B$6:$B$3005,$A382,請求記録!$Z$6:$Z$3005,D$5,請求記録!$AF$6:$AF$3005,"保留中")&gt;0,"保留",IF(COUNTIFS(請求記録!$B$6:$B$3005,$A382,請求記録!$Z$6:$Z$3005,D$5)=0,"",SUMIFS(請求記録!$AE$6:$AE$3005,請求記録!$B$6:$B$3005,$A382,請求記録!$Z$6:$Z$3005,D$5))))</f>
        <v/>
      </c>
      <c r="E382" s="19">
        <f>IF($A382="","",IF(COUNTIFS(請求記録!$B$6:$B$3005,$A382,請求記録!$Z$6:$Z$3005,E$5,請求記録!$AF$6:$AF$3005,"保留中")&gt;0,"保留",IF(COUNTIFS(請求記録!$B$6:$B$3005,$A382,請求記録!$Z$6:$Z$3005,E$5)=0,"",SUMIFS(請求記録!$AE$6:$AE$3005,請求記録!$B$6:$B$3005,$A382,請求記録!$Z$6:$Z$3005,E$5))))</f>
        <v/>
      </c>
      <c r="F382" s="19">
        <f>IF($A382="","",IF(COUNTIFS(請求記録!$B$6:$B$3005,$A382,請求記録!$Z$6:$Z$3005,F$5,請求記録!$AF$6:$AF$3005,"保留中")&gt;0,"保留",IF(COUNTIFS(請求記録!$B$6:$B$3005,$A382,請求記録!$Z$6:$Z$3005,F$5)=0,"",SUMIFS(請求記録!$AE$6:$AE$3005,請求記録!$B$6:$B$3005,$A382,請求記録!$Z$6:$Z$3005,F$5))))</f>
        <v/>
      </c>
      <c r="G382" s="19">
        <f>IF($A382="","",IF(COUNTIFS(請求記録!$B$6:$B$3005,$A382,請求記録!$Z$6:$Z$3005,G$5,請求記録!$AF$6:$AF$3005,"保留中")&gt;0,"保留",IF(COUNTIFS(請求記録!$B$6:$B$3005,$A382,請求記録!$Z$6:$Z$3005,G$5)=0,"",SUMIFS(請求記録!$AE$6:$AE$3005,請求記録!$B$6:$B$3005,$A382,請求記録!$Z$6:$Z$3005,G$5))))</f>
        <v/>
      </c>
      <c r="H382" s="19">
        <f>IF($A382="","",IF(COUNTIFS(請求記録!$B$6:$B$3005,$A382,請求記録!$Z$6:$Z$3005,H$5,請求記録!$AF$6:$AF$3005,"保留中")&gt;0,"保留",IF(COUNTIFS(請求記録!$B$6:$B$3005,$A382,請求記録!$Z$6:$Z$3005,H$5)=0,"",SUMIFS(請求記録!$AE$6:$AE$3005,請求記録!$B$6:$B$3005,$A382,請求記録!$Z$6:$Z$3005,H$5))))</f>
        <v/>
      </c>
      <c r="I382" s="19">
        <f>IF($A382="","",IF(COUNTIFS(請求記録!$B$6:$B$3005,$A382,請求記録!$Z$6:$Z$3005,I$5,請求記録!$AF$6:$AF$3005,"保留中")&gt;0,"保留",IF(COUNTIFS(請求記録!$B$6:$B$3005,$A382,請求記録!$Z$6:$Z$3005,I$5)=0,"",SUMIFS(請求記録!$AE$6:$AE$3005,請求記録!$B$6:$B$3005,$A382,請求記録!$Z$6:$Z$3005,I$5))))</f>
        <v/>
      </c>
      <c r="J382" s="19">
        <f>IF($A382="","",IF(COUNTIFS(請求記録!$B$6:$B$3005,$A382,請求記録!$Z$6:$Z$3005,J$5,請求記録!$AF$6:$AF$3005,"保留中")&gt;0,"保留",IF(COUNTIFS(請求記録!$B$6:$B$3005,$A382,請求記録!$Z$6:$Z$3005,J$5)=0,"",SUMIFS(請求記録!$AE$6:$AE$3005,請求記録!$B$6:$B$3005,$A382,請求記録!$Z$6:$Z$3005,J$5))))</f>
        <v/>
      </c>
      <c r="K382" s="19">
        <f>IF($A382="","",IF(COUNTIFS(請求記録!$B$6:$B$3005,$A382,請求記録!$Z$6:$Z$3005,K$5,請求記録!$AF$6:$AF$3005,"保留中")&gt;0,"保留",IF(COUNTIFS(請求記録!$B$6:$B$3005,$A382,請求記録!$Z$6:$Z$3005,K$5)=0,"",SUMIFS(請求記録!$AE$6:$AE$3005,請求記録!$B$6:$B$3005,$A382,請求記録!$Z$6:$Z$3005,K$5))))</f>
        <v/>
      </c>
      <c r="L382" s="19">
        <f>IF($A382="","",IF(COUNTIFS(請求記録!$B$6:$B$3005,$A382,請求記録!$Z$6:$Z$3005,L$5,請求記録!$AF$6:$AF$3005,"保留中")&gt;0,"保留",IF(COUNTIFS(請求記録!$B$6:$B$3005,$A382,請求記録!$Z$6:$Z$3005,L$5)=0,"",SUMIFS(請求記録!$AE$6:$AE$3005,請求記録!$B$6:$B$3005,$A382,請求記録!$Z$6:$Z$3005,L$5))))</f>
        <v/>
      </c>
      <c r="M382" s="19">
        <f>IF($A382="","",IF(COUNTIFS(請求記録!$B$6:$B$3005,$A382,請求記録!$Z$6:$Z$3005,M$5,請求記録!$AF$6:$AF$3005,"保留中")&gt;0,"保留",IF(COUNTIFS(請求記録!$B$6:$B$3005,$A382,請求記録!$Z$6:$Z$3005,M$5)=0,"",SUMIFS(請求記録!$AE$6:$AE$3005,請求記録!$B$6:$B$3005,$A382,請求記録!$Z$6:$Z$3005,M$5))))</f>
        <v/>
      </c>
      <c r="N382" s="19">
        <f>IF($A382="","",IF(COUNTIFS(請求記録!$B$6:$B$3005,$A382,請求記録!$Z$6:$Z$3005,N$5,請求記録!$AF$6:$AF$3005,"保留中")&gt;0,"保留",IF(COUNTIFS(請求記録!$B$6:$B$3005,$A382,請求記録!$Z$6:$Z$3005,N$5)=0,"",SUMIFS(請求記録!$AE$6:$AE$3005,請求記録!$B$6:$B$3005,$A382,請求記録!$Z$6:$Z$3005,N$5))))</f>
        <v/>
      </c>
      <c r="O382" s="19">
        <f>IF($A382="","",IF(COUNTIFS(請求記録!$B$6:$B$3005,$A382,請求記録!$Z$6:$Z$3005,O$5,請求記録!$AF$6:$AF$3005,"保留中")&gt;0,"保留",IF(COUNTIFS(請求記録!$B$6:$B$3005,$A382,請求記録!$Z$6:$Z$3005,O$5)=0,"",SUMIFS(請求記録!$AE$6:$AE$3005,請求記録!$B$6:$B$3005,$A382,請求記録!$Z$6:$Z$3005,O$5))))</f>
        <v/>
      </c>
      <c r="P382" s="19">
        <f>IF($A382="","",IF(COUNTIFS(請求記録!$B$6:$B$3005,$A382,請求記録!$Z$6:$Z$3005,P$5,請求記録!$AF$6:$AF$3005,"保留中")&gt;0,"保留",IF(COUNTIFS(請求記録!$B$6:$B$3005,$A382,請求記録!$Z$6:$Z$3005,P$5)=0,"",SUMIFS(請求記録!$AE$6:$AE$3005,請求記録!$B$6:$B$3005,$A382,請求記録!$Z$6:$Z$3005,P$5))))</f>
        <v/>
      </c>
      <c r="Q382" s="19">
        <f>IF($A382="","",IF(COUNTIFS(請求記録!$B$6:$B$3005,$A382,請求記録!$Z$6:$Z$3005,Q$5,請求記録!$AF$6:$AF$3005,"保留中")&gt;0,"保留",IF(COUNTIFS(請求記録!$B$6:$B$3005,$A382,請求記録!$Z$6:$Z$3005,Q$5)=0,"",SUMIFS(請求記録!$AE$6:$AE$3005,請求記録!$B$6:$B$3005,$A382,請求記録!$Z$6:$Z$3005,Q$5))))</f>
        <v/>
      </c>
      <c r="R382" s="19">
        <f>IF($A382="","",IF(COUNTIFS(請求記録!$B$6:$B$3005,$A382,請求記録!$Z$6:$Z$3005,R$5,請求記録!$AF$6:$AF$3005,"保留中")&gt;0,"保留",IF(COUNTIFS(請求記録!$B$6:$B$3005,$A382,請求記録!$Z$6:$Z$3005,R$5)=0,"",SUMIFS(請求記録!$AE$6:$AE$3005,請求記録!$B$6:$B$3005,$A382,請求記録!$Z$6:$Z$3005,R$5))))</f>
        <v/>
      </c>
      <c r="S382" s="19">
        <f>IF($A382="","",IF(COUNTIFS(請求記録!$B$6:$B$3005,$A382,請求記録!$Z$6:$Z$3005,S$5,請求記録!$AF$6:$AF$3005,"保留中")&gt;0,"保留",IF(COUNTIFS(請求記録!$B$6:$B$3005,$A382,請求記録!$Z$6:$Z$3005,S$5)=0,"",SUMIFS(請求記録!$AE$6:$AE$3005,請求記録!$B$6:$B$3005,$A382,請求記録!$Z$6:$Z$3005,S$5))))</f>
        <v/>
      </c>
      <c r="T382" s="19">
        <f>IF($A382="","",IF(COUNTIFS(請求記録!$B$6:$B$3005,$A382,請求記録!$Z$6:$Z$3005,T$5,請求記録!$AF$6:$AF$3005,"保留中")&gt;0,"保留",IF(COUNTIFS(請求記録!$B$6:$B$3005,$A382,請求記録!$Z$6:$Z$3005,T$5)=0,"",SUMIFS(請求記録!$AE$6:$AE$3005,請求記録!$B$6:$B$3005,$A382,請求記録!$Z$6:$Z$3005,T$5))))</f>
        <v/>
      </c>
      <c r="U382" s="19">
        <f>IF($A382="","",IF(COUNTIFS(請求記録!$B$6:$B$3005,$A382,請求記録!$Z$6:$Z$3005,U$5,請求記録!$AF$6:$AF$3005,"保留中")&gt;0,"保留",IF(COUNTIFS(請求記録!$B$6:$B$3005,$A382,請求記録!$Z$6:$Z$3005,U$5)=0,"",SUMIFS(請求記録!$AE$6:$AE$3005,請求記録!$B$6:$B$3005,$A382,請求記録!$Z$6:$Z$3005,U$5))))</f>
        <v/>
      </c>
      <c r="V382" s="19">
        <f>IF($A382="","",IF(COUNTIFS(請求記録!$B$6:$B$3005,$A382,請求記録!$Z$6:$Z$3005,V$5,請求記録!$AF$6:$AF$3005,"保留中")&gt;0,"保留",IF(COUNTIFS(請求記録!$B$6:$B$3005,$A382,請求記録!$Z$6:$Z$3005,V$5)=0,"",SUMIFS(請求記録!$AE$6:$AE$3005,請求記録!$B$6:$B$3005,$A382,請求記録!$Z$6:$Z$3005,V$5))))</f>
        <v/>
      </c>
      <c r="W382" s="19">
        <f>IF($A382="","",IF(COUNTIFS(請求記録!$B$6:$B$3005,$A382,請求記録!$Z$6:$Z$3005,W$5,請求記録!$AF$6:$AF$3005,"保留中")&gt;0,"保留",IF(COUNTIFS(請求記録!$B$6:$B$3005,$A382,請求記録!$Z$6:$Z$3005,W$5)=0,"",SUMIFS(請求記録!$AE$6:$AE$3005,請求記録!$B$6:$B$3005,$A382,請求記録!$Z$6:$Z$3005,W$5))))</f>
        <v/>
      </c>
      <c r="X382" s="19">
        <f>IF($A382="","",IF(COUNTIFS(請求記録!$B$6:$B$3005,$A382,請求記録!$Z$6:$Z$3005,X$5,請求記録!$AF$6:$AF$3005,"保留中")&gt;0,"保留",IF(COUNTIFS(請求記録!$B$6:$B$3005,$A382,請求記録!$Z$6:$Z$3005,X$5)=0,"",SUMIFS(請求記録!$AE$6:$AE$3005,請求記録!$B$6:$B$3005,$A382,請求記録!$Z$6:$Z$3005,X$5))))</f>
        <v/>
      </c>
      <c r="Y382" s="19">
        <f>IF($A382="","",IF(COUNTIFS(請求記録!$B$6:$B$3005,$A382,請求記録!$Z$6:$Z$3005,Y$5,請求記録!$AF$6:$AF$3005,"保留中")&gt;0,"保留",IF(COUNTIFS(請求記録!$B$6:$B$3005,$A382,請求記録!$Z$6:$Z$3005,Y$5)=0,"",SUMIFS(請求記録!$AE$6:$AE$3005,請求記録!$B$6:$B$3005,$A382,請求記録!$Z$6:$Z$3005,Y$5))))</f>
        <v/>
      </c>
      <c r="Z382" s="19">
        <f>IF($A382="","",IF(COUNTIFS(請求記録!$B$6:$B$3005,$A382,請求記録!$Z$6:$Z$3005,Z$5,請求記録!$AF$6:$AF$3005,"保留中")&gt;0,"保留",IF(COUNTIFS(請求記録!$B$6:$B$3005,$A382,請求記録!$Z$6:$Z$3005,Z$5)=0,"",SUMIFS(請求記録!$AE$6:$AE$3005,請求記録!$B$6:$B$3005,$A382,請求記録!$Z$6:$Z$3005,Z$5))))</f>
        <v/>
      </c>
      <c r="AA382" s="19">
        <f>IF($A382="","",IF(COUNTIFS(請求記録!$B$6:$B$3005,$A382,請求記録!$Z$6:$Z$3005,AA$5,請求記録!$AF$6:$AF$3005,"保留中")&gt;0,"保留",IF(COUNTIFS(請求記録!$B$6:$B$3005,$A382,請求記録!$Z$6:$Z$3005,AA$5)=0,"",SUMIFS(請求記録!$AE$6:$AE$3005,請求記録!$B$6:$B$3005,$A382,請求記録!$Z$6:$Z$3005,AA$5))))</f>
        <v/>
      </c>
      <c r="AB382">
        <f>IF(職員マスタ!P382="保留中",職員マスタ!M382,"")</f>
        <v/>
      </c>
    </row>
    <row r="383">
      <c r="A383">
        <f>IF(職員マスタ!A383="","",職員マスタ!A383)</f>
        <v/>
      </c>
      <c r="B383">
        <f>IF($A383="","",職員マスタ!B383)</f>
        <v/>
      </c>
      <c r="C383">
        <f>IF($A383="","",職員マスタ!C383)</f>
        <v/>
      </c>
      <c r="D383" s="19">
        <f>IF($A383="","",IF(COUNTIFS(請求記録!$B$6:$B$3005,$A383,請求記録!$Z$6:$Z$3005,D$5,請求記録!$AF$6:$AF$3005,"保留中")&gt;0,"保留",IF(COUNTIFS(請求記録!$B$6:$B$3005,$A383,請求記録!$Z$6:$Z$3005,D$5)=0,"",SUMIFS(請求記録!$AE$6:$AE$3005,請求記録!$B$6:$B$3005,$A383,請求記録!$Z$6:$Z$3005,D$5))))</f>
        <v/>
      </c>
      <c r="E383" s="19">
        <f>IF($A383="","",IF(COUNTIFS(請求記録!$B$6:$B$3005,$A383,請求記録!$Z$6:$Z$3005,E$5,請求記録!$AF$6:$AF$3005,"保留中")&gt;0,"保留",IF(COUNTIFS(請求記録!$B$6:$B$3005,$A383,請求記録!$Z$6:$Z$3005,E$5)=0,"",SUMIFS(請求記録!$AE$6:$AE$3005,請求記録!$B$6:$B$3005,$A383,請求記録!$Z$6:$Z$3005,E$5))))</f>
        <v/>
      </c>
      <c r="F383" s="19">
        <f>IF($A383="","",IF(COUNTIFS(請求記録!$B$6:$B$3005,$A383,請求記録!$Z$6:$Z$3005,F$5,請求記録!$AF$6:$AF$3005,"保留中")&gt;0,"保留",IF(COUNTIFS(請求記録!$B$6:$B$3005,$A383,請求記録!$Z$6:$Z$3005,F$5)=0,"",SUMIFS(請求記録!$AE$6:$AE$3005,請求記録!$B$6:$B$3005,$A383,請求記録!$Z$6:$Z$3005,F$5))))</f>
        <v/>
      </c>
      <c r="G383" s="19">
        <f>IF($A383="","",IF(COUNTIFS(請求記録!$B$6:$B$3005,$A383,請求記録!$Z$6:$Z$3005,G$5,請求記録!$AF$6:$AF$3005,"保留中")&gt;0,"保留",IF(COUNTIFS(請求記録!$B$6:$B$3005,$A383,請求記録!$Z$6:$Z$3005,G$5)=0,"",SUMIFS(請求記録!$AE$6:$AE$3005,請求記録!$B$6:$B$3005,$A383,請求記録!$Z$6:$Z$3005,G$5))))</f>
        <v/>
      </c>
      <c r="H383" s="19">
        <f>IF($A383="","",IF(COUNTIFS(請求記録!$B$6:$B$3005,$A383,請求記録!$Z$6:$Z$3005,H$5,請求記録!$AF$6:$AF$3005,"保留中")&gt;0,"保留",IF(COUNTIFS(請求記録!$B$6:$B$3005,$A383,請求記録!$Z$6:$Z$3005,H$5)=0,"",SUMIFS(請求記録!$AE$6:$AE$3005,請求記録!$B$6:$B$3005,$A383,請求記録!$Z$6:$Z$3005,H$5))))</f>
        <v/>
      </c>
      <c r="I383" s="19">
        <f>IF($A383="","",IF(COUNTIFS(請求記録!$B$6:$B$3005,$A383,請求記録!$Z$6:$Z$3005,I$5,請求記録!$AF$6:$AF$3005,"保留中")&gt;0,"保留",IF(COUNTIFS(請求記録!$B$6:$B$3005,$A383,請求記録!$Z$6:$Z$3005,I$5)=0,"",SUMIFS(請求記録!$AE$6:$AE$3005,請求記録!$B$6:$B$3005,$A383,請求記録!$Z$6:$Z$3005,I$5))))</f>
        <v/>
      </c>
      <c r="J383" s="19">
        <f>IF($A383="","",IF(COUNTIFS(請求記録!$B$6:$B$3005,$A383,請求記録!$Z$6:$Z$3005,J$5,請求記録!$AF$6:$AF$3005,"保留中")&gt;0,"保留",IF(COUNTIFS(請求記録!$B$6:$B$3005,$A383,請求記録!$Z$6:$Z$3005,J$5)=0,"",SUMIFS(請求記録!$AE$6:$AE$3005,請求記録!$B$6:$B$3005,$A383,請求記録!$Z$6:$Z$3005,J$5))))</f>
        <v/>
      </c>
      <c r="K383" s="19">
        <f>IF($A383="","",IF(COUNTIFS(請求記録!$B$6:$B$3005,$A383,請求記録!$Z$6:$Z$3005,K$5,請求記録!$AF$6:$AF$3005,"保留中")&gt;0,"保留",IF(COUNTIFS(請求記録!$B$6:$B$3005,$A383,請求記録!$Z$6:$Z$3005,K$5)=0,"",SUMIFS(請求記録!$AE$6:$AE$3005,請求記録!$B$6:$B$3005,$A383,請求記録!$Z$6:$Z$3005,K$5))))</f>
        <v/>
      </c>
      <c r="L383" s="19">
        <f>IF($A383="","",IF(COUNTIFS(請求記録!$B$6:$B$3005,$A383,請求記録!$Z$6:$Z$3005,L$5,請求記録!$AF$6:$AF$3005,"保留中")&gt;0,"保留",IF(COUNTIFS(請求記録!$B$6:$B$3005,$A383,請求記録!$Z$6:$Z$3005,L$5)=0,"",SUMIFS(請求記録!$AE$6:$AE$3005,請求記録!$B$6:$B$3005,$A383,請求記録!$Z$6:$Z$3005,L$5))))</f>
        <v/>
      </c>
      <c r="M383" s="19">
        <f>IF($A383="","",IF(COUNTIFS(請求記録!$B$6:$B$3005,$A383,請求記録!$Z$6:$Z$3005,M$5,請求記録!$AF$6:$AF$3005,"保留中")&gt;0,"保留",IF(COUNTIFS(請求記録!$B$6:$B$3005,$A383,請求記録!$Z$6:$Z$3005,M$5)=0,"",SUMIFS(請求記録!$AE$6:$AE$3005,請求記録!$B$6:$B$3005,$A383,請求記録!$Z$6:$Z$3005,M$5))))</f>
        <v/>
      </c>
      <c r="N383" s="19">
        <f>IF($A383="","",IF(COUNTIFS(請求記録!$B$6:$B$3005,$A383,請求記録!$Z$6:$Z$3005,N$5,請求記録!$AF$6:$AF$3005,"保留中")&gt;0,"保留",IF(COUNTIFS(請求記録!$B$6:$B$3005,$A383,請求記録!$Z$6:$Z$3005,N$5)=0,"",SUMIFS(請求記録!$AE$6:$AE$3005,請求記録!$B$6:$B$3005,$A383,請求記録!$Z$6:$Z$3005,N$5))))</f>
        <v/>
      </c>
      <c r="O383" s="19">
        <f>IF($A383="","",IF(COUNTIFS(請求記録!$B$6:$B$3005,$A383,請求記録!$Z$6:$Z$3005,O$5,請求記録!$AF$6:$AF$3005,"保留中")&gt;0,"保留",IF(COUNTIFS(請求記録!$B$6:$B$3005,$A383,請求記録!$Z$6:$Z$3005,O$5)=0,"",SUMIFS(請求記録!$AE$6:$AE$3005,請求記録!$B$6:$B$3005,$A383,請求記録!$Z$6:$Z$3005,O$5))))</f>
        <v/>
      </c>
      <c r="P383" s="19">
        <f>IF($A383="","",IF(COUNTIFS(請求記録!$B$6:$B$3005,$A383,請求記録!$Z$6:$Z$3005,P$5,請求記録!$AF$6:$AF$3005,"保留中")&gt;0,"保留",IF(COUNTIFS(請求記録!$B$6:$B$3005,$A383,請求記録!$Z$6:$Z$3005,P$5)=0,"",SUMIFS(請求記録!$AE$6:$AE$3005,請求記録!$B$6:$B$3005,$A383,請求記録!$Z$6:$Z$3005,P$5))))</f>
        <v/>
      </c>
      <c r="Q383" s="19">
        <f>IF($A383="","",IF(COUNTIFS(請求記録!$B$6:$B$3005,$A383,請求記録!$Z$6:$Z$3005,Q$5,請求記録!$AF$6:$AF$3005,"保留中")&gt;0,"保留",IF(COUNTIFS(請求記録!$B$6:$B$3005,$A383,請求記録!$Z$6:$Z$3005,Q$5)=0,"",SUMIFS(請求記録!$AE$6:$AE$3005,請求記録!$B$6:$B$3005,$A383,請求記録!$Z$6:$Z$3005,Q$5))))</f>
        <v/>
      </c>
      <c r="R383" s="19">
        <f>IF($A383="","",IF(COUNTIFS(請求記録!$B$6:$B$3005,$A383,請求記録!$Z$6:$Z$3005,R$5,請求記録!$AF$6:$AF$3005,"保留中")&gt;0,"保留",IF(COUNTIFS(請求記録!$B$6:$B$3005,$A383,請求記録!$Z$6:$Z$3005,R$5)=0,"",SUMIFS(請求記録!$AE$6:$AE$3005,請求記録!$B$6:$B$3005,$A383,請求記録!$Z$6:$Z$3005,R$5))))</f>
        <v/>
      </c>
      <c r="S383" s="19">
        <f>IF($A383="","",IF(COUNTIFS(請求記録!$B$6:$B$3005,$A383,請求記録!$Z$6:$Z$3005,S$5,請求記録!$AF$6:$AF$3005,"保留中")&gt;0,"保留",IF(COUNTIFS(請求記録!$B$6:$B$3005,$A383,請求記録!$Z$6:$Z$3005,S$5)=0,"",SUMIFS(請求記録!$AE$6:$AE$3005,請求記録!$B$6:$B$3005,$A383,請求記録!$Z$6:$Z$3005,S$5))))</f>
        <v/>
      </c>
      <c r="T383" s="19">
        <f>IF($A383="","",IF(COUNTIFS(請求記録!$B$6:$B$3005,$A383,請求記録!$Z$6:$Z$3005,T$5,請求記録!$AF$6:$AF$3005,"保留中")&gt;0,"保留",IF(COUNTIFS(請求記録!$B$6:$B$3005,$A383,請求記録!$Z$6:$Z$3005,T$5)=0,"",SUMIFS(請求記録!$AE$6:$AE$3005,請求記録!$B$6:$B$3005,$A383,請求記録!$Z$6:$Z$3005,T$5))))</f>
        <v/>
      </c>
      <c r="U383" s="19">
        <f>IF($A383="","",IF(COUNTIFS(請求記録!$B$6:$B$3005,$A383,請求記録!$Z$6:$Z$3005,U$5,請求記録!$AF$6:$AF$3005,"保留中")&gt;0,"保留",IF(COUNTIFS(請求記録!$B$6:$B$3005,$A383,請求記録!$Z$6:$Z$3005,U$5)=0,"",SUMIFS(請求記録!$AE$6:$AE$3005,請求記録!$B$6:$B$3005,$A383,請求記録!$Z$6:$Z$3005,U$5))))</f>
        <v/>
      </c>
      <c r="V383" s="19">
        <f>IF($A383="","",IF(COUNTIFS(請求記録!$B$6:$B$3005,$A383,請求記録!$Z$6:$Z$3005,V$5,請求記録!$AF$6:$AF$3005,"保留中")&gt;0,"保留",IF(COUNTIFS(請求記録!$B$6:$B$3005,$A383,請求記録!$Z$6:$Z$3005,V$5)=0,"",SUMIFS(請求記録!$AE$6:$AE$3005,請求記録!$B$6:$B$3005,$A383,請求記録!$Z$6:$Z$3005,V$5))))</f>
        <v/>
      </c>
      <c r="W383" s="19">
        <f>IF($A383="","",IF(COUNTIFS(請求記録!$B$6:$B$3005,$A383,請求記録!$Z$6:$Z$3005,W$5,請求記録!$AF$6:$AF$3005,"保留中")&gt;0,"保留",IF(COUNTIFS(請求記録!$B$6:$B$3005,$A383,請求記録!$Z$6:$Z$3005,W$5)=0,"",SUMIFS(請求記録!$AE$6:$AE$3005,請求記録!$B$6:$B$3005,$A383,請求記録!$Z$6:$Z$3005,W$5))))</f>
        <v/>
      </c>
      <c r="X383" s="19">
        <f>IF($A383="","",IF(COUNTIFS(請求記録!$B$6:$B$3005,$A383,請求記録!$Z$6:$Z$3005,X$5,請求記録!$AF$6:$AF$3005,"保留中")&gt;0,"保留",IF(COUNTIFS(請求記録!$B$6:$B$3005,$A383,請求記録!$Z$6:$Z$3005,X$5)=0,"",SUMIFS(請求記録!$AE$6:$AE$3005,請求記録!$B$6:$B$3005,$A383,請求記録!$Z$6:$Z$3005,X$5))))</f>
        <v/>
      </c>
      <c r="Y383" s="19">
        <f>IF($A383="","",IF(COUNTIFS(請求記録!$B$6:$B$3005,$A383,請求記録!$Z$6:$Z$3005,Y$5,請求記録!$AF$6:$AF$3005,"保留中")&gt;0,"保留",IF(COUNTIFS(請求記録!$B$6:$B$3005,$A383,請求記録!$Z$6:$Z$3005,Y$5)=0,"",SUMIFS(請求記録!$AE$6:$AE$3005,請求記録!$B$6:$B$3005,$A383,請求記録!$Z$6:$Z$3005,Y$5))))</f>
        <v/>
      </c>
      <c r="Z383" s="19">
        <f>IF($A383="","",IF(COUNTIFS(請求記録!$B$6:$B$3005,$A383,請求記録!$Z$6:$Z$3005,Z$5,請求記録!$AF$6:$AF$3005,"保留中")&gt;0,"保留",IF(COUNTIFS(請求記録!$B$6:$B$3005,$A383,請求記録!$Z$6:$Z$3005,Z$5)=0,"",SUMIFS(請求記録!$AE$6:$AE$3005,請求記録!$B$6:$B$3005,$A383,請求記録!$Z$6:$Z$3005,Z$5))))</f>
        <v/>
      </c>
      <c r="AA383" s="19">
        <f>IF($A383="","",IF(COUNTIFS(請求記録!$B$6:$B$3005,$A383,請求記録!$Z$6:$Z$3005,AA$5,請求記録!$AF$6:$AF$3005,"保留中")&gt;0,"保留",IF(COUNTIFS(請求記録!$B$6:$B$3005,$A383,請求記録!$Z$6:$Z$3005,AA$5)=0,"",SUMIFS(請求記録!$AE$6:$AE$3005,請求記録!$B$6:$B$3005,$A383,請求記録!$Z$6:$Z$3005,AA$5))))</f>
        <v/>
      </c>
      <c r="AB383">
        <f>IF(職員マスタ!P383="保留中",職員マスタ!M383,"")</f>
        <v/>
      </c>
    </row>
    <row r="384">
      <c r="A384">
        <f>IF(職員マスタ!A384="","",職員マスタ!A384)</f>
        <v/>
      </c>
      <c r="B384">
        <f>IF($A384="","",職員マスタ!B384)</f>
        <v/>
      </c>
      <c r="C384">
        <f>IF($A384="","",職員マスタ!C384)</f>
        <v/>
      </c>
      <c r="D384" s="19">
        <f>IF($A384="","",IF(COUNTIFS(請求記録!$B$6:$B$3005,$A384,請求記録!$Z$6:$Z$3005,D$5,請求記録!$AF$6:$AF$3005,"保留中")&gt;0,"保留",IF(COUNTIFS(請求記録!$B$6:$B$3005,$A384,請求記録!$Z$6:$Z$3005,D$5)=0,"",SUMIFS(請求記録!$AE$6:$AE$3005,請求記録!$B$6:$B$3005,$A384,請求記録!$Z$6:$Z$3005,D$5))))</f>
        <v/>
      </c>
      <c r="E384" s="19">
        <f>IF($A384="","",IF(COUNTIFS(請求記録!$B$6:$B$3005,$A384,請求記録!$Z$6:$Z$3005,E$5,請求記録!$AF$6:$AF$3005,"保留中")&gt;0,"保留",IF(COUNTIFS(請求記録!$B$6:$B$3005,$A384,請求記録!$Z$6:$Z$3005,E$5)=0,"",SUMIFS(請求記録!$AE$6:$AE$3005,請求記録!$B$6:$B$3005,$A384,請求記録!$Z$6:$Z$3005,E$5))))</f>
        <v/>
      </c>
      <c r="F384" s="19">
        <f>IF($A384="","",IF(COUNTIFS(請求記録!$B$6:$B$3005,$A384,請求記録!$Z$6:$Z$3005,F$5,請求記録!$AF$6:$AF$3005,"保留中")&gt;0,"保留",IF(COUNTIFS(請求記録!$B$6:$B$3005,$A384,請求記録!$Z$6:$Z$3005,F$5)=0,"",SUMIFS(請求記録!$AE$6:$AE$3005,請求記録!$B$6:$B$3005,$A384,請求記録!$Z$6:$Z$3005,F$5))))</f>
        <v/>
      </c>
      <c r="G384" s="19">
        <f>IF($A384="","",IF(COUNTIFS(請求記録!$B$6:$B$3005,$A384,請求記録!$Z$6:$Z$3005,G$5,請求記録!$AF$6:$AF$3005,"保留中")&gt;0,"保留",IF(COUNTIFS(請求記録!$B$6:$B$3005,$A384,請求記録!$Z$6:$Z$3005,G$5)=0,"",SUMIFS(請求記録!$AE$6:$AE$3005,請求記録!$B$6:$B$3005,$A384,請求記録!$Z$6:$Z$3005,G$5))))</f>
        <v/>
      </c>
      <c r="H384" s="19">
        <f>IF($A384="","",IF(COUNTIFS(請求記録!$B$6:$B$3005,$A384,請求記録!$Z$6:$Z$3005,H$5,請求記録!$AF$6:$AF$3005,"保留中")&gt;0,"保留",IF(COUNTIFS(請求記録!$B$6:$B$3005,$A384,請求記録!$Z$6:$Z$3005,H$5)=0,"",SUMIFS(請求記録!$AE$6:$AE$3005,請求記録!$B$6:$B$3005,$A384,請求記録!$Z$6:$Z$3005,H$5))))</f>
        <v/>
      </c>
      <c r="I384" s="19">
        <f>IF($A384="","",IF(COUNTIFS(請求記録!$B$6:$B$3005,$A384,請求記録!$Z$6:$Z$3005,I$5,請求記録!$AF$6:$AF$3005,"保留中")&gt;0,"保留",IF(COUNTIFS(請求記録!$B$6:$B$3005,$A384,請求記録!$Z$6:$Z$3005,I$5)=0,"",SUMIFS(請求記録!$AE$6:$AE$3005,請求記録!$B$6:$B$3005,$A384,請求記録!$Z$6:$Z$3005,I$5))))</f>
        <v/>
      </c>
      <c r="J384" s="19">
        <f>IF($A384="","",IF(COUNTIFS(請求記録!$B$6:$B$3005,$A384,請求記録!$Z$6:$Z$3005,J$5,請求記録!$AF$6:$AF$3005,"保留中")&gt;0,"保留",IF(COUNTIFS(請求記録!$B$6:$B$3005,$A384,請求記録!$Z$6:$Z$3005,J$5)=0,"",SUMIFS(請求記録!$AE$6:$AE$3005,請求記録!$B$6:$B$3005,$A384,請求記録!$Z$6:$Z$3005,J$5))))</f>
        <v/>
      </c>
      <c r="K384" s="19">
        <f>IF($A384="","",IF(COUNTIFS(請求記録!$B$6:$B$3005,$A384,請求記録!$Z$6:$Z$3005,K$5,請求記録!$AF$6:$AF$3005,"保留中")&gt;0,"保留",IF(COUNTIFS(請求記録!$B$6:$B$3005,$A384,請求記録!$Z$6:$Z$3005,K$5)=0,"",SUMIFS(請求記録!$AE$6:$AE$3005,請求記録!$B$6:$B$3005,$A384,請求記録!$Z$6:$Z$3005,K$5))))</f>
        <v/>
      </c>
      <c r="L384" s="19">
        <f>IF($A384="","",IF(COUNTIFS(請求記録!$B$6:$B$3005,$A384,請求記録!$Z$6:$Z$3005,L$5,請求記録!$AF$6:$AF$3005,"保留中")&gt;0,"保留",IF(COUNTIFS(請求記録!$B$6:$B$3005,$A384,請求記録!$Z$6:$Z$3005,L$5)=0,"",SUMIFS(請求記録!$AE$6:$AE$3005,請求記録!$B$6:$B$3005,$A384,請求記録!$Z$6:$Z$3005,L$5))))</f>
        <v/>
      </c>
      <c r="M384" s="19">
        <f>IF($A384="","",IF(COUNTIFS(請求記録!$B$6:$B$3005,$A384,請求記録!$Z$6:$Z$3005,M$5,請求記録!$AF$6:$AF$3005,"保留中")&gt;0,"保留",IF(COUNTIFS(請求記録!$B$6:$B$3005,$A384,請求記録!$Z$6:$Z$3005,M$5)=0,"",SUMIFS(請求記録!$AE$6:$AE$3005,請求記録!$B$6:$B$3005,$A384,請求記録!$Z$6:$Z$3005,M$5))))</f>
        <v/>
      </c>
      <c r="N384" s="19">
        <f>IF($A384="","",IF(COUNTIFS(請求記録!$B$6:$B$3005,$A384,請求記録!$Z$6:$Z$3005,N$5,請求記録!$AF$6:$AF$3005,"保留中")&gt;0,"保留",IF(COUNTIFS(請求記録!$B$6:$B$3005,$A384,請求記録!$Z$6:$Z$3005,N$5)=0,"",SUMIFS(請求記録!$AE$6:$AE$3005,請求記録!$B$6:$B$3005,$A384,請求記録!$Z$6:$Z$3005,N$5))))</f>
        <v/>
      </c>
      <c r="O384" s="19">
        <f>IF($A384="","",IF(COUNTIFS(請求記録!$B$6:$B$3005,$A384,請求記録!$Z$6:$Z$3005,O$5,請求記録!$AF$6:$AF$3005,"保留中")&gt;0,"保留",IF(COUNTIFS(請求記録!$B$6:$B$3005,$A384,請求記録!$Z$6:$Z$3005,O$5)=0,"",SUMIFS(請求記録!$AE$6:$AE$3005,請求記録!$B$6:$B$3005,$A384,請求記録!$Z$6:$Z$3005,O$5))))</f>
        <v/>
      </c>
      <c r="P384" s="19">
        <f>IF($A384="","",IF(COUNTIFS(請求記録!$B$6:$B$3005,$A384,請求記録!$Z$6:$Z$3005,P$5,請求記録!$AF$6:$AF$3005,"保留中")&gt;0,"保留",IF(COUNTIFS(請求記録!$B$6:$B$3005,$A384,請求記録!$Z$6:$Z$3005,P$5)=0,"",SUMIFS(請求記録!$AE$6:$AE$3005,請求記録!$B$6:$B$3005,$A384,請求記録!$Z$6:$Z$3005,P$5))))</f>
        <v/>
      </c>
      <c r="Q384" s="19">
        <f>IF($A384="","",IF(COUNTIFS(請求記録!$B$6:$B$3005,$A384,請求記録!$Z$6:$Z$3005,Q$5,請求記録!$AF$6:$AF$3005,"保留中")&gt;0,"保留",IF(COUNTIFS(請求記録!$B$6:$B$3005,$A384,請求記録!$Z$6:$Z$3005,Q$5)=0,"",SUMIFS(請求記録!$AE$6:$AE$3005,請求記録!$B$6:$B$3005,$A384,請求記録!$Z$6:$Z$3005,Q$5))))</f>
        <v/>
      </c>
      <c r="R384" s="19">
        <f>IF($A384="","",IF(COUNTIFS(請求記録!$B$6:$B$3005,$A384,請求記録!$Z$6:$Z$3005,R$5,請求記録!$AF$6:$AF$3005,"保留中")&gt;0,"保留",IF(COUNTIFS(請求記録!$B$6:$B$3005,$A384,請求記録!$Z$6:$Z$3005,R$5)=0,"",SUMIFS(請求記録!$AE$6:$AE$3005,請求記録!$B$6:$B$3005,$A384,請求記録!$Z$6:$Z$3005,R$5))))</f>
        <v/>
      </c>
      <c r="S384" s="19">
        <f>IF($A384="","",IF(COUNTIFS(請求記録!$B$6:$B$3005,$A384,請求記録!$Z$6:$Z$3005,S$5,請求記録!$AF$6:$AF$3005,"保留中")&gt;0,"保留",IF(COUNTIFS(請求記録!$B$6:$B$3005,$A384,請求記録!$Z$6:$Z$3005,S$5)=0,"",SUMIFS(請求記録!$AE$6:$AE$3005,請求記録!$B$6:$B$3005,$A384,請求記録!$Z$6:$Z$3005,S$5))))</f>
        <v/>
      </c>
      <c r="T384" s="19">
        <f>IF($A384="","",IF(COUNTIFS(請求記録!$B$6:$B$3005,$A384,請求記録!$Z$6:$Z$3005,T$5,請求記録!$AF$6:$AF$3005,"保留中")&gt;0,"保留",IF(COUNTIFS(請求記録!$B$6:$B$3005,$A384,請求記録!$Z$6:$Z$3005,T$5)=0,"",SUMIFS(請求記録!$AE$6:$AE$3005,請求記録!$B$6:$B$3005,$A384,請求記録!$Z$6:$Z$3005,T$5))))</f>
        <v/>
      </c>
      <c r="U384" s="19">
        <f>IF($A384="","",IF(COUNTIFS(請求記録!$B$6:$B$3005,$A384,請求記録!$Z$6:$Z$3005,U$5,請求記録!$AF$6:$AF$3005,"保留中")&gt;0,"保留",IF(COUNTIFS(請求記録!$B$6:$B$3005,$A384,請求記録!$Z$6:$Z$3005,U$5)=0,"",SUMIFS(請求記録!$AE$6:$AE$3005,請求記録!$B$6:$B$3005,$A384,請求記録!$Z$6:$Z$3005,U$5))))</f>
        <v/>
      </c>
      <c r="V384" s="19">
        <f>IF($A384="","",IF(COUNTIFS(請求記録!$B$6:$B$3005,$A384,請求記録!$Z$6:$Z$3005,V$5,請求記録!$AF$6:$AF$3005,"保留中")&gt;0,"保留",IF(COUNTIFS(請求記録!$B$6:$B$3005,$A384,請求記録!$Z$6:$Z$3005,V$5)=0,"",SUMIFS(請求記録!$AE$6:$AE$3005,請求記録!$B$6:$B$3005,$A384,請求記録!$Z$6:$Z$3005,V$5))))</f>
        <v/>
      </c>
      <c r="W384" s="19">
        <f>IF($A384="","",IF(COUNTIFS(請求記録!$B$6:$B$3005,$A384,請求記録!$Z$6:$Z$3005,W$5,請求記録!$AF$6:$AF$3005,"保留中")&gt;0,"保留",IF(COUNTIFS(請求記録!$B$6:$B$3005,$A384,請求記録!$Z$6:$Z$3005,W$5)=0,"",SUMIFS(請求記録!$AE$6:$AE$3005,請求記録!$B$6:$B$3005,$A384,請求記録!$Z$6:$Z$3005,W$5))))</f>
        <v/>
      </c>
      <c r="X384" s="19">
        <f>IF($A384="","",IF(COUNTIFS(請求記録!$B$6:$B$3005,$A384,請求記録!$Z$6:$Z$3005,X$5,請求記録!$AF$6:$AF$3005,"保留中")&gt;0,"保留",IF(COUNTIFS(請求記録!$B$6:$B$3005,$A384,請求記録!$Z$6:$Z$3005,X$5)=0,"",SUMIFS(請求記録!$AE$6:$AE$3005,請求記録!$B$6:$B$3005,$A384,請求記録!$Z$6:$Z$3005,X$5))))</f>
        <v/>
      </c>
      <c r="Y384" s="19">
        <f>IF($A384="","",IF(COUNTIFS(請求記録!$B$6:$B$3005,$A384,請求記録!$Z$6:$Z$3005,Y$5,請求記録!$AF$6:$AF$3005,"保留中")&gt;0,"保留",IF(COUNTIFS(請求記録!$B$6:$B$3005,$A384,請求記録!$Z$6:$Z$3005,Y$5)=0,"",SUMIFS(請求記録!$AE$6:$AE$3005,請求記録!$B$6:$B$3005,$A384,請求記録!$Z$6:$Z$3005,Y$5))))</f>
        <v/>
      </c>
      <c r="Z384" s="19">
        <f>IF($A384="","",IF(COUNTIFS(請求記録!$B$6:$B$3005,$A384,請求記録!$Z$6:$Z$3005,Z$5,請求記録!$AF$6:$AF$3005,"保留中")&gt;0,"保留",IF(COUNTIFS(請求記録!$B$6:$B$3005,$A384,請求記録!$Z$6:$Z$3005,Z$5)=0,"",SUMIFS(請求記録!$AE$6:$AE$3005,請求記録!$B$6:$B$3005,$A384,請求記録!$Z$6:$Z$3005,Z$5))))</f>
        <v/>
      </c>
      <c r="AA384" s="19">
        <f>IF($A384="","",IF(COUNTIFS(請求記録!$B$6:$B$3005,$A384,請求記録!$Z$6:$Z$3005,AA$5,請求記録!$AF$6:$AF$3005,"保留中")&gt;0,"保留",IF(COUNTIFS(請求記録!$B$6:$B$3005,$A384,請求記録!$Z$6:$Z$3005,AA$5)=0,"",SUMIFS(請求記録!$AE$6:$AE$3005,請求記録!$B$6:$B$3005,$A384,請求記録!$Z$6:$Z$3005,AA$5))))</f>
        <v/>
      </c>
      <c r="AB384">
        <f>IF(職員マスタ!P384="保留中",職員マスタ!M384,"")</f>
        <v/>
      </c>
    </row>
    <row r="385">
      <c r="A385">
        <f>IF(職員マスタ!A385="","",職員マスタ!A385)</f>
        <v/>
      </c>
      <c r="B385">
        <f>IF($A385="","",職員マスタ!B385)</f>
        <v/>
      </c>
      <c r="C385">
        <f>IF($A385="","",職員マスタ!C385)</f>
        <v/>
      </c>
      <c r="D385" s="19">
        <f>IF($A385="","",IF(COUNTIFS(請求記録!$B$6:$B$3005,$A385,請求記録!$Z$6:$Z$3005,D$5,請求記録!$AF$6:$AF$3005,"保留中")&gt;0,"保留",IF(COUNTIFS(請求記録!$B$6:$B$3005,$A385,請求記録!$Z$6:$Z$3005,D$5)=0,"",SUMIFS(請求記録!$AE$6:$AE$3005,請求記録!$B$6:$B$3005,$A385,請求記録!$Z$6:$Z$3005,D$5))))</f>
        <v/>
      </c>
      <c r="E385" s="19">
        <f>IF($A385="","",IF(COUNTIFS(請求記録!$B$6:$B$3005,$A385,請求記録!$Z$6:$Z$3005,E$5,請求記録!$AF$6:$AF$3005,"保留中")&gt;0,"保留",IF(COUNTIFS(請求記録!$B$6:$B$3005,$A385,請求記録!$Z$6:$Z$3005,E$5)=0,"",SUMIFS(請求記録!$AE$6:$AE$3005,請求記録!$B$6:$B$3005,$A385,請求記録!$Z$6:$Z$3005,E$5))))</f>
        <v/>
      </c>
      <c r="F385" s="19">
        <f>IF($A385="","",IF(COUNTIFS(請求記録!$B$6:$B$3005,$A385,請求記録!$Z$6:$Z$3005,F$5,請求記録!$AF$6:$AF$3005,"保留中")&gt;0,"保留",IF(COUNTIFS(請求記録!$B$6:$B$3005,$A385,請求記録!$Z$6:$Z$3005,F$5)=0,"",SUMIFS(請求記録!$AE$6:$AE$3005,請求記録!$B$6:$B$3005,$A385,請求記録!$Z$6:$Z$3005,F$5))))</f>
        <v/>
      </c>
      <c r="G385" s="19">
        <f>IF($A385="","",IF(COUNTIFS(請求記録!$B$6:$B$3005,$A385,請求記録!$Z$6:$Z$3005,G$5,請求記録!$AF$6:$AF$3005,"保留中")&gt;0,"保留",IF(COUNTIFS(請求記録!$B$6:$B$3005,$A385,請求記録!$Z$6:$Z$3005,G$5)=0,"",SUMIFS(請求記録!$AE$6:$AE$3005,請求記録!$B$6:$B$3005,$A385,請求記録!$Z$6:$Z$3005,G$5))))</f>
        <v/>
      </c>
      <c r="H385" s="19">
        <f>IF($A385="","",IF(COUNTIFS(請求記録!$B$6:$B$3005,$A385,請求記録!$Z$6:$Z$3005,H$5,請求記録!$AF$6:$AF$3005,"保留中")&gt;0,"保留",IF(COUNTIFS(請求記録!$B$6:$B$3005,$A385,請求記録!$Z$6:$Z$3005,H$5)=0,"",SUMIFS(請求記録!$AE$6:$AE$3005,請求記録!$B$6:$B$3005,$A385,請求記録!$Z$6:$Z$3005,H$5))))</f>
        <v/>
      </c>
      <c r="I385" s="19">
        <f>IF($A385="","",IF(COUNTIFS(請求記録!$B$6:$B$3005,$A385,請求記録!$Z$6:$Z$3005,I$5,請求記録!$AF$6:$AF$3005,"保留中")&gt;0,"保留",IF(COUNTIFS(請求記録!$B$6:$B$3005,$A385,請求記録!$Z$6:$Z$3005,I$5)=0,"",SUMIFS(請求記録!$AE$6:$AE$3005,請求記録!$B$6:$B$3005,$A385,請求記録!$Z$6:$Z$3005,I$5))))</f>
        <v/>
      </c>
      <c r="J385" s="19">
        <f>IF($A385="","",IF(COUNTIFS(請求記録!$B$6:$B$3005,$A385,請求記録!$Z$6:$Z$3005,J$5,請求記録!$AF$6:$AF$3005,"保留中")&gt;0,"保留",IF(COUNTIFS(請求記録!$B$6:$B$3005,$A385,請求記録!$Z$6:$Z$3005,J$5)=0,"",SUMIFS(請求記録!$AE$6:$AE$3005,請求記録!$B$6:$B$3005,$A385,請求記録!$Z$6:$Z$3005,J$5))))</f>
        <v/>
      </c>
      <c r="K385" s="19">
        <f>IF($A385="","",IF(COUNTIFS(請求記録!$B$6:$B$3005,$A385,請求記録!$Z$6:$Z$3005,K$5,請求記録!$AF$6:$AF$3005,"保留中")&gt;0,"保留",IF(COUNTIFS(請求記録!$B$6:$B$3005,$A385,請求記録!$Z$6:$Z$3005,K$5)=0,"",SUMIFS(請求記録!$AE$6:$AE$3005,請求記録!$B$6:$B$3005,$A385,請求記録!$Z$6:$Z$3005,K$5))))</f>
        <v/>
      </c>
      <c r="L385" s="19">
        <f>IF($A385="","",IF(COUNTIFS(請求記録!$B$6:$B$3005,$A385,請求記録!$Z$6:$Z$3005,L$5,請求記録!$AF$6:$AF$3005,"保留中")&gt;0,"保留",IF(COUNTIFS(請求記録!$B$6:$B$3005,$A385,請求記録!$Z$6:$Z$3005,L$5)=0,"",SUMIFS(請求記録!$AE$6:$AE$3005,請求記録!$B$6:$B$3005,$A385,請求記録!$Z$6:$Z$3005,L$5))))</f>
        <v/>
      </c>
      <c r="M385" s="19">
        <f>IF($A385="","",IF(COUNTIFS(請求記録!$B$6:$B$3005,$A385,請求記録!$Z$6:$Z$3005,M$5,請求記録!$AF$6:$AF$3005,"保留中")&gt;0,"保留",IF(COUNTIFS(請求記録!$B$6:$B$3005,$A385,請求記録!$Z$6:$Z$3005,M$5)=0,"",SUMIFS(請求記録!$AE$6:$AE$3005,請求記録!$B$6:$B$3005,$A385,請求記録!$Z$6:$Z$3005,M$5))))</f>
        <v/>
      </c>
      <c r="N385" s="19">
        <f>IF($A385="","",IF(COUNTIFS(請求記録!$B$6:$B$3005,$A385,請求記録!$Z$6:$Z$3005,N$5,請求記録!$AF$6:$AF$3005,"保留中")&gt;0,"保留",IF(COUNTIFS(請求記録!$B$6:$B$3005,$A385,請求記録!$Z$6:$Z$3005,N$5)=0,"",SUMIFS(請求記録!$AE$6:$AE$3005,請求記録!$B$6:$B$3005,$A385,請求記録!$Z$6:$Z$3005,N$5))))</f>
        <v/>
      </c>
      <c r="O385" s="19">
        <f>IF($A385="","",IF(COUNTIFS(請求記録!$B$6:$B$3005,$A385,請求記録!$Z$6:$Z$3005,O$5,請求記録!$AF$6:$AF$3005,"保留中")&gt;0,"保留",IF(COUNTIFS(請求記録!$B$6:$B$3005,$A385,請求記録!$Z$6:$Z$3005,O$5)=0,"",SUMIFS(請求記録!$AE$6:$AE$3005,請求記録!$B$6:$B$3005,$A385,請求記録!$Z$6:$Z$3005,O$5))))</f>
        <v/>
      </c>
      <c r="P385" s="19">
        <f>IF($A385="","",IF(COUNTIFS(請求記録!$B$6:$B$3005,$A385,請求記録!$Z$6:$Z$3005,P$5,請求記録!$AF$6:$AF$3005,"保留中")&gt;0,"保留",IF(COUNTIFS(請求記録!$B$6:$B$3005,$A385,請求記録!$Z$6:$Z$3005,P$5)=0,"",SUMIFS(請求記録!$AE$6:$AE$3005,請求記録!$B$6:$B$3005,$A385,請求記録!$Z$6:$Z$3005,P$5))))</f>
        <v/>
      </c>
      <c r="Q385" s="19">
        <f>IF($A385="","",IF(COUNTIFS(請求記録!$B$6:$B$3005,$A385,請求記録!$Z$6:$Z$3005,Q$5,請求記録!$AF$6:$AF$3005,"保留中")&gt;0,"保留",IF(COUNTIFS(請求記録!$B$6:$B$3005,$A385,請求記録!$Z$6:$Z$3005,Q$5)=0,"",SUMIFS(請求記録!$AE$6:$AE$3005,請求記録!$B$6:$B$3005,$A385,請求記録!$Z$6:$Z$3005,Q$5))))</f>
        <v/>
      </c>
      <c r="R385" s="19">
        <f>IF($A385="","",IF(COUNTIFS(請求記録!$B$6:$B$3005,$A385,請求記録!$Z$6:$Z$3005,R$5,請求記録!$AF$6:$AF$3005,"保留中")&gt;0,"保留",IF(COUNTIFS(請求記録!$B$6:$B$3005,$A385,請求記録!$Z$6:$Z$3005,R$5)=0,"",SUMIFS(請求記録!$AE$6:$AE$3005,請求記録!$B$6:$B$3005,$A385,請求記録!$Z$6:$Z$3005,R$5))))</f>
        <v/>
      </c>
      <c r="S385" s="19">
        <f>IF($A385="","",IF(COUNTIFS(請求記録!$B$6:$B$3005,$A385,請求記録!$Z$6:$Z$3005,S$5,請求記録!$AF$6:$AF$3005,"保留中")&gt;0,"保留",IF(COUNTIFS(請求記録!$B$6:$B$3005,$A385,請求記録!$Z$6:$Z$3005,S$5)=0,"",SUMIFS(請求記録!$AE$6:$AE$3005,請求記録!$B$6:$B$3005,$A385,請求記録!$Z$6:$Z$3005,S$5))))</f>
        <v/>
      </c>
      <c r="T385" s="19">
        <f>IF($A385="","",IF(COUNTIFS(請求記録!$B$6:$B$3005,$A385,請求記録!$Z$6:$Z$3005,T$5,請求記録!$AF$6:$AF$3005,"保留中")&gt;0,"保留",IF(COUNTIFS(請求記録!$B$6:$B$3005,$A385,請求記録!$Z$6:$Z$3005,T$5)=0,"",SUMIFS(請求記録!$AE$6:$AE$3005,請求記録!$B$6:$B$3005,$A385,請求記録!$Z$6:$Z$3005,T$5))))</f>
        <v/>
      </c>
      <c r="U385" s="19">
        <f>IF($A385="","",IF(COUNTIFS(請求記録!$B$6:$B$3005,$A385,請求記録!$Z$6:$Z$3005,U$5,請求記録!$AF$6:$AF$3005,"保留中")&gt;0,"保留",IF(COUNTIFS(請求記録!$B$6:$B$3005,$A385,請求記録!$Z$6:$Z$3005,U$5)=0,"",SUMIFS(請求記録!$AE$6:$AE$3005,請求記録!$B$6:$B$3005,$A385,請求記録!$Z$6:$Z$3005,U$5))))</f>
        <v/>
      </c>
      <c r="V385" s="19">
        <f>IF($A385="","",IF(COUNTIFS(請求記録!$B$6:$B$3005,$A385,請求記録!$Z$6:$Z$3005,V$5,請求記録!$AF$6:$AF$3005,"保留中")&gt;0,"保留",IF(COUNTIFS(請求記録!$B$6:$B$3005,$A385,請求記録!$Z$6:$Z$3005,V$5)=0,"",SUMIFS(請求記録!$AE$6:$AE$3005,請求記録!$B$6:$B$3005,$A385,請求記録!$Z$6:$Z$3005,V$5))))</f>
        <v/>
      </c>
      <c r="W385" s="19">
        <f>IF($A385="","",IF(COUNTIFS(請求記録!$B$6:$B$3005,$A385,請求記録!$Z$6:$Z$3005,W$5,請求記録!$AF$6:$AF$3005,"保留中")&gt;0,"保留",IF(COUNTIFS(請求記録!$B$6:$B$3005,$A385,請求記録!$Z$6:$Z$3005,W$5)=0,"",SUMIFS(請求記録!$AE$6:$AE$3005,請求記録!$B$6:$B$3005,$A385,請求記録!$Z$6:$Z$3005,W$5))))</f>
        <v/>
      </c>
      <c r="X385" s="19">
        <f>IF($A385="","",IF(COUNTIFS(請求記録!$B$6:$B$3005,$A385,請求記録!$Z$6:$Z$3005,X$5,請求記録!$AF$6:$AF$3005,"保留中")&gt;0,"保留",IF(COUNTIFS(請求記録!$B$6:$B$3005,$A385,請求記録!$Z$6:$Z$3005,X$5)=0,"",SUMIFS(請求記録!$AE$6:$AE$3005,請求記録!$B$6:$B$3005,$A385,請求記録!$Z$6:$Z$3005,X$5))))</f>
        <v/>
      </c>
      <c r="Y385" s="19">
        <f>IF($A385="","",IF(COUNTIFS(請求記録!$B$6:$B$3005,$A385,請求記録!$Z$6:$Z$3005,Y$5,請求記録!$AF$6:$AF$3005,"保留中")&gt;0,"保留",IF(COUNTIFS(請求記録!$B$6:$B$3005,$A385,請求記録!$Z$6:$Z$3005,Y$5)=0,"",SUMIFS(請求記録!$AE$6:$AE$3005,請求記録!$B$6:$B$3005,$A385,請求記録!$Z$6:$Z$3005,Y$5))))</f>
        <v/>
      </c>
      <c r="Z385" s="19">
        <f>IF($A385="","",IF(COUNTIFS(請求記録!$B$6:$B$3005,$A385,請求記録!$Z$6:$Z$3005,Z$5,請求記録!$AF$6:$AF$3005,"保留中")&gt;0,"保留",IF(COUNTIFS(請求記録!$B$6:$B$3005,$A385,請求記録!$Z$6:$Z$3005,Z$5)=0,"",SUMIFS(請求記録!$AE$6:$AE$3005,請求記録!$B$6:$B$3005,$A385,請求記録!$Z$6:$Z$3005,Z$5))))</f>
        <v/>
      </c>
      <c r="AA385" s="19">
        <f>IF($A385="","",IF(COUNTIFS(請求記録!$B$6:$B$3005,$A385,請求記録!$Z$6:$Z$3005,AA$5,請求記録!$AF$6:$AF$3005,"保留中")&gt;0,"保留",IF(COUNTIFS(請求記録!$B$6:$B$3005,$A385,請求記録!$Z$6:$Z$3005,AA$5)=0,"",SUMIFS(請求記録!$AE$6:$AE$3005,請求記録!$B$6:$B$3005,$A385,請求記録!$Z$6:$Z$3005,AA$5))))</f>
        <v/>
      </c>
      <c r="AB385">
        <f>IF(職員マスタ!P385="保留中",職員マスタ!M385,"")</f>
        <v/>
      </c>
    </row>
    <row r="386">
      <c r="A386">
        <f>IF(職員マスタ!A386="","",職員マスタ!A386)</f>
        <v/>
      </c>
      <c r="B386">
        <f>IF($A386="","",職員マスタ!B386)</f>
        <v/>
      </c>
      <c r="C386">
        <f>IF($A386="","",職員マスタ!C386)</f>
        <v/>
      </c>
      <c r="D386" s="19">
        <f>IF($A386="","",IF(COUNTIFS(請求記録!$B$6:$B$3005,$A386,請求記録!$Z$6:$Z$3005,D$5,請求記録!$AF$6:$AF$3005,"保留中")&gt;0,"保留",IF(COUNTIFS(請求記録!$B$6:$B$3005,$A386,請求記録!$Z$6:$Z$3005,D$5)=0,"",SUMIFS(請求記録!$AE$6:$AE$3005,請求記録!$B$6:$B$3005,$A386,請求記録!$Z$6:$Z$3005,D$5))))</f>
        <v/>
      </c>
      <c r="E386" s="19">
        <f>IF($A386="","",IF(COUNTIFS(請求記録!$B$6:$B$3005,$A386,請求記録!$Z$6:$Z$3005,E$5,請求記録!$AF$6:$AF$3005,"保留中")&gt;0,"保留",IF(COUNTIFS(請求記録!$B$6:$B$3005,$A386,請求記録!$Z$6:$Z$3005,E$5)=0,"",SUMIFS(請求記録!$AE$6:$AE$3005,請求記録!$B$6:$B$3005,$A386,請求記録!$Z$6:$Z$3005,E$5))))</f>
        <v/>
      </c>
      <c r="F386" s="19">
        <f>IF($A386="","",IF(COUNTIFS(請求記録!$B$6:$B$3005,$A386,請求記録!$Z$6:$Z$3005,F$5,請求記録!$AF$6:$AF$3005,"保留中")&gt;0,"保留",IF(COUNTIFS(請求記録!$B$6:$B$3005,$A386,請求記録!$Z$6:$Z$3005,F$5)=0,"",SUMIFS(請求記録!$AE$6:$AE$3005,請求記録!$B$6:$B$3005,$A386,請求記録!$Z$6:$Z$3005,F$5))))</f>
        <v/>
      </c>
      <c r="G386" s="19">
        <f>IF($A386="","",IF(COUNTIFS(請求記録!$B$6:$B$3005,$A386,請求記録!$Z$6:$Z$3005,G$5,請求記録!$AF$6:$AF$3005,"保留中")&gt;0,"保留",IF(COUNTIFS(請求記録!$B$6:$B$3005,$A386,請求記録!$Z$6:$Z$3005,G$5)=0,"",SUMIFS(請求記録!$AE$6:$AE$3005,請求記録!$B$6:$B$3005,$A386,請求記録!$Z$6:$Z$3005,G$5))))</f>
        <v/>
      </c>
      <c r="H386" s="19">
        <f>IF($A386="","",IF(COUNTIFS(請求記録!$B$6:$B$3005,$A386,請求記録!$Z$6:$Z$3005,H$5,請求記録!$AF$6:$AF$3005,"保留中")&gt;0,"保留",IF(COUNTIFS(請求記録!$B$6:$B$3005,$A386,請求記録!$Z$6:$Z$3005,H$5)=0,"",SUMIFS(請求記録!$AE$6:$AE$3005,請求記録!$B$6:$B$3005,$A386,請求記録!$Z$6:$Z$3005,H$5))))</f>
        <v/>
      </c>
      <c r="I386" s="19">
        <f>IF($A386="","",IF(COUNTIFS(請求記録!$B$6:$B$3005,$A386,請求記録!$Z$6:$Z$3005,I$5,請求記録!$AF$6:$AF$3005,"保留中")&gt;0,"保留",IF(COUNTIFS(請求記録!$B$6:$B$3005,$A386,請求記録!$Z$6:$Z$3005,I$5)=0,"",SUMIFS(請求記録!$AE$6:$AE$3005,請求記録!$B$6:$B$3005,$A386,請求記録!$Z$6:$Z$3005,I$5))))</f>
        <v/>
      </c>
      <c r="J386" s="19">
        <f>IF($A386="","",IF(COUNTIFS(請求記録!$B$6:$B$3005,$A386,請求記録!$Z$6:$Z$3005,J$5,請求記録!$AF$6:$AF$3005,"保留中")&gt;0,"保留",IF(COUNTIFS(請求記録!$B$6:$B$3005,$A386,請求記録!$Z$6:$Z$3005,J$5)=0,"",SUMIFS(請求記録!$AE$6:$AE$3005,請求記録!$B$6:$B$3005,$A386,請求記録!$Z$6:$Z$3005,J$5))))</f>
        <v/>
      </c>
      <c r="K386" s="19">
        <f>IF($A386="","",IF(COUNTIFS(請求記録!$B$6:$B$3005,$A386,請求記録!$Z$6:$Z$3005,K$5,請求記録!$AF$6:$AF$3005,"保留中")&gt;0,"保留",IF(COUNTIFS(請求記録!$B$6:$B$3005,$A386,請求記録!$Z$6:$Z$3005,K$5)=0,"",SUMIFS(請求記録!$AE$6:$AE$3005,請求記録!$B$6:$B$3005,$A386,請求記録!$Z$6:$Z$3005,K$5))))</f>
        <v/>
      </c>
      <c r="L386" s="19">
        <f>IF($A386="","",IF(COUNTIFS(請求記録!$B$6:$B$3005,$A386,請求記録!$Z$6:$Z$3005,L$5,請求記録!$AF$6:$AF$3005,"保留中")&gt;0,"保留",IF(COUNTIFS(請求記録!$B$6:$B$3005,$A386,請求記録!$Z$6:$Z$3005,L$5)=0,"",SUMIFS(請求記録!$AE$6:$AE$3005,請求記録!$B$6:$B$3005,$A386,請求記録!$Z$6:$Z$3005,L$5))))</f>
        <v/>
      </c>
      <c r="M386" s="19">
        <f>IF($A386="","",IF(COUNTIFS(請求記録!$B$6:$B$3005,$A386,請求記録!$Z$6:$Z$3005,M$5,請求記録!$AF$6:$AF$3005,"保留中")&gt;0,"保留",IF(COUNTIFS(請求記録!$B$6:$B$3005,$A386,請求記録!$Z$6:$Z$3005,M$5)=0,"",SUMIFS(請求記録!$AE$6:$AE$3005,請求記録!$B$6:$B$3005,$A386,請求記録!$Z$6:$Z$3005,M$5))))</f>
        <v/>
      </c>
      <c r="N386" s="19">
        <f>IF($A386="","",IF(COUNTIFS(請求記録!$B$6:$B$3005,$A386,請求記録!$Z$6:$Z$3005,N$5,請求記録!$AF$6:$AF$3005,"保留中")&gt;0,"保留",IF(COUNTIFS(請求記録!$B$6:$B$3005,$A386,請求記録!$Z$6:$Z$3005,N$5)=0,"",SUMIFS(請求記録!$AE$6:$AE$3005,請求記録!$B$6:$B$3005,$A386,請求記録!$Z$6:$Z$3005,N$5))))</f>
        <v/>
      </c>
      <c r="O386" s="19">
        <f>IF($A386="","",IF(COUNTIFS(請求記録!$B$6:$B$3005,$A386,請求記録!$Z$6:$Z$3005,O$5,請求記録!$AF$6:$AF$3005,"保留中")&gt;0,"保留",IF(COUNTIFS(請求記録!$B$6:$B$3005,$A386,請求記録!$Z$6:$Z$3005,O$5)=0,"",SUMIFS(請求記録!$AE$6:$AE$3005,請求記録!$B$6:$B$3005,$A386,請求記録!$Z$6:$Z$3005,O$5))))</f>
        <v/>
      </c>
      <c r="P386" s="19">
        <f>IF($A386="","",IF(COUNTIFS(請求記録!$B$6:$B$3005,$A386,請求記録!$Z$6:$Z$3005,P$5,請求記録!$AF$6:$AF$3005,"保留中")&gt;0,"保留",IF(COUNTIFS(請求記録!$B$6:$B$3005,$A386,請求記録!$Z$6:$Z$3005,P$5)=0,"",SUMIFS(請求記録!$AE$6:$AE$3005,請求記録!$B$6:$B$3005,$A386,請求記録!$Z$6:$Z$3005,P$5))))</f>
        <v/>
      </c>
      <c r="Q386" s="19">
        <f>IF($A386="","",IF(COUNTIFS(請求記録!$B$6:$B$3005,$A386,請求記録!$Z$6:$Z$3005,Q$5,請求記録!$AF$6:$AF$3005,"保留中")&gt;0,"保留",IF(COUNTIFS(請求記録!$B$6:$B$3005,$A386,請求記録!$Z$6:$Z$3005,Q$5)=0,"",SUMIFS(請求記録!$AE$6:$AE$3005,請求記録!$B$6:$B$3005,$A386,請求記録!$Z$6:$Z$3005,Q$5))))</f>
        <v/>
      </c>
      <c r="R386" s="19">
        <f>IF($A386="","",IF(COUNTIFS(請求記録!$B$6:$B$3005,$A386,請求記録!$Z$6:$Z$3005,R$5,請求記録!$AF$6:$AF$3005,"保留中")&gt;0,"保留",IF(COUNTIFS(請求記録!$B$6:$B$3005,$A386,請求記録!$Z$6:$Z$3005,R$5)=0,"",SUMIFS(請求記録!$AE$6:$AE$3005,請求記録!$B$6:$B$3005,$A386,請求記録!$Z$6:$Z$3005,R$5))))</f>
        <v/>
      </c>
      <c r="S386" s="19">
        <f>IF($A386="","",IF(COUNTIFS(請求記録!$B$6:$B$3005,$A386,請求記録!$Z$6:$Z$3005,S$5,請求記録!$AF$6:$AF$3005,"保留中")&gt;0,"保留",IF(COUNTIFS(請求記録!$B$6:$B$3005,$A386,請求記録!$Z$6:$Z$3005,S$5)=0,"",SUMIFS(請求記録!$AE$6:$AE$3005,請求記録!$B$6:$B$3005,$A386,請求記録!$Z$6:$Z$3005,S$5))))</f>
        <v/>
      </c>
      <c r="T386" s="19">
        <f>IF($A386="","",IF(COUNTIFS(請求記録!$B$6:$B$3005,$A386,請求記録!$Z$6:$Z$3005,T$5,請求記録!$AF$6:$AF$3005,"保留中")&gt;0,"保留",IF(COUNTIFS(請求記録!$B$6:$B$3005,$A386,請求記録!$Z$6:$Z$3005,T$5)=0,"",SUMIFS(請求記録!$AE$6:$AE$3005,請求記録!$B$6:$B$3005,$A386,請求記録!$Z$6:$Z$3005,T$5))))</f>
        <v/>
      </c>
      <c r="U386" s="19">
        <f>IF($A386="","",IF(COUNTIFS(請求記録!$B$6:$B$3005,$A386,請求記録!$Z$6:$Z$3005,U$5,請求記録!$AF$6:$AF$3005,"保留中")&gt;0,"保留",IF(COUNTIFS(請求記録!$B$6:$B$3005,$A386,請求記録!$Z$6:$Z$3005,U$5)=0,"",SUMIFS(請求記録!$AE$6:$AE$3005,請求記録!$B$6:$B$3005,$A386,請求記録!$Z$6:$Z$3005,U$5))))</f>
        <v/>
      </c>
      <c r="V386" s="19">
        <f>IF($A386="","",IF(COUNTIFS(請求記録!$B$6:$B$3005,$A386,請求記録!$Z$6:$Z$3005,V$5,請求記録!$AF$6:$AF$3005,"保留中")&gt;0,"保留",IF(COUNTIFS(請求記録!$B$6:$B$3005,$A386,請求記録!$Z$6:$Z$3005,V$5)=0,"",SUMIFS(請求記録!$AE$6:$AE$3005,請求記録!$B$6:$B$3005,$A386,請求記録!$Z$6:$Z$3005,V$5))))</f>
        <v/>
      </c>
      <c r="W386" s="19">
        <f>IF($A386="","",IF(COUNTIFS(請求記録!$B$6:$B$3005,$A386,請求記録!$Z$6:$Z$3005,W$5,請求記録!$AF$6:$AF$3005,"保留中")&gt;0,"保留",IF(COUNTIFS(請求記録!$B$6:$B$3005,$A386,請求記録!$Z$6:$Z$3005,W$5)=0,"",SUMIFS(請求記録!$AE$6:$AE$3005,請求記録!$B$6:$B$3005,$A386,請求記録!$Z$6:$Z$3005,W$5))))</f>
        <v/>
      </c>
      <c r="X386" s="19">
        <f>IF($A386="","",IF(COUNTIFS(請求記録!$B$6:$B$3005,$A386,請求記録!$Z$6:$Z$3005,X$5,請求記録!$AF$6:$AF$3005,"保留中")&gt;0,"保留",IF(COUNTIFS(請求記録!$B$6:$B$3005,$A386,請求記録!$Z$6:$Z$3005,X$5)=0,"",SUMIFS(請求記録!$AE$6:$AE$3005,請求記録!$B$6:$B$3005,$A386,請求記録!$Z$6:$Z$3005,X$5))))</f>
        <v/>
      </c>
      <c r="Y386" s="19">
        <f>IF($A386="","",IF(COUNTIFS(請求記録!$B$6:$B$3005,$A386,請求記録!$Z$6:$Z$3005,Y$5,請求記録!$AF$6:$AF$3005,"保留中")&gt;0,"保留",IF(COUNTIFS(請求記録!$B$6:$B$3005,$A386,請求記録!$Z$6:$Z$3005,Y$5)=0,"",SUMIFS(請求記録!$AE$6:$AE$3005,請求記録!$B$6:$B$3005,$A386,請求記録!$Z$6:$Z$3005,Y$5))))</f>
        <v/>
      </c>
      <c r="Z386" s="19">
        <f>IF($A386="","",IF(COUNTIFS(請求記録!$B$6:$B$3005,$A386,請求記録!$Z$6:$Z$3005,Z$5,請求記録!$AF$6:$AF$3005,"保留中")&gt;0,"保留",IF(COUNTIFS(請求記録!$B$6:$B$3005,$A386,請求記録!$Z$6:$Z$3005,Z$5)=0,"",SUMIFS(請求記録!$AE$6:$AE$3005,請求記録!$B$6:$B$3005,$A386,請求記録!$Z$6:$Z$3005,Z$5))))</f>
        <v/>
      </c>
      <c r="AA386" s="19">
        <f>IF($A386="","",IF(COUNTIFS(請求記録!$B$6:$B$3005,$A386,請求記録!$Z$6:$Z$3005,AA$5,請求記録!$AF$6:$AF$3005,"保留中")&gt;0,"保留",IF(COUNTIFS(請求記録!$B$6:$B$3005,$A386,請求記録!$Z$6:$Z$3005,AA$5)=0,"",SUMIFS(請求記録!$AE$6:$AE$3005,請求記録!$B$6:$B$3005,$A386,請求記録!$Z$6:$Z$3005,AA$5))))</f>
        <v/>
      </c>
      <c r="AB386">
        <f>IF(職員マスタ!P386="保留中",職員マスタ!M386,"")</f>
        <v/>
      </c>
    </row>
    <row r="387">
      <c r="A387">
        <f>IF(職員マスタ!A387="","",職員マスタ!A387)</f>
        <v/>
      </c>
      <c r="B387">
        <f>IF($A387="","",職員マスタ!B387)</f>
        <v/>
      </c>
      <c r="C387">
        <f>IF($A387="","",職員マスタ!C387)</f>
        <v/>
      </c>
      <c r="D387" s="19">
        <f>IF($A387="","",IF(COUNTIFS(請求記録!$B$6:$B$3005,$A387,請求記録!$Z$6:$Z$3005,D$5,請求記録!$AF$6:$AF$3005,"保留中")&gt;0,"保留",IF(COUNTIFS(請求記録!$B$6:$B$3005,$A387,請求記録!$Z$6:$Z$3005,D$5)=0,"",SUMIFS(請求記録!$AE$6:$AE$3005,請求記録!$B$6:$B$3005,$A387,請求記録!$Z$6:$Z$3005,D$5))))</f>
        <v/>
      </c>
      <c r="E387" s="19">
        <f>IF($A387="","",IF(COUNTIFS(請求記録!$B$6:$B$3005,$A387,請求記録!$Z$6:$Z$3005,E$5,請求記録!$AF$6:$AF$3005,"保留中")&gt;0,"保留",IF(COUNTIFS(請求記録!$B$6:$B$3005,$A387,請求記録!$Z$6:$Z$3005,E$5)=0,"",SUMIFS(請求記録!$AE$6:$AE$3005,請求記録!$B$6:$B$3005,$A387,請求記録!$Z$6:$Z$3005,E$5))))</f>
        <v/>
      </c>
      <c r="F387" s="19">
        <f>IF($A387="","",IF(COUNTIFS(請求記録!$B$6:$B$3005,$A387,請求記録!$Z$6:$Z$3005,F$5,請求記録!$AF$6:$AF$3005,"保留中")&gt;0,"保留",IF(COUNTIFS(請求記録!$B$6:$B$3005,$A387,請求記録!$Z$6:$Z$3005,F$5)=0,"",SUMIFS(請求記録!$AE$6:$AE$3005,請求記録!$B$6:$B$3005,$A387,請求記録!$Z$6:$Z$3005,F$5))))</f>
        <v/>
      </c>
      <c r="G387" s="19">
        <f>IF($A387="","",IF(COUNTIFS(請求記録!$B$6:$B$3005,$A387,請求記録!$Z$6:$Z$3005,G$5,請求記録!$AF$6:$AF$3005,"保留中")&gt;0,"保留",IF(COUNTIFS(請求記録!$B$6:$B$3005,$A387,請求記録!$Z$6:$Z$3005,G$5)=0,"",SUMIFS(請求記録!$AE$6:$AE$3005,請求記録!$B$6:$B$3005,$A387,請求記録!$Z$6:$Z$3005,G$5))))</f>
        <v/>
      </c>
      <c r="H387" s="19">
        <f>IF($A387="","",IF(COUNTIFS(請求記録!$B$6:$B$3005,$A387,請求記録!$Z$6:$Z$3005,H$5,請求記録!$AF$6:$AF$3005,"保留中")&gt;0,"保留",IF(COUNTIFS(請求記録!$B$6:$B$3005,$A387,請求記録!$Z$6:$Z$3005,H$5)=0,"",SUMIFS(請求記録!$AE$6:$AE$3005,請求記録!$B$6:$B$3005,$A387,請求記録!$Z$6:$Z$3005,H$5))))</f>
        <v/>
      </c>
      <c r="I387" s="19">
        <f>IF($A387="","",IF(COUNTIFS(請求記録!$B$6:$B$3005,$A387,請求記録!$Z$6:$Z$3005,I$5,請求記録!$AF$6:$AF$3005,"保留中")&gt;0,"保留",IF(COUNTIFS(請求記録!$B$6:$B$3005,$A387,請求記録!$Z$6:$Z$3005,I$5)=0,"",SUMIFS(請求記録!$AE$6:$AE$3005,請求記録!$B$6:$B$3005,$A387,請求記録!$Z$6:$Z$3005,I$5))))</f>
        <v/>
      </c>
      <c r="J387" s="19">
        <f>IF($A387="","",IF(COUNTIFS(請求記録!$B$6:$B$3005,$A387,請求記録!$Z$6:$Z$3005,J$5,請求記録!$AF$6:$AF$3005,"保留中")&gt;0,"保留",IF(COUNTIFS(請求記録!$B$6:$B$3005,$A387,請求記録!$Z$6:$Z$3005,J$5)=0,"",SUMIFS(請求記録!$AE$6:$AE$3005,請求記録!$B$6:$B$3005,$A387,請求記録!$Z$6:$Z$3005,J$5))))</f>
        <v/>
      </c>
      <c r="K387" s="19">
        <f>IF($A387="","",IF(COUNTIFS(請求記録!$B$6:$B$3005,$A387,請求記録!$Z$6:$Z$3005,K$5,請求記録!$AF$6:$AF$3005,"保留中")&gt;0,"保留",IF(COUNTIFS(請求記録!$B$6:$B$3005,$A387,請求記録!$Z$6:$Z$3005,K$5)=0,"",SUMIFS(請求記録!$AE$6:$AE$3005,請求記録!$B$6:$B$3005,$A387,請求記録!$Z$6:$Z$3005,K$5))))</f>
        <v/>
      </c>
      <c r="L387" s="19">
        <f>IF($A387="","",IF(COUNTIFS(請求記録!$B$6:$B$3005,$A387,請求記録!$Z$6:$Z$3005,L$5,請求記録!$AF$6:$AF$3005,"保留中")&gt;0,"保留",IF(COUNTIFS(請求記録!$B$6:$B$3005,$A387,請求記録!$Z$6:$Z$3005,L$5)=0,"",SUMIFS(請求記録!$AE$6:$AE$3005,請求記録!$B$6:$B$3005,$A387,請求記録!$Z$6:$Z$3005,L$5))))</f>
        <v/>
      </c>
      <c r="M387" s="19">
        <f>IF($A387="","",IF(COUNTIFS(請求記録!$B$6:$B$3005,$A387,請求記録!$Z$6:$Z$3005,M$5,請求記録!$AF$6:$AF$3005,"保留中")&gt;0,"保留",IF(COUNTIFS(請求記録!$B$6:$B$3005,$A387,請求記録!$Z$6:$Z$3005,M$5)=0,"",SUMIFS(請求記録!$AE$6:$AE$3005,請求記録!$B$6:$B$3005,$A387,請求記録!$Z$6:$Z$3005,M$5))))</f>
        <v/>
      </c>
      <c r="N387" s="19">
        <f>IF($A387="","",IF(COUNTIFS(請求記録!$B$6:$B$3005,$A387,請求記録!$Z$6:$Z$3005,N$5,請求記録!$AF$6:$AF$3005,"保留中")&gt;0,"保留",IF(COUNTIFS(請求記録!$B$6:$B$3005,$A387,請求記録!$Z$6:$Z$3005,N$5)=0,"",SUMIFS(請求記録!$AE$6:$AE$3005,請求記録!$B$6:$B$3005,$A387,請求記録!$Z$6:$Z$3005,N$5))))</f>
        <v/>
      </c>
      <c r="O387" s="19">
        <f>IF($A387="","",IF(COUNTIFS(請求記録!$B$6:$B$3005,$A387,請求記録!$Z$6:$Z$3005,O$5,請求記録!$AF$6:$AF$3005,"保留中")&gt;0,"保留",IF(COUNTIFS(請求記録!$B$6:$B$3005,$A387,請求記録!$Z$6:$Z$3005,O$5)=0,"",SUMIFS(請求記録!$AE$6:$AE$3005,請求記録!$B$6:$B$3005,$A387,請求記録!$Z$6:$Z$3005,O$5))))</f>
        <v/>
      </c>
      <c r="P387" s="19">
        <f>IF($A387="","",IF(COUNTIFS(請求記録!$B$6:$B$3005,$A387,請求記録!$Z$6:$Z$3005,P$5,請求記録!$AF$6:$AF$3005,"保留中")&gt;0,"保留",IF(COUNTIFS(請求記録!$B$6:$B$3005,$A387,請求記録!$Z$6:$Z$3005,P$5)=0,"",SUMIFS(請求記録!$AE$6:$AE$3005,請求記録!$B$6:$B$3005,$A387,請求記録!$Z$6:$Z$3005,P$5))))</f>
        <v/>
      </c>
      <c r="Q387" s="19">
        <f>IF($A387="","",IF(COUNTIFS(請求記録!$B$6:$B$3005,$A387,請求記録!$Z$6:$Z$3005,Q$5,請求記録!$AF$6:$AF$3005,"保留中")&gt;0,"保留",IF(COUNTIFS(請求記録!$B$6:$B$3005,$A387,請求記録!$Z$6:$Z$3005,Q$5)=0,"",SUMIFS(請求記録!$AE$6:$AE$3005,請求記録!$B$6:$B$3005,$A387,請求記録!$Z$6:$Z$3005,Q$5))))</f>
        <v/>
      </c>
      <c r="R387" s="19">
        <f>IF($A387="","",IF(COUNTIFS(請求記録!$B$6:$B$3005,$A387,請求記録!$Z$6:$Z$3005,R$5,請求記録!$AF$6:$AF$3005,"保留中")&gt;0,"保留",IF(COUNTIFS(請求記録!$B$6:$B$3005,$A387,請求記録!$Z$6:$Z$3005,R$5)=0,"",SUMIFS(請求記録!$AE$6:$AE$3005,請求記録!$B$6:$B$3005,$A387,請求記録!$Z$6:$Z$3005,R$5))))</f>
        <v/>
      </c>
      <c r="S387" s="19">
        <f>IF($A387="","",IF(COUNTIFS(請求記録!$B$6:$B$3005,$A387,請求記録!$Z$6:$Z$3005,S$5,請求記録!$AF$6:$AF$3005,"保留中")&gt;0,"保留",IF(COUNTIFS(請求記録!$B$6:$B$3005,$A387,請求記録!$Z$6:$Z$3005,S$5)=0,"",SUMIFS(請求記録!$AE$6:$AE$3005,請求記録!$B$6:$B$3005,$A387,請求記録!$Z$6:$Z$3005,S$5))))</f>
        <v/>
      </c>
      <c r="T387" s="19">
        <f>IF($A387="","",IF(COUNTIFS(請求記録!$B$6:$B$3005,$A387,請求記録!$Z$6:$Z$3005,T$5,請求記録!$AF$6:$AF$3005,"保留中")&gt;0,"保留",IF(COUNTIFS(請求記録!$B$6:$B$3005,$A387,請求記録!$Z$6:$Z$3005,T$5)=0,"",SUMIFS(請求記録!$AE$6:$AE$3005,請求記録!$B$6:$B$3005,$A387,請求記録!$Z$6:$Z$3005,T$5))))</f>
        <v/>
      </c>
      <c r="U387" s="19">
        <f>IF($A387="","",IF(COUNTIFS(請求記録!$B$6:$B$3005,$A387,請求記録!$Z$6:$Z$3005,U$5,請求記録!$AF$6:$AF$3005,"保留中")&gt;0,"保留",IF(COUNTIFS(請求記録!$B$6:$B$3005,$A387,請求記録!$Z$6:$Z$3005,U$5)=0,"",SUMIFS(請求記録!$AE$6:$AE$3005,請求記録!$B$6:$B$3005,$A387,請求記録!$Z$6:$Z$3005,U$5))))</f>
        <v/>
      </c>
      <c r="V387" s="19">
        <f>IF($A387="","",IF(COUNTIFS(請求記録!$B$6:$B$3005,$A387,請求記録!$Z$6:$Z$3005,V$5,請求記録!$AF$6:$AF$3005,"保留中")&gt;0,"保留",IF(COUNTIFS(請求記録!$B$6:$B$3005,$A387,請求記録!$Z$6:$Z$3005,V$5)=0,"",SUMIFS(請求記録!$AE$6:$AE$3005,請求記録!$B$6:$B$3005,$A387,請求記録!$Z$6:$Z$3005,V$5))))</f>
        <v/>
      </c>
      <c r="W387" s="19">
        <f>IF($A387="","",IF(COUNTIFS(請求記録!$B$6:$B$3005,$A387,請求記録!$Z$6:$Z$3005,W$5,請求記録!$AF$6:$AF$3005,"保留中")&gt;0,"保留",IF(COUNTIFS(請求記録!$B$6:$B$3005,$A387,請求記録!$Z$6:$Z$3005,W$5)=0,"",SUMIFS(請求記録!$AE$6:$AE$3005,請求記録!$B$6:$B$3005,$A387,請求記録!$Z$6:$Z$3005,W$5))))</f>
        <v/>
      </c>
      <c r="X387" s="19">
        <f>IF($A387="","",IF(COUNTIFS(請求記録!$B$6:$B$3005,$A387,請求記録!$Z$6:$Z$3005,X$5,請求記録!$AF$6:$AF$3005,"保留中")&gt;0,"保留",IF(COUNTIFS(請求記録!$B$6:$B$3005,$A387,請求記録!$Z$6:$Z$3005,X$5)=0,"",SUMIFS(請求記録!$AE$6:$AE$3005,請求記録!$B$6:$B$3005,$A387,請求記録!$Z$6:$Z$3005,X$5))))</f>
        <v/>
      </c>
      <c r="Y387" s="19">
        <f>IF($A387="","",IF(COUNTIFS(請求記録!$B$6:$B$3005,$A387,請求記録!$Z$6:$Z$3005,Y$5,請求記録!$AF$6:$AF$3005,"保留中")&gt;0,"保留",IF(COUNTIFS(請求記録!$B$6:$B$3005,$A387,請求記録!$Z$6:$Z$3005,Y$5)=0,"",SUMIFS(請求記録!$AE$6:$AE$3005,請求記録!$B$6:$B$3005,$A387,請求記録!$Z$6:$Z$3005,Y$5))))</f>
        <v/>
      </c>
      <c r="Z387" s="19">
        <f>IF($A387="","",IF(COUNTIFS(請求記録!$B$6:$B$3005,$A387,請求記録!$Z$6:$Z$3005,Z$5,請求記録!$AF$6:$AF$3005,"保留中")&gt;0,"保留",IF(COUNTIFS(請求記録!$B$6:$B$3005,$A387,請求記録!$Z$6:$Z$3005,Z$5)=0,"",SUMIFS(請求記録!$AE$6:$AE$3005,請求記録!$B$6:$B$3005,$A387,請求記録!$Z$6:$Z$3005,Z$5))))</f>
        <v/>
      </c>
      <c r="AA387" s="19">
        <f>IF($A387="","",IF(COUNTIFS(請求記録!$B$6:$B$3005,$A387,請求記録!$Z$6:$Z$3005,AA$5,請求記録!$AF$6:$AF$3005,"保留中")&gt;0,"保留",IF(COUNTIFS(請求記録!$B$6:$B$3005,$A387,請求記録!$Z$6:$Z$3005,AA$5)=0,"",SUMIFS(請求記録!$AE$6:$AE$3005,請求記録!$B$6:$B$3005,$A387,請求記録!$Z$6:$Z$3005,AA$5))))</f>
        <v/>
      </c>
      <c r="AB387">
        <f>IF(職員マスタ!P387="保留中",職員マスタ!M387,"")</f>
        <v/>
      </c>
    </row>
    <row r="388">
      <c r="A388">
        <f>IF(職員マスタ!A388="","",職員マスタ!A388)</f>
        <v/>
      </c>
      <c r="B388">
        <f>IF($A388="","",職員マスタ!B388)</f>
        <v/>
      </c>
      <c r="C388">
        <f>IF($A388="","",職員マスタ!C388)</f>
        <v/>
      </c>
      <c r="D388" s="19">
        <f>IF($A388="","",IF(COUNTIFS(請求記録!$B$6:$B$3005,$A388,請求記録!$Z$6:$Z$3005,D$5,請求記録!$AF$6:$AF$3005,"保留中")&gt;0,"保留",IF(COUNTIFS(請求記録!$B$6:$B$3005,$A388,請求記録!$Z$6:$Z$3005,D$5)=0,"",SUMIFS(請求記録!$AE$6:$AE$3005,請求記録!$B$6:$B$3005,$A388,請求記録!$Z$6:$Z$3005,D$5))))</f>
        <v/>
      </c>
      <c r="E388" s="19">
        <f>IF($A388="","",IF(COUNTIFS(請求記録!$B$6:$B$3005,$A388,請求記録!$Z$6:$Z$3005,E$5,請求記録!$AF$6:$AF$3005,"保留中")&gt;0,"保留",IF(COUNTIFS(請求記録!$B$6:$B$3005,$A388,請求記録!$Z$6:$Z$3005,E$5)=0,"",SUMIFS(請求記録!$AE$6:$AE$3005,請求記録!$B$6:$B$3005,$A388,請求記録!$Z$6:$Z$3005,E$5))))</f>
        <v/>
      </c>
      <c r="F388" s="19">
        <f>IF($A388="","",IF(COUNTIFS(請求記録!$B$6:$B$3005,$A388,請求記録!$Z$6:$Z$3005,F$5,請求記録!$AF$6:$AF$3005,"保留中")&gt;0,"保留",IF(COUNTIFS(請求記録!$B$6:$B$3005,$A388,請求記録!$Z$6:$Z$3005,F$5)=0,"",SUMIFS(請求記録!$AE$6:$AE$3005,請求記録!$B$6:$B$3005,$A388,請求記録!$Z$6:$Z$3005,F$5))))</f>
        <v/>
      </c>
      <c r="G388" s="19">
        <f>IF($A388="","",IF(COUNTIFS(請求記録!$B$6:$B$3005,$A388,請求記録!$Z$6:$Z$3005,G$5,請求記録!$AF$6:$AF$3005,"保留中")&gt;0,"保留",IF(COUNTIFS(請求記録!$B$6:$B$3005,$A388,請求記録!$Z$6:$Z$3005,G$5)=0,"",SUMIFS(請求記録!$AE$6:$AE$3005,請求記録!$B$6:$B$3005,$A388,請求記録!$Z$6:$Z$3005,G$5))))</f>
        <v/>
      </c>
      <c r="H388" s="19">
        <f>IF($A388="","",IF(COUNTIFS(請求記録!$B$6:$B$3005,$A388,請求記録!$Z$6:$Z$3005,H$5,請求記録!$AF$6:$AF$3005,"保留中")&gt;0,"保留",IF(COUNTIFS(請求記録!$B$6:$B$3005,$A388,請求記録!$Z$6:$Z$3005,H$5)=0,"",SUMIFS(請求記録!$AE$6:$AE$3005,請求記録!$B$6:$B$3005,$A388,請求記録!$Z$6:$Z$3005,H$5))))</f>
        <v/>
      </c>
      <c r="I388" s="19">
        <f>IF($A388="","",IF(COUNTIFS(請求記録!$B$6:$B$3005,$A388,請求記録!$Z$6:$Z$3005,I$5,請求記録!$AF$6:$AF$3005,"保留中")&gt;0,"保留",IF(COUNTIFS(請求記録!$B$6:$B$3005,$A388,請求記録!$Z$6:$Z$3005,I$5)=0,"",SUMIFS(請求記録!$AE$6:$AE$3005,請求記録!$B$6:$B$3005,$A388,請求記録!$Z$6:$Z$3005,I$5))))</f>
        <v/>
      </c>
      <c r="J388" s="19">
        <f>IF($A388="","",IF(COUNTIFS(請求記録!$B$6:$B$3005,$A388,請求記録!$Z$6:$Z$3005,J$5,請求記録!$AF$6:$AF$3005,"保留中")&gt;0,"保留",IF(COUNTIFS(請求記録!$B$6:$B$3005,$A388,請求記録!$Z$6:$Z$3005,J$5)=0,"",SUMIFS(請求記録!$AE$6:$AE$3005,請求記録!$B$6:$B$3005,$A388,請求記録!$Z$6:$Z$3005,J$5))))</f>
        <v/>
      </c>
      <c r="K388" s="19">
        <f>IF($A388="","",IF(COUNTIFS(請求記録!$B$6:$B$3005,$A388,請求記録!$Z$6:$Z$3005,K$5,請求記録!$AF$6:$AF$3005,"保留中")&gt;0,"保留",IF(COUNTIFS(請求記録!$B$6:$B$3005,$A388,請求記録!$Z$6:$Z$3005,K$5)=0,"",SUMIFS(請求記録!$AE$6:$AE$3005,請求記録!$B$6:$B$3005,$A388,請求記録!$Z$6:$Z$3005,K$5))))</f>
        <v/>
      </c>
      <c r="L388" s="19">
        <f>IF($A388="","",IF(COUNTIFS(請求記録!$B$6:$B$3005,$A388,請求記録!$Z$6:$Z$3005,L$5,請求記録!$AF$6:$AF$3005,"保留中")&gt;0,"保留",IF(COUNTIFS(請求記録!$B$6:$B$3005,$A388,請求記録!$Z$6:$Z$3005,L$5)=0,"",SUMIFS(請求記録!$AE$6:$AE$3005,請求記録!$B$6:$B$3005,$A388,請求記録!$Z$6:$Z$3005,L$5))))</f>
        <v/>
      </c>
      <c r="M388" s="19">
        <f>IF($A388="","",IF(COUNTIFS(請求記録!$B$6:$B$3005,$A388,請求記録!$Z$6:$Z$3005,M$5,請求記録!$AF$6:$AF$3005,"保留中")&gt;0,"保留",IF(COUNTIFS(請求記録!$B$6:$B$3005,$A388,請求記録!$Z$6:$Z$3005,M$5)=0,"",SUMIFS(請求記録!$AE$6:$AE$3005,請求記録!$B$6:$B$3005,$A388,請求記録!$Z$6:$Z$3005,M$5))))</f>
        <v/>
      </c>
      <c r="N388" s="19">
        <f>IF($A388="","",IF(COUNTIFS(請求記録!$B$6:$B$3005,$A388,請求記録!$Z$6:$Z$3005,N$5,請求記録!$AF$6:$AF$3005,"保留中")&gt;0,"保留",IF(COUNTIFS(請求記録!$B$6:$B$3005,$A388,請求記録!$Z$6:$Z$3005,N$5)=0,"",SUMIFS(請求記録!$AE$6:$AE$3005,請求記録!$B$6:$B$3005,$A388,請求記録!$Z$6:$Z$3005,N$5))))</f>
        <v/>
      </c>
      <c r="O388" s="19">
        <f>IF($A388="","",IF(COUNTIFS(請求記録!$B$6:$B$3005,$A388,請求記録!$Z$6:$Z$3005,O$5,請求記録!$AF$6:$AF$3005,"保留中")&gt;0,"保留",IF(COUNTIFS(請求記録!$B$6:$B$3005,$A388,請求記録!$Z$6:$Z$3005,O$5)=0,"",SUMIFS(請求記録!$AE$6:$AE$3005,請求記録!$B$6:$B$3005,$A388,請求記録!$Z$6:$Z$3005,O$5))))</f>
        <v/>
      </c>
      <c r="P388" s="19">
        <f>IF($A388="","",IF(COUNTIFS(請求記録!$B$6:$B$3005,$A388,請求記録!$Z$6:$Z$3005,P$5,請求記録!$AF$6:$AF$3005,"保留中")&gt;0,"保留",IF(COUNTIFS(請求記録!$B$6:$B$3005,$A388,請求記録!$Z$6:$Z$3005,P$5)=0,"",SUMIFS(請求記録!$AE$6:$AE$3005,請求記録!$B$6:$B$3005,$A388,請求記録!$Z$6:$Z$3005,P$5))))</f>
        <v/>
      </c>
      <c r="Q388" s="19">
        <f>IF($A388="","",IF(COUNTIFS(請求記録!$B$6:$B$3005,$A388,請求記録!$Z$6:$Z$3005,Q$5,請求記録!$AF$6:$AF$3005,"保留中")&gt;0,"保留",IF(COUNTIFS(請求記録!$B$6:$B$3005,$A388,請求記録!$Z$6:$Z$3005,Q$5)=0,"",SUMIFS(請求記録!$AE$6:$AE$3005,請求記録!$B$6:$B$3005,$A388,請求記録!$Z$6:$Z$3005,Q$5))))</f>
        <v/>
      </c>
      <c r="R388" s="19">
        <f>IF($A388="","",IF(COUNTIFS(請求記録!$B$6:$B$3005,$A388,請求記録!$Z$6:$Z$3005,R$5,請求記録!$AF$6:$AF$3005,"保留中")&gt;0,"保留",IF(COUNTIFS(請求記録!$B$6:$B$3005,$A388,請求記録!$Z$6:$Z$3005,R$5)=0,"",SUMIFS(請求記録!$AE$6:$AE$3005,請求記録!$B$6:$B$3005,$A388,請求記録!$Z$6:$Z$3005,R$5))))</f>
        <v/>
      </c>
      <c r="S388" s="19">
        <f>IF($A388="","",IF(COUNTIFS(請求記録!$B$6:$B$3005,$A388,請求記録!$Z$6:$Z$3005,S$5,請求記録!$AF$6:$AF$3005,"保留中")&gt;0,"保留",IF(COUNTIFS(請求記録!$B$6:$B$3005,$A388,請求記録!$Z$6:$Z$3005,S$5)=0,"",SUMIFS(請求記録!$AE$6:$AE$3005,請求記録!$B$6:$B$3005,$A388,請求記録!$Z$6:$Z$3005,S$5))))</f>
        <v/>
      </c>
      <c r="T388" s="19">
        <f>IF($A388="","",IF(COUNTIFS(請求記録!$B$6:$B$3005,$A388,請求記録!$Z$6:$Z$3005,T$5,請求記録!$AF$6:$AF$3005,"保留中")&gt;0,"保留",IF(COUNTIFS(請求記録!$B$6:$B$3005,$A388,請求記録!$Z$6:$Z$3005,T$5)=0,"",SUMIFS(請求記録!$AE$6:$AE$3005,請求記録!$B$6:$B$3005,$A388,請求記録!$Z$6:$Z$3005,T$5))))</f>
        <v/>
      </c>
      <c r="U388" s="19">
        <f>IF($A388="","",IF(COUNTIFS(請求記録!$B$6:$B$3005,$A388,請求記録!$Z$6:$Z$3005,U$5,請求記録!$AF$6:$AF$3005,"保留中")&gt;0,"保留",IF(COUNTIFS(請求記録!$B$6:$B$3005,$A388,請求記録!$Z$6:$Z$3005,U$5)=0,"",SUMIFS(請求記録!$AE$6:$AE$3005,請求記録!$B$6:$B$3005,$A388,請求記録!$Z$6:$Z$3005,U$5))))</f>
        <v/>
      </c>
      <c r="V388" s="19">
        <f>IF($A388="","",IF(COUNTIFS(請求記録!$B$6:$B$3005,$A388,請求記録!$Z$6:$Z$3005,V$5,請求記録!$AF$6:$AF$3005,"保留中")&gt;0,"保留",IF(COUNTIFS(請求記録!$B$6:$B$3005,$A388,請求記録!$Z$6:$Z$3005,V$5)=0,"",SUMIFS(請求記録!$AE$6:$AE$3005,請求記録!$B$6:$B$3005,$A388,請求記録!$Z$6:$Z$3005,V$5))))</f>
        <v/>
      </c>
      <c r="W388" s="19">
        <f>IF($A388="","",IF(COUNTIFS(請求記録!$B$6:$B$3005,$A388,請求記録!$Z$6:$Z$3005,W$5,請求記録!$AF$6:$AF$3005,"保留中")&gt;0,"保留",IF(COUNTIFS(請求記録!$B$6:$B$3005,$A388,請求記録!$Z$6:$Z$3005,W$5)=0,"",SUMIFS(請求記録!$AE$6:$AE$3005,請求記録!$B$6:$B$3005,$A388,請求記録!$Z$6:$Z$3005,W$5))))</f>
        <v/>
      </c>
      <c r="X388" s="19">
        <f>IF($A388="","",IF(COUNTIFS(請求記録!$B$6:$B$3005,$A388,請求記録!$Z$6:$Z$3005,X$5,請求記録!$AF$6:$AF$3005,"保留中")&gt;0,"保留",IF(COUNTIFS(請求記録!$B$6:$B$3005,$A388,請求記録!$Z$6:$Z$3005,X$5)=0,"",SUMIFS(請求記録!$AE$6:$AE$3005,請求記録!$B$6:$B$3005,$A388,請求記録!$Z$6:$Z$3005,X$5))))</f>
        <v/>
      </c>
      <c r="Y388" s="19">
        <f>IF($A388="","",IF(COUNTIFS(請求記録!$B$6:$B$3005,$A388,請求記録!$Z$6:$Z$3005,Y$5,請求記録!$AF$6:$AF$3005,"保留中")&gt;0,"保留",IF(COUNTIFS(請求記録!$B$6:$B$3005,$A388,請求記録!$Z$6:$Z$3005,Y$5)=0,"",SUMIFS(請求記録!$AE$6:$AE$3005,請求記録!$B$6:$B$3005,$A388,請求記録!$Z$6:$Z$3005,Y$5))))</f>
        <v/>
      </c>
      <c r="Z388" s="19">
        <f>IF($A388="","",IF(COUNTIFS(請求記録!$B$6:$B$3005,$A388,請求記録!$Z$6:$Z$3005,Z$5,請求記録!$AF$6:$AF$3005,"保留中")&gt;0,"保留",IF(COUNTIFS(請求記録!$B$6:$B$3005,$A388,請求記録!$Z$6:$Z$3005,Z$5)=0,"",SUMIFS(請求記録!$AE$6:$AE$3005,請求記録!$B$6:$B$3005,$A388,請求記録!$Z$6:$Z$3005,Z$5))))</f>
        <v/>
      </c>
      <c r="AA388" s="19">
        <f>IF($A388="","",IF(COUNTIFS(請求記録!$B$6:$B$3005,$A388,請求記録!$Z$6:$Z$3005,AA$5,請求記録!$AF$6:$AF$3005,"保留中")&gt;0,"保留",IF(COUNTIFS(請求記録!$B$6:$B$3005,$A388,請求記録!$Z$6:$Z$3005,AA$5)=0,"",SUMIFS(請求記録!$AE$6:$AE$3005,請求記録!$B$6:$B$3005,$A388,請求記録!$Z$6:$Z$3005,AA$5))))</f>
        <v/>
      </c>
      <c r="AB388">
        <f>IF(職員マスタ!P388="保留中",職員マスタ!M388,"")</f>
        <v/>
      </c>
    </row>
    <row r="389">
      <c r="A389">
        <f>IF(職員マスタ!A389="","",職員マスタ!A389)</f>
        <v/>
      </c>
      <c r="B389">
        <f>IF($A389="","",職員マスタ!B389)</f>
        <v/>
      </c>
      <c r="C389">
        <f>IF($A389="","",職員マスタ!C389)</f>
        <v/>
      </c>
      <c r="D389" s="19">
        <f>IF($A389="","",IF(COUNTIFS(請求記録!$B$6:$B$3005,$A389,請求記録!$Z$6:$Z$3005,D$5,請求記録!$AF$6:$AF$3005,"保留中")&gt;0,"保留",IF(COUNTIFS(請求記録!$B$6:$B$3005,$A389,請求記録!$Z$6:$Z$3005,D$5)=0,"",SUMIFS(請求記録!$AE$6:$AE$3005,請求記録!$B$6:$B$3005,$A389,請求記録!$Z$6:$Z$3005,D$5))))</f>
        <v/>
      </c>
      <c r="E389" s="19">
        <f>IF($A389="","",IF(COUNTIFS(請求記録!$B$6:$B$3005,$A389,請求記録!$Z$6:$Z$3005,E$5,請求記録!$AF$6:$AF$3005,"保留中")&gt;0,"保留",IF(COUNTIFS(請求記録!$B$6:$B$3005,$A389,請求記録!$Z$6:$Z$3005,E$5)=0,"",SUMIFS(請求記録!$AE$6:$AE$3005,請求記録!$B$6:$B$3005,$A389,請求記録!$Z$6:$Z$3005,E$5))))</f>
        <v/>
      </c>
      <c r="F389" s="19">
        <f>IF($A389="","",IF(COUNTIFS(請求記録!$B$6:$B$3005,$A389,請求記録!$Z$6:$Z$3005,F$5,請求記録!$AF$6:$AF$3005,"保留中")&gt;0,"保留",IF(COUNTIFS(請求記録!$B$6:$B$3005,$A389,請求記録!$Z$6:$Z$3005,F$5)=0,"",SUMIFS(請求記録!$AE$6:$AE$3005,請求記録!$B$6:$B$3005,$A389,請求記録!$Z$6:$Z$3005,F$5))))</f>
        <v/>
      </c>
      <c r="G389" s="19">
        <f>IF($A389="","",IF(COUNTIFS(請求記録!$B$6:$B$3005,$A389,請求記録!$Z$6:$Z$3005,G$5,請求記録!$AF$6:$AF$3005,"保留中")&gt;0,"保留",IF(COUNTIFS(請求記録!$B$6:$B$3005,$A389,請求記録!$Z$6:$Z$3005,G$5)=0,"",SUMIFS(請求記録!$AE$6:$AE$3005,請求記録!$B$6:$B$3005,$A389,請求記録!$Z$6:$Z$3005,G$5))))</f>
        <v/>
      </c>
      <c r="H389" s="19">
        <f>IF($A389="","",IF(COUNTIFS(請求記録!$B$6:$B$3005,$A389,請求記録!$Z$6:$Z$3005,H$5,請求記録!$AF$6:$AF$3005,"保留中")&gt;0,"保留",IF(COUNTIFS(請求記録!$B$6:$B$3005,$A389,請求記録!$Z$6:$Z$3005,H$5)=0,"",SUMIFS(請求記録!$AE$6:$AE$3005,請求記録!$B$6:$B$3005,$A389,請求記録!$Z$6:$Z$3005,H$5))))</f>
        <v/>
      </c>
      <c r="I389" s="19">
        <f>IF($A389="","",IF(COUNTIFS(請求記録!$B$6:$B$3005,$A389,請求記録!$Z$6:$Z$3005,I$5,請求記録!$AF$6:$AF$3005,"保留中")&gt;0,"保留",IF(COUNTIFS(請求記録!$B$6:$B$3005,$A389,請求記録!$Z$6:$Z$3005,I$5)=0,"",SUMIFS(請求記録!$AE$6:$AE$3005,請求記録!$B$6:$B$3005,$A389,請求記録!$Z$6:$Z$3005,I$5))))</f>
        <v/>
      </c>
      <c r="J389" s="19">
        <f>IF($A389="","",IF(COUNTIFS(請求記録!$B$6:$B$3005,$A389,請求記録!$Z$6:$Z$3005,J$5,請求記録!$AF$6:$AF$3005,"保留中")&gt;0,"保留",IF(COUNTIFS(請求記録!$B$6:$B$3005,$A389,請求記録!$Z$6:$Z$3005,J$5)=0,"",SUMIFS(請求記録!$AE$6:$AE$3005,請求記録!$B$6:$B$3005,$A389,請求記録!$Z$6:$Z$3005,J$5))))</f>
        <v/>
      </c>
      <c r="K389" s="19">
        <f>IF($A389="","",IF(COUNTIFS(請求記録!$B$6:$B$3005,$A389,請求記録!$Z$6:$Z$3005,K$5,請求記録!$AF$6:$AF$3005,"保留中")&gt;0,"保留",IF(COUNTIFS(請求記録!$B$6:$B$3005,$A389,請求記録!$Z$6:$Z$3005,K$5)=0,"",SUMIFS(請求記録!$AE$6:$AE$3005,請求記録!$B$6:$B$3005,$A389,請求記録!$Z$6:$Z$3005,K$5))))</f>
        <v/>
      </c>
      <c r="L389" s="19">
        <f>IF($A389="","",IF(COUNTIFS(請求記録!$B$6:$B$3005,$A389,請求記録!$Z$6:$Z$3005,L$5,請求記録!$AF$6:$AF$3005,"保留中")&gt;0,"保留",IF(COUNTIFS(請求記録!$B$6:$B$3005,$A389,請求記録!$Z$6:$Z$3005,L$5)=0,"",SUMIFS(請求記録!$AE$6:$AE$3005,請求記録!$B$6:$B$3005,$A389,請求記録!$Z$6:$Z$3005,L$5))))</f>
        <v/>
      </c>
      <c r="M389" s="19">
        <f>IF($A389="","",IF(COUNTIFS(請求記録!$B$6:$B$3005,$A389,請求記録!$Z$6:$Z$3005,M$5,請求記録!$AF$6:$AF$3005,"保留中")&gt;0,"保留",IF(COUNTIFS(請求記録!$B$6:$B$3005,$A389,請求記録!$Z$6:$Z$3005,M$5)=0,"",SUMIFS(請求記録!$AE$6:$AE$3005,請求記録!$B$6:$B$3005,$A389,請求記録!$Z$6:$Z$3005,M$5))))</f>
        <v/>
      </c>
      <c r="N389" s="19">
        <f>IF($A389="","",IF(COUNTIFS(請求記録!$B$6:$B$3005,$A389,請求記録!$Z$6:$Z$3005,N$5,請求記録!$AF$6:$AF$3005,"保留中")&gt;0,"保留",IF(COUNTIFS(請求記録!$B$6:$B$3005,$A389,請求記録!$Z$6:$Z$3005,N$5)=0,"",SUMIFS(請求記録!$AE$6:$AE$3005,請求記録!$B$6:$B$3005,$A389,請求記録!$Z$6:$Z$3005,N$5))))</f>
        <v/>
      </c>
      <c r="O389" s="19">
        <f>IF($A389="","",IF(COUNTIFS(請求記録!$B$6:$B$3005,$A389,請求記録!$Z$6:$Z$3005,O$5,請求記録!$AF$6:$AF$3005,"保留中")&gt;0,"保留",IF(COUNTIFS(請求記録!$B$6:$B$3005,$A389,請求記録!$Z$6:$Z$3005,O$5)=0,"",SUMIFS(請求記録!$AE$6:$AE$3005,請求記録!$B$6:$B$3005,$A389,請求記録!$Z$6:$Z$3005,O$5))))</f>
        <v/>
      </c>
      <c r="P389" s="19">
        <f>IF($A389="","",IF(COUNTIFS(請求記録!$B$6:$B$3005,$A389,請求記録!$Z$6:$Z$3005,P$5,請求記録!$AF$6:$AF$3005,"保留中")&gt;0,"保留",IF(COUNTIFS(請求記録!$B$6:$B$3005,$A389,請求記録!$Z$6:$Z$3005,P$5)=0,"",SUMIFS(請求記録!$AE$6:$AE$3005,請求記録!$B$6:$B$3005,$A389,請求記録!$Z$6:$Z$3005,P$5))))</f>
        <v/>
      </c>
      <c r="Q389" s="19">
        <f>IF($A389="","",IF(COUNTIFS(請求記録!$B$6:$B$3005,$A389,請求記録!$Z$6:$Z$3005,Q$5,請求記録!$AF$6:$AF$3005,"保留中")&gt;0,"保留",IF(COUNTIFS(請求記録!$B$6:$B$3005,$A389,請求記録!$Z$6:$Z$3005,Q$5)=0,"",SUMIFS(請求記録!$AE$6:$AE$3005,請求記録!$B$6:$B$3005,$A389,請求記録!$Z$6:$Z$3005,Q$5))))</f>
        <v/>
      </c>
      <c r="R389" s="19">
        <f>IF($A389="","",IF(COUNTIFS(請求記録!$B$6:$B$3005,$A389,請求記録!$Z$6:$Z$3005,R$5,請求記録!$AF$6:$AF$3005,"保留中")&gt;0,"保留",IF(COUNTIFS(請求記録!$B$6:$B$3005,$A389,請求記録!$Z$6:$Z$3005,R$5)=0,"",SUMIFS(請求記録!$AE$6:$AE$3005,請求記録!$B$6:$B$3005,$A389,請求記録!$Z$6:$Z$3005,R$5))))</f>
        <v/>
      </c>
      <c r="S389" s="19">
        <f>IF($A389="","",IF(COUNTIFS(請求記録!$B$6:$B$3005,$A389,請求記録!$Z$6:$Z$3005,S$5,請求記録!$AF$6:$AF$3005,"保留中")&gt;0,"保留",IF(COUNTIFS(請求記録!$B$6:$B$3005,$A389,請求記録!$Z$6:$Z$3005,S$5)=0,"",SUMIFS(請求記録!$AE$6:$AE$3005,請求記録!$B$6:$B$3005,$A389,請求記録!$Z$6:$Z$3005,S$5))))</f>
        <v/>
      </c>
      <c r="T389" s="19">
        <f>IF($A389="","",IF(COUNTIFS(請求記録!$B$6:$B$3005,$A389,請求記録!$Z$6:$Z$3005,T$5,請求記録!$AF$6:$AF$3005,"保留中")&gt;0,"保留",IF(COUNTIFS(請求記録!$B$6:$B$3005,$A389,請求記録!$Z$6:$Z$3005,T$5)=0,"",SUMIFS(請求記録!$AE$6:$AE$3005,請求記録!$B$6:$B$3005,$A389,請求記録!$Z$6:$Z$3005,T$5))))</f>
        <v/>
      </c>
      <c r="U389" s="19">
        <f>IF($A389="","",IF(COUNTIFS(請求記録!$B$6:$B$3005,$A389,請求記録!$Z$6:$Z$3005,U$5,請求記録!$AF$6:$AF$3005,"保留中")&gt;0,"保留",IF(COUNTIFS(請求記録!$B$6:$B$3005,$A389,請求記録!$Z$6:$Z$3005,U$5)=0,"",SUMIFS(請求記録!$AE$6:$AE$3005,請求記録!$B$6:$B$3005,$A389,請求記録!$Z$6:$Z$3005,U$5))))</f>
        <v/>
      </c>
      <c r="V389" s="19">
        <f>IF($A389="","",IF(COUNTIFS(請求記録!$B$6:$B$3005,$A389,請求記録!$Z$6:$Z$3005,V$5,請求記録!$AF$6:$AF$3005,"保留中")&gt;0,"保留",IF(COUNTIFS(請求記録!$B$6:$B$3005,$A389,請求記録!$Z$6:$Z$3005,V$5)=0,"",SUMIFS(請求記録!$AE$6:$AE$3005,請求記録!$B$6:$B$3005,$A389,請求記録!$Z$6:$Z$3005,V$5))))</f>
        <v/>
      </c>
      <c r="W389" s="19">
        <f>IF($A389="","",IF(COUNTIFS(請求記録!$B$6:$B$3005,$A389,請求記録!$Z$6:$Z$3005,W$5,請求記録!$AF$6:$AF$3005,"保留中")&gt;0,"保留",IF(COUNTIFS(請求記録!$B$6:$B$3005,$A389,請求記録!$Z$6:$Z$3005,W$5)=0,"",SUMIFS(請求記録!$AE$6:$AE$3005,請求記録!$B$6:$B$3005,$A389,請求記録!$Z$6:$Z$3005,W$5))))</f>
        <v/>
      </c>
      <c r="X389" s="19">
        <f>IF($A389="","",IF(COUNTIFS(請求記録!$B$6:$B$3005,$A389,請求記録!$Z$6:$Z$3005,X$5,請求記録!$AF$6:$AF$3005,"保留中")&gt;0,"保留",IF(COUNTIFS(請求記録!$B$6:$B$3005,$A389,請求記録!$Z$6:$Z$3005,X$5)=0,"",SUMIFS(請求記録!$AE$6:$AE$3005,請求記録!$B$6:$B$3005,$A389,請求記録!$Z$6:$Z$3005,X$5))))</f>
        <v/>
      </c>
      <c r="Y389" s="19">
        <f>IF($A389="","",IF(COUNTIFS(請求記録!$B$6:$B$3005,$A389,請求記録!$Z$6:$Z$3005,Y$5,請求記録!$AF$6:$AF$3005,"保留中")&gt;0,"保留",IF(COUNTIFS(請求記録!$B$6:$B$3005,$A389,請求記録!$Z$6:$Z$3005,Y$5)=0,"",SUMIFS(請求記録!$AE$6:$AE$3005,請求記録!$B$6:$B$3005,$A389,請求記録!$Z$6:$Z$3005,Y$5))))</f>
        <v/>
      </c>
      <c r="Z389" s="19">
        <f>IF($A389="","",IF(COUNTIFS(請求記録!$B$6:$B$3005,$A389,請求記録!$Z$6:$Z$3005,Z$5,請求記録!$AF$6:$AF$3005,"保留中")&gt;0,"保留",IF(COUNTIFS(請求記録!$B$6:$B$3005,$A389,請求記録!$Z$6:$Z$3005,Z$5)=0,"",SUMIFS(請求記録!$AE$6:$AE$3005,請求記録!$B$6:$B$3005,$A389,請求記録!$Z$6:$Z$3005,Z$5))))</f>
        <v/>
      </c>
      <c r="AA389" s="19">
        <f>IF($A389="","",IF(COUNTIFS(請求記録!$B$6:$B$3005,$A389,請求記録!$Z$6:$Z$3005,AA$5,請求記録!$AF$6:$AF$3005,"保留中")&gt;0,"保留",IF(COUNTIFS(請求記録!$B$6:$B$3005,$A389,請求記録!$Z$6:$Z$3005,AA$5)=0,"",SUMIFS(請求記録!$AE$6:$AE$3005,請求記録!$B$6:$B$3005,$A389,請求記録!$Z$6:$Z$3005,AA$5))))</f>
        <v/>
      </c>
      <c r="AB389">
        <f>IF(職員マスタ!P389="保留中",職員マスタ!M389,"")</f>
        <v/>
      </c>
    </row>
    <row r="390">
      <c r="A390">
        <f>IF(職員マスタ!A390="","",職員マスタ!A390)</f>
        <v/>
      </c>
      <c r="B390">
        <f>IF($A390="","",職員マスタ!B390)</f>
        <v/>
      </c>
      <c r="C390">
        <f>IF($A390="","",職員マスタ!C390)</f>
        <v/>
      </c>
      <c r="D390" s="19">
        <f>IF($A390="","",IF(COUNTIFS(請求記録!$B$6:$B$3005,$A390,請求記録!$Z$6:$Z$3005,D$5,請求記録!$AF$6:$AF$3005,"保留中")&gt;0,"保留",IF(COUNTIFS(請求記録!$B$6:$B$3005,$A390,請求記録!$Z$6:$Z$3005,D$5)=0,"",SUMIFS(請求記録!$AE$6:$AE$3005,請求記録!$B$6:$B$3005,$A390,請求記録!$Z$6:$Z$3005,D$5))))</f>
        <v/>
      </c>
      <c r="E390" s="19">
        <f>IF($A390="","",IF(COUNTIFS(請求記録!$B$6:$B$3005,$A390,請求記録!$Z$6:$Z$3005,E$5,請求記録!$AF$6:$AF$3005,"保留中")&gt;0,"保留",IF(COUNTIFS(請求記録!$B$6:$B$3005,$A390,請求記録!$Z$6:$Z$3005,E$5)=0,"",SUMIFS(請求記録!$AE$6:$AE$3005,請求記録!$B$6:$B$3005,$A390,請求記録!$Z$6:$Z$3005,E$5))))</f>
        <v/>
      </c>
      <c r="F390" s="19">
        <f>IF($A390="","",IF(COUNTIFS(請求記録!$B$6:$B$3005,$A390,請求記録!$Z$6:$Z$3005,F$5,請求記録!$AF$6:$AF$3005,"保留中")&gt;0,"保留",IF(COUNTIFS(請求記録!$B$6:$B$3005,$A390,請求記録!$Z$6:$Z$3005,F$5)=0,"",SUMIFS(請求記録!$AE$6:$AE$3005,請求記録!$B$6:$B$3005,$A390,請求記録!$Z$6:$Z$3005,F$5))))</f>
        <v/>
      </c>
      <c r="G390" s="19">
        <f>IF($A390="","",IF(COUNTIFS(請求記録!$B$6:$B$3005,$A390,請求記録!$Z$6:$Z$3005,G$5,請求記録!$AF$6:$AF$3005,"保留中")&gt;0,"保留",IF(COUNTIFS(請求記録!$B$6:$B$3005,$A390,請求記録!$Z$6:$Z$3005,G$5)=0,"",SUMIFS(請求記録!$AE$6:$AE$3005,請求記録!$B$6:$B$3005,$A390,請求記録!$Z$6:$Z$3005,G$5))))</f>
        <v/>
      </c>
      <c r="H390" s="19">
        <f>IF($A390="","",IF(COUNTIFS(請求記録!$B$6:$B$3005,$A390,請求記録!$Z$6:$Z$3005,H$5,請求記録!$AF$6:$AF$3005,"保留中")&gt;0,"保留",IF(COUNTIFS(請求記録!$B$6:$B$3005,$A390,請求記録!$Z$6:$Z$3005,H$5)=0,"",SUMIFS(請求記録!$AE$6:$AE$3005,請求記録!$B$6:$B$3005,$A390,請求記録!$Z$6:$Z$3005,H$5))))</f>
        <v/>
      </c>
      <c r="I390" s="19">
        <f>IF($A390="","",IF(COUNTIFS(請求記録!$B$6:$B$3005,$A390,請求記録!$Z$6:$Z$3005,I$5,請求記録!$AF$6:$AF$3005,"保留中")&gt;0,"保留",IF(COUNTIFS(請求記録!$B$6:$B$3005,$A390,請求記録!$Z$6:$Z$3005,I$5)=0,"",SUMIFS(請求記録!$AE$6:$AE$3005,請求記録!$B$6:$B$3005,$A390,請求記録!$Z$6:$Z$3005,I$5))))</f>
        <v/>
      </c>
      <c r="J390" s="19">
        <f>IF($A390="","",IF(COUNTIFS(請求記録!$B$6:$B$3005,$A390,請求記録!$Z$6:$Z$3005,J$5,請求記録!$AF$6:$AF$3005,"保留中")&gt;0,"保留",IF(COUNTIFS(請求記録!$B$6:$B$3005,$A390,請求記録!$Z$6:$Z$3005,J$5)=0,"",SUMIFS(請求記録!$AE$6:$AE$3005,請求記録!$B$6:$B$3005,$A390,請求記録!$Z$6:$Z$3005,J$5))))</f>
        <v/>
      </c>
      <c r="K390" s="19">
        <f>IF($A390="","",IF(COUNTIFS(請求記録!$B$6:$B$3005,$A390,請求記録!$Z$6:$Z$3005,K$5,請求記録!$AF$6:$AF$3005,"保留中")&gt;0,"保留",IF(COUNTIFS(請求記録!$B$6:$B$3005,$A390,請求記録!$Z$6:$Z$3005,K$5)=0,"",SUMIFS(請求記録!$AE$6:$AE$3005,請求記録!$B$6:$B$3005,$A390,請求記録!$Z$6:$Z$3005,K$5))))</f>
        <v/>
      </c>
      <c r="L390" s="19">
        <f>IF($A390="","",IF(COUNTIFS(請求記録!$B$6:$B$3005,$A390,請求記録!$Z$6:$Z$3005,L$5,請求記録!$AF$6:$AF$3005,"保留中")&gt;0,"保留",IF(COUNTIFS(請求記録!$B$6:$B$3005,$A390,請求記録!$Z$6:$Z$3005,L$5)=0,"",SUMIFS(請求記録!$AE$6:$AE$3005,請求記録!$B$6:$B$3005,$A390,請求記録!$Z$6:$Z$3005,L$5))))</f>
        <v/>
      </c>
      <c r="M390" s="19">
        <f>IF($A390="","",IF(COUNTIFS(請求記録!$B$6:$B$3005,$A390,請求記録!$Z$6:$Z$3005,M$5,請求記録!$AF$6:$AF$3005,"保留中")&gt;0,"保留",IF(COUNTIFS(請求記録!$B$6:$B$3005,$A390,請求記録!$Z$6:$Z$3005,M$5)=0,"",SUMIFS(請求記録!$AE$6:$AE$3005,請求記録!$B$6:$B$3005,$A390,請求記録!$Z$6:$Z$3005,M$5))))</f>
        <v/>
      </c>
      <c r="N390" s="19">
        <f>IF($A390="","",IF(COUNTIFS(請求記録!$B$6:$B$3005,$A390,請求記録!$Z$6:$Z$3005,N$5,請求記録!$AF$6:$AF$3005,"保留中")&gt;0,"保留",IF(COUNTIFS(請求記録!$B$6:$B$3005,$A390,請求記録!$Z$6:$Z$3005,N$5)=0,"",SUMIFS(請求記録!$AE$6:$AE$3005,請求記録!$B$6:$B$3005,$A390,請求記録!$Z$6:$Z$3005,N$5))))</f>
        <v/>
      </c>
      <c r="O390" s="19">
        <f>IF($A390="","",IF(COUNTIFS(請求記録!$B$6:$B$3005,$A390,請求記録!$Z$6:$Z$3005,O$5,請求記録!$AF$6:$AF$3005,"保留中")&gt;0,"保留",IF(COUNTIFS(請求記録!$B$6:$B$3005,$A390,請求記録!$Z$6:$Z$3005,O$5)=0,"",SUMIFS(請求記録!$AE$6:$AE$3005,請求記録!$B$6:$B$3005,$A390,請求記録!$Z$6:$Z$3005,O$5))))</f>
        <v/>
      </c>
      <c r="P390" s="19">
        <f>IF($A390="","",IF(COUNTIFS(請求記録!$B$6:$B$3005,$A390,請求記録!$Z$6:$Z$3005,P$5,請求記録!$AF$6:$AF$3005,"保留中")&gt;0,"保留",IF(COUNTIFS(請求記録!$B$6:$B$3005,$A390,請求記録!$Z$6:$Z$3005,P$5)=0,"",SUMIFS(請求記録!$AE$6:$AE$3005,請求記録!$B$6:$B$3005,$A390,請求記録!$Z$6:$Z$3005,P$5))))</f>
        <v/>
      </c>
      <c r="Q390" s="19">
        <f>IF($A390="","",IF(COUNTIFS(請求記録!$B$6:$B$3005,$A390,請求記録!$Z$6:$Z$3005,Q$5,請求記録!$AF$6:$AF$3005,"保留中")&gt;0,"保留",IF(COUNTIFS(請求記録!$B$6:$B$3005,$A390,請求記録!$Z$6:$Z$3005,Q$5)=0,"",SUMIFS(請求記録!$AE$6:$AE$3005,請求記録!$B$6:$B$3005,$A390,請求記録!$Z$6:$Z$3005,Q$5))))</f>
        <v/>
      </c>
      <c r="R390" s="19">
        <f>IF($A390="","",IF(COUNTIFS(請求記録!$B$6:$B$3005,$A390,請求記録!$Z$6:$Z$3005,R$5,請求記録!$AF$6:$AF$3005,"保留中")&gt;0,"保留",IF(COUNTIFS(請求記録!$B$6:$B$3005,$A390,請求記録!$Z$6:$Z$3005,R$5)=0,"",SUMIFS(請求記録!$AE$6:$AE$3005,請求記録!$B$6:$B$3005,$A390,請求記録!$Z$6:$Z$3005,R$5))))</f>
        <v/>
      </c>
      <c r="S390" s="19">
        <f>IF($A390="","",IF(COUNTIFS(請求記録!$B$6:$B$3005,$A390,請求記録!$Z$6:$Z$3005,S$5,請求記録!$AF$6:$AF$3005,"保留中")&gt;0,"保留",IF(COUNTIFS(請求記録!$B$6:$B$3005,$A390,請求記録!$Z$6:$Z$3005,S$5)=0,"",SUMIFS(請求記録!$AE$6:$AE$3005,請求記録!$B$6:$B$3005,$A390,請求記録!$Z$6:$Z$3005,S$5))))</f>
        <v/>
      </c>
      <c r="T390" s="19">
        <f>IF($A390="","",IF(COUNTIFS(請求記録!$B$6:$B$3005,$A390,請求記録!$Z$6:$Z$3005,T$5,請求記録!$AF$6:$AF$3005,"保留中")&gt;0,"保留",IF(COUNTIFS(請求記録!$B$6:$B$3005,$A390,請求記録!$Z$6:$Z$3005,T$5)=0,"",SUMIFS(請求記録!$AE$6:$AE$3005,請求記録!$B$6:$B$3005,$A390,請求記録!$Z$6:$Z$3005,T$5))))</f>
        <v/>
      </c>
      <c r="U390" s="19">
        <f>IF($A390="","",IF(COUNTIFS(請求記録!$B$6:$B$3005,$A390,請求記録!$Z$6:$Z$3005,U$5,請求記録!$AF$6:$AF$3005,"保留中")&gt;0,"保留",IF(COUNTIFS(請求記録!$B$6:$B$3005,$A390,請求記録!$Z$6:$Z$3005,U$5)=0,"",SUMIFS(請求記録!$AE$6:$AE$3005,請求記録!$B$6:$B$3005,$A390,請求記録!$Z$6:$Z$3005,U$5))))</f>
        <v/>
      </c>
      <c r="V390" s="19">
        <f>IF($A390="","",IF(COUNTIFS(請求記録!$B$6:$B$3005,$A390,請求記録!$Z$6:$Z$3005,V$5,請求記録!$AF$6:$AF$3005,"保留中")&gt;0,"保留",IF(COUNTIFS(請求記録!$B$6:$B$3005,$A390,請求記録!$Z$6:$Z$3005,V$5)=0,"",SUMIFS(請求記録!$AE$6:$AE$3005,請求記録!$B$6:$B$3005,$A390,請求記録!$Z$6:$Z$3005,V$5))))</f>
        <v/>
      </c>
      <c r="W390" s="19">
        <f>IF($A390="","",IF(COUNTIFS(請求記録!$B$6:$B$3005,$A390,請求記録!$Z$6:$Z$3005,W$5,請求記録!$AF$6:$AF$3005,"保留中")&gt;0,"保留",IF(COUNTIFS(請求記録!$B$6:$B$3005,$A390,請求記録!$Z$6:$Z$3005,W$5)=0,"",SUMIFS(請求記録!$AE$6:$AE$3005,請求記録!$B$6:$B$3005,$A390,請求記録!$Z$6:$Z$3005,W$5))))</f>
        <v/>
      </c>
      <c r="X390" s="19">
        <f>IF($A390="","",IF(COUNTIFS(請求記録!$B$6:$B$3005,$A390,請求記録!$Z$6:$Z$3005,X$5,請求記録!$AF$6:$AF$3005,"保留中")&gt;0,"保留",IF(COUNTIFS(請求記録!$B$6:$B$3005,$A390,請求記録!$Z$6:$Z$3005,X$5)=0,"",SUMIFS(請求記録!$AE$6:$AE$3005,請求記録!$B$6:$B$3005,$A390,請求記録!$Z$6:$Z$3005,X$5))))</f>
        <v/>
      </c>
      <c r="Y390" s="19">
        <f>IF($A390="","",IF(COUNTIFS(請求記録!$B$6:$B$3005,$A390,請求記録!$Z$6:$Z$3005,Y$5,請求記録!$AF$6:$AF$3005,"保留中")&gt;0,"保留",IF(COUNTIFS(請求記録!$B$6:$B$3005,$A390,請求記録!$Z$6:$Z$3005,Y$5)=0,"",SUMIFS(請求記録!$AE$6:$AE$3005,請求記録!$B$6:$B$3005,$A390,請求記録!$Z$6:$Z$3005,Y$5))))</f>
        <v/>
      </c>
      <c r="Z390" s="19">
        <f>IF($A390="","",IF(COUNTIFS(請求記録!$B$6:$B$3005,$A390,請求記録!$Z$6:$Z$3005,Z$5,請求記録!$AF$6:$AF$3005,"保留中")&gt;0,"保留",IF(COUNTIFS(請求記録!$B$6:$B$3005,$A390,請求記録!$Z$6:$Z$3005,Z$5)=0,"",SUMIFS(請求記録!$AE$6:$AE$3005,請求記録!$B$6:$B$3005,$A390,請求記録!$Z$6:$Z$3005,Z$5))))</f>
        <v/>
      </c>
      <c r="AA390" s="19">
        <f>IF($A390="","",IF(COUNTIFS(請求記録!$B$6:$B$3005,$A390,請求記録!$Z$6:$Z$3005,AA$5,請求記録!$AF$6:$AF$3005,"保留中")&gt;0,"保留",IF(COUNTIFS(請求記録!$B$6:$B$3005,$A390,請求記録!$Z$6:$Z$3005,AA$5)=0,"",SUMIFS(請求記録!$AE$6:$AE$3005,請求記録!$B$6:$B$3005,$A390,請求記録!$Z$6:$Z$3005,AA$5))))</f>
        <v/>
      </c>
      <c r="AB390">
        <f>IF(職員マスタ!P390="保留中",職員マスタ!M390,"")</f>
        <v/>
      </c>
    </row>
    <row r="391">
      <c r="A391">
        <f>IF(職員マスタ!A391="","",職員マスタ!A391)</f>
        <v/>
      </c>
      <c r="B391">
        <f>IF($A391="","",職員マスタ!B391)</f>
        <v/>
      </c>
      <c r="C391">
        <f>IF($A391="","",職員マスタ!C391)</f>
        <v/>
      </c>
      <c r="D391" s="19">
        <f>IF($A391="","",IF(COUNTIFS(請求記録!$B$6:$B$3005,$A391,請求記録!$Z$6:$Z$3005,D$5,請求記録!$AF$6:$AF$3005,"保留中")&gt;0,"保留",IF(COUNTIFS(請求記録!$B$6:$B$3005,$A391,請求記録!$Z$6:$Z$3005,D$5)=0,"",SUMIFS(請求記録!$AE$6:$AE$3005,請求記録!$B$6:$B$3005,$A391,請求記録!$Z$6:$Z$3005,D$5))))</f>
        <v/>
      </c>
      <c r="E391" s="19">
        <f>IF($A391="","",IF(COUNTIFS(請求記録!$B$6:$B$3005,$A391,請求記録!$Z$6:$Z$3005,E$5,請求記録!$AF$6:$AF$3005,"保留中")&gt;0,"保留",IF(COUNTIFS(請求記録!$B$6:$B$3005,$A391,請求記録!$Z$6:$Z$3005,E$5)=0,"",SUMIFS(請求記録!$AE$6:$AE$3005,請求記録!$B$6:$B$3005,$A391,請求記録!$Z$6:$Z$3005,E$5))))</f>
        <v/>
      </c>
      <c r="F391" s="19">
        <f>IF($A391="","",IF(COUNTIFS(請求記録!$B$6:$B$3005,$A391,請求記録!$Z$6:$Z$3005,F$5,請求記録!$AF$6:$AF$3005,"保留中")&gt;0,"保留",IF(COUNTIFS(請求記録!$B$6:$B$3005,$A391,請求記録!$Z$6:$Z$3005,F$5)=0,"",SUMIFS(請求記録!$AE$6:$AE$3005,請求記録!$B$6:$B$3005,$A391,請求記録!$Z$6:$Z$3005,F$5))))</f>
        <v/>
      </c>
      <c r="G391" s="19">
        <f>IF($A391="","",IF(COUNTIFS(請求記録!$B$6:$B$3005,$A391,請求記録!$Z$6:$Z$3005,G$5,請求記録!$AF$6:$AF$3005,"保留中")&gt;0,"保留",IF(COUNTIFS(請求記録!$B$6:$B$3005,$A391,請求記録!$Z$6:$Z$3005,G$5)=0,"",SUMIFS(請求記録!$AE$6:$AE$3005,請求記録!$B$6:$B$3005,$A391,請求記録!$Z$6:$Z$3005,G$5))))</f>
        <v/>
      </c>
      <c r="H391" s="19">
        <f>IF($A391="","",IF(COUNTIFS(請求記録!$B$6:$B$3005,$A391,請求記録!$Z$6:$Z$3005,H$5,請求記録!$AF$6:$AF$3005,"保留中")&gt;0,"保留",IF(COUNTIFS(請求記録!$B$6:$B$3005,$A391,請求記録!$Z$6:$Z$3005,H$5)=0,"",SUMIFS(請求記録!$AE$6:$AE$3005,請求記録!$B$6:$B$3005,$A391,請求記録!$Z$6:$Z$3005,H$5))))</f>
        <v/>
      </c>
      <c r="I391" s="19">
        <f>IF($A391="","",IF(COUNTIFS(請求記録!$B$6:$B$3005,$A391,請求記録!$Z$6:$Z$3005,I$5,請求記録!$AF$6:$AF$3005,"保留中")&gt;0,"保留",IF(COUNTIFS(請求記録!$B$6:$B$3005,$A391,請求記録!$Z$6:$Z$3005,I$5)=0,"",SUMIFS(請求記録!$AE$6:$AE$3005,請求記録!$B$6:$B$3005,$A391,請求記録!$Z$6:$Z$3005,I$5))))</f>
        <v/>
      </c>
      <c r="J391" s="19">
        <f>IF($A391="","",IF(COUNTIFS(請求記録!$B$6:$B$3005,$A391,請求記録!$Z$6:$Z$3005,J$5,請求記録!$AF$6:$AF$3005,"保留中")&gt;0,"保留",IF(COUNTIFS(請求記録!$B$6:$B$3005,$A391,請求記録!$Z$6:$Z$3005,J$5)=0,"",SUMIFS(請求記録!$AE$6:$AE$3005,請求記録!$B$6:$B$3005,$A391,請求記録!$Z$6:$Z$3005,J$5))))</f>
        <v/>
      </c>
      <c r="K391" s="19">
        <f>IF($A391="","",IF(COUNTIFS(請求記録!$B$6:$B$3005,$A391,請求記録!$Z$6:$Z$3005,K$5,請求記録!$AF$6:$AF$3005,"保留中")&gt;0,"保留",IF(COUNTIFS(請求記録!$B$6:$B$3005,$A391,請求記録!$Z$6:$Z$3005,K$5)=0,"",SUMIFS(請求記録!$AE$6:$AE$3005,請求記録!$B$6:$B$3005,$A391,請求記録!$Z$6:$Z$3005,K$5))))</f>
        <v/>
      </c>
      <c r="L391" s="19">
        <f>IF($A391="","",IF(COUNTIFS(請求記録!$B$6:$B$3005,$A391,請求記録!$Z$6:$Z$3005,L$5,請求記録!$AF$6:$AF$3005,"保留中")&gt;0,"保留",IF(COUNTIFS(請求記録!$B$6:$B$3005,$A391,請求記録!$Z$6:$Z$3005,L$5)=0,"",SUMIFS(請求記録!$AE$6:$AE$3005,請求記録!$B$6:$B$3005,$A391,請求記録!$Z$6:$Z$3005,L$5))))</f>
        <v/>
      </c>
      <c r="M391" s="19">
        <f>IF($A391="","",IF(COUNTIFS(請求記録!$B$6:$B$3005,$A391,請求記録!$Z$6:$Z$3005,M$5,請求記録!$AF$6:$AF$3005,"保留中")&gt;0,"保留",IF(COUNTIFS(請求記録!$B$6:$B$3005,$A391,請求記録!$Z$6:$Z$3005,M$5)=0,"",SUMIFS(請求記録!$AE$6:$AE$3005,請求記録!$B$6:$B$3005,$A391,請求記録!$Z$6:$Z$3005,M$5))))</f>
        <v/>
      </c>
      <c r="N391" s="19">
        <f>IF($A391="","",IF(COUNTIFS(請求記録!$B$6:$B$3005,$A391,請求記録!$Z$6:$Z$3005,N$5,請求記録!$AF$6:$AF$3005,"保留中")&gt;0,"保留",IF(COUNTIFS(請求記録!$B$6:$B$3005,$A391,請求記録!$Z$6:$Z$3005,N$5)=0,"",SUMIFS(請求記録!$AE$6:$AE$3005,請求記録!$B$6:$B$3005,$A391,請求記録!$Z$6:$Z$3005,N$5))))</f>
        <v/>
      </c>
      <c r="O391" s="19">
        <f>IF($A391="","",IF(COUNTIFS(請求記録!$B$6:$B$3005,$A391,請求記録!$Z$6:$Z$3005,O$5,請求記録!$AF$6:$AF$3005,"保留中")&gt;0,"保留",IF(COUNTIFS(請求記録!$B$6:$B$3005,$A391,請求記録!$Z$6:$Z$3005,O$5)=0,"",SUMIFS(請求記録!$AE$6:$AE$3005,請求記録!$B$6:$B$3005,$A391,請求記録!$Z$6:$Z$3005,O$5))))</f>
        <v/>
      </c>
      <c r="P391" s="19">
        <f>IF($A391="","",IF(COUNTIFS(請求記録!$B$6:$B$3005,$A391,請求記録!$Z$6:$Z$3005,P$5,請求記録!$AF$6:$AF$3005,"保留中")&gt;0,"保留",IF(COUNTIFS(請求記録!$B$6:$B$3005,$A391,請求記録!$Z$6:$Z$3005,P$5)=0,"",SUMIFS(請求記録!$AE$6:$AE$3005,請求記録!$B$6:$B$3005,$A391,請求記録!$Z$6:$Z$3005,P$5))))</f>
        <v/>
      </c>
      <c r="Q391" s="19">
        <f>IF($A391="","",IF(COUNTIFS(請求記録!$B$6:$B$3005,$A391,請求記録!$Z$6:$Z$3005,Q$5,請求記録!$AF$6:$AF$3005,"保留中")&gt;0,"保留",IF(COUNTIFS(請求記録!$B$6:$B$3005,$A391,請求記録!$Z$6:$Z$3005,Q$5)=0,"",SUMIFS(請求記録!$AE$6:$AE$3005,請求記録!$B$6:$B$3005,$A391,請求記録!$Z$6:$Z$3005,Q$5))))</f>
        <v/>
      </c>
      <c r="R391" s="19">
        <f>IF($A391="","",IF(COUNTIFS(請求記録!$B$6:$B$3005,$A391,請求記録!$Z$6:$Z$3005,R$5,請求記録!$AF$6:$AF$3005,"保留中")&gt;0,"保留",IF(COUNTIFS(請求記録!$B$6:$B$3005,$A391,請求記録!$Z$6:$Z$3005,R$5)=0,"",SUMIFS(請求記録!$AE$6:$AE$3005,請求記録!$B$6:$B$3005,$A391,請求記録!$Z$6:$Z$3005,R$5))))</f>
        <v/>
      </c>
      <c r="S391" s="19">
        <f>IF($A391="","",IF(COUNTIFS(請求記録!$B$6:$B$3005,$A391,請求記録!$Z$6:$Z$3005,S$5,請求記録!$AF$6:$AF$3005,"保留中")&gt;0,"保留",IF(COUNTIFS(請求記録!$B$6:$B$3005,$A391,請求記録!$Z$6:$Z$3005,S$5)=0,"",SUMIFS(請求記録!$AE$6:$AE$3005,請求記録!$B$6:$B$3005,$A391,請求記録!$Z$6:$Z$3005,S$5))))</f>
        <v/>
      </c>
      <c r="T391" s="19">
        <f>IF($A391="","",IF(COUNTIFS(請求記録!$B$6:$B$3005,$A391,請求記録!$Z$6:$Z$3005,T$5,請求記録!$AF$6:$AF$3005,"保留中")&gt;0,"保留",IF(COUNTIFS(請求記録!$B$6:$B$3005,$A391,請求記録!$Z$6:$Z$3005,T$5)=0,"",SUMIFS(請求記録!$AE$6:$AE$3005,請求記録!$B$6:$B$3005,$A391,請求記録!$Z$6:$Z$3005,T$5))))</f>
        <v/>
      </c>
      <c r="U391" s="19">
        <f>IF($A391="","",IF(COUNTIFS(請求記録!$B$6:$B$3005,$A391,請求記録!$Z$6:$Z$3005,U$5,請求記録!$AF$6:$AF$3005,"保留中")&gt;0,"保留",IF(COUNTIFS(請求記録!$B$6:$B$3005,$A391,請求記録!$Z$6:$Z$3005,U$5)=0,"",SUMIFS(請求記録!$AE$6:$AE$3005,請求記録!$B$6:$B$3005,$A391,請求記録!$Z$6:$Z$3005,U$5))))</f>
        <v/>
      </c>
      <c r="V391" s="19">
        <f>IF($A391="","",IF(COUNTIFS(請求記録!$B$6:$B$3005,$A391,請求記録!$Z$6:$Z$3005,V$5,請求記録!$AF$6:$AF$3005,"保留中")&gt;0,"保留",IF(COUNTIFS(請求記録!$B$6:$B$3005,$A391,請求記録!$Z$6:$Z$3005,V$5)=0,"",SUMIFS(請求記録!$AE$6:$AE$3005,請求記録!$B$6:$B$3005,$A391,請求記録!$Z$6:$Z$3005,V$5))))</f>
        <v/>
      </c>
      <c r="W391" s="19">
        <f>IF($A391="","",IF(COUNTIFS(請求記録!$B$6:$B$3005,$A391,請求記録!$Z$6:$Z$3005,W$5,請求記録!$AF$6:$AF$3005,"保留中")&gt;0,"保留",IF(COUNTIFS(請求記録!$B$6:$B$3005,$A391,請求記録!$Z$6:$Z$3005,W$5)=0,"",SUMIFS(請求記録!$AE$6:$AE$3005,請求記録!$B$6:$B$3005,$A391,請求記録!$Z$6:$Z$3005,W$5))))</f>
        <v/>
      </c>
      <c r="X391" s="19">
        <f>IF($A391="","",IF(COUNTIFS(請求記録!$B$6:$B$3005,$A391,請求記録!$Z$6:$Z$3005,X$5,請求記録!$AF$6:$AF$3005,"保留中")&gt;0,"保留",IF(COUNTIFS(請求記録!$B$6:$B$3005,$A391,請求記録!$Z$6:$Z$3005,X$5)=0,"",SUMIFS(請求記録!$AE$6:$AE$3005,請求記録!$B$6:$B$3005,$A391,請求記録!$Z$6:$Z$3005,X$5))))</f>
        <v/>
      </c>
      <c r="Y391" s="19">
        <f>IF($A391="","",IF(COUNTIFS(請求記録!$B$6:$B$3005,$A391,請求記録!$Z$6:$Z$3005,Y$5,請求記録!$AF$6:$AF$3005,"保留中")&gt;0,"保留",IF(COUNTIFS(請求記録!$B$6:$B$3005,$A391,請求記録!$Z$6:$Z$3005,Y$5)=0,"",SUMIFS(請求記録!$AE$6:$AE$3005,請求記録!$B$6:$B$3005,$A391,請求記録!$Z$6:$Z$3005,Y$5))))</f>
        <v/>
      </c>
      <c r="Z391" s="19">
        <f>IF($A391="","",IF(COUNTIFS(請求記録!$B$6:$B$3005,$A391,請求記録!$Z$6:$Z$3005,Z$5,請求記録!$AF$6:$AF$3005,"保留中")&gt;0,"保留",IF(COUNTIFS(請求記録!$B$6:$B$3005,$A391,請求記録!$Z$6:$Z$3005,Z$5)=0,"",SUMIFS(請求記録!$AE$6:$AE$3005,請求記録!$B$6:$B$3005,$A391,請求記録!$Z$6:$Z$3005,Z$5))))</f>
        <v/>
      </c>
      <c r="AA391" s="19">
        <f>IF($A391="","",IF(COUNTIFS(請求記録!$B$6:$B$3005,$A391,請求記録!$Z$6:$Z$3005,AA$5,請求記録!$AF$6:$AF$3005,"保留中")&gt;0,"保留",IF(COUNTIFS(請求記録!$B$6:$B$3005,$A391,請求記録!$Z$6:$Z$3005,AA$5)=0,"",SUMIFS(請求記録!$AE$6:$AE$3005,請求記録!$B$6:$B$3005,$A391,請求記録!$Z$6:$Z$3005,AA$5))))</f>
        <v/>
      </c>
      <c r="AB391">
        <f>IF(職員マスタ!P391="保留中",職員マスタ!M391,"")</f>
        <v/>
      </c>
    </row>
    <row r="392">
      <c r="A392">
        <f>IF(職員マスタ!A392="","",職員マスタ!A392)</f>
        <v/>
      </c>
      <c r="B392">
        <f>IF($A392="","",職員マスタ!B392)</f>
        <v/>
      </c>
      <c r="C392">
        <f>IF($A392="","",職員マスタ!C392)</f>
        <v/>
      </c>
      <c r="D392" s="19">
        <f>IF($A392="","",IF(COUNTIFS(請求記録!$B$6:$B$3005,$A392,請求記録!$Z$6:$Z$3005,D$5,請求記録!$AF$6:$AF$3005,"保留中")&gt;0,"保留",IF(COUNTIFS(請求記録!$B$6:$B$3005,$A392,請求記録!$Z$6:$Z$3005,D$5)=0,"",SUMIFS(請求記録!$AE$6:$AE$3005,請求記録!$B$6:$B$3005,$A392,請求記録!$Z$6:$Z$3005,D$5))))</f>
        <v/>
      </c>
      <c r="E392" s="19">
        <f>IF($A392="","",IF(COUNTIFS(請求記録!$B$6:$B$3005,$A392,請求記録!$Z$6:$Z$3005,E$5,請求記録!$AF$6:$AF$3005,"保留中")&gt;0,"保留",IF(COUNTIFS(請求記録!$B$6:$B$3005,$A392,請求記録!$Z$6:$Z$3005,E$5)=0,"",SUMIFS(請求記録!$AE$6:$AE$3005,請求記録!$B$6:$B$3005,$A392,請求記録!$Z$6:$Z$3005,E$5))))</f>
        <v/>
      </c>
      <c r="F392" s="19">
        <f>IF($A392="","",IF(COUNTIFS(請求記録!$B$6:$B$3005,$A392,請求記録!$Z$6:$Z$3005,F$5,請求記録!$AF$6:$AF$3005,"保留中")&gt;0,"保留",IF(COUNTIFS(請求記録!$B$6:$B$3005,$A392,請求記録!$Z$6:$Z$3005,F$5)=0,"",SUMIFS(請求記録!$AE$6:$AE$3005,請求記録!$B$6:$B$3005,$A392,請求記録!$Z$6:$Z$3005,F$5))))</f>
        <v/>
      </c>
      <c r="G392" s="19">
        <f>IF($A392="","",IF(COUNTIFS(請求記録!$B$6:$B$3005,$A392,請求記録!$Z$6:$Z$3005,G$5,請求記録!$AF$6:$AF$3005,"保留中")&gt;0,"保留",IF(COUNTIFS(請求記録!$B$6:$B$3005,$A392,請求記録!$Z$6:$Z$3005,G$5)=0,"",SUMIFS(請求記録!$AE$6:$AE$3005,請求記録!$B$6:$B$3005,$A392,請求記録!$Z$6:$Z$3005,G$5))))</f>
        <v/>
      </c>
      <c r="H392" s="19">
        <f>IF($A392="","",IF(COUNTIFS(請求記録!$B$6:$B$3005,$A392,請求記録!$Z$6:$Z$3005,H$5,請求記録!$AF$6:$AF$3005,"保留中")&gt;0,"保留",IF(COUNTIFS(請求記録!$B$6:$B$3005,$A392,請求記録!$Z$6:$Z$3005,H$5)=0,"",SUMIFS(請求記録!$AE$6:$AE$3005,請求記録!$B$6:$B$3005,$A392,請求記録!$Z$6:$Z$3005,H$5))))</f>
        <v/>
      </c>
      <c r="I392" s="19">
        <f>IF($A392="","",IF(COUNTIFS(請求記録!$B$6:$B$3005,$A392,請求記録!$Z$6:$Z$3005,I$5,請求記録!$AF$6:$AF$3005,"保留中")&gt;0,"保留",IF(COUNTIFS(請求記録!$B$6:$B$3005,$A392,請求記録!$Z$6:$Z$3005,I$5)=0,"",SUMIFS(請求記録!$AE$6:$AE$3005,請求記録!$B$6:$B$3005,$A392,請求記録!$Z$6:$Z$3005,I$5))))</f>
        <v/>
      </c>
      <c r="J392" s="19">
        <f>IF($A392="","",IF(COUNTIFS(請求記録!$B$6:$B$3005,$A392,請求記録!$Z$6:$Z$3005,J$5,請求記録!$AF$6:$AF$3005,"保留中")&gt;0,"保留",IF(COUNTIFS(請求記録!$B$6:$B$3005,$A392,請求記録!$Z$6:$Z$3005,J$5)=0,"",SUMIFS(請求記録!$AE$6:$AE$3005,請求記録!$B$6:$B$3005,$A392,請求記録!$Z$6:$Z$3005,J$5))))</f>
        <v/>
      </c>
      <c r="K392" s="19">
        <f>IF($A392="","",IF(COUNTIFS(請求記録!$B$6:$B$3005,$A392,請求記録!$Z$6:$Z$3005,K$5,請求記録!$AF$6:$AF$3005,"保留中")&gt;0,"保留",IF(COUNTIFS(請求記録!$B$6:$B$3005,$A392,請求記録!$Z$6:$Z$3005,K$5)=0,"",SUMIFS(請求記録!$AE$6:$AE$3005,請求記録!$B$6:$B$3005,$A392,請求記録!$Z$6:$Z$3005,K$5))))</f>
        <v/>
      </c>
      <c r="L392" s="19">
        <f>IF($A392="","",IF(COUNTIFS(請求記録!$B$6:$B$3005,$A392,請求記録!$Z$6:$Z$3005,L$5,請求記録!$AF$6:$AF$3005,"保留中")&gt;0,"保留",IF(COUNTIFS(請求記録!$B$6:$B$3005,$A392,請求記録!$Z$6:$Z$3005,L$5)=0,"",SUMIFS(請求記録!$AE$6:$AE$3005,請求記録!$B$6:$B$3005,$A392,請求記録!$Z$6:$Z$3005,L$5))))</f>
        <v/>
      </c>
      <c r="M392" s="19">
        <f>IF($A392="","",IF(COUNTIFS(請求記録!$B$6:$B$3005,$A392,請求記録!$Z$6:$Z$3005,M$5,請求記録!$AF$6:$AF$3005,"保留中")&gt;0,"保留",IF(COUNTIFS(請求記録!$B$6:$B$3005,$A392,請求記録!$Z$6:$Z$3005,M$5)=0,"",SUMIFS(請求記録!$AE$6:$AE$3005,請求記録!$B$6:$B$3005,$A392,請求記録!$Z$6:$Z$3005,M$5))))</f>
        <v/>
      </c>
      <c r="N392" s="19">
        <f>IF($A392="","",IF(COUNTIFS(請求記録!$B$6:$B$3005,$A392,請求記録!$Z$6:$Z$3005,N$5,請求記録!$AF$6:$AF$3005,"保留中")&gt;0,"保留",IF(COUNTIFS(請求記録!$B$6:$B$3005,$A392,請求記録!$Z$6:$Z$3005,N$5)=0,"",SUMIFS(請求記録!$AE$6:$AE$3005,請求記録!$B$6:$B$3005,$A392,請求記録!$Z$6:$Z$3005,N$5))))</f>
        <v/>
      </c>
      <c r="O392" s="19">
        <f>IF($A392="","",IF(COUNTIFS(請求記録!$B$6:$B$3005,$A392,請求記録!$Z$6:$Z$3005,O$5,請求記録!$AF$6:$AF$3005,"保留中")&gt;0,"保留",IF(COUNTIFS(請求記録!$B$6:$B$3005,$A392,請求記録!$Z$6:$Z$3005,O$5)=0,"",SUMIFS(請求記録!$AE$6:$AE$3005,請求記録!$B$6:$B$3005,$A392,請求記録!$Z$6:$Z$3005,O$5))))</f>
        <v/>
      </c>
      <c r="P392" s="19">
        <f>IF($A392="","",IF(COUNTIFS(請求記録!$B$6:$B$3005,$A392,請求記録!$Z$6:$Z$3005,P$5,請求記録!$AF$6:$AF$3005,"保留中")&gt;0,"保留",IF(COUNTIFS(請求記録!$B$6:$B$3005,$A392,請求記録!$Z$6:$Z$3005,P$5)=0,"",SUMIFS(請求記録!$AE$6:$AE$3005,請求記録!$B$6:$B$3005,$A392,請求記録!$Z$6:$Z$3005,P$5))))</f>
        <v/>
      </c>
      <c r="Q392" s="19">
        <f>IF($A392="","",IF(COUNTIFS(請求記録!$B$6:$B$3005,$A392,請求記録!$Z$6:$Z$3005,Q$5,請求記録!$AF$6:$AF$3005,"保留中")&gt;0,"保留",IF(COUNTIFS(請求記録!$B$6:$B$3005,$A392,請求記録!$Z$6:$Z$3005,Q$5)=0,"",SUMIFS(請求記録!$AE$6:$AE$3005,請求記録!$B$6:$B$3005,$A392,請求記録!$Z$6:$Z$3005,Q$5))))</f>
        <v/>
      </c>
      <c r="R392" s="19">
        <f>IF($A392="","",IF(COUNTIFS(請求記録!$B$6:$B$3005,$A392,請求記録!$Z$6:$Z$3005,R$5,請求記録!$AF$6:$AF$3005,"保留中")&gt;0,"保留",IF(COUNTIFS(請求記録!$B$6:$B$3005,$A392,請求記録!$Z$6:$Z$3005,R$5)=0,"",SUMIFS(請求記録!$AE$6:$AE$3005,請求記録!$B$6:$B$3005,$A392,請求記録!$Z$6:$Z$3005,R$5))))</f>
        <v/>
      </c>
      <c r="S392" s="19">
        <f>IF($A392="","",IF(COUNTIFS(請求記録!$B$6:$B$3005,$A392,請求記録!$Z$6:$Z$3005,S$5,請求記録!$AF$6:$AF$3005,"保留中")&gt;0,"保留",IF(COUNTIFS(請求記録!$B$6:$B$3005,$A392,請求記録!$Z$6:$Z$3005,S$5)=0,"",SUMIFS(請求記録!$AE$6:$AE$3005,請求記録!$B$6:$B$3005,$A392,請求記録!$Z$6:$Z$3005,S$5))))</f>
        <v/>
      </c>
      <c r="T392" s="19">
        <f>IF($A392="","",IF(COUNTIFS(請求記録!$B$6:$B$3005,$A392,請求記録!$Z$6:$Z$3005,T$5,請求記録!$AF$6:$AF$3005,"保留中")&gt;0,"保留",IF(COUNTIFS(請求記録!$B$6:$B$3005,$A392,請求記録!$Z$6:$Z$3005,T$5)=0,"",SUMIFS(請求記録!$AE$6:$AE$3005,請求記録!$B$6:$B$3005,$A392,請求記録!$Z$6:$Z$3005,T$5))))</f>
        <v/>
      </c>
      <c r="U392" s="19">
        <f>IF($A392="","",IF(COUNTIFS(請求記録!$B$6:$B$3005,$A392,請求記録!$Z$6:$Z$3005,U$5,請求記録!$AF$6:$AF$3005,"保留中")&gt;0,"保留",IF(COUNTIFS(請求記録!$B$6:$B$3005,$A392,請求記録!$Z$6:$Z$3005,U$5)=0,"",SUMIFS(請求記録!$AE$6:$AE$3005,請求記録!$B$6:$B$3005,$A392,請求記録!$Z$6:$Z$3005,U$5))))</f>
        <v/>
      </c>
      <c r="V392" s="19">
        <f>IF($A392="","",IF(COUNTIFS(請求記録!$B$6:$B$3005,$A392,請求記録!$Z$6:$Z$3005,V$5,請求記録!$AF$6:$AF$3005,"保留中")&gt;0,"保留",IF(COUNTIFS(請求記録!$B$6:$B$3005,$A392,請求記録!$Z$6:$Z$3005,V$5)=0,"",SUMIFS(請求記録!$AE$6:$AE$3005,請求記録!$B$6:$B$3005,$A392,請求記録!$Z$6:$Z$3005,V$5))))</f>
        <v/>
      </c>
      <c r="W392" s="19">
        <f>IF($A392="","",IF(COUNTIFS(請求記録!$B$6:$B$3005,$A392,請求記録!$Z$6:$Z$3005,W$5,請求記録!$AF$6:$AF$3005,"保留中")&gt;0,"保留",IF(COUNTIFS(請求記録!$B$6:$B$3005,$A392,請求記録!$Z$6:$Z$3005,W$5)=0,"",SUMIFS(請求記録!$AE$6:$AE$3005,請求記録!$B$6:$B$3005,$A392,請求記録!$Z$6:$Z$3005,W$5))))</f>
        <v/>
      </c>
      <c r="X392" s="19">
        <f>IF($A392="","",IF(COUNTIFS(請求記録!$B$6:$B$3005,$A392,請求記録!$Z$6:$Z$3005,X$5,請求記録!$AF$6:$AF$3005,"保留中")&gt;0,"保留",IF(COUNTIFS(請求記録!$B$6:$B$3005,$A392,請求記録!$Z$6:$Z$3005,X$5)=0,"",SUMIFS(請求記録!$AE$6:$AE$3005,請求記録!$B$6:$B$3005,$A392,請求記録!$Z$6:$Z$3005,X$5))))</f>
        <v/>
      </c>
      <c r="Y392" s="19">
        <f>IF($A392="","",IF(COUNTIFS(請求記録!$B$6:$B$3005,$A392,請求記録!$Z$6:$Z$3005,Y$5,請求記録!$AF$6:$AF$3005,"保留中")&gt;0,"保留",IF(COUNTIFS(請求記録!$B$6:$B$3005,$A392,請求記録!$Z$6:$Z$3005,Y$5)=0,"",SUMIFS(請求記録!$AE$6:$AE$3005,請求記録!$B$6:$B$3005,$A392,請求記録!$Z$6:$Z$3005,Y$5))))</f>
        <v/>
      </c>
      <c r="Z392" s="19">
        <f>IF($A392="","",IF(COUNTIFS(請求記録!$B$6:$B$3005,$A392,請求記録!$Z$6:$Z$3005,Z$5,請求記録!$AF$6:$AF$3005,"保留中")&gt;0,"保留",IF(COUNTIFS(請求記録!$B$6:$B$3005,$A392,請求記録!$Z$6:$Z$3005,Z$5)=0,"",SUMIFS(請求記録!$AE$6:$AE$3005,請求記録!$B$6:$B$3005,$A392,請求記録!$Z$6:$Z$3005,Z$5))))</f>
        <v/>
      </c>
      <c r="AA392" s="19">
        <f>IF($A392="","",IF(COUNTIFS(請求記録!$B$6:$B$3005,$A392,請求記録!$Z$6:$Z$3005,AA$5,請求記録!$AF$6:$AF$3005,"保留中")&gt;0,"保留",IF(COUNTIFS(請求記録!$B$6:$B$3005,$A392,請求記録!$Z$6:$Z$3005,AA$5)=0,"",SUMIFS(請求記録!$AE$6:$AE$3005,請求記録!$B$6:$B$3005,$A392,請求記録!$Z$6:$Z$3005,AA$5))))</f>
        <v/>
      </c>
      <c r="AB392">
        <f>IF(職員マスタ!P392="保留中",職員マスタ!M392,"")</f>
        <v/>
      </c>
    </row>
    <row r="393">
      <c r="A393">
        <f>IF(職員マスタ!A393="","",職員マスタ!A393)</f>
        <v/>
      </c>
      <c r="B393">
        <f>IF($A393="","",職員マスタ!B393)</f>
        <v/>
      </c>
      <c r="C393">
        <f>IF($A393="","",職員マスタ!C393)</f>
        <v/>
      </c>
      <c r="D393" s="19">
        <f>IF($A393="","",IF(COUNTIFS(請求記録!$B$6:$B$3005,$A393,請求記録!$Z$6:$Z$3005,D$5,請求記録!$AF$6:$AF$3005,"保留中")&gt;0,"保留",IF(COUNTIFS(請求記録!$B$6:$B$3005,$A393,請求記録!$Z$6:$Z$3005,D$5)=0,"",SUMIFS(請求記録!$AE$6:$AE$3005,請求記録!$B$6:$B$3005,$A393,請求記録!$Z$6:$Z$3005,D$5))))</f>
        <v/>
      </c>
      <c r="E393" s="19">
        <f>IF($A393="","",IF(COUNTIFS(請求記録!$B$6:$B$3005,$A393,請求記録!$Z$6:$Z$3005,E$5,請求記録!$AF$6:$AF$3005,"保留中")&gt;0,"保留",IF(COUNTIFS(請求記録!$B$6:$B$3005,$A393,請求記録!$Z$6:$Z$3005,E$5)=0,"",SUMIFS(請求記録!$AE$6:$AE$3005,請求記録!$B$6:$B$3005,$A393,請求記録!$Z$6:$Z$3005,E$5))))</f>
        <v/>
      </c>
      <c r="F393" s="19">
        <f>IF($A393="","",IF(COUNTIFS(請求記録!$B$6:$B$3005,$A393,請求記録!$Z$6:$Z$3005,F$5,請求記録!$AF$6:$AF$3005,"保留中")&gt;0,"保留",IF(COUNTIFS(請求記録!$B$6:$B$3005,$A393,請求記録!$Z$6:$Z$3005,F$5)=0,"",SUMIFS(請求記録!$AE$6:$AE$3005,請求記録!$B$6:$B$3005,$A393,請求記録!$Z$6:$Z$3005,F$5))))</f>
        <v/>
      </c>
      <c r="G393" s="19">
        <f>IF($A393="","",IF(COUNTIFS(請求記録!$B$6:$B$3005,$A393,請求記録!$Z$6:$Z$3005,G$5,請求記録!$AF$6:$AF$3005,"保留中")&gt;0,"保留",IF(COUNTIFS(請求記録!$B$6:$B$3005,$A393,請求記録!$Z$6:$Z$3005,G$5)=0,"",SUMIFS(請求記録!$AE$6:$AE$3005,請求記録!$B$6:$B$3005,$A393,請求記録!$Z$6:$Z$3005,G$5))))</f>
        <v/>
      </c>
      <c r="H393" s="19">
        <f>IF($A393="","",IF(COUNTIFS(請求記録!$B$6:$B$3005,$A393,請求記録!$Z$6:$Z$3005,H$5,請求記録!$AF$6:$AF$3005,"保留中")&gt;0,"保留",IF(COUNTIFS(請求記録!$B$6:$B$3005,$A393,請求記録!$Z$6:$Z$3005,H$5)=0,"",SUMIFS(請求記録!$AE$6:$AE$3005,請求記録!$B$6:$B$3005,$A393,請求記録!$Z$6:$Z$3005,H$5))))</f>
        <v/>
      </c>
      <c r="I393" s="19">
        <f>IF($A393="","",IF(COUNTIFS(請求記録!$B$6:$B$3005,$A393,請求記録!$Z$6:$Z$3005,I$5,請求記録!$AF$6:$AF$3005,"保留中")&gt;0,"保留",IF(COUNTIFS(請求記録!$B$6:$B$3005,$A393,請求記録!$Z$6:$Z$3005,I$5)=0,"",SUMIFS(請求記録!$AE$6:$AE$3005,請求記録!$B$6:$B$3005,$A393,請求記録!$Z$6:$Z$3005,I$5))))</f>
        <v/>
      </c>
      <c r="J393" s="19">
        <f>IF($A393="","",IF(COUNTIFS(請求記録!$B$6:$B$3005,$A393,請求記録!$Z$6:$Z$3005,J$5,請求記録!$AF$6:$AF$3005,"保留中")&gt;0,"保留",IF(COUNTIFS(請求記録!$B$6:$B$3005,$A393,請求記録!$Z$6:$Z$3005,J$5)=0,"",SUMIFS(請求記録!$AE$6:$AE$3005,請求記録!$B$6:$B$3005,$A393,請求記録!$Z$6:$Z$3005,J$5))))</f>
        <v/>
      </c>
      <c r="K393" s="19">
        <f>IF($A393="","",IF(COUNTIFS(請求記録!$B$6:$B$3005,$A393,請求記録!$Z$6:$Z$3005,K$5,請求記録!$AF$6:$AF$3005,"保留中")&gt;0,"保留",IF(COUNTIFS(請求記録!$B$6:$B$3005,$A393,請求記録!$Z$6:$Z$3005,K$5)=0,"",SUMIFS(請求記録!$AE$6:$AE$3005,請求記録!$B$6:$B$3005,$A393,請求記録!$Z$6:$Z$3005,K$5))))</f>
        <v/>
      </c>
      <c r="L393" s="19">
        <f>IF($A393="","",IF(COUNTIFS(請求記録!$B$6:$B$3005,$A393,請求記録!$Z$6:$Z$3005,L$5,請求記録!$AF$6:$AF$3005,"保留中")&gt;0,"保留",IF(COUNTIFS(請求記録!$B$6:$B$3005,$A393,請求記録!$Z$6:$Z$3005,L$5)=0,"",SUMIFS(請求記録!$AE$6:$AE$3005,請求記録!$B$6:$B$3005,$A393,請求記録!$Z$6:$Z$3005,L$5))))</f>
        <v/>
      </c>
      <c r="M393" s="19">
        <f>IF($A393="","",IF(COUNTIFS(請求記録!$B$6:$B$3005,$A393,請求記録!$Z$6:$Z$3005,M$5,請求記録!$AF$6:$AF$3005,"保留中")&gt;0,"保留",IF(COUNTIFS(請求記録!$B$6:$B$3005,$A393,請求記録!$Z$6:$Z$3005,M$5)=0,"",SUMIFS(請求記録!$AE$6:$AE$3005,請求記録!$B$6:$B$3005,$A393,請求記録!$Z$6:$Z$3005,M$5))))</f>
        <v/>
      </c>
      <c r="N393" s="19">
        <f>IF($A393="","",IF(COUNTIFS(請求記録!$B$6:$B$3005,$A393,請求記録!$Z$6:$Z$3005,N$5,請求記録!$AF$6:$AF$3005,"保留中")&gt;0,"保留",IF(COUNTIFS(請求記録!$B$6:$B$3005,$A393,請求記録!$Z$6:$Z$3005,N$5)=0,"",SUMIFS(請求記録!$AE$6:$AE$3005,請求記録!$B$6:$B$3005,$A393,請求記録!$Z$6:$Z$3005,N$5))))</f>
        <v/>
      </c>
      <c r="O393" s="19">
        <f>IF($A393="","",IF(COUNTIFS(請求記録!$B$6:$B$3005,$A393,請求記録!$Z$6:$Z$3005,O$5,請求記録!$AF$6:$AF$3005,"保留中")&gt;0,"保留",IF(COUNTIFS(請求記録!$B$6:$B$3005,$A393,請求記録!$Z$6:$Z$3005,O$5)=0,"",SUMIFS(請求記録!$AE$6:$AE$3005,請求記録!$B$6:$B$3005,$A393,請求記録!$Z$6:$Z$3005,O$5))))</f>
        <v/>
      </c>
      <c r="P393" s="19">
        <f>IF($A393="","",IF(COUNTIFS(請求記録!$B$6:$B$3005,$A393,請求記録!$Z$6:$Z$3005,P$5,請求記録!$AF$6:$AF$3005,"保留中")&gt;0,"保留",IF(COUNTIFS(請求記録!$B$6:$B$3005,$A393,請求記録!$Z$6:$Z$3005,P$5)=0,"",SUMIFS(請求記録!$AE$6:$AE$3005,請求記録!$B$6:$B$3005,$A393,請求記録!$Z$6:$Z$3005,P$5))))</f>
        <v/>
      </c>
      <c r="Q393" s="19">
        <f>IF($A393="","",IF(COUNTIFS(請求記録!$B$6:$B$3005,$A393,請求記録!$Z$6:$Z$3005,Q$5,請求記録!$AF$6:$AF$3005,"保留中")&gt;0,"保留",IF(COUNTIFS(請求記録!$B$6:$B$3005,$A393,請求記録!$Z$6:$Z$3005,Q$5)=0,"",SUMIFS(請求記録!$AE$6:$AE$3005,請求記録!$B$6:$B$3005,$A393,請求記録!$Z$6:$Z$3005,Q$5))))</f>
        <v/>
      </c>
      <c r="R393" s="19">
        <f>IF($A393="","",IF(COUNTIFS(請求記録!$B$6:$B$3005,$A393,請求記録!$Z$6:$Z$3005,R$5,請求記録!$AF$6:$AF$3005,"保留中")&gt;0,"保留",IF(COUNTIFS(請求記録!$B$6:$B$3005,$A393,請求記録!$Z$6:$Z$3005,R$5)=0,"",SUMIFS(請求記録!$AE$6:$AE$3005,請求記録!$B$6:$B$3005,$A393,請求記録!$Z$6:$Z$3005,R$5))))</f>
        <v/>
      </c>
      <c r="S393" s="19">
        <f>IF($A393="","",IF(COUNTIFS(請求記録!$B$6:$B$3005,$A393,請求記録!$Z$6:$Z$3005,S$5,請求記録!$AF$6:$AF$3005,"保留中")&gt;0,"保留",IF(COUNTIFS(請求記録!$B$6:$B$3005,$A393,請求記録!$Z$6:$Z$3005,S$5)=0,"",SUMIFS(請求記録!$AE$6:$AE$3005,請求記録!$B$6:$B$3005,$A393,請求記録!$Z$6:$Z$3005,S$5))))</f>
        <v/>
      </c>
      <c r="T393" s="19">
        <f>IF($A393="","",IF(COUNTIFS(請求記録!$B$6:$B$3005,$A393,請求記録!$Z$6:$Z$3005,T$5,請求記録!$AF$6:$AF$3005,"保留中")&gt;0,"保留",IF(COUNTIFS(請求記録!$B$6:$B$3005,$A393,請求記録!$Z$6:$Z$3005,T$5)=0,"",SUMIFS(請求記録!$AE$6:$AE$3005,請求記録!$B$6:$B$3005,$A393,請求記録!$Z$6:$Z$3005,T$5))))</f>
        <v/>
      </c>
      <c r="U393" s="19">
        <f>IF($A393="","",IF(COUNTIFS(請求記録!$B$6:$B$3005,$A393,請求記録!$Z$6:$Z$3005,U$5,請求記録!$AF$6:$AF$3005,"保留中")&gt;0,"保留",IF(COUNTIFS(請求記録!$B$6:$B$3005,$A393,請求記録!$Z$6:$Z$3005,U$5)=0,"",SUMIFS(請求記録!$AE$6:$AE$3005,請求記録!$B$6:$B$3005,$A393,請求記録!$Z$6:$Z$3005,U$5))))</f>
        <v/>
      </c>
      <c r="V393" s="19">
        <f>IF($A393="","",IF(COUNTIFS(請求記録!$B$6:$B$3005,$A393,請求記録!$Z$6:$Z$3005,V$5,請求記録!$AF$6:$AF$3005,"保留中")&gt;0,"保留",IF(COUNTIFS(請求記録!$B$6:$B$3005,$A393,請求記録!$Z$6:$Z$3005,V$5)=0,"",SUMIFS(請求記録!$AE$6:$AE$3005,請求記録!$B$6:$B$3005,$A393,請求記録!$Z$6:$Z$3005,V$5))))</f>
        <v/>
      </c>
      <c r="W393" s="19">
        <f>IF($A393="","",IF(COUNTIFS(請求記録!$B$6:$B$3005,$A393,請求記録!$Z$6:$Z$3005,W$5,請求記録!$AF$6:$AF$3005,"保留中")&gt;0,"保留",IF(COUNTIFS(請求記録!$B$6:$B$3005,$A393,請求記録!$Z$6:$Z$3005,W$5)=0,"",SUMIFS(請求記録!$AE$6:$AE$3005,請求記録!$B$6:$B$3005,$A393,請求記録!$Z$6:$Z$3005,W$5))))</f>
        <v/>
      </c>
      <c r="X393" s="19">
        <f>IF($A393="","",IF(COUNTIFS(請求記録!$B$6:$B$3005,$A393,請求記録!$Z$6:$Z$3005,X$5,請求記録!$AF$6:$AF$3005,"保留中")&gt;0,"保留",IF(COUNTIFS(請求記録!$B$6:$B$3005,$A393,請求記録!$Z$6:$Z$3005,X$5)=0,"",SUMIFS(請求記録!$AE$6:$AE$3005,請求記録!$B$6:$B$3005,$A393,請求記録!$Z$6:$Z$3005,X$5))))</f>
        <v/>
      </c>
      <c r="Y393" s="19">
        <f>IF($A393="","",IF(COUNTIFS(請求記録!$B$6:$B$3005,$A393,請求記録!$Z$6:$Z$3005,Y$5,請求記録!$AF$6:$AF$3005,"保留中")&gt;0,"保留",IF(COUNTIFS(請求記録!$B$6:$B$3005,$A393,請求記録!$Z$6:$Z$3005,Y$5)=0,"",SUMIFS(請求記録!$AE$6:$AE$3005,請求記録!$B$6:$B$3005,$A393,請求記録!$Z$6:$Z$3005,Y$5))))</f>
        <v/>
      </c>
      <c r="Z393" s="19">
        <f>IF($A393="","",IF(COUNTIFS(請求記録!$B$6:$B$3005,$A393,請求記録!$Z$6:$Z$3005,Z$5,請求記録!$AF$6:$AF$3005,"保留中")&gt;0,"保留",IF(COUNTIFS(請求記録!$B$6:$B$3005,$A393,請求記録!$Z$6:$Z$3005,Z$5)=0,"",SUMIFS(請求記録!$AE$6:$AE$3005,請求記録!$B$6:$B$3005,$A393,請求記録!$Z$6:$Z$3005,Z$5))))</f>
        <v/>
      </c>
      <c r="AA393" s="19">
        <f>IF($A393="","",IF(COUNTIFS(請求記録!$B$6:$B$3005,$A393,請求記録!$Z$6:$Z$3005,AA$5,請求記録!$AF$6:$AF$3005,"保留中")&gt;0,"保留",IF(COUNTIFS(請求記録!$B$6:$B$3005,$A393,請求記録!$Z$6:$Z$3005,AA$5)=0,"",SUMIFS(請求記録!$AE$6:$AE$3005,請求記録!$B$6:$B$3005,$A393,請求記録!$Z$6:$Z$3005,AA$5))))</f>
        <v/>
      </c>
      <c r="AB393">
        <f>IF(職員マスタ!P393="保留中",職員マスタ!M393,"")</f>
        <v/>
      </c>
    </row>
    <row r="394">
      <c r="A394">
        <f>IF(職員マスタ!A394="","",職員マスタ!A394)</f>
        <v/>
      </c>
      <c r="B394">
        <f>IF($A394="","",職員マスタ!B394)</f>
        <v/>
      </c>
      <c r="C394">
        <f>IF($A394="","",職員マスタ!C394)</f>
        <v/>
      </c>
      <c r="D394" s="19">
        <f>IF($A394="","",IF(COUNTIFS(請求記録!$B$6:$B$3005,$A394,請求記録!$Z$6:$Z$3005,D$5,請求記録!$AF$6:$AF$3005,"保留中")&gt;0,"保留",IF(COUNTIFS(請求記録!$B$6:$B$3005,$A394,請求記録!$Z$6:$Z$3005,D$5)=0,"",SUMIFS(請求記録!$AE$6:$AE$3005,請求記録!$B$6:$B$3005,$A394,請求記録!$Z$6:$Z$3005,D$5))))</f>
        <v/>
      </c>
      <c r="E394" s="19">
        <f>IF($A394="","",IF(COUNTIFS(請求記録!$B$6:$B$3005,$A394,請求記録!$Z$6:$Z$3005,E$5,請求記録!$AF$6:$AF$3005,"保留中")&gt;0,"保留",IF(COUNTIFS(請求記録!$B$6:$B$3005,$A394,請求記録!$Z$6:$Z$3005,E$5)=0,"",SUMIFS(請求記録!$AE$6:$AE$3005,請求記録!$B$6:$B$3005,$A394,請求記録!$Z$6:$Z$3005,E$5))))</f>
        <v/>
      </c>
      <c r="F394" s="19">
        <f>IF($A394="","",IF(COUNTIFS(請求記録!$B$6:$B$3005,$A394,請求記録!$Z$6:$Z$3005,F$5,請求記録!$AF$6:$AF$3005,"保留中")&gt;0,"保留",IF(COUNTIFS(請求記録!$B$6:$B$3005,$A394,請求記録!$Z$6:$Z$3005,F$5)=0,"",SUMIFS(請求記録!$AE$6:$AE$3005,請求記録!$B$6:$B$3005,$A394,請求記録!$Z$6:$Z$3005,F$5))))</f>
        <v/>
      </c>
      <c r="G394" s="19">
        <f>IF($A394="","",IF(COUNTIFS(請求記録!$B$6:$B$3005,$A394,請求記録!$Z$6:$Z$3005,G$5,請求記録!$AF$6:$AF$3005,"保留中")&gt;0,"保留",IF(COUNTIFS(請求記録!$B$6:$B$3005,$A394,請求記録!$Z$6:$Z$3005,G$5)=0,"",SUMIFS(請求記録!$AE$6:$AE$3005,請求記録!$B$6:$B$3005,$A394,請求記録!$Z$6:$Z$3005,G$5))))</f>
        <v/>
      </c>
      <c r="H394" s="19">
        <f>IF($A394="","",IF(COUNTIFS(請求記録!$B$6:$B$3005,$A394,請求記録!$Z$6:$Z$3005,H$5,請求記録!$AF$6:$AF$3005,"保留中")&gt;0,"保留",IF(COUNTIFS(請求記録!$B$6:$B$3005,$A394,請求記録!$Z$6:$Z$3005,H$5)=0,"",SUMIFS(請求記録!$AE$6:$AE$3005,請求記録!$B$6:$B$3005,$A394,請求記録!$Z$6:$Z$3005,H$5))))</f>
        <v/>
      </c>
      <c r="I394" s="19">
        <f>IF($A394="","",IF(COUNTIFS(請求記録!$B$6:$B$3005,$A394,請求記録!$Z$6:$Z$3005,I$5,請求記録!$AF$6:$AF$3005,"保留中")&gt;0,"保留",IF(COUNTIFS(請求記録!$B$6:$B$3005,$A394,請求記録!$Z$6:$Z$3005,I$5)=0,"",SUMIFS(請求記録!$AE$6:$AE$3005,請求記録!$B$6:$B$3005,$A394,請求記録!$Z$6:$Z$3005,I$5))))</f>
        <v/>
      </c>
      <c r="J394" s="19">
        <f>IF($A394="","",IF(COUNTIFS(請求記録!$B$6:$B$3005,$A394,請求記録!$Z$6:$Z$3005,J$5,請求記録!$AF$6:$AF$3005,"保留中")&gt;0,"保留",IF(COUNTIFS(請求記録!$B$6:$B$3005,$A394,請求記録!$Z$6:$Z$3005,J$5)=0,"",SUMIFS(請求記録!$AE$6:$AE$3005,請求記録!$B$6:$B$3005,$A394,請求記録!$Z$6:$Z$3005,J$5))))</f>
        <v/>
      </c>
      <c r="K394" s="19">
        <f>IF($A394="","",IF(COUNTIFS(請求記録!$B$6:$B$3005,$A394,請求記録!$Z$6:$Z$3005,K$5,請求記録!$AF$6:$AF$3005,"保留中")&gt;0,"保留",IF(COUNTIFS(請求記録!$B$6:$B$3005,$A394,請求記録!$Z$6:$Z$3005,K$5)=0,"",SUMIFS(請求記録!$AE$6:$AE$3005,請求記録!$B$6:$B$3005,$A394,請求記録!$Z$6:$Z$3005,K$5))))</f>
        <v/>
      </c>
      <c r="L394" s="19">
        <f>IF($A394="","",IF(COUNTIFS(請求記録!$B$6:$B$3005,$A394,請求記録!$Z$6:$Z$3005,L$5,請求記録!$AF$6:$AF$3005,"保留中")&gt;0,"保留",IF(COUNTIFS(請求記録!$B$6:$B$3005,$A394,請求記録!$Z$6:$Z$3005,L$5)=0,"",SUMIFS(請求記録!$AE$6:$AE$3005,請求記録!$B$6:$B$3005,$A394,請求記録!$Z$6:$Z$3005,L$5))))</f>
        <v/>
      </c>
      <c r="M394" s="19">
        <f>IF($A394="","",IF(COUNTIFS(請求記録!$B$6:$B$3005,$A394,請求記録!$Z$6:$Z$3005,M$5,請求記録!$AF$6:$AF$3005,"保留中")&gt;0,"保留",IF(COUNTIFS(請求記録!$B$6:$B$3005,$A394,請求記録!$Z$6:$Z$3005,M$5)=0,"",SUMIFS(請求記録!$AE$6:$AE$3005,請求記録!$B$6:$B$3005,$A394,請求記録!$Z$6:$Z$3005,M$5))))</f>
        <v/>
      </c>
      <c r="N394" s="19">
        <f>IF($A394="","",IF(COUNTIFS(請求記録!$B$6:$B$3005,$A394,請求記録!$Z$6:$Z$3005,N$5,請求記録!$AF$6:$AF$3005,"保留中")&gt;0,"保留",IF(COUNTIFS(請求記録!$B$6:$B$3005,$A394,請求記録!$Z$6:$Z$3005,N$5)=0,"",SUMIFS(請求記録!$AE$6:$AE$3005,請求記録!$B$6:$B$3005,$A394,請求記録!$Z$6:$Z$3005,N$5))))</f>
        <v/>
      </c>
      <c r="O394" s="19">
        <f>IF($A394="","",IF(COUNTIFS(請求記録!$B$6:$B$3005,$A394,請求記録!$Z$6:$Z$3005,O$5,請求記録!$AF$6:$AF$3005,"保留中")&gt;0,"保留",IF(COUNTIFS(請求記録!$B$6:$B$3005,$A394,請求記録!$Z$6:$Z$3005,O$5)=0,"",SUMIFS(請求記録!$AE$6:$AE$3005,請求記録!$B$6:$B$3005,$A394,請求記録!$Z$6:$Z$3005,O$5))))</f>
        <v/>
      </c>
      <c r="P394" s="19">
        <f>IF($A394="","",IF(COUNTIFS(請求記録!$B$6:$B$3005,$A394,請求記録!$Z$6:$Z$3005,P$5,請求記録!$AF$6:$AF$3005,"保留中")&gt;0,"保留",IF(COUNTIFS(請求記録!$B$6:$B$3005,$A394,請求記録!$Z$6:$Z$3005,P$5)=0,"",SUMIFS(請求記録!$AE$6:$AE$3005,請求記録!$B$6:$B$3005,$A394,請求記録!$Z$6:$Z$3005,P$5))))</f>
        <v/>
      </c>
      <c r="Q394" s="19">
        <f>IF($A394="","",IF(COUNTIFS(請求記録!$B$6:$B$3005,$A394,請求記録!$Z$6:$Z$3005,Q$5,請求記録!$AF$6:$AF$3005,"保留中")&gt;0,"保留",IF(COUNTIFS(請求記録!$B$6:$B$3005,$A394,請求記録!$Z$6:$Z$3005,Q$5)=0,"",SUMIFS(請求記録!$AE$6:$AE$3005,請求記録!$B$6:$B$3005,$A394,請求記録!$Z$6:$Z$3005,Q$5))))</f>
        <v/>
      </c>
      <c r="R394" s="19">
        <f>IF($A394="","",IF(COUNTIFS(請求記録!$B$6:$B$3005,$A394,請求記録!$Z$6:$Z$3005,R$5,請求記録!$AF$6:$AF$3005,"保留中")&gt;0,"保留",IF(COUNTIFS(請求記録!$B$6:$B$3005,$A394,請求記録!$Z$6:$Z$3005,R$5)=0,"",SUMIFS(請求記録!$AE$6:$AE$3005,請求記録!$B$6:$B$3005,$A394,請求記録!$Z$6:$Z$3005,R$5))))</f>
        <v/>
      </c>
      <c r="S394" s="19">
        <f>IF($A394="","",IF(COUNTIFS(請求記録!$B$6:$B$3005,$A394,請求記録!$Z$6:$Z$3005,S$5,請求記録!$AF$6:$AF$3005,"保留中")&gt;0,"保留",IF(COUNTIFS(請求記録!$B$6:$B$3005,$A394,請求記録!$Z$6:$Z$3005,S$5)=0,"",SUMIFS(請求記録!$AE$6:$AE$3005,請求記録!$B$6:$B$3005,$A394,請求記録!$Z$6:$Z$3005,S$5))))</f>
        <v/>
      </c>
      <c r="T394" s="19">
        <f>IF($A394="","",IF(COUNTIFS(請求記録!$B$6:$B$3005,$A394,請求記録!$Z$6:$Z$3005,T$5,請求記録!$AF$6:$AF$3005,"保留中")&gt;0,"保留",IF(COUNTIFS(請求記録!$B$6:$B$3005,$A394,請求記録!$Z$6:$Z$3005,T$5)=0,"",SUMIFS(請求記録!$AE$6:$AE$3005,請求記録!$B$6:$B$3005,$A394,請求記録!$Z$6:$Z$3005,T$5))))</f>
        <v/>
      </c>
      <c r="U394" s="19">
        <f>IF($A394="","",IF(COUNTIFS(請求記録!$B$6:$B$3005,$A394,請求記録!$Z$6:$Z$3005,U$5,請求記録!$AF$6:$AF$3005,"保留中")&gt;0,"保留",IF(COUNTIFS(請求記録!$B$6:$B$3005,$A394,請求記録!$Z$6:$Z$3005,U$5)=0,"",SUMIFS(請求記録!$AE$6:$AE$3005,請求記録!$B$6:$B$3005,$A394,請求記録!$Z$6:$Z$3005,U$5))))</f>
        <v/>
      </c>
      <c r="V394" s="19">
        <f>IF($A394="","",IF(COUNTIFS(請求記録!$B$6:$B$3005,$A394,請求記録!$Z$6:$Z$3005,V$5,請求記録!$AF$6:$AF$3005,"保留中")&gt;0,"保留",IF(COUNTIFS(請求記録!$B$6:$B$3005,$A394,請求記録!$Z$6:$Z$3005,V$5)=0,"",SUMIFS(請求記録!$AE$6:$AE$3005,請求記録!$B$6:$B$3005,$A394,請求記録!$Z$6:$Z$3005,V$5))))</f>
        <v/>
      </c>
      <c r="W394" s="19">
        <f>IF($A394="","",IF(COUNTIFS(請求記録!$B$6:$B$3005,$A394,請求記録!$Z$6:$Z$3005,W$5,請求記録!$AF$6:$AF$3005,"保留中")&gt;0,"保留",IF(COUNTIFS(請求記録!$B$6:$B$3005,$A394,請求記録!$Z$6:$Z$3005,W$5)=0,"",SUMIFS(請求記録!$AE$6:$AE$3005,請求記録!$B$6:$B$3005,$A394,請求記録!$Z$6:$Z$3005,W$5))))</f>
        <v/>
      </c>
      <c r="X394" s="19">
        <f>IF($A394="","",IF(COUNTIFS(請求記録!$B$6:$B$3005,$A394,請求記録!$Z$6:$Z$3005,X$5,請求記録!$AF$6:$AF$3005,"保留中")&gt;0,"保留",IF(COUNTIFS(請求記録!$B$6:$B$3005,$A394,請求記録!$Z$6:$Z$3005,X$5)=0,"",SUMIFS(請求記録!$AE$6:$AE$3005,請求記録!$B$6:$B$3005,$A394,請求記録!$Z$6:$Z$3005,X$5))))</f>
        <v/>
      </c>
      <c r="Y394" s="19">
        <f>IF($A394="","",IF(COUNTIFS(請求記録!$B$6:$B$3005,$A394,請求記録!$Z$6:$Z$3005,Y$5,請求記録!$AF$6:$AF$3005,"保留中")&gt;0,"保留",IF(COUNTIFS(請求記録!$B$6:$B$3005,$A394,請求記録!$Z$6:$Z$3005,Y$5)=0,"",SUMIFS(請求記録!$AE$6:$AE$3005,請求記録!$B$6:$B$3005,$A394,請求記録!$Z$6:$Z$3005,Y$5))))</f>
        <v/>
      </c>
      <c r="Z394" s="19">
        <f>IF($A394="","",IF(COUNTIFS(請求記録!$B$6:$B$3005,$A394,請求記録!$Z$6:$Z$3005,Z$5,請求記録!$AF$6:$AF$3005,"保留中")&gt;0,"保留",IF(COUNTIFS(請求記録!$B$6:$B$3005,$A394,請求記録!$Z$6:$Z$3005,Z$5)=0,"",SUMIFS(請求記録!$AE$6:$AE$3005,請求記録!$B$6:$B$3005,$A394,請求記録!$Z$6:$Z$3005,Z$5))))</f>
        <v/>
      </c>
      <c r="AA394" s="19">
        <f>IF($A394="","",IF(COUNTIFS(請求記録!$B$6:$B$3005,$A394,請求記録!$Z$6:$Z$3005,AA$5,請求記録!$AF$6:$AF$3005,"保留中")&gt;0,"保留",IF(COUNTIFS(請求記録!$B$6:$B$3005,$A394,請求記録!$Z$6:$Z$3005,AA$5)=0,"",SUMIFS(請求記録!$AE$6:$AE$3005,請求記録!$B$6:$B$3005,$A394,請求記録!$Z$6:$Z$3005,AA$5))))</f>
        <v/>
      </c>
      <c r="AB394">
        <f>IF(職員マスタ!P394="保留中",職員マスタ!M394,"")</f>
        <v/>
      </c>
    </row>
    <row r="395">
      <c r="A395">
        <f>IF(職員マスタ!A395="","",職員マスタ!A395)</f>
        <v/>
      </c>
      <c r="B395">
        <f>IF($A395="","",職員マスタ!B395)</f>
        <v/>
      </c>
      <c r="C395">
        <f>IF($A395="","",職員マスタ!C395)</f>
        <v/>
      </c>
      <c r="D395" s="19">
        <f>IF($A395="","",IF(COUNTIFS(請求記録!$B$6:$B$3005,$A395,請求記録!$Z$6:$Z$3005,D$5,請求記録!$AF$6:$AF$3005,"保留中")&gt;0,"保留",IF(COUNTIFS(請求記録!$B$6:$B$3005,$A395,請求記録!$Z$6:$Z$3005,D$5)=0,"",SUMIFS(請求記録!$AE$6:$AE$3005,請求記録!$B$6:$B$3005,$A395,請求記録!$Z$6:$Z$3005,D$5))))</f>
        <v/>
      </c>
      <c r="E395" s="19">
        <f>IF($A395="","",IF(COUNTIFS(請求記録!$B$6:$B$3005,$A395,請求記録!$Z$6:$Z$3005,E$5,請求記録!$AF$6:$AF$3005,"保留中")&gt;0,"保留",IF(COUNTIFS(請求記録!$B$6:$B$3005,$A395,請求記録!$Z$6:$Z$3005,E$5)=0,"",SUMIFS(請求記録!$AE$6:$AE$3005,請求記録!$B$6:$B$3005,$A395,請求記録!$Z$6:$Z$3005,E$5))))</f>
        <v/>
      </c>
      <c r="F395" s="19">
        <f>IF($A395="","",IF(COUNTIFS(請求記録!$B$6:$B$3005,$A395,請求記録!$Z$6:$Z$3005,F$5,請求記録!$AF$6:$AF$3005,"保留中")&gt;0,"保留",IF(COUNTIFS(請求記録!$B$6:$B$3005,$A395,請求記録!$Z$6:$Z$3005,F$5)=0,"",SUMIFS(請求記録!$AE$6:$AE$3005,請求記録!$B$6:$B$3005,$A395,請求記録!$Z$6:$Z$3005,F$5))))</f>
        <v/>
      </c>
      <c r="G395" s="19">
        <f>IF($A395="","",IF(COUNTIFS(請求記録!$B$6:$B$3005,$A395,請求記録!$Z$6:$Z$3005,G$5,請求記録!$AF$6:$AF$3005,"保留中")&gt;0,"保留",IF(COUNTIFS(請求記録!$B$6:$B$3005,$A395,請求記録!$Z$6:$Z$3005,G$5)=0,"",SUMIFS(請求記録!$AE$6:$AE$3005,請求記録!$B$6:$B$3005,$A395,請求記録!$Z$6:$Z$3005,G$5))))</f>
        <v/>
      </c>
      <c r="H395" s="19">
        <f>IF($A395="","",IF(COUNTIFS(請求記録!$B$6:$B$3005,$A395,請求記録!$Z$6:$Z$3005,H$5,請求記録!$AF$6:$AF$3005,"保留中")&gt;0,"保留",IF(COUNTIFS(請求記録!$B$6:$B$3005,$A395,請求記録!$Z$6:$Z$3005,H$5)=0,"",SUMIFS(請求記録!$AE$6:$AE$3005,請求記録!$B$6:$B$3005,$A395,請求記録!$Z$6:$Z$3005,H$5))))</f>
        <v/>
      </c>
      <c r="I395" s="19">
        <f>IF($A395="","",IF(COUNTIFS(請求記録!$B$6:$B$3005,$A395,請求記録!$Z$6:$Z$3005,I$5,請求記録!$AF$6:$AF$3005,"保留中")&gt;0,"保留",IF(COUNTIFS(請求記録!$B$6:$B$3005,$A395,請求記録!$Z$6:$Z$3005,I$5)=0,"",SUMIFS(請求記録!$AE$6:$AE$3005,請求記録!$B$6:$B$3005,$A395,請求記録!$Z$6:$Z$3005,I$5))))</f>
        <v/>
      </c>
      <c r="J395" s="19">
        <f>IF($A395="","",IF(COUNTIFS(請求記録!$B$6:$B$3005,$A395,請求記録!$Z$6:$Z$3005,J$5,請求記録!$AF$6:$AF$3005,"保留中")&gt;0,"保留",IF(COUNTIFS(請求記録!$B$6:$B$3005,$A395,請求記録!$Z$6:$Z$3005,J$5)=0,"",SUMIFS(請求記録!$AE$6:$AE$3005,請求記録!$B$6:$B$3005,$A395,請求記録!$Z$6:$Z$3005,J$5))))</f>
        <v/>
      </c>
      <c r="K395" s="19">
        <f>IF($A395="","",IF(COUNTIFS(請求記録!$B$6:$B$3005,$A395,請求記録!$Z$6:$Z$3005,K$5,請求記録!$AF$6:$AF$3005,"保留中")&gt;0,"保留",IF(COUNTIFS(請求記録!$B$6:$B$3005,$A395,請求記録!$Z$6:$Z$3005,K$5)=0,"",SUMIFS(請求記録!$AE$6:$AE$3005,請求記録!$B$6:$B$3005,$A395,請求記録!$Z$6:$Z$3005,K$5))))</f>
        <v/>
      </c>
      <c r="L395" s="19">
        <f>IF($A395="","",IF(COUNTIFS(請求記録!$B$6:$B$3005,$A395,請求記録!$Z$6:$Z$3005,L$5,請求記録!$AF$6:$AF$3005,"保留中")&gt;0,"保留",IF(COUNTIFS(請求記録!$B$6:$B$3005,$A395,請求記録!$Z$6:$Z$3005,L$5)=0,"",SUMIFS(請求記録!$AE$6:$AE$3005,請求記録!$B$6:$B$3005,$A395,請求記録!$Z$6:$Z$3005,L$5))))</f>
        <v/>
      </c>
      <c r="M395" s="19">
        <f>IF($A395="","",IF(COUNTIFS(請求記録!$B$6:$B$3005,$A395,請求記録!$Z$6:$Z$3005,M$5,請求記録!$AF$6:$AF$3005,"保留中")&gt;0,"保留",IF(COUNTIFS(請求記録!$B$6:$B$3005,$A395,請求記録!$Z$6:$Z$3005,M$5)=0,"",SUMIFS(請求記録!$AE$6:$AE$3005,請求記録!$B$6:$B$3005,$A395,請求記録!$Z$6:$Z$3005,M$5))))</f>
        <v/>
      </c>
      <c r="N395" s="19">
        <f>IF($A395="","",IF(COUNTIFS(請求記録!$B$6:$B$3005,$A395,請求記録!$Z$6:$Z$3005,N$5,請求記録!$AF$6:$AF$3005,"保留中")&gt;0,"保留",IF(COUNTIFS(請求記録!$B$6:$B$3005,$A395,請求記録!$Z$6:$Z$3005,N$5)=0,"",SUMIFS(請求記録!$AE$6:$AE$3005,請求記録!$B$6:$B$3005,$A395,請求記録!$Z$6:$Z$3005,N$5))))</f>
        <v/>
      </c>
      <c r="O395" s="19">
        <f>IF($A395="","",IF(COUNTIFS(請求記録!$B$6:$B$3005,$A395,請求記録!$Z$6:$Z$3005,O$5,請求記録!$AF$6:$AF$3005,"保留中")&gt;0,"保留",IF(COUNTIFS(請求記録!$B$6:$B$3005,$A395,請求記録!$Z$6:$Z$3005,O$5)=0,"",SUMIFS(請求記録!$AE$6:$AE$3005,請求記録!$B$6:$B$3005,$A395,請求記録!$Z$6:$Z$3005,O$5))))</f>
        <v/>
      </c>
      <c r="P395" s="19">
        <f>IF($A395="","",IF(COUNTIFS(請求記録!$B$6:$B$3005,$A395,請求記録!$Z$6:$Z$3005,P$5,請求記録!$AF$6:$AF$3005,"保留中")&gt;0,"保留",IF(COUNTIFS(請求記録!$B$6:$B$3005,$A395,請求記録!$Z$6:$Z$3005,P$5)=0,"",SUMIFS(請求記録!$AE$6:$AE$3005,請求記録!$B$6:$B$3005,$A395,請求記録!$Z$6:$Z$3005,P$5))))</f>
        <v/>
      </c>
      <c r="Q395" s="19">
        <f>IF($A395="","",IF(COUNTIFS(請求記録!$B$6:$B$3005,$A395,請求記録!$Z$6:$Z$3005,Q$5,請求記録!$AF$6:$AF$3005,"保留中")&gt;0,"保留",IF(COUNTIFS(請求記録!$B$6:$B$3005,$A395,請求記録!$Z$6:$Z$3005,Q$5)=0,"",SUMIFS(請求記録!$AE$6:$AE$3005,請求記録!$B$6:$B$3005,$A395,請求記録!$Z$6:$Z$3005,Q$5))))</f>
        <v/>
      </c>
      <c r="R395" s="19">
        <f>IF($A395="","",IF(COUNTIFS(請求記録!$B$6:$B$3005,$A395,請求記録!$Z$6:$Z$3005,R$5,請求記録!$AF$6:$AF$3005,"保留中")&gt;0,"保留",IF(COUNTIFS(請求記録!$B$6:$B$3005,$A395,請求記録!$Z$6:$Z$3005,R$5)=0,"",SUMIFS(請求記録!$AE$6:$AE$3005,請求記録!$B$6:$B$3005,$A395,請求記録!$Z$6:$Z$3005,R$5))))</f>
        <v/>
      </c>
      <c r="S395" s="19">
        <f>IF($A395="","",IF(COUNTIFS(請求記録!$B$6:$B$3005,$A395,請求記録!$Z$6:$Z$3005,S$5,請求記録!$AF$6:$AF$3005,"保留中")&gt;0,"保留",IF(COUNTIFS(請求記録!$B$6:$B$3005,$A395,請求記録!$Z$6:$Z$3005,S$5)=0,"",SUMIFS(請求記録!$AE$6:$AE$3005,請求記録!$B$6:$B$3005,$A395,請求記録!$Z$6:$Z$3005,S$5))))</f>
        <v/>
      </c>
      <c r="T395" s="19">
        <f>IF($A395="","",IF(COUNTIFS(請求記録!$B$6:$B$3005,$A395,請求記録!$Z$6:$Z$3005,T$5,請求記録!$AF$6:$AF$3005,"保留中")&gt;0,"保留",IF(COUNTIFS(請求記録!$B$6:$B$3005,$A395,請求記録!$Z$6:$Z$3005,T$5)=0,"",SUMIFS(請求記録!$AE$6:$AE$3005,請求記録!$B$6:$B$3005,$A395,請求記録!$Z$6:$Z$3005,T$5))))</f>
        <v/>
      </c>
      <c r="U395" s="19">
        <f>IF($A395="","",IF(COUNTIFS(請求記録!$B$6:$B$3005,$A395,請求記録!$Z$6:$Z$3005,U$5,請求記録!$AF$6:$AF$3005,"保留中")&gt;0,"保留",IF(COUNTIFS(請求記録!$B$6:$B$3005,$A395,請求記録!$Z$6:$Z$3005,U$5)=0,"",SUMIFS(請求記録!$AE$6:$AE$3005,請求記録!$B$6:$B$3005,$A395,請求記録!$Z$6:$Z$3005,U$5))))</f>
        <v/>
      </c>
      <c r="V395" s="19">
        <f>IF($A395="","",IF(COUNTIFS(請求記録!$B$6:$B$3005,$A395,請求記録!$Z$6:$Z$3005,V$5,請求記録!$AF$6:$AF$3005,"保留中")&gt;0,"保留",IF(COUNTIFS(請求記録!$B$6:$B$3005,$A395,請求記録!$Z$6:$Z$3005,V$5)=0,"",SUMIFS(請求記録!$AE$6:$AE$3005,請求記録!$B$6:$B$3005,$A395,請求記録!$Z$6:$Z$3005,V$5))))</f>
        <v/>
      </c>
      <c r="W395" s="19">
        <f>IF($A395="","",IF(COUNTIFS(請求記録!$B$6:$B$3005,$A395,請求記録!$Z$6:$Z$3005,W$5,請求記録!$AF$6:$AF$3005,"保留中")&gt;0,"保留",IF(COUNTIFS(請求記録!$B$6:$B$3005,$A395,請求記録!$Z$6:$Z$3005,W$5)=0,"",SUMIFS(請求記録!$AE$6:$AE$3005,請求記録!$B$6:$B$3005,$A395,請求記録!$Z$6:$Z$3005,W$5))))</f>
        <v/>
      </c>
      <c r="X395" s="19">
        <f>IF($A395="","",IF(COUNTIFS(請求記録!$B$6:$B$3005,$A395,請求記録!$Z$6:$Z$3005,X$5,請求記録!$AF$6:$AF$3005,"保留中")&gt;0,"保留",IF(COUNTIFS(請求記録!$B$6:$B$3005,$A395,請求記録!$Z$6:$Z$3005,X$5)=0,"",SUMIFS(請求記録!$AE$6:$AE$3005,請求記録!$B$6:$B$3005,$A395,請求記録!$Z$6:$Z$3005,X$5))))</f>
        <v/>
      </c>
      <c r="Y395" s="19">
        <f>IF($A395="","",IF(COUNTIFS(請求記録!$B$6:$B$3005,$A395,請求記録!$Z$6:$Z$3005,Y$5,請求記録!$AF$6:$AF$3005,"保留中")&gt;0,"保留",IF(COUNTIFS(請求記録!$B$6:$B$3005,$A395,請求記録!$Z$6:$Z$3005,Y$5)=0,"",SUMIFS(請求記録!$AE$6:$AE$3005,請求記録!$B$6:$B$3005,$A395,請求記録!$Z$6:$Z$3005,Y$5))))</f>
        <v/>
      </c>
      <c r="Z395" s="19">
        <f>IF($A395="","",IF(COUNTIFS(請求記録!$B$6:$B$3005,$A395,請求記録!$Z$6:$Z$3005,Z$5,請求記録!$AF$6:$AF$3005,"保留中")&gt;0,"保留",IF(COUNTIFS(請求記録!$B$6:$B$3005,$A395,請求記録!$Z$6:$Z$3005,Z$5)=0,"",SUMIFS(請求記録!$AE$6:$AE$3005,請求記録!$B$6:$B$3005,$A395,請求記録!$Z$6:$Z$3005,Z$5))))</f>
        <v/>
      </c>
      <c r="AA395" s="19">
        <f>IF($A395="","",IF(COUNTIFS(請求記録!$B$6:$B$3005,$A395,請求記録!$Z$6:$Z$3005,AA$5,請求記録!$AF$6:$AF$3005,"保留中")&gt;0,"保留",IF(COUNTIFS(請求記録!$B$6:$B$3005,$A395,請求記録!$Z$6:$Z$3005,AA$5)=0,"",SUMIFS(請求記録!$AE$6:$AE$3005,請求記録!$B$6:$B$3005,$A395,請求記録!$Z$6:$Z$3005,AA$5))))</f>
        <v/>
      </c>
      <c r="AB395">
        <f>IF(職員マスタ!P395="保留中",職員マスタ!M395,"")</f>
        <v/>
      </c>
    </row>
    <row r="396">
      <c r="A396">
        <f>IF(職員マスタ!A396="","",職員マスタ!A396)</f>
        <v/>
      </c>
      <c r="B396">
        <f>IF($A396="","",職員マスタ!B396)</f>
        <v/>
      </c>
      <c r="C396">
        <f>IF($A396="","",職員マスタ!C396)</f>
        <v/>
      </c>
      <c r="D396" s="19">
        <f>IF($A396="","",IF(COUNTIFS(請求記録!$B$6:$B$3005,$A396,請求記録!$Z$6:$Z$3005,D$5,請求記録!$AF$6:$AF$3005,"保留中")&gt;0,"保留",IF(COUNTIFS(請求記録!$B$6:$B$3005,$A396,請求記録!$Z$6:$Z$3005,D$5)=0,"",SUMIFS(請求記録!$AE$6:$AE$3005,請求記録!$B$6:$B$3005,$A396,請求記録!$Z$6:$Z$3005,D$5))))</f>
        <v/>
      </c>
      <c r="E396" s="19">
        <f>IF($A396="","",IF(COUNTIFS(請求記録!$B$6:$B$3005,$A396,請求記録!$Z$6:$Z$3005,E$5,請求記録!$AF$6:$AF$3005,"保留中")&gt;0,"保留",IF(COUNTIFS(請求記録!$B$6:$B$3005,$A396,請求記録!$Z$6:$Z$3005,E$5)=0,"",SUMIFS(請求記録!$AE$6:$AE$3005,請求記録!$B$6:$B$3005,$A396,請求記録!$Z$6:$Z$3005,E$5))))</f>
        <v/>
      </c>
      <c r="F396" s="19">
        <f>IF($A396="","",IF(COUNTIFS(請求記録!$B$6:$B$3005,$A396,請求記録!$Z$6:$Z$3005,F$5,請求記録!$AF$6:$AF$3005,"保留中")&gt;0,"保留",IF(COUNTIFS(請求記録!$B$6:$B$3005,$A396,請求記録!$Z$6:$Z$3005,F$5)=0,"",SUMIFS(請求記録!$AE$6:$AE$3005,請求記録!$B$6:$B$3005,$A396,請求記録!$Z$6:$Z$3005,F$5))))</f>
        <v/>
      </c>
      <c r="G396" s="19">
        <f>IF($A396="","",IF(COUNTIFS(請求記録!$B$6:$B$3005,$A396,請求記録!$Z$6:$Z$3005,G$5,請求記録!$AF$6:$AF$3005,"保留中")&gt;0,"保留",IF(COUNTIFS(請求記録!$B$6:$B$3005,$A396,請求記録!$Z$6:$Z$3005,G$5)=0,"",SUMIFS(請求記録!$AE$6:$AE$3005,請求記録!$B$6:$B$3005,$A396,請求記録!$Z$6:$Z$3005,G$5))))</f>
        <v/>
      </c>
      <c r="H396" s="19">
        <f>IF($A396="","",IF(COUNTIFS(請求記録!$B$6:$B$3005,$A396,請求記録!$Z$6:$Z$3005,H$5,請求記録!$AF$6:$AF$3005,"保留中")&gt;0,"保留",IF(COUNTIFS(請求記録!$B$6:$B$3005,$A396,請求記録!$Z$6:$Z$3005,H$5)=0,"",SUMIFS(請求記録!$AE$6:$AE$3005,請求記録!$B$6:$B$3005,$A396,請求記録!$Z$6:$Z$3005,H$5))))</f>
        <v/>
      </c>
      <c r="I396" s="19">
        <f>IF($A396="","",IF(COUNTIFS(請求記録!$B$6:$B$3005,$A396,請求記録!$Z$6:$Z$3005,I$5,請求記録!$AF$6:$AF$3005,"保留中")&gt;0,"保留",IF(COUNTIFS(請求記録!$B$6:$B$3005,$A396,請求記録!$Z$6:$Z$3005,I$5)=0,"",SUMIFS(請求記録!$AE$6:$AE$3005,請求記録!$B$6:$B$3005,$A396,請求記録!$Z$6:$Z$3005,I$5))))</f>
        <v/>
      </c>
      <c r="J396" s="19">
        <f>IF($A396="","",IF(COUNTIFS(請求記録!$B$6:$B$3005,$A396,請求記録!$Z$6:$Z$3005,J$5,請求記録!$AF$6:$AF$3005,"保留中")&gt;0,"保留",IF(COUNTIFS(請求記録!$B$6:$B$3005,$A396,請求記録!$Z$6:$Z$3005,J$5)=0,"",SUMIFS(請求記録!$AE$6:$AE$3005,請求記録!$B$6:$B$3005,$A396,請求記録!$Z$6:$Z$3005,J$5))))</f>
        <v/>
      </c>
      <c r="K396" s="19">
        <f>IF($A396="","",IF(COUNTIFS(請求記録!$B$6:$B$3005,$A396,請求記録!$Z$6:$Z$3005,K$5,請求記録!$AF$6:$AF$3005,"保留中")&gt;0,"保留",IF(COUNTIFS(請求記録!$B$6:$B$3005,$A396,請求記録!$Z$6:$Z$3005,K$5)=0,"",SUMIFS(請求記録!$AE$6:$AE$3005,請求記録!$B$6:$B$3005,$A396,請求記録!$Z$6:$Z$3005,K$5))))</f>
        <v/>
      </c>
      <c r="L396" s="19">
        <f>IF($A396="","",IF(COUNTIFS(請求記録!$B$6:$B$3005,$A396,請求記録!$Z$6:$Z$3005,L$5,請求記録!$AF$6:$AF$3005,"保留中")&gt;0,"保留",IF(COUNTIFS(請求記録!$B$6:$B$3005,$A396,請求記録!$Z$6:$Z$3005,L$5)=0,"",SUMIFS(請求記録!$AE$6:$AE$3005,請求記録!$B$6:$B$3005,$A396,請求記録!$Z$6:$Z$3005,L$5))))</f>
        <v/>
      </c>
      <c r="M396" s="19">
        <f>IF($A396="","",IF(COUNTIFS(請求記録!$B$6:$B$3005,$A396,請求記録!$Z$6:$Z$3005,M$5,請求記録!$AF$6:$AF$3005,"保留中")&gt;0,"保留",IF(COUNTIFS(請求記録!$B$6:$B$3005,$A396,請求記録!$Z$6:$Z$3005,M$5)=0,"",SUMIFS(請求記録!$AE$6:$AE$3005,請求記録!$B$6:$B$3005,$A396,請求記録!$Z$6:$Z$3005,M$5))))</f>
        <v/>
      </c>
      <c r="N396" s="19">
        <f>IF($A396="","",IF(COUNTIFS(請求記録!$B$6:$B$3005,$A396,請求記録!$Z$6:$Z$3005,N$5,請求記録!$AF$6:$AF$3005,"保留中")&gt;0,"保留",IF(COUNTIFS(請求記録!$B$6:$B$3005,$A396,請求記録!$Z$6:$Z$3005,N$5)=0,"",SUMIFS(請求記録!$AE$6:$AE$3005,請求記録!$B$6:$B$3005,$A396,請求記録!$Z$6:$Z$3005,N$5))))</f>
        <v/>
      </c>
      <c r="O396" s="19">
        <f>IF($A396="","",IF(COUNTIFS(請求記録!$B$6:$B$3005,$A396,請求記録!$Z$6:$Z$3005,O$5,請求記録!$AF$6:$AF$3005,"保留中")&gt;0,"保留",IF(COUNTIFS(請求記録!$B$6:$B$3005,$A396,請求記録!$Z$6:$Z$3005,O$5)=0,"",SUMIFS(請求記録!$AE$6:$AE$3005,請求記録!$B$6:$B$3005,$A396,請求記録!$Z$6:$Z$3005,O$5))))</f>
        <v/>
      </c>
      <c r="P396" s="19">
        <f>IF($A396="","",IF(COUNTIFS(請求記録!$B$6:$B$3005,$A396,請求記録!$Z$6:$Z$3005,P$5,請求記録!$AF$6:$AF$3005,"保留中")&gt;0,"保留",IF(COUNTIFS(請求記録!$B$6:$B$3005,$A396,請求記録!$Z$6:$Z$3005,P$5)=0,"",SUMIFS(請求記録!$AE$6:$AE$3005,請求記録!$B$6:$B$3005,$A396,請求記録!$Z$6:$Z$3005,P$5))))</f>
        <v/>
      </c>
      <c r="Q396" s="19">
        <f>IF($A396="","",IF(COUNTIFS(請求記録!$B$6:$B$3005,$A396,請求記録!$Z$6:$Z$3005,Q$5,請求記録!$AF$6:$AF$3005,"保留中")&gt;0,"保留",IF(COUNTIFS(請求記録!$B$6:$B$3005,$A396,請求記録!$Z$6:$Z$3005,Q$5)=0,"",SUMIFS(請求記録!$AE$6:$AE$3005,請求記録!$B$6:$B$3005,$A396,請求記録!$Z$6:$Z$3005,Q$5))))</f>
        <v/>
      </c>
      <c r="R396" s="19">
        <f>IF($A396="","",IF(COUNTIFS(請求記録!$B$6:$B$3005,$A396,請求記録!$Z$6:$Z$3005,R$5,請求記録!$AF$6:$AF$3005,"保留中")&gt;0,"保留",IF(COUNTIFS(請求記録!$B$6:$B$3005,$A396,請求記録!$Z$6:$Z$3005,R$5)=0,"",SUMIFS(請求記録!$AE$6:$AE$3005,請求記録!$B$6:$B$3005,$A396,請求記録!$Z$6:$Z$3005,R$5))))</f>
        <v/>
      </c>
      <c r="S396" s="19">
        <f>IF($A396="","",IF(COUNTIFS(請求記録!$B$6:$B$3005,$A396,請求記録!$Z$6:$Z$3005,S$5,請求記録!$AF$6:$AF$3005,"保留中")&gt;0,"保留",IF(COUNTIFS(請求記録!$B$6:$B$3005,$A396,請求記録!$Z$6:$Z$3005,S$5)=0,"",SUMIFS(請求記録!$AE$6:$AE$3005,請求記録!$B$6:$B$3005,$A396,請求記録!$Z$6:$Z$3005,S$5))))</f>
        <v/>
      </c>
      <c r="T396" s="19">
        <f>IF($A396="","",IF(COUNTIFS(請求記録!$B$6:$B$3005,$A396,請求記録!$Z$6:$Z$3005,T$5,請求記録!$AF$6:$AF$3005,"保留中")&gt;0,"保留",IF(COUNTIFS(請求記録!$B$6:$B$3005,$A396,請求記録!$Z$6:$Z$3005,T$5)=0,"",SUMIFS(請求記録!$AE$6:$AE$3005,請求記録!$B$6:$B$3005,$A396,請求記録!$Z$6:$Z$3005,T$5))))</f>
        <v/>
      </c>
      <c r="U396" s="19">
        <f>IF($A396="","",IF(COUNTIFS(請求記録!$B$6:$B$3005,$A396,請求記録!$Z$6:$Z$3005,U$5,請求記録!$AF$6:$AF$3005,"保留中")&gt;0,"保留",IF(COUNTIFS(請求記録!$B$6:$B$3005,$A396,請求記録!$Z$6:$Z$3005,U$5)=0,"",SUMIFS(請求記録!$AE$6:$AE$3005,請求記録!$B$6:$B$3005,$A396,請求記録!$Z$6:$Z$3005,U$5))))</f>
        <v/>
      </c>
      <c r="V396" s="19">
        <f>IF($A396="","",IF(COUNTIFS(請求記録!$B$6:$B$3005,$A396,請求記録!$Z$6:$Z$3005,V$5,請求記録!$AF$6:$AF$3005,"保留中")&gt;0,"保留",IF(COUNTIFS(請求記録!$B$6:$B$3005,$A396,請求記録!$Z$6:$Z$3005,V$5)=0,"",SUMIFS(請求記録!$AE$6:$AE$3005,請求記録!$B$6:$B$3005,$A396,請求記録!$Z$6:$Z$3005,V$5))))</f>
        <v/>
      </c>
      <c r="W396" s="19">
        <f>IF($A396="","",IF(COUNTIFS(請求記録!$B$6:$B$3005,$A396,請求記録!$Z$6:$Z$3005,W$5,請求記録!$AF$6:$AF$3005,"保留中")&gt;0,"保留",IF(COUNTIFS(請求記録!$B$6:$B$3005,$A396,請求記録!$Z$6:$Z$3005,W$5)=0,"",SUMIFS(請求記録!$AE$6:$AE$3005,請求記録!$B$6:$B$3005,$A396,請求記録!$Z$6:$Z$3005,W$5))))</f>
        <v/>
      </c>
      <c r="X396" s="19">
        <f>IF($A396="","",IF(COUNTIFS(請求記録!$B$6:$B$3005,$A396,請求記録!$Z$6:$Z$3005,X$5,請求記録!$AF$6:$AF$3005,"保留中")&gt;0,"保留",IF(COUNTIFS(請求記録!$B$6:$B$3005,$A396,請求記録!$Z$6:$Z$3005,X$5)=0,"",SUMIFS(請求記録!$AE$6:$AE$3005,請求記録!$B$6:$B$3005,$A396,請求記録!$Z$6:$Z$3005,X$5))))</f>
        <v/>
      </c>
      <c r="Y396" s="19">
        <f>IF($A396="","",IF(COUNTIFS(請求記録!$B$6:$B$3005,$A396,請求記録!$Z$6:$Z$3005,Y$5,請求記録!$AF$6:$AF$3005,"保留中")&gt;0,"保留",IF(COUNTIFS(請求記録!$B$6:$B$3005,$A396,請求記録!$Z$6:$Z$3005,Y$5)=0,"",SUMIFS(請求記録!$AE$6:$AE$3005,請求記録!$B$6:$B$3005,$A396,請求記録!$Z$6:$Z$3005,Y$5))))</f>
        <v/>
      </c>
      <c r="Z396" s="19">
        <f>IF($A396="","",IF(COUNTIFS(請求記録!$B$6:$B$3005,$A396,請求記録!$Z$6:$Z$3005,Z$5,請求記録!$AF$6:$AF$3005,"保留中")&gt;0,"保留",IF(COUNTIFS(請求記録!$B$6:$B$3005,$A396,請求記録!$Z$6:$Z$3005,Z$5)=0,"",SUMIFS(請求記録!$AE$6:$AE$3005,請求記録!$B$6:$B$3005,$A396,請求記録!$Z$6:$Z$3005,Z$5))))</f>
        <v/>
      </c>
      <c r="AA396" s="19">
        <f>IF($A396="","",IF(COUNTIFS(請求記録!$B$6:$B$3005,$A396,請求記録!$Z$6:$Z$3005,AA$5,請求記録!$AF$6:$AF$3005,"保留中")&gt;0,"保留",IF(COUNTIFS(請求記録!$B$6:$B$3005,$A396,請求記録!$Z$6:$Z$3005,AA$5)=0,"",SUMIFS(請求記録!$AE$6:$AE$3005,請求記録!$B$6:$B$3005,$A396,請求記録!$Z$6:$Z$3005,AA$5))))</f>
        <v/>
      </c>
      <c r="AB396">
        <f>IF(職員マスタ!P396="保留中",職員マスタ!M396,"")</f>
        <v/>
      </c>
    </row>
    <row r="397">
      <c r="A397">
        <f>IF(職員マスタ!A397="","",職員マスタ!A397)</f>
        <v/>
      </c>
      <c r="B397">
        <f>IF($A397="","",職員マスタ!B397)</f>
        <v/>
      </c>
      <c r="C397">
        <f>IF($A397="","",職員マスタ!C397)</f>
        <v/>
      </c>
      <c r="D397" s="19">
        <f>IF($A397="","",IF(COUNTIFS(請求記録!$B$6:$B$3005,$A397,請求記録!$Z$6:$Z$3005,D$5,請求記録!$AF$6:$AF$3005,"保留中")&gt;0,"保留",IF(COUNTIFS(請求記録!$B$6:$B$3005,$A397,請求記録!$Z$6:$Z$3005,D$5)=0,"",SUMIFS(請求記録!$AE$6:$AE$3005,請求記録!$B$6:$B$3005,$A397,請求記録!$Z$6:$Z$3005,D$5))))</f>
        <v/>
      </c>
      <c r="E397" s="19">
        <f>IF($A397="","",IF(COUNTIFS(請求記録!$B$6:$B$3005,$A397,請求記録!$Z$6:$Z$3005,E$5,請求記録!$AF$6:$AF$3005,"保留中")&gt;0,"保留",IF(COUNTIFS(請求記録!$B$6:$B$3005,$A397,請求記録!$Z$6:$Z$3005,E$5)=0,"",SUMIFS(請求記録!$AE$6:$AE$3005,請求記録!$B$6:$B$3005,$A397,請求記録!$Z$6:$Z$3005,E$5))))</f>
        <v/>
      </c>
      <c r="F397" s="19">
        <f>IF($A397="","",IF(COUNTIFS(請求記録!$B$6:$B$3005,$A397,請求記録!$Z$6:$Z$3005,F$5,請求記録!$AF$6:$AF$3005,"保留中")&gt;0,"保留",IF(COUNTIFS(請求記録!$B$6:$B$3005,$A397,請求記録!$Z$6:$Z$3005,F$5)=0,"",SUMIFS(請求記録!$AE$6:$AE$3005,請求記録!$B$6:$B$3005,$A397,請求記録!$Z$6:$Z$3005,F$5))))</f>
        <v/>
      </c>
      <c r="G397" s="19">
        <f>IF($A397="","",IF(COUNTIFS(請求記録!$B$6:$B$3005,$A397,請求記録!$Z$6:$Z$3005,G$5,請求記録!$AF$6:$AF$3005,"保留中")&gt;0,"保留",IF(COUNTIFS(請求記録!$B$6:$B$3005,$A397,請求記録!$Z$6:$Z$3005,G$5)=0,"",SUMIFS(請求記録!$AE$6:$AE$3005,請求記録!$B$6:$B$3005,$A397,請求記録!$Z$6:$Z$3005,G$5))))</f>
        <v/>
      </c>
      <c r="H397" s="19">
        <f>IF($A397="","",IF(COUNTIFS(請求記録!$B$6:$B$3005,$A397,請求記録!$Z$6:$Z$3005,H$5,請求記録!$AF$6:$AF$3005,"保留中")&gt;0,"保留",IF(COUNTIFS(請求記録!$B$6:$B$3005,$A397,請求記録!$Z$6:$Z$3005,H$5)=0,"",SUMIFS(請求記録!$AE$6:$AE$3005,請求記録!$B$6:$B$3005,$A397,請求記録!$Z$6:$Z$3005,H$5))))</f>
        <v/>
      </c>
      <c r="I397" s="19">
        <f>IF($A397="","",IF(COUNTIFS(請求記録!$B$6:$B$3005,$A397,請求記録!$Z$6:$Z$3005,I$5,請求記録!$AF$6:$AF$3005,"保留中")&gt;0,"保留",IF(COUNTIFS(請求記録!$B$6:$B$3005,$A397,請求記録!$Z$6:$Z$3005,I$5)=0,"",SUMIFS(請求記録!$AE$6:$AE$3005,請求記録!$B$6:$B$3005,$A397,請求記録!$Z$6:$Z$3005,I$5))))</f>
        <v/>
      </c>
      <c r="J397" s="19">
        <f>IF($A397="","",IF(COUNTIFS(請求記録!$B$6:$B$3005,$A397,請求記録!$Z$6:$Z$3005,J$5,請求記録!$AF$6:$AF$3005,"保留中")&gt;0,"保留",IF(COUNTIFS(請求記録!$B$6:$B$3005,$A397,請求記録!$Z$6:$Z$3005,J$5)=0,"",SUMIFS(請求記録!$AE$6:$AE$3005,請求記録!$B$6:$B$3005,$A397,請求記録!$Z$6:$Z$3005,J$5))))</f>
        <v/>
      </c>
      <c r="K397" s="19">
        <f>IF($A397="","",IF(COUNTIFS(請求記録!$B$6:$B$3005,$A397,請求記録!$Z$6:$Z$3005,K$5,請求記録!$AF$6:$AF$3005,"保留中")&gt;0,"保留",IF(COUNTIFS(請求記録!$B$6:$B$3005,$A397,請求記録!$Z$6:$Z$3005,K$5)=0,"",SUMIFS(請求記録!$AE$6:$AE$3005,請求記録!$B$6:$B$3005,$A397,請求記録!$Z$6:$Z$3005,K$5))))</f>
        <v/>
      </c>
      <c r="L397" s="19">
        <f>IF($A397="","",IF(COUNTIFS(請求記録!$B$6:$B$3005,$A397,請求記録!$Z$6:$Z$3005,L$5,請求記録!$AF$6:$AF$3005,"保留中")&gt;0,"保留",IF(COUNTIFS(請求記録!$B$6:$B$3005,$A397,請求記録!$Z$6:$Z$3005,L$5)=0,"",SUMIFS(請求記録!$AE$6:$AE$3005,請求記録!$B$6:$B$3005,$A397,請求記録!$Z$6:$Z$3005,L$5))))</f>
        <v/>
      </c>
      <c r="M397" s="19">
        <f>IF($A397="","",IF(COUNTIFS(請求記録!$B$6:$B$3005,$A397,請求記録!$Z$6:$Z$3005,M$5,請求記録!$AF$6:$AF$3005,"保留中")&gt;0,"保留",IF(COUNTIFS(請求記録!$B$6:$B$3005,$A397,請求記録!$Z$6:$Z$3005,M$5)=0,"",SUMIFS(請求記録!$AE$6:$AE$3005,請求記録!$B$6:$B$3005,$A397,請求記録!$Z$6:$Z$3005,M$5))))</f>
        <v/>
      </c>
      <c r="N397" s="19">
        <f>IF($A397="","",IF(COUNTIFS(請求記録!$B$6:$B$3005,$A397,請求記録!$Z$6:$Z$3005,N$5,請求記録!$AF$6:$AF$3005,"保留中")&gt;0,"保留",IF(COUNTIFS(請求記録!$B$6:$B$3005,$A397,請求記録!$Z$6:$Z$3005,N$5)=0,"",SUMIFS(請求記録!$AE$6:$AE$3005,請求記録!$B$6:$B$3005,$A397,請求記録!$Z$6:$Z$3005,N$5))))</f>
        <v/>
      </c>
      <c r="O397" s="19">
        <f>IF($A397="","",IF(COUNTIFS(請求記録!$B$6:$B$3005,$A397,請求記録!$Z$6:$Z$3005,O$5,請求記録!$AF$6:$AF$3005,"保留中")&gt;0,"保留",IF(COUNTIFS(請求記録!$B$6:$B$3005,$A397,請求記録!$Z$6:$Z$3005,O$5)=0,"",SUMIFS(請求記録!$AE$6:$AE$3005,請求記録!$B$6:$B$3005,$A397,請求記録!$Z$6:$Z$3005,O$5))))</f>
        <v/>
      </c>
      <c r="P397" s="19">
        <f>IF($A397="","",IF(COUNTIFS(請求記録!$B$6:$B$3005,$A397,請求記録!$Z$6:$Z$3005,P$5,請求記録!$AF$6:$AF$3005,"保留中")&gt;0,"保留",IF(COUNTIFS(請求記録!$B$6:$B$3005,$A397,請求記録!$Z$6:$Z$3005,P$5)=0,"",SUMIFS(請求記録!$AE$6:$AE$3005,請求記録!$B$6:$B$3005,$A397,請求記録!$Z$6:$Z$3005,P$5))))</f>
        <v/>
      </c>
      <c r="Q397" s="19">
        <f>IF($A397="","",IF(COUNTIFS(請求記録!$B$6:$B$3005,$A397,請求記録!$Z$6:$Z$3005,Q$5,請求記録!$AF$6:$AF$3005,"保留中")&gt;0,"保留",IF(COUNTIFS(請求記録!$B$6:$B$3005,$A397,請求記録!$Z$6:$Z$3005,Q$5)=0,"",SUMIFS(請求記録!$AE$6:$AE$3005,請求記録!$B$6:$B$3005,$A397,請求記録!$Z$6:$Z$3005,Q$5))))</f>
        <v/>
      </c>
      <c r="R397" s="19">
        <f>IF($A397="","",IF(COUNTIFS(請求記録!$B$6:$B$3005,$A397,請求記録!$Z$6:$Z$3005,R$5,請求記録!$AF$6:$AF$3005,"保留中")&gt;0,"保留",IF(COUNTIFS(請求記録!$B$6:$B$3005,$A397,請求記録!$Z$6:$Z$3005,R$5)=0,"",SUMIFS(請求記録!$AE$6:$AE$3005,請求記録!$B$6:$B$3005,$A397,請求記録!$Z$6:$Z$3005,R$5))))</f>
        <v/>
      </c>
      <c r="S397" s="19">
        <f>IF($A397="","",IF(COUNTIFS(請求記録!$B$6:$B$3005,$A397,請求記録!$Z$6:$Z$3005,S$5,請求記録!$AF$6:$AF$3005,"保留中")&gt;0,"保留",IF(COUNTIFS(請求記録!$B$6:$B$3005,$A397,請求記録!$Z$6:$Z$3005,S$5)=0,"",SUMIFS(請求記録!$AE$6:$AE$3005,請求記録!$B$6:$B$3005,$A397,請求記録!$Z$6:$Z$3005,S$5))))</f>
        <v/>
      </c>
      <c r="T397" s="19">
        <f>IF($A397="","",IF(COUNTIFS(請求記録!$B$6:$B$3005,$A397,請求記録!$Z$6:$Z$3005,T$5,請求記録!$AF$6:$AF$3005,"保留中")&gt;0,"保留",IF(COUNTIFS(請求記録!$B$6:$B$3005,$A397,請求記録!$Z$6:$Z$3005,T$5)=0,"",SUMIFS(請求記録!$AE$6:$AE$3005,請求記録!$B$6:$B$3005,$A397,請求記録!$Z$6:$Z$3005,T$5))))</f>
        <v/>
      </c>
      <c r="U397" s="19">
        <f>IF($A397="","",IF(COUNTIFS(請求記録!$B$6:$B$3005,$A397,請求記録!$Z$6:$Z$3005,U$5,請求記録!$AF$6:$AF$3005,"保留中")&gt;0,"保留",IF(COUNTIFS(請求記録!$B$6:$B$3005,$A397,請求記録!$Z$6:$Z$3005,U$5)=0,"",SUMIFS(請求記録!$AE$6:$AE$3005,請求記録!$B$6:$B$3005,$A397,請求記録!$Z$6:$Z$3005,U$5))))</f>
        <v/>
      </c>
      <c r="V397" s="19">
        <f>IF($A397="","",IF(COUNTIFS(請求記録!$B$6:$B$3005,$A397,請求記録!$Z$6:$Z$3005,V$5,請求記録!$AF$6:$AF$3005,"保留中")&gt;0,"保留",IF(COUNTIFS(請求記録!$B$6:$B$3005,$A397,請求記録!$Z$6:$Z$3005,V$5)=0,"",SUMIFS(請求記録!$AE$6:$AE$3005,請求記録!$B$6:$B$3005,$A397,請求記録!$Z$6:$Z$3005,V$5))))</f>
        <v/>
      </c>
      <c r="W397" s="19">
        <f>IF($A397="","",IF(COUNTIFS(請求記録!$B$6:$B$3005,$A397,請求記録!$Z$6:$Z$3005,W$5,請求記録!$AF$6:$AF$3005,"保留中")&gt;0,"保留",IF(COUNTIFS(請求記録!$B$6:$B$3005,$A397,請求記録!$Z$6:$Z$3005,W$5)=0,"",SUMIFS(請求記録!$AE$6:$AE$3005,請求記録!$B$6:$B$3005,$A397,請求記録!$Z$6:$Z$3005,W$5))))</f>
        <v/>
      </c>
      <c r="X397" s="19">
        <f>IF($A397="","",IF(COUNTIFS(請求記録!$B$6:$B$3005,$A397,請求記録!$Z$6:$Z$3005,X$5,請求記録!$AF$6:$AF$3005,"保留中")&gt;0,"保留",IF(COUNTIFS(請求記録!$B$6:$B$3005,$A397,請求記録!$Z$6:$Z$3005,X$5)=0,"",SUMIFS(請求記録!$AE$6:$AE$3005,請求記録!$B$6:$B$3005,$A397,請求記録!$Z$6:$Z$3005,X$5))))</f>
        <v/>
      </c>
      <c r="Y397" s="19">
        <f>IF($A397="","",IF(COUNTIFS(請求記録!$B$6:$B$3005,$A397,請求記録!$Z$6:$Z$3005,Y$5,請求記録!$AF$6:$AF$3005,"保留中")&gt;0,"保留",IF(COUNTIFS(請求記録!$B$6:$B$3005,$A397,請求記録!$Z$6:$Z$3005,Y$5)=0,"",SUMIFS(請求記録!$AE$6:$AE$3005,請求記録!$B$6:$B$3005,$A397,請求記録!$Z$6:$Z$3005,Y$5))))</f>
        <v/>
      </c>
      <c r="Z397" s="19">
        <f>IF($A397="","",IF(COUNTIFS(請求記録!$B$6:$B$3005,$A397,請求記録!$Z$6:$Z$3005,Z$5,請求記録!$AF$6:$AF$3005,"保留中")&gt;0,"保留",IF(COUNTIFS(請求記録!$B$6:$B$3005,$A397,請求記録!$Z$6:$Z$3005,Z$5)=0,"",SUMIFS(請求記録!$AE$6:$AE$3005,請求記録!$B$6:$B$3005,$A397,請求記録!$Z$6:$Z$3005,Z$5))))</f>
        <v/>
      </c>
      <c r="AA397" s="19">
        <f>IF($A397="","",IF(COUNTIFS(請求記録!$B$6:$B$3005,$A397,請求記録!$Z$6:$Z$3005,AA$5,請求記録!$AF$6:$AF$3005,"保留中")&gt;0,"保留",IF(COUNTIFS(請求記録!$B$6:$B$3005,$A397,請求記録!$Z$6:$Z$3005,AA$5)=0,"",SUMIFS(請求記録!$AE$6:$AE$3005,請求記録!$B$6:$B$3005,$A397,請求記録!$Z$6:$Z$3005,AA$5))))</f>
        <v/>
      </c>
      <c r="AB397">
        <f>IF(職員マスタ!P397="保留中",職員マスタ!M397,"")</f>
        <v/>
      </c>
    </row>
    <row r="398">
      <c r="A398">
        <f>IF(職員マスタ!A398="","",職員マスタ!A398)</f>
        <v/>
      </c>
      <c r="B398">
        <f>IF($A398="","",職員マスタ!B398)</f>
        <v/>
      </c>
      <c r="C398">
        <f>IF($A398="","",職員マスタ!C398)</f>
        <v/>
      </c>
      <c r="D398" s="19">
        <f>IF($A398="","",IF(COUNTIFS(請求記録!$B$6:$B$3005,$A398,請求記録!$Z$6:$Z$3005,D$5,請求記録!$AF$6:$AF$3005,"保留中")&gt;0,"保留",IF(COUNTIFS(請求記録!$B$6:$B$3005,$A398,請求記録!$Z$6:$Z$3005,D$5)=0,"",SUMIFS(請求記録!$AE$6:$AE$3005,請求記録!$B$6:$B$3005,$A398,請求記録!$Z$6:$Z$3005,D$5))))</f>
        <v/>
      </c>
      <c r="E398" s="19">
        <f>IF($A398="","",IF(COUNTIFS(請求記録!$B$6:$B$3005,$A398,請求記録!$Z$6:$Z$3005,E$5,請求記録!$AF$6:$AF$3005,"保留中")&gt;0,"保留",IF(COUNTIFS(請求記録!$B$6:$B$3005,$A398,請求記録!$Z$6:$Z$3005,E$5)=0,"",SUMIFS(請求記録!$AE$6:$AE$3005,請求記録!$B$6:$B$3005,$A398,請求記録!$Z$6:$Z$3005,E$5))))</f>
        <v/>
      </c>
      <c r="F398" s="19">
        <f>IF($A398="","",IF(COUNTIFS(請求記録!$B$6:$B$3005,$A398,請求記録!$Z$6:$Z$3005,F$5,請求記録!$AF$6:$AF$3005,"保留中")&gt;0,"保留",IF(COUNTIFS(請求記録!$B$6:$B$3005,$A398,請求記録!$Z$6:$Z$3005,F$5)=0,"",SUMIFS(請求記録!$AE$6:$AE$3005,請求記録!$B$6:$B$3005,$A398,請求記録!$Z$6:$Z$3005,F$5))))</f>
        <v/>
      </c>
      <c r="G398" s="19">
        <f>IF($A398="","",IF(COUNTIFS(請求記録!$B$6:$B$3005,$A398,請求記録!$Z$6:$Z$3005,G$5,請求記録!$AF$6:$AF$3005,"保留中")&gt;0,"保留",IF(COUNTIFS(請求記録!$B$6:$B$3005,$A398,請求記録!$Z$6:$Z$3005,G$5)=0,"",SUMIFS(請求記録!$AE$6:$AE$3005,請求記録!$B$6:$B$3005,$A398,請求記録!$Z$6:$Z$3005,G$5))))</f>
        <v/>
      </c>
      <c r="H398" s="19">
        <f>IF($A398="","",IF(COUNTIFS(請求記録!$B$6:$B$3005,$A398,請求記録!$Z$6:$Z$3005,H$5,請求記録!$AF$6:$AF$3005,"保留中")&gt;0,"保留",IF(COUNTIFS(請求記録!$B$6:$B$3005,$A398,請求記録!$Z$6:$Z$3005,H$5)=0,"",SUMIFS(請求記録!$AE$6:$AE$3005,請求記録!$B$6:$B$3005,$A398,請求記録!$Z$6:$Z$3005,H$5))))</f>
        <v/>
      </c>
      <c r="I398" s="19">
        <f>IF($A398="","",IF(COUNTIFS(請求記録!$B$6:$B$3005,$A398,請求記録!$Z$6:$Z$3005,I$5,請求記録!$AF$6:$AF$3005,"保留中")&gt;0,"保留",IF(COUNTIFS(請求記録!$B$6:$B$3005,$A398,請求記録!$Z$6:$Z$3005,I$5)=0,"",SUMIFS(請求記録!$AE$6:$AE$3005,請求記録!$B$6:$B$3005,$A398,請求記録!$Z$6:$Z$3005,I$5))))</f>
        <v/>
      </c>
      <c r="J398" s="19">
        <f>IF($A398="","",IF(COUNTIFS(請求記録!$B$6:$B$3005,$A398,請求記録!$Z$6:$Z$3005,J$5,請求記録!$AF$6:$AF$3005,"保留中")&gt;0,"保留",IF(COUNTIFS(請求記録!$B$6:$B$3005,$A398,請求記録!$Z$6:$Z$3005,J$5)=0,"",SUMIFS(請求記録!$AE$6:$AE$3005,請求記録!$B$6:$B$3005,$A398,請求記録!$Z$6:$Z$3005,J$5))))</f>
        <v/>
      </c>
      <c r="K398" s="19">
        <f>IF($A398="","",IF(COUNTIFS(請求記録!$B$6:$B$3005,$A398,請求記録!$Z$6:$Z$3005,K$5,請求記録!$AF$6:$AF$3005,"保留中")&gt;0,"保留",IF(COUNTIFS(請求記録!$B$6:$B$3005,$A398,請求記録!$Z$6:$Z$3005,K$5)=0,"",SUMIFS(請求記録!$AE$6:$AE$3005,請求記録!$B$6:$B$3005,$A398,請求記録!$Z$6:$Z$3005,K$5))))</f>
        <v/>
      </c>
      <c r="L398" s="19">
        <f>IF($A398="","",IF(COUNTIFS(請求記録!$B$6:$B$3005,$A398,請求記録!$Z$6:$Z$3005,L$5,請求記録!$AF$6:$AF$3005,"保留中")&gt;0,"保留",IF(COUNTIFS(請求記録!$B$6:$B$3005,$A398,請求記録!$Z$6:$Z$3005,L$5)=0,"",SUMIFS(請求記録!$AE$6:$AE$3005,請求記録!$B$6:$B$3005,$A398,請求記録!$Z$6:$Z$3005,L$5))))</f>
        <v/>
      </c>
      <c r="M398" s="19">
        <f>IF($A398="","",IF(COUNTIFS(請求記録!$B$6:$B$3005,$A398,請求記録!$Z$6:$Z$3005,M$5,請求記録!$AF$6:$AF$3005,"保留中")&gt;0,"保留",IF(COUNTIFS(請求記録!$B$6:$B$3005,$A398,請求記録!$Z$6:$Z$3005,M$5)=0,"",SUMIFS(請求記録!$AE$6:$AE$3005,請求記録!$B$6:$B$3005,$A398,請求記録!$Z$6:$Z$3005,M$5))))</f>
        <v/>
      </c>
      <c r="N398" s="19">
        <f>IF($A398="","",IF(COUNTIFS(請求記録!$B$6:$B$3005,$A398,請求記録!$Z$6:$Z$3005,N$5,請求記録!$AF$6:$AF$3005,"保留中")&gt;0,"保留",IF(COUNTIFS(請求記録!$B$6:$B$3005,$A398,請求記録!$Z$6:$Z$3005,N$5)=0,"",SUMIFS(請求記録!$AE$6:$AE$3005,請求記録!$B$6:$B$3005,$A398,請求記録!$Z$6:$Z$3005,N$5))))</f>
        <v/>
      </c>
      <c r="O398" s="19">
        <f>IF($A398="","",IF(COUNTIFS(請求記録!$B$6:$B$3005,$A398,請求記録!$Z$6:$Z$3005,O$5,請求記録!$AF$6:$AF$3005,"保留中")&gt;0,"保留",IF(COUNTIFS(請求記録!$B$6:$B$3005,$A398,請求記録!$Z$6:$Z$3005,O$5)=0,"",SUMIFS(請求記録!$AE$6:$AE$3005,請求記録!$B$6:$B$3005,$A398,請求記録!$Z$6:$Z$3005,O$5))))</f>
        <v/>
      </c>
      <c r="P398" s="19">
        <f>IF($A398="","",IF(COUNTIFS(請求記録!$B$6:$B$3005,$A398,請求記録!$Z$6:$Z$3005,P$5,請求記録!$AF$6:$AF$3005,"保留中")&gt;0,"保留",IF(COUNTIFS(請求記録!$B$6:$B$3005,$A398,請求記録!$Z$6:$Z$3005,P$5)=0,"",SUMIFS(請求記録!$AE$6:$AE$3005,請求記録!$B$6:$B$3005,$A398,請求記録!$Z$6:$Z$3005,P$5))))</f>
        <v/>
      </c>
      <c r="Q398" s="19">
        <f>IF($A398="","",IF(COUNTIFS(請求記録!$B$6:$B$3005,$A398,請求記録!$Z$6:$Z$3005,Q$5,請求記録!$AF$6:$AF$3005,"保留中")&gt;0,"保留",IF(COUNTIFS(請求記録!$B$6:$B$3005,$A398,請求記録!$Z$6:$Z$3005,Q$5)=0,"",SUMIFS(請求記録!$AE$6:$AE$3005,請求記録!$B$6:$B$3005,$A398,請求記録!$Z$6:$Z$3005,Q$5))))</f>
        <v/>
      </c>
      <c r="R398" s="19">
        <f>IF($A398="","",IF(COUNTIFS(請求記録!$B$6:$B$3005,$A398,請求記録!$Z$6:$Z$3005,R$5,請求記録!$AF$6:$AF$3005,"保留中")&gt;0,"保留",IF(COUNTIFS(請求記録!$B$6:$B$3005,$A398,請求記録!$Z$6:$Z$3005,R$5)=0,"",SUMIFS(請求記録!$AE$6:$AE$3005,請求記録!$B$6:$B$3005,$A398,請求記録!$Z$6:$Z$3005,R$5))))</f>
        <v/>
      </c>
      <c r="S398" s="19">
        <f>IF($A398="","",IF(COUNTIFS(請求記録!$B$6:$B$3005,$A398,請求記録!$Z$6:$Z$3005,S$5,請求記録!$AF$6:$AF$3005,"保留中")&gt;0,"保留",IF(COUNTIFS(請求記録!$B$6:$B$3005,$A398,請求記録!$Z$6:$Z$3005,S$5)=0,"",SUMIFS(請求記録!$AE$6:$AE$3005,請求記録!$B$6:$B$3005,$A398,請求記録!$Z$6:$Z$3005,S$5))))</f>
        <v/>
      </c>
      <c r="T398" s="19">
        <f>IF($A398="","",IF(COUNTIFS(請求記録!$B$6:$B$3005,$A398,請求記録!$Z$6:$Z$3005,T$5,請求記録!$AF$6:$AF$3005,"保留中")&gt;0,"保留",IF(COUNTIFS(請求記録!$B$6:$B$3005,$A398,請求記録!$Z$6:$Z$3005,T$5)=0,"",SUMIFS(請求記録!$AE$6:$AE$3005,請求記録!$B$6:$B$3005,$A398,請求記録!$Z$6:$Z$3005,T$5))))</f>
        <v/>
      </c>
      <c r="U398" s="19">
        <f>IF($A398="","",IF(COUNTIFS(請求記録!$B$6:$B$3005,$A398,請求記録!$Z$6:$Z$3005,U$5,請求記録!$AF$6:$AF$3005,"保留中")&gt;0,"保留",IF(COUNTIFS(請求記録!$B$6:$B$3005,$A398,請求記録!$Z$6:$Z$3005,U$5)=0,"",SUMIFS(請求記録!$AE$6:$AE$3005,請求記録!$B$6:$B$3005,$A398,請求記録!$Z$6:$Z$3005,U$5))))</f>
        <v/>
      </c>
      <c r="V398" s="19">
        <f>IF($A398="","",IF(COUNTIFS(請求記録!$B$6:$B$3005,$A398,請求記録!$Z$6:$Z$3005,V$5,請求記録!$AF$6:$AF$3005,"保留中")&gt;0,"保留",IF(COUNTIFS(請求記録!$B$6:$B$3005,$A398,請求記録!$Z$6:$Z$3005,V$5)=0,"",SUMIFS(請求記録!$AE$6:$AE$3005,請求記録!$B$6:$B$3005,$A398,請求記録!$Z$6:$Z$3005,V$5))))</f>
        <v/>
      </c>
      <c r="W398" s="19">
        <f>IF($A398="","",IF(COUNTIFS(請求記録!$B$6:$B$3005,$A398,請求記録!$Z$6:$Z$3005,W$5,請求記録!$AF$6:$AF$3005,"保留中")&gt;0,"保留",IF(COUNTIFS(請求記録!$B$6:$B$3005,$A398,請求記録!$Z$6:$Z$3005,W$5)=0,"",SUMIFS(請求記録!$AE$6:$AE$3005,請求記録!$B$6:$B$3005,$A398,請求記録!$Z$6:$Z$3005,W$5))))</f>
        <v/>
      </c>
      <c r="X398" s="19">
        <f>IF($A398="","",IF(COUNTIFS(請求記録!$B$6:$B$3005,$A398,請求記録!$Z$6:$Z$3005,X$5,請求記録!$AF$6:$AF$3005,"保留中")&gt;0,"保留",IF(COUNTIFS(請求記録!$B$6:$B$3005,$A398,請求記録!$Z$6:$Z$3005,X$5)=0,"",SUMIFS(請求記録!$AE$6:$AE$3005,請求記録!$B$6:$B$3005,$A398,請求記録!$Z$6:$Z$3005,X$5))))</f>
        <v/>
      </c>
      <c r="Y398" s="19">
        <f>IF($A398="","",IF(COUNTIFS(請求記録!$B$6:$B$3005,$A398,請求記録!$Z$6:$Z$3005,Y$5,請求記録!$AF$6:$AF$3005,"保留中")&gt;0,"保留",IF(COUNTIFS(請求記録!$B$6:$B$3005,$A398,請求記録!$Z$6:$Z$3005,Y$5)=0,"",SUMIFS(請求記録!$AE$6:$AE$3005,請求記録!$B$6:$B$3005,$A398,請求記録!$Z$6:$Z$3005,Y$5))))</f>
        <v/>
      </c>
      <c r="Z398" s="19">
        <f>IF($A398="","",IF(COUNTIFS(請求記録!$B$6:$B$3005,$A398,請求記録!$Z$6:$Z$3005,Z$5,請求記録!$AF$6:$AF$3005,"保留中")&gt;0,"保留",IF(COUNTIFS(請求記録!$B$6:$B$3005,$A398,請求記録!$Z$6:$Z$3005,Z$5)=0,"",SUMIFS(請求記録!$AE$6:$AE$3005,請求記録!$B$6:$B$3005,$A398,請求記録!$Z$6:$Z$3005,Z$5))))</f>
        <v/>
      </c>
      <c r="AA398" s="19">
        <f>IF($A398="","",IF(COUNTIFS(請求記録!$B$6:$B$3005,$A398,請求記録!$Z$6:$Z$3005,AA$5,請求記録!$AF$6:$AF$3005,"保留中")&gt;0,"保留",IF(COUNTIFS(請求記録!$B$6:$B$3005,$A398,請求記録!$Z$6:$Z$3005,AA$5)=0,"",SUMIFS(請求記録!$AE$6:$AE$3005,請求記録!$B$6:$B$3005,$A398,請求記録!$Z$6:$Z$3005,AA$5))))</f>
        <v/>
      </c>
      <c r="AB398">
        <f>IF(職員マスタ!P398="保留中",職員マスタ!M398,"")</f>
        <v/>
      </c>
    </row>
    <row r="399">
      <c r="A399">
        <f>IF(職員マスタ!A399="","",職員マスタ!A399)</f>
        <v/>
      </c>
      <c r="B399">
        <f>IF($A399="","",職員マスタ!B399)</f>
        <v/>
      </c>
      <c r="C399">
        <f>IF($A399="","",職員マスタ!C399)</f>
        <v/>
      </c>
      <c r="D399" s="19">
        <f>IF($A399="","",IF(COUNTIFS(請求記録!$B$6:$B$3005,$A399,請求記録!$Z$6:$Z$3005,D$5,請求記録!$AF$6:$AF$3005,"保留中")&gt;0,"保留",IF(COUNTIFS(請求記録!$B$6:$B$3005,$A399,請求記録!$Z$6:$Z$3005,D$5)=0,"",SUMIFS(請求記録!$AE$6:$AE$3005,請求記録!$B$6:$B$3005,$A399,請求記録!$Z$6:$Z$3005,D$5))))</f>
        <v/>
      </c>
      <c r="E399" s="19">
        <f>IF($A399="","",IF(COUNTIFS(請求記録!$B$6:$B$3005,$A399,請求記録!$Z$6:$Z$3005,E$5,請求記録!$AF$6:$AF$3005,"保留中")&gt;0,"保留",IF(COUNTIFS(請求記録!$B$6:$B$3005,$A399,請求記録!$Z$6:$Z$3005,E$5)=0,"",SUMIFS(請求記録!$AE$6:$AE$3005,請求記録!$B$6:$B$3005,$A399,請求記録!$Z$6:$Z$3005,E$5))))</f>
        <v/>
      </c>
      <c r="F399" s="19">
        <f>IF($A399="","",IF(COUNTIFS(請求記録!$B$6:$B$3005,$A399,請求記録!$Z$6:$Z$3005,F$5,請求記録!$AF$6:$AF$3005,"保留中")&gt;0,"保留",IF(COUNTIFS(請求記録!$B$6:$B$3005,$A399,請求記録!$Z$6:$Z$3005,F$5)=0,"",SUMIFS(請求記録!$AE$6:$AE$3005,請求記録!$B$6:$B$3005,$A399,請求記録!$Z$6:$Z$3005,F$5))))</f>
        <v/>
      </c>
      <c r="G399" s="19">
        <f>IF($A399="","",IF(COUNTIFS(請求記録!$B$6:$B$3005,$A399,請求記録!$Z$6:$Z$3005,G$5,請求記録!$AF$6:$AF$3005,"保留中")&gt;0,"保留",IF(COUNTIFS(請求記録!$B$6:$B$3005,$A399,請求記録!$Z$6:$Z$3005,G$5)=0,"",SUMIFS(請求記録!$AE$6:$AE$3005,請求記録!$B$6:$B$3005,$A399,請求記録!$Z$6:$Z$3005,G$5))))</f>
        <v/>
      </c>
      <c r="H399" s="19">
        <f>IF($A399="","",IF(COUNTIFS(請求記録!$B$6:$B$3005,$A399,請求記録!$Z$6:$Z$3005,H$5,請求記録!$AF$6:$AF$3005,"保留中")&gt;0,"保留",IF(COUNTIFS(請求記録!$B$6:$B$3005,$A399,請求記録!$Z$6:$Z$3005,H$5)=0,"",SUMIFS(請求記録!$AE$6:$AE$3005,請求記録!$B$6:$B$3005,$A399,請求記録!$Z$6:$Z$3005,H$5))))</f>
        <v/>
      </c>
      <c r="I399" s="19">
        <f>IF($A399="","",IF(COUNTIFS(請求記録!$B$6:$B$3005,$A399,請求記録!$Z$6:$Z$3005,I$5,請求記録!$AF$6:$AF$3005,"保留中")&gt;0,"保留",IF(COUNTIFS(請求記録!$B$6:$B$3005,$A399,請求記録!$Z$6:$Z$3005,I$5)=0,"",SUMIFS(請求記録!$AE$6:$AE$3005,請求記録!$B$6:$B$3005,$A399,請求記録!$Z$6:$Z$3005,I$5))))</f>
        <v/>
      </c>
      <c r="J399" s="19">
        <f>IF($A399="","",IF(COUNTIFS(請求記録!$B$6:$B$3005,$A399,請求記録!$Z$6:$Z$3005,J$5,請求記録!$AF$6:$AF$3005,"保留中")&gt;0,"保留",IF(COUNTIFS(請求記録!$B$6:$B$3005,$A399,請求記録!$Z$6:$Z$3005,J$5)=0,"",SUMIFS(請求記録!$AE$6:$AE$3005,請求記録!$B$6:$B$3005,$A399,請求記録!$Z$6:$Z$3005,J$5))))</f>
        <v/>
      </c>
      <c r="K399" s="19">
        <f>IF($A399="","",IF(COUNTIFS(請求記録!$B$6:$B$3005,$A399,請求記録!$Z$6:$Z$3005,K$5,請求記録!$AF$6:$AF$3005,"保留中")&gt;0,"保留",IF(COUNTIFS(請求記録!$B$6:$B$3005,$A399,請求記録!$Z$6:$Z$3005,K$5)=0,"",SUMIFS(請求記録!$AE$6:$AE$3005,請求記録!$B$6:$B$3005,$A399,請求記録!$Z$6:$Z$3005,K$5))))</f>
        <v/>
      </c>
      <c r="L399" s="19">
        <f>IF($A399="","",IF(COUNTIFS(請求記録!$B$6:$B$3005,$A399,請求記録!$Z$6:$Z$3005,L$5,請求記録!$AF$6:$AF$3005,"保留中")&gt;0,"保留",IF(COUNTIFS(請求記録!$B$6:$B$3005,$A399,請求記録!$Z$6:$Z$3005,L$5)=0,"",SUMIFS(請求記録!$AE$6:$AE$3005,請求記録!$B$6:$B$3005,$A399,請求記録!$Z$6:$Z$3005,L$5))))</f>
        <v/>
      </c>
      <c r="M399" s="19">
        <f>IF($A399="","",IF(COUNTIFS(請求記録!$B$6:$B$3005,$A399,請求記録!$Z$6:$Z$3005,M$5,請求記録!$AF$6:$AF$3005,"保留中")&gt;0,"保留",IF(COUNTIFS(請求記録!$B$6:$B$3005,$A399,請求記録!$Z$6:$Z$3005,M$5)=0,"",SUMIFS(請求記録!$AE$6:$AE$3005,請求記録!$B$6:$B$3005,$A399,請求記録!$Z$6:$Z$3005,M$5))))</f>
        <v/>
      </c>
      <c r="N399" s="19">
        <f>IF($A399="","",IF(COUNTIFS(請求記録!$B$6:$B$3005,$A399,請求記録!$Z$6:$Z$3005,N$5,請求記録!$AF$6:$AF$3005,"保留中")&gt;0,"保留",IF(COUNTIFS(請求記録!$B$6:$B$3005,$A399,請求記録!$Z$6:$Z$3005,N$5)=0,"",SUMIFS(請求記録!$AE$6:$AE$3005,請求記録!$B$6:$B$3005,$A399,請求記録!$Z$6:$Z$3005,N$5))))</f>
        <v/>
      </c>
      <c r="O399" s="19">
        <f>IF($A399="","",IF(COUNTIFS(請求記録!$B$6:$B$3005,$A399,請求記録!$Z$6:$Z$3005,O$5,請求記録!$AF$6:$AF$3005,"保留中")&gt;0,"保留",IF(COUNTIFS(請求記録!$B$6:$B$3005,$A399,請求記録!$Z$6:$Z$3005,O$5)=0,"",SUMIFS(請求記録!$AE$6:$AE$3005,請求記録!$B$6:$B$3005,$A399,請求記録!$Z$6:$Z$3005,O$5))))</f>
        <v/>
      </c>
      <c r="P399" s="19">
        <f>IF($A399="","",IF(COUNTIFS(請求記録!$B$6:$B$3005,$A399,請求記録!$Z$6:$Z$3005,P$5,請求記録!$AF$6:$AF$3005,"保留中")&gt;0,"保留",IF(COUNTIFS(請求記録!$B$6:$B$3005,$A399,請求記録!$Z$6:$Z$3005,P$5)=0,"",SUMIFS(請求記録!$AE$6:$AE$3005,請求記録!$B$6:$B$3005,$A399,請求記録!$Z$6:$Z$3005,P$5))))</f>
        <v/>
      </c>
      <c r="Q399" s="19">
        <f>IF($A399="","",IF(COUNTIFS(請求記録!$B$6:$B$3005,$A399,請求記録!$Z$6:$Z$3005,Q$5,請求記録!$AF$6:$AF$3005,"保留中")&gt;0,"保留",IF(COUNTIFS(請求記録!$B$6:$B$3005,$A399,請求記録!$Z$6:$Z$3005,Q$5)=0,"",SUMIFS(請求記録!$AE$6:$AE$3005,請求記録!$B$6:$B$3005,$A399,請求記録!$Z$6:$Z$3005,Q$5))))</f>
        <v/>
      </c>
      <c r="R399" s="19">
        <f>IF($A399="","",IF(COUNTIFS(請求記録!$B$6:$B$3005,$A399,請求記録!$Z$6:$Z$3005,R$5,請求記録!$AF$6:$AF$3005,"保留中")&gt;0,"保留",IF(COUNTIFS(請求記録!$B$6:$B$3005,$A399,請求記録!$Z$6:$Z$3005,R$5)=0,"",SUMIFS(請求記録!$AE$6:$AE$3005,請求記録!$B$6:$B$3005,$A399,請求記録!$Z$6:$Z$3005,R$5))))</f>
        <v/>
      </c>
      <c r="S399" s="19">
        <f>IF($A399="","",IF(COUNTIFS(請求記録!$B$6:$B$3005,$A399,請求記録!$Z$6:$Z$3005,S$5,請求記録!$AF$6:$AF$3005,"保留中")&gt;0,"保留",IF(COUNTIFS(請求記録!$B$6:$B$3005,$A399,請求記録!$Z$6:$Z$3005,S$5)=0,"",SUMIFS(請求記録!$AE$6:$AE$3005,請求記録!$B$6:$B$3005,$A399,請求記録!$Z$6:$Z$3005,S$5))))</f>
        <v/>
      </c>
      <c r="T399" s="19">
        <f>IF($A399="","",IF(COUNTIFS(請求記録!$B$6:$B$3005,$A399,請求記録!$Z$6:$Z$3005,T$5,請求記録!$AF$6:$AF$3005,"保留中")&gt;0,"保留",IF(COUNTIFS(請求記録!$B$6:$B$3005,$A399,請求記録!$Z$6:$Z$3005,T$5)=0,"",SUMIFS(請求記録!$AE$6:$AE$3005,請求記録!$B$6:$B$3005,$A399,請求記録!$Z$6:$Z$3005,T$5))))</f>
        <v/>
      </c>
      <c r="U399" s="19">
        <f>IF($A399="","",IF(COUNTIFS(請求記録!$B$6:$B$3005,$A399,請求記録!$Z$6:$Z$3005,U$5,請求記録!$AF$6:$AF$3005,"保留中")&gt;0,"保留",IF(COUNTIFS(請求記録!$B$6:$B$3005,$A399,請求記録!$Z$6:$Z$3005,U$5)=0,"",SUMIFS(請求記録!$AE$6:$AE$3005,請求記録!$B$6:$B$3005,$A399,請求記録!$Z$6:$Z$3005,U$5))))</f>
        <v/>
      </c>
      <c r="V399" s="19">
        <f>IF($A399="","",IF(COUNTIFS(請求記録!$B$6:$B$3005,$A399,請求記録!$Z$6:$Z$3005,V$5,請求記録!$AF$6:$AF$3005,"保留中")&gt;0,"保留",IF(COUNTIFS(請求記録!$B$6:$B$3005,$A399,請求記録!$Z$6:$Z$3005,V$5)=0,"",SUMIFS(請求記録!$AE$6:$AE$3005,請求記録!$B$6:$B$3005,$A399,請求記録!$Z$6:$Z$3005,V$5))))</f>
        <v/>
      </c>
      <c r="W399" s="19">
        <f>IF($A399="","",IF(COUNTIFS(請求記録!$B$6:$B$3005,$A399,請求記録!$Z$6:$Z$3005,W$5,請求記録!$AF$6:$AF$3005,"保留中")&gt;0,"保留",IF(COUNTIFS(請求記録!$B$6:$B$3005,$A399,請求記録!$Z$6:$Z$3005,W$5)=0,"",SUMIFS(請求記録!$AE$6:$AE$3005,請求記録!$B$6:$B$3005,$A399,請求記録!$Z$6:$Z$3005,W$5))))</f>
        <v/>
      </c>
      <c r="X399" s="19">
        <f>IF($A399="","",IF(COUNTIFS(請求記録!$B$6:$B$3005,$A399,請求記録!$Z$6:$Z$3005,X$5,請求記録!$AF$6:$AF$3005,"保留中")&gt;0,"保留",IF(COUNTIFS(請求記録!$B$6:$B$3005,$A399,請求記録!$Z$6:$Z$3005,X$5)=0,"",SUMIFS(請求記録!$AE$6:$AE$3005,請求記録!$B$6:$B$3005,$A399,請求記録!$Z$6:$Z$3005,X$5))))</f>
        <v/>
      </c>
      <c r="Y399" s="19">
        <f>IF($A399="","",IF(COUNTIFS(請求記録!$B$6:$B$3005,$A399,請求記録!$Z$6:$Z$3005,Y$5,請求記録!$AF$6:$AF$3005,"保留中")&gt;0,"保留",IF(COUNTIFS(請求記録!$B$6:$B$3005,$A399,請求記録!$Z$6:$Z$3005,Y$5)=0,"",SUMIFS(請求記録!$AE$6:$AE$3005,請求記録!$B$6:$B$3005,$A399,請求記録!$Z$6:$Z$3005,Y$5))))</f>
        <v/>
      </c>
      <c r="Z399" s="19">
        <f>IF($A399="","",IF(COUNTIFS(請求記録!$B$6:$B$3005,$A399,請求記録!$Z$6:$Z$3005,Z$5,請求記録!$AF$6:$AF$3005,"保留中")&gt;0,"保留",IF(COUNTIFS(請求記録!$B$6:$B$3005,$A399,請求記録!$Z$6:$Z$3005,Z$5)=0,"",SUMIFS(請求記録!$AE$6:$AE$3005,請求記録!$B$6:$B$3005,$A399,請求記録!$Z$6:$Z$3005,Z$5))))</f>
        <v/>
      </c>
      <c r="AA399" s="19">
        <f>IF($A399="","",IF(COUNTIFS(請求記録!$B$6:$B$3005,$A399,請求記録!$Z$6:$Z$3005,AA$5,請求記録!$AF$6:$AF$3005,"保留中")&gt;0,"保留",IF(COUNTIFS(請求記録!$B$6:$B$3005,$A399,請求記録!$Z$6:$Z$3005,AA$5)=0,"",SUMIFS(請求記録!$AE$6:$AE$3005,請求記録!$B$6:$B$3005,$A399,請求記録!$Z$6:$Z$3005,AA$5))))</f>
        <v/>
      </c>
      <c r="AB399">
        <f>IF(職員マスタ!P399="保留中",職員マスタ!M399,"")</f>
        <v/>
      </c>
    </row>
    <row r="400">
      <c r="A400">
        <f>IF(職員マスタ!A400="","",職員マスタ!A400)</f>
        <v/>
      </c>
      <c r="B400">
        <f>IF($A400="","",職員マスタ!B400)</f>
        <v/>
      </c>
      <c r="C400">
        <f>IF($A400="","",職員マスタ!C400)</f>
        <v/>
      </c>
      <c r="D400" s="19">
        <f>IF($A400="","",IF(COUNTIFS(請求記録!$B$6:$B$3005,$A400,請求記録!$Z$6:$Z$3005,D$5,請求記録!$AF$6:$AF$3005,"保留中")&gt;0,"保留",IF(COUNTIFS(請求記録!$B$6:$B$3005,$A400,請求記録!$Z$6:$Z$3005,D$5)=0,"",SUMIFS(請求記録!$AE$6:$AE$3005,請求記録!$B$6:$B$3005,$A400,請求記録!$Z$6:$Z$3005,D$5))))</f>
        <v/>
      </c>
      <c r="E400" s="19">
        <f>IF($A400="","",IF(COUNTIFS(請求記録!$B$6:$B$3005,$A400,請求記録!$Z$6:$Z$3005,E$5,請求記録!$AF$6:$AF$3005,"保留中")&gt;0,"保留",IF(COUNTIFS(請求記録!$B$6:$B$3005,$A400,請求記録!$Z$6:$Z$3005,E$5)=0,"",SUMIFS(請求記録!$AE$6:$AE$3005,請求記録!$B$6:$B$3005,$A400,請求記録!$Z$6:$Z$3005,E$5))))</f>
        <v/>
      </c>
      <c r="F400" s="19">
        <f>IF($A400="","",IF(COUNTIFS(請求記録!$B$6:$B$3005,$A400,請求記録!$Z$6:$Z$3005,F$5,請求記録!$AF$6:$AF$3005,"保留中")&gt;0,"保留",IF(COUNTIFS(請求記録!$B$6:$B$3005,$A400,請求記録!$Z$6:$Z$3005,F$5)=0,"",SUMIFS(請求記録!$AE$6:$AE$3005,請求記録!$B$6:$B$3005,$A400,請求記録!$Z$6:$Z$3005,F$5))))</f>
        <v/>
      </c>
      <c r="G400" s="19">
        <f>IF($A400="","",IF(COUNTIFS(請求記録!$B$6:$B$3005,$A400,請求記録!$Z$6:$Z$3005,G$5,請求記録!$AF$6:$AF$3005,"保留中")&gt;0,"保留",IF(COUNTIFS(請求記録!$B$6:$B$3005,$A400,請求記録!$Z$6:$Z$3005,G$5)=0,"",SUMIFS(請求記録!$AE$6:$AE$3005,請求記録!$B$6:$B$3005,$A400,請求記録!$Z$6:$Z$3005,G$5))))</f>
        <v/>
      </c>
      <c r="H400" s="19">
        <f>IF($A400="","",IF(COUNTIFS(請求記録!$B$6:$B$3005,$A400,請求記録!$Z$6:$Z$3005,H$5,請求記録!$AF$6:$AF$3005,"保留中")&gt;0,"保留",IF(COUNTIFS(請求記録!$B$6:$B$3005,$A400,請求記録!$Z$6:$Z$3005,H$5)=0,"",SUMIFS(請求記録!$AE$6:$AE$3005,請求記録!$B$6:$B$3005,$A400,請求記録!$Z$6:$Z$3005,H$5))))</f>
        <v/>
      </c>
      <c r="I400" s="19">
        <f>IF($A400="","",IF(COUNTIFS(請求記録!$B$6:$B$3005,$A400,請求記録!$Z$6:$Z$3005,I$5,請求記録!$AF$6:$AF$3005,"保留中")&gt;0,"保留",IF(COUNTIFS(請求記録!$B$6:$B$3005,$A400,請求記録!$Z$6:$Z$3005,I$5)=0,"",SUMIFS(請求記録!$AE$6:$AE$3005,請求記録!$B$6:$B$3005,$A400,請求記録!$Z$6:$Z$3005,I$5))))</f>
        <v/>
      </c>
      <c r="J400" s="19">
        <f>IF($A400="","",IF(COUNTIFS(請求記録!$B$6:$B$3005,$A400,請求記録!$Z$6:$Z$3005,J$5,請求記録!$AF$6:$AF$3005,"保留中")&gt;0,"保留",IF(COUNTIFS(請求記録!$B$6:$B$3005,$A400,請求記録!$Z$6:$Z$3005,J$5)=0,"",SUMIFS(請求記録!$AE$6:$AE$3005,請求記録!$B$6:$B$3005,$A400,請求記録!$Z$6:$Z$3005,J$5))))</f>
        <v/>
      </c>
      <c r="K400" s="19">
        <f>IF($A400="","",IF(COUNTIFS(請求記録!$B$6:$B$3005,$A400,請求記録!$Z$6:$Z$3005,K$5,請求記録!$AF$6:$AF$3005,"保留中")&gt;0,"保留",IF(COUNTIFS(請求記録!$B$6:$B$3005,$A400,請求記録!$Z$6:$Z$3005,K$5)=0,"",SUMIFS(請求記録!$AE$6:$AE$3005,請求記録!$B$6:$B$3005,$A400,請求記録!$Z$6:$Z$3005,K$5))))</f>
        <v/>
      </c>
      <c r="L400" s="19">
        <f>IF($A400="","",IF(COUNTIFS(請求記録!$B$6:$B$3005,$A400,請求記録!$Z$6:$Z$3005,L$5,請求記録!$AF$6:$AF$3005,"保留中")&gt;0,"保留",IF(COUNTIFS(請求記録!$B$6:$B$3005,$A400,請求記録!$Z$6:$Z$3005,L$5)=0,"",SUMIFS(請求記録!$AE$6:$AE$3005,請求記録!$B$6:$B$3005,$A400,請求記録!$Z$6:$Z$3005,L$5))))</f>
        <v/>
      </c>
      <c r="M400" s="19">
        <f>IF($A400="","",IF(COUNTIFS(請求記録!$B$6:$B$3005,$A400,請求記録!$Z$6:$Z$3005,M$5,請求記録!$AF$6:$AF$3005,"保留中")&gt;0,"保留",IF(COUNTIFS(請求記録!$B$6:$B$3005,$A400,請求記録!$Z$6:$Z$3005,M$5)=0,"",SUMIFS(請求記録!$AE$6:$AE$3005,請求記録!$B$6:$B$3005,$A400,請求記録!$Z$6:$Z$3005,M$5))))</f>
        <v/>
      </c>
      <c r="N400" s="19">
        <f>IF($A400="","",IF(COUNTIFS(請求記録!$B$6:$B$3005,$A400,請求記録!$Z$6:$Z$3005,N$5,請求記録!$AF$6:$AF$3005,"保留中")&gt;0,"保留",IF(COUNTIFS(請求記録!$B$6:$B$3005,$A400,請求記録!$Z$6:$Z$3005,N$5)=0,"",SUMIFS(請求記録!$AE$6:$AE$3005,請求記録!$B$6:$B$3005,$A400,請求記録!$Z$6:$Z$3005,N$5))))</f>
        <v/>
      </c>
      <c r="O400" s="19">
        <f>IF($A400="","",IF(COUNTIFS(請求記録!$B$6:$B$3005,$A400,請求記録!$Z$6:$Z$3005,O$5,請求記録!$AF$6:$AF$3005,"保留中")&gt;0,"保留",IF(COUNTIFS(請求記録!$B$6:$B$3005,$A400,請求記録!$Z$6:$Z$3005,O$5)=0,"",SUMIFS(請求記録!$AE$6:$AE$3005,請求記録!$B$6:$B$3005,$A400,請求記録!$Z$6:$Z$3005,O$5))))</f>
        <v/>
      </c>
      <c r="P400" s="19">
        <f>IF($A400="","",IF(COUNTIFS(請求記録!$B$6:$B$3005,$A400,請求記録!$Z$6:$Z$3005,P$5,請求記録!$AF$6:$AF$3005,"保留中")&gt;0,"保留",IF(COUNTIFS(請求記録!$B$6:$B$3005,$A400,請求記録!$Z$6:$Z$3005,P$5)=0,"",SUMIFS(請求記録!$AE$6:$AE$3005,請求記録!$B$6:$B$3005,$A400,請求記録!$Z$6:$Z$3005,P$5))))</f>
        <v/>
      </c>
      <c r="Q400" s="19">
        <f>IF($A400="","",IF(COUNTIFS(請求記録!$B$6:$B$3005,$A400,請求記録!$Z$6:$Z$3005,Q$5,請求記録!$AF$6:$AF$3005,"保留中")&gt;0,"保留",IF(COUNTIFS(請求記録!$B$6:$B$3005,$A400,請求記録!$Z$6:$Z$3005,Q$5)=0,"",SUMIFS(請求記録!$AE$6:$AE$3005,請求記録!$B$6:$B$3005,$A400,請求記録!$Z$6:$Z$3005,Q$5))))</f>
        <v/>
      </c>
      <c r="R400" s="19">
        <f>IF($A400="","",IF(COUNTIFS(請求記録!$B$6:$B$3005,$A400,請求記録!$Z$6:$Z$3005,R$5,請求記録!$AF$6:$AF$3005,"保留中")&gt;0,"保留",IF(COUNTIFS(請求記録!$B$6:$B$3005,$A400,請求記録!$Z$6:$Z$3005,R$5)=0,"",SUMIFS(請求記録!$AE$6:$AE$3005,請求記録!$B$6:$B$3005,$A400,請求記録!$Z$6:$Z$3005,R$5))))</f>
        <v/>
      </c>
      <c r="S400" s="19">
        <f>IF($A400="","",IF(COUNTIFS(請求記録!$B$6:$B$3005,$A400,請求記録!$Z$6:$Z$3005,S$5,請求記録!$AF$6:$AF$3005,"保留中")&gt;0,"保留",IF(COUNTIFS(請求記録!$B$6:$B$3005,$A400,請求記録!$Z$6:$Z$3005,S$5)=0,"",SUMIFS(請求記録!$AE$6:$AE$3005,請求記録!$B$6:$B$3005,$A400,請求記録!$Z$6:$Z$3005,S$5))))</f>
        <v/>
      </c>
      <c r="T400" s="19">
        <f>IF($A400="","",IF(COUNTIFS(請求記録!$B$6:$B$3005,$A400,請求記録!$Z$6:$Z$3005,T$5,請求記録!$AF$6:$AF$3005,"保留中")&gt;0,"保留",IF(COUNTIFS(請求記録!$B$6:$B$3005,$A400,請求記録!$Z$6:$Z$3005,T$5)=0,"",SUMIFS(請求記録!$AE$6:$AE$3005,請求記録!$B$6:$B$3005,$A400,請求記録!$Z$6:$Z$3005,T$5))))</f>
        <v/>
      </c>
      <c r="U400" s="19">
        <f>IF($A400="","",IF(COUNTIFS(請求記録!$B$6:$B$3005,$A400,請求記録!$Z$6:$Z$3005,U$5,請求記録!$AF$6:$AF$3005,"保留中")&gt;0,"保留",IF(COUNTIFS(請求記録!$B$6:$B$3005,$A400,請求記録!$Z$6:$Z$3005,U$5)=0,"",SUMIFS(請求記録!$AE$6:$AE$3005,請求記録!$B$6:$B$3005,$A400,請求記録!$Z$6:$Z$3005,U$5))))</f>
        <v/>
      </c>
      <c r="V400" s="19">
        <f>IF($A400="","",IF(COUNTIFS(請求記録!$B$6:$B$3005,$A400,請求記録!$Z$6:$Z$3005,V$5,請求記録!$AF$6:$AF$3005,"保留中")&gt;0,"保留",IF(COUNTIFS(請求記録!$B$6:$B$3005,$A400,請求記録!$Z$6:$Z$3005,V$5)=0,"",SUMIFS(請求記録!$AE$6:$AE$3005,請求記録!$B$6:$B$3005,$A400,請求記録!$Z$6:$Z$3005,V$5))))</f>
        <v/>
      </c>
      <c r="W400" s="19">
        <f>IF($A400="","",IF(COUNTIFS(請求記録!$B$6:$B$3005,$A400,請求記録!$Z$6:$Z$3005,W$5,請求記録!$AF$6:$AF$3005,"保留中")&gt;0,"保留",IF(COUNTIFS(請求記録!$B$6:$B$3005,$A400,請求記録!$Z$6:$Z$3005,W$5)=0,"",SUMIFS(請求記録!$AE$6:$AE$3005,請求記録!$B$6:$B$3005,$A400,請求記録!$Z$6:$Z$3005,W$5))))</f>
        <v/>
      </c>
      <c r="X400" s="19">
        <f>IF($A400="","",IF(COUNTIFS(請求記録!$B$6:$B$3005,$A400,請求記録!$Z$6:$Z$3005,X$5,請求記録!$AF$6:$AF$3005,"保留中")&gt;0,"保留",IF(COUNTIFS(請求記録!$B$6:$B$3005,$A400,請求記録!$Z$6:$Z$3005,X$5)=0,"",SUMIFS(請求記録!$AE$6:$AE$3005,請求記録!$B$6:$B$3005,$A400,請求記録!$Z$6:$Z$3005,X$5))))</f>
        <v/>
      </c>
      <c r="Y400" s="19">
        <f>IF($A400="","",IF(COUNTIFS(請求記録!$B$6:$B$3005,$A400,請求記録!$Z$6:$Z$3005,Y$5,請求記録!$AF$6:$AF$3005,"保留中")&gt;0,"保留",IF(COUNTIFS(請求記録!$B$6:$B$3005,$A400,請求記録!$Z$6:$Z$3005,Y$5)=0,"",SUMIFS(請求記録!$AE$6:$AE$3005,請求記録!$B$6:$B$3005,$A400,請求記録!$Z$6:$Z$3005,Y$5))))</f>
        <v/>
      </c>
      <c r="Z400" s="19">
        <f>IF($A400="","",IF(COUNTIFS(請求記録!$B$6:$B$3005,$A400,請求記録!$Z$6:$Z$3005,Z$5,請求記録!$AF$6:$AF$3005,"保留中")&gt;0,"保留",IF(COUNTIFS(請求記録!$B$6:$B$3005,$A400,請求記録!$Z$6:$Z$3005,Z$5)=0,"",SUMIFS(請求記録!$AE$6:$AE$3005,請求記録!$B$6:$B$3005,$A400,請求記録!$Z$6:$Z$3005,Z$5))))</f>
        <v/>
      </c>
      <c r="AA400" s="19">
        <f>IF($A400="","",IF(COUNTIFS(請求記録!$B$6:$B$3005,$A400,請求記録!$Z$6:$Z$3005,AA$5,請求記録!$AF$6:$AF$3005,"保留中")&gt;0,"保留",IF(COUNTIFS(請求記録!$B$6:$B$3005,$A400,請求記録!$Z$6:$Z$3005,AA$5)=0,"",SUMIFS(請求記録!$AE$6:$AE$3005,請求記録!$B$6:$B$3005,$A400,請求記録!$Z$6:$Z$3005,AA$5))))</f>
        <v/>
      </c>
      <c r="AB400">
        <f>IF(職員マスタ!P400="保留中",職員マスタ!M400,"")</f>
        <v/>
      </c>
    </row>
    <row r="401">
      <c r="A401">
        <f>IF(職員マスタ!A401="","",職員マスタ!A401)</f>
        <v/>
      </c>
      <c r="B401">
        <f>IF($A401="","",職員マスタ!B401)</f>
        <v/>
      </c>
      <c r="C401">
        <f>IF($A401="","",職員マスタ!C401)</f>
        <v/>
      </c>
      <c r="D401" s="19">
        <f>IF($A401="","",IF(COUNTIFS(請求記録!$B$6:$B$3005,$A401,請求記録!$Z$6:$Z$3005,D$5,請求記録!$AF$6:$AF$3005,"保留中")&gt;0,"保留",IF(COUNTIFS(請求記録!$B$6:$B$3005,$A401,請求記録!$Z$6:$Z$3005,D$5)=0,"",SUMIFS(請求記録!$AE$6:$AE$3005,請求記録!$B$6:$B$3005,$A401,請求記録!$Z$6:$Z$3005,D$5))))</f>
        <v/>
      </c>
      <c r="E401" s="19">
        <f>IF($A401="","",IF(COUNTIFS(請求記録!$B$6:$B$3005,$A401,請求記録!$Z$6:$Z$3005,E$5,請求記録!$AF$6:$AF$3005,"保留中")&gt;0,"保留",IF(COUNTIFS(請求記録!$B$6:$B$3005,$A401,請求記録!$Z$6:$Z$3005,E$5)=0,"",SUMIFS(請求記録!$AE$6:$AE$3005,請求記録!$B$6:$B$3005,$A401,請求記録!$Z$6:$Z$3005,E$5))))</f>
        <v/>
      </c>
      <c r="F401" s="19">
        <f>IF($A401="","",IF(COUNTIFS(請求記録!$B$6:$B$3005,$A401,請求記録!$Z$6:$Z$3005,F$5,請求記録!$AF$6:$AF$3005,"保留中")&gt;0,"保留",IF(COUNTIFS(請求記録!$B$6:$B$3005,$A401,請求記録!$Z$6:$Z$3005,F$5)=0,"",SUMIFS(請求記録!$AE$6:$AE$3005,請求記録!$B$6:$B$3005,$A401,請求記録!$Z$6:$Z$3005,F$5))))</f>
        <v/>
      </c>
      <c r="G401" s="19">
        <f>IF($A401="","",IF(COUNTIFS(請求記録!$B$6:$B$3005,$A401,請求記録!$Z$6:$Z$3005,G$5,請求記録!$AF$6:$AF$3005,"保留中")&gt;0,"保留",IF(COUNTIFS(請求記録!$B$6:$B$3005,$A401,請求記録!$Z$6:$Z$3005,G$5)=0,"",SUMIFS(請求記録!$AE$6:$AE$3005,請求記録!$B$6:$B$3005,$A401,請求記録!$Z$6:$Z$3005,G$5))))</f>
        <v/>
      </c>
      <c r="H401" s="19">
        <f>IF($A401="","",IF(COUNTIFS(請求記録!$B$6:$B$3005,$A401,請求記録!$Z$6:$Z$3005,H$5,請求記録!$AF$6:$AF$3005,"保留中")&gt;0,"保留",IF(COUNTIFS(請求記録!$B$6:$B$3005,$A401,請求記録!$Z$6:$Z$3005,H$5)=0,"",SUMIFS(請求記録!$AE$6:$AE$3005,請求記録!$B$6:$B$3005,$A401,請求記録!$Z$6:$Z$3005,H$5))))</f>
        <v/>
      </c>
      <c r="I401" s="19">
        <f>IF($A401="","",IF(COUNTIFS(請求記録!$B$6:$B$3005,$A401,請求記録!$Z$6:$Z$3005,I$5,請求記録!$AF$6:$AF$3005,"保留中")&gt;0,"保留",IF(COUNTIFS(請求記録!$B$6:$B$3005,$A401,請求記録!$Z$6:$Z$3005,I$5)=0,"",SUMIFS(請求記録!$AE$6:$AE$3005,請求記録!$B$6:$B$3005,$A401,請求記録!$Z$6:$Z$3005,I$5))))</f>
        <v/>
      </c>
      <c r="J401" s="19">
        <f>IF($A401="","",IF(COUNTIFS(請求記録!$B$6:$B$3005,$A401,請求記録!$Z$6:$Z$3005,J$5,請求記録!$AF$6:$AF$3005,"保留中")&gt;0,"保留",IF(COUNTIFS(請求記録!$B$6:$B$3005,$A401,請求記録!$Z$6:$Z$3005,J$5)=0,"",SUMIFS(請求記録!$AE$6:$AE$3005,請求記録!$B$6:$B$3005,$A401,請求記録!$Z$6:$Z$3005,J$5))))</f>
        <v/>
      </c>
      <c r="K401" s="19">
        <f>IF($A401="","",IF(COUNTIFS(請求記録!$B$6:$B$3005,$A401,請求記録!$Z$6:$Z$3005,K$5,請求記録!$AF$6:$AF$3005,"保留中")&gt;0,"保留",IF(COUNTIFS(請求記録!$B$6:$B$3005,$A401,請求記録!$Z$6:$Z$3005,K$5)=0,"",SUMIFS(請求記録!$AE$6:$AE$3005,請求記録!$B$6:$B$3005,$A401,請求記録!$Z$6:$Z$3005,K$5))))</f>
        <v/>
      </c>
      <c r="L401" s="19">
        <f>IF($A401="","",IF(COUNTIFS(請求記録!$B$6:$B$3005,$A401,請求記録!$Z$6:$Z$3005,L$5,請求記録!$AF$6:$AF$3005,"保留中")&gt;0,"保留",IF(COUNTIFS(請求記録!$B$6:$B$3005,$A401,請求記録!$Z$6:$Z$3005,L$5)=0,"",SUMIFS(請求記録!$AE$6:$AE$3005,請求記録!$B$6:$B$3005,$A401,請求記録!$Z$6:$Z$3005,L$5))))</f>
        <v/>
      </c>
      <c r="M401" s="19">
        <f>IF($A401="","",IF(COUNTIFS(請求記録!$B$6:$B$3005,$A401,請求記録!$Z$6:$Z$3005,M$5,請求記録!$AF$6:$AF$3005,"保留中")&gt;0,"保留",IF(COUNTIFS(請求記録!$B$6:$B$3005,$A401,請求記録!$Z$6:$Z$3005,M$5)=0,"",SUMIFS(請求記録!$AE$6:$AE$3005,請求記録!$B$6:$B$3005,$A401,請求記録!$Z$6:$Z$3005,M$5))))</f>
        <v/>
      </c>
      <c r="N401" s="19">
        <f>IF($A401="","",IF(COUNTIFS(請求記録!$B$6:$B$3005,$A401,請求記録!$Z$6:$Z$3005,N$5,請求記録!$AF$6:$AF$3005,"保留中")&gt;0,"保留",IF(COUNTIFS(請求記録!$B$6:$B$3005,$A401,請求記録!$Z$6:$Z$3005,N$5)=0,"",SUMIFS(請求記録!$AE$6:$AE$3005,請求記録!$B$6:$B$3005,$A401,請求記録!$Z$6:$Z$3005,N$5))))</f>
        <v/>
      </c>
      <c r="O401" s="19">
        <f>IF($A401="","",IF(COUNTIFS(請求記録!$B$6:$B$3005,$A401,請求記録!$Z$6:$Z$3005,O$5,請求記録!$AF$6:$AF$3005,"保留中")&gt;0,"保留",IF(COUNTIFS(請求記録!$B$6:$B$3005,$A401,請求記録!$Z$6:$Z$3005,O$5)=0,"",SUMIFS(請求記録!$AE$6:$AE$3005,請求記録!$B$6:$B$3005,$A401,請求記録!$Z$6:$Z$3005,O$5))))</f>
        <v/>
      </c>
      <c r="P401" s="19">
        <f>IF($A401="","",IF(COUNTIFS(請求記録!$B$6:$B$3005,$A401,請求記録!$Z$6:$Z$3005,P$5,請求記録!$AF$6:$AF$3005,"保留中")&gt;0,"保留",IF(COUNTIFS(請求記録!$B$6:$B$3005,$A401,請求記録!$Z$6:$Z$3005,P$5)=0,"",SUMIFS(請求記録!$AE$6:$AE$3005,請求記録!$B$6:$B$3005,$A401,請求記録!$Z$6:$Z$3005,P$5))))</f>
        <v/>
      </c>
      <c r="Q401" s="19">
        <f>IF($A401="","",IF(COUNTIFS(請求記録!$B$6:$B$3005,$A401,請求記録!$Z$6:$Z$3005,Q$5,請求記録!$AF$6:$AF$3005,"保留中")&gt;0,"保留",IF(COUNTIFS(請求記録!$B$6:$B$3005,$A401,請求記録!$Z$6:$Z$3005,Q$5)=0,"",SUMIFS(請求記録!$AE$6:$AE$3005,請求記録!$B$6:$B$3005,$A401,請求記録!$Z$6:$Z$3005,Q$5))))</f>
        <v/>
      </c>
      <c r="R401" s="19">
        <f>IF($A401="","",IF(COUNTIFS(請求記録!$B$6:$B$3005,$A401,請求記録!$Z$6:$Z$3005,R$5,請求記録!$AF$6:$AF$3005,"保留中")&gt;0,"保留",IF(COUNTIFS(請求記録!$B$6:$B$3005,$A401,請求記録!$Z$6:$Z$3005,R$5)=0,"",SUMIFS(請求記録!$AE$6:$AE$3005,請求記録!$B$6:$B$3005,$A401,請求記録!$Z$6:$Z$3005,R$5))))</f>
        <v/>
      </c>
      <c r="S401" s="19">
        <f>IF($A401="","",IF(COUNTIFS(請求記録!$B$6:$B$3005,$A401,請求記録!$Z$6:$Z$3005,S$5,請求記録!$AF$6:$AF$3005,"保留中")&gt;0,"保留",IF(COUNTIFS(請求記録!$B$6:$B$3005,$A401,請求記録!$Z$6:$Z$3005,S$5)=0,"",SUMIFS(請求記録!$AE$6:$AE$3005,請求記録!$B$6:$B$3005,$A401,請求記録!$Z$6:$Z$3005,S$5))))</f>
        <v/>
      </c>
      <c r="T401" s="19">
        <f>IF($A401="","",IF(COUNTIFS(請求記録!$B$6:$B$3005,$A401,請求記録!$Z$6:$Z$3005,T$5,請求記録!$AF$6:$AF$3005,"保留中")&gt;0,"保留",IF(COUNTIFS(請求記録!$B$6:$B$3005,$A401,請求記録!$Z$6:$Z$3005,T$5)=0,"",SUMIFS(請求記録!$AE$6:$AE$3005,請求記録!$B$6:$B$3005,$A401,請求記録!$Z$6:$Z$3005,T$5))))</f>
        <v/>
      </c>
      <c r="U401" s="19">
        <f>IF($A401="","",IF(COUNTIFS(請求記録!$B$6:$B$3005,$A401,請求記録!$Z$6:$Z$3005,U$5,請求記録!$AF$6:$AF$3005,"保留中")&gt;0,"保留",IF(COUNTIFS(請求記録!$B$6:$B$3005,$A401,請求記録!$Z$6:$Z$3005,U$5)=0,"",SUMIFS(請求記録!$AE$6:$AE$3005,請求記録!$B$6:$B$3005,$A401,請求記録!$Z$6:$Z$3005,U$5))))</f>
        <v/>
      </c>
      <c r="V401" s="19">
        <f>IF($A401="","",IF(COUNTIFS(請求記録!$B$6:$B$3005,$A401,請求記録!$Z$6:$Z$3005,V$5,請求記録!$AF$6:$AF$3005,"保留中")&gt;0,"保留",IF(COUNTIFS(請求記録!$B$6:$B$3005,$A401,請求記録!$Z$6:$Z$3005,V$5)=0,"",SUMIFS(請求記録!$AE$6:$AE$3005,請求記録!$B$6:$B$3005,$A401,請求記録!$Z$6:$Z$3005,V$5))))</f>
        <v/>
      </c>
      <c r="W401" s="19">
        <f>IF($A401="","",IF(COUNTIFS(請求記録!$B$6:$B$3005,$A401,請求記録!$Z$6:$Z$3005,W$5,請求記録!$AF$6:$AF$3005,"保留中")&gt;0,"保留",IF(COUNTIFS(請求記録!$B$6:$B$3005,$A401,請求記録!$Z$6:$Z$3005,W$5)=0,"",SUMIFS(請求記録!$AE$6:$AE$3005,請求記録!$B$6:$B$3005,$A401,請求記録!$Z$6:$Z$3005,W$5))))</f>
        <v/>
      </c>
      <c r="X401" s="19">
        <f>IF($A401="","",IF(COUNTIFS(請求記録!$B$6:$B$3005,$A401,請求記録!$Z$6:$Z$3005,X$5,請求記録!$AF$6:$AF$3005,"保留中")&gt;0,"保留",IF(COUNTIFS(請求記録!$B$6:$B$3005,$A401,請求記録!$Z$6:$Z$3005,X$5)=0,"",SUMIFS(請求記録!$AE$6:$AE$3005,請求記録!$B$6:$B$3005,$A401,請求記録!$Z$6:$Z$3005,X$5))))</f>
        <v/>
      </c>
      <c r="Y401" s="19">
        <f>IF($A401="","",IF(COUNTIFS(請求記録!$B$6:$B$3005,$A401,請求記録!$Z$6:$Z$3005,Y$5,請求記録!$AF$6:$AF$3005,"保留中")&gt;0,"保留",IF(COUNTIFS(請求記録!$B$6:$B$3005,$A401,請求記録!$Z$6:$Z$3005,Y$5)=0,"",SUMIFS(請求記録!$AE$6:$AE$3005,請求記録!$B$6:$B$3005,$A401,請求記録!$Z$6:$Z$3005,Y$5))))</f>
        <v/>
      </c>
      <c r="Z401" s="19">
        <f>IF($A401="","",IF(COUNTIFS(請求記録!$B$6:$B$3005,$A401,請求記録!$Z$6:$Z$3005,Z$5,請求記録!$AF$6:$AF$3005,"保留中")&gt;0,"保留",IF(COUNTIFS(請求記録!$B$6:$B$3005,$A401,請求記録!$Z$6:$Z$3005,Z$5)=0,"",SUMIFS(請求記録!$AE$6:$AE$3005,請求記録!$B$6:$B$3005,$A401,請求記録!$Z$6:$Z$3005,Z$5))))</f>
        <v/>
      </c>
      <c r="AA401" s="19">
        <f>IF($A401="","",IF(COUNTIFS(請求記録!$B$6:$B$3005,$A401,請求記録!$Z$6:$Z$3005,AA$5,請求記録!$AF$6:$AF$3005,"保留中")&gt;0,"保留",IF(COUNTIFS(請求記録!$B$6:$B$3005,$A401,請求記録!$Z$6:$Z$3005,AA$5)=0,"",SUMIFS(請求記録!$AE$6:$AE$3005,請求記録!$B$6:$B$3005,$A401,請求記録!$Z$6:$Z$3005,AA$5))))</f>
        <v/>
      </c>
      <c r="AB401">
        <f>IF(職員マスタ!P401="保留中",職員マスタ!M401,"")</f>
        <v/>
      </c>
    </row>
    <row r="402">
      <c r="A402">
        <f>IF(職員マスタ!A402="","",職員マスタ!A402)</f>
        <v/>
      </c>
      <c r="B402">
        <f>IF($A402="","",職員マスタ!B402)</f>
        <v/>
      </c>
      <c r="C402">
        <f>IF($A402="","",職員マスタ!C402)</f>
        <v/>
      </c>
      <c r="D402" s="19">
        <f>IF($A402="","",IF(COUNTIFS(請求記録!$B$6:$B$3005,$A402,請求記録!$Z$6:$Z$3005,D$5,請求記録!$AF$6:$AF$3005,"保留中")&gt;0,"保留",IF(COUNTIFS(請求記録!$B$6:$B$3005,$A402,請求記録!$Z$6:$Z$3005,D$5)=0,"",SUMIFS(請求記録!$AE$6:$AE$3005,請求記録!$B$6:$B$3005,$A402,請求記録!$Z$6:$Z$3005,D$5))))</f>
        <v/>
      </c>
      <c r="E402" s="19">
        <f>IF($A402="","",IF(COUNTIFS(請求記録!$B$6:$B$3005,$A402,請求記録!$Z$6:$Z$3005,E$5,請求記録!$AF$6:$AF$3005,"保留中")&gt;0,"保留",IF(COUNTIFS(請求記録!$B$6:$B$3005,$A402,請求記録!$Z$6:$Z$3005,E$5)=0,"",SUMIFS(請求記録!$AE$6:$AE$3005,請求記録!$B$6:$B$3005,$A402,請求記録!$Z$6:$Z$3005,E$5))))</f>
        <v/>
      </c>
      <c r="F402" s="19">
        <f>IF($A402="","",IF(COUNTIFS(請求記録!$B$6:$B$3005,$A402,請求記録!$Z$6:$Z$3005,F$5,請求記録!$AF$6:$AF$3005,"保留中")&gt;0,"保留",IF(COUNTIFS(請求記録!$B$6:$B$3005,$A402,請求記録!$Z$6:$Z$3005,F$5)=0,"",SUMIFS(請求記録!$AE$6:$AE$3005,請求記録!$B$6:$B$3005,$A402,請求記録!$Z$6:$Z$3005,F$5))))</f>
        <v/>
      </c>
      <c r="G402" s="19">
        <f>IF($A402="","",IF(COUNTIFS(請求記録!$B$6:$B$3005,$A402,請求記録!$Z$6:$Z$3005,G$5,請求記録!$AF$6:$AF$3005,"保留中")&gt;0,"保留",IF(COUNTIFS(請求記録!$B$6:$B$3005,$A402,請求記録!$Z$6:$Z$3005,G$5)=0,"",SUMIFS(請求記録!$AE$6:$AE$3005,請求記録!$B$6:$B$3005,$A402,請求記録!$Z$6:$Z$3005,G$5))))</f>
        <v/>
      </c>
      <c r="H402" s="19">
        <f>IF($A402="","",IF(COUNTIFS(請求記録!$B$6:$B$3005,$A402,請求記録!$Z$6:$Z$3005,H$5,請求記録!$AF$6:$AF$3005,"保留中")&gt;0,"保留",IF(COUNTIFS(請求記録!$B$6:$B$3005,$A402,請求記録!$Z$6:$Z$3005,H$5)=0,"",SUMIFS(請求記録!$AE$6:$AE$3005,請求記録!$B$6:$B$3005,$A402,請求記録!$Z$6:$Z$3005,H$5))))</f>
        <v/>
      </c>
      <c r="I402" s="19">
        <f>IF($A402="","",IF(COUNTIFS(請求記録!$B$6:$B$3005,$A402,請求記録!$Z$6:$Z$3005,I$5,請求記録!$AF$6:$AF$3005,"保留中")&gt;0,"保留",IF(COUNTIFS(請求記録!$B$6:$B$3005,$A402,請求記録!$Z$6:$Z$3005,I$5)=0,"",SUMIFS(請求記録!$AE$6:$AE$3005,請求記録!$B$6:$B$3005,$A402,請求記録!$Z$6:$Z$3005,I$5))))</f>
        <v/>
      </c>
      <c r="J402" s="19">
        <f>IF($A402="","",IF(COUNTIFS(請求記録!$B$6:$B$3005,$A402,請求記録!$Z$6:$Z$3005,J$5,請求記録!$AF$6:$AF$3005,"保留中")&gt;0,"保留",IF(COUNTIFS(請求記録!$B$6:$B$3005,$A402,請求記録!$Z$6:$Z$3005,J$5)=0,"",SUMIFS(請求記録!$AE$6:$AE$3005,請求記録!$B$6:$B$3005,$A402,請求記録!$Z$6:$Z$3005,J$5))))</f>
        <v/>
      </c>
      <c r="K402" s="19">
        <f>IF($A402="","",IF(COUNTIFS(請求記録!$B$6:$B$3005,$A402,請求記録!$Z$6:$Z$3005,K$5,請求記録!$AF$6:$AF$3005,"保留中")&gt;0,"保留",IF(COUNTIFS(請求記録!$B$6:$B$3005,$A402,請求記録!$Z$6:$Z$3005,K$5)=0,"",SUMIFS(請求記録!$AE$6:$AE$3005,請求記録!$B$6:$B$3005,$A402,請求記録!$Z$6:$Z$3005,K$5))))</f>
        <v/>
      </c>
      <c r="L402" s="19">
        <f>IF($A402="","",IF(COUNTIFS(請求記録!$B$6:$B$3005,$A402,請求記録!$Z$6:$Z$3005,L$5,請求記録!$AF$6:$AF$3005,"保留中")&gt;0,"保留",IF(COUNTIFS(請求記録!$B$6:$B$3005,$A402,請求記録!$Z$6:$Z$3005,L$5)=0,"",SUMIFS(請求記録!$AE$6:$AE$3005,請求記録!$B$6:$B$3005,$A402,請求記録!$Z$6:$Z$3005,L$5))))</f>
        <v/>
      </c>
      <c r="M402" s="19">
        <f>IF($A402="","",IF(COUNTIFS(請求記録!$B$6:$B$3005,$A402,請求記録!$Z$6:$Z$3005,M$5,請求記録!$AF$6:$AF$3005,"保留中")&gt;0,"保留",IF(COUNTIFS(請求記録!$B$6:$B$3005,$A402,請求記録!$Z$6:$Z$3005,M$5)=0,"",SUMIFS(請求記録!$AE$6:$AE$3005,請求記録!$B$6:$B$3005,$A402,請求記録!$Z$6:$Z$3005,M$5))))</f>
        <v/>
      </c>
      <c r="N402" s="19">
        <f>IF($A402="","",IF(COUNTIFS(請求記録!$B$6:$B$3005,$A402,請求記録!$Z$6:$Z$3005,N$5,請求記録!$AF$6:$AF$3005,"保留中")&gt;0,"保留",IF(COUNTIFS(請求記録!$B$6:$B$3005,$A402,請求記録!$Z$6:$Z$3005,N$5)=0,"",SUMIFS(請求記録!$AE$6:$AE$3005,請求記録!$B$6:$B$3005,$A402,請求記録!$Z$6:$Z$3005,N$5))))</f>
        <v/>
      </c>
      <c r="O402" s="19">
        <f>IF($A402="","",IF(COUNTIFS(請求記録!$B$6:$B$3005,$A402,請求記録!$Z$6:$Z$3005,O$5,請求記録!$AF$6:$AF$3005,"保留中")&gt;0,"保留",IF(COUNTIFS(請求記録!$B$6:$B$3005,$A402,請求記録!$Z$6:$Z$3005,O$5)=0,"",SUMIFS(請求記録!$AE$6:$AE$3005,請求記録!$B$6:$B$3005,$A402,請求記録!$Z$6:$Z$3005,O$5))))</f>
        <v/>
      </c>
      <c r="P402" s="19">
        <f>IF($A402="","",IF(COUNTIFS(請求記録!$B$6:$B$3005,$A402,請求記録!$Z$6:$Z$3005,P$5,請求記録!$AF$6:$AF$3005,"保留中")&gt;0,"保留",IF(COUNTIFS(請求記録!$B$6:$B$3005,$A402,請求記録!$Z$6:$Z$3005,P$5)=0,"",SUMIFS(請求記録!$AE$6:$AE$3005,請求記録!$B$6:$B$3005,$A402,請求記録!$Z$6:$Z$3005,P$5))))</f>
        <v/>
      </c>
      <c r="Q402" s="19">
        <f>IF($A402="","",IF(COUNTIFS(請求記録!$B$6:$B$3005,$A402,請求記録!$Z$6:$Z$3005,Q$5,請求記録!$AF$6:$AF$3005,"保留中")&gt;0,"保留",IF(COUNTIFS(請求記録!$B$6:$B$3005,$A402,請求記録!$Z$6:$Z$3005,Q$5)=0,"",SUMIFS(請求記録!$AE$6:$AE$3005,請求記録!$B$6:$B$3005,$A402,請求記録!$Z$6:$Z$3005,Q$5))))</f>
        <v/>
      </c>
      <c r="R402" s="19">
        <f>IF($A402="","",IF(COUNTIFS(請求記録!$B$6:$B$3005,$A402,請求記録!$Z$6:$Z$3005,R$5,請求記録!$AF$6:$AF$3005,"保留中")&gt;0,"保留",IF(COUNTIFS(請求記録!$B$6:$B$3005,$A402,請求記録!$Z$6:$Z$3005,R$5)=0,"",SUMIFS(請求記録!$AE$6:$AE$3005,請求記録!$B$6:$B$3005,$A402,請求記録!$Z$6:$Z$3005,R$5))))</f>
        <v/>
      </c>
      <c r="S402" s="19">
        <f>IF($A402="","",IF(COUNTIFS(請求記録!$B$6:$B$3005,$A402,請求記録!$Z$6:$Z$3005,S$5,請求記録!$AF$6:$AF$3005,"保留中")&gt;0,"保留",IF(COUNTIFS(請求記録!$B$6:$B$3005,$A402,請求記録!$Z$6:$Z$3005,S$5)=0,"",SUMIFS(請求記録!$AE$6:$AE$3005,請求記録!$B$6:$B$3005,$A402,請求記録!$Z$6:$Z$3005,S$5))))</f>
        <v/>
      </c>
      <c r="T402" s="19">
        <f>IF($A402="","",IF(COUNTIFS(請求記録!$B$6:$B$3005,$A402,請求記録!$Z$6:$Z$3005,T$5,請求記録!$AF$6:$AF$3005,"保留中")&gt;0,"保留",IF(COUNTIFS(請求記録!$B$6:$B$3005,$A402,請求記録!$Z$6:$Z$3005,T$5)=0,"",SUMIFS(請求記録!$AE$6:$AE$3005,請求記録!$B$6:$B$3005,$A402,請求記録!$Z$6:$Z$3005,T$5))))</f>
        <v/>
      </c>
      <c r="U402" s="19">
        <f>IF($A402="","",IF(COUNTIFS(請求記録!$B$6:$B$3005,$A402,請求記録!$Z$6:$Z$3005,U$5,請求記録!$AF$6:$AF$3005,"保留中")&gt;0,"保留",IF(COUNTIFS(請求記録!$B$6:$B$3005,$A402,請求記録!$Z$6:$Z$3005,U$5)=0,"",SUMIFS(請求記録!$AE$6:$AE$3005,請求記録!$B$6:$B$3005,$A402,請求記録!$Z$6:$Z$3005,U$5))))</f>
        <v/>
      </c>
      <c r="V402" s="19">
        <f>IF($A402="","",IF(COUNTIFS(請求記録!$B$6:$B$3005,$A402,請求記録!$Z$6:$Z$3005,V$5,請求記録!$AF$6:$AF$3005,"保留中")&gt;0,"保留",IF(COUNTIFS(請求記録!$B$6:$B$3005,$A402,請求記録!$Z$6:$Z$3005,V$5)=0,"",SUMIFS(請求記録!$AE$6:$AE$3005,請求記録!$B$6:$B$3005,$A402,請求記録!$Z$6:$Z$3005,V$5))))</f>
        <v/>
      </c>
      <c r="W402" s="19">
        <f>IF($A402="","",IF(COUNTIFS(請求記録!$B$6:$B$3005,$A402,請求記録!$Z$6:$Z$3005,W$5,請求記録!$AF$6:$AF$3005,"保留中")&gt;0,"保留",IF(COUNTIFS(請求記録!$B$6:$B$3005,$A402,請求記録!$Z$6:$Z$3005,W$5)=0,"",SUMIFS(請求記録!$AE$6:$AE$3005,請求記録!$B$6:$B$3005,$A402,請求記録!$Z$6:$Z$3005,W$5))))</f>
        <v/>
      </c>
      <c r="X402" s="19">
        <f>IF($A402="","",IF(COUNTIFS(請求記録!$B$6:$B$3005,$A402,請求記録!$Z$6:$Z$3005,X$5,請求記録!$AF$6:$AF$3005,"保留中")&gt;0,"保留",IF(COUNTIFS(請求記録!$B$6:$B$3005,$A402,請求記録!$Z$6:$Z$3005,X$5)=0,"",SUMIFS(請求記録!$AE$6:$AE$3005,請求記録!$B$6:$B$3005,$A402,請求記録!$Z$6:$Z$3005,X$5))))</f>
        <v/>
      </c>
      <c r="Y402" s="19">
        <f>IF($A402="","",IF(COUNTIFS(請求記録!$B$6:$B$3005,$A402,請求記録!$Z$6:$Z$3005,Y$5,請求記録!$AF$6:$AF$3005,"保留中")&gt;0,"保留",IF(COUNTIFS(請求記録!$B$6:$B$3005,$A402,請求記録!$Z$6:$Z$3005,Y$5)=0,"",SUMIFS(請求記録!$AE$6:$AE$3005,請求記録!$B$6:$B$3005,$A402,請求記録!$Z$6:$Z$3005,Y$5))))</f>
        <v/>
      </c>
      <c r="Z402" s="19">
        <f>IF($A402="","",IF(COUNTIFS(請求記録!$B$6:$B$3005,$A402,請求記録!$Z$6:$Z$3005,Z$5,請求記録!$AF$6:$AF$3005,"保留中")&gt;0,"保留",IF(COUNTIFS(請求記録!$B$6:$B$3005,$A402,請求記録!$Z$6:$Z$3005,Z$5)=0,"",SUMIFS(請求記録!$AE$6:$AE$3005,請求記録!$B$6:$B$3005,$A402,請求記録!$Z$6:$Z$3005,Z$5))))</f>
        <v/>
      </c>
      <c r="AA402" s="19">
        <f>IF($A402="","",IF(COUNTIFS(請求記録!$B$6:$B$3005,$A402,請求記録!$Z$6:$Z$3005,AA$5,請求記録!$AF$6:$AF$3005,"保留中")&gt;0,"保留",IF(COUNTIFS(請求記録!$B$6:$B$3005,$A402,請求記録!$Z$6:$Z$3005,AA$5)=0,"",SUMIFS(請求記録!$AE$6:$AE$3005,請求記録!$B$6:$B$3005,$A402,請求記録!$Z$6:$Z$3005,AA$5))))</f>
        <v/>
      </c>
      <c r="AB402">
        <f>IF(職員マスタ!P402="保留中",職員マスタ!M402,"")</f>
        <v/>
      </c>
    </row>
    <row r="403">
      <c r="A403">
        <f>IF(職員マスタ!A403="","",職員マスタ!A403)</f>
        <v/>
      </c>
      <c r="B403">
        <f>IF($A403="","",職員マスタ!B403)</f>
        <v/>
      </c>
      <c r="C403">
        <f>IF($A403="","",職員マスタ!C403)</f>
        <v/>
      </c>
      <c r="D403" s="19">
        <f>IF($A403="","",IF(COUNTIFS(請求記録!$B$6:$B$3005,$A403,請求記録!$Z$6:$Z$3005,D$5,請求記録!$AF$6:$AF$3005,"保留中")&gt;0,"保留",IF(COUNTIFS(請求記録!$B$6:$B$3005,$A403,請求記録!$Z$6:$Z$3005,D$5)=0,"",SUMIFS(請求記録!$AE$6:$AE$3005,請求記録!$B$6:$B$3005,$A403,請求記録!$Z$6:$Z$3005,D$5))))</f>
        <v/>
      </c>
      <c r="E403" s="19">
        <f>IF($A403="","",IF(COUNTIFS(請求記録!$B$6:$B$3005,$A403,請求記録!$Z$6:$Z$3005,E$5,請求記録!$AF$6:$AF$3005,"保留中")&gt;0,"保留",IF(COUNTIFS(請求記録!$B$6:$B$3005,$A403,請求記録!$Z$6:$Z$3005,E$5)=0,"",SUMIFS(請求記録!$AE$6:$AE$3005,請求記録!$B$6:$B$3005,$A403,請求記録!$Z$6:$Z$3005,E$5))))</f>
        <v/>
      </c>
      <c r="F403" s="19">
        <f>IF($A403="","",IF(COUNTIFS(請求記録!$B$6:$B$3005,$A403,請求記録!$Z$6:$Z$3005,F$5,請求記録!$AF$6:$AF$3005,"保留中")&gt;0,"保留",IF(COUNTIFS(請求記録!$B$6:$B$3005,$A403,請求記録!$Z$6:$Z$3005,F$5)=0,"",SUMIFS(請求記録!$AE$6:$AE$3005,請求記録!$B$6:$B$3005,$A403,請求記録!$Z$6:$Z$3005,F$5))))</f>
        <v/>
      </c>
      <c r="G403" s="19">
        <f>IF($A403="","",IF(COUNTIFS(請求記録!$B$6:$B$3005,$A403,請求記録!$Z$6:$Z$3005,G$5,請求記録!$AF$6:$AF$3005,"保留中")&gt;0,"保留",IF(COUNTIFS(請求記録!$B$6:$B$3005,$A403,請求記録!$Z$6:$Z$3005,G$5)=0,"",SUMIFS(請求記録!$AE$6:$AE$3005,請求記録!$B$6:$B$3005,$A403,請求記録!$Z$6:$Z$3005,G$5))))</f>
        <v/>
      </c>
      <c r="H403" s="19">
        <f>IF($A403="","",IF(COUNTIFS(請求記録!$B$6:$B$3005,$A403,請求記録!$Z$6:$Z$3005,H$5,請求記録!$AF$6:$AF$3005,"保留中")&gt;0,"保留",IF(COUNTIFS(請求記録!$B$6:$B$3005,$A403,請求記録!$Z$6:$Z$3005,H$5)=0,"",SUMIFS(請求記録!$AE$6:$AE$3005,請求記録!$B$6:$B$3005,$A403,請求記録!$Z$6:$Z$3005,H$5))))</f>
        <v/>
      </c>
      <c r="I403" s="19">
        <f>IF($A403="","",IF(COUNTIFS(請求記録!$B$6:$B$3005,$A403,請求記録!$Z$6:$Z$3005,I$5,請求記録!$AF$6:$AF$3005,"保留中")&gt;0,"保留",IF(COUNTIFS(請求記録!$B$6:$B$3005,$A403,請求記録!$Z$6:$Z$3005,I$5)=0,"",SUMIFS(請求記録!$AE$6:$AE$3005,請求記録!$B$6:$B$3005,$A403,請求記録!$Z$6:$Z$3005,I$5))))</f>
        <v/>
      </c>
      <c r="J403" s="19">
        <f>IF($A403="","",IF(COUNTIFS(請求記録!$B$6:$B$3005,$A403,請求記録!$Z$6:$Z$3005,J$5,請求記録!$AF$6:$AF$3005,"保留中")&gt;0,"保留",IF(COUNTIFS(請求記録!$B$6:$B$3005,$A403,請求記録!$Z$6:$Z$3005,J$5)=0,"",SUMIFS(請求記録!$AE$6:$AE$3005,請求記録!$B$6:$B$3005,$A403,請求記録!$Z$6:$Z$3005,J$5))))</f>
        <v/>
      </c>
      <c r="K403" s="19">
        <f>IF($A403="","",IF(COUNTIFS(請求記録!$B$6:$B$3005,$A403,請求記録!$Z$6:$Z$3005,K$5,請求記録!$AF$6:$AF$3005,"保留中")&gt;0,"保留",IF(COUNTIFS(請求記録!$B$6:$B$3005,$A403,請求記録!$Z$6:$Z$3005,K$5)=0,"",SUMIFS(請求記録!$AE$6:$AE$3005,請求記録!$B$6:$B$3005,$A403,請求記録!$Z$6:$Z$3005,K$5))))</f>
        <v/>
      </c>
      <c r="L403" s="19">
        <f>IF($A403="","",IF(COUNTIFS(請求記録!$B$6:$B$3005,$A403,請求記録!$Z$6:$Z$3005,L$5,請求記録!$AF$6:$AF$3005,"保留中")&gt;0,"保留",IF(COUNTIFS(請求記録!$B$6:$B$3005,$A403,請求記録!$Z$6:$Z$3005,L$5)=0,"",SUMIFS(請求記録!$AE$6:$AE$3005,請求記録!$B$6:$B$3005,$A403,請求記録!$Z$6:$Z$3005,L$5))))</f>
        <v/>
      </c>
      <c r="M403" s="19">
        <f>IF($A403="","",IF(COUNTIFS(請求記録!$B$6:$B$3005,$A403,請求記録!$Z$6:$Z$3005,M$5,請求記録!$AF$6:$AF$3005,"保留中")&gt;0,"保留",IF(COUNTIFS(請求記録!$B$6:$B$3005,$A403,請求記録!$Z$6:$Z$3005,M$5)=0,"",SUMIFS(請求記録!$AE$6:$AE$3005,請求記録!$B$6:$B$3005,$A403,請求記録!$Z$6:$Z$3005,M$5))))</f>
        <v/>
      </c>
      <c r="N403" s="19">
        <f>IF($A403="","",IF(COUNTIFS(請求記録!$B$6:$B$3005,$A403,請求記録!$Z$6:$Z$3005,N$5,請求記録!$AF$6:$AF$3005,"保留中")&gt;0,"保留",IF(COUNTIFS(請求記録!$B$6:$B$3005,$A403,請求記録!$Z$6:$Z$3005,N$5)=0,"",SUMIFS(請求記録!$AE$6:$AE$3005,請求記録!$B$6:$B$3005,$A403,請求記録!$Z$6:$Z$3005,N$5))))</f>
        <v/>
      </c>
      <c r="O403" s="19">
        <f>IF($A403="","",IF(COUNTIFS(請求記録!$B$6:$B$3005,$A403,請求記録!$Z$6:$Z$3005,O$5,請求記録!$AF$6:$AF$3005,"保留中")&gt;0,"保留",IF(COUNTIFS(請求記録!$B$6:$B$3005,$A403,請求記録!$Z$6:$Z$3005,O$5)=0,"",SUMIFS(請求記録!$AE$6:$AE$3005,請求記録!$B$6:$B$3005,$A403,請求記録!$Z$6:$Z$3005,O$5))))</f>
        <v/>
      </c>
      <c r="P403" s="19">
        <f>IF($A403="","",IF(COUNTIFS(請求記録!$B$6:$B$3005,$A403,請求記録!$Z$6:$Z$3005,P$5,請求記録!$AF$6:$AF$3005,"保留中")&gt;0,"保留",IF(COUNTIFS(請求記録!$B$6:$B$3005,$A403,請求記録!$Z$6:$Z$3005,P$5)=0,"",SUMIFS(請求記録!$AE$6:$AE$3005,請求記録!$B$6:$B$3005,$A403,請求記録!$Z$6:$Z$3005,P$5))))</f>
        <v/>
      </c>
      <c r="Q403" s="19">
        <f>IF($A403="","",IF(COUNTIFS(請求記録!$B$6:$B$3005,$A403,請求記録!$Z$6:$Z$3005,Q$5,請求記録!$AF$6:$AF$3005,"保留中")&gt;0,"保留",IF(COUNTIFS(請求記録!$B$6:$B$3005,$A403,請求記録!$Z$6:$Z$3005,Q$5)=0,"",SUMIFS(請求記録!$AE$6:$AE$3005,請求記録!$B$6:$B$3005,$A403,請求記録!$Z$6:$Z$3005,Q$5))))</f>
        <v/>
      </c>
      <c r="R403" s="19">
        <f>IF($A403="","",IF(COUNTIFS(請求記録!$B$6:$B$3005,$A403,請求記録!$Z$6:$Z$3005,R$5,請求記録!$AF$6:$AF$3005,"保留中")&gt;0,"保留",IF(COUNTIFS(請求記録!$B$6:$B$3005,$A403,請求記録!$Z$6:$Z$3005,R$5)=0,"",SUMIFS(請求記録!$AE$6:$AE$3005,請求記録!$B$6:$B$3005,$A403,請求記録!$Z$6:$Z$3005,R$5))))</f>
        <v/>
      </c>
      <c r="S403" s="19">
        <f>IF($A403="","",IF(COUNTIFS(請求記録!$B$6:$B$3005,$A403,請求記録!$Z$6:$Z$3005,S$5,請求記録!$AF$6:$AF$3005,"保留中")&gt;0,"保留",IF(COUNTIFS(請求記録!$B$6:$B$3005,$A403,請求記録!$Z$6:$Z$3005,S$5)=0,"",SUMIFS(請求記録!$AE$6:$AE$3005,請求記録!$B$6:$B$3005,$A403,請求記録!$Z$6:$Z$3005,S$5))))</f>
        <v/>
      </c>
      <c r="T403" s="19">
        <f>IF($A403="","",IF(COUNTIFS(請求記録!$B$6:$B$3005,$A403,請求記録!$Z$6:$Z$3005,T$5,請求記録!$AF$6:$AF$3005,"保留中")&gt;0,"保留",IF(COUNTIFS(請求記録!$B$6:$B$3005,$A403,請求記録!$Z$6:$Z$3005,T$5)=0,"",SUMIFS(請求記録!$AE$6:$AE$3005,請求記録!$B$6:$B$3005,$A403,請求記録!$Z$6:$Z$3005,T$5))))</f>
        <v/>
      </c>
      <c r="U403" s="19">
        <f>IF($A403="","",IF(COUNTIFS(請求記録!$B$6:$B$3005,$A403,請求記録!$Z$6:$Z$3005,U$5,請求記録!$AF$6:$AF$3005,"保留中")&gt;0,"保留",IF(COUNTIFS(請求記録!$B$6:$B$3005,$A403,請求記録!$Z$6:$Z$3005,U$5)=0,"",SUMIFS(請求記録!$AE$6:$AE$3005,請求記録!$B$6:$B$3005,$A403,請求記録!$Z$6:$Z$3005,U$5))))</f>
        <v/>
      </c>
      <c r="V403" s="19">
        <f>IF($A403="","",IF(COUNTIFS(請求記録!$B$6:$B$3005,$A403,請求記録!$Z$6:$Z$3005,V$5,請求記録!$AF$6:$AF$3005,"保留中")&gt;0,"保留",IF(COUNTIFS(請求記録!$B$6:$B$3005,$A403,請求記録!$Z$6:$Z$3005,V$5)=0,"",SUMIFS(請求記録!$AE$6:$AE$3005,請求記録!$B$6:$B$3005,$A403,請求記録!$Z$6:$Z$3005,V$5))))</f>
        <v/>
      </c>
      <c r="W403" s="19">
        <f>IF($A403="","",IF(COUNTIFS(請求記録!$B$6:$B$3005,$A403,請求記録!$Z$6:$Z$3005,W$5,請求記録!$AF$6:$AF$3005,"保留中")&gt;0,"保留",IF(COUNTIFS(請求記録!$B$6:$B$3005,$A403,請求記録!$Z$6:$Z$3005,W$5)=0,"",SUMIFS(請求記録!$AE$6:$AE$3005,請求記録!$B$6:$B$3005,$A403,請求記録!$Z$6:$Z$3005,W$5))))</f>
        <v/>
      </c>
      <c r="X403" s="19">
        <f>IF($A403="","",IF(COUNTIFS(請求記録!$B$6:$B$3005,$A403,請求記録!$Z$6:$Z$3005,X$5,請求記録!$AF$6:$AF$3005,"保留中")&gt;0,"保留",IF(COUNTIFS(請求記録!$B$6:$B$3005,$A403,請求記録!$Z$6:$Z$3005,X$5)=0,"",SUMIFS(請求記録!$AE$6:$AE$3005,請求記録!$B$6:$B$3005,$A403,請求記録!$Z$6:$Z$3005,X$5))))</f>
        <v/>
      </c>
      <c r="Y403" s="19">
        <f>IF($A403="","",IF(COUNTIFS(請求記録!$B$6:$B$3005,$A403,請求記録!$Z$6:$Z$3005,Y$5,請求記録!$AF$6:$AF$3005,"保留中")&gt;0,"保留",IF(COUNTIFS(請求記録!$B$6:$B$3005,$A403,請求記録!$Z$6:$Z$3005,Y$5)=0,"",SUMIFS(請求記録!$AE$6:$AE$3005,請求記録!$B$6:$B$3005,$A403,請求記録!$Z$6:$Z$3005,Y$5))))</f>
        <v/>
      </c>
      <c r="Z403" s="19">
        <f>IF($A403="","",IF(COUNTIFS(請求記録!$B$6:$B$3005,$A403,請求記録!$Z$6:$Z$3005,Z$5,請求記録!$AF$6:$AF$3005,"保留中")&gt;0,"保留",IF(COUNTIFS(請求記録!$B$6:$B$3005,$A403,請求記録!$Z$6:$Z$3005,Z$5)=0,"",SUMIFS(請求記録!$AE$6:$AE$3005,請求記録!$B$6:$B$3005,$A403,請求記録!$Z$6:$Z$3005,Z$5))))</f>
        <v/>
      </c>
      <c r="AA403" s="19">
        <f>IF($A403="","",IF(COUNTIFS(請求記録!$B$6:$B$3005,$A403,請求記録!$Z$6:$Z$3005,AA$5,請求記録!$AF$6:$AF$3005,"保留中")&gt;0,"保留",IF(COUNTIFS(請求記録!$B$6:$B$3005,$A403,請求記録!$Z$6:$Z$3005,AA$5)=0,"",SUMIFS(請求記録!$AE$6:$AE$3005,請求記録!$B$6:$B$3005,$A403,請求記録!$Z$6:$Z$3005,AA$5))))</f>
        <v/>
      </c>
      <c r="AB403">
        <f>IF(職員マスタ!P403="保留中",職員マスタ!M403,"")</f>
        <v/>
      </c>
    </row>
    <row r="404">
      <c r="A404">
        <f>IF(職員マスタ!A404="","",職員マスタ!A404)</f>
        <v/>
      </c>
      <c r="B404">
        <f>IF($A404="","",職員マスタ!B404)</f>
        <v/>
      </c>
      <c r="C404">
        <f>IF($A404="","",職員マスタ!C404)</f>
        <v/>
      </c>
      <c r="D404" s="19">
        <f>IF($A404="","",IF(COUNTIFS(請求記録!$B$6:$B$3005,$A404,請求記録!$Z$6:$Z$3005,D$5,請求記録!$AF$6:$AF$3005,"保留中")&gt;0,"保留",IF(COUNTIFS(請求記録!$B$6:$B$3005,$A404,請求記録!$Z$6:$Z$3005,D$5)=0,"",SUMIFS(請求記録!$AE$6:$AE$3005,請求記録!$B$6:$B$3005,$A404,請求記録!$Z$6:$Z$3005,D$5))))</f>
        <v/>
      </c>
      <c r="E404" s="19">
        <f>IF($A404="","",IF(COUNTIFS(請求記録!$B$6:$B$3005,$A404,請求記録!$Z$6:$Z$3005,E$5,請求記録!$AF$6:$AF$3005,"保留中")&gt;0,"保留",IF(COUNTIFS(請求記録!$B$6:$B$3005,$A404,請求記録!$Z$6:$Z$3005,E$5)=0,"",SUMIFS(請求記録!$AE$6:$AE$3005,請求記録!$B$6:$B$3005,$A404,請求記録!$Z$6:$Z$3005,E$5))))</f>
        <v/>
      </c>
      <c r="F404" s="19">
        <f>IF($A404="","",IF(COUNTIFS(請求記録!$B$6:$B$3005,$A404,請求記録!$Z$6:$Z$3005,F$5,請求記録!$AF$6:$AF$3005,"保留中")&gt;0,"保留",IF(COUNTIFS(請求記録!$B$6:$B$3005,$A404,請求記録!$Z$6:$Z$3005,F$5)=0,"",SUMIFS(請求記録!$AE$6:$AE$3005,請求記録!$B$6:$B$3005,$A404,請求記録!$Z$6:$Z$3005,F$5))))</f>
        <v/>
      </c>
      <c r="G404" s="19">
        <f>IF($A404="","",IF(COUNTIFS(請求記録!$B$6:$B$3005,$A404,請求記録!$Z$6:$Z$3005,G$5,請求記録!$AF$6:$AF$3005,"保留中")&gt;0,"保留",IF(COUNTIFS(請求記録!$B$6:$B$3005,$A404,請求記録!$Z$6:$Z$3005,G$5)=0,"",SUMIFS(請求記録!$AE$6:$AE$3005,請求記録!$B$6:$B$3005,$A404,請求記録!$Z$6:$Z$3005,G$5))))</f>
        <v/>
      </c>
      <c r="H404" s="19">
        <f>IF($A404="","",IF(COUNTIFS(請求記録!$B$6:$B$3005,$A404,請求記録!$Z$6:$Z$3005,H$5,請求記録!$AF$6:$AF$3005,"保留中")&gt;0,"保留",IF(COUNTIFS(請求記録!$B$6:$B$3005,$A404,請求記録!$Z$6:$Z$3005,H$5)=0,"",SUMIFS(請求記録!$AE$6:$AE$3005,請求記録!$B$6:$B$3005,$A404,請求記録!$Z$6:$Z$3005,H$5))))</f>
        <v/>
      </c>
      <c r="I404" s="19">
        <f>IF($A404="","",IF(COUNTIFS(請求記録!$B$6:$B$3005,$A404,請求記録!$Z$6:$Z$3005,I$5,請求記録!$AF$6:$AF$3005,"保留中")&gt;0,"保留",IF(COUNTIFS(請求記録!$B$6:$B$3005,$A404,請求記録!$Z$6:$Z$3005,I$5)=0,"",SUMIFS(請求記録!$AE$6:$AE$3005,請求記録!$B$6:$B$3005,$A404,請求記録!$Z$6:$Z$3005,I$5))))</f>
        <v/>
      </c>
      <c r="J404" s="19">
        <f>IF($A404="","",IF(COUNTIFS(請求記録!$B$6:$B$3005,$A404,請求記録!$Z$6:$Z$3005,J$5,請求記録!$AF$6:$AF$3005,"保留中")&gt;0,"保留",IF(COUNTIFS(請求記録!$B$6:$B$3005,$A404,請求記録!$Z$6:$Z$3005,J$5)=0,"",SUMIFS(請求記録!$AE$6:$AE$3005,請求記録!$B$6:$B$3005,$A404,請求記録!$Z$6:$Z$3005,J$5))))</f>
        <v/>
      </c>
      <c r="K404" s="19">
        <f>IF($A404="","",IF(COUNTIFS(請求記録!$B$6:$B$3005,$A404,請求記録!$Z$6:$Z$3005,K$5,請求記録!$AF$6:$AF$3005,"保留中")&gt;0,"保留",IF(COUNTIFS(請求記録!$B$6:$B$3005,$A404,請求記録!$Z$6:$Z$3005,K$5)=0,"",SUMIFS(請求記録!$AE$6:$AE$3005,請求記録!$B$6:$B$3005,$A404,請求記録!$Z$6:$Z$3005,K$5))))</f>
        <v/>
      </c>
      <c r="L404" s="19">
        <f>IF($A404="","",IF(COUNTIFS(請求記録!$B$6:$B$3005,$A404,請求記録!$Z$6:$Z$3005,L$5,請求記録!$AF$6:$AF$3005,"保留中")&gt;0,"保留",IF(COUNTIFS(請求記録!$B$6:$B$3005,$A404,請求記録!$Z$6:$Z$3005,L$5)=0,"",SUMIFS(請求記録!$AE$6:$AE$3005,請求記録!$B$6:$B$3005,$A404,請求記録!$Z$6:$Z$3005,L$5))))</f>
        <v/>
      </c>
      <c r="M404" s="19">
        <f>IF($A404="","",IF(COUNTIFS(請求記録!$B$6:$B$3005,$A404,請求記録!$Z$6:$Z$3005,M$5,請求記録!$AF$6:$AF$3005,"保留中")&gt;0,"保留",IF(COUNTIFS(請求記録!$B$6:$B$3005,$A404,請求記録!$Z$6:$Z$3005,M$5)=0,"",SUMIFS(請求記録!$AE$6:$AE$3005,請求記録!$B$6:$B$3005,$A404,請求記録!$Z$6:$Z$3005,M$5))))</f>
        <v/>
      </c>
      <c r="N404" s="19">
        <f>IF($A404="","",IF(COUNTIFS(請求記録!$B$6:$B$3005,$A404,請求記録!$Z$6:$Z$3005,N$5,請求記録!$AF$6:$AF$3005,"保留中")&gt;0,"保留",IF(COUNTIFS(請求記録!$B$6:$B$3005,$A404,請求記録!$Z$6:$Z$3005,N$5)=0,"",SUMIFS(請求記録!$AE$6:$AE$3005,請求記録!$B$6:$B$3005,$A404,請求記録!$Z$6:$Z$3005,N$5))))</f>
        <v/>
      </c>
      <c r="O404" s="19">
        <f>IF($A404="","",IF(COUNTIFS(請求記録!$B$6:$B$3005,$A404,請求記録!$Z$6:$Z$3005,O$5,請求記録!$AF$6:$AF$3005,"保留中")&gt;0,"保留",IF(COUNTIFS(請求記録!$B$6:$B$3005,$A404,請求記録!$Z$6:$Z$3005,O$5)=0,"",SUMIFS(請求記録!$AE$6:$AE$3005,請求記録!$B$6:$B$3005,$A404,請求記録!$Z$6:$Z$3005,O$5))))</f>
        <v/>
      </c>
      <c r="P404" s="19">
        <f>IF($A404="","",IF(COUNTIFS(請求記録!$B$6:$B$3005,$A404,請求記録!$Z$6:$Z$3005,P$5,請求記録!$AF$6:$AF$3005,"保留中")&gt;0,"保留",IF(COUNTIFS(請求記録!$B$6:$B$3005,$A404,請求記録!$Z$6:$Z$3005,P$5)=0,"",SUMIFS(請求記録!$AE$6:$AE$3005,請求記録!$B$6:$B$3005,$A404,請求記録!$Z$6:$Z$3005,P$5))))</f>
        <v/>
      </c>
      <c r="Q404" s="19">
        <f>IF($A404="","",IF(COUNTIFS(請求記録!$B$6:$B$3005,$A404,請求記録!$Z$6:$Z$3005,Q$5,請求記録!$AF$6:$AF$3005,"保留中")&gt;0,"保留",IF(COUNTIFS(請求記録!$B$6:$B$3005,$A404,請求記録!$Z$6:$Z$3005,Q$5)=0,"",SUMIFS(請求記録!$AE$6:$AE$3005,請求記録!$B$6:$B$3005,$A404,請求記録!$Z$6:$Z$3005,Q$5))))</f>
        <v/>
      </c>
      <c r="R404" s="19">
        <f>IF($A404="","",IF(COUNTIFS(請求記録!$B$6:$B$3005,$A404,請求記録!$Z$6:$Z$3005,R$5,請求記録!$AF$6:$AF$3005,"保留中")&gt;0,"保留",IF(COUNTIFS(請求記録!$B$6:$B$3005,$A404,請求記録!$Z$6:$Z$3005,R$5)=0,"",SUMIFS(請求記録!$AE$6:$AE$3005,請求記録!$B$6:$B$3005,$A404,請求記録!$Z$6:$Z$3005,R$5))))</f>
        <v/>
      </c>
      <c r="S404" s="19">
        <f>IF($A404="","",IF(COUNTIFS(請求記録!$B$6:$B$3005,$A404,請求記録!$Z$6:$Z$3005,S$5,請求記録!$AF$6:$AF$3005,"保留中")&gt;0,"保留",IF(COUNTIFS(請求記録!$B$6:$B$3005,$A404,請求記録!$Z$6:$Z$3005,S$5)=0,"",SUMIFS(請求記録!$AE$6:$AE$3005,請求記録!$B$6:$B$3005,$A404,請求記録!$Z$6:$Z$3005,S$5))))</f>
        <v/>
      </c>
      <c r="T404" s="19">
        <f>IF($A404="","",IF(COUNTIFS(請求記録!$B$6:$B$3005,$A404,請求記録!$Z$6:$Z$3005,T$5,請求記録!$AF$6:$AF$3005,"保留中")&gt;0,"保留",IF(COUNTIFS(請求記録!$B$6:$B$3005,$A404,請求記録!$Z$6:$Z$3005,T$5)=0,"",SUMIFS(請求記録!$AE$6:$AE$3005,請求記録!$B$6:$B$3005,$A404,請求記録!$Z$6:$Z$3005,T$5))))</f>
        <v/>
      </c>
      <c r="U404" s="19">
        <f>IF($A404="","",IF(COUNTIFS(請求記録!$B$6:$B$3005,$A404,請求記録!$Z$6:$Z$3005,U$5,請求記録!$AF$6:$AF$3005,"保留中")&gt;0,"保留",IF(COUNTIFS(請求記録!$B$6:$B$3005,$A404,請求記録!$Z$6:$Z$3005,U$5)=0,"",SUMIFS(請求記録!$AE$6:$AE$3005,請求記録!$B$6:$B$3005,$A404,請求記録!$Z$6:$Z$3005,U$5))))</f>
        <v/>
      </c>
      <c r="V404" s="19">
        <f>IF($A404="","",IF(COUNTIFS(請求記録!$B$6:$B$3005,$A404,請求記録!$Z$6:$Z$3005,V$5,請求記録!$AF$6:$AF$3005,"保留中")&gt;0,"保留",IF(COUNTIFS(請求記録!$B$6:$B$3005,$A404,請求記録!$Z$6:$Z$3005,V$5)=0,"",SUMIFS(請求記録!$AE$6:$AE$3005,請求記録!$B$6:$B$3005,$A404,請求記録!$Z$6:$Z$3005,V$5))))</f>
        <v/>
      </c>
      <c r="W404" s="19">
        <f>IF($A404="","",IF(COUNTIFS(請求記録!$B$6:$B$3005,$A404,請求記録!$Z$6:$Z$3005,W$5,請求記録!$AF$6:$AF$3005,"保留中")&gt;0,"保留",IF(COUNTIFS(請求記録!$B$6:$B$3005,$A404,請求記録!$Z$6:$Z$3005,W$5)=0,"",SUMIFS(請求記録!$AE$6:$AE$3005,請求記録!$B$6:$B$3005,$A404,請求記録!$Z$6:$Z$3005,W$5))))</f>
        <v/>
      </c>
      <c r="X404" s="19">
        <f>IF($A404="","",IF(COUNTIFS(請求記録!$B$6:$B$3005,$A404,請求記録!$Z$6:$Z$3005,X$5,請求記録!$AF$6:$AF$3005,"保留中")&gt;0,"保留",IF(COUNTIFS(請求記録!$B$6:$B$3005,$A404,請求記録!$Z$6:$Z$3005,X$5)=0,"",SUMIFS(請求記録!$AE$6:$AE$3005,請求記録!$B$6:$B$3005,$A404,請求記録!$Z$6:$Z$3005,X$5))))</f>
        <v/>
      </c>
      <c r="Y404" s="19">
        <f>IF($A404="","",IF(COUNTIFS(請求記録!$B$6:$B$3005,$A404,請求記録!$Z$6:$Z$3005,Y$5,請求記録!$AF$6:$AF$3005,"保留中")&gt;0,"保留",IF(COUNTIFS(請求記録!$B$6:$B$3005,$A404,請求記録!$Z$6:$Z$3005,Y$5)=0,"",SUMIFS(請求記録!$AE$6:$AE$3005,請求記録!$B$6:$B$3005,$A404,請求記録!$Z$6:$Z$3005,Y$5))))</f>
        <v/>
      </c>
      <c r="Z404" s="19">
        <f>IF($A404="","",IF(COUNTIFS(請求記録!$B$6:$B$3005,$A404,請求記録!$Z$6:$Z$3005,Z$5,請求記録!$AF$6:$AF$3005,"保留中")&gt;0,"保留",IF(COUNTIFS(請求記録!$B$6:$B$3005,$A404,請求記録!$Z$6:$Z$3005,Z$5)=0,"",SUMIFS(請求記録!$AE$6:$AE$3005,請求記録!$B$6:$B$3005,$A404,請求記録!$Z$6:$Z$3005,Z$5))))</f>
        <v/>
      </c>
      <c r="AA404" s="19">
        <f>IF($A404="","",IF(COUNTIFS(請求記録!$B$6:$B$3005,$A404,請求記録!$Z$6:$Z$3005,AA$5,請求記録!$AF$6:$AF$3005,"保留中")&gt;0,"保留",IF(COUNTIFS(請求記録!$B$6:$B$3005,$A404,請求記録!$Z$6:$Z$3005,AA$5)=0,"",SUMIFS(請求記録!$AE$6:$AE$3005,請求記録!$B$6:$B$3005,$A404,請求記録!$Z$6:$Z$3005,AA$5))))</f>
        <v/>
      </c>
      <c r="AB404">
        <f>IF(職員マスタ!P404="保留中",職員マスタ!M404,"")</f>
        <v/>
      </c>
    </row>
    <row r="405">
      <c r="A405">
        <f>IF(職員マスタ!A405="","",職員マスタ!A405)</f>
        <v/>
      </c>
      <c r="B405">
        <f>IF($A405="","",職員マスタ!B405)</f>
        <v/>
      </c>
      <c r="C405">
        <f>IF($A405="","",職員マスタ!C405)</f>
        <v/>
      </c>
      <c r="D405" s="19">
        <f>IF($A405="","",IF(COUNTIFS(請求記録!$B$6:$B$3005,$A405,請求記録!$Z$6:$Z$3005,D$5,請求記録!$AF$6:$AF$3005,"保留中")&gt;0,"保留",IF(COUNTIFS(請求記録!$B$6:$B$3005,$A405,請求記録!$Z$6:$Z$3005,D$5)=0,"",SUMIFS(請求記録!$AE$6:$AE$3005,請求記録!$B$6:$B$3005,$A405,請求記録!$Z$6:$Z$3005,D$5))))</f>
        <v/>
      </c>
      <c r="E405" s="19">
        <f>IF($A405="","",IF(COUNTIFS(請求記録!$B$6:$B$3005,$A405,請求記録!$Z$6:$Z$3005,E$5,請求記録!$AF$6:$AF$3005,"保留中")&gt;0,"保留",IF(COUNTIFS(請求記録!$B$6:$B$3005,$A405,請求記録!$Z$6:$Z$3005,E$5)=0,"",SUMIFS(請求記録!$AE$6:$AE$3005,請求記録!$B$6:$B$3005,$A405,請求記録!$Z$6:$Z$3005,E$5))))</f>
        <v/>
      </c>
      <c r="F405" s="19">
        <f>IF($A405="","",IF(COUNTIFS(請求記録!$B$6:$B$3005,$A405,請求記録!$Z$6:$Z$3005,F$5,請求記録!$AF$6:$AF$3005,"保留中")&gt;0,"保留",IF(COUNTIFS(請求記録!$B$6:$B$3005,$A405,請求記録!$Z$6:$Z$3005,F$5)=0,"",SUMIFS(請求記録!$AE$6:$AE$3005,請求記録!$B$6:$B$3005,$A405,請求記録!$Z$6:$Z$3005,F$5))))</f>
        <v/>
      </c>
      <c r="G405" s="19">
        <f>IF($A405="","",IF(COUNTIFS(請求記録!$B$6:$B$3005,$A405,請求記録!$Z$6:$Z$3005,G$5,請求記録!$AF$6:$AF$3005,"保留中")&gt;0,"保留",IF(COUNTIFS(請求記録!$B$6:$B$3005,$A405,請求記録!$Z$6:$Z$3005,G$5)=0,"",SUMIFS(請求記録!$AE$6:$AE$3005,請求記録!$B$6:$B$3005,$A405,請求記録!$Z$6:$Z$3005,G$5))))</f>
        <v/>
      </c>
      <c r="H405" s="19">
        <f>IF($A405="","",IF(COUNTIFS(請求記録!$B$6:$B$3005,$A405,請求記録!$Z$6:$Z$3005,H$5,請求記録!$AF$6:$AF$3005,"保留中")&gt;0,"保留",IF(COUNTIFS(請求記録!$B$6:$B$3005,$A405,請求記録!$Z$6:$Z$3005,H$5)=0,"",SUMIFS(請求記録!$AE$6:$AE$3005,請求記録!$B$6:$B$3005,$A405,請求記録!$Z$6:$Z$3005,H$5))))</f>
        <v/>
      </c>
      <c r="I405" s="19">
        <f>IF($A405="","",IF(COUNTIFS(請求記録!$B$6:$B$3005,$A405,請求記録!$Z$6:$Z$3005,I$5,請求記録!$AF$6:$AF$3005,"保留中")&gt;0,"保留",IF(COUNTIFS(請求記録!$B$6:$B$3005,$A405,請求記録!$Z$6:$Z$3005,I$5)=0,"",SUMIFS(請求記録!$AE$6:$AE$3005,請求記録!$B$6:$B$3005,$A405,請求記録!$Z$6:$Z$3005,I$5))))</f>
        <v/>
      </c>
      <c r="J405" s="19">
        <f>IF($A405="","",IF(COUNTIFS(請求記録!$B$6:$B$3005,$A405,請求記録!$Z$6:$Z$3005,J$5,請求記録!$AF$6:$AF$3005,"保留中")&gt;0,"保留",IF(COUNTIFS(請求記録!$B$6:$B$3005,$A405,請求記録!$Z$6:$Z$3005,J$5)=0,"",SUMIFS(請求記録!$AE$6:$AE$3005,請求記録!$B$6:$B$3005,$A405,請求記録!$Z$6:$Z$3005,J$5))))</f>
        <v/>
      </c>
      <c r="K405" s="19">
        <f>IF($A405="","",IF(COUNTIFS(請求記録!$B$6:$B$3005,$A405,請求記録!$Z$6:$Z$3005,K$5,請求記録!$AF$6:$AF$3005,"保留中")&gt;0,"保留",IF(COUNTIFS(請求記録!$B$6:$B$3005,$A405,請求記録!$Z$6:$Z$3005,K$5)=0,"",SUMIFS(請求記録!$AE$6:$AE$3005,請求記録!$B$6:$B$3005,$A405,請求記録!$Z$6:$Z$3005,K$5))))</f>
        <v/>
      </c>
      <c r="L405" s="19">
        <f>IF($A405="","",IF(COUNTIFS(請求記録!$B$6:$B$3005,$A405,請求記録!$Z$6:$Z$3005,L$5,請求記録!$AF$6:$AF$3005,"保留中")&gt;0,"保留",IF(COUNTIFS(請求記録!$B$6:$B$3005,$A405,請求記録!$Z$6:$Z$3005,L$5)=0,"",SUMIFS(請求記録!$AE$6:$AE$3005,請求記録!$B$6:$B$3005,$A405,請求記録!$Z$6:$Z$3005,L$5))))</f>
        <v/>
      </c>
      <c r="M405" s="19">
        <f>IF($A405="","",IF(COUNTIFS(請求記録!$B$6:$B$3005,$A405,請求記録!$Z$6:$Z$3005,M$5,請求記録!$AF$6:$AF$3005,"保留中")&gt;0,"保留",IF(COUNTIFS(請求記録!$B$6:$B$3005,$A405,請求記録!$Z$6:$Z$3005,M$5)=0,"",SUMIFS(請求記録!$AE$6:$AE$3005,請求記録!$B$6:$B$3005,$A405,請求記録!$Z$6:$Z$3005,M$5))))</f>
        <v/>
      </c>
      <c r="N405" s="19">
        <f>IF($A405="","",IF(COUNTIFS(請求記録!$B$6:$B$3005,$A405,請求記録!$Z$6:$Z$3005,N$5,請求記録!$AF$6:$AF$3005,"保留中")&gt;0,"保留",IF(COUNTIFS(請求記録!$B$6:$B$3005,$A405,請求記録!$Z$6:$Z$3005,N$5)=0,"",SUMIFS(請求記録!$AE$6:$AE$3005,請求記録!$B$6:$B$3005,$A405,請求記録!$Z$6:$Z$3005,N$5))))</f>
        <v/>
      </c>
      <c r="O405" s="19">
        <f>IF($A405="","",IF(COUNTIFS(請求記録!$B$6:$B$3005,$A405,請求記録!$Z$6:$Z$3005,O$5,請求記録!$AF$6:$AF$3005,"保留中")&gt;0,"保留",IF(COUNTIFS(請求記録!$B$6:$B$3005,$A405,請求記録!$Z$6:$Z$3005,O$5)=0,"",SUMIFS(請求記録!$AE$6:$AE$3005,請求記録!$B$6:$B$3005,$A405,請求記録!$Z$6:$Z$3005,O$5))))</f>
        <v/>
      </c>
      <c r="P405" s="19">
        <f>IF($A405="","",IF(COUNTIFS(請求記録!$B$6:$B$3005,$A405,請求記録!$Z$6:$Z$3005,P$5,請求記録!$AF$6:$AF$3005,"保留中")&gt;0,"保留",IF(COUNTIFS(請求記録!$B$6:$B$3005,$A405,請求記録!$Z$6:$Z$3005,P$5)=0,"",SUMIFS(請求記録!$AE$6:$AE$3005,請求記録!$B$6:$B$3005,$A405,請求記録!$Z$6:$Z$3005,P$5))))</f>
        <v/>
      </c>
      <c r="Q405" s="19">
        <f>IF($A405="","",IF(COUNTIFS(請求記録!$B$6:$B$3005,$A405,請求記録!$Z$6:$Z$3005,Q$5,請求記録!$AF$6:$AF$3005,"保留中")&gt;0,"保留",IF(COUNTIFS(請求記録!$B$6:$B$3005,$A405,請求記録!$Z$6:$Z$3005,Q$5)=0,"",SUMIFS(請求記録!$AE$6:$AE$3005,請求記録!$B$6:$B$3005,$A405,請求記録!$Z$6:$Z$3005,Q$5))))</f>
        <v/>
      </c>
      <c r="R405" s="19">
        <f>IF($A405="","",IF(COUNTIFS(請求記録!$B$6:$B$3005,$A405,請求記録!$Z$6:$Z$3005,R$5,請求記録!$AF$6:$AF$3005,"保留中")&gt;0,"保留",IF(COUNTIFS(請求記録!$B$6:$B$3005,$A405,請求記録!$Z$6:$Z$3005,R$5)=0,"",SUMIFS(請求記録!$AE$6:$AE$3005,請求記録!$B$6:$B$3005,$A405,請求記録!$Z$6:$Z$3005,R$5))))</f>
        <v/>
      </c>
      <c r="S405" s="19">
        <f>IF($A405="","",IF(COUNTIFS(請求記録!$B$6:$B$3005,$A405,請求記録!$Z$6:$Z$3005,S$5,請求記録!$AF$6:$AF$3005,"保留中")&gt;0,"保留",IF(COUNTIFS(請求記録!$B$6:$B$3005,$A405,請求記録!$Z$6:$Z$3005,S$5)=0,"",SUMIFS(請求記録!$AE$6:$AE$3005,請求記録!$B$6:$B$3005,$A405,請求記録!$Z$6:$Z$3005,S$5))))</f>
        <v/>
      </c>
      <c r="T405" s="19">
        <f>IF($A405="","",IF(COUNTIFS(請求記録!$B$6:$B$3005,$A405,請求記録!$Z$6:$Z$3005,T$5,請求記録!$AF$6:$AF$3005,"保留中")&gt;0,"保留",IF(COUNTIFS(請求記録!$B$6:$B$3005,$A405,請求記録!$Z$6:$Z$3005,T$5)=0,"",SUMIFS(請求記録!$AE$6:$AE$3005,請求記録!$B$6:$B$3005,$A405,請求記録!$Z$6:$Z$3005,T$5))))</f>
        <v/>
      </c>
      <c r="U405" s="19">
        <f>IF($A405="","",IF(COUNTIFS(請求記録!$B$6:$B$3005,$A405,請求記録!$Z$6:$Z$3005,U$5,請求記録!$AF$6:$AF$3005,"保留中")&gt;0,"保留",IF(COUNTIFS(請求記録!$B$6:$B$3005,$A405,請求記録!$Z$6:$Z$3005,U$5)=0,"",SUMIFS(請求記録!$AE$6:$AE$3005,請求記録!$B$6:$B$3005,$A405,請求記録!$Z$6:$Z$3005,U$5))))</f>
        <v/>
      </c>
      <c r="V405" s="19">
        <f>IF($A405="","",IF(COUNTIFS(請求記録!$B$6:$B$3005,$A405,請求記録!$Z$6:$Z$3005,V$5,請求記録!$AF$6:$AF$3005,"保留中")&gt;0,"保留",IF(COUNTIFS(請求記録!$B$6:$B$3005,$A405,請求記録!$Z$6:$Z$3005,V$5)=0,"",SUMIFS(請求記録!$AE$6:$AE$3005,請求記録!$B$6:$B$3005,$A405,請求記録!$Z$6:$Z$3005,V$5))))</f>
        <v/>
      </c>
      <c r="W405" s="19">
        <f>IF($A405="","",IF(COUNTIFS(請求記録!$B$6:$B$3005,$A405,請求記録!$Z$6:$Z$3005,W$5,請求記録!$AF$6:$AF$3005,"保留中")&gt;0,"保留",IF(COUNTIFS(請求記録!$B$6:$B$3005,$A405,請求記録!$Z$6:$Z$3005,W$5)=0,"",SUMIFS(請求記録!$AE$6:$AE$3005,請求記録!$B$6:$B$3005,$A405,請求記録!$Z$6:$Z$3005,W$5))))</f>
        <v/>
      </c>
      <c r="X405" s="19">
        <f>IF($A405="","",IF(COUNTIFS(請求記録!$B$6:$B$3005,$A405,請求記録!$Z$6:$Z$3005,X$5,請求記録!$AF$6:$AF$3005,"保留中")&gt;0,"保留",IF(COUNTIFS(請求記録!$B$6:$B$3005,$A405,請求記録!$Z$6:$Z$3005,X$5)=0,"",SUMIFS(請求記録!$AE$6:$AE$3005,請求記録!$B$6:$B$3005,$A405,請求記録!$Z$6:$Z$3005,X$5))))</f>
        <v/>
      </c>
      <c r="Y405" s="19">
        <f>IF($A405="","",IF(COUNTIFS(請求記録!$B$6:$B$3005,$A405,請求記録!$Z$6:$Z$3005,Y$5,請求記録!$AF$6:$AF$3005,"保留中")&gt;0,"保留",IF(COUNTIFS(請求記録!$B$6:$B$3005,$A405,請求記録!$Z$6:$Z$3005,Y$5)=0,"",SUMIFS(請求記録!$AE$6:$AE$3005,請求記録!$B$6:$B$3005,$A405,請求記録!$Z$6:$Z$3005,Y$5))))</f>
        <v/>
      </c>
      <c r="Z405" s="19">
        <f>IF($A405="","",IF(COUNTIFS(請求記録!$B$6:$B$3005,$A405,請求記録!$Z$6:$Z$3005,Z$5,請求記録!$AF$6:$AF$3005,"保留中")&gt;0,"保留",IF(COUNTIFS(請求記録!$B$6:$B$3005,$A405,請求記録!$Z$6:$Z$3005,Z$5)=0,"",SUMIFS(請求記録!$AE$6:$AE$3005,請求記録!$B$6:$B$3005,$A405,請求記録!$Z$6:$Z$3005,Z$5))))</f>
        <v/>
      </c>
      <c r="AA405" s="19">
        <f>IF($A405="","",IF(COUNTIFS(請求記録!$B$6:$B$3005,$A405,請求記録!$Z$6:$Z$3005,AA$5,請求記録!$AF$6:$AF$3005,"保留中")&gt;0,"保留",IF(COUNTIFS(請求記録!$B$6:$B$3005,$A405,請求記録!$Z$6:$Z$3005,AA$5)=0,"",SUMIFS(請求記録!$AE$6:$AE$3005,請求記録!$B$6:$B$3005,$A405,請求記録!$Z$6:$Z$3005,AA$5))))</f>
        <v/>
      </c>
      <c r="AB405">
        <f>IF(職員マスタ!P405="保留中",職員マスタ!M405,"")</f>
        <v/>
      </c>
    </row>
  </sheetData>
  <conditionalFormatting sqref="D6:AA405">
    <cfRule type="expression" priority="1" dxfId="5">
      <formula>D6="保留"</formula>
    </cfRule>
  </conditionalFormatting>
  <conditionalFormatting sqref="AB6:AB405">
    <cfRule type="expression" priority="2" dxfId="6">
      <formula>LEN(AB6)&gt;0</formula>
    </cfRule>
  </conditionalFormatting>
  <pageMargins left="0.75" right="0.75" top="1" bottom="1" header="0.5" footer="0.5"/>
</worksheet>
</file>

<file path=xl/worksheets/sheet6.xml><?xml version="1.0" encoding="utf-8"?>
<worksheet xmlns="http://schemas.openxmlformats.org/spreadsheetml/2006/main">
  <sheetPr>
    <outlinePr summaryBelow="1" summaryRight="1"/>
    <pageSetUpPr/>
  </sheetPr>
  <dimension ref="A1:Q405"/>
  <sheetViews>
    <sheetView zoomScale="90" workbookViewId="0">
      <pane xSplit="1" ySplit="5" topLeftCell="B6" activePane="bottomRight" state="frozen"/>
      <selection pane="topRight"/>
      <selection pane="bottomLeft"/>
      <selection pane="bottomRight" activeCell="A1" sqref="A1"/>
    </sheetView>
  </sheetViews>
  <sheetFormatPr baseColWidth="8" defaultRowHeight="15"/>
  <cols>
    <col width="11" customWidth="1" min="1" max="1"/>
    <col width="14" customWidth="1" min="2" max="2"/>
    <col width="26" customWidth="1" min="3" max="3"/>
    <col width="14" customWidth="1" min="4" max="4"/>
    <col width="12" customWidth="1" min="5" max="5"/>
    <col width="12" customWidth="1" min="6" max="6"/>
    <col width="12" customWidth="1" min="7" max="7"/>
    <col width="12" customWidth="1" min="8" max="8"/>
    <col width="12" customWidth="1" min="9" max="9"/>
    <col width="9" customWidth="1" min="10" max="10"/>
    <col width="14" customWidth="1" min="11" max="11"/>
    <col width="34" customWidth="1" min="12" max="12"/>
    <col width="22" customWidth="1" min="13" max="13"/>
    <col width="12" customWidth="1" min="14" max="14"/>
    <col width="12" customWidth="1" min="15" max="15"/>
    <col width="9" customWidth="1" min="16" max="16"/>
    <col hidden="1" width="13" customWidth="1" min="17" max="17"/>
  </cols>
  <sheetData>
    <row r="1">
      <c r="A1" s="5" t="inlineStr">
        <is>
          <t>職員マスタ</t>
        </is>
      </c>
    </row>
    <row r="2">
      <c r="A2" s="6" t="inlineStr">
        <is>
          <t>職員ごとの時短期間・標準報酬月額。人給データを貼ると氏名・所属・子・期間が自動入力されます（直接入力して上書きも可）</t>
        </is>
      </c>
    </row>
    <row r="3">
      <c r="A3" s="23" t="inlineStr">
        <is>
          <t>※育短開始時が令和7年4月以前の場合は、令和7年4月時点の標準報酬月額を入力。同じ職員が2回目の時短を始めたときは、行を追加して別の期間を入力します。</t>
        </is>
      </c>
    </row>
    <row r="5" ht="34" customHeight="1">
      <c r="A5" s="8" t="inlineStr">
        <is>
          <t>職員番号</t>
        </is>
      </c>
      <c r="B5" s="8" t="inlineStr">
        <is>
          <t>氏名</t>
        </is>
      </c>
      <c r="C5" s="8" t="inlineStr">
        <is>
          <t>所属</t>
        </is>
      </c>
      <c r="D5" s="8" t="inlineStr">
        <is>
          <t>子の氏名</t>
        </is>
      </c>
      <c r="E5" s="8" t="inlineStr">
        <is>
          <t>子の生年月日</t>
        </is>
      </c>
      <c r="F5" s="8" t="inlineStr">
        <is>
          <t>子の2歳到達日の前々日</t>
        </is>
      </c>
      <c r="G5" s="8" t="inlineStr">
        <is>
          <t>時短開始日</t>
        </is>
      </c>
      <c r="H5" s="8" t="inlineStr">
        <is>
          <t>時短終了日</t>
        </is>
      </c>
      <c r="I5" s="8" t="inlineStr">
        <is>
          <t>勤務区分</t>
        </is>
      </c>
      <c r="J5" s="8" t="inlineStr">
        <is>
          <t>週勤務時間</t>
        </is>
      </c>
      <c r="K5" s="8" t="inlineStr">
        <is>
          <t>育短開始時の標準報酬月額</t>
        </is>
      </c>
      <c r="L5" s="8" t="inlineStr">
        <is>
          <t>職員メモ</t>
        </is>
      </c>
      <c r="M5" s="8" t="inlineStr">
        <is>
          <t>【職員単位の保留】保留理由</t>
        </is>
      </c>
      <c r="N5" s="8" t="inlineStr">
        <is>
          <t>保留開始日</t>
        </is>
      </c>
      <c r="O5" s="8" t="inlineStr">
        <is>
          <t>保留解消日</t>
        </is>
      </c>
      <c r="P5" s="8" t="inlineStr">
        <is>
          <t>保留状況</t>
        </is>
      </c>
      <c r="Q5" s="8" t="inlineStr">
        <is>
          <t>保留連番</t>
        </is>
      </c>
    </row>
    <row r="6">
      <c r="A6" s="12" t="n">
        <v>5901723</v>
      </c>
      <c r="B6">
        <f>IF($A6="","",IFERROR(IF(LOOKUP(2,1/(人給データ!$B$2:$B$700=$A6),人給データ!$C$2:$C$700)=0,"",LOOKUP(2,1/(人給データ!$B$2:$B$700=$A6),人給データ!$C$2:$C$700)),""))</f>
        <v/>
      </c>
      <c r="C6" t="inlineStr">
        <is>
          <t>環境局環境保全課</t>
        </is>
      </c>
      <c r="D6">
        <f>IF($A6="","",IFERROR(IF(LOOKUP(2,1/(人給データ!$B$2:$B$700=$A6),人給データ!$Y$2:$Y$700)=0,"",LOOKUP(2,1/(人給データ!$B$2:$B$700=$A6),人給データ!$Y$2:$Y$700)),""))</f>
        <v/>
      </c>
      <c r="E6" s="20" t="n">
        <v>45621</v>
      </c>
      <c r="F6" s="16">
        <f>IF(OR(E6="",NOT(ISNUMBER(E6))),"",DATE(YEAR(E6)+2,MONTH(E6),DAY(E6)-2))</f>
        <v/>
      </c>
      <c r="G6" s="20" t="n">
        <v>46143</v>
      </c>
      <c r="H6" s="20">
        <f>IF($A6="","",IFERROR(IF(LOOKUP(2,1/(人給データ!$B$2:$B$700=$A6),人給データ!$K$2:$K$700)=0,"",LOOKUP(2,1/(人給データ!$B$2:$B$700=$A6),人給データ!$K$2:$K$700)),""))</f>
        <v/>
      </c>
      <c r="I6" s="12" t="inlineStr">
        <is>
          <t>部分休業</t>
        </is>
      </c>
      <c r="J6">
        <f>IF($A6="","",IFERROR(IF(LOOKUP(2,1/(人給データ!$B$2:$B$700=$A6),人給データ!$N$2:$N$700)=0,"",LOOKUP(2,1/(人給データ!$B$2:$B$700=$A6),人給データ!$N$2:$N$700)),""))</f>
        <v/>
      </c>
      <c r="K6" s="13" t="n">
        <v>410000</v>
      </c>
      <c r="L6" s="12" t="n"/>
      <c r="M6" s="12" t="n"/>
      <c r="N6" s="11" t="n"/>
      <c r="O6" s="11" t="n"/>
      <c r="P6" s="14">
        <f>IF(AND(M6&lt;&gt;"",O6=""),"保留中","")</f>
        <v/>
      </c>
      <c r="Q6" s="14">
        <f>IF(P6="保留中",COUNTIF(P$6:P6,"保留中"),"")</f>
        <v/>
      </c>
    </row>
    <row r="7">
      <c r="A7" s="12" t="n">
        <v>6202204</v>
      </c>
      <c r="B7">
        <f>IF($A7="","",IFERROR(IF(LOOKUP(2,1/(人給データ!$B$2:$B$700=$A7),人給データ!$C$2:$C$700)=0,"",LOOKUP(2,1/(人給データ!$B$2:$B$700=$A7),人給データ!$C$2:$C$700)),""))</f>
        <v/>
      </c>
      <c r="C7" t="inlineStr">
        <is>
          <t>山本保育園</t>
        </is>
      </c>
      <c r="D7">
        <f>IF($A7="","",IFERROR(IF(LOOKUP(2,1/(人給データ!$B$2:$B$700=$A7),人給データ!$Y$2:$Y$700)=0,"",LOOKUP(2,1/(人給データ!$B$2:$B$700=$A7),人給データ!$Y$2:$Y$700)),""))</f>
        <v/>
      </c>
      <c r="E7" s="20" t="n">
        <v>45586</v>
      </c>
      <c r="F7" s="16">
        <f>IF(OR(E7="",NOT(ISNUMBER(E7))),"",DATE(YEAR(E7)+2,MONTH(E7),DAY(E7)-2))</f>
        <v/>
      </c>
      <c r="G7" s="20" t="n">
        <v>46113</v>
      </c>
      <c r="H7" s="20" t="n">
        <v>46477</v>
      </c>
      <c r="I7" s="12" t="n"/>
      <c r="J7" t="n">
        <v>23.15</v>
      </c>
      <c r="K7" s="13" t="n">
        <v>300000</v>
      </c>
      <c r="L7" s="12" t="n"/>
      <c r="M7" s="12" t="n"/>
      <c r="N7" s="11" t="n"/>
      <c r="O7" s="11" t="n"/>
      <c r="P7" s="14">
        <f>IF(AND(M7&lt;&gt;"",O7=""),"保留中","")</f>
        <v/>
      </c>
      <c r="Q7" s="14">
        <f>IF(P7="保留中",COUNTIF(P$6:P7,"保留中"),"")</f>
        <v/>
      </c>
    </row>
    <row r="8">
      <c r="A8" s="12" t="n">
        <v>6300941</v>
      </c>
      <c r="B8">
        <f>IF($A8="","",IFERROR(IF(LOOKUP(2,1/(人給データ!$B$2:$B$700=$A8),人給データ!$C$2:$C$700)=0,"",LOOKUP(2,1/(人給データ!$B$2:$B$700=$A8),人給データ!$C$2:$C$700)),""))</f>
        <v/>
      </c>
      <c r="C8" t="inlineStr">
        <is>
          <t>健康福祉局衛生研究所生活科学部</t>
        </is>
      </c>
      <c r="D8">
        <f>IF($A8="","",IFERROR(IF(LOOKUP(2,1/(人給データ!$B$2:$B$700=$A8),人給データ!$Y$2:$Y$700)=0,"",LOOKUP(2,1/(人給データ!$B$2:$B$700=$A8),人給データ!$Y$2:$Y$700)),""))</f>
        <v/>
      </c>
      <c r="E8" s="20" t="n">
        <v>45742</v>
      </c>
      <c r="F8" s="16">
        <f>IF(OR(E8="",NOT(ISNUMBER(E8))),"",DATE(YEAR(E8)+2,MONTH(E8),DAY(E8)-2))</f>
        <v/>
      </c>
      <c r="G8" s="20" t="n">
        <v>46172</v>
      </c>
      <c r="H8" s="20" t="n">
        <v>46477</v>
      </c>
      <c r="I8" s="12" t="inlineStr">
        <is>
          <t>部分休業</t>
        </is>
      </c>
      <c r="J8">
        <f>IF($A8="","",IFERROR(IF(LOOKUP(2,1/(人給データ!$B$2:$B$700=$A8),人給データ!$N$2:$N$700)=0,"",LOOKUP(2,1/(人給データ!$B$2:$B$700=$A8),人給データ!$N$2:$N$700)),""))</f>
        <v/>
      </c>
      <c r="K8" s="13" t="n">
        <v>340000</v>
      </c>
      <c r="L8" s="12" t="n"/>
      <c r="M8" s="12" t="n"/>
      <c r="N8" s="11" t="n"/>
      <c r="O8" s="11" t="n"/>
      <c r="P8" s="14">
        <f>IF(AND(M8&lt;&gt;"",O8=""),"保留中","")</f>
        <v/>
      </c>
      <c r="Q8" s="14">
        <f>IF(P8="保留中",COUNTIF(P$6:P8,"保留中"),"")</f>
        <v/>
      </c>
    </row>
    <row r="9">
      <c r="A9" s="12" t="n">
        <v>6400857</v>
      </c>
      <c r="B9">
        <f>IF($A9="","",IFERROR(IF(LOOKUP(2,1/(人給データ!$B$2:$B$700=$A9),人給データ!$C$2:$C$700)=0,"",LOOKUP(2,1/(人給データ!$B$2:$B$700=$A9),人給データ!$C$2:$C$700)),""))</f>
        <v/>
      </c>
      <c r="C9" t="inlineStr">
        <is>
          <t>中央市税事務所</t>
        </is>
      </c>
      <c r="D9">
        <f>IF($A9="","",IFERROR(IF(LOOKUP(2,1/(人給データ!$B$2:$B$700=$A9),人給データ!$Y$2:$Y$700)=0,"",LOOKUP(2,1/(人給データ!$B$2:$B$700=$A9),人給データ!$Y$2:$Y$700)),""))</f>
        <v/>
      </c>
      <c r="E9" s="20" t="n">
        <v>45805</v>
      </c>
      <c r="F9" s="16">
        <f>IF(OR(E9="",NOT(ISNUMBER(E9))),"",DATE(YEAR(E9)+2,MONTH(E9),DAY(E9)-2))</f>
        <v/>
      </c>
      <c r="G9" s="20" t="n">
        <v>46113</v>
      </c>
      <c r="H9" s="20" t="n">
        <v>46295</v>
      </c>
      <c r="I9" s="12" t="n"/>
      <c r="J9" t="n">
        <v>23.75</v>
      </c>
      <c r="K9" s="13" t="n">
        <v>360000</v>
      </c>
      <c r="L9" s="12" t="n"/>
      <c r="M9" s="12" t="n"/>
      <c r="N9" s="11" t="n"/>
      <c r="O9" s="11" t="n"/>
      <c r="P9" s="14">
        <f>IF(AND(M9&lt;&gt;"",O9=""),"保留中","")</f>
        <v/>
      </c>
      <c r="Q9" s="14">
        <f>IF(P9="保留中",COUNTIF(P$6:P9,"保留中"),"")</f>
        <v/>
      </c>
    </row>
    <row r="10">
      <c r="A10" s="12" t="n">
        <v>6403315</v>
      </c>
      <c r="B10">
        <f>IF($A10="","",IFERROR(IF(LOOKUP(2,1/(人給データ!$B$2:$B$700=$A10),人給データ!$C$2:$C$700)=0,"",LOOKUP(2,1/(人給データ!$B$2:$B$700=$A10),人給データ!$C$2:$C$700)),""))</f>
        <v/>
      </c>
      <c r="C10" t="inlineStr">
        <is>
          <t>三田保育園</t>
        </is>
      </c>
      <c r="D10">
        <f>IF($A10="","",IFERROR(IF(LOOKUP(2,1/(人給データ!$B$2:$B$700=$A10),人給データ!$Y$2:$Y$700)=0,"",LOOKUP(2,1/(人給データ!$B$2:$B$700=$A10),人給データ!$Y$2:$Y$700)),""))</f>
        <v/>
      </c>
      <c r="E10" s="20" t="n">
        <v>45577</v>
      </c>
      <c r="F10" s="16">
        <f>IF(OR(E10="",NOT(ISNUMBER(E10))),"",DATE(YEAR(E10)+2,MONTH(E10),DAY(E10)-2))</f>
        <v/>
      </c>
      <c r="G10" s="20" t="n">
        <v>46143</v>
      </c>
      <c r="H10" s="20" t="n">
        <v>46477</v>
      </c>
      <c r="I10" s="12" t="n"/>
      <c r="J10" t="n">
        <v>23.45</v>
      </c>
      <c r="K10" s="13" t="n">
        <v>340000</v>
      </c>
      <c r="L10" s="12" t="n"/>
      <c r="M10" s="12" t="n"/>
      <c r="N10" s="11" t="n"/>
      <c r="O10" s="11" t="n"/>
      <c r="P10" s="14">
        <f>IF(AND(M10&lt;&gt;"",O10=""),"保留中","")</f>
        <v/>
      </c>
      <c r="Q10" s="14">
        <f>IF(P10="保留中",COUNTIF(P$6:P10,"保留中"),"")</f>
        <v/>
      </c>
    </row>
    <row r="11">
      <c r="A11" s="12" t="n">
        <v>6620462</v>
      </c>
      <c r="B11">
        <f>IF($A11="","",IFERROR(IF(LOOKUP(2,1/(人給データ!$B$2:$B$700=$A11),人給データ!$C$2:$C$700)=0,"",LOOKUP(2,1/(人給データ!$B$2:$B$700=$A11),人給データ!$C$2:$C$700)),""))</f>
        <v/>
      </c>
      <c r="C11" t="inlineStr">
        <is>
          <t>広島市民病院</t>
        </is>
      </c>
      <c r="D11">
        <f>IF($A11="","",IFERROR(IF(LOOKUP(2,1/(人給データ!$B$2:$B$700=$A11),人給データ!$Y$2:$Y$700)=0,"",LOOKUP(2,1/(人給データ!$B$2:$B$700=$A11),人給データ!$Y$2:$Y$700)),""))</f>
        <v/>
      </c>
      <c r="E11" s="20" t="n">
        <v>45650</v>
      </c>
      <c r="F11" s="16">
        <f>IF(OR(E11="",NOT(ISNUMBER(E11))),"",DATE(YEAR(E11)+2,MONTH(E11),DAY(E11)-2))</f>
        <v/>
      </c>
      <c r="G11" s="20" t="n">
        <v>46023</v>
      </c>
      <c r="H11" s="20" t="n">
        <v>46387</v>
      </c>
      <c r="I11" s="12" t="n"/>
      <c r="J11" t="n">
        <v>31</v>
      </c>
      <c r="K11" s="13" t="n">
        <v>300000</v>
      </c>
      <c r="L11" s="12" t="n"/>
      <c r="M11" s="12" t="n"/>
      <c r="N11" s="11" t="n"/>
      <c r="O11" s="11" t="n"/>
      <c r="P11" s="14">
        <f>IF(AND(M11&lt;&gt;"",O11=""),"保留中","")</f>
        <v/>
      </c>
      <c r="Q11" s="14">
        <f>IF(P11="保留中",COUNTIF(P$6:P11,"保留中"),"")</f>
        <v/>
      </c>
    </row>
    <row r="12">
      <c r="A12" s="12" t="n">
        <v>6802253</v>
      </c>
      <c r="B12">
        <f>IF($A12="","",IFERROR(IF(LOOKUP(2,1/(人給データ!$B$2:$B$700=$A12),人給データ!$C$2:$C$700)=0,"",LOOKUP(2,1/(人給データ!$B$2:$B$700=$A12),人給データ!$C$2:$C$700)),""))</f>
        <v/>
      </c>
      <c r="C12" t="inlineStr">
        <is>
          <t>舟入保育園</t>
        </is>
      </c>
      <c r="D12">
        <f>IF($A12="","",IFERROR(IF(LOOKUP(2,1/(人給データ!$B$2:$B$700=$A12),人給データ!$Y$2:$Y$700)=0,"",LOOKUP(2,1/(人給データ!$B$2:$B$700=$A12),人給データ!$Y$2:$Y$700)),""))</f>
        <v/>
      </c>
      <c r="E12" s="20" t="n">
        <v>45737</v>
      </c>
      <c r="F12" s="16">
        <f>IF(OR(E12="",NOT(ISNUMBER(E12))),"",DATE(YEAR(E12)+2,MONTH(E12),DAY(E12)-2))</f>
        <v/>
      </c>
      <c r="G12" s="20" t="n">
        <v>46143</v>
      </c>
      <c r="H12" s="20" t="n">
        <v>46477</v>
      </c>
      <c r="I12" s="12" t="n"/>
      <c r="J12" t="n">
        <v>23.45</v>
      </c>
      <c r="K12" s="13" t="n">
        <v>280000</v>
      </c>
      <c r="L12" s="12" t="n"/>
      <c r="M12" s="12" t="n"/>
      <c r="N12" s="11" t="n"/>
      <c r="O12" s="11" t="n"/>
      <c r="P12" s="14">
        <f>IF(AND(M12&lt;&gt;"",O12=""),"保留中","")</f>
        <v/>
      </c>
      <c r="Q12" s="14">
        <f>IF(P12="保留中",COUNTIF(P$6:P12,"保留中"),"")</f>
        <v/>
      </c>
    </row>
    <row r="13">
      <c r="A13" s="12" t="n">
        <v>7202969</v>
      </c>
      <c r="B13">
        <f>IF($A13="","",IFERROR(IF(LOOKUP(2,1/(人給データ!$B$2:$B$700=$A13),人給データ!$C$2:$C$700)=0,"",LOOKUP(2,1/(人給データ!$B$2:$B$700=$A13),人給データ!$C$2:$C$700)),""))</f>
        <v/>
      </c>
      <c r="C13" t="inlineStr">
        <is>
          <t>児童相談所</t>
        </is>
      </c>
      <c r="D13">
        <f>IF($A13="","",IFERROR(IF(LOOKUP(2,1/(人給データ!$B$2:$B$700=$A13),人給データ!$Y$2:$Y$700)=0,"",LOOKUP(2,1/(人給データ!$B$2:$B$700=$A13),人給データ!$Y$2:$Y$700)),""))</f>
        <v/>
      </c>
      <c r="E13" s="20" t="n">
        <v>45934</v>
      </c>
      <c r="F13" s="16">
        <f>IF(OR(E13="",NOT(ISNUMBER(E13))),"",DATE(YEAR(E13)+2,MONTH(E13),DAY(E13)-2))</f>
        <v/>
      </c>
      <c r="G13" s="20" t="n">
        <v>46113</v>
      </c>
      <c r="H13" s="20" t="n">
        <v>46296</v>
      </c>
      <c r="I13" s="12" t="n"/>
      <c r="J13" t="n">
        <v>23.75</v>
      </c>
      <c r="K13" s="13" t="n">
        <v>360000</v>
      </c>
      <c r="L13" s="12" t="n"/>
      <c r="M13" s="12" t="n"/>
      <c r="N13" s="11" t="n"/>
      <c r="O13" s="11" t="n"/>
      <c r="P13" s="14">
        <f>IF(AND(M13&lt;&gt;"",O13=""),"保留中","")</f>
        <v/>
      </c>
      <c r="Q13" s="14">
        <f>IF(P13="保留中",COUNTIF(P$6:P13,"保留中"),"")</f>
        <v/>
      </c>
    </row>
    <row r="14">
      <c r="A14" s="12" t="n">
        <v>6704266</v>
      </c>
      <c r="B14">
        <f>IF($A14="","",IFERROR(IF(LOOKUP(2,1/(人給データ!$B$2:$B$700=$A14),人給データ!$C$2:$C$700)=0,"",LOOKUP(2,1/(人給データ!$B$2:$B$700=$A14),人給データ!$C$2:$C$700)),""))</f>
        <v/>
      </c>
      <c r="C14" t="inlineStr">
        <is>
          <t>健康福祉局地域共生社会推進課</t>
        </is>
      </c>
      <c r="D14">
        <f>IF($A14="","",IFERROR(IF(LOOKUP(2,1/(人給データ!$B$2:$B$700=$A14),人給データ!$Y$2:$Y$700)=0,"",LOOKUP(2,1/(人給データ!$B$2:$B$700=$A14),人給データ!$Y$2:$Y$700)),""))</f>
        <v/>
      </c>
      <c r="E14" s="20" t="n">
        <v>45460</v>
      </c>
      <c r="F14" s="16">
        <f>IF(OR(E14="",NOT(ISNUMBER(E14))),"",DATE(YEAR(E14)+2,MONTH(E14),DAY(E14)-2))</f>
        <v/>
      </c>
      <c r="G14" s="20" t="n">
        <v>46143</v>
      </c>
      <c r="H14" s="20" t="n">
        <v>46507</v>
      </c>
      <c r="I14" s="12" t="n"/>
      <c r="J14" t="n">
        <v>20</v>
      </c>
      <c r="K14" s="13" t="n">
        <v>300000</v>
      </c>
      <c r="L14" s="12" t="inlineStr">
        <is>
          <t>R8.6月分まで支給可</t>
        </is>
      </c>
      <c r="M14" s="12" t="n"/>
      <c r="N14" s="11" t="n"/>
      <c r="O14" s="11" t="n"/>
      <c r="P14" s="14">
        <f>IF(AND(M14&lt;&gt;"",O14=""),"保留中","")</f>
        <v/>
      </c>
      <c r="Q14" s="14">
        <f>IF(P14="保留中",COUNTIF(P$6:P14,"保留中"),"")</f>
        <v/>
      </c>
    </row>
    <row r="15">
      <c r="A15" s="12" t="n">
        <v>6903256</v>
      </c>
      <c r="B15">
        <f>IF($A15="","",IFERROR(IF(LOOKUP(2,1/(人給データ!$B$2:$B$700=$A15),人給データ!$C$2:$C$700)=0,"",LOOKUP(2,1/(人給データ!$B$2:$B$700=$A15),人給データ!$C$2:$C$700)),""))</f>
        <v/>
      </c>
      <c r="C15" t="inlineStr">
        <is>
          <t>皆実区役所市民部地域起こし推進課</t>
        </is>
      </c>
      <c r="D15">
        <f>IF($A15="","",IFERROR(IF(LOOKUP(2,1/(人給データ!$B$2:$B$700=$A15),人給データ!$Y$2:$Y$700)=0,"",LOOKUP(2,1/(人給データ!$B$2:$B$700=$A15),人給データ!$Y$2:$Y$700)),""))</f>
        <v/>
      </c>
      <c r="E15" s="20" t="n">
        <v>45685</v>
      </c>
      <c r="F15" s="16">
        <f>IF(OR(E15="",NOT(ISNUMBER(E15))),"",DATE(YEAR(E15)+2,MONTH(E15),DAY(E15)-2))</f>
        <v/>
      </c>
      <c r="G15" s="20" t="n">
        <v>46171</v>
      </c>
      <c r="H15" s="20" t="n">
        <v>46535</v>
      </c>
      <c r="I15" s="12" t="n"/>
      <c r="J15" t="n">
        <v>20</v>
      </c>
      <c r="K15" s="13" t="n">
        <v>360000</v>
      </c>
      <c r="L15" s="12" t="n"/>
      <c r="M15" s="12" t="n"/>
      <c r="N15" s="11" t="n"/>
      <c r="O15" s="11" t="n"/>
      <c r="P15" s="14">
        <f>IF(AND(M15&lt;&gt;"",O15=""),"保留中","")</f>
        <v/>
      </c>
      <c r="Q15" s="14">
        <f>IF(P15="保留中",COUNTIF(P$6:P15,"保留中"),"")</f>
        <v/>
      </c>
    </row>
    <row r="16">
      <c r="A16" s="12" t="n">
        <v>5700828</v>
      </c>
      <c r="B16">
        <f>IF($A16="","",IFERROR(IF(LOOKUP(2,1/(人給データ!$B$2:$B$700=$A16),人給データ!$C$2:$C$700)=0,"",LOOKUP(2,1/(人給データ!$B$2:$B$700=$A16),人給データ!$C$2:$C$700)),""))</f>
        <v/>
      </c>
      <c r="C16" t="inlineStr">
        <is>
          <t>落合保育園</t>
        </is>
      </c>
      <c r="D16">
        <f>IF($A16="","",IFERROR(IF(LOOKUP(2,1/(人給データ!$B$2:$B$700=$A16),人給データ!$Y$2:$Y$700)=0,"",LOOKUP(2,1/(人給データ!$B$2:$B$700=$A16),人給データ!$Y$2:$Y$700)),""))</f>
        <v/>
      </c>
      <c r="E16" s="20" t="n">
        <v>45151</v>
      </c>
      <c r="F16" s="16">
        <f>IF(OR(E16="",NOT(ISNUMBER(E16))),"",DATE(YEAR(E16)+2,MONTH(E16),DAY(E16)-2))</f>
        <v/>
      </c>
      <c r="G16" s="20" t="n">
        <v>45748</v>
      </c>
      <c r="H16" s="20" t="n">
        <v>45842</v>
      </c>
      <c r="I16" s="12" t="n"/>
      <c r="J16" t="n">
        <v>23.75</v>
      </c>
      <c r="K16" s="13" t="n">
        <v>280000</v>
      </c>
      <c r="L16" s="12" t="n"/>
      <c r="M16" s="12" t="n"/>
      <c r="N16" s="11" t="n"/>
      <c r="O16" s="11" t="n"/>
      <c r="P16" s="14">
        <f>IF(AND(M16&lt;&gt;"",O16=""),"保留中","")</f>
        <v/>
      </c>
      <c r="Q16" s="14">
        <f>IF(P16="保留中",COUNTIF(P$6:P16,"保留中"),"")</f>
        <v/>
      </c>
    </row>
    <row r="17">
      <c r="A17" s="12" t="n">
        <v>5802509</v>
      </c>
      <c r="B17">
        <f>IF($A17="","",IFERROR(IF(LOOKUP(2,1/(人給データ!$B$2:$B$700=$A17),人給データ!$C$2:$C$700)=0,"",LOOKUP(2,1/(人給データ!$B$2:$B$700=$A17),人給データ!$C$2:$C$700)),""))</f>
        <v/>
      </c>
      <c r="C17" t="inlineStr">
        <is>
          <t>大河保育園</t>
        </is>
      </c>
      <c r="D17">
        <f>IF($A17="","",IFERROR(IF(LOOKUP(2,1/(人給データ!$B$2:$B$700=$A17),人給データ!$Y$2:$Y$700)=0,"",LOOKUP(2,1/(人給データ!$B$2:$B$700=$A17),人給データ!$Y$2:$Y$700)),""))</f>
        <v/>
      </c>
      <c r="E17" s="20" t="n">
        <v>45079</v>
      </c>
      <c r="F17" s="16">
        <f>IF(OR(E17="",NOT(ISNUMBER(E17))),"",DATE(YEAR(E17)+2,MONTH(E17),DAY(E17)-2))</f>
        <v/>
      </c>
      <c r="G17" s="20" t="n">
        <v>45748</v>
      </c>
      <c r="H17" s="20" t="n">
        <v>46112</v>
      </c>
      <c r="I17" s="12" t="n"/>
      <c r="J17" t="n">
        <v>19.5</v>
      </c>
      <c r="K17" s="13" t="n">
        <v>320000</v>
      </c>
      <c r="L17" s="12" t="n"/>
      <c r="M17" s="12" t="n"/>
      <c r="N17" s="11" t="n"/>
      <c r="O17" s="11" t="n"/>
      <c r="P17" s="14">
        <f>IF(AND(M17&lt;&gt;"",O17=""),"保留中","")</f>
        <v/>
      </c>
      <c r="Q17" s="14">
        <f>IF(P17="保留中",COUNTIF(P$6:P17,"保留中"),"")</f>
        <v/>
      </c>
    </row>
    <row r="18">
      <c r="A18" s="12" t="n">
        <v>5802913</v>
      </c>
      <c r="B18">
        <f>IF($A18="","",IFERROR(IF(LOOKUP(2,1/(人給データ!$B$2:$B$700=$A18),人給データ!$C$2:$C$700)=0,"",LOOKUP(2,1/(人給データ!$B$2:$B$700=$A18),人給データ!$C$2:$C$700)),""))</f>
        <v/>
      </c>
      <c r="C18" t="inlineStr">
        <is>
          <t>鈴峰園保育園</t>
        </is>
      </c>
      <c r="D18">
        <f>IF($A18="","",IFERROR(IF(LOOKUP(2,1/(人給データ!$B$2:$B$700=$A18),人給データ!$Y$2:$Y$700)=0,"",LOOKUP(2,1/(人給データ!$B$2:$B$700=$A18),人給データ!$Y$2:$Y$700)),""))</f>
        <v/>
      </c>
      <c r="E18" s="20" t="n">
        <v>45247</v>
      </c>
      <c r="F18" s="16">
        <f>IF(OR(E18="",NOT(ISNUMBER(E18))),"",DATE(YEAR(E18)+2,MONTH(E18),DAY(E18)-2))</f>
        <v/>
      </c>
      <c r="G18" s="20" t="n">
        <v>45778</v>
      </c>
      <c r="H18" s="20" t="n">
        <v>46112</v>
      </c>
      <c r="I18" s="12" t="n"/>
      <c r="J18" t="n">
        <v>20</v>
      </c>
      <c r="K18" s="13" t="n">
        <v>320000</v>
      </c>
      <c r="L18" s="12" t="n"/>
      <c r="M18" s="12" t="n"/>
      <c r="N18" s="11" t="n"/>
      <c r="O18" s="11" t="n"/>
      <c r="P18" s="14">
        <f>IF(AND(M18&lt;&gt;"",O18=""),"保留中","")</f>
        <v/>
      </c>
      <c r="Q18" s="14">
        <f>IF(P18="保留中",COUNTIF(P$6:P18,"保留中"),"")</f>
        <v/>
      </c>
    </row>
    <row r="19">
      <c r="A19" s="12" t="n">
        <v>6002646</v>
      </c>
      <c r="B19">
        <f>IF($A19="","",IFERROR(IF(LOOKUP(2,1/(人給データ!$B$2:$B$700=$A19),人給データ!$C$2:$C$700)=0,"",LOOKUP(2,1/(人給データ!$B$2:$B$700=$A19),人給データ!$C$2:$C$700)),""))</f>
        <v/>
      </c>
      <c r="C19" t="inlineStr">
        <is>
          <t>亀山南保育園</t>
        </is>
      </c>
      <c r="D19">
        <f>IF($A19="","",IFERROR(IF(LOOKUP(2,1/(人給データ!$B$2:$B$700=$A19),人給データ!$Y$2:$Y$700)=0,"",LOOKUP(2,1/(人給データ!$B$2:$B$700=$A19),人給データ!$Y$2:$Y$700)),""))</f>
        <v/>
      </c>
      <c r="E19" s="20" t="n">
        <v>45337</v>
      </c>
      <c r="F19" s="16">
        <f>IF(OR(E19="",NOT(ISNUMBER(E19))),"",DATE(YEAR(E19)+2,MONTH(E19),DAY(E19)-2))</f>
        <v/>
      </c>
      <c r="G19" s="20" t="n">
        <v>45777</v>
      </c>
      <c r="H19" s="20" t="n">
        <v>46112</v>
      </c>
      <c r="I19" s="12" t="n"/>
      <c r="J19" t="n">
        <v>23.75</v>
      </c>
      <c r="K19" s="13" t="n">
        <v>320000</v>
      </c>
      <c r="L19" s="12" t="n"/>
      <c r="M19" s="12" t="n"/>
      <c r="N19" s="11" t="n"/>
      <c r="O19" s="11" t="n"/>
      <c r="P19" s="14">
        <f>IF(AND(M19&lt;&gt;"",O19=""),"保留中","")</f>
        <v/>
      </c>
      <c r="Q19" s="14">
        <f>IF(P19="保留中",COUNTIF(P$6:P19,"保留中"),"")</f>
        <v/>
      </c>
    </row>
    <row r="20">
      <c r="A20" s="12" t="n">
        <v>6002968</v>
      </c>
      <c r="B20">
        <f>IF($A20="","",IFERROR(IF(LOOKUP(2,1/(人給データ!$B$2:$B$700=$A20),人給データ!$C$2:$C$700)=0,"",LOOKUP(2,1/(人給データ!$B$2:$B$700=$A20),人給データ!$C$2:$C$700)),""))</f>
        <v/>
      </c>
      <c r="C20" t="inlineStr">
        <is>
          <t>祇園保育園</t>
        </is>
      </c>
      <c r="D20">
        <f>IF($A20="","",IFERROR(IF(LOOKUP(2,1/(人給データ!$B$2:$B$700=$A20),人給データ!$Y$2:$Y$700)=0,"",LOOKUP(2,1/(人給データ!$B$2:$B$700=$A20),人給データ!$Y$2:$Y$700)),""))</f>
        <v/>
      </c>
      <c r="E20" s="20" t="n">
        <v>45077</v>
      </c>
      <c r="F20" s="16">
        <f>IF(OR(E20="",NOT(ISNUMBER(E20))),"",DATE(YEAR(E20)+2,MONTH(E20),DAY(E20)-2))</f>
        <v/>
      </c>
      <c r="G20" s="20" t="n">
        <v>45761</v>
      </c>
      <c r="H20" s="20" t="n">
        <v>46112</v>
      </c>
      <c r="I20" s="12" t="n"/>
      <c r="J20" t="n">
        <v>23.75</v>
      </c>
      <c r="K20" s="13" t="n">
        <v>340000</v>
      </c>
      <c r="L20" s="12" t="n"/>
      <c r="M20" s="12" t="n"/>
      <c r="N20" s="11" t="n"/>
      <c r="O20" s="11" t="n"/>
      <c r="P20" s="14">
        <f>IF(AND(M20&lt;&gt;"",O20=""),"保留中","")</f>
        <v/>
      </c>
      <c r="Q20" s="14">
        <f>IF(P20="保留中",COUNTIF(P$6:P20,"保留中"),"")</f>
        <v/>
      </c>
    </row>
    <row r="21">
      <c r="A21" s="12" t="n">
        <v>6002976</v>
      </c>
      <c r="B21">
        <f>IF($A21="","",IFERROR(IF(LOOKUP(2,1/(人給データ!$B$2:$B$700=$A21),人給データ!$C$2:$C$700)=0,"",LOOKUP(2,1/(人給データ!$B$2:$B$700=$A21),人給データ!$C$2:$C$700)),""))</f>
        <v/>
      </c>
      <c r="C21" t="inlineStr">
        <is>
          <t>坪井保育園</t>
        </is>
      </c>
      <c r="D21">
        <f>IF($A21="","",IFERROR(IF(LOOKUP(2,1/(人給データ!$B$2:$B$700=$A21),人給データ!$Y$2:$Y$700)=0,"",LOOKUP(2,1/(人給データ!$B$2:$B$700=$A21),人給データ!$Y$2:$Y$700)),""))</f>
        <v/>
      </c>
      <c r="E21" s="20" t="n">
        <v>45337</v>
      </c>
      <c r="F21" s="16">
        <f>IF(OR(E21="",NOT(ISNUMBER(E21))),"",DATE(YEAR(E21)+2,MONTH(E21),DAY(E21)-2))</f>
        <v/>
      </c>
      <c r="G21" s="20" t="n">
        <v>45778</v>
      </c>
      <c r="H21" s="20" t="n">
        <v>46112</v>
      </c>
      <c r="I21" s="12" t="n"/>
      <c r="J21" t="n">
        <v>23.75</v>
      </c>
      <c r="K21" s="13" t="n">
        <v>300000</v>
      </c>
      <c r="L21" s="12" t="n"/>
      <c r="M21" s="12" t="n"/>
      <c r="N21" s="11" t="n"/>
      <c r="O21" s="11" t="n"/>
      <c r="P21" s="14">
        <f>IF(AND(M21&lt;&gt;"",O21=""),"保留中","")</f>
        <v/>
      </c>
      <c r="Q21" s="14">
        <f>IF(P21="保留中",COUNTIF(P$6:P21,"保留中"),"")</f>
        <v/>
      </c>
    </row>
    <row r="22">
      <c r="A22" s="12" t="n">
        <v>6003057</v>
      </c>
      <c r="B22">
        <f>IF($A22="","",IFERROR(IF(LOOKUP(2,1/(人給データ!$B$2:$B$700=$A22),人給データ!$C$2:$C$700)=0,"",LOOKUP(2,1/(人給データ!$B$2:$B$700=$A22),人給データ!$C$2:$C$700)),""))</f>
        <v/>
      </c>
      <c r="C22" t="inlineStr">
        <is>
          <t>仁保保育園</t>
        </is>
      </c>
      <c r="D22">
        <f>IF($A22="","",IFERROR(IF(LOOKUP(2,1/(人給データ!$B$2:$B$700=$A22),人給データ!$Y$2:$Y$700)=0,"",LOOKUP(2,1/(人給データ!$B$2:$B$700=$A22),人給データ!$Y$2:$Y$700)),""))</f>
        <v/>
      </c>
      <c r="E22" s="20" t="n">
        <v>45394</v>
      </c>
      <c r="F22" s="16">
        <f>IF(OR(E22="",NOT(ISNUMBER(E22))),"",DATE(YEAR(E22)+2,MONTH(E22),DAY(E22)-2))</f>
        <v/>
      </c>
      <c r="G22" s="20" t="n">
        <v>45762</v>
      </c>
      <c r="H22" s="20" t="n">
        <v>46112</v>
      </c>
      <c r="I22" s="12" t="n"/>
      <c r="J22" t="n">
        <v>23.75</v>
      </c>
      <c r="K22" s="13" t="n">
        <v>360000</v>
      </c>
      <c r="L22" s="12" t="inlineStr">
        <is>
          <t>第２子</t>
        </is>
      </c>
      <c r="M22" s="12" t="n"/>
      <c r="N22" s="11" t="n"/>
      <c r="O22" s="11" t="n"/>
      <c r="P22" s="14">
        <f>IF(AND(M22&lt;&gt;"",O22=""),"保留中","")</f>
        <v/>
      </c>
      <c r="Q22" s="14">
        <f>IF(P22="保留中",COUNTIF(P$6:P22,"保留中"),"")</f>
        <v/>
      </c>
    </row>
    <row r="23">
      <c r="A23" s="12" t="n">
        <v>6100309</v>
      </c>
      <c r="B23">
        <f>IF($A23="","",IFERROR(IF(LOOKUP(2,1/(人給データ!$B$2:$B$700=$A23),人給データ!$C$2:$C$700)=0,"",LOOKUP(2,1/(人給データ!$B$2:$B$700=$A23),人給データ!$C$2:$C$700)),""))</f>
        <v/>
      </c>
      <c r="C23" t="inlineStr">
        <is>
          <t>広島みらい創生高校</t>
        </is>
      </c>
      <c r="D23">
        <f>IF($A23="","",IFERROR(IF(LOOKUP(2,1/(人給データ!$B$2:$B$700=$A23),人給データ!$Y$2:$Y$700)=0,"",LOOKUP(2,1/(人給データ!$B$2:$B$700=$A23),人給データ!$Y$2:$Y$700)),""))</f>
        <v/>
      </c>
      <c r="E23" s="20" t="n">
        <v>45607</v>
      </c>
      <c r="F23" s="16">
        <f>IF(OR(E23="",NOT(ISNUMBER(E23))),"",DATE(YEAR(E23)+2,MONTH(E23),DAY(E23)-2))</f>
        <v/>
      </c>
      <c r="G23" s="20">
        <f>IF($A23="","",IFERROR(IF(LOOKUP(2,1/(人給データ!$B$2:$B$700=$A23),人給データ!$J$2:$J$700)=0,"",LOOKUP(2,1/(人給データ!$B$2:$B$700=$A23),人給データ!$J$2:$J$700)),""))</f>
        <v/>
      </c>
      <c r="H23" s="20">
        <f>IF($A23="","",IFERROR(IF(LOOKUP(2,1/(人給データ!$B$2:$B$700=$A23),人給データ!$K$2:$K$700)=0,"",LOOKUP(2,1/(人給データ!$B$2:$B$700=$A23),人給データ!$K$2:$K$700)),""))</f>
        <v/>
      </c>
      <c r="I23" s="12" t="n"/>
      <c r="J23">
        <f>IF($A23="","",IFERROR(IF(LOOKUP(2,1/(人給データ!$B$2:$B$700=$A23),人給データ!$N$2:$N$700)=0,"",LOOKUP(2,1/(人給データ!$B$2:$B$700=$A23),人給データ!$N$2:$N$700)),""))</f>
        <v/>
      </c>
      <c r="K23" s="13" t="n">
        <v>440000</v>
      </c>
      <c r="L23" s="12" t="inlineStr">
        <is>
          <t>部分休業</t>
        </is>
      </c>
      <c r="M23" s="12" t="n"/>
      <c r="N23" s="11" t="n"/>
      <c r="O23" s="11" t="n"/>
      <c r="P23" s="14">
        <f>IF(AND(M23&lt;&gt;"",O23=""),"保留中","")</f>
        <v/>
      </c>
      <c r="Q23" s="14">
        <f>IF(P23="保留中",COUNTIF(P$6:P23,"保留中"),"")</f>
        <v/>
      </c>
    </row>
    <row r="24">
      <c r="A24" s="12" t="n">
        <v>6101653</v>
      </c>
      <c r="B24">
        <f>IF($A24="","",IFERROR(IF(LOOKUP(2,1/(人給データ!$B$2:$B$700=$A24),人給データ!$C$2:$C$700)=0,"",LOOKUP(2,1/(人給データ!$B$2:$B$700=$A24),人給データ!$C$2:$C$700)),""))</f>
        <v/>
      </c>
      <c r="C24" t="inlineStr">
        <is>
          <t>東区役所厚生部福祉課児童福祉係</t>
        </is>
      </c>
      <c r="D24">
        <f>IF($A24="","",IFERROR(IF(LOOKUP(2,1/(人給データ!$B$2:$B$700=$A24),人給データ!$Y$2:$Y$700)=0,"",LOOKUP(2,1/(人給データ!$B$2:$B$700=$A24),人給データ!$Y$2:$Y$700)),""))</f>
        <v/>
      </c>
      <c r="E24" s="20" t="n">
        <v>45229</v>
      </c>
      <c r="F24" s="16">
        <f>IF(OR(E24="",NOT(ISNUMBER(E24))),"",DATE(YEAR(E24)+2,MONTH(E24),DAY(E24)-2))</f>
        <v/>
      </c>
      <c r="G24" s="20" t="n">
        <v>45762</v>
      </c>
      <c r="H24" s="20" t="n">
        <v>46126</v>
      </c>
      <c r="I24" s="12" t="n"/>
      <c r="J24" t="n">
        <v>23.25</v>
      </c>
      <c r="K24" s="13" t="n">
        <v>190000</v>
      </c>
      <c r="L24" s="12" t="n"/>
      <c r="M24" s="12" t="n"/>
      <c r="N24" s="11" t="n"/>
      <c r="O24" s="11" t="n"/>
      <c r="P24" s="14">
        <f>IF(AND(M24&lt;&gt;"",O24=""),"保留中","")</f>
        <v/>
      </c>
      <c r="Q24" s="14">
        <f>IF(P24="保留中",COUNTIF(P$6:P24,"保留中"),"")</f>
        <v/>
      </c>
    </row>
    <row r="25">
      <c r="A25" s="12" t="n">
        <v>6101828</v>
      </c>
      <c r="B25">
        <f>IF($A25="","",IFERROR(IF(LOOKUP(2,1/(人給データ!$B$2:$B$700=$A25),人給データ!$C$2:$C$700)=0,"",LOOKUP(2,1/(人給データ!$B$2:$B$700=$A25),人給データ!$C$2:$C$700)),""))</f>
        <v/>
      </c>
      <c r="C25" t="inlineStr">
        <is>
          <t>東浄保育園</t>
        </is>
      </c>
      <c r="D25">
        <f>IF($A25="","",IFERROR(IF(LOOKUP(2,1/(人給データ!$B$2:$B$700=$A25),人給データ!$Y$2:$Y$700)=0,"",LOOKUP(2,1/(人給データ!$B$2:$B$700=$A25),人給データ!$Y$2:$Y$700)),""))</f>
        <v/>
      </c>
      <c r="E25" s="20" t="n">
        <v>45618</v>
      </c>
      <c r="F25" s="16">
        <f>IF(OR(E25="",NOT(ISNUMBER(E25))),"",DATE(YEAR(E25)+2,MONTH(E25),DAY(E25)-2))</f>
        <v/>
      </c>
      <c r="G25" s="20" t="n">
        <v>45983</v>
      </c>
      <c r="H25" s="20" t="n">
        <v>46112</v>
      </c>
      <c r="I25" s="12" t="n"/>
      <c r="J25" t="n">
        <v>23.75</v>
      </c>
      <c r="K25" s="13" t="n">
        <v>320000</v>
      </c>
      <c r="L25" s="12" t="inlineStr">
        <is>
          <t>育休期間変更保留</t>
        </is>
      </c>
      <c r="M25" s="12" t="n"/>
      <c r="N25" s="11" t="n"/>
      <c r="O25" s="11" t="n"/>
      <c r="P25" s="14">
        <f>IF(AND(M25&lt;&gt;"",O25=""),"保留中","")</f>
        <v/>
      </c>
      <c r="Q25" s="14">
        <f>IF(P25="保留中",COUNTIF(P$6:P25,"保留中"),"")</f>
        <v/>
      </c>
    </row>
    <row r="26">
      <c r="A26" s="12" t="n">
        <v>6101950</v>
      </c>
      <c r="B26">
        <f>IF($A26="","",IFERROR(IF(LOOKUP(2,1/(人給データ!$B$2:$B$700=$A26),人給データ!$C$2:$C$700)=0,"",LOOKUP(2,1/(人給データ!$B$2:$B$700=$A26),人給データ!$C$2:$C$700)),""))</f>
        <v/>
      </c>
      <c r="C26" t="inlineStr">
        <is>
          <t>基町保育園</t>
        </is>
      </c>
      <c r="D26">
        <f>IF($A26="","",IFERROR(IF(LOOKUP(2,1/(人給データ!$B$2:$B$700=$A26),人給データ!$Y$2:$Y$700)=0,"",LOOKUP(2,1/(人給データ!$B$2:$B$700=$A26),人給データ!$Y$2:$Y$700)),""))</f>
        <v/>
      </c>
      <c r="E26" s="20" t="n">
        <v>45281</v>
      </c>
      <c r="F26" s="16">
        <f>IF(OR(E26="",NOT(ISNUMBER(E26))),"",DATE(YEAR(E26)+2,MONTH(E26),DAY(E26)-2))</f>
        <v/>
      </c>
      <c r="G26" s="20" t="n">
        <v>45778</v>
      </c>
      <c r="H26" s="20" t="n">
        <v>46112</v>
      </c>
      <c r="I26" s="12" t="n"/>
      <c r="J26" t="n">
        <v>20</v>
      </c>
      <c r="K26" s="13" t="n">
        <v>320000</v>
      </c>
      <c r="L26" s="12" t="n"/>
      <c r="M26" s="12" t="n"/>
      <c r="N26" s="11" t="n"/>
      <c r="O26" s="11" t="n"/>
      <c r="P26" s="14">
        <f>IF(AND(M26&lt;&gt;"",O26=""),"保留中","")</f>
        <v/>
      </c>
      <c r="Q26" s="14">
        <f>IF(P26="保留中",COUNTIF(P$6:P26,"保留中"),"")</f>
        <v/>
      </c>
    </row>
    <row r="27">
      <c r="A27" s="12" t="n">
        <v>6102230</v>
      </c>
      <c r="B27">
        <f>IF($A27="","",IFERROR(IF(LOOKUP(2,1/(人給データ!$B$2:$B$700=$A27),人給データ!$C$2:$C$700)=0,"",LOOKUP(2,1/(人給データ!$B$2:$B$700=$A27),人給データ!$C$2:$C$700)),""))</f>
        <v/>
      </c>
      <c r="C27" t="inlineStr">
        <is>
          <t>上安保育園</t>
        </is>
      </c>
      <c r="D27">
        <f>IF($A27="","",IFERROR(IF(LOOKUP(2,1/(人給データ!$B$2:$B$700=$A27),人給データ!$Y$2:$Y$700)=0,"",LOOKUP(2,1/(人給データ!$B$2:$B$700=$A27),人給データ!$Y$2:$Y$700)),""))</f>
        <v/>
      </c>
      <c r="E27" s="20" t="n">
        <v>45102</v>
      </c>
      <c r="F27" s="16">
        <f>IF(OR(E27="",NOT(ISNUMBER(E27))),"",DATE(YEAR(E27)+2,MONTH(E27),DAY(E27)-2))</f>
        <v/>
      </c>
      <c r="G27" s="20" t="n">
        <v>45762</v>
      </c>
      <c r="H27" s="20" t="n">
        <v>46112</v>
      </c>
      <c r="I27" s="12" t="n"/>
      <c r="J27" t="n">
        <v>23.75</v>
      </c>
      <c r="K27" s="13" t="n">
        <v>260000</v>
      </c>
      <c r="L27" s="12" t="n"/>
      <c r="M27" s="12" t="n"/>
      <c r="N27" s="11" t="n"/>
      <c r="O27" s="11" t="n"/>
      <c r="P27" s="14">
        <f>IF(AND(M27&lt;&gt;"",O27=""),"保留中","")</f>
        <v/>
      </c>
      <c r="Q27" s="14">
        <f>IF(P27="保留中",COUNTIF(P$6:P27,"保留中"),"")</f>
        <v/>
      </c>
    </row>
    <row r="28">
      <c r="A28" s="12" t="n">
        <v>6200224</v>
      </c>
      <c r="B28">
        <f>IF($A28="","",IFERROR(IF(LOOKUP(2,1/(人給データ!$B$2:$B$700=$A28),人給データ!$C$2:$C$700)=0,"",LOOKUP(2,1/(人給データ!$B$2:$B$700=$A28),人給データ!$C$2:$C$700)),""))</f>
        <v/>
      </c>
      <c r="C28" t="inlineStr">
        <is>
          <t>こども未来局幼保給付課</t>
        </is>
      </c>
      <c r="D28">
        <f>IF($A28="","",IFERROR(IF(LOOKUP(2,1/(人給データ!$B$2:$B$700=$A28),人給データ!$Y$2:$Y$700)=0,"",LOOKUP(2,1/(人給データ!$B$2:$B$700=$A28),人給データ!$Y$2:$Y$700)),""))</f>
        <v/>
      </c>
      <c r="E28" s="20" t="n">
        <v>45580</v>
      </c>
      <c r="F28" s="16">
        <f>IF(OR(E28="",NOT(ISNUMBER(E28))),"",DATE(YEAR(E28)+2,MONTH(E28),DAY(E28)-2))</f>
        <v/>
      </c>
      <c r="G28" s="20" t="n">
        <v>46143</v>
      </c>
      <c r="H28" s="20" t="n">
        <v>46477</v>
      </c>
      <c r="I28" s="12" t="inlineStr">
        <is>
          <t>部分休業</t>
        </is>
      </c>
      <c r="J28">
        <f>IF($A28="","",IFERROR(IF(LOOKUP(2,1/(人給データ!$B$2:$B$700=$A28),人給データ!$N$2:$N$700)=0,"",LOOKUP(2,1/(人給データ!$B$2:$B$700=$A28),人給データ!$N$2:$N$700)),""))</f>
        <v/>
      </c>
      <c r="K28" s="13" t="n">
        <v>440000</v>
      </c>
      <c r="L28" s="12" t="n"/>
      <c r="M28" s="12" t="n"/>
      <c r="N28" s="11" t="n"/>
      <c r="O28" s="11" t="n"/>
      <c r="P28" s="14">
        <f>IF(AND(M28&lt;&gt;"",O28=""),"保留中","")</f>
        <v/>
      </c>
      <c r="Q28" s="14">
        <f>IF(P28="保留中",COUNTIF(P$6:P28,"保留中"),"")</f>
        <v/>
      </c>
    </row>
    <row r="29">
      <c r="A29" s="12" t="n">
        <v>6201735</v>
      </c>
      <c r="B29">
        <f>IF($A29="","",IFERROR(IF(LOOKUP(2,1/(人給データ!$B$2:$B$700=$A29),人給データ!$C$2:$C$700)=0,"",LOOKUP(2,1/(人給データ!$B$2:$B$700=$A29),人給データ!$C$2:$C$700)),""))</f>
        <v/>
      </c>
      <c r="C29" t="inlineStr">
        <is>
          <t>基町保育園</t>
        </is>
      </c>
      <c r="D29">
        <f>IF($A29="","",IFERROR(IF(LOOKUP(2,1/(人給データ!$B$2:$B$700=$A29),人給データ!$Y$2:$Y$700)=0,"",LOOKUP(2,1/(人給データ!$B$2:$B$700=$A29),人給データ!$Y$2:$Y$700)),""))</f>
        <v/>
      </c>
      <c r="E29" s="20" t="n">
        <v>45138</v>
      </c>
      <c r="F29" s="16">
        <f>IF(OR(E29="",NOT(ISNUMBER(E29))),"",DATE(YEAR(E29)+2,MONTH(E29),DAY(E29)-2))</f>
        <v/>
      </c>
      <c r="G29" s="20" t="n">
        <v>45761</v>
      </c>
      <c r="H29" s="20" t="n">
        <v>46112</v>
      </c>
      <c r="I29" s="12" t="n"/>
      <c r="J29" t="n">
        <v>23.75</v>
      </c>
      <c r="K29" s="13" t="n">
        <v>300000</v>
      </c>
      <c r="L29" s="12" t="n"/>
      <c r="M29" s="12" t="n"/>
      <c r="N29" s="11" t="n"/>
      <c r="O29" s="11" t="n"/>
      <c r="P29" s="14">
        <f>IF(AND(M29&lt;&gt;"",O29=""),"保留中","")</f>
        <v/>
      </c>
      <c r="Q29" s="14">
        <f>IF(P29="保留中",COUNTIF(P$6:P29,"保留中"),"")</f>
        <v/>
      </c>
    </row>
    <row r="30">
      <c r="A30" s="12" t="n">
        <v>6201776</v>
      </c>
      <c r="B30">
        <f>IF($A30="","",IFERROR(IF(LOOKUP(2,1/(人給データ!$B$2:$B$700=$A30),人給データ!$C$2:$C$700)=0,"",LOOKUP(2,1/(人給データ!$B$2:$B$700=$A30),人給データ!$C$2:$C$700)),""))</f>
        <v/>
      </c>
      <c r="C30" t="inlineStr">
        <is>
          <t>あけぼの保育園</t>
        </is>
      </c>
      <c r="D30">
        <f>IF($A30="","",IFERROR(IF(LOOKUP(2,1/(人給データ!$B$2:$B$700=$A30),人給データ!$Y$2:$Y$700)=0,"",LOOKUP(2,1/(人給データ!$B$2:$B$700=$A30),人給データ!$Y$2:$Y$700)),""))</f>
        <v/>
      </c>
      <c r="E30" s="20" t="n">
        <v>45195</v>
      </c>
      <c r="F30" s="16">
        <f>IF(OR(E30="",NOT(ISNUMBER(E30))),"",DATE(YEAR(E30)+2,MONTH(E30),DAY(E30)-2))</f>
        <v/>
      </c>
      <c r="G30" s="20" t="n">
        <v>45755</v>
      </c>
      <c r="H30" s="20" t="n">
        <v>46112</v>
      </c>
      <c r="I30" s="12" t="n"/>
      <c r="J30" t="n">
        <v>23.75</v>
      </c>
      <c r="K30" s="13" t="n">
        <v>320000</v>
      </c>
      <c r="L30" s="12" t="n"/>
      <c r="M30" s="12" t="n"/>
      <c r="N30" s="11" t="n"/>
      <c r="O30" s="11" t="n"/>
      <c r="P30" s="14">
        <f>IF(AND(M30&lt;&gt;"",O30=""),"保留中","")</f>
        <v/>
      </c>
      <c r="Q30" s="14">
        <f>IF(P30="保留中",COUNTIF(P$6:P30,"保留中"),"")</f>
        <v/>
      </c>
    </row>
    <row r="31">
      <c r="A31" s="12" t="n">
        <v>6301386</v>
      </c>
      <c r="B31">
        <f>IF($A31="","",IFERROR(IF(LOOKUP(2,1/(人給データ!$B$2:$B$700=$A31),人給データ!$C$2:$C$700)=0,"",LOOKUP(2,1/(人給データ!$B$2:$B$700=$A31),人給データ!$C$2:$C$700)),""))</f>
        <v/>
      </c>
      <c r="C31" t="inlineStr">
        <is>
          <t>庚午保育園</t>
        </is>
      </c>
      <c r="D31">
        <f>IF($A31="","",IFERROR(IF(LOOKUP(2,1/(人給データ!$B$2:$B$700=$A31),人給データ!$Y$2:$Y$700)=0,"",LOOKUP(2,1/(人給データ!$B$2:$B$700=$A31),人給データ!$Y$2:$Y$700)),""))</f>
        <v/>
      </c>
      <c r="E31" s="20" t="n">
        <v>45197</v>
      </c>
      <c r="F31" s="16">
        <f>IF(OR(E31="",NOT(ISNUMBER(E31))),"",DATE(YEAR(E31)+2,MONTH(E31),DAY(E31)-2))</f>
        <v/>
      </c>
      <c r="G31" s="20" t="n">
        <v>45762</v>
      </c>
      <c r="H31" s="20" t="n">
        <v>46112</v>
      </c>
      <c r="I31" s="12" t="n"/>
      <c r="J31" t="n">
        <v>23.75</v>
      </c>
      <c r="K31" s="13" t="n">
        <v>300000</v>
      </c>
      <c r="L31" s="12" t="n"/>
      <c r="M31" s="12" t="n"/>
      <c r="N31" s="11" t="n"/>
      <c r="O31" s="11" t="n"/>
      <c r="P31" s="14">
        <f>IF(AND(M31&lt;&gt;"",O31=""),"保留中","")</f>
        <v/>
      </c>
      <c r="Q31" s="14">
        <f>IF(P31="保留中",COUNTIF(P$6:P31,"保留中"),"")</f>
        <v/>
      </c>
    </row>
    <row r="32">
      <c r="A32" s="12" t="n">
        <v>6301576</v>
      </c>
      <c r="B32">
        <f>IF($A32="","",IFERROR(IF(LOOKUP(2,1/(人給データ!$B$2:$B$700=$A32),人給データ!$C$2:$C$700)=0,"",LOOKUP(2,1/(人給データ!$B$2:$B$700=$A32),人給データ!$C$2:$C$700)),""))</f>
        <v/>
      </c>
      <c r="C32" t="inlineStr">
        <is>
          <t>大河保育園</t>
        </is>
      </c>
      <c r="D32">
        <f>IF($A32="","",IFERROR(IF(LOOKUP(2,1/(人給データ!$B$2:$B$700=$A32),人給データ!$Y$2:$Y$700)=0,"",LOOKUP(2,1/(人給データ!$B$2:$B$700=$A32),人給データ!$Y$2:$Y$700)),""))</f>
        <v/>
      </c>
      <c r="E32" s="20" t="n">
        <v>45560</v>
      </c>
      <c r="F32" s="16">
        <f>IF(OR(E32="",NOT(ISNUMBER(E32))),"",DATE(YEAR(E32)+2,MONTH(E32),DAY(E32)-2))</f>
        <v/>
      </c>
      <c r="G32" s="20" t="n">
        <v>45962</v>
      </c>
      <c r="H32" s="20" t="n">
        <v>46112</v>
      </c>
      <c r="I32" s="12" t="n"/>
      <c r="J32" t="n">
        <v>23.75</v>
      </c>
      <c r="K32" s="13" t="n">
        <v>360000</v>
      </c>
      <c r="L32" s="12" t="inlineStr">
        <is>
          <t>育休期間変更　保留</t>
        </is>
      </c>
      <c r="M32" s="12" t="inlineStr">
        <is>
          <t>育休期間の変更待ち</t>
        </is>
      </c>
      <c r="N32" s="11" t="n"/>
      <c r="O32" s="11" t="n"/>
      <c r="P32" s="14">
        <f>IF(AND(M32&lt;&gt;"",O32=""),"保留中","")</f>
        <v/>
      </c>
      <c r="Q32" s="14">
        <f>IF(P32="保留中",COUNTIF(P$6:P32,"保留中"),"")</f>
        <v/>
      </c>
    </row>
    <row r="33">
      <c r="A33" s="12" t="n">
        <v>6402739</v>
      </c>
      <c r="B33">
        <f>IF($A33="","",IFERROR(IF(LOOKUP(2,1/(人給データ!$B$2:$B$700=$A33),人給データ!$C$2:$C$700)=0,"",LOOKUP(2,1/(人給データ!$B$2:$B$700=$A33),人給データ!$C$2:$C$700)),""))</f>
        <v/>
      </c>
      <c r="C33" t="inlineStr">
        <is>
          <t>江波第二保育園</t>
        </is>
      </c>
      <c r="D33">
        <f>IF($A33="","",IFERROR(IF(LOOKUP(2,1/(人給データ!$B$2:$B$700=$A33),人給データ!$Y$2:$Y$700)=0,"",LOOKUP(2,1/(人給データ!$B$2:$B$700=$A33),人給データ!$Y$2:$Y$700)),""))</f>
        <v/>
      </c>
      <c r="E33" s="20" t="n">
        <v>45581</v>
      </c>
      <c r="F33" s="16">
        <f>IF(OR(E33="",NOT(ISNUMBER(E33))),"",DATE(YEAR(E33)+2,MONTH(E33),DAY(E33)-2))</f>
        <v/>
      </c>
      <c r="G33" s="20" t="n">
        <v>46113</v>
      </c>
      <c r="H33" s="20" t="n">
        <v>46477</v>
      </c>
      <c r="I33" s="12" t="n"/>
      <c r="J33" t="n">
        <v>23.45</v>
      </c>
      <c r="K33" s="13" t="n">
        <v>300000</v>
      </c>
      <c r="L33" s="12" t="n"/>
      <c r="M33" s="12" t="n"/>
      <c r="N33" s="11" t="n"/>
      <c r="O33" s="11" t="n"/>
      <c r="P33" s="14">
        <f>IF(AND(M33&lt;&gt;"",O33=""),"保留中","")</f>
        <v/>
      </c>
      <c r="Q33" s="14">
        <f>IF(P33="保留中",COUNTIF(P$6:P33,"保留中"),"")</f>
        <v/>
      </c>
    </row>
    <row r="34">
      <c r="A34" s="12" t="n">
        <v>6402829</v>
      </c>
      <c r="B34">
        <f>IF($A34="","",IFERROR(IF(LOOKUP(2,1/(人給データ!$B$2:$B$700=$A34),人給データ!$C$2:$C$700)=0,"",LOOKUP(2,1/(人給データ!$B$2:$B$700=$A34),人給データ!$C$2:$C$700)),""))</f>
        <v/>
      </c>
      <c r="C34" t="inlineStr">
        <is>
          <t>井口保育園</t>
        </is>
      </c>
      <c r="D34">
        <f>IF($A34="","",IFERROR(IF(LOOKUP(2,1/(人給データ!$B$2:$B$700=$A34),人給データ!$Y$2:$Y$700)=0,"",LOOKUP(2,1/(人給データ!$B$2:$B$700=$A34),人給データ!$Y$2:$Y$700)),""))</f>
        <v/>
      </c>
      <c r="E34" s="20" t="n">
        <v>45144</v>
      </c>
      <c r="F34" s="16">
        <f>IF(OR(E34="",NOT(ISNUMBER(E34))),"",DATE(YEAR(E34)+2,MONTH(E34),DAY(E34)-2))</f>
        <v/>
      </c>
      <c r="G34" s="20" t="n">
        <v>45761</v>
      </c>
      <c r="H34" s="20" t="n">
        <v>46112</v>
      </c>
      <c r="I34" s="12" t="n"/>
      <c r="J34" t="n">
        <v>23.75</v>
      </c>
      <c r="K34" s="13" t="n">
        <v>280000</v>
      </c>
      <c r="L34" s="12" t="n"/>
      <c r="M34" s="12" t="n"/>
      <c r="N34" s="11" t="n"/>
      <c r="O34" s="11" t="n"/>
      <c r="P34" s="14">
        <f>IF(AND(M34&lt;&gt;"",O34=""),"保留中","")</f>
        <v/>
      </c>
      <c r="Q34" s="14">
        <f>IF(P34="保留中",COUNTIF(P$6:P34,"保留中"),"")</f>
        <v/>
      </c>
    </row>
    <row r="35">
      <c r="A35" s="12" t="n">
        <v>6402887</v>
      </c>
      <c r="B35">
        <f>IF($A35="","",IFERROR(IF(LOOKUP(2,1/(人給データ!$B$2:$B$700=$A35),人給データ!$C$2:$C$700)=0,"",LOOKUP(2,1/(人給データ!$B$2:$B$700=$A35),人給データ!$C$2:$C$700)),""))</f>
        <v/>
      </c>
      <c r="C35" t="inlineStr">
        <is>
          <t>吉島保育園</t>
        </is>
      </c>
      <c r="D35">
        <f>IF($A35="","",IFERROR(IF(LOOKUP(2,1/(人給データ!$B$2:$B$700=$A35),人給データ!$Y$2:$Y$700)=0,"",LOOKUP(2,1/(人給データ!$B$2:$B$700=$A35),人給データ!$Y$2:$Y$700)),""))</f>
        <v/>
      </c>
      <c r="E35" s="20" t="n">
        <v>45126</v>
      </c>
      <c r="F35" s="16">
        <f>IF(OR(E35="",NOT(ISNUMBER(E35))),"",DATE(YEAR(E35)+2,MONTH(E35),DAY(E35)-2))</f>
        <v/>
      </c>
      <c r="G35" s="20" t="n">
        <v>45762</v>
      </c>
      <c r="H35" s="20" t="n">
        <v>46112</v>
      </c>
      <c r="I35" s="12" t="n"/>
      <c r="J35" t="n">
        <v>23.75</v>
      </c>
      <c r="K35" s="13" t="n">
        <v>240000</v>
      </c>
      <c r="L35" s="12" t="n"/>
      <c r="M35" s="12" t="n"/>
      <c r="N35" s="11" t="n"/>
      <c r="O35" s="11" t="n"/>
      <c r="P35" s="14">
        <f>IF(AND(M35&lt;&gt;"",O35=""),"保留中","")</f>
        <v/>
      </c>
      <c r="Q35" s="14">
        <f>IF(P35="保留中",COUNTIF(P$6:P35,"保留中"),"")</f>
        <v/>
      </c>
    </row>
    <row r="36">
      <c r="A36" s="12" t="n">
        <v>6402903</v>
      </c>
      <c r="B36">
        <f>IF($A36="","",IFERROR(IF(LOOKUP(2,1/(人給データ!$B$2:$B$700=$A36),人給データ!$C$2:$C$700)=0,"",LOOKUP(2,1/(人給データ!$B$2:$B$700=$A36),人給データ!$C$2:$C$700)),""))</f>
        <v/>
      </c>
      <c r="C36" t="inlineStr">
        <is>
          <t>己斐保育園</t>
        </is>
      </c>
      <c r="D36">
        <f>IF($A36="","",IFERROR(IF(LOOKUP(2,1/(人給データ!$B$2:$B$700=$A36),人給データ!$Y$2:$Y$700)=0,"",LOOKUP(2,1/(人給データ!$B$2:$B$700=$A36),人給データ!$Y$2:$Y$700)),""))</f>
        <v/>
      </c>
      <c r="E36" s="20" t="n">
        <v>45300</v>
      </c>
      <c r="F36" s="16">
        <f>IF(OR(E36="",NOT(ISNUMBER(E36))),"",DATE(YEAR(E36)+2,MONTH(E36),DAY(E36)-2))</f>
        <v/>
      </c>
      <c r="G36" s="20" t="n">
        <v>45764</v>
      </c>
      <c r="H36" s="20" t="n">
        <v>46112</v>
      </c>
      <c r="I36" s="12" t="n"/>
      <c r="J36" t="n">
        <v>23.75</v>
      </c>
      <c r="K36" s="13" t="n">
        <v>280000</v>
      </c>
      <c r="L36" s="12" t="n"/>
      <c r="M36" s="12" t="n"/>
      <c r="N36" s="11" t="n"/>
      <c r="O36" s="11" t="n"/>
      <c r="P36" s="14">
        <f>IF(AND(M36&lt;&gt;"",O36=""),"保留中","")</f>
        <v/>
      </c>
      <c r="Q36" s="14">
        <f>IF(P36="保留中",COUNTIF(P$6:P36,"保留中"),"")</f>
        <v/>
      </c>
    </row>
    <row r="37">
      <c r="A37" s="12" t="n">
        <v>6402911</v>
      </c>
      <c r="B37">
        <f>IF($A37="","",IFERROR(IF(LOOKUP(2,1/(人給データ!$B$2:$B$700=$A37),人給データ!$C$2:$C$700)=0,"",LOOKUP(2,1/(人給データ!$B$2:$B$700=$A37),人給データ!$C$2:$C$700)),""))</f>
        <v/>
      </c>
      <c r="C37" t="inlineStr">
        <is>
          <t>八幡保育園</t>
        </is>
      </c>
      <c r="D37">
        <f>IF($A37="","",IFERROR(IF(LOOKUP(2,1/(人給データ!$B$2:$B$700=$A37),人給データ!$Y$2:$Y$700)=0,"",LOOKUP(2,1/(人給データ!$B$2:$B$700=$A37),人給データ!$Y$2:$Y$700)),""))</f>
        <v/>
      </c>
      <c r="E37" s="20" t="n">
        <v>45533</v>
      </c>
      <c r="F37" s="16">
        <f>IF(OR(E37="",NOT(ISNUMBER(E37))),"",DATE(YEAR(E37)+2,MONTH(E37),DAY(E37)-2))</f>
        <v/>
      </c>
      <c r="G37" s="20" t="n">
        <v>46143</v>
      </c>
      <c r="H37" s="20" t="n">
        <v>46477</v>
      </c>
      <c r="I37" s="12" t="n"/>
      <c r="J37" t="n">
        <v>23.45</v>
      </c>
      <c r="K37" s="13" t="n">
        <v>260000</v>
      </c>
      <c r="L37" s="12" t="n"/>
      <c r="M37" s="12" t="n"/>
      <c r="N37" s="11" t="n"/>
      <c r="O37" s="11" t="n"/>
      <c r="P37" s="14">
        <f>IF(AND(M37&lt;&gt;"",O37=""),"保留中","")</f>
        <v/>
      </c>
      <c r="Q37" s="14">
        <f>IF(P37="保留中",COUNTIF(P$6:P37,"保留中"),"")</f>
        <v/>
      </c>
    </row>
    <row r="38">
      <c r="A38" s="12" t="n">
        <v>6402952</v>
      </c>
      <c r="B38">
        <f>IF($A38="","",IFERROR(IF(LOOKUP(2,1/(人給データ!$B$2:$B$700=$A38),人給データ!$C$2:$C$700)=0,"",LOOKUP(2,1/(人給データ!$B$2:$B$700=$A38),人給データ!$C$2:$C$700)),""))</f>
        <v/>
      </c>
      <c r="C38" t="inlineStr">
        <is>
          <t>坪井保育園</t>
        </is>
      </c>
      <c r="D38">
        <f>IF($A38="","",IFERROR(IF(LOOKUP(2,1/(人給データ!$B$2:$B$700=$A38),人給データ!$Y$2:$Y$700)=0,"",LOOKUP(2,1/(人給データ!$B$2:$B$700=$A38),人給データ!$Y$2:$Y$700)),""))</f>
        <v/>
      </c>
      <c r="E38" s="20" t="n">
        <v>45421</v>
      </c>
      <c r="F38" s="16">
        <f>IF(OR(E38="",NOT(ISNUMBER(E38))),"",DATE(YEAR(E38)+2,MONTH(E38),DAY(E38)-2))</f>
        <v/>
      </c>
      <c r="G38" s="20" t="n">
        <v>45786</v>
      </c>
      <c r="H38" s="20" t="n">
        <v>46112</v>
      </c>
      <c r="I38" s="12" t="n"/>
      <c r="J38" t="n">
        <v>23.75</v>
      </c>
      <c r="K38" s="13" t="n">
        <v>300000</v>
      </c>
      <c r="L38" s="12" t="n"/>
      <c r="M38" s="12" t="n"/>
      <c r="N38" s="11" t="n"/>
      <c r="O38" s="11" t="n"/>
      <c r="P38" s="14">
        <f>IF(AND(M38&lt;&gt;"",O38=""),"保留中","")</f>
        <v/>
      </c>
      <c r="Q38" s="14">
        <f>IF(P38="保留中",COUNTIF(P$6:P38,"保留中"),"")</f>
        <v/>
      </c>
    </row>
    <row r="39">
      <c r="A39" s="12" t="n">
        <v>6403091</v>
      </c>
      <c r="B39">
        <f>IF($A39="","",IFERROR(IF(LOOKUP(2,1/(人給データ!$B$2:$B$700=$A39),人給データ!$C$2:$C$700)=0,"",LOOKUP(2,1/(人給データ!$B$2:$B$700=$A39),人給データ!$C$2:$C$700)),""))</f>
        <v/>
      </c>
      <c r="C39" t="inlineStr">
        <is>
          <t>あけぼの保育園</t>
        </is>
      </c>
      <c r="D39">
        <f>IF($A39="","",IFERROR(IF(LOOKUP(2,1/(人給データ!$B$2:$B$700=$A39),人給データ!$Y$2:$Y$700)=0,"",LOOKUP(2,1/(人給データ!$B$2:$B$700=$A39),人給データ!$Y$2:$Y$700)),""))</f>
        <v/>
      </c>
      <c r="E39" s="20" t="n">
        <v>45307</v>
      </c>
      <c r="F39" s="16">
        <f>IF(OR(E39="",NOT(ISNUMBER(E39))),"",DATE(YEAR(E39)+2,MONTH(E39),DAY(E39)-2))</f>
        <v/>
      </c>
      <c r="G39" s="20" t="n">
        <v>45762</v>
      </c>
      <c r="H39" s="20" t="n">
        <v>46112</v>
      </c>
      <c r="I39" s="12" t="n"/>
      <c r="J39" t="n">
        <v>23.75</v>
      </c>
      <c r="K39" s="13" t="n">
        <v>300000</v>
      </c>
      <c r="L39" s="12" t="n"/>
      <c r="M39" s="12" t="n"/>
      <c r="N39" s="11" t="n"/>
      <c r="O39" s="11" t="n"/>
      <c r="P39" s="14">
        <f>IF(AND(M39&lt;&gt;"",O39=""),"保留中","")</f>
        <v/>
      </c>
      <c r="Q39" s="14">
        <f>IF(P39="保留中",COUNTIF(P$6:P39,"保留中"),"")</f>
        <v/>
      </c>
    </row>
    <row r="40">
      <c r="A40" s="12" t="n">
        <v>6403208</v>
      </c>
      <c r="B40">
        <f>IF($A40="","",IFERROR(IF(LOOKUP(2,1/(人給データ!$B$2:$B$700=$A40),人給データ!$C$2:$C$700)=0,"",LOOKUP(2,1/(人給データ!$B$2:$B$700=$A40),人給データ!$C$2:$C$700)),""))</f>
        <v/>
      </c>
      <c r="C40" t="inlineStr">
        <is>
          <t>東浄保育園</t>
        </is>
      </c>
      <c r="D40">
        <f>IF($A40="","",IFERROR(IF(LOOKUP(2,1/(人給データ!$B$2:$B$700=$A40),人給データ!$Y$2:$Y$700)=0,"",LOOKUP(2,1/(人給データ!$B$2:$B$700=$A40),人給データ!$Y$2:$Y$700)),""))</f>
        <v/>
      </c>
      <c r="E40" s="20" t="n">
        <v>45349</v>
      </c>
      <c r="F40" s="16">
        <f>IF(OR(E40="",NOT(ISNUMBER(E40))),"",DATE(YEAR(E40)+2,MONTH(E40),DAY(E40)-2))</f>
        <v/>
      </c>
      <c r="G40" s="20" t="n">
        <v>45763</v>
      </c>
      <c r="H40" s="20" t="n">
        <v>46112</v>
      </c>
      <c r="I40" s="12" t="n"/>
      <c r="J40" t="n">
        <v>23.75</v>
      </c>
      <c r="K40" s="13" t="n">
        <v>260000</v>
      </c>
      <c r="L40" s="12" t="n"/>
      <c r="M40" s="12" t="n"/>
      <c r="N40" s="11" t="n"/>
      <c r="O40" s="11" t="n"/>
      <c r="P40" s="14">
        <f>IF(AND(M40&lt;&gt;"",O40=""),"保留中","")</f>
        <v/>
      </c>
      <c r="Q40" s="14">
        <f>IF(P40="保留中",COUNTIF(P$6:P40,"保留中"),"")</f>
        <v/>
      </c>
    </row>
    <row r="41">
      <c r="A41" s="12" t="n">
        <v>6403281</v>
      </c>
      <c r="B41">
        <f>IF($A41="","",IFERROR(IF(LOOKUP(2,1/(人給データ!$B$2:$B$700=$A41),人給データ!$C$2:$C$700)=0,"",LOOKUP(2,1/(人給データ!$B$2:$B$700=$A41),人給データ!$C$2:$C$700)),""))</f>
        <v/>
      </c>
      <c r="C41" t="inlineStr">
        <is>
          <t>湯来保育園</t>
        </is>
      </c>
      <c r="D41">
        <f>IF($A41="","",IFERROR(IF(LOOKUP(2,1/(人給データ!$B$2:$B$700=$A41),人給データ!$Y$2:$Y$700)=0,"",LOOKUP(2,1/(人給データ!$B$2:$B$700=$A41),人給データ!$Y$2:$Y$700)),""))</f>
        <v/>
      </c>
      <c r="E41" s="20" t="n">
        <v>45504</v>
      </c>
      <c r="F41" s="16">
        <f>IF(OR(E41="",NOT(ISNUMBER(E41))),"",DATE(YEAR(E41)+2,MONTH(E41),DAY(E41)-2))</f>
        <v/>
      </c>
      <c r="G41" s="20" t="n">
        <v>46143</v>
      </c>
      <c r="H41" s="20" t="n">
        <v>46266</v>
      </c>
      <c r="I41" s="12" t="n"/>
      <c r="J41" t="n">
        <v>23.45</v>
      </c>
      <c r="K41" s="13" t="n">
        <v>320000</v>
      </c>
      <c r="L41" s="12" t="n"/>
      <c r="M41" s="12" t="n"/>
      <c r="N41" s="11" t="n"/>
      <c r="O41" s="11" t="n"/>
      <c r="P41" s="14">
        <f>IF(AND(M41&lt;&gt;"",O41=""),"保留中","")</f>
        <v/>
      </c>
      <c r="Q41" s="14">
        <f>IF(P41="保留中",COUNTIF(P$6:P41,"保留中"),"")</f>
        <v/>
      </c>
    </row>
    <row r="42">
      <c r="A42" s="12" t="n">
        <v>6403349</v>
      </c>
      <c r="B42">
        <f>IF($A42="","",IFERROR(IF(LOOKUP(2,1/(人給データ!$B$2:$B$700=$A42),人給データ!$C$2:$C$700)=0,"",LOOKUP(2,1/(人給データ!$B$2:$B$700=$A42),人給データ!$C$2:$C$700)),""))</f>
        <v/>
      </c>
      <c r="C42" t="inlineStr">
        <is>
          <t>竹屋保育園</t>
        </is>
      </c>
      <c r="D42">
        <f>IF($A42="","",IFERROR(IF(LOOKUP(2,1/(人給データ!$B$2:$B$700=$A42),人給データ!$Y$2:$Y$700)=0,"",LOOKUP(2,1/(人給データ!$B$2:$B$700=$A42),人給データ!$Y$2:$Y$700)),""))</f>
        <v/>
      </c>
      <c r="E42" s="20" t="n">
        <v>45078</v>
      </c>
      <c r="F42" s="16">
        <f>IF(OR(E42="",NOT(ISNUMBER(E42))),"",DATE(YEAR(E42)+2,MONTH(E42),DAY(E42)-2))</f>
        <v/>
      </c>
      <c r="G42" s="20" t="n">
        <v>45748</v>
      </c>
      <c r="H42" s="20" t="n">
        <v>45874</v>
      </c>
      <c r="I42" s="12" t="n"/>
      <c r="J42" t="n">
        <v>23.75</v>
      </c>
      <c r="K42" s="13" t="n">
        <v>220000</v>
      </c>
      <c r="L42" s="12" t="n"/>
      <c r="M42" s="12" t="n"/>
      <c r="N42" s="11" t="n"/>
      <c r="O42" s="11" t="n"/>
      <c r="P42" s="14">
        <f>IF(AND(M42&lt;&gt;"",O42=""),"保留中","")</f>
        <v/>
      </c>
      <c r="Q42" s="14">
        <f>IF(P42="保留中",COUNTIF(P$6:P42,"保留中"),"")</f>
        <v/>
      </c>
    </row>
    <row r="43">
      <c r="A43" s="12" t="n">
        <v>6408289</v>
      </c>
      <c r="B43">
        <f>IF($A43="","",IFERROR(IF(LOOKUP(2,1/(人給データ!$B$2:$B$700=$A43),人給データ!$C$2:$C$700)=0,"",LOOKUP(2,1/(人給データ!$B$2:$B$700=$A43),人給データ!$C$2:$C$700)),""))</f>
        <v/>
      </c>
      <c r="C43" t="inlineStr">
        <is>
          <t>安芸区市民課</t>
        </is>
      </c>
      <c r="D43">
        <f>IF($A43="","",IFERROR(IF(LOOKUP(2,1/(人給データ!$B$2:$B$700=$A43),人給データ!$Y$2:$Y$700)=0,"",LOOKUP(2,1/(人給データ!$B$2:$B$700=$A43),人給データ!$Y$2:$Y$700)),""))</f>
        <v/>
      </c>
      <c r="E43" s="20" t="n">
        <v>45255</v>
      </c>
      <c r="F43" s="16">
        <f>IF(OR(E43="",NOT(ISNUMBER(E43))),"",DATE(YEAR(E43)+2,MONTH(E43),DAY(E43)-2))</f>
        <v/>
      </c>
      <c r="G43" s="20">
        <f>IF($A43="","",IFERROR(IF(LOOKUP(2,1/(人給データ!$B$2:$B$700=$A43),人給データ!$J$2:$J$700)=0,"",LOOKUP(2,1/(人給データ!$B$2:$B$700=$A43),人給データ!$J$2:$J$700)),""))</f>
        <v/>
      </c>
      <c r="H43" s="20">
        <f>IF($A43="","",IFERROR(IF(LOOKUP(2,1/(人給データ!$B$2:$B$700=$A43),人給データ!$K$2:$K$700)=0,"",LOOKUP(2,1/(人給データ!$B$2:$B$700=$A43),人給データ!$K$2:$K$700)),""))</f>
        <v/>
      </c>
      <c r="I43" s="12" t="n"/>
      <c r="J43">
        <f>IF($A43="","",IFERROR(IF(LOOKUP(2,1/(人給データ!$B$2:$B$700=$A43),人給データ!$N$2:$N$700)=0,"",LOOKUP(2,1/(人給データ!$B$2:$B$700=$A43),人給データ!$N$2:$N$700)),""))</f>
        <v/>
      </c>
      <c r="K43" s="13" t="n">
        <v>300000</v>
      </c>
      <c r="L43" s="12" t="inlineStr">
        <is>
          <t>部分休業</t>
        </is>
      </c>
      <c r="M43" s="12" t="n"/>
      <c r="N43" s="11" t="n"/>
      <c r="O43" s="11" t="n"/>
      <c r="P43" s="14">
        <f>IF(AND(M43&lt;&gt;"",O43=""),"保留中","")</f>
        <v/>
      </c>
      <c r="Q43" s="14">
        <f>IF(P43="保留中",COUNTIF(P$6:P43,"保留中"),"")</f>
        <v/>
      </c>
    </row>
    <row r="44">
      <c r="A44" s="12" t="n">
        <v>6502529</v>
      </c>
      <c r="B44">
        <f>IF($A44="","",IFERROR(IF(LOOKUP(2,1/(人給データ!$B$2:$B$700=$A44),人給データ!$C$2:$C$700)=0,"",LOOKUP(2,1/(人給データ!$B$2:$B$700=$A44),人給データ!$C$2:$C$700)),""))</f>
        <v/>
      </c>
      <c r="C44" t="inlineStr">
        <is>
          <t>神崎保育園</t>
        </is>
      </c>
      <c r="D44">
        <f>IF($A44="","",IFERROR(IF(LOOKUP(2,1/(人給データ!$B$2:$B$700=$A44),人給データ!$Y$2:$Y$700)=0,"",LOOKUP(2,1/(人給データ!$B$2:$B$700=$A44),人給データ!$Y$2:$Y$700)),""))</f>
        <v/>
      </c>
      <c r="E44" s="20" t="n">
        <v>45573</v>
      </c>
      <c r="F44" s="16">
        <f>IF(OR(E44="",NOT(ISNUMBER(E44))),"",DATE(YEAR(E44)+2,MONTH(E44),DAY(E44)-2))</f>
        <v/>
      </c>
      <c r="G44" s="20" t="n">
        <v>46113</v>
      </c>
      <c r="H44" s="20" t="n">
        <v>46477</v>
      </c>
      <c r="I44" s="12" t="n"/>
      <c r="J44" t="n">
        <v>23.45</v>
      </c>
      <c r="K44" s="13" t="n">
        <v>280000</v>
      </c>
      <c r="L44" s="12" t="n"/>
      <c r="M44" s="12" t="n"/>
      <c r="N44" s="11" t="n"/>
      <c r="O44" s="11" t="n"/>
      <c r="P44" s="14">
        <f>IF(AND(M44&lt;&gt;"",O44=""),"保留中","")</f>
        <v/>
      </c>
      <c r="Q44" s="14">
        <f>IF(P44="保留中",COUNTIF(P$6:P44,"保留中"),"")</f>
        <v/>
      </c>
    </row>
    <row r="45">
      <c r="A45" s="12" t="n">
        <v>6502538</v>
      </c>
      <c r="B45">
        <f>IF($A45="","",IFERROR(IF(LOOKUP(2,1/(人給データ!$B$2:$B$700=$A45),人給データ!$C$2:$C$700)=0,"",LOOKUP(2,1/(人給データ!$B$2:$B$700=$A45),人給データ!$C$2:$C$700)),""))</f>
        <v/>
      </c>
      <c r="C45" t="inlineStr">
        <is>
          <t>楠保育園</t>
        </is>
      </c>
      <c r="D45">
        <f>IF($A45="","",IFERROR(IF(LOOKUP(2,1/(人給データ!$B$2:$B$700=$A45),人給データ!$Y$2:$Y$700)=0,"",LOOKUP(2,1/(人給データ!$B$2:$B$700=$A45),人給データ!$Y$2:$Y$700)),""))</f>
        <v/>
      </c>
      <c r="E45" s="20" t="n">
        <v>45108</v>
      </c>
      <c r="F45" s="16">
        <f>IF(OR(E45="",NOT(ISNUMBER(E45))),"",DATE(YEAR(E45)+2,MONTH(E45),DAY(E45)-2))</f>
        <v/>
      </c>
      <c r="G45" s="20" t="n">
        <v>45789</v>
      </c>
      <c r="H45" s="20" t="n">
        <v>46112</v>
      </c>
      <c r="I45" s="12" t="n"/>
      <c r="J45" t="n">
        <v>20</v>
      </c>
      <c r="K45" s="13" t="n">
        <v>240000</v>
      </c>
      <c r="L45" s="12" t="n"/>
      <c r="M45" s="12" t="n"/>
      <c r="N45" s="11" t="n"/>
      <c r="O45" s="11" t="n"/>
      <c r="P45" s="14">
        <f>IF(AND(M45&lt;&gt;"",O45=""),"保留中","")</f>
        <v/>
      </c>
      <c r="Q45" s="14">
        <f>IF(P45="保留中",COUNTIF(P$6:P45,"保留中"),"")</f>
        <v/>
      </c>
    </row>
    <row r="46">
      <c r="A46" s="12" t="n">
        <v>6502587</v>
      </c>
      <c r="B46">
        <f>IF($A46="","",IFERROR(IF(LOOKUP(2,1/(人給データ!$B$2:$B$700=$A46),人給データ!$C$2:$C$700)=0,"",LOOKUP(2,1/(人給データ!$B$2:$B$700=$A46),人給データ!$C$2:$C$700)),""))</f>
        <v/>
      </c>
      <c r="C46" t="inlineStr">
        <is>
          <t>己斐保育園</t>
        </is>
      </c>
      <c r="D46">
        <f>IF($A46="","",IFERROR(IF(LOOKUP(2,1/(人給データ!$B$2:$B$700=$A46),人給データ!$Y$2:$Y$700)=0,"",LOOKUP(2,1/(人給データ!$B$2:$B$700=$A46),人給データ!$Y$2:$Y$700)),""))</f>
        <v/>
      </c>
      <c r="E46" s="20" t="n">
        <v>45553</v>
      </c>
      <c r="F46" s="16">
        <f>IF(OR(E46="",NOT(ISNUMBER(E46))),"",DATE(YEAR(E46)+2,MONTH(E46),DAY(E46)-2))</f>
        <v/>
      </c>
      <c r="G46" s="20" t="n">
        <v>46132</v>
      </c>
      <c r="H46" s="20" t="n">
        <v>46477</v>
      </c>
      <c r="I46" s="12" t="n"/>
      <c r="J46" t="n">
        <v>23.45</v>
      </c>
      <c r="K46" s="13" t="n">
        <v>300000</v>
      </c>
      <c r="L46" s="12" t="n"/>
      <c r="M46" s="12" t="n"/>
      <c r="N46" s="11" t="n"/>
      <c r="O46" s="11" t="n"/>
      <c r="P46" s="14">
        <f>IF(AND(M46&lt;&gt;"",O46=""),"保留中","")</f>
        <v/>
      </c>
      <c r="Q46" s="14">
        <f>IF(P46="保留中",COUNTIF(P$6:P46,"保留中"),"")</f>
        <v/>
      </c>
    </row>
    <row r="47">
      <c r="A47" s="12" t="n">
        <v>2502728</v>
      </c>
      <c r="B47">
        <f>IF($A47="","",IFERROR(IF(LOOKUP(2,1/(人給データ!$B$2:$B$700=$A47),人給データ!$C$2:$C$700)=0,"",LOOKUP(2,1/(人給データ!$B$2:$B$700=$A47),人給データ!$C$2:$C$700)),""))</f>
        <v/>
      </c>
      <c r="C47" t="inlineStr">
        <is>
          <t>三筋保育園</t>
        </is>
      </c>
      <c r="D47">
        <f>IF($A47="","",IFERROR(IF(LOOKUP(2,1/(人給データ!$B$2:$B$700=$A47),人給データ!$Y$2:$Y$700)=0,"",LOOKUP(2,1/(人給データ!$B$2:$B$700=$A47),人給データ!$Y$2:$Y$700)),""))</f>
        <v/>
      </c>
      <c r="E47" s="20" t="n">
        <v>45693</v>
      </c>
      <c r="F47" s="16">
        <f>IF(OR(E47="",NOT(ISNUMBER(E47))),"",DATE(YEAR(E47)+2,MONTH(E47),DAY(E47)-2))</f>
        <v/>
      </c>
      <c r="G47" s="20" t="n">
        <v>46113</v>
      </c>
      <c r="H47" s="20" t="n">
        <v>46477</v>
      </c>
      <c r="I47" s="12" t="n"/>
      <c r="J47" t="n">
        <v>23.45</v>
      </c>
      <c r="K47" s="13" t="n">
        <v>300000</v>
      </c>
      <c r="L47" s="12" t="n"/>
      <c r="M47" s="12" t="n"/>
      <c r="N47" s="11" t="n"/>
      <c r="O47" s="11" t="n"/>
      <c r="P47" s="14">
        <f>IF(AND(M47&lt;&gt;"",O47=""),"保留中","")</f>
        <v/>
      </c>
      <c r="Q47" s="14">
        <f>IF(P47="保留中",COUNTIF(P$6:P47,"保留中"),"")</f>
        <v/>
      </c>
    </row>
    <row r="48">
      <c r="A48" s="12" t="n">
        <v>6502736</v>
      </c>
      <c r="B48">
        <f>IF($A48="","",IFERROR(IF(LOOKUP(2,1/(人給データ!$B$2:$B$700=$A48),人給データ!$C$2:$C$700)=0,"",LOOKUP(2,1/(人給データ!$B$2:$B$700=$A48),人給データ!$C$2:$C$700)),""))</f>
        <v/>
      </c>
      <c r="C48" t="inlineStr">
        <is>
          <t>山本保育園</t>
        </is>
      </c>
      <c r="D48">
        <f>IF($A48="","",IFERROR(IF(LOOKUP(2,1/(人給データ!$B$2:$B$700=$A48),人給データ!$Y$2:$Y$700)=0,"",LOOKUP(2,1/(人給データ!$B$2:$B$700=$A48),人給データ!$Y$2:$Y$700)),""))</f>
        <v/>
      </c>
      <c r="E48" s="20" t="n">
        <v>45131</v>
      </c>
      <c r="F48" s="16">
        <f>IF(OR(E48="",NOT(ISNUMBER(E48))),"",DATE(YEAR(E48)+2,MONTH(E48),DAY(E48)-2))</f>
        <v/>
      </c>
      <c r="G48" s="20" t="n">
        <v>45748</v>
      </c>
      <c r="H48" s="20" t="n">
        <v>46112</v>
      </c>
      <c r="I48" s="12" t="n"/>
      <c r="J48" t="n">
        <v>23.75</v>
      </c>
      <c r="K48" s="13" t="n">
        <v>300000</v>
      </c>
      <c r="L48" s="12" t="n"/>
      <c r="M48" s="12" t="n"/>
      <c r="N48" s="11" t="n"/>
      <c r="O48" s="11" t="n"/>
      <c r="P48" s="14">
        <f>IF(AND(M48&lt;&gt;"",O48=""),"保留中","")</f>
        <v/>
      </c>
      <c r="Q48" s="14">
        <f>IF(P48="保留中",COUNTIF(P$6:P48,"保留中"),"")</f>
        <v/>
      </c>
    </row>
    <row r="49">
      <c r="A49" s="12" t="n">
        <v>6502892</v>
      </c>
      <c r="B49">
        <f>IF($A49="","",IFERROR(IF(LOOKUP(2,1/(人給データ!$B$2:$B$700=$A49),人給データ!$C$2:$C$700)=0,"",LOOKUP(2,1/(人給データ!$B$2:$B$700=$A49),人給データ!$C$2:$C$700)),""))</f>
        <v/>
      </c>
      <c r="C49" t="inlineStr">
        <is>
          <t>東浄保育園</t>
        </is>
      </c>
      <c r="D49">
        <f>IF($A49="","",IFERROR(IF(LOOKUP(2,1/(人給データ!$B$2:$B$700=$A49),人給データ!$Y$2:$Y$700)=0,"",LOOKUP(2,1/(人給データ!$B$2:$B$700=$A49),人給データ!$Y$2:$Y$700)),""))</f>
        <v/>
      </c>
      <c r="E49" s="20" t="n">
        <v>45202</v>
      </c>
      <c r="F49" s="16">
        <f>IF(OR(E49="",NOT(ISNUMBER(E49))),"",DATE(YEAR(E49)+2,MONTH(E49),DAY(E49)-2))</f>
        <v/>
      </c>
      <c r="G49" s="20" t="n">
        <v>45778</v>
      </c>
      <c r="H49" s="20" t="n">
        <v>46112</v>
      </c>
      <c r="I49" s="12" t="n"/>
      <c r="J49" t="n">
        <v>23.75</v>
      </c>
      <c r="K49" s="13" t="n">
        <v>300000</v>
      </c>
      <c r="L49" s="12" t="n"/>
      <c r="M49" s="12" t="n"/>
      <c r="N49" s="11" t="n"/>
      <c r="O49" s="11" t="n"/>
      <c r="P49" s="14">
        <f>IF(AND(M49&lt;&gt;"",O49=""),"保留中","")</f>
        <v/>
      </c>
      <c r="Q49" s="14">
        <f>IF(P49="保留中",COUNTIF(P$6:P49,"保留中"),"")</f>
        <v/>
      </c>
    </row>
    <row r="50">
      <c r="A50" s="12" t="n">
        <v>6503056</v>
      </c>
      <c r="B50">
        <f>IF($A50="","",IFERROR(IF(LOOKUP(2,1/(人給データ!$B$2:$B$700=$A50),人給データ!$C$2:$C$700)=0,"",LOOKUP(2,1/(人給データ!$B$2:$B$700=$A50),人給データ!$C$2:$C$700)),""))</f>
        <v/>
      </c>
      <c r="C50" t="inlineStr">
        <is>
          <t>己斐保育園</t>
        </is>
      </c>
      <c r="D50">
        <f>IF($A50="","",IFERROR(IF(LOOKUP(2,1/(人給データ!$B$2:$B$700=$A50),人給データ!$Y$2:$Y$700)=0,"",LOOKUP(2,1/(人給データ!$B$2:$B$700=$A50),人給データ!$Y$2:$Y$700)),""))</f>
        <v/>
      </c>
      <c r="E50" s="20" t="n">
        <v>45749</v>
      </c>
      <c r="F50" s="16">
        <f>IF(OR(E50="",NOT(ISNUMBER(E50))),"",DATE(YEAR(E50)+2,MONTH(E50),DAY(E50)-2))</f>
        <v/>
      </c>
      <c r="G50" s="20" t="n">
        <v>46127</v>
      </c>
      <c r="H50" s="20" t="n">
        <v>46477</v>
      </c>
      <c r="I50" s="12" t="n"/>
      <c r="J50" t="n">
        <v>23.45</v>
      </c>
      <c r="K50" s="13" t="n">
        <v>360000</v>
      </c>
      <c r="L50" s="12" t="n"/>
      <c r="M50" s="12" t="n"/>
      <c r="N50" s="11" t="n"/>
      <c r="O50" s="11" t="n"/>
      <c r="P50" s="14">
        <f>IF(AND(M50&lt;&gt;"",O50=""),"保留中","")</f>
        <v/>
      </c>
      <c r="Q50" s="14">
        <f>IF(P50="保留中",COUNTIF(P$6:P50,"保留中"),"")</f>
        <v/>
      </c>
    </row>
    <row r="51">
      <c r="A51" s="12" t="n">
        <v>6600324</v>
      </c>
      <c r="B51">
        <f>IF($A51="","",IFERROR(IF(LOOKUP(2,1/(人給データ!$B$2:$B$700=$A51),人給データ!$C$2:$C$700)=0,"",LOOKUP(2,1/(人給データ!$B$2:$B$700=$A51),人給データ!$C$2:$C$700)),""))</f>
        <v/>
      </c>
      <c r="C51" t="inlineStr">
        <is>
          <t>財政局東部市税事務所</t>
        </is>
      </c>
      <c r="D51">
        <f>IF($A51="","",IFERROR(IF(LOOKUP(2,1/(人給データ!$B$2:$B$700=$A51),人給データ!$Y$2:$Y$700)=0,"",LOOKUP(2,1/(人給データ!$B$2:$B$700=$A51),人給データ!$Y$2:$Y$700)),""))</f>
        <v/>
      </c>
      <c r="E51" s="20" t="n">
        <v>45456</v>
      </c>
      <c r="F51" s="16">
        <f>IF(OR(E51="",NOT(ISNUMBER(E51))),"",DATE(YEAR(E51)+2,MONTH(E51),DAY(E51)-2))</f>
        <v/>
      </c>
      <c r="G51" s="20" t="n">
        <v>46127</v>
      </c>
      <c r="H51" s="20" t="n">
        <v>46477</v>
      </c>
      <c r="I51" s="12" t="inlineStr">
        <is>
          <t>部分休業</t>
        </is>
      </c>
      <c r="J51">
        <f>IF($A51="","",IFERROR(IF(LOOKUP(2,1/(人給データ!$B$2:$B$700=$A51),人給データ!$N$2:$N$700)=0,"",LOOKUP(2,1/(人給データ!$B$2:$B$700=$A51),人給データ!$N$2:$N$700)),""))</f>
        <v/>
      </c>
      <c r="K51" s="13" t="n">
        <v>410000</v>
      </c>
      <c r="L51" s="12" t="n"/>
      <c r="M51" s="12" t="n"/>
      <c r="N51" s="11" t="n"/>
      <c r="O51" s="11" t="n"/>
      <c r="P51" s="14">
        <f>IF(AND(M51&lt;&gt;"",O51=""),"保留中","")</f>
        <v/>
      </c>
      <c r="Q51" s="14">
        <f>IF(P51="保留中",COUNTIF(P$6:P51,"保留中"),"")</f>
        <v/>
      </c>
    </row>
    <row r="52">
      <c r="A52" s="12" t="n">
        <v>6601751</v>
      </c>
      <c r="B52">
        <f>IF($A52="","",IFERROR(IF(LOOKUP(2,1/(人給データ!$B$2:$B$700=$A52),人給データ!$C$2:$C$700)=0,"",LOOKUP(2,1/(人給データ!$B$2:$B$700=$A52),人給データ!$C$2:$C$700)),""))</f>
        <v/>
      </c>
      <c r="C52" t="inlineStr">
        <is>
          <t>児童相談所第一判定係</t>
        </is>
      </c>
      <c r="D52">
        <f>IF($A52="","",IFERROR(IF(LOOKUP(2,1/(人給データ!$B$2:$B$700=$A52),人給データ!$Y$2:$Y$700)=0,"",LOOKUP(2,1/(人給データ!$B$2:$B$700=$A52),人給データ!$Y$2:$Y$700)),""))</f>
        <v/>
      </c>
      <c r="E52" s="20" t="n">
        <v>45567</v>
      </c>
      <c r="F52" s="16">
        <f>IF(OR(E52="",NOT(ISNUMBER(E52))),"",DATE(YEAR(E52)+2,MONTH(E52),DAY(E52)-2))</f>
        <v/>
      </c>
      <c r="G52" s="20" t="n">
        <v>46027</v>
      </c>
      <c r="H52" s="20" t="n">
        <v>46477</v>
      </c>
      <c r="I52" s="12" t="n"/>
      <c r="J52" t="n">
        <v>23.75</v>
      </c>
      <c r="K52" s="13" t="n">
        <v>340000</v>
      </c>
      <c r="L52" s="12" t="n"/>
      <c r="M52" s="12" t="n"/>
      <c r="N52" s="11" t="n"/>
      <c r="O52" s="11" t="n"/>
      <c r="P52" s="14">
        <f>IF(AND(M52&lt;&gt;"",O52=""),"保留中","")</f>
        <v/>
      </c>
      <c r="Q52" s="14">
        <f>IF(P52="保留中",COUNTIF(P$6:P52,"保留中"),"")</f>
        <v/>
      </c>
    </row>
    <row r="53">
      <c r="A53" s="12" t="n">
        <v>6602486</v>
      </c>
      <c r="B53">
        <f>IF($A53="","",IFERROR(IF(LOOKUP(2,1/(人給データ!$B$2:$B$700=$A53),人給データ!$C$2:$C$700)=0,"",LOOKUP(2,1/(人給データ!$B$2:$B$700=$A53),人給データ!$C$2:$C$700)),""))</f>
        <v/>
      </c>
      <c r="C53" t="inlineStr">
        <is>
          <t>亀山南保育園</t>
        </is>
      </c>
      <c r="D53">
        <f>IF($A53="","",IFERROR(IF(LOOKUP(2,1/(人給データ!$B$2:$B$700=$A53),人給データ!$Y$2:$Y$700)=0,"",LOOKUP(2,1/(人給データ!$B$2:$B$700=$A53),人給データ!$Y$2:$Y$700)),""))</f>
        <v/>
      </c>
      <c r="E53" s="20" t="n">
        <v>45821</v>
      </c>
      <c r="F53" s="16">
        <f>IF(OR(E53="",NOT(ISNUMBER(E53))),"",DATE(YEAR(E53)+2,MONTH(E53),DAY(E53)-2))</f>
        <v/>
      </c>
      <c r="G53" s="20" t="n">
        <v>46186</v>
      </c>
      <c r="H53" s="20" t="n">
        <v>46477</v>
      </c>
      <c r="I53" s="12" t="n"/>
      <c r="J53" t="n">
        <v>23.15</v>
      </c>
      <c r="K53" s="13" t="n">
        <v>340000</v>
      </c>
      <c r="L53" s="12" t="n"/>
      <c r="M53" s="12" t="n"/>
      <c r="N53" s="11" t="n"/>
      <c r="O53" s="11" t="n"/>
      <c r="P53" s="14">
        <f>IF(AND(M53&lt;&gt;"",O53=""),"保留中","")</f>
        <v/>
      </c>
      <c r="Q53" s="14">
        <f>IF(P53="保留中",COUNTIF(P$6:P53,"保留中"),"")</f>
        <v/>
      </c>
    </row>
    <row r="54">
      <c r="A54" s="12" t="n">
        <v>6602502</v>
      </c>
      <c r="B54">
        <f>IF($A54="","",IFERROR(IF(LOOKUP(2,1/(人給データ!$B$2:$B$700=$A54),人給データ!$C$2:$C$700)=0,"",LOOKUP(2,1/(人給データ!$B$2:$B$700=$A54),人給データ!$C$2:$C$700)),""))</f>
        <v/>
      </c>
      <c r="C54" t="inlineStr">
        <is>
          <t>大河保育園</t>
        </is>
      </c>
      <c r="D54">
        <f>IF($A54="","",IFERROR(IF(LOOKUP(2,1/(人給データ!$B$2:$B$700=$A54),人給データ!$Y$2:$Y$700)=0,"",LOOKUP(2,1/(人給データ!$B$2:$B$700=$A54),人給データ!$Y$2:$Y$700)),""))</f>
        <v/>
      </c>
      <c r="E54" s="20" t="n">
        <v>45528</v>
      </c>
      <c r="F54" s="16">
        <f>IF(OR(E54="",NOT(ISNUMBER(E54))),"",DATE(YEAR(E54)+2,MONTH(E54),DAY(E54)-2))</f>
        <v/>
      </c>
      <c r="G54" s="20" t="n">
        <v>46054</v>
      </c>
      <c r="H54" s="20" t="n">
        <v>46112</v>
      </c>
      <c r="I54" s="12" t="n"/>
      <c r="J54" t="n">
        <v>23.25</v>
      </c>
      <c r="K54" s="13" t="n">
        <v>280000</v>
      </c>
      <c r="L54" s="12" t="n"/>
      <c r="M54" s="12" t="n"/>
      <c r="N54" s="11" t="n"/>
      <c r="O54" s="11" t="n"/>
      <c r="P54" s="14">
        <f>IF(AND(M54&lt;&gt;"",O54=""),"保留中","")</f>
        <v/>
      </c>
      <c r="Q54" s="14">
        <f>IF(P54="保留中",COUNTIF(P$6:P54,"保留中"),"")</f>
        <v/>
      </c>
    </row>
    <row r="55">
      <c r="A55" s="12" t="n">
        <v>6602536</v>
      </c>
      <c r="B55">
        <f>IF($A55="","",IFERROR(IF(LOOKUP(2,1/(人給データ!$B$2:$B$700=$A55),人給データ!$C$2:$C$700)=0,"",LOOKUP(2,1/(人給データ!$B$2:$B$700=$A55),人給データ!$C$2:$C$700)),""))</f>
        <v/>
      </c>
      <c r="C55" t="inlineStr">
        <is>
          <t>戸坂保育園</t>
        </is>
      </c>
      <c r="D55">
        <f>IF($A55="","",IFERROR(IF(LOOKUP(2,1/(人給データ!$B$2:$B$700=$A55),人給データ!$Y$2:$Y$700)=0,"",LOOKUP(2,1/(人給データ!$B$2:$B$700=$A55),人給データ!$Y$2:$Y$700)),""))</f>
        <v/>
      </c>
      <c r="E55" s="20" t="n">
        <v>45293</v>
      </c>
      <c r="F55" s="16">
        <f>IF(OR(E55="",NOT(ISNUMBER(E55))),"",DATE(YEAR(E55)+2,MONTH(E55),DAY(E55)-2))</f>
        <v/>
      </c>
      <c r="G55" s="20" t="n">
        <v>45748</v>
      </c>
      <c r="H55" s="20" t="n">
        <v>46112</v>
      </c>
      <c r="I55" s="12" t="n"/>
      <c r="J55" t="n">
        <v>23.75</v>
      </c>
      <c r="K55" s="13" t="n">
        <v>180000</v>
      </c>
      <c r="L55" s="12" t="n"/>
      <c r="M55" s="12" t="n"/>
      <c r="N55" s="11" t="n"/>
      <c r="O55" s="11" t="n"/>
      <c r="P55" s="14">
        <f>IF(AND(M55&lt;&gt;"",O55=""),"保留中","")</f>
        <v/>
      </c>
      <c r="Q55" s="14">
        <f>IF(P55="保留中",COUNTIF(P$6:P55,"保留中"),"")</f>
        <v/>
      </c>
    </row>
    <row r="56">
      <c r="A56" s="12" t="n">
        <v>6602619</v>
      </c>
      <c r="B56">
        <f>IF($A56="","",IFERROR(IF(LOOKUP(2,1/(人給データ!$B$2:$B$700=$A56),人給データ!$C$2:$C$700)=0,"",LOOKUP(2,1/(人給データ!$B$2:$B$700=$A56),人給データ!$C$2:$C$700)),""))</f>
        <v/>
      </c>
      <c r="C56" t="inlineStr">
        <is>
          <t>矢野東保育園</t>
        </is>
      </c>
      <c r="D56">
        <f>IF($A56="","",IFERROR(IF(LOOKUP(2,1/(人給データ!$B$2:$B$700=$A56),人給データ!$Y$2:$Y$700)=0,"",LOOKUP(2,1/(人給データ!$B$2:$B$700=$A56),人給データ!$Y$2:$Y$700)),""))</f>
        <v/>
      </c>
      <c r="E56" s="20" t="n">
        <v>45144</v>
      </c>
      <c r="F56" s="16">
        <f>IF(OR(E56="",NOT(ISNUMBER(E56))),"",DATE(YEAR(E56)+2,MONTH(E56),DAY(E56)-2))</f>
        <v/>
      </c>
      <c r="G56" s="20" t="n">
        <v>45768</v>
      </c>
      <c r="H56" s="20" t="n">
        <v>46112</v>
      </c>
      <c r="I56" s="12" t="n"/>
      <c r="J56" t="n">
        <v>23.75</v>
      </c>
      <c r="K56" s="13" t="n">
        <v>260000</v>
      </c>
      <c r="L56" s="12" t="n"/>
      <c r="M56" s="12" t="n"/>
      <c r="N56" s="11" t="n"/>
      <c r="O56" s="11" t="n"/>
      <c r="P56" s="14">
        <f>IF(AND(M56&lt;&gt;"",O56=""),"保留中","")</f>
        <v/>
      </c>
      <c r="Q56" s="14">
        <f>IF(P56="保留中",COUNTIF(P$6:P56,"保留中"),"")</f>
        <v/>
      </c>
    </row>
    <row r="57">
      <c r="A57" s="12" t="n">
        <v>6602635</v>
      </c>
      <c r="B57">
        <f>IF($A57="","",IFERROR(IF(LOOKUP(2,1/(人給データ!$B$2:$B$700=$A57),人給データ!$C$2:$C$700)=0,"",LOOKUP(2,1/(人給データ!$B$2:$B$700=$A57),人給データ!$C$2:$C$700)),""))</f>
        <v/>
      </c>
      <c r="C57" t="inlineStr">
        <is>
          <t>神崎保育園</t>
        </is>
      </c>
      <c r="D57">
        <f>IF($A57="","",IFERROR(IF(LOOKUP(2,1/(人給データ!$B$2:$B$700=$A57),人給データ!$Y$2:$Y$700)=0,"",LOOKUP(2,1/(人給データ!$B$2:$B$700=$A57),人給データ!$Y$2:$Y$700)),""))</f>
        <v/>
      </c>
      <c r="E57" s="20" t="n">
        <v>45234</v>
      </c>
      <c r="F57" s="16">
        <f>IF(OR(E57="",NOT(ISNUMBER(E57))),"",DATE(YEAR(E57)+2,MONTH(E57),DAY(E57)-2))</f>
        <v/>
      </c>
      <c r="G57" s="20" t="n">
        <v>45778</v>
      </c>
      <c r="H57" s="20" t="n">
        <v>46112</v>
      </c>
      <c r="I57" s="12" t="n"/>
      <c r="J57" t="n">
        <v>23.75</v>
      </c>
      <c r="K57" s="13" t="n">
        <v>280000</v>
      </c>
      <c r="L57" s="12" t="n"/>
      <c r="M57" s="12" t="n"/>
      <c r="N57" s="11" t="n"/>
      <c r="O57" s="11" t="n"/>
      <c r="P57" s="14">
        <f>IF(AND(M57&lt;&gt;"",O57=""),"保留中","")</f>
        <v/>
      </c>
      <c r="Q57" s="14">
        <f>IF(P57="保留中",COUNTIF(P$6:P57,"保留中"),"")</f>
        <v/>
      </c>
    </row>
    <row r="58">
      <c r="A58" s="12" t="n">
        <v>6602668</v>
      </c>
      <c r="B58">
        <f>IF($A58="","",IFERROR(IF(LOOKUP(2,1/(人給データ!$B$2:$B$700=$A58),人給データ!$C$2:$C$700)=0,"",LOOKUP(2,1/(人給データ!$B$2:$B$700=$A58),人給データ!$C$2:$C$700)),""))</f>
        <v/>
      </c>
      <c r="C58" t="inlineStr">
        <is>
          <t>荒神保育園</t>
        </is>
      </c>
      <c r="D58">
        <f>IF($A58="","",IFERROR(IF(LOOKUP(2,1/(人給データ!$B$2:$B$700=$A58),人給データ!$Y$2:$Y$700)=0,"",LOOKUP(2,1/(人給データ!$B$2:$B$700=$A58),人給データ!$Y$2:$Y$700)),""))</f>
        <v/>
      </c>
      <c r="E58" s="20" t="n">
        <v>45510</v>
      </c>
      <c r="F58" s="16">
        <f>IF(OR(E58="",NOT(ISNUMBER(E58))),"",DATE(YEAR(E58)+2,MONTH(E58),DAY(E58)-2))</f>
        <v/>
      </c>
      <c r="G58" s="20" t="n">
        <v>45866</v>
      </c>
      <c r="H58" s="20" t="n">
        <v>46112</v>
      </c>
      <c r="I58" s="12" t="n"/>
      <c r="J58" t="n">
        <v>23.25</v>
      </c>
      <c r="K58" s="13" t="n">
        <v>280000</v>
      </c>
      <c r="L58" s="12" t="inlineStr">
        <is>
          <t>育休延長で標準報酬月額の変更あり保留</t>
        </is>
      </c>
      <c r="M58" s="12" t="inlineStr">
        <is>
          <t>標準報酬月額の変更確認</t>
        </is>
      </c>
      <c r="N58" s="11" t="n"/>
      <c r="O58" s="11" t="n"/>
      <c r="P58" s="14">
        <f>IF(AND(M58&lt;&gt;"",O58=""),"保留中","")</f>
        <v/>
      </c>
      <c r="Q58" s="14">
        <f>IF(P58="保留中",COUNTIF(P$6:P58,"保留中"),"")</f>
        <v/>
      </c>
    </row>
    <row r="59">
      <c r="A59" s="12" t="n">
        <v>6602817</v>
      </c>
      <c r="B59">
        <f>IF($A59="","",IFERROR(IF(LOOKUP(2,1/(人給データ!$B$2:$B$700=$A59),人給データ!$C$2:$C$700)=0,"",LOOKUP(2,1/(人給データ!$B$2:$B$700=$A59),人給データ!$C$2:$C$700)),""))</f>
        <v/>
      </c>
      <c r="C59" t="inlineStr">
        <is>
          <t>本川保育園</t>
        </is>
      </c>
      <c r="D59">
        <f>IF($A59="","",IFERROR(IF(LOOKUP(2,1/(人給データ!$B$2:$B$700=$A59),人給データ!$Y$2:$Y$700)=0,"",LOOKUP(2,1/(人給データ!$B$2:$B$700=$A59),人給データ!$Y$2:$Y$700)),""))</f>
        <v/>
      </c>
      <c r="E59" s="20" t="n">
        <v>45029</v>
      </c>
      <c r="F59" s="16">
        <f>IF(OR(E59="",NOT(ISNUMBER(E59))),"",DATE(YEAR(E59)+2,MONTH(E59),DAY(E59)-2))</f>
        <v/>
      </c>
      <c r="G59" s="20" t="n">
        <v>45748</v>
      </c>
      <c r="H59" s="20" t="n">
        <v>46112</v>
      </c>
      <c r="I59" s="12" t="n"/>
      <c r="J59" t="n">
        <v>23.75</v>
      </c>
      <c r="K59" s="13" t="n">
        <v>170000</v>
      </c>
      <c r="L59" s="12" t="n"/>
      <c r="M59" s="12" t="n"/>
      <c r="N59" s="11" t="n"/>
      <c r="O59" s="11" t="n"/>
      <c r="P59" s="14">
        <f>IF(AND(M59&lt;&gt;"",O59=""),"保留中","")</f>
        <v/>
      </c>
      <c r="Q59" s="14">
        <f>IF(P59="保留中",COUNTIF(P$6:P59,"保留中"),"")</f>
        <v/>
      </c>
    </row>
    <row r="60">
      <c r="A60" s="12" t="n">
        <v>6602825</v>
      </c>
      <c r="B60">
        <f>IF($A60="","",IFERROR(IF(LOOKUP(2,1/(人給データ!$B$2:$B$700=$A60),人給データ!$C$2:$C$700)=0,"",LOOKUP(2,1/(人給データ!$B$2:$B$700=$A60),人給データ!$C$2:$C$700)),""))</f>
        <v/>
      </c>
      <c r="C60" t="inlineStr">
        <is>
          <t>上安保育園</t>
        </is>
      </c>
      <c r="D60">
        <f>IF($A60="","",IFERROR(IF(LOOKUP(2,1/(人給データ!$B$2:$B$700=$A60),人給データ!$Y$2:$Y$700)=0,"",LOOKUP(2,1/(人給データ!$B$2:$B$700=$A60),人給データ!$Y$2:$Y$700)),""))</f>
        <v/>
      </c>
      <c r="E60" s="20" t="n">
        <v>45726</v>
      </c>
      <c r="F60" s="16">
        <f>IF(OR(E60="",NOT(ISNUMBER(E60))),"",DATE(YEAR(E60)+2,MONTH(E60),DAY(E60)-2))</f>
        <v/>
      </c>
      <c r="G60" s="20" t="n">
        <v>46132</v>
      </c>
      <c r="H60" s="20" t="n">
        <v>46477</v>
      </c>
      <c r="I60" s="12" t="n"/>
      <c r="J60" t="n">
        <v>23.45</v>
      </c>
      <c r="K60" s="13" t="n">
        <v>300000</v>
      </c>
      <c r="L60" s="12" t="n"/>
      <c r="M60" s="12" t="n"/>
      <c r="N60" s="11" t="n"/>
      <c r="O60" s="11" t="n"/>
      <c r="P60" s="14">
        <f>IF(AND(M60&lt;&gt;"",O60=""),"保留中","")</f>
        <v/>
      </c>
      <c r="Q60" s="14">
        <f>IF(P60="保留中",COUNTIF(P$6:P60,"保留中"),"")</f>
        <v/>
      </c>
    </row>
    <row r="61">
      <c r="A61" s="12" t="n">
        <v>6602899</v>
      </c>
      <c r="B61">
        <f>IF($A61="","",IFERROR(IF(LOOKUP(2,1/(人給データ!$B$2:$B$700=$A61),人給データ!$C$2:$C$700)=0,"",LOOKUP(2,1/(人給データ!$B$2:$B$700=$A61),人給データ!$C$2:$C$700)),""))</f>
        <v/>
      </c>
      <c r="C61" t="inlineStr">
        <is>
          <t>五月が丘保育園</t>
        </is>
      </c>
      <c r="D61">
        <f>IF($A61="","",IFERROR(IF(LOOKUP(2,1/(人給データ!$B$2:$B$700=$A61),人給データ!$Y$2:$Y$700)=0,"",LOOKUP(2,1/(人給データ!$B$2:$B$700=$A61),人給データ!$Y$2:$Y$700)),""))</f>
        <v/>
      </c>
      <c r="E61" s="20" t="n">
        <v>45153</v>
      </c>
      <c r="F61" s="16">
        <f>IF(OR(E61="",NOT(ISNUMBER(E61))),"",DATE(YEAR(E61)+2,MONTH(E61),DAY(E61)-2))</f>
        <v/>
      </c>
      <c r="G61" s="20" t="n">
        <v>45762</v>
      </c>
      <c r="H61" s="20" t="n">
        <v>46112</v>
      </c>
      <c r="I61" s="12" t="n"/>
      <c r="J61" t="n">
        <v>23.75</v>
      </c>
      <c r="K61" s="13" t="n">
        <v>360000</v>
      </c>
      <c r="L61" s="12" t="n"/>
      <c r="M61" s="12" t="n"/>
      <c r="N61" s="11" t="n"/>
      <c r="O61" s="11" t="n"/>
      <c r="P61" s="14">
        <f>IF(AND(M61&lt;&gt;"",O61=""),"保留中","")</f>
        <v/>
      </c>
      <c r="Q61" s="14">
        <f>IF(P61="保留中",COUNTIF(P$6:P61,"保留中"),"")</f>
        <v/>
      </c>
    </row>
    <row r="62">
      <c r="A62" s="12" t="n">
        <v>6701601</v>
      </c>
      <c r="B62">
        <f>IF($A62="","",IFERROR(IF(LOOKUP(2,1/(人給データ!$B$2:$B$700=$A62),人給データ!$C$2:$C$700)=0,"",LOOKUP(2,1/(人給データ!$B$2:$B$700=$A62),人給データ!$C$2:$C$700)),""))</f>
        <v/>
      </c>
      <c r="C62" t="inlineStr">
        <is>
          <t>安佐南区地域整備課</t>
        </is>
      </c>
      <c r="D62">
        <f>IF($A62="","",IFERROR(IF(LOOKUP(2,1/(人給データ!$B$2:$B$700=$A62),人給データ!$Y$2:$Y$700)=0,"",LOOKUP(2,1/(人給データ!$B$2:$B$700=$A62),人給データ!$Y$2:$Y$700)),""))</f>
        <v/>
      </c>
      <c r="E62" s="20" t="n">
        <v>45805</v>
      </c>
      <c r="F62" s="16">
        <f>IF(OR(E62="",NOT(ISNUMBER(E62))),"",DATE(YEAR(E62)+2,MONTH(E62),DAY(E62)-2))</f>
        <v/>
      </c>
      <c r="G62" s="20">
        <f>IF($A62="","",IFERROR(IF(LOOKUP(2,1/(人給データ!$B$2:$B$700=$A62),人給データ!$J$2:$J$700)=0,"",LOOKUP(2,1/(人給データ!$B$2:$B$700=$A62),人給データ!$J$2:$J$700)),""))</f>
        <v/>
      </c>
      <c r="H62" s="20">
        <f>IF($A62="","",IFERROR(IF(LOOKUP(2,1/(人給データ!$B$2:$B$700=$A62),人給データ!$K$2:$K$700)=0,"",LOOKUP(2,1/(人給データ!$B$2:$B$700=$A62),人給データ!$K$2:$K$700)),""))</f>
        <v/>
      </c>
      <c r="I62" s="12" t="n"/>
      <c r="J62">
        <f>IF($A62="","",IFERROR(IF(LOOKUP(2,1/(人給データ!$B$2:$B$700=$A62),人給データ!$N$2:$N$700)=0,"",LOOKUP(2,1/(人給データ!$B$2:$B$700=$A62),人給データ!$N$2:$N$700)),""))</f>
        <v/>
      </c>
      <c r="K62" s="13" t="n">
        <v>340000</v>
      </c>
      <c r="L62" s="12" t="inlineStr">
        <is>
          <t>部分休業</t>
        </is>
      </c>
      <c r="M62" s="12" t="n"/>
      <c r="N62" s="11" t="n"/>
      <c r="O62" s="11" t="n"/>
      <c r="P62" s="14">
        <f>IF(AND(M62&lt;&gt;"",O62=""),"保留中","")</f>
        <v/>
      </c>
      <c r="Q62" s="14">
        <f>IF(P62="保留中",COUNTIF(P$6:P62,"保留中"),"")</f>
        <v/>
      </c>
    </row>
    <row r="63">
      <c r="A63" s="12" t="n">
        <v>6702344</v>
      </c>
      <c r="B63">
        <f>IF($A63="","",IFERROR(IF(LOOKUP(2,1/(人給データ!$B$2:$B$700=$A63),人給データ!$C$2:$C$700)=0,"",LOOKUP(2,1/(人給データ!$B$2:$B$700=$A63),人給データ!$C$2:$C$700)),""))</f>
        <v/>
      </c>
      <c r="C63" t="inlineStr">
        <is>
          <t>矢野中央保育園</t>
        </is>
      </c>
      <c r="D63">
        <f>IF($A63="","",IFERROR(IF(LOOKUP(2,1/(人給データ!$B$2:$B$700=$A63),人給データ!$Y$2:$Y$700)=0,"",LOOKUP(2,1/(人給データ!$B$2:$B$700=$A63),人給データ!$Y$2:$Y$700)),""))</f>
        <v/>
      </c>
      <c r="E63" s="20" t="n">
        <v>45581</v>
      </c>
      <c r="F63" s="16">
        <f>IF(OR(E63="",NOT(ISNUMBER(E63))),"",DATE(YEAR(E63)+2,MONTH(E63),DAY(E63)-2))</f>
        <v/>
      </c>
      <c r="G63" s="20" t="n">
        <v>46113</v>
      </c>
      <c r="H63" s="20" t="n">
        <v>46477</v>
      </c>
      <c r="I63" s="12" t="n"/>
      <c r="J63" t="n">
        <v>23.45</v>
      </c>
      <c r="K63" s="13" t="n">
        <v>300000</v>
      </c>
      <c r="L63" s="12" t="n"/>
      <c r="M63" s="12" t="n"/>
      <c r="N63" s="11" t="n"/>
      <c r="O63" s="11" t="n"/>
      <c r="P63" s="14">
        <f>IF(AND(M63&lt;&gt;"",O63=""),"保留中","")</f>
        <v/>
      </c>
      <c r="Q63" s="14">
        <f>IF(P63="保留中",COUNTIF(P$6:P63,"保留中"),"")</f>
        <v/>
      </c>
    </row>
    <row r="64">
      <c r="A64" s="12" t="n">
        <v>6702427</v>
      </c>
      <c r="B64">
        <f>IF($A64="","",IFERROR(IF(LOOKUP(2,1/(人給データ!$B$2:$B$700=$A64),人給データ!$C$2:$C$700)=0,"",LOOKUP(2,1/(人給データ!$B$2:$B$700=$A64),人給データ!$C$2:$C$700)),""))</f>
        <v/>
      </c>
      <c r="C64" t="inlineStr">
        <is>
          <t>八幡保育園</t>
        </is>
      </c>
      <c r="D64">
        <f>IF($A64="","",IFERROR(IF(LOOKUP(2,1/(人給データ!$B$2:$B$700=$A64),人給データ!$Y$2:$Y$700)=0,"",LOOKUP(2,1/(人給データ!$B$2:$B$700=$A64),人給データ!$Y$2:$Y$700)),""))</f>
        <v/>
      </c>
      <c r="E64" s="20" t="n">
        <v>45098</v>
      </c>
      <c r="F64" s="16">
        <f>IF(OR(E64="",NOT(ISNUMBER(E64))),"",DATE(YEAR(E64)+2,MONTH(E64),DAY(E64)-2))</f>
        <v/>
      </c>
      <c r="G64" s="20" t="n">
        <v>45778</v>
      </c>
      <c r="H64" s="20" t="n">
        <v>46112</v>
      </c>
      <c r="I64" s="12" t="n"/>
      <c r="J64" t="n">
        <v>23.75</v>
      </c>
      <c r="K64" s="13" t="n">
        <v>240000</v>
      </c>
      <c r="L64" s="12" t="n"/>
      <c r="M64" s="12" t="n"/>
      <c r="N64" s="11" t="n"/>
      <c r="O64" s="11" t="n"/>
      <c r="P64" s="14">
        <f>IF(AND(M64&lt;&gt;"",O64=""),"保留中","")</f>
        <v/>
      </c>
      <c r="Q64" s="14">
        <f>IF(P64="保留中",COUNTIF(P$6:P64,"保留中"),"")</f>
        <v/>
      </c>
    </row>
    <row r="65">
      <c r="A65" s="12" t="n">
        <v>6702443</v>
      </c>
      <c r="B65">
        <f>IF($A65="","",IFERROR(IF(LOOKUP(2,1/(人給データ!$B$2:$B$700=$A65),人給データ!$C$2:$C$700)=0,"",LOOKUP(2,1/(人給データ!$B$2:$B$700=$A65),人給データ!$C$2:$C$700)),""))</f>
        <v/>
      </c>
      <c r="C65" t="inlineStr">
        <is>
          <t>江波保育園</t>
        </is>
      </c>
      <c r="D65">
        <f>IF($A65="","",IFERROR(IF(LOOKUP(2,1/(人給データ!$B$2:$B$700=$A65),人給データ!$Y$2:$Y$700)=0,"",LOOKUP(2,1/(人給データ!$B$2:$B$700=$A65),人給データ!$Y$2:$Y$700)),""))</f>
        <v/>
      </c>
      <c r="E65" s="20" t="n">
        <v>45170</v>
      </c>
      <c r="F65" s="16">
        <f>IF(OR(E65="",NOT(ISNUMBER(E65))),"",DATE(YEAR(E65)+2,MONTH(E65),DAY(E65)-2))</f>
        <v/>
      </c>
      <c r="G65" s="20" t="n">
        <v>45778</v>
      </c>
      <c r="H65" s="20" t="n">
        <v>46112</v>
      </c>
      <c r="I65" s="12" t="n"/>
      <c r="J65" t="n">
        <v>23.75</v>
      </c>
      <c r="K65" s="13" t="n">
        <v>260000</v>
      </c>
      <c r="L65" s="12" t="n"/>
      <c r="M65" s="12" t="n"/>
      <c r="N65" s="11" t="n"/>
      <c r="O65" s="11" t="n"/>
      <c r="P65" s="14">
        <f>IF(AND(M65&lt;&gt;"",O65=""),"保留中","")</f>
        <v/>
      </c>
      <c r="Q65" s="14">
        <f>IF(P65="保留中",COUNTIF(P$6:P65,"保留中"),"")</f>
        <v/>
      </c>
    </row>
    <row r="66">
      <c r="A66" s="12" t="n">
        <v>6702534</v>
      </c>
      <c r="B66">
        <f>IF($A66="","",IFERROR(IF(LOOKUP(2,1/(人給データ!$B$2:$B$700=$A66),人給データ!$C$2:$C$700)=0,"",LOOKUP(2,1/(人給データ!$B$2:$B$700=$A66),人給データ!$C$2:$C$700)),""))</f>
        <v/>
      </c>
      <c r="C66" t="inlineStr">
        <is>
          <t>上安保育園</t>
        </is>
      </c>
      <c r="D66">
        <f>IF($A66="","",IFERROR(IF(LOOKUP(2,1/(人給データ!$B$2:$B$700=$A66),人給データ!$Y$2:$Y$700)=0,"",LOOKUP(2,1/(人給データ!$B$2:$B$700=$A66),人給データ!$Y$2:$Y$700)),""))</f>
        <v/>
      </c>
      <c r="E66" s="20" t="n">
        <v>45255</v>
      </c>
      <c r="F66" s="16">
        <f>IF(OR(E66="",NOT(ISNUMBER(E66))),"",DATE(YEAR(E66)+2,MONTH(E66),DAY(E66)-2))</f>
        <v/>
      </c>
      <c r="G66" s="20" t="n">
        <v>45761</v>
      </c>
      <c r="H66" s="20" t="n">
        <v>46112</v>
      </c>
      <c r="I66" s="12" t="n"/>
      <c r="J66" t="n">
        <v>23.75</v>
      </c>
      <c r="K66" s="13" t="n">
        <v>260000</v>
      </c>
      <c r="L66" s="12" t="n"/>
      <c r="M66" s="12" t="n"/>
      <c r="N66" s="11" t="n"/>
      <c r="O66" s="11" t="n"/>
      <c r="P66" s="14">
        <f>IF(AND(M66&lt;&gt;"",O66=""),"保留中","")</f>
        <v/>
      </c>
      <c r="Q66" s="14">
        <f>IF(P66="保留中",COUNTIF(P$6:P66,"保留中"),"")</f>
        <v/>
      </c>
    </row>
    <row r="67">
      <c r="A67" s="12" t="n">
        <v>6702559</v>
      </c>
      <c r="B67">
        <f>IF($A67="","",IFERROR(IF(LOOKUP(2,1/(人給データ!$B$2:$B$700=$A67),人給データ!$C$2:$C$700)=0,"",LOOKUP(2,1/(人給データ!$B$2:$B$700=$A67),人給データ!$C$2:$C$700)),""))</f>
        <v/>
      </c>
      <c r="C67" t="inlineStr">
        <is>
          <t>緑井保育園</t>
        </is>
      </c>
      <c r="D67">
        <f>IF($A67="","",IFERROR(IF(LOOKUP(2,1/(人給データ!$B$2:$B$700=$A67),人給データ!$Y$2:$Y$700)=0,"",LOOKUP(2,1/(人給データ!$B$2:$B$700=$A67),人給データ!$Y$2:$Y$700)),""))</f>
        <v/>
      </c>
      <c r="E67" s="20" t="n">
        <v>45509</v>
      </c>
      <c r="F67" s="16">
        <f>IF(OR(E67="",NOT(ISNUMBER(E67))),"",DATE(YEAR(E67)+2,MONTH(E67),DAY(E67)-2))</f>
        <v/>
      </c>
      <c r="G67" s="20" t="n">
        <v>46027</v>
      </c>
      <c r="H67" s="20" t="n">
        <v>46112</v>
      </c>
      <c r="I67" s="12" t="n"/>
      <c r="J67" t="n">
        <v>23.75</v>
      </c>
      <c r="K67" s="13" t="n">
        <v>280000</v>
      </c>
      <c r="L67" s="12" t="n"/>
      <c r="M67" s="12" t="inlineStr">
        <is>
          <t>育休期間の変更待ち</t>
        </is>
      </c>
      <c r="N67" s="11" t="n"/>
      <c r="O67" s="11" t="n"/>
      <c r="P67" s="14">
        <f>IF(AND(M67&lt;&gt;"",O67=""),"保留中","")</f>
        <v/>
      </c>
      <c r="Q67" s="14">
        <f>IF(P67="保留中",COUNTIF(P$6:P67,"保留中"),"")</f>
        <v/>
      </c>
    </row>
    <row r="68">
      <c r="A68" s="12" t="n">
        <v>6702591</v>
      </c>
      <c r="B68">
        <f>IF($A68="","",IFERROR(IF(LOOKUP(2,1/(人給データ!$B$2:$B$700=$A68),人給データ!$C$2:$C$700)=0,"",LOOKUP(2,1/(人給データ!$B$2:$B$700=$A68),人給データ!$C$2:$C$700)),""))</f>
        <v/>
      </c>
      <c r="C68" t="inlineStr">
        <is>
          <t>大町保育園</t>
        </is>
      </c>
      <c r="D68">
        <f>IF($A68="","",IFERROR(IF(LOOKUP(2,1/(人給データ!$B$2:$B$700=$A68),人給データ!$Y$2:$Y$700)=0,"",LOOKUP(2,1/(人給データ!$B$2:$B$700=$A68),人給データ!$Y$2:$Y$700)),""))</f>
        <v/>
      </c>
      <c r="E68" s="20" t="n">
        <v>45269</v>
      </c>
      <c r="F68" s="16">
        <f>IF(OR(E68="",NOT(ISNUMBER(E68))),"",DATE(YEAR(E68)+2,MONTH(E68),DAY(E68)-2))</f>
        <v/>
      </c>
      <c r="G68" s="20" t="n">
        <v>45765</v>
      </c>
      <c r="H68" s="20" t="n">
        <v>46112</v>
      </c>
      <c r="I68" s="12" t="n"/>
      <c r="J68" t="n">
        <v>23.25</v>
      </c>
      <c r="K68" s="13" t="n">
        <v>320000</v>
      </c>
      <c r="L68" s="12" t="n"/>
      <c r="M68" s="12" t="n"/>
      <c r="N68" s="11" t="n"/>
      <c r="O68" s="11" t="n"/>
      <c r="P68" s="14">
        <f>IF(AND(M68&lt;&gt;"",O68=""),"保留中","")</f>
        <v/>
      </c>
      <c r="Q68" s="14">
        <f>IF(P68="保留中",COUNTIF(P$6:P68,"保留中"),"")</f>
        <v/>
      </c>
    </row>
    <row r="69">
      <c r="A69" s="12" t="n">
        <v>6702674</v>
      </c>
      <c r="B69">
        <f>IF($A69="","",IFERROR(IF(LOOKUP(2,1/(人給データ!$B$2:$B$700=$A69),人給データ!$C$2:$C$700)=0,"",LOOKUP(2,1/(人給データ!$B$2:$B$700=$A69),人給データ!$C$2:$C$700)),""))</f>
        <v/>
      </c>
      <c r="C69" t="inlineStr">
        <is>
          <t>真亀保育園</t>
        </is>
      </c>
      <c r="D69">
        <f>IF($A69="","",IFERROR(IF(LOOKUP(2,1/(人給データ!$B$2:$B$700=$A69),人給データ!$Y$2:$Y$700)=0,"",LOOKUP(2,1/(人給データ!$B$2:$B$700=$A69),人給データ!$Y$2:$Y$700)),""))</f>
        <v/>
      </c>
      <c r="E69" s="20" t="n">
        <v>45349</v>
      </c>
      <c r="F69" s="16">
        <f>IF(OR(E69="",NOT(ISNUMBER(E69))),"",DATE(YEAR(E69)+2,MONTH(E69),DAY(E69)-2))</f>
        <v/>
      </c>
      <c r="G69" s="20" t="n">
        <v>45762</v>
      </c>
      <c r="H69" s="20" t="n">
        <v>46112</v>
      </c>
      <c r="I69" s="12" t="n"/>
      <c r="J69" t="n">
        <v>23.75</v>
      </c>
      <c r="K69" s="13" t="n">
        <v>200000</v>
      </c>
      <c r="L69" s="12" t="n"/>
      <c r="M69" s="12" t="n"/>
      <c r="N69" s="11" t="n"/>
      <c r="O69" s="11" t="n"/>
      <c r="P69" s="14">
        <f>IF(AND(M69&lt;&gt;"",O69=""),"保留中","")</f>
        <v/>
      </c>
      <c r="Q69" s="14">
        <f>IF(P69="保留中",COUNTIF(P$6:P69,"保留中"),"")</f>
        <v/>
      </c>
    </row>
    <row r="70">
      <c r="A70" s="12" t="n">
        <v>6702757</v>
      </c>
      <c r="B70">
        <f>IF($A70="","",IFERROR(IF(LOOKUP(2,1/(人給データ!$B$2:$B$700=$A70),人給データ!$C$2:$C$700)=0,"",LOOKUP(2,1/(人給データ!$B$2:$B$700=$A70),人給データ!$C$2:$C$700)),""))</f>
        <v/>
      </c>
      <c r="C70" t="inlineStr">
        <is>
          <t>坪井保育園</t>
        </is>
      </c>
      <c r="D70">
        <f>IF($A70="","",IFERROR(IF(LOOKUP(2,1/(人給データ!$B$2:$B$700=$A70),人給データ!$Y$2:$Y$700)=0,"",LOOKUP(2,1/(人給データ!$B$2:$B$700=$A70),人給データ!$Y$2:$Y$700)),""))</f>
        <v/>
      </c>
      <c r="E70" s="20" t="n">
        <v>45502</v>
      </c>
      <c r="F70" s="16">
        <f>IF(OR(E70="",NOT(ISNUMBER(E70))),"",DATE(YEAR(E70)+2,MONTH(E70),DAY(E70)-2))</f>
        <v/>
      </c>
      <c r="G70" s="20" t="n">
        <v>46143</v>
      </c>
      <c r="H70" s="20" t="n">
        <v>46477</v>
      </c>
      <c r="I70" s="12" t="n"/>
      <c r="J70" t="n">
        <v>23.45</v>
      </c>
      <c r="K70" s="13" t="n">
        <v>280000</v>
      </c>
      <c r="L70" s="12" t="n"/>
      <c r="M70" s="12" t="n"/>
      <c r="N70" s="11" t="n"/>
      <c r="O70" s="11" t="n"/>
      <c r="P70" s="14">
        <f>IF(AND(M70&lt;&gt;"",O70=""),"保留中","")</f>
        <v/>
      </c>
      <c r="Q70" s="14">
        <f>IF(P70="保留中",COUNTIF(P$6:P70,"保留中"),"")</f>
        <v/>
      </c>
    </row>
    <row r="71">
      <c r="A71" s="12" t="n">
        <v>6702872</v>
      </c>
      <c r="B71">
        <f>IF($A71="","",IFERROR(IF(LOOKUP(2,1/(人給データ!$B$2:$B$700=$A71),人給データ!$C$2:$C$700)=0,"",LOOKUP(2,1/(人給データ!$B$2:$B$700=$A71),人給データ!$C$2:$C$700)),""))</f>
        <v/>
      </c>
      <c r="C71" t="inlineStr">
        <is>
          <t>ふくしま保育園</t>
        </is>
      </c>
      <c r="D71">
        <f>IF($A71="","",IFERROR(IF(LOOKUP(2,1/(人給データ!$B$2:$B$700=$A71),人給データ!$Y$2:$Y$700)=0,"",LOOKUP(2,1/(人給データ!$B$2:$B$700=$A71),人給データ!$Y$2:$Y$700)),""))</f>
        <v/>
      </c>
      <c r="E71" s="20" t="n">
        <v>45818</v>
      </c>
      <c r="F71" s="16">
        <f>IF(OR(E71="",NOT(ISNUMBER(E71))),"",DATE(YEAR(E71)+2,MONTH(E71),DAY(E71)-2))</f>
        <v/>
      </c>
      <c r="G71" s="20" t="n">
        <v>46143</v>
      </c>
      <c r="H71" s="20" t="n">
        <v>46477</v>
      </c>
      <c r="I71" s="12" t="n"/>
      <c r="J71" t="n">
        <v>23.45</v>
      </c>
      <c r="K71" s="13" t="n">
        <v>320000</v>
      </c>
      <c r="L71" s="12" t="n"/>
      <c r="M71" s="12" t="n"/>
      <c r="N71" s="11" t="n"/>
      <c r="O71" s="11" t="n"/>
      <c r="P71" s="14">
        <f>IF(AND(M71&lt;&gt;"",O71=""),"保留中","")</f>
        <v/>
      </c>
      <c r="Q71" s="14">
        <f>IF(P71="保留中",COUNTIF(P$6:P71,"保留中"),"")</f>
        <v/>
      </c>
    </row>
    <row r="72">
      <c r="A72" s="12" t="n">
        <v>6702906</v>
      </c>
      <c r="B72">
        <f>IF($A72="","",IFERROR(IF(LOOKUP(2,1/(人給データ!$B$2:$B$700=$A72),人給データ!$C$2:$C$700)=0,"",LOOKUP(2,1/(人給データ!$B$2:$B$700=$A72),人給データ!$C$2:$C$700)),""))</f>
        <v/>
      </c>
      <c r="C72" t="inlineStr">
        <is>
          <t>安芸区役所市民部保険年金課</t>
        </is>
      </c>
      <c r="D72">
        <f>IF($A72="","",IFERROR(IF(LOOKUP(2,1/(人給データ!$B$2:$B$700=$A72),人給データ!$Y$2:$Y$700)=0,"",LOOKUP(2,1/(人給データ!$B$2:$B$700=$A72),人給データ!$Y$2:$Y$700)),""))</f>
        <v/>
      </c>
      <c r="E72" s="20" t="n">
        <v>45447</v>
      </c>
      <c r="F72" s="16">
        <f>IF(OR(E72="",NOT(ISNUMBER(E72))),"",DATE(YEAR(E72)+2,MONTH(E72),DAY(E72)-2))</f>
        <v/>
      </c>
      <c r="G72" s="20" t="n">
        <v>45845</v>
      </c>
      <c r="H72" s="20" t="n">
        <v>46112</v>
      </c>
      <c r="I72" s="12" t="n"/>
      <c r="J72" t="n">
        <v>20</v>
      </c>
      <c r="K72" s="13" t="n">
        <v>260000</v>
      </c>
      <c r="L72" s="12" t="n"/>
      <c r="M72" s="12" t="n"/>
      <c r="N72" s="11" t="n"/>
      <c r="O72" s="11" t="n"/>
      <c r="P72" s="14">
        <f>IF(AND(M72&lt;&gt;"",O72=""),"保留中","")</f>
        <v/>
      </c>
      <c r="Q72" s="14">
        <f>IF(P72="保留中",COUNTIF(P$6:P72,"保留中"),"")</f>
        <v/>
      </c>
    </row>
    <row r="73">
      <c r="A73" s="12" t="n">
        <v>6704258</v>
      </c>
      <c r="B73">
        <f>IF($A73="","",IFERROR(IF(LOOKUP(2,1/(人給データ!$B$2:$B$700=$A73),人給データ!$C$2:$C$700)=0,"",LOOKUP(2,1/(人給データ!$B$2:$B$700=$A73),人給データ!$C$2:$C$700)),""))</f>
        <v/>
      </c>
      <c r="C73" t="inlineStr">
        <is>
          <t>財政局徴収第四課</t>
        </is>
      </c>
      <c r="D73">
        <f>IF($A73="","",IFERROR(IF(LOOKUP(2,1/(人給データ!$B$2:$B$700=$A73),人給データ!$Y$2:$Y$700)=0,"",LOOKUP(2,1/(人給データ!$B$2:$B$700=$A73),人給データ!$Y$2:$Y$700)),""))</f>
        <v/>
      </c>
      <c r="E73" s="20" t="n">
        <v>45524</v>
      </c>
      <c r="F73" s="16">
        <f>IF(OR(E73="",NOT(ISNUMBER(E73))),"",DATE(YEAR(E73)+2,MONTH(E73),DAY(E73)-2))</f>
        <v/>
      </c>
      <c r="G73" s="20">
        <f>IF($A73="","",IFERROR(IF(LOOKUP(2,1/(人給データ!$B$2:$B$700=$A73),人給データ!$J$2:$J$700)=0,"",LOOKUP(2,1/(人給データ!$B$2:$B$700=$A73),人給データ!$J$2:$J$700)),""))</f>
        <v/>
      </c>
      <c r="H73" s="20">
        <f>IF($A73="","",IFERROR(IF(LOOKUP(2,1/(人給データ!$B$2:$B$700=$A73),人給データ!$K$2:$K$700)=0,"",LOOKUP(2,1/(人給データ!$B$2:$B$700=$A73),人給データ!$K$2:$K$700)),""))</f>
        <v/>
      </c>
      <c r="I73" s="12" t="n"/>
      <c r="J73">
        <f>IF($A73="","",IFERROR(IF(LOOKUP(2,1/(人給データ!$B$2:$B$700=$A73),人給データ!$N$2:$N$700)=0,"",LOOKUP(2,1/(人給データ!$B$2:$B$700=$A73),人給データ!$N$2:$N$700)),""))</f>
        <v/>
      </c>
      <c r="K73" s="13" t="n">
        <v>280000</v>
      </c>
      <c r="L73" s="12" t="inlineStr">
        <is>
          <t>部分休業</t>
        </is>
      </c>
      <c r="M73" s="12" t="n"/>
      <c r="N73" s="11" t="n"/>
      <c r="O73" s="11" t="n"/>
      <c r="P73" s="14">
        <f>IF(AND(M73&lt;&gt;"",O73=""),"保留中","")</f>
        <v/>
      </c>
      <c r="Q73" s="14">
        <f>IF(P73="保留中",COUNTIF(P$6:P73,"保留中"),"")</f>
        <v/>
      </c>
    </row>
    <row r="74">
      <c r="A74" s="12" t="n">
        <v>6801509</v>
      </c>
      <c r="B74">
        <f>IF($A74="","",IFERROR(IF(LOOKUP(2,1/(人給データ!$B$2:$B$700=$A74),人給データ!$C$2:$C$700)=0,"",LOOKUP(2,1/(人給データ!$B$2:$B$700=$A74),人給データ!$C$2:$C$700)),""))</f>
        <v/>
      </c>
      <c r="C74" t="inlineStr">
        <is>
          <t>健康福祉局</t>
        </is>
      </c>
      <c r="D74">
        <f>IF($A74="","",IFERROR(IF(LOOKUP(2,1/(人給データ!$B$2:$B$700=$A74),人給データ!$Y$2:$Y$700)=0,"",LOOKUP(2,1/(人給データ!$B$2:$B$700=$A74),人給データ!$Y$2:$Y$700)),""))</f>
        <v/>
      </c>
      <c r="E74" s="20" t="n">
        <v>45559</v>
      </c>
      <c r="F74" s="16">
        <f>IF(OR(E74="",NOT(ISNUMBER(E74))),"",DATE(YEAR(E74)+2,MONTH(E74),DAY(E74)-2))</f>
        <v/>
      </c>
      <c r="G74" s="20" t="n">
        <v>46143</v>
      </c>
      <c r="H74" s="20" t="n">
        <v>46287</v>
      </c>
      <c r="I74" s="12" t="inlineStr">
        <is>
          <t>部分休業</t>
        </is>
      </c>
      <c r="J74">
        <f>IF($A74="","",IFERROR(IF(LOOKUP(2,1/(人給データ!$B$2:$B$700=$A74),人給データ!$N$2:$N$700)=0,"",LOOKUP(2,1/(人給データ!$B$2:$B$700=$A74),人給データ!$N$2:$N$700)),""))</f>
        <v/>
      </c>
      <c r="K74" s="13" t="n">
        <v>280000</v>
      </c>
      <c r="L74" s="12" t="n"/>
      <c r="M74" s="12" t="n"/>
      <c r="N74" s="11" t="n"/>
      <c r="O74" s="11" t="n"/>
      <c r="P74" s="14">
        <f>IF(AND(M74&lt;&gt;"",O74=""),"保留中","")</f>
        <v/>
      </c>
      <c r="Q74" s="14">
        <f>IF(P74="保留中",COUNTIF(P$6:P74,"保留中"),"")</f>
        <v/>
      </c>
    </row>
    <row r="75">
      <c r="A75" s="12" t="n">
        <v>6801831</v>
      </c>
      <c r="B75">
        <f>IF($A75="","",IFERROR(IF(LOOKUP(2,1/(人給データ!$B$2:$B$700=$A75),人給データ!$C$2:$C$700)=0,"",LOOKUP(2,1/(人給データ!$B$2:$B$700=$A75),人給データ!$C$2:$C$700)),""))</f>
        <v/>
      </c>
      <c r="C75" t="inlineStr">
        <is>
          <t>江波第二保育園</t>
        </is>
      </c>
      <c r="D75">
        <f>IF($A75="","",IFERROR(IF(LOOKUP(2,1/(人給データ!$B$2:$B$700=$A75),人給データ!$Y$2:$Y$700)=0,"",LOOKUP(2,1/(人給データ!$B$2:$B$700=$A75),人給データ!$Y$2:$Y$700)),""))</f>
        <v/>
      </c>
      <c r="E75" s="20" t="n">
        <v>45355</v>
      </c>
      <c r="F75" s="16">
        <f>IF(OR(E75="",NOT(ISNUMBER(E75))),"",DATE(YEAR(E75)+2,MONTH(E75),DAY(E75)-2))</f>
        <v/>
      </c>
      <c r="G75" s="20" t="n">
        <v>45762</v>
      </c>
      <c r="H75" s="20" t="n">
        <v>46112</v>
      </c>
      <c r="I75" s="12" t="n"/>
      <c r="J75" t="n">
        <v>23.75</v>
      </c>
      <c r="K75" s="13" t="n">
        <v>260000</v>
      </c>
      <c r="L75" s="12" t="n"/>
      <c r="M75" s="12" t="n"/>
      <c r="N75" s="11" t="n"/>
      <c r="O75" s="11" t="n"/>
      <c r="P75" s="14">
        <f>IF(AND(M75&lt;&gt;"",O75=""),"保留中","")</f>
        <v/>
      </c>
      <c r="Q75" s="14">
        <f>IF(P75="保留中",COUNTIF(P$6:P75,"保留中"),"")</f>
        <v/>
      </c>
    </row>
    <row r="76">
      <c r="A76" s="12" t="n">
        <v>6801872</v>
      </c>
      <c r="B76">
        <f>IF($A76="","",IFERROR(IF(LOOKUP(2,1/(人給データ!$B$2:$B$700=$A76),人給データ!$C$2:$C$700)=0,"",LOOKUP(2,1/(人給データ!$B$2:$B$700=$A76),人給データ!$C$2:$C$700)),""))</f>
        <v/>
      </c>
      <c r="C76" t="inlineStr">
        <is>
          <t>竹屋保育園</t>
        </is>
      </c>
      <c r="D76">
        <f>IF($A76="","",IFERROR(IF(LOOKUP(2,1/(人給データ!$B$2:$B$700=$A76),人給データ!$Y$2:$Y$700)=0,"",LOOKUP(2,1/(人給データ!$B$2:$B$700=$A76),人給データ!$Y$2:$Y$700)),""))</f>
        <v/>
      </c>
      <c r="E76" s="20" t="n">
        <v>45307</v>
      </c>
      <c r="F76" s="16">
        <f>IF(OR(E76="",NOT(ISNUMBER(E76))),"",DATE(YEAR(E76)+2,MONTH(E76),DAY(E76)-2))</f>
        <v/>
      </c>
      <c r="G76" s="20" t="n">
        <v>45762</v>
      </c>
      <c r="H76" s="20" t="n">
        <v>46112</v>
      </c>
      <c r="I76" s="12" t="n"/>
      <c r="J76" t="n">
        <v>23.75</v>
      </c>
      <c r="K76" s="13" t="n">
        <v>260000</v>
      </c>
      <c r="L76" s="12" t="n"/>
      <c r="M76" s="12" t="n"/>
      <c r="N76" s="11" t="n"/>
      <c r="O76" s="11" t="n"/>
      <c r="P76" s="14">
        <f>IF(AND(M76&lt;&gt;"",O76=""),"保留中","")</f>
        <v/>
      </c>
      <c r="Q76" s="14">
        <f>IF(P76="保留中",COUNTIF(P$6:P76,"保留中"),"")</f>
        <v/>
      </c>
    </row>
    <row r="77">
      <c r="A77" s="12" t="n">
        <v>6802235</v>
      </c>
      <c r="B77">
        <f>IF($A77="","",IFERROR(IF(LOOKUP(2,1/(人給データ!$B$2:$B$700=$A77),人給データ!$C$2:$C$700)=0,"",LOOKUP(2,1/(人給データ!$B$2:$B$700=$A77),人給データ!$C$2:$C$700)),""))</f>
        <v/>
      </c>
      <c r="C77" t="inlineStr">
        <is>
          <t>五日市中央北保育園</t>
        </is>
      </c>
      <c r="D77">
        <f>IF($A77="","",IFERROR(IF(LOOKUP(2,1/(人給データ!$B$2:$B$700=$A77),人給データ!$Y$2:$Y$700)=0,"",LOOKUP(2,1/(人給データ!$B$2:$B$700=$A77),人給データ!$Y$2:$Y$700)),""))</f>
        <v/>
      </c>
      <c r="E77" s="20" t="n">
        <v>45514</v>
      </c>
      <c r="F77" s="16">
        <f>IF(OR(E77="",NOT(ISNUMBER(E77))),"",DATE(YEAR(E77)+2,MONTH(E77),DAY(E77)-2))</f>
        <v/>
      </c>
      <c r="G77" s="20" t="n">
        <v>45879</v>
      </c>
      <c r="H77" s="20" t="n">
        <v>46112</v>
      </c>
      <c r="I77" s="12" t="n"/>
      <c r="J77" t="n">
        <v>23.75</v>
      </c>
      <c r="K77" s="13" t="n">
        <v>300000</v>
      </c>
      <c r="L77" s="12" t="n"/>
      <c r="M77" s="12" t="n"/>
      <c r="N77" s="11" t="n"/>
      <c r="O77" s="11" t="n"/>
      <c r="P77" s="14">
        <f>IF(AND(M77&lt;&gt;"",O77=""),"保留中","")</f>
        <v/>
      </c>
      <c r="Q77" s="14">
        <f>IF(P77="保留中",COUNTIF(P$6:P77,"保留中"),"")</f>
        <v/>
      </c>
    </row>
    <row r="78">
      <c r="A78" s="12" t="n">
        <v>6802268</v>
      </c>
      <c r="B78">
        <f>IF($A78="","",IFERROR(IF(LOOKUP(2,1/(人給データ!$B$2:$B$700=$A78),人給データ!$C$2:$C$700)=0,"",LOOKUP(2,1/(人給データ!$B$2:$B$700=$A78),人給データ!$C$2:$C$700)),""))</f>
        <v/>
      </c>
      <c r="C78" t="inlineStr">
        <is>
          <t>大町保育園</t>
        </is>
      </c>
      <c r="D78">
        <f>IF($A78="","",IFERROR(IF(LOOKUP(2,1/(人給データ!$B$2:$B$700=$A78),人給データ!$Y$2:$Y$700)=0,"",LOOKUP(2,1/(人給データ!$B$2:$B$700=$A78),人給データ!$Y$2:$Y$700)),""))</f>
        <v/>
      </c>
      <c r="E78" s="20" t="n">
        <v>45569</v>
      </c>
      <c r="F78" s="16">
        <f>IF(OR(E78="",NOT(ISNUMBER(E78))),"",DATE(YEAR(E78)+2,MONTH(E78),DAY(E78)-2))</f>
        <v/>
      </c>
      <c r="G78" s="20" t="n">
        <v>46143</v>
      </c>
      <c r="H78" s="20" t="n">
        <v>46477</v>
      </c>
      <c r="I78" s="12" t="n"/>
      <c r="J78" t="n">
        <v>23.45</v>
      </c>
      <c r="K78" s="13" t="n">
        <v>280000</v>
      </c>
      <c r="L78" s="12" t="n"/>
      <c r="M78" s="12" t="n"/>
      <c r="N78" s="11" t="n"/>
      <c r="O78" s="11" t="n"/>
      <c r="P78" s="14">
        <f>IF(AND(M78&lt;&gt;"",O78=""),"保留中","")</f>
        <v/>
      </c>
      <c r="Q78" s="14">
        <f>IF(P78="保留中",COUNTIF(P$6:P78,"保留中"),"")</f>
        <v/>
      </c>
    </row>
    <row r="79">
      <c r="A79" s="12" t="n">
        <v>6802334</v>
      </c>
      <c r="B79">
        <f>IF($A79="","",IFERROR(IF(LOOKUP(2,1/(人給データ!$B$2:$B$700=$A79),人給データ!$C$2:$C$700)=0,"",LOOKUP(2,1/(人給データ!$B$2:$B$700=$A79),人給データ!$C$2:$C$700)),""))</f>
        <v/>
      </c>
      <c r="C79" t="inlineStr">
        <is>
          <t>庚午保育園</t>
        </is>
      </c>
      <c r="D79">
        <f>IF($A79="","",IFERROR(IF(LOOKUP(2,1/(人給データ!$B$2:$B$700=$A79),人給データ!$Y$2:$Y$700)=0,"",LOOKUP(2,1/(人給データ!$B$2:$B$700=$A79),人給データ!$Y$2:$Y$700)),""))</f>
        <v/>
      </c>
      <c r="E79" s="20" t="n">
        <v>45263</v>
      </c>
      <c r="F79" s="16">
        <f>IF(OR(E79="",NOT(ISNUMBER(E79))),"",DATE(YEAR(E79)+2,MONTH(E79),DAY(E79)-2))</f>
        <v/>
      </c>
      <c r="G79" s="20" t="n">
        <v>45778</v>
      </c>
      <c r="H79" s="20" t="n">
        <v>46112</v>
      </c>
      <c r="I79" s="12" t="n"/>
      <c r="J79" t="n">
        <v>23.75</v>
      </c>
      <c r="K79" s="13" t="n">
        <v>280000</v>
      </c>
      <c r="L79" s="12" t="n"/>
      <c r="M79" s="12" t="n"/>
      <c r="N79" s="11" t="n"/>
      <c r="O79" s="11" t="n"/>
      <c r="P79" s="14">
        <f>IF(AND(M79&lt;&gt;"",O79=""),"保留中","")</f>
        <v/>
      </c>
      <c r="Q79" s="14">
        <f>IF(P79="保留中",COUNTIF(P$6:P79,"保留中"),"")</f>
        <v/>
      </c>
    </row>
    <row r="80">
      <c r="A80" s="12" t="n">
        <v>6802342</v>
      </c>
      <c r="B80">
        <f>IF($A80="","",IFERROR(IF(LOOKUP(2,1/(人給データ!$B$2:$B$700=$A80),人給データ!$C$2:$C$700)=0,"",LOOKUP(2,1/(人給データ!$B$2:$B$700=$A80),人給データ!$C$2:$C$700)),""))</f>
        <v/>
      </c>
      <c r="C80" t="inlineStr">
        <is>
          <t>あけぼの保育園</t>
        </is>
      </c>
      <c r="D80">
        <f>IF($A80="","",IFERROR(IF(LOOKUP(2,1/(人給データ!$B$2:$B$700=$A80),人給データ!$Y$2:$Y$700)=0,"",LOOKUP(2,1/(人給データ!$B$2:$B$700=$A80),人給データ!$Y$2:$Y$700)),""))</f>
        <v/>
      </c>
      <c r="E80" s="20" t="n">
        <v>45077</v>
      </c>
      <c r="F80" s="16">
        <f>IF(OR(E80="",NOT(ISNUMBER(E80))),"",DATE(YEAR(E80)+2,MONTH(E80),DAY(E80)-2))</f>
        <v/>
      </c>
      <c r="G80" s="20" t="n">
        <v>45748</v>
      </c>
      <c r="H80" s="20" t="n">
        <v>45880</v>
      </c>
      <c r="I80" s="12" t="n"/>
      <c r="J80" t="n">
        <v>23.75</v>
      </c>
      <c r="K80" s="13" t="n">
        <v>200000</v>
      </c>
      <c r="L80" s="12" t="n"/>
      <c r="M80" s="12" t="n"/>
      <c r="N80" s="11" t="n"/>
      <c r="O80" s="11" t="n"/>
      <c r="P80" s="14">
        <f>IF(AND(M80&lt;&gt;"",O80=""),"保留中","")</f>
        <v/>
      </c>
      <c r="Q80" s="14">
        <f>IF(P80="保留中",COUNTIF(P$6:P80,"保留中"),"")</f>
        <v/>
      </c>
    </row>
    <row r="81">
      <c r="A81" s="12" t="n">
        <v>6900146</v>
      </c>
      <c r="B81">
        <f>IF($A81="","",IFERROR(IF(LOOKUP(2,1/(人給データ!$B$2:$B$700=$A81),人給データ!$C$2:$C$700)=0,"",LOOKUP(2,1/(人給データ!$B$2:$B$700=$A81),人給データ!$C$2:$C$700)),""))</f>
        <v/>
      </c>
      <c r="C81" t="inlineStr">
        <is>
          <t>西部市税事務所</t>
        </is>
      </c>
      <c r="D81">
        <f>IF($A81="","",IFERROR(IF(LOOKUP(2,1/(人給データ!$B$2:$B$700=$A81),人給データ!$Y$2:$Y$700)=0,"",LOOKUP(2,1/(人給データ!$B$2:$B$700=$A81),人給データ!$Y$2:$Y$700)),""))</f>
        <v/>
      </c>
      <c r="E81" s="20" t="n">
        <v>45431</v>
      </c>
      <c r="F81" s="16">
        <f>IF(OR(E81="",NOT(ISNUMBER(E81))),"",DATE(YEAR(E81)+2,MONTH(E81),DAY(E81)-2))</f>
        <v/>
      </c>
      <c r="G81" s="20">
        <f>IF($A81="","",IFERROR(IF(LOOKUP(2,1/(人給データ!$B$2:$B$700=$A81),人給データ!$J$2:$J$700)=0,"",LOOKUP(2,1/(人給データ!$B$2:$B$700=$A81),人給データ!$J$2:$J$700)),""))</f>
        <v/>
      </c>
      <c r="H81" s="20">
        <f>IF($A81="","",IFERROR(IF(LOOKUP(2,1/(人給データ!$B$2:$B$700=$A81),人給データ!$K$2:$K$700)=0,"",LOOKUP(2,1/(人給データ!$B$2:$B$700=$A81),人給データ!$K$2:$K$700)),""))</f>
        <v/>
      </c>
      <c r="I81" s="12" t="n"/>
      <c r="J81">
        <f>IF($A81="","",IFERROR(IF(LOOKUP(2,1/(人給データ!$B$2:$B$700=$A81),人給データ!$N$2:$N$700)=0,"",LOOKUP(2,1/(人給データ!$B$2:$B$700=$A81),人給データ!$N$2:$N$700)),""))</f>
        <v/>
      </c>
      <c r="K81" s="13" t="n">
        <v>280000</v>
      </c>
      <c r="L81" s="12" t="inlineStr">
        <is>
          <t>部分休業</t>
        </is>
      </c>
      <c r="M81" s="12" t="inlineStr">
        <is>
          <t>部分休業の取得状況確認</t>
        </is>
      </c>
      <c r="N81" s="11" t="n"/>
      <c r="O81" s="11" t="n"/>
      <c r="P81" s="14">
        <f>IF(AND(M81&lt;&gt;"",O81=""),"保留中","")</f>
        <v/>
      </c>
      <c r="Q81" s="14">
        <f>IF(P81="保留中",COUNTIF(P$6:P81,"保留中"),"")</f>
        <v/>
      </c>
    </row>
    <row r="82">
      <c r="A82" s="12" t="n">
        <v>6902159</v>
      </c>
      <c r="B82">
        <f>IF($A82="","",IFERROR(IF(LOOKUP(2,1/(人給データ!$B$2:$B$700=$A82),人給データ!$C$2:$C$700)=0,"",LOOKUP(2,1/(人給データ!$B$2:$B$700=$A82),人給データ!$C$2:$C$700)),""))</f>
        <v/>
      </c>
      <c r="C82" t="inlineStr">
        <is>
          <t>江波保育園</t>
        </is>
      </c>
      <c r="D82">
        <f>IF($A82="","",IFERROR(IF(LOOKUP(2,1/(人給データ!$B$2:$B$700=$A82),人給データ!$Y$2:$Y$700)=0,"",LOOKUP(2,1/(人給データ!$B$2:$B$700=$A82),人給データ!$Y$2:$Y$700)),""))</f>
        <v/>
      </c>
      <c r="E82" s="20" t="n">
        <v>45193</v>
      </c>
      <c r="F82" s="16">
        <f>IF(OR(E82="",NOT(ISNUMBER(E82))),"",DATE(YEAR(E82)+2,MONTH(E82),DAY(E82)-2))</f>
        <v/>
      </c>
      <c r="G82" s="20" t="n">
        <v>45778</v>
      </c>
      <c r="H82" s="20" t="n">
        <v>46112</v>
      </c>
      <c r="I82" s="12" t="n"/>
      <c r="J82" t="n">
        <v>23.75</v>
      </c>
      <c r="K82" s="13" t="n">
        <v>240000</v>
      </c>
      <c r="L82" s="12" t="n"/>
      <c r="M82" s="12" t="n"/>
      <c r="N82" s="11" t="n"/>
      <c r="O82" s="11" t="n"/>
      <c r="P82" s="14">
        <f>IF(AND(M82&lt;&gt;"",O82=""),"保留中","")</f>
        <v/>
      </c>
      <c r="Q82" s="14">
        <f>IF(P82="保留中",COUNTIF(P$6:P82,"保留中"),"")</f>
        <v/>
      </c>
    </row>
    <row r="83">
      <c r="A83" s="12" t="n">
        <v>6902241</v>
      </c>
      <c r="B83">
        <f>IF($A83="","",IFERROR(IF(LOOKUP(2,1/(人給データ!$B$2:$B$700=$A83),人給データ!$C$2:$C$700)=0,"",LOOKUP(2,1/(人給データ!$B$2:$B$700=$A83),人給データ!$C$2:$C$700)),""))</f>
        <v/>
      </c>
      <c r="C83" t="inlineStr">
        <is>
          <t>中山保育園</t>
        </is>
      </c>
      <c r="D83">
        <f>IF($A83="","",IFERROR(IF(LOOKUP(2,1/(人給データ!$B$2:$B$700=$A83),人給データ!$Y$2:$Y$700)=0,"",LOOKUP(2,1/(人給データ!$B$2:$B$700=$A83),人給データ!$Y$2:$Y$700)),""))</f>
        <v/>
      </c>
      <c r="E83" s="20" t="n">
        <v>45641</v>
      </c>
      <c r="F83" s="16">
        <f>IF(OR(E83="",NOT(ISNUMBER(E83))),"",DATE(YEAR(E83)+2,MONTH(E83),DAY(E83)-2))</f>
        <v/>
      </c>
      <c r="G83" s="20" t="n">
        <v>46113</v>
      </c>
      <c r="H83" s="20" t="n">
        <v>46477</v>
      </c>
      <c r="I83" s="12" t="n"/>
      <c r="J83" t="n">
        <v>23.45</v>
      </c>
      <c r="K83" s="13" t="n">
        <v>260000</v>
      </c>
      <c r="L83" s="12" t="n"/>
      <c r="M83" s="12" t="n"/>
      <c r="N83" s="11" t="n"/>
      <c r="O83" s="11" t="n"/>
      <c r="P83" s="14">
        <f>IF(AND(M83&lt;&gt;"",O83=""),"保留中","")</f>
        <v/>
      </c>
      <c r="Q83" s="14">
        <f>IF(P83="保留中",COUNTIF(P$6:P83,"保留中"),"")</f>
        <v/>
      </c>
    </row>
    <row r="84">
      <c r="A84" s="12" t="n">
        <v>6902308</v>
      </c>
      <c r="B84">
        <f>IF($A84="","",IFERROR(IF(LOOKUP(2,1/(人給データ!$B$2:$B$700=$A84),人給データ!$C$2:$C$700)=0,"",LOOKUP(2,1/(人給データ!$B$2:$B$700=$A84),人給データ!$C$2:$C$700)),""))</f>
        <v/>
      </c>
      <c r="C84" t="inlineStr">
        <is>
          <t>己斐保育園</t>
        </is>
      </c>
      <c r="D84">
        <f>IF($A84="","",IFERROR(IF(LOOKUP(2,1/(人給データ!$B$2:$B$700=$A84),人給データ!$Y$2:$Y$700)=0,"",LOOKUP(2,1/(人給データ!$B$2:$B$700=$A84),人給データ!$Y$2:$Y$700)),""))</f>
        <v/>
      </c>
      <c r="E84" s="20" t="n">
        <v>45490</v>
      </c>
      <c r="F84" s="16">
        <f>IF(OR(E84="",NOT(ISNUMBER(E84))),"",DATE(YEAR(E84)+2,MONTH(E84),DAY(E84)-2))</f>
        <v/>
      </c>
      <c r="G84" s="20" t="n">
        <v>45855</v>
      </c>
      <c r="H84" s="20" t="n">
        <v>46112</v>
      </c>
      <c r="I84" s="12" t="n"/>
      <c r="J84" t="n">
        <v>23.75</v>
      </c>
      <c r="K84" s="13" t="n">
        <v>300000</v>
      </c>
      <c r="L84" s="12" t="n"/>
      <c r="M84" s="12" t="n"/>
      <c r="N84" s="11" t="n"/>
      <c r="O84" s="11" t="n"/>
      <c r="P84" s="14">
        <f>IF(AND(M84&lt;&gt;"",O84=""),"保留中","")</f>
        <v/>
      </c>
      <c r="Q84" s="14">
        <f>IF(P84="保留中",COUNTIF(P$6:P84,"保留中"),"")</f>
        <v/>
      </c>
    </row>
    <row r="85">
      <c r="A85" s="12" t="n">
        <v>6902464</v>
      </c>
      <c r="B85">
        <f>IF($A85="","",IFERROR(IF(LOOKUP(2,1/(人給データ!$B$2:$B$700=$A85),人給データ!$C$2:$C$700)=0,"",LOOKUP(2,1/(人給データ!$B$2:$B$700=$A85),人給データ!$C$2:$C$700)),""))</f>
        <v/>
      </c>
      <c r="C85" t="inlineStr">
        <is>
          <t>基町保育園</t>
        </is>
      </c>
      <c r="D85">
        <f>IF($A85="","",IFERROR(IF(LOOKUP(2,1/(人給データ!$B$2:$B$700=$A85),人給データ!$Y$2:$Y$700)=0,"",LOOKUP(2,1/(人給データ!$B$2:$B$700=$A85),人給データ!$Y$2:$Y$700)),""))</f>
        <v/>
      </c>
      <c r="E85" s="20" t="n">
        <v>45020</v>
      </c>
      <c r="F85" s="16">
        <f>IF(OR(E85="",NOT(ISNUMBER(E85))),"",DATE(YEAR(E85)+2,MONTH(E85),DAY(E85)-2))</f>
        <v/>
      </c>
      <c r="G85" s="20" t="n">
        <v>45748</v>
      </c>
      <c r="H85" s="20" t="n">
        <v>46112</v>
      </c>
      <c r="I85" s="12" t="n"/>
      <c r="J85" t="n">
        <v>23.75</v>
      </c>
      <c r="K85" s="13" t="n">
        <v>160000</v>
      </c>
      <c r="L85" s="12" t="n"/>
      <c r="M85" s="12" t="n"/>
      <c r="N85" s="11" t="n"/>
      <c r="O85" s="11" t="n"/>
      <c r="P85" s="14">
        <f>IF(AND(M85&lt;&gt;"",O85=""),"保留中","")</f>
        <v/>
      </c>
      <c r="Q85" s="14">
        <f>IF(P85="保留中",COUNTIF(P$6:P85,"保留中"),"")</f>
        <v/>
      </c>
    </row>
    <row r="86">
      <c r="A86" s="12" t="n">
        <v>6902597</v>
      </c>
      <c r="B86">
        <f>IF($A86="","",IFERROR(IF(LOOKUP(2,1/(人給データ!$B$2:$B$700=$A86),人給データ!$C$2:$C$700)=0,"",LOOKUP(2,1/(人給データ!$B$2:$B$700=$A86),人給データ!$C$2:$C$700)),""))</f>
        <v/>
      </c>
      <c r="C86" t="inlineStr">
        <is>
          <t>皆実保育園</t>
        </is>
      </c>
      <c r="D86">
        <f>IF($A86="","",IFERROR(IF(LOOKUP(2,1/(人給データ!$B$2:$B$700=$A86),人給データ!$Y$2:$Y$700)=0,"",LOOKUP(2,1/(人給データ!$B$2:$B$700=$A86),人給データ!$Y$2:$Y$700)),""))</f>
        <v/>
      </c>
      <c r="E86" s="20" t="n">
        <v>45801</v>
      </c>
      <c r="F86" s="16">
        <f>IF(OR(E86="",NOT(ISNUMBER(E86))),"",DATE(YEAR(E86)+2,MONTH(E86),DAY(E86)-2))</f>
        <v/>
      </c>
      <c r="G86" s="20" t="n">
        <v>46113</v>
      </c>
      <c r="H86" s="20" t="n">
        <v>46477</v>
      </c>
      <c r="I86" s="12" t="n"/>
      <c r="J86" t="n">
        <v>23.45</v>
      </c>
      <c r="K86" s="13" t="n">
        <v>280000</v>
      </c>
      <c r="L86" s="12" t="n"/>
      <c r="M86" s="12" t="n"/>
      <c r="N86" s="11" t="n"/>
      <c r="O86" s="11" t="n"/>
      <c r="P86" s="14">
        <f>IF(AND(M86&lt;&gt;"",O86=""),"保留中","")</f>
        <v/>
      </c>
      <c r="Q86" s="14">
        <f>IF(P86="保留中",COUNTIF(P$6:P86,"保留中"),"")</f>
        <v/>
      </c>
    </row>
    <row r="87">
      <c r="A87" s="12" t="n">
        <v>6903033</v>
      </c>
      <c r="B87">
        <f>IF($A87="","",IFERROR(IF(LOOKUP(2,1/(人給データ!$B$2:$B$700=$A87),人給データ!$C$2:$C$700)=0,"",LOOKUP(2,1/(人給データ!$B$2:$B$700=$A87),人給データ!$C$2:$C$700)),""))</f>
        <v/>
      </c>
      <c r="C87" t="inlineStr">
        <is>
          <t>安佐南区地域整備課</t>
        </is>
      </c>
      <c r="D87">
        <f>IF($A87="","",IFERROR(IF(LOOKUP(2,1/(人給データ!$B$2:$B$700=$A87),人給データ!$Y$2:$Y$700)=0,"",LOOKUP(2,1/(人給データ!$B$2:$B$700=$A87),人給データ!$Y$2:$Y$700)),""))</f>
        <v/>
      </c>
      <c r="E87" s="20" t="n">
        <v>46130</v>
      </c>
      <c r="F87" s="16">
        <f>IF(OR(E87="",NOT(ISNUMBER(E87))),"",DATE(YEAR(E87)+2,MONTH(E87),DAY(E87)-2))</f>
        <v/>
      </c>
      <c r="G87" s="20">
        <f>IF($A87="","",IFERROR(IF(LOOKUP(2,1/(人給データ!$B$2:$B$700=$A87),人給データ!$J$2:$J$700)=0,"",LOOKUP(2,1/(人給データ!$B$2:$B$700=$A87),人給データ!$J$2:$J$700)),""))</f>
        <v/>
      </c>
      <c r="H87" s="20">
        <f>IF($A87="","",IFERROR(IF(LOOKUP(2,1/(人給データ!$B$2:$B$700=$A87),人給データ!$K$2:$K$700)=0,"",LOOKUP(2,1/(人給データ!$B$2:$B$700=$A87),人給データ!$K$2:$K$700)),""))</f>
        <v/>
      </c>
      <c r="I87" s="12" t="n"/>
      <c r="J87">
        <f>IF($A87="","",IFERROR(IF(LOOKUP(2,1/(人給データ!$B$2:$B$700=$A87),人給データ!$N$2:$N$700)=0,"",LOOKUP(2,1/(人給データ!$B$2:$B$700=$A87),人給データ!$N$2:$N$700)),""))</f>
        <v/>
      </c>
      <c r="K87" s="13" t="n">
        <v>300000</v>
      </c>
      <c r="L87" s="12" t="inlineStr">
        <is>
          <t>部分休業</t>
        </is>
      </c>
      <c r="M87" s="12" t="n"/>
      <c r="N87" s="11" t="n"/>
      <c r="O87" s="11" t="n"/>
      <c r="P87" s="14">
        <f>IF(AND(M87&lt;&gt;"",O87=""),"保留中","")</f>
        <v/>
      </c>
      <c r="Q87" s="14">
        <f>IF(P87="保留中",COUNTIF(P$6:P87,"保留中"),"")</f>
        <v/>
      </c>
    </row>
    <row r="88">
      <c r="A88" s="12" t="n">
        <v>6904581</v>
      </c>
      <c r="B88">
        <f>IF($A88="","",IFERROR(IF(LOOKUP(2,1/(人給データ!$B$2:$B$700=$A88),人給データ!$C$2:$C$700)=0,"",LOOKUP(2,1/(人給データ!$B$2:$B$700=$A88),人給データ!$C$2:$C$700)),""))</f>
        <v/>
      </c>
      <c r="C88" t="inlineStr">
        <is>
          <t>西部市税事務所管理係</t>
        </is>
      </c>
      <c r="D88">
        <f>IF($A88="","",IFERROR(IF(LOOKUP(2,1/(人給データ!$B$2:$B$700=$A88),人給データ!$Y$2:$Y$700)=0,"",LOOKUP(2,1/(人給データ!$B$2:$B$700=$A88),人給データ!$Y$2:$Y$700)),""))</f>
        <v/>
      </c>
      <c r="E88" s="20" t="n">
        <v>45434</v>
      </c>
      <c r="F88" s="16">
        <f>IF(OR(E88="",NOT(ISNUMBER(E88))),"",DATE(YEAR(E88)+2,MONTH(E88),DAY(E88)-2))</f>
        <v/>
      </c>
      <c r="G88" s="20" t="n">
        <v>45778</v>
      </c>
      <c r="H88" s="20" t="n">
        <v>45838</v>
      </c>
      <c r="I88" s="12" t="n"/>
      <c r="J88" t="n">
        <v>23.75</v>
      </c>
      <c r="K88" s="13" t="n">
        <v>260000</v>
      </c>
      <c r="L88" s="12" t="n"/>
      <c r="M88" s="12" t="n"/>
      <c r="N88" s="11" t="n"/>
      <c r="O88" s="11" t="n"/>
      <c r="P88" s="14">
        <f>IF(AND(M88&lt;&gt;"",O88=""),"保留中","")</f>
        <v/>
      </c>
      <c r="Q88" s="14">
        <f>IF(P88="保留中",COUNTIF(P$6:P88,"保留中"),"")</f>
        <v/>
      </c>
    </row>
    <row r="89">
      <c r="A89" s="12" t="n">
        <v>7101835</v>
      </c>
      <c r="B89">
        <f>IF($A89="","",IFERROR(IF(LOOKUP(2,1/(人給データ!$B$2:$B$700=$A89),人給データ!$C$2:$C$700)=0,"",LOOKUP(2,1/(人給データ!$B$2:$B$700=$A89),人給データ!$C$2:$C$700)),""))</f>
        <v/>
      </c>
      <c r="C89" t="inlineStr">
        <is>
          <t>利松保育園</t>
        </is>
      </c>
      <c r="D89">
        <f>IF($A89="","",IFERROR(IF(LOOKUP(2,1/(人給データ!$B$2:$B$700=$A89),人給データ!$Y$2:$Y$700)=0,"",LOOKUP(2,1/(人給データ!$B$2:$B$700=$A89),人給データ!$Y$2:$Y$700)),""))</f>
        <v/>
      </c>
      <c r="E89" s="20" t="n">
        <v>45051</v>
      </c>
      <c r="F89" s="16">
        <f>IF(OR(E89="",NOT(ISNUMBER(E89))),"",DATE(YEAR(E89)+2,MONTH(E89),DAY(E89)-2))</f>
        <v/>
      </c>
      <c r="G89" s="20" t="n">
        <v>45778</v>
      </c>
      <c r="H89" s="20" t="n">
        <v>46112</v>
      </c>
      <c r="I89" s="12" t="n"/>
      <c r="J89" t="n">
        <v>23.75</v>
      </c>
      <c r="K89" s="13" t="n">
        <v>260000</v>
      </c>
      <c r="L89" s="12" t="n"/>
      <c r="M89" s="12" t="n"/>
      <c r="N89" s="11" t="n"/>
      <c r="O89" s="11" t="n"/>
      <c r="P89" s="14">
        <f>IF(AND(M89&lt;&gt;"",O89=""),"保留中","")</f>
        <v/>
      </c>
      <c r="Q89" s="14">
        <f>IF(P89="保留中",COUNTIF(P$6:P89,"保留中"),"")</f>
        <v/>
      </c>
    </row>
    <row r="90">
      <c r="A90" s="12" t="n">
        <v>7101892</v>
      </c>
      <c r="B90">
        <f>IF($A90="","",IFERROR(IF(LOOKUP(2,1/(人給データ!$B$2:$B$700=$A90),人給データ!$C$2:$C$700)=0,"",LOOKUP(2,1/(人給データ!$B$2:$B$700=$A90),人給データ!$C$2:$C$700)),""))</f>
        <v/>
      </c>
      <c r="C90" t="inlineStr">
        <is>
          <t>東浄保育園</t>
        </is>
      </c>
      <c r="D90">
        <f>IF($A90="","",IFERROR(IF(LOOKUP(2,1/(人給データ!$B$2:$B$700=$A90),人給データ!$Y$2:$Y$700)=0,"",LOOKUP(2,1/(人給データ!$B$2:$B$700=$A90),人給データ!$Y$2:$Y$700)),""))</f>
        <v/>
      </c>
      <c r="E90" s="20" t="n">
        <v>45408</v>
      </c>
      <c r="F90" s="16">
        <f>IF(OR(E90="",NOT(ISNUMBER(E90))),"",DATE(YEAR(E90)+2,MONTH(E90),DAY(E90)-2))</f>
        <v/>
      </c>
      <c r="G90" s="20" t="n">
        <v>45773</v>
      </c>
      <c r="H90" s="20" t="n">
        <v>46112</v>
      </c>
      <c r="I90" s="12" t="n"/>
      <c r="J90" t="n">
        <v>23.75</v>
      </c>
      <c r="K90" s="13" t="n">
        <v>280000</v>
      </c>
      <c r="L90" s="12" t="inlineStr">
        <is>
          <t>育休期間変更保留R8.4-</t>
        </is>
      </c>
      <c r="M90" s="12" t="inlineStr">
        <is>
          <t>育休期間の変更待ち</t>
        </is>
      </c>
      <c r="N90" s="11" t="n"/>
      <c r="O90" s="11" t="n"/>
      <c r="P90" s="14">
        <f>IF(AND(M90&lt;&gt;"",O90=""),"保留中","")</f>
        <v/>
      </c>
      <c r="Q90" s="14">
        <f>IF(P90="保留中",COUNTIF(P$6:P90,"保留中"),"")</f>
        <v/>
      </c>
    </row>
    <row r="91">
      <c r="A91" s="12" t="n">
        <v>7101983</v>
      </c>
      <c r="B91">
        <f>IF($A91="","",IFERROR(IF(LOOKUP(2,1/(人給データ!$B$2:$B$700=$A91),人給データ!$C$2:$C$700)=0,"",LOOKUP(2,1/(人給データ!$B$2:$B$700=$A91),人給データ!$C$2:$C$700)),""))</f>
        <v/>
      </c>
      <c r="C91" t="inlineStr">
        <is>
          <t>江波第二保育園</t>
        </is>
      </c>
      <c r="D91">
        <f>IF($A91="","",IFERROR(IF(LOOKUP(2,1/(人給データ!$B$2:$B$700=$A91),人給データ!$Y$2:$Y$700)=0,"",LOOKUP(2,1/(人給データ!$B$2:$B$700=$A91),人給データ!$Y$2:$Y$700)),""))</f>
        <v/>
      </c>
      <c r="E91" s="20" t="n">
        <v>45491</v>
      </c>
      <c r="F91" s="16">
        <f>IF(OR(E91="",NOT(ISNUMBER(E91))),"",DATE(YEAR(E91)+2,MONTH(E91),DAY(E91)-2))</f>
        <v/>
      </c>
      <c r="G91" s="20" t="n">
        <v>46113</v>
      </c>
      <c r="H91" s="20" t="n">
        <v>46477</v>
      </c>
      <c r="I91" s="12" t="n"/>
      <c r="J91" t="n">
        <v>23.45</v>
      </c>
      <c r="K91" s="13" t="n">
        <v>260000</v>
      </c>
      <c r="L91" s="12" t="n"/>
      <c r="M91" s="12" t="n"/>
      <c r="N91" s="11" t="n"/>
      <c r="O91" s="11" t="n"/>
      <c r="P91" s="14">
        <f>IF(AND(M91&lt;&gt;"",O91=""),"保留中","")</f>
        <v/>
      </c>
      <c r="Q91" s="14">
        <f>IF(P91="保留中",COUNTIF(P$6:P91,"保留中"),"")</f>
        <v/>
      </c>
    </row>
    <row r="92">
      <c r="A92" s="12" t="n">
        <v>7103724</v>
      </c>
      <c r="B92">
        <f>IF($A92="","",IFERROR(IF(LOOKUP(2,1/(人給データ!$B$2:$B$700=$A92),人給データ!$C$2:$C$700)=0,"",LOOKUP(2,1/(人給データ!$B$2:$B$700=$A92),人給データ!$C$2:$C$700)),""))</f>
        <v/>
      </c>
      <c r="C92" t="inlineStr">
        <is>
          <t>荒神保育園</t>
        </is>
      </c>
      <c r="D92">
        <f>IF($A92="","",IFERROR(IF(LOOKUP(2,1/(人給データ!$B$2:$B$700=$A92),人給データ!$Y$2:$Y$700)=0,"",LOOKUP(2,1/(人給データ!$B$2:$B$700=$A92),人給データ!$Y$2:$Y$700)),""))</f>
        <v/>
      </c>
      <c r="E92" s="20" t="n">
        <v>45503</v>
      </c>
      <c r="F92" s="16">
        <f>IF(OR(E92="",NOT(ISNUMBER(E92))),"",DATE(YEAR(E92)+2,MONTH(E92),DAY(E92)-2))</f>
        <v/>
      </c>
      <c r="G92" s="20" t="n">
        <v>45901</v>
      </c>
      <c r="H92" s="20" t="n">
        <v>46112</v>
      </c>
      <c r="I92" s="12" t="n"/>
      <c r="J92" t="n">
        <v>23.75</v>
      </c>
      <c r="K92" s="13" t="n">
        <v>340000</v>
      </c>
      <c r="L92" s="12" t="inlineStr">
        <is>
          <t>育休期間変更保留R8.4-</t>
        </is>
      </c>
      <c r="M92" s="12" t="inlineStr">
        <is>
          <t>育休期間の変更待ち</t>
        </is>
      </c>
      <c r="N92" s="11" t="n"/>
      <c r="O92" s="11" t="n"/>
      <c r="P92" s="14">
        <f>IF(AND(M92&lt;&gt;"",O92=""),"保留中","")</f>
        <v/>
      </c>
      <c r="Q92" s="14">
        <f>IF(P92="保留中",COUNTIF(P$6:P92,"保留中"),"")</f>
        <v/>
      </c>
    </row>
    <row r="93">
      <c r="A93" s="12" t="n">
        <v>7141567</v>
      </c>
      <c r="B93">
        <f>IF($A93="","",IFERROR(IF(LOOKUP(2,1/(人給データ!$B$2:$B$700=$A93),人給データ!$C$2:$C$700)=0,"",LOOKUP(2,1/(人給データ!$B$2:$B$700=$A93),人給データ!$C$2:$C$700)),""))</f>
        <v/>
      </c>
      <c r="C93" t="inlineStr">
        <is>
          <t>真亀保育園</t>
        </is>
      </c>
      <c r="D93">
        <f>IF($A93="","",IFERROR(IF(LOOKUP(2,1/(人給データ!$B$2:$B$700=$A93),人給データ!$Y$2:$Y$700)=0,"",LOOKUP(2,1/(人給データ!$B$2:$B$700=$A93),人給データ!$Y$2:$Y$700)),""))</f>
        <v/>
      </c>
      <c r="E93" s="20" t="n">
        <v>45324</v>
      </c>
      <c r="F93" s="16">
        <f>IF(OR(E93="",NOT(ISNUMBER(E93))),"",DATE(YEAR(E93)+2,MONTH(E93),DAY(E93)-2))</f>
        <v/>
      </c>
      <c r="G93" s="20">
        <f>IF($A93="","",IFERROR(IF(LOOKUP(2,1/(人給データ!$B$2:$B$700=$A93),人給データ!$J$2:$J$700)=0,"",LOOKUP(2,1/(人給データ!$B$2:$B$700=$A93),人給データ!$J$2:$J$700)),""))</f>
        <v/>
      </c>
      <c r="H93" s="20">
        <f>IF($A93="","",IFERROR(IF(LOOKUP(2,1/(人給データ!$B$2:$B$700=$A93),人給データ!$K$2:$K$700)=0,"",LOOKUP(2,1/(人給データ!$B$2:$B$700=$A93),人給データ!$K$2:$K$700)),""))</f>
        <v/>
      </c>
      <c r="I93" s="12" t="n"/>
      <c r="J93">
        <f>IF($A93="","",IFERROR(IF(LOOKUP(2,1/(人給データ!$B$2:$B$700=$A93),人給データ!$N$2:$N$700)=0,"",LOOKUP(2,1/(人給データ!$B$2:$B$700=$A93),人給データ!$N$2:$N$700)),""))</f>
        <v/>
      </c>
      <c r="K93" s="13" t="n">
        <v>220000</v>
      </c>
      <c r="L93" s="12" t="inlineStr">
        <is>
          <t>部分休業</t>
        </is>
      </c>
      <c r="M93" s="12" t="n"/>
      <c r="N93" s="11" t="n"/>
      <c r="O93" s="11" t="n"/>
      <c r="P93" s="14">
        <f>IF(AND(M93&lt;&gt;"",O93=""),"保留中","")</f>
        <v/>
      </c>
      <c r="Q93" s="14">
        <f>IF(P93="保留中",COUNTIF(P$6:P93,"保留中"),"")</f>
        <v/>
      </c>
    </row>
    <row r="94">
      <c r="A94" s="12" t="n">
        <v>7202321</v>
      </c>
      <c r="B94">
        <f>IF($A94="","",IFERROR(IF(LOOKUP(2,1/(人給データ!$B$2:$B$700=$A94),人給データ!$C$2:$C$700)=0,"",LOOKUP(2,1/(人給データ!$B$2:$B$700=$A94),人給データ!$C$2:$C$700)),""))</f>
        <v/>
      </c>
      <c r="C94" t="inlineStr">
        <is>
          <t>沼田保育園</t>
        </is>
      </c>
      <c r="D94">
        <f>IF($A94="","",IFERROR(IF(LOOKUP(2,1/(人給データ!$B$2:$B$700=$A94),人給データ!$Y$2:$Y$700)=0,"",LOOKUP(2,1/(人給データ!$B$2:$B$700=$A94),人給データ!$Y$2:$Y$700)),""))</f>
        <v/>
      </c>
      <c r="E94" s="20" t="n">
        <v>45352</v>
      </c>
      <c r="F94" s="16">
        <f>IF(OR(E94="",NOT(ISNUMBER(E94))),"",DATE(YEAR(E94)+2,MONTH(E94),DAY(E94)-2))</f>
        <v/>
      </c>
      <c r="G94" s="20" t="n">
        <v>45778</v>
      </c>
      <c r="H94" s="20" t="n">
        <v>46112</v>
      </c>
      <c r="I94" s="12" t="n"/>
      <c r="J94" t="n">
        <v>23.75</v>
      </c>
      <c r="K94" s="13" t="n">
        <v>240000</v>
      </c>
      <c r="L94" s="12" t="n"/>
      <c r="M94" s="12" t="n"/>
      <c r="N94" s="11" t="n"/>
      <c r="O94" s="11" t="n"/>
      <c r="P94" s="14">
        <f>IF(AND(M94&lt;&gt;"",O94=""),"保留中","")</f>
        <v/>
      </c>
      <c r="Q94" s="14">
        <f>IF(P94="保留中",COUNTIF(P$6:P94,"保留中"),"")</f>
        <v/>
      </c>
    </row>
    <row r="95">
      <c r="A95" s="12" t="n">
        <v>7202425</v>
      </c>
      <c r="B95">
        <f>IF($A95="","",IFERROR(IF(LOOKUP(2,1/(人給データ!$B$2:$B$700=$A95),人給データ!$C$2:$C$700)=0,"",LOOKUP(2,1/(人給データ!$B$2:$B$700=$A95),人給データ!$C$2:$C$700)),""))</f>
        <v/>
      </c>
      <c r="C95" t="inlineStr">
        <is>
          <t>真亀保育園</t>
        </is>
      </c>
      <c r="D95">
        <f>IF($A95="","",IFERROR(IF(LOOKUP(2,1/(人給データ!$B$2:$B$700=$A95),人給データ!$Y$2:$Y$700)=0,"",LOOKUP(2,1/(人給データ!$B$2:$B$700=$A95),人給データ!$Y$2:$Y$700)),""))</f>
        <v/>
      </c>
      <c r="E95" s="20" t="n">
        <v>45709</v>
      </c>
      <c r="F95" s="16">
        <f>IF(OR(E95="",NOT(ISNUMBER(E95))),"",DATE(YEAR(E95)+2,MONTH(E95),DAY(E95)-2))</f>
        <v/>
      </c>
      <c r="G95" s="20" t="n">
        <v>46143</v>
      </c>
      <c r="H95" s="20" t="n">
        <v>46477</v>
      </c>
      <c r="I95" s="12" t="n"/>
      <c r="J95" t="n">
        <v>23.45</v>
      </c>
      <c r="K95" s="13" t="n">
        <v>280000</v>
      </c>
      <c r="L95" s="12" t="n"/>
      <c r="M95" s="12" t="n"/>
      <c r="N95" s="11" t="n"/>
      <c r="O95" s="11" t="n"/>
      <c r="P95" s="14">
        <f>IF(AND(M95&lt;&gt;"",O95=""),"保留中","")</f>
        <v/>
      </c>
      <c r="Q95" s="14">
        <f>IF(P95="保留中",COUNTIF(P$6:P95,"保留中"),"")</f>
        <v/>
      </c>
    </row>
    <row r="96">
      <c r="A96" s="12" t="n">
        <v>7202633</v>
      </c>
      <c r="B96">
        <f>IF($A96="","",IFERROR(IF(LOOKUP(2,1/(人給データ!$B$2:$B$700=$A96),人給データ!$C$2:$C$700)=0,"",LOOKUP(2,1/(人給データ!$B$2:$B$700=$A96),人給データ!$C$2:$C$700)),""))</f>
        <v/>
      </c>
      <c r="C96" t="inlineStr">
        <is>
          <t>東浄保育園</t>
        </is>
      </c>
      <c r="D96">
        <f>IF($A96="","",IFERROR(IF(LOOKUP(2,1/(人給データ!$B$2:$B$700=$A96),人給データ!$Y$2:$Y$700)=0,"",LOOKUP(2,1/(人給データ!$B$2:$B$700=$A96),人給データ!$Y$2:$Y$700)),""))</f>
        <v/>
      </c>
      <c r="E96" s="20" t="n">
        <v>45616</v>
      </c>
      <c r="F96" s="16">
        <f>IF(OR(E96="",NOT(ISNUMBER(E96))),"",DATE(YEAR(E96)+2,MONTH(E96),DAY(E96)-2))</f>
        <v/>
      </c>
      <c r="G96" s="20" t="n">
        <v>45962</v>
      </c>
      <c r="H96" s="20" t="n">
        <v>46112</v>
      </c>
      <c r="I96" s="12" t="n"/>
      <c r="J96" t="n">
        <v>23.75</v>
      </c>
      <c r="K96" s="13" t="n">
        <v>280000</v>
      </c>
      <c r="L96" s="12" t="inlineStr">
        <is>
          <t>育休期間変更保留</t>
        </is>
      </c>
      <c r="M96" s="12" t="inlineStr">
        <is>
          <t>育休期間の変更待ち</t>
        </is>
      </c>
      <c r="N96" s="11" t="n"/>
      <c r="O96" s="11" t="n"/>
      <c r="P96" s="14">
        <f>IF(AND(M96&lt;&gt;"",O96=""),"保留中","")</f>
        <v/>
      </c>
      <c r="Q96" s="14">
        <f>IF(P96="保留中",COUNTIF(P$6:P96,"保留中"),"")</f>
        <v/>
      </c>
    </row>
    <row r="97">
      <c r="A97" s="12" t="n">
        <v>7203161</v>
      </c>
      <c r="B97">
        <f>IF($A97="","",IFERROR(IF(LOOKUP(2,1/(人給データ!$B$2:$B$700=$A97),人給データ!$C$2:$C$700)=0,"",LOOKUP(2,1/(人給データ!$B$2:$B$700=$A97),人給データ!$C$2:$C$700)),""))</f>
        <v/>
      </c>
      <c r="C97" t="inlineStr">
        <is>
          <t>阿戸出張所</t>
        </is>
      </c>
      <c r="D97">
        <f>IF($A97="","",IFERROR(IF(LOOKUP(2,1/(人給データ!$B$2:$B$700=$A97),人給データ!$Y$2:$Y$700)=0,"",LOOKUP(2,1/(人給データ!$B$2:$B$700=$A97),人給データ!$Y$2:$Y$700)),""))</f>
        <v/>
      </c>
      <c r="E97" s="20" t="n">
        <v>45739</v>
      </c>
      <c r="F97" s="16">
        <f>IF(OR(E97="",NOT(ISNUMBER(E97))),"",DATE(YEAR(E97)+2,MONTH(E97),DAY(E97)-2))</f>
        <v/>
      </c>
      <c r="G97" s="20" t="n">
        <v>45860</v>
      </c>
      <c r="H97" s="20" t="n">
        <v>45891</v>
      </c>
      <c r="I97" s="12" t="n"/>
      <c r="J97" t="n">
        <v>23.75</v>
      </c>
      <c r="K97" s="13" t="n">
        <v>410000</v>
      </c>
      <c r="L97" s="12" t="n"/>
      <c r="M97" s="12" t="n"/>
      <c r="N97" s="11" t="n"/>
      <c r="O97" s="11" t="n"/>
      <c r="P97" s="14">
        <f>IF(AND(M97&lt;&gt;"",O97=""),"保留中","")</f>
        <v/>
      </c>
      <c r="Q97" s="14">
        <f>IF(P97="保留中",COUNTIF(P$6:P97,"保留中"),"")</f>
        <v/>
      </c>
    </row>
    <row r="98">
      <c r="A98" s="12" t="n">
        <v>7401929</v>
      </c>
      <c r="B98">
        <f>IF($A98="","",IFERROR(IF(LOOKUP(2,1/(人給データ!$B$2:$B$700=$A98),人給データ!$C$2:$C$700)=0,"",LOOKUP(2,1/(人給データ!$B$2:$B$700=$A98),人給データ!$C$2:$C$700)),""))</f>
        <v/>
      </c>
      <c r="C98" t="inlineStr">
        <is>
          <t>仁保新町保育園</t>
        </is>
      </c>
      <c r="D98">
        <f>IF($A98="","",IFERROR(IF(LOOKUP(2,1/(人給データ!$B$2:$B$700=$A98),人給データ!$Y$2:$Y$700)=0,"",LOOKUP(2,1/(人給データ!$B$2:$B$700=$A98),人給データ!$Y$2:$Y$700)),""))</f>
        <v/>
      </c>
      <c r="E98" s="20" t="n">
        <v>45054</v>
      </c>
      <c r="F98" s="16">
        <f>IF(OR(E98="",NOT(ISNUMBER(E98))),"",DATE(YEAR(E98)+2,MONTH(E98),DAY(E98)-2))</f>
        <v/>
      </c>
      <c r="G98" s="20" t="n">
        <v>45748</v>
      </c>
      <c r="H98" s="20" t="n">
        <v>46112</v>
      </c>
      <c r="I98" s="12" t="n"/>
      <c r="J98" t="n">
        <v>23.25</v>
      </c>
      <c r="K98" s="13" t="n">
        <v>300000</v>
      </c>
      <c r="L98" s="12" t="n"/>
      <c r="M98" s="12" t="n"/>
      <c r="N98" s="11" t="n"/>
      <c r="O98" s="11" t="n"/>
      <c r="P98" s="14">
        <f>IF(AND(M98&lt;&gt;"",O98=""),"保留中","")</f>
        <v/>
      </c>
      <c r="Q98" s="14">
        <f>IF(P98="保留中",COUNTIF(P$6:P98,"保留中"),"")</f>
        <v/>
      </c>
    </row>
    <row r="99">
      <c r="A99" s="12" t="n"/>
      <c r="B99">
        <f>IF($A99="","",IFERROR(IF(LOOKUP(2,1/(人給データ!$B$2:$B$700=$A99),人給データ!$C$2:$C$700)=0,"",LOOKUP(2,1/(人給データ!$B$2:$B$700=$A99),人給データ!$C$2:$C$700)),""))</f>
        <v/>
      </c>
      <c r="C99">
        <f>IF($A99="","",IFERROR(IF(LOOKUP(2,1/(人給データ!$B$2:$B$700=$A99),人給データ!$G$2:$G$700)=0,"",LOOKUP(2,1/(人給データ!$B$2:$B$700=$A99),人給データ!$G$2:$G$700)),""))</f>
        <v/>
      </c>
      <c r="D99">
        <f>IF($A99="","",IFERROR(IF(LOOKUP(2,1/(人給データ!$B$2:$B$700=$A99),人給データ!$Y$2:$Y$700)=0,"",LOOKUP(2,1/(人給データ!$B$2:$B$700=$A99),人給データ!$Y$2:$Y$700)),""))</f>
        <v/>
      </c>
      <c r="E99" s="20">
        <f>IF($A99="","",IFERROR(IF(LOOKUP(2,1/(人給データ!$B$2:$B$700=$A99),人給データ!$AB$2:$AB$700)=0,"",LOOKUP(2,1/(人給データ!$B$2:$B$700=$A99),人給データ!$AB$2:$AB$700)),""))</f>
        <v/>
      </c>
      <c r="F99" s="16">
        <f>IF(OR(E99="",NOT(ISNUMBER(E99))),"",DATE(YEAR(E99)+2,MONTH(E99),DAY(E99)-2))</f>
        <v/>
      </c>
      <c r="G99" s="20">
        <f>IF($A99="","",IFERROR(IF(LOOKUP(2,1/(人給データ!$B$2:$B$700=$A99),人給データ!$J$2:$J$700)=0,"",LOOKUP(2,1/(人給データ!$B$2:$B$700=$A99),人給データ!$J$2:$J$700)),""))</f>
        <v/>
      </c>
      <c r="H99" s="20">
        <f>IF($A99="","",IFERROR(IF(LOOKUP(2,1/(人給データ!$B$2:$B$700=$A99),人給データ!$K$2:$K$700)=0,"",LOOKUP(2,1/(人給データ!$B$2:$B$700=$A99),人給データ!$K$2:$K$700)),""))</f>
        <v/>
      </c>
      <c r="I99" s="12" t="n"/>
      <c r="J99">
        <f>IF($A99="","",IFERROR(IF(LOOKUP(2,1/(人給データ!$B$2:$B$700=$A99),人給データ!$N$2:$N$700)=0,"",LOOKUP(2,1/(人給データ!$B$2:$B$700=$A99),人給データ!$N$2:$N$700)),""))</f>
        <v/>
      </c>
      <c r="K99" s="13" t="n"/>
      <c r="L99" s="12" t="n"/>
      <c r="M99" s="12" t="n"/>
      <c r="N99" s="11" t="n"/>
      <c r="O99" s="11" t="n"/>
      <c r="P99" s="14">
        <f>IF(AND(M99&lt;&gt;"",O99=""),"保留中","")</f>
        <v/>
      </c>
      <c r="Q99" s="14">
        <f>IF(P99="保留中",COUNTIF(P$6:P99,"保留中"),"")</f>
        <v/>
      </c>
    </row>
    <row r="100">
      <c r="A100" s="12" t="n"/>
      <c r="B100">
        <f>IF($A100="","",IFERROR(IF(LOOKUP(2,1/(人給データ!$B$2:$B$700=$A100),人給データ!$C$2:$C$700)=0,"",LOOKUP(2,1/(人給データ!$B$2:$B$700=$A100),人給データ!$C$2:$C$700)),""))</f>
        <v/>
      </c>
      <c r="C100">
        <f>IF($A100="","",IFERROR(IF(LOOKUP(2,1/(人給データ!$B$2:$B$700=$A100),人給データ!$G$2:$G$700)=0,"",LOOKUP(2,1/(人給データ!$B$2:$B$700=$A100),人給データ!$G$2:$G$700)),""))</f>
        <v/>
      </c>
      <c r="D100">
        <f>IF($A100="","",IFERROR(IF(LOOKUP(2,1/(人給データ!$B$2:$B$700=$A100),人給データ!$Y$2:$Y$700)=0,"",LOOKUP(2,1/(人給データ!$B$2:$B$700=$A100),人給データ!$Y$2:$Y$700)),""))</f>
        <v/>
      </c>
      <c r="E100" s="20">
        <f>IF($A100="","",IFERROR(IF(LOOKUP(2,1/(人給データ!$B$2:$B$700=$A100),人給データ!$AB$2:$AB$700)=0,"",LOOKUP(2,1/(人給データ!$B$2:$B$700=$A100),人給データ!$AB$2:$AB$700)),""))</f>
        <v/>
      </c>
      <c r="F100" s="16">
        <f>IF(OR(E100="",NOT(ISNUMBER(E100))),"",DATE(YEAR(E100)+2,MONTH(E100),DAY(E100)-2))</f>
        <v/>
      </c>
      <c r="G100" s="20">
        <f>IF($A100="","",IFERROR(IF(LOOKUP(2,1/(人給データ!$B$2:$B$700=$A100),人給データ!$J$2:$J$700)=0,"",LOOKUP(2,1/(人給データ!$B$2:$B$700=$A100),人給データ!$J$2:$J$700)),""))</f>
        <v/>
      </c>
      <c r="H100" s="20">
        <f>IF($A100="","",IFERROR(IF(LOOKUP(2,1/(人給データ!$B$2:$B$700=$A100),人給データ!$K$2:$K$700)=0,"",LOOKUP(2,1/(人給データ!$B$2:$B$700=$A100),人給データ!$K$2:$K$700)),""))</f>
        <v/>
      </c>
      <c r="I100" s="12" t="n"/>
      <c r="J100">
        <f>IF($A100="","",IFERROR(IF(LOOKUP(2,1/(人給データ!$B$2:$B$700=$A100),人給データ!$N$2:$N$700)=0,"",LOOKUP(2,1/(人給データ!$B$2:$B$700=$A100),人給データ!$N$2:$N$700)),""))</f>
        <v/>
      </c>
      <c r="K100" s="13" t="n"/>
      <c r="L100" s="12" t="n"/>
      <c r="M100" s="12" t="n"/>
      <c r="N100" s="11" t="n"/>
      <c r="O100" s="11" t="n"/>
      <c r="P100" s="14">
        <f>IF(AND(M100&lt;&gt;"",O100=""),"保留中","")</f>
        <v/>
      </c>
      <c r="Q100" s="14">
        <f>IF(P100="保留中",COUNTIF(P$6:P100,"保留中"),"")</f>
        <v/>
      </c>
    </row>
    <row r="101">
      <c r="A101" s="12" t="n"/>
      <c r="B101">
        <f>IF($A101="","",IFERROR(IF(LOOKUP(2,1/(人給データ!$B$2:$B$700=$A101),人給データ!$C$2:$C$700)=0,"",LOOKUP(2,1/(人給データ!$B$2:$B$700=$A101),人給データ!$C$2:$C$700)),""))</f>
        <v/>
      </c>
      <c r="C101">
        <f>IF($A101="","",IFERROR(IF(LOOKUP(2,1/(人給データ!$B$2:$B$700=$A101),人給データ!$G$2:$G$700)=0,"",LOOKUP(2,1/(人給データ!$B$2:$B$700=$A101),人給データ!$G$2:$G$700)),""))</f>
        <v/>
      </c>
      <c r="D101">
        <f>IF($A101="","",IFERROR(IF(LOOKUP(2,1/(人給データ!$B$2:$B$700=$A101),人給データ!$Y$2:$Y$700)=0,"",LOOKUP(2,1/(人給データ!$B$2:$B$700=$A101),人給データ!$Y$2:$Y$700)),""))</f>
        <v/>
      </c>
      <c r="E101" s="20">
        <f>IF($A101="","",IFERROR(IF(LOOKUP(2,1/(人給データ!$B$2:$B$700=$A101),人給データ!$AB$2:$AB$700)=0,"",LOOKUP(2,1/(人給データ!$B$2:$B$700=$A101),人給データ!$AB$2:$AB$700)),""))</f>
        <v/>
      </c>
      <c r="F101" s="16">
        <f>IF(OR(E101="",NOT(ISNUMBER(E101))),"",DATE(YEAR(E101)+2,MONTH(E101),DAY(E101)-2))</f>
        <v/>
      </c>
      <c r="G101" s="20">
        <f>IF($A101="","",IFERROR(IF(LOOKUP(2,1/(人給データ!$B$2:$B$700=$A101),人給データ!$J$2:$J$700)=0,"",LOOKUP(2,1/(人給データ!$B$2:$B$700=$A101),人給データ!$J$2:$J$700)),""))</f>
        <v/>
      </c>
      <c r="H101" s="20">
        <f>IF($A101="","",IFERROR(IF(LOOKUP(2,1/(人給データ!$B$2:$B$700=$A101),人給データ!$K$2:$K$700)=0,"",LOOKUP(2,1/(人給データ!$B$2:$B$700=$A101),人給データ!$K$2:$K$700)),""))</f>
        <v/>
      </c>
      <c r="I101" s="12" t="n"/>
      <c r="J101">
        <f>IF($A101="","",IFERROR(IF(LOOKUP(2,1/(人給データ!$B$2:$B$700=$A101),人給データ!$N$2:$N$700)=0,"",LOOKUP(2,1/(人給データ!$B$2:$B$700=$A101),人給データ!$N$2:$N$700)),""))</f>
        <v/>
      </c>
      <c r="K101" s="13" t="n"/>
      <c r="L101" s="12" t="n"/>
      <c r="M101" s="12" t="n"/>
      <c r="N101" s="11" t="n"/>
      <c r="O101" s="11" t="n"/>
      <c r="P101" s="14">
        <f>IF(AND(M101&lt;&gt;"",O101=""),"保留中","")</f>
        <v/>
      </c>
      <c r="Q101" s="14">
        <f>IF(P101="保留中",COUNTIF(P$6:P101,"保留中"),"")</f>
        <v/>
      </c>
    </row>
    <row r="102">
      <c r="A102" s="12" t="n"/>
      <c r="B102">
        <f>IF($A102="","",IFERROR(IF(LOOKUP(2,1/(人給データ!$B$2:$B$700=$A102),人給データ!$C$2:$C$700)=0,"",LOOKUP(2,1/(人給データ!$B$2:$B$700=$A102),人給データ!$C$2:$C$700)),""))</f>
        <v/>
      </c>
      <c r="C102">
        <f>IF($A102="","",IFERROR(IF(LOOKUP(2,1/(人給データ!$B$2:$B$700=$A102),人給データ!$G$2:$G$700)=0,"",LOOKUP(2,1/(人給データ!$B$2:$B$700=$A102),人給データ!$G$2:$G$700)),""))</f>
        <v/>
      </c>
      <c r="D102">
        <f>IF($A102="","",IFERROR(IF(LOOKUP(2,1/(人給データ!$B$2:$B$700=$A102),人給データ!$Y$2:$Y$700)=0,"",LOOKUP(2,1/(人給データ!$B$2:$B$700=$A102),人給データ!$Y$2:$Y$700)),""))</f>
        <v/>
      </c>
      <c r="E102" s="20">
        <f>IF($A102="","",IFERROR(IF(LOOKUP(2,1/(人給データ!$B$2:$B$700=$A102),人給データ!$AB$2:$AB$700)=0,"",LOOKUP(2,1/(人給データ!$B$2:$B$700=$A102),人給データ!$AB$2:$AB$700)),""))</f>
        <v/>
      </c>
      <c r="F102" s="16">
        <f>IF(OR(E102="",NOT(ISNUMBER(E102))),"",DATE(YEAR(E102)+2,MONTH(E102),DAY(E102)-2))</f>
        <v/>
      </c>
      <c r="G102" s="20">
        <f>IF($A102="","",IFERROR(IF(LOOKUP(2,1/(人給データ!$B$2:$B$700=$A102),人給データ!$J$2:$J$700)=0,"",LOOKUP(2,1/(人給データ!$B$2:$B$700=$A102),人給データ!$J$2:$J$700)),""))</f>
        <v/>
      </c>
      <c r="H102" s="20">
        <f>IF($A102="","",IFERROR(IF(LOOKUP(2,1/(人給データ!$B$2:$B$700=$A102),人給データ!$K$2:$K$700)=0,"",LOOKUP(2,1/(人給データ!$B$2:$B$700=$A102),人給データ!$K$2:$K$700)),""))</f>
        <v/>
      </c>
      <c r="I102" s="12" t="n"/>
      <c r="J102">
        <f>IF($A102="","",IFERROR(IF(LOOKUP(2,1/(人給データ!$B$2:$B$700=$A102),人給データ!$N$2:$N$700)=0,"",LOOKUP(2,1/(人給データ!$B$2:$B$700=$A102),人給データ!$N$2:$N$700)),""))</f>
        <v/>
      </c>
      <c r="K102" s="13" t="n"/>
      <c r="L102" s="12" t="n"/>
      <c r="M102" s="12" t="n"/>
      <c r="N102" s="11" t="n"/>
      <c r="O102" s="11" t="n"/>
      <c r="P102" s="14">
        <f>IF(AND(M102&lt;&gt;"",O102=""),"保留中","")</f>
        <v/>
      </c>
      <c r="Q102" s="14">
        <f>IF(P102="保留中",COUNTIF(P$6:P102,"保留中"),"")</f>
        <v/>
      </c>
    </row>
    <row r="103">
      <c r="A103" s="12" t="n"/>
      <c r="B103">
        <f>IF($A103="","",IFERROR(IF(LOOKUP(2,1/(人給データ!$B$2:$B$700=$A103),人給データ!$C$2:$C$700)=0,"",LOOKUP(2,1/(人給データ!$B$2:$B$700=$A103),人給データ!$C$2:$C$700)),""))</f>
        <v/>
      </c>
      <c r="C103">
        <f>IF($A103="","",IFERROR(IF(LOOKUP(2,1/(人給データ!$B$2:$B$700=$A103),人給データ!$G$2:$G$700)=0,"",LOOKUP(2,1/(人給データ!$B$2:$B$700=$A103),人給データ!$G$2:$G$700)),""))</f>
        <v/>
      </c>
      <c r="D103">
        <f>IF($A103="","",IFERROR(IF(LOOKUP(2,1/(人給データ!$B$2:$B$700=$A103),人給データ!$Y$2:$Y$700)=0,"",LOOKUP(2,1/(人給データ!$B$2:$B$700=$A103),人給データ!$Y$2:$Y$700)),""))</f>
        <v/>
      </c>
      <c r="E103" s="20">
        <f>IF($A103="","",IFERROR(IF(LOOKUP(2,1/(人給データ!$B$2:$B$700=$A103),人給データ!$AB$2:$AB$700)=0,"",LOOKUP(2,1/(人給データ!$B$2:$B$700=$A103),人給データ!$AB$2:$AB$700)),""))</f>
        <v/>
      </c>
      <c r="F103" s="16">
        <f>IF(OR(E103="",NOT(ISNUMBER(E103))),"",DATE(YEAR(E103)+2,MONTH(E103),DAY(E103)-2))</f>
        <v/>
      </c>
      <c r="G103" s="20">
        <f>IF($A103="","",IFERROR(IF(LOOKUP(2,1/(人給データ!$B$2:$B$700=$A103),人給データ!$J$2:$J$700)=0,"",LOOKUP(2,1/(人給データ!$B$2:$B$700=$A103),人給データ!$J$2:$J$700)),""))</f>
        <v/>
      </c>
      <c r="H103" s="20">
        <f>IF($A103="","",IFERROR(IF(LOOKUP(2,1/(人給データ!$B$2:$B$700=$A103),人給データ!$K$2:$K$700)=0,"",LOOKUP(2,1/(人給データ!$B$2:$B$700=$A103),人給データ!$K$2:$K$700)),""))</f>
        <v/>
      </c>
      <c r="I103" s="12" t="n"/>
      <c r="J103">
        <f>IF($A103="","",IFERROR(IF(LOOKUP(2,1/(人給データ!$B$2:$B$700=$A103),人給データ!$N$2:$N$700)=0,"",LOOKUP(2,1/(人給データ!$B$2:$B$700=$A103),人給データ!$N$2:$N$700)),""))</f>
        <v/>
      </c>
      <c r="K103" s="13" t="n"/>
      <c r="L103" s="12" t="n"/>
      <c r="M103" s="12" t="n"/>
      <c r="N103" s="11" t="n"/>
      <c r="O103" s="11" t="n"/>
      <c r="P103" s="14">
        <f>IF(AND(M103&lt;&gt;"",O103=""),"保留中","")</f>
        <v/>
      </c>
      <c r="Q103" s="14">
        <f>IF(P103="保留中",COUNTIF(P$6:P103,"保留中"),"")</f>
        <v/>
      </c>
    </row>
    <row r="104">
      <c r="A104" s="12" t="n"/>
      <c r="B104">
        <f>IF($A104="","",IFERROR(IF(LOOKUP(2,1/(人給データ!$B$2:$B$700=$A104),人給データ!$C$2:$C$700)=0,"",LOOKUP(2,1/(人給データ!$B$2:$B$700=$A104),人給データ!$C$2:$C$700)),""))</f>
        <v/>
      </c>
      <c r="C104">
        <f>IF($A104="","",IFERROR(IF(LOOKUP(2,1/(人給データ!$B$2:$B$700=$A104),人給データ!$G$2:$G$700)=0,"",LOOKUP(2,1/(人給データ!$B$2:$B$700=$A104),人給データ!$G$2:$G$700)),""))</f>
        <v/>
      </c>
      <c r="D104">
        <f>IF($A104="","",IFERROR(IF(LOOKUP(2,1/(人給データ!$B$2:$B$700=$A104),人給データ!$Y$2:$Y$700)=0,"",LOOKUP(2,1/(人給データ!$B$2:$B$700=$A104),人給データ!$Y$2:$Y$700)),""))</f>
        <v/>
      </c>
      <c r="E104" s="20">
        <f>IF($A104="","",IFERROR(IF(LOOKUP(2,1/(人給データ!$B$2:$B$700=$A104),人給データ!$AB$2:$AB$700)=0,"",LOOKUP(2,1/(人給データ!$B$2:$B$700=$A104),人給データ!$AB$2:$AB$700)),""))</f>
        <v/>
      </c>
      <c r="F104" s="16">
        <f>IF(OR(E104="",NOT(ISNUMBER(E104))),"",DATE(YEAR(E104)+2,MONTH(E104),DAY(E104)-2))</f>
        <v/>
      </c>
      <c r="G104" s="20">
        <f>IF($A104="","",IFERROR(IF(LOOKUP(2,1/(人給データ!$B$2:$B$700=$A104),人給データ!$J$2:$J$700)=0,"",LOOKUP(2,1/(人給データ!$B$2:$B$700=$A104),人給データ!$J$2:$J$700)),""))</f>
        <v/>
      </c>
      <c r="H104" s="20">
        <f>IF($A104="","",IFERROR(IF(LOOKUP(2,1/(人給データ!$B$2:$B$700=$A104),人給データ!$K$2:$K$700)=0,"",LOOKUP(2,1/(人給データ!$B$2:$B$700=$A104),人給データ!$K$2:$K$700)),""))</f>
        <v/>
      </c>
      <c r="I104" s="12" t="n"/>
      <c r="J104">
        <f>IF($A104="","",IFERROR(IF(LOOKUP(2,1/(人給データ!$B$2:$B$700=$A104),人給データ!$N$2:$N$700)=0,"",LOOKUP(2,1/(人給データ!$B$2:$B$700=$A104),人給データ!$N$2:$N$700)),""))</f>
        <v/>
      </c>
      <c r="K104" s="13" t="n"/>
      <c r="L104" s="12" t="n"/>
      <c r="M104" s="12" t="n"/>
      <c r="N104" s="11" t="n"/>
      <c r="O104" s="11" t="n"/>
      <c r="P104" s="14">
        <f>IF(AND(M104&lt;&gt;"",O104=""),"保留中","")</f>
        <v/>
      </c>
      <c r="Q104" s="14">
        <f>IF(P104="保留中",COUNTIF(P$6:P104,"保留中"),"")</f>
        <v/>
      </c>
    </row>
    <row r="105">
      <c r="A105" s="12" t="n"/>
      <c r="B105">
        <f>IF($A105="","",IFERROR(IF(LOOKUP(2,1/(人給データ!$B$2:$B$700=$A105),人給データ!$C$2:$C$700)=0,"",LOOKUP(2,1/(人給データ!$B$2:$B$700=$A105),人給データ!$C$2:$C$700)),""))</f>
        <v/>
      </c>
      <c r="C105">
        <f>IF($A105="","",IFERROR(IF(LOOKUP(2,1/(人給データ!$B$2:$B$700=$A105),人給データ!$G$2:$G$700)=0,"",LOOKUP(2,1/(人給データ!$B$2:$B$700=$A105),人給データ!$G$2:$G$700)),""))</f>
        <v/>
      </c>
      <c r="D105">
        <f>IF($A105="","",IFERROR(IF(LOOKUP(2,1/(人給データ!$B$2:$B$700=$A105),人給データ!$Y$2:$Y$700)=0,"",LOOKUP(2,1/(人給データ!$B$2:$B$700=$A105),人給データ!$Y$2:$Y$700)),""))</f>
        <v/>
      </c>
      <c r="E105" s="20">
        <f>IF($A105="","",IFERROR(IF(LOOKUP(2,1/(人給データ!$B$2:$B$700=$A105),人給データ!$AB$2:$AB$700)=0,"",LOOKUP(2,1/(人給データ!$B$2:$B$700=$A105),人給データ!$AB$2:$AB$700)),""))</f>
        <v/>
      </c>
      <c r="F105" s="16">
        <f>IF(OR(E105="",NOT(ISNUMBER(E105))),"",DATE(YEAR(E105)+2,MONTH(E105),DAY(E105)-2))</f>
        <v/>
      </c>
      <c r="G105" s="20">
        <f>IF($A105="","",IFERROR(IF(LOOKUP(2,1/(人給データ!$B$2:$B$700=$A105),人給データ!$J$2:$J$700)=0,"",LOOKUP(2,1/(人給データ!$B$2:$B$700=$A105),人給データ!$J$2:$J$700)),""))</f>
        <v/>
      </c>
      <c r="H105" s="20">
        <f>IF($A105="","",IFERROR(IF(LOOKUP(2,1/(人給データ!$B$2:$B$700=$A105),人給データ!$K$2:$K$700)=0,"",LOOKUP(2,1/(人給データ!$B$2:$B$700=$A105),人給データ!$K$2:$K$700)),""))</f>
        <v/>
      </c>
      <c r="I105" s="12" t="n"/>
      <c r="J105">
        <f>IF($A105="","",IFERROR(IF(LOOKUP(2,1/(人給データ!$B$2:$B$700=$A105),人給データ!$N$2:$N$700)=0,"",LOOKUP(2,1/(人給データ!$B$2:$B$700=$A105),人給データ!$N$2:$N$700)),""))</f>
        <v/>
      </c>
      <c r="K105" s="13" t="n"/>
      <c r="L105" s="12" t="n"/>
      <c r="M105" s="12" t="n"/>
      <c r="N105" s="11" t="n"/>
      <c r="O105" s="11" t="n"/>
      <c r="P105" s="14">
        <f>IF(AND(M105&lt;&gt;"",O105=""),"保留中","")</f>
        <v/>
      </c>
      <c r="Q105" s="14">
        <f>IF(P105="保留中",COUNTIF(P$6:P105,"保留中"),"")</f>
        <v/>
      </c>
    </row>
    <row r="106">
      <c r="A106" s="12" t="n"/>
      <c r="B106">
        <f>IF($A106="","",IFERROR(IF(LOOKUP(2,1/(人給データ!$B$2:$B$700=$A106),人給データ!$C$2:$C$700)=0,"",LOOKUP(2,1/(人給データ!$B$2:$B$700=$A106),人給データ!$C$2:$C$700)),""))</f>
        <v/>
      </c>
      <c r="C106">
        <f>IF($A106="","",IFERROR(IF(LOOKUP(2,1/(人給データ!$B$2:$B$700=$A106),人給データ!$G$2:$G$700)=0,"",LOOKUP(2,1/(人給データ!$B$2:$B$700=$A106),人給データ!$G$2:$G$700)),""))</f>
        <v/>
      </c>
      <c r="D106">
        <f>IF($A106="","",IFERROR(IF(LOOKUP(2,1/(人給データ!$B$2:$B$700=$A106),人給データ!$Y$2:$Y$700)=0,"",LOOKUP(2,1/(人給データ!$B$2:$B$700=$A106),人給データ!$Y$2:$Y$700)),""))</f>
        <v/>
      </c>
      <c r="E106" s="20">
        <f>IF($A106="","",IFERROR(IF(LOOKUP(2,1/(人給データ!$B$2:$B$700=$A106),人給データ!$AB$2:$AB$700)=0,"",LOOKUP(2,1/(人給データ!$B$2:$B$700=$A106),人給データ!$AB$2:$AB$700)),""))</f>
        <v/>
      </c>
      <c r="F106" s="16">
        <f>IF(OR(E106="",NOT(ISNUMBER(E106))),"",DATE(YEAR(E106)+2,MONTH(E106),DAY(E106)-2))</f>
        <v/>
      </c>
      <c r="G106" s="20">
        <f>IF($A106="","",IFERROR(IF(LOOKUP(2,1/(人給データ!$B$2:$B$700=$A106),人給データ!$J$2:$J$700)=0,"",LOOKUP(2,1/(人給データ!$B$2:$B$700=$A106),人給データ!$J$2:$J$700)),""))</f>
        <v/>
      </c>
      <c r="H106" s="20">
        <f>IF($A106="","",IFERROR(IF(LOOKUP(2,1/(人給データ!$B$2:$B$700=$A106),人給データ!$K$2:$K$700)=0,"",LOOKUP(2,1/(人給データ!$B$2:$B$700=$A106),人給データ!$K$2:$K$700)),""))</f>
        <v/>
      </c>
      <c r="I106" s="12" t="n"/>
      <c r="J106">
        <f>IF($A106="","",IFERROR(IF(LOOKUP(2,1/(人給データ!$B$2:$B$700=$A106),人給データ!$N$2:$N$700)=0,"",LOOKUP(2,1/(人給データ!$B$2:$B$700=$A106),人給データ!$N$2:$N$700)),""))</f>
        <v/>
      </c>
      <c r="K106" s="13" t="n"/>
      <c r="L106" s="12" t="n"/>
      <c r="M106" s="12" t="n"/>
      <c r="N106" s="11" t="n"/>
      <c r="O106" s="11" t="n"/>
      <c r="P106" s="14">
        <f>IF(AND(M106&lt;&gt;"",O106=""),"保留中","")</f>
        <v/>
      </c>
      <c r="Q106" s="14">
        <f>IF(P106="保留中",COUNTIF(P$6:P106,"保留中"),"")</f>
        <v/>
      </c>
    </row>
    <row r="107">
      <c r="A107" s="12" t="n"/>
      <c r="B107">
        <f>IF($A107="","",IFERROR(IF(LOOKUP(2,1/(人給データ!$B$2:$B$700=$A107),人給データ!$C$2:$C$700)=0,"",LOOKUP(2,1/(人給データ!$B$2:$B$700=$A107),人給データ!$C$2:$C$700)),""))</f>
        <v/>
      </c>
      <c r="C107">
        <f>IF($A107="","",IFERROR(IF(LOOKUP(2,1/(人給データ!$B$2:$B$700=$A107),人給データ!$G$2:$G$700)=0,"",LOOKUP(2,1/(人給データ!$B$2:$B$700=$A107),人給データ!$G$2:$G$700)),""))</f>
        <v/>
      </c>
      <c r="D107">
        <f>IF($A107="","",IFERROR(IF(LOOKUP(2,1/(人給データ!$B$2:$B$700=$A107),人給データ!$Y$2:$Y$700)=0,"",LOOKUP(2,1/(人給データ!$B$2:$B$700=$A107),人給データ!$Y$2:$Y$700)),""))</f>
        <v/>
      </c>
      <c r="E107" s="20">
        <f>IF($A107="","",IFERROR(IF(LOOKUP(2,1/(人給データ!$B$2:$B$700=$A107),人給データ!$AB$2:$AB$700)=0,"",LOOKUP(2,1/(人給データ!$B$2:$B$700=$A107),人給データ!$AB$2:$AB$700)),""))</f>
        <v/>
      </c>
      <c r="F107" s="16">
        <f>IF(OR(E107="",NOT(ISNUMBER(E107))),"",DATE(YEAR(E107)+2,MONTH(E107),DAY(E107)-2))</f>
        <v/>
      </c>
      <c r="G107" s="20">
        <f>IF($A107="","",IFERROR(IF(LOOKUP(2,1/(人給データ!$B$2:$B$700=$A107),人給データ!$J$2:$J$700)=0,"",LOOKUP(2,1/(人給データ!$B$2:$B$700=$A107),人給データ!$J$2:$J$700)),""))</f>
        <v/>
      </c>
      <c r="H107" s="20">
        <f>IF($A107="","",IFERROR(IF(LOOKUP(2,1/(人給データ!$B$2:$B$700=$A107),人給データ!$K$2:$K$700)=0,"",LOOKUP(2,1/(人給データ!$B$2:$B$700=$A107),人給データ!$K$2:$K$700)),""))</f>
        <v/>
      </c>
      <c r="I107" s="12" t="n"/>
      <c r="J107">
        <f>IF($A107="","",IFERROR(IF(LOOKUP(2,1/(人給データ!$B$2:$B$700=$A107),人給データ!$N$2:$N$700)=0,"",LOOKUP(2,1/(人給データ!$B$2:$B$700=$A107),人給データ!$N$2:$N$700)),""))</f>
        <v/>
      </c>
      <c r="K107" s="13" t="n"/>
      <c r="L107" s="12" t="n"/>
      <c r="M107" s="12" t="n"/>
      <c r="N107" s="11" t="n"/>
      <c r="O107" s="11" t="n"/>
      <c r="P107" s="14">
        <f>IF(AND(M107&lt;&gt;"",O107=""),"保留中","")</f>
        <v/>
      </c>
      <c r="Q107" s="14">
        <f>IF(P107="保留中",COUNTIF(P$6:P107,"保留中"),"")</f>
        <v/>
      </c>
    </row>
    <row r="108">
      <c r="A108" s="12" t="n"/>
      <c r="B108">
        <f>IF($A108="","",IFERROR(IF(LOOKUP(2,1/(人給データ!$B$2:$B$700=$A108),人給データ!$C$2:$C$700)=0,"",LOOKUP(2,1/(人給データ!$B$2:$B$700=$A108),人給データ!$C$2:$C$700)),""))</f>
        <v/>
      </c>
      <c r="C108">
        <f>IF($A108="","",IFERROR(IF(LOOKUP(2,1/(人給データ!$B$2:$B$700=$A108),人給データ!$G$2:$G$700)=0,"",LOOKUP(2,1/(人給データ!$B$2:$B$700=$A108),人給データ!$G$2:$G$700)),""))</f>
        <v/>
      </c>
      <c r="D108">
        <f>IF($A108="","",IFERROR(IF(LOOKUP(2,1/(人給データ!$B$2:$B$700=$A108),人給データ!$Y$2:$Y$700)=0,"",LOOKUP(2,1/(人給データ!$B$2:$B$700=$A108),人給データ!$Y$2:$Y$700)),""))</f>
        <v/>
      </c>
      <c r="E108" s="20">
        <f>IF($A108="","",IFERROR(IF(LOOKUP(2,1/(人給データ!$B$2:$B$700=$A108),人給データ!$AB$2:$AB$700)=0,"",LOOKUP(2,1/(人給データ!$B$2:$B$700=$A108),人給データ!$AB$2:$AB$700)),""))</f>
        <v/>
      </c>
      <c r="F108" s="16">
        <f>IF(OR(E108="",NOT(ISNUMBER(E108))),"",DATE(YEAR(E108)+2,MONTH(E108),DAY(E108)-2))</f>
        <v/>
      </c>
      <c r="G108" s="20">
        <f>IF($A108="","",IFERROR(IF(LOOKUP(2,1/(人給データ!$B$2:$B$700=$A108),人給データ!$J$2:$J$700)=0,"",LOOKUP(2,1/(人給データ!$B$2:$B$700=$A108),人給データ!$J$2:$J$700)),""))</f>
        <v/>
      </c>
      <c r="H108" s="20">
        <f>IF($A108="","",IFERROR(IF(LOOKUP(2,1/(人給データ!$B$2:$B$700=$A108),人給データ!$K$2:$K$700)=0,"",LOOKUP(2,1/(人給データ!$B$2:$B$700=$A108),人給データ!$K$2:$K$700)),""))</f>
        <v/>
      </c>
      <c r="I108" s="12" t="n"/>
      <c r="J108">
        <f>IF($A108="","",IFERROR(IF(LOOKUP(2,1/(人給データ!$B$2:$B$700=$A108),人給データ!$N$2:$N$700)=0,"",LOOKUP(2,1/(人給データ!$B$2:$B$700=$A108),人給データ!$N$2:$N$700)),""))</f>
        <v/>
      </c>
      <c r="K108" s="13" t="n"/>
      <c r="L108" s="12" t="n"/>
      <c r="M108" s="12" t="n"/>
      <c r="N108" s="11" t="n"/>
      <c r="O108" s="11" t="n"/>
      <c r="P108" s="14">
        <f>IF(AND(M108&lt;&gt;"",O108=""),"保留中","")</f>
        <v/>
      </c>
      <c r="Q108" s="14">
        <f>IF(P108="保留中",COUNTIF(P$6:P108,"保留中"),"")</f>
        <v/>
      </c>
    </row>
    <row r="109">
      <c r="A109" s="12" t="n"/>
      <c r="B109">
        <f>IF($A109="","",IFERROR(IF(LOOKUP(2,1/(人給データ!$B$2:$B$700=$A109),人給データ!$C$2:$C$700)=0,"",LOOKUP(2,1/(人給データ!$B$2:$B$700=$A109),人給データ!$C$2:$C$700)),""))</f>
        <v/>
      </c>
      <c r="C109">
        <f>IF($A109="","",IFERROR(IF(LOOKUP(2,1/(人給データ!$B$2:$B$700=$A109),人給データ!$G$2:$G$700)=0,"",LOOKUP(2,1/(人給データ!$B$2:$B$700=$A109),人給データ!$G$2:$G$700)),""))</f>
        <v/>
      </c>
      <c r="D109">
        <f>IF($A109="","",IFERROR(IF(LOOKUP(2,1/(人給データ!$B$2:$B$700=$A109),人給データ!$Y$2:$Y$700)=0,"",LOOKUP(2,1/(人給データ!$B$2:$B$700=$A109),人給データ!$Y$2:$Y$700)),""))</f>
        <v/>
      </c>
      <c r="E109" s="20">
        <f>IF($A109="","",IFERROR(IF(LOOKUP(2,1/(人給データ!$B$2:$B$700=$A109),人給データ!$AB$2:$AB$700)=0,"",LOOKUP(2,1/(人給データ!$B$2:$B$700=$A109),人給データ!$AB$2:$AB$700)),""))</f>
        <v/>
      </c>
      <c r="F109" s="16">
        <f>IF(OR(E109="",NOT(ISNUMBER(E109))),"",DATE(YEAR(E109)+2,MONTH(E109),DAY(E109)-2))</f>
        <v/>
      </c>
      <c r="G109" s="20">
        <f>IF($A109="","",IFERROR(IF(LOOKUP(2,1/(人給データ!$B$2:$B$700=$A109),人給データ!$J$2:$J$700)=0,"",LOOKUP(2,1/(人給データ!$B$2:$B$700=$A109),人給データ!$J$2:$J$700)),""))</f>
        <v/>
      </c>
      <c r="H109" s="20">
        <f>IF($A109="","",IFERROR(IF(LOOKUP(2,1/(人給データ!$B$2:$B$700=$A109),人給データ!$K$2:$K$700)=0,"",LOOKUP(2,1/(人給データ!$B$2:$B$700=$A109),人給データ!$K$2:$K$700)),""))</f>
        <v/>
      </c>
      <c r="I109" s="12" t="n"/>
      <c r="J109">
        <f>IF($A109="","",IFERROR(IF(LOOKUP(2,1/(人給データ!$B$2:$B$700=$A109),人給データ!$N$2:$N$700)=0,"",LOOKUP(2,1/(人給データ!$B$2:$B$700=$A109),人給データ!$N$2:$N$700)),""))</f>
        <v/>
      </c>
      <c r="K109" s="13" t="n"/>
      <c r="L109" s="12" t="n"/>
      <c r="M109" s="12" t="n"/>
      <c r="N109" s="11" t="n"/>
      <c r="O109" s="11" t="n"/>
      <c r="P109" s="14">
        <f>IF(AND(M109&lt;&gt;"",O109=""),"保留中","")</f>
        <v/>
      </c>
      <c r="Q109" s="14">
        <f>IF(P109="保留中",COUNTIF(P$6:P109,"保留中"),"")</f>
        <v/>
      </c>
    </row>
    <row r="110">
      <c r="A110" s="12" t="n"/>
      <c r="B110">
        <f>IF($A110="","",IFERROR(IF(LOOKUP(2,1/(人給データ!$B$2:$B$700=$A110),人給データ!$C$2:$C$700)=0,"",LOOKUP(2,1/(人給データ!$B$2:$B$700=$A110),人給データ!$C$2:$C$700)),""))</f>
        <v/>
      </c>
      <c r="C110">
        <f>IF($A110="","",IFERROR(IF(LOOKUP(2,1/(人給データ!$B$2:$B$700=$A110),人給データ!$G$2:$G$700)=0,"",LOOKUP(2,1/(人給データ!$B$2:$B$700=$A110),人給データ!$G$2:$G$700)),""))</f>
        <v/>
      </c>
      <c r="D110">
        <f>IF($A110="","",IFERROR(IF(LOOKUP(2,1/(人給データ!$B$2:$B$700=$A110),人給データ!$Y$2:$Y$700)=0,"",LOOKUP(2,1/(人給データ!$B$2:$B$700=$A110),人給データ!$Y$2:$Y$700)),""))</f>
        <v/>
      </c>
      <c r="E110" s="20">
        <f>IF($A110="","",IFERROR(IF(LOOKUP(2,1/(人給データ!$B$2:$B$700=$A110),人給データ!$AB$2:$AB$700)=0,"",LOOKUP(2,1/(人給データ!$B$2:$B$700=$A110),人給データ!$AB$2:$AB$700)),""))</f>
        <v/>
      </c>
      <c r="F110" s="16">
        <f>IF(OR(E110="",NOT(ISNUMBER(E110))),"",DATE(YEAR(E110)+2,MONTH(E110),DAY(E110)-2))</f>
        <v/>
      </c>
      <c r="G110" s="20">
        <f>IF($A110="","",IFERROR(IF(LOOKUP(2,1/(人給データ!$B$2:$B$700=$A110),人給データ!$J$2:$J$700)=0,"",LOOKUP(2,1/(人給データ!$B$2:$B$700=$A110),人給データ!$J$2:$J$700)),""))</f>
        <v/>
      </c>
      <c r="H110" s="20">
        <f>IF($A110="","",IFERROR(IF(LOOKUP(2,1/(人給データ!$B$2:$B$700=$A110),人給データ!$K$2:$K$700)=0,"",LOOKUP(2,1/(人給データ!$B$2:$B$700=$A110),人給データ!$K$2:$K$700)),""))</f>
        <v/>
      </c>
      <c r="I110" s="12" t="n"/>
      <c r="J110">
        <f>IF($A110="","",IFERROR(IF(LOOKUP(2,1/(人給データ!$B$2:$B$700=$A110),人給データ!$N$2:$N$700)=0,"",LOOKUP(2,1/(人給データ!$B$2:$B$700=$A110),人給データ!$N$2:$N$700)),""))</f>
        <v/>
      </c>
      <c r="K110" s="13" t="n"/>
      <c r="L110" s="12" t="n"/>
      <c r="M110" s="12" t="n"/>
      <c r="N110" s="11" t="n"/>
      <c r="O110" s="11" t="n"/>
      <c r="P110" s="14">
        <f>IF(AND(M110&lt;&gt;"",O110=""),"保留中","")</f>
        <v/>
      </c>
      <c r="Q110" s="14">
        <f>IF(P110="保留中",COUNTIF(P$6:P110,"保留中"),"")</f>
        <v/>
      </c>
    </row>
    <row r="111">
      <c r="A111" s="12" t="n"/>
      <c r="B111">
        <f>IF($A111="","",IFERROR(IF(LOOKUP(2,1/(人給データ!$B$2:$B$700=$A111),人給データ!$C$2:$C$700)=0,"",LOOKUP(2,1/(人給データ!$B$2:$B$700=$A111),人給データ!$C$2:$C$700)),""))</f>
        <v/>
      </c>
      <c r="C111">
        <f>IF($A111="","",IFERROR(IF(LOOKUP(2,1/(人給データ!$B$2:$B$700=$A111),人給データ!$G$2:$G$700)=0,"",LOOKUP(2,1/(人給データ!$B$2:$B$700=$A111),人給データ!$G$2:$G$700)),""))</f>
        <v/>
      </c>
      <c r="D111">
        <f>IF($A111="","",IFERROR(IF(LOOKUP(2,1/(人給データ!$B$2:$B$700=$A111),人給データ!$Y$2:$Y$700)=0,"",LOOKUP(2,1/(人給データ!$B$2:$B$700=$A111),人給データ!$Y$2:$Y$700)),""))</f>
        <v/>
      </c>
      <c r="E111" s="20">
        <f>IF($A111="","",IFERROR(IF(LOOKUP(2,1/(人給データ!$B$2:$B$700=$A111),人給データ!$AB$2:$AB$700)=0,"",LOOKUP(2,1/(人給データ!$B$2:$B$700=$A111),人給データ!$AB$2:$AB$700)),""))</f>
        <v/>
      </c>
      <c r="F111" s="16">
        <f>IF(OR(E111="",NOT(ISNUMBER(E111))),"",DATE(YEAR(E111)+2,MONTH(E111),DAY(E111)-2))</f>
        <v/>
      </c>
      <c r="G111" s="20">
        <f>IF($A111="","",IFERROR(IF(LOOKUP(2,1/(人給データ!$B$2:$B$700=$A111),人給データ!$J$2:$J$700)=0,"",LOOKUP(2,1/(人給データ!$B$2:$B$700=$A111),人給データ!$J$2:$J$700)),""))</f>
        <v/>
      </c>
      <c r="H111" s="20">
        <f>IF($A111="","",IFERROR(IF(LOOKUP(2,1/(人給データ!$B$2:$B$700=$A111),人給データ!$K$2:$K$700)=0,"",LOOKUP(2,1/(人給データ!$B$2:$B$700=$A111),人給データ!$K$2:$K$700)),""))</f>
        <v/>
      </c>
      <c r="I111" s="12" t="n"/>
      <c r="J111">
        <f>IF($A111="","",IFERROR(IF(LOOKUP(2,1/(人給データ!$B$2:$B$700=$A111),人給データ!$N$2:$N$700)=0,"",LOOKUP(2,1/(人給データ!$B$2:$B$700=$A111),人給データ!$N$2:$N$700)),""))</f>
        <v/>
      </c>
      <c r="K111" s="13" t="n"/>
      <c r="L111" s="12" t="n"/>
      <c r="M111" s="12" t="n"/>
      <c r="N111" s="11" t="n"/>
      <c r="O111" s="11" t="n"/>
      <c r="P111" s="14">
        <f>IF(AND(M111&lt;&gt;"",O111=""),"保留中","")</f>
        <v/>
      </c>
      <c r="Q111" s="14">
        <f>IF(P111="保留中",COUNTIF(P$6:P111,"保留中"),"")</f>
        <v/>
      </c>
    </row>
    <row r="112">
      <c r="A112" s="12" t="n"/>
      <c r="B112">
        <f>IF($A112="","",IFERROR(IF(LOOKUP(2,1/(人給データ!$B$2:$B$700=$A112),人給データ!$C$2:$C$700)=0,"",LOOKUP(2,1/(人給データ!$B$2:$B$700=$A112),人給データ!$C$2:$C$700)),""))</f>
        <v/>
      </c>
      <c r="C112">
        <f>IF($A112="","",IFERROR(IF(LOOKUP(2,1/(人給データ!$B$2:$B$700=$A112),人給データ!$G$2:$G$700)=0,"",LOOKUP(2,1/(人給データ!$B$2:$B$700=$A112),人給データ!$G$2:$G$700)),""))</f>
        <v/>
      </c>
      <c r="D112">
        <f>IF($A112="","",IFERROR(IF(LOOKUP(2,1/(人給データ!$B$2:$B$700=$A112),人給データ!$Y$2:$Y$700)=0,"",LOOKUP(2,1/(人給データ!$B$2:$B$700=$A112),人給データ!$Y$2:$Y$700)),""))</f>
        <v/>
      </c>
      <c r="E112" s="20">
        <f>IF($A112="","",IFERROR(IF(LOOKUP(2,1/(人給データ!$B$2:$B$700=$A112),人給データ!$AB$2:$AB$700)=0,"",LOOKUP(2,1/(人給データ!$B$2:$B$700=$A112),人給データ!$AB$2:$AB$700)),""))</f>
        <v/>
      </c>
      <c r="F112" s="16">
        <f>IF(OR(E112="",NOT(ISNUMBER(E112))),"",DATE(YEAR(E112)+2,MONTH(E112),DAY(E112)-2))</f>
        <v/>
      </c>
      <c r="G112" s="20">
        <f>IF($A112="","",IFERROR(IF(LOOKUP(2,1/(人給データ!$B$2:$B$700=$A112),人給データ!$J$2:$J$700)=0,"",LOOKUP(2,1/(人給データ!$B$2:$B$700=$A112),人給データ!$J$2:$J$700)),""))</f>
        <v/>
      </c>
      <c r="H112" s="20">
        <f>IF($A112="","",IFERROR(IF(LOOKUP(2,1/(人給データ!$B$2:$B$700=$A112),人給データ!$K$2:$K$700)=0,"",LOOKUP(2,1/(人給データ!$B$2:$B$700=$A112),人給データ!$K$2:$K$700)),""))</f>
        <v/>
      </c>
      <c r="I112" s="12" t="n"/>
      <c r="J112">
        <f>IF($A112="","",IFERROR(IF(LOOKUP(2,1/(人給データ!$B$2:$B$700=$A112),人給データ!$N$2:$N$700)=0,"",LOOKUP(2,1/(人給データ!$B$2:$B$700=$A112),人給データ!$N$2:$N$700)),""))</f>
        <v/>
      </c>
      <c r="K112" s="13" t="n"/>
      <c r="L112" s="12" t="n"/>
      <c r="M112" s="12" t="n"/>
      <c r="N112" s="11" t="n"/>
      <c r="O112" s="11" t="n"/>
      <c r="P112" s="14">
        <f>IF(AND(M112&lt;&gt;"",O112=""),"保留中","")</f>
        <v/>
      </c>
      <c r="Q112" s="14">
        <f>IF(P112="保留中",COUNTIF(P$6:P112,"保留中"),"")</f>
        <v/>
      </c>
    </row>
    <row r="113">
      <c r="A113" s="12" t="n"/>
      <c r="B113">
        <f>IF($A113="","",IFERROR(IF(LOOKUP(2,1/(人給データ!$B$2:$B$700=$A113),人給データ!$C$2:$C$700)=0,"",LOOKUP(2,1/(人給データ!$B$2:$B$700=$A113),人給データ!$C$2:$C$700)),""))</f>
        <v/>
      </c>
      <c r="C113">
        <f>IF($A113="","",IFERROR(IF(LOOKUP(2,1/(人給データ!$B$2:$B$700=$A113),人給データ!$G$2:$G$700)=0,"",LOOKUP(2,1/(人給データ!$B$2:$B$700=$A113),人給データ!$G$2:$G$700)),""))</f>
        <v/>
      </c>
      <c r="D113">
        <f>IF($A113="","",IFERROR(IF(LOOKUP(2,1/(人給データ!$B$2:$B$700=$A113),人給データ!$Y$2:$Y$700)=0,"",LOOKUP(2,1/(人給データ!$B$2:$B$700=$A113),人給データ!$Y$2:$Y$700)),""))</f>
        <v/>
      </c>
      <c r="E113" s="20">
        <f>IF($A113="","",IFERROR(IF(LOOKUP(2,1/(人給データ!$B$2:$B$700=$A113),人給データ!$AB$2:$AB$700)=0,"",LOOKUP(2,1/(人給データ!$B$2:$B$700=$A113),人給データ!$AB$2:$AB$700)),""))</f>
        <v/>
      </c>
      <c r="F113" s="16">
        <f>IF(OR(E113="",NOT(ISNUMBER(E113))),"",DATE(YEAR(E113)+2,MONTH(E113),DAY(E113)-2))</f>
        <v/>
      </c>
      <c r="G113" s="20">
        <f>IF($A113="","",IFERROR(IF(LOOKUP(2,1/(人給データ!$B$2:$B$700=$A113),人給データ!$J$2:$J$700)=0,"",LOOKUP(2,1/(人給データ!$B$2:$B$700=$A113),人給データ!$J$2:$J$700)),""))</f>
        <v/>
      </c>
      <c r="H113" s="20">
        <f>IF($A113="","",IFERROR(IF(LOOKUP(2,1/(人給データ!$B$2:$B$700=$A113),人給データ!$K$2:$K$700)=0,"",LOOKUP(2,1/(人給データ!$B$2:$B$700=$A113),人給データ!$K$2:$K$700)),""))</f>
        <v/>
      </c>
      <c r="I113" s="12" t="n"/>
      <c r="J113">
        <f>IF($A113="","",IFERROR(IF(LOOKUP(2,1/(人給データ!$B$2:$B$700=$A113),人給データ!$N$2:$N$700)=0,"",LOOKUP(2,1/(人給データ!$B$2:$B$700=$A113),人給データ!$N$2:$N$700)),""))</f>
        <v/>
      </c>
      <c r="K113" s="13" t="n"/>
      <c r="L113" s="12" t="n"/>
      <c r="M113" s="12" t="n"/>
      <c r="N113" s="11" t="n"/>
      <c r="O113" s="11" t="n"/>
      <c r="P113" s="14">
        <f>IF(AND(M113&lt;&gt;"",O113=""),"保留中","")</f>
        <v/>
      </c>
      <c r="Q113" s="14">
        <f>IF(P113="保留中",COUNTIF(P$6:P113,"保留中"),"")</f>
        <v/>
      </c>
    </row>
    <row r="114">
      <c r="A114" s="12" t="n"/>
      <c r="B114">
        <f>IF($A114="","",IFERROR(IF(LOOKUP(2,1/(人給データ!$B$2:$B$700=$A114),人給データ!$C$2:$C$700)=0,"",LOOKUP(2,1/(人給データ!$B$2:$B$700=$A114),人給データ!$C$2:$C$700)),""))</f>
        <v/>
      </c>
      <c r="C114">
        <f>IF($A114="","",IFERROR(IF(LOOKUP(2,1/(人給データ!$B$2:$B$700=$A114),人給データ!$G$2:$G$700)=0,"",LOOKUP(2,1/(人給データ!$B$2:$B$700=$A114),人給データ!$G$2:$G$700)),""))</f>
        <v/>
      </c>
      <c r="D114">
        <f>IF($A114="","",IFERROR(IF(LOOKUP(2,1/(人給データ!$B$2:$B$700=$A114),人給データ!$Y$2:$Y$700)=0,"",LOOKUP(2,1/(人給データ!$B$2:$B$700=$A114),人給データ!$Y$2:$Y$700)),""))</f>
        <v/>
      </c>
      <c r="E114" s="20">
        <f>IF($A114="","",IFERROR(IF(LOOKUP(2,1/(人給データ!$B$2:$B$700=$A114),人給データ!$AB$2:$AB$700)=0,"",LOOKUP(2,1/(人給データ!$B$2:$B$700=$A114),人給データ!$AB$2:$AB$700)),""))</f>
        <v/>
      </c>
      <c r="F114" s="16">
        <f>IF(OR(E114="",NOT(ISNUMBER(E114))),"",DATE(YEAR(E114)+2,MONTH(E114),DAY(E114)-2))</f>
        <v/>
      </c>
      <c r="G114" s="20">
        <f>IF($A114="","",IFERROR(IF(LOOKUP(2,1/(人給データ!$B$2:$B$700=$A114),人給データ!$J$2:$J$700)=0,"",LOOKUP(2,1/(人給データ!$B$2:$B$700=$A114),人給データ!$J$2:$J$700)),""))</f>
        <v/>
      </c>
      <c r="H114" s="20">
        <f>IF($A114="","",IFERROR(IF(LOOKUP(2,1/(人給データ!$B$2:$B$700=$A114),人給データ!$K$2:$K$700)=0,"",LOOKUP(2,1/(人給データ!$B$2:$B$700=$A114),人給データ!$K$2:$K$700)),""))</f>
        <v/>
      </c>
      <c r="I114" s="12" t="n"/>
      <c r="J114">
        <f>IF($A114="","",IFERROR(IF(LOOKUP(2,1/(人給データ!$B$2:$B$700=$A114),人給データ!$N$2:$N$700)=0,"",LOOKUP(2,1/(人給データ!$B$2:$B$700=$A114),人給データ!$N$2:$N$700)),""))</f>
        <v/>
      </c>
      <c r="K114" s="13" t="n"/>
      <c r="L114" s="12" t="n"/>
      <c r="M114" s="12" t="n"/>
      <c r="N114" s="11" t="n"/>
      <c r="O114" s="11" t="n"/>
      <c r="P114" s="14">
        <f>IF(AND(M114&lt;&gt;"",O114=""),"保留中","")</f>
        <v/>
      </c>
      <c r="Q114" s="14">
        <f>IF(P114="保留中",COUNTIF(P$6:P114,"保留中"),"")</f>
        <v/>
      </c>
    </row>
    <row r="115">
      <c r="A115" s="12" t="n"/>
      <c r="B115">
        <f>IF($A115="","",IFERROR(IF(LOOKUP(2,1/(人給データ!$B$2:$B$700=$A115),人給データ!$C$2:$C$700)=0,"",LOOKUP(2,1/(人給データ!$B$2:$B$700=$A115),人給データ!$C$2:$C$700)),""))</f>
        <v/>
      </c>
      <c r="C115">
        <f>IF($A115="","",IFERROR(IF(LOOKUP(2,1/(人給データ!$B$2:$B$700=$A115),人給データ!$G$2:$G$700)=0,"",LOOKUP(2,1/(人給データ!$B$2:$B$700=$A115),人給データ!$G$2:$G$700)),""))</f>
        <v/>
      </c>
      <c r="D115">
        <f>IF($A115="","",IFERROR(IF(LOOKUP(2,1/(人給データ!$B$2:$B$700=$A115),人給データ!$Y$2:$Y$700)=0,"",LOOKUP(2,1/(人給データ!$B$2:$B$700=$A115),人給データ!$Y$2:$Y$700)),""))</f>
        <v/>
      </c>
      <c r="E115" s="20">
        <f>IF($A115="","",IFERROR(IF(LOOKUP(2,1/(人給データ!$B$2:$B$700=$A115),人給データ!$AB$2:$AB$700)=0,"",LOOKUP(2,1/(人給データ!$B$2:$B$700=$A115),人給データ!$AB$2:$AB$700)),""))</f>
        <v/>
      </c>
      <c r="F115" s="16">
        <f>IF(OR(E115="",NOT(ISNUMBER(E115))),"",DATE(YEAR(E115)+2,MONTH(E115),DAY(E115)-2))</f>
        <v/>
      </c>
      <c r="G115" s="20">
        <f>IF($A115="","",IFERROR(IF(LOOKUP(2,1/(人給データ!$B$2:$B$700=$A115),人給データ!$J$2:$J$700)=0,"",LOOKUP(2,1/(人給データ!$B$2:$B$700=$A115),人給データ!$J$2:$J$700)),""))</f>
        <v/>
      </c>
      <c r="H115" s="20">
        <f>IF($A115="","",IFERROR(IF(LOOKUP(2,1/(人給データ!$B$2:$B$700=$A115),人給データ!$K$2:$K$700)=0,"",LOOKUP(2,1/(人給データ!$B$2:$B$700=$A115),人給データ!$K$2:$K$700)),""))</f>
        <v/>
      </c>
      <c r="I115" s="12" t="n"/>
      <c r="J115">
        <f>IF($A115="","",IFERROR(IF(LOOKUP(2,1/(人給データ!$B$2:$B$700=$A115),人給データ!$N$2:$N$700)=0,"",LOOKUP(2,1/(人給データ!$B$2:$B$700=$A115),人給データ!$N$2:$N$700)),""))</f>
        <v/>
      </c>
      <c r="K115" s="13" t="n"/>
      <c r="L115" s="12" t="n"/>
      <c r="M115" s="12" t="n"/>
      <c r="N115" s="11" t="n"/>
      <c r="O115" s="11" t="n"/>
      <c r="P115" s="14">
        <f>IF(AND(M115&lt;&gt;"",O115=""),"保留中","")</f>
        <v/>
      </c>
      <c r="Q115" s="14">
        <f>IF(P115="保留中",COUNTIF(P$6:P115,"保留中"),"")</f>
        <v/>
      </c>
    </row>
    <row r="116">
      <c r="A116" s="12" t="n"/>
      <c r="B116">
        <f>IF($A116="","",IFERROR(IF(LOOKUP(2,1/(人給データ!$B$2:$B$700=$A116),人給データ!$C$2:$C$700)=0,"",LOOKUP(2,1/(人給データ!$B$2:$B$700=$A116),人給データ!$C$2:$C$700)),""))</f>
        <v/>
      </c>
      <c r="C116">
        <f>IF($A116="","",IFERROR(IF(LOOKUP(2,1/(人給データ!$B$2:$B$700=$A116),人給データ!$G$2:$G$700)=0,"",LOOKUP(2,1/(人給データ!$B$2:$B$700=$A116),人給データ!$G$2:$G$700)),""))</f>
        <v/>
      </c>
      <c r="D116">
        <f>IF($A116="","",IFERROR(IF(LOOKUP(2,1/(人給データ!$B$2:$B$700=$A116),人給データ!$Y$2:$Y$700)=0,"",LOOKUP(2,1/(人給データ!$B$2:$B$700=$A116),人給データ!$Y$2:$Y$700)),""))</f>
        <v/>
      </c>
      <c r="E116" s="20">
        <f>IF($A116="","",IFERROR(IF(LOOKUP(2,1/(人給データ!$B$2:$B$700=$A116),人給データ!$AB$2:$AB$700)=0,"",LOOKUP(2,1/(人給データ!$B$2:$B$700=$A116),人給データ!$AB$2:$AB$700)),""))</f>
        <v/>
      </c>
      <c r="F116" s="16">
        <f>IF(OR(E116="",NOT(ISNUMBER(E116))),"",DATE(YEAR(E116)+2,MONTH(E116),DAY(E116)-2))</f>
        <v/>
      </c>
      <c r="G116" s="20">
        <f>IF($A116="","",IFERROR(IF(LOOKUP(2,1/(人給データ!$B$2:$B$700=$A116),人給データ!$J$2:$J$700)=0,"",LOOKUP(2,1/(人給データ!$B$2:$B$700=$A116),人給データ!$J$2:$J$700)),""))</f>
        <v/>
      </c>
      <c r="H116" s="20">
        <f>IF($A116="","",IFERROR(IF(LOOKUP(2,1/(人給データ!$B$2:$B$700=$A116),人給データ!$K$2:$K$700)=0,"",LOOKUP(2,1/(人給データ!$B$2:$B$700=$A116),人給データ!$K$2:$K$700)),""))</f>
        <v/>
      </c>
      <c r="I116" s="12" t="n"/>
      <c r="J116">
        <f>IF($A116="","",IFERROR(IF(LOOKUP(2,1/(人給データ!$B$2:$B$700=$A116),人給データ!$N$2:$N$700)=0,"",LOOKUP(2,1/(人給データ!$B$2:$B$700=$A116),人給データ!$N$2:$N$700)),""))</f>
        <v/>
      </c>
      <c r="K116" s="13" t="n"/>
      <c r="L116" s="12" t="n"/>
      <c r="M116" s="12" t="n"/>
      <c r="N116" s="11" t="n"/>
      <c r="O116" s="11" t="n"/>
      <c r="P116" s="14">
        <f>IF(AND(M116&lt;&gt;"",O116=""),"保留中","")</f>
        <v/>
      </c>
      <c r="Q116" s="14">
        <f>IF(P116="保留中",COUNTIF(P$6:P116,"保留中"),"")</f>
        <v/>
      </c>
    </row>
    <row r="117">
      <c r="A117" s="12" t="n"/>
      <c r="B117">
        <f>IF($A117="","",IFERROR(IF(LOOKUP(2,1/(人給データ!$B$2:$B$700=$A117),人給データ!$C$2:$C$700)=0,"",LOOKUP(2,1/(人給データ!$B$2:$B$700=$A117),人給データ!$C$2:$C$700)),""))</f>
        <v/>
      </c>
      <c r="C117">
        <f>IF($A117="","",IFERROR(IF(LOOKUP(2,1/(人給データ!$B$2:$B$700=$A117),人給データ!$G$2:$G$700)=0,"",LOOKUP(2,1/(人給データ!$B$2:$B$700=$A117),人給データ!$G$2:$G$700)),""))</f>
        <v/>
      </c>
      <c r="D117">
        <f>IF($A117="","",IFERROR(IF(LOOKUP(2,1/(人給データ!$B$2:$B$700=$A117),人給データ!$Y$2:$Y$700)=0,"",LOOKUP(2,1/(人給データ!$B$2:$B$700=$A117),人給データ!$Y$2:$Y$700)),""))</f>
        <v/>
      </c>
      <c r="E117" s="20">
        <f>IF($A117="","",IFERROR(IF(LOOKUP(2,1/(人給データ!$B$2:$B$700=$A117),人給データ!$AB$2:$AB$700)=0,"",LOOKUP(2,1/(人給データ!$B$2:$B$700=$A117),人給データ!$AB$2:$AB$700)),""))</f>
        <v/>
      </c>
      <c r="F117" s="16">
        <f>IF(OR(E117="",NOT(ISNUMBER(E117))),"",DATE(YEAR(E117)+2,MONTH(E117),DAY(E117)-2))</f>
        <v/>
      </c>
      <c r="G117" s="20">
        <f>IF($A117="","",IFERROR(IF(LOOKUP(2,1/(人給データ!$B$2:$B$700=$A117),人給データ!$J$2:$J$700)=0,"",LOOKUP(2,1/(人給データ!$B$2:$B$700=$A117),人給データ!$J$2:$J$700)),""))</f>
        <v/>
      </c>
      <c r="H117" s="20">
        <f>IF($A117="","",IFERROR(IF(LOOKUP(2,1/(人給データ!$B$2:$B$700=$A117),人給データ!$K$2:$K$700)=0,"",LOOKUP(2,1/(人給データ!$B$2:$B$700=$A117),人給データ!$K$2:$K$700)),""))</f>
        <v/>
      </c>
      <c r="I117" s="12" t="n"/>
      <c r="J117">
        <f>IF($A117="","",IFERROR(IF(LOOKUP(2,1/(人給データ!$B$2:$B$700=$A117),人給データ!$N$2:$N$700)=0,"",LOOKUP(2,1/(人給データ!$B$2:$B$700=$A117),人給データ!$N$2:$N$700)),""))</f>
        <v/>
      </c>
      <c r="K117" s="13" t="n"/>
      <c r="L117" s="12" t="n"/>
      <c r="M117" s="12" t="n"/>
      <c r="N117" s="11" t="n"/>
      <c r="O117" s="11" t="n"/>
      <c r="P117" s="14">
        <f>IF(AND(M117&lt;&gt;"",O117=""),"保留中","")</f>
        <v/>
      </c>
      <c r="Q117" s="14">
        <f>IF(P117="保留中",COUNTIF(P$6:P117,"保留中"),"")</f>
        <v/>
      </c>
    </row>
    <row r="118">
      <c r="A118" s="12" t="n"/>
      <c r="B118">
        <f>IF($A118="","",IFERROR(IF(LOOKUP(2,1/(人給データ!$B$2:$B$700=$A118),人給データ!$C$2:$C$700)=0,"",LOOKUP(2,1/(人給データ!$B$2:$B$700=$A118),人給データ!$C$2:$C$700)),""))</f>
        <v/>
      </c>
      <c r="C118">
        <f>IF($A118="","",IFERROR(IF(LOOKUP(2,1/(人給データ!$B$2:$B$700=$A118),人給データ!$G$2:$G$700)=0,"",LOOKUP(2,1/(人給データ!$B$2:$B$700=$A118),人給データ!$G$2:$G$700)),""))</f>
        <v/>
      </c>
      <c r="D118">
        <f>IF($A118="","",IFERROR(IF(LOOKUP(2,1/(人給データ!$B$2:$B$700=$A118),人給データ!$Y$2:$Y$700)=0,"",LOOKUP(2,1/(人給データ!$B$2:$B$700=$A118),人給データ!$Y$2:$Y$700)),""))</f>
        <v/>
      </c>
      <c r="E118" s="20">
        <f>IF($A118="","",IFERROR(IF(LOOKUP(2,1/(人給データ!$B$2:$B$700=$A118),人給データ!$AB$2:$AB$700)=0,"",LOOKUP(2,1/(人給データ!$B$2:$B$700=$A118),人給データ!$AB$2:$AB$700)),""))</f>
        <v/>
      </c>
      <c r="F118" s="16">
        <f>IF(OR(E118="",NOT(ISNUMBER(E118))),"",DATE(YEAR(E118)+2,MONTH(E118),DAY(E118)-2))</f>
        <v/>
      </c>
      <c r="G118" s="20">
        <f>IF($A118="","",IFERROR(IF(LOOKUP(2,1/(人給データ!$B$2:$B$700=$A118),人給データ!$J$2:$J$700)=0,"",LOOKUP(2,1/(人給データ!$B$2:$B$700=$A118),人給データ!$J$2:$J$700)),""))</f>
        <v/>
      </c>
      <c r="H118" s="20">
        <f>IF($A118="","",IFERROR(IF(LOOKUP(2,1/(人給データ!$B$2:$B$700=$A118),人給データ!$K$2:$K$700)=0,"",LOOKUP(2,1/(人給データ!$B$2:$B$700=$A118),人給データ!$K$2:$K$700)),""))</f>
        <v/>
      </c>
      <c r="I118" s="12" t="n"/>
      <c r="J118">
        <f>IF($A118="","",IFERROR(IF(LOOKUP(2,1/(人給データ!$B$2:$B$700=$A118),人給データ!$N$2:$N$700)=0,"",LOOKUP(2,1/(人給データ!$B$2:$B$700=$A118),人給データ!$N$2:$N$700)),""))</f>
        <v/>
      </c>
      <c r="K118" s="13" t="n"/>
      <c r="L118" s="12" t="n"/>
      <c r="M118" s="12" t="n"/>
      <c r="N118" s="11" t="n"/>
      <c r="O118" s="11" t="n"/>
      <c r="P118" s="14">
        <f>IF(AND(M118&lt;&gt;"",O118=""),"保留中","")</f>
        <v/>
      </c>
      <c r="Q118" s="14">
        <f>IF(P118="保留中",COUNTIF(P$6:P118,"保留中"),"")</f>
        <v/>
      </c>
    </row>
    <row r="119">
      <c r="A119" s="12" t="n"/>
      <c r="B119">
        <f>IF($A119="","",IFERROR(IF(LOOKUP(2,1/(人給データ!$B$2:$B$700=$A119),人給データ!$C$2:$C$700)=0,"",LOOKUP(2,1/(人給データ!$B$2:$B$700=$A119),人給データ!$C$2:$C$700)),""))</f>
        <v/>
      </c>
      <c r="C119">
        <f>IF($A119="","",IFERROR(IF(LOOKUP(2,1/(人給データ!$B$2:$B$700=$A119),人給データ!$G$2:$G$700)=0,"",LOOKUP(2,1/(人給データ!$B$2:$B$700=$A119),人給データ!$G$2:$G$700)),""))</f>
        <v/>
      </c>
      <c r="D119">
        <f>IF($A119="","",IFERROR(IF(LOOKUP(2,1/(人給データ!$B$2:$B$700=$A119),人給データ!$Y$2:$Y$700)=0,"",LOOKUP(2,1/(人給データ!$B$2:$B$700=$A119),人給データ!$Y$2:$Y$700)),""))</f>
        <v/>
      </c>
      <c r="E119" s="20">
        <f>IF($A119="","",IFERROR(IF(LOOKUP(2,1/(人給データ!$B$2:$B$700=$A119),人給データ!$AB$2:$AB$700)=0,"",LOOKUP(2,1/(人給データ!$B$2:$B$700=$A119),人給データ!$AB$2:$AB$700)),""))</f>
        <v/>
      </c>
      <c r="F119" s="16">
        <f>IF(OR(E119="",NOT(ISNUMBER(E119))),"",DATE(YEAR(E119)+2,MONTH(E119),DAY(E119)-2))</f>
        <v/>
      </c>
      <c r="G119" s="20">
        <f>IF($A119="","",IFERROR(IF(LOOKUP(2,1/(人給データ!$B$2:$B$700=$A119),人給データ!$J$2:$J$700)=0,"",LOOKUP(2,1/(人給データ!$B$2:$B$700=$A119),人給データ!$J$2:$J$700)),""))</f>
        <v/>
      </c>
      <c r="H119" s="20">
        <f>IF($A119="","",IFERROR(IF(LOOKUP(2,1/(人給データ!$B$2:$B$700=$A119),人給データ!$K$2:$K$700)=0,"",LOOKUP(2,1/(人給データ!$B$2:$B$700=$A119),人給データ!$K$2:$K$700)),""))</f>
        <v/>
      </c>
      <c r="I119" s="12" t="n"/>
      <c r="J119">
        <f>IF($A119="","",IFERROR(IF(LOOKUP(2,1/(人給データ!$B$2:$B$700=$A119),人給データ!$N$2:$N$700)=0,"",LOOKUP(2,1/(人給データ!$B$2:$B$700=$A119),人給データ!$N$2:$N$700)),""))</f>
        <v/>
      </c>
      <c r="K119" s="13" t="n"/>
      <c r="L119" s="12" t="n"/>
      <c r="M119" s="12" t="n"/>
      <c r="N119" s="11" t="n"/>
      <c r="O119" s="11" t="n"/>
      <c r="P119" s="14">
        <f>IF(AND(M119&lt;&gt;"",O119=""),"保留中","")</f>
        <v/>
      </c>
      <c r="Q119" s="14">
        <f>IF(P119="保留中",COUNTIF(P$6:P119,"保留中"),"")</f>
        <v/>
      </c>
    </row>
    <row r="120">
      <c r="A120" s="12" t="n"/>
      <c r="B120">
        <f>IF($A120="","",IFERROR(IF(LOOKUP(2,1/(人給データ!$B$2:$B$700=$A120),人給データ!$C$2:$C$700)=0,"",LOOKUP(2,1/(人給データ!$B$2:$B$700=$A120),人給データ!$C$2:$C$700)),""))</f>
        <v/>
      </c>
      <c r="C120">
        <f>IF($A120="","",IFERROR(IF(LOOKUP(2,1/(人給データ!$B$2:$B$700=$A120),人給データ!$G$2:$G$700)=0,"",LOOKUP(2,1/(人給データ!$B$2:$B$700=$A120),人給データ!$G$2:$G$700)),""))</f>
        <v/>
      </c>
      <c r="D120">
        <f>IF($A120="","",IFERROR(IF(LOOKUP(2,1/(人給データ!$B$2:$B$700=$A120),人給データ!$Y$2:$Y$700)=0,"",LOOKUP(2,1/(人給データ!$B$2:$B$700=$A120),人給データ!$Y$2:$Y$700)),""))</f>
        <v/>
      </c>
      <c r="E120" s="20">
        <f>IF($A120="","",IFERROR(IF(LOOKUP(2,1/(人給データ!$B$2:$B$700=$A120),人給データ!$AB$2:$AB$700)=0,"",LOOKUP(2,1/(人給データ!$B$2:$B$700=$A120),人給データ!$AB$2:$AB$700)),""))</f>
        <v/>
      </c>
      <c r="F120" s="16">
        <f>IF(OR(E120="",NOT(ISNUMBER(E120))),"",DATE(YEAR(E120)+2,MONTH(E120),DAY(E120)-2))</f>
        <v/>
      </c>
      <c r="G120" s="20">
        <f>IF($A120="","",IFERROR(IF(LOOKUP(2,1/(人給データ!$B$2:$B$700=$A120),人給データ!$J$2:$J$700)=0,"",LOOKUP(2,1/(人給データ!$B$2:$B$700=$A120),人給データ!$J$2:$J$700)),""))</f>
        <v/>
      </c>
      <c r="H120" s="20">
        <f>IF($A120="","",IFERROR(IF(LOOKUP(2,1/(人給データ!$B$2:$B$700=$A120),人給データ!$K$2:$K$700)=0,"",LOOKUP(2,1/(人給データ!$B$2:$B$700=$A120),人給データ!$K$2:$K$700)),""))</f>
        <v/>
      </c>
      <c r="I120" s="12" t="n"/>
      <c r="J120">
        <f>IF($A120="","",IFERROR(IF(LOOKUP(2,1/(人給データ!$B$2:$B$700=$A120),人給データ!$N$2:$N$700)=0,"",LOOKUP(2,1/(人給データ!$B$2:$B$700=$A120),人給データ!$N$2:$N$700)),""))</f>
        <v/>
      </c>
      <c r="K120" s="13" t="n"/>
      <c r="L120" s="12" t="n"/>
      <c r="M120" s="12" t="n"/>
      <c r="N120" s="11" t="n"/>
      <c r="O120" s="11" t="n"/>
      <c r="P120" s="14">
        <f>IF(AND(M120&lt;&gt;"",O120=""),"保留中","")</f>
        <v/>
      </c>
      <c r="Q120" s="14">
        <f>IF(P120="保留中",COUNTIF(P$6:P120,"保留中"),"")</f>
        <v/>
      </c>
    </row>
    <row r="121">
      <c r="A121" s="12" t="n"/>
      <c r="B121">
        <f>IF($A121="","",IFERROR(IF(LOOKUP(2,1/(人給データ!$B$2:$B$700=$A121),人給データ!$C$2:$C$700)=0,"",LOOKUP(2,1/(人給データ!$B$2:$B$700=$A121),人給データ!$C$2:$C$700)),""))</f>
        <v/>
      </c>
      <c r="C121">
        <f>IF($A121="","",IFERROR(IF(LOOKUP(2,1/(人給データ!$B$2:$B$700=$A121),人給データ!$G$2:$G$700)=0,"",LOOKUP(2,1/(人給データ!$B$2:$B$700=$A121),人給データ!$G$2:$G$700)),""))</f>
        <v/>
      </c>
      <c r="D121">
        <f>IF($A121="","",IFERROR(IF(LOOKUP(2,1/(人給データ!$B$2:$B$700=$A121),人給データ!$Y$2:$Y$700)=0,"",LOOKUP(2,1/(人給データ!$B$2:$B$700=$A121),人給データ!$Y$2:$Y$700)),""))</f>
        <v/>
      </c>
      <c r="E121" s="20">
        <f>IF($A121="","",IFERROR(IF(LOOKUP(2,1/(人給データ!$B$2:$B$700=$A121),人給データ!$AB$2:$AB$700)=0,"",LOOKUP(2,1/(人給データ!$B$2:$B$700=$A121),人給データ!$AB$2:$AB$700)),""))</f>
        <v/>
      </c>
      <c r="F121" s="16">
        <f>IF(OR(E121="",NOT(ISNUMBER(E121))),"",DATE(YEAR(E121)+2,MONTH(E121),DAY(E121)-2))</f>
        <v/>
      </c>
      <c r="G121" s="20">
        <f>IF($A121="","",IFERROR(IF(LOOKUP(2,1/(人給データ!$B$2:$B$700=$A121),人給データ!$J$2:$J$700)=0,"",LOOKUP(2,1/(人給データ!$B$2:$B$700=$A121),人給データ!$J$2:$J$700)),""))</f>
        <v/>
      </c>
      <c r="H121" s="20">
        <f>IF($A121="","",IFERROR(IF(LOOKUP(2,1/(人給データ!$B$2:$B$700=$A121),人給データ!$K$2:$K$700)=0,"",LOOKUP(2,1/(人給データ!$B$2:$B$700=$A121),人給データ!$K$2:$K$700)),""))</f>
        <v/>
      </c>
      <c r="I121" s="12" t="n"/>
      <c r="J121">
        <f>IF($A121="","",IFERROR(IF(LOOKUP(2,1/(人給データ!$B$2:$B$700=$A121),人給データ!$N$2:$N$700)=0,"",LOOKUP(2,1/(人給データ!$B$2:$B$700=$A121),人給データ!$N$2:$N$700)),""))</f>
        <v/>
      </c>
      <c r="K121" s="13" t="n"/>
      <c r="L121" s="12" t="n"/>
      <c r="M121" s="12" t="n"/>
      <c r="N121" s="11" t="n"/>
      <c r="O121" s="11" t="n"/>
      <c r="P121" s="14">
        <f>IF(AND(M121&lt;&gt;"",O121=""),"保留中","")</f>
        <v/>
      </c>
      <c r="Q121" s="14">
        <f>IF(P121="保留中",COUNTIF(P$6:P121,"保留中"),"")</f>
        <v/>
      </c>
    </row>
    <row r="122">
      <c r="A122" s="12" t="n"/>
      <c r="B122">
        <f>IF($A122="","",IFERROR(IF(LOOKUP(2,1/(人給データ!$B$2:$B$700=$A122),人給データ!$C$2:$C$700)=0,"",LOOKUP(2,1/(人給データ!$B$2:$B$700=$A122),人給データ!$C$2:$C$700)),""))</f>
        <v/>
      </c>
      <c r="C122">
        <f>IF($A122="","",IFERROR(IF(LOOKUP(2,1/(人給データ!$B$2:$B$700=$A122),人給データ!$G$2:$G$700)=0,"",LOOKUP(2,1/(人給データ!$B$2:$B$700=$A122),人給データ!$G$2:$G$700)),""))</f>
        <v/>
      </c>
      <c r="D122">
        <f>IF($A122="","",IFERROR(IF(LOOKUP(2,1/(人給データ!$B$2:$B$700=$A122),人給データ!$Y$2:$Y$700)=0,"",LOOKUP(2,1/(人給データ!$B$2:$B$700=$A122),人給データ!$Y$2:$Y$700)),""))</f>
        <v/>
      </c>
      <c r="E122" s="20">
        <f>IF($A122="","",IFERROR(IF(LOOKUP(2,1/(人給データ!$B$2:$B$700=$A122),人給データ!$AB$2:$AB$700)=0,"",LOOKUP(2,1/(人給データ!$B$2:$B$700=$A122),人給データ!$AB$2:$AB$700)),""))</f>
        <v/>
      </c>
      <c r="F122" s="16">
        <f>IF(OR(E122="",NOT(ISNUMBER(E122))),"",DATE(YEAR(E122)+2,MONTH(E122),DAY(E122)-2))</f>
        <v/>
      </c>
      <c r="G122" s="20">
        <f>IF($A122="","",IFERROR(IF(LOOKUP(2,1/(人給データ!$B$2:$B$700=$A122),人給データ!$J$2:$J$700)=0,"",LOOKUP(2,1/(人給データ!$B$2:$B$700=$A122),人給データ!$J$2:$J$700)),""))</f>
        <v/>
      </c>
      <c r="H122" s="20">
        <f>IF($A122="","",IFERROR(IF(LOOKUP(2,1/(人給データ!$B$2:$B$700=$A122),人給データ!$K$2:$K$700)=0,"",LOOKUP(2,1/(人給データ!$B$2:$B$700=$A122),人給データ!$K$2:$K$700)),""))</f>
        <v/>
      </c>
      <c r="I122" s="12" t="n"/>
      <c r="J122">
        <f>IF($A122="","",IFERROR(IF(LOOKUP(2,1/(人給データ!$B$2:$B$700=$A122),人給データ!$N$2:$N$700)=0,"",LOOKUP(2,1/(人給データ!$B$2:$B$700=$A122),人給データ!$N$2:$N$700)),""))</f>
        <v/>
      </c>
      <c r="K122" s="13" t="n"/>
      <c r="L122" s="12" t="n"/>
      <c r="M122" s="12" t="n"/>
      <c r="N122" s="11" t="n"/>
      <c r="O122" s="11" t="n"/>
      <c r="P122" s="14">
        <f>IF(AND(M122&lt;&gt;"",O122=""),"保留中","")</f>
        <v/>
      </c>
      <c r="Q122" s="14">
        <f>IF(P122="保留中",COUNTIF(P$6:P122,"保留中"),"")</f>
        <v/>
      </c>
    </row>
    <row r="123">
      <c r="A123" s="12" t="n"/>
      <c r="B123">
        <f>IF($A123="","",IFERROR(IF(LOOKUP(2,1/(人給データ!$B$2:$B$700=$A123),人給データ!$C$2:$C$700)=0,"",LOOKUP(2,1/(人給データ!$B$2:$B$700=$A123),人給データ!$C$2:$C$700)),""))</f>
        <v/>
      </c>
      <c r="C123">
        <f>IF($A123="","",IFERROR(IF(LOOKUP(2,1/(人給データ!$B$2:$B$700=$A123),人給データ!$G$2:$G$700)=0,"",LOOKUP(2,1/(人給データ!$B$2:$B$700=$A123),人給データ!$G$2:$G$700)),""))</f>
        <v/>
      </c>
      <c r="D123">
        <f>IF($A123="","",IFERROR(IF(LOOKUP(2,1/(人給データ!$B$2:$B$700=$A123),人給データ!$Y$2:$Y$700)=0,"",LOOKUP(2,1/(人給データ!$B$2:$B$700=$A123),人給データ!$Y$2:$Y$700)),""))</f>
        <v/>
      </c>
      <c r="E123" s="20">
        <f>IF($A123="","",IFERROR(IF(LOOKUP(2,1/(人給データ!$B$2:$B$700=$A123),人給データ!$AB$2:$AB$700)=0,"",LOOKUP(2,1/(人給データ!$B$2:$B$700=$A123),人給データ!$AB$2:$AB$700)),""))</f>
        <v/>
      </c>
      <c r="F123" s="16">
        <f>IF(OR(E123="",NOT(ISNUMBER(E123))),"",DATE(YEAR(E123)+2,MONTH(E123),DAY(E123)-2))</f>
        <v/>
      </c>
      <c r="G123" s="20">
        <f>IF($A123="","",IFERROR(IF(LOOKUP(2,1/(人給データ!$B$2:$B$700=$A123),人給データ!$J$2:$J$700)=0,"",LOOKUP(2,1/(人給データ!$B$2:$B$700=$A123),人給データ!$J$2:$J$700)),""))</f>
        <v/>
      </c>
      <c r="H123" s="20">
        <f>IF($A123="","",IFERROR(IF(LOOKUP(2,1/(人給データ!$B$2:$B$700=$A123),人給データ!$K$2:$K$700)=0,"",LOOKUP(2,1/(人給データ!$B$2:$B$700=$A123),人給データ!$K$2:$K$700)),""))</f>
        <v/>
      </c>
      <c r="I123" s="12" t="n"/>
      <c r="J123">
        <f>IF($A123="","",IFERROR(IF(LOOKUP(2,1/(人給データ!$B$2:$B$700=$A123),人給データ!$N$2:$N$700)=0,"",LOOKUP(2,1/(人給データ!$B$2:$B$700=$A123),人給データ!$N$2:$N$700)),""))</f>
        <v/>
      </c>
      <c r="K123" s="13" t="n"/>
      <c r="L123" s="12" t="n"/>
      <c r="M123" s="12" t="n"/>
      <c r="N123" s="11" t="n"/>
      <c r="O123" s="11" t="n"/>
      <c r="P123" s="14">
        <f>IF(AND(M123&lt;&gt;"",O123=""),"保留中","")</f>
        <v/>
      </c>
      <c r="Q123" s="14">
        <f>IF(P123="保留中",COUNTIF(P$6:P123,"保留中"),"")</f>
        <v/>
      </c>
    </row>
    <row r="124">
      <c r="A124" s="12" t="n"/>
      <c r="B124">
        <f>IF($A124="","",IFERROR(IF(LOOKUP(2,1/(人給データ!$B$2:$B$700=$A124),人給データ!$C$2:$C$700)=0,"",LOOKUP(2,1/(人給データ!$B$2:$B$700=$A124),人給データ!$C$2:$C$700)),""))</f>
        <v/>
      </c>
      <c r="C124">
        <f>IF($A124="","",IFERROR(IF(LOOKUP(2,1/(人給データ!$B$2:$B$700=$A124),人給データ!$G$2:$G$700)=0,"",LOOKUP(2,1/(人給データ!$B$2:$B$700=$A124),人給データ!$G$2:$G$700)),""))</f>
        <v/>
      </c>
      <c r="D124">
        <f>IF($A124="","",IFERROR(IF(LOOKUP(2,1/(人給データ!$B$2:$B$700=$A124),人給データ!$Y$2:$Y$700)=0,"",LOOKUP(2,1/(人給データ!$B$2:$B$700=$A124),人給データ!$Y$2:$Y$700)),""))</f>
        <v/>
      </c>
      <c r="E124" s="20">
        <f>IF($A124="","",IFERROR(IF(LOOKUP(2,1/(人給データ!$B$2:$B$700=$A124),人給データ!$AB$2:$AB$700)=0,"",LOOKUP(2,1/(人給データ!$B$2:$B$700=$A124),人給データ!$AB$2:$AB$700)),""))</f>
        <v/>
      </c>
      <c r="F124" s="16">
        <f>IF(OR(E124="",NOT(ISNUMBER(E124))),"",DATE(YEAR(E124)+2,MONTH(E124),DAY(E124)-2))</f>
        <v/>
      </c>
      <c r="G124" s="20">
        <f>IF($A124="","",IFERROR(IF(LOOKUP(2,1/(人給データ!$B$2:$B$700=$A124),人給データ!$J$2:$J$700)=0,"",LOOKUP(2,1/(人給データ!$B$2:$B$700=$A124),人給データ!$J$2:$J$700)),""))</f>
        <v/>
      </c>
      <c r="H124" s="20">
        <f>IF($A124="","",IFERROR(IF(LOOKUP(2,1/(人給データ!$B$2:$B$700=$A124),人給データ!$K$2:$K$700)=0,"",LOOKUP(2,1/(人給データ!$B$2:$B$700=$A124),人給データ!$K$2:$K$700)),""))</f>
        <v/>
      </c>
      <c r="I124" s="12" t="n"/>
      <c r="J124">
        <f>IF($A124="","",IFERROR(IF(LOOKUP(2,1/(人給データ!$B$2:$B$700=$A124),人給データ!$N$2:$N$700)=0,"",LOOKUP(2,1/(人給データ!$B$2:$B$700=$A124),人給データ!$N$2:$N$700)),""))</f>
        <v/>
      </c>
      <c r="K124" s="13" t="n"/>
      <c r="L124" s="12" t="n"/>
      <c r="M124" s="12" t="n"/>
      <c r="N124" s="11" t="n"/>
      <c r="O124" s="11" t="n"/>
      <c r="P124" s="14">
        <f>IF(AND(M124&lt;&gt;"",O124=""),"保留中","")</f>
        <v/>
      </c>
      <c r="Q124" s="14">
        <f>IF(P124="保留中",COUNTIF(P$6:P124,"保留中"),"")</f>
        <v/>
      </c>
    </row>
    <row r="125">
      <c r="A125" s="12" t="n"/>
      <c r="B125">
        <f>IF($A125="","",IFERROR(IF(LOOKUP(2,1/(人給データ!$B$2:$B$700=$A125),人給データ!$C$2:$C$700)=0,"",LOOKUP(2,1/(人給データ!$B$2:$B$700=$A125),人給データ!$C$2:$C$700)),""))</f>
        <v/>
      </c>
      <c r="C125">
        <f>IF($A125="","",IFERROR(IF(LOOKUP(2,1/(人給データ!$B$2:$B$700=$A125),人給データ!$G$2:$G$700)=0,"",LOOKUP(2,1/(人給データ!$B$2:$B$700=$A125),人給データ!$G$2:$G$700)),""))</f>
        <v/>
      </c>
      <c r="D125">
        <f>IF($A125="","",IFERROR(IF(LOOKUP(2,1/(人給データ!$B$2:$B$700=$A125),人給データ!$Y$2:$Y$700)=0,"",LOOKUP(2,1/(人給データ!$B$2:$B$700=$A125),人給データ!$Y$2:$Y$700)),""))</f>
        <v/>
      </c>
      <c r="E125" s="20">
        <f>IF($A125="","",IFERROR(IF(LOOKUP(2,1/(人給データ!$B$2:$B$700=$A125),人給データ!$AB$2:$AB$700)=0,"",LOOKUP(2,1/(人給データ!$B$2:$B$700=$A125),人給データ!$AB$2:$AB$700)),""))</f>
        <v/>
      </c>
      <c r="F125" s="16">
        <f>IF(OR(E125="",NOT(ISNUMBER(E125))),"",DATE(YEAR(E125)+2,MONTH(E125),DAY(E125)-2))</f>
        <v/>
      </c>
      <c r="G125" s="20">
        <f>IF($A125="","",IFERROR(IF(LOOKUP(2,1/(人給データ!$B$2:$B$700=$A125),人給データ!$J$2:$J$700)=0,"",LOOKUP(2,1/(人給データ!$B$2:$B$700=$A125),人給データ!$J$2:$J$700)),""))</f>
        <v/>
      </c>
      <c r="H125" s="20">
        <f>IF($A125="","",IFERROR(IF(LOOKUP(2,1/(人給データ!$B$2:$B$700=$A125),人給データ!$K$2:$K$700)=0,"",LOOKUP(2,1/(人給データ!$B$2:$B$700=$A125),人給データ!$K$2:$K$700)),""))</f>
        <v/>
      </c>
      <c r="I125" s="12" t="n"/>
      <c r="J125">
        <f>IF($A125="","",IFERROR(IF(LOOKUP(2,1/(人給データ!$B$2:$B$700=$A125),人給データ!$N$2:$N$700)=0,"",LOOKUP(2,1/(人給データ!$B$2:$B$700=$A125),人給データ!$N$2:$N$700)),""))</f>
        <v/>
      </c>
      <c r="K125" s="13" t="n"/>
      <c r="L125" s="12" t="n"/>
      <c r="M125" s="12" t="n"/>
      <c r="N125" s="11" t="n"/>
      <c r="O125" s="11" t="n"/>
      <c r="P125" s="14">
        <f>IF(AND(M125&lt;&gt;"",O125=""),"保留中","")</f>
        <v/>
      </c>
      <c r="Q125" s="14">
        <f>IF(P125="保留中",COUNTIF(P$6:P125,"保留中"),"")</f>
        <v/>
      </c>
    </row>
    <row r="126">
      <c r="A126" s="12" t="n"/>
      <c r="B126">
        <f>IF($A126="","",IFERROR(IF(LOOKUP(2,1/(人給データ!$B$2:$B$700=$A126),人給データ!$C$2:$C$700)=0,"",LOOKUP(2,1/(人給データ!$B$2:$B$700=$A126),人給データ!$C$2:$C$700)),""))</f>
        <v/>
      </c>
      <c r="C126">
        <f>IF($A126="","",IFERROR(IF(LOOKUP(2,1/(人給データ!$B$2:$B$700=$A126),人給データ!$G$2:$G$700)=0,"",LOOKUP(2,1/(人給データ!$B$2:$B$700=$A126),人給データ!$G$2:$G$700)),""))</f>
        <v/>
      </c>
      <c r="D126">
        <f>IF($A126="","",IFERROR(IF(LOOKUP(2,1/(人給データ!$B$2:$B$700=$A126),人給データ!$Y$2:$Y$700)=0,"",LOOKUP(2,1/(人給データ!$B$2:$B$700=$A126),人給データ!$Y$2:$Y$700)),""))</f>
        <v/>
      </c>
      <c r="E126" s="20">
        <f>IF($A126="","",IFERROR(IF(LOOKUP(2,1/(人給データ!$B$2:$B$700=$A126),人給データ!$AB$2:$AB$700)=0,"",LOOKUP(2,1/(人給データ!$B$2:$B$700=$A126),人給データ!$AB$2:$AB$700)),""))</f>
        <v/>
      </c>
      <c r="F126" s="16">
        <f>IF(OR(E126="",NOT(ISNUMBER(E126))),"",DATE(YEAR(E126)+2,MONTH(E126),DAY(E126)-2))</f>
        <v/>
      </c>
      <c r="G126" s="20">
        <f>IF($A126="","",IFERROR(IF(LOOKUP(2,1/(人給データ!$B$2:$B$700=$A126),人給データ!$J$2:$J$700)=0,"",LOOKUP(2,1/(人給データ!$B$2:$B$700=$A126),人給データ!$J$2:$J$700)),""))</f>
        <v/>
      </c>
      <c r="H126" s="20">
        <f>IF($A126="","",IFERROR(IF(LOOKUP(2,1/(人給データ!$B$2:$B$700=$A126),人給データ!$K$2:$K$700)=0,"",LOOKUP(2,1/(人給データ!$B$2:$B$700=$A126),人給データ!$K$2:$K$700)),""))</f>
        <v/>
      </c>
      <c r="I126" s="12" t="n"/>
      <c r="J126">
        <f>IF($A126="","",IFERROR(IF(LOOKUP(2,1/(人給データ!$B$2:$B$700=$A126),人給データ!$N$2:$N$700)=0,"",LOOKUP(2,1/(人給データ!$B$2:$B$700=$A126),人給データ!$N$2:$N$700)),""))</f>
        <v/>
      </c>
      <c r="K126" s="13" t="n"/>
      <c r="L126" s="12" t="n"/>
      <c r="M126" s="12" t="n"/>
      <c r="N126" s="11" t="n"/>
      <c r="O126" s="11" t="n"/>
      <c r="P126" s="14">
        <f>IF(AND(M126&lt;&gt;"",O126=""),"保留中","")</f>
        <v/>
      </c>
      <c r="Q126" s="14">
        <f>IF(P126="保留中",COUNTIF(P$6:P126,"保留中"),"")</f>
        <v/>
      </c>
    </row>
    <row r="127">
      <c r="A127" s="12" t="n"/>
      <c r="B127">
        <f>IF($A127="","",IFERROR(IF(LOOKUP(2,1/(人給データ!$B$2:$B$700=$A127),人給データ!$C$2:$C$700)=0,"",LOOKUP(2,1/(人給データ!$B$2:$B$700=$A127),人給データ!$C$2:$C$700)),""))</f>
        <v/>
      </c>
      <c r="C127">
        <f>IF($A127="","",IFERROR(IF(LOOKUP(2,1/(人給データ!$B$2:$B$700=$A127),人給データ!$G$2:$G$700)=0,"",LOOKUP(2,1/(人給データ!$B$2:$B$700=$A127),人給データ!$G$2:$G$700)),""))</f>
        <v/>
      </c>
      <c r="D127">
        <f>IF($A127="","",IFERROR(IF(LOOKUP(2,1/(人給データ!$B$2:$B$700=$A127),人給データ!$Y$2:$Y$700)=0,"",LOOKUP(2,1/(人給データ!$B$2:$B$700=$A127),人給データ!$Y$2:$Y$700)),""))</f>
        <v/>
      </c>
      <c r="E127" s="20">
        <f>IF($A127="","",IFERROR(IF(LOOKUP(2,1/(人給データ!$B$2:$B$700=$A127),人給データ!$AB$2:$AB$700)=0,"",LOOKUP(2,1/(人給データ!$B$2:$B$700=$A127),人給データ!$AB$2:$AB$700)),""))</f>
        <v/>
      </c>
      <c r="F127" s="16">
        <f>IF(OR(E127="",NOT(ISNUMBER(E127))),"",DATE(YEAR(E127)+2,MONTH(E127),DAY(E127)-2))</f>
        <v/>
      </c>
      <c r="G127" s="20">
        <f>IF($A127="","",IFERROR(IF(LOOKUP(2,1/(人給データ!$B$2:$B$700=$A127),人給データ!$J$2:$J$700)=0,"",LOOKUP(2,1/(人給データ!$B$2:$B$700=$A127),人給データ!$J$2:$J$700)),""))</f>
        <v/>
      </c>
      <c r="H127" s="20">
        <f>IF($A127="","",IFERROR(IF(LOOKUP(2,1/(人給データ!$B$2:$B$700=$A127),人給データ!$K$2:$K$700)=0,"",LOOKUP(2,1/(人給データ!$B$2:$B$700=$A127),人給データ!$K$2:$K$700)),""))</f>
        <v/>
      </c>
      <c r="I127" s="12" t="n"/>
      <c r="J127">
        <f>IF($A127="","",IFERROR(IF(LOOKUP(2,1/(人給データ!$B$2:$B$700=$A127),人給データ!$N$2:$N$700)=0,"",LOOKUP(2,1/(人給データ!$B$2:$B$700=$A127),人給データ!$N$2:$N$700)),""))</f>
        <v/>
      </c>
      <c r="K127" s="13" t="n"/>
      <c r="L127" s="12" t="n"/>
      <c r="M127" s="12" t="n"/>
      <c r="N127" s="11" t="n"/>
      <c r="O127" s="11" t="n"/>
      <c r="P127" s="14">
        <f>IF(AND(M127&lt;&gt;"",O127=""),"保留中","")</f>
        <v/>
      </c>
      <c r="Q127" s="14">
        <f>IF(P127="保留中",COUNTIF(P$6:P127,"保留中"),"")</f>
        <v/>
      </c>
    </row>
    <row r="128">
      <c r="A128" s="12" t="n"/>
      <c r="B128">
        <f>IF($A128="","",IFERROR(IF(LOOKUP(2,1/(人給データ!$B$2:$B$700=$A128),人給データ!$C$2:$C$700)=0,"",LOOKUP(2,1/(人給データ!$B$2:$B$700=$A128),人給データ!$C$2:$C$700)),""))</f>
        <v/>
      </c>
      <c r="C128">
        <f>IF($A128="","",IFERROR(IF(LOOKUP(2,1/(人給データ!$B$2:$B$700=$A128),人給データ!$G$2:$G$700)=0,"",LOOKUP(2,1/(人給データ!$B$2:$B$700=$A128),人給データ!$G$2:$G$700)),""))</f>
        <v/>
      </c>
      <c r="D128">
        <f>IF($A128="","",IFERROR(IF(LOOKUP(2,1/(人給データ!$B$2:$B$700=$A128),人給データ!$Y$2:$Y$700)=0,"",LOOKUP(2,1/(人給データ!$B$2:$B$700=$A128),人給データ!$Y$2:$Y$700)),""))</f>
        <v/>
      </c>
      <c r="E128" s="20">
        <f>IF($A128="","",IFERROR(IF(LOOKUP(2,1/(人給データ!$B$2:$B$700=$A128),人給データ!$AB$2:$AB$700)=0,"",LOOKUP(2,1/(人給データ!$B$2:$B$700=$A128),人給データ!$AB$2:$AB$700)),""))</f>
        <v/>
      </c>
      <c r="F128" s="16">
        <f>IF(OR(E128="",NOT(ISNUMBER(E128))),"",DATE(YEAR(E128)+2,MONTH(E128),DAY(E128)-2))</f>
        <v/>
      </c>
      <c r="G128" s="20">
        <f>IF($A128="","",IFERROR(IF(LOOKUP(2,1/(人給データ!$B$2:$B$700=$A128),人給データ!$J$2:$J$700)=0,"",LOOKUP(2,1/(人給データ!$B$2:$B$700=$A128),人給データ!$J$2:$J$700)),""))</f>
        <v/>
      </c>
      <c r="H128" s="20">
        <f>IF($A128="","",IFERROR(IF(LOOKUP(2,1/(人給データ!$B$2:$B$700=$A128),人給データ!$K$2:$K$700)=0,"",LOOKUP(2,1/(人給データ!$B$2:$B$700=$A128),人給データ!$K$2:$K$700)),""))</f>
        <v/>
      </c>
      <c r="I128" s="12" t="n"/>
      <c r="J128">
        <f>IF($A128="","",IFERROR(IF(LOOKUP(2,1/(人給データ!$B$2:$B$700=$A128),人給データ!$N$2:$N$700)=0,"",LOOKUP(2,1/(人給データ!$B$2:$B$700=$A128),人給データ!$N$2:$N$700)),""))</f>
        <v/>
      </c>
      <c r="K128" s="13" t="n"/>
      <c r="L128" s="12" t="n"/>
      <c r="M128" s="12" t="n"/>
      <c r="N128" s="11" t="n"/>
      <c r="O128" s="11" t="n"/>
      <c r="P128" s="14">
        <f>IF(AND(M128&lt;&gt;"",O128=""),"保留中","")</f>
        <v/>
      </c>
      <c r="Q128" s="14">
        <f>IF(P128="保留中",COUNTIF(P$6:P128,"保留中"),"")</f>
        <v/>
      </c>
    </row>
    <row r="129">
      <c r="A129" s="12" t="n"/>
      <c r="B129">
        <f>IF($A129="","",IFERROR(IF(LOOKUP(2,1/(人給データ!$B$2:$B$700=$A129),人給データ!$C$2:$C$700)=0,"",LOOKUP(2,1/(人給データ!$B$2:$B$700=$A129),人給データ!$C$2:$C$700)),""))</f>
        <v/>
      </c>
      <c r="C129">
        <f>IF($A129="","",IFERROR(IF(LOOKUP(2,1/(人給データ!$B$2:$B$700=$A129),人給データ!$G$2:$G$700)=0,"",LOOKUP(2,1/(人給データ!$B$2:$B$700=$A129),人給データ!$G$2:$G$700)),""))</f>
        <v/>
      </c>
      <c r="D129">
        <f>IF($A129="","",IFERROR(IF(LOOKUP(2,1/(人給データ!$B$2:$B$700=$A129),人給データ!$Y$2:$Y$700)=0,"",LOOKUP(2,1/(人給データ!$B$2:$B$700=$A129),人給データ!$Y$2:$Y$700)),""))</f>
        <v/>
      </c>
      <c r="E129" s="20">
        <f>IF($A129="","",IFERROR(IF(LOOKUP(2,1/(人給データ!$B$2:$B$700=$A129),人給データ!$AB$2:$AB$700)=0,"",LOOKUP(2,1/(人給データ!$B$2:$B$700=$A129),人給データ!$AB$2:$AB$700)),""))</f>
        <v/>
      </c>
      <c r="F129" s="16">
        <f>IF(OR(E129="",NOT(ISNUMBER(E129))),"",DATE(YEAR(E129)+2,MONTH(E129),DAY(E129)-2))</f>
        <v/>
      </c>
      <c r="G129" s="20">
        <f>IF($A129="","",IFERROR(IF(LOOKUP(2,1/(人給データ!$B$2:$B$700=$A129),人給データ!$J$2:$J$700)=0,"",LOOKUP(2,1/(人給データ!$B$2:$B$700=$A129),人給データ!$J$2:$J$700)),""))</f>
        <v/>
      </c>
      <c r="H129" s="20">
        <f>IF($A129="","",IFERROR(IF(LOOKUP(2,1/(人給データ!$B$2:$B$700=$A129),人給データ!$K$2:$K$700)=0,"",LOOKUP(2,1/(人給データ!$B$2:$B$700=$A129),人給データ!$K$2:$K$700)),""))</f>
        <v/>
      </c>
      <c r="I129" s="12" t="n"/>
      <c r="J129">
        <f>IF($A129="","",IFERROR(IF(LOOKUP(2,1/(人給データ!$B$2:$B$700=$A129),人給データ!$N$2:$N$700)=0,"",LOOKUP(2,1/(人給データ!$B$2:$B$700=$A129),人給データ!$N$2:$N$700)),""))</f>
        <v/>
      </c>
      <c r="K129" s="13" t="n"/>
      <c r="L129" s="12" t="n"/>
      <c r="M129" s="12" t="n"/>
      <c r="N129" s="11" t="n"/>
      <c r="O129" s="11" t="n"/>
      <c r="P129" s="14">
        <f>IF(AND(M129&lt;&gt;"",O129=""),"保留中","")</f>
        <v/>
      </c>
      <c r="Q129" s="14">
        <f>IF(P129="保留中",COUNTIF(P$6:P129,"保留中"),"")</f>
        <v/>
      </c>
    </row>
    <row r="130">
      <c r="A130" s="12" t="n"/>
      <c r="B130">
        <f>IF($A130="","",IFERROR(IF(LOOKUP(2,1/(人給データ!$B$2:$B$700=$A130),人給データ!$C$2:$C$700)=0,"",LOOKUP(2,1/(人給データ!$B$2:$B$700=$A130),人給データ!$C$2:$C$700)),""))</f>
        <v/>
      </c>
      <c r="C130">
        <f>IF($A130="","",IFERROR(IF(LOOKUP(2,1/(人給データ!$B$2:$B$700=$A130),人給データ!$G$2:$G$700)=0,"",LOOKUP(2,1/(人給データ!$B$2:$B$700=$A130),人給データ!$G$2:$G$700)),""))</f>
        <v/>
      </c>
      <c r="D130">
        <f>IF($A130="","",IFERROR(IF(LOOKUP(2,1/(人給データ!$B$2:$B$700=$A130),人給データ!$Y$2:$Y$700)=0,"",LOOKUP(2,1/(人給データ!$B$2:$B$700=$A130),人給データ!$Y$2:$Y$700)),""))</f>
        <v/>
      </c>
      <c r="E130" s="20">
        <f>IF($A130="","",IFERROR(IF(LOOKUP(2,1/(人給データ!$B$2:$B$700=$A130),人給データ!$AB$2:$AB$700)=0,"",LOOKUP(2,1/(人給データ!$B$2:$B$700=$A130),人給データ!$AB$2:$AB$700)),""))</f>
        <v/>
      </c>
      <c r="F130" s="16">
        <f>IF(OR(E130="",NOT(ISNUMBER(E130))),"",DATE(YEAR(E130)+2,MONTH(E130),DAY(E130)-2))</f>
        <v/>
      </c>
      <c r="G130" s="20">
        <f>IF($A130="","",IFERROR(IF(LOOKUP(2,1/(人給データ!$B$2:$B$700=$A130),人給データ!$J$2:$J$700)=0,"",LOOKUP(2,1/(人給データ!$B$2:$B$700=$A130),人給データ!$J$2:$J$700)),""))</f>
        <v/>
      </c>
      <c r="H130" s="20">
        <f>IF($A130="","",IFERROR(IF(LOOKUP(2,1/(人給データ!$B$2:$B$700=$A130),人給データ!$K$2:$K$700)=0,"",LOOKUP(2,1/(人給データ!$B$2:$B$700=$A130),人給データ!$K$2:$K$700)),""))</f>
        <v/>
      </c>
      <c r="I130" s="12" t="n"/>
      <c r="J130">
        <f>IF($A130="","",IFERROR(IF(LOOKUP(2,1/(人給データ!$B$2:$B$700=$A130),人給データ!$N$2:$N$700)=0,"",LOOKUP(2,1/(人給データ!$B$2:$B$700=$A130),人給データ!$N$2:$N$700)),""))</f>
        <v/>
      </c>
      <c r="K130" s="13" t="n"/>
      <c r="L130" s="12" t="n"/>
      <c r="M130" s="12" t="n"/>
      <c r="N130" s="11" t="n"/>
      <c r="O130" s="11" t="n"/>
      <c r="P130" s="14">
        <f>IF(AND(M130&lt;&gt;"",O130=""),"保留中","")</f>
        <v/>
      </c>
      <c r="Q130" s="14">
        <f>IF(P130="保留中",COUNTIF(P$6:P130,"保留中"),"")</f>
        <v/>
      </c>
    </row>
    <row r="131">
      <c r="A131" s="12" t="n"/>
      <c r="B131">
        <f>IF($A131="","",IFERROR(IF(LOOKUP(2,1/(人給データ!$B$2:$B$700=$A131),人給データ!$C$2:$C$700)=0,"",LOOKUP(2,1/(人給データ!$B$2:$B$700=$A131),人給データ!$C$2:$C$700)),""))</f>
        <v/>
      </c>
      <c r="C131">
        <f>IF($A131="","",IFERROR(IF(LOOKUP(2,1/(人給データ!$B$2:$B$700=$A131),人給データ!$G$2:$G$700)=0,"",LOOKUP(2,1/(人給データ!$B$2:$B$700=$A131),人給データ!$G$2:$G$700)),""))</f>
        <v/>
      </c>
      <c r="D131">
        <f>IF($A131="","",IFERROR(IF(LOOKUP(2,1/(人給データ!$B$2:$B$700=$A131),人給データ!$Y$2:$Y$700)=0,"",LOOKUP(2,1/(人給データ!$B$2:$B$700=$A131),人給データ!$Y$2:$Y$700)),""))</f>
        <v/>
      </c>
      <c r="E131" s="20">
        <f>IF($A131="","",IFERROR(IF(LOOKUP(2,1/(人給データ!$B$2:$B$700=$A131),人給データ!$AB$2:$AB$700)=0,"",LOOKUP(2,1/(人給データ!$B$2:$B$700=$A131),人給データ!$AB$2:$AB$700)),""))</f>
        <v/>
      </c>
      <c r="F131" s="16">
        <f>IF(OR(E131="",NOT(ISNUMBER(E131))),"",DATE(YEAR(E131)+2,MONTH(E131),DAY(E131)-2))</f>
        <v/>
      </c>
      <c r="G131" s="20">
        <f>IF($A131="","",IFERROR(IF(LOOKUP(2,1/(人給データ!$B$2:$B$700=$A131),人給データ!$J$2:$J$700)=0,"",LOOKUP(2,1/(人給データ!$B$2:$B$700=$A131),人給データ!$J$2:$J$700)),""))</f>
        <v/>
      </c>
      <c r="H131" s="20">
        <f>IF($A131="","",IFERROR(IF(LOOKUP(2,1/(人給データ!$B$2:$B$700=$A131),人給データ!$K$2:$K$700)=0,"",LOOKUP(2,1/(人給データ!$B$2:$B$700=$A131),人給データ!$K$2:$K$700)),""))</f>
        <v/>
      </c>
      <c r="I131" s="12" t="n"/>
      <c r="J131">
        <f>IF($A131="","",IFERROR(IF(LOOKUP(2,1/(人給データ!$B$2:$B$700=$A131),人給データ!$N$2:$N$700)=0,"",LOOKUP(2,1/(人給データ!$B$2:$B$700=$A131),人給データ!$N$2:$N$700)),""))</f>
        <v/>
      </c>
      <c r="K131" s="13" t="n"/>
      <c r="L131" s="12" t="n"/>
      <c r="M131" s="12" t="n"/>
      <c r="N131" s="11" t="n"/>
      <c r="O131" s="11" t="n"/>
      <c r="P131" s="14">
        <f>IF(AND(M131&lt;&gt;"",O131=""),"保留中","")</f>
        <v/>
      </c>
      <c r="Q131" s="14">
        <f>IF(P131="保留中",COUNTIF(P$6:P131,"保留中"),"")</f>
        <v/>
      </c>
    </row>
    <row r="132">
      <c r="A132" s="12" t="n"/>
      <c r="B132">
        <f>IF($A132="","",IFERROR(IF(LOOKUP(2,1/(人給データ!$B$2:$B$700=$A132),人給データ!$C$2:$C$700)=0,"",LOOKUP(2,1/(人給データ!$B$2:$B$700=$A132),人給データ!$C$2:$C$700)),""))</f>
        <v/>
      </c>
      <c r="C132">
        <f>IF($A132="","",IFERROR(IF(LOOKUP(2,1/(人給データ!$B$2:$B$700=$A132),人給データ!$G$2:$G$700)=0,"",LOOKUP(2,1/(人給データ!$B$2:$B$700=$A132),人給データ!$G$2:$G$700)),""))</f>
        <v/>
      </c>
      <c r="D132">
        <f>IF($A132="","",IFERROR(IF(LOOKUP(2,1/(人給データ!$B$2:$B$700=$A132),人給データ!$Y$2:$Y$700)=0,"",LOOKUP(2,1/(人給データ!$B$2:$B$700=$A132),人給データ!$Y$2:$Y$700)),""))</f>
        <v/>
      </c>
      <c r="E132" s="20">
        <f>IF($A132="","",IFERROR(IF(LOOKUP(2,1/(人給データ!$B$2:$B$700=$A132),人給データ!$AB$2:$AB$700)=0,"",LOOKUP(2,1/(人給データ!$B$2:$B$700=$A132),人給データ!$AB$2:$AB$700)),""))</f>
        <v/>
      </c>
      <c r="F132" s="16">
        <f>IF(OR(E132="",NOT(ISNUMBER(E132))),"",DATE(YEAR(E132)+2,MONTH(E132),DAY(E132)-2))</f>
        <v/>
      </c>
      <c r="G132" s="20">
        <f>IF($A132="","",IFERROR(IF(LOOKUP(2,1/(人給データ!$B$2:$B$700=$A132),人給データ!$J$2:$J$700)=0,"",LOOKUP(2,1/(人給データ!$B$2:$B$700=$A132),人給データ!$J$2:$J$700)),""))</f>
        <v/>
      </c>
      <c r="H132" s="20">
        <f>IF($A132="","",IFERROR(IF(LOOKUP(2,1/(人給データ!$B$2:$B$700=$A132),人給データ!$K$2:$K$700)=0,"",LOOKUP(2,1/(人給データ!$B$2:$B$700=$A132),人給データ!$K$2:$K$700)),""))</f>
        <v/>
      </c>
      <c r="I132" s="12" t="n"/>
      <c r="J132">
        <f>IF($A132="","",IFERROR(IF(LOOKUP(2,1/(人給データ!$B$2:$B$700=$A132),人給データ!$N$2:$N$700)=0,"",LOOKUP(2,1/(人給データ!$B$2:$B$700=$A132),人給データ!$N$2:$N$700)),""))</f>
        <v/>
      </c>
      <c r="K132" s="13" t="n"/>
      <c r="L132" s="12" t="n"/>
      <c r="M132" s="12" t="n"/>
      <c r="N132" s="11" t="n"/>
      <c r="O132" s="11" t="n"/>
      <c r="P132" s="14">
        <f>IF(AND(M132&lt;&gt;"",O132=""),"保留中","")</f>
        <v/>
      </c>
      <c r="Q132" s="14">
        <f>IF(P132="保留中",COUNTIF(P$6:P132,"保留中"),"")</f>
        <v/>
      </c>
    </row>
    <row r="133">
      <c r="A133" s="12" t="n"/>
      <c r="B133">
        <f>IF($A133="","",IFERROR(IF(LOOKUP(2,1/(人給データ!$B$2:$B$700=$A133),人給データ!$C$2:$C$700)=0,"",LOOKUP(2,1/(人給データ!$B$2:$B$700=$A133),人給データ!$C$2:$C$700)),""))</f>
        <v/>
      </c>
      <c r="C133">
        <f>IF($A133="","",IFERROR(IF(LOOKUP(2,1/(人給データ!$B$2:$B$700=$A133),人給データ!$G$2:$G$700)=0,"",LOOKUP(2,1/(人給データ!$B$2:$B$700=$A133),人給データ!$G$2:$G$700)),""))</f>
        <v/>
      </c>
      <c r="D133">
        <f>IF($A133="","",IFERROR(IF(LOOKUP(2,1/(人給データ!$B$2:$B$700=$A133),人給データ!$Y$2:$Y$700)=0,"",LOOKUP(2,1/(人給データ!$B$2:$B$700=$A133),人給データ!$Y$2:$Y$700)),""))</f>
        <v/>
      </c>
      <c r="E133" s="20">
        <f>IF($A133="","",IFERROR(IF(LOOKUP(2,1/(人給データ!$B$2:$B$700=$A133),人給データ!$AB$2:$AB$700)=0,"",LOOKUP(2,1/(人給データ!$B$2:$B$700=$A133),人給データ!$AB$2:$AB$700)),""))</f>
        <v/>
      </c>
      <c r="F133" s="16">
        <f>IF(OR(E133="",NOT(ISNUMBER(E133))),"",DATE(YEAR(E133)+2,MONTH(E133),DAY(E133)-2))</f>
        <v/>
      </c>
      <c r="G133" s="20">
        <f>IF($A133="","",IFERROR(IF(LOOKUP(2,1/(人給データ!$B$2:$B$700=$A133),人給データ!$J$2:$J$700)=0,"",LOOKUP(2,1/(人給データ!$B$2:$B$700=$A133),人給データ!$J$2:$J$700)),""))</f>
        <v/>
      </c>
      <c r="H133" s="20">
        <f>IF($A133="","",IFERROR(IF(LOOKUP(2,1/(人給データ!$B$2:$B$700=$A133),人給データ!$K$2:$K$700)=0,"",LOOKUP(2,1/(人給データ!$B$2:$B$700=$A133),人給データ!$K$2:$K$700)),""))</f>
        <v/>
      </c>
      <c r="I133" s="12" t="n"/>
      <c r="J133">
        <f>IF($A133="","",IFERROR(IF(LOOKUP(2,1/(人給データ!$B$2:$B$700=$A133),人給データ!$N$2:$N$700)=0,"",LOOKUP(2,1/(人給データ!$B$2:$B$700=$A133),人給データ!$N$2:$N$700)),""))</f>
        <v/>
      </c>
      <c r="K133" s="13" t="n"/>
      <c r="L133" s="12" t="n"/>
      <c r="M133" s="12" t="n"/>
      <c r="N133" s="11" t="n"/>
      <c r="O133" s="11" t="n"/>
      <c r="P133" s="14">
        <f>IF(AND(M133&lt;&gt;"",O133=""),"保留中","")</f>
        <v/>
      </c>
      <c r="Q133" s="14">
        <f>IF(P133="保留中",COUNTIF(P$6:P133,"保留中"),"")</f>
        <v/>
      </c>
    </row>
    <row r="134">
      <c r="A134" s="12" t="n"/>
      <c r="B134">
        <f>IF($A134="","",IFERROR(IF(LOOKUP(2,1/(人給データ!$B$2:$B$700=$A134),人給データ!$C$2:$C$700)=0,"",LOOKUP(2,1/(人給データ!$B$2:$B$700=$A134),人給データ!$C$2:$C$700)),""))</f>
        <v/>
      </c>
      <c r="C134">
        <f>IF($A134="","",IFERROR(IF(LOOKUP(2,1/(人給データ!$B$2:$B$700=$A134),人給データ!$G$2:$G$700)=0,"",LOOKUP(2,1/(人給データ!$B$2:$B$700=$A134),人給データ!$G$2:$G$700)),""))</f>
        <v/>
      </c>
      <c r="D134">
        <f>IF($A134="","",IFERROR(IF(LOOKUP(2,1/(人給データ!$B$2:$B$700=$A134),人給データ!$Y$2:$Y$700)=0,"",LOOKUP(2,1/(人給データ!$B$2:$B$700=$A134),人給データ!$Y$2:$Y$700)),""))</f>
        <v/>
      </c>
      <c r="E134" s="20">
        <f>IF($A134="","",IFERROR(IF(LOOKUP(2,1/(人給データ!$B$2:$B$700=$A134),人給データ!$AB$2:$AB$700)=0,"",LOOKUP(2,1/(人給データ!$B$2:$B$700=$A134),人給データ!$AB$2:$AB$700)),""))</f>
        <v/>
      </c>
      <c r="F134" s="16">
        <f>IF(OR(E134="",NOT(ISNUMBER(E134))),"",DATE(YEAR(E134)+2,MONTH(E134),DAY(E134)-2))</f>
        <v/>
      </c>
      <c r="G134" s="20">
        <f>IF($A134="","",IFERROR(IF(LOOKUP(2,1/(人給データ!$B$2:$B$700=$A134),人給データ!$J$2:$J$700)=0,"",LOOKUP(2,1/(人給データ!$B$2:$B$700=$A134),人給データ!$J$2:$J$700)),""))</f>
        <v/>
      </c>
      <c r="H134" s="20">
        <f>IF($A134="","",IFERROR(IF(LOOKUP(2,1/(人給データ!$B$2:$B$700=$A134),人給データ!$K$2:$K$700)=0,"",LOOKUP(2,1/(人給データ!$B$2:$B$700=$A134),人給データ!$K$2:$K$700)),""))</f>
        <v/>
      </c>
      <c r="I134" s="12" t="n"/>
      <c r="J134">
        <f>IF($A134="","",IFERROR(IF(LOOKUP(2,1/(人給データ!$B$2:$B$700=$A134),人給データ!$N$2:$N$700)=0,"",LOOKUP(2,1/(人給データ!$B$2:$B$700=$A134),人給データ!$N$2:$N$700)),""))</f>
        <v/>
      </c>
      <c r="K134" s="13" t="n"/>
      <c r="L134" s="12" t="n"/>
      <c r="M134" s="12" t="n"/>
      <c r="N134" s="11" t="n"/>
      <c r="O134" s="11" t="n"/>
      <c r="P134" s="14">
        <f>IF(AND(M134&lt;&gt;"",O134=""),"保留中","")</f>
        <v/>
      </c>
      <c r="Q134" s="14">
        <f>IF(P134="保留中",COUNTIF(P$6:P134,"保留中"),"")</f>
        <v/>
      </c>
    </row>
    <row r="135">
      <c r="A135" s="12" t="n"/>
      <c r="B135">
        <f>IF($A135="","",IFERROR(IF(LOOKUP(2,1/(人給データ!$B$2:$B$700=$A135),人給データ!$C$2:$C$700)=0,"",LOOKUP(2,1/(人給データ!$B$2:$B$700=$A135),人給データ!$C$2:$C$700)),""))</f>
        <v/>
      </c>
      <c r="C135">
        <f>IF($A135="","",IFERROR(IF(LOOKUP(2,1/(人給データ!$B$2:$B$700=$A135),人給データ!$G$2:$G$700)=0,"",LOOKUP(2,1/(人給データ!$B$2:$B$700=$A135),人給データ!$G$2:$G$700)),""))</f>
        <v/>
      </c>
      <c r="D135">
        <f>IF($A135="","",IFERROR(IF(LOOKUP(2,1/(人給データ!$B$2:$B$700=$A135),人給データ!$Y$2:$Y$700)=0,"",LOOKUP(2,1/(人給データ!$B$2:$B$700=$A135),人給データ!$Y$2:$Y$700)),""))</f>
        <v/>
      </c>
      <c r="E135" s="20">
        <f>IF($A135="","",IFERROR(IF(LOOKUP(2,1/(人給データ!$B$2:$B$700=$A135),人給データ!$AB$2:$AB$700)=0,"",LOOKUP(2,1/(人給データ!$B$2:$B$700=$A135),人給データ!$AB$2:$AB$700)),""))</f>
        <v/>
      </c>
      <c r="F135" s="16">
        <f>IF(OR(E135="",NOT(ISNUMBER(E135))),"",DATE(YEAR(E135)+2,MONTH(E135),DAY(E135)-2))</f>
        <v/>
      </c>
      <c r="G135" s="20">
        <f>IF($A135="","",IFERROR(IF(LOOKUP(2,1/(人給データ!$B$2:$B$700=$A135),人給データ!$J$2:$J$700)=0,"",LOOKUP(2,1/(人給データ!$B$2:$B$700=$A135),人給データ!$J$2:$J$700)),""))</f>
        <v/>
      </c>
      <c r="H135" s="20">
        <f>IF($A135="","",IFERROR(IF(LOOKUP(2,1/(人給データ!$B$2:$B$700=$A135),人給データ!$K$2:$K$700)=0,"",LOOKUP(2,1/(人給データ!$B$2:$B$700=$A135),人給データ!$K$2:$K$700)),""))</f>
        <v/>
      </c>
      <c r="I135" s="12" t="n"/>
      <c r="J135">
        <f>IF($A135="","",IFERROR(IF(LOOKUP(2,1/(人給データ!$B$2:$B$700=$A135),人給データ!$N$2:$N$700)=0,"",LOOKUP(2,1/(人給データ!$B$2:$B$700=$A135),人給データ!$N$2:$N$700)),""))</f>
        <v/>
      </c>
      <c r="K135" s="13" t="n"/>
      <c r="L135" s="12" t="n"/>
      <c r="M135" s="12" t="n"/>
      <c r="N135" s="11" t="n"/>
      <c r="O135" s="11" t="n"/>
      <c r="P135" s="14">
        <f>IF(AND(M135&lt;&gt;"",O135=""),"保留中","")</f>
        <v/>
      </c>
      <c r="Q135" s="14">
        <f>IF(P135="保留中",COUNTIF(P$6:P135,"保留中"),"")</f>
        <v/>
      </c>
    </row>
    <row r="136">
      <c r="A136" s="12" t="n"/>
      <c r="B136">
        <f>IF($A136="","",IFERROR(IF(LOOKUP(2,1/(人給データ!$B$2:$B$700=$A136),人給データ!$C$2:$C$700)=0,"",LOOKUP(2,1/(人給データ!$B$2:$B$700=$A136),人給データ!$C$2:$C$700)),""))</f>
        <v/>
      </c>
      <c r="C136">
        <f>IF($A136="","",IFERROR(IF(LOOKUP(2,1/(人給データ!$B$2:$B$700=$A136),人給データ!$G$2:$G$700)=0,"",LOOKUP(2,1/(人給データ!$B$2:$B$700=$A136),人給データ!$G$2:$G$700)),""))</f>
        <v/>
      </c>
      <c r="D136">
        <f>IF($A136="","",IFERROR(IF(LOOKUP(2,1/(人給データ!$B$2:$B$700=$A136),人給データ!$Y$2:$Y$700)=0,"",LOOKUP(2,1/(人給データ!$B$2:$B$700=$A136),人給データ!$Y$2:$Y$700)),""))</f>
        <v/>
      </c>
      <c r="E136" s="20">
        <f>IF($A136="","",IFERROR(IF(LOOKUP(2,1/(人給データ!$B$2:$B$700=$A136),人給データ!$AB$2:$AB$700)=0,"",LOOKUP(2,1/(人給データ!$B$2:$B$700=$A136),人給データ!$AB$2:$AB$700)),""))</f>
        <v/>
      </c>
      <c r="F136" s="16">
        <f>IF(OR(E136="",NOT(ISNUMBER(E136))),"",DATE(YEAR(E136)+2,MONTH(E136),DAY(E136)-2))</f>
        <v/>
      </c>
      <c r="G136" s="20">
        <f>IF($A136="","",IFERROR(IF(LOOKUP(2,1/(人給データ!$B$2:$B$700=$A136),人給データ!$J$2:$J$700)=0,"",LOOKUP(2,1/(人給データ!$B$2:$B$700=$A136),人給データ!$J$2:$J$700)),""))</f>
        <v/>
      </c>
      <c r="H136" s="20">
        <f>IF($A136="","",IFERROR(IF(LOOKUP(2,1/(人給データ!$B$2:$B$700=$A136),人給データ!$K$2:$K$700)=0,"",LOOKUP(2,1/(人給データ!$B$2:$B$700=$A136),人給データ!$K$2:$K$700)),""))</f>
        <v/>
      </c>
      <c r="I136" s="12" t="n"/>
      <c r="J136">
        <f>IF($A136="","",IFERROR(IF(LOOKUP(2,1/(人給データ!$B$2:$B$700=$A136),人給データ!$N$2:$N$700)=0,"",LOOKUP(2,1/(人給データ!$B$2:$B$700=$A136),人給データ!$N$2:$N$700)),""))</f>
        <v/>
      </c>
      <c r="K136" s="13" t="n"/>
      <c r="L136" s="12" t="n"/>
      <c r="M136" s="12" t="n"/>
      <c r="N136" s="11" t="n"/>
      <c r="O136" s="11" t="n"/>
      <c r="P136" s="14">
        <f>IF(AND(M136&lt;&gt;"",O136=""),"保留中","")</f>
        <v/>
      </c>
      <c r="Q136" s="14">
        <f>IF(P136="保留中",COUNTIF(P$6:P136,"保留中"),"")</f>
        <v/>
      </c>
    </row>
    <row r="137">
      <c r="A137" s="12" t="n"/>
      <c r="B137">
        <f>IF($A137="","",IFERROR(IF(LOOKUP(2,1/(人給データ!$B$2:$B$700=$A137),人給データ!$C$2:$C$700)=0,"",LOOKUP(2,1/(人給データ!$B$2:$B$700=$A137),人給データ!$C$2:$C$700)),""))</f>
        <v/>
      </c>
      <c r="C137">
        <f>IF($A137="","",IFERROR(IF(LOOKUP(2,1/(人給データ!$B$2:$B$700=$A137),人給データ!$G$2:$G$700)=0,"",LOOKUP(2,1/(人給データ!$B$2:$B$700=$A137),人給データ!$G$2:$G$700)),""))</f>
        <v/>
      </c>
      <c r="D137">
        <f>IF($A137="","",IFERROR(IF(LOOKUP(2,1/(人給データ!$B$2:$B$700=$A137),人給データ!$Y$2:$Y$700)=0,"",LOOKUP(2,1/(人給データ!$B$2:$B$700=$A137),人給データ!$Y$2:$Y$700)),""))</f>
        <v/>
      </c>
      <c r="E137" s="20">
        <f>IF($A137="","",IFERROR(IF(LOOKUP(2,1/(人給データ!$B$2:$B$700=$A137),人給データ!$AB$2:$AB$700)=0,"",LOOKUP(2,1/(人給データ!$B$2:$B$700=$A137),人給データ!$AB$2:$AB$700)),""))</f>
        <v/>
      </c>
      <c r="F137" s="16">
        <f>IF(OR(E137="",NOT(ISNUMBER(E137))),"",DATE(YEAR(E137)+2,MONTH(E137),DAY(E137)-2))</f>
        <v/>
      </c>
      <c r="G137" s="20">
        <f>IF($A137="","",IFERROR(IF(LOOKUP(2,1/(人給データ!$B$2:$B$700=$A137),人給データ!$J$2:$J$700)=0,"",LOOKUP(2,1/(人給データ!$B$2:$B$700=$A137),人給データ!$J$2:$J$700)),""))</f>
        <v/>
      </c>
      <c r="H137" s="20">
        <f>IF($A137="","",IFERROR(IF(LOOKUP(2,1/(人給データ!$B$2:$B$700=$A137),人給データ!$K$2:$K$700)=0,"",LOOKUP(2,1/(人給データ!$B$2:$B$700=$A137),人給データ!$K$2:$K$700)),""))</f>
        <v/>
      </c>
      <c r="I137" s="12" t="n"/>
      <c r="J137">
        <f>IF($A137="","",IFERROR(IF(LOOKUP(2,1/(人給データ!$B$2:$B$700=$A137),人給データ!$N$2:$N$700)=0,"",LOOKUP(2,1/(人給データ!$B$2:$B$700=$A137),人給データ!$N$2:$N$700)),""))</f>
        <v/>
      </c>
      <c r="K137" s="13" t="n"/>
      <c r="L137" s="12" t="n"/>
      <c r="M137" s="12" t="n"/>
      <c r="N137" s="11" t="n"/>
      <c r="O137" s="11" t="n"/>
      <c r="P137" s="14">
        <f>IF(AND(M137&lt;&gt;"",O137=""),"保留中","")</f>
        <v/>
      </c>
      <c r="Q137" s="14">
        <f>IF(P137="保留中",COUNTIF(P$6:P137,"保留中"),"")</f>
        <v/>
      </c>
    </row>
    <row r="138">
      <c r="A138" s="12" t="n"/>
      <c r="B138">
        <f>IF($A138="","",IFERROR(IF(LOOKUP(2,1/(人給データ!$B$2:$B$700=$A138),人給データ!$C$2:$C$700)=0,"",LOOKUP(2,1/(人給データ!$B$2:$B$700=$A138),人給データ!$C$2:$C$700)),""))</f>
        <v/>
      </c>
      <c r="C138">
        <f>IF($A138="","",IFERROR(IF(LOOKUP(2,1/(人給データ!$B$2:$B$700=$A138),人給データ!$G$2:$G$700)=0,"",LOOKUP(2,1/(人給データ!$B$2:$B$700=$A138),人給データ!$G$2:$G$700)),""))</f>
        <v/>
      </c>
      <c r="D138">
        <f>IF($A138="","",IFERROR(IF(LOOKUP(2,1/(人給データ!$B$2:$B$700=$A138),人給データ!$Y$2:$Y$700)=0,"",LOOKUP(2,1/(人給データ!$B$2:$B$700=$A138),人給データ!$Y$2:$Y$700)),""))</f>
        <v/>
      </c>
      <c r="E138" s="20">
        <f>IF($A138="","",IFERROR(IF(LOOKUP(2,1/(人給データ!$B$2:$B$700=$A138),人給データ!$AB$2:$AB$700)=0,"",LOOKUP(2,1/(人給データ!$B$2:$B$700=$A138),人給データ!$AB$2:$AB$700)),""))</f>
        <v/>
      </c>
      <c r="F138" s="16">
        <f>IF(OR(E138="",NOT(ISNUMBER(E138))),"",DATE(YEAR(E138)+2,MONTH(E138),DAY(E138)-2))</f>
        <v/>
      </c>
      <c r="G138" s="20">
        <f>IF($A138="","",IFERROR(IF(LOOKUP(2,1/(人給データ!$B$2:$B$700=$A138),人給データ!$J$2:$J$700)=0,"",LOOKUP(2,1/(人給データ!$B$2:$B$700=$A138),人給データ!$J$2:$J$700)),""))</f>
        <v/>
      </c>
      <c r="H138" s="20">
        <f>IF($A138="","",IFERROR(IF(LOOKUP(2,1/(人給データ!$B$2:$B$700=$A138),人給データ!$K$2:$K$700)=0,"",LOOKUP(2,1/(人給データ!$B$2:$B$700=$A138),人給データ!$K$2:$K$700)),""))</f>
        <v/>
      </c>
      <c r="I138" s="12" t="n"/>
      <c r="J138">
        <f>IF($A138="","",IFERROR(IF(LOOKUP(2,1/(人給データ!$B$2:$B$700=$A138),人給データ!$N$2:$N$700)=0,"",LOOKUP(2,1/(人給データ!$B$2:$B$700=$A138),人給データ!$N$2:$N$700)),""))</f>
        <v/>
      </c>
      <c r="K138" s="13" t="n"/>
      <c r="L138" s="12" t="n"/>
      <c r="M138" s="12" t="n"/>
      <c r="N138" s="11" t="n"/>
      <c r="O138" s="11" t="n"/>
      <c r="P138" s="14">
        <f>IF(AND(M138&lt;&gt;"",O138=""),"保留中","")</f>
        <v/>
      </c>
      <c r="Q138" s="14">
        <f>IF(P138="保留中",COUNTIF(P$6:P138,"保留中"),"")</f>
        <v/>
      </c>
    </row>
    <row r="139">
      <c r="A139" s="12" t="n"/>
      <c r="B139">
        <f>IF($A139="","",IFERROR(IF(LOOKUP(2,1/(人給データ!$B$2:$B$700=$A139),人給データ!$C$2:$C$700)=0,"",LOOKUP(2,1/(人給データ!$B$2:$B$700=$A139),人給データ!$C$2:$C$700)),""))</f>
        <v/>
      </c>
      <c r="C139">
        <f>IF($A139="","",IFERROR(IF(LOOKUP(2,1/(人給データ!$B$2:$B$700=$A139),人給データ!$G$2:$G$700)=0,"",LOOKUP(2,1/(人給データ!$B$2:$B$700=$A139),人給データ!$G$2:$G$700)),""))</f>
        <v/>
      </c>
      <c r="D139">
        <f>IF($A139="","",IFERROR(IF(LOOKUP(2,1/(人給データ!$B$2:$B$700=$A139),人給データ!$Y$2:$Y$700)=0,"",LOOKUP(2,1/(人給データ!$B$2:$B$700=$A139),人給データ!$Y$2:$Y$700)),""))</f>
        <v/>
      </c>
      <c r="E139" s="20">
        <f>IF($A139="","",IFERROR(IF(LOOKUP(2,1/(人給データ!$B$2:$B$700=$A139),人給データ!$AB$2:$AB$700)=0,"",LOOKUP(2,1/(人給データ!$B$2:$B$700=$A139),人給データ!$AB$2:$AB$700)),""))</f>
        <v/>
      </c>
      <c r="F139" s="16">
        <f>IF(OR(E139="",NOT(ISNUMBER(E139))),"",DATE(YEAR(E139)+2,MONTH(E139),DAY(E139)-2))</f>
        <v/>
      </c>
      <c r="G139" s="20">
        <f>IF($A139="","",IFERROR(IF(LOOKUP(2,1/(人給データ!$B$2:$B$700=$A139),人給データ!$J$2:$J$700)=0,"",LOOKUP(2,1/(人給データ!$B$2:$B$700=$A139),人給データ!$J$2:$J$700)),""))</f>
        <v/>
      </c>
      <c r="H139" s="20">
        <f>IF($A139="","",IFERROR(IF(LOOKUP(2,1/(人給データ!$B$2:$B$700=$A139),人給データ!$K$2:$K$700)=0,"",LOOKUP(2,1/(人給データ!$B$2:$B$700=$A139),人給データ!$K$2:$K$700)),""))</f>
        <v/>
      </c>
      <c r="I139" s="12" t="n"/>
      <c r="J139">
        <f>IF($A139="","",IFERROR(IF(LOOKUP(2,1/(人給データ!$B$2:$B$700=$A139),人給データ!$N$2:$N$700)=0,"",LOOKUP(2,1/(人給データ!$B$2:$B$700=$A139),人給データ!$N$2:$N$700)),""))</f>
        <v/>
      </c>
      <c r="K139" s="13" t="n"/>
      <c r="L139" s="12" t="n"/>
      <c r="M139" s="12" t="n"/>
      <c r="N139" s="11" t="n"/>
      <c r="O139" s="11" t="n"/>
      <c r="P139" s="14">
        <f>IF(AND(M139&lt;&gt;"",O139=""),"保留中","")</f>
        <v/>
      </c>
      <c r="Q139" s="14">
        <f>IF(P139="保留中",COUNTIF(P$6:P139,"保留中"),"")</f>
        <v/>
      </c>
    </row>
    <row r="140">
      <c r="A140" s="12" t="n"/>
      <c r="B140">
        <f>IF($A140="","",IFERROR(IF(LOOKUP(2,1/(人給データ!$B$2:$B$700=$A140),人給データ!$C$2:$C$700)=0,"",LOOKUP(2,1/(人給データ!$B$2:$B$700=$A140),人給データ!$C$2:$C$700)),""))</f>
        <v/>
      </c>
      <c r="C140">
        <f>IF($A140="","",IFERROR(IF(LOOKUP(2,1/(人給データ!$B$2:$B$700=$A140),人給データ!$G$2:$G$700)=0,"",LOOKUP(2,1/(人給データ!$B$2:$B$700=$A140),人給データ!$G$2:$G$700)),""))</f>
        <v/>
      </c>
      <c r="D140">
        <f>IF($A140="","",IFERROR(IF(LOOKUP(2,1/(人給データ!$B$2:$B$700=$A140),人給データ!$Y$2:$Y$700)=0,"",LOOKUP(2,1/(人給データ!$B$2:$B$700=$A140),人給データ!$Y$2:$Y$700)),""))</f>
        <v/>
      </c>
      <c r="E140" s="20">
        <f>IF($A140="","",IFERROR(IF(LOOKUP(2,1/(人給データ!$B$2:$B$700=$A140),人給データ!$AB$2:$AB$700)=0,"",LOOKUP(2,1/(人給データ!$B$2:$B$700=$A140),人給データ!$AB$2:$AB$700)),""))</f>
        <v/>
      </c>
      <c r="F140" s="16">
        <f>IF(OR(E140="",NOT(ISNUMBER(E140))),"",DATE(YEAR(E140)+2,MONTH(E140),DAY(E140)-2))</f>
        <v/>
      </c>
      <c r="G140" s="20">
        <f>IF($A140="","",IFERROR(IF(LOOKUP(2,1/(人給データ!$B$2:$B$700=$A140),人給データ!$J$2:$J$700)=0,"",LOOKUP(2,1/(人給データ!$B$2:$B$700=$A140),人給データ!$J$2:$J$700)),""))</f>
        <v/>
      </c>
      <c r="H140" s="20">
        <f>IF($A140="","",IFERROR(IF(LOOKUP(2,1/(人給データ!$B$2:$B$700=$A140),人給データ!$K$2:$K$700)=0,"",LOOKUP(2,1/(人給データ!$B$2:$B$700=$A140),人給データ!$K$2:$K$700)),""))</f>
        <v/>
      </c>
      <c r="I140" s="12" t="n"/>
      <c r="J140">
        <f>IF($A140="","",IFERROR(IF(LOOKUP(2,1/(人給データ!$B$2:$B$700=$A140),人給データ!$N$2:$N$700)=0,"",LOOKUP(2,1/(人給データ!$B$2:$B$700=$A140),人給データ!$N$2:$N$700)),""))</f>
        <v/>
      </c>
      <c r="K140" s="13" t="n"/>
      <c r="L140" s="12" t="n"/>
      <c r="M140" s="12" t="n"/>
      <c r="N140" s="11" t="n"/>
      <c r="O140" s="11" t="n"/>
      <c r="P140" s="14">
        <f>IF(AND(M140&lt;&gt;"",O140=""),"保留中","")</f>
        <v/>
      </c>
      <c r="Q140" s="14">
        <f>IF(P140="保留中",COUNTIF(P$6:P140,"保留中"),"")</f>
        <v/>
      </c>
    </row>
    <row r="141">
      <c r="A141" s="12" t="n"/>
      <c r="B141">
        <f>IF($A141="","",IFERROR(IF(LOOKUP(2,1/(人給データ!$B$2:$B$700=$A141),人給データ!$C$2:$C$700)=0,"",LOOKUP(2,1/(人給データ!$B$2:$B$700=$A141),人給データ!$C$2:$C$700)),""))</f>
        <v/>
      </c>
      <c r="C141">
        <f>IF($A141="","",IFERROR(IF(LOOKUP(2,1/(人給データ!$B$2:$B$700=$A141),人給データ!$G$2:$G$700)=0,"",LOOKUP(2,1/(人給データ!$B$2:$B$700=$A141),人給データ!$G$2:$G$700)),""))</f>
        <v/>
      </c>
      <c r="D141">
        <f>IF($A141="","",IFERROR(IF(LOOKUP(2,1/(人給データ!$B$2:$B$700=$A141),人給データ!$Y$2:$Y$700)=0,"",LOOKUP(2,1/(人給データ!$B$2:$B$700=$A141),人給データ!$Y$2:$Y$700)),""))</f>
        <v/>
      </c>
      <c r="E141" s="20">
        <f>IF($A141="","",IFERROR(IF(LOOKUP(2,1/(人給データ!$B$2:$B$700=$A141),人給データ!$AB$2:$AB$700)=0,"",LOOKUP(2,1/(人給データ!$B$2:$B$700=$A141),人給データ!$AB$2:$AB$700)),""))</f>
        <v/>
      </c>
      <c r="F141" s="16">
        <f>IF(OR(E141="",NOT(ISNUMBER(E141))),"",DATE(YEAR(E141)+2,MONTH(E141),DAY(E141)-2))</f>
        <v/>
      </c>
      <c r="G141" s="20">
        <f>IF($A141="","",IFERROR(IF(LOOKUP(2,1/(人給データ!$B$2:$B$700=$A141),人給データ!$J$2:$J$700)=0,"",LOOKUP(2,1/(人給データ!$B$2:$B$700=$A141),人給データ!$J$2:$J$700)),""))</f>
        <v/>
      </c>
      <c r="H141" s="20">
        <f>IF($A141="","",IFERROR(IF(LOOKUP(2,1/(人給データ!$B$2:$B$700=$A141),人給データ!$K$2:$K$700)=0,"",LOOKUP(2,1/(人給データ!$B$2:$B$700=$A141),人給データ!$K$2:$K$700)),""))</f>
        <v/>
      </c>
      <c r="I141" s="12" t="n"/>
      <c r="J141">
        <f>IF($A141="","",IFERROR(IF(LOOKUP(2,1/(人給データ!$B$2:$B$700=$A141),人給データ!$N$2:$N$700)=0,"",LOOKUP(2,1/(人給データ!$B$2:$B$700=$A141),人給データ!$N$2:$N$700)),""))</f>
        <v/>
      </c>
      <c r="K141" s="13" t="n"/>
      <c r="L141" s="12" t="n"/>
      <c r="M141" s="12" t="n"/>
      <c r="N141" s="11" t="n"/>
      <c r="O141" s="11" t="n"/>
      <c r="P141" s="14">
        <f>IF(AND(M141&lt;&gt;"",O141=""),"保留中","")</f>
        <v/>
      </c>
      <c r="Q141" s="14">
        <f>IF(P141="保留中",COUNTIF(P$6:P141,"保留中"),"")</f>
        <v/>
      </c>
    </row>
    <row r="142">
      <c r="A142" s="12" t="n"/>
      <c r="B142">
        <f>IF($A142="","",IFERROR(IF(LOOKUP(2,1/(人給データ!$B$2:$B$700=$A142),人給データ!$C$2:$C$700)=0,"",LOOKUP(2,1/(人給データ!$B$2:$B$700=$A142),人給データ!$C$2:$C$700)),""))</f>
        <v/>
      </c>
      <c r="C142">
        <f>IF($A142="","",IFERROR(IF(LOOKUP(2,1/(人給データ!$B$2:$B$700=$A142),人給データ!$G$2:$G$700)=0,"",LOOKUP(2,1/(人給データ!$B$2:$B$700=$A142),人給データ!$G$2:$G$700)),""))</f>
        <v/>
      </c>
      <c r="D142">
        <f>IF($A142="","",IFERROR(IF(LOOKUP(2,1/(人給データ!$B$2:$B$700=$A142),人給データ!$Y$2:$Y$700)=0,"",LOOKUP(2,1/(人給データ!$B$2:$B$700=$A142),人給データ!$Y$2:$Y$700)),""))</f>
        <v/>
      </c>
      <c r="E142" s="20">
        <f>IF($A142="","",IFERROR(IF(LOOKUP(2,1/(人給データ!$B$2:$B$700=$A142),人給データ!$AB$2:$AB$700)=0,"",LOOKUP(2,1/(人給データ!$B$2:$B$700=$A142),人給データ!$AB$2:$AB$700)),""))</f>
        <v/>
      </c>
      <c r="F142" s="16">
        <f>IF(OR(E142="",NOT(ISNUMBER(E142))),"",DATE(YEAR(E142)+2,MONTH(E142),DAY(E142)-2))</f>
        <v/>
      </c>
      <c r="G142" s="20">
        <f>IF($A142="","",IFERROR(IF(LOOKUP(2,1/(人給データ!$B$2:$B$700=$A142),人給データ!$J$2:$J$700)=0,"",LOOKUP(2,1/(人給データ!$B$2:$B$700=$A142),人給データ!$J$2:$J$700)),""))</f>
        <v/>
      </c>
      <c r="H142" s="20">
        <f>IF($A142="","",IFERROR(IF(LOOKUP(2,1/(人給データ!$B$2:$B$700=$A142),人給データ!$K$2:$K$700)=0,"",LOOKUP(2,1/(人給データ!$B$2:$B$700=$A142),人給データ!$K$2:$K$700)),""))</f>
        <v/>
      </c>
      <c r="I142" s="12" t="n"/>
      <c r="J142">
        <f>IF($A142="","",IFERROR(IF(LOOKUP(2,1/(人給データ!$B$2:$B$700=$A142),人給データ!$N$2:$N$700)=0,"",LOOKUP(2,1/(人給データ!$B$2:$B$700=$A142),人給データ!$N$2:$N$700)),""))</f>
        <v/>
      </c>
      <c r="K142" s="13" t="n"/>
      <c r="L142" s="12" t="n"/>
      <c r="M142" s="12" t="n"/>
      <c r="N142" s="11" t="n"/>
      <c r="O142" s="11" t="n"/>
      <c r="P142" s="14">
        <f>IF(AND(M142&lt;&gt;"",O142=""),"保留中","")</f>
        <v/>
      </c>
      <c r="Q142" s="14">
        <f>IF(P142="保留中",COUNTIF(P$6:P142,"保留中"),"")</f>
        <v/>
      </c>
    </row>
    <row r="143">
      <c r="A143" s="12" t="n"/>
      <c r="B143">
        <f>IF($A143="","",IFERROR(IF(LOOKUP(2,1/(人給データ!$B$2:$B$700=$A143),人給データ!$C$2:$C$700)=0,"",LOOKUP(2,1/(人給データ!$B$2:$B$700=$A143),人給データ!$C$2:$C$700)),""))</f>
        <v/>
      </c>
      <c r="C143">
        <f>IF($A143="","",IFERROR(IF(LOOKUP(2,1/(人給データ!$B$2:$B$700=$A143),人給データ!$G$2:$G$700)=0,"",LOOKUP(2,1/(人給データ!$B$2:$B$700=$A143),人給データ!$G$2:$G$700)),""))</f>
        <v/>
      </c>
      <c r="D143">
        <f>IF($A143="","",IFERROR(IF(LOOKUP(2,1/(人給データ!$B$2:$B$700=$A143),人給データ!$Y$2:$Y$700)=0,"",LOOKUP(2,1/(人給データ!$B$2:$B$700=$A143),人給データ!$Y$2:$Y$700)),""))</f>
        <v/>
      </c>
      <c r="E143" s="20">
        <f>IF($A143="","",IFERROR(IF(LOOKUP(2,1/(人給データ!$B$2:$B$700=$A143),人給データ!$AB$2:$AB$700)=0,"",LOOKUP(2,1/(人給データ!$B$2:$B$700=$A143),人給データ!$AB$2:$AB$700)),""))</f>
        <v/>
      </c>
      <c r="F143" s="16">
        <f>IF(OR(E143="",NOT(ISNUMBER(E143))),"",DATE(YEAR(E143)+2,MONTH(E143),DAY(E143)-2))</f>
        <v/>
      </c>
      <c r="G143" s="20">
        <f>IF($A143="","",IFERROR(IF(LOOKUP(2,1/(人給データ!$B$2:$B$700=$A143),人給データ!$J$2:$J$700)=0,"",LOOKUP(2,1/(人給データ!$B$2:$B$700=$A143),人給データ!$J$2:$J$700)),""))</f>
        <v/>
      </c>
      <c r="H143" s="20">
        <f>IF($A143="","",IFERROR(IF(LOOKUP(2,1/(人給データ!$B$2:$B$700=$A143),人給データ!$K$2:$K$700)=0,"",LOOKUP(2,1/(人給データ!$B$2:$B$700=$A143),人給データ!$K$2:$K$700)),""))</f>
        <v/>
      </c>
      <c r="I143" s="12" t="n"/>
      <c r="J143">
        <f>IF($A143="","",IFERROR(IF(LOOKUP(2,1/(人給データ!$B$2:$B$700=$A143),人給データ!$N$2:$N$700)=0,"",LOOKUP(2,1/(人給データ!$B$2:$B$700=$A143),人給データ!$N$2:$N$700)),""))</f>
        <v/>
      </c>
      <c r="K143" s="13" t="n"/>
      <c r="L143" s="12" t="n"/>
      <c r="M143" s="12" t="n"/>
      <c r="N143" s="11" t="n"/>
      <c r="O143" s="11" t="n"/>
      <c r="P143" s="14">
        <f>IF(AND(M143&lt;&gt;"",O143=""),"保留中","")</f>
        <v/>
      </c>
      <c r="Q143" s="14">
        <f>IF(P143="保留中",COUNTIF(P$6:P143,"保留中"),"")</f>
        <v/>
      </c>
    </row>
    <row r="144">
      <c r="A144" s="12" t="n"/>
      <c r="B144">
        <f>IF($A144="","",IFERROR(IF(LOOKUP(2,1/(人給データ!$B$2:$B$700=$A144),人給データ!$C$2:$C$700)=0,"",LOOKUP(2,1/(人給データ!$B$2:$B$700=$A144),人給データ!$C$2:$C$700)),""))</f>
        <v/>
      </c>
      <c r="C144">
        <f>IF($A144="","",IFERROR(IF(LOOKUP(2,1/(人給データ!$B$2:$B$700=$A144),人給データ!$G$2:$G$700)=0,"",LOOKUP(2,1/(人給データ!$B$2:$B$700=$A144),人給データ!$G$2:$G$700)),""))</f>
        <v/>
      </c>
      <c r="D144">
        <f>IF($A144="","",IFERROR(IF(LOOKUP(2,1/(人給データ!$B$2:$B$700=$A144),人給データ!$Y$2:$Y$700)=0,"",LOOKUP(2,1/(人給データ!$B$2:$B$700=$A144),人給データ!$Y$2:$Y$700)),""))</f>
        <v/>
      </c>
      <c r="E144" s="20">
        <f>IF($A144="","",IFERROR(IF(LOOKUP(2,1/(人給データ!$B$2:$B$700=$A144),人給データ!$AB$2:$AB$700)=0,"",LOOKUP(2,1/(人給データ!$B$2:$B$700=$A144),人給データ!$AB$2:$AB$700)),""))</f>
        <v/>
      </c>
      <c r="F144" s="16">
        <f>IF(OR(E144="",NOT(ISNUMBER(E144))),"",DATE(YEAR(E144)+2,MONTH(E144),DAY(E144)-2))</f>
        <v/>
      </c>
      <c r="G144" s="20">
        <f>IF($A144="","",IFERROR(IF(LOOKUP(2,1/(人給データ!$B$2:$B$700=$A144),人給データ!$J$2:$J$700)=0,"",LOOKUP(2,1/(人給データ!$B$2:$B$700=$A144),人給データ!$J$2:$J$700)),""))</f>
        <v/>
      </c>
      <c r="H144" s="20">
        <f>IF($A144="","",IFERROR(IF(LOOKUP(2,1/(人給データ!$B$2:$B$700=$A144),人給データ!$K$2:$K$700)=0,"",LOOKUP(2,1/(人給データ!$B$2:$B$700=$A144),人給データ!$K$2:$K$700)),""))</f>
        <v/>
      </c>
      <c r="I144" s="12" t="n"/>
      <c r="J144">
        <f>IF($A144="","",IFERROR(IF(LOOKUP(2,1/(人給データ!$B$2:$B$700=$A144),人給データ!$N$2:$N$700)=0,"",LOOKUP(2,1/(人給データ!$B$2:$B$700=$A144),人給データ!$N$2:$N$700)),""))</f>
        <v/>
      </c>
      <c r="K144" s="13" t="n"/>
      <c r="L144" s="12" t="n"/>
      <c r="M144" s="12" t="n"/>
      <c r="N144" s="11" t="n"/>
      <c r="O144" s="11" t="n"/>
      <c r="P144" s="14">
        <f>IF(AND(M144&lt;&gt;"",O144=""),"保留中","")</f>
        <v/>
      </c>
      <c r="Q144" s="14">
        <f>IF(P144="保留中",COUNTIF(P$6:P144,"保留中"),"")</f>
        <v/>
      </c>
    </row>
    <row r="145">
      <c r="A145" s="12" t="n"/>
      <c r="B145">
        <f>IF($A145="","",IFERROR(IF(LOOKUP(2,1/(人給データ!$B$2:$B$700=$A145),人給データ!$C$2:$C$700)=0,"",LOOKUP(2,1/(人給データ!$B$2:$B$700=$A145),人給データ!$C$2:$C$700)),""))</f>
        <v/>
      </c>
      <c r="C145">
        <f>IF($A145="","",IFERROR(IF(LOOKUP(2,1/(人給データ!$B$2:$B$700=$A145),人給データ!$G$2:$G$700)=0,"",LOOKUP(2,1/(人給データ!$B$2:$B$700=$A145),人給データ!$G$2:$G$700)),""))</f>
        <v/>
      </c>
      <c r="D145">
        <f>IF($A145="","",IFERROR(IF(LOOKUP(2,1/(人給データ!$B$2:$B$700=$A145),人給データ!$Y$2:$Y$700)=0,"",LOOKUP(2,1/(人給データ!$B$2:$B$700=$A145),人給データ!$Y$2:$Y$700)),""))</f>
        <v/>
      </c>
      <c r="E145" s="20">
        <f>IF($A145="","",IFERROR(IF(LOOKUP(2,1/(人給データ!$B$2:$B$700=$A145),人給データ!$AB$2:$AB$700)=0,"",LOOKUP(2,1/(人給データ!$B$2:$B$700=$A145),人給データ!$AB$2:$AB$700)),""))</f>
        <v/>
      </c>
      <c r="F145" s="16">
        <f>IF(OR(E145="",NOT(ISNUMBER(E145))),"",DATE(YEAR(E145)+2,MONTH(E145),DAY(E145)-2))</f>
        <v/>
      </c>
      <c r="G145" s="20">
        <f>IF($A145="","",IFERROR(IF(LOOKUP(2,1/(人給データ!$B$2:$B$700=$A145),人給データ!$J$2:$J$700)=0,"",LOOKUP(2,1/(人給データ!$B$2:$B$700=$A145),人給データ!$J$2:$J$700)),""))</f>
        <v/>
      </c>
      <c r="H145" s="20">
        <f>IF($A145="","",IFERROR(IF(LOOKUP(2,1/(人給データ!$B$2:$B$700=$A145),人給データ!$K$2:$K$700)=0,"",LOOKUP(2,1/(人給データ!$B$2:$B$700=$A145),人給データ!$K$2:$K$700)),""))</f>
        <v/>
      </c>
      <c r="I145" s="12" t="n"/>
      <c r="J145">
        <f>IF($A145="","",IFERROR(IF(LOOKUP(2,1/(人給データ!$B$2:$B$700=$A145),人給データ!$N$2:$N$700)=0,"",LOOKUP(2,1/(人給データ!$B$2:$B$700=$A145),人給データ!$N$2:$N$700)),""))</f>
        <v/>
      </c>
      <c r="K145" s="13" t="n"/>
      <c r="L145" s="12" t="n"/>
      <c r="M145" s="12" t="n"/>
      <c r="N145" s="11" t="n"/>
      <c r="O145" s="11" t="n"/>
      <c r="P145" s="14">
        <f>IF(AND(M145&lt;&gt;"",O145=""),"保留中","")</f>
        <v/>
      </c>
      <c r="Q145" s="14">
        <f>IF(P145="保留中",COUNTIF(P$6:P145,"保留中"),"")</f>
        <v/>
      </c>
    </row>
    <row r="146">
      <c r="A146" s="12" t="n"/>
      <c r="B146">
        <f>IF($A146="","",IFERROR(IF(LOOKUP(2,1/(人給データ!$B$2:$B$700=$A146),人給データ!$C$2:$C$700)=0,"",LOOKUP(2,1/(人給データ!$B$2:$B$700=$A146),人給データ!$C$2:$C$700)),""))</f>
        <v/>
      </c>
      <c r="C146">
        <f>IF($A146="","",IFERROR(IF(LOOKUP(2,1/(人給データ!$B$2:$B$700=$A146),人給データ!$G$2:$G$700)=0,"",LOOKUP(2,1/(人給データ!$B$2:$B$700=$A146),人給データ!$G$2:$G$700)),""))</f>
        <v/>
      </c>
      <c r="D146">
        <f>IF($A146="","",IFERROR(IF(LOOKUP(2,1/(人給データ!$B$2:$B$700=$A146),人給データ!$Y$2:$Y$700)=0,"",LOOKUP(2,1/(人給データ!$B$2:$B$700=$A146),人給データ!$Y$2:$Y$700)),""))</f>
        <v/>
      </c>
      <c r="E146" s="20">
        <f>IF($A146="","",IFERROR(IF(LOOKUP(2,1/(人給データ!$B$2:$B$700=$A146),人給データ!$AB$2:$AB$700)=0,"",LOOKUP(2,1/(人給データ!$B$2:$B$700=$A146),人給データ!$AB$2:$AB$700)),""))</f>
        <v/>
      </c>
      <c r="F146" s="16">
        <f>IF(OR(E146="",NOT(ISNUMBER(E146))),"",DATE(YEAR(E146)+2,MONTH(E146),DAY(E146)-2))</f>
        <v/>
      </c>
      <c r="G146" s="20">
        <f>IF($A146="","",IFERROR(IF(LOOKUP(2,1/(人給データ!$B$2:$B$700=$A146),人給データ!$J$2:$J$700)=0,"",LOOKUP(2,1/(人給データ!$B$2:$B$700=$A146),人給データ!$J$2:$J$700)),""))</f>
        <v/>
      </c>
      <c r="H146" s="20">
        <f>IF($A146="","",IFERROR(IF(LOOKUP(2,1/(人給データ!$B$2:$B$700=$A146),人給データ!$K$2:$K$700)=0,"",LOOKUP(2,1/(人給データ!$B$2:$B$700=$A146),人給データ!$K$2:$K$700)),""))</f>
        <v/>
      </c>
      <c r="I146" s="12" t="n"/>
      <c r="J146">
        <f>IF($A146="","",IFERROR(IF(LOOKUP(2,1/(人給データ!$B$2:$B$700=$A146),人給データ!$N$2:$N$700)=0,"",LOOKUP(2,1/(人給データ!$B$2:$B$700=$A146),人給データ!$N$2:$N$700)),""))</f>
        <v/>
      </c>
      <c r="K146" s="13" t="n"/>
      <c r="L146" s="12" t="n"/>
      <c r="M146" s="12" t="n"/>
      <c r="N146" s="11" t="n"/>
      <c r="O146" s="11" t="n"/>
      <c r="P146" s="14">
        <f>IF(AND(M146&lt;&gt;"",O146=""),"保留中","")</f>
        <v/>
      </c>
      <c r="Q146" s="14">
        <f>IF(P146="保留中",COUNTIF(P$6:P146,"保留中"),"")</f>
        <v/>
      </c>
    </row>
    <row r="147">
      <c r="A147" s="12" t="n"/>
      <c r="B147">
        <f>IF($A147="","",IFERROR(IF(LOOKUP(2,1/(人給データ!$B$2:$B$700=$A147),人給データ!$C$2:$C$700)=0,"",LOOKUP(2,1/(人給データ!$B$2:$B$700=$A147),人給データ!$C$2:$C$700)),""))</f>
        <v/>
      </c>
      <c r="C147">
        <f>IF($A147="","",IFERROR(IF(LOOKUP(2,1/(人給データ!$B$2:$B$700=$A147),人給データ!$G$2:$G$700)=0,"",LOOKUP(2,1/(人給データ!$B$2:$B$700=$A147),人給データ!$G$2:$G$700)),""))</f>
        <v/>
      </c>
      <c r="D147">
        <f>IF($A147="","",IFERROR(IF(LOOKUP(2,1/(人給データ!$B$2:$B$700=$A147),人給データ!$Y$2:$Y$700)=0,"",LOOKUP(2,1/(人給データ!$B$2:$B$700=$A147),人給データ!$Y$2:$Y$700)),""))</f>
        <v/>
      </c>
      <c r="E147" s="20">
        <f>IF($A147="","",IFERROR(IF(LOOKUP(2,1/(人給データ!$B$2:$B$700=$A147),人給データ!$AB$2:$AB$700)=0,"",LOOKUP(2,1/(人給データ!$B$2:$B$700=$A147),人給データ!$AB$2:$AB$700)),""))</f>
        <v/>
      </c>
      <c r="F147" s="16">
        <f>IF(OR(E147="",NOT(ISNUMBER(E147))),"",DATE(YEAR(E147)+2,MONTH(E147),DAY(E147)-2))</f>
        <v/>
      </c>
      <c r="G147" s="20">
        <f>IF($A147="","",IFERROR(IF(LOOKUP(2,1/(人給データ!$B$2:$B$700=$A147),人給データ!$J$2:$J$700)=0,"",LOOKUP(2,1/(人給データ!$B$2:$B$700=$A147),人給データ!$J$2:$J$700)),""))</f>
        <v/>
      </c>
      <c r="H147" s="20">
        <f>IF($A147="","",IFERROR(IF(LOOKUP(2,1/(人給データ!$B$2:$B$700=$A147),人給データ!$K$2:$K$700)=0,"",LOOKUP(2,1/(人給データ!$B$2:$B$700=$A147),人給データ!$K$2:$K$700)),""))</f>
        <v/>
      </c>
      <c r="I147" s="12" t="n"/>
      <c r="J147">
        <f>IF($A147="","",IFERROR(IF(LOOKUP(2,1/(人給データ!$B$2:$B$700=$A147),人給データ!$N$2:$N$700)=0,"",LOOKUP(2,1/(人給データ!$B$2:$B$700=$A147),人給データ!$N$2:$N$700)),""))</f>
        <v/>
      </c>
      <c r="K147" s="13" t="n"/>
      <c r="L147" s="12" t="n"/>
      <c r="M147" s="12" t="n"/>
      <c r="N147" s="11" t="n"/>
      <c r="O147" s="11" t="n"/>
      <c r="P147" s="14">
        <f>IF(AND(M147&lt;&gt;"",O147=""),"保留中","")</f>
        <v/>
      </c>
      <c r="Q147" s="14">
        <f>IF(P147="保留中",COUNTIF(P$6:P147,"保留中"),"")</f>
        <v/>
      </c>
    </row>
    <row r="148">
      <c r="A148" s="12" t="n"/>
      <c r="B148">
        <f>IF($A148="","",IFERROR(IF(LOOKUP(2,1/(人給データ!$B$2:$B$700=$A148),人給データ!$C$2:$C$700)=0,"",LOOKUP(2,1/(人給データ!$B$2:$B$700=$A148),人給データ!$C$2:$C$700)),""))</f>
        <v/>
      </c>
      <c r="C148">
        <f>IF($A148="","",IFERROR(IF(LOOKUP(2,1/(人給データ!$B$2:$B$700=$A148),人給データ!$G$2:$G$700)=0,"",LOOKUP(2,1/(人給データ!$B$2:$B$700=$A148),人給データ!$G$2:$G$700)),""))</f>
        <v/>
      </c>
      <c r="D148">
        <f>IF($A148="","",IFERROR(IF(LOOKUP(2,1/(人給データ!$B$2:$B$700=$A148),人給データ!$Y$2:$Y$700)=0,"",LOOKUP(2,1/(人給データ!$B$2:$B$700=$A148),人給データ!$Y$2:$Y$700)),""))</f>
        <v/>
      </c>
      <c r="E148" s="20">
        <f>IF($A148="","",IFERROR(IF(LOOKUP(2,1/(人給データ!$B$2:$B$700=$A148),人給データ!$AB$2:$AB$700)=0,"",LOOKUP(2,1/(人給データ!$B$2:$B$700=$A148),人給データ!$AB$2:$AB$700)),""))</f>
        <v/>
      </c>
      <c r="F148" s="16">
        <f>IF(OR(E148="",NOT(ISNUMBER(E148))),"",DATE(YEAR(E148)+2,MONTH(E148),DAY(E148)-2))</f>
        <v/>
      </c>
      <c r="G148" s="20">
        <f>IF($A148="","",IFERROR(IF(LOOKUP(2,1/(人給データ!$B$2:$B$700=$A148),人給データ!$J$2:$J$700)=0,"",LOOKUP(2,1/(人給データ!$B$2:$B$700=$A148),人給データ!$J$2:$J$700)),""))</f>
        <v/>
      </c>
      <c r="H148" s="20">
        <f>IF($A148="","",IFERROR(IF(LOOKUP(2,1/(人給データ!$B$2:$B$700=$A148),人給データ!$K$2:$K$700)=0,"",LOOKUP(2,1/(人給データ!$B$2:$B$700=$A148),人給データ!$K$2:$K$700)),""))</f>
        <v/>
      </c>
      <c r="I148" s="12" t="n"/>
      <c r="J148">
        <f>IF($A148="","",IFERROR(IF(LOOKUP(2,1/(人給データ!$B$2:$B$700=$A148),人給データ!$N$2:$N$700)=0,"",LOOKUP(2,1/(人給データ!$B$2:$B$700=$A148),人給データ!$N$2:$N$700)),""))</f>
        <v/>
      </c>
      <c r="K148" s="13" t="n"/>
      <c r="L148" s="12" t="n"/>
      <c r="M148" s="12" t="n"/>
      <c r="N148" s="11" t="n"/>
      <c r="O148" s="11" t="n"/>
      <c r="P148" s="14">
        <f>IF(AND(M148&lt;&gt;"",O148=""),"保留中","")</f>
        <v/>
      </c>
      <c r="Q148" s="14">
        <f>IF(P148="保留中",COUNTIF(P$6:P148,"保留中"),"")</f>
        <v/>
      </c>
    </row>
    <row r="149">
      <c r="A149" s="12" t="n"/>
      <c r="B149">
        <f>IF($A149="","",IFERROR(IF(LOOKUP(2,1/(人給データ!$B$2:$B$700=$A149),人給データ!$C$2:$C$700)=0,"",LOOKUP(2,1/(人給データ!$B$2:$B$700=$A149),人給データ!$C$2:$C$700)),""))</f>
        <v/>
      </c>
      <c r="C149">
        <f>IF($A149="","",IFERROR(IF(LOOKUP(2,1/(人給データ!$B$2:$B$700=$A149),人給データ!$G$2:$G$700)=0,"",LOOKUP(2,1/(人給データ!$B$2:$B$700=$A149),人給データ!$G$2:$G$700)),""))</f>
        <v/>
      </c>
      <c r="D149">
        <f>IF($A149="","",IFERROR(IF(LOOKUP(2,1/(人給データ!$B$2:$B$700=$A149),人給データ!$Y$2:$Y$700)=0,"",LOOKUP(2,1/(人給データ!$B$2:$B$700=$A149),人給データ!$Y$2:$Y$700)),""))</f>
        <v/>
      </c>
      <c r="E149" s="20">
        <f>IF($A149="","",IFERROR(IF(LOOKUP(2,1/(人給データ!$B$2:$B$700=$A149),人給データ!$AB$2:$AB$700)=0,"",LOOKUP(2,1/(人給データ!$B$2:$B$700=$A149),人給データ!$AB$2:$AB$700)),""))</f>
        <v/>
      </c>
      <c r="F149" s="16">
        <f>IF(OR(E149="",NOT(ISNUMBER(E149))),"",DATE(YEAR(E149)+2,MONTH(E149),DAY(E149)-2))</f>
        <v/>
      </c>
      <c r="G149" s="20">
        <f>IF($A149="","",IFERROR(IF(LOOKUP(2,1/(人給データ!$B$2:$B$700=$A149),人給データ!$J$2:$J$700)=0,"",LOOKUP(2,1/(人給データ!$B$2:$B$700=$A149),人給データ!$J$2:$J$700)),""))</f>
        <v/>
      </c>
      <c r="H149" s="20">
        <f>IF($A149="","",IFERROR(IF(LOOKUP(2,1/(人給データ!$B$2:$B$700=$A149),人給データ!$K$2:$K$700)=0,"",LOOKUP(2,1/(人給データ!$B$2:$B$700=$A149),人給データ!$K$2:$K$700)),""))</f>
        <v/>
      </c>
      <c r="I149" s="12" t="n"/>
      <c r="J149">
        <f>IF($A149="","",IFERROR(IF(LOOKUP(2,1/(人給データ!$B$2:$B$700=$A149),人給データ!$N$2:$N$700)=0,"",LOOKUP(2,1/(人給データ!$B$2:$B$700=$A149),人給データ!$N$2:$N$700)),""))</f>
        <v/>
      </c>
      <c r="K149" s="13" t="n"/>
      <c r="L149" s="12" t="n"/>
      <c r="M149" s="12" t="n"/>
      <c r="N149" s="11" t="n"/>
      <c r="O149" s="11" t="n"/>
      <c r="P149" s="14">
        <f>IF(AND(M149&lt;&gt;"",O149=""),"保留中","")</f>
        <v/>
      </c>
      <c r="Q149" s="14">
        <f>IF(P149="保留中",COUNTIF(P$6:P149,"保留中"),"")</f>
        <v/>
      </c>
    </row>
    <row r="150">
      <c r="A150" s="12" t="n"/>
      <c r="B150">
        <f>IF($A150="","",IFERROR(IF(LOOKUP(2,1/(人給データ!$B$2:$B$700=$A150),人給データ!$C$2:$C$700)=0,"",LOOKUP(2,1/(人給データ!$B$2:$B$700=$A150),人給データ!$C$2:$C$700)),""))</f>
        <v/>
      </c>
      <c r="C150">
        <f>IF($A150="","",IFERROR(IF(LOOKUP(2,1/(人給データ!$B$2:$B$700=$A150),人給データ!$G$2:$G$700)=0,"",LOOKUP(2,1/(人給データ!$B$2:$B$700=$A150),人給データ!$G$2:$G$700)),""))</f>
        <v/>
      </c>
      <c r="D150">
        <f>IF($A150="","",IFERROR(IF(LOOKUP(2,1/(人給データ!$B$2:$B$700=$A150),人給データ!$Y$2:$Y$700)=0,"",LOOKUP(2,1/(人給データ!$B$2:$B$700=$A150),人給データ!$Y$2:$Y$700)),""))</f>
        <v/>
      </c>
      <c r="E150" s="20">
        <f>IF($A150="","",IFERROR(IF(LOOKUP(2,1/(人給データ!$B$2:$B$700=$A150),人給データ!$AB$2:$AB$700)=0,"",LOOKUP(2,1/(人給データ!$B$2:$B$700=$A150),人給データ!$AB$2:$AB$700)),""))</f>
        <v/>
      </c>
      <c r="F150" s="16">
        <f>IF(OR(E150="",NOT(ISNUMBER(E150))),"",DATE(YEAR(E150)+2,MONTH(E150),DAY(E150)-2))</f>
        <v/>
      </c>
      <c r="G150" s="20">
        <f>IF($A150="","",IFERROR(IF(LOOKUP(2,1/(人給データ!$B$2:$B$700=$A150),人給データ!$J$2:$J$700)=0,"",LOOKUP(2,1/(人給データ!$B$2:$B$700=$A150),人給データ!$J$2:$J$700)),""))</f>
        <v/>
      </c>
      <c r="H150" s="20">
        <f>IF($A150="","",IFERROR(IF(LOOKUP(2,1/(人給データ!$B$2:$B$700=$A150),人給データ!$K$2:$K$700)=0,"",LOOKUP(2,1/(人給データ!$B$2:$B$700=$A150),人給データ!$K$2:$K$700)),""))</f>
        <v/>
      </c>
      <c r="I150" s="12" t="n"/>
      <c r="J150">
        <f>IF($A150="","",IFERROR(IF(LOOKUP(2,1/(人給データ!$B$2:$B$700=$A150),人給データ!$N$2:$N$700)=0,"",LOOKUP(2,1/(人給データ!$B$2:$B$700=$A150),人給データ!$N$2:$N$700)),""))</f>
        <v/>
      </c>
      <c r="K150" s="13" t="n"/>
      <c r="L150" s="12" t="n"/>
      <c r="M150" s="12" t="n"/>
      <c r="N150" s="11" t="n"/>
      <c r="O150" s="11" t="n"/>
      <c r="P150" s="14">
        <f>IF(AND(M150&lt;&gt;"",O150=""),"保留中","")</f>
        <v/>
      </c>
      <c r="Q150" s="14">
        <f>IF(P150="保留中",COUNTIF(P$6:P150,"保留中"),"")</f>
        <v/>
      </c>
    </row>
    <row r="151">
      <c r="A151" s="12" t="n"/>
      <c r="B151">
        <f>IF($A151="","",IFERROR(IF(LOOKUP(2,1/(人給データ!$B$2:$B$700=$A151),人給データ!$C$2:$C$700)=0,"",LOOKUP(2,1/(人給データ!$B$2:$B$700=$A151),人給データ!$C$2:$C$700)),""))</f>
        <v/>
      </c>
      <c r="C151">
        <f>IF($A151="","",IFERROR(IF(LOOKUP(2,1/(人給データ!$B$2:$B$700=$A151),人給データ!$G$2:$G$700)=0,"",LOOKUP(2,1/(人給データ!$B$2:$B$700=$A151),人給データ!$G$2:$G$700)),""))</f>
        <v/>
      </c>
      <c r="D151">
        <f>IF($A151="","",IFERROR(IF(LOOKUP(2,1/(人給データ!$B$2:$B$700=$A151),人給データ!$Y$2:$Y$700)=0,"",LOOKUP(2,1/(人給データ!$B$2:$B$700=$A151),人給データ!$Y$2:$Y$700)),""))</f>
        <v/>
      </c>
      <c r="E151" s="20">
        <f>IF($A151="","",IFERROR(IF(LOOKUP(2,1/(人給データ!$B$2:$B$700=$A151),人給データ!$AB$2:$AB$700)=0,"",LOOKUP(2,1/(人給データ!$B$2:$B$700=$A151),人給データ!$AB$2:$AB$700)),""))</f>
        <v/>
      </c>
      <c r="F151" s="16">
        <f>IF(OR(E151="",NOT(ISNUMBER(E151))),"",DATE(YEAR(E151)+2,MONTH(E151),DAY(E151)-2))</f>
        <v/>
      </c>
      <c r="G151" s="20">
        <f>IF($A151="","",IFERROR(IF(LOOKUP(2,1/(人給データ!$B$2:$B$700=$A151),人給データ!$J$2:$J$700)=0,"",LOOKUP(2,1/(人給データ!$B$2:$B$700=$A151),人給データ!$J$2:$J$700)),""))</f>
        <v/>
      </c>
      <c r="H151" s="20">
        <f>IF($A151="","",IFERROR(IF(LOOKUP(2,1/(人給データ!$B$2:$B$700=$A151),人給データ!$K$2:$K$700)=0,"",LOOKUP(2,1/(人給データ!$B$2:$B$700=$A151),人給データ!$K$2:$K$700)),""))</f>
        <v/>
      </c>
      <c r="I151" s="12" t="n"/>
      <c r="J151">
        <f>IF($A151="","",IFERROR(IF(LOOKUP(2,1/(人給データ!$B$2:$B$700=$A151),人給データ!$N$2:$N$700)=0,"",LOOKUP(2,1/(人給データ!$B$2:$B$700=$A151),人給データ!$N$2:$N$700)),""))</f>
        <v/>
      </c>
      <c r="K151" s="13" t="n"/>
      <c r="L151" s="12" t="n"/>
      <c r="M151" s="12" t="n"/>
      <c r="N151" s="11" t="n"/>
      <c r="O151" s="11" t="n"/>
      <c r="P151" s="14">
        <f>IF(AND(M151&lt;&gt;"",O151=""),"保留中","")</f>
        <v/>
      </c>
      <c r="Q151" s="14">
        <f>IF(P151="保留中",COUNTIF(P$6:P151,"保留中"),"")</f>
        <v/>
      </c>
    </row>
    <row r="152">
      <c r="A152" s="12" t="n"/>
      <c r="B152">
        <f>IF($A152="","",IFERROR(IF(LOOKUP(2,1/(人給データ!$B$2:$B$700=$A152),人給データ!$C$2:$C$700)=0,"",LOOKUP(2,1/(人給データ!$B$2:$B$700=$A152),人給データ!$C$2:$C$700)),""))</f>
        <v/>
      </c>
      <c r="C152">
        <f>IF($A152="","",IFERROR(IF(LOOKUP(2,1/(人給データ!$B$2:$B$700=$A152),人給データ!$G$2:$G$700)=0,"",LOOKUP(2,1/(人給データ!$B$2:$B$700=$A152),人給データ!$G$2:$G$700)),""))</f>
        <v/>
      </c>
      <c r="D152">
        <f>IF($A152="","",IFERROR(IF(LOOKUP(2,1/(人給データ!$B$2:$B$700=$A152),人給データ!$Y$2:$Y$700)=0,"",LOOKUP(2,1/(人給データ!$B$2:$B$700=$A152),人給データ!$Y$2:$Y$700)),""))</f>
        <v/>
      </c>
      <c r="E152" s="20">
        <f>IF($A152="","",IFERROR(IF(LOOKUP(2,1/(人給データ!$B$2:$B$700=$A152),人給データ!$AB$2:$AB$700)=0,"",LOOKUP(2,1/(人給データ!$B$2:$B$700=$A152),人給データ!$AB$2:$AB$700)),""))</f>
        <v/>
      </c>
      <c r="F152" s="16">
        <f>IF(OR(E152="",NOT(ISNUMBER(E152))),"",DATE(YEAR(E152)+2,MONTH(E152),DAY(E152)-2))</f>
        <v/>
      </c>
      <c r="G152" s="20">
        <f>IF($A152="","",IFERROR(IF(LOOKUP(2,1/(人給データ!$B$2:$B$700=$A152),人給データ!$J$2:$J$700)=0,"",LOOKUP(2,1/(人給データ!$B$2:$B$700=$A152),人給データ!$J$2:$J$700)),""))</f>
        <v/>
      </c>
      <c r="H152" s="20">
        <f>IF($A152="","",IFERROR(IF(LOOKUP(2,1/(人給データ!$B$2:$B$700=$A152),人給データ!$K$2:$K$700)=0,"",LOOKUP(2,1/(人給データ!$B$2:$B$700=$A152),人給データ!$K$2:$K$700)),""))</f>
        <v/>
      </c>
      <c r="I152" s="12" t="n"/>
      <c r="J152">
        <f>IF($A152="","",IFERROR(IF(LOOKUP(2,1/(人給データ!$B$2:$B$700=$A152),人給データ!$N$2:$N$700)=0,"",LOOKUP(2,1/(人給データ!$B$2:$B$700=$A152),人給データ!$N$2:$N$700)),""))</f>
        <v/>
      </c>
      <c r="K152" s="13" t="n"/>
      <c r="L152" s="12" t="n"/>
      <c r="M152" s="12" t="n"/>
      <c r="N152" s="11" t="n"/>
      <c r="O152" s="11" t="n"/>
      <c r="P152" s="14">
        <f>IF(AND(M152&lt;&gt;"",O152=""),"保留中","")</f>
        <v/>
      </c>
      <c r="Q152" s="14">
        <f>IF(P152="保留中",COUNTIF(P$6:P152,"保留中"),"")</f>
        <v/>
      </c>
    </row>
    <row r="153">
      <c r="A153" s="12" t="n"/>
      <c r="B153">
        <f>IF($A153="","",IFERROR(IF(LOOKUP(2,1/(人給データ!$B$2:$B$700=$A153),人給データ!$C$2:$C$700)=0,"",LOOKUP(2,1/(人給データ!$B$2:$B$700=$A153),人給データ!$C$2:$C$700)),""))</f>
        <v/>
      </c>
      <c r="C153">
        <f>IF($A153="","",IFERROR(IF(LOOKUP(2,1/(人給データ!$B$2:$B$700=$A153),人給データ!$G$2:$G$700)=0,"",LOOKUP(2,1/(人給データ!$B$2:$B$700=$A153),人給データ!$G$2:$G$700)),""))</f>
        <v/>
      </c>
      <c r="D153">
        <f>IF($A153="","",IFERROR(IF(LOOKUP(2,1/(人給データ!$B$2:$B$700=$A153),人給データ!$Y$2:$Y$700)=0,"",LOOKUP(2,1/(人給データ!$B$2:$B$700=$A153),人給データ!$Y$2:$Y$700)),""))</f>
        <v/>
      </c>
      <c r="E153" s="20">
        <f>IF($A153="","",IFERROR(IF(LOOKUP(2,1/(人給データ!$B$2:$B$700=$A153),人給データ!$AB$2:$AB$700)=0,"",LOOKUP(2,1/(人給データ!$B$2:$B$700=$A153),人給データ!$AB$2:$AB$700)),""))</f>
        <v/>
      </c>
      <c r="F153" s="16">
        <f>IF(OR(E153="",NOT(ISNUMBER(E153))),"",DATE(YEAR(E153)+2,MONTH(E153),DAY(E153)-2))</f>
        <v/>
      </c>
      <c r="G153" s="20">
        <f>IF($A153="","",IFERROR(IF(LOOKUP(2,1/(人給データ!$B$2:$B$700=$A153),人給データ!$J$2:$J$700)=0,"",LOOKUP(2,1/(人給データ!$B$2:$B$700=$A153),人給データ!$J$2:$J$700)),""))</f>
        <v/>
      </c>
      <c r="H153" s="20">
        <f>IF($A153="","",IFERROR(IF(LOOKUP(2,1/(人給データ!$B$2:$B$700=$A153),人給データ!$K$2:$K$700)=0,"",LOOKUP(2,1/(人給データ!$B$2:$B$700=$A153),人給データ!$K$2:$K$700)),""))</f>
        <v/>
      </c>
      <c r="I153" s="12" t="n"/>
      <c r="J153">
        <f>IF($A153="","",IFERROR(IF(LOOKUP(2,1/(人給データ!$B$2:$B$700=$A153),人給データ!$N$2:$N$700)=0,"",LOOKUP(2,1/(人給データ!$B$2:$B$700=$A153),人給データ!$N$2:$N$700)),""))</f>
        <v/>
      </c>
      <c r="K153" s="13" t="n"/>
      <c r="L153" s="12" t="n"/>
      <c r="M153" s="12" t="n"/>
      <c r="N153" s="11" t="n"/>
      <c r="O153" s="11" t="n"/>
      <c r="P153" s="14">
        <f>IF(AND(M153&lt;&gt;"",O153=""),"保留中","")</f>
        <v/>
      </c>
      <c r="Q153" s="14">
        <f>IF(P153="保留中",COUNTIF(P$6:P153,"保留中"),"")</f>
        <v/>
      </c>
    </row>
    <row r="154">
      <c r="A154" s="12" t="n"/>
      <c r="B154">
        <f>IF($A154="","",IFERROR(IF(LOOKUP(2,1/(人給データ!$B$2:$B$700=$A154),人給データ!$C$2:$C$700)=0,"",LOOKUP(2,1/(人給データ!$B$2:$B$700=$A154),人給データ!$C$2:$C$700)),""))</f>
        <v/>
      </c>
      <c r="C154">
        <f>IF($A154="","",IFERROR(IF(LOOKUP(2,1/(人給データ!$B$2:$B$700=$A154),人給データ!$G$2:$G$700)=0,"",LOOKUP(2,1/(人給データ!$B$2:$B$700=$A154),人給データ!$G$2:$G$700)),""))</f>
        <v/>
      </c>
      <c r="D154">
        <f>IF($A154="","",IFERROR(IF(LOOKUP(2,1/(人給データ!$B$2:$B$700=$A154),人給データ!$Y$2:$Y$700)=0,"",LOOKUP(2,1/(人給データ!$B$2:$B$700=$A154),人給データ!$Y$2:$Y$700)),""))</f>
        <v/>
      </c>
      <c r="E154" s="20">
        <f>IF($A154="","",IFERROR(IF(LOOKUP(2,1/(人給データ!$B$2:$B$700=$A154),人給データ!$AB$2:$AB$700)=0,"",LOOKUP(2,1/(人給データ!$B$2:$B$700=$A154),人給データ!$AB$2:$AB$700)),""))</f>
        <v/>
      </c>
      <c r="F154" s="16">
        <f>IF(OR(E154="",NOT(ISNUMBER(E154))),"",DATE(YEAR(E154)+2,MONTH(E154),DAY(E154)-2))</f>
        <v/>
      </c>
      <c r="G154" s="20">
        <f>IF($A154="","",IFERROR(IF(LOOKUP(2,1/(人給データ!$B$2:$B$700=$A154),人給データ!$J$2:$J$700)=0,"",LOOKUP(2,1/(人給データ!$B$2:$B$700=$A154),人給データ!$J$2:$J$700)),""))</f>
        <v/>
      </c>
      <c r="H154" s="20">
        <f>IF($A154="","",IFERROR(IF(LOOKUP(2,1/(人給データ!$B$2:$B$700=$A154),人給データ!$K$2:$K$700)=0,"",LOOKUP(2,1/(人給データ!$B$2:$B$700=$A154),人給データ!$K$2:$K$700)),""))</f>
        <v/>
      </c>
      <c r="I154" s="12" t="n"/>
      <c r="J154">
        <f>IF($A154="","",IFERROR(IF(LOOKUP(2,1/(人給データ!$B$2:$B$700=$A154),人給データ!$N$2:$N$700)=0,"",LOOKUP(2,1/(人給データ!$B$2:$B$700=$A154),人給データ!$N$2:$N$700)),""))</f>
        <v/>
      </c>
      <c r="K154" s="13" t="n"/>
      <c r="L154" s="12" t="n"/>
      <c r="M154" s="12" t="n"/>
      <c r="N154" s="11" t="n"/>
      <c r="O154" s="11" t="n"/>
      <c r="P154" s="14">
        <f>IF(AND(M154&lt;&gt;"",O154=""),"保留中","")</f>
        <v/>
      </c>
      <c r="Q154" s="14">
        <f>IF(P154="保留中",COUNTIF(P$6:P154,"保留中"),"")</f>
        <v/>
      </c>
    </row>
    <row r="155">
      <c r="A155" s="12" t="n"/>
      <c r="B155">
        <f>IF($A155="","",IFERROR(IF(LOOKUP(2,1/(人給データ!$B$2:$B$700=$A155),人給データ!$C$2:$C$700)=0,"",LOOKUP(2,1/(人給データ!$B$2:$B$700=$A155),人給データ!$C$2:$C$700)),""))</f>
        <v/>
      </c>
      <c r="C155">
        <f>IF($A155="","",IFERROR(IF(LOOKUP(2,1/(人給データ!$B$2:$B$700=$A155),人給データ!$G$2:$G$700)=0,"",LOOKUP(2,1/(人給データ!$B$2:$B$700=$A155),人給データ!$G$2:$G$700)),""))</f>
        <v/>
      </c>
      <c r="D155">
        <f>IF($A155="","",IFERROR(IF(LOOKUP(2,1/(人給データ!$B$2:$B$700=$A155),人給データ!$Y$2:$Y$700)=0,"",LOOKUP(2,1/(人給データ!$B$2:$B$700=$A155),人給データ!$Y$2:$Y$700)),""))</f>
        <v/>
      </c>
      <c r="E155" s="20">
        <f>IF($A155="","",IFERROR(IF(LOOKUP(2,1/(人給データ!$B$2:$B$700=$A155),人給データ!$AB$2:$AB$700)=0,"",LOOKUP(2,1/(人給データ!$B$2:$B$700=$A155),人給データ!$AB$2:$AB$700)),""))</f>
        <v/>
      </c>
      <c r="F155" s="16">
        <f>IF(OR(E155="",NOT(ISNUMBER(E155))),"",DATE(YEAR(E155)+2,MONTH(E155),DAY(E155)-2))</f>
        <v/>
      </c>
      <c r="G155" s="20">
        <f>IF($A155="","",IFERROR(IF(LOOKUP(2,1/(人給データ!$B$2:$B$700=$A155),人給データ!$J$2:$J$700)=0,"",LOOKUP(2,1/(人給データ!$B$2:$B$700=$A155),人給データ!$J$2:$J$700)),""))</f>
        <v/>
      </c>
      <c r="H155" s="20">
        <f>IF($A155="","",IFERROR(IF(LOOKUP(2,1/(人給データ!$B$2:$B$700=$A155),人給データ!$K$2:$K$700)=0,"",LOOKUP(2,1/(人給データ!$B$2:$B$700=$A155),人給データ!$K$2:$K$700)),""))</f>
        <v/>
      </c>
      <c r="I155" s="12" t="n"/>
      <c r="J155">
        <f>IF($A155="","",IFERROR(IF(LOOKUP(2,1/(人給データ!$B$2:$B$700=$A155),人給データ!$N$2:$N$700)=0,"",LOOKUP(2,1/(人給データ!$B$2:$B$700=$A155),人給データ!$N$2:$N$700)),""))</f>
        <v/>
      </c>
      <c r="K155" s="13" t="n"/>
      <c r="L155" s="12" t="n"/>
      <c r="M155" s="12" t="n"/>
      <c r="N155" s="11" t="n"/>
      <c r="O155" s="11" t="n"/>
      <c r="P155" s="14">
        <f>IF(AND(M155&lt;&gt;"",O155=""),"保留中","")</f>
        <v/>
      </c>
      <c r="Q155" s="14">
        <f>IF(P155="保留中",COUNTIF(P$6:P155,"保留中"),"")</f>
        <v/>
      </c>
    </row>
    <row r="156">
      <c r="A156" s="12" t="n"/>
      <c r="B156">
        <f>IF($A156="","",IFERROR(IF(LOOKUP(2,1/(人給データ!$B$2:$B$700=$A156),人給データ!$C$2:$C$700)=0,"",LOOKUP(2,1/(人給データ!$B$2:$B$700=$A156),人給データ!$C$2:$C$700)),""))</f>
        <v/>
      </c>
      <c r="C156">
        <f>IF($A156="","",IFERROR(IF(LOOKUP(2,1/(人給データ!$B$2:$B$700=$A156),人給データ!$G$2:$G$700)=0,"",LOOKUP(2,1/(人給データ!$B$2:$B$700=$A156),人給データ!$G$2:$G$700)),""))</f>
        <v/>
      </c>
      <c r="D156">
        <f>IF($A156="","",IFERROR(IF(LOOKUP(2,1/(人給データ!$B$2:$B$700=$A156),人給データ!$Y$2:$Y$700)=0,"",LOOKUP(2,1/(人給データ!$B$2:$B$700=$A156),人給データ!$Y$2:$Y$700)),""))</f>
        <v/>
      </c>
      <c r="E156" s="20">
        <f>IF($A156="","",IFERROR(IF(LOOKUP(2,1/(人給データ!$B$2:$B$700=$A156),人給データ!$AB$2:$AB$700)=0,"",LOOKUP(2,1/(人給データ!$B$2:$B$700=$A156),人給データ!$AB$2:$AB$700)),""))</f>
        <v/>
      </c>
      <c r="F156" s="16">
        <f>IF(OR(E156="",NOT(ISNUMBER(E156))),"",DATE(YEAR(E156)+2,MONTH(E156),DAY(E156)-2))</f>
        <v/>
      </c>
      <c r="G156" s="20">
        <f>IF($A156="","",IFERROR(IF(LOOKUP(2,1/(人給データ!$B$2:$B$700=$A156),人給データ!$J$2:$J$700)=0,"",LOOKUP(2,1/(人給データ!$B$2:$B$700=$A156),人給データ!$J$2:$J$700)),""))</f>
        <v/>
      </c>
      <c r="H156" s="20">
        <f>IF($A156="","",IFERROR(IF(LOOKUP(2,1/(人給データ!$B$2:$B$700=$A156),人給データ!$K$2:$K$700)=0,"",LOOKUP(2,1/(人給データ!$B$2:$B$700=$A156),人給データ!$K$2:$K$700)),""))</f>
        <v/>
      </c>
      <c r="I156" s="12" t="n"/>
      <c r="J156">
        <f>IF($A156="","",IFERROR(IF(LOOKUP(2,1/(人給データ!$B$2:$B$700=$A156),人給データ!$N$2:$N$700)=0,"",LOOKUP(2,1/(人給データ!$B$2:$B$700=$A156),人給データ!$N$2:$N$700)),""))</f>
        <v/>
      </c>
      <c r="K156" s="13" t="n"/>
      <c r="L156" s="12" t="n"/>
      <c r="M156" s="12" t="n"/>
      <c r="N156" s="11" t="n"/>
      <c r="O156" s="11" t="n"/>
      <c r="P156" s="14">
        <f>IF(AND(M156&lt;&gt;"",O156=""),"保留中","")</f>
        <v/>
      </c>
      <c r="Q156" s="14">
        <f>IF(P156="保留中",COUNTIF(P$6:P156,"保留中"),"")</f>
        <v/>
      </c>
    </row>
    <row r="157">
      <c r="A157" s="12" t="n"/>
      <c r="B157">
        <f>IF($A157="","",IFERROR(IF(LOOKUP(2,1/(人給データ!$B$2:$B$700=$A157),人給データ!$C$2:$C$700)=0,"",LOOKUP(2,1/(人給データ!$B$2:$B$700=$A157),人給データ!$C$2:$C$700)),""))</f>
        <v/>
      </c>
      <c r="C157">
        <f>IF($A157="","",IFERROR(IF(LOOKUP(2,1/(人給データ!$B$2:$B$700=$A157),人給データ!$G$2:$G$700)=0,"",LOOKUP(2,1/(人給データ!$B$2:$B$700=$A157),人給データ!$G$2:$G$700)),""))</f>
        <v/>
      </c>
      <c r="D157">
        <f>IF($A157="","",IFERROR(IF(LOOKUP(2,1/(人給データ!$B$2:$B$700=$A157),人給データ!$Y$2:$Y$700)=0,"",LOOKUP(2,1/(人給データ!$B$2:$B$700=$A157),人給データ!$Y$2:$Y$700)),""))</f>
        <v/>
      </c>
      <c r="E157" s="20">
        <f>IF($A157="","",IFERROR(IF(LOOKUP(2,1/(人給データ!$B$2:$B$700=$A157),人給データ!$AB$2:$AB$700)=0,"",LOOKUP(2,1/(人給データ!$B$2:$B$700=$A157),人給データ!$AB$2:$AB$700)),""))</f>
        <v/>
      </c>
      <c r="F157" s="16">
        <f>IF(OR(E157="",NOT(ISNUMBER(E157))),"",DATE(YEAR(E157)+2,MONTH(E157),DAY(E157)-2))</f>
        <v/>
      </c>
      <c r="G157" s="20">
        <f>IF($A157="","",IFERROR(IF(LOOKUP(2,1/(人給データ!$B$2:$B$700=$A157),人給データ!$J$2:$J$700)=0,"",LOOKUP(2,1/(人給データ!$B$2:$B$700=$A157),人給データ!$J$2:$J$700)),""))</f>
        <v/>
      </c>
      <c r="H157" s="20">
        <f>IF($A157="","",IFERROR(IF(LOOKUP(2,1/(人給データ!$B$2:$B$700=$A157),人給データ!$K$2:$K$700)=0,"",LOOKUP(2,1/(人給データ!$B$2:$B$700=$A157),人給データ!$K$2:$K$700)),""))</f>
        <v/>
      </c>
      <c r="I157" s="12" t="n"/>
      <c r="J157">
        <f>IF($A157="","",IFERROR(IF(LOOKUP(2,1/(人給データ!$B$2:$B$700=$A157),人給データ!$N$2:$N$700)=0,"",LOOKUP(2,1/(人給データ!$B$2:$B$700=$A157),人給データ!$N$2:$N$700)),""))</f>
        <v/>
      </c>
      <c r="K157" s="13" t="n"/>
      <c r="L157" s="12" t="n"/>
      <c r="M157" s="12" t="n"/>
      <c r="N157" s="11" t="n"/>
      <c r="O157" s="11" t="n"/>
      <c r="P157" s="14">
        <f>IF(AND(M157&lt;&gt;"",O157=""),"保留中","")</f>
        <v/>
      </c>
      <c r="Q157" s="14">
        <f>IF(P157="保留中",COUNTIF(P$6:P157,"保留中"),"")</f>
        <v/>
      </c>
    </row>
    <row r="158">
      <c r="A158" s="12" t="n"/>
      <c r="B158">
        <f>IF($A158="","",IFERROR(IF(LOOKUP(2,1/(人給データ!$B$2:$B$700=$A158),人給データ!$C$2:$C$700)=0,"",LOOKUP(2,1/(人給データ!$B$2:$B$700=$A158),人給データ!$C$2:$C$700)),""))</f>
        <v/>
      </c>
      <c r="C158">
        <f>IF($A158="","",IFERROR(IF(LOOKUP(2,1/(人給データ!$B$2:$B$700=$A158),人給データ!$G$2:$G$700)=0,"",LOOKUP(2,1/(人給データ!$B$2:$B$700=$A158),人給データ!$G$2:$G$700)),""))</f>
        <v/>
      </c>
      <c r="D158">
        <f>IF($A158="","",IFERROR(IF(LOOKUP(2,1/(人給データ!$B$2:$B$700=$A158),人給データ!$Y$2:$Y$700)=0,"",LOOKUP(2,1/(人給データ!$B$2:$B$700=$A158),人給データ!$Y$2:$Y$700)),""))</f>
        <v/>
      </c>
      <c r="E158" s="20">
        <f>IF($A158="","",IFERROR(IF(LOOKUP(2,1/(人給データ!$B$2:$B$700=$A158),人給データ!$AB$2:$AB$700)=0,"",LOOKUP(2,1/(人給データ!$B$2:$B$700=$A158),人給データ!$AB$2:$AB$700)),""))</f>
        <v/>
      </c>
      <c r="F158" s="16">
        <f>IF(OR(E158="",NOT(ISNUMBER(E158))),"",DATE(YEAR(E158)+2,MONTH(E158),DAY(E158)-2))</f>
        <v/>
      </c>
      <c r="G158" s="20">
        <f>IF($A158="","",IFERROR(IF(LOOKUP(2,1/(人給データ!$B$2:$B$700=$A158),人給データ!$J$2:$J$700)=0,"",LOOKUP(2,1/(人給データ!$B$2:$B$700=$A158),人給データ!$J$2:$J$700)),""))</f>
        <v/>
      </c>
      <c r="H158" s="20">
        <f>IF($A158="","",IFERROR(IF(LOOKUP(2,1/(人給データ!$B$2:$B$700=$A158),人給データ!$K$2:$K$700)=0,"",LOOKUP(2,1/(人給データ!$B$2:$B$700=$A158),人給データ!$K$2:$K$700)),""))</f>
        <v/>
      </c>
      <c r="I158" s="12" t="n"/>
      <c r="J158">
        <f>IF($A158="","",IFERROR(IF(LOOKUP(2,1/(人給データ!$B$2:$B$700=$A158),人給データ!$N$2:$N$700)=0,"",LOOKUP(2,1/(人給データ!$B$2:$B$700=$A158),人給データ!$N$2:$N$700)),""))</f>
        <v/>
      </c>
      <c r="K158" s="13" t="n"/>
      <c r="L158" s="12" t="n"/>
      <c r="M158" s="12" t="n"/>
      <c r="N158" s="11" t="n"/>
      <c r="O158" s="11" t="n"/>
      <c r="P158" s="14">
        <f>IF(AND(M158&lt;&gt;"",O158=""),"保留中","")</f>
        <v/>
      </c>
      <c r="Q158" s="14">
        <f>IF(P158="保留中",COUNTIF(P$6:P158,"保留中"),"")</f>
        <v/>
      </c>
    </row>
    <row r="159">
      <c r="A159" s="12" t="n"/>
      <c r="B159">
        <f>IF($A159="","",IFERROR(IF(LOOKUP(2,1/(人給データ!$B$2:$B$700=$A159),人給データ!$C$2:$C$700)=0,"",LOOKUP(2,1/(人給データ!$B$2:$B$700=$A159),人給データ!$C$2:$C$700)),""))</f>
        <v/>
      </c>
      <c r="C159">
        <f>IF($A159="","",IFERROR(IF(LOOKUP(2,1/(人給データ!$B$2:$B$700=$A159),人給データ!$G$2:$G$700)=0,"",LOOKUP(2,1/(人給データ!$B$2:$B$700=$A159),人給データ!$G$2:$G$700)),""))</f>
        <v/>
      </c>
      <c r="D159">
        <f>IF($A159="","",IFERROR(IF(LOOKUP(2,1/(人給データ!$B$2:$B$700=$A159),人給データ!$Y$2:$Y$700)=0,"",LOOKUP(2,1/(人給データ!$B$2:$B$700=$A159),人給データ!$Y$2:$Y$700)),""))</f>
        <v/>
      </c>
      <c r="E159" s="20">
        <f>IF($A159="","",IFERROR(IF(LOOKUP(2,1/(人給データ!$B$2:$B$700=$A159),人給データ!$AB$2:$AB$700)=0,"",LOOKUP(2,1/(人給データ!$B$2:$B$700=$A159),人給データ!$AB$2:$AB$700)),""))</f>
        <v/>
      </c>
      <c r="F159" s="16">
        <f>IF(OR(E159="",NOT(ISNUMBER(E159))),"",DATE(YEAR(E159)+2,MONTH(E159),DAY(E159)-2))</f>
        <v/>
      </c>
      <c r="G159" s="20">
        <f>IF($A159="","",IFERROR(IF(LOOKUP(2,1/(人給データ!$B$2:$B$700=$A159),人給データ!$J$2:$J$700)=0,"",LOOKUP(2,1/(人給データ!$B$2:$B$700=$A159),人給データ!$J$2:$J$700)),""))</f>
        <v/>
      </c>
      <c r="H159" s="20">
        <f>IF($A159="","",IFERROR(IF(LOOKUP(2,1/(人給データ!$B$2:$B$700=$A159),人給データ!$K$2:$K$700)=0,"",LOOKUP(2,1/(人給データ!$B$2:$B$700=$A159),人給データ!$K$2:$K$700)),""))</f>
        <v/>
      </c>
      <c r="I159" s="12" t="n"/>
      <c r="J159">
        <f>IF($A159="","",IFERROR(IF(LOOKUP(2,1/(人給データ!$B$2:$B$700=$A159),人給データ!$N$2:$N$700)=0,"",LOOKUP(2,1/(人給データ!$B$2:$B$700=$A159),人給データ!$N$2:$N$700)),""))</f>
        <v/>
      </c>
      <c r="K159" s="13" t="n"/>
      <c r="L159" s="12" t="n"/>
      <c r="M159" s="12" t="n"/>
      <c r="N159" s="11" t="n"/>
      <c r="O159" s="11" t="n"/>
      <c r="P159" s="14">
        <f>IF(AND(M159&lt;&gt;"",O159=""),"保留中","")</f>
        <v/>
      </c>
      <c r="Q159" s="14">
        <f>IF(P159="保留中",COUNTIF(P$6:P159,"保留中"),"")</f>
        <v/>
      </c>
    </row>
    <row r="160">
      <c r="A160" s="12" t="n"/>
      <c r="B160">
        <f>IF($A160="","",IFERROR(IF(LOOKUP(2,1/(人給データ!$B$2:$B$700=$A160),人給データ!$C$2:$C$700)=0,"",LOOKUP(2,1/(人給データ!$B$2:$B$700=$A160),人給データ!$C$2:$C$700)),""))</f>
        <v/>
      </c>
      <c r="C160">
        <f>IF($A160="","",IFERROR(IF(LOOKUP(2,1/(人給データ!$B$2:$B$700=$A160),人給データ!$G$2:$G$700)=0,"",LOOKUP(2,1/(人給データ!$B$2:$B$700=$A160),人給データ!$G$2:$G$700)),""))</f>
        <v/>
      </c>
      <c r="D160">
        <f>IF($A160="","",IFERROR(IF(LOOKUP(2,1/(人給データ!$B$2:$B$700=$A160),人給データ!$Y$2:$Y$700)=0,"",LOOKUP(2,1/(人給データ!$B$2:$B$700=$A160),人給データ!$Y$2:$Y$700)),""))</f>
        <v/>
      </c>
      <c r="E160" s="20">
        <f>IF($A160="","",IFERROR(IF(LOOKUP(2,1/(人給データ!$B$2:$B$700=$A160),人給データ!$AB$2:$AB$700)=0,"",LOOKUP(2,1/(人給データ!$B$2:$B$700=$A160),人給データ!$AB$2:$AB$700)),""))</f>
        <v/>
      </c>
      <c r="F160" s="16">
        <f>IF(OR(E160="",NOT(ISNUMBER(E160))),"",DATE(YEAR(E160)+2,MONTH(E160),DAY(E160)-2))</f>
        <v/>
      </c>
      <c r="G160" s="20">
        <f>IF($A160="","",IFERROR(IF(LOOKUP(2,1/(人給データ!$B$2:$B$700=$A160),人給データ!$J$2:$J$700)=0,"",LOOKUP(2,1/(人給データ!$B$2:$B$700=$A160),人給データ!$J$2:$J$700)),""))</f>
        <v/>
      </c>
      <c r="H160" s="20">
        <f>IF($A160="","",IFERROR(IF(LOOKUP(2,1/(人給データ!$B$2:$B$700=$A160),人給データ!$K$2:$K$700)=0,"",LOOKUP(2,1/(人給データ!$B$2:$B$700=$A160),人給データ!$K$2:$K$700)),""))</f>
        <v/>
      </c>
      <c r="I160" s="12" t="n"/>
      <c r="J160">
        <f>IF($A160="","",IFERROR(IF(LOOKUP(2,1/(人給データ!$B$2:$B$700=$A160),人給データ!$N$2:$N$700)=0,"",LOOKUP(2,1/(人給データ!$B$2:$B$700=$A160),人給データ!$N$2:$N$700)),""))</f>
        <v/>
      </c>
      <c r="K160" s="13" t="n"/>
      <c r="L160" s="12" t="n"/>
      <c r="M160" s="12" t="n"/>
      <c r="N160" s="11" t="n"/>
      <c r="O160" s="11" t="n"/>
      <c r="P160" s="14">
        <f>IF(AND(M160&lt;&gt;"",O160=""),"保留中","")</f>
        <v/>
      </c>
      <c r="Q160" s="14">
        <f>IF(P160="保留中",COUNTIF(P$6:P160,"保留中"),"")</f>
        <v/>
      </c>
    </row>
    <row r="161">
      <c r="A161" s="12" t="n"/>
      <c r="B161">
        <f>IF($A161="","",IFERROR(IF(LOOKUP(2,1/(人給データ!$B$2:$B$700=$A161),人給データ!$C$2:$C$700)=0,"",LOOKUP(2,1/(人給データ!$B$2:$B$700=$A161),人給データ!$C$2:$C$700)),""))</f>
        <v/>
      </c>
      <c r="C161">
        <f>IF($A161="","",IFERROR(IF(LOOKUP(2,1/(人給データ!$B$2:$B$700=$A161),人給データ!$G$2:$G$700)=0,"",LOOKUP(2,1/(人給データ!$B$2:$B$700=$A161),人給データ!$G$2:$G$700)),""))</f>
        <v/>
      </c>
      <c r="D161">
        <f>IF($A161="","",IFERROR(IF(LOOKUP(2,1/(人給データ!$B$2:$B$700=$A161),人給データ!$Y$2:$Y$700)=0,"",LOOKUP(2,1/(人給データ!$B$2:$B$700=$A161),人給データ!$Y$2:$Y$700)),""))</f>
        <v/>
      </c>
      <c r="E161" s="20">
        <f>IF($A161="","",IFERROR(IF(LOOKUP(2,1/(人給データ!$B$2:$B$700=$A161),人給データ!$AB$2:$AB$700)=0,"",LOOKUP(2,1/(人給データ!$B$2:$B$700=$A161),人給データ!$AB$2:$AB$700)),""))</f>
        <v/>
      </c>
      <c r="F161" s="16">
        <f>IF(OR(E161="",NOT(ISNUMBER(E161))),"",DATE(YEAR(E161)+2,MONTH(E161),DAY(E161)-2))</f>
        <v/>
      </c>
      <c r="G161" s="20">
        <f>IF($A161="","",IFERROR(IF(LOOKUP(2,1/(人給データ!$B$2:$B$700=$A161),人給データ!$J$2:$J$700)=0,"",LOOKUP(2,1/(人給データ!$B$2:$B$700=$A161),人給データ!$J$2:$J$700)),""))</f>
        <v/>
      </c>
      <c r="H161" s="20">
        <f>IF($A161="","",IFERROR(IF(LOOKUP(2,1/(人給データ!$B$2:$B$700=$A161),人給データ!$K$2:$K$700)=0,"",LOOKUP(2,1/(人給データ!$B$2:$B$700=$A161),人給データ!$K$2:$K$700)),""))</f>
        <v/>
      </c>
      <c r="I161" s="12" t="n"/>
      <c r="J161">
        <f>IF($A161="","",IFERROR(IF(LOOKUP(2,1/(人給データ!$B$2:$B$700=$A161),人給データ!$N$2:$N$700)=0,"",LOOKUP(2,1/(人給データ!$B$2:$B$700=$A161),人給データ!$N$2:$N$700)),""))</f>
        <v/>
      </c>
      <c r="K161" s="13" t="n"/>
      <c r="L161" s="12" t="n"/>
      <c r="M161" s="12" t="n"/>
      <c r="N161" s="11" t="n"/>
      <c r="O161" s="11" t="n"/>
      <c r="P161" s="14">
        <f>IF(AND(M161&lt;&gt;"",O161=""),"保留中","")</f>
        <v/>
      </c>
      <c r="Q161" s="14">
        <f>IF(P161="保留中",COUNTIF(P$6:P161,"保留中"),"")</f>
        <v/>
      </c>
    </row>
    <row r="162">
      <c r="A162" s="12" t="n"/>
      <c r="B162">
        <f>IF($A162="","",IFERROR(IF(LOOKUP(2,1/(人給データ!$B$2:$B$700=$A162),人給データ!$C$2:$C$700)=0,"",LOOKUP(2,1/(人給データ!$B$2:$B$700=$A162),人給データ!$C$2:$C$700)),""))</f>
        <v/>
      </c>
      <c r="C162">
        <f>IF($A162="","",IFERROR(IF(LOOKUP(2,1/(人給データ!$B$2:$B$700=$A162),人給データ!$G$2:$G$700)=0,"",LOOKUP(2,1/(人給データ!$B$2:$B$700=$A162),人給データ!$G$2:$G$700)),""))</f>
        <v/>
      </c>
      <c r="D162">
        <f>IF($A162="","",IFERROR(IF(LOOKUP(2,1/(人給データ!$B$2:$B$700=$A162),人給データ!$Y$2:$Y$700)=0,"",LOOKUP(2,1/(人給データ!$B$2:$B$700=$A162),人給データ!$Y$2:$Y$700)),""))</f>
        <v/>
      </c>
      <c r="E162" s="20">
        <f>IF($A162="","",IFERROR(IF(LOOKUP(2,1/(人給データ!$B$2:$B$700=$A162),人給データ!$AB$2:$AB$700)=0,"",LOOKUP(2,1/(人給データ!$B$2:$B$700=$A162),人給データ!$AB$2:$AB$700)),""))</f>
        <v/>
      </c>
      <c r="F162" s="16">
        <f>IF(OR(E162="",NOT(ISNUMBER(E162))),"",DATE(YEAR(E162)+2,MONTH(E162),DAY(E162)-2))</f>
        <v/>
      </c>
      <c r="G162" s="20">
        <f>IF($A162="","",IFERROR(IF(LOOKUP(2,1/(人給データ!$B$2:$B$700=$A162),人給データ!$J$2:$J$700)=0,"",LOOKUP(2,1/(人給データ!$B$2:$B$700=$A162),人給データ!$J$2:$J$700)),""))</f>
        <v/>
      </c>
      <c r="H162" s="20">
        <f>IF($A162="","",IFERROR(IF(LOOKUP(2,1/(人給データ!$B$2:$B$700=$A162),人給データ!$K$2:$K$700)=0,"",LOOKUP(2,1/(人給データ!$B$2:$B$700=$A162),人給データ!$K$2:$K$700)),""))</f>
        <v/>
      </c>
      <c r="I162" s="12" t="n"/>
      <c r="J162">
        <f>IF($A162="","",IFERROR(IF(LOOKUP(2,1/(人給データ!$B$2:$B$700=$A162),人給データ!$N$2:$N$700)=0,"",LOOKUP(2,1/(人給データ!$B$2:$B$700=$A162),人給データ!$N$2:$N$700)),""))</f>
        <v/>
      </c>
      <c r="K162" s="13" t="n"/>
      <c r="L162" s="12" t="n"/>
      <c r="M162" s="12" t="n"/>
      <c r="N162" s="11" t="n"/>
      <c r="O162" s="11" t="n"/>
      <c r="P162" s="14">
        <f>IF(AND(M162&lt;&gt;"",O162=""),"保留中","")</f>
        <v/>
      </c>
      <c r="Q162" s="14">
        <f>IF(P162="保留中",COUNTIF(P$6:P162,"保留中"),"")</f>
        <v/>
      </c>
    </row>
    <row r="163">
      <c r="A163" s="12" t="n"/>
      <c r="B163">
        <f>IF($A163="","",IFERROR(IF(LOOKUP(2,1/(人給データ!$B$2:$B$700=$A163),人給データ!$C$2:$C$700)=0,"",LOOKUP(2,1/(人給データ!$B$2:$B$700=$A163),人給データ!$C$2:$C$700)),""))</f>
        <v/>
      </c>
      <c r="C163">
        <f>IF($A163="","",IFERROR(IF(LOOKUP(2,1/(人給データ!$B$2:$B$700=$A163),人給データ!$G$2:$G$700)=0,"",LOOKUP(2,1/(人給データ!$B$2:$B$700=$A163),人給データ!$G$2:$G$700)),""))</f>
        <v/>
      </c>
      <c r="D163">
        <f>IF($A163="","",IFERROR(IF(LOOKUP(2,1/(人給データ!$B$2:$B$700=$A163),人給データ!$Y$2:$Y$700)=0,"",LOOKUP(2,1/(人給データ!$B$2:$B$700=$A163),人給データ!$Y$2:$Y$700)),""))</f>
        <v/>
      </c>
      <c r="E163" s="20">
        <f>IF($A163="","",IFERROR(IF(LOOKUP(2,1/(人給データ!$B$2:$B$700=$A163),人給データ!$AB$2:$AB$700)=0,"",LOOKUP(2,1/(人給データ!$B$2:$B$700=$A163),人給データ!$AB$2:$AB$700)),""))</f>
        <v/>
      </c>
      <c r="F163" s="16">
        <f>IF(OR(E163="",NOT(ISNUMBER(E163))),"",DATE(YEAR(E163)+2,MONTH(E163),DAY(E163)-2))</f>
        <v/>
      </c>
      <c r="G163" s="20">
        <f>IF($A163="","",IFERROR(IF(LOOKUP(2,1/(人給データ!$B$2:$B$700=$A163),人給データ!$J$2:$J$700)=0,"",LOOKUP(2,1/(人給データ!$B$2:$B$700=$A163),人給データ!$J$2:$J$700)),""))</f>
        <v/>
      </c>
      <c r="H163" s="20">
        <f>IF($A163="","",IFERROR(IF(LOOKUP(2,1/(人給データ!$B$2:$B$700=$A163),人給データ!$K$2:$K$700)=0,"",LOOKUP(2,1/(人給データ!$B$2:$B$700=$A163),人給データ!$K$2:$K$700)),""))</f>
        <v/>
      </c>
      <c r="I163" s="12" t="n"/>
      <c r="J163">
        <f>IF($A163="","",IFERROR(IF(LOOKUP(2,1/(人給データ!$B$2:$B$700=$A163),人給データ!$N$2:$N$700)=0,"",LOOKUP(2,1/(人給データ!$B$2:$B$700=$A163),人給データ!$N$2:$N$700)),""))</f>
        <v/>
      </c>
      <c r="K163" s="13" t="n"/>
      <c r="L163" s="12" t="n"/>
      <c r="M163" s="12" t="n"/>
      <c r="N163" s="11" t="n"/>
      <c r="O163" s="11" t="n"/>
      <c r="P163" s="14">
        <f>IF(AND(M163&lt;&gt;"",O163=""),"保留中","")</f>
        <v/>
      </c>
      <c r="Q163" s="14">
        <f>IF(P163="保留中",COUNTIF(P$6:P163,"保留中"),"")</f>
        <v/>
      </c>
    </row>
    <row r="164">
      <c r="A164" s="12" t="n"/>
      <c r="B164">
        <f>IF($A164="","",IFERROR(IF(LOOKUP(2,1/(人給データ!$B$2:$B$700=$A164),人給データ!$C$2:$C$700)=0,"",LOOKUP(2,1/(人給データ!$B$2:$B$700=$A164),人給データ!$C$2:$C$700)),""))</f>
        <v/>
      </c>
      <c r="C164">
        <f>IF($A164="","",IFERROR(IF(LOOKUP(2,1/(人給データ!$B$2:$B$700=$A164),人給データ!$G$2:$G$700)=0,"",LOOKUP(2,1/(人給データ!$B$2:$B$700=$A164),人給データ!$G$2:$G$700)),""))</f>
        <v/>
      </c>
      <c r="D164">
        <f>IF($A164="","",IFERROR(IF(LOOKUP(2,1/(人給データ!$B$2:$B$700=$A164),人給データ!$Y$2:$Y$700)=0,"",LOOKUP(2,1/(人給データ!$B$2:$B$700=$A164),人給データ!$Y$2:$Y$700)),""))</f>
        <v/>
      </c>
      <c r="E164" s="20">
        <f>IF($A164="","",IFERROR(IF(LOOKUP(2,1/(人給データ!$B$2:$B$700=$A164),人給データ!$AB$2:$AB$700)=0,"",LOOKUP(2,1/(人給データ!$B$2:$B$700=$A164),人給データ!$AB$2:$AB$700)),""))</f>
        <v/>
      </c>
      <c r="F164" s="16">
        <f>IF(OR(E164="",NOT(ISNUMBER(E164))),"",DATE(YEAR(E164)+2,MONTH(E164),DAY(E164)-2))</f>
        <v/>
      </c>
      <c r="G164" s="20">
        <f>IF($A164="","",IFERROR(IF(LOOKUP(2,1/(人給データ!$B$2:$B$700=$A164),人給データ!$J$2:$J$700)=0,"",LOOKUP(2,1/(人給データ!$B$2:$B$700=$A164),人給データ!$J$2:$J$700)),""))</f>
        <v/>
      </c>
      <c r="H164" s="20">
        <f>IF($A164="","",IFERROR(IF(LOOKUP(2,1/(人給データ!$B$2:$B$700=$A164),人給データ!$K$2:$K$700)=0,"",LOOKUP(2,1/(人給データ!$B$2:$B$700=$A164),人給データ!$K$2:$K$700)),""))</f>
        <v/>
      </c>
      <c r="I164" s="12" t="n"/>
      <c r="J164">
        <f>IF($A164="","",IFERROR(IF(LOOKUP(2,1/(人給データ!$B$2:$B$700=$A164),人給データ!$N$2:$N$700)=0,"",LOOKUP(2,1/(人給データ!$B$2:$B$700=$A164),人給データ!$N$2:$N$700)),""))</f>
        <v/>
      </c>
      <c r="K164" s="13" t="n"/>
      <c r="L164" s="12" t="n"/>
      <c r="M164" s="12" t="n"/>
      <c r="N164" s="11" t="n"/>
      <c r="O164" s="11" t="n"/>
      <c r="P164" s="14">
        <f>IF(AND(M164&lt;&gt;"",O164=""),"保留中","")</f>
        <v/>
      </c>
      <c r="Q164" s="14">
        <f>IF(P164="保留中",COUNTIF(P$6:P164,"保留中"),"")</f>
        <v/>
      </c>
    </row>
    <row r="165">
      <c r="A165" s="12" t="n"/>
      <c r="B165">
        <f>IF($A165="","",IFERROR(IF(LOOKUP(2,1/(人給データ!$B$2:$B$700=$A165),人給データ!$C$2:$C$700)=0,"",LOOKUP(2,1/(人給データ!$B$2:$B$700=$A165),人給データ!$C$2:$C$700)),""))</f>
        <v/>
      </c>
      <c r="C165">
        <f>IF($A165="","",IFERROR(IF(LOOKUP(2,1/(人給データ!$B$2:$B$700=$A165),人給データ!$G$2:$G$700)=0,"",LOOKUP(2,1/(人給データ!$B$2:$B$700=$A165),人給データ!$G$2:$G$700)),""))</f>
        <v/>
      </c>
      <c r="D165">
        <f>IF($A165="","",IFERROR(IF(LOOKUP(2,1/(人給データ!$B$2:$B$700=$A165),人給データ!$Y$2:$Y$700)=0,"",LOOKUP(2,1/(人給データ!$B$2:$B$700=$A165),人給データ!$Y$2:$Y$700)),""))</f>
        <v/>
      </c>
      <c r="E165" s="20">
        <f>IF($A165="","",IFERROR(IF(LOOKUP(2,1/(人給データ!$B$2:$B$700=$A165),人給データ!$AB$2:$AB$700)=0,"",LOOKUP(2,1/(人給データ!$B$2:$B$700=$A165),人給データ!$AB$2:$AB$700)),""))</f>
        <v/>
      </c>
      <c r="F165" s="16">
        <f>IF(OR(E165="",NOT(ISNUMBER(E165))),"",DATE(YEAR(E165)+2,MONTH(E165),DAY(E165)-2))</f>
        <v/>
      </c>
      <c r="G165" s="20">
        <f>IF($A165="","",IFERROR(IF(LOOKUP(2,1/(人給データ!$B$2:$B$700=$A165),人給データ!$J$2:$J$700)=0,"",LOOKUP(2,1/(人給データ!$B$2:$B$700=$A165),人給データ!$J$2:$J$700)),""))</f>
        <v/>
      </c>
      <c r="H165" s="20">
        <f>IF($A165="","",IFERROR(IF(LOOKUP(2,1/(人給データ!$B$2:$B$700=$A165),人給データ!$K$2:$K$700)=0,"",LOOKUP(2,1/(人給データ!$B$2:$B$700=$A165),人給データ!$K$2:$K$700)),""))</f>
        <v/>
      </c>
      <c r="I165" s="12" t="n"/>
      <c r="J165">
        <f>IF($A165="","",IFERROR(IF(LOOKUP(2,1/(人給データ!$B$2:$B$700=$A165),人給データ!$N$2:$N$700)=0,"",LOOKUP(2,1/(人給データ!$B$2:$B$700=$A165),人給データ!$N$2:$N$700)),""))</f>
        <v/>
      </c>
      <c r="K165" s="13" t="n"/>
      <c r="L165" s="12" t="n"/>
      <c r="M165" s="12" t="n"/>
      <c r="N165" s="11" t="n"/>
      <c r="O165" s="11" t="n"/>
      <c r="P165" s="14">
        <f>IF(AND(M165&lt;&gt;"",O165=""),"保留中","")</f>
        <v/>
      </c>
      <c r="Q165" s="14">
        <f>IF(P165="保留中",COUNTIF(P$6:P165,"保留中"),"")</f>
        <v/>
      </c>
    </row>
    <row r="166">
      <c r="A166" s="12" t="n"/>
      <c r="B166">
        <f>IF($A166="","",IFERROR(IF(LOOKUP(2,1/(人給データ!$B$2:$B$700=$A166),人給データ!$C$2:$C$700)=0,"",LOOKUP(2,1/(人給データ!$B$2:$B$700=$A166),人給データ!$C$2:$C$700)),""))</f>
        <v/>
      </c>
      <c r="C166">
        <f>IF($A166="","",IFERROR(IF(LOOKUP(2,1/(人給データ!$B$2:$B$700=$A166),人給データ!$G$2:$G$700)=0,"",LOOKUP(2,1/(人給データ!$B$2:$B$700=$A166),人給データ!$G$2:$G$700)),""))</f>
        <v/>
      </c>
      <c r="D166">
        <f>IF($A166="","",IFERROR(IF(LOOKUP(2,1/(人給データ!$B$2:$B$700=$A166),人給データ!$Y$2:$Y$700)=0,"",LOOKUP(2,1/(人給データ!$B$2:$B$700=$A166),人給データ!$Y$2:$Y$700)),""))</f>
        <v/>
      </c>
      <c r="E166" s="20">
        <f>IF($A166="","",IFERROR(IF(LOOKUP(2,1/(人給データ!$B$2:$B$700=$A166),人給データ!$AB$2:$AB$700)=0,"",LOOKUP(2,1/(人給データ!$B$2:$B$700=$A166),人給データ!$AB$2:$AB$700)),""))</f>
        <v/>
      </c>
      <c r="F166" s="16">
        <f>IF(OR(E166="",NOT(ISNUMBER(E166))),"",DATE(YEAR(E166)+2,MONTH(E166),DAY(E166)-2))</f>
        <v/>
      </c>
      <c r="G166" s="20">
        <f>IF($A166="","",IFERROR(IF(LOOKUP(2,1/(人給データ!$B$2:$B$700=$A166),人給データ!$J$2:$J$700)=0,"",LOOKUP(2,1/(人給データ!$B$2:$B$700=$A166),人給データ!$J$2:$J$700)),""))</f>
        <v/>
      </c>
      <c r="H166" s="20">
        <f>IF($A166="","",IFERROR(IF(LOOKUP(2,1/(人給データ!$B$2:$B$700=$A166),人給データ!$K$2:$K$700)=0,"",LOOKUP(2,1/(人給データ!$B$2:$B$700=$A166),人給データ!$K$2:$K$700)),""))</f>
        <v/>
      </c>
      <c r="I166" s="12" t="n"/>
      <c r="J166">
        <f>IF($A166="","",IFERROR(IF(LOOKUP(2,1/(人給データ!$B$2:$B$700=$A166),人給データ!$N$2:$N$700)=0,"",LOOKUP(2,1/(人給データ!$B$2:$B$700=$A166),人給データ!$N$2:$N$700)),""))</f>
        <v/>
      </c>
      <c r="K166" s="13" t="n"/>
      <c r="L166" s="12" t="n"/>
      <c r="M166" s="12" t="n"/>
      <c r="N166" s="11" t="n"/>
      <c r="O166" s="11" t="n"/>
      <c r="P166" s="14">
        <f>IF(AND(M166&lt;&gt;"",O166=""),"保留中","")</f>
        <v/>
      </c>
      <c r="Q166" s="14">
        <f>IF(P166="保留中",COUNTIF(P$6:P166,"保留中"),"")</f>
        <v/>
      </c>
    </row>
    <row r="167">
      <c r="A167" s="12" t="n"/>
      <c r="B167">
        <f>IF($A167="","",IFERROR(IF(LOOKUP(2,1/(人給データ!$B$2:$B$700=$A167),人給データ!$C$2:$C$700)=0,"",LOOKUP(2,1/(人給データ!$B$2:$B$700=$A167),人給データ!$C$2:$C$700)),""))</f>
        <v/>
      </c>
      <c r="C167">
        <f>IF($A167="","",IFERROR(IF(LOOKUP(2,1/(人給データ!$B$2:$B$700=$A167),人給データ!$G$2:$G$700)=0,"",LOOKUP(2,1/(人給データ!$B$2:$B$700=$A167),人給データ!$G$2:$G$700)),""))</f>
        <v/>
      </c>
      <c r="D167">
        <f>IF($A167="","",IFERROR(IF(LOOKUP(2,1/(人給データ!$B$2:$B$700=$A167),人給データ!$Y$2:$Y$700)=0,"",LOOKUP(2,1/(人給データ!$B$2:$B$700=$A167),人給データ!$Y$2:$Y$700)),""))</f>
        <v/>
      </c>
      <c r="E167" s="20">
        <f>IF($A167="","",IFERROR(IF(LOOKUP(2,1/(人給データ!$B$2:$B$700=$A167),人給データ!$AB$2:$AB$700)=0,"",LOOKUP(2,1/(人給データ!$B$2:$B$700=$A167),人給データ!$AB$2:$AB$700)),""))</f>
        <v/>
      </c>
      <c r="F167" s="16">
        <f>IF(OR(E167="",NOT(ISNUMBER(E167))),"",DATE(YEAR(E167)+2,MONTH(E167),DAY(E167)-2))</f>
        <v/>
      </c>
      <c r="G167" s="20">
        <f>IF($A167="","",IFERROR(IF(LOOKUP(2,1/(人給データ!$B$2:$B$700=$A167),人給データ!$J$2:$J$700)=0,"",LOOKUP(2,1/(人給データ!$B$2:$B$700=$A167),人給データ!$J$2:$J$700)),""))</f>
        <v/>
      </c>
      <c r="H167" s="20">
        <f>IF($A167="","",IFERROR(IF(LOOKUP(2,1/(人給データ!$B$2:$B$700=$A167),人給データ!$K$2:$K$700)=0,"",LOOKUP(2,1/(人給データ!$B$2:$B$700=$A167),人給データ!$K$2:$K$700)),""))</f>
        <v/>
      </c>
      <c r="I167" s="12" t="n"/>
      <c r="J167">
        <f>IF($A167="","",IFERROR(IF(LOOKUP(2,1/(人給データ!$B$2:$B$700=$A167),人給データ!$N$2:$N$700)=0,"",LOOKUP(2,1/(人給データ!$B$2:$B$700=$A167),人給データ!$N$2:$N$700)),""))</f>
        <v/>
      </c>
      <c r="K167" s="13" t="n"/>
      <c r="L167" s="12" t="n"/>
      <c r="M167" s="12" t="n"/>
      <c r="N167" s="11" t="n"/>
      <c r="O167" s="11" t="n"/>
      <c r="P167" s="14">
        <f>IF(AND(M167&lt;&gt;"",O167=""),"保留中","")</f>
        <v/>
      </c>
      <c r="Q167" s="14">
        <f>IF(P167="保留中",COUNTIF(P$6:P167,"保留中"),"")</f>
        <v/>
      </c>
    </row>
    <row r="168">
      <c r="A168" s="12" t="n"/>
      <c r="B168">
        <f>IF($A168="","",IFERROR(IF(LOOKUP(2,1/(人給データ!$B$2:$B$700=$A168),人給データ!$C$2:$C$700)=0,"",LOOKUP(2,1/(人給データ!$B$2:$B$700=$A168),人給データ!$C$2:$C$700)),""))</f>
        <v/>
      </c>
      <c r="C168">
        <f>IF($A168="","",IFERROR(IF(LOOKUP(2,1/(人給データ!$B$2:$B$700=$A168),人給データ!$G$2:$G$700)=0,"",LOOKUP(2,1/(人給データ!$B$2:$B$700=$A168),人給データ!$G$2:$G$700)),""))</f>
        <v/>
      </c>
      <c r="D168">
        <f>IF($A168="","",IFERROR(IF(LOOKUP(2,1/(人給データ!$B$2:$B$700=$A168),人給データ!$Y$2:$Y$700)=0,"",LOOKUP(2,1/(人給データ!$B$2:$B$700=$A168),人給データ!$Y$2:$Y$700)),""))</f>
        <v/>
      </c>
      <c r="E168" s="20">
        <f>IF($A168="","",IFERROR(IF(LOOKUP(2,1/(人給データ!$B$2:$B$700=$A168),人給データ!$AB$2:$AB$700)=0,"",LOOKUP(2,1/(人給データ!$B$2:$B$700=$A168),人給データ!$AB$2:$AB$700)),""))</f>
        <v/>
      </c>
      <c r="F168" s="16">
        <f>IF(OR(E168="",NOT(ISNUMBER(E168))),"",DATE(YEAR(E168)+2,MONTH(E168),DAY(E168)-2))</f>
        <v/>
      </c>
      <c r="G168" s="20">
        <f>IF($A168="","",IFERROR(IF(LOOKUP(2,1/(人給データ!$B$2:$B$700=$A168),人給データ!$J$2:$J$700)=0,"",LOOKUP(2,1/(人給データ!$B$2:$B$700=$A168),人給データ!$J$2:$J$700)),""))</f>
        <v/>
      </c>
      <c r="H168" s="20">
        <f>IF($A168="","",IFERROR(IF(LOOKUP(2,1/(人給データ!$B$2:$B$700=$A168),人給データ!$K$2:$K$700)=0,"",LOOKUP(2,1/(人給データ!$B$2:$B$700=$A168),人給データ!$K$2:$K$700)),""))</f>
        <v/>
      </c>
      <c r="I168" s="12" t="n"/>
      <c r="J168">
        <f>IF($A168="","",IFERROR(IF(LOOKUP(2,1/(人給データ!$B$2:$B$700=$A168),人給データ!$N$2:$N$700)=0,"",LOOKUP(2,1/(人給データ!$B$2:$B$700=$A168),人給データ!$N$2:$N$700)),""))</f>
        <v/>
      </c>
      <c r="K168" s="13" t="n"/>
      <c r="L168" s="12" t="n"/>
      <c r="M168" s="12" t="n"/>
      <c r="N168" s="11" t="n"/>
      <c r="O168" s="11" t="n"/>
      <c r="P168" s="14">
        <f>IF(AND(M168&lt;&gt;"",O168=""),"保留中","")</f>
        <v/>
      </c>
      <c r="Q168" s="14">
        <f>IF(P168="保留中",COUNTIF(P$6:P168,"保留中"),"")</f>
        <v/>
      </c>
    </row>
    <row r="169">
      <c r="A169" s="12" t="n"/>
      <c r="B169">
        <f>IF($A169="","",IFERROR(IF(LOOKUP(2,1/(人給データ!$B$2:$B$700=$A169),人給データ!$C$2:$C$700)=0,"",LOOKUP(2,1/(人給データ!$B$2:$B$700=$A169),人給データ!$C$2:$C$700)),""))</f>
        <v/>
      </c>
      <c r="C169">
        <f>IF($A169="","",IFERROR(IF(LOOKUP(2,1/(人給データ!$B$2:$B$700=$A169),人給データ!$G$2:$G$700)=0,"",LOOKUP(2,1/(人給データ!$B$2:$B$700=$A169),人給データ!$G$2:$G$700)),""))</f>
        <v/>
      </c>
      <c r="D169">
        <f>IF($A169="","",IFERROR(IF(LOOKUP(2,1/(人給データ!$B$2:$B$700=$A169),人給データ!$Y$2:$Y$700)=0,"",LOOKUP(2,1/(人給データ!$B$2:$B$700=$A169),人給データ!$Y$2:$Y$700)),""))</f>
        <v/>
      </c>
      <c r="E169" s="20">
        <f>IF($A169="","",IFERROR(IF(LOOKUP(2,1/(人給データ!$B$2:$B$700=$A169),人給データ!$AB$2:$AB$700)=0,"",LOOKUP(2,1/(人給データ!$B$2:$B$700=$A169),人給データ!$AB$2:$AB$700)),""))</f>
        <v/>
      </c>
      <c r="F169" s="16">
        <f>IF(OR(E169="",NOT(ISNUMBER(E169))),"",DATE(YEAR(E169)+2,MONTH(E169),DAY(E169)-2))</f>
        <v/>
      </c>
      <c r="G169" s="20">
        <f>IF($A169="","",IFERROR(IF(LOOKUP(2,1/(人給データ!$B$2:$B$700=$A169),人給データ!$J$2:$J$700)=0,"",LOOKUP(2,1/(人給データ!$B$2:$B$700=$A169),人給データ!$J$2:$J$700)),""))</f>
        <v/>
      </c>
      <c r="H169" s="20">
        <f>IF($A169="","",IFERROR(IF(LOOKUP(2,1/(人給データ!$B$2:$B$700=$A169),人給データ!$K$2:$K$700)=0,"",LOOKUP(2,1/(人給データ!$B$2:$B$700=$A169),人給データ!$K$2:$K$700)),""))</f>
        <v/>
      </c>
      <c r="I169" s="12" t="n"/>
      <c r="J169">
        <f>IF($A169="","",IFERROR(IF(LOOKUP(2,1/(人給データ!$B$2:$B$700=$A169),人給データ!$N$2:$N$700)=0,"",LOOKUP(2,1/(人給データ!$B$2:$B$700=$A169),人給データ!$N$2:$N$700)),""))</f>
        <v/>
      </c>
      <c r="K169" s="13" t="n"/>
      <c r="L169" s="12" t="n"/>
      <c r="M169" s="12" t="n"/>
      <c r="N169" s="11" t="n"/>
      <c r="O169" s="11" t="n"/>
      <c r="P169" s="14">
        <f>IF(AND(M169&lt;&gt;"",O169=""),"保留中","")</f>
        <v/>
      </c>
      <c r="Q169" s="14">
        <f>IF(P169="保留中",COUNTIF(P$6:P169,"保留中"),"")</f>
        <v/>
      </c>
    </row>
    <row r="170">
      <c r="A170" s="12" t="n"/>
      <c r="B170">
        <f>IF($A170="","",IFERROR(IF(LOOKUP(2,1/(人給データ!$B$2:$B$700=$A170),人給データ!$C$2:$C$700)=0,"",LOOKUP(2,1/(人給データ!$B$2:$B$700=$A170),人給データ!$C$2:$C$700)),""))</f>
        <v/>
      </c>
      <c r="C170">
        <f>IF($A170="","",IFERROR(IF(LOOKUP(2,1/(人給データ!$B$2:$B$700=$A170),人給データ!$G$2:$G$700)=0,"",LOOKUP(2,1/(人給データ!$B$2:$B$700=$A170),人給データ!$G$2:$G$700)),""))</f>
        <v/>
      </c>
      <c r="D170">
        <f>IF($A170="","",IFERROR(IF(LOOKUP(2,1/(人給データ!$B$2:$B$700=$A170),人給データ!$Y$2:$Y$700)=0,"",LOOKUP(2,1/(人給データ!$B$2:$B$700=$A170),人給データ!$Y$2:$Y$700)),""))</f>
        <v/>
      </c>
      <c r="E170" s="20">
        <f>IF($A170="","",IFERROR(IF(LOOKUP(2,1/(人給データ!$B$2:$B$700=$A170),人給データ!$AB$2:$AB$700)=0,"",LOOKUP(2,1/(人給データ!$B$2:$B$700=$A170),人給データ!$AB$2:$AB$700)),""))</f>
        <v/>
      </c>
      <c r="F170" s="16">
        <f>IF(OR(E170="",NOT(ISNUMBER(E170))),"",DATE(YEAR(E170)+2,MONTH(E170),DAY(E170)-2))</f>
        <v/>
      </c>
      <c r="G170" s="20">
        <f>IF($A170="","",IFERROR(IF(LOOKUP(2,1/(人給データ!$B$2:$B$700=$A170),人給データ!$J$2:$J$700)=0,"",LOOKUP(2,1/(人給データ!$B$2:$B$700=$A170),人給データ!$J$2:$J$700)),""))</f>
        <v/>
      </c>
      <c r="H170" s="20">
        <f>IF($A170="","",IFERROR(IF(LOOKUP(2,1/(人給データ!$B$2:$B$700=$A170),人給データ!$K$2:$K$700)=0,"",LOOKUP(2,1/(人給データ!$B$2:$B$700=$A170),人給データ!$K$2:$K$700)),""))</f>
        <v/>
      </c>
      <c r="I170" s="12" t="n"/>
      <c r="J170">
        <f>IF($A170="","",IFERROR(IF(LOOKUP(2,1/(人給データ!$B$2:$B$700=$A170),人給データ!$N$2:$N$700)=0,"",LOOKUP(2,1/(人給データ!$B$2:$B$700=$A170),人給データ!$N$2:$N$700)),""))</f>
        <v/>
      </c>
      <c r="K170" s="13" t="n"/>
      <c r="L170" s="12" t="n"/>
      <c r="M170" s="12" t="n"/>
      <c r="N170" s="11" t="n"/>
      <c r="O170" s="11" t="n"/>
      <c r="P170" s="14">
        <f>IF(AND(M170&lt;&gt;"",O170=""),"保留中","")</f>
        <v/>
      </c>
      <c r="Q170" s="14">
        <f>IF(P170="保留中",COUNTIF(P$6:P170,"保留中"),"")</f>
        <v/>
      </c>
    </row>
    <row r="171">
      <c r="A171" s="12" t="n"/>
      <c r="B171">
        <f>IF($A171="","",IFERROR(IF(LOOKUP(2,1/(人給データ!$B$2:$B$700=$A171),人給データ!$C$2:$C$700)=0,"",LOOKUP(2,1/(人給データ!$B$2:$B$700=$A171),人給データ!$C$2:$C$700)),""))</f>
        <v/>
      </c>
      <c r="C171">
        <f>IF($A171="","",IFERROR(IF(LOOKUP(2,1/(人給データ!$B$2:$B$700=$A171),人給データ!$G$2:$G$700)=0,"",LOOKUP(2,1/(人給データ!$B$2:$B$700=$A171),人給データ!$G$2:$G$700)),""))</f>
        <v/>
      </c>
      <c r="D171">
        <f>IF($A171="","",IFERROR(IF(LOOKUP(2,1/(人給データ!$B$2:$B$700=$A171),人給データ!$Y$2:$Y$700)=0,"",LOOKUP(2,1/(人給データ!$B$2:$B$700=$A171),人給データ!$Y$2:$Y$700)),""))</f>
        <v/>
      </c>
      <c r="E171" s="20">
        <f>IF($A171="","",IFERROR(IF(LOOKUP(2,1/(人給データ!$B$2:$B$700=$A171),人給データ!$AB$2:$AB$700)=0,"",LOOKUP(2,1/(人給データ!$B$2:$B$700=$A171),人給データ!$AB$2:$AB$700)),""))</f>
        <v/>
      </c>
      <c r="F171" s="16">
        <f>IF(OR(E171="",NOT(ISNUMBER(E171))),"",DATE(YEAR(E171)+2,MONTH(E171),DAY(E171)-2))</f>
        <v/>
      </c>
      <c r="G171" s="20">
        <f>IF($A171="","",IFERROR(IF(LOOKUP(2,1/(人給データ!$B$2:$B$700=$A171),人給データ!$J$2:$J$700)=0,"",LOOKUP(2,1/(人給データ!$B$2:$B$700=$A171),人給データ!$J$2:$J$700)),""))</f>
        <v/>
      </c>
      <c r="H171" s="20">
        <f>IF($A171="","",IFERROR(IF(LOOKUP(2,1/(人給データ!$B$2:$B$700=$A171),人給データ!$K$2:$K$700)=0,"",LOOKUP(2,1/(人給データ!$B$2:$B$700=$A171),人給データ!$K$2:$K$700)),""))</f>
        <v/>
      </c>
      <c r="I171" s="12" t="n"/>
      <c r="J171">
        <f>IF($A171="","",IFERROR(IF(LOOKUP(2,1/(人給データ!$B$2:$B$700=$A171),人給データ!$N$2:$N$700)=0,"",LOOKUP(2,1/(人給データ!$B$2:$B$700=$A171),人給データ!$N$2:$N$700)),""))</f>
        <v/>
      </c>
      <c r="K171" s="13" t="n"/>
      <c r="L171" s="12" t="n"/>
      <c r="M171" s="12" t="n"/>
      <c r="N171" s="11" t="n"/>
      <c r="O171" s="11" t="n"/>
      <c r="P171" s="14">
        <f>IF(AND(M171&lt;&gt;"",O171=""),"保留中","")</f>
        <v/>
      </c>
      <c r="Q171" s="14">
        <f>IF(P171="保留中",COUNTIF(P$6:P171,"保留中"),"")</f>
        <v/>
      </c>
    </row>
    <row r="172">
      <c r="A172" s="12" t="n"/>
      <c r="B172">
        <f>IF($A172="","",IFERROR(IF(LOOKUP(2,1/(人給データ!$B$2:$B$700=$A172),人給データ!$C$2:$C$700)=0,"",LOOKUP(2,1/(人給データ!$B$2:$B$700=$A172),人給データ!$C$2:$C$700)),""))</f>
        <v/>
      </c>
      <c r="C172">
        <f>IF($A172="","",IFERROR(IF(LOOKUP(2,1/(人給データ!$B$2:$B$700=$A172),人給データ!$G$2:$G$700)=0,"",LOOKUP(2,1/(人給データ!$B$2:$B$700=$A172),人給データ!$G$2:$G$700)),""))</f>
        <v/>
      </c>
      <c r="D172">
        <f>IF($A172="","",IFERROR(IF(LOOKUP(2,1/(人給データ!$B$2:$B$700=$A172),人給データ!$Y$2:$Y$700)=0,"",LOOKUP(2,1/(人給データ!$B$2:$B$700=$A172),人給データ!$Y$2:$Y$700)),""))</f>
        <v/>
      </c>
      <c r="E172" s="20">
        <f>IF($A172="","",IFERROR(IF(LOOKUP(2,1/(人給データ!$B$2:$B$700=$A172),人給データ!$AB$2:$AB$700)=0,"",LOOKUP(2,1/(人給データ!$B$2:$B$700=$A172),人給データ!$AB$2:$AB$700)),""))</f>
        <v/>
      </c>
      <c r="F172" s="16">
        <f>IF(OR(E172="",NOT(ISNUMBER(E172))),"",DATE(YEAR(E172)+2,MONTH(E172),DAY(E172)-2))</f>
        <v/>
      </c>
      <c r="G172" s="20">
        <f>IF($A172="","",IFERROR(IF(LOOKUP(2,1/(人給データ!$B$2:$B$700=$A172),人給データ!$J$2:$J$700)=0,"",LOOKUP(2,1/(人給データ!$B$2:$B$700=$A172),人給データ!$J$2:$J$700)),""))</f>
        <v/>
      </c>
      <c r="H172" s="20">
        <f>IF($A172="","",IFERROR(IF(LOOKUP(2,1/(人給データ!$B$2:$B$700=$A172),人給データ!$K$2:$K$700)=0,"",LOOKUP(2,1/(人給データ!$B$2:$B$700=$A172),人給データ!$K$2:$K$700)),""))</f>
        <v/>
      </c>
      <c r="I172" s="12" t="n"/>
      <c r="J172">
        <f>IF($A172="","",IFERROR(IF(LOOKUP(2,1/(人給データ!$B$2:$B$700=$A172),人給データ!$N$2:$N$700)=0,"",LOOKUP(2,1/(人給データ!$B$2:$B$700=$A172),人給データ!$N$2:$N$700)),""))</f>
        <v/>
      </c>
      <c r="K172" s="13" t="n"/>
      <c r="L172" s="12" t="n"/>
      <c r="M172" s="12" t="n"/>
      <c r="N172" s="11" t="n"/>
      <c r="O172" s="11" t="n"/>
      <c r="P172" s="14">
        <f>IF(AND(M172&lt;&gt;"",O172=""),"保留中","")</f>
        <v/>
      </c>
      <c r="Q172" s="14">
        <f>IF(P172="保留中",COUNTIF(P$6:P172,"保留中"),"")</f>
        <v/>
      </c>
    </row>
    <row r="173">
      <c r="A173" s="12" t="n"/>
      <c r="B173">
        <f>IF($A173="","",IFERROR(IF(LOOKUP(2,1/(人給データ!$B$2:$B$700=$A173),人給データ!$C$2:$C$700)=0,"",LOOKUP(2,1/(人給データ!$B$2:$B$700=$A173),人給データ!$C$2:$C$700)),""))</f>
        <v/>
      </c>
      <c r="C173">
        <f>IF($A173="","",IFERROR(IF(LOOKUP(2,1/(人給データ!$B$2:$B$700=$A173),人給データ!$G$2:$G$700)=0,"",LOOKUP(2,1/(人給データ!$B$2:$B$700=$A173),人給データ!$G$2:$G$700)),""))</f>
        <v/>
      </c>
      <c r="D173">
        <f>IF($A173="","",IFERROR(IF(LOOKUP(2,1/(人給データ!$B$2:$B$700=$A173),人給データ!$Y$2:$Y$700)=0,"",LOOKUP(2,1/(人給データ!$B$2:$B$700=$A173),人給データ!$Y$2:$Y$700)),""))</f>
        <v/>
      </c>
      <c r="E173" s="20">
        <f>IF($A173="","",IFERROR(IF(LOOKUP(2,1/(人給データ!$B$2:$B$700=$A173),人給データ!$AB$2:$AB$700)=0,"",LOOKUP(2,1/(人給データ!$B$2:$B$700=$A173),人給データ!$AB$2:$AB$700)),""))</f>
        <v/>
      </c>
      <c r="F173" s="16">
        <f>IF(OR(E173="",NOT(ISNUMBER(E173))),"",DATE(YEAR(E173)+2,MONTH(E173),DAY(E173)-2))</f>
        <v/>
      </c>
      <c r="G173" s="20">
        <f>IF($A173="","",IFERROR(IF(LOOKUP(2,1/(人給データ!$B$2:$B$700=$A173),人給データ!$J$2:$J$700)=0,"",LOOKUP(2,1/(人給データ!$B$2:$B$700=$A173),人給データ!$J$2:$J$700)),""))</f>
        <v/>
      </c>
      <c r="H173" s="20">
        <f>IF($A173="","",IFERROR(IF(LOOKUP(2,1/(人給データ!$B$2:$B$700=$A173),人給データ!$K$2:$K$700)=0,"",LOOKUP(2,1/(人給データ!$B$2:$B$700=$A173),人給データ!$K$2:$K$700)),""))</f>
        <v/>
      </c>
      <c r="I173" s="12" t="n"/>
      <c r="J173">
        <f>IF($A173="","",IFERROR(IF(LOOKUP(2,1/(人給データ!$B$2:$B$700=$A173),人給データ!$N$2:$N$700)=0,"",LOOKUP(2,1/(人給データ!$B$2:$B$700=$A173),人給データ!$N$2:$N$700)),""))</f>
        <v/>
      </c>
      <c r="K173" s="13" t="n"/>
      <c r="L173" s="12" t="n"/>
      <c r="M173" s="12" t="n"/>
      <c r="N173" s="11" t="n"/>
      <c r="O173" s="11" t="n"/>
      <c r="P173" s="14">
        <f>IF(AND(M173&lt;&gt;"",O173=""),"保留中","")</f>
        <v/>
      </c>
      <c r="Q173" s="14">
        <f>IF(P173="保留中",COUNTIF(P$6:P173,"保留中"),"")</f>
        <v/>
      </c>
    </row>
    <row r="174">
      <c r="A174" s="12" t="n"/>
      <c r="B174">
        <f>IF($A174="","",IFERROR(IF(LOOKUP(2,1/(人給データ!$B$2:$B$700=$A174),人給データ!$C$2:$C$700)=0,"",LOOKUP(2,1/(人給データ!$B$2:$B$700=$A174),人給データ!$C$2:$C$700)),""))</f>
        <v/>
      </c>
      <c r="C174">
        <f>IF($A174="","",IFERROR(IF(LOOKUP(2,1/(人給データ!$B$2:$B$700=$A174),人給データ!$G$2:$G$700)=0,"",LOOKUP(2,1/(人給データ!$B$2:$B$700=$A174),人給データ!$G$2:$G$700)),""))</f>
        <v/>
      </c>
      <c r="D174">
        <f>IF($A174="","",IFERROR(IF(LOOKUP(2,1/(人給データ!$B$2:$B$700=$A174),人給データ!$Y$2:$Y$700)=0,"",LOOKUP(2,1/(人給データ!$B$2:$B$700=$A174),人給データ!$Y$2:$Y$700)),""))</f>
        <v/>
      </c>
      <c r="E174" s="20">
        <f>IF($A174="","",IFERROR(IF(LOOKUP(2,1/(人給データ!$B$2:$B$700=$A174),人給データ!$AB$2:$AB$700)=0,"",LOOKUP(2,1/(人給データ!$B$2:$B$700=$A174),人給データ!$AB$2:$AB$700)),""))</f>
        <v/>
      </c>
      <c r="F174" s="16">
        <f>IF(OR(E174="",NOT(ISNUMBER(E174))),"",DATE(YEAR(E174)+2,MONTH(E174),DAY(E174)-2))</f>
        <v/>
      </c>
      <c r="G174" s="20">
        <f>IF($A174="","",IFERROR(IF(LOOKUP(2,1/(人給データ!$B$2:$B$700=$A174),人給データ!$J$2:$J$700)=0,"",LOOKUP(2,1/(人給データ!$B$2:$B$700=$A174),人給データ!$J$2:$J$700)),""))</f>
        <v/>
      </c>
      <c r="H174" s="20">
        <f>IF($A174="","",IFERROR(IF(LOOKUP(2,1/(人給データ!$B$2:$B$700=$A174),人給データ!$K$2:$K$700)=0,"",LOOKUP(2,1/(人給データ!$B$2:$B$700=$A174),人給データ!$K$2:$K$700)),""))</f>
        <v/>
      </c>
      <c r="I174" s="12" t="n"/>
      <c r="J174">
        <f>IF($A174="","",IFERROR(IF(LOOKUP(2,1/(人給データ!$B$2:$B$700=$A174),人給データ!$N$2:$N$700)=0,"",LOOKUP(2,1/(人給データ!$B$2:$B$700=$A174),人給データ!$N$2:$N$700)),""))</f>
        <v/>
      </c>
      <c r="K174" s="13" t="n"/>
      <c r="L174" s="12" t="n"/>
      <c r="M174" s="12" t="n"/>
      <c r="N174" s="11" t="n"/>
      <c r="O174" s="11" t="n"/>
      <c r="P174" s="14">
        <f>IF(AND(M174&lt;&gt;"",O174=""),"保留中","")</f>
        <v/>
      </c>
      <c r="Q174" s="14">
        <f>IF(P174="保留中",COUNTIF(P$6:P174,"保留中"),"")</f>
        <v/>
      </c>
    </row>
    <row r="175">
      <c r="A175" s="12" t="n"/>
      <c r="B175">
        <f>IF($A175="","",IFERROR(IF(LOOKUP(2,1/(人給データ!$B$2:$B$700=$A175),人給データ!$C$2:$C$700)=0,"",LOOKUP(2,1/(人給データ!$B$2:$B$700=$A175),人給データ!$C$2:$C$700)),""))</f>
        <v/>
      </c>
      <c r="C175">
        <f>IF($A175="","",IFERROR(IF(LOOKUP(2,1/(人給データ!$B$2:$B$700=$A175),人給データ!$G$2:$G$700)=0,"",LOOKUP(2,1/(人給データ!$B$2:$B$700=$A175),人給データ!$G$2:$G$700)),""))</f>
        <v/>
      </c>
      <c r="D175">
        <f>IF($A175="","",IFERROR(IF(LOOKUP(2,1/(人給データ!$B$2:$B$700=$A175),人給データ!$Y$2:$Y$700)=0,"",LOOKUP(2,1/(人給データ!$B$2:$B$700=$A175),人給データ!$Y$2:$Y$700)),""))</f>
        <v/>
      </c>
      <c r="E175" s="20">
        <f>IF($A175="","",IFERROR(IF(LOOKUP(2,1/(人給データ!$B$2:$B$700=$A175),人給データ!$AB$2:$AB$700)=0,"",LOOKUP(2,1/(人給データ!$B$2:$B$700=$A175),人給データ!$AB$2:$AB$700)),""))</f>
        <v/>
      </c>
      <c r="F175" s="16">
        <f>IF(OR(E175="",NOT(ISNUMBER(E175))),"",DATE(YEAR(E175)+2,MONTH(E175),DAY(E175)-2))</f>
        <v/>
      </c>
      <c r="G175" s="20">
        <f>IF($A175="","",IFERROR(IF(LOOKUP(2,1/(人給データ!$B$2:$B$700=$A175),人給データ!$J$2:$J$700)=0,"",LOOKUP(2,1/(人給データ!$B$2:$B$700=$A175),人給データ!$J$2:$J$700)),""))</f>
        <v/>
      </c>
      <c r="H175" s="20">
        <f>IF($A175="","",IFERROR(IF(LOOKUP(2,1/(人給データ!$B$2:$B$700=$A175),人給データ!$K$2:$K$700)=0,"",LOOKUP(2,1/(人給データ!$B$2:$B$700=$A175),人給データ!$K$2:$K$700)),""))</f>
        <v/>
      </c>
      <c r="I175" s="12" t="n"/>
      <c r="J175">
        <f>IF($A175="","",IFERROR(IF(LOOKUP(2,1/(人給データ!$B$2:$B$700=$A175),人給データ!$N$2:$N$700)=0,"",LOOKUP(2,1/(人給データ!$B$2:$B$700=$A175),人給データ!$N$2:$N$700)),""))</f>
        <v/>
      </c>
      <c r="K175" s="13" t="n"/>
      <c r="L175" s="12" t="n"/>
      <c r="M175" s="12" t="n"/>
      <c r="N175" s="11" t="n"/>
      <c r="O175" s="11" t="n"/>
      <c r="P175" s="14">
        <f>IF(AND(M175&lt;&gt;"",O175=""),"保留中","")</f>
        <v/>
      </c>
      <c r="Q175" s="14">
        <f>IF(P175="保留中",COUNTIF(P$6:P175,"保留中"),"")</f>
        <v/>
      </c>
    </row>
    <row r="176">
      <c r="A176" s="12" t="n"/>
      <c r="B176">
        <f>IF($A176="","",IFERROR(IF(LOOKUP(2,1/(人給データ!$B$2:$B$700=$A176),人給データ!$C$2:$C$700)=0,"",LOOKUP(2,1/(人給データ!$B$2:$B$700=$A176),人給データ!$C$2:$C$700)),""))</f>
        <v/>
      </c>
      <c r="C176">
        <f>IF($A176="","",IFERROR(IF(LOOKUP(2,1/(人給データ!$B$2:$B$700=$A176),人給データ!$G$2:$G$700)=0,"",LOOKUP(2,1/(人給データ!$B$2:$B$700=$A176),人給データ!$G$2:$G$700)),""))</f>
        <v/>
      </c>
      <c r="D176">
        <f>IF($A176="","",IFERROR(IF(LOOKUP(2,1/(人給データ!$B$2:$B$700=$A176),人給データ!$Y$2:$Y$700)=0,"",LOOKUP(2,1/(人給データ!$B$2:$B$700=$A176),人給データ!$Y$2:$Y$700)),""))</f>
        <v/>
      </c>
      <c r="E176" s="20">
        <f>IF($A176="","",IFERROR(IF(LOOKUP(2,1/(人給データ!$B$2:$B$700=$A176),人給データ!$AB$2:$AB$700)=0,"",LOOKUP(2,1/(人給データ!$B$2:$B$700=$A176),人給データ!$AB$2:$AB$700)),""))</f>
        <v/>
      </c>
      <c r="F176" s="16">
        <f>IF(OR(E176="",NOT(ISNUMBER(E176))),"",DATE(YEAR(E176)+2,MONTH(E176),DAY(E176)-2))</f>
        <v/>
      </c>
      <c r="G176" s="20">
        <f>IF($A176="","",IFERROR(IF(LOOKUP(2,1/(人給データ!$B$2:$B$700=$A176),人給データ!$J$2:$J$700)=0,"",LOOKUP(2,1/(人給データ!$B$2:$B$700=$A176),人給データ!$J$2:$J$700)),""))</f>
        <v/>
      </c>
      <c r="H176" s="20">
        <f>IF($A176="","",IFERROR(IF(LOOKUP(2,1/(人給データ!$B$2:$B$700=$A176),人給データ!$K$2:$K$700)=0,"",LOOKUP(2,1/(人給データ!$B$2:$B$700=$A176),人給データ!$K$2:$K$700)),""))</f>
        <v/>
      </c>
      <c r="I176" s="12" t="n"/>
      <c r="J176">
        <f>IF($A176="","",IFERROR(IF(LOOKUP(2,1/(人給データ!$B$2:$B$700=$A176),人給データ!$N$2:$N$700)=0,"",LOOKUP(2,1/(人給データ!$B$2:$B$700=$A176),人給データ!$N$2:$N$700)),""))</f>
        <v/>
      </c>
      <c r="K176" s="13" t="n"/>
      <c r="L176" s="12" t="n"/>
      <c r="M176" s="12" t="n"/>
      <c r="N176" s="11" t="n"/>
      <c r="O176" s="11" t="n"/>
      <c r="P176" s="14">
        <f>IF(AND(M176&lt;&gt;"",O176=""),"保留中","")</f>
        <v/>
      </c>
      <c r="Q176" s="14">
        <f>IF(P176="保留中",COUNTIF(P$6:P176,"保留中"),"")</f>
        <v/>
      </c>
    </row>
    <row r="177">
      <c r="A177" s="12" t="n"/>
      <c r="B177">
        <f>IF($A177="","",IFERROR(IF(LOOKUP(2,1/(人給データ!$B$2:$B$700=$A177),人給データ!$C$2:$C$700)=0,"",LOOKUP(2,1/(人給データ!$B$2:$B$700=$A177),人給データ!$C$2:$C$700)),""))</f>
        <v/>
      </c>
      <c r="C177">
        <f>IF($A177="","",IFERROR(IF(LOOKUP(2,1/(人給データ!$B$2:$B$700=$A177),人給データ!$G$2:$G$700)=0,"",LOOKUP(2,1/(人給データ!$B$2:$B$700=$A177),人給データ!$G$2:$G$700)),""))</f>
        <v/>
      </c>
      <c r="D177">
        <f>IF($A177="","",IFERROR(IF(LOOKUP(2,1/(人給データ!$B$2:$B$700=$A177),人給データ!$Y$2:$Y$700)=0,"",LOOKUP(2,1/(人給データ!$B$2:$B$700=$A177),人給データ!$Y$2:$Y$700)),""))</f>
        <v/>
      </c>
      <c r="E177" s="20">
        <f>IF($A177="","",IFERROR(IF(LOOKUP(2,1/(人給データ!$B$2:$B$700=$A177),人給データ!$AB$2:$AB$700)=0,"",LOOKUP(2,1/(人給データ!$B$2:$B$700=$A177),人給データ!$AB$2:$AB$700)),""))</f>
        <v/>
      </c>
      <c r="F177" s="16">
        <f>IF(OR(E177="",NOT(ISNUMBER(E177))),"",DATE(YEAR(E177)+2,MONTH(E177),DAY(E177)-2))</f>
        <v/>
      </c>
      <c r="G177" s="20">
        <f>IF($A177="","",IFERROR(IF(LOOKUP(2,1/(人給データ!$B$2:$B$700=$A177),人給データ!$J$2:$J$700)=0,"",LOOKUP(2,1/(人給データ!$B$2:$B$700=$A177),人給データ!$J$2:$J$700)),""))</f>
        <v/>
      </c>
      <c r="H177" s="20">
        <f>IF($A177="","",IFERROR(IF(LOOKUP(2,1/(人給データ!$B$2:$B$700=$A177),人給データ!$K$2:$K$700)=0,"",LOOKUP(2,1/(人給データ!$B$2:$B$700=$A177),人給データ!$K$2:$K$700)),""))</f>
        <v/>
      </c>
      <c r="I177" s="12" t="n"/>
      <c r="J177">
        <f>IF($A177="","",IFERROR(IF(LOOKUP(2,1/(人給データ!$B$2:$B$700=$A177),人給データ!$N$2:$N$700)=0,"",LOOKUP(2,1/(人給データ!$B$2:$B$700=$A177),人給データ!$N$2:$N$700)),""))</f>
        <v/>
      </c>
      <c r="K177" s="13" t="n"/>
      <c r="L177" s="12" t="n"/>
      <c r="M177" s="12" t="n"/>
      <c r="N177" s="11" t="n"/>
      <c r="O177" s="11" t="n"/>
      <c r="P177" s="14">
        <f>IF(AND(M177&lt;&gt;"",O177=""),"保留中","")</f>
        <v/>
      </c>
      <c r="Q177" s="14">
        <f>IF(P177="保留中",COUNTIF(P$6:P177,"保留中"),"")</f>
        <v/>
      </c>
    </row>
    <row r="178">
      <c r="A178" s="12" t="n"/>
      <c r="B178">
        <f>IF($A178="","",IFERROR(IF(LOOKUP(2,1/(人給データ!$B$2:$B$700=$A178),人給データ!$C$2:$C$700)=0,"",LOOKUP(2,1/(人給データ!$B$2:$B$700=$A178),人給データ!$C$2:$C$700)),""))</f>
        <v/>
      </c>
      <c r="C178">
        <f>IF($A178="","",IFERROR(IF(LOOKUP(2,1/(人給データ!$B$2:$B$700=$A178),人給データ!$G$2:$G$700)=0,"",LOOKUP(2,1/(人給データ!$B$2:$B$700=$A178),人給データ!$G$2:$G$700)),""))</f>
        <v/>
      </c>
      <c r="D178">
        <f>IF($A178="","",IFERROR(IF(LOOKUP(2,1/(人給データ!$B$2:$B$700=$A178),人給データ!$Y$2:$Y$700)=0,"",LOOKUP(2,1/(人給データ!$B$2:$B$700=$A178),人給データ!$Y$2:$Y$700)),""))</f>
        <v/>
      </c>
      <c r="E178" s="20">
        <f>IF($A178="","",IFERROR(IF(LOOKUP(2,1/(人給データ!$B$2:$B$700=$A178),人給データ!$AB$2:$AB$700)=0,"",LOOKUP(2,1/(人給データ!$B$2:$B$700=$A178),人給データ!$AB$2:$AB$700)),""))</f>
        <v/>
      </c>
      <c r="F178" s="16">
        <f>IF(OR(E178="",NOT(ISNUMBER(E178))),"",DATE(YEAR(E178)+2,MONTH(E178),DAY(E178)-2))</f>
        <v/>
      </c>
      <c r="G178" s="20">
        <f>IF($A178="","",IFERROR(IF(LOOKUP(2,1/(人給データ!$B$2:$B$700=$A178),人給データ!$J$2:$J$700)=0,"",LOOKUP(2,1/(人給データ!$B$2:$B$700=$A178),人給データ!$J$2:$J$700)),""))</f>
        <v/>
      </c>
      <c r="H178" s="20">
        <f>IF($A178="","",IFERROR(IF(LOOKUP(2,1/(人給データ!$B$2:$B$700=$A178),人給データ!$K$2:$K$700)=0,"",LOOKUP(2,1/(人給データ!$B$2:$B$700=$A178),人給データ!$K$2:$K$700)),""))</f>
        <v/>
      </c>
      <c r="I178" s="12" t="n"/>
      <c r="J178">
        <f>IF($A178="","",IFERROR(IF(LOOKUP(2,1/(人給データ!$B$2:$B$700=$A178),人給データ!$N$2:$N$700)=0,"",LOOKUP(2,1/(人給データ!$B$2:$B$700=$A178),人給データ!$N$2:$N$700)),""))</f>
        <v/>
      </c>
      <c r="K178" s="13" t="n"/>
      <c r="L178" s="12" t="n"/>
      <c r="M178" s="12" t="n"/>
      <c r="N178" s="11" t="n"/>
      <c r="O178" s="11" t="n"/>
      <c r="P178" s="14">
        <f>IF(AND(M178&lt;&gt;"",O178=""),"保留中","")</f>
        <v/>
      </c>
      <c r="Q178" s="14">
        <f>IF(P178="保留中",COUNTIF(P$6:P178,"保留中"),"")</f>
        <v/>
      </c>
    </row>
    <row r="179">
      <c r="A179" s="12" t="n"/>
      <c r="B179">
        <f>IF($A179="","",IFERROR(IF(LOOKUP(2,1/(人給データ!$B$2:$B$700=$A179),人給データ!$C$2:$C$700)=0,"",LOOKUP(2,1/(人給データ!$B$2:$B$700=$A179),人給データ!$C$2:$C$700)),""))</f>
        <v/>
      </c>
      <c r="C179">
        <f>IF($A179="","",IFERROR(IF(LOOKUP(2,1/(人給データ!$B$2:$B$700=$A179),人給データ!$G$2:$G$700)=0,"",LOOKUP(2,1/(人給データ!$B$2:$B$700=$A179),人給データ!$G$2:$G$700)),""))</f>
        <v/>
      </c>
      <c r="D179">
        <f>IF($A179="","",IFERROR(IF(LOOKUP(2,1/(人給データ!$B$2:$B$700=$A179),人給データ!$Y$2:$Y$700)=0,"",LOOKUP(2,1/(人給データ!$B$2:$B$700=$A179),人給データ!$Y$2:$Y$700)),""))</f>
        <v/>
      </c>
      <c r="E179" s="20">
        <f>IF($A179="","",IFERROR(IF(LOOKUP(2,1/(人給データ!$B$2:$B$700=$A179),人給データ!$AB$2:$AB$700)=0,"",LOOKUP(2,1/(人給データ!$B$2:$B$700=$A179),人給データ!$AB$2:$AB$700)),""))</f>
        <v/>
      </c>
      <c r="F179" s="16">
        <f>IF(OR(E179="",NOT(ISNUMBER(E179))),"",DATE(YEAR(E179)+2,MONTH(E179),DAY(E179)-2))</f>
        <v/>
      </c>
      <c r="G179" s="20">
        <f>IF($A179="","",IFERROR(IF(LOOKUP(2,1/(人給データ!$B$2:$B$700=$A179),人給データ!$J$2:$J$700)=0,"",LOOKUP(2,1/(人給データ!$B$2:$B$700=$A179),人給データ!$J$2:$J$700)),""))</f>
        <v/>
      </c>
      <c r="H179" s="20">
        <f>IF($A179="","",IFERROR(IF(LOOKUP(2,1/(人給データ!$B$2:$B$700=$A179),人給データ!$K$2:$K$700)=0,"",LOOKUP(2,1/(人給データ!$B$2:$B$700=$A179),人給データ!$K$2:$K$700)),""))</f>
        <v/>
      </c>
      <c r="I179" s="12" t="n"/>
      <c r="J179">
        <f>IF($A179="","",IFERROR(IF(LOOKUP(2,1/(人給データ!$B$2:$B$700=$A179),人給データ!$N$2:$N$700)=0,"",LOOKUP(2,1/(人給データ!$B$2:$B$700=$A179),人給データ!$N$2:$N$700)),""))</f>
        <v/>
      </c>
      <c r="K179" s="13" t="n"/>
      <c r="L179" s="12" t="n"/>
      <c r="M179" s="12" t="n"/>
      <c r="N179" s="11" t="n"/>
      <c r="O179" s="11" t="n"/>
      <c r="P179" s="14">
        <f>IF(AND(M179&lt;&gt;"",O179=""),"保留中","")</f>
        <v/>
      </c>
      <c r="Q179" s="14">
        <f>IF(P179="保留中",COUNTIF(P$6:P179,"保留中"),"")</f>
        <v/>
      </c>
    </row>
    <row r="180">
      <c r="A180" s="12" t="n"/>
      <c r="B180">
        <f>IF($A180="","",IFERROR(IF(LOOKUP(2,1/(人給データ!$B$2:$B$700=$A180),人給データ!$C$2:$C$700)=0,"",LOOKUP(2,1/(人給データ!$B$2:$B$700=$A180),人給データ!$C$2:$C$700)),""))</f>
        <v/>
      </c>
      <c r="C180">
        <f>IF($A180="","",IFERROR(IF(LOOKUP(2,1/(人給データ!$B$2:$B$700=$A180),人給データ!$G$2:$G$700)=0,"",LOOKUP(2,1/(人給データ!$B$2:$B$700=$A180),人給データ!$G$2:$G$700)),""))</f>
        <v/>
      </c>
      <c r="D180">
        <f>IF($A180="","",IFERROR(IF(LOOKUP(2,1/(人給データ!$B$2:$B$700=$A180),人給データ!$Y$2:$Y$700)=0,"",LOOKUP(2,1/(人給データ!$B$2:$B$700=$A180),人給データ!$Y$2:$Y$700)),""))</f>
        <v/>
      </c>
      <c r="E180" s="20">
        <f>IF($A180="","",IFERROR(IF(LOOKUP(2,1/(人給データ!$B$2:$B$700=$A180),人給データ!$AB$2:$AB$700)=0,"",LOOKUP(2,1/(人給データ!$B$2:$B$700=$A180),人給データ!$AB$2:$AB$700)),""))</f>
        <v/>
      </c>
      <c r="F180" s="16">
        <f>IF(OR(E180="",NOT(ISNUMBER(E180))),"",DATE(YEAR(E180)+2,MONTH(E180),DAY(E180)-2))</f>
        <v/>
      </c>
      <c r="G180" s="20">
        <f>IF($A180="","",IFERROR(IF(LOOKUP(2,1/(人給データ!$B$2:$B$700=$A180),人給データ!$J$2:$J$700)=0,"",LOOKUP(2,1/(人給データ!$B$2:$B$700=$A180),人給データ!$J$2:$J$700)),""))</f>
        <v/>
      </c>
      <c r="H180" s="20">
        <f>IF($A180="","",IFERROR(IF(LOOKUP(2,1/(人給データ!$B$2:$B$700=$A180),人給データ!$K$2:$K$700)=0,"",LOOKUP(2,1/(人給データ!$B$2:$B$700=$A180),人給データ!$K$2:$K$700)),""))</f>
        <v/>
      </c>
      <c r="I180" s="12" t="n"/>
      <c r="J180">
        <f>IF($A180="","",IFERROR(IF(LOOKUP(2,1/(人給データ!$B$2:$B$700=$A180),人給データ!$N$2:$N$700)=0,"",LOOKUP(2,1/(人給データ!$B$2:$B$700=$A180),人給データ!$N$2:$N$700)),""))</f>
        <v/>
      </c>
      <c r="K180" s="13" t="n"/>
      <c r="L180" s="12" t="n"/>
      <c r="M180" s="12" t="n"/>
      <c r="N180" s="11" t="n"/>
      <c r="O180" s="11" t="n"/>
      <c r="P180" s="14">
        <f>IF(AND(M180&lt;&gt;"",O180=""),"保留中","")</f>
        <v/>
      </c>
      <c r="Q180" s="14">
        <f>IF(P180="保留中",COUNTIF(P$6:P180,"保留中"),"")</f>
        <v/>
      </c>
    </row>
    <row r="181">
      <c r="A181" s="12" t="n"/>
      <c r="B181">
        <f>IF($A181="","",IFERROR(IF(LOOKUP(2,1/(人給データ!$B$2:$B$700=$A181),人給データ!$C$2:$C$700)=0,"",LOOKUP(2,1/(人給データ!$B$2:$B$700=$A181),人給データ!$C$2:$C$700)),""))</f>
        <v/>
      </c>
      <c r="C181">
        <f>IF($A181="","",IFERROR(IF(LOOKUP(2,1/(人給データ!$B$2:$B$700=$A181),人給データ!$G$2:$G$700)=0,"",LOOKUP(2,1/(人給データ!$B$2:$B$700=$A181),人給データ!$G$2:$G$700)),""))</f>
        <v/>
      </c>
      <c r="D181">
        <f>IF($A181="","",IFERROR(IF(LOOKUP(2,1/(人給データ!$B$2:$B$700=$A181),人給データ!$Y$2:$Y$700)=0,"",LOOKUP(2,1/(人給データ!$B$2:$B$700=$A181),人給データ!$Y$2:$Y$700)),""))</f>
        <v/>
      </c>
      <c r="E181" s="20">
        <f>IF($A181="","",IFERROR(IF(LOOKUP(2,1/(人給データ!$B$2:$B$700=$A181),人給データ!$AB$2:$AB$700)=0,"",LOOKUP(2,1/(人給データ!$B$2:$B$700=$A181),人給データ!$AB$2:$AB$700)),""))</f>
        <v/>
      </c>
      <c r="F181" s="16">
        <f>IF(OR(E181="",NOT(ISNUMBER(E181))),"",DATE(YEAR(E181)+2,MONTH(E181),DAY(E181)-2))</f>
        <v/>
      </c>
      <c r="G181" s="20">
        <f>IF($A181="","",IFERROR(IF(LOOKUP(2,1/(人給データ!$B$2:$B$700=$A181),人給データ!$J$2:$J$700)=0,"",LOOKUP(2,1/(人給データ!$B$2:$B$700=$A181),人給データ!$J$2:$J$700)),""))</f>
        <v/>
      </c>
      <c r="H181" s="20">
        <f>IF($A181="","",IFERROR(IF(LOOKUP(2,1/(人給データ!$B$2:$B$700=$A181),人給データ!$K$2:$K$700)=0,"",LOOKUP(2,1/(人給データ!$B$2:$B$700=$A181),人給データ!$K$2:$K$700)),""))</f>
        <v/>
      </c>
      <c r="I181" s="12" t="n"/>
      <c r="J181">
        <f>IF($A181="","",IFERROR(IF(LOOKUP(2,1/(人給データ!$B$2:$B$700=$A181),人給データ!$N$2:$N$700)=0,"",LOOKUP(2,1/(人給データ!$B$2:$B$700=$A181),人給データ!$N$2:$N$700)),""))</f>
        <v/>
      </c>
      <c r="K181" s="13" t="n"/>
      <c r="L181" s="12" t="n"/>
      <c r="M181" s="12" t="n"/>
      <c r="N181" s="11" t="n"/>
      <c r="O181" s="11" t="n"/>
      <c r="P181" s="14">
        <f>IF(AND(M181&lt;&gt;"",O181=""),"保留中","")</f>
        <v/>
      </c>
      <c r="Q181" s="14">
        <f>IF(P181="保留中",COUNTIF(P$6:P181,"保留中"),"")</f>
        <v/>
      </c>
    </row>
    <row r="182">
      <c r="A182" s="12" t="n"/>
      <c r="B182">
        <f>IF($A182="","",IFERROR(IF(LOOKUP(2,1/(人給データ!$B$2:$B$700=$A182),人給データ!$C$2:$C$700)=0,"",LOOKUP(2,1/(人給データ!$B$2:$B$700=$A182),人給データ!$C$2:$C$700)),""))</f>
        <v/>
      </c>
      <c r="C182">
        <f>IF($A182="","",IFERROR(IF(LOOKUP(2,1/(人給データ!$B$2:$B$700=$A182),人給データ!$G$2:$G$700)=0,"",LOOKUP(2,1/(人給データ!$B$2:$B$700=$A182),人給データ!$G$2:$G$700)),""))</f>
        <v/>
      </c>
      <c r="D182">
        <f>IF($A182="","",IFERROR(IF(LOOKUP(2,1/(人給データ!$B$2:$B$700=$A182),人給データ!$Y$2:$Y$700)=0,"",LOOKUP(2,1/(人給データ!$B$2:$B$700=$A182),人給データ!$Y$2:$Y$700)),""))</f>
        <v/>
      </c>
      <c r="E182" s="20">
        <f>IF($A182="","",IFERROR(IF(LOOKUP(2,1/(人給データ!$B$2:$B$700=$A182),人給データ!$AB$2:$AB$700)=0,"",LOOKUP(2,1/(人給データ!$B$2:$B$700=$A182),人給データ!$AB$2:$AB$700)),""))</f>
        <v/>
      </c>
      <c r="F182" s="16">
        <f>IF(OR(E182="",NOT(ISNUMBER(E182))),"",DATE(YEAR(E182)+2,MONTH(E182),DAY(E182)-2))</f>
        <v/>
      </c>
      <c r="G182" s="20">
        <f>IF($A182="","",IFERROR(IF(LOOKUP(2,1/(人給データ!$B$2:$B$700=$A182),人給データ!$J$2:$J$700)=0,"",LOOKUP(2,1/(人給データ!$B$2:$B$700=$A182),人給データ!$J$2:$J$700)),""))</f>
        <v/>
      </c>
      <c r="H182" s="20">
        <f>IF($A182="","",IFERROR(IF(LOOKUP(2,1/(人給データ!$B$2:$B$700=$A182),人給データ!$K$2:$K$700)=0,"",LOOKUP(2,1/(人給データ!$B$2:$B$700=$A182),人給データ!$K$2:$K$700)),""))</f>
        <v/>
      </c>
      <c r="I182" s="12" t="n"/>
      <c r="J182">
        <f>IF($A182="","",IFERROR(IF(LOOKUP(2,1/(人給データ!$B$2:$B$700=$A182),人給データ!$N$2:$N$700)=0,"",LOOKUP(2,1/(人給データ!$B$2:$B$700=$A182),人給データ!$N$2:$N$700)),""))</f>
        <v/>
      </c>
      <c r="K182" s="13" t="n"/>
      <c r="L182" s="12" t="n"/>
      <c r="M182" s="12" t="n"/>
      <c r="N182" s="11" t="n"/>
      <c r="O182" s="11" t="n"/>
      <c r="P182" s="14">
        <f>IF(AND(M182&lt;&gt;"",O182=""),"保留中","")</f>
        <v/>
      </c>
      <c r="Q182" s="14">
        <f>IF(P182="保留中",COUNTIF(P$6:P182,"保留中"),"")</f>
        <v/>
      </c>
    </row>
    <row r="183">
      <c r="A183" s="12" t="n"/>
      <c r="B183">
        <f>IF($A183="","",IFERROR(IF(LOOKUP(2,1/(人給データ!$B$2:$B$700=$A183),人給データ!$C$2:$C$700)=0,"",LOOKUP(2,1/(人給データ!$B$2:$B$700=$A183),人給データ!$C$2:$C$700)),""))</f>
        <v/>
      </c>
      <c r="C183">
        <f>IF($A183="","",IFERROR(IF(LOOKUP(2,1/(人給データ!$B$2:$B$700=$A183),人給データ!$G$2:$G$700)=0,"",LOOKUP(2,1/(人給データ!$B$2:$B$700=$A183),人給データ!$G$2:$G$700)),""))</f>
        <v/>
      </c>
      <c r="D183">
        <f>IF($A183="","",IFERROR(IF(LOOKUP(2,1/(人給データ!$B$2:$B$700=$A183),人給データ!$Y$2:$Y$700)=0,"",LOOKUP(2,1/(人給データ!$B$2:$B$700=$A183),人給データ!$Y$2:$Y$700)),""))</f>
        <v/>
      </c>
      <c r="E183" s="20">
        <f>IF($A183="","",IFERROR(IF(LOOKUP(2,1/(人給データ!$B$2:$B$700=$A183),人給データ!$AB$2:$AB$700)=0,"",LOOKUP(2,1/(人給データ!$B$2:$B$700=$A183),人給データ!$AB$2:$AB$700)),""))</f>
        <v/>
      </c>
      <c r="F183" s="16">
        <f>IF(OR(E183="",NOT(ISNUMBER(E183))),"",DATE(YEAR(E183)+2,MONTH(E183),DAY(E183)-2))</f>
        <v/>
      </c>
      <c r="G183" s="20">
        <f>IF($A183="","",IFERROR(IF(LOOKUP(2,1/(人給データ!$B$2:$B$700=$A183),人給データ!$J$2:$J$700)=0,"",LOOKUP(2,1/(人給データ!$B$2:$B$700=$A183),人給データ!$J$2:$J$700)),""))</f>
        <v/>
      </c>
      <c r="H183" s="20">
        <f>IF($A183="","",IFERROR(IF(LOOKUP(2,1/(人給データ!$B$2:$B$700=$A183),人給データ!$K$2:$K$700)=0,"",LOOKUP(2,1/(人給データ!$B$2:$B$700=$A183),人給データ!$K$2:$K$700)),""))</f>
        <v/>
      </c>
      <c r="I183" s="12" t="n"/>
      <c r="J183">
        <f>IF($A183="","",IFERROR(IF(LOOKUP(2,1/(人給データ!$B$2:$B$700=$A183),人給データ!$N$2:$N$700)=0,"",LOOKUP(2,1/(人給データ!$B$2:$B$700=$A183),人給データ!$N$2:$N$700)),""))</f>
        <v/>
      </c>
      <c r="K183" s="13" t="n"/>
      <c r="L183" s="12" t="n"/>
      <c r="M183" s="12" t="n"/>
      <c r="N183" s="11" t="n"/>
      <c r="O183" s="11" t="n"/>
      <c r="P183" s="14">
        <f>IF(AND(M183&lt;&gt;"",O183=""),"保留中","")</f>
        <v/>
      </c>
      <c r="Q183" s="14">
        <f>IF(P183="保留中",COUNTIF(P$6:P183,"保留中"),"")</f>
        <v/>
      </c>
    </row>
    <row r="184">
      <c r="A184" s="12" t="n"/>
      <c r="B184">
        <f>IF($A184="","",IFERROR(IF(LOOKUP(2,1/(人給データ!$B$2:$B$700=$A184),人給データ!$C$2:$C$700)=0,"",LOOKUP(2,1/(人給データ!$B$2:$B$700=$A184),人給データ!$C$2:$C$700)),""))</f>
        <v/>
      </c>
      <c r="C184">
        <f>IF($A184="","",IFERROR(IF(LOOKUP(2,1/(人給データ!$B$2:$B$700=$A184),人給データ!$G$2:$G$700)=0,"",LOOKUP(2,1/(人給データ!$B$2:$B$700=$A184),人給データ!$G$2:$G$700)),""))</f>
        <v/>
      </c>
      <c r="D184">
        <f>IF($A184="","",IFERROR(IF(LOOKUP(2,1/(人給データ!$B$2:$B$700=$A184),人給データ!$Y$2:$Y$700)=0,"",LOOKUP(2,1/(人給データ!$B$2:$B$700=$A184),人給データ!$Y$2:$Y$700)),""))</f>
        <v/>
      </c>
      <c r="E184" s="20">
        <f>IF($A184="","",IFERROR(IF(LOOKUP(2,1/(人給データ!$B$2:$B$700=$A184),人給データ!$AB$2:$AB$700)=0,"",LOOKUP(2,1/(人給データ!$B$2:$B$700=$A184),人給データ!$AB$2:$AB$700)),""))</f>
        <v/>
      </c>
      <c r="F184" s="16">
        <f>IF(OR(E184="",NOT(ISNUMBER(E184))),"",DATE(YEAR(E184)+2,MONTH(E184),DAY(E184)-2))</f>
        <v/>
      </c>
      <c r="G184" s="20">
        <f>IF($A184="","",IFERROR(IF(LOOKUP(2,1/(人給データ!$B$2:$B$700=$A184),人給データ!$J$2:$J$700)=0,"",LOOKUP(2,1/(人給データ!$B$2:$B$700=$A184),人給データ!$J$2:$J$700)),""))</f>
        <v/>
      </c>
      <c r="H184" s="20">
        <f>IF($A184="","",IFERROR(IF(LOOKUP(2,1/(人給データ!$B$2:$B$700=$A184),人給データ!$K$2:$K$700)=0,"",LOOKUP(2,1/(人給データ!$B$2:$B$700=$A184),人給データ!$K$2:$K$700)),""))</f>
        <v/>
      </c>
      <c r="I184" s="12" t="n"/>
      <c r="J184">
        <f>IF($A184="","",IFERROR(IF(LOOKUP(2,1/(人給データ!$B$2:$B$700=$A184),人給データ!$N$2:$N$700)=0,"",LOOKUP(2,1/(人給データ!$B$2:$B$700=$A184),人給データ!$N$2:$N$700)),""))</f>
        <v/>
      </c>
      <c r="K184" s="13" t="n"/>
      <c r="L184" s="12" t="n"/>
      <c r="M184" s="12" t="n"/>
      <c r="N184" s="11" t="n"/>
      <c r="O184" s="11" t="n"/>
      <c r="P184" s="14">
        <f>IF(AND(M184&lt;&gt;"",O184=""),"保留中","")</f>
        <v/>
      </c>
      <c r="Q184" s="14">
        <f>IF(P184="保留中",COUNTIF(P$6:P184,"保留中"),"")</f>
        <v/>
      </c>
    </row>
    <row r="185">
      <c r="A185" s="12" t="n"/>
      <c r="B185">
        <f>IF($A185="","",IFERROR(IF(LOOKUP(2,1/(人給データ!$B$2:$B$700=$A185),人給データ!$C$2:$C$700)=0,"",LOOKUP(2,1/(人給データ!$B$2:$B$700=$A185),人給データ!$C$2:$C$700)),""))</f>
        <v/>
      </c>
      <c r="C185">
        <f>IF($A185="","",IFERROR(IF(LOOKUP(2,1/(人給データ!$B$2:$B$700=$A185),人給データ!$G$2:$G$700)=0,"",LOOKUP(2,1/(人給データ!$B$2:$B$700=$A185),人給データ!$G$2:$G$700)),""))</f>
        <v/>
      </c>
      <c r="D185">
        <f>IF($A185="","",IFERROR(IF(LOOKUP(2,1/(人給データ!$B$2:$B$700=$A185),人給データ!$Y$2:$Y$700)=0,"",LOOKUP(2,1/(人給データ!$B$2:$B$700=$A185),人給データ!$Y$2:$Y$700)),""))</f>
        <v/>
      </c>
      <c r="E185" s="20">
        <f>IF($A185="","",IFERROR(IF(LOOKUP(2,1/(人給データ!$B$2:$B$700=$A185),人給データ!$AB$2:$AB$700)=0,"",LOOKUP(2,1/(人給データ!$B$2:$B$700=$A185),人給データ!$AB$2:$AB$700)),""))</f>
        <v/>
      </c>
      <c r="F185" s="16">
        <f>IF(OR(E185="",NOT(ISNUMBER(E185))),"",DATE(YEAR(E185)+2,MONTH(E185),DAY(E185)-2))</f>
        <v/>
      </c>
      <c r="G185" s="20">
        <f>IF($A185="","",IFERROR(IF(LOOKUP(2,1/(人給データ!$B$2:$B$700=$A185),人給データ!$J$2:$J$700)=0,"",LOOKUP(2,1/(人給データ!$B$2:$B$700=$A185),人給データ!$J$2:$J$700)),""))</f>
        <v/>
      </c>
      <c r="H185" s="20">
        <f>IF($A185="","",IFERROR(IF(LOOKUP(2,1/(人給データ!$B$2:$B$700=$A185),人給データ!$K$2:$K$700)=0,"",LOOKUP(2,1/(人給データ!$B$2:$B$700=$A185),人給データ!$K$2:$K$700)),""))</f>
        <v/>
      </c>
      <c r="I185" s="12" t="n"/>
      <c r="J185">
        <f>IF($A185="","",IFERROR(IF(LOOKUP(2,1/(人給データ!$B$2:$B$700=$A185),人給データ!$N$2:$N$700)=0,"",LOOKUP(2,1/(人給データ!$B$2:$B$700=$A185),人給データ!$N$2:$N$700)),""))</f>
        <v/>
      </c>
      <c r="K185" s="13" t="n"/>
      <c r="L185" s="12" t="n"/>
      <c r="M185" s="12" t="n"/>
      <c r="N185" s="11" t="n"/>
      <c r="O185" s="11" t="n"/>
      <c r="P185" s="14">
        <f>IF(AND(M185&lt;&gt;"",O185=""),"保留中","")</f>
        <v/>
      </c>
      <c r="Q185" s="14">
        <f>IF(P185="保留中",COUNTIF(P$6:P185,"保留中"),"")</f>
        <v/>
      </c>
    </row>
    <row r="186">
      <c r="A186" s="12" t="n"/>
      <c r="B186">
        <f>IF($A186="","",IFERROR(IF(LOOKUP(2,1/(人給データ!$B$2:$B$700=$A186),人給データ!$C$2:$C$700)=0,"",LOOKUP(2,1/(人給データ!$B$2:$B$700=$A186),人給データ!$C$2:$C$700)),""))</f>
        <v/>
      </c>
      <c r="C186">
        <f>IF($A186="","",IFERROR(IF(LOOKUP(2,1/(人給データ!$B$2:$B$700=$A186),人給データ!$G$2:$G$700)=0,"",LOOKUP(2,1/(人給データ!$B$2:$B$700=$A186),人給データ!$G$2:$G$700)),""))</f>
        <v/>
      </c>
      <c r="D186">
        <f>IF($A186="","",IFERROR(IF(LOOKUP(2,1/(人給データ!$B$2:$B$700=$A186),人給データ!$Y$2:$Y$700)=0,"",LOOKUP(2,1/(人給データ!$B$2:$B$700=$A186),人給データ!$Y$2:$Y$700)),""))</f>
        <v/>
      </c>
      <c r="E186" s="20">
        <f>IF($A186="","",IFERROR(IF(LOOKUP(2,1/(人給データ!$B$2:$B$700=$A186),人給データ!$AB$2:$AB$700)=0,"",LOOKUP(2,1/(人給データ!$B$2:$B$700=$A186),人給データ!$AB$2:$AB$700)),""))</f>
        <v/>
      </c>
      <c r="F186" s="16">
        <f>IF(OR(E186="",NOT(ISNUMBER(E186))),"",DATE(YEAR(E186)+2,MONTH(E186),DAY(E186)-2))</f>
        <v/>
      </c>
      <c r="G186" s="20">
        <f>IF($A186="","",IFERROR(IF(LOOKUP(2,1/(人給データ!$B$2:$B$700=$A186),人給データ!$J$2:$J$700)=0,"",LOOKUP(2,1/(人給データ!$B$2:$B$700=$A186),人給データ!$J$2:$J$700)),""))</f>
        <v/>
      </c>
      <c r="H186" s="20">
        <f>IF($A186="","",IFERROR(IF(LOOKUP(2,1/(人給データ!$B$2:$B$700=$A186),人給データ!$K$2:$K$700)=0,"",LOOKUP(2,1/(人給データ!$B$2:$B$700=$A186),人給データ!$K$2:$K$700)),""))</f>
        <v/>
      </c>
      <c r="I186" s="12" t="n"/>
      <c r="J186">
        <f>IF($A186="","",IFERROR(IF(LOOKUP(2,1/(人給データ!$B$2:$B$700=$A186),人給データ!$N$2:$N$700)=0,"",LOOKUP(2,1/(人給データ!$B$2:$B$700=$A186),人給データ!$N$2:$N$700)),""))</f>
        <v/>
      </c>
      <c r="K186" s="13" t="n"/>
      <c r="L186" s="12" t="n"/>
      <c r="M186" s="12" t="n"/>
      <c r="N186" s="11" t="n"/>
      <c r="O186" s="11" t="n"/>
      <c r="P186" s="14">
        <f>IF(AND(M186&lt;&gt;"",O186=""),"保留中","")</f>
        <v/>
      </c>
      <c r="Q186" s="14">
        <f>IF(P186="保留中",COUNTIF(P$6:P186,"保留中"),"")</f>
        <v/>
      </c>
    </row>
    <row r="187">
      <c r="A187" s="12" t="n"/>
      <c r="B187">
        <f>IF($A187="","",IFERROR(IF(LOOKUP(2,1/(人給データ!$B$2:$B$700=$A187),人給データ!$C$2:$C$700)=0,"",LOOKUP(2,1/(人給データ!$B$2:$B$700=$A187),人給データ!$C$2:$C$700)),""))</f>
        <v/>
      </c>
      <c r="C187">
        <f>IF($A187="","",IFERROR(IF(LOOKUP(2,1/(人給データ!$B$2:$B$700=$A187),人給データ!$G$2:$G$700)=0,"",LOOKUP(2,1/(人給データ!$B$2:$B$700=$A187),人給データ!$G$2:$G$700)),""))</f>
        <v/>
      </c>
      <c r="D187">
        <f>IF($A187="","",IFERROR(IF(LOOKUP(2,1/(人給データ!$B$2:$B$700=$A187),人給データ!$Y$2:$Y$700)=0,"",LOOKUP(2,1/(人給データ!$B$2:$B$700=$A187),人給データ!$Y$2:$Y$700)),""))</f>
        <v/>
      </c>
      <c r="E187" s="20">
        <f>IF($A187="","",IFERROR(IF(LOOKUP(2,1/(人給データ!$B$2:$B$700=$A187),人給データ!$AB$2:$AB$700)=0,"",LOOKUP(2,1/(人給データ!$B$2:$B$700=$A187),人給データ!$AB$2:$AB$700)),""))</f>
        <v/>
      </c>
      <c r="F187" s="16">
        <f>IF(OR(E187="",NOT(ISNUMBER(E187))),"",DATE(YEAR(E187)+2,MONTH(E187),DAY(E187)-2))</f>
        <v/>
      </c>
      <c r="G187" s="20">
        <f>IF($A187="","",IFERROR(IF(LOOKUP(2,1/(人給データ!$B$2:$B$700=$A187),人給データ!$J$2:$J$700)=0,"",LOOKUP(2,1/(人給データ!$B$2:$B$700=$A187),人給データ!$J$2:$J$700)),""))</f>
        <v/>
      </c>
      <c r="H187" s="20">
        <f>IF($A187="","",IFERROR(IF(LOOKUP(2,1/(人給データ!$B$2:$B$700=$A187),人給データ!$K$2:$K$700)=0,"",LOOKUP(2,1/(人給データ!$B$2:$B$700=$A187),人給データ!$K$2:$K$700)),""))</f>
        <v/>
      </c>
      <c r="I187" s="12" t="n"/>
      <c r="J187">
        <f>IF($A187="","",IFERROR(IF(LOOKUP(2,1/(人給データ!$B$2:$B$700=$A187),人給データ!$N$2:$N$700)=0,"",LOOKUP(2,1/(人給データ!$B$2:$B$700=$A187),人給データ!$N$2:$N$700)),""))</f>
        <v/>
      </c>
      <c r="K187" s="13" t="n"/>
      <c r="L187" s="12" t="n"/>
      <c r="M187" s="12" t="n"/>
      <c r="N187" s="11" t="n"/>
      <c r="O187" s="11" t="n"/>
      <c r="P187" s="14">
        <f>IF(AND(M187&lt;&gt;"",O187=""),"保留中","")</f>
        <v/>
      </c>
      <c r="Q187" s="14">
        <f>IF(P187="保留中",COUNTIF(P$6:P187,"保留中"),"")</f>
        <v/>
      </c>
    </row>
    <row r="188">
      <c r="A188" s="12" t="n"/>
      <c r="B188">
        <f>IF($A188="","",IFERROR(IF(LOOKUP(2,1/(人給データ!$B$2:$B$700=$A188),人給データ!$C$2:$C$700)=0,"",LOOKUP(2,1/(人給データ!$B$2:$B$700=$A188),人給データ!$C$2:$C$700)),""))</f>
        <v/>
      </c>
      <c r="C188">
        <f>IF($A188="","",IFERROR(IF(LOOKUP(2,1/(人給データ!$B$2:$B$700=$A188),人給データ!$G$2:$G$700)=0,"",LOOKUP(2,1/(人給データ!$B$2:$B$700=$A188),人給データ!$G$2:$G$700)),""))</f>
        <v/>
      </c>
      <c r="D188">
        <f>IF($A188="","",IFERROR(IF(LOOKUP(2,1/(人給データ!$B$2:$B$700=$A188),人給データ!$Y$2:$Y$700)=0,"",LOOKUP(2,1/(人給データ!$B$2:$B$700=$A188),人給データ!$Y$2:$Y$700)),""))</f>
        <v/>
      </c>
      <c r="E188" s="20">
        <f>IF($A188="","",IFERROR(IF(LOOKUP(2,1/(人給データ!$B$2:$B$700=$A188),人給データ!$AB$2:$AB$700)=0,"",LOOKUP(2,1/(人給データ!$B$2:$B$700=$A188),人給データ!$AB$2:$AB$700)),""))</f>
        <v/>
      </c>
      <c r="F188" s="16">
        <f>IF(OR(E188="",NOT(ISNUMBER(E188))),"",DATE(YEAR(E188)+2,MONTH(E188),DAY(E188)-2))</f>
        <v/>
      </c>
      <c r="G188" s="20">
        <f>IF($A188="","",IFERROR(IF(LOOKUP(2,1/(人給データ!$B$2:$B$700=$A188),人給データ!$J$2:$J$700)=0,"",LOOKUP(2,1/(人給データ!$B$2:$B$700=$A188),人給データ!$J$2:$J$700)),""))</f>
        <v/>
      </c>
      <c r="H188" s="20">
        <f>IF($A188="","",IFERROR(IF(LOOKUP(2,1/(人給データ!$B$2:$B$700=$A188),人給データ!$K$2:$K$700)=0,"",LOOKUP(2,1/(人給データ!$B$2:$B$700=$A188),人給データ!$K$2:$K$700)),""))</f>
        <v/>
      </c>
      <c r="I188" s="12" t="n"/>
      <c r="J188">
        <f>IF($A188="","",IFERROR(IF(LOOKUP(2,1/(人給データ!$B$2:$B$700=$A188),人給データ!$N$2:$N$700)=0,"",LOOKUP(2,1/(人給データ!$B$2:$B$700=$A188),人給データ!$N$2:$N$700)),""))</f>
        <v/>
      </c>
      <c r="K188" s="13" t="n"/>
      <c r="L188" s="12" t="n"/>
      <c r="M188" s="12" t="n"/>
      <c r="N188" s="11" t="n"/>
      <c r="O188" s="11" t="n"/>
      <c r="P188" s="14">
        <f>IF(AND(M188&lt;&gt;"",O188=""),"保留中","")</f>
        <v/>
      </c>
      <c r="Q188" s="14">
        <f>IF(P188="保留中",COUNTIF(P$6:P188,"保留中"),"")</f>
        <v/>
      </c>
    </row>
    <row r="189">
      <c r="A189" s="12" t="n"/>
      <c r="B189">
        <f>IF($A189="","",IFERROR(IF(LOOKUP(2,1/(人給データ!$B$2:$B$700=$A189),人給データ!$C$2:$C$700)=0,"",LOOKUP(2,1/(人給データ!$B$2:$B$700=$A189),人給データ!$C$2:$C$700)),""))</f>
        <v/>
      </c>
      <c r="C189">
        <f>IF($A189="","",IFERROR(IF(LOOKUP(2,1/(人給データ!$B$2:$B$700=$A189),人給データ!$G$2:$G$700)=0,"",LOOKUP(2,1/(人給データ!$B$2:$B$700=$A189),人給データ!$G$2:$G$700)),""))</f>
        <v/>
      </c>
      <c r="D189">
        <f>IF($A189="","",IFERROR(IF(LOOKUP(2,1/(人給データ!$B$2:$B$700=$A189),人給データ!$Y$2:$Y$700)=0,"",LOOKUP(2,1/(人給データ!$B$2:$B$700=$A189),人給データ!$Y$2:$Y$700)),""))</f>
        <v/>
      </c>
      <c r="E189" s="20">
        <f>IF($A189="","",IFERROR(IF(LOOKUP(2,1/(人給データ!$B$2:$B$700=$A189),人給データ!$AB$2:$AB$700)=0,"",LOOKUP(2,1/(人給データ!$B$2:$B$700=$A189),人給データ!$AB$2:$AB$700)),""))</f>
        <v/>
      </c>
      <c r="F189" s="16">
        <f>IF(OR(E189="",NOT(ISNUMBER(E189))),"",DATE(YEAR(E189)+2,MONTH(E189),DAY(E189)-2))</f>
        <v/>
      </c>
      <c r="G189" s="20">
        <f>IF($A189="","",IFERROR(IF(LOOKUP(2,1/(人給データ!$B$2:$B$700=$A189),人給データ!$J$2:$J$700)=0,"",LOOKUP(2,1/(人給データ!$B$2:$B$700=$A189),人給データ!$J$2:$J$700)),""))</f>
        <v/>
      </c>
      <c r="H189" s="20">
        <f>IF($A189="","",IFERROR(IF(LOOKUP(2,1/(人給データ!$B$2:$B$700=$A189),人給データ!$K$2:$K$700)=0,"",LOOKUP(2,1/(人給データ!$B$2:$B$700=$A189),人給データ!$K$2:$K$700)),""))</f>
        <v/>
      </c>
      <c r="I189" s="12" t="n"/>
      <c r="J189">
        <f>IF($A189="","",IFERROR(IF(LOOKUP(2,1/(人給データ!$B$2:$B$700=$A189),人給データ!$N$2:$N$700)=0,"",LOOKUP(2,1/(人給データ!$B$2:$B$700=$A189),人給データ!$N$2:$N$700)),""))</f>
        <v/>
      </c>
      <c r="K189" s="13" t="n"/>
      <c r="L189" s="12" t="n"/>
      <c r="M189" s="12" t="n"/>
      <c r="N189" s="11" t="n"/>
      <c r="O189" s="11" t="n"/>
      <c r="P189" s="14">
        <f>IF(AND(M189&lt;&gt;"",O189=""),"保留中","")</f>
        <v/>
      </c>
      <c r="Q189" s="14">
        <f>IF(P189="保留中",COUNTIF(P$6:P189,"保留中"),"")</f>
        <v/>
      </c>
    </row>
    <row r="190">
      <c r="A190" s="12" t="n"/>
      <c r="B190">
        <f>IF($A190="","",IFERROR(IF(LOOKUP(2,1/(人給データ!$B$2:$B$700=$A190),人給データ!$C$2:$C$700)=0,"",LOOKUP(2,1/(人給データ!$B$2:$B$700=$A190),人給データ!$C$2:$C$700)),""))</f>
        <v/>
      </c>
      <c r="C190">
        <f>IF($A190="","",IFERROR(IF(LOOKUP(2,1/(人給データ!$B$2:$B$700=$A190),人給データ!$G$2:$G$700)=0,"",LOOKUP(2,1/(人給データ!$B$2:$B$700=$A190),人給データ!$G$2:$G$700)),""))</f>
        <v/>
      </c>
      <c r="D190">
        <f>IF($A190="","",IFERROR(IF(LOOKUP(2,1/(人給データ!$B$2:$B$700=$A190),人給データ!$Y$2:$Y$700)=0,"",LOOKUP(2,1/(人給データ!$B$2:$B$700=$A190),人給データ!$Y$2:$Y$700)),""))</f>
        <v/>
      </c>
      <c r="E190" s="20">
        <f>IF($A190="","",IFERROR(IF(LOOKUP(2,1/(人給データ!$B$2:$B$700=$A190),人給データ!$AB$2:$AB$700)=0,"",LOOKUP(2,1/(人給データ!$B$2:$B$700=$A190),人給データ!$AB$2:$AB$700)),""))</f>
        <v/>
      </c>
      <c r="F190" s="16">
        <f>IF(OR(E190="",NOT(ISNUMBER(E190))),"",DATE(YEAR(E190)+2,MONTH(E190),DAY(E190)-2))</f>
        <v/>
      </c>
      <c r="G190" s="20">
        <f>IF($A190="","",IFERROR(IF(LOOKUP(2,1/(人給データ!$B$2:$B$700=$A190),人給データ!$J$2:$J$700)=0,"",LOOKUP(2,1/(人給データ!$B$2:$B$700=$A190),人給データ!$J$2:$J$700)),""))</f>
        <v/>
      </c>
      <c r="H190" s="20">
        <f>IF($A190="","",IFERROR(IF(LOOKUP(2,1/(人給データ!$B$2:$B$700=$A190),人給データ!$K$2:$K$700)=0,"",LOOKUP(2,1/(人給データ!$B$2:$B$700=$A190),人給データ!$K$2:$K$700)),""))</f>
        <v/>
      </c>
      <c r="I190" s="12" t="n"/>
      <c r="J190">
        <f>IF($A190="","",IFERROR(IF(LOOKUP(2,1/(人給データ!$B$2:$B$700=$A190),人給データ!$N$2:$N$700)=0,"",LOOKUP(2,1/(人給データ!$B$2:$B$700=$A190),人給データ!$N$2:$N$700)),""))</f>
        <v/>
      </c>
      <c r="K190" s="13" t="n"/>
      <c r="L190" s="12" t="n"/>
      <c r="M190" s="12" t="n"/>
      <c r="N190" s="11" t="n"/>
      <c r="O190" s="11" t="n"/>
      <c r="P190" s="14">
        <f>IF(AND(M190&lt;&gt;"",O190=""),"保留中","")</f>
        <v/>
      </c>
      <c r="Q190" s="14">
        <f>IF(P190="保留中",COUNTIF(P$6:P190,"保留中"),"")</f>
        <v/>
      </c>
    </row>
    <row r="191">
      <c r="A191" s="12" t="n"/>
      <c r="B191">
        <f>IF($A191="","",IFERROR(IF(LOOKUP(2,1/(人給データ!$B$2:$B$700=$A191),人給データ!$C$2:$C$700)=0,"",LOOKUP(2,1/(人給データ!$B$2:$B$700=$A191),人給データ!$C$2:$C$700)),""))</f>
        <v/>
      </c>
      <c r="C191">
        <f>IF($A191="","",IFERROR(IF(LOOKUP(2,1/(人給データ!$B$2:$B$700=$A191),人給データ!$G$2:$G$700)=0,"",LOOKUP(2,1/(人給データ!$B$2:$B$700=$A191),人給データ!$G$2:$G$700)),""))</f>
        <v/>
      </c>
      <c r="D191">
        <f>IF($A191="","",IFERROR(IF(LOOKUP(2,1/(人給データ!$B$2:$B$700=$A191),人給データ!$Y$2:$Y$700)=0,"",LOOKUP(2,1/(人給データ!$B$2:$B$700=$A191),人給データ!$Y$2:$Y$700)),""))</f>
        <v/>
      </c>
      <c r="E191" s="20">
        <f>IF($A191="","",IFERROR(IF(LOOKUP(2,1/(人給データ!$B$2:$B$700=$A191),人給データ!$AB$2:$AB$700)=0,"",LOOKUP(2,1/(人給データ!$B$2:$B$700=$A191),人給データ!$AB$2:$AB$700)),""))</f>
        <v/>
      </c>
      <c r="F191" s="16">
        <f>IF(OR(E191="",NOT(ISNUMBER(E191))),"",DATE(YEAR(E191)+2,MONTH(E191),DAY(E191)-2))</f>
        <v/>
      </c>
      <c r="G191" s="20">
        <f>IF($A191="","",IFERROR(IF(LOOKUP(2,1/(人給データ!$B$2:$B$700=$A191),人給データ!$J$2:$J$700)=0,"",LOOKUP(2,1/(人給データ!$B$2:$B$700=$A191),人給データ!$J$2:$J$700)),""))</f>
        <v/>
      </c>
      <c r="H191" s="20">
        <f>IF($A191="","",IFERROR(IF(LOOKUP(2,1/(人給データ!$B$2:$B$700=$A191),人給データ!$K$2:$K$700)=0,"",LOOKUP(2,1/(人給データ!$B$2:$B$700=$A191),人給データ!$K$2:$K$700)),""))</f>
        <v/>
      </c>
      <c r="I191" s="12" t="n"/>
      <c r="J191">
        <f>IF($A191="","",IFERROR(IF(LOOKUP(2,1/(人給データ!$B$2:$B$700=$A191),人給データ!$N$2:$N$700)=0,"",LOOKUP(2,1/(人給データ!$B$2:$B$700=$A191),人給データ!$N$2:$N$700)),""))</f>
        <v/>
      </c>
      <c r="K191" s="13" t="n"/>
      <c r="L191" s="12" t="n"/>
      <c r="M191" s="12" t="n"/>
      <c r="N191" s="11" t="n"/>
      <c r="O191" s="11" t="n"/>
      <c r="P191" s="14">
        <f>IF(AND(M191&lt;&gt;"",O191=""),"保留中","")</f>
        <v/>
      </c>
      <c r="Q191" s="14">
        <f>IF(P191="保留中",COUNTIF(P$6:P191,"保留中"),"")</f>
        <v/>
      </c>
    </row>
    <row r="192">
      <c r="A192" s="12" t="n"/>
      <c r="B192">
        <f>IF($A192="","",IFERROR(IF(LOOKUP(2,1/(人給データ!$B$2:$B$700=$A192),人給データ!$C$2:$C$700)=0,"",LOOKUP(2,1/(人給データ!$B$2:$B$700=$A192),人給データ!$C$2:$C$700)),""))</f>
        <v/>
      </c>
      <c r="C192">
        <f>IF($A192="","",IFERROR(IF(LOOKUP(2,1/(人給データ!$B$2:$B$700=$A192),人給データ!$G$2:$G$700)=0,"",LOOKUP(2,1/(人給データ!$B$2:$B$700=$A192),人給データ!$G$2:$G$700)),""))</f>
        <v/>
      </c>
      <c r="D192">
        <f>IF($A192="","",IFERROR(IF(LOOKUP(2,1/(人給データ!$B$2:$B$700=$A192),人給データ!$Y$2:$Y$700)=0,"",LOOKUP(2,1/(人給データ!$B$2:$B$700=$A192),人給データ!$Y$2:$Y$700)),""))</f>
        <v/>
      </c>
      <c r="E192" s="20">
        <f>IF($A192="","",IFERROR(IF(LOOKUP(2,1/(人給データ!$B$2:$B$700=$A192),人給データ!$AB$2:$AB$700)=0,"",LOOKUP(2,1/(人給データ!$B$2:$B$700=$A192),人給データ!$AB$2:$AB$700)),""))</f>
        <v/>
      </c>
      <c r="F192" s="16">
        <f>IF(OR(E192="",NOT(ISNUMBER(E192))),"",DATE(YEAR(E192)+2,MONTH(E192),DAY(E192)-2))</f>
        <v/>
      </c>
      <c r="G192" s="20">
        <f>IF($A192="","",IFERROR(IF(LOOKUP(2,1/(人給データ!$B$2:$B$700=$A192),人給データ!$J$2:$J$700)=0,"",LOOKUP(2,1/(人給データ!$B$2:$B$700=$A192),人給データ!$J$2:$J$700)),""))</f>
        <v/>
      </c>
      <c r="H192" s="20">
        <f>IF($A192="","",IFERROR(IF(LOOKUP(2,1/(人給データ!$B$2:$B$700=$A192),人給データ!$K$2:$K$700)=0,"",LOOKUP(2,1/(人給データ!$B$2:$B$700=$A192),人給データ!$K$2:$K$700)),""))</f>
        <v/>
      </c>
      <c r="I192" s="12" t="n"/>
      <c r="J192">
        <f>IF($A192="","",IFERROR(IF(LOOKUP(2,1/(人給データ!$B$2:$B$700=$A192),人給データ!$N$2:$N$700)=0,"",LOOKUP(2,1/(人給データ!$B$2:$B$700=$A192),人給データ!$N$2:$N$700)),""))</f>
        <v/>
      </c>
      <c r="K192" s="13" t="n"/>
      <c r="L192" s="12" t="n"/>
      <c r="M192" s="12" t="n"/>
      <c r="N192" s="11" t="n"/>
      <c r="O192" s="11" t="n"/>
      <c r="P192" s="14">
        <f>IF(AND(M192&lt;&gt;"",O192=""),"保留中","")</f>
        <v/>
      </c>
      <c r="Q192" s="14">
        <f>IF(P192="保留中",COUNTIF(P$6:P192,"保留中"),"")</f>
        <v/>
      </c>
    </row>
    <row r="193">
      <c r="A193" s="12" t="n"/>
      <c r="B193">
        <f>IF($A193="","",IFERROR(IF(LOOKUP(2,1/(人給データ!$B$2:$B$700=$A193),人給データ!$C$2:$C$700)=0,"",LOOKUP(2,1/(人給データ!$B$2:$B$700=$A193),人給データ!$C$2:$C$700)),""))</f>
        <v/>
      </c>
      <c r="C193">
        <f>IF($A193="","",IFERROR(IF(LOOKUP(2,1/(人給データ!$B$2:$B$700=$A193),人給データ!$G$2:$G$700)=0,"",LOOKUP(2,1/(人給データ!$B$2:$B$700=$A193),人給データ!$G$2:$G$700)),""))</f>
        <v/>
      </c>
      <c r="D193">
        <f>IF($A193="","",IFERROR(IF(LOOKUP(2,1/(人給データ!$B$2:$B$700=$A193),人給データ!$Y$2:$Y$700)=0,"",LOOKUP(2,1/(人給データ!$B$2:$B$700=$A193),人給データ!$Y$2:$Y$700)),""))</f>
        <v/>
      </c>
      <c r="E193" s="20">
        <f>IF($A193="","",IFERROR(IF(LOOKUP(2,1/(人給データ!$B$2:$B$700=$A193),人給データ!$AB$2:$AB$700)=0,"",LOOKUP(2,1/(人給データ!$B$2:$B$700=$A193),人給データ!$AB$2:$AB$700)),""))</f>
        <v/>
      </c>
      <c r="F193" s="16">
        <f>IF(OR(E193="",NOT(ISNUMBER(E193))),"",DATE(YEAR(E193)+2,MONTH(E193),DAY(E193)-2))</f>
        <v/>
      </c>
      <c r="G193" s="20">
        <f>IF($A193="","",IFERROR(IF(LOOKUP(2,1/(人給データ!$B$2:$B$700=$A193),人給データ!$J$2:$J$700)=0,"",LOOKUP(2,1/(人給データ!$B$2:$B$700=$A193),人給データ!$J$2:$J$700)),""))</f>
        <v/>
      </c>
      <c r="H193" s="20">
        <f>IF($A193="","",IFERROR(IF(LOOKUP(2,1/(人給データ!$B$2:$B$700=$A193),人給データ!$K$2:$K$700)=0,"",LOOKUP(2,1/(人給データ!$B$2:$B$700=$A193),人給データ!$K$2:$K$700)),""))</f>
        <v/>
      </c>
      <c r="I193" s="12" t="n"/>
      <c r="J193">
        <f>IF($A193="","",IFERROR(IF(LOOKUP(2,1/(人給データ!$B$2:$B$700=$A193),人給データ!$N$2:$N$700)=0,"",LOOKUP(2,1/(人給データ!$B$2:$B$700=$A193),人給データ!$N$2:$N$700)),""))</f>
        <v/>
      </c>
      <c r="K193" s="13" t="n"/>
      <c r="L193" s="12" t="n"/>
      <c r="M193" s="12" t="n"/>
      <c r="N193" s="11" t="n"/>
      <c r="O193" s="11" t="n"/>
      <c r="P193" s="14">
        <f>IF(AND(M193&lt;&gt;"",O193=""),"保留中","")</f>
        <v/>
      </c>
      <c r="Q193" s="14">
        <f>IF(P193="保留中",COUNTIF(P$6:P193,"保留中"),"")</f>
        <v/>
      </c>
    </row>
    <row r="194">
      <c r="A194" s="12" t="n"/>
      <c r="B194">
        <f>IF($A194="","",IFERROR(IF(LOOKUP(2,1/(人給データ!$B$2:$B$700=$A194),人給データ!$C$2:$C$700)=0,"",LOOKUP(2,1/(人給データ!$B$2:$B$700=$A194),人給データ!$C$2:$C$700)),""))</f>
        <v/>
      </c>
      <c r="C194">
        <f>IF($A194="","",IFERROR(IF(LOOKUP(2,1/(人給データ!$B$2:$B$700=$A194),人給データ!$G$2:$G$700)=0,"",LOOKUP(2,1/(人給データ!$B$2:$B$700=$A194),人給データ!$G$2:$G$700)),""))</f>
        <v/>
      </c>
      <c r="D194">
        <f>IF($A194="","",IFERROR(IF(LOOKUP(2,1/(人給データ!$B$2:$B$700=$A194),人給データ!$Y$2:$Y$700)=0,"",LOOKUP(2,1/(人給データ!$B$2:$B$700=$A194),人給データ!$Y$2:$Y$700)),""))</f>
        <v/>
      </c>
      <c r="E194" s="20">
        <f>IF($A194="","",IFERROR(IF(LOOKUP(2,1/(人給データ!$B$2:$B$700=$A194),人給データ!$AB$2:$AB$700)=0,"",LOOKUP(2,1/(人給データ!$B$2:$B$700=$A194),人給データ!$AB$2:$AB$700)),""))</f>
        <v/>
      </c>
      <c r="F194" s="16">
        <f>IF(OR(E194="",NOT(ISNUMBER(E194))),"",DATE(YEAR(E194)+2,MONTH(E194),DAY(E194)-2))</f>
        <v/>
      </c>
      <c r="G194" s="20">
        <f>IF($A194="","",IFERROR(IF(LOOKUP(2,1/(人給データ!$B$2:$B$700=$A194),人給データ!$J$2:$J$700)=0,"",LOOKUP(2,1/(人給データ!$B$2:$B$700=$A194),人給データ!$J$2:$J$700)),""))</f>
        <v/>
      </c>
      <c r="H194" s="20">
        <f>IF($A194="","",IFERROR(IF(LOOKUP(2,1/(人給データ!$B$2:$B$700=$A194),人給データ!$K$2:$K$700)=0,"",LOOKUP(2,1/(人給データ!$B$2:$B$700=$A194),人給データ!$K$2:$K$700)),""))</f>
        <v/>
      </c>
      <c r="I194" s="12" t="n"/>
      <c r="J194">
        <f>IF($A194="","",IFERROR(IF(LOOKUP(2,1/(人給データ!$B$2:$B$700=$A194),人給データ!$N$2:$N$700)=0,"",LOOKUP(2,1/(人給データ!$B$2:$B$700=$A194),人給データ!$N$2:$N$700)),""))</f>
        <v/>
      </c>
      <c r="K194" s="13" t="n"/>
      <c r="L194" s="12" t="n"/>
      <c r="M194" s="12" t="n"/>
      <c r="N194" s="11" t="n"/>
      <c r="O194" s="11" t="n"/>
      <c r="P194" s="14">
        <f>IF(AND(M194&lt;&gt;"",O194=""),"保留中","")</f>
        <v/>
      </c>
      <c r="Q194" s="14">
        <f>IF(P194="保留中",COUNTIF(P$6:P194,"保留中"),"")</f>
        <v/>
      </c>
    </row>
    <row r="195">
      <c r="A195" s="12" t="n"/>
      <c r="B195">
        <f>IF($A195="","",IFERROR(IF(LOOKUP(2,1/(人給データ!$B$2:$B$700=$A195),人給データ!$C$2:$C$700)=0,"",LOOKUP(2,1/(人給データ!$B$2:$B$700=$A195),人給データ!$C$2:$C$700)),""))</f>
        <v/>
      </c>
      <c r="C195">
        <f>IF($A195="","",IFERROR(IF(LOOKUP(2,1/(人給データ!$B$2:$B$700=$A195),人給データ!$G$2:$G$700)=0,"",LOOKUP(2,1/(人給データ!$B$2:$B$700=$A195),人給データ!$G$2:$G$700)),""))</f>
        <v/>
      </c>
      <c r="D195">
        <f>IF($A195="","",IFERROR(IF(LOOKUP(2,1/(人給データ!$B$2:$B$700=$A195),人給データ!$Y$2:$Y$700)=0,"",LOOKUP(2,1/(人給データ!$B$2:$B$700=$A195),人給データ!$Y$2:$Y$700)),""))</f>
        <v/>
      </c>
      <c r="E195" s="20">
        <f>IF($A195="","",IFERROR(IF(LOOKUP(2,1/(人給データ!$B$2:$B$700=$A195),人給データ!$AB$2:$AB$700)=0,"",LOOKUP(2,1/(人給データ!$B$2:$B$700=$A195),人給データ!$AB$2:$AB$700)),""))</f>
        <v/>
      </c>
      <c r="F195" s="16">
        <f>IF(OR(E195="",NOT(ISNUMBER(E195))),"",DATE(YEAR(E195)+2,MONTH(E195),DAY(E195)-2))</f>
        <v/>
      </c>
      <c r="G195" s="20">
        <f>IF($A195="","",IFERROR(IF(LOOKUP(2,1/(人給データ!$B$2:$B$700=$A195),人給データ!$J$2:$J$700)=0,"",LOOKUP(2,1/(人給データ!$B$2:$B$700=$A195),人給データ!$J$2:$J$700)),""))</f>
        <v/>
      </c>
      <c r="H195" s="20">
        <f>IF($A195="","",IFERROR(IF(LOOKUP(2,1/(人給データ!$B$2:$B$700=$A195),人給データ!$K$2:$K$700)=0,"",LOOKUP(2,1/(人給データ!$B$2:$B$700=$A195),人給データ!$K$2:$K$700)),""))</f>
        <v/>
      </c>
      <c r="I195" s="12" t="n"/>
      <c r="J195">
        <f>IF($A195="","",IFERROR(IF(LOOKUP(2,1/(人給データ!$B$2:$B$700=$A195),人給データ!$N$2:$N$700)=0,"",LOOKUP(2,1/(人給データ!$B$2:$B$700=$A195),人給データ!$N$2:$N$700)),""))</f>
        <v/>
      </c>
      <c r="K195" s="13" t="n"/>
      <c r="L195" s="12" t="n"/>
      <c r="M195" s="12" t="n"/>
      <c r="N195" s="11" t="n"/>
      <c r="O195" s="11" t="n"/>
      <c r="P195" s="14">
        <f>IF(AND(M195&lt;&gt;"",O195=""),"保留中","")</f>
        <v/>
      </c>
      <c r="Q195" s="14">
        <f>IF(P195="保留中",COUNTIF(P$6:P195,"保留中"),"")</f>
        <v/>
      </c>
    </row>
    <row r="196">
      <c r="A196" s="12" t="n"/>
      <c r="B196">
        <f>IF($A196="","",IFERROR(IF(LOOKUP(2,1/(人給データ!$B$2:$B$700=$A196),人給データ!$C$2:$C$700)=0,"",LOOKUP(2,1/(人給データ!$B$2:$B$700=$A196),人給データ!$C$2:$C$700)),""))</f>
        <v/>
      </c>
      <c r="C196">
        <f>IF($A196="","",IFERROR(IF(LOOKUP(2,1/(人給データ!$B$2:$B$700=$A196),人給データ!$G$2:$G$700)=0,"",LOOKUP(2,1/(人給データ!$B$2:$B$700=$A196),人給データ!$G$2:$G$700)),""))</f>
        <v/>
      </c>
      <c r="D196">
        <f>IF($A196="","",IFERROR(IF(LOOKUP(2,1/(人給データ!$B$2:$B$700=$A196),人給データ!$Y$2:$Y$700)=0,"",LOOKUP(2,1/(人給データ!$B$2:$B$700=$A196),人給データ!$Y$2:$Y$700)),""))</f>
        <v/>
      </c>
      <c r="E196" s="20">
        <f>IF($A196="","",IFERROR(IF(LOOKUP(2,1/(人給データ!$B$2:$B$700=$A196),人給データ!$AB$2:$AB$700)=0,"",LOOKUP(2,1/(人給データ!$B$2:$B$700=$A196),人給データ!$AB$2:$AB$700)),""))</f>
        <v/>
      </c>
      <c r="F196" s="16">
        <f>IF(OR(E196="",NOT(ISNUMBER(E196))),"",DATE(YEAR(E196)+2,MONTH(E196),DAY(E196)-2))</f>
        <v/>
      </c>
      <c r="G196" s="20">
        <f>IF($A196="","",IFERROR(IF(LOOKUP(2,1/(人給データ!$B$2:$B$700=$A196),人給データ!$J$2:$J$700)=0,"",LOOKUP(2,1/(人給データ!$B$2:$B$700=$A196),人給データ!$J$2:$J$700)),""))</f>
        <v/>
      </c>
      <c r="H196" s="20">
        <f>IF($A196="","",IFERROR(IF(LOOKUP(2,1/(人給データ!$B$2:$B$700=$A196),人給データ!$K$2:$K$700)=0,"",LOOKUP(2,1/(人給データ!$B$2:$B$700=$A196),人給データ!$K$2:$K$700)),""))</f>
        <v/>
      </c>
      <c r="I196" s="12" t="n"/>
      <c r="J196">
        <f>IF($A196="","",IFERROR(IF(LOOKUP(2,1/(人給データ!$B$2:$B$700=$A196),人給データ!$N$2:$N$700)=0,"",LOOKUP(2,1/(人給データ!$B$2:$B$700=$A196),人給データ!$N$2:$N$700)),""))</f>
        <v/>
      </c>
      <c r="K196" s="13" t="n"/>
      <c r="L196" s="12" t="n"/>
      <c r="M196" s="12" t="n"/>
      <c r="N196" s="11" t="n"/>
      <c r="O196" s="11" t="n"/>
      <c r="P196" s="14">
        <f>IF(AND(M196&lt;&gt;"",O196=""),"保留中","")</f>
        <v/>
      </c>
      <c r="Q196" s="14">
        <f>IF(P196="保留中",COUNTIF(P$6:P196,"保留中"),"")</f>
        <v/>
      </c>
    </row>
    <row r="197">
      <c r="A197" s="12" t="n"/>
      <c r="B197">
        <f>IF($A197="","",IFERROR(IF(LOOKUP(2,1/(人給データ!$B$2:$B$700=$A197),人給データ!$C$2:$C$700)=0,"",LOOKUP(2,1/(人給データ!$B$2:$B$700=$A197),人給データ!$C$2:$C$700)),""))</f>
        <v/>
      </c>
      <c r="C197">
        <f>IF($A197="","",IFERROR(IF(LOOKUP(2,1/(人給データ!$B$2:$B$700=$A197),人給データ!$G$2:$G$700)=0,"",LOOKUP(2,1/(人給データ!$B$2:$B$700=$A197),人給データ!$G$2:$G$700)),""))</f>
        <v/>
      </c>
      <c r="D197">
        <f>IF($A197="","",IFERROR(IF(LOOKUP(2,1/(人給データ!$B$2:$B$700=$A197),人給データ!$Y$2:$Y$700)=0,"",LOOKUP(2,1/(人給データ!$B$2:$B$700=$A197),人給データ!$Y$2:$Y$700)),""))</f>
        <v/>
      </c>
      <c r="E197" s="20">
        <f>IF($A197="","",IFERROR(IF(LOOKUP(2,1/(人給データ!$B$2:$B$700=$A197),人給データ!$AB$2:$AB$700)=0,"",LOOKUP(2,1/(人給データ!$B$2:$B$700=$A197),人給データ!$AB$2:$AB$700)),""))</f>
        <v/>
      </c>
      <c r="F197" s="16">
        <f>IF(OR(E197="",NOT(ISNUMBER(E197))),"",DATE(YEAR(E197)+2,MONTH(E197),DAY(E197)-2))</f>
        <v/>
      </c>
      <c r="G197" s="20">
        <f>IF($A197="","",IFERROR(IF(LOOKUP(2,1/(人給データ!$B$2:$B$700=$A197),人給データ!$J$2:$J$700)=0,"",LOOKUP(2,1/(人給データ!$B$2:$B$700=$A197),人給データ!$J$2:$J$700)),""))</f>
        <v/>
      </c>
      <c r="H197" s="20">
        <f>IF($A197="","",IFERROR(IF(LOOKUP(2,1/(人給データ!$B$2:$B$700=$A197),人給データ!$K$2:$K$700)=0,"",LOOKUP(2,1/(人給データ!$B$2:$B$700=$A197),人給データ!$K$2:$K$700)),""))</f>
        <v/>
      </c>
      <c r="I197" s="12" t="n"/>
      <c r="J197">
        <f>IF($A197="","",IFERROR(IF(LOOKUP(2,1/(人給データ!$B$2:$B$700=$A197),人給データ!$N$2:$N$700)=0,"",LOOKUP(2,1/(人給データ!$B$2:$B$700=$A197),人給データ!$N$2:$N$700)),""))</f>
        <v/>
      </c>
      <c r="K197" s="13" t="n"/>
      <c r="L197" s="12" t="n"/>
      <c r="M197" s="12" t="n"/>
      <c r="N197" s="11" t="n"/>
      <c r="O197" s="11" t="n"/>
      <c r="P197" s="14">
        <f>IF(AND(M197&lt;&gt;"",O197=""),"保留中","")</f>
        <v/>
      </c>
      <c r="Q197" s="14">
        <f>IF(P197="保留中",COUNTIF(P$6:P197,"保留中"),"")</f>
        <v/>
      </c>
    </row>
    <row r="198">
      <c r="A198" s="12" t="n"/>
      <c r="B198">
        <f>IF($A198="","",IFERROR(IF(LOOKUP(2,1/(人給データ!$B$2:$B$700=$A198),人給データ!$C$2:$C$700)=0,"",LOOKUP(2,1/(人給データ!$B$2:$B$700=$A198),人給データ!$C$2:$C$700)),""))</f>
        <v/>
      </c>
      <c r="C198">
        <f>IF($A198="","",IFERROR(IF(LOOKUP(2,1/(人給データ!$B$2:$B$700=$A198),人給データ!$G$2:$G$700)=0,"",LOOKUP(2,1/(人給データ!$B$2:$B$700=$A198),人給データ!$G$2:$G$700)),""))</f>
        <v/>
      </c>
      <c r="D198">
        <f>IF($A198="","",IFERROR(IF(LOOKUP(2,1/(人給データ!$B$2:$B$700=$A198),人給データ!$Y$2:$Y$700)=0,"",LOOKUP(2,1/(人給データ!$B$2:$B$700=$A198),人給データ!$Y$2:$Y$700)),""))</f>
        <v/>
      </c>
      <c r="E198" s="20">
        <f>IF($A198="","",IFERROR(IF(LOOKUP(2,1/(人給データ!$B$2:$B$700=$A198),人給データ!$AB$2:$AB$700)=0,"",LOOKUP(2,1/(人給データ!$B$2:$B$700=$A198),人給データ!$AB$2:$AB$700)),""))</f>
        <v/>
      </c>
      <c r="F198" s="16">
        <f>IF(OR(E198="",NOT(ISNUMBER(E198))),"",DATE(YEAR(E198)+2,MONTH(E198),DAY(E198)-2))</f>
        <v/>
      </c>
      <c r="G198" s="20">
        <f>IF($A198="","",IFERROR(IF(LOOKUP(2,1/(人給データ!$B$2:$B$700=$A198),人給データ!$J$2:$J$700)=0,"",LOOKUP(2,1/(人給データ!$B$2:$B$700=$A198),人給データ!$J$2:$J$700)),""))</f>
        <v/>
      </c>
      <c r="H198" s="20">
        <f>IF($A198="","",IFERROR(IF(LOOKUP(2,1/(人給データ!$B$2:$B$700=$A198),人給データ!$K$2:$K$700)=0,"",LOOKUP(2,1/(人給データ!$B$2:$B$700=$A198),人給データ!$K$2:$K$700)),""))</f>
        <v/>
      </c>
      <c r="I198" s="12" t="n"/>
      <c r="J198">
        <f>IF($A198="","",IFERROR(IF(LOOKUP(2,1/(人給データ!$B$2:$B$700=$A198),人給データ!$N$2:$N$700)=0,"",LOOKUP(2,1/(人給データ!$B$2:$B$700=$A198),人給データ!$N$2:$N$700)),""))</f>
        <v/>
      </c>
      <c r="K198" s="13" t="n"/>
      <c r="L198" s="12" t="n"/>
      <c r="M198" s="12" t="n"/>
      <c r="N198" s="11" t="n"/>
      <c r="O198" s="11" t="n"/>
      <c r="P198" s="14">
        <f>IF(AND(M198&lt;&gt;"",O198=""),"保留中","")</f>
        <v/>
      </c>
      <c r="Q198" s="14">
        <f>IF(P198="保留中",COUNTIF(P$6:P198,"保留中"),"")</f>
        <v/>
      </c>
    </row>
    <row r="199">
      <c r="A199" s="12" t="n"/>
      <c r="B199">
        <f>IF($A199="","",IFERROR(IF(LOOKUP(2,1/(人給データ!$B$2:$B$700=$A199),人給データ!$C$2:$C$700)=0,"",LOOKUP(2,1/(人給データ!$B$2:$B$700=$A199),人給データ!$C$2:$C$700)),""))</f>
        <v/>
      </c>
      <c r="C199">
        <f>IF($A199="","",IFERROR(IF(LOOKUP(2,1/(人給データ!$B$2:$B$700=$A199),人給データ!$G$2:$G$700)=0,"",LOOKUP(2,1/(人給データ!$B$2:$B$700=$A199),人給データ!$G$2:$G$700)),""))</f>
        <v/>
      </c>
      <c r="D199">
        <f>IF($A199="","",IFERROR(IF(LOOKUP(2,1/(人給データ!$B$2:$B$700=$A199),人給データ!$Y$2:$Y$700)=0,"",LOOKUP(2,1/(人給データ!$B$2:$B$700=$A199),人給データ!$Y$2:$Y$700)),""))</f>
        <v/>
      </c>
      <c r="E199" s="20">
        <f>IF($A199="","",IFERROR(IF(LOOKUP(2,1/(人給データ!$B$2:$B$700=$A199),人給データ!$AB$2:$AB$700)=0,"",LOOKUP(2,1/(人給データ!$B$2:$B$700=$A199),人給データ!$AB$2:$AB$700)),""))</f>
        <v/>
      </c>
      <c r="F199" s="16">
        <f>IF(OR(E199="",NOT(ISNUMBER(E199))),"",DATE(YEAR(E199)+2,MONTH(E199),DAY(E199)-2))</f>
        <v/>
      </c>
      <c r="G199" s="20">
        <f>IF($A199="","",IFERROR(IF(LOOKUP(2,1/(人給データ!$B$2:$B$700=$A199),人給データ!$J$2:$J$700)=0,"",LOOKUP(2,1/(人給データ!$B$2:$B$700=$A199),人給データ!$J$2:$J$700)),""))</f>
        <v/>
      </c>
      <c r="H199" s="20">
        <f>IF($A199="","",IFERROR(IF(LOOKUP(2,1/(人給データ!$B$2:$B$700=$A199),人給データ!$K$2:$K$700)=0,"",LOOKUP(2,1/(人給データ!$B$2:$B$700=$A199),人給データ!$K$2:$K$700)),""))</f>
        <v/>
      </c>
      <c r="I199" s="12" t="n"/>
      <c r="J199">
        <f>IF($A199="","",IFERROR(IF(LOOKUP(2,1/(人給データ!$B$2:$B$700=$A199),人給データ!$N$2:$N$700)=0,"",LOOKUP(2,1/(人給データ!$B$2:$B$700=$A199),人給データ!$N$2:$N$700)),""))</f>
        <v/>
      </c>
      <c r="K199" s="13" t="n"/>
      <c r="L199" s="12" t="n"/>
      <c r="M199" s="12" t="n"/>
      <c r="N199" s="11" t="n"/>
      <c r="O199" s="11" t="n"/>
      <c r="P199" s="14">
        <f>IF(AND(M199&lt;&gt;"",O199=""),"保留中","")</f>
        <v/>
      </c>
      <c r="Q199" s="14">
        <f>IF(P199="保留中",COUNTIF(P$6:P199,"保留中"),"")</f>
        <v/>
      </c>
    </row>
    <row r="200">
      <c r="A200" s="12" t="n"/>
      <c r="B200">
        <f>IF($A200="","",IFERROR(IF(LOOKUP(2,1/(人給データ!$B$2:$B$700=$A200),人給データ!$C$2:$C$700)=0,"",LOOKUP(2,1/(人給データ!$B$2:$B$700=$A200),人給データ!$C$2:$C$700)),""))</f>
        <v/>
      </c>
      <c r="C200">
        <f>IF($A200="","",IFERROR(IF(LOOKUP(2,1/(人給データ!$B$2:$B$700=$A200),人給データ!$G$2:$G$700)=0,"",LOOKUP(2,1/(人給データ!$B$2:$B$700=$A200),人給データ!$G$2:$G$700)),""))</f>
        <v/>
      </c>
      <c r="D200">
        <f>IF($A200="","",IFERROR(IF(LOOKUP(2,1/(人給データ!$B$2:$B$700=$A200),人給データ!$Y$2:$Y$700)=0,"",LOOKUP(2,1/(人給データ!$B$2:$B$700=$A200),人給データ!$Y$2:$Y$700)),""))</f>
        <v/>
      </c>
      <c r="E200" s="20">
        <f>IF($A200="","",IFERROR(IF(LOOKUP(2,1/(人給データ!$B$2:$B$700=$A200),人給データ!$AB$2:$AB$700)=0,"",LOOKUP(2,1/(人給データ!$B$2:$B$700=$A200),人給データ!$AB$2:$AB$700)),""))</f>
        <v/>
      </c>
      <c r="F200" s="16">
        <f>IF(OR(E200="",NOT(ISNUMBER(E200))),"",DATE(YEAR(E200)+2,MONTH(E200),DAY(E200)-2))</f>
        <v/>
      </c>
      <c r="G200" s="20">
        <f>IF($A200="","",IFERROR(IF(LOOKUP(2,1/(人給データ!$B$2:$B$700=$A200),人給データ!$J$2:$J$700)=0,"",LOOKUP(2,1/(人給データ!$B$2:$B$700=$A200),人給データ!$J$2:$J$700)),""))</f>
        <v/>
      </c>
      <c r="H200" s="20">
        <f>IF($A200="","",IFERROR(IF(LOOKUP(2,1/(人給データ!$B$2:$B$700=$A200),人給データ!$K$2:$K$700)=0,"",LOOKUP(2,1/(人給データ!$B$2:$B$700=$A200),人給データ!$K$2:$K$700)),""))</f>
        <v/>
      </c>
      <c r="I200" s="12" t="n"/>
      <c r="J200">
        <f>IF($A200="","",IFERROR(IF(LOOKUP(2,1/(人給データ!$B$2:$B$700=$A200),人給データ!$N$2:$N$700)=0,"",LOOKUP(2,1/(人給データ!$B$2:$B$700=$A200),人給データ!$N$2:$N$700)),""))</f>
        <v/>
      </c>
      <c r="K200" s="13" t="n"/>
      <c r="L200" s="12" t="n"/>
      <c r="M200" s="12" t="n"/>
      <c r="N200" s="11" t="n"/>
      <c r="O200" s="11" t="n"/>
      <c r="P200" s="14">
        <f>IF(AND(M200&lt;&gt;"",O200=""),"保留中","")</f>
        <v/>
      </c>
      <c r="Q200" s="14">
        <f>IF(P200="保留中",COUNTIF(P$6:P200,"保留中"),"")</f>
        <v/>
      </c>
    </row>
    <row r="201">
      <c r="A201" s="12" t="n"/>
      <c r="B201">
        <f>IF($A201="","",IFERROR(IF(LOOKUP(2,1/(人給データ!$B$2:$B$700=$A201),人給データ!$C$2:$C$700)=0,"",LOOKUP(2,1/(人給データ!$B$2:$B$700=$A201),人給データ!$C$2:$C$700)),""))</f>
        <v/>
      </c>
      <c r="C201">
        <f>IF($A201="","",IFERROR(IF(LOOKUP(2,1/(人給データ!$B$2:$B$700=$A201),人給データ!$G$2:$G$700)=0,"",LOOKUP(2,1/(人給データ!$B$2:$B$700=$A201),人給データ!$G$2:$G$700)),""))</f>
        <v/>
      </c>
      <c r="D201">
        <f>IF($A201="","",IFERROR(IF(LOOKUP(2,1/(人給データ!$B$2:$B$700=$A201),人給データ!$Y$2:$Y$700)=0,"",LOOKUP(2,1/(人給データ!$B$2:$B$700=$A201),人給データ!$Y$2:$Y$700)),""))</f>
        <v/>
      </c>
      <c r="E201" s="20">
        <f>IF($A201="","",IFERROR(IF(LOOKUP(2,1/(人給データ!$B$2:$B$700=$A201),人給データ!$AB$2:$AB$700)=0,"",LOOKUP(2,1/(人給データ!$B$2:$B$700=$A201),人給データ!$AB$2:$AB$700)),""))</f>
        <v/>
      </c>
      <c r="F201" s="16">
        <f>IF(OR(E201="",NOT(ISNUMBER(E201))),"",DATE(YEAR(E201)+2,MONTH(E201),DAY(E201)-2))</f>
        <v/>
      </c>
      <c r="G201" s="20">
        <f>IF($A201="","",IFERROR(IF(LOOKUP(2,1/(人給データ!$B$2:$B$700=$A201),人給データ!$J$2:$J$700)=0,"",LOOKUP(2,1/(人給データ!$B$2:$B$700=$A201),人給データ!$J$2:$J$700)),""))</f>
        <v/>
      </c>
      <c r="H201" s="20">
        <f>IF($A201="","",IFERROR(IF(LOOKUP(2,1/(人給データ!$B$2:$B$700=$A201),人給データ!$K$2:$K$700)=0,"",LOOKUP(2,1/(人給データ!$B$2:$B$700=$A201),人給データ!$K$2:$K$700)),""))</f>
        <v/>
      </c>
      <c r="I201" s="12" t="n"/>
      <c r="J201">
        <f>IF($A201="","",IFERROR(IF(LOOKUP(2,1/(人給データ!$B$2:$B$700=$A201),人給データ!$N$2:$N$700)=0,"",LOOKUP(2,1/(人給データ!$B$2:$B$700=$A201),人給データ!$N$2:$N$700)),""))</f>
        <v/>
      </c>
      <c r="K201" s="13" t="n"/>
      <c r="L201" s="12" t="n"/>
      <c r="M201" s="12" t="n"/>
      <c r="N201" s="11" t="n"/>
      <c r="O201" s="11" t="n"/>
      <c r="P201" s="14">
        <f>IF(AND(M201&lt;&gt;"",O201=""),"保留中","")</f>
        <v/>
      </c>
      <c r="Q201" s="14">
        <f>IF(P201="保留中",COUNTIF(P$6:P201,"保留中"),"")</f>
        <v/>
      </c>
    </row>
    <row r="202">
      <c r="A202" s="12" t="n"/>
      <c r="B202">
        <f>IF($A202="","",IFERROR(IF(LOOKUP(2,1/(人給データ!$B$2:$B$700=$A202),人給データ!$C$2:$C$700)=0,"",LOOKUP(2,1/(人給データ!$B$2:$B$700=$A202),人給データ!$C$2:$C$700)),""))</f>
        <v/>
      </c>
      <c r="C202">
        <f>IF($A202="","",IFERROR(IF(LOOKUP(2,1/(人給データ!$B$2:$B$700=$A202),人給データ!$G$2:$G$700)=0,"",LOOKUP(2,1/(人給データ!$B$2:$B$700=$A202),人給データ!$G$2:$G$700)),""))</f>
        <v/>
      </c>
      <c r="D202">
        <f>IF($A202="","",IFERROR(IF(LOOKUP(2,1/(人給データ!$B$2:$B$700=$A202),人給データ!$Y$2:$Y$700)=0,"",LOOKUP(2,1/(人給データ!$B$2:$B$700=$A202),人給データ!$Y$2:$Y$700)),""))</f>
        <v/>
      </c>
      <c r="E202" s="20">
        <f>IF($A202="","",IFERROR(IF(LOOKUP(2,1/(人給データ!$B$2:$B$700=$A202),人給データ!$AB$2:$AB$700)=0,"",LOOKUP(2,1/(人給データ!$B$2:$B$700=$A202),人給データ!$AB$2:$AB$700)),""))</f>
        <v/>
      </c>
      <c r="F202" s="16">
        <f>IF(OR(E202="",NOT(ISNUMBER(E202))),"",DATE(YEAR(E202)+2,MONTH(E202),DAY(E202)-2))</f>
        <v/>
      </c>
      <c r="G202" s="20">
        <f>IF($A202="","",IFERROR(IF(LOOKUP(2,1/(人給データ!$B$2:$B$700=$A202),人給データ!$J$2:$J$700)=0,"",LOOKUP(2,1/(人給データ!$B$2:$B$700=$A202),人給データ!$J$2:$J$700)),""))</f>
        <v/>
      </c>
      <c r="H202" s="20">
        <f>IF($A202="","",IFERROR(IF(LOOKUP(2,1/(人給データ!$B$2:$B$700=$A202),人給データ!$K$2:$K$700)=0,"",LOOKUP(2,1/(人給データ!$B$2:$B$700=$A202),人給データ!$K$2:$K$700)),""))</f>
        <v/>
      </c>
      <c r="I202" s="12" t="n"/>
      <c r="J202">
        <f>IF($A202="","",IFERROR(IF(LOOKUP(2,1/(人給データ!$B$2:$B$700=$A202),人給データ!$N$2:$N$700)=0,"",LOOKUP(2,1/(人給データ!$B$2:$B$700=$A202),人給データ!$N$2:$N$700)),""))</f>
        <v/>
      </c>
      <c r="K202" s="13" t="n"/>
      <c r="L202" s="12" t="n"/>
      <c r="M202" s="12" t="n"/>
      <c r="N202" s="11" t="n"/>
      <c r="O202" s="11" t="n"/>
      <c r="P202" s="14">
        <f>IF(AND(M202&lt;&gt;"",O202=""),"保留中","")</f>
        <v/>
      </c>
      <c r="Q202" s="14">
        <f>IF(P202="保留中",COUNTIF(P$6:P202,"保留中"),"")</f>
        <v/>
      </c>
    </row>
    <row r="203">
      <c r="A203" s="12" t="n"/>
      <c r="B203">
        <f>IF($A203="","",IFERROR(IF(LOOKUP(2,1/(人給データ!$B$2:$B$700=$A203),人給データ!$C$2:$C$700)=0,"",LOOKUP(2,1/(人給データ!$B$2:$B$700=$A203),人給データ!$C$2:$C$700)),""))</f>
        <v/>
      </c>
      <c r="C203">
        <f>IF($A203="","",IFERROR(IF(LOOKUP(2,1/(人給データ!$B$2:$B$700=$A203),人給データ!$G$2:$G$700)=0,"",LOOKUP(2,1/(人給データ!$B$2:$B$700=$A203),人給データ!$G$2:$G$700)),""))</f>
        <v/>
      </c>
      <c r="D203">
        <f>IF($A203="","",IFERROR(IF(LOOKUP(2,1/(人給データ!$B$2:$B$700=$A203),人給データ!$Y$2:$Y$700)=0,"",LOOKUP(2,1/(人給データ!$B$2:$B$700=$A203),人給データ!$Y$2:$Y$700)),""))</f>
        <v/>
      </c>
      <c r="E203" s="20">
        <f>IF($A203="","",IFERROR(IF(LOOKUP(2,1/(人給データ!$B$2:$B$700=$A203),人給データ!$AB$2:$AB$700)=0,"",LOOKUP(2,1/(人給データ!$B$2:$B$700=$A203),人給データ!$AB$2:$AB$700)),""))</f>
        <v/>
      </c>
      <c r="F203" s="16">
        <f>IF(OR(E203="",NOT(ISNUMBER(E203))),"",DATE(YEAR(E203)+2,MONTH(E203),DAY(E203)-2))</f>
        <v/>
      </c>
      <c r="G203" s="20">
        <f>IF($A203="","",IFERROR(IF(LOOKUP(2,1/(人給データ!$B$2:$B$700=$A203),人給データ!$J$2:$J$700)=0,"",LOOKUP(2,1/(人給データ!$B$2:$B$700=$A203),人給データ!$J$2:$J$700)),""))</f>
        <v/>
      </c>
      <c r="H203" s="20">
        <f>IF($A203="","",IFERROR(IF(LOOKUP(2,1/(人給データ!$B$2:$B$700=$A203),人給データ!$K$2:$K$700)=0,"",LOOKUP(2,1/(人給データ!$B$2:$B$700=$A203),人給データ!$K$2:$K$700)),""))</f>
        <v/>
      </c>
      <c r="I203" s="12" t="n"/>
      <c r="J203">
        <f>IF($A203="","",IFERROR(IF(LOOKUP(2,1/(人給データ!$B$2:$B$700=$A203),人給データ!$N$2:$N$700)=0,"",LOOKUP(2,1/(人給データ!$B$2:$B$700=$A203),人給データ!$N$2:$N$700)),""))</f>
        <v/>
      </c>
      <c r="K203" s="13" t="n"/>
      <c r="L203" s="12" t="n"/>
      <c r="M203" s="12" t="n"/>
      <c r="N203" s="11" t="n"/>
      <c r="O203" s="11" t="n"/>
      <c r="P203" s="14">
        <f>IF(AND(M203&lt;&gt;"",O203=""),"保留中","")</f>
        <v/>
      </c>
      <c r="Q203" s="14">
        <f>IF(P203="保留中",COUNTIF(P$6:P203,"保留中"),"")</f>
        <v/>
      </c>
    </row>
    <row r="204">
      <c r="A204" s="12" t="n"/>
      <c r="B204">
        <f>IF($A204="","",IFERROR(IF(LOOKUP(2,1/(人給データ!$B$2:$B$700=$A204),人給データ!$C$2:$C$700)=0,"",LOOKUP(2,1/(人給データ!$B$2:$B$700=$A204),人給データ!$C$2:$C$700)),""))</f>
        <v/>
      </c>
      <c r="C204">
        <f>IF($A204="","",IFERROR(IF(LOOKUP(2,1/(人給データ!$B$2:$B$700=$A204),人給データ!$G$2:$G$700)=0,"",LOOKUP(2,1/(人給データ!$B$2:$B$700=$A204),人給データ!$G$2:$G$700)),""))</f>
        <v/>
      </c>
      <c r="D204">
        <f>IF($A204="","",IFERROR(IF(LOOKUP(2,1/(人給データ!$B$2:$B$700=$A204),人給データ!$Y$2:$Y$700)=0,"",LOOKUP(2,1/(人給データ!$B$2:$B$700=$A204),人給データ!$Y$2:$Y$700)),""))</f>
        <v/>
      </c>
      <c r="E204" s="20">
        <f>IF($A204="","",IFERROR(IF(LOOKUP(2,1/(人給データ!$B$2:$B$700=$A204),人給データ!$AB$2:$AB$700)=0,"",LOOKUP(2,1/(人給データ!$B$2:$B$700=$A204),人給データ!$AB$2:$AB$700)),""))</f>
        <v/>
      </c>
      <c r="F204" s="16">
        <f>IF(OR(E204="",NOT(ISNUMBER(E204))),"",DATE(YEAR(E204)+2,MONTH(E204),DAY(E204)-2))</f>
        <v/>
      </c>
      <c r="G204" s="20">
        <f>IF($A204="","",IFERROR(IF(LOOKUP(2,1/(人給データ!$B$2:$B$700=$A204),人給データ!$J$2:$J$700)=0,"",LOOKUP(2,1/(人給データ!$B$2:$B$700=$A204),人給データ!$J$2:$J$700)),""))</f>
        <v/>
      </c>
      <c r="H204" s="20">
        <f>IF($A204="","",IFERROR(IF(LOOKUP(2,1/(人給データ!$B$2:$B$700=$A204),人給データ!$K$2:$K$700)=0,"",LOOKUP(2,1/(人給データ!$B$2:$B$700=$A204),人給データ!$K$2:$K$700)),""))</f>
        <v/>
      </c>
      <c r="I204" s="12" t="n"/>
      <c r="J204">
        <f>IF($A204="","",IFERROR(IF(LOOKUP(2,1/(人給データ!$B$2:$B$700=$A204),人給データ!$N$2:$N$700)=0,"",LOOKUP(2,1/(人給データ!$B$2:$B$700=$A204),人給データ!$N$2:$N$700)),""))</f>
        <v/>
      </c>
      <c r="K204" s="13" t="n"/>
      <c r="L204" s="12" t="n"/>
      <c r="M204" s="12" t="n"/>
      <c r="N204" s="11" t="n"/>
      <c r="O204" s="11" t="n"/>
      <c r="P204" s="14">
        <f>IF(AND(M204&lt;&gt;"",O204=""),"保留中","")</f>
        <v/>
      </c>
      <c r="Q204" s="14">
        <f>IF(P204="保留中",COUNTIF(P$6:P204,"保留中"),"")</f>
        <v/>
      </c>
    </row>
    <row r="205">
      <c r="A205" s="12" t="n"/>
      <c r="B205">
        <f>IF($A205="","",IFERROR(IF(LOOKUP(2,1/(人給データ!$B$2:$B$700=$A205),人給データ!$C$2:$C$700)=0,"",LOOKUP(2,1/(人給データ!$B$2:$B$700=$A205),人給データ!$C$2:$C$700)),""))</f>
        <v/>
      </c>
      <c r="C205">
        <f>IF($A205="","",IFERROR(IF(LOOKUP(2,1/(人給データ!$B$2:$B$700=$A205),人給データ!$G$2:$G$700)=0,"",LOOKUP(2,1/(人給データ!$B$2:$B$700=$A205),人給データ!$G$2:$G$700)),""))</f>
        <v/>
      </c>
      <c r="D205">
        <f>IF($A205="","",IFERROR(IF(LOOKUP(2,1/(人給データ!$B$2:$B$700=$A205),人給データ!$Y$2:$Y$700)=0,"",LOOKUP(2,1/(人給データ!$B$2:$B$700=$A205),人給データ!$Y$2:$Y$700)),""))</f>
        <v/>
      </c>
      <c r="E205" s="20">
        <f>IF($A205="","",IFERROR(IF(LOOKUP(2,1/(人給データ!$B$2:$B$700=$A205),人給データ!$AB$2:$AB$700)=0,"",LOOKUP(2,1/(人給データ!$B$2:$B$700=$A205),人給データ!$AB$2:$AB$700)),""))</f>
        <v/>
      </c>
      <c r="F205" s="16">
        <f>IF(OR(E205="",NOT(ISNUMBER(E205))),"",DATE(YEAR(E205)+2,MONTH(E205),DAY(E205)-2))</f>
        <v/>
      </c>
      <c r="G205" s="20">
        <f>IF($A205="","",IFERROR(IF(LOOKUP(2,1/(人給データ!$B$2:$B$700=$A205),人給データ!$J$2:$J$700)=0,"",LOOKUP(2,1/(人給データ!$B$2:$B$700=$A205),人給データ!$J$2:$J$700)),""))</f>
        <v/>
      </c>
      <c r="H205" s="20">
        <f>IF($A205="","",IFERROR(IF(LOOKUP(2,1/(人給データ!$B$2:$B$700=$A205),人給データ!$K$2:$K$700)=0,"",LOOKUP(2,1/(人給データ!$B$2:$B$700=$A205),人給データ!$K$2:$K$700)),""))</f>
        <v/>
      </c>
      <c r="I205" s="12" t="n"/>
      <c r="J205">
        <f>IF($A205="","",IFERROR(IF(LOOKUP(2,1/(人給データ!$B$2:$B$700=$A205),人給データ!$N$2:$N$700)=0,"",LOOKUP(2,1/(人給データ!$B$2:$B$700=$A205),人給データ!$N$2:$N$700)),""))</f>
        <v/>
      </c>
      <c r="K205" s="13" t="n"/>
      <c r="L205" s="12" t="n"/>
      <c r="M205" s="12" t="n"/>
      <c r="N205" s="11" t="n"/>
      <c r="O205" s="11" t="n"/>
      <c r="P205" s="14">
        <f>IF(AND(M205&lt;&gt;"",O205=""),"保留中","")</f>
        <v/>
      </c>
      <c r="Q205" s="14">
        <f>IF(P205="保留中",COUNTIF(P$6:P205,"保留中"),"")</f>
        <v/>
      </c>
    </row>
    <row r="206">
      <c r="A206" s="12" t="n"/>
      <c r="B206">
        <f>IF($A206="","",IFERROR(IF(LOOKUP(2,1/(人給データ!$B$2:$B$700=$A206),人給データ!$C$2:$C$700)=0,"",LOOKUP(2,1/(人給データ!$B$2:$B$700=$A206),人給データ!$C$2:$C$700)),""))</f>
        <v/>
      </c>
      <c r="C206">
        <f>IF($A206="","",IFERROR(IF(LOOKUP(2,1/(人給データ!$B$2:$B$700=$A206),人給データ!$G$2:$G$700)=0,"",LOOKUP(2,1/(人給データ!$B$2:$B$700=$A206),人給データ!$G$2:$G$700)),""))</f>
        <v/>
      </c>
      <c r="D206">
        <f>IF($A206="","",IFERROR(IF(LOOKUP(2,1/(人給データ!$B$2:$B$700=$A206),人給データ!$Y$2:$Y$700)=0,"",LOOKUP(2,1/(人給データ!$B$2:$B$700=$A206),人給データ!$Y$2:$Y$700)),""))</f>
        <v/>
      </c>
      <c r="E206" s="20">
        <f>IF($A206="","",IFERROR(IF(LOOKUP(2,1/(人給データ!$B$2:$B$700=$A206),人給データ!$AB$2:$AB$700)=0,"",LOOKUP(2,1/(人給データ!$B$2:$B$700=$A206),人給データ!$AB$2:$AB$700)),""))</f>
        <v/>
      </c>
      <c r="F206" s="16">
        <f>IF(OR(E206="",NOT(ISNUMBER(E206))),"",DATE(YEAR(E206)+2,MONTH(E206),DAY(E206)-2))</f>
        <v/>
      </c>
      <c r="G206" s="20">
        <f>IF($A206="","",IFERROR(IF(LOOKUP(2,1/(人給データ!$B$2:$B$700=$A206),人給データ!$J$2:$J$700)=0,"",LOOKUP(2,1/(人給データ!$B$2:$B$700=$A206),人給データ!$J$2:$J$700)),""))</f>
        <v/>
      </c>
      <c r="H206" s="20">
        <f>IF($A206="","",IFERROR(IF(LOOKUP(2,1/(人給データ!$B$2:$B$700=$A206),人給データ!$K$2:$K$700)=0,"",LOOKUP(2,1/(人給データ!$B$2:$B$700=$A206),人給データ!$K$2:$K$700)),""))</f>
        <v/>
      </c>
      <c r="I206" s="12" t="n"/>
      <c r="J206">
        <f>IF($A206="","",IFERROR(IF(LOOKUP(2,1/(人給データ!$B$2:$B$700=$A206),人給データ!$N$2:$N$700)=0,"",LOOKUP(2,1/(人給データ!$B$2:$B$700=$A206),人給データ!$N$2:$N$700)),""))</f>
        <v/>
      </c>
      <c r="K206" s="13" t="n"/>
      <c r="L206" s="12" t="n"/>
      <c r="M206" s="12" t="n"/>
      <c r="N206" s="11" t="n"/>
      <c r="O206" s="11" t="n"/>
      <c r="P206" s="14">
        <f>IF(AND(M206&lt;&gt;"",O206=""),"保留中","")</f>
        <v/>
      </c>
      <c r="Q206" s="14">
        <f>IF(P206="保留中",COUNTIF(P$6:P206,"保留中"),"")</f>
        <v/>
      </c>
    </row>
    <row r="207">
      <c r="A207" s="12" t="n"/>
      <c r="B207">
        <f>IF($A207="","",IFERROR(IF(LOOKUP(2,1/(人給データ!$B$2:$B$700=$A207),人給データ!$C$2:$C$700)=0,"",LOOKUP(2,1/(人給データ!$B$2:$B$700=$A207),人給データ!$C$2:$C$700)),""))</f>
        <v/>
      </c>
      <c r="C207">
        <f>IF($A207="","",IFERROR(IF(LOOKUP(2,1/(人給データ!$B$2:$B$700=$A207),人給データ!$G$2:$G$700)=0,"",LOOKUP(2,1/(人給データ!$B$2:$B$700=$A207),人給データ!$G$2:$G$700)),""))</f>
        <v/>
      </c>
      <c r="D207">
        <f>IF($A207="","",IFERROR(IF(LOOKUP(2,1/(人給データ!$B$2:$B$700=$A207),人給データ!$Y$2:$Y$700)=0,"",LOOKUP(2,1/(人給データ!$B$2:$B$700=$A207),人給データ!$Y$2:$Y$700)),""))</f>
        <v/>
      </c>
      <c r="E207" s="20">
        <f>IF($A207="","",IFERROR(IF(LOOKUP(2,1/(人給データ!$B$2:$B$700=$A207),人給データ!$AB$2:$AB$700)=0,"",LOOKUP(2,1/(人給データ!$B$2:$B$700=$A207),人給データ!$AB$2:$AB$700)),""))</f>
        <v/>
      </c>
      <c r="F207" s="16">
        <f>IF(OR(E207="",NOT(ISNUMBER(E207))),"",DATE(YEAR(E207)+2,MONTH(E207),DAY(E207)-2))</f>
        <v/>
      </c>
      <c r="G207" s="20">
        <f>IF($A207="","",IFERROR(IF(LOOKUP(2,1/(人給データ!$B$2:$B$700=$A207),人給データ!$J$2:$J$700)=0,"",LOOKUP(2,1/(人給データ!$B$2:$B$700=$A207),人給データ!$J$2:$J$700)),""))</f>
        <v/>
      </c>
      <c r="H207" s="20">
        <f>IF($A207="","",IFERROR(IF(LOOKUP(2,1/(人給データ!$B$2:$B$700=$A207),人給データ!$K$2:$K$700)=0,"",LOOKUP(2,1/(人給データ!$B$2:$B$700=$A207),人給データ!$K$2:$K$700)),""))</f>
        <v/>
      </c>
      <c r="I207" s="12" t="n"/>
      <c r="J207">
        <f>IF($A207="","",IFERROR(IF(LOOKUP(2,1/(人給データ!$B$2:$B$700=$A207),人給データ!$N$2:$N$700)=0,"",LOOKUP(2,1/(人給データ!$B$2:$B$700=$A207),人給データ!$N$2:$N$700)),""))</f>
        <v/>
      </c>
      <c r="K207" s="13" t="n"/>
      <c r="L207" s="12" t="n"/>
      <c r="M207" s="12" t="n"/>
      <c r="N207" s="11" t="n"/>
      <c r="O207" s="11" t="n"/>
      <c r="P207" s="14">
        <f>IF(AND(M207&lt;&gt;"",O207=""),"保留中","")</f>
        <v/>
      </c>
      <c r="Q207" s="14">
        <f>IF(P207="保留中",COUNTIF(P$6:P207,"保留中"),"")</f>
        <v/>
      </c>
    </row>
    <row r="208">
      <c r="A208" s="12" t="n"/>
      <c r="B208">
        <f>IF($A208="","",IFERROR(IF(LOOKUP(2,1/(人給データ!$B$2:$B$700=$A208),人給データ!$C$2:$C$700)=0,"",LOOKUP(2,1/(人給データ!$B$2:$B$700=$A208),人給データ!$C$2:$C$700)),""))</f>
        <v/>
      </c>
      <c r="C208">
        <f>IF($A208="","",IFERROR(IF(LOOKUP(2,1/(人給データ!$B$2:$B$700=$A208),人給データ!$G$2:$G$700)=0,"",LOOKUP(2,1/(人給データ!$B$2:$B$700=$A208),人給データ!$G$2:$G$700)),""))</f>
        <v/>
      </c>
      <c r="D208">
        <f>IF($A208="","",IFERROR(IF(LOOKUP(2,1/(人給データ!$B$2:$B$700=$A208),人給データ!$Y$2:$Y$700)=0,"",LOOKUP(2,1/(人給データ!$B$2:$B$700=$A208),人給データ!$Y$2:$Y$700)),""))</f>
        <v/>
      </c>
      <c r="E208" s="20">
        <f>IF($A208="","",IFERROR(IF(LOOKUP(2,1/(人給データ!$B$2:$B$700=$A208),人給データ!$AB$2:$AB$700)=0,"",LOOKUP(2,1/(人給データ!$B$2:$B$700=$A208),人給データ!$AB$2:$AB$700)),""))</f>
        <v/>
      </c>
      <c r="F208" s="16">
        <f>IF(OR(E208="",NOT(ISNUMBER(E208))),"",DATE(YEAR(E208)+2,MONTH(E208),DAY(E208)-2))</f>
        <v/>
      </c>
      <c r="G208" s="20">
        <f>IF($A208="","",IFERROR(IF(LOOKUP(2,1/(人給データ!$B$2:$B$700=$A208),人給データ!$J$2:$J$700)=0,"",LOOKUP(2,1/(人給データ!$B$2:$B$700=$A208),人給データ!$J$2:$J$700)),""))</f>
        <v/>
      </c>
      <c r="H208" s="20">
        <f>IF($A208="","",IFERROR(IF(LOOKUP(2,1/(人給データ!$B$2:$B$700=$A208),人給データ!$K$2:$K$700)=0,"",LOOKUP(2,1/(人給データ!$B$2:$B$700=$A208),人給データ!$K$2:$K$700)),""))</f>
        <v/>
      </c>
      <c r="I208" s="12" t="n"/>
      <c r="J208">
        <f>IF($A208="","",IFERROR(IF(LOOKUP(2,1/(人給データ!$B$2:$B$700=$A208),人給データ!$N$2:$N$700)=0,"",LOOKUP(2,1/(人給データ!$B$2:$B$700=$A208),人給データ!$N$2:$N$700)),""))</f>
        <v/>
      </c>
      <c r="K208" s="13" t="n"/>
      <c r="L208" s="12" t="n"/>
      <c r="M208" s="12" t="n"/>
      <c r="N208" s="11" t="n"/>
      <c r="O208" s="11" t="n"/>
      <c r="P208" s="14">
        <f>IF(AND(M208&lt;&gt;"",O208=""),"保留中","")</f>
        <v/>
      </c>
      <c r="Q208" s="14">
        <f>IF(P208="保留中",COUNTIF(P$6:P208,"保留中"),"")</f>
        <v/>
      </c>
    </row>
    <row r="209">
      <c r="A209" s="12" t="n"/>
      <c r="B209">
        <f>IF($A209="","",IFERROR(IF(LOOKUP(2,1/(人給データ!$B$2:$B$700=$A209),人給データ!$C$2:$C$700)=0,"",LOOKUP(2,1/(人給データ!$B$2:$B$700=$A209),人給データ!$C$2:$C$700)),""))</f>
        <v/>
      </c>
      <c r="C209">
        <f>IF($A209="","",IFERROR(IF(LOOKUP(2,1/(人給データ!$B$2:$B$700=$A209),人給データ!$G$2:$G$700)=0,"",LOOKUP(2,1/(人給データ!$B$2:$B$700=$A209),人給データ!$G$2:$G$700)),""))</f>
        <v/>
      </c>
      <c r="D209">
        <f>IF($A209="","",IFERROR(IF(LOOKUP(2,1/(人給データ!$B$2:$B$700=$A209),人給データ!$Y$2:$Y$700)=0,"",LOOKUP(2,1/(人給データ!$B$2:$B$700=$A209),人給データ!$Y$2:$Y$700)),""))</f>
        <v/>
      </c>
      <c r="E209" s="20">
        <f>IF($A209="","",IFERROR(IF(LOOKUP(2,1/(人給データ!$B$2:$B$700=$A209),人給データ!$AB$2:$AB$700)=0,"",LOOKUP(2,1/(人給データ!$B$2:$B$700=$A209),人給データ!$AB$2:$AB$700)),""))</f>
        <v/>
      </c>
      <c r="F209" s="16">
        <f>IF(OR(E209="",NOT(ISNUMBER(E209))),"",DATE(YEAR(E209)+2,MONTH(E209),DAY(E209)-2))</f>
        <v/>
      </c>
      <c r="G209" s="20">
        <f>IF($A209="","",IFERROR(IF(LOOKUP(2,1/(人給データ!$B$2:$B$700=$A209),人給データ!$J$2:$J$700)=0,"",LOOKUP(2,1/(人給データ!$B$2:$B$700=$A209),人給データ!$J$2:$J$700)),""))</f>
        <v/>
      </c>
      <c r="H209" s="20">
        <f>IF($A209="","",IFERROR(IF(LOOKUP(2,1/(人給データ!$B$2:$B$700=$A209),人給データ!$K$2:$K$700)=0,"",LOOKUP(2,1/(人給データ!$B$2:$B$700=$A209),人給データ!$K$2:$K$700)),""))</f>
        <v/>
      </c>
      <c r="I209" s="12" t="n"/>
      <c r="J209">
        <f>IF($A209="","",IFERROR(IF(LOOKUP(2,1/(人給データ!$B$2:$B$700=$A209),人給データ!$N$2:$N$700)=0,"",LOOKUP(2,1/(人給データ!$B$2:$B$700=$A209),人給データ!$N$2:$N$700)),""))</f>
        <v/>
      </c>
      <c r="K209" s="13" t="n"/>
      <c r="L209" s="12" t="n"/>
      <c r="M209" s="12" t="n"/>
      <c r="N209" s="11" t="n"/>
      <c r="O209" s="11" t="n"/>
      <c r="P209" s="14">
        <f>IF(AND(M209&lt;&gt;"",O209=""),"保留中","")</f>
        <v/>
      </c>
      <c r="Q209" s="14">
        <f>IF(P209="保留中",COUNTIF(P$6:P209,"保留中"),"")</f>
        <v/>
      </c>
    </row>
    <row r="210">
      <c r="A210" s="12" t="n"/>
      <c r="B210">
        <f>IF($A210="","",IFERROR(IF(LOOKUP(2,1/(人給データ!$B$2:$B$700=$A210),人給データ!$C$2:$C$700)=0,"",LOOKUP(2,1/(人給データ!$B$2:$B$700=$A210),人給データ!$C$2:$C$700)),""))</f>
        <v/>
      </c>
      <c r="C210">
        <f>IF($A210="","",IFERROR(IF(LOOKUP(2,1/(人給データ!$B$2:$B$700=$A210),人給データ!$G$2:$G$700)=0,"",LOOKUP(2,1/(人給データ!$B$2:$B$700=$A210),人給データ!$G$2:$G$700)),""))</f>
        <v/>
      </c>
      <c r="D210">
        <f>IF($A210="","",IFERROR(IF(LOOKUP(2,1/(人給データ!$B$2:$B$700=$A210),人給データ!$Y$2:$Y$700)=0,"",LOOKUP(2,1/(人給データ!$B$2:$B$700=$A210),人給データ!$Y$2:$Y$700)),""))</f>
        <v/>
      </c>
      <c r="E210" s="20">
        <f>IF($A210="","",IFERROR(IF(LOOKUP(2,1/(人給データ!$B$2:$B$700=$A210),人給データ!$AB$2:$AB$700)=0,"",LOOKUP(2,1/(人給データ!$B$2:$B$700=$A210),人給データ!$AB$2:$AB$700)),""))</f>
        <v/>
      </c>
      <c r="F210" s="16">
        <f>IF(OR(E210="",NOT(ISNUMBER(E210))),"",DATE(YEAR(E210)+2,MONTH(E210),DAY(E210)-2))</f>
        <v/>
      </c>
      <c r="G210" s="20">
        <f>IF($A210="","",IFERROR(IF(LOOKUP(2,1/(人給データ!$B$2:$B$700=$A210),人給データ!$J$2:$J$700)=0,"",LOOKUP(2,1/(人給データ!$B$2:$B$700=$A210),人給データ!$J$2:$J$700)),""))</f>
        <v/>
      </c>
      <c r="H210" s="20">
        <f>IF($A210="","",IFERROR(IF(LOOKUP(2,1/(人給データ!$B$2:$B$700=$A210),人給データ!$K$2:$K$700)=0,"",LOOKUP(2,1/(人給データ!$B$2:$B$700=$A210),人給データ!$K$2:$K$700)),""))</f>
        <v/>
      </c>
      <c r="I210" s="12" t="n"/>
      <c r="J210">
        <f>IF($A210="","",IFERROR(IF(LOOKUP(2,1/(人給データ!$B$2:$B$700=$A210),人給データ!$N$2:$N$700)=0,"",LOOKUP(2,1/(人給データ!$B$2:$B$700=$A210),人給データ!$N$2:$N$700)),""))</f>
        <v/>
      </c>
      <c r="K210" s="13" t="n"/>
      <c r="L210" s="12" t="n"/>
      <c r="M210" s="12" t="n"/>
      <c r="N210" s="11" t="n"/>
      <c r="O210" s="11" t="n"/>
      <c r="P210" s="14">
        <f>IF(AND(M210&lt;&gt;"",O210=""),"保留中","")</f>
        <v/>
      </c>
      <c r="Q210" s="14">
        <f>IF(P210="保留中",COUNTIF(P$6:P210,"保留中"),"")</f>
        <v/>
      </c>
    </row>
    <row r="211">
      <c r="A211" s="12" t="n"/>
      <c r="B211">
        <f>IF($A211="","",IFERROR(IF(LOOKUP(2,1/(人給データ!$B$2:$B$700=$A211),人給データ!$C$2:$C$700)=0,"",LOOKUP(2,1/(人給データ!$B$2:$B$700=$A211),人給データ!$C$2:$C$700)),""))</f>
        <v/>
      </c>
      <c r="C211">
        <f>IF($A211="","",IFERROR(IF(LOOKUP(2,1/(人給データ!$B$2:$B$700=$A211),人給データ!$G$2:$G$700)=0,"",LOOKUP(2,1/(人給データ!$B$2:$B$700=$A211),人給データ!$G$2:$G$700)),""))</f>
        <v/>
      </c>
      <c r="D211">
        <f>IF($A211="","",IFERROR(IF(LOOKUP(2,1/(人給データ!$B$2:$B$700=$A211),人給データ!$Y$2:$Y$700)=0,"",LOOKUP(2,1/(人給データ!$B$2:$B$700=$A211),人給データ!$Y$2:$Y$700)),""))</f>
        <v/>
      </c>
      <c r="E211" s="20">
        <f>IF($A211="","",IFERROR(IF(LOOKUP(2,1/(人給データ!$B$2:$B$700=$A211),人給データ!$AB$2:$AB$700)=0,"",LOOKUP(2,1/(人給データ!$B$2:$B$700=$A211),人給データ!$AB$2:$AB$700)),""))</f>
        <v/>
      </c>
      <c r="F211" s="16">
        <f>IF(OR(E211="",NOT(ISNUMBER(E211))),"",DATE(YEAR(E211)+2,MONTH(E211),DAY(E211)-2))</f>
        <v/>
      </c>
      <c r="G211" s="20">
        <f>IF($A211="","",IFERROR(IF(LOOKUP(2,1/(人給データ!$B$2:$B$700=$A211),人給データ!$J$2:$J$700)=0,"",LOOKUP(2,1/(人給データ!$B$2:$B$700=$A211),人給データ!$J$2:$J$700)),""))</f>
        <v/>
      </c>
      <c r="H211" s="20">
        <f>IF($A211="","",IFERROR(IF(LOOKUP(2,1/(人給データ!$B$2:$B$700=$A211),人給データ!$K$2:$K$700)=0,"",LOOKUP(2,1/(人給データ!$B$2:$B$700=$A211),人給データ!$K$2:$K$700)),""))</f>
        <v/>
      </c>
      <c r="I211" s="12" t="n"/>
      <c r="J211">
        <f>IF($A211="","",IFERROR(IF(LOOKUP(2,1/(人給データ!$B$2:$B$700=$A211),人給データ!$N$2:$N$700)=0,"",LOOKUP(2,1/(人給データ!$B$2:$B$700=$A211),人給データ!$N$2:$N$700)),""))</f>
        <v/>
      </c>
      <c r="K211" s="13" t="n"/>
      <c r="L211" s="12" t="n"/>
      <c r="M211" s="12" t="n"/>
      <c r="N211" s="11" t="n"/>
      <c r="O211" s="11" t="n"/>
      <c r="P211" s="14">
        <f>IF(AND(M211&lt;&gt;"",O211=""),"保留中","")</f>
        <v/>
      </c>
      <c r="Q211" s="14">
        <f>IF(P211="保留中",COUNTIF(P$6:P211,"保留中"),"")</f>
        <v/>
      </c>
    </row>
    <row r="212">
      <c r="A212" s="12" t="n"/>
      <c r="B212">
        <f>IF($A212="","",IFERROR(IF(LOOKUP(2,1/(人給データ!$B$2:$B$700=$A212),人給データ!$C$2:$C$700)=0,"",LOOKUP(2,1/(人給データ!$B$2:$B$700=$A212),人給データ!$C$2:$C$700)),""))</f>
        <v/>
      </c>
      <c r="C212">
        <f>IF($A212="","",IFERROR(IF(LOOKUP(2,1/(人給データ!$B$2:$B$700=$A212),人給データ!$G$2:$G$700)=0,"",LOOKUP(2,1/(人給データ!$B$2:$B$700=$A212),人給データ!$G$2:$G$700)),""))</f>
        <v/>
      </c>
      <c r="D212">
        <f>IF($A212="","",IFERROR(IF(LOOKUP(2,1/(人給データ!$B$2:$B$700=$A212),人給データ!$Y$2:$Y$700)=0,"",LOOKUP(2,1/(人給データ!$B$2:$B$700=$A212),人給データ!$Y$2:$Y$700)),""))</f>
        <v/>
      </c>
      <c r="E212" s="20">
        <f>IF($A212="","",IFERROR(IF(LOOKUP(2,1/(人給データ!$B$2:$B$700=$A212),人給データ!$AB$2:$AB$700)=0,"",LOOKUP(2,1/(人給データ!$B$2:$B$700=$A212),人給データ!$AB$2:$AB$700)),""))</f>
        <v/>
      </c>
      <c r="F212" s="16">
        <f>IF(OR(E212="",NOT(ISNUMBER(E212))),"",DATE(YEAR(E212)+2,MONTH(E212),DAY(E212)-2))</f>
        <v/>
      </c>
      <c r="G212" s="20">
        <f>IF($A212="","",IFERROR(IF(LOOKUP(2,1/(人給データ!$B$2:$B$700=$A212),人給データ!$J$2:$J$700)=0,"",LOOKUP(2,1/(人給データ!$B$2:$B$700=$A212),人給データ!$J$2:$J$700)),""))</f>
        <v/>
      </c>
      <c r="H212" s="20">
        <f>IF($A212="","",IFERROR(IF(LOOKUP(2,1/(人給データ!$B$2:$B$700=$A212),人給データ!$K$2:$K$700)=0,"",LOOKUP(2,1/(人給データ!$B$2:$B$700=$A212),人給データ!$K$2:$K$700)),""))</f>
        <v/>
      </c>
      <c r="I212" s="12" t="n"/>
      <c r="J212">
        <f>IF($A212="","",IFERROR(IF(LOOKUP(2,1/(人給データ!$B$2:$B$700=$A212),人給データ!$N$2:$N$700)=0,"",LOOKUP(2,1/(人給データ!$B$2:$B$700=$A212),人給データ!$N$2:$N$700)),""))</f>
        <v/>
      </c>
      <c r="K212" s="13" t="n"/>
      <c r="L212" s="12" t="n"/>
      <c r="M212" s="12" t="n"/>
      <c r="N212" s="11" t="n"/>
      <c r="O212" s="11" t="n"/>
      <c r="P212" s="14">
        <f>IF(AND(M212&lt;&gt;"",O212=""),"保留中","")</f>
        <v/>
      </c>
      <c r="Q212" s="14">
        <f>IF(P212="保留中",COUNTIF(P$6:P212,"保留中"),"")</f>
        <v/>
      </c>
    </row>
    <row r="213">
      <c r="A213" s="12" t="n"/>
      <c r="B213">
        <f>IF($A213="","",IFERROR(IF(LOOKUP(2,1/(人給データ!$B$2:$B$700=$A213),人給データ!$C$2:$C$700)=0,"",LOOKUP(2,1/(人給データ!$B$2:$B$700=$A213),人給データ!$C$2:$C$700)),""))</f>
        <v/>
      </c>
      <c r="C213">
        <f>IF($A213="","",IFERROR(IF(LOOKUP(2,1/(人給データ!$B$2:$B$700=$A213),人給データ!$G$2:$G$700)=0,"",LOOKUP(2,1/(人給データ!$B$2:$B$700=$A213),人給データ!$G$2:$G$700)),""))</f>
        <v/>
      </c>
      <c r="D213">
        <f>IF($A213="","",IFERROR(IF(LOOKUP(2,1/(人給データ!$B$2:$B$700=$A213),人給データ!$Y$2:$Y$700)=0,"",LOOKUP(2,1/(人給データ!$B$2:$B$700=$A213),人給データ!$Y$2:$Y$700)),""))</f>
        <v/>
      </c>
      <c r="E213" s="20">
        <f>IF($A213="","",IFERROR(IF(LOOKUP(2,1/(人給データ!$B$2:$B$700=$A213),人給データ!$AB$2:$AB$700)=0,"",LOOKUP(2,1/(人給データ!$B$2:$B$700=$A213),人給データ!$AB$2:$AB$700)),""))</f>
        <v/>
      </c>
      <c r="F213" s="16">
        <f>IF(OR(E213="",NOT(ISNUMBER(E213))),"",DATE(YEAR(E213)+2,MONTH(E213),DAY(E213)-2))</f>
        <v/>
      </c>
      <c r="G213" s="20">
        <f>IF($A213="","",IFERROR(IF(LOOKUP(2,1/(人給データ!$B$2:$B$700=$A213),人給データ!$J$2:$J$700)=0,"",LOOKUP(2,1/(人給データ!$B$2:$B$700=$A213),人給データ!$J$2:$J$700)),""))</f>
        <v/>
      </c>
      <c r="H213" s="20">
        <f>IF($A213="","",IFERROR(IF(LOOKUP(2,1/(人給データ!$B$2:$B$700=$A213),人給データ!$K$2:$K$700)=0,"",LOOKUP(2,1/(人給データ!$B$2:$B$700=$A213),人給データ!$K$2:$K$700)),""))</f>
        <v/>
      </c>
      <c r="I213" s="12" t="n"/>
      <c r="J213">
        <f>IF($A213="","",IFERROR(IF(LOOKUP(2,1/(人給データ!$B$2:$B$700=$A213),人給データ!$N$2:$N$700)=0,"",LOOKUP(2,1/(人給データ!$B$2:$B$700=$A213),人給データ!$N$2:$N$700)),""))</f>
        <v/>
      </c>
      <c r="K213" s="13" t="n"/>
      <c r="L213" s="12" t="n"/>
      <c r="M213" s="12" t="n"/>
      <c r="N213" s="11" t="n"/>
      <c r="O213" s="11" t="n"/>
      <c r="P213" s="14">
        <f>IF(AND(M213&lt;&gt;"",O213=""),"保留中","")</f>
        <v/>
      </c>
      <c r="Q213" s="14">
        <f>IF(P213="保留中",COUNTIF(P$6:P213,"保留中"),"")</f>
        <v/>
      </c>
    </row>
    <row r="214">
      <c r="A214" s="12" t="n"/>
      <c r="B214">
        <f>IF($A214="","",IFERROR(IF(LOOKUP(2,1/(人給データ!$B$2:$B$700=$A214),人給データ!$C$2:$C$700)=0,"",LOOKUP(2,1/(人給データ!$B$2:$B$700=$A214),人給データ!$C$2:$C$700)),""))</f>
        <v/>
      </c>
      <c r="C214">
        <f>IF($A214="","",IFERROR(IF(LOOKUP(2,1/(人給データ!$B$2:$B$700=$A214),人給データ!$G$2:$G$700)=0,"",LOOKUP(2,1/(人給データ!$B$2:$B$700=$A214),人給データ!$G$2:$G$700)),""))</f>
        <v/>
      </c>
      <c r="D214">
        <f>IF($A214="","",IFERROR(IF(LOOKUP(2,1/(人給データ!$B$2:$B$700=$A214),人給データ!$Y$2:$Y$700)=0,"",LOOKUP(2,1/(人給データ!$B$2:$B$700=$A214),人給データ!$Y$2:$Y$700)),""))</f>
        <v/>
      </c>
      <c r="E214" s="20">
        <f>IF($A214="","",IFERROR(IF(LOOKUP(2,1/(人給データ!$B$2:$B$700=$A214),人給データ!$AB$2:$AB$700)=0,"",LOOKUP(2,1/(人給データ!$B$2:$B$700=$A214),人給データ!$AB$2:$AB$700)),""))</f>
        <v/>
      </c>
      <c r="F214" s="16">
        <f>IF(OR(E214="",NOT(ISNUMBER(E214))),"",DATE(YEAR(E214)+2,MONTH(E214),DAY(E214)-2))</f>
        <v/>
      </c>
      <c r="G214" s="20">
        <f>IF($A214="","",IFERROR(IF(LOOKUP(2,1/(人給データ!$B$2:$B$700=$A214),人給データ!$J$2:$J$700)=0,"",LOOKUP(2,1/(人給データ!$B$2:$B$700=$A214),人給データ!$J$2:$J$700)),""))</f>
        <v/>
      </c>
      <c r="H214" s="20">
        <f>IF($A214="","",IFERROR(IF(LOOKUP(2,1/(人給データ!$B$2:$B$700=$A214),人給データ!$K$2:$K$700)=0,"",LOOKUP(2,1/(人給データ!$B$2:$B$700=$A214),人給データ!$K$2:$K$700)),""))</f>
        <v/>
      </c>
      <c r="I214" s="12" t="n"/>
      <c r="J214">
        <f>IF($A214="","",IFERROR(IF(LOOKUP(2,1/(人給データ!$B$2:$B$700=$A214),人給データ!$N$2:$N$700)=0,"",LOOKUP(2,1/(人給データ!$B$2:$B$700=$A214),人給データ!$N$2:$N$700)),""))</f>
        <v/>
      </c>
      <c r="K214" s="13" t="n"/>
      <c r="L214" s="12" t="n"/>
      <c r="M214" s="12" t="n"/>
      <c r="N214" s="11" t="n"/>
      <c r="O214" s="11" t="n"/>
      <c r="P214" s="14">
        <f>IF(AND(M214&lt;&gt;"",O214=""),"保留中","")</f>
        <v/>
      </c>
      <c r="Q214" s="14">
        <f>IF(P214="保留中",COUNTIF(P$6:P214,"保留中"),"")</f>
        <v/>
      </c>
    </row>
    <row r="215">
      <c r="A215" s="12" t="n"/>
      <c r="B215">
        <f>IF($A215="","",IFERROR(IF(LOOKUP(2,1/(人給データ!$B$2:$B$700=$A215),人給データ!$C$2:$C$700)=0,"",LOOKUP(2,1/(人給データ!$B$2:$B$700=$A215),人給データ!$C$2:$C$700)),""))</f>
        <v/>
      </c>
      <c r="C215">
        <f>IF($A215="","",IFERROR(IF(LOOKUP(2,1/(人給データ!$B$2:$B$700=$A215),人給データ!$G$2:$G$700)=0,"",LOOKUP(2,1/(人給データ!$B$2:$B$700=$A215),人給データ!$G$2:$G$700)),""))</f>
        <v/>
      </c>
      <c r="D215">
        <f>IF($A215="","",IFERROR(IF(LOOKUP(2,1/(人給データ!$B$2:$B$700=$A215),人給データ!$Y$2:$Y$700)=0,"",LOOKUP(2,1/(人給データ!$B$2:$B$700=$A215),人給データ!$Y$2:$Y$700)),""))</f>
        <v/>
      </c>
      <c r="E215" s="20">
        <f>IF($A215="","",IFERROR(IF(LOOKUP(2,1/(人給データ!$B$2:$B$700=$A215),人給データ!$AB$2:$AB$700)=0,"",LOOKUP(2,1/(人給データ!$B$2:$B$700=$A215),人給データ!$AB$2:$AB$700)),""))</f>
        <v/>
      </c>
      <c r="F215" s="16">
        <f>IF(OR(E215="",NOT(ISNUMBER(E215))),"",DATE(YEAR(E215)+2,MONTH(E215),DAY(E215)-2))</f>
        <v/>
      </c>
      <c r="G215" s="20">
        <f>IF($A215="","",IFERROR(IF(LOOKUP(2,1/(人給データ!$B$2:$B$700=$A215),人給データ!$J$2:$J$700)=0,"",LOOKUP(2,1/(人給データ!$B$2:$B$700=$A215),人給データ!$J$2:$J$700)),""))</f>
        <v/>
      </c>
      <c r="H215" s="20">
        <f>IF($A215="","",IFERROR(IF(LOOKUP(2,1/(人給データ!$B$2:$B$700=$A215),人給データ!$K$2:$K$700)=0,"",LOOKUP(2,1/(人給データ!$B$2:$B$700=$A215),人給データ!$K$2:$K$700)),""))</f>
        <v/>
      </c>
      <c r="I215" s="12" t="n"/>
      <c r="J215">
        <f>IF($A215="","",IFERROR(IF(LOOKUP(2,1/(人給データ!$B$2:$B$700=$A215),人給データ!$N$2:$N$700)=0,"",LOOKUP(2,1/(人給データ!$B$2:$B$700=$A215),人給データ!$N$2:$N$700)),""))</f>
        <v/>
      </c>
      <c r="K215" s="13" t="n"/>
      <c r="L215" s="12" t="n"/>
      <c r="M215" s="12" t="n"/>
      <c r="N215" s="11" t="n"/>
      <c r="O215" s="11" t="n"/>
      <c r="P215" s="14">
        <f>IF(AND(M215&lt;&gt;"",O215=""),"保留中","")</f>
        <v/>
      </c>
      <c r="Q215" s="14">
        <f>IF(P215="保留中",COUNTIF(P$6:P215,"保留中"),"")</f>
        <v/>
      </c>
    </row>
    <row r="216">
      <c r="A216" s="12" t="n"/>
      <c r="B216">
        <f>IF($A216="","",IFERROR(IF(LOOKUP(2,1/(人給データ!$B$2:$B$700=$A216),人給データ!$C$2:$C$700)=0,"",LOOKUP(2,1/(人給データ!$B$2:$B$700=$A216),人給データ!$C$2:$C$700)),""))</f>
        <v/>
      </c>
      <c r="C216">
        <f>IF($A216="","",IFERROR(IF(LOOKUP(2,1/(人給データ!$B$2:$B$700=$A216),人給データ!$G$2:$G$700)=0,"",LOOKUP(2,1/(人給データ!$B$2:$B$700=$A216),人給データ!$G$2:$G$700)),""))</f>
        <v/>
      </c>
      <c r="D216">
        <f>IF($A216="","",IFERROR(IF(LOOKUP(2,1/(人給データ!$B$2:$B$700=$A216),人給データ!$Y$2:$Y$700)=0,"",LOOKUP(2,1/(人給データ!$B$2:$B$700=$A216),人給データ!$Y$2:$Y$700)),""))</f>
        <v/>
      </c>
      <c r="E216" s="20">
        <f>IF($A216="","",IFERROR(IF(LOOKUP(2,1/(人給データ!$B$2:$B$700=$A216),人給データ!$AB$2:$AB$700)=0,"",LOOKUP(2,1/(人給データ!$B$2:$B$700=$A216),人給データ!$AB$2:$AB$700)),""))</f>
        <v/>
      </c>
      <c r="F216" s="16">
        <f>IF(OR(E216="",NOT(ISNUMBER(E216))),"",DATE(YEAR(E216)+2,MONTH(E216),DAY(E216)-2))</f>
        <v/>
      </c>
      <c r="G216" s="20">
        <f>IF($A216="","",IFERROR(IF(LOOKUP(2,1/(人給データ!$B$2:$B$700=$A216),人給データ!$J$2:$J$700)=0,"",LOOKUP(2,1/(人給データ!$B$2:$B$700=$A216),人給データ!$J$2:$J$700)),""))</f>
        <v/>
      </c>
      <c r="H216" s="20">
        <f>IF($A216="","",IFERROR(IF(LOOKUP(2,1/(人給データ!$B$2:$B$700=$A216),人給データ!$K$2:$K$700)=0,"",LOOKUP(2,1/(人給データ!$B$2:$B$700=$A216),人給データ!$K$2:$K$700)),""))</f>
        <v/>
      </c>
      <c r="I216" s="12" t="n"/>
      <c r="J216">
        <f>IF($A216="","",IFERROR(IF(LOOKUP(2,1/(人給データ!$B$2:$B$700=$A216),人給データ!$N$2:$N$700)=0,"",LOOKUP(2,1/(人給データ!$B$2:$B$700=$A216),人給データ!$N$2:$N$700)),""))</f>
        <v/>
      </c>
      <c r="K216" s="13" t="n"/>
      <c r="L216" s="12" t="n"/>
      <c r="M216" s="12" t="n"/>
      <c r="N216" s="11" t="n"/>
      <c r="O216" s="11" t="n"/>
      <c r="P216" s="14">
        <f>IF(AND(M216&lt;&gt;"",O216=""),"保留中","")</f>
        <v/>
      </c>
      <c r="Q216" s="14">
        <f>IF(P216="保留中",COUNTIF(P$6:P216,"保留中"),"")</f>
        <v/>
      </c>
    </row>
    <row r="217">
      <c r="A217" s="12" t="n"/>
      <c r="B217">
        <f>IF($A217="","",IFERROR(IF(LOOKUP(2,1/(人給データ!$B$2:$B$700=$A217),人給データ!$C$2:$C$700)=0,"",LOOKUP(2,1/(人給データ!$B$2:$B$700=$A217),人給データ!$C$2:$C$700)),""))</f>
        <v/>
      </c>
      <c r="C217">
        <f>IF($A217="","",IFERROR(IF(LOOKUP(2,1/(人給データ!$B$2:$B$700=$A217),人給データ!$G$2:$G$700)=0,"",LOOKUP(2,1/(人給データ!$B$2:$B$700=$A217),人給データ!$G$2:$G$700)),""))</f>
        <v/>
      </c>
      <c r="D217">
        <f>IF($A217="","",IFERROR(IF(LOOKUP(2,1/(人給データ!$B$2:$B$700=$A217),人給データ!$Y$2:$Y$700)=0,"",LOOKUP(2,1/(人給データ!$B$2:$B$700=$A217),人給データ!$Y$2:$Y$700)),""))</f>
        <v/>
      </c>
      <c r="E217" s="20">
        <f>IF($A217="","",IFERROR(IF(LOOKUP(2,1/(人給データ!$B$2:$B$700=$A217),人給データ!$AB$2:$AB$700)=0,"",LOOKUP(2,1/(人給データ!$B$2:$B$700=$A217),人給データ!$AB$2:$AB$700)),""))</f>
        <v/>
      </c>
      <c r="F217" s="16">
        <f>IF(OR(E217="",NOT(ISNUMBER(E217))),"",DATE(YEAR(E217)+2,MONTH(E217),DAY(E217)-2))</f>
        <v/>
      </c>
      <c r="G217" s="20">
        <f>IF($A217="","",IFERROR(IF(LOOKUP(2,1/(人給データ!$B$2:$B$700=$A217),人給データ!$J$2:$J$700)=0,"",LOOKUP(2,1/(人給データ!$B$2:$B$700=$A217),人給データ!$J$2:$J$700)),""))</f>
        <v/>
      </c>
      <c r="H217" s="20">
        <f>IF($A217="","",IFERROR(IF(LOOKUP(2,1/(人給データ!$B$2:$B$700=$A217),人給データ!$K$2:$K$700)=0,"",LOOKUP(2,1/(人給データ!$B$2:$B$700=$A217),人給データ!$K$2:$K$700)),""))</f>
        <v/>
      </c>
      <c r="I217" s="12" t="n"/>
      <c r="J217">
        <f>IF($A217="","",IFERROR(IF(LOOKUP(2,1/(人給データ!$B$2:$B$700=$A217),人給データ!$N$2:$N$700)=0,"",LOOKUP(2,1/(人給データ!$B$2:$B$700=$A217),人給データ!$N$2:$N$700)),""))</f>
        <v/>
      </c>
      <c r="K217" s="13" t="n"/>
      <c r="L217" s="12" t="n"/>
      <c r="M217" s="12" t="n"/>
      <c r="N217" s="11" t="n"/>
      <c r="O217" s="11" t="n"/>
      <c r="P217" s="14">
        <f>IF(AND(M217&lt;&gt;"",O217=""),"保留中","")</f>
        <v/>
      </c>
      <c r="Q217" s="14">
        <f>IF(P217="保留中",COUNTIF(P$6:P217,"保留中"),"")</f>
        <v/>
      </c>
    </row>
    <row r="218">
      <c r="A218" s="12" t="n"/>
      <c r="B218">
        <f>IF($A218="","",IFERROR(IF(LOOKUP(2,1/(人給データ!$B$2:$B$700=$A218),人給データ!$C$2:$C$700)=0,"",LOOKUP(2,1/(人給データ!$B$2:$B$700=$A218),人給データ!$C$2:$C$700)),""))</f>
        <v/>
      </c>
      <c r="C218">
        <f>IF($A218="","",IFERROR(IF(LOOKUP(2,1/(人給データ!$B$2:$B$700=$A218),人給データ!$G$2:$G$700)=0,"",LOOKUP(2,1/(人給データ!$B$2:$B$700=$A218),人給データ!$G$2:$G$700)),""))</f>
        <v/>
      </c>
      <c r="D218">
        <f>IF($A218="","",IFERROR(IF(LOOKUP(2,1/(人給データ!$B$2:$B$700=$A218),人給データ!$Y$2:$Y$700)=0,"",LOOKUP(2,1/(人給データ!$B$2:$B$700=$A218),人給データ!$Y$2:$Y$700)),""))</f>
        <v/>
      </c>
      <c r="E218" s="20">
        <f>IF($A218="","",IFERROR(IF(LOOKUP(2,1/(人給データ!$B$2:$B$700=$A218),人給データ!$AB$2:$AB$700)=0,"",LOOKUP(2,1/(人給データ!$B$2:$B$700=$A218),人給データ!$AB$2:$AB$700)),""))</f>
        <v/>
      </c>
      <c r="F218" s="16">
        <f>IF(OR(E218="",NOT(ISNUMBER(E218))),"",DATE(YEAR(E218)+2,MONTH(E218),DAY(E218)-2))</f>
        <v/>
      </c>
      <c r="G218" s="20">
        <f>IF($A218="","",IFERROR(IF(LOOKUP(2,1/(人給データ!$B$2:$B$700=$A218),人給データ!$J$2:$J$700)=0,"",LOOKUP(2,1/(人給データ!$B$2:$B$700=$A218),人給データ!$J$2:$J$700)),""))</f>
        <v/>
      </c>
      <c r="H218" s="20">
        <f>IF($A218="","",IFERROR(IF(LOOKUP(2,1/(人給データ!$B$2:$B$700=$A218),人給データ!$K$2:$K$700)=0,"",LOOKUP(2,1/(人給データ!$B$2:$B$700=$A218),人給データ!$K$2:$K$700)),""))</f>
        <v/>
      </c>
      <c r="I218" s="12" t="n"/>
      <c r="J218">
        <f>IF($A218="","",IFERROR(IF(LOOKUP(2,1/(人給データ!$B$2:$B$700=$A218),人給データ!$N$2:$N$700)=0,"",LOOKUP(2,1/(人給データ!$B$2:$B$700=$A218),人給データ!$N$2:$N$700)),""))</f>
        <v/>
      </c>
      <c r="K218" s="13" t="n"/>
      <c r="L218" s="12" t="n"/>
      <c r="M218" s="12" t="n"/>
      <c r="N218" s="11" t="n"/>
      <c r="O218" s="11" t="n"/>
      <c r="P218" s="14">
        <f>IF(AND(M218&lt;&gt;"",O218=""),"保留中","")</f>
        <v/>
      </c>
      <c r="Q218" s="14">
        <f>IF(P218="保留中",COUNTIF(P$6:P218,"保留中"),"")</f>
        <v/>
      </c>
    </row>
    <row r="219">
      <c r="A219" s="12" t="n"/>
      <c r="B219">
        <f>IF($A219="","",IFERROR(IF(LOOKUP(2,1/(人給データ!$B$2:$B$700=$A219),人給データ!$C$2:$C$700)=0,"",LOOKUP(2,1/(人給データ!$B$2:$B$700=$A219),人給データ!$C$2:$C$700)),""))</f>
        <v/>
      </c>
      <c r="C219">
        <f>IF($A219="","",IFERROR(IF(LOOKUP(2,1/(人給データ!$B$2:$B$700=$A219),人給データ!$G$2:$G$700)=0,"",LOOKUP(2,1/(人給データ!$B$2:$B$700=$A219),人給データ!$G$2:$G$700)),""))</f>
        <v/>
      </c>
      <c r="D219">
        <f>IF($A219="","",IFERROR(IF(LOOKUP(2,1/(人給データ!$B$2:$B$700=$A219),人給データ!$Y$2:$Y$700)=0,"",LOOKUP(2,1/(人給データ!$B$2:$B$700=$A219),人給データ!$Y$2:$Y$700)),""))</f>
        <v/>
      </c>
      <c r="E219" s="20">
        <f>IF($A219="","",IFERROR(IF(LOOKUP(2,1/(人給データ!$B$2:$B$700=$A219),人給データ!$AB$2:$AB$700)=0,"",LOOKUP(2,1/(人給データ!$B$2:$B$700=$A219),人給データ!$AB$2:$AB$700)),""))</f>
        <v/>
      </c>
      <c r="F219" s="16">
        <f>IF(OR(E219="",NOT(ISNUMBER(E219))),"",DATE(YEAR(E219)+2,MONTH(E219),DAY(E219)-2))</f>
        <v/>
      </c>
      <c r="G219" s="20">
        <f>IF($A219="","",IFERROR(IF(LOOKUP(2,1/(人給データ!$B$2:$B$700=$A219),人給データ!$J$2:$J$700)=0,"",LOOKUP(2,1/(人給データ!$B$2:$B$700=$A219),人給データ!$J$2:$J$700)),""))</f>
        <v/>
      </c>
      <c r="H219" s="20">
        <f>IF($A219="","",IFERROR(IF(LOOKUP(2,1/(人給データ!$B$2:$B$700=$A219),人給データ!$K$2:$K$700)=0,"",LOOKUP(2,1/(人給データ!$B$2:$B$700=$A219),人給データ!$K$2:$K$700)),""))</f>
        <v/>
      </c>
      <c r="I219" s="12" t="n"/>
      <c r="J219">
        <f>IF($A219="","",IFERROR(IF(LOOKUP(2,1/(人給データ!$B$2:$B$700=$A219),人給データ!$N$2:$N$700)=0,"",LOOKUP(2,1/(人給データ!$B$2:$B$700=$A219),人給データ!$N$2:$N$700)),""))</f>
        <v/>
      </c>
      <c r="K219" s="13" t="n"/>
      <c r="L219" s="12" t="n"/>
      <c r="M219" s="12" t="n"/>
      <c r="N219" s="11" t="n"/>
      <c r="O219" s="11" t="n"/>
      <c r="P219" s="14">
        <f>IF(AND(M219&lt;&gt;"",O219=""),"保留中","")</f>
        <v/>
      </c>
      <c r="Q219" s="14">
        <f>IF(P219="保留中",COUNTIF(P$6:P219,"保留中"),"")</f>
        <v/>
      </c>
    </row>
    <row r="220">
      <c r="A220" s="12" t="n"/>
      <c r="B220">
        <f>IF($A220="","",IFERROR(IF(LOOKUP(2,1/(人給データ!$B$2:$B$700=$A220),人給データ!$C$2:$C$700)=0,"",LOOKUP(2,1/(人給データ!$B$2:$B$700=$A220),人給データ!$C$2:$C$700)),""))</f>
        <v/>
      </c>
      <c r="C220">
        <f>IF($A220="","",IFERROR(IF(LOOKUP(2,1/(人給データ!$B$2:$B$700=$A220),人給データ!$G$2:$G$700)=0,"",LOOKUP(2,1/(人給データ!$B$2:$B$700=$A220),人給データ!$G$2:$G$700)),""))</f>
        <v/>
      </c>
      <c r="D220">
        <f>IF($A220="","",IFERROR(IF(LOOKUP(2,1/(人給データ!$B$2:$B$700=$A220),人給データ!$Y$2:$Y$700)=0,"",LOOKUP(2,1/(人給データ!$B$2:$B$700=$A220),人給データ!$Y$2:$Y$700)),""))</f>
        <v/>
      </c>
      <c r="E220" s="20">
        <f>IF($A220="","",IFERROR(IF(LOOKUP(2,1/(人給データ!$B$2:$B$700=$A220),人給データ!$AB$2:$AB$700)=0,"",LOOKUP(2,1/(人給データ!$B$2:$B$700=$A220),人給データ!$AB$2:$AB$700)),""))</f>
        <v/>
      </c>
      <c r="F220" s="16">
        <f>IF(OR(E220="",NOT(ISNUMBER(E220))),"",DATE(YEAR(E220)+2,MONTH(E220),DAY(E220)-2))</f>
        <v/>
      </c>
      <c r="G220" s="20">
        <f>IF($A220="","",IFERROR(IF(LOOKUP(2,1/(人給データ!$B$2:$B$700=$A220),人給データ!$J$2:$J$700)=0,"",LOOKUP(2,1/(人給データ!$B$2:$B$700=$A220),人給データ!$J$2:$J$700)),""))</f>
        <v/>
      </c>
      <c r="H220" s="20">
        <f>IF($A220="","",IFERROR(IF(LOOKUP(2,1/(人給データ!$B$2:$B$700=$A220),人給データ!$K$2:$K$700)=0,"",LOOKUP(2,1/(人給データ!$B$2:$B$700=$A220),人給データ!$K$2:$K$700)),""))</f>
        <v/>
      </c>
      <c r="I220" s="12" t="n"/>
      <c r="J220">
        <f>IF($A220="","",IFERROR(IF(LOOKUP(2,1/(人給データ!$B$2:$B$700=$A220),人給データ!$N$2:$N$700)=0,"",LOOKUP(2,1/(人給データ!$B$2:$B$700=$A220),人給データ!$N$2:$N$700)),""))</f>
        <v/>
      </c>
      <c r="K220" s="13" t="n"/>
      <c r="L220" s="12" t="n"/>
      <c r="M220" s="12" t="n"/>
      <c r="N220" s="11" t="n"/>
      <c r="O220" s="11" t="n"/>
      <c r="P220" s="14">
        <f>IF(AND(M220&lt;&gt;"",O220=""),"保留中","")</f>
        <v/>
      </c>
      <c r="Q220" s="14">
        <f>IF(P220="保留中",COUNTIF(P$6:P220,"保留中"),"")</f>
        <v/>
      </c>
    </row>
    <row r="221">
      <c r="A221" s="12" t="n"/>
      <c r="B221">
        <f>IF($A221="","",IFERROR(IF(LOOKUP(2,1/(人給データ!$B$2:$B$700=$A221),人給データ!$C$2:$C$700)=0,"",LOOKUP(2,1/(人給データ!$B$2:$B$700=$A221),人給データ!$C$2:$C$700)),""))</f>
        <v/>
      </c>
      <c r="C221">
        <f>IF($A221="","",IFERROR(IF(LOOKUP(2,1/(人給データ!$B$2:$B$700=$A221),人給データ!$G$2:$G$700)=0,"",LOOKUP(2,1/(人給データ!$B$2:$B$700=$A221),人給データ!$G$2:$G$700)),""))</f>
        <v/>
      </c>
      <c r="D221">
        <f>IF($A221="","",IFERROR(IF(LOOKUP(2,1/(人給データ!$B$2:$B$700=$A221),人給データ!$Y$2:$Y$700)=0,"",LOOKUP(2,1/(人給データ!$B$2:$B$700=$A221),人給データ!$Y$2:$Y$700)),""))</f>
        <v/>
      </c>
      <c r="E221" s="20">
        <f>IF($A221="","",IFERROR(IF(LOOKUP(2,1/(人給データ!$B$2:$B$700=$A221),人給データ!$AB$2:$AB$700)=0,"",LOOKUP(2,1/(人給データ!$B$2:$B$700=$A221),人給データ!$AB$2:$AB$700)),""))</f>
        <v/>
      </c>
      <c r="F221" s="16">
        <f>IF(OR(E221="",NOT(ISNUMBER(E221))),"",DATE(YEAR(E221)+2,MONTH(E221),DAY(E221)-2))</f>
        <v/>
      </c>
      <c r="G221" s="20">
        <f>IF($A221="","",IFERROR(IF(LOOKUP(2,1/(人給データ!$B$2:$B$700=$A221),人給データ!$J$2:$J$700)=0,"",LOOKUP(2,1/(人給データ!$B$2:$B$700=$A221),人給データ!$J$2:$J$700)),""))</f>
        <v/>
      </c>
      <c r="H221" s="20">
        <f>IF($A221="","",IFERROR(IF(LOOKUP(2,1/(人給データ!$B$2:$B$700=$A221),人給データ!$K$2:$K$700)=0,"",LOOKUP(2,1/(人給データ!$B$2:$B$700=$A221),人給データ!$K$2:$K$700)),""))</f>
        <v/>
      </c>
      <c r="I221" s="12" t="n"/>
      <c r="J221">
        <f>IF($A221="","",IFERROR(IF(LOOKUP(2,1/(人給データ!$B$2:$B$700=$A221),人給データ!$N$2:$N$700)=0,"",LOOKUP(2,1/(人給データ!$B$2:$B$700=$A221),人給データ!$N$2:$N$700)),""))</f>
        <v/>
      </c>
      <c r="K221" s="13" t="n"/>
      <c r="L221" s="12" t="n"/>
      <c r="M221" s="12" t="n"/>
      <c r="N221" s="11" t="n"/>
      <c r="O221" s="11" t="n"/>
      <c r="P221" s="14">
        <f>IF(AND(M221&lt;&gt;"",O221=""),"保留中","")</f>
        <v/>
      </c>
      <c r="Q221" s="14">
        <f>IF(P221="保留中",COUNTIF(P$6:P221,"保留中"),"")</f>
        <v/>
      </c>
    </row>
    <row r="222">
      <c r="A222" s="12" t="n"/>
      <c r="B222">
        <f>IF($A222="","",IFERROR(IF(LOOKUP(2,1/(人給データ!$B$2:$B$700=$A222),人給データ!$C$2:$C$700)=0,"",LOOKUP(2,1/(人給データ!$B$2:$B$700=$A222),人給データ!$C$2:$C$700)),""))</f>
        <v/>
      </c>
      <c r="C222">
        <f>IF($A222="","",IFERROR(IF(LOOKUP(2,1/(人給データ!$B$2:$B$700=$A222),人給データ!$G$2:$G$700)=0,"",LOOKUP(2,1/(人給データ!$B$2:$B$700=$A222),人給データ!$G$2:$G$700)),""))</f>
        <v/>
      </c>
      <c r="D222">
        <f>IF($A222="","",IFERROR(IF(LOOKUP(2,1/(人給データ!$B$2:$B$700=$A222),人給データ!$Y$2:$Y$700)=0,"",LOOKUP(2,1/(人給データ!$B$2:$B$700=$A222),人給データ!$Y$2:$Y$700)),""))</f>
        <v/>
      </c>
      <c r="E222" s="20">
        <f>IF($A222="","",IFERROR(IF(LOOKUP(2,1/(人給データ!$B$2:$B$700=$A222),人給データ!$AB$2:$AB$700)=0,"",LOOKUP(2,1/(人給データ!$B$2:$B$700=$A222),人給データ!$AB$2:$AB$700)),""))</f>
        <v/>
      </c>
      <c r="F222" s="16">
        <f>IF(OR(E222="",NOT(ISNUMBER(E222))),"",DATE(YEAR(E222)+2,MONTH(E222),DAY(E222)-2))</f>
        <v/>
      </c>
      <c r="G222" s="20">
        <f>IF($A222="","",IFERROR(IF(LOOKUP(2,1/(人給データ!$B$2:$B$700=$A222),人給データ!$J$2:$J$700)=0,"",LOOKUP(2,1/(人給データ!$B$2:$B$700=$A222),人給データ!$J$2:$J$700)),""))</f>
        <v/>
      </c>
      <c r="H222" s="20">
        <f>IF($A222="","",IFERROR(IF(LOOKUP(2,1/(人給データ!$B$2:$B$700=$A222),人給データ!$K$2:$K$700)=0,"",LOOKUP(2,1/(人給データ!$B$2:$B$700=$A222),人給データ!$K$2:$K$700)),""))</f>
        <v/>
      </c>
      <c r="I222" s="12" t="n"/>
      <c r="J222">
        <f>IF($A222="","",IFERROR(IF(LOOKUP(2,1/(人給データ!$B$2:$B$700=$A222),人給データ!$N$2:$N$700)=0,"",LOOKUP(2,1/(人給データ!$B$2:$B$700=$A222),人給データ!$N$2:$N$700)),""))</f>
        <v/>
      </c>
      <c r="K222" s="13" t="n"/>
      <c r="L222" s="12" t="n"/>
      <c r="M222" s="12" t="n"/>
      <c r="N222" s="11" t="n"/>
      <c r="O222" s="11" t="n"/>
      <c r="P222" s="14">
        <f>IF(AND(M222&lt;&gt;"",O222=""),"保留中","")</f>
        <v/>
      </c>
      <c r="Q222" s="14">
        <f>IF(P222="保留中",COUNTIF(P$6:P222,"保留中"),"")</f>
        <v/>
      </c>
    </row>
    <row r="223">
      <c r="A223" s="12" t="n"/>
      <c r="B223">
        <f>IF($A223="","",IFERROR(IF(LOOKUP(2,1/(人給データ!$B$2:$B$700=$A223),人給データ!$C$2:$C$700)=0,"",LOOKUP(2,1/(人給データ!$B$2:$B$700=$A223),人給データ!$C$2:$C$700)),""))</f>
        <v/>
      </c>
      <c r="C223">
        <f>IF($A223="","",IFERROR(IF(LOOKUP(2,1/(人給データ!$B$2:$B$700=$A223),人給データ!$G$2:$G$700)=0,"",LOOKUP(2,1/(人給データ!$B$2:$B$700=$A223),人給データ!$G$2:$G$700)),""))</f>
        <v/>
      </c>
      <c r="D223">
        <f>IF($A223="","",IFERROR(IF(LOOKUP(2,1/(人給データ!$B$2:$B$700=$A223),人給データ!$Y$2:$Y$700)=0,"",LOOKUP(2,1/(人給データ!$B$2:$B$700=$A223),人給データ!$Y$2:$Y$700)),""))</f>
        <v/>
      </c>
      <c r="E223" s="20">
        <f>IF($A223="","",IFERROR(IF(LOOKUP(2,1/(人給データ!$B$2:$B$700=$A223),人給データ!$AB$2:$AB$700)=0,"",LOOKUP(2,1/(人給データ!$B$2:$B$700=$A223),人給データ!$AB$2:$AB$700)),""))</f>
        <v/>
      </c>
      <c r="F223" s="16">
        <f>IF(OR(E223="",NOT(ISNUMBER(E223))),"",DATE(YEAR(E223)+2,MONTH(E223),DAY(E223)-2))</f>
        <v/>
      </c>
      <c r="G223" s="20">
        <f>IF($A223="","",IFERROR(IF(LOOKUP(2,1/(人給データ!$B$2:$B$700=$A223),人給データ!$J$2:$J$700)=0,"",LOOKUP(2,1/(人給データ!$B$2:$B$700=$A223),人給データ!$J$2:$J$700)),""))</f>
        <v/>
      </c>
      <c r="H223" s="20">
        <f>IF($A223="","",IFERROR(IF(LOOKUP(2,1/(人給データ!$B$2:$B$700=$A223),人給データ!$K$2:$K$700)=0,"",LOOKUP(2,1/(人給データ!$B$2:$B$700=$A223),人給データ!$K$2:$K$700)),""))</f>
        <v/>
      </c>
      <c r="I223" s="12" t="n"/>
      <c r="J223">
        <f>IF($A223="","",IFERROR(IF(LOOKUP(2,1/(人給データ!$B$2:$B$700=$A223),人給データ!$N$2:$N$700)=0,"",LOOKUP(2,1/(人給データ!$B$2:$B$700=$A223),人給データ!$N$2:$N$700)),""))</f>
        <v/>
      </c>
      <c r="K223" s="13" t="n"/>
      <c r="L223" s="12" t="n"/>
      <c r="M223" s="12" t="n"/>
      <c r="N223" s="11" t="n"/>
      <c r="O223" s="11" t="n"/>
      <c r="P223" s="14">
        <f>IF(AND(M223&lt;&gt;"",O223=""),"保留中","")</f>
        <v/>
      </c>
      <c r="Q223" s="14">
        <f>IF(P223="保留中",COUNTIF(P$6:P223,"保留中"),"")</f>
        <v/>
      </c>
    </row>
    <row r="224">
      <c r="A224" s="12" t="n"/>
      <c r="B224">
        <f>IF($A224="","",IFERROR(IF(LOOKUP(2,1/(人給データ!$B$2:$B$700=$A224),人給データ!$C$2:$C$700)=0,"",LOOKUP(2,1/(人給データ!$B$2:$B$700=$A224),人給データ!$C$2:$C$700)),""))</f>
        <v/>
      </c>
      <c r="C224">
        <f>IF($A224="","",IFERROR(IF(LOOKUP(2,1/(人給データ!$B$2:$B$700=$A224),人給データ!$G$2:$G$700)=0,"",LOOKUP(2,1/(人給データ!$B$2:$B$700=$A224),人給データ!$G$2:$G$700)),""))</f>
        <v/>
      </c>
      <c r="D224">
        <f>IF($A224="","",IFERROR(IF(LOOKUP(2,1/(人給データ!$B$2:$B$700=$A224),人給データ!$Y$2:$Y$700)=0,"",LOOKUP(2,1/(人給データ!$B$2:$B$700=$A224),人給データ!$Y$2:$Y$700)),""))</f>
        <v/>
      </c>
      <c r="E224" s="20">
        <f>IF($A224="","",IFERROR(IF(LOOKUP(2,1/(人給データ!$B$2:$B$700=$A224),人給データ!$AB$2:$AB$700)=0,"",LOOKUP(2,1/(人給データ!$B$2:$B$700=$A224),人給データ!$AB$2:$AB$700)),""))</f>
        <v/>
      </c>
      <c r="F224" s="16">
        <f>IF(OR(E224="",NOT(ISNUMBER(E224))),"",DATE(YEAR(E224)+2,MONTH(E224),DAY(E224)-2))</f>
        <v/>
      </c>
      <c r="G224" s="20">
        <f>IF($A224="","",IFERROR(IF(LOOKUP(2,1/(人給データ!$B$2:$B$700=$A224),人給データ!$J$2:$J$700)=0,"",LOOKUP(2,1/(人給データ!$B$2:$B$700=$A224),人給データ!$J$2:$J$700)),""))</f>
        <v/>
      </c>
      <c r="H224" s="20">
        <f>IF($A224="","",IFERROR(IF(LOOKUP(2,1/(人給データ!$B$2:$B$700=$A224),人給データ!$K$2:$K$700)=0,"",LOOKUP(2,1/(人給データ!$B$2:$B$700=$A224),人給データ!$K$2:$K$700)),""))</f>
        <v/>
      </c>
      <c r="I224" s="12" t="n"/>
      <c r="J224">
        <f>IF($A224="","",IFERROR(IF(LOOKUP(2,1/(人給データ!$B$2:$B$700=$A224),人給データ!$N$2:$N$700)=0,"",LOOKUP(2,1/(人給データ!$B$2:$B$700=$A224),人給データ!$N$2:$N$700)),""))</f>
        <v/>
      </c>
      <c r="K224" s="13" t="n"/>
      <c r="L224" s="12" t="n"/>
      <c r="M224" s="12" t="n"/>
      <c r="N224" s="11" t="n"/>
      <c r="O224" s="11" t="n"/>
      <c r="P224" s="14">
        <f>IF(AND(M224&lt;&gt;"",O224=""),"保留中","")</f>
        <v/>
      </c>
      <c r="Q224" s="14">
        <f>IF(P224="保留中",COUNTIF(P$6:P224,"保留中"),"")</f>
        <v/>
      </c>
    </row>
    <row r="225">
      <c r="A225" s="12" t="n"/>
      <c r="B225">
        <f>IF($A225="","",IFERROR(IF(LOOKUP(2,1/(人給データ!$B$2:$B$700=$A225),人給データ!$C$2:$C$700)=0,"",LOOKUP(2,1/(人給データ!$B$2:$B$700=$A225),人給データ!$C$2:$C$700)),""))</f>
        <v/>
      </c>
      <c r="C225">
        <f>IF($A225="","",IFERROR(IF(LOOKUP(2,1/(人給データ!$B$2:$B$700=$A225),人給データ!$G$2:$G$700)=0,"",LOOKUP(2,1/(人給データ!$B$2:$B$700=$A225),人給データ!$G$2:$G$700)),""))</f>
        <v/>
      </c>
      <c r="D225">
        <f>IF($A225="","",IFERROR(IF(LOOKUP(2,1/(人給データ!$B$2:$B$700=$A225),人給データ!$Y$2:$Y$700)=0,"",LOOKUP(2,1/(人給データ!$B$2:$B$700=$A225),人給データ!$Y$2:$Y$700)),""))</f>
        <v/>
      </c>
      <c r="E225" s="20">
        <f>IF($A225="","",IFERROR(IF(LOOKUP(2,1/(人給データ!$B$2:$B$700=$A225),人給データ!$AB$2:$AB$700)=0,"",LOOKUP(2,1/(人給データ!$B$2:$B$700=$A225),人給データ!$AB$2:$AB$700)),""))</f>
        <v/>
      </c>
      <c r="F225" s="16">
        <f>IF(OR(E225="",NOT(ISNUMBER(E225))),"",DATE(YEAR(E225)+2,MONTH(E225),DAY(E225)-2))</f>
        <v/>
      </c>
      <c r="G225" s="20">
        <f>IF($A225="","",IFERROR(IF(LOOKUP(2,1/(人給データ!$B$2:$B$700=$A225),人給データ!$J$2:$J$700)=0,"",LOOKUP(2,1/(人給データ!$B$2:$B$700=$A225),人給データ!$J$2:$J$700)),""))</f>
        <v/>
      </c>
      <c r="H225" s="20">
        <f>IF($A225="","",IFERROR(IF(LOOKUP(2,1/(人給データ!$B$2:$B$700=$A225),人給データ!$K$2:$K$700)=0,"",LOOKUP(2,1/(人給データ!$B$2:$B$700=$A225),人給データ!$K$2:$K$700)),""))</f>
        <v/>
      </c>
      <c r="I225" s="12" t="n"/>
      <c r="J225">
        <f>IF($A225="","",IFERROR(IF(LOOKUP(2,1/(人給データ!$B$2:$B$700=$A225),人給データ!$N$2:$N$700)=0,"",LOOKUP(2,1/(人給データ!$B$2:$B$700=$A225),人給データ!$N$2:$N$700)),""))</f>
        <v/>
      </c>
      <c r="K225" s="13" t="n"/>
      <c r="L225" s="12" t="n"/>
      <c r="M225" s="12" t="n"/>
      <c r="N225" s="11" t="n"/>
      <c r="O225" s="11" t="n"/>
      <c r="P225" s="14">
        <f>IF(AND(M225&lt;&gt;"",O225=""),"保留中","")</f>
        <v/>
      </c>
      <c r="Q225" s="14">
        <f>IF(P225="保留中",COUNTIF(P$6:P225,"保留中"),"")</f>
        <v/>
      </c>
    </row>
    <row r="226">
      <c r="A226" s="12" t="n"/>
      <c r="B226">
        <f>IF($A226="","",IFERROR(IF(LOOKUP(2,1/(人給データ!$B$2:$B$700=$A226),人給データ!$C$2:$C$700)=0,"",LOOKUP(2,1/(人給データ!$B$2:$B$700=$A226),人給データ!$C$2:$C$700)),""))</f>
        <v/>
      </c>
      <c r="C226">
        <f>IF($A226="","",IFERROR(IF(LOOKUP(2,1/(人給データ!$B$2:$B$700=$A226),人給データ!$G$2:$G$700)=0,"",LOOKUP(2,1/(人給データ!$B$2:$B$700=$A226),人給データ!$G$2:$G$700)),""))</f>
        <v/>
      </c>
      <c r="D226">
        <f>IF($A226="","",IFERROR(IF(LOOKUP(2,1/(人給データ!$B$2:$B$700=$A226),人給データ!$Y$2:$Y$700)=0,"",LOOKUP(2,1/(人給データ!$B$2:$B$700=$A226),人給データ!$Y$2:$Y$700)),""))</f>
        <v/>
      </c>
      <c r="E226" s="20">
        <f>IF($A226="","",IFERROR(IF(LOOKUP(2,1/(人給データ!$B$2:$B$700=$A226),人給データ!$AB$2:$AB$700)=0,"",LOOKUP(2,1/(人給データ!$B$2:$B$700=$A226),人給データ!$AB$2:$AB$700)),""))</f>
        <v/>
      </c>
      <c r="F226" s="16">
        <f>IF(OR(E226="",NOT(ISNUMBER(E226))),"",DATE(YEAR(E226)+2,MONTH(E226),DAY(E226)-2))</f>
        <v/>
      </c>
      <c r="G226" s="20">
        <f>IF($A226="","",IFERROR(IF(LOOKUP(2,1/(人給データ!$B$2:$B$700=$A226),人給データ!$J$2:$J$700)=0,"",LOOKUP(2,1/(人給データ!$B$2:$B$700=$A226),人給データ!$J$2:$J$700)),""))</f>
        <v/>
      </c>
      <c r="H226" s="20">
        <f>IF($A226="","",IFERROR(IF(LOOKUP(2,1/(人給データ!$B$2:$B$700=$A226),人給データ!$K$2:$K$700)=0,"",LOOKUP(2,1/(人給データ!$B$2:$B$700=$A226),人給データ!$K$2:$K$700)),""))</f>
        <v/>
      </c>
      <c r="I226" s="12" t="n"/>
      <c r="J226">
        <f>IF($A226="","",IFERROR(IF(LOOKUP(2,1/(人給データ!$B$2:$B$700=$A226),人給データ!$N$2:$N$700)=0,"",LOOKUP(2,1/(人給データ!$B$2:$B$700=$A226),人給データ!$N$2:$N$700)),""))</f>
        <v/>
      </c>
      <c r="K226" s="13" t="n"/>
      <c r="L226" s="12" t="n"/>
      <c r="M226" s="12" t="n"/>
      <c r="N226" s="11" t="n"/>
      <c r="O226" s="11" t="n"/>
      <c r="P226" s="14">
        <f>IF(AND(M226&lt;&gt;"",O226=""),"保留中","")</f>
        <v/>
      </c>
      <c r="Q226" s="14">
        <f>IF(P226="保留中",COUNTIF(P$6:P226,"保留中"),"")</f>
        <v/>
      </c>
    </row>
    <row r="227">
      <c r="A227" s="12" t="n"/>
      <c r="B227">
        <f>IF($A227="","",IFERROR(IF(LOOKUP(2,1/(人給データ!$B$2:$B$700=$A227),人給データ!$C$2:$C$700)=0,"",LOOKUP(2,1/(人給データ!$B$2:$B$700=$A227),人給データ!$C$2:$C$700)),""))</f>
        <v/>
      </c>
      <c r="C227">
        <f>IF($A227="","",IFERROR(IF(LOOKUP(2,1/(人給データ!$B$2:$B$700=$A227),人給データ!$G$2:$G$700)=0,"",LOOKUP(2,1/(人給データ!$B$2:$B$700=$A227),人給データ!$G$2:$G$700)),""))</f>
        <v/>
      </c>
      <c r="D227">
        <f>IF($A227="","",IFERROR(IF(LOOKUP(2,1/(人給データ!$B$2:$B$700=$A227),人給データ!$Y$2:$Y$700)=0,"",LOOKUP(2,1/(人給データ!$B$2:$B$700=$A227),人給データ!$Y$2:$Y$700)),""))</f>
        <v/>
      </c>
      <c r="E227" s="20">
        <f>IF($A227="","",IFERROR(IF(LOOKUP(2,1/(人給データ!$B$2:$B$700=$A227),人給データ!$AB$2:$AB$700)=0,"",LOOKUP(2,1/(人給データ!$B$2:$B$700=$A227),人給データ!$AB$2:$AB$700)),""))</f>
        <v/>
      </c>
      <c r="F227" s="16">
        <f>IF(OR(E227="",NOT(ISNUMBER(E227))),"",DATE(YEAR(E227)+2,MONTH(E227),DAY(E227)-2))</f>
        <v/>
      </c>
      <c r="G227" s="20">
        <f>IF($A227="","",IFERROR(IF(LOOKUP(2,1/(人給データ!$B$2:$B$700=$A227),人給データ!$J$2:$J$700)=0,"",LOOKUP(2,1/(人給データ!$B$2:$B$700=$A227),人給データ!$J$2:$J$700)),""))</f>
        <v/>
      </c>
      <c r="H227" s="20">
        <f>IF($A227="","",IFERROR(IF(LOOKUP(2,1/(人給データ!$B$2:$B$700=$A227),人給データ!$K$2:$K$700)=0,"",LOOKUP(2,1/(人給データ!$B$2:$B$700=$A227),人給データ!$K$2:$K$700)),""))</f>
        <v/>
      </c>
      <c r="I227" s="12" t="n"/>
      <c r="J227">
        <f>IF($A227="","",IFERROR(IF(LOOKUP(2,1/(人給データ!$B$2:$B$700=$A227),人給データ!$N$2:$N$700)=0,"",LOOKUP(2,1/(人給データ!$B$2:$B$700=$A227),人給データ!$N$2:$N$700)),""))</f>
        <v/>
      </c>
      <c r="K227" s="13" t="n"/>
      <c r="L227" s="12" t="n"/>
      <c r="M227" s="12" t="n"/>
      <c r="N227" s="11" t="n"/>
      <c r="O227" s="11" t="n"/>
      <c r="P227" s="14">
        <f>IF(AND(M227&lt;&gt;"",O227=""),"保留中","")</f>
        <v/>
      </c>
      <c r="Q227" s="14">
        <f>IF(P227="保留中",COUNTIF(P$6:P227,"保留中"),"")</f>
        <v/>
      </c>
    </row>
    <row r="228">
      <c r="A228" s="12" t="n"/>
      <c r="B228">
        <f>IF($A228="","",IFERROR(IF(LOOKUP(2,1/(人給データ!$B$2:$B$700=$A228),人給データ!$C$2:$C$700)=0,"",LOOKUP(2,1/(人給データ!$B$2:$B$700=$A228),人給データ!$C$2:$C$700)),""))</f>
        <v/>
      </c>
      <c r="C228">
        <f>IF($A228="","",IFERROR(IF(LOOKUP(2,1/(人給データ!$B$2:$B$700=$A228),人給データ!$G$2:$G$700)=0,"",LOOKUP(2,1/(人給データ!$B$2:$B$700=$A228),人給データ!$G$2:$G$700)),""))</f>
        <v/>
      </c>
      <c r="D228">
        <f>IF($A228="","",IFERROR(IF(LOOKUP(2,1/(人給データ!$B$2:$B$700=$A228),人給データ!$Y$2:$Y$700)=0,"",LOOKUP(2,1/(人給データ!$B$2:$B$700=$A228),人給データ!$Y$2:$Y$700)),""))</f>
        <v/>
      </c>
      <c r="E228" s="20">
        <f>IF($A228="","",IFERROR(IF(LOOKUP(2,1/(人給データ!$B$2:$B$700=$A228),人給データ!$AB$2:$AB$700)=0,"",LOOKUP(2,1/(人給データ!$B$2:$B$700=$A228),人給データ!$AB$2:$AB$700)),""))</f>
        <v/>
      </c>
      <c r="F228" s="16">
        <f>IF(OR(E228="",NOT(ISNUMBER(E228))),"",DATE(YEAR(E228)+2,MONTH(E228),DAY(E228)-2))</f>
        <v/>
      </c>
      <c r="G228" s="20">
        <f>IF($A228="","",IFERROR(IF(LOOKUP(2,1/(人給データ!$B$2:$B$700=$A228),人給データ!$J$2:$J$700)=0,"",LOOKUP(2,1/(人給データ!$B$2:$B$700=$A228),人給データ!$J$2:$J$700)),""))</f>
        <v/>
      </c>
      <c r="H228" s="20">
        <f>IF($A228="","",IFERROR(IF(LOOKUP(2,1/(人給データ!$B$2:$B$700=$A228),人給データ!$K$2:$K$700)=0,"",LOOKUP(2,1/(人給データ!$B$2:$B$700=$A228),人給データ!$K$2:$K$700)),""))</f>
        <v/>
      </c>
      <c r="I228" s="12" t="n"/>
      <c r="J228">
        <f>IF($A228="","",IFERROR(IF(LOOKUP(2,1/(人給データ!$B$2:$B$700=$A228),人給データ!$N$2:$N$700)=0,"",LOOKUP(2,1/(人給データ!$B$2:$B$700=$A228),人給データ!$N$2:$N$700)),""))</f>
        <v/>
      </c>
      <c r="K228" s="13" t="n"/>
      <c r="L228" s="12" t="n"/>
      <c r="M228" s="12" t="n"/>
      <c r="N228" s="11" t="n"/>
      <c r="O228" s="11" t="n"/>
      <c r="P228" s="14">
        <f>IF(AND(M228&lt;&gt;"",O228=""),"保留中","")</f>
        <v/>
      </c>
      <c r="Q228" s="14">
        <f>IF(P228="保留中",COUNTIF(P$6:P228,"保留中"),"")</f>
        <v/>
      </c>
    </row>
    <row r="229">
      <c r="A229" s="12" t="n"/>
      <c r="B229">
        <f>IF($A229="","",IFERROR(IF(LOOKUP(2,1/(人給データ!$B$2:$B$700=$A229),人給データ!$C$2:$C$700)=0,"",LOOKUP(2,1/(人給データ!$B$2:$B$700=$A229),人給データ!$C$2:$C$700)),""))</f>
        <v/>
      </c>
      <c r="C229">
        <f>IF($A229="","",IFERROR(IF(LOOKUP(2,1/(人給データ!$B$2:$B$700=$A229),人給データ!$G$2:$G$700)=0,"",LOOKUP(2,1/(人給データ!$B$2:$B$700=$A229),人給データ!$G$2:$G$700)),""))</f>
        <v/>
      </c>
      <c r="D229">
        <f>IF($A229="","",IFERROR(IF(LOOKUP(2,1/(人給データ!$B$2:$B$700=$A229),人給データ!$Y$2:$Y$700)=0,"",LOOKUP(2,1/(人給データ!$B$2:$B$700=$A229),人給データ!$Y$2:$Y$700)),""))</f>
        <v/>
      </c>
      <c r="E229" s="20">
        <f>IF($A229="","",IFERROR(IF(LOOKUP(2,1/(人給データ!$B$2:$B$700=$A229),人給データ!$AB$2:$AB$700)=0,"",LOOKUP(2,1/(人給データ!$B$2:$B$700=$A229),人給データ!$AB$2:$AB$700)),""))</f>
        <v/>
      </c>
      <c r="F229" s="16">
        <f>IF(OR(E229="",NOT(ISNUMBER(E229))),"",DATE(YEAR(E229)+2,MONTH(E229),DAY(E229)-2))</f>
        <v/>
      </c>
      <c r="G229" s="20">
        <f>IF($A229="","",IFERROR(IF(LOOKUP(2,1/(人給データ!$B$2:$B$700=$A229),人給データ!$J$2:$J$700)=0,"",LOOKUP(2,1/(人給データ!$B$2:$B$700=$A229),人給データ!$J$2:$J$700)),""))</f>
        <v/>
      </c>
      <c r="H229" s="20">
        <f>IF($A229="","",IFERROR(IF(LOOKUP(2,1/(人給データ!$B$2:$B$700=$A229),人給データ!$K$2:$K$700)=0,"",LOOKUP(2,1/(人給データ!$B$2:$B$700=$A229),人給データ!$K$2:$K$700)),""))</f>
        <v/>
      </c>
      <c r="I229" s="12" t="n"/>
      <c r="J229">
        <f>IF($A229="","",IFERROR(IF(LOOKUP(2,1/(人給データ!$B$2:$B$700=$A229),人給データ!$N$2:$N$700)=0,"",LOOKUP(2,1/(人給データ!$B$2:$B$700=$A229),人給データ!$N$2:$N$700)),""))</f>
        <v/>
      </c>
      <c r="K229" s="13" t="n"/>
      <c r="L229" s="12" t="n"/>
      <c r="M229" s="12" t="n"/>
      <c r="N229" s="11" t="n"/>
      <c r="O229" s="11" t="n"/>
      <c r="P229" s="14">
        <f>IF(AND(M229&lt;&gt;"",O229=""),"保留中","")</f>
        <v/>
      </c>
      <c r="Q229" s="14">
        <f>IF(P229="保留中",COUNTIF(P$6:P229,"保留中"),"")</f>
        <v/>
      </c>
    </row>
    <row r="230">
      <c r="A230" s="12" t="n"/>
      <c r="B230">
        <f>IF($A230="","",IFERROR(IF(LOOKUP(2,1/(人給データ!$B$2:$B$700=$A230),人給データ!$C$2:$C$700)=0,"",LOOKUP(2,1/(人給データ!$B$2:$B$700=$A230),人給データ!$C$2:$C$700)),""))</f>
        <v/>
      </c>
      <c r="C230">
        <f>IF($A230="","",IFERROR(IF(LOOKUP(2,1/(人給データ!$B$2:$B$700=$A230),人給データ!$G$2:$G$700)=0,"",LOOKUP(2,1/(人給データ!$B$2:$B$700=$A230),人給データ!$G$2:$G$700)),""))</f>
        <v/>
      </c>
      <c r="D230">
        <f>IF($A230="","",IFERROR(IF(LOOKUP(2,1/(人給データ!$B$2:$B$700=$A230),人給データ!$Y$2:$Y$700)=0,"",LOOKUP(2,1/(人給データ!$B$2:$B$700=$A230),人給データ!$Y$2:$Y$700)),""))</f>
        <v/>
      </c>
      <c r="E230" s="20">
        <f>IF($A230="","",IFERROR(IF(LOOKUP(2,1/(人給データ!$B$2:$B$700=$A230),人給データ!$AB$2:$AB$700)=0,"",LOOKUP(2,1/(人給データ!$B$2:$B$700=$A230),人給データ!$AB$2:$AB$700)),""))</f>
        <v/>
      </c>
      <c r="F230" s="16">
        <f>IF(OR(E230="",NOT(ISNUMBER(E230))),"",DATE(YEAR(E230)+2,MONTH(E230),DAY(E230)-2))</f>
        <v/>
      </c>
      <c r="G230" s="20">
        <f>IF($A230="","",IFERROR(IF(LOOKUP(2,1/(人給データ!$B$2:$B$700=$A230),人給データ!$J$2:$J$700)=0,"",LOOKUP(2,1/(人給データ!$B$2:$B$700=$A230),人給データ!$J$2:$J$700)),""))</f>
        <v/>
      </c>
      <c r="H230" s="20">
        <f>IF($A230="","",IFERROR(IF(LOOKUP(2,1/(人給データ!$B$2:$B$700=$A230),人給データ!$K$2:$K$700)=0,"",LOOKUP(2,1/(人給データ!$B$2:$B$700=$A230),人給データ!$K$2:$K$700)),""))</f>
        <v/>
      </c>
      <c r="I230" s="12" t="n"/>
      <c r="J230">
        <f>IF($A230="","",IFERROR(IF(LOOKUP(2,1/(人給データ!$B$2:$B$700=$A230),人給データ!$N$2:$N$700)=0,"",LOOKUP(2,1/(人給データ!$B$2:$B$700=$A230),人給データ!$N$2:$N$700)),""))</f>
        <v/>
      </c>
      <c r="K230" s="13" t="n"/>
      <c r="L230" s="12" t="n"/>
      <c r="M230" s="12" t="n"/>
      <c r="N230" s="11" t="n"/>
      <c r="O230" s="11" t="n"/>
      <c r="P230" s="14">
        <f>IF(AND(M230&lt;&gt;"",O230=""),"保留中","")</f>
        <v/>
      </c>
      <c r="Q230" s="14">
        <f>IF(P230="保留中",COUNTIF(P$6:P230,"保留中"),"")</f>
        <v/>
      </c>
    </row>
    <row r="231">
      <c r="A231" s="12" t="n"/>
      <c r="B231">
        <f>IF($A231="","",IFERROR(IF(LOOKUP(2,1/(人給データ!$B$2:$B$700=$A231),人給データ!$C$2:$C$700)=0,"",LOOKUP(2,1/(人給データ!$B$2:$B$700=$A231),人給データ!$C$2:$C$700)),""))</f>
        <v/>
      </c>
      <c r="C231">
        <f>IF($A231="","",IFERROR(IF(LOOKUP(2,1/(人給データ!$B$2:$B$700=$A231),人給データ!$G$2:$G$700)=0,"",LOOKUP(2,1/(人給データ!$B$2:$B$700=$A231),人給データ!$G$2:$G$700)),""))</f>
        <v/>
      </c>
      <c r="D231">
        <f>IF($A231="","",IFERROR(IF(LOOKUP(2,1/(人給データ!$B$2:$B$700=$A231),人給データ!$Y$2:$Y$700)=0,"",LOOKUP(2,1/(人給データ!$B$2:$B$700=$A231),人給データ!$Y$2:$Y$700)),""))</f>
        <v/>
      </c>
      <c r="E231" s="20">
        <f>IF($A231="","",IFERROR(IF(LOOKUP(2,1/(人給データ!$B$2:$B$700=$A231),人給データ!$AB$2:$AB$700)=0,"",LOOKUP(2,1/(人給データ!$B$2:$B$700=$A231),人給データ!$AB$2:$AB$700)),""))</f>
        <v/>
      </c>
      <c r="F231" s="16">
        <f>IF(OR(E231="",NOT(ISNUMBER(E231))),"",DATE(YEAR(E231)+2,MONTH(E231),DAY(E231)-2))</f>
        <v/>
      </c>
      <c r="G231" s="20">
        <f>IF($A231="","",IFERROR(IF(LOOKUP(2,1/(人給データ!$B$2:$B$700=$A231),人給データ!$J$2:$J$700)=0,"",LOOKUP(2,1/(人給データ!$B$2:$B$700=$A231),人給データ!$J$2:$J$700)),""))</f>
        <v/>
      </c>
      <c r="H231" s="20">
        <f>IF($A231="","",IFERROR(IF(LOOKUP(2,1/(人給データ!$B$2:$B$700=$A231),人給データ!$K$2:$K$700)=0,"",LOOKUP(2,1/(人給データ!$B$2:$B$700=$A231),人給データ!$K$2:$K$700)),""))</f>
        <v/>
      </c>
      <c r="I231" s="12" t="n"/>
      <c r="J231">
        <f>IF($A231="","",IFERROR(IF(LOOKUP(2,1/(人給データ!$B$2:$B$700=$A231),人給データ!$N$2:$N$700)=0,"",LOOKUP(2,1/(人給データ!$B$2:$B$700=$A231),人給データ!$N$2:$N$700)),""))</f>
        <v/>
      </c>
      <c r="K231" s="13" t="n"/>
      <c r="L231" s="12" t="n"/>
      <c r="M231" s="12" t="n"/>
      <c r="N231" s="11" t="n"/>
      <c r="O231" s="11" t="n"/>
      <c r="P231" s="14">
        <f>IF(AND(M231&lt;&gt;"",O231=""),"保留中","")</f>
        <v/>
      </c>
      <c r="Q231" s="14">
        <f>IF(P231="保留中",COUNTIF(P$6:P231,"保留中"),"")</f>
        <v/>
      </c>
    </row>
    <row r="232">
      <c r="A232" s="12" t="n"/>
      <c r="B232">
        <f>IF($A232="","",IFERROR(IF(LOOKUP(2,1/(人給データ!$B$2:$B$700=$A232),人給データ!$C$2:$C$700)=0,"",LOOKUP(2,1/(人給データ!$B$2:$B$700=$A232),人給データ!$C$2:$C$700)),""))</f>
        <v/>
      </c>
      <c r="C232">
        <f>IF($A232="","",IFERROR(IF(LOOKUP(2,1/(人給データ!$B$2:$B$700=$A232),人給データ!$G$2:$G$700)=0,"",LOOKUP(2,1/(人給データ!$B$2:$B$700=$A232),人給データ!$G$2:$G$700)),""))</f>
        <v/>
      </c>
      <c r="D232">
        <f>IF($A232="","",IFERROR(IF(LOOKUP(2,1/(人給データ!$B$2:$B$700=$A232),人給データ!$Y$2:$Y$700)=0,"",LOOKUP(2,1/(人給データ!$B$2:$B$700=$A232),人給データ!$Y$2:$Y$700)),""))</f>
        <v/>
      </c>
      <c r="E232" s="20">
        <f>IF($A232="","",IFERROR(IF(LOOKUP(2,1/(人給データ!$B$2:$B$700=$A232),人給データ!$AB$2:$AB$700)=0,"",LOOKUP(2,1/(人給データ!$B$2:$B$700=$A232),人給データ!$AB$2:$AB$700)),""))</f>
        <v/>
      </c>
      <c r="F232" s="16">
        <f>IF(OR(E232="",NOT(ISNUMBER(E232))),"",DATE(YEAR(E232)+2,MONTH(E232),DAY(E232)-2))</f>
        <v/>
      </c>
      <c r="G232" s="20">
        <f>IF($A232="","",IFERROR(IF(LOOKUP(2,1/(人給データ!$B$2:$B$700=$A232),人給データ!$J$2:$J$700)=0,"",LOOKUP(2,1/(人給データ!$B$2:$B$700=$A232),人給データ!$J$2:$J$700)),""))</f>
        <v/>
      </c>
      <c r="H232" s="20">
        <f>IF($A232="","",IFERROR(IF(LOOKUP(2,1/(人給データ!$B$2:$B$700=$A232),人給データ!$K$2:$K$700)=0,"",LOOKUP(2,1/(人給データ!$B$2:$B$700=$A232),人給データ!$K$2:$K$700)),""))</f>
        <v/>
      </c>
      <c r="I232" s="12" t="n"/>
      <c r="J232">
        <f>IF($A232="","",IFERROR(IF(LOOKUP(2,1/(人給データ!$B$2:$B$700=$A232),人給データ!$N$2:$N$700)=0,"",LOOKUP(2,1/(人給データ!$B$2:$B$700=$A232),人給データ!$N$2:$N$700)),""))</f>
        <v/>
      </c>
      <c r="K232" s="13" t="n"/>
      <c r="L232" s="12" t="n"/>
      <c r="M232" s="12" t="n"/>
      <c r="N232" s="11" t="n"/>
      <c r="O232" s="11" t="n"/>
      <c r="P232" s="14">
        <f>IF(AND(M232&lt;&gt;"",O232=""),"保留中","")</f>
        <v/>
      </c>
      <c r="Q232" s="14">
        <f>IF(P232="保留中",COUNTIF(P$6:P232,"保留中"),"")</f>
        <v/>
      </c>
    </row>
    <row r="233">
      <c r="A233" s="12" t="n"/>
      <c r="B233">
        <f>IF($A233="","",IFERROR(IF(LOOKUP(2,1/(人給データ!$B$2:$B$700=$A233),人給データ!$C$2:$C$700)=0,"",LOOKUP(2,1/(人給データ!$B$2:$B$700=$A233),人給データ!$C$2:$C$700)),""))</f>
        <v/>
      </c>
      <c r="C233">
        <f>IF($A233="","",IFERROR(IF(LOOKUP(2,1/(人給データ!$B$2:$B$700=$A233),人給データ!$G$2:$G$700)=0,"",LOOKUP(2,1/(人給データ!$B$2:$B$700=$A233),人給データ!$G$2:$G$700)),""))</f>
        <v/>
      </c>
      <c r="D233">
        <f>IF($A233="","",IFERROR(IF(LOOKUP(2,1/(人給データ!$B$2:$B$700=$A233),人給データ!$Y$2:$Y$700)=0,"",LOOKUP(2,1/(人給データ!$B$2:$B$700=$A233),人給データ!$Y$2:$Y$700)),""))</f>
        <v/>
      </c>
      <c r="E233" s="20">
        <f>IF($A233="","",IFERROR(IF(LOOKUP(2,1/(人給データ!$B$2:$B$700=$A233),人給データ!$AB$2:$AB$700)=0,"",LOOKUP(2,1/(人給データ!$B$2:$B$700=$A233),人給データ!$AB$2:$AB$700)),""))</f>
        <v/>
      </c>
      <c r="F233" s="16">
        <f>IF(OR(E233="",NOT(ISNUMBER(E233))),"",DATE(YEAR(E233)+2,MONTH(E233),DAY(E233)-2))</f>
        <v/>
      </c>
      <c r="G233" s="20">
        <f>IF($A233="","",IFERROR(IF(LOOKUP(2,1/(人給データ!$B$2:$B$700=$A233),人給データ!$J$2:$J$700)=0,"",LOOKUP(2,1/(人給データ!$B$2:$B$700=$A233),人給データ!$J$2:$J$700)),""))</f>
        <v/>
      </c>
      <c r="H233" s="20">
        <f>IF($A233="","",IFERROR(IF(LOOKUP(2,1/(人給データ!$B$2:$B$700=$A233),人給データ!$K$2:$K$700)=0,"",LOOKUP(2,1/(人給データ!$B$2:$B$700=$A233),人給データ!$K$2:$K$700)),""))</f>
        <v/>
      </c>
      <c r="I233" s="12" t="n"/>
      <c r="J233">
        <f>IF($A233="","",IFERROR(IF(LOOKUP(2,1/(人給データ!$B$2:$B$700=$A233),人給データ!$N$2:$N$700)=0,"",LOOKUP(2,1/(人給データ!$B$2:$B$700=$A233),人給データ!$N$2:$N$700)),""))</f>
        <v/>
      </c>
      <c r="K233" s="13" t="n"/>
      <c r="L233" s="12" t="n"/>
      <c r="M233" s="12" t="n"/>
      <c r="N233" s="11" t="n"/>
      <c r="O233" s="11" t="n"/>
      <c r="P233" s="14">
        <f>IF(AND(M233&lt;&gt;"",O233=""),"保留中","")</f>
        <v/>
      </c>
      <c r="Q233" s="14">
        <f>IF(P233="保留中",COUNTIF(P$6:P233,"保留中"),"")</f>
        <v/>
      </c>
    </row>
    <row r="234">
      <c r="A234" s="12" t="n"/>
      <c r="B234">
        <f>IF($A234="","",IFERROR(IF(LOOKUP(2,1/(人給データ!$B$2:$B$700=$A234),人給データ!$C$2:$C$700)=0,"",LOOKUP(2,1/(人給データ!$B$2:$B$700=$A234),人給データ!$C$2:$C$700)),""))</f>
        <v/>
      </c>
      <c r="C234">
        <f>IF($A234="","",IFERROR(IF(LOOKUP(2,1/(人給データ!$B$2:$B$700=$A234),人給データ!$G$2:$G$700)=0,"",LOOKUP(2,1/(人給データ!$B$2:$B$700=$A234),人給データ!$G$2:$G$700)),""))</f>
        <v/>
      </c>
      <c r="D234">
        <f>IF($A234="","",IFERROR(IF(LOOKUP(2,1/(人給データ!$B$2:$B$700=$A234),人給データ!$Y$2:$Y$700)=0,"",LOOKUP(2,1/(人給データ!$B$2:$B$700=$A234),人給データ!$Y$2:$Y$700)),""))</f>
        <v/>
      </c>
      <c r="E234" s="20">
        <f>IF($A234="","",IFERROR(IF(LOOKUP(2,1/(人給データ!$B$2:$B$700=$A234),人給データ!$AB$2:$AB$700)=0,"",LOOKUP(2,1/(人給データ!$B$2:$B$700=$A234),人給データ!$AB$2:$AB$700)),""))</f>
        <v/>
      </c>
      <c r="F234" s="16">
        <f>IF(OR(E234="",NOT(ISNUMBER(E234))),"",DATE(YEAR(E234)+2,MONTH(E234),DAY(E234)-2))</f>
        <v/>
      </c>
      <c r="G234" s="20">
        <f>IF($A234="","",IFERROR(IF(LOOKUP(2,1/(人給データ!$B$2:$B$700=$A234),人給データ!$J$2:$J$700)=0,"",LOOKUP(2,1/(人給データ!$B$2:$B$700=$A234),人給データ!$J$2:$J$700)),""))</f>
        <v/>
      </c>
      <c r="H234" s="20">
        <f>IF($A234="","",IFERROR(IF(LOOKUP(2,1/(人給データ!$B$2:$B$700=$A234),人給データ!$K$2:$K$700)=0,"",LOOKUP(2,1/(人給データ!$B$2:$B$700=$A234),人給データ!$K$2:$K$700)),""))</f>
        <v/>
      </c>
      <c r="I234" s="12" t="n"/>
      <c r="J234">
        <f>IF($A234="","",IFERROR(IF(LOOKUP(2,1/(人給データ!$B$2:$B$700=$A234),人給データ!$N$2:$N$700)=0,"",LOOKUP(2,1/(人給データ!$B$2:$B$700=$A234),人給データ!$N$2:$N$700)),""))</f>
        <v/>
      </c>
      <c r="K234" s="13" t="n"/>
      <c r="L234" s="12" t="n"/>
      <c r="M234" s="12" t="n"/>
      <c r="N234" s="11" t="n"/>
      <c r="O234" s="11" t="n"/>
      <c r="P234" s="14">
        <f>IF(AND(M234&lt;&gt;"",O234=""),"保留中","")</f>
        <v/>
      </c>
      <c r="Q234" s="14">
        <f>IF(P234="保留中",COUNTIF(P$6:P234,"保留中"),"")</f>
        <v/>
      </c>
    </row>
    <row r="235">
      <c r="A235" s="12" t="n"/>
      <c r="B235">
        <f>IF($A235="","",IFERROR(IF(LOOKUP(2,1/(人給データ!$B$2:$B$700=$A235),人給データ!$C$2:$C$700)=0,"",LOOKUP(2,1/(人給データ!$B$2:$B$700=$A235),人給データ!$C$2:$C$700)),""))</f>
        <v/>
      </c>
      <c r="C235">
        <f>IF($A235="","",IFERROR(IF(LOOKUP(2,1/(人給データ!$B$2:$B$700=$A235),人給データ!$G$2:$G$700)=0,"",LOOKUP(2,1/(人給データ!$B$2:$B$700=$A235),人給データ!$G$2:$G$700)),""))</f>
        <v/>
      </c>
      <c r="D235">
        <f>IF($A235="","",IFERROR(IF(LOOKUP(2,1/(人給データ!$B$2:$B$700=$A235),人給データ!$Y$2:$Y$700)=0,"",LOOKUP(2,1/(人給データ!$B$2:$B$700=$A235),人給データ!$Y$2:$Y$700)),""))</f>
        <v/>
      </c>
      <c r="E235" s="20">
        <f>IF($A235="","",IFERROR(IF(LOOKUP(2,1/(人給データ!$B$2:$B$700=$A235),人給データ!$AB$2:$AB$700)=0,"",LOOKUP(2,1/(人給データ!$B$2:$B$700=$A235),人給データ!$AB$2:$AB$700)),""))</f>
        <v/>
      </c>
      <c r="F235" s="16">
        <f>IF(OR(E235="",NOT(ISNUMBER(E235))),"",DATE(YEAR(E235)+2,MONTH(E235),DAY(E235)-2))</f>
        <v/>
      </c>
      <c r="G235" s="20">
        <f>IF($A235="","",IFERROR(IF(LOOKUP(2,1/(人給データ!$B$2:$B$700=$A235),人給データ!$J$2:$J$700)=0,"",LOOKUP(2,1/(人給データ!$B$2:$B$700=$A235),人給データ!$J$2:$J$700)),""))</f>
        <v/>
      </c>
      <c r="H235" s="20">
        <f>IF($A235="","",IFERROR(IF(LOOKUP(2,1/(人給データ!$B$2:$B$700=$A235),人給データ!$K$2:$K$700)=0,"",LOOKUP(2,1/(人給データ!$B$2:$B$700=$A235),人給データ!$K$2:$K$700)),""))</f>
        <v/>
      </c>
      <c r="I235" s="12" t="n"/>
      <c r="J235">
        <f>IF($A235="","",IFERROR(IF(LOOKUP(2,1/(人給データ!$B$2:$B$700=$A235),人給データ!$N$2:$N$700)=0,"",LOOKUP(2,1/(人給データ!$B$2:$B$700=$A235),人給データ!$N$2:$N$700)),""))</f>
        <v/>
      </c>
      <c r="K235" s="13" t="n"/>
      <c r="L235" s="12" t="n"/>
      <c r="M235" s="12" t="n"/>
      <c r="N235" s="11" t="n"/>
      <c r="O235" s="11" t="n"/>
      <c r="P235" s="14">
        <f>IF(AND(M235&lt;&gt;"",O235=""),"保留中","")</f>
        <v/>
      </c>
      <c r="Q235" s="14">
        <f>IF(P235="保留中",COUNTIF(P$6:P235,"保留中"),"")</f>
        <v/>
      </c>
    </row>
    <row r="236">
      <c r="A236" s="12" t="n"/>
      <c r="B236">
        <f>IF($A236="","",IFERROR(IF(LOOKUP(2,1/(人給データ!$B$2:$B$700=$A236),人給データ!$C$2:$C$700)=0,"",LOOKUP(2,1/(人給データ!$B$2:$B$700=$A236),人給データ!$C$2:$C$700)),""))</f>
        <v/>
      </c>
      <c r="C236">
        <f>IF($A236="","",IFERROR(IF(LOOKUP(2,1/(人給データ!$B$2:$B$700=$A236),人給データ!$G$2:$G$700)=0,"",LOOKUP(2,1/(人給データ!$B$2:$B$700=$A236),人給データ!$G$2:$G$700)),""))</f>
        <v/>
      </c>
      <c r="D236">
        <f>IF($A236="","",IFERROR(IF(LOOKUP(2,1/(人給データ!$B$2:$B$700=$A236),人給データ!$Y$2:$Y$700)=0,"",LOOKUP(2,1/(人給データ!$B$2:$B$700=$A236),人給データ!$Y$2:$Y$700)),""))</f>
        <v/>
      </c>
      <c r="E236" s="20">
        <f>IF($A236="","",IFERROR(IF(LOOKUP(2,1/(人給データ!$B$2:$B$700=$A236),人給データ!$AB$2:$AB$700)=0,"",LOOKUP(2,1/(人給データ!$B$2:$B$700=$A236),人給データ!$AB$2:$AB$700)),""))</f>
        <v/>
      </c>
      <c r="F236" s="16">
        <f>IF(OR(E236="",NOT(ISNUMBER(E236))),"",DATE(YEAR(E236)+2,MONTH(E236),DAY(E236)-2))</f>
        <v/>
      </c>
      <c r="G236" s="20">
        <f>IF($A236="","",IFERROR(IF(LOOKUP(2,1/(人給データ!$B$2:$B$700=$A236),人給データ!$J$2:$J$700)=0,"",LOOKUP(2,1/(人給データ!$B$2:$B$700=$A236),人給データ!$J$2:$J$700)),""))</f>
        <v/>
      </c>
      <c r="H236" s="20">
        <f>IF($A236="","",IFERROR(IF(LOOKUP(2,1/(人給データ!$B$2:$B$700=$A236),人給データ!$K$2:$K$700)=0,"",LOOKUP(2,1/(人給データ!$B$2:$B$700=$A236),人給データ!$K$2:$K$700)),""))</f>
        <v/>
      </c>
      <c r="I236" s="12" t="n"/>
      <c r="J236">
        <f>IF($A236="","",IFERROR(IF(LOOKUP(2,1/(人給データ!$B$2:$B$700=$A236),人給データ!$N$2:$N$700)=0,"",LOOKUP(2,1/(人給データ!$B$2:$B$700=$A236),人給データ!$N$2:$N$700)),""))</f>
        <v/>
      </c>
      <c r="K236" s="13" t="n"/>
      <c r="L236" s="12" t="n"/>
      <c r="M236" s="12" t="n"/>
      <c r="N236" s="11" t="n"/>
      <c r="O236" s="11" t="n"/>
      <c r="P236" s="14">
        <f>IF(AND(M236&lt;&gt;"",O236=""),"保留中","")</f>
        <v/>
      </c>
      <c r="Q236" s="14">
        <f>IF(P236="保留中",COUNTIF(P$6:P236,"保留中"),"")</f>
        <v/>
      </c>
    </row>
    <row r="237">
      <c r="A237" s="12" t="n"/>
      <c r="B237">
        <f>IF($A237="","",IFERROR(IF(LOOKUP(2,1/(人給データ!$B$2:$B$700=$A237),人給データ!$C$2:$C$700)=0,"",LOOKUP(2,1/(人給データ!$B$2:$B$700=$A237),人給データ!$C$2:$C$700)),""))</f>
        <v/>
      </c>
      <c r="C237">
        <f>IF($A237="","",IFERROR(IF(LOOKUP(2,1/(人給データ!$B$2:$B$700=$A237),人給データ!$G$2:$G$700)=0,"",LOOKUP(2,1/(人給データ!$B$2:$B$700=$A237),人給データ!$G$2:$G$700)),""))</f>
        <v/>
      </c>
      <c r="D237">
        <f>IF($A237="","",IFERROR(IF(LOOKUP(2,1/(人給データ!$B$2:$B$700=$A237),人給データ!$Y$2:$Y$700)=0,"",LOOKUP(2,1/(人給データ!$B$2:$B$700=$A237),人給データ!$Y$2:$Y$700)),""))</f>
        <v/>
      </c>
      <c r="E237" s="20">
        <f>IF($A237="","",IFERROR(IF(LOOKUP(2,1/(人給データ!$B$2:$B$700=$A237),人給データ!$AB$2:$AB$700)=0,"",LOOKUP(2,1/(人給データ!$B$2:$B$700=$A237),人給データ!$AB$2:$AB$700)),""))</f>
        <v/>
      </c>
      <c r="F237" s="16">
        <f>IF(OR(E237="",NOT(ISNUMBER(E237))),"",DATE(YEAR(E237)+2,MONTH(E237),DAY(E237)-2))</f>
        <v/>
      </c>
      <c r="G237" s="20">
        <f>IF($A237="","",IFERROR(IF(LOOKUP(2,1/(人給データ!$B$2:$B$700=$A237),人給データ!$J$2:$J$700)=0,"",LOOKUP(2,1/(人給データ!$B$2:$B$700=$A237),人給データ!$J$2:$J$700)),""))</f>
        <v/>
      </c>
      <c r="H237" s="20">
        <f>IF($A237="","",IFERROR(IF(LOOKUP(2,1/(人給データ!$B$2:$B$700=$A237),人給データ!$K$2:$K$700)=0,"",LOOKUP(2,1/(人給データ!$B$2:$B$700=$A237),人給データ!$K$2:$K$700)),""))</f>
        <v/>
      </c>
      <c r="I237" s="12" t="n"/>
      <c r="J237">
        <f>IF($A237="","",IFERROR(IF(LOOKUP(2,1/(人給データ!$B$2:$B$700=$A237),人給データ!$N$2:$N$700)=0,"",LOOKUP(2,1/(人給データ!$B$2:$B$700=$A237),人給データ!$N$2:$N$700)),""))</f>
        <v/>
      </c>
      <c r="K237" s="13" t="n"/>
      <c r="L237" s="12" t="n"/>
      <c r="M237" s="12" t="n"/>
      <c r="N237" s="11" t="n"/>
      <c r="O237" s="11" t="n"/>
      <c r="P237" s="14">
        <f>IF(AND(M237&lt;&gt;"",O237=""),"保留中","")</f>
        <v/>
      </c>
      <c r="Q237" s="14">
        <f>IF(P237="保留中",COUNTIF(P$6:P237,"保留中"),"")</f>
        <v/>
      </c>
    </row>
    <row r="238">
      <c r="A238" s="12" t="n"/>
      <c r="B238">
        <f>IF($A238="","",IFERROR(IF(LOOKUP(2,1/(人給データ!$B$2:$B$700=$A238),人給データ!$C$2:$C$700)=0,"",LOOKUP(2,1/(人給データ!$B$2:$B$700=$A238),人給データ!$C$2:$C$700)),""))</f>
        <v/>
      </c>
      <c r="C238">
        <f>IF($A238="","",IFERROR(IF(LOOKUP(2,1/(人給データ!$B$2:$B$700=$A238),人給データ!$G$2:$G$700)=0,"",LOOKUP(2,1/(人給データ!$B$2:$B$700=$A238),人給データ!$G$2:$G$700)),""))</f>
        <v/>
      </c>
      <c r="D238">
        <f>IF($A238="","",IFERROR(IF(LOOKUP(2,1/(人給データ!$B$2:$B$700=$A238),人給データ!$Y$2:$Y$700)=0,"",LOOKUP(2,1/(人給データ!$B$2:$B$700=$A238),人給データ!$Y$2:$Y$700)),""))</f>
        <v/>
      </c>
      <c r="E238" s="20">
        <f>IF($A238="","",IFERROR(IF(LOOKUP(2,1/(人給データ!$B$2:$B$700=$A238),人給データ!$AB$2:$AB$700)=0,"",LOOKUP(2,1/(人給データ!$B$2:$B$700=$A238),人給データ!$AB$2:$AB$700)),""))</f>
        <v/>
      </c>
      <c r="F238" s="16">
        <f>IF(OR(E238="",NOT(ISNUMBER(E238))),"",DATE(YEAR(E238)+2,MONTH(E238),DAY(E238)-2))</f>
        <v/>
      </c>
      <c r="G238" s="20">
        <f>IF($A238="","",IFERROR(IF(LOOKUP(2,1/(人給データ!$B$2:$B$700=$A238),人給データ!$J$2:$J$700)=0,"",LOOKUP(2,1/(人給データ!$B$2:$B$700=$A238),人給データ!$J$2:$J$700)),""))</f>
        <v/>
      </c>
      <c r="H238" s="20">
        <f>IF($A238="","",IFERROR(IF(LOOKUP(2,1/(人給データ!$B$2:$B$700=$A238),人給データ!$K$2:$K$700)=0,"",LOOKUP(2,1/(人給データ!$B$2:$B$700=$A238),人給データ!$K$2:$K$700)),""))</f>
        <v/>
      </c>
      <c r="I238" s="12" t="n"/>
      <c r="J238">
        <f>IF($A238="","",IFERROR(IF(LOOKUP(2,1/(人給データ!$B$2:$B$700=$A238),人給データ!$N$2:$N$700)=0,"",LOOKUP(2,1/(人給データ!$B$2:$B$700=$A238),人給データ!$N$2:$N$700)),""))</f>
        <v/>
      </c>
      <c r="K238" s="13" t="n"/>
      <c r="L238" s="12" t="n"/>
      <c r="M238" s="12" t="n"/>
      <c r="N238" s="11" t="n"/>
      <c r="O238" s="11" t="n"/>
      <c r="P238" s="14">
        <f>IF(AND(M238&lt;&gt;"",O238=""),"保留中","")</f>
        <v/>
      </c>
      <c r="Q238" s="14">
        <f>IF(P238="保留中",COUNTIF(P$6:P238,"保留中"),"")</f>
        <v/>
      </c>
    </row>
    <row r="239">
      <c r="A239" s="12" t="n"/>
      <c r="B239">
        <f>IF($A239="","",IFERROR(IF(LOOKUP(2,1/(人給データ!$B$2:$B$700=$A239),人給データ!$C$2:$C$700)=0,"",LOOKUP(2,1/(人給データ!$B$2:$B$700=$A239),人給データ!$C$2:$C$700)),""))</f>
        <v/>
      </c>
      <c r="C239">
        <f>IF($A239="","",IFERROR(IF(LOOKUP(2,1/(人給データ!$B$2:$B$700=$A239),人給データ!$G$2:$G$700)=0,"",LOOKUP(2,1/(人給データ!$B$2:$B$700=$A239),人給データ!$G$2:$G$700)),""))</f>
        <v/>
      </c>
      <c r="D239">
        <f>IF($A239="","",IFERROR(IF(LOOKUP(2,1/(人給データ!$B$2:$B$700=$A239),人給データ!$Y$2:$Y$700)=0,"",LOOKUP(2,1/(人給データ!$B$2:$B$700=$A239),人給データ!$Y$2:$Y$700)),""))</f>
        <v/>
      </c>
      <c r="E239" s="20">
        <f>IF($A239="","",IFERROR(IF(LOOKUP(2,1/(人給データ!$B$2:$B$700=$A239),人給データ!$AB$2:$AB$700)=0,"",LOOKUP(2,1/(人給データ!$B$2:$B$700=$A239),人給データ!$AB$2:$AB$700)),""))</f>
        <v/>
      </c>
      <c r="F239" s="16">
        <f>IF(OR(E239="",NOT(ISNUMBER(E239))),"",DATE(YEAR(E239)+2,MONTH(E239),DAY(E239)-2))</f>
        <v/>
      </c>
      <c r="G239" s="20">
        <f>IF($A239="","",IFERROR(IF(LOOKUP(2,1/(人給データ!$B$2:$B$700=$A239),人給データ!$J$2:$J$700)=0,"",LOOKUP(2,1/(人給データ!$B$2:$B$700=$A239),人給データ!$J$2:$J$700)),""))</f>
        <v/>
      </c>
      <c r="H239" s="20">
        <f>IF($A239="","",IFERROR(IF(LOOKUP(2,1/(人給データ!$B$2:$B$700=$A239),人給データ!$K$2:$K$700)=0,"",LOOKUP(2,1/(人給データ!$B$2:$B$700=$A239),人給データ!$K$2:$K$700)),""))</f>
        <v/>
      </c>
      <c r="I239" s="12" t="n"/>
      <c r="J239">
        <f>IF($A239="","",IFERROR(IF(LOOKUP(2,1/(人給データ!$B$2:$B$700=$A239),人給データ!$N$2:$N$700)=0,"",LOOKUP(2,1/(人給データ!$B$2:$B$700=$A239),人給データ!$N$2:$N$700)),""))</f>
        <v/>
      </c>
      <c r="K239" s="13" t="n"/>
      <c r="L239" s="12" t="n"/>
      <c r="M239" s="12" t="n"/>
      <c r="N239" s="11" t="n"/>
      <c r="O239" s="11" t="n"/>
      <c r="P239" s="14">
        <f>IF(AND(M239&lt;&gt;"",O239=""),"保留中","")</f>
        <v/>
      </c>
      <c r="Q239" s="14">
        <f>IF(P239="保留中",COUNTIF(P$6:P239,"保留中"),"")</f>
        <v/>
      </c>
    </row>
    <row r="240">
      <c r="A240" s="12" t="n"/>
      <c r="B240">
        <f>IF($A240="","",IFERROR(IF(LOOKUP(2,1/(人給データ!$B$2:$B$700=$A240),人給データ!$C$2:$C$700)=0,"",LOOKUP(2,1/(人給データ!$B$2:$B$700=$A240),人給データ!$C$2:$C$700)),""))</f>
        <v/>
      </c>
      <c r="C240">
        <f>IF($A240="","",IFERROR(IF(LOOKUP(2,1/(人給データ!$B$2:$B$700=$A240),人給データ!$G$2:$G$700)=0,"",LOOKUP(2,1/(人給データ!$B$2:$B$700=$A240),人給データ!$G$2:$G$700)),""))</f>
        <v/>
      </c>
      <c r="D240">
        <f>IF($A240="","",IFERROR(IF(LOOKUP(2,1/(人給データ!$B$2:$B$700=$A240),人給データ!$Y$2:$Y$700)=0,"",LOOKUP(2,1/(人給データ!$B$2:$B$700=$A240),人給データ!$Y$2:$Y$700)),""))</f>
        <v/>
      </c>
      <c r="E240" s="20">
        <f>IF($A240="","",IFERROR(IF(LOOKUP(2,1/(人給データ!$B$2:$B$700=$A240),人給データ!$AB$2:$AB$700)=0,"",LOOKUP(2,1/(人給データ!$B$2:$B$700=$A240),人給データ!$AB$2:$AB$700)),""))</f>
        <v/>
      </c>
      <c r="F240" s="16">
        <f>IF(OR(E240="",NOT(ISNUMBER(E240))),"",DATE(YEAR(E240)+2,MONTH(E240),DAY(E240)-2))</f>
        <v/>
      </c>
      <c r="G240" s="20">
        <f>IF($A240="","",IFERROR(IF(LOOKUP(2,1/(人給データ!$B$2:$B$700=$A240),人給データ!$J$2:$J$700)=0,"",LOOKUP(2,1/(人給データ!$B$2:$B$700=$A240),人給データ!$J$2:$J$700)),""))</f>
        <v/>
      </c>
      <c r="H240" s="20">
        <f>IF($A240="","",IFERROR(IF(LOOKUP(2,1/(人給データ!$B$2:$B$700=$A240),人給データ!$K$2:$K$700)=0,"",LOOKUP(2,1/(人給データ!$B$2:$B$700=$A240),人給データ!$K$2:$K$700)),""))</f>
        <v/>
      </c>
      <c r="I240" s="12" t="n"/>
      <c r="J240">
        <f>IF($A240="","",IFERROR(IF(LOOKUP(2,1/(人給データ!$B$2:$B$700=$A240),人給データ!$N$2:$N$700)=0,"",LOOKUP(2,1/(人給データ!$B$2:$B$700=$A240),人給データ!$N$2:$N$700)),""))</f>
        <v/>
      </c>
      <c r="K240" s="13" t="n"/>
      <c r="L240" s="12" t="n"/>
      <c r="M240" s="12" t="n"/>
      <c r="N240" s="11" t="n"/>
      <c r="O240" s="11" t="n"/>
      <c r="P240" s="14">
        <f>IF(AND(M240&lt;&gt;"",O240=""),"保留中","")</f>
        <v/>
      </c>
      <c r="Q240" s="14">
        <f>IF(P240="保留中",COUNTIF(P$6:P240,"保留中"),"")</f>
        <v/>
      </c>
    </row>
    <row r="241">
      <c r="A241" s="12" t="n"/>
      <c r="B241">
        <f>IF($A241="","",IFERROR(IF(LOOKUP(2,1/(人給データ!$B$2:$B$700=$A241),人給データ!$C$2:$C$700)=0,"",LOOKUP(2,1/(人給データ!$B$2:$B$700=$A241),人給データ!$C$2:$C$700)),""))</f>
        <v/>
      </c>
      <c r="C241">
        <f>IF($A241="","",IFERROR(IF(LOOKUP(2,1/(人給データ!$B$2:$B$700=$A241),人給データ!$G$2:$G$700)=0,"",LOOKUP(2,1/(人給データ!$B$2:$B$700=$A241),人給データ!$G$2:$G$700)),""))</f>
        <v/>
      </c>
      <c r="D241">
        <f>IF($A241="","",IFERROR(IF(LOOKUP(2,1/(人給データ!$B$2:$B$700=$A241),人給データ!$Y$2:$Y$700)=0,"",LOOKUP(2,1/(人給データ!$B$2:$B$700=$A241),人給データ!$Y$2:$Y$700)),""))</f>
        <v/>
      </c>
      <c r="E241" s="20">
        <f>IF($A241="","",IFERROR(IF(LOOKUP(2,1/(人給データ!$B$2:$B$700=$A241),人給データ!$AB$2:$AB$700)=0,"",LOOKUP(2,1/(人給データ!$B$2:$B$700=$A241),人給データ!$AB$2:$AB$700)),""))</f>
        <v/>
      </c>
      <c r="F241" s="16">
        <f>IF(OR(E241="",NOT(ISNUMBER(E241))),"",DATE(YEAR(E241)+2,MONTH(E241),DAY(E241)-2))</f>
        <v/>
      </c>
      <c r="G241" s="20">
        <f>IF($A241="","",IFERROR(IF(LOOKUP(2,1/(人給データ!$B$2:$B$700=$A241),人給データ!$J$2:$J$700)=0,"",LOOKUP(2,1/(人給データ!$B$2:$B$700=$A241),人給データ!$J$2:$J$700)),""))</f>
        <v/>
      </c>
      <c r="H241" s="20">
        <f>IF($A241="","",IFERROR(IF(LOOKUP(2,1/(人給データ!$B$2:$B$700=$A241),人給データ!$K$2:$K$700)=0,"",LOOKUP(2,1/(人給データ!$B$2:$B$700=$A241),人給データ!$K$2:$K$700)),""))</f>
        <v/>
      </c>
      <c r="I241" s="12" t="n"/>
      <c r="J241">
        <f>IF($A241="","",IFERROR(IF(LOOKUP(2,1/(人給データ!$B$2:$B$700=$A241),人給データ!$N$2:$N$700)=0,"",LOOKUP(2,1/(人給データ!$B$2:$B$700=$A241),人給データ!$N$2:$N$700)),""))</f>
        <v/>
      </c>
      <c r="K241" s="13" t="n"/>
      <c r="L241" s="12" t="n"/>
      <c r="M241" s="12" t="n"/>
      <c r="N241" s="11" t="n"/>
      <c r="O241" s="11" t="n"/>
      <c r="P241" s="14">
        <f>IF(AND(M241&lt;&gt;"",O241=""),"保留中","")</f>
        <v/>
      </c>
      <c r="Q241" s="14">
        <f>IF(P241="保留中",COUNTIF(P$6:P241,"保留中"),"")</f>
        <v/>
      </c>
    </row>
    <row r="242">
      <c r="A242" s="12" t="n"/>
      <c r="B242">
        <f>IF($A242="","",IFERROR(IF(LOOKUP(2,1/(人給データ!$B$2:$B$700=$A242),人給データ!$C$2:$C$700)=0,"",LOOKUP(2,1/(人給データ!$B$2:$B$700=$A242),人給データ!$C$2:$C$700)),""))</f>
        <v/>
      </c>
      <c r="C242">
        <f>IF($A242="","",IFERROR(IF(LOOKUP(2,1/(人給データ!$B$2:$B$700=$A242),人給データ!$G$2:$G$700)=0,"",LOOKUP(2,1/(人給データ!$B$2:$B$700=$A242),人給データ!$G$2:$G$700)),""))</f>
        <v/>
      </c>
      <c r="D242">
        <f>IF($A242="","",IFERROR(IF(LOOKUP(2,1/(人給データ!$B$2:$B$700=$A242),人給データ!$Y$2:$Y$700)=0,"",LOOKUP(2,1/(人給データ!$B$2:$B$700=$A242),人給データ!$Y$2:$Y$700)),""))</f>
        <v/>
      </c>
      <c r="E242" s="20">
        <f>IF($A242="","",IFERROR(IF(LOOKUP(2,1/(人給データ!$B$2:$B$700=$A242),人給データ!$AB$2:$AB$700)=0,"",LOOKUP(2,1/(人給データ!$B$2:$B$700=$A242),人給データ!$AB$2:$AB$700)),""))</f>
        <v/>
      </c>
      <c r="F242" s="16">
        <f>IF(OR(E242="",NOT(ISNUMBER(E242))),"",DATE(YEAR(E242)+2,MONTH(E242),DAY(E242)-2))</f>
        <v/>
      </c>
      <c r="G242" s="20">
        <f>IF($A242="","",IFERROR(IF(LOOKUP(2,1/(人給データ!$B$2:$B$700=$A242),人給データ!$J$2:$J$700)=0,"",LOOKUP(2,1/(人給データ!$B$2:$B$700=$A242),人給データ!$J$2:$J$700)),""))</f>
        <v/>
      </c>
      <c r="H242" s="20">
        <f>IF($A242="","",IFERROR(IF(LOOKUP(2,1/(人給データ!$B$2:$B$700=$A242),人給データ!$K$2:$K$700)=0,"",LOOKUP(2,1/(人給データ!$B$2:$B$700=$A242),人給データ!$K$2:$K$700)),""))</f>
        <v/>
      </c>
      <c r="I242" s="12" t="n"/>
      <c r="J242">
        <f>IF($A242="","",IFERROR(IF(LOOKUP(2,1/(人給データ!$B$2:$B$700=$A242),人給データ!$N$2:$N$700)=0,"",LOOKUP(2,1/(人給データ!$B$2:$B$700=$A242),人給データ!$N$2:$N$700)),""))</f>
        <v/>
      </c>
      <c r="K242" s="13" t="n"/>
      <c r="L242" s="12" t="n"/>
      <c r="M242" s="12" t="n"/>
      <c r="N242" s="11" t="n"/>
      <c r="O242" s="11" t="n"/>
      <c r="P242" s="14">
        <f>IF(AND(M242&lt;&gt;"",O242=""),"保留中","")</f>
        <v/>
      </c>
      <c r="Q242" s="14">
        <f>IF(P242="保留中",COUNTIF(P$6:P242,"保留中"),"")</f>
        <v/>
      </c>
    </row>
    <row r="243">
      <c r="A243" s="12" t="n"/>
      <c r="B243">
        <f>IF($A243="","",IFERROR(IF(LOOKUP(2,1/(人給データ!$B$2:$B$700=$A243),人給データ!$C$2:$C$700)=0,"",LOOKUP(2,1/(人給データ!$B$2:$B$700=$A243),人給データ!$C$2:$C$700)),""))</f>
        <v/>
      </c>
      <c r="C243">
        <f>IF($A243="","",IFERROR(IF(LOOKUP(2,1/(人給データ!$B$2:$B$700=$A243),人給データ!$G$2:$G$700)=0,"",LOOKUP(2,1/(人給データ!$B$2:$B$700=$A243),人給データ!$G$2:$G$700)),""))</f>
        <v/>
      </c>
      <c r="D243">
        <f>IF($A243="","",IFERROR(IF(LOOKUP(2,1/(人給データ!$B$2:$B$700=$A243),人給データ!$Y$2:$Y$700)=0,"",LOOKUP(2,1/(人給データ!$B$2:$B$700=$A243),人給データ!$Y$2:$Y$700)),""))</f>
        <v/>
      </c>
      <c r="E243" s="20">
        <f>IF($A243="","",IFERROR(IF(LOOKUP(2,1/(人給データ!$B$2:$B$700=$A243),人給データ!$AB$2:$AB$700)=0,"",LOOKUP(2,1/(人給データ!$B$2:$B$700=$A243),人給データ!$AB$2:$AB$700)),""))</f>
        <v/>
      </c>
      <c r="F243" s="16">
        <f>IF(OR(E243="",NOT(ISNUMBER(E243))),"",DATE(YEAR(E243)+2,MONTH(E243),DAY(E243)-2))</f>
        <v/>
      </c>
      <c r="G243" s="20">
        <f>IF($A243="","",IFERROR(IF(LOOKUP(2,1/(人給データ!$B$2:$B$700=$A243),人給データ!$J$2:$J$700)=0,"",LOOKUP(2,1/(人給データ!$B$2:$B$700=$A243),人給データ!$J$2:$J$700)),""))</f>
        <v/>
      </c>
      <c r="H243" s="20">
        <f>IF($A243="","",IFERROR(IF(LOOKUP(2,1/(人給データ!$B$2:$B$700=$A243),人給データ!$K$2:$K$700)=0,"",LOOKUP(2,1/(人給データ!$B$2:$B$700=$A243),人給データ!$K$2:$K$700)),""))</f>
        <v/>
      </c>
      <c r="I243" s="12" t="n"/>
      <c r="J243">
        <f>IF($A243="","",IFERROR(IF(LOOKUP(2,1/(人給データ!$B$2:$B$700=$A243),人給データ!$N$2:$N$700)=0,"",LOOKUP(2,1/(人給データ!$B$2:$B$700=$A243),人給データ!$N$2:$N$700)),""))</f>
        <v/>
      </c>
      <c r="K243" s="13" t="n"/>
      <c r="L243" s="12" t="n"/>
      <c r="M243" s="12" t="n"/>
      <c r="N243" s="11" t="n"/>
      <c r="O243" s="11" t="n"/>
      <c r="P243" s="14">
        <f>IF(AND(M243&lt;&gt;"",O243=""),"保留中","")</f>
        <v/>
      </c>
      <c r="Q243" s="14">
        <f>IF(P243="保留中",COUNTIF(P$6:P243,"保留中"),"")</f>
        <v/>
      </c>
    </row>
    <row r="244">
      <c r="A244" s="12" t="n"/>
      <c r="B244">
        <f>IF($A244="","",IFERROR(IF(LOOKUP(2,1/(人給データ!$B$2:$B$700=$A244),人給データ!$C$2:$C$700)=0,"",LOOKUP(2,1/(人給データ!$B$2:$B$700=$A244),人給データ!$C$2:$C$700)),""))</f>
        <v/>
      </c>
      <c r="C244">
        <f>IF($A244="","",IFERROR(IF(LOOKUP(2,1/(人給データ!$B$2:$B$700=$A244),人給データ!$G$2:$G$700)=0,"",LOOKUP(2,1/(人給データ!$B$2:$B$700=$A244),人給データ!$G$2:$G$700)),""))</f>
        <v/>
      </c>
      <c r="D244">
        <f>IF($A244="","",IFERROR(IF(LOOKUP(2,1/(人給データ!$B$2:$B$700=$A244),人給データ!$Y$2:$Y$700)=0,"",LOOKUP(2,1/(人給データ!$B$2:$B$700=$A244),人給データ!$Y$2:$Y$700)),""))</f>
        <v/>
      </c>
      <c r="E244" s="20">
        <f>IF($A244="","",IFERROR(IF(LOOKUP(2,1/(人給データ!$B$2:$B$700=$A244),人給データ!$AB$2:$AB$700)=0,"",LOOKUP(2,1/(人給データ!$B$2:$B$700=$A244),人給データ!$AB$2:$AB$700)),""))</f>
        <v/>
      </c>
      <c r="F244" s="16">
        <f>IF(OR(E244="",NOT(ISNUMBER(E244))),"",DATE(YEAR(E244)+2,MONTH(E244),DAY(E244)-2))</f>
        <v/>
      </c>
      <c r="G244" s="20">
        <f>IF($A244="","",IFERROR(IF(LOOKUP(2,1/(人給データ!$B$2:$B$700=$A244),人給データ!$J$2:$J$700)=0,"",LOOKUP(2,1/(人給データ!$B$2:$B$700=$A244),人給データ!$J$2:$J$700)),""))</f>
        <v/>
      </c>
      <c r="H244" s="20">
        <f>IF($A244="","",IFERROR(IF(LOOKUP(2,1/(人給データ!$B$2:$B$700=$A244),人給データ!$K$2:$K$700)=0,"",LOOKUP(2,1/(人給データ!$B$2:$B$700=$A244),人給データ!$K$2:$K$700)),""))</f>
        <v/>
      </c>
      <c r="I244" s="12" t="n"/>
      <c r="J244">
        <f>IF($A244="","",IFERROR(IF(LOOKUP(2,1/(人給データ!$B$2:$B$700=$A244),人給データ!$N$2:$N$700)=0,"",LOOKUP(2,1/(人給データ!$B$2:$B$700=$A244),人給データ!$N$2:$N$700)),""))</f>
        <v/>
      </c>
      <c r="K244" s="13" t="n"/>
      <c r="L244" s="12" t="n"/>
      <c r="M244" s="12" t="n"/>
      <c r="N244" s="11" t="n"/>
      <c r="O244" s="11" t="n"/>
      <c r="P244" s="14">
        <f>IF(AND(M244&lt;&gt;"",O244=""),"保留中","")</f>
        <v/>
      </c>
      <c r="Q244" s="14">
        <f>IF(P244="保留中",COUNTIF(P$6:P244,"保留中"),"")</f>
        <v/>
      </c>
    </row>
    <row r="245">
      <c r="A245" s="12" t="n"/>
      <c r="B245">
        <f>IF($A245="","",IFERROR(IF(LOOKUP(2,1/(人給データ!$B$2:$B$700=$A245),人給データ!$C$2:$C$700)=0,"",LOOKUP(2,1/(人給データ!$B$2:$B$700=$A245),人給データ!$C$2:$C$700)),""))</f>
        <v/>
      </c>
      <c r="C245">
        <f>IF($A245="","",IFERROR(IF(LOOKUP(2,1/(人給データ!$B$2:$B$700=$A245),人給データ!$G$2:$G$700)=0,"",LOOKUP(2,1/(人給データ!$B$2:$B$700=$A245),人給データ!$G$2:$G$700)),""))</f>
        <v/>
      </c>
      <c r="D245">
        <f>IF($A245="","",IFERROR(IF(LOOKUP(2,1/(人給データ!$B$2:$B$700=$A245),人給データ!$Y$2:$Y$700)=0,"",LOOKUP(2,1/(人給データ!$B$2:$B$700=$A245),人給データ!$Y$2:$Y$700)),""))</f>
        <v/>
      </c>
      <c r="E245" s="20">
        <f>IF($A245="","",IFERROR(IF(LOOKUP(2,1/(人給データ!$B$2:$B$700=$A245),人給データ!$AB$2:$AB$700)=0,"",LOOKUP(2,1/(人給データ!$B$2:$B$700=$A245),人給データ!$AB$2:$AB$700)),""))</f>
        <v/>
      </c>
      <c r="F245" s="16">
        <f>IF(OR(E245="",NOT(ISNUMBER(E245))),"",DATE(YEAR(E245)+2,MONTH(E245),DAY(E245)-2))</f>
        <v/>
      </c>
      <c r="G245" s="20">
        <f>IF($A245="","",IFERROR(IF(LOOKUP(2,1/(人給データ!$B$2:$B$700=$A245),人給データ!$J$2:$J$700)=0,"",LOOKUP(2,1/(人給データ!$B$2:$B$700=$A245),人給データ!$J$2:$J$700)),""))</f>
        <v/>
      </c>
      <c r="H245" s="20">
        <f>IF($A245="","",IFERROR(IF(LOOKUP(2,1/(人給データ!$B$2:$B$700=$A245),人給データ!$K$2:$K$700)=0,"",LOOKUP(2,1/(人給データ!$B$2:$B$700=$A245),人給データ!$K$2:$K$700)),""))</f>
        <v/>
      </c>
      <c r="I245" s="12" t="n"/>
      <c r="J245">
        <f>IF($A245="","",IFERROR(IF(LOOKUP(2,1/(人給データ!$B$2:$B$700=$A245),人給データ!$N$2:$N$700)=0,"",LOOKUP(2,1/(人給データ!$B$2:$B$700=$A245),人給データ!$N$2:$N$700)),""))</f>
        <v/>
      </c>
      <c r="K245" s="13" t="n"/>
      <c r="L245" s="12" t="n"/>
      <c r="M245" s="12" t="n"/>
      <c r="N245" s="11" t="n"/>
      <c r="O245" s="11" t="n"/>
      <c r="P245" s="14">
        <f>IF(AND(M245&lt;&gt;"",O245=""),"保留中","")</f>
        <v/>
      </c>
      <c r="Q245" s="14">
        <f>IF(P245="保留中",COUNTIF(P$6:P245,"保留中"),"")</f>
        <v/>
      </c>
    </row>
    <row r="246">
      <c r="A246" s="12" t="n"/>
      <c r="B246">
        <f>IF($A246="","",IFERROR(IF(LOOKUP(2,1/(人給データ!$B$2:$B$700=$A246),人給データ!$C$2:$C$700)=0,"",LOOKUP(2,1/(人給データ!$B$2:$B$700=$A246),人給データ!$C$2:$C$700)),""))</f>
        <v/>
      </c>
      <c r="C246">
        <f>IF($A246="","",IFERROR(IF(LOOKUP(2,1/(人給データ!$B$2:$B$700=$A246),人給データ!$G$2:$G$700)=0,"",LOOKUP(2,1/(人給データ!$B$2:$B$700=$A246),人給データ!$G$2:$G$700)),""))</f>
        <v/>
      </c>
      <c r="D246">
        <f>IF($A246="","",IFERROR(IF(LOOKUP(2,1/(人給データ!$B$2:$B$700=$A246),人給データ!$Y$2:$Y$700)=0,"",LOOKUP(2,1/(人給データ!$B$2:$B$700=$A246),人給データ!$Y$2:$Y$700)),""))</f>
        <v/>
      </c>
      <c r="E246" s="20">
        <f>IF($A246="","",IFERROR(IF(LOOKUP(2,1/(人給データ!$B$2:$B$700=$A246),人給データ!$AB$2:$AB$700)=0,"",LOOKUP(2,1/(人給データ!$B$2:$B$700=$A246),人給データ!$AB$2:$AB$700)),""))</f>
        <v/>
      </c>
      <c r="F246" s="16">
        <f>IF(OR(E246="",NOT(ISNUMBER(E246))),"",DATE(YEAR(E246)+2,MONTH(E246),DAY(E246)-2))</f>
        <v/>
      </c>
      <c r="G246" s="20">
        <f>IF($A246="","",IFERROR(IF(LOOKUP(2,1/(人給データ!$B$2:$B$700=$A246),人給データ!$J$2:$J$700)=0,"",LOOKUP(2,1/(人給データ!$B$2:$B$700=$A246),人給データ!$J$2:$J$700)),""))</f>
        <v/>
      </c>
      <c r="H246" s="20">
        <f>IF($A246="","",IFERROR(IF(LOOKUP(2,1/(人給データ!$B$2:$B$700=$A246),人給データ!$K$2:$K$700)=0,"",LOOKUP(2,1/(人給データ!$B$2:$B$700=$A246),人給データ!$K$2:$K$700)),""))</f>
        <v/>
      </c>
      <c r="I246" s="12" t="n"/>
      <c r="J246">
        <f>IF($A246="","",IFERROR(IF(LOOKUP(2,1/(人給データ!$B$2:$B$700=$A246),人給データ!$N$2:$N$700)=0,"",LOOKUP(2,1/(人給データ!$B$2:$B$700=$A246),人給データ!$N$2:$N$700)),""))</f>
        <v/>
      </c>
      <c r="K246" s="13" t="n"/>
      <c r="L246" s="12" t="n"/>
      <c r="M246" s="12" t="n"/>
      <c r="N246" s="11" t="n"/>
      <c r="O246" s="11" t="n"/>
      <c r="P246" s="14">
        <f>IF(AND(M246&lt;&gt;"",O246=""),"保留中","")</f>
        <v/>
      </c>
      <c r="Q246" s="14">
        <f>IF(P246="保留中",COUNTIF(P$6:P246,"保留中"),"")</f>
        <v/>
      </c>
    </row>
    <row r="247">
      <c r="A247" s="12" t="n"/>
      <c r="B247">
        <f>IF($A247="","",IFERROR(IF(LOOKUP(2,1/(人給データ!$B$2:$B$700=$A247),人給データ!$C$2:$C$700)=0,"",LOOKUP(2,1/(人給データ!$B$2:$B$700=$A247),人給データ!$C$2:$C$700)),""))</f>
        <v/>
      </c>
      <c r="C247">
        <f>IF($A247="","",IFERROR(IF(LOOKUP(2,1/(人給データ!$B$2:$B$700=$A247),人給データ!$G$2:$G$700)=0,"",LOOKUP(2,1/(人給データ!$B$2:$B$700=$A247),人給データ!$G$2:$G$700)),""))</f>
        <v/>
      </c>
      <c r="D247">
        <f>IF($A247="","",IFERROR(IF(LOOKUP(2,1/(人給データ!$B$2:$B$700=$A247),人給データ!$Y$2:$Y$700)=0,"",LOOKUP(2,1/(人給データ!$B$2:$B$700=$A247),人給データ!$Y$2:$Y$700)),""))</f>
        <v/>
      </c>
      <c r="E247" s="20">
        <f>IF($A247="","",IFERROR(IF(LOOKUP(2,1/(人給データ!$B$2:$B$700=$A247),人給データ!$AB$2:$AB$700)=0,"",LOOKUP(2,1/(人給データ!$B$2:$B$700=$A247),人給データ!$AB$2:$AB$700)),""))</f>
        <v/>
      </c>
      <c r="F247" s="16">
        <f>IF(OR(E247="",NOT(ISNUMBER(E247))),"",DATE(YEAR(E247)+2,MONTH(E247),DAY(E247)-2))</f>
        <v/>
      </c>
      <c r="G247" s="20">
        <f>IF($A247="","",IFERROR(IF(LOOKUP(2,1/(人給データ!$B$2:$B$700=$A247),人給データ!$J$2:$J$700)=0,"",LOOKUP(2,1/(人給データ!$B$2:$B$700=$A247),人給データ!$J$2:$J$700)),""))</f>
        <v/>
      </c>
      <c r="H247" s="20">
        <f>IF($A247="","",IFERROR(IF(LOOKUP(2,1/(人給データ!$B$2:$B$700=$A247),人給データ!$K$2:$K$700)=0,"",LOOKUP(2,1/(人給データ!$B$2:$B$700=$A247),人給データ!$K$2:$K$700)),""))</f>
        <v/>
      </c>
      <c r="I247" s="12" t="n"/>
      <c r="J247">
        <f>IF($A247="","",IFERROR(IF(LOOKUP(2,1/(人給データ!$B$2:$B$700=$A247),人給データ!$N$2:$N$700)=0,"",LOOKUP(2,1/(人給データ!$B$2:$B$700=$A247),人給データ!$N$2:$N$700)),""))</f>
        <v/>
      </c>
      <c r="K247" s="13" t="n"/>
      <c r="L247" s="12" t="n"/>
      <c r="M247" s="12" t="n"/>
      <c r="N247" s="11" t="n"/>
      <c r="O247" s="11" t="n"/>
      <c r="P247" s="14">
        <f>IF(AND(M247&lt;&gt;"",O247=""),"保留中","")</f>
        <v/>
      </c>
      <c r="Q247" s="14">
        <f>IF(P247="保留中",COUNTIF(P$6:P247,"保留中"),"")</f>
        <v/>
      </c>
    </row>
    <row r="248">
      <c r="A248" s="12" t="n"/>
      <c r="B248">
        <f>IF($A248="","",IFERROR(IF(LOOKUP(2,1/(人給データ!$B$2:$B$700=$A248),人給データ!$C$2:$C$700)=0,"",LOOKUP(2,1/(人給データ!$B$2:$B$700=$A248),人給データ!$C$2:$C$700)),""))</f>
        <v/>
      </c>
      <c r="C248">
        <f>IF($A248="","",IFERROR(IF(LOOKUP(2,1/(人給データ!$B$2:$B$700=$A248),人給データ!$G$2:$G$700)=0,"",LOOKUP(2,1/(人給データ!$B$2:$B$700=$A248),人給データ!$G$2:$G$700)),""))</f>
        <v/>
      </c>
      <c r="D248">
        <f>IF($A248="","",IFERROR(IF(LOOKUP(2,1/(人給データ!$B$2:$B$700=$A248),人給データ!$Y$2:$Y$700)=0,"",LOOKUP(2,1/(人給データ!$B$2:$B$700=$A248),人給データ!$Y$2:$Y$700)),""))</f>
        <v/>
      </c>
      <c r="E248" s="20">
        <f>IF($A248="","",IFERROR(IF(LOOKUP(2,1/(人給データ!$B$2:$B$700=$A248),人給データ!$AB$2:$AB$700)=0,"",LOOKUP(2,1/(人給データ!$B$2:$B$700=$A248),人給データ!$AB$2:$AB$700)),""))</f>
        <v/>
      </c>
      <c r="F248" s="16">
        <f>IF(OR(E248="",NOT(ISNUMBER(E248))),"",DATE(YEAR(E248)+2,MONTH(E248),DAY(E248)-2))</f>
        <v/>
      </c>
      <c r="G248" s="20">
        <f>IF($A248="","",IFERROR(IF(LOOKUP(2,1/(人給データ!$B$2:$B$700=$A248),人給データ!$J$2:$J$700)=0,"",LOOKUP(2,1/(人給データ!$B$2:$B$700=$A248),人給データ!$J$2:$J$700)),""))</f>
        <v/>
      </c>
      <c r="H248" s="20">
        <f>IF($A248="","",IFERROR(IF(LOOKUP(2,1/(人給データ!$B$2:$B$700=$A248),人給データ!$K$2:$K$700)=0,"",LOOKUP(2,1/(人給データ!$B$2:$B$700=$A248),人給データ!$K$2:$K$700)),""))</f>
        <v/>
      </c>
      <c r="I248" s="12" t="n"/>
      <c r="J248">
        <f>IF($A248="","",IFERROR(IF(LOOKUP(2,1/(人給データ!$B$2:$B$700=$A248),人給データ!$N$2:$N$700)=0,"",LOOKUP(2,1/(人給データ!$B$2:$B$700=$A248),人給データ!$N$2:$N$700)),""))</f>
        <v/>
      </c>
      <c r="K248" s="13" t="n"/>
      <c r="L248" s="12" t="n"/>
      <c r="M248" s="12" t="n"/>
      <c r="N248" s="11" t="n"/>
      <c r="O248" s="11" t="n"/>
      <c r="P248" s="14">
        <f>IF(AND(M248&lt;&gt;"",O248=""),"保留中","")</f>
        <v/>
      </c>
      <c r="Q248" s="14">
        <f>IF(P248="保留中",COUNTIF(P$6:P248,"保留中"),"")</f>
        <v/>
      </c>
    </row>
    <row r="249">
      <c r="A249" s="12" t="n"/>
      <c r="B249">
        <f>IF($A249="","",IFERROR(IF(LOOKUP(2,1/(人給データ!$B$2:$B$700=$A249),人給データ!$C$2:$C$700)=0,"",LOOKUP(2,1/(人給データ!$B$2:$B$700=$A249),人給データ!$C$2:$C$700)),""))</f>
        <v/>
      </c>
      <c r="C249">
        <f>IF($A249="","",IFERROR(IF(LOOKUP(2,1/(人給データ!$B$2:$B$700=$A249),人給データ!$G$2:$G$700)=0,"",LOOKUP(2,1/(人給データ!$B$2:$B$700=$A249),人給データ!$G$2:$G$700)),""))</f>
        <v/>
      </c>
      <c r="D249">
        <f>IF($A249="","",IFERROR(IF(LOOKUP(2,1/(人給データ!$B$2:$B$700=$A249),人給データ!$Y$2:$Y$700)=0,"",LOOKUP(2,1/(人給データ!$B$2:$B$700=$A249),人給データ!$Y$2:$Y$700)),""))</f>
        <v/>
      </c>
      <c r="E249" s="20">
        <f>IF($A249="","",IFERROR(IF(LOOKUP(2,1/(人給データ!$B$2:$B$700=$A249),人給データ!$AB$2:$AB$700)=0,"",LOOKUP(2,1/(人給データ!$B$2:$B$700=$A249),人給データ!$AB$2:$AB$700)),""))</f>
        <v/>
      </c>
      <c r="F249" s="16">
        <f>IF(OR(E249="",NOT(ISNUMBER(E249))),"",DATE(YEAR(E249)+2,MONTH(E249),DAY(E249)-2))</f>
        <v/>
      </c>
      <c r="G249" s="20">
        <f>IF($A249="","",IFERROR(IF(LOOKUP(2,1/(人給データ!$B$2:$B$700=$A249),人給データ!$J$2:$J$700)=0,"",LOOKUP(2,1/(人給データ!$B$2:$B$700=$A249),人給データ!$J$2:$J$700)),""))</f>
        <v/>
      </c>
      <c r="H249" s="20">
        <f>IF($A249="","",IFERROR(IF(LOOKUP(2,1/(人給データ!$B$2:$B$700=$A249),人給データ!$K$2:$K$700)=0,"",LOOKUP(2,1/(人給データ!$B$2:$B$700=$A249),人給データ!$K$2:$K$700)),""))</f>
        <v/>
      </c>
      <c r="I249" s="12" t="n"/>
      <c r="J249">
        <f>IF($A249="","",IFERROR(IF(LOOKUP(2,1/(人給データ!$B$2:$B$700=$A249),人給データ!$N$2:$N$700)=0,"",LOOKUP(2,1/(人給データ!$B$2:$B$700=$A249),人給データ!$N$2:$N$700)),""))</f>
        <v/>
      </c>
      <c r="K249" s="13" t="n"/>
      <c r="L249" s="12" t="n"/>
      <c r="M249" s="12" t="n"/>
      <c r="N249" s="11" t="n"/>
      <c r="O249" s="11" t="n"/>
      <c r="P249" s="14">
        <f>IF(AND(M249&lt;&gt;"",O249=""),"保留中","")</f>
        <v/>
      </c>
      <c r="Q249" s="14">
        <f>IF(P249="保留中",COUNTIF(P$6:P249,"保留中"),"")</f>
        <v/>
      </c>
    </row>
    <row r="250">
      <c r="A250" s="12" t="n"/>
      <c r="B250">
        <f>IF($A250="","",IFERROR(IF(LOOKUP(2,1/(人給データ!$B$2:$B$700=$A250),人給データ!$C$2:$C$700)=0,"",LOOKUP(2,1/(人給データ!$B$2:$B$700=$A250),人給データ!$C$2:$C$700)),""))</f>
        <v/>
      </c>
      <c r="C250">
        <f>IF($A250="","",IFERROR(IF(LOOKUP(2,1/(人給データ!$B$2:$B$700=$A250),人給データ!$G$2:$G$700)=0,"",LOOKUP(2,1/(人給データ!$B$2:$B$700=$A250),人給データ!$G$2:$G$700)),""))</f>
        <v/>
      </c>
      <c r="D250">
        <f>IF($A250="","",IFERROR(IF(LOOKUP(2,1/(人給データ!$B$2:$B$700=$A250),人給データ!$Y$2:$Y$700)=0,"",LOOKUP(2,1/(人給データ!$B$2:$B$700=$A250),人給データ!$Y$2:$Y$700)),""))</f>
        <v/>
      </c>
      <c r="E250" s="20">
        <f>IF($A250="","",IFERROR(IF(LOOKUP(2,1/(人給データ!$B$2:$B$700=$A250),人給データ!$AB$2:$AB$700)=0,"",LOOKUP(2,1/(人給データ!$B$2:$B$700=$A250),人給データ!$AB$2:$AB$700)),""))</f>
        <v/>
      </c>
      <c r="F250" s="16">
        <f>IF(OR(E250="",NOT(ISNUMBER(E250))),"",DATE(YEAR(E250)+2,MONTH(E250),DAY(E250)-2))</f>
        <v/>
      </c>
      <c r="G250" s="20">
        <f>IF($A250="","",IFERROR(IF(LOOKUP(2,1/(人給データ!$B$2:$B$700=$A250),人給データ!$J$2:$J$700)=0,"",LOOKUP(2,1/(人給データ!$B$2:$B$700=$A250),人給データ!$J$2:$J$700)),""))</f>
        <v/>
      </c>
      <c r="H250" s="20">
        <f>IF($A250="","",IFERROR(IF(LOOKUP(2,1/(人給データ!$B$2:$B$700=$A250),人給データ!$K$2:$K$700)=0,"",LOOKUP(2,1/(人給データ!$B$2:$B$700=$A250),人給データ!$K$2:$K$700)),""))</f>
        <v/>
      </c>
      <c r="I250" s="12" t="n"/>
      <c r="J250">
        <f>IF($A250="","",IFERROR(IF(LOOKUP(2,1/(人給データ!$B$2:$B$700=$A250),人給データ!$N$2:$N$700)=0,"",LOOKUP(2,1/(人給データ!$B$2:$B$700=$A250),人給データ!$N$2:$N$700)),""))</f>
        <v/>
      </c>
      <c r="K250" s="13" t="n"/>
      <c r="L250" s="12" t="n"/>
      <c r="M250" s="12" t="n"/>
      <c r="N250" s="11" t="n"/>
      <c r="O250" s="11" t="n"/>
      <c r="P250" s="14">
        <f>IF(AND(M250&lt;&gt;"",O250=""),"保留中","")</f>
        <v/>
      </c>
      <c r="Q250" s="14">
        <f>IF(P250="保留中",COUNTIF(P$6:P250,"保留中"),"")</f>
        <v/>
      </c>
    </row>
    <row r="251">
      <c r="A251" s="12" t="n"/>
      <c r="B251">
        <f>IF($A251="","",IFERROR(IF(LOOKUP(2,1/(人給データ!$B$2:$B$700=$A251),人給データ!$C$2:$C$700)=0,"",LOOKUP(2,1/(人給データ!$B$2:$B$700=$A251),人給データ!$C$2:$C$700)),""))</f>
        <v/>
      </c>
      <c r="C251">
        <f>IF($A251="","",IFERROR(IF(LOOKUP(2,1/(人給データ!$B$2:$B$700=$A251),人給データ!$G$2:$G$700)=0,"",LOOKUP(2,1/(人給データ!$B$2:$B$700=$A251),人給データ!$G$2:$G$700)),""))</f>
        <v/>
      </c>
      <c r="D251">
        <f>IF($A251="","",IFERROR(IF(LOOKUP(2,1/(人給データ!$B$2:$B$700=$A251),人給データ!$Y$2:$Y$700)=0,"",LOOKUP(2,1/(人給データ!$B$2:$B$700=$A251),人給データ!$Y$2:$Y$700)),""))</f>
        <v/>
      </c>
      <c r="E251" s="20">
        <f>IF($A251="","",IFERROR(IF(LOOKUP(2,1/(人給データ!$B$2:$B$700=$A251),人給データ!$AB$2:$AB$700)=0,"",LOOKUP(2,1/(人給データ!$B$2:$B$700=$A251),人給データ!$AB$2:$AB$700)),""))</f>
        <v/>
      </c>
      <c r="F251" s="16">
        <f>IF(OR(E251="",NOT(ISNUMBER(E251))),"",DATE(YEAR(E251)+2,MONTH(E251),DAY(E251)-2))</f>
        <v/>
      </c>
      <c r="G251" s="20">
        <f>IF($A251="","",IFERROR(IF(LOOKUP(2,1/(人給データ!$B$2:$B$700=$A251),人給データ!$J$2:$J$700)=0,"",LOOKUP(2,1/(人給データ!$B$2:$B$700=$A251),人給データ!$J$2:$J$700)),""))</f>
        <v/>
      </c>
      <c r="H251" s="20">
        <f>IF($A251="","",IFERROR(IF(LOOKUP(2,1/(人給データ!$B$2:$B$700=$A251),人給データ!$K$2:$K$700)=0,"",LOOKUP(2,1/(人給データ!$B$2:$B$700=$A251),人給データ!$K$2:$K$700)),""))</f>
        <v/>
      </c>
      <c r="I251" s="12" t="n"/>
      <c r="J251">
        <f>IF($A251="","",IFERROR(IF(LOOKUP(2,1/(人給データ!$B$2:$B$700=$A251),人給データ!$N$2:$N$700)=0,"",LOOKUP(2,1/(人給データ!$B$2:$B$700=$A251),人給データ!$N$2:$N$700)),""))</f>
        <v/>
      </c>
      <c r="K251" s="13" t="n"/>
      <c r="L251" s="12" t="n"/>
      <c r="M251" s="12" t="n"/>
      <c r="N251" s="11" t="n"/>
      <c r="O251" s="11" t="n"/>
      <c r="P251" s="14">
        <f>IF(AND(M251&lt;&gt;"",O251=""),"保留中","")</f>
        <v/>
      </c>
      <c r="Q251" s="14">
        <f>IF(P251="保留中",COUNTIF(P$6:P251,"保留中"),"")</f>
        <v/>
      </c>
    </row>
    <row r="252">
      <c r="A252" s="12" t="n"/>
      <c r="B252">
        <f>IF($A252="","",IFERROR(IF(LOOKUP(2,1/(人給データ!$B$2:$B$700=$A252),人給データ!$C$2:$C$700)=0,"",LOOKUP(2,1/(人給データ!$B$2:$B$700=$A252),人給データ!$C$2:$C$700)),""))</f>
        <v/>
      </c>
      <c r="C252">
        <f>IF($A252="","",IFERROR(IF(LOOKUP(2,1/(人給データ!$B$2:$B$700=$A252),人給データ!$G$2:$G$700)=0,"",LOOKUP(2,1/(人給データ!$B$2:$B$700=$A252),人給データ!$G$2:$G$700)),""))</f>
        <v/>
      </c>
      <c r="D252">
        <f>IF($A252="","",IFERROR(IF(LOOKUP(2,1/(人給データ!$B$2:$B$700=$A252),人給データ!$Y$2:$Y$700)=0,"",LOOKUP(2,1/(人給データ!$B$2:$B$700=$A252),人給データ!$Y$2:$Y$700)),""))</f>
        <v/>
      </c>
      <c r="E252" s="20">
        <f>IF($A252="","",IFERROR(IF(LOOKUP(2,1/(人給データ!$B$2:$B$700=$A252),人給データ!$AB$2:$AB$700)=0,"",LOOKUP(2,1/(人給データ!$B$2:$B$700=$A252),人給データ!$AB$2:$AB$700)),""))</f>
        <v/>
      </c>
      <c r="F252" s="16">
        <f>IF(OR(E252="",NOT(ISNUMBER(E252))),"",DATE(YEAR(E252)+2,MONTH(E252),DAY(E252)-2))</f>
        <v/>
      </c>
      <c r="G252" s="20">
        <f>IF($A252="","",IFERROR(IF(LOOKUP(2,1/(人給データ!$B$2:$B$700=$A252),人給データ!$J$2:$J$700)=0,"",LOOKUP(2,1/(人給データ!$B$2:$B$700=$A252),人給データ!$J$2:$J$700)),""))</f>
        <v/>
      </c>
      <c r="H252" s="20">
        <f>IF($A252="","",IFERROR(IF(LOOKUP(2,1/(人給データ!$B$2:$B$700=$A252),人給データ!$K$2:$K$700)=0,"",LOOKUP(2,1/(人給データ!$B$2:$B$700=$A252),人給データ!$K$2:$K$700)),""))</f>
        <v/>
      </c>
      <c r="I252" s="12" t="n"/>
      <c r="J252">
        <f>IF($A252="","",IFERROR(IF(LOOKUP(2,1/(人給データ!$B$2:$B$700=$A252),人給データ!$N$2:$N$700)=0,"",LOOKUP(2,1/(人給データ!$B$2:$B$700=$A252),人給データ!$N$2:$N$700)),""))</f>
        <v/>
      </c>
      <c r="K252" s="13" t="n"/>
      <c r="L252" s="12" t="n"/>
      <c r="M252" s="12" t="n"/>
      <c r="N252" s="11" t="n"/>
      <c r="O252" s="11" t="n"/>
      <c r="P252" s="14">
        <f>IF(AND(M252&lt;&gt;"",O252=""),"保留中","")</f>
        <v/>
      </c>
      <c r="Q252" s="14">
        <f>IF(P252="保留中",COUNTIF(P$6:P252,"保留中"),"")</f>
        <v/>
      </c>
    </row>
    <row r="253">
      <c r="A253" s="12" t="n"/>
      <c r="B253">
        <f>IF($A253="","",IFERROR(IF(LOOKUP(2,1/(人給データ!$B$2:$B$700=$A253),人給データ!$C$2:$C$700)=0,"",LOOKUP(2,1/(人給データ!$B$2:$B$700=$A253),人給データ!$C$2:$C$700)),""))</f>
        <v/>
      </c>
      <c r="C253">
        <f>IF($A253="","",IFERROR(IF(LOOKUP(2,1/(人給データ!$B$2:$B$700=$A253),人給データ!$G$2:$G$700)=0,"",LOOKUP(2,1/(人給データ!$B$2:$B$700=$A253),人給データ!$G$2:$G$700)),""))</f>
        <v/>
      </c>
      <c r="D253">
        <f>IF($A253="","",IFERROR(IF(LOOKUP(2,1/(人給データ!$B$2:$B$700=$A253),人給データ!$Y$2:$Y$700)=0,"",LOOKUP(2,1/(人給データ!$B$2:$B$700=$A253),人給データ!$Y$2:$Y$700)),""))</f>
        <v/>
      </c>
      <c r="E253" s="20">
        <f>IF($A253="","",IFERROR(IF(LOOKUP(2,1/(人給データ!$B$2:$B$700=$A253),人給データ!$AB$2:$AB$700)=0,"",LOOKUP(2,1/(人給データ!$B$2:$B$700=$A253),人給データ!$AB$2:$AB$700)),""))</f>
        <v/>
      </c>
      <c r="F253" s="16">
        <f>IF(OR(E253="",NOT(ISNUMBER(E253))),"",DATE(YEAR(E253)+2,MONTH(E253),DAY(E253)-2))</f>
        <v/>
      </c>
      <c r="G253" s="20">
        <f>IF($A253="","",IFERROR(IF(LOOKUP(2,1/(人給データ!$B$2:$B$700=$A253),人給データ!$J$2:$J$700)=0,"",LOOKUP(2,1/(人給データ!$B$2:$B$700=$A253),人給データ!$J$2:$J$700)),""))</f>
        <v/>
      </c>
      <c r="H253" s="20">
        <f>IF($A253="","",IFERROR(IF(LOOKUP(2,1/(人給データ!$B$2:$B$700=$A253),人給データ!$K$2:$K$700)=0,"",LOOKUP(2,1/(人給データ!$B$2:$B$700=$A253),人給データ!$K$2:$K$700)),""))</f>
        <v/>
      </c>
      <c r="I253" s="12" t="n"/>
      <c r="J253">
        <f>IF($A253="","",IFERROR(IF(LOOKUP(2,1/(人給データ!$B$2:$B$700=$A253),人給データ!$N$2:$N$700)=0,"",LOOKUP(2,1/(人給データ!$B$2:$B$700=$A253),人給データ!$N$2:$N$700)),""))</f>
        <v/>
      </c>
      <c r="K253" s="13" t="n"/>
      <c r="L253" s="12" t="n"/>
      <c r="M253" s="12" t="n"/>
      <c r="N253" s="11" t="n"/>
      <c r="O253" s="11" t="n"/>
      <c r="P253" s="14">
        <f>IF(AND(M253&lt;&gt;"",O253=""),"保留中","")</f>
        <v/>
      </c>
      <c r="Q253" s="14">
        <f>IF(P253="保留中",COUNTIF(P$6:P253,"保留中"),"")</f>
        <v/>
      </c>
    </row>
    <row r="254">
      <c r="A254" s="12" t="n"/>
      <c r="B254">
        <f>IF($A254="","",IFERROR(IF(LOOKUP(2,1/(人給データ!$B$2:$B$700=$A254),人給データ!$C$2:$C$700)=0,"",LOOKUP(2,1/(人給データ!$B$2:$B$700=$A254),人給データ!$C$2:$C$700)),""))</f>
        <v/>
      </c>
      <c r="C254">
        <f>IF($A254="","",IFERROR(IF(LOOKUP(2,1/(人給データ!$B$2:$B$700=$A254),人給データ!$G$2:$G$700)=0,"",LOOKUP(2,1/(人給データ!$B$2:$B$700=$A254),人給データ!$G$2:$G$700)),""))</f>
        <v/>
      </c>
      <c r="D254">
        <f>IF($A254="","",IFERROR(IF(LOOKUP(2,1/(人給データ!$B$2:$B$700=$A254),人給データ!$Y$2:$Y$700)=0,"",LOOKUP(2,1/(人給データ!$B$2:$B$700=$A254),人給データ!$Y$2:$Y$700)),""))</f>
        <v/>
      </c>
      <c r="E254" s="20">
        <f>IF($A254="","",IFERROR(IF(LOOKUP(2,1/(人給データ!$B$2:$B$700=$A254),人給データ!$AB$2:$AB$700)=0,"",LOOKUP(2,1/(人給データ!$B$2:$B$700=$A254),人給データ!$AB$2:$AB$700)),""))</f>
        <v/>
      </c>
      <c r="F254" s="16">
        <f>IF(OR(E254="",NOT(ISNUMBER(E254))),"",DATE(YEAR(E254)+2,MONTH(E254),DAY(E254)-2))</f>
        <v/>
      </c>
      <c r="G254" s="20">
        <f>IF($A254="","",IFERROR(IF(LOOKUP(2,1/(人給データ!$B$2:$B$700=$A254),人給データ!$J$2:$J$700)=0,"",LOOKUP(2,1/(人給データ!$B$2:$B$700=$A254),人給データ!$J$2:$J$700)),""))</f>
        <v/>
      </c>
      <c r="H254" s="20">
        <f>IF($A254="","",IFERROR(IF(LOOKUP(2,1/(人給データ!$B$2:$B$700=$A254),人給データ!$K$2:$K$700)=0,"",LOOKUP(2,1/(人給データ!$B$2:$B$700=$A254),人給データ!$K$2:$K$700)),""))</f>
        <v/>
      </c>
      <c r="I254" s="12" t="n"/>
      <c r="J254">
        <f>IF($A254="","",IFERROR(IF(LOOKUP(2,1/(人給データ!$B$2:$B$700=$A254),人給データ!$N$2:$N$700)=0,"",LOOKUP(2,1/(人給データ!$B$2:$B$700=$A254),人給データ!$N$2:$N$700)),""))</f>
        <v/>
      </c>
      <c r="K254" s="13" t="n"/>
      <c r="L254" s="12" t="n"/>
      <c r="M254" s="12" t="n"/>
      <c r="N254" s="11" t="n"/>
      <c r="O254" s="11" t="n"/>
      <c r="P254" s="14">
        <f>IF(AND(M254&lt;&gt;"",O254=""),"保留中","")</f>
        <v/>
      </c>
      <c r="Q254" s="14">
        <f>IF(P254="保留中",COUNTIF(P$6:P254,"保留中"),"")</f>
        <v/>
      </c>
    </row>
    <row r="255">
      <c r="A255" s="12" t="n"/>
      <c r="B255">
        <f>IF($A255="","",IFERROR(IF(LOOKUP(2,1/(人給データ!$B$2:$B$700=$A255),人給データ!$C$2:$C$700)=0,"",LOOKUP(2,1/(人給データ!$B$2:$B$700=$A255),人給データ!$C$2:$C$700)),""))</f>
        <v/>
      </c>
      <c r="C255">
        <f>IF($A255="","",IFERROR(IF(LOOKUP(2,1/(人給データ!$B$2:$B$700=$A255),人給データ!$G$2:$G$700)=0,"",LOOKUP(2,1/(人給データ!$B$2:$B$700=$A255),人給データ!$G$2:$G$700)),""))</f>
        <v/>
      </c>
      <c r="D255">
        <f>IF($A255="","",IFERROR(IF(LOOKUP(2,1/(人給データ!$B$2:$B$700=$A255),人給データ!$Y$2:$Y$700)=0,"",LOOKUP(2,1/(人給データ!$B$2:$B$700=$A255),人給データ!$Y$2:$Y$700)),""))</f>
        <v/>
      </c>
      <c r="E255" s="20">
        <f>IF($A255="","",IFERROR(IF(LOOKUP(2,1/(人給データ!$B$2:$B$700=$A255),人給データ!$AB$2:$AB$700)=0,"",LOOKUP(2,1/(人給データ!$B$2:$B$700=$A255),人給データ!$AB$2:$AB$700)),""))</f>
        <v/>
      </c>
      <c r="F255" s="16">
        <f>IF(OR(E255="",NOT(ISNUMBER(E255))),"",DATE(YEAR(E255)+2,MONTH(E255),DAY(E255)-2))</f>
        <v/>
      </c>
      <c r="G255" s="20">
        <f>IF($A255="","",IFERROR(IF(LOOKUP(2,1/(人給データ!$B$2:$B$700=$A255),人給データ!$J$2:$J$700)=0,"",LOOKUP(2,1/(人給データ!$B$2:$B$700=$A255),人給データ!$J$2:$J$700)),""))</f>
        <v/>
      </c>
      <c r="H255" s="20">
        <f>IF($A255="","",IFERROR(IF(LOOKUP(2,1/(人給データ!$B$2:$B$700=$A255),人給データ!$K$2:$K$700)=0,"",LOOKUP(2,1/(人給データ!$B$2:$B$700=$A255),人給データ!$K$2:$K$700)),""))</f>
        <v/>
      </c>
      <c r="I255" s="12" t="n"/>
      <c r="J255">
        <f>IF($A255="","",IFERROR(IF(LOOKUP(2,1/(人給データ!$B$2:$B$700=$A255),人給データ!$N$2:$N$700)=0,"",LOOKUP(2,1/(人給データ!$B$2:$B$700=$A255),人給データ!$N$2:$N$700)),""))</f>
        <v/>
      </c>
      <c r="K255" s="13" t="n"/>
      <c r="L255" s="12" t="n"/>
      <c r="M255" s="12" t="n"/>
      <c r="N255" s="11" t="n"/>
      <c r="O255" s="11" t="n"/>
      <c r="P255" s="14">
        <f>IF(AND(M255&lt;&gt;"",O255=""),"保留中","")</f>
        <v/>
      </c>
      <c r="Q255" s="14">
        <f>IF(P255="保留中",COUNTIF(P$6:P255,"保留中"),"")</f>
        <v/>
      </c>
    </row>
    <row r="256">
      <c r="A256" s="12" t="n"/>
      <c r="B256">
        <f>IF($A256="","",IFERROR(IF(LOOKUP(2,1/(人給データ!$B$2:$B$700=$A256),人給データ!$C$2:$C$700)=0,"",LOOKUP(2,1/(人給データ!$B$2:$B$700=$A256),人給データ!$C$2:$C$700)),""))</f>
        <v/>
      </c>
      <c r="C256">
        <f>IF($A256="","",IFERROR(IF(LOOKUP(2,1/(人給データ!$B$2:$B$700=$A256),人給データ!$G$2:$G$700)=0,"",LOOKUP(2,1/(人給データ!$B$2:$B$700=$A256),人給データ!$G$2:$G$700)),""))</f>
        <v/>
      </c>
      <c r="D256">
        <f>IF($A256="","",IFERROR(IF(LOOKUP(2,1/(人給データ!$B$2:$B$700=$A256),人給データ!$Y$2:$Y$700)=0,"",LOOKUP(2,1/(人給データ!$B$2:$B$700=$A256),人給データ!$Y$2:$Y$700)),""))</f>
        <v/>
      </c>
      <c r="E256" s="20">
        <f>IF($A256="","",IFERROR(IF(LOOKUP(2,1/(人給データ!$B$2:$B$700=$A256),人給データ!$AB$2:$AB$700)=0,"",LOOKUP(2,1/(人給データ!$B$2:$B$700=$A256),人給データ!$AB$2:$AB$700)),""))</f>
        <v/>
      </c>
      <c r="F256" s="16">
        <f>IF(OR(E256="",NOT(ISNUMBER(E256))),"",DATE(YEAR(E256)+2,MONTH(E256),DAY(E256)-2))</f>
        <v/>
      </c>
      <c r="G256" s="20">
        <f>IF($A256="","",IFERROR(IF(LOOKUP(2,1/(人給データ!$B$2:$B$700=$A256),人給データ!$J$2:$J$700)=0,"",LOOKUP(2,1/(人給データ!$B$2:$B$700=$A256),人給データ!$J$2:$J$700)),""))</f>
        <v/>
      </c>
      <c r="H256" s="20">
        <f>IF($A256="","",IFERROR(IF(LOOKUP(2,1/(人給データ!$B$2:$B$700=$A256),人給データ!$K$2:$K$700)=0,"",LOOKUP(2,1/(人給データ!$B$2:$B$700=$A256),人給データ!$K$2:$K$700)),""))</f>
        <v/>
      </c>
      <c r="I256" s="12" t="n"/>
      <c r="J256">
        <f>IF($A256="","",IFERROR(IF(LOOKUP(2,1/(人給データ!$B$2:$B$700=$A256),人給データ!$N$2:$N$700)=0,"",LOOKUP(2,1/(人給データ!$B$2:$B$700=$A256),人給データ!$N$2:$N$700)),""))</f>
        <v/>
      </c>
      <c r="K256" s="13" t="n"/>
      <c r="L256" s="12" t="n"/>
      <c r="M256" s="12" t="n"/>
      <c r="N256" s="11" t="n"/>
      <c r="O256" s="11" t="n"/>
      <c r="P256" s="14">
        <f>IF(AND(M256&lt;&gt;"",O256=""),"保留中","")</f>
        <v/>
      </c>
      <c r="Q256" s="14">
        <f>IF(P256="保留中",COUNTIF(P$6:P256,"保留中"),"")</f>
        <v/>
      </c>
    </row>
    <row r="257">
      <c r="A257" s="12" t="n"/>
      <c r="B257">
        <f>IF($A257="","",IFERROR(IF(LOOKUP(2,1/(人給データ!$B$2:$B$700=$A257),人給データ!$C$2:$C$700)=0,"",LOOKUP(2,1/(人給データ!$B$2:$B$700=$A257),人給データ!$C$2:$C$700)),""))</f>
        <v/>
      </c>
      <c r="C257">
        <f>IF($A257="","",IFERROR(IF(LOOKUP(2,1/(人給データ!$B$2:$B$700=$A257),人給データ!$G$2:$G$700)=0,"",LOOKUP(2,1/(人給データ!$B$2:$B$700=$A257),人給データ!$G$2:$G$700)),""))</f>
        <v/>
      </c>
      <c r="D257">
        <f>IF($A257="","",IFERROR(IF(LOOKUP(2,1/(人給データ!$B$2:$B$700=$A257),人給データ!$Y$2:$Y$700)=0,"",LOOKUP(2,1/(人給データ!$B$2:$B$700=$A257),人給データ!$Y$2:$Y$700)),""))</f>
        <v/>
      </c>
      <c r="E257" s="20">
        <f>IF($A257="","",IFERROR(IF(LOOKUP(2,1/(人給データ!$B$2:$B$700=$A257),人給データ!$AB$2:$AB$700)=0,"",LOOKUP(2,1/(人給データ!$B$2:$B$700=$A257),人給データ!$AB$2:$AB$700)),""))</f>
        <v/>
      </c>
      <c r="F257" s="16">
        <f>IF(OR(E257="",NOT(ISNUMBER(E257))),"",DATE(YEAR(E257)+2,MONTH(E257),DAY(E257)-2))</f>
        <v/>
      </c>
      <c r="G257" s="20">
        <f>IF($A257="","",IFERROR(IF(LOOKUP(2,1/(人給データ!$B$2:$B$700=$A257),人給データ!$J$2:$J$700)=0,"",LOOKUP(2,1/(人給データ!$B$2:$B$700=$A257),人給データ!$J$2:$J$700)),""))</f>
        <v/>
      </c>
      <c r="H257" s="20">
        <f>IF($A257="","",IFERROR(IF(LOOKUP(2,1/(人給データ!$B$2:$B$700=$A257),人給データ!$K$2:$K$700)=0,"",LOOKUP(2,1/(人給データ!$B$2:$B$700=$A257),人給データ!$K$2:$K$700)),""))</f>
        <v/>
      </c>
      <c r="I257" s="12" t="n"/>
      <c r="J257">
        <f>IF($A257="","",IFERROR(IF(LOOKUP(2,1/(人給データ!$B$2:$B$700=$A257),人給データ!$N$2:$N$700)=0,"",LOOKUP(2,1/(人給データ!$B$2:$B$700=$A257),人給データ!$N$2:$N$700)),""))</f>
        <v/>
      </c>
      <c r="K257" s="13" t="n"/>
      <c r="L257" s="12" t="n"/>
      <c r="M257" s="12" t="n"/>
      <c r="N257" s="11" t="n"/>
      <c r="O257" s="11" t="n"/>
      <c r="P257" s="14">
        <f>IF(AND(M257&lt;&gt;"",O257=""),"保留中","")</f>
        <v/>
      </c>
      <c r="Q257" s="14">
        <f>IF(P257="保留中",COUNTIF(P$6:P257,"保留中"),"")</f>
        <v/>
      </c>
    </row>
    <row r="258">
      <c r="A258" s="12" t="n"/>
      <c r="B258">
        <f>IF($A258="","",IFERROR(IF(LOOKUP(2,1/(人給データ!$B$2:$B$700=$A258),人給データ!$C$2:$C$700)=0,"",LOOKUP(2,1/(人給データ!$B$2:$B$700=$A258),人給データ!$C$2:$C$700)),""))</f>
        <v/>
      </c>
      <c r="C258">
        <f>IF($A258="","",IFERROR(IF(LOOKUP(2,1/(人給データ!$B$2:$B$700=$A258),人給データ!$G$2:$G$700)=0,"",LOOKUP(2,1/(人給データ!$B$2:$B$700=$A258),人給データ!$G$2:$G$700)),""))</f>
        <v/>
      </c>
      <c r="D258">
        <f>IF($A258="","",IFERROR(IF(LOOKUP(2,1/(人給データ!$B$2:$B$700=$A258),人給データ!$Y$2:$Y$700)=0,"",LOOKUP(2,1/(人給データ!$B$2:$B$700=$A258),人給データ!$Y$2:$Y$700)),""))</f>
        <v/>
      </c>
      <c r="E258" s="20">
        <f>IF($A258="","",IFERROR(IF(LOOKUP(2,1/(人給データ!$B$2:$B$700=$A258),人給データ!$AB$2:$AB$700)=0,"",LOOKUP(2,1/(人給データ!$B$2:$B$700=$A258),人給データ!$AB$2:$AB$700)),""))</f>
        <v/>
      </c>
      <c r="F258" s="16">
        <f>IF(OR(E258="",NOT(ISNUMBER(E258))),"",DATE(YEAR(E258)+2,MONTH(E258),DAY(E258)-2))</f>
        <v/>
      </c>
      <c r="G258" s="20">
        <f>IF($A258="","",IFERROR(IF(LOOKUP(2,1/(人給データ!$B$2:$B$700=$A258),人給データ!$J$2:$J$700)=0,"",LOOKUP(2,1/(人給データ!$B$2:$B$700=$A258),人給データ!$J$2:$J$700)),""))</f>
        <v/>
      </c>
      <c r="H258" s="20">
        <f>IF($A258="","",IFERROR(IF(LOOKUP(2,1/(人給データ!$B$2:$B$700=$A258),人給データ!$K$2:$K$700)=0,"",LOOKUP(2,1/(人給データ!$B$2:$B$700=$A258),人給データ!$K$2:$K$700)),""))</f>
        <v/>
      </c>
      <c r="I258" s="12" t="n"/>
      <c r="J258">
        <f>IF($A258="","",IFERROR(IF(LOOKUP(2,1/(人給データ!$B$2:$B$700=$A258),人給データ!$N$2:$N$700)=0,"",LOOKUP(2,1/(人給データ!$B$2:$B$700=$A258),人給データ!$N$2:$N$700)),""))</f>
        <v/>
      </c>
      <c r="K258" s="13" t="n"/>
      <c r="L258" s="12" t="n"/>
      <c r="M258" s="12" t="n"/>
      <c r="N258" s="11" t="n"/>
      <c r="O258" s="11" t="n"/>
      <c r="P258" s="14">
        <f>IF(AND(M258&lt;&gt;"",O258=""),"保留中","")</f>
        <v/>
      </c>
      <c r="Q258" s="14">
        <f>IF(P258="保留中",COUNTIF(P$6:P258,"保留中"),"")</f>
        <v/>
      </c>
    </row>
    <row r="259">
      <c r="A259" s="12" t="n"/>
      <c r="B259">
        <f>IF($A259="","",IFERROR(IF(LOOKUP(2,1/(人給データ!$B$2:$B$700=$A259),人給データ!$C$2:$C$700)=0,"",LOOKUP(2,1/(人給データ!$B$2:$B$700=$A259),人給データ!$C$2:$C$700)),""))</f>
        <v/>
      </c>
      <c r="C259">
        <f>IF($A259="","",IFERROR(IF(LOOKUP(2,1/(人給データ!$B$2:$B$700=$A259),人給データ!$G$2:$G$700)=0,"",LOOKUP(2,1/(人給データ!$B$2:$B$700=$A259),人給データ!$G$2:$G$700)),""))</f>
        <v/>
      </c>
      <c r="D259">
        <f>IF($A259="","",IFERROR(IF(LOOKUP(2,1/(人給データ!$B$2:$B$700=$A259),人給データ!$Y$2:$Y$700)=0,"",LOOKUP(2,1/(人給データ!$B$2:$B$700=$A259),人給データ!$Y$2:$Y$700)),""))</f>
        <v/>
      </c>
      <c r="E259" s="20">
        <f>IF($A259="","",IFERROR(IF(LOOKUP(2,1/(人給データ!$B$2:$B$700=$A259),人給データ!$AB$2:$AB$700)=0,"",LOOKUP(2,1/(人給データ!$B$2:$B$700=$A259),人給データ!$AB$2:$AB$700)),""))</f>
        <v/>
      </c>
      <c r="F259" s="16">
        <f>IF(OR(E259="",NOT(ISNUMBER(E259))),"",DATE(YEAR(E259)+2,MONTH(E259),DAY(E259)-2))</f>
        <v/>
      </c>
      <c r="G259" s="20">
        <f>IF($A259="","",IFERROR(IF(LOOKUP(2,1/(人給データ!$B$2:$B$700=$A259),人給データ!$J$2:$J$700)=0,"",LOOKUP(2,1/(人給データ!$B$2:$B$700=$A259),人給データ!$J$2:$J$700)),""))</f>
        <v/>
      </c>
      <c r="H259" s="20">
        <f>IF($A259="","",IFERROR(IF(LOOKUP(2,1/(人給データ!$B$2:$B$700=$A259),人給データ!$K$2:$K$700)=0,"",LOOKUP(2,1/(人給データ!$B$2:$B$700=$A259),人給データ!$K$2:$K$700)),""))</f>
        <v/>
      </c>
      <c r="I259" s="12" t="n"/>
      <c r="J259">
        <f>IF($A259="","",IFERROR(IF(LOOKUP(2,1/(人給データ!$B$2:$B$700=$A259),人給データ!$N$2:$N$700)=0,"",LOOKUP(2,1/(人給データ!$B$2:$B$700=$A259),人給データ!$N$2:$N$700)),""))</f>
        <v/>
      </c>
      <c r="K259" s="13" t="n"/>
      <c r="L259" s="12" t="n"/>
      <c r="M259" s="12" t="n"/>
      <c r="N259" s="11" t="n"/>
      <c r="O259" s="11" t="n"/>
      <c r="P259" s="14">
        <f>IF(AND(M259&lt;&gt;"",O259=""),"保留中","")</f>
        <v/>
      </c>
      <c r="Q259" s="14">
        <f>IF(P259="保留中",COUNTIF(P$6:P259,"保留中"),"")</f>
        <v/>
      </c>
    </row>
    <row r="260">
      <c r="A260" s="12" t="n"/>
      <c r="B260">
        <f>IF($A260="","",IFERROR(IF(LOOKUP(2,1/(人給データ!$B$2:$B$700=$A260),人給データ!$C$2:$C$700)=0,"",LOOKUP(2,1/(人給データ!$B$2:$B$700=$A260),人給データ!$C$2:$C$700)),""))</f>
        <v/>
      </c>
      <c r="C260">
        <f>IF($A260="","",IFERROR(IF(LOOKUP(2,1/(人給データ!$B$2:$B$700=$A260),人給データ!$G$2:$G$700)=0,"",LOOKUP(2,1/(人給データ!$B$2:$B$700=$A260),人給データ!$G$2:$G$700)),""))</f>
        <v/>
      </c>
      <c r="D260">
        <f>IF($A260="","",IFERROR(IF(LOOKUP(2,1/(人給データ!$B$2:$B$700=$A260),人給データ!$Y$2:$Y$700)=0,"",LOOKUP(2,1/(人給データ!$B$2:$B$700=$A260),人給データ!$Y$2:$Y$700)),""))</f>
        <v/>
      </c>
      <c r="E260" s="20">
        <f>IF($A260="","",IFERROR(IF(LOOKUP(2,1/(人給データ!$B$2:$B$700=$A260),人給データ!$AB$2:$AB$700)=0,"",LOOKUP(2,1/(人給データ!$B$2:$B$700=$A260),人給データ!$AB$2:$AB$700)),""))</f>
        <v/>
      </c>
      <c r="F260" s="16">
        <f>IF(OR(E260="",NOT(ISNUMBER(E260))),"",DATE(YEAR(E260)+2,MONTH(E260),DAY(E260)-2))</f>
        <v/>
      </c>
      <c r="G260" s="20">
        <f>IF($A260="","",IFERROR(IF(LOOKUP(2,1/(人給データ!$B$2:$B$700=$A260),人給データ!$J$2:$J$700)=0,"",LOOKUP(2,1/(人給データ!$B$2:$B$700=$A260),人給データ!$J$2:$J$700)),""))</f>
        <v/>
      </c>
      <c r="H260" s="20">
        <f>IF($A260="","",IFERROR(IF(LOOKUP(2,1/(人給データ!$B$2:$B$700=$A260),人給データ!$K$2:$K$700)=0,"",LOOKUP(2,1/(人給データ!$B$2:$B$700=$A260),人給データ!$K$2:$K$700)),""))</f>
        <v/>
      </c>
      <c r="I260" s="12" t="n"/>
      <c r="J260">
        <f>IF($A260="","",IFERROR(IF(LOOKUP(2,1/(人給データ!$B$2:$B$700=$A260),人給データ!$N$2:$N$700)=0,"",LOOKUP(2,1/(人給データ!$B$2:$B$700=$A260),人給データ!$N$2:$N$700)),""))</f>
        <v/>
      </c>
      <c r="K260" s="13" t="n"/>
      <c r="L260" s="12" t="n"/>
      <c r="M260" s="12" t="n"/>
      <c r="N260" s="11" t="n"/>
      <c r="O260" s="11" t="n"/>
      <c r="P260" s="14">
        <f>IF(AND(M260&lt;&gt;"",O260=""),"保留中","")</f>
        <v/>
      </c>
      <c r="Q260" s="14">
        <f>IF(P260="保留中",COUNTIF(P$6:P260,"保留中"),"")</f>
        <v/>
      </c>
    </row>
    <row r="261">
      <c r="A261" s="12" t="n"/>
      <c r="B261">
        <f>IF($A261="","",IFERROR(IF(LOOKUP(2,1/(人給データ!$B$2:$B$700=$A261),人給データ!$C$2:$C$700)=0,"",LOOKUP(2,1/(人給データ!$B$2:$B$700=$A261),人給データ!$C$2:$C$700)),""))</f>
        <v/>
      </c>
      <c r="C261">
        <f>IF($A261="","",IFERROR(IF(LOOKUP(2,1/(人給データ!$B$2:$B$700=$A261),人給データ!$G$2:$G$700)=0,"",LOOKUP(2,1/(人給データ!$B$2:$B$700=$A261),人給データ!$G$2:$G$700)),""))</f>
        <v/>
      </c>
      <c r="D261">
        <f>IF($A261="","",IFERROR(IF(LOOKUP(2,1/(人給データ!$B$2:$B$700=$A261),人給データ!$Y$2:$Y$700)=0,"",LOOKUP(2,1/(人給データ!$B$2:$B$700=$A261),人給データ!$Y$2:$Y$700)),""))</f>
        <v/>
      </c>
      <c r="E261" s="20">
        <f>IF($A261="","",IFERROR(IF(LOOKUP(2,1/(人給データ!$B$2:$B$700=$A261),人給データ!$AB$2:$AB$700)=0,"",LOOKUP(2,1/(人給データ!$B$2:$B$700=$A261),人給データ!$AB$2:$AB$700)),""))</f>
        <v/>
      </c>
      <c r="F261" s="16">
        <f>IF(OR(E261="",NOT(ISNUMBER(E261))),"",DATE(YEAR(E261)+2,MONTH(E261),DAY(E261)-2))</f>
        <v/>
      </c>
      <c r="G261" s="20">
        <f>IF($A261="","",IFERROR(IF(LOOKUP(2,1/(人給データ!$B$2:$B$700=$A261),人給データ!$J$2:$J$700)=0,"",LOOKUP(2,1/(人給データ!$B$2:$B$700=$A261),人給データ!$J$2:$J$700)),""))</f>
        <v/>
      </c>
      <c r="H261" s="20">
        <f>IF($A261="","",IFERROR(IF(LOOKUP(2,1/(人給データ!$B$2:$B$700=$A261),人給データ!$K$2:$K$700)=0,"",LOOKUP(2,1/(人給データ!$B$2:$B$700=$A261),人給データ!$K$2:$K$700)),""))</f>
        <v/>
      </c>
      <c r="I261" s="12" t="n"/>
      <c r="J261">
        <f>IF($A261="","",IFERROR(IF(LOOKUP(2,1/(人給データ!$B$2:$B$700=$A261),人給データ!$N$2:$N$700)=0,"",LOOKUP(2,1/(人給データ!$B$2:$B$700=$A261),人給データ!$N$2:$N$700)),""))</f>
        <v/>
      </c>
      <c r="K261" s="13" t="n"/>
      <c r="L261" s="12" t="n"/>
      <c r="M261" s="12" t="n"/>
      <c r="N261" s="11" t="n"/>
      <c r="O261" s="11" t="n"/>
      <c r="P261" s="14">
        <f>IF(AND(M261&lt;&gt;"",O261=""),"保留中","")</f>
        <v/>
      </c>
      <c r="Q261" s="14">
        <f>IF(P261="保留中",COUNTIF(P$6:P261,"保留中"),"")</f>
        <v/>
      </c>
    </row>
    <row r="262">
      <c r="A262" s="12" t="n"/>
      <c r="B262">
        <f>IF($A262="","",IFERROR(IF(LOOKUP(2,1/(人給データ!$B$2:$B$700=$A262),人給データ!$C$2:$C$700)=0,"",LOOKUP(2,1/(人給データ!$B$2:$B$700=$A262),人給データ!$C$2:$C$700)),""))</f>
        <v/>
      </c>
      <c r="C262">
        <f>IF($A262="","",IFERROR(IF(LOOKUP(2,1/(人給データ!$B$2:$B$700=$A262),人給データ!$G$2:$G$700)=0,"",LOOKUP(2,1/(人給データ!$B$2:$B$700=$A262),人給データ!$G$2:$G$700)),""))</f>
        <v/>
      </c>
      <c r="D262">
        <f>IF($A262="","",IFERROR(IF(LOOKUP(2,1/(人給データ!$B$2:$B$700=$A262),人給データ!$Y$2:$Y$700)=0,"",LOOKUP(2,1/(人給データ!$B$2:$B$700=$A262),人給データ!$Y$2:$Y$700)),""))</f>
        <v/>
      </c>
      <c r="E262" s="20">
        <f>IF($A262="","",IFERROR(IF(LOOKUP(2,1/(人給データ!$B$2:$B$700=$A262),人給データ!$AB$2:$AB$700)=0,"",LOOKUP(2,1/(人給データ!$B$2:$B$700=$A262),人給データ!$AB$2:$AB$700)),""))</f>
        <v/>
      </c>
      <c r="F262" s="16">
        <f>IF(OR(E262="",NOT(ISNUMBER(E262))),"",DATE(YEAR(E262)+2,MONTH(E262),DAY(E262)-2))</f>
        <v/>
      </c>
      <c r="G262" s="20">
        <f>IF($A262="","",IFERROR(IF(LOOKUP(2,1/(人給データ!$B$2:$B$700=$A262),人給データ!$J$2:$J$700)=0,"",LOOKUP(2,1/(人給データ!$B$2:$B$700=$A262),人給データ!$J$2:$J$700)),""))</f>
        <v/>
      </c>
      <c r="H262" s="20">
        <f>IF($A262="","",IFERROR(IF(LOOKUP(2,1/(人給データ!$B$2:$B$700=$A262),人給データ!$K$2:$K$700)=0,"",LOOKUP(2,1/(人給データ!$B$2:$B$700=$A262),人給データ!$K$2:$K$700)),""))</f>
        <v/>
      </c>
      <c r="I262" s="12" t="n"/>
      <c r="J262">
        <f>IF($A262="","",IFERROR(IF(LOOKUP(2,1/(人給データ!$B$2:$B$700=$A262),人給データ!$N$2:$N$700)=0,"",LOOKUP(2,1/(人給データ!$B$2:$B$700=$A262),人給データ!$N$2:$N$700)),""))</f>
        <v/>
      </c>
      <c r="K262" s="13" t="n"/>
      <c r="L262" s="12" t="n"/>
      <c r="M262" s="12" t="n"/>
      <c r="N262" s="11" t="n"/>
      <c r="O262" s="11" t="n"/>
      <c r="P262" s="14">
        <f>IF(AND(M262&lt;&gt;"",O262=""),"保留中","")</f>
        <v/>
      </c>
      <c r="Q262" s="14">
        <f>IF(P262="保留中",COUNTIF(P$6:P262,"保留中"),"")</f>
        <v/>
      </c>
    </row>
    <row r="263">
      <c r="A263" s="12" t="n"/>
      <c r="B263">
        <f>IF($A263="","",IFERROR(IF(LOOKUP(2,1/(人給データ!$B$2:$B$700=$A263),人給データ!$C$2:$C$700)=0,"",LOOKUP(2,1/(人給データ!$B$2:$B$700=$A263),人給データ!$C$2:$C$700)),""))</f>
        <v/>
      </c>
      <c r="C263">
        <f>IF($A263="","",IFERROR(IF(LOOKUP(2,1/(人給データ!$B$2:$B$700=$A263),人給データ!$G$2:$G$700)=0,"",LOOKUP(2,1/(人給データ!$B$2:$B$700=$A263),人給データ!$G$2:$G$700)),""))</f>
        <v/>
      </c>
      <c r="D263">
        <f>IF($A263="","",IFERROR(IF(LOOKUP(2,1/(人給データ!$B$2:$B$700=$A263),人給データ!$Y$2:$Y$700)=0,"",LOOKUP(2,1/(人給データ!$B$2:$B$700=$A263),人給データ!$Y$2:$Y$700)),""))</f>
        <v/>
      </c>
      <c r="E263" s="20">
        <f>IF($A263="","",IFERROR(IF(LOOKUP(2,1/(人給データ!$B$2:$B$700=$A263),人給データ!$AB$2:$AB$700)=0,"",LOOKUP(2,1/(人給データ!$B$2:$B$700=$A263),人給データ!$AB$2:$AB$700)),""))</f>
        <v/>
      </c>
      <c r="F263" s="16">
        <f>IF(OR(E263="",NOT(ISNUMBER(E263))),"",DATE(YEAR(E263)+2,MONTH(E263),DAY(E263)-2))</f>
        <v/>
      </c>
      <c r="G263" s="20">
        <f>IF($A263="","",IFERROR(IF(LOOKUP(2,1/(人給データ!$B$2:$B$700=$A263),人給データ!$J$2:$J$700)=0,"",LOOKUP(2,1/(人給データ!$B$2:$B$700=$A263),人給データ!$J$2:$J$700)),""))</f>
        <v/>
      </c>
      <c r="H263" s="20">
        <f>IF($A263="","",IFERROR(IF(LOOKUP(2,1/(人給データ!$B$2:$B$700=$A263),人給データ!$K$2:$K$700)=0,"",LOOKUP(2,1/(人給データ!$B$2:$B$700=$A263),人給データ!$K$2:$K$700)),""))</f>
        <v/>
      </c>
      <c r="I263" s="12" t="n"/>
      <c r="J263">
        <f>IF($A263="","",IFERROR(IF(LOOKUP(2,1/(人給データ!$B$2:$B$700=$A263),人給データ!$N$2:$N$700)=0,"",LOOKUP(2,1/(人給データ!$B$2:$B$700=$A263),人給データ!$N$2:$N$700)),""))</f>
        <v/>
      </c>
      <c r="K263" s="13" t="n"/>
      <c r="L263" s="12" t="n"/>
      <c r="M263" s="12" t="n"/>
      <c r="N263" s="11" t="n"/>
      <c r="O263" s="11" t="n"/>
      <c r="P263" s="14">
        <f>IF(AND(M263&lt;&gt;"",O263=""),"保留中","")</f>
        <v/>
      </c>
      <c r="Q263" s="14">
        <f>IF(P263="保留中",COUNTIF(P$6:P263,"保留中"),"")</f>
        <v/>
      </c>
    </row>
    <row r="264">
      <c r="A264" s="12" t="n"/>
      <c r="B264">
        <f>IF($A264="","",IFERROR(IF(LOOKUP(2,1/(人給データ!$B$2:$B$700=$A264),人給データ!$C$2:$C$700)=0,"",LOOKUP(2,1/(人給データ!$B$2:$B$700=$A264),人給データ!$C$2:$C$700)),""))</f>
        <v/>
      </c>
      <c r="C264">
        <f>IF($A264="","",IFERROR(IF(LOOKUP(2,1/(人給データ!$B$2:$B$700=$A264),人給データ!$G$2:$G$700)=0,"",LOOKUP(2,1/(人給データ!$B$2:$B$700=$A264),人給データ!$G$2:$G$700)),""))</f>
        <v/>
      </c>
      <c r="D264">
        <f>IF($A264="","",IFERROR(IF(LOOKUP(2,1/(人給データ!$B$2:$B$700=$A264),人給データ!$Y$2:$Y$700)=0,"",LOOKUP(2,1/(人給データ!$B$2:$B$700=$A264),人給データ!$Y$2:$Y$700)),""))</f>
        <v/>
      </c>
      <c r="E264" s="20">
        <f>IF($A264="","",IFERROR(IF(LOOKUP(2,1/(人給データ!$B$2:$B$700=$A264),人給データ!$AB$2:$AB$700)=0,"",LOOKUP(2,1/(人給データ!$B$2:$B$700=$A264),人給データ!$AB$2:$AB$700)),""))</f>
        <v/>
      </c>
      <c r="F264" s="16">
        <f>IF(OR(E264="",NOT(ISNUMBER(E264))),"",DATE(YEAR(E264)+2,MONTH(E264),DAY(E264)-2))</f>
        <v/>
      </c>
      <c r="G264" s="20">
        <f>IF($A264="","",IFERROR(IF(LOOKUP(2,1/(人給データ!$B$2:$B$700=$A264),人給データ!$J$2:$J$700)=0,"",LOOKUP(2,1/(人給データ!$B$2:$B$700=$A264),人給データ!$J$2:$J$700)),""))</f>
        <v/>
      </c>
      <c r="H264" s="20">
        <f>IF($A264="","",IFERROR(IF(LOOKUP(2,1/(人給データ!$B$2:$B$700=$A264),人給データ!$K$2:$K$700)=0,"",LOOKUP(2,1/(人給データ!$B$2:$B$700=$A264),人給データ!$K$2:$K$700)),""))</f>
        <v/>
      </c>
      <c r="I264" s="12" t="n"/>
      <c r="J264">
        <f>IF($A264="","",IFERROR(IF(LOOKUP(2,1/(人給データ!$B$2:$B$700=$A264),人給データ!$N$2:$N$700)=0,"",LOOKUP(2,1/(人給データ!$B$2:$B$700=$A264),人給データ!$N$2:$N$700)),""))</f>
        <v/>
      </c>
      <c r="K264" s="13" t="n"/>
      <c r="L264" s="12" t="n"/>
      <c r="M264" s="12" t="n"/>
      <c r="N264" s="11" t="n"/>
      <c r="O264" s="11" t="n"/>
      <c r="P264" s="14">
        <f>IF(AND(M264&lt;&gt;"",O264=""),"保留中","")</f>
        <v/>
      </c>
      <c r="Q264" s="14">
        <f>IF(P264="保留中",COUNTIF(P$6:P264,"保留中"),"")</f>
        <v/>
      </c>
    </row>
    <row r="265">
      <c r="A265" s="12" t="n"/>
      <c r="B265">
        <f>IF($A265="","",IFERROR(IF(LOOKUP(2,1/(人給データ!$B$2:$B$700=$A265),人給データ!$C$2:$C$700)=0,"",LOOKUP(2,1/(人給データ!$B$2:$B$700=$A265),人給データ!$C$2:$C$700)),""))</f>
        <v/>
      </c>
      <c r="C265">
        <f>IF($A265="","",IFERROR(IF(LOOKUP(2,1/(人給データ!$B$2:$B$700=$A265),人給データ!$G$2:$G$700)=0,"",LOOKUP(2,1/(人給データ!$B$2:$B$700=$A265),人給データ!$G$2:$G$700)),""))</f>
        <v/>
      </c>
      <c r="D265">
        <f>IF($A265="","",IFERROR(IF(LOOKUP(2,1/(人給データ!$B$2:$B$700=$A265),人給データ!$Y$2:$Y$700)=0,"",LOOKUP(2,1/(人給データ!$B$2:$B$700=$A265),人給データ!$Y$2:$Y$700)),""))</f>
        <v/>
      </c>
      <c r="E265" s="20">
        <f>IF($A265="","",IFERROR(IF(LOOKUP(2,1/(人給データ!$B$2:$B$700=$A265),人給データ!$AB$2:$AB$700)=0,"",LOOKUP(2,1/(人給データ!$B$2:$B$700=$A265),人給データ!$AB$2:$AB$700)),""))</f>
        <v/>
      </c>
      <c r="F265" s="16">
        <f>IF(OR(E265="",NOT(ISNUMBER(E265))),"",DATE(YEAR(E265)+2,MONTH(E265),DAY(E265)-2))</f>
        <v/>
      </c>
      <c r="G265" s="20">
        <f>IF($A265="","",IFERROR(IF(LOOKUP(2,1/(人給データ!$B$2:$B$700=$A265),人給データ!$J$2:$J$700)=0,"",LOOKUP(2,1/(人給データ!$B$2:$B$700=$A265),人給データ!$J$2:$J$700)),""))</f>
        <v/>
      </c>
      <c r="H265" s="20">
        <f>IF($A265="","",IFERROR(IF(LOOKUP(2,1/(人給データ!$B$2:$B$700=$A265),人給データ!$K$2:$K$700)=0,"",LOOKUP(2,1/(人給データ!$B$2:$B$700=$A265),人給データ!$K$2:$K$700)),""))</f>
        <v/>
      </c>
      <c r="I265" s="12" t="n"/>
      <c r="J265">
        <f>IF($A265="","",IFERROR(IF(LOOKUP(2,1/(人給データ!$B$2:$B$700=$A265),人給データ!$N$2:$N$700)=0,"",LOOKUP(2,1/(人給データ!$B$2:$B$700=$A265),人給データ!$N$2:$N$700)),""))</f>
        <v/>
      </c>
      <c r="K265" s="13" t="n"/>
      <c r="L265" s="12" t="n"/>
      <c r="M265" s="12" t="n"/>
      <c r="N265" s="11" t="n"/>
      <c r="O265" s="11" t="n"/>
      <c r="P265" s="14">
        <f>IF(AND(M265&lt;&gt;"",O265=""),"保留中","")</f>
        <v/>
      </c>
      <c r="Q265" s="14">
        <f>IF(P265="保留中",COUNTIF(P$6:P265,"保留中"),"")</f>
        <v/>
      </c>
    </row>
    <row r="266">
      <c r="A266" s="12" t="n"/>
      <c r="B266">
        <f>IF($A266="","",IFERROR(IF(LOOKUP(2,1/(人給データ!$B$2:$B$700=$A266),人給データ!$C$2:$C$700)=0,"",LOOKUP(2,1/(人給データ!$B$2:$B$700=$A266),人給データ!$C$2:$C$700)),""))</f>
        <v/>
      </c>
      <c r="C266">
        <f>IF($A266="","",IFERROR(IF(LOOKUP(2,1/(人給データ!$B$2:$B$700=$A266),人給データ!$G$2:$G$700)=0,"",LOOKUP(2,1/(人給データ!$B$2:$B$700=$A266),人給データ!$G$2:$G$700)),""))</f>
        <v/>
      </c>
      <c r="D266">
        <f>IF($A266="","",IFERROR(IF(LOOKUP(2,1/(人給データ!$B$2:$B$700=$A266),人給データ!$Y$2:$Y$700)=0,"",LOOKUP(2,1/(人給データ!$B$2:$B$700=$A266),人給データ!$Y$2:$Y$700)),""))</f>
        <v/>
      </c>
      <c r="E266" s="20">
        <f>IF($A266="","",IFERROR(IF(LOOKUP(2,1/(人給データ!$B$2:$B$700=$A266),人給データ!$AB$2:$AB$700)=0,"",LOOKUP(2,1/(人給データ!$B$2:$B$700=$A266),人給データ!$AB$2:$AB$700)),""))</f>
        <v/>
      </c>
      <c r="F266" s="16">
        <f>IF(OR(E266="",NOT(ISNUMBER(E266))),"",DATE(YEAR(E266)+2,MONTH(E266),DAY(E266)-2))</f>
        <v/>
      </c>
      <c r="G266" s="20">
        <f>IF($A266="","",IFERROR(IF(LOOKUP(2,1/(人給データ!$B$2:$B$700=$A266),人給データ!$J$2:$J$700)=0,"",LOOKUP(2,1/(人給データ!$B$2:$B$700=$A266),人給データ!$J$2:$J$700)),""))</f>
        <v/>
      </c>
      <c r="H266" s="20">
        <f>IF($A266="","",IFERROR(IF(LOOKUP(2,1/(人給データ!$B$2:$B$700=$A266),人給データ!$K$2:$K$700)=0,"",LOOKUP(2,1/(人給データ!$B$2:$B$700=$A266),人給データ!$K$2:$K$700)),""))</f>
        <v/>
      </c>
      <c r="I266" s="12" t="n"/>
      <c r="J266">
        <f>IF($A266="","",IFERROR(IF(LOOKUP(2,1/(人給データ!$B$2:$B$700=$A266),人給データ!$N$2:$N$700)=0,"",LOOKUP(2,1/(人給データ!$B$2:$B$700=$A266),人給データ!$N$2:$N$700)),""))</f>
        <v/>
      </c>
      <c r="K266" s="13" t="n"/>
      <c r="L266" s="12" t="n"/>
      <c r="M266" s="12" t="n"/>
      <c r="N266" s="11" t="n"/>
      <c r="O266" s="11" t="n"/>
      <c r="P266" s="14">
        <f>IF(AND(M266&lt;&gt;"",O266=""),"保留中","")</f>
        <v/>
      </c>
      <c r="Q266" s="14">
        <f>IF(P266="保留中",COUNTIF(P$6:P266,"保留中"),"")</f>
        <v/>
      </c>
    </row>
    <row r="267">
      <c r="A267" s="12" t="n"/>
      <c r="B267">
        <f>IF($A267="","",IFERROR(IF(LOOKUP(2,1/(人給データ!$B$2:$B$700=$A267),人給データ!$C$2:$C$700)=0,"",LOOKUP(2,1/(人給データ!$B$2:$B$700=$A267),人給データ!$C$2:$C$700)),""))</f>
        <v/>
      </c>
      <c r="C267">
        <f>IF($A267="","",IFERROR(IF(LOOKUP(2,1/(人給データ!$B$2:$B$700=$A267),人給データ!$G$2:$G$700)=0,"",LOOKUP(2,1/(人給データ!$B$2:$B$700=$A267),人給データ!$G$2:$G$700)),""))</f>
        <v/>
      </c>
      <c r="D267">
        <f>IF($A267="","",IFERROR(IF(LOOKUP(2,1/(人給データ!$B$2:$B$700=$A267),人給データ!$Y$2:$Y$700)=0,"",LOOKUP(2,1/(人給データ!$B$2:$B$700=$A267),人給データ!$Y$2:$Y$700)),""))</f>
        <v/>
      </c>
      <c r="E267" s="20">
        <f>IF($A267="","",IFERROR(IF(LOOKUP(2,1/(人給データ!$B$2:$B$700=$A267),人給データ!$AB$2:$AB$700)=0,"",LOOKUP(2,1/(人給データ!$B$2:$B$700=$A267),人給データ!$AB$2:$AB$700)),""))</f>
        <v/>
      </c>
      <c r="F267" s="16">
        <f>IF(OR(E267="",NOT(ISNUMBER(E267))),"",DATE(YEAR(E267)+2,MONTH(E267),DAY(E267)-2))</f>
        <v/>
      </c>
      <c r="G267" s="20">
        <f>IF($A267="","",IFERROR(IF(LOOKUP(2,1/(人給データ!$B$2:$B$700=$A267),人給データ!$J$2:$J$700)=0,"",LOOKUP(2,1/(人給データ!$B$2:$B$700=$A267),人給データ!$J$2:$J$700)),""))</f>
        <v/>
      </c>
      <c r="H267" s="20">
        <f>IF($A267="","",IFERROR(IF(LOOKUP(2,1/(人給データ!$B$2:$B$700=$A267),人給データ!$K$2:$K$700)=0,"",LOOKUP(2,1/(人給データ!$B$2:$B$700=$A267),人給データ!$K$2:$K$700)),""))</f>
        <v/>
      </c>
      <c r="I267" s="12" t="n"/>
      <c r="J267">
        <f>IF($A267="","",IFERROR(IF(LOOKUP(2,1/(人給データ!$B$2:$B$700=$A267),人給データ!$N$2:$N$700)=0,"",LOOKUP(2,1/(人給データ!$B$2:$B$700=$A267),人給データ!$N$2:$N$700)),""))</f>
        <v/>
      </c>
      <c r="K267" s="13" t="n"/>
      <c r="L267" s="12" t="n"/>
      <c r="M267" s="12" t="n"/>
      <c r="N267" s="11" t="n"/>
      <c r="O267" s="11" t="n"/>
      <c r="P267" s="14">
        <f>IF(AND(M267&lt;&gt;"",O267=""),"保留中","")</f>
        <v/>
      </c>
      <c r="Q267" s="14">
        <f>IF(P267="保留中",COUNTIF(P$6:P267,"保留中"),"")</f>
        <v/>
      </c>
    </row>
    <row r="268">
      <c r="A268" s="12" t="n"/>
      <c r="B268">
        <f>IF($A268="","",IFERROR(IF(LOOKUP(2,1/(人給データ!$B$2:$B$700=$A268),人給データ!$C$2:$C$700)=0,"",LOOKUP(2,1/(人給データ!$B$2:$B$700=$A268),人給データ!$C$2:$C$700)),""))</f>
        <v/>
      </c>
      <c r="C268">
        <f>IF($A268="","",IFERROR(IF(LOOKUP(2,1/(人給データ!$B$2:$B$700=$A268),人給データ!$G$2:$G$700)=0,"",LOOKUP(2,1/(人給データ!$B$2:$B$700=$A268),人給データ!$G$2:$G$700)),""))</f>
        <v/>
      </c>
      <c r="D268">
        <f>IF($A268="","",IFERROR(IF(LOOKUP(2,1/(人給データ!$B$2:$B$700=$A268),人給データ!$Y$2:$Y$700)=0,"",LOOKUP(2,1/(人給データ!$B$2:$B$700=$A268),人給データ!$Y$2:$Y$700)),""))</f>
        <v/>
      </c>
      <c r="E268" s="20">
        <f>IF($A268="","",IFERROR(IF(LOOKUP(2,1/(人給データ!$B$2:$B$700=$A268),人給データ!$AB$2:$AB$700)=0,"",LOOKUP(2,1/(人給データ!$B$2:$B$700=$A268),人給データ!$AB$2:$AB$700)),""))</f>
        <v/>
      </c>
      <c r="F268" s="16">
        <f>IF(OR(E268="",NOT(ISNUMBER(E268))),"",DATE(YEAR(E268)+2,MONTH(E268),DAY(E268)-2))</f>
        <v/>
      </c>
      <c r="G268" s="20">
        <f>IF($A268="","",IFERROR(IF(LOOKUP(2,1/(人給データ!$B$2:$B$700=$A268),人給データ!$J$2:$J$700)=0,"",LOOKUP(2,1/(人給データ!$B$2:$B$700=$A268),人給データ!$J$2:$J$700)),""))</f>
        <v/>
      </c>
      <c r="H268" s="20">
        <f>IF($A268="","",IFERROR(IF(LOOKUP(2,1/(人給データ!$B$2:$B$700=$A268),人給データ!$K$2:$K$700)=0,"",LOOKUP(2,1/(人給データ!$B$2:$B$700=$A268),人給データ!$K$2:$K$700)),""))</f>
        <v/>
      </c>
      <c r="I268" s="12" t="n"/>
      <c r="J268">
        <f>IF($A268="","",IFERROR(IF(LOOKUP(2,1/(人給データ!$B$2:$B$700=$A268),人給データ!$N$2:$N$700)=0,"",LOOKUP(2,1/(人給データ!$B$2:$B$700=$A268),人給データ!$N$2:$N$700)),""))</f>
        <v/>
      </c>
      <c r="K268" s="13" t="n"/>
      <c r="L268" s="12" t="n"/>
      <c r="M268" s="12" t="n"/>
      <c r="N268" s="11" t="n"/>
      <c r="O268" s="11" t="n"/>
      <c r="P268" s="14">
        <f>IF(AND(M268&lt;&gt;"",O268=""),"保留中","")</f>
        <v/>
      </c>
      <c r="Q268" s="14">
        <f>IF(P268="保留中",COUNTIF(P$6:P268,"保留中"),"")</f>
        <v/>
      </c>
    </row>
    <row r="269">
      <c r="A269" s="12" t="n"/>
      <c r="B269">
        <f>IF($A269="","",IFERROR(IF(LOOKUP(2,1/(人給データ!$B$2:$B$700=$A269),人給データ!$C$2:$C$700)=0,"",LOOKUP(2,1/(人給データ!$B$2:$B$700=$A269),人給データ!$C$2:$C$700)),""))</f>
        <v/>
      </c>
      <c r="C269">
        <f>IF($A269="","",IFERROR(IF(LOOKUP(2,1/(人給データ!$B$2:$B$700=$A269),人給データ!$G$2:$G$700)=0,"",LOOKUP(2,1/(人給データ!$B$2:$B$700=$A269),人給データ!$G$2:$G$700)),""))</f>
        <v/>
      </c>
      <c r="D269">
        <f>IF($A269="","",IFERROR(IF(LOOKUP(2,1/(人給データ!$B$2:$B$700=$A269),人給データ!$Y$2:$Y$700)=0,"",LOOKUP(2,1/(人給データ!$B$2:$B$700=$A269),人給データ!$Y$2:$Y$700)),""))</f>
        <v/>
      </c>
      <c r="E269" s="20">
        <f>IF($A269="","",IFERROR(IF(LOOKUP(2,1/(人給データ!$B$2:$B$700=$A269),人給データ!$AB$2:$AB$700)=0,"",LOOKUP(2,1/(人給データ!$B$2:$B$700=$A269),人給データ!$AB$2:$AB$700)),""))</f>
        <v/>
      </c>
      <c r="F269" s="16">
        <f>IF(OR(E269="",NOT(ISNUMBER(E269))),"",DATE(YEAR(E269)+2,MONTH(E269),DAY(E269)-2))</f>
        <v/>
      </c>
      <c r="G269" s="20">
        <f>IF($A269="","",IFERROR(IF(LOOKUP(2,1/(人給データ!$B$2:$B$700=$A269),人給データ!$J$2:$J$700)=0,"",LOOKUP(2,1/(人給データ!$B$2:$B$700=$A269),人給データ!$J$2:$J$700)),""))</f>
        <v/>
      </c>
      <c r="H269" s="20">
        <f>IF($A269="","",IFERROR(IF(LOOKUP(2,1/(人給データ!$B$2:$B$700=$A269),人給データ!$K$2:$K$700)=0,"",LOOKUP(2,1/(人給データ!$B$2:$B$700=$A269),人給データ!$K$2:$K$700)),""))</f>
        <v/>
      </c>
      <c r="I269" s="12" t="n"/>
      <c r="J269">
        <f>IF($A269="","",IFERROR(IF(LOOKUP(2,1/(人給データ!$B$2:$B$700=$A269),人給データ!$N$2:$N$700)=0,"",LOOKUP(2,1/(人給データ!$B$2:$B$700=$A269),人給データ!$N$2:$N$700)),""))</f>
        <v/>
      </c>
      <c r="K269" s="13" t="n"/>
      <c r="L269" s="12" t="n"/>
      <c r="M269" s="12" t="n"/>
      <c r="N269" s="11" t="n"/>
      <c r="O269" s="11" t="n"/>
      <c r="P269" s="14">
        <f>IF(AND(M269&lt;&gt;"",O269=""),"保留中","")</f>
        <v/>
      </c>
      <c r="Q269" s="14">
        <f>IF(P269="保留中",COUNTIF(P$6:P269,"保留中"),"")</f>
        <v/>
      </c>
    </row>
    <row r="270">
      <c r="A270" s="12" t="n"/>
      <c r="B270">
        <f>IF($A270="","",IFERROR(IF(LOOKUP(2,1/(人給データ!$B$2:$B$700=$A270),人給データ!$C$2:$C$700)=0,"",LOOKUP(2,1/(人給データ!$B$2:$B$700=$A270),人給データ!$C$2:$C$700)),""))</f>
        <v/>
      </c>
      <c r="C270">
        <f>IF($A270="","",IFERROR(IF(LOOKUP(2,1/(人給データ!$B$2:$B$700=$A270),人給データ!$G$2:$G$700)=0,"",LOOKUP(2,1/(人給データ!$B$2:$B$700=$A270),人給データ!$G$2:$G$700)),""))</f>
        <v/>
      </c>
      <c r="D270">
        <f>IF($A270="","",IFERROR(IF(LOOKUP(2,1/(人給データ!$B$2:$B$700=$A270),人給データ!$Y$2:$Y$700)=0,"",LOOKUP(2,1/(人給データ!$B$2:$B$700=$A270),人給データ!$Y$2:$Y$700)),""))</f>
        <v/>
      </c>
      <c r="E270" s="20">
        <f>IF($A270="","",IFERROR(IF(LOOKUP(2,1/(人給データ!$B$2:$B$700=$A270),人給データ!$AB$2:$AB$700)=0,"",LOOKUP(2,1/(人給データ!$B$2:$B$700=$A270),人給データ!$AB$2:$AB$700)),""))</f>
        <v/>
      </c>
      <c r="F270" s="16">
        <f>IF(OR(E270="",NOT(ISNUMBER(E270))),"",DATE(YEAR(E270)+2,MONTH(E270),DAY(E270)-2))</f>
        <v/>
      </c>
      <c r="G270" s="20">
        <f>IF($A270="","",IFERROR(IF(LOOKUP(2,1/(人給データ!$B$2:$B$700=$A270),人給データ!$J$2:$J$700)=0,"",LOOKUP(2,1/(人給データ!$B$2:$B$700=$A270),人給データ!$J$2:$J$700)),""))</f>
        <v/>
      </c>
      <c r="H270" s="20">
        <f>IF($A270="","",IFERROR(IF(LOOKUP(2,1/(人給データ!$B$2:$B$700=$A270),人給データ!$K$2:$K$700)=0,"",LOOKUP(2,1/(人給データ!$B$2:$B$700=$A270),人給データ!$K$2:$K$700)),""))</f>
        <v/>
      </c>
      <c r="I270" s="12" t="n"/>
      <c r="J270">
        <f>IF($A270="","",IFERROR(IF(LOOKUP(2,1/(人給データ!$B$2:$B$700=$A270),人給データ!$N$2:$N$700)=0,"",LOOKUP(2,1/(人給データ!$B$2:$B$700=$A270),人給データ!$N$2:$N$700)),""))</f>
        <v/>
      </c>
      <c r="K270" s="13" t="n"/>
      <c r="L270" s="12" t="n"/>
      <c r="M270" s="12" t="n"/>
      <c r="N270" s="11" t="n"/>
      <c r="O270" s="11" t="n"/>
      <c r="P270" s="14">
        <f>IF(AND(M270&lt;&gt;"",O270=""),"保留中","")</f>
        <v/>
      </c>
      <c r="Q270" s="14">
        <f>IF(P270="保留中",COUNTIF(P$6:P270,"保留中"),"")</f>
        <v/>
      </c>
    </row>
    <row r="271">
      <c r="A271" s="12" t="n"/>
      <c r="B271">
        <f>IF($A271="","",IFERROR(IF(LOOKUP(2,1/(人給データ!$B$2:$B$700=$A271),人給データ!$C$2:$C$700)=0,"",LOOKUP(2,1/(人給データ!$B$2:$B$700=$A271),人給データ!$C$2:$C$700)),""))</f>
        <v/>
      </c>
      <c r="C271">
        <f>IF($A271="","",IFERROR(IF(LOOKUP(2,1/(人給データ!$B$2:$B$700=$A271),人給データ!$G$2:$G$700)=0,"",LOOKUP(2,1/(人給データ!$B$2:$B$700=$A271),人給データ!$G$2:$G$700)),""))</f>
        <v/>
      </c>
      <c r="D271">
        <f>IF($A271="","",IFERROR(IF(LOOKUP(2,1/(人給データ!$B$2:$B$700=$A271),人給データ!$Y$2:$Y$700)=0,"",LOOKUP(2,1/(人給データ!$B$2:$B$700=$A271),人給データ!$Y$2:$Y$700)),""))</f>
        <v/>
      </c>
      <c r="E271" s="20">
        <f>IF($A271="","",IFERROR(IF(LOOKUP(2,1/(人給データ!$B$2:$B$700=$A271),人給データ!$AB$2:$AB$700)=0,"",LOOKUP(2,1/(人給データ!$B$2:$B$700=$A271),人給データ!$AB$2:$AB$700)),""))</f>
        <v/>
      </c>
      <c r="F271" s="16">
        <f>IF(OR(E271="",NOT(ISNUMBER(E271))),"",DATE(YEAR(E271)+2,MONTH(E271),DAY(E271)-2))</f>
        <v/>
      </c>
      <c r="G271" s="20">
        <f>IF($A271="","",IFERROR(IF(LOOKUP(2,1/(人給データ!$B$2:$B$700=$A271),人給データ!$J$2:$J$700)=0,"",LOOKUP(2,1/(人給データ!$B$2:$B$700=$A271),人給データ!$J$2:$J$700)),""))</f>
        <v/>
      </c>
      <c r="H271" s="20">
        <f>IF($A271="","",IFERROR(IF(LOOKUP(2,1/(人給データ!$B$2:$B$700=$A271),人給データ!$K$2:$K$700)=0,"",LOOKUP(2,1/(人給データ!$B$2:$B$700=$A271),人給データ!$K$2:$K$700)),""))</f>
        <v/>
      </c>
      <c r="I271" s="12" t="n"/>
      <c r="J271">
        <f>IF($A271="","",IFERROR(IF(LOOKUP(2,1/(人給データ!$B$2:$B$700=$A271),人給データ!$N$2:$N$700)=0,"",LOOKUP(2,1/(人給データ!$B$2:$B$700=$A271),人給データ!$N$2:$N$700)),""))</f>
        <v/>
      </c>
      <c r="K271" s="13" t="n"/>
      <c r="L271" s="12" t="n"/>
      <c r="M271" s="12" t="n"/>
      <c r="N271" s="11" t="n"/>
      <c r="O271" s="11" t="n"/>
      <c r="P271" s="14">
        <f>IF(AND(M271&lt;&gt;"",O271=""),"保留中","")</f>
        <v/>
      </c>
      <c r="Q271" s="14">
        <f>IF(P271="保留中",COUNTIF(P$6:P271,"保留中"),"")</f>
        <v/>
      </c>
    </row>
    <row r="272">
      <c r="A272" s="12" t="n"/>
      <c r="B272">
        <f>IF($A272="","",IFERROR(IF(LOOKUP(2,1/(人給データ!$B$2:$B$700=$A272),人給データ!$C$2:$C$700)=0,"",LOOKUP(2,1/(人給データ!$B$2:$B$700=$A272),人給データ!$C$2:$C$700)),""))</f>
        <v/>
      </c>
      <c r="C272">
        <f>IF($A272="","",IFERROR(IF(LOOKUP(2,1/(人給データ!$B$2:$B$700=$A272),人給データ!$G$2:$G$700)=0,"",LOOKUP(2,1/(人給データ!$B$2:$B$700=$A272),人給データ!$G$2:$G$700)),""))</f>
        <v/>
      </c>
      <c r="D272">
        <f>IF($A272="","",IFERROR(IF(LOOKUP(2,1/(人給データ!$B$2:$B$700=$A272),人給データ!$Y$2:$Y$700)=0,"",LOOKUP(2,1/(人給データ!$B$2:$B$700=$A272),人給データ!$Y$2:$Y$700)),""))</f>
        <v/>
      </c>
      <c r="E272" s="20">
        <f>IF($A272="","",IFERROR(IF(LOOKUP(2,1/(人給データ!$B$2:$B$700=$A272),人給データ!$AB$2:$AB$700)=0,"",LOOKUP(2,1/(人給データ!$B$2:$B$700=$A272),人給データ!$AB$2:$AB$700)),""))</f>
        <v/>
      </c>
      <c r="F272" s="16">
        <f>IF(OR(E272="",NOT(ISNUMBER(E272))),"",DATE(YEAR(E272)+2,MONTH(E272),DAY(E272)-2))</f>
        <v/>
      </c>
      <c r="G272" s="20">
        <f>IF($A272="","",IFERROR(IF(LOOKUP(2,1/(人給データ!$B$2:$B$700=$A272),人給データ!$J$2:$J$700)=0,"",LOOKUP(2,1/(人給データ!$B$2:$B$700=$A272),人給データ!$J$2:$J$700)),""))</f>
        <v/>
      </c>
      <c r="H272" s="20">
        <f>IF($A272="","",IFERROR(IF(LOOKUP(2,1/(人給データ!$B$2:$B$700=$A272),人給データ!$K$2:$K$700)=0,"",LOOKUP(2,1/(人給データ!$B$2:$B$700=$A272),人給データ!$K$2:$K$700)),""))</f>
        <v/>
      </c>
      <c r="I272" s="12" t="n"/>
      <c r="J272">
        <f>IF($A272="","",IFERROR(IF(LOOKUP(2,1/(人給データ!$B$2:$B$700=$A272),人給データ!$N$2:$N$700)=0,"",LOOKUP(2,1/(人給データ!$B$2:$B$700=$A272),人給データ!$N$2:$N$700)),""))</f>
        <v/>
      </c>
      <c r="K272" s="13" t="n"/>
      <c r="L272" s="12" t="n"/>
      <c r="M272" s="12" t="n"/>
      <c r="N272" s="11" t="n"/>
      <c r="O272" s="11" t="n"/>
      <c r="P272" s="14">
        <f>IF(AND(M272&lt;&gt;"",O272=""),"保留中","")</f>
        <v/>
      </c>
      <c r="Q272" s="14">
        <f>IF(P272="保留中",COUNTIF(P$6:P272,"保留中"),"")</f>
        <v/>
      </c>
    </row>
    <row r="273">
      <c r="A273" s="12" t="n"/>
      <c r="B273">
        <f>IF($A273="","",IFERROR(IF(LOOKUP(2,1/(人給データ!$B$2:$B$700=$A273),人給データ!$C$2:$C$700)=0,"",LOOKUP(2,1/(人給データ!$B$2:$B$700=$A273),人給データ!$C$2:$C$700)),""))</f>
        <v/>
      </c>
      <c r="C273">
        <f>IF($A273="","",IFERROR(IF(LOOKUP(2,1/(人給データ!$B$2:$B$700=$A273),人給データ!$G$2:$G$700)=0,"",LOOKUP(2,1/(人給データ!$B$2:$B$700=$A273),人給データ!$G$2:$G$700)),""))</f>
        <v/>
      </c>
      <c r="D273">
        <f>IF($A273="","",IFERROR(IF(LOOKUP(2,1/(人給データ!$B$2:$B$700=$A273),人給データ!$Y$2:$Y$700)=0,"",LOOKUP(2,1/(人給データ!$B$2:$B$700=$A273),人給データ!$Y$2:$Y$700)),""))</f>
        <v/>
      </c>
      <c r="E273" s="20">
        <f>IF($A273="","",IFERROR(IF(LOOKUP(2,1/(人給データ!$B$2:$B$700=$A273),人給データ!$AB$2:$AB$700)=0,"",LOOKUP(2,1/(人給データ!$B$2:$B$700=$A273),人給データ!$AB$2:$AB$700)),""))</f>
        <v/>
      </c>
      <c r="F273" s="16">
        <f>IF(OR(E273="",NOT(ISNUMBER(E273))),"",DATE(YEAR(E273)+2,MONTH(E273),DAY(E273)-2))</f>
        <v/>
      </c>
      <c r="G273" s="20">
        <f>IF($A273="","",IFERROR(IF(LOOKUP(2,1/(人給データ!$B$2:$B$700=$A273),人給データ!$J$2:$J$700)=0,"",LOOKUP(2,1/(人給データ!$B$2:$B$700=$A273),人給データ!$J$2:$J$700)),""))</f>
        <v/>
      </c>
      <c r="H273" s="20">
        <f>IF($A273="","",IFERROR(IF(LOOKUP(2,1/(人給データ!$B$2:$B$700=$A273),人給データ!$K$2:$K$700)=0,"",LOOKUP(2,1/(人給データ!$B$2:$B$700=$A273),人給データ!$K$2:$K$700)),""))</f>
        <v/>
      </c>
      <c r="I273" s="12" t="n"/>
      <c r="J273">
        <f>IF($A273="","",IFERROR(IF(LOOKUP(2,1/(人給データ!$B$2:$B$700=$A273),人給データ!$N$2:$N$700)=0,"",LOOKUP(2,1/(人給データ!$B$2:$B$700=$A273),人給データ!$N$2:$N$700)),""))</f>
        <v/>
      </c>
      <c r="K273" s="13" t="n"/>
      <c r="L273" s="12" t="n"/>
      <c r="M273" s="12" t="n"/>
      <c r="N273" s="11" t="n"/>
      <c r="O273" s="11" t="n"/>
      <c r="P273" s="14">
        <f>IF(AND(M273&lt;&gt;"",O273=""),"保留中","")</f>
        <v/>
      </c>
      <c r="Q273" s="14">
        <f>IF(P273="保留中",COUNTIF(P$6:P273,"保留中"),"")</f>
        <v/>
      </c>
    </row>
    <row r="274">
      <c r="A274" s="12" t="n"/>
      <c r="B274">
        <f>IF($A274="","",IFERROR(IF(LOOKUP(2,1/(人給データ!$B$2:$B$700=$A274),人給データ!$C$2:$C$700)=0,"",LOOKUP(2,1/(人給データ!$B$2:$B$700=$A274),人給データ!$C$2:$C$700)),""))</f>
        <v/>
      </c>
      <c r="C274">
        <f>IF($A274="","",IFERROR(IF(LOOKUP(2,1/(人給データ!$B$2:$B$700=$A274),人給データ!$G$2:$G$700)=0,"",LOOKUP(2,1/(人給データ!$B$2:$B$700=$A274),人給データ!$G$2:$G$700)),""))</f>
        <v/>
      </c>
      <c r="D274">
        <f>IF($A274="","",IFERROR(IF(LOOKUP(2,1/(人給データ!$B$2:$B$700=$A274),人給データ!$Y$2:$Y$700)=0,"",LOOKUP(2,1/(人給データ!$B$2:$B$700=$A274),人給データ!$Y$2:$Y$700)),""))</f>
        <v/>
      </c>
      <c r="E274" s="20">
        <f>IF($A274="","",IFERROR(IF(LOOKUP(2,1/(人給データ!$B$2:$B$700=$A274),人給データ!$AB$2:$AB$700)=0,"",LOOKUP(2,1/(人給データ!$B$2:$B$700=$A274),人給データ!$AB$2:$AB$700)),""))</f>
        <v/>
      </c>
      <c r="F274" s="16">
        <f>IF(OR(E274="",NOT(ISNUMBER(E274))),"",DATE(YEAR(E274)+2,MONTH(E274),DAY(E274)-2))</f>
        <v/>
      </c>
      <c r="G274" s="20">
        <f>IF($A274="","",IFERROR(IF(LOOKUP(2,1/(人給データ!$B$2:$B$700=$A274),人給データ!$J$2:$J$700)=0,"",LOOKUP(2,1/(人給データ!$B$2:$B$700=$A274),人給データ!$J$2:$J$700)),""))</f>
        <v/>
      </c>
      <c r="H274" s="20">
        <f>IF($A274="","",IFERROR(IF(LOOKUP(2,1/(人給データ!$B$2:$B$700=$A274),人給データ!$K$2:$K$700)=0,"",LOOKUP(2,1/(人給データ!$B$2:$B$700=$A274),人給データ!$K$2:$K$700)),""))</f>
        <v/>
      </c>
      <c r="I274" s="12" t="n"/>
      <c r="J274">
        <f>IF($A274="","",IFERROR(IF(LOOKUP(2,1/(人給データ!$B$2:$B$700=$A274),人給データ!$N$2:$N$700)=0,"",LOOKUP(2,1/(人給データ!$B$2:$B$700=$A274),人給データ!$N$2:$N$700)),""))</f>
        <v/>
      </c>
      <c r="K274" s="13" t="n"/>
      <c r="L274" s="12" t="n"/>
      <c r="M274" s="12" t="n"/>
      <c r="N274" s="11" t="n"/>
      <c r="O274" s="11" t="n"/>
      <c r="P274" s="14">
        <f>IF(AND(M274&lt;&gt;"",O274=""),"保留中","")</f>
        <v/>
      </c>
      <c r="Q274" s="14">
        <f>IF(P274="保留中",COUNTIF(P$6:P274,"保留中"),"")</f>
        <v/>
      </c>
    </row>
    <row r="275">
      <c r="A275" s="12" t="n"/>
      <c r="B275">
        <f>IF($A275="","",IFERROR(IF(LOOKUP(2,1/(人給データ!$B$2:$B$700=$A275),人給データ!$C$2:$C$700)=0,"",LOOKUP(2,1/(人給データ!$B$2:$B$700=$A275),人給データ!$C$2:$C$700)),""))</f>
        <v/>
      </c>
      <c r="C275">
        <f>IF($A275="","",IFERROR(IF(LOOKUP(2,1/(人給データ!$B$2:$B$700=$A275),人給データ!$G$2:$G$700)=0,"",LOOKUP(2,1/(人給データ!$B$2:$B$700=$A275),人給データ!$G$2:$G$700)),""))</f>
        <v/>
      </c>
      <c r="D275">
        <f>IF($A275="","",IFERROR(IF(LOOKUP(2,1/(人給データ!$B$2:$B$700=$A275),人給データ!$Y$2:$Y$700)=0,"",LOOKUP(2,1/(人給データ!$B$2:$B$700=$A275),人給データ!$Y$2:$Y$700)),""))</f>
        <v/>
      </c>
      <c r="E275" s="20">
        <f>IF($A275="","",IFERROR(IF(LOOKUP(2,1/(人給データ!$B$2:$B$700=$A275),人給データ!$AB$2:$AB$700)=0,"",LOOKUP(2,1/(人給データ!$B$2:$B$700=$A275),人給データ!$AB$2:$AB$700)),""))</f>
        <v/>
      </c>
      <c r="F275" s="16">
        <f>IF(OR(E275="",NOT(ISNUMBER(E275))),"",DATE(YEAR(E275)+2,MONTH(E275),DAY(E275)-2))</f>
        <v/>
      </c>
      <c r="G275" s="20">
        <f>IF($A275="","",IFERROR(IF(LOOKUP(2,1/(人給データ!$B$2:$B$700=$A275),人給データ!$J$2:$J$700)=0,"",LOOKUP(2,1/(人給データ!$B$2:$B$700=$A275),人給データ!$J$2:$J$700)),""))</f>
        <v/>
      </c>
      <c r="H275" s="20">
        <f>IF($A275="","",IFERROR(IF(LOOKUP(2,1/(人給データ!$B$2:$B$700=$A275),人給データ!$K$2:$K$700)=0,"",LOOKUP(2,1/(人給データ!$B$2:$B$700=$A275),人給データ!$K$2:$K$700)),""))</f>
        <v/>
      </c>
      <c r="I275" s="12" t="n"/>
      <c r="J275">
        <f>IF($A275="","",IFERROR(IF(LOOKUP(2,1/(人給データ!$B$2:$B$700=$A275),人給データ!$N$2:$N$700)=0,"",LOOKUP(2,1/(人給データ!$B$2:$B$700=$A275),人給データ!$N$2:$N$700)),""))</f>
        <v/>
      </c>
      <c r="K275" s="13" t="n"/>
      <c r="L275" s="12" t="n"/>
      <c r="M275" s="12" t="n"/>
      <c r="N275" s="11" t="n"/>
      <c r="O275" s="11" t="n"/>
      <c r="P275" s="14">
        <f>IF(AND(M275&lt;&gt;"",O275=""),"保留中","")</f>
        <v/>
      </c>
      <c r="Q275" s="14">
        <f>IF(P275="保留中",COUNTIF(P$6:P275,"保留中"),"")</f>
        <v/>
      </c>
    </row>
    <row r="276">
      <c r="A276" s="12" t="n"/>
      <c r="B276">
        <f>IF($A276="","",IFERROR(IF(LOOKUP(2,1/(人給データ!$B$2:$B$700=$A276),人給データ!$C$2:$C$700)=0,"",LOOKUP(2,1/(人給データ!$B$2:$B$700=$A276),人給データ!$C$2:$C$700)),""))</f>
        <v/>
      </c>
      <c r="C276">
        <f>IF($A276="","",IFERROR(IF(LOOKUP(2,1/(人給データ!$B$2:$B$700=$A276),人給データ!$G$2:$G$700)=0,"",LOOKUP(2,1/(人給データ!$B$2:$B$700=$A276),人給データ!$G$2:$G$700)),""))</f>
        <v/>
      </c>
      <c r="D276">
        <f>IF($A276="","",IFERROR(IF(LOOKUP(2,1/(人給データ!$B$2:$B$700=$A276),人給データ!$Y$2:$Y$700)=0,"",LOOKUP(2,1/(人給データ!$B$2:$B$700=$A276),人給データ!$Y$2:$Y$700)),""))</f>
        <v/>
      </c>
      <c r="E276" s="20">
        <f>IF($A276="","",IFERROR(IF(LOOKUP(2,1/(人給データ!$B$2:$B$700=$A276),人給データ!$AB$2:$AB$700)=0,"",LOOKUP(2,1/(人給データ!$B$2:$B$700=$A276),人給データ!$AB$2:$AB$700)),""))</f>
        <v/>
      </c>
      <c r="F276" s="16">
        <f>IF(OR(E276="",NOT(ISNUMBER(E276))),"",DATE(YEAR(E276)+2,MONTH(E276),DAY(E276)-2))</f>
        <v/>
      </c>
      <c r="G276" s="20">
        <f>IF($A276="","",IFERROR(IF(LOOKUP(2,1/(人給データ!$B$2:$B$700=$A276),人給データ!$J$2:$J$700)=0,"",LOOKUP(2,1/(人給データ!$B$2:$B$700=$A276),人給データ!$J$2:$J$700)),""))</f>
        <v/>
      </c>
      <c r="H276" s="20">
        <f>IF($A276="","",IFERROR(IF(LOOKUP(2,1/(人給データ!$B$2:$B$700=$A276),人給データ!$K$2:$K$700)=0,"",LOOKUP(2,1/(人給データ!$B$2:$B$700=$A276),人給データ!$K$2:$K$700)),""))</f>
        <v/>
      </c>
      <c r="I276" s="12" t="n"/>
      <c r="J276">
        <f>IF($A276="","",IFERROR(IF(LOOKUP(2,1/(人給データ!$B$2:$B$700=$A276),人給データ!$N$2:$N$700)=0,"",LOOKUP(2,1/(人給データ!$B$2:$B$700=$A276),人給データ!$N$2:$N$700)),""))</f>
        <v/>
      </c>
      <c r="K276" s="13" t="n"/>
      <c r="L276" s="12" t="n"/>
      <c r="M276" s="12" t="n"/>
      <c r="N276" s="11" t="n"/>
      <c r="O276" s="11" t="n"/>
      <c r="P276" s="14">
        <f>IF(AND(M276&lt;&gt;"",O276=""),"保留中","")</f>
        <v/>
      </c>
      <c r="Q276" s="14">
        <f>IF(P276="保留中",COUNTIF(P$6:P276,"保留中"),"")</f>
        <v/>
      </c>
    </row>
    <row r="277">
      <c r="A277" s="12" t="n"/>
      <c r="B277">
        <f>IF($A277="","",IFERROR(IF(LOOKUP(2,1/(人給データ!$B$2:$B$700=$A277),人給データ!$C$2:$C$700)=0,"",LOOKUP(2,1/(人給データ!$B$2:$B$700=$A277),人給データ!$C$2:$C$700)),""))</f>
        <v/>
      </c>
      <c r="C277">
        <f>IF($A277="","",IFERROR(IF(LOOKUP(2,1/(人給データ!$B$2:$B$700=$A277),人給データ!$G$2:$G$700)=0,"",LOOKUP(2,1/(人給データ!$B$2:$B$700=$A277),人給データ!$G$2:$G$700)),""))</f>
        <v/>
      </c>
      <c r="D277">
        <f>IF($A277="","",IFERROR(IF(LOOKUP(2,1/(人給データ!$B$2:$B$700=$A277),人給データ!$Y$2:$Y$700)=0,"",LOOKUP(2,1/(人給データ!$B$2:$B$700=$A277),人給データ!$Y$2:$Y$700)),""))</f>
        <v/>
      </c>
      <c r="E277" s="20">
        <f>IF($A277="","",IFERROR(IF(LOOKUP(2,1/(人給データ!$B$2:$B$700=$A277),人給データ!$AB$2:$AB$700)=0,"",LOOKUP(2,1/(人給データ!$B$2:$B$700=$A277),人給データ!$AB$2:$AB$700)),""))</f>
        <v/>
      </c>
      <c r="F277" s="16">
        <f>IF(OR(E277="",NOT(ISNUMBER(E277))),"",DATE(YEAR(E277)+2,MONTH(E277),DAY(E277)-2))</f>
        <v/>
      </c>
      <c r="G277" s="20">
        <f>IF($A277="","",IFERROR(IF(LOOKUP(2,1/(人給データ!$B$2:$B$700=$A277),人給データ!$J$2:$J$700)=0,"",LOOKUP(2,1/(人給データ!$B$2:$B$700=$A277),人給データ!$J$2:$J$700)),""))</f>
        <v/>
      </c>
      <c r="H277" s="20">
        <f>IF($A277="","",IFERROR(IF(LOOKUP(2,1/(人給データ!$B$2:$B$700=$A277),人給データ!$K$2:$K$700)=0,"",LOOKUP(2,1/(人給データ!$B$2:$B$700=$A277),人給データ!$K$2:$K$700)),""))</f>
        <v/>
      </c>
      <c r="I277" s="12" t="n"/>
      <c r="J277">
        <f>IF($A277="","",IFERROR(IF(LOOKUP(2,1/(人給データ!$B$2:$B$700=$A277),人給データ!$N$2:$N$700)=0,"",LOOKUP(2,1/(人給データ!$B$2:$B$700=$A277),人給データ!$N$2:$N$700)),""))</f>
        <v/>
      </c>
      <c r="K277" s="13" t="n"/>
      <c r="L277" s="12" t="n"/>
      <c r="M277" s="12" t="n"/>
      <c r="N277" s="11" t="n"/>
      <c r="O277" s="11" t="n"/>
      <c r="P277" s="14">
        <f>IF(AND(M277&lt;&gt;"",O277=""),"保留中","")</f>
        <v/>
      </c>
      <c r="Q277" s="14">
        <f>IF(P277="保留中",COUNTIF(P$6:P277,"保留中"),"")</f>
        <v/>
      </c>
    </row>
    <row r="278">
      <c r="A278" s="12" t="n"/>
      <c r="B278">
        <f>IF($A278="","",IFERROR(IF(LOOKUP(2,1/(人給データ!$B$2:$B$700=$A278),人給データ!$C$2:$C$700)=0,"",LOOKUP(2,1/(人給データ!$B$2:$B$700=$A278),人給データ!$C$2:$C$700)),""))</f>
        <v/>
      </c>
      <c r="C278">
        <f>IF($A278="","",IFERROR(IF(LOOKUP(2,1/(人給データ!$B$2:$B$700=$A278),人給データ!$G$2:$G$700)=0,"",LOOKUP(2,1/(人給データ!$B$2:$B$700=$A278),人給データ!$G$2:$G$700)),""))</f>
        <v/>
      </c>
      <c r="D278">
        <f>IF($A278="","",IFERROR(IF(LOOKUP(2,1/(人給データ!$B$2:$B$700=$A278),人給データ!$Y$2:$Y$700)=0,"",LOOKUP(2,1/(人給データ!$B$2:$B$700=$A278),人給データ!$Y$2:$Y$700)),""))</f>
        <v/>
      </c>
      <c r="E278" s="20">
        <f>IF($A278="","",IFERROR(IF(LOOKUP(2,1/(人給データ!$B$2:$B$700=$A278),人給データ!$AB$2:$AB$700)=0,"",LOOKUP(2,1/(人給データ!$B$2:$B$700=$A278),人給データ!$AB$2:$AB$700)),""))</f>
        <v/>
      </c>
      <c r="F278" s="16">
        <f>IF(OR(E278="",NOT(ISNUMBER(E278))),"",DATE(YEAR(E278)+2,MONTH(E278),DAY(E278)-2))</f>
        <v/>
      </c>
      <c r="G278" s="20">
        <f>IF($A278="","",IFERROR(IF(LOOKUP(2,1/(人給データ!$B$2:$B$700=$A278),人給データ!$J$2:$J$700)=0,"",LOOKUP(2,1/(人給データ!$B$2:$B$700=$A278),人給データ!$J$2:$J$700)),""))</f>
        <v/>
      </c>
      <c r="H278" s="20">
        <f>IF($A278="","",IFERROR(IF(LOOKUP(2,1/(人給データ!$B$2:$B$700=$A278),人給データ!$K$2:$K$700)=0,"",LOOKUP(2,1/(人給データ!$B$2:$B$700=$A278),人給データ!$K$2:$K$700)),""))</f>
        <v/>
      </c>
      <c r="I278" s="12" t="n"/>
      <c r="J278">
        <f>IF($A278="","",IFERROR(IF(LOOKUP(2,1/(人給データ!$B$2:$B$700=$A278),人給データ!$N$2:$N$700)=0,"",LOOKUP(2,1/(人給データ!$B$2:$B$700=$A278),人給データ!$N$2:$N$700)),""))</f>
        <v/>
      </c>
      <c r="K278" s="13" t="n"/>
      <c r="L278" s="12" t="n"/>
      <c r="M278" s="12" t="n"/>
      <c r="N278" s="11" t="n"/>
      <c r="O278" s="11" t="n"/>
      <c r="P278" s="14">
        <f>IF(AND(M278&lt;&gt;"",O278=""),"保留中","")</f>
        <v/>
      </c>
      <c r="Q278" s="14">
        <f>IF(P278="保留中",COUNTIF(P$6:P278,"保留中"),"")</f>
        <v/>
      </c>
    </row>
    <row r="279">
      <c r="A279" s="12" t="n"/>
      <c r="B279">
        <f>IF($A279="","",IFERROR(IF(LOOKUP(2,1/(人給データ!$B$2:$B$700=$A279),人給データ!$C$2:$C$700)=0,"",LOOKUP(2,1/(人給データ!$B$2:$B$700=$A279),人給データ!$C$2:$C$700)),""))</f>
        <v/>
      </c>
      <c r="C279">
        <f>IF($A279="","",IFERROR(IF(LOOKUP(2,1/(人給データ!$B$2:$B$700=$A279),人給データ!$G$2:$G$700)=0,"",LOOKUP(2,1/(人給データ!$B$2:$B$700=$A279),人給データ!$G$2:$G$700)),""))</f>
        <v/>
      </c>
      <c r="D279">
        <f>IF($A279="","",IFERROR(IF(LOOKUP(2,1/(人給データ!$B$2:$B$700=$A279),人給データ!$Y$2:$Y$700)=0,"",LOOKUP(2,1/(人給データ!$B$2:$B$700=$A279),人給データ!$Y$2:$Y$700)),""))</f>
        <v/>
      </c>
      <c r="E279" s="20">
        <f>IF($A279="","",IFERROR(IF(LOOKUP(2,1/(人給データ!$B$2:$B$700=$A279),人給データ!$AB$2:$AB$700)=0,"",LOOKUP(2,1/(人給データ!$B$2:$B$700=$A279),人給データ!$AB$2:$AB$700)),""))</f>
        <v/>
      </c>
      <c r="F279" s="16">
        <f>IF(OR(E279="",NOT(ISNUMBER(E279))),"",DATE(YEAR(E279)+2,MONTH(E279),DAY(E279)-2))</f>
        <v/>
      </c>
      <c r="G279" s="20">
        <f>IF($A279="","",IFERROR(IF(LOOKUP(2,1/(人給データ!$B$2:$B$700=$A279),人給データ!$J$2:$J$700)=0,"",LOOKUP(2,1/(人給データ!$B$2:$B$700=$A279),人給データ!$J$2:$J$700)),""))</f>
        <v/>
      </c>
      <c r="H279" s="20">
        <f>IF($A279="","",IFERROR(IF(LOOKUP(2,1/(人給データ!$B$2:$B$700=$A279),人給データ!$K$2:$K$700)=0,"",LOOKUP(2,1/(人給データ!$B$2:$B$700=$A279),人給データ!$K$2:$K$700)),""))</f>
        <v/>
      </c>
      <c r="I279" s="12" t="n"/>
      <c r="J279">
        <f>IF($A279="","",IFERROR(IF(LOOKUP(2,1/(人給データ!$B$2:$B$700=$A279),人給データ!$N$2:$N$700)=0,"",LOOKUP(2,1/(人給データ!$B$2:$B$700=$A279),人給データ!$N$2:$N$700)),""))</f>
        <v/>
      </c>
      <c r="K279" s="13" t="n"/>
      <c r="L279" s="12" t="n"/>
      <c r="M279" s="12" t="n"/>
      <c r="N279" s="11" t="n"/>
      <c r="O279" s="11" t="n"/>
      <c r="P279" s="14">
        <f>IF(AND(M279&lt;&gt;"",O279=""),"保留中","")</f>
        <v/>
      </c>
      <c r="Q279" s="14">
        <f>IF(P279="保留中",COUNTIF(P$6:P279,"保留中"),"")</f>
        <v/>
      </c>
    </row>
    <row r="280">
      <c r="A280" s="12" t="n"/>
      <c r="B280">
        <f>IF($A280="","",IFERROR(IF(LOOKUP(2,1/(人給データ!$B$2:$B$700=$A280),人給データ!$C$2:$C$700)=0,"",LOOKUP(2,1/(人給データ!$B$2:$B$700=$A280),人給データ!$C$2:$C$700)),""))</f>
        <v/>
      </c>
      <c r="C280">
        <f>IF($A280="","",IFERROR(IF(LOOKUP(2,1/(人給データ!$B$2:$B$700=$A280),人給データ!$G$2:$G$700)=0,"",LOOKUP(2,1/(人給データ!$B$2:$B$700=$A280),人給データ!$G$2:$G$700)),""))</f>
        <v/>
      </c>
      <c r="D280">
        <f>IF($A280="","",IFERROR(IF(LOOKUP(2,1/(人給データ!$B$2:$B$700=$A280),人給データ!$Y$2:$Y$700)=0,"",LOOKUP(2,1/(人給データ!$B$2:$B$700=$A280),人給データ!$Y$2:$Y$700)),""))</f>
        <v/>
      </c>
      <c r="E280" s="20">
        <f>IF($A280="","",IFERROR(IF(LOOKUP(2,1/(人給データ!$B$2:$B$700=$A280),人給データ!$AB$2:$AB$700)=0,"",LOOKUP(2,1/(人給データ!$B$2:$B$700=$A280),人給データ!$AB$2:$AB$700)),""))</f>
        <v/>
      </c>
      <c r="F280" s="16">
        <f>IF(OR(E280="",NOT(ISNUMBER(E280))),"",DATE(YEAR(E280)+2,MONTH(E280),DAY(E280)-2))</f>
        <v/>
      </c>
      <c r="G280" s="20">
        <f>IF($A280="","",IFERROR(IF(LOOKUP(2,1/(人給データ!$B$2:$B$700=$A280),人給データ!$J$2:$J$700)=0,"",LOOKUP(2,1/(人給データ!$B$2:$B$700=$A280),人給データ!$J$2:$J$700)),""))</f>
        <v/>
      </c>
      <c r="H280" s="20">
        <f>IF($A280="","",IFERROR(IF(LOOKUP(2,1/(人給データ!$B$2:$B$700=$A280),人給データ!$K$2:$K$700)=0,"",LOOKUP(2,1/(人給データ!$B$2:$B$700=$A280),人給データ!$K$2:$K$700)),""))</f>
        <v/>
      </c>
      <c r="I280" s="12" t="n"/>
      <c r="J280">
        <f>IF($A280="","",IFERROR(IF(LOOKUP(2,1/(人給データ!$B$2:$B$700=$A280),人給データ!$N$2:$N$700)=0,"",LOOKUP(2,1/(人給データ!$B$2:$B$700=$A280),人給データ!$N$2:$N$700)),""))</f>
        <v/>
      </c>
      <c r="K280" s="13" t="n"/>
      <c r="L280" s="12" t="n"/>
      <c r="M280" s="12" t="n"/>
      <c r="N280" s="11" t="n"/>
      <c r="O280" s="11" t="n"/>
      <c r="P280" s="14">
        <f>IF(AND(M280&lt;&gt;"",O280=""),"保留中","")</f>
        <v/>
      </c>
      <c r="Q280" s="14">
        <f>IF(P280="保留中",COUNTIF(P$6:P280,"保留中"),"")</f>
        <v/>
      </c>
    </row>
    <row r="281">
      <c r="A281" s="12" t="n"/>
      <c r="B281">
        <f>IF($A281="","",IFERROR(IF(LOOKUP(2,1/(人給データ!$B$2:$B$700=$A281),人給データ!$C$2:$C$700)=0,"",LOOKUP(2,1/(人給データ!$B$2:$B$700=$A281),人給データ!$C$2:$C$700)),""))</f>
        <v/>
      </c>
      <c r="C281">
        <f>IF($A281="","",IFERROR(IF(LOOKUP(2,1/(人給データ!$B$2:$B$700=$A281),人給データ!$G$2:$G$700)=0,"",LOOKUP(2,1/(人給データ!$B$2:$B$700=$A281),人給データ!$G$2:$G$700)),""))</f>
        <v/>
      </c>
      <c r="D281">
        <f>IF($A281="","",IFERROR(IF(LOOKUP(2,1/(人給データ!$B$2:$B$700=$A281),人給データ!$Y$2:$Y$700)=0,"",LOOKUP(2,1/(人給データ!$B$2:$B$700=$A281),人給データ!$Y$2:$Y$700)),""))</f>
        <v/>
      </c>
      <c r="E281" s="20">
        <f>IF($A281="","",IFERROR(IF(LOOKUP(2,1/(人給データ!$B$2:$B$700=$A281),人給データ!$AB$2:$AB$700)=0,"",LOOKUP(2,1/(人給データ!$B$2:$B$700=$A281),人給データ!$AB$2:$AB$700)),""))</f>
        <v/>
      </c>
      <c r="F281" s="16">
        <f>IF(OR(E281="",NOT(ISNUMBER(E281))),"",DATE(YEAR(E281)+2,MONTH(E281),DAY(E281)-2))</f>
        <v/>
      </c>
      <c r="G281" s="20">
        <f>IF($A281="","",IFERROR(IF(LOOKUP(2,1/(人給データ!$B$2:$B$700=$A281),人給データ!$J$2:$J$700)=0,"",LOOKUP(2,1/(人給データ!$B$2:$B$700=$A281),人給データ!$J$2:$J$700)),""))</f>
        <v/>
      </c>
      <c r="H281" s="20">
        <f>IF($A281="","",IFERROR(IF(LOOKUP(2,1/(人給データ!$B$2:$B$700=$A281),人給データ!$K$2:$K$700)=0,"",LOOKUP(2,1/(人給データ!$B$2:$B$700=$A281),人給データ!$K$2:$K$700)),""))</f>
        <v/>
      </c>
      <c r="I281" s="12" t="n"/>
      <c r="J281">
        <f>IF($A281="","",IFERROR(IF(LOOKUP(2,1/(人給データ!$B$2:$B$700=$A281),人給データ!$N$2:$N$700)=0,"",LOOKUP(2,1/(人給データ!$B$2:$B$700=$A281),人給データ!$N$2:$N$700)),""))</f>
        <v/>
      </c>
      <c r="K281" s="13" t="n"/>
      <c r="L281" s="12" t="n"/>
      <c r="M281" s="12" t="n"/>
      <c r="N281" s="11" t="n"/>
      <c r="O281" s="11" t="n"/>
      <c r="P281" s="14">
        <f>IF(AND(M281&lt;&gt;"",O281=""),"保留中","")</f>
        <v/>
      </c>
      <c r="Q281" s="14">
        <f>IF(P281="保留中",COUNTIF(P$6:P281,"保留中"),"")</f>
        <v/>
      </c>
    </row>
    <row r="282">
      <c r="A282" s="12" t="n"/>
      <c r="B282">
        <f>IF($A282="","",IFERROR(IF(LOOKUP(2,1/(人給データ!$B$2:$B$700=$A282),人給データ!$C$2:$C$700)=0,"",LOOKUP(2,1/(人給データ!$B$2:$B$700=$A282),人給データ!$C$2:$C$700)),""))</f>
        <v/>
      </c>
      <c r="C282">
        <f>IF($A282="","",IFERROR(IF(LOOKUP(2,1/(人給データ!$B$2:$B$700=$A282),人給データ!$G$2:$G$700)=0,"",LOOKUP(2,1/(人給データ!$B$2:$B$700=$A282),人給データ!$G$2:$G$700)),""))</f>
        <v/>
      </c>
      <c r="D282">
        <f>IF($A282="","",IFERROR(IF(LOOKUP(2,1/(人給データ!$B$2:$B$700=$A282),人給データ!$Y$2:$Y$700)=0,"",LOOKUP(2,1/(人給データ!$B$2:$B$700=$A282),人給データ!$Y$2:$Y$700)),""))</f>
        <v/>
      </c>
      <c r="E282" s="20">
        <f>IF($A282="","",IFERROR(IF(LOOKUP(2,1/(人給データ!$B$2:$B$700=$A282),人給データ!$AB$2:$AB$700)=0,"",LOOKUP(2,1/(人給データ!$B$2:$B$700=$A282),人給データ!$AB$2:$AB$700)),""))</f>
        <v/>
      </c>
      <c r="F282" s="16">
        <f>IF(OR(E282="",NOT(ISNUMBER(E282))),"",DATE(YEAR(E282)+2,MONTH(E282),DAY(E282)-2))</f>
        <v/>
      </c>
      <c r="G282" s="20">
        <f>IF($A282="","",IFERROR(IF(LOOKUP(2,1/(人給データ!$B$2:$B$700=$A282),人給データ!$J$2:$J$700)=0,"",LOOKUP(2,1/(人給データ!$B$2:$B$700=$A282),人給データ!$J$2:$J$700)),""))</f>
        <v/>
      </c>
      <c r="H282" s="20">
        <f>IF($A282="","",IFERROR(IF(LOOKUP(2,1/(人給データ!$B$2:$B$700=$A282),人給データ!$K$2:$K$700)=0,"",LOOKUP(2,1/(人給データ!$B$2:$B$700=$A282),人給データ!$K$2:$K$700)),""))</f>
        <v/>
      </c>
      <c r="I282" s="12" t="n"/>
      <c r="J282">
        <f>IF($A282="","",IFERROR(IF(LOOKUP(2,1/(人給データ!$B$2:$B$700=$A282),人給データ!$N$2:$N$700)=0,"",LOOKUP(2,1/(人給データ!$B$2:$B$700=$A282),人給データ!$N$2:$N$700)),""))</f>
        <v/>
      </c>
      <c r="K282" s="13" t="n"/>
      <c r="L282" s="12" t="n"/>
      <c r="M282" s="12" t="n"/>
      <c r="N282" s="11" t="n"/>
      <c r="O282" s="11" t="n"/>
      <c r="P282" s="14">
        <f>IF(AND(M282&lt;&gt;"",O282=""),"保留中","")</f>
        <v/>
      </c>
      <c r="Q282" s="14">
        <f>IF(P282="保留中",COUNTIF(P$6:P282,"保留中"),"")</f>
        <v/>
      </c>
    </row>
    <row r="283">
      <c r="A283" s="12" t="n"/>
      <c r="B283">
        <f>IF($A283="","",IFERROR(IF(LOOKUP(2,1/(人給データ!$B$2:$B$700=$A283),人給データ!$C$2:$C$700)=0,"",LOOKUP(2,1/(人給データ!$B$2:$B$700=$A283),人給データ!$C$2:$C$700)),""))</f>
        <v/>
      </c>
      <c r="C283">
        <f>IF($A283="","",IFERROR(IF(LOOKUP(2,1/(人給データ!$B$2:$B$700=$A283),人給データ!$G$2:$G$700)=0,"",LOOKUP(2,1/(人給データ!$B$2:$B$700=$A283),人給データ!$G$2:$G$700)),""))</f>
        <v/>
      </c>
      <c r="D283">
        <f>IF($A283="","",IFERROR(IF(LOOKUP(2,1/(人給データ!$B$2:$B$700=$A283),人給データ!$Y$2:$Y$700)=0,"",LOOKUP(2,1/(人給データ!$B$2:$B$700=$A283),人給データ!$Y$2:$Y$700)),""))</f>
        <v/>
      </c>
      <c r="E283" s="20">
        <f>IF($A283="","",IFERROR(IF(LOOKUP(2,1/(人給データ!$B$2:$B$700=$A283),人給データ!$AB$2:$AB$700)=0,"",LOOKUP(2,1/(人給データ!$B$2:$B$700=$A283),人給データ!$AB$2:$AB$700)),""))</f>
        <v/>
      </c>
      <c r="F283" s="16">
        <f>IF(OR(E283="",NOT(ISNUMBER(E283))),"",DATE(YEAR(E283)+2,MONTH(E283),DAY(E283)-2))</f>
        <v/>
      </c>
      <c r="G283" s="20">
        <f>IF($A283="","",IFERROR(IF(LOOKUP(2,1/(人給データ!$B$2:$B$700=$A283),人給データ!$J$2:$J$700)=0,"",LOOKUP(2,1/(人給データ!$B$2:$B$700=$A283),人給データ!$J$2:$J$700)),""))</f>
        <v/>
      </c>
      <c r="H283" s="20">
        <f>IF($A283="","",IFERROR(IF(LOOKUP(2,1/(人給データ!$B$2:$B$700=$A283),人給データ!$K$2:$K$700)=0,"",LOOKUP(2,1/(人給データ!$B$2:$B$700=$A283),人給データ!$K$2:$K$700)),""))</f>
        <v/>
      </c>
      <c r="I283" s="12" t="n"/>
      <c r="J283">
        <f>IF($A283="","",IFERROR(IF(LOOKUP(2,1/(人給データ!$B$2:$B$700=$A283),人給データ!$N$2:$N$700)=0,"",LOOKUP(2,1/(人給データ!$B$2:$B$700=$A283),人給データ!$N$2:$N$700)),""))</f>
        <v/>
      </c>
      <c r="K283" s="13" t="n"/>
      <c r="L283" s="12" t="n"/>
      <c r="M283" s="12" t="n"/>
      <c r="N283" s="11" t="n"/>
      <c r="O283" s="11" t="n"/>
      <c r="P283" s="14">
        <f>IF(AND(M283&lt;&gt;"",O283=""),"保留中","")</f>
        <v/>
      </c>
      <c r="Q283" s="14">
        <f>IF(P283="保留中",COUNTIF(P$6:P283,"保留中"),"")</f>
        <v/>
      </c>
    </row>
    <row r="284">
      <c r="A284" s="12" t="n"/>
      <c r="B284">
        <f>IF($A284="","",IFERROR(IF(LOOKUP(2,1/(人給データ!$B$2:$B$700=$A284),人給データ!$C$2:$C$700)=0,"",LOOKUP(2,1/(人給データ!$B$2:$B$700=$A284),人給データ!$C$2:$C$700)),""))</f>
        <v/>
      </c>
      <c r="C284">
        <f>IF($A284="","",IFERROR(IF(LOOKUP(2,1/(人給データ!$B$2:$B$700=$A284),人給データ!$G$2:$G$700)=0,"",LOOKUP(2,1/(人給データ!$B$2:$B$700=$A284),人給データ!$G$2:$G$700)),""))</f>
        <v/>
      </c>
      <c r="D284">
        <f>IF($A284="","",IFERROR(IF(LOOKUP(2,1/(人給データ!$B$2:$B$700=$A284),人給データ!$Y$2:$Y$700)=0,"",LOOKUP(2,1/(人給データ!$B$2:$B$700=$A284),人給データ!$Y$2:$Y$700)),""))</f>
        <v/>
      </c>
      <c r="E284" s="20">
        <f>IF($A284="","",IFERROR(IF(LOOKUP(2,1/(人給データ!$B$2:$B$700=$A284),人給データ!$AB$2:$AB$700)=0,"",LOOKUP(2,1/(人給データ!$B$2:$B$700=$A284),人給データ!$AB$2:$AB$700)),""))</f>
        <v/>
      </c>
      <c r="F284" s="16">
        <f>IF(OR(E284="",NOT(ISNUMBER(E284))),"",DATE(YEAR(E284)+2,MONTH(E284),DAY(E284)-2))</f>
        <v/>
      </c>
      <c r="G284" s="20">
        <f>IF($A284="","",IFERROR(IF(LOOKUP(2,1/(人給データ!$B$2:$B$700=$A284),人給データ!$J$2:$J$700)=0,"",LOOKUP(2,1/(人給データ!$B$2:$B$700=$A284),人給データ!$J$2:$J$700)),""))</f>
        <v/>
      </c>
      <c r="H284" s="20">
        <f>IF($A284="","",IFERROR(IF(LOOKUP(2,1/(人給データ!$B$2:$B$700=$A284),人給データ!$K$2:$K$700)=0,"",LOOKUP(2,1/(人給データ!$B$2:$B$700=$A284),人給データ!$K$2:$K$700)),""))</f>
        <v/>
      </c>
      <c r="I284" s="12" t="n"/>
      <c r="J284">
        <f>IF($A284="","",IFERROR(IF(LOOKUP(2,1/(人給データ!$B$2:$B$700=$A284),人給データ!$N$2:$N$700)=0,"",LOOKUP(2,1/(人給データ!$B$2:$B$700=$A284),人給データ!$N$2:$N$700)),""))</f>
        <v/>
      </c>
      <c r="K284" s="13" t="n"/>
      <c r="L284" s="12" t="n"/>
      <c r="M284" s="12" t="n"/>
      <c r="N284" s="11" t="n"/>
      <c r="O284" s="11" t="n"/>
      <c r="P284" s="14">
        <f>IF(AND(M284&lt;&gt;"",O284=""),"保留中","")</f>
        <v/>
      </c>
      <c r="Q284" s="14">
        <f>IF(P284="保留中",COUNTIF(P$6:P284,"保留中"),"")</f>
        <v/>
      </c>
    </row>
    <row r="285">
      <c r="A285" s="12" t="n"/>
      <c r="B285">
        <f>IF($A285="","",IFERROR(IF(LOOKUP(2,1/(人給データ!$B$2:$B$700=$A285),人給データ!$C$2:$C$700)=0,"",LOOKUP(2,1/(人給データ!$B$2:$B$700=$A285),人給データ!$C$2:$C$700)),""))</f>
        <v/>
      </c>
      <c r="C285">
        <f>IF($A285="","",IFERROR(IF(LOOKUP(2,1/(人給データ!$B$2:$B$700=$A285),人給データ!$G$2:$G$700)=0,"",LOOKUP(2,1/(人給データ!$B$2:$B$700=$A285),人給データ!$G$2:$G$700)),""))</f>
        <v/>
      </c>
      <c r="D285">
        <f>IF($A285="","",IFERROR(IF(LOOKUP(2,1/(人給データ!$B$2:$B$700=$A285),人給データ!$Y$2:$Y$700)=0,"",LOOKUP(2,1/(人給データ!$B$2:$B$700=$A285),人給データ!$Y$2:$Y$700)),""))</f>
        <v/>
      </c>
      <c r="E285" s="20">
        <f>IF($A285="","",IFERROR(IF(LOOKUP(2,1/(人給データ!$B$2:$B$700=$A285),人給データ!$AB$2:$AB$700)=0,"",LOOKUP(2,1/(人給データ!$B$2:$B$700=$A285),人給データ!$AB$2:$AB$700)),""))</f>
        <v/>
      </c>
      <c r="F285" s="16">
        <f>IF(OR(E285="",NOT(ISNUMBER(E285))),"",DATE(YEAR(E285)+2,MONTH(E285),DAY(E285)-2))</f>
        <v/>
      </c>
      <c r="G285" s="20">
        <f>IF($A285="","",IFERROR(IF(LOOKUP(2,1/(人給データ!$B$2:$B$700=$A285),人給データ!$J$2:$J$700)=0,"",LOOKUP(2,1/(人給データ!$B$2:$B$700=$A285),人給データ!$J$2:$J$700)),""))</f>
        <v/>
      </c>
      <c r="H285" s="20">
        <f>IF($A285="","",IFERROR(IF(LOOKUP(2,1/(人給データ!$B$2:$B$700=$A285),人給データ!$K$2:$K$700)=0,"",LOOKUP(2,1/(人給データ!$B$2:$B$700=$A285),人給データ!$K$2:$K$700)),""))</f>
        <v/>
      </c>
      <c r="I285" s="12" t="n"/>
      <c r="J285">
        <f>IF($A285="","",IFERROR(IF(LOOKUP(2,1/(人給データ!$B$2:$B$700=$A285),人給データ!$N$2:$N$700)=0,"",LOOKUP(2,1/(人給データ!$B$2:$B$700=$A285),人給データ!$N$2:$N$700)),""))</f>
        <v/>
      </c>
      <c r="K285" s="13" t="n"/>
      <c r="L285" s="12" t="n"/>
      <c r="M285" s="12" t="n"/>
      <c r="N285" s="11" t="n"/>
      <c r="O285" s="11" t="n"/>
      <c r="P285" s="14">
        <f>IF(AND(M285&lt;&gt;"",O285=""),"保留中","")</f>
        <v/>
      </c>
      <c r="Q285" s="14">
        <f>IF(P285="保留中",COUNTIF(P$6:P285,"保留中"),"")</f>
        <v/>
      </c>
    </row>
    <row r="286">
      <c r="A286" s="12" t="n"/>
      <c r="B286">
        <f>IF($A286="","",IFERROR(IF(LOOKUP(2,1/(人給データ!$B$2:$B$700=$A286),人給データ!$C$2:$C$700)=0,"",LOOKUP(2,1/(人給データ!$B$2:$B$700=$A286),人給データ!$C$2:$C$700)),""))</f>
        <v/>
      </c>
      <c r="C286">
        <f>IF($A286="","",IFERROR(IF(LOOKUP(2,1/(人給データ!$B$2:$B$700=$A286),人給データ!$G$2:$G$700)=0,"",LOOKUP(2,1/(人給データ!$B$2:$B$700=$A286),人給データ!$G$2:$G$700)),""))</f>
        <v/>
      </c>
      <c r="D286">
        <f>IF($A286="","",IFERROR(IF(LOOKUP(2,1/(人給データ!$B$2:$B$700=$A286),人給データ!$Y$2:$Y$700)=0,"",LOOKUP(2,1/(人給データ!$B$2:$B$700=$A286),人給データ!$Y$2:$Y$700)),""))</f>
        <v/>
      </c>
      <c r="E286" s="20">
        <f>IF($A286="","",IFERROR(IF(LOOKUP(2,1/(人給データ!$B$2:$B$700=$A286),人給データ!$AB$2:$AB$700)=0,"",LOOKUP(2,1/(人給データ!$B$2:$B$700=$A286),人給データ!$AB$2:$AB$700)),""))</f>
        <v/>
      </c>
      <c r="F286" s="16">
        <f>IF(OR(E286="",NOT(ISNUMBER(E286))),"",DATE(YEAR(E286)+2,MONTH(E286),DAY(E286)-2))</f>
        <v/>
      </c>
      <c r="G286" s="20">
        <f>IF($A286="","",IFERROR(IF(LOOKUP(2,1/(人給データ!$B$2:$B$700=$A286),人給データ!$J$2:$J$700)=0,"",LOOKUP(2,1/(人給データ!$B$2:$B$700=$A286),人給データ!$J$2:$J$700)),""))</f>
        <v/>
      </c>
      <c r="H286" s="20">
        <f>IF($A286="","",IFERROR(IF(LOOKUP(2,1/(人給データ!$B$2:$B$700=$A286),人給データ!$K$2:$K$700)=0,"",LOOKUP(2,1/(人給データ!$B$2:$B$700=$A286),人給データ!$K$2:$K$700)),""))</f>
        <v/>
      </c>
      <c r="I286" s="12" t="n"/>
      <c r="J286">
        <f>IF($A286="","",IFERROR(IF(LOOKUP(2,1/(人給データ!$B$2:$B$700=$A286),人給データ!$N$2:$N$700)=0,"",LOOKUP(2,1/(人給データ!$B$2:$B$700=$A286),人給データ!$N$2:$N$700)),""))</f>
        <v/>
      </c>
      <c r="K286" s="13" t="n"/>
      <c r="L286" s="12" t="n"/>
      <c r="M286" s="12" t="n"/>
      <c r="N286" s="11" t="n"/>
      <c r="O286" s="11" t="n"/>
      <c r="P286" s="14">
        <f>IF(AND(M286&lt;&gt;"",O286=""),"保留中","")</f>
        <v/>
      </c>
      <c r="Q286" s="14">
        <f>IF(P286="保留中",COUNTIF(P$6:P286,"保留中"),"")</f>
        <v/>
      </c>
    </row>
    <row r="287">
      <c r="A287" s="12" t="n"/>
      <c r="B287">
        <f>IF($A287="","",IFERROR(IF(LOOKUP(2,1/(人給データ!$B$2:$B$700=$A287),人給データ!$C$2:$C$700)=0,"",LOOKUP(2,1/(人給データ!$B$2:$B$700=$A287),人給データ!$C$2:$C$700)),""))</f>
        <v/>
      </c>
      <c r="C287">
        <f>IF($A287="","",IFERROR(IF(LOOKUP(2,1/(人給データ!$B$2:$B$700=$A287),人給データ!$G$2:$G$700)=0,"",LOOKUP(2,1/(人給データ!$B$2:$B$700=$A287),人給データ!$G$2:$G$700)),""))</f>
        <v/>
      </c>
      <c r="D287">
        <f>IF($A287="","",IFERROR(IF(LOOKUP(2,1/(人給データ!$B$2:$B$700=$A287),人給データ!$Y$2:$Y$700)=0,"",LOOKUP(2,1/(人給データ!$B$2:$B$700=$A287),人給データ!$Y$2:$Y$700)),""))</f>
        <v/>
      </c>
      <c r="E287" s="20">
        <f>IF($A287="","",IFERROR(IF(LOOKUP(2,1/(人給データ!$B$2:$B$700=$A287),人給データ!$AB$2:$AB$700)=0,"",LOOKUP(2,1/(人給データ!$B$2:$B$700=$A287),人給データ!$AB$2:$AB$700)),""))</f>
        <v/>
      </c>
      <c r="F287" s="16">
        <f>IF(OR(E287="",NOT(ISNUMBER(E287))),"",DATE(YEAR(E287)+2,MONTH(E287),DAY(E287)-2))</f>
        <v/>
      </c>
      <c r="G287" s="20">
        <f>IF($A287="","",IFERROR(IF(LOOKUP(2,1/(人給データ!$B$2:$B$700=$A287),人給データ!$J$2:$J$700)=0,"",LOOKUP(2,1/(人給データ!$B$2:$B$700=$A287),人給データ!$J$2:$J$700)),""))</f>
        <v/>
      </c>
      <c r="H287" s="20">
        <f>IF($A287="","",IFERROR(IF(LOOKUP(2,1/(人給データ!$B$2:$B$700=$A287),人給データ!$K$2:$K$700)=0,"",LOOKUP(2,1/(人給データ!$B$2:$B$700=$A287),人給データ!$K$2:$K$700)),""))</f>
        <v/>
      </c>
      <c r="I287" s="12" t="n"/>
      <c r="J287">
        <f>IF($A287="","",IFERROR(IF(LOOKUP(2,1/(人給データ!$B$2:$B$700=$A287),人給データ!$N$2:$N$700)=0,"",LOOKUP(2,1/(人給データ!$B$2:$B$700=$A287),人給データ!$N$2:$N$700)),""))</f>
        <v/>
      </c>
      <c r="K287" s="13" t="n"/>
      <c r="L287" s="12" t="n"/>
      <c r="M287" s="12" t="n"/>
      <c r="N287" s="11" t="n"/>
      <c r="O287" s="11" t="n"/>
      <c r="P287" s="14">
        <f>IF(AND(M287&lt;&gt;"",O287=""),"保留中","")</f>
        <v/>
      </c>
      <c r="Q287" s="14">
        <f>IF(P287="保留中",COUNTIF(P$6:P287,"保留中"),"")</f>
        <v/>
      </c>
    </row>
    <row r="288">
      <c r="A288" s="12" t="n"/>
      <c r="B288">
        <f>IF($A288="","",IFERROR(IF(LOOKUP(2,1/(人給データ!$B$2:$B$700=$A288),人給データ!$C$2:$C$700)=0,"",LOOKUP(2,1/(人給データ!$B$2:$B$700=$A288),人給データ!$C$2:$C$700)),""))</f>
        <v/>
      </c>
      <c r="C288">
        <f>IF($A288="","",IFERROR(IF(LOOKUP(2,1/(人給データ!$B$2:$B$700=$A288),人給データ!$G$2:$G$700)=0,"",LOOKUP(2,1/(人給データ!$B$2:$B$700=$A288),人給データ!$G$2:$G$700)),""))</f>
        <v/>
      </c>
      <c r="D288">
        <f>IF($A288="","",IFERROR(IF(LOOKUP(2,1/(人給データ!$B$2:$B$700=$A288),人給データ!$Y$2:$Y$700)=0,"",LOOKUP(2,1/(人給データ!$B$2:$B$700=$A288),人給データ!$Y$2:$Y$700)),""))</f>
        <v/>
      </c>
      <c r="E288" s="20">
        <f>IF($A288="","",IFERROR(IF(LOOKUP(2,1/(人給データ!$B$2:$B$700=$A288),人給データ!$AB$2:$AB$700)=0,"",LOOKUP(2,1/(人給データ!$B$2:$B$700=$A288),人給データ!$AB$2:$AB$700)),""))</f>
        <v/>
      </c>
      <c r="F288" s="16">
        <f>IF(OR(E288="",NOT(ISNUMBER(E288))),"",DATE(YEAR(E288)+2,MONTH(E288),DAY(E288)-2))</f>
        <v/>
      </c>
      <c r="G288" s="20">
        <f>IF($A288="","",IFERROR(IF(LOOKUP(2,1/(人給データ!$B$2:$B$700=$A288),人給データ!$J$2:$J$700)=0,"",LOOKUP(2,1/(人給データ!$B$2:$B$700=$A288),人給データ!$J$2:$J$700)),""))</f>
        <v/>
      </c>
      <c r="H288" s="20">
        <f>IF($A288="","",IFERROR(IF(LOOKUP(2,1/(人給データ!$B$2:$B$700=$A288),人給データ!$K$2:$K$700)=0,"",LOOKUP(2,1/(人給データ!$B$2:$B$700=$A288),人給データ!$K$2:$K$700)),""))</f>
        <v/>
      </c>
      <c r="I288" s="12" t="n"/>
      <c r="J288">
        <f>IF($A288="","",IFERROR(IF(LOOKUP(2,1/(人給データ!$B$2:$B$700=$A288),人給データ!$N$2:$N$700)=0,"",LOOKUP(2,1/(人給データ!$B$2:$B$700=$A288),人給データ!$N$2:$N$700)),""))</f>
        <v/>
      </c>
      <c r="K288" s="13" t="n"/>
      <c r="L288" s="12" t="n"/>
      <c r="M288" s="12" t="n"/>
      <c r="N288" s="11" t="n"/>
      <c r="O288" s="11" t="n"/>
      <c r="P288" s="14">
        <f>IF(AND(M288&lt;&gt;"",O288=""),"保留中","")</f>
        <v/>
      </c>
      <c r="Q288" s="14">
        <f>IF(P288="保留中",COUNTIF(P$6:P288,"保留中"),"")</f>
        <v/>
      </c>
    </row>
    <row r="289">
      <c r="A289" s="12" t="n"/>
      <c r="B289">
        <f>IF($A289="","",IFERROR(IF(LOOKUP(2,1/(人給データ!$B$2:$B$700=$A289),人給データ!$C$2:$C$700)=0,"",LOOKUP(2,1/(人給データ!$B$2:$B$700=$A289),人給データ!$C$2:$C$700)),""))</f>
        <v/>
      </c>
      <c r="C289">
        <f>IF($A289="","",IFERROR(IF(LOOKUP(2,1/(人給データ!$B$2:$B$700=$A289),人給データ!$G$2:$G$700)=0,"",LOOKUP(2,1/(人給データ!$B$2:$B$700=$A289),人給データ!$G$2:$G$700)),""))</f>
        <v/>
      </c>
      <c r="D289">
        <f>IF($A289="","",IFERROR(IF(LOOKUP(2,1/(人給データ!$B$2:$B$700=$A289),人給データ!$Y$2:$Y$700)=0,"",LOOKUP(2,1/(人給データ!$B$2:$B$700=$A289),人給データ!$Y$2:$Y$700)),""))</f>
        <v/>
      </c>
      <c r="E289" s="20">
        <f>IF($A289="","",IFERROR(IF(LOOKUP(2,1/(人給データ!$B$2:$B$700=$A289),人給データ!$AB$2:$AB$700)=0,"",LOOKUP(2,1/(人給データ!$B$2:$B$700=$A289),人給データ!$AB$2:$AB$700)),""))</f>
        <v/>
      </c>
      <c r="F289" s="16">
        <f>IF(OR(E289="",NOT(ISNUMBER(E289))),"",DATE(YEAR(E289)+2,MONTH(E289),DAY(E289)-2))</f>
        <v/>
      </c>
      <c r="G289" s="20">
        <f>IF($A289="","",IFERROR(IF(LOOKUP(2,1/(人給データ!$B$2:$B$700=$A289),人給データ!$J$2:$J$700)=0,"",LOOKUP(2,1/(人給データ!$B$2:$B$700=$A289),人給データ!$J$2:$J$700)),""))</f>
        <v/>
      </c>
      <c r="H289" s="20">
        <f>IF($A289="","",IFERROR(IF(LOOKUP(2,1/(人給データ!$B$2:$B$700=$A289),人給データ!$K$2:$K$700)=0,"",LOOKUP(2,1/(人給データ!$B$2:$B$700=$A289),人給データ!$K$2:$K$700)),""))</f>
        <v/>
      </c>
      <c r="I289" s="12" t="n"/>
      <c r="J289">
        <f>IF($A289="","",IFERROR(IF(LOOKUP(2,1/(人給データ!$B$2:$B$700=$A289),人給データ!$N$2:$N$700)=0,"",LOOKUP(2,1/(人給データ!$B$2:$B$700=$A289),人給データ!$N$2:$N$700)),""))</f>
        <v/>
      </c>
      <c r="K289" s="13" t="n"/>
      <c r="L289" s="12" t="n"/>
      <c r="M289" s="12" t="n"/>
      <c r="N289" s="11" t="n"/>
      <c r="O289" s="11" t="n"/>
      <c r="P289" s="14">
        <f>IF(AND(M289&lt;&gt;"",O289=""),"保留中","")</f>
        <v/>
      </c>
      <c r="Q289" s="14">
        <f>IF(P289="保留中",COUNTIF(P$6:P289,"保留中"),"")</f>
        <v/>
      </c>
    </row>
    <row r="290">
      <c r="A290" s="12" t="n"/>
      <c r="B290">
        <f>IF($A290="","",IFERROR(IF(LOOKUP(2,1/(人給データ!$B$2:$B$700=$A290),人給データ!$C$2:$C$700)=0,"",LOOKUP(2,1/(人給データ!$B$2:$B$700=$A290),人給データ!$C$2:$C$700)),""))</f>
        <v/>
      </c>
      <c r="C290">
        <f>IF($A290="","",IFERROR(IF(LOOKUP(2,1/(人給データ!$B$2:$B$700=$A290),人給データ!$G$2:$G$700)=0,"",LOOKUP(2,1/(人給データ!$B$2:$B$700=$A290),人給データ!$G$2:$G$700)),""))</f>
        <v/>
      </c>
      <c r="D290">
        <f>IF($A290="","",IFERROR(IF(LOOKUP(2,1/(人給データ!$B$2:$B$700=$A290),人給データ!$Y$2:$Y$700)=0,"",LOOKUP(2,1/(人給データ!$B$2:$B$700=$A290),人給データ!$Y$2:$Y$700)),""))</f>
        <v/>
      </c>
      <c r="E290" s="20">
        <f>IF($A290="","",IFERROR(IF(LOOKUP(2,1/(人給データ!$B$2:$B$700=$A290),人給データ!$AB$2:$AB$700)=0,"",LOOKUP(2,1/(人給データ!$B$2:$B$700=$A290),人給データ!$AB$2:$AB$700)),""))</f>
        <v/>
      </c>
      <c r="F290" s="16">
        <f>IF(OR(E290="",NOT(ISNUMBER(E290))),"",DATE(YEAR(E290)+2,MONTH(E290),DAY(E290)-2))</f>
        <v/>
      </c>
      <c r="G290" s="20">
        <f>IF($A290="","",IFERROR(IF(LOOKUP(2,1/(人給データ!$B$2:$B$700=$A290),人給データ!$J$2:$J$700)=0,"",LOOKUP(2,1/(人給データ!$B$2:$B$700=$A290),人給データ!$J$2:$J$700)),""))</f>
        <v/>
      </c>
      <c r="H290" s="20">
        <f>IF($A290="","",IFERROR(IF(LOOKUP(2,1/(人給データ!$B$2:$B$700=$A290),人給データ!$K$2:$K$700)=0,"",LOOKUP(2,1/(人給データ!$B$2:$B$700=$A290),人給データ!$K$2:$K$700)),""))</f>
        <v/>
      </c>
      <c r="I290" s="12" t="n"/>
      <c r="J290">
        <f>IF($A290="","",IFERROR(IF(LOOKUP(2,1/(人給データ!$B$2:$B$700=$A290),人給データ!$N$2:$N$700)=0,"",LOOKUP(2,1/(人給データ!$B$2:$B$700=$A290),人給データ!$N$2:$N$700)),""))</f>
        <v/>
      </c>
      <c r="K290" s="13" t="n"/>
      <c r="L290" s="12" t="n"/>
      <c r="M290" s="12" t="n"/>
      <c r="N290" s="11" t="n"/>
      <c r="O290" s="11" t="n"/>
      <c r="P290" s="14">
        <f>IF(AND(M290&lt;&gt;"",O290=""),"保留中","")</f>
        <v/>
      </c>
      <c r="Q290" s="14">
        <f>IF(P290="保留中",COUNTIF(P$6:P290,"保留中"),"")</f>
        <v/>
      </c>
    </row>
    <row r="291">
      <c r="A291" s="12" t="n"/>
      <c r="B291">
        <f>IF($A291="","",IFERROR(IF(LOOKUP(2,1/(人給データ!$B$2:$B$700=$A291),人給データ!$C$2:$C$700)=0,"",LOOKUP(2,1/(人給データ!$B$2:$B$700=$A291),人給データ!$C$2:$C$700)),""))</f>
        <v/>
      </c>
      <c r="C291">
        <f>IF($A291="","",IFERROR(IF(LOOKUP(2,1/(人給データ!$B$2:$B$700=$A291),人給データ!$G$2:$G$700)=0,"",LOOKUP(2,1/(人給データ!$B$2:$B$700=$A291),人給データ!$G$2:$G$700)),""))</f>
        <v/>
      </c>
      <c r="D291">
        <f>IF($A291="","",IFERROR(IF(LOOKUP(2,1/(人給データ!$B$2:$B$700=$A291),人給データ!$Y$2:$Y$700)=0,"",LOOKUP(2,1/(人給データ!$B$2:$B$700=$A291),人給データ!$Y$2:$Y$700)),""))</f>
        <v/>
      </c>
      <c r="E291" s="20">
        <f>IF($A291="","",IFERROR(IF(LOOKUP(2,1/(人給データ!$B$2:$B$700=$A291),人給データ!$AB$2:$AB$700)=0,"",LOOKUP(2,1/(人給データ!$B$2:$B$700=$A291),人給データ!$AB$2:$AB$700)),""))</f>
        <v/>
      </c>
      <c r="F291" s="16">
        <f>IF(OR(E291="",NOT(ISNUMBER(E291))),"",DATE(YEAR(E291)+2,MONTH(E291),DAY(E291)-2))</f>
        <v/>
      </c>
      <c r="G291" s="20">
        <f>IF($A291="","",IFERROR(IF(LOOKUP(2,1/(人給データ!$B$2:$B$700=$A291),人給データ!$J$2:$J$700)=0,"",LOOKUP(2,1/(人給データ!$B$2:$B$700=$A291),人給データ!$J$2:$J$700)),""))</f>
        <v/>
      </c>
      <c r="H291" s="20">
        <f>IF($A291="","",IFERROR(IF(LOOKUP(2,1/(人給データ!$B$2:$B$700=$A291),人給データ!$K$2:$K$700)=0,"",LOOKUP(2,1/(人給データ!$B$2:$B$700=$A291),人給データ!$K$2:$K$700)),""))</f>
        <v/>
      </c>
      <c r="I291" s="12" t="n"/>
      <c r="J291">
        <f>IF($A291="","",IFERROR(IF(LOOKUP(2,1/(人給データ!$B$2:$B$700=$A291),人給データ!$N$2:$N$700)=0,"",LOOKUP(2,1/(人給データ!$B$2:$B$700=$A291),人給データ!$N$2:$N$700)),""))</f>
        <v/>
      </c>
      <c r="K291" s="13" t="n"/>
      <c r="L291" s="12" t="n"/>
      <c r="M291" s="12" t="n"/>
      <c r="N291" s="11" t="n"/>
      <c r="O291" s="11" t="n"/>
      <c r="P291" s="14">
        <f>IF(AND(M291&lt;&gt;"",O291=""),"保留中","")</f>
        <v/>
      </c>
      <c r="Q291" s="14">
        <f>IF(P291="保留中",COUNTIF(P$6:P291,"保留中"),"")</f>
        <v/>
      </c>
    </row>
    <row r="292">
      <c r="A292" s="12" t="n"/>
      <c r="B292">
        <f>IF($A292="","",IFERROR(IF(LOOKUP(2,1/(人給データ!$B$2:$B$700=$A292),人給データ!$C$2:$C$700)=0,"",LOOKUP(2,1/(人給データ!$B$2:$B$700=$A292),人給データ!$C$2:$C$700)),""))</f>
        <v/>
      </c>
      <c r="C292">
        <f>IF($A292="","",IFERROR(IF(LOOKUP(2,1/(人給データ!$B$2:$B$700=$A292),人給データ!$G$2:$G$700)=0,"",LOOKUP(2,1/(人給データ!$B$2:$B$700=$A292),人給データ!$G$2:$G$700)),""))</f>
        <v/>
      </c>
      <c r="D292">
        <f>IF($A292="","",IFERROR(IF(LOOKUP(2,1/(人給データ!$B$2:$B$700=$A292),人給データ!$Y$2:$Y$700)=0,"",LOOKUP(2,1/(人給データ!$B$2:$B$700=$A292),人給データ!$Y$2:$Y$700)),""))</f>
        <v/>
      </c>
      <c r="E292" s="20">
        <f>IF($A292="","",IFERROR(IF(LOOKUP(2,1/(人給データ!$B$2:$B$700=$A292),人給データ!$AB$2:$AB$700)=0,"",LOOKUP(2,1/(人給データ!$B$2:$B$700=$A292),人給データ!$AB$2:$AB$700)),""))</f>
        <v/>
      </c>
      <c r="F292" s="16">
        <f>IF(OR(E292="",NOT(ISNUMBER(E292))),"",DATE(YEAR(E292)+2,MONTH(E292),DAY(E292)-2))</f>
        <v/>
      </c>
      <c r="G292" s="20">
        <f>IF($A292="","",IFERROR(IF(LOOKUP(2,1/(人給データ!$B$2:$B$700=$A292),人給データ!$J$2:$J$700)=0,"",LOOKUP(2,1/(人給データ!$B$2:$B$700=$A292),人給データ!$J$2:$J$700)),""))</f>
        <v/>
      </c>
      <c r="H292" s="20">
        <f>IF($A292="","",IFERROR(IF(LOOKUP(2,1/(人給データ!$B$2:$B$700=$A292),人給データ!$K$2:$K$700)=0,"",LOOKUP(2,1/(人給データ!$B$2:$B$700=$A292),人給データ!$K$2:$K$700)),""))</f>
        <v/>
      </c>
      <c r="I292" s="12" t="n"/>
      <c r="J292">
        <f>IF($A292="","",IFERROR(IF(LOOKUP(2,1/(人給データ!$B$2:$B$700=$A292),人給データ!$N$2:$N$700)=0,"",LOOKUP(2,1/(人給データ!$B$2:$B$700=$A292),人給データ!$N$2:$N$700)),""))</f>
        <v/>
      </c>
      <c r="K292" s="13" t="n"/>
      <c r="L292" s="12" t="n"/>
      <c r="M292" s="12" t="n"/>
      <c r="N292" s="11" t="n"/>
      <c r="O292" s="11" t="n"/>
      <c r="P292" s="14">
        <f>IF(AND(M292&lt;&gt;"",O292=""),"保留中","")</f>
        <v/>
      </c>
      <c r="Q292" s="14">
        <f>IF(P292="保留中",COUNTIF(P$6:P292,"保留中"),"")</f>
        <v/>
      </c>
    </row>
    <row r="293">
      <c r="A293" s="12" t="n"/>
      <c r="B293">
        <f>IF($A293="","",IFERROR(IF(LOOKUP(2,1/(人給データ!$B$2:$B$700=$A293),人給データ!$C$2:$C$700)=0,"",LOOKUP(2,1/(人給データ!$B$2:$B$700=$A293),人給データ!$C$2:$C$700)),""))</f>
        <v/>
      </c>
      <c r="C293">
        <f>IF($A293="","",IFERROR(IF(LOOKUP(2,1/(人給データ!$B$2:$B$700=$A293),人給データ!$G$2:$G$700)=0,"",LOOKUP(2,1/(人給データ!$B$2:$B$700=$A293),人給データ!$G$2:$G$700)),""))</f>
        <v/>
      </c>
      <c r="D293">
        <f>IF($A293="","",IFERROR(IF(LOOKUP(2,1/(人給データ!$B$2:$B$700=$A293),人給データ!$Y$2:$Y$700)=0,"",LOOKUP(2,1/(人給データ!$B$2:$B$700=$A293),人給データ!$Y$2:$Y$700)),""))</f>
        <v/>
      </c>
      <c r="E293" s="20">
        <f>IF($A293="","",IFERROR(IF(LOOKUP(2,1/(人給データ!$B$2:$B$700=$A293),人給データ!$AB$2:$AB$700)=0,"",LOOKUP(2,1/(人給データ!$B$2:$B$700=$A293),人給データ!$AB$2:$AB$700)),""))</f>
        <v/>
      </c>
      <c r="F293" s="16">
        <f>IF(OR(E293="",NOT(ISNUMBER(E293))),"",DATE(YEAR(E293)+2,MONTH(E293),DAY(E293)-2))</f>
        <v/>
      </c>
      <c r="G293" s="20">
        <f>IF($A293="","",IFERROR(IF(LOOKUP(2,1/(人給データ!$B$2:$B$700=$A293),人給データ!$J$2:$J$700)=0,"",LOOKUP(2,1/(人給データ!$B$2:$B$700=$A293),人給データ!$J$2:$J$700)),""))</f>
        <v/>
      </c>
      <c r="H293" s="20">
        <f>IF($A293="","",IFERROR(IF(LOOKUP(2,1/(人給データ!$B$2:$B$700=$A293),人給データ!$K$2:$K$700)=0,"",LOOKUP(2,1/(人給データ!$B$2:$B$700=$A293),人給データ!$K$2:$K$700)),""))</f>
        <v/>
      </c>
      <c r="I293" s="12" t="n"/>
      <c r="J293">
        <f>IF($A293="","",IFERROR(IF(LOOKUP(2,1/(人給データ!$B$2:$B$700=$A293),人給データ!$N$2:$N$700)=0,"",LOOKUP(2,1/(人給データ!$B$2:$B$700=$A293),人給データ!$N$2:$N$700)),""))</f>
        <v/>
      </c>
      <c r="K293" s="13" t="n"/>
      <c r="L293" s="12" t="n"/>
      <c r="M293" s="12" t="n"/>
      <c r="N293" s="11" t="n"/>
      <c r="O293" s="11" t="n"/>
      <c r="P293" s="14">
        <f>IF(AND(M293&lt;&gt;"",O293=""),"保留中","")</f>
        <v/>
      </c>
      <c r="Q293" s="14">
        <f>IF(P293="保留中",COUNTIF(P$6:P293,"保留中"),"")</f>
        <v/>
      </c>
    </row>
    <row r="294">
      <c r="A294" s="12" t="n"/>
      <c r="B294">
        <f>IF($A294="","",IFERROR(IF(LOOKUP(2,1/(人給データ!$B$2:$B$700=$A294),人給データ!$C$2:$C$700)=0,"",LOOKUP(2,1/(人給データ!$B$2:$B$700=$A294),人給データ!$C$2:$C$700)),""))</f>
        <v/>
      </c>
      <c r="C294">
        <f>IF($A294="","",IFERROR(IF(LOOKUP(2,1/(人給データ!$B$2:$B$700=$A294),人給データ!$G$2:$G$700)=0,"",LOOKUP(2,1/(人給データ!$B$2:$B$700=$A294),人給データ!$G$2:$G$700)),""))</f>
        <v/>
      </c>
      <c r="D294">
        <f>IF($A294="","",IFERROR(IF(LOOKUP(2,1/(人給データ!$B$2:$B$700=$A294),人給データ!$Y$2:$Y$700)=0,"",LOOKUP(2,1/(人給データ!$B$2:$B$700=$A294),人給データ!$Y$2:$Y$700)),""))</f>
        <v/>
      </c>
      <c r="E294" s="20">
        <f>IF($A294="","",IFERROR(IF(LOOKUP(2,1/(人給データ!$B$2:$B$700=$A294),人給データ!$AB$2:$AB$700)=0,"",LOOKUP(2,1/(人給データ!$B$2:$B$700=$A294),人給データ!$AB$2:$AB$700)),""))</f>
        <v/>
      </c>
      <c r="F294" s="16">
        <f>IF(OR(E294="",NOT(ISNUMBER(E294))),"",DATE(YEAR(E294)+2,MONTH(E294),DAY(E294)-2))</f>
        <v/>
      </c>
      <c r="G294" s="20">
        <f>IF($A294="","",IFERROR(IF(LOOKUP(2,1/(人給データ!$B$2:$B$700=$A294),人給データ!$J$2:$J$700)=0,"",LOOKUP(2,1/(人給データ!$B$2:$B$700=$A294),人給データ!$J$2:$J$700)),""))</f>
        <v/>
      </c>
      <c r="H294" s="20">
        <f>IF($A294="","",IFERROR(IF(LOOKUP(2,1/(人給データ!$B$2:$B$700=$A294),人給データ!$K$2:$K$700)=0,"",LOOKUP(2,1/(人給データ!$B$2:$B$700=$A294),人給データ!$K$2:$K$700)),""))</f>
        <v/>
      </c>
      <c r="I294" s="12" t="n"/>
      <c r="J294">
        <f>IF($A294="","",IFERROR(IF(LOOKUP(2,1/(人給データ!$B$2:$B$700=$A294),人給データ!$N$2:$N$700)=0,"",LOOKUP(2,1/(人給データ!$B$2:$B$700=$A294),人給データ!$N$2:$N$700)),""))</f>
        <v/>
      </c>
      <c r="K294" s="13" t="n"/>
      <c r="L294" s="12" t="n"/>
      <c r="M294" s="12" t="n"/>
      <c r="N294" s="11" t="n"/>
      <c r="O294" s="11" t="n"/>
      <c r="P294" s="14">
        <f>IF(AND(M294&lt;&gt;"",O294=""),"保留中","")</f>
        <v/>
      </c>
      <c r="Q294" s="14">
        <f>IF(P294="保留中",COUNTIF(P$6:P294,"保留中"),"")</f>
        <v/>
      </c>
    </row>
    <row r="295">
      <c r="A295" s="12" t="n"/>
      <c r="B295">
        <f>IF($A295="","",IFERROR(IF(LOOKUP(2,1/(人給データ!$B$2:$B$700=$A295),人給データ!$C$2:$C$700)=0,"",LOOKUP(2,1/(人給データ!$B$2:$B$700=$A295),人給データ!$C$2:$C$700)),""))</f>
        <v/>
      </c>
      <c r="C295">
        <f>IF($A295="","",IFERROR(IF(LOOKUP(2,1/(人給データ!$B$2:$B$700=$A295),人給データ!$G$2:$G$700)=0,"",LOOKUP(2,1/(人給データ!$B$2:$B$700=$A295),人給データ!$G$2:$G$700)),""))</f>
        <v/>
      </c>
      <c r="D295">
        <f>IF($A295="","",IFERROR(IF(LOOKUP(2,1/(人給データ!$B$2:$B$700=$A295),人給データ!$Y$2:$Y$700)=0,"",LOOKUP(2,1/(人給データ!$B$2:$B$700=$A295),人給データ!$Y$2:$Y$700)),""))</f>
        <v/>
      </c>
      <c r="E295" s="20">
        <f>IF($A295="","",IFERROR(IF(LOOKUP(2,1/(人給データ!$B$2:$B$700=$A295),人給データ!$AB$2:$AB$700)=0,"",LOOKUP(2,1/(人給データ!$B$2:$B$700=$A295),人給データ!$AB$2:$AB$700)),""))</f>
        <v/>
      </c>
      <c r="F295" s="16">
        <f>IF(OR(E295="",NOT(ISNUMBER(E295))),"",DATE(YEAR(E295)+2,MONTH(E295),DAY(E295)-2))</f>
        <v/>
      </c>
      <c r="G295" s="20">
        <f>IF($A295="","",IFERROR(IF(LOOKUP(2,1/(人給データ!$B$2:$B$700=$A295),人給データ!$J$2:$J$700)=0,"",LOOKUP(2,1/(人給データ!$B$2:$B$700=$A295),人給データ!$J$2:$J$700)),""))</f>
        <v/>
      </c>
      <c r="H295" s="20">
        <f>IF($A295="","",IFERROR(IF(LOOKUP(2,1/(人給データ!$B$2:$B$700=$A295),人給データ!$K$2:$K$700)=0,"",LOOKUP(2,1/(人給データ!$B$2:$B$700=$A295),人給データ!$K$2:$K$700)),""))</f>
        <v/>
      </c>
      <c r="I295" s="12" t="n"/>
      <c r="J295">
        <f>IF($A295="","",IFERROR(IF(LOOKUP(2,1/(人給データ!$B$2:$B$700=$A295),人給データ!$N$2:$N$700)=0,"",LOOKUP(2,1/(人給データ!$B$2:$B$700=$A295),人給データ!$N$2:$N$700)),""))</f>
        <v/>
      </c>
      <c r="K295" s="13" t="n"/>
      <c r="L295" s="12" t="n"/>
      <c r="M295" s="12" t="n"/>
      <c r="N295" s="11" t="n"/>
      <c r="O295" s="11" t="n"/>
      <c r="P295" s="14">
        <f>IF(AND(M295&lt;&gt;"",O295=""),"保留中","")</f>
        <v/>
      </c>
      <c r="Q295" s="14">
        <f>IF(P295="保留中",COUNTIF(P$6:P295,"保留中"),"")</f>
        <v/>
      </c>
    </row>
    <row r="296">
      <c r="A296" s="12" t="n"/>
      <c r="B296">
        <f>IF($A296="","",IFERROR(IF(LOOKUP(2,1/(人給データ!$B$2:$B$700=$A296),人給データ!$C$2:$C$700)=0,"",LOOKUP(2,1/(人給データ!$B$2:$B$700=$A296),人給データ!$C$2:$C$700)),""))</f>
        <v/>
      </c>
      <c r="C296">
        <f>IF($A296="","",IFERROR(IF(LOOKUP(2,1/(人給データ!$B$2:$B$700=$A296),人給データ!$G$2:$G$700)=0,"",LOOKUP(2,1/(人給データ!$B$2:$B$700=$A296),人給データ!$G$2:$G$700)),""))</f>
        <v/>
      </c>
      <c r="D296">
        <f>IF($A296="","",IFERROR(IF(LOOKUP(2,1/(人給データ!$B$2:$B$700=$A296),人給データ!$Y$2:$Y$700)=0,"",LOOKUP(2,1/(人給データ!$B$2:$B$700=$A296),人給データ!$Y$2:$Y$700)),""))</f>
        <v/>
      </c>
      <c r="E296" s="20">
        <f>IF($A296="","",IFERROR(IF(LOOKUP(2,1/(人給データ!$B$2:$B$700=$A296),人給データ!$AB$2:$AB$700)=0,"",LOOKUP(2,1/(人給データ!$B$2:$B$700=$A296),人給データ!$AB$2:$AB$700)),""))</f>
        <v/>
      </c>
      <c r="F296" s="16">
        <f>IF(OR(E296="",NOT(ISNUMBER(E296))),"",DATE(YEAR(E296)+2,MONTH(E296),DAY(E296)-2))</f>
        <v/>
      </c>
      <c r="G296" s="20">
        <f>IF($A296="","",IFERROR(IF(LOOKUP(2,1/(人給データ!$B$2:$B$700=$A296),人給データ!$J$2:$J$700)=0,"",LOOKUP(2,1/(人給データ!$B$2:$B$700=$A296),人給データ!$J$2:$J$700)),""))</f>
        <v/>
      </c>
      <c r="H296" s="20">
        <f>IF($A296="","",IFERROR(IF(LOOKUP(2,1/(人給データ!$B$2:$B$700=$A296),人給データ!$K$2:$K$700)=0,"",LOOKUP(2,1/(人給データ!$B$2:$B$700=$A296),人給データ!$K$2:$K$700)),""))</f>
        <v/>
      </c>
      <c r="I296" s="12" t="n"/>
      <c r="J296">
        <f>IF($A296="","",IFERROR(IF(LOOKUP(2,1/(人給データ!$B$2:$B$700=$A296),人給データ!$N$2:$N$700)=0,"",LOOKUP(2,1/(人給データ!$B$2:$B$700=$A296),人給データ!$N$2:$N$700)),""))</f>
        <v/>
      </c>
      <c r="K296" s="13" t="n"/>
      <c r="L296" s="12" t="n"/>
      <c r="M296" s="12" t="n"/>
      <c r="N296" s="11" t="n"/>
      <c r="O296" s="11" t="n"/>
      <c r="P296" s="14">
        <f>IF(AND(M296&lt;&gt;"",O296=""),"保留中","")</f>
        <v/>
      </c>
      <c r="Q296" s="14">
        <f>IF(P296="保留中",COUNTIF(P$6:P296,"保留中"),"")</f>
        <v/>
      </c>
    </row>
    <row r="297">
      <c r="A297" s="12" t="n"/>
      <c r="B297">
        <f>IF($A297="","",IFERROR(IF(LOOKUP(2,1/(人給データ!$B$2:$B$700=$A297),人給データ!$C$2:$C$700)=0,"",LOOKUP(2,1/(人給データ!$B$2:$B$700=$A297),人給データ!$C$2:$C$700)),""))</f>
        <v/>
      </c>
      <c r="C297">
        <f>IF($A297="","",IFERROR(IF(LOOKUP(2,1/(人給データ!$B$2:$B$700=$A297),人給データ!$G$2:$G$700)=0,"",LOOKUP(2,1/(人給データ!$B$2:$B$700=$A297),人給データ!$G$2:$G$700)),""))</f>
        <v/>
      </c>
      <c r="D297">
        <f>IF($A297="","",IFERROR(IF(LOOKUP(2,1/(人給データ!$B$2:$B$700=$A297),人給データ!$Y$2:$Y$700)=0,"",LOOKUP(2,1/(人給データ!$B$2:$B$700=$A297),人給データ!$Y$2:$Y$700)),""))</f>
        <v/>
      </c>
      <c r="E297" s="20">
        <f>IF($A297="","",IFERROR(IF(LOOKUP(2,1/(人給データ!$B$2:$B$700=$A297),人給データ!$AB$2:$AB$700)=0,"",LOOKUP(2,1/(人給データ!$B$2:$B$700=$A297),人給データ!$AB$2:$AB$700)),""))</f>
        <v/>
      </c>
      <c r="F297" s="16">
        <f>IF(OR(E297="",NOT(ISNUMBER(E297))),"",DATE(YEAR(E297)+2,MONTH(E297),DAY(E297)-2))</f>
        <v/>
      </c>
      <c r="G297" s="20">
        <f>IF($A297="","",IFERROR(IF(LOOKUP(2,1/(人給データ!$B$2:$B$700=$A297),人給データ!$J$2:$J$700)=0,"",LOOKUP(2,1/(人給データ!$B$2:$B$700=$A297),人給データ!$J$2:$J$700)),""))</f>
        <v/>
      </c>
      <c r="H297" s="20">
        <f>IF($A297="","",IFERROR(IF(LOOKUP(2,1/(人給データ!$B$2:$B$700=$A297),人給データ!$K$2:$K$700)=0,"",LOOKUP(2,1/(人給データ!$B$2:$B$700=$A297),人給データ!$K$2:$K$700)),""))</f>
        <v/>
      </c>
      <c r="I297" s="12" t="n"/>
      <c r="J297">
        <f>IF($A297="","",IFERROR(IF(LOOKUP(2,1/(人給データ!$B$2:$B$700=$A297),人給データ!$N$2:$N$700)=0,"",LOOKUP(2,1/(人給データ!$B$2:$B$700=$A297),人給データ!$N$2:$N$700)),""))</f>
        <v/>
      </c>
      <c r="K297" s="13" t="n"/>
      <c r="L297" s="12" t="n"/>
      <c r="M297" s="12" t="n"/>
      <c r="N297" s="11" t="n"/>
      <c r="O297" s="11" t="n"/>
      <c r="P297" s="14">
        <f>IF(AND(M297&lt;&gt;"",O297=""),"保留中","")</f>
        <v/>
      </c>
      <c r="Q297" s="14">
        <f>IF(P297="保留中",COUNTIF(P$6:P297,"保留中"),"")</f>
        <v/>
      </c>
    </row>
    <row r="298">
      <c r="A298" s="12" t="n"/>
      <c r="B298">
        <f>IF($A298="","",IFERROR(IF(LOOKUP(2,1/(人給データ!$B$2:$B$700=$A298),人給データ!$C$2:$C$700)=0,"",LOOKUP(2,1/(人給データ!$B$2:$B$700=$A298),人給データ!$C$2:$C$700)),""))</f>
        <v/>
      </c>
      <c r="C298">
        <f>IF($A298="","",IFERROR(IF(LOOKUP(2,1/(人給データ!$B$2:$B$700=$A298),人給データ!$G$2:$G$700)=0,"",LOOKUP(2,1/(人給データ!$B$2:$B$700=$A298),人給データ!$G$2:$G$700)),""))</f>
        <v/>
      </c>
      <c r="D298">
        <f>IF($A298="","",IFERROR(IF(LOOKUP(2,1/(人給データ!$B$2:$B$700=$A298),人給データ!$Y$2:$Y$700)=0,"",LOOKUP(2,1/(人給データ!$B$2:$B$700=$A298),人給データ!$Y$2:$Y$700)),""))</f>
        <v/>
      </c>
      <c r="E298" s="20">
        <f>IF($A298="","",IFERROR(IF(LOOKUP(2,1/(人給データ!$B$2:$B$700=$A298),人給データ!$AB$2:$AB$700)=0,"",LOOKUP(2,1/(人給データ!$B$2:$B$700=$A298),人給データ!$AB$2:$AB$700)),""))</f>
        <v/>
      </c>
      <c r="F298" s="16">
        <f>IF(OR(E298="",NOT(ISNUMBER(E298))),"",DATE(YEAR(E298)+2,MONTH(E298),DAY(E298)-2))</f>
        <v/>
      </c>
      <c r="G298" s="20">
        <f>IF($A298="","",IFERROR(IF(LOOKUP(2,1/(人給データ!$B$2:$B$700=$A298),人給データ!$J$2:$J$700)=0,"",LOOKUP(2,1/(人給データ!$B$2:$B$700=$A298),人給データ!$J$2:$J$700)),""))</f>
        <v/>
      </c>
      <c r="H298" s="20">
        <f>IF($A298="","",IFERROR(IF(LOOKUP(2,1/(人給データ!$B$2:$B$700=$A298),人給データ!$K$2:$K$700)=0,"",LOOKUP(2,1/(人給データ!$B$2:$B$700=$A298),人給データ!$K$2:$K$700)),""))</f>
        <v/>
      </c>
      <c r="I298" s="12" t="n"/>
      <c r="J298">
        <f>IF($A298="","",IFERROR(IF(LOOKUP(2,1/(人給データ!$B$2:$B$700=$A298),人給データ!$N$2:$N$700)=0,"",LOOKUP(2,1/(人給データ!$B$2:$B$700=$A298),人給データ!$N$2:$N$700)),""))</f>
        <v/>
      </c>
      <c r="K298" s="13" t="n"/>
      <c r="L298" s="12" t="n"/>
      <c r="M298" s="12" t="n"/>
      <c r="N298" s="11" t="n"/>
      <c r="O298" s="11" t="n"/>
      <c r="P298" s="14">
        <f>IF(AND(M298&lt;&gt;"",O298=""),"保留中","")</f>
        <v/>
      </c>
      <c r="Q298" s="14">
        <f>IF(P298="保留中",COUNTIF(P$6:P298,"保留中"),"")</f>
        <v/>
      </c>
    </row>
    <row r="299">
      <c r="A299" s="12" t="n"/>
      <c r="B299">
        <f>IF($A299="","",IFERROR(IF(LOOKUP(2,1/(人給データ!$B$2:$B$700=$A299),人給データ!$C$2:$C$700)=0,"",LOOKUP(2,1/(人給データ!$B$2:$B$700=$A299),人給データ!$C$2:$C$700)),""))</f>
        <v/>
      </c>
      <c r="C299">
        <f>IF($A299="","",IFERROR(IF(LOOKUP(2,1/(人給データ!$B$2:$B$700=$A299),人給データ!$G$2:$G$700)=0,"",LOOKUP(2,1/(人給データ!$B$2:$B$700=$A299),人給データ!$G$2:$G$700)),""))</f>
        <v/>
      </c>
      <c r="D299">
        <f>IF($A299="","",IFERROR(IF(LOOKUP(2,1/(人給データ!$B$2:$B$700=$A299),人給データ!$Y$2:$Y$700)=0,"",LOOKUP(2,1/(人給データ!$B$2:$B$700=$A299),人給データ!$Y$2:$Y$700)),""))</f>
        <v/>
      </c>
      <c r="E299" s="20">
        <f>IF($A299="","",IFERROR(IF(LOOKUP(2,1/(人給データ!$B$2:$B$700=$A299),人給データ!$AB$2:$AB$700)=0,"",LOOKUP(2,1/(人給データ!$B$2:$B$700=$A299),人給データ!$AB$2:$AB$700)),""))</f>
        <v/>
      </c>
      <c r="F299" s="16">
        <f>IF(OR(E299="",NOT(ISNUMBER(E299))),"",DATE(YEAR(E299)+2,MONTH(E299),DAY(E299)-2))</f>
        <v/>
      </c>
      <c r="G299" s="20">
        <f>IF($A299="","",IFERROR(IF(LOOKUP(2,1/(人給データ!$B$2:$B$700=$A299),人給データ!$J$2:$J$700)=0,"",LOOKUP(2,1/(人給データ!$B$2:$B$700=$A299),人給データ!$J$2:$J$700)),""))</f>
        <v/>
      </c>
      <c r="H299" s="20">
        <f>IF($A299="","",IFERROR(IF(LOOKUP(2,1/(人給データ!$B$2:$B$700=$A299),人給データ!$K$2:$K$700)=0,"",LOOKUP(2,1/(人給データ!$B$2:$B$700=$A299),人給データ!$K$2:$K$700)),""))</f>
        <v/>
      </c>
      <c r="I299" s="12" t="n"/>
      <c r="J299">
        <f>IF($A299="","",IFERROR(IF(LOOKUP(2,1/(人給データ!$B$2:$B$700=$A299),人給データ!$N$2:$N$700)=0,"",LOOKUP(2,1/(人給データ!$B$2:$B$700=$A299),人給データ!$N$2:$N$700)),""))</f>
        <v/>
      </c>
      <c r="K299" s="13" t="n"/>
      <c r="L299" s="12" t="n"/>
      <c r="M299" s="12" t="n"/>
      <c r="N299" s="11" t="n"/>
      <c r="O299" s="11" t="n"/>
      <c r="P299" s="14">
        <f>IF(AND(M299&lt;&gt;"",O299=""),"保留中","")</f>
        <v/>
      </c>
      <c r="Q299" s="14">
        <f>IF(P299="保留中",COUNTIF(P$6:P299,"保留中"),"")</f>
        <v/>
      </c>
    </row>
    <row r="300">
      <c r="A300" s="12" t="n"/>
      <c r="B300">
        <f>IF($A300="","",IFERROR(IF(LOOKUP(2,1/(人給データ!$B$2:$B$700=$A300),人給データ!$C$2:$C$700)=0,"",LOOKUP(2,1/(人給データ!$B$2:$B$700=$A300),人給データ!$C$2:$C$700)),""))</f>
        <v/>
      </c>
      <c r="C300">
        <f>IF($A300="","",IFERROR(IF(LOOKUP(2,1/(人給データ!$B$2:$B$700=$A300),人給データ!$G$2:$G$700)=0,"",LOOKUP(2,1/(人給データ!$B$2:$B$700=$A300),人給データ!$G$2:$G$700)),""))</f>
        <v/>
      </c>
      <c r="D300">
        <f>IF($A300="","",IFERROR(IF(LOOKUP(2,1/(人給データ!$B$2:$B$700=$A300),人給データ!$Y$2:$Y$700)=0,"",LOOKUP(2,1/(人給データ!$B$2:$B$700=$A300),人給データ!$Y$2:$Y$700)),""))</f>
        <v/>
      </c>
      <c r="E300" s="20">
        <f>IF($A300="","",IFERROR(IF(LOOKUP(2,1/(人給データ!$B$2:$B$700=$A300),人給データ!$AB$2:$AB$700)=0,"",LOOKUP(2,1/(人給データ!$B$2:$B$700=$A300),人給データ!$AB$2:$AB$700)),""))</f>
        <v/>
      </c>
      <c r="F300" s="16">
        <f>IF(OR(E300="",NOT(ISNUMBER(E300))),"",DATE(YEAR(E300)+2,MONTH(E300),DAY(E300)-2))</f>
        <v/>
      </c>
      <c r="G300" s="20">
        <f>IF($A300="","",IFERROR(IF(LOOKUP(2,1/(人給データ!$B$2:$B$700=$A300),人給データ!$J$2:$J$700)=0,"",LOOKUP(2,1/(人給データ!$B$2:$B$700=$A300),人給データ!$J$2:$J$700)),""))</f>
        <v/>
      </c>
      <c r="H300" s="20">
        <f>IF($A300="","",IFERROR(IF(LOOKUP(2,1/(人給データ!$B$2:$B$700=$A300),人給データ!$K$2:$K$700)=0,"",LOOKUP(2,1/(人給データ!$B$2:$B$700=$A300),人給データ!$K$2:$K$700)),""))</f>
        <v/>
      </c>
      <c r="I300" s="12" t="n"/>
      <c r="J300">
        <f>IF($A300="","",IFERROR(IF(LOOKUP(2,1/(人給データ!$B$2:$B$700=$A300),人給データ!$N$2:$N$700)=0,"",LOOKUP(2,1/(人給データ!$B$2:$B$700=$A300),人給データ!$N$2:$N$700)),""))</f>
        <v/>
      </c>
      <c r="K300" s="13" t="n"/>
      <c r="L300" s="12" t="n"/>
      <c r="M300" s="12" t="n"/>
      <c r="N300" s="11" t="n"/>
      <c r="O300" s="11" t="n"/>
      <c r="P300" s="14">
        <f>IF(AND(M300&lt;&gt;"",O300=""),"保留中","")</f>
        <v/>
      </c>
      <c r="Q300" s="14">
        <f>IF(P300="保留中",COUNTIF(P$6:P300,"保留中"),"")</f>
        <v/>
      </c>
    </row>
    <row r="301">
      <c r="A301" s="12" t="n"/>
      <c r="B301">
        <f>IF($A301="","",IFERROR(IF(LOOKUP(2,1/(人給データ!$B$2:$B$700=$A301),人給データ!$C$2:$C$700)=0,"",LOOKUP(2,1/(人給データ!$B$2:$B$700=$A301),人給データ!$C$2:$C$700)),""))</f>
        <v/>
      </c>
      <c r="C301">
        <f>IF($A301="","",IFERROR(IF(LOOKUP(2,1/(人給データ!$B$2:$B$700=$A301),人給データ!$G$2:$G$700)=0,"",LOOKUP(2,1/(人給データ!$B$2:$B$700=$A301),人給データ!$G$2:$G$700)),""))</f>
        <v/>
      </c>
      <c r="D301">
        <f>IF($A301="","",IFERROR(IF(LOOKUP(2,1/(人給データ!$B$2:$B$700=$A301),人給データ!$Y$2:$Y$700)=0,"",LOOKUP(2,1/(人給データ!$B$2:$B$700=$A301),人給データ!$Y$2:$Y$700)),""))</f>
        <v/>
      </c>
      <c r="E301" s="20">
        <f>IF($A301="","",IFERROR(IF(LOOKUP(2,1/(人給データ!$B$2:$B$700=$A301),人給データ!$AB$2:$AB$700)=0,"",LOOKUP(2,1/(人給データ!$B$2:$B$700=$A301),人給データ!$AB$2:$AB$700)),""))</f>
        <v/>
      </c>
      <c r="F301" s="16">
        <f>IF(OR(E301="",NOT(ISNUMBER(E301))),"",DATE(YEAR(E301)+2,MONTH(E301),DAY(E301)-2))</f>
        <v/>
      </c>
      <c r="G301" s="20">
        <f>IF($A301="","",IFERROR(IF(LOOKUP(2,1/(人給データ!$B$2:$B$700=$A301),人給データ!$J$2:$J$700)=0,"",LOOKUP(2,1/(人給データ!$B$2:$B$700=$A301),人給データ!$J$2:$J$700)),""))</f>
        <v/>
      </c>
      <c r="H301" s="20">
        <f>IF($A301="","",IFERROR(IF(LOOKUP(2,1/(人給データ!$B$2:$B$700=$A301),人給データ!$K$2:$K$700)=0,"",LOOKUP(2,1/(人給データ!$B$2:$B$700=$A301),人給データ!$K$2:$K$700)),""))</f>
        <v/>
      </c>
      <c r="I301" s="12" t="n"/>
      <c r="J301">
        <f>IF($A301="","",IFERROR(IF(LOOKUP(2,1/(人給データ!$B$2:$B$700=$A301),人給データ!$N$2:$N$700)=0,"",LOOKUP(2,1/(人給データ!$B$2:$B$700=$A301),人給データ!$N$2:$N$700)),""))</f>
        <v/>
      </c>
      <c r="K301" s="13" t="n"/>
      <c r="L301" s="12" t="n"/>
      <c r="M301" s="12" t="n"/>
      <c r="N301" s="11" t="n"/>
      <c r="O301" s="11" t="n"/>
      <c r="P301" s="14">
        <f>IF(AND(M301&lt;&gt;"",O301=""),"保留中","")</f>
        <v/>
      </c>
      <c r="Q301" s="14">
        <f>IF(P301="保留中",COUNTIF(P$6:P301,"保留中"),"")</f>
        <v/>
      </c>
    </row>
    <row r="302">
      <c r="A302" s="12" t="n"/>
      <c r="B302">
        <f>IF($A302="","",IFERROR(IF(LOOKUP(2,1/(人給データ!$B$2:$B$700=$A302),人給データ!$C$2:$C$700)=0,"",LOOKUP(2,1/(人給データ!$B$2:$B$700=$A302),人給データ!$C$2:$C$700)),""))</f>
        <v/>
      </c>
      <c r="C302">
        <f>IF($A302="","",IFERROR(IF(LOOKUP(2,1/(人給データ!$B$2:$B$700=$A302),人給データ!$G$2:$G$700)=0,"",LOOKUP(2,1/(人給データ!$B$2:$B$700=$A302),人給データ!$G$2:$G$700)),""))</f>
        <v/>
      </c>
      <c r="D302">
        <f>IF($A302="","",IFERROR(IF(LOOKUP(2,1/(人給データ!$B$2:$B$700=$A302),人給データ!$Y$2:$Y$700)=0,"",LOOKUP(2,1/(人給データ!$B$2:$B$700=$A302),人給データ!$Y$2:$Y$700)),""))</f>
        <v/>
      </c>
      <c r="E302" s="20">
        <f>IF($A302="","",IFERROR(IF(LOOKUP(2,1/(人給データ!$B$2:$B$700=$A302),人給データ!$AB$2:$AB$700)=0,"",LOOKUP(2,1/(人給データ!$B$2:$B$700=$A302),人給データ!$AB$2:$AB$700)),""))</f>
        <v/>
      </c>
      <c r="F302" s="16">
        <f>IF(OR(E302="",NOT(ISNUMBER(E302))),"",DATE(YEAR(E302)+2,MONTH(E302),DAY(E302)-2))</f>
        <v/>
      </c>
      <c r="G302" s="20">
        <f>IF($A302="","",IFERROR(IF(LOOKUP(2,1/(人給データ!$B$2:$B$700=$A302),人給データ!$J$2:$J$700)=0,"",LOOKUP(2,1/(人給データ!$B$2:$B$700=$A302),人給データ!$J$2:$J$700)),""))</f>
        <v/>
      </c>
      <c r="H302" s="20">
        <f>IF($A302="","",IFERROR(IF(LOOKUP(2,1/(人給データ!$B$2:$B$700=$A302),人給データ!$K$2:$K$700)=0,"",LOOKUP(2,1/(人給データ!$B$2:$B$700=$A302),人給データ!$K$2:$K$700)),""))</f>
        <v/>
      </c>
      <c r="I302" s="12" t="n"/>
      <c r="J302">
        <f>IF($A302="","",IFERROR(IF(LOOKUP(2,1/(人給データ!$B$2:$B$700=$A302),人給データ!$N$2:$N$700)=0,"",LOOKUP(2,1/(人給データ!$B$2:$B$700=$A302),人給データ!$N$2:$N$700)),""))</f>
        <v/>
      </c>
      <c r="K302" s="13" t="n"/>
      <c r="L302" s="12" t="n"/>
      <c r="M302" s="12" t="n"/>
      <c r="N302" s="11" t="n"/>
      <c r="O302" s="11" t="n"/>
      <c r="P302" s="14">
        <f>IF(AND(M302&lt;&gt;"",O302=""),"保留中","")</f>
        <v/>
      </c>
      <c r="Q302" s="14">
        <f>IF(P302="保留中",COUNTIF(P$6:P302,"保留中"),"")</f>
        <v/>
      </c>
    </row>
    <row r="303">
      <c r="A303" s="12" t="n"/>
      <c r="B303">
        <f>IF($A303="","",IFERROR(IF(LOOKUP(2,1/(人給データ!$B$2:$B$700=$A303),人給データ!$C$2:$C$700)=0,"",LOOKUP(2,1/(人給データ!$B$2:$B$700=$A303),人給データ!$C$2:$C$700)),""))</f>
        <v/>
      </c>
      <c r="C303">
        <f>IF($A303="","",IFERROR(IF(LOOKUP(2,1/(人給データ!$B$2:$B$700=$A303),人給データ!$G$2:$G$700)=0,"",LOOKUP(2,1/(人給データ!$B$2:$B$700=$A303),人給データ!$G$2:$G$700)),""))</f>
        <v/>
      </c>
      <c r="D303">
        <f>IF($A303="","",IFERROR(IF(LOOKUP(2,1/(人給データ!$B$2:$B$700=$A303),人給データ!$Y$2:$Y$700)=0,"",LOOKUP(2,1/(人給データ!$B$2:$B$700=$A303),人給データ!$Y$2:$Y$700)),""))</f>
        <v/>
      </c>
      <c r="E303" s="20">
        <f>IF($A303="","",IFERROR(IF(LOOKUP(2,1/(人給データ!$B$2:$B$700=$A303),人給データ!$AB$2:$AB$700)=0,"",LOOKUP(2,1/(人給データ!$B$2:$B$700=$A303),人給データ!$AB$2:$AB$700)),""))</f>
        <v/>
      </c>
      <c r="F303" s="16">
        <f>IF(OR(E303="",NOT(ISNUMBER(E303))),"",DATE(YEAR(E303)+2,MONTH(E303),DAY(E303)-2))</f>
        <v/>
      </c>
      <c r="G303" s="20">
        <f>IF($A303="","",IFERROR(IF(LOOKUP(2,1/(人給データ!$B$2:$B$700=$A303),人給データ!$J$2:$J$700)=0,"",LOOKUP(2,1/(人給データ!$B$2:$B$700=$A303),人給データ!$J$2:$J$700)),""))</f>
        <v/>
      </c>
      <c r="H303" s="20">
        <f>IF($A303="","",IFERROR(IF(LOOKUP(2,1/(人給データ!$B$2:$B$700=$A303),人給データ!$K$2:$K$700)=0,"",LOOKUP(2,1/(人給データ!$B$2:$B$700=$A303),人給データ!$K$2:$K$700)),""))</f>
        <v/>
      </c>
      <c r="I303" s="12" t="n"/>
      <c r="J303">
        <f>IF($A303="","",IFERROR(IF(LOOKUP(2,1/(人給データ!$B$2:$B$700=$A303),人給データ!$N$2:$N$700)=0,"",LOOKUP(2,1/(人給データ!$B$2:$B$700=$A303),人給データ!$N$2:$N$700)),""))</f>
        <v/>
      </c>
      <c r="K303" s="13" t="n"/>
      <c r="L303" s="12" t="n"/>
      <c r="M303" s="12" t="n"/>
      <c r="N303" s="11" t="n"/>
      <c r="O303" s="11" t="n"/>
      <c r="P303" s="14">
        <f>IF(AND(M303&lt;&gt;"",O303=""),"保留中","")</f>
        <v/>
      </c>
      <c r="Q303" s="14">
        <f>IF(P303="保留中",COUNTIF(P$6:P303,"保留中"),"")</f>
        <v/>
      </c>
    </row>
    <row r="304">
      <c r="A304" s="12" t="n"/>
      <c r="B304">
        <f>IF($A304="","",IFERROR(IF(LOOKUP(2,1/(人給データ!$B$2:$B$700=$A304),人給データ!$C$2:$C$700)=0,"",LOOKUP(2,1/(人給データ!$B$2:$B$700=$A304),人給データ!$C$2:$C$700)),""))</f>
        <v/>
      </c>
      <c r="C304">
        <f>IF($A304="","",IFERROR(IF(LOOKUP(2,1/(人給データ!$B$2:$B$700=$A304),人給データ!$G$2:$G$700)=0,"",LOOKUP(2,1/(人給データ!$B$2:$B$700=$A304),人給データ!$G$2:$G$700)),""))</f>
        <v/>
      </c>
      <c r="D304">
        <f>IF($A304="","",IFERROR(IF(LOOKUP(2,1/(人給データ!$B$2:$B$700=$A304),人給データ!$Y$2:$Y$700)=0,"",LOOKUP(2,1/(人給データ!$B$2:$B$700=$A304),人給データ!$Y$2:$Y$700)),""))</f>
        <v/>
      </c>
      <c r="E304" s="20">
        <f>IF($A304="","",IFERROR(IF(LOOKUP(2,1/(人給データ!$B$2:$B$700=$A304),人給データ!$AB$2:$AB$700)=0,"",LOOKUP(2,1/(人給データ!$B$2:$B$700=$A304),人給データ!$AB$2:$AB$700)),""))</f>
        <v/>
      </c>
      <c r="F304" s="16">
        <f>IF(OR(E304="",NOT(ISNUMBER(E304))),"",DATE(YEAR(E304)+2,MONTH(E304),DAY(E304)-2))</f>
        <v/>
      </c>
      <c r="G304" s="20">
        <f>IF($A304="","",IFERROR(IF(LOOKUP(2,1/(人給データ!$B$2:$B$700=$A304),人給データ!$J$2:$J$700)=0,"",LOOKUP(2,1/(人給データ!$B$2:$B$700=$A304),人給データ!$J$2:$J$700)),""))</f>
        <v/>
      </c>
      <c r="H304" s="20">
        <f>IF($A304="","",IFERROR(IF(LOOKUP(2,1/(人給データ!$B$2:$B$700=$A304),人給データ!$K$2:$K$700)=0,"",LOOKUP(2,1/(人給データ!$B$2:$B$700=$A304),人給データ!$K$2:$K$700)),""))</f>
        <v/>
      </c>
      <c r="I304" s="12" t="n"/>
      <c r="J304">
        <f>IF($A304="","",IFERROR(IF(LOOKUP(2,1/(人給データ!$B$2:$B$700=$A304),人給データ!$N$2:$N$700)=0,"",LOOKUP(2,1/(人給データ!$B$2:$B$700=$A304),人給データ!$N$2:$N$700)),""))</f>
        <v/>
      </c>
      <c r="K304" s="13" t="n"/>
      <c r="L304" s="12" t="n"/>
      <c r="M304" s="12" t="n"/>
      <c r="N304" s="11" t="n"/>
      <c r="O304" s="11" t="n"/>
      <c r="P304" s="14">
        <f>IF(AND(M304&lt;&gt;"",O304=""),"保留中","")</f>
        <v/>
      </c>
      <c r="Q304" s="14">
        <f>IF(P304="保留中",COUNTIF(P$6:P304,"保留中"),"")</f>
        <v/>
      </c>
    </row>
    <row r="305">
      <c r="A305" s="12" t="n"/>
      <c r="B305">
        <f>IF($A305="","",IFERROR(IF(LOOKUP(2,1/(人給データ!$B$2:$B$700=$A305),人給データ!$C$2:$C$700)=0,"",LOOKUP(2,1/(人給データ!$B$2:$B$700=$A305),人給データ!$C$2:$C$700)),""))</f>
        <v/>
      </c>
      <c r="C305">
        <f>IF($A305="","",IFERROR(IF(LOOKUP(2,1/(人給データ!$B$2:$B$700=$A305),人給データ!$G$2:$G$700)=0,"",LOOKUP(2,1/(人給データ!$B$2:$B$700=$A305),人給データ!$G$2:$G$700)),""))</f>
        <v/>
      </c>
      <c r="D305">
        <f>IF($A305="","",IFERROR(IF(LOOKUP(2,1/(人給データ!$B$2:$B$700=$A305),人給データ!$Y$2:$Y$700)=0,"",LOOKUP(2,1/(人給データ!$B$2:$B$700=$A305),人給データ!$Y$2:$Y$700)),""))</f>
        <v/>
      </c>
      <c r="E305" s="20">
        <f>IF($A305="","",IFERROR(IF(LOOKUP(2,1/(人給データ!$B$2:$B$700=$A305),人給データ!$AB$2:$AB$700)=0,"",LOOKUP(2,1/(人給データ!$B$2:$B$700=$A305),人給データ!$AB$2:$AB$700)),""))</f>
        <v/>
      </c>
      <c r="F305" s="16">
        <f>IF(OR(E305="",NOT(ISNUMBER(E305))),"",DATE(YEAR(E305)+2,MONTH(E305),DAY(E305)-2))</f>
        <v/>
      </c>
      <c r="G305" s="20">
        <f>IF($A305="","",IFERROR(IF(LOOKUP(2,1/(人給データ!$B$2:$B$700=$A305),人給データ!$J$2:$J$700)=0,"",LOOKUP(2,1/(人給データ!$B$2:$B$700=$A305),人給データ!$J$2:$J$700)),""))</f>
        <v/>
      </c>
      <c r="H305" s="20">
        <f>IF($A305="","",IFERROR(IF(LOOKUP(2,1/(人給データ!$B$2:$B$700=$A305),人給データ!$K$2:$K$700)=0,"",LOOKUP(2,1/(人給データ!$B$2:$B$700=$A305),人給データ!$K$2:$K$700)),""))</f>
        <v/>
      </c>
      <c r="I305" s="12" t="n"/>
      <c r="J305">
        <f>IF($A305="","",IFERROR(IF(LOOKUP(2,1/(人給データ!$B$2:$B$700=$A305),人給データ!$N$2:$N$700)=0,"",LOOKUP(2,1/(人給データ!$B$2:$B$700=$A305),人給データ!$N$2:$N$700)),""))</f>
        <v/>
      </c>
      <c r="K305" s="13" t="n"/>
      <c r="L305" s="12" t="n"/>
      <c r="M305" s="12" t="n"/>
      <c r="N305" s="11" t="n"/>
      <c r="O305" s="11" t="n"/>
      <c r="P305" s="14">
        <f>IF(AND(M305&lt;&gt;"",O305=""),"保留中","")</f>
        <v/>
      </c>
      <c r="Q305" s="14">
        <f>IF(P305="保留中",COUNTIF(P$6:P305,"保留中"),"")</f>
        <v/>
      </c>
    </row>
    <row r="306">
      <c r="A306" s="12" t="n"/>
      <c r="B306">
        <f>IF($A306="","",IFERROR(IF(LOOKUP(2,1/(人給データ!$B$2:$B$700=$A306),人給データ!$C$2:$C$700)=0,"",LOOKUP(2,1/(人給データ!$B$2:$B$700=$A306),人給データ!$C$2:$C$700)),""))</f>
        <v/>
      </c>
      <c r="C306">
        <f>IF($A306="","",IFERROR(IF(LOOKUP(2,1/(人給データ!$B$2:$B$700=$A306),人給データ!$G$2:$G$700)=0,"",LOOKUP(2,1/(人給データ!$B$2:$B$700=$A306),人給データ!$G$2:$G$700)),""))</f>
        <v/>
      </c>
      <c r="D306">
        <f>IF($A306="","",IFERROR(IF(LOOKUP(2,1/(人給データ!$B$2:$B$700=$A306),人給データ!$Y$2:$Y$700)=0,"",LOOKUP(2,1/(人給データ!$B$2:$B$700=$A306),人給データ!$Y$2:$Y$700)),""))</f>
        <v/>
      </c>
      <c r="E306" s="20">
        <f>IF($A306="","",IFERROR(IF(LOOKUP(2,1/(人給データ!$B$2:$B$700=$A306),人給データ!$AB$2:$AB$700)=0,"",LOOKUP(2,1/(人給データ!$B$2:$B$700=$A306),人給データ!$AB$2:$AB$700)),""))</f>
        <v/>
      </c>
      <c r="F306" s="16">
        <f>IF(OR(E306="",NOT(ISNUMBER(E306))),"",DATE(YEAR(E306)+2,MONTH(E306),DAY(E306)-2))</f>
        <v/>
      </c>
      <c r="G306" s="20">
        <f>IF($A306="","",IFERROR(IF(LOOKUP(2,1/(人給データ!$B$2:$B$700=$A306),人給データ!$J$2:$J$700)=0,"",LOOKUP(2,1/(人給データ!$B$2:$B$700=$A306),人給データ!$J$2:$J$700)),""))</f>
        <v/>
      </c>
      <c r="H306" s="20">
        <f>IF($A306="","",IFERROR(IF(LOOKUP(2,1/(人給データ!$B$2:$B$700=$A306),人給データ!$K$2:$K$700)=0,"",LOOKUP(2,1/(人給データ!$B$2:$B$700=$A306),人給データ!$K$2:$K$700)),""))</f>
        <v/>
      </c>
      <c r="I306" s="12" t="n"/>
      <c r="J306">
        <f>IF($A306="","",IFERROR(IF(LOOKUP(2,1/(人給データ!$B$2:$B$700=$A306),人給データ!$N$2:$N$700)=0,"",LOOKUP(2,1/(人給データ!$B$2:$B$700=$A306),人給データ!$N$2:$N$700)),""))</f>
        <v/>
      </c>
      <c r="K306" s="13" t="n"/>
      <c r="L306" s="12" t="n"/>
      <c r="M306" s="12" t="n"/>
      <c r="N306" s="11" t="n"/>
      <c r="O306" s="11" t="n"/>
      <c r="P306" s="14">
        <f>IF(AND(M306&lt;&gt;"",O306=""),"保留中","")</f>
        <v/>
      </c>
      <c r="Q306" s="14">
        <f>IF(P306="保留中",COUNTIF(P$6:P306,"保留中"),"")</f>
        <v/>
      </c>
    </row>
    <row r="307">
      <c r="A307" s="12" t="n"/>
      <c r="B307">
        <f>IF($A307="","",IFERROR(IF(LOOKUP(2,1/(人給データ!$B$2:$B$700=$A307),人給データ!$C$2:$C$700)=0,"",LOOKUP(2,1/(人給データ!$B$2:$B$700=$A307),人給データ!$C$2:$C$700)),""))</f>
        <v/>
      </c>
      <c r="C307">
        <f>IF($A307="","",IFERROR(IF(LOOKUP(2,1/(人給データ!$B$2:$B$700=$A307),人給データ!$G$2:$G$700)=0,"",LOOKUP(2,1/(人給データ!$B$2:$B$700=$A307),人給データ!$G$2:$G$700)),""))</f>
        <v/>
      </c>
      <c r="D307">
        <f>IF($A307="","",IFERROR(IF(LOOKUP(2,1/(人給データ!$B$2:$B$700=$A307),人給データ!$Y$2:$Y$700)=0,"",LOOKUP(2,1/(人給データ!$B$2:$B$700=$A307),人給データ!$Y$2:$Y$700)),""))</f>
        <v/>
      </c>
      <c r="E307" s="20">
        <f>IF($A307="","",IFERROR(IF(LOOKUP(2,1/(人給データ!$B$2:$B$700=$A307),人給データ!$AB$2:$AB$700)=0,"",LOOKUP(2,1/(人給データ!$B$2:$B$700=$A307),人給データ!$AB$2:$AB$700)),""))</f>
        <v/>
      </c>
      <c r="F307" s="16">
        <f>IF(OR(E307="",NOT(ISNUMBER(E307))),"",DATE(YEAR(E307)+2,MONTH(E307),DAY(E307)-2))</f>
        <v/>
      </c>
      <c r="G307" s="20">
        <f>IF($A307="","",IFERROR(IF(LOOKUP(2,1/(人給データ!$B$2:$B$700=$A307),人給データ!$J$2:$J$700)=0,"",LOOKUP(2,1/(人給データ!$B$2:$B$700=$A307),人給データ!$J$2:$J$700)),""))</f>
        <v/>
      </c>
      <c r="H307" s="20">
        <f>IF($A307="","",IFERROR(IF(LOOKUP(2,1/(人給データ!$B$2:$B$700=$A307),人給データ!$K$2:$K$700)=0,"",LOOKUP(2,1/(人給データ!$B$2:$B$700=$A307),人給データ!$K$2:$K$700)),""))</f>
        <v/>
      </c>
      <c r="I307" s="12" t="n"/>
      <c r="J307">
        <f>IF($A307="","",IFERROR(IF(LOOKUP(2,1/(人給データ!$B$2:$B$700=$A307),人給データ!$N$2:$N$700)=0,"",LOOKUP(2,1/(人給データ!$B$2:$B$700=$A307),人給データ!$N$2:$N$700)),""))</f>
        <v/>
      </c>
      <c r="K307" s="13" t="n"/>
      <c r="L307" s="12" t="n"/>
      <c r="M307" s="12" t="n"/>
      <c r="N307" s="11" t="n"/>
      <c r="O307" s="11" t="n"/>
      <c r="P307" s="14">
        <f>IF(AND(M307&lt;&gt;"",O307=""),"保留中","")</f>
        <v/>
      </c>
      <c r="Q307" s="14">
        <f>IF(P307="保留中",COUNTIF(P$6:P307,"保留中"),"")</f>
        <v/>
      </c>
    </row>
    <row r="308">
      <c r="A308" s="12" t="n"/>
      <c r="B308">
        <f>IF($A308="","",IFERROR(IF(LOOKUP(2,1/(人給データ!$B$2:$B$700=$A308),人給データ!$C$2:$C$700)=0,"",LOOKUP(2,1/(人給データ!$B$2:$B$700=$A308),人給データ!$C$2:$C$700)),""))</f>
        <v/>
      </c>
      <c r="C308">
        <f>IF($A308="","",IFERROR(IF(LOOKUP(2,1/(人給データ!$B$2:$B$700=$A308),人給データ!$G$2:$G$700)=0,"",LOOKUP(2,1/(人給データ!$B$2:$B$700=$A308),人給データ!$G$2:$G$700)),""))</f>
        <v/>
      </c>
      <c r="D308">
        <f>IF($A308="","",IFERROR(IF(LOOKUP(2,1/(人給データ!$B$2:$B$700=$A308),人給データ!$Y$2:$Y$700)=0,"",LOOKUP(2,1/(人給データ!$B$2:$B$700=$A308),人給データ!$Y$2:$Y$700)),""))</f>
        <v/>
      </c>
      <c r="E308" s="20">
        <f>IF($A308="","",IFERROR(IF(LOOKUP(2,1/(人給データ!$B$2:$B$700=$A308),人給データ!$AB$2:$AB$700)=0,"",LOOKUP(2,1/(人給データ!$B$2:$B$700=$A308),人給データ!$AB$2:$AB$700)),""))</f>
        <v/>
      </c>
      <c r="F308" s="16">
        <f>IF(OR(E308="",NOT(ISNUMBER(E308))),"",DATE(YEAR(E308)+2,MONTH(E308),DAY(E308)-2))</f>
        <v/>
      </c>
      <c r="G308" s="20">
        <f>IF($A308="","",IFERROR(IF(LOOKUP(2,1/(人給データ!$B$2:$B$700=$A308),人給データ!$J$2:$J$700)=0,"",LOOKUP(2,1/(人給データ!$B$2:$B$700=$A308),人給データ!$J$2:$J$700)),""))</f>
        <v/>
      </c>
      <c r="H308" s="20">
        <f>IF($A308="","",IFERROR(IF(LOOKUP(2,1/(人給データ!$B$2:$B$700=$A308),人給データ!$K$2:$K$700)=0,"",LOOKUP(2,1/(人給データ!$B$2:$B$700=$A308),人給データ!$K$2:$K$700)),""))</f>
        <v/>
      </c>
      <c r="I308" s="12" t="n"/>
      <c r="J308">
        <f>IF($A308="","",IFERROR(IF(LOOKUP(2,1/(人給データ!$B$2:$B$700=$A308),人給データ!$N$2:$N$700)=0,"",LOOKUP(2,1/(人給データ!$B$2:$B$700=$A308),人給データ!$N$2:$N$700)),""))</f>
        <v/>
      </c>
      <c r="K308" s="13" t="n"/>
      <c r="L308" s="12" t="n"/>
      <c r="M308" s="12" t="n"/>
      <c r="N308" s="11" t="n"/>
      <c r="O308" s="11" t="n"/>
      <c r="P308" s="14">
        <f>IF(AND(M308&lt;&gt;"",O308=""),"保留中","")</f>
        <v/>
      </c>
      <c r="Q308" s="14">
        <f>IF(P308="保留中",COUNTIF(P$6:P308,"保留中"),"")</f>
        <v/>
      </c>
    </row>
    <row r="309">
      <c r="A309" s="12" t="n"/>
      <c r="B309">
        <f>IF($A309="","",IFERROR(IF(LOOKUP(2,1/(人給データ!$B$2:$B$700=$A309),人給データ!$C$2:$C$700)=0,"",LOOKUP(2,1/(人給データ!$B$2:$B$700=$A309),人給データ!$C$2:$C$700)),""))</f>
        <v/>
      </c>
      <c r="C309">
        <f>IF($A309="","",IFERROR(IF(LOOKUP(2,1/(人給データ!$B$2:$B$700=$A309),人給データ!$G$2:$G$700)=0,"",LOOKUP(2,1/(人給データ!$B$2:$B$700=$A309),人給データ!$G$2:$G$700)),""))</f>
        <v/>
      </c>
      <c r="D309">
        <f>IF($A309="","",IFERROR(IF(LOOKUP(2,1/(人給データ!$B$2:$B$700=$A309),人給データ!$Y$2:$Y$700)=0,"",LOOKUP(2,1/(人給データ!$B$2:$B$700=$A309),人給データ!$Y$2:$Y$700)),""))</f>
        <v/>
      </c>
      <c r="E309" s="20">
        <f>IF($A309="","",IFERROR(IF(LOOKUP(2,1/(人給データ!$B$2:$B$700=$A309),人給データ!$AB$2:$AB$700)=0,"",LOOKUP(2,1/(人給データ!$B$2:$B$700=$A309),人給データ!$AB$2:$AB$700)),""))</f>
        <v/>
      </c>
      <c r="F309" s="16">
        <f>IF(OR(E309="",NOT(ISNUMBER(E309))),"",DATE(YEAR(E309)+2,MONTH(E309),DAY(E309)-2))</f>
        <v/>
      </c>
      <c r="G309" s="20">
        <f>IF($A309="","",IFERROR(IF(LOOKUP(2,1/(人給データ!$B$2:$B$700=$A309),人給データ!$J$2:$J$700)=0,"",LOOKUP(2,1/(人給データ!$B$2:$B$700=$A309),人給データ!$J$2:$J$700)),""))</f>
        <v/>
      </c>
      <c r="H309" s="20">
        <f>IF($A309="","",IFERROR(IF(LOOKUP(2,1/(人給データ!$B$2:$B$700=$A309),人給データ!$K$2:$K$700)=0,"",LOOKUP(2,1/(人給データ!$B$2:$B$700=$A309),人給データ!$K$2:$K$700)),""))</f>
        <v/>
      </c>
      <c r="I309" s="12" t="n"/>
      <c r="J309">
        <f>IF($A309="","",IFERROR(IF(LOOKUP(2,1/(人給データ!$B$2:$B$700=$A309),人給データ!$N$2:$N$700)=0,"",LOOKUP(2,1/(人給データ!$B$2:$B$700=$A309),人給データ!$N$2:$N$700)),""))</f>
        <v/>
      </c>
      <c r="K309" s="13" t="n"/>
      <c r="L309" s="12" t="n"/>
      <c r="M309" s="12" t="n"/>
      <c r="N309" s="11" t="n"/>
      <c r="O309" s="11" t="n"/>
      <c r="P309" s="14">
        <f>IF(AND(M309&lt;&gt;"",O309=""),"保留中","")</f>
        <v/>
      </c>
      <c r="Q309" s="14">
        <f>IF(P309="保留中",COUNTIF(P$6:P309,"保留中"),"")</f>
        <v/>
      </c>
    </row>
    <row r="310">
      <c r="A310" s="12" t="n"/>
      <c r="B310">
        <f>IF($A310="","",IFERROR(IF(LOOKUP(2,1/(人給データ!$B$2:$B$700=$A310),人給データ!$C$2:$C$700)=0,"",LOOKUP(2,1/(人給データ!$B$2:$B$700=$A310),人給データ!$C$2:$C$700)),""))</f>
        <v/>
      </c>
      <c r="C310">
        <f>IF($A310="","",IFERROR(IF(LOOKUP(2,1/(人給データ!$B$2:$B$700=$A310),人給データ!$G$2:$G$700)=0,"",LOOKUP(2,1/(人給データ!$B$2:$B$700=$A310),人給データ!$G$2:$G$700)),""))</f>
        <v/>
      </c>
      <c r="D310">
        <f>IF($A310="","",IFERROR(IF(LOOKUP(2,1/(人給データ!$B$2:$B$700=$A310),人給データ!$Y$2:$Y$700)=0,"",LOOKUP(2,1/(人給データ!$B$2:$B$700=$A310),人給データ!$Y$2:$Y$700)),""))</f>
        <v/>
      </c>
      <c r="E310" s="20">
        <f>IF($A310="","",IFERROR(IF(LOOKUP(2,1/(人給データ!$B$2:$B$700=$A310),人給データ!$AB$2:$AB$700)=0,"",LOOKUP(2,1/(人給データ!$B$2:$B$700=$A310),人給データ!$AB$2:$AB$700)),""))</f>
        <v/>
      </c>
      <c r="F310" s="16">
        <f>IF(OR(E310="",NOT(ISNUMBER(E310))),"",DATE(YEAR(E310)+2,MONTH(E310),DAY(E310)-2))</f>
        <v/>
      </c>
      <c r="G310" s="20">
        <f>IF($A310="","",IFERROR(IF(LOOKUP(2,1/(人給データ!$B$2:$B$700=$A310),人給データ!$J$2:$J$700)=0,"",LOOKUP(2,1/(人給データ!$B$2:$B$700=$A310),人給データ!$J$2:$J$700)),""))</f>
        <v/>
      </c>
      <c r="H310" s="20">
        <f>IF($A310="","",IFERROR(IF(LOOKUP(2,1/(人給データ!$B$2:$B$700=$A310),人給データ!$K$2:$K$700)=0,"",LOOKUP(2,1/(人給データ!$B$2:$B$700=$A310),人給データ!$K$2:$K$700)),""))</f>
        <v/>
      </c>
      <c r="I310" s="12" t="n"/>
      <c r="J310">
        <f>IF($A310="","",IFERROR(IF(LOOKUP(2,1/(人給データ!$B$2:$B$700=$A310),人給データ!$N$2:$N$700)=0,"",LOOKUP(2,1/(人給データ!$B$2:$B$700=$A310),人給データ!$N$2:$N$700)),""))</f>
        <v/>
      </c>
      <c r="K310" s="13" t="n"/>
      <c r="L310" s="12" t="n"/>
      <c r="M310" s="12" t="n"/>
      <c r="N310" s="11" t="n"/>
      <c r="O310" s="11" t="n"/>
      <c r="P310" s="14">
        <f>IF(AND(M310&lt;&gt;"",O310=""),"保留中","")</f>
        <v/>
      </c>
      <c r="Q310" s="14">
        <f>IF(P310="保留中",COUNTIF(P$6:P310,"保留中"),"")</f>
        <v/>
      </c>
    </row>
    <row r="311">
      <c r="A311" s="12" t="n"/>
      <c r="B311">
        <f>IF($A311="","",IFERROR(IF(LOOKUP(2,1/(人給データ!$B$2:$B$700=$A311),人給データ!$C$2:$C$700)=0,"",LOOKUP(2,1/(人給データ!$B$2:$B$700=$A311),人給データ!$C$2:$C$700)),""))</f>
        <v/>
      </c>
      <c r="C311">
        <f>IF($A311="","",IFERROR(IF(LOOKUP(2,1/(人給データ!$B$2:$B$700=$A311),人給データ!$G$2:$G$700)=0,"",LOOKUP(2,1/(人給データ!$B$2:$B$700=$A311),人給データ!$G$2:$G$700)),""))</f>
        <v/>
      </c>
      <c r="D311">
        <f>IF($A311="","",IFERROR(IF(LOOKUP(2,1/(人給データ!$B$2:$B$700=$A311),人給データ!$Y$2:$Y$700)=0,"",LOOKUP(2,1/(人給データ!$B$2:$B$700=$A311),人給データ!$Y$2:$Y$700)),""))</f>
        <v/>
      </c>
      <c r="E311" s="20">
        <f>IF($A311="","",IFERROR(IF(LOOKUP(2,1/(人給データ!$B$2:$B$700=$A311),人給データ!$AB$2:$AB$700)=0,"",LOOKUP(2,1/(人給データ!$B$2:$B$700=$A311),人給データ!$AB$2:$AB$700)),""))</f>
        <v/>
      </c>
      <c r="F311" s="16">
        <f>IF(OR(E311="",NOT(ISNUMBER(E311))),"",DATE(YEAR(E311)+2,MONTH(E311),DAY(E311)-2))</f>
        <v/>
      </c>
      <c r="G311" s="20">
        <f>IF($A311="","",IFERROR(IF(LOOKUP(2,1/(人給データ!$B$2:$B$700=$A311),人給データ!$J$2:$J$700)=0,"",LOOKUP(2,1/(人給データ!$B$2:$B$700=$A311),人給データ!$J$2:$J$700)),""))</f>
        <v/>
      </c>
      <c r="H311" s="20">
        <f>IF($A311="","",IFERROR(IF(LOOKUP(2,1/(人給データ!$B$2:$B$700=$A311),人給データ!$K$2:$K$700)=0,"",LOOKUP(2,1/(人給データ!$B$2:$B$700=$A311),人給データ!$K$2:$K$700)),""))</f>
        <v/>
      </c>
      <c r="I311" s="12" t="n"/>
      <c r="J311">
        <f>IF($A311="","",IFERROR(IF(LOOKUP(2,1/(人給データ!$B$2:$B$700=$A311),人給データ!$N$2:$N$700)=0,"",LOOKUP(2,1/(人給データ!$B$2:$B$700=$A311),人給データ!$N$2:$N$700)),""))</f>
        <v/>
      </c>
      <c r="K311" s="13" t="n"/>
      <c r="L311" s="12" t="n"/>
      <c r="M311" s="12" t="n"/>
      <c r="N311" s="11" t="n"/>
      <c r="O311" s="11" t="n"/>
      <c r="P311" s="14">
        <f>IF(AND(M311&lt;&gt;"",O311=""),"保留中","")</f>
        <v/>
      </c>
      <c r="Q311" s="14">
        <f>IF(P311="保留中",COUNTIF(P$6:P311,"保留中"),"")</f>
        <v/>
      </c>
    </row>
    <row r="312">
      <c r="A312" s="12" t="n"/>
      <c r="B312">
        <f>IF($A312="","",IFERROR(IF(LOOKUP(2,1/(人給データ!$B$2:$B$700=$A312),人給データ!$C$2:$C$700)=0,"",LOOKUP(2,1/(人給データ!$B$2:$B$700=$A312),人給データ!$C$2:$C$700)),""))</f>
        <v/>
      </c>
      <c r="C312">
        <f>IF($A312="","",IFERROR(IF(LOOKUP(2,1/(人給データ!$B$2:$B$700=$A312),人給データ!$G$2:$G$700)=0,"",LOOKUP(2,1/(人給データ!$B$2:$B$700=$A312),人給データ!$G$2:$G$700)),""))</f>
        <v/>
      </c>
      <c r="D312">
        <f>IF($A312="","",IFERROR(IF(LOOKUP(2,1/(人給データ!$B$2:$B$700=$A312),人給データ!$Y$2:$Y$700)=0,"",LOOKUP(2,1/(人給データ!$B$2:$B$700=$A312),人給データ!$Y$2:$Y$700)),""))</f>
        <v/>
      </c>
      <c r="E312" s="20">
        <f>IF($A312="","",IFERROR(IF(LOOKUP(2,1/(人給データ!$B$2:$B$700=$A312),人給データ!$AB$2:$AB$700)=0,"",LOOKUP(2,1/(人給データ!$B$2:$B$700=$A312),人給データ!$AB$2:$AB$700)),""))</f>
        <v/>
      </c>
      <c r="F312" s="16">
        <f>IF(OR(E312="",NOT(ISNUMBER(E312))),"",DATE(YEAR(E312)+2,MONTH(E312),DAY(E312)-2))</f>
        <v/>
      </c>
      <c r="G312" s="20">
        <f>IF($A312="","",IFERROR(IF(LOOKUP(2,1/(人給データ!$B$2:$B$700=$A312),人給データ!$J$2:$J$700)=0,"",LOOKUP(2,1/(人給データ!$B$2:$B$700=$A312),人給データ!$J$2:$J$700)),""))</f>
        <v/>
      </c>
      <c r="H312" s="20">
        <f>IF($A312="","",IFERROR(IF(LOOKUP(2,1/(人給データ!$B$2:$B$700=$A312),人給データ!$K$2:$K$700)=0,"",LOOKUP(2,1/(人給データ!$B$2:$B$700=$A312),人給データ!$K$2:$K$700)),""))</f>
        <v/>
      </c>
      <c r="I312" s="12" t="n"/>
      <c r="J312">
        <f>IF($A312="","",IFERROR(IF(LOOKUP(2,1/(人給データ!$B$2:$B$700=$A312),人給データ!$N$2:$N$700)=0,"",LOOKUP(2,1/(人給データ!$B$2:$B$700=$A312),人給データ!$N$2:$N$700)),""))</f>
        <v/>
      </c>
      <c r="K312" s="13" t="n"/>
      <c r="L312" s="12" t="n"/>
      <c r="M312" s="12" t="n"/>
      <c r="N312" s="11" t="n"/>
      <c r="O312" s="11" t="n"/>
      <c r="P312" s="14">
        <f>IF(AND(M312&lt;&gt;"",O312=""),"保留中","")</f>
        <v/>
      </c>
      <c r="Q312" s="14">
        <f>IF(P312="保留中",COUNTIF(P$6:P312,"保留中"),"")</f>
        <v/>
      </c>
    </row>
    <row r="313">
      <c r="A313" s="12" t="n"/>
      <c r="B313">
        <f>IF($A313="","",IFERROR(IF(LOOKUP(2,1/(人給データ!$B$2:$B$700=$A313),人給データ!$C$2:$C$700)=0,"",LOOKUP(2,1/(人給データ!$B$2:$B$700=$A313),人給データ!$C$2:$C$700)),""))</f>
        <v/>
      </c>
      <c r="C313">
        <f>IF($A313="","",IFERROR(IF(LOOKUP(2,1/(人給データ!$B$2:$B$700=$A313),人給データ!$G$2:$G$700)=0,"",LOOKUP(2,1/(人給データ!$B$2:$B$700=$A313),人給データ!$G$2:$G$700)),""))</f>
        <v/>
      </c>
      <c r="D313">
        <f>IF($A313="","",IFERROR(IF(LOOKUP(2,1/(人給データ!$B$2:$B$700=$A313),人給データ!$Y$2:$Y$700)=0,"",LOOKUP(2,1/(人給データ!$B$2:$B$700=$A313),人給データ!$Y$2:$Y$700)),""))</f>
        <v/>
      </c>
      <c r="E313" s="20">
        <f>IF($A313="","",IFERROR(IF(LOOKUP(2,1/(人給データ!$B$2:$B$700=$A313),人給データ!$AB$2:$AB$700)=0,"",LOOKUP(2,1/(人給データ!$B$2:$B$700=$A313),人給データ!$AB$2:$AB$700)),""))</f>
        <v/>
      </c>
      <c r="F313" s="16">
        <f>IF(OR(E313="",NOT(ISNUMBER(E313))),"",DATE(YEAR(E313)+2,MONTH(E313),DAY(E313)-2))</f>
        <v/>
      </c>
      <c r="G313" s="20">
        <f>IF($A313="","",IFERROR(IF(LOOKUP(2,1/(人給データ!$B$2:$B$700=$A313),人給データ!$J$2:$J$700)=0,"",LOOKUP(2,1/(人給データ!$B$2:$B$700=$A313),人給データ!$J$2:$J$700)),""))</f>
        <v/>
      </c>
      <c r="H313" s="20">
        <f>IF($A313="","",IFERROR(IF(LOOKUP(2,1/(人給データ!$B$2:$B$700=$A313),人給データ!$K$2:$K$700)=0,"",LOOKUP(2,1/(人給データ!$B$2:$B$700=$A313),人給データ!$K$2:$K$700)),""))</f>
        <v/>
      </c>
      <c r="I313" s="12" t="n"/>
      <c r="J313">
        <f>IF($A313="","",IFERROR(IF(LOOKUP(2,1/(人給データ!$B$2:$B$700=$A313),人給データ!$N$2:$N$700)=0,"",LOOKUP(2,1/(人給データ!$B$2:$B$700=$A313),人給データ!$N$2:$N$700)),""))</f>
        <v/>
      </c>
      <c r="K313" s="13" t="n"/>
      <c r="L313" s="12" t="n"/>
      <c r="M313" s="12" t="n"/>
      <c r="N313" s="11" t="n"/>
      <c r="O313" s="11" t="n"/>
      <c r="P313" s="14">
        <f>IF(AND(M313&lt;&gt;"",O313=""),"保留中","")</f>
        <v/>
      </c>
      <c r="Q313" s="14">
        <f>IF(P313="保留中",COUNTIF(P$6:P313,"保留中"),"")</f>
        <v/>
      </c>
    </row>
    <row r="314">
      <c r="A314" s="12" t="n"/>
      <c r="B314">
        <f>IF($A314="","",IFERROR(IF(LOOKUP(2,1/(人給データ!$B$2:$B$700=$A314),人給データ!$C$2:$C$700)=0,"",LOOKUP(2,1/(人給データ!$B$2:$B$700=$A314),人給データ!$C$2:$C$700)),""))</f>
        <v/>
      </c>
      <c r="C314">
        <f>IF($A314="","",IFERROR(IF(LOOKUP(2,1/(人給データ!$B$2:$B$700=$A314),人給データ!$G$2:$G$700)=0,"",LOOKUP(2,1/(人給データ!$B$2:$B$700=$A314),人給データ!$G$2:$G$700)),""))</f>
        <v/>
      </c>
      <c r="D314">
        <f>IF($A314="","",IFERROR(IF(LOOKUP(2,1/(人給データ!$B$2:$B$700=$A314),人給データ!$Y$2:$Y$700)=0,"",LOOKUP(2,1/(人給データ!$B$2:$B$700=$A314),人給データ!$Y$2:$Y$700)),""))</f>
        <v/>
      </c>
      <c r="E314" s="20">
        <f>IF($A314="","",IFERROR(IF(LOOKUP(2,1/(人給データ!$B$2:$B$700=$A314),人給データ!$AB$2:$AB$700)=0,"",LOOKUP(2,1/(人給データ!$B$2:$B$700=$A314),人給データ!$AB$2:$AB$700)),""))</f>
        <v/>
      </c>
      <c r="F314" s="16">
        <f>IF(OR(E314="",NOT(ISNUMBER(E314))),"",DATE(YEAR(E314)+2,MONTH(E314),DAY(E314)-2))</f>
        <v/>
      </c>
      <c r="G314" s="20">
        <f>IF($A314="","",IFERROR(IF(LOOKUP(2,1/(人給データ!$B$2:$B$700=$A314),人給データ!$J$2:$J$700)=0,"",LOOKUP(2,1/(人給データ!$B$2:$B$700=$A314),人給データ!$J$2:$J$700)),""))</f>
        <v/>
      </c>
      <c r="H314" s="20">
        <f>IF($A314="","",IFERROR(IF(LOOKUP(2,1/(人給データ!$B$2:$B$700=$A314),人給データ!$K$2:$K$700)=0,"",LOOKUP(2,1/(人給データ!$B$2:$B$700=$A314),人給データ!$K$2:$K$700)),""))</f>
        <v/>
      </c>
      <c r="I314" s="12" t="n"/>
      <c r="J314">
        <f>IF($A314="","",IFERROR(IF(LOOKUP(2,1/(人給データ!$B$2:$B$700=$A314),人給データ!$N$2:$N$700)=0,"",LOOKUP(2,1/(人給データ!$B$2:$B$700=$A314),人給データ!$N$2:$N$700)),""))</f>
        <v/>
      </c>
      <c r="K314" s="13" t="n"/>
      <c r="L314" s="12" t="n"/>
      <c r="M314" s="12" t="n"/>
      <c r="N314" s="11" t="n"/>
      <c r="O314" s="11" t="n"/>
      <c r="P314" s="14">
        <f>IF(AND(M314&lt;&gt;"",O314=""),"保留中","")</f>
        <v/>
      </c>
      <c r="Q314" s="14">
        <f>IF(P314="保留中",COUNTIF(P$6:P314,"保留中"),"")</f>
        <v/>
      </c>
    </row>
    <row r="315">
      <c r="A315" s="12" t="n"/>
      <c r="B315">
        <f>IF($A315="","",IFERROR(IF(LOOKUP(2,1/(人給データ!$B$2:$B$700=$A315),人給データ!$C$2:$C$700)=0,"",LOOKUP(2,1/(人給データ!$B$2:$B$700=$A315),人給データ!$C$2:$C$700)),""))</f>
        <v/>
      </c>
      <c r="C315">
        <f>IF($A315="","",IFERROR(IF(LOOKUP(2,1/(人給データ!$B$2:$B$700=$A315),人給データ!$G$2:$G$700)=0,"",LOOKUP(2,1/(人給データ!$B$2:$B$700=$A315),人給データ!$G$2:$G$700)),""))</f>
        <v/>
      </c>
      <c r="D315">
        <f>IF($A315="","",IFERROR(IF(LOOKUP(2,1/(人給データ!$B$2:$B$700=$A315),人給データ!$Y$2:$Y$700)=0,"",LOOKUP(2,1/(人給データ!$B$2:$B$700=$A315),人給データ!$Y$2:$Y$700)),""))</f>
        <v/>
      </c>
      <c r="E315" s="20">
        <f>IF($A315="","",IFERROR(IF(LOOKUP(2,1/(人給データ!$B$2:$B$700=$A315),人給データ!$AB$2:$AB$700)=0,"",LOOKUP(2,1/(人給データ!$B$2:$B$700=$A315),人給データ!$AB$2:$AB$700)),""))</f>
        <v/>
      </c>
      <c r="F315" s="16">
        <f>IF(OR(E315="",NOT(ISNUMBER(E315))),"",DATE(YEAR(E315)+2,MONTH(E315),DAY(E315)-2))</f>
        <v/>
      </c>
      <c r="G315" s="20">
        <f>IF($A315="","",IFERROR(IF(LOOKUP(2,1/(人給データ!$B$2:$B$700=$A315),人給データ!$J$2:$J$700)=0,"",LOOKUP(2,1/(人給データ!$B$2:$B$700=$A315),人給データ!$J$2:$J$700)),""))</f>
        <v/>
      </c>
      <c r="H315" s="20">
        <f>IF($A315="","",IFERROR(IF(LOOKUP(2,1/(人給データ!$B$2:$B$700=$A315),人給データ!$K$2:$K$700)=0,"",LOOKUP(2,1/(人給データ!$B$2:$B$700=$A315),人給データ!$K$2:$K$700)),""))</f>
        <v/>
      </c>
      <c r="I315" s="12" t="n"/>
      <c r="J315">
        <f>IF($A315="","",IFERROR(IF(LOOKUP(2,1/(人給データ!$B$2:$B$700=$A315),人給データ!$N$2:$N$700)=0,"",LOOKUP(2,1/(人給データ!$B$2:$B$700=$A315),人給データ!$N$2:$N$700)),""))</f>
        <v/>
      </c>
      <c r="K315" s="13" t="n"/>
      <c r="L315" s="12" t="n"/>
      <c r="M315" s="12" t="n"/>
      <c r="N315" s="11" t="n"/>
      <c r="O315" s="11" t="n"/>
      <c r="P315" s="14">
        <f>IF(AND(M315&lt;&gt;"",O315=""),"保留中","")</f>
        <v/>
      </c>
      <c r="Q315" s="14">
        <f>IF(P315="保留中",COUNTIF(P$6:P315,"保留中"),"")</f>
        <v/>
      </c>
    </row>
    <row r="316">
      <c r="A316" s="12" t="n"/>
      <c r="B316">
        <f>IF($A316="","",IFERROR(IF(LOOKUP(2,1/(人給データ!$B$2:$B$700=$A316),人給データ!$C$2:$C$700)=0,"",LOOKUP(2,1/(人給データ!$B$2:$B$700=$A316),人給データ!$C$2:$C$700)),""))</f>
        <v/>
      </c>
      <c r="C316">
        <f>IF($A316="","",IFERROR(IF(LOOKUP(2,1/(人給データ!$B$2:$B$700=$A316),人給データ!$G$2:$G$700)=0,"",LOOKUP(2,1/(人給データ!$B$2:$B$700=$A316),人給データ!$G$2:$G$700)),""))</f>
        <v/>
      </c>
      <c r="D316">
        <f>IF($A316="","",IFERROR(IF(LOOKUP(2,1/(人給データ!$B$2:$B$700=$A316),人給データ!$Y$2:$Y$700)=0,"",LOOKUP(2,1/(人給データ!$B$2:$B$700=$A316),人給データ!$Y$2:$Y$700)),""))</f>
        <v/>
      </c>
      <c r="E316" s="20">
        <f>IF($A316="","",IFERROR(IF(LOOKUP(2,1/(人給データ!$B$2:$B$700=$A316),人給データ!$AB$2:$AB$700)=0,"",LOOKUP(2,1/(人給データ!$B$2:$B$700=$A316),人給データ!$AB$2:$AB$700)),""))</f>
        <v/>
      </c>
      <c r="F316" s="16">
        <f>IF(OR(E316="",NOT(ISNUMBER(E316))),"",DATE(YEAR(E316)+2,MONTH(E316),DAY(E316)-2))</f>
        <v/>
      </c>
      <c r="G316" s="20">
        <f>IF($A316="","",IFERROR(IF(LOOKUP(2,1/(人給データ!$B$2:$B$700=$A316),人給データ!$J$2:$J$700)=0,"",LOOKUP(2,1/(人給データ!$B$2:$B$700=$A316),人給データ!$J$2:$J$700)),""))</f>
        <v/>
      </c>
      <c r="H316" s="20">
        <f>IF($A316="","",IFERROR(IF(LOOKUP(2,1/(人給データ!$B$2:$B$700=$A316),人給データ!$K$2:$K$700)=0,"",LOOKUP(2,1/(人給データ!$B$2:$B$700=$A316),人給データ!$K$2:$K$700)),""))</f>
        <v/>
      </c>
      <c r="I316" s="12" t="n"/>
      <c r="J316">
        <f>IF($A316="","",IFERROR(IF(LOOKUP(2,1/(人給データ!$B$2:$B$700=$A316),人給データ!$N$2:$N$700)=0,"",LOOKUP(2,1/(人給データ!$B$2:$B$700=$A316),人給データ!$N$2:$N$700)),""))</f>
        <v/>
      </c>
      <c r="K316" s="13" t="n"/>
      <c r="L316" s="12" t="n"/>
      <c r="M316" s="12" t="n"/>
      <c r="N316" s="11" t="n"/>
      <c r="O316" s="11" t="n"/>
      <c r="P316" s="14">
        <f>IF(AND(M316&lt;&gt;"",O316=""),"保留中","")</f>
        <v/>
      </c>
      <c r="Q316" s="14">
        <f>IF(P316="保留中",COUNTIF(P$6:P316,"保留中"),"")</f>
        <v/>
      </c>
    </row>
    <row r="317">
      <c r="A317" s="12" t="n"/>
      <c r="B317">
        <f>IF($A317="","",IFERROR(IF(LOOKUP(2,1/(人給データ!$B$2:$B$700=$A317),人給データ!$C$2:$C$700)=0,"",LOOKUP(2,1/(人給データ!$B$2:$B$700=$A317),人給データ!$C$2:$C$700)),""))</f>
        <v/>
      </c>
      <c r="C317">
        <f>IF($A317="","",IFERROR(IF(LOOKUP(2,1/(人給データ!$B$2:$B$700=$A317),人給データ!$G$2:$G$700)=0,"",LOOKUP(2,1/(人給データ!$B$2:$B$700=$A317),人給データ!$G$2:$G$700)),""))</f>
        <v/>
      </c>
      <c r="D317">
        <f>IF($A317="","",IFERROR(IF(LOOKUP(2,1/(人給データ!$B$2:$B$700=$A317),人給データ!$Y$2:$Y$700)=0,"",LOOKUP(2,1/(人給データ!$B$2:$B$700=$A317),人給データ!$Y$2:$Y$700)),""))</f>
        <v/>
      </c>
      <c r="E317" s="20">
        <f>IF($A317="","",IFERROR(IF(LOOKUP(2,1/(人給データ!$B$2:$B$700=$A317),人給データ!$AB$2:$AB$700)=0,"",LOOKUP(2,1/(人給データ!$B$2:$B$700=$A317),人給データ!$AB$2:$AB$700)),""))</f>
        <v/>
      </c>
      <c r="F317" s="16">
        <f>IF(OR(E317="",NOT(ISNUMBER(E317))),"",DATE(YEAR(E317)+2,MONTH(E317),DAY(E317)-2))</f>
        <v/>
      </c>
      <c r="G317" s="20">
        <f>IF($A317="","",IFERROR(IF(LOOKUP(2,1/(人給データ!$B$2:$B$700=$A317),人給データ!$J$2:$J$700)=0,"",LOOKUP(2,1/(人給データ!$B$2:$B$700=$A317),人給データ!$J$2:$J$700)),""))</f>
        <v/>
      </c>
      <c r="H317" s="20">
        <f>IF($A317="","",IFERROR(IF(LOOKUP(2,1/(人給データ!$B$2:$B$700=$A317),人給データ!$K$2:$K$700)=0,"",LOOKUP(2,1/(人給データ!$B$2:$B$700=$A317),人給データ!$K$2:$K$700)),""))</f>
        <v/>
      </c>
      <c r="I317" s="12" t="n"/>
      <c r="J317">
        <f>IF($A317="","",IFERROR(IF(LOOKUP(2,1/(人給データ!$B$2:$B$700=$A317),人給データ!$N$2:$N$700)=0,"",LOOKUP(2,1/(人給データ!$B$2:$B$700=$A317),人給データ!$N$2:$N$700)),""))</f>
        <v/>
      </c>
      <c r="K317" s="13" t="n"/>
      <c r="L317" s="12" t="n"/>
      <c r="M317" s="12" t="n"/>
      <c r="N317" s="11" t="n"/>
      <c r="O317" s="11" t="n"/>
      <c r="P317" s="14">
        <f>IF(AND(M317&lt;&gt;"",O317=""),"保留中","")</f>
        <v/>
      </c>
      <c r="Q317" s="14">
        <f>IF(P317="保留中",COUNTIF(P$6:P317,"保留中"),"")</f>
        <v/>
      </c>
    </row>
    <row r="318">
      <c r="A318" s="12" t="n"/>
      <c r="B318">
        <f>IF($A318="","",IFERROR(IF(LOOKUP(2,1/(人給データ!$B$2:$B$700=$A318),人給データ!$C$2:$C$700)=0,"",LOOKUP(2,1/(人給データ!$B$2:$B$700=$A318),人給データ!$C$2:$C$700)),""))</f>
        <v/>
      </c>
      <c r="C318">
        <f>IF($A318="","",IFERROR(IF(LOOKUP(2,1/(人給データ!$B$2:$B$700=$A318),人給データ!$G$2:$G$700)=0,"",LOOKUP(2,1/(人給データ!$B$2:$B$700=$A318),人給データ!$G$2:$G$700)),""))</f>
        <v/>
      </c>
      <c r="D318">
        <f>IF($A318="","",IFERROR(IF(LOOKUP(2,1/(人給データ!$B$2:$B$700=$A318),人給データ!$Y$2:$Y$700)=0,"",LOOKUP(2,1/(人給データ!$B$2:$B$700=$A318),人給データ!$Y$2:$Y$700)),""))</f>
        <v/>
      </c>
      <c r="E318" s="20">
        <f>IF($A318="","",IFERROR(IF(LOOKUP(2,1/(人給データ!$B$2:$B$700=$A318),人給データ!$AB$2:$AB$700)=0,"",LOOKUP(2,1/(人給データ!$B$2:$B$700=$A318),人給データ!$AB$2:$AB$700)),""))</f>
        <v/>
      </c>
      <c r="F318" s="16">
        <f>IF(OR(E318="",NOT(ISNUMBER(E318))),"",DATE(YEAR(E318)+2,MONTH(E318),DAY(E318)-2))</f>
        <v/>
      </c>
      <c r="G318" s="20">
        <f>IF($A318="","",IFERROR(IF(LOOKUP(2,1/(人給データ!$B$2:$B$700=$A318),人給データ!$J$2:$J$700)=0,"",LOOKUP(2,1/(人給データ!$B$2:$B$700=$A318),人給データ!$J$2:$J$700)),""))</f>
        <v/>
      </c>
      <c r="H318" s="20">
        <f>IF($A318="","",IFERROR(IF(LOOKUP(2,1/(人給データ!$B$2:$B$700=$A318),人給データ!$K$2:$K$700)=0,"",LOOKUP(2,1/(人給データ!$B$2:$B$700=$A318),人給データ!$K$2:$K$700)),""))</f>
        <v/>
      </c>
      <c r="I318" s="12" t="n"/>
      <c r="J318">
        <f>IF($A318="","",IFERROR(IF(LOOKUP(2,1/(人給データ!$B$2:$B$700=$A318),人給データ!$N$2:$N$700)=0,"",LOOKUP(2,1/(人給データ!$B$2:$B$700=$A318),人給データ!$N$2:$N$700)),""))</f>
        <v/>
      </c>
      <c r="K318" s="13" t="n"/>
      <c r="L318" s="12" t="n"/>
      <c r="M318" s="12" t="n"/>
      <c r="N318" s="11" t="n"/>
      <c r="O318" s="11" t="n"/>
      <c r="P318" s="14">
        <f>IF(AND(M318&lt;&gt;"",O318=""),"保留中","")</f>
        <v/>
      </c>
      <c r="Q318" s="14">
        <f>IF(P318="保留中",COUNTIF(P$6:P318,"保留中"),"")</f>
        <v/>
      </c>
    </row>
    <row r="319">
      <c r="A319" s="12" t="n"/>
      <c r="B319">
        <f>IF($A319="","",IFERROR(IF(LOOKUP(2,1/(人給データ!$B$2:$B$700=$A319),人給データ!$C$2:$C$700)=0,"",LOOKUP(2,1/(人給データ!$B$2:$B$700=$A319),人給データ!$C$2:$C$700)),""))</f>
        <v/>
      </c>
      <c r="C319">
        <f>IF($A319="","",IFERROR(IF(LOOKUP(2,1/(人給データ!$B$2:$B$700=$A319),人給データ!$G$2:$G$700)=0,"",LOOKUP(2,1/(人給データ!$B$2:$B$700=$A319),人給データ!$G$2:$G$700)),""))</f>
        <v/>
      </c>
      <c r="D319">
        <f>IF($A319="","",IFERROR(IF(LOOKUP(2,1/(人給データ!$B$2:$B$700=$A319),人給データ!$Y$2:$Y$700)=0,"",LOOKUP(2,1/(人給データ!$B$2:$B$700=$A319),人給データ!$Y$2:$Y$700)),""))</f>
        <v/>
      </c>
      <c r="E319" s="20">
        <f>IF($A319="","",IFERROR(IF(LOOKUP(2,1/(人給データ!$B$2:$B$700=$A319),人給データ!$AB$2:$AB$700)=0,"",LOOKUP(2,1/(人給データ!$B$2:$B$700=$A319),人給データ!$AB$2:$AB$700)),""))</f>
        <v/>
      </c>
      <c r="F319" s="16">
        <f>IF(OR(E319="",NOT(ISNUMBER(E319))),"",DATE(YEAR(E319)+2,MONTH(E319),DAY(E319)-2))</f>
        <v/>
      </c>
      <c r="G319" s="20">
        <f>IF($A319="","",IFERROR(IF(LOOKUP(2,1/(人給データ!$B$2:$B$700=$A319),人給データ!$J$2:$J$700)=0,"",LOOKUP(2,1/(人給データ!$B$2:$B$700=$A319),人給データ!$J$2:$J$700)),""))</f>
        <v/>
      </c>
      <c r="H319" s="20">
        <f>IF($A319="","",IFERROR(IF(LOOKUP(2,1/(人給データ!$B$2:$B$700=$A319),人給データ!$K$2:$K$700)=0,"",LOOKUP(2,1/(人給データ!$B$2:$B$700=$A319),人給データ!$K$2:$K$700)),""))</f>
        <v/>
      </c>
      <c r="I319" s="12" t="n"/>
      <c r="J319">
        <f>IF($A319="","",IFERROR(IF(LOOKUP(2,1/(人給データ!$B$2:$B$700=$A319),人給データ!$N$2:$N$700)=0,"",LOOKUP(2,1/(人給データ!$B$2:$B$700=$A319),人給データ!$N$2:$N$700)),""))</f>
        <v/>
      </c>
      <c r="K319" s="13" t="n"/>
      <c r="L319" s="12" t="n"/>
      <c r="M319" s="12" t="n"/>
      <c r="N319" s="11" t="n"/>
      <c r="O319" s="11" t="n"/>
      <c r="P319" s="14">
        <f>IF(AND(M319&lt;&gt;"",O319=""),"保留中","")</f>
        <v/>
      </c>
      <c r="Q319" s="14">
        <f>IF(P319="保留中",COUNTIF(P$6:P319,"保留中"),"")</f>
        <v/>
      </c>
    </row>
    <row r="320">
      <c r="A320" s="12" t="n"/>
      <c r="B320">
        <f>IF($A320="","",IFERROR(IF(LOOKUP(2,1/(人給データ!$B$2:$B$700=$A320),人給データ!$C$2:$C$700)=0,"",LOOKUP(2,1/(人給データ!$B$2:$B$700=$A320),人給データ!$C$2:$C$700)),""))</f>
        <v/>
      </c>
      <c r="C320">
        <f>IF($A320="","",IFERROR(IF(LOOKUP(2,1/(人給データ!$B$2:$B$700=$A320),人給データ!$G$2:$G$700)=0,"",LOOKUP(2,1/(人給データ!$B$2:$B$700=$A320),人給データ!$G$2:$G$700)),""))</f>
        <v/>
      </c>
      <c r="D320">
        <f>IF($A320="","",IFERROR(IF(LOOKUP(2,1/(人給データ!$B$2:$B$700=$A320),人給データ!$Y$2:$Y$700)=0,"",LOOKUP(2,1/(人給データ!$B$2:$B$700=$A320),人給データ!$Y$2:$Y$700)),""))</f>
        <v/>
      </c>
      <c r="E320" s="20">
        <f>IF($A320="","",IFERROR(IF(LOOKUP(2,1/(人給データ!$B$2:$B$700=$A320),人給データ!$AB$2:$AB$700)=0,"",LOOKUP(2,1/(人給データ!$B$2:$B$700=$A320),人給データ!$AB$2:$AB$700)),""))</f>
        <v/>
      </c>
      <c r="F320" s="16">
        <f>IF(OR(E320="",NOT(ISNUMBER(E320))),"",DATE(YEAR(E320)+2,MONTH(E320),DAY(E320)-2))</f>
        <v/>
      </c>
      <c r="G320" s="20">
        <f>IF($A320="","",IFERROR(IF(LOOKUP(2,1/(人給データ!$B$2:$B$700=$A320),人給データ!$J$2:$J$700)=0,"",LOOKUP(2,1/(人給データ!$B$2:$B$700=$A320),人給データ!$J$2:$J$700)),""))</f>
        <v/>
      </c>
      <c r="H320" s="20">
        <f>IF($A320="","",IFERROR(IF(LOOKUP(2,1/(人給データ!$B$2:$B$700=$A320),人給データ!$K$2:$K$700)=0,"",LOOKUP(2,1/(人給データ!$B$2:$B$700=$A320),人給データ!$K$2:$K$700)),""))</f>
        <v/>
      </c>
      <c r="I320" s="12" t="n"/>
      <c r="J320">
        <f>IF($A320="","",IFERROR(IF(LOOKUP(2,1/(人給データ!$B$2:$B$700=$A320),人給データ!$N$2:$N$700)=0,"",LOOKUP(2,1/(人給データ!$B$2:$B$700=$A320),人給データ!$N$2:$N$700)),""))</f>
        <v/>
      </c>
      <c r="K320" s="13" t="n"/>
      <c r="L320" s="12" t="n"/>
      <c r="M320" s="12" t="n"/>
      <c r="N320" s="11" t="n"/>
      <c r="O320" s="11" t="n"/>
      <c r="P320" s="14">
        <f>IF(AND(M320&lt;&gt;"",O320=""),"保留中","")</f>
        <v/>
      </c>
      <c r="Q320" s="14">
        <f>IF(P320="保留中",COUNTIF(P$6:P320,"保留中"),"")</f>
        <v/>
      </c>
    </row>
    <row r="321">
      <c r="A321" s="12" t="n"/>
      <c r="B321">
        <f>IF($A321="","",IFERROR(IF(LOOKUP(2,1/(人給データ!$B$2:$B$700=$A321),人給データ!$C$2:$C$700)=0,"",LOOKUP(2,1/(人給データ!$B$2:$B$700=$A321),人給データ!$C$2:$C$700)),""))</f>
        <v/>
      </c>
      <c r="C321">
        <f>IF($A321="","",IFERROR(IF(LOOKUP(2,1/(人給データ!$B$2:$B$700=$A321),人給データ!$G$2:$G$700)=0,"",LOOKUP(2,1/(人給データ!$B$2:$B$700=$A321),人給データ!$G$2:$G$700)),""))</f>
        <v/>
      </c>
      <c r="D321">
        <f>IF($A321="","",IFERROR(IF(LOOKUP(2,1/(人給データ!$B$2:$B$700=$A321),人給データ!$Y$2:$Y$700)=0,"",LOOKUP(2,1/(人給データ!$B$2:$B$700=$A321),人給データ!$Y$2:$Y$700)),""))</f>
        <v/>
      </c>
      <c r="E321" s="20">
        <f>IF($A321="","",IFERROR(IF(LOOKUP(2,1/(人給データ!$B$2:$B$700=$A321),人給データ!$AB$2:$AB$700)=0,"",LOOKUP(2,1/(人給データ!$B$2:$B$700=$A321),人給データ!$AB$2:$AB$700)),""))</f>
        <v/>
      </c>
      <c r="F321" s="16">
        <f>IF(OR(E321="",NOT(ISNUMBER(E321))),"",DATE(YEAR(E321)+2,MONTH(E321),DAY(E321)-2))</f>
        <v/>
      </c>
      <c r="G321" s="20">
        <f>IF($A321="","",IFERROR(IF(LOOKUP(2,1/(人給データ!$B$2:$B$700=$A321),人給データ!$J$2:$J$700)=0,"",LOOKUP(2,1/(人給データ!$B$2:$B$700=$A321),人給データ!$J$2:$J$700)),""))</f>
        <v/>
      </c>
      <c r="H321" s="20">
        <f>IF($A321="","",IFERROR(IF(LOOKUP(2,1/(人給データ!$B$2:$B$700=$A321),人給データ!$K$2:$K$700)=0,"",LOOKUP(2,1/(人給データ!$B$2:$B$700=$A321),人給データ!$K$2:$K$700)),""))</f>
        <v/>
      </c>
      <c r="I321" s="12" t="n"/>
      <c r="J321">
        <f>IF($A321="","",IFERROR(IF(LOOKUP(2,1/(人給データ!$B$2:$B$700=$A321),人給データ!$N$2:$N$700)=0,"",LOOKUP(2,1/(人給データ!$B$2:$B$700=$A321),人給データ!$N$2:$N$700)),""))</f>
        <v/>
      </c>
      <c r="K321" s="13" t="n"/>
      <c r="L321" s="12" t="n"/>
      <c r="M321" s="12" t="n"/>
      <c r="N321" s="11" t="n"/>
      <c r="O321" s="11" t="n"/>
      <c r="P321" s="14">
        <f>IF(AND(M321&lt;&gt;"",O321=""),"保留中","")</f>
        <v/>
      </c>
      <c r="Q321" s="14">
        <f>IF(P321="保留中",COUNTIF(P$6:P321,"保留中"),"")</f>
        <v/>
      </c>
    </row>
    <row r="322">
      <c r="A322" s="12" t="n"/>
      <c r="B322">
        <f>IF($A322="","",IFERROR(IF(LOOKUP(2,1/(人給データ!$B$2:$B$700=$A322),人給データ!$C$2:$C$700)=0,"",LOOKUP(2,1/(人給データ!$B$2:$B$700=$A322),人給データ!$C$2:$C$700)),""))</f>
        <v/>
      </c>
      <c r="C322">
        <f>IF($A322="","",IFERROR(IF(LOOKUP(2,1/(人給データ!$B$2:$B$700=$A322),人給データ!$G$2:$G$700)=0,"",LOOKUP(2,1/(人給データ!$B$2:$B$700=$A322),人給データ!$G$2:$G$700)),""))</f>
        <v/>
      </c>
      <c r="D322">
        <f>IF($A322="","",IFERROR(IF(LOOKUP(2,1/(人給データ!$B$2:$B$700=$A322),人給データ!$Y$2:$Y$700)=0,"",LOOKUP(2,1/(人給データ!$B$2:$B$700=$A322),人給データ!$Y$2:$Y$700)),""))</f>
        <v/>
      </c>
      <c r="E322" s="20">
        <f>IF($A322="","",IFERROR(IF(LOOKUP(2,1/(人給データ!$B$2:$B$700=$A322),人給データ!$AB$2:$AB$700)=0,"",LOOKUP(2,1/(人給データ!$B$2:$B$700=$A322),人給データ!$AB$2:$AB$700)),""))</f>
        <v/>
      </c>
      <c r="F322" s="16">
        <f>IF(OR(E322="",NOT(ISNUMBER(E322))),"",DATE(YEAR(E322)+2,MONTH(E322),DAY(E322)-2))</f>
        <v/>
      </c>
      <c r="G322" s="20">
        <f>IF($A322="","",IFERROR(IF(LOOKUP(2,1/(人給データ!$B$2:$B$700=$A322),人給データ!$J$2:$J$700)=0,"",LOOKUP(2,1/(人給データ!$B$2:$B$700=$A322),人給データ!$J$2:$J$700)),""))</f>
        <v/>
      </c>
      <c r="H322" s="20">
        <f>IF($A322="","",IFERROR(IF(LOOKUP(2,1/(人給データ!$B$2:$B$700=$A322),人給データ!$K$2:$K$700)=0,"",LOOKUP(2,1/(人給データ!$B$2:$B$700=$A322),人給データ!$K$2:$K$700)),""))</f>
        <v/>
      </c>
      <c r="I322" s="12" t="n"/>
      <c r="J322">
        <f>IF($A322="","",IFERROR(IF(LOOKUP(2,1/(人給データ!$B$2:$B$700=$A322),人給データ!$N$2:$N$700)=0,"",LOOKUP(2,1/(人給データ!$B$2:$B$700=$A322),人給データ!$N$2:$N$700)),""))</f>
        <v/>
      </c>
      <c r="K322" s="13" t="n"/>
      <c r="L322" s="12" t="n"/>
      <c r="M322" s="12" t="n"/>
      <c r="N322" s="11" t="n"/>
      <c r="O322" s="11" t="n"/>
      <c r="P322" s="14">
        <f>IF(AND(M322&lt;&gt;"",O322=""),"保留中","")</f>
        <v/>
      </c>
      <c r="Q322" s="14">
        <f>IF(P322="保留中",COUNTIF(P$6:P322,"保留中"),"")</f>
        <v/>
      </c>
    </row>
    <row r="323">
      <c r="A323" s="12" t="n"/>
      <c r="B323">
        <f>IF($A323="","",IFERROR(IF(LOOKUP(2,1/(人給データ!$B$2:$B$700=$A323),人給データ!$C$2:$C$700)=0,"",LOOKUP(2,1/(人給データ!$B$2:$B$700=$A323),人給データ!$C$2:$C$700)),""))</f>
        <v/>
      </c>
      <c r="C323">
        <f>IF($A323="","",IFERROR(IF(LOOKUP(2,1/(人給データ!$B$2:$B$700=$A323),人給データ!$G$2:$G$700)=0,"",LOOKUP(2,1/(人給データ!$B$2:$B$700=$A323),人給データ!$G$2:$G$700)),""))</f>
        <v/>
      </c>
      <c r="D323">
        <f>IF($A323="","",IFERROR(IF(LOOKUP(2,1/(人給データ!$B$2:$B$700=$A323),人給データ!$Y$2:$Y$700)=0,"",LOOKUP(2,1/(人給データ!$B$2:$B$700=$A323),人給データ!$Y$2:$Y$700)),""))</f>
        <v/>
      </c>
      <c r="E323" s="20">
        <f>IF($A323="","",IFERROR(IF(LOOKUP(2,1/(人給データ!$B$2:$B$700=$A323),人給データ!$AB$2:$AB$700)=0,"",LOOKUP(2,1/(人給データ!$B$2:$B$700=$A323),人給データ!$AB$2:$AB$700)),""))</f>
        <v/>
      </c>
      <c r="F323" s="16">
        <f>IF(OR(E323="",NOT(ISNUMBER(E323))),"",DATE(YEAR(E323)+2,MONTH(E323),DAY(E323)-2))</f>
        <v/>
      </c>
      <c r="G323" s="20">
        <f>IF($A323="","",IFERROR(IF(LOOKUP(2,1/(人給データ!$B$2:$B$700=$A323),人給データ!$J$2:$J$700)=0,"",LOOKUP(2,1/(人給データ!$B$2:$B$700=$A323),人給データ!$J$2:$J$700)),""))</f>
        <v/>
      </c>
      <c r="H323" s="20">
        <f>IF($A323="","",IFERROR(IF(LOOKUP(2,1/(人給データ!$B$2:$B$700=$A323),人給データ!$K$2:$K$700)=0,"",LOOKUP(2,1/(人給データ!$B$2:$B$700=$A323),人給データ!$K$2:$K$700)),""))</f>
        <v/>
      </c>
      <c r="I323" s="12" t="n"/>
      <c r="J323">
        <f>IF($A323="","",IFERROR(IF(LOOKUP(2,1/(人給データ!$B$2:$B$700=$A323),人給データ!$N$2:$N$700)=0,"",LOOKUP(2,1/(人給データ!$B$2:$B$700=$A323),人給データ!$N$2:$N$700)),""))</f>
        <v/>
      </c>
      <c r="K323" s="13" t="n"/>
      <c r="L323" s="12" t="n"/>
      <c r="M323" s="12" t="n"/>
      <c r="N323" s="11" t="n"/>
      <c r="O323" s="11" t="n"/>
      <c r="P323" s="14">
        <f>IF(AND(M323&lt;&gt;"",O323=""),"保留中","")</f>
        <v/>
      </c>
      <c r="Q323" s="14">
        <f>IF(P323="保留中",COUNTIF(P$6:P323,"保留中"),"")</f>
        <v/>
      </c>
    </row>
    <row r="324">
      <c r="A324" s="12" t="n"/>
      <c r="B324">
        <f>IF($A324="","",IFERROR(IF(LOOKUP(2,1/(人給データ!$B$2:$B$700=$A324),人給データ!$C$2:$C$700)=0,"",LOOKUP(2,1/(人給データ!$B$2:$B$700=$A324),人給データ!$C$2:$C$700)),""))</f>
        <v/>
      </c>
      <c r="C324">
        <f>IF($A324="","",IFERROR(IF(LOOKUP(2,1/(人給データ!$B$2:$B$700=$A324),人給データ!$G$2:$G$700)=0,"",LOOKUP(2,1/(人給データ!$B$2:$B$700=$A324),人給データ!$G$2:$G$700)),""))</f>
        <v/>
      </c>
      <c r="D324">
        <f>IF($A324="","",IFERROR(IF(LOOKUP(2,1/(人給データ!$B$2:$B$700=$A324),人給データ!$Y$2:$Y$700)=0,"",LOOKUP(2,1/(人給データ!$B$2:$B$700=$A324),人給データ!$Y$2:$Y$700)),""))</f>
        <v/>
      </c>
      <c r="E324" s="20">
        <f>IF($A324="","",IFERROR(IF(LOOKUP(2,1/(人給データ!$B$2:$B$700=$A324),人給データ!$AB$2:$AB$700)=0,"",LOOKUP(2,1/(人給データ!$B$2:$B$700=$A324),人給データ!$AB$2:$AB$700)),""))</f>
        <v/>
      </c>
      <c r="F324" s="16">
        <f>IF(OR(E324="",NOT(ISNUMBER(E324))),"",DATE(YEAR(E324)+2,MONTH(E324),DAY(E324)-2))</f>
        <v/>
      </c>
      <c r="G324" s="20">
        <f>IF($A324="","",IFERROR(IF(LOOKUP(2,1/(人給データ!$B$2:$B$700=$A324),人給データ!$J$2:$J$700)=0,"",LOOKUP(2,1/(人給データ!$B$2:$B$700=$A324),人給データ!$J$2:$J$700)),""))</f>
        <v/>
      </c>
      <c r="H324" s="20">
        <f>IF($A324="","",IFERROR(IF(LOOKUP(2,1/(人給データ!$B$2:$B$700=$A324),人給データ!$K$2:$K$700)=0,"",LOOKUP(2,1/(人給データ!$B$2:$B$700=$A324),人給データ!$K$2:$K$700)),""))</f>
        <v/>
      </c>
      <c r="I324" s="12" t="n"/>
      <c r="J324">
        <f>IF($A324="","",IFERROR(IF(LOOKUP(2,1/(人給データ!$B$2:$B$700=$A324),人給データ!$N$2:$N$700)=0,"",LOOKUP(2,1/(人給データ!$B$2:$B$700=$A324),人給データ!$N$2:$N$700)),""))</f>
        <v/>
      </c>
      <c r="K324" s="13" t="n"/>
      <c r="L324" s="12" t="n"/>
      <c r="M324" s="12" t="n"/>
      <c r="N324" s="11" t="n"/>
      <c r="O324" s="11" t="n"/>
      <c r="P324" s="14">
        <f>IF(AND(M324&lt;&gt;"",O324=""),"保留中","")</f>
        <v/>
      </c>
      <c r="Q324" s="14">
        <f>IF(P324="保留中",COUNTIF(P$6:P324,"保留中"),"")</f>
        <v/>
      </c>
    </row>
    <row r="325">
      <c r="A325" s="12" t="n"/>
      <c r="B325">
        <f>IF($A325="","",IFERROR(IF(LOOKUP(2,1/(人給データ!$B$2:$B$700=$A325),人給データ!$C$2:$C$700)=0,"",LOOKUP(2,1/(人給データ!$B$2:$B$700=$A325),人給データ!$C$2:$C$700)),""))</f>
        <v/>
      </c>
      <c r="C325">
        <f>IF($A325="","",IFERROR(IF(LOOKUP(2,1/(人給データ!$B$2:$B$700=$A325),人給データ!$G$2:$G$700)=0,"",LOOKUP(2,1/(人給データ!$B$2:$B$700=$A325),人給データ!$G$2:$G$700)),""))</f>
        <v/>
      </c>
      <c r="D325">
        <f>IF($A325="","",IFERROR(IF(LOOKUP(2,1/(人給データ!$B$2:$B$700=$A325),人給データ!$Y$2:$Y$700)=0,"",LOOKUP(2,1/(人給データ!$B$2:$B$700=$A325),人給データ!$Y$2:$Y$700)),""))</f>
        <v/>
      </c>
      <c r="E325" s="20">
        <f>IF($A325="","",IFERROR(IF(LOOKUP(2,1/(人給データ!$B$2:$B$700=$A325),人給データ!$AB$2:$AB$700)=0,"",LOOKUP(2,1/(人給データ!$B$2:$B$700=$A325),人給データ!$AB$2:$AB$700)),""))</f>
        <v/>
      </c>
      <c r="F325" s="16">
        <f>IF(OR(E325="",NOT(ISNUMBER(E325))),"",DATE(YEAR(E325)+2,MONTH(E325),DAY(E325)-2))</f>
        <v/>
      </c>
      <c r="G325" s="20">
        <f>IF($A325="","",IFERROR(IF(LOOKUP(2,1/(人給データ!$B$2:$B$700=$A325),人給データ!$J$2:$J$700)=0,"",LOOKUP(2,1/(人給データ!$B$2:$B$700=$A325),人給データ!$J$2:$J$700)),""))</f>
        <v/>
      </c>
      <c r="H325" s="20">
        <f>IF($A325="","",IFERROR(IF(LOOKUP(2,1/(人給データ!$B$2:$B$700=$A325),人給データ!$K$2:$K$700)=0,"",LOOKUP(2,1/(人給データ!$B$2:$B$700=$A325),人給データ!$K$2:$K$700)),""))</f>
        <v/>
      </c>
      <c r="I325" s="12" t="n"/>
      <c r="J325">
        <f>IF($A325="","",IFERROR(IF(LOOKUP(2,1/(人給データ!$B$2:$B$700=$A325),人給データ!$N$2:$N$700)=0,"",LOOKUP(2,1/(人給データ!$B$2:$B$700=$A325),人給データ!$N$2:$N$700)),""))</f>
        <v/>
      </c>
      <c r="K325" s="13" t="n"/>
      <c r="L325" s="12" t="n"/>
      <c r="M325" s="12" t="n"/>
      <c r="N325" s="11" t="n"/>
      <c r="O325" s="11" t="n"/>
      <c r="P325" s="14">
        <f>IF(AND(M325&lt;&gt;"",O325=""),"保留中","")</f>
        <v/>
      </c>
      <c r="Q325" s="14">
        <f>IF(P325="保留中",COUNTIF(P$6:P325,"保留中"),"")</f>
        <v/>
      </c>
    </row>
    <row r="326">
      <c r="A326" s="12" t="n"/>
      <c r="B326">
        <f>IF($A326="","",IFERROR(IF(LOOKUP(2,1/(人給データ!$B$2:$B$700=$A326),人給データ!$C$2:$C$700)=0,"",LOOKUP(2,1/(人給データ!$B$2:$B$700=$A326),人給データ!$C$2:$C$700)),""))</f>
        <v/>
      </c>
      <c r="C326">
        <f>IF($A326="","",IFERROR(IF(LOOKUP(2,1/(人給データ!$B$2:$B$700=$A326),人給データ!$G$2:$G$700)=0,"",LOOKUP(2,1/(人給データ!$B$2:$B$700=$A326),人給データ!$G$2:$G$700)),""))</f>
        <v/>
      </c>
      <c r="D326">
        <f>IF($A326="","",IFERROR(IF(LOOKUP(2,1/(人給データ!$B$2:$B$700=$A326),人給データ!$Y$2:$Y$700)=0,"",LOOKUP(2,1/(人給データ!$B$2:$B$700=$A326),人給データ!$Y$2:$Y$700)),""))</f>
        <v/>
      </c>
      <c r="E326" s="20">
        <f>IF($A326="","",IFERROR(IF(LOOKUP(2,1/(人給データ!$B$2:$B$700=$A326),人給データ!$AB$2:$AB$700)=0,"",LOOKUP(2,1/(人給データ!$B$2:$B$700=$A326),人給データ!$AB$2:$AB$700)),""))</f>
        <v/>
      </c>
      <c r="F326" s="16">
        <f>IF(OR(E326="",NOT(ISNUMBER(E326))),"",DATE(YEAR(E326)+2,MONTH(E326),DAY(E326)-2))</f>
        <v/>
      </c>
      <c r="G326" s="20">
        <f>IF($A326="","",IFERROR(IF(LOOKUP(2,1/(人給データ!$B$2:$B$700=$A326),人給データ!$J$2:$J$700)=0,"",LOOKUP(2,1/(人給データ!$B$2:$B$700=$A326),人給データ!$J$2:$J$700)),""))</f>
        <v/>
      </c>
      <c r="H326" s="20">
        <f>IF($A326="","",IFERROR(IF(LOOKUP(2,1/(人給データ!$B$2:$B$700=$A326),人給データ!$K$2:$K$700)=0,"",LOOKUP(2,1/(人給データ!$B$2:$B$700=$A326),人給データ!$K$2:$K$700)),""))</f>
        <v/>
      </c>
      <c r="I326" s="12" t="n"/>
      <c r="J326">
        <f>IF($A326="","",IFERROR(IF(LOOKUP(2,1/(人給データ!$B$2:$B$700=$A326),人給データ!$N$2:$N$700)=0,"",LOOKUP(2,1/(人給データ!$B$2:$B$700=$A326),人給データ!$N$2:$N$700)),""))</f>
        <v/>
      </c>
      <c r="K326" s="13" t="n"/>
      <c r="L326" s="12" t="n"/>
      <c r="M326" s="12" t="n"/>
      <c r="N326" s="11" t="n"/>
      <c r="O326" s="11" t="n"/>
      <c r="P326" s="14">
        <f>IF(AND(M326&lt;&gt;"",O326=""),"保留中","")</f>
        <v/>
      </c>
      <c r="Q326" s="14">
        <f>IF(P326="保留中",COUNTIF(P$6:P326,"保留中"),"")</f>
        <v/>
      </c>
    </row>
    <row r="327">
      <c r="A327" s="12" t="n"/>
      <c r="B327">
        <f>IF($A327="","",IFERROR(IF(LOOKUP(2,1/(人給データ!$B$2:$B$700=$A327),人給データ!$C$2:$C$700)=0,"",LOOKUP(2,1/(人給データ!$B$2:$B$700=$A327),人給データ!$C$2:$C$700)),""))</f>
        <v/>
      </c>
      <c r="C327">
        <f>IF($A327="","",IFERROR(IF(LOOKUP(2,1/(人給データ!$B$2:$B$700=$A327),人給データ!$G$2:$G$700)=0,"",LOOKUP(2,1/(人給データ!$B$2:$B$700=$A327),人給データ!$G$2:$G$700)),""))</f>
        <v/>
      </c>
      <c r="D327">
        <f>IF($A327="","",IFERROR(IF(LOOKUP(2,1/(人給データ!$B$2:$B$700=$A327),人給データ!$Y$2:$Y$700)=0,"",LOOKUP(2,1/(人給データ!$B$2:$B$700=$A327),人給データ!$Y$2:$Y$700)),""))</f>
        <v/>
      </c>
      <c r="E327" s="20">
        <f>IF($A327="","",IFERROR(IF(LOOKUP(2,1/(人給データ!$B$2:$B$700=$A327),人給データ!$AB$2:$AB$700)=0,"",LOOKUP(2,1/(人給データ!$B$2:$B$700=$A327),人給データ!$AB$2:$AB$700)),""))</f>
        <v/>
      </c>
      <c r="F327" s="16">
        <f>IF(OR(E327="",NOT(ISNUMBER(E327))),"",DATE(YEAR(E327)+2,MONTH(E327),DAY(E327)-2))</f>
        <v/>
      </c>
      <c r="G327" s="20">
        <f>IF($A327="","",IFERROR(IF(LOOKUP(2,1/(人給データ!$B$2:$B$700=$A327),人給データ!$J$2:$J$700)=0,"",LOOKUP(2,1/(人給データ!$B$2:$B$700=$A327),人給データ!$J$2:$J$700)),""))</f>
        <v/>
      </c>
      <c r="H327" s="20">
        <f>IF($A327="","",IFERROR(IF(LOOKUP(2,1/(人給データ!$B$2:$B$700=$A327),人給データ!$K$2:$K$700)=0,"",LOOKUP(2,1/(人給データ!$B$2:$B$700=$A327),人給データ!$K$2:$K$700)),""))</f>
        <v/>
      </c>
      <c r="I327" s="12" t="n"/>
      <c r="J327">
        <f>IF($A327="","",IFERROR(IF(LOOKUP(2,1/(人給データ!$B$2:$B$700=$A327),人給データ!$N$2:$N$700)=0,"",LOOKUP(2,1/(人給データ!$B$2:$B$700=$A327),人給データ!$N$2:$N$700)),""))</f>
        <v/>
      </c>
      <c r="K327" s="13" t="n"/>
      <c r="L327" s="12" t="n"/>
      <c r="M327" s="12" t="n"/>
      <c r="N327" s="11" t="n"/>
      <c r="O327" s="11" t="n"/>
      <c r="P327" s="14">
        <f>IF(AND(M327&lt;&gt;"",O327=""),"保留中","")</f>
        <v/>
      </c>
      <c r="Q327" s="14">
        <f>IF(P327="保留中",COUNTIF(P$6:P327,"保留中"),"")</f>
        <v/>
      </c>
    </row>
    <row r="328">
      <c r="A328" s="12" t="n"/>
      <c r="B328">
        <f>IF($A328="","",IFERROR(IF(LOOKUP(2,1/(人給データ!$B$2:$B$700=$A328),人給データ!$C$2:$C$700)=0,"",LOOKUP(2,1/(人給データ!$B$2:$B$700=$A328),人給データ!$C$2:$C$700)),""))</f>
        <v/>
      </c>
      <c r="C328">
        <f>IF($A328="","",IFERROR(IF(LOOKUP(2,1/(人給データ!$B$2:$B$700=$A328),人給データ!$G$2:$G$700)=0,"",LOOKUP(2,1/(人給データ!$B$2:$B$700=$A328),人給データ!$G$2:$G$700)),""))</f>
        <v/>
      </c>
      <c r="D328">
        <f>IF($A328="","",IFERROR(IF(LOOKUP(2,1/(人給データ!$B$2:$B$700=$A328),人給データ!$Y$2:$Y$700)=0,"",LOOKUP(2,1/(人給データ!$B$2:$B$700=$A328),人給データ!$Y$2:$Y$700)),""))</f>
        <v/>
      </c>
      <c r="E328" s="20">
        <f>IF($A328="","",IFERROR(IF(LOOKUP(2,1/(人給データ!$B$2:$B$700=$A328),人給データ!$AB$2:$AB$700)=0,"",LOOKUP(2,1/(人給データ!$B$2:$B$700=$A328),人給データ!$AB$2:$AB$700)),""))</f>
        <v/>
      </c>
      <c r="F328" s="16">
        <f>IF(OR(E328="",NOT(ISNUMBER(E328))),"",DATE(YEAR(E328)+2,MONTH(E328),DAY(E328)-2))</f>
        <v/>
      </c>
      <c r="G328" s="20">
        <f>IF($A328="","",IFERROR(IF(LOOKUP(2,1/(人給データ!$B$2:$B$700=$A328),人給データ!$J$2:$J$700)=0,"",LOOKUP(2,1/(人給データ!$B$2:$B$700=$A328),人給データ!$J$2:$J$700)),""))</f>
        <v/>
      </c>
      <c r="H328" s="20">
        <f>IF($A328="","",IFERROR(IF(LOOKUP(2,1/(人給データ!$B$2:$B$700=$A328),人給データ!$K$2:$K$700)=0,"",LOOKUP(2,1/(人給データ!$B$2:$B$700=$A328),人給データ!$K$2:$K$700)),""))</f>
        <v/>
      </c>
      <c r="I328" s="12" t="n"/>
      <c r="J328">
        <f>IF($A328="","",IFERROR(IF(LOOKUP(2,1/(人給データ!$B$2:$B$700=$A328),人給データ!$N$2:$N$700)=0,"",LOOKUP(2,1/(人給データ!$B$2:$B$700=$A328),人給データ!$N$2:$N$700)),""))</f>
        <v/>
      </c>
      <c r="K328" s="13" t="n"/>
      <c r="L328" s="12" t="n"/>
      <c r="M328" s="12" t="n"/>
      <c r="N328" s="11" t="n"/>
      <c r="O328" s="11" t="n"/>
      <c r="P328" s="14">
        <f>IF(AND(M328&lt;&gt;"",O328=""),"保留中","")</f>
        <v/>
      </c>
      <c r="Q328" s="14">
        <f>IF(P328="保留中",COUNTIF(P$6:P328,"保留中"),"")</f>
        <v/>
      </c>
    </row>
    <row r="329">
      <c r="A329" s="12" t="n"/>
      <c r="B329">
        <f>IF($A329="","",IFERROR(IF(LOOKUP(2,1/(人給データ!$B$2:$B$700=$A329),人給データ!$C$2:$C$700)=0,"",LOOKUP(2,1/(人給データ!$B$2:$B$700=$A329),人給データ!$C$2:$C$700)),""))</f>
        <v/>
      </c>
      <c r="C329">
        <f>IF($A329="","",IFERROR(IF(LOOKUP(2,1/(人給データ!$B$2:$B$700=$A329),人給データ!$G$2:$G$700)=0,"",LOOKUP(2,1/(人給データ!$B$2:$B$700=$A329),人給データ!$G$2:$G$700)),""))</f>
        <v/>
      </c>
      <c r="D329">
        <f>IF($A329="","",IFERROR(IF(LOOKUP(2,1/(人給データ!$B$2:$B$700=$A329),人給データ!$Y$2:$Y$700)=0,"",LOOKUP(2,1/(人給データ!$B$2:$B$700=$A329),人給データ!$Y$2:$Y$700)),""))</f>
        <v/>
      </c>
      <c r="E329" s="20">
        <f>IF($A329="","",IFERROR(IF(LOOKUP(2,1/(人給データ!$B$2:$B$700=$A329),人給データ!$AB$2:$AB$700)=0,"",LOOKUP(2,1/(人給データ!$B$2:$B$700=$A329),人給データ!$AB$2:$AB$700)),""))</f>
        <v/>
      </c>
      <c r="F329" s="16">
        <f>IF(OR(E329="",NOT(ISNUMBER(E329))),"",DATE(YEAR(E329)+2,MONTH(E329),DAY(E329)-2))</f>
        <v/>
      </c>
      <c r="G329" s="20">
        <f>IF($A329="","",IFERROR(IF(LOOKUP(2,1/(人給データ!$B$2:$B$700=$A329),人給データ!$J$2:$J$700)=0,"",LOOKUP(2,1/(人給データ!$B$2:$B$700=$A329),人給データ!$J$2:$J$700)),""))</f>
        <v/>
      </c>
      <c r="H329" s="20">
        <f>IF($A329="","",IFERROR(IF(LOOKUP(2,1/(人給データ!$B$2:$B$700=$A329),人給データ!$K$2:$K$700)=0,"",LOOKUP(2,1/(人給データ!$B$2:$B$700=$A329),人給データ!$K$2:$K$700)),""))</f>
        <v/>
      </c>
      <c r="I329" s="12" t="n"/>
      <c r="J329">
        <f>IF($A329="","",IFERROR(IF(LOOKUP(2,1/(人給データ!$B$2:$B$700=$A329),人給データ!$N$2:$N$700)=0,"",LOOKUP(2,1/(人給データ!$B$2:$B$700=$A329),人給データ!$N$2:$N$700)),""))</f>
        <v/>
      </c>
      <c r="K329" s="13" t="n"/>
      <c r="L329" s="12" t="n"/>
      <c r="M329" s="12" t="n"/>
      <c r="N329" s="11" t="n"/>
      <c r="O329" s="11" t="n"/>
      <c r="P329" s="14">
        <f>IF(AND(M329&lt;&gt;"",O329=""),"保留中","")</f>
        <v/>
      </c>
      <c r="Q329" s="14">
        <f>IF(P329="保留中",COUNTIF(P$6:P329,"保留中"),"")</f>
        <v/>
      </c>
    </row>
    <row r="330">
      <c r="A330" s="12" t="n"/>
      <c r="B330">
        <f>IF($A330="","",IFERROR(IF(LOOKUP(2,1/(人給データ!$B$2:$B$700=$A330),人給データ!$C$2:$C$700)=0,"",LOOKUP(2,1/(人給データ!$B$2:$B$700=$A330),人給データ!$C$2:$C$700)),""))</f>
        <v/>
      </c>
      <c r="C330">
        <f>IF($A330="","",IFERROR(IF(LOOKUP(2,1/(人給データ!$B$2:$B$700=$A330),人給データ!$G$2:$G$700)=0,"",LOOKUP(2,1/(人給データ!$B$2:$B$700=$A330),人給データ!$G$2:$G$700)),""))</f>
        <v/>
      </c>
      <c r="D330">
        <f>IF($A330="","",IFERROR(IF(LOOKUP(2,1/(人給データ!$B$2:$B$700=$A330),人給データ!$Y$2:$Y$700)=0,"",LOOKUP(2,1/(人給データ!$B$2:$B$700=$A330),人給データ!$Y$2:$Y$700)),""))</f>
        <v/>
      </c>
      <c r="E330" s="20">
        <f>IF($A330="","",IFERROR(IF(LOOKUP(2,1/(人給データ!$B$2:$B$700=$A330),人給データ!$AB$2:$AB$700)=0,"",LOOKUP(2,1/(人給データ!$B$2:$B$700=$A330),人給データ!$AB$2:$AB$700)),""))</f>
        <v/>
      </c>
      <c r="F330" s="16">
        <f>IF(OR(E330="",NOT(ISNUMBER(E330))),"",DATE(YEAR(E330)+2,MONTH(E330),DAY(E330)-2))</f>
        <v/>
      </c>
      <c r="G330" s="20">
        <f>IF($A330="","",IFERROR(IF(LOOKUP(2,1/(人給データ!$B$2:$B$700=$A330),人給データ!$J$2:$J$700)=0,"",LOOKUP(2,1/(人給データ!$B$2:$B$700=$A330),人給データ!$J$2:$J$700)),""))</f>
        <v/>
      </c>
      <c r="H330" s="20">
        <f>IF($A330="","",IFERROR(IF(LOOKUP(2,1/(人給データ!$B$2:$B$700=$A330),人給データ!$K$2:$K$700)=0,"",LOOKUP(2,1/(人給データ!$B$2:$B$700=$A330),人給データ!$K$2:$K$700)),""))</f>
        <v/>
      </c>
      <c r="I330" s="12" t="n"/>
      <c r="J330">
        <f>IF($A330="","",IFERROR(IF(LOOKUP(2,1/(人給データ!$B$2:$B$700=$A330),人給データ!$N$2:$N$700)=0,"",LOOKUP(2,1/(人給データ!$B$2:$B$700=$A330),人給データ!$N$2:$N$700)),""))</f>
        <v/>
      </c>
      <c r="K330" s="13" t="n"/>
      <c r="L330" s="12" t="n"/>
      <c r="M330" s="12" t="n"/>
      <c r="N330" s="11" t="n"/>
      <c r="O330" s="11" t="n"/>
      <c r="P330" s="14">
        <f>IF(AND(M330&lt;&gt;"",O330=""),"保留中","")</f>
        <v/>
      </c>
      <c r="Q330" s="14">
        <f>IF(P330="保留中",COUNTIF(P$6:P330,"保留中"),"")</f>
        <v/>
      </c>
    </row>
    <row r="331">
      <c r="A331" s="12" t="n"/>
      <c r="B331">
        <f>IF($A331="","",IFERROR(IF(LOOKUP(2,1/(人給データ!$B$2:$B$700=$A331),人給データ!$C$2:$C$700)=0,"",LOOKUP(2,1/(人給データ!$B$2:$B$700=$A331),人給データ!$C$2:$C$700)),""))</f>
        <v/>
      </c>
      <c r="C331">
        <f>IF($A331="","",IFERROR(IF(LOOKUP(2,1/(人給データ!$B$2:$B$700=$A331),人給データ!$G$2:$G$700)=0,"",LOOKUP(2,1/(人給データ!$B$2:$B$700=$A331),人給データ!$G$2:$G$700)),""))</f>
        <v/>
      </c>
      <c r="D331">
        <f>IF($A331="","",IFERROR(IF(LOOKUP(2,1/(人給データ!$B$2:$B$700=$A331),人給データ!$Y$2:$Y$700)=0,"",LOOKUP(2,1/(人給データ!$B$2:$B$700=$A331),人給データ!$Y$2:$Y$700)),""))</f>
        <v/>
      </c>
      <c r="E331" s="20">
        <f>IF($A331="","",IFERROR(IF(LOOKUP(2,1/(人給データ!$B$2:$B$700=$A331),人給データ!$AB$2:$AB$700)=0,"",LOOKUP(2,1/(人給データ!$B$2:$B$700=$A331),人給データ!$AB$2:$AB$700)),""))</f>
        <v/>
      </c>
      <c r="F331" s="16">
        <f>IF(OR(E331="",NOT(ISNUMBER(E331))),"",DATE(YEAR(E331)+2,MONTH(E331),DAY(E331)-2))</f>
        <v/>
      </c>
      <c r="G331" s="20">
        <f>IF($A331="","",IFERROR(IF(LOOKUP(2,1/(人給データ!$B$2:$B$700=$A331),人給データ!$J$2:$J$700)=0,"",LOOKUP(2,1/(人給データ!$B$2:$B$700=$A331),人給データ!$J$2:$J$700)),""))</f>
        <v/>
      </c>
      <c r="H331" s="20">
        <f>IF($A331="","",IFERROR(IF(LOOKUP(2,1/(人給データ!$B$2:$B$700=$A331),人給データ!$K$2:$K$700)=0,"",LOOKUP(2,1/(人給データ!$B$2:$B$700=$A331),人給データ!$K$2:$K$700)),""))</f>
        <v/>
      </c>
      <c r="I331" s="12" t="n"/>
      <c r="J331">
        <f>IF($A331="","",IFERROR(IF(LOOKUP(2,1/(人給データ!$B$2:$B$700=$A331),人給データ!$N$2:$N$700)=0,"",LOOKUP(2,1/(人給データ!$B$2:$B$700=$A331),人給データ!$N$2:$N$700)),""))</f>
        <v/>
      </c>
      <c r="K331" s="13" t="n"/>
      <c r="L331" s="12" t="n"/>
      <c r="M331" s="12" t="n"/>
      <c r="N331" s="11" t="n"/>
      <c r="O331" s="11" t="n"/>
      <c r="P331" s="14">
        <f>IF(AND(M331&lt;&gt;"",O331=""),"保留中","")</f>
        <v/>
      </c>
      <c r="Q331" s="14">
        <f>IF(P331="保留中",COUNTIF(P$6:P331,"保留中"),"")</f>
        <v/>
      </c>
    </row>
    <row r="332">
      <c r="A332" s="12" t="n"/>
      <c r="B332">
        <f>IF($A332="","",IFERROR(IF(LOOKUP(2,1/(人給データ!$B$2:$B$700=$A332),人給データ!$C$2:$C$700)=0,"",LOOKUP(2,1/(人給データ!$B$2:$B$700=$A332),人給データ!$C$2:$C$700)),""))</f>
        <v/>
      </c>
      <c r="C332">
        <f>IF($A332="","",IFERROR(IF(LOOKUP(2,1/(人給データ!$B$2:$B$700=$A332),人給データ!$G$2:$G$700)=0,"",LOOKUP(2,1/(人給データ!$B$2:$B$700=$A332),人給データ!$G$2:$G$700)),""))</f>
        <v/>
      </c>
      <c r="D332">
        <f>IF($A332="","",IFERROR(IF(LOOKUP(2,1/(人給データ!$B$2:$B$700=$A332),人給データ!$Y$2:$Y$700)=0,"",LOOKUP(2,1/(人給データ!$B$2:$B$700=$A332),人給データ!$Y$2:$Y$700)),""))</f>
        <v/>
      </c>
      <c r="E332" s="20">
        <f>IF($A332="","",IFERROR(IF(LOOKUP(2,1/(人給データ!$B$2:$B$700=$A332),人給データ!$AB$2:$AB$700)=0,"",LOOKUP(2,1/(人給データ!$B$2:$B$700=$A332),人給データ!$AB$2:$AB$700)),""))</f>
        <v/>
      </c>
      <c r="F332" s="16">
        <f>IF(OR(E332="",NOT(ISNUMBER(E332))),"",DATE(YEAR(E332)+2,MONTH(E332),DAY(E332)-2))</f>
        <v/>
      </c>
      <c r="G332" s="20">
        <f>IF($A332="","",IFERROR(IF(LOOKUP(2,1/(人給データ!$B$2:$B$700=$A332),人給データ!$J$2:$J$700)=0,"",LOOKUP(2,1/(人給データ!$B$2:$B$700=$A332),人給データ!$J$2:$J$700)),""))</f>
        <v/>
      </c>
      <c r="H332" s="20">
        <f>IF($A332="","",IFERROR(IF(LOOKUP(2,1/(人給データ!$B$2:$B$700=$A332),人給データ!$K$2:$K$700)=0,"",LOOKUP(2,1/(人給データ!$B$2:$B$700=$A332),人給データ!$K$2:$K$700)),""))</f>
        <v/>
      </c>
      <c r="I332" s="12" t="n"/>
      <c r="J332">
        <f>IF($A332="","",IFERROR(IF(LOOKUP(2,1/(人給データ!$B$2:$B$700=$A332),人給データ!$N$2:$N$700)=0,"",LOOKUP(2,1/(人給データ!$B$2:$B$700=$A332),人給データ!$N$2:$N$700)),""))</f>
        <v/>
      </c>
      <c r="K332" s="13" t="n"/>
      <c r="L332" s="12" t="n"/>
      <c r="M332" s="12" t="n"/>
      <c r="N332" s="11" t="n"/>
      <c r="O332" s="11" t="n"/>
      <c r="P332" s="14">
        <f>IF(AND(M332&lt;&gt;"",O332=""),"保留中","")</f>
        <v/>
      </c>
      <c r="Q332" s="14">
        <f>IF(P332="保留中",COUNTIF(P$6:P332,"保留中"),"")</f>
        <v/>
      </c>
    </row>
    <row r="333">
      <c r="A333" s="12" t="n"/>
      <c r="B333">
        <f>IF($A333="","",IFERROR(IF(LOOKUP(2,1/(人給データ!$B$2:$B$700=$A333),人給データ!$C$2:$C$700)=0,"",LOOKUP(2,1/(人給データ!$B$2:$B$700=$A333),人給データ!$C$2:$C$700)),""))</f>
        <v/>
      </c>
      <c r="C333">
        <f>IF($A333="","",IFERROR(IF(LOOKUP(2,1/(人給データ!$B$2:$B$700=$A333),人給データ!$G$2:$G$700)=0,"",LOOKUP(2,1/(人給データ!$B$2:$B$700=$A333),人給データ!$G$2:$G$700)),""))</f>
        <v/>
      </c>
      <c r="D333">
        <f>IF($A333="","",IFERROR(IF(LOOKUP(2,1/(人給データ!$B$2:$B$700=$A333),人給データ!$Y$2:$Y$700)=0,"",LOOKUP(2,1/(人給データ!$B$2:$B$700=$A333),人給データ!$Y$2:$Y$700)),""))</f>
        <v/>
      </c>
      <c r="E333" s="20">
        <f>IF($A333="","",IFERROR(IF(LOOKUP(2,1/(人給データ!$B$2:$B$700=$A333),人給データ!$AB$2:$AB$700)=0,"",LOOKUP(2,1/(人給データ!$B$2:$B$700=$A333),人給データ!$AB$2:$AB$700)),""))</f>
        <v/>
      </c>
      <c r="F333" s="16">
        <f>IF(OR(E333="",NOT(ISNUMBER(E333))),"",DATE(YEAR(E333)+2,MONTH(E333),DAY(E333)-2))</f>
        <v/>
      </c>
      <c r="G333" s="20">
        <f>IF($A333="","",IFERROR(IF(LOOKUP(2,1/(人給データ!$B$2:$B$700=$A333),人給データ!$J$2:$J$700)=0,"",LOOKUP(2,1/(人給データ!$B$2:$B$700=$A333),人給データ!$J$2:$J$700)),""))</f>
        <v/>
      </c>
      <c r="H333" s="20">
        <f>IF($A333="","",IFERROR(IF(LOOKUP(2,1/(人給データ!$B$2:$B$700=$A333),人給データ!$K$2:$K$700)=0,"",LOOKUP(2,1/(人給データ!$B$2:$B$700=$A333),人給データ!$K$2:$K$700)),""))</f>
        <v/>
      </c>
      <c r="I333" s="12" t="n"/>
      <c r="J333">
        <f>IF($A333="","",IFERROR(IF(LOOKUP(2,1/(人給データ!$B$2:$B$700=$A333),人給データ!$N$2:$N$700)=0,"",LOOKUP(2,1/(人給データ!$B$2:$B$700=$A333),人給データ!$N$2:$N$700)),""))</f>
        <v/>
      </c>
      <c r="K333" s="13" t="n"/>
      <c r="L333" s="12" t="n"/>
      <c r="M333" s="12" t="n"/>
      <c r="N333" s="11" t="n"/>
      <c r="O333" s="11" t="n"/>
      <c r="P333" s="14">
        <f>IF(AND(M333&lt;&gt;"",O333=""),"保留中","")</f>
        <v/>
      </c>
      <c r="Q333" s="14">
        <f>IF(P333="保留中",COUNTIF(P$6:P333,"保留中"),"")</f>
        <v/>
      </c>
    </row>
    <row r="334">
      <c r="A334" s="12" t="n"/>
      <c r="B334">
        <f>IF($A334="","",IFERROR(IF(LOOKUP(2,1/(人給データ!$B$2:$B$700=$A334),人給データ!$C$2:$C$700)=0,"",LOOKUP(2,1/(人給データ!$B$2:$B$700=$A334),人給データ!$C$2:$C$700)),""))</f>
        <v/>
      </c>
      <c r="C334">
        <f>IF($A334="","",IFERROR(IF(LOOKUP(2,1/(人給データ!$B$2:$B$700=$A334),人給データ!$G$2:$G$700)=0,"",LOOKUP(2,1/(人給データ!$B$2:$B$700=$A334),人給データ!$G$2:$G$700)),""))</f>
        <v/>
      </c>
      <c r="D334">
        <f>IF($A334="","",IFERROR(IF(LOOKUP(2,1/(人給データ!$B$2:$B$700=$A334),人給データ!$Y$2:$Y$700)=0,"",LOOKUP(2,1/(人給データ!$B$2:$B$700=$A334),人給データ!$Y$2:$Y$700)),""))</f>
        <v/>
      </c>
      <c r="E334" s="20">
        <f>IF($A334="","",IFERROR(IF(LOOKUP(2,1/(人給データ!$B$2:$B$700=$A334),人給データ!$AB$2:$AB$700)=0,"",LOOKUP(2,1/(人給データ!$B$2:$B$700=$A334),人給データ!$AB$2:$AB$700)),""))</f>
        <v/>
      </c>
      <c r="F334" s="16">
        <f>IF(OR(E334="",NOT(ISNUMBER(E334))),"",DATE(YEAR(E334)+2,MONTH(E334),DAY(E334)-2))</f>
        <v/>
      </c>
      <c r="G334" s="20">
        <f>IF($A334="","",IFERROR(IF(LOOKUP(2,1/(人給データ!$B$2:$B$700=$A334),人給データ!$J$2:$J$700)=0,"",LOOKUP(2,1/(人給データ!$B$2:$B$700=$A334),人給データ!$J$2:$J$700)),""))</f>
        <v/>
      </c>
      <c r="H334" s="20">
        <f>IF($A334="","",IFERROR(IF(LOOKUP(2,1/(人給データ!$B$2:$B$700=$A334),人給データ!$K$2:$K$700)=0,"",LOOKUP(2,1/(人給データ!$B$2:$B$700=$A334),人給データ!$K$2:$K$700)),""))</f>
        <v/>
      </c>
      <c r="I334" s="12" t="n"/>
      <c r="J334">
        <f>IF($A334="","",IFERROR(IF(LOOKUP(2,1/(人給データ!$B$2:$B$700=$A334),人給データ!$N$2:$N$700)=0,"",LOOKUP(2,1/(人給データ!$B$2:$B$700=$A334),人給データ!$N$2:$N$700)),""))</f>
        <v/>
      </c>
      <c r="K334" s="13" t="n"/>
      <c r="L334" s="12" t="n"/>
      <c r="M334" s="12" t="n"/>
      <c r="N334" s="11" t="n"/>
      <c r="O334" s="11" t="n"/>
      <c r="P334" s="14">
        <f>IF(AND(M334&lt;&gt;"",O334=""),"保留中","")</f>
        <v/>
      </c>
      <c r="Q334" s="14">
        <f>IF(P334="保留中",COUNTIF(P$6:P334,"保留中"),"")</f>
        <v/>
      </c>
    </row>
    <row r="335">
      <c r="A335" s="12" t="n"/>
      <c r="B335">
        <f>IF($A335="","",IFERROR(IF(LOOKUP(2,1/(人給データ!$B$2:$B$700=$A335),人給データ!$C$2:$C$700)=0,"",LOOKUP(2,1/(人給データ!$B$2:$B$700=$A335),人給データ!$C$2:$C$700)),""))</f>
        <v/>
      </c>
      <c r="C335">
        <f>IF($A335="","",IFERROR(IF(LOOKUP(2,1/(人給データ!$B$2:$B$700=$A335),人給データ!$G$2:$G$700)=0,"",LOOKUP(2,1/(人給データ!$B$2:$B$700=$A335),人給データ!$G$2:$G$700)),""))</f>
        <v/>
      </c>
      <c r="D335">
        <f>IF($A335="","",IFERROR(IF(LOOKUP(2,1/(人給データ!$B$2:$B$700=$A335),人給データ!$Y$2:$Y$700)=0,"",LOOKUP(2,1/(人給データ!$B$2:$B$700=$A335),人給データ!$Y$2:$Y$700)),""))</f>
        <v/>
      </c>
      <c r="E335" s="20">
        <f>IF($A335="","",IFERROR(IF(LOOKUP(2,1/(人給データ!$B$2:$B$700=$A335),人給データ!$AB$2:$AB$700)=0,"",LOOKUP(2,1/(人給データ!$B$2:$B$700=$A335),人給データ!$AB$2:$AB$700)),""))</f>
        <v/>
      </c>
      <c r="F335" s="16">
        <f>IF(OR(E335="",NOT(ISNUMBER(E335))),"",DATE(YEAR(E335)+2,MONTH(E335),DAY(E335)-2))</f>
        <v/>
      </c>
      <c r="G335" s="20">
        <f>IF($A335="","",IFERROR(IF(LOOKUP(2,1/(人給データ!$B$2:$B$700=$A335),人給データ!$J$2:$J$700)=0,"",LOOKUP(2,1/(人給データ!$B$2:$B$700=$A335),人給データ!$J$2:$J$700)),""))</f>
        <v/>
      </c>
      <c r="H335" s="20">
        <f>IF($A335="","",IFERROR(IF(LOOKUP(2,1/(人給データ!$B$2:$B$700=$A335),人給データ!$K$2:$K$700)=0,"",LOOKUP(2,1/(人給データ!$B$2:$B$700=$A335),人給データ!$K$2:$K$700)),""))</f>
        <v/>
      </c>
      <c r="I335" s="12" t="n"/>
      <c r="J335">
        <f>IF($A335="","",IFERROR(IF(LOOKUP(2,1/(人給データ!$B$2:$B$700=$A335),人給データ!$N$2:$N$700)=0,"",LOOKUP(2,1/(人給データ!$B$2:$B$700=$A335),人給データ!$N$2:$N$700)),""))</f>
        <v/>
      </c>
      <c r="K335" s="13" t="n"/>
      <c r="L335" s="12" t="n"/>
      <c r="M335" s="12" t="n"/>
      <c r="N335" s="11" t="n"/>
      <c r="O335" s="11" t="n"/>
      <c r="P335" s="14">
        <f>IF(AND(M335&lt;&gt;"",O335=""),"保留中","")</f>
        <v/>
      </c>
      <c r="Q335" s="14">
        <f>IF(P335="保留中",COUNTIF(P$6:P335,"保留中"),"")</f>
        <v/>
      </c>
    </row>
    <row r="336">
      <c r="A336" s="12" t="n"/>
      <c r="B336">
        <f>IF($A336="","",IFERROR(IF(LOOKUP(2,1/(人給データ!$B$2:$B$700=$A336),人給データ!$C$2:$C$700)=0,"",LOOKUP(2,1/(人給データ!$B$2:$B$700=$A336),人給データ!$C$2:$C$700)),""))</f>
        <v/>
      </c>
      <c r="C336">
        <f>IF($A336="","",IFERROR(IF(LOOKUP(2,1/(人給データ!$B$2:$B$700=$A336),人給データ!$G$2:$G$700)=0,"",LOOKUP(2,1/(人給データ!$B$2:$B$700=$A336),人給データ!$G$2:$G$700)),""))</f>
        <v/>
      </c>
      <c r="D336">
        <f>IF($A336="","",IFERROR(IF(LOOKUP(2,1/(人給データ!$B$2:$B$700=$A336),人給データ!$Y$2:$Y$700)=0,"",LOOKUP(2,1/(人給データ!$B$2:$B$700=$A336),人給データ!$Y$2:$Y$700)),""))</f>
        <v/>
      </c>
      <c r="E336" s="20">
        <f>IF($A336="","",IFERROR(IF(LOOKUP(2,1/(人給データ!$B$2:$B$700=$A336),人給データ!$AB$2:$AB$700)=0,"",LOOKUP(2,1/(人給データ!$B$2:$B$700=$A336),人給データ!$AB$2:$AB$700)),""))</f>
        <v/>
      </c>
      <c r="F336" s="16">
        <f>IF(OR(E336="",NOT(ISNUMBER(E336))),"",DATE(YEAR(E336)+2,MONTH(E336),DAY(E336)-2))</f>
        <v/>
      </c>
      <c r="G336" s="20">
        <f>IF($A336="","",IFERROR(IF(LOOKUP(2,1/(人給データ!$B$2:$B$700=$A336),人給データ!$J$2:$J$700)=0,"",LOOKUP(2,1/(人給データ!$B$2:$B$700=$A336),人給データ!$J$2:$J$700)),""))</f>
        <v/>
      </c>
      <c r="H336" s="20">
        <f>IF($A336="","",IFERROR(IF(LOOKUP(2,1/(人給データ!$B$2:$B$700=$A336),人給データ!$K$2:$K$700)=0,"",LOOKUP(2,1/(人給データ!$B$2:$B$700=$A336),人給データ!$K$2:$K$700)),""))</f>
        <v/>
      </c>
      <c r="I336" s="12" t="n"/>
      <c r="J336">
        <f>IF($A336="","",IFERROR(IF(LOOKUP(2,1/(人給データ!$B$2:$B$700=$A336),人給データ!$N$2:$N$700)=0,"",LOOKUP(2,1/(人給データ!$B$2:$B$700=$A336),人給データ!$N$2:$N$700)),""))</f>
        <v/>
      </c>
      <c r="K336" s="13" t="n"/>
      <c r="L336" s="12" t="n"/>
      <c r="M336" s="12" t="n"/>
      <c r="N336" s="11" t="n"/>
      <c r="O336" s="11" t="n"/>
      <c r="P336" s="14">
        <f>IF(AND(M336&lt;&gt;"",O336=""),"保留中","")</f>
        <v/>
      </c>
      <c r="Q336" s="14">
        <f>IF(P336="保留中",COUNTIF(P$6:P336,"保留中"),"")</f>
        <v/>
      </c>
    </row>
    <row r="337">
      <c r="A337" s="12" t="n"/>
      <c r="B337">
        <f>IF($A337="","",IFERROR(IF(LOOKUP(2,1/(人給データ!$B$2:$B$700=$A337),人給データ!$C$2:$C$700)=0,"",LOOKUP(2,1/(人給データ!$B$2:$B$700=$A337),人給データ!$C$2:$C$700)),""))</f>
        <v/>
      </c>
      <c r="C337">
        <f>IF($A337="","",IFERROR(IF(LOOKUP(2,1/(人給データ!$B$2:$B$700=$A337),人給データ!$G$2:$G$700)=0,"",LOOKUP(2,1/(人給データ!$B$2:$B$700=$A337),人給データ!$G$2:$G$700)),""))</f>
        <v/>
      </c>
      <c r="D337">
        <f>IF($A337="","",IFERROR(IF(LOOKUP(2,1/(人給データ!$B$2:$B$700=$A337),人給データ!$Y$2:$Y$700)=0,"",LOOKUP(2,1/(人給データ!$B$2:$B$700=$A337),人給データ!$Y$2:$Y$700)),""))</f>
        <v/>
      </c>
      <c r="E337" s="20">
        <f>IF($A337="","",IFERROR(IF(LOOKUP(2,1/(人給データ!$B$2:$B$700=$A337),人給データ!$AB$2:$AB$700)=0,"",LOOKUP(2,1/(人給データ!$B$2:$B$700=$A337),人給データ!$AB$2:$AB$700)),""))</f>
        <v/>
      </c>
      <c r="F337" s="16">
        <f>IF(OR(E337="",NOT(ISNUMBER(E337))),"",DATE(YEAR(E337)+2,MONTH(E337),DAY(E337)-2))</f>
        <v/>
      </c>
      <c r="G337" s="20">
        <f>IF($A337="","",IFERROR(IF(LOOKUP(2,1/(人給データ!$B$2:$B$700=$A337),人給データ!$J$2:$J$700)=0,"",LOOKUP(2,1/(人給データ!$B$2:$B$700=$A337),人給データ!$J$2:$J$700)),""))</f>
        <v/>
      </c>
      <c r="H337" s="20">
        <f>IF($A337="","",IFERROR(IF(LOOKUP(2,1/(人給データ!$B$2:$B$700=$A337),人給データ!$K$2:$K$700)=0,"",LOOKUP(2,1/(人給データ!$B$2:$B$700=$A337),人給データ!$K$2:$K$700)),""))</f>
        <v/>
      </c>
      <c r="I337" s="12" t="n"/>
      <c r="J337">
        <f>IF($A337="","",IFERROR(IF(LOOKUP(2,1/(人給データ!$B$2:$B$700=$A337),人給データ!$N$2:$N$700)=0,"",LOOKUP(2,1/(人給データ!$B$2:$B$700=$A337),人給データ!$N$2:$N$700)),""))</f>
        <v/>
      </c>
      <c r="K337" s="13" t="n"/>
      <c r="L337" s="12" t="n"/>
      <c r="M337" s="12" t="n"/>
      <c r="N337" s="11" t="n"/>
      <c r="O337" s="11" t="n"/>
      <c r="P337" s="14">
        <f>IF(AND(M337&lt;&gt;"",O337=""),"保留中","")</f>
        <v/>
      </c>
      <c r="Q337" s="14">
        <f>IF(P337="保留中",COUNTIF(P$6:P337,"保留中"),"")</f>
        <v/>
      </c>
    </row>
    <row r="338">
      <c r="A338" s="12" t="n"/>
      <c r="B338">
        <f>IF($A338="","",IFERROR(IF(LOOKUP(2,1/(人給データ!$B$2:$B$700=$A338),人給データ!$C$2:$C$700)=0,"",LOOKUP(2,1/(人給データ!$B$2:$B$700=$A338),人給データ!$C$2:$C$700)),""))</f>
        <v/>
      </c>
      <c r="C338">
        <f>IF($A338="","",IFERROR(IF(LOOKUP(2,1/(人給データ!$B$2:$B$700=$A338),人給データ!$G$2:$G$700)=0,"",LOOKUP(2,1/(人給データ!$B$2:$B$700=$A338),人給データ!$G$2:$G$700)),""))</f>
        <v/>
      </c>
      <c r="D338">
        <f>IF($A338="","",IFERROR(IF(LOOKUP(2,1/(人給データ!$B$2:$B$700=$A338),人給データ!$Y$2:$Y$700)=0,"",LOOKUP(2,1/(人給データ!$B$2:$B$700=$A338),人給データ!$Y$2:$Y$700)),""))</f>
        <v/>
      </c>
      <c r="E338" s="20">
        <f>IF($A338="","",IFERROR(IF(LOOKUP(2,1/(人給データ!$B$2:$B$700=$A338),人給データ!$AB$2:$AB$700)=0,"",LOOKUP(2,1/(人給データ!$B$2:$B$700=$A338),人給データ!$AB$2:$AB$700)),""))</f>
        <v/>
      </c>
      <c r="F338" s="16">
        <f>IF(OR(E338="",NOT(ISNUMBER(E338))),"",DATE(YEAR(E338)+2,MONTH(E338),DAY(E338)-2))</f>
        <v/>
      </c>
      <c r="G338" s="20">
        <f>IF($A338="","",IFERROR(IF(LOOKUP(2,1/(人給データ!$B$2:$B$700=$A338),人給データ!$J$2:$J$700)=0,"",LOOKUP(2,1/(人給データ!$B$2:$B$700=$A338),人給データ!$J$2:$J$700)),""))</f>
        <v/>
      </c>
      <c r="H338" s="20">
        <f>IF($A338="","",IFERROR(IF(LOOKUP(2,1/(人給データ!$B$2:$B$700=$A338),人給データ!$K$2:$K$700)=0,"",LOOKUP(2,1/(人給データ!$B$2:$B$700=$A338),人給データ!$K$2:$K$700)),""))</f>
        <v/>
      </c>
      <c r="I338" s="12" t="n"/>
      <c r="J338">
        <f>IF($A338="","",IFERROR(IF(LOOKUP(2,1/(人給データ!$B$2:$B$700=$A338),人給データ!$N$2:$N$700)=0,"",LOOKUP(2,1/(人給データ!$B$2:$B$700=$A338),人給データ!$N$2:$N$700)),""))</f>
        <v/>
      </c>
      <c r="K338" s="13" t="n"/>
      <c r="L338" s="12" t="n"/>
      <c r="M338" s="12" t="n"/>
      <c r="N338" s="11" t="n"/>
      <c r="O338" s="11" t="n"/>
      <c r="P338" s="14">
        <f>IF(AND(M338&lt;&gt;"",O338=""),"保留中","")</f>
        <v/>
      </c>
      <c r="Q338" s="14">
        <f>IF(P338="保留中",COUNTIF(P$6:P338,"保留中"),"")</f>
        <v/>
      </c>
    </row>
    <row r="339">
      <c r="A339" s="12" t="n"/>
      <c r="B339">
        <f>IF($A339="","",IFERROR(IF(LOOKUP(2,1/(人給データ!$B$2:$B$700=$A339),人給データ!$C$2:$C$700)=0,"",LOOKUP(2,1/(人給データ!$B$2:$B$700=$A339),人給データ!$C$2:$C$700)),""))</f>
        <v/>
      </c>
      <c r="C339">
        <f>IF($A339="","",IFERROR(IF(LOOKUP(2,1/(人給データ!$B$2:$B$700=$A339),人給データ!$G$2:$G$700)=0,"",LOOKUP(2,1/(人給データ!$B$2:$B$700=$A339),人給データ!$G$2:$G$700)),""))</f>
        <v/>
      </c>
      <c r="D339">
        <f>IF($A339="","",IFERROR(IF(LOOKUP(2,1/(人給データ!$B$2:$B$700=$A339),人給データ!$Y$2:$Y$700)=0,"",LOOKUP(2,1/(人給データ!$B$2:$B$700=$A339),人給データ!$Y$2:$Y$700)),""))</f>
        <v/>
      </c>
      <c r="E339" s="20">
        <f>IF($A339="","",IFERROR(IF(LOOKUP(2,1/(人給データ!$B$2:$B$700=$A339),人給データ!$AB$2:$AB$700)=0,"",LOOKUP(2,1/(人給データ!$B$2:$B$700=$A339),人給データ!$AB$2:$AB$700)),""))</f>
        <v/>
      </c>
      <c r="F339" s="16">
        <f>IF(OR(E339="",NOT(ISNUMBER(E339))),"",DATE(YEAR(E339)+2,MONTH(E339),DAY(E339)-2))</f>
        <v/>
      </c>
      <c r="G339" s="20">
        <f>IF($A339="","",IFERROR(IF(LOOKUP(2,1/(人給データ!$B$2:$B$700=$A339),人給データ!$J$2:$J$700)=0,"",LOOKUP(2,1/(人給データ!$B$2:$B$700=$A339),人給データ!$J$2:$J$700)),""))</f>
        <v/>
      </c>
      <c r="H339" s="20">
        <f>IF($A339="","",IFERROR(IF(LOOKUP(2,1/(人給データ!$B$2:$B$700=$A339),人給データ!$K$2:$K$700)=0,"",LOOKUP(2,1/(人給データ!$B$2:$B$700=$A339),人給データ!$K$2:$K$700)),""))</f>
        <v/>
      </c>
      <c r="I339" s="12" t="n"/>
      <c r="J339">
        <f>IF($A339="","",IFERROR(IF(LOOKUP(2,1/(人給データ!$B$2:$B$700=$A339),人給データ!$N$2:$N$700)=0,"",LOOKUP(2,1/(人給データ!$B$2:$B$700=$A339),人給データ!$N$2:$N$700)),""))</f>
        <v/>
      </c>
      <c r="K339" s="13" t="n"/>
      <c r="L339" s="12" t="n"/>
      <c r="M339" s="12" t="n"/>
      <c r="N339" s="11" t="n"/>
      <c r="O339" s="11" t="n"/>
      <c r="P339" s="14">
        <f>IF(AND(M339&lt;&gt;"",O339=""),"保留中","")</f>
        <v/>
      </c>
      <c r="Q339" s="14">
        <f>IF(P339="保留中",COUNTIF(P$6:P339,"保留中"),"")</f>
        <v/>
      </c>
    </row>
    <row r="340">
      <c r="A340" s="12" t="n"/>
      <c r="B340">
        <f>IF($A340="","",IFERROR(IF(LOOKUP(2,1/(人給データ!$B$2:$B$700=$A340),人給データ!$C$2:$C$700)=0,"",LOOKUP(2,1/(人給データ!$B$2:$B$700=$A340),人給データ!$C$2:$C$700)),""))</f>
        <v/>
      </c>
      <c r="C340">
        <f>IF($A340="","",IFERROR(IF(LOOKUP(2,1/(人給データ!$B$2:$B$700=$A340),人給データ!$G$2:$G$700)=0,"",LOOKUP(2,1/(人給データ!$B$2:$B$700=$A340),人給データ!$G$2:$G$700)),""))</f>
        <v/>
      </c>
      <c r="D340">
        <f>IF($A340="","",IFERROR(IF(LOOKUP(2,1/(人給データ!$B$2:$B$700=$A340),人給データ!$Y$2:$Y$700)=0,"",LOOKUP(2,1/(人給データ!$B$2:$B$700=$A340),人給データ!$Y$2:$Y$700)),""))</f>
        <v/>
      </c>
      <c r="E340" s="20">
        <f>IF($A340="","",IFERROR(IF(LOOKUP(2,1/(人給データ!$B$2:$B$700=$A340),人給データ!$AB$2:$AB$700)=0,"",LOOKUP(2,1/(人給データ!$B$2:$B$700=$A340),人給データ!$AB$2:$AB$700)),""))</f>
        <v/>
      </c>
      <c r="F340" s="16">
        <f>IF(OR(E340="",NOT(ISNUMBER(E340))),"",DATE(YEAR(E340)+2,MONTH(E340),DAY(E340)-2))</f>
        <v/>
      </c>
      <c r="G340" s="20">
        <f>IF($A340="","",IFERROR(IF(LOOKUP(2,1/(人給データ!$B$2:$B$700=$A340),人給データ!$J$2:$J$700)=0,"",LOOKUP(2,1/(人給データ!$B$2:$B$700=$A340),人給データ!$J$2:$J$700)),""))</f>
        <v/>
      </c>
      <c r="H340" s="20">
        <f>IF($A340="","",IFERROR(IF(LOOKUP(2,1/(人給データ!$B$2:$B$700=$A340),人給データ!$K$2:$K$700)=0,"",LOOKUP(2,1/(人給データ!$B$2:$B$700=$A340),人給データ!$K$2:$K$700)),""))</f>
        <v/>
      </c>
      <c r="I340" s="12" t="n"/>
      <c r="J340">
        <f>IF($A340="","",IFERROR(IF(LOOKUP(2,1/(人給データ!$B$2:$B$700=$A340),人給データ!$N$2:$N$700)=0,"",LOOKUP(2,1/(人給データ!$B$2:$B$700=$A340),人給データ!$N$2:$N$700)),""))</f>
        <v/>
      </c>
      <c r="K340" s="13" t="n"/>
      <c r="L340" s="12" t="n"/>
      <c r="M340" s="12" t="n"/>
      <c r="N340" s="11" t="n"/>
      <c r="O340" s="11" t="n"/>
      <c r="P340" s="14">
        <f>IF(AND(M340&lt;&gt;"",O340=""),"保留中","")</f>
        <v/>
      </c>
      <c r="Q340" s="14">
        <f>IF(P340="保留中",COUNTIF(P$6:P340,"保留中"),"")</f>
        <v/>
      </c>
    </row>
    <row r="341">
      <c r="A341" s="12" t="n"/>
      <c r="B341">
        <f>IF($A341="","",IFERROR(IF(LOOKUP(2,1/(人給データ!$B$2:$B$700=$A341),人給データ!$C$2:$C$700)=0,"",LOOKUP(2,1/(人給データ!$B$2:$B$700=$A341),人給データ!$C$2:$C$700)),""))</f>
        <v/>
      </c>
      <c r="C341">
        <f>IF($A341="","",IFERROR(IF(LOOKUP(2,1/(人給データ!$B$2:$B$700=$A341),人給データ!$G$2:$G$700)=0,"",LOOKUP(2,1/(人給データ!$B$2:$B$700=$A341),人給データ!$G$2:$G$700)),""))</f>
        <v/>
      </c>
      <c r="D341">
        <f>IF($A341="","",IFERROR(IF(LOOKUP(2,1/(人給データ!$B$2:$B$700=$A341),人給データ!$Y$2:$Y$700)=0,"",LOOKUP(2,1/(人給データ!$B$2:$B$700=$A341),人給データ!$Y$2:$Y$700)),""))</f>
        <v/>
      </c>
      <c r="E341" s="20">
        <f>IF($A341="","",IFERROR(IF(LOOKUP(2,1/(人給データ!$B$2:$B$700=$A341),人給データ!$AB$2:$AB$700)=0,"",LOOKUP(2,1/(人給データ!$B$2:$B$700=$A341),人給データ!$AB$2:$AB$700)),""))</f>
        <v/>
      </c>
      <c r="F341" s="16">
        <f>IF(OR(E341="",NOT(ISNUMBER(E341))),"",DATE(YEAR(E341)+2,MONTH(E341),DAY(E341)-2))</f>
        <v/>
      </c>
      <c r="G341" s="20">
        <f>IF($A341="","",IFERROR(IF(LOOKUP(2,1/(人給データ!$B$2:$B$700=$A341),人給データ!$J$2:$J$700)=0,"",LOOKUP(2,1/(人給データ!$B$2:$B$700=$A341),人給データ!$J$2:$J$700)),""))</f>
        <v/>
      </c>
      <c r="H341" s="20">
        <f>IF($A341="","",IFERROR(IF(LOOKUP(2,1/(人給データ!$B$2:$B$700=$A341),人給データ!$K$2:$K$700)=0,"",LOOKUP(2,1/(人給データ!$B$2:$B$700=$A341),人給データ!$K$2:$K$700)),""))</f>
        <v/>
      </c>
      <c r="I341" s="12" t="n"/>
      <c r="J341">
        <f>IF($A341="","",IFERROR(IF(LOOKUP(2,1/(人給データ!$B$2:$B$700=$A341),人給データ!$N$2:$N$700)=0,"",LOOKUP(2,1/(人給データ!$B$2:$B$700=$A341),人給データ!$N$2:$N$700)),""))</f>
        <v/>
      </c>
      <c r="K341" s="13" t="n"/>
      <c r="L341" s="12" t="n"/>
      <c r="M341" s="12" t="n"/>
      <c r="N341" s="11" t="n"/>
      <c r="O341" s="11" t="n"/>
      <c r="P341" s="14">
        <f>IF(AND(M341&lt;&gt;"",O341=""),"保留中","")</f>
        <v/>
      </c>
      <c r="Q341" s="14">
        <f>IF(P341="保留中",COUNTIF(P$6:P341,"保留中"),"")</f>
        <v/>
      </c>
    </row>
    <row r="342">
      <c r="A342" s="12" t="n"/>
      <c r="B342">
        <f>IF($A342="","",IFERROR(IF(LOOKUP(2,1/(人給データ!$B$2:$B$700=$A342),人給データ!$C$2:$C$700)=0,"",LOOKUP(2,1/(人給データ!$B$2:$B$700=$A342),人給データ!$C$2:$C$700)),""))</f>
        <v/>
      </c>
      <c r="C342">
        <f>IF($A342="","",IFERROR(IF(LOOKUP(2,1/(人給データ!$B$2:$B$700=$A342),人給データ!$G$2:$G$700)=0,"",LOOKUP(2,1/(人給データ!$B$2:$B$700=$A342),人給データ!$G$2:$G$700)),""))</f>
        <v/>
      </c>
      <c r="D342">
        <f>IF($A342="","",IFERROR(IF(LOOKUP(2,1/(人給データ!$B$2:$B$700=$A342),人給データ!$Y$2:$Y$700)=0,"",LOOKUP(2,1/(人給データ!$B$2:$B$700=$A342),人給データ!$Y$2:$Y$700)),""))</f>
        <v/>
      </c>
      <c r="E342" s="20">
        <f>IF($A342="","",IFERROR(IF(LOOKUP(2,1/(人給データ!$B$2:$B$700=$A342),人給データ!$AB$2:$AB$700)=0,"",LOOKUP(2,1/(人給データ!$B$2:$B$700=$A342),人給データ!$AB$2:$AB$700)),""))</f>
        <v/>
      </c>
      <c r="F342" s="16">
        <f>IF(OR(E342="",NOT(ISNUMBER(E342))),"",DATE(YEAR(E342)+2,MONTH(E342),DAY(E342)-2))</f>
        <v/>
      </c>
      <c r="G342" s="20">
        <f>IF($A342="","",IFERROR(IF(LOOKUP(2,1/(人給データ!$B$2:$B$700=$A342),人給データ!$J$2:$J$700)=0,"",LOOKUP(2,1/(人給データ!$B$2:$B$700=$A342),人給データ!$J$2:$J$700)),""))</f>
        <v/>
      </c>
      <c r="H342" s="20">
        <f>IF($A342="","",IFERROR(IF(LOOKUP(2,1/(人給データ!$B$2:$B$700=$A342),人給データ!$K$2:$K$700)=0,"",LOOKUP(2,1/(人給データ!$B$2:$B$700=$A342),人給データ!$K$2:$K$700)),""))</f>
        <v/>
      </c>
      <c r="I342" s="12" t="n"/>
      <c r="J342">
        <f>IF($A342="","",IFERROR(IF(LOOKUP(2,1/(人給データ!$B$2:$B$700=$A342),人給データ!$N$2:$N$700)=0,"",LOOKUP(2,1/(人給データ!$B$2:$B$700=$A342),人給データ!$N$2:$N$700)),""))</f>
        <v/>
      </c>
      <c r="K342" s="13" t="n"/>
      <c r="L342" s="12" t="n"/>
      <c r="M342" s="12" t="n"/>
      <c r="N342" s="11" t="n"/>
      <c r="O342" s="11" t="n"/>
      <c r="P342" s="14">
        <f>IF(AND(M342&lt;&gt;"",O342=""),"保留中","")</f>
        <v/>
      </c>
      <c r="Q342" s="14">
        <f>IF(P342="保留中",COUNTIF(P$6:P342,"保留中"),"")</f>
        <v/>
      </c>
    </row>
    <row r="343">
      <c r="A343" s="12" t="n"/>
      <c r="B343">
        <f>IF($A343="","",IFERROR(IF(LOOKUP(2,1/(人給データ!$B$2:$B$700=$A343),人給データ!$C$2:$C$700)=0,"",LOOKUP(2,1/(人給データ!$B$2:$B$700=$A343),人給データ!$C$2:$C$700)),""))</f>
        <v/>
      </c>
      <c r="C343">
        <f>IF($A343="","",IFERROR(IF(LOOKUP(2,1/(人給データ!$B$2:$B$700=$A343),人給データ!$G$2:$G$700)=0,"",LOOKUP(2,1/(人給データ!$B$2:$B$700=$A343),人給データ!$G$2:$G$700)),""))</f>
        <v/>
      </c>
      <c r="D343">
        <f>IF($A343="","",IFERROR(IF(LOOKUP(2,1/(人給データ!$B$2:$B$700=$A343),人給データ!$Y$2:$Y$700)=0,"",LOOKUP(2,1/(人給データ!$B$2:$B$700=$A343),人給データ!$Y$2:$Y$700)),""))</f>
        <v/>
      </c>
      <c r="E343" s="20">
        <f>IF($A343="","",IFERROR(IF(LOOKUP(2,1/(人給データ!$B$2:$B$700=$A343),人給データ!$AB$2:$AB$700)=0,"",LOOKUP(2,1/(人給データ!$B$2:$B$700=$A343),人給データ!$AB$2:$AB$700)),""))</f>
        <v/>
      </c>
      <c r="F343" s="16">
        <f>IF(OR(E343="",NOT(ISNUMBER(E343))),"",DATE(YEAR(E343)+2,MONTH(E343),DAY(E343)-2))</f>
        <v/>
      </c>
      <c r="G343" s="20">
        <f>IF($A343="","",IFERROR(IF(LOOKUP(2,1/(人給データ!$B$2:$B$700=$A343),人給データ!$J$2:$J$700)=0,"",LOOKUP(2,1/(人給データ!$B$2:$B$700=$A343),人給データ!$J$2:$J$700)),""))</f>
        <v/>
      </c>
      <c r="H343" s="20">
        <f>IF($A343="","",IFERROR(IF(LOOKUP(2,1/(人給データ!$B$2:$B$700=$A343),人給データ!$K$2:$K$700)=0,"",LOOKUP(2,1/(人給データ!$B$2:$B$700=$A343),人給データ!$K$2:$K$700)),""))</f>
        <v/>
      </c>
      <c r="I343" s="12" t="n"/>
      <c r="J343">
        <f>IF($A343="","",IFERROR(IF(LOOKUP(2,1/(人給データ!$B$2:$B$700=$A343),人給データ!$N$2:$N$700)=0,"",LOOKUP(2,1/(人給データ!$B$2:$B$700=$A343),人給データ!$N$2:$N$700)),""))</f>
        <v/>
      </c>
      <c r="K343" s="13" t="n"/>
      <c r="L343" s="12" t="n"/>
      <c r="M343" s="12" t="n"/>
      <c r="N343" s="11" t="n"/>
      <c r="O343" s="11" t="n"/>
      <c r="P343" s="14">
        <f>IF(AND(M343&lt;&gt;"",O343=""),"保留中","")</f>
        <v/>
      </c>
      <c r="Q343" s="14">
        <f>IF(P343="保留中",COUNTIF(P$6:P343,"保留中"),"")</f>
        <v/>
      </c>
    </row>
    <row r="344">
      <c r="A344" s="12" t="n"/>
      <c r="B344">
        <f>IF($A344="","",IFERROR(IF(LOOKUP(2,1/(人給データ!$B$2:$B$700=$A344),人給データ!$C$2:$C$700)=0,"",LOOKUP(2,1/(人給データ!$B$2:$B$700=$A344),人給データ!$C$2:$C$700)),""))</f>
        <v/>
      </c>
      <c r="C344">
        <f>IF($A344="","",IFERROR(IF(LOOKUP(2,1/(人給データ!$B$2:$B$700=$A344),人給データ!$G$2:$G$700)=0,"",LOOKUP(2,1/(人給データ!$B$2:$B$700=$A344),人給データ!$G$2:$G$700)),""))</f>
        <v/>
      </c>
      <c r="D344">
        <f>IF($A344="","",IFERROR(IF(LOOKUP(2,1/(人給データ!$B$2:$B$700=$A344),人給データ!$Y$2:$Y$700)=0,"",LOOKUP(2,1/(人給データ!$B$2:$B$700=$A344),人給データ!$Y$2:$Y$700)),""))</f>
        <v/>
      </c>
      <c r="E344" s="20">
        <f>IF($A344="","",IFERROR(IF(LOOKUP(2,1/(人給データ!$B$2:$B$700=$A344),人給データ!$AB$2:$AB$700)=0,"",LOOKUP(2,1/(人給データ!$B$2:$B$700=$A344),人給データ!$AB$2:$AB$700)),""))</f>
        <v/>
      </c>
      <c r="F344" s="16">
        <f>IF(OR(E344="",NOT(ISNUMBER(E344))),"",DATE(YEAR(E344)+2,MONTH(E344),DAY(E344)-2))</f>
        <v/>
      </c>
      <c r="G344" s="20">
        <f>IF($A344="","",IFERROR(IF(LOOKUP(2,1/(人給データ!$B$2:$B$700=$A344),人給データ!$J$2:$J$700)=0,"",LOOKUP(2,1/(人給データ!$B$2:$B$700=$A344),人給データ!$J$2:$J$700)),""))</f>
        <v/>
      </c>
      <c r="H344" s="20">
        <f>IF($A344="","",IFERROR(IF(LOOKUP(2,1/(人給データ!$B$2:$B$700=$A344),人給データ!$K$2:$K$700)=0,"",LOOKUP(2,1/(人給データ!$B$2:$B$700=$A344),人給データ!$K$2:$K$700)),""))</f>
        <v/>
      </c>
      <c r="I344" s="12" t="n"/>
      <c r="J344">
        <f>IF($A344="","",IFERROR(IF(LOOKUP(2,1/(人給データ!$B$2:$B$700=$A344),人給データ!$N$2:$N$700)=0,"",LOOKUP(2,1/(人給データ!$B$2:$B$700=$A344),人給データ!$N$2:$N$700)),""))</f>
        <v/>
      </c>
      <c r="K344" s="13" t="n"/>
      <c r="L344" s="12" t="n"/>
      <c r="M344" s="12" t="n"/>
      <c r="N344" s="11" t="n"/>
      <c r="O344" s="11" t="n"/>
      <c r="P344" s="14">
        <f>IF(AND(M344&lt;&gt;"",O344=""),"保留中","")</f>
        <v/>
      </c>
      <c r="Q344" s="14">
        <f>IF(P344="保留中",COUNTIF(P$6:P344,"保留中"),"")</f>
        <v/>
      </c>
    </row>
    <row r="345">
      <c r="A345" s="12" t="n"/>
      <c r="B345">
        <f>IF($A345="","",IFERROR(IF(LOOKUP(2,1/(人給データ!$B$2:$B$700=$A345),人給データ!$C$2:$C$700)=0,"",LOOKUP(2,1/(人給データ!$B$2:$B$700=$A345),人給データ!$C$2:$C$700)),""))</f>
        <v/>
      </c>
      <c r="C345">
        <f>IF($A345="","",IFERROR(IF(LOOKUP(2,1/(人給データ!$B$2:$B$700=$A345),人給データ!$G$2:$G$700)=0,"",LOOKUP(2,1/(人給データ!$B$2:$B$700=$A345),人給データ!$G$2:$G$700)),""))</f>
        <v/>
      </c>
      <c r="D345">
        <f>IF($A345="","",IFERROR(IF(LOOKUP(2,1/(人給データ!$B$2:$B$700=$A345),人給データ!$Y$2:$Y$700)=0,"",LOOKUP(2,1/(人給データ!$B$2:$B$700=$A345),人給データ!$Y$2:$Y$700)),""))</f>
        <v/>
      </c>
      <c r="E345" s="20">
        <f>IF($A345="","",IFERROR(IF(LOOKUP(2,1/(人給データ!$B$2:$B$700=$A345),人給データ!$AB$2:$AB$700)=0,"",LOOKUP(2,1/(人給データ!$B$2:$B$700=$A345),人給データ!$AB$2:$AB$700)),""))</f>
        <v/>
      </c>
      <c r="F345" s="16">
        <f>IF(OR(E345="",NOT(ISNUMBER(E345))),"",DATE(YEAR(E345)+2,MONTH(E345),DAY(E345)-2))</f>
        <v/>
      </c>
      <c r="G345" s="20">
        <f>IF($A345="","",IFERROR(IF(LOOKUP(2,1/(人給データ!$B$2:$B$700=$A345),人給データ!$J$2:$J$700)=0,"",LOOKUP(2,1/(人給データ!$B$2:$B$700=$A345),人給データ!$J$2:$J$700)),""))</f>
        <v/>
      </c>
      <c r="H345" s="20">
        <f>IF($A345="","",IFERROR(IF(LOOKUP(2,1/(人給データ!$B$2:$B$700=$A345),人給データ!$K$2:$K$700)=0,"",LOOKUP(2,1/(人給データ!$B$2:$B$700=$A345),人給データ!$K$2:$K$700)),""))</f>
        <v/>
      </c>
      <c r="I345" s="12" t="n"/>
      <c r="J345">
        <f>IF($A345="","",IFERROR(IF(LOOKUP(2,1/(人給データ!$B$2:$B$700=$A345),人給データ!$N$2:$N$700)=0,"",LOOKUP(2,1/(人給データ!$B$2:$B$700=$A345),人給データ!$N$2:$N$700)),""))</f>
        <v/>
      </c>
      <c r="K345" s="13" t="n"/>
      <c r="L345" s="12" t="n"/>
      <c r="M345" s="12" t="n"/>
      <c r="N345" s="11" t="n"/>
      <c r="O345" s="11" t="n"/>
      <c r="P345" s="14">
        <f>IF(AND(M345&lt;&gt;"",O345=""),"保留中","")</f>
        <v/>
      </c>
      <c r="Q345" s="14">
        <f>IF(P345="保留中",COUNTIF(P$6:P345,"保留中"),"")</f>
        <v/>
      </c>
    </row>
    <row r="346">
      <c r="A346" s="12" t="n"/>
      <c r="B346">
        <f>IF($A346="","",IFERROR(IF(LOOKUP(2,1/(人給データ!$B$2:$B$700=$A346),人給データ!$C$2:$C$700)=0,"",LOOKUP(2,1/(人給データ!$B$2:$B$700=$A346),人給データ!$C$2:$C$700)),""))</f>
        <v/>
      </c>
      <c r="C346">
        <f>IF($A346="","",IFERROR(IF(LOOKUP(2,1/(人給データ!$B$2:$B$700=$A346),人給データ!$G$2:$G$700)=0,"",LOOKUP(2,1/(人給データ!$B$2:$B$700=$A346),人給データ!$G$2:$G$700)),""))</f>
        <v/>
      </c>
      <c r="D346">
        <f>IF($A346="","",IFERROR(IF(LOOKUP(2,1/(人給データ!$B$2:$B$700=$A346),人給データ!$Y$2:$Y$700)=0,"",LOOKUP(2,1/(人給データ!$B$2:$B$700=$A346),人給データ!$Y$2:$Y$700)),""))</f>
        <v/>
      </c>
      <c r="E346" s="20">
        <f>IF($A346="","",IFERROR(IF(LOOKUP(2,1/(人給データ!$B$2:$B$700=$A346),人給データ!$AB$2:$AB$700)=0,"",LOOKUP(2,1/(人給データ!$B$2:$B$700=$A346),人給データ!$AB$2:$AB$700)),""))</f>
        <v/>
      </c>
      <c r="F346" s="16">
        <f>IF(OR(E346="",NOT(ISNUMBER(E346))),"",DATE(YEAR(E346)+2,MONTH(E346),DAY(E346)-2))</f>
        <v/>
      </c>
      <c r="G346" s="20">
        <f>IF($A346="","",IFERROR(IF(LOOKUP(2,1/(人給データ!$B$2:$B$700=$A346),人給データ!$J$2:$J$700)=0,"",LOOKUP(2,1/(人給データ!$B$2:$B$700=$A346),人給データ!$J$2:$J$700)),""))</f>
        <v/>
      </c>
      <c r="H346" s="20">
        <f>IF($A346="","",IFERROR(IF(LOOKUP(2,1/(人給データ!$B$2:$B$700=$A346),人給データ!$K$2:$K$700)=0,"",LOOKUP(2,1/(人給データ!$B$2:$B$700=$A346),人給データ!$K$2:$K$700)),""))</f>
        <v/>
      </c>
      <c r="I346" s="12" t="n"/>
      <c r="J346">
        <f>IF($A346="","",IFERROR(IF(LOOKUP(2,1/(人給データ!$B$2:$B$700=$A346),人給データ!$N$2:$N$700)=0,"",LOOKUP(2,1/(人給データ!$B$2:$B$700=$A346),人給データ!$N$2:$N$700)),""))</f>
        <v/>
      </c>
      <c r="K346" s="13" t="n"/>
      <c r="L346" s="12" t="n"/>
      <c r="M346" s="12" t="n"/>
      <c r="N346" s="11" t="n"/>
      <c r="O346" s="11" t="n"/>
      <c r="P346" s="14">
        <f>IF(AND(M346&lt;&gt;"",O346=""),"保留中","")</f>
        <v/>
      </c>
      <c r="Q346" s="14">
        <f>IF(P346="保留中",COUNTIF(P$6:P346,"保留中"),"")</f>
        <v/>
      </c>
    </row>
    <row r="347">
      <c r="A347" s="12" t="n"/>
      <c r="B347">
        <f>IF($A347="","",IFERROR(IF(LOOKUP(2,1/(人給データ!$B$2:$B$700=$A347),人給データ!$C$2:$C$700)=0,"",LOOKUP(2,1/(人給データ!$B$2:$B$700=$A347),人給データ!$C$2:$C$700)),""))</f>
        <v/>
      </c>
      <c r="C347">
        <f>IF($A347="","",IFERROR(IF(LOOKUP(2,1/(人給データ!$B$2:$B$700=$A347),人給データ!$G$2:$G$700)=0,"",LOOKUP(2,1/(人給データ!$B$2:$B$700=$A347),人給データ!$G$2:$G$700)),""))</f>
        <v/>
      </c>
      <c r="D347">
        <f>IF($A347="","",IFERROR(IF(LOOKUP(2,1/(人給データ!$B$2:$B$700=$A347),人給データ!$Y$2:$Y$700)=0,"",LOOKUP(2,1/(人給データ!$B$2:$B$700=$A347),人給データ!$Y$2:$Y$700)),""))</f>
        <v/>
      </c>
      <c r="E347" s="20">
        <f>IF($A347="","",IFERROR(IF(LOOKUP(2,1/(人給データ!$B$2:$B$700=$A347),人給データ!$AB$2:$AB$700)=0,"",LOOKUP(2,1/(人給データ!$B$2:$B$700=$A347),人給データ!$AB$2:$AB$700)),""))</f>
        <v/>
      </c>
      <c r="F347" s="16">
        <f>IF(OR(E347="",NOT(ISNUMBER(E347))),"",DATE(YEAR(E347)+2,MONTH(E347),DAY(E347)-2))</f>
        <v/>
      </c>
      <c r="G347" s="20">
        <f>IF($A347="","",IFERROR(IF(LOOKUP(2,1/(人給データ!$B$2:$B$700=$A347),人給データ!$J$2:$J$700)=0,"",LOOKUP(2,1/(人給データ!$B$2:$B$700=$A347),人給データ!$J$2:$J$700)),""))</f>
        <v/>
      </c>
      <c r="H347" s="20">
        <f>IF($A347="","",IFERROR(IF(LOOKUP(2,1/(人給データ!$B$2:$B$700=$A347),人給データ!$K$2:$K$700)=0,"",LOOKUP(2,1/(人給データ!$B$2:$B$700=$A347),人給データ!$K$2:$K$700)),""))</f>
        <v/>
      </c>
      <c r="I347" s="12" t="n"/>
      <c r="J347">
        <f>IF($A347="","",IFERROR(IF(LOOKUP(2,1/(人給データ!$B$2:$B$700=$A347),人給データ!$N$2:$N$700)=0,"",LOOKUP(2,1/(人給データ!$B$2:$B$700=$A347),人給データ!$N$2:$N$700)),""))</f>
        <v/>
      </c>
      <c r="K347" s="13" t="n"/>
      <c r="L347" s="12" t="n"/>
      <c r="M347" s="12" t="n"/>
      <c r="N347" s="11" t="n"/>
      <c r="O347" s="11" t="n"/>
      <c r="P347" s="14">
        <f>IF(AND(M347&lt;&gt;"",O347=""),"保留中","")</f>
        <v/>
      </c>
      <c r="Q347" s="14">
        <f>IF(P347="保留中",COUNTIF(P$6:P347,"保留中"),"")</f>
        <v/>
      </c>
    </row>
    <row r="348">
      <c r="A348" s="12" t="n"/>
      <c r="B348">
        <f>IF($A348="","",IFERROR(IF(LOOKUP(2,1/(人給データ!$B$2:$B$700=$A348),人給データ!$C$2:$C$700)=0,"",LOOKUP(2,1/(人給データ!$B$2:$B$700=$A348),人給データ!$C$2:$C$700)),""))</f>
        <v/>
      </c>
      <c r="C348">
        <f>IF($A348="","",IFERROR(IF(LOOKUP(2,1/(人給データ!$B$2:$B$700=$A348),人給データ!$G$2:$G$700)=0,"",LOOKUP(2,1/(人給データ!$B$2:$B$700=$A348),人給データ!$G$2:$G$700)),""))</f>
        <v/>
      </c>
      <c r="D348">
        <f>IF($A348="","",IFERROR(IF(LOOKUP(2,1/(人給データ!$B$2:$B$700=$A348),人給データ!$Y$2:$Y$700)=0,"",LOOKUP(2,1/(人給データ!$B$2:$B$700=$A348),人給データ!$Y$2:$Y$700)),""))</f>
        <v/>
      </c>
      <c r="E348" s="20">
        <f>IF($A348="","",IFERROR(IF(LOOKUP(2,1/(人給データ!$B$2:$B$700=$A348),人給データ!$AB$2:$AB$700)=0,"",LOOKUP(2,1/(人給データ!$B$2:$B$700=$A348),人給データ!$AB$2:$AB$700)),""))</f>
        <v/>
      </c>
      <c r="F348" s="16">
        <f>IF(OR(E348="",NOT(ISNUMBER(E348))),"",DATE(YEAR(E348)+2,MONTH(E348),DAY(E348)-2))</f>
        <v/>
      </c>
      <c r="G348" s="20">
        <f>IF($A348="","",IFERROR(IF(LOOKUP(2,1/(人給データ!$B$2:$B$700=$A348),人給データ!$J$2:$J$700)=0,"",LOOKUP(2,1/(人給データ!$B$2:$B$700=$A348),人給データ!$J$2:$J$700)),""))</f>
        <v/>
      </c>
      <c r="H348" s="20">
        <f>IF($A348="","",IFERROR(IF(LOOKUP(2,1/(人給データ!$B$2:$B$700=$A348),人給データ!$K$2:$K$700)=0,"",LOOKUP(2,1/(人給データ!$B$2:$B$700=$A348),人給データ!$K$2:$K$700)),""))</f>
        <v/>
      </c>
      <c r="I348" s="12" t="n"/>
      <c r="J348">
        <f>IF($A348="","",IFERROR(IF(LOOKUP(2,1/(人給データ!$B$2:$B$700=$A348),人給データ!$N$2:$N$700)=0,"",LOOKUP(2,1/(人給データ!$B$2:$B$700=$A348),人給データ!$N$2:$N$700)),""))</f>
        <v/>
      </c>
      <c r="K348" s="13" t="n"/>
      <c r="L348" s="12" t="n"/>
      <c r="M348" s="12" t="n"/>
      <c r="N348" s="11" t="n"/>
      <c r="O348" s="11" t="n"/>
      <c r="P348" s="14">
        <f>IF(AND(M348&lt;&gt;"",O348=""),"保留中","")</f>
        <v/>
      </c>
      <c r="Q348" s="14">
        <f>IF(P348="保留中",COUNTIF(P$6:P348,"保留中"),"")</f>
        <v/>
      </c>
    </row>
    <row r="349">
      <c r="A349" s="12" t="n"/>
      <c r="B349">
        <f>IF($A349="","",IFERROR(IF(LOOKUP(2,1/(人給データ!$B$2:$B$700=$A349),人給データ!$C$2:$C$700)=0,"",LOOKUP(2,1/(人給データ!$B$2:$B$700=$A349),人給データ!$C$2:$C$700)),""))</f>
        <v/>
      </c>
      <c r="C349">
        <f>IF($A349="","",IFERROR(IF(LOOKUP(2,1/(人給データ!$B$2:$B$700=$A349),人給データ!$G$2:$G$700)=0,"",LOOKUP(2,1/(人給データ!$B$2:$B$700=$A349),人給データ!$G$2:$G$700)),""))</f>
        <v/>
      </c>
      <c r="D349">
        <f>IF($A349="","",IFERROR(IF(LOOKUP(2,1/(人給データ!$B$2:$B$700=$A349),人給データ!$Y$2:$Y$700)=0,"",LOOKUP(2,1/(人給データ!$B$2:$B$700=$A349),人給データ!$Y$2:$Y$700)),""))</f>
        <v/>
      </c>
      <c r="E349" s="20">
        <f>IF($A349="","",IFERROR(IF(LOOKUP(2,1/(人給データ!$B$2:$B$700=$A349),人給データ!$AB$2:$AB$700)=0,"",LOOKUP(2,1/(人給データ!$B$2:$B$700=$A349),人給データ!$AB$2:$AB$700)),""))</f>
        <v/>
      </c>
      <c r="F349" s="16">
        <f>IF(OR(E349="",NOT(ISNUMBER(E349))),"",DATE(YEAR(E349)+2,MONTH(E349),DAY(E349)-2))</f>
        <v/>
      </c>
      <c r="G349" s="20">
        <f>IF($A349="","",IFERROR(IF(LOOKUP(2,1/(人給データ!$B$2:$B$700=$A349),人給データ!$J$2:$J$700)=0,"",LOOKUP(2,1/(人給データ!$B$2:$B$700=$A349),人給データ!$J$2:$J$700)),""))</f>
        <v/>
      </c>
      <c r="H349" s="20">
        <f>IF($A349="","",IFERROR(IF(LOOKUP(2,1/(人給データ!$B$2:$B$700=$A349),人給データ!$K$2:$K$700)=0,"",LOOKUP(2,1/(人給データ!$B$2:$B$700=$A349),人給データ!$K$2:$K$700)),""))</f>
        <v/>
      </c>
      <c r="I349" s="12" t="n"/>
      <c r="J349">
        <f>IF($A349="","",IFERROR(IF(LOOKUP(2,1/(人給データ!$B$2:$B$700=$A349),人給データ!$N$2:$N$700)=0,"",LOOKUP(2,1/(人給データ!$B$2:$B$700=$A349),人給データ!$N$2:$N$700)),""))</f>
        <v/>
      </c>
      <c r="K349" s="13" t="n"/>
      <c r="L349" s="12" t="n"/>
      <c r="M349" s="12" t="n"/>
      <c r="N349" s="11" t="n"/>
      <c r="O349" s="11" t="n"/>
      <c r="P349" s="14">
        <f>IF(AND(M349&lt;&gt;"",O349=""),"保留中","")</f>
        <v/>
      </c>
      <c r="Q349" s="14">
        <f>IF(P349="保留中",COUNTIF(P$6:P349,"保留中"),"")</f>
        <v/>
      </c>
    </row>
    <row r="350">
      <c r="A350" s="12" t="n"/>
      <c r="B350">
        <f>IF($A350="","",IFERROR(IF(LOOKUP(2,1/(人給データ!$B$2:$B$700=$A350),人給データ!$C$2:$C$700)=0,"",LOOKUP(2,1/(人給データ!$B$2:$B$700=$A350),人給データ!$C$2:$C$700)),""))</f>
        <v/>
      </c>
      <c r="C350">
        <f>IF($A350="","",IFERROR(IF(LOOKUP(2,1/(人給データ!$B$2:$B$700=$A350),人給データ!$G$2:$G$700)=0,"",LOOKUP(2,1/(人給データ!$B$2:$B$700=$A350),人給データ!$G$2:$G$700)),""))</f>
        <v/>
      </c>
      <c r="D350">
        <f>IF($A350="","",IFERROR(IF(LOOKUP(2,1/(人給データ!$B$2:$B$700=$A350),人給データ!$Y$2:$Y$700)=0,"",LOOKUP(2,1/(人給データ!$B$2:$B$700=$A350),人給データ!$Y$2:$Y$700)),""))</f>
        <v/>
      </c>
      <c r="E350" s="20">
        <f>IF($A350="","",IFERROR(IF(LOOKUP(2,1/(人給データ!$B$2:$B$700=$A350),人給データ!$AB$2:$AB$700)=0,"",LOOKUP(2,1/(人給データ!$B$2:$B$700=$A350),人給データ!$AB$2:$AB$700)),""))</f>
        <v/>
      </c>
      <c r="F350" s="16">
        <f>IF(OR(E350="",NOT(ISNUMBER(E350))),"",DATE(YEAR(E350)+2,MONTH(E350),DAY(E350)-2))</f>
        <v/>
      </c>
      <c r="G350" s="20">
        <f>IF($A350="","",IFERROR(IF(LOOKUP(2,1/(人給データ!$B$2:$B$700=$A350),人給データ!$J$2:$J$700)=0,"",LOOKUP(2,1/(人給データ!$B$2:$B$700=$A350),人給データ!$J$2:$J$700)),""))</f>
        <v/>
      </c>
      <c r="H350" s="20">
        <f>IF($A350="","",IFERROR(IF(LOOKUP(2,1/(人給データ!$B$2:$B$700=$A350),人給データ!$K$2:$K$700)=0,"",LOOKUP(2,1/(人給データ!$B$2:$B$700=$A350),人給データ!$K$2:$K$700)),""))</f>
        <v/>
      </c>
      <c r="I350" s="12" t="n"/>
      <c r="J350">
        <f>IF($A350="","",IFERROR(IF(LOOKUP(2,1/(人給データ!$B$2:$B$700=$A350),人給データ!$N$2:$N$700)=0,"",LOOKUP(2,1/(人給データ!$B$2:$B$700=$A350),人給データ!$N$2:$N$700)),""))</f>
        <v/>
      </c>
      <c r="K350" s="13" t="n"/>
      <c r="L350" s="12" t="n"/>
      <c r="M350" s="12" t="n"/>
      <c r="N350" s="11" t="n"/>
      <c r="O350" s="11" t="n"/>
      <c r="P350" s="14">
        <f>IF(AND(M350&lt;&gt;"",O350=""),"保留中","")</f>
        <v/>
      </c>
      <c r="Q350" s="14">
        <f>IF(P350="保留中",COUNTIF(P$6:P350,"保留中"),"")</f>
        <v/>
      </c>
    </row>
    <row r="351">
      <c r="A351" s="12" t="n"/>
      <c r="B351">
        <f>IF($A351="","",IFERROR(IF(LOOKUP(2,1/(人給データ!$B$2:$B$700=$A351),人給データ!$C$2:$C$700)=0,"",LOOKUP(2,1/(人給データ!$B$2:$B$700=$A351),人給データ!$C$2:$C$700)),""))</f>
        <v/>
      </c>
      <c r="C351">
        <f>IF($A351="","",IFERROR(IF(LOOKUP(2,1/(人給データ!$B$2:$B$700=$A351),人給データ!$G$2:$G$700)=0,"",LOOKUP(2,1/(人給データ!$B$2:$B$700=$A351),人給データ!$G$2:$G$700)),""))</f>
        <v/>
      </c>
      <c r="D351">
        <f>IF($A351="","",IFERROR(IF(LOOKUP(2,1/(人給データ!$B$2:$B$700=$A351),人給データ!$Y$2:$Y$700)=0,"",LOOKUP(2,1/(人給データ!$B$2:$B$700=$A351),人給データ!$Y$2:$Y$700)),""))</f>
        <v/>
      </c>
      <c r="E351" s="20">
        <f>IF($A351="","",IFERROR(IF(LOOKUP(2,1/(人給データ!$B$2:$B$700=$A351),人給データ!$AB$2:$AB$700)=0,"",LOOKUP(2,1/(人給データ!$B$2:$B$700=$A351),人給データ!$AB$2:$AB$700)),""))</f>
        <v/>
      </c>
      <c r="F351" s="16">
        <f>IF(OR(E351="",NOT(ISNUMBER(E351))),"",DATE(YEAR(E351)+2,MONTH(E351),DAY(E351)-2))</f>
        <v/>
      </c>
      <c r="G351" s="20">
        <f>IF($A351="","",IFERROR(IF(LOOKUP(2,1/(人給データ!$B$2:$B$700=$A351),人給データ!$J$2:$J$700)=0,"",LOOKUP(2,1/(人給データ!$B$2:$B$700=$A351),人給データ!$J$2:$J$700)),""))</f>
        <v/>
      </c>
      <c r="H351" s="20">
        <f>IF($A351="","",IFERROR(IF(LOOKUP(2,1/(人給データ!$B$2:$B$700=$A351),人給データ!$K$2:$K$700)=0,"",LOOKUP(2,1/(人給データ!$B$2:$B$700=$A351),人給データ!$K$2:$K$700)),""))</f>
        <v/>
      </c>
      <c r="I351" s="12" t="n"/>
      <c r="J351">
        <f>IF($A351="","",IFERROR(IF(LOOKUP(2,1/(人給データ!$B$2:$B$700=$A351),人給データ!$N$2:$N$700)=0,"",LOOKUP(2,1/(人給データ!$B$2:$B$700=$A351),人給データ!$N$2:$N$700)),""))</f>
        <v/>
      </c>
      <c r="K351" s="13" t="n"/>
      <c r="L351" s="12" t="n"/>
      <c r="M351" s="12" t="n"/>
      <c r="N351" s="11" t="n"/>
      <c r="O351" s="11" t="n"/>
      <c r="P351" s="14">
        <f>IF(AND(M351&lt;&gt;"",O351=""),"保留中","")</f>
        <v/>
      </c>
      <c r="Q351" s="14">
        <f>IF(P351="保留中",COUNTIF(P$6:P351,"保留中"),"")</f>
        <v/>
      </c>
    </row>
    <row r="352">
      <c r="A352" s="12" t="n"/>
      <c r="B352">
        <f>IF($A352="","",IFERROR(IF(LOOKUP(2,1/(人給データ!$B$2:$B$700=$A352),人給データ!$C$2:$C$700)=0,"",LOOKUP(2,1/(人給データ!$B$2:$B$700=$A352),人給データ!$C$2:$C$700)),""))</f>
        <v/>
      </c>
      <c r="C352">
        <f>IF($A352="","",IFERROR(IF(LOOKUP(2,1/(人給データ!$B$2:$B$700=$A352),人給データ!$G$2:$G$700)=0,"",LOOKUP(2,1/(人給データ!$B$2:$B$700=$A352),人給データ!$G$2:$G$700)),""))</f>
        <v/>
      </c>
      <c r="D352">
        <f>IF($A352="","",IFERROR(IF(LOOKUP(2,1/(人給データ!$B$2:$B$700=$A352),人給データ!$Y$2:$Y$700)=0,"",LOOKUP(2,1/(人給データ!$B$2:$B$700=$A352),人給データ!$Y$2:$Y$700)),""))</f>
        <v/>
      </c>
      <c r="E352" s="20">
        <f>IF($A352="","",IFERROR(IF(LOOKUP(2,1/(人給データ!$B$2:$B$700=$A352),人給データ!$AB$2:$AB$700)=0,"",LOOKUP(2,1/(人給データ!$B$2:$B$700=$A352),人給データ!$AB$2:$AB$700)),""))</f>
        <v/>
      </c>
      <c r="F352" s="16">
        <f>IF(OR(E352="",NOT(ISNUMBER(E352))),"",DATE(YEAR(E352)+2,MONTH(E352),DAY(E352)-2))</f>
        <v/>
      </c>
      <c r="G352" s="20">
        <f>IF($A352="","",IFERROR(IF(LOOKUP(2,1/(人給データ!$B$2:$B$700=$A352),人給データ!$J$2:$J$700)=0,"",LOOKUP(2,1/(人給データ!$B$2:$B$700=$A352),人給データ!$J$2:$J$700)),""))</f>
        <v/>
      </c>
      <c r="H352" s="20">
        <f>IF($A352="","",IFERROR(IF(LOOKUP(2,1/(人給データ!$B$2:$B$700=$A352),人給データ!$K$2:$K$700)=0,"",LOOKUP(2,1/(人給データ!$B$2:$B$700=$A352),人給データ!$K$2:$K$700)),""))</f>
        <v/>
      </c>
      <c r="I352" s="12" t="n"/>
      <c r="J352">
        <f>IF($A352="","",IFERROR(IF(LOOKUP(2,1/(人給データ!$B$2:$B$700=$A352),人給データ!$N$2:$N$700)=0,"",LOOKUP(2,1/(人給データ!$B$2:$B$700=$A352),人給データ!$N$2:$N$700)),""))</f>
        <v/>
      </c>
      <c r="K352" s="13" t="n"/>
      <c r="L352" s="12" t="n"/>
      <c r="M352" s="12" t="n"/>
      <c r="N352" s="11" t="n"/>
      <c r="O352" s="11" t="n"/>
      <c r="P352" s="14">
        <f>IF(AND(M352&lt;&gt;"",O352=""),"保留中","")</f>
        <v/>
      </c>
      <c r="Q352" s="14">
        <f>IF(P352="保留中",COUNTIF(P$6:P352,"保留中"),"")</f>
        <v/>
      </c>
    </row>
    <row r="353">
      <c r="A353" s="12" t="n"/>
      <c r="B353">
        <f>IF($A353="","",IFERROR(IF(LOOKUP(2,1/(人給データ!$B$2:$B$700=$A353),人給データ!$C$2:$C$700)=0,"",LOOKUP(2,1/(人給データ!$B$2:$B$700=$A353),人給データ!$C$2:$C$700)),""))</f>
        <v/>
      </c>
      <c r="C353">
        <f>IF($A353="","",IFERROR(IF(LOOKUP(2,1/(人給データ!$B$2:$B$700=$A353),人給データ!$G$2:$G$700)=0,"",LOOKUP(2,1/(人給データ!$B$2:$B$700=$A353),人給データ!$G$2:$G$700)),""))</f>
        <v/>
      </c>
      <c r="D353">
        <f>IF($A353="","",IFERROR(IF(LOOKUP(2,1/(人給データ!$B$2:$B$700=$A353),人給データ!$Y$2:$Y$700)=0,"",LOOKUP(2,1/(人給データ!$B$2:$B$700=$A353),人給データ!$Y$2:$Y$700)),""))</f>
        <v/>
      </c>
      <c r="E353" s="20">
        <f>IF($A353="","",IFERROR(IF(LOOKUP(2,1/(人給データ!$B$2:$B$700=$A353),人給データ!$AB$2:$AB$700)=0,"",LOOKUP(2,1/(人給データ!$B$2:$B$700=$A353),人給データ!$AB$2:$AB$700)),""))</f>
        <v/>
      </c>
      <c r="F353" s="16">
        <f>IF(OR(E353="",NOT(ISNUMBER(E353))),"",DATE(YEAR(E353)+2,MONTH(E353),DAY(E353)-2))</f>
        <v/>
      </c>
      <c r="G353" s="20">
        <f>IF($A353="","",IFERROR(IF(LOOKUP(2,1/(人給データ!$B$2:$B$700=$A353),人給データ!$J$2:$J$700)=0,"",LOOKUP(2,1/(人給データ!$B$2:$B$700=$A353),人給データ!$J$2:$J$700)),""))</f>
        <v/>
      </c>
      <c r="H353" s="20">
        <f>IF($A353="","",IFERROR(IF(LOOKUP(2,1/(人給データ!$B$2:$B$700=$A353),人給データ!$K$2:$K$700)=0,"",LOOKUP(2,1/(人給データ!$B$2:$B$700=$A353),人給データ!$K$2:$K$700)),""))</f>
        <v/>
      </c>
      <c r="I353" s="12" t="n"/>
      <c r="J353">
        <f>IF($A353="","",IFERROR(IF(LOOKUP(2,1/(人給データ!$B$2:$B$700=$A353),人給データ!$N$2:$N$700)=0,"",LOOKUP(2,1/(人給データ!$B$2:$B$700=$A353),人給データ!$N$2:$N$700)),""))</f>
        <v/>
      </c>
      <c r="K353" s="13" t="n"/>
      <c r="L353" s="12" t="n"/>
      <c r="M353" s="12" t="n"/>
      <c r="N353" s="11" t="n"/>
      <c r="O353" s="11" t="n"/>
      <c r="P353" s="14">
        <f>IF(AND(M353&lt;&gt;"",O353=""),"保留中","")</f>
        <v/>
      </c>
      <c r="Q353" s="14">
        <f>IF(P353="保留中",COUNTIF(P$6:P353,"保留中"),"")</f>
        <v/>
      </c>
    </row>
    <row r="354">
      <c r="A354" s="12" t="n"/>
      <c r="B354">
        <f>IF($A354="","",IFERROR(IF(LOOKUP(2,1/(人給データ!$B$2:$B$700=$A354),人給データ!$C$2:$C$700)=0,"",LOOKUP(2,1/(人給データ!$B$2:$B$700=$A354),人給データ!$C$2:$C$700)),""))</f>
        <v/>
      </c>
      <c r="C354">
        <f>IF($A354="","",IFERROR(IF(LOOKUP(2,1/(人給データ!$B$2:$B$700=$A354),人給データ!$G$2:$G$700)=0,"",LOOKUP(2,1/(人給データ!$B$2:$B$700=$A354),人給データ!$G$2:$G$700)),""))</f>
        <v/>
      </c>
      <c r="D354">
        <f>IF($A354="","",IFERROR(IF(LOOKUP(2,1/(人給データ!$B$2:$B$700=$A354),人給データ!$Y$2:$Y$700)=0,"",LOOKUP(2,1/(人給データ!$B$2:$B$700=$A354),人給データ!$Y$2:$Y$700)),""))</f>
        <v/>
      </c>
      <c r="E354" s="20">
        <f>IF($A354="","",IFERROR(IF(LOOKUP(2,1/(人給データ!$B$2:$B$700=$A354),人給データ!$AB$2:$AB$700)=0,"",LOOKUP(2,1/(人給データ!$B$2:$B$700=$A354),人給データ!$AB$2:$AB$700)),""))</f>
        <v/>
      </c>
      <c r="F354" s="16">
        <f>IF(OR(E354="",NOT(ISNUMBER(E354))),"",DATE(YEAR(E354)+2,MONTH(E354),DAY(E354)-2))</f>
        <v/>
      </c>
      <c r="G354" s="20">
        <f>IF($A354="","",IFERROR(IF(LOOKUP(2,1/(人給データ!$B$2:$B$700=$A354),人給データ!$J$2:$J$700)=0,"",LOOKUP(2,1/(人給データ!$B$2:$B$700=$A354),人給データ!$J$2:$J$700)),""))</f>
        <v/>
      </c>
      <c r="H354" s="20">
        <f>IF($A354="","",IFERROR(IF(LOOKUP(2,1/(人給データ!$B$2:$B$700=$A354),人給データ!$K$2:$K$700)=0,"",LOOKUP(2,1/(人給データ!$B$2:$B$700=$A354),人給データ!$K$2:$K$700)),""))</f>
        <v/>
      </c>
      <c r="I354" s="12" t="n"/>
      <c r="J354">
        <f>IF($A354="","",IFERROR(IF(LOOKUP(2,1/(人給データ!$B$2:$B$700=$A354),人給データ!$N$2:$N$700)=0,"",LOOKUP(2,1/(人給データ!$B$2:$B$700=$A354),人給データ!$N$2:$N$700)),""))</f>
        <v/>
      </c>
      <c r="K354" s="13" t="n"/>
      <c r="L354" s="12" t="n"/>
      <c r="M354" s="12" t="n"/>
      <c r="N354" s="11" t="n"/>
      <c r="O354" s="11" t="n"/>
      <c r="P354" s="14">
        <f>IF(AND(M354&lt;&gt;"",O354=""),"保留中","")</f>
        <v/>
      </c>
      <c r="Q354" s="14">
        <f>IF(P354="保留中",COUNTIF(P$6:P354,"保留中"),"")</f>
        <v/>
      </c>
    </row>
    <row r="355">
      <c r="A355" s="12" t="n"/>
      <c r="B355">
        <f>IF($A355="","",IFERROR(IF(LOOKUP(2,1/(人給データ!$B$2:$B$700=$A355),人給データ!$C$2:$C$700)=0,"",LOOKUP(2,1/(人給データ!$B$2:$B$700=$A355),人給データ!$C$2:$C$700)),""))</f>
        <v/>
      </c>
      <c r="C355">
        <f>IF($A355="","",IFERROR(IF(LOOKUP(2,1/(人給データ!$B$2:$B$700=$A355),人給データ!$G$2:$G$700)=0,"",LOOKUP(2,1/(人給データ!$B$2:$B$700=$A355),人給データ!$G$2:$G$700)),""))</f>
        <v/>
      </c>
      <c r="D355">
        <f>IF($A355="","",IFERROR(IF(LOOKUP(2,1/(人給データ!$B$2:$B$700=$A355),人給データ!$Y$2:$Y$700)=0,"",LOOKUP(2,1/(人給データ!$B$2:$B$700=$A355),人給データ!$Y$2:$Y$700)),""))</f>
        <v/>
      </c>
      <c r="E355" s="20">
        <f>IF($A355="","",IFERROR(IF(LOOKUP(2,1/(人給データ!$B$2:$B$700=$A355),人給データ!$AB$2:$AB$700)=0,"",LOOKUP(2,1/(人給データ!$B$2:$B$700=$A355),人給データ!$AB$2:$AB$700)),""))</f>
        <v/>
      </c>
      <c r="F355" s="16">
        <f>IF(OR(E355="",NOT(ISNUMBER(E355))),"",DATE(YEAR(E355)+2,MONTH(E355),DAY(E355)-2))</f>
        <v/>
      </c>
      <c r="G355" s="20">
        <f>IF($A355="","",IFERROR(IF(LOOKUP(2,1/(人給データ!$B$2:$B$700=$A355),人給データ!$J$2:$J$700)=0,"",LOOKUP(2,1/(人給データ!$B$2:$B$700=$A355),人給データ!$J$2:$J$700)),""))</f>
        <v/>
      </c>
      <c r="H355" s="20">
        <f>IF($A355="","",IFERROR(IF(LOOKUP(2,1/(人給データ!$B$2:$B$700=$A355),人給データ!$K$2:$K$700)=0,"",LOOKUP(2,1/(人給データ!$B$2:$B$700=$A355),人給データ!$K$2:$K$700)),""))</f>
        <v/>
      </c>
      <c r="I355" s="12" t="n"/>
      <c r="J355">
        <f>IF($A355="","",IFERROR(IF(LOOKUP(2,1/(人給データ!$B$2:$B$700=$A355),人給データ!$N$2:$N$700)=0,"",LOOKUP(2,1/(人給データ!$B$2:$B$700=$A355),人給データ!$N$2:$N$700)),""))</f>
        <v/>
      </c>
      <c r="K355" s="13" t="n"/>
      <c r="L355" s="12" t="n"/>
      <c r="M355" s="12" t="n"/>
      <c r="N355" s="11" t="n"/>
      <c r="O355" s="11" t="n"/>
      <c r="P355" s="14">
        <f>IF(AND(M355&lt;&gt;"",O355=""),"保留中","")</f>
        <v/>
      </c>
      <c r="Q355" s="14">
        <f>IF(P355="保留中",COUNTIF(P$6:P355,"保留中"),"")</f>
        <v/>
      </c>
    </row>
    <row r="356">
      <c r="A356" s="12" t="n"/>
      <c r="B356">
        <f>IF($A356="","",IFERROR(IF(LOOKUP(2,1/(人給データ!$B$2:$B$700=$A356),人給データ!$C$2:$C$700)=0,"",LOOKUP(2,1/(人給データ!$B$2:$B$700=$A356),人給データ!$C$2:$C$700)),""))</f>
        <v/>
      </c>
      <c r="C356">
        <f>IF($A356="","",IFERROR(IF(LOOKUP(2,1/(人給データ!$B$2:$B$700=$A356),人給データ!$G$2:$G$700)=0,"",LOOKUP(2,1/(人給データ!$B$2:$B$700=$A356),人給データ!$G$2:$G$700)),""))</f>
        <v/>
      </c>
      <c r="D356">
        <f>IF($A356="","",IFERROR(IF(LOOKUP(2,1/(人給データ!$B$2:$B$700=$A356),人給データ!$Y$2:$Y$700)=0,"",LOOKUP(2,1/(人給データ!$B$2:$B$700=$A356),人給データ!$Y$2:$Y$700)),""))</f>
        <v/>
      </c>
      <c r="E356" s="20">
        <f>IF($A356="","",IFERROR(IF(LOOKUP(2,1/(人給データ!$B$2:$B$700=$A356),人給データ!$AB$2:$AB$700)=0,"",LOOKUP(2,1/(人給データ!$B$2:$B$700=$A356),人給データ!$AB$2:$AB$700)),""))</f>
        <v/>
      </c>
      <c r="F356" s="16">
        <f>IF(OR(E356="",NOT(ISNUMBER(E356))),"",DATE(YEAR(E356)+2,MONTH(E356),DAY(E356)-2))</f>
        <v/>
      </c>
      <c r="G356" s="20">
        <f>IF($A356="","",IFERROR(IF(LOOKUP(2,1/(人給データ!$B$2:$B$700=$A356),人給データ!$J$2:$J$700)=0,"",LOOKUP(2,1/(人給データ!$B$2:$B$700=$A356),人給データ!$J$2:$J$700)),""))</f>
        <v/>
      </c>
      <c r="H356" s="20">
        <f>IF($A356="","",IFERROR(IF(LOOKUP(2,1/(人給データ!$B$2:$B$700=$A356),人給データ!$K$2:$K$700)=0,"",LOOKUP(2,1/(人給データ!$B$2:$B$700=$A356),人給データ!$K$2:$K$700)),""))</f>
        <v/>
      </c>
      <c r="I356" s="12" t="n"/>
      <c r="J356">
        <f>IF($A356="","",IFERROR(IF(LOOKUP(2,1/(人給データ!$B$2:$B$700=$A356),人給データ!$N$2:$N$700)=0,"",LOOKUP(2,1/(人給データ!$B$2:$B$700=$A356),人給データ!$N$2:$N$700)),""))</f>
        <v/>
      </c>
      <c r="K356" s="13" t="n"/>
      <c r="L356" s="12" t="n"/>
      <c r="M356" s="12" t="n"/>
      <c r="N356" s="11" t="n"/>
      <c r="O356" s="11" t="n"/>
      <c r="P356" s="14">
        <f>IF(AND(M356&lt;&gt;"",O356=""),"保留中","")</f>
        <v/>
      </c>
      <c r="Q356" s="14">
        <f>IF(P356="保留中",COUNTIF(P$6:P356,"保留中"),"")</f>
        <v/>
      </c>
    </row>
    <row r="357">
      <c r="A357" s="12" t="n"/>
      <c r="B357">
        <f>IF($A357="","",IFERROR(IF(LOOKUP(2,1/(人給データ!$B$2:$B$700=$A357),人給データ!$C$2:$C$700)=0,"",LOOKUP(2,1/(人給データ!$B$2:$B$700=$A357),人給データ!$C$2:$C$700)),""))</f>
        <v/>
      </c>
      <c r="C357">
        <f>IF($A357="","",IFERROR(IF(LOOKUP(2,1/(人給データ!$B$2:$B$700=$A357),人給データ!$G$2:$G$700)=0,"",LOOKUP(2,1/(人給データ!$B$2:$B$700=$A357),人給データ!$G$2:$G$700)),""))</f>
        <v/>
      </c>
      <c r="D357">
        <f>IF($A357="","",IFERROR(IF(LOOKUP(2,1/(人給データ!$B$2:$B$700=$A357),人給データ!$Y$2:$Y$700)=0,"",LOOKUP(2,1/(人給データ!$B$2:$B$700=$A357),人給データ!$Y$2:$Y$700)),""))</f>
        <v/>
      </c>
      <c r="E357" s="20">
        <f>IF($A357="","",IFERROR(IF(LOOKUP(2,1/(人給データ!$B$2:$B$700=$A357),人給データ!$AB$2:$AB$700)=0,"",LOOKUP(2,1/(人給データ!$B$2:$B$700=$A357),人給データ!$AB$2:$AB$700)),""))</f>
        <v/>
      </c>
      <c r="F357" s="16">
        <f>IF(OR(E357="",NOT(ISNUMBER(E357))),"",DATE(YEAR(E357)+2,MONTH(E357),DAY(E357)-2))</f>
        <v/>
      </c>
      <c r="G357" s="20">
        <f>IF($A357="","",IFERROR(IF(LOOKUP(2,1/(人給データ!$B$2:$B$700=$A357),人給データ!$J$2:$J$700)=0,"",LOOKUP(2,1/(人給データ!$B$2:$B$700=$A357),人給データ!$J$2:$J$700)),""))</f>
        <v/>
      </c>
      <c r="H357" s="20">
        <f>IF($A357="","",IFERROR(IF(LOOKUP(2,1/(人給データ!$B$2:$B$700=$A357),人給データ!$K$2:$K$700)=0,"",LOOKUP(2,1/(人給データ!$B$2:$B$700=$A357),人給データ!$K$2:$K$700)),""))</f>
        <v/>
      </c>
      <c r="I357" s="12" t="n"/>
      <c r="J357">
        <f>IF($A357="","",IFERROR(IF(LOOKUP(2,1/(人給データ!$B$2:$B$700=$A357),人給データ!$N$2:$N$700)=0,"",LOOKUP(2,1/(人給データ!$B$2:$B$700=$A357),人給データ!$N$2:$N$700)),""))</f>
        <v/>
      </c>
      <c r="K357" s="13" t="n"/>
      <c r="L357" s="12" t="n"/>
      <c r="M357" s="12" t="n"/>
      <c r="N357" s="11" t="n"/>
      <c r="O357" s="11" t="n"/>
      <c r="P357" s="14">
        <f>IF(AND(M357&lt;&gt;"",O357=""),"保留中","")</f>
        <v/>
      </c>
      <c r="Q357" s="14">
        <f>IF(P357="保留中",COUNTIF(P$6:P357,"保留中"),"")</f>
        <v/>
      </c>
    </row>
    <row r="358">
      <c r="A358" s="12" t="n"/>
      <c r="B358">
        <f>IF($A358="","",IFERROR(IF(LOOKUP(2,1/(人給データ!$B$2:$B$700=$A358),人給データ!$C$2:$C$700)=0,"",LOOKUP(2,1/(人給データ!$B$2:$B$700=$A358),人給データ!$C$2:$C$700)),""))</f>
        <v/>
      </c>
      <c r="C358">
        <f>IF($A358="","",IFERROR(IF(LOOKUP(2,1/(人給データ!$B$2:$B$700=$A358),人給データ!$G$2:$G$700)=0,"",LOOKUP(2,1/(人給データ!$B$2:$B$700=$A358),人給データ!$G$2:$G$700)),""))</f>
        <v/>
      </c>
      <c r="D358">
        <f>IF($A358="","",IFERROR(IF(LOOKUP(2,1/(人給データ!$B$2:$B$700=$A358),人給データ!$Y$2:$Y$700)=0,"",LOOKUP(2,1/(人給データ!$B$2:$B$700=$A358),人給データ!$Y$2:$Y$700)),""))</f>
        <v/>
      </c>
      <c r="E358" s="20">
        <f>IF($A358="","",IFERROR(IF(LOOKUP(2,1/(人給データ!$B$2:$B$700=$A358),人給データ!$AB$2:$AB$700)=0,"",LOOKUP(2,1/(人給データ!$B$2:$B$700=$A358),人給データ!$AB$2:$AB$700)),""))</f>
        <v/>
      </c>
      <c r="F358" s="16">
        <f>IF(OR(E358="",NOT(ISNUMBER(E358))),"",DATE(YEAR(E358)+2,MONTH(E358),DAY(E358)-2))</f>
        <v/>
      </c>
      <c r="G358" s="20">
        <f>IF($A358="","",IFERROR(IF(LOOKUP(2,1/(人給データ!$B$2:$B$700=$A358),人給データ!$J$2:$J$700)=0,"",LOOKUP(2,1/(人給データ!$B$2:$B$700=$A358),人給データ!$J$2:$J$700)),""))</f>
        <v/>
      </c>
      <c r="H358" s="20">
        <f>IF($A358="","",IFERROR(IF(LOOKUP(2,1/(人給データ!$B$2:$B$700=$A358),人給データ!$K$2:$K$700)=0,"",LOOKUP(2,1/(人給データ!$B$2:$B$700=$A358),人給データ!$K$2:$K$700)),""))</f>
        <v/>
      </c>
      <c r="I358" s="12" t="n"/>
      <c r="J358">
        <f>IF($A358="","",IFERROR(IF(LOOKUP(2,1/(人給データ!$B$2:$B$700=$A358),人給データ!$N$2:$N$700)=0,"",LOOKUP(2,1/(人給データ!$B$2:$B$700=$A358),人給データ!$N$2:$N$700)),""))</f>
        <v/>
      </c>
      <c r="K358" s="13" t="n"/>
      <c r="L358" s="12" t="n"/>
      <c r="M358" s="12" t="n"/>
      <c r="N358" s="11" t="n"/>
      <c r="O358" s="11" t="n"/>
      <c r="P358" s="14">
        <f>IF(AND(M358&lt;&gt;"",O358=""),"保留中","")</f>
        <v/>
      </c>
      <c r="Q358" s="14">
        <f>IF(P358="保留中",COUNTIF(P$6:P358,"保留中"),"")</f>
        <v/>
      </c>
    </row>
    <row r="359">
      <c r="A359" s="12" t="n"/>
      <c r="B359">
        <f>IF($A359="","",IFERROR(IF(LOOKUP(2,1/(人給データ!$B$2:$B$700=$A359),人給データ!$C$2:$C$700)=0,"",LOOKUP(2,1/(人給データ!$B$2:$B$700=$A359),人給データ!$C$2:$C$700)),""))</f>
        <v/>
      </c>
      <c r="C359">
        <f>IF($A359="","",IFERROR(IF(LOOKUP(2,1/(人給データ!$B$2:$B$700=$A359),人給データ!$G$2:$G$700)=0,"",LOOKUP(2,1/(人給データ!$B$2:$B$700=$A359),人給データ!$G$2:$G$700)),""))</f>
        <v/>
      </c>
      <c r="D359">
        <f>IF($A359="","",IFERROR(IF(LOOKUP(2,1/(人給データ!$B$2:$B$700=$A359),人給データ!$Y$2:$Y$700)=0,"",LOOKUP(2,1/(人給データ!$B$2:$B$700=$A359),人給データ!$Y$2:$Y$700)),""))</f>
        <v/>
      </c>
      <c r="E359" s="20">
        <f>IF($A359="","",IFERROR(IF(LOOKUP(2,1/(人給データ!$B$2:$B$700=$A359),人給データ!$AB$2:$AB$700)=0,"",LOOKUP(2,1/(人給データ!$B$2:$B$700=$A359),人給データ!$AB$2:$AB$700)),""))</f>
        <v/>
      </c>
      <c r="F359" s="16">
        <f>IF(OR(E359="",NOT(ISNUMBER(E359))),"",DATE(YEAR(E359)+2,MONTH(E359),DAY(E359)-2))</f>
        <v/>
      </c>
      <c r="G359" s="20">
        <f>IF($A359="","",IFERROR(IF(LOOKUP(2,1/(人給データ!$B$2:$B$700=$A359),人給データ!$J$2:$J$700)=0,"",LOOKUP(2,1/(人給データ!$B$2:$B$700=$A359),人給データ!$J$2:$J$700)),""))</f>
        <v/>
      </c>
      <c r="H359" s="20">
        <f>IF($A359="","",IFERROR(IF(LOOKUP(2,1/(人給データ!$B$2:$B$700=$A359),人給データ!$K$2:$K$700)=0,"",LOOKUP(2,1/(人給データ!$B$2:$B$700=$A359),人給データ!$K$2:$K$700)),""))</f>
        <v/>
      </c>
      <c r="I359" s="12" t="n"/>
      <c r="J359">
        <f>IF($A359="","",IFERROR(IF(LOOKUP(2,1/(人給データ!$B$2:$B$700=$A359),人給データ!$N$2:$N$700)=0,"",LOOKUP(2,1/(人給データ!$B$2:$B$700=$A359),人給データ!$N$2:$N$700)),""))</f>
        <v/>
      </c>
      <c r="K359" s="13" t="n"/>
      <c r="L359" s="12" t="n"/>
      <c r="M359" s="12" t="n"/>
      <c r="N359" s="11" t="n"/>
      <c r="O359" s="11" t="n"/>
      <c r="P359" s="14">
        <f>IF(AND(M359&lt;&gt;"",O359=""),"保留中","")</f>
        <v/>
      </c>
      <c r="Q359" s="14">
        <f>IF(P359="保留中",COUNTIF(P$6:P359,"保留中"),"")</f>
        <v/>
      </c>
    </row>
    <row r="360">
      <c r="A360" s="12" t="n"/>
      <c r="B360">
        <f>IF($A360="","",IFERROR(IF(LOOKUP(2,1/(人給データ!$B$2:$B$700=$A360),人給データ!$C$2:$C$700)=0,"",LOOKUP(2,1/(人給データ!$B$2:$B$700=$A360),人給データ!$C$2:$C$700)),""))</f>
        <v/>
      </c>
      <c r="C360">
        <f>IF($A360="","",IFERROR(IF(LOOKUP(2,1/(人給データ!$B$2:$B$700=$A360),人給データ!$G$2:$G$700)=0,"",LOOKUP(2,1/(人給データ!$B$2:$B$700=$A360),人給データ!$G$2:$G$700)),""))</f>
        <v/>
      </c>
      <c r="D360">
        <f>IF($A360="","",IFERROR(IF(LOOKUP(2,1/(人給データ!$B$2:$B$700=$A360),人給データ!$Y$2:$Y$700)=0,"",LOOKUP(2,1/(人給データ!$B$2:$B$700=$A360),人給データ!$Y$2:$Y$700)),""))</f>
        <v/>
      </c>
      <c r="E360" s="20">
        <f>IF($A360="","",IFERROR(IF(LOOKUP(2,1/(人給データ!$B$2:$B$700=$A360),人給データ!$AB$2:$AB$700)=0,"",LOOKUP(2,1/(人給データ!$B$2:$B$700=$A360),人給データ!$AB$2:$AB$700)),""))</f>
        <v/>
      </c>
      <c r="F360" s="16">
        <f>IF(OR(E360="",NOT(ISNUMBER(E360))),"",DATE(YEAR(E360)+2,MONTH(E360),DAY(E360)-2))</f>
        <v/>
      </c>
      <c r="G360" s="20">
        <f>IF($A360="","",IFERROR(IF(LOOKUP(2,1/(人給データ!$B$2:$B$700=$A360),人給データ!$J$2:$J$700)=0,"",LOOKUP(2,1/(人給データ!$B$2:$B$700=$A360),人給データ!$J$2:$J$700)),""))</f>
        <v/>
      </c>
      <c r="H360" s="20">
        <f>IF($A360="","",IFERROR(IF(LOOKUP(2,1/(人給データ!$B$2:$B$700=$A360),人給データ!$K$2:$K$700)=0,"",LOOKUP(2,1/(人給データ!$B$2:$B$700=$A360),人給データ!$K$2:$K$700)),""))</f>
        <v/>
      </c>
      <c r="I360" s="12" t="n"/>
      <c r="J360">
        <f>IF($A360="","",IFERROR(IF(LOOKUP(2,1/(人給データ!$B$2:$B$700=$A360),人給データ!$N$2:$N$700)=0,"",LOOKUP(2,1/(人給データ!$B$2:$B$700=$A360),人給データ!$N$2:$N$700)),""))</f>
        <v/>
      </c>
      <c r="K360" s="13" t="n"/>
      <c r="L360" s="12" t="n"/>
      <c r="M360" s="12" t="n"/>
      <c r="N360" s="11" t="n"/>
      <c r="O360" s="11" t="n"/>
      <c r="P360" s="14">
        <f>IF(AND(M360&lt;&gt;"",O360=""),"保留中","")</f>
        <v/>
      </c>
      <c r="Q360" s="14">
        <f>IF(P360="保留中",COUNTIF(P$6:P360,"保留中"),"")</f>
        <v/>
      </c>
    </row>
    <row r="361">
      <c r="A361" s="12" t="n"/>
      <c r="B361">
        <f>IF($A361="","",IFERROR(IF(LOOKUP(2,1/(人給データ!$B$2:$B$700=$A361),人給データ!$C$2:$C$700)=0,"",LOOKUP(2,1/(人給データ!$B$2:$B$700=$A361),人給データ!$C$2:$C$700)),""))</f>
        <v/>
      </c>
      <c r="C361">
        <f>IF($A361="","",IFERROR(IF(LOOKUP(2,1/(人給データ!$B$2:$B$700=$A361),人給データ!$G$2:$G$700)=0,"",LOOKUP(2,1/(人給データ!$B$2:$B$700=$A361),人給データ!$G$2:$G$700)),""))</f>
        <v/>
      </c>
      <c r="D361">
        <f>IF($A361="","",IFERROR(IF(LOOKUP(2,1/(人給データ!$B$2:$B$700=$A361),人給データ!$Y$2:$Y$700)=0,"",LOOKUP(2,1/(人給データ!$B$2:$B$700=$A361),人給データ!$Y$2:$Y$700)),""))</f>
        <v/>
      </c>
      <c r="E361" s="20">
        <f>IF($A361="","",IFERROR(IF(LOOKUP(2,1/(人給データ!$B$2:$B$700=$A361),人給データ!$AB$2:$AB$700)=0,"",LOOKUP(2,1/(人給データ!$B$2:$B$700=$A361),人給データ!$AB$2:$AB$700)),""))</f>
        <v/>
      </c>
      <c r="F361" s="16">
        <f>IF(OR(E361="",NOT(ISNUMBER(E361))),"",DATE(YEAR(E361)+2,MONTH(E361),DAY(E361)-2))</f>
        <v/>
      </c>
      <c r="G361" s="20">
        <f>IF($A361="","",IFERROR(IF(LOOKUP(2,1/(人給データ!$B$2:$B$700=$A361),人給データ!$J$2:$J$700)=0,"",LOOKUP(2,1/(人給データ!$B$2:$B$700=$A361),人給データ!$J$2:$J$700)),""))</f>
        <v/>
      </c>
      <c r="H361" s="20">
        <f>IF($A361="","",IFERROR(IF(LOOKUP(2,1/(人給データ!$B$2:$B$700=$A361),人給データ!$K$2:$K$700)=0,"",LOOKUP(2,1/(人給データ!$B$2:$B$700=$A361),人給データ!$K$2:$K$700)),""))</f>
        <v/>
      </c>
      <c r="I361" s="12" t="n"/>
      <c r="J361">
        <f>IF($A361="","",IFERROR(IF(LOOKUP(2,1/(人給データ!$B$2:$B$700=$A361),人給データ!$N$2:$N$700)=0,"",LOOKUP(2,1/(人給データ!$B$2:$B$700=$A361),人給データ!$N$2:$N$700)),""))</f>
        <v/>
      </c>
      <c r="K361" s="13" t="n"/>
      <c r="L361" s="12" t="n"/>
      <c r="M361" s="12" t="n"/>
      <c r="N361" s="11" t="n"/>
      <c r="O361" s="11" t="n"/>
      <c r="P361" s="14">
        <f>IF(AND(M361&lt;&gt;"",O361=""),"保留中","")</f>
        <v/>
      </c>
      <c r="Q361" s="14">
        <f>IF(P361="保留中",COUNTIF(P$6:P361,"保留中"),"")</f>
        <v/>
      </c>
    </row>
    <row r="362">
      <c r="A362" s="12" t="n"/>
      <c r="B362">
        <f>IF($A362="","",IFERROR(IF(LOOKUP(2,1/(人給データ!$B$2:$B$700=$A362),人給データ!$C$2:$C$700)=0,"",LOOKUP(2,1/(人給データ!$B$2:$B$700=$A362),人給データ!$C$2:$C$700)),""))</f>
        <v/>
      </c>
      <c r="C362">
        <f>IF($A362="","",IFERROR(IF(LOOKUP(2,1/(人給データ!$B$2:$B$700=$A362),人給データ!$G$2:$G$700)=0,"",LOOKUP(2,1/(人給データ!$B$2:$B$700=$A362),人給データ!$G$2:$G$700)),""))</f>
        <v/>
      </c>
      <c r="D362">
        <f>IF($A362="","",IFERROR(IF(LOOKUP(2,1/(人給データ!$B$2:$B$700=$A362),人給データ!$Y$2:$Y$700)=0,"",LOOKUP(2,1/(人給データ!$B$2:$B$700=$A362),人給データ!$Y$2:$Y$700)),""))</f>
        <v/>
      </c>
      <c r="E362" s="20">
        <f>IF($A362="","",IFERROR(IF(LOOKUP(2,1/(人給データ!$B$2:$B$700=$A362),人給データ!$AB$2:$AB$700)=0,"",LOOKUP(2,1/(人給データ!$B$2:$B$700=$A362),人給データ!$AB$2:$AB$700)),""))</f>
        <v/>
      </c>
      <c r="F362" s="16">
        <f>IF(OR(E362="",NOT(ISNUMBER(E362))),"",DATE(YEAR(E362)+2,MONTH(E362),DAY(E362)-2))</f>
        <v/>
      </c>
      <c r="G362" s="20">
        <f>IF($A362="","",IFERROR(IF(LOOKUP(2,1/(人給データ!$B$2:$B$700=$A362),人給データ!$J$2:$J$700)=0,"",LOOKUP(2,1/(人給データ!$B$2:$B$700=$A362),人給データ!$J$2:$J$700)),""))</f>
        <v/>
      </c>
      <c r="H362" s="20">
        <f>IF($A362="","",IFERROR(IF(LOOKUP(2,1/(人給データ!$B$2:$B$700=$A362),人給データ!$K$2:$K$700)=0,"",LOOKUP(2,1/(人給データ!$B$2:$B$700=$A362),人給データ!$K$2:$K$700)),""))</f>
        <v/>
      </c>
      <c r="I362" s="12" t="n"/>
      <c r="J362">
        <f>IF($A362="","",IFERROR(IF(LOOKUP(2,1/(人給データ!$B$2:$B$700=$A362),人給データ!$N$2:$N$700)=0,"",LOOKUP(2,1/(人給データ!$B$2:$B$700=$A362),人給データ!$N$2:$N$700)),""))</f>
        <v/>
      </c>
      <c r="K362" s="13" t="n"/>
      <c r="L362" s="12" t="n"/>
      <c r="M362" s="12" t="n"/>
      <c r="N362" s="11" t="n"/>
      <c r="O362" s="11" t="n"/>
      <c r="P362" s="14">
        <f>IF(AND(M362&lt;&gt;"",O362=""),"保留中","")</f>
        <v/>
      </c>
      <c r="Q362" s="14">
        <f>IF(P362="保留中",COUNTIF(P$6:P362,"保留中"),"")</f>
        <v/>
      </c>
    </row>
    <row r="363">
      <c r="A363" s="12" t="n"/>
      <c r="B363">
        <f>IF($A363="","",IFERROR(IF(LOOKUP(2,1/(人給データ!$B$2:$B$700=$A363),人給データ!$C$2:$C$700)=0,"",LOOKUP(2,1/(人給データ!$B$2:$B$700=$A363),人給データ!$C$2:$C$700)),""))</f>
        <v/>
      </c>
      <c r="C363">
        <f>IF($A363="","",IFERROR(IF(LOOKUP(2,1/(人給データ!$B$2:$B$700=$A363),人給データ!$G$2:$G$700)=0,"",LOOKUP(2,1/(人給データ!$B$2:$B$700=$A363),人給データ!$G$2:$G$700)),""))</f>
        <v/>
      </c>
      <c r="D363">
        <f>IF($A363="","",IFERROR(IF(LOOKUP(2,1/(人給データ!$B$2:$B$700=$A363),人給データ!$Y$2:$Y$700)=0,"",LOOKUP(2,1/(人給データ!$B$2:$B$700=$A363),人給データ!$Y$2:$Y$700)),""))</f>
        <v/>
      </c>
      <c r="E363" s="20">
        <f>IF($A363="","",IFERROR(IF(LOOKUP(2,1/(人給データ!$B$2:$B$700=$A363),人給データ!$AB$2:$AB$700)=0,"",LOOKUP(2,1/(人給データ!$B$2:$B$700=$A363),人給データ!$AB$2:$AB$700)),""))</f>
        <v/>
      </c>
      <c r="F363" s="16">
        <f>IF(OR(E363="",NOT(ISNUMBER(E363))),"",DATE(YEAR(E363)+2,MONTH(E363),DAY(E363)-2))</f>
        <v/>
      </c>
      <c r="G363" s="20">
        <f>IF($A363="","",IFERROR(IF(LOOKUP(2,1/(人給データ!$B$2:$B$700=$A363),人給データ!$J$2:$J$700)=0,"",LOOKUP(2,1/(人給データ!$B$2:$B$700=$A363),人給データ!$J$2:$J$700)),""))</f>
        <v/>
      </c>
      <c r="H363" s="20">
        <f>IF($A363="","",IFERROR(IF(LOOKUP(2,1/(人給データ!$B$2:$B$700=$A363),人給データ!$K$2:$K$700)=0,"",LOOKUP(2,1/(人給データ!$B$2:$B$700=$A363),人給データ!$K$2:$K$700)),""))</f>
        <v/>
      </c>
      <c r="I363" s="12" t="n"/>
      <c r="J363">
        <f>IF($A363="","",IFERROR(IF(LOOKUP(2,1/(人給データ!$B$2:$B$700=$A363),人給データ!$N$2:$N$700)=0,"",LOOKUP(2,1/(人給データ!$B$2:$B$700=$A363),人給データ!$N$2:$N$700)),""))</f>
        <v/>
      </c>
      <c r="K363" s="13" t="n"/>
      <c r="L363" s="12" t="n"/>
      <c r="M363" s="12" t="n"/>
      <c r="N363" s="11" t="n"/>
      <c r="O363" s="11" t="n"/>
      <c r="P363" s="14">
        <f>IF(AND(M363&lt;&gt;"",O363=""),"保留中","")</f>
        <v/>
      </c>
      <c r="Q363" s="14">
        <f>IF(P363="保留中",COUNTIF(P$6:P363,"保留中"),"")</f>
        <v/>
      </c>
    </row>
    <row r="364">
      <c r="A364" s="12" t="n"/>
      <c r="B364">
        <f>IF($A364="","",IFERROR(IF(LOOKUP(2,1/(人給データ!$B$2:$B$700=$A364),人給データ!$C$2:$C$700)=0,"",LOOKUP(2,1/(人給データ!$B$2:$B$700=$A364),人給データ!$C$2:$C$700)),""))</f>
        <v/>
      </c>
      <c r="C364">
        <f>IF($A364="","",IFERROR(IF(LOOKUP(2,1/(人給データ!$B$2:$B$700=$A364),人給データ!$G$2:$G$700)=0,"",LOOKUP(2,1/(人給データ!$B$2:$B$700=$A364),人給データ!$G$2:$G$700)),""))</f>
        <v/>
      </c>
      <c r="D364">
        <f>IF($A364="","",IFERROR(IF(LOOKUP(2,1/(人給データ!$B$2:$B$700=$A364),人給データ!$Y$2:$Y$700)=0,"",LOOKUP(2,1/(人給データ!$B$2:$B$700=$A364),人給データ!$Y$2:$Y$700)),""))</f>
        <v/>
      </c>
      <c r="E364" s="20">
        <f>IF($A364="","",IFERROR(IF(LOOKUP(2,1/(人給データ!$B$2:$B$700=$A364),人給データ!$AB$2:$AB$700)=0,"",LOOKUP(2,1/(人給データ!$B$2:$B$700=$A364),人給データ!$AB$2:$AB$700)),""))</f>
        <v/>
      </c>
      <c r="F364" s="16">
        <f>IF(OR(E364="",NOT(ISNUMBER(E364))),"",DATE(YEAR(E364)+2,MONTH(E364),DAY(E364)-2))</f>
        <v/>
      </c>
      <c r="G364" s="20">
        <f>IF($A364="","",IFERROR(IF(LOOKUP(2,1/(人給データ!$B$2:$B$700=$A364),人給データ!$J$2:$J$700)=0,"",LOOKUP(2,1/(人給データ!$B$2:$B$700=$A364),人給データ!$J$2:$J$700)),""))</f>
        <v/>
      </c>
      <c r="H364" s="20">
        <f>IF($A364="","",IFERROR(IF(LOOKUP(2,1/(人給データ!$B$2:$B$700=$A364),人給データ!$K$2:$K$700)=0,"",LOOKUP(2,1/(人給データ!$B$2:$B$700=$A364),人給データ!$K$2:$K$700)),""))</f>
        <v/>
      </c>
      <c r="I364" s="12" t="n"/>
      <c r="J364">
        <f>IF($A364="","",IFERROR(IF(LOOKUP(2,1/(人給データ!$B$2:$B$700=$A364),人給データ!$N$2:$N$700)=0,"",LOOKUP(2,1/(人給データ!$B$2:$B$700=$A364),人給データ!$N$2:$N$700)),""))</f>
        <v/>
      </c>
      <c r="K364" s="13" t="n"/>
      <c r="L364" s="12" t="n"/>
      <c r="M364" s="12" t="n"/>
      <c r="N364" s="11" t="n"/>
      <c r="O364" s="11" t="n"/>
      <c r="P364" s="14">
        <f>IF(AND(M364&lt;&gt;"",O364=""),"保留中","")</f>
        <v/>
      </c>
      <c r="Q364" s="14">
        <f>IF(P364="保留中",COUNTIF(P$6:P364,"保留中"),"")</f>
        <v/>
      </c>
    </row>
    <row r="365">
      <c r="A365" s="12" t="n"/>
      <c r="B365">
        <f>IF($A365="","",IFERROR(IF(LOOKUP(2,1/(人給データ!$B$2:$B$700=$A365),人給データ!$C$2:$C$700)=0,"",LOOKUP(2,1/(人給データ!$B$2:$B$700=$A365),人給データ!$C$2:$C$700)),""))</f>
        <v/>
      </c>
      <c r="C365">
        <f>IF($A365="","",IFERROR(IF(LOOKUP(2,1/(人給データ!$B$2:$B$700=$A365),人給データ!$G$2:$G$700)=0,"",LOOKUP(2,1/(人給データ!$B$2:$B$700=$A365),人給データ!$G$2:$G$700)),""))</f>
        <v/>
      </c>
      <c r="D365">
        <f>IF($A365="","",IFERROR(IF(LOOKUP(2,1/(人給データ!$B$2:$B$700=$A365),人給データ!$Y$2:$Y$700)=0,"",LOOKUP(2,1/(人給データ!$B$2:$B$700=$A365),人給データ!$Y$2:$Y$700)),""))</f>
        <v/>
      </c>
      <c r="E365" s="20">
        <f>IF($A365="","",IFERROR(IF(LOOKUP(2,1/(人給データ!$B$2:$B$700=$A365),人給データ!$AB$2:$AB$700)=0,"",LOOKUP(2,1/(人給データ!$B$2:$B$700=$A365),人給データ!$AB$2:$AB$700)),""))</f>
        <v/>
      </c>
      <c r="F365" s="16">
        <f>IF(OR(E365="",NOT(ISNUMBER(E365))),"",DATE(YEAR(E365)+2,MONTH(E365),DAY(E365)-2))</f>
        <v/>
      </c>
      <c r="G365" s="20">
        <f>IF($A365="","",IFERROR(IF(LOOKUP(2,1/(人給データ!$B$2:$B$700=$A365),人給データ!$J$2:$J$700)=0,"",LOOKUP(2,1/(人給データ!$B$2:$B$700=$A365),人給データ!$J$2:$J$700)),""))</f>
        <v/>
      </c>
      <c r="H365" s="20">
        <f>IF($A365="","",IFERROR(IF(LOOKUP(2,1/(人給データ!$B$2:$B$700=$A365),人給データ!$K$2:$K$700)=0,"",LOOKUP(2,1/(人給データ!$B$2:$B$700=$A365),人給データ!$K$2:$K$700)),""))</f>
        <v/>
      </c>
      <c r="I365" s="12" t="n"/>
      <c r="J365">
        <f>IF($A365="","",IFERROR(IF(LOOKUP(2,1/(人給データ!$B$2:$B$700=$A365),人給データ!$N$2:$N$700)=0,"",LOOKUP(2,1/(人給データ!$B$2:$B$700=$A365),人給データ!$N$2:$N$700)),""))</f>
        <v/>
      </c>
      <c r="K365" s="13" t="n"/>
      <c r="L365" s="12" t="n"/>
      <c r="M365" s="12" t="n"/>
      <c r="N365" s="11" t="n"/>
      <c r="O365" s="11" t="n"/>
      <c r="P365" s="14">
        <f>IF(AND(M365&lt;&gt;"",O365=""),"保留中","")</f>
        <v/>
      </c>
      <c r="Q365" s="14">
        <f>IF(P365="保留中",COUNTIF(P$6:P365,"保留中"),"")</f>
        <v/>
      </c>
    </row>
    <row r="366">
      <c r="A366" s="12" t="n"/>
      <c r="B366">
        <f>IF($A366="","",IFERROR(IF(LOOKUP(2,1/(人給データ!$B$2:$B$700=$A366),人給データ!$C$2:$C$700)=0,"",LOOKUP(2,1/(人給データ!$B$2:$B$700=$A366),人給データ!$C$2:$C$700)),""))</f>
        <v/>
      </c>
      <c r="C366">
        <f>IF($A366="","",IFERROR(IF(LOOKUP(2,1/(人給データ!$B$2:$B$700=$A366),人給データ!$G$2:$G$700)=0,"",LOOKUP(2,1/(人給データ!$B$2:$B$700=$A366),人給データ!$G$2:$G$700)),""))</f>
        <v/>
      </c>
      <c r="D366">
        <f>IF($A366="","",IFERROR(IF(LOOKUP(2,1/(人給データ!$B$2:$B$700=$A366),人給データ!$Y$2:$Y$700)=0,"",LOOKUP(2,1/(人給データ!$B$2:$B$700=$A366),人給データ!$Y$2:$Y$700)),""))</f>
        <v/>
      </c>
      <c r="E366" s="20">
        <f>IF($A366="","",IFERROR(IF(LOOKUP(2,1/(人給データ!$B$2:$B$700=$A366),人給データ!$AB$2:$AB$700)=0,"",LOOKUP(2,1/(人給データ!$B$2:$B$700=$A366),人給データ!$AB$2:$AB$700)),""))</f>
        <v/>
      </c>
      <c r="F366" s="16">
        <f>IF(OR(E366="",NOT(ISNUMBER(E366))),"",DATE(YEAR(E366)+2,MONTH(E366),DAY(E366)-2))</f>
        <v/>
      </c>
      <c r="G366" s="20">
        <f>IF($A366="","",IFERROR(IF(LOOKUP(2,1/(人給データ!$B$2:$B$700=$A366),人給データ!$J$2:$J$700)=0,"",LOOKUP(2,1/(人給データ!$B$2:$B$700=$A366),人給データ!$J$2:$J$700)),""))</f>
        <v/>
      </c>
      <c r="H366" s="20">
        <f>IF($A366="","",IFERROR(IF(LOOKUP(2,1/(人給データ!$B$2:$B$700=$A366),人給データ!$K$2:$K$700)=0,"",LOOKUP(2,1/(人給データ!$B$2:$B$700=$A366),人給データ!$K$2:$K$700)),""))</f>
        <v/>
      </c>
      <c r="I366" s="12" t="n"/>
      <c r="J366">
        <f>IF($A366="","",IFERROR(IF(LOOKUP(2,1/(人給データ!$B$2:$B$700=$A366),人給データ!$N$2:$N$700)=0,"",LOOKUP(2,1/(人給データ!$B$2:$B$700=$A366),人給データ!$N$2:$N$700)),""))</f>
        <v/>
      </c>
      <c r="K366" s="13" t="n"/>
      <c r="L366" s="12" t="n"/>
      <c r="M366" s="12" t="n"/>
      <c r="N366" s="11" t="n"/>
      <c r="O366" s="11" t="n"/>
      <c r="P366" s="14">
        <f>IF(AND(M366&lt;&gt;"",O366=""),"保留中","")</f>
        <v/>
      </c>
      <c r="Q366" s="14">
        <f>IF(P366="保留中",COUNTIF(P$6:P366,"保留中"),"")</f>
        <v/>
      </c>
    </row>
    <row r="367">
      <c r="A367" s="12" t="n"/>
      <c r="B367">
        <f>IF($A367="","",IFERROR(IF(LOOKUP(2,1/(人給データ!$B$2:$B$700=$A367),人給データ!$C$2:$C$700)=0,"",LOOKUP(2,1/(人給データ!$B$2:$B$700=$A367),人給データ!$C$2:$C$700)),""))</f>
        <v/>
      </c>
      <c r="C367">
        <f>IF($A367="","",IFERROR(IF(LOOKUP(2,1/(人給データ!$B$2:$B$700=$A367),人給データ!$G$2:$G$700)=0,"",LOOKUP(2,1/(人給データ!$B$2:$B$700=$A367),人給データ!$G$2:$G$700)),""))</f>
        <v/>
      </c>
      <c r="D367">
        <f>IF($A367="","",IFERROR(IF(LOOKUP(2,1/(人給データ!$B$2:$B$700=$A367),人給データ!$Y$2:$Y$700)=0,"",LOOKUP(2,1/(人給データ!$B$2:$B$700=$A367),人給データ!$Y$2:$Y$700)),""))</f>
        <v/>
      </c>
      <c r="E367" s="20">
        <f>IF($A367="","",IFERROR(IF(LOOKUP(2,1/(人給データ!$B$2:$B$700=$A367),人給データ!$AB$2:$AB$700)=0,"",LOOKUP(2,1/(人給データ!$B$2:$B$700=$A367),人給データ!$AB$2:$AB$700)),""))</f>
        <v/>
      </c>
      <c r="F367" s="16">
        <f>IF(OR(E367="",NOT(ISNUMBER(E367))),"",DATE(YEAR(E367)+2,MONTH(E367),DAY(E367)-2))</f>
        <v/>
      </c>
      <c r="G367" s="20">
        <f>IF($A367="","",IFERROR(IF(LOOKUP(2,1/(人給データ!$B$2:$B$700=$A367),人給データ!$J$2:$J$700)=0,"",LOOKUP(2,1/(人給データ!$B$2:$B$700=$A367),人給データ!$J$2:$J$700)),""))</f>
        <v/>
      </c>
      <c r="H367" s="20">
        <f>IF($A367="","",IFERROR(IF(LOOKUP(2,1/(人給データ!$B$2:$B$700=$A367),人給データ!$K$2:$K$700)=0,"",LOOKUP(2,1/(人給データ!$B$2:$B$700=$A367),人給データ!$K$2:$K$700)),""))</f>
        <v/>
      </c>
      <c r="I367" s="12" t="n"/>
      <c r="J367">
        <f>IF($A367="","",IFERROR(IF(LOOKUP(2,1/(人給データ!$B$2:$B$700=$A367),人給データ!$N$2:$N$700)=0,"",LOOKUP(2,1/(人給データ!$B$2:$B$700=$A367),人給データ!$N$2:$N$700)),""))</f>
        <v/>
      </c>
      <c r="K367" s="13" t="n"/>
      <c r="L367" s="12" t="n"/>
      <c r="M367" s="12" t="n"/>
      <c r="N367" s="11" t="n"/>
      <c r="O367" s="11" t="n"/>
      <c r="P367" s="14">
        <f>IF(AND(M367&lt;&gt;"",O367=""),"保留中","")</f>
        <v/>
      </c>
      <c r="Q367" s="14">
        <f>IF(P367="保留中",COUNTIF(P$6:P367,"保留中"),"")</f>
        <v/>
      </c>
    </row>
    <row r="368">
      <c r="A368" s="12" t="n"/>
      <c r="B368">
        <f>IF($A368="","",IFERROR(IF(LOOKUP(2,1/(人給データ!$B$2:$B$700=$A368),人給データ!$C$2:$C$700)=0,"",LOOKUP(2,1/(人給データ!$B$2:$B$700=$A368),人給データ!$C$2:$C$700)),""))</f>
        <v/>
      </c>
      <c r="C368">
        <f>IF($A368="","",IFERROR(IF(LOOKUP(2,1/(人給データ!$B$2:$B$700=$A368),人給データ!$G$2:$G$700)=0,"",LOOKUP(2,1/(人給データ!$B$2:$B$700=$A368),人給データ!$G$2:$G$700)),""))</f>
        <v/>
      </c>
      <c r="D368">
        <f>IF($A368="","",IFERROR(IF(LOOKUP(2,1/(人給データ!$B$2:$B$700=$A368),人給データ!$Y$2:$Y$700)=0,"",LOOKUP(2,1/(人給データ!$B$2:$B$700=$A368),人給データ!$Y$2:$Y$700)),""))</f>
        <v/>
      </c>
      <c r="E368" s="20">
        <f>IF($A368="","",IFERROR(IF(LOOKUP(2,1/(人給データ!$B$2:$B$700=$A368),人給データ!$AB$2:$AB$700)=0,"",LOOKUP(2,1/(人給データ!$B$2:$B$700=$A368),人給データ!$AB$2:$AB$700)),""))</f>
        <v/>
      </c>
      <c r="F368" s="16">
        <f>IF(OR(E368="",NOT(ISNUMBER(E368))),"",DATE(YEAR(E368)+2,MONTH(E368),DAY(E368)-2))</f>
        <v/>
      </c>
      <c r="G368" s="20">
        <f>IF($A368="","",IFERROR(IF(LOOKUP(2,1/(人給データ!$B$2:$B$700=$A368),人給データ!$J$2:$J$700)=0,"",LOOKUP(2,1/(人給データ!$B$2:$B$700=$A368),人給データ!$J$2:$J$700)),""))</f>
        <v/>
      </c>
      <c r="H368" s="20">
        <f>IF($A368="","",IFERROR(IF(LOOKUP(2,1/(人給データ!$B$2:$B$700=$A368),人給データ!$K$2:$K$700)=0,"",LOOKUP(2,1/(人給データ!$B$2:$B$700=$A368),人給データ!$K$2:$K$700)),""))</f>
        <v/>
      </c>
      <c r="I368" s="12" t="n"/>
      <c r="J368">
        <f>IF($A368="","",IFERROR(IF(LOOKUP(2,1/(人給データ!$B$2:$B$700=$A368),人給データ!$N$2:$N$700)=0,"",LOOKUP(2,1/(人給データ!$B$2:$B$700=$A368),人給データ!$N$2:$N$700)),""))</f>
        <v/>
      </c>
      <c r="K368" s="13" t="n"/>
      <c r="L368" s="12" t="n"/>
      <c r="M368" s="12" t="n"/>
      <c r="N368" s="11" t="n"/>
      <c r="O368" s="11" t="n"/>
      <c r="P368" s="14">
        <f>IF(AND(M368&lt;&gt;"",O368=""),"保留中","")</f>
        <v/>
      </c>
      <c r="Q368" s="14">
        <f>IF(P368="保留中",COUNTIF(P$6:P368,"保留中"),"")</f>
        <v/>
      </c>
    </row>
    <row r="369">
      <c r="A369" s="12" t="n"/>
      <c r="B369">
        <f>IF($A369="","",IFERROR(IF(LOOKUP(2,1/(人給データ!$B$2:$B$700=$A369),人給データ!$C$2:$C$700)=0,"",LOOKUP(2,1/(人給データ!$B$2:$B$700=$A369),人給データ!$C$2:$C$700)),""))</f>
        <v/>
      </c>
      <c r="C369">
        <f>IF($A369="","",IFERROR(IF(LOOKUP(2,1/(人給データ!$B$2:$B$700=$A369),人給データ!$G$2:$G$700)=0,"",LOOKUP(2,1/(人給データ!$B$2:$B$700=$A369),人給データ!$G$2:$G$700)),""))</f>
        <v/>
      </c>
      <c r="D369">
        <f>IF($A369="","",IFERROR(IF(LOOKUP(2,1/(人給データ!$B$2:$B$700=$A369),人給データ!$Y$2:$Y$700)=0,"",LOOKUP(2,1/(人給データ!$B$2:$B$700=$A369),人給データ!$Y$2:$Y$700)),""))</f>
        <v/>
      </c>
      <c r="E369" s="20">
        <f>IF($A369="","",IFERROR(IF(LOOKUP(2,1/(人給データ!$B$2:$B$700=$A369),人給データ!$AB$2:$AB$700)=0,"",LOOKUP(2,1/(人給データ!$B$2:$B$700=$A369),人給データ!$AB$2:$AB$700)),""))</f>
        <v/>
      </c>
      <c r="F369" s="16">
        <f>IF(OR(E369="",NOT(ISNUMBER(E369))),"",DATE(YEAR(E369)+2,MONTH(E369),DAY(E369)-2))</f>
        <v/>
      </c>
      <c r="G369" s="20">
        <f>IF($A369="","",IFERROR(IF(LOOKUP(2,1/(人給データ!$B$2:$B$700=$A369),人給データ!$J$2:$J$700)=0,"",LOOKUP(2,1/(人給データ!$B$2:$B$700=$A369),人給データ!$J$2:$J$700)),""))</f>
        <v/>
      </c>
      <c r="H369" s="20">
        <f>IF($A369="","",IFERROR(IF(LOOKUP(2,1/(人給データ!$B$2:$B$700=$A369),人給データ!$K$2:$K$700)=0,"",LOOKUP(2,1/(人給データ!$B$2:$B$700=$A369),人給データ!$K$2:$K$700)),""))</f>
        <v/>
      </c>
      <c r="I369" s="12" t="n"/>
      <c r="J369">
        <f>IF($A369="","",IFERROR(IF(LOOKUP(2,1/(人給データ!$B$2:$B$700=$A369),人給データ!$N$2:$N$700)=0,"",LOOKUP(2,1/(人給データ!$B$2:$B$700=$A369),人給データ!$N$2:$N$700)),""))</f>
        <v/>
      </c>
      <c r="K369" s="13" t="n"/>
      <c r="L369" s="12" t="n"/>
      <c r="M369" s="12" t="n"/>
      <c r="N369" s="11" t="n"/>
      <c r="O369" s="11" t="n"/>
      <c r="P369" s="14">
        <f>IF(AND(M369&lt;&gt;"",O369=""),"保留中","")</f>
        <v/>
      </c>
      <c r="Q369" s="14">
        <f>IF(P369="保留中",COUNTIF(P$6:P369,"保留中"),"")</f>
        <v/>
      </c>
    </row>
    <row r="370">
      <c r="A370" s="12" t="n"/>
      <c r="B370">
        <f>IF($A370="","",IFERROR(IF(LOOKUP(2,1/(人給データ!$B$2:$B$700=$A370),人給データ!$C$2:$C$700)=0,"",LOOKUP(2,1/(人給データ!$B$2:$B$700=$A370),人給データ!$C$2:$C$700)),""))</f>
        <v/>
      </c>
      <c r="C370">
        <f>IF($A370="","",IFERROR(IF(LOOKUP(2,1/(人給データ!$B$2:$B$700=$A370),人給データ!$G$2:$G$700)=0,"",LOOKUP(2,1/(人給データ!$B$2:$B$700=$A370),人給データ!$G$2:$G$700)),""))</f>
        <v/>
      </c>
      <c r="D370">
        <f>IF($A370="","",IFERROR(IF(LOOKUP(2,1/(人給データ!$B$2:$B$700=$A370),人給データ!$Y$2:$Y$700)=0,"",LOOKUP(2,1/(人給データ!$B$2:$B$700=$A370),人給データ!$Y$2:$Y$700)),""))</f>
        <v/>
      </c>
      <c r="E370" s="20">
        <f>IF($A370="","",IFERROR(IF(LOOKUP(2,1/(人給データ!$B$2:$B$700=$A370),人給データ!$AB$2:$AB$700)=0,"",LOOKUP(2,1/(人給データ!$B$2:$B$700=$A370),人給データ!$AB$2:$AB$700)),""))</f>
        <v/>
      </c>
      <c r="F370" s="16">
        <f>IF(OR(E370="",NOT(ISNUMBER(E370))),"",DATE(YEAR(E370)+2,MONTH(E370),DAY(E370)-2))</f>
        <v/>
      </c>
      <c r="G370" s="20">
        <f>IF($A370="","",IFERROR(IF(LOOKUP(2,1/(人給データ!$B$2:$B$700=$A370),人給データ!$J$2:$J$700)=0,"",LOOKUP(2,1/(人給データ!$B$2:$B$700=$A370),人給データ!$J$2:$J$700)),""))</f>
        <v/>
      </c>
      <c r="H370" s="20">
        <f>IF($A370="","",IFERROR(IF(LOOKUP(2,1/(人給データ!$B$2:$B$700=$A370),人給データ!$K$2:$K$700)=0,"",LOOKUP(2,1/(人給データ!$B$2:$B$700=$A370),人給データ!$K$2:$K$700)),""))</f>
        <v/>
      </c>
      <c r="I370" s="12" t="n"/>
      <c r="J370">
        <f>IF($A370="","",IFERROR(IF(LOOKUP(2,1/(人給データ!$B$2:$B$700=$A370),人給データ!$N$2:$N$700)=0,"",LOOKUP(2,1/(人給データ!$B$2:$B$700=$A370),人給データ!$N$2:$N$700)),""))</f>
        <v/>
      </c>
      <c r="K370" s="13" t="n"/>
      <c r="L370" s="12" t="n"/>
      <c r="M370" s="12" t="n"/>
      <c r="N370" s="11" t="n"/>
      <c r="O370" s="11" t="n"/>
      <c r="P370" s="14">
        <f>IF(AND(M370&lt;&gt;"",O370=""),"保留中","")</f>
        <v/>
      </c>
      <c r="Q370" s="14">
        <f>IF(P370="保留中",COUNTIF(P$6:P370,"保留中"),"")</f>
        <v/>
      </c>
    </row>
    <row r="371">
      <c r="A371" s="12" t="n"/>
      <c r="B371">
        <f>IF($A371="","",IFERROR(IF(LOOKUP(2,1/(人給データ!$B$2:$B$700=$A371),人給データ!$C$2:$C$700)=0,"",LOOKUP(2,1/(人給データ!$B$2:$B$700=$A371),人給データ!$C$2:$C$700)),""))</f>
        <v/>
      </c>
      <c r="C371">
        <f>IF($A371="","",IFERROR(IF(LOOKUP(2,1/(人給データ!$B$2:$B$700=$A371),人給データ!$G$2:$G$700)=0,"",LOOKUP(2,1/(人給データ!$B$2:$B$700=$A371),人給データ!$G$2:$G$700)),""))</f>
        <v/>
      </c>
      <c r="D371">
        <f>IF($A371="","",IFERROR(IF(LOOKUP(2,1/(人給データ!$B$2:$B$700=$A371),人給データ!$Y$2:$Y$700)=0,"",LOOKUP(2,1/(人給データ!$B$2:$B$700=$A371),人給データ!$Y$2:$Y$700)),""))</f>
        <v/>
      </c>
      <c r="E371" s="20">
        <f>IF($A371="","",IFERROR(IF(LOOKUP(2,1/(人給データ!$B$2:$B$700=$A371),人給データ!$AB$2:$AB$700)=0,"",LOOKUP(2,1/(人給データ!$B$2:$B$700=$A371),人給データ!$AB$2:$AB$700)),""))</f>
        <v/>
      </c>
      <c r="F371" s="16">
        <f>IF(OR(E371="",NOT(ISNUMBER(E371))),"",DATE(YEAR(E371)+2,MONTH(E371),DAY(E371)-2))</f>
        <v/>
      </c>
      <c r="G371" s="20">
        <f>IF($A371="","",IFERROR(IF(LOOKUP(2,1/(人給データ!$B$2:$B$700=$A371),人給データ!$J$2:$J$700)=0,"",LOOKUP(2,1/(人給データ!$B$2:$B$700=$A371),人給データ!$J$2:$J$700)),""))</f>
        <v/>
      </c>
      <c r="H371" s="20">
        <f>IF($A371="","",IFERROR(IF(LOOKUP(2,1/(人給データ!$B$2:$B$700=$A371),人給データ!$K$2:$K$700)=0,"",LOOKUP(2,1/(人給データ!$B$2:$B$700=$A371),人給データ!$K$2:$K$700)),""))</f>
        <v/>
      </c>
      <c r="I371" s="12" t="n"/>
      <c r="J371">
        <f>IF($A371="","",IFERROR(IF(LOOKUP(2,1/(人給データ!$B$2:$B$700=$A371),人給データ!$N$2:$N$700)=0,"",LOOKUP(2,1/(人給データ!$B$2:$B$700=$A371),人給データ!$N$2:$N$700)),""))</f>
        <v/>
      </c>
      <c r="K371" s="13" t="n"/>
      <c r="L371" s="12" t="n"/>
      <c r="M371" s="12" t="n"/>
      <c r="N371" s="11" t="n"/>
      <c r="O371" s="11" t="n"/>
      <c r="P371" s="14">
        <f>IF(AND(M371&lt;&gt;"",O371=""),"保留中","")</f>
        <v/>
      </c>
      <c r="Q371" s="14">
        <f>IF(P371="保留中",COUNTIF(P$6:P371,"保留中"),"")</f>
        <v/>
      </c>
    </row>
    <row r="372">
      <c r="A372" s="12" t="n"/>
      <c r="B372">
        <f>IF($A372="","",IFERROR(IF(LOOKUP(2,1/(人給データ!$B$2:$B$700=$A372),人給データ!$C$2:$C$700)=0,"",LOOKUP(2,1/(人給データ!$B$2:$B$700=$A372),人給データ!$C$2:$C$700)),""))</f>
        <v/>
      </c>
      <c r="C372">
        <f>IF($A372="","",IFERROR(IF(LOOKUP(2,1/(人給データ!$B$2:$B$700=$A372),人給データ!$G$2:$G$700)=0,"",LOOKUP(2,1/(人給データ!$B$2:$B$700=$A372),人給データ!$G$2:$G$700)),""))</f>
        <v/>
      </c>
      <c r="D372">
        <f>IF($A372="","",IFERROR(IF(LOOKUP(2,1/(人給データ!$B$2:$B$700=$A372),人給データ!$Y$2:$Y$700)=0,"",LOOKUP(2,1/(人給データ!$B$2:$B$700=$A372),人給データ!$Y$2:$Y$700)),""))</f>
        <v/>
      </c>
      <c r="E372" s="20">
        <f>IF($A372="","",IFERROR(IF(LOOKUP(2,1/(人給データ!$B$2:$B$700=$A372),人給データ!$AB$2:$AB$700)=0,"",LOOKUP(2,1/(人給データ!$B$2:$B$700=$A372),人給データ!$AB$2:$AB$700)),""))</f>
        <v/>
      </c>
      <c r="F372" s="16">
        <f>IF(OR(E372="",NOT(ISNUMBER(E372))),"",DATE(YEAR(E372)+2,MONTH(E372),DAY(E372)-2))</f>
        <v/>
      </c>
      <c r="G372" s="20">
        <f>IF($A372="","",IFERROR(IF(LOOKUP(2,1/(人給データ!$B$2:$B$700=$A372),人給データ!$J$2:$J$700)=0,"",LOOKUP(2,1/(人給データ!$B$2:$B$700=$A372),人給データ!$J$2:$J$700)),""))</f>
        <v/>
      </c>
      <c r="H372" s="20">
        <f>IF($A372="","",IFERROR(IF(LOOKUP(2,1/(人給データ!$B$2:$B$700=$A372),人給データ!$K$2:$K$700)=0,"",LOOKUP(2,1/(人給データ!$B$2:$B$700=$A372),人給データ!$K$2:$K$700)),""))</f>
        <v/>
      </c>
      <c r="I372" s="12" t="n"/>
      <c r="J372">
        <f>IF($A372="","",IFERROR(IF(LOOKUP(2,1/(人給データ!$B$2:$B$700=$A372),人給データ!$N$2:$N$700)=0,"",LOOKUP(2,1/(人給データ!$B$2:$B$700=$A372),人給データ!$N$2:$N$700)),""))</f>
        <v/>
      </c>
      <c r="K372" s="13" t="n"/>
      <c r="L372" s="12" t="n"/>
      <c r="M372" s="12" t="n"/>
      <c r="N372" s="11" t="n"/>
      <c r="O372" s="11" t="n"/>
      <c r="P372" s="14">
        <f>IF(AND(M372&lt;&gt;"",O372=""),"保留中","")</f>
        <v/>
      </c>
      <c r="Q372" s="14">
        <f>IF(P372="保留中",COUNTIF(P$6:P372,"保留中"),"")</f>
        <v/>
      </c>
    </row>
    <row r="373">
      <c r="A373" s="12" t="n"/>
      <c r="B373">
        <f>IF($A373="","",IFERROR(IF(LOOKUP(2,1/(人給データ!$B$2:$B$700=$A373),人給データ!$C$2:$C$700)=0,"",LOOKUP(2,1/(人給データ!$B$2:$B$700=$A373),人給データ!$C$2:$C$700)),""))</f>
        <v/>
      </c>
      <c r="C373">
        <f>IF($A373="","",IFERROR(IF(LOOKUP(2,1/(人給データ!$B$2:$B$700=$A373),人給データ!$G$2:$G$700)=0,"",LOOKUP(2,1/(人給データ!$B$2:$B$700=$A373),人給データ!$G$2:$G$700)),""))</f>
        <v/>
      </c>
      <c r="D373">
        <f>IF($A373="","",IFERROR(IF(LOOKUP(2,1/(人給データ!$B$2:$B$700=$A373),人給データ!$Y$2:$Y$700)=0,"",LOOKUP(2,1/(人給データ!$B$2:$B$700=$A373),人給データ!$Y$2:$Y$700)),""))</f>
        <v/>
      </c>
      <c r="E373" s="20">
        <f>IF($A373="","",IFERROR(IF(LOOKUP(2,1/(人給データ!$B$2:$B$700=$A373),人給データ!$AB$2:$AB$700)=0,"",LOOKUP(2,1/(人給データ!$B$2:$B$700=$A373),人給データ!$AB$2:$AB$700)),""))</f>
        <v/>
      </c>
      <c r="F373" s="16">
        <f>IF(OR(E373="",NOT(ISNUMBER(E373))),"",DATE(YEAR(E373)+2,MONTH(E373),DAY(E373)-2))</f>
        <v/>
      </c>
      <c r="G373" s="20">
        <f>IF($A373="","",IFERROR(IF(LOOKUP(2,1/(人給データ!$B$2:$B$700=$A373),人給データ!$J$2:$J$700)=0,"",LOOKUP(2,1/(人給データ!$B$2:$B$700=$A373),人給データ!$J$2:$J$700)),""))</f>
        <v/>
      </c>
      <c r="H373" s="20">
        <f>IF($A373="","",IFERROR(IF(LOOKUP(2,1/(人給データ!$B$2:$B$700=$A373),人給データ!$K$2:$K$700)=0,"",LOOKUP(2,1/(人給データ!$B$2:$B$700=$A373),人給データ!$K$2:$K$700)),""))</f>
        <v/>
      </c>
      <c r="I373" s="12" t="n"/>
      <c r="J373">
        <f>IF($A373="","",IFERROR(IF(LOOKUP(2,1/(人給データ!$B$2:$B$700=$A373),人給データ!$N$2:$N$700)=0,"",LOOKUP(2,1/(人給データ!$B$2:$B$700=$A373),人給データ!$N$2:$N$700)),""))</f>
        <v/>
      </c>
      <c r="K373" s="13" t="n"/>
      <c r="L373" s="12" t="n"/>
      <c r="M373" s="12" t="n"/>
      <c r="N373" s="11" t="n"/>
      <c r="O373" s="11" t="n"/>
      <c r="P373" s="14">
        <f>IF(AND(M373&lt;&gt;"",O373=""),"保留中","")</f>
        <v/>
      </c>
      <c r="Q373" s="14">
        <f>IF(P373="保留中",COUNTIF(P$6:P373,"保留中"),"")</f>
        <v/>
      </c>
    </row>
    <row r="374">
      <c r="A374" s="12" t="n"/>
      <c r="B374">
        <f>IF($A374="","",IFERROR(IF(LOOKUP(2,1/(人給データ!$B$2:$B$700=$A374),人給データ!$C$2:$C$700)=0,"",LOOKUP(2,1/(人給データ!$B$2:$B$700=$A374),人給データ!$C$2:$C$700)),""))</f>
        <v/>
      </c>
      <c r="C374">
        <f>IF($A374="","",IFERROR(IF(LOOKUP(2,1/(人給データ!$B$2:$B$700=$A374),人給データ!$G$2:$G$700)=0,"",LOOKUP(2,1/(人給データ!$B$2:$B$700=$A374),人給データ!$G$2:$G$700)),""))</f>
        <v/>
      </c>
      <c r="D374">
        <f>IF($A374="","",IFERROR(IF(LOOKUP(2,1/(人給データ!$B$2:$B$700=$A374),人給データ!$Y$2:$Y$700)=0,"",LOOKUP(2,1/(人給データ!$B$2:$B$700=$A374),人給データ!$Y$2:$Y$700)),""))</f>
        <v/>
      </c>
      <c r="E374" s="20">
        <f>IF($A374="","",IFERROR(IF(LOOKUP(2,1/(人給データ!$B$2:$B$700=$A374),人給データ!$AB$2:$AB$700)=0,"",LOOKUP(2,1/(人給データ!$B$2:$B$700=$A374),人給データ!$AB$2:$AB$700)),""))</f>
        <v/>
      </c>
      <c r="F374" s="16">
        <f>IF(OR(E374="",NOT(ISNUMBER(E374))),"",DATE(YEAR(E374)+2,MONTH(E374),DAY(E374)-2))</f>
        <v/>
      </c>
      <c r="G374" s="20">
        <f>IF($A374="","",IFERROR(IF(LOOKUP(2,1/(人給データ!$B$2:$B$700=$A374),人給データ!$J$2:$J$700)=0,"",LOOKUP(2,1/(人給データ!$B$2:$B$700=$A374),人給データ!$J$2:$J$700)),""))</f>
        <v/>
      </c>
      <c r="H374" s="20">
        <f>IF($A374="","",IFERROR(IF(LOOKUP(2,1/(人給データ!$B$2:$B$700=$A374),人給データ!$K$2:$K$700)=0,"",LOOKUP(2,1/(人給データ!$B$2:$B$700=$A374),人給データ!$K$2:$K$700)),""))</f>
        <v/>
      </c>
      <c r="I374" s="12" t="n"/>
      <c r="J374">
        <f>IF($A374="","",IFERROR(IF(LOOKUP(2,1/(人給データ!$B$2:$B$700=$A374),人給データ!$N$2:$N$700)=0,"",LOOKUP(2,1/(人給データ!$B$2:$B$700=$A374),人給データ!$N$2:$N$700)),""))</f>
        <v/>
      </c>
      <c r="K374" s="13" t="n"/>
      <c r="L374" s="12" t="n"/>
      <c r="M374" s="12" t="n"/>
      <c r="N374" s="11" t="n"/>
      <c r="O374" s="11" t="n"/>
      <c r="P374" s="14">
        <f>IF(AND(M374&lt;&gt;"",O374=""),"保留中","")</f>
        <v/>
      </c>
      <c r="Q374" s="14">
        <f>IF(P374="保留中",COUNTIF(P$6:P374,"保留中"),"")</f>
        <v/>
      </c>
    </row>
    <row r="375">
      <c r="A375" s="12" t="n"/>
      <c r="B375">
        <f>IF($A375="","",IFERROR(IF(LOOKUP(2,1/(人給データ!$B$2:$B$700=$A375),人給データ!$C$2:$C$700)=0,"",LOOKUP(2,1/(人給データ!$B$2:$B$700=$A375),人給データ!$C$2:$C$700)),""))</f>
        <v/>
      </c>
      <c r="C375">
        <f>IF($A375="","",IFERROR(IF(LOOKUP(2,1/(人給データ!$B$2:$B$700=$A375),人給データ!$G$2:$G$700)=0,"",LOOKUP(2,1/(人給データ!$B$2:$B$700=$A375),人給データ!$G$2:$G$700)),""))</f>
        <v/>
      </c>
      <c r="D375">
        <f>IF($A375="","",IFERROR(IF(LOOKUP(2,1/(人給データ!$B$2:$B$700=$A375),人給データ!$Y$2:$Y$700)=0,"",LOOKUP(2,1/(人給データ!$B$2:$B$700=$A375),人給データ!$Y$2:$Y$700)),""))</f>
        <v/>
      </c>
      <c r="E375" s="20">
        <f>IF($A375="","",IFERROR(IF(LOOKUP(2,1/(人給データ!$B$2:$B$700=$A375),人給データ!$AB$2:$AB$700)=0,"",LOOKUP(2,1/(人給データ!$B$2:$B$700=$A375),人給データ!$AB$2:$AB$700)),""))</f>
        <v/>
      </c>
      <c r="F375" s="16">
        <f>IF(OR(E375="",NOT(ISNUMBER(E375))),"",DATE(YEAR(E375)+2,MONTH(E375),DAY(E375)-2))</f>
        <v/>
      </c>
      <c r="G375" s="20">
        <f>IF($A375="","",IFERROR(IF(LOOKUP(2,1/(人給データ!$B$2:$B$700=$A375),人給データ!$J$2:$J$700)=0,"",LOOKUP(2,1/(人給データ!$B$2:$B$700=$A375),人給データ!$J$2:$J$700)),""))</f>
        <v/>
      </c>
      <c r="H375" s="20">
        <f>IF($A375="","",IFERROR(IF(LOOKUP(2,1/(人給データ!$B$2:$B$700=$A375),人給データ!$K$2:$K$700)=0,"",LOOKUP(2,1/(人給データ!$B$2:$B$700=$A375),人給データ!$K$2:$K$700)),""))</f>
        <v/>
      </c>
      <c r="I375" s="12" t="n"/>
      <c r="J375">
        <f>IF($A375="","",IFERROR(IF(LOOKUP(2,1/(人給データ!$B$2:$B$700=$A375),人給データ!$N$2:$N$700)=0,"",LOOKUP(2,1/(人給データ!$B$2:$B$700=$A375),人給データ!$N$2:$N$700)),""))</f>
        <v/>
      </c>
      <c r="K375" s="13" t="n"/>
      <c r="L375" s="12" t="n"/>
      <c r="M375" s="12" t="n"/>
      <c r="N375" s="11" t="n"/>
      <c r="O375" s="11" t="n"/>
      <c r="P375" s="14">
        <f>IF(AND(M375&lt;&gt;"",O375=""),"保留中","")</f>
        <v/>
      </c>
      <c r="Q375" s="14">
        <f>IF(P375="保留中",COUNTIF(P$6:P375,"保留中"),"")</f>
        <v/>
      </c>
    </row>
    <row r="376">
      <c r="A376" s="12" t="n"/>
      <c r="B376">
        <f>IF($A376="","",IFERROR(IF(LOOKUP(2,1/(人給データ!$B$2:$B$700=$A376),人給データ!$C$2:$C$700)=0,"",LOOKUP(2,1/(人給データ!$B$2:$B$700=$A376),人給データ!$C$2:$C$700)),""))</f>
        <v/>
      </c>
      <c r="C376">
        <f>IF($A376="","",IFERROR(IF(LOOKUP(2,1/(人給データ!$B$2:$B$700=$A376),人給データ!$G$2:$G$700)=0,"",LOOKUP(2,1/(人給データ!$B$2:$B$700=$A376),人給データ!$G$2:$G$700)),""))</f>
        <v/>
      </c>
      <c r="D376">
        <f>IF($A376="","",IFERROR(IF(LOOKUP(2,1/(人給データ!$B$2:$B$700=$A376),人給データ!$Y$2:$Y$700)=0,"",LOOKUP(2,1/(人給データ!$B$2:$B$700=$A376),人給データ!$Y$2:$Y$700)),""))</f>
        <v/>
      </c>
      <c r="E376" s="20">
        <f>IF($A376="","",IFERROR(IF(LOOKUP(2,1/(人給データ!$B$2:$B$700=$A376),人給データ!$AB$2:$AB$700)=0,"",LOOKUP(2,1/(人給データ!$B$2:$B$700=$A376),人給データ!$AB$2:$AB$700)),""))</f>
        <v/>
      </c>
      <c r="F376" s="16">
        <f>IF(OR(E376="",NOT(ISNUMBER(E376))),"",DATE(YEAR(E376)+2,MONTH(E376),DAY(E376)-2))</f>
        <v/>
      </c>
      <c r="G376" s="20">
        <f>IF($A376="","",IFERROR(IF(LOOKUP(2,1/(人給データ!$B$2:$B$700=$A376),人給データ!$J$2:$J$700)=0,"",LOOKUP(2,1/(人給データ!$B$2:$B$700=$A376),人給データ!$J$2:$J$700)),""))</f>
        <v/>
      </c>
      <c r="H376" s="20">
        <f>IF($A376="","",IFERROR(IF(LOOKUP(2,1/(人給データ!$B$2:$B$700=$A376),人給データ!$K$2:$K$700)=0,"",LOOKUP(2,1/(人給データ!$B$2:$B$700=$A376),人給データ!$K$2:$K$700)),""))</f>
        <v/>
      </c>
      <c r="I376" s="12" t="n"/>
      <c r="J376">
        <f>IF($A376="","",IFERROR(IF(LOOKUP(2,1/(人給データ!$B$2:$B$700=$A376),人給データ!$N$2:$N$700)=0,"",LOOKUP(2,1/(人給データ!$B$2:$B$700=$A376),人給データ!$N$2:$N$700)),""))</f>
        <v/>
      </c>
      <c r="K376" s="13" t="n"/>
      <c r="L376" s="12" t="n"/>
      <c r="M376" s="12" t="n"/>
      <c r="N376" s="11" t="n"/>
      <c r="O376" s="11" t="n"/>
      <c r="P376" s="14">
        <f>IF(AND(M376&lt;&gt;"",O376=""),"保留中","")</f>
        <v/>
      </c>
      <c r="Q376" s="14">
        <f>IF(P376="保留中",COUNTIF(P$6:P376,"保留中"),"")</f>
        <v/>
      </c>
    </row>
    <row r="377">
      <c r="A377" s="12" t="n"/>
      <c r="B377">
        <f>IF($A377="","",IFERROR(IF(LOOKUP(2,1/(人給データ!$B$2:$B$700=$A377),人給データ!$C$2:$C$700)=0,"",LOOKUP(2,1/(人給データ!$B$2:$B$700=$A377),人給データ!$C$2:$C$700)),""))</f>
        <v/>
      </c>
      <c r="C377">
        <f>IF($A377="","",IFERROR(IF(LOOKUP(2,1/(人給データ!$B$2:$B$700=$A377),人給データ!$G$2:$G$700)=0,"",LOOKUP(2,1/(人給データ!$B$2:$B$700=$A377),人給データ!$G$2:$G$700)),""))</f>
        <v/>
      </c>
      <c r="D377">
        <f>IF($A377="","",IFERROR(IF(LOOKUP(2,1/(人給データ!$B$2:$B$700=$A377),人給データ!$Y$2:$Y$700)=0,"",LOOKUP(2,1/(人給データ!$B$2:$B$700=$A377),人給データ!$Y$2:$Y$700)),""))</f>
        <v/>
      </c>
      <c r="E377" s="20">
        <f>IF($A377="","",IFERROR(IF(LOOKUP(2,1/(人給データ!$B$2:$B$700=$A377),人給データ!$AB$2:$AB$700)=0,"",LOOKUP(2,1/(人給データ!$B$2:$B$700=$A377),人給データ!$AB$2:$AB$700)),""))</f>
        <v/>
      </c>
      <c r="F377" s="16">
        <f>IF(OR(E377="",NOT(ISNUMBER(E377))),"",DATE(YEAR(E377)+2,MONTH(E377),DAY(E377)-2))</f>
        <v/>
      </c>
      <c r="G377" s="20">
        <f>IF($A377="","",IFERROR(IF(LOOKUP(2,1/(人給データ!$B$2:$B$700=$A377),人給データ!$J$2:$J$700)=0,"",LOOKUP(2,1/(人給データ!$B$2:$B$700=$A377),人給データ!$J$2:$J$700)),""))</f>
        <v/>
      </c>
      <c r="H377" s="20">
        <f>IF($A377="","",IFERROR(IF(LOOKUP(2,1/(人給データ!$B$2:$B$700=$A377),人給データ!$K$2:$K$700)=0,"",LOOKUP(2,1/(人給データ!$B$2:$B$700=$A377),人給データ!$K$2:$K$700)),""))</f>
        <v/>
      </c>
      <c r="I377" s="12" t="n"/>
      <c r="J377">
        <f>IF($A377="","",IFERROR(IF(LOOKUP(2,1/(人給データ!$B$2:$B$700=$A377),人給データ!$N$2:$N$700)=0,"",LOOKUP(2,1/(人給データ!$B$2:$B$700=$A377),人給データ!$N$2:$N$700)),""))</f>
        <v/>
      </c>
      <c r="K377" s="13" t="n"/>
      <c r="L377" s="12" t="n"/>
      <c r="M377" s="12" t="n"/>
      <c r="N377" s="11" t="n"/>
      <c r="O377" s="11" t="n"/>
      <c r="P377" s="14">
        <f>IF(AND(M377&lt;&gt;"",O377=""),"保留中","")</f>
        <v/>
      </c>
      <c r="Q377" s="14">
        <f>IF(P377="保留中",COUNTIF(P$6:P377,"保留中"),"")</f>
        <v/>
      </c>
    </row>
    <row r="378">
      <c r="A378" s="12" t="n"/>
      <c r="B378">
        <f>IF($A378="","",IFERROR(IF(LOOKUP(2,1/(人給データ!$B$2:$B$700=$A378),人給データ!$C$2:$C$700)=0,"",LOOKUP(2,1/(人給データ!$B$2:$B$700=$A378),人給データ!$C$2:$C$700)),""))</f>
        <v/>
      </c>
      <c r="C378">
        <f>IF($A378="","",IFERROR(IF(LOOKUP(2,1/(人給データ!$B$2:$B$700=$A378),人給データ!$G$2:$G$700)=0,"",LOOKUP(2,1/(人給データ!$B$2:$B$700=$A378),人給データ!$G$2:$G$700)),""))</f>
        <v/>
      </c>
      <c r="D378">
        <f>IF($A378="","",IFERROR(IF(LOOKUP(2,1/(人給データ!$B$2:$B$700=$A378),人給データ!$Y$2:$Y$700)=0,"",LOOKUP(2,1/(人給データ!$B$2:$B$700=$A378),人給データ!$Y$2:$Y$700)),""))</f>
        <v/>
      </c>
      <c r="E378" s="20">
        <f>IF($A378="","",IFERROR(IF(LOOKUP(2,1/(人給データ!$B$2:$B$700=$A378),人給データ!$AB$2:$AB$700)=0,"",LOOKUP(2,1/(人給データ!$B$2:$B$700=$A378),人給データ!$AB$2:$AB$700)),""))</f>
        <v/>
      </c>
      <c r="F378" s="16">
        <f>IF(OR(E378="",NOT(ISNUMBER(E378))),"",DATE(YEAR(E378)+2,MONTH(E378),DAY(E378)-2))</f>
        <v/>
      </c>
      <c r="G378" s="20">
        <f>IF($A378="","",IFERROR(IF(LOOKUP(2,1/(人給データ!$B$2:$B$700=$A378),人給データ!$J$2:$J$700)=0,"",LOOKUP(2,1/(人給データ!$B$2:$B$700=$A378),人給データ!$J$2:$J$700)),""))</f>
        <v/>
      </c>
      <c r="H378" s="20">
        <f>IF($A378="","",IFERROR(IF(LOOKUP(2,1/(人給データ!$B$2:$B$700=$A378),人給データ!$K$2:$K$700)=0,"",LOOKUP(2,1/(人給データ!$B$2:$B$700=$A378),人給データ!$K$2:$K$700)),""))</f>
        <v/>
      </c>
      <c r="I378" s="12" t="n"/>
      <c r="J378">
        <f>IF($A378="","",IFERROR(IF(LOOKUP(2,1/(人給データ!$B$2:$B$700=$A378),人給データ!$N$2:$N$700)=0,"",LOOKUP(2,1/(人給データ!$B$2:$B$700=$A378),人給データ!$N$2:$N$700)),""))</f>
        <v/>
      </c>
      <c r="K378" s="13" t="n"/>
      <c r="L378" s="12" t="n"/>
      <c r="M378" s="12" t="n"/>
      <c r="N378" s="11" t="n"/>
      <c r="O378" s="11" t="n"/>
      <c r="P378" s="14">
        <f>IF(AND(M378&lt;&gt;"",O378=""),"保留中","")</f>
        <v/>
      </c>
      <c r="Q378" s="14">
        <f>IF(P378="保留中",COUNTIF(P$6:P378,"保留中"),"")</f>
        <v/>
      </c>
    </row>
    <row r="379">
      <c r="A379" s="12" t="n"/>
      <c r="B379">
        <f>IF($A379="","",IFERROR(IF(LOOKUP(2,1/(人給データ!$B$2:$B$700=$A379),人給データ!$C$2:$C$700)=0,"",LOOKUP(2,1/(人給データ!$B$2:$B$700=$A379),人給データ!$C$2:$C$700)),""))</f>
        <v/>
      </c>
      <c r="C379">
        <f>IF($A379="","",IFERROR(IF(LOOKUP(2,1/(人給データ!$B$2:$B$700=$A379),人給データ!$G$2:$G$700)=0,"",LOOKUP(2,1/(人給データ!$B$2:$B$700=$A379),人給データ!$G$2:$G$700)),""))</f>
        <v/>
      </c>
      <c r="D379">
        <f>IF($A379="","",IFERROR(IF(LOOKUP(2,1/(人給データ!$B$2:$B$700=$A379),人給データ!$Y$2:$Y$700)=0,"",LOOKUP(2,1/(人給データ!$B$2:$B$700=$A379),人給データ!$Y$2:$Y$700)),""))</f>
        <v/>
      </c>
      <c r="E379" s="20">
        <f>IF($A379="","",IFERROR(IF(LOOKUP(2,1/(人給データ!$B$2:$B$700=$A379),人給データ!$AB$2:$AB$700)=0,"",LOOKUP(2,1/(人給データ!$B$2:$B$700=$A379),人給データ!$AB$2:$AB$700)),""))</f>
        <v/>
      </c>
      <c r="F379" s="16">
        <f>IF(OR(E379="",NOT(ISNUMBER(E379))),"",DATE(YEAR(E379)+2,MONTH(E379),DAY(E379)-2))</f>
        <v/>
      </c>
      <c r="G379" s="20">
        <f>IF($A379="","",IFERROR(IF(LOOKUP(2,1/(人給データ!$B$2:$B$700=$A379),人給データ!$J$2:$J$700)=0,"",LOOKUP(2,1/(人給データ!$B$2:$B$700=$A379),人給データ!$J$2:$J$700)),""))</f>
        <v/>
      </c>
      <c r="H379" s="20">
        <f>IF($A379="","",IFERROR(IF(LOOKUP(2,1/(人給データ!$B$2:$B$700=$A379),人給データ!$K$2:$K$700)=0,"",LOOKUP(2,1/(人給データ!$B$2:$B$700=$A379),人給データ!$K$2:$K$700)),""))</f>
        <v/>
      </c>
      <c r="I379" s="12" t="n"/>
      <c r="J379">
        <f>IF($A379="","",IFERROR(IF(LOOKUP(2,1/(人給データ!$B$2:$B$700=$A379),人給データ!$N$2:$N$700)=0,"",LOOKUP(2,1/(人給データ!$B$2:$B$700=$A379),人給データ!$N$2:$N$700)),""))</f>
        <v/>
      </c>
      <c r="K379" s="13" t="n"/>
      <c r="L379" s="12" t="n"/>
      <c r="M379" s="12" t="n"/>
      <c r="N379" s="11" t="n"/>
      <c r="O379" s="11" t="n"/>
      <c r="P379" s="14">
        <f>IF(AND(M379&lt;&gt;"",O379=""),"保留中","")</f>
        <v/>
      </c>
      <c r="Q379" s="14">
        <f>IF(P379="保留中",COUNTIF(P$6:P379,"保留中"),"")</f>
        <v/>
      </c>
    </row>
    <row r="380">
      <c r="A380" s="12" t="n"/>
      <c r="B380">
        <f>IF($A380="","",IFERROR(IF(LOOKUP(2,1/(人給データ!$B$2:$B$700=$A380),人給データ!$C$2:$C$700)=0,"",LOOKUP(2,1/(人給データ!$B$2:$B$700=$A380),人給データ!$C$2:$C$700)),""))</f>
        <v/>
      </c>
      <c r="C380">
        <f>IF($A380="","",IFERROR(IF(LOOKUP(2,1/(人給データ!$B$2:$B$700=$A380),人給データ!$G$2:$G$700)=0,"",LOOKUP(2,1/(人給データ!$B$2:$B$700=$A380),人給データ!$G$2:$G$700)),""))</f>
        <v/>
      </c>
      <c r="D380">
        <f>IF($A380="","",IFERROR(IF(LOOKUP(2,1/(人給データ!$B$2:$B$700=$A380),人給データ!$Y$2:$Y$700)=0,"",LOOKUP(2,1/(人給データ!$B$2:$B$700=$A380),人給データ!$Y$2:$Y$700)),""))</f>
        <v/>
      </c>
      <c r="E380" s="20">
        <f>IF($A380="","",IFERROR(IF(LOOKUP(2,1/(人給データ!$B$2:$B$700=$A380),人給データ!$AB$2:$AB$700)=0,"",LOOKUP(2,1/(人給データ!$B$2:$B$700=$A380),人給データ!$AB$2:$AB$700)),""))</f>
        <v/>
      </c>
      <c r="F380" s="16">
        <f>IF(OR(E380="",NOT(ISNUMBER(E380))),"",DATE(YEAR(E380)+2,MONTH(E380),DAY(E380)-2))</f>
        <v/>
      </c>
      <c r="G380" s="20">
        <f>IF($A380="","",IFERROR(IF(LOOKUP(2,1/(人給データ!$B$2:$B$700=$A380),人給データ!$J$2:$J$700)=0,"",LOOKUP(2,1/(人給データ!$B$2:$B$700=$A380),人給データ!$J$2:$J$700)),""))</f>
        <v/>
      </c>
      <c r="H380" s="20">
        <f>IF($A380="","",IFERROR(IF(LOOKUP(2,1/(人給データ!$B$2:$B$700=$A380),人給データ!$K$2:$K$700)=0,"",LOOKUP(2,1/(人給データ!$B$2:$B$700=$A380),人給データ!$K$2:$K$700)),""))</f>
        <v/>
      </c>
      <c r="I380" s="12" t="n"/>
      <c r="J380">
        <f>IF($A380="","",IFERROR(IF(LOOKUP(2,1/(人給データ!$B$2:$B$700=$A380),人給データ!$N$2:$N$700)=0,"",LOOKUP(2,1/(人給データ!$B$2:$B$700=$A380),人給データ!$N$2:$N$700)),""))</f>
        <v/>
      </c>
      <c r="K380" s="13" t="n"/>
      <c r="L380" s="12" t="n"/>
      <c r="M380" s="12" t="n"/>
      <c r="N380" s="11" t="n"/>
      <c r="O380" s="11" t="n"/>
      <c r="P380" s="14">
        <f>IF(AND(M380&lt;&gt;"",O380=""),"保留中","")</f>
        <v/>
      </c>
      <c r="Q380" s="14">
        <f>IF(P380="保留中",COUNTIF(P$6:P380,"保留中"),"")</f>
        <v/>
      </c>
    </row>
    <row r="381">
      <c r="A381" s="12" t="n"/>
      <c r="B381">
        <f>IF($A381="","",IFERROR(IF(LOOKUP(2,1/(人給データ!$B$2:$B$700=$A381),人給データ!$C$2:$C$700)=0,"",LOOKUP(2,1/(人給データ!$B$2:$B$700=$A381),人給データ!$C$2:$C$700)),""))</f>
        <v/>
      </c>
      <c r="C381">
        <f>IF($A381="","",IFERROR(IF(LOOKUP(2,1/(人給データ!$B$2:$B$700=$A381),人給データ!$G$2:$G$700)=0,"",LOOKUP(2,1/(人給データ!$B$2:$B$700=$A381),人給データ!$G$2:$G$700)),""))</f>
        <v/>
      </c>
      <c r="D381">
        <f>IF($A381="","",IFERROR(IF(LOOKUP(2,1/(人給データ!$B$2:$B$700=$A381),人給データ!$Y$2:$Y$700)=0,"",LOOKUP(2,1/(人給データ!$B$2:$B$700=$A381),人給データ!$Y$2:$Y$700)),""))</f>
        <v/>
      </c>
      <c r="E381" s="20">
        <f>IF($A381="","",IFERROR(IF(LOOKUP(2,1/(人給データ!$B$2:$B$700=$A381),人給データ!$AB$2:$AB$700)=0,"",LOOKUP(2,1/(人給データ!$B$2:$B$700=$A381),人給データ!$AB$2:$AB$700)),""))</f>
        <v/>
      </c>
      <c r="F381" s="16">
        <f>IF(OR(E381="",NOT(ISNUMBER(E381))),"",DATE(YEAR(E381)+2,MONTH(E381),DAY(E381)-2))</f>
        <v/>
      </c>
      <c r="G381" s="20">
        <f>IF($A381="","",IFERROR(IF(LOOKUP(2,1/(人給データ!$B$2:$B$700=$A381),人給データ!$J$2:$J$700)=0,"",LOOKUP(2,1/(人給データ!$B$2:$B$700=$A381),人給データ!$J$2:$J$700)),""))</f>
        <v/>
      </c>
      <c r="H381" s="20">
        <f>IF($A381="","",IFERROR(IF(LOOKUP(2,1/(人給データ!$B$2:$B$700=$A381),人給データ!$K$2:$K$700)=0,"",LOOKUP(2,1/(人給データ!$B$2:$B$700=$A381),人給データ!$K$2:$K$700)),""))</f>
        <v/>
      </c>
      <c r="I381" s="12" t="n"/>
      <c r="J381">
        <f>IF($A381="","",IFERROR(IF(LOOKUP(2,1/(人給データ!$B$2:$B$700=$A381),人給データ!$N$2:$N$700)=0,"",LOOKUP(2,1/(人給データ!$B$2:$B$700=$A381),人給データ!$N$2:$N$700)),""))</f>
        <v/>
      </c>
      <c r="K381" s="13" t="n"/>
      <c r="L381" s="12" t="n"/>
      <c r="M381" s="12" t="n"/>
      <c r="N381" s="11" t="n"/>
      <c r="O381" s="11" t="n"/>
      <c r="P381" s="14">
        <f>IF(AND(M381&lt;&gt;"",O381=""),"保留中","")</f>
        <v/>
      </c>
      <c r="Q381" s="14">
        <f>IF(P381="保留中",COUNTIF(P$6:P381,"保留中"),"")</f>
        <v/>
      </c>
    </row>
    <row r="382">
      <c r="A382" s="12" t="n"/>
      <c r="B382">
        <f>IF($A382="","",IFERROR(IF(LOOKUP(2,1/(人給データ!$B$2:$B$700=$A382),人給データ!$C$2:$C$700)=0,"",LOOKUP(2,1/(人給データ!$B$2:$B$700=$A382),人給データ!$C$2:$C$700)),""))</f>
        <v/>
      </c>
      <c r="C382">
        <f>IF($A382="","",IFERROR(IF(LOOKUP(2,1/(人給データ!$B$2:$B$700=$A382),人給データ!$G$2:$G$700)=0,"",LOOKUP(2,1/(人給データ!$B$2:$B$700=$A382),人給データ!$G$2:$G$700)),""))</f>
        <v/>
      </c>
      <c r="D382">
        <f>IF($A382="","",IFERROR(IF(LOOKUP(2,1/(人給データ!$B$2:$B$700=$A382),人給データ!$Y$2:$Y$700)=0,"",LOOKUP(2,1/(人給データ!$B$2:$B$700=$A382),人給データ!$Y$2:$Y$700)),""))</f>
        <v/>
      </c>
      <c r="E382" s="20">
        <f>IF($A382="","",IFERROR(IF(LOOKUP(2,1/(人給データ!$B$2:$B$700=$A382),人給データ!$AB$2:$AB$700)=0,"",LOOKUP(2,1/(人給データ!$B$2:$B$700=$A382),人給データ!$AB$2:$AB$700)),""))</f>
        <v/>
      </c>
      <c r="F382" s="16">
        <f>IF(OR(E382="",NOT(ISNUMBER(E382))),"",DATE(YEAR(E382)+2,MONTH(E382),DAY(E382)-2))</f>
        <v/>
      </c>
      <c r="G382" s="20">
        <f>IF($A382="","",IFERROR(IF(LOOKUP(2,1/(人給データ!$B$2:$B$700=$A382),人給データ!$J$2:$J$700)=0,"",LOOKUP(2,1/(人給データ!$B$2:$B$700=$A382),人給データ!$J$2:$J$700)),""))</f>
        <v/>
      </c>
      <c r="H382" s="20">
        <f>IF($A382="","",IFERROR(IF(LOOKUP(2,1/(人給データ!$B$2:$B$700=$A382),人給データ!$K$2:$K$700)=0,"",LOOKUP(2,1/(人給データ!$B$2:$B$700=$A382),人給データ!$K$2:$K$700)),""))</f>
        <v/>
      </c>
      <c r="I382" s="12" t="n"/>
      <c r="J382">
        <f>IF($A382="","",IFERROR(IF(LOOKUP(2,1/(人給データ!$B$2:$B$700=$A382),人給データ!$N$2:$N$700)=0,"",LOOKUP(2,1/(人給データ!$B$2:$B$700=$A382),人給データ!$N$2:$N$700)),""))</f>
        <v/>
      </c>
      <c r="K382" s="13" t="n"/>
      <c r="L382" s="12" t="n"/>
      <c r="M382" s="12" t="n"/>
      <c r="N382" s="11" t="n"/>
      <c r="O382" s="11" t="n"/>
      <c r="P382" s="14">
        <f>IF(AND(M382&lt;&gt;"",O382=""),"保留中","")</f>
        <v/>
      </c>
      <c r="Q382" s="14">
        <f>IF(P382="保留中",COUNTIF(P$6:P382,"保留中"),"")</f>
        <v/>
      </c>
    </row>
    <row r="383">
      <c r="A383" s="12" t="n"/>
      <c r="B383">
        <f>IF($A383="","",IFERROR(IF(LOOKUP(2,1/(人給データ!$B$2:$B$700=$A383),人給データ!$C$2:$C$700)=0,"",LOOKUP(2,1/(人給データ!$B$2:$B$700=$A383),人給データ!$C$2:$C$700)),""))</f>
        <v/>
      </c>
      <c r="C383">
        <f>IF($A383="","",IFERROR(IF(LOOKUP(2,1/(人給データ!$B$2:$B$700=$A383),人給データ!$G$2:$G$700)=0,"",LOOKUP(2,1/(人給データ!$B$2:$B$700=$A383),人給データ!$G$2:$G$700)),""))</f>
        <v/>
      </c>
      <c r="D383">
        <f>IF($A383="","",IFERROR(IF(LOOKUP(2,1/(人給データ!$B$2:$B$700=$A383),人給データ!$Y$2:$Y$700)=0,"",LOOKUP(2,1/(人給データ!$B$2:$B$700=$A383),人給データ!$Y$2:$Y$700)),""))</f>
        <v/>
      </c>
      <c r="E383" s="20">
        <f>IF($A383="","",IFERROR(IF(LOOKUP(2,1/(人給データ!$B$2:$B$700=$A383),人給データ!$AB$2:$AB$700)=0,"",LOOKUP(2,1/(人給データ!$B$2:$B$700=$A383),人給データ!$AB$2:$AB$700)),""))</f>
        <v/>
      </c>
      <c r="F383" s="16">
        <f>IF(OR(E383="",NOT(ISNUMBER(E383))),"",DATE(YEAR(E383)+2,MONTH(E383),DAY(E383)-2))</f>
        <v/>
      </c>
      <c r="G383" s="20">
        <f>IF($A383="","",IFERROR(IF(LOOKUP(2,1/(人給データ!$B$2:$B$700=$A383),人給データ!$J$2:$J$700)=0,"",LOOKUP(2,1/(人給データ!$B$2:$B$700=$A383),人給データ!$J$2:$J$700)),""))</f>
        <v/>
      </c>
      <c r="H383" s="20">
        <f>IF($A383="","",IFERROR(IF(LOOKUP(2,1/(人給データ!$B$2:$B$700=$A383),人給データ!$K$2:$K$700)=0,"",LOOKUP(2,1/(人給データ!$B$2:$B$700=$A383),人給データ!$K$2:$K$700)),""))</f>
        <v/>
      </c>
      <c r="I383" s="12" t="n"/>
      <c r="J383">
        <f>IF($A383="","",IFERROR(IF(LOOKUP(2,1/(人給データ!$B$2:$B$700=$A383),人給データ!$N$2:$N$700)=0,"",LOOKUP(2,1/(人給データ!$B$2:$B$700=$A383),人給データ!$N$2:$N$700)),""))</f>
        <v/>
      </c>
      <c r="K383" s="13" t="n"/>
      <c r="L383" s="12" t="n"/>
      <c r="M383" s="12" t="n"/>
      <c r="N383" s="11" t="n"/>
      <c r="O383" s="11" t="n"/>
      <c r="P383" s="14">
        <f>IF(AND(M383&lt;&gt;"",O383=""),"保留中","")</f>
        <v/>
      </c>
      <c r="Q383" s="14">
        <f>IF(P383="保留中",COUNTIF(P$6:P383,"保留中"),"")</f>
        <v/>
      </c>
    </row>
    <row r="384">
      <c r="A384" s="12" t="n"/>
      <c r="B384">
        <f>IF($A384="","",IFERROR(IF(LOOKUP(2,1/(人給データ!$B$2:$B$700=$A384),人給データ!$C$2:$C$700)=0,"",LOOKUP(2,1/(人給データ!$B$2:$B$700=$A384),人給データ!$C$2:$C$700)),""))</f>
        <v/>
      </c>
      <c r="C384">
        <f>IF($A384="","",IFERROR(IF(LOOKUP(2,1/(人給データ!$B$2:$B$700=$A384),人給データ!$G$2:$G$700)=0,"",LOOKUP(2,1/(人給データ!$B$2:$B$700=$A384),人給データ!$G$2:$G$700)),""))</f>
        <v/>
      </c>
      <c r="D384">
        <f>IF($A384="","",IFERROR(IF(LOOKUP(2,1/(人給データ!$B$2:$B$700=$A384),人給データ!$Y$2:$Y$700)=0,"",LOOKUP(2,1/(人給データ!$B$2:$B$700=$A384),人給データ!$Y$2:$Y$700)),""))</f>
        <v/>
      </c>
      <c r="E384" s="20">
        <f>IF($A384="","",IFERROR(IF(LOOKUP(2,1/(人給データ!$B$2:$B$700=$A384),人給データ!$AB$2:$AB$700)=0,"",LOOKUP(2,1/(人給データ!$B$2:$B$700=$A384),人給データ!$AB$2:$AB$700)),""))</f>
        <v/>
      </c>
      <c r="F384" s="16">
        <f>IF(OR(E384="",NOT(ISNUMBER(E384))),"",DATE(YEAR(E384)+2,MONTH(E384),DAY(E384)-2))</f>
        <v/>
      </c>
      <c r="G384" s="20">
        <f>IF($A384="","",IFERROR(IF(LOOKUP(2,1/(人給データ!$B$2:$B$700=$A384),人給データ!$J$2:$J$700)=0,"",LOOKUP(2,1/(人給データ!$B$2:$B$700=$A384),人給データ!$J$2:$J$700)),""))</f>
        <v/>
      </c>
      <c r="H384" s="20">
        <f>IF($A384="","",IFERROR(IF(LOOKUP(2,1/(人給データ!$B$2:$B$700=$A384),人給データ!$K$2:$K$700)=0,"",LOOKUP(2,1/(人給データ!$B$2:$B$700=$A384),人給データ!$K$2:$K$700)),""))</f>
        <v/>
      </c>
      <c r="I384" s="12" t="n"/>
      <c r="J384">
        <f>IF($A384="","",IFERROR(IF(LOOKUP(2,1/(人給データ!$B$2:$B$700=$A384),人給データ!$N$2:$N$700)=0,"",LOOKUP(2,1/(人給データ!$B$2:$B$700=$A384),人給データ!$N$2:$N$700)),""))</f>
        <v/>
      </c>
      <c r="K384" s="13" t="n"/>
      <c r="L384" s="12" t="n"/>
      <c r="M384" s="12" t="n"/>
      <c r="N384" s="11" t="n"/>
      <c r="O384" s="11" t="n"/>
      <c r="P384" s="14">
        <f>IF(AND(M384&lt;&gt;"",O384=""),"保留中","")</f>
        <v/>
      </c>
      <c r="Q384" s="14">
        <f>IF(P384="保留中",COUNTIF(P$6:P384,"保留中"),"")</f>
        <v/>
      </c>
    </row>
    <row r="385">
      <c r="A385" s="12" t="n"/>
      <c r="B385">
        <f>IF($A385="","",IFERROR(IF(LOOKUP(2,1/(人給データ!$B$2:$B$700=$A385),人給データ!$C$2:$C$700)=0,"",LOOKUP(2,1/(人給データ!$B$2:$B$700=$A385),人給データ!$C$2:$C$700)),""))</f>
        <v/>
      </c>
      <c r="C385">
        <f>IF($A385="","",IFERROR(IF(LOOKUP(2,1/(人給データ!$B$2:$B$700=$A385),人給データ!$G$2:$G$700)=0,"",LOOKUP(2,1/(人給データ!$B$2:$B$700=$A385),人給データ!$G$2:$G$700)),""))</f>
        <v/>
      </c>
      <c r="D385">
        <f>IF($A385="","",IFERROR(IF(LOOKUP(2,1/(人給データ!$B$2:$B$700=$A385),人給データ!$Y$2:$Y$700)=0,"",LOOKUP(2,1/(人給データ!$B$2:$B$700=$A385),人給データ!$Y$2:$Y$700)),""))</f>
        <v/>
      </c>
      <c r="E385" s="20">
        <f>IF($A385="","",IFERROR(IF(LOOKUP(2,1/(人給データ!$B$2:$B$700=$A385),人給データ!$AB$2:$AB$700)=0,"",LOOKUP(2,1/(人給データ!$B$2:$B$700=$A385),人給データ!$AB$2:$AB$700)),""))</f>
        <v/>
      </c>
      <c r="F385" s="16">
        <f>IF(OR(E385="",NOT(ISNUMBER(E385))),"",DATE(YEAR(E385)+2,MONTH(E385),DAY(E385)-2))</f>
        <v/>
      </c>
      <c r="G385" s="20">
        <f>IF($A385="","",IFERROR(IF(LOOKUP(2,1/(人給データ!$B$2:$B$700=$A385),人給データ!$J$2:$J$700)=0,"",LOOKUP(2,1/(人給データ!$B$2:$B$700=$A385),人給データ!$J$2:$J$700)),""))</f>
        <v/>
      </c>
      <c r="H385" s="20">
        <f>IF($A385="","",IFERROR(IF(LOOKUP(2,1/(人給データ!$B$2:$B$700=$A385),人給データ!$K$2:$K$700)=0,"",LOOKUP(2,1/(人給データ!$B$2:$B$700=$A385),人給データ!$K$2:$K$700)),""))</f>
        <v/>
      </c>
      <c r="I385" s="12" t="n"/>
      <c r="J385">
        <f>IF($A385="","",IFERROR(IF(LOOKUP(2,1/(人給データ!$B$2:$B$700=$A385),人給データ!$N$2:$N$700)=0,"",LOOKUP(2,1/(人給データ!$B$2:$B$700=$A385),人給データ!$N$2:$N$700)),""))</f>
        <v/>
      </c>
      <c r="K385" s="13" t="n"/>
      <c r="L385" s="12" t="n"/>
      <c r="M385" s="12" t="n"/>
      <c r="N385" s="11" t="n"/>
      <c r="O385" s="11" t="n"/>
      <c r="P385" s="14">
        <f>IF(AND(M385&lt;&gt;"",O385=""),"保留中","")</f>
        <v/>
      </c>
      <c r="Q385" s="14">
        <f>IF(P385="保留中",COUNTIF(P$6:P385,"保留中"),"")</f>
        <v/>
      </c>
    </row>
    <row r="386">
      <c r="A386" s="12" t="n"/>
      <c r="B386">
        <f>IF($A386="","",IFERROR(IF(LOOKUP(2,1/(人給データ!$B$2:$B$700=$A386),人給データ!$C$2:$C$700)=0,"",LOOKUP(2,1/(人給データ!$B$2:$B$700=$A386),人給データ!$C$2:$C$700)),""))</f>
        <v/>
      </c>
      <c r="C386">
        <f>IF($A386="","",IFERROR(IF(LOOKUP(2,1/(人給データ!$B$2:$B$700=$A386),人給データ!$G$2:$G$700)=0,"",LOOKUP(2,1/(人給データ!$B$2:$B$700=$A386),人給データ!$G$2:$G$700)),""))</f>
        <v/>
      </c>
      <c r="D386">
        <f>IF($A386="","",IFERROR(IF(LOOKUP(2,1/(人給データ!$B$2:$B$700=$A386),人給データ!$Y$2:$Y$700)=0,"",LOOKUP(2,1/(人給データ!$B$2:$B$700=$A386),人給データ!$Y$2:$Y$700)),""))</f>
        <v/>
      </c>
      <c r="E386" s="20">
        <f>IF($A386="","",IFERROR(IF(LOOKUP(2,1/(人給データ!$B$2:$B$700=$A386),人給データ!$AB$2:$AB$700)=0,"",LOOKUP(2,1/(人給データ!$B$2:$B$700=$A386),人給データ!$AB$2:$AB$700)),""))</f>
        <v/>
      </c>
      <c r="F386" s="16">
        <f>IF(OR(E386="",NOT(ISNUMBER(E386))),"",DATE(YEAR(E386)+2,MONTH(E386),DAY(E386)-2))</f>
        <v/>
      </c>
      <c r="G386" s="20">
        <f>IF($A386="","",IFERROR(IF(LOOKUP(2,1/(人給データ!$B$2:$B$700=$A386),人給データ!$J$2:$J$700)=0,"",LOOKUP(2,1/(人給データ!$B$2:$B$700=$A386),人給データ!$J$2:$J$700)),""))</f>
        <v/>
      </c>
      <c r="H386" s="20">
        <f>IF($A386="","",IFERROR(IF(LOOKUP(2,1/(人給データ!$B$2:$B$700=$A386),人給データ!$K$2:$K$700)=0,"",LOOKUP(2,1/(人給データ!$B$2:$B$700=$A386),人給データ!$K$2:$K$700)),""))</f>
        <v/>
      </c>
      <c r="I386" s="12" t="n"/>
      <c r="J386">
        <f>IF($A386="","",IFERROR(IF(LOOKUP(2,1/(人給データ!$B$2:$B$700=$A386),人給データ!$N$2:$N$700)=0,"",LOOKUP(2,1/(人給データ!$B$2:$B$700=$A386),人給データ!$N$2:$N$700)),""))</f>
        <v/>
      </c>
      <c r="K386" s="13" t="n"/>
      <c r="L386" s="12" t="n"/>
      <c r="M386" s="12" t="n"/>
      <c r="N386" s="11" t="n"/>
      <c r="O386" s="11" t="n"/>
      <c r="P386" s="14">
        <f>IF(AND(M386&lt;&gt;"",O386=""),"保留中","")</f>
        <v/>
      </c>
      <c r="Q386" s="14">
        <f>IF(P386="保留中",COUNTIF(P$6:P386,"保留中"),"")</f>
        <v/>
      </c>
    </row>
    <row r="387">
      <c r="A387" s="12" t="n"/>
      <c r="B387">
        <f>IF($A387="","",IFERROR(IF(LOOKUP(2,1/(人給データ!$B$2:$B$700=$A387),人給データ!$C$2:$C$700)=0,"",LOOKUP(2,1/(人給データ!$B$2:$B$700=$A387),人給データ!$C$2:$C$700)),""))</f>
        <v/>
      </c>
      <c r="C387">
        <f>IF($A387="","",IFERROR(IF(LOOKUP(2,1/(人給データ!$B$2:$B$700=$A387),人給データ!$G$2:$G$700)=0,"",LOOKUP(2,1/(人給データ!$B$2:$B$700=$A387),人給データ!$G$2:$G$700)),""))</f>
        <v/>
      </c>
      <c r="D387">
        <f>IF($A387="","",IFERROR(IF(LOOKUP(2,1/(人給データ!$B$2:$B$700=$A387),人給データ!$Y$2:$Y$700)=0,"",LOOKUP(2,1/(人給データ!$B$2:$B$700=$A387),人給データ!$Y$2:$Y$700)),""))</f>
        <v/>
      </c>
      <c r="E387" s="20">
        <f>IF($A387="","",IFERROR(IF(LOOKUP(2,1/(人給データ!$B$2:$B$700=$A387),人給データ!$AB$2:$AB$700)=0,"",LOOKUP(2,1/(人給データ!$B$2:$B$700=$A387),人給データ!$AB$2:$AB$700)),""))</f>
        <v/>
      </c>
      <c r="F387" s="16">
        <f>IF(OR(E387="",NOT(ISNUMBER(E387))),"",DATE(YEAR(E387)+2,MONTH(E387),DAY(E387)-2))</f>
        <v/>
      </c>
      <c r="G387" s="20">
        <f>IF($A387="","",IFERROR(IF(LOOKUP(2,1/(人給データ!$B$2:$B$700=$A387),人給データ!$J$2:$J$700)=0,"",LOOKUP(2,1/(人給データ!$B$2:$B$700=$A387),人給データ!$J$2:$J$700)),""))</f>
        <v/>
      </c>
      <c r="H387" s="20">
        <f>IF($A387="","",IFERROR(IF(LOOKUP(2,1/(人給データ!$B$2:$B$700=$A387),人給データ!$K$2:$K$700)=0,"",LOOKUP(2,1/(人給データ!$B$2:$B$700=$A387),人給データ!$K$2:$K$700)),""))</f>
        <v/>
      </c>
      <c r="I387" s="12" t="n"/>
      <c r="J387">
        <f>IF($A387="","",IFERROR(IF(LOOKUP(2,1/(人給データ!$B$2:$B$700=$A387),人給データ!$N$2:$N$700)=0,"",LOOKUP(2,1/(人給データ!$B$2:$B$700=$A387),人給データ!$N$2:$N$700)),""))</f>
        <v/>
      </c>
      <c r="K387" s="13" t="n"/>
      <c r="L387" s="12" t="n"/>
      <c r="M387" s="12" t="n"/>
      <c r="N387" s="11" t="n"/>
      <c r="O387" s="11" t="n"/>
      <c r="P387" s="14">
        <f>IF(AND(M387&lt;&gt;"",O387=""),"保留中","")</f>
        <v/>
      </c>
      <c r="Q387" s="14">
        <f>IF(P387="保留中",COUNTIF(P$6:P387,"保留中"),"")</f>
        <v/>
      </c>
    </row>
    <row r="388">
      <c r="A388" s="12" t="n"/>
      <c r="B388">
        <f>IF($A388="","",IFERROR(IF(LOOKUP(2,1/(人給データ!$B$2:$B$700=$A388),人給データ!$C$2:$C$700)=0,"",LOOKUP(2,1/(人給データ!$B$2:$B$700=$A388),人給データ!$C$2:$C$700)),""))</f>
        <v/>
      </c>
      <c r="C388">
        <f>IF($A388="","",IFERROR(IF(LOOKUP(2,1/(人給データ!$B$2:$B$700=$A388),人給データ!$G$2:$G$700)=0,"",LOOKUP(2,1/(人給データ!$B$2:$B$700=$A388),人給データ!$G$2:$G$700)),""))</f>
        <v/>
      </c>
      <c r="D388">
        <f>IF($A388="","",IFERROR(IF(LOOKUP(2,1/(人給データ!$B$2:$B$700=$A388),人給データ!$Y$2:$Y$700)=0,"",LOOKUP(2,1/(人給データ!$B$2:$B$700=$A388),人給データ!$Y$2:$Y$700)),""))</f>
        <v/>
      </c>
      <c r="E388" s="20">
        <f>IF($A388="","",IFERROR(IF(LOOKUP(2,1/(人給データ!$B$2:$B$700=$A388),人給データ!$AB$2:$AB$700)=0,"",LOOKUP(2,1/(人給データ!$B$2:$B$700=$A388),人給データ!$AB$2:$AB$700)),""))</f>
        <v/>
      </c>
      <c r="F388" s="16">
        <f>IF(OR(E388="",NOT(ISNUMBER(E388))),"",DATE(YEAR(E388)+2,MONTH(E388),DAY(E388)-2))</f>
        <v/>
      </c>
      <c r="G388" s="20">
        <f>IF($A388="","",IFERROR(IF(LOOKUP(2,1/(人給データ!$B$2:$B$700=$A388),人給データ!$J$2:$J$700)=0,"",LOOKUP(2,1/(人給データ!$B$2:$B$700=$A388),人給データ!$J$2:$J$700)),""))</f>
        <v/>
      </c>
      <c r="H388" s="20">
        <f>IF($A388="","",IFERROR(IF(LOOKUP(2,1/(人給データ!$B$2:$B$700=$A388),人給データ!$K$2:$K$700)=0,"",LOOKUP(2,1/(人給データ!$B$2:$B$700=$A388),人給データ!$K$2:$K$700)),""))</f>
        <v/>
      </c>
      <c r="I388" s="12" t="n"/>
      <c r="J388">
        <f>IF($A388="","",IFERROR(IF(LOOKUP(2,1/(人給データ!$B$2:$B$700=$A388),人給データ!$N$2:$N$700)=0,"",LOOKUP(2,1/(人給データ!$B$2:$B$700=$A388),人給データ!$N$2:$N$700)),""))</f>
        <v/>
      </c>
      <c r="K388" s="13" t="n"/>
      <c r="L388" s="12" t="n"/>
      <c r="M388" s="12" t="n"/>
      <c r="N388" s="11" t="n"/>
      <c r="O388" s="11" t="n"/>
      <c r="P388" s="14">
        <f>IF(AND(M388&lt;&gt;"",O388=""),"保留中","")</f>
        <v/>
      </c>
      <c r="Q388" s="14">
        <f>IF(P388="保留中",COUNTIF(P$6:P388,"保留中"),"")</f>
        <v/>
      </c>
    </row>
    <row r="389">
      <c r="A389" s="12" t="n"/>
      <c r="B389">
        <f>IF($A389="","",IFERROR(IF(LOOKUP(2,1/(人給データ!$B$2:$B$700=$A389),人給データ!$C$2:$C$700)=0,"",LOOKUP(2,1/(人給データ!$B$2:$B$700=$A389),人給データ!$C$2:$C$700)),""))</f>
        <v/>
      </c>
      <c r="C389">
        <f>IF($A389="","",IFERROR(IF(LOOKUP(2,1/(人給データ!$B$2:$B$700=$A389),人給データ!$G$2:$G$700)=0,"",LOOKUP(2,1/(人給データ!$B$2:$B$700=$A389),人給データ!$G$2:$G$700)),""))</f>
        <v/>
      </c>
      <c r="D389">
        <f>IF($A389="","",IFERROR(IF(LOOKUP(2,1/(人給データ!$B$2:$B$700=$A389),人給データ!$Y$2:$Y$700)=0,"",LOOKUP(2,1/(人給データ!$B$2:$B$700=$A389),人給データ!$Y$2:$Y$700)),""))</f>
        <v/>
      </c>
      <c r="E389" s="20">
        <f>IF($A389="","",IFERROR(IF(LOOKUP(2,1/(人給データ!$B$2:$B$700=$A389),人給データ!$AB$2:$AB$700)=0,"",LOOKUP(2,1/(人給データ!$B$2:$B$700=$A389),人給データ!$AB$2:$AB$700)),""))</f>
        <v/>
      </c>
      <c r="F389" s="16">
        <f>IF(OR(E389="",NOT(ISNUMBER(E389))),"",DATE(YEAR(E389)+2,MONTH(E389),DAY(E389)-2))</f>
        <v/>
      </c>
      <c r="G389" s="20">
        <f>IF($A389="","",IFERROR(IF(LOOKUP(2,1/(人給データ!$B$2:$B$700=$A389),人給データ!$J$2:$J$700)=0,"",LOOKUP(2,1/(人給データ!$B$2:$B$700=$A389),人給データ!$J$2:$J$700)),""))</f>
        <v/>
      </c>
      <c r="H389" s="20">
        <f>IF($A389="","",IFERROR(IF(LOOKUP(2,1/(人給データ!$B$2:$B$700=$A389),人給データ!$K$2:$K$700)=0,"",LOOKUP(2,1/(人給データ!$B$2:$B$700=$A389),人給データ!$K$2:$K$700)),""))</f>
        <v/>
      </c>
      <c r="I389" s="12" t="n"/>
      <c r="J389">
        <f>IF($A389="","",IFERROR(IF(LOOKUP(2,1/(人給データ!$B$2:$B$700=$A389),人給データ!$N$2:$N$700)=0,"",LOOKUP(2,1/(人給データ!$B$2:$B$700=$A389),人給データ!$N$2:$N$700)),""))</f>
        <v/>
      </c>
      <c r="K389" s="13" t="n"/>
      <c r="L389" s="12" t="n"/>
      <c r="M389" s="12" t="n"/>
      <c r="N389" s="11" t="n"/>
      <c r="O389" s="11" t="n"/>
      <c r="P389" s="14">
        <f>IF(AND(M389&lt;&gt;"",O389=""),"保留中","")</f>
        <v/>
      </c>
      <c r="Q389" s="14">
        <f>IF(P389="保留中",COUNTIF(P$6:P389,"保留中"),"")</f>
        <v/>
      </c>
    </row>
    <row r="390">
      <c r="A390" s="12" t="n"/>
      <c r="B390">
        <f>IF($A390="","",IFERROR(IF(LOOKUP(2,1/(人給データ!$B$2:$B$700=$A390),人給データ!$C$2:$C$700)=0,"",LOOKUP(2,1/(人給データ!$B$2:$B$700=$A390),人給データ!$C$2:$C$700)),""))</f>
        <v/>
      </c>
      <c r="C390">
        <f>IF($A390="","",IFERROR(IF(LOOKUP(2,1/(人給データ!$B$2:$B$700=$A390),人給データ!$G$2:$G$700)=0,"",LOOKUP(2,1/(人給データ!$B$2:$B$700=$A390),人給データ!$G$2:$G$700)),""))</f>
        <v/>
      </c>
      <c r="D390">
        <f>IF($A390="","",IFERROR(IF(LOOKUP(2,1/(人給データ!$B$2:$B$700=$A390),人給データ!$Y$2:$Y$700)=0,"",LOOKUP(2,1/(人給データ!$B$2:$B$700=$A390),人給データ!$Y$2:$Y$700)),""))</f>
        <v/>
      </c>
      <c r="E390" s="20">
        <f>IF($A390="","",IFERROR(IF(LOOKUP(2,1/(人給データ!$B$2:$B$700=$A390),人給データ!$AB$2:$AB$700)=0,"",LOOKUP(2,1/(人給データ!$B$2:$B$700=$A390),人給データ!$AB$2:$AB$700)),""))</f>
        <v/>
      </c>
      <c r="F390" s="16">
        <f>IF(OR(E390="",NOT(ISNUMBER(E390))),"",DATE(YEAR(E390)+2,MONTH(E390),DAY(E390)-2))</f>
        <v/>
      </c>
      <c r="G390" s="20">
        <f>IF($A390="","",IFERROR(IF(LOOKUP(2,1/(人給データ!$B$2:$B$700=$A390),人給データ!$J$2:$J$700)=0,"",LOOKUP(2,1/(人給データ!$B$2:$B$700=$A390),人給データ!$J$2:$J$700)),""))</f>
        <v/>
      </c>
      <c r="H390" s="20">
        <f>IF($A390="","",IFERROR(IF(LOOKUP(2,1/(人給データ!$B$2:$B$700=$A390),人給データ!$K$2:$K$700)=0,"",LOOKUP(2,1/(人給データ!$B$2:$B$700=$A390),人給データ!$K$2:$K$700)),""))</f>
        <v/>
      </c>
      <c r="I390" s="12" t="n"/>
      <c r="J390">
        <f>IF($A390="","",IFERROR(IF(LOOKUP(2,1/(人給データ!$B$2:$B$700=$A390),人給データ!$N$2:$N$700)=0,"",LOOKUP(2,1/(人給データ!$B$2:$B$700=$A390),人給データ!$N$2:$N$700)),""))</f>
        <v/>
      </c>
      <c r="K390" s="13" t="n"/>
      <c r="L390" s="12" t="n"/>
      <c r="M390" s="12" t="n"/>
      <c r="N390" s="11" t="n"/>
      <c r="O390" s="11" t="n"/>
      <c r="P390" s="14">
        <f>IF(AND(M390&lt;&gt;"",O390=""),"保留中","")</f>
        <v/>
      </c>
      <c r="Q390" s="14">
        <f>IF(P390="保留中",COUNTIF(P$6:P390,"保留中"),"")</f>
        <v/>
      </c>
    </row>
    <row r="391">
      <c r="A391" s="12" t="n"/>
      <c r="B391">
        <f>IF($A391="","",IFERROR(IF(LOOKUP(2,1/(人給データ!$B$2:$B$700=$A391),人給データ!$C$2:$C$700)=0,"",LOOKUP(2,1/(人給データ!$B$2:$B$700=$A391),人給データ!$C$2:$C$700)),""))</f>
        <v/>
      </c>
      <c r="C391">
        <f>IF($A391="","",IFERROR(IF(LOOKUP(2,1/(人給データ!$B$2:$B$700=$A391),人給データ!$G$2:$G$700)=0,"",LOOKUP(2,1/(人給データ!$B$2:$B$700=$A391),人給データ!$G$2:$G$700)),""))</f>
        <v/>
      </c>
      <c r="D391">
        <f>IF($A391="","",IFERROR(IF(LOOKUP(2,1/(人給データ!$B$2:$B$700=$A391),人給データ!$Y$2:$Y$700)=0,"",LOOKUP(2,1/(人給データ!$B$2:$B$700=$A391),人給データ!$Y$2:$Y$700)),""))</f>
        <v/>
      </c>
      <c r="E391" s="20">
        <f>IF($A391="","",IFERROR(IF(LOOKUP(2,1/(人給データ!$B$2:$B$700=$A391),人給データ!$AB$2:$AB$700)=0,"",LOOKUP(2,1/(人給データ!$B$2:$B$700=$A391),人給データ!$AB$2:$AB$700)),""))</f>
        <v/>
      </c>
      <c r="F391" s="16">
        <f>IF(OR(E391="",NOT(ISNUMBER(E391))),"",DATE(YEAR(E391)+2,MONTH(E391),DAY(E391)-2))</f>
        <v/>
      </c>
      <c r="G391" s="20">
        <f>IF($A391="","",IFERROR(IF(LOOKUP(2,1/(人給データ!$B$2:$B$700=$A391),人給データ!$J$2:$J$700)=0,"",LOOKUP(2,1/(人給データ!$B$2:$B$700=$A391),人給データ!$J$2:$J$700)),""))</f>
        <v/>
      </c>
      <c r="H391" s="20">
        <f>IF($A391="","",IFERROR(IF(LOOKUP(2,1/(人給データ!$B$2:$B$700=$A391),人給データ!$K$2:$K$700)=0,"",LOOKUP(2,1/(人給データ!$B$2:$B$700=$A391),人給データ!$K$2:$K$700)),""))</f>
        <v/>
      </c>
      <c r="I391" s="12" t="n"/>
      <c r="J391">
        <f>IF($A391="","",IFERROR(IF(LOOKUP(2,1/(人給データ!$B$2:$B$700=$A391),人給データ!$N$2:$N$700)=0,"",LOOKUP(2,1/(人給データ!$B$2:$B$700=$A391),人給データ!$N$2:$N$700)),""))</f>
        <v/>
      </c>
      <c r="K391" s="13" t="n"/>
      <c r="L391" s="12" t="n"/>
      <c r="M391" s="12" t="n"/>
      <c r="N391" s="11" t="n"/>
      <c r="O391" s="11" t="n"/>
      <c r="P391" s="14">
        <f>IF(AND(M391&lt;&gt;"",O391=""),"保留中","")</f>
        <v/>
      </c>
      <c r="Q391" s="14">
        <f>IF(P391="保留中",COUNTIF(P$6:P391,"保留中"),"")</f>
        <v/>
      </c>
    </row>
    <row r="392">
      <c r="A392" s="12" t="n"/>
      <c r="B392">
        <f>IF($A392="","",IFERROR(IF(LOOKUP(2,1/(人給データ!$B$2:$B$700=$A392),人給データ!$C$2:$C$700)=0,"",LOOKUP(2,1/(人給データ!$B$2:$B$700=$A392),人給データ!$C$2:$C$700)),""))</f>
        <v/>
      </c>
      <c r="C392">
        <f>IF($A392="","",IFERROR(IF(LOOKUP(2,1/(人給データ!$B$2:$B$700=$A392),人給データ!$G$2:$G$700)=0,"",LOOKUP(2,1/(人給データ!$B$2:$B$700=$A392),人給データ!$G$2:$G$700)),""))</f>
        <v/>
      </c>
      <c r="D392">
        <f>IF($A392="","",IFERROR(IF(LOOKUP(2,1/(人給データ!$B$2:$B$700=$A392),人給データ!$Y$2:$Y$700)=0,"",LOOKUP(2,1/(人給データ!$B$2:$B$700=$A392),人給データ!$Y$2:$Y$700)),""))</f>
        <v/>
      </c>
      <c r="E392" s="20">
        <f>IF($A392="","",IFERROR(IF(LOOKUP(2,1/(人給データ!$B$2:$B$700=$A392),人給データ!$AB$2:$AB$700)=0,"",LOOKUP(2,1/(人給データ!$B$2:$B$700=$A392),人給データ!$AB$2:$AB$700)),""))</f>
        <v/>
      </c>
      <c r="F392" s="16">
        <f>IF(OR(E392="",NOT(ISNUMBER(E392))),"",DATE(YEAR(E392)+2,MONTH(E392),DAY(E392)-2))</f>
        <v/>
      </c>
      <c r="G392" s="20">
        <f>IF($A392="","",IFERROR(IF(LOOKUP(2,1/(人給データ!$B$2:$B$700=$A392),人給データ!$J$2:$J$700)=0,"",LOOKUP(2,1/(人給データ!$B$2:$B$700=$A392),人給データ!$J$2:$J$700)),""))</f>
        <v/>
      </c>
      <c r="H392" s="20">
        <f>IF($A392="","",IFERROR(IF(LOOKUP(2,1/(人給データ!$B$2:$B$700=$A392),人給データ!$K$2:$K$700)=0,"",LOOKUP(2,1/(人給データ!$B$2:$B$700=$A392),人給データ!$K$2:$K$700)),""))</f>
        <v/>
      </c>
      <c r="I392" s="12" t="n"/>
      <c r="J392">
        <f>IF($A392="","",IFERROR(IF(LOOKUP(2,1/(人給データ!$B$2:$B$700=$A392),人給データ!$N$2:$N$700)=0,"",LOOKUP(2,1/(人給データ!$B$2:$B$700=$A392),人給データ!$N$2:$N$700)),""))</f>
        <v/>
      </c>
      <c r="K392" s="13" t="n"/>
      <c r="L392" s="12" t="n"/>
      <c r="M392" s="12" t="n"/>
      <c r="N392" s="11" t="n"/>
      <c r="O392" s="11" t="n"/>
      <c r="P392" s="14">
        <f>IF(AND(M392&lt;&gt;"",O392=""),"保留中","")</f>
        <v/>
      </c>
      <c r="Q392" s="14">
        <f>IF(P392="保留中",COUNTIF(P$6:P392,"保留中"),"")</f>
        <v/>
      </c>
    </row>
    <row r="393">
      <c r="A393" s="12" t="n"/>
      <c r="B393">
        <f>IF($A393="","",IFERROR(IF(LOOKUP(2,1/(人給データ!$B$2:$B$700=$A393),人給データ!$C$2:$C$700)=0,"",LOOKUP(2,1/(人給データ!$B$2:$B$700=$A393),人給データ!$C$2:$C$700)),""))</f>
        <v/>
      </c>
      <c r="C393">
        <f>IF($A393="","",IFERROR(IF(LOOKUP(2,1/(人給データ!$B$2:$B$700=$A393),人給データ!$G$2:$G$700)=0,"",LOOKUP(2,1/(人給データ!$B$2:$B$700=$A393),人給データ!$G$2:$G$700)),""))</f>
        <v/>
      </c>
      <c r="D393">
        <f>IF($A393="","",IFERROR(IF(LOOKUP(2,1/(人給データ!$B$2:$B$700=$A393),人給データ!$Y$2:$Y$700)=0,"",LOOKUP(2,1/(人給データ!$B$2:$B$700=$A393),人給データ!$Y$2:$Y$700)),""))</f>
        <v/>
      </c>
      <c r="E393" s="20">
        <f>IF($A393="","",IFERROR(IF(LOOKUP(2,1/(人給データ!$B$2:$B$700=$A393),人給データ!$AB$2:$AB$700)=0,"",LOOKUP(2,1/(人給データ!$B$2:$B$700=$A393),人給データ!$AB$2:$AB$700)),""))</f>
        <v/>
      </c>
      <c r="F393" s="16">
        <f>IF(OR(E393="",NOT(ISNUMBER(E393))),"",DATE(YEAR(E393)+2,MONTH(E393),DAY(E393)-2))</f>
        <v/>
      </c>
      <c r="G393" s="20">
        <f>IF($A393="","",IFERROR(IF(LOOKUP(2,1/(人給データ!$B$2:$B$700=$A393),人給データ!$J$2:$J$700)=0,"",LOOKUP(2,1/(人給データ!$B$2:$B$700=$A393),人給データ!$J$2:$J$700)),""))</f>
        <v/>
      </c>
      <c r="H393" s="20">
        <f>IF($A393="","",IFERROR(IF(LOOKUP(2,1/(人給データ!$B$2:$B$700=$A393),人給データ!$K$2:$K$700)=0,"",LOOKUP(2,1/(人給データ!$B$2:$B$700=$A393),人給データ!$K$2:$K$700)),""))</f>
        <v/>
      </c>
      <c r="I393" s="12" t="n"/>
      <c r="J393">
        <f>IF($A393="","",IFERROR(IF(LOOKUP(2,1/(人給データ!$B$2:$B$700=$A393),人給データ!$N$2:$N$700)=0,"",LOOKUP(2,1/(人給データ!$B$2:$B$700=$A393),人給データ!$N$2:$N$700)),""))</f>
        <v/>
      </c>
      <c r="K393" s="13" t="n"/>
      <c r="L393" s="12" t="n"/>
      <c r="M393" s="12" t="n"/>
      <c r="N393" s="11" t="n"/>
      <c r="O393" s="11" t="n"/>
      <c r="P393" s="14">
        <f>IF(AND(M393&lt;&gt;"",O393=""),"保留中","")</f>
        <v/>
      </c>
      <c r="Q393" s="14">
        <f>IF(P393="保留中",COUNTIF(P$6:P393,"保留中"),"")</f>
        <v/>
      </c>
    </row>
    <row r="394">
      <c r="A394" s="12" t="n"/>
      <c r="B394">
        <f>IF($A394="","",IFERROR(IF(LOOKUP(2,1/(人給データ!$B$2:$B$700=$A394),人給データ!$C$2:$C$700)=0,"",LOOKUP(2,1/(人給データ!$B$2:$B$700=$A394),人給データ!$C$2:$C$700)),""))</f>
        <v/>
      </c>
      <c r="C394">
        <f>IF($A394="","",IFERROR(IF(LOOKUP(2,1/(人給データ!$B$2:$B$700=$A394),人給データ!$G$2:$G$700)=0,"",LOOKUP(2,1/(人給データ!$B$2:$B$700=$A394),人給データ!$G$2:$G$700)),""))</f>
        <v/>
      </c>
      <c r="D394">
        <f>IF($A394="","",IFERROR(IF(LOOKUP(2,1/(人給データ!$B$2:$B$700=$A394),人給データ!$Y$2:$Y$700)=0,"",LOOKUP(2,1/(人給データ!$B$2:$B$700=$A394),人給データ!$Y$2:$Y$700)),""))</f>
        <v/>
      </c>
      <c r="E394" s="20">
        <f>IF($A394="","",IFERROR(IF(LOOKUP(2,1/(人給データ!$B$2:$B$700=$A394),人給データ!$AB$2:$AB$700)=0,"",LOOKUP(2,1/(人給データ!$B$2:$B$700=$A394),人給データ!$AB$2:$AB$700)),""))</f>
        <v/>
      </c>
      <c r="F394" s="16">
        <f>IF(OR(E394="",NOT(ISNUMBER(E394))),"",DATE(YEAR(E394)+2,MONTH(E394),DAY(E394)-2))</f>
        <v/>
      </c>
      <c r="G394" s="20">
        <f>IF($A394="","",IFERROR(IF(LOOKUP(2,1/(人給データ!$B$2:$B$700=$A394),人給データ!$J$2:$J$700)=0,"",LOOKUP(2,1/(人給データ!$B$2:$B$700=$A394),人給データ!$J$2:$J$700)),""))</f>
        <v/>
      </c>
      <c r="H394" s="20">
        <f>IF($A394="","",IFERROR(IF(LOOKUP(2,1/(人給データ!$B$2:$B$700=$A394),人給データ!$K$2:$K$700)=0,"",LOOKUP(2,1/(人給データ!$B$2:$B$700=$A394),人給データ!$K$2:$K$700)),""))</f>
        <v/>
      </c>
      <c r="I394" s="12" t="n"/>
      <c r="J394">
        <f>IF($A394="","",IFERROR(IF(LOOKUP(2,1/(人給データ!$B$2:$B$700=$A394),人給データ!$N$2:$N$700)=0,"",LOOKUP(2,1/(人給データ!$B$2:$B$700=$A394),人給データ!$N$2:$N$700)),""))</f>
        <v/>
      </c>
      <c r="K394" s="13" t="n"/>
      <c r="L394" s="12" t="n"/>
      <c r="M394" s="12" t="n"/>
      <c r="N394" s="11" t="n"/>
      <c r="O394" s="11" t="n"/>
      <c r="P394" s="14">
        <f>IF(AND(M394&lt;&gt;"",O394=""),"保留中","")</f>
        <v/>
      </c>
      <c r="Q394" s="14">
        <f>IF(P394="保留中",COUNTIF(P$6:P394,"保留中"),"")</f>
        <v/>
      </c>
    </row>
    <row r="395">
      <c r="A395" s="12" t="n"/>
      <c r="B395">
        <f>IF($A395="","",IFERROR(IF(LOOKUP(2,1/(人給データ!$B$2:$B$700=$A395),人給データ!$C$2:$C$700)=0,"",LOOKUP(2,1/(人給データ!$B$2:$B$700=$A395),人給データ!$C$2:$C$700)),""))</f>
        <v/>
      </c>
      <c r="C395">
        <f>IF($A395="","",IFERROR(IF(LOOKUP(2,1/(人給データ!$B$2:$B$700=$A395),人給データ!$G$2:$G$700)=0,"",LOOKUP(2,1/(人給データ!$B$2:$B$700=$A395),人給データ!$G$2:$G$700)),""))</f>
        <v/>
      </c>
      <c r="D395">
        <f>IF($A395="","",IFERROR(IF(LOOKUP(2,1/(人給データ!$B$2:$B$700=$A395),人給データ!$Y$2:$Y$700)=0,"",LOOKUP(2,1/(人給データ!$B$2:$B$700=$A395),人給データ!$Y$2:$Y$700)),""))</f>
        <v/>
      </c>
      <c r="E395" s="20">
        <f>IF($A395="","",IFERROR(IF(LOOKUP(2,1/(人給データ!$B$2:$B$700=$A395),人給データ!$AB$2:$AB$700)=0,"",LOOKUP(2,1/(人給データ!$B$2:$B$700=$A395),人給データ!$AB$2:$AB$700)),""))</f>
        <v/>
      </c>
      <c r="F395" s="16">
        <f>IF(OR(E395="",NOT(ISNUMBER(E395))),"",DATE(YEAR(E395)+2,MONTH(E395),DAY(E395)-2))</f>
        <v/>
      </c>
      <c r="G395" s="20">
        <f>IF($A395="","",IFERROR(IF(LOOKUP(2,1/(人給データ!$B$2:$B$700=$A395),人給データ!$J$2:$J$700)=0,"",LOOKUP(2,1/(人給データ!$B$2:$B$700=$A395),人給データ!$J$2:$J$700)),""))</f>
        <v/>
      </c>
      <c r="H395" s="20">
        <f>IF($A395="","",IFERROR(IF(LOOKUP(2,1/(人給データ!$B$2:$B$700=$A395),人給データ!$K$2:$K$700)=0,"",LOOKUP(2,1/(人給データ!$B$2:$B$700=$A395),人給データ!$K$2:$K$700)),""))</f>
        <v/>
      </c>
      <c r="I395" s="12" t="n"/>
      <c r="J395">
        <f>IF($A395="","",IFERROR(IF(LOOKUP(2,1/(人給データ!$B$2:$B$700=$A395),人給データ!$N$2:$N$700)=0,"",LOOKUP(2,1/(人給データ!$B$2:$B$700=$A395),人給データ!$N$2:$N$700)),""))</f>
        <v/>
      </c>
      <c r="K395" s="13" t="n"/>
      <c r="L395" s="12" t="n"/>
      <c r="M395" s="12" t="n"/>
      <c r="N395" s="11" t="n"/>
      <c r="O395" s="11" t="n"/>
      <c r="P395" s="14">
        <f>IF(AND(M395&lt;&gt;"",O395=""),"保留中","")</f>
        <v/>
      </c>
      <c r="Q395" s="14">
        <f>IF(P395="保留中",COUNTIF(P$6:P395,"保留中"),"")</f>
        <v/>
      </c>
    </row>
    <row r="396">
      <c r="A396" s="12" t="n"/>
      <c r="B396">
        <f>IF($A396="","",IFERROR(IF(LOOKUP(2,1/(人給データ!$B$2:$B$700=$A396),人給データ!$C$2:$C$700)=0,"",LOOKUP(2,1/(人給データ!$B$2:$B$700=$A396),人給データ!$C$2:$C$700)),""))</f>
        <v/>
      </c>
      <c r="C396">
        <f>IF($A396="","",IFERROR(IF(LOOKUP(2,1/(人給データ!$B$2:$B$700=$A396),人給データ!$G$2:$G$700)=0,"",LOOKUP(2,1/(人給データ!$B$2:$B$700=$A396),人給データ!$G$2:$G$700)),""))</f>
        <v/>
      </c>
      <c r="D396">
        <f>IF($A396="","",IFERROR(IF(LOOKUP(2,1/(人給データ!$B$2:$B$700=$A396),人給データ!$Y$2:$Y$700)=0,"",LOOKUP(2,1/(人給データ!$B$2:$B$700=$A396),人給データ!$Y$2:$Y$700)),""))</f>
        <v/>
      </c>
      <c r="E396" s="20">
        <f>IF($A396="","",IFERROR(IF(LOOKUP(2,1/(人給データ!$B$2:$B$700=$A396),人給データ!$AB$2:$AB$700)=0,"",LOOKUP(2,1/(人給データ!$B$2:$B$700=$A396),人給データ!$AB$2:$AB$700)),""))</f>
        <v/>
      </c>
      <c r="F396" s="16">
        <f>IF(OR(E396="",NOT(ISNUMBER(E396))),"",DATE(YEAR(E396)+2,MONTH(E396),DAY(E396)-2))</f>
        <v/>
      </c>
      <c r="G396" s="20">
        <f>IF($A396="","",IFERROR(IF(LOOKUP(2,1/(人給データ!$B$2:$B$700=$A396),人給データ!$J$2:$J$700)=0,"",LOOKUP(2,1/(人給データ!$B$2:$B$700=$A396),人給データ!$J$2:$J$700)),""))</f>
        <v/>
      </c>
      <c r="H396" s="20">
        <f>IF($A396="","",IFERROR(IF(LOOKUP(2,1/(人給データ!$B$2:$B$700=$A396),人給データ!$K$2:$K$700)=0,"",LOOKUP(2,1/(人給データ!$B$2:$B$700=$A396),人給データ!$K$2:$K$700)),""))</f>
        <v/>
      </c>
      <c r="I396" s="12" t="n"/>
      <c r="J396">
        <f>IF($A396="","",IFERROR(IF(LOOKUP(2,1/(人給データ!$B$2:$B$700=$A396),人給データ!$N$2:$N$700)=0,"",LOOKUP(2,1/(人給データ!$B$2:$B$700=$A396),人給データ!$N$2:$N$700)),""))</f>
        <v/>
      </c>
      <c r="K396" s="13" t="n"/>
      <c r="L396" s="12" t="n"/>
      <c r="M396" s="12" t="n"/>
      <c r="N396" s="11" t="n"/>
      <c r="O396" s="11" t="n"/>
      <c r="P396" s="14">
        <f>IF(AND(M396&lt;&gt;"",O396=""),"保留中","")</f>
        <v/>
      </c>
      <c r="Q396" s="14">
        <f>IF(P396="保留中",COUNTIF(P$6:P396,"保留中"),"")</f>
        <v/>
      </c>
    </row>
    <row r="397">
      <c r="A397" s="12" t="n"/>
      <c r="B397">
        <f>IF($A397="","",IFERROR(IF(LOOKUP(2,1/(人給データ!$B$2:$B$700=$A397),人給データ!$C$2:$C$700)=0,"",LOOKUP(2,1/(人給データ!$B$2:$B$700=$A397),人給データ!$C$2:$C$700)),""))</f>
        <v/>
      </c>
      <c r="C397">
        <f>IF($A397="","",IFERROR(IF(LOOKUP(2,1/(人給データ!$B$2:$B$700=$A397),人給データ!$G$2:$G$700)=0,"",LOOKUP(2,1/(人給データ!$B$2:$B$700=$A397),人給データ!$G$2:$G$700)),""))</f>
        <v/>
      </c>
      <c r="D397">
        <f>IF($A397="","",IFERROR(IF(LOOKUP(2,1/(人給データ!$B$2:$B$700=$A397),人給データ!$Y$2:$Y$700)=0,"",LOOKUP(2,1/(人給データ!$B$2:$B$700=$A397),人給データ!$Y$2:$Y$700)),""))</f>
        <v/>
      </c>
      <c r="E397" s="20">
        <f>IF($A397="","",IFERROR(IF(LOOKUP(2,1/(人給データ!$B$2:$B$700=$A397),人給データ!$AB$2:$AB$700)=0,"",LOOKUP(2,1/(人給データ!$B$2:$B$700=$A397),人給データ!$AB$2:$AB$700)),""))</f>
        <v/>
      </c>
      <c r="F397" s="16">
        <f>IF(OR(E397="",NOT(ISNUMBER(E397))),"",DATE(YEAR(E397)+2,MONTH(E397),DAY(E397)-2))</f>
        <v/>
      </c>
      <c r="G397" s="20">
        <f>IF($A397="","",IFERROR(IF(LOOKUP(2,1/(人給データ!$B$2:$B$700=$A397),人給データ!$J$2:$J$700)=0,"",LOOKUP(2,1/(人給データ!$B$2:$B$700=$A397),人給データ!$J$2:$J$700)),""))</f>
        <v/>
      </c>
      <c r="H397" s="20">
        <f>IF($A397="","",IFERROR(IF(LOOKUP(2,1/(人給データ!$B$2:$B$700=$A397),人給データ!$K$2:$K$700)=0,"",LOOKUP(2,1/(人給データ!$B$2:$B$700=$A397),人給データ!$K$2:$K$700)),""))</f>
        <v/>
      </c>
      <c r="I397" s="12" t="n"/>
      <c r="J397">
        <f>IF($A397="","",IFERROR(IF(LOOKUP(2,1/(人給データ!$B$2:$B$700=$A397),人給データ!$N$2:$N$700)=0,"",LOOKUP(2,1/(人給データ!$B$2:$B$700=$A397),人給データ!$N$2:$N$700)),""))</f>
        <v/>
      </c>
      <c r="K397" s="13" t="n"/>
      <c r="L397" s="12" t="n"/>
      <c r="M397" s="12" t="n"/>
      <c r="N397" s="11" t="n"/>
      <c r="O397" s="11" t="n"/>
      <c r="P397" s="14">
        <f>IF(AND(M397&lt;&gt;"",O397=""),"保留中","")</f>
        <v/>
      </c>
      <c r="Q397" s="14">
        <f>IF(P397="保留中",COUNTIF(P$6:P397,"保留中"),"")</f>
        <v/>
      </c>
    </row>
    <row r="398">
      <c r="A398" s="12" t="n"/>
      <c r="B398">
        <f>IF($A398="","",IFERROR(IF(LOOKUP(2,1/(人給データ!$B$2:$B$700=$A398),人給データ!$C$2:$C$700)=0,"",LOOKUP(2,1/(人給データ!$B$2:$B$700=$A398),人給データ!$C$2:$C$700)),""))</f>
        <v/>
      </c>
      <c r="C398">
        <f>IF($A398="","",IFERROR(IF(LOOKUP(2,1/(人給データ!$B$2:$B$700=$A398),人給データ!$G$2:$G$700)=0,"",LOOKUP(2,1/(人給データ!$B$2:$B$700=$A398),人給データ!$G$2:$G$700)),""))</f>
        <v/>
      </c>
      <c r="D398">
        <f>IF($A398="","",IFERROR(IF(LOOKUP(2,1/(人給データ!$B$2:$B$700=$A398),人給データ!$Y$2:$Y$700)=0,"",LOOKUP(2,1/(人給データ!$B$2:$B$700=$A398),人給データ!$Y$2:$Y$700)),""))</f>
        <v/>
      </c>
      <c r="E398" s="20">
        <f>IF($A398="","",IFERROR(IF(LOOKUP(2,1/(人給データ!$B$2:$B$700=$A398),人給データ!$AB$2:$AB$700)=0,"",LOOKUP(2,1/(人給データ!$B$2:$B$700=$A398),人給データ!$AB$2:$AB$700)),""))</f>
        <v/>
      </c>
      <c r="F398" s="16">
        <f>IF(OR(E398="",NOT(ISNUMBER(E398))),"",DATE(YEAR(E398)+2,MONTH(E398),DAY(E398)-2))</f>
        <v/>
      </c>
      <c r="G398" s="20">
        <f>IF($A398="","",IFERROR(IF(LOOKUP(2,1/(人給データ!$B$2:$B$700=$A398),人給データ!$J$2:$J$700)=0,"",LOOKUP(2,1/(人給データ!$B$2:$B$700=$A398),人給データ!$J$2:$J$700)),""))</f>
        <v/>
      </c>
      <c r="H398" s="20">
        <f>IF($A398="","",IFERROR(IF(LOOKUP(2,1/(人給データ!$B$2:$B$700=$A398),人給データ!$K$2:$K$700)=0,"",LOOKUP(2,1/(人給データ!$B$2:$B$700=$A398),人給データ!$K$2:$K$700)),""))</f>
        <v/>
      </c>
      <c r="I398" s="12" t="n"/>
      <c r="J398">
        <f>IF($A398="","",IFERROR(IF(LOOKUP(2,1/(人給データ!$B$2:$B$700=$A398),人給データ!$N$2:$N$700)=0,"",LOOKUP(2,1/(人給データ!$B$2:$B$700=$A398),人給データ!$N$2:$N$700)),""))</f>
        <v/>
      </c>
      <c r="K398" s="13" t="n"/>
      <c r="L398" s="12" t="n"/>
      <c r="M398" s="12" t="n"/>
      <c r="N398" s="11" t="n"/>
      <c r="O398" s="11" t="n"/>
      <c r="P398" s="14">
        <f>IF(AND(M398&lt;&gt;"",O398=""),"保留中","")</f>
        <v/>
      </c>
      <c r="Q398" s="14">
        <f>IF(P398="保留中",COUNTIF(P$6:P398,"保留中"),"")</f>
        <v/>
      </c>
    </row>
    <row r="399">
      <c r="A399" s="12" t="n"/>
      <c r="B399">
        <f>IF($A399="","",IFERROR(IF(LOOKUP(2,1/(人給データ!$B$2:$B$700=$A399),人給データ!$C$2:$C$700)=0,"",LOOKUP(2,1/(人給データ!$B$2:$B$700=$A399),人給データ!$C$2:$C$700)),""))</f>
        <v/>
      </c>
      <c r="C399">
        <f>IF($A399="","",IFERROR(IF(LOOKUP(2,1/(人給データ!$B$2:$B$700=$A399),人給データ!$G$2:$G$700)=0,"",LOOKUP(2,1/(人給データ!$B$2:$B$700=$A399),人給データ!$G$2:$G$700)),""))</f>
        <v/>
      </c>
      <c r="D399">
        <f>IF($A399="","",IFERROR(IF(LOOKUP(2,1/(人給データ!$B$2:$B$700=$A399),人給データ!$Y$2:$Y$700)=0,"",LOOKUP(2,1/(人給データ!$B$2:$B$700=$A399),人給データ!$Y$2:$Y$700)),""))</f>
        <v/>
      </c>
      <c r="E399" s="20">
        <f>IF($A399="","",IFERROR(IF(LOOKUP(2,1/(人給データ!$B$2:$B$700=$A399),人給データ!$AB$2:$AB$700)=0,"",LOOKUP(2,1/(人給データ!$B$2:$B$700=$A399),人給データ!$AB$2:$AB$700)),""))</f>
        <v/>
      </c>
      <c r="F399" s="16">
        <f>IF(OR(E399="",NOT(ISNUMBER(E399))),"",DATE(YEAR(E399)+2,MONTH(E399),DAY(E399)-2))</f>
        <v/>
      </c>
      <c r="G399" s="20">
        <f>IF($A399="","",IFERROR(IF(LOOKUP(2,1/(人給データ!$B$2:$B$700=$A399),人給データ!$J$2:$J$700)=0,"",LOOKUP(2,1/(人給データ!$B$2:$B$700=$A399),人給データ!$J$2:$J$700)),""))</f>
        <v/>
      </c>
      <c r="H399" s="20">
        <f>IF($A399="","",IFERROR(IF(LOOKUP(2,1/(人給データ!$B$2:$B$700=$A399),人給データ!$K$2:$K$700)=0,"",LOOKUP(2,1/(人給データ!$B$2:$B$700=$A399),人給データ!$K$2:$K$700)),""))</f>
        <v/>
      </c>
      <c r="I399" s="12" t="n"/>
      <c r="J399">
        <f>IF($A399="","",IFERROR(IF(LOOKUP(2,1/(人給データ!$B$2:$B$700=$A399),人給データ!$N$2:$N$700)=0,"",LOOKUP(2,1/(人給データ!$B$2:$B$700=$A399),人給データ!$N$2:$N$700)),""))</f>
        <v/>
      </c>
      <c r="K399" s="13" t="n"/>
      <c r="L399" s="12" t="n"/>
      <c r="M399" s="12" t="n"/>
      <c r="N399" s="11" t="n"/>
      <c r="O399" s="11" t="n"/>
      <c r="P399" s="14">
        <f>IF(AND(M399&lt;&gt;"",O399=""),"保留中","")</f>
        <v/>
      </c>
      <c r="Q399" s="14">
        <f>IF(P399="保留中",COUNTIF(P$6:P399,"保留中"),"")</f>
        <v/>
      </c>
    </row>
    <row r="400">
      <c r="A400" s="12" t="n"/>
      <c r="B400">
        <f>IF($A400="","",IFERROR(IF(LOOKUP(2,1/(人給データ!$B$2:$B$700=$A400),人給データ!$C$2:$C$700)=0,"",LOOKUP(2,1/(人給データ!$B$2:$B$700=$A400),人給データ!$C$2:$C$700)),""))</f>
        <v/>
      </c>
      <c r="C400">
        <f>IF($A400="","",IFERROR(IF(LOOKUP(2,1/(人給データ!$B$2:$B$700=$A400),人給データ!$G$2:$G$700)=0,"",LOOKUP(2,1/(人給データ!$B$2:$B$700=$A400),人給データ!$G$2:$G$700)),""))</f>
        <v/>
      </c>
      <c r="D400">
        <f>IF($A400="","",IFERROR(IF(LOOKUP(2,1/(人給データ!$B$2:$B$700=$A400),人給データ!$Y$2:$Y$700)=0,"",LOOKUP(2,1/(人給データ!$B$2:$B$700=$A400),人給データ!$Y$2:$Y$700)),""))</f>
        <v/>
      </c>
      <c r="E400" s="20">
        <f>IF($A400="","",IFERROR(IF(LOOKUP(2,1/(人給データ!$B$2:$B$700=$A400),人給データ!$AB$2:$AB$700)=0,"",LOOKUP(2,1/(人給データ!$B$2:$B$700=$A400),人給データ!$AB$2:$AB$700)),""))</f>
        <v/>
      </c>
      <c r="F400" s="16">
        <f>IF(OR(E400="",NOT(ISNUMBER(E400))),"",DATE(YEAR(E400)+2,MONTH(E400),DAY(E400)-2))</f>
        <v/>
      </c>
      <c r="G400" s="20">
        <f>IF($A400="","",IFERROR(IF(LOOKUP(2,1/(人給データ!$B$2:$B$700=$A400),人給データ!$J$2:$J$700)=0,"",LOOKUP(2,1/(人給データ!$B$2:$B$700=$A400),人給データ!$J$2:$J$700)),""))</f>
        <v/>
      </c>
      <c r="H400" s="20">
        <f>IF($A400="","",IFERROR(IF(LOOKUP(2,1/(人給データ!$B$2:$B$700=$A400),人給データ!$K$2:$K$700)=0,"",LOOKUP(2,1/(人給データ!$B$2:$B$700=$A400),人給データ!$K$2:$K$700)),""))</f>
        <v/>
      </c>
      <c r="I400" s="12" t="n"/>
      <c r="J400">
        <f>IF($A400="","",IFERROR(IF(LOOKUP(2,1/(人給データ!$B$2:$B$700=$A400),人給データ!$N$2:$N$700)=0,"",LOOKUP(2,1/(人給データ!$B$2:$B$700=$A400),人給データ!$N$2:$N$700)),""))</f>
        <v/>
      </c>
      <c r="K400" s="13" t="n"/>
      <c r="L400" s="12" t="n"/>
      <c r="M400" s="12" t="n"/>
      <c r="N400" s="11" t="n"/>
      <c r="O400" s="11" t="n"/>
      <c r="P400" s="14">
        <f>IF(AND(M400&lt;&gt;"",O400=""),"保留中","")</f>
        <v/>
      </c>
      <c r="Q400" s="14">
        <f>IF(P400="保留中",COUNTIF(P$6:P400,"保留中"),"")</f>
        <v/>
      </c>
    </row>
    <row r="401">
      <c r="A401" s="12" t="n"/>
      <c r="B401">
        <f>IF($A401="","",IFERROR(IF(LOOKUP(2,1/(人給データ!$B$2:$B$700=$A401),人給データ!$C$2:$C$700)=0,"",LOOKUP(2,1/(人給データ!$B$2:$B$700=$A401),人給データ!$C$2:$C$700)),""))</f>
        <v/>
      </c>
      <c r="C401">
        <f>IF($A401="","",IFERROR(IF(LOOKUP(2,1/(人給データ!$B$2:$B$700=$A401),人給データ!$G$2:$G$700)=0,"",LOOKUP(2,1/(人給データ!$B$2:$B$700=$A401),人給データ!$G$2:$G$700)),""))</f>
        <v/>
      </c>
      <c r="D401">
        <f>IF($A401="","",IFERROR(IF(LOOKUP(2,1/(人給データ!$B$2:$B$700=$A401),人給データ!$Y$2:$Y$700)=0,"",LOOKUP(2,1/(人給データ!$B$2:$B$700=$A401),人給データ!$Y$2:$Y$700)),""))</f>
        <v/>
      </c>
      <c r="E401" s="20">
        <f>IF($A401="","",IFERROR(IF(LOOKUP(2,1/(人給データ!$B$2:$B$700=$A401),人給データ!$AB$2:$AB$700)=0,"",LOOKUP(2,1/(人給データ!$B$2:$B$700=$A401),人給データ!$AB$2:$AB$700)),""))</f>
        <v/>
      </c>
      <c r="F401" s="16">
        <f>IF(OR(E401="",NOT(ISNUMBER(E401))),"",DATE(YEAR(E401)+2,MONTH(E401),DAY(E401)-2))</f>
        <v/>
      </c>
      <c r="G401" s="20">
        <f>IF($A401="","",IFERROR(IF(LOOKUP(2,1/(人給データ!$B$2:$B$700=$A401),人給データ!$J$2:$J$700)=0,"",LOOKUP(2,1/(人給データ!$B$2:$B$700=$A401),人給データ!$J$2:$J$700)),""))</f>
        <v/>
      </c>
      <c r="H401" s="20">
        <f>IF($A401="","",IFERROR(IF(LOOKUP(2,1/(人給データ!$B$2:$B$700=$A401),人給データ!$K$2:$K$700)=0,"",LOOKUP(2,1/(人給データ!$B$2:$B$700=$A401),人給データ!$K$2:$K$700)),""))</f>
        <v/>
      </c>
      <c r="I401" s="12" t="n"/>
      <c r="J401">
        <f>IF($A401="","",IFERROR(IF(LOOKUP(2,1/(人給データ!$B$2:$B$700=$A401),人給データ!$N$2:$N$700)=0,"",LOOKUP(2,1/(人給データ!$B$2:$B$700=$A401),人給データ!$N$2:$N$700)),""))</f>
        <v/>
      </c>
      <c r="K401" s="13" t="n"/>
      <c r="L401" s="12" t="n"/>
      <c r="M401" s="12" t="n"/>
      <c r="N401" s="11" t="n"/>
      <c r="O401" s="11" t="n"/>
      <c r="P401" s="14">
        <f>IF(AND(M401&lt;&gt;"",O401=""),"保留中","")</f>
        <v/>
      </c>
      <c r="Q401" s="14">
        <f>IF(P401="保留中",COUNTIF(P$6:P401,"保留中"),"")</f>
        <v/>
      </c>
    </row>
    <row r="402">
      <c r="A402" s="12" t="n"/>
      <c r="B402">
        <f>IF($A402="","",IFERROR(IF(LOOKUP(2,1/(人給データ!$B$2:$B$700=$A402),人給データ!$C$2:$C$700)=0,"",LOOKUP(2,1/(人給データ!$B$2:$B$700=$A402),人給データ!$C$2:$C$700)),""))</f>
        <v/>
      </c>
      <c r="C402">
        <f>IF($A402="","",IFERROR(IF(LOOKUP(2,1/(人給データ!$B$2:$B$700=$A402),人給データ!$G$2:$G$700)=0,"",LOOKUP(2,1/(人給データ!$B$2:$B$700=$A402),人給データ!$G$2:$G$700)),""))</f>
        <v/>
      </c>
      <c r="D402">
        <f>IF($A402="","",IFERROR(IF(LOOKUP(2,1/(人給データ!$B$2:$B$700=$A402),人給データ!$Y$2:$Y$700)=0,"",LOOKUP(2,1/(人給データ!$B$2:$B$700=$A402),人給データ!$Y$2:$Y$700)),""))</f>
        <v/>
      </c>
      <c r="E402" s="20">
        <f>IF($A402="","",IFERROR(IF(LOOKUP(2,1/(人給データ!$B$2:$B$700=$A402),人給データ!$AB$2:$AB$700)=0,"",LOOKUP(2,1/(人給データ!$B$2:$B$700=$A402),人給データ!$AB$2:$AB$700)),""))</f>
        <v/>
      </c>
      <c r="F402" s="16">
        <f>IF(OR(E402="",NOT(ISNUMBER(E402))),"",DATE(YEAR(E402)+2,MONTH(E402),DAY(E402)-2))</f>
        <v/>
      </c>
      <c r="G402" s="20">
        <f>IF($A402="","",IFERROR(IF(LOOKUP(2,1/(人給データ!$B$2:$B$700=$A402),人給データ!$J$2:$J$700)=0,"",LOOKUP(2,1/(人給データ!$B$2:$B$700=$A402),人給データ!$J$2:$J$700)),""))</f>
        <v/>
      </c>
      <c r="H402" s="20">
        <f>IF($A402="","",IFERROR(IF(LOOKUP(2,1/(人給データ!$B$2:$B$700=$A402),人給データ!$K$2:$K$700)=0,"",LOOKUP(2,1/(人給データ!$B$2:$B$700=$A402),人給データ!$K$2:$K$700)),""))</f>
        <v/>
      </c>
      <c r="I402" s="12" t="n"/>
      <c r="J402">
        <f>IF($A402="","",IFERROR(IF(LOOKUP(2,1/(人給データ!$B$2:$B$700=$A402),人給データ!$N$2:$N$700)=0,"",LOOKUP(2,1/(人給データ!$B$2:$B$700=$A402),人給データ!$N$2:$N$700)),""))</f>
        <v/>
      </c>
      <c r="K402" s="13" t="n"/>
      <c r="L402" s="12" t="n"/>
      <c r="M402" s="12" t="n"/>
      <c r="N402" s="11" t="n"/>
      <c r="O402" s="11" t="n"/>
      <c r="P402" s="14">
        <f>IF(AND(M402&lt;&gt;"",O402=""),"保留中","")</f>
        <v/>
      </c>
      <c r="Q402" s="14">
        <f>IF(P402="保留中",COUNTIF(P$6:P402,"保留中"),"")</f>
        <v/>
      </c>
    </row>
    <row r="403">
      <c r="A403" s="12" t="n"/>
      <c r="B403">
        <f>IF($A403="","",IFERROR(IF(LOOKUP(2,1/(人給データ!$B$2:$B$700=$A403),人給データ!$C$2:$C$700)=0,"",LOOKUP(2,1/(人給データ!$B$2:$B$700=$A403),人給データ!$C$2:$C$700)),""))</f>
        <v/>
      </c>
      <c r="C403">
        <f>IF($A403="","",IFERROR(IF(LOOKUP(2,1/(人給データ!$B$2:$B$700=$A403),人給データ!$G$2:$G$700)=0,"",LOOKUP(2,1/(人給データ!$B$2:$B$700=$A403),人給データ!$G$2:$G$700)),""))</f>
        <v/>
      </c>
      <c r="D403">
        <f>IF($A403="","",IFERROR(IF(LOOKUP(2,1/(人給データ!$B$2:$B$700=$A403),人給データ!$Y$2:$Y$700)=0,"",LOOKUP(2,1/(人給データ!$B$2:$B$700=$A403),人給データ!$Y$2:$Y$700)),""))</f>
        <v/>
      </c>
      <c r="E403" s="20">
        <f>IF($A403="","",IFERROR(IF(LOOKUP(2,1/(人給データ!$B$2:$B$700=$A403),人給データ!$AB$2:$AB$700)=0,"",LOOKUP(2,1/(人給データ!$B$2:$B$700=$A403),人給データ!$AB$2:$AB$700)),""))</f>
        <v/>
      </c>
      <c r="F403" s="16">
        <f>IF(OR(E403="",NOT(ISNUMBER(E403))),"",DATE(YEAR(E403)+2,MONTH(E403),DAY(E403)-2))</f>
        <v/>
      </c>
      <c r="G403" s="20">
        <f>IF($A403="","",IFERROR(IF(LOOKUP(2,1/(人給データ!$B$2:$B$700=$A403),人給データ!$J$2:$J$700)=0,"",LOOKUP(2,1/(人給データ!$B$2:$B$700=$A403),人給データ!$J$2:$J$700)),""))</f>
        <v/>
      </c>
      <c r="H403" s="20">
        <f>IF($A403="","",IFERROR(IF(LOOKUP(2,1/(人給データ!$B$2:$B$700=$A403),人給データ!$K$2:$K$700)=0,"",LOOKUP(2,1/(人給データ!$B$2:$B$700=$A403),人給データ!$K$2:$K$700)),""))</f>
        <v/>
      </c>
      <c r="I403" s="12" t="n"/>
      <c r="J403">
        <f>IF($A403="","",IFERROR(IF(LOOKUP(2,1/(人給データ!$B$2:$B$700=$A403),人給データ!$N$2:$N$700)=0,"",LOOKUP(2,1/(人給データ!$B$2:$B$700=$A403),人給データ!$N$2:$N$700)),""))</f>
        <v/>
      </c>
      <c r="K403" s="13" t="n"/>
      <c r="L403" s="12" t="n"/>
      <c r="M403" s="12" t="n"/>
      <c r="N403" s="11" t="n"/>
      <c r="O403" s="11" t="n"/>
      <c r="P403" s="14">
        <f>IF(AND(M403&lt;&gt;"",O403=""),"保留中","")</f>
        <v/>
      </c>
      <c r="Q403" s="14">
        <f>IF(P403="保留中",COUNTIF(P$6:P403,"保留中"),"")</f>
        <v/>
      </c>
    </row>
    <row r="404">
      <c r="A404" s="12" t="n"/>
      <c r="B404">
        <f>IF($A404="","",IFERROR(IF(LOOKUP(2,1/(人給データ!$B$2:$B$700=$A404),人給データ!$C$2:$C$700)=0,"",LOOKUP(2,1/(人給データ!$B$2:$B$700=$A404),人給データ!$C$2:$C$700)),""))</f>
        <v/>
      </c>
      <c r="C404">
        <f>IF($A404="","",IFERROR(IF(LOOKUP(2,1/(人給データ!$B$2:$B$700=$A404),人給データ!$G$2:$G$700)=0,"",LOOKUP(2,1/(人給データ!$B$2:$B$700=$A404),人給データ!$G$2:$G$700)),""))</f>
        <v/>
      </c>
      <c r="D404">
        <f>IF($A404="","",IFERROR(IF(LOOKUP(2,1/(人給データ!$B$2:$B$700=$A404),人給データ!$Y$2:$Y$700)=0,"",LOOKUP(2,1/(人給データ!$B$2:$B$700=$A404),人給データ!$Y$2:$Y$700)),""))</f>
        <v/>
      </c>
      <c r="E404" s="20">
        <f>IF($A404="","",IFERROR(IF(LOOKUP(2,1/(人給データ!$B$2:$B$700=$A404),人給データ!$AB$2:$AB$700)=0,"",LOOKUP(2,1/(人給データ!$B$2:$B$700=$A404),人給データ!$AB$2:$AB$700)),""))</f>
        <v/>
      </c>
      <c r="F404" s="16">
        <f>IF(OR(E404="",NOT(ISNUMBER(E404))),"",DATE(YEAR(E404)+2,MONTH(E404),DAY(E404)-2))</f>
        <v/>
      </c>
      <c r="G404" s="20">
        <f>IF($A404="","",IFERROR(IF(LOOKUP(2,1/(人給データ!$B$2:$B$700=$A404),人給データ!$J$2:$J$700)=0,"",LOOKUP(2,1/(人給データ!$B$2:$B$700=$A404),人給データ!$J$2:$J$700)),""))</f>
        <v/>
      </c>
      <c r="H404" s="20">
        <f>IF($A404="","",IFERROR(IF(LOOKUP(2,1/(人給データ!$B$2:$B$700=$A404),人給データ!$K$2:$K$700)=0,"",LOOKUP(2,1/(人給データ!$B$2:$B$700=$A404),人給データ!$K$2:$K$700)),""))</f>
        <v/>
      </c>
      <c r="I404" s="12" t="n"/>
      <c r="J404">
        <f>IF($A404="","",IFERROR(IF(LOOKUP(2,1/(人給データ!$B$2:$B$700=$A404),人給データ!$N$2:$N$700)=0,"",LOOKUP(2,1/(人給データ!$B$2:$B$700=$A404),人給データ!$N$2:$N$700)),""))</f>
        <v/>
      </c>
      <c r="K404" s="13" t="n"/>
      <c r="L404" s="12" t="n"/>
      <c r="M404" s="12" t="n"/>
      <c r="N404" s="11" t="n"/>
      <c r="O404" s="11" t="n"/>
      <c r="P404" s="14">
        <f>IF(AND(M404&lt;&gt;"",O404=""),"保留中","")</f>
        <v/>
      </c>
      <c r="Q404" s="14">
        <f>IF(P404="保留中",COUNTIF(P$6:P404,"保留中"),"")</f>
        <v/>
      </c>
    </row>
    <row r="405">
      <c r="A405" s="12" t="n"/>
      <c r="B405">
        <f>IF($A405="","",IFERROR(IF(LOOKUP(2,1/(人給データ!$B$2:$B$700=$A405),人給データ!$C$2:$C$700)=0,"",LOOKUP(2,1/(人給データ!$B$2:$B$700=$A405),人給データ!$C$2:$C$700)),""))</f>
        <v/>
      </c>
      <c r="C405">
        <f>IF($A405="","",IFERROR(IF(LOOKUP(2,1/(人給データ!$B$2:$B$700=$A405),人給データ!$G$2:$G$700)=0,"",LOOKUP(2,1/(人給データ!$B$2:$B$700=$A405),人給データ!$G$2:$G$700)),""))</f>
        <v/>
      </c>
      <c r="D405">
        <f>IF($A405="","",IFERROR(IF(LOOKUP(2,1/(人給データ!$B$2:$B$700=$A405),人給データ!$Y$2:$Y$700)=0,"",LOOKUP(2,1/(人給データ!$B$2:$B$700=$A405),人給データ!$Y$2:$Y$700)),""))</f>
        <v/>
      </c>
      <c r="E405" s="20">
        <f>IF($A405="","",IFERROR(IF(LOOKUP(2,1/(人給データ!$B$2:$B$700=$A405),人給データ!$AB$2:$AB$700)=0,"",LOOKUP(2,1/(人給データ!$B$2:$B$700=$A405),人給データ!$AB$2:$AB$700)),""))</f>
        <v/>
      </c>
      <c r="F405" s="16">
        <f>IF(OR(E405="",NOT(ISNUMBER(E405))),"",DATE(YEAR(E405)+2,MONTH(E405),DAY(E405)-2))</f>
        <v/>
      </c>
      <c r="G405" s="20">
        <f>IF($A405="","",IFERROR(IF(LOOKUP(2,1/(人給データ!$B$2:$B$700=$A405),人給データ!$J$2:$J$700)=0,"",LOOKUP(2,1/(人給データ!$B$2:$B$700=$A405),人給データ!$J$2:$J$700)),""))</f>
        <v/>
      </c>
      <c r="H405" s="20">
        <f>IF($A405="","",IFERROR(IF(LOOKUP(2,1/(人給データ!$B$2:$B$700=$A405),人給データ!$K$2:$K$700)=0,"",LOOKUP(2,1/(人給データ!$B$2:$B$700=$A405),人給データ!$K$2:$K$700)),""))</f>
        <v/>
      </c>
      <c r="I405" s="12" t="n"/>
      <c r="J405">
        <f>IF($A405="","",IFERROR(IF(LOOKUP(2,1/(人給データ!$B$2:$B$700=$A405),人給データ!$N$2:$N$700)=0,"",LOOKUP(2,1/(人給データ!$B$2:$B$700=$A405),人給データ!$N$2:$N$700)),""))</f>
        <v/>
      </c>
      <c r="K405" s="13" t="n"/>
      <c r="L405" s="12" t="n"/>
      <c r="M405" s="12" t="n"/>
      <c r="N405" s="11" t="n"/>
      <c r="O405" s="11" t="n"/>
      <c r="P405" s="14">
        <f>IF(AND(M405&lt;&gt;"",O405=""),"保留中","")</f>
        <v/>
      </c>
      <c r="Q405" s="14">
        <f>IF(P405="保留中",COUNTIF(P$6:P405,"保留中"),"")</f>
        <v/>
      </c>
    </row>
  </sheetData>
  <autoFilter ref="A5:P405"/>
  <conditionalFormatting sqref="A6:P405">
    <cfRule type="expression" priority="1" dxfId="0">
      <formula>$P6="保留中"</formula>
    </cfRule>
  </conditionalFormatting>
  <dataValidations count="2">
    <dataValidation sqref="M6:M405" showDropDown="0" showInputMessage="0" showErrorMessage="0" allowBlank="1" type="list">
      <formula1>=設定!$F$3:$F$14</formula1>
    </dataValidation>
    <dataValidation sqref="I6:I405" showDropDown="0" showInputMessage="0" showErrorMessage="0" allowBlank="1" type="list">
      <formula1>"育児短時間勤務,部分休業"</formula1>
    </dataValidation>
  </dataValidation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D1"/>
  <sheetViews>
    <sheetView zoomScale="90" workbookViewId="0">
      <pane ySplit="1" topLeftCell="A2" activePane="bottomLeft" state="frozen"/>
      <selection pane="bottomLeft" activeCell="A1" sqref="A1"/>
    </sheetView>
  </sheetViews>
  <sheetFormatPr baseColWidth="8" defaultRowHeight="15"/>
  <sheetData>
    <row r="1" ht="34" customHeight="1">
      <c r="A1" s="9" t="inlineStr">
        <is>
          <t>個人ＩＤ</t>
        </is>
      </c>
      <c r="B1" s="9" t="inlineStr">
        <is>
          <t>職員番号</t>
        </is>
      </c>
      <c r="C1" s="9" t="inlineStr">
        <is>
          <t>職員氏名</t>
        </is>
      </c>
      <c r="D1" s="9" t="inlineStr">
        <is>
          <t>カナ氏名</t>
        </is>
      </c>
      <c r="E1" s="9" t="inlineStr">
        <is>
          <t>機構番号</t>
        </is>
      </c>
      <c r="F1" s="9" t="inlineStr">
        <is>
          <t>人事所属コード</t>
        </is>
      </c>
      <c r="G1" s="9" t="inlineStr">
        <is>
          <t>所属名称</t>
        </is>
      </c>
      <c r="H1" s="9" t="inlineStr">
        <is>
          <t>育児短時間勤務種別</t>
        </is>
      </c>
      <c r="I1" s="9" t="inlineStr">
        <is>
          <t>育児短時間勤務種別名称</t>
        </is>
      </c>
      <c r="J1" s="9" t="inlineStr">
        <is>
          <t>育児短時間勤務開始日</t>
        </is>
      </c>
      <c r="K1" s="9" t="inlineStr">
        <is>
          <t>育児短時間勤務終了日</t>
        </is>
      </c>
      <c r="L1" s="9" t="inlineStr">
        <is>
          <t>計算区分コード</t>
        </is>
      </c>
      <c r="M1" s="9" t="inlineStr">
        <is>
          <t>計算区分名称</t>
        </is>
      </c>
      <c r="N1" s="9" t="inlineStr">
        <is>
          <t>短時間勤務１週間勤務時間数</t>
        </is>
      </c>
      <c r="O1" s="9" t="inlineStr">
        <is>
          <t>１週間勤務時間数</t>
        </is>
      </c>
      <c r="P1" s="9" t="inlineStr">
        <is>
          <t>当初発令開始日</t>
        </is>
      </c>
      <c r="Q1" s="9" t="inlineStr">
        <is>
          <t>当初発令終了日</t>
        </is>
      </c>
      <c r="R1" s="9" t="inlineStr">
        <is>
          <t>備考</t>
        </is>
      </c>
      <c r="S1" s="9" t="inlineStr">
        <is>
          <t>職名コード</t>
        </is>
      </c>
      <c r="T1" s="9" t="inlineStr">
        <is>
          <t>職名名称</t>
        </is>
      </c>
      <c r="U1" s="9" t="inlineStr">
        <is>
          <t>育児短時間終了時計算区分コード</t>
        </is>
      </c>
      <c r="V1" s="9" t="inlineStr">
        <is>
          <t>育児短時間終了時計算区分名称</t>
        </is>
      </c>
      <c r="W1" s="9" t="inlineStr">
        <is>
          <t>育児短時間申請番号</t>
        </is>
      </c>
      <c r="X1" s="9" t="inlineStr">
        <is>
          <t>関連付育児短時間申請番号</t>
        </is>
      </c>
      <c r="Y1" s="9" t="inlineStr">
        <is>
          <t>子の氏名</t>
        </is>
      </c>
      <c r="Z1" s="9" t="inlineStr">
        <is>
          <t>子の続柄コード</t>
        </is>
      </c>
      <c r="AA1" s="9" t="inlineStr">
        <is>
          <t>子の続柄名称</t>
        </is>
      </c>
      <c r="AB1" s="9" t="inlineStr">
        <is>
          <t>子の生年月日</t>
        </is>
      </c>
      <c r="AD1" s="23" t="inlineStr">
        <is>
          <t>← 人給システムの出力を A2 から貼り付けると、職員マスタに自動反映されます（列の並びは従来の人給シートと同じ）</t>
        </is>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H74"/>
  <sheetViews>
    <sheetView zoomScale="90" workbookViewId="0">
      <selection activeCell="A1" sqref="A1"/>
    </sheetView>
  </sheetViews>
  <sheetFormatPr baseColWidth="8" defaultRowHeight="15"/>
  <cols>
    <col width="2" customWidth="1" min="1" max="1"/>
    <col width="24" customWidth="1" min="2" max="2"/>
    <col width="12" customWidth="1" min="3" max="3"/>
    <col width="80" customWidth="1" min="4" max="4"/>
    <col width="2" customWidth="1" min="5" max="5"/>
    <col width="30" customWidth="1" min="6" max="6"/>
    <col width="2" customWidth="1" min="7" max="7"/>
    <col width="12" customWidth="1" min="8" max="8"/>
  </cols>
  <sheetData>
    <row r="1">
      <c r="A1" s="5" t="inlineStr">
        <is>
          <t>設定</t>
        </is>
      </c>
    </row>
    <row r="2">
      <c r="A2" s="6" t="inlineStr">
        <is>
          <t>法令・運用の変更があったときはここだけ直します</t>
        </is>
      </c>
      <c r="B2" s="24" t="n"/>
      <c r="F2" s="24" t="inlineStr">
        <is>
          <t>保留理由（追加・変更可／F3:F14）</t>
        </is>
      </c>
      <c r="H2" s="24" t="inlineStr">
        <is>
          <t>支給月・対象月の一覧</t>
        </is>
      </c>
    </row>
    <row r="3">
      <c r="B3" s="24" t="inlineStr">
        <is>
          <t>最低限度額（円）</t>
        </is>
      </c>
      <c r="C3" s="12" t="n">
        <v>2411</v>
      </c>
      <c r="D3" s="25" t="inlineStr">
        <is>
          <t>計算した決定額がこの額以下なら不支給（旧リストの注記「下限(2,411)以下のため×」から設定。改定時は変更）</t>
        </is>
      </c>
      <c r="F3" s="12" t="inlineStr">
        <is>
          <t>住居手当の確認</t>
        </is>
      </c>
      <c r="H3" t="inlineStr">
        <is>
          <t>R7.4</t>
        </is>
      </c>
    </row>
    <row r="4">
      <c r="B4" s="24" t="inlineStr">
        <is>
          <t>通常の給付率</t>
        </is>
      </c>
      <c r="C4" s="26" t="n">
        <v>0.1</v>
      </c>
      <c r="D4" s="25" t="inlineStr">
        <is>
          <t>報酬が標準報酬月額の90%未満の場合</t>
        </is>
      </c>
      <c r="F4" s="12" t="inlineStr">
        <is>
          <t>通勤手当の確認</t>
        </is>
      </c>
      <c r="H4" t="inlineStr">
        <is>
          <t>R7.5</t>
        </is>
      </c>
    </row>
    <row r="5">
      <c r="B5" s="24" t="inlineStr">
        <is>
          <t>逓減を始める割合</t>
        </is>
      </c>
      <c r="C5" s="26" t="n">
        <v>0.9</v>
      </c>
      <c r="D5" s="25" t="inlineStr">
        <is>
          <t>報酬が標準報酬月額のこの割合以上100%未満のとき給付率を逓減</t>
        </is>
      </c>
      <c r="F5" s="12" t="inlineStr">
        <is>
          <t>育休期間の変更待ち</t>
        </is>
      </c>
      <c r="H5" t="inlineStr">
        <is>
          <t>R7.6</t>
        </is>
      </c>
    </row>
    <row r="6">
      <c r="B6" s="24" t="inlineStr">
        <is>
          <t>保留の注意日数</t>
        </is>
      </c>
      <c r="C6" s="12" t="n">
        <v>30</v>
      </c>
      <c r="D6" s="25" t="inlineStr">
        <is>
          <t>保留開始日からこの日数を超えると黄色表示</t>
        </is>
      </c>
      <c r="F6" s="12" t="inlineStr">
        <is>
          <t>標準報酬月額の変更確認</t>
        </is>
      </c>
      <c r="H6" t="inlineStr">
        <is>
          <t>R7.7</t>
        </is>
      </c>
    </row>
    <row r="7">
      <c r="B7" s="24" t="inlineStr">
        <is>
          <t>保留の要対応日数</t>
        </is>
      </c>
      <c r="C7" s="12" t="n">
        <v>60</v>
      </c>
      <c r="D7" s="25" t="inlineStr">
        <is>
          <t>保留開始日からこの日数を超えると赤表示</t>
        </is>
      </c>
      <c r="F7" s="12" t="inlineStr">
        <is>
          <t>部分休業の取得状況確認</t>
        </is>
      </c>
      <c r="H7" t="inlineStr">
        <is>
          <t>R7.8</t>
        </is>
      </c>
    </row>
    <row r="8">
      <c r="F8" s="12" t="inlineStr">
        <is>
          <t>添付書類の不足</t>
        </is>
      </c>
      <c r="H8" t="inlineStr">
        <is>
          <t>R7.9</t>
        </is>
      </c>
    </row>
    <row r="9">
      <c r="F9" s="12" t="inlineStr">
        <is>
          <t>記載内容の修正待ち</t>
        </is>
      </c>
      <c r="H9" t="inlineStr">
        <is>
          <t>R7.10</t>
        </is>
      </c>
    </row>
    <row r="10">
      <c r="F10" s="12" t="inlineStr">
        <is>
          <t>人給データとの相違確認</t>
        </is>
      </c>
      <c r="H10" t="inlineStr">
        <is>
          <t>R7.11</t>
        </is>
      </c>
    </row>
    <row r="11">
      <c r="F11" s="12" t="inlineStr">
        <is>
          <t>その他</t>
        </is>
      </c>
      <c r="H11" t="inlineStr">
        <is>
          <t>R7.12</t>
        </is>
      </c>
    </row>
    <row r="12">
      <c r="F12" s="12" t="n"/>
      <c r="H12" t="inlineStr">
        <is>
          <t>R8.1</t>
        </is>
      </c>
    </row>
    <row r="13">
      <c r="F13" s="12" t="n"/>
      <c r="H13" t="inlineStr">
        <is>
          <t>R8.2</t>
        </is>
      </c>
    </row>
    <row r="14">
      <c r="F14" s="12" t="n"/>
      <c r="H14" t="inlineStr">
        <is>
          <t>R8.3</t>
        </is>
      </c>
    </row>
    <row r="15">
      <c r="H15" t="inlineStr">
        <is>
          <t>R8.4</t>
        </is>
      </c>
    </row>
    <row r="16">
      <c r="H16" t="inlineStr">
        <is>
          <t>R8.5</t>
        </is>
      </c>
    </row>
    <row r="17">
      <c r="H17" t="inlineStr">
        <is>
          <t>R8.6</t>
        </is>
      </c>
    </row>
    <row r="18">
      <c r="H18" t="inlineStr">
        <is>
          <t>R8.7</t>
        </is>
      </c>
    </row>
    <row r="19">
      <c r="H19" t="inlineStr">
        <is>
          <t>R8.8</t>
        </is>
      </c>
    </row>
    <row r="20">
      <c r="H20" t="inlineStr">
        <is>
          <t>R8.9</t>
        </is>
      </c>
    </row>
    <row r="21">
      <c r="H21" t="inlineStr">
        <is>
          <t>R8.10</t>
        </is>
      </c>
    </row>
    <row r="22">
      <c r="H22" t="inlineStr">
        <is>
          <t>R8.11</t>
        </is>
      </c>
    </row>
    <row r="23">
      <c r="H23" t="inlineStr">
        <is>
          <t>R8.12</t>
        </is>
      </c>
    </row>
    <row r="24">
      <c r="H24" t="inlineStr">
        <is>
          <t>R9.1</t>
        </is>
      </c>
    </row>
    <row r="25">
      <c r="H25" t="inlineStr">
        <is>
          <t>R9.2</t>
        </is>
      </c>
    </row>
    <row r="26">
      <c r="H26" t="inlineStr">
        <is>
          <t>R9.3</t>
        </is>
      </c>
    </row>
    <row r="27">
      <c r="H27" t="inlineStr">
        <is>
          <t>R9.4</t>
        </is>
      </c>
    </row>
    <row r="28">
      <c r="H28" t="inlineStr">
        <is>
          <t>R9.5</t>
        </is>
      </c>
    </row>
    <row r="29">
      <c r="H29" t="inlineStr">
        <is>
          <t>R9.6</t>
        </is>
      </c>
    </row>
    <row r="30">
      <c r="H30" t="inlineStr">
        <is>
          <t>R9.7</t>
        </is>
      </c>
    </row>
    <row r="31">
      <c r="H31" t="inlineStr">
        <is>
          <t>R9.8</t>
        </is>
      </c>
    </row>
    <row r="32">
      <c r="H32" t="inlineStr">
        <is>
          <t>R9.9</t>
        </is>
      </c>
    </row>
    <row r="33">
      <c r="H33" t="inlineStr">
        <is>
          <t>R9.10</t>
        </is>
      </c>
    </row>
    <row r="34">
      <c r="H34" t="inlineStr">
        <is>
          <t>R9.11</t>
        </is>
      </c>
    </row>
    <row r="35">
      <c r="H35" t="inlineStr">
        <is>
          <t>R9.12</t>
        </is>
      </c>
    </row>
    <row r="36">
      <c r="H36" t="inlineStr">
        <is>
          <t>R10.1</t>
        </is>
      </c>
    </row>
    <row r="37">
      <c r="H37" t="inlineStr">
        <is>
          <t>R10.2</t>
        </is>
      </c>
    </row>
    <row r="38">
      <c r="H38" t="inlineStr">
        <is>
          <t>R10.3</t>
        </is>
      </c>
    </row>
    <row r="39">
      <c r="H39" t="inlineStr">
        <is>
          <t>R10.4</t>
        </is>
      </c>
    </row>
    <row r="40">
      <c r="H40" t="inlineStr">
        <is>
          <t>R10.5</t>
        </is>
      </c>
    </row>
    <row r="41">
      <c r="H41" t="inlineStr">
        <is>
          <t>R10.6</t>
        </is>
      </c>
    </row>
    <row r="42">
      <c r="H42" t="inlineStr">
        <is>
          <t>R10.7</t>
        </is>
      </c>
    </row>
    <row r="43">
      <c r="H43" t="inlineStr">
        <is>
          <t>R10.8</t>
        </is>
      </c>
    </row>
    <row r="44">
      <c r="H44" t="inlineStr">
        <is>
          <t>R10.9</t>
        </is>
      </c>
    </row>
    <row r="45">
      <c r="H45" t="inlineStr">
        <is>
          <t>R10.10</t>
        </is>
      </c>
    </row>
    <row r="46">
      <c r="H46" t="inlineStr">
        <is>
          <t>R10.11</t>
        </is>
      </c>
    </row>
    <row r="47">
      <c r="H47" t="inlineStr">
        <is>
          <t>R10.12</t>
        </is>
      </c>
    </row>
    <row r="48">
      <c r="H48" t="inlineStr">
        <is>
          <t>R11.1</t>
        </is>
      </c>
    </row>
    <row r="49">
      <c r="H49" t="inlineStr">
        <is>
          <t>R11.2</t>
        </is>
      </c>
    </row>
    <row r="50">
      <c r="H50" t="inlineStr">
        <is>
          <t>R11.3</t>
        </is>
      </c>
    </row>
    <row r="51">
      <c r="H51" t="inlineStr">
        <is>
          <t>R11.4</t>
        </is>
      </c>
    </row>
    <row r="52">
      <c r="H52" t="inlineStr">
        <is>
          <t>R11.5</t>
        </is>
      </c>
    </row>
    <row r="53">
      <c r="H53" t="inlineStr">
        <is>
          <t>R11.6</t>
        </is>
      </c>
    </row>
    <row r="54">
      <c r="H54" t="inlineStr">
        <is>
          <t>R11.7</t>
        </is>
      </c>
    </row>
    <row r="55">
      <c r="H55" t="inlineStr">
        <is>
          <t>R11.8</t>
        </is>
      </c>
    </row>
    <row r="56">
      <c r="H56" t="inlineStr">
        <is>
          <t>R11.9</t>
        </is>
      </c>
    </row>
    <row r="57">
      <c r="H57" t="inlineStr">
        <is>
          <t>R11.10</t>
        </is>
      </c>
    </row>
    <row r="58">
      <c r="H58" t="inlineStr">
        <is>
          <t>R11.11</t>
        </is>
      </c>
    </row>
    <row r="59">
      <c r="H59" t="inlineStr">
        <is>
          <t>R11.12</t>
        </is>
      </c>
    </row>
    <row r="60">
      <c r="H60" t="inlineStr">
        <is>
          <t>R12.1</t>
        </is>
      </c>
    </row>
    <row r="61">
      <c r="H61" t="inlineStr">
        <is>
          <t>R12.2</t>
        </is>
      </c>
    </row>
    <row r="62">
      <c r="H62" t="inlineStr">
        <is>
          <t>R12.3</t>
        </is>
      </c>
    </row>
    <row r="63">
      <c r="H63" t="inlineStr">
        <is>
          <t>R12.4</t>
        </is>
      </c>
    </row>
    <row r="64">
      <c r="H64" t="inlineStr">
        <is>
          <t>R12.5</t>
        </is>
      </c>
    </row>
    <row r="65">
      <c r="H65" t="inlineStr">
        <is>
          <t>R12.6</t>
        </is>
      </c>
    </row>
    <row r="66">
      <c r="H66" t="inlineStr">
        <is>
          <t>R12.7</t>
        </is>
      </c>
    </row>
    <row r="67">
      <c r="H67" t="inlineStr">
        <is>
          <t>R12.8</t>
        </is>
      </c>
    </row>
    <row r="68">
      <c r="H68" t="inlineStr">
        <is>
          <t>R12.9</t>
        </is>
      </c>
    </row>
    <row r="69">
      <c r="H69" t="inlineStr">
        <is>
          <t>R12.10</t>
        </is>
      </c>
    </row>
    <row r="70">
      <c r="H70" t="inlineStr">
        <is>
          <t>R12.11</t>
        </is>
      </c>
    </row>
    <row r="71">
      <c r="H71" t="inlineStr">
        <is>
          <t>R12.12</t>
        </is>
      </c>
    </row>
    <row r="72">
      <c r="H72" t="inlineStr">
        <is>
          <t>R13.1</t>
        </is>
      </c>
    </row>
    <row r="73">
      <c r="H73" t="inlineStr">
        <is>
          <t>R13.2</t>
        </is>
      </c>
    </row>
    <row r="74">
      <c r="H74" t="inlineStr">
        <is>
          <t>R13.3</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2026-10-21T04:58:09Z</dcterms:created>
  <dcterms:modified xmlns:dcterms="http://purl.org/dc/terms/" xmlns:xsi="http://www.w3.org/2001/XMLSchema-instance" xsi:type="dcterms:W3CDTF">2026-10-21T04:58:12Z</dcterms:modified>
</cp:coreProperties>
</file>